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ink/ink1.xml" ContentType="application/inkml+xml"/>
  <Override PartName="/xl/ink/ink10.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095" tabRatio="926" firstSheet="21" activeTab="32"/>
  </bookViews>
  <sheets>
    <sheet name="000000000" sheetId="37" state="veryHidden" r:id="rId1"/>
    <sheet name="Monetery" sheetId="204" state="hidden" r:id="rId2"/>
    <sheet name="FA Fiskal" sheetId="309" state="hidden" r:id="rId3"/>
    <sheet name="PM" sheetId="117" r:id="rId4"/>
    <sheet name="Cover22" sheetId="319" r:id="rId5"/>
    <sheet name="Cover21" sheetId="149" r:id="rId6"/>
    <sheet name="ToC22" sheetId="320" r:id="rId7"/>
    <sheet name="ToC21" sheetId="148" r:id="rId8"/>
    <sheet name="cr cf 22" sheetId="235" state="hidden" r:id="rId9"/>
    <sheet name="CF21" sheetId="259" state="hidden" r:id="rId10"/>
    <sheet name="CF 21" sheetId="321" r:id="rId11"/>
    <sheet name="F7" sheetId="150" state="hidden" r:id="rId12"/>
    <sheet name="ekin22" sheetId="255" state="hidden" r:id="rId13"/>
    <sheet name="ekin21" sheetId="296" state="hidden" r:id="rId14"/>
    <sheet name="CF 22" sheetId="234" r:id="rId15"/>
    <sheet name="F30" sheetId="3" state="hidden" r:id="rId16"/>
    <sheet name="F6" sheetId="69" r:id="rId17"/>
    <sheet name="F5" sheetId="66" r:id="rId18"/>
    <sheet name="F4" sheetId="275" r:id="rId19"/>
    <sheet name="F1" sheetId="1" r:id="rId20"/>
    <sheet name="F2" sheetId="2" r:id="rId21"/>
    <sheet name="F3" sheetId="291" r:id="rId22"/>
    <sheet name="FS-21" sheetId="295" r:id="rId23"/>
    <sheet name="FS-22" sheetId="314" r:id="rId24"/>
    <sheet name="A" sheetId="21" r:id="rId25"/>
    <sheet name="A1 (2)" sheetId="310" state="hidden" r:id="rId26"/>
    <sheet name="JJ" sheetId="30" r:id="rId27"/>
    <sheet name="a1" sheetId="286" r:id="rId28"/>
    <sheet name="a2" sheetId="287" r:id="rId29"/>
    <sheet name="Audit Isu" sheetId="183" r:id="rId30"/>
    <sheet name="PKS" sheetId="289" r:id="rId31"/>
    <sheet name="B" sheetId="134" r:id="rId32"/>
    <sheet name="Sheet1" sheetId="322" r:id="rId33"/>
    <sheet name="B1" sheetId="218" state="hidden" r:id="rId34"/>
    <sheet name="Note121" sheetId="297" r:id="rId35"/>
    <sheet name="Note122" sheetId="317" r:id="rId36"/>
    <sheet name="AR" sheetId="256" state="hidden" r:id="rId37"/>
    <sheet name="AR1" sheetId="272" state="hidden" r:id="rId38"/>
    <sheet name="AP19" sheetId="257" state="hidden" r:id="rId39"/>
    <sheet name="B17" sheetId="212" state="hidden" r:id="rId40"/>
    <sheet name="Note21" sheetId="312" r:id="rId41"/>
    <sheet name="Note22" sheetId="316" r:id="rId42"/>
    <sheet name="AP" sheetId="258" state="hidden" r:id="rId43"/>
    <sheet name="C" sheetId="163" state="hidden" r:id="rId44"/>
    <sheet name="c1" sheetId="261" state="hidden" r:id="rId45"/>
    <sheet name="C11" sheetId="277" state="hidden" r:id="rId46"/>
    <sheet name="c2" sheetId="262" state="hidden" r:id="rId47"/>
    <sheet name="D" sheetId="213" r:id="rId48"/>
    <sheet name="D0" sheetId="231" state="hidden" r:id="rId49"/>
    <sheet name="D1" sheetId="299" r:id="rId50"/>
    <sheet name="D2" sheetId="300" r:id="rId51"/>
    <sheet name="E" sheetId="214" r:id="rId52"/>
    <sheet name="F" sheetId="238" state="hidden" r:id="rId53"/>
    <sheet name="E1" sheetId="239" r:id="rId54"/>
    <sheet name="G" sheetId="215" r:id="rId55"/>
    <sheet name="G1" sheetId="301" r:id="rId56"/>
    <sheet name="H" sheetId="280" r:id="rId57"/>
    <sheet name="H1" sheetId="306" r:id="rId58"/>
    <sheet name="H2" sheetId="304" r:id="rId59"/>
    <sheet name="I" sheetId="290" r:id="rId60"/>
    <sheet name="z" sheetId="282" r:id="rId61"/>
    <sheet name="FA list" sheetId="250" r:id="rId62"/>
    <sheet name="UV" sheetId="62" r:id="rId63"/>
    <sheet name="UVo" sheetId="219" state="hidden" r:id="rId64"/>
    <sheet name="UV1" sheetId="253" r:id="rId65"/>
    <sheet name="UV2" sheetId="268" r:id="rId66"/>
    <sheet name="UV3" sheetId="267" r:id="rId67"/>
    <sheet name="UV4" sheetId="269" r:id="rId68"/>
    <sheet name="UV5" sheetId="292" r:id="rId69"/>
    <sheet name="II" sheetId="248" r:id="rId70"/>
    <sheet name="BB" sheetId="136" r:id="rId71"/>
    <sheet name="CC" sheetId="216" state="hidden" r:id="rId72"/>
    <sheet name="konfr bank" sheetId="285" state="hidden" r:id="rId73"/>
    <sheet name="EE" sheetId="242" state="hidden" r:id="rId74"/>
    <sheet name="DD" sheetId="197" r:id="rId75"/>
    <sheet name="DD2" sheetId="302" r:id="rId76"/>
    <sheet name="GG" sheetId="241" r:id="rId77"/>
    <sheet name="AA" sheetId="254" r:id="rId78"/>
    <sheet name="AA1" sheetId="247" r:id="rId79"/>
    <sheet name="AA2" sheetId="271" r:id="rId80"/>
    <sheet name="AA3" sheetId="264" r:id="rId81"/>
    <sheet name="kurs" sheetId="228" state="hidden" r:id="rId82"/>
    <sheet name="FF" sheetId="68" r:id="rId83"/>
    <sheet name="FF0" sheetId="140" r:id="rId84"/>
    <sheet name="FF1" sheetId="115" r:id="rId85"/>
    <sheet name="FF2" sheetId="102" r:id="rId86"/>
    <sheet name="FF21" sheetId="311" r:id="rId87"/>
    <sheet name="FF31" sheetId="172" r:id="rId88"/>
    <sheet name="FF311" sheetId="224" r:id="rId89"/>
    <sheet name="FF3" sheetId="222" r:id="rId90"/>
    <sheet name="FF4" sheetId="174" r:id="rId91"/>
    <sheet name="FF5" sheetId="200" r:id="rId92"/>
    <sheet name="SS" sheetId="55" r:id="rId93"/>
    <sheet name="10" sheetId="144" r:id="rId94"/>
    <sheet name="Perhit Fiskal" sheetId="203" r:id="rId95"/>
    <sheet name="Rekap Sales" sheetId="313" r:id="rId96"/>
    <sheet name="111" sheetId="307" r:id="rId97"/>
    <sheet name="1022" sheetId="293" r:id="rId98"/>
    <sheet name="1021" sheetId="294" r:id="rId99"/>
    <sheet name="102" sheetId="206" r:id="rId100"/>
    <sheet name="103" sheetId="207" r:id="rId101"/>
    <sheet name="20" sheetId="155" r:id="rId102"/>
    <sheet name="201" sheetId="303" r:id="rId103"/>
    <sheet name="40" sheetId="50" r:id="rId104"/>
    <sheet name="4011" sheetId="243" r:id="rId105"/>
    <sheet name="50" sheetId="95" r:id="rId106"/>
    <sheet name="5011" sheetId="240" r:id="rId107"/>
    <sheet name="Kompensasi kerugian" sheetId="227" state="hidden" r:id="rId108"/>
    <sheet name="60" sheetId="208" r:id="rId109"/>
    <sheet name="vo by" sheetId="198" r:id="rId110"/>
    <sheet name="Voby1" sheetId="265" r:id="rId111"/>
  </sheets>
  <externalReferences>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s>
  <definedNames>
    <definedName name="_xlnm._FilterDatabase" localSheetId="31" hidden="1">B!$C$14:$N$31</definedName>
    <definedName name="_xlnm._FilterDatabase" localSheetId="38" hidden="1">'AP19'!$B$6:$L$234</definedName>
    <definedName name="_xlnm._FilterDatabase" localSheetId="42" hidden="1">AP!$C$7:$P$163</definedName>
    <definedName name="_xlnm._FilterDatabase" localSheetId="87" hidden="1">'FF31'!$B$14:$U$25</definedName>
    <definedName name="_xlnm._FilterDatabase" localSheetId="97" hidden="1">'1022'!$B$10:$AN$111</definedName>
    <definedName name="_xlnm._FilterDatabase" localSheetId="98" hidden="1">'1021'!$B$9:$AN$178</definedName>
    <definedName name="_xlnm._FilterDatabase" localSheetId="99" hidden="1">'102'!$C$10:$J$36</definedName>
    <definedName name="_\a" localSheetId="25">[1]BIAYA20!#REF!</definedName>
    <definedName name="__\a">[1]BIAYA20!#REF!</definedName>
    <definedName name="___QW5">[2]Sheet8!$AB$26</definedName>
    <definedName name="___QW9">[2]Sheet8!$AF$26</definedName>
    <definedName name="___SR3">[3]BUDGET_1999!$W$45</definedName>
    <definedName name="__IntlFixup" hidden="1">TRUE</definedName>
    <definedName name="__QW5">[2]Sheet8!$AB$26</definedName>
    <definedName name="__QW9">[2]Sheet8!$AF$26</definedName>
    <definedName name="__SR3">[3]BUDGET_1999!$W$45</definedName>
    <definedName name="_1">#REF!</definedName>
    <definedName name="_12Excel_BuiltIn_Print_Area_1_1_1_1_1_1_1_1_1_1_1_1_1_1_1_1_1_1" localSheetId="25">'[4]rinciaan AR 2009'!#REF!</definedName>
    <definedName name="_12Excel_BuiltIn_Print_Area_1_1_1_1_1_1_1_1_1_1_1_1_1_1_1_1_1_1">'[4]rinciaan AR 2009'!#REF!</definedName>
    <definedName name="_15">#REF!</definedName>
    <definedName name="_15_2">#REF!</definedName>
    <definedName name="_15Excel_BuiltIn_Print_Area_1_1_1_1_1_1_1_1_1_1_1_1_1_1_1_1_1_1_1" localSheetId="25">'[4]rinciaan AR 2009'!#REF!</definedName>
    <definedName name="_15Excel_BuiltIn_Print_Area_1_1_1_1_1_1_1_1_1_1_1_1_1_1_1_1_1_1_1">'[4]rinciaan AR 2009'!#REF!</definedName>
    <definedName name="_1Excel_BuiltIn_Print_Area_1_1_1_1_1_1_1">#REF!</definedName>
    <definedName name="_2">#REF!</definedName>
    <definedName name="_2003_Pre_Target">"o"</definedName>
    <definedName name="_3" localSheetId="25">[1]BIAYA20!#REF!</definedName>
    <definedName name="_3">#REF!</definedName>
    <definedName name="_3_10">'[5]kpi-sales &amp;OP vs 9+4'!$F$8</definedName>
    <definedName name="_3Excel_BuiltIn_Print_Area_1_1_1_1_1_1_1_1_1_1" localSheetId="25">'[4]rinciaan AR 2009'!#REF!</definedName>
    <definedName name="_3Excel_BuiltIn_Print_Area_1_1_1_1_1_1_1_1_1_1">'[4]rinciaan AR 2009'!#REF!</definedName>
    <definedName name="_6Excel_BuiltIn_Print_Area_1_1_1_1_1_1_1_1_1_1_1_1_1" localSheetId="25">'[4]rinciaan AR 2009'!#REF!</definedName>
    <definedName name="_6Excel_BuiltIn_Print_Area_1_1_1_1_1_1_1_1_1_1_1_1_1">'[4]rinciaan AR 2009'!#REF!</definedName>
    <definedName name="_9Excel_BuiltIn_Print_Area_1_1_1_1_1_1_1_1_1_1_1_1_1_1_1_1" localSheetId="25">'[4]rinciaan AR 2009'!#REF!</definedName>
    <definedName name="_9Excel_BuiltIn_Print_Area_1_1_1_1_1_1_1_1_1_1_1_1_1_1_1_1">'[4]rinciaan AR 2009'!#REF!</definedName>
    <definedName name="_aam822" localSheetId="25">#REF!</definedName>
    <definedName name="_aam822">#REF!</definedName>
    <definedName name="_DAT1" localSheetId="25">#REF!</definedName>
    <definedName name="_DAT1">#REF!</definedName>
    <definedName name="_DAT10" localSheetId="25">#REF!</definedName>
    <definedName name="_DAT10">#REF!</definedName>
    <definedName name="_DAT11" localSheetId="25">#REF!</definedName>
    <definedName name="_DAT11">#REF!</definedName>
    <definedName name="_DAT12" localSheetId="25">#REF!</definedName>
    <definedName name="_DAT12">#REF!</definedName>
    <definedName name="_DAT13" localSheetId="25">#REF!</definedName>
    <definedName name="_DAT13">#REF!</definedName>
    <definedName name="_DAT14" localSheetId="25">#REF!</definedName>
    <definedName name="_DAT14">#REF!</definedName>
    <definedName name="_DAT15" localSheetId="25">#REF!</definedName>
    <definedName name="_DAT15">#REF!</definedName>
    <definedName name="_DAT2" localSheetId="25">#REF!</definedName>
    <definedName name="_DAT2">#REF!</definedName>
    <definedName name="_DAT3" localSheetId="25">#REF!</definedName>
    <definedName name="_DAT3">#REF!</definedName>
    <definedName name="_DAT4" localSheetId="25">#REF!</definedName>
    <definedName name="_DAT4">#REF!</definedName>
    <definedName name="_DAT5" localSheetId="25">#REF!</definedName>
    <definedName name="_DAT5">#REF!</definedName>
    <definedName name="_DAT6" localSheetId="25">#REF!</definedName>
    <definedName name="_DAT6">#REF!</definedName>
    <definedName name="_DAT7" localSheetId="25">#REF!</definedName>
    <definedName name="_DAT7">#REF!</definedName>
    <definedName name="_DAT8" localSheetId="25">#REF!</definedName>
    <definedName name="_DAT8">#REF!</definedName>
    <definedName name="_DAT9" localSheetId="25">#REF!</definedName>
    <definedName name="_DAT9">#REF!</definedName>
    <definedName name="_Fill" localSheetId="25" hidden="1">[6]RATIO!#REF!</definedName>
    <definedName name="_Fill" hidden="1">#REF!</definedName>
    <definedName name="_xlnm._FilterDatabase" localSheetId="36" hidden="1">AR!$C$8:$M$52</definedName>
    <definedName name="_xlnm._FilterDatabase" localSheetId="91" hidden="1">'FF5'!$C$12:$H$15</definedName>
    <definedName name="_hal11">#REF!</definedName>
    <definedName name="_hal12">#REF!</definedName>
    <definedName name="_hal13">#REF!</definedName>
    <definedName name="_hal14">#REF!</definedName>
    <definedName name="_hal15">#REF!</definedName>
    <definedName name="_hal16">#REF!</definedName>
    <definedName name="_Key1" localSheetId="25" hidden="1">'[7]Sale-Leaseback (2)'!#REF!</definedName>
    <definedName name="_Key1" localSheetId="71" hidden="1">'[8]Jobsite Staff'!#REF!</definedName>
    <definedName name="_Key1" localSheetId="47" hidden="1">'[8]Jobsite Staff'!#REF!</definedName>
    <definedName name="_Key1" localSheetId="51" hidden="1">'[8]Jobsite Staff'!#REF!</definedName>
    <definedName name="_Key1" localSheetId="52" hidden="1">'[8]Jobsite Staff'!#REF!</definedName>
    <definedName name="_Key1" localSheetId="54" hidden="1">'[8]Jobsite Staff'!#REF!</definedName>
    <definedName name="_Key1" localSheetId="69" hidden="1">'[8]Jobsite Staff'!#REF!</definedName>
    <definedName name="_Key1" localSheetId="60" hidden="1">'[8]Jobsite Staff'!#REF!</definedName>
    <definedName name="_Key1" hidden="1">'[8]Jobsite Staff'!#REF!</definedName>
    <definedName name="_Key2" localSheetId="71" hidden="1">'[8]Jobsite Staff'!#REF!</definedName>
    <definedName name="_Key2" localSheetId="47" hidden="1">'[8]Jobsite Staff'!#REF!</definedName>
    <definedName name="_Key2" localSheetId="51" hidden="1">'[8]Jobsite Staff'!#REF!</definedName>
    <definedName name="_Key2" localSheetId="52" hidden="1">'[8]Jobsite Staff'!#REF!</definedName>
    <definedName name="_Key2" localSheetId="54" hidden="1">'[8]Jobsite Staff'!#REF!</definedName>
    <definedName name="_Key2" localSheetId="69" hidden="1">'[8]Jobsite Staff'!#REF!</definedName>
    <definedName name="_Key2" localSheetId="60" hidden="1">'[8]Jobsite Staff'!#REF!</definedName>
    <definedName name="_Key2" hidden="1">'[8]Jobsite Staff'!#REF!</definedName>
    <definedName name="_Order1" localSheetId="25" hidden="1">255</definedName>
    <definedName name="_Order1" hidden="1">0</definedName>
    <definedName name="_Order2" hidden="1">255</definedName>
    <definedName name="_pl2" localSheetId="10">Srv</definedName>
    <definedName name="_pl2" localSheetId="4">Srv</definedName>
    <definedName name="_pl2" localSheetId="23">Srv</definedName>
    <definedName name="_pl2" localSheetId="35">Srv</definedName>
    <definedName name="_pl2" localSheetId="40">Srv</definedName>
    <definedName name="_pl2" localSheetId="41">Srv</definedName>
    <definedName name="_pl2" localSheetId="95">Srv</definedName>
    <definedName name="_pl2" localSheetId="6">Srv</definedName>
    <definedName name="_pl2">Srv</definedName>
    <definedName name="_ref1">#REF!</definedName>
    <definedName name="_Regression_X" hidden="1">'[9]1106-M&amp;E'!#REF!</definedName>
    <definedName name="_Sort" localSheetId="25" hidden="1">#REF!</definedName>
    <definedName name="_Sort" hidden="1">#REF!</definedName>
    <definedName name="_SR2002">'[10]Proposed 2003 Salary Range'!$A$15:$G$19</definedName>
    <definedName name="_Table1_In1" hidden="1">'[9]1105-B&amp;I-OK'!#REF!</definedName>
    <definedName name="_Table1_Out" hidden="1">'[9]1105-B&amp;I-OK'!#REF!</definedName>
    <definedName name="_TST2" localSheetId="10">Ongoing</definedName>
    <definedName name="_TST2" localSheetId="4">Ongoing</definedName>
    <definedName name="_TST2" localSheetId="23">Ongoing</definedName>
    <definedName name="_TST2" localSheetId="35">Ongoing</definedName>
    <definedName name="_TST2" localSheetId="40">Ongoing</definedName>
    <definedName name="_TST2" localSheetId="41">Ongoing</definedName>
    <definedName name="_TST2" localSheetId="95">Ongoing</definedName>
    <definedName name="_TST2" localSheetId="6">Ongoing</definedName>
    <definedName name="_TST2">Ongoing</definedName>
    <definedName name="a" localSheetId="25">DATE(YEAR([11]!Loan_Start),MONTH([11]!Loan_Start)+Payment_Number,DAY([11]!Loan_Start))</definedName>
    <definedName name="a">[12]farmasi!$E$7,[12]farmasi!$G$7,[12]farmasi!$E$8,[12]farmasi!$G$8,[12]farmasi!$E$10,[12]farmasi!$E$12,[12]farmasi!$G$12,[12]farmasi!$E$14,[12]farmasi!$E$16,[12]farmasi!$G$16,[12]farmasi!$E$18,[12]farmasi!$E$21,[12]farmasi!$G$21</definedName>
    <definedName name="aa">#REF!,#REF!,#REF!,#REF!,#REF!,#REF!,#REF!,#REF!,#REF!,#REF!,#REF!,#REF!,#REF!</definedName>
    <definedName name="AAA" localSheetId="10">InputModel</definedName>
    <definedName name="AAA" localSheetId="4">InputModel</definedName>
    <definedName name="AAA" localSheetId="23">InputModel</definedName>
    <definedName name="AAA" localSheetId="35">InputModel</definedName>
    <definedName name="AAA" localSheetId="40">InputModel</definedName>
    <definedName name="AAA" localSheetId="41">InputModel</definedName>
    <definedName name="AAA" localSheetId="95">InputModel</definedName>
    <definedName name="AAA" localSheetId="6">InputModel</definedName>
    <definedName name="AAA">InputModel</definedName>
    <definedName name="AAAA" localSheetId="10">InputModel</definedName>
    <definedName name="AAAA" localSheetId="4">InputModel</definedName>
    <definedName name="AAAA" localSheetId="23">InputModel</definedName>
    <definedName name="AAAA" localSheetId="35">InputModel</definedName>
    <definedName name="AAAA" localSheetId="40">InputModel</definedName>
    <definedName name="AAAA" localSheetId="41">InputModel</definedName>
    <definedName name="AAAA" localSheetId="95">InputModel</definedName>
    <definedName name="AAAA" localSheetId="6">InputModel</definedName>
    <definedName name="AAAA">InputModel</definedName>
    <definedName name="abbs00">#REF!</definedName>
    <definedName name="abbs01">#REF!</definedName>
    <definedName name="ABC" localSheetId="10">InputModel</definedName>
    <definedName name="ABC" localSheetId="4">InputModel</definedName>
    <definedName name="ABC" localSheetId="23">InputModel</definedName>
    <definedName name="ABC" localSheetId="35">InputModel</definedName>
    <definedName name="ABC" localSheetId="40">InputModel</definedName>
    <definedName name="ABC" localSheetId="41">InputModel</definedName>
    <definedName name="ABC" localSheetId="95">InputModel</definedName>
    <definedName name="ABC" localSheetId="6">InputModel</definedName>
    <definedName name="ABC">InputModel</definedName>
    <definedName name="abis00">#REF!</definedName>
    <definedName name="abis01">#REF!</definedName>
    <definedName name="AC">#REF!</definedName>
    <definedName name="accaje" localSheetId="25">'[13]AJE-RJE'!$B$9:$B$9041</definedName>
    <definedName name="accaje">[14]AJRE!$A$9:$A$9018</definedName>
    <definedName name="AccessDatabase" hidden="1">"C:\My Documents\MAUI MALL1.mdb"</definedName>
    <definedName name="AccRef">[15]Ref!$A$3:$B$19</definedName>
    <definedName name="accs" localSheetId="10">Srv</definedName>
    <definedName name="accs" localSheetId="4">Srv</definedName>
    <definedName name="accs" localSheetId="23">Srv</definedName>
    <definedName name="accs" localSheetId="35">Srv</definedName>
    <definedName name="accs" localSheetId="40">Srv</definedName>
    <definedName name="accs" localSheetId="41">Srv</definedName>
    <definedName name="accs" localSheetId="95">Srv</definedName>
    <definedName name="accs" localSheetId="6">Srv</definedName>
    <definedName name="accs">Srv</definedName>
    <definedName name="accumDepStart">'[16]Balance Sheet'!$D$16</definedName>
    <definedName name="ACTION" localSheetId="10">InputModel</definedName>
    <definedName name="ACTION" localSheetId="4">InputModel</definedName>
    <definedName name="ACTION" localSheetId="23">InputModel</definedName>
    <definedName name="ACTION" localSheetId="35">InputModel</definedName>
    <definedName name="ACTION" localSheetId="40">InputModel</definedName>
    <definedName name="ACTION" localSheetId="41">InputModel</definedName>
    <definedName name="ACTION" localSheetId="95">InputModel</definedName>
    <definedName name="ACTION" localSheetId="6">InputModel</definedName>
    <definedName name="ACTION">InputModel</definedName>
    <definedName name="ACwvu.CapersView." localSheetId="25" hidden="1">[17]MASTER!#REF!</definedName>
    <definedName name="ACwvu.CapersView." hidden="1">[17]MASTER!#REF!</definedName>
    <definedName name="ACwvu.Japan_Capers_Ed_Pub." localSheetId="25" hidden="1">#REF!</definedName>
    <definedName name="ACwvu.Japan_Capers_Ed_Pub." hidden="1">#REF!</definedName>
    <definedName name="ACwvu.KJP_CC." localSheetId="25" hidden="1">#REF!</definedName>
    <definedName name="ACwvu.KJP_CC." hidden="1">#REF!</definedName>
    <definedName name="ada" localSheetId="10">InputModel</definedName>
    <definedName name="ada" localSheetId="4">InputModel</definedName>
    <definedName name="ada" localSheetId="23">InputModel</definedName>
    <definedName name="ada" localSheetId="35">InputModel</definedName>
    <definedName name="ada" localSheetId="40">InputModel</definedName>
    <definedName name="ada" localSheetId="41">InputModel</definedName>
    <definedName name="ada" localSheetId="95">InputModel</definedName>
    <definedName name="ada" localSheetId="6">InputModel</definedName>
    <definedName name="ada">InputModel</definedName>
    <definedName name="Affiliasi" localSheetId="25">[13]Aff!$B$2:$B$20</definedName>
    <definedName name="Affiliasi">[14]Aff!$B$2:$B$20</definedName>
    <definedName name="ajecr" localSheetId="25">'[13]AJE-RJE'!$I$9:$I$9041</definedName>
    <definedName name="ajecr">[14]AJRE!$H$9:$H$9018</definedName>
    <definedName name="ajedr" localSheetId="25">'[13]AJE-RJE'!$H$9:$H$9041</definedName>
    <definedName name="ajedr">[14]AJRE!$G$9:$G$9018</definedName>
    <definedName name="AKUNNO" localSheetId="25">[18]TB!$V$9:$AA$1046</definedName>
    <definedName name="AKUNNO">'[19]TB09'!$AA$9:$AC$847</definedName>
    <definedName name="ANALISIS" localSheetId="25">#REF!</definedName>
    <definedName name="ANALISIS">#REF!</definedName>
    <definedName name="analysisInvMark">[20]Analysis!#REF!</definedName>
    <definedName name="analysisInvTurnMark">[20]Analysis!#REF!</definedName>
    <definedName name="analysisQuickMfg">[20]Analysis!#REF!</definedName>
    <definedName name="anscount" hidden="1">4</definedName>
    <definedName name="APRIL3" localSheetId="10">Ongoing</definedName>
    <definedName name="APRIL3" localSheetId="4">Ongoing</definedName>
    <definedName name="APRIL3" localSheetId="23">Ongoing</definedName>
    <definedName name="APRIL3" localSheetId="35">Ongoing</definedName>
    <definedName name="APRIL3" localSheetId="40">Ongoing</definedName>
    <definedName name="APRIL3" localSheetId="41">Ongoing</definedName>
    <definedName name="APRIL3" localSheetId="95">Ongoing</definedName>
    <definedName name="APRIL3" localSheetId="6">Ongoing</definedName>
    <definedName name="APRIL3">Ongoing</definedName>
    <definedName name="APSUMMARY" localSheetId="25">#REF!</definedName>
    <definedName name="APSUMMARY">#REF!</definedName>
    <definedName name="AR" localSheetId="25">#REF!</definedName>
    <definedName name="AR">#REF!</definedName>
    <definedName name="Area" localSheetId="71">[21]BS!#REF!</definedName>
    <definedName name="Area" localSheetId="47">[21]BS!#REF!</definedName>
    <definedName name="Area" localSheetId="51">[21]BS!#REF!</definedName>
    <definedName name="Area" localSheetId="52">[21]BS!#REF!</definedName>
    <definedName name="Area" localSheetId="54">[21]BS!#REF!</definedName>
    <definedName name="Area" localSheetId="69">[21]BS!#REF!</definedName>
    <definedName name="Area" localSheetId="60">[21]BS!#REF!</definedName>
    <definedName name="Area">[21]BS!#REF!</definedName>
    <definedName name="AS2DocOpenMode" hidden="1">"AS2DocumentEdit"</definedName>
    <definedName name="AS2ReportLS" hidden="1">1</definedName>
    <definedName name="AS2SyncStepLS" hidden="1">0</definedName>
    <definedName name="AS2TickmarkLS" localSheetId="25" hidden="1">#REF!</definedName>
    <definedName name="AS2TickmarkLS" hidden="1">#REF!</definedName>
    <definedName name="AS2VersionLS" hidden="1">300</definedName>
    <definedName name="asda" localSheetId="25">#REF!</definedName>
    <definedName name="asda">#REF!</definedName>
    <definedName name="asfdaf" localSheetId="10">Ongoing</definedName>
    <definedName name="asfdaf" localSheetId="4">Ongoing</definedName>
    <definedName name="asfdaf" localSheetId="23">Ongoing</definedName>
    <definedName name="asfdaf" localSheetId="35">Ongoing</definedName>
    <definedName name="asfdaf" localSheetId="40">Ongoing</definedName>
    <definedName name="asfdaf" localSheetId="41">Ongoing</definedName>
    <definedName name="asfdaf" localSheetId="95">Ongoing</definedName>
    <definedName name="asfdaf" localSheetId="6">Ongoing</definedName>
    <definedName name="asfdaf">Ongoing</definedName>
    <definedName name="asmo1">#REF!</definedName>
    <definedName name="asmo2">#REF!</definedName>
    <definedName name="asmo3">#REF!</definedName>
    <definedName name="asmo4">#REF!</definedName>
    <definedName name="asmo5">#REF!</definedName>
    <definedName name="asmo6">#REF!</definedName>
    <definedName name="asmo7">#REF!</definedName>
    <definedName name="asmo8">#REF!</definedName>
    <definedName name="asmo9">#REF!</definedName>
    <definedName name="assetRatios">[20]Analysis!#REF!</definedName>
    <definedName name="ATETAP" localSheetId="25">#REF!</definedName>
    <definedName name="ATETAP">#REF!</definedName>
    <definedName name="auah" localSheetId="25">#REF!</definedName>
    <definedName name="auah">#REF!</definedName>
    <definedName name="b">[12]farmasi!$H$7,[12]farmasi!$J$7,[12]farmasi!$H$8,[12]farmasi!$J$8,[12]farmasi!$H$10,[12]farmasi!$H$12,[12]farmasi!$J$12,[12]farmasi!$H$14,[12]farmasi!$H$16,[12]farmasi!$J$16,[12]farmasi!$H$18,[12]farmasi!$H$21,[12]farmasi!$J$21</definedName>
    <definedName name="bag">#N/A</definedName>
    <definedName name="bal">'[22]tb-mar'!$E$4:$E$121</definedName>
    <definedName name="BANK1" localSheetId="25">#REF!</definedName>
    <definedName name="BANK1">#REF!</definedName>
    <definedName name="BANK2" localSheetId="25">#REF!</definedName>
    <definedName name="BANK2">#REF!</definedName>
    <definedName name="BANK3" localSheetId="25">#REF!</definedName>
    <definedName name="BANK3">#REF!</definedName>
    <definedName name="BankLoan">#REF!</definedName>
    <definedName name="base01">'[23]Eligible-Data'!$A$165:$C$196</definedName>
    <definedName name="Beg_Bal" localSheetId="25">[24]Sheet2!#REF!</definedName>
    <definedName name="Beg_Bal">[24]Sheet2!#REF!</definedName>
    <definedName name="BG_Del" hidden="1">15</definedName>
    <definedName name="BG_Ins" hidden="1">4</definedName>
    <definedName name="BG_Mod" hidden="1">6</definedName>
    <definedName name="Binary">#REF!</definedName>
    <definedName name="BP" localSheetId="25">#REF!</definedName>
    <definedName name="BP">#REF!</definedName>
    <definedName name="BPA">[25]Ref!$A$3:$B$50</definedName>
    <definedName name="BS">#REF!</definedName>
    <definedName name="BUA" localSheetId="25">#REF!</definedName>
    <definedName name="BUA">#REF!</definedName>
    <definedName name="BuiltIn_Print_Area___0">#REF!</definedName>
    <definedName name="BuiltIn_Print_Area___1">#REF!</definedName>
    <definedName name="BuiltIn_Print_Area___2">#REF!</definedName>
    <definedName name="BuiltIn_Print_Area___3">#REF!</definedName>
    <definedName name="BuiltIn_Print_Area___4">#REF!</definedName>
    <definedName name="BuiltIn_Print_Titles___0">#REF!</definedName>
    <definedName name="BulanGL">'[26]GL 2010'!$H$4:$H$36149</definedName>
    <definedName name="Business_Unit">#REF!</definedName>
    <definedName name="CashFlow">#REF!</definedName>
    <definedName name="cf" localSheetId="25" hidden="1">#REF!</definedName>
    <definedName name="cf" hidden="1">#REF!</definedName>
    <definedName name="check">#REF!</definedName>
    <definedName name="coa" localSheetId="25">[27]COA!$A$1:$D$46</definedName>
    <definedName name="COA">#REF!</definedName>
    <definedName name="COA_Data">[28]COA!$A$5:$C$124</definedName>
    <definedName name="code">#REF!</definedName>
    <definedName name="COMBINE_2005" localSheetId="25">#REF!</definedName>
    <definedName name="COMBINE_2005">#REF!</definedName>
    <definedName name="COMBINE2005">[29]Combine2005!$A$4:$HT$1270</definedName>
    <definedName name="Conclusion" localSheetId="25">'[18]T-M'!$B$35:$B$40</definedName>
    <definedName name="Conclusion">'[30]T-M'!$B$35:$B$40</definedName>
    <definedName name="ControlPoint">#REF!</definedName>
    <definedName name="coType" localSheetId="10">Srv</definedName>
    <definedName name="coType" localSheetId="4">Srv</definedName>
    <definedName name="coType" localSheetId="23">Srv</definedName>
    <definedName name="coType" localSheetId="35">Srv</definedName>
    <definedName name="coType" localSheetId="40">Srv</definedName>
    <definedName name="coType" localSheetId="41">Srv</definedName>
    <definedName name="coType" localSheetId="95">Srv</definedName>
    <definedName name="coType" localSheetId="6">Srv</definedName>
    <definedName name="coType">Srv</definedName>
    <definedName name="cover2" localSheetId="25" hidden="1">{#N/A,#N/A,FALSE,"Aging Summary";#N/A,#N/A,FALSE,"Ratio Analysis";#N/A,#N/A,FALSE,"Test 120 Day Accts";#N/A,#N/A,FALSE,"Tickmarks"}</definedName>
    <definedName name="cover2" localSheetId="40" hidden="1">{#N/A,#N/A,FALSE,"Aging Summary";#N/A,#N/A,FALSE,"Ratio Analysis";#N/A,#N/A,FALSE,"Test 120 Day Accts";#N/A,#N/A,FALSE,"Tickmarks"}</definedName>
    <definedName name="cover2" localSheetId="41" hidden="1">{#N/A,#N/A,FALSE,"Aging Summary";#N/A,#N/A,FALSE,"Ratio Analysis";#N/A,#N/A,FALSE,"Test 120 Day Accts";#N/A,#N/A,FALSE,"Tickmarks"}</definedName>
    <definedName name="cover2" localSheetId="95" hidden="1">{#N/A,#N/A,FALSE,"Aging Summary";#N/A,#N/A,FALSE,"Ratio Analysis";#N/A,#N/A,FALSE,"Test 120 Day Accts";#N/A,#N/A,FALSE,"Tickmarks"}</definedName>
    <definedName name="cover2" hidden="1">{#N/A,#N/A,FALSE,"Aging Summary";#N/A,#N/A,FALSE,"Ratio Analysis";#N/A,#N/A,FALSE,"Test 120 Day Accts";#N/A,#N/A,FALSE,"Tickmarks"}</definedName>
    <definedName name="coy">#REF!</definedName>
    <definedName name="CT">#REF!</definedName>
    <definedName name="Cum_Int">[24]Sheet2!#REF!</definedName>
    <definedName name="currencyFormat">'[31]Income Statement'!$B$2</definedName>
    <definedName name="Current">#REF!</definedName>
    <definedName name="cust_sales">[32]Sales!$N$137:$Q$153</definedName>
    <definedName name="Cwvu.CapersView." hidden="1">[17]MASTER!#REF!</definedName>
    <definedName name="Cwvu.Japan_Capers_Ed_Pub." hidden="1">[17]MASTER!#REF!</definedName>
    <definedName name="Cwvu.KJP_CC." localSheetId="25" hidden="1">[17]MASTER!#REF!,[17]MASTER!#REF!,[17]MASTER!#REF!,[17]MASTER!#REF!,[17]MASTER!#REF!,[17]MASTER!#REF!,[17]MASTER!#REF!,[17]MASTER!#REF!,[17]MASTER!#REF!,[17]MASTER!#REF!,[17]MASTER!#REF!,[17]MASTER!#REF!,[17]MASTER!#REF!,[17]MASTER!#REF!,[17]MASTER!#REF!,[17]MASTER!#REF!,[17]MASTER!#REF!,[17]MASTER!#REF!,[17]MASTER!#REF!,[17]MASTER!#REF!</definedName>
    <definedName name="Cwvu.KJP_CC." hidden="1">[17]MASTER!#REF!,[17]MASTER!#REF!,[17]MASTER!#REF!,[17]MASTER!#REF!,[17]MASTER!#REF!,[17]MASTER!#REF!,[17]MASTER!#REF!,[17]MASTER!#REF!,[17]MASTER!#REF!,[17]MASTER!#REF!,[17]MASTER!#REF!,[17]MASTER!#REF!,[17]MASTER!#REF!,[17]MASTER!#REF!,[17]MASTER!#REF!,[17]MASTER!#REF!,[17]MASTER!#REF!,[17]MASTER!#REF!,[17]MASTER!#REF!,[17]MASTER!#REF!</definedName>
    <definedName name="d">'[12]non farmasi'!$B$7,'[12]non farmasi'!$D$7,'[12]non farmasi'!$B$8,'[12]non farmasi'!$D$8,'[12]non farmasi'!$B$10,'[12]non farmasi'!$E$7,'[12]non farmasi'!$G$7,'[12]non farmasi'!$E$8,'[12]non farmasi'!$G$8,'[12]non farmasi'!$E$10,'[12]non farmasi'!$H$7,'[12]non farmasi'!$J$7,'[12]non farmasi'!$H$8,'[12]non farmasi'!$J$8,'[12]non farmasi'!$H$10</definedName>
    <definedName name="Daftar" localSheetId="25" hidden="1">{#N/A,#N/A,FALSE,"Aging Summary";#N/A,#N/A,FALSE,"Ratio Analysis";#N/A,#N/A,FALSE,"Test 120 Day Accts";#N/A,#N/A,FALSE,"Tickmarks"}</definedName>
    <definedName name="Daftar" localSheetId="40" hidden="1">{#N/A,#N/A,FALSE,"Aging Summary";#N/A,#N/A,FALSE,"Ratio Analysis";#N/A,#N/A,FALSE,"Test 120 Day Accts";#N/A,#N/A,FALSE,"Tickmarks"}</definedName>
    <definedName name="Daftar" localSheetId="41" hidden="1">{#N/A,#N/A,FALSE,"Aging Summary";#N/A,#N/A,FALSE,"Ratio Analysis";#N/A,#N/A,FALSE,"Test 120 Day Accts";#N/A,#N/A,FALSE,"Tickmarks"}</definedName>
    <definedName name="Daftar" localSheetId="95" hidden="1">{#N/A,#N/A,FALSE,"Aging Summary";#N/A,#N/A,FALSE,"Ratio Analysis";#N/A,#N/A,FALSE,"Test 120 Day Accts";#N/A,#N/A,FALSE,"Tickmarks"}</definedName>
    <definedName name="Daftar" hidden="1">{#N/A,#N/A,FALSE,"Aging Summary";#N/A,#N/A,FALSE,"Ratio Analysis";#N/A,#N/A,FALSE,"Test 120 Day Accts";#N/A,#N/A,FALSE,"Tickmarks"}</definedName>
    <definedName name="DaftarAset08" localSheetId="25" hidden="1">#REF!</definedName>
    <definedName name="DaftarAset08" hidden="1">#REF!</definedName>
    <definedName name="DakhirD" localSheetId="25">#REF!</definedName>
    <definedName name="DakhirD">#REF!</definedName>
    <definedName name="DakhirK" localSheetId="25">#REF!</definedName>
    <definedName name="DakhirK">#REF!</definedName>
    <definedName name="Data" localSheetId="25">[24]Sheet2!#REF!</definedName>
    <definedName name="Data">[24]Sheet2!#REF!</definedName>
    <definedName name="data1">[23]Data!$A$131:$C$162</definedName>
    <definedName name="Database" localSheetId="25">#REF!</definedName>
    <definedName name="Database">'[33]A1'!$C$1:$BX$23861</definedName>
    <definedName name="DATASOURCE">[34]Sheet2!$B$1:$C$59</definedName>
    <definedName name="datatb2">[35]TB!$C$9:$U$388</definedName>
    <definedName name="DATATRCRRP" localSheetId="25">#REF!</definedName>
    <definedName name="DATATRCRRP">#REF!</definedName>
    <definedName name="DATATRCRUS" localSheetId="25">#REF!</definedName>
    <definedName name="DATATRCRUS">#REF!</definedName>
    <definedName name="DATATRDBRP" localSheetId="25">#REF!</definedName>
    <definedName name="DATATRDBRP">#REF!</definedName>
    <definedName name="DATATRDBUS" localSheetId="25">#REF!</definedName>
    <definedName name="DATATRDBUS">#REF!</definedName>
    <definedName name="DAWAL">'[30]TB 2009'!$D$9:$D$344</definedName>
    <definedName name="dd">#REF!,#REF!,#REF!,#REF!,#REF!,#REF!,#REF!,#REF!,#REF!,#REF!,#REF!,#REF!,#REF!,#REF!,#REF!,#REF!,#REF!,#REF!,#REF!,#REF!</definedName>
    <definedName name="dddd" localSheetId="10">Srv</definedName>
    <definedName name="dddd" localSheetId="4">Srv</definedName>
    <definedName name="dddd" localSheetId="23">Srv</definedName>
    <definedName name="dddd" localSheetId="35">Srv</definedName>
    <definedName name="dddd" localSheetId="40">Srv</definedName>
    <definedName name="dddd" localSheetId="41">Srv</definedName>
    <definedName name="dddd" localSheetId="95">Srv</definedName>
    <definedName name="dddd" localSheetId="6">Srv</definedName>
    <definedName name="dddd">Srv</definedName>
    <definedName name="DEBET">[36]Mutasi!$H$15:$H$30</definedName>
    <definedName name="DebetGL">'[26]GL 2010'!$O$4:$O$36149</definedName>
    <definedName name="dem">#REF!</definedName>
    <definedName name="DeptDName">'[20]Income Statement'!#REF!</definedName>
    <definedName name="dfw" localSheetId="25">#REF!</definedName>
    <definedName name="dfw">#REF!</definedName>
    <definedName name="DMUTASI">'[30]TB 2009'!$G$9:$G$344</definedName>
    <definedName name="e">'[12]non farmasi'!$K$7,'[12]non farmasi'!$M$7,'[12]non farmasi'!$K$8,'[12]non farmasi'!$M$8,'[12]non farmasi'!$K$10,'[12]non farmasi'!$N$7,'[12]non farmasi'!$P$7,'[12]non farmasi'!$N$8,'[12]non farmasi'!$P$8,'[12]non farmasi'!$N$10,'[12]non farmasi'!$Q$7,'[12]non farmasi'!$S$7,'[12]non farmasi'!$Q$8,'[12]non farmasi'!$S$8,'[12]non farmasi'!$Q$10,'[12]non farmasi'!$T$7,'[12]non farmasi'!$V$7,'[12]non farmasi'!$T$8,'[12]non farmasi'!$V$8,'[12]non farmasi'!$T$10</definedName>
    <definedName name="eeee" localSheetId="10">Ongoing</definedName>
    <definedName name="eeee" localSheetId="4">Ongoing</definedName>
    <definedName name="eeee" localSheetId="23">Ongoing</definedName>
    <definedName name="eeee" localSheetId="35">Ongoing</definedName>
    <definedName name="eeee" localSheetId="40">Ongoing</definedName>
    <definedName name="eeee" localSheetId="41">Ongoing</definedName>
    <definedName name="eeee" localSheetId="95">Ongoing</definedName>
    <definedName name="eeee" localSheetId="6">Ongoing</definedName>
    <definedName name="eeee">Ongoing</definedName>
    <definedName name="eligible">'[23]Eligible-Data'!$A$130:$C$161</definedName>
    <definedName name="empl05">'[23]Eligible-Data'!$A$201:$D$232</definedName>
    <definedName name="End_Bal">'[37]Amortization Table'!$L$18:$L$378</definedName>
    <definedName name="er" localSheetId="25" hidden="1">'[38]1105-B&amp;I-OK'!#REF!</definedName>
    <definedName name="er">#REF!</definedName>
    <definedName name="Excel_BuiltIn__FilterDatabase_1" localSheetId="25">[39]CoA!#REF!</definedName>
    <definedName name="Excel_BuiltIn__FilterDatabase_1">#REF!</definedName>
    <definedName name="Excel_BuiltIn_Print_Area">#REF!</definedName>
    <definedName name="Excel_BuiltIn_Print_Area_0">"$#REF!.$A$1:$H$53"</definedName>
    <definedName name="Excel_BuiltIn_Print_Area_1">#REF!</definedName>
    <definedName name="Excel_BuiltIn_Print_Area_1_1" localSheetId="25">#REF!</definedName>
    <definedName name="Excel_BuiltIn_Print_Area_1_1">#REF!</definedName>
    <definedName name="Excel_BuiltIn_Print_Area_1_1_1">#REF!</definedName>
    <definedName name="Excel_BuiltIn_Print_Area_1_1_1_1">#REF!</definedName>
    <definedName name="Excel_BuiltIn_Print_Area_1_1_1_1_1">#REF!</definedName>
    <definedName name="Excel_BuiltIn_Print_Area_1_1_1_1_1_1">#REF!</definedName>
    <definedName name="Excel_BuiltIn_Print_Area_1_1_1_1_1_1_1">#REF!</definedName>
    <definedName name="Excel_BuiltIn_Print_Area_1_1_1_1_1_1_1_1_1" localSheetId="25">'[4]rinciaan AR 2009'!#REF!</definedName>
    <definedName name="Excel_BuiltIn_Print_Area_1_1_1_1_1_1_1_1_1">'[4]rinciaan AR 2009'!#REF!</definedName>
    <definedName name="Excel_BuiltIn_Print_Area_1_1_1_1_1_1_1_1_1_1" localSheetId="25">'[4]rinciaan AR 2009'!#REF!</definedName>
    <definedName name="Excel_BuiltIn_Print_Area_1_1_1_1_1_1_1_1_1_1">'[4]rinciaan AR 2009'!#REF!</definedName>
    <definedName name="Excel_BuiltIn_Print_Area_1_1_1_1_1_1_1_1_1_1_1_1" localSheetId="25">'[4]rinciaan AR 2009'!#REF!</definedName>
    <definedName name="Excel_BuiltIn_Print_Area_1_1_1_1_1_1_1_1_1_1_1_1">'[4]rinciaan AR 2009'!#REF!</definedName>
    <definedName name="Excel_BuiltIn_Print_Area_1_1_1_1_1_1_1_1_1_1_1_1_1" localSheetId="25">'[4]rinciaan AR 2009'!#REF!</definedName>
    <definedName name="Excel_BuiltIn_Print_Area_1_1_1_1_1_1_1_1_1_1_1_1_1">'[4]rinciaan AR 2009'!#REF!</definedName>
    <definedName name="Excel_BuiltIn_Print_Area_1_1_1_1_1_1_1_1_1_1_1_1_1_1" localSheetId="25">'[4]rinciaan AR 2009'!#REF!</definedName>
    <definedName name="Excel_BuiltIn_Print_Area_1_1_1_1_1_1_1_1_1_1_1_1_1_1">'[4]rinciaan AR 2009'!#REF!</definedName>
    <definedName name="Excel_BuiltIn_Print_Area_1_1_1_1_1_1_1_1_1_1_1_1_1_1_1" localSheetId="25">'[4]rinciaan AR 2009'!#REF!</definedName>
    <definedName name="Excel_BuiltIn_Print_Area_1_1_1_1_1_1_1_1_1_1_1_1_1_1_1">'[4]rinciaan AR 2009'!#REF!</definedName>
    <definedName name="Excel_BuiltIn_Print_Area_1_1_1_1_1_1_1_1_1_1_1_1_1_1_1_1" localSheetId="25">'[4]rinciaan AR 2009'!#REF!</definedName>
    <definedName name="Excel_BuiltIn_Print_Area_1_1_1_1_1_1_1_1_1_1_1_1_1_1_1_1">'[4]rinciaan AR 2009'!#REF!</definedName>
    <definedName name="Excel_BuiltIn_Print_Area_1_1_1_1_1_1_1_1_1_1_1_1_1_1_1_1_1" localSheetId="25">'[4]rinciaan AR 2009'!#REF!</definedName>
    <definedName name="Excel_BuiltIn_Print_Area_1_1_1_1_1_1_1_1_1_1_1_1_1_1_1_1_1">'[4]rinciaan AR 2009'!#REF!</definedName>
    <definedName name="Excel_BuiltIn_Print_Area_1_1_1_1_1_1_1_1_1_1_1_1_1_1_1_1_1_1" localSheetId="25">'[4]rinciaan AR 2009'!#REF!</definedName>
    <definedName name="Excel_BuiltIn_Print_Area_1_1_1_1_1_1_1_1_1_1_1_1_1_1_1_1_1_1">'[4]rinciaan AR 2009'!#REF!</definedName>
    <definedName name="Excel_BuiltIn_Print_Area_2_1">#REF!</definedName>
    <definedName name="Excel_BuiltIn_Print_Area_7_1_1">'[40]AT JUAL'!#REF!</definedName>
    <definedName name="Excel_BuiltIn_Print_Titles">#REF!</definedName>
    <definedName name="Excel_BuiltIn_Print_Titles_1">(#REF!,#REF!)</definedName>
    <definedName name="Excel_BuiltIn_Print_Titles_8">'[40]AT JUAL'!$A$1:$C$65463,'[40]AT JUAL'!$1:$7</definedName>
    <definedName name="Excel_BuiltIn_Print_Titles_8_1">'[41]AT JUAL'!$A$1:$C$65463,'[41]AT JUAL'!$1:$7</definedName>
    <definedName name="Extra_Pay">[24]Sheet2!#REF!</definedName>
    <definedName name="F" hidden="1">'[42]Sale-Leaseback (2)'!#REF!</definedName>
    <definedName name="fdaf" localSheetId="10">Ongoing</definedName>
    <definedName name="fdaf" localSheetId="4">Ongoing</definedName>
    <definedName name="fdaf" localSheetId="23">Ongoing</definedName>
    <definedName name="fdaf" localSheetId="35">Ongoing</definedName>
    <definedName name="fdaf" localSheetId="40">Ongoing</definedName>
    <definedName name="fdaf" localSheetId="41">Ongoing</definedName>
    <definedName name="fdaf" localSheetId="95">Ongoing</definedName>
    <definedName name="fdaf" localSheetId="6">Ongoing</definedName>
    <definedName name="fdaf">Ongoing</definedName>
    <definedName name="ff">#REF!,#REF!,#REF!,#REF!,#REF!,#REF!,#REF!,#REF!,#REF!,#REF!,#REF!,#REF!,#REF!,#REF!,#REF!,#REF!,#REF!,#REF!</definedName>
    <definedName name="ffff" localSheetId="10">InputModel</definedName>
    <definedName name="ffff" localSheetId="4">InputModel</definedName>
    <definedName name="ffff" localSheetId="23">InputModel</definedName>
    <definedName name="ffff" localSheetId="35">InputModel</definedName>
    <definedName name="ffff" localSheetId="40">InputModel</definedName>
    <definedName name="ffff" localSheetId="41">InputModel</definedName>
    <definedName name="ffff" localSheetId="95">InputModel</definedName>
    <definedName name="ffff" localSheetId="6">InputModel</definedName>
    <definedName name="ffff">InputModel</definedName>
    <definedName name="FFFF2" localSheetId="10">InputModel</definedName>
    <definedName name="FFFF2" localSheetId="4">InputModel</definedName>
    <definedName name="FFFF2" localSheetId="23">InputModel</definedName>
    <definedName name="FFFF2" localSheetId="35">InputModel</definedName>
    <definedName name="FFFF2" localSheetId="40">InputModel</definedName>
    <definedName name="FFFF2" localSheetId="41">InputModel</definedName>
    <definedName name="FFFF2" localSheetId="95">InputModel</definedName>
    <definedName name="FFFF2" localSheetId="6">InputModel</definedName>
    <definedName name="FFFF2">InputModel</definedName>
    <definedName name="FFFFFF" localSheetId="10">InputModel</definedName>
    <definedName name="FFFFFF" localSheetId="4">InputModel</definedName>
    <definedName name="FFFFFF" localSheetId="23">InputModel</definedName>
    <definedName name="FFFFFF" localSheetId="35">InputModel</definedName>
    <definedName name="FFFFFF" localSheetId="40">InputModel</definedName>
    <definedName name="FFFFFF" localSheetId="41">InputModel</definedName>
    <definedName name="FFFFFF" localSheetId="95">InputModel</definedName>
    <definedName name="FFFFFF" localSheetId="6">InputModel</definedName>
    <definedName name="FFFFFF">InputModel</definedName>
    <definedName name="fhdkjshfd" localSheetId="25">#REF!</definedName>
    <definedName name="fhdkjshfd">#REF!</definedName>
    <definedName name="FirstCols">12</definedName>
    <definedName name="five1">#REF!</definedName>
    <definedName name="five2">#REF!</definedName>
    <definedName name="five3">#REF!</definedName>
    <definedName name="five4">#REF!</definedName>
    <definedName name="five5">#REF!</definedName>
    <definedName name="five6">#REF!</definedName>
    <definedName name="five7">#REF!</definedName>
    <definedName name="FLOW0" localSheetId="25">#REF!</definedName>
    <definedName name="FLOW0">#REF!</definedName>
    <definedName name="Full_Print">'[37]Amortization Table'!$A$1:$L$378</definedName>
    <definedName name="g" localSheetId="25">#REF!</definedName>
    <definedName name="g">'[12]non farmasi'!$K$12,'[12]non farmasi'!$M$12,'[12]non farmasi'!$K$14,'[12]non farmasi'!$N$12,'[12]non farmasi'!$P$12,'[12]non farmasi'!$N$14,'[12]non farmasi'!$Q$12,'[12]non farmasi'!$S$12,'[12]non farmasi'!$Q$14,'[12]non farmasi'!$T$12,'[12]non farmasi'!$V$12,'[12]non farmasi'!$T$14</definedName>
    <definedName name="gb">[43]PHI!$DF$10:$DR$151</definedName>
    <definedName name="gb_cum">[44]PHI!$DF$81:$DR$151</definedName>
    <definedName name="gbcum">[43]PHI!$DF$81:$DR$151</definedName>
    <definedName name="gg">#REF!,#REF!,#REF!,#REF!,#REF!,#REF!,#REF!,#REF!,#REF!,#REF!,#REF!,#REF!,#REF!,#REF!,#REF!,#REF!,#REF!,#REF!,#REF!,#REF!</definedName>
    <definedName name="gp" localSheetId="10">InputModel</definedName>
    <definedName name="gp" localSheetId="4">InputModel</definedName>
    <definedName name="gp" localSheetId="23">InputModel</definedName>
    <definedName name="gp" localSheetId="35">InputModel</definedName>
    <definedName name="gp" localSheetId="40">InputModel</definedName>
    <definedName name="gp" localSheetId="41">InputModel</definedName>
    <definedName name="gp" localSheetId="95">InputModel</definedName>
    <definedName name="gp" localSheetId="6">InputModel</definedName>
    <definedName name="gp">InputModel</definedName>
    <definedName name="GradeSR">#REF!</definedName>
    <definedName name="h" localSheetId="25">DATE(YEAR([11]!Loan_Start),MONTH([11]!Loan_Start)+Payment_Number,DAY([11]!Loan_Start))</definedName>
    <definedName name="h" localSheetId="10">DATE(YEAR([11]!Loan_Start),MONTH([11]!Loan_Start)+Payment_Number,DAY([11]!Loan_Start))</definedName>
    <definedName name="h" localSheetId="4">DATE(YEAR([11]!Loan_Start),MONTH([11]!Loan_Start)+Payment_Number,DAY([11]!Loan_Start))</definedName>
    <definedName name="h" localSheetId="23">DATE(YEAR([11]!Loan_Start),MONTH([11]!Loan_Start)+Payment_Number,DAY([11]!Loan_Start))</definedName>
    <definedName name="h" localSheetId="35">DATE(YEAR([11]!Loan_Start),MONTH([11]!Loan_Start)+Payment_Number,DAY([11]!Loan_Start))</definedName>
    <definedName name="h" localSheetId="40">DATE(YEAR(Loan_Start),MONTH(Loan_Start)+Payment_Number,DAY(Loan_Start))</definedName>
    <definedName name="h" localSheetId="41">DATE(YEAR(Loan_Start),MONTH(Loan_Start)+Payment_Number,DAY(Loan_Start))</definedName>
    <definedName name="h" localSheetId="95">DATE(YEAR(Loan_Start),MONTH(Loan_Start)+Payment_Number,DAY(Loan_Start))</definedName>
    <definedName name="h" localSheetId="6">DATE(YEAR([11]!Loan_Start),MONTH([11]!Loan_Start)+Payment_Number,DAY([11]!Loan_Start))</definedName>
    <definedName name="h">DATE(YEAR([11]!Loan_Start),MONTH([11]!Loan_Start)+Payment_Number,DAY([11]!Loan_Start))</definedName>
    <definedName name="hari">[45]Sheet3!$C$9:$C$343</definedName>
    <definedName name="Header_Row">ROW('[37]Amortization Table'!$A$17:$IV$17)</definedName>
    <definedName name="hh">#REF!,#REF!,#REF!,#REF!,#REF!,#REF!,#REF!,#REF!,#REF!,#REF!,#REF!,#REF!,#REF!,#REF!,#REF!,#REF!,#REF!,#REF!</definedName>
    <definedName name="HPP" localSheetId="25">#REF!</definedName>
    <definedName name="HPP">#REF!</definedName>
    <definedName name="HTML_CodePage" hidden="1">1252</definedName>
    <definedName name="HTML_Control" localSheetId="25" hidden="1">{"'PRODUCTIONCOST SHEET'!$B$3:$G$48"}</definedName>
    <definedName name="HTML_Control" localSheetId="40" hidden="1">{"'PRODUCTIONCOST SHEET'!$B$3:$G$48"}</definedName>
    <definedName name="HTML_Control" localSheetId="41" hidden="1">{"'PRODUCTIONCOST SHEET'!$B$3:$G$48"}</definedName>
    <definedName name="HTML_Control" localSheetId="95" hidden="1">{"'PRODUCTIONCOST SHEET'!$B$3:$G$48"}</definedName>
    <definedName name="HTML_Control" hidden="1">{"'PRODUCTIONCOST SHEET'!$B$3:$G$48"}</definedName>
    <definedName name="HTML_Description" hidden="1">"DRAFT"</definedName>
    <definedName name="HTML_Email" hidden="1">"Patrick_Blattner@Studio.Disney.com"</definedName>
    <definedName name="HTML_Header" hidden="1">"EXISTING &amp; FUTURE PRODUCTS (CONFIDENTIAL)"</definedName>
    <definedName name="HTML_LastUpdate" hidden="1">"2/8/98"</definedName>
    <definedName name="HTML_LineAfter" hidden="1">FALSE</definedName>
    <definedName name="HTML_LineBefore" hidden="1">TRUE</definedName>
    <definedName name="HTML_Name" hidden="1">"Patrick Blattner"</definedName>
    <definedName name="HTML_OBDlg2" hidden="1">TRUE</definedName>
    <definedName name="HTML_OBDlg4" hidden="1">TRUE</definedName>
    <definedName name="HTML_OS" hidden="1">0</definedName>
    <definedName name="HTML_PathFile" hidden="1">"K:\ANIMATE\SECURE\Production\INTRANET\ANI.HTML.htm"</definedName>
    <definedName name="HTML_Title" hidden="1">"2D ANIMATION PRODUCTION TABLE"</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dr">#REF!</definedName>
    <definedName name="IK" hidden="1">'[46]Sale-Leaseback (2)'!#REF!</definedName>
    <definedName name="incDepr">'[20]Income Statement'!#REF!</definedName>
    <definedName name="INCOMESTATEMENT">#REF!</definedName>
    <definedName name="Index" localSheetId="25">[18]INDEX!$B$5:$E$517</definedName>
    <definedName name="Index">[30]INDEX!$B$5:$E$390</definedName>
    <definedName name="Indexkkp" localSheetId="25">[13]Supp.Sch!$B$11:$G$1432</definedName>
    <definedName name="Indexkkp">[14]Supp.Sch!$B$11:$G$3278</definedName>
    <definedName name="Int" localSheetId="25">[24]Sheet2!#REF!</definedName>
    <definedName name="Int">[24]Sheet2!#REF!</definedName>
    <definedName name="Interest_Rate">'[37]Amortization Table'!$G$7</definedName>
    <definedName name="invChange">[20]Profile!#REF!</definedName>
    <definedName name="inventories">'[20]Balance Sheet'!#REF!</definedName>
    <definedName name="Inventory">#REF!</definedName>
    <definedName name="is">#REF!</definedName>
    <definedName name="isusd">#REF!</definedName>
    <definedName name="item">#REF!</definedName>
    <definedName name="JASA2326">[47]KODE!$C:$D</definedName>
    <definedName name="JUL" localSheetId="25">'[48]KAS $'!#REF!</definedName>
    <definedName name="JUL">'[48]KAS $'!#REF!</definedName>
    <definedName name="kas" localSheetId="25">#REF!</definedName>
    <definedName name="kas">#REF!</definedName>
    <definedName name="KAWAL">'[30]TB 2009'!$E$9:$E$344</definedName>
    <definedName name="KetTickMark" localSheetId="25">'[18]T-M'!$D$6:$D$35</definedName>
    <definedName name="KetTickMark">'[14]T-M'!$C$6:$C$30</definedName>
    <definedName name="KMUTASI">'[30]TB 2009'!$H$9:$H$344</definedName>
    <definedName name="kod">'[22]tb-mar'!$A$4:$A$121</definedName>
    <definedName name="KODE" localSheetId="25">'[30]TB 2009'!$B$9:$B$344</definedName>
    <definedName name="kode">#REF!</definedName>
    <definedName name="kode2">#REF!</definedName>
    <definedName name="KOTAWP">'[49]1771'!$J$16</definedName>
    <definedName name="KR" hidden="1">'[38]1106-M&amp;E'!#REF!</definedName>
    <definedName name="KREDIT">[36]Mutasi!$I$15:$I$30</definedName>
    <definedName name="KreditGL">'[26]GL 2010'!$P$4:$P$36149</definedName>
    <definedName name="L_Adjust">[50]Links!$H$1:$H$65536</definedName>
    <definedName name="L_AJE_Tot">[50]Links!$G$1:$G$65536</definedName>
    <definedName name="L_CY_End">[50]Links!$J$1:$J$65536</definedName>
    <definedName name="L_PY_End">[50]Links!$K$1:$K$65536</definedName>
    <definedName name="L_RJE_Tot">[50]Links!$I$1:$I$65536</definedName>
    <definedName name="Last_Row" localSheetId="25">IF('A1 (2)'!Values_Entered,Header_Row+'A1 (2)'!Number_of_Payments,Header_Row)</definedName>
    <definedName name="Last_Row" localSheetId="40">IF(Note21!Values_Entered,Header_Row+Note21!Number_of_Payments,Header_Row)</definedName>
    <definedName name="Last_Row" localSheetId="41">IF(Note22!Values_Entered,Header_Row+Note22!Number_of_Payments,Header_Row)</definedName>
    <definedName name="Last_Row" localSheetId="95">IF('Rekap Sales'!Values_Entered,Header_Row+'Rekap Sales'!Number_of_Payments,Header_Row)</definedName>
    <definedName name="Last_Row">IF(Values_Entered,Header_Row+Number_of_Payments,Header_Row)</definedName>
    <definedName name="lastEmpDeptMark">[20]Employees!#REF!</definedName>
    <definedName name="limcount" hidden="1">3</definedName>
    <definedName name="lkl" localSheetId="25">#REF!</definedName>
    <definedName name="lkl">#REF!</definedName>
    <definedName name="loan">#N/A</definedName>
    <definedName name="Loan_Amount">'[37]Amortization Table'!$G$6</definedName>
    <definedName name="Loan_bag">#N/A</definedName>
    <definedName name="Loan_Start">'[37]Amortization Table'!$G$10</definedName>
    <definedName name="Loan_Years">'[37]Amortization Table'!$G$8</definedName>
    <definedName name="LR" localSheetId="25">#REF!</definedName>
    <definedName name="LR">#REF!</definedName>
    <definedName name="M" localSheetId="10">Ongoing</definedName>
    <definedName name="M" localSheetId="4">Ongoing</definedName>
    <definedName name="M" localSheetId="23">Ongoing</definedName>
    <definedName name="M" localSheetId="35">Ongoing</definedName>
    <definedName name="M" localSheetId="40">Ongoing</definedName>
    <definedName name="M" localSheetId="41">Ongoing</definedName>
    <definedName name="M" localSheetId="95">Ongoing</definedName>
    <definedName name="M" localSheetId="6">Ongoing</definedName>
    <definedName name="M">Ongoing</definedName>
    <definedName name="markYearCreditLine">#REF!</definedName>
    <definedName name="modelType" localSheetId="10">Ongoing</definedName>
    <definedName name="modelType" localSheetId="4">Ongoing</definedName>
    <definedName name="modelType" localSheetId="23">Ongoing</definedName>
    <definedName name="modelType" localSheetId="35">Ongoing</definedName>
    <definedName name="modelType" localSheetId="40">Ongoing</definedName>
    <definedName name="modelType" localSheetId="41">Ongoing</definedName>
    <definedName name="modelType" localSheetId="95">Ongoing</definedName>
    <definedName name="modelType" localSheetId="6">Ongoing</definedName>
    <definedName name="modelType">Ongoing</definedName>
    <definedName name="modelVal">1</definedName>
    <definedName name="NAC" localSheetId="25">[18]TB!$C$9:$D$1238</definedName>
    <definedName name="NAC">[51]TB!$C$9:$D$1238</definedName>
    <definedName name="NACI">'[19]TB09'!$D$9:$E$354</definedName>
    <definedName name="Nama_Perkiraan">[52]BSAA!$C$11:$D$376</definedName>
    <definedName name="NamaIndex" localSheetId="25">[18]INDEX!$F$5:$F$33</definedName>
    <definedName name="NamaIndex">[30]INDEX!$F$5:$F$121</definedName>
    <definedName name="NamaIndexDetail" localSheetId="25">[18]INDEX!$G$5:$G$517</definedName>
    <definedName name="NamaIndexDetail">[30]INDEX!$G$5:$G$390</definedName>
    <definedName name="NAMAWP">'[49]1771'!$J$12</definedName>
    <definedName name="NANA" localSheetId="25">#REF!</definedName>
    <definedName name="NANA">#REF!</definedName>
    <definedName name="NERACA" localSheetId="25">#REF!</definedName>
    <definedName name="NERACA">#REF!</definedName>
    <definedName name="New">'[53]Total Earnings'!$AB$224:$AC$231</definedName>
    <definedName name="NewSR">#REF!</definedName>
    <definedName name="NO._ACC" localSheetId="25">[18]TB!$D$9:$L$742</definedName>
    <definedName name="NO._ACC">[30]TB!$E$9:$M$543</definedName>
    <definedName name="noacc" localSheetId="25">[13]Supp.Sch!$B$11:$B$1433</definedName>
    <definedName name="noacc">[14]Supp.Sch!$B$11:$B$3279</definedName>
    <definedName name="NoAccount" localSheetId="25">[18]TB!$V$9:$V$1238</definedName>
    <definedName name="NoAccount">[54]TB!$Z$10:$Z$929</definedName>
    <definedName name="NoAkunGL">'[26]GL 2010'!$M$4:$M$36149</definedName>
    <definedName name="NOBULAN">[47]LOOKUP!$B$1:$C$12</definedName>
    <definedName name="NS" localSheetId="25">#REF!</definedName>
    <definedName name="NS">#REF!</definedName>
    <definedName name="Num_Pmt_Per_Year" localSheetId="25">[24]Sheet2!#REF!</definedName>
    <definedName name="Num_Pmt_Per_Year">[24]Sheet2!#REF!</definedName>
    <definedName name="Number_of_Payments" localSheetId="25">MATCH(0.01,End_Bal,-1)+1</definedName>
    <definedName name="Number_of_Payments" localSheetId="40">MATCH(0.01,End_Bal,-1)+1</definedName>
    <definedName name="Number_of_Payments" localSheetId="41">MATCH(0.01,End_Bal,-1)+1</definedName>
    <definedName name="Number_of_Payments" localSheetId="95">MATCH(0.01,End_Bal,-1)+1</definedName>
    <definedName name="Number_of_Payments">MATCH(0.01,End_Bal,-1)+1</definedName>
    <definedName name="ok" localSheetId="25">'[18]Bar LEAD'!#REF!</definedName>
    <definedName name="ok">'[30]Bar LEAD'!#REF!</definedName>
    <definedName name="OrgCode">#REF!</definedName>
    <definedName name="Ovo">#REF!</definedName>
    <definedName name="ovo_hk">[55]HKG!$T$10:$AG$151</definedName>
    <definedName name="ovo_hk_cum" localSheetId="71">[56]HKG!#REF!</definedName>
    <definedName name="ovo_hk_cum" localSheetId="47">[56]HKG!#REF!</definedName>
    <definedName name="ovo_hk_cum" localSheetId="51">[56]HKG!#REF!</definedName>
    <definedName name="ovo_hk_cum" localSheetId="52">[56]HKG!#REF!</definedName>
    <definedName name="ovo_hk_cum" localSheetId="54">[56]HKG!#REF!</definedName>
    <definedName name="ovo_hk_cum" localSheetId="69">[56]HKG!#REF!</definedName>
    <definedName name="ovo_hk_cum" localSheetId="60">[56]HKG!#REF!</definedName>
    <definedName name="ovo_hk_cum">[56]HKG!#REF!</definedName>
    <definedName name="ovo_hk1">[43]HKG!$DH$10:$DT$151</definedName>
    <definedName name="ovo_hk1_cum">[43]HKG!$DH$81:$DT$151</definedName>
    <definedName name="ovo_hk2">[43]HKG!$DW$10:$EI$151</definedName>
    <definedName name="ovo_hk2_cum">[43]HKG!$DW$81:$EI$151</definedName>
    <definedName name="ovo_id">[55]IND!$T$10:$AG$151</definedName>
    <definedName name="ovo_id_cum" localSheetId="71">[56]IND!#REF!</definedName>
    <definedName name="ovo_id_cum" localSheetId="47">[56]IND!#REF!</definedName>
    <definedName name="ovo_id_cum" localSheetId="51">[56]IND!#REF!</definedName>
    <definedName name="ovo_id_cum" localSheetId="52">[56]IND!#REF!</definedName>
    <definedName name="ovo_id_cum" localSheetId="54">[56]IND!#REF!</definedName>
    <definedName name="ovo_id_cum" localSheetId="69">[56]IND!#REF!</definedName>
    <definedName name="ovo_id_cum" localSheetId="60">[56]IND!#REF!</definedName>
    <definedName name="ovo_id_cum">[56]IND!#REF!</definedName>
    <definedName name="ovo_ig">[55]THA!$T$10:$AG$151</definedName>
    <definedName name="ovo_ig_cum" localSheetId="71">[56]THA!#REF!</definedName>
    <definedName name="ovo_ig_cum" localSheetId="47">[56]THA!#REF!</definedName>
    <definedName name="ovo_ig_cum" localSheetId="51">[56]THA!#REF!</definedName>
    <definedName name="ovo_ig_cum" localSheetId="52">[56]THA!#REF!</definedName>
    <definedName name="ovo_ig_cum" localSheetId="54">[56]THA!#REF!</definedName>
    <definedName name="ovo_ig_cum" localSheetId="69">[56]THA!#REF!</definedName>
    <definedName name="ovo_ig_cum" localSheetId="60">[56]THA!#REF!</definedName>
    <definedName name="ovo_ig_cum">[56]THA!#REF!</definedName>
    <definedName name="ovo_sl">[55]SRL!$T$10:$AG$151</definedName>
    <definedName name="ovo_sl_cum" localSheetId="71">[56]KRA!#REF!</definedName>
    <definedName name="ovo_sl_cum" localSheetId="47">[56]KRA!#REF!</definedName>
    <definedName name="ovo_sl_cum" localSheetId="51">[56]KRA!#REF!</definedName>
    <definedName name="ovo_sl_cum" localSheetId="52">[56]KRA!#REF!</definedName>
    <definedName name="ovo_sl_cum" localSheetId="54">[56]KRA!#REF!</definedName>
    <definedName name="ovo_sl_cum" localSheetId="69">[56]KRA!#REF!</definedName>
    <definedName name="ovo_sl_cum" localSheetId="60">[56]KRA!#REF!</definedName>
    <definedName name="ovo_sl_cum">[56]KRA!#REF!</definedName>
    <definedName name="ovo_tw">[55]TWN!$T$10:$AG$151</definedName>
    <definedName name="ovo_tw_cum" localSheetId="71">[56]TWN!#REF!</definedName>
    <definedName name="ovo_tw_cum" localSheetId="47">[56]TWN!#REF!</definedName>
    <definedName name="ovo_tw_cum" localSheetId="51">[56]TWN!#REF!</definedName>
    <definedName name="ovo_tw_cum" localSheetId="52">[56]TWN!#REF!</definedName>
    <definedName name="ovo_tw_cum" localSheetId="54">[56]TWN!#REF!</definedName>
    <definedName name="ovo_tw_cum" localSheetId="69">[56]TWN!#REF!</definedName>
    <definedName name="ovo_tw_cum" localSheetId="60">[56]TWN!#REF!</definedName>
    <definedName name="ovo_tw_cum">[56]TWN!#REF!</definedName>
    <definedName name="ovo_tw1">[43]TWN!$DH$10:$DT$151</definedName>
    <definedName name="ovo_tw1_cum">[43]TWN!$DH$81:$DT$151</definedName>
    <definedName name="ovo_tw2">[43]TWN!$DW$10:$EI$151</definedName>
    <definedName name="ovo_tw2_cum">[43]TWN!$DW$81:$EI$151</definedName>
    <definedName name="ovohk">[43]HKG!$T$10:$AG$151</definedName>
    <definedName name="ovohk_ly">[43]HKG!$T$10:$AG$151</definedName>
    <definedName name="ovohkcum">[43]HKG!$T$81:$AG$151</definedName>
    <definedName name="ovohkcum_ly">[43]HKG!$T$81:$AG$151</definedName>
    <definedName name="ovoid">[43]IND!$T$10:$AG$151</definedName>
    <definedName name="ovoid_ly">[43]IND!$T$10:$AG$151</definedName>
    <definedName name="ovoidcum">[43]IND!$T$81:$AG$151</definedName>
    <definedName name="ovoidcum_ly">[43]IND!$T$81:$AG$151</definedName>
    <definedName name="ovoig">[43]THA!$T$10:$AG$151</definedName>
    <definedName name="ovoig_ly">[43]THA!$T$10:$AG$151</definedName>
    <definedName name="ovoigcum">[43]THA!$T$81:$AG$151</definedName>
    <definedName name="ovoigcum_ly">[43]THA!$T$81:$AG$151</definedName>
    <definedName name="ovosl">[43]SRL!$T$10:$AG$151</definedName>
    <definedName name="ovosl_ly">[43]SRL!$T$10:$AG$151</definedName>
    <definedName name="ovoslcum">[43]SRL!$T$81:$AG$151</definedName>
    <definedName name="ovoslcum_ly">[43]SRL!$T$81:$AG$151</definedName>
    <definedName name="ovotw">[43]TWN!$T$10:$AG$151</definedName>
    <definedName name="ovotw_ly">[43]TWN!$T$10:$AG$151</definedName>
    <definedName name="ovotwcum">[43]TWN!$T$81:$AG$151</definedName>
    <definedName name="ovotwcum_ly">[43]TWN!$T$81:$AG$151</definedName>
    <definedName name="p">'[12]non farmasi'!$B$16,'[12]non farmasi'!$D$16,'[12]non farmasi'!$B$18,'[12]non farmasi'!$E$16,'[12]non farmasi'!$G$16,'[12]non farmasi'!$E$18,'[12]non farmasi'!$H$16,'[12]non farmasi'!$J$16,'[12]non farmasi'!$H$18</definedName>
    <definedName name="PASSIVA" localSheetId="25">#REF!</definedName>
    <definedName name="PASSIVA">#REF!</definedName>
    <definedName name="Pay_Date" localSheetId="25">[24]Sheet2!#REF!</definedName>
    <definedName name="Pay_Date">[24]Sheet2!#REF!</definedName>
    <definedName name="Pay_Num" localSheetId="25">[24]Sheet2!#REF!</definedName>
    <definedName name="Pay_Num">[24]Sheet2!#REF!</definedName>
    <definedName name="Payment_Date" localSheetId="25">DATE(YEAR(Loan_Start),MONTH(Loan_Start)+Payment_Number,DAY(Loan_Start))</definedName>
    <definedName name="Payment_Date" localSheetId="10">DATE(YEAR(Loan_Start),MONTH(Loan_Start)+Payment_Number,DAY(Loan_Start))</definedName>
    <definedName name="Payment_Date" localSheetId="4">DATE(YEAR(Loan_Start),MONTH(Loan_Start)+Payment_Number,DAY(Loan_Start))</definedName>
    <definedName name="Payment_Date" localSheetId="23">DATE(YEAR(Loan_Start),MONTH(Loan_Start)+Payment_Number,DAY(Loan_Start))</definedName>
    <definedName name="Payment_Date" localSheetId="35">DATE(YEAR(Loan_Start),MONTH(Loan_Start)+Payment_Number,DAY(Loan_Start))</definedName>
    <definedName name="Payment_Date" localSheetId="40">DATE(YEAR(Loan_Start),MONTH(Loan_Start)+Payment_Number,DAY(Loan_Start))</definedName>
    <definedName name="Payment_Date" localSheetId="41">DATE(YEAR(Loan_Start),MONTH(Loan_Start)+Payment_Number,DAY(Loan_Start))</definedName>
    <definedName name="Payment_Date" localSheetId="95">DATE(YEAR(Loan_Start),MONTH(Loan_Start)+Payment_Number,DAY(Loan_Start))</definedName>
    <definedName name="Payment_Date" localSheetId="6">DATE(YEAR(Loan_Start),MONTH(Loan_Start)+Payment_Number,DAY(Loan_Start))</definedName>
    <definedName name="Payment_Date">DATE(YEAR(Loan_Start),MONTH(Loan_Start)+Payment_Number,DAY(Loan_Start))</definedName>
    <definedName name="PD">#REF!</definedName>
    <definedName name="PeriodsInYear" localSheetId="71">[57]pl!#REF!</definedName>
    <definedName name="PeriodsInYear" localSheetId="47">[57]pl!#REF!</definedName>
    <definedName name="PeriodsInYear" localSheetId="51">[57]pl!#REF!</definedName>
    <definedName name="PeriodsInYear" localSheetId="52">[57]pl!#REF!</definedName>
    <definedName name="PeriodsInYear" localSheetId="54">[57]pl!#REF!</definedName>
    <definedName name="PeriodsInYear" localSheetId="69">[57]pl!#REF!</definedName>
    <definedName name="PeriodsInYear" localSheetId="60">[57]pl!#REF!</definedName>
    <definedName name="PeriodsInYear">[57]pl!#REF!</definedName>
    <definedName name="pfizer">#REF!</definedName>
    <definedName name="pfizeraccounts">#REF!</definedName>
    <definedName name="PIUTANG" localSheetId="25">#REF!</definedName>
    <definedName name="PIUTANG">#REF!</definedName>
    <definedName name="pl" localSheetId="10">Srv</definedName>
    <definedName name="pl" localSheetId="4">Srv</definedName>
    <definedName name="pl" localSheetId="23">Srv</definedName>
    <definedName name="pl" localSheetId="35">Srv</definedName>
    <definedName name="pl" localSheetId="40">Srv</definedName>
    <definedName name="pl" localSheetId="41">Srv</definedName>
    <definedName name="pl" localSheetId="95">Srv</definedName>
    <definedName name="pl" localSheetId="6">Srv</definedName>
    <definedName name="pl">Srv</definedName>
    <definedName name="PLL" localSheetId="25">#REF!</definedName>
    <definedName name="PLL">#REF!</definedName>
    <definedName name="POSITIF_22">'[58]tabel nilai'!$A$2:$B$37</definedName>
    <definedName name="power">[55]PHI!$T$10:$AG$149</definedName>
    <definedName name="power_cum" localSheetId="71">[56]PHI!#REF!</definedName>
    <definedName name="power_cum" localSheetId="47">[56]PHI!#REF!</definedName>
    <definedName name="power_cum" localSheetId="51">[56]PHI!#REF!</definedName>
    <definedName name="power_cum" localSheetId="52">[56]PHI!#REF!</definedName>
    <definedName name="power_cum" localSheetId="54">[56]PHI!#REF!</definedName>
    <definedName name="power_cum" localSheetId="69">[56]PHI!#REF!</definedName>
    <definedName name="power_cum" localSheetId="60">[56]PHI!#REF!</definedName>
    <definedName name="power_cum">[56]PHI!#REF!</definedName>
    <definedName name="power_ly">[43]PHI!$T$10:$AG$149</definedName>
    <definedName name="powercum_ly">[43]PHI!$T$81:$AG$149</definedName>
    <definedName name="powercumly">[43]PHI!$T$81:$AG$149</definedName>
    <definedName name="powerly">[43]PHI!$T$10:$AG$149</definedName>
    <definedName name="PPN" localSheetId="10">Srv</definedName>
    <definedName name="PPN" localSheetId="4">Srv</definedName>
    <definedName name="PPN" localSheetId="23">Srv</definedName>
    <definedName name="PPN" localSheetId="35">Srv</definedName>
    <definedName name="PPN" localSheetId="40">Srv</definedName>
    <definedName name="PPN" localSheetId="41">Srv</definedName>
    <definedName name="PPN" localSheetId="95">Srv</definedName>
    <definedName name="PPN" localSheetId="6">Srv</definedName>
    <definedName name="PPN">Srv</definedName>
    <definedName name="pppp" localSheetId="10">Ongoing</definedName>
    <definedName name="pppp" localSheetId="4">Ongoing</definedName>
    <definedName name="pppp" localSheetId="23">Ongoing</definedName>
    <definedName name="pppp" localSheetId="35">Ongoing</definedName>
    <definedName name="pppp" localSheetId="40">Ongoing</definedName>
    <definedName name="pppp" localSheetId="41">Ongoing</definedName>
    <definedName name="pppp" localSheetId="95">Ongoing</definedName>
    <definedName name="pppp" localSheetId="6">Ongoing</definedName>
    <definedName name="pppp">Ongoing</definedName>
    <definedName name="price">#REF!</definedName>
    <definedName name="Princ" localSheetId="25">[24]Sheet2!#REF!</definedName>
    <definedName name="Princ">[24]Sheet2!#REF!</definedName>
    <definedName name="_xlnm.Print_Area" localSheetId="25">'A1 (2)'!$B$2:$J$55</definedName>
    <definedName name="_xlnm.Print_Area" localSheetId="52">[59]BS!#REF!</definedName>
    <definedName name="_xlnm.Print_Area" localSheetId="19">'F1'!$B$8:$X$49</definedName>
    <definedName name="_xlnm.Print_Area" localSheetId="20">'F2'!$B$9:$Y$51</definedName>
    <definedName name="_xlnm.Print_Area" localSheetId="21">'F3'!$B$5:$Y$54</definedName>
    <definedName name="_xlnm.Print_Area" localSheetId="15">'F30'!$B$5:$Y$50</definedName>
    <definedName name="_xlnm.Print_Area" localSheetId="18">'F4'!$B$5:$M$160</definedName>
    <definedName name="_xlnm.Print_Area" localSheetId="17">'F5'!$B$5:$J$114</definedName>
    <definedName name="_xlnm.Print_Area" localSheetId="16">'F6'!$B$6:$M$31</definedName>
    <definedName name="_xlnm.Print_Area" localSheetId="91">'FF5'!$B$3:$H$20</definedName>
    <definedName name="_xlnm.Print_Area" localSheetId="7">'ToC21'!$A$1:$AR$31</definedName>
    <definedName name="_xlnm.Print_Area" localSheetId="6">'ToC22'!$A$1:$AR$31</definedName>
    <definedName name="_xlnm.Print_Area">[59]BS!#REF!</definedName>
    <definedName name="Print_Area_MI" localSheetId="101">#REF!</definedName>
    <definedName name="PRINT_AREA_MI" localSheetId="25">#REF!</definedName>
    <definedName name="Print_Area_MI" localSheetId="43">#REF!</definedName>
    <definedName name="Print_Area_MI" localSheetId="71">#REF!</definedName>
    <definedName name="Print_Area_MI" localSheetId="47">#REF!</definedName>
    <definedName name="Print_Area_MI" localSheetId="74">#REF!</definedName>
    <definedName name="Print_Area_MI" localSheetId="51">#REF!</definedName>
    <definedName name="Print_Area_MI" localSheetId="73">#REF!</definedName>
    <definedName name="Print_Area_MI" localSheetId="52">#REF!</definedName>
    <definedName name="Print_Area_MI" localSheetId="2">#REF!</definedName>
    <definedName name="Print_Area_MI" localSheetId="91">#REF!</definedName>
    <definedName name="Print_Area_MI" localSheetId="54">#REF!</definedName>
    <definedName name="Print_Area_MI" localSheetId="76">#REF!</definedName>
    <definedName name="Print_Area_MI" localSheetId="56">#REF!</definedName>
    <definedName name="Print_Area_MI" localSheetId="59">#REF!</definedName>
    <definedName name="Print_Area_MI" localSheetId="69">#REF!</definedName>
    <definedName name="Print_Area_MI" localSheetId="60">#REF!</definedName>
    <definedName name="Print_Area_MI">#REF!</definedName>
    <definedName name="PRINT_AREA_MI_39">#REF!</definedName>
    <definedName name="Print_Area_Reset" localSheetId="25">OFFSET(Full_Print,0,0,'A1 (2)'!Last_Row)</definedName>
    <definedName name="Print_Area_Reset" localSheetId="40">OFFSET(Full_Print,0,0,Note21!Last_Row)</definedName>
    <definedName name="Print_Area_Reset" localSheetId="41">OFFSET(Full_Print,0,0,Note22!Last_Row)</definedName>
    <definedName name="Print_Area_Reset" localSheetId="95">OFFSET(Full_Print,0,0,'Rekap Sales'!Last_Row)</definedName>
    <definedName name="Print_Area_Reset">OFFSET(Full_Print,0,0,Last_Row)</definedName>
    <definedName name="_xlnm.Print_Titles" localSheetId="25">#REF!</definedName>
    <definedName name="_xlnm.Print_Titles" localSheetId="19">'F1'!$43:$43</definedName>
    <definedName name="_xlnm.Print_Titles" localSheetId="20">'F2'!$2:$7</definedName>
    <definedName name="_xlnm.Print_Titles" localSheetId="34">Note121!$1:$6</definedName>
    <definedName name="_xlnm.Print_Titles" localSheetId="35">Note122!$1:$6</definedName>
    <definedName name="_xlnm.Print_Titles" localSheetId="40">Note21!$1:$6</definedName>
    <definedName name="_xlnm.Print_Titles" localSheetId="41">Note22!$1:$6</definedName>
    <definedName name="_xlnm.Print_Titles">#N/A</definedName>
    <definedName name="PRINT_TITLES_MI" localSheetId="25">#REF!</definedName>
    <definedName name="PRINT_TITLES_MI">#REF!</definedName>
    <definedName name="Print_tittles">#REF!</definedName>
    <definedName name="Prior">#REF!</definedName>
    <definedName name="PV">#REF!</definedName>
    <definedName name="q">#REF!</definedName>
    <definedName name="qwqewe" localSheetId="25">#REF!</definedName>
    <definedName name="qwqewe">#REF!</definedName>
    <definedName name="receipts">'[60]mar receipts'!$I$1:$K$65536</definedName>
    <definedName name="ref">#REF!</definedName>
    <definedName name="RegularCP">#REF!</definedName>
    <definedName name="rjecr" localSheetId="25">'[13]AJE-RJE'!$K$9:$K$9041</definedName>
    <definedName name="rjecr">[14]AJRE!$J$9:$J$9018</definedName>
    <definedName name="rjedr" localSheetId="25">'[13]AJE-RJE'!$J$9:$J$9041</definedName>
    <definedName name="rjedr">[14]AJRE!$I$9:$I$9018</definedName>
    <definedName name="RKPST" localSheetId="10">Ongoing</definedName>
    <definedName name="RKPST" localSheetId="4">Ongoing</definedName>
    <definedName name="RKPST" localSheetId="23">Ongoing</definedName>
    <definedName name="RKPST" localSheetId="35">Ongoing</definedName>
    <definedName name="RKPST" localSheetId="40">Ongoing</definedName>
    <definedName name="RKPST" localSheetId="41">Ongoing</definedName>
    <definedName name="RKPST" localSheetId="95">Ongoing</definedName>
    <definedName name="RKPST" localSheetId="6">Ongoing</definedName>
    <definedName name="RKPST">Ongoing</definedName>
    <definedName name="rp">#REF!</definedName>
    <definedName name="rr" localSheetId="71">#REF!</definedName>
    <definedName name="rr" localSheetId="47">#REF!</definedName>
    <definedName name="rr" localSheetId="51">#REF!</definedName>
    <definedName name="rr" localSheetId="52">#REF!</definedName>
    <definedName name="rr" localSheetId="54">#REF!</definedName>
    <definedName name="rr" localSheetId="69">#REF!</definedName>
    <definedName name="rr" localSheetId="60">#REF!</definedName>
    <definedName name="rr">#REF!</definedName>
    <definedName name="rt">#REF!</definedName>
    <definedName name="RTD">#REF!</definedName>
    <definedName name="rtd_cum" localSheetId="71">[56]PHI!#REF!</definedName>
    <definedName name="rtd_cum" localSheetId="47">[56]PHI!#REF!</definedName>
    <definedName name="rtd_cum" localSheetId="51">[56]PHI!#REF!</definedName>
    <definedName name="rtd_cum" localSheetId="52">[56]PHI!#REF!</definedName>
    <definedName name="rtd_cum" localSheetId="54">[56]PHI!#REF!</definedName>
    <definedName name="rtd_cum" localSheetId="69">[56]PHI!#REF!</definedName>
    <definedName name="rtd_cum" localSheetId="60">[56]PHI!#REF!</definedName>
    <definedName name="rtd_cum">[56]PHI!#REF!</definedName>
    <definedName name="rtd_id">[55]IND!$AX$10:$BK$151</definedName>
    <definedName name="rtd_id_cum" localSheetId="71">[56]IND!#REF!</definedName>
    <definedName name="rtd_id_cum" localSheetId="47">[56]IND!#REF!</definedName>
    <definedName name="rtd_id_cum" localSheetId="51">[56]IND!#REF!</definedName>
    <definedName name="rtd_id_cum" localSheetId="52">[56]IND!#REF!</definedName>
    <definedName name="rtd_id_cum" localSheetId="54">[56]IND!#REF!</definedName>
    <definedName name="rtd_id_cum" localSheetId="69">[56]IND!#REF!</definedName>
    <definedName name="rtd_id_cum" localSheetId="60">[56]IND!#REF!</definedName>
    <definedName name="rtd_id_cum">[56]IND!#REF!</definedName>
    <definedName name="rtd_ly">[43]PHI!$BM$10:$BZ$149</definedName>
    <definedName name="rtdcum_ly">[43]PHI!$BM$81:$BZ$149</definedName>
    <definedName name="rtdcumly">[43]PHI!$BM$81:$BZ$149</definedName>
    <definedName name="rtdid_ly">[43]IND!$AX$10:$BK$151</definedName>
    <definedName name="rtdidcum_ly">[43]IND!$AX$81:$BK$151</definedName>
    <definedName name="rtdidcumly">[43]IND!$AX$81:$BK$151</definedName>
    <definedName name="rtdidly">[43]IND!$AX$10:$BK$151</definedName>
    <definedName name="rtdly">[43]PHI!$BM$10:$BZ$149</definedName>
    <definedName name="Rwvu.CapersView." localSheetId="25" hidden="1">#REF!</definedName>
    <definedName name="Rwvu.CapersView." hidden="1">#REF!</definedName>
    <definedName name="Rwvu.Japan_Capers_Ed_Pub." localSheetId="25" hidden="1">#REF!</definedName>
    <definedName name="Rwvu.Japan_Capers_Ed_Pub." hidden="1">#REF!</definedName>
    <definedName name="Rwvu.KJP_CC." localSheetId="25" hidden="1">#REF!</definedName>
    <definedName name="Rwvu.KJP_CC." hidden="1">#REF!</definedName>
    <definedName name="S_Adjust_Data">[50]Lead!$I$1:$I$713</definedName>
    <definedName name="S_AJE_Tot_Data">[50]Lead!$H$1:$H$713</definedName>
    <definedName name="S_CY_End_Data">[50]Lead!$K$1:$K$713</definedName>
    <definedName name="S_PY_End_Data">[50]Lead!$M$1:$M$713</definedName>
    <definedName name="S_RJE_Tot_Data">[50]Lead!$J$1:$J$713</definedName>
    <definedName name="SalariesWagesD">[20]Employees!#REF!</definedName>
    <definedName name="SalariesWagesTotalD">[20]Employees!#REF!</definedName>
    <definedName name="SalaryProjD">'[20]Income Statement'!#REF!</definedName>
    <definedName name="Saldo_Akhir" localSheetId="25">#REF!</definedName>
    <definedName name="Saldo_Akhir">#REF!</definedName>
    <definedName name="Saldo_Awal" localSheetId="25">#REF!</definedName>
    <definedName name="Saldo_Awal">#REF!</definedName>
    <definedName name="SalesPlan">#REF!</definedName>
    <definedName name="salOtherInc">'[20]Income Statement'!#REF!</definedName>
    <definedName name="Sched_Pay" localSheetId="25">[24]Sheet2!#REF!</definedName>
    <definedName name="Sched_Pay">[24]Sheet2!#REF!</definedName>
    <definedName name="SCHEDULE_A" localSheetId="25">#REF!</definedName>
    <definedName name="SCHEDULE_A">#REF!</definedName>
    <definedName name="SCHEDULE_B" localSheetId="25">#REF!</definedName>
    <definedName name="SCHEDULE_B">#REF!</definedName>
    <definedName name="SCHEDULE_C" localSheetId="25">#REF!</definedName>
    <definedName name="SCHEDULE_C">#REF!</definedName>
    <definedName name="Scheduled_Extra_Payments" localSheetId="25">[24]Sheet2!#REF!</definedName>
    <definedName name="Scheduled_Extra_Payments">[24]Sheet2!#REF!</definedName>
    <definedName name="Scheduled_Interest_Rate" localSheetId="25">[24]Sheet2!#REF!</definedName>
    <definedName name="Scheduled_Interest_Rate">[24]Sheet2!#REF!</definedName>
    <definedName name="Scheduled_Monthly_Payment" localSheetId="25">[24]Sheet2!#REF!</definedName>
    <definedName name="Scheduled_Monthly_Payment">[24]Sheet2!#REF!</definedName>
    <definedName name="Score">[10]Adjustment!$A$2:$F$9</definedName>
    <definedName name="sdsw" localSheetId="25">DATE(YEAR([11]!Loan_Start),MONTH([11]!Loan_Start)+Payment_Number,DAY([11]!Loan_Start))</definedName>
    <definedName name="sdsw" localSheetId="10">DATE(YEAR([11]!Loan_Start),MONTH([11]!Loan_Start)+Payment_Number,DAY([11]!Loan_Start))</definedName>
    <definedName name="sdsw" localSheetId="4">DATE(YEAR([11]!Loan_Start),MONTH([11]!Loan_Start)+Payment_Number,DAY([11]!Loan_Start))</definedName>
    <definedName name="sdsw" localSheetId="23">DATE(YEAR([11]!Loan_Start),MONTH([11]!Loan_Start)+Payment_Number,DAY([11]!Loan_Start))</definedName>
    <definedName name="sdsw" localSheetId="35">DATE(YEAR([11]!Loan_Start),MONTH([11]!Loan_Start)+Payment_Number,DAY([11]!Loan_Start))</definedName>
    <definedName name="sdsw" localSheetId="40">DATE(YEAR(Loan_Start),MONTH(Loan_Start)+Payment_Number,DAY(Loan_Start))</definedName>
    <definedName name="sdsw" localSheetId="41">DATE(YEAR(Loan_Start),MONTH(Loan_Start)+Payment_Number,DAY(Loan_Start))</definedName>
    <definedName name="sdsw" localSheetId="95">DATE(YEAR(Loan_Start),MONTH(Loan_Start)+Payment_Number,DAY(Loan_Start))</definedName>
    <definedName name="sdsw" localSheetId="6">DATE(YEAR([11]!Loan_Start),MONTH([11]!Loan_Start)+Payment_Number,DAY([11]!Loan_Start))</definedName>
    <definedName name="sdsw">DATE(YEAR([11]!Loan_Start),MONTH([11]!Loan_Start)+Payment_Number,DAY([11]!Loan_Start))</definedName>
    <definedName name="seg" localSheetId="25">#REF!</definedName>
    <definedName name="seg">#REF!</definedName>
    <definedName name="segmen" localSheetId="25">#REF!</definedName>
    <definedName name="segmen">#REF!</definedName>
    <definedName name="select_saldo_awal" localSheetId="25">#REF!</definedName>
    <definedName name="select_saldo_awal">#REF!</definedName>
    <definedName name="select_saldo_perubahan" localSheetId="25">#REF!</definedName>
    <definedName name="select_saldo_perubahan">#REF!</definedName>
    <definedName name="sencount" hidden="1">3</definedName>
    <definedName name="Seq" localSheetId="71">#REF!</definedName>
    <definedName name="Seq" localSheetId="47">#REF!</definedName>
    <definedName name="Seq" localSheetId="51">#REF!</definedName>
    <definedName name="Seq" localSheetId="52">#REF!</definedName>
    <definedName name="Seq" localSheetId="54">#REF!</definedName>
    <definedName name="Seq" localSheetId="69">#REF!</definedName>
    <definedName name="Seq" localSheetId="60">#REF!</definedName>
    <definedName name="Seq">#REF!</definedName>
    <definedName name="sixThruTenYears">0</definedName>
    <definedName name="smart">[55]PHI!$AI$10:$AV$149</definedName>
    <definedName name="smart_cum" localSheetId="71">[56]PHI!#REF!</definedName>
    <definedName name="smart_cum" localSheetId="47">[56]PHI!#REF!</definedName>
    <definedName name="smart_cum" localSheetId="51">[56]PHI!#REF!</definedName>
    <definedName name="smart_cum" localSheetId="52">[56]PHI!#REF!</definedName>
    <definedName name="smart_cum" localSheetId="54">[56]PHI!#REF!</definedName>
    <definedName name="smart_cum" localSheetId="69">[56]PHI!#REF!</definedName>
    <definedName name="smart_cum" localSheetId="60">[56]PHI!#REF!</definedName>
    <definedName name="smart_cum">[56]PHI!#REF!</definedName>
    <definedName name="smart_ly">[43]PHI!$AI$10:$AV$149</definedName>
    <definedName name="smartcum_ly">[43]PHI!$AI$81:$AV$149</definedName>
    <definedName name="smartcumly">[43]PHI!$AI$81:$AV$149</definedName>
    <definedName name="smartly">[43]PHI!$AI$10:$AV$149</definedName>
    <definedName name="smartplus">#REF!</definedName>
    <definedName name="smartplusly">[61]Sheet1!$A$1:$J$50</definedName>
    <definedName name="smartpluss">[61]Sheet1!$A$1:$J$50</definedName>
    <definedName name="SOLVAB" localSheetId="25">#REF!</definedName>
    <definedName name="SOLVAB">#REF!</definedName>
    <definedName name="Spec" localSheetId="71">[57]bs!#REF!</definedName>
    <definedName name="Spec" localSheetId="47">[57]bs!#REF!</definedName>
    <definedName name="Spec" localSheetId="51">[57]bs!#REF!</definedName>
    <definedName name="Spec" localSheetId="52">[57]bs!#REF!</definedName>
    <definedName name="Spec" localSheetId="54">[57]bs!#REF!</definedName>
    <definedName name="Spec" localSheetId="69">[57]bs!#REF!</definedName>
    <definedName name="Spec" localSheetId="60">[57]bs!#REF!</definedName>
    <definedName name="Spec">[57]bs!#REF!</definedName>
    <definedName name="Spf_DocStatus" localSheetId="10">InputModel</definedName>
    <definedName name="Spf_DocStatus" localSheetId="4">InputModel</definedName>
    <definedName name="Spf_DocStatus" localSheetId="23">InputModel</definedName>
    <definedName name="Spf_DocStatus" localSheetId="35">InputModel</definedName>
    <definedName name="Spf_DocStatus" localSheetId="40">InputModel</definedName>
    <definedName name="Spf_DocStatus" localSheetId="41">InputModel</definedName>
    <definedName name="Spf_DocStatus" localSheetId="95">InputModel</definedName>
    <definedName name="Spf_DocStatus" localSheetId="6">InputModel</definedName>
    <definedName name="Spf_DocStatus">InputModel</definedName>
    <definedName name="SR2001R">#REF!</definedName>
    <definedName name="SR2001R_Trans">#REF!</definedName>
    <definedName name="SR2001T">#REF!</definedName>
    <definedName name="SR2002T">'[10]Proposed 2003 Salary Range'!$A$33:$G$36</definedName>
    <definedName name="SR99R" localSheetId="71">#REF!</definedName>
    <definedName name="SR99R" localSheetId="47">#REF!</definedName>
    <definedName name="SR99R" localSheetId="51">#REF!</definedName>
    <definedName name="SR99R" localSheetId="52">#REF!</definedName>
    <definedName name="SR99R" localSheetId="54">#REF!</definedName>
    <definedName name="SR99R" localSheetId="69">#REF!</definedName>
    <definedName name="SR99R" localSheetId="60">#REF!</definedName>
    <definedName name="SR99R">#REF!</definedName>
    <definedName name="SR99RN">#REF!</definedName>
    <definedName name="SR99T">#REF!</definedName>
    <definedName name="SRC12_TB_2006" localSheetId="25">#REF!</definedName>
    <definedName name="SRC12_TB_2006">#REF!</definedName>
    <definedName name="ss">#REF!,#REF!,#REF!,#REF!,#REF!,#REF!,#REF!,#REF!,#REF!,#REF!,#REF!,#REF!,#REF!,#REF!,#REF!,#REF!</definedName>
    <definedName name="sum">[36]Mutasi!$C$15:$C$30</definedName>
    <definedName name="summary_final">#REF!</definedName>
    <definedName name="SupAJECr" localSheetId="25">'[18]Bar SUPP'!$AE$12:$AH$541</definedName>
    <definedName name="SupAJECr">'[30]Bar SUPP'!$AE$12:$AH$504</definedName>
    <definedName name="SupAJEDr" localSheetId="25">'[18]Bar SUPP'!$Y$12:$AB$541</definedName>
    <definedName name="SupAJEDr">'[30]Bar SUPP'!$Y$12:$AB$504</definedName>
    <definedName name="SupBegBal" localSheetId="25">'[18]Bar SUPP'!$Q$12:$S$541</definedName>
    <definedName name="SupBegBal">'[30]Bar SUPP'!$Q$12:$S$505</definedName>
    <definedName name="SupIndex" localSheetId="25">'[18]Bar SUPP'!$D$12:$D$541</definedName>
    <definedName name="SupIndex">'[30]Bar SUPP'!$D$12:$D$505</definedName>
    <definedName name="SUPP">[47]DWP!$1:$1048576</definedName>
    <definedName name="SupPerBok" localSheetId="25">'[18]Bar SUPP'!$U$12:$X$541</definedName>
    <definedName name="SupPerBok">'[30]Bar SUPP'!$U$12:$X$505</definedName>
    <definedName name="Supplier">#REF!</definedName>
    <definedName name="SupRJECr" localSheetId="25">'[18]Bar SUPP'!$AO$12:$AR$541</definedName>
    <definedName name="SupRJECr">'[30]Bar SUPP'!$AO$12:$AR$504</definedName>
    <definedName name="SupRJEDr" localSheetId="25">'[18]Bar SUPP'!$AI$12:$AL$541</definedName>
    <definedName name="SupRJEDr">'[30]Bar SUPP'!$AI$12:$AL$504</definedName>
    <definedName name="Swvu.CapersView." localSheetId="25" hidden="1">[17]MASTER!#REF!</definedName>
    <definedName name="Swvu.CapersView." hidden="1">[17]MASTER!#REF!</definedName>
    <definedName name="Swvu.Japan_Capers_Ed_Pub." localSheetId="25" hidden="1">#REF!</definedName>
    <definedName name="Swvu.Japan_Capers_Ed_Pub." hidden="1">#REF!</definedName>
    <definedName name="Swvu.KJP_CC." localSheetId="25" hidden="1">#REF!</definedName>
    <definedName name="Swvu.KJP_CC." hidden="1">#REF!</definedName>
    <definedName name="szasdf" localSheetId="10">Srv</definedName>
    <definedName name="szasdf" localSheetId="4">Srv</definedName>
    <definedName name="szasdf" localSheetId="23">Srv</definedName>
    <definedName name="szasdf" localSheetId="35">Srv</definedName>
    <definedName name="szasdf" localSheetId="40">Srv</definedName>
    <definedName name="szasdf" localSheetId="41">Srv</definedName>
    <definedName name="szasdf" localSheetId="95">Srv</definedName>
    <definedName name="szasdf" localSheetId="6">Srv</definedName>
    <definedName name="szasdf">Srv</definedName>
    <definedName name="Table">#REF!</definedName>
    <definedName name="targetcogs">#REF!</definedName>
    <definedName name="targetcogsly">[61]Sheet1!$A$1:$AB$66</definedName>
    <definedName name="targetcogss">[61]Sheet1!$A$1:$AB$66</definedName>
    <definedName name="TaxRate">[31]Profile!$I$13</definedName>
    <definedName name="TB" localSheetId="25">#REF!</definedName>
    <definedName name="TB">#REF!</definedName>
    <definedName name="TB_12" localSheetId="25">#REF!</definedName>
    <definedName name="TB_12">#REF!</definedName>
    <definedName name="TB_12_FINAL">'[29]TB (UNAUDITED) 01-12 2006'!$A$2:$Q$1277</definedName>
    <definedName name="TBAJECr" localSheetId="25">[18]TB!$R$9:$R$1238</definedName>
    <definedName name="TBAJECr">[30]TB!$W$9:$W$1039</definedName>
    <definedName name="TBAJEDr" localSheetId="25">[18]TB!$Q$9:$Q$1238</definedName>
    <definedName name="TBAJEDr">[30]TB!$V$9:$V$1039</definedName>
    <definedName name="TBIndex" localSheetId="25">[18]TB!$B$9:$B$1238</definedName>
    <definedName name="TBIndex">[30]TB!$C$9:$C$1039</definedName>
    <definedName name="TBNOACC">[34]TB!$R$6:$R$1655</definedName>
    <definedName name="TBRJECr" localSheetId="25">[18]TB!$T$9:$T$1238</definedName>
    <definedName name="TBRJECr">[30]TB!$Y$9:$Y$1039</definedName>
    <definedName name="TBRJEDr" localSheetId="25">[18]TB!$S$9:$S$1238</definedName>
    <definedName name="TBRJEDr">[30]TB!$X$9:$X$1039</definedName>
    <definedName name="Tbsummary">[30]TB!$D$9:$F$310</definedName>
    <definedName name="tea_hk">[55]HKG!$BM$10:$BZ$151</definedName>
    <definedName name="tea_hk_cum" localSheetId="71">[56]HKG!#REF!</definedName>
    <definedName name="tea_hk_cum" localSheetId="47">[56]HKG!#REF!</definedName>
    <definedName name="tea_hk_cum" localSheetId="51">[56]HKG!#REF!</definedName>
    <definedName name="tea_hk_cum" localSheetId="52">[56]HKG!#REF!</definedName>
    <definedName name="tea_hk_cum" localSheetId="54">[56]HKG!#REF!</definedName>
    <definedName name="tea_hk_cum" localSheetId="69">[56]HKG!#REF!</definedName>
    <definedName name="tea_hk_cum" localSheetId="60">[56]HKG!#REF!</definedName>
    <definedName name="tea_hk_cum">[56]HKG!#REF!</definedName>
    <definedName name="tea_in" localSheetId="71">#REF!</definedName>
    <definedName name="tea_in" localSheetId="47">#REF!</definedName>
    <definedName name="tea_in" localSheetId="51">#REF!</definedName>
    <definedName name="tea_in" localSheetId="52">#REF!</definedName>
    <definedName name="tea_in" localSheetId="54">#REF!</definedName>
    <definedName name="tea_in" localSheetId="69">#REF!</definedName>
    <definedName name="tea_in" localSheetId="60">#REF!</definedName>
    <definedName name="tea_in">#REF!</definedName>
    <definedName name="tea_in_cum" localSheetId="71">#REF!</definedName>
    <definedName name="tea_in_cum" localSheetId="47">#REF!</definedName>
    <definedName name="tea_in_cum" localSheetId="51">#REF!</definedName>
    <definedName name="tea_in_cum" localSheetId="52">#REF!</definedName>
    <definedName name="tea_in_cum" localSheetId="54">#REF!</definedName>
    <definedName name="tea_in_cum" localSheetId="69">#REF!</definedName>
    <definedName name="tea_in_cum" localSheetId="60">#REF!</definedName>
    <definedName name="tea_in_cum">#REF!</definedName>
    <definedName name="tea_ph">[55]PHI!$CQ$10:$DD$149</definedName>
    <definedName name="tea_ph_cum" localSheetId="71">[56]PHI!#REF!</definedName>
    <definedName name="tea_ph_cum" localSheetId="47">[56]PHI!#REF!</definedName>
    <definedName name="tea_ph_cum" localSheetId="51">[56]PHI!#REF!</definedName>
    <definedName name="tea_ph_cum" localSheetId="52">[56]PHI!#REF!</definedName>
    <definedName name="tea_ph_cum" localSheetId="54">[56]PHI!#REF!</definedName>
    <definedName name="tea_ph_cum" localSheetId="69">[56]PHI!#REF!</definedName>
    <definedName name="tea_ph_cum" localSheetId="60">[56]PHI!#REF!</definedName>
    <definedName name="tea_ph_cum">[56]PHI!#REF!</definedName>
    <definedName name="tea_sl">[55]SRL!$BM$10:$BZ$151</definedName>
    <definedName name="tea_sl_cum" localSheetId="71">[56]KRA!#REF!</definedName>
    <definedName name="tea_sl_cum" localSheetId="47">[56]KRA!#REF!</definedName>
    <definedName name="tea_sl_cum" localSheetId="51">[56]KRA!#REF!</definedName>
    <definedName name="tea_sl_cum" localSheetId="52">[56]KRA!#REF!</definedName>
    <definedName name="tea_sl_cum" localSheetId="54">[56]KRA!#REF!</definedName>
    <definedName name="tea_sl_cum" localSheetId="69">[56]KRA!#REF!</definedName>
    <definedName name="tea_sl_cum" localSheetId="60">[56]KRA!#REF!</definedName>
    <definedName name="tea_sl_cum">[56]KRA!#REF!</definedName>
    <definedName name="tea_tw">[55]TWN!$BM$10:$BZ$151</definedName>
    <definedName name="tea_tw_cum" localSheetId="71">[56]TWN!#REF!</definedName>
    <definedName name="tea_tw_cum" localSheetId="47">[56]TWN!#REF!</definedName>
    <definedName name="tea_tw_cum" localSheetId="51">[56]TWN!#REF!</definedName>
    <definedName name="tea_tw_cum" localSheetId="52">[56]TWN!#REF!</definedName>
    <definedName name="tea_tw_cum" localSheetId="54">[56]TWN!#REF!</definedName>
    <definedName name="tea_tw_cum" localSheetId="69">[56]TWN!#REF!</definedName>
    <definedName name="tea_tw_cum" localSheetId="60">[56]TWN!#REF!</definedName>
    <definedName name="tea_tw_cum">[56]TWN!#REF!</definedName>
    <definedName name="TeacherCP">#REF!</definedName>
    <definedName name="TeacherSR">#REF!</definedName>
    <definedName name="teahk_ly">[43]HKG!$BM$10:$BZ$151</definedName>
    <definedName name="teahkcum_ly">[43]HKG!$BM$81:$BZ$151</definedName>
    <definedName name="teahkcumly">[43]HKG!$BM$81:$BZ$151</definedName>
    <definedName name="teahkly">[43]HKG!$BM$10:$BZ$151</definedName>
    <definedName name="teain_ly">[43]INDIA!$BM$10:$BZ$151</definedName>
    <definedName name="teaincum_ly">[43]INDIA!$BM$81:$BZ$151</definedName>
    <definedName name="teaincumly">[43]INDIA!$BM$81:$BZ$151</definedName>
    <definedName name="teainly">[43]INDIA!$BM$10:$BZ$151</definedName>
    <definedName name="teanieshkly">[43]HKG!$AI$10:$AV$151</definedName>
    <definedName name="teaph_ly">[43]PHI!$CQ$10:$DD$149</definedName>
    <definedName name="teaphcum_ly">[43]PHI!$CQ$81:$DD$149</definedName>
    <definedName name="teaphcumly">[43]PHI!$CQ$81:$DD$149</definedName>
    <definedName name="teaphly">[43]PHI!$CQ$10:$DD$149</definedName>
    <definedName name="teasl_ly">[43]SRL!$BM$10:$BZ$151</definedName>
    <definedName name="teaslcum_ly">[43]SRL!$BM$81:$BZ$151</definedName>
    <definedName name="teaslly">[43]SRL!$BM$10:$BZ$151</definedName>
    <definedName name="teaslycumly">[43]SRL!$BM$81:$BZ$151</definedName>
    <definedName name="teatw_ly">[43]TWN!$BM$10:$BZ$151</definedName>
    <definedName name="teatwcum_ly">[43]TWN!$BM$81:$BZ$151</definedName>
    <definedName name="teatwcumly">[43]TWN!$BM$81:$BZ$151</definedName>
    <definedName name="teatwly">[43]TWN!$BM$10:$BZ$151</definedName>
    <definedName name="teeniedig_ly">[43]THA!$AI$10:$AV$151</definedName>
    <definedName name="teenies">[62]THA!$BJ$81:$CH$150</definedName>
    <definedName name="teenies_hk">[55]HKG!$AI$10:$AV$151</definedName>
    <definedName name="teenies_hk_cum" localSheetId="71">[56]HKG!#REF!</definedName>
    <definedName name="teenies_hk_cum" localSheetId="47">[56]HKG!#REF!</definedName>
    <definedName name="teenies_hk_cum" localSheetId="51">[56]HKG!#REF!</definedName>
    <definedName name="teenies_hk_cum" localSheetId="52">[56]HKG!#REF!</definedName>
    <definedName name="teenies_hk_cum" localSheetId="54">[56]HKG!#REF!</definedName>
    <definedName name="teenies_hk_cum" localSheetId="69">[56]HKG!#REF!</definedName>
    <definedName name="teenies_hk_cum" localSheetId="60">[56]HKG!#REF!</definedName>
    <definedName name="teenies_hk_cum">[56]HKG!#REF!</definedName>
    <definedName name="teenies_ig">[55]THA!$AI$10:$AV$151</definedName>
    <definedName name="teenies_ig_cum" localSheetId="71">[56]THA!#REF!</definedName>
    <definedName name="teenies_ig_cum" localSheetId="47">[56]THA!#REF!</definedName>
    <definedName name="teenies_ig_cum" localSheetId="51">[56]THA!#REF!</definedName>
    <definedName name="teenies_ig_cum" localSheetId="52">[56]THA!#REF!</definedName>
    <definedName name="teenies_ig_cum" localSheetId="54">[56]THA!#REF!</definedName>
    <definedName name="teenies_ig_cum" localSheetId="69">[56]THA!#REF!</definedName>
    <definedName name="teenies_ig_cum" localSheetId="60">[56]THA!#REF!</definedName>
    <definedName name="teenies_ig_cum">[56]THA!#REF!</definedName>
    <definedName name="teenies_ph">[55]PHI!$CB$10:$CO$149</definedName>
    <definedName name="teenies_ph_cum" localSheetId="71">[56]PHI!#REF!</definedName>
    <definedName name="teenies_ph_cum" localSheetId="47">[56]PHI!#REF!</definedName>
    <definedName name="teenies_ph_cum" localSheetId="51">[56]PHI!#REF!</definedName>
    <definedName name="teenies_ph_cum" localSheetId="52">[56]PHI!#REF!</definedName>
    <definedName name="teenies_ph_cum" localSheetId="54">[56]PHI!#REF!</definedName>
    <definedName name="teenies_ph_cum" localSheetId="69">[56]PHI!#REF!</definedName>
    <definedName name="teenies_ph_cum" localSheetId="60">[56]PHI!#REF!</definedName>
    <definedName name="teenies_ph_cum">[56]PHI!#REF!</definedName>
    <definedName name="teenies_sl">[55]SRL!$AI$10:$AV$151</definedName>
    <definedName name="teenies_sl_cum" localSheetId="71">[56]KRA!#REF!</definedName>
    <definedName name="teenies_sl_cum" localSheetId="47">[56]KRA!#REF!</definedName>
    <definedName name="teenies_sl_cum" localSheetId="51">[56]KRA!#REF!</definedName>
    <definedName name="teenies_sl_cum" localSheetId="52">[56]KRA!#REF!</definedName>
    <definedName name="teenies_sl_cum" localSheetId="54">[56]KRA!#REF!</definedName>
    <definedName name="teenies_sl_cum" localSheetId="69">[56]KRA!#REF!</definedName>
    <definedName name="teenies_sl_cum" localSheetId="60">[56]KRA!#REF!</definedName>
    <definedName name="teenies_sl_cum">[56]KRA!#REF!</definedName>
    <definedName name="teenies_tw">[55]TWN!$AI$10:$AV$151</definedName>
    <definedName name="teenies_tw_cum" localSheetId="71">[56]TWN!#REF!</definedName>
    <definedName name="teenies_tw_cum" localSheetId="47">[56]TWN!#REF!</definedName>
    <definedName name="teenies_tw_cum" localSheetId="51">[56]TWN!#REF!</definedName>
    <definedName name="teenies_tw_cum" localSheetId="52">[56]TWN!#REF!</definedName>
    <definedName name="teenies_tw_cum" localSheetId="54">[56]TWN!#REF!</definedName>
    <definedName name="teenies_tw_cum" localSheetId="69">[56]TWN!#REF!</definedName>
    <definedName name="teenies_tw_cum" localSheetId="60">[56]TWN!#REF!</definedName>
    <definedName name="teenies_tw_cum">[56]TWN!#REF!</definedName>
    <definedName name="teenieshk_ly">[43]HKG!$AI$10:$AV$151</definedName>
    <definedName name="teenieshkcum_ly">[43]HKG!$AI$81:$AV$151</definedName>
    <definedName name="teenieshkcumly">[43]HKG!$AI$81:$AV$151</definedName>
    <definedName name="teeniesigcum_ly">[43]THA!$AI$81:$AV$151</definedName>
    <definedName name="teeniesigcumly">[43]THA!$AI$81:$AV$151</definedName>
    <definedName name="teeniesigly">[43]THA!$AI$10:$AV$151</definedName>
    <definedName name="teeniesph_cum">[43]PHI!$CB$81:$CO$149</definedName>
    <definedName name="teeniesph_ly">[43]PHI!$CB$10:$CO$149</definedName>
    <definedName name="teeniesphcumly">[43]PHI!$CB$81:$CO$149</definedName>
    <definedName name="teeniesphly">[43]PHI!$CB$10:$CO$149</definedName>
    <definedName name="teeniessl_ly">[43]SRL!$AI$10:$AV$151</definedName>
    <definedName name="teeniesslcum_ly">[43]SRL!$AI$81:$AV$151</definedName>
    <definedName name="teeniesslcumly">[43]SRL!$AI$81:$AV$151</definedName>
    <definedName name="teeniesslly">[43]SRL!$AI$10:$AV$151</definedName>
    <definedName name="teeniestw_ly">[43]TWN!$AI$10:$AV$151</definedName>
    <definedName name="teeniestwcum_ly">[43]TWN!$AI$81:$AV$151</definedName>
    <definedName name="teeniestwcumly">[43]TWN!$AI$81:$AV$151</definedName>
    <definedName name="teeniestwly">[43]TWN!$AI$10:$AV$151</definedName>
    <definedName name="TEST0" localSheetId="25">#REF!</definedName>
    <definedName name="TEST0">#REF!</definedName>
    <definedName name="TEST1" localSheetId="25">#REF!</definedName>
    <definedName name="TEST1">#REF!</definedName>
    <definedName name="TEST2" localSheetId="25">#REF!</definedName>
    <definedName name="TEST2">#REF!</definedName>
    <definedName name="TEST3" localSheetId="25">#REF!</definedName>
    <definedName name="TEST3">#REF!</definedName>
    <definedName name="TEST4" localSheetId="25">#REF!</definedName>
    <definedName name="TEST4">#REF!</definedName>
    <definedName name="TEST5" localSheetId="25">#REF!</definedName>
    <definedName name="TEST5">#REF!</definedName>
    <definedName name="TEST6">[63]Sheet1!$A$760:$O$2092</definedName>
    <definedName name="TEST7">[63]Sheet1!$A$2093:$O$3425</definedName>
    <definedName name="TEST8">[63]Sheet1!$A$3426:$O$4758</definedName>
    <definedName name="TEST9">[63]Sheet1!$A$4759:$O$5947</definedName>
    <definedName name="TESTHKEY" localSheetId="25">#REF!</definedName>
    <definedName name="TESTHKEY">#REF!</definedName>
    <definedName name="TESTKEYS" localSheetId="25">#REF!</definedName>
    <definedName name="TESTKEYS">#REF!</definedName>
    <definedName name="TESTVKEY" localSheetId="25">#REF!</definedName>
    <definedName name="TESTVKEY">#REF!</definedName>
    <definedName name="TextRefCopyRangeCount" hidden="1">1</definedName>
    <definedName name="TGLP">'[49]1771.2'!$AG$59</definedName>
    <definedName name="TGradeSR">#REF!</definedName>
    <definedName name="This_year" localSheetId="71">DATE(YEAR((DATE(95,1,1))-1900),MONTH('[8]Jobsite Staff'!#REF!),DAY(DATE(95,1,1)))</definedName>
    <definedName name="This_year" localSheetId="47">DATE(YEAR((DATE(95,1,1))-1900),MONTH('[8]Jobsite Staff'!#REF!),DAY(DATE(95,1,1)))</definedName>
    <definedName name="This_year" localSheetId="51">DATE(YEAR((DATE(95,1,1))-1900),MONTH('[8]Jobsite Staff'!#REF!),DAY(DATE(95,1,1)))</definedName>
    <definedName name="This_year" localSheetId="52">DATE(YEAR((DATE(95,1,1))-1900),MONTH('[8]Jobsite Staff'!#REF!),DAY(DATE(95,1,1)))</definedName>
    <definedName name="This_year" localSheetId="54">DATE(YEAR((DATE(95,1,1))-1900),MONTH('[8]Jobsite Staff'!#REF!),DAY(DATE(95,1,1)))</definedName>
    <definedName name="This_year" localSheetId="69">DATE(YEAR((DATE(95,1,1))-1900),MONTH('[8]Jobsite Staff'!#REF!),DAY(DATE(95,1,1)))</definedName>
    <definedName name="This_year" localSheetId="60">DATE(YEAR((DATE(95,1,1))-1900),MONTH('[8]Jobsite Staff'!#REF!),DAY(DATE(95,1,1)))</definedName>
    <definedName name="This_year">DATE(YEAR((DATE(95,1,1))-1900),MONTH('[8]Jobsite Staff'!#REF!),DAY(DATE(95,1,1)))</definedName>
    <definedName name="THL">#REF!</definedName>
    <definedName name="three">[55]PHI!$AX$10:$BK$149</definedName>
    <definedName name="three_cum" localSheetId="71">[56]PHI!#REF!</definedName>
    <definedName name="three_cum" localSheetId="47">[56]PHI!#REF!</definedName>
    <definedName name="three_cum" localSheetId="51">[56]PHI!#REF!</definedName>
    <definedName name="three_cum" localSheetId="52">[56]PHI!#REF!</definedName>
    <definedName name="three_cum" localSheetId="54">[56]PHI!#REF!</definedName>
    <definedName name="three_cum" localSheetId="69">[56]PHI!#REF!</definedName>
    <definedName name="three_cum" localSheetId="60">[56]PHI!#REF!</definedName>
    <definedName name="three_cum">[56]PHI!#REF!</definedName>
    <definedName name="three_ly">[43]PHI!$AX$10:$BK$149</definedName>
    <definedName name="threecum_ly">[43]PHI!$AX$81:$BK$149</definedName>
    <definedName name="threecumly">[43]PHI!$AX$81:$BK$149</definedName>
    <definedName name="threely">[43]PHI!$AX$10:$BK$149</definedName>
    <definedName name="tic" localSheetId="25">'[30]Bar LEAD'!#REF!</definedName>
    <definedName name="tic">'[30]Bar LEAD'!#REF!</definedName>
    <definedName name="TickMark" localSheetId="25">'[18]T-M'!$B$6:$B$52</definedName>
    <definedName name="TickMark">'[64]T-M'!$B$6:$B$52</definedName>
    <definedName name="TODAY">TODAY()</definedName>
    <definedName name="Total" localSheetId="25">Scheduled_Payment+Extra_Payment</definedName>
    <definedName name="Total">#REF!</definedName>
    <definedName name="Total_Interest" localSheetId="25">[24]Sheet2!#REF!</definedName>
    <definedName name="Total_Interest">[24]Sheet2!#REF!</definedName>
    <definedName name="Total_Pay" localSheetId="25">[24]Sheet2!#REF!</definedName>
    <definedName name="Total_Pay">[24]Sheet2!#REF!</definedName>
    <definedName name="Total_Payment" localSheetId="25">Scheduled_Payment+Extra_Payment</definedName>
    <definedName name="Total_Payment" localSheetId="10">Scheduled_Payment+Extra_Payment</definedName>
    <definedName name="Total_Payment" localSheetId="4">Scheduled_Payment+Extra_Payment</definedName>
    <definedName name="Total_Payment" localSheetId="23">Scheduled_Payment+Extra_Payment</definedName>
    <definedName name="Total_Payment" localSheetId="35">Scheduled_Payment+Extra_Payment</definedName>
    <definedName name="Total_Payment" localSheetId="40">Scheduled_Payment+Extra_Payment</definedName>
    <definedName name="Total_Payment" localSheetId="41">Scheduled_Payment+Extra_Payment</definedName>
    <definedName name="Total_Payment" localSheetId="95">Scheduled_Payment+Extra_Payment</definedName>
    <definedName name="Total_Payment" localSheetId="6">Scheduled_Payment+Extra_Payment</definedName>
    <definedName name="Total_Payment">Scheduled_Payment+Extra_Payment</definedName>
    <definedName name="trte" localSheetId="25" hidden="1">{#N/A,#N/A,FALSE,"PRJCTED QTRLY $'s"}</definedName>
    <definedName name="trte" localSheetId="40" hidden="1">{#N/A,#N/A,FALSE,"PRJCTED QTRLY $'s"}</definedName>
    <definedName name="trte" localSheetId="41" hidden="1">{#N/A,#N/A,FALSE,"PRJCTED QTRLY $'s"}</definedName>
    <definedName name="trte" localSheetId="95" hidden="1">{#N/A,#N/A,FALSE,"PRJCTED QTRLY $'s"}</definedName>
    <definedName name="trte" hidden="1">{#N/A,#N/A,FALSE,"PRJCTED QTRLY $'s"}</definedName>
    <definedName name="TS" hidden="1">'[38]1105-B&amp;I-OK'!#REF!</definedName>
    <definedName name="TST" localSheetId="10">Ongoing</definedName>
    <definedName name="TST" localSheetId="4">Ongoing</definedName>
    <definedName name="TST" localSheetId="23">Ongoing</definedName>
    <definedName name="TST" localSheetId="35">Ongoing</definedName>
    <definedName name="TST" localSheetId="40">Ongoing</definedName>
    <definedName name="TST" localSheetId="41">Ongoing</definedName>
    <definedName name="TST" localSheetId="95">Ongoing</definedName>
    <definedName name="TST" localSheetId="6">Ongoing</definedName>
    <definedName name="TST">Ongoing</definedName>
    <definedName name="TTD">'[49]1771.2'!$AG$63</definedName>
    <definedName name="TwoThruFiveCols">48</definedName>
    <definedName name="twoThruFiveMethod">12</definedName>
    <definedName name="typeacct" localSheetId="25">[13]TypeAcct!$G$5:$G$4967</definedName>
    <definedName name="typeacct">[14]TypeAcct!$G$5:$G$4965</definedName>
    <definedName name="Unfit">#REF!</definedName>
    <definedName name="UPS">#REF!</definedName>
    <definedName name="usd">#REF!</definedName>
    <definedName name="Values_Entered" localSheetId="25">IF(Loan_Amount*Interest_Rate*Loan_Years*Loan_Start&gt;0,1,0)</definedName>
    <definedName name="Values_Entered" localSheetId="40">IF(Loan_Amount*Interest_Rate*Loan_Years*Loan_Start&gt;0,1,0)</definedName>
    <definedName name="Values_Entered" localSheetId="41">IF(Loan_Amount*Interest_Rate*Loan_Years*Loan_Start&gt;0,1,0)</definedName>
    <definedName name="Values_Entered" localSheetId="95">IF(Loan_Amount*Interest_Rate*Loan_Years*Loan_Start&gt;0,1,0)</definedName>
    <definedName name="Values_Entered">IF(Loan_Amount*Interest_Rate*Loan_Years*Loan_Start&gt;0,1,0)</definedName>
    <definedName name="vvv" localSheetId="25" hidden="1">{"Japan_Capers_Ed_Pub",#N/A,FALSE,"DI 2 YEAR MASTER SCHEDULE"}</definedName>
    <definedName name="vvv" localSheetId="40" hidden="1">{"Japan_Capers_Ed_Pub",#N/A,FALSE,"DI 2 YEAR MASTER SCHEDULE"}</definedName>
    <definedName name="vvv" localSheetId="41" hidden="1">{"Japan_Capers_Ed_Pub",#N/A,FALSE,"DI 2 YEAR MASTER SCHEDULE"}</definedName>
    <definedName name="vvv" localSheetId="95" hidden="1">{"Japan_Capers_Ed_Pub",#N/A,FALSE,"DI 2 YEAR MASTER SCHEDULE"}</definedName>
    <definedName name="vvv" hidden="1">{"Japan_Capers_Ed_Pub",#N/A,FALSE,"DI 2 YEAR MASTER SCHEDULE"}</definedName>
    <definedName name="vvvv" localSheetId="25" hidden="1">{#N/A,#N/A,FALSE,"PRJCTED MNTHLY QTY's"}</definedName>
    <definedName name="vvvv" localSheetId="40" hidden="1">{#N/A,#N/A,FALSE,"PRJCTED MNTHLY QTY's"}</definedName>
    <definedName name="vvvv" localSheetId="41" hidden="1">{#N/A,#N/A,FALSE,"PRJCTED MNTHLY QTY's"}</definedName>
    <definedName name="vvvv" localSheetId="95" hidden="1">{#N/A,#N/A,FALSE,"PRJCTED MNTHLY QTY's"}</definedName>
    <definedName name="vvvv" hidden="1">{#N/A,#N/A,FALSE,"PRJCTED MNTHLY QTY's"}</definedName>
    <definedName name="w">'[12]non farmasi'!$K$16,'[12]non farmasi'!$M$16,'[12]non farmasi'!$K$18,'[12]non farmasi'!$N$16,'[12]non farmasi'!$P$16,'[12]non farmasi'!$N$18,'[12]non farmasi'!$Q$16,'[12]non farmasi'!$S$16,'[12]non farmasi'!$Q$18,'[12]non farmasi'!$T$16,'[12]non farmasi'!$V$16,'[12]non farmasi'!$T$18</definedName>
    <definedName name="weqwe">'[65]Bar LEAD'!#REF!</definedName>
    <definedName name="wrn.Aging._.and._.Trend._.Analysis." localSheetId="25" hidden="1">{#N/A,#N/A,FALSE,"Aging Summary";#N/A,#N/A,FALSE,"Ratio Analysis";#N/A,#N/A,FALSE,"Test 120 Day Accts";#N/A,#N/A,FALSE,"Tickmarks"}</definedName>
    <definedName name="wrn.Aging._.and._.Trend._.Analysis." localSheetId="40" hidden="1">{#N/A,#N/A,FALSE,"Aging Summary";#N/A,#N/A,FALSE,"Ratio Analysis";#N/A,#N/A,FALSE,"Test 120 Day Accts";#N/A,#N/A,FALSE,"Tickmarks"}</definedName>
    <definedName name="wrn.Aging._.and._.Trend._.Analysis." localSheetId="41" hidden="1">{#N/A,#N/A,FALSE,"Aging Summary";#N/A,#N/A,FALSE,"Ratio Analysis";#N/A,#N/A,FALSE,"Test 120 Day Accts";#N/A,#N/A,FALSE,"Tickmarks"}</definedName>
    <definedName name="wrn.Aging._.and._.Trend._.Analysis." localSheetId="9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CapersPlotter." localSheetId="25" hidden="1">{#N/A,#N/A,FALSE,"DI 2 YEAR MASTER SCHEDULE"}</definedName>
    <definedName name="wrn.CapersPlotter." localSheetId="40" hidden="1">{#N/A,#N/A,FALSE,"DI 2 YEAR MASTER SCHEDULE"}</definedName>
    <definedName name="wrn.CapersPlotter." localSheetId="41" hidden="1">{#N/A,#N/A,FALSE,"DI 2 YEAR MASTER SCHEDULE"}</definedName>
    <definedName name="wrn.CapersPlotter." localSheetId="95" hidden="1">{#N/A,#N/A,FALSE,"DI 2 YEAR MASTER SCHEDULE"}</definedName>
    <definedName name="wrn.CapersPlotter." hidden="1">{#N/A,#N/A,FALSE,"DI 2 YEAR MASTER SCHEDULE"}</definedName>
    <definedName name="wrn.Edutainment._.Priority._.List." localSheetId="25" hidden="1">{#N/A,#N/A,FALSE,"DI 2 YEAR MASTER SCHEDULE"}</definedName>
    <definedName name="wrn.Edutainment._.Priority._.List." localSheetId="40" hidden="1">{#N/A,#N/A,FALSE,"DI 2 YEAR MASTER SCHEDULE"}</definedName>
    <definedName name="wrn.Edutainment._.Priority._.List." localSheetId="41" hidden="1">{#N/A,#N/A,FALSE,"DI 2 YEAR MASTER SCHEDULE"}</definedName>
    <definedName name="wrn.Edutainment._.Priority._.List." localSheetId="95" hidden="1">{#N/A,#N/A,FALSE,"DI 2 YEAR MASTER SCHEDULE"}</definedName>
    <definedName name="wrn.Edutainment._.Priority._.List." hidden="1">{#N/A,#N/A,FALSE,"DI 2 YEAR MASTER SCHEDULE"}</definedName>
    <definedName name="wrn.Japan_Capers_Ed._.Pub." localSheetId="25" hidden="1">{"Japan_Capers_Ed_Pub",#N/A,FALSE,"DI 2 YEAR MASTER SCHEDULE"}</definedName>
    <definedName name="wrn.Japan_Capers_Ed._.Pub." localSheetId="40" hidden="1">{"Japan_Capers_Ed_Pub",#N/A,FALSE,"DI 2 YEAR MASTER SCHEDULE"}</definedName>
    <definedName name="wrn.Japan_Capers_Ed._.Pub." localSheetId="41" hidden="1">{"Japan_Capers_Ed_Pub",#N/A,FALSE,"DI 2 YEAR MASTER SCHEDULE"}</definedName>
    <definedName name="wrn.Japan_Capers_Ed._.Pub." localSheetId="95" hidden="1">{"Japan_Capers_Ed_Pub",#N/A,FALSE,"DI 2 YEAR MASTER SCHEDULE"}</definedName>
    <definedName name="wrn.Japan_Capers_Ed._.Pub." hidden="1">{"Japan_Capers_Ed_Pub",#N/A,FALSE,"DI 2 YEAR MASTER SCHEDULE"}</definedName>
    <definedName name="wrn.Priority._.list." localSheetId="25" hidden="1">{#N/A,#N/A,FALSE,"DI 2 YEAR MASTER SCHEDULE"}</definedName>
    <definedName name="wrn.Priority._.list." localSheetId="40" hidden="1">{#N/A,#N/A,FALSE,"DI 2 YEAR MASTER SCHEDULE"}</definedName>
    <definedName name="wrn.Priority._.list." localSheetId="41" hidden="1">{#N/A,#N/A,FALSE,"DI 2 YEAR MASTER SCHEDULE"}</definedName>
    <definedName name="wrn.Priority._.list." localSheetId="95" hidden="1">{#N/A,#N/A,FALSE,"DI 2 YEAR MASTER SCHEDULE"}</definedName>
    <definedName name="wrn.Priority._.list." hidden="1">{#N/A,#N/A,FALSE,"DI 2 YEAR MASTER SCHEDULE"}</definedName>
    <definedName name="wrn.Prjcted._.Mnthly._.Qtys." localSheetId="25" hidden="1">{#N/A,#N/A,FALSE,"PRJCTED MNTHLY QTY's"}</definedName>
    <definedName name="wrn.Prjcted._.Mnthly._.Qtys." localSheetId="40" hidden="1">{#N/A,#N/A,FALSE,"PRJCTED MNTHLY QTY's"}</definedName>
    <definedName name="wrn.Prjcted._.Mnthly._.Qtys." localSheetId="41" hidden="1">{#N/A,#N/A,FALSE,"PRJCTED MNTHLY QTY's"}</definedName>
    <definedName name="wrn.Prjcted._.Mnthly._.Qtys." localSheetId="95" hidden="1">{#N/A,#N/A,FALSE,"PRJCTED MNTHLY QTY's"}</definedName>
    <definedName name="wrn.Prjcted._.Mnthly._.Qtys." hidden="1">{#N/A,#N/A,FALSE,"PRJCTED MNTHLY QTY's"}</definedName>
    <definedName name="wrn.Prjcted._.Qtrly._.Dollars." localSheetId="25" hidden="1">{#N/A,#N/A,FALSE,"PRJCTED QTRLY $'s"}</definedName>
    <definedName name="wrn.Prjcted._.Qtrly._.Dollars." localSheetId="40" hidden="1">{#N/A,#N/A,FALSE,"PRJCTED QTRLY $'s"}</definedName>
    <definedName name="wrn.Prjcted._.Qtrly._.Dollars." localSheetId="41" hidden="1">{#N/A,#N/A,FALSE,"PRJCTED QTRLY $'s"}</definedName>
    <definedName name="wrn.Prjcted._.Qtrly._.Dollars." localSheetId="95" hidden="1">{#N/A,#N/A,FALSE,"PRJCTED QTRLY $'s"}</definedName>
    <definedName name="wrn.Prjcted._.Qtrly._.Dollars." hidden="1">{#N/A,#N/A,FALSE,"PRJCTED QTRLY $'s"}</definedName>
    <definedName name="wrn.Prjcted._.Qtrly._.Qtys." localSheetId="25" hidden="1">{#N/A,#N/A,FALSE,"PRJCTED QTRLY QTY's"}</definedName>
    <definedName name="wrn.Prjcted._.Qtrly._.Qtys." localSheetId="40" hidden="1">{#N/A,#N/A,FALSE,"PRJCTED QTRLY QTY's"}</definedName>
    <definedName name="wrn.Prjcted._.Qtrly._.Qtys." localSheetId="41" hidden="1">{#N/A,#N/A,FALSE,"PRJCTED QTRLY QTY's"}</definedName>
    <definedName name="wrn.Prjcted._.Qtrly._.Qtys." localSheetId="95" hidden="1">{#N/A,#N/A,FALSE,"PRJCTED QTRLY QTY's"}</definedName>
    <definedName name="wrn.Prjcted._.Qtrly._.Qtys." hidden="1">{#N/A,#N/A,FALSE,"PRJCTED QTRLY QTY's"}</definedName>
    <definedName name="wvu.CapersView." localSheetId="25"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40"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41"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localSheetId="95"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CapersView." hidden="1">{TRUE,TRUE,-2.75,-17,772.5,449.25,FALSE,TRUE,TRUE,TRUE,0,19,#N/A,30,#N/A,7.04065040650407,10.9795918367347,1,FALSE,FALSE,3,FALSE,1,FALSE,100,"Swvu.CapersView.","ACwvu.CapersView.",#N/A,FALSE,FALSE,0,0,0,0,2,"","&amp;R&amp;""Arial,Bold Italic""&amp;8&amp;F&amp;A&amp;D",TRUE,TRUE,FALSE,FALSE,1,#N/A,1,1,"=R1C1:R123C107",FALSE,"Rwvu.CapersView.","Cwvu.CapersView.",FALSE,FALSE,FALSE,262,600,600,FALSE,FALSE,TRUE,TRUE,TRUE}</definedName>
    <definedName name="wvu.Japan_Capers_Ed_Pub." localSheetId="25"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40"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41"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localSheetId="95"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Japan_Capers_Ed_Pub."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wvu.KJP_CC." localSheetId="25"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40"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41"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localSheetId="95"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vu.KJP_CC." hidden="1">{TRUE,TRUE,-2.75,-17,964.5,641.25,FALSE,TRUE,TRUE,TRUE,0,18,#N/A,11,#N/A,22.5227272727273,72.25,1,FALSE,FALSE,3,TRUE,1,FALSE,40,"Swvu.KJP_CC.","ACwvu.KJP_CC.",#N/A,FALSE,FALSE,0,0,0,0,2,"&amp;C&amp;""Arial,Bold""&amp;72Actual Production vs. Projected ","&amp;R&amp;""Arial,Bold Italic""&amp;8&amp;F&amp;A&amp;D",TRUE,TRUE,FALSE,FALSE,1,#N/A,1,1,"=R13C18:R168C107",FALSE,"Rwvu.KJP_CC.","Cwvu.KJP_CC.",FALSE,FALSE,FALSE,263,600,600,FALSE,FALSE,TRUE,TRUE,TRUE}</definedName>
    <definedName name="ww" localSheetId="25">IF('A1 (2)'!Values_Entered,[11]!Header_Row+'A1 (2)'!Number_of_Payments,[11]!Header_Row)</definedName>
    <definedName name="ww" localSheetId="95">IF('[66]106'!Values_Entered,Header_Row+'[66]106'!Number_of_Payments,Header_Row)</definedName>
    <definedName name="ww">#N/A</definedName>
    <definedName name="x" localSheetId="25"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x" localSheetId="40"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x" localSheetId="41"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x" localSheetId="95"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x" hidden="1">{TRUE,TRUE,-2.75,-17,772.5,449.25,FALSE,TRUE,TRUE,TRUE,0,18,#N/A,1,#N/A,80.75,104.2,1,FALSE,FALSE,3,FALSE,1,FALSE,10,"Swvu.Japan_Capers_Ed_Pub.","ACwvu.Japan_Capers_Ed_Pub.",#N/A,FALSE,FALSE,0,0,0,0,2,"","&amp;R&amp;""Arial,Bold Italic""&amp;8&amp;F&amp;A&amp;D",TRUE,TRUE,FALSE,FALSE,1,#N/A,1,1,"=R1C18:R297C107",FALSE,"Rwvu.Japan_Capers_Ed_Pub.","Cwvu.Japan_Capers_Ed_Pub.",FALSE,FALSE,FALSE,262,600,600,FALSE,FALSE,TRUE,TRUE,TRUE}</definedName>
    <definedName name="XXX" localSheetId="25" hidden="1">{"'PRODUCTIONCOST SHEET'!$B$3:$G$48"}</definedName>
    <definedName name="xxx" hidden="1">'[38]1105-B&amp;I-OK'!#REF!</definedName>
    <definedName name="YearsForecasting">5</definedName>
    <definedName name="yearsHistory">1</definedName>
    <definedName name="YrBal">1</definedName>
    <definedName name="YrOne">12</definedName>
    <definedName name="YrTwoFive">12</definedName>
    <definedName name="yyy">#REF!</definedName>
    <definedName name="Z_9A428CE1_B4D9_11D0_A8AA_0000C071AEE7_.wvu.Cols" hidden="1">[17]MASTER!$A$1:$Q$65536,[17]MASTER!$Y$1:$Z$65536</definedName>
    <definedName name="Z_9A428CE1_B4D9_11D0_A8AA_0000C071AEE7_.wvu.PrintArea" localSheetId="25" hidden="1">#REF!</definedName>
    <definedName name="Z_9A428CE1_B4D9_11D0_A8AA_0000C071AEE7_.wvu.PrintArea" hidden="1">#REF!</definedName>
    <definedName name="Z_9A428CE1_B4D9_11D0_A8AA_0000C071AEE7_.wvu.Rows" localSheetId="25" hidden="1">[17]MASTER!#REF!,[17]MASTER!#REF!,[17]MASTER!#REF!,[17]MASTER!#REF!,[17]MASTER!#REF!,[17]MASTER!#REF!,[17]MASTER!#REF!,[17]MASTER!$A$98:$IV$272</definedName>
    <definedName name="Z_9A428CE1_B4D9_11D0_A8AA_0000C071AEE7_.wvu.Rows" hidden="1">[17]MASTER!#REF!,[17]MASTER!#REF!,[17]MASTER!#REF!,[17]MASTER!#REF!,[17]MASTER!#REF!,[17]MASTER!#REF!,[17]MASTER!#REF!,[17]MASTER!$A$98:$IV$272</definedName>
    <definedName name="zz">#REF!,#REF!,#REF!,#REF!,#REF!,#REF!,#REF!,#REF!,#REF!,#REF!,#REF!,#REF!,#REF!,#REF!,#REF!,#REF!,#REF!</definedName>
  </definedNames>
  <calcPr calcId="144525"/>
</workbook>
</file>

<file path=xl/comments1.xml><?xml version="1.0" encoding="utf-8"?>
<comments xmlns="http://schemas.openxmlformats.org/spreadsheetml/2006/main">
  <authors>
    <author>Lenovo</author>
  </authors>
  <commentList>
    <comment ref="J42" authorId="0">
      <text>
        <r>
          <rPr>
            <b/>
            <sz val="12"/>
            <rFont val="Tahoma"/>
            <charset val="134"/>
          </rPr>
          <t>FPN:</t>
        </r>
        <r>
          <rPr>
            <sz val="12"/>
            <rFont val="Tahoma"/>
            <charset val="134"/>
          </rPr>
          <t xml:space="preserve">
seberapa bskr kinerja keyakinan
</t>
        </r>
      </text>
    </comment>
  </commentList>
</comments>
</file>

<file path=xl/comments2.xml><?xml version="1.0" encoding="utf-8"?>
<comments xmlns="http://schemas.openxmlformats.org/spreadsheetml/2006/main">
  <authors>
    <author>Victor</author>
  </authors>
  <commentList>
    <comment ref="G79" authorId="0">
      <text>
        <r>
          <rPr>
            <b/>
            <sz val="9"/>
            <rFont val="Tahoma"/>
            <charset val="134"/>
          </rPr>
          <t>Victor:</t>
        </r>
        <r>
          <rPr>
            <sz val="9"/>
            <rFont val="Tahoma"/>
            <charset val="134"/>
          </rPr>
          <t xml:space="preserve">
ada GA ada medis</t>
        </r>
      </text>
    </comment>
  </commentList>
</comments>
</file>

<file path=xl/comments3.xml><?xml version="1.0" encoding="utf-8"?>
<comments xmlns="http://schemas.openxmlformats.org/spreadsheetml/2006/main">
  <authors>
    <author>Lenovo</author>
  </authors>
  <commentList>
    <comment ref="L15" authorId="0">
      <text>
        <r>
          <rPr>
            <b/>
            <sz val="9"/>
            <rFont val="Tahoma"/>
            <charset val="134"/>
          </rPr>
          <t>Lenovo:</t>
        </r>
        <r>
          <rPr>
            <sz val="9"/>
            <rFont val="Tahoma"/>
            <charset val="134"/>
          </rPr>
          <t xml:space="preserve">
seharusnya dioffset ke PT DPS</t>
        </r>
      </text>
    </comment>
    <comment ref="R23" authorId="0">
      <text>
        <r>
          <rPr>
            <b/>
            <sz val="9"/>
            <rFont val="Tahoma"/>
            <charset val="134"/>
          </rPr>
          <t>Lenovo:</t>
        </r>
        <r>
          <rPr>
            <sz val="9"/>
            <rFont val="Tahoma"/>
            <charset val="134"/>
          </rPr>
          <t xml:space="preserve">
dihpus buku ke PT DPS
</t>
        </r>
      </text>
    </comment>
  </commentList>
</comments>
</file>

<file path=xl/comments4.xml><?xml version="1.0" encoding="utf-8"?>
<comments xmlns="http://schemas.openxmlformats.org/spreadsheetml/2006/main">
  <authors>
    <author>Victor</author>
  </authors>
  <commentList>
    <comment ref="E16" authorId="0">
      <text>
        <r>
          <rPr>
            <b/>
            <sz val="9"/>
            <rFont val="Tahoma"/>
            <charset val="134"/>
          </rPr>
          <t>Victor:</t>
        </r>
        <r>
          <rPr>
            <sz val="9"/>
            <rFont val="Tahoma"/>
            <charset val="134"/>
          </rPr>
          <t xml:space="preserve">
AR AYS</t>
        </r>
      </text>
    </comment>
  </commentList>
</comments>
</file>

<file path=xl/comments5.xml><?xml version="1.0" encoding="utf-8"?>
<comments xmlns="http://schemas.openxmlformats.org/spreadsheetml/2006/main">
  <authors>
    <author>DELL</author>
  </authors>
  <commentList>
    <comment ref="N11" authorId="0">
      <text>
        <r>
          <rPr>
            <b/>
            <sz val="9"/>
            <rFont val="Tahoma"/>
            <charset val="134"/>
          </rPr>
          <t>Note:</t>
        </r>
        <r>
          <rPr>
            <sz val="9"/>
            <rFont val="Tahoma"/>
            <charset val="134"/>
          </rPr>
          <t xml:space="preserve">
cek ke laporan biaya usaha dimana ?biaya Admin Rumah Tangga fiinance &amp; Accounting</t>
        </r>
      </text>
    </comment>
    <comment ref="O11" authorId="0">
      <text>
        <r>
          <rPr>
            <b/>
            <sz val="9"/>
            <rFont val="Tahoma"/>
            <charset val="134"/>
          </rPr>
          <t>Note:</t>
        </r>
        <r>
          <rPr>
            <sz val="9"/>
            <rFont val="Tahoma"/>
            <charset val="134"/>
          </rPr>
          <t xml:space="preserve">
cek ke laporan biaya usaha dimana ?biaya Admin Rumah Tangga fiinance &amp; Accounting</t>
        </r>
      </text>
    </comment>
    <comment ref="Q11" authorId="0">
      <text>
        <r>
          <rPr>
            <b/>
            <sz val="9"/>
            <rFont val="Tahoma"/>
            <charset val="134"/>
          </rPr>
          <t>Note:</t>
        </r>
        <r>
          <rPr>
            <sz val="9"/>
            <rFont val="Tahoma"/>
            <charset val="134"/>
          </rPr>
          <t xml:space="preserve">
sama dengan biaya di bayar dimuka</t>
        </r>
      </text>
    </comment>
  </commentList>
</comments>
</file>

<file path=xl/comments6.xml><?xml version="1.0" encoding="utf-8"?>
<comments xmlns="http://schemas.openxmlformats.org/spreadsheetml/2006/main">
  <authors>
    <author>Lenovo</author>
  </authors>
  <commentList>
    <comment ref="L13" authorId="0">
      <text>
        <r>
          <rPr>
            <b/>
            <sz val="9"/>
            <rFont val="Tahoma"/>
            <charset val="134"/>
          </rPr>
          <t>Lenovo:</t>
        </r>
        <r>
          <rPr>
            <sz val="9"/>
            <rFont val="Tahoma"/>
            <charset val="134"/>
          </rPr>
          <t xml:space="preserve">
selisih bank mandiri 204 dibuang kesini dan pekerjaan kompresor di offset ke utang lain2 dan kredit pph 23</t>
        </r>
      </text>
    </comment>
    <comment ref="R19" authorId="0">
      <text>
        <r>
          <rPr>
            <b/>
            <sz val="9"/>
            <rFont val="Tahoma"/>
            <charset val="134"/>
          </rPr>
          <t>Lenovo:</t>
        </r>
        <r>
          <rPr>
            <sz val="9"/>
            <rFont val="Tahoma"/>
            <charset val="134"/>
          </rPr>
          <t xml:space="preserve">
ofset utang LAin2dan selsih pph 23 kredit</t>
        </r>
      </text>
    </comment>
  </commentList>
</comments>
</file>

<file path=xl/comments7.xml><?xml version="1.0" encoding="utf-8"?>
<comments xmlns="http://schemas.openxmlformats.org/spreadsheetml/2006/main">
  <authors>
    <author>Ana</author>
  </authors>
  <commentList>
    <comment ref="E7" authorId="0">
      <text>
        <r>
          <rPr>
            <b/>
            <sz val="9"/>
            <rFont val="Tahoma"/>
            <charset val="134"/>
          </rPr>
          <t>Ana:
Beroperasi mulai 1 jan 2021 Rp 415.008.000</t>
        </r>
      </text>
    </comment>
    <comment ref="F7" authorId="0">
      <text>
        <r>
          <rPr>
            <b/>
            <sz val="9"/>
            <rFont val="Tahoma"/>
            <charset val="134"/>
          </rPr>
          <t>Ana:
Beroperasi mulai 1 jan 2021 Rp 415.008.000</t>
        </r>
      </text>
    </comment>
    <comment ref="G7" authorId="0">
      <text>
        <r>
          <rPr>
            <b/>
            <sz val="9"/>
            <rFont val="Tahoma"/>
            <charset val="134"/>
          </rPr>
          <t>Ana:
Beroperasi mulai 1 jan 2021 Rp 415.008.000</t>
        </r>
      </text>
    </comment>
    <comment ref="H7" authorId="0">
      <text>
        <r>
          <rPr>
            <b/>
            <sz val="9"/>
            <rFont val="Tahoma"/>
            <charset val="134"/>
          </rPr>
          <t>Ana:
Beroperasi mulai 1 jan 2021 Rp 415.008.000</t>
        </r>
      </text>
    </comment>
  </commentList>
</comments>
</file>

<file path=xl/comments8.xml><?xml version="1.0" encoding="utf-8"?>
<comments xmlns="http://schemas.openxmlformats.org/spreadsheetml/2006/main">
  <authors>
    <author>Lenovo</author>
  </authors>
  <commentList>
    <comment ref="C14" authorId="0">
      <text>
        <r>
          <rPr>
            <b/>
            <sz val="12"/>
            <rFont val="Tahoma"/>
            <charset val="134"/>
          </rPr>
          <t>Lenovo:</t>
        </r>
        <r>
          <rPr>
            <sz val="12"/>
            <rFont val="Tahoma"/>
            <charset val="134"/>
          </rPr>
          <t xml:space="preserve">
akan ditnyakan ke partner</t>
        </r>
      </text>
    </comment>
  </commentList>
</comments>
</file>

<file path=xl/comments9.xml><?xml version="1.0" encoding="utf-8"?>
<comments xmlns="http://schemas.openxmlformats.org/spreadsheetml/2006/main">
  <authors>
    <author>Lenovo</author>
  </authors>
  <commentList>
    <comment ref="R15" authorId="0">
      <text>
        <r>
          <rPr>
            <b/>
            <sz val="9"/>
            <rFont val="Tahoma"/>
            <charset val="134"/>
          </rPr>
          <t>Lenovo:</t>
        </r>
        <r>
          <rPr>
            <sz val="9"/>
            <rFont val="Tahoma"/>
            <charset val="134"/>
          </rPr>
          <t xml:space="preserve">
atas trx piutang ke pt GMT di ofset ke sini sbsr 8.876.000.000</t>
        </r>
      </text>
    </comment>
    <comment ref="U18" authorId="0">
      <text>
        <r>
          <rPr>
            <b/>
            <sz val="9"/>
            <rFont val="Tahoma"/>
            <charset val="134"/>
          </rPr>
          <t>Lenovo:</t>
        </r>
        <r>
          <rPr>
            <sz val="9"/>
            <rFont val="Tahoma"/>
            <charset val="134"/>
          </rPr>
          <t xml:space="preserve">
3 M ke galuh</t>
        </r>
      </text>
    </comment>
    <comment ref="L23" authorId="0">
      <text>
        <r>
          <rPr>
            <b/>
            <sz val="9"/>
            <rFont val="Tahoma"/>
            <charset val="134"/>
          </rPr>
          <t>Lenovo:</t>
        </r>
        <r>
          <rPr>
            <sz val="9"/>
            <rFont val="Tahoma"/>
            <charset val="134"/>
          </rPr>
          <t xml:space="preserve">
dioffset ke WIP</t>
        </r>
      </text>
    </comment>
    <comment ref="R23" authorId="0">
      <text>
        <r>
          <rPr>
            <b/>
            <sz val="9"/>
            <rFont val="Tahoma"/>
            <charset val="134"/>
          </rPr>
          <t>Lenovo:</t>
        </r>
        <r>
          <rPr>
            <sz val="9"/>
            <rFont val="Tahoma"/>
            <charset val="134"/>
          </rPr>
          <t xml:space="preserve">
dioffset ke wip</t>
        </r>
      </text>
    </comment>
    <comment ref="L24" authorId="0">
      <text>
        <r>
          <rPr>
            <b/>
            <sz val="9"/>
            <rFont val="Tahoma"/>
            <charset val="134"/>
          </rPr>
          <t>Lenovo:</t>
        </r>
        <r>
          <rPr>
            <sz val="9"/>
            <rFont val="Tahoma"/>
            <charset val="134"/>
          </rPr>
          <t xml:space="preserve">
selisih dari piutang pemegang saham dikurangkan dsini
</t>
        </r>
      </text>
    </comment>
    <comment ref="R24" authorId="0">
      <text>
        <r>
          <rPr>
            <b/>
            <sz val="9"/>
            <rFont val="Tahoma"/>
            <charset val="134"/>
          </rPr>
          <t>Lenovo:</t>
        </r>
        <r>
          <rPr>
            <sz val="9"/>
            <rFont val="Tahoma"/>
            <charset val="134"/>
          </rPr>
          <t xml:space="preserve">
selisih piutang pemegang saham dikurangkan disini</t>
        </r>
      </text>
    </comment>
    <comment ref="L25" authorId="0">
      <text>
        <r>
          <rPr>
            <b/>
            <sz val="9"/>
            <rFont val="Tahoma"/>
            <charset val="134"/>
          </rPr>
          <t>Lenovo:</t>
        </r>
        <r>
          <rPr>
            <sz val="9"/>
            <rFont val="Tahoma"/>
            <charset val="134"/>
          </rPr>
          <t xml:space="preserve">
selisih dari piutang pemegang saham dikurangkan dsini
</t>
        </r>
      </text>
    </comment>
    <comment ref="L26" authorId="0">
      <text>
        <r>
          <rPr>
            <b/>
            <sz val="9"/>
            <rFont val="Tahoma"/>
            <charset val="134"/>
          </rPr>
          <t>Lenovo:</t>
        </r>
        <r>
          <rPr>
            <sz val="9"/>
            <rFont val="Tahoma"/>
            <charset val="134"/>
          </rPr>
          <t xml:space="preserve">
selisih dari piutang pemegang saham dikurangkan dsini
</t>
        </r>
      </text>
    </comment>
    <comment ref="H103" authorId="0">
      <text>
        <r>
          <rPr>
            <b/>
            <sz val="9"/>
            <rFont val="Tahoma"/>
            <charset val="134"/>
          </rPr>
          <t>Lenovo:</t>
        </r>
        <r>
          <rPr>
            <sz val="9"/>
            <rFont val="Tahoma"/>
            <charset val="134"/>
          </rPr>
          <t xml:space="preserve">
di 2021 sdh dihilangkan(dioffset ke gmt salah satunya) sisanya dioffset kemana lagi?
</t>
        </r>
      </text>
    </comment>
  </commentList>
</comments>
</file>

<file path=xl/comments10.xml><?xml version="1.0" encoding="utf-8"?>
<comments xmlns="http://schemas.openxmlformats.org/spreadsheetml/2006/main">
  <authors>
    <author>Lenovo</author>
  </authors>
  <commentList>
    <comment ref="F65" authorId="0">
      <text>
        <r>
          <rPr>
            <b/>
            <sz val="9"/>
            <rFont val="Tahoma"/>
            <charset val="134"/>
          </rPr>
          <t>Lenovo:</t>
        </r>
        <r>
          <rPr>
            <sz val="9"/>
            <rFont val="Tahoma"/>
            <charset val="134"/>
          </rPr>
          <t xml:space="preserve">
PAID JANUARI 23</t>
        </r>
      </text>
    </comment>
  </commentList>
</comments>
</file>

<file path=xl/comments11.xml><?xml version="1.0" encoding="utf-8"?>
<comments xmlns="http://schemas.openxmlformats.org/spreadsheetml/2006/main">
  <authors>
    <author>Lenovo</author>
  </authors>
  <commentList>
    <comment ref="C52" authorId="0">
      <text>
        <r>
          <rPr>
            <b/>
            <sz val="12"/>
            <rFont val="Tahoma"/>
            <charset val="134"/>
          </rPr>
          <t>Lenovo:</t>
        </r>
        <r>
          <rPr>
            <sz val="12"/>
            <rFont val="Tahoma"/>
            <charset val="134"/>
          </rPr>
          <t xml:space="preserve">
pph - penundaan pembayaran hutang</t>
        </r>
      </text>
    </comment>
  </commentList>
</comments>
</file>

<file path=xl/comments12.xml><?xml version="1.0" encoding="utf-8"?>
<comments xmlns="http://schemas.openxmlformats.org/spreadsheetml/2006/main">
  <authors>
    <author>Fpn</author>
  </authors>
  <commentList>
    <comment ref="C49" authorId="0">
      <text>
        <r>
          <rPr>
            <b/>
            <sz val="9"/>
            <rFont val="Tahoma"/>
            <charset val="134"/>
          </rPr>
          <t>Fpn:</t>
        </r>
        <r>
          <rPr>
            <sz val="9"/>
            <rFont val="Tahoma"/>
            <charset val="134"/>
          </rPr>
          <t xml:space="preserve">
JAC/06/560/R</t>
        </r>
      </text>
    </comment>
  </commentList>
</comments>
</file>

<file path=xl/comments13.xml><?xml version="1.0" encoding="utf-8"?>
<comments xmlns="http://schemas.openxmlformats.org/spreadsheetml/2006/main">
  <authors>
    <author>Lenovo</author>
  </authors>
  <commentList>
    <comment ref="D30" authorId="0">
      <text>
        <r>
          <rPr>
            <b/>
            <sz val="9"/>
            <rFont val="Tahoma"/>
            <charset val="1"/>
          </rPr>
          <t>Lenovo:</t>
        </r>
        <r>
          <rPr>
            <sz val="9"/>
            <rFont val="Tahoma"/>
            <charset val="1"/>
          </rPr>
          <t xml:space="preserve">
persada</t>
        </r>
      </text>
    </comment>
    <comment ref="R46" authorId="0">
      <text>
        <r>
          <rPr>
            <b/>
            <sz val="12"/>
            <rFont val="Tahoma"/>
            <charset val="1"/>
          </rPr>
          <t>Lenovo:</t>
        </r>
        <r>
          <rPr>
            <sz val="12"/>
            <rFont val="Tahoma"/>
            <charset val="1"/>
          </rPr>
          <t xml:space="preserve">
</t>
        </r>
      </text>
    </comment>
  </commentList>
</comments>
</file>

<file path=xl/comments14.xml><?xml version="1.0" encoding="utf-8"?>
<comments xmlns="http://schemas.openxmlformats.org/spreadsheetml/2006/main">
  <authors>
    <author>Fpn</author>
  </authors>
  <commentList>
    <comment ref="F77" authorId="0">
      <text>
        <r>
          <rPr>
            <b/>
            <sz val="9"/>
            <rFont val="Tahoma"/>
            <charset val="134"/>
          </rPr>
          <t>Fpn:</t>
        </r>
        <r>
          <rPr>
            <sz val="9"/>
            <rFont val="Tahoma"/>
            <charset val="134"/>
          </rPr>
          <t xml:space="preserve">
liat bupot di gdrive utang pajak</t>
        </r>
      </text>
    </comment>
  </commentList>
</comments>
</file>

<file path=xl/comments15.xml><?xml version="1.0" encoding="utf-8"?>
<comments xmlns="http://schemas.openxmlformats.org/spreadsheetml/2006/main">
  <authors>
    <author>Ana</author>
    <author>Lenovo</author>
  </authors>
  <commentList>
    <comment ref="M25" authorId="0">
      <text>
        <r>
          <rPr>
            <b/>
            <sz val="9"/>
            <rFont val="Tahoma"/>
            <charset val="134"/>
          </rPr>
          <t>Ana:</t>
        </r>
        <r>
          <rPr>
            <sz val="9"/>
            <rFont val="Tahoma"/>
            <charset val="134"/>
          </rPr>
          <t xml:space="preserve">
Lebih Bayar Bulan lalu Rp 23.000.000 sehingga lebih bayar 132.990</t>
        </r>
      </text>
    </comment>
    <comment ref="K26" authorId="0">
      <text>
        <r>
          <rPr>
            <b/>
            <sz val="9"/>
            <rFont val="Tahoma"/>
            <charset val="134"/>
          </rPr>
          <t>Ana:</t>
        </r>
        <r>
          <rPr>
            <sz val="9"/>
            <rFont val="Tahoma"/>
            <charset val="134"/>
          </rPr>
          <t xml:space="preserve">
Bukan Wapu Karena Dpp Di bawah 10 juta</t>
        </r>
      </text>
    </comment>
    <comment ref="M33" authorId="0">
      <text>
        <r>
          <rPr>
            <b/>
            <sz val="9"/>
            <rFont val="Tahoma"/>
            <charset val="134"/>
          </rPr>
          <t>Ana:</t>
        </r>
        <r>
          <rPr>
            <sz val="9"/>
            <rFont val="Tahoma"/>
            <charset val="134"/>
          </rPr>
          <t xml:space="preserve">
lebih bayar bulan lalu di tulis 23.200.000 sehingga lebih bayar SPT 34.375</t>
        </r>
      </text>
    </comment>
    <comment ref="M51" authorId="0">
      <text>
        <r>
          <rPr>
            <b/>
            <sz val="9"/>
            <rFont val="Tahoma"/>
            <charset val="134"/>
          </rPr>
          <t>Ana:</t>
        </r>
        <r>
          <rPr>
            <sz val="9"/>
            <rFont val="Tahoma"/>
            <charset val="134"/>
          </rPr>
          <t xml:space="preserve">
Lebih Bayar bulan sebelumnya 45juta SPT Lebih Bayar -145.685</t>
        </r>
      </text>
    </comment>
    <comment ref="K121" authorId="1">
      <text>
        <r>
          <rPr>
            <b/>
            <sz val="12"/>
            <rFont val="Tahoma"/>
            <charset val="134"/>
          </rPr>
          <t>Lenovo:</t>
        </r>
        <r>
          <rPr>
            <sz val="12"/>
            <rFont val="Tahoma"/>
            <charset val="134"/>
          </rPr>
          <t xml:space="preserve">
SUPLAI GAS IGA KE MEREKA</t>
        </r>
      </text>
    </comment>
    <comment ref="K122" authorId="1">
      <text>
        <r>
          <rPr>
            <b/>
            <sz val="12"/>
            <rFont val="Tahoma"/>
            <charset val="134"/>
          </rPr>
          <t>Lenovo:</t>
        </r>
        <r>
          <rPr>
            <sz val="12"/>
            <rFont val="Tahoma"/>
            <charset val="134"/>
          </rPr>
          <t xml:space="preserve">
SEWA TRUK, TABUNG GAS, BED TRAILER, DRIVER DAN TRIP</t>
        </r>
      </text>
    </comment>
    <comment ref="K127" authorId="1">
      <text>
        <r>
          <rPr>
            <b/>
            <sz val="12"/>
            <rFont val="Tahoma"/>
            <charset val="134"/>
          </rPr>
          <t>Lenovo:</t>
        </r>
        <r>
          <rPr>
            <sz val="12"/>
            <rFont val="Tahoma"/>
            <charset val="134"/>
          </rPr>
          <t xml:space="preserve">
SEWA TRUK, TABUNG GAS, BED TRAILER, DRIVER DAN TRIP</t>
        </r>
      </text>
    </comment>
  </commentList>
</comments>
</file>

<file path=xl/comments16.xml><?xml version="1.0" encoding="utf-8"?>
<comments xmlns="http://schemas.openxmlformats.org/spreadsheetml/2006/main">
  <authors>
    <author>Ana</author>
  </authors>
  <commentList>
    <comment ref="O111" authorId="0">
      <text>
        <r>
          <rPr>
            <b/>
            <sz val="9"/>
            <rFont val="Tahoma"/>
            <charset val="134"/>
          </rPr>
          <t>Ana:</t>
        </r>
        <r>
          <rPr>
            <sz val="9"/>
            <rFont val="Tahoma"/>
            <charset val="134"/>
          </rPr>
          <t xml:space="preserve">
saldo lebih bayar di tulis 25.010.000</t>
        </r>
      </text>
    </comment>
    <comment ref="M119" authorId="0">
      <text>
        <r>
          <rPr>
            <b/>
            <sz val="9"/>
            <rFont val="Tahoma"/>
            <charset val="134"/>
          </rPr>
          <t>Ana:</t>
        </r>
        <r>
          <rPr>
            <sz val="9"/>
            <rFont val="Tahoma"/>
            <charset val="134"/>
          </rPr>
          <t xml:space="preserve">
Lapor Sesuai</t>
        </r>
      </text>
    </comment>
    <comment ref="M121" authorId="0">
      <text>
        <r>
          <rPr>
            <b/>
            <sz val="9"/>
            <rFont val="Tahoma"/>
            <charset val="134"/>
          </rPr>
          <t>Ana:</t>
        </r>
        <r>
          <rPr>
            <sz val="9"/>
            <rFont val="Tahoma"/>
            <charset val="134"/>
          </rPr>
          <t xml:space="preserve">
Lapor sesuai</t>
        </r>
      </text>
    </comment>
    <comment ref="O146" authorId="0">
      <text>
        <r>
          <rPr>
            <b/>
            <sz val="9"/>
            <rFont val="Tahoma"/>
            <charset val="134"/>
          </rPr>
          <t>Ana:</t>
        </r>
        <r>
          <rPr>
            <sz val="9"/>
            <rFont val="Tahoma"/>
            <charset val="134"/>
          </rPr>
          <t xml:space="preserve">
input saldo lebih bayar awal 100jt</t>
        </r>
      </text>
    </comment>
    <comment ref="O159" authorId="0">
      <text>
        <r>
          <rPr>
            <b/>
            <sz val="9"/>
            <rFont val="Tahoma"/>
            <charset val="134"/>
          </rPr>
          <t>Ana:</t>
        </r>
        <r>
          <rPr>
            <sz val="9"/>
            <rFont val="Tahoma"/>
            <charset val="134"/>
          </rPr>
          <t xml:space="preserve">
input saldo lebih bayar rp 55.026.550</t>
        </r>
      </text>
    </comment>
  </commentList>
</comments>
</file>

<file path=xl/sharedStrings.xml><?xml version="1.0" encoding="utf-8"?>
<sst xmlns="http://schemas.openxmlformats.org/spreadsheetml/2006/main" count="25022" uniqueCount="13867">
  <si>
    <t>PT INTAN GIRI ABADI</t>
  </si>
  <si>
    <t>MONETER ASSETS AND LIABILITIES</t>
  </si>
  <si>
    <t>A: DECEMBER 31, 2022</t>
  </si>
  <si>
    <t>Account</t>
  </si>
  <si>
    <t>DESCRIPTION</t>
  </si>
  <si>
    <t>Foreign Currency</t>
  </si>
  <si>
    <t>Amount in</t>
  </si>
  <si>
    <t>Rate as of</t>
  </si>
  <si>
    <t>Equivalent in IDR</t>
  </si>
  <si>
    <t>Difference</t>
  </si>
  <si>
    <t>Assets</t>
  </si>
  <si>
    <t>Cash in bank</t>
  </si>
  <si>
    <t>Cash JPY</t>
  </si>
  <si>
    <t>JPY</t>
  </si>
  <si>
    <t>Bank BNI</t>
  </si>
  <si>
    <t>TOTAL ASET</t>
  </si>
  <si>
    <t>Liabilities</t>
  </si>
  <si>
    <t>Account Raceivable</t>
  </si>
  <si>
    <t>Trade payable</t>
  </si>
  <si>
    <t>Shareholders loan</t>
  </si>
  <si>
    <t>TOTAL LIABILITIES</t>
  </si>
  <si>
    <t>Assets (Liabilities) net</t>
  </si>
  <si>
    <t>Variable 1%</t>
  </si>
  <si>
    <t xml:space="preserve">PT </t>
  </si>
  <si>
    <t>Daftar Aktiva Tetap</t>
  </si>
  <si>
    <t>A: 30 Juni 2009</t>
  </si>
  <si>
    <t>No.</t>
  </si>
  <si>
    <t>Aktiva Tetap</t>
  </si>
  <si>
    <t>Kuantitas</t>
  </si>
  <si>
    <t>Tgl Perolehan</t>
  </si>
  <si>
    <t>Biaya Perolehan</t>
  </si>
  <si>
    <t>Komersial</t>
  </si>
  <si>
    <t>Fiskal</t>
  </si>
  <si>
    <t>Koreksi Positif (Negatif)</t>
  </si>
  <si>
    <t>Umur Ekonomis</t>
  </si>
  <si>
    <t>Periode Peny</t>
  </si>
  <si>
    <t>Beban Penyusutan</t>
  </si>
  <si>
    <t>Gol</t>
  </si>
  <si>
    <t>Tarif</t>
  </si>
  <si>
    <t>Kendaraan</t>
  </si>
  <si>
    <t>Truk Box Mitsubishi D 8390 EP</t>
  </si>
  <si>
    <t>Isuzu Phanter D 1308 SF</t>
  </si>
  <si>
    <t>Sepeda motor Suzuki D 2680 DI</t>
  </si>
  <si>
    <t>Sepeda motor Honda D 3963 TP</t>
  </si>
  <si>
    <t>Sepeda motor Yamaha D 3713 VV</t>
  </si>
  <si>
    <t>Sepeda motor Honda D 4528 DF</t>
  </si>
  <si>
    <t>Sepeda motor Honda D 5402 CG</t>
  </si>
  <si>
    <t>Sepeda motor Yamaha D 3456 EL</t>
  </si>
  <si>
    <t>Sepeda motor Yamaha D 5448 EG</t>
  </si>
  <si>
    <t>Sepeda motor Honda D 5486 BJ</t>
  </si>
  <si>
    <t>Mobil Toyota Avanza B 1219 MI</t>
  </si>
  <si>
    <t>Mobil Mitsubishi Colt Diesel B 9719 QT</t>
  </si>
  <si>
    <t>Mobil Toyota Avanza B 1092 TFL</t>
  </si>
  <si>
    <t>Mesin HD</t>
  </si>
  <si>
    <t>Mesin Hemodialisa OV5AL900</t>
  </si>
  <si>
    <t>Mesin Hemodialisa OV5AL882</t>
  </si>
  <si>
    <t>Mesin Hemodialisa OV5AL887</t>
  </si>
  <si>
    <t>Mesin Hemodialisa OV5AN068</t>
  </si>
  <si>
    <t>Mesin Hemodialisa OV5AQ146</t>
  </si>
  <si>
    <t>Mesin Hemodialisa OV5AN865</t>
  </si>
  <si>
    <t>Mesin Hemodialisa OV5AT451</t>
  </si>
  <si>
    <t>Mesin Hemodialisa OV5AN064</t>
  </si>
  <si>
    <t>Mesin Hemodialisa 1V5AN737</t>
  </si>
  <si>
    <t>Mesin Hemodialisa 1VCA9879</t>
  </si>
  <si>
    <t>Mesin Hemodialisa 1VCA9920</t>
  </si>
  <si>
    <t>Mesin Hemodialisa OV5AQ145</t>
  </si>
  <si>
    <t>Mesin Hemodialisa OV5AQ142</t>
  </si>
  <si>
    <t>Mesin Hemodialisa OV5AN875</t>
  </si>
  <si>
    <t>Mesin Hemodialisa OV5AQ197</t>
  </si>
  <si>
    <t>Mesin Hemodialisa 1V5AU584</t>
  </si>
  <si>
    <t>Mesin Hemodialisa OV5AQ917</t>
  </si>
  <si>
    <t>Mesin Hemodialisa 9V5AH805</t>
  </si>
  <si>
    <t>Mesin Hemodialisa OV5AL883</t>
  </si>
  <si>
    <t>Mesin Hemodialisa OV5AL888</t>
  </si>
  <si>
    <t>Mesin Hemodialisa OV5AL889</t>
  </si>
  <si>
    <t>Mesin Hemodialisa OV5AQ217</t>
  </si>
  <si>
    <t>Mesin Hemodialisa OVCA7622</t>
  </si>
  <si>
    <t>Mesin Hemodialisa OVCA7624</t>
  </si>
  <si>
    <t>Mesin Hemodialisa OV5AL891</t>
  </si>
  <si>
    <t>Mesin Hemodialisa OV5AL893</t>
  </si>
  <si>
    <t>Mesin Hemodialisa OV5AL894</t>
  </si>
  <si>
    <t>Mesin Hemodialisa OV5AL897</t>
  </si>
  <si>
    <t>Mesin Hemodialisa OV5AQ222</t>
  </si>
  <si>
    <t>Mesin Hemodialisa OV5AQ219</t>
  </si>
  <si>
    <t>Mesin Hemodialisa OV5AN868</t>
  </si>
  <si>
    <t>Mesin Hemodialisa OV5AQ223</t>
  </si>
  <si>
    <t>Mesin Hemodialisa OV5AQ224</t>
  </si>
  <si>
    <t>Mesin Hemodialisa OV5AQ225</t>
  </si>
  <si>
    <t>Mesin Hemodialisa OV5AN061</t>
  </si>
  <si>
    <t>Mesin Hemodialisa OV5AN065</t>
  </si>
  <si>
    <t>Mesin Hemodialisa OV5AQ156</t>
  </si>
  <si>
    <t>Mesin Hemodialisa 1VCA9886</t>
  </si>
  <si>
    <t>Mesin Hemodialisa 1VCA9888</t>
  </si>
  <si>
    <t>Mesin Hemodialisa 1VCA9899</t>
  </si>
  <si>
    <t>Mesin Hemodialisa OV5AQ188</t>
  </si>
  <si>
    <t>Mesin Hemodialisa OV5AQ213</t>
  </si>
  <si>
    <t>Mesin Hemodialisa 1V5AV134</t>
  </si>
  <si>
    <t>Mesin Hemodialisa OV5AN066</t>
  </si>
  <si>
    <t>Mesin Hemodialisa OV5AQ218</t>
  </si>
  <si>
    <t>Mesin Hemodialisa OV5AL886</t>
  </si>
  <si>
    <t>Mesin Hemodialisa OV5AL884</t>
  </si>
  <si>
    <t>Mesin Hemodialisa OV5AQ151</t>
  </si>
  <si>
    <t>Mesin Hemodialisa OV5AQ157</t>
  </si>
  <si>
    <t>Mesin Hemodialisa 1V5AU587</t>
  </si>
  <si>
    <t>Mesin Hemodialisa 1V5AV132</t>
  </si>
  <si>
    <t>Mesin Hemodialisa 1V5AV129</t>
  </si>
  <si>
    <t>Mesin Hemodialisa 1V5AV133</t>
  </si>
  <si>
    <t>Mesin Hemodialisa 1V5AR180</t>
  </si>
  <si>
    <t>Mesin Hemodialisa OV5AL899</t>
  </si>
  <si>
    <t>Mesin Hemodialisa 1V5AV126</t>
  </si>
  <si>
    <t>Mesin Hemodialisa 1V5AV127</t>
  </si>
  <si>
    <t>Mesin Hemodialisa 1V5AT446</t>
  </si>
  <si>
    <t>Mesin Hemodialisa 1V5AT448</t>
  </si>
  <si>
    <t>Mesin Hemodialisa OV5AL890</t>
  </si>
  <si>
    <t>Mesin Hemodialisa OV5AL896</t>
  </si>
  <si>
    <t>Mesin Hemodialisa OV5AQ155</t>
  </si>
  <si>
    <t>Mesin Hemodialisa 1V5AU582</t>
  </si>
  <si>
    <t>Mesin Hemodialisa 1V5AU583</t>
  </si>
  <si>
    <t>Mesin Hemodialisa 1V5AT466</t>
  </si>
  <si>
    <t>Mesin Hemodialisa 1V5AU593</t>
  </si>
  <si>
    <t>Mesin Hemodialisa 1V5AU590</t>
  </si>
  <si>
    <t xml:space="preserve">Bellco Formula </t>
  </si>
  <si>
    <t xml:space="preserve">Bellco Formula 2000 </t>
  </si>
  <si>
    <t xml:space="preserve">Mesin RO </t>
  </si>
  <si>
    <t>Bellco Formula 2000 D. Pump</t>
  </si>
  <si>
    <t>Bellco Formula 2000 Domus S. Pump</t>
  </si>
  <si>
    <t>Bellco Formula Single Pump</t>
  </si>
  <si>
    <t>Peralatan Kantor</t>
  </si>
  <si>
    <t>Meja Kepala uk. 140x70x75</t>
  </si>
  <si>
    <t>Meja Staff uk. 120x60x75</t>
  </si>
  <si>
    <t>Meja Manager uk. 140x70x75</t>
  </si>
  <si>
    <t>PC Desktop - lengkap</t>
  </si>
  <si>
    <t>Printer Epson LQ - 2180</t>
  </si>
  <si>
    <t>Notebook HP</t>
  </si>
  <si>
    <t>Filing cabinet 4 laci - Lion</t>
  </si>
  <si>
    <t>Filing cabinet 2 laci - Lion</t>
  </si>
  <si>
    <t>Meja workshop</t>
  </si>
  <si>
    <t>Laptop Toshiba Sattellite A-80</t>
  </si>
  <si>
    <t>Proyektor ACER</t>
  </si>
  <si>
    <t>PC Desktop - lengkap (server)</t>
  </si>
  <si>
    <t xml:space="preserve">PC Desktop - lengkap </t>
  </si>
  <si>
    <t>Jumlah Aset tetap</t>
  </si>
  <si>
    <t>a</t>
  </si>
  <si>
    <t>Beban penyusutan 2009</t>
  </si>
  <si>
    <t>Saldo audit</t>
  </si>
  <si>
    <t>Beban penyusutan 2008</t>
  </si>
  <si>
    <t>Beda</t>
  </si>
  <si>
    <t>Akumulasi penyusutan</t>
  </si>
  <si>
    <t>b</t>
  </si>
  <si>
    <t>Perbandingan nilai buku aset tetap</t>
  </si>
  <si>
    <t>a - b</t>
  </si>
  <si>
    <t>Jumlah</t>
  </si>
  <si>
    <r>
      <rPr>
        <sz val="12"/>
        <rFont val="Impact"/>
        <charset val="134"/>
      </rPr>
      <t xml:space="preserve">PENENTUAN MATERIALITAS / </t>
    </r>
    <r>
      <rPr>
        <i/>
        <sz val="12"/>
        <rFont val="Impact"/>
        <charset val="134"/>
      </rPr>
      <t>MATERIALITY CONSIDERATION</t>
    </r>
  </si>
  <si>
    <t>Klien</t>
  </si>
  <si>
    <t xml:space="preserve">Tanggal Audit </t>
  </si>
  <si>
    <t>31 Des 22 dan 21</t>
  </si>
  <si>
    <t>Disiapkan</t>
  </si>
  <si>
    <t xml:space="preserve">Tanggal </t>
  </si>
  <si>
    <t>Direview</t>
  </si>
  <si>
    <t>A.</t>
  </si>
  <si>
    <t>Perhitungan Materialitas</t>
  </si>
  <si>
    <t>1.</t>
  </si>
  <si>
    <t>Identifikasi dasar penentuan materialitas</t>
  </si>
  <si>
    <t>a.</t>
  </si>
  <si>
    <t>Pilih dasar penentuan materialitas yang paling relevan:</t>
  </si>
  <si>
    <t>% Pengukuran</t>
  </si>
  <si>
    <t>Laba dari kegiatan usaha normal (sebelum pajak)</t>
  </si>
  <si>
    <t>-  Perusahaan publik</t>
  </si>
  <si>
    <t>5%</t>
  </si>
  <si>
    <t>-  Perusahaan non-publik</t>
  </si>
  <si>
    <t>5%-10%</t>
  </si>
  <si>
    <t>x</t>
  </si>
  <si>
    <t>Jumlah pendapatan</t>
  </si>
  <si>
    <t>0.5%-1%</t>
  </si>
  <si>
    <t>Jumlah aset</t>
  </si>
  <si>
    <t>0.25%-1%</t>
  </si>
  <si>
    <t>Aset bersih atau ekuitas</t>
  </si>
  <si>
    <t>1%-5%</t>
  </si>
  <si>
    <t>Perubahan aset bersih dari program dana pensiun manfaat/imbalan pasti</t>
  </si>
  <si>
    <t>3%-8%</t>
  </si>
  <si>
    <t>Jumlah aset dari program dana pensiun manfaat/imbalan pasti</t>
  </si>
  <si>
    <t>0.25%-0.5%</t>
  </si>
  <si>
    <t>b.</t>
  </si>
  <si>
    <t>Cantumkan jumlah (nilai Rupiah/Dolar) dari dasar penentuan materialitas yang dipilih:</t>
  </si>
  <si>
    <t>c.</t>
  </si>
  <si>
    <t>Jelaskan sumber dari dasar penentuan materialitas yang dipilih:</t>
  </si>
  <si>
    <t>Laporan keuangan tahun sebelumnya (cantumkan tanggal/periode laporan keuangan di bawah ini)</t>
  </si>
  <si>
    <t>√</t>
  </si>
  <si>
    <t>Laporan keuangan interim (cantumkan tanggal/periode laporan keuangan di bawah ini)</t>
  </si>
  <si>
    <t>Perhitungan (sajikan di bawah ini)</t>
  </si>
  <si>
    <t>Lain-lain (jelaskan di bawah ini)</t>
  </si>
  <si>
    <t>Laporan keuangan periode 31 Desember 2022 dan 2021</t>
  </si>
  <si>
    <t>d.</t>
  </si>
  <si>
    <t>Jelaskan alasan dari dasar penentuan materialitas yang dipilih:</t>
  </si>
  <si>
    <t>Perusahaan yang membukukan laba dan beroperasi dengan kondisi normal</t>
  </si>
  <si>
    <t>Perusahaan dengan laba yang tidak stabil</t>
  </si>
  <si>
    <t>Perusahaan yang beroperasi pada titik impas</t>
  </si>
  <si>
    <t>Perusahaan yang membukukan kerugian</t>
  </si>
  <si>
    <t>Organisasi nirlaba (termasuk lembaga pemerintah)</t>
  </si>
  <si>
    <t>Program dana pensiun</t>
  </si>
  <si>
    <t>Perusahaan yangdalm kondisi normal walaupun tetap berjlaan</t>
  </si>
  <si>
    <t>2.</t>
  </si>
  <si>
    <t>Tentukan persentase pengukuran</t>
  </si>
  <si>
    <t>Untuk dasar penentuan yang dipilih, tentukan persentase pengukuran materialitas yang paling relevan:</t>
  </si>
  <si>
    <t>3.</t>
  </si>
  <si>
    <t>Hitung tingkat materialitas</t>
  </si>
  <si>
    <t>Jumlah dasar penentuan</t>
  </si>
  <si>
    <t>Tingkat Materialitas</t>
  </si>
  <si>
    <t>(Langkah 1b)</t>
  </si>
  <si>
    <t>(Langkah 2)</t>
  </si>
  <si>
    <t>=</t>
  </si>
  <si>
    <t>Dibulatkan</t>
  </si>
  <si>
    <t>B.</t>
  </si>
  <si>
    <t>Perhitungan Tolerable Error</t>
  </si>
  <si>
    <t>Tentukan tingkat materialitas</t>
  </si>
  <si>
    <t>Tentukan banyaknya PAJE signifikan yang tidak dibukukan periode lalu (significant unrecorded PAJEs)</t>
  </si>
  <si>
    <t>Tentukan jumlah (nilai Rupiah/Dolar) dari PAJE signifikan yang tidak dibukukan periode lalu</t>
  </si>
  <si>
    <t>Penjelasan untuk Langkah 2 dan 3:</t>
  </si>
  <si>
    <t>4.</t>
  </si>
  <si>
    <t>Hitung rasio kekeliruan yang diekspektasi terhadap tingkat materialitas</t>
  </si>
  <si>
    <t>Kekeliruan yang diekspektasi</t>
  </si>
  <si>
    <t>Tingkat materialitas</t>
  </si>
  <si>
    <t>Rasio</t>
  </si>
  <si>
    <t>(Langkah 3)</t>
  </si>
  <si>
    <t>(Langkah 1)</t>
  </si>
  <si>
    <t>:</t>
  </si>
  <si>
    <t>5.</t>
  </si>
  <si>
    <t>Tentukan persentase Tolerable Error</t>
  </si>
  <si>
    <t>Kolom 1</t>
  </si>
  <si>
    <t>Kolom 2</t>
  </si>
  <si>
    <t>Kolom 3</t>
  </si>
  <si>
    <t>Banyaknya PAJE signifikan</t>
  </si>
  <si>
    <t>Rasio kekeliruan</t>
  </si>
  <si>
    <t>Persentase</t>
  </si>
  <si>
    <t>yang tidak dibukukan</t>
  </si>
  <si>
    <t>diekspektasi/materialitas</t>
  </si>
  <si>
    <t>Tolerable Error</t>
  </si>
  <si>
    <t>(Langkah 4)</t>
  </si>
  <si>
    <t>0 - 2</t>
  </si>
  <si>
    <t>Tidak berlaku</t>
  </si>
  <si>
    <t>50% - 75%</t>
  </si>
  <si>
    <t>3 - 5</t>
  </si>
  <si>
    <t>sampai 40%</t>
  </si>
  <si>
    <t>35% - 50%</t>
  </si>
  <si>
    <t>lebih dari 40%</t>
  </si>
  <si>
    <t>25% - 35%</t>
  </si>
  <si>
    <t>6 atau lebih</t>
  </si>
  <si>
    <t>15% - 25%</t>
  </si>
  <si>
    <t>10% - 15%</t>
  </si>
  <si>
    <t>6.</t>
  </si>
  <si>
    <t>Hitung Tolerable Error</t>
  </si>
  <si>
    <t>Persentase Tolerable Error</t>
  </si>
  <si>
    <t>Nilai Tolerable Error</t>
  </si>
  <si>
    <t>(Langkah 5, Kolom 3)</t>
  </si>
  <si>
    <t>C.</t>
  </si>
  <si>
    <t>Perhitungan PAJE/PRJE Listing Scopes</t>
  </si>
  <si>
    <t>Proposed adjusting journal entries (PAJEs)</t>
  </si>
  <si>
    <t>% PAJE Listing Scope</t>
  </si>
  <si>
    <t>PAJE Listing Scope</t>
  </si>
  <si>
    <t>(5% - 10%)</t>
  </si>
  <si>
    <t>(Bagian B, Langkah 6)</t>
  </si>
  <si>
    <t>Proposed reclassifying journal entries (PRJEs)</t>
  </si>
  <si>
    <t>Variabel PRJE Listing Scope</t>
  </si>
  <si>
    <t>PRJE Listing Scope</t>
  </si>
  <si>
    <t>(2 kali)</t>
  </si>
  <si>
    <t>Laporan Auditor Independen</t>
  </si>
  <si>
    <t>Dan</t>
  </si>
  <si>
    <t>Laporan Keuangan</t>
  </si>
  <si>
    <t xml:space="preserve">Untuk Tahun yang Berakhir </t>
  </si>
  <si>
    <t>Dan Laporan Auditor Independen</t>
  </si>
  <si>
    <t>31 Desember 2022</t>
  </si>
  <si>
    <t>S E &amp; O</t>
  </si>
  <si>
    <t>Name : Yusuf Setiadi</t>
  </si>
  <si>
    <t>Signature</t>
  </si>
  <si>
    <t>Title : Dirut</t>
  </si>
  <si>
    <t>Date</t>
  </si>
  <si>
    <t>31 Desember 2021</t>
  </si>
  <si>
    <t>Approval for Printing</t>
  </si>
  <si>
    <t>Name</t>
  </si>
  <si>
    <t>Tahun yang Berakhir 31 Desember 2022 dan 2021</t>
  </si>
  <si>
    <t>Title</t>
  </si>
  <si>
    <t>Daftar Isi</t>
  </si>
  <si>
    <t>Halaman</t>
  </si>
  <si>
    <t>Surat Pernyataan Direksi</t>
  </si>
  <si>
    <t>Laporan Posisi Keuangan</t>
  </si>
  <si>
    <t>1</t>
  </si>
  <si>
    <t>Laporan Laba Rugi Komprehensif</t>
  </si>
  <si>
    <t>Laporan Perubahan Ekuitas</t>
  </si>
  <si>
    <t>Laporan Arus Kas</t>
  </si>
  <si>
    <t>Catatan atas Laporan Keuangan</t>
  </si>
  <si>
    <t>5 - 20</t>
  </si>
  <si>
    <t>Lampiran Piutang</t>
  </si>
  <si>
    <t>Lampiran Utang</t>
  </si>
  <si>
    <t>*************************</t>
  </si>
  <si>
    <t>Tahun yang Berakhir 31 Desember 2021 dan 2020</t>
  </si>
  <si>
    <t>5 - 19</t>
  </si>
  <si>
    <t>Aset</t>
  </si>
  <si>
    <t>Sumber</t>
  </si>
  <si>
    <t>Penggunaan</t>
  </si>
  <si>
    <t>Aset LANCAR</t>
  </si>
  <si>
    <t>Aset tetap</t>
  </si>
  <si>
    <t>Biaya perolehan</t>
  </si>
  <si>
    <t>Akumulasi penyusutn</t>
  </si>
  <si>
    <t>Aset lain</t>
  </si>
  <si>
    <t>JUMLAH Aset</t>
  </si>
  <si>
    <t>KEWAJIBAN DAN EKUITAS</t>
  </si>
  <si>
    <t>KEWAJIBAN LANCAR</t>
  </si>
  <si>
    <t>JUMLAH KW. LANCAR</t>
  </si>
  <si>
    <t>KEWAJIBAN JK. PJG</t>
  </si>
  <si>
    <t>JUMLAH KW. JK. PJG</t>
  </si>
  <si>
    <t>EKUITAS</t>
  </si>
  <si>
    <t>SALDO LABA</t>
  </si>
  <si>
    <t>JUMLAH EKUITAS</t>
  </si>
  <si>
    <t>JUMLAH KEW. &amp; EKUITAS</t>
  </si>
  <si>
    <t>SUMBER DANA</t>
  </si>
  <si>
    <t>PENGGUNAAN DANA</t>
  </si>
  <si>
    <t>Dana disediakan operasi</t>
  </si>
  <si>
    <t>Laba Bersih</t>
  </si>
  <si>
    <t>Pembagian Dividen</t>
  </si>
  <si>
    <t>Pe (-) F/A</t>
  </si>
  <si>
    <t>Pe (+) F/A</t>
  </si>
  <si>
    <t xml:space="preserve">Pe (+) Modal </t>
  </si>
  <si>
    <t>Pe (+) Investasi</t>
  </si>
  <si>
    <t>Depresiasi</t>
  </si>
  <si>
    <t>Pe (-) A/R</t>
  </si>
  <si>
    <t>Pe (+) Inventory</t>
  </si>
  <si>
    <t>Pe (-) Adv. Paym</t>
  </si>
  <si>
    <t>Pe (+) Prepaid Exp</t>
  </si>
  <si>
    <t>Pe (+) Bank Loan</t>
  </si>
  <si>
    <t>Pe (-) A/P Trade</t>
  </si>
  <si>
    <t>Pe (+) Accr. Exp</t>
  </si>
  <si>
    <t>Pe (-) Advance Rec</t>
  </si>
  <si>
    <t>Pe (+) Accr. Tax</t>
  </si>
  <si>
    <t>Pe (-) Bank Loan LT</t>
  </si>
  <si>
    <t>Pe (+) Saldo Kas</t>
  </si>
  <si>
    <t>ALOKASI MENJADI METODE LANGSUNG</t>
  </si>
  <si>
    <t xml:space="preserve">Total </t>
  </si>
  <si>
    <t>Penerimaan</t>
  </si>
  <si>
    <t>Pembayaran</t>
  </si>
  <si>
    <t>Pembayaran/penerimaan</t>
  </si>
  <si>
    <t>Pembayaran/pengeluaran</t>
  </si>
  <si>
    <t>Alokasi</t>
  </si>
  <si>
    <t>Metode Tidak Langsung</t>
  </si>
  <si>
    <t>dr pelanggan</t>
  </si>
  <si>
    <t>ke pemasok</t>
  </si>
  <si>
    <t>perpajakan</t>
  </si>
  <si>
    <t>bunga</t>
  </si>
  <si>
    <t>beban usaha</t>
  </si>
  <si>
    <t>deposito</t>
  </si>
  <si>
    <t>lain2</t>
  </si>
  <si>
    <t>Laba rugi</t>
  </si>
  <si>
    <t>ARUS KAS DARI OPERASI</t>
  </si>
  <si>
    <t>Laba (Rugi) bersih setelah pajak</t>
  </si>
  <si>
    <t>Penyesuaian untuk merekonsiliasi laba bersih</t>
  </si>
  <si>
    <t>menjadi kas dan setara kas :</t>
  </si>
  <si>
    <t>Amortisasi</t>
  </si>
  <si>
    <t>Perubahan modal kerja</t>
  </si>
  <si>
    <t>Jumlah arus uang dari operasi</t>
  </si>
  <si>
    <t>ARUS KAS UNTUK INVESTASI</t>
  </si>
  <si>
    <t>Penambahan Aktiva Tetap</t>
  </si>
  <si>
    <t>Penjualan Aktiva Tetap</t>
  </si>
  <si>
    <t>Investasi</t>
  </si>
  <si>
    <t>Jumlah arus uang untuk investasi</t>
  </si>
  <si>
    <t>ARUS KAS DARI PENDANAAN</t>
  </si>
  <si>
    <t>atas selisih kurs</t>
  </si>
  <si>
    <t>Pinjaman Bank Jangka Panjang</t>
  </si>
  <si>
    <t>Tambahan Modal Disetor</t>
  </si>
  <si>
    <t>Pembayaran Dividen</t>
  </si>
  <si>
    <t>Jumlah arus uang dari pendanaan</t>
  </si>
  <si>
    <t>Jumlah arus kas bersih</t>
  </si>
  <si>
    <t>Saldo kas dan setara kas, awal</t>
  </si>
  <si>
    <t>Saldo kas dan setara kas, akhir</t>
  </si>
  <si>
    <t>Metode Langsung</t>
  </si>
  <si>
    <t>Penerimaan dari para pelanggan</t>
  </si>
  <si>
    <t>Pembayaran kepada para pemasok</t>
  </si>
  <si>
    <t>Pembayaran untuk perpajakan</t>
  </si>
  <si>
    <t>Pembayaran bunga bank</t>
  </si>
  <si>
    <t>Penghasilan dan beban lainnya-bersih</t>
  </si>
  <si>
    <t>Jumlah arus kas dari operasi</t>
  </si>
  <si>
    <t>Pembelian aktiva tetap</t>
  </si>
  <si>
    <t>Penjualan aktiva tetap</t>
  </si>
  <si>
    <t>Pengeluaran untuk Investasi</t>
  </si>
  <si>
    <t>Jumlah arus kas untuk investasi</t>
  </si>
  <si>
    <t>Pinjaman Bank Jangka Pendek</t>
  </si>
  <si>
    <t>Tambahan modal disetor</t>
  </si>
  <si>
    <t>Jumlah arus kas dari pendanaan</t>
  </si>
  <si>
    <t>KERTAS KERJA PEMBANTU ARUS KAS</t>
  </si>
  <si>
    <t>KETERANGAN</t>
  </si>
  <si>
    <t>TAHUN</t>
  </si>
  <si>
    <t>Penerimaan dari Penjualan</t>
  </si>
  <si>
    <t>Piutang Usaha</t>
  </si>
  <si>
    <t>Pihak Ketiga - non afiliasi</t>
  </si>
  <si>
    <t>Ditambah</t>
  </si>
  <si>
    <t>Penjualan</t>
  </si>
  <si>
    <t xml:space="preserve">Pihak Ketiga </t>
  </si>
  <si>
    <t>Afiliasi</t>
  </si>
  <si>
    <t xml:space="preserve">Jumlah </t>
  </si>
  <si>
    <t>Pembayaran kas kepada</t>
  </si>
  <si>
    <t>Pemasok</t>
  </si>
  <si>
    <t xml:space="preserve">Utang Usaha </t>
  </si>
  <si>
    <t>Ditambah HPP</t>
  </si>
  <si>
    <t>Pemakaian bahan</t>
  </si>
  <si>
    <t>Lain-lain</t>
  </si>
  <si>
    <t>Dikurangi hutang thnberjalan</t>
  </si>
  <si>
    <t>Dikurangi beban pabrikasi  yg diambil utk BTKL</t>
  </si>
  <si>
    <t>aset lain</t>
  </si>
  <si>
    <t>Direksi dan karyawan</t>
  </si>
  <si>
    <t>Beban Pokok - BTKL</t>
  </si>
  <si>
    <t>Beban Penjualan - gaji dan tunjangan</t>
  </si>
  <si>
    <t xml:space="preserve">Beban Umum &amp; Adm - Gaji </t>
  </si>
  <si>
    <t>c</t>
  </si>
  <si>
    <t>Beban Usaha</t>
  </si>
  <si>
    <t>Jumlah Beban usaha</t>
  </si>
  <si>
    <t>d</t>
  </si>
  <si>
    <t>Pembayaran administrasi bank</t>
  </si>
  <si>
    <t>Pendapatan/(beban) bukan usaha</t>
  </si>
  <si>
    <t>Beban bank</t>
  </si>
  <si>
    <t xml:space="preserve">Lain-lain bersih </t>
  </si>
  <si>
    <t>e</t>
  </si>
  <si>
    <t>Penerimaan bunga</t>
  </si>
  <si>
    <t>Pendapatan bunga</t>
  </si>
  <si>
    <t>Lain2</t>
  </si>
  <si>
    <t>f</t>
  </si>
  <si>
    <t>Pembayaran/(penerimaan) pajak penghasilan</t>
  </si>
  <si>
    <t>Mutasi prepaid tax</t>
  </si>
  <si>
    <t>mutasi hutang pajak</t>
  </si>
  <si>
    <t>g</t>
  </si>
  <si>
    <t>h</t>
  </si>
  <si>
    <t>Perolehan aset tetap</t>
  </si>
  <si>
    <t>Penambahan Aktiva tetap</t>
  </si>
  <si>
    <t>i</t>
  </si>
  <si>
    <t>Penerimaan/(pembayaran) hutang/piutang</t>
  </si>
  <si>
    <t>Piutang lain-lain jg pdk</t>
  </si>
  <si>
    <t>Piutang lain-lain jg pjg</t>
  </si>
  <si>
    <t>pembayara/penerimaan utang proyek</t>
  </si>
  <si>
    <t>Utang lain2 jg pdk</t>
  </si>
  <si>
    <t>Utang lain2 jg pjg</t>
  </si>
  <si>
    <t>Utang leasing jg pdk</t>
  </si>
  <si>
    <t>Utang leasing jg pjg</t>
  </si>
  <si>
    <t>Dari aset lain2</t>
  </si>
  <si>
    <t>J</t>
  </si>
  <si>
    <t>Loan bank</t>
  </si>
  <si>
    <t>Terima/(Bayar) - Jg Pdk</t>
  </si>
  <si>
    <t>Terima/(Bayar) - Jg Pjg</t>
  </si>
  <si>
    <t>Jumlah loan bank</t>
  </si>
  <si>
    <t>awaltahun</t>
  </si>
  <si>
    <t>Kas &amp; setara kas</t>
  </si>
  <si>
    <t>menurut neraca</t>
  </si>
  <si>
    <t>selish</t>
  </si>
  <si>
    <t>Untuk Tahun Yang Berakhir Pada tanggal 31 Desember 2021 dan 2020</t>
  </si>
  <si>
    <t>(Disajikan dalam Rupiah, kecuali dinyatakan lain)</t>
  </si>
  <si>
    <t>2022</t>
  </si>
  <si>
    <t>2021</t>
  </si>
  <si>
    <t>2020</t>
  </si>
  <si>
    <t xml:space="preserve">Arus Kas dari Aktivitas Operasi </t>
  </si>
  <si>
    <t xml:space="preserve">Penerimaan dari penjualan </t>
  </si>
  <si>
    <t>Pembayaran kas kepada :</t>
  </si>
  <si>
    <t>Pembayaran beban usaha</t>
  </si>
  <si>
    <t>Pembayaran beban lainnya</t>
  </si>
  <si>
    <t>Penerimaan (pembayaran) bunga</t>
  </si>
  <si>
    <t xml:space="preserve">Kas bersih yang diperoleh dari/(digunakan) </t>
  </si>
  <si>
    <t>untuk aktivitas operasi</t>
  </si>
  <si>
    <t>Arus Kas dari Aktivitas Investasi</t>
  </si>
  <si>
    <t>Penjualan aset tetap</t>
  </si>
  <si>
    <t>untuk aktivitas investasi</t>
  </si>
  <si>
    <t xml:space="preserve">Arus Kas dari Aktivitas Pendanaan </t>
  </si>
  <si>
    <t>(Pembayaran)/penerimaan pinjaman jangka pendek</t>
  </si>
  <si>
    <t>(Pembayaran)/penerimaan pinjaman jangka panjang</t>
  </si>
  <si>
    <t>Penerimaan/(pembayaran) hutang/piutang lainnya</t>
  </si>
  <si>
    <t xml:space="preserve">untuk aktivitas pendanaan </t>
  </si>
  <si>
    <t>Kenaikan/penurunan bersih kas</t>
  </si>
  <si>
    <t>kas dan setara kas pada awal tahun</t>
  </si>
  <si>
    <t>Kas dan setara kas pada akhir tahun</t>
  </si>
  <si>
    <t xml:space="preserve">Kas dan setara kas </t>
  </si>
  <si>
    <t>akhir tahun terdiri :</t>
  </si>
  <si>
    <t xml:space="preserve">Kas </t>
  </si>
  <si>
    <t>Bank-bank</t>
  </si>
  <si>
    <t>Saldo akhir kas dan setara kas</t>
  </si>
  <si>
    <t>thn 2021</t>
  </si>
  <si>
    <t>thn 2020</t>
  </si>
  <si>
    <t xml:space="preserve"> </t>
  </si>
  <si>
    <t>Prepared By :</t>
  </si>
  <si>
    <t>Date :</t>
  </si>
  <si>
    <t>Index :</t>
  </si>
  <si>
    <t>MK</t>
  </si>
  <si>
    <t>F7/1</t>
  </si>
  <si>
    <t xml:space="preserve">Client          </t>
  </si>
  <si>
    <t>Reviewed By :</t>
  </si>
  <si>
    <t>Page :</t>
  </si>
  <si>
    <t xml:space="preserve">Matter </t>
  </si>
  <si>
    <t>Laporan Arus Kas - Tidak langsung</t>
  </si>
  <si>
    <t>Period :</t>
  </si>
  <si>
    <t>Keterangan</t>
  </si>
  <si>
    <t>Saldo per audit</t>
  </si>
  <si>
    <t>Saldo per book</t>
  </si>
  <si>
    <t xml:space="preserve">Kenaikan </t>
  </si>
  <si>
    <t>(Penurunan)-18</t>
  </si>
  <si>
    <t>(Penurunan)-16</t>
  </si>
  <si>
    <t>(Penurunan)-08</t>
  </si>
  <si>
    <t>ASET</t>
  </si>
  <si>
    <t>Aset Lancar</t>
  </si>
  <si>
    <t>Jumlah Aset Lancar</t>
  </si>
  <si>
    <t>Jumlah Aset Tidak Lancar</t>
  </si>
  <si>
    <t xml:space="preserve">control </t>
  </si>
  <si>
    <t>(Penurunan)-10</t>
  </si>
  <si>
    <t>(Penurunan)-09</t>
  </si>
  <si>
    <t>Kewajiban Jangka Pendek</t>
  </si>
  <si>
    <t>Jumlah Kewajiban Jangka Pendek</t>
  </si>
  <si>
    <t>Kewajiban Jangka Panjang</t>
  </si>
  <si>
    <t>Ekuitas</t>
  </si>
  <si>
    <t>Modal disetor</t>
  </si>
  <si>
    <t>Saldo laba (defisit)</t>
  </si>
  <si>
    <t>Jumlah Ekuitas</t>
  </si>
  <si>
    <t>JUMLAH KEWAJIBAN DAN EKUITAS</t>
  </si>
  <si>
    <t>F7/2</t>
  </si>
  <si>
    <t>Tabel perhitungan</t>
  </si>
  <si>
    <t xml:space="preserve">Rugi sebelum beban pajak </t>
  </si>
  <si>
    <t>Penyesuaian untuk:</t>
  </si>
  <si>
    <t>Naik - turun modal kerja</t>
  </si>
  <si>
    <t>Pajak dibayar dimuka</t>
  </si>
  <si>
    <t>Arus kas Operasi</t>
  </si>
  <si>
    <t>Aktivitas investasi</t>
  </si>
  <si>
    <t>penambahan asset</t>
  </si>
  <si>
    <t>Aktivitas Pendanaan</t>
  </si>
  <si>
    <t>Pemegang saham</t>
  </si>
  <si>
    <t>Penerimaan pinjaman</t>
  </si>
  <si>
    <t>Arus kas pendanaan</t>
  </si>
  <si>
    <t>Arus kas bersih</t>
  </si>
  <si>
    <t>Kas awal tahun</t>
  </si>
  <si>
    <t>Kas akhir tahun</t>
  </si>
  <si>
    <t>PT WATERINDO PRIMATECH BEKASI</t>
  </si>
  <si>
    <t>Approval for Print</t>
  </si>
  <si>
    <t>nama</t>
  </si>
  <si>
    <t>signature</t>
  </si>
  <si>
    <t>Per 31 Desember 2018</t>
  </si>
  <si>
    <t>title</t>
  </si>
  <si>
    <t>Catatan</t>
  </si>
  <si>
    <t>2018</t>
  </si>
  <si>
    <t>2017</t>
  </si>
  <si>
    <t xml:space="preserve">buat casflow </t>
  </si>
  <si>
    <t>ASET LANCAR</t>
  </si>
  <si>
    <t>Kas dan setara kas</t>
  </si>
  <si>
    <t>2c, d, 4</t>
  </si>
  <si>
    <t>Piutang usaha - pihak ketiga</t>
  </si>
  <si>
    <t>2e, 5</t>
  </si>
  <si>
    <t>2i, 6</t>
  </si>
  <si>
    <t>Persediaan</t>
  </si>
  <si>
    <t>2f, 7</t>
  </si>
  <si>
    <t>2g, 8</t>
  </si>
  <si>
    <t>Aset lancar lainnya</t>
  </si>
  <si>
    <t>2d, 8</t>
  </si>
  <si>
    <t>JUMLAH ASET LANCAR</t>
  </si>
  <si>
    <t>ASET TIDAK LANCAR</t>
  </si>
  <si>
    <t xml:space="preserve">Aset tetap, </t>
  </si>
  <si>
    <t>setelah dikurangi akumulasi penyusutan dengan nilai sebesar Rp 1.826.956.172,- untuk tahun 2018 dan sebesar Rp 182.534.811,- untuk tahun 2017.</t>
  </si>
  <si>
    <t>2h, 9</t>
  </si>
  <si>
    <t>Aset pajak tangguhan</t>
  </si>
  <si>
    <t>11b</t>
  </si>
  <si>
    <t>Aset lain-lain</t>
  </si>
  <si>
    <t>JUMLAH ASET TIDAK LANCAR</t>
  </si>
  <si>
    <t>JUMLAH ASET</t>
  </si>
  <si>
    <t>LIABILITAS DAN EKUITAS</t>
  </si>
  <si>
    <t>LIABILITAS JANGKA PENDEK</t>
  </si>
  <si>
    <t>Utang bank - jangka pendek</t>
  </si>
  <si>
    <t>2l, 12</t>
  </si>
  <si>
    <t>JUMLAH LIABILITAS JANGKA PENDEK</t>
  </si>
  <si>
    <t>LIABILITAS JANGKA PANJANG</t>
  </si>
  <si>
    <t>Utang bank - jangka panjang</t>
  </si>
  <si>
    <t>2i, 16</t>
  </si>
  <si>
    <t>2i, 18</t>
  </si>
  <si>
    <t>JUMLAH LIABILITAS JANGKA PANJANG</t>
  </si>
  <si>
    <t>Tambahan modal disetor - pengampunan pajak</t>
  </si>
  <si>
    <t>Saldo rugi</t>
  </si>
  <si>
    <t>JUMLAH LIABILITAS DAN EKUITAS</t>
  </si>
  <si>
    <t>Laporan Laba (Rugi) Dan Pendapatan Komprehensif Lain</t>
  </si>
  <si>
    <t xml:space="preserve">Untuk Tahun Yang Berakhir 31 Desember 2018 </t>
  </si>
  <si>
    <t>(disajikan kembali)</t>
  </si>
  <si>
    <t xml:space="preserve">2017 </t>
  </si>
  <si>
    <t>2016</t>
  </si>
  <si>
    <t>PENJUALAN</t>
  </si>
  <si>
    <t>2j, 21</t>
  </si>
  <si>
    <t>BEBAN POKOK PENJUALAN</t>
  </si>
  <si>
    <t>2j, 22</t>
  </si>
  <si>
    <t>LABA KOTOR</t>
  </si>
  <si>
    <t>BEBAN USAHA</t>
  </si>
  <si>
    <t>2i, 23</t>
  </si>
  <si>
    <t>RUGI USAHA</t>
  </si>
  <si>
    <t>PENGHASILAN (BEBAN) LAIN-LAIN</t>
  </si>
  <si>
    <t>2j, 24</t>
  </si>
  <si>
    <t>Pendapatan lain-lain</t>
  </si>
  <si>
    <t>Beban lain-lain</t>
  </si>
  <si>
    <t>Penghasilan (beban) lain-lain, bersih</t>
  </si>
  <si>
    <t>RUGI SEBELUM MANFAAT (BEBAN) PAJAK PENGHASILAN</t>
  </si>
  <si>
    <t>MANFAAT (BEBAN) PAJAK PENGHASILAN</t>
  </si>
  <si>
    <t>Kini</t>
  </si>
  <si>
    <t>Tangguhan</t>
  </si>
  <si>
    <t>Jumlah manfaat (beban) pajak penghasilan</t>
  </si>
  <si>
    <t>RUGI TAHUN BERJALAN</t>
  </si>
  <si>
    <t>PENDAPATAN KOMPREHENSIF LAIN</t>
  </si>
  <si>
    <t>RUGI KOMPREHENSIF TAHUN BERJALAN</t>
  </si>
  <si>
    <t>Modal Saham</t>
  </si>
  <si>
    <t>Cadangan Modal</t>
  </si>
  <si>
    <t>Tambahan Modal Disetor - Pengampunan Pajak</t>
  </si>
  <si>
    <t xml:space="preserve">Saldo Laba </t>
  </si>
  <si>
    <t>Saldo 31 Desember 2015</t>
  </si>
  <si>
    <t>Rugi komprehensif tahun</t>
  </si>
  <si>
    <t>berjalan</t>
  </si>
  <si>
    <r>
      <rPr>
        <b/>
        <sz val="9"/>
        <color indexed="8"/>
        <rFont val="Arial"/>
        <charset val="134"/>
      </rPr>
      <t xml:space="preserve">Saldo 31 Desember 2016 </t>
    </r>
    <r>
      <rPr>
        <b/>
        <sz val="9"/>
        <color indexed="9"/>
        <rFont val="Arial"/>
        <charset val="134"/>
      </rPr>
      <t xml:space="preserve">- </t>
    </r>
    <r>
      <rPr>
        <i/>
        <sz val="9"/>
        <color indexed="9"/>
        <rFont val="Arial"/>
        <charset val="134"/>
      </rPr>
      <t>Disajikan kembali</t>
    </r>
  </si>
  <si>
    <t>Inbreng</t>
  </si>
  <si>
    <t>Laba komprehensif tahun berjalan</t>
  </si>
  <si>
    <t>Saldo 31 Desember 2017</t>
  </si>
  <si>
    <t xml:space="preserve">Koreksi atas inbreng yang belum </t>
  </si>
  <si>
    <t>dilaksanakan</t>
  </si>
  <si>
    <t>Saldo 31 Desember 2018</t>
  </si>
  <si>
    <t>Saldo 31 Desember 2019</t>
  </si>
  <si>
    <t>Koreksi saldo tahun lalu</t>
  </si>
  <si>
    <t>Cadangan modal</t>
  </si>
  <si>
    <t>Saldo 31 Desember 2020</t>
  </si>
  <si>
    <t>Untuk Tahun yang Berakhir 31 Desember 2021 dan 2020</t>
  </si>
  <si>
    <t>Saldo 31 Desember 2021</t>
  </si>
  <si>
    <t>Untuk Tahun Yang Berakhir Pada tanggal 31 Desember 2022 dan 2021</t>
  </si>
  <si>
    <t>F3</t>
  </si>
  <si>
    <t>Client</t>
  </si>
  <si>
    <t>Matter</t>
  </si>
  <si>
    <t>WORKING PROFIT &amp; LOSS</t>
  </si>
  <si>
    <t>D</t>
  </si>
  <si>
    <t>K</t>
  </si>
  <si>
    <t>WP REFF</t>
  </si>
  <si>
    <t>SALDO BUKU</t>
  </si>
  <si>
    <t># adj</t>
  </si>
  <si>
    <t>PAJE/RJE/CAJE</t>
  </si>
  <si>
    <t>SALDO AUDIT</t>
  </si>
  <si>
    <t>NAIK (TURUN)</t>
  </si>
  <si>
    <t>% (tase)</t>
  </si>
  <si>
    <t>Biaya (Harga) Pokok Penjualan</t>
  </si>
  <si>
    <t>Laba Kotor</t>
  </si>
  <si>
    <t>Beban penjualan</t>
  </si>
  <si>
    <t>Beban umum dan administrasi</t>
  </si>
  <si>
    <t>Laba (rugi) Operasi</t>
  </si>
  <si>
    <t>Pendapatan (Beban) Lain-Lain</t>
  </si>
  <si>
    <t>Laba (rugi) sebelum beban pajak penghasilan</t>
  </si>
  <si>
    <t>Beban Pajak Penghasilan</t>
  </si>
  <si>
    <t>Beban Pajak Penghasilan, bersih</t>
  </si>
  <si>
    <t>Laba (Rugi) setelah beban pajak penghasilan</t>
  </si>
  <si>
    <t>Pendapatan komprehensif lain</t>
  </si>
  <si>
    <t>Jumlah laba (rugi) komprehensif tahun berjalan</t>
  </si>
  <si>
    <t>Laba (rugi) awal - kumulatif</t>
  </si>
  <si>
    <t>Koreksi saldo awal</t>
  </si>
  <si>
    <t>Laba (rugi) Akhir - kumulatif</t>
  </si>
  <si>
    <t>GL</t>
  </si>
  <si>
    <t>PY</t>
  </si>
  <si>
    <t>β</t>
  </si>
  <si>
    <t>F6</t>
  </si>
  <si>
    <t>CAJE</t>
  </si>
  <si>
    <t>WP</t>
  </si>
  <si>
    <t>No. #</t>
  </si>
  <si>
    <t>Account #</t>
  </si>
  <si>
    <t>Description</t>
  </si>
  <si>
    <t>Reff.</t>
  </si>
  <si>
    <t>Debit</t>
  </si>
  <si>
    <t>Kredit</t>
  </si>
  <si>
    <t>Status</t>
  </si>
  <si>
    <t>Approved By</t>
  </si>
  <si>
    <t>Effect to P&amp;L</t>
  </si>
  <si>
    <t>CAJE 1</t>
  </si>
  <si>
    <t>C1</t>
  </si>
  <si>
    <t>Selisih Kurs</t>
  </si>
  <si>
    <t>Booked!</t>
  </si>
  <si>
    <t>Clien</t>
  </si>
  <si>
    <t>USD - Mandiri # 1270006446437</t>
  </si>
  <si>
    <t>Penyesuaian selisih kurs pada rekening dollar di bank Mandiri rek # 437</t>
  </si>
  <si>
    <t>C2</t>
  </si>
  <si>
    <t>Utang pph bdn  psl 29</t>
  </si>
  <si>
    <t>WIP DPS</t>
  </si>
  <si>
    <t>Koreksi utang pph bdn</t>
  </si>
  <si>
    <t>Total</t>
  </si>
  <si>
    <t>F5</t>
  </si>
  <si>
    <t>Client          PT COMTECH CELLULAR</t>
  </si>
  <si>
    <t>Matter         PRJE</t>
  </si>
  <si>
    <t>Credit</t>
  </si>
  <si>
    <t>R1</t>
  </si>
  <si>
    <t>Fpn</t>
  </si>
  <si>
    <t>R2</t>
  </si>
  <si>
    <t>R4</t>
  </si>
  <si>
    <t>R5</t>
  </si>
  <si>
    <t>R6</t>
  </si>
  <si>
    <t>BD</t>
  </si>
  <si>
    <t>F4</t>
  </si>
  <si>
    <t>PT IGA</t>
  </si>
  <si>
    <t>Matter         PAJE</t>
  </si>
  <si>
    <t>( ADJUSMENT JOURNAL ENTRIES)</t>
  </si>
  <si>
    <t>A-01</t>
  </si>
  <si>
    <t>Book</t>
  </si>
  <si>
    <t>A-02</t>
  </si>
  <si>
    <t>Investasi PT Mulya Tara Mandiri  *)</t>
  </si>
  <si>
    <t>PT Mulya Tara Mandiri</t>
  </si>
  <si>
    <t>Penyesuaian piutang kepada PT MTM  - lancar</t>
  </si>
  <si>
    <t>Penyesuaian piutang kepada PT MTM  - tidak lancar</t>
  </si>
  <si>
    <t>*)</t>
  </si>
  <si>
    <t>penyesuaian ini sehubungan original transaksi kepada PT MTM adalah kerjasama penyertaan modal investasiyang seharusnya tercatat sebagai investasi</t>
  </si>
  <si>
    <t xml:space="preserve">bukan sebagai piutang </t>
  </si>
  <si>
    <t>hasil konfirmasi langsung ke klien melalui afiliasinya MEP dinyatakan bhw atas trx tersebut sbg piutang</t>
  </si>
  <si>
    <t>A-03</t>
  </si>
  <si>
    <t>Penyesuaian atas investasi PT IGA ke  PT MEB  atas pekerjaan pembelian kompresor yang telah diserahterimakan ke MEB</t>
  </si>
  <si>
    <t>lihat lampiran dd</t>
  </si>
  <si>
    <t>A-04</t>
  </si>
  <si>
    <t>Beban lain2</t>
  </si>
  <si>
    <t>penyesuaian akumulasi penyusutan tahun 2021 karena beda antara neraca dengan lampiran/CALknya</t>
  </si>
  <si>
    <t>lihat lampiran UV</t>
  </si>
  <si>
    <t>A-05</t>
  </si>
  <si>
    <t>reklas aset tetap ke aset lainnya</t>
  </si>
  <si>
    <t>A-06</t>
  </si>
  <si>
    <t>Pajak Kini</t>
  </si>
  <si>
    <t>PPh Pasal 25/29</t>
  </si>
  <si>
    <t>pengakuan pph badan thn 2021</t>
  </si>
  <si>
    <t>A-07</t>
  </si>
  <si>
    <t>pengakuan pph badan thn 2022</t>
  </si>
  <si>
    <t>A-08</t>
  </si>
  <si>
    <t>REKLASS AKUN DARI PMG SHM KE LAIN2</t>
  </si>
  <si>
    <t>A-9</t>
  </si>
  <si>
    <t>A-11</t>
  </si>
  <si>
    <t>A-12</t>
  </si>
  <si>
    <t>A-13</t>
  </si>
  <si>
    <t>A-14</t>
  </si>
  <si>
    <t>A-15</t>
  </si>
  <si>
    <t>A-16</t>
  </si>
  <si>
    <t>KAP LIASTA NIRWAN SYAFRUDIN &amp; REKAN</t>
  </si>
  <si>
    <t>F1</t>
  </si>
  <si>
    <t>Matter        Account Receivable</t>
  </si>
  <si>
    <t>WORKING FINANCIAL STATEMENT</t>
  </si>
  <si>
    <t xml:space="preserve">WP </t>
  </si>
  <si>
    <t>Kas dan bank</t>
  </si>
  <si>
    <t>A</t>
  </si>
  <si>
    <t>Piutang usaha</t>
  </si>
  <si>
    <t>pihak ketiga</t>
  </si>
  <si>
    <t>B</t>
  </si>
  <si>
    <t>pihak berelasi</t>
  </si>
  <si>
    <t>C</t>
  </si>
  <si>
    <t>Piutang lain-lain</t>
  </si>
  <si>
    <t>Biaya dibayar dimuka</t>
  </si>
  <si>
    <t>E</t>
  </si>
  <si>
    <t>F</t>
  </si>
  <si>
    <t>Pekerjaan dlm pelaksanaan</t>
  </si>
  <si>
    <t>G</t>
  </si>
  <si>
    <t>UV</t>
  </si>
  <si>
    <t>Nilai buku aset tetap  bersih</t>
  </si>
  <si>
    <t xml:space="preserve">Investasi </t>
  </si>
  <si>
    <t>H</t>
  </si>
  <si>
    <t>Aset tidak lancar lainnya</t>
  </si>
  <si>
    <t>I</t>
  </si>
  <si>
    <t>Aset Tidak Lancar - Lain2</t>
  </si>
  <si>
    <t>ü</t>
  </si>
  <si>
    <t>Sesuai dengan Saldo Buku Besar Periode 31 Desember 2022 &amp; 2021</t>
  </si>
  <si>
    <t>Sesuai dengan Saldo Audit Periode Sebelumnya</t>
  </si>
  <si>
    <t>Rumus dan Formula Perhitungan telah Diperiksa</t>
  </si>
  <si>
    <t>Check to Bank Statements as of December 31, 2022 &amp; 2021</t>
  </si>
  <si>
    <t>Analisa Sementara</t>
  </si>
  <si>
    <t>Total Aset 2022 diatas 50 milyar wajib melaporkan kepada menteri perdagangan yaitu LKTP (laporan keuangn tahunan perusahaan) sesuai BAB II pasal 4</t>
  </si>
  <si>
    <t>Kewajiban sebagaimana dimaksud dalam Pasal 2 berlaku bagi perusahaan yang berbentuk:</t>
  </si>
  <si>
    <t>a. Perseroan Terbatas yang telah memenuhi salah satu kriteria:</t>
  </si>
  <si>
    <t xml:space="preserve">1) merupakan Perseroan Terbuka;
</t>
  </si>
  <si>
    <t xml:space="preserve">2) bidang usaha yang berkaitan dengan pengerahan
dana masyarakat;
</t>
  </si>
  <si>
    <t xml:space="preserve">3) mengeluarkan surat pengakuan utang;
</t>
  </si>
  <si>
    <t>4) memiliki jumlah aktiva atau kekayaan paling sedikit
Rp.25.000.000.000,00 (dua puluh lima miliar</t>
  </si>
  <si>
    <t>c =</t>
  </si>
  <si>
    <t>Aset lain-lain tidak di klasifikasikan sebagai aset tetap karena akan dibiayakan hanya merupakan pembelian seperti pompa air, mesin vibrator, material pasir dan lain-lain, (Lihat WP F1-4),</t>
  </si>
  <si>
    <t>F2</t>
  </si>
  <si>
    <t>UTANG JANGKA PENDEK</t>
  </si>
  <si>
    <t>AA</t>
  </si>
  <si>
    <t>Utang usaha</t>
  </si>
  <si>
    <t>BB</t>
  </si>
  <si>
    <t>Utang lain-lain</t>
  </si>
  <si>
    <t>DD</t>
  </si>
  <si>
    <t>Utang pajak</t>
  </si>
  <si>
    <t>FF</t>
  </si>
  <si>
    <t>Biaya yang masih harus dibayar</t>
  </si>
  <si>
    <t>CC</t>
  </si>
  <si>
    <t>Uang Muka Penjualan</t>
  </si>
  <si>
    <t>Utang pembiayaan jangka pendek</t>
  </si>
  <si>
    <t>II</t>
  </si>
  <si>
    <t>JUMLAH UTANG JANGKA PENDEK</t>
  </si>
  <si>
    <t>UTANG JANGKA PANJANG</t>
  </si>
  <si>
    <t>Utang pembiayaan - jangka panjang</t>
  </si>
  <si>
    <t>Utang pihak berelasi</t>
  </si>
  <si>
    <t>GG</t>
  </si>
  <si>
    <t>Imbalan paska kerja</t>
  </si>
  <si>
    <t>Z</t>
  </si>
  <si>
    <t>JUMLAH UTANG JANGKA PANJANG</t>
  </si>
  <si>
    <t>JUMLAH UTANG</t>
  </si>
  <si>
    <t>DER ratio</t>
  </si>
  <si>
    <t>SS</t>
  </si>
  <si>
    <t>Tambahan modal disetor - cadangan</t>
  </si>
  <si>
    <t>TT</t>
  </si>
  <si>
    <t>Laba (rugi) awal</t>
  </si>
  <si>
    <t>Laba (rugi) tahun berjalan</t>
  </si>
  <si>
    <t>SUMBER INHOUSE 2022 and 2021</t>
  </si>
  <si>
    <t>beda inhouse</t>
  </si>
  <si>
    <t>AS AUDIT 2017</t>
  </si>
  <si>
    <t>AS BUKU</t>
  </si>
  <si>
    <t>RE 2016</t>
  </si>
  <si>
    <t>LABA TAHUN 2017</t>
  </si>
  <si>
    <t>RE 2017</t>
  </si>
  <si>
    <t>LABA TAHUN 2018</t>
  </si>
  <si>
    <t>RE 2018</t>
  </si>
  <si>
    <t>LABA TAHUN 2019</t>
  </si>
  <si>
    <t>RE 2019</t>
  </si>
  <si>
    <t>LABA TAHUN 2020</t>
  </si>
  <si>
    <t>RE 2020</t>
  </si>
  <si>
    <t>LABA TAHUN 2021</t>
  </si>
  <si>
    <t>RE 2021</t>
  </si>
  <si>
    <t>LABA TAHUN 2022</t>
  </si>
  <si>
    <t>SALDO AKHIR 2022</t>
  </si>
  <si>
    <t>Reff</t>
  </si>
  <si>
    <t>Pendapatan</t>
  </si>
  <si>
    <t>Harga Pokok Pendapatan</t>
  </si>
  <si>
    <t>Laba (rugi) Kotor</t>
  </si>
  <si>
    <t>Gross margin</t>
  </si>
  <si>
    <t>Laba (rugi) Usaha</t>
  </si>
  <si>
    <t>Operation margin</t>
  </si>
  <si>
    <t>Net margin before tax</t>
  </si>
  <si>
    <t>Pajak Tangguhan</t>
  </si>
  <si>
    <t>Net margin after tax</t>
  </si>
  <si>
    <t>Analitical review</t>
  </si>
  <si>
    <t>Laba / (rugi) Kotor</t>
  </si>
  <si>
    <t>% Margin</t>
  </si>
  <si>
    <t>Jumlah Beban Usaha</t>
  </si>
  <si>
    <t>% Op exp</t>
  </si>
  <si>
    <t>Laba Usaha</t>
  </si>
  <si>
    <t>% Laba Usaha</t>
  </si>
  <si>
    <t>Pendapatan(beban) Lain-lain</t>
  </si>
  <si>
    <t>Laba Bersih sebelum pajak</t>
  </si>
  <si>
    <t>% Laba bersih sebelum pajak</t>
  </si>
  <si>
    <t>Pajak Badan</t>
  </si>
  <si>
    <t>Laba Bersih setelah pajak</t>
  </si>
  <si>
    <t>% Laba bersih setelah pajak</t>
  </si>
  <si>
    <t xml:space="preserve">Growth </t>
  </si>
  <si>
    <t>HPP</t>
  </si>
  <si>
    <t>Pada Tanggal 31 Desember 2021 Dan 2020</t>
  </si>
  <si>
    <t>cf 2021</t>
  </si>
  <si>
    <t>cf 2020</t>
  </si>
  <si>
    <t xml:space="preserve">Persediaan </t>
  </si>
  <si>
    <t>2f, 5</t>
  </si>
  <si>
    <t>Biaya Dibayar Dimuka</t>
  </si>
  <si>
    <t>Pekerjaan Dalam Pelaksanaan</t>
  </si>
  <si>
    <t>2e, 2i, 8</t>
  </si>
  <si>
    <t>setelah dikurangi akumulasi penyusutan sebesar Rp 13.596.645.480,- untuk tahun 2021 dan Rp 11.777.055.302,- untuk tahun 2020</t>
  </si>
  <si>
    <t>Modal saham</t>
  </si>
  <si>
    <t>Tambahan modal disetor - Pengampunan pajak</t>
  </si>
  <si>
    <t>Saldo laba</t>
  </si>
  <si>
    <t>selisih 2021</t>
  </si>
  <si>
    <t>selisih 2020</t>
  </si>
  <si>
    <t>PENDAPATAN USAHA</t>
  </si>
  <si>
    <t>BEBAN POKOK PENDAPATAN</t>
  </si>
  <si>
    <t>Beban pemasaran</t>
  </si>
  <si>
    <t>Beban administrasi dan umum</t>
  </si>
  <si>
    <t>LABA USAHA</t>
  </si>
  <si>
    <t>Jumlah Pendapatan (Beban) Lain-lain</t>
  </si>
  <si>
    <t>LABA SEBELUM PAJAK PENGHASILAN</t>
  </si>
  <si>
    <t>PAJAK PENGHASILAN</t>
  </si>
  <si>
    <t>11c</t>
  </si>
  <si>
    <t>Jumlah Pajak Penghasilan</t>
  </si>
  <si>
    <t>LABA BERSIH</t>
  </si>
  <si>
    <t xml:space="preserve">LABA KOMPREHENSIF </t>
  </si>
  <si>
    <t>Laba/(Rugi) tahun berjalan</t>
  </si>
  <si>
    <t>Saldo laba/(rugi)</t>
  </si>
  <si>
    <t>Rugi komprehensif tahun berjalan</t>
  </si>
  <si>
    <t>Aset dalam pengampunan</t>
  </si>
  <si>
    <t>Koreksi saldo awal - lahan PJT</t>
  </si>
  <si>
    <t>Koreksi saldo awal - akumulasi penyusutan</t>
  </si>
  <si>
    <t>tidak terpakai</t>
  </si>
  <si>
    <t>Tahun yang Berakhir 31 Desember 2018 dan 2017</t>
  </si>
  <si>
    <t>ARUS KAS DARI AKTIVITAS OPERASI</t>
  </si>
  <si>
    <t>Laba (Rugi) komprehensif tahun berjalan</t>
  </si>
  <si>
    <t>Penyesuaian untuk merekonsiliasi laba (rugi) sebelum beban pajak penghasilan menjadi kas neto diperoleh dari (digunakan untuk) aktivitas operasi :</t>
  </si>
  <si>
    <t>Penyusutan</t>
  </si>
  <si>
    <t>Perubahan dalam aset dan liabilitas operasi :</t>
  </si>
  <si>
    <t>Kas neto diperoleh dari/(digunakan untuk) aktivitas operasi</t>
  </si>
  <si>
    <t>ARUS KAS DARI AKTIVITAS INVESTASI</t>
  </si>
  <si>
    <t>Kas neto diperoleh dari/(digunakan untuk) aktivitas investasi</t>
  </si>
  <si>
    <t>ARUS KAS DARI AKTIVITAS PENDANAAN</t>
  </si>
  <si>
    <t>Penerimaan dari pemegang saham</t>
  </si>
  <si>
    <t>Kas neto diperoleh dari/(digunakan untuk) aktivitas pendanaan</t>
  </si>
  <si>
    <t>KENAIKAN (PENURUNAN) NETO KAS DAN SETARA KAS</t>
  </si>
  <si>
    <t>KAS DAN SETARA KAS AWAL TAHUN</t>
  </si>
  <si>
    <t>KAS DAN SETARA KAS AKHIR TAHUN</t>
  </si>
  <si>
    <t>Saldo Laba</t>
  </si>
  <si>
    <t>Pada Tanggal 31 Desember 2022 Dan 2021</t>
  </si>
  <si>
    <t>CF 2022</t>
  </si>
  <si>
    <t>Pekerjaan dalam pelaksanaan</t>
  </si>
  <si>
    <t>setelah dikurangi akumulasi penyusutan sebesar Rp 14.754.549.222,- untuk tahun 2022 dan Rp 13.596.645.480,- untuk tahun 2021</t>
  </si>
  <si>
    <t>Beban akrual</t>
  </si>
  <si>
    <t>2g, 13</t>
  </si>
  <si>
    <t>Pendapatan ditangguhkan</t>
  </si>
  <si>
    <t>Untuk Tahun yang Berakhir 31 Desember 2022 dan 2021</t>
  </si>
  <si>
    <t>%</t>
  </si>
  <si>
    <t>Saldo 31 Desember 2022</t>
  </si>
  <si>
    <t>Prepared by</t>
  </si>
  <si>
    <t>Ari</t>
  </si>
  <si>
    <t>Reviewed by</t>
  </si>
  <si>
    <t>Putra</t>
  </si>
  <si>
    <t xml:space="preserve">Matter        </t>
  </si>
  <si>
    <t>Cash &amp; Bank</t>
  </si>
  <si>
    <t>Kas HO</t>
  </si>
  <si>
    <t>Kas Kecil</t>
  </si>
  <si>
    <t>a1</t>
  </si>
  <si>
    <t>Total Kas</t>
  </si>
  <si>
    <t>Bank</t>
  </si>
  <si>
    <r>
      <rPr>
        <b/>
        <sz val="10"/>
        <color indexed="10"/>
        <rFont val="Arial"/>
        <charset val="134"/>
      </rPr>
      <t>β</t>
    </r>
    <r>
      <rPr>
        <sz val="10"/>
        <rFont val="Arial"/>
        <charset val="134"/>
      </rPr>
      <t>/b1</t>
    </r>
  </si>
  <si>
    <t>IDR - Mandiri # 1270006361602</t>
  </si>
  <si>
    <r>
      <t>β</t>
    </r>
    <r>
      <rPr>
        <sz val="10"/>
        <rFont val="Arial"/>
        <charset val="134"/>
      </rPr>
      <t>/b2</t>
    </r>
  </si>
  <si>
    <t>IDR - Mandiri Giro # 127000630778</t>
  </si>
  <si>
    <r>
      <rPr>
        <b/>
        <sz val="10"/>
        <color indexed="10"/>
        <rFont val="Arial"/>
        <charset val="134"/>
      </rPr>
      <t>β</t>
    </r>
    <r>
      <rPr>
        <sz val="10"/>
        <rFont val="Arial"/>
        <charset val="134"/>
      </rPr>
      <t>/b3</t>
    </r>
  </si>
  <si>
    <t>IDR - Mandiri Esc # 1270011831268</t>
  </si>
  <si>
    <r>
      <rPr>
        <b/>
        <sz val="10"/>
        <color indexed="10"/>
        <rFont val="Arial"/>
        <charset val="134"/>
      </rPr>
      <t>β</t>
    </r>
    <r>
      <rPr>
        <sz val="10"/>
        <rFont val="Arial"/>
        <charset val="134"/>
      </rPr>
      <t>/b4</t>
    </r>
  </si>
  <si>
    <t>IDR - BNI # 8338445199</t>
  </si>
  <si>
    <t>IDR - BRI # 042501000903309</t>
  </si>
  <si>
    <r>
      <rPr>
        <b/>
        <sz val="10"/>
        <color indexed="10"/>
        <rFont val="Arial"/>
        <charset val="134"/>
      </rPr>
      <t>β</t>
    </r>
    <r>
      <rPr>
        <sz val="10"/>
        <rFont val="Arial"/>
        <charset val="134"/>
      </rPr>
      <t>/b5</t>
    </r>
  </si>
  <si>
    <t>Jumlah Saldo Bank &amp; deposito</t>
  </si>
  <si>
    <t>kppk</t>
  </si>
  <si>
    <t>Deposito</t>
  </si>
  <si>
    <t>JUMLAH KAS DAN BANK</t>
  </si>
  <si>
    <t>RBA</t>
  </si>
  <si>
    <t>risk base audit</t>
  </si>
  <si>
    <t>Materialitas awal</t>
  </si>
  <si>
    <t xml:space="preserve">TOC </t>
  </si>
  <si>
    <t>tes of control</t>
  </si>
  <si>
    <t>TOD</t>
  </si>
  <si>
    <t>tes of detil</t>
  </si>
  <si>
    <t>a:</t>
  </si>
  <si>
    <t>Desciption Use Account banks</t>
  </si>
  <si>
    <t>Digunakan untuk transaksi valas</t>
  </si>
  <si>
    <t>Digunakan untuk operasional bisnis (cost only) sifatnya taktis, ini buku tabungan</t>
  </si>
  <si>
    <t xml:space="preserve">Digunakan untuk pemasukan dan operasional, gaji, </t>
  </si>
  <si>
    <t>Digunakan untuk proyek di 2023 dimedan</t>
  </si>
  <si>
    <t>Digunakan untuk pemasukan &amp; operasional ovb (income center dan cost center)</t>
  </si>
  <si>
    <t>Digunakan untuk terkait fasiltas pinjman (project)</t>
  </si>
  <si>
    <t>Analysis of account balances in foreign currency:</t>
  </si>
  <si>
    <t>Mata uang asing</t>
  </si>
  <si>
    <t>Nilai Rupiah dlm lap keu</t>
  </si>
  <si>
    <t>Kurs BI 31 des 22</t>
  </si>
  <si>
    <t>Nilai Konversi USD</t>
  </si>
  <si>
    <t>Nilai USD sesuai Rekening Koran</t>
  </si>
  <si>
    <t>Beda USD</t>
  </si>
  <si>
    <t>Beda dalam rupiah</t>
  </si>
  <si>
    <t>3 = 1 / 2</t>
  </si>
  <si>
    <t>5 = 3-4</t>
  </si>
  <si>
    <t>6 = 2 x 5</t>
  </si>
  <si>
    <t>JUMLAH</t>
  </si>
  <si>
    <t>USD per 31 Des 22 BI rate</t>
  </si>
  <si>
    <t>D. Beban Selisih kurs -  Lain-lain</t>
  </si>
  <si>
    <t>K.      Bank Mandiri USD 437</t>
  </si>
  <si>
    <t>Kurs BI 31 des 21</t>
  </si>
  <si>
    <t>KESIMPULAN AUDIT: (beri tanda "X")</t>
  </si>
  <si>
    <t>X</t>
  </si>
  <si>
    <t>WAJAR</t>
  </si>
  <si>
    <t>TIDAK WAJAR,</t>
  </si>
  <si>
    <t>Kas disajikan secara wajar dalam semua hal material dan dibedakan rekening operasional jg rekening pinjaman</t>
  </si>
  <si>
    <t>Audit Conclusion : Based on our audit procedure for this account, we conclude that the balance of Cash and Bank are presented fairly with Etap</t>
  </si>
  <si>
    <t>Fp</t>
  </si>
  <si>
    <t>Index</t>
  </si>
  <si>
    <t>Pengujian Tarik Mundur Saldo Kas (IDR)</t>
  </si>
  <si>
    <t>A-1</t>
  </si>
  <si>
    <t>A: 31 Desember 2022</t>
  </si>
  <si>
    <t>Review by</t>
  </si>
  <si>
    <t>R</t>
  </si>
  <si>
    <t>Kas - IDR</t>
  </si>
  <si>
    <t>Mata Uang</t>
  </si>
  <si>
    <t>Asing</t>
  </si>
  <si>
    <t>Saldo per 26 Oktober  2023 :</t>
  </si>
  <si>
    <t>Kas keluar :</t>
  </si>
  <si>
    <t>A.1.1</t>
  </si>
  <si>
    <t>BULAN</t>
  </si>
  <si>
    <t>URAIAN</t>
  </si>
  <si>
    <t>JAN</t>
  </si>
  <si>
    <t>vo</t>
  </si>
  <si>
    <t>FEB</t>
  </si>
  <si>
    <t>MAR</t>
  </si>
  <si>
    <t>APR</t>
  </si>
  <si>
    <t>MAY</t>
  </si>
  <si>
    <t>JUN</t>
  </si>
  <si>
    <t>JUL</t>
  </si>
  <si>
    <t>AUG</t>
  </si>
  <si>
    <t>SEP</t>
  </si>
  <si>
    <t>OCT</t>
  </si>
  <si>
    <t>Total kas keluar</t>
  </si>
  <si>
    <t>Kas masuk :</t>
  </si>
  <si>
    <t>Total kas masuk</t>
  </si>
  <si>
    <t>Daftar kas bon :</t>
  </si>
  <si>
    <t>Pengembalian kas bon :</t>
  </si>
  <si>
    <t>Saldo per 31 Desember 2022</t>
  </si>
  <si>
    <t>passed</t>
  </si>
  <si>
    <t>note: kasbon tersebut sudah di anggap pengeluaran</t>
  </si>
  <si>
    <t>Vouching untuk kas keluar bulan januari sebesar</t>
  </si>
  <si>
    <t>Vouching untuk kas masuk bulan februari sebesar</t>
  </si>
  <si>
    <t>JJ</t>
  </si>
  <si>
    <t>kontrol konfirmasi</t>
  </si>
  <si>
    <t>Saldo Buku</t>
  </si>
  <si>
    <t>Saldo Menurut Konfirmasi</t>
  </si>
  <si>
    <t xml:space="preserve">Beda Book VS </t>
  </si>
  <si>
    <t>Kode</t>
  </si>
  <si>
    <t>Tanggal Kirim</t>
  </si>
  <si>
    <t>Tanggal Terima</t>
  </si>
  <si>
    <t>ba rekon</t>
  </si>
  <si>
    <t>BANK</t>
  </si>
  <si>
    <t>β/b1</t>
  </si>
  <si>
    <t>β/b2</t>
  </si>
  <si>
    <t>β/b3</t>
  </si>
  <si>
    <t>β/b4</t>
  </si>
  <si>
    <t>β/b5</t>
  </si>
  <si>
    <t>PIUTANG USAHA</t>
  </si>
  <si>
    <t>Jumlah AR di list AR</t>
  </si>
  <si>
    <t>tes sampling &gt;&gt;&gt;&gt;&gt;&gt;&gt;&gt;&gt;&gt;&gt;&gt;</t>
  </si>
  <si>
    <t>Hutang usaha</t>
  </si>
  <si>
    <t>OK</t>
  </si>
  <si>
    <t>Catatan:</t>
  </si>
  <si>
    <t>CB</t>
  </si>
  <si>
    <t>Cocok</t>
  </si>
  <si>
    <t>subsuqeen payment</t>
  </si>
  <si>
    <t>RD</t>
  </si>
  <si>
    <t>Saldo Mutasi Bank</t>
  </si>
  <si>
    <t>Tahun 2022</t>
  </si>
  <si>
    <t>No</t>
  </si>
  <si>
    <t>Bank Book Mandiri 778</t>
  </si>
  <si>
    <t>Bank Mandiri KCP Jkt Gedung Arcadia NO rek 1270006360778 - INTAN GIRI ABADI</t>
  </si>
  <si>
    <t>Tes of transaksi</t>
  </si>
  <si>
    <t>Januari</t>
  </si>
  <si>
    <t>Februari</t>
  </si>
  <si>
    <t>Maret</t>
  </si>
  <si>
    <t>Saldo Awal</t>
  </si>
  <si>
    <t>Debet</t>
  </si>
  <si>
    <t>Saldo Akhir</t>
  </si>
  <si>
    <t>Tgl</t>
  </si>
  <si>
    <t>Transaksi</t>
  </si>
  <si>
    <t>Terima uang</t>
  </si>
  <si>
    <t>Keluar</t>
  </si>
  <si>
    <t>CENTRAL MOTOR WHEEL
INDONESIA, PT - 042</t>
  </si>
  <si>
    <t>MCM InhouseTrf DARI BAMBANG
PRIJAMBODO</t>
  </si>
  <si>
    <t>bni</t>
  </si>
  <si>
    <t>PT. PURI DHARMAWANGSA RAYA
HOT - 009</t>
  </si>
  <si>
    <t>BPJS Ketenagakrjaan</t>
  </si>
  <si>
    <t>Angsuran hino 1</t>
  </si>
  <si>
    <t>GRAHANIAGA TATAUTAMA - 022</t>
  </si>
  <si>
    <t>Beli Bakteri GNTU-1</t>
  </si>
  <si>
    <t>April</t>
  </si>
  <si>
    <t>Angsuran hino 2</t>
  </si>
  <si>
    <t>Pembayaran 1</t>
  </si>
  <si>
    <t>Mei</t>
  </si>
  <si>
    <t>Angsuran hino 3</t>
  </si>
  <si>
    <t>Dari Patra Logistik</t>
  </si>
  <si>
    <t>CENTRAL MOTOR WHEEL
INDONESIA, PT</t>
  </si>
  <si>
    <t>Juni</t>
  </si>
  <si>
    <t>Angsuran hino 4</t>
  </si>
  <si>
    <t>Juli</t>
  </si>
  <si>
    <t>Listrik Off 1</t>
  </si>
  <si>
    <t>Agustus</t>
  </si>
  <si>
    <t>Nissan Terra ke17/59</t>
  </si>
  <si>
    <t>Beli Bakteri GNTU 2</t>
  </si>
  <si>
    <t>September</t>
  </si>
  <si>
    <t>CA addwork por Cabin</t>
  </si>
  <si>
    <t>Tripcost nagrek-subg</t>
  </si>
  <si>
    <t>Oktober</t>
  </si>
  <si>
    <t>sewa gtm 2 unit</t>
  </si>
  <si>
    <t>Listrik Office 119</t>
  </si>
  <si>
    <t>November</t>
  </si>
  <si>
    <t>Sewa GTM 1 LWC - Nov</t>
  </si>
  <si>
    <t>Telp+Indihome Kantor</t>
  </si>
  <si>
    <t>Desember</t>
  </si>
  <si>
    <t>Hot Tap PipaRiser -1</t>
  </si>
  <si>
    <t>Nissan Terra ke25/60</t>
  </si>
  <si>
    <t>Pjk Pajero B 2064TBN</t>
  </si>
  <si>
    <t>Pajak HT B 9066 SEA</t>
  </si>
  <si>
    <t>Bank BNI 5199 - Intan Giri Abadi</t>
  </si>
  <si>
    <t>Nissan Terra ke18/60 - SHINHAN INDO
FINANCE</t>
  </si>
  <si>
    <t>BPJS IGA Jan 22</t>
  </si>
  <si>
    <t>BG 305832-
Transfer 10305832</t>
  </si>
  <si>
    <t>Bunga Pinjaman BRI
Online Trf 308531</t>
  </si>
  <si>
    <t>PB
MCM Outw RTGS INTAN GIRI</t>
  </si>
  <si>
    <t>Bayar Bunga</t>
  </si>
  <si>
    <t>Nissan Terra ke26/60</t>
  </si>
  <si>
    <t>Sewa Rumah sawangan</t>
  </si>
  <si>
    <t>Sewa Rumah Jati Asih - Trf KE SONNY</t>
  </si>
  <si>
    <t>Angsuran Nmax ke 4</t>
  </si>
  <si>
    <t>CA
MCM InhouseTrf KE BOWO
TRIWACOKO</t>
  </si>
  <si>
    <t>bri</t>
  </si>
  <si>
    <t>BPJS IGA Feb 22</t>
  </si>
  <si>
    <t>Beli Bakteri GNTU 4</t>
  </si>
  <si>
    <t>Beli Chemical PAC dll</t>
  </si>
  <si>
    <t>Hino - sewa ke csutomer</t>
  </si>
  <si>
    <t>Nissan terra - disewa ke bas oil</t>
  </si>
  <si>
    <t>Inova 2</t>
  </si>
  <si>
    <t>CMWI - klien di pasuruan proyek (renovasi renovasi)</t>
  </si>
  <si>
    <t>Rek BNI</t>
  </si>
  <si>
    <t>Masuk</t>
  </si>
  <si>
    <t>masuk dari Mitra Energi - MITRA ENERGI
PERSADA ( SEBAGIAN
PROFORMA INV
NO.001/IGAMEP/INV/X/2022</t>
  </si>
  <si>
    <t>PB ke Mndiri Iga 788</t>
  </si>
  <si>
    <t>&gt;&gt;&gt;&gt;&gt;&gt;</t>
  </si>
  <si>
    <t>masuk ke rek mndiri lalu di tf ke Mulya tara mandiri</t>
  </si>
  <si>
    <t>Banks</t>
  </si>
  <si>
    <t>Saldo Per 31Desember 2022</t>
  </si>
  <si>
    <t>Nama Bank</t>
  </si>
  <si>
    <t>Nomor rekening</t>
  </si>
  <si>
    <t>USD by Book</t>
  </si>
  <si>
    <t>USD by RK</t>
  </si>
  <si>
    <t>Konversi Rp</t>
  </si>
  <si>
    <t>Saldo by rekening koran</t>
  </si>
  <si>
    <t>Saldo bybook 2022</t>
  </si>
  <si>
    <t>Account No.</t>
  </si>
  <si>
    <t>Account Name</t>
  </si>
  <si>
    <t>Note Auditor</t>
  </si>
  <si>
    <t xml:space="preserve">    a1</t>
  </si>
  <si>
    <t>Bank USD</t>
  </si>
  <si>
    <t xml:space="preserve">Mandiri USD </t>
  </si>
  <si>
    <t>booked</t>
  </si>
  <si>
    <t>Jmlh Bank USD</t>
  </si>
  <si>
    <t>Bank IDR</t>
  </si>
  <si>
    <t xml:space="preserve">Mandiri </t>
  </si>
  <si>
    <t>Mandiri Giro</t>
  </si>
  <si>
    <t>BNI</t>
  </si>
  <si>
    <t>BRI</t>
  </si>
  <si>
    <t>042501000903309</t>
  </si>
  <si>
    <t>Jumlah Bank IDR</t>
  </si>
  <si>
    <t>Jumlah Bank</t>
  </si>
  <si>
    <t>sudah dicek ke rekening korannya</t>
  </si>
  <si>
    <t>`</t>
  </si>
  <si>
    <t>Saldo Per 31Desember 2021</t>
  </si>
  <si>
    <t>Saldo bybook 2021</t>
  </si>
  <si>
    <t>Kurs US Dollar Per tgl 22 Agusuts 2023</t>
  </si>
  <si>
    <t>AUDIT ISU</t>
  </si>
  <si>
    <t>Tahun Buku 2022</t>
  </si>
  <si>
    <t>Audit Isu</t>
  </si>
  <si>
    <t>WP Ref</t>
  </si>
  <si>
    <t>Confuntion</t>
  </si>
  <si>
    <t>Amount</t>
  </si>
  <si>
    <t>Modal</t>
  </si>
  <si>
    <t>Deviasi</t>
  </si>
  <si>
    <t xml:space="preserve">Rincian piutang usaha thn 2022 </t>
  </si>
  <si>
    <t xml:space="preserve">Rincian WIP tahun 2022 </t>
  </si>
  <si>
    <t>Rincian Biaya dibayar dimuka</t>
  </si>
  <si>
    <t>Daftar Aset Tetap dan perhitungan penyusutan</t>
  </si>
  <si>
    <t>Akumulasi 31/12/2021 di list 2022 untuk kendaraan angkanya bawaan 31 des 2020</t>
  </si>
  <si>
    <t>Nilai perolehan awal 2022 utk kendaraabn hino ditro masih muncul padahal di 2021 sdh dikeluarkan dari daftar aset</t>
  </si>
  <si>
    <t>Nilai perolehan peral kantor cctv sbsr 3,225,000 di Penambahan 2022 muncul</t>
  </si>
  <si>
    <t>Nilai perolehan kendaraan bermotor jg saldo awal 2022nya salah (yg dimasukkan saldo awal 2020 bkn saldo akhir2021)</t>
  </si>
  <si>
    <t>Hutang lain-lain ke pihak ketiga, tahun 2021 penjumlahannya ada yang blum di masukkan</t>
  </si>
  <si>
    <t>utang DPS Project Bawean adalah utang sehubungan dengan …..</t>
  </si>
  <si>
    <t>utang bank BNI dan Panin 2022 beda nilainya</t>
  </si>
  <si>
    <t>untuk tes vouch pendapatan minta dokumen faktur invoice beserta srt jalannya</t>
  </si>
  <si>
    <t>utang lain2 kompresor ke PT MEB telah dioffset ke WIP DPS sebesar Rp 4,017 Milyar</t>
  </si>
  <si>
    <t>tgl ; 13/10/23</t>
  </si>
  <si>
    <t>rincian piutang lain2 tahun 2021</t>
  </si>
  <si>
    <t>PT Intan Giri Abadi (SIUJK 297/C.31.1/31.74/2/906277/-I.785.56/2018 by pemprov DKI tgl 10 Juli 2018</t>
  </si>
  <si>
    <t>Perjanjian Kerjasama Investasi</t>
  </si>
  <si>
    <t>Nomor</t>
  </si>
  <si>
    <t>Dengan</t>
  </si>
  <si>
    <t>Alamat</t>
  </si>
  <si>
    <t>Mengenai</t>
  </si>
  <si>
    <t>396/SP/IGA-GNTU/DIR/IX/2019</t>
  </si>
  <si>
    <t>PT Grahaniaga Tatautama</t>
  </si>
  <si>
    <t>Graha Cimb Niaga Jend Sudirman Jakpus</t>
  </si>
  <si>
    <t>Menggunakan WWTP (waste water treatment plant &amp; sewage treatment plant)</t>
  </si>
  <si>
    <t>harga tarif dasar adalah Rp 9,000,- /M3 blm termasuk ppn</t>
  </si>
  <si>
    <t>apabila target produksi melebihi maka berlaku tarif sesua tabel</t>
  </si>
  <si>
    <t>Tarif jasa pengolahan air limbah  menjadi air baku dilokasi STP adalah Rp 15 Jt perbulan</t>
  </si>
  <si>
    <t>pasal 8 mengenai cara byr setiap bulan</t>
  </si>
  <si>
    <t>Berita acara penyaluran air bersih</t>
  </si>
  <si>
    <t>Pembayaran 15 hari kerja dlm bulan berjalan</t>
  </si>
  <si>
    <t>Tabel volum air</t>
  </si>
  <si>
    <t>M3/hari</t>
  </si>
  <si>
    <t>Rp M3/hari</t>
  </si>
  <si>
    <t>PPN</t>
  </si>
  <si>
    <t>&lt;100</t>
  </si>
  <si>
    <t>100-110</t>
  </si>
  <si>
    <t>111-113</t>
  </si>
  <si>
    <t>131-150</t>
  </si>
  <si>
    <t>&gt;150</t>
  </si>
  <si>
    <t>158/MEB-SPK/VIII/2018</t>
  </si>
  <si>
    <t>PT Mitra Energi Buana</t>
  </si>
  <si>
    <t xml:space="preserve">Graha kramayuda Lt 2, Jl Warung Jati barat </t>
  </si>
  <si>
    <t>Pembangunan penyediaan, pengoperasion mesin kompresi gas serta distribusi CNG  (Comressed Natual gas)</t>
  </si>
  <si>
    <t>Jakarta Selatan</t>
  </si>
  <si>
    <t xml:space="preserve">untuk pembangunan di lokasi kecamatan gandus kota palembang, sumsel. </t>
  </si>
  <si>
    <t>Perusahaan yang bergerak dalam</t>
  </si>
  <si>
    <t>- ini Pekerjaan Sipilnya</t>
  </si>
  <si>
    <t xml:space="preserve">usaha minyak &amp; gas bumi melalui </t>
  </si>
  <si>
    <t xml:space="preserve">Dokumen : </t>
  </si>
  <si>
    <t>srt menteri ESDM No.9876/12/MEM.M/2016 tgl 23Desember 2016</t>
  </si>
  <si>
    <t>SPP/WO</t>
  </si>
  <si>
    <t>Lingkup pekerjaan</t>
  </si>
  <si>
    <t>BOQ</t>
  </si>
  <si>
    <t>Project Shcedule</t>
  </si>
  <si>
    <t>Spesifikasi Proyek dan Gbr</t>
  </si>
  <si>
    <t>HSE (Health, Safety and Environment</t>
  </si>
  <si>
    <t>Kode standar dan Korespondensi</t>
  </si>
  <si>
    <t>Dokumen Tertulis</t>
  </si>
  <si>
    <t>Wkt penyelesaian Pekerjaan : 5 Bulan setelah Wo</t>
  </si>
  <si>
    <t>Syarat pembayaran dalam matau uang rupiah</t>
  </si>
  <si>
    <t>DP = 20 % dari nilai SPK</t>
  </si>
  <si>
    <t xml:space="preserve">Next = Progress bulanan </t>
  </si>
  <si>
    <t>Retensi = 5% 3 bulan masa pemeliharaan</t>
  </si>
  <si>
    <t>Performance Bond 5%</t>
  </si>
  <si>
    <t>Total Hrg Kontrak Rp 3,1 Milyar Sdh termasuk PPN dan PPH</t>
  </si>
  <si>
    <t>Cara Bayar</t>
  </si>
  <si>
    <t>Uraian</t>
  </si>
  <si>
    <t>Pajak</t>
  </si>
  <si>
    <t>Nilai</t>
  </si>
  <si>
    <t>DP</t>
  </si>
  <si>
    <t>Retensi</t>
  </si>
  <si>
    <t>DPP</t>
  </si>
  <si>
    <t>PPH 23</t>
  </si>
  <si>
    <t>128/MEB-IGA/VIII/2018</t>
  </si>
  <si>
    <t xml:space="preserve">Pembangunan penyediaan, pengoperasion mesin kompresi gas serta distribusi CNG </t>
  </si>
  <si>
    <t>berdasarkan pemenuhn persyaratan yag telah disetujui bersama</t>
  </si>
  <si>
    <t>138/MEB-SPK/III/2019</t>
  </si>
  <si>
    <t xml:space="preserve">Instalasi peralatan dan mesin kompresi gasnya serta maintenancenya untuk mencapai produksi CNG sesui target </t>
  </si>
  <si>
    <t>MASA PERJANJIAN 5 TAHUN</t>
  </si>
  <si>
    <t>ADA hak opsi sesuai pasal 10</t>
  </si>
  <si>
    <t>pasal 7 pembayaran pt iga akan memperoleh pembayaran dari</t>
  </si>
  <si>
    <t>- Kompensasi berdasarkan hasi pengoperasian gas dalam satuaN MMBTU, dimana nlai yg disepakati adalah</t>
  </si>
  <si>
    <t xml:space="preserve">  1,9 USD dengan minimal volume 0,5 MMBTU dibuktikan dalam Berita acara dan rekapan hasil kompresi gas</t>
  </si>
  <si>
    <t xml:space="preserve">  harga sdh termasuk peralatan dan kompresi mesin, pengoperasian dan pemeliharaan tidak termasuk PPN dan PPH</t>
  </si>
  <si>
    <t xml:space="preserve">PT MEB wajib mengeluarakn SLBC (standby letter of credit) diterbitkan OCBC dalam USD sbsr jasa kompresi dan </t>
  </si>
  <si>
    <t xml:space="preserve">dikali 30 </t>
  </si>
  <si>
    <t>USD</t>
  </si>
  <si>
    <t>Kurs</t>
  </si>
  <si>
    <t>MMBTU</t>
  </si>
  <si>
    <t>Noted Bu Ana</t>
  </si>
  <si>
    <t>Pembelian mesin kompresi ini untuk PT MEB adalah melalui mekanisme pinjaman ke BNI oleh PT IGA</t>
  </si>
  <si>
    <t xml:space="preserve">Client </t>
  </si>
  <si>
    <t>PAJE/PRJE/CAJE</t>
  </si>
  <si>
    <t>Saldo Inhouse</t>
  </si>
  <si>
    <t>#</t>
  </si>
  <si>
    <t>Dr</t>
  </si>
  <si>
    <t>Cr</t>
  </si>
  <si>
    <t>Saldo Audit</t>
  </si>
  <si>
    <t>Kenaikan (Penurunan)</t>
  </si>
  <si>
    <t>ADJ</t>
  </si>
  <si>
    <t>%-tase</t>
  </si>
  <si>
    <t>Pihak ketiga</t>
  </si>
  <si>
    <t xml:space="preserve">Pratama Energy Mandiri (PEM), PT </t>
  </si>
  <si>
    <t xml:space="preserve">Central Motor wheel Indonesia PT </t>
  </si>
  <si>
    <t xml:space="preserve">Patra Logistic PT. </t>
  </si>
  <si>
    <t>Global Multiteknik Sejahtera PT</t>
  </si>
  <si>
    <t>Sari Pan Facipik</t>
  </si>
  <si>
    <t>Grahaniaga Tatautama PT</t>
  </si>
  <si>
    <t>Dharmawangsa Raya Hotel</t>
  </si>
  <si>
    <t>Bass Oil Sukananti Limited</t>
  </si>
  <si>
    <t>Para Amartha Gasindo PT</t>
  </si>
  <si>
    <t xml:space="preserve">Mitra Energi Buana PT </t>
  </si>
  <si>
    <t>Jakarta International Hotels &amp; Development</t>
  </si>
  <si>
    <t>Dharma Pratama Sejati PT</t>
  </si>
  <si>
    <t xml:space="preserve">Surya Gilang Perkasa PT. </t>
  </si>
  <si>
    <t>Hotel Brobudur</t>
  </si>
  <si>
    <t>Kurang Dari Saldo Rp 50.000.000</t>
  </si>
  <si>
    <t>Jumlah Piutang Usaha - Pihak Ketiga</t>
  </si>
  <si>
    <t>Pihak berelasi</t>
  </si>
  <si>
    <t xml:space="preserve">Piutang Pihak Berelasi - Pratama Energy Mandiri (PEM), PT </t>
  </si>
  <si>
    <t>Jumlah Piutang Usaha - Pihak Afiliasi</t>
  </si>
  <si>
    <t>Catatan :</t>
  </si>
  <si>
    <t>cek to invoice dan benar ada</t>
  </si>
  <si>
    <t>Analytical Review atas piutang usaha :</t>
  </si>
  <si>
    <t>Saldo akhir piutang usaha</t>
  </si>
  <si>
    <t>Saldo awal piutang usaha</t>
  </si>
  <si>
    <t>Rata</t>
  </si>
  <si>
    <t>Rasio Average Coll Days</t>
  </si>
  <si>
    <t>Perputaran piutang usaha</t>
  </si>
  <si>
    <t>Rata-rata piutang usaha</t>
  </si>
  <si>
    <t xml:space="preserve">Average collection days </t>
  </si>
  <si>
    <t>Rata2 hari perputaran piutang</t>
  </si>
  <si>
    <t>hari</t>
  </si>
  <si>
    <t>kesimpulan, rata2 hari piutang adalah 60 hari sejak invoice diterbitkan, untuk mengatasi permasalahan casflow perusahaan melakukan pinjaman dana dari pihak bank jg lainnya</t>
  </si>
  <si>
    <t>dikarenakan kondisi pandemi sehingga mempengaruhi cashflow pada saat itu.</t>
  </si>
  <si>
    <t>sdh dbayar 2023</t>
  </si>
  <si>
    <t>Umur Piutang</t>
  </si>
  <si>
    <t>1-30 hari</t>
  </si>
  <si>
    <t>31-60 hari</t>
  </si>
  <si>
    <t>61-90 hari</t>
  </si>
  <si>
    <t>91-120 hari</t>
  </si>
  <si>
    <t>121-360 hari</t>
  </si>
  <si>
    <t>&gt; 360 hari</t>
  </si>
  <si>
    <t>JJ =</t>
  </si>
  <si>
    <t>Kami melakukan prosedur konfirmasi piutang secara keseluruhan dengan nilai tertera diatas.</t>
  </si>
  <si>
    <t>terlihat perputaran piutang durasinya terlalu lama hal ini diakibatkan karena kondisi pandemi sehingga mempengaruhi cashflow pada saat itu.</t>
  </si>
  <si>
    <t>Audit Conclusion : Based on our audit procedure for this account, we conclude that the balance of Account receivable are presented fairly with Etap</t>
  </si>
  <si>
    <t>Acc</t>
  </si>
  <si>
    <t>REF</t>
  </si>
  <si>
    <t>Jurnal</t>
  </si>
  <si>
    <t>Reklas/Restated</t>
  </si>
  <si>
    <t>Code</t>
  </si>
  <si>
    <t>NJ</t>
  </si>
  <si>
    <t>PRJE</t>
  </si>
  <si>
    <t>PCJE</t>
  </si>
  <si>
    <t>PAJE</t>
  </si>
  <si>
    <t>PT ABC</t>
  </si>
  <si>
    <t>LAPORAN LABA RUGI</t>
  </si>
  <si>
    <t>UNTUK TAHUN YANG BERAKHIR TANGGAL 31 DESEMBER 2023</t>
  </si>
  <si>
    <t>X1</t>
  </si>
  <si>
    <t>PENDAPATAN</t>
  </si>
  <si>
    <t>X2</t>
  </si>
  <si>
    <t>LABA BRUTO</t>
  </si>
  <si>
    <t>III</t>
  </si>
  <si>
    <t>U</t>
  </si>
  <si>
    <t>Jumlah beban usaha</t>
  </si>
  <si>
    <t>Jumlah pendapatan (beban) lain-lain</t>
  </si>
  <si>
    <t>LABA SEBELUM PAJAK</t>
  </si>
  <si>
    <t>PENGHASILAN (BEBAN) PAJAK PENGHASILAN</t>
  </si>
  <si>
    <t>SAK</t>
  </si>
  <si>
    <t>LABA TAHUN BERJALAN</t>
  </si>
  <si>
    <t>Aging Receivable Summary</t>
  </si>
  <si>
    <t>As of 31 Des 2018</t>
  </si>
  <si>
    <t>Customer Name</t>
  </si>
  <si>
    <t>Total Prime Current</t>
  </si>
  <si>
    <t>Not Yet</t>
  </si>
  <si>
    <t>31-60</t>
  </si>
  <si>
    <t>61-90</t>
  </si>
  <si>
    <t>91-120</t>
  </si>
  <si>
    <t>&gt;120</t>
  </si>
  <si>
    <t>Total Prime Curr</t>
  </si>
  <si>
    <t>Versi Klien</t>
  </si>
  <si>
    <t>Versi analisis tp failed karena ternyta piutangnya bergerak</t>
  </si>
  <si>
    <t>Perusahaan Daerah Air Minum Kabupaten DATI. II Bekasi</t>
  </si>
  <si>
    <t>o</t>
  </si>
  <si>
    <t>Surteckariya Indonesia, PT</t>
  </si>
  <si>
    <t>INDOFOOD CBP SUKSES MAKMUR, Tbk, PT</t>
  </si>
  <si>
    <t>Tes transaksi piutang thn 2017  after balance sheet date</t>
  </si>
  <si>
    <t>Bukti terima dokmn</t>
  </si>
  <si>
    <t>kesimpulan :</t>
  </si>
  <si>
    <t>ACCURATE Accounting System Report</t>
  </si>
  <si>
    <t>transaksi piutang ini dikategorikan lancar karena ada pembayaran atas transaksi</t>
  </si>
  <si>
    <t>Printed on 16 May 2019 - 22.29</t>
  </si>
  <si>
    <t>di tahun 2018</t>
  </si>
  <si>
    <t>Page 1 of 1</t>
  </si>
  <si>
    <t>UMUM</t>
  </si>
  <si>
    <t xml:space="preserve">PT  Intan Giri Abadi berkedudukan di Jakarta dan didirikan berdasarkan akta Notaris Elly Rustam, S.H., M.Kn. Akta Perseroan Terbatas No. 19 tanggal 15 Agustus 2011 di Jakarta. Akta pendirian perusahaan telah disahkan oleh Menteri Kehakiman dan Hak Asasi Manusia Republik Indonesia dengan surat keputusan AHU-0077052.AH.01.09 Tahun 2011 tanggal 26 September 2011. </t>
  </si>
  <si>
    <t>Akta perusahaan telah mengalami perubahan terakhir berdasarkan akta No. 13 tanggal 14 Februari 2020 dari Mulyadi, S.H., M.Kn, mengenai perubahan maksud dan tujuan perusahaan seperti tertuang dalam pasal 3, yang tertuang dalam Keputusan Menteri Hukum dan Hak Asasi Manusia Republik Indonesia Nomor : AHU-0013213.AH.01.02 Tahun 2020 tanggal 14 Februari 2020.</t>
  </si>
  <si>
    <t>Sesuai dengan pasal 3 Anggaran Dasar Perusahaan, ruang lingkup kegiatan perusahaan adalah menjalankan usaha dalam bidang perdagangan, jasa pembangunan, industri lainnya, fokus kegiatan saat ini adalah di bidang gas thermal, dan pembangunan pengolahan air.</t>
  </si>
  <si>
    <t xml:space="preserve">Perusahaan telah menyesuaikan aktenya sesuai KBLI tahun 2020 dengan nomor 0220202271248 tanggal 14 Februari 2020, Kode KBLI 33200 dengan bidang usaha instalasi pemasangan mesin dan peralatan industri. </t>
  </si>
  <si>
    <t>Perusahaan berdomisili di Jl. RS Fatmawati No. 72 Kios Taman Pondok Labu Lt1 Blok C No. 23 B Pondok Labu - Cilandak - Jakarta Selatan. Untuk operasional office beralamat di Jl. Margasatwa No 119, Pondok Labu, Cilandak Jakarta Selatan kode pos 12450.</t>
  </si>
  <si>
    <t>Susunan Pengurus</t>
  </si>
  <si>
    <t>Berdasarkan akta No. 9 tanggal 18 Oktober 2018 dari Mulyadi, S.H., M.Kn, mengenai perubahan susunan pengurus perusahaan dan komposisi kepemilikan saham, yang tertuang dalam Keputusan Menteri Hukum dan Hak Asasi Manusia Republik Indonesia Nomor : AHU-0143894.AH.01.11 Tahun 2018 tanggal 29 Oktober 2019. Susunan  pengurus  perusahaan  pada tanggal 31 Desember 2021 dan 2020 adalah  sebagai berikut :</t>
  </si>
  <si>
    <t xml:space="preserve">Komisaris </t>
  </si>
  <si>
    <t>Yokke Indriyana</t>
  </si>
  <si>
    <t>Direktur Utama</t>
  </si>
  <si>
    <t xml:space="preserve">Direktur </t>
  </si>
  <si>
    <t>Pada tanggal 31 Desember 2021 dan 2020, perusahaan mempunyai masing-masing 30 dan 25 orang karyawan. Yang terdiri dari 12 karyawan tetap dan 18 karyawan tidak tetap untuk tahun 2021, sedangkan 12 karyawan tetap dan 13 karyawan tidak tetap untuk tahun 2020.</t>
  </si>
  <si>
    <t>informasi bu ana tgl 24 okt 23</t>
  </si>
  <si>
    <t>IKHTISAR KEBIJAKAN AKUNTANSI YANG SIGNIFIKAN</t>
  </si>
  <si>
    <t>Julah total krywn</t>
  </si>
  <si>
    <t>jumlah krywn tetap</t>
  </si>
  <si>
    <t>Berdasarkan persyaratan dan kriteria dalam Standar Akuntansi Keuangan Entitas Tanpa Akuntabilitas Publik (SAK ETAP), perusahaan telah memenuhi kriteria sebagai entitas tanpa akuntabilitas publik. Oleh karena itu manajemen memutuskan untuk menerapkan SAK ETAP sebagai dasar dalam penyusunan dan penyajian laporan keuangan efektif sejak 1 Januari 2015.</t>
  </si>
  <si>
    <t>jumlah krywn tidak tetap</t>
  </si>
  <si>
    <t>Dasar Penyusunan Laporan Keuangan</t>
  </si>
  <si>
    <t>Perusahaan menetapkan Standar Akuntansi Keuangan Entitas Tanpa Akuntabilitas Publik (SAK-ETAP) sebagai basis penyusunan laporan keuangan dan penentuan kebijakan akuntansi penting yang diterapkan untuk mengakui dan mengukur transaksi dan peristiwa yang relevan dengan perusahaan.</t>
  </si>
  <si>
    <t>Laporan keuangan Perusahaan terdiri atas neraca, laporan laba rugi, laporan perubahan ekuitas, laporan arus kas, dan catatan atas laporan keuangan.</t>
  </si>
  <si>
    <t>Laporan arus kas disusun dengan menggunakan metode tidak langsung dengan mengelompokkan arus kas dalam aktivitas operasi, investasi dan pendanaan.</t>
  </si>
  <si>
    <t xml:space="preserve">Mata uang pelaporan yang digunakan dalam penyusunan laporan keuangan ini adalah Rupiah. Nilai tukar mata ang asing terhadap Rupiah pada tanggal 31 Desember 2021 dan 2020 berdasarkan kurs tengah Bank Indonesia. </t>
  </si>
  <si>
    <t>IKHTISAR KEBIJAKAN AKUNTANSI YANG SIGNIFIKAN - LANJUTAN</t>
  </si>
  <si>
    <t>Dasar Penyusunan Laporan Keuangan (Lanjutan)</t>
  </si>
  <si>
    <t>Standar-standar akuntansi yang telah dipergunakan adalah sebagai berikut :</t>
  </si>
  <si>
    <t xml:space="preserve">Bab 1 tentang ruang lingkup </t>
  </si>
  <si>
    <t>Bab 2 tentang konsep dan prinsip pervasif</t>
  </si>
  <si>
    <t>Bab 3 tentang penyajian laporan keuangan</t>
  </si>
  <si>
    <t>Bab 4 tentang neraca</t>
  </si>
  <si>
    <t>e.</t>
  </si>
  <si>
    <t>Bab 5 tentang laporan laba rugi</t>
  </si>
  <si>
    <t>f.</t>
  </si>
  <si>
    <t>Bab 6 tentang laporan perubahan ekuitas dan laporan laba rugi dan saldo laba</t>
  </si>
  <si>
    <t>g.</t>
  </si>
  <si>
    <t>Bab 7 tentang laporan arus kas</t>
  </si>
  <si>
    <t>h.</t>
  </si>
  <si>
    <t>Bab 8 tentang catatan atas laporan keuangan</t>
  </si>
  <si>
    <t>i.</t>
  </si>
  <si>
    <t xml:space="preserve">Bab 9 tentang kebijakan akutansi, estimasi dan kesalahan </t>
  </si>
  <si>
    <t>j.</t>
  </si>
  <si>
    <t>Bab 11 tentang persediaan</t>
  </si>
  <si>
    <t>k.</t>
  </si>
  <si>
    <t>Bab 12 tentang investasi pada entitas asosiasi dan entitas anak</t>
  </si>
  <si>
    <t>l.</t>
  </si>
  <si>
    <t>Bab 15 tentang aset tetap</t>
  </si>
  <si>
    <t>m.</t>
  </si>
  <si>
    <t>Bab 17 tentang sewa</t>
  </si>
  <si>
    <t>n.</t>
  </si>
  <si>
    <t>Bab 19 tentang ekuitas</t>
  </si>
  <si>
    <t>o.</t>
  </si>
  <si>
    <t>Bab 20 tentang pendapatan</t>
  </si>
  <si>
    <t>p.</t>
  </si>
  <si>
    <t>Bab 23 tentang imbalan kerja</t>
  </si>
  <si>
    <t>q.</t>
  </si>
  <si>
    <t>Bab 24 tentang pajak penghasilan</t>
  </si>
  <si>
    <t>r.</t>
  </si>
  <si>
    <t>Bab 25 tentang mata uang pelaporan</t>
  </si>
  <si>
    <t>s.</t>
  </si>
  <si>
    <t>Bab 28 tentang pengungkapan pihak yang mempunyai hubungan istimewa</t>
  </si>
  <si>
    <t>Kas dan Setara Kas</t>
  </si>
  <si>
    <t>Kas dan setara kas mencakup kas, simpanan yang sewaktu-waktu bisa dicairkan dan investasi likuid jangka pendek lainnya dengan jangka waktu jatuh tempo tiga bulan atau kurang.</t>
  </si>
  <si>
    <t xml:space="preserve">Kas dan deposito berjangka yang dibatasi penggunaannya, disajikan sebagai "aset yang dibatasi penggunaannya" yang kategorikan sebagai dimiliki hingga jatuh tempo yaitu pada saat selesai pembatasan penggunaannya.
</t>
  </si>
  <si>
    <t xml:space="preserve">Piutang </t>
  </si>
  <si>
    <t xml:space="preserve">Piutang  dibukukan  dalam  neraca  dalam  jumlah  kotor  dan  tidak diadakan penyisihan penghapusan piutang, dan atas piutang yang tidak dapat tertagih langsung dihapuskan dan dibebankan kedalam laporan laba rugi pada saat terjadinya.
</t>
  </si>
  <si>
    <t>Persediaan dinyatakan sebesar nilai yang terendah antara biaya perolehan dan nilai realisasi bersih. Biaya perolehan ditentukan dengan metode rata-rata bergerak.</t>
  </si>
  <si>
    <t>Persediaan barang dinilai berdasarkan harga pokok pembelian dengan menggunakan metode “ Harga Rata-Rata (Average) “. Perseroan tidak melakukan penyisihan kerugian untuk persediaan usang dan rusak, dan atas persediaan usang dan rusak akan dihapuskan dan dibebankan pada laporan laba rugi tahun berjalan.</t>
  </si>
  <si>
    <t>Nilai realisasi bersih adalah estimasi harga penjualan dalam kegiatan usaha normal dikurangi biaya penyelesaian dan biaya penjualan. Penyisihan untuk persediaan usang dan tidak laku dijual, ditentukan berdasarkan estimasi penggunaan atau penjualan masing-masing jenis persediaan di masa mendatang.</t>
  </si>
  <si>
    <t>Biaya dibayar di muka</t>
  </si>
  <si>
    <t>Biaya dibayar dimuka dibebankan selama masa manfaat masing-masing biaya terkait dengan menggunakan metode garis lurus ( Straight-Line Method).</t>
  </si>
  <si>
    <t>Aset Tetap</t>
  </si>
  <si>
    <t>Aset tetap disajikan sebesar harga perolehan setelah dikurangi akumulasi penyusutan dan penurunan nilai tarif, aset tetap Perusahaan berupa bangunan, mesin, kendaraan dan peralatan juga inventaris kantor disusutkan dengan menggunakan metode garis lurus (straight-line method) berdasarkan taksiran masa manfaatnya.</t>
  </si>
  <si>
    <t>Kelompok Aset Tetap</t>
  </si>
  <si>
    <t>Manfaat Ekonomis</t>
  </si>
  <si>
    <t>Bangunan</t>
  </si>
  <si>
    <t>Permanen</t>
  </si>
  <si>
    <t>20 tahun</t>
  </si>
  <si>
    <t>Mesin</t>
  </si>
  <si>
    <t>kel. 1 dan 2</t>
  </si>
  <si>
    <t>4 dan 8 tahun</t>
  </si>
  <si>
    <t xml:space="preserve"> 25% dan 12,5%</t>
  </si>
  <si>
    <t xml:space="preserve">Kendaraan </t>
  </si>
  <si>
    <t>kel. 1</t>
  </si>
  <si>
    <t>4 tahun</t>
  </si>
  <si>
    <t>25%</t>
  </si>
  <si>
    <t>Peralatan Proyek</t>
  </si>
  <si>
    <t>8 tahun</t>
  </si>
  <si>
    <t>12,5% - 25%</t>
  </si>
  <si>
    <t>Aset Tetap - Lanjutan</t>
  </si>
  <si>
    <t>Pengeluaran untuk pemeliharan dan perbaikan aset tetap dalam rangka menjaga manfaat ekonomi di masa yang akan datang, diakui sebagai beban pada saat terjadinya. Pengeluaran dalam jumlah yang material setelah perolehan awal suatu aset tetap dan dapat memperpanjang masa manfaat ekonomi di masa yang akan datang, dikapitalisasi. Aset tetap yang tidak digunakan lagi atau dijual dikeluarkan dari kelompok aset tetap berikut akumulasi penyusutannya. Keuntungan atau kerugian yang terjadi dilaporkan dalam laporan laba rugi tahun berjalan. Aset tetap yang sudah tidak digunakan harus dikeluarkan dari aset tetap dan dikelompokkan sebagai aset tidak lancar lainnya.</t>
  </si>
  <si>
    <t>Pengakuan Pendapatan dan Beban</t>
  </si>
  <si>
    <t>Pendapatan diakui pada saat terjadi transaksi yaitu pada saat penyerahan barang atau jasa kepada pelanggan. Beban diakui pada saat terjadinya sesuai dengan masa manfaat (accrual basis).</t>
  </si>
  <si>
    <t>Sesuai dengan Undang-Undang Ketenagakerjaan nomor 13/2003 (“UU 13/2003”) sebagaimana diubah melalui Undang-Undang nomor 11 tahun 2020 tentang Cipta Kerja (“UU 11/2020”), perusahaan disyaratkan untuk memberikan imbalan pensiun sekurang-kurangnya seperti imbalan pensiun yang diatur dalam UU 11/2020, yang pada dasarnya adalah program imbalan pasti. Jika imbalan pensiun sesuai UU lebih besar dari program pensiun yang ada, selisih tersebut diakui sebagai bagian dari liabilitas imbalan pensiun.</t>
  </si>
  <si>
    <t xml:space="preserve">Sehubungan dengan program imbalan pasti, liabilitas diakui pada laporan posisi keuangan sebesar nilai kini kewajiban imbalan pasti pada akhir periode pelaporan dikurangi nilai wajar aset program. Kewajiban imbalan pasti dihitung dengan menggunakan metode projected unit credit, berdasarkan penilaian aktuaris independen. </t>
  </si>
  <si>
    <t>Perusahaan diharuskan menyediakan imbalan pensiun minimum yang diatur dalam UU Cipta Kerja (”UUCK”) nomor 11/2020, yang merupakan kewajiban imbalan kerja. Jika imbalan pensiun sesuai dengan UUCK nomor 11/2020 lebih besar dari program pensiun yang ada, selisih tersebut diakui sebagai bagian dari kewajiban imbalan pensiun.</t>
  </si>
  <si>
    <t>BPJS</t>
  </si>
  <si>
    <t>Perusahaan juga bekerja sama dengan Program BPJS. Setiap tahun perusahaan membebankan iuran BPJS, sesuai dengan tagihan BPJS perbulannya.</t>
  </si>
  <si>
    <t>BPJS Kesehatan sesuai nomor entitas : 80049571.</t>
  </si>
  <si>
    <t>BPJS Ketenagakerjaan sesuai nomor pendaftaran : 19008729 diterbitkan tanggal ….............. dan .</t>
  </si>
  <si>
    <t>Pajak Penghasilan</t>
  </si>
  <si>
    <t>Taksiran pajak penghasilan dihitung berdasarkan taksiran penghasilan kena pajak tahun yang bersangkutan. Perusahaan tidak mengakui adanya pajak tangguhan atas perbedaan waktu (perbedaan temporer) pengakuan pendapatan dan beban antara laporan keuangan untuk tujuan komersial dan pajak, sesuai dengan Standar Akuntansi Keuangan Entitas Tanpa akuntabilitas Publik bab 24 tentang "Pajak Penghasilan".</t>
  </si>
  <si>
    <t>karena menggunakan model pph final sebesar 1 % sesuai PP nomor 46.</t>
  </si>
  <si>
    <t xml:space="preserve">Perusahaan dalam perhitungan pajak penghasilannya menggunakan sistem Asas Self Assisment. Pajak Penghasilan Badan dihitung dari laba kena pajak, yaitu laba yang telah disesuaikan dengan Peraturan Perpajakan yang berlaku. </t>
  </si>
  <si>
    <t xml:space="preserve">Perusahaan mengakui kewajiban atas seluruh pajak penghasilan periode berjalan dan periode sebelumnya yang belum dibayar. Jika jumlah  yang telah  dibayar untuk  periode berjalan dan periode  sebelumnya melebihi jumlah yang terutang  untuk  periode  tersebut, perusahaan harus mengakui kelebihan tersebut sebagai aset. </t>
  </si>
  <si>
    <t>Perusahaan mencatat aset pengampunan pajak tersebut sebagaimana tambahan modal disetor sesuai dengan ketentuan PSAK 70: Akuntansi Aset dan Liabilitas Pengampunan Pajak.</t>
  </si>
  <si>
    <t>Transaksi Dengan Pihak Yang Mempunyai Hubungan Istimewa</t>
  </si>
  <si>
    <t>Perusahaan melakukan transaksi dengan pihak-pihak tertentu sebagai transaksi hubungan istimewa sebagaimana diatur SAK ETAP Bab 28, “Pengungkapan pihak-pihak yang mempunyai hubungan istimewa”.</t>
  </si>
  <si>
    <t>SAK ETAP Bab 28 mensyaratkan entitas untuk memberikan pengungkapan yang diperlukan dalam laporan keuangannya dan memberi perhatian pada kemungkinan posisi keuangan dan laba atau rugi entitas telah terpengaruh oleh adanya pihak-pihak yang mempunyai hubungan istimewa serta transaksi dan saldo dengan pihak-pihak tersebut.</t>
  </si>
  <si>
    <t>Suatu pihak mempunyai hubungan istimewa dengan entitas jika:</t>
  </si>
  <si>
    <t>a. Secara langsung atau tidak langsung melalui satu atau lebih perantara, pihak tersebut :</t>
  </si>
  <si>
    <t>(i)</t>
  </si>
  <si>
    <t>Mengendalikan, dikendalikan oleh, atau berada dibawah pengendalian bersama dengan entitas  (termasuk entitas induk, entitas anak dan fellow subsidiaries);</t>
  </si>
  <si>
    <t>(ii)</t>
  </si>
  <si>
    <t xml:space="preserve">Memiliki kepemilikan di entitas yang memberikan pengaruh signifikan atas entitas; atau </t>
  </si>
  <si>
    <t>(iii)</t>
  </si>
  <si>
    <t>Memiliki pengendalian bersama atas entitas;</t>
  </si>
  <si>
    <t>Pihak tersebut adalah entitas asosiasi dari entitas;</t>
  </si>
  <si>
    <t>Pihak tersebut adalah joint ventures dimana entitas tersebut merupakan venturer;</t>
  </si>
  <si>
    <t>Pihak tersebut adalah personal manajemen kunci entitas atau entitas induknya;</t>
  </si>
  <si>
    <t xml:space="preserve">Pihak tersebut adalah keluarga dekat dari setiap orang yang diuraikan dalam (a) atau (b) </t>
  </si>
  <si>
    <t xml:space="preserve">Pihak tersebut adalah entitas yang dikendalikan, dikendalikan bersama atau dipengaruhi secara signifikan oleh atau memiliki hak suara secara signifikan, secara langsung atau tidak langsung setiap orang yang diuraikan dalam (d) atau (e); atau
</t>
  </si>
  <si>
    <t>Pihak tersebut adalah progam imbalan pekerja entitas, atau setiap entitas yang mempunyai hubungan  istimewa dengan entitas tersebut.</t>
  </si>
  <si>
    <t>Perusahaan melakukan transaksi dengan Pihak yang mempunyai hubungan istimewa lihat catatan (C.3, C.11).</t>
  </si>
  <si>
    <t>Pengungkapan sifat dan hubungan transaksi dengan Pihak yang mempunyai hubungan istimewa terlihat dari kesamaan susunan pengurus dan pemegang saham.</t>
  </si>
  <si>
    <t>Transaksi dengan pihak-pihak yang mempunyai hubungan istimewa dilakukan berdasarkan prinsip saling membutuhkan (reciprocal bussines) dan profesional yang menguntungkan kedua belah pihak.</t>
  </si>
  <si>
    <t>Pada tahun 2021 dan 2020 entitas memberikan kompensasi kepada personel manajemen kunci entitas (dewan komisaris dan direksi). Manajemen perusahaan tidak bersedia mengungkapkan besaran kompensasi yang diberikan kepada manajemen kunci.</t>
  </si>
  <si>
    <t>j</t>
  </si>
  <si>
    <t>Sewa Pembiayaan</t>
  </si>
  <si>
    <t>Suatu sewa diklarifikasikan sebagai sewa pembiayaan, jika memenuhi salah satu hal berikut ini :</t>
  </si>
  <si>
    <t>a. Sewa mengalihkan kepemilikan aset kepada lessee pada akhir masa sewa.</t>
  </si>
  <si>
    <t xml:space="preserve">b. </t>
  </si>
  <si>
    <t>Lessee mempunyai opsi untuk membeli aset pada harga yang cukup rendah dibandingkan nilai wajar pada tanggal opsi mulai dapat dilaksanakan, sehingga pada awal sewa dapat dipastikan bahwa opsi memang akan dilaksanakan.</t>
  </si>
  <si>
    <t xml:space="preserve">c. </t>
  </si>
  <si>
    <t>Masa sewa adalah untuk sebagian besar umur ekonomis aset meskipun hak milik tidak dialihkan yaitu masa sewa sama atau lebih dari 75% umur ekonomis aset sewaan</t>
  </si>
  <si>
    <t xml:space="preserve">d. </t>
  </si>
  <si>
    <t>Pada awal sewa, nilai kini dari jumlah pembayaran sewa minimum secara substansial mendekati nilai wajar aset sewaan yaitu pembiayaan sewa minimum sama atau ebih dari 90% nilai wajar aset sewaan.</t>
  </si>
  <si>
    <t xml:space="preserve">e. </t>
  </si>
  <si>
    <t>Aset sewaan bersifat khusus dan dimana hanya lessee yang dapat menggunakannya tanpa perlu modifikasi secara material.</t>
  </si>
  <si>
    <t>Pada tanggal 31 Desember 2022 dan 2021, perusahaan mempunyai masing-masing 23 dan 30 orang karyawan. Yang terdiri dari 11 karyawan tetap dan 12 karyawan tidak tetap untuk tahun 2022, sedangkan 18 karyawan tetap dan 13 karyawan tidak tetap untuk tahun 2021.</t>
  </si>
  <si>
    <t xml:space="preserve">Mata uang pelaporan yang digunakan dalam penyusunan laporan keuangan ini adalah Rupiah. Nilai tukar mata ang asing terhadap Rupiah pada tanggal 31 Desember 2022 @ Rp 15.567,50 dan 2021 @ Rp 14.265,00 berdasarkan kurs tengah Bank Indonesia. </t>
  </si>
  <si>
    <t xml:space="preserve"> 12,5%</t>
  </si>
  <si>
    <t>Suatu pihak mempunyai hubungan istimewa dengan entitas jika :</t>
  </si>
  <si>
    <t>Pada tahun 2022 dan 2021 entitas memberikan kompensasi kepada personel manajemen kunci entitas (dewan komisaris dan direksi). Manajemen perusahaan tidak bersedia mengungkapkan besaran kompensasi yang diberikan kepada manajemen kunci.</t>
  </si>
  <si>
    <t xml:space="preserve">Lampiran1 - Daftar Piutang Usaha </t>
  </si>
  <si>
    <t>Per 31 Desember 2022 Dan 2021</t>
  </si>
  <si>
    <t>Jumlah piutang usaha pihak ketiga</t>
  </si>
  <si>
    <t>Per 31 Desember 2021 Dan 2020</t>
  </si>
  <si>
    <t>BASS OIL SUKANANTI LIMITED</t>
  </si>
  <si>
    <t>Lain2 Piutang Usaha</t>
  </si>
  <si>
    <t>Security imc</t>
  </si>
  <si>
    <t>TRANSMART RETAIL</t>
  </si>
  <si>
    <t>CHUBB LIFE</t>
  </si>
  <si>
    <t>TUGU PRATAMA INDONESIA</t>
  </si>
  <si>
    <t>SINAR MAS MSIG</t>
  </si>
  <si>
    <t>TAKAFUL INDONESIA</t>
  </si>
  <si>
    <t>RS ARIA SENTRA MEDIKA</t>
  </si>
  <si>
    <t>WANA ARTHA</t>
  </si>
  <si>
    <t>TELKOMEDIKA</t>
  </si>
  <si>
    <t>MANULIFE</t>
  </si>
  <si>
    <t>ACA  ASURANSI</t>
  </si>
  <si>
    <t>MEDICILIN</t>
  </si>
  <si>
    <t>TOKIO MARINE LIFE INSURANCE -ADMEDIKA</t>
  </si>
  <si>
    <t>TUGU MANDIRI</t>
  </si>
  <si>
    <t>Kombat Global Mandiri, PT</t>
  </si>
  <si>
    <t>RAMAYANA ISNURANCE ADMEDIKA</t>
  </si>
  <si>
    <t>AXA General Indonesia</t>
  </si>
  <si>
    <t>CIGNA</t>
  </si>
  <si>
    <t>SMYLINKS</t>
  </si>
  <si>
    <t>WIJAYA KARYA BANGUNAN GEDUNG, PT, TBK</t>
  </si>
  <si>
    <t>BPR Universal</t>
  </si>
  <si>
    <t>Waterindo, PT</t>
  </si>
  <si>
    <t>ASKRIDA</t>
  </si>
  <si>
    <t>AA International Indonesia</t>
  </si>
  <si>
    <t>BINA NUSANTARA - ADMEDIKA</t>
  </si>
  <si>
    <t>AXA FINANCIAL</t>
  </si>
  <si>
    <t>BRINGIN LIFE</t>
  </si>
  <si>
    <t>AXA MANDIRI</t>
  </si>
  <si>
    <t>NTT DATA, PT</t>
  </si>
  <si>
    <t>PT. ICHSAN MEDICAL CENTRE</t>
  </si>
  <si>
    <t>Aging Payable Summary</t>
  </si>
  <si>
    <t>As of 31 Dec 2019</t>
  </si>
  <si>
    <t>;0813102824782</t>
  </si>
  <si>
    <t>IDR</t>
  </si>
  <si>
    <t>Vendor Name</t>
  </si>
  <si>
    <t>AP lain2</t>
  </si>
  <si>
    <t>BALAI BESAR LABORATORIUM KESEHATAN JAKARTA</t>
  </si>
  <si>
    <t>Bintaro women and Children Clinic</t>
  </si>
  <si>
    <t>BPD Kota Tangerang Selatan</t>
  </si>
  <si>
    <t xml:space="preserve">MULTI JAYA DIESEL, CV </t>
  </si>
  <si>
    <t>EVEREST ELECTRONIC, PT</t>
  </si>
  <si>
    <t>RUDI HARTONO &amp; ASSOCIATES</t>
  </si>
  <si>
    <t>S.MANNAN,ARDIANSYAH &amp; REKAN</t>
  </si>
  <si>
    <t>AP lain3</t>
  </si>
  <si>
    <t>KOPERASI IMC</t>
  </si>
  <si>
    <t>AP lain4</t>
  </si>
  <si>
    <t>KOPERASI IMC HK</t>
  </si>
  <si>
    <t>TWO WIN INDONESIA</t>
  </si>
  <si>
    <t>dr</t>
  </si>
  <si>
    <t>Abdul Hafid</t>
  </si>
  <si>
    <t>Abdul Samad</t>
  </si>
  <si>
    <t>Achmad Royhan</t>
  </si>
  <si>
    <t>Ahmad Bahrul Ulum</t>
  </si>
  <si>
    <t>Aldy Novriansyah</t>
  </si>
  <si>
    <t>Amanda Novi Larasati</t>
  </si>
  <si>
    <t>Andika Dwicahyo</t>
  </si>
  <si>
    <t>Andika Fhadhlurohman</t>
  </si>
  <si>
    <t>Anita Afriani</t>
  </si>
  <si>
    <t>Arlin Chyntia Dewi</t>
  </si>
  <si>
    <t>Arum Ernanti</t>
  </si>
  <si>
    <t>Astri Indah Prameswari</t>
  </si>
  <si>
    <t>Azuar Analisa</t>
  </si>
  <si>
    <t>Bambang Dwi Karyanto</t>
  </si>
  <si>
    <t>Bellatrix Cassio Peia</t>
  </si>
  <si>
    <t>Benhardiet Widiyastuti</t>
  </si>
  <si>
    <t>Britya Intar Luvilla</t>
  </si>
  <si>
    <t>Christin SS Tobing</t>
  </si>
  <si>
    <t>Cindy Phatikasari</t>
  </si>
  <si>
    <t>Cut Marziah</t>
  </si>
  <si>
    <t>Desvita Rosana</t>
  </si>
  <si>
    <t>Devin Daru Kartika Sari</t>
  </si>
  <si>
    <t>Dian Cahyani</t>
  </si>
  <si>
    <t>DR. JANET</t>
  </si>
  <si>
    <t>Elisa</t>
  </si>
  <si>
    <t>Elly Deliana</t>
  </si>
  <si>
    <t>Eva Sian Li</t>
  </si>
  <si>
    <t>Faano Daeli</t>
  </si>
  <si>
    <t>Faisal Reza</t>
  </si>
  <si>
    <t>Februanto Sitorus</t>
  </si>
  <si>
    <t>Ferdy Mayo</t>
  </si>
  <si>
    <t>Fikhi</t>
  </si>
  <si>
    <t>Fitrah Alam Sehat, PT</t>
  </si>
  <si>
    <t>Fitriani</t>
  </si>
  <si>
    <t>Gangga Maulana</t>
  </si>
  <si>
    <t>Gita Anggriani Sutrisno</t>
  </si>
  <si>
    <t>Hari Hendarto</t>
  </si>
  <si>
    <t>Indiraya Adisandiya</t>
  </si>
  <si>
    <t>Indra Lesmana Pasaribu</t>
  </si>
  <si>
    <t>Indra Syarief</t>
  </si>
  <si>
    <t>Intan Diah Ningrum</t>
  </si>
  <si>
    <t>Irfan Setiawan</t>
  </si>
  <si>
    <t>Jinni Simamora</t>
  </si>
  <si>
    <t>Julaeha</t>
  </si>
  <si>
    <t>Junianto Situmorang</t>
  </si>
  <si>
    <t>Linda Monalisa</t>
  </si>
  <si>
    <t>Lusiana Kartininingsih</t>
  </si>
  <si>
    <t>Lydia Sutandar</t>
  </si>
  <si>
    <t>Marhaeni Pusposetyaningrum</t>
  </si>
  <si>
    <t>Marlisye Marpaung</t>
  </si>
  <si>
    <t>Meivy Windyanti</t>
  </si>
  <si>
    <t>Mey Lys Ceryah Hutasoit</t>
  </si>
  <si>
    <t>Miftahun Nurul Bayt</t>
  </si>
  <si>
    <t>Minnaria Nainggolan</t>
  </si>
  <si>
    <t>Muh Syarifudin</t>
  </si>
  <si>
    <t>Nandono FX, dr</t>
  </si>
  <si>
    <t>Nathasya Beany Winde</t>
  </si>
  <si>
    <t>Nofri Anda Hidayat</t>
  </si>
  <si>
    <t>Novriani  Sartika</t>
  </si>
  <si>
    <t>Putri Astuti</t>
  </si>
  <si>
    <t>Putri Pertamasari</t>
  </si>
  <si>
    <t>Rahmat Mirwan</t>
  </si>
  <si>
    <t>Raihan Arlan Arnanda</t>
  </si>
  <si>
    <t>Ratu Ratih Kusumayanti</t>
  </si>
  <si>
    <t>Refha Fitriani</t>
  </si>
  <si>
    <t>Rejeki Prima Anugrah, PT</t>
  </si>
  <si>
    <t>Richy Ramadhani</t>
  </si>
  <si>
    <t>Rina Katharina</t>
  </si>
  <si>
    <t>Risa Yuniadila</t>
  </si>
  <si>
    <t>Risdawaty Sibarani</t>
  </si>
  <si>
    <t>Risti Amalia Nastiti</t>
  </si>
  <si>
    <t>Risvia Yanuarita</t>
  </si>
  <si>
    <t>Roby Erwido Syahlan</t>
  </si>
  <si>
    <t>Roosanie Patria Murti</t>
  </si>
  <si>
    <t>RR. Pramada Resvita</t>
  </si>
  <si>
    <t>Rudyhard E. Hutagalung</t>
  </si>
  <si>
    <t>Saryo</t>
  </si>
  <si>
    <t>Setia Anugrah Medika, PT</t>
  </si>
  <si>
    <t>Shafira Nadia</t>
  </si>
  <si>
    <t>Shecia Vinka</t>
  </si>
  <si>
    <t>Shita Paurani Abe</t>
  </si>
  <si>
    <t>Sigit Daru Cahyadi</t>
  </si>
  <si>
    <t>Silas Suryawijaya</t>
  </si>
  <si>
    <t>Silfi Pauline Sirait</t>
  </si>
  <si>
    <t>Silvia Yolanda</t>
  </si>
  <si>
    <t>Silvia Yolanda, dr.SpOT</t>
  </si>
  <si>
    <t>Sri Ayu Vernawati</t>
  </si>
  <si>
    <t>Sutanto</t>
  </si>
  <si>
    <t>Syahdini Meriana</t>
  </si>
  <si>
    <t>Tarmizi</t>
  </si>
  <si>
    <t>Tri Yuniarti</t>
  </si>
  <si>
    <t>Windi Silvia Tanjung</t>
  </si>
  <si>
    <t>Yosephine Mari Koesariyanti</t>
  </si>
  <si>
    <t>Yuli Suciati</t>
  </si>
  <si>
    <t>Yuliana Frederika</t>
  </si>
  <si>
    <t>Yuliana Laksmini</t>
  </si>
  <si>
    <t>Yuliana Laksmini, dr. SpKK</t>
  </si>
  <si>
    <t>Yurnita Arifin</t>
  </si>
  <si>
    <t>Yusup</t>
  </si>
  <si>
    <t>Zelfia Riyelly</t>
  </si>
  <si>
    <t>Rujukan</t>
  </si>
  <si>
    <t>ABC</t>
  </si>
  <si>
    <t>rujukan</t>
  </si>
  <si>
    <t>EKA HOSPITAL</t>
  </si>
  <si>
    <t>RS MEDISTRA</t>
  </si>
  <si>
    <t>RS PONDOK INDAH BINTARO JAYA</t>
  </si>
  <si>
    <t>RS SARI ASIH CILEDUG</t>
  </si>
  <si>
    <t>RS. Aqidah</t>
  </si>
  <si>
    <t>Rs. Muhammadiyah Taman Puring</t>
  </si>
  <si>
    <t>Rs. Permata Pamulang</t>
  </si>
  <si>
    <t>RS. Pondok Indah Bintaro Jaya</t>
  </si>
  <si>
    <t>RS. PREMIER BINTARO</t>
  </si>
  <si>
    <t>RS. Sari Asih Ciputat</t>
  </si>
  <si>
    <t>RSIA IBNU SINA</t>
  </si>
  <si>
    <t>MAYAPADA HOSPITAL</t>
  </si>
  <si>
    <t>RSIA Permata Sarana Husada</t>
  </si>
  <si>
    <t>Vendor</t>
  </si>
  <si>
    <t>Alfa Medica Bersaudara</t>
  </si>
  <si>
    <t>Alfa Medica Bersaudara, PT</t>
  </si>
  <si>
    <t>Ampm HealthCare Indonesia</t>
  </si>
  <si>
    <t>Antarmitra Sembada, PT</t>
  </si>
  <si>
    <t>Anugerah Pharmindo Lestari, PT</t>
  </si>
  <si>
    <t>Anugrah Argon Medica, PT</t>
  </si>
  <si>
    <t>Apotek Berkat</t>
  </si>
  <si>
    <t>Apotek Cordelia</t>
  </si>
  <si>
    <t>Apotek K-24</t>
  </si>
  <si>
    <t>Apotek Kasuari</t>
  </si>
  <si>
    <t>Apotek Kawi Jaya</t>
  </si>
  <si>
    <t>Apotek Roxy</t>
  </si>
  <si>
    <t>Ariansa Mahita Artatama</t>
  </si>
  <si>
    <t>Berkah Medika Wibawatama, PT</t>
  </si>
  <si>
    <t>Bina San Prima, PT</t>
  </si>
  <si>
    <t>Bintang Selatan Mandiri Utama, PT</t>
  </si>
  <si>
    <t>Bintang Utama Medika,  PT</t>
  </si>
  <si>
    <t>Biuteknika Bina Prima</t>
  </si>
  <si>
    <t>Boldtechnology Leading Indonesia</t>
  </si>
  <si>
    <t>Brataco, PT</t>
  </si>
  <si>
    <t>Centro Print</t>
  </si>
  <si>
    <t>Citra Dian Pratama, PT</t>
  </si>
  <si>
    <t>Daya Muda Agung, PT</t>
  </si>
  <si>
    <t>Dsd Consultan</t>
  </si>
  <si>
    <t>Duta Berkat Abadi</t>
  </si>
  <si>
    <t>Duta Karsa Prima</t>
  </si>
  <si>
    <t>Enseval Putera Megatrading, PT</t>
  </si>
  <si>
    <t>Five Grafika, CV</t>
  </si>
  <si>
    <t>Giri Sukses Medika</t>
  </si>
  <si>
    <t>Global Ichsan Mandiri</t>
  </si>
  <si>
    <t>Global Pharma Indonesia</t>
  </si>
  <si>
    <t>Global Pharma Indonesia, PT</t>
  </si>
  <si>
    <t>Grafindo Triutama, PT</t>
  </si>
  <si>
    <t>Green Medica, PT</t>
  </si>
  <si>
    <t>Hospi Medik Indonesia</t>
  </si>
  <si>
    <t>Ideal Medika Pharma, PT</t>
  </si>
  <si>
    <t>Indofarma Global Medika, PT</t>
  </si>
  <si>
    <t>Indomaret (PT. Indomarco Prismatama)</t>
  </si>
  <si>
    <t>Indosat, Tbk</t>
  </si>
  <si>
    <t>Influinc Printing</t>
  </si>
  <si>
    <t>Inti Buana Utama, Pt</t>
  </si>
  <si>
    <t>Inti Sumber Hasil Sempurna</t>
  </si>
  <si>
    <t>Kallista Prima, PT</t>
  </si>
  <si>
    <t>Karina</t>
  </si>
  <si>
    <t>Karya Guna, CV</t>
  </si>
  <si>
    <t>Kebayoran Pharma. PT</t>
  </si>
  <si>
    <t>Kimia Farma LAB</t>
  </si>
  <si>
    <t>Kimia Farma Trading &amp; Distribution, PT</t>
  </si>
  <si>
    <t>Klip Plastik</t>
  </si>
  <si>
    <t>Larisindo Lestari, PT</t>
  </si>
  <si>
    <t>Lotte Mart Bintaro</t>
  </si>
  <si>
    <t>Medikarana Maju Bersama, PT</t>
  </si>
  <si>
    <t>Megah Medika Pharma, PT</t>
  </si>
  <si>
    <t>Meissa Berkah Teknologi</t>
  </si>
  <si>
    <t>Mensa Binasukses, PT</t>
  </si>
  <si>
    <t>Merapi Utama Pharma, PT</t>
  </si>
  <si>
    <t>Millenium Pharmacon International, PT</t>
  </si>
  <si>
    <t>Mitra Meditrans Indonesia</t>
  </si>
  <si>
    <t>Oasis Waters, PT</t>
  </si>
  <si>
    <t>Omni Hospital</t>
  </si>
  <si>
    <t>Parit Padang Global, PT</t>
  </si>
  <si>
    <t>Pembangunan Investasi Tangerang Selatan, PT</t>
  </si>
  <si>
    <t>Penta Valent, PT</t>
  </si>
  <si>
    <t>Pg Pinayungan Gusti</t>
  </si>
  <si>
    <t>PMI Kota Tangerang Selatan</t>
  </si>
  <si>
    <t>Prabu Mandiri Jaya, PT</t>
  </si>
  <si>
    <t>Prima Arthaka Labdatama</t>
  </si>
  <si>
    <t>Prima Arya Sembada, PT</t>
  </si>
  <si>
    <t>Primajaya Putra Mandiri, PT</t>
  </si>
  <si>
    <t>Saba Indomedika, PT</t>
  </si>
  <si>
    <t>Saesar Pratama, CV</t>
  </si>
  <si>
    <t>Sagi Capri, PT</t>
  </si>
  <si>
    <t>SAI Mitra Lestari, PT</t>
  </si>
  <si>
    <t>Sammarie Tramedifa, PT</t>
  </si>
  <si>
    <t>Sapta Sari Tama, PT</t>
  </si>
  <si>
    <t>Satya Abadi Visimed</t>
  </si>
  <si>
    <t>Selaras Medika</t>
  </si>
  <si>
    <t>Sentra Asia Gemilang, PT</t>
  </si>
  <si>
    <t>Serunting Sakti Jaya, PT</t>
  </si>
  <si>
    <t>Siloam Hospitals</t>
  </si>
  <si>
    <t>Sinar Plus Plastisindo</t>
  </si>
  <si>
    <t>Sinar Roda Utama, PT</t>
  </si>
  <si>
    <t>Steril Medical Indonesia, PT</t>
  </si>
  <si>
    <t>Stikes Kesehatan Ichsan</t>
  </si>
  <si>
    <t>Surya Prima Perkasa, PT</t>
  </si>
  <si>
    <t>Tawada Healthcare, PT</t>
  </si>
  <si>
    <t>Tempo, PT</t>
  </si>
  <si>
    <t>Toko Esemka</t>
  </si>
  <si>
    <t>Tri Bintang Anugrah, CV</t>
  </si>
  <si>
    <t>Tri Sapta Jaya, PT</t>
  </si>
  <si>
    <t>Trisula Kencana, CV</t>
  </si>
  <si>
    <t>Unibless Indomulti</t>
  </si>
  <si>
    <t>Printed on 30 Mar 2021 - 12:42</t>
  </si>
  <si>
    <t>PT. SANBA INDUSTRIES INDONESIA</t>
  </si>
  <si>
    <t>Aging Receivable Detail</t>
  </si>
  <si>
    <t>As of 31 Dec 2017</t>
  </si>
  <si>
    <t>Invoice No.</t>
  </si>
  <si>
    <t>Invoice Date</t>
  </si>
  <si>
    <t>MITSUBISHI KRAMA YUDHA MOTORS AND MANUFACTURING. PT</t>
  </si>
  <si>
    <t>SII-INV/1712-003</t>
  </si>
  <si>
    <t>29 Dec 2017</t>
  </si>
  <si>
    <t>JAYA INDAH CASTING. PT</t>
  </si>
  <si>
    <t>SII-INV/1709-001</t>
  </si>
  <si>
    <t>25 Sep 2017</t>
  </si>
  <si>
    <t>SII-INV/1710-009</t>
  </si>
  <si>
    <t>31 Oct 2017</t>
  </si>
  <si>
    <t>SII-INV/1711-005</t>
  </si>
  <si>
    <t>28 Nov 2017</t>
  </si>
  <si>
    <t>SII-INV/1712-004</t>
  </si>
  <si>
    <t>NAKAGAWA SPECIAL STEEL INDONESIA. PT</t>
  </si>
  <si>
    <t>SII-INV/1712-002</t>
  </si>
  <si>
    <t>19 Dec 2017</t>
  </si>
  <si>
    <t>SELAMAT SEMPURNA TBK. PT</t>
  </si>
  <si>
    <t>SII-INV/1711-003</t>
  </si>
  <si>
    <t>23 Nov 2017</t>
  </si>
  <si>
    <t>Printed on 05 Feb 2018 - 09:32</t>
  </si>
  <si>
    <t>KAS DAN SETARA KAS</t>
  </si>
  <si>
    <t>PT Bank Mandiri (Persero) escrow</t>
  </si>
  <si>
    <t>Jumlah kas dan setara kas</t>
  </si>
  <si>
    <t xml:space="preserve">Kisaran suku bunga dari setara kas berupa jasa giro bank rata-rata antara 0,25% sampai dengan 0,50%. </t>
  </si>
  <si>
    <t xml:space="preserve">Rekening Bank Mandiri (778) dan BNI 199 adalah rekening yang biasa digunakan untuk operasional perusahaan. </t>
  </si>
  <si>
    <r>
      <rPr>
        <sz val="9"/>
        <rFont val="Arial"/>
        <charset val="134"/>
      </rPr>
      <t>Rekening Bank Republik Indonesia BRI (</t>
    </r>
    <r>
      <rPr>
        <i/>
        <sz val="9"/>
        <rFont val="Arial"/>
        <charset val="134"/>
      </rPr>
      <t>nomor rekening 3309</t>
    </r>
    <r>
      <rPr>
        <sz val="9"/>
        <rFont val="Arial"/>
        <charset val="134"/>
      </rPr>
      <t>) adalah rekening yang digunakan terkait fasiltas pinjaman (project)</t>
    </r>
  </si>
  <si>
    <t>Saldo piutang usaha per tanggal 31 Desember 2021 dan 2020 berdasarkan data pelanggan adalah sebagai berikut :</t>
  </si>
  <si>
    <t>Jumlah piutang usaha</t>
  </si>
  <si>
    <t>Dikurangi cadangan kerugian piutang</t>
  </si>
  <si>
    <t>Piutang usaha bersih</t>
  </si>
  <si>
    <t>Saldo piutang usaha per tanggal 31 Desember 2021 dan 2020 berdasarkan umur piutang adalah sebagai berikut :</t>
  </si>
  <si>
    <t>Analisa umur piutang</t>
  </si>
  <si>
    <t>Belum Jatuh tempo</t>
  </si>
  <si>
    <t>1-30 Hari</t>
  </si>
  <si>
    <t>31-60 Hari</t>
  </si>
  <si>
    <t>61-90 Hari</t>
  </si>
  <si>
    <t>Lebih dari 90 hari</t>
  </si>
  <si>
    <t>Penyisihan / penurunan nilai</t>
  </si>
  <si>
    <t>Piutang usaha - neto</t>
  </si>
  <si>
    <t>Berdasarkan analisa akun piutang usaha pihak ketiga, manajemen berpendapat bahwa penyisihan penurunan nilai piutang yang dibentuk cukup untuk menutup kerugian yang mungkin timbul dari tidak tertagihnya piutang. Maka untuk tahun buku 2021 tidak dilakukan cadangan penurunan nilai.</t>
  </si>
  <si>
    <t>PERSEDIAAN</t>
  </si>
  <si>
    <t>2019</t>
  </si>
  <si>
    <t>Obat dan alat kesehatan</t>
  </si>
  <si>
    <t>Perlengkapan umum</t>
  </si>
  <si>
    <t>Jumlah Persediaan</t>
  </si>
  <si>
    <t>Akun ini merupakan persediaan obat dan alat kesehatan serta perlengkapan umum. Saldo pada tanggal 31 Desember 2020 dan 2019 adalah sebesar Rp 3.760.897.746,- dan Rp 2.032.335.908,-. Persediaan obat dan alat kesehatan menggunakan metode rata-rata bergerak.</t>
  </si>
  <si>
    <t xml:space="preserve">PIUTANG LAIN-LAIN </t>
  </si>
  <si>
    <t>Piutang lain-lain per 31 Desember 2021 dan 2020 adalah sebagai berikut :</t>
  </si>
  <si>
    <t xml:space="preserve">Guna Mandiri Tekindo (GMT), PT </t>
  </si>
  <si>
    <t>Dharma Pratama Sejati (DPS), PT</t>
  </si>
  <si>
    <t>Pratama Energy Mandiri (PEM), PT</t>
  </si>
  <si>
    <t>Pesona Alam Sentosa, PT</t>
  </si>
  <si>
    <t>Permata Alam Sejahtera, PT</t>
  </si>
  <si>
    <r>
      <rPr>
        <sz val="9"/>
        <color indexed="8"/>
        <rFont val="Arial"/>
        <charset val="134"/>
      </rPr>
      <t xml:space="preserve">Dikurangi </t>
    </r>
    <r>
      <rPr>
        <i/>
        <sz val="9"/>
        <color rgb="FF000000"/>
        <rFont val="Arial"/>
        <charset val="134"/>
      </rPr>
      <t>Piutang lain-lain tidak lancar</t>
    </r>
  </si>
  <si>
    <t>Jumlah piutang lain-lain</t>
  </si>
  <si>
    <t>PIUTANG LAIN-LAIN - LANJUTAN</t>
  </si>
  <si>
    <t>Piutang kepada PT Guna Mandiri Tekindo sebesar Rp 8,8 Milyar adalah piutang sehubungan dengan proyek dipulau bawean.</t>
  </si>
  <si>
    <t>Piutang kepada PT Dharma Pratama Sejati (DPS) adalah tagihan bunga yang dibebankan kepada DPS atas pembiayaan proyek jety PJB bawean gresik.</t>
  </si>
  <si>
    <t>Piutang kepada PT Permata Alam Sejahtera (PAS) adalah sehubungan dengan pinjaman pembangunan water treatment plan, dan telah dikembalikan.</t>
  </si>
  <si>
    <t>Piutang kepada PT Pesona Alam Sentosa digunakan untuk biaya operasional tempat wisata tirto gumarang yang berlokasi di kaki gunung lawu Jawa Tengah. Pemiliknya adalah Pak Bambang Prijambodo.</t>
  </si>
  <si>
    <t>Akun ini merupakan biaya dibayar dimuka sehubungan dengan sewa virtual kantor dan rumah untuk karyawan, saldo masing-masing per tahun 2021 dan 2020 adalah Rp 23.000.600,- dan 27.800.000,-. Masa sewa diperpanjang setiap tahun.</t>
  </si>
  <si>
    <t>DPS Energi Sukses Pratama, PT</t>
  </si>
  <si>
    <t>Patra Logistik, PT</t>
  </si>
  <si>
    <t xml:space="preserve">Central Motor wheel Indonesia, PT </t>
  </si>
  <si>
    <t>Grahaniaga Tatautama, PT</t>
  </si>
  <si>
    <t>Bass Oil Sukananta Limited, PT</t>
  </si>
  <si>
    <t>CSTS Joint Operation</t>
  </si>
  <si>
    <t>Dharma Pratama Sejati, PT</t>
  </si>
  <si>
    <t>Jumlah pekerjaan dalam pelaksanaan</t>
  </si>
  <si>
    <t>Pekerjaan dalam pelaksanaan kepada PT DSP ESP adalah  sehubungan dengan Pekerjaan yang sedang dilakukan di Palembang.</t>
  </si>
  <si>
    <t xml:space="preserve">Pekerjaan dalam pelaksanaan kepada PT Dharma Pratama Sejatai adalah  sehubungan dengan Pekerjaan yang sedang dilakukan di pulau bawean. </t>
  </si>
  <si>
    <t>ASET TETAP</t>
  </si>
  <si>
    <t>Tahun 2021</t>
  </si>
  <si>
    <t>Penambahan</t>
  </si>
  <si>
    <t>Pengurangan / Adjusment</t>
  </si>
  <si>
    <t>Aset dlm pembangunan</t>
  </si>
  <si>
    <t>Nilai buku</t>
  </si>
  <si>
    <t>ASET TETAP - LANJUTAN</t>
  </si>
  <si>
    <t>Tahun 2020</t>
  </si>
  <si>
    <t>Pada tanggal 31 Desember 2021, aset tetap mencakup tanah, bangunan, kendaraan, peralatan proyek dan peralatan kantor.</t>
  </si>
  <si>
    <t>Perusahaan mengasuransikan aset tetap nya terhadap risiko kebakaran, gempa bumi dan risiko lainnya tanggal 31 Desember 2021. Manajemen berpendapat bahwa nilai pemeliharaan cukup untuk menutup kerugian yang mungkin timbul terhadap aset tetap akibat risiko yang ditimbulkan.</t>
  </si>
  <si>
    <r>
      <rPr>
        <sz val="9"/>
        <rFont val="Arial"/>
        <charset val="134"/>
      </rPr>
      <t xml:space="preserve">Penyusutan yang tecatat pada aset tetap adalah sebesar Rp 1.801.256.844,- tahun 2021 dan Rp 1.109.260.500,- tahun 2020 yang disajikan pada kelompok beban pokok penjualan </t>
    </r>
    <r>
      <rPr>
        <i/>
        <sz val="9"/>
        <rFont val="Arial"/>
        <charset val="134"/>
      </rPr>
      <t>(</t>
    </r>
    <r>
      <rPr>
        <i/>
        <sz val="7"/>
        <rFont val="Arial"/>
        <charset val="134"/>
      </rPr>
      <t>catatan 18</t>
    </r>
    <r>
      <rPr>
        <i/>
        <sz val="9"/>
        <rFont val="Arial"/>
        <charset val="134"/>
      </rPr>
      <t>)</t>
    </r>
    <r>
      <rPr>
        <sz val="9"/>
        <rFont val="Arial"/>
        <charset val="134"/>
      </rPr>
      <t xml:space="preserve"> dan beban usaha (</t>
    </r>
    <r>
      <rPr>
        <i/>
        <sz val="7"/>
        <rFont val="Arial"/>
        <charset val="134"/>
      </rPr>
      <t>catatan 19</t>
    </r>
    <r>
      <rPr>
        <sz val="9"/>
        <rFont val="Arial"/>
        <charset val="134"/>
      </rPr>
      <t>) pada laporan laba rugi.</t>
    </r>
  </si>
  <si>
    <t>Rincian penyusutan yang dibebankan pada operasi tahun berjalan adalah sebagai berikut :</t>
  </si>
  <si>
    <r>
      <rPr>
        <sz val="9"/>
        <rFont val="Arial"/>
        <charset val="134"/>
      </rPr>
      <t>Beban pokok penjualan (</t>
    </r>
    <r>
      <rPr>
        <i/>
        <sz val="7"/>
        <rFont val="Arial"/>
        <charset val="134"/>
      </rPr>
      <t>catatan 18</t>
    </r>
    <r>
      <rPr>
        <sz val="9"/>
        <rFont val="Arial"/>
        <charset val="134"/>
      </rPr>
      <t>)</t>
    </r>
  </si>
  <si>
    <r>
      <rPr>
        <sz val="9"/>
        <rFont val="Arial"/>
        <charset val="134"/>
      </rPr>
      <t>Beban pemasaran (</t>
    </r>
    <r>
      <rPr>
        <i/>
        <sz val="7"/>
        <rFont val="Arial"/>
        <charset val="134"/>
      </rPr>
      <t>catatan 23</t>
    </r>
    <r>
      <rPr>
        <sz val="9"/>
        <rFont val="Arial"/>
        <charset val="134"/>
      </rPr>
      <t>)</t>
    </r>
  </si>
  <si>
    <r>
      <rPr>
        <sz val="9"/>
        <rFont val="Arial"/>
        <charset val="134"/>
      </rPr>
      <t>Beban administrasi dan umum  (</t>
    </r>
    <r>
      <rPr>
        <i/>
        <sz val="7"/>
        <rFont val="Arial"/>
        <charset val="134"/>
      </rPr>
      <t>catatan 19</t>
    </r>
    <r>
      <rPr>
        <sz val="9"/>
        <rFont val="Arial"/>
        <charset val="134"/>
      </rPr>
      <t>)</t>
    </r>
  </si>
  <si>
    <t>Jumlah beban penyusutan</t>
  </si>
  <si>
    <t>Manajemen berpendapat bahwa nilai tercatat aset tetap tahun buku 2021 masih dapat dipulihkan seluruhnya, sehingga tidak diperlukan penurunan nilai aset tetap.</t>
  </si>
  <si>
    <t>ASET LAIN-LAIN</t>
  </si>
  <si>
    <t>Akun aset lain-lain ini terdiri investasi dan lainnya, dengan penjelasan sebagai berikut :</t>
  </si>
  <si>
    <t>Akun investas ini terdiri dari :</t>
  </si>
  <si>
    <t>Investasi PT Mitra Energi Buana</t>
  </si>
  <si>
    <t xml:space="preserve">Investasi PT Grahaniaga Tatautama </t>
  </si>
  <si>
    <t>Investasi PT Mulya Tara Mandiri</t>
  </si>
  <si>
    <t>Jumlah Investasi</t>
  </si>
  <si>
    <t>Investasi kepada PT Mitra Energi Buana sesuai perjanjian kerja nomor 158/MEB-SPK/VIII/2018 tanggal 8 agustus 2018 sehubungan Pembangunan dan pekerjaan sipil untuk penyediaan, pengoperasion mesin kompresi gas serta distribusi CNG berlokasi di kecamatan gandus kota Palembang Sumatera Selatan. Jangka waktu perjanjian ini adalah 5 tahun terhitung dari berita acara pengoperasian. Pada tahun 2022 kerjasama ini telah berakhir.</t>
  </si>
  <si>
    <t xml:space="preserve">Tanggal 6 Maret 2019 Perusahaan melakukan kerjasama dengan PT Mitra Energi Buana dalam hal penyediaan dan pengoperasian mesin kompresi gas senilai 11,4 Milyar. </t>
  </si>
  <si>
    <t xml:space="preserve">PT Grahaniaga Tatautama </t>
  </si>
  <si>
    <t xml:space="preserve">Investasi kepada PT Grahaniaga Tatautama (GNTU) adalah dalam bentuk kerjasama BOT yaitu pembuatan WWTP untuk pengelolaan air  dan penyediaan air baku minimal 120 M3/hari untuk diolah dalam WWTP menjadi air bersih dengan nomor : 396/SP/IGA-GNTU/DIR/IX/2019 tanggal 9 September 2019, jangka waktu perjanjian ini 6 tahun terhitung sejak tanggal dimulainya yaitu pada saat disalurkan air bersih pertama ke storage pihak GNTU. </t>
  </si>
  <si>
    <t>UTANG USAHA</t>
  </si>
  <si>
    <t>Saldo utang usaha per tanggal 31 Desember 2021 dan 2020 berdasarkan data supplier adalah sebagai berikut :</t>
  </si>
  <si>
    <t>Jumlah utang usaha</t>
  </si>
  <si>
    <t>Saldo utang usaha per tanggal 31 Desember 2021 dan 2020 berdasarkan umur utang adalah sebagai berikut :</t>
  </si>
  <si>
    <t>Analisa umur utang usaha</t>
  </si>
  <si>
    <t>Jumlah utang usaha - neto</t>
  </si>
  <si>
    <t xml:space="preserve">Berdasarkan hasil penelaahan keadaan utang usaha pada akhir tahun, manajemen berpendapat bahwa utang tersebut di atas sedang dalam proses penyelesaian pembayaran.  </t>
  </si>
  <si>
    <t>PERPAJAKAN</t>
  </si>
  <si>
    <t>PPh pasal 21</t>
  </si>
  <si>
    <t>PPh pasal 25/ 29</t>
  </si>
  <si>
    <t>PPN keluaran</t>
  </si>
  <si>
    <t>PPh pasal 23</t>
  </si>
  <si>
    <t>PPh pasal 4 ayat 2 final</t>
  </si>
  <si>
    <t>Jumlah utang pajak</t>
  </si>
  <si>
    <t xml:space="preserve">Pajak kini </t>
  </si>
  <si>
    <t>Rekonsiliasi antara laba sebelum pajak penghasilan, akan disajikan dalam laporan laba rugi komprehensif, dan taksiran rugi fiskal. Rekonsiliasi tersebut adalah sebagai berikut :</t>
  </si>
  <si>
    <t>Laba sebelum pajak penghasilan</t>
  </si>
  <si>
    <t>Koreksi Fiskal</t>
  </si>
  <si>
    <t>Penghasilan bunga yang dikenakan pajak penghasilan bersifat final</t>
  </si>
  <si>
    <t>PERPAJAKAN - LANJUTAN</t>
  </si>
  <si>
    <t>Pajak kini - Lanjutan</t>
  </si>
  <si>
    <t>Penghasilan kena pajak - lanjutan</t>
  </si>
  <si>
    <t>Jumlah PKP dari bagian peredaran bruto yang memperoleh fasilitas :</t>
  </si>
  <si>
    <t>Jumlah PKP dari bagian peredaran bruto yang tidak memperoleh fasilitas :</t>
  </si>
  <si>
    <t>-</t>
  </si>
  <si>
    <t>Taksiran Pajak Penghasilan Badan :</t>
  </si>
  <si>
    <t>Jumlah Pph badan 2021</t>
  </si>
  <si>
    <t>Jumlah PPh badan 2020</t>
  </si>
  <si>
    <t>Utang pph badan pasal 29</t>
  </si>
  <si>
    <t xml:space="preserve">Taksiran pajak penghasilan badan </t>
  </si>
  <si>
    <t>Dikurangi kredit pph</t>
  </si>
  <si>
    <t>Perusahaan menghitung beban pajak kini dengan perhitungan sendiri (self assessment) yang tertuang kedalam SPT badan. Untuk tahun buku 2020 tidak diaudit.</t>
  </si>
  <si>
    <t>Honor Dokter</t>
  </si>
  <si>
    <t>Upah pegawai</t>
  </si>
  <si>
    <t>Listrik, telepon dan lain lain</t>
  </si>
  <si>
    <t>Jumlah beban akrual</t>
  </si>
  <si>
    <t>UTANG BANK</t>
  </si>
  <si>
    <t>Utang Bank jangka pendek</t>
  </si>
  <si>
    <t>PT BNI, Tbk</t>
  </si>
  <si>
    <t>PT Bank Panin</t>
  </si>
  <si>
    <t>PT Bank Republik Indonesia</t>
  </si>
  <si>
    <t>Jumlah utang bank jangka pendek</t>
  </si>
  <si>
    <t>Utang Bank jangka panjang</t>
  </si>
  <si>
    <t>PT BRI</t>
  </si>
  <si>
    <t>Jumlah utang bank jangka panjang</t>
  </si>
  <si>
    <t>Utang Bank</t>
  </si>
  <si>
    <t>Jumlah utang bank</t>
  </si>
  <si>
    <t>PT Bank Negara Indonesia</t>
  </si>
  <si>
    <t xml:space="preserve">Perusahaan mendapat fasilitas pinjaman dari BNI, dengan beberapa jenis pembiayaan sebagai berikut berikut :  </t>
  </si>
  <si>
    <t>Fasilitas pinjaman</t>
  </si>
  <si>
    <t>No rekening</t>
  </si>
  <si>
    <t>Pinjaman Rekening Koran</t>
  </si>
  <si>
    <t>BNI - KI Refinance1</t>
  </si>
  <si>
    <t>Kredit Investasi (Refinance)</t>
  </si>
  <si>
    <t>764913024</t>
  </si>
  <si>
    <t>Kredit Modal Kerja 1 B</t>
  </si>
  <si>
    <t>837871013</t>
  </si>
  <si>
    <t>lunas</t>
  </si>
  <si>
    <t>Kredit Modal Kerja 2</t>
  </si>
  <si>
    <t xml:space="preserve">772690313 </t>
  </si>
  <si>
    <t>Kredit Modal Kerja 3</t>
  </si>
  <si>
    <t>799459883</t>
  </si>
  <si>
    <t>Lunas</t>
  </si>
  <si>
    <t xml:space="preserve">Pinjaman Modal Kerja Kompresor </t>
  </si>
  <si>
    <t>809390966</t>
  </si>
  <si>
    <t xml:space="preserve">KMK Term Loan </t>
  </si>
  <si>
    <t>1184736984</t>
  </si>
  <si>
    <t>Jumlah pinjaman BNI</t>
  </si>
  <si>
    <t>UTANG BANK - LANJUTAN</t>
  </si>
  <si>
    <t>PT Bank Negara Indonesia - Lanjutan</t>
  </si>
  <si>
    <t>Dengan perincian sebagai berikut ;</t>
  </si>
  <si>
    <t xml:space="preserve">KMK RC terbatas (restrukturisasi) 
- jasa konstruksi dan jasa penyewaan iso tank </t>
  </si>
  <si>
    <t>Nilai Plafond</t>
  </si>
  <si>
    <t xml:space="preserve">Rp. 1.500.000.000,- </t>
  </si>
  <si>
    <t>Sifat</t>
  </si>
  <si>
    <t>Jangka Waktu</t>
  </si>
  <si>
    <t>sd 28 Maret 2021</t>
  </si>
  <si>
    <t>Bunga</t>
  </si>
  <si>
    <t>11,5% terdiri dari 8,5% pa efektif dan aka direview setiap saat disesuaikan dengan suku bunga yang berlaku di BNI / tgl 25 setiap bulannya, sisa bunga sebesar 3,0% pa ditangguhkan dan akan dibayarkan penuh pada bulan saat bunga direview kembali normal dan disesuaikan dengan ketentuan BNI. Biaya provisi sebesar Rp 100.000, dan biaya administrasi sebesar Rp 100.000,-.</t>
  </si>
  <si>
    <t>11,5% terdiri dari 8,5% pa efektif dan aka direview setiap saat disesuaikan dengan suku bunga yang berlaku di BNI / tgl 25 setiap bulannya, sisa bunga sebesar 3,0% pa ditangguhkan dan akan dibayarkan penuh pada bulan saat bunga direview kembali normal dan disesuaikan dengan ketentuan BNI. Biaya provisi dan biaya administrasi tidak dikenakan.</t>
  </si>
  <si>
    <t>3 bulan (21-02-2020 sd 20-05-2020), namun tahap awal akan dilakukan pada 20-03-2020</t>
  </si>
  <si>
    <t>12,75% per tahun efektif, Provisi 1% pertahun dari maksimum kredit atau Rp 2.703.967</t>
  </si>
  <si>
    <t>3 bulan (07-02-2020 sd 06-05-2020), tahap awal akan dilakukan pada 06-03-2020</t>
  </si>
  <si>
    <t>12,75% per tahun efektif, Provisi 1% pertahun dari maksimum kredit atau Rp 1.487.752</t>
  </si>
  <si>
    <t>3 bulan (12-02-2020 sd 11-05-2020) tahap awal akan dilakukan pada 11-03-2020</t>
  </si>
  <si>
    <t>12,75% per tahun efektif, Provisi 1% pertahun dari maksimum kredit atau Rp 1.650.000</t>
  </si>
  <si>
    <t>56 bulan sejak penandatangan perjanjian</t>
  </si>
  <si>
    <t>11,5% terdiri dari 8,5% pa efektif dan akan direview setiap saat disesuaikan dengan suku bunga yang berlaku di BNI / tgl 25 setiap bulannya, Sisa bunga sebesar 3,0% (tiga persen) pa ditangguhkan dan akan dibayarkan penuh pada bulan saat bunga direview kembali normal dan disesuaikan dengan ketentuan BNI. Provisi &amp; By adm tidak dikenakan.</t>
  </si>
  <si>
    <t>Atas pinjaman tersebut telah diperpanjang sesuai SKK Nomor JAC/06/406/R tanggal 29 Maret 2021, bunga 12% terdiri dari 8,5% pertahun efektif, sisa bunga sebesar 3,50% (tiga koma lima puluh persen) pa ditangguhkan dan akan dibayarkan penuh pada bulan saat bunga direview kembali normal dan disesuaikan dengan ketentuan BNI. Fasilitas ini merupakan penairan atas plafond kredit no 171/JAC/PK-KMK2017 tgl 30 Maret 2021 dan SKK No JAC/06/406/R tgl 29 Maret 2021. Kredit modal kerja 2 dan 3 sudah lunas di tahun 2021.</t>
  </si>
  <si>
    <t>Agunan</t>
  </si>
  <si>
    <r>
      <rPr>
        <sz val="9"/>
        <rFont val="Arial"/>
        <charset val="134"/>
      </rPr>
      <t xml:space="preserve">Tanah dan Bangunan di Jl. Nuri Blok E7 No 15 RT 007/009 Kel Pasir Putih Sawangan Depok, 
</t>
    </r>
    <r>
      <rPr>
        <b/>
        <sz val="9"/>
        <rFont val="Arial"/>
        <charset val="134"/>
      </rPr>
      <t>Bukti kepemilikan :</t>
    </r>
    <r>
      <rPr>
        <sz val="9"/>
        <rFont val="Arial"/>
        <charset val="134"/>
      </rPr>
      <t xml:space="preserve">
SHM No 1945/Pasir putih tanggal 29/1/2003 an Bambang Prijambodo dan 
IMB no 648. 12/935/IMB/ BPMP2T/2014 Tgl 16 Juni 2014 an BP. 
</t>
    </r>
    <r>
      <rPr>
        <b/>
        <sz val="9"/>
        <rFont val="Arial"/>
        <charset val="134"/>
      </rPr>
      <t xml:space="preserve">Pengikatan :
</t>
    </r>
    <r>
      <rPr>
        <sz val="9"/>
        <rFont val="Arial"/>
        <charset val="134"/>
      </rPr>
      <t>Telah dilakukan pengikatan HT I sebesar Rp 1,4 milyar, CF SHT I No. 06879/2017 tgl 9 Agustus 2017.</t>
    </r>
  </si>
  <si>
    <r>
      <rPr>
        <sz val="9"/>
        <rFont val="Arial"/>
        <charset val="134"/>
      </rPr>
      <t xml:space="preserve">Tanah di jln Raya Parang desa bungkuk Kec, parang, kab magetan, Jatim, Bukti kepemilikan SHM No 317/Bungkuk tgl 20/5/2005 an Bambang Prijambodo. 
</t>
    </r>
    <r>
      <rPr>
        <b/>
        <sz val="9"/>
        <rFont val="Arial"/>
        <charset val="134"/>
      </rPr>
      <t>Pengikatan :</t>
    </r>
    <r>
      <rPr>
        <sz val="9"/>
        <rFont val="Arial"/>
        <charset val="134"/>
      </rPr>
      <t xml:space="preserve">
Telah dilakukan pengikatan HT I sebesar Rp 371 Juta , CF SHT I No. 1419/2017 tgl 14 Agustus 2017.
Telah Diikat HT II sebesar Rp 99 juta cfm covernote No. 204/NT/X/2018 tgl 31/10/2018, JT tgl 31-02-2019 oleh Notaris Dr Dyah Sulistyani, RS&lt; SH, MHum
</t>
    </r>
    <r>
      <rPr>
        <b/>
        <sz val="9"/>
        <rFont val="Arial"/>
        <charset val="134"/>
      </rPr>
      <t>Asuransi :</t>
    </r>
    <r>
      <rPr>
        <sz val="9"/>
        <rFont val="Arial"/>
        <charset val="134"/>
      </rPr>
      <t xml:space="preserve">
asuransi polis No 10212091900003 tgl 28-02-2019  Jt 15-02-2020,</t>
    </r>
  </si>
  <si>
    <r>
      <rPr>
        <sz val="9"/>
        <rFont val="Arial"/>
        <charset val="134"/>
      </rPr>
      <t xml:space="preserve">Tanah dan bangunan di desa lambeyun kulon  Kec, Lambeyan, kab magetan, Jatim, 
</t>
    </r>
    <r>
      <rPr>
        <b/>
        <sz val="9"/>
        <rFont val="Arial"/>
        <charset val="134"/>
      </rPr>
      <t xml:space="preserve">Bukti kepemilikan </t>
    </r>
    <r>
      <rPr>
        <sz val="9"/>
        <rFont val="Arial"/>
        <charset val="134"/>
      </rPr>
      <t>:</t>
    </r>
    <r>
      <rPr>
        <b/>
        <sz val="9"/>
        <rFont val="Arial"/>
        <charset val="134"/>
      </rPr>
      <t xml:space="preserve">
</t>
    </r>
    <r>
      <rPr>
        <sz val="9"/>
        <rFont val="Arial"/>
        <charset val="134"/>
      </rPr>
      <t xml:space="preserve">SHM No 365/Lambeyan kulon tgl 28/3/2017 an Bambang Prijambodo. 
SHM No 366/Lambeyan kulon tgl 28/3/2017 an Bambang Prijambodo.
</t>
    </r>
    <r>
      <rPr>
        <b/>
        <sz val="9"/>
        <rFont val="Arial"/>
        <charset val="134"/>
      </rPr>
      <t>Pengikatan :</t>
    </r>
    <r>
      <rPr>
        <sz val="9"/>
        <rFont val="Arial"/>
        <charset val="134"/>
      </rPr>
      <t xml:space="preserve">
Telah dilakukan pengikatan HT I sebesar Rp 526 Juta , CF SHT I No. 1419/2017 tgl 14 Agustus 2017.
</t>
    </r>
    <r>
      <rPr>
        <b/>
        <sz val="9"/>
        <rFont val="Arial"/>
        <charset val="134"/>
      </rPr>
      <t>Asuransi :</t>
    </r>
    <r>
      <rPr>
        <sz val="9"/>
        <rFont val="Arial"/>
        <charset val="134"/>
      </rPr>
      <t xml:space="preserve">
asuransi polis No 10212091900003 tgl 28-02-2019  Jt 15-02-2020,</t>
    </r>
  </si>
  <si>
    <r>
      <rPr>
        <sz val="9"/>
        <rFont val="Arial"/>
        <charset val="134"/>
      </rPr>
      <t xml:space="preserve">Tanah dan bangunan di desa lambeyun kulon  Kec, Lambeyan, kab magetan, Jatim, 
</t>
    </r>
    <r>
      <rPr>
        <b/>
        <sz val="9"/>
        <rFont val="Arial"/>
        <charset val="134"/>
      </rPr>
      <t>Bukti kepemilikan :</t>
    </r>
    <r>
      <rPr>
        <sz val="9"/>
        <rFont val="Arial"/>
        <charset val="134"/>
      </rPr>
      <t xml:space="preserve">
SHM No 1633/Lambeyan kulon tgl 05/10/2018 an Bambang Prijambodo. 
</t>
    </r>
    <r>
      <rPr>
        <b/>
        <sz val="9"/>
        <rFont val="Arial"/>
        <charset val="134"/>
      </rPr>
      <t xml:space="preserve">Pengikatan :
</t>
    </r>
    <r>
      <rPr>
        <sz val="9"/>
        <rFont val="Arial"/>
        <charset val="134"/>
      </rPr>
      <t xml:space="preserve">Telah dilakukan pengikatan HT I Covernote No. 204/NT/X/2018 tgl 31/10/2018, JT tgl 31-02-2019 oleh Notaris Dr Dyah Sulistyani, RS, SH, MHum
</t>
    </r>
    <r>
      <rPr>
        <b/>
        <sz val="9"/>
        <rFont val="Arial"/>
        <charset val="134"/>
      </rPr>
      <t xml:space="preserve">Asuransi :
</t>
    </r>
    <r>
      <rPr>
        <sz val="9"/>
        <rFont val="Arial"/>
        <charset val="134"/>
      </rPr>
      <t>asuransi polis No 10212091900003 tgl 28-02-2019  Jt 15-02-2020</t>
    </r>
  </si>
  <si>
    <r>
      <rPr>
        <sz val="9"/>
        <rFont val="Arial"/>
        <charset val="134"/>
      </rPr>
      <t xml:space="preserve">4 Unit CNGTube Skid 40 Feet Shijiajuang Enric Gas Equipment Co. Ltd 
</t>
    </r>
    <r>
      <rPr>
        <b/>
        <sz val="9"/>
        <rFont val="Arial"/>
        <charset val="134"/>
      </rPr>
      <t>Bukti Kepemilikan :</t>
    </r>
    <r>
      <rPr>
        <sz val="9"/>
        <rFont val="Arial"/>
        <charset val="134"/>
      </rPr>
      <t xml:space="preserve">
Invoice No 243/DPS-KEU/IGA/11/2014 tgl 17-11-2014
</t>
    </r>
    <r>
      <rPr>
        <b/>
        <sz val="9"/>
        <rFont val="Arial"/>
        <charset val="134"/>
      </rPr>
      <t>Pengikatan :</t>
    </r>
    <r>
      <rPr>
        <sz val="9"/>
        <rFont val="Arial"/>
        <charset val="134"/>
      </rPr>
      <t xml:space="preserve">
Fidusia Notariil dg AJH No 16 Tgl 12-05-2017 dan SJF No W10.0030025\.AH.05.01 thn2017 tgl09-06-2017
</t>
    </r>
    <r>
      <rPr>
        <b/>
        <sz val="9"/>
        <rFont val="Arial"/>
        <charset val="134"/>
      </rPr>
      <t xml:space="preserve">Asuransi :
</t>
    </r>
    <r>
      <rPr>
        <sz val="9"/>
        <rFont val="Arial"/>
        <charset val="134"/>
      </rPr>
      <t>Asuransi polis No 10212091900003 sebesar Rp 4.490.120.000,- tgl 28-02-2019  Jt 15-02-2020,</t>
    </r>
  </si>
  <si>
    <r>
      <rPr>
        <sz val="9"/>
        <rFont val="Arial"/>
        <charset val="134"/>
      </rPr>
      <t xml:space="preserve">2 (dua) Unit CNGTube Skid 40 Feet Shijiajuang Enric Gas Equipment Co. Ltd dan 1 (satu) Unit CNGTube Skid 40 Feet Shijiajuang Enric Gas Equipment Co. Ltd 
</t>
    </r>
    <r>
      <rPr>
        <b/>
        <sz val="9"/>
        <rFont val="Arial"/>
        <charset val="134"/>
      </rPr>
      <t>Bukti Kepemilikan :</t>
    </r>
    <r>
      <rPr>
        <sz val="9"/>
        <rFont val="Arial"/>
        <charset val="134"/>
      </rPr>
      <t xml:space="preserve">
Invoice No 243/DPS-KEU/IGA/11/2014 tgl 17-11-2014 &amp;
Invoice No 244/DPS-KEU/IGA/11/2014 tgl 17-11-2014
</t>
    </r>
    <r>
      <rPr>
        <b/>
        <sz val="9"/>
        <rFont val="Arial"/>
        <charset val="134"/>
      </rPr>
      <t xml:space="preserve">Pengikatan : </t>
    </r>
    <r>
      <rPr>
        <sz val="9"/>
        <rFont val="Arial"/>
        <charset val="134"/>
      </rPr>
      <t xml:space="preserve">
Fidusia Notariil cfm SJF No W10.00568811\.AH.05.01 thn 2018 tgl 30-11-2018
</t>
    </r>
    <r>
      <rPr>
        <b/>
        <sz val="9"/>
        <rFont val="Arial"/>
        <charset val="134"/>
      </rPr>
      <t>Asuransi :</t>
    </r>
    <r>
      <rPr>
        <sz val="9"/>
        <rFont val="Arial"/>
        <charset val="134"/>
      </rPr>
      <t xml:space="preserve">
Asuransi polis No 10212091900004 sebesar Rp 3.372.199.998,- tgl 28-02-2019  Jt 30-10-2021,</t>
    </r>
  </si>
  <si>
    <r>
      <rPr>
        <sz val="9"/>
        <rFont val="Arial"/>
        <charset val="134"/>
      </rPr>
      <t xml:space="preserve">1 (satu) Unit Mesin Driven with enclosure (include PLC panel) dan Gas dryer D TRNGX Duplex dari PT Sarana Arta Mulia (Kurs saat booking 1 USD  Rp14.055)  
</t>
    </r>
    <r>
      <rPr>
        <b/>
        <sz val="9"/>
        <rFont val="Arial"/>
        <charset val="134"/>
      </rPr>
      <t>Bukti Kepemilikan :</t>
    </r>
    <r>
      <rPr>
        <sz val="9"/>
        <rFont val="Arial"/>
        <charset val="134"/>
      </rPr>
      <t xml:space="preserve">
Invoice No 18 (O) -0724-B-IGA.R4 tgl20-09-2018.061/INV/SAM/X.2018.IGA.REV.1 tgl 6-12-2018
</t>
    </r>
    <r>
      <rPr>
        <b/>
        <sz val="9"/>
        <rFont val="Arial"/>
        <charset val="134"/>
      </rPr>
      <t xml:space="preserve">Pengikatan : </t>
    </r>
    <r>
      <rPr>
        <sz val="9"/>
        <rFont val="Arial"/>
        <charset val="134"/>
      </rPr>
      <t xml:space="preserve">
Fidusia Notarii sebesar Rp 8,784.375.000 melalui Notaris Rekanan BNI.
</t>
    </r>
    <r>
      <rPr>
        <b/>
        <sz val="9"/>
        <rFont val="Arial"/>
        <charset val="134"/>
      </rPr>
      <t xml:space="preserve">Asuransi :
</t>
    </r>
    <r>
      <rPr>
        <sz val="9"/>
        <rFont val="Arial"/>
        <charset val="134"/>
      </rPr>
      <t>akan ditutup Asuransi  pada asuradur rekanan BNI.</t>
    </r>
  </si>
  <si>
    <t>Piutang Usaha Intan Giri Abadi sebesar Rp 7.004.905.644,- dan akan diikat fidusia dibawah tangan.</t>
  </si>
  <si>
    <t>Agunan - Lanjutan</t>
  </si>
  <si>
    <t>PT BANK PANIN</t>
  </si>
  <si>
    <t xml:space="preserve">Perusahaan telah mendapat fasilitas pinjaman dari Bank Panin dengan Surat Pemberian Kredit Nomor. 249/JCI/EXT/18 tanggal 15 November 2018, dengan ketentuan dan persyaratan sebagai berikut :  </t>
  </si>
  <si>
    <t>Fasilitas antara lain :</t>
  </si>
  <si>
    <t>Pinjaman Jangka Panjang (PJP)</t>
  </si>
  <si>
    <t>Limit Kredit</t>
  </si>
  <si>
    <t>Rp. 5.700.000.000,- (lima milyar tujuh ratus juta rupiah),</t>
  </si>
  <si>
    <t>Tujuan Penggunaan</t>
  </si>
  <si>
    <t>Take Over Fasilitas KPR di Bank Mandiri an Bambang Prijambodo dengan Oustanding Rp 5.721.930.573</t>
  </si>
  <si>
    <t>10 Tahun sejak PKH</t>
  </si>
  <si>
    <t>Suku Bunga</t>
  </si>
  <si>
    <t>10,00% p.a. Dibayar efektif setiap tanggal 15 pada bulan yang bersangkutan dan dapat berubah sewaktu-waktu sesuai ketentuan yang berlaku.</t>
  </si>
  <si>
    <t>Biaya Administrasi</t>
  </si>
  <si>
    <t>Rp. 2.900.000,- (dua juta sembilan ratus ribu rupiah)</t>
  </si>
  <si>
    <t>Provisi</t>
  </si>
  <si>
    <t>0,75% p.a. dari limit kredit dan dibayar paling lambat pada saat penandatanganan Addendum Perjanjian Kredit dan dapat berubah sewaktu-waktu sesuai ketentuan yang berlaku.</t>
  </si>
  <si>
    <t xml:space="preserve">5% p.a. di atas suku bunga kredit yang berlaku untuk setiap keterlambatan pembayaran </t>
  </si>
  <si>
    <t>Aset Tetap :</t>
  </si>
  <si>
    <t>1 unit kantor dengan LT 488 meter2/ Lb 353M2 di jl margasatwa no 119 kel pdk labu  kec cilandak, Telah dipasang HT sebesar Rp 8.040.000.000,-</t>
  </si>
  <si>
    <t>Jaminan di asuransikan untuk kebakaran, gempa dan lainnya</t>
  </si>
  <si>
    <t>Rp. 1.000.000.000,- (satu milyar rupiah),</t>
  </si>
  <si>
    <t>Modal Kerja dalam bidang Konstruksi gas trader,water solution Gas transportation dan EPC</t>
  </si>
  <si>
    <t>1 Tahun sejak PKH</t>
  </si>
  <si>
    <t>10,5% p.a. Dibayar efektif setiap tanggal 15 pada bulan yang bersangkutan dan dapat berubah sewaktu-waktu sesuai ketentuan yang berlaku.</t>
  </si>
  <si>
    <t>Rp. 500.000,- (lima ratus ribu rupiah)</t>
  </si>
  <si>
    <t>0,5% p.a. dari limit kredit dan dibayar paling lambat pada saat penandatanganan Addendum Perjanjian Kredit dan dapat berubah sewaktu-waktu sesuai ketentuan yang berlaku.</t>
  </si>
  <si>
    <t>PT BANK RAKYAT INDONESIA, TBK</t>
  </si>
  <si>
    <r>
      <rPr>
        <sz val="9"/>
        <rFont val="Arial"/>
        <charset val="134"/>
      </rPr>
      <t>Perusahaan telah mendapat fasilitas pinjaman dari Bank BRI pada tahun 2022 berupa Kredit Modal Kerja W/Ainterchangable dengan fasilitas bank garansi dan KMK Co Tetap dengan tata cara pembayaran pokok yaitu 
1. 1 x Rp 2,5 M dibayar pada saat jatuh tempo kredit dan
 2. Bunga dibayar setiap bulan sesuai jumlah tagihan biling sistem BRI.
Nilai Pinjaman masing-masing sebesar Rp 2.500.000.000,- sehingga total pinjaman adalah sebesar Rp 5.000.000.000, jangka waktu pinjaman 12 bulan, tingkat suku bunga 12%. Biaya provisi sebesar 0,75% dari nilai baki, biaya administrasi sebesar Rp 2.500.000,-. Jaminan adalah sebagai berikut :
1. Piutang usaha dg cessie sebesar Rp 5 Milyar
2. SHGB di kendensari di tanggulangin, sidoarjo Surabaya dengan luas 75 M</t>
    </r>
    <r>
      <rPr>
        <vertAlign val="superscript"/>
        <sz val="9"/>
        <rFont val="Arial"/>
        <charset val="134"/>
      </rPr>
      <t>2</t>
    </r>
    <r>
      <rPr>
        <sz val="9"/>
        <rFont val="Arial"/>
        <charset val="134"/>
      </rPr>
      <t xml:space="preserve"> , 
3. SHM No. 603 di Magetan Jawa Timur dengan luas tanah 5.372 M</t>
    </r>
    <r>
      <rPr>
        <vertAlign val="superscript"/>
        <sz val="9"/>
        <rFont val="Arial"/>
        <charset val="134"/>
      </rPr>
      <t>2</t>
    </r>
    <r>
      <rPr>
        <sz val="9"/>
        <rFont val="Arial"/>
        <charset val="134"/>
      </rPr>
      <t xml:space="preserve"> .</t>
    </r>
  </si>
  <si>
    <t>UTANG PEMBIAYAAN</t>
  </si>
  <si>
    <t>Utang pembiayaan ini sehubungan dengan pembelian beberapa mobil untuk operasional perusahaan melalui beberapa lembaga pembiayaan leasing yaitu sebagai berikut :</t>
  </si>
  <si>
    <t>Lembaga Pembiayaan / Jenis Kendaraan</t>
  </si>
  <si>
    <t>PT Toyota Astra Financial Service</t>
  </si>
  <si>
    <t>IMFI PT Indomobil Finace Indonesia</t>
  </si>
  <si>
    <t>Mandiri Utama Finance</t>
  </si>
  <si>
    <t>PT Shinhan Indofinance</t>
  </si>
  <si>
    <t>Minsui - LB Hino ranger &amp; Dutro</t>
  </si>
  <si>
    <t>MTF - Hino Ranger 2</t>
  </si>
  <si>
    <t>Adira Finance - Nmax 4 Unit</t>
  </si>
  <si>
    <t>PT Hino Finance Indonesia</t>
  </si>
  <si>
    <t>Jumlah total utang pembiayaan</t>
  </si>
  <si>
    <t xml:space="preserve">Klasifikasi </t>
  </si>
  <si>
    <t>Total utang pembiayaan</t>
  </si>
  <si>
    <t>Dikurangi bagian yang jangka pendek</t>
  </si>
  <si>
    <t>Jumlah utang pembiayaan - jangka panjang</t>
  </si>
  <si>
    <t xml:space="preserve">Utang pembiayaan kepada pihak leasing tersebut diatur sesuai ketentuan yang berlaku pada masing-masing pihak leasing tersebut berdasarkan kontrak yang berlaku. Pembiayaan bunga berkisar antara 4-5% dengan jangka waktu antara 1- 5 tahun. Pada masa covid perusahaan minta keringan pembayaran bunga. </t>
  </si>
  <si>
    <t xml:space="preserve">UTANG LAIN-LAIN </t>
  </si>
  <si>
    <t>Akun utang lain-lain tersebut terbagi dalam kategori jangka pendek dan jangka panjang, yaitu sebagai berikut:</t>
  </si>
  <si>
    <t>Utang Lain-lain Jangka Pendek</t>
  </si>
  <si>
    <t>PT Dharma Pratama Sejati</t>
  </si>
  <si>
    <t>Bowo Triwicaksono</t>
  </si>
  <si>
    <t>Jumlah utang lain-lain jangka pendek</t>
  </si>
  <si>
    <t>Utang Lain-lain Jangka Panjang</t>
  </si>
  <si>
    <t>Utang Lain2 Jpj - PT Mitra Energi Persada</t>
  </si>
  <si>
    <t>Utang Lain2 Jpj - PT Mitra Energi Buana</t>
  </si>
  <si>
    <t>PT DPS ESP</t>
  </si>
  <si>
    <t>Bambang Prijambodo</t>
  </si>
  <si>
    <t>Jumlah utang lain-lain - jangka panjang</t>
  </si>
  <si>
    <t xml:space="preserve">Utang kepada PT Mitra Energi Buana adalah sehubungan dengan pembelian kompresor yang akan digunakan oleh PT MEB .  
</t>
  </si>
  <si>
    <t>Utang kepada PT Dharma Pratama Sejati adalah sehubungan dengan Pekerjaan yang dimulai dari 2018 - lokasi proyek sambera kaltim, pekerjaannya adalah membuat terminal gas.</t>
  </si>
  <si>
    <t>Utang kepada PT DPS ESP adalah Pekerjaan dalam pelaksanaan ke PT DPS ESP "procuremen cosntruction fasilitas CNG gresik dan pulau bawean nomor 007/DPS-IGA/V/2016 tertanggal 30 Mei 2016.</t>
  </si>
  <si>
    <t>IMBALAN PASKA KERJA</t>
  </si>
  <si>
    <t xml:space="preserve">Perusahaan tidak melakukan penyisihan atas uang jasa karyawan pada tanggal 31 Desember 2021 dan 2020 berdasarkan perhitungan internal, seperti tercatat dibawah ini :
</t>
  </si>
  <si>
    <t>Saldo awal</t>
  </si>
  <si>
    <t>Penyisihan tahun berjalan</t>
  </si>
  <si>
    <t>Pembayaran pesangon</t>
  </si>
  <si>
    <t xml:space="preserve">Utang ini adalah pinjaman dari pemegang saham yaitu PT Grha Mekatama Telindo, digunakan untuk pengeluaran biaya modal, rincian nilai tercatat utang pemegang saham adalah sebagai berikut :
</t>
  </si>
  <si>
    <t>Jumlah utang pihak berelasi</t>
  </si>
  <si>
    <t>PENDAPATAN DITANGGUHKAN</t>
  </si>
  <si>
    <t>Akun ini sehubungan dengan pendapatan yang belum selesai proses verifikasi klaimnya, setelah keluar hasil verfikasi akan menjadi pendapatan Perursahaan.</t>
  </si>
  <si>
    <t>MODAL SAHAM</t>
  </si>
  <si>
    <t>Susunan pemegang saham Perusahaan pada tanggal 31 Desember 2021 dan 2020, berdasarkan perubahan akta terakhir nomor 9 tanggal 18 Oktober 2018 dari Notaris Mulyadi, S.H., M.Kn, adalah sebagai berikut :</t>
  </si>
  <si>
    <t>Jumlah saham</t>
  </si>
  <si>
    <t>Nilai Nominal</t>
  </si>
  <si>
    <t>Modal dasar</t>
  </si>
  <si>
    <t>Modal Ditempatkan dan Disetor</t>
  </si>
  <si>
    <t>Radhiztya Priyotama</t>
  </si>
  <si>
    <t>Jumlah Modal Saham</t>
  </si>
  <si>
    <t>Persentase Kepemilikan</t>
  </si>
  <si>
    <t>Total Saham</t>
  </si>
  <si>
    <t>Pengelolaan permodalan</t>
  </si>
  <si>
    <t>Tujuan utama pengelolaan modal Perusahaan adalah untuk memastikan pemeliharaan rasio modal yang sehat untuk mendukung usaha dan memaksimalkan imbalan bagi pemegang saham.</t>
  </si>
  <si>
    <t>Sesuai UU No. 40 Tahun 2007 tentang Perseroan Terbatas, berlaku efektif tanggal 16 Agustus 2007, Perusahaan dipersyaratkan untuk mengalokasikan sampai dengan 20% dari modal saham ditempatkan dan disetor penuh ke dalam dana cadangan yang tidak boleh didistribusikan. Persyaratan tersebut telah dipertimbangkan pada RUPS.</t>
  </si>
  <si>
    <t>Perusahaan memantau modalnya dengan menggunakan rasio pengungkit (gearing ratio), dengan membagi utang neto dengan ekuitas neto. Utang neto diperoleh dari utang bank jangka pendek dan jangka panjang, dikurangi kas dan bank. Ekuitas neto terdiri atas modal saham dan saldo laba yang dapat didistribusikan kepada pemegang saham.</t>
  </si>
  <si>
    <t>Utang jangka pendek</t>
  </si>
  <si>
    <t>Utang jangka panjang</t>
  </si>
  <si>
    <t>Jumlah utang</t>
  </si>
  <si>
    <t>Dikurangi : kas dan setara kas</t>
  </si>
  <si>
    <t>Utang Neto</t>
  </si>
  <si>
    <t>Ekuitas Neto</t>
  </si>
  <si>
    <t>Ratio pengungkit (gearing ratio)</t>
  </si>
  <si>
    <t>DER</t>
  </si>
  <si>
    <t>CADANGAN MODAL</t>
  </si>
  <si>
    <t>Perusahaan berencana menambah setoran modal dengan cara mengkonversi utang kepada afiliasi menjadi modal, sehingga Perusahaan mencadangkan modalnya melalui konversi utang tersebut. Nilai yang dicadangkan pada 31 Desember 2021 dan 2020 masing-masing adalah sebesar Rp ,- dan Rp ,-.</t>
  </si>
  <si>
    <t xml:space="preserve">Perusahaan telah mengajukan pengampunan pajak sesuai dengan UU No. 11 Tahun 2016 tentang Pengampunan Pajak dan telah memperoleh Surat Keterangan Pengampunan Pajak Nomor. KET-6730/PP/WPJ.08/2016 tanggal 30 September 2016 dari Menteri Keuangan Republik Indonesia Kepala Kantor Wilayah DJP Banten. Nilai aset bersih yang diberikan fasilitas Tax Amnesty sebesar Rp. </t>
  </si>
  <si>
    <t>Rental</t>
  </si>
  <si>
    <t>Proyek</t>
  </si>
  <si>
    <t>Trading</t>
  </si>
  <si>
    <t>Water Treatment</t>
  </si>
  <si>
    <t>Pendapatan dari rental sehubungan dengan pendapatan atas sewa kendaraan pengangkutan ke para pelanggan dan tabung GTM (gas transport module). Pendapatan proyek sehubungan dengan pekerjaan sipil dan kosntruksi dibidang CNG (compressed natural gas). Pendapatan dari penjualan sehubungan dengan lisensi keagenan dan pendapatan dari pengolahan air.</t>
  </si>
  <si>
    <t>Material</t>
  </si>
  <si>
    <t>Tenaga Kerja</t>
  </si>
  <si>
    <t>Akomodasi transportasi</t>
  </si>
  <si>
    <t>Overhead lainnya</t>
  </si>
  <si>
    <t>Jumlah beban pokok pendapatan</t>
  </si>
  <si>
    <t>Beban Pemasaran</t>
  </si>
  <si>
    <t>Promosi dan entertainment</t>
  </si>
  <si>
    <t>Jumlah beban pemasaran</t>
  </si>
  <si>
    <t>Beban Administrasi dan Umum</t>
  </si>
  <si>
    <t>Jumlah beban administrasi dan umum</t>
  </si>
  <si>
    <t>Pendapatan Lain-lain</t>
  </si>
  <si>
    <t>Jasa giro</t>
  </si>
  <si>
    <t xml:space="preserve">Lain-lain </t>
  </si>
  <si>
    <t>Jumlah pendapatan lain-lain</t>
  </si>
  <si>
    <t>Beban Lain-lain</t>
  </si>
  <si>
    <t>Jumlah beban lain-lain</t>
  </si>
  <si>
    <t>Jumlah pendapatan (beban) Lain-lain</t>
  </si>
  <si>
    <t>SALDO AKUN DAN TRANSAKSI DENGAN PIHAK BERELASI</t>
  </si>
  <si>
    <t>Dalam kegiatan usaha normal, Perusahaan melakukan transaksi dengan pihak berelasi. Ikhtisar sifat hubungan dan jenis transaksi antara Perusahaan dan pihak berelasi tersebut adalah sebagai berikut :</t>
  </si>
  <si>
    <t>Pihak Berelasi</t>
  </si>
  <si>
    <t>Sifat Hubungan</t>
  </si>
  <si>
    <t>Jenis Transaksi</t>
  </si>
  <si>
    <t xml:space="preserve">Pesona Alam Sentosa (PAS), PT </t>
  </si>
  <si>
    <t>Transaksi non-usaha</t>
  </si>
  <si>
    <t>Transaksi usaha</t>
  </si>
  <si>
    <t>Rincian saldo dan transaksi yang signifikan dengan pihak berelasi tersebut adalah:</t>
  </si>
  <si>
    <t>KATEGORI INSTRUMEN KEUANGAN</t>
  </si>
  <si>
    <t>Tabel berikut ini menyajikan analisis instrumen keuangan yang dikategorikan sebagai pinjaman yang diberikan hutang :</t>
  </si>
  <si>
    <t>Aset keuangan</t>
  </si>
  <si>
    <t>Liabilitas keuangan</t>
  </si>
  <si>
    <t>Utang pemegang saham</t>
  </si>
  <si>
    <t>Manajemen berpendapat bahwa nilai tercatat (berdasarkan jumlah nosional) untuk kas dan bank,  utang pemegang saham mendekati  nilai wajarnya.</t>
  </si>
  <si>
    <t>PENYUSUNAN DAN PENYELESAIAN LAPORAN KEUANGAN</t>
  </si>
  <si>
    <t>Manajemen Perusahaan bertanggung jawab atas penyusunan laporan keuangan yang telah diselesaikan pada tanggal 1 November 2023.</t>
  </si>
  <si>
    <t>TUJUAN DAN KEBIJAKAN MANAJEMEN RISIKO KEUANGAN</t>
  </si>
  <si>
    <t>Perusahaan memiliki risiko keuangan yang timbul dari operasi yang dilakukannya, Kebijakan manajemen risiko keuangan ditetapkan terutama untuk meyakini bahwa sumber daya yang memadai tersedia bagi pengembangan bisnis Perusahaan serta untuk mengelola risiko kredit dan risiko likuiditas, Perusahaan menjalankan operasinya berdasarkan kebijakan dan prosedur yang ditetapkan oleh Direksi untuk meyakini efektivitas proses manajemen risiko.</t>
  </si>
  <si>
    <t>Perusahaan tidak melakukan transaksi perdagangan aset keuangan untuk tujuan spekulatif,  Di samping itu, Perusahaan juga tidak menerapkan akuntansi lindung nilai.</t>
  </si>
  <si>
    <t>Penilaian Ulang Derivatif Melekat</t>
  </si>
  <si>
    <t>Jumlah kas</t>
  </si>
  <si>
    <t>Saldo piutang usaha per tanggal 31 Desember 2022 dan 2021 berdasarkan data pelanggan adalah sebagai berikut :</t>
  </si>
  <si>
    <t>Pihak Ketiga</t>
  </si>
  <si>
    <t>Jumlah piutang usaha pihak berelasi</t>
  </si>
  <si>
    <t xml:space="preserve">Jumlah piutang usaha </t>
  </si>
  <si>
    <t>Saldo piutang usaha per tanggal 31 Desember 2022 dan 2021 berdasarkan umur piutang adalah sebagai berikut :</t>
  </si>
  <si>
    <t>Berdasarkan analisa akun piutang usaha pihak ketiga, manajemen berpendapat bahwa penyisihan penurunan nilai piutang yang dibentuk cukup untuk menutup kerugian yang mungkin timbul dari tidak tertagihnya piutang. Maka untuk tahun buku 2022 tidak dilakukan cadangan penurunan nilai.</t>
  </si>
  <si>
    <t>Piutang lain-lain per 31 Desember 2022 dan 2021 adalah sebagai berikut :</t>
  </si>
  <si>
    <t>Piutang kepada PT Guna Mandiri Tekindo sebesar Rp 8,8 Milyar adalah piutang sehubungan dengan proyek dipulau bawean. Di tahun 2022 telah diselesaikan atas piutang tersebut.</t>
  </si>
  <si>
    <t>Akun ini merupakan biaya dibayar dimuka sehubungan dengan sewa virtual kantor dan rumah untuk karyawan, saldo masing-masing per tahun 2022 dan 2021 adalah Rp 13.500.000,- dan 23.000.000,-. Masa sewa diperpanjang setiap tahun.</t>
  </si>
  <si>
    <t>Pekerjaan lainnya telah selesai dikerjakan ditahun 2022.</t>
  </si>
  <si>
    <t>Tanah</t>
  </si>
  <si>
    <t>Pada tanggal 31 Desember 2022, aset tetap mencakup tanah, bangunan, kendaraan, peralatan proyek dan peralatan kantor.</t>
  </si>
  <si>
    <t>Perusahaan mengasuransikan aset tetap nya terhadap risiko kebakaran, gempa bumi dan risiko lainnya tanggal 31 Desember 2022. Manajemen berpendapat bahwa nilai pemeliharaan cukup untuk menutup kerugian yang mungkin timbul terhadap aset tetap akibat risiko yang ditimbulkan.</t>
  </si>
  <si>
    <r>
      <rPr>
        <sz val="9"/>
        <rFont val="Arial"/>
        <charset val="134"/>
      </rPr>
      <t xml:space="preserve">Penyusutan yang tecatat pada aset tetap adalah sebesar Rp 1.157.903.743,- tahun 2022 dan Rp 1.801.256.844,- tahun 2021 yang disajikan pada kelompok beban pokok penjualan </t>
    </r>
    <r>
      <rPr>
        <i/>
        <sz val="9"/>
        <rFont val="Arial"/>
        <charset val="134"/>
      </rPr>
      <t>(</t>
    </r>
    <r>
      <rPr>
        <i/>
        <sz val="7"/>
        <rFont val="Arial"/>
        <charset val="134"/>
      </rPr>
      <t>catatan 18</t>
    </r>
    <r>
      <rPr>
        <i/>
        <sz val="9"/>
        <rFont val="Arial"/>
        <charset val="134"/>
      </rPr>
      <t>)</t>
    </r>
    <r>
      <rPr>
        <sz val="9"/>
        <rFont val="Arial"/>
        <charset val="134"/>
      </rPr>
      <t xml:space="preserve"> dan beban usaha (</t>
    </r>
    <r>
      <rPr>
        <i/>
        <sz val="7"/>
        <rFont val="Arial"/>
        <charset val="134"/>
      </rPr>
      <t>catatan 19</t>
    </r>
    <r>
      <rPr>
        <sz val="9"/>
        <rFont val="Arial"/>
        <charset val="134"/>
      </rPr>
      <t>) pada laporan laba rugi.</t>
    </r>
  </si>
  <si>
    <t>Pembayaran cicilan pokok &amp; bunga thn 2020 &amp; 2021</t>
  </si>
  <si>
    <t>Pengembalian/Reklass/(Ajusted)</t>
  </si>
  <si>
    <t>Investasi *)</t>
  </si>
  <si>
    <t>Piutang Pemegang Saham</t>
  </si>
  <si>
    <t>Aset Lain-lain - WTP Dharmawangsa</t>
  </si>
  <si>
    <t>(setelah dikurangi Amortisasi Aset WTP Dharmawangsa)</t>
  </si>
  <si>
    <t>Jumlah Aset Lain-lain</t>
  </si>
  <si>
    <t>Akun investasi *) ini terdiri dari :</t>
  </si>
  <si>
    <t>Saldo utang usaha per tanggal 31 Desember 2022 dan 2021 berdasarkan data supplier adalah sebagai berikut :</t>
  </si>
  <si>
    <t>Saldo utang usaha per tanggal 31 Desember 2022 dan 2021 berdasarkan umur utang adalah sebagai berikut :</t>
  </si>
  <si>
    <t>Jumlah Pph badan 2022</t>
  </si>
  <si>
    <t>Jumlah PPh badan 2021</t>
  </si>
  <si>
    <t>Perusahaan menghitung beban pajak kini dengan perhitungan sendiri (self assessment) yang tertuang kedalam SPT badan.</t>
  </si>
  <si>
    <t>Atas pinjaman tersebut diatas telah diperpanjang sesuai SKK Nomor JAC/06/406/R tanggal 29 Maret 2021, bunga 12% terdiri dari 8,5% pertahun efektif, sisa bunga sebesar 3,50% (tiga koma lima puluh persen) pertahun ditangguhkan dan akan dibayarkan penuh pada bulan saat bunga direview kembali normal dan disesuaikan dengan ketentuan BNI. Fasilitas ini merupakan pencairan atas plafond kredit no 171/JAC/PK-KMK2017 tgl 30 Maret 2021 dan SKK No JAC/06/406/R tgl 29 Maret 2021. Kredit modal kerja 1, 2 dan 3 sudah lunas di tahun 2022.</t>
  </si>
  <si>
    <r>
      <rPr>
        <sz val="9"/>
        <rFont val="Arial"/>
        <charset val="134"/>
      </rPr>
      <t xml:space="preserve">Tanah di jln Raya Parang desa bungkuk Kec, parang, kab magetan, Jatim, Bukti kepemilikan SHM No 317/Bungkuk tgl 20/5/2005 an Bambang Prijambodo. 
</t>
    </r>
    <r>
      <rPr>
        <b/>
        <sz val="9"/>
        <rFont val="Arial"/>
        <charset val="134"/>
      </rPr>
      <t>Pengikatan :</t>
    </r>
    <r>
      <rPr>
        <sz val="9"/>
        <rFont val="Arial"/>
        <charset val="134"/>
      </rPr>
      <t xml:space="preserve">
Telah dilakukan pengikatan HT I sebesar Rp 371 Juta , CF SHT I No. 1419/2017 tgl 14 Agustus 2017.
Telah Diikat HT II sebesar Rp 99 juta cfm covernote No. 204/NT/X/2018 tgl 31/10/2018, JT tgl 31-02-2019 oleh Notaris Dr Dyah Sulistyani, RS, SH, MHum
</t>
    </r>
    <r>
      <rPr>
        <b/>
        <sz val="9"/>
        <rFont val="Arial"/>
        <charset val="134"/>
      </rPr>
      <t>Asuransi :</t>
    </r>
    <r>
      <rPr>
        <sz val="9"/>
        <rFont val="Arial"/>
        <charset val="134"/>
      </rPr>
      <t xml:space="preserve">
asuransi polis No 10212091900003 tgl 28-02-2019  Jt 15-02-2020,</t>
    </r>
  </si>
  <si>
    <t>Agunan - lanjutan</t>
  </si>
  <si>
    <r>
      <rPr>
        <sz val="9"/>
        <rFont val="Arial"/>
        <charset val="134"/>
      </rPr>
      <t>Perusahaan telah mendapat fasilitas pinjaman dari Bank BRI pada tahun 2022 berupa Kredit Modal Kerja W/Ainterchangable dengan fasilitas bank garansi dan KMK Co Tetap dengan tata cara pembayaran pokok yaitu 
1. 1 x Rp 2,5 M dibayar pada saat jatuh tempo kredit dan
2. Bunga dibayar setiap bulan sesuai jumlah tagihan biling sistem BRI.
Nilai Pinjaman masing-masing sebesar Rp 2.500.000.000,- sehingga total pinjaman adalah sebesar Rp 5.000.000.000, jangka waktu pinjaman 12 bulan, tingkat suku bunga 12%. Biaya provisi sebesar 0,75% dari nilai baki, biaya administrasi sebesar Rp 2.500.000,-. Jaminan adalah sebagai berikut :
1. Piutang usaha dg cessie sebesar Rp 5 Milyar
2. SHGB di kendensari di tanggulangin, sidoarjo Surabaya dengan luas 75 M</t>
    </r>
    <r>
      <rPr>
        <vertAlign val="superscript"/>
        <sz val="9"/>
        <rFont val="Arial"/>
        <charset val="134"/>
      </rPr>
      <t>2</t>
    </r>
    <r>
      <rPr>
        <sz val="9"/>
        <rFont val="Arial"/>
        <charset val="134"/>
      </rPr>
      <t xml:space="preserve"> , 
3. SHM No. 603 di Magetan Jawa Timur dengan luas tanah 5.372 M</t>
    </r>
    <r>
      <rPr>
        <vertAlign val="superscript"/>
        <sz val="9"/>
        <rFont val="Arial"/>
        <charset val="134"/>
      </rPr>
      <t>2</t>
    </r>
    <r>
      <rPr>
        <sz val="9"/>
        <rFont val="Arial"/>
        <charset val="134"/>
      </rPr>
      <t xml:space="preserve"> .</t>
    </r>
  </si>
  <si>
    <t xml:space="preserve">Minsui </t>
  </si>
  <si>
    <t xml:space="preserve">MTF </t>
  </si>
  <si>
    <t>Adira Finance</t>
  </si>
  <si>
    <t xml:space="preserve">Klasifikasi jangka waktu : </t>
  </si>
  <si>
    <t>Utang Lain2 Jpd - PT Dharma Pratama Sejati</t>
  </si>
  <si>
    <t>Utang Lain2 Jpd - Bowo Triwicaksono</t>
  </si>
  <si>
    <t>PT Mitra Energi Persada</t>
  </si>
  <si>
    <t xml:space="preserve">Utang kepada PT Mitra Energi Buana (MEB) adalah sehubungan dengan pembelian kompresor yang akan digunakan oleh PT MEB .  
</t>
  </si>
  <si>
    <t xml:space="preserve">Perusahaan tidak melakukan penyisihan atas uang jasa karyawan pada tanggal 31 Desember 2022 dan 2021 berdasarkan perhitungan internal, seperti tercatat dibawah ini :
</t>
  </si>
  <si>
    <t>Susunan pemegang saham Perusahaan pada tanggal 31 Desember 2022 dan 2021, berdasarkan perubahan akta terakhir nomor 9 tanggal 18 Oktober 2018 dari Notaris Mulyadi, S.H., M.Kn, adalah sebagai berikut :</t>
  </si>
  <si>
    <t>Perusahaan berencana menambah setoran modal dengan cara mengkonversi utang kepada afiliasi menjadi modal, sehingga Perusahaan mencadangkan modalnya melalui konversi utang tersebut. Nilai yang dicadangkan pada 31 Desember 2022 dan 2021 masing-masing adalah sebesar Rp ,- dan Rp ,-.</t>
  </si>
  <si>
    <t>Manajemen Perusahaan bertanggung jawab atas penyusunan laporan keuangan yang telah diselesaikan pada tanggal 3 November 2023.</t>
  </si>
  <si>
    <t>REKLASIFIKASI AKUN</t>
  </si>
  <si>
    <t>Bangunan aset WTP yang berlokasi di darmawangsa di reklasifikasi ke akun aset lain-lain karena aset tersebut sudah tidak menghasilkan dan aset tersebut berada di lokasi pelanggan.</t>
  </si>
  <si>
    <t>Nama Akun/transaksi</t>
  </si>
  <si>
    <t>Aset Tetap Bangunan WTP Dharmawangsa</t>
  </si>
  <si>
    <t xml:space="preserve">Aset Tidak Lancar - Lain-lain </t>
  </si>
  <si>
    <t>Akumulasi Penyusutan Bangunan WTP Dharmawangsa</t>
  </si>
  <si>
    <t>Akumulasi Amortisasi Bangunan WTP Dharmawangsa</t>
  </si>
  <si>
    <t>Penyajian dalam laporan keuangan</t>
  </si>
  <si>
    <t>Nilai Buku</t>
  </si>
  <si>
    <t>Nilai Bersih</t>
  </si>
  <si>
    <t>Lampiran 2 - Daftar Utang Usaha</t>
  </si>
  <si>
    <t>Per 31 Desember 2022 dan 2021</t>
  </si>
  <si>
    <t>Puri Medika Alkesindo, PT</t>
  </si>
  <si>
    <t>Tri SaPTa Jaya, PT</t>
  </si>
  <si>
    <t>Abadinusa Usaha Semesta, PT</t>
  </si>
  <si>
    <t>PD Indogen</t>
  </si>
  <si>
    <t>Dos Ni Roha</t>
  </si>
  <si>
    <t>HD Komputer</t>
  </si>
  <si>
    <t>Apotik Juang Jaya</t>
  </si>
  <si>
    <t>Abadi Makmur Bersama, PT</t>
  </si>
  <si>
    <t>Paraga Sinar Diagnostika, PT</t>
  </si>
  <si>
    <t>Hr,Sekre,Mutu RS</t>
  </si>
  <si>
    <t xml:space="preserve">Pinayungan Gusti, Pg </t>
  </si>
  <si>
    <t>Cv. Saesar Pratama</t>
  </si>
  <si>
    <t>Rajaerba Indochem, PT</t>
  </si>
  <si>
    <t>Mitrajaya Selaras Abadi, PT</t>
  </si>
  <si>
    <t>Cakra Medika Utama, PT</t>
  </si>
  <si>
    <t>Ertiga Medika Perkasa, PT</t>
  </si>
  <si>
    <t>Sang Design</t>
  </si>
  <si>
    <t>PT. Pembangunan Investasi Tangerang Selatan (PITS)</t>
  </si>
  <si>
    <t>Intera Arun Energy</t>
  </si>
  <si>
    <t>Global Ichsan Mandiri, PT</t>
  </si>
  <si>
    <t>Sejahtera Karya Mulia, PT</t>
  </si>
  <si>
    <t>Bina Artha Semesta, PT</t>
  </si>
  <si>
    <t xml:space="preserve">Global Jaya Medika, PT </t>
  </si>
  <si>
    <t>BPJS KESEHATAN</t>
  </si>
  <si>
    <t>DAIRI PRIMA MINERAL (SIDIKALANG), PT</t>
  </si>
  <si>
    <t>Zoe Pelita Nusantara, PT</t>
  </si>
  <si>
    <t>EQUITY</t>
  </si>
  <si>
    <t>BPJS KETENAGAKERJAAN</t>
  </si>
  <si>
    <t>Vandew Aksha Mandiri, PT</t>
  </si>
  <si>
    <t>RELIANCE</t>
  </si>
  <si>
    <t xml:space="preserve">CAS, PT </t>
  </si>
  <si>
    <t>ALLIANZ</t>
  </si>
  <si>
    <t>INTERNATIONAL SERVICES PASIFIC CROSS (ISPC)</t>
  </si>
  <si>
    <t>Anara Trisakti Medika, PT</t>
  </si>
  <si>
    <t>ASTRA BUANA</t>
  </si>
  <si>
    <t>Media Tiga Warna ( Hope )</t>
  </si>
  <si>
    <t>FWD Insurance</t>
  </si>
  <si>
    <t>Syaharani, PT</t>
  </si>
  <si>
    <t>AVRIST</t>
  </si>
  <si>
    <t>Junaedi, Chairul Dan Rekan</t>
  </si>
  <si>
    <t>COMMONWELTH</t>
  </si>
  <si>
    <t>JASINDO HEALTH CARE</t>
  </si>
  <si>
    <t>Cv.Trisula Kencana</t>
  </si>
  <si>
    <t>Midif Farma, PT</t>
  </si>
  <si>
    <t>FULERTON HEALTH INDONESIA, PT</t>
  </si>
  <si>
    <t>Cv. Five Grafika</t>
  </si>
  <si>
    <t>ABDA</t>
  </si>
  <si>
    <t>Jumlah utang usaha pihak ketiga - dipindahkan</t>
  </si>
  <si>
    <t>Lampiran - 2 Daftar Utang Usaha</t>
  </si>
  <si>
    <t>31 Desember 2020 dan 2019</t>
  </si>
  <si>
    <t>Jumlah utang usaha pihak ketiga - pindahan</t>
  </si>
  <si>
    <t>LIPPO INSURANCE</t>
  </si>
  <si>
    <t>Nahl Medica Utama, PT</t>
  </si>
  <si>
    <t>SIMAS CARD/SINAR MAS</t>
  </si>
  <si>
    <t>bedanya apa sm di bawah</t>
  </si>
  <si>
    <t xml:space="preserve">Prima Arthaka Labdatama, PT </t>
  </si>
  <si>
    <t>JAMINAN PRIBADI</t>
  </si>
  <si>
    <t>Sinar Panca Medika, PT</t>
  </si>
  <si>
    <t>Rajawali Catering</t>
  </si>
  <si>
    <t>Dua Farma Mahakarsa, PT</t>
  </si>
  <si>
    <t>ISS INDONESIA, PT</t>
  </si>
  <si>
    <t>ADHI PERSADA GEDUNG qq TRANSPARK BINTARO</t>
  </si>
  <si>
    <t>RATRA, PT</t>
  </si>
  <si>
    <t>ADHI PERSADA GEDUNG qq RS IMC</t>
  </si>
  <si>
    <t>Satya Abadi Visimed, PT</t>
  </si>
  <si>
    <t>MANDIRI INHEALTH INDEMNITY</t>
  </si>
  <si>
    <t>PRUDENTIAL</t>
  </si>
  <si>
    <t>PT Indo Dral Nusantara</t>
  </si>
  <si>
    <t>HOTEL SANTIKA BINTARO</t>
  </si>
  <si>
    <t>AVIVA</t>
  </si>
  <si>
    <t>Giri Sukses Medika, CV</t>
  </si>
  <si>
    <t>BNI LIFE</t>
  </si>
  <si>
    <t xml:space="preserve">Labolatorium Medio Pratama, PT </t>
  </si>
  <si>
    <t>CAR</t>
  </si>
  <si>
    <t>OWLEXA HEALTHCARE</t>
  </si>
  <si>
    <t>AIA FINANCIAL</t>
  </si>
  <si>
    <t>MULTI ARTHA GUNA</t>
  </si>
  <si>
    <t>MEGA INSURANCE</t>
  </si>
  <si>
    <t>GENERALI</t>
  </si>
  <si>
    <t>FILADELFIA</t>
  </si>
  <si>
    <t>SUCOFINDO</t>
  </si>
  <si>
    <t>SMK MUTIARA INSANI PARUNG</t>
  </si>
  <si>
    <t>PP (Persero) Tbk, PT Project Bintaro Icon</t>
  </si>
  <si>
    <t>MNC LIFE</t>
  </si>
  <si>
    <t>INTRA ASIA INSURANCE</t>
  </si>
  <si>
    <t>ADMEDIKA AS PAYOR</t>
  </si>
  <si>
    <t>BCA LIFE</t>
  </si>
  <si>
    <t>dbiayakan krn sdh lama</t>
  </si>
  <si>
    <t>Benang Mas, CV</t>
  </si>
  <si>
    <t>Millenium Pharmacon, PT</t>
  </si>
  <si>
    <t>Karya Pratama., PT</t>
  </si>
  <si>
    <t>Global Medik Persada, PT</t>
  </si>
  <si>
    <t>Kimia Farma, PT (KSO)</t>
  </si>
  <si>
    <t>Mensa Bina Sukses</t>
  </si>
  <si>
    <t>Indofarma Global Medica</t>
  </si>
  <si>
    <t>Global Jaya Medika, PT</t>
  </si>
  <si>
    <t>Rezeki Prima Anugrah, PT</t>
  </si>
  <si>
    <t>IDS Medical, PT</t>
  </si>
  <si>
    <t>GA. Wicaksono, PT</t>
  </si>
  <si>
    <t>Dr Janet</t>
  </si>
  <si>
    <t>Lain2 dbawah 10 juta ( termasuk rujukan lab)</t>
  </si>
  <si>
    <t>Jumlah utang usaha pihak ketiga</t>
  </si>
  <si>
    <t>Eksekutif Owner</t>
  </si>
  <si>
    <t>Klinik Ichsan Bintaro</t>
  </si>
  <si>
    <t>Padi Mekatel, PT (Ghramet)</t>
  </si>
  <si>
    <t>STIKES IMC</t>
  </si>
  <si>
    <t>Yayasan Ichsan</t>
  </si>
  <si>
    <t>GIM HK, PT</t>
  </si>
  <si>
    <t>Jumlah Utang usaha pihak berelasi</t>
  </si>
  <si>
    <t>EXECUTIVE OWNER</t>
  </si>
  <si>
    <t>GIM HK</t>
  </si>
  <si>
    <t>GLOBAL ICHSAN MANDIRI (GIM), PT</t>
  </si>
  <si>
    <t>GRHA MEKATAMA TELINDO, PT</t>
  </si>
  <si>
    <t>YAYASAN ICHSAN</t>
  </si>
  <si>
    <t>Matter        Prepaid Tax</t>
  </si>
  <si>
    <t>Saldo</t>
  </si>
  <si>
    <t>Buku</t>
  </si>
  <si>
    <t>Audit</t>
  </si>
  <si>
    <t>Naik (Turun)</t>
  </si>
  <si>
    <t>Ref,</t>
  </si>
  <si>
    <t>Adj,</t>
  </si>
  <si>
    <t>%-ase</t>
  </si>
  <si>
    <t>PERSEDIAAN - BARANG DAGANGAN</t>
  </si>
  <si>
    <t>Jumlah Barang Dagangan</t>
  </si>
  <si>
    <t>Barang Terkirim</t>
  </si>
  <si>
    <t>Jumlah Barang Terkirim</t>
  </si>
  <si>
    <t xml:space="preserve">Barang Dagangan adalah </t>
  </si>
  <si>
    <t>Nama Akun</t>
  </si>
  <si>
    <t>Source Dok</t>
  </si>
  <si>
    <t>Barang terkirim - ilustrasinya adalah sbb :</t>
  </si>
  <si>
    <t>Kami tidak melakukan stock opname atas persediaan tersebut karena nilainya tidak material</t>
  </si>
  <si>
    <t>TIDAK WAJAR, Karena…….</t>
  </si>
  <si>
    <t>Rasio Perputaran Persediaan = Penjualan / ((Persediaan Awal + Persediaan Akhir) / 2)</t>
  </si>
  <si>
    <t>Rata-rata Persediaan =  (Persediaan Awal + Persediaan Akhir) / 2</t>
  </si>
  <si>
    <t>Persediaan awal</t>
  </si>
  <si>
    <t>Persediaan akhir</t>
  </si>
  <si>
    <t>Persediaan rata-rata</t>
  </si>
  <si>
    <t xml:space="preserve">Rasio Perputaran Persediaan </t>
  </si>
  <si>
    <t>Audit Conclusion : Based on our audit procedure for this account, we conclude that the balance of inventory are presented fairly with GAAP</t>
  </si>
  <si>
    <t>Dicetak Oleh : fictor permana, Selasa, 15 Desember 2020, 19:37:22</t>
  </si>
  <si>
    <t>RS. ICHSAN MEDICAL CENTRE Bintaro</t>
  </si>
  <si>
    <t>Jl. Jombang Raya No. 56 Bintaro IX Ciputat Tang - Sel Telp: 021-7456379  Fax: 021-7450819</t>
  </si>
  <si>
    <t xml:space="preserve">STOCK INVENTORY </t>
  </si>
  <si>
    <t>Periode 31 Desember 2019</t>
  </si>
  <si>
    <t>Unit :</t>
  </si>
  <si>
    <t>9001 - GUDANG OBAT</t>
  </si>
  <si>
    <t>Kode Barang</t>
  </si>
  <si>
    <t>Nama Barang/Obat</t>
  </si>
  <si>
    <t>Satuan</t>
  </si>
  <si>
    <t>Harga</t>
  </si>
  <si>
    <t>Qty Unit</t>
  </si>
  <si>
    <t>Nilai Persediaan</t>
  </si>
  <si>
    <t>LAIN-LAIN</t>
  </si>
  <si>
    <t>PEPT.SM.001</t>
  </si>
  <si>
    <t>PEPTAMEN NESTLE 430GR</t>
  </si>
  <si>
    <t>KALENG</t>
  </si>
  <si>
    <t>Sub Total : LAIN-LAIN</t>
  </si>
  <si>
    <t>ALAT KESEHATAN</t>
  </si>
  <si>
    <t xml:space="preserve"> BLW.AT.001</t>
  </si>
  <si>
    <t>BLW 0012 ( TOUGHENED GLASS BOWL 6 CM )</t>
  </si>
  <si>
    <t>BUAH</t>
  </si>
  <si>
    <t xml:space="preserve"> LED.AH.001</t>
  </si>
  <si>
    <t>LED VESSTEC</t>
  </si>
  <si>
    <t>TEST</t>
  </si>
  <si>
    <t>.   .AH.001</t>
  </si>
  <si>
    <t>AMIODARONE INJ</t>
  </si>
  <si>
    <t>PCS</t>
  </si>
  <si>
    <t>.   .AH.002</t>
  </si>
  <si>
    <t>RENALTECH POWDER</t>
  </si>
  <si>
    <t>.   .AH.003</t>
  </si>
  <si>
    <t>ELIGARD 22,5 MG INJ</t>
  </si>
  <si>
    <t>SYRINGE</t>
  </si>
  <si>
    <t>02</t>
  </si>
  <si>
    <t>MAS- SURGICAL STERIL DHD PWDERFREE NO. 7.5</t>
  </si>
  <si>
    <t>0204</t>
  </si>
  <si>
    <t>PEMPERS DR P ADULT DIAPER M2X30</t>
  </si>
  <si>
    <t>BUNGKUS</t>
  </si>
  <si>
    <t>0230004</t>
  </si>
  <si>
    <t>PEMPERS DR P ADULT DIAPER L2X30</t>
  </si>
  <si>
    <t>0231</t>
  </si>
  <si>
    <t>LIMBO AFN (SELANG NEB BIRU)</t>
  </si>
  <si>
    <t>SET</t>
  </si>
  <si>
    <t>1N1897</t>
  </si>
  <si>
    <t>LMA NO 3</t>
  </si>
  <si>
    <t>1T0604</t>
  </si>
  <si>
    <t>NEEDLE THERUMO 26G X 1/2</t>
  </si>
  <si>
    <t>1W0204</t>
  </si>
  <si>
    <t>RL WIDA 500 ML</t>
  </si>
  <si>
    <t>BOTOL</t>
  </si>
  <si>
    <t>4.5/.AM.001</t>
  </si>
  <si>
    <t>4.5/5.0 PROXIMAL TIBIAL LCP 4 HOLE, TI R</t>
  </si>
  <si>
    <t>A0004</t>
  </si>
  <si>
    <t>ABBOCATH NO 14</t>
  </si>
  <si>
    <t>A0005</t>
  </si>
  <si>
    <t>ABBOCATH ( SUFLO TERUMO ) NO 16</t>
  </si>
  <si>
    <t>A0006</t>
  </si>
  <si>
    <t>ABBOCATH NO 20</t>
  </si>
  <si>
    <t>A0007</t>
  </si>
  <si>
    <t>ABBOCATH NO 22.</t>
  </si>
  <si>
    <t>A0008</t>
  </si>
  <si>
    <t>ABBOCATH NO 24.</t>
  </si>
  <si>
    <t>A0009</t>
  </si>
  <si>
    <t>ABBOCATH NO 26</t>
  </si>
  <si>
    <t>A0011</t>
  </si>
  <si>
    <t>ACCU CHECK SOFTCLIX</t>
  </si>
  <si>
    <t>A0012</t>
  </si>
  <si>
    <t>ACCU CHECK LANCETS/PCS</t>
  </si>
  <si>
    <t>A0036</t>
  </si>
  <si>
    <t>AESCULAP/BISTURI BB 522</t>
  </si>
  <si>
    <t>BATANG</t>
  </si>
  <si>
    <t>A0037</t>
  </si>
  <si>
    <t>AESCULAP/BISTURI BB 515</t>
  </si>
  <si>
    <t>A0038</t>
  </si>
  <si>
    <t>AESCULAP/BISTURI BB 511</t>
  </si>
  <si>
    <t>A0052</t>
  </si>
  <si>
    <t>ALKOHOL SWABS</t>
  </si>
  <si>
    <t>A0089</t>
  </si>
  <si>
    <t>ANKLE M S BEIGE " S</t>
  </si>
  <si>
    <t>A0091</t>
  </si>
  <si>
    <t>ANKLE M S BEIGE " L</t>
  </si>
  <si>
    <t>A0106</t>
  </si>
  <si>
    <t>ARM SLING -S</t>
  </si>
  <si>
    <t>A0107</t>
  </si>
  <si>
    <t>ARNEZ</t>
  </si>
  <si>
    <t>A0113</t>
  </si>
  <si>
    <t>ASERING INF 500 ML SANBE</t>
  </si>
  <si>
    <t>A0115</t>
  </si>
  <si>
    <t>VENFLON NO 26 ( POLYYFLEX IV CATH)</t>
  </si>
  <si>
    <t>A0118</t>
  </si>
  <si>
    <t>ASSUCRYL 1 HSRG 45 REF43957H</t>
  </si>
  <si>
    <t>A0119</t>
  </si>
  <si>
    <t>ASSUCRYL 2/0 HR27 (4255)</t>
  </si>
  <si>
    <t>A0120</t>
  </si>
  <si>
    <t>ASSUCRYL 2/0 HRG30 (43325)</t>
  </si>
  <si>
    <t>BOX</t>
  </si>
  <si>
    <t>A0121</t>
  </si>
  <si>
    <t>ASSUCRYL 2/0 TS27(4575)</t>
  </si>
  <si>
    <t>A0122</t>
  </si>
  <si>
    <t>ASSUCRYL 3/0 HR27 (4254)</t>
  </si>
  <si>
    <t>A0123</t>
  </si>
  <si>
    <t>ASSUCRYL 3-0 (4554)</t>
  </si>
  <si>
    <t>A0124</t>
  </si>
  <si>
    <t>ASSUCRYL 3-0 TS27 (4574N)</t>
  </si>
  <si>
    <t>A0125</t>
  </si>
  <si>
    <t>ASSUCRYL 4/0 HR17(4233)</t>
  </si>
  <si>
    <t>A0126</t>
  </si>
  <si>
    <t>ASSUCRYL 4/0 TS19 (4553)</t>
  </si>
  <si>
    <t>A0127</t>
  </si>
  <si>
    <t>ASSUCRYL 5/0 HR 17</t>
  </si>
  <si>
    <t>A0128</t>
  </si>
  <si>
    <t>ASSUCRYL MONOSLOW 3/0 TS27</t>
  </si>
  <si>
    <t>A0153</t>
  </si>
  <si>
    <t>BENANG TRITON ( CAESARIAN SET )</t>
  </si>
  <si>
    <t>A0166</t>
  </si>
  <si>
    <t>BETADINE PLESTER</t>
  </si>
  <si>
    <t>LEMBAR</t>
  </si>
  <si>
    <t>A0188</t>
  </si>
  <si>
    <t>BIONIME GLUCOSE TEST STRIP</t>
  </si>
  <si>
    <t>STRIP</t>
  </si>
  <si>
    <t>A0206</t>
  </si>
  <si>
    <t>BLOOD SET TERUMO</t>
  </si>
  <si>
    <t>A0211</t>
  </si>
  <si>
    <t>BOTOL 100 CC</t>
  </si>
  <si>
    <t>A0212</t>
  </si>
  <si>
    <t>BOTOL 200 CC</t>
  </si>
  <si>
    <t>A0213</t>
  </si>
  <si>
    <t>BOTOL 30 CC</t>
  </si>
  <si>
    <t>A0214</t>
  </si>
  <si>
    <t>BOTOL 300 CC</t>
  </si>
  <si>
    <t>A0215</t>
  </si>
  <si>
    <t>BOTOL 50 CC</t>
  </si>
  <si>
    <t>A0216</t>
  </si>
  <si>
    <t>BOTOL 60 CC</t>
  </si>
  <si>
    <t>A0256</t>
  </si>
  <si>
    <t>CATGUT CHROMIC 2 HR48 BBROWN</t>
  </si>
  <si>
    <t>A0257</t>
  </si>
  <si>
    <t>CATGUT CHROM 2/0 B BROUN</t>
  </si>
  <si>
    <t>A0258</t>
  </si>
  <si>
    <t>CATGUT CHROMIC 2 HRG50</t>
  </si>
  <si>
    <t>A0259</t>
  </si>
  <si>
    <t>CATGUT CHROMIC 2/0 HRG38</t>
  </si>
  <si>
    <t>A0261</t>
  </si>
  <si>
    <t>CATGUT CHROMIC 3/0 HR27</t>
  </si>
  <si>
    <t>A0262</t>
  </si>
  <si>
    <t>CATGUT CHROMIC 3/0 ROLL</t>
  </si>
  <si>
    <t>ROL</t>
  </si>
  <si>
    <t>A0263</t>
  </si>
  <si>
    <t>CATGUT CHROMIC 2/0 TS24</t>
  </si>
  <si>
    <t>A0264</t>
  </si>
  <si>
    <t>CATGUT CHROMIC 4/0 HR17</t>
  </si>
  <si>
    <t>A0265</t>
  </si>
  <si>
    <t>CATGUT PLAIN 2/0 75CM B BROUN</t>
  </si>
  <si>
    <t>A0266</t>
  </si>
  <si>
    <t>CATGUT PLAIN 3/0 HR27</t>
  </si>
  <si>
    <t>A0267</t>
  </si>
  <si>
    <t>CATGUT PLAIN 3/0 HR27 REF209</t>
  </si>
  <si>
    <t>A0268</t>
  </si>
  <si>
    <t>CATGUT PLAIN 3/0 TS 24 REF 1804</t>
  </si>
  <si>
    <t>A0269</t>
  </si>
  <si>
    <t>CATGUT PLAIN 4/0 TS19</t>
  </si>
  <si>
    <t>A0270</t>
  </si>
  <si>
    <t>CATGUT PLAIN 5/0 TS15</t>
  </si>
  <si>
    <t>A0314</t>
  </si>
  <si>
    <t>CERTOFIX DUO V720</t>
  </si>
  <si>
    <t>A0323</t>
  </si>
  <si>
    <t>ETHYLCHLORIDE ( CHLORETYL SPRAY )</t>
  </si>
  <si>
    <t>A0366</t>
  </si>
  <si>
    <t>COOPER T</t>
  </si>
  <si>
    <t>A0371</t>
  </si>
  <si>
    <t>CATGUT CHROMIC 2/0 HSRG 38</t>
  </si>
  <si>
    <t>A0379</t>
  </si>
  <si>
    <t>CU MEDIFEX</t>
  </si>
  <si>
    <t>A0380</t>
  </si>
  <si>
    <t>CU MEDIFEX LINE</t>
  </si>
  <si>
    <t>A0381</t>
  </si>
  <si>
    <t>CURAPOR TRANSPARENT 10 X 25</t>
  </si>
  <si>
    <t>A0385</t>
  </si>
  <si>
    <t>CURETTE FLEXIBLE NO 5</t>
  </si>
  <si>
    <t>A0386</t>
  </si>
  <si>
    <t>CURETTE FLEXIBLE NO 8</t>
  </si>
  <si>
    <t>A0388</t>
  </si>
  <si>
    <t>CURRETE FLEXIBLE NO 6</t>
  </si>
  <si>
    <t>A0410</t>
  </si>
  <si>
    <t>DELTA LITE CONF 3"</t>
  </si>
  <si>
    <t>PAK</t>
  </si>
  <si>
    <t>A0412</t>
  </si>
  <si>
    <t>DELTA LITE CONF 5"</t>
  </si>
  <si>
    <t>A0423</t>
  </si>
  <si>
    <t>WUNDRES B 10 X 20</t>
  </si>
  <si>
    <t>A0425</t>
  </si>
  <si>
    <t>ARM SLING -M</t>
  </si>
  <si>
    <t>A0427</t>
  </si>
  <si>
    <t>ARM SLING -L</t>
  </si>
  <si>
    <t>A0515</t>
  </si>
  <si>
    <t>ELEKTRIC CATER SUNANT</t>
  </si>
  <si>
    <t>A0516</t>
  </si>
  <si>
    <t>ELEKTRODA BLUE SENSOR</t>
  </si>
  <si>
    <t>A0520</t>
  </si>
  <si>
    <t>SPALK TANGAN ANAK</t>
  </si>
  <si>
    <t>PASANG</t>
  </si>
  <si>
    <t>A0552</t>
  </si>
  <si>
    <t>ESPOCAN CSE G27PENCAN</t>
  </si>
  <si>
    <t>A0560</t>
  </si>
  <si>
    <t>ETT NO 5.5 ( ENDO TRAKEA )</t>
  </si>
  <si>
    <t>A0561</t>
  </si>
  <si>
    <t>ETT NO 7,5(ENDO TRAKEA)</t>
  </si>
  <si>
    <t>A0562</t>
  </si>
  <si>
    <t>ETT NO 8 (ENDO TRAKEA)</t>
  </si>
  <si>
    <t>A0563</t>
  </si>
  <si>
    <t>ETT NO.2.5 (ENDO TRAKEA)</t>
  </si>
  <si>
    <t>A0564</t>
  </si>
  <si>
    <t>ETT NO.3 (ENDO TRAKEA)</t>
  </si>
  <si>
    <t>A0565</t>
  </si>
  <si>
    <t>ETT NO.5 (ENDO TRAKEA)</t>
  </si>
  <si>
    <t>A0566</t>
  </si>
  <si>
    <t>ETT NO.7 (ENDO TRAKEA)</t>
  </si>
  <si>
    <t>A0573</t>
  </si>
  <si>
    <t>EXTEENTION TUBE ( OXYGEN TUBING )</t>
  </si>
  <si>
    <t>A0583</t>
  </si>
  <si>
    <t>FIT BAR BLACKCURRANT</t>
  </si>
  <si>
    <t>A0584</t>
  </si>
  <si>
    <t>NGT / FEEDING TUBE NO 12</t>
  </si>
  <si>
    <t>A0585</t>
  </si>
  <si>
    <t>NGT / FEEDING TUBE NO 6</t>
  </si>
  <si>
    <t>A0586</t>
  </si>
  <si>
    <t>NGT / FEEDING TUBE NO.3,5</t>
  </si>
  <si>
    <t>A0587</t>
  </si>
  <si>
    <t>NGT / FEEDING TUBE NO.5</t>
  </si>
  <si>
    <t>A0588</t>
  </si>
  <si>
    <t>NGT / FEEDING TUBE NO.8</t>
  </si>
  <si>
    <t>A0625</t>
  </si>
  <si>
    <t>FOLLEY CATH 3WAY NO 20</t>
  </si>
  <si>
    <t>A0626</t>
  </si>
  <si>
    <t>FOLLEY CATH 3WAY NO 22</t>
  </si>
  <si>
    <t>A0627</t>
  </si>
  <si>
    <t>FOLLEY CATH 3WAY NO 24</t>
  </si>
  <si>
    <t>A0628</t>
  </si>
  <si>
    <t>FOLLEY CATH GOLDRUSCH NO. 6</t>
  </si>
  <si>
    <t>A0629</t>
  </si>
  <si>
    <t>FOLLEY CATH GOLDRUSCH NO.10</t>
  </si>
  <si>
    <t>A0630</t>
  </si>
  <si>
    <t>FOLLEY CATH GOLDRUSCH NO.12</t>
  </si>
  <si>
    <t>A0631</t>
  </si>
  <si>
    <t>FOLLEY CATH GOLDRUSCH NO.14</t>
  </si>
  <si>
    <t>A0632</t>
  </si>
  <si>
    <t>FOLLEY CATH GOLDRUSCH NO.16</t>
  </si>
  <si>
    <t>A0633</t>
  </si>
  <si>
    <t>FOLLEY CATH GOLDRUSCH NO.18</t>
  </si>
  <si>
    <t>A0634</t>
  </si>
  <si>
    <t>FOLLEY CATH GOLDRUSCH NO.20</t>
  </si>
  <si>
    <t>A0635</t>
  </si>
  <si>
    <t>FOLLEY CATH GOLDRUSCH NO.24</t>
  </si>
  <si>
    <t>A0636</t>
  </si>
  <si>
    <t>FOLLEY CATH GOLDRUSCH NO.8</t>
  </si>
  <si>
    <t>A0637</t>
  </si>
  <si>
    <t>FOLLEY CATH SILICONE NO.18</t>
  </si>
  <si>
    <t>A0643</t>
  </si>
  <si>
    <t>FOUR WAY STOPCOCK</t>
  </si>
  <si>
    <t>A0650</t>
  </si>
  <si>
    <t>GAMMEX NO. 7,5</t>
  </si>
  <si>
    <t>A0651</t>
  </si>
  <si>
    <t>MAS - SURGICAL STERIL PREMIUM 8 ( GAMMEX NO. 8 )</t>
  </si>
  <si>
    <t>A0652</t>
  </si>
  <si>
    <t>GAMMEX NO.6</t>
  </si>
  <si>
    <t>A0653</t>
  </si>
  <si>
    <t>GAMMEX NO.6.5</t>
  </si>
  <si>
    <t>A0654</t>
  </si>
  <si>
    <t>GAMMEX NO.7</t>
  </si>
  <si>
    <t>A0661</t>
  </si>
  <si>
    <t>GELAS MATA</t>
  </si>
  <si>
    <t>A0662</t>
  </si>
  <si>
    <t>GELITASPON 80X50X10MM</t>
  </si>
  <si>
    <t>A0675</t>
  </si>
  <si>
    <t>GLUCO DR SUPER BOI SENSOR</t>
  </si>
  <si>
    <t>A0690</t>
  </si>
  <si>
    <t>GUIDAL RUSCH 1 ISO 6</t>
  </si>
  <si>
    <t>A0691</t>
  </si>
  <si>
    <t>GUIDAL RUSCH 00 ISO 4</t>
  </si>
  <si>
    <t>A0692</t>
  </si>
  <si>
    <t>GUIDAL RUSCH 3 ISO 8</t>
  </si>
  <si>
    <t>A0693</t>
  </si>
  <si>
    <t>GUIDAL RUSCH 4 ISO 9</t>
  </si>
  <si>
    <t>A0694</t>
  </si>
  <si>
    <t>GUIDAL RUSCH 6 ISO12</t>
  </si>
  <si>
    <t>A0695</t>
  </si>
  <si>
    <t>GUIDAL RUSCH 5 ISO 10</t>
  </si>
  <si>
    <t>A0696</t>
  </si>
  <si>
    <t>GUIDAL RUSCH 0 ISO 5</t>
  </si>
  <si>
    <t>A0697</t>
  </si>
  <si>
    <t>GUIDAL RUSCH 2 ISO 6.5</t>
  </si>
  <si>
    <t>A0713</t>
  </si>
  <si>
    <t>HIBICET CONC 5 L</t>
  </si>
  <si>
    <t>LITER</t>
  </si>
  <si>
    <t>A0714</t>
  </si>
  <si>
    <t>HIBISCRUB SOL 5 LTR</t>
  </si>
  <si>
    <t>A0722</t>
  </si>
  <si>
    <t>HYPAPIX 5X5 CM</t>
  </si>
  <si>
    <t>A0723</t>
  </si>
  <si>
    <t>HYPAPIX 10X5</t>
  </si>
  <si>
    <t>A0740</t>
  </si>
  <si>
    <t>IN STOPER</t>
  </si>
  <si>
    <t>A0742</t>
  </si>
  <si>
    <t>INDICATOR TIPE ( ADHESIVE )</t>
  </si>
  <si>
    <t>A0745</t>
  </si>
  <si>
    <t>INFUS SET MAKRO</t>
  </si>
  <si>
    <t>A0746</t>
  </si>
  <si>
    <t>INFUS SET MIKRO (  TERUMO )</t>
  </si>
  <si>
    <t>A0751</t>
  </si>
  <si>
    <t>INJOY B. DIAPER NEW MINI L</t>
  </si>
  <si>
    <t>A0752</t>
  </si>
  <si>
    <t>INJOY B. DIAPER NEW MINI M</t>
  </si>
  <si>
    <t>A0755</t>
  </si>
  <si>
    <t>INSTILLAGEL 10 ML</t>
  </si>
  <si>
    <t>A0760</t>
  </si>
  <si>
    <t>INFUS SET MAKRO ( INTRAFIX AIR )</t>
  </si>
  <si>
    <t>A0766</t>
  </si>
  <si>
    <t>IRRIGATION SPIKE</t>
  </si>
  <si>
    <t>A0777</t>
  </si>
  <si>
    <t>JARUM HECTING G11 (SUTURA)</t>
  </si>
  <si>
    <t>A0778</t>
  </si>
  <si>
    <t>JARUM HECTING G6 (SUTURA)</t>
  </si>
  <si>
    <t>A0779</t>
  </si>
  <si>
    <t>JARUM HECTING G8 (SUTURA)</t>
  </si>
  <si>
    <t>A0780</t>
  </si>
  <si>
    <t>JARUM HECTING KULIT-OTOT</t>
  </si>
  <si>
    <t>A0781</t>
  </si>
  <si>
    <t>JARUM HECTING USUS PB5-1332 GS</t>
  </si>
  <si>
    <t>A0782</t>
  </si>
  <si>
    <t>JARUM KULIT NO 12</t>
  </si>
  <si>
    <t>A0783</t>
  </si>
  <si>
    <t>JARUM USUS NO 12</t>
  </si>
  <si>
    <t>A0787</t>
  </si>
  <si>
    <t>K PULVIS</t>
  </si>
  <si>
    <t>A0789</t>
  </si>
  <si>
    <t>KACAMATA OPERASI</t>
  </si>
  <si>
    <t>A0805</t>
  </si>
  <si>
    <t>KAPAS PEMBALUT 100GR</t>
  </si>
  <si>
    <t>GULUNG</t>
  </si>
  <si>
    <t>A0806</t>
  </si>
  <si>
    <t>KAPAS PEMBALUT 1KG</t>
  </si>
  <si>
    <t>A0807</t>
  </si>
  <si>
    <t>KAPAS PEMBALUT 500 GR</t>
  </si>
  <si>
    <t>A0808</t>
  </si>
  <si>
    <t>KAPAS PEMBALUT 50GR</t>
  </si>
  <si>
    <t>A0809</t>
  </si>
  <si>
    <t>KASSA GASINDO</t>
  </si>
  <si>
    <t>A0810</t>
  </si>
  <si>
    <t>KASSA HUSADA 16X16 KH</t>
  </si>
  <si>
    <t>A0816</t>
  </si>
  <si>
    <t>KERTAS LAKMUS</t>
  </si>
  <si>
    <t>A0817</t>
  </si>
  <si>
    <t>KERTAS PUYER</t>
  </si>
  <si>
    <t>A0818</t>
  </si>
  <si>
    <t>KERTAS USG</t>
  </si>
  <si>
    <t>A0835</t>
  </si>
  <si>
    <t>KNEE SUPPORT-M AS701DR ORTHO</t>
  </si>
  <si>
    <t>A0836</t>
  </si>
  <si>
    <t>KONDOM CATHETER " L "</t>
  </si>
  <si>
    <t>A0837</t>
  </si>
  <si>
    <t>KONDOM SUTRA '3</t>
  </si>
  <si>
    <t>A0839</t>
  </si>
  <si>
    <t>KOOLFEVER</t>
  </si>
  <si>
    <t>A0842</t>
  </si>
  <si>
    <t>KY JELLY GEL</t>
  </si>
  <si>
    <t>TUBE</t>
  </si>
  <si>
    <t>A0857</t>
  </si>
  <si>
    <t>LAMINARIA SIZE- S</t>
  </si>
  <si>
    <t>A0858</t>
  </si>
  <si>
    <t>LANCET JARUM GULA DARAH</t>
  </si>
  <si>
    <t>A0878</t>
  </si>
  <si>
    <t>LARYNGEAL MASK NO. 1</t>
  </si>
  <si>
    <t>A0879</t>
  </si>
  <si>
    <t>LARYNGEAL MASK NO.2,5</t>
  </si>
  <si>
    <t>A0880</t>
  </si>
  <si>
    <t>LARYNGEAL MASK NO.4 RUSH</t>
  </si>
  <si>
    <t>A0903</t>
  </si>
  <si>
    <t>LEUKOPLAST 1,25 CM X 4.5M ( 1/2 X 5 ) 1\2 IN</t>
  </si>
  <si>
    <t>A0904</t>
  </si>
  <si>
    <t>LEUKOPLAST 2,5 CM X 4,5M ( 1X5 )</t>
  </si>
  <si>
    <t>A0917</t>
  </si>
  <si>
    <t>LOMATULLE</t>
  </si>
  <si>
    <t>A0943</t>
  </si>
  <si>
    <t>BORRAGINOL S CR</t>
  </si>
  <si>
    <t>A0944</t>
  </si>
  <si>
    <t>MASKER MAXICARE</t>
  </si>
  <si>
    <t>A0945</t>
  </si>
  <si>
    <t>MASKER NEB ANAK</t>
  </si>
  <si>
    <t>A0946</t>
  </si>
  <si>
    <t>MASKER NEB DEWASA</t>
  </si>
  <si>
    <t>A0947</t>
  </si>
  <si>
    <t>MASKER NON REBREATH ANAK</t>
  </si>
  <si>
    <t>A0948</t>
  </si>
  <si>
    <t>MASKER NON REBREATH DEWASA</t>
  </si>
  <si>
    <t>A0949</t>
  </si>
  <si>
    <t>MASKER O2 REBREATH DEWASA</t>
  </si>
  <si>
    <t>A0950</t>
  </si>
  <si>
    <t>MASKER REBREAT ANAK</t>
  </si>
  <si>
    <t>A0951</t>
  </si>
  <si>
    <t>MASKER REBRETH DWS</t>
  </si>
  <si>
    <t>A0953</t>
  </si>
  <si>
    <t>MATA CUTER (HANDSWITCH LINAPENN)</t>
  </si>
  <si>
    <t>A0954</t>
  </si>
  <si>
    <t>SOFTEX MATERNITY PAD 10X36</t>
  </si>
  <si>
    <t>A0990</t>
  </si>
  <si>
    <t>MICRODRIP</t>
  </si>
  <si>
    <t>A0992</t>
  </si>
  <si>
    <t>MICROLIFE PEVER</t>
  </si>
  <si>
    <t>A0993</t>
  </si>
  <si>
    <t>MICROPORE 0,5'</t>
  </si>
  <si>
    <t>A0994</t>
  </si>
  <si>
    <t>MICROPORE 1"</t>
  </si>
  <si>
    <t>A0995</t>
  </si>
  <si>
    <t>MICROPORE 2'</t>
  </si>
  <si>
    <t>A0999</t>
  </si>
  <si>
    <t>MITU BABY BTL</t>
  </si>
  <si>
    <t>A1000</t>
  </si>
  <si>
    <t>MITU BABY POWD BTL 200GR</t>
  </si>
  <si>
    <t>A1001</t>
  </si>
  <si>
    <t>MITU BABY POWD POT 140GR</t>
  </si>
  <si>
    <t>A1002</t>
  </si>
  <si>
    <t>MITU BOX REF SOFCARE 24+6'S</t>
  </si>
  <si>
    <t>A1003</t>
  </si>
  <si>
    <t>MITU EXTRATHICK WIPES 50'S</t>
  </si>
  <si>
    <t>A1004</t>
  </si>
  <si>
    <t>MITU REFIL BABY PINK/BLUE</t>
  </si>
  <si>
    <t>A1005</t>
  </si>
  <si>
    <t>MITU REG 24</t>
  </si>
  <si>
    <t>A1017</t>
  </si>
  <si>
    <t>MR.MASKER</t>
  </si>
  <si>
    <t>A1055</t>
  </si>
  <si>
    <t>ANKLE M S BEIGE " M</t>
  </si>
  <si>
    <t>A1059</t>
  </si>
  <si>
    <t>NASAL O2 ANAK</t>
  </si>
  <si>
    <t>A1060</t>
  </si>
  <si>
    <t>NASAL O2 BAYI</t>
  </si>
  <si>
    <t>A1061</t>
  </si>
  <si>
    <t>NASAL O2 DEWASA</t>
  </si>
  <si>
    <t>A1064</t>
  </si>
  <si>
    <t>NECK COLLAR - S</t>
  </si>
  <si>
    <t>A1065</t>
  </si>
  <si>
    <t>NEEDLE THERUMO 25GX1''</t>
  </si>
  <si>
    <t>A1066</t>
  </si>
  <si>
    <t>NEEDLE BD MICRO -FINE</t>
  </si>
  <si>
    <t>A1067</t>
  </si>
  <si>
    <t>NEEDLE NOVOFINE</t>
  </si>
  <si>
    <t>A1068</t>
  </si>
  <si>
    <t>NEEDLE THERUMO 23GX1.1/4''</t>
  </si>
  <si>
    <t>A1069</t>
  </si>
  <si>
    <t>NELATON CATHETER NO.10</t>
  </si>
  <si>
    <t>A1070</t>
  </si>
  <si>
    <t>NELATON CATHETER NO.16</t>
  </si>
  <si>
    <t>A1071</t>
  </si>
  <si>
    <t>NEOFLON NO 24</t>
  </si>
  <si>
    <t>A1087</t>
  </si>
  <si>
    <t>NGT (STOMACH TUBE ) NO.10</t>
  </si>
  <si>
    <t>A1088</t>
  </si>
  <si>
    <t>NGT (STOMACH TUBE) NO.16</t>
  </si>
  <si>
    <t>A1089</t>
  </si>
  <si>
    <t>NGT (STOMACH TUBE) NO.20</t>
  </si>
  <si>
    <t>A1090</t>
  </si>
  <si>
    <t>NGT (STOMACH TUBE ) NO 14</t>
  </si>
  <si>
    <t>A1109</t>
  </si>
  <si>
    <t>NOVA T</t>
  </si>
  <si>
    <t>A1132</t>
  </si>
  <si>
    <t>OKSIGEN MASK ANAK</t>
  </si>
  <si>
    <t>A1133</t>
  </si>
  <si>
    <t>OKSIGEN MASK DEWASA</t>
  </si>
  <si>
    <t>A1160</t>
  </si>
  <si>
    <t>OXYCAN GREEN</t>
  </si>
  <si>
    <t>A1164</t>
  </si>
  <si>
    <t>PALDING (SOFBAN) 6"</t>
  </si>
  <si>
    <t>A1165</t>
  </si>
  <si>
    <t>PALDING(SOFBAN) 3"</t>
  </si>
  <si>
    <t>A1166</t>
  </si>
  <si>
    <t>PALDING(SOFBAN) "4" 10 CM X2,7 M</t>
  </si>
  <si>
    <t>A1190</t>
  </si>
  <si>
    <t>PEMBALUT WANITA HONEYSOFT</t>
  </si>
  <si>
    <t>A1191</t>
  </si>
  <si>
    <t>PEMPERS SWEETY PANTS- L</t>
  </si>
  <si>
    <t>A1192</t>
  </si>
  <si>
    <t>PEMPERS DEWASA L CONFIDENCE</t>
  </si>
  <si>
    <t>A1193</t>
  </si>
  <si>
    <t>FILM AGFA 30 X 40 CM</t>
  </si>
  <si>
    <t>A1194</t>
  </si>
  <si>
    <t>PEMPERS DEWASA M CONFIDENCE</t>
  </si>
  <si>
    <t>A1195</t>
  </si>
  <si>
    <t>PEMPERS SWEETY PANTS-S</t>
  </si>
  <si>
    <t>A1196</t>
  </si>
  <si>
    <t>PEMPERS SWEETY PANTS-M</t>
  </si>
  <si>
    <t>A1197</t>
  </si>
  <si>
    <t>PEMPERS SWEETY PANTS-XL</t>
  </si>
  <si>
    <t>A1198</t>
  </si>
  <si>
    <t>PEN LIGHT</t>
  </si>
  <si>
    <t>A1199</t>
  </si>
  <si>
    <t>PENCAN G27+INTRODUCER</t>
  </si>
  <si>
    <t>A1200</t>
  </si>
  <si>
    <t>PERIFIX 400FILTER SET G18X31/4</t>
  </si>
  <si>
    <t>A1214</t>
  </si>
  <si>
    <t>PISAU CUKUR ( RAZOR DAHL HAUSEN )</t>
  </si>
  <si>
    <t>A1218</t>
  </si>
  <si>
    <t>FOLLY CATHTETER SILICON 1.5ML</t>
  </si>
  <si>
    <t>A1225</t>
  </si>
  <si>
    <t>GYPSONA 3 INCH ( POLYGIPS 3" )</t>
  </si>
  <si>
    <t>A1226</t>
  </si>
  <si>
    <t>GYPSONA 4" INCH ( POLYGIPS )</t>
  </si>
  <si>
    <t>A1227</t>
  </si>
  <si>
    <t>GYPSONA 6 INCH ( POLYGIPS 6" )</t>
  </si>
  <si>
    <t>A1228</t>
  </si>
  <si>
    <t>POLYPROPILENE 2/0</t>
  </si>
  <si>
    <t>A1229</t>
  </si>
  <si>
    <t>POLYPROPILENE 3/0 HR22</t>
  </si>
  <si>
    <t>A1230</t>
  </si>
  <si>
    <t>POLYPROPILENE 5/0 HR-17</t>
  </si>
  <si>
    <t>A1231</t>
  </si>
  <si>
    <t>POLYPROPILENE 6/0 TS12 P</t>
  </si>
  <si>
    <t>A1232</t>
  </si>
  <si>
    <t>POLYPROPYLENE -1-HRG38</t>
  </si>
  <si>
    <t>A1233</t>
  </si>
  <si>
    <t>POLYPROPYLENE -1-HS 38/REF9727</t>
  </si>
  <si>
    <t>A1234</t>
  </si>
  <si>
    <t>POLYPROPYLENE 2/0 HR27</t>
  </si>
  <si>
    <t>A1235</t>
  </si>
  <si>
    <t>POLYPROPYLENE 2/0 TS27</t>
  </si>
  <si>
    <t>A1236</t>
  </si>
  <si>
    <t>POLYPROPYLENE 3/0 TS27</t>
  </si>
  <si>
    <t>A1237</t>
  </si>
  <si>
    <t>POLYPROPYLENE 4/0 HR17(9233)</t>
  </si>
  <si>
    <t>A1238</t>
  </si>
  <si>
    <t>POLYPROPYLENE 4/0 TS19</t>
  </si>
  <si>
    <t>A1239</t>
  </si>
  <si>
    <t>POLYPROPYLENE 5/0 TS15(9532)</t>
  </si>
  <si>
    <t>A1247</t>
  </si>
  <si>
    <t>POSSEY NO.4644</t>
  </si>
  <si>
    <t>A1248</t>
  </si>
  <si>
    <t>POSSEY NO.4645</t>
  </si>
  <si>
    <t>A1250</t>
  </si>
  <si>
    <t>POT 10 ML</t>
  </si>
  <si>
    <t>POT</t>
  </si>
  <si>
    <t>A1251</t>
  </si>
  <si>
    <t>POT 100CC</t>
  </si>
  <si>
    <t>A1252</t>
  </si>
  <si>
    <t>POT SALEP KECIL 30CC</t>
  </si>
  <si>
    <t>A1253</t>
  </si>
  <si>
    <t>POT 200CC</t>
  </si>
  <si>
    <t>A1254</t>
  </si>
  <si>
    <t>POT 30CC</t>
  </si>
  <si>
    <t>A1255</t>
  </si>
  <si>
    <t>POT 50CC</t>
  </si>
  <si>
    <t>A1257</t>
  </si>
  <si>
    <t>POT SALEP BESAR 50 CC</t>
  </si>
  <si>
    <t>A1265</t>
  </si>
  <si>
    <t>PREGCY CHECK T STRIP</t>
  </si>
  <si>
    <t>A1268</t>
  </si>
  <si>
    <t>PREMILENE 2/0 DS 24 B.75CM</t>
  </si>
  <si>
    <t>A1271</t>
  </si>
  <si>
    <t>PRESARIUM NO 7</t>
  </si>
  <si>
    <t>A1317</t>
  </si>
  <si>
    <t>RECTAL TUBE NO 10</t>
  </si>
  <si>
    <t>A1318</t>
  </si>
  <si>
    <t>RECTAL TUBE NO 6</t>
  </si>
  <si>
    <t>A1319</t>
  </si>
  <si>
    <t>RECTAL TUBE NO 7</t>
  </si>
  <si>
    <t>A1320</t>
  </si>
  <si>
    <t>RECTAL TUBE NO 8</t>
  </si>
  <si>
    <t>A1323</t>
  </si>
  <si>
    <t>SILK 4/0 HR 17</t>
  </si>
  <si>
    <t>A1365</t>
  </si>
  <si>
    <t>SAFIL 3/0 HR 26</t>
  </si>
  <si>
    <t>A1383</t>
  </si>
  <si>
    <t>SANITEX PLUS 1 GALON</t>
  </si>
  <si>
    <t>GALON</t>
  </si>
  <si>
    <t>A1402</t>
  </si>
  <si>
    <t>SELANG NEBULIZER</t>
  </si>
  <si>
    <t>A1403</t>
  </si>
  <si>
    <t>SELANG O2/CORUGATED</t>
  </si>
  <si>
    <t>A1405</t>
  </si>
  <si>
    <t>SENSI GLOVES - S</t>
  </si>
  <si>
    <t>A1407</t>
  </si>
  <si>
    <t>SENSITIF CELUP TEST KEHAMILAN</t>
  </si>
  <si>
    <t>A1410</t>
  </si>
  <si>
    <t>SILK 2/0 HR27 (REF610)</t>
  </si>
  <si>
    <t>A1411</t>
  </si>
  <si>
    <t>SILK 2/0 PER M</t>
  </si>
  <si>
    <t>A1412</t>
  </si>
  <si>
    <t>SILK 2/0 TS27 (654)</t>
  </si>
  <si>
    <t>A1413</t>
  </si>
  <si>
    <t>SILK 3/0 HR22 -607</t>
  </si>
  <si>
    <t>A1414</t>
  </si>
  <si>
    <t>SILK 5/0 (S2165)</t>
  </si>
  <si>
    <t>A1415</t>
  </si>
  <si>
    <t>SILKAM 2/0 DS24 BLACK 75CM</t>
  </si>
  <si>
    <t>A1416</t>
  </si>
  <si>
    <t>SILKAM 3/0 DS24 B BROUN</t>
  </si>
  <si>
    <t>A1417</t>
  </si>
  <si>
    <t>SILKAM 3/0 HR17 BLACK 75CM</t>
  </si>
  <si>
    <t>A1428</t>
  </si>
  <si>
    <t>SOFRATULLE</t>
  </si>
  <si>
    <t>A1429</t>
  </si>
  <si>
    <t>SOFTEX MATERNITY 20+2</t>
  </si>
  <si>
    <t>A1438</t>
  </si>
  <si>
    <t>SPALK KAKI ANAK</t>
  </si>
  <si>
    <t>A1439</t>
  </si>
  <si>
    <t>SPALK TANGAN DEWASA</t>
  </si>
  <si>
    <t>A1442</t>
  </si>
  <si>
    <t>SPINAL NEEDLE NO.27 BD</t>
  </si>
  <si>
    <t>A1443</t>
  </si>
  <si>
    <t>SPINOCAN NO 26</t>
  </si>
  <si>
    <t>A1444</t>
  </si>
  <si>
    <t>SPINOCAN NO 27</t>
  </si>
  <si>
    <t>A1449</t>
  </si>
  <si>
    <t>SPUIT 1 CC TERUMO</t>
  </si>
  <si>
    <t>A1450</t>
  </si>
  <si>
    <t>SPUIT 1 CC SYRINGE BD</t>
  </si>
  <si>
    <t>A1451</t>
  </si>
  <si>
    <t>SPUIT 10 CC TERUMO</t>
  </si>
  <si>
    <t>A1453</t>
  </si>
  <si>
    <t>SPUIT 2,5 CC TERUMO</t>
  </si>
  <si>
    <t>A1454</t>
  </si>
  <si>
    <t>SPUIT 20 CC TERUMO</t>
  </si>
  <si>
    <t>A1455</t>
  </si>
  <si>
    <t>SPUIT 3 CC TERUMO</t>
  </si>
  <si>
    <t>A1457</t>
  </si>
  <si>
    <t>SPUIT 5 CC TERUMO</t>
  </si>
  <si>
    <t>A1458</t>
  </si>
  <si>
    <t>SPUIT SYRINGE BD 5 CC</t>
  </si>
  <si>
    <t>A1459</t>
  </si>
  <si>
    <t>SPUIT 50 CC</t>
  </si>
  <si>
    <t>A1460</t>
  </si>
  <si>
    <t>SPUIT 50CC CATH TIP</t>
  </si>
  <si>
    <t>A1462</t>
  </si>
  <si>
    <t>STERISHEET 75 X 75 BLUE</t>
  </si>
  <si>
    <t>A1463</t>
  </si>
  <si>
    <t>STERI-STRIP 3M 1/2"X4"</t>
  </si>
  <si>
    <t>A1471</t>
  </si>
  <si>
    <t>STOMACH TUB NO 16</t>
  </si>
  <si>
    <t>A1472</t>
  </si>
  <si>
    <t>STOMACH TUB NO 18</t>
  </si>
  <si>
    <t>A1473</t>
  </si>
  <si>
    <t>STOMACH TUBE PORTEX NO.14</t>
  </si>
  <si>
    <t>A1477</t>
  </si>
  <si>
    <t>SUCC CAT NO 12</t>
  </si>
  <si>
    <t>A1478</t>
  </si>
  <si>
    <t>SUCC CATH NO 10</t>
  </si>
  <si>
    <t>A1479</t>
  </si>
  <si>
    <t>SUCC CATH NO 16</t>
  </si>
  <si>
    <t>A1480</t>
  </si>
  <si>
    <t>SUCC CATH NO 6</t>
  </si>
  <si>
    <t>A1481</t>
  </si>
  <si>
    <t>SUCC CATH NO 8</t>
  </si>
  <si>
    <t>A1486</t>
  </si>
  <si>
    <t>SUPRASORB G REF 20 478</t>
  </si>
  <si>
    <t>A1487</t>
  </si>
  <si>
    <t>SUPRASORB "G" REF 20 479</t>
  </si>
  <si>
    <t>A1488</t>
  </si>
  <si>
    <t>SUPRASORB "H" 10X10CM STANDARD</t>
  </si>
  <si>
    <t>A1489</t>
  </si>
  <si>
    <t>SUPRASORB "X" 9X9 CM</t>
  </si>
  <si>
    <t>A1499</t>
  </si>
  <si>
    <t>TEGADERM 1623</t>
  </si>
  <si>
    <t>A1500</t>
  </si>
  <si>
    <t>TEGADERM 1626</t>
  </si>
  <si>
    <t>A1501</t>
  </si>
  <si>
    <t>TEGADERM 1627</t>
  </si>
  <si>
    <t>A1510</t>
  </si>
  <si>
    <t>TENSOCREPE 10 CM ( 4 IN )</t>
  </si>
  <si>
    <t>A1511</t>
  </si>
  <si>
    <t>TENSOCREPE 15CM ( 6 IN )</t>
  </si>
  <si>
    <t>A1512</t>
  </si>
  <si>
    <t>TENSOCREPE 7.5 CM ( 3 IN )</t>
  </si>
  <si>
    <t>A1520</t>
  </si>
  <si>
    <t>THERMOMETER DIGITAL</t>
  </si>
  <si>
    <t>A1521</t>
  </si>
  <si>
    <t>THERMOMETER SAFETY</t>
  </si>
  <si>
    <t>A1527</t>
  </si>
  <si>
    <t>LMA NO 5</t>
  </si>
  <si>
    <t>A1536</t>
  </si>
  <si>
    <t>TONG SPATEL / WOODEN TONGUE DIPRESSOR</t>
  </si>
  <si>
    <t>A1537</t>
  </si>
  <si>
    <t>TONGKAT KETIAK - L</t>
  </si>
  <si>
    <t>A1539</t>
  </si>
  <si>
    <t>TOPI OPERASI SIGMA</t>
  </si>
  <si>
    <t>A1579</t>
  </si>
  <si>
    <t>UMBILICAL/PENJEPIT TALI PUSAR</t>
  </si>
  <si>
    <t>A1582</t>
  </si>
  <si>
    <t>UNDERPAID DEWASA</t>
  </si>
  <si>
    <t>A1585</t>
  </si>
  <si>
    <t>URINE BAG</t>
  </si>
  <si>
    <t>A1586</t>
  </si>
  <si>
    <t>URINE COLLECTOR</t>
  </si>
  <si>
    <t>A1591</t>
  </si>
  <si>
    <t>AKILEN EAR DROP 5 ML</t>
  </si>
  <si>
    <t>A1619</t>
  </si>
  <si>
    <t>ACCU-CECK GO STRIP 50'"S</t>
  </si>
  <si>
    <t>A1623</t>
  </si>
  <si>
    <t>VENFLON 20 ADYSTE PRO</t>
  </si>
  <si>
    <t>A1624</t>
  </si>
  <si>
    <t>VENFLON 22 ADSYTE PRO</t>
  </si>
  <si>
    <t>A1625</t>
  </si>
  <si>
    <t>VENFLON NO 18 (CATHY CANULA)</t>
  </si>
  <si>
    <t>A1626</t>
  </si>
  <si>
    <t>VENFLON NO 20 ( CATHY CANULA )</t>
  </si>
  <si>
    <t>A1627</t>
  </si>
  <si>
    <t>FILTER</t>
  </si>
  <si>
    <t>A1633</t>
  </si>
  <si>
    <t>VERBAN 10 CM</t>
  </si>
  <si>
    <t>A1634</t>
  </si>
  <si>
    <t>VERBAN 5 CM</t>
  </si>
  <si>
    <t>A1640</t>
  </si>
  <si>
    <t>VIOREX LIQUID 4 % SOAP</t>
  </si>
  <si>
    <t>A1671</t>
  </si>
  <si>
    <t>AQUA FOR INJ 25 ML ( WI )</t>
  </si>
  <si>
    <t>A1672</t>
  </si>
  <si>
    <t>WING NEEDLE NO. 23</t>
  </si>
  <si>
    <t>A1673</t>
  </si>
  <si>
    <t>WING NEEDLE NO. 25</t>
  </si>
  <si>
    <t>A1674</t>
  </si>
  <si>
    <t>WING NEEDLE NO. 27</t>
  </si>
  <si>
    <t>A1675</t>
  </si>
  <si>
    <t>WIPPY SWAB ALKOHOL</t>
  </si>
  <si>
    <t>A1676</t>
  </si>
  <si>
    <t>WUNDRES B 10 X 10</t>
  </si>
  <si>
    <t>A1677</t>
  </si>
  <si>
    <t>WUNDRES F 10 X 10</t>
  </si>
  <si>
    <t>A1678</t>
  </si>
  <si>
    <t>WUNDRES N 10 X 10</t>
  </si>
  <si>
    <t>A1682</t>
  </si>
  <si>
    <t>XYLOCAIN SPRAY</t>
  </si>
  <si>
    <t>A1683</t>
  </si>
  <si>
    <t>XYLOCAINE 2% JELLY SYRINGE</t>
  </si>
  <si>
    <t>A1684</t>
  </si>
  <si>
    <t>YAL SOLUTION 67.5 ML/ CLN CLEANER</t>
  </si>
  <si>
    <t>A1702</t>
  </si>
  <si>
    <t>MAS - SURIGICAL STERILE  PREMIUM 7</t>
  </si>
  <si>
    <t>A1709</t>
  </si>
  <si>
    <t>SPALK KAKI DEWASA</t>
  </si>
  <si>
    <t>A1714</t>
  </si>
  <si>
    <t>VENFLON NO 24 ( CATHY CANULA 24 )</t>
  </si>
  <si>
    <t>A1718</t>
  </si>
  <si>
    <t>ETT NO 6 ( ENDO TRAKEA )</t>
  </si>
  <si>
    <t>A1719</t>
  </si>
  <si>
    <t>ETT NO 6.5 ( ENDO TRAKEA )</t>
  </si>
  <si>
    <t>A1720</t>
  </si>
  <si>
    <t>NERISONA COMBI 5 GR</t>
  </si>
  <si>
    <t>A1727</t>
  </si>
  <si>
    <t>FOLLY CHATETER GOLDRUCH NO 28</t>
  </si>
  <si>
    <t>A1728</t>
  </si>
  <si>
    <t>KERTAS FILEM SONY</t>
  </si>
  <si>
    <t>A1755</t>
  </si>
  <si>
    <t>POLYFLEX IV CAT 18G X 1 3/4 (PUMEX)</t>
  </si>
  <si>
    <t>A1759</t>
  </si>
  <si>
    <t>POLYFLEX IV CATH 22G X 1"</t>
  </si>
  <si>
    <t>A1787</t>
  </si>
  <si>
    <t>MAS - GYNECOLOGYCAL STERIL -M</t>
  </si>
  <si>
    <t>A1790</t>
  </si>
  <si>
    <t>MAS - SURGICAL FACE MASKS ( KARET /EAR LOOP )</t>
  </si>
  <si>
    <t>A1793</t>
  </si>
  <si>
    <t>MAS - SURGICAL FACE MASK ( TALI / TIE ON )</t>
  </si>
  <si>
    <t>A1795</t>
  </si>
  <si>
    <t>CHEST TUBE NO.24</t>
  </si>
  <si>
    <t>A1821</t>
  </si>
  <si>
    <t>CAESARIAN SET ( P85, C27, V16 )</t>
  </si>
  <si>
    <t>A1830</t>
  </si>
  <si>
    <t>MASKER 02 BAYI</t>
  </si>
  <si>
    <t>A1847</t>
  </si>
  <si>
    <t>MAS_EXAMINATION GLOVE -S</t>
  </si>
  <si>
    <t>A1851</t>
  </si>
  <si>
    <t>SPINOCAN NO 25</t>
  </si>
  <si>
    <t>A1857</t>
  </si>
  <si>
    <t>MEPTINE NEBULES</t>
  </si>
  <si>
    <t>AMPUL</t>
  </si>
  <si>
    <t>A1862</t>
  </si>
  <si>
    <t>ASTACORE KAPSUL</t>
  </si>
  <si>
    <t>FLES</t>
  </si>
  <si>
    <t>A1865</t>
  </si>
  <si>
    <t>LEUKOPLAST 7.5 CM X 4.5M ( 2.5X5 )</t>
  </si>
  <si>
    <t>A1866</t>
  </si>
  <si>
    <t>MEPTIN SYRUP 60 ML</t>
  </si>
  <si>
    <t>A1867</t>
  </si>
  <si>
    <t>NASONEX NASAL SPRAY 60"</t>
  </si>
  <si>
    <t>A1868</t>
  </si>
  <si>
    <t>ASERING INF 500 ML OTSUKA</t>
  </si>
  <si>
    <t>A1869</t>
  </si>
  <si>
    <t>TOFRANIL TAB</t>
  </si>
  <si>
    <t>TABLET</t>
  </si>
  <si>
    <t>A1871</t>
  </si>
  <si>
    <t>VENFLON NO.22 ( CATHY I.V CANNULA )</t>
  </si>
  <si>
    <t>A1875</t>
  </si>
  <si>
    <t>FIXACEF SYR 100 MG</t>
  </si>
  <si>
    <t>A1876</t>
  </si>
  <si>
    <t>BOTO 20 CC</t>
  </si>
  <si>
    <t>A1877</t>
  </si>
  <si>
    <t>POT 20 CC</t>
  </si>
  <si>
    <t>A1887</t>
  </si>
  <si>
    <t>HERNIA MEST</t>
  </si>
  <si>
    <t>A1888</t>
  </si>
  <si>
    <t>MAS_EXAMINATION GLOVE -L</t>
  </si>
  <si>
    <t>A1894</t>
  </si>
  <si>
    <t>DISP.VAGINAL SPECULUM VAGION UK M</t>
  </si>
  <si>
    <t>A1896</t>
  </si>
  <si>
    <t>DISP. VAGINAL SPECULUM VAGION UK S</t>
  </si>
  <si>
    <t>A1899</t>
  </si>
  <si>
    <t>SPATULA</t>
  </si>
  <si>
    <t>A1901</t>
  </si>
  <si>
    <t>OBJEK GELAS</t>
  </si>
  <si>
    <t>A1903</t>
  </si>
  <si>
    <t>DECK GLASS</t>
  </si>
  <si>
    <t>A1905</t>
  </si>
  <si>
    <t>SIKAT / BRUSHES EDUCERVICAL SAMPLING</t>
  </si>
  <si>
    <t>A1913</t>
  </si>
  <si>
    <t>GLYCO 3/0 DS24MM (GY193EVZ)</t>
  </si>
  <si>
    <t>A1914</t>
  </si>
  <si>
    <t>GELANG DEWASA</t>
  </si>
  <si>
    <t>A1924</t>
  </si>
  <si>
    <t>FINGER EXT SPLIT</t>
  </si>
  <si>
    <t>A1929</t>
  </si>
  <si>
    <t>AMPLOP KECIL</t>
  </si>
  <si>
    <t>A1946</t>
  </si>
  <si>
    <t>BIOLYSIN SYP 60 ML</t>
  </si>
  <si>
    <t>A1948</t>
  </si>
  <si>
    <t>FINGER FROG SPLINT</t>
  </si>
  <si>
    <t>A1953</t>
  </si>
  <si>
    <t>AMPLOP BESAR</t>
  </si>
  <si>
    <t>A1958</t>
  </si>
  <si>
    <t>HCG PREGNANCY TEST CELUP</t>
  </si>
  <si>
    <t>A1959</t>
  </si>
  <si>
    <t>BENANG JAMSOS</t>
  </si>
  <si>
    <t>A1969</t>
  </si>
  <si>
    <t>NEEDLE 18</t>
  </si>
  <si>
    <t>A1980</t>
  </si>
  <si>
    <t>GAMMEX NO.8</t>
  </si>
  <si>
    <t>A1988</t>
  </si>
  <si>
    <t>ARM SLING XL</t>
  </si>
  <si>
    <t>A30</t>
  </si>
  <si>
    <t>SUPRASORB "A" 10X10 CM REF 20 441</t>
  </si>
  <si>
    <t>A4931</t>
  </si>
  <si>
    <t>SUCC CATH NO 14</t>
  </si>
  <si>
    <t>AA  .AH.001</t>
  </si>
  <si>
    <t>PRO IV WOVEN</t>
  </si>
  <si>
    <t>ABBO.AH.001</t>
  </si>
  <si>
    <t>ABBOCATH NO. 18</t>
  </si>
  <si>
    <t>ACCU.AH.001</t>
  </si>
  <si>
    <t>ACCU CHECK ACTIVE</t>
  </si>
  <si>
    <t>ACCU.AH.002</t>
  </si>
  <si>
    <t>ACCU CHECK ACTIVE CODE 611</t>
  </si>
  <si>
    <t>ACCU.AM.001</t>
  </si>
  <si>
    <t>ACCU CHECK PERPORMA</t>
  </si>
  <si>
    <t>ACCU.OB.001</t>
  </si>
  <si>
    <t>ACCU SAFE-T-PRO UNO 20</t>
  </si>
  <si>
    <t>ACID.AH.002</t>
  </si>
  <si>
    <t>ACID  ( GAMBRO ) REMA PART -A SA80</t>
  </si>
  <si>
    <t>ACNE.AH.001</t>
  </si>
  <si>
    <t>ACNE PREG 1 DAY</t>
  </si>
  <si>
    <t>ACNE.AH.002</t>
  </si>
  <si>
    <t>ACNE PREG 2 DAY</t>
  </si>
  <si>
    <t>ACNE.AH.003</t>
  </si>
  <si>
    <t>ACNE PREG 1 NIGHT</t>
  </si>
  <si>
    <t>ACNE.AH.004</t>
  </si>
  <si>
    <t>ACNE PREG MAINTENANCE</t>
  </si>
  <si>
    <t>ACTI.AH.001</t>
  </si>
  <si>
    <t>CIRCUIT (ACTIVE NCPAP SINGLE HWC W/PRESSURE LINE</t>
  </si>
  <si>
    <t>ACTI.AH.002</t>
  </si>
  <si>
    <t>ACTIVE NCPAP SINGLE HEATED WC(PRESSURE LINE)</t>
  </si>
  <si>
    <t>AESC.AH.001</t>
  </si>
  <si>
    <t>AESCULAP/BISTURI BB 510</t>
  </si>
  <si>
    <t>ALAT.AM.001</t>
  </si>
  <si>
    <t>ALAT NESCO ( KOLESTEROL DAN ASAM URAT )</t>
  </si>
  <si>
    <t>ALBI.AM.001</t>
  </si>
  <si>
    <t>ALBUMIN 2 X 125 ML</t>
  </si>
  <si>
    <t>ALBU.AM.001</t>
  </si>
  <si>
    <t>ALBUMINAR 25%</t>
  </si>
  <si>
    <t>ALER.AH.001</t>
  </si>
  <si>
    <t>ALERE SCEENING HIV</t>
  </si>
  <si>
    <t>ALKA.AH.001</t>
  </si>
  <si>
    <t>ALKAZYME</t>
  </si>
  <si>
    <t>ALKA.AH.002</t>
  </si>
  <si>
    <t>ALKACIDE</t>
  </si>
  <si>
    <t>ALKO.AH.001</t>
  </si>
  <si>
    <t>ALKOHOL SWAB</t>
  </si>
  <si>
    <t>ALP .AM.001</t>
  </si>
  <si>
    <t>ALP ( DEA ) SL 2 X 62,5 ML</t>
  </si>
  <si>
    <t>ALUM.AM.001</t>
  </si>
  <si>
    <t>ALUMINIUM SPLINT</t>
  </si>
  <si>
    <t>AMBU.AH.001</t>
  </si>
  <si>
    <t>AMBUMAX SURGICAL GLOVES NO. 6,5</t>
  </si>
  <si>
    <t>AMBU.AH.002</t>
  </si>
  <si>
    <t>AMBUMAX SURGICAL GLOVES NO. 7</t>
  </si>
  <si>
    <t>AMBU.AH.003</t>
  </si>
  <si>
    <t>AMBUMAX SURGICAL GLOVES NO. 7,5</t>
  </si>
  <si>
    <t>AMNI.AH.001</t>
  </si>
  <si>
    <t>AMNIOTIC MEMBRANE</t>
  </si>
  <si>
    <t>ASAM.AH.001</t>
  </si>
  <si>
    <t>ASAM ALKOHOL</t>
  </si>
  <si>
    <t>ASAM.AH.002</t>
  </si>
  <si>
    <t>ASAM ASETAT 2 %</t>
  </si>
  <si>
    <t>ASKI.AT.001</t>
  </si>
  <si>
    <t>ASKINA SOFT CLEAR 9 X 25</t>
  </si>
  <si>
    <t>ASSU.AH.001</t>
  </si>
  <si>
    <t>ASSUCRYL 4/0 HR 27</t>
  </si>
  <si>
    <t>ASSU.AH.002</t>
  </si>
  <si>
    <t>ASSUCRYL 5/0 TS 17</t>
  </si>
  <si>
    <t>ASSU.AH.003</t>
  </si>
  <si>
    <t>GLYCO  2/0 GY192 EVZ</t>
  </si>
  <si>
    <t>ASTO.AM.001</t>
  </si>
  <si>
    <t>ASTO LATEX TEST</t>
  </si>
  <si>
    <t>AUTO.AH.001</t>
  </si>
  <si>
    <t>AUTOKLIK BAYI PUTIH</t>
  </si>
  <si>
    <t>AUTO.AH.002</t>
  </si>
  <si>
    <t>AUTOKLIK BAYI BIRU/LANSET JENY/CONTAC ACTIVED</t>
  </si>
  <si>
    <t>AV F.AH.001</t>
  </si>
  <si>
    <t>IV FISTULA ( BIRU )</t>
  </si>
  <si>
    <t>B1N1204</t>
  </si>
  <si>
    <t>LEUKOPLAST 5 CM X 4.5 M ( 2X5 )</t>
  </si>
  <si>
    <t>BACK.AH.001</t>
  </si>
  <si>
    <t>BACK HASH 40X40</t>
  </si>
  <si>
    <t>BARI.AH.001</t>
  </si>
  <si>
    <t>BARIUM SULFAT 3,5KG</t>
  </si>
  <si>
    <t>BCB .AH.001</t>
  </si>
  <si>
    <t>BCB ( RETIKULOSIT )</t>
  </si>
  <si>
    <t>BENA.AH.001</t>
  </si>
  <si>
    <t>BENANG BASIC PACK 2</t>
  </si>
  <si>
    <t>BENZ.AH.001</t>
  </si>
  <si>
    <t>BENZIDINE TEST</t>
  </si>
  <si>
    <t>BETA.AH.004</t>
  </si>
  <si>
    <t>BETADINE FEMINE WIPES 10'S</t>
  </si>
  <si>
    <t>BILI.AH.001</t>
  </si>
  <si>
    <t>BILIK HITUNG</t>
  </si>
  <si>
    <t>BILI.AM.001</t>
  </si>
  <si>
    <t>BILIRUBIN DIRECT</t>
  </si>
  <si>
    <t>BILI.AM.002</t>
  </si>
  <si>
    <t>BILIRUBIN TOTAL</t>
  </si>
  <si>
    <t>BLOO.AH.001</t>
  </si>
  <si>
    <t>BLOOD SET</t>
  </si>
  <si>
    <t>BLOO.AH.002</t>
  </si>
  <si>
    <t>BLOOD LANCET</t>
  </si>
  <si>
    <t>BLOO.AH.003</t>
  </si>
  <si>
    <t>BLOOD LANCETS (G.E)</t>
  </si>
  <si>
    <t>BLUE.AH.001</t>
  </si>
  <si>
    <t>FILM RADIOLOGI 20X25 ( FUJIFILM)</t>
  </si>
  <si>
    <t>BLUE.AM.001</t>
  </si>
  <si>
    <t>BLUE TIP</t>
  </si>
  <si>
    <t>BODY.AH.001</t>
  </si>
  <si>
    <t>BODY BETTER BODY SHOP (MOCA)</t>
  </si>
  <si>
    <t>BOKA.AH.001</t>
  </si>
  <si>
    <t>BOKAL FAECES</t>
  </si>
  <si>
    <t>BOKA.AM.001</t>
  </si>
  <si>
    <t>BOKAL KULTUR ( POT URINE STERIL )</t>
  </si>
  <si>
    <t>BONE.AH.001</t>
  </si>
  <si>
    <t>BONEWAX W810 (ETHICON)</t>
  </si>
  <si>
    <t>BONE.AM.001</t>
  </si>
  <si>
    <t>BONE GRAFT</t>
  </si>
  <si>
    <t>BONN.AH.001</t>
  </si>
  <si>
    <t>BONNETS</t>
  </si>
  <si>
    <t>BRAD.AM.001</t>
  </si>
  <si>
    <t>BRADE PLATE</t>
  </si>
  <si>
    <t>BRAU.AH.001</t>
  </si>
  <si>
    <t>BRAUNOL 100 ML</t>
  </si>
  <si>
    <t>BRAU.AH.002</t>
  </si>
  <si>
    <t>BRAUNODERM</t>
  </si>
  <si>
    <t>BREA.AH.001</t>
  </si>
  <si>
    <t>BREATHING CIRCUIT - DUO LIMB</t>
  </si>
  <si>
    <t>BUFF.AH.001</t>
  </si>
  <si>
    <t>BUFFER</t>
  </si>
  <si>
    <t>CAIR.AH.001</t>
  </si>
  <si>
    <t>FIXER FUJIRA</t>
  </si>
  <si>
    <t>CALO.OK.001</t>
  </si>
  <si>
    <t>ONE SCRUB 4 % 5 LITER</t>
  </si>
  <si>
    <t>CANC.AM.001</t>
  </si>
  <si>
    <t>CANCELLOUS 4,0 THREAD ALL SIZE</t>
  </si>
  <si>
    <t>CATG.AH.001</t>
  </si>
  <si>
    <t>CATGUT CHROMIC 3/0 TS 24</t>
  </si>
  <si>
    <t>CATG.AH.002</t>
  </si>
  <si>
    <t>CATGUT CHROMIC 4/0 TS 19</t>
  </si>
  <si>
    <t>CATG.AH.003</t>
  </si>
  <si>
    <t>CATGUT CHROMIC 2 HRG 50</t>
  </si>
  <si>
    <t>CATG.AH.004</t>
  </si>
  <si>
    <t>CATGUT CHROMIC 2/0 HR 27</t>
  </si>
  <si>
    <t>CATH.AH.001</t>
  </si>
  <si>
    <t>CATHETER DUAL LUMEN ( SIZE 12FRX20 ) ST</t>
  </si>
  <si>
    <t>CELL.AM.001</t>
  </si>
  <si>
    <t>CELLPACK ( PK - 30 L)</t>
  </si>
  <si>
    <t>CELL.AM.002</t>
  </si>
  <si>
    <t>CELLCLEAN</t>
  </si>
  <si>
    <t>CEND.OK.017</t>
  </si>
  <si>
    <t>SEPTALKAN 750 ML</t>
  </si>
  <si>
    <t>MILI LITER</t>
  </si>
  <si>
    <t>CERA.AH.001</t>
  </si>
  <si>
    <t>HBA 1C</t>
  </si>
  <si>
    <t>CERT.AH.001</t>
  </si>
  <si>
    <t>CERTOFIX DUO V750</t>
  </si>
  <si>
    <t>CERT.AH.002</t>
  </si>
  <si>
    <t>CERTOFIX DUO (V1220) HFPCS-PCS</t>
  </si>
  <si>
    <t>CHES.AH.001</t>
  </si>
  <si>
    <t>CHEST TUBE NO. 28</t>
  </si>
  <si>
    <t>CHES.AH.002</t>
  </si>
  <si>
    <t>CHEST TUBE NO.32</t>
  </si>
  <si>
    <t>CHLO.AH.001</t>
  </si>
  <si>
    <t>CHLOR- CLEAN</t>
  </si>
  <si>
    <t>CHOL.AM.001</t>
  </si>
  <si>
    <t>ELITECH HDL CHOLESTEROL 1 X</t>
  </si>
  <si>
    <t>CHOL.AM.002</t>
  </si>
  <si>
    <t>CHOLESTEROL PAP SL 6 X 100 ML</t>
  </si>
  <si>
    <t>CHRO.AH.001</t>
  </si>
  <si>
    <t>CHROMIC 2/0 HR37S</t>
  </si>
  <si>
    <t>CLAV.AM.001</t>
  </si>
  <si>
    <t>CLAVICULA LOCKING SET</t>
  </si>
  <si>
    <t>CLOT.AM.001</t>
  </si>
  <si>
    <t>CLOT ACTIVATOR</t>
  </si>
  <si>
    <t>COMB.AH.001</t>
  </si>
  <si>
    <t>COMBOSTIK 10M (100T )</t>
  </si>
  <si>
    <t>COMB.AH.002</t>
  </si>
  <si>
    <t>IV FISTULA ( MERAH )</t>
  </si>
  <si>
    <t>COMB.AH.003</t>
  </si>
  <si>
    <t>COMBO PACK TERAPI INFUS + SPUIT</t>
  </si>
  <si>
    <t>COMB.AH.004</t>
  </si>
  <si>
    <t>COMBO PACK WPWW 24 GTC PLUS SPALK</t>
  </si>
  <si>
    <t>COMB.AH.005</t>
  </si>
  <si>
    <t>COMBO PACK WPWW 24 GTC PLUS SPALK ( MAKRO )</t>
  </si>
  <si>
    <t>COMF.AH.001</t>
  </si>
  <si>
    <t>COMFORT - PULL THUMB EH-409</t>
  </si>
  <si>
    <t>CORO.AH.001</t>
  </si>
  <si>
    <t>COROLENE 2/0 TP</t>
  </si>
  <si>
    <t>CORO.AH.002</t>
  </si>
  <si>
    <t>COROLENE 3/0 RC</t>
  </si>
  <si>
    <t>CORO.AH.003</t>
  </si>
  <si>
    <t>COROLENE 4/0 TP</t>
  </si>
  <si>
    <t>CORO.AH.004</t>
  </si>
  <si>
    <t>COROLENE 5/0 TP</t>
  </si>
  <si>
    <t>CORO.AH.005</t>
  </si>
  <si>
    <t>COROLENE 6/0 RC</t>
  </si>
  <si>
    <t>CORO.AH.006</t>
  </si>
  <si>
    <t>COROLENE 2/0 RC</t>
  </si>
  <si>
    <t>CORO.AH.007</t>
  </si>
  <si>
    <t>COROLENE 3/0 TP</t>
  </si>
  <si>
    <t>CORT.AM.001</t>
  </si>
  <si>
    <t>CORTICAL SCREW 3,5 SELF TAPPING ALLSIZE</t>
  </si>
  <si>
    <t>CORT.AM.002</t>
  </si>
  <si>
    <t>CORTEX SCREW 24MM-TAPING TITANIUM</t>
  </si>
  <si>
    <t>CORT.AM.003</t>
  </si>
  <si>
    <t>CORTEX SCREW 26MM-TAPING TITANIUM</t>
  </si>
  <si>
    <t>CORT.AM.004</t>
  </si>
  <si>
    <t>CORTEX SCREW 28MM-TAPING TITANIUM</t>
  </si>
  <si>
    <t>CORT.AM.005</t>
  </si>
  <si>
    <t>CORTEX SCREW 32MM-TAPING TITANIUM</t>
  </si>
  <si>
    <t>CORT.AM.006</t>
  </si>
  <si>
    <t>CORTEX SCREW 34MM-TAPING TITANIUM</t>
  </si>
  <si>
    <t>COSM.AH.001</t>
  </si>
  <si>
    <t>COSMO MED FIRST CARE HAND WASH 4 % 500 ML</t>
  </si>
  <si>
    <t>COTT.AH.001</t>
  </si>
  <si>
    <t>COTTON BUD 100'S</t>
  </si>
  <si>
    <t>COTT.AH.002</t>
  </si>
  <si>
    <t>COTTON STERIL</t>
  </si>
  <si>
    <t>CREA.AM.001</t>
  </si>
  <si>
    <t>CREATINNE 2 X 125 ML</t>
  </si>
  <si>
    <t>CRPL.AH.001</t>
  </si>
  <si>
    <t>CRP LATEX TEST 50T</t>
  </si>
  <si>
    <t>CURA.AH.001</t>
  </si>
  <si>
    <t>CURAPOR TRANSPARANS 10 X 8</t>
  </si>
  <si>
    <t>CURA.AM.001</t>
  </si>
  <si>
    <t>CURAPOR ISLAND 10X25</t>
  </si>
  <si>
    <t>CURA.AM.002</t>
  </si>
  <si>
    <t>CURAPOR ISLAND 10 X 8</t>
  </si>
  <si>
    <t>CURE.AH.002</t>
  </si>
  <si>
    <t>CURETTE FLEXIBEL NO.7</t>
  </si>
  <si>
    <t>CURE.AH.003</t>
  </si>
  <si>
    <t>CURETTE FLEXIBEL NO.6</t>
  </si>
  <si>
    <t>CURE.AH.004</t>
  </si>
  <si>
    <t>CURETTE FLEXIBEL NO.6.5</t>
  </si>
  <si>
    <t>CUTI.AH.001</t>
  </si>
  <si>
    <t>CUTIMED SORBACT 10X 10 CM</t>
  </si>
  <si>
    <t>CUTI.AM.001</t>
  </si>
  <si>
    <t>CUTIMED GEL</t>
  </si>
  <si>
    <t>CVC .AH.001</t>
  </si>
  <si>
    <t>CVC SET 2-LUMEN 4FR X13( CENTRAL VENOUS CATHETER )</t>
  </si>
  <si>
    <t>D5 1.AH.001</t>
  </si>
  <si>
    <t>D5 100 ML SP</t>
  </si>
  <si>
    <t>D5 N.AH.001</t>
  </si>
  <si>
    <t>D5 NS 500 ML</t>
  </si>
  <si>
    <t>DELT.AH.001</t>
  </si>
  <si>
    <t>DELTA-CAST SOFT WHITE ( 12.5CM X 3.6M ) 72708.42</t>
  </si>
  <si>
    <t>DELT.AH.002</t>
  </si>
  <si>
    <t>DELTA-DRY (10CM X 2,4M) 73443.02</t>
  </si>
  <si>
    <t>DELT.AH.003</t>
  </si>
  <si>
    <t>DELTA-CAST SOFT BLUE ( 10CM X 3.6M ) 72708.25</t>
  </si>
  <si>
    <t>DELT.AH.004</t>
  </si>
  <si>
    <t>DELTA LITE CONF 4"</t>
  </si>
  <si>
    <t>DENG.AM.001</t>
  </si>
  <si>
    <t>DENGUE IGG/LGM</t>
  </si>
  <si>
    <t>KIT</t>
  </si>
  <si>
    <t>DENG.AM.002</t>
  </si>
  <si>
    <t>DENGUE NS1 EARLY PANBIO</t>
  </si>
  <si>
    <t>DENT.AH.001</t>
  </si>
  <si>
    <t>FILM HENSHIN DENTAL</t>
  </si>
  <si>
    <t>DENT.AH.002</t>
  </si>
  <si>
    <t>DENTAL FLOS ORAL-B</t>
  </si>
  <si>
    <t>DENT.AH.003</t>
  </si>
  <si>
    <t>DENTAL FLOSS CHARMI</t>
  </si>
  <si>
    <t>DEPE.AH.001</t>
  </si>
  <si>
    <t>ESKAMED GLOVES NO.7</t>
  </si>
  <si>
    <t>DEPE.AT.001</t>
  </si>
  <si>
    <t>DEPER KECIL</t>
  </si>
  <si>
    <t>DEPE.AT.002</t>
  </si>
  <si>
    <t>DEPER KSCSNG SEDANG</t>
  </si>
  <si>
    <t>DEPE.AT.003</t>
  </si>
  <si>
    <t>DEPER SEDANG</t>
  </si>
  <si>
    <t>DEPP.AT.001</t>
  </si>
  <si>
    <t>DEPER BESAR</t>
  </si>
  <si>
    <t>DETT.AH.001</t>
  </si>
  <si>
    <t>DETTOL WIPES A/B KECIL</t>
  </si>
  <si>
    <t>DETT.AH.002</t>
  </si>
  <si>
    <t>DETTOL WIPES A/B BESAR</t>
  </si>
  <si>
    <t>DEVE.AM.001</t>
  </si>
  <si>
    <t>DEVELOVER PUJIRA</t>
  </si>
  <si>
    <t>DEXT.AH.001</t>
  </si>
  <si>
    <t>DEXTROSE 100ML 5 % SP ( D-5 )</t>
  </si>
  <si>
    <t>DEXT.AH.002</t>
  </si>
  <si>
    <t>DEXTROSE 10% INF SP 500 ML</t>
  </si>
  <si>
    <t>DEXT.AH.003</t>
  </si>
  <si>
    <t>DEXTROSE 40 % 25 ML DP</t>
  </si>
  <si>
    <t>DEXT.AH.004</t>
  </si>
  <si>
    <t>OTSU D5 NS  0,9% 500 ML</t>
  </si>
  <si>
    <t>DIAC.AH.001</t>
  </si>
  <si>
    <t>DIACAP 13 H ( B-BRAUN )</t>
  </si>
  <si>
    <t>DISP.AH.001</t>
  </si>
  <si>
    <t>DISPOSABLE HUMIDIFICATION CHAMBER W/AUTO FEEDING L</t>
  </si>
  <si>
    <t>DISP.AH.002</t>
  </si>
  <si>
    <t>DISPOSABLE HUMIDIFICATION CHAMBER(AUTOFEEDINGLINE)</t>
  </si>
  <si>
    <t>DIST.AM.001</t>
  </si>
  <si>
    <t>DISTA MEDIAL TIBIAL PLATE 9H L</t>
  </si>
  <si>
    <t>DOUB.AH.001</t>
  </si>
  <si>
    <t>DOUBLE J STENT</t>
  </si>
  <si>
    <t>DRUG.AT.001</t>
  </si>
  <si>
    <t>DRUG 3 PARAMETER</t>
  </si>
  <si>
    <t>DUOD.AH.001</t>
  </si>
  <si>
    <t>DUODERM EXTRACHIN</t>
  </si>
  <si>
    <t>DYNA.AH.001</t>
  </si>
  <si>
    <t>DYNACAST PRELUDE 5"</t>
  </si>
  <si>
    <t>CM</t>
  </si>
  <si>
    <t>EASY.AH.001</t>
  </si>
  <si>
    <t>EASY TOUCH GCU (GCU METER) ALAT</t>
  </si>
  <si>
    <t>UNIT</t>
  </si>
  <si>
    <t>EASY.AH.002</t>
  </si>
  <si>
    <t>EASY TOUCH CHOLESTEROL</t>
  </si>
  <si>
    <t>EASY.AH.003</t>
  </si>
  <si>
    <t>EASY TOUCH GLUCOSE</t>
  </si>
  <si>
    <t>EASY.AH.004</t>
  </si>
  <si>
    <t>EASY TOUCH URIC ACID</t>
  </si>
  <si>
    <t>ECO .AH.001</t>
  </si>
  <si>
    <t>ECO MASK II SIZE 6 XL ADULT ( RED)</t>
  </si>
  <si>
    <t>ELIC.AM.001</t>
  </si>
  <si>
    <t>ELICAL 2 ( BIOCAL )</t>
  </si>
  <si>
    <t>VIAL</t>
  </si>
  <si>
    <t>ELIT.AM.001</t>
  </si>
  <si>
    <t>ELITROL I ( CONTROLPATH)</t>
  </si>
  <si>
    <t>ELIT.AM.002</t>
  </si>
  <si>
    <t>ELITROL II ( CONTRONOUM )</t>
  </si>
  <si>
    <t>EQUI.AH.001</t>
  </si>
  <si>
    <t>EQUISPON 80X50X100MM</t>
  </si>
  <si>
    <t>ETER.AH.001</t>
  </si>
  <si>
    <t>ETER ALKOHOL 500 ML</t>
  </si>
  <si>
    <t>ETT .AH.001</t>
  </si>
  <si>
    <t>ETT NO.3.5  (ENDO TRAKEA)</t>
  </si>
  <si>
    <t>ETT .AH.002</t>
  </si>
  <si>
    <t>ETT NO 4.5 ( ENDO TRAKEA )</t>
  </si>
  <si>
    <t>ETT .AH.003</t>
  </si>
  <si>
    <t>ETT NO 4 ( ENDO TRAKEA )</t>
  </si>
  <si>
    <t>EYE .AH.001</t>
  </si>
  <si>
    <t>EYE PROTECTOR SILICON</t>
  </si>
  <si>
    <t>FACE.AH.001</t>
  </si>
  <si>
    <t>FACE MASK NO.5</t>
  </si>
  <si>
    <t>FACE.AH.002</t>
  </si>
  <si>
    <t>FACE MASK NO.4</t>
  </si>
  <si>
    <t>FEED.AH.001</t>
  </si>
  <si>
    <t>FEEDING CUP</t>
  </si>
  <si>
    <t>FHAR.AH.001</t>
  </si>
  <si>
    <t>PHARMAFIX  15 X 5 CM</t>
  </si>
  <si>
    <t>FHAR.AH.002</t>
  </si>
  <si>
    <t>PHARMAFIX  10 X 5 CM</t>
  </si>
  <si>
    <t>FHAR.AH.003</t>
  </si>
  <si>
    <t>PHARMAFIX  5 X 5 CM</t>
  </si>
  <si>
    <t>FILM.AH.001</t>
  </si>
  <si>
    <t>AIR PUMP SET NO.1 (PM)</t>
  </si>
  <si>
    <t>FILM.AH.002</t>
  </si>
  <si>
    <t>FILM FUJIRA  24X30 CM</t>
  </si>
  <si>
    <t>FILM.AH.003</t>
  </si>
  <si>
    <t>FILM FUJIRA  30X40 CM</t>
  </si>
  <si>
    <t>FILM.AH.004</t>
  </si>
  <si>
    <t>FILM FUJIRA  35X35 CM</t>
  </si>
  <si>
    <t>FOLL.AH.001</t>
  </si>
  <si>
    <t>FOLLEY SILICONE NO. 18</t>
  </si>
  <si>
    <t>GAC .AT.001</t>
  </si>
  <si>
    <t>GAC - GOLD DIAMOND</t>
  </si>
  <si>
    <t>GAC .AT.002</t>
  </si>
  <si>
    <t>GAC - WHITE DIAMOND</t>
  </si>
  <si>
    <t>GAMM.AM.001</t>
  </si>
  <si>
    <t>GAMMA GT 2 X 62,5 ML</t>
  </si>
  <si>
    <t>GEMS.AK.001</t>
  </si>
  <si>
    <t>GIEMSIA</t>
  </si>
  <si>
    <t>GLUC.AM.001</t>
  </si>
  <si>
    <t>GLUCOSE 2X100 ML</t>
  </si>
  <si>
    <t>GLUC.AM.002</t>
  </si>
  <si>
    <t>GLUCOSE PAP SL 5 X 100 ML</t>
  </si>
  <si>
    <t>GLUC.AM.003</t>
  </si>
  <si>
    <t>GLUCO DR (AG 2100) NO.8</t>
  </si>
  <si>
    <t>GLYD.AH.001</t>
  </si>
  <si>
    <t>GLYDERM STRETCH M</t>
  </si>
  <si>
    <t>GOLO.AM.001</t>
  </si>
  <si>
    <t>REAGEN GOLONGAN DARAH BAV</t>
  </si>
  <si>
    <t>GOT .AH.001</t>
  </si>
  <si>
    <t>SGPT 2 X 62,5 ML.</t>
  </si>
  <si>
    <t>GOT .AM.001</t>
  </si>
  <si>
    <t>GOT 2 X 62,5 ML</t>
  </si>
  <si>
    <t>GOT .AM.002</t>
  </si>
  <si>
    <t>SGOT 5 X 62,5 ML</t>
  </si>
  <si>
    <t>GOYS.AH.001</t>
  </si>
  <si>
    <t>GOYSEN ELASTIC 4 INCH</t>
  </si>
  <si>
    <t>GOYS.AH.002</t>
  </si>
  <si>
    <t>GOYSEN ELASTIC 3 INCH</t>
  </si>
  <si>
    <t>GOYS.AH.003</t>
  </si>
  <si>
    <t>GOYSEN ELASTIC 6 INCH</t>
  </si>
  <si>
    <t>GPT .AM.001</t>
  </si>
  <si>
    <t>SGPT 5 X 62,5 ML</t>
  </si>
  <si>
    <t>GUID.AH.001</t>
  </si>
  <si>
    <t>GUIDAL RUSH 2 ISO.6</t>
  </si>
  <si>
    <t>GUID.AH.002</t>
  </si>
  <si>
    <t>GUIDAL AIRWAY SIZE 4</t>
  </si>
  <si>
    <t>GUID.AH.003</t>
  </si>
  <si>
    <t>GUIDAL AIRWAY SIZE 5</t>
  </si>
  <si>
    <t>GYPS.AH.001</t>
  </si>
  <si>
    <t>GYPSONA SPLINT SYSTEM 4"</t>
  </si>
  <si>
    <t>HA01M3344</t>
  </si>
  <si>
    <t>T SKIN MARKER (SM2)</t>
  </si>
  <si>
    <t>HANS.AH.001</t>
  </si>
  <si>
    <t>HANSAPLAST TRANSPARAN</t>
  </si>
  <si>
    <t>HANS.AH.002</t>
  </si>
  <si>
    <t>HANSAPLAST SC KAI</t>
  </si>
  <si>
    <t>HBS .AH.001</t>
  </si>
  <si>
    <t>HBS AG</t>
  </si>
  <si>
    <t>HBS .AH.002</t>
  </si>
  <si>
    <t>HBS AB</t>
  </si>
  <si>
    <t>HD P.AH.001</t>
  </si>
  <si>
    <t>HD PACK ( STERIL GENERAL HD SET )</t>
  </si>
  <si>
    <t>HDL .AH.001</t>
  </si>
  <si>
    <t>HDL CHOLESTROL+ CALIBRATOR</t>
  </si>
  <si>
    <t>HDL .AM.001</t>
  </si>
  <si>
    <t>CHOLESTEROL  2X 100 ML</t>
  </si>
  <si>
    <t>HDL .AM.002</t>
  </si>
  <si>
    <t>HDL - CHOLESTEROL</t>
  </si>
  <si>
    <t>HELY.AH.001</t>
  </si>
  <si>
    <t>HELYZYME 1 LITER</t>
  </si>
  <si>
    <t>HEMO.AH.001</t>
  </si>
  <si>
    <t>HEMOCLEAN</t>
  </si>
  <si>
    <t>HIBI.AH.001</t>
  </si>
  <si>
    <t>HIBISET 5 LITER</t>
  </si>
  <si>
    <t>HMEF.AH.001</t>
  </si>
  <si>
    <t>HMEF FILTER</t>
  </si>
  <si>
    <t>HNL .AH.001</t>
  </si>
  <si>
    <t>HCL 0.1 N</t>
  </si>
  <si>
    <t>HOLD.AM.001</t>
  </si>
  <si>
    <t>HOLDER</t>
  </si>
  <si>
    <t>HWN-.AH.001</t>
  </si>
  <si>
    <t>HWN-1 NEONATE SINGL HEATEDWIRECIRCUIT W/WATERTRAP</t>
  </si>
  <si>
    <t>I.V .AH.001</t>
  </si>
  <si>
    <t>I.V THERAPY NO.18</t>
  </si>
  <si>
    <t>I.V .AH.002</t>
  </si>
  <si>
    <t>I.V THERAPY NO.20</t>
  </si>
  <si>
    <t>I.V .AH.003</t>
  </si>
  <si>
    <t>I.V THERAPY NO.22</t>
  </si>
  <si>
    <t>I.V .AH.004</t>
  </si>
  <si>
    <t>I.V THERAPY NO.24</t>
  </si>
  <si>
    <t>IDEN.AH.001</t>
  </si>
  <si>
    <t>IDENT ALERT ALLERGY (RED)</t>
  </si>
  <si>
    <t>IDEN.AH.002</t>
  </si>
  <si>
    <t>IDENT ALERT FALL RISK (YELLOW)</t>
  </si>
  <si>
    <t>IDEN.AH.003</t>
  </si>
  <si>
    <t>IDENT ALERT DO NOT RESUCITATE (UNGGU)</t>
  </si>
  <si>
    <t>IMPL.AH.001</t>
  </si>
  <si>
    <t>IMPLANT K.WIRE SIZE 1,5</t>
  </si>
  <si>
    <t>IMPL.AH.002</t>
  </si>
  <si>
    <t>IMPLANT K.WIRE SIZE 1,0</t>
  </si>
  <si>
    <t>IMPL.AH.003</t>
  </si>
  <si>
    <t>IMPLANT K.WIRE SIZE 2,0</t>
  </si>
  <si>
    <t>IMPL.AH.004</t>
  </si>
  <si>
    <t>IMPLANT K.WIRE SIZE 1,6</t>
  </si>
  <si>
    <t>IMPL.AH.005</t>
  </si>
  <si>
    <t>IMPLANT K.WIRE SIZE 0.6</t>
  </si>
  <si>
    <t>IMPL.AH.006</t>
  </si>
  <si>
    <t>IMPLANT (S) CLAVICLE PLATE 7 H</t>
  </si>
  <si>
    <t>IMPL.AM.001</t>
  </si>
  <si>
    <t>IMPLANT MINI PLATE 6HOLES RISTEM&amp;6CORTICAL SCRW</t>
  </si>
  <si>
    <t>IMPL.AM.002</t>
  </si>
  <si>
    <t>IMPLANT MINIPLATE 6 HOLE 2.0 &amp; 6 CORTICAL SCRW</t>
  </si>
  <si>
    <t>IMPL.AM.003</t>
  </si>
  <si>
    <t>IMPLANT S CLAVICULA PLATE &amp; CORTICAL S CREW 3,5</t>
  </si>
  <si>
    <t>IMPL.AM.004</t>
  </si>
  <si>
    <t>IMPLANT SS WIRE SIZE.1,5</t>
  </si>
  <si>
    <t>IMPL.AM.005</t>
  </si>
  <si>
    <t>IMPLANT SS WIRE SIZE 1.0</t>
  </si>
  <si>
    <t>IMPL.AM.006</t>
  </si>
  <si>
    <t>IMPLANT DISTAL RADIUS PLATE DAN SCREW 4 HOLES</t>
  </si>
  <si>
    <t>IMPL.AM.007</t>
  </si>
  <si>
    <t>IMPLANT K.WIRE SIZE 1.2</t>
  </si>
  <si>
    <t>IMPL.AM.008</t>
  </si>
  <si>
    <t>IMPLANT KUNTCHER WIRE 1.8</t>
  </si>
  <si>
    <t>IMPL.AM.009</t>
  </si>
  <si>
    <t>IMPLANT OBLIGUE T RADIUS PLTAE 3(CORTEX/F.C SCREW)</t>
  </si>
  <si>
    <t>IMPL.AM.010</t>
  </si>
  <si>
    <t>IMPLANT PLATE ANATAMICAL CLAVICLE</t>
  </si>
  <si>
    <t>IMPL.AM.011</t>
  </si>
  <si>
    <t>IMPLANT MINIPLATE 4 HOLE &amp; CARTICAL SCREW</t>
  </si>
  <si>
    <t>INDI.AH.001</t>
  </si>
  <si>
    <t>INDICATOR TIPE ( INDICATOR INTERNAL )</t>
  </si>
  <si>
    <t>INFU.AH.001</t>
  </si>
  <si>
    <t>INFUS SET MAKRO ( POLYMED )</t>
  </si>
  <si>
    <t>INFU.AH.002</t>
  </si>
  <si>
    <t>INFUS SET TROGEE</t>
  </si>
  <si>
    <t>INFU.AH.003</t>
  </si>
  <si>
    <t>INFUS SET MAKRO ( THERUMO )</t>
  </si>
  <si>
    <t>INFU.AH.004</t>
  </si>
  <si>
    <t>INFUS SET MAKRO ( FRESCO )</t>
  </si>
  <si>
    <t>INTE.AH.001</t>
  </si>
  <si>
    <t>INTERFORM STYLE SIZE 10 FR</t>
  </si>
  <si>
    <t>INTE.AH.002</t>
  </si>
  <si>
    <t>INTERFORM STYLE SIZE 6 FR</t>
  </si>
  <si>
    <t>INTE.AH.003</t>
  </si>
  <si>
    <t>INTERFORM STYLE SIZE 14 FR</t>
  </si>
  <si>
    <t>IV C.AH.001</t>
  </si>
  <si>
    <t>IV CATH SURFLO FLASH IV CAT. 18G X 2"</t>
  </si>
  <si>
    <t>IV T.AH.001</t>
  </si>
  <si>
    <t>IV TRIO- VENSITE PLUS18G-2TRGISP18</t>
  </si>
  <si>
    <t>IV T.AH.002</t>
  </si>
  <si>
    <t>IV TRIO- VENSITE PLUS24G-2TRGISP24</t>
  </si>
  <si>
    <t>IV T.AH.003</t>
  </si>
  <si>
    <t>IV TRIO- VENSITE PLUS20G-2TRGISP20</t>
  </si>
  <si>
    <t>IV T.AH.004</t>
  </si>
  <si>
    <t>IV TRIO- VENSITE PLUS22G-2TRGISP22</t>
  </si>
  <si>
    <t>JACK.AH.001</t>
  </si>
  <si>
    <t>JACKSON REVES PAED</t>
  </si>
  <si>
    <t>JOHN.AH.001</t>
  </si>
  <si>
    <t>JOHNSON BABY OIL</t>
  </si>
  <si>
    <t>JOIN.AH.001</t>
  </si>
  <si>
    <t>JOINFIT ROLLER G</t>
  </si>
  <si>
    <t>JORD.AH.001</t>
  </si>
  <si>
    <t>JORDAN DENTAL/FLOSS 21</t>
  </si>
  <si>
    <t>K - .AM.001</t>
  </si>
  <si>
    <t>K - WIRE</t>
  </si>
  <si>
    <t>KAEN.AH.001</t>
  </si>
  <si>
    <t>KAEN 4B 500ML INFUS</t>
  </si>
  <si>
    <t>PLABOT</t>
  </si>
  <si>
    <t>KALI.AH.001</t>
  </si>
  <si>
    <t>KALIBRASI SCF-1000</t>
  </si>
  <si>
    <t>KAMB.AH.001</t>
  </si>
  <si>
    <t>KAMBIUM KAPAS BOLA</t>
  </si>
  <si>
    <t>KART.AM.001</t>
  </si>
  <si>
    <t>KARTU GOL. DARAH</t>
  </si>
  <si>
    <t>KASA.AH.001</t>
  </si>
  <si>
    <t>KASA STERIL GOUZESWAB 10X10 @10'S</t>
  </si>
  <si>
    <t>KASA.AH.002</t>
  </si>
  <si>
    <t>KASA STERIL GOUZESWAB 5X5 @10'S</t>
  </si>
  <si>
    <t>KASA.AH.003</t>
  </si>
  <si>
    <t>KASA STERIL GOUZESWAB 7,5 X 7,5 @10'S</t>
  </si>
  <si>
    <t>KASS.AH.001</t>
  </si>
  <si>
    <t>KASSA MEDISTRA</t>
  </si>
  <si>
    <t>KERT.AH.001</t>
  </si>
  <si>
    <t>KERTAS EKG BESAR</t>
  </si>
  <si>
    <t>KERT.AH.002</t>
  </si>
  <si>
    <t>KERTAS CTG</t>
  </si>
  <si>
    <t>KERT.AH.003</t>
  </si>
  <si>
    <t>KERTAS EKG KECIL ( 63X30)</t>
  </si>
  <si>
    <t>KERT.AH.004</t>
  </si>
  <si>
    <t>KERTAS ECG PEPER Z FOLD ECG 12 CHANNEL UK  215X280</t>
  </si>
  <si>
    <t>KIT .AH.001</t>
  </si>
  <si>
    <t>KIT GRAM STAIN STABILIZED ( PEWARNA GRAM) 212539</t>
  </si>
  <si>
    <t>KNEE.AH.001</t>
  </si>
  <si>
    <t>KNEE SUPPORT-L AS701DR ORTHO</t>
  </si>
  <si>
    <t>KNEE.AM.001</t>
  </si>
  <si>
    <t>KNEE SUPPORT DR.ORTHO XL</t>
  </si>
  <si>
    <t>KOH .AH.001</t>
  </si>
  <si>
    <t>KOH 10 %</t>
  </si>
  <si>
    <t>KOND.AM.001</t>
  </si>
  <si>
    <t>KONDOM SUTRA '12'</t>
  </si>
  <si>
    <t>KOND.AT.001</t>
  </si>
  <si>
    <t>KONDOM CATHETER " S "</t>
  </si>
  <si>
    <t>KOND.AT.002</t>
  </si>
  <si>
    <t>KONDOM CATHETER " M "</t>
  </si>
  <si>
    <t>KORS.AM.001</t>
  </si>
  <si>
    <t>KORSET LUMBO (  SACROL DX  ) - L</t>
  </si>
  <si>
    <t>LACT.AK.001</t>
  </si>
  <si>
    <t>LACTACYD FH WIPE (TISSUE BASAH)</t>
  </si>
  <si>
    <t>LANC.AH.001</t>
  </si>
  <si>
    <t>LANCET (AG 2100)</t>
  </si>
  <si>
    <t>LANC.AH.002</t>
  </si>
  <si>
    <t>LANCETS (G.E)</t>
  </si>
  <si>
    <t>LANS.AH.001</t>
  </si>
  <si>
    <t>LANSET MISAWA</t>
  </si>
  <si>
    <t>LAPO.AM.001</t>
  </si>
  <si>
    <t>LAPORAN AGD + ELECTOLYTE</t>
  </si>
  <si>
    <t>LARU.AH.001</t>
  </si>
  <si>
    <t>LARUTAN DIALISA HDM 303 10 L</t>
  </si>
  <si>
    <t>LARY.AH.001</t>
  </si>
  <si>
    <t>LARYNGEAL MASK NO. 5</t>
  </si>
  <si>
    <t>LATE.AH.001</t>
  </si>
  <si>
    <t>LATERAL CLAVICLE PLATE  4 HOLE (LOCKINGTITANIUM)</t>
  </si>
  <si>
    <t>LEUK.AH.001</t>
  </si>
  <si>
    <t>LEUKOMED T PLUS 8X10</t>
  </si>
  <si>
    <t>LEUK.AH.002</t>
  </si>
  <si>
    <t>LEUKOMED 8X10</t>
  </si>
  <si>
    <t>LIPS.AH.001</t>
  </si>
  <si>
    <t>LIPSTICK BODY SHOP (LIPS/CEK NO.40)</t>
  </si>
  <si>
    <t>LITI.AH.001</t>
  </si>
  <si>
    <t>TABUNG LITIUM HEPARIN</t>
  </si>
  <si>
    <t>LMA .AH.001</t>
  </si>
  <si>
    <t>LMA NO.3.5</t>
  </si>
  <si>
    <t>LMA .AH.002</t>
  </si>
  <si>
    <t>LMA NO.2</t>
  </si>
  <si>
    <t>LMA .AH.003</t>
  </si>
  <si>
    <t>LMA NO.2.5</t>
  </si>
  <si>
    <t>LMA .AH.004</t>
  </si>
  <si>
    <t>LMA NO 1</t>
  </si>
  <si>
    <t>LOCK.AH.001</t>
  </si>
  <si>
    <t>LOCKING SCREW</t>
  </si>
  <si>
    <t>LOCK.AM.001</t>
  </si>
  <si>
    <t>LOCKING SCREW 5.0 40MM TITANIUM</t>
  </si>
  <si>
    <t>LOCK.AM.002</t>
  </si>
  <si>
    <t>LOCKING SCREW 5.0 55MM TITANIUM</t>
  </si>
  <si>
    <t>LOCK.AM.003</t>
  </si>
  <si>
    <t>LOCKING SCREW 5.0 60MM TITANIUM</t>
  </si>
  <si>
    <t>LOCK.AM.004</t>
  </si>
  <si>
    <t>LOCKING SCREW 5.0 65MM TITANIUM</t>
  </si>
  <si>
    <t>LOCO.AH.001</t>
  </si>
  <si>
    <t>LOCOPLEX 300, 21G , 50 MM</t>
  </si>
  <si>
    <t>LOCO.AH.002</t>
  </si>
  <si>
    <t>LOCOPLEX 300, 21G , 100 MM</t>
  </si>
  <si>
    <t>LONG.AH.001</t>
  </si>
  <si>
    <t>LONG HASH 2MX5CM</t>
  </si>
  <si>
    <t>LSO .AH.001</t>
  </si>
  <si>
    <t>LSO RIGID BACK SUPPORT UK. S</t>
  </si>
  <si>
    <t>MAS .AH.001</t>
  </si>
  <si>
    <t>THREE WAY STOPCOCK</t>
  </si>
  <si>
    <t>MAS_.AH.002</t>
  </si>
  <si>
    <t>MAS_EXAMINATION GLOVE -M</t>
  </si>
  <si>
    <t>MASK.AH.001</t>
  </si>
  <si>
    <t>MASKER O2 DEWASA ( SUNGKUP )</t>
  </si>
  <si>
    <t>MASK.AH.002</t>
  </si>
  <si>
    <t>MASKER O2 ANAK ( SUNGKUP )</t>
  </si>
  <si>
    <t>MASK.AH.003</t>
  </si>
  <si>
    <t>MASKER KARET 3M</t>
  </si>
  <si>
    <t>MASK.AH.004</t>
  </si>
  <si>
    <t>MASKER N95</t>
  </si>
  <si>
    <t>MEDI.AH.001</t>
  </si>
  <si>
    <t>MEDIJET ACTIVE CPAP GENERATOR (DISPOSABLE)</t>
  </si>
  <si>
    <t>MEDI.AH.002</t>
  </si>
  <si>
    <t>MEDIJET ACTIVE CPAP GENERATOR</t>
  </si>
  <si>
    <t>MEDI.AT.001</t>
  </si>
  <si>
    <t>MEDIFIX SCALA</t>
  </si>
  <si>
    <t>MESS.AH.001</t>
  </si>
  <si>
    <t>MES ABDOMAN 30X30</t>
  </si>
  <si>
    <t>MICR.AH.001</t>
  </si>
  <si>
    <t>MICROPORE 0.5 ( NEW )</t>
  </si>
  <si>
    <t>MICR.AM.001</t>
  </si>
  <si>
    <t>MICROPAGE</t>
  </si>
  <si>
    <t>MJTJ.AT.001</t>
  </si>
  <si>
    <t>MJTJ 002 ( BANDANA )</t>
  </si>
  <si>
    <t>MMS .AM.001</t>
  </si>
  <si>
    <t>MMS 0014 ( FACIAL MASK BRUSH )</t>
  </si>
  <si>
    <t>MMS .AT.001</t>
  </si>
  <si>
    <t>MMS 0011 ( FACIAL MASK BRUSH )</t>
  </si>
  <si>
    <t>MMS .AT.002</t>
  </si>
  <si>
    <t>MMS 0012 ( FACIAL MASK BRUSH )</t>
  </si>
  <si>
    <t>MMS .AT.003</t>
  </si>
  <si>
    <t>MMS 0013 ( FACIAL MASK BRUSH )</t>
  </si>
  <si>
    <t>MMS .AT.004</t>
  </si>
  <si>
    <t>MMS 0015 ( FACIAL MASK BRUSH )</t>
  </si>
  <si>
    <t>MMS .AT.005</t>
  </si>
  <si>
    <t>MMS 0016 ( FACIAL MASK BRUSH )</t>
  </si>
  <si>
    <t>MMS .AT.006</t>
  </si>
  <si>
    <t>MMS 0017 ( FACIAL MASK BRUSH )</t>
  </si>
  <si>
    <t>MOLI.AH.001</t>
  </si>
  <si>
    <t>MOLICARE COMFORT EXTRA</t>
  </si>
  <si>
    <t>MOLI.AH.002</t>
  </si>
  <si>
    <t>MOLINEA PLUS 60 X60 CM</t>
  </si>
  <si>
    <t>MOLI.AH.003</t>
  </si>
  <si>
    <t>MOLINEA PLUS KU ZEL 60 X 90 CM</t>
  </si>
  <si>
    <t>MOLI.AH.004</t>
  </si>
  <si>
    <t>MOLINEA PLUS -L  60 X 90 CM</t>
  </si>
  <si>
    <t>MOUT.AH.001</t>
  </si>
  <si>
    <t>MOUTH PIECE PAPER</t>
  </si>
  <si>
    <t>MR 0.AT.001</t>
  </si>
  <si>
    <t>MR 002 ( SPONGE WASHING PUFF 7 CM )</t>
  </si>
  <si>
    <t>MR-0.AT.001</t>
  </si>
  <si>
    <t>MR-0001-5 ( PVA STOMA WASHING PUFF)</t>
  </si>
  <si>
    <t>MULT.AM.001</t>
  </si>
  <si>
    <t>MULTI DRUG 6 PARAMETER</t>
  </si>
  <si>
    <t>MULT.AM.002</t>
  </si>
  <si>
    <t>MULTI DRUG 7 PARAMETER</t>
  </si>
  <si>
    <t>MY B.AH.001</t>
  </si>
  <si>
    <t>MY BABY PLUS MINYAK TELON 90 ML</t>
  </si>
  <si>
    <t>MY B.AH.002</t>
  </si>
  <si>
    <t>MY BABY PLUS MINYAK TELON 60 ML</t>
  </si>
  <si>
    <t>NA C.AK.001</t>
  </si>
  <si>
    <t>NA CITRAT 3,13% 100ML</t>
  </si>
  <si>
    <t>NACL.AH.001</t>
  </si>
  <si>
    <t>NACL 1000ML 0,9%</t>
  </si>
  <si>
    <t>NARR.AM.001</t>
  </si>
  <si>
    <t>NARROW PLATE SMALL TITANIUM SIZE 4,5 (5 HOLE)</t>
  </si>
  <si>
    <t>NARR.AM.002</t>
  </si>
  <si>
    <t>NARROW PLATE 8 HOLE + CERTICAL SCREW</t>
  </si>
  <si>
    <t>NASA.AH.001</t>
  </si>
  <si>
    <t>NASAL PRONG (MICRO)</t>
  </si>
  <si>
    <t>NASA.AH.002</t>
  </si>
  <si>
    <t>NASAL MASKS</t>
  </si>
  <si>
    <t>NASA.AH.003</t>
  </si>
  <si>
    <t>NASAL PRONG (SMALL)</t>
  </si>
  <si>
    <t>NASA.AH.004</t>
  </si>
  <si>
    <t>NASAL PRONG (MEDIUM)</t>
  </si>
  <si>
    <t>NASA.AH.005</t>
  </si>
  <si>
    <t>NASAL PRONG (LARGE)</t>
  </si>
  <si>
    <t>NEC .AH.001</t>
  </si>
  <si>
    <t>NECK COLLAR - L</t>
  </si>
  <si>
    <t>NECK.AH.001</t>
  </si>
  <si>
    <t>NECK COLLAR - M</t>
  </si>
  <si>
    <t>NEED.AH.002</t>
  </si>
  <si>
    <t>NEEDLE  NOVOTWIST</t>
  </si>
  <si>
    <t>NEED.AH.003</t>
  </si>
  <si>
    <t>NEEDLE THERUMO 24</t>
  </si>
  <si>
    <t>NEED.AH.004</t>
  </si>
  <si>
    <t>NEEDLE VAKUET 22G X 1 1/2"</t>
  </si>
  <si>
    <t>NEED.AH.005</t>
  </si>
  <si>
    <t>NEEDLE STIMUPLEX ULTRA 0.7X50MM 22GX2"</t>
  </si>
  <si>
    <t>NEED.AM.001</t>
  </si>
  <si>
    <t>NEEDLE THERUMO 27GX1/2''</t>
  </si>
  <si>
    <t>NEED.AM.002</t>
  </si>
  <si>
    <t>NEEDLE 22 G</t>
  </si>
  <si>
    <t>NELA.AH.001</t>
  </si>
  <si>
    <t>NELATON CATHETER NO.7</t>
  </si>
  <si>
    <t>NELA.AH.002</t>
  </si>
  <si>
    <t>NELATON CATHETER NO,6</t>
  </si>
  <si>
    <t>NGT .AH.001</t>
  </si>
  <si>
    <t>NGT SILICONE NO.16</t>
  </si>
  <si>
    <t>NGT .AH.002</t>
  </si>
  <si>
    <t>NGT (STOMACH TUBE ) NO.18</t>
  </si>
  <si>
    <t>NGT .AH.003</t>
  </si>
  <si>
    <t>NGT / EXTENSION TUBE NO. 2,5</t>
  </si>
  <si>
    <t>NS O.AM.001</t>
  </si>
  <si>
    <t>NS ONE</t>
  </si>
  <si>
    <t>OCTE.AH.001</t>
  </si>
  <si>
    <t>OCTENIC BODY WASH</t>
  </si>
  <si>
    <t>OIL .AM.001</t>
  </si>
  <si>
    <t>OIL EMERSI</t>
  </si>
  <si>
    <t>OKSI.OG.001</t>
  </si>
  <si>
    <t>SABUN ANTI BAKTERI 500 ML</t>
  </si>
  <si>
    <t>OLYM.AH.001</t>
  </si>
  <si>
    <t>OLYMPUS CX 21</t>
  </si>
  <si>
    <t>ONE .AH.001</t>
  </si>
  <si>
    <t>ONE SCRUB 500 ML</t>
  </si>
  <si>
    <t>OPSI.AH.001</t>
  </si>
  <si>
    <t>OPSITE POST-OP</t>
  </si>
  <si>
    <t>OPTI.AH.002</t>
  </si>
  <si>
    <t>OPTIME 2/0 TP</t>
  </si>
  <si>
    <t>OPTI.AH.003</t>
  </si>
  <si>
    <t>OPTIME 3/0 RC</t>
  </si>
  <si>
    <t>OPTI.AH.004</t>
  </si>
  <si>
    <t>OPTIME 5/0</t>
  </si>
  <si>
    <t>OPTI.AH.005</t>
  </si>
  <si>
    <t>OPTIME 4/0 TP</t>
  </si>
  <si>
    <t>OPTI.AH.006</t>
  </si>
  <si>
    <t>OPTIME 2/0 RC</t>
  </si>
  <si>
    <t>OPTI.AH.007</t>
  </si>
  <si>
    <t>OPTIME 3/0 TP</t>
  </si>
  <si>
    <t>OPTI.AH.008</t>
  </si>
  <si>
    <t>OPTIME 4/0 RC</t>
  </si>
  <si>
    <t>OXYG.AH.001</t>
  </si>
  <si>
    <t>OXYGEN TUBING REF 2002 (2.1 M)</t>
  </si>
  <si>
    <t>OXYG.AH.002</t>
  </si>
  <si>
    <t>OXYGEN MASK ADULT (SIMPLE MASK) 8110</t>
  </si>
  <si>
    <t>PAKE.AH.001</t>
  </si>
  <si>
    <t>PAKET MES + BENANG</t>
  </si>
  <si>
    <t>PAKE.AH.002</t>
  </si>
  <si>
    <t>PAKET HERNIA TRITON</t>
  </si>
  <si>
    <t>PAKE.AH.003</t>
  </si>
  <si>
    <t>PAKET APP TRITON</t>
  </si>
  <si>
    <t>PAKE.AH.004</t>
  </si>
  <si>
    <t>PAKET APP</t>
  </si>
  <si>
    <t>PAKE.AH.005</t>
  </si>
  <si>
    <t>PAKET HERNIA</t>
  </si>
  <si>
    <t>PAKU.AM.001</t>
  </si>
  <si>
    <t>TABUNG BIRU CITRAT 3 ML</t>
  </si>
  <si>
    <t>PARA.AH.001</t>
  </si>
  <si>
    <t>PARA FILM</t>
  </si>
  <si>
    <t>PEMP.AH.001</t>
  </si>
  <si>
    <t>PEMPERS LIFREE SIZE-M</t>
  </si>
  <si>
    <t>PEMP.AH.002</t>
  </si>
  <si>
    <t>PEMPERS LIFREE SIZE-L</t>
  </si>
  <si>
    <t>PEMP.AH.003</t>
  </si>
  <si>
    <t>PEMPERS LIFREE SIZE-XL</t>
  </si>
  <si>
    <t>PEMP.AH.004</t>
  </si>
  <si>
    <t>PEMPERS DEWASA XL CONFIDENCE</t>
  </si>
  <si>
    <t>PESA.AH.001</t>
  </si>
  <si>
    <t>PESARIUM RING SIZE 7</t>
  </si>
  <si>
    <t>PESA.AH.002</t>
  </si>
  <si>
    <t>PESARIUM RING SIZE 6,5</t>
  </si>
  <si>
    <t>PESA.AH.003</t>
  </si>
  <si>
    <t>PESARIUM RING SIZE 7,5</t>
  </si>
  <si>
    <t>PESS.AH.001</t>
  </si>
  <si>
    <t>PESSARIUM (SIZE: 6 )</t>
  </si>
  <si>
    <t>PESS.AH.002</t>
  </si>
  <si>
    <t>PESSARIUM RING SIZE 7 (FOLDING PESSARY)</t>
  </si>
  <si>
    <t>PEWA.AH.001</t>
  </si>
  <si>
    <t>PEWARNA GRAM</t>
  </si>
  <si>
    <t>PEWA.AM.001</t>
  </si>
  <si>
    <t>PEWARNA ZIEHL NEELSEN (BTA)</t>
  </si>
  <si>
    <t>PIPE.AH.001</t>
  </si>
  <si>
    <t>PIPET VOLUME 10 ML</t>
  </si>
  <si>
    <t>PJ 0.AT.001</t>
  </si>
  <si>
    <t>PJ 002 ( SCARF )</t>
  </si>
  <si>
    <t>PLES.OB.001</t>
  </si>
  <si>
    <t>PLESTER OPSITE POST 15.5 X 8.5</t>
  </si>
  <si>
    <t>PLES.OB.002</t>
  </si>
  <si>
    <t>PLESTER OPSITE POST 9.5 X 8.5</t>
  </si>
  <si>
    <t>PM N.AH.001</t>
  </si>
  <si>
    <t>PM NIGHT</t>
  </si>
  <si>
    <t>POLI.AH.001</t>
  </si>
  <si>
    <t>INFUS SET MAKRO ( NIPRO)</t>
  </si>
  <si>
    <t>POT .AM.001</t>
  </si>
  <si>
    <t>POT SPUTUM</t>
  </si>
  <si>
    <t>POT .AM.002</t>
  </si>
  <si>
    <t>POT URINE STERIL</t>
  </si>
  <si>
    <t>POT .AM.003</t>
  </si>
  <si>
    <t>POT URINE  5 ML</t>
  </si>
  <si>
    <t>POT .BB.001</t>
  </si>
  <si>
    <t>POT URINE</t>
  </si>
  <si>
    <t>POUC.AH.001</t>
  </si>
  <si>
    <t>POUCHES STERILICLIN FLAT, 10CM/200M</t>
  </si>
  <si>
    <t>POUC.AH.002</t>
  </si>
  <si>
    <t>POUCHES STERILICLIN FLAT, 15CM/200M</t>
  </si>
  <si>
    <t>PREM.AH.001</t>
  </si>
  <si>
    <t>PREMIER S</t>
  </si>
  <si>
    <t>PRO .AH.001</t>
  </si>
  <si>
    <t>PRO IV TRANSPARENT</t>
  </si>
  <si>
    <t>PROL.AH.001</t>
  </si>
  <si>
    <t>PROLENE 6-0 W8706</t>
  </si>
  <si>
    <t>PUNC.AH.001</t>
  </si>
  <si>
    <t>PUNCH BIOPSI 0.5 CM</t>
  </si>
  <si>
    <t>PZ 0.AT.001</t>
  </si>
  <si>
    <t>PZ 002 ( POTS 21.5 CM )</t>
  </si>
  <si>
    <t>RAK .AT.001</t>
  </si>
  <si>
    <t>RAK PEWARNAAN</t>
  </si>
  <si>
    <t>REAG.AM.001</t>
  </si>
  <si>
    <t>REAGEN TURK</t>
  </si>
  <si>
    <t>REAG.AM.002</t>
  </si>
  <si>
    <t>WIDAL ( BAV )</t>
  </si>
  <si>
    <t>REAG.AM.003</t>
  </si>
  <si>
    <t>RENALIN</t>
  </si>
  <si>
    <t>RECT.AH.001</t>
  </si>
  <si>
    <t>RECTAL TUBE NO 20 (AXIMED)</t>
  </si>
  <si>
    <t>RECT.AH.002</t>
  </si>
  <si>
    <t>RECTAL TUBE NO 22 (AXIMED)</t>
  </si>
  <si>
    <t>RECT.AH.003</t>
  </si>
  <si>
    <t>RECTAL TUBE NO. 22 (AXIMED)</t>
  </si>
  <si>
    <t>REFI.AH.001</t>
  </si>
  <si>
    <t>REFILLSOLUTION FOR ISE ELECTRODES</t>
  </si>
  <si>
    <t>REIN.AH.001</t>
  </si>
  <si>
    <t>REINFORCED ENDOTRACHEALTUBE W/ I.S NO 6,5</t>
  </si>
  <si>
    <t>REIN.AH.002</t>
  </si>
  <si>
    <t>REINFORCED ENDOTRACHEAL TUBE W/ I.S NO 7,0</t>
  </si>
  <si>
    <t>REIN.AH.003</t>
  </si>
  <si>
    <t>REINFORCED ENDOTRACHEAL TUBE 5.0</t>
  </si>
  <si>
    <t>REIN.AH.004</t>
  </si>
  <si>
    <t>REINFORCED ENDOTRACHEAL TUBE 5.5</t>
  </si>
  <si>
    <t>REIN.AH.005</t>
  </si>
  <si>
    <t>REINFORCED ENDOTRACHEAL TUBE 6.0</t>
  </si>
  <si>
    <t>REIN.AH.006</t>
  </si>
  <si>
    <t>REINFORCED ENDOTRACHEAL TUBE 7.0</t>
  </si>
  <si>
    <t>REIN.AH.007</t>
  </si>
  <si>
    <t>REINFORCED ENDOTRACHEAL TUBE 7.5</t>
  </si>
  <si>
    <t>REIN.AH.008</t>
  </si>
  <si>
    <t>REINFORCED ENDOTRACHEAL TUBE 6.5</t>
  </si>
  <si>
    <t>REMA.AH.001</t>
  </si>
  <si>
    <t>RF LATEX TEST 50T ( REMATOID VACTOR )</t>
  </si>
  <si>
    <t>RES .AH.001</t>
  </si>
  <si>
    <t>REES ECKER</t>
  </si>
  <si>
    <t>RETS.AM.001</t>
  </si>
  <si>
    <t>ASAM ASORBIC 1000 MG INJ</t>
  </si>
  <si>
    <t>RHEU.AH.001</t>
  </si>
  <si>
    <t>ZYFORT INJ</t>
  </si>
  <si>
    <t>RIFA.OK.001</t>
  </si>
  <si>
    <t>SALONPAS HOT</t>
  </si>
  <si>
    <t>RING.AH.001</t>
  </si>
  <si>
    <t>RING PESARIUM NO 6,5</t>
  </si>
  <si>
    <t>SALO.AH.001</t>
  </si>
  <si>
    <t>SALONPAS KOYO MERAH</t>
  </si>
  <si>
    <t>SAMP.AH.001</t>
  </si>
  <si>
    <t>SAMPLE CUP RUJUKAN ( TUTUP )</t>
  </si>
  <si>
    <t>SAMP.AH.002</t>
  </si>
  <si>
    <t>SAMPLE CUP</t>
  </si>
  <si>
    <t>SAMP.AM.001</t>
  </si>
  <si>
    <t>SAMPLE CUP SELECTRA.</t>
  </si>
  <si>
    <t>SARU.AH.001</t>
  </si>
  <si>
    <t>SARUNG TANGAN GINEKOLOGI STERIL NO. 6,5</t>
  </si>
  <si>
    <t>SARU.AH.002</t>
  </si>
  <si>
    <t>SARUNG TANGAN GINEKOLOGI STERIL NO. 7</t>
  </si>
  <si>
    <t>SARU.AH.003</t>
  </si>
  <si>
    <t>SARUNG TANGAN GINEKOLOGI STERIL NO. 7,5</t>
  </si>
  <si>
    <t>SCRE.AM.001</t>
  </si>
  <si>
    <t>SCREW TITANIUM SELF TAPPERED SIZE 3,5</t>
  </si>
  <si>
    <t>SCRE.AM.002</t>
  </si>
  <si>
    <t>SCREW CARTICAL</t>
  </si>
  <si>
    <t>SELA.AM.001</t>
  </si>
  <si>
    <t>SELANG CURETAGE NO.7</t>
  </si>
  <si>
    <t>SELA.AM.002</t>
  </si>
  <si>
    <t>SELANG CURETAGE NO. 8</t>
  </si>
  <si>
    <t>SELA.AM.003</t>
  </si>
  <si>
    <t>SELANG CURETAGE NO. 6</t>
  </si>
  <si>
    <t>SENO.AH.001</t>
  </si>
  <si>
    <t>SENOS</t>
  </si>
  <si>
    <t>SENS.AH.001</t>
  </si>
  <si>
    <t>SENSI GLOVES - M</t>
  </si>
  <si>
    <t>SENS.AH.002</t>
  </si>
  <si>
    <t>SENSI GLOVES - L</t>
  </si>
  <si>
    <t>SENS.AH.003</t>
  </si>
  <si>
    <t>SENSODYNE PG GENTLE WHITE 160 GRM</t>
  </si>
  <si>
    <t>SERE.AM.001</t>
  </si>
  <si>
    <t>SERENITY DRUG 6 PARAMETER</t>
  </si>
  <si>
    <t>SET .AM.001</t>
  </si>
  <si>
    <t>SET MINI PLATE</t>
  </si>
  <si>
    <t>SIDE.AH.001</t>
  </si>
  <si>
    <t>SIDEK</t>
  </si>
  <si>
    <t>SILI.AH.001</t>
  </si>
  <si>
    <t>SILICONE NASAL MASK (SMALL)</t>
  </si>
  <si>
    <t>SILI.AH.002</t>
  </si>
  <si>
    <t>SILICONE NASAL MASK (LARGE)</t>
  </si>
  <si>
    <t>SILI.AH.003</t>
  </si>
  <si>
    <t>SILICONE NASAL MASK (MEDIUM)</t>
  </si>
  <si>
    <t>SILK.AH.001</t>
  </si>
  <si>
    <t>SILK 3/0 HR27</t>
  </si>
  <si>
    <t>SILK.AH.002</t>
  </si>
  <si>
    <t>SILK 3/0 TS27</t>
  </si>
  <si>
    <t>SILK.AH.003</t>
  </si>
  <si>
    <t>SILK 2/0 ROLL</t>
  </si>
  <si>
    <t>MM</t>
  </si>
  <si>
    <t>SILK.AH.004</t>
  </si>
  <si>
    <t>SILK 3/0 (PS 31)</t>
  </si>
  <si>
    <t>SILK.AH.005</t>
  </si>
  <si>
    <t>SILKAM 3/0 NNS</t>
  </si>
  <si>
    <t>SILK.AH.006</t>
  </si>
  <si>
    <t>SILK 3/0 HR17</t>
  </si>
  <si>
    <t>SILK.AH.007</t>
  </si>
  <si>
    <t>SILK 3/0 HS-21</t>
  </si>
  <si>
    <t>SLW .AT.001</t>
  </si>
  <si>
    <t>SLW 001-1 ( PLASTIC BOWL 6 CM )</t>
  </si>
  <si>
    <t>SMAL.AM.001</t>
  </si>
  <si>
    <t>SMALL T PLATE ACP ( HOLE 5 )</t>
  </si>
  <si>
    <t>SMAL.AM.002</t>
  </si>
  <si>
    <t>SMALL NAWOW PLATE</t>
  </si>
  <si>
    <t>SODI.OB.001</t>
  </si>
  <si>
    <t>SODIUM CITRAT</t>
  </si>
  <si>
    <t>SOFT.AH.001</t>
  </si>
  <si>
    <t>SOFTASKIN</t>
  </si>
  <si>
    <t>SOFT.AH.002</t>
  </si>
  <si>
    <t>SOFTEX MATERNITY 10'S</t>
  </si>
  <si>
    <t>SOL .AH.001</t>
  </si>
  <si>
    <t>SOL CART B ( B-BRAUN )</t>
  </si>
  <si>
    <t>SOL .AH.002</t>
  </si>
  <si>
    <t>SOL CART ( B-BRAUN )</t>
  </si>
  <si>
    <t>SONY.AM.001</t>
  </si>
  <si>
    <t>SONY PAPER USG 11 CM</t>
  </si>
  <si>
    <t>SPAL.AH.001</t>
  </si>
  <si>
    <t>SPALK KAKI BAYI</t>
  </si>
  <si>
    <t>SPAL.AH.002</t>
  </si>
  <si>
    <t>SPALK TANGAN BAYI</t>
  </si>
  <si>
    <t>SPAL.AH.003</t>
  </si>
  <si>
    <t>SPALK TANGAN INFUS 5X15</t>
  </si>
  <si>
    <t>SPAL.AH.004</t>
  </si>
  <si>
    <t>SPALK TANGAN INFUS 7X10</t>
  </si>
  <si>
    <t>SPEC.AH.001</t>
  </si>
  <si>
    <t>SPECIALIST STOCKINET. ( 10CMX22.8M) 7231802</t>
  </si>
  <si>
    <t>SPUI.AH.003</t>
  </si>
  <si>
    <t>SPUIT SYRINGE 20 CC NIPRO</t>
  </si>
  <si>
    <t>STAB.AH.001</t>
  </si>
  <si>
    <t>STABIMED 1 LITER</t>
  </si>
  <si>
    <t>STAN.AH.001</t>
  </si>
  <si>
    <t>STANDARD UNIFLOW SYSTEM+ C.G+R.B(BREATHINGCIRCLE)</t>
  </si>
  <si>
    <t>STAR.AH.001</t>
  </si>
  <si>
    <t>STARDINE 5 LITER</t>
  </si>
  <si>
    <t>STAR.AM.001</t>
  </si>
  <si>
    <t>STARDINE 1 LITER</t>
  </si>
  <si>
    <t>STER.AM.001</t>
  </si>
  <si>
    <t>STERILISATOR KERING</t>
  </si>
  <si>
    <t>STIK.AM.001</t>
  </si>
  <si>
    <t>STIK NESCO ASAM URAT</t>
  </si>
  <si>
    <t>STIK.AM.002</t>
  </si>
  <si>
    <t>STIK NESCO KOLESTEROL</t>
  </si>
  <si>
    <t>STIM.AH.001</t>
  </si>
  <si>
    <t>STIMUPLEX NEEDLE A 50</t>
  </si>
  <si>
    <t>STOC.AH.001</t>
  </si>
  <si>
    <t>STOCKING OVER KNEE W/ SILICON UK. S</t>
  </si>
  <si>
    <t>STOC.AH.002</t>
  </si>
  <si>
    <t>STOCKING UNDER KNEE UK. L</t>
  </si>
  <si>
    <t>STOC.AH.003</t>
  </si>
  <si>
    <t>STOCKING UNDER KNEE SIZE XL</t>
  </si>
  <si>
    <t>STOC.AH.004</t>
  </si>
  <si>
    <t>STOCKING COMPRES THIGH SIZE L</t>
  </si>
  <si>
    <t>STOC.AH.005</t>
  </si>
  <si>
    <t>STOCKING COMPRES THIGH SIZE XL</t>
  </si>
  <si>
    <t>STOC.AH.006</t>
  </si>
  <si>
    <t>STOCKING COMPRES THIGH SIZE S</t>
  </si>
  <si>
    <t>STOC.AH.007</t>
  </si>
  <si>
    <t>STOCKING SIGVARIS</t>
  </si>
  <si>
    <t>STOC.AH.008</t>
  </si>
  <si>
    <t>STOCKING SIGVARIS TFS AD/ S CCL 2</t>
  </si>
  <si>
    <t>STOC.AH.009</t>
  </si>
  <si>
    <t>STOCKING VENOSAN FASHION AD/ L CCL 2</t>
  </si>
  <si>
    <t>STOC.AH.010</t>
  </si>
  <si>
    <t>STOCKING VENOSAN AD / S CCL 1</t>
  </si>
  <si>
    <t>STOC.AH.011</t>
  </si>
  <si>
    <t>STOCKING VENOSAN AD/ L CCL 1</t>
  </si>
  <si>
    <t>STOC.AH.012</t>
  </si>
  <si>
    <t>STOCKING VENOSAN AD / S CCL 2</t>
  </si>
  <si>
    <t>STOC.AH.013</t>
  </si>
  <si>
    <t>STOCKING VENOSAN AD / XL CCL 2</t>
  </si>
  <si>
    <t>STOC.AM.001</t>
  </si>
  <si>
    <t>STOCKINETTE 6 INC</t>
  </si>
  <si>
    <t>STOM.AH.001</t>
  </si>
  <si>
    <t>STOMACH TUBE SILICONE 16 FR</t>
  </si>
  <si>
    <t>STRE.AM.001</t>
  </si>
  <si>
    <t>STRERILISATOR KERING</t>
  </si>
  <si>
    <t>STRO.AM.001</t>
  </si>
  <si>
    <t>STROMATOLSER -4 DL ( XS-800 )</t>
  </si>
  <si>
    <t>STRO.AM.002</t>
  </si>
  <si>
    <t>STROMATOLYSER 4 DS ( FFS-800)</t>
  </si>
  <si>
    <t>STRO.AM.003</t>
  </si>
  <si>
    <t>STROMOLYSER- 4DL ( FFD-200A)</t>
  </si>
  <si>
    <t>STS .AT.001</t>
  </si>
  <si>
    <t>STS 00001 ( EXTRACTOR COMEDO WITH NEEDLE )</t>
  </si>
  <si>
    <t>SUCH.AH.001</t>
  </si>
  <si>
    <t>FOLLEY. CATH. 3WAY NO. 22</t>
  </si>
  <si>
    <t>SULF.AM.001</t>
  </si>
  <si>
    <t>SULFOLYSER ( SLS - 210 A )</t>
  </si>
  <si>
    <t>SUNB.AH.001</t>
  </si>
  <si>
    <t>SUNBLOK SPF 30 OILFREE</t>
  </si>
  <si>
    <t>SURE.AH.002</t>
  </si>
  <si>
    <t>SUREFUSER 100ML (SFS - 1001 DP / 4.2 ML/HR )</t>
  </si>
  <si>
    <t>SURE.AH.003</t>
  </si>
  <si>
    <t>SUREFLOW WITH PORT IV CATH NO.18</t>
  </si>
  <si>
    <t>SURE.AH.004</t>
  </si>
  <si>
    <t>SUREFLOW WITH PORT IV CATH NO. 20</t>
  </si>
  <si>
    <t>SURE.AH.005</t>
  </si>
  <si>
    <t>SUREFLOW WITH PORT IV CATH NO. 22</t>
  </si>
  <si>
    <t>SURE.AH.006</t>
  </si>
  <si>
    <t>SUREFLOW WITH PORT IV CATH NO. 24</t>
  </si>
  <si>
    <t>SURE.AH.007</t>
  </si>
  <si>
    <t>SUREFLOW WITH PORT IV CATH NO.26</t>
  </si>
  <si>
    <t>SURG.AH.001</t>
  </si>
  <si>
    <t>SURGICEL W 1913T</t>
  </si>
  <si>
    <t>SURY.AH.001</t>
  </si>
  <si>
    <t>SURYA HUSADA 16X16</t>
  </si>
  <si>
    <t>SYRI.AH.001</t>
  </si>
  <si>
    <t>SPUIT SYRINGE  1 CC NIPRO</t>
  </si>
  <si>
    <t>SYRI.AH.002</t>
  </si>
  <si>
    <t>SPUIT SYRINGE 3 CC NIPRO</t>
  </si>
  <si>
    <t>SYRI.AH.003</t>
  </si>
  <si>
    <t>SPUIT SYRINGE 5 CC NIPRO</t>
  </si>
  <si>
    <t>SYRI.AH.004</t>
  </si>
  <si>
    <t>SPUIT SYRINGE 10 CC NIPRO</t>
  </si>
  <si>
    <t>SYST.AM.001</t>
  </si>
  <si>
    <t>SYSTEM SOLUTION</t>
  </si>
  <si>
    <t>T - .AH.001</t>
  </si>
  <si>
    <t>T - MONO M (51)</t>
  </si>
  <si>
    <t>T - .AH.002</t>
  </si>
  <si>
    <t>T - LENE 6/0 ( L42 )</t>
  </si>
  <si>
    <t>T - .AH.003</t>
  </si>
  <si>
    <t>T - LENE 3-0 (L68)</t>
  </si>
  <si>
    <t>T - .AH.004</t>
  </si>
  <si>
    <t>T - LENE 2-0 (L36)</t>
  </si>
  <si>
    <t>T - .AH.005</t>
  </si>
  <si>
    <t>T - LENE 6/0 L74 (ROUND BODIED)</t>
  </si>
  <si>
    <t>T- L.AH.001</t>
  </si>
  <si>
    <t>T- LENE 2-0  ( L 20 )</t>
  </si>
  <si>
    <t>T MO.AH.001</t>
  </si>
  <si>
    <t>T - MONO 5-0 (M53)</t>
  </si>
  <si>
    <t>T.VI.AH.001</t>
  </si>
  <si>
    <t>T-VIO NO 1 ( V16 )</t>
  </si>
  <si>
    <t>TAB..AM.001</t>
  </si>
  <si>
    <t>TAB. CITRAT ( BIRU ) 3 ML</t>
  </si>
  <si>
    <t>TABU.AH.001</t>
  </si>
  <si>
    <t>RAPID TEST CASSETTE (LUNGENE- COVID 19 IGG/IGM)</t>
  </si>
  <si>
    <t>TABU.AH.002</t>
  </si>
  <si>
    <t>EDTA 3 ML</t>
  </si>
  <si>
    <t>TABU.AH.003</t>
  </si>
  <si>
    <t>TABUNG SEDIMEN URINE</t>
  </si>
  <si>
    <t>TABU.AH.004</t>
  </si>
  <si>
    <t>TABUNG REAKSI KECIL</t>
  </si>
  <si>
    <t>TABU.AH.005</t>
  </si>
  <si>
    <t>TABUNG REAKSI BESAR</t>
  </si>
  <si>
    <t>TABU.AH.006</t>
  </si>
  <si>
    <t>TABUNG HEMATOKIT/TABUNG MICRO HEMATOKRIT</t>
  </si>
  <si>
    <t>TABU.AM.001</t>
  </si>
  <si>
    <t>OOO</t>
  </si>
  <si>
    <t>T-BO.AH.001</t>
  </si>
  <si>
    <t>T-BOND INCOMPETENT CERVIX TAPE (50MM ICT 22)</t>
  </si>
  <si>
    <t>T-CH.AH.001</t>
  </si>
  <si>
    <t>T - CHROMIC 2/0 ( C27 )</t>
  </si>
  <si>
    <t>T-CH.AH.002</t>
  </si>
  <si>
    <t>T-CHROMIC 2-0 ( C96 )</t>
  </si>
  <si>
    <t>T-CH.AH.003</t>
  </si>
  <si>
    <t>T - CHROMIC 3-0 ( C43 )</t>
  </si>
  <si>
    <t>T-CH.AH.004</t>
  </si>
  <si>
    <t>T-CHROMIC 3-0 ( C43 )</t>
  </si>
  <si>
    <t>T-CH.AM.001</t>
  </si>
  <si>
    <t>T - CHROMIC 2-0 ( C96 )</t>
  </si>
  <si>
    <t>T-CR.AH.001</t>
  </si>
  <si>
    <t>T - CROMIC 4-0 (C56)</t>
  </si>
  <si>
    <t>TEGA.AH.001</t>
  </si>
  <si>
    <t>TEGADERM 1655 (CVC)</t>
  </si>
  <si>
    <t>TERU.AH.001</t>
  </si>
  <si>
    <t>TERUGLOVE NO. 6</t>
  </si>
  <si>
    <t>TERU.AH.002</t>
  </si>
  <si>
    <t>TERUGLOVE NO. 6,5</t>
  </si>
  <si>
    <t>TERU.AH.003</t>
  </si>
  <si>
    <t>TERUGLOVE NO. 7</t>
  </si>
  <si>
    <t>TERU.AH.004</t>
  </si>
  <si>
    <t>TERUGLOVE NO. 7,5</t>
  </si>
  <si>
    <t>TERU.AH.005</t>
  </si>
  <si>
    <t>TERUGLOVE NO. 8</t>
  </si>
  <si>
    <t>TES .AH.001</t>
  </si>
  <si>
    <t>TES HIV</t>
  </si>
  <si>
    <t>TES .AM.001</t>
  </si>
  <si>
    <t>TES NARKOBA STRIP</t>
  </si>
  <si>
    <t>TEST.AM.001</t>
  </si>
  <si>
    <t>TEST PACK</t>
  </si>
  <si>
    <t>TEST.AM.002</t>
  </si>
  <si>
    <t>TEST PACK STICK</t>
  </si>
  <si>
    <t>THER.AH.001</t>
  </si>
  <si>
    <t>THERMAL PAPER 112 MM</t>
  </si>
  <si>
    <t>THOR.AH.001</t>
  </si>
  <si>
    <t>THORACIC TROCAR CATHETER (SIZE 28)</t>
  </si>
  <si>
    <t>T-LE.AH.001</t>
  </si>
  <si>
    <t>T - LENE</t>
  </si>
  <si>
    <t>T-LE.AH.002</t>
  </si>
  <si>
    <t>T - LENE 4-0  ( L18 )</t>
  </si>
  <si>
    <t>T-LI.AH.001</t>
  </si>
  <si>
    <t>T - LENE 3-0 ( L 19 )</t>
  </si>
  <si>
    <t>TMB .AT.001</t>
  </si>
  <si>
    <t>TMB 001 ( SPATULA 13.5 CM )</t>
  </si>
  <si>
    <t>T-MO.AH.001</t>
  </si>
  <si>
    <t>T-MONO M (51)</t>
  </si>
  <si>
    <t>TOTA.AM.001</t>
  </si>
  <si>
    <t>TOTAL PROTEIN 2 X 125 ML</t>
  </si>
  <si>
    <t>TRAN.AH.001</t>
  </si>
  <si>
    <t>TRANSOFIX B BRAUN</t>
  </si>
  <si>
    <t>TRIG.AM.001</t>
  </si>
  <si>
    <t>TRIGLYCERIDES 4 X 100 ML</t>
  </si>
  <si>
    <t>TRIG.AM.002</t>
  </si>
  <si>
    <t>TRIGLYSERID</t>
  </si>
  <si>
    <t>TRO .AH.001</t>
  </si>
  <si>
    <t>TRO VENSITE SAFETY NO.18</t>
  </si>
  <si>
    <t>TRO .AH.002</t>
  </si>
  <si>
    <t>TRO VENSITE SAFETY NO.24</t>
  </si>
  <si>
    <t>TRO .AH.003</t>
  </si>
  <si>
    <t>TRO VENSITE SAFETY NO.26</t>
  </si>
  <si>
    <t>TRO .AH.004</t>
  </si>
  <si>
    <t>TRO VENSITE SAFETY NO.20</t>
  </si>
  <si>
    <t>TRO .AH.005</t>
  </si>
  <si>
    <t>TRO VENSITE SAFETY NO.22</t>
  </si>
  <si>
    <t>TRO-.AH.001</t>
  </si>
  <si>
    <t>TRO-SENSOSURGE SURGICAL GLOVE STERILE NO. 7.5</t>
  </si>
  <si>
    <t>TRO-.AH.002</t>
  </si>
  <si>
    <t>TRO-SENSOSURGE SURGICAL GLOVE STERILE NO. 7</t>
  </si>
  <si>
    <t>TRO-.AH.003</t>
  </si>
  <si>
    <t>SARUNG TANGAN BIOGEL SIZE 7,5</t>
  </si>
  <si>
    <t>TRO-.AH.004</t>
  </si>
  <si>
    <t>SARUNG TANGAN BIOGEL SIZE 6,5</t>
  </si>
  <si>
    <t>TRO-.AH.005</t>
  </si>
  <si>
    <t>SARUNG TANGAN BIOGEL SIZE 7</t>
  </si>
  <si>
    <t>TRO-.AH.006</t>
  </si>
  <si>
    <t>TRO-SENSOSURGE SURGICAL GLOVE STERILE NO. 6,5</t>
  </si>
  <si>
    <t>TUBE.AM.001</t>
  </si>
  <si>
    <t>TUBEX TF</t>
  </si>
  <si>
    <t>T-VI.AH.001</t>
  </si>
  <si>
    <t>T-VIO 4/0 ( V1 )</t>
  </si>
  <si>
    <t>T-VI.AH.002</t>
  </si>
  <si>
    <t>T-VIO 3/0 ( V4 )</t>
  </si>
  <si>
    <t>T-VI.AH.003</t>
  </si>
  <si>
    <t>T-VIO 2/0 ( V10 )</t>
  </si>
  <si>
    <t>T-VI.AH.004</t>
  </si>
  <si>
    <t>T-VIO 3/0 ( V33 )</t>
  </si>
  <si>
    <t>T-VI.AH.005</t>
  </si>
  <si>
    <t>T-VIO 4/0 ( V3 )</t>
  </si>
  <si>
    <t>UNDE.AH.001</t>
  </si>
  <si>
    <t>STOCKING UNDER KNEE UK. S</t>
  </si>
  <si>
    <t>UREA.AM.001</t>
  </si>
  <si>
    <t>UREA 4X 62,5 ML</t>
  </si>
  <si>
    <t>UREA.AM.002</t>
  </si>
  <si>
    <t>UREA 2 X 62,5 ML</t>
  </si>
  <si>
    <t>UREU.AM.001</t>
  </si>
  <si>
    <t>UREUM</t>
  </si>
  <si>
    <t>URIC.AM.001</t>
  </si>
  <si>
    <t>URIC ACID 1 X 100 ML</t>
  </si>
  <si>
    <t>URIN.AM.001</t>
  </si>
  <si>
    <t>URINE STICK</t>
  </si>
  <si>
    <t>UROG.AH.001</t>
  </si>
  <si>
    <t>UROGRATES</t>
  </si>
  <si>
    <t>BAG</t>
  </si>
  <si>
    <t>VAGI.AH.001</t>
  </si>
  <si>
    <t>VAGINAL SPECULUM DISPOSIBBLE SIZE S</t>
  </si>
  <si>
    <t>VAGI.AH.002</t>
  </si>
  <si>
    <t>VAGINAL SPECULUM DISPOSIBBLE SIZE M</t>
  </si>
  <si>
    <t>VEMP.AH.001</t>
  </si>
  <si>
    <t>VENFLON ( VASOFIX ) NO. 24</t>
  </si>
  <si>
    <t>VEMP.AH.002</t>
  </si>
  <si>
    <t>VENFLON ( VASOFIX ) NO. 20</t>
  </si>
  <si>
    <t>VEMP.AH.003</t>
  </si>
  <si>
    <t>VENFLON ( VASOFIX ) NO. 22</t>
  </si>
  <si>
    <t>VEMP.AH.004</t>
  </si>
  <si>
    <t>VENFLON ( VASOFIX ) NO. 18</t>
  </si>
  <si>
    <t>VENF.AH.001</t>
  </si>
  <si>
    <t>VENFLON POLYMED NO.22</t>
  </si>
  <si>
    <t>VENF.AH.002</t>
  </si>
  <si>
    <t>VENFLON POLYMED NO.20</t>
  </si>
  <si>
    <t>VENF.AH.003</t>
  </si>
  <si>
    <t>VENFLON POLYMED NO.24</t>
  </si>
  <si>
    <t>VENF.AH.004</t>
  </si>
  <si>
    <t>VENFLON POLYMED NO.18</t>
  </si>
  <si>
    <t>VENF.AH.005</t>
  </si>
  <si>
    <t>VENFLON POLYMED NO.26</t>
  </si>
  <si>
    <t>VENF.AH.007</t>
  </si>
  <si>
    <t>VENFLON VASOFIX (SAFETY) NO. 22</t>
  </si>
  <si>
    <t>VENF.AH.008</t>
  </si>
  <si>
    <t>VENFLON VASOFIX (SAFETY) NO. 24</t>
  </si>
  <si>
    <t>VENF.AH.009</t>
  </si>
  <si>
    <t>VENFLON VASOFIX (SAFETY) NO. 20</t>
  </si>
  <si>
    <t>VENF.AH.010</t>
  </si>
  <si>
    <t>VENFLON VASOFIX (SAFETY) NO. 18</t>
  </si>
  <si>
    <t>VENF.AH.011</t>
  </si>
  <si>
    <t>VENFLON WINGCATH NIPRO NO. 18</t>
  </si>
  <si>
    <t>VENF.AH.012</t>
  </si>
  <si>
    <t>VENFLON WINGCATH NIPRO NO. 20</t>
  </si>
  <si>
    <t>VENF.AH.013</t>
  </si>
  <si>
    <t>VENFLON WINGCATH NIPRO NO. 22</t>
  </si>
  <si>
    <t>VENF.AH.014</t>
  </si>
  <si>
    <t>VENFLON WINGCATH NIPRO NO. 24</t>
  </si>
  <si>
    <t>VOLA.AM.001</t>
  </si>
  <si>
    <t>VOLAR LOCKING SET</t>
  </si>
  <si>
    <t>WASH.AH.001</t>
  </si>
  <si>
    <t>WASHLAP PUTIH STANDART</t>
  </si>
  <si>
    <t>WE C.AH.001</t>
  </si>
  <si>
    <t>WE CARE DC</t>
  </si>
  <si>
    <t>WE C.AH.002</t>
  </si>
  <si>
    <t>WE CARE AH</t>
  </si>
  <si>
    <t>WHIT.AH.001</t>
  </si>
  <si>
    <t>WHITE TIPS</t>
  </si>
  <si>
    <t>WHIT.AM.001</t>
  </si>
  <si>
    <t>WHITE TIP</t>
  </si>
  <si>
    <t>WINF.AH.001</t>
  </si>
  <si>
    <t>WINFIX 10X5</t>
  </si>
  <si>
    <t>WINN.AM.001</t>
  </si>
  <si>
    <t>WINNER HIGH ELASTIC BANDAGE 7,5X4,5 (3 IN)</t>
  </si>
  <si>
    <t>WINN.AM.002</t>
  </si>
  <si>
    <t>WINNER HIGH ELASTIC BANDAGE 10X4,5 (4 IN)</t>
  </si>
  <si>
    <t>WINN.AM.003</t>
  </si>
  <si>
    <t>WINNER HIGH ELASTIC BANDAGE 15X4,5 (6 IN)</t>
  </si>
  <si>
    <t>WUND.AH.001</t>
  </si>
  <si>
    <t>WUNDRES F 5 X 20</t>
  </si>
  <si>
    <t>XYLO.AH.001</t>
  </si>
  <si>
    <t>XYLOL</t>
  </si>
  <si>
    <t>YELL.AH.001</t>
  </si>
  <si>
    <t>AMBROXOL 30 MG SYR</t>
  </si>
  <si>
    <t>YELL.AM.001</t>
  </si>
  <si>
    <t>YELLOW TIP</t>
  </si>
  <si>
    <t>YSMM.AT.001</t>
  </si>
  <si>
    <t>YSMM 001 ( COMPRESSED FACE MASK )</t>
  </si>
  <si>
    <t>ZJB .AT.001</t>
  </si>
  <si>
    <t>ZJB 001 ( COSTEMOLOGY TOWL 21 X 21 CM )</t>
  </si>
  <si>
    <t>Sub Total : ALAT KESEHATAN</t>
  </si>
  <si>
    <t>BAHAN MEDIS</t>
  </si>
  <si>
    <t>A0031</t>
  </si>
  <si>
    <t>ADEPS LANAE 1000 GR</t>
  </si>
  <si>
    <t>A0230</t>
  </si>
  <si>
    <t>CACO3 CAP 500 MG</t>
  </si>
  <si>
    <t>KAPSUL</t>
  </si>
  <si>
    <t>A0232</t>
  </si>
  <si>
    <t>CAFFEIN</t>
  </si>
  <si>
    <t>GRAM</t>
  </si>
  <si>
    <t>A0353</t>
  </si>
  <si>
    <t>COFFEIN</t>
  </si>
  <si>
    <t>KG</t>
  </si>
  <si>
    <t>A0655</t>
  </si>
  <si>
    <t>GARAM INGGRIS</t>
  </si>
  <si>
    <t>A0672</t>
  </si>
  <si>
    <t>GLICERIN DOW 1 L</t>
  </si>
  <si>
    <t>A0796</t>
  </si>
  <si>
    <t>KALII CHLORIDA</t>
  </si>
  <si>
    <t>A0812</t>
  </si>
  <si>
    <t>KCL POW</t>
  </si>
  <si>
    <t>A0898</t>
  </si>
  <si>
    <t>LCD</t>
  </si>
  <si>
    <t>A0965</t>
  </si>
  <si>
    <t>MENTOL</t>
  </si>
  <si>
    <t>STOPLES</t>
  </si>
  <si>
    <t>A1048</t>
  </si>
  <si>
    <t>NACL 1000 MG CAPS</t>
  </si>
  <si>
    <t>A1216</t>
  </si>
  <si>
    <t>PK 5 GR</t>
  </si>
  <si>
    <t>A1287</t>
  </si>
  <si>
    <t>PROPILENGLYCOL 1 L</t>
  </si>
  <si>
    <t>A1330</t>
  </si>
  <si>
    <t>RESORCIN</t>
  </si>
  <si>
    <t>A1483</t>
  </si>
  <si>
    <t>SULFUR P P POWDER</t>
  </si>
  <si>
    <t>A1715</t>
  </si>
  <si>
    <t>VASELIN ALBUM</t>
  </si>
  <si>
    <t>A1723</t>
  </si>
  <si>
    <t>SIRPLUS SERBUK</t>
  </si>
  <si>
    <t>A1796</t>
  </si>
  <si>
    <t>STERIZYME LIQ</t>
  </si>
  <si>
    <t>A1850</t>
  </si>
  <si>
    <t>JELLY USG</t>
  </si>
  <si>
    <t>A1855</t>
  </si>
  <si>
    <t>NACL 500 ML BRAUN</t>
  </si>
  <si>
    <t>AQUA.BB.001</t>
  </si>
  <si>
    <t>AQUADES</t>
  </si>
  <si>
    <t>B0010004600</t>
  </si>
  <si>
    <t>ASEPTIC GELL 500ML</t>
  </si>
  <si>
    <t>B0020009800</t>
  </si>
  <si>
    <t>SABUN ANTI BAKTERI 5 LITER</t>
  </si>
  <si>
    <t>BACL.BB.001</t>
  </si>
  <si>
    <t>BACL 2 ( BARIUM CHOLIRIDA 10 % CAIR ) 100 ML</t>
  </si>
  <si>
    <t>BARI.BB.001</t>
  </si>
  <si>
    <t>BARIUM SULFAT</t>
  </si>
  <si>
    <t>CAPS.BB.001</t>
  </si>
  <si>
    <t>CAPSUL NO. 00</t>
  </si>
  <si>
    <t>BUTIR</t>
  </si>
  <si>
    <t>CAPS.BB.002</t>
  </si>
  <si>
    <t>CAPSUL NO. 2</t>
  </si>
  <si>
    <t>CAPS.BB.003</t>
  </si>
  <si>
    <t>CAPSUL NO. 3</t>
  </si>
  <si>
    <t>FORM.BB.001</t>
  </si>
  <si>
    <t>FORMALIN TABLET</t>
  </si>
  <si>
    <t>GLUK.BB.001</t>
  </si>
  <si>
    <t>GLUKOSA POWDER 1 KG</t>
  </si>
  <si>
    <t>H202.BB.001</t>
  </si>
  <si>
    <t>H202 3% 50 ML</t>
  </si>
  <si>
    <t>H2O2.BB.001</t>
  </si>
  <si>
    <t>H2O2 3% 800 ML</t>
  </si>
  <si>
    <t>HYPA.AH.001</t>
  </si>
  <si>
    <t>HYPAPIX 15 X 5 M</t>
  </si>
  <si>
    <t>IOPA.BB.001</t>
  </si>
  <si>
    <t>IOPAMIRO 50 ML ( 300 )</t>
  </si>
  <si>
    <t>KINA.OK.001</t>
  </si>
  <si>
    <t>KINA TAB</t>
  </si>
  <si>
    <t>OPTI.AH.001</t>
  </si>
  <si>
    <t>KLORSEPT</t>
  </si>
  <si>
    <t>SPIR.BB.001</t>
  </si>
  <si>
    <t>SPIRTUS</t>
  </si>
  <si>
    <t>URIN.AH.001</t>
  </si>
  <si>
    <t>ALKOHOL 70 % 1000 ML</t>
  </si>
  <si>
    <t>Sub Total : BAHAN MEDIS</t>
  </si>
  <si>
    <t>OBAT DAGANG</t>
  </si>
  <si>
    <t xml:space="preserve"> SAM.OK.001</t>
  </si>
  <si>
    <t>SAMSCA 15 MG TABLET</t>
  </si>
  <si>
    <t xml:space="preserve"> TAP.OK.001</t>
  </si>
  <si>
    <t>TAPROZ 3 MG INJ</t>
  </si>
  <si>
    <t xml:space="preserve"> UTR.OB.001</t>
  </si>
  <si>
    <t>UTROGESTAN 100 MG</t>
  </si>
  <si>
    <t>00023</t>
  </si>
  <si>
    <t>CEFTIZOXIME 1 GR INJ</t>
  </si>
  <si>
    <t>0138</t>
  </si>
  <si>
    <t>ARCAPEC TAB</t>
  </si>
  <si>
    <t>01A0138</t>
  </si>
  <si>
    <t>TEBOKAN TABLET</t>
  </si>
  <si>
    <t>01C1336</t>
  </si>
  <si>
    <t>VAGISTIN OVULA</t>
  </si>
  <si>
    <t>01D1038</t>
  </si>
  <si>
    <t>SPASMOMEN TABLET</t>
  </si>
  <si>
    <t>01I0996</t>
  </si>
  <si>
    <t>ANTRAIN INJ</t>
  </si>
  <si>
    <t>01K1204</t>
  </si>
  <si>
    <t>MINYAK KAYU PUTIH KONICARE 125 ML</t>
  </si>
  <si>
    <t>01N1233</t>
  </si>
  <si>
    <t>DEPAKOTE ER 500MG</t>
  </si>
  <si>
    <t>01O0604</t>
  </si>
  <si>
    <t>OTSUTRAN-40 INF</t>
  </si>
  <si>
    <t>01S0304</t>
  </si>
  <si>
    <t>SANMOL INFUS</t>
  </si>
  <si>
    <t>01S0396</t>
  </si>
  <si>
    <t>ACRAN TAB</t>
  </si>
  <si>
    <t>0238</t>
  </si>
  <si>
    <t>NEW Q-TEN</t>
  </si>
  <si>
    <t>02A4420</t>
  </si>
  <si>
    <t>DUROL KAPSUL</t>
  </si>
  <si>
    <t>02B2638</t>
  </si>
  <si>
    <t>PRADAXA 110 MG</t>
  </si>
  <si>
    <t>02C1333</t>
  </si>
  <si>
    <t>OBH COMBI MENTHOL 100 ML</t>
  </si>
  <si>
    <t>02L02</t>
  </si>
  <si>
    <t>A-B VASK 5 MG-TAB</t>
  </si>
  <si>
    <t>02O0603</t>
  </si>
  <si>
    <t>CITRIX</t>
  </si>
  <si>
    <t>10300</t>
  </si>
  <si>
    <t>VACC BCG</t>
  </si>
  <si>
    <t>1A1833</t>
  </si>
  <si>
    <t>PRIMPERAN SYR</t>
  </si>
  <si>
    <t>1B2638</t>
  </si>
  <si>
    <t>ALUPENT TABLET</t>
  </si>
  <si>
    <t>1K0133</t>
  </si>
  <si>
    <t>PROFILAS SYR</t>
  </si>
  <si>
    <t>1M1138</t>
  </si>
  <si>
    <t>ENERVON C STRIP</t>
  </si>
  <si>
    <t>1M3423</t>
  </si>
  <si>
    <t>LACTACYD LIQ 230 ML</t>
  </si>
  <si>
    <t>1N1204</t>
  </si>
  <si>
    <t>VOSTRIN SYR</t>
  </si>
  <si>
    <t>1O06</t>
  </si>
  <si>
    <t>AMINOVEL 600 INFUS</t>
  </si>
  <si>
    <t>1S2996</t>
  </si>
  <si>
    <t>CEDANTRON INJ 8 MG</t>
  </si>
  <si>
    <t>A0001</t>
  </si>
  <si>
    <t>3TC-HBV TABLET</t>
  </si>
  <si>
    <t>A0002</t>
  </si>
  <si>
    <t>A-B VASK 10MG-TAB</t>
  </si>
  <si>
    <t>A0010</t>
  </si>
  <si>
    <t>VACC CERVARIX INJ</t>
  </si>
  <si>
    <t>A0013</t>
  </si>
  <si>
    <t>ACID BORIC</t>
  </si>
  <si>
    <t>A0014</t>
  </si>
  <si>
    <t>ACID SALICYL</t>
  </si>
  <si>
    <t>MG</t>
  </si>
  <si>
    <t>A0015</t>
  </si>
  <si>
    <t>ACLAM SYR FORTE 250 ML</t>
  </si>
  <si>
    <t>A0016</t>
  </si>
  <si>
    <t>ACLAM TAB 500 MG</t>
  </si>
  <si>
    <t>A0017</t>
  </si>
  <si>
    <t>ACLAM SYR 125 ML</t>
  </si>
  <si>
    <t>A0018</t>
  </si>
  <si>
    <t>ACRAN INJ (RANITIDINE)</t>
  </si>
  <si>
    <t>A0019</t>
  </si>
  <si>
    <t>ACTACEF INJ 1GR (CEFEPIM INJ)</t>
  </si>
  <si>
    <t>A0020</t>
  </si>
  <si>
    <t>ACTALIPID TAB 20 MG</t>
  </si>
  <si>
    <t>A0021</t>
  </si>
  <si>
    <t>ACTIFED SYR HIJAU</t>
  </si>
  <si>
    <t>A0022</t>
  </si>
  <si>
    <t>ACTIFED PLUS SYR KUNING</t>
  </si>
  <si>
    <t>A0023</t>
  </si>
  <si>
    <t>ACTIFED PLUS SYR MERAH</t>
  </si>
  <si>
    <t>A0024</t>
  </si>
  <si>
    <t>ACYCLOVIR CR 5 GR</t>
  </si>
  <si>
    <t>A0026</t>
  </si>
  <si>
    <t>ACYVOTE TAB</t>
  </si>
  <si>
    <t>A0027</t>
  </si>
  <si>
    <t>ADALAT TAB 10 MG</t>
  </si>
  <si>
    <t>A0028</t>
  </si>
  <si>
    <t>ADALAT TAB 5 MG</t>
  </si>
  <si>
    <t>A0029</t>
  </si>
  <si>
    <t>ADALAT OROS -TAB 30 MG</t>
  </si>
  <si>
    <t>A0030</t>
  </si>
  <si>
    <t>ADECCO TAB 500 MG</t>
  </si>
  <si>
    <t>A0032</t>
  </si>
  <si>
    <t>ADONA AC 17 TAB</t>
  </si>
  <si>
    <t>A0033</t>
  </si>
  <si>
    <t>ADONA AC INJ 5 ML</t>
  </si>
  <si>
    <t>A0034</t>
  </si>
  <si>
    <t>ADONA FORTE TAB</t>
  </si>
  <si>
    <t>A0035</t>
  </si>
  <si>
    <t>AERIUS SYR 60 ML</t>
  </si>
  <si>
    <t>A0039</t>
  </si>
  <si>
    <t>ALBOTHYL SOL 5 ML</t>
  </si>
  <si>
    <t>A0040</t>
  </si>
  <si>
    <t>ALCO ORAL DROP 15 ML</t>
  </si>
  <si>
    <t>A0041</t>
  </si>
  <si>
    <t>ALCO PLUS DMP SYR 100 ML</t>
  </si>
  <si>
    <t>A0042</t>
  </si>
  <si>
    <t>ALCO PLUS SYR 100 ML</t>
  </si>
  <si>
    <t>A0043</t>
  </si>
  <si>
    <t>ALDAZIDE TAB</t>
  </si>
  <si>
    <t>A0044</t>
  </si>
  <si>
    <t>ALDISA SR -CAPS</t>
  </si>
  <si>
    <t>A0045</t>
  </si>
  <si>
    <t>ALEGI -TAB</t>
  </si>
  <si>
    <t>A0046</t>
  </si>
  <si>
    <t>ALINAMIN FORTE INJ</t>
  </si>
  <si>
    <t>A0047</t>
  </si>
  <si>
    <t>ALINAMIN FORTE TAB</t>
  </si>
  <si>
    <t>A0048</t>
  </si>
  <si>
    <t>ALKOHOL 70% 100 ML</t>
  </si>
  <si>
    <t>A0049</t>
  </si>
  <si>
    <t>ALKOHOL 70% @20 LITER</t>
  </si>
  <si>
    <t>A0050</t>
  </si>
  <si>
    <t>NAZOVEL INJ</t>
  </si>
  <si>
    <t>A0051</t>
  </si>
  <si>
    <t>ALKOHOL 96 % 1000 ML</t>
  </si>
  <si>
    <t>A0053</t>
  </si>
  <si>
    <t>ALLOPURINOL TAB 100 MG</t>
  </si>
  <si>
    <t>A0054</t>
  </si>
  <si>
    <t>ALLOPURINOL TAB 300 MG</t>
  </si>
  <si>
    <t>A0055</t>
  </si>
  <si>
    <t>ALLORIS TAB</t>
  </si>
  <si>
    <t>A0056</t>
  </si>
  <si>
    <t>ALLYLESTERENOL TAB 5 MG</t>
  </si>
  <si>
    <t>A0057</t>
  </si>
  <si>
    <t>ALOCLAIR GEL</t>
  </si>
  <si>
    <t>A0058</t>
  </si>
  <si>
    <t>ALPRAZOLAM TAB 0.5 MG</t>
  </si>
  <si>
    <t>A0059</t>
  </si>
  <si>
    <t>ALPRAZOLAM TAB 1 MG</t>
  </si>
  <si>
    <t>A0060</t>
  </si>
  <si>
    <t>ALYNOL TAB</t>
  </si>
  <si>
    <t>A0061</t>
  </si>
  <si>
    <t>AMADIAB 2 MG TAB</t>
  </si>
  <si>
    <t>A0062</t>
  </si>
  <si>
    <t>AMADIAB 1 MG TAB</t>
  </si>
  <si>
    <t>A0063</t>
  </si>
  <si>
    <t>AMARYL TAB 2 MG</t>
  </si>
  <si>
    <t>A0064</t>
  </si>
  <si>
    <t>AMBEVEN CAP</t>
  </si>
  <si>
    <t>A0067</t>
  </si>
  <si>
    <t>AMINOFLUID INF 500 ML</t>
  </si>
  <si>
    <t>A0068</t>
  </si>
  <si>
    <t>AMINOFUSIN HEPAR INF 500 ML</t>
  </si>
  <si>
    <t>A0069</t>
  </si>
  <si>
    <t>AMINOFUSIN PAED INF</t>
  </si>
  <si>
    <t>A0070</t>
  </si>
  <si>
    <t>AMINOPHYLLIN INJ</t>
  </si>
  <si>
    <t>A0071</t>
  </si>
  <si>
    <t>AMINOPHYLLIN PULV</t>
  </si>
  <si>
    <t>A0079</t>
  </si>
  <si>
    <t>AMOXIL CAP 500 MG</t>
  </si>
  <si>
    <t>A0080</t>
  </si>
  <si>
    <t>AMOXSAN CAP 250 MG</t>
  </si>
  <si>
    <t>A0081</t>
  </si>
  <si>
    <t>AMOXSAN CAP 500 MG</t>
  </si>
  <si>
    <t>A0082</t>
  </si>
  <si>
    <t>AMOXSAN SYR 125 MG</t>
  </si>
  <si>
    <t>A0083</t>
  </si>
  <si>
    <t>AMOXSAN SYR FORTE</t>
  </si>
  <si>
    <t>A0086</t>
  </si>
  <si>
    <t>ANALSIK TAB</t>
  </si>
  <si>
    <t>A0087</t>
  </si>
  <si>
    <t>ANCLA CAP</t>
  </si>
  <si>
    <t>A0088</t>
  </si>
  <si>
    <t>ANCLA FORTE SYR 60 ML</t>
  </si>
  <si>
    <t>A0094</t>
  </si>
  <si>
    <t>ANVOMER B6 TAB</t>
  </si>
  <si>
    <t>A0095</t>
  </si>
  <si>
    <t>APIALYS DROP 10 ML</t>
  </si>
  <si>
    <t>A0096</t>
  </si>
  <si>
    <t>APIALYS SYR 100 ML</t>
  </si>
  <si>
    <t>A0097</t>
  </si>
  <si>
    <t>APISATE TAB</t>
  </si>
  <si>
    <t>A0098</t>
  </si>
  <si>
    <t>APOLAR CREAM</t>
  </si>
  <si>
    <t>A0099</t>
  </si>
  <si>
    <t>APOLAR N CREAM</t>
  </si>
  <si>
    <t>A0100</t>
  </si>
  <si>
    <t>APROVEL TAB 300 MG</t>
  </si>
  <si>
    <t>A0101</t>
  </si>
  <si>
    <t>AQUA DM</t>
  </si>
  <si>
    <t>A0102</t>
  </si>
  <si>
    <t>AQUA / FOR IRRIGATION 1LT</t>
  </si>
  <si>
    <t>A0103</t>
  </si>
  <si>
    <t>ARCAPEC SYR</t>
  </si>
  <si>
    <t>A0105</t>
  </si>
  <si>
    <t>ARDIUM 500MG TAB</t>
  </si>
  <si>
    <t>A0111</t>
  </si>
  <si>
    <t>ASCARDIA TAB 160 MG</t>
  </si>
  <si>
    <t>A0112</t>
  </si>
  <si>
    <t>ASCARDIA TAB 80 MG</t>
  </si>
  <si>
    <t>A0114</t>
  </si>
  <si>
    <t>ASETON 1 L</t>
  </si>
  <si>
    <t>A0116</t>
  </si>
  <si>
    <t>ASPAR K TAB</t>
  </si>
  <si>
    <t>A0117</t>
  </si>
  <si>
    <t>ASPILETS TAB</t>
  </si>
  <si>
    <t>A0129</t>
  </si>
  <si>
    <t>ASTHIN FORCE GEL 30 GR</t>
  </si>
  <si>
    <t>A0130</t>
  </si>
  <si>
    <t>ASTHIN FORCE KAPSUL</t>
  </si>
  <si>
    <t>A0131</t>
  </si>
  <si>
    <t>ATAROC TAB 25 MG</t>
  </si>
  <si>
    <t>A0132</t>
  </si>
  <si>
    <t>ATAROC SYR</t>
  </si>
  <si>
    <t>A0133</t>
  </si>
  <si>
    <t>ATOFAR TAB 20 MG</t>
  </si>
  <si>
    <t>A0134</t>
  </si>
  <si>
    <t>ATOFAR TAB 40 MG</t>
  </si>
  <si>
    <t>A0135</t>
  </si>
  <si>
    <t>ATORSAN 10 TAB</t>
  </si>
  <si>
    <t>A0136</t>
  </si>
  <si>
    <t>ATROPIN SO4</t>
  </si>
  <si>
    <t>A0137</t>
  </si>
  <si>
    <t>AVIL TAB</t>
  </si>
  <si>
    <t>A0138</t>
  </si>
  <si>
    <t>AZITHROMYCIN 500MG TAB</t>
  </si>
  <si>
    <t>A0139</t>
  </si>
  <si>
    <t>AZTRIN DS 15 ML</t>
  </si>
  <si>
    <t>A0140</t>
  </si>
  <si>
    <t>BACTROBAN CR 10 GR</t>
  </si>
  <si>
    <t>A0141</t>
  </si>
  <si>
    <t>BAQUINOR FORTE CAP 500 MG</t>
  </si>
  <si>
    <t>A0142</t>
  </si>
  <si>
    <t>BATUGIN ELIXIR  SYR 300 ML</t>
  </si>
  <si>
    <t>A0143</t>
  </si>
  <si>
    <t>BAYCUTEN-N CREAM 5 GR</t>
  </si>
  <si>
    <t>A0144</t>
  </si>
  <si>
    <t>BECOM C</t>
  </si>
  <si>
    <t>A0145</t>
  </si>
  <si>
    <t>BECOM ZET TAB</t>
  </si>
  <si>
    <t>A0146</t>
  </si>
  <si>
    <t>BECOMBION FORTE TAB</t>
  </si>
  <si>
    <t>A0147</t>
  </si>
  <si>
    <t>BECOMBION SYR 110 ML</t>
  </si>
  <si>
    <t>A0148</t>
  </si>
  <si>
    <t>BEDAK MARSK VENUS ACTIVE</t>
  </si>
  <si>
    <t>A0149</t>
  </si>
  <si>
    <t>BELLAMOX SYR 125 ML</t>
  </si>
  <si>
    <t>A0150</t>
  </si>
  <si>
    <t>BELLAMOX FORTE 250 SYR</t>
  </si>
  <si>
    <t>A0151</t>
  </si>
  <si>
    <t>BELLAMOX TAB 500 MG</t>
  </si>
  <si>
    <t>A0152</t>
  </si>
  <si>
    <t>BELLAPHEN TAB</t>
  </si>
  <si>
    <t>A0154</t>
  </si>
  <si>
    <t>BENOSON CREAM 15 GR</t>
  </si>
  <si>
    <t>A0155</t>
  </si>
  <si>
    <t>BENOSON CREAM 5 GR</t>
  </si>
  <si>
    <t>A0156</t>
  </si>
  <si>
    <t>BENOSON N CREAM 15 GR</t>
  </si>
  <si>
    <t>A0157</t>
  </si>
  <si>
    <t>BENOSON N CREAM 5 GR</t>
  </si>
  <si>
    <t>A0158</t>
  </si>
  <si>
    <t>BENOXURIC TAB 300 MG</t>
  </si>
  <si>
    <t>A0159</t>
  </si>
  <si>
    <t>BENOZYM TAB</t>
  </si>
  <si>
    <t>A0160</t>
  </si>
  <si>
    <t>BENUTRION VE INF 250 ML</t>
  </si>
  <si>
    <t>A0161</t>
  </si>
  <si>
    <t>BEPHANTEN OINT 20 GR</t>
  </si>
  <si>
    <t>A0162</t>
  </si>
  <si>
    <t>BESTALIN TAB 25 MG</t>
  </si>
  <si>
    <t>A0163</t>
  </si>
  <si>
    <t>BETADINE GARGLE 100 ML</t>
  </si>
  <si>
    <t>A0164</t>
  </si>
  <si>
    <t>BETADINE GARGLE 190 ML</t>
  </si>
  <si>
    <t>A0165</t>
  </si>
  <si>
    <t>BETADINE OINT 5 GR</t>
  </si>
  <si>
    <t>A0167</t>
  </si>
  <si>
    <t>BETADINE PLESTER JUNIOR AMPLOP</t>
  </si>
  <si>
    <t>A0168</t>
  </si>
  <si>
    <t>BETADINE PLESTER JUNIOR</t>
  </si>
  <si>
    <t>A0169</t>
  </si>
  <si>
    <t>BETADINE SKIN CLEANS 60 ML</t>
  </si>
  <si>
    <t>A0170</t>
  </si>
  <si>
    <t>BETADINE SOL 30 ML</t>
  </si>
  <si>
    <t>A0171</t>
  </si>
  <si>
    <t>BETADINE SOL 5 ML</t>
  </si>
  <si>
    <t>A0172</t>
  </si>
  <si>
    <t>BETADINE SOL 60 ML</t>
  </si>
  <si>
    <t>A0173</t>
  </si>
  <si>
    <t>BETADINE VD 100 ML</t>
  </si>
  <si>
    <t>A0174</t>
  </si>
  <si>
    <t>BETADINE VD 225 ML</t>
  </si>
  <si>
    <t>A0175</t>
  </si>
  <si>
    <t>BETADINE VD DENGAN ALAT 100ML</t>
  </si>
  <si>
    <t>A0176</t>
  </si>
  <si>
    <t>BETASERC 24 MG TAB</t>
  </si>
  <si>
    <t>A0177</t>
  </si>
  <si>
    <t>BETASON CR</t>
  </si>
  <si>
    <t>A0178</t>
  </si>
  <si>
    <t>BETASON N CR</t>
  </si>
  <si>
    <t>A0179</t>
  </si>
  <si>
    <t>BEVIZIL TAB</t>
  </si>
  <si>
    <t>A0180</t>
  </si>
  <si>
    <t>CLAXY TAB 500 MG</t>
  </si>
  <si>
    <t>A0181</t>
  </si>
  <si>
    <t>BIC NATRIC 500MG TAB</t>
  </si>
  <si>
    <t>A0182</t>
  </si>
  <si>
    <t>BIO ATP</t>
  </si>
  <si>
    <t>A0183</t>
  </si>
  <si>
    <t>BIOCEF INJ 1 GR</t>
  </si>
  <si>
    <t>A0184</t>
  </si>
  <si>
    <t>BIODIAR TAB</t>
  </si>
  <si>
    <t>A0185</t>
  </si>
  <si>
    <t>BIOGESIC TAB</t>
  </si>
  <si>
    <t>A0186</t>
  </si>
  <si>
    <t>BIOLINCOM CAP 500 MG</t>
  </si>
  <si>
    <t>CAPLET</t>
  </si>
  <si>
    <t>A0187</t>
  </si>
  <si>
    <t>BIOLINCOM SYRUP</t>
  </si>
  <si>
    <t>A0189</t>
  </si>
  <si>
    <t>BIOPLACENTON GEL 15 GR</t>
  </si>
  <si>
    <t>A0190</t>
  </si>
  <si>
    <t>BIOSANBE TAB</t>
  </si>
  <si>
    <t>A0191</t>
  </si>
  <si>
    <t>BIOSTRUM SYR</t>
  </si>
  <si>
    <t>A0192</t>
  </si>
  <si>
    <t>BIOTHICOL CAPS 250 MG</t>
  </si>
  <si>
    <t>A0193</t>
  </si>
  <si>
    <t>BIOTHICOL CAPS 500 MG</t>
  </si>
  <si>
    <t>A0194</t>
  </si>
  <si>
    <t>BIOTHICOL SYR 60 ML</t>
  </si>
  <si>
    <t>A0195</t>
  </si>
  <si>
    <t>BIOTHICOL FORTE SYR</t>
  </si>
  <si>
    <t>A0196</t>
  </si>
  <si>
    <t>BIOXON INJ</t>
  </si>
  <si>
    <t>A0197</t>
  </si>
  <si>
    <t>BIOZIM (CEFTAZIDIME) INJ</t>
  </si>
  <si>
    <t>A0198</t>
  </si>
  <si>
    <t>BISOLVON DROPS</t>
  </si>
  <si>
    <t>A0199</t>
  </si>
  <si>
    <t>BISOLVON EXTRA SYR 60 ML</t>
  </si>
  <si>
    <t>A0200</t>
  </si>
  <si>
    <t>BISOLVON FLU SYR 60 ML</t>
  </si>
  <si>
    <t>A0201</t>
  </si>
  <si>
    <t>BISOLVON INJ 4 MG/2 ML</t>
  </si>
  <si>
    <t>A0202</t>
  </si>
  <si>
    <t>BISOLVON KIDS 4 MG / 5 ML SYR</t>
  </si>
  <si>
    <t>A0203</t>
  </si>
  <si>
    <t>BISOLVON SYR 60 ML</t>
  </si>
  <si>
    <t>A0204</t>
  </si>
  <si>
    <t>BISOLVON TAB</t>
  </si>
  <si>
    <t>A0207</t>
  </si>
  <si>
    <t>BLOPRESS 8 MG</t>
  </si>
  <si>
    <t>A0208</t>
  </si>
  <si>
    <t>BLOPRESS PLUS TAB 16 MG</t>
  </si>
  <si>
    <t>A0209</t>
  </si>
  <si>
    <t>BLOPRESS TAB 16 MG</t>
  </si>
  <si>
    <t>A0210</t>
  </si>
  <si>
    <t>BORAX GLICERIN SOL 8 ML</t>
  </si>
  <si>
    <t>A0217</t>
  </si>
  <si>
    <t>BRAXIDIN TAB</t>
  </si>
  <si>
    <t>A0218</t>
  </si>
  <si>
    <t>BREATHY NASAL DROPS</t>
  </si>
  <si>
    <t>A0219</t>
  </si>
  <si>
    <t>BRICASMA INJ.</t>
  </si>
  <si>
    <t>A0220</t>
  </si>
  <si>
    <t>BRICASMA TAB</t>
  </si>
  <si>
    <t>A0221</t>
  </si>
  <si>
    <t>BUCAIN INJ.</t>
  </si>
  <si>
    <t>A0223</t>
  </si>
  <si>
    <t>BURNAZIN CREAM 35 GR</t>
  </si>
  <si>
    <t>A0224</t>
  </si>
  <si>
    <t>BUSCOPAN INJ 20 ML</t>
  </si>
  <si>
    <t>A0225</t>
  </si>
  <si>
    <t>BUSCOPAN PLUS TAB</t>
  </si>
  <si>
    <t>A0226</t>
  </si>
  <si>
    <t>BUSCOPAN TAB</t>
  </si>
  <si>
    <t>A0227</t>
  </si>
  <si>
    <t>BUVANEST 0.5% 20 ML</t>
  </si>
  <si>
    <t>A0228</t>
  </si>
  <si>
    <t>BYE BYE FEVER FOR BABY'S</t>
  </si>
  <si>
    <t>A0229</t>
  </si>
  <si>
    <t>BYE BYE FEVER FOR CHILDREN</t>
  </si>
  <si>
    <t>A0231</t>
  </si>
  <si>
    <t>CAFERGOT TAB</t>
  </si>
  <si>
    <t>A0233</t>
  </si>
  <si>
    <t>CAL 95 TABLET</t>
  </si>
  <si>
    <t>A0234</t>
  </si>
  <si>
    <t>CALADINE LOTION 60ML</t>
  </si>
  <si>
    <t>A0235</t>
  </si>
  <si>
    <t>CALADINE LOTION 95ML</t>
  </si>
  <si>
    <t>A0236</t>
  </si>
  <si>
    <t>CALADINE POWDER 100GR</t>
  </si>
  <si>
    <t>A0237</t>
  </si>
  <si>
    <t>CALADINE POWDER 60GR</t>
  </si>
  <si>
    <t>A0238</t>
  </si>
  <si>
    <t>CALCIDIN TAB</t>
  </si>
  <si>
    <t>A0241</t>
  </si>
  <si>
    <t>FORMYCO CREAM 10 GR</t>
  </si>
  <si>
    <t>A0242</t>
  </si>
  <si>
    <t>CANDISTIN DROPS</t>
  </si>
  <si>
    <t>A0248</t>
  </si>
  <si>
    <t>CARBO GLYCERIN</t>
  </si>
  <si>
    <t>A0249</t>
  </si>
  <si>
    <t>CARDISAN TAB 10MG (AMLODIPINE)</t>
  </si>
  <si>
    <t>A0250</t>
  </si>
  <si>
    <t>CARMED MOIST. LOT 120 ML</t>
  </si>
  <si>
    <t>A0251</t>
  </si>
  <si>
    <t>CARTYLO TAB 80 MG</t>
  </si>
  <si>
    <t>A0252</t>
  </si>
  <si>
    <t>CATAFLAM TAB 50 MG</t>
  </si>
  <si>
    <t>A0253</t>
  </si>
  <si>
    <t>CATAFLAM TAB 25 MG</t>
  </si>
  <si>
    <t>A0254</t>
  </si>
  <si>
    <t>CATAPRES INJ. 150 MG</t>
  </si>
  <si>
    <t>A0255</t>
  </si>
  <si>
    <t>CATAPRES TAB 150 MG</t>
  </si>
  <si>
    <t>A0271</t>
  </si>
  <si>
    <t>CAVIT D3 TAB</t>
  </si>
  <si>
    <t>A0272</t>
  </si>
  <si>
    <t>CDR EFFERVESCENT TAB</t>
  </si>
  <si>
    <t>A0273</t>
  </si>
  <si>
    <t>CEDANTRON TAB 8 MG</t>
  </si>
  <si>
    <t>A0274</t>
  </si>
  <si>
    <t>CEDANTRON INJ. 4 MG</t>
  </si>
  <si>
    <t>A0275</t>
  </si>
  <si>
    <t>CEDOCARD TAB 10 MG</t>
  </si>
  <si>
    <t>A0276</t>
  </si>
  <si>
    <t>CEDOCARD I.V INJ 10 ML</t>
  </si>
  <si>
    <t>A0277</t>
  </si>
  <si>
    <t>CEDOCARD 5 MG TAB</t>
  </si>
  <si>
    <t>A0278</t>
  </si>
  <si>
    <t>CEFABIOTIK CAP 500MG</t>
  </si>
  <si>
    <t>A0281</t>
  </si>
  <si>
    <t>CEFAT KAPS 250 MG</t>
  </si>
  <si>
    <t>A0282</t>
  </si>
  <si>
    <t>CEFAT KAPS 500 MG</t>
  </si>
  <si>
    <t>A0283</t>
  </si>
  <si>
    <t>CEFAT FORTE SYR</t>
  </si>
  <si>
    <t>A0284</t>
  </si>
  <si>
    <t>CEFAT SYR 125 MG / 5ML</t>
  </si>
  <si>
    <t>A0285</t>
  </si>
  <si>
    <t>CEFILA TAB 100 MG</t>
  </si>
  <si>
    <t>A0286</t>
  </si>
  <si>
    <t>CEFILA TAB 200 MG</t>
  </si>
  <si>
    <t>A0287</t>
  </si>
  <si>
    <t>CEFILA SYRUP</t>
  </si>
  <si>
    <t>A0291</t>
  </si>
  <si>
    <t>CEFOTAXIM VIAL 1 GR</t>
  </si>
  <si>
    <t>A0294</t>
  </si>
  <si>
    <t>CEFXON INJ. 1 GR</t>
  </si>
  <si>
    <t>A0295</t>
  </si>
  <si>
    <t>CELEBREX KAPS 100 MG</t>
  </si>
  <si>
    <t>A0296</t>
  </si>
  <si>
    <t>CELEBREX KAPS 200 MG</t>
  </si>
  <si>
    <t>A0297</t>
  </si>
  <si>
    <t>APRON</t>
  </si>
  <si>
    <t>A0298</t>
  </si>
  <si>
    <t>CELESTAMINE SYR 30 ML</t>
  </si>
  <si>
    <t>A0299</t>
  </si>
  <si>
    <t>CELESTAMINE SYR 60 ML</t>
  </si>
  <si>
    <t>A0300</t>
  </si>
  <si>
    <t>CELESTAMINE TAB</t>
  </si>
  <si>
    <t>A0301</t>
  </si>
  <si>
    <t>CENDO AUGENTONIC EYE DROPS 5 ML</t>
  </si>
  <si>
    <t>A0302</t>
  </si>
  <si>
    <t>CENDO FENICOL 0,25% EYE DROPS</t>
  </si>
  <si>
    <t>A0303</t>
  </si>
  <si>
    <t>CENDO FENICOL 0,5% EYE DROPS</t>
  </si>
  <si>
    <t>A0304</t>
  </si>
  <si>
    <t>CENDO FENICOL 1% EYE DROPS</t>
  </si>
  <si>
    <t>A0305</t>
  </si>
  <si>
    <t>CENDO FENICOL EYE OINT</t>
  </si>
  <si>
    <t>A0306</t>
  </si>
  <si>
    <t>CENDO GENTA ED</t>
  </si>
  <si>
    <t>A0307</t>
  </si>
  <si>
    <t>CENDO LYTERS 15 CC</t>
  </si>
  <si>
    <t>A0308</t>
  </si>
  <si>
    <t>CENDO MYCOS 5ML</t>
  </si>
  <si>
    <t>A0309</t>
  </si>
  <si>
    <t>CENDO MYCOS EYE OINT 3.5 GR</t>
  </si>
  <si>
    <t>A0310</t>
  </si>
  <si>
    <t>CENDO STATROL EYE DROPS</t>
  </si>
  <si>
    <t>A0311</t>
  </si>
  <si>
    <t>CENDO TOBRO MINIDOSE</t>
  </si>
  <si>
    <t>A0312</t>
  </si>
  <si>
    <t>CENDO XITROL EYE DROPS 5 ML</t>
  </si>
  <si>
    <t>A0313</t>
  </si>
  <si>
    <t>CERINI TAB</t>
  </si>
  <si>
    <t>A0315</t>
  </si>
  <si>
    <t>CETAFLOXO CAP 500 MG</t>
  </si>
  <si>
    <t>A0319</t>
  </si>
  <si>
    <t>CHLORAMEX CAP</t>
  </si>
  <si>
    <t>A0320</t>
  </si>
  <si>
    <t>CHLORAMPHECORT CREAM</t>
  </si>
  <si>
    <t>A0321</t>
  </si>
  <si>
    <t>CHLORAMPHECORT H CREAM</t>
  </si>
  <si>
    <t>A0324</t>
  </si>
  <si>
    <t>CHOLVASTATIN TAB</t>
  </si>
  <si>
    <t>A0325</t>
  </si>
  <si>
    <t>CIFLON TABLET</t>
  </si>
  <si>
    <t>A0327</t>
  </si>
  <si>
    <t>CINOLON CREAM</t>
  </si>
  <si>
    <t>A0328</t>
  </si>
  <si>
    <t>CINOLON N CREAM</t>
  </si>
  <si>
    <t>A0329</t>
  </si>
  <si>
    <t>CINULA TAB</t>
  </si>
  <si>
    <t>A0333</t>
  </si>
  <si>
    <t>CITROSOL ( MISOPROSTOL) TAB</t>
  </si>
  <si>
    <t>A0334</t>
  </si>
  <si>
    <t>CIVELL TAB 500MG (CIPROFLOXACIN )</t>
  </si>
  <si>
    <t>A0335</t>
  </si>
  <si>
    <t>CLANEKSI CAP 500 MG</t>
  </si>
  <si>
    <t>A0336</t>
  </si>
  <si>
    <t>CLANEKSI FORTE SYR 60 ML</t>
  </si>
  <si>
    <t>A0337</t>
  </si>
  <si>
    <t>CLANEKSI SYR 60 ML</t>
  </si>
  <si>
    <t>A0338</t>
  </si>
  <si>
    <t>CLINJOS CAP 300 MG</t>
  </si>
  <si>
    <t>A0341</t>
  </si>
  <si>
    <t>CLINMAS CAP 300 MG</t>
  </si>
  <si>
    <t>A0342</t>
  </si>
  <si>
    <t>CLINOVIR CREAM</t>
  </si>
  <si>
    <t>A0343</t>
  </si>
  <si>
    <t>CLINOVIR TAB 200 MG</t>
  </si>
  <si>
    <t>A0344</t>
  </si>
  <si>
    <t>CLINOVIR TAB 400 MG</t>
  </si>
  <si>
    <t>A0348</t>
  </si>
  <si>
    <t>COBAZIM CAP 1000 MG</t>
  </si>
  <si>
    <t>A0349</t>
  </si>
  <si>
    <t>COBAZIM CAP 3000 MG</t>
  </si>
  <si>
    <t>A0350</t>
  </si>
  <si>
    <t>CODEIN TAB 10 MG</t>
  </si>
  <si>
    <t>A0351</t>
  </si>
  <si>
    <t>CODEIN TAB 20 MG</t>
  </si>
  <si>
    <t>A0352</t>
  </si>
  <si>
    <t>CODIPRONT CAP</t>
  </si>
  <si>
    <t>A0354</t>
  </si>
  <si>
    <t>COHISTAN EXP SYR 60ML</t>
  </si>
  <si>
    <t>A0355</t>
  </si>
  <si>
    <t>COLISTIN TAB 1.500.000 UI</t>
  </si>
  <si>
    <t>A0356</t>
  </si>
  <si>
    <t>COLISTIN TAB 250.000 UI</t>
  </si>
  <si>
    <t>A0357</t>
  </si>
  <si>
    <t>COLSANCETIN SYR 125MG/5ML 60 M</t>
  </si>
  <si>
    <t>A0358</t>
  </si>
  <si>
    <t>COLSANCETINE TAB 250 MG</t>
  </si>
  <si>
    <t>A0359</t>
  </si>
  <si>
    <t>COMAFUSIN HEPAR INF 500 ML</t>
  </si>
  <si>
    <t>A0360</t>
  </si>
  <si>
    <t>COMBANTRIN TAB 250 MG</t>
  </si>
  <si>
    <t>A0361</t>
  </si>
  <si>
    <t>COMBANTRIN SYR JERUK</t>
  </si>
  <si>
    <t>A0362</t>
  </si>
  <si>
    <t>COMBIVENT NEBULES</t>
  </si>
  <si>
    <t>A0363</t>
  </si>
  <si>
    <t>COMTUSI SYR 100 ML</t>
  </si>
  <si>
    <t>A0364</t>
  </si>
  <si>
    <t>COMTUSI SYR 60 ML</t>
  </si>
  <si>
    <t>A0365</t>
  </si>
  <si>
    <t>CONCOR 5 MG TAB</t>
  </si>
  <si>
    <t>A0367</t>
  </si>
  <si>
    <t>CORDARONE INJ.150 MG / 3 ML</t>
  </si>
  <si>
    <t>A0368</t>
  </si>
  <si>
    <t>CORTIDEX INJ</t>
  </si>
  <si>
    <t>A0369</t>
  </si>
  <si>
    <t>CORTIDEX TAB</t>
  </si>
  <si>
    <t>A0372</t>
  </si>
  <si>
    <t>COUNTERPAIN CR COOL 15 GR</t>
  </si>
  <si>
    <t>A0373</t>
  </si>
  <si>
    <t>COUNTERPAIN CREAM 60 GR</t>
  </si>
  <si>
    <t>A0374</t>
  </si>
  <si>
    <t>COUNTERPAIN CREAM 15 GR</t>
  </si>
  <si>
    <t>A0375</t>
  </si>
  <si>
    <t>COUNTERPAIN CREAM 30 GR</t>
  </si>
  <si>
    <t>A0376</t>
  </si>
  <si>
    <t>CRAVOX TAB 500 MG</t>
  </si>
  <si>
    <t>A0377</t>
  </si>
  <si>
    <t>CRAVOX INF 100 ML</t>
  </si>
  <si>
    <t>A0378</t>
  </si>
  <si>
    <t>CTM TAB</t>
  </si>
  <si>
    <t>A0382</t>
  </si>
  <si>
    <t>CURCUMA + DHA SYR 120 ML</t>
  </si>
  <si>
    <t>A0383</t>
  </si>
  <si>
    <t>CURCUMA + SYR 60 ML</t>
  </si>
  <si>
    <t>A0384</t>
  </si>
  <si>
    <t>CURCUMA TAB</t>
  </si>
  <si>
    <t>A0387</t>
  </si>
  <si>
    <t>CURLIV PLUS CAP</t>
  </si>
  <si>
    <t>A0389</t>
  </si>
  <si>
    <t>CURVIT CL EMULS SYR 175 ML</t>
  </si>
  <si>
    <t>A0390</t>
  </si>
  <si>
    <t>CURVIT SYR 120ML</t>
  </si>
  <si>
    <t>A0391</t>
  </si>
  <si>
    <t>CURVIT SYR 60 ML</t>
  </si>
  <si>
    <t>A0392</t>
  </si>
  <si>
    <t>CURVIT TAB</t>
  </si>
  <si>
    <t>A0393</t>
  </si>
  <si>
    <t>CYCLO PROGINOVA TAB</t>
  </si>
  <si>
    <t>A0394</t>
  </si>
  <si>
    <t>CYCLOFEM INJ</t>
  </si>
  <si>
    <t>A0395</t>
  </si>
  <si>
    <t>DAKTARIN CREAM 10 GR</t>
  </si>
  <si>
    <t>A0396</t>
  </si>
  <si>
    <t>DAKTARIN CREAM 5 GR</t>
  </si>
  <si>
    <t>A0397</t>
  </si>
  <si>
    <t>DAKTARIN DIAPER 10 GR</t>
  </si>
  <si>
    <t>A0398</t>
  </si>
  <si>
    <t>DALFAROL 200 CAPS</t>
  </si>
  <si>
    <t>A0399</t>
  </si>
  <si>
    <t>DALFAROL 400 MG</t>
  </si>
  <si>
    <t>A0400</t>
  </si>
  <si>
    <t>DANSERA TAB</t>
  </si>
  <si>
    <t>A0401</t>
  </si>
  <si>
    <t>DBL INJ (GLYCERYL TRINITRATE )</t>
  </si>
  <si>
    <t>A0402</t>
  </si>
  <si>
    <t>DECOLGEN TAB</t>
  </si>
  <si>
    <t>A0403</t>
  </si>
  <si>
    <t>DECOLSIN CAP</t>
  </si>
  <si>
    <t>A0404</t>
  </si>
  <si>
    <t>AMOXSAN PAED DROPS</t>
  </si>
  <si>
    <t>A0405</t>
  </si>
  <si>
    <t>DEFLAMAT 100MG CR CAPS</t>
  </si>
  <si>
    <t>A0406</t>
  </si>
  <si>
    <t>DEGIROL LOZENGES ( EROR )</t>
  </si>
  <si>
    <t>A0407</t>
  </si>
  <si>
    <t>MKP CAPLANG 30 ML</t>
  </si>
  <si>
    <t>A0408</t>
  </si>
  <si>
    <t>DEHAF</t>
  </si>
  <si>
    <t>SACHET</t>
  </si>
  <si>
    <t>A0409</t>
  </si>
  <si>
    <t>MKP LANG 60 ML</t>
  </si>
  <si>
    <t>A0411</t>
  </si>
  <si>
    <t>DECUBAL CREAM 20 GR</t>
  </si>
  <si>
    <t>A0413</t>
  </si>
  <si>
    <t>VOMETA FLASH TAB</t>
  </si>
  <si>
    <t>A0414</t>
  </si>
  <si>
    <t>DEPAKENE SYR</t>
  </si>
  <si>
    <t>A0415</t>
  </si>
  <si>
    <t>MYCOSTATIN DROPS 12 ML</t>
  </si>
  <si>
    <t>A0416</t>
  </si>
  <si>
    <t>BONDRONAT INJ 6 MG</t>
  </si>
  <si>
    <t>A0417</t>
  </si>
  <si>
    <t>DEPO PROGESTIN INJ 1 ML/MG</t>
  </si>
  <si>
    <t>A0418</t>
  </si>
  <si>
    <t>SODIME INJ 1 GR VIAL</t>
  </si>
  <si>
    <t>A0419</t>
  </si>
  <si>
    <t>DETTOL WOUND CR 30</t>
  </si>
  <si>
    <t>A0421</t>
  </si>
  <si>
    <t>TRANSAMIN INJ 500 MG</t>
  </si>
  <si>
    <t>A0424</t>
  </si>
  <si>
    <t>DEXTAMIN SYR</t>
  </si>
  <si>
    <t>A0426</t>
  </si>
  <si>
    <t>DEXTAMIN TAB</t>
  </si>
  <si>
    <t>A0428</t>
  </si>
  <si>
    <t>D10 WIDA 500ML</t>
  </si>
  <si>
    <t>A0429</t>
  </si>
  <si>
    <t>SPASMIUM TAB</t>
  </si>
  <si>
    <t>A0430</t>
  </si>
  <si>
    <t>DEXTROSE 10% INF DP 500 ML</t>
  </si>
  <si>
    <t>A0431</t>
  </si>
  <si>
    <t>IM BOOST FORCE SYR 120 ML</t>
  </si>
  <si>
    <t>A0432</t>
  </si>
  <si>
    <t>BIC CARBONAT POWDER TORAY</t>
  </si>
  <si>
    <t>A0433</t>
  </si>
  <si>
    <t>COLDIZO TAB</t>
  </si>
  <si>
    <t>A0434</t>
  </si>
  <si>
    <t>A0436</t>
  </si>
  <si>
    <t>DEXTROSE 5 %SANBE SP 500ML INF ( D-5 )</t>
  </si>
  <si>
    <t>A0437</t>
  </si>
  <si>
    <t>FORTIBI TAB</t>
  </si>
  <si>
    <t>A0438</t>
  </si>
  <si>
    <t>LOVENOX 04 MG/ 04 ML</t>
  </si>
  <si>
    <t>A0439</t>
  </si>
  <si>
    <t>D5 WIDA 500ML</t>
  </si>
  <si>
    <t>A0440</t>
  </si>
  <si>
    <t>DEXTROSE 5 %SANBE DP 500ML INF ( D-5 )</t>
  </si>
  <si>
    <t>A0441</t>
  </si>
  <si>
    <t>ANALTRAM CAPS</t>
  </si>
  <si>
    <t>A0442</t>
  </si>
  <si>
    <t>DEXTROSE 5%-1/2 S INF</t>
  </si>
  <si>
    <t>A0443</t>
  </si>
  <si>
    <t>LACTOPAIN INJ</t>
  </si>
  <si>
    <t>A0444</t>
  </si>
  <si>
    <t>D5-1/4 NS INF DP</t>
  </si>
  <si>
    <t>A0445</t>
  </si>
  <si>
    <t>LAPISTAN 500 MG TAB</t>
  </si>
  <si>
    <t>A0446</t>
  </si>
  <si>
    <t>D- VIT SYR 60ML</t>
  </si>
  <si>
    <t>A0447</t>
  </si>
  <si>
    <t>ZALDIAR TAB</t>
  </si>
  <si>
    <t>A0448</t>
  </si>
  <si>
    <t>HEMAPO 2000UI INJ</t>
  </si>
  <si>
    <t>A0449</t>
  </si>
  <si>
    <t>DIABETASOL COKLAT 180GR</t>
  </si>
  <si>
    <t>A0450</t>
  </si>
  <si>
    <t>DIADIUM TAB</t>
  </si>
  <si>
    <t>A0451</t>
  </si>
  <si>
    <t>VACC VAXIGRIP 0.25 ML</t>
  </si>
  <si>
    <t>A0452</t>
  </si>
  <si>
    <t>DIAMICRON MR TAB</t>
  </si>
  <si>
    <t>A0453</t>
  </si>
  <si>
    <t>NEO BOOST SYR</t>
  </si>
  <si>
    <t>A0454</t>
  </si>
  <si>
    <t>DIAMICRON TAB</t>
  </si>
  <si>
    <t>A0455</t>
  </si>
  <si>
    <t>FIXACEP ORAL DROPS</t>
  </si>
  <si>
    <t>A0456</t>
  </si>
  <si>
    <t>DIANE TAB</t>
  </si>
  <si>
    <t>A0457</t>
  </si>
  <si>
    <t>RENALYTE 200 ML</t>
  </si>
  <si>
    <t>A0458</t>
  </si>
  <si>
    <t>DIANERAL SUSU</t>
  </si>
  <si>
    <t>A0459</t>
  </si>
  <si>
    <t>FERRIZ DROPS</t>
  </si>
  <si>
    <t>A0460</t>
  </si>
  <si>
    <t>DIAZEPAM TAB 2 MG</t>
  </si>
  <si>
    <t>A0461</t>
  </si>
  <si>
    <t>Y-RINS</t>
  </si>
  <si>
    <t>A0462</t>
  </si>
  <si>
    <t>DICYNONE INJ</t>
  </si>
  <si>
    <t>A0463</t>
  </si>
  <si>
    <t>NUCRAL SYR 100 ML</t>
  </si>
  <si>
    <t>A0464</t>
  </si>
  <si>
    <t>NUCRAL TAB</t>
  </si>
  <si>
    <t>A0465</t>
  </si>
  <si>
    <t>DIFLOXIN TAB</t>
  </si>
  <si>
    <t>A0466</t>
  </si>
  <si>
    <t>EVOTHYL 300 MG CAPS</t>
  </si>
  <si>
    <t>A0467</t>
  </si>
  <si>
    <t>DIFLUCAN 2MG/ML INF 100ML</t>
  </si>
  <si>
    <t>A0469</t>
  </si>
  <si>
    <t>DIGENTA CR 10</t>
  </si>
  <si>
    <t>A0470</t>
  </si>
  <si>
    <t>DIGOXIN TAB</t>
  </si>
  <si>
    <t>A0471</t>
  </si>
  <si>
    <t>CARDIOMIN CAPS</t>
  </si>
  <si>
    <t>A0473</t>
  </si>
  <si>
    <t>LAMESON 16 MG</t>
  </si>
  <si>
    <t>A0474</t>
  </si>
  <si>
    <t>INTUNAL SYR 60 ML</t>
  </si>
  <si>
    <t>A0476</t>
  </si>
  <si>
    <t>DIOVAN 80 MG</t>
  </si>
  <si>
    <t>A0477</t>
  </si>
  <si>
    <t>SANMAG TAB</t>
  </si>
  <si>
    <t>A0478</t>
  </si>
  <si>
    <t>DIPROGENTA OINT 5 GR</t>
  </si>
  <si>
    <t>A0479</t>
  </si>
  <si>
    <t>VACC POLIO TETES</t>
  </si>
  <si>
    <t>TETES</t>
  </si>
  <si>
    <t>A0480</t>
  </si>
  <si>
    <t>DISFLATYL TAB</t>
  </si>
  <si>
    <t>A0481</t>
  </si>
  <si>
    <t>FUCOIDAN TAB 100 MG</t>
  </si>
  <si>
    <t>A0483</t>
  </si>
  <si>
    <t>LANTUS SOLOSTAR</t>
  </si>
  <si>
    <t>A0486</t>
  </si>
  <si>
    <t>L -BIO SACHET</t>
  </si>
  <si>
    <t>A0487</t>
  </si>
  <si>
    <t>DOBUTAMIN GIULINI INJ</t>
  </si>
  <si>
    <t>A0488</t>
  </si>
  <si>
    <t>CENDO XITROL EYE OINT</t>
  </si>
  <si>
    <t>A0489</t>
  </si>
  <si>
    <t>DOGMATYL TAB</t>
  </si>
  <si>
    <t>A0490</t>
  </si>
  <si>
    <t>MUCOPECT RETARD TAB 75 MG</t>
  </si>
  <si>
    <t>A0491</t>
  </si>
  <si>
    <t>DOLO NEUROBION TAB</t>
  </si>
  <si>
    <t>A0492</t>
  </si>
  <si>
    <t>DOM SYR</t>
  </si>
  <si>
    <t>A0493</t>
  </si>
  <si>
    <t>DOM TAB</t>
  </si>
  <si>
    <t>A0494</t>
  </si>
  <si>
    <t>DOMETA TAB</t>
  </si>
  <si>
    <t>A0495</t>
  </si>
  <si>
    <t>DOMINAL 10MG FM TAB</t>
  </si>
  <si>
    <t>A0497</t>
  </si>
  <si>
    <t>DOPAMET TAB 250 MG</t>
  </si>
  <si>
    <t>A0498</t>
  </si>
  <si>
    <t>DOPAMIN GIULINI INJ</t>
  </si>
  <si>
    <t>A0500</t>
  </si>
  <si>
    <t>DRAMAMIN TAB</t>
  </si>
  <si>
    <t>A0501</t>
  </si>
  <si>
    <t>DULCOLACTOL SYR</t>
  </si>
  <si>
    <t>A0502</t>
  </si>
  <si>
    <t>DULCOLAX 10 SUPP</t>
  </si>
  <si>
    <t>A0503</t>
  </si>
  <si>
    <t>DULCOLAX SUPP 5 MG</t>
  </si>
  <si>
    <t>A0504</t>
  </si>
  <si>
    <t>DULCOLAX TAB</t>
  </si>
  <si>
    <t>A0505</t>
  </si>
  <si>
    <t>DUMIN SUP 125 MG</t>
  </si>
  <si>
    <t>SUPOSITORIA</t>
  </si>
  <si>
    <t>A0506</t>
  </si>
  <si>
    <t>DUMIN SUP 250 MG</t>
  </si>
  <si>
    <t>A0507</t>
  </si>
  <si>
    <t>DUMIN SYR</t>
  </si>
  <si>
    <t>A0508</t>
  </si>
  <si>
    <t>DUMIN TABLET</t>
  </si>
  <si>
    <t>A0509</t>
  </si>
  <si>
    <t>DUMOCALCIN TAB</t>
  </si>
  <si>
    <t>A0510</t>
  </si>
  <si>
    <t>DUPHASTON TAB</t>
  </si>
  <si>
    <t>A0511</t>
  </si>
  <si>
    <t>DUROGESIC  12,5 MU MATRIX ( YS)</t>
  </si>
  <si>
    <t>A0512</t>
  </si>
  <si>
    <t>DUVADILAN INJ</t>
  </si>
  <si>
    <t>A0513</t>
  </si>
  <si>
    <t>DUVADILAN TAB</t>
  </si>
  <si>
    <t>A0514</t>
  </si>
  <si>
    <t>ECRON 4 MG INJ</t>
  </si>
  <si>
    <t>A0517</t>
  </si>
  <si>
    <t>ELIDEL CREAM 10GR</t>
  </si>
  <si>
    <t>A0518</t>
  </si>
  <si>
    <t>ELKANA SYR 60 ML</t>
  </si>
  <si>
    <t>A0519</t>
  </si>
  <si>
    <t>ELKANA TAB</t>
  </si>
  <si>
    <t>A0521</t>
  </si>
  <si>
    <t>ELOVESS TAB</t>
  </si>
  <si>
    <t>A0522</t>
  </si>
  <si>
    <t>ELOX CR 10 GR</t>
  </si>
  <si>
    <t>A0523</t>
  </si>
  <si>
    <t>ELOX CREAM 5GR</t>
  </si>
  <si>
    <t>A0524</t>
  </si>
  <si>
    <t>ELSAZYM ANAK SACHT</t>
  </si>
  <si>
    <t>A0525</t>
  </si>
  <si>
    <t>ELSAZYM TAB</t>
  </si>
  <si>
    <t>A0526</t>
  </si>
  <si>
    <t>ENCEPHABOL TAB</t>
  </si>
  <si>
    <t>A0527</t>
  </si>
  <si>
    <t>ENERCORE 5000MG SACHET</t>
  </si>
  <si>
    <t>A0528</t>
  </si>
  <si>
    <t>ENERVON C SYR 120 ML</t>
  </si>
  <si>
    <t>A0529</t>
  </si>
  <si>
    <t>ENERVON C TAB '30</t>
  </si>
  <si>
    <t>A0530</t>
  </si>
  <si>
    <t>ENFAMIL 1 KTK 400 GR</t>
  </si>
  <si>
    <t>A0531</t>
  </si>
  <si>
    <t>ENTRASOL VANILA/COKLAT 185GR</t>
  </si>
  <si>
    <t>A0532</t>
  </si>
  <si>
    <t>ENZYPLEX  @ 100 TAB</t>
  </si>
  <si>
    <t>A0533</t>
  </si>
  <si>
    <t>EPEXOL SYR 120 ML</t>
  </si>
  <si>
    <t>A0534</t>
  </si>
  <si>
    <t>EPEXOL TAB</t>
  </si>
  <si>
    <t>A0538</t>
  </si>
  <si>
    <t>EPIDOSIN INJ</t>
  </si>
  <si>
    <t>A0539</t>
  </si>
  <si>
    <t>EQINON CR 15GR ( HYDROQUINONE 4% )</t>
  </si>
  <si>
    <t>A0540</t>
  </si>
  <si>
    <t>EQUAL SACHET</t>
  </si>
  <si>
    <t>A0541</t>
  </si>
  <si>
    <t>ERLAMYCETIN EYE DROP</t>
  </si>
  <si>
    <t>A0542</t>
  </si>
  <si>
    <t>ERYSANBE CAP 200 MG</t>
  </si>
  <si>
    <t>A0543</t>
  </si>
  <si>
    <t>ERYSANBE CAP 500 MG</t>
  </si>
  <si>
    <t>A0544</t>
  </si>
  <si>
    <t>ERYSANBE SYR</t>
  </si>
  <si>
    <t>A0547</t>
  </si>
  <si>
    <t>ESILGAN TAB 1 MG</t>
  </si>
  <si>
    <t>A0548</t>
  </si>
  <si>
    <t>ESILGAN TAB 2MG</t>
  </si>
  <si>
    <t>A0549</t>
  </si>
  <si>
    <t>ESMERON 50 MG INJ</t>
  </si>
  <si>
    <t>A0550</t>
  </si>
  <si>
    <t>ESPERSON 0.25% 5 GR</t>
  </si>
  <si>
    <t>A0551</t>
  </si>
  <si>
    <t>ESPERSON CR 15 GR 0.25%</t>
  </si>
  <si>
    <t>A0553</t>
  </si>
  <si>
    <t>ESTER C EFF</t>
  </si>
  <si>
    <t>A0554</t>
  </si>
  <si>
    <t>ESTER C HOLISTICARE TAB '30</t>
  </si>
  <si>
    <t>A0555</t>
  </si>
  <si>
    <t>ESTER C STR</t>
  </si>
  <si>
    <t>A0556</t>
  </si>
  <si>
    <t>ESTHERO TAB 0.625 MG</t>
  </si>
  <si>
    <t>A0557</t>
  </si>
  <si>
    <t>ETASON 5MG INJ</t>
  </si>
  <si>
    <t>A0567</t>
  </si>
  <si>
    <t>EUPHILLIN RETARD TAB</t>
  </si>
  <si>
    <t>A0568</t>
  </si>
  <si>
    <t>EUPHILLIN RETARD MITE TAB</t>
  </si>
  <si>
    <t>A0569</t>
  </si>
  <si>
    <t>OBH COMBI SYR 60 ML</t>
  </si>
  <si>
    <t>A0570</t>
  </si>
  <si>
    <t>EVOTHYL 100 MG CAPS</t>
  </si>
  <si>
    <t>A0571</t>
  </si>
  <si>
    <t>EXCELASE CAPSUL</t>
  </si>
  <si>
    <t>A0572</t>
  </si>
  <si>
    <t>EXLUTON TAB</t>
  </si>
  <si>
    <t>A0574</t>
  </si>
  <si>
    <t>EZERRA CREAM 25GR</t>
  </si>
  <si>
    <t>A0575</t>
  </si>
  <si>
    <t>FAKTU OINT</t>
  </si>
  <si>
    <t>A0576</t>
  </si>
  <si>
    <t>FAKTU SUPP</t>
  </si>
  <si>
    <t>A0577</t>
  </si>
  <si>
    <t>FARBION 5000 INJ</t>
  </si>
  <si>
    <t>A0578</t>
  </si>
  <si>
    <t>FARGOXIN INJ. 0.5 MG/2 ML ( 0.25 MG )</t>
  </si>
  <si>
    <t>A0579</t>
  </si>
  <si>
    <t>FARGOXIN TAB</t>
  </si>
  <si>
    <t>A0580</t>
  </si>
  <si>
    <t>FARMADOL INF</t>
  </si>
  <si>
    <t>A0581</t>
  </si>
  <si>
    <t>FARSIX INJ</t>
  </si>
  <si>
    <t>A0582</t>
  </si>
  <si>
    <t>FATIGON TAB SPIRIT</t>
  </si>
  <si>
    <t>A0589</t>
  </si>
  <si>
    <t>FELDENE FLASH 20 MG</t>
  </si>
  <si>
    <t>A0590</t>
  </si>
  <si>
    <t>FELDENE GEL 0,5 % 15 GR</t>
  </si>
  <si>
    <t>A0592</t>
  </si>
  <si>
    <t>FERLIN DROP</t>
  </si>
  <si>
    <t>A0593</t>
  </si>
  <si>
    <t>FERLIN SYR 100 ML</t>
  </si>
  <si>
    <t>A0594</t>
  </si>
  <si>
    <t>FERRIZ FAST MELT TAB</t>
  </si>
  <si>
    <t>A0595</t>
  </si>
  <si>
    <t>FERRIZ SYRUP 100 ML</t>
  </si>
  <si>
    <t>A0596</t>
  </si>
  <si>
    <t>FETAVITA KAPSUL</t>
  </si>
  <si>
    <t>A0597</t>
  </si>
  <si>
    <t>FG TROCHES TAB</t>
  </si>
  <si>
    <t>A0598</t>
  </si>
  <si>
    <t>FIMAFUSIN INF 500 ML</t>
  </si>
  <si>
    <t>A0599</t>
  </si>
  <si>
    <t>FITKOM</t>
  </si>
  <si>
    <t>A0600</t>
  </si>
  <si>
    <t>FIXIPHAR SYR 100 MG</t>
  </si>
  <si>
    <t>A0601</t>
  </si>
  <si>
    <t>FLADYSTIN OVULE</t>
  </si>
  <si>
    <t>A0602</t>
  </si>
  <si>
    <t>FLAGYL SUPP. 0,5 GR</t>
  </si>
  <si>
    <t>A0603</t>
  </si>
  <si>
    <t>FLAGYL SYR</t>
  </si>
  <si>
    <t>A0604</t>
  </si>
  <si>
    <t>FLAGYSTATIN OVULA</t>
  </si>
  <si>
    <t>A0605</t>
  </si>
  <si>
    <t>FLAMAR 25 MG TAB</t>
  </si>
  <si>
    <t>A0606</t>
  </si>
  <si>
    <t>FLAMAR 50 MG TAB</t>
  </si>
  <si>
    <t>A0607</t>
  </si>
  <si>
    <t>FLAMAR GEL 20 GR</t>
  </si>
  <si>
    <t>A0608</t>
  </si>
  <si>
    <t>FLUARIX</t>
  </si>
  <si>
    <t>A0611</t>
  </si>
  <si>
    <t>FLUDANE CAP</t>
  </si>
  <si>
    <t>A0612</t>
  </si>
  <si>
    <t>FLUDANE PLUS CAP</t>
  </si>
  <si>
    <t>A0613</t>
  </si>
  <si>
    <t>FLUIMUCIL 200 MG SACCET</t>
  </si>
  <si>
    <t>A0614</t>
  </si>
  <si>
    <t>FLUIMUCIL 600 MG EFFERVESCENT</t>
  </si>
  <si>
    <t>A0615</t>
  </si>
  <si>
    <t>FLUIMUCIL CAP 200 MG</t>
  </si>
  <si>
    <t>A0616</t>
  </si>
  <si>
    <t>FLUIMUCIL DRY SYR 75 ML</t>
  </si>
  <si>
    <t>A0617</t>
  </si>
  <si>
    <t>FLUIMUCIL PAED 100MG SACHET</t>
  </si>
  <si>
    <t>A0619</t>
  </si>
  <si>
    <t>FOLAC TAB</t>
  </si>
  <si>
    <t>A0620</t>
  </si>
  <si>
    <t>FOLAMIL CAP</t>
  </si>
  <si>
    <t>A0621</t>
  </si>
  <si>
    <t>FOLAMIL GENIO CAPS</t>
  </si>
  <si>
    <t>A0622</t>
  </si>
  <si>
    <t>FOLAPLUS TAB</t>
  </si>
  <si>
    <t>A0623</t>
  </si>
  <si>
    <t>FOLAVIT TAB</t>
  </si>
  <si>
    <t>A0638</t>
  </si>
  <si>
    <t>FORBETES TAB 500 MG</t>
  </si>
  <si>
    <t>A0639</t>
  </si>
  <si>
    <t>FORMELL 850 MG TAB(METFORMIN)</t>
  </si>
  <si>
    <t>A0640</t>
  </si>
  <si>
    <t>FORMUNO TAB</t>
  </si>
  <si>
    <t>A0641</t>
  </si>
  <si>
    <t>FOSMICIN 1 G INJ</t>
  </si>
  <si>
    <t>A0642</t>
  </si>
  <si>
    <t>FOSMICIN 2 G INJ</t>
  </si>
  <si>
    <t>A0644</t>
  </si>
  <si>
    <t>FRISIUM TAB</t>
  </si>
  <si>
    <t>A0645</t>
  </si>
  <si>
    <t>FUCOIDAN SYR 120ML</t>
  </si>
  <si>
    <t>A0646</t>
  </si>
  <si>
    <t>FULADIC CREAM 5GR</t>
  </si>
  <si>
    <t>A0648</t>
  </si>
  <si>
    <t>FUTROLIT INF ( SANBE )</t>
  </si>
  <si>
    <t>A0649</t>
  </si>
  <si>
    <t>GALVUS 50MG TAB (VILDAGLIPTIN)</t>
  </si>
  <si>
    <t>A0656</t>
  </si>
  <si>
    <t>GARAMYCIN CR 5 GR</t>
  </si>
  <si>
    <t>A0657</t>
  </si>
  <si>
    <t>GASTRIDIN INJ</t>
  </si>
  <si>
    <t>A0658</t>
  </si>
  <si>
    <t>GASTRUL TABLET</t>
  </si>
  <si>
    <t>A0663</t>
  </si>
  <si>
    <t>GELOFUSINE INF</t>
  </si>
  <si>
    <t>A0665</t>
  </si>
  <si>
    <t>GEN SKIN OINT 5GR</t>
  </si>
  <si>
    <t>A0668</t>
  </si>
  <si>
    <t>GENTIAN VIOLET</t>
  </si>
  <si>
    <t>A0669</t>
  </si>
  <si>
    <t>GERDILIUM TAB</t>
  </si>
  <si>
    <t>A0670</t>
  </si>
  <si>
    <t>GG TAB</t>
  </si>
  <si>
    <t>A0674</t>
  </si>
  <si>
    <t>GLIMEPIRIDE TAB 2 MG</t>
  </si>
  <si>
    <t>A0676</t>
  </si>
  <si>
    <t>GLUCOBAY TAB 50 MG</t>
  </si>
  <si>
    <t>A0677</t>
  </si>
  <si>
    <t>GLUCOPHAGE TAB 500 MG</t>
  </si>
  <si>
    <t>A0678</t>
  </si>
  <si>
    <t>GLUCOPHAGE TAB 850 MG</t>
  </si>
  <si>
    <t>A0679</t>
  </si>
  <si>
    <t>GLUCOPHAGE XR 500 MG</t>
  </si>
  <si>
    <t>A0680</t>
  </si>
  <si>
    <t>GLUCOVANCE 500 MG/2,5MG</t>
  </si>
  <si>
    <t>A0681</t>
  </si>
  <si>
    <t>GLUCOVANCE 500MG/5 MG</t>
  </si>
  <si>
    <t>A0682</t>
  </si>
  <si>
    <t>GLURENORM TAB</t>
  </si>
  <si>
    <t>A0683</t>
  </si>
  <si>
    <t>GLYCORE 10 CR 10GR</t>
  </si>
  <si>
    <t>A0685</t>
  </si>
  <si>
    <t>GOFORAN 1GR INJ (CEFOTAXIME)</t>
  </si>
  <si>
    <t>A0687</t>
  </si>
  <si>
    <t>GOVAZOL 150MG TAB (FLUCONAZOLE</t>
  </si>
  <si>
    <t>A0689</t>
  </si>
  <si>
    <t>GUARPOSID 5MG TAB</t>
  </si>
  <si>
    <t>A0698</t>
  </si>
  <si>
    <t>HAEMACCEL INF</t>
  </si>
  <si>
    <t>A0699</t>
  </si>
  <si>
    <t>HARNAL TAB</t>
  </si>
  <si>
    <t>A0701</t>
  </si>
  <si>
    <t>HEMOBION CAP</t>
  </si>
  <si>
    <t>A0702</t>
  </si>
  <si>
    <t>HEMOHES 6% INF</t>
  </si>
  <si>
    <t>A0703</t>
  </si>
  <si>
    <t>HEPA-BALANCE TAB</t>
  </si>
  <si>
    <t>A0704</t>
  </si>
  <si>
    <t>HEPAMAX CAPSUL</t>
  </si>
  <si>
    <t>A0705</t>
  </si>
  <si>
    <t>HEPAMERZ GRANUL 3 GR</t>
  </si>
  <si>
    <t>A0706</t>
  </si>
  <si>
    <t>HEPAMERZ INJ 10 ML</t>
  </si>
  <si>
    <t>A0707</t>
  </si>
  <si>
    <t>HEPTASAN 4MG TAB</t>
  </si>
  <si>
    <t>A0708</t>
  </si>
  <si>
    <t>HERBESER CD 100 MG CAP</t>
  </si>
  <si>
    <t>A0709</t>
  </si>
  <si>
    <t>HERCLOV 500MG CAP</t>
  </si>
  <si>
    <t>A0710</t>
  </si>
  <si>
    <t>HEROCYN BABY POWDER 200GR</t>
  </si>
  <si>
    <t>A0711</t>
  </si>
  <si>
    <t>HI BONE</t>
  </si>
  <si>
    <t>A0712</t>
  </si>
  <si>
    <t>HI BONE 600 KAPLET</t>
  </si>
  <si>
    <t>A0715</t>
  </si>
  <si>
    <t>HIPNOS INJ</t>
  </si>
  <si>
    <t>A0716</t>
  </si>
  <si>
    <t>HISTAPAN TAB</t>
  </si>
  <si>
    <t>A0717</t>
  </si>
  <si>
    <t>HOMOCLOMIN TAB</t>
  </si>
  <si>
    <t>A0718</t>
  </si>
  <si>
    <t>HP PRO CAP</t>
  </si>
  <si>
    <t>A0719</t>
  </si>
  <si>
    <t>HUMAN ALBUMIN 20%100ML</t>
  </si>
  <si>
    <t>A0720</t>
  </si>
  <si>
    <t>HYDERGIN TAB</t>
  </si>
  <si>
    <t>A0724</t>
  </si>
  <si>
    <t>HYSTOLAN 20MG TAB</t>
  </si>
  <si>
    <t>A0725</t>
  </si>
  <si>
    <t>HISTRINE 10 MG TAB</t>
  </si>
  <si>
    <t>A0727</t>
  </si>
  <si>
    <t>ICHTYOL SALEP 15 GR</t>
  </si>
  <si>
    <t>A0728</t>
  </si>
  <si>
    <t>ILIADIN SPRAY</t>
  </si>
  <si>
    <t>A0729</t>
  </si>
  <si>
    <t>ILOS 50MG TAB (CILOSTAZOL)</t>
  </si>
  <si>
    <t>A0730</t>
  </si>
  <si>
    <t>IM BOOST 1000MG TAB EFF</t>
  </si>
  <si>
    <t>A0731</t>
  </si>
  <si>
    <t>IM BOOST C 1500 MG EFF</t>
  </si>
  <si>
    <t>A0732</t>
  </si>
  <si>
    <t>IM BOOST FORCE SYR 60 ML</t>
  </si>
  <si>
    <t>A0733</t>
  </si>
  <si>
    <t>IM BOOST FORCE TAB</t>
  </si>
  <si>
    <t>A0734</t>
  </si>
  <si>
    <t>IM BOOST SYR 120 ML</t>
  </si>
  <si>
    <t>A0735</t>
  </si>
  <si>
    <t>IM BOOST SYR 60 ML</t>
  </si>
  <si>
    <t>A0736</t>
  </si>
  <si>
    <t>IM BOOST TAB</t>
  </si>
  <si>
    <t>A0737</t>
  </si>
  <si>
    <t>IMPUGAN INJ 20MG/2ML</t>
  </si>
  <si>
    <t>A0738</t>
  </si>
  <si>
    <t>IMUNOS CAP</t>
  </si>
  <si>
    <t>A0739</t>
  </si>
  <si>
    <t>IMUNOS SYR 60 ML</t>
  </si>
  <si>
    <t>A0741</t>
  </si>
  <si>
    <t>INCIDAL OD CAP</t>
  </si>
  <si>
    <t>A0743</t>
  </si>
  <si>
    <t>INDORALYTE SACHET</t>
  </si>
  <si>
    <t>A0744</t>
  </si>
  <si>
    <t>INDUXIN INJ.</t>
  </si>
  <si>
    <t>A0747</t>
  </si>
  <si>
    <t>D5+1/2 NS 500 ML SP</t>
  </si>
  <si>
    <t>A0750</t>
  </si>
  <si>
    <t>INH TAB CIBA 400 MG</t>
  </si>
  <si>
    <t>A0753</t>
  </si>
  <si>
    <t>INPEPSA SYR 100ML</t>
  </si>
  <si>
    <t>A0754</t>
  </si>
  <si>
    <t>INPEPSA SYR 200 ML</t>
  </si>
  <si>
    <t>A0756</t>
  </si>
  <si>
    <t>JARDIANCE 10 MG TAB</t>
  </si>
  <si>
    <t>A0757</t>
  </si>
  <si>
    <t>INTERHISTIN TABLET</t>
  </si>
  <si>
    <t>A0758</t>
  </si>
  <si>
    <t>INTERMIC 250 INJ</t>
  </si>
  <si>
    <t>A0759</t>
  </si>
  <si>
    <t>INTERPRIL 5MG TAB</t>
  </si>
  <si>
    <t>A0761</t>
  </si>
  <si>
    <t>INTRON A PEN 18 JUTA UI</t>
  </si>
  <si>
    <t>A0762</t>
  </si>
  <si>
    <t>INTUNAL F TAB</t>
  </si>
  <si>
    <t>A0763</t>
  </si>
  <si>
    <t>INTUNAL TAB</t>
  </si>
  <si>
    <t>A0764</t>
  </si>
  <si>
    <t>INVICLOT INJ</t>
  </si>
  <si>
    <t>A0765</t>
  </si>
  <si>
    <t>IREMAX TABLET</t>
  </si>
  <si>
    <t>A0767</t>
  </si>
  <si>
    <t>ISOFLURAN /ML INF</t>
  </si>
  <si>
    <t>A0768</t>
  </si>
  <si>
    <t>ISOPRINOSINE SYR</t>
  </si>
  <si>
    <t>A0769</t>
  </si>
  <si>
    <t>ISOPRINOSINE TAB</t>
  </si>
  <si>
    <t>A0770</t>
  </si>
  <si>
    <t>ISOPTIN SR TAB 240 MG</t>
  </si>
  <si>
    <t>A0771</t>
  </si>
  <si>
    <t>ISORBID 10 TAB</t>
  </si>
  <si>
    <t>A0772</t>
  </si>
  <si>
    <t>ISORBID INJ</t>
  </si>
  <si>
    <t>A0774</t>
  </si>
  <si>
    <t>ISPRINOL 500 MG TAB</t>
  </si>
  <si>
    <t>A0775</t>
  </si>
  <si>
    <t>ISPRINOL SYR 60ML</t>
  </si>
  <si>
    <t>A0784</t>
  </si>
  <si>
    <t>JOHNSON'S B POW BLOSSOM 100GR</t>
  </si>
  <si>
    <t>A0785</t>
  </si>
  <si>
    <t>JOHNSON'S B POW BLOSSOM 50GR</t>
  </si>
  <si>
    <t>A0786</t>
  </si>
  <si>
    <t>JOHNSON'S B POW REG 300GR</t>
  </si>
  <si>
    <t>A0788</t>
  </si>
  <si>
    <t>KA DIKLOFENAK 25 MG</t>
  </si>
  <si>
    <t>A0790</t>
  </si>
  <si>
    <t>KAEN 1B INF</t>
  </si>
  <si>
    <t>A0791</t>
  </si>
  <si>
    <t>KAEN 3A INF</t>
  </si>
  <si>
    <t>A0792</t>
  </si>
  <si>
    <t>KAEN 3B INF</t>
  </si>
  <si>
    <t>A0793</t>
  </si>
  <si>
    <t>KAEN 4A INF</t>
  </si>
  <si>
    <t>A0794</t>
  </si>
  <si>
    <t>KAEN MG3 INF</t>
  </si>
  <si>
    <t>A0798</t>
  </si>
  <si>
    <t>KALKURENAL DROP 50 ML</t>
  </si>
  <si>
    <t>A0800</t>
  </si>
  <si>
    <t>KALNEX INJ</t>
  </si>
  <si>
    <t>A0801</t>
  </si>
  <si>
    <t>KALTROFEN 100MG TAB</t>
  </si>
  <si>
    <t>A0802</t>
  </si>
  <si>
    <t>KALXETIN 10 MG TAB</t>
  </si>
  <si>
    <t>A0803</t>
  </si>
  <si>
    <t>KANAMYCIN INJ 1 GR</t>
  </si>
  <si>
    <t>A0804</t>
  </si>
  <si>
    <t>KANDISTATIN SUSP 12 ML</t>
  </si>
  <si>
    <t>A0811</t>
  </si>
  <si>
    <t>OTILON EAR DROP 8 ML</t>
  </si>
  <si>
    <t>A0813</t>
  </si>
  <si>
    <t>KEDACILLIN INJ 1 GR</t>
  </si>
  <si>
    <t>A0814</t>
  </si>
  <si>
    <t>KENACORT A CREAM 10GR</t>
  </si>
  <si>
    <t>A0815</t>
  </si>
  <si>
    <t>KENALOG IN ORABASE</t>
  </si>
  <si>
    <t>A0819</t>
  </si>
  <si>
    <t>KETESSE 2,5% INJ</t>
  </si>
  <si>
    <t>A0820</t>
  </si>
  <si>
    <t>KETESSE 25MG TAB</t>
  </si>
  <si>
    <t>A0823</t>
  </si>
  <si>
    <t>KETOPAIN 30 INJ</t>
  </si>
  <si>
    <t>A0829</t>
  </si>
  <si>
    <t>KETOSTERIL TABLET</t>
  </si>
  <si>
    <t>A0830</t>
  </si>
  <si>
    <t>KETRICIN ORABASE 0.1% 5 GR</t>
  </si>
  <si>
    <t>A0831</t>
  </si>
  <si>
    <t>KETRICINE TAB</t>
  </si>
  <si>
    <t>A0832</t>
  </si>
  <si>
    <t>KLODERMA CREAM 10GR</t>
  </si>
  <si>
    <t>A0833</t>
  </si>
  <si>
    <t>KLOTAREN 25 MG TAB</t>
  </si>
  <si>
    <t>A0834</t>
  </si>
  <si>
    <t>KLOTAREN 50 MG TAB</t>
  </si>
  <si>
    <t>A0838</t>
  </si>
  <si>
    <t>KONIDIN TAB</t>
  </si>
  <si>
    <t>A0840</t>
  </si>
  <si>
    <t>KSR TABLET</t>
  </si>
  <si>
    <t>A0841</t>
  </si>
  <si>
    <t>KTM 100MG INJ (KETAMIN INJ ) / ML</t>
  </si>
  <si>
    <t>A0843</t>
  </si>
  <si>
    <t>LACBON TAB</t>
  </si>
  <si>
    <t>A0844</t>
  </si>
  <si>
    <t>LACEDIM INJ. 1 GR</t>
  </si>
  <si>
    <t>A0845</t>
  </si>
  <si>
    <t>LACIDOFIL CAP</t>
  </si>
  <si>
    <t>A0846</t>
  </si>
  <si>
    <t>LACOLDIN SYR 60 ML</t>
  </si>
  <si>
    <t>A0847</t>
  </si>
  <si>
    <t>LACTACID FEMININE HYG 150 ML</t>
  </si>
  <si>
    <t>A0848</t>
  </si>
  <si>
    <t>LACTACID FEMININE HYG 60 ML</t>
  </si>
  <si>
    <t>A0849</t>
  </si>
  <si>
    <t>LACTACID LIQ 150 ML</t>
  </si>
  <si>
    <t>A0850</t>
  </si>
  <si>
    <t>LACTACID LIQ 60 ML</t>
  </si>
  <si>
    <t>A0851</t>
  </si>
  <si>
    <t>LACTACYD VAG GEL 5ML</t>
  </si>
  <si>
    <t>A0852</t>
  </si>
  <si>
    <t>LACTAMAM TAB</t>
  </si>
  <si>
    <t>A0853</t>
  </si>
  <si>
    <t>LACTO B</t>
  </si>
  <si>
    <t>A0854</t>
  </si>
  <si>
    <t>LACTULAX SYR 60 ML</t>
  </si>
  <si>
    <t>A0855</t>
  </si>
  <si>
    <t>LAMESON INJ 125 MG</t>
  </si>
  <si>
    <t>A0856</t>
  </si>
  <si>
    <t>LAMESON TAB 4 MG</t>
  </si>
  <si>
    <t>A0859</t>
  </si>
  <si>
    <t>LANPRACID 30MG CAPS</t>
  </si>
  <si>
    <t>A0860</t>
  </si>
  <si>
    <t>LANTUROL 200 MG</t>
  </si>
  <si>
    <t>A0861</t>
  </si>
  <si>
    <t>LANTUROL CAP 400 MG</t>
  </si>
  <si>
    <t>A0863</t>
  </si>
  <si>
    <t>LAPIBAL 500 MG</t>
  </si>
  <si>
    <t>A0864</t>
  </si>
  <si>
    <t>LAPICEF CAP 500 MG</t>
  </si>
  <si>
    <t>A0865</t>
  </si>
  <si>
    <t>LAPICEF FORTE SYR 250 MG / 5ML</t>
  </si>
  <si>
    <t>A0866</t>
  </si>
  <si>
    <t>LAPICEF SYR 125 MG / 5ML</t>
  </si>
  <si>
    <t>A0867</t>
  </si>
  <si>
    <t>LAPIFED DM SYR 100 ML</t>
  </si>
  <si>
    <t>A0868</t>
  </si>
  <si>
    <t>LAPIFED EXP SYR 60ML</t>
  </si>
  <si>
    <t>A0869</t>
  </si>
  <si>
    <t>LAPIFED SYR 60 ML</t>
  </si>
  <si>
    <t>A0870</t>
  </si>
  <si>
    <t>LAPIFED TAB</t>
  </si>
  <si>
    <t>A0871</t>
  </si>
  <si>
    <t>LAPIFLOX CAP 500 MG</t>
  </si>
  <si>
    <t>A0872</t>
  </si>
  <si>
    <t>LAPIMOX CAP 500 MG</t>
  </si>
  <si>
    <t>A0873</t>
  </si>
  <si>
    <t>LAPIMOX FORTE SYR 250 ML</t>
  </si>
  <si>
    <t>A0874</t>
  </si>
  <si>
    <t>LAPIMOX SYR 125 ML</t>
  </si>
  <si>
    <t>A0875</t>
  </si>
  <si>
    <t>LAPISIV SYR 100 ML</t>
  </si>
  <si>
    <t>A0876</t>
  </si>
  <si>
    <t>LAPIXIME INJ. 1 GR</t>
  </si>
  <si>
    <t>A0877</t>
  </si>
  <si>
    <t>LAPRAZ CAPSUL</t>
  </si>
  <si>
    <t>A0881</t>
  </si>
  <si>
    <t>LASAL 2 MG CAPSUL</t>
  </si>
  <si>
    <t>A0882</t>
  </si>
  <si>
    <t>LASAL 4 MG CAPS</t>
  </si>
  <si>
    <t>A0883</t>
  </si>
  <si>
    <t>LASAL EXP SYR 2 MG</t>
  </si>
  <si>
    <t>A0884</t>
  </si>
  <si>
    <t>LASAL SYR 100 ML</t>
  </si>
  <si>
    <t>A0885</t>
  </si>
  <si>
    <t>LASERIN SYR 110 ML</t>
  </si>
  <si>
    <t>A0886</t>
  </si>
  <si>
    <t>LASERIN SYR 30 ML</t>
  </si>
  <si>
    <t>A0887</t>
  </si>
  <si>
    <t>LASGAN TAB</t>
  </si>
  <si>
    <t>A0888</t>
  </si>
  <si>
    <t>LASIX INJ</t>
  </si>
  <si>
    <t>A0889</t>
  </si>
  <si>
    <t>LASIX TAB</t>
  </si>
  <si>
    <t>A0890</t>
  </si>
  <si>
    <t>LASMALIN TAB</t>
  </si>
  <si>
    <t>A0891</t>
  </si>
  <si>
    <t>LATROPIL 1200 MG TAB</t>
  </si>
  <si>
    <t>A0892</t>
  </si>
  <si>
    <t>LATROPIL CAP 400 MG</t>
  </si>
  <si>
    <t>A0893</t>
  </si>
  <si>
    <t>LATROPIL SYR 100 ML</t>
  </si>
  <si>
    <t>A0894</t>
  </si>
  <si>
    <t>LAXADINE SYR 110 ML</t>
  </si>
  <si>
    <t>A0895</t>
  </si>
  <si>
    <t>LAXADINE SYR 60 ML</t>
  </si>
  <si>
    <t>A0896</t>
  </si>
  <si>
    <t>LAXOBERON DROPS</t>
  </si>
  <si>
    <t>A0897</t>
  </si>
  <si>
    <t>PROSIC SYRUP 60 ML</t>
  </si>
  <si>
    <t>A0899</t>
  </si>
  <si>
    <t>LESICHOL 300 MG</t>
  </si>
  <si>
    <t>A0900</t>
  </si>
  <si>
    <t>LESICHOL-600 CAPS</t>
  </si>
  <si>
    <t>A0901</t>
  </si>
  <si>
    <t>LETONAL 100MG TABLET</t>
  </si>
  <si>
    <t>A0902</t>
  </si>
  <si>
    <t>LETONAL 25MG TABLET</t>
  </si>
  <si>
    <t>A0905</t>
  </si>
  <si>
    <t>LEVOCIN 500 MG TABLET</t>
  </si>
  <si>
    <t>A0908</t>
  </si>
  <si>
    <t>LEVOSOL INJ</t>
  </si>
  <si>
    <t>A0909</t>
  </si>
  <si>
    <t>LIBRAX TAB</t>
  </si>
  <si>
    <t>A0912</t>
  </si>
  <si>
    <t>LIPITOR 10 MG</t>
  </si>
  <si>
    <t>A0913</t>
  </si>
  <si>
    <t>LIPITOR 20 MG</t>
  </si>
  <si>
    <t>A0914</t>
  </si>
  <si>
    <t>LIPOFOOD CAP</t>
  </si>
  <si>
    <t>A0915</t>
  </si>
  <si>
    <t>LIZOR 500MG (CEFPROZIL)</t>
  </si>
  <si>
    <t>A0916</t>
  </si>
  <si>
    <t>LODIA TAB</t>
  </si>
  <si>
    <t>A0918</t>
  </si>
  <si>
    <t>LONGATIN 25MG CAPS</t>
  </si>
  <si>
    <t>A0920</t>
  </si>
  <si>
    <t>LOSARTAN 50 MG</t>
  </si>
  <si>
    <t>A0921</t>
  </si>
  <si>
    <t>LOVENOX 60 MG / 0.6 ML INJ</t>
  </si>
  <si>
    <t>A0922</t>
  </si>
  <si>
    <t>LUMINAL INJ</t>
  </si>
  <si>
    <t>A0923</t>
  </si>
  <si>
    <t>LUMINAL (PHENOBARBITAL) TAB 30 MG</t>
  </si>
  <si>
    <t>A0924</t>
  </si>
  <si>
    <t>LYCOXY TAB</t>
  </si>
  <si>
    <t>A0925</t>
  </si>
  <si>
    <t>LYDIUM INJ (SODIUM HYALURONATE</t>
  </si>
  <si>
    <t>A0926</t>
  </si>
  <si>
    <t>LYPHANTIL M 200 MG</t>
  </si>
  <si>
    <t>A0927</t>
  </si>
  <si>
    <t>MINYAK ANGIN HERBAL</t>
  </si>
  <si>
    <t>A0928</t>
  </si>
  <si>
    <t>MINYAK TAWON DD</t>
  </si>
  <si>
    <t>A0929</t>
  </si>
  <si>
    <t>MINYAK TAWON EE</t>
  </si>
  <si>
    <t>A0930</t>
  </si>
  <si>
    <t>MINYAK TAWON FF</t>
  </si>
  <si>
    <t>A0931</t>
  </si>
  <si>
    <t>MADU KALIMANTAN 335 ML</t>
  </si>
  <si>
    <t>A0932</t>
  </si>
  <si>
    <t>MADU SUMBAWA 300 ML</t>
  </si>
  <si>
    <t>A0933</t>
  </si>
  <si>
    <t>MADU SUMBAWA 650 ML</t>
  </si>
  <si>
    <t>A0934</t>
  </si>
  <si>
    <t>MADU SUPER SARI BUNGA BALITA 100 ML</t>
  </si>
  <si>
    <t>A0935</t>
  </si>
  <si>
    <t>MADU SUPER SARI BUNGA 100 ML</t>
  </si>
  <si>
    <t>A0936</t>
  </si>
  <si>
    <t>MAGARD FA TABLET</t>
  </si>
  <si>
    <t>A0937</t>
  </si>
  <si>
    <t>MAGTRAL SYR</t>
  </si>
  <si>
    <t>A0938</t>
  </si>
  <si>
    <t>MAINTATE TAB 2.5 MG</t>
  </si>
  <si>
    <t>A0939</t>
  </si>
  <si>
    <t>MALTOFER FOL TAB</t>
  </si>
  <si>
    <t>A0940</t>
  </si>
  <si>
    <t>MALTOFER TAB</t>
  </si>
  <si>
    <t>A0941</t>
  </si>
  <si>
    <t>MANITOL 20 % 500 ML INFUS</t>
  </si>
  <si>
    <t>A0942</t>
  </si>
  <si>
    <t>MARTOS 10 % INF</t>
  </si>
  <si>
    <t>A0952</t>
  </si>
  <si>
    <t>ZITANID TAB</t>
  </si>
  <si>
    <t>A0956</t>
  </si>
  <si>
    <t>MEDIAMER TAB</t>
  </si>
  <si>
    <t>A0957</t>
  </si>
  <si>
    <t>MEDICORT 0.05% CREAM 10GR</t>
  </si>
  <si>
    <t>A0958</t>
  </si>
  <si>
    <t>MEFINAL CAP 250 MG</t>
  </si>
  <si>
    <t>A0959</t>
  </si>
  <si>
    <t>MEFINAL CAP 500 MG</t>
  </si>
  <si>
    <t>A0960</t>
  </si>
  <si>
    <t>MEFIX CAP 500 MG</t>
  </si>
  <si>
    <t>A0961</t>
  </si>
  <si>
    <t>MEGABAL CAP</t>
  </si>
  <si>
    <t>A0962</t>
  </si>
  <si>
    <t>MEIACT TAB 200 MG</t>
  </si>
  <si>
    <t>A0963</t>
  </si>
  <si>
    <t>MELOXICAM 15 MG</t>
  </si>
  <si>
    <t>A0966</t>
  </si>
  <si>
    <t>MEPTIN 0.05 MG TAB</t>
  </si>
  <si>
    <t>A0967</t>
  </si>
  <si>
    <t>MERCOTIN DROP 20 ML</t>
  </si>
  <si>
    <t>A0968</t>
  </si>
  <si>
    <t>MERISLON TAB</t>
  </si>
  <si>
    <t>A0970</t>
  </si>
  <si>
    <t>MEROSAN INJ 0,5 ML</t>
  </si>
  <si>
    <t>A0971</t>
  </si>
  <si>
    <t>MEROSAN INJ 1 GR</t>
  </si>
  <si>
    <t>A0972</t>
  </si>
  <si>
    <t>MERTIGO TAB</t>
  </si>
  <si>
    <t>A0973</t>
  </si>
  <si>
    <t>MESONE CR 10 GR</t>
  </si>
  <si>
    <t>A0974</t>
  </si>
  <si>
    <t>METFORMIN TAB 500 MG</t>
  </si>
  <si>
    <t>A0975</t>
  </si>
  <si>
    <t>METFORMIN TAB 850 MG</t>
  </si>
  <si>
    <t>A0977</t>
  </si>
  <si>
    <t>METHYCOBAL INJ</t>
  </si>
  <si>
    <t>A0983</t>
  </si>
  <si>
    <t>MEYLON 25 ML</t>
  </si>
  <si>
    <t>A0984</t>
  </si>
  <si>
    <t>MEZATRIN 250 MG CAP</t>
  </si>
  <si>
    <t>A0985</t>
  </si>
  <si>
    <t>MGSO4 20 25 ML</t>
  </si>
  <si>
    <t>A0986</t>
  </si>
  <si>
    <t>MGSO4 40 25 ML</t>
  </si>
  <si>
    <t>A0987</t>
  </si>
  <si>
    <t>MICARDIS 80 MG TAB</t>
  </si>
  <si>
    <t>A0988</t>
  </si>
  <si>
    <t>MICARDIS PLUS 80 MG/12,5</t>
  </si>
  <si>
    <t>A0991</t>
  </si>
  <si>
    <t>MICROLAX 5 ML</t>
  </si>
  <si>
    <t>A0996</t>
  </si>
  <si>
    <t>MIKASIN INJ 500MG</t>
  </si>
  <si>
    <t>A0997</t>
  </si>
  <si>
    <t>MILOZ INJ. 15MG/3ML @5AMP</t>
  </si>
  <si>
    <t>A0998</t>
  </si>
  <si>
    <t>MINOPHAGEN INJ 20 ML ( SMMC )</t>
  </si>
  <si>
    <t>A1006</t>
  </si>
  <si>
    <t>MITU SABUN MANDI 200ML</t>
  </si>
  <si>
    <t>A1007</t>
  </si>
  <si>
    <t>MITU SABUNMANDI REFILL200ML</t>
  </si>
  <si>
    <t>A1008</t>
  </si>
  <si>
    <t>MKP LANG 120 ML</t>
  </si>
  <si>
    <t>A1009</t>
  </si>
  <si>
    <t>MKP LANG 15 ML</t>
  </si>
  <si>
    <t>A1010</t>
  </si>
  <si>
    <t>MOLOKO B12 TAB</t>
  </si>
  <si>
    <t>A1011</t>
  </si>
  <si>
    <t>MORPHIN INJ</t>
  </si>
  <si>
    <t>A1012</t>
  </si>
  <si>
    <t>MOSARDAL TAB 500MG</t>
  </si>
  <si>
    <t>A1013</t>
  </si>
  <si>
    <t>MOVICOX 15 MG SUPP</t>
  </si>
  <si>
    <t>A1014</t>
  </si>
  <si>
    <t>MOVIX 15 MG TAB</t>
  </si>
  <si>
    <t>A1015</t>
  </si>
  <si>
    <t>MOVIX 7,5 MG TAB</t>
  </si>
  <si>
    <t>A1016</t>
  </si>
  <si>
    <t>MOXAM 15MG TAB</t>
  </si>
  <si>
    <t>A1018</t>
  </si>
  <si>
    <t>MUCERA DROPS</t>
  </si>
  <si>
    <t>A1019</t>
  </si>
  <si>
    <t>MUCERA FORTE SYRUP</t>
  </si>
  <si>
    <t>A1020</t>
  </si>
  <si>
    <t>MUCERA SYR</t>
  </si>
  <si>
    <t>A1021</t>
  </si>
  <si>
    <t>MUCERA TAB</t>
  </si>
  <si>
    <t>A1022</t>
  </si>
  <si>
    <t>MUCOHEXIN 120 ML SYR 120 ML</t>
  </si>
  <si>
    <t>A1023</t>
  </si>
  <si>
    <t>MUCOHEXIN TAB 8 MG</t>
  </si>
  <si>
    <t>A1024</t>
  </si>
  <si>
    <t>MUCOPECT DROPS</t>
  </si>
  <si>
    <t>A1025</t>
  </si>
  <si>
    <t>MUCOPECT SYR ANAK 60 ML</t>
  </si>
  <si>
    <t>A1026</t>
  </si>
  <si>
    <t>MUCOPECT SYR DEWASA 60 ML</t>
  </si>
  <si>
    <t>A1027</t>
  </si>
  <si>
    <t>MUCOPECT TAB</t>
  </si>
  <si>
    <t>A1028</t>
  </si>
  <si>
    <t>MUCOS DROPS</t>
  </si>
  <si>
    <t>A1029</t>
  </si>
  <si>
    <t>MUCOS SYR</t>
  </si>
  <si>
    <t>A1030</t>
  </si>
  <si>
    <t>MUCOSTA TAB</t>
  </si>
  <si>
    <t>A1031</t>
  </si>
  <si>
    <t>MUSIN SUSPENSI 120ML</t>
  </si>
  <si>
    <t>A1032</t>
  </si>
  <si>
    <t>MUSIN TAB</t>
  </si>
  <si>
    <t>A1033</t>
  </si>
  <si>
    <t>MY BABY POWDER 350GR</t>
  </si>
  <si>
    <t>A1034</t>
  </si>
  <si>
    <t>MYCO Z CR</t>
  </si>
  <si>
    <t>A1035</t>
  </si>
  <si>
    <t>MICROGYNON ( LIBI ) TAB KB</t>
  </si>
  <si>
    <t>A1036</t>
  </si>
  <si>
    <t>MYLANTA SYR 150 ML</t>
  </si>
  <si>
    <t>A1037</t>
  </si>
  <si>
    <t>MYLANTA SYR 50 ML</t>
  </si>
  <si>
    <t>A1038</t>
  </si>
  <si>
    <t>MYLANTA TAB</t>
  </si>
  <si>
    <t>A1039</t>
  </si>
  <si>
    <t>MYONEP TAB</t>
  </si>
  <si>
    <t>A1040</t>
  </si>
  <si>
    <t>MYOTONIC INJEKSI</t>
  </si>
  <si>
    <t>A1042</t>
  </si>
  <si>
    <t>NATRIUM DIKLOFENAK 50 MG</t>
  </si>
  <si>
    <t>A1043</t>
  </si>
  <si>
    <t>OTSU- WI 25 ML</t>
  </si>
  <si>
    <t>A1044</t>
  </si>
  <si>
    <t>NACL 1000 ML ( OTSUKA )</t>
  </si>
  <si>
    <t>A1045</t>
  </si>
  <si>
    <t>WI 1000 ML ( STERILE WATER FOR IRRIG )</t>
  </si>
  <si>
    <t>A1046</t>
  </si>
  <si>
    <t>NACL 100 ML DP</t>
  </si>
  <si>
    <t>A1047</t>
  </si>
  <si>
    <t>NACL 500 WIDA</t>
  </si>
  <si>
    <t>DOS</t>
  </si>
  <si>
    <t>A1049</t>
  </si>
  <si>
    <t>NACL 100 ML OTSUKA</t>
  </si>
  <si>
    <t>A1050</t>
  </si>
  <si>
    <t>NACL INF 250ML SANBE</t>
  </si>
  <si>
    <t>A1051</t>
  </si>
  <si>
    <t>NACL 500 ML SANBE ( DP)</t>
  </si>
  <si>
    <t>A1052</t>
  </si>
  <si>
    <t>NACL 500 ML SANBE ( SP)</t>
  </si>
  <si>
    <t>A1053</t>
  </si>
  <si>
    <t>NALGESTAN TAB</t>
  </si>
  <si>
    <t>A1056</t>
  </si>
  <si>
    <t>NAPREX 250MG/60ML SYR (PCT)</t>
  </si>
  <si>
    <t>A1057</t>
  </si>
  <si>
    <t>NAPREX DROP</t>
  </si>
  <si>
    <t>A1058</t>
  </si>
  <si>
    <t>NARFOZ 4MG/5 ML SYR</t>
  </si>
  <si>
    <t>A1062</t>
  </si>
  <si>
    <t>NATUR E CAP</t>
  </si>
  <si>
    <t>A1063</t>
  </si>
  <si>
    <t>NEBACETIN PAWDER</t>
  </si>
  <si>
    <t>A1072</t>
  </si>
  <si>
    <t>NEOLANTA TAB</t>
  </si>
  <si>
    <t>A1073</t>
  </si>
  <si>
    <t>NEOZEP FORTE TAB</t>
  </si>
  <si>
    <t>A1074</t>
  </si>
  <si>
    <t>NEPHROLIT</t>
  </si>
  <si>
    <t>A1075</t>
  </si>
  <si>
    <t>NEUCITI TAB 500 MG</t>
  </si>
  <si>
    <t>A1076</t>
  </si>
  <si>
    <t>NEURALGIN RX TAB</t>
  </si>
  <si>
    <t>A1077</t>
  </si>
  <si>
    <t>NEUROBION INJ. 5000</t>
  </si>
  <si>
    <t>A1078</t>
  </si>
  <si>
    <t>NEUROBION TAB</t>
  </si>
  <si>
    <t>A1079</t>
  </si>
  <si>
    <t>NEUROBION TAB 5000</t>
  </si>
  <si>
    <t>A1080</t>
  </si>
  <si>
    <t>NEURONTIN 300 MG CAPSUL</t>
  </si>
  <si>
    <t>A1081</t>
  </si>
  <si>
    <t>NEUROSANBE TAB</t>
  </si>
  <si>
    <t>A1082</t>
  </si>
  <si>
    <t>NEUROSANBE INJ</t>
  </si>
  <si>
    <t>A1083</t>
  </si>
  <si>
    <t>NEUROSANBE PLUS TAB</t>
  </si>
  <si>
    <t>A1084</t>
  </si>
  <si>
    <t>NEW DIATABS</t>
  </si>
  <si>
    <t>A1085</t>
  </si>
  <si>
    <t>NEXIUM 20 MG TAB</t>
  </si>
  <si>
    <t>A1086</t>
  </si>
  <si>
    <t>NEXIUM 40 MG TAB</t>
  </si>
  <si>
    <t>A1091</t>
  </si>
  <si>
    <t>SUPER ESTER C TAB</t>
  </si>
  <si>
    <t>A1093</t>
  </si>
  <si>
    <t>NIFUDIAR SYR</t>
  </si>
  <si>
    <t>A1094</t>
  </si>
  <si>
    <t>NIFURAL SYR</t>
  </si>
  <si>
    <t>A1095</t>
  </si>
  <si>
    <t>NIPRO SUREFUSER 100ML</t>
  </si>
  <si>
    <t>A1096</t>
  </si>
  <si>
    <t>NITROCINE 10MG INJ</t>
  </si>
  <si>
    <t>A1097</t>
  </si>
  <si>
    <t>NONFLAMIN CAP</t>
  </si>
  <si>
    <t>A1098</t>
  </si>
  <si>
    <t>NOOTROPIL INJ 3 GR</t>
  </si>
  <si>
    <t>A1099</t>
  </si>
  <si>
    <t>NOPROSTOL 0,2MG TAB</t>
  </si>
  <si>
    <t>A1100</t>
  </si>
  <si>
    <t>NORELUT TAB 5 MG</t>
  </si>
  <si>
    <t>A1101</t>
  </si>
  <si>
    <t>NORIT TAB</t>
  </si>
  <si>
    <t>A1102</t>
  </si>
  <si>
    <t>NORKURON 4 MG INJ</t>
  </si>
  <si>
    <t>A1103</t>
  </si>
  <si>
    <t>NORMOTEN 10MG TAB</t>
  </si>
  <si>
    <t>A1104</t>
  </si>
  <si>
    <t>NORMOTEN 5MG TAB</t>
  </si>
  <si>
    <t>A1105</t>
  </si>
  <si>
    <t>NOROID CREAM</t>
  </si>
  <si>
    <t>A1106</t>
  </si>
  <si>
    <t>NOROID DERMA RASH CREAM 60ML</t>
  </si>
  <si>
    <t>A1107</t>
  </si>
  <si>
    <t>NOROID LOTION 200ML</t>
  </si>
  <si>
    <t>A1108</t>
  </si>
  <si>
    <t>NOTRIXUM 50/5ML INJ</t>
  </si>
  <si>
    <t>A1110</t>
  </si>
  <si>
    <t>NOVALGIN INJ.</t>
  </si>
  <si>
    <t>A1111</t>
  </si>
  <si>
    <t>NOVALGIN SYR</t>
  </si>
  <si>
    <t>A1112</t>
  </si>
  <si>
    <t>NOVALGIN TAB</t>
  </si>
  <si>
    <t>A1113</t>
  </si>
  <si>
    <t>NOVORAPID FLEXPEN</t>
  </si>
  <si>
    <t>A1114</t>
  </si>
  <si>
    <t>NOVELL SMOOTHING CR</t>
  </si>
  <si>
    <t>A1115</t>
  </si>
  <si>
    <t>NOVOMIX 30 FLEXPEN INJ</t>
  </si>
  <si>
    <t>A1116</t>
  </si>
  <si>
    <t>NUFIROM INJ 1GR</t>
  </si>
  <si>
    <t>A1117</t>
  </si>
  <si>
    <t>NULACTA CAP</t>
  </si>
  <si>
    <t>A1118</t>
  </si>
  <si>
    <t>NUTRENSOL 160 GR</t>
  </si>
  <si>
    <t>A1119</t>
  </si>
  <si>
    <t>NYMIKO DROP</t>
  </si>
  <si>
    <t>A1120</t>
  </si>
  <si>
    <t>OBEGYN TAB</t>
  </si>
  <si>
    <t>A1121</t>
  </si>
  <si>
    <t>OBH COMBI PLUS ANAK 60 ML ORANGE/STROBERY</t>
  </si>
  <si>
    <t>A1122</t>
  </si>
  <si>
    <t>OBH COMBI  100 ML</t>
  </si>
  <si>
    <t>A1123</t>
  </si>
  <si>
    <t>OBH NELCO SYR 100 ML</t>
  </si>
  <si>
    <t>A1124</t>
  </si>
  <si>
    <t>OBH NELCO SYR 55 ML</t>
  </si>
  <si>
    <t>A1125</t>
  </si>
  <si>
    <t>OBH SYR IKA 200ML</t>
  </si>
  <si>
    <t>A1126</t>
  </si>
  <si>
    <t>OBUCORT SWINGHALER</t>
  </si>
  <si>
    <t>A1127</t>
  </si>
  <si>
    <t>OCUSON TAB</t>
  </si>
  <si>
    <t>A1128</t>
  </si>
  <si>
    <t>ODR INJ 4 MG</t>
  </si>
  <si>
    <t>A1129</t>
  </si>
  <si>
    <t>ODR INJ 8 MG</t>
  </si>
  <si>
    <t>A1134</t>
  </si>
  <si>
    <t>OLIVE OIL</t>
  </si>
  <si>
    <t>A1140</t>
  </si>
  <si>
    <t>ONDAVELL 4 MG TAB</t>
  </si>
  <si>
    <t>A1141</t>
  </si>
  <si>
    <t>OPICEF CAP 500MG</t>
  </si>
  <si>
    <t>A1142</t>
  </si>
  <si>
    <t>OPICEF DRY SYRUP 125 MG</t>
  </si>
  <si>
    <t>A1143</t>
  </si>
  <si>
    <t>OPICEF FORTE SYR</t>
  </si>
  <si>
    <t>A1144</t>
  </si>
  <si>
    <t>OPIMOX 500 MG KAPLET</t>
  </si>
  <si>
    <t>A1145</t>
  </si>
  <si>
    <t>OPINACEA TAB</t>
  </si>
  <si>
    <t>A1146</t>
  </si>
  <si>
    <t>OPINEURON TAB</t>
  </si>
  <si>
    <t>A1147</t>
  </si>
  <si>
    <t>OPIXIME 100MG CAPSUL</t>
  </si>
  <si>
    <t>A1148</t>
  </si>
  <si>
    <t>OPIXIME SYR</t>
  </si>
  <si>
    <t>A1150</t>
  </si>
  <si>
    <t>OSTE FORTE TAB</t>
  </si>
  <si>
    <t>A1151</t>
  </si>
  <si>
    <t>OSTE KAPLET</t>
  </si>
  <si>
    <t>A1152</t>
  </si>
  <si>
    <t>OSTELOX 15 MG</t>
  </si>
  <si>
    <t>A1153</t>
  </si>
  <si>
    <t>OSTELOX 7,5MG TAB</t>
  </si>
  <si>
    <t>A1154</t>
  </si>
  <si>
    <t>OTOLIN EAR DROPS</t>
  </si>
  <si>
    <t>A1155</t>
  </si>
  <si>
    <t>OTOPAIN EAR DROP</t>
  </si>
  <si>
    <t>A1156</t>
  </si>
  <si>
    <t>OTRIVIN 0,1% TTS HIDUNG DWS</t>
  </si>
  <si>
    <t>A1157</t>
  </si>
  <si>
    <t>OTRIVIN 0.05% ANAK</t>
  </si>
  <si>
    <t>A1158</t>
  </si>
  <si>
    <t>OTSU SALIN 3</t>
  </si>
  <si>
    <t>A1159</t>
  </si>
  <si>
    <t>OTTOZOL INJ</t>
  </si>
  <si>
    <t>A1161</t>
  </si>
  <si>
    <t>OZEN DROPS</t>
  </si>
  <si>
    <t>A1162</t>
  </si>
  <si>
    <t>OZEN SYR</t>
  </si>
  <si>
    <t>A1163</t>
  </si>
  <si>
    <t>P E G SOLUTION 1000 ML</t>
  </si>
  <si>
    <t>A1167</t>
  </si>
  <si>
    <t>PANADOL COLD &amp; FLU TAB</t>
  </si>
  <si>
    <t>A1168</t>
  </si>
  <si>
    <t>PANADOL DROPS</t>
  </si>
  <si>
    <t>A1169</t>
  </si>
  <si>
    <t>PANADOL EXTRA TAB</t>
  </si>
  <si>
    <t>A1170</t>
  </si>
  <si>
    <t>PANADOL SYR 30 ML</t>
  </si>
  <si>
    <t>A1171</t>
  </si>
  <si>
    <t>PANADOL SYR 60 ML</t>
  </si>
  <si>
    <t>A1172</t>
  </si>
  <si>
    <t>PANADOL TAB</t>
  </si>
  <si>
    <t>A1173</t>
  </si>
  <si>
    <t>PAN-AMIN G INF 500 ML</t>
  </si>
  <si>
    <t>A1174</t>
  </si>
  <si>
    <t>PANKREOFLAT TAB</t>
  </si>
  <si>
    <t>A1175</t>
  </si>
  <si>
    <t>PANKREON FOR CHILDREN</t>
  </si>
  <si>
    <t>A1176</t>
  </si>
  <si>
    <t>PANSO 40 MG INJ (PANTOPRAZOLE)</t>
  </si>
  <si>
    <t>A1177</t>
  </si>
  <si>
    <t>PANTOCAIN T.M. 0,5% 5CC</t>
  </si>
  <si>
    <t>A1178</t>
  </si>
  <si>
    <t>PANTOZOL TAB 20 MG</t>
  </si>
  <si>
    <t>A1179</t>
  </si>
  <si>
    <t>PANTOZOL KAPS 40 MG</t>
  </si>
  <si>
    <t>A1183</t>
  </si>
  <si>
    <t>PARASOL LOT</t>
  </si>
  <si>
    <t>A1184</t>
  </si>
  <si>
    <t>PARASOL SPF 30 LOTION</t>
  </si>
  <si>
    <t>A1185</t>
  </si>
  <si>
    <t>PECTOCIL CAP 200MG</t>
  </si>
  <si>
    <t>A1186</t>
  </si>
  <si>
    <t>PEDIALYTE SYR</t>
  </si>
  <si>
    <t>A1187</t>
  </si>
  <si>
    <t>PEHACAIN INJ</t>
  </si>
  <si>
    <t>A1188</t>
  </si>
  <si>
    <t>PEHADOXIN FORTE</t>
  </si>
  <si>
    <t>A1189</t>
  </si>
  <si>
    <t>PEHADOXIN TABLET</t>
  </si>
  <si>
    <t>A1201</t>
  </si>
  <si>
    <t>PERVITA TAB</t>
  </si>
  <si>
    <t>A1202</t>
  </si>
  <si>
    <t>PETHIDINE INJ</t>
  </si>
  <si>
    <t>A1203</t>
  </si>
  <si>
    <t>PHAROLIT</t>
  </si>
  <si>
    <t>A1204</t>
  </si>
  <si>
    <t>PHENYTOIN CAP 100 MG</t>
  </si>
  <si>
    <t>A1205</t>
  </si>
  <si>
    <t>PHENYTOIN INJ 50 MG/ML</t>
  </si>
  <si>
    <t>A1206</t>
  </si>
  <si>
    <t>VACC CAMPAK</t>
  </si>
  <si>
    <t>A1207</t>
  </si>
  <si>
    <t>PIBAKSIN OINT 10GR(MUPIROSIN 2</t>
  </si>
  <si>
    <t>A1208</t>
  </si>
  <si>
    <t>PICYN VIAL 1500 MG</t>
  </si>
  <si>
    <t>A1215</t>
  </si>
  <si>
    <t>PK 1 KG</t>
  </si>
  <si>
    <t>A1217</t>
  </si>
  <si>
    <t>PLACTA TABLET</t>
  </si>
  <si>
    <t>A1219</t>
  </si>
  <si>
    <t>PLASMIN CAP</t>
  </si>
  <si>
    <t>A1220</t>
  </si>
  <si>
    <t>PLASMINEX TAB</t>
  </si>
  <si>
    <t>A1221</t>
  </si>
  <si>
    <t>PLAVIX TAB</t>
  </si>
  <si>
    <t>A1222</t>
  </si>
  <si>
    <t>PLAVOS TAB</t>
  </si>
  <si>
    <t>A1223</t>
  </si>
  <si>
    <t>PLEXION 50MG (EPERISON HCL)TAB</t>
  </si>
  <si>
    <t>A1224</t>
  </si>
  <si>
    <t>NIPE PEDIATRIC DROPS</t>
  </si>
  <si>
    <t>A1240</t>
  </si>
  <si>
    <t>POLYSILANE 100 ML</t>
  </si>
  <si>
    <t>A1241</t>
  </si>
  <si>
    <t>POLYSILANE SYR 180ML</t>
  </si>
  <si>
    <t>A1242</t>
  </si>
  <si>
    <t>POLYSILANE TAB</t>
  </si>
  <si>
    <t>A1243</t>
  </si>
  <si>
    <t>PONDEX SYR</t>
  </si>
  <si>
    <t>A1244</t>
  </si>
  <si>
    <t>PONSTAN TAB 500 MG</t>
  </si>
  <si>
    <t>A1245</t>
  </si>
  <si>
    <t>POSPARGIN INJ.</t>
  </si>
  <si>
    <t>A1246</t>
  </si>
  <si>
    <t>POSPARGIN TAB</t>
  </si>
  <si>
    <t>A1249</t>
  </si>
  <si>
    <t>POSTOVIT TAB</t>
  </si>
  <si>
    <t>A1256</t>
  </si>
  <si>
    <t>DEXAMETASON TAB 0.5 MG HARSEN</t>
  </si>
  <si>
    <t>A1258</t>
  </si>
  <si>
    <t>POVIDON IODINE 1000 ML</t>
  </si>
  <si>
    <t>A1259</t>
  </si>
  <si>
    <t>PRAXILENE 200</t>
  </si>
  <si>
    <t>A1260</t>
  </si>
  <si>
    <t>PRAXION DROPS</t>
  </si>
  <si>
    <t>A1261</t>
  </si>
  <si>
    <t>PRAXION F SYR</t>
  </si>
  <si>
    <t>A1262</t>
  </si>
  <si>
    <t>PRAXION SYR</t>
  </si>
  <si>
    <t>A1263</t>
  </si>
  <si>
    <t>PRECOFAR INF</t>
  </si>
  <si>
    <t>A1266</t>
  </si>
  <si>
    <t>PREGNOLIN TAB</t>
  </si>
  <si>
    <t>A1267</t>
  </si>
  <si>
    <t>PREMASTON TAB</t>
  </si>
  <si>
    <t>A1269</t>
  </si>
  <si>
    <t>PRENAMIA KAPSUL</t>
  </si>
  <si>
    <t>A1270</t>
  </si>
  <si>
    <t>PRENATIN DF TAB</t>
  </si>
  <si>
    <t>A1272</t>
  </si>
  <si>
    <t>PRESEPT TAB 0,5 G</t>
  </si>
  <si>
    <t>A1273</t>
  </si>
  <si>
    <t>PRIMADEX SYR</t>
  </si>
  <si>
    <t>A1274</t>
  </si>
  <si>
    <t>PRIMOLUT N TAB</t>
  </si>
  <si>
    <t>A1275</t>
  </si>
  <si>
    <t>PRIMPERAN INJ</t>
  </si>
  <si>
    <t>A1276</t>
  </si>
  <si>
    <t>PRIMPERAN TAB 10 MG</t>
  </si>
  <si>
    <t>A1277</t>
  </si>
  <si>
    <t>PROANES INJ</t>
  </si>
  <si>
    <t>A1278</t>
  </si>
  <si>
    <t>PROBI SACHET</t>
  </si>
  <si>
    <t>A1279</t>
  </si>
  <si>
    <t>PROFERTIL TAB 50 MG</t>
  </si>
  <si>
    <t>A1280</t>
  </si>
  <si>
    <t>PROLACTA BABY CAP</t>
  </si>
  <si>
    <t>A1281</t>
  </si>
  <si>
    <t>PROLACTA MOTHER CAP</t>
  </si>
  <si>
    <t>A1282</t>
  </si>
  <si>
    <t>PROLIC CAP 300 MG</t>
  </si>
  <si>
    <t>A1283</t>
  </si>
  <si>
    <t>PROMAG TAB</t>
  </si>
  <si>
    <t>A1284</t>
  </si>
  <si>
    <t>PRONALGES TAB 100 MG</t>
  </si>
  <si>
    <t>A1289</t>
  </si>
  <si>
    <t>PRORENAL TAB</t>
  </si>
  <si>
    <t>A1290</t>
  </si>
  <si>
    <t>PRORIS FORTE SYR 60 ML</t>
  </si>
  <si>
    <t>A1291</t>
  </si>
  <si>
    <t>PRORIS  SYR 60 ML</t>
  </si>
  <si>
    <t>A1292</t>
  </si>
  <si>
    <t>PRORIS SUPP</t>
  </si>
  <si>
    <t>A1293</t>
  </si>
  <si>
    <t>PRORIS TAB 200 MG</t>
  </si>
  <si>
    <t>A1294</t>
  </si>
  <si>
    <t>PROTEXIN INFANT</t>
  </si>
  <si>
    <t>A1295</t>
  </si>
  <si>
    <t>PROTOFEN 100 MG TAB</t>
  </si>
  <si>
    <t>A1296</t>
  </si>
  <si>
    <t>PROTOFEN SUPP 100 MG</t>
  </si>
  <si>
    <t>A1297</t>
  </si>
  <si>
    <t>PROTOPIC 0,1% OINT 10GR</t>
  </si>
  <si>
    <t>A1298</t>
  </si>
  <si>
    <t>PROXIDAN 400 LICAPS</t>
  </si>
  <si>
    <t>A1300</t>
  </si>
  <si>
    <t>PULMICORT RESP 0.5 MG (1 MG/ 2ML)</t>
  </si>
  <si>
    <t>A1301</t>
  </si>
  <si>
    <t>PUMPITOR 20 MG CAP</t>
  </si>
  <si>
    <t>A1302</t>
  </si>
  <si>
    <t>PUROL POWDER BIRU 90GR</t>
  </si>
  <si>
    <t>A1303</t>
  </si>
  <si>
    <t>PUROL POWDER PINK 90GR</t>
  </si>
  <si>
    <t>A1304</t>
  </si>
  <si>
    <t>PYRAVIT SYR 225 ML</t>
  </si>
  <si>
    <t>A1306</t>
  </si>
  <si>
    <t>QIDROX CAP 500 MG</t>
  </si>
  <si>
    <t>A1307</t>
  </si>
  <si>
    <t>QIDROX FORTE SYR 250 ML</t>
  </si>
  <si>
    <t>A1308</t>
  </si>
  <si>
    <t>QIDROX SYR 125 ML</t>
  </si>
  <si>
    <t>A1309</t>
  </si>
  <si>
    <t>QUINOBIOTIC 500MG TAB</t>
  </si>
  <si>
    <t>A1310</t>
  </si>
  <si>
    <t>RANICARE SYR 60 ML</t>
  </si>
  <si>
    <t>A1312</t>
  </si>
  <si>
    <t>RANITIDINE INJ 25MG</t>
  </si>
  <si>
    <t>A1313</t>
  </si>
  <si>
    <t>RANIVEL SYR</t>
  </si>
  <si>
    <t>A1314</t>
  </si>
  <si>
    <t>RD WIDA 500 ML</t>
  </si>
  <si>
    <t>A1315</t>
  </si>
  <si>
    <t>RD SANBE INF 500ML DP</t>
  </si>
  <si>
    <t>A1316</t>
  </si>
  <si>
    <t>RECOLFAR TAB</t>
  </si>
  <si>
    <t>A1321</t>
  </si>
  <si>
    <t>REDOXON EFFERVESCENT</t>
  </si>
  <si>
    <t>A1322</t>
  </si>
  <si>
    <t>REFAQUIN CR 15GR</t>
  </si>
  <si>
    <t>A1324</t>
  </si>
  <si>
    <t>RENOSAN INF 500ML</t>
  </si>
  <si>
    <t>A1325</t>
  </si>
  <si>
    <t>RENOVIT BOTOL 30'S</t>
  </si>
  <si>
    <t>A1326</t>
  </si>
  <si>
    <t>RENOVIT STRIP</t>
  </si>
  <si>
    <t>A1327</t>
  </si>
  <si>
    <t>RENXAMIN INF</t>
  </si>
  <si>
    <t>A1328</t>
  </si>
  <si>
    <t>REOTAL 400 MG TAB</t>
  </si>
  <si>
    <t>A1329</t>
  </si>
  <si>
    <t>NOURISHSKIN ULTIMET 30''</t>
  </si>
  <si>
    <t>A1331</t>
  </si>
  <si>
    <t>MADECASSOL OITMENT 10 GR</t>
  </si>
  <si>
    <t>A1332</t>
  </si>
  <si>
    <t>SCABIMITE CR 10 GR</t>
  </si>
  <si>
    <t>A1333</t>
  </si>
  <si>
    <t>RETIN A 0,1% CR 20GR</t>
  </si>
  <si>
    <t>A1334</t>
  </si>
  <si>
    <t>RHINATIOL SYR ANAK / INFANT</t>
  </si>
  <si>
    <t>A1335</t>
  </si>
  <si>
    <t>RHINOFED SYR 60 ML</t>
  </si>
  <si>
    <t>A1336</t>
  </si>
  <si>
    <t>RHINOFED TAB</t>
  </si>
  <si>
    <t>A1337</t>
  </si>
  <si>
    <t>RHINOS SR CAPS</t>
  </si>
  <si>
    <t>A1341</t>
  </si>
  <si>
    <t>RIFAMTIBI TAB 450 MG</t>
  </si>
  <si>
    <t>A1342</t>
  </si>
  <si>
    <t>RIFASTAR 4 FDC TAB</t>
  </si>
  <si>
    <t>A1343</t>
  </si>
  <si>
    <t>RIMACTANE SYR 100 ML</t>
  </si>
  <si>
    <t>A1344</t>
  </si>
  <si>
    <t>RIMACTAZID TAB 450/300</t>
  </si>
  <si>
    <t>A1345</t>
  </si>
  <si>
    <t>RIMACTAZID PAED 75/50MG</t>
  </si>
  <si>
    <t>A1346</t>
  </si>
  <si>
    <t>RIMCURE PAED TAB</t>
  </si>
  <si>
    <t>A1347</t>
  </si>
  <si>
    <t>RIMSTAR 4-FDC TAB</t>
  </si>
  <si>
    <t>A1348</t>
  </si>
  <si>
    <t>RING AS SP 500 ML</t>
  </si>
  <si>
    <t>A1349</t>
  </si>
  <si>
    <t>RING AS DP 500ML</t>
  </si>
  <si>
    <t>A1350</t>
  </si>
  <si>
    <t>RISPERDAL 1MG TAB</t>
  </si>
  <si>
    <t>A1351</t>
  </si>
  <si>
    <t>RIVANOL 100 ML</t>
  </si>
  <si>
    <t>A1352</t>
  </si>
  <si>
    <t>RIVANOL 200 ML</t>
  </si>
  <si>
    <t>A1353</t>
  </si>
  <si>
    <t>FORUMEN T T</t>
  </si>
  <si>
    <t>A1354</t>
  </si>
  <si>
    <t>RL SANBE INF 500ML DP</t>
  </si>
  <si>
    <t>A1355</t>
  </si>
  <si>
    <t>RL SANBE INF 500ML SP</t>
  </si>
  <si>
    <t>A1356</t>
  </si>
  <si>
    <t>ROCER INJ 40MG</t>
  </si>
  <si>
    <t>A1357</t>
  </si>
  <si>
    <t>ROCER TABLET</t>
  </si>
  <si>
    <t>A1358</t>
  </si>
  <si>
    <t>ROHTO COOL 10 ML</t>
  </si>
  <si>
    <t>A1359</t>
  </si>
  <si>
    <t>ROHTO EYE DROPS</t>
  </si>
  <si>
    <t>A1360</t>
  </si>
  <si>
    <t>ROVADIN TAB 500 MG</t>
  </si>
  <si>
    <t>A1361</t>
  </si>
  <si>
    <t>RYVEL DROPS (CETIRIZINE)10MG/M</t>
  </si>
  <si>
    <t>A1362</t>
  </si>
  <si>
    <t>RYVEL SYR 60ML (CETIRIZINE)</t>
  </si>
  <si>
    <t>A1363</t>
  </si>
  <si>
    <t>RYVELL 10 MG TAB</t>
  </si>
  <si>
    <t>A1364</t>
  </si>
  <si>
    <t>RYZO TAB</t>
  </si>
  <si>
    <t>A1366</t>
  </si>
  <si>
    <t>SAGESTAM CREAM 10 GR</t>
  </si>
  <si>
    <t>A1367</t>
  </si>
  <si>
    <t>SAGESTAM EYE/EAR DROP</t>
  </si>
  <si>
    <t>A1368</t>
  </si>
  <si>
    <t>SAGESTAM INJEKSI</t>
  </si>
  <si>
    <t>A1369</t>
  </si>
  <si>
    <t>SAKATONIK ABC TAB</t>
  </si>
  <si>
    <t>A1372</t>
  </si>
  <si>
    <t>SALICYL TALK KF</t>
  </si>
  <si>
    <t>A1373</t>
  </si>
  <si>
    <t>SALIN 3 INF 500ML</t>
  </si>
  <si>
    <t>A1374</t>
  </si>
  <si>
    <t>SALOFALK 500 (MESALAZINE) TAB</t>
  </si>
  <si>
    <t>A1375</t>
  </si>
  <si>
    <t>SALTICIN CREAM 5 GR</t>
  </si>
  <si>
    <t>A1376</t>
  </si>
  <si>
    <t>SANADRYL EXP 60 ML</t>
  </si>
  <si>
    <t>A1377</t>
  </si>
  <si>
    <t>SANADRYL DMP 60 ML</t>
  </si>
  <si>
    <t>A1378</t>
  </si>
  <si>
    <t>SANADRYL DMP SYR 120 ML</t>
  </si>
  <si>
    <t>A1379</t>
  </si>
  <si>
    <t>SANADRYL EXP SYR 120 ML</t>
  </si>
  <si>
    <t>A1380</t>
  </si>
  <si>
    <t>SANAZET TAB</t>
  </si>
  <si>
    <t>A1381</t>
  </si>
  <si>
    <t>SANGOBION CAP</t>
  </si>
  <si>
    <t>A1382</t>
  </si>
  <si>
    <t>SANGOBION SYR 100 ML</t>
  </si>
  <si>
    <t>A1384</t>
  </si>
  <si>
    <t>SANLIN TAB 500 MG</t>
  </si>
  <si>
    <t>A1386</t>
  </si>
  <si>
    <t>SANMOL DROP 60 ML</t>
  </si>
  <si>
    <t>A1387</t>
  </si>
  <si>
    <t>SANMOL SYR 60 ML</t>
  </si>
  <si>
    <t>A1388</t>
  </si>
  <si>
    <t>SANMOL TAB</t>
  </si>
  <si>
    <t>A1389</t>
  </si>
  <si>
    <t>SANPRIMA FORTE TAB</t>
  </si>
  <si>
    <t>A1390</t>
  </si>
  <si>
    <t>SANPRIMA SYR 60 ML</t>
  </si>
  <si>
    <t>A1391</t>
  </si>
  <si>
    <t>SANPRIMA TAB</t>
  </si>
  <si>
    <t>A1392</t>
  </si>
  <si>
    <t>SANTA E TAB 100 MG</t>
  </si>
  <si>
    <t>A1393</t>
  </si>
  <si>
    <t>SANTIBI TAB 500 MG</t>
  </si>
  <si>
    <t>A1394</t>
  </si>
  <si>
    <t>SANTIBI PLUS</t>
  </si>
  <si>
    <t>A1395</t>
  </si>
  <si>
    <t>SARI KURMA 350GR SYR</t>
  </si>
  <si>
    <t>A1396</t>
  </si>
  <si>
    <t>SARI MADU 650 ML</t>
  </si>
  <si>
    <t>A1397</t>
  </si>
  <si>
    <t>SCOOT EMULSION 200 ML</t>
  </si>
  <si>
    <t>A1398</t>
  </si>
  <si>
    <t>SCOOT EMULSION SYR 400 ML</t>
  </si>
  <si>
    <t>A1399</t>
  </si>
  <si>
    <t>SCOPAMIN PLUS TABLET</t>
  </si>
  <si>
    <t>A1400</t>
  </si>
  <si>
    <t>SCOPAMIN TABLET</t>
  </si>
  <si>
    <t>A1401</t>
  </si>
  <si>
    <t>SEBIVO 600 TAB</t>
  </si>
  <si>
    <t>A1404</t>
  </si>
  <si>
    <t>SELOXY CAP</t>
  </si>
  <si>
    <t>A1408</t>
  </si>
  <si>
    <t>SICLIDON CAP 100 MG</t>
  </si>
  <si>
    <t>A1409</t>
  </si>
  <si>
    <t>SIFROL TAB 0,125 MG</t>
  </si>
  <si>
    <t>A1418</t>
  </si>
  <si>
    <t>SIMARC TAB 2 MG</t>
  </si>
  <si>
    <t>A1421</t>
  </si>
  <si>
    <t>SIRDALUD 2 MG TAB</t>
  </si>
  <si>
    <t>A1422</t>
  </si>
  <si>
    <t>SIRPLUS SYR 100ML</t>
  </si>
  <si>
    <t>A1423</t>
  </si>
  <si>
    <t>SISTENOL TAB</t>
  </si>
  <si>
    <t>A1424</t>
  </si>
  <si>
    <t>SOCEF INJ.</t>
  </si>
  <si>
    <t>A1425</t>
  </si>
  <si>
    <t>SOCID 20MG CAPSUL</t>
  </si>
  <si>
    <t>A1426</t>
  </si>
  <si>
    <t>SOCLAF INJ. 1 GR</t>
  </si>
  <si>
    <t>A1427</t>
  </si>
  <si>
    <t>SOFIX 100MG CAP</t>
  </si>
  <si>
    <t>A1430</t>
  </si>
  <si>
    <t>SOHOBAL 500 MG CAP</t>
  </si>
  <si>
    <t>A1431</t>
  </si>
  <si>
    <t>SOHOLIN 500MG TAB</t>
  </si>
  <si>
    <t>A1432</t>
  </si>
  <si>
    <t>SOHOLIN INJ</t>
  </si>
  <si>
    <t>A1433</t>
  </si>
  <si>
    <t>SOLAC SYR</t>
  </si>
  <si>
    <t>A1434</t>
  </si>
  <si>
    <t>SOLANS CAP</t>
  </si>
  <si>
    <t>A1435</t>
  </si>
  <si>
    <t>SOMEROL 125 MG INJ</t>
  </si>
  <si>
    <t>A1436</t>
  </si>
  <si>
    <t>SOMEROL TAB 4MG</t>
  </si>
  <si>
    <t>A1437</t>
  </si>
  <si>
    <t>SOPIROM 1GR INJ (CEFPIROME)</t>
  </si>
  <si>
    <t>A1440</t>
  </si>
  <si>
    <t>SPASMINAL TAB</t>
  </si>
  <si>
    <t>A1441</t>
  </si>
  <si>
    <t>SPEDIFEN 600MG SACCHET</t>
  </si>
  <si>
    <t>A1445</t>
  </si>
  <si>
    <t>SPIRAMYCIN TAB 500 MG</t>
  </si>
  <si>
    <t>A1446</t>
  </si>
  <si>
    <t>SPIRASIN TAB 500MG</t>
  </si>
  <si>
    <t>A1447</t>
  </si>
  <si>
    <t>SPORETIK CAP 100MG</t>
  </si>
  <si>
    <t>A1448</t>
  </si>
  <si>
    <t>SPORETIK DRY SYR</t>
  </si>
  <si>
    <t>A1461</t>
  </si>
  <si>
    <t>STATOR 10 MG TAB</t>
  </si>
  <si>
    <t>A1464</t>
  </si>
  <si>
    <t>STESOLID INJ 10MG/2ML</t>
  </si>
  <si>
    <t>A1465</t>
  </si>
  <si>
    <t>STESOLID SUPP 10 MG</t>
  </si>
  <si>
    <t>A1466</t>
  </si>
  <si>
    <t>STESOLID SUPP 5 MG</t>
  </si>
  <si>
    <t>A1467</t>
  </si>
  <si>
    <t>STESOLID SYR 60 ML</t>
  </si>
  <si>
    <t>A1468</t>
  </si>
  <si>
    <t>STIMUNO CAP</t>
  </si>
  <si>
    <t>A1469</t>
  </si>
  <si>
    <t>STIMUNO SYR 60ML</t>
  </si>
  <si>
    <t>A1470</t>
  </si>
  <si>
    <t>STOLAX SUP</t>
  </si>
  <si>
    <t>A1474</t>
  </si>
  <si>
    <t>STREPTOMYCIN 1GR INJ</t>
  </si>
  <si>
    <t>A1475</t>
  </si>
  <si>
    <t>STROCAIN -P TAB</t>
  </si>
  <si>
    <t>A1476</t>
  </si>
  <si>
    <t>STUGERON TAB</t>
  </si>
  <si>
    <t>A1482</t>
  </si>
  <si>
    <t>SULCOLON 500MG TAB</t>
  </si>
  <si>
    <t>A1484</t>
  </si>
  <si>
    <t>SUMAGESIC TAB</t>
  </si>
  <si>
    <t>A1485</t>
  </si>
  <si>
    <t>SUPRAFENID SUPP.</t>
  </si>
  <si>
    <t>A1490</t>
  </si>
  <si>
    <t>SYNBIO CAP</t>
  </si>
  <si>
    <t>A1491</t>
  </si>
  <si>
    <t>SYNTOCINON INJ</t>
  </si>
  <si>
    <t>A1492</t>
  </si>
  <si>
    <t>TANAPRES TAB 5 MG</t>
  </si>
  <si>
    <t>A1493</t>
  </si>
  <si>
    <t>TANTUM VERDE 120 ML</t>
  </si>
  <si>
    <t>A1494</t>
  </si>
  <si>
    <t>TANTUM VERDE 60 ML</t>
  </si>
  <si>
    <t>A1495</t>
  </si>
  <si>
    <t>TARIVID OTIC 50 LOTION</t>
  </si>
  <si>
    <t>A1496</t>
  </si>
  <si>
    <t>TARIVID TAB 200 MG</t>
  </si>
  <si>
    <t>A1497</t>
  </si>
  <si>
    <t>TAXEGRAM VIAL 0,5 GR</t>
  </si>
  <si>
    <t>A1498</t>
  </si>
  <si>
    <t>TAXEGRAM VIAL 1 GR</t>
  </si>
  <si>
    <t>A1502</t>
  </si>
  <si>
    <t>TEMPRA DROP 15 ML</t>
  </si>
  <si>
    <t>A1503</t>
  </si>
  <si>
    <t>TEMPRA FORTE SYR 60 ML</t>
  </si>
  <si>
    <t>A1504</t>
  </si>
  <si>
    <t>TEMPRA SYR 60 ML</t>
  </si>
  <si>
    <t>A1505</t>
  </si>
  <si>
    <t>TENSICAP 12.5 TAB</t>
  </si>
  <si>
    <t>A1506</t>
  </si>
  <si>
    <t>TENSICAP 25 TAB</t>
  </si>
  <si>
    <t>A1507</t>
  </si>
  <si>
    <t>TENSINOP 5 MG TABLET</t>
  </si>
  <si>
    <t>A1508</t>
  </si>
  <si>
    <t>TENSIPHAR TAB 5MG</t>
  </si>
  <si>
    <t>A1509</t>
  </si>
  <si>
    <t>TENSIVASK 5 MG TAB</t>
  </si>
  <si>
    <t>A1513</t>
  </si>
  <si>
    <t>TEQUINOL CAP</t>
  </si>
  <si>
    <t>A1514</t>
  </si>
  <si>
    <t>TERFACEF INJ</t>
  </si>
  <si>
    <t>A1516</t>
  </si>
  <si>
    <t>TEVOX 500MG TAB(LEVOFLOXACIN)</t>
  </si>
  <si>
    <t>A1517</t>
  </si>
  <si>
    <t>MYTHAL TAB 50 MG</t>
  </si>
  <si>
    <t>A1518</t>
  </si>
  <si>
    <t>THEOPYLLIN</t>
  </si>
  <si>
    <t>A1519</t>
  </si>
  <si>
    <t>THERAGRAM M</t>
  </si>
  <si>
    <t>A1522</t>
  </si>
  <si>
    <t>PYRAVIT 110 ML</t>
  </si>
  <si>
    <t>A1524</t>
  </si>
  <si>
    <t>THIAMYCIN CAPS 250 MG</t>
  </si>
  <si>
    <t>A1525</t>
  </si>
  <si>
    <t>THIAMYCIN CAPS 500 MG</t>
  </si>
  <si>
    <t>A1526</t>
  </si>
  <si>
    <t>THIAMYCIN SYR 60 ML</t>
  </si>
  <si>
    <t>A1528</t>
  </si>
  <si>
    <t>THROMBO ASPILETS TABLET</t>
  </si>
  <si>
    <t>A1529</t>
  </si>
  <si>
    <t>THROMBOPOP GEL</t>
  </si>
  <si>
    <t>A1530</t>
  </si>
  <si>
    <t>THROMBOPOP OINT</t>
  </si>
  <si>
    <t>A1531</t>
  </si>
  <si>
    <t>THYROZOL 10 MG</t>
  </si>
  <si>
    <t>A1532</t>
  </si>
  <si>
    <t>THYROZOL 5 MG</t>
  </si>
  <si>
    <t>A1533</t>
  </si>
  <si>
    <t>TIRIZ TABLET</t>
  </si>
  <si>
    <t>A1534</t>
  </si>
  <si>
    <t>IBUPROFEN 400 TAB</t>
  </si>
  <si>
    <t>A1535</t>
  </si>
  <si>
    <t>TIZACOM (TIZANIDINE HCL)</t>
  </si>
  <si>
    <t>A1538</t>
  </si>
  <si>
    <t>TOPAZOL IV INJ</t>
  </si>
  <si>
    <t>A1540</t>
  </si>
  <si>
    <t>TRADOSIK CAP</t>
  </si>
  <si>
    <t>A1541</t>
  </si>
  <si>
    <t>TRADOSIK INJ 50 MG</t>
  </si>
  <si>
    <t>A1544</t>
  </si>
  <si>
    <t>TRAMAL CAP</t>
  </si>
  <si>
    <t>A1545</t>
  </si>
  <si>
    <t>TRAMAL INJ 100 MG</t>
  </si>
  <si>
    <t>A1546</t>
  </si>
  <si>
    <t>TRAMAL SUPP.</t>
  </si>
  <si>
    <t>A1547</t>
  </si>
  <si>
    <t>TRANSAMIN INJ 250 MG</t>
  </si>
  <si>
    <t>A1548</t>
  </si>
  <si>
    <t>TRANSAMIN TAB 500 MG</t>
  </si>
  <si>
    <t>A1549</t>
  </si>
  <si>
    <t>TRANSAMIN TAB 250 MG</t>
  </si>
  <si>
    <t>A1550</t>
  </si>
  <si>
    <t>TRANSPULMIN BALSEM 20 GR</t>
  </si>
  <si>
    <t>A1551</t>
  </si>
  <si>
    <t>TRANSPULMIN BALSEM 10GR</t>
  </si>
  <si>
    <t>A1552</t>
  </si>
  <si>
    <t>TRANSPULMIN BB 10 GR</t>
  </si>
  <si>
    <t>A1553</t>
  </si>
  <si>
    <t>TRANSPULMIN BB 20 GR</t>
  </si>
  <si>
    <t>A1554</t>
  </si>
  <si>
    <t>TRANSPULMIN SYR 100 ML</t>
  </si>
  <si>
    <t>A1555</t>
  </si>
  <si>
    <t>TRANSPULMIN SYR 60 ML</t>
  </si>
  <si>
    <t>A1556</t>
  </si>
  <si>
    <t>TREMENZA SYRUP 60 ML</t>
  </si>
  <si>
    <t>A1557</t>
  </si>
  <si>
    <t>TREMENZA TAB</t>
  </si>
  <si>
    <t>A1558</t>
  </si>
  <si>
    <t>TRIAMINIC BATUK DAN PILEK  SYR</t>
  </si>
  <si>
    <t>A1559</t>
  </si>
  <si>
    <t>TRIAMINIC DROPS ( NEO TRIAMINIC DROPS )</t>
  </si>
  <si>
    <t>A1560</t>
  </si>
  <si>
    <t>TRIAMINIC EXPECT SYR</t>
  </si>
  <si>
    <t>A1561</t>
  </si>
  <si>
    <t>TRIAMINIC PILEK SYR</t>
  </si>
  <si>
    <t>A1562</t>
  </si>
  <si>
    <t>TRIBESTAN TAB</t>
  </si>
  <si>
    <t>A1563</t>
  </si>
  <si>
    <t>TRICHODAZOL INF 500MG</t>
  </si>
  <si>
    <t>A1564</t>
  </si>
  <si>
    <t>TRICHODAZOL TAB</t>
  </si>
  <si>
    <t>A1565</t>
  </si>
  <si>
    <t>TRIDEX 27A DP</t>
  </si>
  <si>
    <t>A1566</t>
  </si>
  <si>
    <t>TRIDEX 27B DP</t>
  </si>
  <si>
    <t>A1567</t>
  </si>
  <si>
    <t>TRIDEX PLAIN DP</t>
  </si>
  <si>
    <t>A1569</t>
  </si>
  <si>
    <t>TRILAC 4MG TAB</t>
  </si>
  <si>
    <t>A1570</t>
  </si>
  <si>
    <t>TRILAC INJ 10 MG/ML</t>
  </si>
  <si>
    <t>A1571</t>
  </si>
  <si>
    <t>TRIOFUSIN 500 ML</t>
  </si>
  <si>
    <t>A1572</t>
  </si>
  <si>
    <t>TRIOFUSINE E 1000 INFUS 500 ML</t>
  </si>
  <si>
    <t>A1573</t>
  </si>
  <si>
    <t>TRIPANZYM TAB</t>
  </si>
  <si>
    <t>A1575</t>
  </si>
  <si>
    <t>TROVENSIS 8MG TAB (ONDANSETRON</t>
  </si>
  <si>
    <t>A1576</t>
  </si>
  <si>
    <t>TUZALOS TAB</t>
  </si>
  <si>
    <t>A1577</t>
  </si>
  <si>
    <t>ULCERANIN 150 MG TAB</t>
  </si>
  <si>
    <t>A1578</t>
  </si>
  <si>
    <t>ULCERANIN INJ</t>
  </si>
  <si>
    <t>A1580</t>
  </si>
  <si>
    <t>UNAGEN TAB</t>
  </si>
  <si>
    <t>A1581</t>
  </si>
  <si>
    <t>UNALIUM 5MG TAB</t>
  </si>
  <si>
    <t>A1583</t>
  </si>
  <si>
    <t>UPLORES 150 MG</t>
  </si>
  <si>
    <t>A1584</t>
  </si>
  <si>
    <t>URDAFALK</t>
  </si>
  <si>
    <t>A1587</t>
  </si>
  <si>
    <t>URINEG TAB</t>
  </si>
  <si>
    <t>A1588</t>
  </si>
  <si>
    <t>URISPAS TAB 200 MG</t>
  </si>
  <si>
    <t>A1589</t>
  </si>
  <si>
    <t>UROGETIX TAB</t>
  </si>
  <si>
    <t>A1590</t>
  </si>
  <si>
    <t>UROTRACTIN TAB</t>
  </si>
  <si>
    <t>A1592</t>
  </si>
  <si>
    <t>VACC ACT HIB INJ</t>
  </si>
  <si>
    <t>A1593</t>
  </si>
  <si>
    <t>VACC ATS 1500 UI INJ</t>
  </si>
  <si>
    <t>A1594</t>
  </si>
  <si>
    <t>VACC DPT + HEP B ( COMBO )</t>
  </si>
  <si>
    <t>A1595</t>
  </si>
  <si>
    <t>VACC ENGERIX B 1 ML INJ</t>
  </si>
  <si>
    <t>A1596</t>
  </si>
  <si>
    <t>VACC EUVAX B 1ML INJ</t>
  </si>
  <si>
    <t>A1597</t>
  </si>
  <si>
    <t>VACC HAVRIX 720 JUNIOR</t>
  </si>
  <si>
    <t>A1598</t>
  </si>
  <si>
    <t>VACC HIBERIX 0.5 ML INJ</t>
  </si>
  <si>
    <t>A1599</t>
  </si>
  <si>
    <t>VACC INFANRIX HIB INJ</t>
  </si>
  <si>
    <t>A1600</t>
  </si>
  <si>
    <t>VACC INFANRIX INJ</t>
  </si>
  <si>
    <t>A1601</t>
  </si>
  <si>
    <t>VACC OKAVAX</t>
  </si>
  <si>
    <t>A1602</t>
  </si>
  <si>
    <t>VACC PEDIACEL 0,5 ML</t>
  </si>
  <si>
    <t>A1603</t>
  </si>
  <si>
    <t>VACC PPD RT 23 INJ</t>
  </si>
  <si>
    <t>A1604</t>
  </si>
  <si>
    <t>VACC PREVENAR</t>
  </si>
  <si>
    <t>A1605</t>
  </si>
  <si>
    <t>VACC SERUM ANTI BISA ULAR</t>
  </si>
  <si>
    <t>A1606</t>
  </si>
  <si>
    <t>VACC TETRAC HIB INJ</t>
  </si>
  <si>
    <t>A1607</t>
  </si>
  <si>
    <t>VACC THYPIM VI INJ</t>
  </si>
  <si>
    <t>A1608</t>
  </si>
  <si>
    <t>VACC TRIMOVAX INJ</t>
  </si>
  <si>
    <t>A1609</t>
  </si>
  <si>
    <t>VACC TRIPACEL 0,5 ML</t>
  </si>
  <si>
    <t>A1610</t>
  </si>
  <si>
    <t>VACC TT INJ/ 5 ML</t>
  </si>
  <si>
    <t>A1611</t>
  </si>
  <si>
    <t>VACC VAXIGRIP 0.5 MG INJ</t>
  </si>
  <si>
    <t>A1612</t>
  </si>
  <si>
    <t>VACLO TABLET</t>
  </si>
  <si>
    <t>A1613</t>
  </si>
  <si>
    <t>VALAMIN INF 500 ML</t>
  </si>
  <si>
    <t>A1614</t>
  </si>
  <si>
    <t>VALISANBE TAB 2 MG</t>
  </si>
  <si>
    <t>A1615</t>
  </si>
  <si>
    <t>VALISANBE TAB 5 MG</t>
  </si>
  <si>
    <t>A1616</t>
  </si>
  <si>
    <t>VASCON INJ</t>
  </si>
  <si>
    <t>A1617</t>
  </si>
  <si>
    <t>NEURODEX TAB</t>
  </si>
  <si>
    <t>A1618</t>
  </si>
  <si>
    <t>SERLOF TAB</t>
  </si>
  <si>
    <t>A1620</t>
  </si>
  <si>
    <t>NEPATIC TAB</t>
  </si>
  <si>
    <t>A1621</t>
  </si>
  <si>
    <t>VECTRIN CAP 300 MG</t>
  </si>
  <si>
    <t>A1622</t>
  </si>
  <si>
    <t>VECTRINE SYR</t>
  </si>
  <si>
    <t>A1628</t>
  </si>
  <si>
    <t>MEPTIN SWINGHALER</t>
  </si>
  <si>
    <t>A1629</t>
  </si>
  <si>
    <t>VENOFER INJ</t>
  </si>
  <si>
    <t>A1630</t>
  </si>
  <si>
    <t>VENTOLIN EXP. CHERRY FLAVOUR S</t>
  </si>
  <si>
    <t>A1631</t>
  </si>
  <si>
    <t>VENTOLIN INHALER</t>
  </si>
  <si>
    <t>A1632</t>
  </si>
  <si>
    <t>VENTOLIN NEB</t>
  </si>
  <si>
    <t>A1635</t>
  </si>
  <si>
    <t>VERILE AGNE GEL 10 GR</t>
  </si>
  <si>
    <t>A1636</t>
  </si>
  <si>
    <t>VERMIC SYR 200MG</t>
  </si>
  <si>
    <t>A1637</t>
  </si>
  <si>
    <t>VERMOX TAB 500 MG</t>
  </si>
  <si>
    <t>A1638</t>
  </si>
  <si>
    <t>VICKS INH</t>
  </si>
  <si>
    <t>A1639</t>
  </si>
  <si>
    <t>VICKS VAPORUB 10 GR</t>
  </si>
  <si>
    <t>A1641</t>
  </si>
  <si>
    <t>VIOXY TAB</t>
  </si>
  <si>
    <t>A1642</t>
  </si>
  <si>
    <t>VISEBAD DROP 15 ML</t>
  </si>
  <si>
    <t>A1643</t>
  </si>
  <si>
    <t>VISEBAD SYR 60</t>
  </si>
  <si>
    <t>A1644</t>
  </si>
  <si>
    <t>VISINE EXTRA EYE DROPS 6 ML</t>
  </si>
  <si>
    <t>A1659</t>
  </si>
  <si>
    <t>VITACHOL CAP</t>
  </si>
  <si>
    <t>A1660</t>
  </si>
  <si>
    <t>VITALONG C TAB</t>
  </si>
  <si>
    <t>A1661</t>
  </si>
  <si>
    <t>VITAMULTI TAB</t>
  </si>
  <si>
    <t>A1662</t>
  </si>
  <si>
    <t>MILMOR TAB</t>
  </si>
  <si>
    <t>A1663</t>
  </si>
  <si>
    <t>VOLTAREN GEL 20 GR</t>
  </si>
  <si>
    <t>A1664</t>
  </si>
  <si>
    <t>VOMERIN 10MG TAB</t>
  </si>
  <si>
    <t>A1665</t>
  </si>
  <si>
    <t>VOMERIN DROPS 10ML</t>
  </si>
  <si>
    <t>A1666</t>
  </si>
  <si>
    <t>VOMERIN SYR 60ML</t>
  </si>
  <si>
    <t>A1667</t>
  </si>
  <si>
    <t>VOMETA DROPS</t>
  </si>
  <si>
    <t>A1668</t>
  </si>
  <si>
    <t>VOMETA SYR</t>
  </si>
  <si>
    <t>A1669</t>
  </si>
  <si>
    <t>VOMIDONE DROPS</t>
  </si>
  <si>
    <t>A1670</t>
  </si>
  <si>
    <t>VOSEDON TAB</t>
  </si>
  <si>
    <t>A1679</t>
  </si>
  <si>
    <t>XANAX TAB 0,25 MG</t>
  </si>
  <si>
    <t>A1680</t>
  </si>
  <si>
    <t>XANAX SR O,5MG TAB</t>
  </si>
  <si>
    <t>A1681</t>
  </si>
  <si>
    <t>XENICAL 120MG CAPS</t>
  </si>
  <si>
    <t>A1685</t>
  </si>
  <si>
    <t>YASMIN TAB</t>
  </si>
  <si>
    <t>A1686</t>
  </si>
  <si>
    <t>YAZ TABLET</t>
  </si>
  <si>
    <t>A1687</t>
  </si>
  <si>
    <t>ZAMEL SYR</t>
  </si>
  <si>
    <t>A1688</t>
  </si>
  <si>
    <t>ZANTADIN INJ</t>
  </si>
  <si>
    <t>A1689</t>
  </si>
  <si>
    <t>ZANTADIN TAB</t>
  </si>
  <si>
    <t>A1690</t>
  </si>
  <si>
    <t>ZEGASE TAB</t>
  </si>
  <si>
    <t>A1691</t>
  </si>
  <si>
    <t>ZEGAVIT TAB</t>
  </si>
  <si>
    <t>A1692</t>
  </si>
  <si>
    <t>ZEVIT GROW TAB</t>
  </si>
  <si>
    <t>A1693</t>
  </si>
  <si>
    <t>ZIBRAMAX TAB 500 MG</t>
  </si>
  <si>
    <t>A1694</t>
  </si>
  <si>
    <t>ZIBRAMAX SYR</t>
  </si>
  <si>
    <t>A1695</t>
  </si>
  <si>
    <t>ZINC CAPLET</t>
  </si>
  <si>
    <t>A1697</t>
  </si>
  <si>
    <t>ZINK SULFAT POWDER</t>
  </si>
  <si>
    <t>A1698</t>
  </si>
  <si>
    <t>ZINKID TAB 20 MG</t>
  </si>
  <si>
    <t>A1699</t>
  </si>
  <si>
    <t>ZINKID SYR</t>
  </si>
  <si>
    <t>A1700</t>
  </si>
  <si>
    <t>ZWITSAL BABY SOAP</t>
  </si>
  <si>
    <t>A1701</t>
  </si>
  <si>
    <t>ZYLORIC TAB 100 MG</t>
  </si>
  <si>
    <t>A1703</t>
  </si>
  <si>
    <t>KALMETHASONE TAB</t>
  </si>
  <si>
    <t>A1704</t>
  </si>
  <si>
    <t>ULTRAPROCT N CREAM 10 GR</t>
  </si>
  <si>
    <t>A1705</t>
  </si>
  <si>
    <t>ULTRAPROCT- N SUP</t>
  </si>
  <si>
    <t>A1706</t>
  </si>
  <si>
    <t>LEMOCIN TAB</t>
  </si>
  <si>
    <t>A1707</t>
  </si>
  <si>
    <t>VIT E BLACKMORE 250IU</t>
  </si>
  <si>
    <t>A1710</t>
  </si>
  <si>
    <t>BIOLYSIN SYR 100 ML</t>
  </si>
  <si>
    <t>A1711</t>
  </si>
  <si>
    <t>KALNEX 500 MG TAB</t>
  </si>
  <si>
    <t>A1712</t>
  </si>
  <si>
    <t>ADONA AC INJ 10 ML</t>
  </si>
  <si>
    <t>A1713</t>
  </si>
  <si>
    <t>AMARYL TAB 1 MG</t>
  </si>
  <si>
    <t>A1717</t>
  </si>
  <si>
    <t>VACC DPT 1 ML INJ</t>
  </si>
  <si>
    <t>A1722</t>
  </si>
  <si>
    <t>SEQUEST SACHET</t>
  </si>
  <si>
    <t>A1724</t>
  </si>
  <si>
    <t>CLARITIN TABLET</t>
  </si>
  <si>
    <t>A1725</t>
  </si>
  <si>
    <t>DISUDRIN DROPS</t>
  </si>
  <si>
    <t>A1726</t>
  </si>
  <si>
    <t>BIOCURLIV TAB</t>
  </si>
  <si>
    <t>A1730</t>
  </si>
  <si>
    <t>PARIET TAB 10 MG</t>
  </si>
  <si>
    <t>A1731</t>
  </si>
  <si>
    <t>FORMYCO TAB</t>
  </si>
  <si>
    <t>A1732</t>
  </si>
  <si>
    <t>OBIMIN AF</t>
  </si>
  <si>
    <t>A1733</t>
  </si>
  <si>
    <t>NIPE SYR 100 ML</t>
  </si>
  <si>
    <t>A1734</t>
  </si>
  <si>
    <t>CURLIV TAB</t>
  </si>
  <si>
    <t>A1735</t>
  </si>
  <si>
    <t>FLIXOTIDE</t>
  </si>
  <si>
    <t>A1736</t>
  </si>
  <si>
    <t>CEFINOV INJ</t>
  </si>
  <si>
    <t>A1737</t>
  </si>
  <si>
    <t>NUTRIFLAM TABLET</t>
  </si>
  <si>
    <t>A1738</t>
  </si>
  <si>
    <t>IMODIUM TABLET</t>
  </si>
  <si>
    <t>A1739</t>
  </si>
  <si>
    <t>VACC ROTARIX</t>
  </si>
  <si>
    <t>A1740</t>
  </si>
  <si>
    <t>PROVERA 10 MG</t>
  </si>
  <si>
    <t>A1741</t>
  </si>
  <si>
    <t>FENISTIL DROP</t>
  </si>
  <si>
    <t>A1742</t>
  </si>
  <si>
    <t>VACC M-M-R - 0.5 ML</t>
  </si>
  <si>
    <t>A1743</t>
  </si>
  <si>
    <t>MEROPENEM INJ 1 GR</t>
  </si>
  <si>
    <t>A1744</t>
  </si>
  <si>
    <t>EXFORGE 10/160 MG</t>
  </si>
  <si>
    <t>A1745</t>
  </si>
  <si>
    <t>MAS - PREMIUM NASAL OXYGEN CANULA DWS</t>
  </si>
  <si>
    <t>A1746</t>
  </si>
  <si>
    <t>TRIAMCINOLON 4 MG TAB</t>
  </si>
  <si>
    <t>A1747</t>
  </si>
  <si>
    <t>OTTOPAN DROPS</t>
  </si>
  <si>
    <t>A1748</t>
  </si>
  <si>
    <t>BERODUAL INHALER</t>
  </si>
  <si>
    <t>A1749</t>
  </si>
  <si>
    <t>OTTOPAN SYR 60 ML</t>
  </si>
  <si>
    <t>A1750</t>
  </si>
  <si>
    <t>CEFNOS INJ</t>
  </si>
  <si>
    <t>A1751</t>
  </si>
  <si>
    <t>CLARITIN SYR 30 ML</t>
  </si>
  <si>
    <t>A1752</t>
  </si>
  <si>
    <t>AMARYL TAB 4 MG</t>
  </si>
  <si>
    <t>A1753</t>
  </si>
  <si>
    <t>POLYSILANE GRANUL</t>
  </si>
  <si>
    <t>A1754</t>
  </si>
  <si>
    <t>CHLORPROMAZIN / CPZ</t>
  </si>
  <si>
    <t>A1756</t>
  </si>
  <si>
    <t>HIALID 0,1% EYE DROP 5ML</t>
  </si>
  <si>
    <t>A1757</t>
  </si>
  <si>
    <t>POLYFLEX IV CATH 20G X 1 1/4 (PUMEX)</t>
  </si>
  <si>
    <t>A1760</t>
  </si>
  <si>
    <t>NEVRADIN E TAB</t>
  </si>
  <si>
    <t>A1761</t>
  </si>
  <si>
    <t>DECODERM 3 CR</t>
  </si>
  <si>
    <t>A1762</t>
  </si>
  <si>
    <t>CETAFLOXO INF</t>
  </si>
  <si>
    <t>A1763</t>
  </si>
  <si>
    <t>NIMOTOP 30 MG TAB</t>
  </si>
  <si>
    <t>A1764</t>
  </si>
  <si>
    <t>MONECTO 20 TAB</t>
  </si>
  <si>
    <t>A1765</t>
  </si>
  <si>
    <t>SERETIDE DISKUS 250 MCG</t>
  </si>
  <si>
    <t>A1766</t>
  </si>
  <si>
    <t>POLYCROL F GEL 180 ML</t>
  </si>
  <si>
    <t>A1767</t>
  </si>
  <si>
    <t>BISOLVON EXTRA SYR 120 ML</t>
  </si>
  <si>
    <t>A1768</t>
  </si>
  <si>
    <t>KN-3B SOL/KK INF 500 ML(TRIDEX 27B)</t>
  </si>
  <si>
    <t>A1769</t>
  </si>
  <si>
    <t>HALOPERIDOL TAB 5MG</t>
  </si>
  <si>
    <t>A1770</t>
  </si>
  <si>
    <t>NULACTA PLUS</t>
  </si>
  <si>
    <t>A1771</t>
  </si>
  <si>
    <t>CLOBAZAM</t>
  </si>
  <si>
    <t>A1772</t>
  </si>
  <si>
    <t>SULFAZALAZINE 500 MG TAB</t>
  </si>
  <si>
    <t>A1773</t>
  </si>
  <si>
    <t>GELIGA KRIM OTOT</t>
  </si>
  <si>
    <t>A1774</t>
  </si>
  <si>
    <t>ELOCON CR 5 GR</t>
  </si>
  <si>
    <t>A1775</t>
  </si>
  <si>
    <t>OTOZAMBON TETES TELINGA</t>
  </si>
  <si>
    <t>A1776</t>
  </si>
  <si>
    <t>MILMOR PLUS</t>
  </si>
  <si>
    <t>A1777</t>
  </si>
  <si>
    <t>ABIXIM DRY SYR 30 ML</t>
  </si>
  <si>
    <t>A1778</t>
  </si>
  <si>
    <t>CORSEL TAB</t>
  </si>
  <si>
    <t>A1779</t>
  </si>
  <si>
    <t>MECOBALAMIN INJ</t>
  </si>
  <si>
    <t>A1780</t>
  </si>
  <si>
    <t>VIPRAM SYRUP</t>
  </si>
  <si>
    <t>A1781</t>
  </si>
  <si>
    <t>PANTOPRAZOLE 40 MG INJ</t>
  </si>
  <si>
    <t>A1782</t>
  </si>
  <si>
    <t>MEDIFLEX CREAM 30GR</t>
  </si>
  <si>
    <t>A1783</t>
  </si>
  <si>
    <t>VIT C TAB 25 MG</t>
  </si>
  <si>
    <t>A1784</t>
  </si>
  <si>
    <t>H2O2 3% 30 ML</t>
  </si>
  <si>
    <t>A1785</t>
  </si>
  <si>
    <t>ECRON 10 MG INJ</t>
  </si>
  <si>
    <t>A1786</t>
  </si>
  <si>
    <t>FUCIDIN ZALF</t>
  </si>
  <si>
    <t>A1788</t>
  </si>
  <si>
    <t>PANTOZOL INJ</t>
  </si>
  <si>
    <t>A1789</t>
  </si>
  <si>
    <t>POLYCROL F TAB</t>
  </si>
  <si>
    <t>A1791</t>
  </si>
  <si>
    <t>LANCAR ASI</t>
  </si>
  <si>
    <t>A1792</t>
  </si>
  <si>
    <t>ZYLORIC TAB 300 MG</t>
  </si>
  <si>
    <t>A1794</t>
  </si>
  <si>
    <t>TRENTAL  INJ 15 ML</t>
  </si>
  <si>
    <t>A1797</t>
  </si>
  <si>
    <t>PHARMATON FORMULA TAB</t>
  </si>
  <si>
    <t>A1798</t>
  </si>
  <si>
    <t>BORAGINOL S SUPP</t>
  </si>
  <si>
    <t>A1799</t>
  </si>
  <si>
    <t>CALCII GLUCONAS 100 MG/ML</t>
  </si>
  <si>
    <t>A1800</t>
  </si>
  <si>
    <t>EQUAL TAB</t>
  </si>
  <si>
    <t>A1801</t>
  </si>
  <si>
    <t>CROMHOPTHAL EYE DROP</t>
  </si>
  <si>
    <t>A1802</t>
  </si>
  <si>
    <t>VALVIR TAB</t>
  </si>
  <si>
    <t>A1803</t>
  </si>
  <si>
    <t>SANDOSTATIN AMPUL</t>
  </si>
  <si>
    <t>A1804</t>
  </si>
  <si>
    <t>TRACRIUM INJ 5 ML</t>
  </si>
  <si>
    <t>A1806</t>
  </si>
  <si>
    <t>HAND SANITIZER</t>
  </si>
  <si>
    <t>A1807</t>
  </si>
  <si>
    <t>MYOTONIC TAB</t>
  </si>
  <si>
    <t>A1808</t>
  </si>
  <si>
    <t>OPIMER INJ 1 GR</t>
  </si>
  <si>
    <t>A1809</t>
  </si>
  <si>
    <t>INLACIN 100 MG</t>
  </si>
  <si>
    <t>A1811</t>
  </si>
  <si>
    <t>NEUROSANBE 5000 TAB</t>
  </si>
  <si>
    <t>A1812</t>
  </si>
  <si>
    <t>THIAMYCIN SYR F</t>
  </si>
  <si>
    <t>A1813</t>
  </si>
  <si>
    <t>CEFORIME INJ</t>
  </si>
  <si>
    <t>A1814</t>
  </si>
  <si>
    <t>PROSTIGMIN INJEC</t>
  </si>
  <si>
    <t>A1815</t>
  </si>
  <si>
    <t>ZIRCUM KID</t>
  </si>
  <si>
    <t>A1816</t>
  </si>
  <si>
    <t>LUTENYL CAPS</t>
  </si>
  <si>
    <t>A1817</t>
  </si>
  <si>
    <t>PRONALGES SUPP</t>
  </si>
  <si>
    <t>A1818</t>
  </si>
  <si>
    <t>ZINC PRO TAB 20 MG</t>
  </si>
  <si>
    <t>A1819</t>
  </si>
  <si>
    <t>AMINOLEBAN INFUS 500 ML</t>
  </si>
  <si>
    <t>A1820</t>
  </si>
  <si>
    <t>MEDERMA CREAM 20 GR</t>
  </si>
  <si>
    <t>A1822</t>
  </si>
  <si>
    <t>ABIXIM 100 MG -CAPS</t>
  </si>
  <si>
    <t>A1823</t>
  </si>
  <si>
    <t>LIPROQY KAPSUL</t>
  </si>
  <si>
    <t>A1824</t>
  </si>
  <si>
    <t>PIROFEL GEL</t>
  </si>
  <si>
    <t>A1825</t>
  </si>
  <si>
    <t>MOSARDAL INF</t>
  </si>
  <si>
    <t>A1826</t>
  </si>
  <si>
    <t>OSTE OD EFF</t>
  </si>
  <si>
    <t>A1827</t>
  </si>
  <si>
    <t>ELKANA CL EMULSI 120 ML</t>
  </si>
  <si>
    <t>A1828</t>
  </si>
  <si>
    <t>PROPEPSA SYR 100ML</t>
  </si>
  <si>
    <t>A1829</t>
  </si>
  <si>
    <t>CAVEA TAB</t>
  </si>
  <si>
    <t>A1831</t>
  </si>
  <si>
    <t>HUFABIONIC CAPS</t>
  </si>
  <si>
    <t>A1832</t>
  </si>
  <si>
    <t>VOLTAREN  GEL 5 GR</t>
  </si>
  <si>
    <t>A1833</t>
  </si>
  <si>
    <t>NO2</t>
  </si>
  <si>
    <t>A1834</t>
  </si>
  <si>
    <t>SMECTA SACC</t>
  </si>
  <si>
    <t>A1835</t>
  </si>
  <si>
    <t>CORDARONE TAB</t>
  </si>
  <si>
    <t>A1836</t>
  </si>
  <si>
    <t>PUMPITOR INJ</t>
  </si>
  <si>
    <t>A1837</t>
  </si>
  <si>
    <t>MONELL DROPS</t>
  </si>
  <si>
    <t>A1838</t>
  </si>
  <si>
    <t>ABIXIM 200 MG -CAPS</t>
  </si>
  <si>
    <t>A1839</t>
  </si>
  <si>
    <t>SPACMACIN CAPS</t>
  </si>
  <si>
    <t>A1841</t>
  </si>
  <si>
    <t>FOSTRIN SYR</t>
  </si>
  <si>
    <t>A1842</t>
  </si>
  <si>
    <t>NAZOVEL TAB 100 MG</t>
  </si>
  <si>
    <t>A1843</t>
  </si>
  <si>
    <t>LANOXIN INJ</t>
  </si>
  <si>
    <t>A1844</t>
  </si>
  <si>
    <t>ACON TEST KEHAMILAN CELUP</t>
  </si>
  <si>
    <t>A1845</t>
  </si>
  <si>
    <t>NEO K INJ 2 MG/ML</t>
  </si>
  <si>
    <t>A1846</t>
  </si>
  <si>
    <t>BIO CURLIV</t>
  </si>
  <si>
    <t>A1848</t>
  </si>
  <si>
    <t>DAKTARIN ORAL GEL 10 GR</t>
  </si>
  <si>
    <t>A1853</t>
  </si>
  <si>
    <t>MAINTATE TAB 5 MG</t>
  </si>
  <si>
    <t>A1854</t>
  </si>
  <si>
    <t>SANADRYL SYR 60 ML</t>
  </si>
  <si>
    <t>A1856</t>
  </si>
  <si>
    <t>ASERING 5 OTSU</t>
  </si>
  <si>
    <t>A1858</t>
  </si>
  <si>
    <t>SOHOBAL 500 MG INJ</t>
  </si>
  <si>
    <t>A1859</t>
  </si>
  <si>
    <t>ILIADIN DROPS</t>
  </si>
  <si>
    <t>A1860</t>
  </si>
  <si>
    <t>ZOMETA 4 MG INJ</t>
  </si>
  <si>
    <t>A1863</t>
  </si>
  <si>
    <t>FLEET ENEMA 133ML</t>
  </si>
  <si>
    <t>A1864</t>
  </si>
  <si>
    <t>ACTACON INJ</t>
  </si>
  <si>
    <t>A1870</t>
  </si>
  <si>
    <t>ELOSKIN CREAM 10 GR</t>
  </si>
  <si>
    <t>A1872</t>
  </si>
  <si>
    <t>STERIMAR NASAL HYGIENE BABY</t>
  </si>
  <si>
    <t>A1874</t>
  </si>
  <si>
    <t>VACC DT 1 ML INJ</t>
  </si>
  <si>
    <t>A1878</t>
  </si>
  <si>
    <t>PROXIME TAB</t>
  </si>
  <si>
    <t>A1879</t>
  </si>
  <si>
    <t>RENODIOL TAB</t>
  </si>
  <si>
    <t>A1880</t>
  </si>
  <si>
    <t>Q TEN TAB</t>
  </si>
  <si>
    <t>A1881</t>
  </si>
  <si>
    <t>BATUGIN ELIXIR  SYR 120 ML</t>
  </si>
  <si>
    <t>A1882</t>
  </si>
  <si>
    <t>ZAMEL DROPS</t>
  </si>
  <si>
    <t>A1883</t>
  </si>
  <si>
    <t>NIXAVEN SYR</t>
  </si>
  <si>
    <t>A1884</t>
  </si>
  <si>
    <t>KAIN KAFAN</t>
  </si>
  <si>
    <t>A1885</t>
  </si>
  <si>
    <t>SCABICID ZALF</t>
  </si>
  <si>
    <t>A1886</t>
  </si>
  <si>
    <t>PHA MINOV INJ</t>
  </si>
  <si>
    <t>A1889</t>
  </si>
  <si>
    <t>KALMOXILLIN INJ</t>
  </si>
  <si>
    <t>A1890</t>
  </si>
  <si>
    <t>LACTACID FEMINIM 230 ML</t>
  </si>
  <si>
    <t>A1891</t>
  </si>
  <si>
    <t>TEMPRA SYR 30 ML</t>
  </si>
  <si>
    <t>A1892</t>
  </si>
  <si>
    <t>ASTHIN FORCE SYR 60 ML</t>
  </si>
  <si>
    <t>A1893</t>
  </si>
  <si>
    <t>RHINOS SYR JUNIOR</t>
  </si>
  <si>
    <t>A1895</t>
  </si>
  <si>
    <t>VACC AVAXIM 160</t>
  </si>
  <si>
    <t>A1897</t>
  </si>
  <si>
    <t>FEVRIN DROP</t>
  </si>
  <si>
    <t>A1898</t>
  </si>
  <si>
    <t>KAMILLOSAN OINT</t>
  </si>
  <si>
    <t>A1900</t>
  </si>
  <si>
    <t>D5 100 ML DP</t>
  </si>
  <si>
    <t>A1902</t>
  </si>
  <si>
    <t>KALMOXILIN TAB 500 MG</t>
  </si>
  <si>
    <t>A1904</t>
  </si>
  <si>
    <t>NEBACETIN OINT</t>
  </si>
  <si>
    <t>A1906</t>
  </si>
  <si>
    <t>SALONPAS GEL</t>
  </si>
  <si>
    <t>A1907</t>
  </si>
  <si>
    <t>POLYCROL F SYR 100ML</t>
  </si>
  <si>
    <t>A1908</t>
  </si>
  <si>
    <t>AMOXSAN  INJ</t>
  </si>
  <si>
    <t>A1909</t>
  </si>
  <si>
    <t>MICARDIS 40MG</t>
  </si>
  <si>
    <t>A1910</t>
  </si>
  <si>
    <t>LMA NO 4</t>
  </si>
  <si>
    <t>A1911</t>
  </si>
  <si>
    <t>SIMCOBAL 500 MG INJ</t>
  </si>
  <si>
    <t>A1912</t>
  </si>
  <si>
    <t>MUCOPECT RETARD 75MG</t>
  </si>
  <si>
    <t>A1916</t>
  </si>
  <si>
    <t>GELANG ANAK</t>
  </si>
  <si>
    <t>A1917</t>
  </si>
  <si>
    <t>CLARINASE TABLET</t>
  </si>
  <si>
    <t>A1918</t>
  </si>
  <si>
    <t>ASAM MEFENAMAT SUSP 50 MG / 5 ML</t>
  </si>
  <si>
    <t>A1919</t>
  </si>
  <si>
    <t>AMBROXOL 15 MG  SYRUP</t>
  </si>
  <si>
    <t>A1920</t>
  </si>
  <si>
    <t>SUPER ESTER -C ( BOTOL )</t>
  </si>
  <si>
    <t>A1921</t>
  </si>
  <si>
    <t>KINDEREN BABY BALSEM 12 G</t>
  </si>
  <si>
    <t>A1922</t>
  </si>
  <si>
    <t>SALICYL LOTION 2%</t>
  </si>
  <si>
    <t>A1925</t>
  </si>
  <si>
    <t>PROME SYR</t>
  </si>
  <si>
    <t>A1926</t>
  </si>
  <si>
    <t>VENFLON IV. CANULLA NO. 24 ( BPJS )</t>
  </si>
  <si>
    <t>A1927</t>
  </si>
  <si>
    <t>VOLTAREN GEL 10 GR</t>
  </si>
  <si>
    <t>A1928</t>
  </si>
  <si>
    <t>LIPANTYL SUPRA</t>
  </si>
  <si>
    <t>A1931</t>
  </si>
  <si>
    <t>MINOSEP GARGLE 150 ML</t>
  </si>
  <si>
    <t>A1932</t>
  </si>
  <si>
    <t>INSTILLAGEL 5 ML</t>
  </si>
  <si>
    <t>A1933</t>
  </si>
  <si>
    <t>OTSU-MGS04 40 INF</t>
  </si>
  <si>
    <t>A1934</t>
  </si>
  <si>
    <t>FUSYCOM CREAM 5 G</t>
  </si>
  <si>
    <t>A1935</t>
  </si>
  <si>
    <t>NEUROTAM INF 12 GR/60 ML</t>
  </si>
  <si>
    <t>A1936</t>
  </si>
  <si>
    <t>ZYPREXA 10MG TAB</t>
  </si>
  <si>
    <t>A1938</t>
  </si>
  <si>
    <t>DERMAKEL KIDS GEL 19 GR</t>
  </si>
  <si>
    <t>A1939</t>
  </si>
  <si>
    <t>NATTO-10</t>
  </si>
  <si>
    <t>A1940</t>
  </si>
  <si>
    <t>ALOCLAIR GARGLE</t>
  </si>
  <si>
    <t>A1941</t>
  </si>
  <si>
    <t>PIDOVIX</t>
  </si>
  <si>
    <t>A1942</t>
  </si>
  <si>
    <t>DERMAKEL GEL 19 GR</t>
  </si>
  <si>
    <t>A1943</t>
  </si>
  <si>
    <t>PROMAVIT TAB</t>
  </si>
  <si>
    <t>A1944</t>
  </si>
  <si>
    <t>BISOLVON SOL 50 ML</t>
  </si>
  <si>
    <t>A1945</t>
  </si>
  <si>
    <t>OSTEOKOM FORTE</t>
  </si>
  <si>
    <t>A1947</t>
  </si>
  <si>
    <t>OTSU- D40 INF 25ML</t>
  </si>
  <si>
    <t>A1949</t>
  </si>
  <si>
    <t>CILOSTAZOL TAB 100 MG</t>
  </si>
  <si>
    <t>A1950</t>
  </si>
  <si>
    <t>NACL 1000 ML ( SANBE )</t>
  </si>
  <si>
    <t>A1951</t>
  </si>
  <si>
    <t>CEFPIROME 1 GR</t>
  </si>
  <si>
    <t>A1952</t>
  </si>
  <si>
    <t>ABBOTIC XL 500</t>
  </si>
  <si>
    <t>A1955</t>
  </si>
  <si>
    <t>PROFENID SUPP</t>
  </si>
  <si>
    <t>A1956</t>
  </si>
  <si>
    <t>OTSU-NS 25 ML</t>
  </si>
  <si>
    <t>A1957</t>
  </si>
  <si>
    <t>OTSU - KCL 7,46 INF</t>
  </si>
  <si>
    <t>A1960</t>
  </si>
  <si>
    <t>MONECTO TABLET</t>
  </si>
  <si>
    <t>A1961</t>
  </si>
  <si>
    <t>GARAMYCIN OINT/ SALEP</t>
  </si>
  <si>
    <t>A1962</t>
  </si>
  <si>
    <t>NORVASK 10 MG</t>
  </si>
  <si>
    <t>A1963</t>
  </si>
  <si>
    <t>ACTOS TABLET 30MG</t>
  </si>
  <si>
    <t>A1964</t>
  </si>
  <si>
    <t>MONEL SUSPENSI 60 ML</t>
  </si>
  <si>
    <t>A1965</t>
  </si>
  <si>
    <t>BIOCAL 95 TAB</t>
  </si>
  <si>
    <t>A1966</t>
  </si>
  <si>
    <t>PROZAC CAP</t>
  </si>
  <si>
    <t>A1967</t>
  </si>
  <si>
    <t>DECOLGEN FX</t>
  </si>
  <si>
    <t>A1968</t>
  </si>
  <si>
    <t>OTSU-MGS04 20 INF</t>
  </si>
  <si>
    <t>A1970</t>
  </si>
  <si>
    <t>GCM FORTE</t>
  </si>
  <si>
    <t>A1971</t>
  </si>
  <si>
    <t>PIRACETAM  1,2G/ 60 ML</t>
  </si>
  <si>
    <t>A1972</t>
  </si>
  <si>
    <t>DECADRYL INJ</t>
  </si>
  <si>
    <t>A1974</t>
  </si>
  <si>
    <t>STERICIDE</t>
  </si>
  <si>
    <t>A1975</t>
  </si>
  <si>
    <t>UTROGESTAN 200 MG</t>
  </si>
  <si>
    <t>A1976</t>
  </si>
  <si>
    <t>CATGUT PLAIN 4/0 HR 17</t>
  </si>
  <si>
    <t>A1977</t>
  </si>
  <si>
    <t>SODEMIX CREAM 15 GR</t>
  </si>
  <si>
    <t>A1978</t>
  </si>
  <si>
    <t>NATUR E HBL 100ML</t>
  </si>
  <si>
    <t>A1979</t>
  </si>
  <si>
    <t>RESPIRIDONE 2MG</t>
  </si>
  <si>
    <t>A1981</t>
  </si>
  <si>
    <t>KETOPROFEN  TAB 50MG</t>
  </si>
  <si>
    <t>A1982</t>
  </si>
  <si>
    <t>MESTINON 60MG</t>
  </si>
  <si>
    <t>A1983</t>
  </si>
  <si>
    <t>TRIATEC 10 MG TAB</t>
  </si>
  <si>
    <t>A1984</t>
  </si>
  <si>
    <t>LIPANTHYL SUPRA 160 MG</t>
  </si>
  <si>
    <t>A1986</t>
  </si>
  <si>
    <t>AZITHROMYCIN SYR 30ML</t>
  </si>
  <si>
    <t>A1987</t>
  </si>
  <si>
    <t>EXTRACE 500 INJ. 100MG/ML</t>
  </si>
  <si>
    <t>A1989</t>
  </si>
  <si>
    <t>SEBAMET LOTION</t>
  </si>
  <si>
    <t>A1990</t>
  </si>
  <si>
    <t>FANSIDAR TAB</t>
  </si>
  <si>
    <t>A1991</t>
  </si>
  <si>
    <t>MADU KALIMANTAN 630 ML</t>
  </si>
  <si>
    <t>A1992</t>
  </si>
  <si>
    <t>EAZYCAL</t>
  </si>
  <si>
    <t>A1993</t>
  </si>
  <si>
    <t>BETAHISTINE 6 MG</t>
  </si>
  <si>
    <t>A1994</t>
  </si>
  <si>
    <t>GLUCOBAY 100 MG</t>
  </si>
  <si>
    <t>A1995</t>
  </si>
  <si>
    <t>BEROTEC INHALER</t>
  </si>
  <si>
    <t>A1996</t>
  </si>
  <si>
    <t>CENDO CENFRES MINI DOS ( MD )</t>
  </si>
  <si>
    <t>A1997</t>
  </si>
  <si>
    <t>COUNTERPAIN CREAM 5 GR</t>
  </si>
  <si>
    <t>A1998</t>
  </si>
  <si>
    <t>TETRACYCLIN 250 MG CAP</t>
  </si>
  <si>
    <t>A1999</t>
  </si>
  <si>
    <t>SANBE HEST 130 DP</t>
  </si>
  <si>
    <t>A2000</t>
  </si>
  <si>
    <t>VITAZYM TABLET</t>
  </si>
  <si>
    <t>AAAM</t>
  </si>
  <si>
    <t>VACC VARILIX INJ 0.5 ML</t>
  </si>
  <si>
    <t>AAAM2301</t>
  </si>
  <si>
    <t>MKP LANG 210 ML</t>
  </si>
  <si>
    <t>AAM23</t>
  </si>
  <si>
    <t>VACC ENGERIX B 0.5 ML</t>
  </si>
  <si>
    <t>AAM2302</t>
  </si>
  <si>
    <t>VACC SYNFLORIX PFS</t>
  </si>
  <si>
    <t>ABBO.OK.001</t>
  </si>
  <si>
    <t>ABBOTIC SYR 30 ML</t>
  </si>
  <si>
    <t>ABBO.OK.002</t>
  </si>
  <si>
    <t>ABBOTIC SYR 60ML</t>
  </si>
  <si>
    <t>ABBO.OK.003</t>
  </si>
  <si>
    <t>ABBO.OK.004</t>
  </si>
  <si>
    <t>ABBOTIC 500 MG TAB</t>
  </si>
  <si>
    <t>ABBO.OK.005</t>
  </si>
  <si>
    <t>ABBOTIC FORTE 50 ML</t>
  </si>
  <si>
    <t>ABIL.OK.001</t>
  </si>
  <si>
    <t>ABILIFY 10 MG</t>
  </si>
  <si>
    <t>ACET.OK.001</t>
  </si>
  <si>
    <t>ACETYLCYSTEINE 200MG CAP</t>
  </si>
  <si>
    <t>ACET.OT.001</t>
  </si>
  <si>
    <t>ACETYLCISTEINE INF 200 MG/ML</t>
  </si>
  <si>
    <t>ACNE.OK.001</t>
  </si>
  <si>
    <t>ACNE LOTION 20 ML</t>
  </si>
  <si>
    <t>ACNE.OK.002</t>
  </si>
  <si>
    <t>ACNE PP DAY</t>
  </si>
  <si>
    <t>ACNE.OK.003</t>
  </si>
  <si>
    <t>ACNE PP NIGHT 1</t>
  </si>
  <si>
    <t>ACNE.OK.004</t>
  </si>
  <si>
    <t>ACNE PP NIGHT 2</t>
  </si>
  <si>
    <t>ACNE.OK.005</t>
  </si>
  <si>
    <t>ACNE.OK.006</t>
  </si>
  <si>
    <t>ACNE.OK.007</t>
  </si>
  <si>
    <t>ACNE ND NIGHT</t>
  </si>
  <si>
    <t>ACNE.OK.008</t>
  </si>
  <si>
    <t>ACNE LOT 60 CC</t>
  </si>
  <si>
    <t>ACNE.OK.009</t>
  </si>
  <si>
    <t>ACNE BAR</t>
  </si>
  <si>
    <t>ACNE.OT.001</t>
  </si>
  <si>
    <t>DBI SUNSCREEN ACNE CREAM</t>
  </si>
  <si>
    <t>ADAN.OK.001</t>
  </si>
  <si>
    <t>ADANT DISPO INJ</t>
  </si>
  <si>
    <t>ADID.OT.001</t>
  </si>
  <si>
    <t>ADIDRYL INJ</t>
  </si>
  <si>
    <t>AERI.OB.001</t>
  </si>
  <si>
    <t>AERIUS TAB 5 MG</t>
  </si>
  <si>
    <t>AERI.OK.001</t>
  </si>
  <si>
    <t>AERIUS D12 TAB</t>
  </si>
  <si>
    <t>AFOD.OK.001</t>
  </si>
  <si>
    <t>AVODART TAB</t>
  </si>
  <si>
    <t>AFRI.OK.001</t>
  </si>
  <si>
    <t>AFRIN TETES HIDUNG</t>
  </si>
  <si>
    <t>AFUC.OK.001</t>
  </si>
  <si>
    <t>AFUCID CREAM</t>
  </si>
  <si>
    <t>AGFA.AM.001</t>
  </si>
  <si>
    <t>ARCOXIA TAB 120 MG</t>
  </si>
  <si>
    <t>AHA-.OK.001</t>
  </si>
  <si>
    <t>AHA C</t>
  </si>
  <si>
    <t>AKIL.OK.001</t>
  </si>
  <si>
    <t>PART A HDM 303 10 L</t>
  </si>
  <si>
    <t>ALAX.OT.001</t>
  </si>
  <si>
    <t>ALAXAN FR CAP</t>
  </si>
  <si>
    <t>ALBE.OB.001</t>
  </si>
  <si>
    <t>ALBENDAZOL 400 MG</t>
  </si>
  <si>
    <t>ALBO.OK.001</t>
  </si>
  <si>
    <t>ALBOTHYL OVULA</t>
  </si>
  <si>
    <t>ALBU.OB.001</t>
  </si>
  <si>
    <t>ALBUMAS EXTRAT CAP</t>
  </si>
  <si>
    <t>ALBU.OB.002</t>
  </si>
  <si>
    <t>ALBUFORCE CAPSUL</t>
  </si>
  <si>
    <t>ALBU.OR.001</t>
  </si>
  <si>
    <t>ALBUMIN 4 X 250 ML</t>
  </si>
  <si>
    <t>ALLE.OK.001</t>
  </si>
  <si>
    <t>ALLERON TAB</t>
  </si>
  <si>
    <t>ALOS.OB.001</t>
  </si>
  <si>
    <t>ALOSTIL INJ 500 NG</t>
  </si>
  <si>
    <t>ALVI.OB.001</t>
  </si>
  <si>
    <t>ALVIS 0,5 MG</t>
  </si>
  <si>
    <t>AMAR.OB.001</t>
  </si>
  <si>
    <t>AMARYL M 2MG/500MG</t>
  </si>
  <si>
    <t>AMAR.OB.002</t>
  </si>
  <si>
    <t>AMARYL M 1MG/250MG</t>
  </si>
  <si>
    <t>AMAR.OT.001</t>
  </si>
  <si>
    <t>AMARYL TAB 3 MG</t>
  </si>
  <si>
    <t>AMIN.OK.001</t>
  </si>
  <si>
    <t>AMINOSTERIL INFANT INF 6 % 100 ML</t>
  </si>
  <si>
    <t>AMIT.OT.001</t>
  </si>
  <si>
    <t>AMITEN INF</t>
  </si>
  <si>
    <t>AMNI.OB.001</t>
  </si>
  <si>
    <t>AMNION UKURAN 5X5 CM</t>
  </si>
  <si>
    <t>ANER.OK.001</t>
  </si>
  <si>
    <t>ANEROCID 300 MG</t>
  </si>
  <si>
    <t>ANTA.OB.001</t>
  </si>
  <si>
    <t>ANTANGIN JRG CAIR</t>
  </si>
  <si>
    <t>ANTI.OB.001</t>
  </si>
  <si>
    <t>ANTIPRESTIN 10 MG</t>
  </si>
  <si>
    <t>ANTI.OB.002</t>
  </si>
  <si>
    <t>ANTIPRESTIN 20 MG</t>
  </si>
  <si>
    <t>APPE.SM.001</t>
  </si>
  <si>
    <t>APPETON WEIGHT GA</t>
  </si>
  <si>
    <t>APPE.SM.002</t>
  </si>
  <si>
    <t>APPETON 60 PLUS VANILLA</t>
  </si>
  <si>
    <t>AQUA.OB.001</t>
  </si>
  <si>
    <t>AQUA PRO INJ 10 ML</t>
  </si>
  <si>
    <t>AQUA.OK.004</t>
  </si>
  <si>
    <t>AQUA MARIS DAILY 30 ML</t>
  </si>
  <si>
    <t>AQUA.OK.005</t>
  </si>
  <si>
    <t>AQUA MARIS STRONG 30 ML</t>
  </si>
  <si>
    <t>AQUA.OK.006</t>
  </si>
  <si>
    <t>AQUA MARIS BABY 15 ML</t>
  </si>
  <si>
    <t>AQUA.OT.001</t>
  </si>
  <si>
    <t>AQUA BIDESTILATA STERIL PRO INJ (500 ML)</t>
  </si>
  <si>
    <t>ARAV.OK.001</t>
  </si>
  <si>
    <t>ARAVA 20 MG TABLET</t>
  </si>
  <si>
    <t>ARBU.OK.001</t>
  </si>
  <si>
    <t>ARBUTIN CREAM</t>
  </si>
  <si>
    <t>ARCA.OK.001</t>
  </si>
  <si>
    <t>ARCALION 200</t>
  </si>
  <si>
    <t>ARCO.OK.001</t>
  </si>
  <si>
    <t>ARCOXIA TAB 60 MG</t>
  </si>
  <si>
    <t>ARCO.OK.002</t>
  </si>
  <si>
    <t>ARCOXIA TAB 90 MG</t>
  </si>
  <si>
    <t>ARGI.OK.001</t>
  </si>
  <si>
    <t>ARGI- NO</t>
  </si>
  <si>
    <t>ARIC.OK.001</t>
  </si>
  <si>
    <t>ARICEPT 5MG</t>
  </si>
  <si>
    <t>ARIC.OT.001</t>
  </si>
  <si>
    <t>ARICEPT 10 MG</t>
  </si>
  <si>
    <t>ARKI.OK.001</t>
  </si>
  <si>
    <t>ARKINE 2MG TAB</t>
  </si>
  <si>
    <t>ARTO.OB.001</t>
  </si>
  <si>
    <t>ARTOFLAM TAB</t>
  </si>
  <si>
    <t>ASAM.OT.001</t>
  </si>
  <si>
    <t>ASAM SALICYL</t>
  </si>
  <si>
    <t>ASIF.OB.001</t>
  </si>
  <si>
    <t>ASIFIT CAP</t>
  </si>
  <si>
    <t>ASPI.OK.001</t>
  </si>
  <si>
    <t>ASPIRIN 500 MG TAB</t>
  </si>
  <si>
    <t>ATIV.OP.001</t>
  </si>
  <si>
    <t>ATIVAN 1MG</t>
  </si>
  <si>
    <t>ATOR.OB.001</t>
  </si>
  <si>
    <t>ATORVASTATIN 20 MG</t>
  </si>
  <si>
    <t>ATOR.OB.002</t>
  </si>
  <si>
    <t>ATORVASTATIN 10 MG TAB</t>
  </si>
  <si>
    <t>ATP .OK.001</t>
  </si>
  <si>
    <t>ATP DANKOS 20 MG/ 2ML INJEKSI</t>
  </si>
  <si>
    <t>ATRA.OT.001</t>
  </si>
  <si>
    <t>ATRACURIUM INJ</t>
  </si>
  <si>
    <t>AVAM.OB.001</t>
  </si>
  <si>
    <t>AVAMYS NASAL SPRAY</t>
  </si>
  <si>
    <t>AVAM.OK.001</t>
  </si>
  <si>
    <t>VIT A BLACKMORE</t>
  </si>
  <si>
    <t>AVEL.OK.001</t>
  </si>
  <si>
    <t>AVELOX TAB</t>
  </si>
  <si>
    <t>AVEL.OT.001</t>
  </si>
  <si>
    <t>AVELOX 400 MG/ 250 ML INF</t>
  </si>
  <si>
    <t>AZET.OK.001</t>
  </si>
  <si>
    <t>AZETROL 10MG TAB</t>
  </si>
  <si>
    <t>B/B .OC.001</t>
  </si>
  <si>
    <t>B/B FC LOT SPF50</t>
  </si>
  <si>
    <t>BACT.OK.001</t>
  </si>
  <si>
    <t>BACTROBAN CR 5 GR</t>
  </si>
  <si>
    <t>BACT.OK.002</t>
  </si>
  <si>
    <t>BACTESYN TABLET</t>
  </si>
  <si>
    <t>BALS.OB.001</t>
  </si>
  <si>
    <t>BALSAM LANG 40GR</t>
  </si>
  <si>
    <t>BALS.OB.002</t>
  </si>
  <si>
    <t>BALSAM LANG 10GR</t>
  </si>
  <si>
    <t>BALS.OB.003</t>
  </si>
  <si>
    <t>BALSAM GELIGA 20 GR</t>
  </si>
  <si>
    <t>BALS.OK.001</t>
  </si>
  <si>
    <t>BALSEM LANG 20 GR</t>
  </si>
  <si>
    <t>BAQU.OK.001</t>
  </si>
  <si>
    <t>BAQUINOR 250 MG TAB</t>
  </si>
  <si>
    <t>BAQU.OT.001</t>
  </si>
  <si>
    <t>BAQUINOR EYE DROP 5 ML</t>
  </si>
  <si>
    <t>BARA.OK.001</t>
  </si>
  <si>
    <t>BARALGIN TABLET</t>
  </si>
  <si>
    <t>BB C.OK.001</t>
  </si>
  <si>
    <t>BB CREAM</t>
  </si>
  <si>
    <t>BB S.OC.001</t>
  </si>
  <si>
    <t>BB SPORT SPF30</t>
  </si>
  <si>
    <t>BD  .OK.001</t>
  </si>
  <si>
    <t>BDM .OK.001</t>
  </si>
  <si>
    <t>BDM SYRUP</t>
  </si>
  <si>
    <t>BDM .OK.002</t>
  </si>
  <si>
    <t>BDM TAB</t>
  </si>
  <si>
    <t>BEBE.SM.001</t>
  </si>
  <si>
    <t>BEBELOVE FL 400 GR</t>
  </si>
  <si>
    <t>BEBE.SM.002</t>
  </si>
  <si>
    <t>BEBELOVE 200 GR</t>
  </si>
  <si>
    <t>BEDA.OC.001</t>
  </si>
  <si>
    <t>BEDAK TABUR KN</t>
  </si>
  <si>
    <t>BEDA.OC.002</t>
  </si>
  <si>
    <t>BEDAK TABUR</t>
  </si>
  <si>
    <t>BEDA.OC.003</t>
  </si>
  <si>
    <t>BEDAK ACNE TWO WAY CAKE</t>
  </si>
  <si>
    <t>BENZ.OK.001</t>
  </si>
  <si>
    <t>BENZOLAC-CL GEL</t>
  </si>
  <si>
    <t>BENZ.OT.001</t>
  </si>
  <si>
    <t>BENZATIN PENICILLIN INJ 2,4 G</t>
  </si>
  <si>
    <t>BERO.OF.001</t>
  </si>
  <si>
    <t>BEROCCA EFF</t>
  </si>
  <si>
    <t>BERR.OT.001</t>
  </si>
  <si>
    <t>BERRY VISION 10 TABLET</t>
  </si>
  <si>
    <t>BETA.AH.001</t>
  </si>
  <si>
    <t>BETADIN SALF 10 GR</t>
  </si>
  <si>
    <t>BETA.AH.002</t>
  </si>
  <si>
    <t>BETADINE 5 LITER</t>
  </si>
  <si>
    <t>BETA.AH.003</t>
  </si>
  <si>
    <t>BETADINE 1 LITER</t>
  </si>
  <si>
    <t>BETA.OB.001</t>
  </si>
  <si>
    <t>BETADIN SALF 5 GR</t>
  </si>
  <si>
    <t>BETA.OB.002</t>
  </si>
  <si>
    <t>BETADINE SOLUTION HYGIENE</t>
  </si>
  <si>
    <t>BILI.OR.001</t>
  </si>
  <si>
    <t>BILIRUBIN TOTAL 5 X 125ML</t>
  </si>
  <si>
    <t>BIO .OB.001</t>
  </si>
  <si>
    <t>BIO HAIR 123 ( 210 ML )</t>
  </si>
  <si>
    <t>BIO .OK.001</t>
  </si>
  <si>
    <t>BIO MAGNESIUM TABLET</t>
  </si>
  <si>
    <t>BIOL.OF.001</t>
  </si>
  <si>
    <t>BIOLECTRA EFFERVESCENT TAB 20'S</t>
  </si>
  <si>
    <t>BION.OC.001</t>
  </si>
  <si>
    <t>BION - W (15 ML)</t>
  </si>
  <si>
    <t>BIOR.OT.001</t>
  </si>
  <si>
    <t>BIORAZONE INJ 1 GR</t>
  </si>
  <si>
    <t>BIOV.OK.001</t>
  </si>
  <si>
    <t>BIOVISION CAPSUL</t>
  </si>
  <si>
    <t>BLIS.OK.001</t>
  </si>
  <si>
    <t>BLISTRA 10MG/ML</t>
  </si>
  <si>
    <t>BLOM.OB.001</t>
  </si>
  <si>
    <t>BLOMER 40 MG INJEKSI</t>
  </si>
  <si>
    <t>BMT .OB.001</t>
  </si>
  <si>
    <t>BMT REGULER 400 GR</t>
  </si>
  <si>
    <t>BMT .OB.002</t>
  </si>
  <si>
    <t>BMT MORICARE PLATINUM 400 GR</t>
  </si>
  <si>
    <t>BMT .OB.003</t>
  </si>
  <si>
    <t>BMT SOYA 300 GR</t>
  </si>
  <si>
    <t>BMT .OB.004</t>
  </si>
  <si>
    <t>BMT PHP 400 GR</t>
  </si>
  <si>
    <t>BODY.OC.001</t>
  </si>
  <si>
    <t>BODY SHOP ( BBB SHEA B/BTR 200 ML )</t>
  </si>
  <si>
    <t>BODY.OC.002</t>
  </si>
  <si>
    <t>BODY SHOP ( A10 FACE BASE 04 )</t>
  </si>
  <si>
    <t>BONE.OK.001</t>
  </si>
  <si>
    <t>BONEFOS 800 MG TAB</t>
  </si>
  <si>
    <t>BONV.OK.001</t>
  </si>
  <si>
    <t>BONVIVA 150MG TAB</t>
  </si>
  <si>
    <t>BOOR.OB.001</t>
  </si>
  <si>
    <t>BOOR WATER 100ML</t>
  </si>
  <si>
    <t>BORA.OB.001</t>
  </si>
  <si>
    <t>BORAGINOL N SUPP</t>
  </si>
  <si>
    <t>BORA.OK.001</t>
  </si>
  <si>
    <t>BORAGINOL N OINT</t>
  </si>
  <si>
    <t>BORA.OK.002</t>
  </si>
  <si>
    <t>BORAGINOL S OINT</t>
  </si>
  <si>
    <t>BORR.OK.001</t>
  </si>
  <si>
    <t>BORRAGINOL N CR</t>
  </si>
  <si>
    <t>BPC+.OR.001</t>
  </si>
  <si>
    <t>BPC+(  BIOSED )</t>
  </si>
  <si>
    <t>BRAL.OT.001</t>
  </si>
  <si>
    <t>BRALIFEX PLUS EYE DROPS 5 ML</t>
  </si>
  <si>
    <t>BRAN.OB.001</t>
  </si>
  <si>
    <t>BRANDS</t>
  </si>
  <si>
    <t>BREA.OK.001</t>
  </si>
  <si>
    <t>BREATHY NASAL SPRAY</t>
  </si>
  <si>
    <t>BRIL.OT.001</t>
  </si>
  <si>
    <t>BRILINTA TABLET</t>
  </si>
  <si>
    <t>BROU.OB.001</t>
  </si>
  <si>
    <t>BRAUNOL 5 LITER</t>
  </si>
  <si>
    <t>BRUN.OT.001</t>
  </si>
  <si>
    <t>BRAUNOL 1 LITER (IODINE POVIDONE)</t>
  </si>
  <si>
    <t>BUDE.OK.001</t>
  </si>
  <si>
    <t>BUDENOFALK TAB</t>
  </si>
  <si>
    <t>BUNA.OT.001</t>
  </si>
  <si>
    <t>BUNASCAN INJ</t>
  </si>
  <si>
    <t>C07</t>
  </si>
  <si>
    <t>CENDO GENTA SM</t>
  </si>
  <si>
    <t>CALC.OB.001</t>
  </si>
  <si>
    <t>CALCIDOL SYR B12</t>
  </si>
  <si>
    <t>CALN.OT.001</t>
  </si>
  <si>
    <t>CALNIC SIRUP</t>
  </si>
  <si>
    <t>CALN.OT.002</t>
  </si>
  <si>
    <t>CALNIC PLUS SIRUP</t>
  </si>
  <si>
    <t>CALN.OT.003</t>
  </si>
  <si>
    <t>CALNIC KAPLET</t>
  </si>
  <si>
    <t>CALN.OT.004</t>
  </si>
  <si>
    <t>CALNIC PLUS KAPLET</t>
  </si>
  <si>
    <t>CALO.OK.002</t>
  </si>
  <si>
    <t>CALOMA PLUS CAP</t>
  </si>
  <si>
    <t>CALO.OT.001</t>
  </si>
  <si>
    <t>CALOREASE KAPLET</t>
  </si>
  <si>
    <t>CAND.OK.001</t>
  </si>
  <si>
    <t>ATORVASTATIN 40 MG</t>
  </si>
  <si>
    <t>CAND.OK.002</t>
  </si>
  <si>
    <t>CANDERIN TAB 8MG</t>
  </si>
  <si>
    <t>CAND.OK.003</t>
  </si>
  <si>
    <t>CANDERIN TAB 16MG</t>
  </si>
  <si>
    <t>CANE.OK.001</t>
  </si>
  <si>
    <t>CANESTEN SD 500MG (OVULA)</t>
  </si>
  <si>
    <t>CAPS.OB.001</t>
  </si>
  <si>
    <t>CAPSUL NO. 000</t>
  </si>
  <si>
    <t>CARB.OK.001</t>
  </si>
  <si>
    <t>CARBAZOCHROME NA SULFONATE INJEKSI</t>
  </si>
  <si>
    <t>CARD.OT.001</t>
  </si>
  <si>
    <t>CARDIO ASPIRIN 100 MG TAB</t>
  </si>
  <si>
    <t>CARM.OK.001</t>
  </si>
  <si>
    <t>CARMED 10% CR</t>
  </si>
  <si>
    <t>CARM.OK.002</t>
  </si>
  <si>
    <t>CARMED 20% CR</t>
  </si>
  <si>
    <t>CARN.OB.001</t>
  </si>
  <si>
    <t>CARNIQ TABLET</t>
  </si>
  <si>
    <t>CART.OB.001</t>
  </si>
  <si>
    <t>CARTIPLEX TABLET</t>
  </si>
  <si>
    <t>CARV.OK.001</t>
  </si>
  <si>
    <t>CARVAS TAB</t>
  </si>
  <si>
    <t>CASO.OK.001</t>
  </si>
  <si>
    <t>CASODEX 50MG TAB</t>
  </si>
  <si>
    <t>CASO.OK.002</t>
  </si>
  <si>
    <t>CASODEX 50 MG TAB</t>
  </si>
  <si>
    <t>CATA.OB.001</t>
  </si>
  <si>
    <t>CATANAC TAB 50 MG</t>
  </si>
  <si>
    <t>CATA.OK.001</t>
  </si>
  <si>
    <t>CATANAC TAB 25 MG</t>
  </si>
  <si>
    <t>CECY.OK.001</t>
  </si>
  <si>
    <t>CECYL TABLET</t>
  </si>
  <si>
    <t>CEDA.OK.001</t>
  </si>
  <si>
    <t>CEDANTRON  4MG/ 5ML SYR</t>
  </si>
  <si>
    <t>CEFA.OK.001</t>
  </si>
  <si>
    <t>CEFAZOL INJ.</t>
  </si>
  <si>
    <t>CEFA.OK.002</t>
  </si>
  <si>
    <t>CEFAZOLIN INJ.</t>
  </si>
  <si>
    <t>CEFI.OB.001</t>
  </si>
  <si>
    <t>DIPROCA TABLET</t>
  </si>
  <si>
    <t>CEFS.OT.001</t>
  </si>
  <si>
    <t>CEFSPAN 200 MG CAP</t>
  </si>
  <si>
    <t>CEND.OB.001</t>
  </si>
  <si>
    <t>CENDO POLYDEX</t>
  </si>
  <si>
    <t>CEND.OB.002</t>
  </si>
  <si>
    <t>CENDO OCULENTA EYEOINT</t>
  </si>
  <si>
    <t>CEND.OK.001</t>
  </si>
  <si>
    <t>CENDO GENTAMICIN EYE OINT</t>
  </si>
  <si>
    <t>CEND.OK.002</t>
  </si>
  <si>
    <t>CENDO HYALUB EYE DROP</t>
  </si>
  <si>
    <t>CEND.OK.003</t>
  </si>
  <si>
    <t>CENDO PANTOCAIN 2% 5ML</t>
  </si>
  <si>
    <t>CEND.OK.004</t>
  </si>
  <si>
    <t>CENDO VASACON A EYE DROP</t>
  </si>
  <si>
    <t>CEND.OK.005</t>
  </si>
  <si>
    <t>CENDO POLYNEL EYE DROP</t>
  </si>
  <si>
    <t>CEND.OK.006</t>
  </si>
  <si>
    <t>CENDO LENTIKULAR</t>
  </si>
  <si>
    <t>CEND.OK.007</t>
  </si>
  <si>
    <t>CENDO TOBROSON EYE DROP</t>
  </si>
  <si>
    <t>CEND.OK.008</t>
  </si>
  <si>
    <t>CENDO GIFLOX MINIDOSE</t>
  </si>
  <si>
    <t>CEND.OK.009</t>
  </si>
  <si>
    <t>CENDO NONCORT EYE DROP</t>
  </si>
  <si>
    <t>CEND.OK.010</t>
  </si>
  <si>
    <t>CENDO MYDRIATIL 0,5 % 5 ML</t>
  </si>
  <si>
    <t>CEND.OK.011</t>
  </si>
  <si>
    <t>CENDO MIDRYATIL 0,5% MINIDOSE</t>
  </si>
  <si>
    <t>CEND.OK.012</t>
  </si>
  <si>
    <t>CENDO PANTOCAIN 0,5% MINIDOSE</t>
  </si>
  <si>
    <t>CEND.OK.013</t>
  </si>
  <si>
    <t>CENDO MIDRYATIL 1% MINIDOSE</t>
  </si>
  <si>
    <t>CEND.OK.014</t>
  </si>
  <si>
    <t>CENDO GENTA ( GENTAMYCINE 0.3% ) EYE OINT</t>
  </si>
  <si>
    <t>CEND.OK.015</t>
  </si>
  <si>
    <t>CENDO PANTOCAIN 0,5% 5 ML</t>
  </si>
  <si>
    <t>CEND.OK.016</t>
  </si>
  <si>
    <t>CENDO PROTAGENTA (EYE DROP)</t>
  </si>
  <si>
    <t>CEND.OK.018</t>
  </si>
  <si>
    <t>CENDO LFX ED 5 ML</t>
  </si>
  <si>
    <t>CEND.OK.019</t>
  </si>
  <si>
    <t>CENDO LFX 5 ML (ED)</t>
  </si>
  <si>
    <t>CEND.OK.020</t>
  </si>
  <si>
    <t>CENDO FLOXA 5 ML (ED)</t>
  </si>
  <si>
    <t>CEND.OK.021</t>
  </si>
  <si>
    <t>CENDO VASACON 15 ML (ED)</t>
  </si>
  <si>
    <t>CEND.OK.022</t>
  </si>
  <si>
    <t>CENDO HYALUB MINI DOSE</t>
  </si>
  <si>
    <t>CEND.OK.023</t>
  </si>
  <si>
    <t>CENDO PROTAGENTA MINI DOSE</t>
  </si>
  <si>
    <t>CEND.OK.024</t>
  </si>
  <si>
    <t>CENDO CATARLENT EYE DROP 5 ML</t>
  </si>
  <si>
    <t>CEND.OT.001</t>
  </si>
  <si>
    <t>CENDO FLOXA ( MINI DOSE )</t>
  </si>
  <si>
    <t>CENF.OT.001</t>
  </si>
  <si>
    <t>CENFRESH</t>
  </si>
  <si>
    <t>CERI.OK.001</t>
  </si>
  <si>
    <t>EROR</t>
  </si>
  <si>
    <t>CERI.OK.002</t>
  </si>
  <si>
    <t>CERINI SIRUP</t>
  </si>
  <si>
    <t>CERN.OK.001</t>
  </si>
  <si>
    <t>CERNEVIT INJ</t>
  </si>
  <si>
    <t>CETA.OT.001</t>
  </si>
  <si>
    <t>CETAPHIL OILY SKIN CLEANSER 125ML</t>
  </si>
  <si>
    <t>CHAN.OB.001</t>
  </si>
  <si>
    <t>CHANNA KAPSUL 500 MG</t>
  </si>
  <si>
    <t>CHES.OB.001</t>
  </si>
  <si>
    <t>CHEST TUBE NO.20</t>
  </si>
  <si>
    <t>CHIL.OB.001</t>
  </si>
  <si>
    <t>CHILMIL SOYA 300 GR</t>
  </si>
  <si>
    <t>CHIL.OB.002</t>
  </si>
  <si>
    <t>CHILMIL PHP 400 GR</t>
  </si>
  <si>
    <t>CHIL.OB.003</t>
  </si>
  <si>
    <t>CHILKID REGULER VANILA 400 GR</t>
  </si>
  <si>
    <t>CHIL.OB.004</t>
  </si>
  <si>
    <t>CHILKID PLATINUM MORICARE VANILA 400 GR</t>
  </si>
  <si>
    <t>CHIL.OB.005</t>
  </si>
  <si>
    <t>CHILKID SOYA 300 GR</t>
  </si>
  <si>
    <t>CHIL.OB.006</t>
  </si>
  <si>
    <t>CHILKID PHP 400 GR</t>
  </si>
  <si>
    <t>CHIL.OB.007</t>
  </si>
  <si>
    <t>CHILSCHOOL REGULER VANILA 400 GR</t>
  </si>
  <si>
    <t>CHIL.OB.008</t>
  </si>
  <si>
    <t>CHILSCHOOL SOYA 300 GR</t>
  </si>
  <si>
    <t>CHIL.OB.009</t>
  </si>
  <si>
    <t>CHILGO COKELAT 140 ML</t>
  </si>
  <si>
    <t>CHIL.OB.010</t>
  </si>
  <si>
    <t>CHIL SCHOOL PLAT SIN MADU 800 G MORICARE</t>
  </si>
  <si>
    <t>CHIL.OB.011</t>
  </si>
  <si>
    <t>CHILGO STRAWBERY 140 ML</t>
  </si>
  <si>
    <t>CHLO.OK.002</t>
  </si>
  <si>
    <t>CHLORAMEX INJ 1 GRAM</t>
  </si>
  <si>
    <t>CHOL.OK.001</t>
  </si>
  <si>
    <t>CHOLESPAR TAB</t>
  </si>
  <si>
    <t>CINA.OK.001</t>
  </si>
  <si>
    <t>CINAM INJEKSI</t>
  </si>
  <si>
    <t>CINO.OK.001</t>
  </si>
  <si>
    <t>CINOGENTA CREAM</t>
  </si>
  <si>
    <t>CLAR.OK.001</t>
  </si>
  <si>
    <t>REVACEAR 300 APAC</t>
  </si>
  <si>
    <t>CLAS.OT.001</t>
  </si>
  <si>
    <t>CLAST TAB</t>
  </si>
  <si>
    <t>CLEA.OC.001</t>
  </si>
  <si>
    <t>CLEANSING MILK SENSITIF</t>
  </si>
  <si>
    <t>CLEA.OK.001</t>
  </si>
  <si>
    <t>CLEANING SOLUTION 100 ML</t>
  </si>
  <si>
    <t>CLIN.OK.001</t>
  </si>
  <si>
    <t>CLINJOS CAP 150 MG</t>
  </si>
  <si>
    <t>CLIN.OK.002</t>
  </si>
  <si>
    <t>CLINOLEIC 100 ML</t>
  </si>
  <si>
    <t>COAR.OK.001</t>
  </si>
  <si>
    <t>COARTEM TAB 20/120 MG</t>
  </si>
  <si>
    <t>CODI.OB.001</t>
  </si>
  <si>
    <t>CAPSUL NO. 0</t>
  </si>
  <si>
    <t>CODI.ON.001</t>
  </si>
  <si>
    <t>CODIPRONT SYR</t>
  </si>
  <si>
    <t>COLM.OK.001</t>
  </si>
  <si>
    <t>COLME EAR DROP</t>
  </si>
  <si>
    <t>COLS.OK.001</t>
  </si>
  <si>
    <t>COLSANCETINE INJ 1 GR</t>
  </si>
  <si>
    <t>CONC.OK.001</t>
  </si>
  <si>
    <t>CONCOR 2.5MG TAB</t>
  </si>
  <si>
    <t>CONS.OK.001</t>
  </si>
  <si>
    <t>CONSTANTIA DROP</t>
  </si>
  <si>
    <t>CONT.OB.001</t>
  </si>
  <si>
    <t>CONTULOZ SYR 120 ML</t>
  </si>
  <si>
    <t>CONT.OR.001</t>
  </si>
  <si>
    <t>EUROCONTROL ( CONTROL BPC )</t>
  </si>
  <si>
    <t>CORM.OF.001</t>
  </si>
  <si>
    <t>CORMEGA CAP 30'S</t>
  </si>
  <si>
    <t>COTT.OB.001</t>
  </si>
  <si>
    <t>COTTON BUD BABY 50'S</t>
  </si>
  <si>
    <t>COUN.OB.001</t>
  </si>
  <si>
    <t>COUNTERPAIN PX 15</t>
  </si>
  <si>
    <t>COVE.OT.001</t>
  </si>
  <si>
    <t>COVERAM 10 MG/10 MG 30'S</t>
  </si>
  <si>
    <t>CRAV.OK.001</t>
  </si>
  <si>
    <t>CRAVIT OPTHALMIC 0.5 %</t>
  </si>
  <si>
    <t>CREA.OR.001</t>
  </si>
  <si>
    <t>CREATININ 4 X 250ML</t>
  </si>
  <si>
    <t>CRES.OK.001</t>
  </si>
  <si>
    <t>CRESTOR TAB 10 MG</t>
  </si>
  <si>
    <t>CRES.OK.002</t>
  </si>
  <si>
    <t>CRES.OK.003</t>
  </si>
  <si>
    <t>CRESTOR 20MG TAB</t>
  </si>
  <si>
    <t>CRIP.OK.001</t>
  </si>
  <si>
    <t>CRIPSA TABLET 2.5MG</t>
  </si>
  <si>
    <t>CURL.OB.001</t>
  </si>
  <si>
    <t>CURLIV PLUS SYR</t>
  </si>
  <si>
    <t>CYGE.OK.001</t>
  </si>
  <si>
    <t>CYGEST 400 MG SUPP</t>
  </si>
  <si>
    <t>CYLA.OK.001</t>
  </si>
  <si>
    <t>BERRY VISION DISPERSIBLE</t>
  </si>
  <si>
    <t>CYTO.OK.001</t>
  </si>
  <si>
    <t>CYTODROX TAB 500 MG</t>
  </si>
  <si>
    <t>D5 1.AH.002</t>
  </si>
  <si>
    <t>D5 1/4 NS</t>
  </si>
  <si>
    <t>D5 1.OB.001</t>
  </si>
  <si>
    <t>D5 100ML OTSUKA</t>
  </si>
  <si>
    <t>D5+1.OK.001</t>
  </si>
  <si>
    <t>D5+1/2 NS 500 DP</t>
  </si>
  <si>
    <t>D5-1.OK.001</t>
  </si>
  <si>
    <t>D5-1/4 NS INF SP</t>
  </si>
  <si>
    <t>DAKT.OB.001</t>
  </si>
  <si>
    <t>DAKTARIN POWDER 20GR</t>
  </si>
  <si>
    <t>DAMA.OK.001</t>
  </si>
  <si>
    <t>DRAMAMINE TAB</t>
  </si>
  <si>
    <t>DANO.OK.001</t>
  </si>
  <si>
    <t>DANOCRINE CAPS</t>
  </si>
  <si>
    <t>DARY.OT.001</t>
  </si>
  <si>
    <t>DARYAZINC DROP</t>
  </si>
  <si>
    <t>DE P.OR.001</t>
  </si>
  <si>
    <t>DE PROTEINIZER</t>
  </si>
  <si>
    <t>DECA.OB.001</t>
  </si>
  <si>
    <t>DECADRY EXP SIRUP</t>
  </si>
  <si>
    <t>DECU.OK.001</t>
  </si>
  <si>
    <t>DECULIN TAB 15MG</t>
  </si>
  <si>
    <t>DECU.OK.002</t>
  </si>
  <si>
    <t>DECULIN TAB 30MG</t>
  </si>
  <si>
    <t>DEGI.OF.001</t>
  </si>
  <si>
    <t>DEGIROL LOZENGES TAB</t>
  </si>
  <si>
    <t>DEHY.OB.001</t>
  </si>
  <si>
    <t>DEHYDRALYTE</t>
  </si>
  <si>
    <t>DENO.OK.001</t>
  </si>
  <si>
    <t>DENOSUMAB INJ ( EXGEVA)</t>
  </si>
  <si>
    <t>DEPA.OK.001</t>
  </si>
  <si>
    <t>DEPAKOTE ER 250MG</t>
  </si>
  <si>
    <t>DEPO.OK.001</t>
  </si>
  <si>
    <t>DEPO PROGESTIN INJ 3 ML/MG</t>
  </si>
  <si>
    <t>DEPR.OP.001</t>
  </si>
  <si>
    <t>DEPRAM 10 MG TAB</t>
  </si>
  <si>
    <t>DEPR.OP.002</t>
  </si>
  <si>
    <t>DEPRAM 20 MG TAB</t>
  </si>
  <si>
    <t>DERM.OB.001</t>
  </si>
  <si>
    <t>DERMATIX GEL BESAR 15G</t>
  </si>
  <si>
    <t>DERM.OC.001</t>
  </si>
  <si>
    <t>DERMATIX GEL KECIL</t>
  </si>
  <si>
    <t>DERM.OK.001</t>
  </si>
  <si>
    <t>DERMOVEL CR</t>
  </si>
  <si>
    <t>DESD.OK.001</t>
  </si>
  <si>
    <t>DESDIN SIRUP 60 ML</t>
  </si>
  <si>
    <t>DESL.OT.001</t>
  </si>
  <si>
    <t>DESLORATADINE SIRUP</t>
  </si>
  <si>
    <t>DESO.OK.001</t>
  </si>
  <si>
    <t>DESOLEX CR</t>
  </si>
  <si>
    <t>DESO.OK.002</t>
  </si>
  <si>
    <t>DESOLEX OINT</t>
  </si>
  <si>
    <t>DESO.OK.003</t>
  </si>
  <si>
    <t>DESOLEX LOTION 30 ML</t>
  </si>
  <si>
    <t>DEXA.OK.001</t>
  </si>
  <si>
    <t>DEXAMETHASONE 4 MG TAB</t>
  </si>
  <si>
    <t>DEXP.OK.001</t>
  </si>
  <si>
    <t>DEXPAIN INJ</t>
  </si>
  <si>
    <t>DEXT.OB.001</t>
  </si>
  <si>
    <t>DEXTROMETHOPHAN SYR</t>
  </si>
  <si>
    <t>D-FI.OT.001</t>
  </si>
  <si>
    <t>D-VIT FT KAPLET</t>
  </si>
  <si>
    <t>DIAB.OB.001</t>
  </si>
  <si>
    <t>DIABETASOL VITA 180 GR VANILA</t>
  </si>
  <si>
    <t>DIAB.OB.002</t>
  </si>
  <si>
    <t>DIABETASOL VITA 180 GR COKLAT</t>
  </si>
  <si>
    <t>DIAB.OB.003</t>
  </si>
  <si>
    <t>DIABETASOL VITA 630 GR VANILA</t>
  </si>
  <si>
    <t>DIAB.OB.004</t>
  </si>
  <si>
    <t>DIABETASOL VITA 630 GR COKLAT</t>
  </si>
  <si>
    <t>DIAB.OB.005</t>
  </si>
  <si>
    <t>DIABETASOL SWEETENER 25 'S</t>
  </si>
  <si>
    <t>DIAB.OB.006</t>
  </si>
  <si>
    <t>DIABETASOL SWEETENER 50'S</t>
  </si>
  <si>
    <t>DIAB.SM.001</t>
  </si>
  <si>
    <t>DIABETASOL VANILA</t>
  </si>
  <si>
    <t>DIAB.SM.002</t>
  </si>
  <si>
    <t>DIABETASOL PRO VITA DIGEST VANILA</t>
  </si>
  <si>
    <t>DIAL.OT.001</t>
  </si>
  <si>
    <t>DIALIFER INJ 100MG/5ML</t>
  </si>
  <si>
    <t>DIBE.OK.001</t>
  </si>
  <si>
    <t>DIBEKACIN INJ 100 MG/ 2 ML</t>
  </si>
  <si>
    <t>DIBE.OK.002</t>
  </si>
  <si>
    <t>DIBEKACIN INJ 50 MG</t>
  </si>
  <si>
    <t>DIFL.OK.001</t>
  </si>
  <si>
    <t>DIFLOXIN INFUS</t>
  </si>
  <si>
    <t>DILU.OR.001</t>
  </si>
  <si>
    <t>DILUEN</t>
  </si>
  <si>
    <t>DIOV.OK.001</t>
  </si>
  <si>
    <t>DIOVAN 160 MG</t>
  </si>
  <si>
    <t>DISM.OK.001</t>
  </si>
  <si>
    <t>DISMENO TAB</t>
  </si>
  <si>
    <t>DISP.OK.001</t>
  </si>
  <si>
    <t>DIPROGENTA CREAM 5 MG</t>
  </si>
  <si>
    <t>DIUV.OT.001</t>
  </si>
  <si>
    <t>DIUVAR INJ</t>
  </si>
  <si>
    <t>DIVA.OT.001</t>
  </si>
  <si>
    <t>DIVA BEAUTY DRINK BERRIES 6X80 ML</t>
  </si>
  <si>
    <t>DIVE.OJ.001</t>
  </si>
  <si>
    <t>DIVENS SYR 100 ML</t>
  </si>
  <si>
    <t>DOBU.OB.001</t>
  </si>
  <si>
    <t>DOBUCA INJ</t>
  </si>
  <si>
    <t>DOBU.OK.001</t>
  </si>
  <si>
    <t>DOBURAN INJ 500MG/5ML</t>
  </si>
  <si>
    <t>DOBU.OK.002</t>
  </si>
  <si>
    <t>DOBUJECT INJ</t>
  </si>
  <si>
    <t>DOLO.OB.001</t>
  </si>
  <si>
    <t>DOLONES CREAM</t>
  </si>
  <si>
    <t>DOLO.OK.001</t>
  </si>
  <si>
    <t>DOLONES OINT</t>
  </si>
  <si>
    <t>DOMI.OK.001</t>
  </si>
  <si>
    <t>DOMINAL SYR SUSP. 1 MG/ML</t>
  </si>
  <si>
    <t>DOMP.OK.001</t>
  </si>
  <si>
    <t>DOMPERIDON SYRUP</t>
  </si>
  <si>
    <t>DOPA.OK.001</t>
  </si>
  <si>
    <t>DOPAMIN INJ.</t>
  </si>
  <si>
    <t>DOPA.OK.002</t>
  </si>
  <si>
    <t>DOPAMIN GIULINI INJ 200MG/10ML</t>
  </si>
  <si>
    <t>DOPE.OB.001</t>
  </si>
  <si>
    <t>DOPEPSA SUSPENSI 100 ML</t>
  </si>
  <si>
    <t>DORN.OK.001</t>
  </si>
  <si>
    <t>DORNER CAP</t>
  </si>
  <si>
    <t>DUOD.OK.001</t>
  </si>
  <si>
    <t>DUODART TAB</t>
  </si>
  <si>
    <t>DURO.ON.001</t>
  </si>
  <si>
    <t>DUROGESIC PATCH 25MCG</t>
  </si>
  <si>
    <t>DUSP.OK.001</t>
  </si>
  <si>
    <t>DUSPATALIN TABLET 135 MG</t>
  </si>
  <si>
    <t>D-VI.OT.001</t>
  </si>
  <si>
    <t>D-VIT SIRUP</t>
  </si>
  <si>
    <t>D-VI.OT.002</t>
  </si>
  <si>
    <t>CURCUMA DROP</t>
  </si>
  <si>
    <t>EDTA.OB.001</t>
  </si>
  <si>
    <t>EDTA 0,5 ML</t>
  </si>
  <si>
    <t>EFOC.OB.001</t>
  </si>
  <si>
    <t>EFOCALDI TAB</t>
  </si>
  <si>
    <t>ELEK.OR.001</t>
  </si>
  <si>
    <t>ELEKTRODA CONDITIONER</t>
  </si>
  <si>
    <t>ELEK.OR.002</t>
  </si>
  <si>
    <t>ELEKTROLIT QUALITY CONTROL</t>
  </si>
  <si>
    <t>ELOC.OT.001</t>
  </si>
  <si>
    <t>ELOCON CR 10 GR</t>
  </si>
  <si>
    <t>EMIN.OF.001</t>
  </si>
  <si>
    <t>EMINETON TAB</t>
  </si>
  <si>
    <t>ENDO.OK.001</t>
  </si>
  <si>
    <t>ENDOMETRIL</t>
  </si>
  <si>
    <t>ENDR.OK.001</t>
  </si>
  <si>
    <t>ENDROLIN INJ 3,75 MG</t>
  </si>
  <si>
    <t>ENER.OB.001</t>
  </si>
  <si>
    <t>ENERTON 500 ML</t>
  </si>
  <si>
    <t>ENTR.OB.001</t>
  </si>
  <si>
    <t>ENTRASOL GOLD 185 GR VANILA</t>
  </si>
  <si>
    <t>ENTR.OB.002</t>
  </si>
  <si>
    <t>ENTRASOL GOLD 185 GR COKLAT</t>
  </si>
  <si>
    <t>ENTR.OB.003</t>
  </si>
  <si>
    <t>ENTRASOL ACTIVE 160 GR VANILA LATTE</t>
  </si>
  <si>
    <t>ENTR.OB.004</t>
  </si>
  <si>
    <t>ENTRASOL ACTIVE 160 GR MOCHACINO</t>
  </si>
  <si>
    <t>ENTR.OB.005</t>
  </si>
  <si>
    <t>ENTRASOL QUICKSTART VANILA VAGGIE 5X 30 G</t>
  </si>
  <si>
    <t>ENTR.OB.006</t>
  </si>
  <si>
    <t>ENTRASOL QUICKSTART COKLAT 5 X 30G</t>
  </si>
  <si>
    <t>ENTR.SM.001</t>
  </si>
  <si>
    <t>ENTRAMIX VANILA</t>
  </si>
  <si>
    <t>ENZY.OK.001</t>
  </si>
  <si>
    <t>ENZYPLEX @ 50 TAB</t>
  </si>
  <si>
    <t>EPA .OB.001</t>
  </si>
  <si>
    <t>EPA EXTRA CAP</t>
  </si>
  <si>
    <t>EPEX.OT.001</t>
  </si>
  <si>
    <t>EPEXOL DROP 20 ML</t>
  </si>
  <si>
    <t>EPIV.OT.001</t>
  </si>
  <si>
    <t>EPIVEN TAB</t>
  </si>
  <si>
    <t>EPOC.OT.001</t>
  </si>
  <si>
    <t>EPOCALDI CAPSUL</t>
  </si>
  <si>
    <t>EPOR.OK.001</t>
  </si>
  <si>
    <t>EPORON INJ 2000 IU</t>
  </si>
  <si>
    <t>EPOR.OK.002</t>
  </si>
  <si>
    <t>EPORON INJ 4000 IU</t>
  </si>
  <si>
    <t>EPRE.OK.001</t>
  </si>
  <si>
    <t>EPREX 2000 INJ</t>
  </si>
  <si>
    <t>EPRE.OK.002</t>
  </si>
  <si>
    <t>EPREX 40000 IU INJ</t>
  </si>
  <si>
    <t>ERDO.OT.001</t>
  </si>
  <si>
    <t>ERDOSTEINE SIRUP</t>
  </si>
  <si>
    <t>ERDO.OT.002</t>
  </si>
  <si>
    <t>ERDOSTEINE CAP 300</t>
  </si>
  <si>
    <t>ERIC.OB.001</t>
  </si>
  <si>
    <t>ERICAF TAB</t>
  </si>
  <si>
    <t>ERLA.OK.001</t>
  </si>
  <si>
    <t>ERLAMYCETIN EAR DROP / TT</t>
  </si>
  <si>
    <t>ERLA.OK.002</t>
  </si>
  <si>
    <t>ERLAMYCETIN EYE OINT</t>
  </si>
  <si>
    <t>ERLA.OK.003</t>
  </si>
  <si>
    <t>ERLAMYCETIN SALEP MATA</t>
  </si>
  <si>
    <t>ERYM.OK.001</t>
  </si>
  <si>
    <t>ERYMED GEL</t>
  </si>
  <si>
    <t>ERYM.OK.002</t>
  </si>
  <si>
    <t>ERYMED CR</t>
  </si>
  <si>
    <t>ESOM.OK.001</t>
  </si>
  <si>
    <t>ESOMAX INJ</t>
  </si>
  <si>
    <t>ETAN.ON.001</t>
  </si>
  <si>
    <t>ETANYL INJ 100 MCG / 2 ML</t>
  </si>
  <si>
    <t>ETAP.OT.001</t>
  </si>
  <si>
    <t>ETAPHYLLINE 250 MG TABLET</t>
  </si>
  <si>
    <t>ETER.OK.001</t>
  </si>
  <si>
    <t>ETERFIX INF</t>
  </si>
  <si>
    <t>ETHI.OK.001</t>
  </si>
  <si>
    <t>ETHINEX 50MG/5ML (250 MG)</t>
  </si>
  <si>
    <t>ETOR.OP.001</t>
  </si>
  <si>
    <t>ETORVEL 120 MG TAB</t>
  </si>
  <si>
    <t>ETOR.OT.001</t>
  </si>
  <si>
    <t>ETORVEL 60 MG TAB</t>
  </si>
  <si>
    <t>ETOR.OT.002</t>
  </si>
  <si>
    <t>ETORVEL 90 MG TAB</t>
  </si>
  <si>
    <t>EUTH.OT.001</t>
  </si>
  <si>
    <t>EUTHYROX 100 MCG TABLET @25</t>
  </si>
  <si>
    <t>EVAL.OK.001</t>
  </si>
  <si>
    <t>EVALEN GEL</t>
  </si>
  <si>
    <t>EVAL.OK.002</t>
  </si>
  <si>
    <t>EVALEN CREAM</t>
  </si>
  <si>
    <t>EVIO.OK.001</t>
  </si>
  <si>
    <t>EVION TABLET</t>
  </si>
  <si>
    <t>EXFO.OK.001</t>
  </si>
  <si>
    <t>EXFORGE 5/160 MG</t>
  </si>
  <si>
    <t>EXFO.OK.002</t>
  </si>
  <si>
    <t>EXFORGE 5/80 MG TAB</t>
  </si>
  <si>
    <t>EYEV.OT.001</t>
  </si>
  <si>
    <t>EYEVIT TAB</t>
  </si>
  <si>
    <t>EZTR.OK.001</t>
  </si>
  <si>
    <t>EZETROL 10MG TAB</t>
  </si>
  <si>
    <t>FACE.OK.001</t>
  </si>
  <si>
    <t>FACE TONIC ACNE</t>
  </si>
  <si>
    <t>FACE.OK.002</t>
  </si>
  <si>
    <t>FACI.OK.001</t>
  </si>
  <si>
    <t>FACIAL SOAP OILY</t>
  </si>
  <si>
    <t>FACI.OK.002</t>
  </si>
  <si>
    <t>FACIAL SOAP LIGHTENING (KITODERM)</t>
  </si>
  <si>
    <t>FACI.OK.003</t>
  </si>
  <si>
    <t>FACIAL WASH BRIGHTENING DBI</t>
  </si>
  <si>
    <t>FACI.OK.004</t>
  </si>
  <si>
    <t>FACIAL SOAP OILY ( KITODERM )</t>
  </si>
  <si>
    <t>FACI.OK.005</t>
  </si>
  <si>
    <t>FACIAL SOAP SENSITIVE ( KITODERM )</t>
  </si>
  <si>
    <t>FARM.OK.001</t>
  </si>
  <si>
    <t>FARMOTEN 25 MG TAB</t>
  </si>
  <si>
    <t>FEMA.OB.001</t>
  </si>
  <si>
    <t>FEMAPLEX FC TAB 2,5 MG</t>
  </si>
  <si>
    <t>FENA.OB.001</t>
  </si>
  <si>
    <t>FENATIC TABLET 400</t>
  </si>
  <si>
    <t>FENO.OK.001</t>
  </si>
  <si>
    <t>FENOFIBRAT 100MG</t>
  </si>
  <si>
    <t>FENT.ON.001</t>
  </si>
  <si>
    <t>FENTANYL 0,05 INJ 10 ML</t>
  </si>
  <si>
    <t>FERI.OF.001</t>
  </si>
  <si>
    <t>FERITRIN TAB</t>
  </si>
  <si>
    <t>FERR.OK.001</t>
  </si>
  <si>
    <t>FERRO-K SUSPENSI 120ML</t>
  </si>
  <si>
    <t>FERR.OT.001</t>
  </si>
  <si>
    <t>FERRO-K DROP</t>
  </si>
  <si>
    <t>FITA.AH.001</t>
  </si>
  <si>
    <t>FITAJOINT  ROLL</t>
  </si>
  <si>
    <t>FLAG.OB.001</t>
  </si>
  <si>
    <t>FLAGYL F 500 MG TAB</t>
  </si>
  <si>
    <t>FLAM.OT.001</t>
  </si>
  <si>
    <t>FLAMAR 1 MG/ML EYE DROPS 5 ML</t>
  </si>
  <si>
    <t>FLEE.OK.001</t>
  </si>
  <si>
    <t>FLEET PHOSPOSODA SOLUTION 45 ML</t>
  </si>
  <si>
    <t>FLEX.OB.001</t>
  </si>
  <si>
    <t>FLEXIMUV CREAM</t>
  </si>
  <si>
    <t>FLEX.OT.001</t>
  </si>
  <si>
    <t>FLEXOR DS KAPLET 500 MG / 400 MG</t>
  </si>
  <si>
    <t>FLOR.OB.001</t>
  </si>
  <si>
    <t>FLORAGYN TAB</t>
  </si>
  <si>
    <t>FLOX.OK.001</t>
  </si>
  <si>
    <t>FLOXARIS INF 120 ML</t>
  </si>
  <si>
    <t>FLUI.OK.001</t>
  </si>
  <si>
    <t>FLUIMUCIL 10 % 300 MG/3ML INJ</t>
  </si>
  <si>
    <t>FORB.OB.001</t>
  </si>
  <si>
    <t>FORBETES 500MG TAB</t>
  </si>
  <si>
    <t>FORD.OB.001</t>
  </si>
  <si>
    <t>FORDESIA CAPS</t>
  </si>
  <si>
    <t>FORT.OK.001</t>
  </si>
  <si>
    <t>FORTIBI KAPS</t>
  </si>
  <si>
    <t>FORT.OK.002</t>
  </si>
  <si>
    <t>FORTIBI TABS</t>
  </si>
  <si>
    <t>FORU.OK.001</t>
  </si>
  <si>
    <t>FORUMEN EAR DROP</t>
  </si>
  <si>
    <t>FORX.OT.001</t>
  </si>
  <si>
    <t>FORXIGA 10 MG TAB</t>
  </si>
  <si>
    <t>FOSF.OT.001</t>
  </si>
  <si>
    <t>FOSFOMYCIN SODIUM 2 GR INJ</t>
  </si>
  <si>
    <t>FRES.OB.001</t>
  </si>
  <si>
    <t>FRESH CARE</t>
  </si>
  <si>
    <t>FRES.SM.001</t>
  </si>
  <si>
    <t>FRESUBIN ORIGINAL 500 ML</t>
  </si>
  <si>
    <t>FRIS.SM.001</t>
  </si>
  <si>
    <t>FRISO MUM 400 GR</t>
  </si>
  <si>
    <t>FRIS.SM.002</t>
  </si>
  <si>
    <t>FRISOLAC GOLD 1 400 GR</t>
  </si>
  <si>
    <t>FRIS.SM.003</t>
  </si>
  <si>
    <t>FRISOLAC GOLD 1 900 GR</t>
  </si>
  <si>
    <t>FRIS.SM.004</t>
  </si>
  <si>
    <t>FRISOLAC GOLD 2 400 GR</t>
  </si>
  <si>
    <t>FRIS.SM.005</t>
  </si>
  <si>
    <t>FRISOLAC GOLD 2 900 GR</t>
  </si>
  <si>
    <t>FRIX.OP.001</t>
  </si>
  <si>
    <t>FRIXITAS 0,25 MG TAB</t>
  </si>
  <si>
    <t>FRIX.OP.002</t>
  </si>
  <si>
    <t>FRIXITAS 0,5 MG TAB</t>
  </si>
  <si>
    <t>FRIX.OP.003</t>
  </si>
  <si>
    <t>FRIXITAS 1 MG TAB</t>
  </si>
  <si>
    <t>FT A.OK.001</t>
  </si>
  <si>
    <t>FT ACNE</t>
  </si>
  <si>
    <t>FURA.OT.001</t>
  </si>
  <si>
    <t>FURAMIN INJ</t>
  </si>
  <si>
    <t>FURO.OK.001</t>
  </si>
  <si>
    <t>FUROSEMIDE INJ</t>
  </si>
  <si>
    <t>FW A.OK.001</t>
  </si>
  <si>
    <t>DBI FACIAL WASH ACNE SULFUR</t>
  </si>
  <si>
    <t>FW A.OK.002</t>
  </si>
  <si>
    <t>DBI FACE TONIC AHA</t>
  </si>
  <si>
    <t>FW W.OK.001</t>
  </si>
  <si>
    <t>FW WHITE</t>
  </si>
  <si>
    <t>GA C.OK.001</t>
  </si>
  <si>
    <t>GA CREAM</t>
  </si>
  <si>
    <t>GA N.OK.001</t>
  </si>
  <si>
    <t>GA NIGHT</t>
  </si>
  <si>
    <t>GABA.OK.001</t>
  </si>
  <si>
    <t>GABAPENTIN 300MG CAPS</t>
  </si>
  <si>
    <t>GAFO.OT.001</t>
  </si>
  <si>
    <t>GAFORIN EYE DROP 5ML</t>
  </si>
  <si>
    <t>GANO.OF.001</t>
  </si>
  <si>
    <t>GANOCELIUM ( GL )</t>
  </si>
  <si>
    <t>GARA.OK.001</t>
  </si>
  <si>
    <t>GARAMYCIN CR 15GR</t>
  </si>
  <si>
    <t>GARA.OK.002</t>
  </si>
  <si>
    <t>GARAMYCIN OINT/ SALEP 15GR</t>
  </si>
  <si>
    <t>GARA.OT.001</t>
  </si>
  <si>
    <t>GARAMYCIN INJEKSI 80 MG / 2 ML</t>
  </si>
  <si>
    <t>GELI.OB.001</t>
  </si>
  <si>
    <t>BETAMETHASONE CREAM</t>
  </si>
  <si>
    <t>GERD.OB.001</t>
  </si>
  <si>
    <t>GERDILIUM FORTE TAB</t>
  </si>
  <si>
    <t>GLAU.OK.001</t>
  </si>
  <si>
    <t>GLAUCON TAB 250 MG</t>
  </si>
  <si>
    <t>GLAU.OT.001</t>
  </si>
  <si>
    <t>GLAUSETA 250 MG TABLET</t>
  </si>
  <si>
    <t>GLIA.OT.001</t>
  </si>
  <si>
    <t>GLIARIDE 2 MG TAB</t>
  </si>
  <si>
    <t>GLIA.OT.002</t>
  </si>
  <si>
    <t>GLIARIDE 3 MG TAB</t>
  </si>
  <si>
    <t>GLIA.OT.003</t>
  </si>
  <si>
    <t>GLIABETES 30MG TAB 30'S</t>
  </si>
  <si>
    <t>GLIB.OK.001</t>
  </si>
  <si>
    <t>GLIBOTIC INJ</t>
  </si>
  <si>
    <t>GLIM.OB.001</t>
  </si>
  <si>
    <t>GLIMUNOS TABLET</t>
  </si>
  <si>
    <t>GLIM.OK.001</t>
  </si>
  <si>
    <t>GLIMIPIRIDE 4 MG TAB</t>
  </si>
  <si>
    <t>GLOC.OB.001</t>
  </si>
  <si>
    <t>GLUCOSAMIN 250MG HEXA</t>
  </si>
  <si>
    <t>GLUC.AH.001</t>
  </si>
  <si>
    <t>GLUCO DR STRIP  ( A/C PERFORMA LA/APAC 50 )</t>
  </si>
  <si>
    <t>GLUC.OF.001</t>
  </si>
  <si>
    <t>GLUCOSAMIN TAB 500 MG</t>
  </si>
  <si>
    <t>GLUC.OK.001</t>
  </si>
  <si>
    <t>GLUCODEX TAB</t>
  </si>
  <si>
    <t>GLUC.OK.002</t>
  </si>
  <si>
    <t>GLUCOS TAB</t>
  </si>
  <si>
    <t>GORO.OK.001</t>
  </si>
  <si>
    <t>GORON TAB</t>
  </si>
  <si>
    <t>GRAF.OK.001</t>
  </si>
  <si>
    <t>GRAFIX TAB</t>
  </si>
  <si>
    <t>GRAM.OK.001</t>
  </si>
  <si>
    <t>GRAMET INJ 1MG/ML</t>
  </si>
  <si>
    <t>GRAN.OK.001</t>
  </si>
  <si>
    <t>GRANOVEL 3MG INJ</t>
  </si>
  <si>
    <t>GRAN.OT.001</t>
  </si>
  <si>
    <t>GRANOPI TABLET</t>
  </si>
  <si>
    <t>HAND.OK.001</t>
  </si>
  <si>
    <t>HANDBODY LOTION</t>
  </si>
  <si>
    <t>HAND.OK.002</t>
  </si>
  <si>
    <t>HANDBODY WHITE</t>
  </si>
  <si>
    <t>HARN.OK.001</t>
  </si>
  <si>
    <t>HARNAL OCAS</t>
  </si>
  <si>
    <t>HDL .OR.001</t>
  </si>
  <si>
    <t>HDL CHOLESTEROL GLORY</t>
  </si>
  <si>
    <t>HDL .OR.002</t>
  </si>
  <si>
    <t>HDL CHOLESTEROL  DUMO</t>
  </si>
  <si>
    <t>HERB.OK.001</t>
  </si>
  <si>
    <t>HERBESER CD 200 MG CAP</t>
  </si>
  <si>
    <t>HERO.OB.001</t>
  </si>
  <si>
    <t>HEROCYN 150 GR POWDER</t>
  </si>
  <si>
    <t>HEXB.OB.001</t>
  </si>
  <si>
    <t>HEXBIO SACH</t>
  </si>
  <si>
    <t>HEXY.OK.001</t>
  </si>
  <si>
    <t>HEXYMER 2 MG TAB</t>
  </si>
  <si>
    <t>HIBI.OK.001</t>
  </si>
  <si>
    <t>HIBISCRUB 500 ML</t>
  </si>
  <si>
    <t>HOME.OK.001</t>
  </si>
  <si>
    <t>HOME PEELING</t>
  </si>
  <si>
    <t>HPI .OK.001</t>
  </si>
  <si>
    <t>HPI 1</t>
  </si>
  <si>
    <t>HPI .OK.002</t>
  </si>
  <si>
    <t>HPI 2</t>
  </si>
  <si>
    <t>HUFA.OK.001</t>
  </si>
  <si>
    <t>HUFAMAG PLUS TAB</t>
  </si>
  <si>
    <t>HUMA.OK.001</t>
  </si>
  <si>
    <t>HUMALOG MIX 50/50</t>
  </si>
  <si>
    <t>HYAL.OK.001</t>
  </si>
  <si>
    <t>HYALGAN INJ</t>
  </si>
  <si>
    <t>HYAL.OT.001</t>
  </si>
  <si>
    <t>HYALOPH 1 MG/ML EYE DROPS 5 ML</t>
  </si>
  <si>
    <t>HYDR.OK.001</t>
  </si>
  <si>
    <t>HYDROXYUREA CAP 500MG</t>
  </si>
  <si>
    <t>HYDR.OK.002</t>
  </si>
  <si>
    <t>HYDROMAL INF 500 ML DP</t>
  </si>
  <si>
    <t>HYPE.OK.001</t>
  </si>
  <si>
    <t>VACC HYPERHEP - B</t>
  </si>
  <si>
    <t>HYPE.OK.002</t>
  </si>
  <si>
    <t>HYPERIL TAB 5 MG</t>
  </si>
  <si>
    <t>HYTR.OK.001</t>
  </si>
  <si>
    <t>HISTRINE SYR 60 ML</t>
  </si>
  <si>
    <t>I07</t>
  </si>
  <si>
    <t>RL OTSUKA 500 ML</t>
  </si>
  <si>
    <t>IALU.OK.001</t>
  </si>
  <si>
    <t>IALUSET PLUS CREAM 100 G</t>
  </si>
  <si>
    <t>IKAD.OK.001</t>
  </si>
  <si>
    <t>IKADRYL INJ 100 MG / 10 ML</t>
  </si>
  <si>
    <t>IKAL.OT.001</t>
  </si>
  <si>
    <t>IKALEP 250 MG TABLET</t>
  </si>
  <si>
    <t>ILIA.OK.001</t>
  </si>
  <si>
    <t>ILIADIN MOIST</t>
  </si>
  <si>
    <t>IMIP.OB.001</t>
  </si>
  <si>
    <t>IMIPENEM INJ</t>
  </si>
  <si>
    <t>IMUN.OB.001</t>
  </si>
  <si>
    <t>IMUNPED SYR 60 ML</t>
  </si>
  <si>
    <t>IMUN.OF.001</t>
  </si>
  <si>
    <t>IMUNOS PLUS SYR 60 ML</t>
  </si>
  <si>
    <t>IMUN.OK.001</t>
  </si>
  <si>
    <t>IMUNOS PLUS CAP ( EROR )</t>
  </si>
  <si>
    <t>IMUN.OK.002</t>
  </si>
  <si>
    <t>IMUNOS PLUS CAPS</t>
  </si>
  <si>
    <t>INDO.OK.001</t>
  </si>
  <si>
    <t>INDOP 200 40MG/5ML</t>
  </si>
  <si>
    <t>INST.AH.001</t>
  </si>
  <si>
    <t>NEFROFER INJ 20MG/ML 5ML</t>
  </si>
  <si>
    <t>INST.OB.001</t>
  </si>
  <si>
    <t>JARDIANCE 25 MG TAB</t>
  </si>
  <si>
    <t>INST.OK.001</t>
  </si>
  <si>
    <t>INSTO (TM) 7,5 ML</t>
  </si>
  <si>
    <t>INTE.OB.001</t>
  </si>
  <si>
    <t>INTERLAC TAB 30'S</t>
  </si>
  <si>
    <t>INTE.OK.001</t>
  </si>
  <si>
    <t>INTERPRIL 10 MG TAB</t>
  </si>
  <si>
    <t>INTE.OK.002</t>
  </si>
  <si>
    <t>INTERNOLOL TABLET</t>
  </si>
  <si>
    <t>INTE.OT.001</t>
  </si>
  <si>
    <t>INTERLAC DROP</t>
  </si>
  <si>
    <t>INTE.OT.002</t>
  </si>
  <si>
    <t>INTERLAC TABLET 1000000000 CFU</t>
  </si>
  <si>
    <t>IOHE.OK.001</t>
  </si>
  <si>
    <t>IOHEXOL 300 / 50 ML</t>
  </si>
  <si>
    <t>IPHA.OK.001</t>
  </si>
  <si>
    <t>IPHADRYL INJEKSI</t>
  </si>
  <si>
    <t>IPRO.OK.001</t>
  </si>
  <si>
    <t>IPROX SYR</t>
  </si>
  <si>
    <t>IRVE.OK.001</t>
  </si>
  <si>
    <t>IRVELL 300MG</t>
  </si>
  <si>
    <t>IRVE.OK.002</t>
  </si>
  <si>
    <t>IRVELL 150MG</t>
  </si>
  <si>
    <t>ISNT.OK.001</t>
  </si>
  <si>
    <t>ISNTO TM 7.5 ML</t>
  </si>
  <si>
    <t>IZOL.OK.001</t>
  </si>
  <si>
    <t>GLYCO 1 HRTS 48MM ( GY75ANVZ)</t>
  </si>
  <si>
    <t>JANU.OB.001</t>
  </si>
  <si>
    <t>JANUVIA 50MG</t>
  </si>
  <si>
    <t>JANU.OB.002</t>
  </si>
  <si>
    <t>JANUVIA 100 MG</t>
  </si>
  <si>
    <t>JANU.OK.001</t>
  </si>
  <si>
    <t>JANUMET 50MG/500MG</t>
  </si>
  <si>
    <t>JARD.OK.001</t>
  </si>
  <si>
    <t>JARDIANCE TABLET 10 MG</t>
  </si>
  <si>
    <t>JOIN.OB.001</t>
  </si>
  <si>
    <t>JOINT HEALTH  6</t>
  </si>
  <si>
    <t>K0923</t>
  </si>
  <si>
    <t>BETADINE SOL 15 ML</t>
  </si>
  <si>
    <t>K0938</t>
  </si>
  <si>
    <t>CODIPRONT CUM EXPECT KAPS</t>
  </si>
  <si>
    <t>KALB.OK.001</t>
  </si>
  <si>
    <t>KALBAMIN 10% INF 500 ML</t>
  </si>
  <si>
    <t>KALI.GN.001</t>
  </si>
  <si>
    <t>KALI TAKE 5 GR</t>
  </si>
  <si>
    <t>KALT.OK.001</t>
  </si>
  <si>
    <t>KALTROFEN SUPP</t>
  </si>
  <si>
    <t>KALX.OT.001</t>
  </si>
  <si>
    <t>KALXETIN CAP 20 MG</t>
  </si>
  <si>
    <t>KAR .OK.001</t>
  </si>
  <si>
    <t>KARY UNI 0,05 TETES MATA</t>
  </si>
  <si>
    <t>KELO.OT.001</t>
  </si>
  <si>
    <t>KELOPLAST S.KELOID 5X6</t>
  </si>
  <si>
    <t>KELO.OT.002</t>
  </si>
  <si>
    <t>KELOPLAST S.KELOID 6X10</t>
  </si>
  <si>
    <t>KEPP.OT.001</t>
  </si>
  <si>
    <t>KEPPRA 250 MG TAB</t>
  </si>
  <si>
    <t>KERE.OB.001</t>
  </si>
  <si>
    <t>KEREN INJ</t>
  </si>
  <si>
    <t>KERE.OK.001</t>
  </si>
  <si>
    <t>KEREN INJEC</t>
  </si>
  <si>
    <t>KERE.OK.002</t>
  </si>
  <si>
    <t>KEREN TABLET</t>
  </si>
  <si>
    <t>KETA.OB.001</t>
  </si>
  <si>
    <t>KETALAR INJ</t>
  </si>
  <si>
    <t>KETO.OB.001</t>
  </si>
  <si>
    <t>KETOMED SCALEB</t>
  </si>
  <si>
    <t>KETO.OK.001</t>
  </si>
  <si>
    <t>KETOMED  CR</t>
  </si>
  <si>
    <t>KETO.OK.002</t>
  </si>
  <si>
    <t>KETOMED GEL</t>
  </si>
  <si>
    <t>KETO.OK.003</t>
  </si>
  <si>
    <t>KETOMED SS SOL 60ML</t>
  </si>
  <si>
    <t>KHP .OK.001</t>
  </si>
  <si>
    <t>KHP ( KRIM HIPERPIGMENTASI )</t>
  </si>
  <si>
    <t>KI  .OK.001</t>
  </si>
  <si>
    <t>KI</t>
  </si>
  <si>
    <t>KI (.OK.001</t>
  </si>
  <si>
    <t>KI ( KRIM IRITASI )</t>
  </si>
  <si>
    <t>KIFA.OK.001</t>
  </si>
  <si>
    <t>KIFACAINE INJ</t>
  </si>
  <si>
    <t>KLOD.OK.001</t>
  </si>
  <si>
    <t>KLODERMA OINTMENT 10GR</t>
  </si>
  <si>
    <t>KLOD.OK.002</t>
  </si>
  <si>
    <t>KLODERMA CREAM 5GR</t>
  </si>
  <si>
    <t>KLOD.OK.003</t>
  </si>
  <si>
    <t>KLODERMA GEL 5GR</t>
  </si>
  <si>
    <t>KLOD.OK.004</t>
  </si>
  <si>
    <t>KLODERMA OINT 5GR</t>
  </si>
  <si>
    <t>KOLK.OK.001</t>
  </si>
  <si>
    <t>KOLKATRIOL 0.25MG KAP</t>
  </si>
  <si>
    <t>KOLK.OK.002</t>
  </si>
  <si>
    <t>KOLKATRIOL FORTE 0.5MG KAP</t>
  </si>
  <si>
    <t>KOME.OK.001</t>
  </si>
  <si>
    <t>KOMEDO 1 DAY</t>
  </si>
  <si>
    <t>KOME.OK.002</t>
  </si>
  <si>
    <t>KOMEDO ON SPOT</t>
  </si>
  <si>
    <t>KOMI.OB.001</t>
  </si>
  <si>
    <t>KOMIX JAHE SACHET</t>
  </si>
  <si>
    <t>KRIM.OC.001</t>
  </si>
  <si>
    <t>KRIM WAJAH T</t>
  </si>
  <si>
    <t>KRIM.OC.002</t>
  </si>
  <si>
    <t>KRIM A</t>
  </si>
  <si>
    <t>KRIM.OC.003</t>
  </si>
  <si>
    <t>KRIM TS 2</t>
  </si>
  <si>
    <t>L1K0904</t>
  </si>
  <si>
    <t>CODIPRONT CUM EXP SYR</t>
  </si>
  <si>
    <t>L1Z0004</t>
  </si>
  <si>
    <t>FLUIMUCIL SYR 150 ML</t>
  </si>
  <si>
    <t>LACO.OK.001</t>
  </si>
  <si>
    <t>LACOLDIN TAB</t>
  </si>
  <si>
    <t>LACO.OK.002</t>
  </si>
  <si>
    <t>LACOPHEN KAP</t>
  </si>
  <si>
    <t>LACO.OK.003</t>
  </si>
  <si>
    <t>LACOPHEN DRY  60 ML SYR</t>
  </si>
  <si>
    <t>LACT.OB.001</t>
  </si>
  <si>
    <t>LACTULAX SYR 200 ML</t>
  </si>
  <si>
    <t>LACT.OB.002</t>
  </si>
  <si>
    <t>LACTACYD FEMINE HYGIENE WIPES</t>
  </si>
  <si>
    <t>LACT.OK.001</t>
  </si>
  <si>
    <t>LAXOBERON DROP</t>
  </si>
  <si>
    <t>LACT.OT.001</t>
  </si>
  <si>
    <t>LACTACID FEMININE HYG 250 ML</t>
  </si>
  <si>
    <t>LAFL.OK.001</t>
  </si>
  <si>
    <t>OSELTAMIVIR 75 MG CAP INDOFARMA</t>
  </si>
  <si>
    <t>LAGE.OK.001</t>
  </si>
  <si>
    <t>LAGESIL TAB</t>
  </si>
  <si>
    <t>LAGE.OK.002</t>
  </si>
  <si>
    <t>LAGESIL  170 ML SYR</t>
  </si>
  <si>
    <t>LAME.OK.001</t>
  </si>
  <si>
    <t>LAMESON 8 MG TAB</t>
  </si>
  <si>
    <t>LAPI.OK.001</t>
  </si>
  <si>
    <t>LAPIBROZ 300 KAP</t>
  </si>
  <si>
    <t>LAPI.OK.002</t>
  </si>
  <si>
    <t>LAPISIV TAB</t>
  </si>
  <si>
    <t>LAPI.OK.003</t>
  </si>
  <si>
    <t>LAPIBAL INJ</t>
  </si>
  <si>
    <t>LAR .OR.001</t>
  </si>
  <si>
    <t>LAR EOSIN</t>
  </si>
  <si>
    <t>LAXA.OB.001</t>
  </si>
  <si>
    <t>LDL .OR.001</t>
  </si>
  <si>
    <t>HDL DIRECT</t>
  </si>
  <si>
    <t>LDL .OR.002</t>
  </si>
  <si>
    <t>LDL CHOLESTROL</t>
  </si>
  <si>
    <t>LENA.OK.001</t>
  </si>
  <si>
    <t>LENALIDOMIDE 10MG CAPS</t>
  </si>
  <si>
    <t>LEPA.OT.001</t>
  </si>
  <si>
    <t>LEPARSON TAB</t>
  </si>
  <si>
    <t>LEUK.OK.001</t>
  </si>
  <si>
    <t>LEUKOKINE INJECTION 300 MCG / 1.2 ML</t>
  </si>
  <si>
    <t>LEVE.OK.001</t>
  </si>
  <si>
    <t>LEVEMIR FLEXPEN</t>
  </si>
  <si>
    <t>LEVI.OT.001</t>
  </si>
  <si>
    <t>LEVIN INF</t>
  </si>
  <si>
    <t>LEVO.OT.001</t>
  </si>
  <si>
    <t>LEVOCIN 0,1 % EYE DROP 5 ML</t>
  </si>
  <si>
    <t>LIBR.OT.001</t>
  </si>
  <si>
    <t>LIBROZYM TAB</t>
  </si>
  <si>
    <t>LIFE.OK.001</t>
  </si>
  <si>
    <t>LIFEN TAB (FENOFIBRATE 200MG)</t>
  </si>
  <si>
    <t>LINC.OT.001</t>
  </si>
  <si>
    <t>LINCYN 500 MG CAPSUL</t>
  </si>
  <si>
    <t>LINE.OR.001</t>
  </si>
  <si>
    <t>LINEARITY CONTROL MATERIAL</t>
  </si>
  <si>
    <t>LIPA.OK.001</t>
  </si>
  <si>
    <t>LIPANTHYL PENTA 145MG</t>
  </si>
  <si>
    <t>LIPA.OK.002</t>
  </si>
  <si>
    <t>LIPANTHYL 100 MG TAB</t>
  </si>
  <si>
    <t>LIPO.OT.001</t>
  </si>
  <si>
    <t>LIPOMED 20 % 250 ML INFUS</t>
  </si>
  <si>
    <t>LIQU.OK.001</t>
  </si>
  <si>
    <t>VIUSID ORAL SOL 100 ML</t>
  </si>
  <si>
    <t>LIVA.OB.001</t>
  </si>
  <si>
    <t>LIVAMIN 500 ML</t>
  </si>
  <si>
    <t>LIVA.OK.001</t>
  </si>
  <si>
    <t>LIVALO 2 MG TAB</t>
  </si>
  <si>
    <t>LIVA.OK.002</t>
  </si>
  <si>
    <t>LIVALO 4 MG TABLET</t>
  </si>
  <si>
    <t>LOCO.OC.001</t>
  </si>
  <si>
    <t>VACC POLIO INJ</t>
  </si>
  <si>
    <t>LOCO.OK.001</t>
  </si>
  <si>
    <t>LOCOID SCALP SOLUTION 20ML</t>
  </si>
  <si>
    <t>LOCO.OT.001</t>
  </si>
  <si>
    <t>LOCOID CREAM</t>
  </si>
  <si>
    <t>LODO.OK.001</t>
  </si>
  <si>
    <t>LODOZ 2.5</t>
  </si>
  <si>
    <t>LODO.OK.002</t>
  </si>
  <si>
    <t>LODOZ 5 MG TAB</t>
  </si>
  <si>
    <t>LODO.OP.001</t>
  </si>
  <si>
    <t>LODOMER INJ</t>
  </si>
  <si>
    <t>LONG.OT.001</t>
  </si>
  <si>
    <t>LONGATIN 50 MG CAPS</t>
  </si>
  <si>
    <t>LOOS.OK.001</t>
  </si>
  <si>
    <t>LOOSE POWDER ACNE KN</t>
  </si>
  <si>
    <t>LOTI.OC.001</t>
  </si>
  <si>
    <t>LOTION WAJAH A</t>
  </si>
  <si>
    <t>LOTI.OC.002</t>
  </si>
  <si>
    <t>LOTION WAJAH T</t>
  </si>
  <si>
    <t>LOVA.OT.001</t>
  </si>
  <si>
    <t>LOVAMIL IBU HAMIL COKLAT 175 G</t>
  </si>
  <si>
    <t>LOVA.OT.002</t>
  </si>
  <si>
    <t>LOVAMIL IBU MENYUSUI COKLAT 175 G</t>
  </si>
  <si>
    <t>LUFT.OB.001</t>
  </si>
  <si>
    <t>LUFTEN  25 MG</t>
  </si>
  <si>
    <t>LUFT.OB.002</t>
  </si>
  <si>
    <t>LUFTEN 100 MG</t>
  </si>
  <si>
    <t>LYNO.OK.001</t>
  </si>
  <si>
    <t>LYNORAL TAB</t>
  </si>
  <si>
    <t>LYRI.OK.001</t>
  </si>
  <si>
    <t>LYRICA 75MG CAPS</t>
  </si>
  <si>
    <t>LYRI.OT.001</t>
  </si>
  <si>
    <t>LYRICA 150 MG CAPS</t>
  </si>
  <si>
    <t>LYSA.OK.001</t>
  </si>
  <si>
    <t>LYSAGOR</t>
  </si>
  <si>
    <t>L-ZI.OB.001</t>
  </si>
  <si>
    <t>L-ZINC SYR 100ML</t>
  </si>
  <si>
    <t>M-20.OK.001</t>
  </si>
  <si>
    <t>M-20 (MANITOL) INF SANBE 500ML</t>
  </si>
  <si>
    <t>MADO.OK.001</t>
  </si>
  <si>
    <t>MADOPAR DISPERSIBLE 125MG TAB</t>
  </si>
  <si>
    <t>MAGT.OB.001</t>
  </si>
  <si>
    <t>MAGTRAL TAB</t>
  </si>
  <si>
    <t>MAGT.OK.001</t>
  </si>
  <si>
    <t>MAGTRAL FORTE SYR</t>
  </si>
  <si>
    <t>MARC.OK.001</t>
  </si>
  <si>
    <t>MARCAIN INJ 5MG/ML</t>
  </si>
  <si>
    <t>MARC.OK.002</t>
  </si>
  <si>
    <t>MARCAIN 0,5 % PDF 20 ML</t>
  </si>
  <si>
    <t>MASK.OK.001</t>
  </si>
  <si>
    <t>MASK PEEL OF ACNE</t>
  </si>
  <si>
    <t>MATO.OB.001</t>
  </si>
  <si>
    <t>MATOVIT</t>
  </si>
  <si>
    <t>MATO.OK.001</t>
  </si>
  <si>
    <t>MATOLAC INJ 30MG</t>
  </si>
  <si>
    <t>MAXI.OB.001</t>
  </si>
  <si>
    <t>MAXIMUS (THERMOLYTE)</t>
  </si>
  <si>
    <t>MAXI.OK.001</t>
  </si>
  <si>
    <t>MAXIFLON TAB</t>
  </si>
  <si>
    <t>MAXI.OK.002</t>
  </si>
  <si>
    <t>MAXITROL EYE DROPS</t>
  </si>
  <si>
    <t>MECO.OK.001</t>
  </si>
  <si>
    <t>MECOLA KAPLET</t>
  </si>
  <si>
    <t>MECO.OK.002</t>
  </si>
  <si>
    <t>MECOLA FORTE  KAPLET</t>
  </si>
  <si>
    <t>MEDI.OK.001</t>
  </si>
  <si>
    <t>MEDI-KLIN GEL</t>
  </si>
  <si>
    <t>MEDS.OT.001</t>
  </si>
  <si>
    <t>MEDSCAB CREAM 5 % 30 MG</t>
  </si>
  <si>
    <t>METH.AH.001</t>
  </si>
  <si>
    <t>METHANOL 500 ML</t>
  </si>
  <si>
    <t>METH.OB.001</t>
  </si>
  <si>
    <t>METHIOSON TAB</t>
  </si>
  <si>
    <t>METH.OB.002</t>
  </si>
  <si>
    <t>METHERGIN INJ</t>
  </si>
  <si>
    <t>METH.OK.001</t>
  </si>
  <si>
    <t>METHERINAL TAB 125MCG</t>
  </si>
  <si>
    <t>METH.OT.001</t>
  </si>
  <si>
    <t>METHAM TABLET</t>
  </si>
  <si>
    <t>METI.OB.001</t>
  </si>
  <si>
    <t>METICOBAL CAP 500 MG</t>
  </si>
  <si>
    <t>METV.OK.001</t>
  </si>
  <si>
    <t>METVELL 0.2 MG INJ</t>
  </si>
  <si>
    <t>METV.OK.002</t>
  </si>
  <si>
    <t>METVELL 0.125 MG TAB</t>
  </si>
  <si>
    <t>MIDR.OT.001</t>
  </si>
  <si>
    <t>MIDRIC 5 MG/ML EYE DROPS 5 ML</t>
  </si>
  <si>
    <t>MIKA.OK.001</t>
  </si>
  <si>
    <t>MIKASIN INJ 250MG</t>
  </si>
  <si>
    <t>MIKA.OK.002</t>
  </si>
  <si>
    <t>MIKASIN I GR INJ</t>
  </si>
  <si>
    <t>MILK.OK.001</t>
  </si>
  <si>
    <t>MILK CLEANSER</t>
  </si>
  <si>
    <t>MILK.OK.002</t>
  </si>
  <si>
    <t>NIGHT CREAM BRIGHTENING DBI</t>
  </si>
  <si>
    <t>MILN.OB.001</t>
  </si>
  <si>
    <t>MILNA BISKUIT ORIGINAL 130 GR</t>
  </si>
  <si>
    <t>MILN.OB.002</t>
  </si>
  <si>
    <t>MILNA BUBUR REGULER 6+ 120 GR BERAS MERAH PISANG</t>
  </si>
  <si>
    <t>MILN.OB.003</t>
  </si>
  <si>
    <t>MILNA BUBUR REGULER 9+ 120 GR TUMIS HATI AYAM BROK</t>
  </si>
  <si>
    <t>MILN.OB.004</t>
  </si>
  <si>
    <t>MILNA BUBUR KHUSUS AYAM BAYAM 120 GR</t>
  </si>
  <si>
    <t>MILN.OB.005</t>
  </si>
  <si>
    <t>MILNA BUBUR KHUSUS AYAM MANIS TERIYAKI 120 GR</t>
  </si>
  <si>
    <t>MILN.OB.006</t>
  </si>
  <si>
    <t>MILNA TODDLER KEJU 110 GR</t>
  </si>
  <si>
    <t>MILN.OB.007</t>
  </si>
  <si>
    <t>MILNA TODDLER PUDING 100GR</t>
  </si>
  <si>
    <t>MILN.OB.008</t>
  </si>
  <si>
    <t>MILNA BISCUIT PISANG 130 GR</t>
  </si>
  <si>
    <t>MILN.OB.009</t>
  </si>
  <si>
    <t>MILNA BISCUIT BERAS MERAH 130 GR</t>
  </si>
  <si>
    <t>MILN.OB.010</t>
  </si>
  <si>
    <t>MILNA BISCUIT KACANG HIJAU 130 GR</t>
  </si>
  <si>
    <t>MILN.OT.001</t>
  </si>
  <si>
    <t>MILNA TODDLER COKELAT 110 GR</t>
  </si>
  <si>
    <t>MILO.OK.001</t>
  </si>
  <si>
    <t>MILOZ INJ. 5MG/5ML @10AMP</t>
  </si>
  <si>
    <t>MINI.OT.001</t>
  </si>
  <si>
    <t>MINIASPI 80 MG TABLET</t>
  </si>
  <si>
    <t>MINO.OB.001</t>
  </si>
  <si>
    <t>MINOSEP GARGLE 60ML</t>
  </si>
  <si>
    <t>MINY.OB.001</t>
  </si>
  <si>
    <t>MINYAK TELON KONICARE 60ML</t>
  </si>
  <si>
    <t>MINY.OB.002</t>
  </si>
  <si>
    <t>MINYAK TELON KONICARE PLUS 60ML</t>
  </si>
  <si>
    <t>MINY.OB.003</t>
  </si>
  <si>
    <t>MINYAK GANDAPURA 100 ML</t>
  </si>
  <si>
    <t>MIOK.OT.001</t>
  </si>
  <si>
    <t>MIOKAR EYE DROP</t>
  </si>
  <si>
    <t>MIXA.OB.001</t>
  </si>
  <si>
    <t>MIXARIA  SACH</t>
  </si>
  <si>
    <t>MN C.OK.001</t>
  </si>
  <si>
    <t>MN CREAM</t>
  </si>
  <si>
    <t>MODA.OB.001</t>
  </si>
  <si>
    <t>MODALIM 100 MG</t>
  </si>
  <si>
    <t>MOIS.OC.001</t>
  </si>
  <si>
    <t>MOISTODERM</t>
  </si>
  <si>
    <t>MOIS.OK.001</t>
  </si>
  <si>
    <t>MOIST</t>
  </si>
  <si>
    <t>MONU.OK.001</t>
  </si>
  <si>
    <t>MONURIL SACHET</t>
  </si>
  <si>
    <t>MOTI.OT.001</t>
  </si>
  <si>
    <t>MOTILIUM TABLET</t>
  </si>
  <si>
    <t>MOXI.OK.001</t>
  </si>
  <si>
    <t>MOXIFLOXACIN INF</t>
  </si>
  <si>
    <t>MST .OK.001</t>
  </si>
  <si>
    <t>MST CONTINOUS 10 MG</t>
  </si>
  <si>
    <t>MST .ON.001</t>
  </si>
  <si>
    <t>MST 10 MG</t>
  </si>
  <si>
    <t>MUCO.OB.001</t>
  </si>
  <si>
    <t>MUCOS TAB</t>
  </si>
  <si>
    <t>MULT.OR.001</t>
  </si>
  <si>
    <t>CALIBRATOR BPC</t>
  </si>
  <si>
    <t>MY B.OB.001</t>
  </si>
  <si>
    <t>MY BABY MINYAK TE ORIGINAL</t>
  </si>
  <si>
    <t>MY B.OB.002</t>
  </si>
  <si>
    <t>MY BABY MINYAK TELON  + ANTI NYAMUK</t>
  </si>
  <si>
    <t>MYCA.OK.001</t>
  </si>
  <si>
    <t>MYCAMINE INJ</t>
  </si>
  <si>
    <t>MYOV.OT.001</t>
  </si>
  <si>
    <t>MYOVITON TAB</t>
  </si>
  <si>
    <t>N - .OT.001</t>
  </si>
  <si>
    <t>N - ACETYLCYSTEINE INHALASI 300 MG/3ML</t>
  </si>
  <si>
    <t>NACL.OK.001</t>
  </si>
  <si>
    <t>NACL 100 ML SP</t>
  </si>
  <si>
    <t>NACL.OK.002</t>
  </si>
  <si>
    <t>NACL 500 OTSUKA</t>
  </si>
  <si>
    <t>NACL.OK.003</t>
  </si>
  <si>
    <t>NACL 500 ML</t>
  </si>
  <si>
    <t>NARO.OK.001</t>
  </si>
  <si>
    <t>NAROPIN INJ 7.5 MG / 20 ML</t>
  </si>
  <si>
    <t>NARO.OK.002</t>
  </si>
  <si>
    <t>NAROPHIN INJ</t>
  </si>
  <si>
    <t>NARO.OK.003</t>
  </si>
  <si>
    <t>NAROPHIN INJ 0,75 %</t>
  </si>
  <si>
    <t>NASA.OB.001</t>
  </si>
  <si>
    <t>NASAL CORD SPRAY</t>
  </si>
  <si>
    <t>NASA.OB.002</t>
  </si>
  <si>
    <t>NASACORT AQ</t>
  </si>
  <si>
    <t>NASA.OB.003</t>
  </si>
  <si>
    <t>NASAL BREATY SPRAY</t>
  </si>
  <si>
    <t>NASO.OB.001</t>
  </si>
  <si>
    <t>NASONEX NASAL SPRAY 140 "</t>
  </si>
  <si>
    <t>NASO.OK.001</t>
  </si>
  <si>
    <t>NASONEX NASAL SPRAY 140"</t>
  </si>
  <si>
    <t>NATR.OB.001</t>
  </si>
  <si>
    <t>NATURE'S PLUS VITAMIN E 200 IU</t>
  </si>
  <si>
    <t>NATU.OB.001</t>
  </si>
  <si>
    <t>NATURE HEALTH OMEGA</t>
  </si>
  <si>
    <t>NAZO.OK.001</t>
  </si>
  <si>
    <t>NAZOVEL SUPP</t>
  </si>
  <si>
    <t>NEO .OB.001</t>
  </si>
  <si>
    <t>NEO MERCAZOLE</t>
  </si>
  <si>
    <t>NEO .OK.001</t>
  </si>
  <si>
    <t>NEO GYNOXA OVULA</t>
  </si>
  <si>
    <t>NERI.OB.001</t>
  </si>
  <si>
    <t>NERIPROS 2 MG</t>
  </si>
  <si>
    <t>NERI.OB.002</t>
  </si>
  <si>
    <t>NERIPROS ORAL SOLUTION 30 ML</t>
  </si>
  <si>
    <t>NERI.OK.001</t>
  </si>
  <si>
    <t>NERISONA COMBI 10 GR</t>
  </si>
  <si>
    <t>NETH.OK.001</t>
  </si>
  <si>
    <t>METHOTREXATE 2.5 MG TAB</t>
  </si>
  <si>
    <t>NEUR.OK.001</t>
  </si>
  <si>
    <t>NEUROBION DROP</t>
  </si>
  <si>
    <t>NEUR.OK.002</t>
  </si>
  <si>
    <t>NEUROTAM INFUS</t>
  </si>
  <si>
    <t>NEXI.OK.001</t>
  </si>
  <si>
    <t>NEXIUM 40MG INJ</t>
  </si>
  <si>
    <t>NEXU.OK.001</t>
  </si>
  <si>
    <t>NEXURIN TAB</t>
  </si>
  <si>
    <t>NIAC.OK.001</t>
  </si>
  <si>
    <t>NIACEF GEL</t>
  </si>
  <si>
    <t>NIKO.OK.001</t>
  </si>
  <si>
    <t>NIKOLAM CAP</t>
  </si>
  <si>
    <t>NIKO.OK.002</t>
  </si>
  <si>
    <t>NIKOLAM DRY SYRUP 125 MG 60 ML</t>
  </si>
  <si>
    <t>NIRD.OK.001</t>
  </si>
  <si>
    <t>VERDIF INJ</t>
  </si>
  <si>
    <t>NITR.OB.001</t>
  </si>
  <si>
    <t>NITROCAF RETARD 2,5 MG</t>
  </si>
  <si>
    <t>NITR.OB.002</t>
  </si>
  <si>
    <t>NITROCAF RETARD FORTE 5 MG CAP</t>
  </si>
  <si>
    <t>NITR.OK.001</t>
  </si>
  <si>
    <t>NITROGLYCERIN 10MG/10MG INJ  (NTG)</t>
  </si>
  <si>
    <t>NIZO.OT.001</t>
  </si>
  <si>
    <t>NIZORAL SOL</t>
  </si>
  <si>
    <t>NOKO.OK.001</t>
  </si>
  <si>
    <t>NOKOBA INJ 0.4 MG/ML - 2 ML</t>
  </si>
  <si>
    <t>NOLI.OB.001</t>
  </si>
  <si>
    <t>NOLIPO TABLET</t>
  </si>
  <si>
    <t>NOPR.OP.001</t>
  </si>
  <si>
    <t>NOPRENIA 1 MG TAB</t>
  </si>
  <si>
    <t>NOPR.OP.002</t>
  </si>
  <si>
    <t>NOPRENIA 2 MG TAB</t>
  </si>
  <si>
    <t>NOPR.OP.003</t>
  </si>
  <si>
    <t>NOPRENIA 3 MG TAB</t>
  </si>
  <si>
    <t>NORA.OB.001</t>
  </si>
  <si>
    <t>NORAGES INJ</t>
  </si>
  <si>
    <t>NORA.OK.001</t>
  </si>
  <si>
    <t>NORAGES SYR</t>
  </si>
  <si>
    <t>NORM.OB.001</t>
  </si>
  <si>
    <t>NORMA VIT TAB</t>
  </si>
  <si>
    <t>NOS .OB.001</t>
  </si>
  <si>
    <t>NOS ORAL SOLUTIONS</t>
  </si>
  <si>
    <t>NOTR.OT.001</t>
  </si>
  <si>
    <t>NOTRIXUM 25MG INJ</t>
  </si>
  <si>
    <t>NOUR.OB.001</t>
  </si>
  <si>
    <t>NOURISH E 400 IU CAP</t>
  </si>
  <si>
    <t>NOVA.OK.001</t>
  </si>
  <si>
    <t>NOVALGIN TABLET</t>
  </si>
  <si>
    <t>NOVE.OB.001</t>
  </si>
  <si>
    <t>NOVESTROL 4 MG TAB</t>
  </si>
  <si>
    <t>NOVE.OB.002</t>
  </si>
  <si>
    <t>NOVESTROL 16 MG TAB</t>
  </si>
  <si>
    <t>NUCR.OB.001</t>
  </si>
  <si>
    <t>NUCRAL SYR 200ML</t>
  </si>
  <si>
    <t>NUTR.OB.001</t>
  </si>
  <si>
    <t>NUTRIVE BENECOL BLACCURRANT</t>
  </si>
  <si>
    <t>NUTR.OB.002</t>
  </si>
  <si>
    <t>NUTRIVE BENECOL SMOTHI ( MAS BANDEED 6X 100 ORANGE</t>
  </si>
  <si>
    <t>NUTR.OB.003</t>
  </si>
  <si>
    <t>NUTRIVE BENECOL SMOTHIE 6X100 ML STRAWBERRY</t>
  </si>
  <si>
    <t>NUTR.OK.001</t>
  </si>
  <si>
    <t>NUTRI CREAM ( NR ) 10 GR</t>
  </si>
  <si>
    <t>NUTR.SM.001</t>
  </si>
  <si>
    <t>NUTREN OPTIMUM 800 GR</t>
  </si>
  <si>
    <t>NUTR.SM.002</t>
  </si>
  <si>
    <t>NUTREN OPTIMUM 400 GR</t>
  </si>
  <si>
    <t>NYST.OK.001</t>
  </si>
  <si>
    <t>NYSTIN DROP</t>
  </si>
  <si>
    <t>NYSY.OK.001</t>
  </si>
  <si>
    <t>NYSYTATIN DROP</t>
  </si>
  <si>
    <t>O07</t>
  </si>
  <si>
    <t>ROVADIN SYR 60 ML</t>
  </si>
  <si>
    <t>OB H.OB.001</t>
  </si>
  <si>
    <t>OB HERBAL 100 ML</t>
  </si>
  <si>
    <t>OBH .OB.001</t>
  </si>
  <si>
    <t>OBH OBIDA ( IBU DAN ANAK ) SIRUP</t>
  </si>
  <si>
    <t>OCTA.OK.001</t>
  </si>
  <si>
    <t>OCTALBIN 20 % 100 ML</t>
  </si>
  <si>
    <t>OCTA.OK.002</t>
  </si>
  <si>
    <t>OCTALBIN 25% 100 ML</t>
  </si>
  <si>
    <t>OCTE.OB.001</t>
  </si>
  <si>
    <t>OCTENIC GEL 20 GR</t>
  </si>
  <si>
    <t>OCUF.OT.001</t>
  </si>
  <si>
    <t>OCUFLAM EYE DROPS 5 ML</t>
  </si>
  <si>
    <t>OFLO.OK.001</t>
  </si>
  <si>
    <t>OFLOXACIN INF</t>
  </si>
  <si>
    <t>OILU.OC.001</t>
  </si>
  <si>
    <t>OILUM SOAP BAR</t>
  </si>
  <si>
    <t>OILU.OC.002</t>
  </si>
  <si>
    <t>OILUM SOAP SKIN MOISTURIZING</t>
  </si>
  <si>
    <t>OMEP.OK.001</t>
  </si>
  <si>
    <t>OMEPROS CAP</t>
  </si>
  <si>
    <t>ONDA.OK.001</t>
  </si>
  <si>
    <t>ONDANSENTRON TAB 4MG S'30</t>
  </si>
  <si>
    <t>ONDA.OT.001</t>
  </si>
  <si>
    <t>ONDAVEL ODT ( ONDAN 8 MG ) TAB</t>
  </si>
  <si>
    <t>OPIG.OK.001</t>
  </si>
  <si>
    <t>OPIGRAN INJ</t>
  </si>
  <si>
    <t>OPIM.OT.001</t>
  </si>
  <si>
    <t>OPIMER INJ</t>
  </si>
  <si>
    <t>OPIP.OT.001</t>
  </si>
  <si>
    <t>OPIPROL 2,5 MG TAB</t>
  </si>
  <si>
    <t>OPIP.OT.002</t>
  </si>
  <si>
    <t>OPIPROL 5 MG TAB</t>
  </si>
  <si>
    <t>OREZ.OF.001</t>
  </si>
  <si>
    <t>OREZINC SACHET</t>
  </si>
  <si>
    <t>OREZ.OK.001</t>
  </si>
  <si>
    <t>OREZINC SYR</t>
  </si>
  <si>
    <t>OSCA.OK.001</t>
  </si>
  <si>
    <t>OSCAL 0,5MG TABLET</t>
  </si>
  <si>
    <t>OSCA.OK.002</t>
  </si>
  <si>
    <t>OSCAL 0.25MG TABLET</t>
  </si>
  <si>
    <t>OSFI.OF.001</t>
  </si>
  <si>
    <t>OSFIT DHA TAB</t>
  </si>
  <si>
    <t>OSFI.OK.001</t>
  </si>
  <si>
    <t>OSFIT TABLET</t>
  </si>
  <si>
    <t>OSTE.OB.001</t>
  </si>
  <si>
    <t>OSTEOKOM TABLET</t>
  </si>
  <si>
    <t>OSTE.OT.001</t>
  </si>
  <si>
    <t>OSTEO NATO OAW</t>
  </si>
  <si>
    <t>OTSU.OB.001</t>
  </si>
  <si>
    <t>OTSUTRAN 70</t>
  </si>
  <si>
    <t>OTSU.OK.001</t>
  </si>
  <si>
    <t>OTSU D5 100 ML OTSUKA</t>
  </si>
  <si>
    <t>OTSU.OK.002</t>
  </si>
  <si>
    <t>OTSU NS 0,9% 500 ML</t>
  </si>
  <si>
    <t>OTSU.OT.001</t>
  </si>
  <si>
    <t>OTSU D5 1/4 NS 500 ML</t>
  </si>
  <si>
    <t>OTSU.OT.002</t>
  </si>
  <si>
    <t>OTSU D10 ( 500 ML )</t>
  </si>
  <si>
    <t>OTTO.OB.001</t>
  </si>
  <si>
    <t>OTTOGENTA CREAM 5 GR</t>
  </si>
  <si>
    <t>OTTO.OT.001</t>
  </si>
  <si>
    <t>OTTOZOL  ( ABBOT)  INJ</t>
  </si>
  <si>
    <t>OXFE.OB.001</t>
  </si>
  <si>
    <t>OXFEZIN 60 ML</t>
  </si>
  <si>
    <t>OXFE.OB.002</t>
  </si>
  <si>
    <t>OXFEZIN 100 ML</t>
  </si>
  <si>
    <t>OXFE.OK.001</t>
  </si>
  <si>
    <t>OXFERIN SOL 30 ML</t>
  </si>
  <si>
    <t>OXYL.OK.001</t>
  </si>
  <si>
    <t>OXYLA INJ</t>
  </si>
  <si>
    <t>P05</t>
  </si>
  <si>
    <t>PREVENAR INJ</t>
  </si>
  <si>
    <t>PAKE.OB.001</t>
  </si>
  <si>
    <t>MANO SCRAB 500 ML</t>
  </si>
  <si>
    <t>PALE.OT.001</t>
  </si>
  <si>
    <t>PALENOX 0.1% GEL 15 GR</t>
  </si>
  <si>
    <t>PAMO.OT.001</t>
  </si>
  <si>
    <t>PAMOL SUPP 125 MG</t>
  </si>
  <si>
    <t>PAMO.OT.002</t>
  </si>
  <si>
    <t>PAMOL SUPP 250 MG</t>
  </si>
  <si>
    <t>PANT.OK.001</t>
  </si>
  <si>
    <t>PANTOPRAZOLE TAB 20MG</t>
  </si>
  <si>
    <t>PANT.OK.002</t>
  </si>
  <si>
    <t>PANTOPRAZOLE TAB 40MG</t>
  </si>
  <si>
    <t>PANT.OK.003</t>
  </si>
  <si>
    <t>PANTERA INJ</t>
  </si>
  <si>
    <t>PAPA.OK.001</t>
  </si>
  <si>
    <t>PAPAVERIN TAB 40MG</t>
  </si>
  <si>
    <t>PARA.OB.001</t>
  </si>
  <si>
    <t>PARACETAMOL INF</t>
  </si>
  <si>
    <t>PARA.OT.001</t>
  </si>
  <si>
    <t>PARATUSIN TAB</t>
  </si>
  <si>
    <t>PARI.OK.001</t>
  </si>
  <si>
    <t>PARIET 20 MG TABLET</t>
  </si>
  <si>
    <t>PERD.OK.001</t>
  </si>
  <si>
    <t>PERDIPINE INJ</t>
  </si>
  <si>
    <t>PERM.OB.001</t>
  </si>
  <si>
    <t>PERMEN WOODS LEMON TAB</t>
  </si>
  <si>
    <t>PIOG.OB.001</t>
  </si>
  <si>
    <t>PIOGLITAZONE HCL TAB 30 MG</t>
  </si>
  <si>
    <t>PIPT.OB.001</t>
  </si>
  <si>
    <t>PIPTAL DROP</t>
  </si>
  <si>
    <t>PIRA.OB.001</t>
  </si>
  <si>
    <t>PIRACETAM 400 MG TAB</t>
  </si>
  <si>
    <t>PIRA.OB.002</t>
  </si>
  <si>
    <t>PIRALEN SYR</t>
  </si>
  <si>
    <t>PIRA.OK.002</t>
  </si>
  <si>
    <t>PIRALEN INJ</t>
  </si>
  <si>
    <t>PIRA.OK.003</t>
  </si>
  <si>
    <t>PIRALENT TAB</t>
  </si>
  <si>
    <t>PIRO.OK.001</t>
  </si>
  <si>
    <t>PIROTOP CR</t>
  </si>
  <si>
    <t>PIRO.OK.002</t>
  </si>
  <si>
    <t>PIROTOP OINT</t>
  </si>
  <si>
    <t>PLAC.OT.001</t>
  </si>
  <si>
    <t>PLACTA TAB 75 MG</t>
  </si>
  <si>
    <t>PLAS.OK.001</t>
  </si>
  <si>
    <t>PLASBUMIN 25/100 ML INF</t>
  </si>
  <si>
    <t>PLAS.OK.002</t>
  </si>
  <si>
    <t>PLASBUMIN 20/100 ML INF</t>
  </si>
  <si>
    <t>PLAT.OK.001</t>
  </si>
  <si>
    <t>PLATOGRIX 75MG TABLET</t>
  </si>
  <si>
    <t>PLET.OK.001</t>
  </si>
  <si>
    <t>PLETAAL 100MG</t>
  </si>
  <si>
    <t>PLET.OK.002</t>
  </si>
  <si>
    <t>PLETAAL 50MG</t>
  </si>
  <si>
    <t>POLI.OT.001</t>
  </si>
  <si>
    <t>POLIFRISIN EYE DROP 5 ML</t>
  </si>
  <si>
    <t>POLI.OT.002</t>
  </si>
  <si>
    <t>POLIDEMISIN EYE DROPS 5 ML</t>
  </si>
  <si>
    <t>POLY.OK.001</t>
  </si>
  <si>
    <t>POLYNEL EYE DROP</t>
  </si>
  <si>
    <t>PORO.OK.001</t>
  </si>
  <si>
    <t>PORO SUPP 125MG</t>
  </si>
  <si>
    <t>PORO.OK.002</t>
  </si>
  <si>
    <t>PORO SUPP 250MG</t>
  </si>
  <si>
    <t>PRAL.OB.001</t>
  </si>
  <si>
    <t>PRALEN TAB</t>
  </si>
  <si>
    <t>PRE .OK.001</t>
  </si>
  <si>
    <t>PRE PEEL CLEANSER 100 ML</t>
  </si>
  <si>
    <t>PREG.OB.001</t>
  </si>
  <si>
    <t>PREGESTIMIL POWDER 450GR</t>
  </si>
  <si>
    <t>PREG.OT.001</t>
  </si>
  <si>
    <t>PREGABALIN 75MG CAP</t>
  </si>
  <si>
    <t>PREM.OB.001</t>
  </si>
  <si>
    <t>PREMIUM NIGHT CREAM</t>
  </si>
  <si>
    <t>PREN.OK.001</t>
  </si>
  <si>
    <t>PRENAGEN ESENSIS COKLAT 360 G</t>
  </si>
  <si>
    <t>PREN.OT.001</t>
  </si>
  <si>
    <t>PRENAGEN ESENSIS VANILA 360 G</t>
  </si>
  <si>
    <t>PREN.OT.002</t>
  </si>
  <si>
    <t>PRENAGEN MOMMY EMESIS CHOCOLATE 200 G</t>
  </si>
  <si>
    <t>PREN.OT.003</t>
  </si>
  <si>
    <t>PRENAGEN MOMMY EMESIS CHOCOLATE 400 G</t>
  </si>
  <si>
    <t>PREN.OT.004</t>
  </si>
  <si>
    <t>PRENAGEN MOMMY CHOCOLATE 200 G</t>
  </si>
  <si>
    <t>PREN.OT.005</t>
  </si>
  <si>
    <t>PRENAGEN MOMMY VANILA 200 G</t>
  </si>
  <si>
    <t>PREN.OT.006</t>
  </si>
  <si>
    <t>PRENAGEN MOMMY CHOCOLATE 400 G</t>
  </si>
  <si>
    <t>PREN.OT.007</t>
  </si>
  <si>
    <t>PRENAGEN MOMMY MOKA 400 G</t>
  </si>
  <si>
    <t>PREN.OT.008</t>
  </si>
  <si>
    <t>PRENAGEN MOMMY STRAWBERRY 400 G</t>
  </si>
  <si>
    <t>PREN.OT.009</t>
  </si>
  <si>
    <t>PRENAGEN MOMMY VANILA 400 G</t>
  </si>
  <si>
    <t>PREN.OT.010</t>
  </si>
  <si>
    <t>PRENAGEN LACTAMOM CHOCOLATE 200 G</t>
  </si>
  <si>
    <t>PREN.OT.011</t>
  </si>
  <si>
    <t>PRENAGEN LACTAMOM CHOCOLATE 400 G</t>
  </si>
  <si>
    <t>PREN.OT.012</t>
  </si>
  <si>
    <t>PRENAGEN LACTAMOM VANANILA 400 G</t>
  </si>
  <si>
    <t>PREN.OT.013</t>
  </si>
  <si>
    <t>PRENAGEN JUICE 330 ML</t>
  </si>
  <si>
    <t>PREN.OT.014</t>
  </si>
  <si>
    <t>PRENAGEN MOMMY UHT CHOCO 200 ML</t>
  </si>
  <si>
    <t>PRIM.OK.001</t>
  </si>
  <si>
    <t>PRIMAQUIN TAB</t>
  </si>
  <si>
    <t>PRIM.OK.002</t>
  </si>
  <si>
    <t>PRIMPERAN DROPS</t>
  </si>
  <si>
    <t>PROB.OK.001</t>
  </si>
  <si>
    <t>PROBENID DEXA</t>
  </si>
  <si>
    <t>PROC.OK.001</t>
  </si>
  <si>
    <t>PROCIBA TAB</t>
  </si>
  <si>
    <t>PROD.OK.001</t>
  </si>
  <si>
    <t>PRODEXON TAB</t>
  </si>
  <si>
    <t>PROF.OK.001</t>
  </si>
  <si>
    <t>PROFILAS 1 MG TABLET</t>
  </si>
  <si>
    <t>PROI.OB.001</t>
  </si>
  <si>
    <t>PROBIOKID POWDER 1.5 G</t>
  </si>
  <si>
    <t>PROI.OK.001</t>
  </si>
  <si>
    <t>PROINFARK 200MG/10ML</t>
  </si>
  <si>
    <t>PROM.OB.001</t>
  </si>
  <si>
    <t>PROMEDEX SYR</t>
  </si>
  <si>
    <t>PROP.OK.001</t>
  </si>
  <si>
    <t>PROPEPSA SUSP. 200ML</t>
  </si>
  <si>
    <t>PROS.OK.001</t>
  </si>
  <si>
    <t>PROSOGAN</t>
  </si>
  <si>
    <t>PROS.OK.002</t>
  </si>
  <si>
    <t>PROSTER 200MCG TABLET</t>
  </si>
  <si>
    <t>PROS.OK.003</t>
  </si>
  <si>
    <t>PROSTAM SR TABLET</t>
  </si>
  <si>
    <t>PROT.OK.001</t>
  </si>
  <si>
    <t>PROTHYRA TAB</t>
  </si>
  <si>
    <t>PROT.OK.002</t>
  </si>
  <si>
    <t>PROTERIN TABLET</t>
  </si>
  <si>
    <t>PROT.OK.003</t>
  </si>
  <si>
    <t>PROTERINE INJ 2 ML</t>
  </si>
  <si>
    <t>PROT.OK.004</t>
  </si>
  <si>
    <t>PROTERIN INJ</t>
  </si>
  <si>
    <t>PROV.OB.001</t>
  </si>
  <si>
    <t>PROVITAL TAB</t>
  </si>
  <si>
    <t>PROV.OF.001</t>
  </si>
  <si>
    <t>PROVITAL PLUS CAPS</t>
  </si>
  <si>
    <t>PSID.OT.001</t>
  </si>
  <si>
    <t>PSIDII SYRUP 60 ML</t>
  </si>
  <si>
    <t>PUJI.OK.001</t>
  </si>
  <si>
    <t>PUJIMIN CAPS</t>
  </si>
  <si>
    <t>PULM.OB.001</t>
  </si>
  <si>
    <t>PULMICORT RESP 0.25MG (0.5MG/2ML)</t>
  </si>
  <si>
    <t>PUMP.OK.001</t>
  </si>
  <si>
    <t>PUMPITOR CAP</t>
  </si>
  <si>
    <t>PURE.OB.001</t>
  </si>
  <si>
    <t>PUREBABY DIAPERS CREAM 100 GR</t>
  </si>
  <si>
    <t>PURE.OB.002</t>
  </si>
  <si>
    <t>PUREKIDS FEVER 4'S</t>
  </si>
  <si>
    <t>PURE.OB.003</t>
  </si>
  <si>
    <t>PUREBABY SOOTHING MOIST CREAM 100 GR</t>
  </si>
  <si>
    <t>PURE.OB.004</t>
  </si>
  <si>
    <t>PUREBABY RASH CREAM 50 GR</t>
  </si>
  <si>
    <t>PURE.OB.005</t>
  </si>
  <si>
    <t>PUREBABY LOTION 80 ML</t>
  </si>
  <si>
    <t>PURE.OB.006</t>
  </si>
  <si>
    <t>PUREKIDS INH DECONGESTAN OIL</t>
  </si>
  <si>
    <t>PURE.OB.007</t>
  </si>
  <si>
    <t>PUREKIDS AISE BELLY 60 ML SYR</t>
  </si>
  <si>
    <t>PURO.OB.001</t>
  </si>
  <si>
    <t>PUROL BEDAK BIRU</t>
  </si>
  <si>
    <t>PURO.OB.002</t>
  </si>
  <si>
    <t>PUROL BEDAK MERAH</t>
  </si>
  <si>
    <t>PURU.OK.001</t>
  </si>
  <si>
    <t>PURUBEX 50MG TAB</t>
  </si>
  <si>
    <t>PWD .OK.001</t>
  </si>
  <si>
    <t>PWD ACNE</t>
  </si>
  <si>
    <t>PYRE.OB.001</t>
  </si>
  <si>
    <t>PYREX TABLET 500 MG</t>
  </si>
  <si>
    <t>PYRE.OK.001</t>
  </si>
  <si>
    <t>PYREXIN 500 MG TAB</t>
  </si>
  <si>
    <t>PYRE.OK.002</t>
  </si>
  <si>
    <t>PYREXIN 120 MG/ 5 ML SYR</t>
  </si>
  <si>
    <t>PYRE.OK.003</t>
  </si>
  <si>
    <t>PYREXIN 80 MG SUPP</t>
  </si>
  <si>
    <t>PYRE.OK.004</t>
  </si>
  <si>
    <t>PYREXIN 160 MG SUPP</t>
  </si>
  <si>
    <t>QUAD.OK.001</t>
  </si>
  <si>
    <t>QUADION INJEKSI</t>
  </si>
  <si>
    <t>RA S.OK.001</t>
  </si>
  <si>
    <t>RA SOL</t>
  </si>
  <si>
    <t>RAFA.OK.001</t>
  </si>
  <si>
    <t>RAFACORT TABLET</t>
  </si>
  <si>
    <t>RAFA.OK.002</t>
  </si>
  <si>
    <t>RAFACORT TAB</t>
  </si>
  <si>
    <t>RANI.OK.001</t>
  </si>
  <si>
    <t>RANITIDINE 50MG/2ML INJ.</t>
  </si>
  <si>
    <t>RD S.OK.001</t>
  </si>
  <si>
    <t>RD SANBE INF 500 ML ( SP )</t>
  </si>
  <si>
    <t>REAG.OR.001</t>
  </si>
  <si>
    <t>REAGEN PACK</t>
  </si>
  <si>
    <t>REAN.OF.001</t>
  </si>
  <si>
    <t>REANAFAR TAB</t>
  </si>
  <si>
    <t>RECA.OK.001</t>
  </si>
  <si>
    <t>RECAIN INJ</t>
  </si>
  <si>
    <t>REGI.OK.001</t>
  </si>
  <si>
    <t>REGIVEL INJ</t>
  </si>
  <si>
    <t>REGR.OK.001</t>
  </si>
  <si>
    <t>REGROU FORTE SOL 30ML</t>
  </si>
  <si>
    <t>REGR.OT.001</t>
  </si>
  <si>
    <t>REGROU TOPICAL SOLUTION 30 ML</t>
  </si>
  <si>
    <t>REIS.OF.001</t>
  </si>
  <si>
    <t>REISHI GANO ( RG )</t>
  </si>
  <si>
    <t>REMI.OB.001</t>
  </si>
  <si>
    <t>REMITAL  5 MG</t>
  </si>
  <si>
    <t>REMI.OB.002</t>
  </si>
  <si>
    <t>REMITAL 10 MG</t>
  </si>
  <si>
    <t>RENA.OB.001</t>
  </si>
  <si>
    <t>RENALOF 325MG CAPS</t>
  </si>
  <si>
    <t>RENA.OK.001</t>
  </si>
  <si>
    <t>RENALOF TABLET</t>
  </si>
  <si>
    <t>RENA.OK.002</t>
  </si>
  <si>
    <t>RENAPAR TAB</t>
  </si>
  <si>
    <t>RESP.OB.001</t>
  </si>
  <si>
    <t>RESPIMER BABY NASAL HYGIENE SPRAY 115 ML</t>
  </si>
  <si>
    <t>RESP.OT.001</t>
  </si>
  <si>
    <t>RESPIRA 400 MG TABLET</t>
  </si>
  <si>
    <t>RETA.OT.001</t>
  </si>
  <si>
    <t>RETAPHYL SR 300 MG CAPLET</t>
  </si>
  <si>
    <t>RETI.OF.001</t>
  </si>
  <si>
    <t>RETIVIT PLUS CAP</t>
  </si>
  <si>
    <t>RETI.OT.001</t>
  </si>
  <si>
    <t>RETIVIT PLUS 10 KAPLET</t>
  </si>
  <si>
    <t>RETI.OT.002</t>
  </si>
  <si>
    <t>RETIVIT KAPLET</t>
  </si>
  <si>
    <t>RHEL.OK.001</t>
  </si>
  <si>
    <t>RHELAFEN SYR</t>
  </si>
  <si>
    <t>RHEL.OK.002</t>
  </si>
  <si>
    <t>RHELAFEN SYR FORTE</t>
  </si>
  <si>
    <t>RHIN.OK.001</t>
  </si>
  <si>
    <t>RHINOS DROP</t>
  </si>
  <si>
    <t>RIFA.OB.001</t>
  </si>
  <si>
    <t>RIFASTAR 4-FDC TAB</t>
  </si>
  <si>
    <t>RIFA.OJ.001</t>
  </si>
  <si>
    <t>RIFAMTIBI 600 MG TAB</t>
  </si>
  <si>
    <t>RIFA.OK.002</t>
  </si>
  <si>
    <t>RIFANH</t>
  </si>
  <si>
    <t>RIKL.OK.001</t>
  </si>
  <si>
    <t>RIKLONA 2 MG TAB</t>
  </si>
  <si>
    <t>RIMC.OK.001</t>
  </si>
  <si>
    <t>RIMCURE 3 FDC</t>
  </si>
  <si>
    <t>RIND.OB.001</t>
  </si>
  <si>
    <t>RINDOVECT SYR</t>
  </si>
  <si>
    <t>RIND.OT.001</t>
  </si>
  <si>
    <t>RINDOVECT CAP</t>
  </si>
  <si>
    <t>RINO.OK.001</t>
  </si>
  <si>
    <t>RINOFER INJ 5 ML</t>
  </si>
  <si>
    <t>RIZO.OB.001</t>
  </si>
  <si>
    <t>RIZONAX TAB</t>
  </si>
  <si>
    <t>RKD .OK.001</t>
  </si>
  <si>
    <t>RKD 1</t>
  </si>
  <si>
    <t>RKD .OK.002</t>
  </si>
  <si>
    <t>RKD 2</t>
  </si>
  <si>
    <t>RL 5.OT.001</t>
  </si>
  <si>
    <t>RL 500 ML</t>
  </si>
  <si>
    <t>ROFI.OT.001</t>
  </si>
  <si>
    <t>ROFIDEN SUPP</t>
  </si>
  <si>
    <t>ROTA.OK.001</t>
  </si>
  <si>
    <t>ROTAVER TAB</t>
  </si>
  <si>
    <t>ROTA.OK.002</t>
  </si>
  <si>
    <t>SABU.OC.001</t>
  </si>
  <si>
    <t>SABUN WAJAH SOL 100 CC</t>
  </si>
  <si>
    <t>SABU.OC.002</t>
  </si>
  <si>
    <t>SABUN MUKA</t>
  </si>
  <si>
    <t>SAGA.OK.001</t>
  </si>
  <si>
    <t>SAGALON CR 10 GR</t>
  </si>
  <si>
    <t>SAGE.OT.001</t>
  </si>
  <si>
    <t>SAGESTAM EYE DROP 5 ML</t>
  </si>
  <si>
    <t>SAGE.OT.002</t>
  </si>
  <si>
    <t>SAGESTAM EYE OINT</t>
  </si>
  <si>
    <t>SALO.OB.001</t>
  </si>
  <si>
    <t>SALONPAS KOYO HIJAU</t>
  </si>
  <si>
    <t>SALO.OB.002</t>
  </si>
  <si>
    <t>SALOFALK 250 MG TABLET</t>
  </si>
  <si>
    <t>SALO.OK.001</t>
  </si>
  <si>
    <t>SALOFALK 500MG</t>
  </si>
  <si>
    <t>SANB.OT.001</t>
  </si>
  <si>
    <t>SANBE TEARS EYE DROPS 8 ML</t>
  </si>
  <si>
    <t>SAND.OT.001</t>
  </si>
  <si>
    <t>SANDOSTATIN 0,1 MG/ML INJ</t>
  </si>
  <si>
    <t>SANK.OF.001</t>
  </si>
  <si>
    <t>SANKORBIN 5 ML INJEKSI</t>
  </si>
  <si>
    <t>SANM.OK.001</t>
  </si>
  <si>
    <t>SANMAG SYR 120 ML</t>
  </si>
  <si>
    <t>SANM.OK.002</t>
  </si>
  <si>
    <t>SANMOL SYR FORTE</t>
  </si>
  <si>
    <t>SANO.OK.001</t>
  </si>
  <si>
    <t>SANOSKIN MELLADERM PLUS GEL</t>
  </si>
  <si>
    <t>SANP.OT.001</t>
  </si>
  <si>
    <t>SANPICILLIN INJ</t>
  </si>
  <si>
    <t>SANS.OT.001</t>
  </si>
  <si>
    <t>SANSULIN LOG-G 100 IU/ML</t>
  </si>
  <si>
    <t>SANS.OT.002</t>
  </si>
  <si>
    <t>SANSULIN LOG-G DISPOPEN 100 IU/ML</t>
  </si>
  <si>
    <t>SB A.OK.001</t>
  </si>
  <si>
    <t>SB ACNE</t>
  </si>
  <si>
    <t>SB O.OK.001</t>
  </si>
  <si>
    <t>SB OIL FREE</t>
  </si>
  <si>
    <t>SB W.OK.001</t>
  </si>
  <si>
    <t>SB WHITE</t>
  </si>
  <si>
    <t>SCAB.OK.001</t>
  </si>
  <si>
    <t>SCABIMITE CR 30 GR</t>
  </si>
  <si>
    <t>SCOP.OK.001</t>
  </si>
  <si>
    <t>SCOPAMIN INJEKSI</t>
  </si>
  <si>
    <t>SEDA.OT.001</t>
  </si>
  <si>
    <t>SEDACUM 5 MG/ 5 ML INJ</t>
  </si>
  <si>
    <t>SELE.OB.001</t>
  </si>
  <si>
    <t>SELEFIT TABLET</t>
  </si>
  <si>
    <t>SELO.OB.001</t>
  </si>
  <si>
    <t>SELOXY AA TAB</t>
  </si>
  <si>
    <t>SELV.OK.001</t>
  </si>
  <si>
    <t>SELVIGON 20MG TAB</t>
  </si>
  <si>
    <t>SERE.OB.001</t>
  </si>
  <si>
    <t>SERETIDE INHALER 125MG</t>
  </si>
  <si>
    <t>SERE.OK.001</t>
  </si>
  <si>
    <t>SERETIDE INHALER 50MG</t>
  </si>
  <si>
    <t>SERN.OP.001</t>
  </si>
  <si>
    <t>SERNADE TAB</t>
  </si>
  <si>
    <t>SERO.OK.001</t>
  </si>
  <si>
    <t>SEROLIN 10 MG TABLET</t>
  </si>
  <si>
    <t>SERU.OK.001</t>
  </si>
  <si>
    <t>SERUM VIT C</t>
  </si>
  <si>
    <t>SEVO.OK.001</t>
  </si>
  <si>
    <t>SEVODEX 250 ML / INF</t>
  </si>
  <si>
    <t>SEVO.OK.002</t>
  </si>
  <si>
    <t>SEVOFLURANE BAXTER 250 ML</t>
  </si>
  <si>
    <t>SGM .SM.001</t>
  </si>
  <si>
    <t>SGM SOYA 200 GR</t>
  </si>
  <si>
    <t>SGM .SM.002</t>
  </si>
  <si>
    <t>SGM PHPRO 200 GR</t>
  </si>
  <si>
    <t>SGM .SM.003</t>
  </si>
  <si>
    <t>SGM BBLR 200 GR</t>
  </si>
  <si>
    <t>SGM .SM.004</t>
  </si>
  <si>
    <t>SGM LLM 200 GR</t>
  </si>
  <si>
    <t>SGM .SM.005</t>
  </si>
  <si>
    <t>SGM GAINT 74 200 GR</t>
  </si>
  <si>
    <t>SGM .SM.006</t>
  </si>
  <si>
    <t>SUSU NEOSURE SIMILAC 370 GR</t>
  </si>
  <si>
    <t>SIBI.OP.001</t>
  </si>
  <si>
    <t>SIBITAL INJ 200MG/2ML</t>
  </si>
  <si>
    <t>SIBR.OK.001</t>
  </si>
  <si>
    <t>SIBRO / MEBO OINT 20 GR</t>
  </si>
  <si>
    <t>SIDI.OK.001</t>
  </si>
  <si>
    <t>SIDIADRYL INJEKSI</t>
  </si>
  <si>
    <t>SIFR.OK.001</t>
  </si>
  <si>
    <t>SIFROL 0,250 MG TAB</t>
  </si>
  <si>
    <t>SILE.OT.001</t>
  </si>
  <si>
    <t>SILEX SYR 100 ML</t>
  </si>
  <si>
    <t>SILI.OK.001</t>
  </si>
  <si>
    <t>SILIMED GEL</t>
  </si>
  <si>
    <t>SIMB.OK.001</t>
  </si>
  <si>
    <t>SIMBADO 5 MG TAB</t>
  </si>
  <si>
    <t>SIMB.OK.002</t>
  </si>
  <si>
    <t>SIMBADO 10 MG TAB</t>
  </si>
  <si>
    <t>SIMC.OK.001</t>
  </si>
  <si>
    <t>SIMCOBAL CAPS 500 MG</t>
  </si>
  <si>
    <t>SINC.OK.001</t>
  </si>
  <si>
    <t>SINCRONIK TAB</t>
  </si>
  <si>
    <t>SING.OT.001</t>
  </si>
  <si>
    <t>SINGULAIR 10 MG TABLET</t>
  </si>
  <si>
    <t>SLIM.OB.001</t>
  </si>
  <si>
    <t>SLIM &amp; FIT POWDER MILK CHOCOLATE 6X54GR</t>
  </si>
  <si>
    <t>SLIM.OB.002</t>
  </si>
  <si>
    <t>SLIM &amp; FIT POWDER MILK VANILA 6X54GR</t>
  </si>
  <si>
    <t>SOFR.OB.001</t>
  </si>
  <si>
    <t>SOFRADEX EAR DROP</t>
  </si>
  <si>
    <t>SOFR.OB.002</t>
  </si>
  <si>
    <t>SOFRADEX EYE &amp; EAR DROP 1X8 ML</t>
  </si>
  <si>
    <t>SOHO.OB.001</t>
  </si>
  <si>
    <t>SOHOMAC TAB</t>
  </si>
  <si>
    <t>SOHO.OK.001</t>
  </si>
  <si>
    <t>SOHOMAC DRY SYRUP 200 MG/ 5 ML</t>
  </si>
  <si>
    <t>SOMA.OK.001</t>
  </si>
  <si>
    <t>SOMATOSTATIN INJ.</t>
  </si>
  <si>
    <t>SPIR.OB.001</t>
  </si>
  <si>
    <t>SPIRIVA POWDER FOR INHALATION 18 MCG</t>
  </si>
  <si>
    <t>SPIR.OB.002</t>
  </si>
  <si>
    <t>SPIRIVA POWDER FOR INHALATION 18 MCG+HH</t>
  </si>
  <si>
    <t>SPIR.OF.001</t>
  </si>
  <si>
    <t>SPIRULINA 250 MG</t>
  </si>
  <si>
    <t>SPOR.OB.001</t>
  </si>
  <si>
    <t>SPORETIK TAB 200 MG</t>
  </si>
  <si>
    <t>SPOR.OK.001</t>
  </si>
  <si>
    <t>SPORACID TAB</t>
  </si>
  <si>
    <t>STAL.OT.001</t>
  </si>
  <si>
    <t>STALEVO TABLET 100 MG</t>
  </si>
  <si>
    <t>STAR.OB.001</t>
  </si>
  <si>
    <t>STARDINE 7,5 ML</t>
  </si>
  <si>
    <t>STAR.OB.002</t>
  </si>
  <si>
    <t>STARDINE 30 ML</t>
  </si>
  <si>
    <t>STER.OB.001</t>
  </si>
  <si>
    <t>STERIMAR NASAL CLASSIC ADULT</t>
  </si>
  <si>
    <t>STER.OK.001</t>
  </si>
  <si>
    <t>STERIL WATER FOR IRIGATION OTSUKA</t>
  </si>
  <si>
    <t>STIL.OK.001</t>
  </si>
  <si>
    <t>STILNOX 10 MG TABLET</t>
  </si>
  <si>
    <t>SUCR.OK.001</t>
  </si>
  <si>
    <t>SUCRALFATE SYR 200 ML</t>
  </si>
  <si>
    <t>SUCR.OK.002</t>
  </si>
  <si>
    <t>SUCRALFATE SIRUP 100 ML</t>
  </si>
  <si>
    <t>SUNB.OB.001</t>
  </si>
  <si>
    <t>SUNBLOCK SOLARE</t>
  </si>
  <si>
    <t>SUNB.OK.001</t>
  </si>
  <si>
    <t>SUNB.OK.002</t>
  </si>
  <si>
    <t>SUNB.OK.003</t>
  </si>
  <si>
    <t>SUNBLOK ACANTHE CREAM (ACANTHE SPF 30)</t>
  </si>
  <si>
    <t>SUNC.OC.001</t>
  </si>
  <si>
    <t>SUNCREEN LOTION 2 FOR FACE 20 ML</t>
  </si>
  <si>
    <t>SUNS.OK.001</t>
  </si>
  <si>
    <t>SUNSCREEN WHITENING</t>
  </si>
  <si>
    <t>SUPL.OK.001</t>
  </si>
  <si>
    <t>SUPLASYN INJEKSI</t>
  </si>
  <si>
    <t>SUPR.OK.001</t>
  </si>
  <si>
    <t>SUPRACHLOR  125 MG/ 5 ML SYR</t>
  </si>
  <si>
    <t>SURB.OB.001</t>
  </si>
  <si>
    <t>SURBEX Z</t>
  </si>
  <si>
    <t>SURB.OB.002</t>
  </si>
  <si>
    <t>SURBEX T</t>
  </si>
  <si>
    <t>SURE.AH.001</t>
  </si>
  <si>
    <t>VIT D3 1000IU ISI 60 CAPS</t>
  </si>
  <si>
    <t>SUSU.SM.001</t>
  </si>
  <si>
    <t>SUSU MORINAGA BMT PLATINUM 400 GR</t>
  </si>
  <si>
    <t>SUSU.SM.002</t>
  </si>
  <si>
    <t>SUSU MORINAGA BMT SOYA 300 GR</t>
  </si>
  <si>
    <t>SUSU.SM.003</t>
  </si>
  <si>
    <t>SUSU MORINAGA P-HP 400 GR</t>
  </si>
  <si>
    <t>SUSU.SM.004</t>
  </si>
  <si>
    <t>SUSU MORINAGA REGULER 400 GR</t>
  </si>
  <si>
    <t>SUSU.SM.005</t>
  </si>
  <si>
    <t>SUSU NEPHRISOL VANILLA 201GR</t>
  </si>
  <si>
    <t>SYMB.OK.001</t>
  </si>
  <si>
    <t>SYMBICORT TURB. 80</t>
  </si>
  <si>
    <t>SYMB.OK.002</t>
  </si>
  <si>
    <t>SYMBICORT 160/4.5 MCG 60 DOSIS</t>
  </si>
  <si>
    <t>SYMB.OK.003</t>
  </si>
  <si>
    <t>SYMBICORT 80/4.5 MCG 60 DOSIS</t>
  </si>
  <si>
    <t>TALI.OK.001</t>
  </si>
  <si>
    <t>TALION TAB</t>
  </si>
  <si>
    <t>TANA.OB.001</t>
  </si>
  <si>
    <t>TANAPRES 10</t>
  </si>
  <si>
    <t>TAPR.OK.001</t>
  </si>
  <si>
    <t>TAPROZ 3M INJ</t>
  </si>
  <si>
    <t>TARI.OK.001</t>
  </si>
  <si>
    <t>TARIVID OPHTALMIC</t>
  </si>
  <si>
    <t>TEGR.OT.001</t>
  </si>
  <si>
    <t>TEGRETOL TAB</t>
  </si>
  <si>
    <t>TEKA.OK.001</t>
  </si>
  <si>
    <t>TEKASOL OINT 10GR</t>
  </si>
  <si>
    <t>TELF.OK.001</t>
  </si>
  <si>
    <t>TELFAS PLUS TAB</t>
  </si>
  <si>
    <t>TELF.OT.001</t>
  </si>
  <si>
    <t>TELFAST OD 120 MG TABLET</t>
  </si>
  <si>
    <t>TELM.OB.001</t>
  </si>
  <si>
    <t>TELMISARTAN TABLET</t>
  </si>
  <si>
    <t>TELM.OJ.001</t>
  </si>
  <si>
    <t>TELMISARTAN 40 MG</t>
  </si>
  <si>
    <t>TELM.OK.001</t>
  </si>
  <si>
    <t>TELMISARTAN 20 MG</t>
  </si>
  <si>
    <t>TELM.OK.002</t>
  </si>
  <si>
    <t>TELMISARTAN 80 MG</t>
  </si>
  <si>
    <t>TEMP.OK.001</t>
  </si>
  <si>
    <t>TEMPRA SYR 100 ML</t>
  </si>
  <si>
    <t>TENL.OB.001</t>
  </si>
  <si>
    <t>TENLUNG GAMAT GSAR OSTEO</t>
  </si>
  <si>
    <t>TERM.OK.001</t>
  </si>
  <si>
    <t>TERMISIL CREAM</t>
  </si>
  <si>
    <t>TERR.OK.001</t>
  </si>
  <si>
    <t>TERRA-CORTRIL EYE OINT</t>
  </si>
  <si>
    <t>TES .OB.001</t>
  </si>
  <si>
    <t>BISOLTUSSIN ANTITUSIF</t>
  </si>
  <si>
    <t>TES .OB.002</t>
  </si>
  <si>
    <t>TES OBAT</t>
  </si>
  <si>
    <t>TGF .OK.001</t>
  </si>
  <si>
    <t>TGF CAPLET</t>
  </si>
  <si>
    <t>THIO.OK.001</t>
  </si>
  <si>
    <t>THIOPENTHAL  INJ 0.5 MG</t>
  </si>
  <si>
    <t>THYR.OK.001</t>
  </si>
  <si>
    <t>THYRAX TABLET</t>
  </si>
  <si>
    <t>TILF.OK.001</t>
  </si>
  <si>
    <t>TILFLAM 20MG</t>
  </si>
  <si>
    <t>TIM-.OT.001</t>
  </si>
  <si>
    <t>TIM-OPTHAL 0.5% EYE DROPS 5 ML</t>
  </si>
  <si>
    <t>TIM-.OT.002</t>
  </si>
  <si>
    <t>TIM-OPTHAL 0.25% EYE DROPS 5 ML</t>
  </si>
  <si>
    <t>TIMO.OK.001</t>
  </si>
  <si>
    <t>TIMOL EYE DROP 0.5 ML</t>
  </si>
  <si>
    <t>TIMO.OK.002</t>
  </si>
  <si>
    <t>TIMOL EYE DROP 0.25 ML</t>
  </si>
  <si>
    <t>TINE.OC.001</t>
  </si>
  <si>
    <t>TONER AHA</t>
  </si>
  <si>
    <t>TINE.OK.001</t>
  </si>
  <si>
    <t>TINEURON KAP</t>
  </si>
  <si>
    <t>TIRD.OK.001</t>
  </si>
  <si>
    <t>TIRDEX 27A SP</t>
  </si>
  <si>
    <t>TIRI.OK.001</t>
  </si>
  <si>
    <t>HEPAGUSAN INJ</t>
  </si>
  <si>
    <t>TIRI.OK.002</t>
  </si>
  <si>
    <t>ULCETRA TAB</t>
  </si>
  <si>
    <t>TISS.OC.001</t>
  </si>
  <si>
    <t>TISSUE PASEO SOFTPACK 250'S</t>
  </si>
  <si>
    <t>TN A.OK.001</t>
  </si>
  <si>
    <t>DBI TONER ACNE PLUS</t>
  </si>
  <si>
    <t>TOLA.OB.001</t>
  </si>
  <si>
    <t>TOLAK ANGIN SACHET</t>
  </si>
  <si>
    <t>TOMI.OT.001</t>
  </si>
  <si>
    <t>TOMIT INJEKSI</t>
  </si>
  <si>
    <t>TONE.OC.001</t>
  </si>
  <si>
    <t>TONER CUCUMBER</t>
  </si>
  <si>
    <t>TONE.OK.001</t>
  </si>
  <si>
    <t>TONER FOR NORMAL SKIN</t>
  </si>
  <si>
    <t>TONE.OK.002</t>
  </si>
  <si>
    <t>TONER CHAMMOMILLE</t>
  </si>
  <si>
    <t>TONE.OK.003</t>
  </si>
  <si>
    <t>TONER LIGHTENING</t>
  </si>
  <si>
    <t>TRAC.OK.001</t>
  </si>
  <si>
    <t>TRACIUM INJ 2,5 ML</t>
  </si>
  <si>
    <t>TRAC.OT.001</t>
  </si>
  <si>
    <t>TRACETATE SIRUP MG/ ML (200 ML)</t>
  </si>
  <si>
    <t>TRAJ.OK.001</t>
  </si>
  <si>
    <t>TRAJENTA 5 MG TAB</t>
  </si>
  <si>
    <t>TRAM.OK.001</t>
  </si>
  <si>
    <t>TRAMADOL INJ 50 MG/ ML</t>
  </si>
  <si>
    <t>TRAM.OK.002</t>
  </si>
  <si>
    <t>TRAMIFEN TAB</t>
  </si>
  <si>
    <t>TRAM.OK.003</t>
  </si>
  <si>
    <t>TRAMUS 1% 5 ML INJEKSI</t>
  </si>
  <si>
    <t>TRAN.OK.001</t>
  </si>
  <si>
    <t>TRANSPARANT ACNE SOAP</t>
  </si>
  <si>
    <t>TREN.OK.001</t>
  </si>
  <si>
    <t>TRENTAL 400 MG TAB</t>
  </si>
  <si>
    <t>TRID.OK.001</t>
  </si>
  <si>
    <t>TRIDEX 27 B SP</t>
  </si>
  <si>
    <t>TRID.OK.002</t>
  </si>
  <si>
    <t>TRIDEX 27A SP</t>
  </si>
  <si>
    <t>TRID.OK.003</t>
  </si>
  <si>
    <t>TRIDEX PLAIN SP</t>
  </si>
  <si>
    <t>TRIF.OK.001</t>
  </si>
  <si>
    <t>TRIFEDRIN TAB</t>
  </si>
  <si>
    <t>TRIG.OR.001</t>
  </si>
  <si>
    <t>TRIGLYCERIDES 2 X 100 ML</t>
  </si>
  <si>
    <t>TROG.OK.001</t>
  </si>
  <si>
    <t>TROGYSTATIN OVULA</t>
  </si>
  <si>
    <t>TROM.OB.001</t>
  </si>
  <si>
    <t>TROMBIKAF TAB</t>
  </si>
  <si>
    <t>TROV.OK.001</t>
  </si>
  <si>
    <t>TROVENSIS INJ</t>
  </si>
  <si>
    <t>TRUX.OT.001</t>
  </si>
  <si>
    <t>TRUXANTHIN CAPSUL</t>
  </si>
  <si>
    <t>TUDI.OK.001</t>
  </si>
  <si>
    <t>TUDIAB TAB</t>
  </si>
  <si>
    <t>UBI .OK.001</t>
  </si>
  <si>
    <t>UBI Q 100MG CAP</t>
  </si>
  <si>
    <t>ULCA.OK.001</t>
  </si>
  <si>
    <t>ULCAN INJ</t>
  </si>
  <si>
    <t>ULCA.OK.002</t>
  </si>
  <si>
    <t>TST</t>
  </si>
  <si>
    <t>ULSI.OB.001</t>
  </si>
  <si>
    <t>ULSIDEX TAB 500 MG</t>
  </si>
  <si>
    <t>ULTI.OB.001</t>
  </si>
  <si>
    <t>ULTIMADE OMEGA</t>
  </si>
  <si>
    <t>ULTR.OK.001</t>
  </si>
  <si>
    <t>ULTRACET TABLET</t>
  </si>
  <si>
    <t>UMAR.OK.001</t>
  </si>
  <si>
    <t>UMARONE INJ</t>
  </si>
  <si>
    <t>UNAL.OB.001</t>
  </si>
  <si>
    <t>UNALIUM 10MG TAB</t>
  </si>
  <si>
    <t>UREA.OR.001</t>
  </si>
  <si>
    <t>UREA DUMO</t>
  </si>
  <si>
    <t>URGO.AH.001</t>
  </si>
  <si>
    <t>URGOTUL 10X10</t>
  </si>
  <si>
    <t>URIX.OK.001</t>
  </si>
  <si>
    <t>URIXIN 400MG</t>
  </si>
  <si>
    <t>URSO.OK.001</t>
  </si>
  <si>
    <t>URSODEOXYCHOLIC ACID 250MG CAP</t>
  </si>
  <si>
    <t>V BL.OK.001</t>
  </si>
  <si>
    <t>V BLOC TAB 6.25MG</t>
  </si>
  <si>
    <t>VACC.OK.001</t>
  </si>
  <si>
    <t>VACC MENCEVAX</t>
  </si>
  <si>
    <t>VACC.OK.002</t>
  </si>
  <si>
    <t>VACC INFANRIX HEXA</t>
  </si>
  <si>
    <t>VACC.OK.003</t>
  </si>
  <si>
    <t>VACC INFANRIX IPV HIB</t>
  </si>
  <si>
    <t>VACC.OK.004</t>
  </si>
  <si>
    <t>VACC PENTABIO 0,5 ML</t>
  </si>
  <si>
    <t>VACC.OK.005</t>
  </si>
  <si>
    <t>VACC FLUARIX</t>
  </si>
  <si>
    <t>VACC.OK.006</t>
  </si>
  <si>
    <t>VACC HYPER HEP</t>
  </si>
  <si>
    <t>VACC.OK.007</t>
  </si>
  <si>
    <t>VACC GARDASIL</t>
  </si>
  <si>
    <t>VACC.OK.008</t>
  </si>
  <si>
    <t>VACC EUVAX B 0,5 ML</t>
  </si>
  <si>
    <t>VACC.OK.009</t>
  </si>
  <si>
    <t>VACC PENTABIO 2,5 ML</t>
  </si>
  <si>
    <t>VACC.OK.010</t>
  </si>
  <si>
    <t>VACC HEPATITIS B RECOMBINAN 1 ML</t>
  </si>
  <si>
    <t>VACC.OK.011</t>
  </si>
  <si>
    <t>VACC AVAXIM 80</t>
  </si>
  <si>
    <t>VACC.OK.012</t>
  </si>
  <si>
    <t>VACC HEXAXIM</t>
  </si>
  <si>
    <t>VACC.OK.013</t>
  </si>
  <si>
    <t>VACC VARIVAX</t>
  </si>
  <si>
    <t>VACC.OK.014</t>
  </si>
  <si>
    <t>VACC DENGUE VAX ( DENGVAXIA )</t>
  </si>
  <si>
    <t>VACC.OK.015</t>
  </si>
  <si>
    <t>VACC BOOSTRIX</t>
  </si>
  <si>
    <t>VACC.OK.016</t>
  </si>
  <si>
    <t>VACC HIBERIX</t>
  </si>
  <si>
    <t>VACC.OK.017</t>
  </si>
  <si>
    <t>VACC FLUQUADRIX 0,25</t>
  </si>
  <si>
    <t>VACC.OK.018</t>
  </si>
  <si>
    <t>VACC FLUQUADRIX 0,5</t>
  </si>
  <si>
    <t>VACC.OK.019</t>
  </si>
  <si>
    <t>VACC TD (DIFTERI TOKSOID) SINGLE DOSE</t>
  </si>
  <si>
    <t>VACC.OK.020</t>
  </si>
  <si>
    <t>VACC IMOJEV</t>
  </si>
  <si>
    <t>VACC.OK.021</t>
  </si>
  <si>
    <t>VACC ROTATEQ</t>
  </si>
  <si>
    <t>VACC.OK.022</t>
  </si>
  <si>
    <t>VACC TETAGAM P 250 IU</t>
  </si>
  <si>
    <t>VACC.OK.023</t>
  </si>
  <si>
    <t>VACC VARICELLA BIOFARMA</t>
  </si>
  <si>
    <t>VACC.OT.001</t>
  </si>
  <si>
    <t>VACC MR (MEASLES RUBELLA)</t>
  </si>
  <si>
    <t>VACC.OT.002</t>
  </si>
  <si>
    <t>VACC MENIVAX</t>
  </si>
  <si>
    <t>VACC.OT.003</t>
  </si>
  <si>
    <t>VACC HEP B RECOMBINAN 1 ML</t>
  </si>
  <si>
    <t>VALI.OP.001</t>
  </si>
  <si>
    <t>VALISANBE INJ</t>
  </si>
  <si>
    <t>VALS.OT.001</t>
  </si>
  <si>
    <t>VALSARTAN 80 MG TAB</t>
  </si>
  <si>
    <t>VALS.OT.002</t>
  </si>
  <si>
    <t>VALSARTAN 160 MG TAB</t>
  </si>
  <si>
    <t>VAPO.OB.001</t>
  </si>
  <si>
    <t>VAPORIN TAB</t>
  </si>
  <si>
    <t>VART.OK.001</t>
  </si>
  <si>
    <t>VARTEN 80MG TAB</t>
  </si>
  <si>
    <t>VART.OK.002</t>
  </si>
  <si>
    <t>VARTEN 160MG TAB</t>
  </si>
  <si>
    <t>VASE.OC.001</t>
  </si>
  <si>
    <t>VASELINE PUTIH</t>
  </si>
  <si>
    <t>VASE.OC.002</t>
  </si>
  <si>
    <t>VASELIN ALOE FRESH 200</t>
  </si>
  <si>
    <t>VASE.OC.003</t>
  </si>
  <si>
    <t>VASELIN HEALTHY SUNBLOCK</t>
  </si>
  <si>
    <t>VCO .OB.001</t>
  </si>
  <si>
    <t>VCO PALEM MUSTIKA</t>
  </si>
  <si>
    <t>VELC.OB.001</t>
  </si>
  <si>
    <t>VELCADE INJ</t>
  </si>
  <si>
    <t>VELL.OK.001</t>
  </si>
  <si>
    <t>VELLEPSY SYRUP 120ML</t>
  </si>
  <si>
    <t>VELU.OT.001</t>
  </si>
  <si>
    <t>VELUTINE NEBU</t>
  </si>
  <si>
    <t>VENO.OB.001</t>
  </si>
  <si>
    <t>PAKET BLACKMORES</t>
  </si>
  <si>
    <t>VENO.OK.001</t>
  </si>
  <si>
    <t>VENODENOL 3% INJ.</t>
  </si>
  <si>
    <t>VENO.OK.002</t>
  </si>
  <si>
    <t>VENOSMIL CAPSULE</t>
  </si>
  <si>
    <t>VENT.OK.001</t>
  </si>
  <si>
    <t>VENTOLIN SYR 100ML</t>
  </si>
  <si>
    <t>VERA.OT.001</t>
  </si>
  <si>
    <t>VERAPAMIL 80 MG TABLET</t>
  </si>
  <si>
    <t>VESI.OK.001</t>
  </si>
  <si>
    <t>VESICARE TABLET 5 MG</t>
  </si>
  <si>
    <t>VIAG.OT.001</t>
  </si>
  <si>
    <t>VIAGRA 50MG</t>
  </si>
  <si>
    <t>VICK.OT.001</t>
  </si>
  <si>
    <t>VICKS F44 DWS SYR</t>
  </si>
  <si>
    <t>VIP .OB.001</t>
  </si>
  <si>
    <t>VIP ALBUMIN 500 MG CAPSUL</t>
  </si>
  <si>
    <t>VIP .OB.002</t>
  </si>
  <si>
    <t>VIP ALBUMIN SACHET</t>
  </si>
  <si>
    <t>VISI.OB.001</t>
  </si>
  <si>
    <t>VISINE EYE DROP (MATA MERAH)</t>
  </si>
  <si>
    <t>VISI.OK.001</t>
  </si>
  <si>
    <t>VISINE EYE DROP (IRITASI)</t>
  </si>
  <si>
    <t>VIT .OB.001</t>
  </si>
  <si>
    <t>VIT D3 1000 IU 200 BLACK MORES</t>
  </si>
  <si>
    <t>VIT .OB.002</t>
  </si>
  <si>
    <t>VIT B12 25 MCG TABLET</t>
  </si>
  <si>
    <t>VIT .OB.003</t>
  </si>
  <si>
    <t>VIT D3 400 IU TABLET</t>
  </si>
  <si>
    <t>VIT .OF.001</t>
  </si>
  <si>
    <t>VIT C 500 MG (BLACKMORES) TABLET</t>
  </si>
  <si>
    <t>VIT .OF.002</t>
  </si>
  <si>
    <t>VIT BLACKMORES EXECUTIVE B</t>
  </si>
  <si>
    <t>VIT .OK.001</t>
  </si>
  <si>
    <t>VIT A. C, E 10 GR</t>
  </si>
  <si>
    <t>VITA.OB.001</t>
  </si>
  <si>
    <t>VITANORM TAB</t>
  </si>
  <si>
    <t>VITA.OF.001</t>
  </si>
  <si>
    <t>VITAMIN C BLACKMORES 1000 MG @150'CAP</t>
  </si>
  <si>
    <t>VITA.OK.001</t>
  </si>
  <si>
    <t>VITACID CR 0.025%</t>
  </si>
  <si>
    <t>VITA.OK.002</t>
  </si>
  <si>
    <t>VITACID CR 0.05%</t>
  </si>
  <si>
    <t>VITA.OK.003</t>
  </si>
  <si>
    <t>VITACID GEL 0.025%</t>
  </si>
  <si>
    <t>VITA.OK.004</t>
  </si>
  <si>
    <t>VITACID GEL 0.05%</t>
  </si>
  <si>
    <t>VITA.OK.005</t>
  </si>
  <si>
    <t>VITACID SOL 0.025%</t>
  </si>
  <si>
    <t>VITA.OK.006</t>
  </si>
  <si>
    <t>VITACID SOL 0.05%</t>
  </si>
  <si>
    <t>VITA.OK.007</t>
  </si>
  <si>
    <t>VITADION INJ</t>
  </si>
  <si>
    <t>VITA.OK.008</t>
  </si>
  <si>
    <t>VITADION INJ 2MG/ML</t>
  </si>
  <si>
    <t>VITR.OT.001</t>
  </si>
  <si>
    <t>VITROLENTA EYEDROP 5 ML</t>
  </si>
  <si>
    <t>VIUS.OK.001</t>
  </si>
  <si>
    <t>VIUSID SACHET</t>
  </si>
  <si>
    <t>VOLT.OB.001</t>
  </si>
  <si>
    <t>VOLTAREN GEL 50GR</t>
  </si>
  <si>
    <t>VOME.OK.001</t>
  </si>
  <si>
    <t>VOMETRON INJ AMPUL 4MG</t>
  </si>
  <si>
    <t>VOND.OT.001</t>
  </si>
  <si>
    <t>VONDANTUM 4 MG INJ</t>
  </si>
  <si>
    <t>VOST.OB.001</t>
  </si>
  <si>
    <t>VOSTRIN TAB</t>
  </si>
  <si>
    <t>VOXI.OT.001</t>
  </si>
  <si>
    <t>VOXIB TAB</t>
  </si>
  <si>
    <t>VOXI.OT.002</t>
  </si>
  <si>
    <t>VOXIB INJ</t>
  </si>
  <si>
    <t>VYTO.OK.001</t>
  </si>
  <si>
    <t>VYTORIN 10/10 TAB</t>
  </si>
  <si>
    <t>WASH.AH.002</t>
  </si>
  <si>
    <t>WASH BENZENE ( WASH BENSIN ) 5 L</t>
  </si>
  <si>
    <t>WATE.OT.001</t>
  </si>
  <si>
    <t>WATER FOR IRRIGATION 1000 ML DP</t>
  </si>
  <si>
    <t>WHIT.OC.001</t>
  </si>
  <si>
    <t>WHITE SHISO UV PRO</t>
  </si>
  <si>
    <t>WHIT.OK.001</t>
  </si>
  <si>
    <t>SUNSCREEN NC WHITENING DBI</t>
  </si>
  <si>
    <t>WHIT.OK.002</t>
  </si>
  <si>
    <t>WHITENING NIGHT</t>
  </si>
  <si>
    <t>WIDA.AH.001</t>
  </si>
  <si>
    <t>D5 1/2 NS ( WIDA )</t>
  </si>
  <si>
    <t>WIDA.OK.001</t>
  </si>
  <si>
    <t>WIDA WI INFUS 1000 ML</t>
  </si>
  <si>
    <t>WIDA.OK.002</t>
  </si>
  <si>
    <t>WIDA HEST 500ML</t>
  </si>
  <si>
    <t>WILD.OC.001</t>
  </si>
  <si>
    <t>WILD ARGAN OIL BODY</t>
  </si>
  <si>
    <t>WOOD.OB.001</t>
  </si>
  <si>
    <t>WOODS EXP SYR 100ML</t>
  </si>
  <si>
    <t>XARE.OK.001</t>
  </si>
  <si>
    <t>XARELTO 15 MG TAB</t>
  </si>
  <si>
    <t>XEPA.OT.001</t>
  </si>
  <si>
    <t>XEPAZYM TABLET</t>
  </si>
  <si>
    <t>XEVO.OK.001</t>
  </si>
  <si>
    <t>XEVOLAC INJEKSI 30 MG</t>
  </si>
  <si>
    <t>XEVO.OK.002</t>
  </si>
  <si>
    <t>XEVOLAC TAB</t>
  </si>
  <si>
    <t>XYZA.OT.001</t>
  </si>
  <si>
    <t>XYZAL 5 MG TABLET</t>
  </si>
  <si>
    <t>Y RI.OB.001</t>
  </si>
  <si>
    <t>Y RINS CUCI MATA</t>
  </si>
  <si>
    <t>Y50100004</t>
  </si>
  <si>
    <t>ARIXTRA INJ 2,5MG/0.5ML</t>
  </si>
  <si>
    <t>Y51P098301</t>
  </si>
  <si>
    <t>BETABLOK 50MG</t>
  </si>
  <si>
    <t>ZAME.OB.001</t>
  </si>
  <si>
    <t>COLLAR-M</t>
  </si>
  <si>
    <t>ZELF.OK.001</t>
  </si>
  <si>
    <t>ZELFACE CREAM</t>
  </si>
  <si>
    <t>ZEMY.OB.001</t>
  </si>
  <si>
    <t>ZEMYC 150 MG KAPS</t>
  </si>
  <si>
    <t>ZEMY.OK.001</t>
  </si>
  <si>
    <t>ZEMYC INFUS 200MG/100ML</t>
  </si>
  <si>
    <t>ZINC.OB.001</t>
  </si>
  <si>
    <t>ZINC PRO SYR 60ML</t>
  </si>
  <si>
    <t>ZINC.OB.002</t>
  </si>
  <si>
    <t>ZINC PRO DROP 15 ML</t>
  </si>
  <si>
    <t>ZIPR.OP.001</t>
  </si>
  <si>
    <t>ZIPREN TAB 10 MG</t>
  </si>
  <si>
    <t>ZITA.OK.001</t>
  </si>
  <si>
    <t>NEURALGIN RHEMA</t>
  </si>
  <si>
    <t>ZITH.OK.001</t>
  </si>
  <si>
    <t>ZITHROMAX INJ. 500MG</t>
  </si>
  <si>
    <t>ZITH.OT.001</t>
  </si>
  <si>
    <t>ZITHROMAX SYR 15ML</t>
  </si>
  <si>
    <t>ZITR.OB.001</t>
  </si>
  <si>
    <t>ZITRHROMAX TABLET</t>
  </si>
  <si>
    <t>ZOLO.OB.001</t>
  </si>
  <si>
    <t>ZOLOFT 50 MG</t>
  </si>
  <si>
    <t>ZOLT.OK.001</t>
  </si>
  <si>
    <t>ZOLTA TAB 10 MG</t>
  </si>
  <si>
    <t>ZYVO.OT.001</t>
  </si>
  <si>
    <t>ZYVOX TAB 600 MG</t>
  </si>
  <si>
    <t>Sub Total : OBAT DAGANG</t>
  </si>
  <si>
    <t>EMBALASE</t>
  </si>
  <si>
    <t>A0243</t>
  </si>
  <si>
    <t>CAPSUL NO. 1</t>
  </si>
  <si>
    <t>Sub Total : EMBALASE</t>
  </si>
  <si>
    <t>FILM</t>
  </si>
  <si>
    <t>A1930</t>
  </si>
  <si>
    <t>FILM AGFA 24 X 30 CM</t>
  </si>
  <si>
    <t>A1937</t>
  </si>
  <si>
    <t>FILM AGFA 35 X 35 CM</t>
  </si>
  <si>
    <t>A1954</t>
  </si>
  <si>
    <t>FILM AGFA 35 X 43 CM</t>
  </si>
  <si>
    <t>A1985</t>
  </si>
  <si>
    <t>AGFA DENTUS 3 X 4 CM</t>
  </si>
  <si>
    <t>AGFA.FJ.001</t>
  </si>
  <si>
    <t>AGFA DEVELOPER G139 2X20 LTR</t>
  </si>
  <si>
    <t>AGFA.FJ.002</t>
  </si>
  <si>
    <t>AGFA FIXER G-3341 LIQUID 2X25 LTR</t>
  </si>
  <si>
    <t>FILM.FJ.001</t>
  </si>
  <si>
    <t>FILM AGFA DENTAL</t>
  </si>
  <si>
    <t>FILM.FJ.002</t>
  </si>
  <si>
    <t>FILM TAWADA 35X43 CM (14X17 IN)</t>
  </si>
  <si>
    <t>FILM.FJ.003</t>
  </si>
  <si>
    <t>FILM TAWADA 20X25 CM ( 8X10 IN )</t>
  </si>
  <si>
    <t>Sub Total : FILM</t>
  </si>
  <si>
    <t>OBAT GENERIK</t>
  </si>
  <si>
    <t>0220</t>
  </si>
  <si>
    <t>IBUPROFEN SYR 100MG</t>
  </si>
  <si>
    <t>A0025</t>
  </si>
  <si>
    <t>ACYCLOVIR TAB 200 MG</t>
  </si>
  <si>
    <t>A0065</t>
  </si>
  <si>
    <t>AMBROXOL SYR</t>
  </si>
  <si>
    <t>A0066</t>
  </si>
  <si>
    <t>AMBROXOL 30 MG TAB</t>
  </si>
  <si>
    <t>A0072</t>
  </si>
  <si>
    <t>AMINOPHYLLIN TAB 200 MG</t>
  </si>
  <si>
    <t>A0073</t>
  </si>
  <si>
    <t>AMITRIPTYLLIN TAB 25 MG</t>
  </si>
  <si>
    <t>A0075</t>
  </si>
  <si>
    <t>AMLODIPIN TAB 5 MG</t>
  </si>
  <si>
    <t>A0076</t>
  </si>
  <si>
    <t>AMOXICILLIN CAP 250 MG</t>
  </si>
  <si>
    <t>A0077</t>
  </si>
  <si>
    <t>AMOXICILLIN SYR 125 MG / 5 ML</t>
  </si>
  <si>
    <t>A0078</t>
  </si>
  <si>
    <t>AMOXICILLIN TAB 500 MG</t>
  </si>
  <si>
    <t>A0084</t>
  </si>
  <si>
    <t>AMPICILLIN INJ. 1 GR</t>
  </si>
  <si>
    <t>A0085</t>
  </si>
  <si>
    <t>AMPICILLIN KAPL 500 MG</t>
  </si>
  <si>
    <t>A0090</t>
  </si>
  <si>
    <t>ANTALGIN TAB 500 MG</t>
  </si>
  <si>
    <t>A0092</t>
  </si>
  <si>
    <t>ANTASIDA DOEN SYR</t>
  </si>
  <si>
    <t>A0093</t>
  </si>
  <si>
    <t>ANTASIDA DOEN TAB</t>
  </si>
  <si>
    <t>A0108</t>
  </si>
  <si>
    <t>ASAM MEFENAMAT TAB 500 MG</t>
  </si>
  <si>
    <t>A0109</t>
  </si>
  <si>
    <t>ASAM TRANEKSAMAT INJ 250 MG</t>
  </si>
  <si>
    <t>A0110</t>
  </si>
  <si>
    <t>ASAM TRANEKSAMAT INJ 500 MG</t>
  </si>
  <si>
    <t>A0205</t>
  </si>
  <si>
    <t>BISOPROLOL TAB</t>
  </si>
  <si>
    <t>A0222</t>
  </si>
  <si>
    <t>BUPIVACAINE SPINAL 5 MG/ML INJ</t>
  </si>
  <si>
    <t>A0240</t>
  </si>
  <si>
    <t>CALCIUM LACT TAB</t>
  </si>
  <si>
    <t>A0244</t>
  </si>
  <si>
    <t>CAPTOPRIL TAB 12,5 MG</t>
  </si>
  <si>
    <t>A0245</t>
  </si>
  <si>
    <t>CAPTOPRIL TAB 25 MG</t>
  </si>
  <si>
    <t>A0246</t>
  </si>
  <si>
    <t>CAPTOPRIL TAB 50 MG</t>
  </si>
  <si>
    <t>A0247</t>
  </si>
  <si>
    <t>CARBAMAZEPIN TAB</t>
  </si>
  <si>
    <t>A0279</t>
  </si>
  <si>
    <t>CEFADROXIL CAP 500 MG</t>
  </si>
  <si>
    <t>A0280</t>
  </si>
  <si>
    <t>CEFADROXIL SYR</t>
  </si>
  <si>
    <t>A0288</t>
  </si>
  <si>
    <t>CEFIXIME KAPS 100 MG</t>
  </si>
  <si>
    <t>A0289</t>
  </si>
  <si>
    <t>CEFIXIME KAPS 200 MG -30'S</t>
  </si>
  <si>
    <t>A0290</t>
  </si>
  <si>
    <t>CEFIXIME DS SYR 60ML</t>
  </si>
  <si>
    <t>A0292</t>
  </si>
  <si>
    <t>CEFTAZIDIME 1GR INJ</t>
  </si>
  <si>
    <t>A0293</t>
  </si>
  <si>
    <t>CEFTRIAXONE VIAL 1 GR</t>
  </si>
  <si>
    <t>A0316</t>
  </si>
  <si>
    <t>CETIRIZIN SYR 60ML</t>
  </si>
  <si>
    <t>A0317</t>
  </si>
  <si>
    <t>CETIRIZINE TAB 10 MG</t>
  </si>
  <si>
    <t>A0318</t>
  </si>
  <si>
    <t>CETIRIZINE DROP</t>
  </si>
  <si>
    <t>A0322</t>
  </si>
  <si>
    <t>CHLORAMPHENICOL 1 % SALF MATA</t>
  </si>
  <si>
    <t>A0326</t>
  </si>
  <si>
    <t>CIMETIDINE TAB 200 MG</t>
  </si>
  <si>
    <t>A0330</t>
  </si>
  <si>
    <t>CIPROFLOXACIN INF</t>
  </si>
  <si>
    <t>A0331</t>
  </si>
  <si>
    <t>CIPROFOXACIN KAPS 500 MG</t>
  </si>
  <si>
    <t>A0332</t>
  </si>
  <si>
    <t>CITICHOLIN 250 MG INJ</t>
  </si>
  <si>
    <t>A0339</t>
  </si>
  <si>
    <t>CLINDAMYCIN TAB 150 MG</t>
  </si>
  <si>
    <t>A0340</t>
  </si>
  <si>
    <t>CLINDAMYCIN TAB 300 MG</t>
  </si>
  <si>
    <t>A0345</t>
  </si>
  <si>
    <t>CLONIDIN TAB 0.15 MG</t>
  </si>
  <si>
    <t>A0346</t>
  </si>
  <si>
    <t>CLOPIDOGREL TAB</t>
  </si>
  <si>
    <t>A0347</t>
  </si>
  <si>
    <t>CO AMOXICLAV KAPS 625 MG</t>
  </si>
  <si>
    <t>A0370</t>
  </si>
  <si>
    <t>COTRIMOXAZOLE TAB</t>
  </si>
  <si>
    <t>A0420</t>
  </si>
  <si>
    <t>DEXAMETASON TAB 0,5 MG</t>
  </si>
  <si>
    <t>A0422</t>
  </si>
  <si>
    <t>DEXAMETHASONE INJ 5MG</t>
  </si>
  <si>
    <t>A0468</t>
  </si>
  <si>
    <t>HYDROCORTISONE 1% CR 5 GR</t>
  </si>
  <si>
    <t>A0472</t>
  </si>
  <si>
    <t>DILTIAZEM HCL TAB 30 GR</t>
  </si>
  <si>
    <t>A0475</t>
  </si>
  <si>
    <t>DIMENHYDRINATE 50 MG TAB</t>
  </si>
  <si>
    <t>A0482</t>
  </si>
  <si>
    <t>DMP (DEXTROMERTOPHAN ) SYR</t>
  </si>
  <si>
    <t>A0484</t>
  </si>
  <si>
    <t>ACYCLOVIR TAB 400 MG</t>
  </si>
  <si>
    <t>A0485</t>
  </si>
  <si>
    <t>DMP (DEXTROMERTOPHAN ) TAB</t>
  </si>
  <si>
    <t>A0496</t>
  </si>
  <si>
    <t>DOMPERIDONE TAB 10 MG</t>
  </si>
  <si>
    <t>A0499</t>
  </si>
  <si>
    <t>DOXYCICLINE CAP 100 MG</t>
  </si>
  <si>
    <t>A0535</t>
  </si>
  <si>
    <t>EPHEDRINE INJ</t>
  </si>
  <si>
    <t>A0536</t>
  </si>
  <si>
    <t>EPHEDRINE TAB</t>
  </si>
  <si>
    <t>A0537</t>
  </si>
  <si>
    <t>EPHINEPRIN INJ.</t>
  </si>
  <si>
    <t>A0545</t>
  </si>
  <si>
    <t>ERYTHROMYCIN KAPS 500 MG</t>
  </si>
  <si>
    <t>A0546</t>
  </si>
  <si>
    <t>ERYTHROMYCIN KAPS 250 MG</t>
  </si>
  <si>
    <t>A0558</t>
  </si>
  <si>
    <t>ETHAMBUTOL TAB 250 MG</t>
  </si>
  <si>
    <t>A0559</t>
  </si>
  <si>
    <t>ETHAMBUTOL TAB 500 MG</t>
  </si>
  <si>
    <t>A0591</t>
  </si>
  <si>
    <t>FENTANYL 0.05 INJ 2ML</t>
  </si>
  <si>
    <t>A0609</t>
  </si>
  <si>
    <t>FLUCONAZOLE 150 MG TAB</t>
  </si>
  <si>
    <t>A0610</t>
  </si>
  <si>
    <t>FLUCONAZOLE INF</t>
  </si>
  <si>
    <t>A0618</t>
  </si>
  <si>
    <t>FLUNARIZINE 5 MG TAB</t>
  </si>
  <si>
    <t>A0624</t>
  </si>
  <si>
    <t>FOLIC ACID 5MG TAB</t>
  </si>
  <si>
    <t>A0647</t>
  </si>
  <si>
    <t>FUROSEMIDE TAB 40 GR</t>
  </si>
  <si>
    <t>A0664</t>
  </si>
  <si>
    <t>GEMFIBROZIL 300</t>
  </si>
  <si>
    <t>A0666</t>
  </si>
  <si>
    <t>GENTAMYCIN INJ</t>
  </si>
  <si>
    <t>A0667</t>
  </si>
  <si>
    <t>GENTAMYCIN OINT 0.1% SK (SALEP )</t>
  </si>
  <si>
    <t>A0671</t>
  </si>
  <si>
    <t>GLIBENCLAMIDE TAB 5 MG</t>
  </si>
  <si>
    <t>A0673</t>
  </si>
  <si>
    <t>GLIMEPIRIDE TAB 1 MG</t>
  </si>
  <si>
    <t>A0684</t>
  </si>
  <si>
    <t>GLYSERIN BIASA</t>
  </si>
  <si>
    <t>A0688</t>
  </si>
  <si>
    <t>GLISEOFULVIN TAB 500 MG</t>
  </si>
  <si>
    <t>A0700</t>
  </si>
  <si>
    <t>HCT 25MG TAB</t>
  </si>
  <si>
    <t>A0721</t>
  </si>
  <si>
    <t>HYDROCORTISONE 2,5%CR</t>
  </si>
  <si>
    <t>A0726</t>
  </si>
  <si>
    <t>IBUPROFEN 200 TAB</t>
  </si>
  <si>
    <t>A0748</t>
  </si>
  <si>
    <t>INH TAB 100 MG</t>
  </si>
  <si>
    <t>A0749</t>
  </si>
  <si>
    <t>INH TAB 300 MG</t>
  </si>
  <si>
    <t>A0773</t>
  </si>
  <si>
    <t>ISOSORBID DINITRATE TAB</t>
  </si>
  <si>
    <t>A0776</t>
  </si>
  <si>
    <t>ITRACONAZOLE 100 MG KAPSUL</t>
  </si>
  <si>
    <t>A0797</t>
  </si>
  <si>
    <t>KALIUM DIKLOFENAK 25MG TAB</t>
  </si>
  <si>
    <t>A0799</t>
  </si>
  <si>
    <t>KALMICETINE 20MG SK 15 GR</t>
  </si>
  <si>
    <t>A0821</t>
  </si>
  <si>
    <t>KETOKONAZOLE 200MG TAB</t>
  </si>
  <si>
    <t>A0824</t>
  </si>
  <si>
    <t>KETOPROFEN 100 MG/2ML INJ</t>
  </si>
  <si>
    <t>A0825</t>
  </si>
  <si>
    <t>KETOPROFEN TAB 100MG</t>
  </si>
  <si>
    <t>A0826</t>
  </si>
  <si>
    <t>KETOROLAC TAB 10 MG</t>
  </si>
  <si>
    <t>A0827</t>
  </si>
  <si>
    <t>KETOROLAC INJ 10 MG/ML</t>
  </si>
  <si>
    <t>A0828</t>
  </si>
  <si>
    <t>KETOROLAC INJ 30 MG/ML</t>
  </si>
  <si>
    <t>A0862</t>
  </si>
  <si>
    <t>LANZOPRAZOLE 30 MG CAPS</t>
  </si>
  <si>
    <t>A0906</t>
  </si>
  <si>
    <t>LEVOFLOXACIN INF</t>
  </si>
  <si>
    <t>A0907</t>
  </si>
  <si>
    <t>LEVOFLOXACIN TAB 500 MG</t>
  </si>
  <si>
    <t>A0910</t>
  </si>
  <si>
    <t>LIDOCAIN 2 %INJ</t>
  </si>
  <si>
    <t>A0911</t>
  </si>
  <si>
    <t>LINCOMYCIN CAP 500 MG</t>
  </si>
  <si>
    <t>A0919</t>
  </si>
  <si>
    <t>LORATADINE 10MG TAB</t>
  </si>
  <si>
    <t>A0955</t>
  </si>
  <si>
    <t>MECOBALAMIN TAB 500MG</t>
  </si>
  <si>
    <t>A0964</t>
  </si>
  <si>
    <t>MELOXICAM 7,5 MG</t>
  </si>
  <si>
    <t>A0969</t>
  </si>
  <si>
    <t>MEROPENEM INJ 0.5 GR</t>
  </si>
  <si>
    <t>A0976</t>
  </si>
  <si>
    <t>METHOTREXAT 2,5MG(MTX)</t>
  </si>
  <si>
    <t>A0978</t>
  </si>
  <si>
    <t>METHYLPREDNISOLONE 8 MG</t>
  </si>
  <si>
    <t>A0979</t>
  </si>
  <si>
    <t>METHYLPREDNISOLONE INJ 125MG</t>
  </si>
  <si>
    <t>A0980</t>
  </si>
  <si>
    <t>METILPREDNISOLON TAB</t>
  </si>
  <si>
    <t>A0981</t>
  </si>
  <si>
    <t>METRONIDAZOLE INF 500 MG / 100 ML</t>
  </si>
  <si>
    <t>A0982</t>
  </si>
  <si>
    <t>METRONIDAZOLE TAB 500 MG</t>
  </si>
  <si>
    <t>A0989</t>
  </si>
  <si>
    <t>MICONAZOLE CR 2%</t>
  </si>
  <si>
    <t>A1041</t>
  </si>
  <si>
    <t>NATRIUM DIKLOFENAK 25 MG</t>
  </si>
  <si>
    <t>A1092</t>
  </si>
  <si>
    <t>NIFEDIPINE TAB 10 MG</t>
  </si>
  <si>
    <t>A1130</t>
  </si>
  <si>
    <t>OFLOXACIN 200MG TAB</t>
  </si>
  <si>
    <t>A1131</t>
  </si>
  <si>
    <t>OFLOXACIN 400MG TAB</t>
  </si>
  <si>
    <t>A1135</t>
  </si>
  <si>
    <t>OMEPRAZOLE CAPS 20 MG</t>
  </si>
  <si>
    <t>A1136</t>
  </si>
  <si>
    <t>ONDANSENTRON TAB 4 MG</t>
  </si>
  <si>
    <t>A1137</t>
  </si>
  <si>
    <t>ONDANSENTRON TAB 8 MG</t>
  </si>
  <si>
    <t>A1138</t>
  </si>
  <si>
    <t>ONDANSENTRON INJ 8 MG</t>
  </si>
  <si>
    <t>A1139</t>
  </si>
  <si>
    <t>ONDANSENTRON INJ 4 MG</t>
  </si>
  <si>
    <t>A1149</t>
  </si>
  <si>
    <t>ORALITE SACK</t>
  </si>
  <si>
    <t>A1180</t>
  </si>
  <si>
    <t>PARACETAMOL SYR</t>
  </si>
  <si>
    <t>A1181</t>
  </si>
  <si>
    <t>PARACETAMOL TAB ( STRIP )</t>
  </si>
  <si>
    <t>A1182</t>
  </si>
  <si>
    <t>PARACETAMOL TAB ( TOPLES )</t>
  </si>
  <si>
    <t>A1209</t>
  </si>
  <si>
    <t>PIRACETAM 1200 MG TAB</t>
  </si>
  <si>
    <t>A1210</t>
  </si>
  <si>
    <t>PIRACETAM 12G/60ML INFUS</t>
  </si>
  <si>
    <t>A1211</t>
  </si>
  <si>
    <t>PIRACETAM 800 MG TAB</t>
  </si>
  <si>
    <t>A1212</t>
  </si>
  <si>
    <t>PIROXICAM CAP 20 MG</t>
  </si>
  <si>
    <t>A1213</t>
  </si>
  <si>
    <t>PIROXICAM CAP 10 MG</t>
  </si>
  <si>
    <t>A1264</t>
  </si>
  <si>
    <t>PREDNISON TAB</t>
  </si>
  <si>
    <t>A1285</t>
  </si>
  <si>
    <t>PROPANOLOL 40MG TAB</t>
  </si>
  <si>
    <t>A1286</t>
  </si>
  <si>
    <t>PROPANOLOL TAB 10 MG</t>
  </si>
  <si>
    <t>A1288</t>
  </si>
  <si>
    <t>PROPOFOL 1% INJ</t>
  </si>
  <si>
    <t>A1299</t>
  </si>
  <si>
    <t>PTU TAB 100 MG</t>
  </si>
  <si>
    <t>A1305</t>
  </si>
  <si>
    <t>PYRAZINAMIDE TAB 500 MG</t>
  </si>
  <si>
    <t>A1311</t>
  </si>
  <si>
    <t>RANITIDIN TAB 150 MG</t>
  </si>
  <si>
    <t>A1338</t>
  </si>
  <si>
    <t>RIFAMPICIN TAB 300 MG</t>
  </si>
  <si>
    <t>A1339</t>
  </si>
  <si>
    <t>RIFAMPICIN TAB 450 MG</t>
  </si>
  <si>
    <t>A1340</t>
  </si>
  <si>
    <t>RIFAMPICIN TAB 600 MG</t>
  </si>
  <si>
    <t>A1370</t>
  </si>
  <si>
    <t>SALBUTAMOL TAB 2 MG</t>
  </si>
  <si>
    <t>A1371</t>
  </si>
  <si>
    <t>SALBUTAMOL TAB 4 MG</t>
  </si>
  <si>
    <t>A1419</t>
  </si>
  <si>
    <t>SIMVASTATIN TAB 10 MG</t>
  </si>
  <si>
    <t>A1420</t>
  </si>
  <si>
    <t>SIMVASTATIN TAB 20MG</t>
  </si>
  <si>
    <t>A1452</t>
  </si>
  <si>
    <t>FLUROSEMIDE 40 MG</t>
  </si>
  <si>
    <t>A1456</t>
  </si>
  <si>
    <t>DEXTROMETHORPHAN 15 MG</t>
  </si>
  <si>
    <t>A1523</t>
  </si>
  <si>
    <t>THIAMPHENICOL CAPS 500 MG</t>
  </si>
  <si>
    <t>A1542</t>
  </si>
  <si>
    <t>TRAMADOL INJ 100 MG</t>
  </si>
  <si>
    <t>A1543</t>
  </si>
  <si>
    <t>TRAMADOL TAB 50 MG</t>
  </si>
  <si>
    <t>A1568</t>
  </si>
  <si>
    <t>TRIHEXYPHENIDYL 2MG TAB(ARTANE</t>
  </si>
  <si>
    <t>A1645</t>
  </si>
  <si>
    <t>VIT A (AVITIN) 20.000 UI TAB</t>
  </si>
  <si>
    <t>A1646</t>
  </si>
  <si>
    <t>VIT A 200.000 UI CAP</t>
  </si>
  <si>
    <t>A1647</t>
  </si>
  <si>
    <t>VIT A 6000 UI TABLET</t>
  </si>
  <si>
    <t>A1648</t>
  </si>
  <si>
    <t>VIT B 1 100 MG TAB</t>
  </si>
  <si>
    <t>A1649</t>
  </si>
  <si>
    <t>VIT B 1 50 MG TAB</t>
  </si>
  <si>
    <t>A1650</t>
  </si>
  <si>
    <t>VIT B 12 50 MG TAB</t>
  </si>
  <si>
    <t>A1651</t>
  </si>
  <si>
    <t>VIT B COMP TAB</t>
  </si>
  <si>
    <t>A1652</t>
  </si>
  <si>
    <t>VIT B6 TAB 10 MG KF</t>
  </si>
  <si>
    <t>A1653</t>
  </si>
  <si>
    <t>VIT C INJ.</t>
  </si>
  <si>
    <t>A1654</t>
  </si>
  <si>
    <t>VIT C TAB 100 MG</t>
  </si>
  <si>
    <t>A1655</t>
  </si>
  <si>
    <t>VIT C TAB 50 MG</t>
  </si>
  <si>
    <t>A1656</t>
  </si>
  <si>
    <t>VIT K 1 INJ</t>
  </si>
  <si>
    <t>A1657</t>
  </si>
  <si>
    <t>VIT K 3 INJ.</t>
  </si>
  <si>
    <t>A1658</t>
  </si>
  <si>
    <t>VIT K TAB</t>
  </si>
  <si>
    <t>A1708</t>
  </si>
  <si>
    <t>METHYLPREDNISOLONE 16 MG  TAB</t>
  </si>
  <si>
    <t>A1729</t>
  </si>
  <si>
    <t>CITICOLINE 500 MG TAB</t>
  </si>
  <si>
    <t>A1758</t>
  </si>
  <si>
    <t>COTRIMOXAZOLE SYR</t>
  </si>
  <si>
    <t>A1805</t>
  </si>
  <si>
    <t>GRISEOFULVIN TAB 500 MG</t>
  </si>
  <si>
    <t>A1810</t>
  </si>
  <si>
    <t>ASAM TRANEKSAMAT TAB 500 MG</t>
  </si>
  <si>
    <t>A1840</t>
  </si>
  <si>
    <t>ERYTROMYCIN SYR</t>
  </si>
  <si>
    <t>A1849</t>
  </si>
  <si>
    <t>GLIMEPIRIDE TAB 3 MG</t>
  </si>
  <si>
    <t>A1852</t>
  </si>
  <si>
    <t>METHYLPREDNISOLONE 4 MG</t>
  </si>
  <si>
    <t>A1923</t>
  </si>
  <si>
    <t>TETRACYCLINE 500 MG CAP</t>
  </si>
  <si>
    <t>A1973</t>
  </si>
  <si>
    <t>DIPHENHYDRAMINE INJC 150MG/ 15 ML</t>
  </si>
  <si>
    <t>ACAR.GN.001</t>
  </si>
  <si>
    <t>ACARBOSE 50 MG</t>
  </si>
  <si>
    <t>ACAR.GN.002</t>
  </si>
  <si>
    <t>ACARBOSE 100 MG</t>
  </si>
  <si>
    <t>AMIK.GN.001</t>
  </si>
  <si>
    <t>AMIKACIN 250MG/12,5% 2ML</t>
  </si>
  <si>
    <t>ASAM.GN.001</t>
  </si>
  <si>
    <t>ASAM VALPROAT</t>
  </si>
  <si>
    <t>AZIT.GN.001</t>
  </si>
  <si>
    <t>AZITHROMYCIN INFUS</t>
  </si>
  <si>
    <t>AZIT.GN.002</t>
  </si>
  <si>
    <t>AZITHROMYCIN 250MG TAB</t>
  </si>
  <si>
    <t>B1338</t>
  </si>
  <si>
    <t>AMLODIPIN TAB 10 MG</t>
  </si>
  <si>
    <t>CAND.OK.004</t>
  </si>
  <si>
    <t>CANDESARTAN 8 MG</t>
  </si>
  <si>
    <t>CAND.OK.005</t>
  </si>
  <si>
    <t>CANDESARTAN 16 MG</t>
  </si>
  <si>
    <t>CEFI.GN.001</t>
  </si>
  <si>
    <t>CEFIXIME KAPS 200 MG -50'S</t>
  </si>
  <si>
    <t>CEFI.GN.002</t>
  </si>
  <si>
    <t>CEFIXIME KAPS 100 MG -50'S</t>
  </si>
  <si>
    <t>CEFI.GN.003</t>
  </si>
  <si>
    <t>CEFIXIME KAPS 200 MG -100'S</t>
  </si>
  <si>
    <t>CEFI.GN.004</t>
  </si>
  <si>
    <t>CEFIXIME KAPS 100 MG -100'S</t>
  </si>
  <si>
    <t>CEFI.GN.005</t>
  </si>
  <si>
    <t>CEFIXIME SYR 100MG/60ML</t>
  </si>
  <si>
    <t>CEFO.GN.001</t>
  </si>
  <si>
    <t>CEFOPERAZON INJ</t>
  </si>
  <si>
    <t>CEFO.OK.001</t>
  </si>
  <si>
    <t>CEFOPERAZONE SULBACTAM INJ</t>
  </si>
  <si>
    <t>CHLO.GN.001</t>
  </si>
  <si>
    <t>CHLORAMPHENICOL SYR</t>
  </si>
  <si>
    <t>CHLO.OK.001</t>
  </si>
  <si>
    <t>CHLORAMPHENICOL 250MG KAPS</t>
  </si>
  <si>
    <t>CITI.GN.001</t>
  </si>
  <si>
    <t>CITICOLIN 125 MG / ML INJ</t>
  </si>
  <si>
    <t>CITI.GN.002</t>
  </si>
  <si>
    <t>CITICOLINE 1000 MG TAB</t>
  </si>
  <si>
    <t>CLOB.GN.001</t>
  </si>
  <si>
    <t>CLOBETASOL CREAM 10 GR</t>
  </si>
  <si>
    <t>CLOB.GN.002</t>
  </si>
  <si>
    <t>CLOBETASOL OINT 10 GR</t>
  </si>
  <si>
    <t>COTR.GN.001</t>
  </si>
  <si>
    <t>COTRIMOXAZOL PAED 120MG</t>
  </si>
  <si>
    <t>DESO.GN.001</t>
  </si>
  <si>
    <t>DESOXIMETASONE 0,25 CR 15GR</t>
  </si>
  <si>
    <t>DEX .GN.001</t>
  </si>
  <si>
    <t>DEX KETOPROFEN INJ</t>
  </si>
  <si>
    <t>DOBU.GN.001</t>
  </si>
  <si>
    <t>DOBUTAMIN INJ. 50MG/ 5ML</t>
  </si>
  <si>
    <t>DOMP.GN.001</t>
  </si>
  <si>
    <t>DOMPERIDONE DROP</t>
  </si>
  <si>
    <t>EPER.GN.001</t>
  </si>
  <si>
    <t>EPERISONE HCL 50MG TAB</t>
  </si>
  <si>
    <t>ESOM.GN.001</t>
  </si>
  <si>
    <t>ESOMEPRAZOLE INJ</t>
  </si>
  <si>
    <t>FDFD.GN.001</t>
  </si>
  <si>
    <t>FDFDFDGDG</t>
  </si>
  <si>
    <t>FENO.GN.001</t>
  </si>
  <si>
    <t>FENOFIBRAT 200MG TAB</t>
  </si>
  <si>
    <t>FLUN.GN.001</t>
  </si>
  <si>
    <t>FLUNARIZINE 10 MG TABLET</t>
  </si>
  <si>
    <t>G16</t>
  </si>
  <si>
    <t>PHYTOMENADIONE 10 MG INJ</t>
  </si>
  <si>
    <t>GLIQ.GN.001</t>
  </si>
  <si>
    <t>GLIQUIDONE 30MG TAB</t>
  </si>
  <si>
    <t>GRAN.GN.001</t>
  </si>
  <si>
    <t>GRANICETRON 3MG/ML</t>
  </si>
  <si>
    <t>HALO.GN.001</t>
  </si>
  <si>
    <t>HALOPERIDOL TAB 1,5MG</t>
  </si>
  <si>
    <t>HALO.OK.001</t>
  </si>
  <si>
    <t>HALOPERIDOL INJ</t>
  </si>
  <si>
    <t>HYDR.GN.001</t>
  </si>
  <si>
    <t>HYDROCORTISONE 2% CR 5 GR</t>
  </si>
  <si>
    <t>IBUP.GN.001</t>
  </si>
  <si>
    <t>IBUPROFEN SYR 200MG</t>
  </si>
  <si>
    <t>IMIP.GN.001</t>
  </si>
  <si>
    <t>IMIPENEM INFUS</t>
  </si>
  <si>
    <t>IRBE.GN.001</t>
  </si>
  <si>
    <t>IRBESATAN TAB 150MG</t>
  </si>
  <si>
    <t>IRBE.GN.002</t>
  </si>
  <si>
    <t>IRBESATAN TAB 300MG</t>
  </si>
  <si>
    <t>KALI.GN.002</t>
  </si>
  <si>
    <t>KALIUM DIKLOFENAK 50MG TAB</t>
  </si>
  <si>
    <t>LEVO.GN.001</t>
  </si>
  <si>
    <t>LEVOFLOXACIN INF ( 750 ML )</t>
  </si>
  <si>
    <t>LEVO.GN.002</t>
  </si>
  <si>
    <t>LEVOCETIRIZINE TABLET</t>
  </si>
  <si>
    <t>LISI.GN.001</t>
  </si>
  <si>
    <t>LISINOPRIL 5 MG</t>
  </si>
  <si>
    <t>LISI.GN.002</t>
  </si>
  <si>
    <t>LISINOPRIL 10 MG</t>
  </si>
  <si>
    <t>L-OR.GN.001</t>
  </si>
  <si>
    <t>L-ORNITHINE-L-ASPARTATE</t>
  </si>
  <si>
    <t>MEGA.OK.001</t>
  </si>
  <si>
    <t>MEGASONUM DEXAMETHASONUM TAB 0,5 MG</t>
  </si>
  <si>
    <t>METF.GN.001</t>
  </si>
  <si>
    <t>METFORMIN XR 500 MG</t>
  </si>
  <si>
    <t>METH.GN.001</t>
  </si>
  <si>
    <t>METHISOPRINOL TAB 500 MG</t>
  </si>
  <si>
    <t>METH.GN.002</t>
  </si>
  <si>
    <t>METHYLERGOMETRINE TAB 0.125 MG</t>
  </si>
  <si>
    <t>METI.GN.001</t>
  </si>
  <si>
    <t>METILERGOMETRINMALEAT INJ.</t>
  </si>
  <si>
    <t>METO.GN.001</t>
  </si>
  <si>
    <t>METOCLOPRAMIDE TAB</t>
  </si>
  <si>
    <t>METO.GN.002</t>
  </si>
  <si>
    <t>METOCLOPRAMIDE INJEKSI</t>
  </si>
  <si>
    <t>MISO.GN.001</t>
  </si>
  <si>
    <t>MISOPROSTOL TAB</t>
  </si>
  <si>
    <t>NICA.GN.001</t>
  </si>
  <si>
    <t>NICARDIPIN HCL 10MG INJ.</t>
  </si>
  <si>
    <t>OMEP.GN.001</t>
  </si>
  <si>
    <t>OMEPRAZOLE INJ</t>
  </si>
  <si>
    <t>OXYT.GN.001</t>
  </si>
  <si>
    <t>OXYTOCIN INJ.</t>
  </si>
  <si>
    <t>PARA.GN.001</t>
  </si>
  <si>
    <t>PARACETAMOL DROP</t>
  </si>
  <si>
    <t>PIRA.GN.001</t>
  </si>
  <si>
    <t>PIRACETAM INJ. 3GR</t>
  </si>
  <si>
    <t>PIRA.OK.001</t>
  </si>
  <si>
    <t>PIRACETAM INJ 1GR</t>
  </si>
  <si>
    <t>QUAR.GN.001</t>
  </si>
  <si>
    <t>QUARAMOL INF</t>
  </si>
  <si>
    <t>RAMP.GN.001</t>
  </si>
  <si>
    <t>RAMIPRIL 5 MG</t>
  </si>
  <si>
    <t>RAMP.GN.002</t>
  </si>
  <si>
    <t>RAMPIPRIL 2,5 MG TAB</t>
  </si>
  <si>
    <t>RISP.GN.001</t>
  </si>
  <si>
    <t>RISPERIDONE 2MG TAB</t>
  </si>
  <si>
    <t>SPIR.GN.001</t>
  </si>
  <si>
    <t>SPIRONOLACTONE TAB 25MG</t>
  </si>
  <si>
    <t>SPIR.GN.002</t>
  </si>
  <si>
    <t>SPIRONOLACTONE TAB 100MG</t>
  </si>
  <si>
    <t>SULF.OB.001</t>
  </si>
  <si>
    <t>SULFAS FERROSUS TAB</t>
  </si>
  <si>
    <t>THEO.GN.001</t>
  </si>
  <si>
    <t>THEOPHYLLIN TAB</t>
  </si>
  <si>
    <t>THIA.GN.001</t>
  </si>
  <si>
    <t>THIAMPHENICOL SYR</t>
  </si>
  <si>
    <t>TRIA.GN.001</t>
  </si>
  <si>
    <t>TRIAMCINOLON CR 0.1 % 5GR</t>
  </si>
  <si>
    <t>VALA.GN.001</t>
  </si>
  <si>
    <t>VALACICLOVIR TAB 500MG</t>
  </si>
  <si>
    <t>VIT .GN.001</t>
  </si>
  <si>
    <t>VIT B1 25 MG TAB</t>
  </si>
  <si>
    <t>VIT..GN.001</t>
  </si>
  <si>
    <t>Sub Total : OBAT GENERIK</t>
  </si>
  <si>
    <t>REAGEN/BAHAN KIMIA</t>
  </si>
  <si>
    <t>CONT.AH.001</t>
  </si>
  <si>
    <t>E-CHECK XS ( L, N, H ) /CONTROL HEMATOLOGI SYSMEX</t>
  </si>
  <si>
    <t>FORM.OK.001</t>
  </si>
  <si>
    <t>FORMALIN CAIR</t>
  </si>
  <si>
    <t>SGOT.AM.001</t>
  </si>
  <si>
    <t>SGOT 2X 62.5 ML.</t>
  </si>
  <si>
    <t>Sub Total : REAGEN/BAHAN KIMIA</t>
  </si>
  <si>
    <t>OBAT RACIKAN</t>
  </si>
  <si>
    <t>A0822</t>
  </si>
  <si>
    <t>KETOKONAZOLE CR</t>
  </si>
  <si>
    <t>Sub Total : OBAT RACIKAN</t>
  </si>
  <si>
    <t>Total : GUDANG OBAT</t>
  </si>
  <si>
    <t>Grand Total :</t>
  </si>
  <si>
    <t>stok mnrt FS</t>
  </si>
  <si>
    <t>beda</t>
  </si>
  <si>
    <t>% error</t>
  </si>
  <si>
    <t>Item List</t>
  </si>
  <si>
    <t>As of 31 Dec 2022</t>
  </si>
  <si>
    <t>Item No.</t>
  </si>
  <si>
    <t>Item Description</t>
  </si>
  <si>
    <t>Quantity Per 31 Des 2020</t>
  </si>
  <si>
    <t>Average Cost</t>
  </si>
  <si>
    <t>Total Cost Value</t>
  </si>
  <si>
    <t>Inventory Account Name</t>
  </si>
  <si>
    <t>Quantity Per 31 Agu 2021</t>
  </si>
  <si>
    <t>Persediaan Detil</t>
  </si>
  <si>
    <t>0Y010004506</t>
  </si>
  <si>
    <t>X03100004</t>
  </si>
  <si>
    <t>X42300004</t>
  </si>
  <si>
    <t>Persediaan Obat dan Alkes</t>
  </si>
  <si>
    <t>NOTE</t>
  </si>
  <si>
    <t>SESUAI DENGAN KETENTUAN</t>
  </si>
  <si>
    <t>Dicetak Oleh : fictor permana, Selasa, 15 Desember 2020, 19:43:39</t>
  </si>
  <si>
    <t>Hal : 1 - 18</t>
  </si>
  <si>
    <t>LAPORAN POSISI PERSEDIAAN BARANG</t>
  </si>
  <si>
    <t>Per Tanggal : 31 Desember 2019</t>
  </si>
  <si>
    <t>9002 - GUDANG UMUM</t>
  </si>
  <si>
    <t>00010007001</t>
  </si>
  <si>
    <t>SLEEK SABUN CUCI BOTOL BAYI</t>
  </si>
  <si>
    <t>0006000222</t>
  </si>
  <si>
    <t>PLASTIK GIMMICK KELAS 1</t>
  </si>
  <si>
    <t>0006000225</t>
  </si>
  <si>
    <t>PLASTIK GIMMICK KELAS 3</t>
  </si>
  <si>
    <t>020600022</t>
  </si>
  <si>
    <t>PLASTIK GIMMICK VVIP</t>
  </si>
  <si>
    <t>0206000221</t>
  </si>
  <si>
    <t>PLASTIK GIMMICK VIP</t>
  </si>
  <si>
    <t>0206000224</t>
  </si>
  <si>
    <t>PLATIK GIMMICK KELAS 2</t>
  </si>
  <si>
    <t>0Y06000041</t>
  </si>
  <si>
    <t>TAS GIMMICK BAYI BIRU</t>
  </si>
  <si>
    <t>BEBAN GAS MEDIS</t>
  </si>
  <si>
    <t>1J010000401</t>
  </si>
  <si>
    <t>OKSIGEN UK. 6 M3 (BESAR)</t>
  </si>
  <si>
    <t>TABUNG</t>
  </si>
  <si>
    <t>1J010001402</t>
  </si>
  <si>
    <t>OKSIGEN UK. 1.5 M3 (KECIL)</t>
  </si>
  <si>
    <t>3J31000141</t>
  </si>
  <si>
    <t>NITROGEN BESAR (N2O)</t>
  </si>
  <si>
    <t>Sub Total : BEBAN GAS MEDIS</t>
  </si>
  <si>
    <t>BEBAN CETAKAN</t>
  </si>
  <si>
    <t>03010002201</t>
  </si>
  <si>
    <t xml:space="preserve">KLIP PLASTIK.  CIWIM UK. 15 X 10               		</t>
  </si>
  <si>
    <t>030200022</t>
  </si>
  <si>
    <t xml:space="preserve">KLIP PLASTIK. CIWIM UK. 10 X 7                 		</t>
  </si>
  <si>
    <t>03020002201</t>
  </si>
  <si>
    <t xml:space="preserve">KLIP PLASTIK.  CIWIM UK. 13 X 8.7              		</t>
  </si>
  <si>
    <t>030300022</t>
  </si>
  <si>
    <t>HD UK. 25/15 X 35 X 0.03</t>
  </si>
  <si>
    <t>0A0100022</t>
  </si>
  <si>
    <t>MAP USG</t>
  </si>
  <si>
    <t>0A0100040</t>
  </si>
  <si>
    <t>FORM. RUJUKAN BALIK</t>
  </si>
  <si>
    <t>BUKU</t>
  </si>
  <si>
    <t>0A0100042</t>
  </si>
  <si>
    <t>FORM.(026) SURAT KETERANGAN LAHIR ( HVS )</t>
  </si>
  <si>
    <t>RIM</t>
  </si>
  <si>
    <t>0A010004211</t>
  </si>
  <si>
    <t>FORM.(108) DIAGNSA KETDK SEIMBNGN NUTR KRNG KEB TB</t>
  </si>
  <si>
    <t>0A0100044</t>
  </si>
  <si>
    <t>MAP MEDICAL RECORD</t>
  </si>
  <si>
    <t>0A030004212</t>
  </si>
  <si>
    <t>FORM.(129) DIAGNSA PERFUSI JARINGAN GASTRO IMC/REV</t>
  </si>
  <si>
    <t>0A030004223</t>
  </si>
  <si>
    <t>FORM.(127) DIAG MNGMN REGIMEN TERPIUTIK TDK AKTIF</t>
  </si>
  <si>
    <t>0A030004224</t>
  </si>
  <si>
    <t>FORM.(139) DIAGNOSA TAKUT IMC/REV</t>
  </si>
  <si>
    <t>0A030004225</t>
  </si>
  <si>
    <t>FORM.(141) DIAGNOSA RESIKO INJURY IMC/REV</t>
  </si>
  <si>
    <t>2A100004212</t>
  </si>
  <si>
    <t>FORM.(222) SERAH TERIMA ANTAR SHIFT</t>
  </si>
  <si>
    <t>3A07000402</t>
  </si>
  <si>
    <t>FORM. RESEP R1</t>
  </si>
  <si>
    <t>40030004211</t>
  </si>
  <si>
    <t>FORM.(127) DIAGNOSA KEPERAWATAN MANAGEMEN REGIMEN</t>
  </si>
  <si>
    <t>400500040</t>
  </si>
  <si>
    <t>FORM.(015) PENGKAJIAN KEPERAWATAN</t>
  </si>
  <si>
    <t>4006000222</t>
  </si>
  <si>
    <t>BUKU KIA</t>
  </si>
  <si>
    <t>400700040</t>
  </si>
  <si>
    <t>FORM. RESEP R2</t>
  </si>
  <si>
    <t>4010000422</t>
  </si>
  <si>
    <t>KERTAS HASIL LAB</t>
  </si>
  <si>
    <t>401000057</t>
  </si>
  <si>
    <t>FORM.(077) PEMERIKSAAN LABORATORIUM</t>
  </si>
  <si>
    <t>4201000802</t>
  </si>
  <si>
    <t>FORM. PENGKAJIAN KEPERAWATAN NEONATUS PERINA</t>
  </si>
  <si>
    <t>4401000422</t>
  </si>
  <si>
    <t>FORM.(082) DIAGNOSA PERAWATAN PASIEN TYPHOID</t>
  </si>
  <si>
    <t>44030002225</t>
  </si>
  <si>
    <t>FORM.(031) SURAT PERNYATAAN PINDAH DOKTER</t>
  </si>
  <si>
    <t>450100042</t>
  </si>
  <si>
    <t>FORM.(036) OBSERVASI RUANG UGD</t>
  </si>
  <si>
    <t>451000022</t>
  </si>
  <si>
    <t>AMPLOP RADIOLOGI COKLAT BESAR 40X50 CM</t>
  </si>
  <si>
    <t>4510000223</t>
  </si>
  <si>
    <t>AMPLOP RADIOLOGI COKLAT SEDANG 40X25 CM</t>
  </si>
  <si>
    <t>47010004017</t>
  </si>
  <si>
    <t>FORM. BON PENGELUARAN OK</t>
  </si>
  <si>
    <t>49010004901</t>
  </si>
  <si>
    <t>TONER HP LASERJET CE 217A</t>
  </si>
  <si>
    <t>4A0100022</t>
  </si>
  <si>
    <t>AMPLOP SURAT 90 RS</t>
  </si>
  <si>
    <t>4A010002201</t>
  </si>
  <si>
    <t>KERTAS PEMBATAS MERAH (RANAP)</t>
  </si>
  <si>
    <t>4A010002202</t>
  </si>
  <si>
    <t>KERTAS PEMBATAS HIJAU (RAJAL &amp; UGD)</t>
  </si>
  <si>
    <t>4A010002203</t>
  </si>
  <si>
    <t>KERTAS PEMBATAS KUNIING (PENUNJANG)</t>
  </si>
  <si>
    <t>4A010002204</t>
  </si>
  <si>
    <t>KERTAS PEMBATAS BIRU (LAIN-LAIN)</t>
  </si>
  <si>
    <t>4A01000221</t>
  </si>
  <si>
    <t>FORM.PENDIDIKAN KEPERAWATAN KESEHATAN PASIEN</t>
  </si>
  <si>
    <t>4A010002210</t>
  </si>
  <si>
    <t>FORM.(026) SURAT KETERANGAN LAHIR ( KERTAS TEBAL )</t>
  </si>
  <si>
    <t>4A010002216</t>
  </si>
  <si>
    <t>FORM. PENOLAKAN TINDAKAN MEDIS</t>
  </si>
  <si>
    <t>4A010002217</t>
  </si>
  <si>
    <t>FORM.(027.1) PERSETUJUAN SEWA  AMBULANCE</t>
  </si>
  <si>
    <t>4A010002219</t>
  </si>
  <si>
    <t>FORM.(004) RINGKASAN MASUK &amp; KELUAR</t>
  </si>
  <si>
    <t>4A01000222</t>
  </si>
  <si>
    <t>FORM.(037)ASKEP UNIT RAJAL /REV</t>
  </si>
  <si>
    <t>4A0100040</t>
  </si>
  <si>
    <t>FORM. PEMERIKSAAN LAB. BPJS KESEHATAN</t>
  </si>
  <si>
    <t>4A01000404</t>
  </si>
  <si>
    <t>FORM. PERMINTAAN PERBAIKAN</t>
  </si>
  <si>
    <t>4A0100042</t>
  </si>
  <si>
    <t>FORM. KWITANSI PEMBAYARAN RS</t>
  </si>
  <si>
    <t>4A010004201</t>
  </si>
  <si>
    <t>FORM.(039.1) KETERANGAN RAWAT INAP</t>
  </si>
  <si>
    <t>4A010004203</t>
  </si>
  <si>
    <t>FORM.(106) DIAGNOSA DEFISIT VOLUME CAIRAN</t>
  </si>
  <si>
    <t>4A010004204</t>
  </si>
  <si>
    <t>FORM.(110) DIAGNOSA GANGGUAN PERTUKARAN GAS</t>
  </si>
  <si>
    <t>4A010004205</t>
  </si>
  <si>
    <t>FORM.(111)DIAGNOSA HIPERTERMIA</t>
  </si>
  <si>
    <t>4A010004206</t>
  </si>
  <si>
    <t>FORM.(112) DIAGNOSA INTOLERANSI AKTIFITAS</t>
  </si>
  <si>
    <t>4A010004207</t>
  </si>
  <si>
    <t>FORM.(107) DIAGNOSA KELEBIHAN VOLUME CAIRAN</t>
  </si>
  <si>
    <t>4A010004208</t>
  </si>
  <si>
    <t>FORM.(140) DIAGNOSA KETDK SEIMBANGAN NUTRISI LEBIH</t>
  </si>
  <si>
    <t>4A010004209</t>
  </si>
  <si>
    <t>FORM.(113) DIAGNOSA KERUSAKAN INTEGRITAS KULIT</t>
  </si>
  <si>
    <t>4A01000421</t>
  </si>
  <si>
    <t>FORM.(081) DIAGNOSA PERAWATAN PASIEN DHF</t>
  </si>
  <si>
    <t>4A010004210</t>
  </si>
  <si>
    <t>FORM.(165) DOK PEMBERIAN INFO TINDKAN ANESTESI</t>
  </si>
  <si>
    <t>4A010004211</t>
  </si>
  <si>
    <t>FORM.(116) DIAGNOSA NYERI KRONIS</t>
  </si>
  <si>
    <t>4A010004212</t>
  </si>
  <si>
    <t>FORM.(172) ASSESSMENT PRA INDUKSI ( AKAN REVISI 13</t>
  </si>
  <si>
    <t>4A010004213</t>
  </si>
  <si>
    <t>FORM.(114) DIAGNOSA PENURUNAN CURAH JANTUNG</t>
  </si>
  <si>
    <t>4A010004214</t>
  </si>
  <si>
    <t>FORM.(132) DIAGNOSA RESIKO ASPIRASI IMC/REV</t>
  </si>
  <si>
    <t>4A010004215</t>
  </si>
  <si>
    <t>FORM.(133) DIAGNOSA GANGUAN INTEGRITAS KULIT</t>
  </si>
  <si>
    <t>4A010004216</t>
  </si>
  <si>
    <t>FORM.(121) DIAGNOSA RESIKO HIPOTERMI IMC/REV</t>
  </si>
  <si>
    <t>4A010004217</t>
  </si>
  <si>
    <t>FORM.(050) CATATAN PERAWATAN PASIEN PINDAH (ICU)</t>
  </si>
  <si>
    <t>4A010004218</t>
  </si>
  <si>
    <t>FORM.(002) CATATAN POLIKLINIK</t>
  </si>
  <si>
    <t>4A010004219</t>
  </si>
  <si>
    <t>FORM.(005) CATATAN TERINTEGRASI /REV 80 GR</t>
  </si>
  <si>
    <t>4A010004220</t>
  </si>
  <si>
    <t>FORM.(007.2) SKEMA INFUSE &amp; BALANCE CAIRAN /REV</t>
  </si>
  <si>
    <t>4A010004221</t>
  </si>
  <si>
    <t>FORM.(083) DIAG PERAWATAN PASIEN BRONCHOPNEUMONIA</t>
  </si>
  <si>
    <t>4A01000423</t>
  </si>
  <si>
    <t>FORM. ETIKET BIRU</t>
  </si>
  <si>
    <t>4A010004230</t>
  </si>
  <si>
    <t>FORM.(134) DIAGNOSA RESIKO INFEKSI IMC/REV</t>
  </si>
  <si>
    <t>4A010004231</t>
  </si>
  <si>
    <t>FORM.(130) DIAGNSA PERFUSI JARINGAN KARDIO IMC/REV</t>
  </si>
  <si>
    <t>4A010004232</t>
  </si>
  <si>
    <t>FORM.(119) DIAGNOSA GANGGUAN MOBILITAS FISIK</t>
  </si>
  <si>
    <t>4A010004233</t>
  </si>
  <si>
    <t>FORM.(124) DIAGNOSA KONSTIPASI</t>
  </si>
  <si>
    <t>4A010004234</t>
  </si>
  <si>
    <t>FORM.(129) DIAG PERFUSI JARINGAN GASTROINTESTINAL</t>
  </si>
  <si>
    <t>4A010004235</t>
  </si>
  <si>
    <t>FORM. RESIKO TRAUMA</t>
  </si>
  <si>
    <t>4A010004236</t>
  </si>
  <si>
    <t>FORM.(136) DIAGNOSA RETENSI URIN IMC/REV</t>
  </si>
  <si>
    <t>4A010004237</t>
  </si>
  <si>
    <t>FORM.(131) DIAGNSA POLA NASFAS TDK EFEKTIF IMC/REV</t>
  </si>
  <si>
    <t>4A010004238</t>
  </si>
  <si>
    <t>FORM.(128) DIAGNOSA PERFUSI JAR. CEREBRAL IMC/REV</t>
  </si>
  <si>
    <t>4A010004239</t>
  </si>
  <si>
    <t>FORM.(127) DIAGNOSA MUAL</t>
  </si>
  <si>
    <t>4A01000424</t>
  </si>
  <si>
    <t>FORM. ETIKET PUTIH</t>
  </si>
  <si>
    <t>4A010004240</t>
  </si>
  <si>
    <t>FORM.(126) DIAG MNGMN REGIMEN TRAPEUTIK TDK EFEKTF</t>
  </si>
  <si>
    <t>4A010004241</t>
  </si>
  <si>
    <t>FORM.(125) DIAGNOSA KURANG PENGETAHUAN</t>
  </si>
  <si>
    <t>4A010004242</t>
  </si>
  <si>
    <t>FORM.(122) DIAGNOSA KELELAHAN</t>
  </si>
  <si>
    <t>4A010004243</t>
  </si>
  <si>
    <t>FORM.(137) DIAGNOSA KERUSAKAN INTEGRITAS JARINGAN</t>
  </si>
  <si>
    <t>4A010004244</t>
  </si>
  <si>
    <t>FORM.(123) DIAGNOSA KECEMASAN</t>
  </si>
  <si>
    <t>4A010004245</t>
  </si>
  <si>
    <t>FORM.(120) DIAGNOSA GANGGUAN POLA TIDUR</t>
  </si>
  <si>
    <t>4A010004246</t>
  </si>
  <si>
    <t>FORM.(118) DIAGNOSA DIARE</t>
  </si>
  <si>
    <t>4A010004247</t>
  </si>
  <si>
    <t>FORM.(100) LKPD INFEKSI SALURAN KEMIH (ISK)</t>
  </si>
  <si>
    <t>4A010004248</t>
  </si>
  <si>
    <t>FORM.(102) LKPD INFEKSI ALIRAN DARAH TEPI (IADP)</t>
  </si>
  <si>
    <t>4A010004249</t>
  </si>
  <si>
    <t>FORM.(099) LKPD DEKUBITUS PADA PASIEN TIRAH BARING</t>
  </si>
  <si>
    <t>4A010004250</t>
  </si>
  <si>
    <t>FORM.(101) LKPD INFEKSI LUKA OPRASI (ILO)</t>
  </si>
  <si>
    <t>4A010004251</t>
  </si>
  <si>
    <t>FORM.(103) SURVEILENS HARIAN INFEKSI RUMAH SAKIT</t>
  </si>
  <si>
    <t>4A010004252</t>
  </si>
  <si>
    <t>FORM.(104) SURVEILENS HARIAN LUKA PASKA OPRASI</t>
  </si>
  <si>
    <t>4A010004253</t>
  </si>
  <si>
    <t>FORM.(105) SURVEILENS BULANAN INFEKSI RUMAH SAKIT</t>
  </si>
  <si>
    <t>4A010004254</t>
  </si>
  <si>
    <t>FORM.(015.4) PENGKAJIAN KEP BAYI BARU LAHIR</t>
  </si>
  <si>
    <t>4A010004256</t>
  </si>
  <si>
    <t>FORM.(115)  DIAGNOSA NYERI AKUT</t>
  </si>
  <si>
    <t>4A010004257</t>
  </si>
  <si>
    <t>FORM.(135) DIAGNOSA RESIKO TRAUMA IMC/REV</t>
  </si>
  <si>
    <t>4A01000426</t>
  </si>
  <si>
    <t>FORM.(086) PENDAFTARAN PASIEN BARU</t>
  </si>
  <si>
    <t>4A010004263</t>
  </si>
  <si>
    <t>FORM.(130)DIGSA PERFUSI JRINGN RENAL</t>
  </si>
  <si>
    <t>4A010004266</t>
  </si>
  <si>
    <t>FORM.(072) CEKLIST KESELAMATAN OPRASI</t>
  </si>
  <si>
    <t>4A01000428</t>
  </si>
  <si>
    <t>FORM.(041) KETERANGAN KEMATIAN</t>
  </si>
  <si>
    <t>4A01000429</t>
  </si>
  <si>
    <t>FORM.(023) KURVE LIST BAYI( STOP)</t>
  </si>
  <si>
    <t>4A010004416</t>
  </si>
  <si>
    <t>FLYER JADWAL DOKTER</t>
  </si>
  <si>
    <t>4A010004901</t>
  </si>
  <si>
    <t>TONER HP LASERJET CF219A</t>
  </si>
  <si>
    <t>4A010005730</t>
  </si>
  <si>
    <t>FORM.(154)BALLARD SCORE NEW</t>
  </si>
  <si>
    <t>4A010008002</t>
  </si>
  <si>
    <t>FORM.(070) PERMINTAAN TINDAKAN OPERASI</t>
  </si>
  <si>
    <t>4A0100083</t>
  </si>
  <si>
    <t>FORM.(002) STATUS TINDAKAN UGD</t>
  </si>
  <si>
    <t>4A010008301</t>
  </si>
  <si>
    <t>FORM.(042) PERMOHONAN PINDAH KAMAR PERAWATAN</t>
  </si>
  <si>
    <t>4A010008302</t>
  </si>
  <si>
    <t>FORM. PENDAFTRAN PSRT PROG RUJUK BALIK BPJS</t>
  </si>
  <si>
    <t>4A010008303</t>
  </si>
  <si>
    <t>FORM.(178) KONSULTASI ANESTESI</t>
  </si>
  <si>
    <t>4A010008304</t>
  </si>
  <si>
    <t>FORM. TANDA TERIMA</t>
  </si>
  <si>
    <t>4A01000832</t>
  </si>
  <si>
    <t>FORM.(006.1) PERMINTAAN KONSULTASI</t>
  </si>
  <si>
    <t>4A02000221</t>
  </si>
  <si>
    <t>FORM.(007.1) REKAMAN KLINIK</t>
  </si>
  <si>
    <t>4A020002221</t>
  </si>
  <si>
    <t>FORM. SALINAN RESEP</t>
  </si>
  <si>
    <t>4A020002227</t>
  </si>
  <si>
    <t>FORM.(065) IMPLEMENTASI I KEPERAWATAN</t>
  </si>
  <si>
    <t>4A020002228</t>
  </si>
  <si>
    <t>FORM.(036.1) PENGKAJIAN KEPERAWATAN UGD /REV</t>
  </si>
  <si>
    <t>4A02000229</t>
  </si>
  <si>
    <t>FORM.(073) SERAH TERIMA PASCA OPERASI</t>
  </si>
  <si>
    <t>4A020004118</t>
  </si>
  <si>
    <t>FORM.(159) CATATAN RUANG PEMULIHAN( RVISI)</t>
  </si>
  <si>
    <t>4A0200042</t>
  </si>
  <si>
    <t>FORM.(011) HASIL PEMERIKSAAN LAB/RONTGENT/EKG</t>
  </si>
  <si>
    <t>4A020004201</t>
  </si>
  <si>
    <t>FORM.(170) HASIL PEMERIKSAAN USG</t>
  </si>
  <si>
    <t>4A020004205</t>
  </si>
  <si>
    <t>FORM.(158) CATATAN SEDASI</t>
  </si>
  <si>
    <t>4A020004208</t>
  </si>
  <si>
    <t>FORM.(007.2/ REV) DAFTAR OBAT</t>
  </si>
  <si>
    <t>4A020004209</t>
  </si>
  <si>
    <t>FORM.(009) OBSERVASI PASIEN DBD</t>
  </si>
  <si>
    <t>4A020004211</t>
  </si>
  <si>
    <t>MAP MEDICAL CEK UP (MCU)</t>
  </si>
  <si>
    <t>4A020004212</t>
  </si>
  <si>
    <t>FORM.(162) ASSESSMENT MEDIS PASIEN PRA BEDAH</t>
  </si>
  <si>
    <t>4A020004213</t>
  </si>
  <si>
    <t>FORM.(010) SLEEDING SCALE</t>
  </si>
  <si>
    <t>4A020004214</t>
  </si>
  <si>
    <t>FORM.(016.1) RNCAN ASKEB PSIEN PARTUS KALA 1  AKTF</t>
  </si>
  <si>
    <t>4A020004215</t>
  </si>
  <si>
    <t>FORM.(171) PERSETUJUAN TINDAKAN ANASTESI ( STOP)</t>
  </si>
  <si>
    <t>4A020004216</t>
  </si>
  <si>
    <t>FORM.(015.1)PENGKAJIAN KEPERAWATAN PADA ANAK (D)</t>
  </si>
  <si>
    <t>4A020004245</t>
  </si>
  <si>
    <t>FORM.(036.2) IMPLEMENTASI KEPERAWATAN UGD</t>
  </si>
  <si>
    <t>4A020005701</t>
  </si>
  <si>
    <t>AMPLOP KECIL 104 RONTGEN GIGI</t>
  </si>
  <si>
    <t>4A020008306</t>
  </si>
  <si>
    <t>FORM.(157) PENILAIAN PRA SEDASI DAN ANESTESI</t>
  </si>
  <si>
    <t>4A0300022</t>
  </si>
  <si>
    <t>FORM.(022) ASUHAN KEBIDANAN PADA POST PARTUM SC</t>
  </si>
  <si>
    <t>4A030002210</t>
  </si>
  <si>
    <t>FORM.(029) PERNYATAAN PLNG ATAS PERMINTAAN SENDIRI</t>
  </si>
  <si>
    <t>4A030002212</t>
  </si>
  <si>
    <t>FORM.(046) PERSETUJUAN BIAYA TINDAKAN</t>
  </si>
  <si>
    <t>4A030002214</t>
  </si>
  <si>
    <t>FORM.(046.1) PERSETUJUAN BIAYA TINDAKAN OPERASI</t>
  </si>
  <si>
    <t>4A030002215</t>
  </si>
  <si>
    <t>FORM. PERSETUJUAN PASIEN RAWAT INAP</t>
  </si>
  <si>
    <t>4A030002217</t>
  </si>
  <si>
    <t>FORM.(027) PERSETUJUAN TINDAKAN MEDIK</t>
  </si>
  <si>
    <t>4A030002218</t>
  </si>
  <si>
    <t>FORM.(084) RENCANA TINDAKAN KEPERAWATAN DM</t>
  </si>
  <si>
    <t>4A030002219</t>
  </si>
  <si>
    <t>FORM.(034.1) RESUME MEDIS RAWAT INAP REV</t>
  </si>
  <si>
    <t>4A03000222</t>
  </si>
  <si>
    <t>FORM.(013)CATATAN ANASTESI ( REVISI)</t>
  </si>
  <si>
    <t>4A030002222</t>
  </si>
  <si>
    <t>FORM.(068) SENSUS HARIAN PASIAN RAWAT INAP</t>
  </si>
  <si>
    <t>4A030002226</t>
  </si>
  <si>
    <t>FORM.(035) SURAT KONTROL</t>
  </si>
  <si>
    <t>4A030002227</t>
  </si>
  <si>
    <t>FORM. SURAT REKOMENDASI DPJP</t>
  </si>
  <si>
    <t>4A03000223</t>
  </si>
  <si>
    <t>FORM.(074) CATATAN KEPERAWATAN PERIOPERATIF</t>
  </si>
  <si>
    <t>4A03000225</t>
  </si>
  <si>
    <t>FORM.(146)ASSESMEN AWL KEP RANP DEWASA (3LEMBAR)</t>
  </si>
  <si>
    <t>4A030004003</t>
  </si>
  <si>
    <t>FORM. FISIOTERAPI BPJS BIRU</t>
  </si>
  <si>
    <t>4A030004004</t>
  </si>
  <si>
    <t>FORM. FISIOTERAPI BPJS PINK</t>
  </si>
  <si>
    <t>4A03000405</t>
  </si>
  <si>
    <t>FORM.(074)  KUNJUNGAN RANAP</t>
  </si>
  <si>
    <t>4A0300042</t>
  </si>
  <si>
    <t>FORM. KWITANSI TINDAKAN  OK/VK</t>
  </si>
  <si>
    <t>4A030004201</t>
  </si>
  <si>
    <t>FORM.(016.4)RENCNA  ASKEB  PARTUS KALA III LATEN</t>
  </si>
  <si>
    <t>4A030004202</t>
  </si>
  <si>
    <t>FORM.(095) RENCANA TINDAKAN KEPERAWATAN DIABET</t>
  </si>
  <si>
    <t>4A030004206</t>
  </si>
  <si>
    <t>FORM.(003) STATUS PASIEN RANAP ( STOP )</t>
  </si>
  <si>
    <t>4A030004210</t>
  </si>
  <si>
    <t>FORM.(021) OBSERVASI INDUKSI PARTUS &amp; HIS</t>
  </si>
  <si>
    <t>4A030004211</t>
  </si>
  <si>
    <t>FORM.(018) OBSERVASI RUANG RAWAT INAP</t>
  </si>
  <si>
    <t>4A030004212</t>
  </si>
  <si>
    <t>FORM.(067) PENGENDALIAN INFEKSI</t>
  </si>
  <si>
    <t>4A030004213</t>
  </si>
  <si>
    <t>FORM.(016.2) RENCANA ASKEB KEBIDANAN KALA I LATEN</t>
  </si>
  <si>
    <t>4A030004217</t>
  </si>
  <si>
    <t>FORM.(014) LAPORAN OPERASI</t>
  </si>
  <si>
    <t>4A030004228</t>
  </si>
  <si>
    <t>FORM.(020) CATATAN PERSALINAN</t>
  </si>
  <si>
    <t>4A030004230</t>
  </si>
  <si>
    <t>FORM.(028) PENOLAKAN TINDAKAN KEDOKTERAN/ PENGOBAT</t>
  </si>
  <si>
    <t>4A030004231</t>
  </si>
  <si>
    <t>FORM.(015.2) PENGKAJIAN KEPERAWATAN BAYI SAKIT</t>
  </si>
  <si>
    <t>4A030004232</t>
  </si>
  <si>
    <t>FORM.(147)ASSESMEN AWL KEP RANAP ANAK ( 3 LEMBAR )</t>
  </si>
  <si>
    <t>4A030004233</t>
  </si>
  <si>
    <t>FORM.(149) ASSESMENT AWL PSN KEB VK ( 2 LEMBAR )</t>
  </si>
  <si>
    <t>4A03000425</t>
  </si>
  <si>
    <t>FORM.(036.3) IMPLMNTASI &amp; EVALUASI KEPERAWATAN UGD</t>
  </si>
  <si>
    <t>4A03000426</t>
  </si>
  <si>
    <t>FORM.(019) CATATAN PASIEN PULANG</t>
  </si>
  <si>
    <t>4A03000427</t>
  </si>
  <si>
    <t>FORM.(008) OBSERVASI CAIRAN /REV</t>
  </si>
  <si>
    <t>4A03000429</t>
  </si>
  <si>
    <t>FORM.(025)OBSERVASI BAYI</t>
  </si>
  <si>
    <t>4A030008301</t>
  </si>
  <si>
    <t>FORM.(109) DIAGNOSA KEBERSIHAN JALAN NAFAS</t>
  </si>
  <si>
    <t>4A030008302</t>
  </si>
  <si>
    <t>FORM.(007.2)DIAGNOSA DAN INTERVENSI /REV</t>
  </si>
  <si>
    <t>4A040002211</t>
  </si>
  <si>
    <t>FORM.(054) SURAT PERNYATAAN SELISIH BIAYA</t>
  </si>
  <si>
    <t>4A040002212</t>
  </si>
  <si>
    <t>FORM.SURAT PERNYATAAN</t>
  </si>
  <si>
    <t>4A04000223</t>
  </si>
  <si>
    <t>FORM.(071.1) SRT PERNYATAN PMBYRN DGN JAMINAN /REV</t>
  </si>
  <si>
    <t>4A04000224</t>
  </si>
  <si>
    <t>FORM. PERMINTAAN UANG MUKA ( PUM )</t>
  </si>
  <si>
    <t>4A04000225</t>
  </si>
  <si>
    <t>FORM.(027.3) SURAT PERNYATAAN PEMBAYARAN PRIBADI</t>
  </si>
  <si>
    <t>4A040004002</t>
  </si>
  <si>
    <t>FORM. BON SEMENTARA</t>
  </si>
  <si>
    <t>4A050000433</t>
  </si>
  <si>
    <t>MANUAL BAG 2 L</t>
  </si>
  <si>
    <t>4A0500022</t>
  </si>
  <si>
    <t>FORM.(080) ANGKET KEPUASAN PELAYANAN KEPERAWATAN</t>
  </si>
  <si>
    <t>4A05000221</t>
  </si>
  <si>
    <t>FORM.(045.1) PERSETUJUAN UMUM ( GENERAL CONSENT)</t>
  </si>
  <si>
    <t>4A050002212</t>
  </si>
  <si>
    <t>FORM.(092) CATATAN EDUKASI PASIEN/KELUARGA</t>
  </si>
  <si>
    <t>4A050002214</t>
  </si>
  <si>
    <t>FORM.(207) TRIAGE</t>
  </si>
  <si>
    <t>4A050002215</t>
  </si>
  <si>
    <t>FORM.(087) PEMBER INFO / PRSTJUAN TNDKN DKTR /REV1</t>
  </si>
  <si>
    <t>4A050002216</t>
  </si>
  <si>
    <t>FORM.(088) PERMINTAAN SECON OPINION</t>
  </si>
  <si>
    <t>4A050002217</t>
  </si>
  <si>
    <t>FORM.(089) HAK DAN KEWAJIBAN PASIEN</t>
  </si>
  <si>
    <t>4A050002218</t>
  </si>
  <si>
    <t>FORM.(090) PELAYANAN KEROHANIAN</t>
  </si>
  <si>
    <t>4A050002219</t>
  </si>
  <si>
    <t>FORM.(166) DOK PMBERIAN INFO TINDAKAN SEDASI</t>
  </si>
  <si>
    <t>4A050002222</t>
  </si>
  <si>
    <t>FORM.(016.3)RENCANA  ASKEB KEBIDANAN KALA II LATEN</t>
  </si>
  <si>
    <t>4A05000223</t>
  </si>
  <si>
    <t>FORM. KARTU KONTROL PASIEN</t>
  </si>
  <si>
    <t>4A050004001</t>
  </si>
  <si>
    <t>FORM.(035) DISCHARD PLANING/PULANG APS /REV</t>
  </si>
  <si>
    <t>4A050004015</t>
  </si>
  <si>
    <t>FORM. HASIL PMRIKSN MINI HEALTH CHECK UP(MCU)</t>
  </si>
  <si>
    <t>4A050004018</t>
  </si>
  <si>
    <t>FORM.(063) PEMERIKSAAN LAB DAN RADIOLOGI</t>
  </si>
  <si>
    <t>4A0500042</t>
  </si>
  <si>
    <t>FORM.(160) TINDAKAN ANESTESI LOKAL</t>
  </si>
  <si>
    <t>4A050004202</t>
  </si>
  <si>
    <t>FORM.PMI</t>
  </si>
  <si>
    <t>4A050004204</t>
  </si>
  <si>
    <t>FORM.(002) STATUS PASIEN KEBIDANAN RAJAL KEBIDANAN</t>
  </si>
  <si>
    <t>4A050004205</t>
  </si>
  <si>
    <t>FORM.(030) PENOLAKAN RAWAT INAP</t>
  </si>
  <si>
    <t>4A050004207</t>
  </si>
  <si>
    <t>FORM.(032) PERMINTAAN RAWAT INAP</t>
  </si>
  <si>
    <t>4A050004210</t>
  </si>
  <si>
    <t>FORM.(199) EDUKASI PEMERIAN INFO ( STOP)</t>
  </si>
  <si>
    <t>4A050004211</t>
  </si>
  <si>
    <t>FORM. RENCANA  ASKEP BAYI BARU LAHIR NORMAL</t>
  </si>
  <si>
    <t>4A050004212</t>
  </si>
  <si>
    <t>FORM.(088) SURAT PERMINTAAN SECOND OPINION</t>
  </si>
  <si>
    <t>4A050004213</t>
  </si>
  <si>
    <t>FORM.(145) ASSESSMENT AWL KEP RANAP KEB(3LEMBAR)</t>
  </si>
  <si>
    <t>4A050004214</t>
  </si>
  <si>
    <t>FORM. PERMINTAAN KEROHANIAWAN</t>
  </si>
  <si>
    <t>4A050004215</t>
  </si>
  <si>
    <t>FORM.(091)TINDAKAN DO NOT RESUSCITAE ( DNR )</t>
  </si>
  <si>
    <t>4A050004217</t>
  </si>
  <si>
    <t>FORM.(051) INFORMASI PENERIMAAN PASIEN</t>
  </si>
  <si>
    <t>4A05000424</t>
  </si>
  <si>
    <t>FORM.(065.1) IMPLEMENTASI KEBIDANAN</t>
  </si>
  <si>
    <t>4A050004415</t>
  </si>
  <si>
    <t>KUESIONER SURVEY KEPUASAN PASIEN</t>
  </si>
  <si>
    <t>4A0500083</t>
  </si>
  <si>
    <t>FORM.(167) ASSESMENT GIZI</t>
  </si>
  <si>
    <t>4A050008301</t>
  </si>
  <si>
    <t>FORM.(163) DOK PASIEN FISIOTERAPI</t>
  </si>
  <si>
    <t>4A050008303</t>
  </si>
  <si>
    <t>FORM.(055.1) PEMAPARAN DIAGNOSA MEDIS PASIEN</t>
  </si>
  <si>
    <t>4A060002201</t>
  </si>
  <si>
    <t>MAP RS. IMC</t>
  </si>
  <si>
    <t>4A06000221</t>
  </si>
  <si>
    <t>FORM.(002) CATATAN HOME VISIT HV</t>
  </si>
  <si>
    <t>4A06000224</t>
  </si>
  <si>
    <t>FORM. TANDA TERIMA FAKTUR</t>
  </si>
  <si>
    <t>4A0600042</t>
  </si>
  <si>
    <t>FORM. MATERIAL REQUEST (MRF)</t>
  </si>
  <si>
    <t>4A070004003</t>
  </si>
  <si>
    <t>FORM.(040) SURAT KETERANGAN BERBADAN SEHAT</t>
  </si>
  <si>
    <t>4A090002213</t>
  </si>
  <si>
    <t>FORM. KOP KWITANSI FA (F4/2)</t>
  </si>
  <si>
    <t>4A0900042</t>
  </si>
  <si>
    <t>KOP SURAT A4 PT. IMC</t>
  </si>
  <si>
    <t>4A1000022</t>
  </si>
  <si>
    <t>FORM.(079)ASKEP HD IMPLEMENTASI</t>
  </si>
  <si>
    <t>4A100002202</t>
  </si>
  <si>
    <t>FORM. KERTAS HASIL RONTGEN GIGI</t>
  </si>
  <si>
    <t>4A100002210</t>
  </si>
  <si>
    <t>FORM.(078)ASKEP HD ( PENGKAJIAN)</t>
  </si>
  <si>
    <t>4A10000222</t>
  </si>
  <si>
    <t>FORM.(062) SURAT PENGANTAR/PERMINTAAN FISIO /REV</t>
  </si>
  <si>
    <t>4A100004010</t>
  </si>
  <si>
    <t>FORM.PEMERIKSAAN LAB DAN RADIOLOGI</t>
  </si>
  <si>
    <t>4A100004018</t>
  </si>
  <si>
    <t>FORM.(076) SURAT RUJUKAN LUAR</t>
  </si>
  <si>
    <t>4A10000402</t>
  </si>
  <si>
    <t>FORM. DIET PASEIN</t>
  </si>
  <si>
    <t>4A1000042</t>
  </si>
  <si>
    <t>FORM.(075) PENDAFTARAN RADIOLOGI</t>
  </si>
  <si>
    <t>4A100004201</t>
  </si>
  <si>
    <t>FORM. BUKTI PENGAMBILAN HASIL RADIOLOGI</t>
  </si>
  <si>
    <t>4A100004202</t>
  </si>
  <si>
    <t>FORM.(164) KUNJUNGAN FISOTERAPI</t>
  </si>
  <si>
    <t>4A100004203</t>
  </si>
  <si>
    <t>FORM.(169) REKONSILIASI OBAT</t>
  </si>
  <si>
    <t>4A100004204</t>
  </si>
  <si>
    <t>FORM. DTSR</t>
  </si>
  <si>
    <t>4A100004211</t>
  </si>
  <si>
    <t>FORM.(163.1) ASSESSMEN  AWAL FISIOTERAPI 2 MUKA</t>
  </si>
  <si>
    <t>4A100004212</t>
  </si>
  <si>
    <t>FORM.(048) FISIOTERAPI</t>
  </si>
  <si>
    <t>4A100004213</t>
  </si>
  <si>
    <t>FORM. REHAB MEDIK RAWAT JALAN</t>
  </si>
  <si>
    <t>4A100004214</t>
  </si>
  <si>
    <t>FORM.(060) STATUS RUANG RAWAT INAP</t>
  </si>
  <si>
    <t>4A100004215</t>
  </si>
  <si>
    <t>FORM.(007.2) OBSERVASI HARIAN &amp;TINDAKAN KEPERAWAT</t>
  </si>
  <si>
    <t>4A100004216</t>
  </si>
  <si>
    <t>FORM.(217) EWS DEWASA</t>
  </si>
  <si>
    <t>4A10000422</t>
  </si>
  <si>
    <t>FORM.(043) PENGANTAR TINDAKAN /REV</t>
  </si>
  <si>
    <t>4A10000571</t>
  </si>
  <si>
    <t>AMPLOP KACA LAB</t>
  </si>
  <si>
    <t>4A10000835</t>
  </si>
  <si>
    <t>FORM.(057) MEDICAL CHECK UP</t>
  </si>
  <si>
    <t>4A11000221</t>
  </si>
  <si>
    <t>FORM.(044.1) CATATAN MEDIS PRA BEDAH</t>
  </si>
  <si>
    <t>4A1100042</t>
  </si>
  <si>
    <t>FORM.(044.2) SITE MARKING</t>
  </si>
  <si>
    <t>4A1300022</t>
  </si>
  <si>
    <t>FORM.(036.1)  ASSESSMEN KEPERAWATAN UGD</t>
  </si>
  <si>
    <t>4A130002211</t>
  </si>
  <si>
    <t>FORM.(059) PERSALINAN NORMAL PANTOGRAFT</t>
  </si>
  <si>
    <t>4A130002212</t>
  </si>
  <si>
    <t>FORM.(039) SURAT KETERANGAN SAKIT</t>
  </si>
  <si>
    <t>4A130002213</t>
  </si>
  <si>
    <t>FORM.(006.2) SURAT KONSUL INTERN</t>
  </si>
  <si>
    <t>4A130002220</t>
  </si>
  <si>
    <t>FORM.(001) RINGKASAN RIWAYAT POLIKLINIK</t>
  </si>
  <si>
    <t>4A13000224</t>
  </si>
  <si>
    <t>FORM.(044) CATATAN KEPERAWATAN PRA BEDAH</t>
  </si>
  <si>
    <t>4A13000228</t>
  </si>
  <si>
    <t>FORM.(058) RESUME MEDIS RAWAT JALAN</t>
  </si>
  <si>
    <t>4A13000229</t>
  </si>
  <si>
    <t>FORM. STATUS PASIEN RAWAT JALAN</t>
  </si>
  <si>
    <t>4A130004001</t>
  </si>
  <si>
    <t>FORM.(086/I/REV) PENDAFTARAN PASIEN BARU</t>
  </si>
  <si>
    <t>4A130004003</t>
  </si>
  <si>
    <t>FORM. HASIL PEMERIKSAAN USG</t>
  </si>
  <si>
    <t>4A130004205</t>
  </si>
  <si>
    <t>FORM.(142) DPJP</t>
  </si>
  <si>
    <t>4A13000421</t>
  </si>
  <si>
    <t>FORM.(085) PEMERIKSAAN MATA</t>
  </si>
  <si>
    <t>4A130004217</t>
  </si>
  <si>
    <t>FORM.(163.2) ASSESMEN  AWAL FISIOTERAPI  1 MUKA</t>
  </si>
  <si>
    <t>4A130004229</t>
  </si>
  <si>
    <t>FORM.(097) ASSESMENT SEHARI-HARI</t>
  </si>
  <si>
    <t>4A13000423</t>
  </si>
  <si>
    <t>FORM. PATOLOGI ANATOMI ( PA ) JARINGAN</t>
  </si>
  <si>
    <t>E001000042</t>
  </si>
  <si>
    <t>KERTAS PUYER TANPA LOGO ( PERKAMEN )</t>
  </si>
  <si>
    <t>E00100022</t>
  </si>
  <si>
    <t>KERTAS PUYER BERLOGO</t>
  </si>
  <si>
    <t>X201Z075701</t>
  </si>
  <si>
    <t>KARTU STOCK BOLAK BALIK</t>
  </si>
  <si>
    <t>Sub Total : BEBAN CETAKAN</t>
  </si>
  <si>
    <t>INVENTARIS ART</t>
  </si>
  <si>
    <t>740100099</t>
  </si>
  <si>
    <t>JAS DOKTER SIZE M</t>
  </si>
  <si>
    <t>740600004</t>
  </si>
  <si>
    <t>JAS DOKTER SIZE XXXL</t>
  </si>
  <si>
    <t>7406000041</t>
  </si>
  <si>
    <t>JAS DOKTER SIZE L</t>
  </si>
  <si>
    <t>7G0100004</t>
  </si>
  <si>
    <t>MUG BERLOGO IMC</t>
  </si>
  <si>
    <t>Sub Total : INVENTARIS ART</t>
  </si>
  <si>
    <t>01Z070100</t>
  </si>
  <si>
    <t>KARET GELANG</t>
  </si>
  <si>
    <t>AA0100030</t>
  </si>
  <si>
    <t>KERTAS EKG</t>
  </si>
  <si>
    <t>Y701000422</t>
  </si>
  <si>
    <t>PRESEP</t>
  </si>
  <si>
    <t>740100004</t>
  </si>
  <si>
    <t>APRON OK</t>
  </si>
  <si>
    <t>B10100047</t>
  </si>
  <si>
    <t>SABUN BAYI JHONSON</t>
  </si>
  <si>
    <t>B20100023</t>
  </si>
  <si>
    <t>MINYAK TELON CONICARE 250 ML</t>
  </si>
  <si>
    <t>BG010000401</t>
  </si>
  <si>
    <t>MINYAK TELON KONICARE</t>
  </si>
  <si>
    <t>ALAT RUTIN MEDIS</t>
  </si>
  <si>
    <t>450500044</t>
  </si>
  <si>
    <t>4A010000401</t>
  </si>
  <si>
    <t>SAFETY BOX KUNING</t>
  </si>
  <si>
    <t>H4010000403</t>
  </si>
  <si>
    <t>PEMBUNGKUS OK 1,8 X 2 M HIJAU</t>
  </si>
  <si>
    <t>H4010002201</t>
  </si>
  <si>
    <t>PEMBUNGKUS OK 1,5 X 1 M HIJAU</t>
  </si>
  <si>
    <t>Sub Total : ALAT RUTIN MEDIS</t>
  </si>
  <si>
    <t>GIMMICK</t>
  </si>
  <si>
    <t>00010003101</t>
  </si>
  <si>
    <t>SIKAT GIGI (SET) BERLOGO</t>
  </si>
  <si>
    <t>0Y010000313</t>
  </si>
  <si>
    <t>PENCIL BERLOGO</t>
  </si>
  <si>
    <t>0Y0100004</t>
  </si>
  <si>
    <t>TAS GIMMICK BAYI HIJAU</t>
  </si>
  <si>
    <t>0Y010000402</t>
  </si>
  <si>
    <t>SANDAL BERLOGO</t>
  </si>
  <si>
    <t>0Y010000417</t>
  </si>
  <si>
    <t>TISSUE BOX BERLOGO</t>
  </si>
  <si>
    <t>0Y010002203</t>
  </si>
  <si>
    <t>LAUNDRY BAG BERLOGO</t>
  </si>
  <si>
    <t>0Y010002214</t>
  </si>
  <si>
    <t>HANDUK BERLOGO</t>
  </si>
  <si>
    <t>0Y010002215</t>
  </si>
  <si>
    <t>WASLAP PUTIH POLOS</t>
  </si>
  <si>
    <t>0Y010003204</t>
  </si>
  <si>
    <t>SHAMPO KEMASAN BERLOGO</t>
  </si>
  <si>
    <t>0Y010004408</t>
  </si>
  <si>
    <t>COASTER</t>
  </si>
  <si>
    <t>0Y010004412</t>
  </si>
  <si>
    <t>PATIEN TUBE ADULT RESUSABLE  HYTREL 1.5 M</t>
  </si>
  <si>
    <t>COTTON BUD KEMASAN BERLOGO</t>
  </si>
  <si>
    <t>0Y010004507</t>
  </si>
  <si>
    <t>SISIR KEMASAN BERLOGO</t>
  </si>
  <si>
    <t>JY010000400</t>
  </si>
  <si>
    <t>TAS GIMMIC</t>
  </si>
  <si>
    <t>X023000312</t>
  </si>
  <si>
    <t>GIMMIC KELAS 1</t>
  </si>
  <si>
    <t>X02400031</t>
  </si>
  <si>
    <t>GIMMIC VIP</t>
  </si>
  <si>
    <t>X031000314</t>
  </si>
  <si>
    <t>GIMMIC KELAS 2</t>
  </si>
  <si>
    <t>X031000316</t>
  </si>
  <si>
    <t>GIMMIC KELAS 3</t>
  </si>
  <si>
    <t>X22300031</t>
  </si>
  <si>
    <t>GIMMIC VVIP</t>
  </si>
  <si>
    <t>XY010003101</t>
  </si>
  <si>
    <t>GIMMIC BAYI</t>
  </si>
  <si>
    <t>Sub Total : GIMMICK</t>
  </si>
  <si>
    <t>BEBAN PENJAHITAN (LINEN)</t>
  </si>
  <si>
    <t>K40100004</t>
  </si>
  <si>
    <t>PERLAK KECIL</t>
  </si>
  <si>
    <t>K40100022</t>
  </si>
  <si>
    <t>SARUNG OKSIGEN 6 M3</t>
  </si>
  <si>
    <t>K401D0804</t>
  </si>
  <si>
    <t>DUK 100 X 110</t>
  </si>
  <si>
    <t>K40600004</t>
  </si>
  <si>
    <t>DUK POLOS 95 X 65</t>
  </si>
  <si>
    <t>K40600022</t>
  </si>
  <si>
    <t>LAKEN OK</t>
  </si>
  <si>
    <t>K406000444</t>
  </si>
  <si>
    <t>DUK POLOS BOLONG</t>
  </si>
  <si>
    <t>T00100022</t>
  </si>
  <si>
    <t>LAKEN BESAR</t>
  </si>
  <si>
    <t>T02300004</t>
  </si>
  <si>
    <t>KESET</t>
  </si>
  <si>
    <t>T40100022</t>
  </si>
  <si>
    <t>LAKEN KECIL</t>
  </si>
  <si>
    <t>Sub Total : BEBAN PENJAHITAN (LINEN)</t>
  </si>
  <si>
    <t>BEBAN LAUNDRY</t>
  </si>
  <si>
    <t>L3010009901</t>
  </si>
  <si>
    <t>PLASTIK BENING 60 X100</t>
  </si>
  <si>
    <t>Sub Total : BEBAN LAUNDRY</t>
  </si>
  <si>
    <t>BIAYA LANGSUNG</t>
  </si>
  <si>
    <t>Y531000041</t>
  </si>
  <si>
    <t>KARTU EMONEY BANK MANDIRI</t>
  </si>
  <si>
    <t>Sub Total : BIAYA LANGSUNG</t>
  </si>
  <si>
    <t>BEBAN ALAT LISTRIK</t>
  </si>
  <si>
    <t>P4010000301</t>
  </si>
  <si>
    <t>LAMPU TL 18 WATT PHILIPS</t>
  </si>
  <si>
    <t>P40100004</t>
  </si>
  <si>
    <t>LAMPU TL LED 18 WATT</t>
  </si>
  <si>
    <t>P4010004402</t>
  </si>
  <si>
    <t>LAMPU TL (NEON) PHILLIPS 18 WATT</t>
  </si>
  <si>
    <t>P4010004403</t>
  </si>
  <si>
    <t>LAMPU PHILLIPS 18 WATT WARM LIGHT</t>
  </si>
  <si>
    <t>P40130004</t>
  </si>
  <si>
    <t>LAMPU ESSENSIAL 18 WATT PHILIPS</t>
  </si>
  <si>
    <t>P4020000302</t>
  </si>
  <si>
    <t>LAMPU TL 36 WATT PHILIPS</t>
  </si>
  <si>
    <t>P40300004</t>
  </si>
  <si>
    <t>STATER LAMPU PHILIPS</t>
  </si>
  <si>
    <t>P4310004401</t>
  </si>
  <si>
    <t>LAMPU TL (NEON) PHILLIPS 36 WATT</t>
  </si>
  <si>
    <t>XG23P097501</t>
  </si>
  <si>
    <t>LAMPU OPERASI OK</t>
  </si>
  <si>
    <t>XGS320401</t>
  </si>
  <si>
    <t>LAMPU BLUE LIGHT</t>
  </si>
  <si>
    <t>Sub Total : BEBAN ALAT LISTRIK</t>
  </si>
  <si>
    <t>BEBAN MAKAN/MINUM</t>
  </si>
  <si>
    <t>IA010005303</t>
  </si>
  <si>
    <t>AIR MINERAL OASIS 24O ML</t>
  </si>
  <si>
    <t>N0010000401</t>
  </si>
  <si>
    <t>AIR MINERAL 330 ML OASIS</t>
  </si>
  <si>
    <t>N0010000402</t>
  </si>
  <si>
    <t>AIR MINERAL 1.5 L OASIS</t>
  </si>
  <si>
    <t>N0010000403</t>
  </si>
  <si>
    <t>AIR MINERAL GALON OASIS</t>
  </si>
  <si>
    <t>Sub Total : BEBAN MAKAN/MINUM</t>
  </si>
  <si>
    <t>BEBAN RUMAH TANGGA</t>
  </si>
  <si>
    <t>000100004</t>
  </si>
  <si>
    <t>VAPE SPRAY 600 ML NATURAL FRAGRANCE</t>
  </si>
  <si>
    <t>00010000401</t>
  </si>
  <si>
    <t>KENDIL</t>
  </si>
  <si>
    <t>0001000042</t>
  </si>
  <si>
    <t>STELLA MAGIC SPRING APPLE 225 ML</t>
  </si>
  <si>
    <t>0001000044</t>
  </si>
  <si>
    <t>SUNLIGHT 400 ML REFILL</t>
  </si>
  <si>
    <t>0001000046</t>
  </si>
  <si>
    <t>KANEBO</t>
  </si>
  <si>
    <t>000100023</t>
  </si>
  <si>
    <t>SENTINEL HANDRUB 500 ML</t>
  </si>
  <si>
    <t>00010004501</t>
  </si>
  <si>
    <t>PLASTIK UK. 18 X 23 MERAH</t>
  </si>
  <si>
    <t>0001B0504</t>
  </si>
  <si>
    <t>BAYCLIN DESINFEKTAN 1 LITER</t>
  </si>
  <si>
    <t>020100004</t>
  </si>
  <si>
    <t>OBAT NYAMUK SPRAY</t>
  </si>
  <si>
    <t>0201L1445</t>
  </si>
  <si>
    <t>PLASTIK SAMPAH HITAM 90 X 120 CM</t>
  </si>
  <si>
    <t>0G0100044</t>
  </si>
  <si>
    <t>TATAKAN GELAS BERLOGO</t>
  </si>
  <si>
    <t>0Y010000310</t>
  </si>
  <si>
    <t>SEDOTAN KEMASAN</t>
  </si>
  <si>
    <t>0Y010002209</t>
  </si>
  <si>
    <t>GLASS COVER BERLOGO</t>
  </si>
  <si>
    <t>0Y010002211</t>
  </si>
  <si>
    <t>TATAKAN NAMPAN BERLOGO</t>
  </si>
  <si>
    <t>3C010000401</t>
  </si>
  <si>
    <t>TISSUE HAND TOWEL SEEU</t>
  </si>
  <si>
    <t>H0010002203</t>
  </si>
  <si>
    <t>PLASTIK SAMPAH KUNING 40 X 60</t>
  </si>
  <si>
    <t>HA010000417</t>
  </si>
  <si>
    <t>KENDIL ARI ARI</t>
  </si>
  <si>
    <t>S0010000401</t>
  </si>
  <si>
    <t>RUMAH HIT ELECTRIC</t>
  </si>
  <si>
    <t>S0010000402</t>
  </si>
  <si>
    <t>HIT ELECTRIC</t>
  </si>
  <si>
    <t>S0010004601</t>
  </si>
  <si>
    <t>PLASTIK HITAM HD</t>
  </si>
  <si>
    <t>S0010006901</t>
  </si>
  <si>
    <t>SAFETY BOX PUTIH</t>
  </si>
  <si>
    <t>S0010007001</t>
  </si>
  <si>
    <t>SUNLIGHT 200 ML</t>
  </si>
  <si>
    <t>S4060008001</t>
  </si>
  <si>
    <t>SENTINEL HAND WASH 5L</t>
  </si>
  <si>
    <t>S62300004</t>
  </si>
  <si>
    <t>TEKO</t>
  </si>
  <si>
    <t>SA010004504</t>
  </si>
  <si>
    <t>PLASTIK MEDIS KUNING 20 X 20</t>
  </si>
  <si>
    <t>SA010004704</t>
  </si>
  <si>
    <t>STELLA GANTUNG APPLE</t>
  </si>
  <si>
    <t>SA010005001</t>
  </si>
  <si>
    <t>SPON CUCI PIRING SCOTCH BRITE</t>
  </si>
  <si>
    <t>SC060000401</t>
  </si>
  <si>
    <t>TISSU WAJAH GIANT / PASEO</t>
  </si>
  <si>
    <t>SE010006901</t>
  </si>
  <si>
    <t>YURI HANDSOAP 3,7 L</t>
  </si>
  <si>
    <t>SG010004607</t>
  </si>
  <si>
    <t>TISSU ROLL TOILET</t>
  </si>
  <si>
    <t>X00100004</t>
  </si>
  <si>
    <t>BAYCLIN</t>
  </si>
  <si>
    <t>X001000041</t>
  </si>
  <si>
    <t>STELLA MATIC 225 ML</t>
  </si>
  <si>
    <t>X001000043</t>
  </si>
  <si>
    <t>STELLA MATIC UNGU 225 ML</t>
  </si>
  <si>
    <t>X2010002210</t>
  </si>
  <si>
    <t>TISSU LIVI EVO MULTIFOLD 150S</t>
  </si>
  <si>
    <t>XG010004501</t>
  </si>
  <si>
    <t>PLASTIK SAMPAH HITAM 60X100</t>
  </si>
  <si>
    <t>IKAT</t>
  </si>
  <si>
    <t>XG010004503</t>
  </si>
  <si>
    <t>PLASTIK SAMPAH KUNING 25 KG 50X75</t>
  </si>
  <si>
    <t>XG010004504</t>
  </si>
  <si>
    <t>PLASTIK SAMPAH KUNING 25 KG 90 X 120</t>
  </si>
  <si>
    <t>XG2300004</t>
  </si>
  <si>
    <t>TERMOS</t>
  </si>
  <si>
    <t>Sub Total : BEBAN RUMAH TANGGA</t>
  </si>
  <si>
    <t>ASSET ALAT RUMAH TANGGA</t>
  </si>
  <si>
    <t>T10100004</t>
  </si>
  <si>
    <t>KOTAK OBAT PLASTIK BESAR</t>
  </si>
  <si>
    <t>T101000041</t>
  </si>
  <si>
    <t>KOTAK OBAT PLASTIK KECIL</t>
  </si>
  <si>
    <t>TG0100044</t>
  </si>
  <si>
    <t>TUTUP GELAS MELAMIN</t>
  </si>
  <si>
    <t>Sub Total : ASSET ALAT RUMAH TANGGA</t>
  </si>
  <si>
    <t>DONASI</t>
  </si>
  <si>
    <t>W00100004</t>
  </si>
  <si>
    <t>PAPAN NAMA BAYI BIRU</t>
  </si>
  <si>
    <t>W001000042</t>
  </si>
  <si>
    <t>PAPAN NAMA BAYI PINK</t>
  </si>
  <si>
    <t>W001J0204</t>
  </si>
  <si>
    <t>JOHNSON BABY LATION  100 ML</t>
  </si>
  <si>
    <t>W001J02041</t>
  </si>
  <si>
    <t>JOHNSON BABY OIL 125 ML</t>
  </si>
  <si>
    <t>W001J02042</t>
  </si>
  <si>
    <t>JOHNSON BEDAK BAYI 200 GR</t>
  </si>
  <si>
    <t>W001J0231</t>
  </si>
  <si>
    <t>PAKET BABY JOHNSON PINK</t>
  </si>
  <si>
    <t>W2060000406</t>
  </si>
  <si>
    <t>DETTOL HANDSRUB 200 ML</t>
  </si>
  <si>
    <t>W206000043</t>
  </si>
  <si>
    <t>ANTISEPTIC ALCOHOL BASED ( CAIR ) COSMO MED</t>
  </si>
  <si>
    <t>WG060000401</t>
  </si>
  <si>
    <t>HANDSOAP DETTOL REFILL</t>
  </si>
  <si>
    <t>WG060000402</t>
  </si>
  <si>
    <t>HANDSOAP DETTOL 250 ML</t>
  </si>
  <si>
    <t>WG060000403</t>
  </si>
  <si>
    <t>HANDSANITIZER DETTOL 250 ML</t>
  </si>
  <si>
    <t>WG060000404</t>
  </si>
  <si>
    <t>ANTISEPTIK DETTOL COKLAT 250 ML</t>
  </si>
  <si>
    <t>WY010006901</t>
  </si>
  <si>
    <t>DETTOL MOTHER SAMPLE</t>
  </si>
  <si>
    <t>WY01J0204</t>
  </si>
  <si>
    <t>JOHNSON BABY SHAMPO 200 ML</t>
  </si>
  <si>
    <t>WY01J0231</t>
  </si>
  <si>
    <t>PAKET JOHNSON BABY BLUE</t>
  </si>
  <si>
    <t>Sub Total : DONASI</t>
  </si>
  <si>
    <t>X0010002201</t>
  </si>
  <si>
    <t>OOOO</t>
  </si>
  <si>
    <t>XC010003001</t>
  </si>
  <si>
    <t>TISSUE GULUNG</t>
  </si>
  <si>
    <t>XD010003002</t>
  </si>
  <si>
    <t>TISSUE KOTAK</t>
  </si>
  <si>
    <t>XG010002201</t>
  </si>
  <si>
    <t>LAMPU INFRARED</t>
  </si>
  <si>
    <t>XG010004502</t>
  </si>
  <si>
    <t>PLASTIK SAMPAH HITAM 90X120</t>
  </si>
  <si>
    <t>Sub Total : UMUM</t>
  </si>
  <si>
    <t>BEBAN ATK</t>
  </si>
  <si>
    <t>000100042</t>
  </si>
  <si>
    <t>KERTAS F4 70 GR NATURAL</t>
  </si>
  <si>
    <t>00183000401</t>
  </si>
  <si>
    <t>TINTA HP 680 BLACK ( HP DESKJET INK ADVANTAGE)</t>
  </si>
  <si>
    <t>00233003101</t>
  </si>
  <si>
    <t>TINTA HP 680 COLOUR ( HP DESKJET INK ADVANTAGE)</t>
  </si>
  <si>
    <t>0031000045</t>
  </si>
  <si>
    <t>BATTERY ABC DRY CELL  AA</t>
  </si>
  <si>
    <t>070100004</t>
  </si>
  <si>
    <t>PLASTIK JILID</t>
  </si>
  <si>
    <t>0A013000109</t>
  </si>
  <si>
    <t>STAMP PAD INK</t>
  </si>
  <si>
    <t>0B310000405</t>
  </si>
  <si>
    <t>DRUM TONER 30 A</t>
  </si>
  <si>
    <t>0Y010004705</t>
  </si>
  <si>
    <t>TINTA STEMPEL OTOMATIS MANIS WARNA</t>
  </si>
  <si>
    <t>23E214900</t>
  </si>
  <si>
    <t>ISI TINTA SPIDOL PERMANENT ( RED )</t>
  </si>
  <si>
    <t>23E214901</t>
  </si>
  <si>
    <t>ISI TINTA SPIDOL PERMANENT ( BLACK )</t>
  </si>
  <si>
    <t>302300004</t>
  </si>
  <si>
    <t>PITA PRINTER LX 310 EPSON</t>
  </si>
  <si>
    <t>323E214900</t>
  </si>
  <si>
    <t>ISI TINTA SPIDOL BOARDMARKER ( BLACK )</t>
  </si>
  <si>
    <t>3G23E214900</t>
  </si>
  <si>
    <t>ISI TINTA SPIDOL BOARDMARKER ( RED )</t>
  </si>
  <si>
    <t>40010004401</t>
  </si>
  <si>
    <t>TONER HP 30A/CF230</t>
  </si>
  <si>
    <t>4001A008301</t>
  </si>
  <si>
    <t>LABEL T&amp;J NO.107</t>
  </si>
  <si>
    <t>40033004801</t>
  </si>
  <si>
    <t>BARCODE RIBBON KECIL ZEBRA WAX 110X300M</t>
  </si>
  <si>
    <t>45010000401</t>
  </si>
  <si>
    <t>CUTTER BLADE L-100</t>
  </si>
  <si>
    <t>45010004414</t>
  </si>
  <si>
    <t>LABEL POST IT 653</t>
  </si>
  <si>
    <t>450130049</t>
  </si>
  <si>
    <t>TINTA T BLACK</t>
  </si>
  <si>
    <t>4503000042</t>
  </si>
  <si>
    <t>CUTTER BALDE L-150</t>
  </si>
  <si>
    <t>4510000222</t>
  </si>
  <si>
    <t>AMPLOP RADIOLOGI ART PAPPER 40X50 CM</t>
  </si>
  <si>
    <t>4A050003001</t>
  </si>
  <si>
    <t>PAPER THERMAL ROLL 80 MM</t>
  </si>
  <si>
    <t>4A310004401</t>
  </si>
  <si>
    <t>TINTA YELLOW ( 3110 EPSON )</t>
  </si>
  <si>
    <t>4A310004402</t>
  </si>
  <si>
    <t>TINTA CYAN ( 3110 EPSON )</t>
  </si>
  <si>
    <t>P03100044</t>
  </si>
  <si>
    <t>BATERAI KECIL TERMOMETER ( LR41/G3)</t>
  </si>
  <si>
    <t>P431000042</t>
  </si>
  <si>
    <t>BATERAI ABC DRY CELL SEDANG /R14</t>
  </si>
  <si>
    <t>P431000043</t>
  </si>
  <si>
    <t>BATERAI ABC DRY CELL BESAR R20/D</t>
  </si>
  <si>
    <t>P431000045</t>
  </si>
  <si>
    <t>BATERAI 12 V GP ULTRA ALKALINE</t>
  </si>
  <si>
    <t>P431000046</t>
  </si>
  <si>
    <t>BATERAI LITHIUM 3V CR2032 PANASONIC</t>
  </si>
  <si>
    <t>P431000047</t>
  </si>
  <si>
    <t>BATERAI 9V ENERGIZER</t>
  </si>
  <si>
    <t>P43100044</t>
  </si>
  <si>
    <t>BATERAI KECIL 1130</t>
  </si>
  <si>
    <t>X0010000303</t>
  </si>
  <si>
    <t>PAPER ROLL 3 PLY NCR 76 MM</t>
  </si>
  <si>
    <t>PUSH PIN KENKO</t>
  </si>
  <si>
    <t>X0310004403</t>
  </si>
  <si>
    <t>BATERAI LR44</t>
  </si>
  <si>
    <t>PLASTIK LAMINATING NEW TOHO</t>
  </si>
  <si>
    <t>X43100004</t>
  </si>
  <si>
    <t>BATERAI ABC ALKALINE AAA</t>
  </si>
  <si>
    <t>X431000041</t>
  </si>
  <si>
    <t>BATERAI  ABC ALKALINE AA</t>
  </si>
  <si>
    <t>X5010004405</t>
  </si>
  <si>
    <t>TONER HP LASERJET CE283A</t>
  </si>
  <si>
    <t>X5010004803</t>
  </si>
  <si>
    <t>PITA EPSON ERC 38B RIBBON CATRIDE BLACK</t>
  </si>
  <si>
    <t>X50100069</t>
  </si>
  <si>
    <t>MAP GANTUNG DHAICI</t>
  </si>
  <si>
    <t>X501J0503</t>
  </si>
  <si>
    <t>PENSIL HB JOYKO</t>
  </si>
  <si>
    <t>X531000044</t>
  </si>
  <si>
    <t>BATERAI 9V ALKALINE ABC</t>
  </si>
  <si>
    <t>X931000042</t>
  </si>
  <si>
    <t>CUTTER A-300 KENKO</t>
  </si>
  <si>
    <t>XD0100000</t>
  </si>
  <si>
    <t>STYROFOAM</t>
  </si>
  <si>
    <t>XG010003003</t>
  </si>
  <si>
    <t>LABEL GELANG PASIEN ROLL</t>
  </si>
  <si>
    <t>XG23Z06041</t>
  </si>
  <si>
    <t>LAKBAN BESAR HITAM 5 CM</t>
  </si>
  <si>
    <t>Y5010000303</t>
  </si>
  <si>
    <t>PLASTIC PAPER FASTER SPF-50W JOYKO</t>
  </si>
  <si>
    <t>Y5010000401</t>
  </si>
  <si>
    <t>BOX FILE JUMBO 1034B  BINDEX</t>
  </si>
  <si>
    <t>Y5010000402</t>
  </si>
  <si>
    <t>STAMP PAD</t>
  </si>
  <si>
    <t>Y5010000406</t>
  </si>
  <si>
    <t>TINTA LIGHT CYAN</t>
  </si>
  <si>
    <t>Y5010000407</t>
  </si>
  <si>
    <t>TINTA MAGENTA ( 3110 EPSON )</t>
  </si>
  <si>
    <t>Y501000041</t>
  </si>
  <si>
    <t>TRIGONAL KLIP NO.3 JOYKO</t>
  </si>
  <si>
    <t>Y5010000412</t>
  </si>
  <si>
    <t>FORM.(002.1) ASSESMEN MEDIS UGD</t>
  </si>
  <si>
    <t>Y5010000418</t>
  </si>
  <si>
    <t>ISOLASI 1 CM DAIMARU</t>
  </si>
  <si>
    <t>Y5010000419</t>
  </si>
  <si>
    <t>DOUBLE TAPE 1 CM</t>
  </si>
  <si>
    <t>Y501000042</t>
  </si>
  <si>
    <t>ISI CUTTER SPARE BLADES L-150 KENKO</t>
  </si>
  <si>
    <t>Y5010000420</t>
  </si>
  <si>
    <t>BOLPOIN AE-7 STANDART BIRU</t>
  </si>
  <si>
    <t>Y501000043</t>
  </si>
  <si>
    <t>ODNER KECIL 1446 10 FC 70M BLACK</t>
  </si>
  <si>
    <t>Y501000044</t>
  </si>
  <si>
    <t>ISI STAPLES CHISEL POINTED NO.10 ETONA</t>
  </si>
  <si>
    <t>Y501000045</t>
  </si>
  <si>
    <t>ODNER KECIL 1446 10 FC 70M</t>
  </si>
  <si>
    <t>Y501000046</t>
  </si>
  <si>
    <t>ISI STAPLES NO.10 KENKO</t>
  </si>
  <si>
    <t>Y5010002201</t>
  </si>
  <si>
    <t>AMPLOP COKLAT SALUR B4</t>
  </si>
  <si>
    <t>Y5010002203</t>
  </si>
  <si>
    <t>PLASTIK ISI ODNER A4</t>
  </si>
  <si>
    <t>Y501000221</t>
  </si>
  <si>
    <t>ENVELOPES PSC 90</t>
  </si>
  <si>
    <t>Y501000222</t>
  </si>
  <si>
    <t>ENVELOPES PSC 104</t>
  </si>
  <si>
    <t>Y50100030</t>
  </si>
  <si>
    <t>BUKU QUARTO 200 L</t>
  </si>
  <si>
    <t>Y5010003008</t>
  </si>
  <si>
    <t>ISOLASI BENING  BESAR 5  CM DAIMARU</t>
  </si>
  <si>
    <t>Y501000302</t>
  </si>
  <si>
    <t>ISOLASI LISTRIK HITAM</t>
  </si>
  <si>
    <t>Y501000303</t>
  </si>
  <si>
    <t>KERTAS FAX FY/ 210 X 30</t>
  </si>
  <si>
    <t>Y501000304</t>
  </si>
  <si>
    <t>LAKBAN HITAM 5 CM DAIMARU</t>
  </si>
  <si>
    <t>Y50100040</t>
  </si>
  <si>
    <t>BUKU FOLIO 200 L</t>
  </si>
  <si>
    <t>Y501000402</t>
  </si>
  <si>
    <t>BUKU FOLIO L 500 RIA</t>
  </si>
  <si>
    <t>Y501000403</t>
  </si>
  <si>
    <t>BOLPOIN MEJA JOYKO</t>
  </si>
  <si>
    <t>Y501000404</t>
  </si>
  <si>
    <t>BUKU EKSPEDISI 100 L KURAMAS</t>
  </si>
  <si>
    <t>Y501000405</t>
  </si>
  <si>
    <t>BUKU EKSPEDISI 100 L</t>
  </si>
  <si>
    <t>Y50100042</t>
  </si>
  <si>
    <t>KERTAS A4 70 GR E-PAPPER</t>
  </si>
  <si>
    <t>Y50100044</t>
  </si>
  <si>
    <t>BINDER CLIPS 107 KENKO</t>
  </si>
  <si>
    <t>Y5010004401</t>
  </si>
  <si>
    <t>GLUE STICK 8 G KENKO</t>
  </si>
  <si>
    <t>Y5010004402</t>
  </si>
  <si>
    <t>TAPE GOLD CRISTAL 1 CM</t>
  </si>
  <si>
    <t>Y5010004406</t>
  </si>
  <si>
    <t>FLASH DISK 16 GB</t>
  </si>
  <si>
    <t>Y501000441</t>
  </si>
  <si>
    <t>LEM STICK KENKO SEDANG</t>
  </si>
  <si>
    <t>Y5010004410</t>
  </si>
  <si>
    <t>PAPAN JALAN WARNA ORANGE BANTEX</t>
  </si>
  <si>
    <t>Y5010004411</t>
  </si>
  <si>
    <t>PAPAN JALAN WARNA BIRU BANTEX</t>
  </si>
  <si>
    <t>Y5010004412</t>
  </si>
  <si>
    <t>DISPENSER TAPE NO.50 ( LION)</t>
  </si>
  <si>
    <t>Y5010004413</t>
  </si>
  <si>
    <t>ISI STAPLES NO.03 MAX</t>
  </si>
  <si>
    <t>Y5010004415</t>
  </si>
  <si>
    <t>LABEL POST IT 655</t>
  </si>
  <si>
    <t>Y501000442</t>
  </si>
  <si>
    <t>PENSIL BIRU/MERAH</t>
  </si>
  <si>
    <t>Y50100045</t>
  </si>
  <si>
    <t>BUSSINES FILE NO.940 H-F/C FELIX FILE</t>
  </si>
  <si>
    <t>Y5010004501</t>
  </si>
  <si>
    <t>ISI PLASTIK TRANSPARANT 8843-08 BANTEX</t>
  </si>
  <si>
    <t>Y501000452</t>
  </si>
  <si>
    <t>LABEL T&amp;J NO.99</t>
  </si>
  <si>
    <t>Y50100049</t>
  </si>
  <si>
    <t>MAGNET HP 1005/35/36/285/278A</t>
  </si>
  <si>
    <t>Y5010004901</t>
  </si>
  <si>
    <t>TINTA CYAN</t>
  </si>
  <si>
    <t>Y5010004902</t>
  </si>
  <si>
    <t>FORM.(002.2) ASSESMEN AWAL RAJAL KEBIDANAN</t>
  </si>
  <si>
    <t>Y5010004903</t>
  </si>
  <si>
    <t>TINTA MAGENTA</t>
  </si>
  <si>
    <t>Y5010004904</t>
  </si>
  <si>
    <t>TINTA HITAM ( L3110 EPSON )</t>
  </si>
  <si>
    <t>Y5010004905</t>
  </si>
  <si>
    <t>TONER HP LASERJET CB 435A-35A</t>
  </si>
  <si>
    <t>Y5010004907</t>
  </si>
  <si>
    <t>TONER HP LASERJET CE 285A-85A</t>
  </si>
  <si>
    <t>Y5010004908</t>
  </si>
  <si>
    <t>TONER DIGITAL COPYSTAR 250 GR</t>
  </si>
  <si>
    <t>Y50100057</t>
  </si>
  <si>
    <t>AMPLOP COKLAT F4</t>
  </si>
  <si>
    <t>Y501000570</t>
  </si>
  <si>
    <t>AMPLOP COKLAT A4</t>
  </si>
  <si>
    <t>Y501000571</t>
  </si>
  <si>
    <t>CONTINOUS FORM 3   9 1/2 X 11/2  NCR</t>
  </si>
  <si>
    <t>Y501000572</t>
  </si>
  <si>
    <t>BUKU QUARTO 100 L</t>
  </si>
  <si>
    <t>Y501000573</t>
  </si>
  <si>
    <t>CONTINOUS FORM 4   9 1/2 X 11   NCR</t>
  </si>
  <si>
    <t>Y501000575</t>
  </si>
  <si>
    <t>CONTINOUS FORM 3   9 1/2 X 11  NCR</t>
  </si>
  <si>
    <t>Y50100069</t>
  </si>
  <si>
    <t>AMPLOP DL 110 X 230 MM LOGO RS IMC</t>
  </si>
  <si>
    <t>Y50100083</t>
  </si>
  <si>
    <t>CONTINOUS FORM 2  9 1/2 X 11/2 NCR</t>
  </si>
  <si>
    <t>Y5010008301</t>
  </si>
  <si>
    <t>CONTINOUS FORM 2  9 1/2 X 11 NCR</t>
  </si>
  <si>
    <t>Y5010008304</t>
  </si>
  <si>
    <t>CONTINOUS FORM 4   9 1/2 X 11 /2 NCR</t>
  </si>
  <si>
    <t>Y50130004</t>
  </si>
  <si>
    <t>DOBLE TIPE 0.5 CM KENKO</t>
  </si>
  <si>
    <t>Y501300042</t>
  </si>
  <si>
    <t>DOBLE TIPE 1 CM KENKO</t>
  </si>
  <si>
    <t>Y501300402</t>
  </si>
  <si>
    <t>POST IT T&amp;J NO.655</t>
  </si>
  <si>
    <t>Y501A0049</t>
  </si>
  <si>
    <t>TINTA T YELLOW</t>
  </si>
  <si>
    <t>Y501B4604</t>
  </si>
  <si>
    <t>ODNER BESAR BINDEX</t>
  </si>
  <si>
    <t>Y501B4704</t>
  </si>
  <si>
    <t>ODNER BESAR BANTEX BLUE 465 V01</t>
  </si>
  <si>
    <t>Y501J050403</t>
  </si>
  <si>
    <t>DOUBEL TAPE BESAR (1/2'' JOYKO )</t>
  </si>
  <si>
    <t>Y501J054401</t>
  </si>
  <si>
    <t>DOUBEL TAPE BESAR ( 2' JOYKO )</t>
  </si>
  <si>
    <t>Y501J054402</t>
  </si>
  <si>
    <t>DOUBEL TAPE BESAR ( 1 1/2'' JOYKO )</t>
  </si>
  <si>
    <t>Y5020000301</t>
  </si>
  <si>
    <t>PENCIL HB JOYKO</t>
  </si>
  <si>
    <t>Y50200004</t>
  </si>
  <si>
    <t>SPIDOL KECIL SNOWMAN ( HITAM)</t>
  </si>
  <si>
    <t>Y502000042</t>
  </si>
  <si>
    <t>SPIDOL BESAR PERMANENT MERAH SNOWMAN</t>
  </si>
  <si>
    <t>Y502000043</t>
  </si>
  <si>
    <t>HIGH LIGHTER HL-12 JOY-ART</t>
  </si>
  <si>
    <t>Y50200049</t>
  </si>
  <si>
    <t>DRUM HP 1005/35/36/285/2785A</t>
  </si>
  <si>
    <t>Y5020004905</t>
  </si>
  <si>
    <t>TINTA MAGENTA ( HP INK TANK 315 )</t>
  </si>
  <si>
    <t>Y503000042</t>
  </si>
  <si>
    <t>PITA PRINTER LX 300 EPSON</t>
  </si>
  <si>
    <t>Y5030004907</t>
  </si>
  <si>
    <t>TINTA YELLOW ( HP INK TANK 315 )</t>
  </si>
  <si>
    <t>Y5030004909</t>
  </si>
  <si>
    <t>TINTA CYAN ( HP INK TANK 315 )</t>
  </si>
  <si>
    <t>Y504000222</t>
  </si>
  <si>
    <t>LABEL T&amp;J NO.103</t>
  </si>
  <si>
    <t>Y50400049</t>
  </si>
  <si>
    <t>TINTA HITAM ( HP INK TANK 315 )</t>
  </si>
  <si>
    <t>Y50600004</t>
  </si>
  <si>
    <t>CORRECTION PEN KC-01 KENKO ( TIPE X )</t>
  </si>
  <si>
    <t>Y50600022</t>
  </si>
  <si>
    <t>Y5060002227</t>
  </si>
  <si>
    <t>KERTAS F4 80 GR</t>
  </si>
  <si>
    <t>Y50600044</t>
  </si>
  <si>
    <t>SPIDOL BESAR BOARD MAKER HITAM SNOWMAN</t>
  </si>
  <si>
    <t>Y5060004413</t>
  </si>
  <si>
    <t>ISI STAPLES NO.10 MAX</t>
  </si>
  <si>
    <t>Y5070004425</t>
  </si>
  <si>
    <t>REFILL PULPEN MEJA JOYKO GPR 200</t>
  </si>
  <si>
    <t>Y50800022</t>
  </si>
  <si>
    <t>KERTAS FOTO</t>
  </si>
  <si>
    <t>Y51000004</t>
  </si>
  <si>
    <t>BINDER CLIPS 260 KENKO</t>
  </si>
  <si>
    <t>Y51000055</t>
  </si>
  <si>
    <t>BUKU FOLIO 500 L</t>
  </si>
  <si>
    <t>Y51000057</t>
  </si>
  <si>
    <t>BUKU FOLIO 100 L</t>
  </si>
  <si>
    <t>Y510000571</t>
  </si>
  <si>
    <t>BUKU FOLIO 100 L KURAMAS</t>
  </si>
  <si>
    <t>Y51P418301</t>
  </si>
  <si>
    <t>KERTAS F4 70 GR E-PAPPER</t>
  </si>
  <si>
    <t>Y53100004</t>
  </si>
  <si>
    <t>BOLPOIN AE-7 STANDART HITAM</t>
  </si>
  <si>
    <t>Y531000042</t>
  </si>
  <si>
    <t>CUTTER L-500  KENKO</t>
  </si>
  <si>
    <t>Y531000043</t>
  </si>
  <si>
    <t>ISI COUTER SPARE BLADES A-100</t>
  </si>
  <si>
    <t>Y53100044</t>
  </si>
  <si>
    <t>PEN STAND PSGP-172 JOYKO</t>
  </si>
  <si>
    <t>Y53130004</t>
  </si>
  <si>
    <t>ISOLASI BENING KECIL I CM DAMARU</t>
  </si>
  <si>
    <t>Y70004405</t>
  </si>
  <si>
    <t>ODNER  BANTEX WHITE</t>
  </si>
  <si>
    <t>Y7010000305</t>
  </si>
  <si>
    <t>LAMPU LED 190 WATT</t>
  </si>
  <si>
    <t>Y70100004</t>
  </si>
  <si>
    <t>PAPER ROL THERMAL 80 X 60 MM</t>
  </si>
  <si>
    <t>Y7010000401</t>
  </si>
  <si>
    <t>BULB TENSIMETER RIESTER</t>
  </si>
  <si>
    <t>Y7010000403</t>
  </si>
  <si>
    <t>TONER HP LASERJET CE 05A</t>
  </si>
  <si>
    <t>Y7010000405</t>
  </si>
  <si>
    <t>BATERAI ABC AA DRY CELL</t>
  </si>
  <si>
    <t>Y7010000406</t>
  </si>
  <si>
    <t>LAMPU LED BULB 20 WATT</t>
  </si>
  <si>
    <t>Y7010000408</t>
  </si>
  <si>
    <t>BOX FILE INDEX</t>
  </si>
  <si>
    <t>Y7010000409</t>
  </si>
  <si>
    <t>BUKU OKTAVO MIRAGE</t>
  </si>
  <si>
    <t>Y701000041</t>
  </si>
  <si>
    <t>PAPER ROL THERMAL 58 X 48MM</t>
  </si>
  <si>
    <t>Y7010000411</t>
  </si>
  <si>
    <t>BUKU TELEPON BESAR</t>
  </si>
  <si>
    <t>Y7010000412</t>
  </si>
  <si>
    <t>BUKU KARTU NAMA BESAR</t>
  </si>
  <si>
    <t>Y7010000413</t>
  </si>
  <si>
    <t>CALCULATOR CITIZEN SDC 812 12 DIGIT</t>
  </si>
  <si>
    <t>Y7010000414</t>
  </si>
  <si>
    <t>CELLOTAPE DISPENSER BESAR ETONA 311</t>
  </si>
  <si>
    <t>Y7010000415</t>
  </si>
  <si>
    <t>CELLOTAPE DISPENSER TD 321</t>
  </si>
  <si>
    <t>Y7010000416</t>
  </si>
  <si>
    <t>DISPENSER TD 25 LAKBAN</t>
  </si>
  <si>
    <t>Y7010000417</t>
  </si>
  <si>
    <t>DISPENSER 108 LAKBAN</t>
  </si>
  <si>
    <t>Y7010000419</t>
  </si>
  <si>
    <t>CUTTER SDI</t>
  </si>
  <si>
    <t>Y701000042</t>
  </si>
  <si>
    <t>BUKU TULIS KWARTO 100 L RIA</t>
  </si>
  <si>
    <t>Y7010000420</t>
  </si>
  <si>
    <t>CLEAR HOLDER 40</t>
  </si>
  <si>
    <t>Y7010000421</t>
  </si>
  <si>
    <t>CLEAR HOLDER 60</t>
  </si>
  <si>
    <t>Y7010000422</t>
  </si>
  <si>
    <t>PENGARIS 30 SUN RENO</t>
  </si>
  <si>
    <t>Y7010000423</t>
  </si>
  <si>
    <t>PENGHAPUS PENSIL KENKO KECIL</t>
  </si>
  <si>
    <t>Y7010000424</t>
  </si>
  <si>
    <t>PENGHAPUS PENSIL STEADLER KECIL</t>
  </si>
  <si>
    <t>Y7010000425</t>
  </si>
  <si>
    <t>PENGHAPUS FABER CASTEL KECIL</t>
  </si>
  <si>
    <t>Y7010000426</t>
  </si>
  <si>
    <t>PENGHAPUS FABER CASTEL BESAR</t>
  </si>
  <si>
    <t>Y7010000427</t>
  </si>
  <si>
    <t>PENSIL MEKANIK PILOT 185</t>
  </si>
  <si>
    <t>Y7010000428</t>
  </si>
  <si>
    <t>POST IT BESAR</t>
  </si>
  <si>
    <t>Y7010000429</t>
  </si>
  <si>
    <t>POSIT SEDANG</t>
  </si>
  <si>
    <t>Y7010000430</t>
  </si>
  <si>
    <t>POS IT KECIL</t>
  </si>
  <si>
    <t>Y7010000432</t>
  </si>
  <si>
    <t>PLASTIK ISI BANTEX A4</t>
  </si>
  <si>
    <t>Y7010000433</t>
  </si>
  <si>
    <t>PULPEN TANDA TANGAN 0,5 SARASA</t>
  </si>
  <si>
    <t>Y7010000434</t>
  </si>
  <si>
    <t>REFILL TINTA SPIDOL WHITE BOARD</t>
  </si>
  <si>
    <t>Y7010000435</t>
  </si>
  <si>
    <t>STAMPLE BAK ARTLINE NO.1</t>
  </si>
  <si>
    <t>Y7010000436</t>
  </si>
  <si>
    <t>STAMPLE BAK HERO NO.1</t>
  </si>
  <si>
    <t>Y7010000437</t>
  </si>
  <si>
    <t>STICK NOTE POST IT</t>
  </si>
  <si>
    <t>Y7010000439</t>
  </si>
  <si>
    <t>STAPLES MAX CLINCH</t>
  </si>
  <si>
    <t>Y7010000441</t>
  </si>
  <si>
    <t>TEMPAT PULPEN MEJA</t>
  </si>
  <si>
    <t>Y701000045</t>
  </si>
  <si>
    <t>PENGHAPUS WHITE BOARD</t>
  </si>
  <si>
    <t>Y701000046</t>
  </si>
  <si>
    <t>KERTAS JILID BUFALO</t>
  </si>
  <si>
    <t>Y701000047</t>
  </si>
  <si>
    <t>MAP BENING / CLEAR SHIFT F4</t>
  </si>
  <si>
    <t>Y701000048</t>
  </si>
  <si>
    <t>KERTAS KARBON</t>
  </si>
  <si>
    <t>Y7010002204</t>
  </si>
  <si>
    <t>MEDIKA  ANTISEPTIC HANDRUB 500 ML</t>
  </si>
  <si>
    <t>Y7010002205</t>
  </si>
  <si>
    <t>FORM.(196) ASSESMEN AWAL RAJAL</t>
  </si>
  <si>
    <t>Y7010002206</t>
  </si>
  <si>
    <t>FORM.(076/REV) SURAT  RUJUK LUAR</t>
  </si>
  <si>
    <t>Y7010002217</t>
  </si>
  <si>
    <t>CLEAR SLEEVES A4</t>
  </si>
  <si>
    <t>Y7010002218</t>
  </si>
  <si>
    <t>CLEAR SAVES F4</t>
  </si>
  <si>
    <t>Y7010002231</t>
  </si>
  <si>
    <t>PLASTIK ISI BANTEX F4</t>
  </si>
  <si>
    <t>Y7010002236</t>
  </si>
  <si>
    <t>STICKER SIGN HERE</t>
  </si>
  <si>
    <t>Y7010004402</t>
  </si>
  <si>
    <t>RAUTAN PENSIL</t>
  </si>
  <si>
    <t>Y7010004408</t>
  </si>
  <si>
    <t>GUNTING SEDANG KENKO</t>
  </si>
  <si>
    <t>Y7010004409</t>
  </si>
  <si>
    <t>GUNTING KECIL KENKO</t>
  </si>
  <si>
    <t>Y7010006901</t>
  </si>
  <si>
    <t>ENVELOPES PCS 90 PAPER LINE</t>
  </si>
  <si>
    <t>Y7010006902</t>
  </si>
  <si>
    <t>ENVELOPES PSC 104 PAPER LINE</t>
  </si>
  <si>
    <t>Y70100083</t>
  </si>
  <si>
    <t>KERTAS A4 70 GR NATURAL</t>
  </si>
  <si>
    <t>Y701J0504</t>
  </si>
  <si>
    <t>STABILO HIJAU JOYKO</t>
  </si>
  <si>
    <t>Y701J050407</t>
  </si>
  <si>
    <t>TIPE-X KENKO</t>
  </si>
  <si>
    <t>Y701J05043</t>
  </si>
  <si>
    <t>STABILO BIRU JOYKO</t>
  </si>
  <si>
    <t>Y701J05044</t>
  </si>
  <si>
    <t>STABILO KUNING JOYKO</t>
  </si>
  <si>
    <t>Y701J056940</t>
  </si>
  <si>
    <t>TRIGONAL CLIPS JOYKO</t>
  </si>
  <si>
    <t>Y701S7604</t>
  </si>
  <si>
    <t>SPIDOL BESAR BOARD MAKER MERAH SNOWMAN</t>
  </si>
  <si>
    <t>Y701S76042</t>
  </si>
  <si>
    <t>SPIDOL BESAR PERMANENT HITAM SNOWMAN</t>
  </si>
  <si>
    <t>Y701T3204</t>
  </si>
  <si>
    <t>LABEL T&amp;J NO.112</t>
  </si>
  <si>
    <t>Y7020004001</t>
  </si>
  <si>
    <t>BOLPOIN 4 WARNA</t>
  </si>
  <si>
    <t>Y7020004002</t>
  </si>
  <si>
    <t>BUKU QUARTO MIRAGE 1OO L</t>
  </si>
  <si>
    <t>Y703000401</t>
  </si>
  <si>
    <t>BUKU FOLIO 200 L KURAMAS</t>
  </si>
  <si>
    <t>Y90100004</t>
  </si>
  <si>
    <t>CLEAR HOLDER FC-520</t>
  </si>
  <si>
    <t>Y9010000401</t>
  </si>
  <si>
    <t>STABILO 2 WARNA CHOSA</t>
  </si>
  <si>
    <t>Y9010000403</t>
  </si>
  <si>
    <t>MAP BENING / CLEAR SHIFT A4</t>
  </si>
  <si>
    <t>Y9010000404</t>
  </si>
  <si>
    <t>JOYKO STEMPEL PLAT</t>
  </si>
  <si>
    <t>Y901000041</t>
  </si>
  <si>
    <t>PEMBOLONG KERTAS BESAR JOYKO</t>
  </si>
  <si>
    <t>Y901000042</t>
  </si>
  <si>
    <t>PENGGARIS 30 CM BUTTERFLY</t>
  </si>
  <si>
    <t>Y901000043</t>
  </si>
  <si>
    <t>PEMBOLONG KERTAS KECIL JOYKO</t>
  </si>
  <si>
    <t>Y901000044</t>
  </si>
  <si>
    <t>PENGGARIS BESI 40 CM JOYKO</t>
  </si>
  <si>
    <t>Y90100044</t>
  </si>
  <si>
    <t>STAPLES  HD.10 MAX</t>
  </si>
  <si>
    <t>Y9010004411</t>
  </si>
  <si>
    <t>INSERT BINDERE BANTEX 8522 07 WHITE A4</t>
  </si>
  <si>
    <t>Y9010004412</t>
  </si>
  <si>
    <t>INSERT BINDER BANTEX 8542 07 WHITE A4</t>
  </si>
  <si>
    <t>Y902000042</t>
  </si>
  <si>
    <t>STAPLES  HD 50 MAX</t>
  </si>
  <si>
    <t>Y902000043</t>
  </si>
  <si>
    <t>ISI STEPLES ETONA NO. 03 BESAR</t>
  </si>
  <si>
    <t>Y903000042</t>
  </si>
  <si>
    <t>DISPENSER TAPE TD323 NC ( KENKO)</t>
  </si>
  <si>
    <t>Y905000442</t>
  </si>
  <si>
    <t>POST IT T&amp;J NO.653</t>
  </si>
  <si>
    <t>Y91100001</t>
  </si>
  <si>
    <t>BINDER CLIPS 200 KENKO</t>
  </si>
  <si>
    <t>Y93100004</t>
  </si>
  <si>
    <t>CALCULATOR 12 DIGIT CITIZEN SDC-868 L</t>
  </si>
  <si>
    <t>YA1000042</t>
  </si>
  <si>
    <t>KOP SURAT A4 RS IMC</t>
  </si>
  <si>
    <t>YB3100004</t>
  </si>
  <si>
    <t>GUNTING BESAR KENKO</t>
  </si>
  <si>
    <t>YY0100004</t>
  </si>
  <si>
    <t>PULPEN IMC (GIMMICK)</t>
  </si>
  <si>
    <t>Sub Total : BEBAN ATK</t>
  </si>
  <si>
    <t>Total : GUDANG UMUM</t>
  </si>
  <si>
    <t>saldo mnrt buku</t>
  </si>
  <si>
    <t>Piutang Lancar</t>
  </si>
  <si>
    <t>D1</t>
  </si>
  <si>
    <t>PT Guna Mandiri Tekindo (GMT)</t>
  </si>
  <si>
    <t>D2</t>
  </si>
  <si>
    <t>PT DPS - Tagihan Bunga</t>
  </si>
  <si>
    <t>D3</t>
  </si>
  <si>
    <t>PT Pratama Energy Mandiri (PEM) - Pembayaran Galuh</t>
  </si>
  <si>
    <t>D4</t>
  </si>
  <si>
    <t>PAS Magetan</t>
  </si>
  <si>
    <t>D6</t>
  </si>
  <si>
    <t>PAS</t>
  </si>
  <si>
    <t>D5</t>
  </si>
  <si>
    <t>Piutang Tidak Lancar</t>
  </si>
  <si>
    <t>Piutang Tidak Lancar - PT Mulya Tara Mandiri</t>
  </si>
  <si>
    <t>Piutang Tidak Lancar - PT Guna Mandiri Tekindo (GMT)</t>
  </si>
  <si>
    <t>D7</t>
  </si>
  <si>
    <t>Jumlah piutang lancar</t>
  </si>
  <si>
    <t>Rincian Piutang Lain-lain Pihak Ketiga</t>
  </si>
  <si>
    <t>PT MULYA TARA MANDIRI (Investasi)</t>
  </si>
  <si>
    <t>PT Guna Mandiri Tekindo (GMT) husnul</t>
  </si>
  <si>
    <t>Tagihan Bunga DPS</t>
  </si>
  <si>
    <t>PT Pratama Energy Mandiri (PEM - Galuh)</t>
  </si>
  <si>
    <t>Pesona Alam Sejahtera (PAS) Magetan</t>
  </si>
  <si>
    <t>PAS (permata alam sejahtera) - WTP</t>
  </si>
  <si>
    <t>PEM</t>
  </si>
  <si>
    <t>D8</t>
  </si>
  <si>
    <t>MSI Media Signage Indonesia</t>
  </si>
  <si>
    <t>D9</t>
  </si>
  <si>
    <t>Asep Rusadi</t>
  </si>
  <si>
    <t>D10</t>
  </si>
  <si>
    <t>Zein / Pancuran Mas</t>
  </si>
  <si>
    <t>D11</t>
  </si>
  <si>
    <t>Pak Daud/Tambang sukabumi</t>
  </si>
  <si>
    <t>Untuk Penyajian diklasifikasikan ke lancar dan tidak lancar</t>
  </si>
  <si>
    <t>Lancar</t>
  </si>
  <si>
    <t>Tidak Lancar</t>
  </si>
  <si>
    <t xml:space="preserve">kategori tidak dilancarkan didasarkan pada persentasenya </t>
  </si>
  <si>
    <t>Penjelasan masing2 akun</t>
  </si>
  <si>
    <t>PT MULYA TARA MANDIRI - perusahaan swasta</t>
  </si>
  <si>
    <t xml:space="preserve"> Merupakan piutang sehubungan - investasi gas ke MTM (dana ditempatkan ke MTM) - di oktober baru akan dimulai pekerjaannya</t>
  </si>
  <si>
    <t>Perjanjian sesuai no 003/MTM/XII/2022 tgl 19 Desember 2022</t>
  </si>
  <si>
    <t>Pekerjaan : Compressed Natural Gas (CNG) / Proyek gas alam terkompressed</t>
  </si>
  <si>
    <t>Jangka waktu 9 bulan sejak dittd perjanjian ini</t>
  </si>
  <si>
    <t>Nilai investasi 35 Milyar dengan porsi 30% utk MTM dan 70% porsi IGA (sesuai pasal 5 dalam perjanjian) :</t>
  </si>
  <si>
    <t>Porsi yg di bebankan kepada PT MTM</t>
  </si>
  <si>
    <t>MEP</t>
  </si>
  <si>
    <t>42 M</t>
  </si>
  <si>
    <t>Porsi yg di bebankan kepada PT IGA</t>
  </si>
  <si>
    <t xml:space="preserve">KE </t>
  </si>
  <si>
    <t>IGA</t>
  </si>
  <si>
    <t>Mutasi dana yang sdh disetor oleh PT IGA adalah sbb :</t>
  </si>
  <si>
    <t>TANGGAL</t>
  </si>
  <si>
    <t>MUTASI</t>
  </si>
  <si>
    <t>AKUMULASI</t>
  </si>
  <si>
    <t>Mulya Tara Mandiri</t>
  </si>
  <si>
    <t>MANDIRI</t>
  </si>
  <si>
    <t>Pulau Bawean - jawa timur</t>
  </si>
  <si>
    <r>
      <rPr>
        <sz val="9"/>
        <rFont val="Arial"/>
        <charset val="134"/>
      </rPr>
      <t xml:space="preserve">Mulya Tara Mandiri - </t>
    </r>
    <r>
      <rPr>
        <sz val="9"/>
        <color rgb="FFFF0000"/>
        <rFont val="Arial"/>
        <charset val="134"/>
      </rPr>
      <t>BYR VENDOR BKN MTM</t>
    </r>
  </si>
  <si>
    <t>BNI Inerco</t>
  </si>
  <si>
    <t>Porsi Iga sesuai kontrak perjanjian no 003/MTM/XII/2022</t>
  </si>
  <si>
    <t>Over (under) nilai investasi</t>
  </si>
  <si>
    <t>Konklusi :</t>
  </si>
  <si>
    <t>dalam perjanjian transaksi ini lebih kepada perjanjian investasi bukan perjanjian utang piutang</t>
  </si>
  <si>
    <t>oleh karena itu disuggest trx ini akan dipindahkan ke investasi dg jurnal penyesuaian :</t>
  </si>
  <si>
    <t xml:space="preserve">D  Investasi PT MTM </t>
  </si>
  <si>
    <t>K       Piutang Lain2 - MTM</t>
  </si>
  <si>
    <t>GMT (Guna Mandiri Tekindo) Chusnul - vendor IGA sehubungan pekerjaan di DSP pekerjaan di bawean, GMT belum memberikan Faktur Pajak</t>
  </si>
  <si>
    <t>sesuai denga perjanjian SPK no 001/gmt/spk/iga-dir/III/17 tgl 20 maret 2017</t>
  </si>
  <si>
    <t>total pekerjaan 9,2 Milyar</t>
  </si>
  <si>
    <t>proyek ini sehubungan dengan DPS - dan sdh selesai di 2023</t>
  </si>
  <si>
    <t>ini dikompensasi ke utang DPS</t>
  </si>
  <si>
    <t>Pekerjaan buat batu kali (yg dibeli ke GMT berupa material sprt semen, material, dll)</t>
  </si>
  <si>
    <t xml:space="preserve">sebenarnya transaksi ke GMT adalah sehubungan dengan pembayaran utang kepada gmt karena gmt smp dg pelunasan tdk dapat mengeluarkan faktur pajak, </t>
  </si>
  <si>
    <t>maka oleh IGA dicatat/diakui sebagai piutang lain2 dulu dengan mekanisme dr thn2 sebelumnya adalah seperti CA (cash advance)</t>
  </si>
  <si>
    <t>jadi di thn 2022 oleh manajemen dioffset ke utang PT DPS (dharma pratama sejati)</t>
  </si>
  <si>
    <t xml:space="preserve">Piutang Ke DPS atas tagihan bunga yg IGA bayarkan kebank BNI atas pekerjaan pembangunan terminal gas di pulau bawean </t>
  </si>
  <si>
    <t xml:space="preserve">dimana proyek mendapat pinjaman dari bank BNI (bunga bank 12%) </t>
  </si>
  <si>
    <t>Pembuatan Jetty (ada hubungan dengan pekerjaan di PT GMT projek jety PJB bawean gresik)</t>
  </si>
  <si>
    <t>dthn 2020-2021 tagihan bunga mmg msh ada ttp dithn 2022 sdh dilunasi dengan skema tabung aset GTM yg dimiliki oleh PT DPS</t>
  </si>
  <si>
    <t>dan tabung tersebut dijual oleh IGA untuk melunasi tagihan yg tercatat di IGA dan telah dianggap lunas. Tidak ada perjanjian pelunasan hnya gentlemen agreement</t>
  </si>
  <si>
    <t>PEM (PT Pratama Energy Mandiri)</t>
  </si>
  <si>
    <t>Merupakan pembayaran untuk membayar utang PEM Ke PT Galuh</t>
  </si>
  <si>
    <t>PT Galuh menyewakan Head Truck ke PEM</t>
  </si>
  <si>
    <t>sdh dicocokkan ke PEM</t>
  </si>
  <si>
    <t>PT Permata Alam Sejahtera (PAS) adalah sehubungan dengan pinjaman pembangunan wtp dan sdh dikembalikan</t>
  </si>
  <si>
    <t>PAS (PT Pesona Alam Sentosa) nama brandnya tirto gumarang lokasi di kaki gunung lawu, own by mr bambang Prijambodo</t>
  </si>
  <si>
    <t>Penggunaan dananya adalah untuk operasional di tirto gumarang karena masih thp praoperasional smp saat ini masih belum sanggup dibayar</t>
  </si>
  <si>
    <t>Piutang lain-lain disajikan secara wajar dalam hal material atas transaksi yang tidak berhubungan dengan kategori piutang maka di reklas ke akun yang sesuai</t>
  </si>
  <si>
    <t>Audit Conclusion : Based on our audit procedure for this account, we conclude that the balance of Other Receivable are presented fairly with Etap</t>
  </si>
  <si>
    <t>Biaya dibayar dimuka (PREPAID EXPENSES)</t>
  </si>
  <si>
    <t>Deskripsi</t>
  </si>
  <si>
    <t>Masa</t>
  </si>
  <si>
    <t>jumlah</t>
  </si>
  <si>
    <t>Sewa rumah</t>
  </si>
  <si>
    <t>Sewa kantor</t>
  </si>
  <si>
    <t>Solar</t>
  </si>
  <si>
    <t xml:space="preserve">Client         : </t>
  </si>
  <si>
    <t xml:space="preserve">Matter        : </t>
  </si>
  <si>
    <t>Detil Piutang Lain-lain</t>
  </si>
  <si>
    <t>Tahun        :</t>
  </si>
  <si>
    <t>Kode        :</t>
  </si>
  <si>
    <t>Nama      :</t>
  </si>
  <si>
    <t>MTM</t>
  </si>
  <si>
    <t>No Proyek</t>
  </si>
  <si>
    <t>Compressed Natural Gas (CNG) / Proyek gas alam terkompressed</t>
  </si>
  <si>
    <t>Jto adalah akhir bulan september 2023, perusahaan sdh melakukan perpanjangan kerjasama smp tgl laporan.</t>
  </si>
  <si>
    <t>Nilai investasi 35 Milyar dengan porsi 30% utk MTM dan 70% porsi IGA :</t>
  </si>
  <si>
    <t>NO</t>
  </si>
  <si>
    <t>Bukti pengeluaran uang</t>
  </si>
  <si>
    <t>Nomor 6</t>
  </si>
  <si>
    <t>Tahun</t>
  </si>
  <si>
    <t>Nama</t>
  </si>
  <si>
    <t>PT GUNAMANDIRI TEKNIKON</t>
  </si>
  <si>
    <t>P 17 - 002 ESP STATION GAS PLTG SAMBERA</t>
  </si>
  <si>
    <t>Tanggal</t>
  </si>
  <si>
    <t>No. Voucher</t>
  </si>
  <si>
    <t>Akun</t>
  </si>
  <si>
    <t>MDRI-201704119</t>
  </si>
  <si>
    <t>Piutang Pihak 3 (Company) Lain Lain</t>
  </si>
  <si>
    <t>P17-002 DPS -ESP STATION GAS PLTG SAMBERA</t>
  </si>
  <si>
    <t>CA  MCM InhouseTrf  KE GUNAMANDIRI TEKNIKON</t>
  </si>
  <si>
    <t>MDRI-201705110</t>
  </si>
  <si>
    <t>CA Kasbon MCM InhouseTrf  KE GUNAMANDIRI TEKNIKON</t>
  </si>
  <si>
    <t>MDRI-201705118</t>
  </si>
  <si>
    <t>CA Kasbon  MCM InhouseTrf  KE GUNAMANDIRI TEKNIKON</t>
  </si>
  <si>
    <t>MDRI-201706013</t>
  </si>
  <si>
    <t>MDRI-201706120</t>
  </si>
  <si>
    <t>MDRI-201707110</t>
  </si>
  <si>
    <t>P16-002 DPS - CNG Marine Bawean #2</t>
  </si>
  <si>
    <t xml:space="preserve">KE SONNY SURYONO Tenaga Kerja Pak Chusnul CA ATM Dr Trf  S1AN1O79  /7955576998/ATM-PB MERUYUNG Akhirnya mandor kabur nanti dibuatkan debit note mengurangi tagihan </t>
  </si>
  <si>
    <t>MDRI-201707126</t>
  </si>
  <si>
    <t>MDRI-201708067</t>
  </si>
  <si>
    <t>MDRI-201709030</t>
  </si>
  <si>
    <t>MDRI-201710082</t>
  </si>
  <si>
    <t>MDRI-201710139</t>
  </si>
  <si>
    <t>MDRI-201711077</t>
  </si>
  <si>
    <t>MDRI-201711095</t>
  </si>
  <si>
    <t>MDRI-201711133</t>
  </si>
  <si>
    <t>MDRI-201797145</t>
  </si>
  <si>
    <t>MDRI-201802099</t>
  </si>
  <si>
    <t>Kasbon Railing Causw MCM InhouseTrf  KE GUNAMANDIRI TEKNIKON</t>
  </si>
  <si>
    <t>MDRI-201803064</t>
  </si>
  <si>
    <t>R17-004 PATLOG-20 40feet</t>
  </si>
  <si>
    <t>MDRI-201803110</t>
  </si>
  <si>
    <t>CA Kasbon   MCM InhouseTrf  KE GUNAMANDIRI TEKNIKON</t>
  </si>
  <si>
    <t>MDRI-201804119</t>
  </si>
  <si>
    <t>MDRI-201805040</t>
  </si>
  <si>
    <t>CA Kasbon    MCM InhouseTrf  KE GUNAMANDIRI TEKNIKON</t>
  </si>
  <si>
    <t>MDRI-201806017</t>
  </si>
  <si>
    <t>MDRI-201808075</t>
  </si>
  <si>
    <t>MDRI-201812105</t>
  </si>
  <si>
    <t>CA Kasbon KE GUNAMANDIRI TEKNIKON</t>
  </si>
  <si>
    <t xml:space="preserve">CA Kasbon </t>
  </si>
  <si>
    <t xml:space="preserve">CA Kasbon              </t>
  </si>
  <si>
    <t xml:space="preserve">CA Kasbon                </t>
  </si>
  <si>
    <t xml:space="preserve">CA Kasbon                   </t>
  </si>
  <si>
    <t xml:space="preserve">CA Kasbon                        </t>
  </si>
  <si>
    <t>Menurut Neraca</t>
  </si>
  <si>
    <t>No Bukti</t>
  </si>
  <si>
    <t>Nominal</t>
  </si>
  <si>
    <t>Dokumen di lihat</t>
  </si>
  <si>
    <t>Di rekening Mdr 778, ada</t>
  </si>
  <si>
    <t>Jumlh Vouch</t>
  </si>
  <si>
    <t>Nilai total</t>
  </si>
  <si>
    <t>% Vouching</t>
  </si>
  <si>
    <t>Sewa kantor Virtual</t>
  </si>
  <si>
    <t>E1</t>
  </si>
  <si>
    <t>Biaya dibayar dimuka ini sehubungan dengan sewa ruko dipasar pondok labu untuk virtual office (kebutuhan srt menyurat dan spplier juga customer)</t>
  </si>
  <si>
    <t>sewa dari Okt 2022 - okt 2023 nilai sewa Rp 18 jt/ thn ke PT Permata Niaga Prima</t>
  </si>
  <si>
    <t>sewa rumah krywn</t>
  </si>
  <si>
    <t xml:space="preserve"> Nov 2021-31 Dec 2022</t>
  </si>
  <si>
    <t xml:space="preserve"> Nov 2021-31 Dec 2020</t>
  </si>
  <si>
    <t>Biaya Sewa Include PPN</t>
  </si>
  <si>
    <t>Biaya (pembebanan 4 bulan )</t>
  </si>
  <si>
    <t>DPP sewa</t>
  </si>
  <si>
    <t>Sisa Biaya Dibyr dimuka</t>
  </si>
  <si>
    <t>PPN 11%</t>
  </si>
  <si>
    <t>Menurut Neraca/CALK</t>
  </si>
  <si>
    <t>Total Invoice</t>
  </si>
  <si>
    <t>PPH psl 4 (2)</t>
  </si>
  <si>
    <t>Yang Diterima</t>
  </si>
  <si>
    <t>Nilai DPP Sewa Dbyr Dimuka</t>
  </si>
  <si>
    <t>Biaya (pembebanan 2 bulan Nov dan Des) setiap tahun berikutnya</t>
  </si>
  <si>
    <t>Sisa Biaya Dibyar dimuka utk thn selajutnya</t>
  </si>
  <si>
    <t>pass</t>
  </si>
  <si>
    <t xml:space="preserve">tahun 2020 masih terdapat perbedaan nilai biaya divyr dimuka sebesar 4,8 jt, apakah ada kemungkinan pembayaran uang muka lainnya </t>
  </si>
  <si>
    <t>Audit Conclusion : Based on our audit procedure for this account, we conclude that the balance of prepaid Expenses are presented fairly with Etap</t>
  </si>
  <si>
    <t>Karyawan</t>
  </si>
  <si>
    <t>Jumlah Piutang Jk Pdk</t>
  </si>
  <si>
    <t>Affiliasi - jgk pjg</t>
  </si>
  <si>
    <t xml:space="preserve">Client : </t>
  </si>
  <si>
    <t xml:space="preserve">Matter : </t>
  </si>
  <si>
    <t>Prepaid Insurance and rent</t>
  </si>
  <si>
    <t>Tahun :</t>
  </si>
  <si>
    <t>Type</t>
  </si>
  <si>
    <t>No Polis</t>
  </si>
  <si>
    <t>START</t>
  </si>
  <si>
    <t>END</t>
  </si>
  <si>
    <t>TERM</t>
  </si>
  <si>
    <t>COST</t>
  </si>
  <si>
    <t>AMORTISASI</t>
  </si>
  <si>
    <t xml:space="preserve">Biaya </t>
  </si>
  <si>
    <t>BIAYA DIBAYAR</t>
  </si>
  <si>
    <t>SALDO</t>
  </si>
  <si>
    <t>Pertanggungan</t>
  </si>
  <si>
    <t>PERJANJIAN</t>
  </si>
  <si>
    <t>Premi</t>
  </si>
  <si>
    <t>PER/BULAN</t>
  </si>
  <si>
    <t>DIMUKA</t>
  </si>
  <si>
    <t>Buku (for audit)</t>
  </si>
  <si>
    <t>Agt mulai sept - Okt = 2 bulan</t>
  </si>
  <si>
    <t>Nov - Des</t>
  </si>
  <si>
    <t>Virtual Office</t>
  </si>
  <si>
    <t>Pass aje</t>
  </si>
  <si>
    <t>Property All Risk Insurance</t>
  </si>
  <si>
    <t>Asuransi</t>
  </si>
  <si>
    <t>0,1</t>
  </si>
  <si>
    <t>'a+b</t>
  </si>
  <si>
    <t>Amortisasi asuransi</t>
  </si>
  <si>
    <t>to D</t>
  </si>
  <si>
    <t>per book</t>
  </si>
  <si>
    <t>to 40-2</t>
  </si>
  <si>
    <t>GA - Vehicle Insurance</t>
  </si>
  <si>
    <t>GA - Property All Risk Insurance</t>
  </si>
  <si>
    <t>diff</t>
  </si>
  <si>
    <t>Note:</t>
  </si>
  <si>
    <t>E1 a</t>
  </si>
  <si>
    <t>Sesuai Perjanjian No1/PNP-KTPL/CSN/VIII/2017 tanggal 1 November 2017</t>
  </si>
  <si>
    <t>antara PT Permata Niaga Prima -diwakili eva catherine alamat jl rs famawati no 72 pondok labu jakarta selatan 12450</t>
  </si>
  <si>
    <t>satu kios blok 1/c - no 25</t>
  </si>
  <si>
    <t>luas 3mx3m. Perjanjian ini setiap tgl 1 November -31 Oktober setiap tahunnya</t>
  </si>
  <si>
    <t>Biaya 18 Juta sdh ppn dan deposit diawal sebesar 5,5 jt</t>
  </si>
  <si>
    <t>Bukti pengeluaran, bukti  setoran, surat pemberitahuan</t>
  </si>
  <si>
    <t>PDP - DPS Energi Sukses Pratama PT</t>
  </si>
  <si>
    <t>PDP - Patra Logistic PT</t>
  </si>
  <si>
    <t xml:space="preserve">PDP - Central Motor wheel Indonesia PT </t>
  </si>
  <si>
    <t>PDP - Graha Niaga Tata Utama PT</t>
  </si>
  <si>
    <t>PDP - Bass Oil Sukananta Limited</t>
  </si>
  <si>
    <t>PDP - CSTS Joint Operation</t>
  </si>
  <si>
    <t>PDP - Dharma Pratama Sejati PT</t>
  </si>
  <si>
    <t xml:space="preserve">PDP - Mitra Energi Buana PT </t>
  </si>
  <si>
    <t>PDP - Hotel Borobudur Jakarta PT</t>
  </si>
  <si>
    <t>PDP - Gagas Energi Indonesia PT</t>
  </si>
  <si>
    <t>PDP - Mcconnel Dowell</t>
  </si>
  <si>
    <t>PDP - Hotel Dharmawangsa PT</t>
  </si>
  <si>
    <t>PDP - Baharu Penta Kencana PT</t>
  </si>
  <si>
    <t>PDP - Pgas Telekomunikasi Nusantara PT</t>
  </si>
  <si>
    <t>PDP - Puri Darmawangsa Hotel PT</t>
  </si>
  <si>
    <t>PDP - Semen Lebak PT</t>
  </si>
  <si>
    <t>PDP - Gading Perkasa PT</t>
  </si>
  <si>
    <t xml:space="preserve">Pekerjaan dalam pelaksanaan ini adlah pekerjaan sehubungan dengan </t>
  </si>
  <si>
    <t>G1</t>
  </si>
  <si>
    <t xml:space="preserve">DPS Energi Sukses Pratama PT. </t>
  </si>
  <si>
    <t>G2</t>
  </si>
  <si>
    <t>G3</t>
  </si>
  <si>
    <t>G4</t>
  </si>
  <si>
    <t>Graha Niaga Tata Utama PT</t>
  </si>
  <si>
    <t>G5</t>
  </si>
  <si>
    <t>G6</t>
  </si>
  <si>
    <t>G7</t>
  </si>
  <si>
    <t>G8</t>
  </si>
  <si>
    <t>G9</t>
  </si>
  <si>
    <t>Hotel Borobudur Jakarta PT</t>
  </si>
  <si>
    <t>G10</t>
  </si>
  <si>
    <t>Gagas Energi Indonesia PT</t>
  </si>
  <si>
    <t>G11</t>
  </si>
  <si>
    <t>MCCONNEL DOWELL</t>
  </si>
  <si>
    <t>G12</t>
  </si>
  <si>
    <t>Hotel Dharmawangsa PT</t>
  </si>
  <si>
    <t>G13</t>
  </si>
  <si>
    <t xml:space="preserve">Baharu Penta Kencana PT. </t>
  </si>
  <si>
    <t>utang ke DPS</t>
  </si>
  <si>
    <t>DPS ESP</t>
  </si>
  <si>
    <t>sisa offset</t>
  </si>
  <si>
    <t>Sesuai dengan kontrak seperti dbwh ini :</t>
  </si>
  <si>
    <t>A.  Pekerjaan dalam pelaksanaan ke PT DPS ESP "procuremen cosntruction fasilitas CNG gresik dan pulau bawean nomor 007/DPS-IGA/V/2016 tertanggal 30 Mei 2016</t>
  </si>
  <si>
    <t>B.  Surat Kesepakatan perjanjian procurement constructionFasilitas nomor 001/ MD-Bawean/II/2017</t>
  </si>
  <si>
    <t xml:space="preserve">     Hrga Pekerjaan sudah include PPN</t>
  </si>
  <si>
    <t xml:space="preserve">PPN </t>
  </si>
  <si>
    <t xml:space="preserve"> termasuk biaya dg sistem turn key</t>
  </si>
  <si>
    <t>Pekerjaan tambah pipa</t>
  </si>
  <si>
    <t>harga sesuai kontrak adalah sebesar Rp 26,3 Milyar</t>
  </si>
  <si>
    <t>Pekerjaan dimulai dari 2018 - lokasi proyek sambera kaltim pekerjaan membuat terminal gas</t>
  </si>
  <si>
    <t>casenya sama dg DPS, hanya PT DPS sdh pailit per 2023</t>
  </si>
  <si>
    <t>sedangkan DPS ESP perusahaannya masih dan sdh dijual ke PT RISCO</t>
  </si>
  <si>
    <t>CMWI</t>
  </si>
  <si>
    <t>pekerjaan kontraktor renovasi , CMWI (anak perusahaan yamaha)</t>
  </si>
  <si>
    <t>Audit Conclusion : Based on our audit procedure for this account, we conclude that the balance of Other assets are presented fairly with GAAP</t>
  </si>
  <si>
    <t>119100-004</t>
  </si>
  <si>
    <t>Prepaid Permitted</t>
  </si>
  <si>
    <t>Other Current Asset</t>
  </si>
  <si>
    <t>01 Jan 2018</t>
  </si>
  <si>
    <t>Journal Voucher</t>
  </si>
  <si>
    <t>AJE 17/12/150</t>
  </si>
  <si>
    <t>Mandiri Cek HA 814856 - Pembayaran Pinjaman Entertain PDAM</t>
  </si>
  <si>
    <t>Mandiri Cek HA 814855 - Umroh a/n Pak Hendri PDAM</t>
  </si>
  <si>
    <t>Cek HE 863757 - Biaya Perizinan Pemasangan Pipa JDU &amp; Penggunaan Lahan PJT, Peri</t>
  </si>
  <si>
    <t>PER Koordinasi Lingkungan Pek Penggalian (Ijin Jalan, Kep Desa &amp; Ormas)</t>
  </si>
  <si>
    <t>BDS CLEARING CIMB SYARIAH - Uang saku staff pemda umrah</t>
  </si>
  <si>
    <t>Penarikan Tunai Dari ATM (Pembayaran Koordinasi Kepala Desa)</t>
  </si>
  <si>
    <t>Biaya Perizinan PEMDA</t>
  </si>
  <si>
    <t>Detil WIP</t>
  </si>
  <si>
    <t>INV 016/IGA DPS ESP REETHAU BUMI SEMESTA
Transfer  DARI REETHAU BUMI SEMESTA</t>
  </si>
  <si>
    <t>Transfer  DARI DPS ENERGI SUKSES PRATAMA</t>
  </si>
  <si>
    <t>PINBUK Transfer  DARI DPS ENERGI SUKSES PRATAMA</t>
  </si>
  <si>
    <t>DPS ENERGI SUKSES P Transfer  DARI DPS ENERGI SUKSES PRATAMA</t>
  </si>
  <si>
    <t>PEMBAYARAN KONTRAKTOR PROYEK CNG  Inward RTGS  KPO MUAMALAT TOWER JL. MAMPANG PRAPPT. BANK MUAMALAT INDONESIA, TBK</t>
  </si>
  <si>
    <t>DPS ENERGI SUKSES Transfer  DARI DPS ENERGI SUKSES PRATAMA</t>
  </si>
  <si>
    <t>DPS ENERGI SUKSES P Overbooking  DARI DPS ENERGI SUKSES PRATAMA</t>
  </si>
  <si>
    <t>Jumlah WIP Akumulasi</t>
  </si>
  <si>
    <t>WIP DPS ESP by Neraca 2017</t>
  </si>
  <si>
    <t>Akumulasi WIP DPS ESP by Neraca Per 2018</t>
  </si>
  <si>
    <t>Investasi Puri Dharmawangsa Hotel - WTP</t>
  </si>
  <si>
    <t>H1</t>
  </si>
  <si>
    <t>Investasi PT Mitra Energi Buana - Kompressor Palembang</t>
  </si>
  <si>
    <t>H2</t>
  </si>
  <si>
    <t>Investasi PT Grahaniaga Tatautama - WTP</t>
  </si>
  <si>
    <t>Judgement partner akun ini dimasukkan kedalam aset lain2</t>
  </si>
  <si>
    <t>Akun ini sehubungan dengan pekerjaan yang dilakukan di customer atas jasa pembuatan Water treatment plant dan kompressor</t>
  </si>
  <si>
    <t>sesuai perjanjian kerjasama yang dilakukan diantaranya :</t>
  </si>
  <si>
    <t>WTP-Puri Dharmawangsa Hotel</t>
  </si>
  <si>
    <t>Kompressor - MEB Palembang</t>
  </si>
  <si>
    <t>WTP - Graha Niaga</t>
  </si>
  <si>
    <t>Saldo Awal Investasi</t>
  </si>
  <si>
    <t>Tambahan Investasi</t>
  </si>
  <si>
    <t>Laba/(rugi) Investasi</t>
  </si>
  <si>
    <t>Saldo Akhir Investasi</t>
  </si>
  <si>
    <t>Aje</t>
  </si>
  <si>
    <t>A. WTP-Puri Dharmawangsa Hotel</t>
  </si>
  <si>
    <t xml:space="preserve">     </t>
  </si>
  <si>
    <t xml:space="preserve">     investasi ini sehubungan dengan investasi dlm bentuk wtp di puri Darmawangsa hotel, tetapi WTP tersebut tidak digunakan lagi dikarenakan </t>
  </si>
  <si>
    <t>dua ini direklas menjadi piutang karena sisa dari nilai yg dicatta di buku MEP adalah sebesar 2 M lbh</t>
  </si>
  <si>
    <t xml:space="preserve">     PDH tdk dpt lagi membayar kontribusi bagi hasil yang telah disepakati karena kondisi rugi,</t>
  </si>
  <si>
    <t xml:space="preserve">    Investasi ini telah dimasukkan kedalam daftar aset tetap sejak 2018 </t>
  </si>
  <si>
    <t xml:space="preserve">    tetapi Wtpnya ada di lokasi kliennya tersebut dan berhenti kerjasama sejak, tahun 2021</t>
  </si>
  <si>
    <t xml:space="preserve">    alasan berhenti karena tamu hotel dan apartment sepi sehingga menyebabkan air bakunya menjadi berkurang</t>
  </si>
  <si>
    <t xml:space="preserve">    Alat Mesin, Filter, tangky, kecuali pipa tdk bisa diambil karena sdh di bayar</t>
  </si>
  <si>
    <t xml:space="preserve">    Sesuai Perjanjian Instalasi Pipe Line Distribusi WTP Hotel Dharmawangsa Nomor : 001/SP/IGA-HD/VIII/2017 Tanggal: 10 Agustus 2017</t>
  </si>
  <si>
    <t xml:space="preserve">    atas pemasangan pipa telah dibayarkan sebesar Rp 336.000.000,-</t>
  </si>
  <si>
    <t xml:space="preserve"> -  saat ini atas investasi ini dimasukkan kedalam kelompok aset tetap dan sdh disusutkan</t>
  </si>
  <si>
    <t xml:space="preserve">    Jadi penyesuaian itu dilakukan ke aset tetap</t>
  </si>
  <si>
    <t>Nilai investasi ditahun 2018</t>
  </si>
  <si>
    <t>Direklas ke aset tetap thn 2019 sebesar</t>
  </si>
  <si>
    <t xml:space="preserve">selisih lebih </t>
  </si>
  <si>
    <t>judgment auditor dimasukkan ke aset lain-lain (tdk ada income lagi dari puri dharmawangsanya) -</t>
  </si>
  <si>
    <t xml:space="preserve">maka dipertimbangkan untuk dimasukkan kedalam </t>
  </si>
  <si>
    <t>D.  Aset lainnya (tdk ada income lagi dari puri dharmawangsanya) -</t>
  </si>
  <si>
    <t>K.  Aset tetap ( Bangunan WTP)</t>
  </si>
  <si>
    <t>jurnal ini liat di aset tetap nya</t>
  </si>
  <si>
    <t>D.  Akumulasi Penyusutan (</t>
  </si>
  <si>
    <t>K.  Biy penyusutan - Bangunan WTP</t>
  </si>
  <si>
    <t>B. Kompressor - MEB Palembang Mitra Energi Buana</t>
  </si>
  <si>
    <t>MEB merupakan anak perusahaan MEP (mitra energi persada yang sdh tbk),</t>
  </si>
  <si>
    <t>Nilai tahun 2019</t>
  </si>
  <si>
    <t>Kompresor Kwangshin 1500 m3/h &amp; Dryer</t>
  </si>
  <si>
    <t>pembiayaannya melalui bni</t>
  </si>
  <si>
    <t>Instalation Cost - Compressor &amp; Dryer</t>
  </si>
  <si>
    <t>Instalation Cost - Mobilitation</t>
  </si>
  <si>
    <t>Mechanical &amp; Electrical - Material &amp; labor cost</t>
  </si>
  <si>
    <t>Mechanical &amp; Electrical - CNG Secondary Wiring Control Panel Boosting</t>
  </si>
  <si>
    <t>ME - Other Instrument</t>
  </si>
  <si>
    <t>PLN</t>
  </si>
  <si>
    <t xml:space="preserve">Piping </t>
  </si>
  <si>
    <t>Overhead - Team Lapangan</t>
  </si>
  <si>
    <t>Overhead - Bunga Bank &amp; Pihak Ke 3 Apr-Nov</t>
  </si>
  <si>
    <t>Overhead - Biaya Proses bank</t>
  </si>
  <si>
    <t>Overhead - Biaya Marketing</t>
  </si>
  <si>
    <t>Overhead - Kompensasi 8% HPP</t>
  </si>
  <si>
    <t>Tambahan overhead thn 2020</t>
  </si>
  <si>
    <t>Nilai Investasi tahun 2020</t>
  </si>
  <si>
    <t>ditahun 2022 atas invetsasi tersebut telah disesuaikan sehubungan dengan</t>
  </si>
  <si>
    <t>pembayaran cicilan pokok dan bunga yg dibyrkn oleh pihak MEB, dengan rincian sbb :</t>
  </si>
  <si>
    <t>a. Angsuran Cicilan Pokok utang dan bunga di tahun 2020</t>
  </si>
  <si>
    <t>b. Angsuran Cicilan Pokok utang dan bunga di tahun 2021</t>
  </si>
  <si>
    <t>c. Angsuran Cicilan Pokok utang dan bunga di tahun 2022</t>
  </si>
  <si>
    <t>Ajusted 22 atau 21 (dg pertimbgn 21 masih blm deal hrg negoisasi jualnya)</t>
  </si>
  <si>
    <t>pengakuan utang dari MEP tbk</t>
  </si>
  <si>
    <t>d. Pembayaran diluar kompresor</t>
  </si>
  <si>
    <t>Ajusted 22</t>
  </si>
  <si>
    <t>aset</t>
  </si>
  <si>
    <t>sdh dbyr</t>
  </si>
  <si>
    <t>krg byr</t>
  </si>
  <si>
    <t>Rincian pembayaran MEB</t>
  </si>
  <si>
    <t xml:space="preserve">             base on angsuran awal </t>
  </si>
  <si>
    <t>MEB - Kompresor (Investasi)</t>
  </si>
  <si>
    <t xml:space="preserve">saat penerimaan dana investasi ini </t>
  </si>
  <si>
    <t>D bank</t>
  </si>
  <si>
    <t>K utang lain2 MEB kompresor</t>
  </si>
  <si>
    <t xml:space="preserve">Penyesuaian dilakukan karena utang ke MEP sdh dikompesate oleh pengkuan dari pihk mEP </t>
  </si>
  <si>
    <t>Atas Investais alatnya</t>
  </si>
  <si>
    <t>Atas Investasi pembayaran bunga pokok dan bunga</t>
  </si>
  <si>
    <t>Utang Lain-lain MEB - Kompresor (Angs BNI)</t>
  </si>
  <si>
    <t>Investasi  - bunga thn 2020</t>
  </si>
  <si>
    <t>Investasi  - bunga thn 2021</t>
  </si>
  <si>
    <t>Investasi  - bunga thn 2022</t>
  </si>
  <si>
    <t>Audit Conclusion : Based on our audit procedure for this account, we conclude that the balance of shareholder loan are presented fairly with GAAP</t>
  </si>
  <si>
    <t>PT Intan Giri Abadi</t>
  </si>
  <si>
    <t>Investasi :</t>
  </si>
  <si>
    <t>Kompressor - MEB</t>
  </si>
  <si>
    <t>jurna</t>
  </si>
  <si>
    <t xml:space="preserve">investasi ini sehubungan dengan investasi dlm bentuk wtp di puri Darmawangsa hotel </t>
  </si>
  <si>
    <t xml:space="preserve">tetapi PDH ddi thn …  tidak lagi memakai WTP tersebut dikarenakan PDH tdk dpt lagi membayar kontribusi bagi hasil </t>
  </si>
  <si>
    <t>kontrak 6 tahun</t>
  </si>
  <si>
    <t>perjanjian kerjasama pengelolaan air dengan nomor : 396/SP/IGA-GNTU/DIR/IX/2019, tggl 9 September 2019</t>
  </si>
  <si>
    <t>perjanjian BOT WWTP pembuatan dan menyediakan air baku minimal 120 M3 /hari untuk diolah dalam WWTP menjadi air bersih.</t>
  </si>
  <si>
    <t>jangka waktu 6 tahun terhitung sejak tanggal dimulainya yaitu pada saat disalurkan air bersih pertama ke storage pihak GNTU.</t>
  </si>
  <si>
    <t>dari pemakaian air sbsr Rp 15 JUTA</t>
  </si>
  <si>
    <t>investasi</t>
  </si>
  <si>
    <t>Cost/bln</t>
  </si>
  <si>
    <t>sales/bln</t>
  </si>
  <si>
    <t>Margin/bln</t>
  </si>
  <si>
    <t>Margin/thn</t>
  </si>
  <si>
    <t>Investasi/thn</t>
  </si>
  <si>
    <t>Pengurangan</t>
  </si>
  <si>
    <t>Penerimaan dari Investasi</t>
  </si>
  <si>
    <t>kas</t>
  </si>
  <si>
    <t>Penjualan ke GNTU</t>
  </si>
  <si>
    <t>Other Cost</t>
  </si>
  <si>
    <t>MARGIN</t>
  </si>
  <si>
    <t>Perhitungan jual beli kompresor kepada MEB</t>
  </si>
  <si>
    <t>Penawaran dari IGA</t>
  </si>
  <si>
    <t>Utang PT MEP di lap Keu audited 22</t>
  </si>
  <si>
    <t>Nilai Yang Diakui Oleh MEP</t>
  </si>
  <si>
    <t>Nilai Utang ke MEP tercatat pada buku IGA :</t>
  </si>
  <si>
    <t>Total Utang</t>
  </si>
  <si>
    <t>yg sdh dibayar oleh MEP</t>
  </si>
  <si>
    <t>Nilai Kumulatif</t>
  </si>
  <si>
    <t>Thn</t>
  </si>
  <si>
    <t>per 2020</t>
  </si>
  <si>
    <t>per 2021</t>
  </si>
  <si>
    <t>per 2022</t>
  </si>
  <si>
    <t>Jumlah yang dbyr</t>
  </si>
  <si>
    <t>Nilai tecatat utang di Lap audit MEP sebesar</t>
  </si>
  <si>
    <t>Nilai Investasi tercatat buku di IGA</t>
  </si>
  <si>
    <t>thn 2019</t>
  </si>
  <si>
    <t>thn 2022 *)</t>
  </si>
  <si>
    <t>*) direklas ke Piutang Lain-lain</t>
  </si>
  <si>
    <t>rekomendasi penyesuaian</t>
  </si>
  <si>
    <t>Kerugian investasi</t>
  </si>
  <si>
    <t>jurnal awal</t>
  </si>
  <si>
    <t>k</t>
  </si>
  <si>
    <t>utang lain2</t>
  </si>
  <si>
    <t>Aset Tidak Lancar Lainnya</t>
  </si>
  <si>
    <t xml:space="preserve">Uob </t>
  </si>
  <si>
    <t>Tube skid/DPS</t>
  </si>
  <si>
    <t>PT Pesona Alam Sentosa (PAS) Magetan</t>
  </si>
  <si>
    <t>Aset Lain-lain - BOT-WTP Dharmawangsa</t>
  </si>
  <si>
    <t>Dikurangi Utang Ke Pemegang Saham</t>
  </si>
  <si>
    <t>HUTANG KE BPRS (A/N AGUS DJARWOKO)</t>
  </si>
  <si>
    <t>HUTANG KE BPRS (A/N Suherman Jaminan Tanah Batam)</t>
  </si>
  <si>
    <t>HUTANG KE BPRS (A/N Bambang (BPKB Pajero Yundai Ranger yus, Livina Guna)</t>
  </si>
  <si>
    <t>HUTANG KE BPRS (ANGGUNAN TANAH BATAM)</t>
  </si>
  <si>
    <t>Amortisasi - Aset BOT dharmawangsa</t>
  </si>
  <si>
    <t>Merupakan utang piutang kepada pemegang saham</t>
  </si>
  <si>
    <t xml:space="preserve">utang ke BPRS (bank perkreditan rakyat syariah)  - sesuai Offering Letter nomor </t>
  </si>
  <si>
    <t>modal kerja pokok dibayar nnt</t>
  </si>
  <si>
    <t xml:space="preserve">Aset wtp adalah reklas dari aset tetap (karena aset berada dilokasi klien ) </t>
  </si>
  <si>
    <t>Akumulasi penyusutan menjadi akumulasi amortisasi (agar tdk mengganggu saldo tahun lalu)</t>
  </si>
  <si>
    <t>Matter        Imbalan Paska Kerja</t>
  </si>
  <si>
    <t>Imbalan Pasca Kerja</t>
  </si>
  <si>
    <t>Perhitungan Imbalan Kerja</t>
  </si>
  <si>
    <t>Estimasi Perkiraan</t>
  </si>
  <si>
    <t>Beban Gaji karyawan</t>
  </si>
  <si>
    <t xml:space="preserve">% estimasi </t>
  </si>
  <si>
    <t>Audit Conclusion : Based on our audit procedure for this account, we conclude that the balance of prepaid tax are presented fairly with GAAP</t>
  </si>
  <si>
    <t>Fiscal Fixed Asset Type</t>
  </si>
  <si>
    <t xml:space="preserve">Fiscal Fixed Asset Type </t>
  </si>
  <si>
    <t>Depreciation Method</t>
  </si>
  <si>
    <t>Estimated Life</t>
  </si>
  <si>
    <t>Fiscal Rate</t>
  </si>
  <si>
    <t>Land</t>
  </si>
  <si>
    <t>Non Depreciable</t>
  </si>
  <si>
    <t>0 Yr</t>
  </si>
  <si>
    <t>Building</t>
  </si>
  <si>
    <t>Straight Line Method</t>
  </si>
  <si>
    <t>20 Yr</t>
  </si>
  <si>
    <t>Office Equipment</t>
  </si>
  <si>
    <t>2 Yr</t>
  </si>
  <si>
    <t>Vehicle</t>
  </si>
  <si>
    <t>4 Yr</t>
  </si>
  <si>
    <t>Furniture</t>
  </si>
  <si>
    <t>PAL Medis</t>
  </si>
  <si>
    <t>PAL Non Medis</t>
  </si>
  <si>
    <t xml:space="preserve">Matter   </t>
  </si>
  <si>
    <t>Fixed Asset</t>
  </si>
  <si>
    <t>Masa manfaat</t>
  </si>
  <si>
    <t>PAJE/PRJE</t>
  </si>
  <si>
    <t>(tahun)</t>
  </si>
  <si>
    <t>Adj</t>
  </si>
  <si>
    <t>HARGA PEROLEHAN</t>
  </si>
  <si>
    <t>UV1</t>
  </si>
  <si>
    <t>UV2</t>
  </si>
  <si>
    <t>UV3</t>
  </si>
  <si>
    <t>UV4</t>
  </si>
  <si>
    <t>UV5</t>
  </si>
  <si>
    <t xml:space="preserve">Perlengkapan </t>
  </si>
  <si>
    <t>UV6</t>
  </si>
  <si>
    <t>Aktiva Tetap - Tax Amnesty</t>
  </si>
  <si>
    <t>UV7</t>
  </si>
  <si>
    <t>JUMLAH HARGA PEROLEHAN</t>
  </si>
  <si>
    <t>AKUMULASI PENYUSUTAN</t>
  </si>
  <si>
    <t>Akumulasi Penyusutan Bangunan</t>
  </si>
  <si>
    <t>Akumulasi Penyusutan Kendaraan</t>
  </si>
  <si>
    <t>Akumulasi Penyusutan Peralatan Proyek</t>
  </si>
  <si>
    <t>Akumulasi Penyusutan Peralatan Kantor</t>
  </si>
  <si>
    <t>Akumulasi Penyusutan Perlengkapan</t>
  </si>
  <si>
    <t>JUMLAH AKUMULASI PENYUSUTAN</t>
  </si>
  <si>
    <t>NILAI BUKU</t>
  </si>
  <si>
    <t>Saldo menurut Neraca</t>
  </si>
  <si>
    <t>sumberdaftar aset tetap pt Inan giri</t>
  </si>
  <si>
    <t>versi daftar aset</t>
  </si>
  <si>
    <t>versi LK</t>
  </si>
  <si>
    <t xml:space="preserve">harga perolehan </t>
  </si>
  <si>
    <t>Akm Peny</t>
  </si>
  <si>
    <t>Neraca'</t>
  </si>
  <si>
    <t>atas beda nilai akumulasi penyusutan thn 2021 diusulkan dilakukan penyesuaian</t>
  </si>
  <si>
    <t>beban lain2</t>
  </si>
  <si>
    <t>Akumulasi Penyusutan</t>
  </si>
  <si>
    <t>Audit Conclusion : Based on our audit procedure for this account, we conclude that the balance of Fixed assets are presented fairly with Etap</t>
  </si>
  <si>
    <t>15 thn</t>
  </si>
  <si>
    <t>penyusutan perbulan</t>
  </si>
  <si>
    <t>16 th</t>
  </si>
  <si>
    <t>WTP 1</t>
  </si>
  <si>
    <t>WTP 2</t>
  </si>
  <si>
    <t>Inventaris  Kantor</t>
  </si>
  <si>
    <t>Peny 15 thn</t>
  </si>
  <si>
    <t>Peny 16 thn</t>
  </si>
  <si>
    <t>sdh disusutkan 4 bulan</t>
  </si>
  <si>
    <t>AJE</t>
  </si>
  <si>
    <t>Akumulasi penyusutan WTP</t>
  </si>
  <si>
    <t>ke F4</t>
  </si>
  <si>
    <t>COGS - Penyusutan WTP</t>
  </si>
  <si>
    <t xml:space="preserve">Matter          </t>
  </si>
  <si>
    <t>PREDICTIVE/RECALCULATION TESTING DEP AND NBV</t>
  </si>
  <si>
    <t>Jenis Barang</t>
  </si>
  <si>
    <t>Shm</t>
  </si>
  <si>
    <t>Umur</t>
  </si>
  <si>
    <t>Harga Perolehan</t>
  </si>
  <si>
    <t>Mutasi Tambah</t>
  </si>
  <si>
    <t>Akumulasi</t>
  </si>
  <si>
    <t>Dep</t>
  </si>
  <si>
    <t>Nilai tercatat</t>
  </si>
  <si>
    <t>Test Penyusutan</t>
  </si>
  <si>
    <t>Jumlah Bulan s/d</t>
  </si>
  <si>
    <t>Perolehan</t>
  </si>
  <si>
    <t>Bln</t>
  </si>
  <si>
    <t>Awal 2022</t>
  </si>
  <si>
    <t>Kurang</t>
  </si>
  <si>
    <t>Akhir 2022</t>
  </si>
  <si>
    <t>Depresiasi 22</t>
  </si>
  <si>
    <t>Dep. / bulan</t>
  </si>
  <si>
    <t>Dep. 2018</t>
  </si>
  <si>
    <t>Selisih</t>
  </si>
  <si>
    <t>depresiasi</t>
  </si>
  <si>
    <t>Tnah</t>
  </si>
  <si>
    <t>x`</t>
  </si>
  <si>
    <t>Tanah 488 M2 Jl Marga Satwa 119</t>
  </si>
  <si>
    <t>**)</t>
  </si>
  <si>
    <t>Tanah 5.372 M2 Jl Samudra, Bulokerto, Magetan</t>
  </si>
  <si>
    <t>v</t>
  </si>
  <si>
    <t>sumber daftar aset tetap -  tanah PT Inan Giri Abadi</t>
  </si>
  <si>
    <t>Saldo buku</t>
  </si>
  <si>
    <t>Bukti Kepemilikan tanah No 1</t>
  </si>
  <si>
    <t>SHM no 1749  letak tanah RT 010 RW 002 jl Margasatwa di desa pondok labu,</t>
  </si>
  <si>
    <t>terbit tgl 15 Jul 1998</t>
  </si>
  <si>
    <r>
      <rPr>
        <sz val="9"/>
        <rFont val="Arial"/>
        <charset val="134"/>
      </rPr>
      <t>Luas = 204 M</t>
    </r>
    <r>
      <rPr>
        <vertAlign val="superscript"/>
        <sz val="9"/>
        <rFont val="Arial"/>
        <charset val="134"/>
      </rPr>
      <t>2</t>
    </r>
    <r>
      <rPr>
        <sz val="9"/>
        <rFont val="Arial"/>
        <charset val="134"/>
      </rPr>
      <t>, dibeli tgl 2 Sept 2016, Nama Pemilik Bambang Prijambodo</t>
    </r>
  </si>
  <si>
    <t xml:space="preserve">Saat ini dijaminkan ke bank Panin </t>
  </si>
  <si>
    <t>SHM no 3520 letak tanah RT 010 RW 002 jl Margasatwa di desa pondok labu,</t>
  </si>
  <si>
    <t>, terbit tgl 27 Nov 1999</t>
  </si>
  <si>
    <r>
      <rPr>
        <sz val="9"/>
        <rFont val="Arial"/>
        <charset val="134"/>
      </rPr>
      <t>Luas = 59 M</t>
    </r>
    <r>
      <rPr>
        <vertAlign val="superscript"/>
        <sz val="9"/>
        <rFont val="Arial"/>
        <charset val="134"/>
      </rPr>
      <t>2</t>
    </r>
  </si>
  <si>
    <t>SHM no 3521 letak tanah RT 010 RW 002 jl Margasatwa di desa pondok labu</t>
  </si>
  <si>
    <r>
      <rPr>
        <sz val="9"/>
        <rFont val="Arial"/>
        <charset val="134"/>
      </rPr>
      <t>Luas = 225 M</t>
    </r>
    <r>
      <rPr>
        <vertAlign val="superscript"/>
        <sz val="9"/>
        <rFont val="Arial"/>
        <charset val="134"/>
      </rPr>
      <t>2</t>
    </r>
  </si>
  <si>
    <t>Luas tanah keseluruhan</t>
  </si>
  <si>
    <t>aset atas nama pak bambang prijambodo</t>
  </si>
  <si>
    <r>
      <rPr>
        <sz val="10"/>
        <rFont val="Arial"/>
        <charset val="134"/>
      </rPr>
      <t>atas tanah ini dijaminkan ke bank panin, sesuai OL no 249/JCI/EXT/18 tgl 115 Nov 2018 (</t>
    </r>
    <r>
      <rPr>
        <sz val="10"/>
        <color rgb="FFFF0000"/>
        <rFont val="Arial"/>
        <charset val="134"/>
      </rPr>
      <t>lihat WP AA2</t>
    </r>
    <r>
      <rPr>
        <sz val="10"/>
        <rFont val="Arial"/>
        <charset val="134"/>
      </rPr>
      <t>)</t>
    </r>
  </si>
  <si>
    <t>Bukti Kepemilikan tanah No 2</t>
  </si>
  <si>
    <t>M2</t>
  </si>
  <si>
    <t>SHM No 603, letak tanah bulukerto, Magetan, Jawa Timur</t>
  </si>
  <si>
    <r>
      <rPr>
        <sz val="9"/>
        <rFont val="Arial"/>
        <charset val="134"/>
      </rPr>
      <t>Luas 5.372 M</t>
    </r>
    <r>
      <rPr>
        <vertAlign val="superscript"/>
        <sz val="9"/>
        <rFont val="Arial"/>
        <charset val="134"/>
      </rPr>
      <t>2</t>
    </r>
    <r>
      <rPr>
        <sz val="9"/>
        <rFont val="Arial"/>
        <charset val="134"/>
      </rPr>
      <t>,  dibeli tgl 8 Mar 2019 oleh PPAT Heri purwanto SH Mkn</t>
    </r>
  </si>
  <si>
    <t>tanah ini dijadikan jaminan untuk pinjaman ke Bank BRI sebesar Rp 5 Milyar</t>
  </si>
  <si>
    <t>Unit</t>
  </si>
  <si>
    <t>+/-</t>
  </si>
  <si>
    <t>Dep. 2019</t>
  </si>
  <si>
    <t>Bangunan 300 M2 Jl Marga Satwa 119</t>
  </si>
  <si>
    <t>Cinere Resort Apartemen</t>
  </si>
  <si>
    <t>BOT-WTP Dharmawangsa</t>
  </si>
  <si>
    <t>Renovasi Bangunan 300 M2 Jl Marga Satwa 119</t>
  </si>
  <si>
    <t>Renovasi Cinere Resort Apartemen</t>
  </si>
  <si>
    <t>Bangunan 156,5 M2 Jl Samudra, Bulokerto, Magetan</t>
  </si>
  <si>
    <t>Renovasi Bangunan 156,5 M2 Jl Samudra, Bulokerto, Magetan</t>
  </si>
  <si>
    <t>sumber daftar aset tetap -  Bangunan PT Inan Giri Abadi</t>
  </si>
  <si>
    <t>Menurut Kertas kerja</t>
  </si>
  <si>
    <t>untuk kepentingan pelaporan by colour digabungkan</t>
  </si>
  <si>
    <t>Nilai 2021</t>
  </si>
  <si>
    <t>Mutasi</t>
  </si>
  <si>
    <t>Nilai 2022</t>
  </si>
  <si>
    <t>Akm Peny 2021</t>
  </si>
  <si>
    <t>Dep 2022</t>
  </si>
  <si>
    <t>Akm Peny 2022</t>
  </si>
  <si>
    <t>Bangunan Kantor di Pondok Labu</t>
  </si>
  <si>
    <t>Apartemen Cinere</t>
  </si>
  <si>
    <t>Bangunan Renovasi di Magetan</t>
  </si>
  <si>
    <t>Untuk bangunan WTP akan direklas ke akun aset lain-lain karena lokasi aset berada di tmp customer / klien yang pembuatannya digunakan utk dapat menghasilkan usaha</t>
  </si>
  <si>
    <t>&gt;&gt;&gt;&gt;&gt;&gt;&gt;</t>
  </si>
  <si>
    <t>bukti lunas apartemen cinere</t>
  </si>
  <si>
    <t>Nilai pelunasan sesuai kwitansi tgl 31 Okt 2022</t>
  </si>
  <si>
    <t>nilai tercatat di pos aset tetap</t>
  </si>
  <si>
    <t>beda nilai</t>
  </si>
  <si>
    <t>Note</t>
  </si>
  <si>
    <t xml:space="preserve">renovasi bangunan dikerjakan sendiri oleh perusahaan </t>
  </si>
  <si>
    <t xml:space="preserve">Cinere resort apartemen digunakan untuk komisaris </t>
  </si>
  <si>
    <t>Merupakan WTP yang dipasang di hotel dan arptmn dharmangsa sesuai SPK no</t>
  </si>
  <si>
    <t>DEPRECIATION EXPENSE</t>
  </si>
  <si>
    <t>Per books</t>
  </si>
  <si>
    <t>FOH</t>
  </si>
  <si>
    <t>Selling</t>
  </si>
  <si>
    <t>30</t>
  </si>
  <si>
    <t>G &amp; A</t>
  </si>
  <si>
    <t>40</t>
  </si>
  <si>
    <t>Per schedule</t>
  </si>
  <si>
    <t>Differences</t>
  </si>
  <si>
    <t>erik</t>
  </si>
  <si>
    <t>Yusuf</t>
  </si>
  <si>
    <t>Dep 21</t>
  </si>
  <si>
    <t xml:space="preserve"> Motor Jupiter MX 2010</t>
  </si>
  <si>
    <t>Toyota Rush B 727 ABU</t>
  </si>
  <si>
    <t xml:space="preserve">Mobil X Trail B 8521 KOS </t>
  </si>
  <si>
    <t>Motor YAMAHA NEW Vicsion</t>
  </si>
  <si>
    <t>Ranger B 9061 PBC</t>
  </si>
  <si>
    <t>motor Aerox ABS 2017 ( Pak Edy )</t>
  </si>
  <si>
    <t>BMW X1Sdrive 1,8 AT CKD 2012</t>
  </si>
  <si>
    <t>Mobil Hyundai H1</t>
  </si>
  <si>
    <t>Innova 2.0 G A/T</t>
  </si>
  <si>
    <t>Innova 2.4 G A/T</t>
  </si>
  <si>
    <t>Nissan Tera 2.5 (4x2)VL 2018</t>
  </si>
  <si>
    <t>Daihatsu Sigra 1,2 R M/T</t>
  </si>
  <si>
    <t>Nissan Tera 2.5 BP (4x2)VL 2018</t>
  </si>
  <si>
    <t>sumber daftar aset tetap -  Kendaraan PT Inan Giri Abadi</t>
  </si>
  <si>
    <t>koreksi saldo awal</t>
  </si>
  <si>
    <t>Fisik</t>
  </si>
  <si>
    <t>Motor Jupiter mx dipakai oleh driver</t>
  </si>
  <si>
    <t>kondisi hilang/ kejadian di 2023</t>
  </si>
  <si>
    <t>Mobil x trail dipakai oleh manager</t>
  </si>
  <si>
    <t>dijual di 2023</t>
  </si>
  <si>
    <t>Yamaha vixion dipakai marketing</t>
  </si>
  <si>
    <t>Ranger dipakai oleh manager projetc</t>
  </si>
  <si>
    <t>digunakan ops di surabaya, disekolahin leasing BFI</t>
  </si>
  <si>
    <t>Aerox dipakai pa edy spv wtp</t>
  </si>
  <si>
    <t xml:space="preserve">ada, dileasing ke </t>
  </si>
  <si>
    <t>dijual di per juli 2023</t>
  </si>
  <si>
    <t>dipakai dimagetan, dileasing ke BFI</t>
  </si>
  <si>
    <t>dijual di per september 2023</t>
  </si>
  <si>
    <t xml:space="preserve">note </t>
  </si>
  <si>
    <t>Merk</t>
  </si>
  <si>
    <t>fortuner warna hitam</t>
  </si>
  <si>
    <t>fortuner warna putih</t>
  </si>
  <si>
    <t>Total harga</t>
  </si>
  <si>
    <t>thn</t>
  </si>
  <si>
    <t>harga barang</t>
  </si>
  <si>
    <t>uang muka</t>
  </si>
  <si>
    <t>mnrt kontrak</t>
  </si>
  <si>
    <t xml:space="preserve">DP tgl </t>
  </si>
  <si>
    <t>nilai pembiayaan (sisa utang)</t>
  </si>
  <si>
    <t>lama ciclan</t>
  </si>
  <si>
    <t>bln</t>
  </si>
  <si>
    <t>angsuran</t>
  </si>
  <si>
    <t>angsuran pertama</t>
  </si>
  <si>
    <t>F itam</t>
  </si>
  <si>
    <t>Putih</t>
  </si>
  <si>
    <t>Angsuran realnya</t>
  </si>
  <si>
    <t>yg baru dibyar nop dan des</t>
  </si>
  <si>
    <t>cicilan pertama sudah dibyr saat dp</t>
  </si>
  <si>
    <t>sisa utang 2019</t>
  </si>
  <si>
    <t>sisa utang 2020</t>
  </si>
  <si>
    <t>sisa utang 2021</t>
  </si>
  <si>
    <t>sisa utang jg pendek</t>
  </si>
  <si>
    <t>sisa utang jg pjg</t>
  </si>
  <si>
    <t>biaya 2</t>
  </si>
  <si>
    <t>administrasi</t>
  </si>
  <si>
    <t xml:space="preserve">penagihan </t>
  </si>
  <si>
    <t>penerbitan skt</t>
  </si>
  <si>
    <t>notaris</t>
  </si>
  <si>
    <t>fidusia</t>
  </si>
  <si>
    <t>asuransi</t>
  </si>
  <si>
    <t>GTM 20 feet @ USD 100.000</t>
  </si>
  <si>
    <t>GTM 40 feet @ USD 115.000</t>
  </si>
  <si>
    <t>Ranger B 9060 PBC</t>
  </si>
  <si>
    <t>Ford Ranger</t>
  </si>
  <si>
    <t>Hino Ranger FG Hijau tua 20 Feet</t>
  </si>
  <si>
    <t>Hino Dutro</t>
  </si>
  <si>
    <t>HINO Tractor Head</t>
  </si>
  <si>
    <t>GPS 3 Armada</t>
  </si>
  <si>
    <t>HT Merk Baofeng Scom UV92 Pro 7 Watt,</t>
  </si>
  <si>
    <t>Peralatan Safety Graha Niaga</t>
  </si>
  <si>
    <t>Peralatan Safety Sari Pan Pasific</t>
  </si>
  <si>
    <t>Hino Ranger 9505</t>
  </si>
  <si>
    <t>*)*</t>
  </si>
  <si>
    <t>Hino Ranger 9507</t>
  </si>
  <si>
    <t>sumber daftar aset tetap -  PAL Proyek PT Inan Giri Abadi</t>
  </si>
  <si>
    <t>bukti kepemilikan asli ada dibank, karena dijaminkan ke BNI sbg 2 Unit</t>
  </si>
  <si>
    <t>bukti kepemilikan asli ada dibank, karena dijaminkan ke BNI sbg 4 Unit</t>
  </si>
  <si>
    <t>BPKB di leasing BFI</t>
  </si>
  <si>
    <t>BPKB di leasing Mitsui</t>
  </si>
  <si>
    <t>beli 2018</t>
  </si>
  <si>
    <t xml:space="preserve">beli ke MTF (mandiri tunas finance) </t>
  </si>
  <si>
    <t>beli ke MTF (mandiri tunas finance)</t>
  </si>
  <si>
    <t>Kendaraan baru leasing ke MTF</t>
  </si>
  <si>
    <t xml:space="preserve">roughly calculation tes </t>
  </si>
  <si>
    <t>Hrg OTR</t>
  </si>
  <si>
    <t xml:space="preserve">Hrg aset leasing </t>
  </si>
  <si>
    <t>Bunga Ditangguhkan</t>
  </si>
  <si>
    <r>
      <rPr>
        <sz val="9"/>
        <rFont val="Arial"/>
        <charset val="134"/>
      </rPr>
      <t>Perhitungan cicilan dan bunga (</t>
    </r>
    <r>
      <rPr>
        <sz val="9"/>
        <color rgb="FFFF0000"/>
        <rFont val="Arial"/>
        <charset val="134"/>
      </rPr>
      <t>sumber kertas kerja leasing</t>
    </r>
    <r>
      <rPr>
        <sz val="9"/>
        <rFont val="Arial"/>
        <charset val="134"/>
      </rPr>
      <t>)</t>
    </r>
  </si>
  <si>
    <t>DP (tanpa DP)</t>
  </si>
  <si>
    <t>Cicilan perbulan (5 thn)</t>
  </si>
  <si>
    <t>Pokok</t>
  </si>
  <si>
    <t>Cicilan per tahun - thn 1</t>
  </si>
  <si>
    <t>Cicilan per tahun - thn 2</t>
  </si>
  <si>
    <t>Cicilan per tahun - thn 3</t>
  </si>
  <si>
    <t>Cicilan per tahun - thn 4</t>
  </si>
  <si>
    <t>Cicilan per tahun - thn 5</t>
  </si>
  <si>
    <t>Cicilan per tahun - thn 6</t>
  </si>
  <si>
    <t>jumlah yg dibayar - normal</t>
  </si>
  <si>
    <t>beda dg FA leasing</t>
  </si>
  <si>
    <t>hutang leasing menurut neraca per 2022</t>
  </si>
  <si>
    <t>saat pengakuan</t>
  </si>
  <si>
    <t>FA - HINO</t>
  </si>
  <si>
    <t>BUNGA DITANGGUHKAN</t>
  </si>
  <si>
    <t>HUTANG LEASING</t>
  </si>
  <si>
    <t>saat pembayaran</t>
  </si>
  <si>
    <t>UTANG LEASING</t>
  </si>
  <si>
    <t>BEBAN BUNGA</t>
  </si>
  <si>
    <t xml:space="preserve"> Dispenser Air</t>
  </si>
  <si>
    <t xml:space="preserve"> Komputer PC </t>
  </si>
  <si>
    <t xml:space="preserve"> Laptop </t>
  </si>
  <si>
    <t xml:space="preserve"> Lemari Kulkas</t>
  </si>
  <si>
    <t xml:space="preserve"> Printer </t>
  </si>
  <si>
    <t xml:space="preserve"> Mesin Fax+Telp </t>
  </si>
  <si>
    <t>Hardisk External 320 Gb</t>
  </si>
  <si>
    <t xml:space="preserve">AC Split </t>
  </si>
  <si>
    <t>Laptop Toshiba Pak BP</t>
  </si>
  <si>
    <t xml:space="preserve"> Counter Reception</t>
  </si>
  <si>
    <t xml:space="preserve"> Sofa Tunggu + Meja Tamu</t>
  </si>
  <si>
    <t xml:space="preserve"> Meja Meeting</t>
  </si>
  <si>
    <t xml:space="preserve"> Meja Kerja Direksi </t>
  </si>
  <si>
    <t xml:space="preserve"> Meja Kerja Staff </t>
  </si>
  <si>
    <t xml:space="preserve"> Kursi Kerja </t>
  </si>
  <si>
    <t xml:space="preserve"> Lemari White Board </t>
  </si>
  <si>
    <t xml:space="preserve"> Rak File </t>
  </si>
  <si>
    <t xml:space="preserve"> Panel Backdoop Logo Perusahaan</t>
  </si>
  <si>
    <t xml:space="preserve"> Rak Dibawah File </t>
  </si>
  <si>
    <t xml:space="preserve">TV </t>
  </si>
  <si>
    <t xml:space="preserve"> Infocus</t>
  </si>
  <si>
    <t xml:space="preserve"> Laptop ( Project CNG Plant )</t>
  </si>
  <si>
    <t xml:space="preserve"> AC Samsung Ruang Meeting + Installasi</t>
  </si>
  <si>
    <t xml:space="preserve"> AC AUX </t>
  </si>
  <si>
    <t xml:space="preserve"> Printer Brother DCPJ725DW</t>
  </si>
  <si>
    <t xml:space="preserve"> Air Cooler Portable ACE Hard Ware</t>
  </si>
  <si>
    <t>Printer Brother DCP J 725DW</t>
  </si>
  <si>
    <t>Kipas Angin Honeywell</t>
  </si>
  <si>
    <t>Mesin Telp dan fax</t>
  </si>
  <si>
    <t>Meja kerja biru Besar</t>
  </si>
  <si>
    <t>Meja kerja biru Kecil</t>
  </si>
  <si>
    <t>AC AUX 1/2 PK</t>
  </si>
  <si>
    <t>AC General 1/2 PK</t>
  </si>
  <si>
    <t>Printer Epson L355</t>
  </si>
  <si>
    <t>Lemari Besi Dua Pintu Informa</t>
  </si>
  <si>
    <t xml:space="preserve">Printer hp </t>
  </si>
  <si>
    <t>Asus Type X455 Lseries</t>
  </si>
  <si>
    <t>Laptop Asus P Sonny</t>
  </si>
  <si>
    <t>Laptop ASUS i3 + Bagas</t>
  </si>
  <si>
    <t>Lemari File - Informa</t>
  </si>
  <si>
    <t>Hardisk320Gb(PC-Ana)</t>
  </si>
  <si>
    <t>AC 1/2 PK Brand New Midea</t>
  </si>
  <si>
    <t xml:space="preserve"> Cooler Midea Portable</t>
  </si>
  <si>
    <t>Laptop Aspire E1 ( Ana Dwiarsih )</t>
  </si>
  <si>
    <t>Cooler Midea Portable 1</t>
  </si>
  <si>
    <t>Lukisan Kantor</t>
  </si>
  <si>
    <t xml:space="preserve"> TV SHARP LED AQUOS 32"</t>
  </si>
  <si>
    <t xml:space="preserve"> TV PHILIPS LED 32" 4100s</t>
  </si>
  <si>
    <t xml:space="preserve"> Breaket ( TV PHILIPS LED 32" 4100s + Krm )</t>
  </si>
  <si>
    <t>Breaket TV PHILIP 32                    
MCM InhouseTrf  KE SUHERMAN</t>
  </si>
  <si>
    <t xml:space="preserve">Laptop inven. Project Agus S             </t>
  </si>
  <si>
    <t>Mesin Cuci DEMPOO DW 0303/8907</t>
  </si>
  <si>
    <t>APAR 3 Kg</t>
  </si>
  <si>
    <t xml:space="preserve">AC Midea 1/2 + 1 PK                     </t>
  </si>
  <si>
    <t>AC AUX 2 PK NEW</t>
  </si>
  <si>
    <t xml:space="preserve">Wireles telp panasonic </t>
  </si>
  <si>
    <t>Patung ganesha</t>
  </si>
  <si>
    <t>Genset</t>
  </si>
  <si>
    <t>PURE IT MARVLA HOT</t>
  </si>
  <si>
    <t xml:space="preserve">40 perc CCTV 4 TTK </t>
  </si>
  <si>
    <t>Hardisk External 1tera</t>
  </si>
  <si>
    <t>PABX 8 ekt (Panasonic)</t>
  </si>
  <si>
    <t xml:space="preserve">Karpet Ruang Meeting </t>
  </si>
  <si>
    <t>Mesin Foto Copy Xerox</t>
  </si>
  <si>
    <t xml:space="preserve">Laptop Asus x441N Ci2 P.Sulaiman </t>
  </si>
  <si>
    <t xml:space="preserve">Server </t>
  </si>
  <si>
    <t xml:space="preserve">Accesories Server </t>
  </si>
  <si>
    <t>Accurate 5 2Licences</t>
  </si>
  <si>
    <t>Finger Print Offi</t>
  </si>
  <si>
    <t xml:space="preserve">Glasboard </t>
  </si>
  <si>
    <t>sepeda celnado</t>
  </si>
  <si>
    <t xml:space="preserve">MB ASUS Server Rakit </t>
  </si>
  <si>
    <t xml:space="preserve">Water Dispenser </t>
  </si>
  <si>
    <t>Accurate lisensi 4 User</t>
  </si>
  <si>
    <t>Kandang Burung Okos</t>
  </si>
  <si>
    <t>Gembok Lock to the Future Dolomite</t>
  </si>
  <si>
    <t>Stop Kontak Lantai Panasonic</t>
  </si>
  <si>
    <t>Laptop ACER A 514-51 G Aspire, Ana</t>
  </si>
  <si>
    <t>Printer Epson L3 150 -Marketing</t>
  </si>
  <si>
    <t>Lampu Sorot dan Lampu Taman</t>
  </si>
  <si>
    <t>AC Outdor AC Merk Daikin 2 PK</t>
  </si>
  <si>
    <t>CCTV 5 titik dan Jasa instalasi kantor</t>
  </si>
  <si>
    <t>sumber daftar aset tetap -  PAL Kantor PT Inan Giri Abadi</t>
  </si>
  <si>
    <t>catatn KAP</t>
  </si>
  <si>
    <t>untuk fisik peralatan kantor yang sdh tdk ada di hapusbukukan dari aset tetap</t>
  </si>
  <si>
    <t>dittd oleh pihak direksi</t>
  </si>
  <si>
    <t>Matter        Utang Pembiayaan Leasing</t>
  </si>
  <si>
    <t xml:space="preserve">Total utang pembiayaan </t>
  </si>
  <si>
    <t>Dikurangi</t>
  </si>
  <si>
    <t>Pembiayaan Leasing kepada ;</t>
  </si>
  <si>
    <t>Jumlah Utang Leasing</t>
  </si>
  <si>
    <t>Utang Jto 1 Thn/Jgk Pdk</t>
  </si>
  <si>
    <t>Utang Jto &gt; 1 Thn/Jgk Pjg</t>
  </si>
  <si>
    <t>PT Toyota Astra Financial Service - Innova 2.4 (Bass Oil)</t>
  </si>
  <si>
    <t>D:\Lain-lain\Audit\Final 2022\PT Intan Giri Abadi\Data 2022\0 Inhouse LK\unuse\[Lap Keu IGA Juni 2023 UDT 20231010 Audit.xls]GunaUsaha'!F60</t>
  </si>
  <si>
    <t>PT Toyota Astra Financial Service - Innova 2.0  (Bass Oil)</t>
  </si>
  <si>
    <t>IMFI PT Indomobil Finace Indonesia - Nissan Tera 2.5 (Bass Oil)</t>
  </si>
  <si>
    <t>Mandiri Utama Finance - SIGRA</t>
  </si>
  <si>
    <t>PT Shinhan Indofinance - Nissan Tera 2.5 (OP DIR)</t>
  </si>
  <si>
    <t>Inova 2,4 BassOil</t>
  </si>
  <si>
    <t>Inova 2,0 BassOil</t>
  </si>
  <si>
    <t>Nissan Tera 2.5 Bass Oil</t>
  </si>
  <si>
    <t>Sigra</t>
  </si>
  <si>
    <t>Nissan Tera 2.5 (OP DIR)</t>
  </si>
  <si>
    <t>LB Hino Ranger</t>
  </si>
  <si>
    <t>Hino Rabger</t>
  </si>
  <si>
    <t>Nmax</t>
  </si>
  <si>
    <t xml:space="preserve">Harga </t>
  </si>
  <si>
    <t>Uang Muka</t>
  </si>
  <si>
    <t>Nilai Pembiayaan (sisa utang)</t>
  </si>
  <si>
    <t>Cicilan/Angsuran</t>
  </si>
  <si>
    <t>Matter        Account Payables</t>
  </si>
  <si>
    <t>Utang Usaha</t>
  </si>
  <si>
    <t>Pihak Keitga - IDR</t>
  </si>
  <si>
    <t>Ridha Wira, CV</t>
  </si>
  <si>
    <t xml:space="preserve">Kirana Energi Bersama PT </t>
  </si>
  <si>
    <t>Kea Berkah Makmur PT</t>
  </si>
  <si>
    <t xml:space="preserve">Tomis Berkah Abadi, CV </t>
  </si>
  <si>
    <t>Wahyu Delta Pharma PT</t>
  </si>
  <si>
    <t>Profluid PT</t>
  </si>
  <si>
    <t xml:space="preserve">Schneider Indonesia PT </t>
  </si>
  <si>
    <t>Bawean Vendor Gabungan</t>
  </si>
  <si>
    <t>gabungan</t>
  </si>
  <si>
    <t>Guna Mandiri Teknikon PT</t>
  </si>
  <si>
    <t>Yudistira Karya Teknik PT</t>
  </si>
  <si>
    <t>Brenmark Energi Nusantara PT</t>
  </si>
  <si>
    <t>Perdana Gas Nusantara</t>
  </si>
  <si>
    <t>Lusi Tour Travel</t>
  </si>
  <si>
    <t>Biotech PT</t>
  </si>
  <si>
    <t>Chasana Global M</t>
  </si>
  <si>
    <t>Cipta Indah S PT</t>
  </si>
  <si>
    <t>Control System PT</t>
  </si>
  <si>
    <t>Daya Usaha Sentosa PT</t>
  </si>
  <si>
    <t>Gading Perkasa PT</t>
  </si>
  <si>
    <t>Galuh Protank</t>
  </si>
  <si>
    <t>Graha Adhi Jaya Abadi</t>
  </si>
  <si>
    <t>Grid Parama PT</t>
  </si>
  <si>
    <t>Hartono Energy Semesta PT</t>
  </si>
  <si>
    <t>Indospec Integrity Solusion PT</t>
  </si>
  <si>
    <t>Lingkar Gemilang PT</t>
  </si>
  <si>
    <t>Prima Tegar Utama PT</t>
  </si>
  <si>
    <t>Profilter Indonesia PT</t>
  </si>
  <si>
    <t>Sarana Artha Mulia PT</t>
  </si>
  <si>
    <t>Schneider Electric S</t>
  </si>
  <si>
    <t>Schneider Indonesia</t>
  </si>
  <si>
    <t>Seruni Surya mega Jaya</t>
  </si>
  <si>
    <t xml:space="preserve">Wasatech Engineering CV </t>
  </si>
  <si>
    <t>Yuriko CV.</t>
  </si>
  <si>
    <t>Jumlah Utang Usaha - Pihak Ketiga IDR</t>
  </si>
  <si>
    <t>Pihak Berelasi - IDR</t>
  </si>
  <si>
    <t>Jumlah Utang Usaha - Pihak Ketiga USD</t>
  </si>
  <si>
    <t>Sesuai dengan Saldo Buku Besar Periode 31 Desember 2018</t>
  </si>
  <si>
    <t>utk Kepentingan laporan</t>
  </si>
  <si>
    <t>Sanba Co Ltd</t>
  </si>
  <si>
    <t>Neturen Indonesia. PT</t>
  </si>
  <si>
    <t>Cikarang Listrindo. PT</t>
  </si>
  <si>
    <t>Iwasa Autoparts Nusantara. PT</t>
  </si>
  <si>
    <t>Ikimura Indotools Center. PT</t>
  </si>
  <si>
    <t>Total Asia. PT</t>
  </si>
  <si>
    <t>Bukit Intan Gemilang Lestari. PT</t>
  </si>
  <si>
    <t>Yushiro Indonesia. PT</t>
  </si>
  <si>
    <t>Sumo Andalan Power. PT</t>
  </si>
  <si>
    <t>Juara Wijaya. PT</t>
  </si>
  <si>
    <t>Indotehnik CiPTa Makmur. CV</t>
  </si>
  <si>
    <t>Bintang Barutama. PT</t>
  </si>
  <si>
    <t>Jababeka Infrastruktur. PT</t>
  </si>
  <si>
    <t>Techno Carbide. PT</t>
  </si>
  <si>
    <t>Amido Tulus Sejati. PT</t>
  </si>
  <si>
    <t>Prima Tigon Global. PT</t>
  </si>
  <si>
    <t>Sherich International Supply. PT</t>
  </si>
  <si>
    <t>Berlian Kater. CV</t>
  </si>
  <si>
    <t>Lain2 dbawah 10 juta</t>
  </si>
  <si>
    <t>subsequent payment</t>
  </si>
  <si>
    <t>V/</t>
  </si>
  <si>
    <t>cek to GL 2019</t>
  </si>
  <si>
    <t>Audit Conclusion : Based on our audit procedure for this account, we conclude that the balance of account payable are presented fairly with GAAP</t>
  </si>
  <si>
    <t>24/0432019</t>
  </si>
  <si>
    <t>Utang lain-lain - jngk pendek</t>
  </si>
  <si>
    <t>Lain2 (rincian liat AP1)</t>
  </si>
  <si>
    <r>
      <rPr>
        <sz val="10"/>
        <color indexed="10"/>
        <rFont val="Arial"/>
        <charset val="134"/>
      </rPr>
      <t>V/</t>
    </r>
    <r>
      <rPr>
        <sz val="10"/>
        <rFont val="Arial"/>
        <charset val="134"/>
      </rPr>
      <t xml:space="preserve"> cek to GL 2019</t>
    </r>
  </si>
  <si>
    <t>Jangka Pendek</t>
  </si>
  <si>
    <t>Utang Lain2 Jpd - PT Mitra Energi Buana - Kompresor (Investasi)</t>
  </si>
  <si>
    <t>DD1</t>
  </si>
  <si>
    <t xml:space="preserve">Utang Lain2 Jpd - PT DPS - Project Bawean </t>
  </si>
  <si>
    <t>DD4</t>
  </si>
  <si>
    <t>Utang Lain2 Jpd - Bowo Triwicaksono - Pokok</t>
  </si>
  <si>
    <t>Utang Lain2 Jpd - Bowo Triwicaksono - Bunga</t>
  </si>
  <si>
    <t>Utang Lain2 Jpd - Lain-lain</t>
  </si>
  <si>
    <t>Jangka Panjang</t>
  </si>
  <si>
    <t>Utang Lain2 Jpj - PT Mitra Energi Persada - DP Proyek CHP</t>
  </si>
  <si>
    <t>DD2</t>
  </si>
  <si>
    <t>Utang Lain2 Jpj - PT Mitra Energi Buana - Kompresor (Angs BNI)</t>
  </si>
  <si>
    <t>Utang Lain2 Jpj - PT DPS ESP</t>
  </si>
  <si>
    <t>DD3</t>
  </si>
  <si>
    <t>Utang Lain2 Jpj - HUTANG KE BPRS (A/N Suherman Jaminan Tanah Batam)</t>
  </si>
  <si>
    <t>Utang Lain2 Jpj - HUTANG KE BPRS (A/N Bambang (BPKB Pajero Yundai Ranger yus, Livina Guna)</t>
  </si>
  <si>
    <t>MEB = Mitra Energy Buana</t>
  </si>
  <si>
    <t>MEP = Mitra Energy Persada</t>
  </si>
  <si>
    <t>MEB (Mitra energy buana) - Kompresor (Angs BNI)</t>
  </si>
  <si>
    <t xml:space="preserve">IGA mendapat proyek investasi kompressor dari MEB sebesar 11,4 Milyar </t>
  </si>
  <si>
    <t>harga biaya investasi sesuai penawaran ke MEB adalah sbb :</t>
  </si>
  <si>
    <t>Quotation</t>
  </si>
  <si>
    <t xml:space="preserve">real biaya yg dibiayain BNI </t>
  </si>
  <si>
    <t>Margin</t>
  </si>
  <si>
    <t>Tambahan biaya investasi lainnya</t>
  </si>
  <si>
    <t>Total quotation ke MEB</t>
  </si>
  <si>
    <t>yg sdh dibayar oleh MEB</t>
  </si>
  <si>
    <t>Sisa yang belum dibayar</t>
  </si>
  <si>
    <t>DD1 .</t>
  </si>
  <si>
    <t>Jumlah yg sdh dbyr MEP</t>
  </si>
  <si>
    <t>Jurnal awal</t>
  </si>
  <si>
    <t>liat transaksi di investasi sheet H</t>
  </si>
  <si>
    <t>pada akhir thn 2022 telah diakukan perhitungan /kalkulasi atas investasi yang sdh diserahkan kepada MEP</t>
  </si>
  <si>
    <t>kalau 2021 perusahaan belum melakukan hitunghitungan atas barang yg diinvestasikan utk PT MEP</t>
  </si>
  <si>
    <t>DD2 .</t>
  </si>
  <si>
    <t>Sesuai Perjanjian Pekerjaan jasa konstruksi dan instalasi pembangkit listrik tenaga gas antara MEP dan IGA no. 263/MEP-IGA/IX/2022, tnggal 27 September 2022</t>
  </si>
  <si>
    <t>"perjanjian Pekerjaan jasa konstruksi &amp; instalasi pembangkit listrik tenaga gas, kapasitas 4,63 MW</t>
  </si>
  <si>
    <t>Lokasi pekerjaan : jl acces road inalum km, 15 desa lalang kec. Medang kab batu bara prop Sumatera utara</t>
  </si>
  <si>
    <t>jangka waktu ; 6 bulan sejak tgl 1 Oktober 2022 tgl selesai 31 Maret 2023</t>
  </si>
  <si>
    <t>Hrg pekerjaan sesuai lingkup pek, blm termasuk PPN</t>
  </si>
  <si>
    <t>DD4 - PT DPS</t>
  </si>
  <si>
    <t>tahun 2022 utang ke DPS hilang menurut informasi dioffset ke piutang lain2 yg ada di buku dikarenakan proyek sudah selesai, tetapi perusahaan bangkrut di thn 2021</t>
  </si>
  <si>
    <t>Perusahaan IGA menerima proyek / pekerjaan dari DPS pekerjaan di bawean, tetapi dalam penagihannya tidak melmapirkan faktur pajak, sehingga IGA tidak mencatatnya sebagai pendapatan tetapi sebagai utang</t>
  </si>
  <si>
    <t>sampai dg thn 2021 masih ada pembayaran dr DPS, tetapi karena DPS bangkrut dan DPS jg tdk menerima PPN maka oleh IGA dihapusbukukan, pendapatannya tdk diakui begitu jg dg biayanya</t>
  </si>
  <si>
    <t>secara perpajakan seharusnya uang sdh diterima seharusnya sdh diakui pendapatan apagi proyek sdh dari thn 2016.</t>
  </si>
  <si>
    <t xml:space="preserve">catatan offset </t>
  </si>
  <si>
    <t>Utang ke PT DPS</t>
  </si>
  <si>
    <t>piutang ke GMT</t>
  </si>
  <si>
    <t>selisih nilai</t>
  </si>
  <si>
    <t>WIP ke DPS</t>
  </si>
  <si>
    <r>
      <rPr>
        <sz val="9"/>
        <color indexed="10"/>
        <rFont val="Arial"/>
        <charset val="134"/>
      </rPr>
      <t>V/</t>
    </r>
    <r>
      <rPr>
        <sz val="9"/>
        <rFont val="Arial"/>
        <charset val="134"/>
      </rPr>
      <t xml:space="preserve"> cek to trx</t>
    </r>
  </si>
  <si>
    <t>PEKERJAAN ANTARA IGA DENGAN PT MITRA ENERGY PERSADA, TBK</t>
  </si>
  <si>
    <t xml:space="preserve">NAMA PEKERJAAN </t>
  </si>
  <si>
    <t>Pekerjaan jasa konstruksi dan instalasi pembangkit listrik tenaga gas kapasitas 4,63 MW</t>
  </si>
  <si>
    <t>NOMOR</t>
  </si>
  <si>
    <t>263/MEP-IGA/IX/2022</t>
  </si>
  <si>
    <t>LOKASI</t>
  </si>
  <si>
    <t>Jl Acces Road Inalum km, 15 desa lalang kec. Medang kab batu bara prop Sumatera utara</t>
  </si>
  <si>
    <t>JANGKA WAKTU</t>
  </si>
  <si>
    <t>6 bulan sejak tgl 1 Oktober 2022 tgl selesai 31 Maret 2023</t>
  </si>
  <si>
    <t>HARGA</t>
  </si>
  <si>
    <t>CARA PEMBAYARAN</t>
  </si>
  <si>
    <t>TAHAP 1</t>
  </si>
  <si>
    <t>TAHAP 2</t>
  </si>
  <si>
    <t>SESUAI PROGRESS BULANAN (DIKURANGI DP )</t>
  </si>
  <si>
    <t>TAHAP 3</t>
  </si>
  <si>
    <t>PROGRESS BULANAN</t>
  </si>
  <si>
    <t>RETENSI</t>
  </si>
  <si>
    <t>JAMINAN PELAKSANAAN</t>
  </si>
  <si>
    <t>DENGAN MELAMPIRKAN :</t>
  </si>
  <si>
    <t>INVOICE ASLI</t>
  </si>
  <si>
    <t>LAPORAN PROGRESS PEKERJAAN</t>
  </si>
  <si>
    <t>LAPORAN FINAL PEKERJAAN</t>
  </si>
  <si>
    <t>TAGIHAN 1</t>
  </si>
  <si>
    <t>INVOICE 1</t>
  </si>
  <si>
    <t>NOMOR INVOICE</t>
  </si>
  <si>
    <t>001/IGA-MEP/INV/X/2022</t>
  </si>
  <si>
    <t xml:space="preserve">TGL INVOICE </t>
  </si>
  <si>
    <t>NAMA PEKERJAAN</t>
  </si>
  <si>
    <t>PEKERJAAN KONSTRUKSI DAN INSTALASI (COMBINE HEAT POWER) GTG, AND HRSG DAP PROJECT</t>
  </si>
  <si>
    <t>TOTAL TAGIHAN</t>
  </si>
  <si>
    <t>TRANSFER</t>
  </si>
  <si>
    <t>KE BNI 5199</t>
  </si>
  <si>
    <t>NILAI TAGIHAN</t>
  </si>
  <si>
    <t>JUMLAH TAGIHAN 2</t>
  </si>
  <si>
    <t>PERPANJANGAN KONTRAK</t>
  </si>
  <si>
    <t>PROJECT MEP 1</t>
  </si>
  <si>
    <t>TAHUN 2022</t>
  </si>
  <si>
    <t>SEPTEMBER</t>
  </si>
  <si>
    <t>OKTOBER</t>
  </si>
  <si>
    <t>NOPEMBER</t>
  </si>
  <si>
    <t>DESEMBER</t>
  </si>
  <si>
    <t>NILAI AP KONTRAK</t>
  </si>
  <si>
    <t>PKS</t>
  </si>
  <si>
    <t>Tagihan T1</t>
  </si>
  <si>
    <t>Tagihan T2</t>
  </si>
  <si>
    <t>SALES</t>
  </si>
  <si>
    <t>SALDO AWAL KONTRAK</t>
  </si>
  <si>
    <t>COGS</t>
  </si>
  <si>
    <t>PENAGIHAN</t>
  </si>
  <si>
    <t>SALDO AKHIR AP KONTRAK</t>
  </si>
  <si>
    <t>PPH BADAN</t>
  </si>
  <si>
    <t>PROGRESS PEKERJAAN</t>
  </si>
  <si>
    <t>pph</t>
  </si>
  <si>
    <t>PENGAKUAN PENDAPATAN BASE ON PROGRESS</t>
  </si>
  <si>
    <t>NILAI KONTRAK</t>
  </si>
  <si>
    <t>PROGRESS</t>
  </si>
  <si>
    <t>TAHUN 2022 - T1&amp; T2</t>
  </si>
  <si>
    <t>TAHUN 2023</t>
  </si>
  <si>
    <t>PENGAKUAN HPP</t>
  </si>
  <si>
    <t>ESTIMASI BIAYA</t>
  </si>
  <si>
    <t>PO vendor</t>
  </si>
  <si>
    <t>potensial hpp - vendor</t>
  </si>
  <si>
    <t>24/10/2023</t>
  </si>
  <si>
    <t>Utang Pemegang saham/berelasi</t>
  </si>
  <si>
    <t>Utang Pemegang saham</t>
  </si>
  <si>
    <t>a. HUTANG KE BPRS (A/N Suherman Jaminan Tanah Batam)</t>
  </si>
  <si>
    <t>No Payment</t>
  </si>
  <si>
    <t xml:space="preserve">    pengunaan dananya digunakan untuk tujuan perusahaan</t>
  </si>
  <si>
    <t>b. HUTANG KE BPRS (A/N Bambang (BPKB Pajero Yundai Ranger yus, Livina Guna)</t>
  </si>
  <si>
    <t xml:space="preserve"> hutang pemegang saham pindah ke utang lain2</t>
  </si>
  <si>
    <r>
      <rPr>
        <sz val="10"/>
        <color indexed="10"/>
        <rFont val="Arial"/>
        <charset val="134"/>
      </rPr>
      <t>V/</t>
    </r>
    <r>
      <rPr>
        <sz val="10"/>
        <rFont val="Arial"/>
        <charset val="134"/>
      </rPr>
      <t xml:space="preserve"> cek to GL</t>
    </r>
  </si>
  <si>
    <t>Utang bank</t>
  </si>
  <si>
    <t>WP Reff</t>
  </si>
  <si>
    <t>Increase (Decrease)</t>
  </si>
  <si>
    <t>%-age</t>
  </si>
  <si>
    <t>Utang bank jangka pendek</t>
  </si>
  <si>
    <t>AA1</t>
  </si>
  <si>
    <t>AA2</t>
  </si>
  <si>
    <t>AA3</t>
  </si>
  <si>
    <t>jumlah utang bank jg pdk</t>
  </si>
  <si>
    <t>Utang bank jangka panjang</t>
  </si>
  <si>
    <t>AA4</t>
  </si>
  <si>
    <t>AA5</t>
  </si>
  <si>
    <t>AA6</t>
  </si>
  <si>
    <t>jumlah utang bank jg pjg</t>
  </si>
  <si>
    <t>TOTAL HUTANG PAJAK</t>
  </si>
  <si>
    <t>Source data : rekening pinjaman Bank</t>
  </si>
  <si>
    <t>Jk Pdk</t>
  </si>
  <si>
    <t>Jk Pjg</t>
  </si>
  <si>
    <t>BNI - RK</t>
  </si>
  <si>
    <t>BNI - KI Refinance2 (764913024)</t>
  </si>
  <si>
    <t>BNI - KMK1B (837871013) Lunas</t>
  </si>
  <si>
    <t xml:space="preserve">BNI - KMK2 (772690313) </t>
  </si>
  <si>
    <t>BNI - KMK3 (799459883) Lunas</t>
  </si>
  <si>
    <t>BNI - Kompresor (809390966)</t>
  </si>
  <si>
    <t>BNI - KMK Term Loan (1184736984)</t>
  </si>
  <si>
    <t>BNI - PPH KMK - Bunga Restruktur ditangguhkan</t>
  </si>
  <si>
    <t>BNI - PPH KI - Bunga Restruktur ditangguhkan</t>
  </si>
  <si>
    <t>Bank Panin</t>
  </si>
  <si>
    <t>PANIN - RK</t>
  </si>
  <si>
    <t>PANIN - PJP</t>
  </si>
  <si>
    <t>SUB TOTAL PANIN</t>
  </si>
  <si>
    <t>Bank BRI</t>
  </si>
  <si>
    <t>BRI - RK</t>
  </si>
  <si>
    <t>BRI - KMK</t>
  </si>
  <si>
    <t>SUB TOTAL BRI</t>
  </si>
  <si>
    <t>TOTAL HUTANG BANK</t>
  </si>
  <si>
    <t>Asumsi perhitungan bunga</t>
  </si>
  <si>
    <t>Pinjaman</t>
  </si>
  <si>
    <t>Bunga/thn</t>
  </si>
  <si>
    <t>Bunga / bulan</t>
  </si>
  <si>
    <t>terdiri dari</t>
  </si>
  <si>
    <t>Panin</t>
  </si>
  <si>
    <t>Audit Conclusion : Based on our audit procedure for this account, we conclude that the balance of Tax payable are presented fairly with GAAP</t>
  </si>
  <si>
    <t xml:space="preserve">Rangkuman Fasilitas </t>
  </si>
  <si>
    <t>Nilai Pinjaman</t>
  </si>
  <si>
    <t>Jk Waktu</t>
  </si>
  <si>
    <t>Bentuk</t>
  </si>
  <si>
    <t>Bunga'</t>
  </si>
  <si>
    <t>Jaminan/Agunan/Asuransi</t>
  </si>
  <si>
    <t>170/JAC/PK-KMK/2017</t>
  </si>
  <si>
    <t>Persetujuan perubahan kredit  maksimum 1,5 Milyar, pointnya</t>
  </si>
  <si>
    <t>merubah pasal 5 yaitu jg wkt kredit kredit diberikan selama 12 bulan terhitung sejak tgl 29 Maret 2019 - 28 Maret 2020</t>
  </si>
  <si>
    <t>merubah pasal 6 yaitu ; propisi sebesar 0,5 % per pa dihitung dari maksimum</t>
  </si>
  <si>
    <t>merubah pasal 7 yaitu ; dikenakan biaya adminis 500 rb</t>
  </si>
  <si>
    <t>Psal 11 mengenai bunga dikenaka 12,5 % efektif pa dari baki kredit</t>
  </si>
  <si>
    <t>(04) 170/JAC/PK-KMK/2017</t>
  </si>
  <si>
    <t>Persetujuan perubahan perjanjian kredit  (PPPK) dengan maksimum 1,5 Milyar</t>
  </si>
  <si>
    <t>JAC/06/ /R</t>
  </si>
  <si>
    <t>KMK</t>
  </si>
  <si>
    <t>3 bulan dari 21-02-2020 sd 20-05-2020, namun thp awal akan dilakukan pada 20-03-2020</t>
  </si>
  <si>
    <t>Plafond KMK</t>
  </si>
  <si>
    <t>12,75% per tahun efektif , Provisi 1% pertahun dari maksimum kredit atau Rp 2,703..967</t>
  </si>
  <si>
    <t>sesuai SKK JAC/06/714/R tgl 29 Maret 2020</t>
  </si>
  <si>
    <t>perpanjangan modal kerja proyek EPC mther station  CNG berdsarkan srt perjanjian dg PT MEB</t>
  </si>
  <si>
    <t>Fasilitas ini merupakan penairan atas plafond kredit no 171/JAC/PK-KMK2017 tgl 29 Maret 2017 mksimum 3,6 Milyar dan sesuai SKK No JAC/06/714/R tgl 29 Maret 2019.</t>
  </si>
  <si>
    <t>3 bulan dari 07-02-2020 sd 06-05-2020 tp thp awal akan dilakukan pada 06-03-2020</t>
  </si>
  <si>
    <t>12,75% per tahun efektif , Provisi 1% pertahun dari maksimum kredit atau Rp 1,487.752</t>
  </si>
  <si>
    <t xml:space="preserve">perpanjangan modal kerja proyek sipil berdasarkan PO </t>
  </si>
  <si>
    <t>3 bulan dari 12-02-2020 sd 11-05-2020 tp thp awal akan dilakukan pada 11-03-2020</t>
  </si>
  <si>
    <t>12,75% per tahun efektif , Provisi 1% pertahun dari maksimum kredit atau Rp 1,650,000</t>
  </si>
  <si>
    <r>
      <rPr>
        <b/>
        <sz val="9"/>
        <rFont val="Arial"/>
        <charset val="134"/>
      </rPr>
      <t xml:space="preserve">KMK RC terbatas (restrukturisasi) </t>
    </r>
    <r>
      <rPr>
        <sz val="9"/>
        <rFont val="Arial"/>
        <charset val="134"/>
      </rPr>
      <t xml:space="preserve">
- jasa konstruksi dan jasa penyewaan iso tank </t>
    </r>
  </si>
  <si>
    <t>RC Terbatas</t>
  </si>
  <si>
    <t>11,5% terdiri dari 8,5% pa efektif dan akan direview setiap saat disesuaikan dengan suku bunga yang berlaku di BNI / tgl 25 setiap bulannya, Sisa bunga sebesar 3,0% (tiga persen) pa ditangguhkan dan akan dibayarkan penuh pada bulan saat bunga direview kembali normal dan disesuaikan dengan ketentuan BNI. Provisi 100 Ribu, By adm 100rb.</t>
  </si>
  <si>
    <t>Tanah dan Bangunan di Jl. Nuri Blok E7 No 15 RT 007/009 Kel PasirPutih Sawangan Depok , SHM no 1945/Pasir putih tgl 29/1/2003 an Bambang Prijambodo dan IMB no 648. 12/935/IMB/ BPMP2T/2014 Tgl 16 Juni 2014 an BP. Telah dilakukan pengikatan HT I sebesar Rp 1,4 milyar, CF SHT I No. 06879/2017 tgl 9 Agustus 2017.</t>
  </si>
  <si>
    <r>
      <rPr>
        <b/>
        <sz val="9"/>
        <rFont val="Arial"/>
        <charset val="134"/>
      </rPr>
      <t>Kredit Modal kerja - Plafond</t>
    </r>
    <r>
      <rPr>
        <sz val="9"/>
        <rFont val="Arial"/>
        <charset val="134"/>
      </rPr>
      <t xml:space="preserve">
Restrukturisasi Kredit modal kerja jasa konstruksi dan jasa penyewaan iso tank </t>
    </r>
  </si>
  <si>
    <t>Clean up system</t>
  </si>
  <si>
    <t>11,5% terdiri dari 8,5% pa efektif dan akan direview setiap saat disesuaikan dengan suku bunga yang berlaku di BNI / tgl 25 setiap bulannya, Sisa bunga sebesar 3,0% (tiga persen) pa ditangguhkan dan akan dibayarkan penuh pada bulan saat bunga direview kembali normal dan disesuaikan dengan ketentuan BNI. Provisi &amp; By adm tidak dikenakan</t>
  </si>
  <si>
    <t>2
a. 
b.
-</t>
  </si>
  <si>
    <r>
      <rPr>
        <sz val="9"/>
        <rFont val="Arial"/>
        <charset val="134"/>
      </rPr>
      <t xml:space="preserve">Tanah di jln Raya Parang desa bungkuk Kec, parang, kab magetan, Jatim, Bukti kepemilikan SHM No 317/Bungkuk tgl 20/5/2005 an Bambang Prijambodo. 
</t>
    </r>
    <r>
      <rPr>
        <b/>
        <u/>
        <sz val="9"/>
        <rFont val="Arial"/>
        <charset val="134"/>
      </rPr>
      <t>Pengikatan</t>
    </r>
    <r>
      <rPr>
        <sz val="9"/>
        <rFont val="Arial"/>
        <charset val="134"/>
      </rPr>
      <t xml:space="preserve">
Telah dilakukan pengikatan HT I sebesar Rp 371 Juta , CF SHT I No. 1419/2017 tgl 14 Agustus 2017.
Telah Diikat HT II sebesar Rp 99 juta cfm covernote No. 204/NT/X/2018 tgl 31/10/2018, JT tgl </t>
    </r>
    <r>
      <rPr>
        <b/>
        <sz val="9"/>
        <rFont val="Arial"/>
        <charset val="134"/>
      </rPr>
      <t>31</t>
    </r>
    <r>
      <rPr>
        <sz val="9"/>
        <rFont val="Arial"/>
        <charset val="134"/>
      </rPr>
      <t>-02-2019 oleh Notaris Dr Dyah Sulistyani, RS&lt; SH, MHum
Asuransi:
asuransi polis No 10212091900003 tgl 28-02-2019  Jt 15-02-2020,</t>
    </r>
  </si>
  <si>
    <r>
      <rPr>
        <b/>
        <sz val="9"/>
        <rFont val="Arial"/>
        <charset val="134"/>
      </rPr>
      <t>Kredit Investasi - Restrukturisasi</t>
    </r>
    <r>
      <rPr>
        <sz val="9"/>
        <rFont val="Arial"/>
        <charset val="134"/>
      </rPr>
      <t xml:space="preserve"> Restrukturisasi Kredit modal kerja jasa konstruksi dan jasa penyewaan iso tank </t>
    </r>
  </si>
  <si>
    <t>sd 11 Mei 2020</t>
  </si>
  <si>
    <t>Aplofend,  tetap berjalan sesuai angsuran PK Awal</t>
  </si>
  <si>
    <t xml:space="preserve">3
</t>
  </si>
  <si>
    <r>
      <rPr>
        <sz val="9"/>
        <rFont val="Arial"/>
        <charset val="134"/>
      </rPr>
      <t xml:space="preserve">Tanah dan bangunan di desa lambeyun kulon  Kec, Lambeyan, kab magetan, Jatim, 
</t>
    </r>
    <r>
      <rPr>
        <b/>
        <u/>
        <sz val="9"/>
        <rFont val="Arial"/>
        <charset val="134"/>
      </rPr>
      <t xml:space="preserve">Bukti kepemilikan
</t>
    </r>
    <r>
      <rPr>
        <sz val="9"/>
        <rFont val="Arial"/>
        <charset val="134"/>
      </rPr>
      <t xml:space="preserve">SHM No 365/Lambeyan kulon tgl 28/3/2017 an Bambang Prijambodo. 
SHM No 366/Lambeyan kulon tgl 28/3/2017 an Bambang Prijambodo.
</t>
    </r>
    <r>
      <rPr>
        <b/>
        <u/>
        <sz val="9"/>
        <rFont val="Arial"/>
        <charset val="134"/>
      </rPr>
      <t>Pengikatan</t>
    </r>
    <r>
      <rPr>
        <sz val="9"/>
        <rFont val="Arial"/>
        <charset val="134"/>
      </rPr>
      <t xml:space="preserve">
Telah dilakukan pengikatan HT I sebesar Rp 526 Juta , CF SHT I No. 1419/2017 tgl 14 Agustus 2017.
</t>
    </r>
    <r>
      <rPr>
        <b/>
        <u/>
        <sz val="9"/>
        <rFont val="Arial"/>
        <charset val="134"/>
      </rPr>
      <t>Asuransi:</t>
    </r>
    <r>
      <rPr>
        <sz val="9"/>
        <rFont val="Arial"/>
        <charset val="134"/>
      </rPr>
      <t xml:space="preserve">
asuransi polis No 10212091900003 tgl 28-02-2019  Jt 15-02-2020,</t>
    </r>
  </si>
  <si>
    <t>Aplofend</t>
  </si>
  <si>
    <t>11,5% terdiri dari 8,5% efektif dan aka direview setiap saat disesuaikan dengan suku bunga yang beralku di BNI / tgl 25 setiap bulannya, Sisa bunga sebesar 3,0% (tiga koma lima puluh persen) pa. ditangguhkan dan akan dibayarkan penuh pada bulan saat bunga direview kembali normal dan disesuaikan dengan ketentuan BNI. Provisi &amp; By adm tidak dikenakan</t>
  </si>
  <si>
    <t>Bulan ke</t>
  </si>
  <si>
    <t xml:space="preserve">Angsuran pokok </t>
  </si>
  <si>
    <t>1 - 9</t>
  </si>
  <si>
    <t>10-24</t>
  </si>
  <si>
    <t>25-36</t>
  </si>
  <si>
    <t>37-55</t>
  </si>
  <si>
    <t>56</t>
  </si>
  <si>
    <r>
      <rPr>
        <b/>
        <sz val="9"/>
        <rFont val="Arial"/>
        <charset val="134"/>
      </rPr>
      <t>Kredit Investasi (Restruktur)</t>
    </r>
    <r>
      <rPr>
        <sz val="9"/>
        <rFont val="Arial"/>
        <charset val="134"/>
      </rPr>
      <t xml:space="preserve"> 
- restrukturisasi kredit modal kerja jasa konstruksi dan jasa sewa iso tank</t>
    </r>
  </si>
  <si>
    <t>28 bulan sejak penandatangan</t>
  </si>
  <si>
    <t>11,5% terdiri dari 8,5% pa efektif dan akan direview setiap saat disesuaikan dengan suku bunga yang berlaku di BNI / tgl 25 setiap bulannya, Sisa bunga sebesar 3,0% (tiga persen) pa ditangguhkan dan akan dibayarkan penuh pada bulan saat bunga direview kembali normal dan disesuaikan dengan ketentuan BNI.. Provisi &amp; By adm tidak dikenakan</t>
  </si>
  <si>
    <t xml:space="preserve">4
</t>
  </si>
  <si>
    <r>
      <rPr>
        <sz val="9"/>
        <rFont val="Arial"/>
        <charset val="134"/>
      </rPr>
      <t xml:space="preserve">Tanah dan bangunan di desa lambeyun kulon  Kec, Lambeyan, kab magetan, Jatim, 
</t>
    </r>
    <r>
      <rPr>
        <b/>
        <u/>
        <sz val="9"/>
        <rFont val="Arial"/>
        <charset val="134"/>
      </rPr>
      <t xml:space="preserve">Bukti kepemilikan
</t>
    </r>
    <r>
      <rPr>
        <sz val="9"/>
        <rFont val="Arial"/>
        <charset val="134"/>
      </rPr>
      <t xml:space="preserve">SHM No 1633/Lambeyan kulon tgl 05/10/2018 an Bambang Prijambodo. 
</t>
    </r>
    <r>
      <rPr>
        <b/>
        <u/>
        <sz val="9"/>
        <rFont val="Arial"/>
        <charset val="134"/>
      </rPr>
      <t>Pengikatan</t>
    </r>
    <r>
      <rPr>
        <sz val="9"/>
        <rFont val="Arial"/>
        <charset val="134"/>
      </rPr>
      <t xml:space="preserve">
Telah dilakukan pengikatan HT I Covernote No. 204/NT/X/2018 tgl 31/10/2018, JT tgl 31-02-2019 oleh Notaris Dr Dyah Sulistyani, RS&lt; SH, MHum
</t>
    </r>
    <r>
      <rPr>
        <b/>
        <u/>
        <sz val="9"/>
        <rFont val="Arial"/>
        <charset val="134"/>
      </rPr>
      <t>Asuransi:</t>
    </r>
    <r>
      <rPr>
        <sz val="9"/>
        <rFont val="Arial"/>
        <charset val="134"/>
      </rPr>
      <t xml:space="preserve">
asuransi polis No 10212091900003 tgl 28-02-2019  Jt 15-02-2020,</t>
    </r>
  </si>
  <si>
    <t>10-27</t>
  </si>
  <si>
    <t>28</t>
  </si>
  <si>
    <t xml:space="preserve">Ketentuan </t>
  </si>
  <si>
    <t>CR 1,00 x</t>
  </si>
  <si>
    <t>DER 2,1 x</t>
  </si>
  <si>
    <t>DSCR 100 %</t>
  </si>
  <si>
    <t>5</t>
  </si>
  <si>
    <r>
      <rPr>
        <sz val="9"/>
        <rFont val="Arial"/>
        <charset val="134"/>
      </rPr>
      <t xml:space="preserve">4 Unit CNGTube Skid 40 Feet Shijiajuang Enric Gas Equipment Co. Ltd 
</t>
    </r>
    <r>
      <rPr>
        <b/>
        <u/>
        <sz val="9"/>
        <rFont val="Arial"/>
        <charset val="134"/>
      </rPr>
      <t xml:space="preserve">Bukti Kepemilikan
</t>
    </r>
    <r>
      <rPr>
        <sz val="9"/>
        <rFont val="Arial"/>
        <charset val="134"/>
      </rPr>
      <t xml:space="preserve">Invoice No 243/DPS-KEU/IGA/11/2014 tgl 17-11-2014
</t>
    </r>
    <r>
      <rPr>
        <b/>
        <u/>
        <sz val="9"/>
        <rFont val="Arial"/>
        <charset val="134"/>
      </rPr>
      <t>Pengikatan</t>
    </r>
    <r>
      <rPr>
        <sz val="9"/>
        <rFont val="Arial"/>
        <charset val="134"/>
      </rPr>
      <t xml:space="preserve"> 
Fidusia Notariil dg AJH No 16 Tgl 12-05-2017 dan SJF No W10.0030025\.AH.05.01 thn2017 tgl09-06-2017
</t>
    </r>
    <r>
      <rPr>
        <b/>
        <u/>
        <sz val="9"/>
        <rFont val="Arial"/>
        <charset val="134"/>
      </rPr>
      <t>Asuransi:</t>
    </r>
    <r>
      <rPr>
        <sz val="9"/>
        <rFont val="Arial"/>
        <charset val="134"/>
      </rPr>
      <t xml:space="preserve">
Asuransi polis No 10212091900003 sebesar Rp 4.490.120.000,- tgl 28-02-2019  Jt 15-02-2020,</t>
    </r>
  </si>
  <si>
    <t>NC (neg CVNt)</t>
  </si>
  <si>
    <t>Mlkk Inv melebih proceed EAT+Dep</t>
  </si>
  <si>
    <t>melakk interfianncing ke grup usaha'</t>
  </si>
  <si>
    <t>6</t>
  </si>
  <si>
    <r>
      <rPr>
        <sz val="9"/>
        <rFont val="Arial"/>
        <charset val="134"/>
      </rPr>
      <t xml:space="preserve">2 (dua) Unit CNGTube Skid 40 Feet Shijiajuang Enric Gas Equipment Co. Ltd dan 1 (satu) Unit CNGTube Skid 40 Feet Shijiajuang Enric Gas Equipment Co. Ltd 
</t>
    </r>
    <r>
      <rPr>
        <b/>
        <u/>
        <sz val="9"/>
        <rFont val="Arial"/>
        <charset val="134"/>
      </rPr>
      <t xml:space="preserve">Bukti Kepemilikan
</t>
    </r>
    <r>
      <rPr>
        <sz val="9"/>
        <rFont val="Arial"/>
        <charset val="134"/>
      </rPr>
      <t xml:space="preserve">Invoice No 243/DPS-KEU/IGA/11/2014 tgl 17-11-2014 &amp;
Invoice No 244/DPS-KEU/IGA/11/2014 tgl 17-11-2014
</t>
    </r>
    <r>
      <rPr>
        <b/>
        <u/>
        <sz val="9"/>
        <rFont val="Arial"/>
        <charset val="134"/>
      </rPr>
      <t xml:space="preserve">Pengikatan </t>
    </r>
    <r>
      <rPr>
        <sz val="9"/>
        <rFont val="Arial"/>
        <charset val="134"/>
      </rPr>
      <t xml:space="preserve">
Fidusia Notariil cfm SJF No W10.00568811\.AH.05.01 thn 2018 tgl 30-11-2018
</t>
    </r>
    <r>
      <rPr>
        <b/>
        <u/>
        <sz val="9"/>
        <rFont val="Arial"/>
        <charset val="134"/>
      </rPr>
      <t>Asuransi:</t>
    </r>
    <r>
      <rPr>
        <sz val="9"/>
        <rFont val="Arial"/>
        <charset val="134"/>
      </rPr>
      <t xml:space="preserve">
Asuransi polis No 10212091900004 sebesar Rp 3.372.199.998,- tgl 28-02-2019  Jt 30-10-2021,</t>
    </r>
  </si>
  <si>
    <t>7</t>
  </si>
  <si>
    <r>
      <rPr>
        <sz val="9"/>
        <rFont val="Arial"/>
        <charset val="134"/>
      </rPr>
      <t xml:space="preserve">1 (satu) Unit Mesin Driven with enclosure (include PLC panel) dan Gas dryer D TRNGX Duplex dari PT Sarana Arta Mulia (Kurs saat booking 1 USD  Rp14.055)  
</t>
    </r>
    <r>
      <rPr>
        <b/>
        <u/>
        <sz val="9"/>
        <rFont val="Arial"/>
        <charset val="134"/>
      </rPr>
      <t xml:space="preserve">Bukti Kepemilikan
</t>
    </r>
    <r>
      <rPr>
        <sz val="9"/>
        <rFont val="Arial"/>
        <charset val="134"/>
      </rPr>
      <t xml:space="preserve">Invoice No 18 (O) -0724-B-IGA.R4 tgl20-09-2018.061/INV/SAM/X.2018.IGA.REV.1 tgl 6-12-2018
</t>
    </r>
    <r>
      <rPr>
        <b/>
        <u/>
        <sz val="9"/>
        <rFont val="Arial"/>
        <charset val="134"/>
      </rPr>
      <t xml:space="preserve">Pengikatan </t>
    </r>
    <r>
      <rPr>
        <sz val="9"/>
        <rFont val="Arial"/>
        <charset val="134"/>
      </rPr>
      <t xml:space="preserve">
Fidusia Notarii sebesar Rp 8,784.375.000 melalui Notaris Rekanan BNI.
</t>
    </r>
    <r>
      <rPr>
        <b/>
        <u/>
        <sz val="9"/>
        <rFont val="Arial"/>
        <charset val="134"/>
      </rPr>
      <t>Asuransi:</t>
    </r>
    <r>
      <rPr>
        <sz val="9"/>
        <rFont val="Arial"/>
        <charset val="134"/>
      </rPr>
      <t xml:space="preserve">
akan ditutup Asuransi  pada asuradur rekanan BNI.</t>
    </r>
  </si>
  <si>
    <t>8</t>
  </si>
  <si>
    <t>Piutang Usaha Intan Giri Abadi sesuai cattn sbsr Rp 7.004.905.644,-. Akan diikat fidusia dbwh tangan</t>
  </si>
  <si>
    <t>22 Januari 2021</t>
  </si>
  <si>
    <t>KMK - Perpanjangan modal kerja Proyek EPC Mother station CNG.
Fasilitas ini merupakan penairan atas plafond kredit no 171/JAC/PK-KMK2017 tgl 30 Maret 2020 mksimum 3,6 Milyar dan sesuai SKK No JAC/06/560/R tgl 30 Maret 2020.</t>
  </si>
  <si>
    <t>3 bulan (21 Jan 2021 - 28 Mar 2021)</t>
  </si>
  <si>
    <t>KMK plafond /Clean up sistem</t>
  </si>
  <si>
    <t>11,5% terdiri dari 8,5% efektif,Sisa bunga sebesar 3,0% (tiga koma lima puluh persen) pa. ditangguhkan dan akan dibayarkan penuh pada bulan saat bunga direview kembali normal dan disesuaikan dengan ketentuan BNI. Provisi 0,5% dari maksimum kredit</t>
  </si>
  <si>
    <t>sesuai SKK JAC/06/560/R tgl 30 Maret 2020</t>
  </si>
  <si>
    <t>KMK - Perpanjangan modal kerja proyek sipil berdsarkan PO dilakukan dalam rangka pelunasan.
Fasilitas ini merupakan penairan atas plafond kredit no 171/JAC/PK-KMK2017 tgl 30 Maret 2020 mksimum 3,6 Milyar dan sesuai SKK No JAC/06/560/R tgl 30 Maret 2020.</t>
  </si>
  <si>
    <t>3 bulan (7 Jan 2021 - 28 Mar 2021)</t>
  </si>
  <si>
    <t>3 bulan (12 Jan 2021 - 28 Mar 2021)</t>
  </si>
  <si>
    <t>JAC/06/406/R</t>
  </si>
  <si>
    <t xml:space="preserve">Permohonan perpanjangan fasilitas kredit </t>
  </si>
  <si>
    <t>xx</t>
  </si>
  <si>
    <t>Kredit Modal Kerja (perpanjangan), Perpanjangan untuk pembiayaan Procurement Construction Fasilitas Compressed Natural Gas (CNG) Gresik Pulau Bawean dari PT. Dharma Pratama Sejati</t>
  </si>
  <si>
    <t>1 bulan (29/5/2021 - 28/6/21)</t>
  </si>
  <si>
    <t>12% terdiri dari 8,5% efektif,Sisa bunga sebesar 3,50% (tiga koma lima puluh persen) pa. ditangguhkan dan akan dibayarkan penuh pada bulan saat bunga direview kembali normal dan disesuaikan dengan ketentuan BNI.</t>
  </si>
  <si>
    <t>sesuai SKK JAC/06/406/R tgl 29 Maret 2021</t>
  </si>
  <si>
    <t>Fasilitas ini merupakan penairan atas plafond kredit no 171/JAC/PK-KMK2017 tgl 30 Maret 2021 mksimum 3,6 Milyar dan SKK No JAC/06/406/R tgl 29 Maret 2021.</t>
  </si>
  <si>
    <t>provisi 1% atau sebesar 500 ribu, Bya adm 100rbu</t>
  </si>
  <si>
    <t>Rangkuman Fasilitas</t>
  </si>
  <si>
    <t>Perihal</t>
  </si>
  <si>
    <t>Notaris/Institusi</t>
  </si>
  <si>
    <t>Deskripsi/Tujuan</t>
  </si>
  <si>
    <t>B Admin</t>
  </si>
  <si>
    <t>Jaminan</t>
  </si>
  <si>
    <t>249/JCI/EXT/18</t>
  </si>
  <si>
    <t>Srt Persetujuan kredit</t>
  </si>
  <si>
    <t>Take Over Fasilitas KPR Dimandiri an Bambang Prijambodo dengan Oustanding Rp 5.721.930.573</t>
  </si>
  <si>
    <t>Pinj Jg Pjg (PJP)</t>
  </si>
  <si>
    <t>1 unit kantor dengan LT 488 meter2/ Lb 353M2 di jl margasatwa no 119 kel pdk labu  kec cilandak, Telah dipasang HT sebesar Rp 8,040,000,000</t>
  </si>
  <si>
    <t>Modal Kerja dalam bidang Konstruksi gas trader,water solution</t>
  </si>
  <si>
    <t>PRK Baru</t>
  </si>
  <si>
    <t>Gas transportation dan EPC</t>
  </si>
  <si>
    <t>Akte No 10</t>
  </si>
  <si>
    <t>Akte notaril atas SPK tgl 15 Nov 18</t>
  </si>
  <si>
    <t>Judy KH Sentana, SH</t>
  </si>
  <si>
    <t>Akte No 11</t>
  </si>
  <si>
    <t>Pinjaman jangka menengah</t>
  </si>
  <si>
    <t>B. 819A./KC-XIV/ADK/04/2022</t>
  </si>
  <si>
    <t>Srt Penawaran Putusan Kredit</t>
  </si>
  <si>
    <t>Kredit Modal Kerja W/Ainterchangable dengan fasilitas bank garansi</t>
  </si>
  <si>
    <t>12 bulan sjk ttd</t>
  </si>
  <si>
    <t>Pinj jgk pendek</t>
  </si>
  <si>
    <r>
      <rPr>
        <sz val="9"/>
        <rFont val="Arial"/>
        <charset val="134"/>
      </rPr>
      <t>Piutang usaha dg cessie sebesar Rp 5 Milyar
tambahan SHGB di kendensari tanggulangi,tanggulangin,sidoarjo  Surabaya dg luas 75 M</t>
    </r>
    <r>
      <rPr>
        <vertAlign val="superscript"/>
        <sz val="9"/>
        <rFont val="Arial"/>
        <charset val="134"/>
      </rPr>
      <t xml:space="preserve">2 </t>
    </r>
    <r>
      <rPr>
        <sz val="9"/>
        <rFont val="Arial"/>
        <charset val="134"/>
      </rPr>
      <t xml:space="preserve">, </t>
    </r>
  </si>
  <si>
    <r>
      <rPr>
        <sz val="9"/>
        <rFont val="Arial"/>
        <charset val="134"/>
      </rPr>
      <t>SHM No. 603 di Magetan Jatim luas tanah, 5.372 M</t>
    </r>
    <r>
      <rPr>
        <vertAlign val="superscript"/>
        <sz val="9"/>
        <rFont val="Arial"/>
        <charset val="134"/>
      </rPr>
      <t>2</t>
    </r>
    <r>
      <rPr>
        <sz val="9"/>
        <rFont val="Arial"/>
        <charset val="134"/>
      </rPr>
      <t xml:space="preserve"> ,</t>
    </r>
  </si>
  <si>
    <t>KMK Co Tetap</t>
  </si>
  <si>
    <t>12 bulan sjk ttd dan dpt diperpanjng</t>
  </si>
  <si>
    <t>Rek koran maksimum co tetap</t>
  </si>
  <si>
    <t xml:space="preserve">tata cara pembayaran pokok </t>
  </si>
  <si>
    <t xml:space="preserve"> 1. 1 x Rp 2,5 M dbyr pd saat jto kredit</t>
  </si>
  <si>
    <t xml:space="preserve"> 2. bunga dbyr setiap bulan sesuai jmlh tagihan biling sistem bRI</t>
  </si>
  <si>
    <t>KURS TRANSAKSI BANK INDONESIA </t>
  </si>
  <si>
    <t>31 Desember 2018 </t>
  </si>
  <si>
    <t>kurs jual</t>
  </si>
  <si>
    <t>kurs beli</t>
  </si>
  <si>
    <t>rata2</t>
  </si>
  <si>
    <t>kurs Yen/100</t>
  </si>
  <si>
    <t>Kurs Jual</t>
  </si>
  <si>
    <t>Kurs Beli</t>
  </si>
  <si>
    <t>Kurs rata2</t>
  </si>
  <si>
    <t>AUD</t>
  </si>
  <si>
    <t>10,262.78</t>
  </si>
  <si>
    <t>10,159.79</t>
  </si>
  <si>
    <t>BND</t>
  </si>
  <si>
    <t>10,656.07</t>
  </si>
  <si>
    <t>10,549.86</t>
  </si>
  <si>
    <t>CAD</t>
  </si>
  <si>
    <t>10,678.75</t>
  </si>
  <si>
    <t>10,569.98</t>
  </si>
  <si>
    <t>CHF</t>
  </si>
  <si>
    <t>14,785.13</t>
  </si>
  <si>
    <t>14,634.37</t>
  </si>
  <si>
    <t>CNH</t>
  </si>
  <si>
    <t>2,114.34</t>
  </si>
  <si>
    <t>2,093.08</t>
  </si>
  <si>
    <t>CNY</t>
  </si>
  <si>
    <t>2,120.44</t>
  </si>
  <si>
    <t>2,099.46</t>
  </si>
  <si>
    <t>DKK</t>
  </si>
  <si>
    <t>2,229.08</t>
  </si>
  <si>
    <t>2,206.65</t>
  </si>
  <si>
    <t>EUR</t>
  </si>
  <si>
    <t>16,642.81</t>
  </si>
  <si>
    <t>16,476.69</t>
  </si>
  <si>
    <t>GBP</t>
  </si>
  <si>
    <t>18,464.85</t>
  </si>
  <si>
    <t>18,280.70</t>
  </si>
  <si>
    <t>HKD</t>
  </si>
  <si>
    <t>1,858.48</t>
  </si>
  <si>
    <t>1,840.02</t>
  </si>
  <si>
    <t>per 100</t>
  </si>
  <si>
    <t>KRW</t>
  </si>
  <si>
    <t>KWD</t>
  </si>
  <si>
    <t>47,950.58</t>
  </si>
  <si>
    <t>47,351.30</t>
  </si>
  <si>
    <t>LAK</t>
  </si>
  <si>
    <t>MYR</t>
  </si>
  <si>
    <t>3,512.67</t>
  </si>
  <si>
    <t>3,473.72</t>
  </si>
  <si>
    <t>NOK</t>
  </si>
  <si>
    <t>1,672.97</t>
  </si>
  <si>
    <t>1,655.39</t>
  </si>
  <si>
    <t>NZD</t>
  </si>
  <si>
    <t>9,769.43</t>
  </si>
  <si>
    <t>9,667.00</t>
  </si>
  <si>
    <t>PGK</t>
  </si>
  <si>
    <t>4,445.94</t>
  </si>
  <si>
    <t>4,157.00</t>
  </si>
  <si>
    <t>PHP</t>
  </si>
  <si>
    <t>SAR</t>
  </si>
  <si>
    <t>3,879.04</t>
  </si>
  <si>
    <t>3,839.74</t>
  </si>
  <si>
    <t>SEK</t>
  </si>
  <si>
    <t>1,622.55</t>
  </si>
  <si>
    <t>1,605.53</t>
  </si>
  <si>
    <t>SGD</t>
  </si>
  <si>
    <t>THB</t>
  </si>
  <si>
    <t>VND</t>
  </si>
  <si>
    <t>Hutang Pajak</t>
  </si>
  <si>
    <t>FF2</t>
  </si>
  <si>
    <t>FF0</t>
  </si>
  <si>
    <t>FF1</t>
  </si>
  <si>
    <t>FF3</t>
  </si>
  <si>
    <t>Hutang pajak dineraca</t>
  </si>
  <si>
    <t>pph badan</t>
  </si>
  <si>
    <t>Beban PPh badan</t>
  </si>
  <si>
    <t>PPh 21</t>
  </si>
  <si>
    <t>kredit pph 23</t>
  </si>
  <si>
    <t>Utang pph 29</t>
  </si>
  <si>
    <t>PPh 23</t>
  </si>
  <si>
    <t>Jumlah Hutang pajak</t>
  </si>
  <si>
    <t>Hutang Pajak DI neraca</t>
  </si>
  <si>
    <t>objek</t>
  </si>
  <si>
    <t>penghasilan karyawan</t>
  </si>
  <si>
    <t>gaji</t>
  </si>
  <si>
    <t>progresif</t>
  </si>
  <si>
    <t>&gt;5 juta</t>
  </si>
  <si>
    <t>pembelian impor</t>
  </si>
  <si>
    <t>barang yg dibeli</t>
  </si>
  <si>
    <t xml:space="preserve">50-100 </t>
  </si>
  <si>
    <t>jasa</t>
  </si>
  <si>
    <t>jasa akuntan</t>
  </si>
  <si>
    <t>norm</t>
  </si>
  <si>
    <t>PRIBADI</t>
  </si>
  <si>
    <t>penghasilan luar negeri</t>
  </si>
  <si>
    <t>barang</t>
  </si>
  <si>
    <t>Tax income</t>
  </si>
  <si>
    <t>&gt;500 jt</t>
  </si>
  <si>
    <t>pph 4 ayat 2</t>
  </si>
  <si>
    <t>jasa kondtruksi</t>
  </si>
  <si>
    <t>Matter        PPHbdn</t>
  </si>
  <si>
    <t>NAMA WP</t>
  </si>
  <si>
    <t>PPh yang di potong</t>
  </si>
  <si>
    <t>SETOR</t>
  </si>
  <si>
    <t>LAPOR</t>
  </si>
  <si>
    <t>REMARKS</t>
  </si>
  <si>
    <t>Pengasilan Bruto</t>
  </si>
  <si>
    <t>Jan</t>
  </si>
  <si>
    <t>Feb</t>
  </si>
  <si>
    <t>Apr</t>
  </si>
  <si>
    <t>Jun</t>
  </si>
  <si>
    <t>Ags</t>
  </si>
  <si>
    <t>Sep</t>
  </si>
  <si>
    <t>Okt</t>
  </si>
  <si>
    <t>Nov</t>
  </si>
  <si>
    <t>Des</t>
  </si>
  <si>
    <t>Sumber : SSP dan SPM PPH 23- bulanan</t>
  </si>
  <si>
    <t>Analisa hutang pajak</t>
  </si>
  <si>
    <t>Saldo berdasarkan SPT Masa</t>
  </si>
  <si>
    <t>Rekapitulasi SSP dan SPT Masa PPN</t>
  </si>
  <si>
    <t>PENYERAHAN BARANG DAN JASA</t>
  </si>
  <si>
    <t>PERHITUNGAN PPN KURANG BAYAR (LEBIH BAYAR)</t>
  </si>
  <si>
    <t>Terutang PPN (DPP)</t>
  </si>
  <si>
    <t>PPN KELUARAN</t>
  </si>
  <si>
    <t>KOMPENSASI</t>
  </si>
  <si>
    <t xml:space="preserve">PPN MASUKAN  </t>
  </si>
  <si>
    <t>KURANG</t>
  </si>
  <si>
    <t>PPN-nya harus</t>
  </si>
  <si>
    <t>PPN-nya dipungut</t>
  </si>
  <si>
    <t>PPN-nya tidak</t>
  </si>
  <si>
    <t xml:space="preserve">Dibebaskan </t>
  </si>
  <si>
    <t>Tidak Terutang</t>
  </si>
  <si>
    <t>Seluruh</t>
  </si>
  <si>
    <t>YANG DAPAT</t>
  </si>
  <si>
    <t>(LEBIH)</t>
  </si>
  <si>
    <t>Ekspor</t>
  </si>
  <si>
    <t>dipungut sendiri</t>
  </si>
  <si>
    <t>oleh pemungut</t>
  </si>
  <si>
    <t>dipungut</t>
  </si>
  <si>
    <t>dari Pengenaan PPN</t>
  </si>
  <si>
    <t>Penyerahan</t>
  </si>
  <si>
    <t>SEBELUMNYA</t>
  </si>
  <si>
    <t>DIPERHITUNGKAN</t>
  </si>
  <si>
    <t>BAYAR</t>
  </si>
  <si>
    <t xml:space="preserve">JAN </t>
  </si>
  <si>
    <t xml:space="preserve">FEB </t>
  </si>
  <si>
    <t>MEI</t>
  </si>
  <si>
    <t>AGT</t>
  </si>
  <si>
    <t>SEPT</t>
  </si>
  <si>
    <t>OKT</t>
  </si>
  <si>
    <t>NOV</t>
  </si>
  <si>
    <t>DES</t>
  </si>
  <si>
    <t>Sumber : SSP dan SPT Masa PPN</t>
  </si>
  <si>
    <t>PPN masukan</t>
  </si>
  <si>
    <t>Krg (lebih) byr</t>
  </si>
  <si>
    <t>Saldo PPN</t>
  </si>
  <si>
    <t xml:space="preserve">note: </t>
  </si>
  <si>
    <t>Per SPT</t>
  </si>
  <si>
    <t>jurnal usulan</t>
  </si>
  <si>
    <t>debet</t>
  </si>
  <si>
    <t>kredit</t>
  </si>
  <si>
    <t>to FF</t>
  </si>
  <si>
    <t>Saldo SPM</t>
  </si>
  <si>
    <t>DPP rajal Obat</t>
  </si>
  <si>
    <t>Per book</t>
  </si>
  <si>
    <t>RE</t>
  </si>
  <si>
    <t>yang dikenakan PPN dan terutang PPN</t>
  </si>
  <si>
    <t>Hutang pajak PPN</t>
  </si>
  <si>
    <t>ppn out</t>
  </si>
  <si>
    <t>to 10</t>
  </si>
  <si>
    <t>ppn in</t>
  </si>
  <si>
    <t>BULAN/THN</t>
  </si>
  <si>
    <t>PPN MASUKAN</t>
  </si>
  <si>
    <t>Vo : SPT PPN</t>
  </si>
  <si>
    <t>PPN MENURUT NERACA</t>
  </si>
  <si>
    <t>BEDA</t>
  </si>
  <si>
    <t>Rekapitulasi SSP dan SPM 21/26</t>
  </si>
  <si>
    <t>Jumlah Penerima Penghasilan (Orang)</t>
  </si>
  <si>
    <t>Jumlah Penghasilan Bruto (Rp)</t>
  </si>
  <si>
    <t>Jumlah Pajak terutang</t>
  </si>
  <si>
    <t xml:space="preserve">Pegawai </t>
  </si>
  <si>
    <t>Tenaga Ahli</t>
  </si>
  <si>
    <t>Pegawai</t>
  </si>
  <si>
    <t>yg sdh di paid (Rp)</t>
  </si>
  <si>
    <t>Bayar</t>
  </si>
  <si>
    <t>Lapor</t>
  </si>
  <si>
    <t>Blm dbyr</t>
  </si>
  <si>
    <t>Vo</t>
  </si>
  <si>
    <t>THR</t>
  </si>
  <si>
    <t>Sumber : SSP dan SPT Masa PPH 21/26</t>
  </si>
  <si>
    <t>Berikut ringkasan SPT Masa PPh 21 Desember:</t>
  </si>
  <si>
    <t>Penerima</t>
  </si>
  <si>
    <t>Penghasilan</t>
  </si>
  <si>
    <t>Jumlah Pajak</t>
  </si>
  <si>
    <t>Bruto</t>
  </si>
  <si>
    <t>Terhutang</t>
  </si>
  <si>
    <t>Pegawai tetap</t>
  </si>
  <si>
    <t>PPh 21 yang telah disetor pada Masa pajak Jan - Nov :</t>
  </si>
  <si>
    <t>Kurang Bayar (Lebih Bayar)</t>
  </si>
  <si>
    <t xml:space="preserve">Rekonsiliasi Objek Pajak PPh 21/26 </t>
  </si>
  <si>
    <t>Pegawai tetap dan lainnya</t>
  </si>
  <si>
    <t>Dokters</t>
  </si>
  <si>
    <t>(Gaji &amp; Tunjangan)</t>
  </si>
  <si>
    <t>Share</t>
  </si>
  <si>
    <t>Berdasarkan SPT</t>
  </si>
  <si>
    <t>Berdasarkan buku besar</t>
  </si>
  <si>
    <t>KKP</t>
  </si>
  <si>
    <t xml:space="preserve">    - Beban Pokok Penjualan</t>
  </si>
  <si>
    <t xml:space="preserve">    - Beban Pemasaran</t>
  </si>
  <si>
    <t xml:space="preserve">    - Beban Umum dan Administrasi</t>
  </si>
  <si>
    <t xml:space="preserve">    Sub-jumlah</t>
  </si>
  <si>
    <t>Beda rekonsiliasi pph 21 mnrt SPT dengan Legder</t>
  </si>
  <si>
    <t>(masuk koreksi fiskal beda tetap)</t>
  </si>
  <si>
    <t>Mar</t>
  </si>
  <si>
    <t>May</t>
  </si>
  <si>
    <t>Jul</t>
  </si>
  <si>
    <t>Aug</t>
  </si>
  <si>
    <t>Oct</t>
  </si>
  <si>
    <t>Junlah</t>
  </si>
  <si>
    <t>Kertas Kerja Pembantu : Rekon Beban Gaji &amp; SPT Pph 21</t>
  </si>
  <si>
    <t>Periode  : 31 Desember 2022</t>
  </si>
  <si>
    <t>Ref</t>
  </si>
  <si>
    <t>Beban Gaji 2022</t>
  </si>
  <si>
    <t>Beban Gaji 2021</t>
  </si>
  <si>
    <t>Beban Gaji 2020</t>
  </si>
  <si>
    <t>Rekap</t>
  </si>
  <si>
    <t>SPT</t>
  </si>
  <si>
    <t>Beban Gaji</t>
  </si>
  <si>
    <t>Appril</t>
  </si>
  <si>
    <t>Kekurangan Biaya Gaji</t>
  </si>
  <si>
    <t>Utang pph 21</t>
  </si>
  <si>
    <t>Vouching SSP dan SPM 23</t>
  </si>
  <si>
    <t>Daftar PPH 23</t>
  </si>
  <si>
    <t>JANUARI - DESEMBER 2018</t>
  </si>
  <si>
    <t>Bukti Potong</t>
  </si>
  <si>
    <t>Data Wajib Pajak</t>
  </si>
  <si>
    <t>Penghasilan Yang Dipotong</t>
  </si>
  <si>
    <t>Jumlah DPP</t>
  </si>
  <si>
    <t>PPh 23 final</t>
  </si>
  <si>
    <t xml:space="preserve">PPh 23 </t>
  </si>
  <si>
    <t>Urut</t>
  </si>
  <si>
    <t>NPWP</t>
  </si>
  <si>
    <t>PPh 23 Final</t>
  </si>
  <si>
    <t xml:space="preserve">No. </t>
  </si>
  <si>
    <t>Perbook</t>
  </si>
  <si>
    <t>Diff</t>
  </si>
  <si>
    <t>Rekap pph 23</t>
  </si>
  <si>
    <t>No Invoice</t>
  </si>
  <si>
    <t>Nama customer</t>
  </si>
  <si>
    <t>Pph 23</t>
  </si>
  <si>
    <t>Rekapitulasi SSP dan SPM 23</t>
  </si>
  <si>
    <t>JENIS PENGHASILAN</t>
  </si>
  <si>
    <t>PPH YANG DIPOTONG</t>
  </si>
  <si>
    <t>PENGHASILAN BRUTO</t>
  </si>
  <si>
    <t>Jasa Manajemen</t>
  </si>
  <si>
    <t>inv neturen</t>
  </si>
  <si>
    <t>Saldo berdasarkan accurate</t>
  </si>
  <si>
    <t>Saldo yang di SPT</t>
  </si>
  <si>
    <t>REKAPITULASI SSP PP 46</t>
  </si>
  <si>
    <t>FF4</t>
  </si>
  <si>
    <t>A:31 DESEMBER 2022</t>
  </si>
  <si>
    <t>Sumber: SSP PP 46</t>
  </si>
  <si>
    <t>Analisa pajak dibayar dimuka</t>
  </si>
  <si>
    <t>Menurut SSP</t>
  </si>
  <si>
    <t>Saldo buku [atau SPT Badan]</t>
  </si>
  <si>
    <t>Prepaid By:</t>
  </si>
  <si>
    <t>REKAPITULASI SSP DAN SPM PPH 4 ayat 2</t>
  </si>
  <si>
    <t>Reviewed By:</t>
  </si>
  <si>
    <t>FF5</t>
  </si>
  <si>
    <t>NILAI OBJEK PAJAK</t>
  </si>
  <si>
    <t>TARIF %</t>
  </si>
  <si>
    <t>Sumber : SSP dan SPM PPH 4 ayat 2- bulanan</t>
  </si>
  <si>
    <t>Matter        Imblana Paska Kerja</t>
  </si>
  <si>
    <t>Lembar saham</t>
  </si>
  <si>
    <t>Modal Dasar</t>
  </si>
  <si>
    <t>Modal Ditempatkan &amp; Disetor</t>
  </si>
  <si>
    <t>Sisa Modal Ditempatkan &amp; Disetor</t>
  </si>
  <si>
    <t>Nominal Rupiah Saham</t>
  </si>
  <si>
    <t xml:space="preserve">Nama </t>
  </si>
  <si>
    <t>sd 2022 tidak ada perubahan akta</t>
  </si>
  <si>
    <t>Ir Nanang Yusak Waluyo</t>
  </si>
  <si>
    <t>Agus Widodo</t>
  </si>
  <si>
    <t>Ir Boy Suwandi</t>
  </si>
  <si>
    <t>Nilai Lembar Saham</t>
  </si>
  <si>
    <t>Ir Boy Iswandi</t>
  </si>
  <si>
    <t>Komposisi Kepemilikan Saham</t>
  </si>
  <si>
    <t>No urut perjalanan akte</t>
  </si>
  <si>
    <t>No Akte</t>
  </si>
  <si>
    <t>Tgl Akte</t>
  </si>
  <si>
    <t>Notaris</t>
  </si>
  <si>
    <t>Mulyadi, S.H., M.Kn.</t>
  </si>
  <si>
    <t xml:space="preserve"> Eko Putranto, S.H., M.Kn.</t>
  </si>
  <si>
    <t>Sugito Tedjamulja, S.H., M.Kn.</t>
  </si>
  <si>
    <t>Notaris Elly Rustam, S.H., M.Kn.</t>
  </si>
  <si>
    <t>SK Menhumkam/kehakiman</t>
  </si>
  <si>
    <t>AHU-0143894.AH.01.11 Tahun 2018</t>
  </si>
  <si>
    <t>AHU-0077052.AH.01.09 Tahun 2011</t>
  </si>
  <si>
    <t>Tgl SK Humkam</t>
  </si>
  <si>
    <t>Direktur</t>
  </si>
  <si>
    <t>Ana Dwiarsih</t>
  </si>
  <si>
    <t xml:space="preserve">Nanang Yusak Walyo Ir </t>
  </si>
  <si>
    <t>Komisaris</t>
  </si>
  <si>
    <t>akta No. 10 tanggal 12 Mei 2017 dari Fardian, S.H., mengenai perubahan susunan pengurus perusahaan, yang tertuang dalam Keputusan Menteri Hukum dan Hak Asasi Manusia Republik Indonesia Nomor : AHU-AH.01-03.0137417 tanggal 18 Mei 2017.</t>
  </si>
  <si>
    <t>Audit Conclusion : Based on our audit procedure for this account, we conclude that the balance of capital stock are presented fairly with GAAP</t>
  </si>
  <si>
    <t>Uraian/Keterangan</t>
  </si>
  <si>
    <t>101</t>
  </si>
  <si>
    <t>Central Motor Wheel Indonesia PT</t>
  </si>
  <si>
    <t>102</t>
  </si>
  <si>
    <t>103</t>
  </si>
  <si>
    <t>Galang Anugerah Sejahtera PT</t>
  </si>
  <si>
    <t>104</t>
  </si>
  <si>
    <t>105</t>
  </si>
  <si>
    <t>Dgas Alam Semesta, PT</t>
  </si>
  <si>
    <t>106</t>
  </si>
  <si>
    <t xml:space="preserve">Sari Pasific Hotel </t>
  </si>
  <si>
    <t>107</t>
  </si>
  <si>
    <t>108</t>
  </si>
  <si>
    <t>Para Armatha Gasindo, PT</t>
  </si>
  <si>
    <t>109</t>
  </si>
  <si>
    <t>110</t>
  </si>
  <si>
    <t>Meindo Elang Indah PT</t>
  </si>
  <si>
    <t>Sariarthamas Hotel International PT</t>
  </si>
  <si>
    <t>Puri Dharmawangsa Raya Hotel PT</t>
  </si>
  <si>
    <t>Baharu Penta Kencana PT</t>
  </si>
  <si>
    <t>Griya Kartika Dharmawangsa PT</t>
  </si>
  <si>
    <t xml:space="preserve">Surya Gilang Perkasa PT </t>
  </si>
  <si>
    <t>Penjualan- PT Mitra Energi Persada - Proyek CHP</t>
  </si>
  <si>
    <t>Corpus Prima Energi PT</t>
  </si>
  <si>
    <t>Wijaya Karya (Persero) Tbk PT</t>
  </si>
  <si>
    <t>Mcconnell Dowell Indonesia PT</t>
  </si>
  <si>
    <t>Shima Kreasi Mandiri PT</t>
  </si>
  <si>
    <t>Surya Gilang Gemilang PT</t>
  </si>
  <si>
    <t>Technip Indonesia PT</t>
  </si>
  <si>
    <t xml:space="preserve">Inti Karya Persada Tehnik PT </t>
  </si>
  <si>
    <t>Enviromate Technology International PT</t>
  </si>
  <si>
    <t>Surya Hutani Jaya PT</t>
  </si>
  <si>
    <t>Pgas Telekomunikasi Nusantara PT</t>
  </si>
  <si>
    <t xml:space="preserve">Supernova PT </t>
  </si>
  <si>
    <t>Sumalindo Hutani Jaya PT</t>
  </si>
  <si>
    <t>Potongan Penjualan</t>
  </si>
  <si>
    <t>Jumlah Penjualan PPN</t>
  </si>
  <si>
    <t>Menurut Top Schedul PL</t>
  </si>
  <si>
    <t>NON PPN</t>
  </si>
  <si>
    <t>PT Pratama Energy Mandiri</t>
  </si>
  <si>
    <t>PT. Global Multiteknik Sejahtera</t>
  </si>
  <si>
    <t>PT. Central Motor Wheel Ind</t>
  </si>
  <si>
    <t>Hotel Borobudur Jakarta</t>
  </si>
  <si>
    <t>PT. Dgas Alam Semesta</t>
  </si>
  <si>
    <t>Jumlah Penjualan Non PPN</t>
  </si>
  <si>
    <t>Menurt PL Top schedul</t>
  </si>
  <si>
    <t>Analytical Procedure:</t>
  </si>
  <si>
    <t>Gross Profit Margin Ratio (GPM) =</t>
  </si>
  <si>
    <t>Gross Profit</t>
  </si>
  <si>
    <t>Sales</t>
  </si>
  <si>
    <t>Increase (decrease)</t>
  </si>
  <si>
    <t>GPM</t>
  </si>
  <si>
    <t>Penjelasn penjualan kepada customer adalah sbb :</t>
  </si>
  <si>
    <t>CMWI PPN = ADALAH PEKERJAAN PROYEK, pekerjaan kontraktor renovasi , CMWI (anak perusahaan yamaha)</t>
  </si>
  <si>
    <t>CMWI NON PPN = PENJUALAN GAS  TIDK KENA PPN, PROYEK</t>
  </si>
  <si>
    <t xml:space="preserve">    Gas yang dijual Digunakan untuk kebutuhan operasional perusahaan, sprt utk masuk, ngelas dan lainnya</t>
  </si>
  <si>
    <t xml:space="preserve">     ke CMWI beli gas dari IGA karena iGa sdh listing,</t>
  </si>
  <si>
    <t xml:space="preserve">     Iga ambil gas dari PEM, sdgkan Pem ambil dari vendornya</t>
  </si>
  <si>
    <t>PKS nomor ; 003/PJBCNG/IGA-MCWI/IV/2022</t>
  </si>
  <si>
    <t>Harga yg ditawarkan adalah sebesar USD 12,5 /MMBTU (million metric british thermal unit) diluar pajak</t>
  </si>
  <si>
    <t>Jumlah pembelian dr CMWI adalah sbsr 8,000/m3 dlam kondisi suplay gas PT PGN normal jika terjadi upnormal mk hrgnya adalah 4.000/M3</t>
  </si>
  <si>
    <t>PATRA LOGSITIK = TAGIHAN BULANAN</t>
  </si>
  <si>
    <t>GNTU =  PROYEK WTP</t>
  </si>
  <si>
    <t>Jenis pendapatan dari Jasa Rental terdiri dari :</t>
  </si>
  <si>
    <t>SEWA GTM 10 Feed Plus Head Truk + Driver</t>
  </si>
  <si>
    <t>Patra</t>
  </si>
  <si>
    <t>SEWA GTM 20 Feed Bufer</t>
  </si>
  <si>
    <t>Dgas, GAS</t>
  </si>
  <si>
    <t>TRIP COST</t>
  </si>
  <si>
    <t>BBM</t>
  </si>
  <si>
    <t>MARGIN 20%</t>
  </si>
  <si>
    <t>TOL</t>
  </si>
  <si>
    <t>UANG MKN</t>
  </si>
  <si>
    <t>DRIVER</t>
  </si>
  <si>
    <t>Kesimpulan:</t>
  </si>
  <si>
    <t>Audit Conclusion : Based on our audit procedure for this account, we conclude that the balance of sales are presented fairly with GAAP</t>
  </si>
  <si>
    <t>…</t>
  </si>
  <si>
    <t>Tagihan Trip cost ke patra logistik</t>
  </si>
  <si>
    <t>Agu</t>
  </si>
  <si>
    <t>Rekonsiliasi Laporan Laba Rugi Komersial dan Fiskal</t>
  </si>
  <si>
    <t>31 Desember 2022,2021 dan 2020</t>
  </si>
  <si>
    <t>KOMERSIAL</t>
  </si>
  <si>
    <t>KOREKSI POSITIF</t>
  </si>
  <si>
    <t>KOREKSI NEGATIF</t>
  </si>
  <si>
    <t>FISKAL</t>
  </si>
  <si>
    <t>Pendapatan Bersih</t>
  </si>
  <si>
    <t>Dikurangi pendapatan yanng dikenakan pph final</t>
  </si>
  <si>
    <t>Beban Pokok Pendapatan</t>
  </si>
  <si>
    <t>Jumlah Beban Pokok Pendapatan</t>
  </si>
  <si>
    <t>Jumlah BUA</t>
  </si>
  <si>
    <t>Total Beban Usaha</t>
  </si>
  <si>
    <t>LAin2</t>
  </si>
  <si>
    <t>Jumlah pendapatan lain2</t>
  </si>
  <si>
    <t>Beban Lain2</t>
  </si>
  <si>
    <t>Jumlah Beban Lain2</t>
  </si>
  <si>
    <t>Total Penghasilan (Beban) Lain-lain</t>
  </si>
  <si>
    <t>PPh badan</t>
  </si>
  <si>
    <t>Dikurangi PPh pasal 23 :</t>
  </si>
  <si>
    <t>Patlog</t>
  </si>
  <si>
    <t>BOSL</t>
  </si>
  <si>
    <t>JIHD</t>
  </si>
  <si>
    <t>GNTU</t>
  </si>
  <si>
    <t>CSTS</t>
  </si>
  <si>
    <t>Jumlah Bupot</t>
  </si>
  <si>
    <t>Taksiran pajak kurang (lebih) bayar pasal 29</t>
  </si>
  <si>
    <t>utk bupot tulisan wrn merah blm diterima bupotnya</t>
  </si>
  <si>
    <t>Sisa Kompensasi Kerugian thn 2017</t>
  </si>
  <si>
    <t>Dikurangi:</t>
  </si>
  <si>
    <t xml:space="preserve">   PPh 25</t>
  </si>
  <si>
    <t>Jumlah Kredit Pajak</t>
  </si>
  <si>
    <t>Rekap Pendapatan by Type</t>
  </si>
  <si>
    <t>Rekap Pendapatan by Customer</t>
  </si>
  <si>
    <t>Rincian Pendapatan by  customer</t>
  </si>
  <si>
    <t>Rincian Pendapatan</t>
  </si>
  <si>
    <t>Type pendapatan</t>
  </si>
  <si>
    <t>original klien</t>
  </si>
  <si>
    <t>Bass Oil Sukananti Limited, PT</t>
  </si>
  <si>
    <t>Central Motor Wheel Indonesia, PT</t>
  </si>
  <si>
    <t>Global Multiteknik Sejahtera, PT</t>
  </si>
  <si>
    <t xml:space="preserve">Galang Anugerah Sejahtera, PT </t>
  </si>
  <si>
    <t xml:space="preserve">Sariarthamas Hotel International, PT </t>
  </si>
  <si>
    <t>Central Motor Wheel Indonesia, Kawasan Rembang Industri, PT</t>
  </si>
  <si>
    <t>Csts Joint Operation, PT</t>
  </si>
  <si>
    <t>Para Amartha Gasindo, PT</t>
  </si>
  <si>
    <t>Jakarta International Hotels &amp; Development Tbk, PT</t>
  </si>
  <si>
    <t>Meindo Elang Indah, PT</t>
  </si>
  <si>
    <t>Mitra Energi Buana, PT</t>
  </si>
  <si>
    <t>Puri Dharmawangsa Raya Hotel, PT</t>
  </si>
  <si>
    <t xml:space="preserve">Anugerah Multi Kreasi, Cv </t>
  </si>
  <si>
    <t>CV ANUGERAH MULTI KREASI</t>
  </si>
  <si>
    <t>Baharu Penta Kencana, PT</t>
  </si>
  <si>
    <t xml:space="preserve">DGAS ALAM SEMESTA PT </t>
  </si>
  <si>
    <t>Griya Kartika Dharmawangsa, PT</t>
  </si>
  <si>
    <t xml:space="preserve">GALANG ANUGERAH SEJAHTERA PT </t>
  </si>
  <si>
    <t>Surya Gilang Perkasa, PT</t>
  </si>
  <si>
    <t xml:space="preserve">GRAHANIAGA TATAUTAMA PT </t>
  </si>
  <si>
    <t>PT Central Motor wheel Indonesia, Kawasan Rembang Industri</t>
  </si>
  <si>
    <t>PT GRAHANIAGA TATAUTAMA</t>
  </si>
  <si>
    <t xml:space="preserve">PATRA LOGISTIK PT </t>
  </si>
  <si>
    <t>PT JAKARTA INTERNATIONAL HOTELS &amp; DEVELOPMENT Tbk</t>
  </si>
  <si>
    <t>PT PARA AMARTHA GASINDO</t>
  </si>
  <si>
    <t>PT PATRA LOGISTIK</t>
  </si>
  <si>
    <t>PEM PT</t>
  </si>
  <si>
    <t>PT. DAS</t>
  </si>
  <si>
    <t xml:space="preserve">SARIARTHAMAS HOTEL INTERNATIONAL PT </t>
  </si>
  <si>
    <t>Jumlah Pendapatan</t>
  </si>
  <si>
    <t>Central Motor wheel Indonesia, PT</t>
  </si>
  <si>
    <t xml:space="preserve">BOHIR </t>
  </si>
  <si>
    <t>PT MEP</t>
  </si>
  <si>
    <t>Project Title</t>
  </si>
  <si>
    <t>: PEKERJAAN MECHANIKAL &amp; ELECTRICAL  (COMBINE HEAT POWER (CHP) GTG AND HRSG DAP , PROJECT)</t>
  </si>
  <si>
    <t>: PT. DOMAS AGRO INTI PRIMA</t>
  </si>
  <si>
    <t>Location</t>
  </si>
  <si>
    <t>: MEDAN /SUM-UT</t>
  </si>
  <si>
    <t>Progress</t>
  </si>
  <si>
    <t>Penagihan</t>
  </si>
  <si>
    <t>INVOICE</t>
  </si>
  <si>
    <t>OUTSTANDING INVOICE</t>
  </si>
  <si>
    <t>Payment</t>
  </si>
  <si>
    <t>Total Payment</t>
  </si>
  <si>
    <t>SALDO Payment</t>
  </si>
  <si>
    <t>TERM 1</t>
  </si>
  <si>
    <t>TERM 2</t>
  </si>
  <si>
    <t>TERM 3</t>
  </si>
  <si>
    <t>TERM 4</t>
  </si>
  <si>
    <t>TERM 5</t>
  </si>
  <si>
    <t>DPP+PPN</t>
  </si>
  <si>
    <t>Nomer Inv</t>
  </si>
  <si>
    <t>PO</t>
  </si>
  <si>
    <t xml:space="preserve">DP </t>
  </si>
  <si>
    <t>Progress 2</t>
  </si>
  <si>
    <t>002/IGA-MEP/INV/I/2023</t>
  </si>
  <si>
    <t>Progress 3</t>
  </si>
  <si>
    <t>003/IGA-MEP/INV/I/2023</t>
  </si>
  <si>
    <t>Progress 4</t>
  </si>
  <si>
    <t>004/IGA-MEP/INV/I/2023</t>
  </si>
  <si>
    <t>Progress 5</t>
  </si>
  <si>
    <t>005/IGA-MEP/INV/IV/2023</t>
  </si>
  <si>
    <t>Progress 6</t>
  </si>
  <si>
    <t>006/IGA-MEP/INV/V/2023</t>
  </si>
  <si>
    <t>Progress 7</t>
  </si>
  <si>
    <t>007/IGA-MEP/INV/VI/2023</t>
  </si>
  <si>
    <t>Progress 8</t>
  </si>
  <si>
    <t>008/IGA-MEP/INV/VII/2023</t>
  </si>
  <si>
    <t>Progress 9</t>
  </si>
  <si>
    <t>009/IGA-MEP/INV/VI/2023</t>
  </si>
  <si>
    <t>pendapatan</t>
  </si>
  <si>
    <t>beban pokok pendapatan</t>
  </si>
  <si>
    <t>% Sales</t>
  </si>
  <si>
    <t>% COGS</t>
  </si>
  <si>
    <t>total pendapatan</t>
  </si>
  <si>
    <t>pendapatan diakui</t>
  </si>
  <si>
    <t>Jumlah pendapatan diakui</t>
  </si>
  <si>
    <t>Investasi MTM</t>
  </si>
  <si>
    <t>HPP baru</t>
  </si>
  <si>
    <t>beban hpp</t>
  </si>
  <si>
    <t xml:space="preserve">utang </t>
  </si>
  <si>
    <t>Per 31 Desember 2022</t>
  </si>
  <si>
    <t>Detil Rinci Pendapatan</t>
  </si>
  <si>
    <t>Faktur Pajak</t>
  </si>
  <si>
    <t>Customer/Vendor Name</t>
  </si>
  <si>
    <t>reff.</t>
  </si>
  <si>
    <t>PPN DN</t>
  </si>
  <si>
    <t xml:space="preserve">BALANCE </t>
  </si>
  <si>
    <t>PPN KURANG</t>
  </si>
  <si>
    <t>SPT Masa Yg di Lapor</t>
  </si>
  <si>
    <t>Lapor di</t>
  </si>
  <si>
    <t>Nota Retur</t>
  </si>
  <si>
    <t>Jenis</t>
  </si>
  <si>
    <t>hutang</t>
  </si>
  <si>
    <t>Income</t>
  </si>
  <si>
    <t>Cost</t>
  </si>
  <si>
    <t>ZERO CHECK</t>
  </si>
  <si>
    <t>No.Seri</t>
  </si>
  <si>
    <t>PM/PK</t>
  </si>
  <si>
    <t>Masukan</t>
  </si>
  <si>
    <t xml:space="preserve">Keluaran </t>
  </si>
  <si>
    <t>WaPu</t>
  </si>
  <si>
    <t xml:space="preserve">KB (LB) </t>
  </si>
  <si>
    <t>(LEBIH) BAYAR</t>
  </si>
  <si>
    <t>Normal</t>
  </si>
  <si>
    <t>Pembetulan-1</t>
  </si>
  <si>
    <t>Masa (Normal)</t>
  </si>
  <si>
    <t>(Pembetulan)</t>
  </si>
  <si>
    <t>No BUPOT</t>
  </si>
  <si>
    <t>Prepaid pph 23</t>
  </si>
  <si>
    <t>Pph 4 (2)</t>
  </si>
  <si>
    <t>Project</t>
  </si>
  <si>
    <t>WORK</t>
  </si>
  <si>
    <t>INV</t>
  </si>
  <si>
    <t>NON WAPU</t>
  </si>
  <si>
    <t>WAPU</t>
  </si>
  <si>
    <t>SALDO KURANG (LEBIH) BAYAR PPN DN 2021</t>
  </si>
  <si>
    <t>030.003-22.65269988</t>
  </si>
  <si>
    <t>02.072.473.8-081.000</t>
  </si>
  <si>
    <t>PK</t>
  </si>
  <si>
    <t>030.003-22.65269989</t>
  </si>
  <si>
    <t>030.003-22.65269990</t>
  </si>
  <si>
    <t>030.003-22.65269991</t>
  </si>
  <si>
    <t>010.003-22.65269992</t>
  </si>
  <si>
    <t>01.061.152.3-051.000</t>
  </si>
  <si>
    <t>010.003-22.65269993</t>
  </si>
  <si>
    <t>010.003-22.65269994</t>
  </si>
  <si>
    <t>010.003-22.65269995</t>
  </si>
  <si>
    <t>010.003-22.65269996</t>
  </si>
  <si>
    <t>010.003-22.65269997</t>
  </si>
  <si>
    <t>01.347.354.1-062.000</t>
  </si>
  <si>
    <t>010.003-22.65269998</t>
  </si>
  <si>
    <t>010.003-22.65269999</t>
  </si>
  <si>
    <t>01.869.342.4-055.000</t>
  </si>
  <si>
    <t>010.003-22.65270000</t>
  </si>
  <si>
    <t>010.002-22.99672373</t>
  </si>
  <si>
    <t>02.867.703.7-005.000</t>
  </si>
  <si>
    <t>PM</t>
  </si>
  <si>
    <t>010.003-22.65270001</t>
  </si>
  <si>
    <t>20 Oct 22</t>
  </si>
  <si>
    <t>010.003-22.65270002</t>
  </si>
  <si>
    <t>010.003-22.65270003</t>
  </si>
  <si>
    <t>011.003-22.65270003</t>
  </si>
  <si>
    <t>010.003-22.65270004</t>
  </si>
  <si>
    <t>010.003-22.65270005</t>
  </si>
  <si>
    <t>010.003-22.65270006</t>
  </si>
  <si>
    <t>030.003-22.65270007</t>
  </si>
  <si>
    <t>030.003-22.65270008</t>
  </si>
  <si>
    <t>030.003-22.65270009</t>
  </si>
  <si>
    <t>010.003-22.65270010</t>
  </si>
  <si>
    <t>010.003-22.65270011</t>
  </si>
  <si>
    <t>010.003-22.65270012</t>
  </si>
  <si>
    <t>010.003-22.65270013</t>
  </si>
  <si>
    <t>010.003-22.65270014</t>
  </si>
  <si>
    <t>010.003-22.65270015</t>
  </si>
  <si>
    <t>010.003-22.65270016</t>
  </si>
  <si>
    <t>010.003-22.65270017</t>
  </si>
  <si>
    <t>010.003-22.65270018</t>
  </si>
  <si>
    <t>010.003-22.65270019</t>
  </si>
  <si>
    <t>010.003-22.65270020</t>
  </si>
  <si>
    <t>010.003-22.65270021</t>
  </si>
  <si>
    <t>010.003-22.65270022</t>
  </si>
  <si>
    <t>010.003-22.65270023</t>
  </si>
  <si>
    <t>010.003-22.65270024</t>
  </si>
  <si>
    <t>010.003-22.65270025</t>
  </si>
  <si>
    <t>010.003-22.65270026</t>
  </si>
  <si>
    <t>010.003-22.65270027</t>
  </si>
  <si>
    <t>010.003-22.65270028</t>
  </si>
  <si>
    <t>010.003-22.65270029</t>
  </si>
  <si>
    <t>010.003-22.65270030</t>
  </si>
  <si>
    <t>010.003-22.65270031</t>
  </si>
  <si>
    <t>010.003-22.65270032</t>
  </si>
  <si>
    <t>010.003-22.65270033</t>
  </si>
  <si>
    <t>010.003-22.65270034</t>
  </si>
  <si>
    <t>010.003-22.65270035</t>
  </si>
  <si>
    <t>010.003-22.65270036</t>
  </si>
  <si>
    <t>010.003-22.65270037</t>
  </si>
  <si>
    <t>010.003-22.65270038</t>
  </si>
  <si>
    <t>010.003-22.65270039</t>
  </si>
  <si>
    <t>010.003-22.65270040</t>
  </si>
  <si>
    <t>010.003-22.65270041</t>
  </si>
  <si>
    <t>010.003-22.65270042</t>
  </si>
  <si>
    <t>010.003-22.65270043</t>
  </si>
  <si>
    <t>010.003-22.65270044</t>
  </si>
  <si>
    <t>010.003-22.65270045</t>
  </si>
  <si>
    <t>010.003-22.65270046</t>
  </si>
  <si>
    <t>010.003-22.65270047</t>
  </si>
  <si>
    <t>010.003-22.65270048</t>
  </si>
  <si>
    <t>010.003-22.65270049</t>
  </si>
  <si>
    <t>010.008-22.38738212</t>
  </si>
  <si>
    <t>010.003-22.65270050</t>
  </si>
  <si>
    <t>010.003-22.65270051</t>
  </si>
  <si>
    <t>010.003-22.65270052</t>
  </si>
  <si>
    <t>010.003-22.65270053</t>
  </si>
  <si>
    <t>010.003-22.65270054</t>
  </si>
  <si>
    <t>010.003-22.65270055</t>
  </si>
  <si>
    <t>010.008-22.38738475</t>
  </si>
  <si>
    <t>010.003-22.65270056</t>
  </si>
  <si>
    <t>010.003-22.65270057</t>
  </si>
  <si>
    <t>66.145.358.9-617.000</t>
  </si>
  <si>
    <t>010.003-22.65270058</t>
  </si>
  <si>
    <t>010.003-22.65270059</t>
  </si>
  <si>
    <t>010.003-22.65270060</t>
  </si>
  <si>
    <t>010.003-22.65270061</t>
  </si>
  <si>
    <t>02.414.754.8-056.000</t>
  </si>
  <si>
    <t>010.003-22.65270062</t>
  </si>
  <si>
    <t>010.009-22.74181052</t>
  </si>
  <si>
    <t>010.009-22.74181053</t>
  </si>
  <si>
    <t>01.000.199.8-051.000</t>
  </si>
  <si>
    <t>010.009-22.74181054</t>
  </si>
  <si>
    <t>010.009-22.74181055</t>
  </si>
  <si>
    <t>010.009-22.74181056</t>
  </si>
  <si>
    <t>010.009-22.74181057</t>
  </si>
  <si>
    <t>010.009-22.74181058</t>
  </si>
  <si>
    <t>010.009-22.74181059</t>
  </si>
  <si>
    <t>010.009-22.74181060</t>
  </si>
  <si>
    <t>010.009-22.74181061</t>
  </si>
  <si>
    <t>010.009-22.74181062</t>
  </si>
  <si>
    <t>010.009-22.74181063</t>
  </si>
  <si>
    <t>010.009-22.74181064</t>
  </si>
  <si>
    <t>010.009-22.74181065</t>
  </si>
  <si>
    <t>010.009-22.74181066</t>
  </si>
  <si>
    <t>010.009-22.74181067</t>
  </si>
  <si>
    <t>010.009-22.74181068</t>
  </si>
  <si>
    <t>010.009-22.74181069</t>
  </si>
  <si>
    <t>TOTAL HUT PPN DN 2022 - KB (LB)</t>
  </si>
  <si>
    <t>KURANG (LEBIH) BAYAR PPN DN 2021</t>
  </si>
  <si>
    <t>000001.pph23.IGA.XI.2020</t>
  </si>
  <si>
    <t>INCOME</t>
  </si>
  <si>
    <t>KURANG (LEBIH) BAYAR PPN DN 2022</t>
  </si>
  <si>
    <t>Cutt of sales des 2022</t>
  </si>
  <si>
    <t>Invoice 2022</t>
  </si>
  <si>
    <t>AR</t>
  </si>
  <si>
    <t>DPP PPN</t>
  </si>
  <si>
    <t>NON</t>
  </si>
  <si>
    <t>PT. GAS</t>
  </si>
  <si>
    <t>PT. Grahaniaga Tatautama</t>
  </si>
  <si>
    <t>PT. Patra Logistic</t>
  </si>
  <si>
    <t>+pem</t>
  </si>
  <si>
    <t>Jaminan Pembayaran Proyek</t>
  </si>
  <si>
    <t>PT. MEP</t>
  </si>
  <si>
    <t>Non PPN</t>
  </si>
  <si>
    <t>tagihan ke PEM setiap bulan adalah sebesar</t>
  </si>
  <si>
    <t>Grand Total</t>
  </si>
  <si>
    <t>perbulan</t>
  </si>
  <si>
    <t>yg dipakai yg orange</t>
  </si>
  <si>
    <t>pertahun</t>
  </si>
  <si>
    <t>A+B+C</t>
  </si>
  <si>
    <t>Total Tagihan</t>
  </si>
  <si>
    <t>tagihan non ppn kepada</t>
  </si>
  <si>
    <t>tagihan ppn kepada</t>
  </si>
  <si>
    <t>Per 31 Desember 2021</t>
  </si>
  <si>
    <t>SALDO KURANG (LEBIH) BAYAR PPN DN 2020</t>
  </si>
  <si>
    <t>010.004-21.09640167</t>
  </si>
  <si>
    <t>010.004-21.09640168</t>
  </si>
  <si>
    <t>010.004-21.09640169</t>
  </si>
  <si>
    <t>030.004-21.09640170</t>
  </si>
  <si>
    <t>030.004-21.09640171</t>
  </si>
  <si>
    <t>010.004-21.09640172</t>
  </si>
  <si>
    <t>010.004-21.09640173</t>
  </si>
  <si>
    <t>010.004-21.09640174</t>
  </si>
  <si>
    <t>010.004-21.09640175</t>
  </si>
  <si>
    <t>010.004-21.09640176</t>
  </si>
  <si>
    <t>010.004-21.09640177</t>
  </si>
  <si>
    <t>010.004-21.09640178</t>
  </si>
  <si>
    <t>010.004-21.09640179</t>
  </si>
  <si>
    <t>010.004-21.09640180</t>
  </si>
  <si>
    <t>010.004-21.09640181</t>
  </si>
  <si>
    <t>010.004-21.09640182</t>
  </si>
  <si>
    <t>010.003-21.86347416</t>
  </si>
  <si>
    <t>010.007-20.17502110</t>
  </si>
  <si>
    <t>PT ELMECON MULTIKENCANA</t>
  </si>
  <si>
    <t>01.777.726.9-037.000</t>
  </si>
  <si>
    <t>010.008-20.80680744</t>
  </si>
  <si>
    <t>030.004-21.09640183</t>
  </si>
  <si>
    <t>030.004-21.09640184</t>
  </si>
  <si>
    <t>030.004-21.09640185</t>
  </si>
  <si>
    <t>010.004-21.09640186</t>
  </si>
  <si>
    <t>71.492.391.9-016.000</t>
  </si>
  <si>
    <t>010.004-21.09640187</t>
  </si>
  <si>
    <t>010.004-21.09640188</t>
  </si>
  <si>
    <t>010.004-21.09640189</t>
  </si>
  <si>
    <t>010.004-21.09640190</t>
  </si>
  <si>
    <t>010.004-21.09640191</t>
  </si>
  <si>
    <t>010.004-21.09640192</t>
  </si>
  <si>
    <t>010.004-21.09640193</t>
  </si>
  <si>
    <t>010.004-21.09640194</t>
  </si>
  <si>
    <t>010.004-21.09640195</t>
  </si>
  <si>
    <t>010.005-21.24974428</t>
  </si>
  <si>
    <t>010.004-21.28772835</t>
  </si>
  <si>
    <t>PT SCHNEIDER ELECTRIC SYSTEMS INDONESIA</t>
  </si>
  <si>
    <t>01.002.214.3-055.000</t>
  </si>
  <si>
    <t>010.004-21.09640196</t>
  </si>
  <si>
    <t>010.004-21.09640197</t>
  </si>
  <si>
    <t>010.004-21.09640198</t>
  </si>
  <si>
    <t>010.004-21.09640199</t>
  </si>
  <si>
    <t>010.004-21.09640200</t>
  </si>
  <si>
    <t>010.004-21.09640201</t>
  </si>
  <si>
    <t>010.004-21.09640202</t>
  </si>
  <si>
    <t>010.004-21.09640203</t>
  </si>
  <si>
    <t>010.004-21.09640204</t>
  </si>
  <si>
    <t>010.004-21.09640205</t>
  </si>
  <si>
    <t>030.004-21.09640206</t>
  </si>
  <si>
    <t>030.004-21.09640207</t>
  </si>
  <si>
    <t>010.004-21.09640208</t>
  </si>
  <si>
    <t>010.004-21.09640209</t>
  </si>
  <si>
    <t>010.005-21.24974641</t>
  </si>
  <si>
    <t>030.004-21.09640210</t>
  </si>
  <si>
    <t>030.004-21.09640211</t>
  </si>
  <si>
    <t>030.004-21.09640212</t>
  </si>
  <si>
    <t>030.004-21.09640213</t>
  </si>
  <si>
    <t>010.004-21.09640214</t>
  </si>
  <si>
    <t>010.004-21.09640215</t>
  </si>
  <si>
    <t>010.004-21.09640216</t>
  </si>
  <si>
    <t>010.004-21.09640217</t>
  </si>
  <si>
    <t>010.004-21.09640218</t>
  </si>
  <si>
    <t>010.004-21.09640219</t>
  </si>
  <si>
    <t>010.004-21.09640220</t>
  </si>
  <si>
    <t>010.004-21.09640221</t>
  </si>
  <si>
    <t>010.004-21.09640222</t>
  </si>
  <si>
    <t>010.005-21.88950827</t>
  </si>
  <si>
    <t>010.004-21.09640223</t>
  </si>
  <si>
    <t>030.004-21.09640224</t>
  </si>
  <si>
    <t>030.004-21.09640225</t>
  </si>
  <si>
    <t>030.004-21.09640226</t>
  </si>
  <si>
    <t>010.004-21.09640227</t>
  </si>
  <si>
    <t>010.004-21.09640228</t>
  </si>
  <si>
    <t>010.004-21.09640229</t>
  </si>
  <si>
    <t>010.004-21.09640230</t>
  </si>
  <si>
    <t>010.004-21.09640231</t>
  </si>
  <si>
    <t>010.004-21.09640232</t>
  </si>
  <si>
    <t>010.004-21.09640233</t>
  </si>
  <si>
    <t>010.004-21.09640234</t>
  </si>
  <si>
    <t>030.004-21.09640235</t>
  </si>
  <si>
    <t>030.004-21.09640236</t>
  </si>
  <si>
    <t>010.004-21.09640237</t>
  </si>
  <si>
    <t>01.002.825.6-054.000</t>
  </si>
  <si>
    <t>010.004-21.09640238</t>
  </si>
  <si>
    <t>010.004-21.09640239</t>
  </si>
  <si>
    <t>010.004-21.09640240</t>
  </si>
  <si>
    <t>010.004-21.09640241</t>
  </si>
  <si>
    <t>010.006-21.75641127</t>
  </si>
  <si>
    <t>31.592.857.2-015.000</t>
  </si>
  <si>
    <t>010.006-21.75641128</t>
  </si>
  <si>
    <t>010.006-21.75641129</t>
  </si>
  <si>
    <t>010.006-21.75641130</t>
  </si>
  <si>
    <t>010.006-21.75641131</t>
  </si>
  <si>
    <t>010.005-21.88951075</t>
  </si>
  <si>
    <t>010.006-21.53860049</t>
  </si>
  <si>
    <t>010.006-21.75641132</t>
  </si>
  <si>
    <t>010.006-21.75641133</t>
  </si>
  <si>
    <t>010.006-21.75641134</t>
  </si>
  <si>
    <t>030.006-21.75641135</t>
  </si>
  <si>
    <t>030.006-21.75641136</t>
  </si>
  <si>
    <t>010.006-21.75641137</t>
  </si>
  <si>
    <t>010.006-21.75641138</t>
  </si>
  <si>
    <t>010.006-21.75641139</t>
  </si>
  <si>
    <t>010.006-21.75641140</t>
  </si>
  <si>
    <t>010.006-21.75641141</t>
  </si>
  <si>
    <t>010.006-21.75641142</t>
  </si>
  <si>
    <t>010.006-21.75641143</t>
  </si>
  <si>
    <t>030.006-21.75641144</t>
  </si>
  <si>
    <t>030.006-21.75641145</t>
  </si>
  <si>
    <t>010.006-21.75641146</t>
  </si>
  <si>
    <t>010.006-21.75641147</t>
  </si>
  <si>
    <t>010.006-21.75641148</t>
  </si>
  <si>
    <t>010.006-21.75641149</t>
  </si>
  <si>
    <t>010.006-21.75641150</t>
  </si>
  <si>
    <t>010.007-21.39161866</t>
  </si>
  <si>
    <t>LEBIH BAYAR</t>
  </si>
  <si>
    <t>010.008-21.10171603</t>
  </si>
  <si>
    <t>PT LINGKUNGAN LESTARI JAYA</t>
  </si>
  <si>
    <t>93.464.417.0-008.000</t>
  </si>
  <si>
    <t>010.008-21.13380500</t>
  </si>
  <si>
    <t>010.006-21.75641151</t>
  </si>
  <si>
    <t>010.006-21.75641152</t>
  </si>
  <si>
    <t>010.006-21.75641153</t>
  </si>
  <si>
    <t>010.006-21.75641154</t>
  </si>
  <si>
    <t>010.006-21.75641155</t>
  </si>
  <si>
    <t>010.006-21.75641156</t>
  </si>
  <si>
    <t>010.006-21.75641157</t>
  </si>
  <si>
    <t>030.006-21.75641158</t>
  </si>
  <si>
    <t>030.006-21.75641159</t>
  </si>
  <si>
    <t>010.006-21.75641160</t>
  </si>
  <si>
    <t>010.006-21.75641161</t>
  </si>
  <si>
    <t>010.006-21.75641162</t>
  </si>
  <si>
    <t>010.006-21.75641163</t>
  </si>
  <si>
    <t>010.006-21.75641164</t>
  </si>
  <si>
    <t>010.006-21.75641165</t>
  </si>
  <si>
    <t>030.006-21.75641166</t>
  </si>
  <si>
    <t>030.006-21.75641167</t>
  </si>
  <si>
    <t>030.006-21.75641168</t>
  </si>
  <si>
    <t>010.006-21.75641169</t>
  </si>
  <si>
    <t>010.006-21.75641170</t>
  </si>
  <si>
    <t>010.006-21.75641171</t>
  </si>
  <si>
    <t>010.006-21.75641172</t>
  </si>
  <si>
    <t>010.006-21.75641173</t>
  </si>
  <si>
    <t>010.006-21.75641174</t>
  </si>
  <si>
    <t>010.006-21.75641175</t>
  </si>
  <si>
    <t>010.006-21.75641176</t>
  </si>
  <si>
    <t>010.006-21.75641177</t>
  </si>
  <si>
    <t>030.006-21.75641178</t>
  </si>
  <si>
    <t>030.006-21.75641179</t>
  </si>
  <si>
    <t>010.006-21.75641180</t>
  </si>
  <si>
    <t>010.006-21.75641181</t>
  </si>
  <si>
    <t>010.006-21.75641182</t>
  </si>
  <si>
    <t>010.006-21.75641183</t>
  </si>
  <si>
    <t>010.006-21.75641184</t>
  </si>
  <si>
    <t>010.006-21.75641185</t>
  </si>
  <si>
    <t>010.006-21.75641186</t>
  </si>
  <si>
    <t>010.006-21.75641187</t>
  </si>
  <si>
    <t>010.006-21.75641188</t>
  </si>
  <si>
    <t>010.006-21.75641189</t>
  </si>
  <si>
    <t>010.006-21.75641190</t>
  </si>
  <si>
    <t>030.006-21.75641191</t>
  </si>
  <si>
    <t>030.006-21.75641192</t>
  </si>
  <si>
    <t>030.006-21.75641193</t>
  </si>
  <si>
    <t>030.006-21.75641194</t>
  </si>
  <si>
    <t>010.006-21.75641195</t>
  </si>
  <si>
    <t>010.006-21.75641196</t>
  </si>
  <si>
    <t>010.006-21.75641197</t>
  </si>
  <si>
    <t>010.006-21.75641198</t>
  </si>
  <si>
    <t>010.006-21.75641199</t>
  </si>
  <si>
    <t>010.006-21.75641200</t>
  </si>
  <si>
    <t>010.006-21.75641201</t>
  </si>
  <si>
    <t>010.009-21.39397678</t>
  </si>
  <si>
    <t>DPS</t>
  </si>
  <si>
    <t>Kurang Bayar</t>
  </si>
  <si>
    <t>TOTAL HUT PPN DN 2021 - KB (LB)</t>
  </si>
  <si>
    <t>KURANG (LEBIH) BAYAR PPN DN 2020</t>
  </si>
  <si>
    <t>NAMA CUSTOMER</t>
  </si>
  <si>
    <t>JML</t>
  </si>
  <si>
    <t>PT Central Motor wheel Indonesia</t>
  </si>
  <si>
    <t>PT DHARMA PRATAMA SEJATI</t>
  </si>
  <si>
    <t>mutasi bulanan</t>
  </si>
  <si>
    <t>Client              PT COMTECH CELLULAR</t>
  </si>
  <si>
    <t>Matter               Vouching penjualan</t>
  </si>
  <si>
    <t>Data</t>
  </si>
  <si>
    <t>Acc name</t>
  </si>
  <si>
    <t>No FP</t>
  </si>
  <si>
    <t>Nama Customer</t>
  </si>
  <si>
    <t>Kunlatif</t>
  </si>
  <si>
    <t xml:space="preserve">SALES  </t>
  </si>
  <si>
    <t>SALES   Total</t>
  </si>
  <si>
    <t>fr 10</t>
  </si>
  <si>
    <t>sumber dok:invoice, Faktur pajak</t>
  </si>
  <si>
    <t xml:space="preserve">Matter               </t>
  </si>
  <si>
    <t>Cut off penjualan</t>
  </si>
  <si>
    <t xml:space="preserve">TANGGAL </t>
  </si>
  <si>
    <t>NO FAKTUR</t>
  </si>
  <si>
    <t>TGL SRT JLN</t>
  </si>
  <si>
    <t>QTY</t>
  </si>
  <si>
    <t>SATUAN</t>
  </si>
  <si>
    <t>FAKTUR</t>
  </si>
  <si>
    <t>nilai</t>
  </si>
  <si>
    <t>dari Gl</t>
  </si>
  <si>
    <t>==================================CUT OFF===================================</t>
  </si>
  <si>
    <t>SALES SERVICE</t>
  </si>
  <si>
    <t>SALES GOODS</t>
  </si>
  <si>
    <t>CMWI = PROYEK</t>
  </si>
  <si>
    <t>NAMA SUPPLIER</t>
  </si>
  <si>
    <t>NAMA BARANG</t>
  </si>
  <si>
    <t>Rp</t>
  </si>
  <si>
    <t>010.000-12.00000081</t>
  </si>
  <si>
    <t xml:space="preserve">Matter             </t>
  </si>
  <si>
    <t>Beban Pokok Penjualan</t>
  </si>
  <si>
    <t>Naik (turun)</t>
  </si>
  <si>
    <t>Ref.</t>
  </si>
  <si>
    <t>Adj.</t>
  </si>
  <si>
    <t>Harga Pokok Penjualan</t>
  </si>
  <si>
    <t>20.1</t>
  </si>
  <si>
    <t>Upah karyawan proyek</t>
  </si>
  <si>
    <t>20.2</t>
  </si>
  <si>
    <t>Transport</t>
  </si>
  <si>
    <t>20.3</t>
  </si>
  <si>
    <t>Penyusutan dan Amortisasi</t>
  </si>
  <si>
    <t>20.4</t>
  </si>
  <si>
    <t>Lain lain</t>
  </si>
  <si>
    <t>20.5</t>
  </si>
  <si>
    <t>Jumlah Beban HPP</t>
  </si>
  <si>
    <t>Audit Conclusion : Based on our audit procedure for this account, we conclude that the balance of cost sales sales are presented fairly with GAAP</t>
  </si>
  <si>
    <t>HPP Proyek CHP - MEP</t>
  </si>
  <si>
    <t>Quantity</t>
  </si>
  <si>
    <t>Unit Price</t>
  </si>
  <si>
    <t>Total Price</t>
  </si>
  <si>
    <t>EPC</t>
  </si>
  <si>
    <t>SUMMARY PROGRESS</t>
  </si>
  <si>
    <t>Electrical system</t>
  </si>
  <si>
    <t>lot</t>
  </si>
  <si>
    <t>`COMBINE HEAT POWER PROJECT (CHP)</t>
  </si>
  <si>
    <t>Medium Voltage Switchgear 6,3 kV</t>
  </si>
  <si>
    <t>Periode :</t>
  </si>
  <si>
    <t>Incl. Medium Generator Earthing System</t>
  </si>
  <si>
    <t>Low Voltage Electrical System for MCC (400V)</t>
  </si>
  <si>
    <t>Associated Control System</t>
  </si>
  <si>
    <t>W/F</t>
  </si>
  <si>
    <t>PLAN</t>
  </si>
  <si>
    <t xml:space="preserve">Actual </t>
  </si>
  <si>
    <t>TAX</t>
  </si>
  <si>
    <t>Monitoring System</t>
  </si>
  <si>
    <t>Perceted %</t>
  </si>
  <si>
    <t>Actual W/F</t>
  </si>
  <si>
    <t>Load Shedding System</t>
  </si>
  <si>
    <t>Incl. engineering</t>
  </si>
  <si>
    <t xml:space="preserve"> PROCUREMENT</t>
  </si>
  <si>
    <t>Installation GT, HRSG &amp; Electrical/Mechanical</t>
  </si>
  <si>
    <t>Gas Turbine Packages Installation Works</t>
  </si>
  <si>
    <t>Heat Recovery Packages Installation Works</t>
  </si>
  <si>
    <t>Mechanical Installation Works &amp; Materials</t>
  </si>
  <si>
    <t>others</t>
  </si>
  <si>
    <t>Electrical Installation Works &amp; Materials</t>
  </si>
  <si>
    <t xml:space="preserve">INSTALLATION   </t>
  </si>
  <si>
    <t>Civil Work</t>
  </si>
  <si>
    <t>Preparation</t>
  </si>
  <si>
    <t>Land Preparation</t>
  </si>
  <si>
    <t>Piling Work</t>
  </si>
  <si>
    <t>Diesel Engine Generator</t>
  </si>
  <si>
    <t>Foundation</t>
  </si>
  <si>
    <t>Workshop, Control Room and Lab. Room</t>
  </si>
  <si>
    <t>Road and Drainage</t>
  </si>
  <si>
    <t>Engineering</t>
  </si>
  <si>
    <t>Transportation</t>
  </si>
  <si>
    <t xml:space="preserve">Gas Turbine  </t>
  </si>
  <si>
    <t>HRSG</t>
  </si>
  <si>
    <t>Mechanical, electrical &amp; instruments</t>
  </si>
  <si>
    <t>Insurances</t>
  </si>
  <si>
    <t>Engineering &amp; Installation</t>
  </si>
  <si>
    <t>Control System (Instrument)</t>
  </si>
  <si>
    <t>Subtotal Item III</t>
  </si>
  <si>
    <t>PCS, ESS, FGS</t>
  </si>
  <si>
    <t>Instrumnet Cable</t>
  </si>
  <si>
    <t>Junction Box</t>
  </si>
  <si>
    <t>Integration</t>
  </si>
  <si>
    <t>Supervision works</t>
  </si>
  <si>
    <t>Contigency</t>
  </si>
  <si>
    <t>Invoice1</t>
  </si>
  <si>
    <t>Invoice2</t>
  </si>
  <si>
    <t>Cash advan</t>
  </si>
  <si>
    <t>Installation</t>
  </si>
  <si>
    <t>Procurement</t>
  </si>
  <si>
    <t>KE-2</t>
  </si>
  <si>
    <t>RAB</t>
  </si>
  <si>
    <t>Matters</t>
  </si>
  <si>
    <t xml:space="preserve"> Beban umum dan administrasi</t>
  </si>
  <si>
    <t>Beban Penjualan</t>
  </si>
  <si>
    <t>Beban gaji dan tunjangan</t>
  </si>
  <si>
    <t>Beban barang dan jasa</t>
  </si>
  <si>
    <t>Beban promosi dan entertainment</t>
  </si>
  <si>
    <t xml:space="preserve">Beban penyusutan </t>
  </si>
  <si>
    <t>Beban alat tulis kantor</t>
  </si>
  <si>
    <t>Beban pemeliharaan</t>
  </si>
  <si>
    <t>Denda Pajak</t>
  </si>
  <si>
    <t>Jumlah Beban Penjualan</t>
  </si>
  <si>
    <t>Beban Umum dan Administrasi</t>
  </si>
  <si>
    <t>gaji dan tunjangan</t>
  </si>
  <si>
    <t>Beban Transportasi</t>
  </si>
  <si>
    <t>Beban amortisasi</t>
  </si>
  <si>
    <t>Beban pajak</t>
  </si>
  <si>
    <t>BUA - Beban Lain-lain</t>
  </si>
  <si>
    <t>Jumlah Beban Umum dan Administrasi</t>
  </si>
  <si>
    <t>Audit Conclusion : Based on our audit procedure for this account, we conclude that the balance of opex are presented fairly with GAAP</t>
  </si>
  <si>
    <t>Kami telah melakukan prosedur pemeriksaan bukti transaksi atas Hutang kepada Pemegang Saham (Lihat WP F2-2)</t>
  </si>
  <si>
    <t>LAin2 - admin umum</t>
  </si>
  <si>
    <t>z</t>
  </si>
  <si>
    <t>Source</t>
  </si>
  <si>
    <t>Source No.</t>
  </si>
  <si>
    <t>Analisa tingkat kenaikan beban</t>
  </si>
  <si>
    <t xml:space="preserve"> Pendapatan (beban) lain-lain</t>
  </si>
  <si>
    <t>Pendapatan diluar usaha</t>
  </si>
  <si>
    <t>Pendapatan Bunga Jasa Giro</t>
  </si>
  <si>
    <t>Pendapatan Bunga Bank</t>
  </si>
  <si>
    <t>Jumlah Pendp Jagir</t>
  </si>
  <si>
    <t>Pendapatan Magang</t>
  </si>
  <si>
    <t>Pendapatan Materai</t>
  </si>
  <si>
    <t>Pendapatan Stand</t>
  </si>
  <si>
    <t>Pendapatan Kurir</t>
  </si>
  <si>
    <t>Pendapatan limbah</t>
  </si>
  <si>
    <t>Pendapatan referal</t>
  </si>
  <si>
    <t>Pendapatan sponsor</t>
  </si>
  <si>
    <t>Pendapatan Denda BPJS</t>
  </si>
  <si>
    <t>Pembulatan/selisih bayar/klaim</t>
  </si>
  <si>
    <t>Pendapatan Non Opr Lainnya</t>
  </si>
  <si>
    <t>Jumlah Lain2</t>
  </si>
  <si>
    <t>Jumlah Pendapatan Lain- lain</t>
  </si>
  <si>
    <t>Beban diluar usaha</t>
  </si>
  <si>
    <t>Beban Bunga</t>
  </si>
  <si>
    <t>Beban Bunga pinjaman</t>
  </si>
  <si>
    <t>Beban Bunga - Panini</t>
  </si>
  <si>
    <t>Beban Bunga - BRI</t>
  </si>
  <si>
    <t>Beban Bunga - Mandiri</t>
  </si>
  <si>
    <t>Jumlah Beban Bunga</t>
  </si>
  <si>
    <t>Bank BCA</t>
  </si>
  <si>
    <t>Bank Charge Transfer</t>
  </si>
  <si>
    <t>Beban Provisi Bank</t>
  </si>
  <si>
    <t>Bank Muamalat</t>
  </si>
  <si>
    <t>Biaya Administrasi pinjaman</t>
  </si>
  <si>
    <t>Pajak Jasa Giro</t>
  </si>
  <si>
    <t>PPh 23 Bank BCA</t>
  </si>
  <si>
    <t>PPh 23 Bank Mandiri</t>
  </si>
  <si>
    <t>PPh 23 Bank Vicoria</t>
  </si>
  <si>
    <t>PPh 23 Bank Permata</t>
  </si>
  <si>
    <t>PPh 23 Bank BNI</t>
  </si>
  <si>
    <t>PPh 23 Bank Syariah Bukopin</t>
  </si>
  <si>
    <t>PPh 23 Bank Tabungan Negara Syariah</t>
  </si>
  <si>
    <t>Beban Oprs Lainnya</t>
  </si>
  <si>
    <t>Beban Bunga Guna Usaha</t>
  </si>
  <si>
    <t>Provisi Notaris &amp; Appraisal</t>
  </si>
  <si>
    <t>Pajak Penghasilan Tahunan</t>
  </si>
  <si>
    <t>Beban supporting</t>
  </si>
  <si>
    <t>Lain</t>
  </si>
  <si>
    <t>Jumlah Beban Lainnya</t>
  </si>
  <si>
    <t>Jumlah Beban Lain- lain</t>
  </si>
  <si>
    <t>TOTAL PENDAPATAN (BEBAN) LAIN-LAIN</t>
  </si>
  <si>
    <t>Audit Conclusion : Based on our audit procedure for this account, we conclude that the balance of other income &amp; expenses are presented fairly with GAAP</t>
  </si>
  <si>
    <t>AKUN</t>
  </si>
  <si>
    <t>Kompensasi kerugian fiskal</t>
  </si>
  <si>
    <t>Rugi fiskal</t>
  </si>
  <si>
    <t>Laba Fiskal</t>
  </si>
  <si>
    <t>kompensasi tidak berlaku bila perusahaan menerapkan pp 46 karena sifatnya final</t>
  </si>
  <si>
    <t>maka atas seluruh biaya dan pendapatan dikoreksi fiskal</t>
  </si>
  <si>
    <t>dan berdampak seluruh kerugian tidak dapat diakui</t>
  </si>
  <si>
    <t>selanjutnya ditahun yang akan datang thn 2019 perusahaan berkewajiban menggunakan tarif perhitungan pajak perusahaan</t>
  </si>
  <si>
    <t>normal, karena omset sudah melebihi 4,8 Bio</t>
  </si>
  <si>
    <t>PERHITUNGAN BEBAN PAJAK PENGHASILAN</t>
  </si>
  <si>
    <t xml:space="preserve">Laba (rugi) sebelum perhitungan beban pajak penghasilan </t>
  </si>
  <si>
    <t>Beda tetap</t>
  </si>
  <si>
    <t>Beban entertainment</t>
  </si>
  <si>
    <t>Beban penyusutan</t>
  </si>
  <si>
    <t>Natura</t>
  </si>
  <si>
    <t xml:space="preserve">Penghasilan bunga yang telah dipungut pajak   </t>
  </si>
  <si>
    <t xml:space="preserve">    penghasilan final</t>
  </si>
  <si>
    <t>Beda temporer</t>
  </si>
  <si>
    <t>Imbalan kerja</t>
  </si>
  <si>
    <t>Penyisihan piutang ragu2</t>
  </si>
  <si>
    <t>Taksiran penghasilan kena pajak (laba fiskal)</t>
  </si>
  <si>
    <t>cek dg perht fiskla sheet 2018</t>
  </si>
  <si>
    <t>cek dg perht fiskla sheet 2017</t>
  </si>
  <si>
    <t>Akumulasi laba fiskal dari tahun-tahun sebelumnya</t>
  </si>
  <si>
    <t>Rugi fiskal tahun 2017 (karena pakai PP46 maka kompensasi tidak berlaku)</t>
  </si>
  <si>
    <t>Akumulasi laba fiskal - bersih</t>
  </si>
  <si>
    <t>Pembulatan</t>
  </si>
  <si>
    <t>Taxable income</t>
  </si>
  <si>
    <t>Akumulasi laba fiskal tahun 2018 yang dapat dikompensasikan</t>
  </si>
  <si>
    <t>Estimasi hutang pajak</t>
  </si>
  <si>
    <t>Jumlah kredit pajak</t>
  </si>
  <si>
    <t xml:space="preserve">Estimasi Pajak Penghasilan Kurang /(Lebih) Bayar </t>
  </si>
  <si>
    <t>Vocuhing biaya2</t>
  </si>
  <si>
    <t>Byr melalui</t>
  </si>
  <si>
    <t>code acc</t>
  </si>
  <si>
    <t>voucher number</t>
  </si>
  <si>
    <t>description</t>
  </si>
  <si>
    <t>Bukti</t>
  </si>
  <si>
    <t>Mandiri 778</t>
  </si>
  <si>
    <t>SLR 2101001</t>
  </si>
  <si>
    <t>Gaji bulan 1 Jan - 2021</t>
  </si>
  <si>
    <t>SLR 2101002</t>
  </si>
  <si>
    <t>Gaji bulan 2 Feb - 2021</t>
  </si>
  <si>
    <t>SLR 2101003</t>
  </si>
  <si>
    <t>Gaji bulan 3 Mar- 2021</t>
  </si>
  <si>
    <t>SLR 2101004</t>
  </si>
  <si>
    <t>Gaji bulan 4 Apr - 2021</t>
  </si>
  <si>
    <t>SLR 2101005</t>
  </si>
  <si>
    <t>Gaji bulan 5 Mei - 2021</t>
  </si>
  <si>
    <t>SLR 2101006</t>
  </si>
  <si>
    <t>Gaji bulan 6 Jun - 2021</t>
  </si>
  <si>
    <t>SLR 2101007</t>
  </si>
  <si>
    <t>Gaji bulan 7 Jul - 2021</t>
  </si>
  <si>
    <t>SLR 2101008</t>
  </si>
  <si>
    <t>Gaji bulan 8 Agu - 2021</t>
  </si>
  <si>
    <t>SLR 2101009</t>
  </si>
  <si>
    <t>Gaji bulan 9 Sep - 2021</t>
  </si>
  <si>
    <t>SLR 2101010</t>
  </si>
  <si>
    <t>Gaji bulan 10 Okt - 2021</t>
  </si>
  <si>
    <t>SLR 2101011</t>
  </si>
  <si>
    <t>Gaji bulan 11 Nov - 2021</t>
  </si>
  <si>
    <t>SLR 2101012</t>
  </si>
  <si>
    <t>Gaji bulan 12 Des - 2021</t>
  </si>
  <si>
    <t>SLR 2201001</t>
  </si>
  <si>
    <t>Gaji bulan 1 Jan - 2022</t>
  </si>
  <si>
    <t>SLR 2201002</t>
  </si>
  <si>
    <t>Gaji bulan 2 Feb - 2022</t>
  </si>
  <si>
    <t>SLR 2201003</t>
  </si>
  <si>
    <t>Gaji bulan 3 Mar- 2022</t>
  </si>
  <si>
    <t>SLR 2201004</t>
  </si>
  <si>
    <t>Gaji bulan 4 Apr - 2022</t>
  </si>
  <si>
    <t>SLR 2201005</t>
  </si>
  <si>
    <t>Gaji bulan 5 Mei - 2022</t>
  </si>
  <si>
    <t>SLR 2201006</t>
  </si>
  <si>
    <t>Gaji bulan 6 Jun - 2022</t>
  </si>
  <si>
    <t>SLR 2201007</t>
  </si>
  <si>
    <t>Gaji bulan 7 Jul - 2022</t>
  </si>
  <si>
    <t>SLR 2201008</t>
  </si>
  <si>
    <t>Gaji bulan 8 Agu - 2022</t>
  </si>
  <si>
    <t>SLR 2201009</t>
  </si>
  <si>
    <t>Gaji bulan 9 Sep - 2022</t>
  </si>
  <si>
    <t>SLR 2201010</t>
  </si>
  <si>
    <t>Gaji bulan 10 Okt - 2022</t>
  </si>
  <si>
    <t>SLR 2201011</t>
  </si>
  <si>
    <t>Gaji bulan 11 Nov - 2022</t>
  </si>
  <si>
    <t>SLR 2201012</t>
  </si>
  <si>
    <t>Gaji bulan 12 Des - 2022</t>
  </si>
  <si>
    <t>Sumber Dok: Payment Voucher</t>
  </si>
  <si>
    <t>Chemical PAC, DLL</t>
  </si>
  <si>
    <t>voucher no</t>
  </si>
  <si>
    <t>Biaya Chemical</t>
  </si>
  <si>
    <t>CPAC 2101001</t>
  </si>
  <si>
    <t>Vendor  : Beban Chemical</t>
  </si>
  <si>
    <t xml:space="preserve">invoice, </t>
  </si>
  <si>
    <t>CPAC 2101002</t>
  </si>
  <si>
    <t>CPAC 2101003</t>
  </si>
  <si>
    <t>CPAC 2101004</t>
  </si>
  <si>
    <t>CPAC 2101005</t>
  </si>
  <si>
    <t>CPAC 2101006</t>
  </si>
  <si>
    <t>CPAC 2101007</t>
  </si>
  <si>
    <t>CPAC 2101008</t>
  </si>
  <si>
    <t>CPAC 2101009</t>
  </si>
  <si>
    <t>CPAC 2101010</t>
  </si>
  <si>
    <t>CPAC 2101011</t>
  </si>
  <si>
    <t>CPAC 2101012</t>
  </si>
  <si>
    <t>CPAC 2201001</t>
  </si>
  <si>
    <t>CPAC 2201002</t>
  </si>
  <si>
    <t>CPAC 2201003</t>
  </si>
  <si>
    <t>CPAC 2201004</t>
  </si>
  <si>
    <t>CPAC 2201005</t>
  </si>
  <si>
    <t>CPAC 2201006</t>
  </si>
  <si>
    <t>CPAC 2201007</t>
  </si>
  <si>
    <t>r</t>
  </si>
  <si>
    <t>CPAC 2201008</t>
  </si>
  <si>
    <t>CPAC 2201009</t>
  </si>
  <si>
    <t>CPAC 2201010</t>
  </si>
  <si>
    <t>CPAC 2201011</t>
  </si>
  <si>
    <t>CPAC 2201012</t>
  </si>
  <si>
    <t>Pembayaran Bunga Bank BNI/Panin/</t>
  </si>
  <si>
    <t xml:space="preserve">Beban Bunga </t>
  </si>
  <si>
    <t>Interest 2101001</t>
  </si>
  <si>
    <t>BNI  : Beban Bunga bulan Jan</t>
  </si>
  <si>
    <t>Interest 2101002</t>
  </si>
  <si>
    <t>BNI  : Beban Bunga bulan Feb</t>
  </si>
  <si>
    <t>Interest 2101003</t>
  </si>
  <si>
    <t>BNI  : Beban Bunga bulan Mar</t>
  </si>
  <si>
    <t>Interest 2101004</t>
  </si>
  <si>
    <t>BNI  : Beban Bunga bulan Apr</t>
  </si>
  <si>
    <t>Interest 2101005</t>
  </si>
  <si>
    <t>BNI  : Beban Bunga bulan Mei</t>
  </si>
  <si>
    <t>Interest 2101006</t>
  </si>
  <si>
    <t>BNI  : Beban Bunga bulan Jun</t>
  </si>
  <si>
    <t>Interest 2101007</t>
  </si>
  <si>
    <t>BNI  : Beban Bunga bulan Jul</t>
  </si>
  <si>
    <t>Interest 2101008</t>
  </si>
  <si>
    <t>BNI  : Beban Bunga bulan Agu</t>
  </si>
  <si>
    <t>Interest 2101009</t>
  </si>
  <si>
    <t>BNI  : Beban Bunga bulan Sep</t>
  </si>
  <si>
    <t>Interest 2101010</t>
  </si>
  <si>
    <t>BNI  : Beban Bunga bulan Okt</t>
  </si>
  <si>
    <t>Interest 2101011</t>
  </si>
  <si>
    <t>BNI  : Beban Bunga bulan Nov</t>
  </si>
  <si>
    <t>Interest 2101012</t>
  </si>
  <si>
    <t>BNI  : Beban Bunga bulan Des</t>
  </si>
  <si>
    <t>Interest 2201001</t>
  </si>
  <si>
    <t>Interest 2201002</t>
  </si>
  <si>
    <t>Interest 2201003</t>
  </si>
  <si>
    <t>Interest 2201004</t>
  </si>
  <si>
    <t>Interest 2201005</t>
  </si>
  <si>
    <t>Interest 2201006</t>
  </si>
  <si>
    <t>Interest 2201007</t>
  </si>
  <si>
    <t>Interest 2201008</t>
  </si>
  <si>
    <t>Interest 2201009</t>
  </si>
  <si>
    <t>Interest 2201010</t>
  </si>
  <si>
    <t>Interest 2201011</t>
  </si>
  <si>
    <t>Interest 2201012</t>
  </si>
  <si>
    <t xml:space="preserve">Beban Umum Adminitrasi </t>
  </si>
  <si>
    <t>Gabungan</t>
  </si>
  <si>
    <t>Vouch</t>
  </si>
  <si>
    <t>Nilai sesuai dok</t>
  </si>
  <si>
    <t>621000002 - Beban Pegawai - Tunj. Jabatan</t>
  </si>
  <si>
    <t>Expense</t>
  </si>
  <si>
    <t>SLR1903001</t>
  </si>
  <si>
    <t>Gaji bulan Maret 2019</t>
  </si>
  <si>
    <t>621000003 - Beban Pegawai - Tunj. Makan</t>
  </si>
  <si>
    <t>626000014 - Beban Kebersihan</t>
  </si>
  <si>
    <t>KKI1902001</t>
  </si>
  <si>
    <t xml:space="preserve">  : Pekerjaan jasa house keeping 1-30 Feb 2019</t>
  </si>
  <si>
    <t>KKI1904001</t>
  </si>
  <si>
    <t xml:space="preserve">  : Pekerjaan jasa house keeping 1-30 Apr 2019</t>
  </si>
  <si>
    <t>KKI1906001</t>
  </si>
  <si>
    <t xml:space="preserve">  : Pekerjaan jasa house keeping 1-30 Juni 2019</t>
  </si>
  <si>
    <t>BK111908292</t>
  </si>
  <si>
    <t>Pembayaran jasa Loundry CV. Saesar Pratama inv. 02583D//VIII/2019</t>
  </si>
  <si>
    <t>BK111910171</t>
  </si>
  <si>
    <t>Pembayaran Ke CV. Saesar Pratama Jasa Laundry Bulan Agustus 2019</t>
  </si>
  <si>
    <t>626000015 - Beban Pajak Bumi dan Bangunan</t>
  </si>
  <si>
    <t>BK111912207</t>
  </si>
  <si>
    <t>Pembayaran Pajak Bumi &amp; Bangunan (PBB) periode tahun 2017 s/d 2019 (NOP 36.76.060.014.003-0321.0,0347.0,2366.0,0313.0, 0329.0, 0329.0,0325.0,0327.0,0328.0,0326.0,2042.0,0134.0</t>
  </si>
  <si>
    <t>627000001 - B. Peml. - Gedung dan Bangunan</t>
  </si>
  <si>
    <t>BK111909006</t>
  </si>
  <si>
    <t>PUM Biaya Ganti Kusen Pintu OK dan Pembuatan Pintu baru Ruang R.R GAA 112F</t>
  </si>
  <si>
    <t>627000004 - B. Peml. - Peralatan Medis</t>
  </si>
  <si>
    <t>BK111905173</t>
  </si>
  <si>
    <t>Pembayaran ke PT. Famed Calibration DP pekerjaan kalibrasi alat kesehatan inv. 101/F/FC/III/2019</t>
  </si>
  <si>
    <t>627000007 - B. Peml. - Lingkungan Medis</t>
  </si>
  <si>
    <t>BK111906198</t>
  </si>
  <si>
    <t>Pembayaran ke PT. Serunting Sakti jaya bulan mei 2019 pekerjaan pest control dan rodent inv. 709</t>
  </si>
  <si>
    <t>BK111908090</t>
  </si>
  <si>
    <t>Pembayaran ke PT. Biuteknika Bina Prima Jasa Pengangkutan dan pembakaran Limbah B3 Februari 2019 inv. 6687</t>
  </si>
  <si>
    <t>628000001 - B. Peny. - Gedung dan Bangunan</t>
  </si>
  <si>
    <t>GJ19100003</t>
  </si>
  <si>
    <t>Beban penyusutan bangunan 2011 - Okt 2019</t>
  </si>
  <si>
    <t>628000002 - B. Peny. - Kendaraan</t>
  </si>
  <si>
    <t>GJ19040019</t>
  </si>
  <si>
    <t>Penyusutan Kendaraan  2014 - Apr 2019</t>
  </si>
  <si>
    <t>629000001 - B. Amor - Biaya dibayar dimuka</t>
  </si>
  <si>
    <t>AMOR190402</t>
  </si>
  <si>
    <t>Amortisasi IMB 2 - Apr 2019</t>
  </si>
  <si>
    <t>629000003 - B. Amor - Biaya ditangguhkan</t>
  </si>
  <si>
    <t>AMOR191003</t>
  </si>
  <si>
    <t>Amostisasi beban akreditasi II</t>
  </si>
  <si>
    <t xml:space="preserve">BEBAN USAHA </t>
  </si>
  <si>
    <t>611000003 - Beban Pegawai - Tunj. Makan</t>
  </si>
  <si>
    <t>30 Jun 2019</t>
  </si>
  <si>
    <t>SLR1906001</t>
  </si>
  <si>
    <t>Gaji bulan Juni 2019</t>
  </si>
  <si>
    <t>611000099 - Beban Pegawai - Lainnya</t>
  </si>
  <si>
    <t>31 Dec 2019</t>
  </si>
  <si>
    <t>SLR1912001</t>
  </si>
  <si>
    <t>Gaji bulan Desember 2019</t>
  </si>
  <si>
    <t>612000001 - Beban Promosi</t>
  </si>
  <si>
    <t>14 May 2019</t>
  </si>
  <si>
    <t>BK111905076</t>
  </si>
  <si>
    <t>Uang muka Pembuatan Parcel untuk PKM Sekitar RS MRK 020</t>
  </si>
  <si>
    <t>613000006 - Beban Fee Rujukan</t>
  </si>
  <si>
    <t>BK111905084</t>
  </si>
  <si>
    <t>Referal fee pasien umum puskesmas sekitar bln September 2018 -April 2019 MRK 019</t>
  </si>
  <si>
    <t>616000008 - Beban Pelatihan</t>
  </si>
  <si>
    <t>15 Jul 2019</t>
  </si>
  <si>
    <t>BK111907120</t>
  </si>
  <si>
    <t>Uang Muka seminar kesehatan gizi dalam rangka HUT RS. IMC Bintaro MRK 030</t>
  </si>
  <si>
    <t>COST OF GOODS SOLD</t>
  </si>
  <si>
    <t>511000001 - Pemakaian material</t>
  </si>
  <si>
    <t>Cost of Goods Sold</t>
  </si>
  <si>
    <t>31 Jan 2019</t>
  </si>
  <si>
    <t>FAR1901001</t>
  </si>
  <si>
    <t>Pemakaian material dan Jan 2019</t>
  </si>
  <si>
    <t>28 Feb 2019</t>
  </si>
  <si>
    <t>FAR1902001</t>
  </si>
  <si>
    <t>Pemakaian material dan Feb 2019</t>
  </si>
  <si>
    <t xml:space="preserve">521000006 - Beban Pegawai - </t>
  </si>
  <si>
    <t>30 Apr 2019</t>
  </si>
  <si>
    <t>SLR1904001</t>
  </si>
  <si>
    <t>Gaji bulan April 2019</t>
  </si>
  <si>
    <t>521000008 - Beban Pegawai - T. Telp, Opr K</t>
  </si>
  <si>
    <t>521000010 - Beban Pegawai - THR</t>
  </si>
  <si>
    <t>22 May 2019</t>
  </si>
  <si>
    <t>THR1905001</t>
  </si>
  <si>
    <t>THR Lebaran 22 Mei 2019</t>
  </si>
  <si>
    <t>BEBAN LAIN-LAIN</t>
  </si>
  <si>
    <t>724000002 - Biaya Administrasi pinjaman</t>
  </si>
  <si>
    <t>Other Expense</t>
  </si>
  <si>
    <t>21 Feb 2019</t>
  </si>
  <si>
    <t>BK111902341</t>
  </si>
  <si>
    <t>Pembayaran premi assuransi dana talangan BPJS BNI supply chain Financing</t>
  </si>
  <si>
    <t>727000007 - Beban Limbah</t>
  </si>
  <si>
    <t>28 Jan 2019</t>
  </si>
  <si>
    <t>BK111901251</t>
  </si>
  <si>
    <t>Presentasi pembayaran pe,bagian uang limbah ke TIM PPI Periode September-desember 2018 ( RS IMC 60% , PPI 40% )</t>
  </si>
  <si>
    <t>727000002 - Beban Magang</t>
  </si>
  <si>
    <t>09 Aug 2019</t>
  </si>
  <si>
    <t>BK111908042</t>
  </si>
  <si>
    <t>Uang muka Pengeluaran Biaya snack Pagi &amp; makan Siang benchmarking study dari RSUD Sidakalang HRD 092</t>
  </si>
  <si>
    <t>26 Nov 2019</t>
  </si>
  <si>
    <t>BK111911211</t>
  </si>
  <si>
    <t xml:space="preserve">Pendapatan Limbah Ppi periode Juli - November 2019 </t>
  </si>
  <si>
    <t>25 Jun 2019</t>
  </si>
  <si>
    <t>BK111906126</t>
  </si>
  <si>
    <t>Uang muka pembayaran Fee pembimbing lahan mahasiswa STIKES IMC Tgl. 2-19 Januari 2019 ,pembimbing : Sr.Mey , Sr.Devin,Bd.Risa HRD 065</t>
  </si>
  <si>
    <t>721000002 - Beban Bunga - Bank Mandiri</t>
  </si>
  <si>
    <t>BK111907204</t>
  </si>
  <si>
    <t>Pembayaran bunga Bank pinjaman KMK Mandiri Revolving</t>
  </si>
  <si>
    <t>721000004 - Beban Bunga - BNI</t>
  </si>
  <si>
    <t>31 Aug 2019</t>
  </si>
  <si>
    <t>BK9F1908002</t>
  </si>
  <si>
    <t>Beban bunga</t>
  </si>
</sst>
</file>

<file path=xl/styles.xml><?xml version="1.0" encoding="utf-8"?>
<styleSheet xmlns="http://schemas.openxmlformats.org/spreadsheetml/2006/main" xmlns:xr9="http://schemas.microsoft.com/office/spreadsheetml/2016/revision9">
  <numFmts count="66">
    <numFmt numFmtId="41" formatCode="_-* #,##0_-;\-* #,##0_-;_-* &quot;-&quot;_-;_-@_-"/>
    <numFmt numFmtId="176" formatCode="#,##0_);\(#,##0\);_(* &quot;-&quot;_)"/>
    <numFmt numFmtId="177" formatCode="_-* #,##0.00_-;\-* #,##0.00_-;_-* &quot;-&quot;??_-;_-@_-"/>
    <numFmt numFmtId="178" formatCode="_-&quot;Rp&quot;* #,##0.00_-;\-&quot;Rp&quot;* #,##0.00_-;_-&quot;Rp&quot;* &quot;-&quot;??_-;_-@_-"/>
    <numFmt numFmtId="179" formatCode="_-&quot;Rp&quot;* #,##0_-;\-&quot;Rp&quot;* #,##0_-;_-&quot;Rp&quot;* &quot;-&quot;??_-;_-@_-"/>
    <numFmt numFmtId="180" formatCode="&quot;Rp&quot;#,##0_);\(&quot;Rp&quot;#,##0\)"/>
    <numFmt numFmtId="181" formatCode="#,##0;&quot;\&quot;\!\-#,##0;&quot;-&quot;"/>
    <numFmt numFmtId="182" formatCode="_(* #,##0_);_(* \(#,##0\);_(* \-_);_(@_)"/>
    <numFmt numFmtId="183" formatCode="_(* #,##0_);_(* \(#,##0\);_(* &quot;-&quot;_);_(@_)"/>
    <numFmt numFmtId="184" formatCode="_(* #,##0.00_);_(* \(#,##0.00\);_(* &quot;-&quot;??_);_(@_)"/>
    <numFmt numFmtId="185" formatCode="_(* #,##0.00_);_(* \(#,##0.00\);_(* \-??_);_(@_)"/>
    <numFmt numFmtId="186" formatCode="_-* #,##0_-;\-* #,##0_-;_-* &quot;-&quot;??_-;_-@_-"/>
    <numFmt numFmtId="187" formatCode="_(&quot;Rp&quot;* #,##0.00_);_(&quot;Rp&quot;* \(#,##0.00\);_(&quot;Rp&quot;* &quot;-&quot;??_);_(@_)"/>
    <numFmt numFmtId="188" formatCode="_(&quot;$&quot;* #,##0.00_);_(&quot;$&quot;* \(#,##0.00\);_(&quot;$&quot;* \-??_);_(@_)"/>
    <numFmt numFmtId="189" formatCode="#,##0.00\ &quot;kr&quot;"/>
    <numFmt numFmtId="190" formatCode="&quot;P&quot;\ #,##0_);[Red]\(&quot;P&quot;\ #,##0\)"/>
    <numFmt numFmtId="191" formatCode="_ * #,##0_ ;_ * \-#,##0_ ;_ * &quot;-&quot;_ ;_ @_ "/>
    <numFmt numFmtId="192" formatCode="_ * #,##0.00_ ;_ * \-#,##0.00_ ;_ * &quot;-&quot;??_ ;_ @_ "/>
    <numFmt numFmtId="193" formatCode="_ &quot;SFr.&quot;\ * #,##0_ ;_ &quot;SFr.&quot;\ * \-#,##0_ ;_ &quot;SFr.&quot;\ * &quot;-&quot;_ ;_ @_ "/>
    <numFmt numFmtId="194" formatCode="_ &quot;SFr.&quot;\ * #,##0.00_ ;_ &quot;SFr.&quot;\ * \-#,##0.00_ ;_ &quot;SFr.&quot;\ * &quot;-&quot;??_ ;_ @_ "/>
    <numFmt numFmtId="195" formatCode="0.00_)"/>
    <numFmt numFmtId="196" formatCode="[$-F800]dddd\,\ mmmm\ dd\,\ yyyy"/>
    <numFmt numFmtId="197" formatCode="mm/dd/yy;@"/>
    <numFmt numFmtId="198" formatCode="dd\-mmm\-yy"/>
    <numFmt numFmtId="199" formatCode="0_)"/>
    <numFmt numFmtId="200" formatCode="_-* #,##0.0_-;\-* #,##0.0_-;_-* &quot;-&quot;??_-;_-@_-"/>
    <numFmt numFmtId="201" formatCode="_(&quot;Rp&quot;* #,##0_);_(&quot;Rp&quot;* \(#,##0\);_(&quot;Rp&quot;* &quot;-&quot;_);_(@_)"/>
    <numFmt numFmtId="202" formatCode="_(* #,##0_);_(* \(#,##0\);_(* &quot;-&quot;??_);_(@_)"/>
    <numFmt numFmtId="203" formatCode="[$-421]dd\ mmmm\ yyyy;@"/>
    <numFmt numFmtId="204" formatCode="[$-409]d\-mmm\-yy;@"/>
    <numFmt numFmtId="205" formatCode="[$$-409]#,##0.00_);[Red]\([$$-409]#,##0.00\)"/>
    <numFmt numFmtId="206" formatCode="mmm\-yy"/>
    <numFmt numFmtId="207" formatCode="#,##0.00_);\(#,##0.00\);_(* &quot;-&quot;_)"/>
    <numFmt numFmtId="208" formatCode="_-&quot;Rp&quot;* #,##0_-;\-&quot;Rp&quot;* #,##0_-;_-&quot;Rp&quot;* &quot;-&quot;_-;_-@_-"/>
    <numFmt numFmtId="209" formatCode="&quot;Rp&quot;#,##0"/>
    <numFmt numFmtId="210" formatCode="0.0%"/>
    <numFmt numFmtId="211" formatCode="[$-409]dd\-mmm\-yy;@"/>
    <numFmt numFmtId="212" formatCode="[$-409]mmm\-yy;@"/>
    <numFmt numFmtId="213" formatCode="_(* #,##0.00_);_(* \(#,##0.00\);_(* &quot;-&quot;_);_(@_)"/>
    <numFmt numFmtId="214" formatCode="0.000%"/>
    <numFmt numFmtId="215" formatCode="dd/mm/yyyy;@"/>
    <numFmt numFmtId="216" formatCode="_(* #,##0_);_(* \(#,##0\);_(* \-??_);_(@_)"/>
    <numFmt numFmtId="217" formatCode="dd\-mmm"/>
    <numFmt numFmtId="218" formatCode="#,##0_ ;[Red]\-#,##0\ "/>
    <numFmt numFmtId="219" formatCode="#,##0.0;\-#,##0.0"/>
    <numFmt numFmtId="220" formatCode="#,##0.0_);\(#,##0.0\);_(* &quot;-&quot;_)"/>
    <numFmt numFmtId="221" formatCode="_-* #,##0.0_-;\-* #,##0.0_-;_-* &quot;-&quot;_-;_-@_-"/>
    <numFmt numFmtId="222" formatCode="dd/mm/yy;@"/>
    <numFmt numFmtId="223" formatCode="_(* #,##0.0_);_(* \(#,##0.0\);_(* &quot;-&quot;_);_(@_)"/>
    <numFmt numFmtId="224" formatCode="#,##0_);\(#,##0\);_(&quot;-&quot;_)"/>
    <numFmt numFmtId="225" formatCode="#\ ??/??"/>
    <numFmt numFmtId="226" formatCode="_-* #,##0.00_-;\-* #,##0.00_-;_-* &quot;-&quot;_-;_-@_-"/>
    <numFmt numFmtId="227" formatCode="&quot;0&quot;#"/>
    <numFmt numFmtId="228" formatCode="#,##0.000;\-#,##0.000"/>
    <numFmt numFmtId="229" formatCode="\2\a\,\b\,\ #,##0;[Red]\-#,##0"/>
    <numFmt numFmtId="230" formatCode="\2\c\,\ \i\,\ #,##0;[Red]\-#,##0"/>
    <numFmt numFmtId="231" formatCode="###0;[Red]\-#,###"/>
    <numFmt numFmtId="232" formatCode="\2\d\,\ #,##0;[Red]\-#,##0"/>
    <numFmt numFmtId="233" formatCode="\2\e\,\ #,##0;[Red]\-#,##0"/>
    <numFmt numFmtId="234" formatCode="\2\h\,\ #,##0;[Red]\-#,##0"/>
    <numFmt numFmtId="235" formatCode="\2\j\,\ #,##0;[Red]\-#,##0"/>
    <numFmt numFmtId="236" formatCode="\2\g\,\ #,##0;[Red]\-#,##0"/>
    <numFmt numFmtId="237" formatCode="\2\f\,\ #,##0;[Red]\-#,##0"/>
    <numFmt numFmtId="238" formatCode="_-* #,##0.000_-;\-* #,##0.000_-;_-* &quot;-&quot;_-;_-@_-"/>
    <numFmt numFmtId="239" formatCode="d\-mmm\-yyyy"/>
    <numFmt numFmtId="240" formatCode="_-* #,##0.00_-;\-* #,##0.00_-;_-* \-_-;_-@_-"/>
  </numFmts>
  <fonts count="258">
    <font>
      <sz val="9"/>
      <name val="Arial"/>
      <charset val="134"/>
    </font>
    <font>
      <sz val="9"/>
      <color indexed="8"/>
      <name val="Arial"/>
      <charset val="134"/>
    </font>
    <font>
      <b/>
      <sz val="9"/>
      <color rgb="FF000080"/>
      <name val="Arial"/>
      <charset val="134"/>
    </font>
    <font>
      <b/>
      <sz val="9"/>
      <color indexed="18"/>
      <name val="Arial"/>
      <charset val="134"/>
    </font>
    <font>
      <sz val="11"/>
      <color indexed="8"/>
      <name val="Arial"/>
      <charset val="134"/>
    </font>
    <font>
      <b/>
      <sz val="9"/>
      <color indexed="8"/>
      <name val="Arial"/>
      <charset val="134"/>
    </font>
    <font>
      <sz val="9"/>
      <color indexed="10"/>
      <name val="Arial"/>
      <charset val="134"/>
    </font>
    <font>
      <b/>
      <sz val="9"/>
      <name val="Arial"/>
      <charset val="134"/>
    </font>
    <font>
      <b/>
      <sz val="10"/>
      <name val="Arial"/>
      <charset val="134"/>
    </font>
    <font>
      <b/>
      <sz val="10"/>
      <color indexed="10"/>
      <name val="Arial"/>
      <charset val="134"/>
    </font>
    <font>
      <i/>
      <sz val="8"/>
      <color indexed="10"/>
      <name val="Arial"/>
      <charset val="134"/>
    </font>
    <font>
      <sz val="8"/>
      <color rgb="FF000000"/>
      <name val="Arial"/>
      <charset val="134"/>
    </font>
    <font>
      <b/>
      <sz val="8"/>
      <color rgb="FF000000"/>
      <name val="Arial"/>
      <charset val="134"/>
    </font>
    <font>
      <sz val="10"/>
      <name val="Arial"/>
      <charset val="134"/>
    </font>
    <font>
      <b/>
      <sz val="14"/>
      <color indexed="8"/>
      <name val="Arial"/>
      <charset val="134"/>
    </font>
    <font>
      <sz val="12"/>
      <color indexed="8"/>
      <name val="Arial"/>
      <charset val="134"/>
    </font>
    <font>
      <b/>
      <sz val="12"/>
      <color indexed="8"/>
      <name val="Arial"/>
      <charset val="134"/>
    </font>
    <font>
      <sz val="10"/>
      <name val="Arial"/>
      <charset val="1"/>
    </font>
    <font>
      <b/>
      <u/>
      <sz val="10"/>
      <name val="Arial"/>
      <charset val="1"/>
    </font>
    <font>
      <b/>
      <sz val="10"/>
      <name val="Arial"/>
      <charset val="1"/>
    </font>
    <font>
      <sz val="10"/>
      <name val="Trebuchet MS"/>
      <charset val="1"/>
    </font>
    <font>
      <sz val="10"/>
      <name val="Trebuchet MS"/>
      <charset val="134"/>
    </font>
    <font>
      <i/>
      <sz val="10"/>
      <name val="Arial"/>
      <charset val="1"/>
    </font>
    <font>
      <i/>
      <sz val="10"/>
      <name val="Arial"/>
      <charset val="134"/>
    </font>
    <font>
      <sz val="8"/>
      <color indexed="8"/>
      <name val="Arial"/>
      <charset val="134"/>
    </font>
    <font>
      <b/>
      <sz val="8"/>
      <color indexed="8"/>
      <name val="Arial"/>
      <charset val="134"/>
    </font>
    <font>
      <u/>
      <sz val="10"/>
      <color indexed="12"/>
      <name val="Arial"/>
      <charset val="134"/>
    </font>
    <font>
      <b/>
      <i/>
      <sz val="10"/>
      <name val="Arial"/>
      <charset val="134"/>
    </font>
    <font>
      <i/>
      <sz val="9"/>
      <name val="Arial"/>
      <charset val="134"/>
    </font>
    <font>
      <sz val="13"/>
      <name val="Arial"/>
      <charset val="134"/>
    </font>
    <font>
      <sz val="10"/>
      <color indexed="10"/>
      <name val="Arial"/>
      <charset val="134"/>
    </font>
    <font>
      <b/>
      <sz val="12"/>
      <color theme="1"/>
      <name val="Times New Roman"/>
      <charset val="134"/>
    </font>
    <font>
      <sz val="12"/>
      <color theme="1"/>
      <name val="Times New Roman"/>
      <charset val="134"/>
    </font>
    <font>
      <i/>
      <sz val="12"/>
      <color theme="1"/>
      <name val="Times New Roman"/>
      <charset val="134"/>
    </font>
    <font>
      <sz val="12"/>
      <color theme="0"/>
      <name val="Calibri"/>
      <charset val="134"/>
      <scheme val="minor"/>
    </font>
    <font>
      <sz val="12"/>
      <color theme="1"/>
      <name val="Calibri"/>
      <charset val="134"/>
      <scheme val="minor"/>
    </font>
    <font>
      <b/>
      <u/>
      <sz val="12"/>
      <color theme="1"/>
      <name val="Calibri"/>
      <charset val="134"/>
      <scheme val="minor"/>
    </font>
    <font>
      <b/>
      <sz val="12"/>
      <color theme="1"/>
      <name val="Calibri"/>
      <charset val="134"/>
      <scheme val="minor"/>
    </font>
    <font>
      <b/>
      <u/>
      <sz val="12"/>
      <color theme="0"/>
      <name val="Calibri"/>
      <charset val="134"/>
      <scheme val="minor"/>
    </font>
    <font>
      <sz val="12"/>
      <color theme="0"/>
      <name val="Times New Roman"/>
      <charset val="134"/>
    </font>
    <font>
      <b/>
      <sz val="12"/>
      <color theme="0"/>
      <name val="Times New Roman"/>
      <charset val="134"/>
    </font>
    <font>
      <b/>
      <sz val="12"/>
      <name val="Times New Roman"/>
      <charset val="134"/>
    </font>
    <font>
      <sz val="12"/>
      <name val="Times New Roman"/>
      <charset val="134"/>
    </font>
    <font>
      <sz val="12"/>
      <color theme="0"/>
      <name val="Bookman Old Style"/>
      <charset val="134"/>
    </font>
    <font>
      <sz val="12"/>
      <color theme="1"/>
      <name val="Bookman Old Style"/>
      <charset val="134"/>
    </font>
    <font>
      <b/>
      <sz val="12"/>
      <color theme="1"/>
      <name val="Bookman Old Style"/>
      <charset val="134"/>
    </font>
    <font>
      <b/>
      <sz val="12"/>
      <name val="Bookman Old Style"/>
      <charset val="134"/>
    </font>
    <font>
      <b/>
      <sz val="11"/>
      <color theme="1"/>
      <name val="Bookman Old Style"/>
      <charset val="134"/>
    </font>
    <font>
      <sz val="10"/>
      <name val="Calibri"/>
      <charset val="134"/>
    </font>
    <font>
      <sz val="8"/>
      <name val="Calibri"/>
      <charset val="1"/>
    </font>
    <font>
      <b/>
      <sz val="10"/>
      <name val="Calibri"/>
      <charset val="134"/>
    </font>
    <font>
      <b/>
      <sz val="8"/>
      <name val="Calibri"/>
      <charset val="1"/>
    </font>
    <font>
      <b/>
      <sz val="8"/>
      <color indexed="10"/>
      <name val="Calibri"/>
      <charset val="1"/>
    </font>
    <font>
      <sz val="8"/>
      <name val="Arial"/>
      <charset val="1"/>
    </font>
    <font>
      <sz val="10"/>
      <color indexed="10"/>
      <name val="Calibri"/>
      <charset val="134"/>
    </font>
    <font>
      <b/>
      <sz val="12"/>
      <name val="Arial"/>
      <charset val="134"/>
    </font>
    <font>
      <sz val="11"/>
      <color indexed="8"/>
      <name val="Calibri"/>
      <charset val="134"/>
    </font>
    <font>
      <b/>
      <sz val="8"/>
      <color indexed="10"/>
      <name val="Arial"/>
      <charset val="134"/>
    </font>
    <font>
      <sz val="11"/>
      <color indexed="10"/>
      <name val="Calibri"/>
      <charset val="1"/>
    </font>
    <font>
      <i/>
      <sz val="9"/>
      <color indexed="10"/>
      <name val="Arial"/>
      <charset val="134"/>
    </font>
    <font>
      <sz val="11"/>
      <name val="Calibri"/>
      <charset val="1"/>
      <scheme val="minor"/>
    </font>
    <font>
      <b/>
      <sz val="11"/>
      <color theme="1"/>
      <name val="Calibri"/>
      <charset val="134"/>
      <scheme val="minor"/>
    </font>
    <font>
      <sz val="11"/>
      <color theme="1"/>
      <name val="Calibri"/>
      <charset val="134"/>
      <scheme val="minor"/>
    </font>
    <font>
      <b/>
      <sz val="12"/>
      <color theme="1"/>
      <name val="Calibri"/>
      <charset val="1"/>
      <scheme val="minor"/>
    </font>
    <font>
      <sz val="8"/>
      <color theme="1"/>
      <name val="Calibri"/>
      <charset val="134"/>
      <scheme val="minor"/>
    </font>
    <font>
      <sz val="11"/>
      <color rgb="FFFF0000"/>
      <name val="Calibri"/>
      <charset val="1"/>
      <scheme val="minor"/>
    </font>
    <font>
      <b/>
      <sz val="12"/>
      <name val="Calibri"/>
      <charset val="134"/>
      <scheme val="minor"/>
    </font>
    <font>
      <b/>
      <sz val="11"/>
      <name val="Calibri"/>
      <charset val="1"/>
      <scheme val="minor"/>
    </font>
    <font>
      <b/>
      <sz val="11"/>
      <color rgb="FFFF0000"/>
      <name val="Calibri"/>
      <charset val="134"/>
      <scheme val="minor"/>
    </font>
    <font>
      <sz val="11"/>
      <color rgb="FFFF0000"/>
      <name val="Calibri"/>
      <charset val="134"/>
      <scheme val="minor"/>
    </font>
    <font>
      <sz val="9"/>
      <color theme="0"/>
      <name val="Arial"/>
      <charset val="134"/>
    </font>
    <font>
      <b/>
      <u/>
      <sz val="10"/>
      <name val="Arial"/>
      <charset val="134"/>
    </font>
    <font>
      <u/>
      <sz val="10"/>
      <name val="Arial"/>
      <charset val="134"/>
    </font>
    <font>
      <b/>
      <sz val="10"/>
      <color theme="1"/>
      <name val="Arial"/>
      <charset val="134"/>
    </font>
    <font>
      <b/>
      <sz val="10"/>
      <color theme="1"/>
      <name val="Calibri"/>
      <charset val="134"/>
      <scheme val="minor"/>
    </font>
    <font>
      <sz val="10"/>
      <color theme="1"/>
      <name val="Calibri"/>
      <charset val="134"/>
      <scheme val="minor"/>
    </font>
    <font>
      <sz val="10"/>
      <name val="Calibri"/>
      <charset val="1"/>
      <scheme val="minor"/>
    </font>
    <font>
      <sz val="10"/>
      <color rgb="FFFF0000"/>
      <name val="Calibri"/>
      <charset val="134"/>
      <scheme val="minor"/>
    </font>
    <font>
      <sz val="10"/>
      <color rgb="FFFF0000"/>
      <name val="Arial"/>
      <charset val="134"/>
    </font>
    <font>
      <sz val="10"/>
      <color theme="0"/>
      <name val="Arial"/>
      <charset val="134"/>
    </font>
    <font>
      <sz val="10"/>
      <color rgb="FFFF0000"/>
      <name val="Calibri"/>
      <charset val="1"/>
      <scheme val="minor"/>
    </font>
    <font>
      <b/>
      <sz val="10"/>
      <color rgb="FFFF0000"/>
      <name val="Arial"/>
      <charset val="134"/>
    </font>
    <font>
      <u val="singleAccounting"/>
      <sz val="10"/>
      <name val="Arial"/>
      <charset val="134"/>
    </font>
    <font>
      <sz val="9"/>
      <color theme="1"/>
      <name val="Arial"/>
      <charset val="134"/>
    </font>
    <font>
      <b/>
      <sz val="10"/>
      <color indexed="8"/>
      <name val="Arial"/>
      <charset val="134"/>
    </font>
    <font>
      <b/>
      <sz val="15"/>
      <name val="Arial"/>
      <charset val="134"/>
    </font>
    <font>
      <b/>
      <i/>
      <u/>
      <sz val="10"/>
      <name val="Arial"/>
      <charset val="134"/>
    </font>
    <font>
      <u/>
      <sz val="10"/>
      <name val="Calibri"/>
      <charset val="134"/>
    </font>
    <font>
      <sz val="9"/>
      <name val="Calibri"/>
      <charset val="134"/>
    </font>
    <font>
      <b/>
      <sz val="10"/>
      <color indexed="10"/>
      <name val="Calibri"/>
      <charset val="134"/>
    </font>
    <font>
      <b/>
      <sz val="16"/>
      <name val="Arial"/>
      <charset val="134"/>
    </font>
    <font>
      <sz val="9"/>
      <color rgb="FFFF0000"/>
      <name val="Arial"/>
      <charset val="134"/>
    </font>
    <font>
      <b/>
      <i/>
      <sz val="10"/>
      <name val="Arial Narrow"/>
      <charset val="134"/>
    </font>
    <font>
      <b/>
      <i/>
      <sz val="10"/>
      <color indexed="62"/>
      <name val="Arial"/>
      <charset val="134"/>
    </font>
    <font>
      <b/>
      <i/>
      <sz val="8"/>
      <color indexed="10"/>
      <name val="Arial"/>
      <charset val="134"/>
    </font>
    <font>
      <b/>
      <sz val="8"/>
      <name val="Arial"/>
      <charset val="134"/>
    </font>
    <font>
      <sz val="8"/>
      <name val="Arial"/>
      <charset val="134"/>
    </font>
    <font>
      <b/>
      <sz val="8"/>
      <color indexed="59"/>
      <name val="Arial"/>
      <charset val="134"/>
    </font>
    <font>
      <b/>
      <sz val="8"/>
      <color indexed="58"/>
      <name val="Arial"/>
      <charset val="134"/>
    </font>
    <font>
      <sz val="8"/>
      <color indexed="59"/>
      <name val="Tahoma"/>
      <charset val="134"/>
    </font>
    <font>
      <sz val="8"/>
      <color indexed="58"/>
      <name val="Arial"/>
      <charset val="134"/>
    </font>
    <font>
      <b/>
      <sz val="9"/>
      <color indexed="10"/>
      <name val="Arial"/>
      <charset val="134"/>
    </font>
    <font>
      <b/>
      <sz val="11"/>
      <name val="Arial"/>
      <charset val="134"/>
    </font>
    <font>
      <sz val="11"/>
      <name val="Arial"/>
      <charset val="134"/>
    </font>
    <font>
      <b/>
      <i/>
      <sz val="11"/>
      <name val="Arial"/>
      <charset val="134"/>
    </font>
    <font>
      <i/>
      <sz val="11"/>
      <name val="Arial"/>
      <charset val="134"/>
    </font>
    <font>
      <u/>
      <sz val="11"/>
      <name val="Arial"/>
      <charset val="134"/>
    </font>
    <font>
      <i/>
      <sz val="8"/>
      <name val="Arial"/>
      <charset val="134"/>
    </font>
    <font>
      <b/>
      <u/>
      <sz val="8"/>
      <name val="Arial"/>
      <charset val="134"/>
    </font>
    <font>
      <b/>
      <u val="singleAccounting"/>
      <sz val="8"/>
      <name val="Arial"/>
      <charset val="134"/>
    </font>
    <font>
      <sz val="8"/>
      <color indexed="10"/>
      <name val="Arial"/>
      <charset val="134"/>
    </font>
    <font>
      <b/>
      <i/>
      <sz val="10"/>
      <color indexed="10"/>
      <name val="Arial"/>
      <charset val="134"/>
    </font>
    <font>
      <b/>
      <i/>
      <sz val="10"/>
      <color indexed="52"/>
      <name val="Arial"/>
      <charset val="134"/>
    </font>
    <font>
      <i/>
      <sz val="10"/>
      <color indexed="10"/>
      <name val="Arial"/>
      <charset val="134"/>
    </font>
    <font>
      <b/>
      <sz val="10"/>
      <color indexed="12"/>
      <name val="Arial"/>
      <charset val="134"/>
    </font>
    <font>
      <sz val="10"/>
      <color indexed="12"/>
      <name val="Arial"/>
      <charset val="134"/>
    </font>
    <font>
      <sz val="9"/>
      <name val="Arial"/>
      <charset val="1"/>
    </font>
    <font>
      <sz val="9"/>
      <color indexed="63"/>
      <name val="Arial"/>
      <charset val="1"/>
    </font>
    <font>
      <b/>
      <sz val="9"/>
      <color indexed="9"/>
      <name val="Inherit"/>
      <charset val="1"/>
    </font>
    <font>
      <sz val="8"/>
      <color indexed="63"/>
      <name val="Arial"/>
      <charset val="134"/>
    </font>
    <font>
      <u val="singleAccounting"/>
      <sz val="8"/>
      <color indexed="8"/>
      <name val="Arial"/>
      <charset val="134"/>
    </font>
    <font>
      <b/>
      <u val="singleAccounting"/>
      <sz val="9"/>
      <name val="Arial"/>
      <charset val="134"/>
    </font>
    <font>
      <u val="singleAccounting"/>
      <sz val="9"/>
      <name val="Arial"/>
      <charset val="134"/>
    </font>
    <font>
      <b/>
      <i/>
      <sz val="9"/>
      <name val="Arial"/>
      <charset val="134"/>
    </font>
    <font>
      <sz val="7"/>
      <color rgb="FFFF0000"/>
      <name val="Arial"/>
      <charset val="134"/>
    </font>
    <font>
      <u/>
      <sz val="9"/>
      <name val="Arial"/>
      <charset val="134"/>
    </font>
    <font>
      <sz val="10"/>
      <color indexed="8"/>
      <name val="Arial"/>
      <charset val="134"/>
    </font>
    <font>
      <sz val="9.5"/>
      <name val="Trebuchet MS"/>
      <charset val="134"/>
    </font>
    <font>
      <b/>
      <u/>
      <sz val="9"/>
      <name val="Arial"/>
      <charset val="134"/>
    </font>
    <font>
      <b/>
      <sz val="11"/>
      <color indexed="8"/>
      <name val="Calibri"/>
      <charset val="134"/>
    </font>
    <font>
      <sz val="11"/>
      <color theme="1"/>
      <name val="Calibri"/>
      <charset val="1"/>
      <scheme val="minor"/>
    </font>
    <font>
      <b/>
      <sz val="11"/>
      <color rgb="FF000000"/>
      <name val="Tahoma"/>
      <charset val="134"/>
    </font>
    <font>
      <b/>
      <sz val="16"/>
      <color rgb="FF800000"/>
      <name val="Arial"/>
      <charset val="134"/>
    </font>
    <font>
      <b/>
      <sz val="10"/>
      <color rgb="FF000000"/>
      <name val="Tahoma"/>
      <charset val="134"/>
    </font>
    <font>
      <sz val="8"/>
      <color rgb="FF000000"/>
      <name val="Tahoma"/>
      <charset val="134"/>
    </font>
    <font>
      <b/>
      <sz val="13"/>
      <name val="Arial"/>
      <charset val="134"/>
    </font>
    <font>
      <i/>
      <sz val="10"/>
      <color rgb="FFFF0000"/>
      <name val="Arial"/>
      <charset val="134"/>
    </font>
    <font>
      <b/>
      <sz val="9"/>
      <color rgb="FFFF0000"/>
      <name val="Arial"/>
      <charset val="134"/>
    </font>
    <font>
      <i/>
      <sz val="7"/>
      <color indexed="8"/>
      <name val="Arial"/>
      <charset val="134"/>
    </font>
    <font>
      <b/>
      <sz val="10"/>
      <name val="Tahoma"/>
      <charset val="134"/>
    </font>
    <font>
      <sz val="8"/>
      <name val="Tahoma"/>
      <charset val="134"/>
    </font>
    <font>
      <b/>
      <sz val="14"/>
      <name val="Arial"/>
      <charset val="134"/>
    </font>
    <font>
      <sz val="12"/>
      <name val="Arial Narrow"/>
      <charset val="134"/>
    </font>
    <font>
      <b/>
      <sz val="8"/>
      <color indexed="9"/>
      <name val="Arial"/>
      <charset val="134"/>
    </font>
    <font>
      <b/>
      <i/>
      <sz val="8"/>
      <color indexed="9"/>
      <name val="Arial"/>
      <charset val="134"/>
    </font>
    <font>
      <i/>
      <sz val="9"/>
      <color indexed="8"/>
      <name val="Arial"/>
      <charset val="134"/>
    </font>
    <font>
      <sz val="7"/>
      <color indexed="8"/>
      <name val="Arial"/>
      <charset val="134"/>
    </font>
    <font>
      <b/>
      <u val="singleAccounting"/>
      <sz val="9"/>
      <color indexed="8"/>
      <name val="Arial"/>
      <charset val="134"/>
    </font>
    <font>
      <b/>
      <u/>
      <sz val="9"/>
      <color indexed="8"/>
      <name val="Arial"/>
      <charset val="134"/>
    </font>
    <font>
      <u/>
      <sz val="9"/>
      <color indexed="8"/>
      <name val="Arial"/>
      <charset val="134"/>
    </font>
    <font>
      <u val="singleAccounting"/>
      <sz val="8"/>
      <name val="Arial"/>
      <charset val="134"/>
    </font>
    <font>
      <sz val="9"/>
      <color indexed="9"/>
      <name val="Arial"/>
      <charset val="134"/>
    </font>
    <font>
      <b/>
      <sz val="8"/>
      <color indexed="18"/>
      <name val="Arial"/>
      <charset val="134"/>
    </font>
    <font>
      <sz val="9"/>
      <color theme="1"/>
      <name val="Calibri"/>
      <charset val="1"/>
      <scheme val="minor"/>
    </font>
    <font>
      <sz val="9"/>
      <name val="Calibri"/>
      <charset val="134"/>
      <scheme val="minor"/>
    </font>
    <font>
      <b/>
      <u/>
      <sz val="11"/>
      <color indexed="10"/>
      <name val="Calibri"/>
      <charset val="134"/>
    </font>
    <font>
      <sz val="8"/>
      <color rgb="FFFF0000"/>
      <name val="Arial"/>
      <charset val="134"/>
    </font>
    <font>
      <i/>
      <sz val="9"/>
      <color rgb="FFFF0000"/>
      <name val="Arial"/>
      <charset val="134"/>
    </font>
    <font>
      <sz val="10"/>
      <color theme="1"/>
      <name val="Arial"/>
      <charset val="134"/>
    </font>
    <font>
      <b/>
      <sz val="10"/>
      <color theme="0"/>
      <name val="Arial"/>
      <charset val="134"/>
    </font>
    <font>
      <i/>
      <sz val="9"/>
      <color indexed="9"/>
      <name val="Arial"/>
      <charset val="134"/>
    </font>
    <font>
      <b/>
      <i/>
      <sz val="8"/>
      <color indexed="8"/>
      <name val="Arial"/>
      <charset val="134"/>
    </font>
    <font>
      <b/>
      <i/>
      <sz val="9"/>
      <color indexed="8"/>
      <name val="Arial"/>
      <charset val="134"/>
    </font>
    <font>
      <i/>
      <sz val="8"/>
      <color indexed="8"/>
      <name val="Arial"/>
      <charset val="134"/>
    </font>
    <font>
      <b/>
      <sz val="10"/>
      <color indexed="9"/>
      <name val="Arial"/>
      <charset val="134"/>
    </font>
    <font>
      <b/>
      <i/>
      <sz val="10"/>
      <color indexed="9"/>
      <name val="Arial"/>
      <charset val="134"/>
    </font>
    <font>
      <sz val="10"/>
      <color indexed="9"/>
      <name val="Arial"/>
      <charset val="134"/>
    </font>
    <font>
      <u/>
      <sz val="10"/>
      <color theme="1"/>
      <name val="Arial"/>
      <charset val="134"/>
    </font>
    <font>
      <b/>
      <u/>
      <sz val="10"/>
      <color indexed="12"/>
      <name val="Arial"/>
      <charset val="134"/>
    </font>
    <font>
      <sz val="12"/>
      <color rgb="FFFF0000"/>
      <name val="Wingdings"/>
      <charset val="2"/>
    </font>
    <font>
      <b/>
      <i/>
      <u val="singleAccounting"/>
      <sz val="9"/>
      <name val="Arial"/>
      <charset val="134"/>
    </font>
    <font>
      <sz val="9"/>
      <name val="Trebuchet MS"/>
      <charset val="134"/>
    </font>
    <font>
      <sz val="9.5"/>
      <name val="Calibri"/>
      <charset val="134"/>
    </font>
    <font>
      <b/>
      <sz val="9.5"/>
      <name val="Calibri"/>
      <charset val="134"/>
    </font>
    <font>
      <b/>
      <sz val="9.5"/>
      <color indexed="10"/>
      <name val="Calibri"/>
      <charset val="134"/>
    </font>
    <font>
      <i/>
      <sz val="9.5"/>
      <name val="Calibri"/>
      <charset val="134"/>
    </font>
    <font>
      <b/>
      <u/>
      <sz val="9.5"/>
      <name val="Calibri"/>
      <charset val="134"/>
    </font>
    <font>
      <b/>
      <u/>
      <sz val="11"/>
      <name val="Arial"/>
      <charset val="134"/>
    </font>
    <font>
      <sz val="9"/>
      <color indexed="18"/>
      <name val="Arial"/>
      <charset val="134"/>
    </font>
    <font>
      <b/>
      <sz val="22"/>
      <color indexed="8"/>
      <name val="Univers Condensed"/>
      <charset val="134"/>
    </font>
    <font>
      <sz val="10"/>
      <color indexed="8"/>
      <name val="Univers Condensed"/>
      <charset val="134"/>
    </font>
    <font>
      <b/>
      <sz val="14"/>
      <color indexed="8"/>
      <name val="Univers Condensed"/>
      <charset val="134"/>
    </font>
    <font>
      <sz val="14"/>
      <color indexed="8"/>
      <name val="Univers Condensed"/>
      <charset val="134"/>
    </font>
    <font>
      <b/>
      <sz val="14"/>
      <color indexed="9"/>
      <name val="Univers Condensed"/>
      <charset val="134"/>
    </font>
    <font>
      <b/>
      <i/>
      <sz val="10"/>
      <color indexed="8"/>
      <name val="Arial"/>
      <charset val="134"/>
    </font>
    <font>
      <sz val="12"/>
      <name val="Impact"/>
      <charset val="134"/>
    </font>
    <font>
      <b/>
      <i/>
      <sz val="8"/>
      <name val="Arial"/>
      <charset val="134"/>
    </font>
    <font>
      <sz val="8"/>
      <color indexed="9"/>
      <name val="Arial"/>
      <charset val="134"/>
    </font>
    <font>
      <sz val="10"/>
      <name val="Arial"/>
      <charset val="134"/>
    </font>
    <font>
      <sz val="10"/>
      <name val="Arial"/>
      <charset val="1"/>
    </font>
    <font>
      <sz val="7.5"/>
      <color indexed="8"/>
      <name val="Verdana"/>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name val="MS Sans Serif"/>
      <charset val="134"/>
    </font>
    <font>
      <sz val="10"/>
      <name val="Geneva"/>
      <charset val="134"/>
    </font>
    <font>
      <b/>
      <sz val="10"/>
      <name val="MS Sans Serif"/>
      <charset val="134"/>
    </font>
    <font>
      <sz val="12"/>
      <name val="Tms Rmn"/>
      <charset val="134"/>
    </font>
    <font>
      <sz val="11"/>
      <color indexed="8"/>
      <name val="Calibri"/>
      <charset val="1"/>
    </font>
    <font>
      <sz val="12"/>
      <name val="Book Antiqua"/>
      <charset val="134"/>
    </font>
    <font>
      <sz val="10"/>
      <color indexed="22"/>
      <name val="Arial"/>
      <charset val="134"/>
    </font>
    <font>
      <sz val="11"/>
      <name val="Times New Roman"/>
      <charset val="134"/>
    </font>
    <font>
      <sz val="1"/>
      <color indexed="8"/>
      <name val="Courier"/>
      <charset val="134"/>
    </font>
    <font>
      <b/>
      <sz val="16"/>
      <name val="Times New Roman"/>
      <charset val="134"/>
    </font>
    <font>
      <sz val="18"/>
      <name val="Times New Roman"/>
      <charset val="134"/>
    </font>
    <font>
      <b/>
      <sz val="13"/>
      <name val="Times New Roman"/>
      <charset val="134"/>
    </font>
    <font>
      <b/>
      <i/>
      <sz val="12"/>
      <name val="Times New Roman"/>
      <charset val="134"/>
    </font>
    <font>
      <i/>
      <sz val="12"/>
      <name val="Times New Roman"/>
      <charset val="134"/>
    </font>
    <font>
      <sz val="10"/>
      <name val="Century Schoolbook"/>
      <charset val="134"/>
    </font>
    <font>
      <b/>
      <i/>
      <sz val="16"/>
      <name val="Helv"/>
      <charset val="134"/>
    </font>
    <font>
      <sz val="6"/>
      <name val="Tms Rmn"/>
      <charset val="134"/>
    </font>
    <font>
      <sz val="12"/>
      <name val="Arial"/>
      <charset val="134"/>
    </font>
    <font>
      <b/>
      <sz val="10"/>
      <color indexed="18"/>
      <name val="Arial"/>
      <charset val="134"/>
    </font>
    <font>
      <sz val="14"/>
      <color indexed="8"/>
      <name val="Arial"/>
      <charset val="134"/>
    </font>
    <font>
      <sz val="14"/>
      <color rgb="FF000000"/>
      <name val="Arial"/>
      <charset val="134"/>
    </font>
    <font>
      <b/>
      <sz val="16"/>
      <color indexed="16"/>
      <name val="Times New Roman"/>
      <charset val="134"/>
    </font>
    <font>
      <b/>
      <sz val="16"/>
      <color rgb="FF800000"/>
      <name val="Times New Roman"/>
      <charset val="134"/>
    </font>
    <font>
      <b/>
      <sz val="8"/>
      <color rgb="FF000080"/>
      <name val="Arial"/>
      <charset val="134"/>
    </font>
    <font>
      <sz val="1"/>
      <color rgb="FF000000"/>
      <name val="Arial"/>
      <charset val="134"/>
    </font>
    <font>
      <sz val="9"/>
      <color indexed="8"/>
      <name val="Times New Roman"/>
      <charset val="134"/>
    </font>
    <font>
      <sz val="9"/>
      <color rgb="FF000000"/>
      <name val="Times New Roman"/>
      <charset val="134"/>
    </font>
    <font>
      <sz val="8"/>
      <color indexed="8"/>
      <name val="Tahoma"/>
      <charset val="134"/>
    </font>
    <font>
      <b/>
      <sz val="11"/>
      <color indexed="8"/>
      <name val="Arial"/>
      <charset val="134"/>
    </font>
    <font>
      <b/>
      <sz val="11"/>
      <color rgb="FF000000"/>
      <name val="Arial"/>
      <charset val="134"/>
    </font>
    <font>
      <sz val="9"/>
      <color rgb="FF000000"/>
      <name val="Arial"/>
      <charset val="134"/>
    </font>
    <font>
      <sz val="10"/>
      <color rgb="FF000000"/>
      <name val="Arial"/>
      <charset val="134"/>
    </font>
    <font>
      <sz val="12"/>
      <name val="新細明體"/>
      <charset val="136"/>
    </font>
    <font>
      <sz val="14"/>
      <name val="ＭＳ 明朝"/>
      <charset val="128"/>
    </font>
    <font>
      <sz val="11"/>
      <name val="ＭＳ Ｐゴシック"/>
      <charset val="128"/>
    </font>
    <font>
      <vertAlign val="superscript"/>
      <sz val="9"/>
      <name val="Arial"/>
      <charset val="134"/>
    </font>
    <font>
      <i/>
      <sz val="9"/>
      <color rgb="FF000000"/>
      <name val="Arial"/>
      <charset val="134"/>
    </font>
    <font>
      <i/>
      <sz val="7"/>
      <name val="Arial"/>
      <charset val="134"/>
    </font>
    <font>
      <b/>
      <sz val="9"/>
      <color indexed="9"/>
      <name val="Arial"/>
      <charset val="134"/>
    </font>
    <font>
      <i/>
      <sz val="12"/>
      <name val="Impact"/>
      <charset val="134"/>
    </font>
    <font>
      <b/>
      <sz val="12"/>
      <name val="Tahoma"/>
      <charset val="134"/>
    </font>
    <font>
      <sz val="9"/>
      <name val="Tahoma"/>
      <charset val="134"/>
    </font>
    <font>
      <sz val="12"/>
      <name val="Tahoma"/>
      <charset val="134"/>
    </font>
    <font>
      <b/>
      <sz val="9"/>
      <name val="Tahoma"/>
      <charset val="1"/>
    </font>
    <font>
      <b/>
      <sz val="9"/>
      <name val="Tahoma"/>
      <charset val="134"/>
    </font>
    <font>
      <sz val="9"/>
      <name val="Tahoma"/>
      <charset val="1"/>
    </font>
    <font>
      <sz val="12"/>
      <name val="Tahoma"/>
      <charset val="1"/>
    </font>
    <font>
      <b/>
      <sz val="12"/>
      <name val="Tahoma"/>
      <charset val="1"/>
    </font>
  </fonts>
  <fills count="106">
    <fill>
      <patternFill patternType="none"/>
    </fill>
    <fill>
      <patternFill patternType="gray125"/>
    </fill>
    <fill>
      <patternFill patternType="solid">
        <fgColor indexed="13"/>
        <bgColor indexed="64"/>
      </patternFill>
    </fill>
    <fill>
      <patternFill patternType="solid">
        <fgColor theme="8" tint="0.599993896298105"/>
        <bgColor indexed="64"/>
      </patternFill>
    </fill>
    <fill>
      <patternFill patternType="solid">
        <fgColor indexed="26"/>
        <bgColor indexed="64"/>
      </patternFill>
    </fill>
    <fill>
      <patternFill patternType="solid">
        <fgColor indexed="26"/>
        <bgColor indexed="34"/>
      </patternFill>
    </fill>
    <fill>
      <patternFill patternType="solid">
        <fgColor theme="0" tint="-0.249977111117893"/>
        <bgColor indexed="64"/>
      </patternFill>
    </fill>
    <fill>
      <patternFill patternType="solid">
        <fgColor theme="0" tint="-0.249977111117893"/>
        <bgColor indexed="34"/>
      </patternFill>
    </fill>
    <fill>
      <patternFill patternType="solid">
        <fgColor indexed="22"/>
        <bgColor indexed="64"/>
      </patternFill>
    </fill>
    <fill>
      <patternFill patternType="solid">
        <fgColor rgb="FF00B0F0"/>
        <bgColor indexed="64"/>
      </patternFill>
    </fill>
    <fill>
      <patternFill patternType="solid">
        <fgColor theme="0"/>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FFFF00"/>
        <bgColor indexed="64"/>
      </patternFill>
    </fill>
    <fill>
      <patternFill patternType="solid">
        <fgColor theme="3" tint="0.799981688894314"/>
        <bgColor indexed="64"/>
      </patternFill>
    </fill>
    <fill>
      <patternFill patternType="solid">
        <fgColor indexed="22"/>
        <bgColor indexed="34"/>
      </patternFill>
    </fill>
    <fill>
      <patternFill patternType="solid">
        <fgColor theme="5" tint="0.799981688894314"/>
        <bgColor indexed="64"/>
      </patternFill>
    </fill>
    <fill>
      <patternFill patternType="solid">
        <fgColor theme="8" tint="0.599993896298105"/>
        <bgColor indexed="31"/>
      </patternFill>
    </fill>
    <fill>
      <patternFill patternType="solid">
        <fgColor indexed="22"/>
        <bgColor indexed="31"/>
      </patternFill>
    </fill>
    <fill>
      <patternFill patternType="solid">
        <fgColor indexed="46"/>
        <bgColor indexed="64"/>
      </patternFill>
    </fill>
    <fill>
      <patternFill patternType="solid">
        <fgColor theme="0" tint="-0.349986266670736"/>
        <bgColor indexed="64"/>
      </patternFill>
    </fill>
    <fill>
      <patternFill patternType="solid">
        <fgColor theme="3" tint="0.599993896298105"/>
        <bgColor indexed="64"/>
      </patternFill>
    </fill>
    <fill>
      <patternFill patternType="solid">
        <fgColor theme="9" tint="0.599993896298105"/>
        <bgColor indexed="64"/>
      </patternFill>
    </fill>
    <fill>
      <patternFill patternType="solid">
        <fgColor rgb="FFFF0000"/>
        <bgColor indexed="64"/>
      </patternFill>
    </fill>
    <fill>
      <patternFill patternType="solid">
        <fgColor rgb="FF92D050"/>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2" tint="-0.0999786370433668"/>
        <bgColor indexed="64"/>
      </patternFill>
    </fill>
    <fill>
      <patternFill patternType="solid">
        <fgColor indexed="44"/>
        <bgColor indexed="64"/>
      </patternFill>
    </fill>
    <fill>
      <patternFill patternType="solid">
        <fgColor indexed="11"/>
        <bgColor indexed="64"/>
      </patternFill>
    </fill>
    <fill>
      <patternFill patternType="solid">
        <fgColor indexed="9"/>
        <bgColor indexed="64"/>
      </patternFill>
    </fill>
    <fill>
      <patternFill patternType="solid">
        <fgColor theme="0" tint="-0.149998474074526"/>
        <bgColor indexed="34"/>
      </patternFill>
    </fill>
    <fill>
      <patternFill patternType="solid">
        <fgColor theme="0" tint="-0.149998474074526"/>
        <bgColor indexed="64"/>
      </patternFill>
    </fill>
    <fill>
      <patternFill patternType="solid">
        <fgColor theme="6" tint="0.799981688894314"/>
        <bgColor indexed="64"/>
      </patternFill>
    </fill>
    <fill>
      <patternFill patternType="solid">
        <fgColor indexed="15"/>
        <bgColor indexed="64"/>
      </patternFill>
    </fill>
    <fill>
      <patternFill patternType="solid">
        <fgColor indexed="27"/>
        <bgColor indexed="41"/>
      </patternFill>
    </fill>
    <fill>
      <patternFill patternType="solid">
        <fgColor indexed="9"/>
        <bgColor indexed="26"/>
      </patternFill>
    </fill>
    <fill>
      <patternFill patternType="solid">
        <fgColor indexed="27"/>
        <bgColor indexed="26"/>
      </patternFill>
    </fill>
    <fill>
      <patternFill patternType="solid">
        <fgColor indexed="27"/>
        <bgColor indexed="64"/>
      </patternFill>
    </fill>
    <fill>
      <patternFill patternType="solid">
        <fgColor indexed="40"/>
        <bgColor indexed="64"/>
      </patternFill>
    </fill>
    <fill>
      <patternFill patternType="solid">
        <fgColor indexed="43"/>
        <bgColor indexed="64"/>
      </patternFill>
    </fill>
    <fill>
      <patternFill patternType="solid">
        <fgColor indexed="63"/>
        <bgColor indexed="64"/>
      </patternFill>
    </fill>
    <fill>
      <patternFill patternType="solid">
        <fgColor indexed="42"/>
        <bgColor indexed="64"/>
      </patternFill>
    </fill>
    <fill>
      <patternFill patternType="solid">
        <fgColor indexed="43"/>
        <bgColor indexed="26"/>
      </patternFill>
    </fill>
    <fill>
      <patternFill patternType="solid">
        <fgColor indexed="42"/>
        <bgColor indexed="27"/>
      </patternFill>
    </fill>
    <fill>
      <patternFill patternType="solid">
        <fgColor indexed="40"/>
        <bgColor indexed="26"/>
      </patternFill>
    </fill>
    <fill>
      <patternFill patternType="solid">
        <fgColor indexed="8"/>
        <bgColor indexed="64"/>
      </patternFill>
    </fill>
    <fill>
      <patternFill patternType="solid">
        <fgColor indexed="51"/>
        <bgColor indexed="64"/>
      </patternFill>
    </fill>
    <fill>
      <patternFill patternType="solid">
        <fgColor indexed="51"/>
        <bgColor indexed="13"/>
      </patternFill>
    </fill>
    <fill>
      <patternFill patternType="solid">
        <fgColor indexed="40"/>
        <bgColor indexed="13"/>
      </patternFill>
    </fill>
    <fill>
      <patternFill patternType="solid">
        <fgColor indexed="47"/>
        <bgColor indexed="64"/>
      </patternFill>
    </fill>
    <fill>
      <patternFill patternType="solid">
        <fgColor indexed="41"/>
        <bgColor indexed="64"/>
      </patternFill>
    </fill>
    <fill>
      <patternFill patternType="solid">
        <fgColor indexed="30"/>
        <bgColor indexed="64"/>
      </patternFill>
    </fill>
    <fill>
      <patternFill patternType="solid">
        <fgColor theme="9" tint="0.799981688894314"/>
        <bgColor indexed="64"/>
      </patternFill>
    </fill>
    <fill>
      <patternFill patternType="solid">
        <fgColor theme="3" tint="0.799981688894314"/>
        <bgColor indexed="34"/>
      </patternFill>
    </fill>
    <fill>
      <patternFill patternType="solid">
        <fgColor theme="8" tint="0.599993896298105"/>
        <bgColor indexed="34"/>
      </patternFill>
    </fill>
    <fill>
      <patternFill patternType="solid">
        <fgColor theme="6" tint="0.599993896298105"/>
        <bgColor indexed="34"/>
      </patternFill>
    </fill>
    <fill>
      <patternFill patternType="solid">
        <fgColor indexed="44"/>
        <bgColor indexed="34"/>
      </patternFill>
    </fill>
    <fill>
      <patternFill patternType="solid">
        <fgColor indexed="43"/>
        <bgColor indexed="34"/>
      </patternFill>
    </fill>
    <fill>
      <patternFill patternType="solid">
        <fgColor indexed="44"/>
        <bgColor indexed="35"/>
      </patternFill>
    </fill>
    <fill>
      <patternFill patternType="solid">
        <fgColor theme="5" tint="0.599993896298105"/>
        <bgColor indexed="64"/>
      </patternFill>
    </fill>
    <fill>
      <patternFill patternType="solid">
        <fgColor theme="8" tint="0.399975585192419"/>
        <bgColor indexed="64"/>
      </patternFill>
    </fill>
    <fill>
      <patternFill patternType="solid">
        <fgColor indexed="15"/>
        <bgColor indexed="35"/>
      </patternFill>
    </fill>
    <fill>
      <patternFill patternType="solid">
        <fgColor indexed="31"/>
        <bgColor indexed="64"/>
      </patternFill>
    </fill>
    <fill>
      <patternFill patternType="solid">
        <fgColor theme="0" tint="-0.0499893185216834"/>
        <bgColor indexed="64"/>
      </patternFill>
    </fill>
    <fill>
      <patternFill patternType="solid">
        <fgColor rgb="FFDCFBA5"/>
        <bgColor indexed="64"/>
      </patternFill>
    </fill>
    <fill>
      <patternFill patternType="solid">
        <fgColor rgb="FFFFC000"/>
        <bgColor indexed="64"/>
      </patternFill>
    </fill>
    <fill>
      <patternFill patternType="solid">
        <fgColor theme="4" tint="0.599993896298105"/>
        <bgColor indexed="64"/>
      </patternFill>
    </fill>
    <fill>
      <patternFill patternType="solid">
        <fgColor rgb="FFDCFBA5"/>
        <bgColor indexed="34"/>
      </patternFill>
    </fill>
    <fill>
      <patternFill patternType="solid">
        <fgColor indexed="50"/>
        <bgColor indexed="64"/>
      </patternFill>
    </fill>
    <fill>
      <patternFill patternType="solid">
        <fgColor theme="6" tint="0.399975585192419"/>
        <bgColor indexed="64"/>
      </patternFill>
    </fill>
    <fill>
      <patternFill patternType="solid">
        <fgColor indexed="29"/>
        <bgColor indexed="64"/>
      </patternFill>
    </fill>
    <fill>
      <patternFill patternType="solid">
        <fgColor indexed="55"/>
        <bgColor indexed="64"/>
      </patternFill>
    </fill>
    <fill>
      <patternFill patternType="solid">
        <fgColor theme="3" tint="0.399975585192419"/>
        <bgColor indexed="64"/>
      </patternFill>
    </fill>
    <fill>
      <patternFill patternType="solid">
        <fgColor indexed="47"/>
        <bgColor indexed="3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5">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thin">
        <color auto="1"/>
      </top>
      <bottom style="double">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bottom/>
      <diagonal/>
    </border>
    <border>
      <left/>
      <right style="medium">
        <color auto="1"/>
      </right>
      <top/>
      <bottom/>
      <diagonal/>
    </border>
    <border>
      <left/>
      <right style="medium">
        <color auto="1"/>
      </right>
      <top style="thin">
        <color auto="1"/>
      </top>
      <bottom/>
      <diagonal/>
    </border>
    <border>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thin">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top style="hair">
        <color auto="1"/>
      </top>
      <bottom/>
      <diagonal/>
    </border>
    <border>
      <left/>
      <right style="thin">
        <color auto="1"/>
      </right>
      <top style="hair">
        <color auto="1"/>
      </top>
      <bottom/>
      <diagonal/>
    </border>
    <border>
      <left style="thin">
        <color auto="1"/>
      </left>
      <right style="thin">
        <color auto="1"/>
      </right>
      <top style="hair">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bottom style="hair">
        <color auto="1"/>
      </bottom>
      <diagonal/>
    </border>
    <border>
      <left/>
      <right style="medium">
        <color auto="1"/>
      </right>
      <top style="medium">
        <color auto="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right style="thin">
        <color indexed="8"/>
      </right>
      <top style="thin">
        <color auto="1"/>
      </top>
      <bottom/>
      <diagonal/>
    </border>
    <border>
      <left style="thin">
        <color indexed="8"/>
      </left>
      <right style="thin">
        <color indexed="8"/>
      </right>
      <top style="thin">
        <color auto="1"/>
      </top>
      <bottom/>
      <diagonal/>
    </border>
    <border>
      <left/>
      <right style="thin">
        <color indexed="8"/>
      </right>
      <top/>
      <bottom style="thin">
        <color auto="1"/>
      </bottom>
      <diagonal/>
    </border>
    <border>
      <left style="thin">
        <color indexed="8"/>
      </left>
      <right style="thin">
        <color indexed="8"/>
      </right>
      <top/>
      <bottom style="thin">
        <color auto="1"/>
      </bottom>
      <diagonal/>
    </border>
    <border>
      <left/>
      <right style="thin">
        <color indexed="8"/>
      </right>
      <top style="thin">
        <color indexed="8"/>
      </top>
      <bottom/>
      <diagonal/>
    </border>
    <border>
      <left style="thin">
        <color indexed="8"/>
      </left>
      <right style="thin">
        <color indexed="8"/>
      </right>
      <top style="thin">
        <color indexed="8"/>
      </top>
      <bottom/>
      <diagonal/>
    </border>
    <border>
      <left/>
      <right style="thin">
        <color indexed="8"/>
      </right>
      <top/>
      <bottom/>
      <diagonal/>
    </border>
    <border>
      <left style="thin">
        <color indexed="8"/>
      </left>
      <right style="thin">
        <color indexed="8"/>
      </right>
      <top/>
      <bottom/>
      <diagonal/>
    </border>
    <border>
      <left style="thin">
        <color indexed="8"/>
      </left>
      <right style="thin">
        <color auto="1"/>
      </right>
      <top style="thin">
        <color auto="1"/>
      </top>
      <bottom/>
      <diagonal/>
    </border>
    <border>
      <left style="thin">
        <color indexed="8"/>
      </left>
      <right style="thin">
        <color auto="1"/>
      </right>
      <top/>
      <bottom style="thin">
        <color auto="1"/>
      </bottom>
      <diagonal/>
    </border>
    <border>
      <left style="thin">
        <color indexed="8"/>
      </left>
      <right/>
      <top style="thin">
        <color indexed="8"/>
      </top>
      <bottom/>
      <diagonal/>
    </border>
    <border>
      <left style="thin">
        <color indexed="8"/>
      </left>
      <right/>
      <top/>
      <bottom/>
      <diagonal/>
    </border>
    <border>
      <left/>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thin">
        <color auto="1"/>
      </left>
      <right style="thin">
        <color auto="1"/>
      </right>
      <top style="medium">
        <color auto="1"/>
      </top>
      <bottom/>
      <diagonal/>
    </border>
    <border>
      <left/>
      <right style="thin">
        <color auto="1"/>
      </right>
      <top style="medium">
        <color auto="1"/>
      </top>
      <bottom/>
      <diagonal/>
    </border>
    <border>
      <left style="thin">
        <color auto="1"/>
      </left>
      <right/>
      <top/>
      <bottom style="medium">
        <color auto="1"/>
      </bottom>
      <diagonal/>
    </border>
    <border>
      <left style="thin">
        <color auto="1"/>
      </left>
      <right style="thin">
        <color auto="1"/>
      </right>
      <top/>
      <bottom style="medium">
        <color auto="1"/>
      </bottom>
      <diagonal/>
    </border>
    <border>
      <left/>
      <right style="thin">
        <color auto="1"/>
      </right>
      <top style="thin">
        <color auto="1"/>
      </top>
      <bottom style="medium">
        <color auto="1"/>
      </bottom>
      <diagonal/>
    </border>
    <border>
      <left style="thin">
        <color auto="1"/>
      </left>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medium">
        <color auto="1"/>
      </right>
      <top style="medium">
        <color auto="1"/>
      </top>
      <bottom/>
      <diagonal/>
    </border>
    <border>
      <left style="thin">
        <color auto="1"/>
      </left>
      <right style="medium">
        <color auto="1"/>
      </right>
      <top/>
      <bottom style="thin">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auto="1"/>
      </left>
      <right style="medium">
        <color auto="1"/>
      </right>
      <top style="thin">
        <color auto="1"/>
      </top>
      <bottom style="double">
        <color auto="1"/>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medium">
        <color auto="1"/>
      </left>
      <right style="thin">
        <color auto="1"/>
      </right>
      <top/>
      <bottom/>
      <diagonal/>
    </border>
    <border>
      <left style="medium">
        <color auto="1"/>
      </left>
      <right style="thin">
        <color auto="1"/>
      </right>
      <top/>
      <bottom style="thin">
        <color auto="1"/>
      </bottom>
      <diagonal/>
    </border>
    <border>
      <left style="medium">
        <color auto="1"/>
      </left>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8"/>
      </left>
      <right/>
      <top/>
      <bottom style="thin">
        <color indexed="8"/>
      </bottom>
      <diagonal/>
    </border>
    <border>
      <left/>
      <right style="thin">
        <color indexed="8"/>
      </right>
      <top/>
      <bottom style="thin">
        <color indexed="8"/>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style="thin">
        <color indexed="8"/>
      </top>
      <bottom/>
      <diagonal/>
    </border>
    <border>
      <left/>
      <right style="thin">
        <color auto="1"/>
      </right>
      <top style="thin">
        <color auto="1"/>
      </top>
      <bottom style="double">
        <color auto="1"/>
      </bottom>
      <diagonal/>
    </border>
    <border>
      <left/>
      <right/>
      <top/>
      <bottom style="double">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bottom style="medium">
        <color auto="1"/>
      </bottom>
      <diagonal/>
    </border>
    <border>
      <left/>
      <right style="medium">
        <color auto="1"/>
      </right>
      <top style="thin">
        <color auto="1"/>
      </top>
      <bottom style="medium">
        <color auto="1"/>
      </bottom>
      <diagonal/>
    </border>
    <border>
      <left style="thin">
        <color indexed="8"/>
      </left>
      <right style="medium">
        <color indexed="8"/>
      </right>
      <top/>
      <bottom/>
      <diagonal/>
    </border>
    <border>
      <left/>
      <right style="medium">
        <color indexed="8"/>
      </right>
      <top/>
      <bottom/>
      <diagonal/>
    </border>
    <border>
      <left/>
      <right style="medium">
        <color indexed="8"/>
      </right>
      <top/>
      <bottom style="thin">
        <color auto="1"/>
      </bottom>
      <diagonal/>
    </border>
    <border>
      <left style="thin">
        <color auto="1"/>
      </left>
      <right style="medium">
        <color indexed="8"/>
      </right>
      <top/>
      <bottom/>
      <diagonal/>
    </border>
    <border>
      <left style="medium">
        <color auto="1"/>
      </left>
      <right/>
      <top style="thin">
        <color auto="1"/>
      </top>
      <bottom/>
      <diagonal/>
    </border>
    <border>
      <left style="medium">
        <color auto="1"/>
      </left>
      <right/>
      <top style="thin">
        <color auto="1"/>
      </top>
      <bottom style="double">
        <color auto="1"/>
      </bottom>
      <diagonal/>
    </border>
    <border>
      <left/>
      <right style="thin">
        <color auto="1"/>
      </right>
      <top style="medium">
        <color auto="1"/>
      </top>
      <bottom style="thin">
        <color auto="1"/>
      </bottom>
      <diagonal/>
    </border>
    <border>
      <left style="thin">
        <color auto="1"/>
      </left>
      <right style="medium">
        <color auto="1"/>
      </right>
      <top style="thin">
        <color auto="1"/>
      </top>
      <bottom style="medium">
        <color auto="1"/>
      </bottom>
      <diagonal/>
    </border>
    <border>
      <left style="thin">
        <color auto="1"/>
      </left>
      <right style="medium">
        <color auto="1"/>
      </right>
      <top style="thin">
        <color auto="1"/>
      </top>
      <bottom/>
      <diagonal/>
    </border>
    <border>
      <left style="thin">
        <color auto="1"/>
      </left>
      <right style="medium">
        <color indexed="8"/>
      </right>
      <top/>
      <bottom style="thin">
        <color auto="1"/>
      </bottom>
      <diagonal/>
    </border>
    <border>
      <left style="thin">
        <color auto="1"/>
      </left>
      <right style="medium">
        <color indexed="8"/>
      </right>
      <top style="thin">
        <color auto="1"/>
      </top>
      <bottom style="double">
        <color auto="1"/>
      </bottom>
      <diagonal/>
    </border>
    <border>
      <left style="thin">
        <color indexed="8"/>
      </left>
      <right style="thin">
        <color auto="1"/>
      </right>
      <top/>
      <bottom/>
      <diagonal/>
    </border>
    <border>
      <left/>
      <right style="medium">
        <color auto="1"/>
      </right>
      <top style="thin">
        <color auto="1"/>
      </top>
      <bottom style="thin">
        <color auto="1"/>
      </bottom>
      <diagonal/>
    </border>
    <border>
      <left/>
      <right style="thin">
        <color indexed="9"/>
      </right>
      <top style="thin">
        <color indexed="9"/>
      </top>
      <bottom/>
      <diagonal/>
    </border>
    <border>
      <left style="medium">
        <color auto="1"/>
      </left>
      <right style="medium">
        <color auto="1"/>
      </right>
      <top style="thin">
        <color auto="1"/>
      </top>
      <bottom style="medium">
        <color auto="1"/>
      </bottom>
      <diagonal/>
    </border>
    <border>
      <left style="thin">
        <color auto="1"/>
      </left>
      <right/>
      <top style="double">
        <color auto="1"/>
      </top>
      <bottom/>
      <diagonal/>
    </border>
    <border>
      <left/>
      <right/>
      <top style="double">
        <color auto="1"/>
      </top>
      <bottom/>
      <diagonal/>
    </border>
    <border>
      <left style="thin">
        <color auto="1"/>
      </left>
      <right style="thin">
        <color auto="1"/>
      </right>
      <top style="double">
        <color auto="1"/>
      </top>
      <bottom/>
      <diagonal/>
    </border>
    <border>
      <left style="thin">
        <color auto="1"/>
      </left>
      <right/>
      <top/>
      <bottom style="double">
        <color auto="1"/>
      </bottom>
      <diagonal/>
    </border>
    <border>
      <left style="thin">
        <color auto="1"/>
      </left>
      <right style="thin">
        <color auto="1"/>
      </right>
      <top/>
      <bottom style="double">
        <color auto="1"/>
      </bottom>
      <diagonal/>
    </border>
    <border>
      <left/>
      <right style="thin">
        <color auto="1"/>
      </right>
      <top/>
      <bottom style="double">
        <color auto="1"/>
      </bottom>
      <diagonal/>
    </border>
    <border>
      <left/>
      <right style="medium">
        <color auto="1"/>
      </right>
      <top style="thin">
        <color auto="1"/>
      </top>
      <bottom style="double">
        <color auto="1"/>
      </bottom>
      <diagonal/>
    </border>
    <border>
      <left/>
      <right/>
      <top/>
      <bottom style="hair">
        <color auto="1"/>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medium">
        <color indexed="8"/>
      </left>
      <right/>
      <top/>
      <bottom style="thin">
        <color indexed="8"/>
      </bottom>
      <diagonal/>
    </border>
    <border>
      <left style="medium">
        <color indexed="8"/>
      </left>
      <right style="thin">
        <color indexed="8"/>
      </right>
      <top/>
      <bottom/>
      <diagonal/>
    </border>
    <border>
      <left style="thin">
        <color indexed="8"/>
      </left>
      <right style="thin">
        <color indexed="8"/>
      </right>
      <top style="thin">
        <color auto="1"/>
      </top>
      <bottom style="thin">
        <color auto="1"/>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right/>
      <top/>
      <bottom style="medium">
        <color indexed="8"/>
      </bottom>
      <diagonal/>
    </border>
    <border>
      <left style="thin">
        <color indexed="8"/>
      </left>
      <right style="medium">
        <color indexed="8"/>
      </right>
      <top style="medium">
        <color indexed="8"/>
      </top>
      <bottom/>
      <diagonal/>
    </border>
    <border>
      <left style="thin">
        <color indexed="8"/>
      </left>
      <right style="medium">
        <color indexed="8"/>
      </right>
      <top/>
      <bottom style="thin">
        <color indexed="8"/>
      </bottom>
      <diagonal/>
    </border>
    <border>
      <left style="thin">
        <color indexed="8"/>
      </left>
      <right style="medium">
        <color indexed="8"/>
      </right>
      <top style="thin">
        <color auto="1"/>
      </top>
      <bottom style="thin">
        <color auto="1"/>
      </bottom>
      <diagonal/>
    </border>
    <border>
      <left style="thin">
        <color indexed="8"/>
      </left>
      <right style="medium">
        <color indexed="8"/>
      </right>
      <top style="thin">
        <color indexed="8"/>
      </top>
      <bottom style="thin">
        <color indexed="8"/>
      </bottom>
      <diagonal/>
    </border>
    <border>
      <left style="thin">
        <color indexed="8"/>
      </left>
      <right style="medium">
        <color indexed="8"/>
      </right>
      <top/>
      <bottom style="medium">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indexed="8"/>
      </left>
      <right style="medium">
        <color indexed="8"/>
      </right>
      <top style="medium">
        <color indexed="8"/>
      </top>
      <bottom style="medium">
        <color indexed="8"/>
      </bottom>
      <diagonal/>
    </border>
    <border>
      <left/>
      <right/>
      <top/>
      <bottom style="thick">
        <color indexed="44"/>
      </bottom>
      <diagonal/>
    </border>
    <border>
      <left style="medium">
        <color indexed="18"/>
      </left>
      <right style="medium">
        <color indexed="18"/>
      </right>
      <top style="medium">
        <color indexed="18"/>
      </top>
      <bottom style="medium">
        <color indexed="18"/>
      </bottom>
      <diagonal/>
    </border>
  </borders>
  <cellStyleXfs count="406">
    <xf numFmtId="176" fontId="0" fillId="0" borderId="0">
      <alignment vertical="top"/>
    </xf>
    <xf numFmtId="177" fontId="13" fillId="0" borderId="0" applyFont="0" applyFill="0" applyBorder="0" applyAlignment="0" applyProtection="0"/>
    <xf numFmtId="178" fontId="191" fillId="0" borderId="0" applyFont="0" applyFill="0" applyBorder="0" applyAlignment="0" applyProtection="0">
      <alignment vertical="center"/>
    </xf>
    <xf numFmtId="9" fontId="13" fillId="0" borderId="0" applyFont="0" applyFill="0" applyBorder="0" applyAlignment="0" applyProtection="0"/>
    <xf numFmtId="41" fontId="13" fillId="0" borderId="0" applyFont="0" applyFill="0" applyBorder="0" applyAlignment="0" applyProtection="0"/>
    <xf numFmtId="179" fontId="191" fillId="0" borderId="0" applyFont="0" applyFill="0" applyBorder="0" applyAlignment="0" applyProtection="0">
      <alignment vertical="center"/>
    </xf>
    <xf numFmtId="0" fontId="26" fillId="0" borderId="0" applyNumberFormat="0" applyFill="0" applyBorder="0" applyAlignment="0" applyProtection="0">
      <alignment vertical="top"/>
      <protection locked="0"/>
    </xf>
    <xf numFmtId="0" fontId="192" fillId="0" borderId="0" applyNumberFormat="0" applyFill="0" applyBorder="0" applyAlignment="0" applyProtection="0">
      <alignment vertical="center"/>
    </xf>
    <xf numFmtId="0" fontId="191" fillId="75" borderId="134" applyNumberFormat="0" applyFont="0" applyAlignment="0" applyProtection="0">
      <alignment vertical="center"/>
    </xf>
    <xf numFmtId="0" fontId="193" fillId="0" borderId="0" applyNumberFormat="0" applyFill="0" applyBorder="0" applyAlignment="0" applyProtection="0">
      <alignment vertical="center"/>
    </xf>
    <xf numFmtId="0" fontId="194" fillId="0" borderId="0" applyNumberFormat="0" applyFill="0" applyBorder="0" applyAlignment="0" applyProtection="0">
      <alignment vertical="center"/>
    </xf>
    <xf numFmtId="0" fontId="195" fillId="0" borderId="0" applyNumberFormat="0" applyFill="0" applyBorder="0" applyAlignment="0" applyProtection="0">
      <alignment vertical="center"/>
    </xf>
    <xf numFmtId="0" fontId="196" fillId="0" borderId="135" applyNumberFormat="0" applyFill="0" applyAlignment="0" applyProtection="0">
      <alignment vertical="center"/>
    </xf>
    <xf numFmtId="0" fontId="197" fillId="0" borderId="135" applyNumberFormat="0" applyFill="0" applyAlignment="0" applyProtection="0">
      <alignment vertical="center"/>
    </xf>
    <xf numFmtId="0" fontId="198" fillId="0" borderId="136" applyNumberFormat="0" applyFill="0" applyAlignment="0" applyProtection="0">
      <alignment vertical="center"/>
    </xf>
    <xf numFmtId="0" fontId="198" fillId="0" borderId="0" applyNumberFormat="0" applyFill="0" applyBorder="0" applyAlignment="0" applyProtection="0">
      <alignment vertical="center"/>
    </xf>
    <xf numFmtId="0" fontId="199" fillId="76" borderId="137" applyNumberFormat="0" applyAlignment="0" applyProtection="0">
      <alignment vertical="center"/>
    </xf>
    <xf numFmtId="0" fontId="200" fillId="77" borderId="138" applyNumberFormat="0" applyAlignment="0" applyProtection="0">
      <alignment vertical="center"/>
    </xf>
    <xf numFmtId="0" fontId="201" fillId="77" borderId="137" applyNumberFormat="0" applyAlignment="0" applyProtection="0">
      <alignment vertical="center"/>
    </xf>
    <xf numFmtId="0" fontId="202" fillId="78" borderId="139" applyNumberFormat="0" applyAlignment="0" applyProtection="0">
      <alignment vertical="center"/>
    </xf>
    <xf numFmtId="0" fontId="203" fillId="0" borderId="140" applyNumberFormat="0" applyFill="0" applyAlignment="0" applyProtection="0">
      <alignment vertical="center"/>
    </xf>
    <xf numFmtId="0" fontId="204" fillId="0" borderId="141" applyNumberFormat="0" applyFill="0" applyAlignment="0" applyProtection="0">
      <alignment vertical="center"/>
    </xf>
    <xf numFmtId="0" fontId="205" fillId="79" borderId="0" applyNumberFormat="0" applyBorder="0" applyAlignment="0" applyProtection="0">
      <alignment vertical="center"/>
    </xf>
    <xf numFmtId="0" fontId="206" fillId="80" borderId="0" applyNumberFormat="0" applyBorder="0" applyAlignment="0" applyProtection="0">
      <alignment vertical="center"/>
    </xf>
    <xf numFmtId="0" fontId="207" fillId="81" borderId="0" applyNumberFormat="0" applyBorder="0" applyAlignment="0" applyProtection="0">
      <alignment vertical="center"/>
    </xf>
    <xf numFmtId="0" fontId="208" fillId="82" borderId="0" applyNumberFormat="0" applyBorder="0" applyAlignment="0" applyProtection="0">
      <alignment vertical="center"/>
    </xf>
    <xf numFmtId="0" fontId="209" fillId="83" borderId="0" applyNumberFormat="0" applyBorder="0" applyAlignment="0" applyProtection="0">
      <alignment vertical="center"/>
    </xf>
    <xf numFmtId="0" fontId="209" fillId="84" borderId="0" applyNumberFormat="0" applyBorder="0" applyAlignment="0" applyProtection="0">
      <alignment vertical="center"/>
    </xf>
    <xf numFmtId="0" fontId="208" fillId="85" borderId="0" applyNumberFormat="0" applyBorder="0" applyAlignment="0" applyProtection="0">
      <alignment vertical="center"/>
    </xf>
    <xf numFmtId="0" fontId="208" fillId="86" borderId="0" applyNumberFormat="0" applyBorder="0" applyAlignment="0" applyProtection="0">
      <alignment vertical="center"/>
    </xf>
    <xf numFmtId="0" fontId="209" fillId="87" borderId="0" applyNumberFormat="0" applyBorder="0" applyAlignment="0" applyProtection="0">
      <alignment vertical="center"/>
    </xf>
    <xf numFmtId="0" fontId="209" fillId="88" borderId="0" applyNumberFormat="0" applyBorder="0" applyAlignment="0" applyProtection="0">
      <alignment vertical="center"/>
    </xf>
    <xf numFmtId="0" fontId="208" fillId="89" borderId="0" applyNumberFormat="0" applyBorder="0" applyAlignment="0" applyProtection="0">
      <alignment vertical="center"/>
    </xf>
    <xf numFmtId="0" fontId="208" fillId="90" borderId="0" applyNumberFormat="0" applyBorder="0" applyAlignment="0" applyProtection="0">
      <alignment vertical="center"/>
    </xf>
    <xf numFmtId="0" fontId="209" fillId="91" borderId="0" applyNumberFormat="0" applyBorder="0" applyAlignment="0" applyProtection="0">
      <alignment vertical="center"/>
    </xf>
    <xf numFmtId="0" fontId="209" fillId="92" borderId="0" applyNumberFormat="0" applyBorder="0" applyAlignment="0" applyProtection="0">
      <alignment vertical="center"/>
    </xf>
    <xf numFmtId="0" fontId="208" fillId="93" borderId="0" applyNumberFormat="0" applyBorder="0" applyAlignment="0" applyProtection="0">
      <alignment vertical="center"/>
    </xf>
    <xf numFmtId="0" fontId="208" fillId="94" borderId="0" applyNumberFormat="0" applyBorder="0" applyAlignment="0" applyProtection="0">
      <alignment vertical="center"/>
    </xf>
    <xf numFmtId="0" fontId="209" fillId="95" borderId="0" applyNumberFormat="0" applyBorder="0" applyAlignment="0" applyProtection="0">
      <alignment vertical="center"/>
    </xf>
    <xf numFmtId="0" fontId="209" fillId="96" borderId="0" applyNumberFormat="0" applyBorder="0" applyAlignment="0" applyProtection="0">
      <alignment vertical="center"/>
    </xf>
    <xf numFmtId="0" fontId="208" fillId="97" borderId="0" applyNumberFormat="0" applyBorder="0" applyAlignment="0" applyProtection="0">
      <alignment vertical="center"/>
    </xf>
    <xf numFmtId="0" fontId="208" fillId="98" borderId="0" applyNumberFormat="0" applyBorder="0" applyAlignment="0" applyProtection="0">
      <alignment vertical="center"/>
    </xf>
    <xf numFmtId="0" fontId="209" fillId="99" borderId="0" applyNumberFormat="0" applyBorder="0" applyAlignment="0" applyProtection="0">
      <alignment vertical="center"/>
    </xf>
    <xf numFmtId="0" fontId="209" fillId="100" borderId="0" applyNumberFormat="0" applyBorder="0" applyAlignment="0" applyProtection="0">
      <alignment vertical="center"/>
    </xf>
    <xf numFmtId="0" fontId="208" fillId="101" borderId="0" applyNumberFormat="0" applyBorder="0" applyAlignment="0" applyProtection="0">
      <alignment vertical="center"/>
    </xf>
    <xf numFmtId="0" fontId="208" fillId="102" borderId="0" applyNumberFormat="0" applyBorder="0" applyAlignment="0" applyProtection="0">
      <alignment vertical="center"/>
    </xf>
    <xf numFmtId="0" fontId="209" fillId="103" borderId="0" applyNumberFormat="0" applyBorder="0" applyAlignment="0" applyProtection="0">
      <alignment vertical="center"/>
    </xf>
    <xf numFmtId="0" fontId="209" fillId="104" borderId="0" applyNumberFormat="0" applyBorder="0" applyAlignment="0" applyProtection="0">
      <alignment vertical="center"/>
    </xf>
    <xf numFmtId="0" fontId="208" fillId="105" borderId="0" applyNumberFormat="0" applyBorder="0" applyAlignment="0" applyProtection="0">
      <alignment vertical="center"/>
    </xf>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1" fontId="210" fillId="0" borderId="0"/>
    <xf numFmtId="0" fontId="211" fillId="0" borderId="0"/>
    <xf numFmtId="0" fontId="96" fillId="0" borderId="0" applyNumberFormat="0" applyAlignment="0"/>
    <xf numFmtId="180" fontId="212" fillId="0" borderId="8" applyAlignment="0" applyProtection="0"/>
    <xf numFmtId="181" fontId="126" fillId="0" borderId="0" applyFill="0" applyBorder="0" applyAlignment="0"/>
    <xf numFmtId="0" fontId="13" fillId="0" borderId="0" applyNumberFormat="0" applyBorder="0" applyAlignment="0" applyProtection="0"/>
    <xf numFmtId="0" fontId="95" fillId="0" borderId="11">
      <alignment horizontal="center"/>
    </xf>
    <xf numFmtId="37" fontId="213" fillId="0" borderId="0"/>
    <xf numFmtId="37" fontId="213" fillId="0" borderId="0"/>
    <xf numFmtId="37" fontId="213" fillId="0" borderId="0"/>
    <xf numFmtId="37" fontId="213" fillId="0" borderId="0"/>
    <xf numFmtId="37" fontId="213" fillId="0" borderId="0"/>
    <xf numFmtId="37" fontId="213" fillId="0" borderId="0"/>
    <xf numFmtId="37" fontId="213" fillId="0" borderId="0"/>
    <xf numFmtId="37" fontId="213" fillId="0" borderId="0"/>
    <xf numFmtId="41" fontId="214" fillId="0" borderId="0" applyFont="0" applyFill="0" applyBorder="0" applyAlignment="0" applyProtection="0"/>
    <xf numFmtId="41" fontId="214" fillId="0" borderId="0" applyFont="0" applyFill="0" applyBorder="0" applyAlignment="0" applyProtection="0"/>
    <xf numFmtId="41" fontId="130" fillId="0" borderId="0" applyFont="0" applyFill="0" applyBorder="0" applyAlignment="0" applyProtection="0"/>
    <xf numFmtId="41" fontId="214" fillId="0" borderId="0" applyFont="0" applyFill="0" applyBorder="0" applyAlignment="0" applyProtection="0"/>
    <xf numFmtId="41" fontId="214" fillId="0" borderId="0" applyFont="0" applyFill="0" applyBorder="0" applyAlignment="0" applyProtection="0"/>
    <xf numFmtId="41" fontId="13" fillId="0" borderId="0" applyFont="0" applyFill="0" applyBorder="0" applyAlignment="0" applyProtection="0"/>
    <xf numFmtId="182" fontId="13" fillId="0" borderId="0" applyFill="0" applyBorder="0" applyAlignment="0" applyProtection="0"/>
    <xf numFmtId="41" fontId="56" fillId="0" borderId="0" applyFont="0" applyFill="0" applyBorder="0" applyAlignment="0" applyProtection="0"/>
    <xf numFmtId="41" fontId="56" fillId="0" borderId="0" applyFont="0" applyFill="0" applyBorder="0" applyAlignment="0" applyProtection="0"/>
    <xf numFmtId="41" fontId="214" fillId="0" borderId="0" applyFont="0" applyFill="0" applyBorder="0" applyAlignment="0" applyProtection="0"/>
    <xf numFmtId="41" fontId="214" fillId="0" borderId="0" applyFont="0" applyFill="0" applyBorder="0" applyAlignment="0" applyProtection="0"/>
    <xf numFmtId="41" fontId="56" fillId="0" borderId="0" applyFont="0" applyFill="0" applyBorder="0" applyAlignment="0" applyProtection="0"/>
    <xf numFmtId="41" fontId="56" fillId="0" borderId="0" applyFont="0" applyFill="0" applyBorder="0" applyAlignment="0" applyProtection="0"/>
    <xf numFmtId="41" fontId="56" fillId="0" borderId="0" applyFont="0" applyFill="0" applyBorder="0" applyAlignment="0" applyProtection="0"/>
    <xf numFmtId="41" fontId="56" fillId="0" borderId="0" applyFont="0" applyFill="0" applyBorder="0" applyAlignment="0" applyProtection="0"/>
    <xf numFmtId="41" fontId="214" fillId="0" borderId="0" applyFont="0" applyFill="0" applyBorder="0" applyAlignment="0" applyProtection="0"/>
    <xf numFmtId="41" fontId="214" fillId="0" borderId="0" applyFont="0" applyFill="0" applyBorder="0" applyAlignment="0" applyProtection="0"/>
    <xf numFmtId="41" fontId="13" fillId="0" borderId="0" applyFont="0" applyFill="0" applyBorder="0" applyAlignment="0" applyProtection="0"/>
    <xf numFmtId="182" fontId="13" fillId="0" borderId="0" applyFill="0" applyBorder="0" applyAlignment="0" applyProtection="0"/>
    <xf numFmtId="41" fontId="13" fillId="0" borderId="0" applyFont="0" applyFill="0" applyBorder="0" applyAlignment="0" applyProtection="0"/>
    <xf numFmtId="41" fontId="214" fillId="0" borderId="0" applyFont="0" applyFill="0" applyBorder="0" applyAlignment="0" applyProtection="0"/>
    <xf numFmtId="183" fontId="13" fillId="0" borderId="0" applyFont="0" applyFill="0" applyBorder="0" applyAlignment="0" applyProtection="0"/>
    <xf numFmtId="41" fontId="13" fillId="0" borderId="0" applyFont="0" applyFill="0" applyBorder="0" applyAlignment="0" applyProtection="0"/>
    <xf numFmtId="41" fontId="13" fillId="0" borderId="0" applyFont="0" applyFill="0" applyBorder="0" applyAlignment="0" applyProtection="0"/>
    <xf numFmtId="41" fontId="214" fillId="0" borderId="0" applyFont="0" applyFill="0" applyBorder="0" applyAlignment="0" applyProtection="0"/>
    <xf numFmtId="41" fontId="214" fillId="0" borderId="0" applyFont="0" applyFill="0" applyBorder="0" applyAlignment="0" applyProtection="0"/>
    <xf numFmtId="41" fontId="214" fillId="0" borderId="0" applyFont="0" applyFill="0" applyBorder="0" applyAlignment="0" applyProtection="0"/>
    <xf numFmtId="41" fontId="214" fillId="0" borderId="0" applyFont="0" applyFill="0" applyBorder="0" applyAlignment="0" applyProtection="0"/>
    <xf numFmtId="41" fontId="13" fillId="0" borderId="0" applyFont="0" applyFill="0" applyBorder="0" applyAlignment="0" applyProtection="0"/>
    <xf numFmtId="41" fontId="214" fillId="0" borderId="0" applyFont="0" applyFill="0" applyBorder="0" applyAlignment="0" applyProtection="0"/>
    <xf numFmtId="41" fontId="214" fillId="0" borderId="0" applyFont="0" applyFill="0" applyBorder="0" applyAlignment="0" applyProtection="0"/>
    <xf numFmtId="183" fontId="188" fillId="0" borderId="0" applyFont="0" applyFill="0" applyBorder="0" applyAlignment="0" applyProtection="0"/>
    <xf numFmtId="41" fontId="214" fillId="0" borderId="0" applyFont="0" applyFill="0" applyBorder="0" applyAlignment="0" applyProtection="0"/>
    <xf numFmtId="41" fontId="214" fillId="0" borderId="0" applyFont="0" applyFill="0" applyBorder="0" applyAlignment="0" applyProtection="0"/>
    <xf numFmtId="182" fontId="13" fillId="0" borderId="0" applyFill="0" applyBorder="0" applyAlignment="0" applyProtection="0"/>
    <xf numFmtId="41" fontId="13" fillId="0" borderId="0" applyFont="0" applyFill="0" applyBorder="0" applyAlignment="0" applyProtection="0"/>
    <xf numFmtId="38" fontId="210" fillId="0" borderId="0" applyFont="0" applyFill="0" applyBorder="0" applyAlignment="0" applyProtection="0"/>
    <xf numFmtId="41" fontId="214" fillId="0" borderId="0" applyFont="0" applyFill="0" applyBorder="0" applyAlignment="0" applyProtection="0"/>
    <xf numFmtId="41" fontId="13" fillId="0" borderId="0" applyFont="0" applyFill="0" applyBorder="0" applyAlignment="0" applyProtection="0"/>
    <xf numFmtId="41" fontId="13" fillId="0" borderId="0" applyFont="0" applyFill="0" applyBorder="0" applyAlignment="0" applyProtection="0"/>
    <xf numFmtId="41" fontId="215" fillId="0" borderId="0" applyFont="0" applyFill="0" applyBorder="0" applyAlignment="0" applyProtection="0"/>
    <xf numFmtId="41" fontId="214" fillId="0" borderId="0" applyFont="0" applyFill="0" applyBorder="0" applyAlignment="0" applyProtection="0"/>
    <xf numFmtId="41" fontId="214" fillId="0" borderId="0" applyFont="0" applyFill="0" applyBorder="0" applyAlignment="0" applyProtection="0"/>
    <xf numFmtId="41" fontId="214" fillId="0" borderId="0" applyFont="0" applyFill="0" applyBorder="0" applyAlignment="0" applyProtection="0"/>
    <xf numFmtId="41" fontId="214" fillId="0" borderId="0" applyFont="0" applyFill="0" applyBorder="0" applyAlignment="0" applyProtection="0"/>
    <xf numFmtId="41"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84"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85" fontId="13" fillId="0" borderId="0" applyFill="0" applyBorder="0" applyAlignment="0" applyProtection="0"/>
    <xf numFmtId="185" fontId="13" fillId="0" borderId="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85" fontId="13" fillId="0" borderId="0" applyFill="0" applyBorder="0" applyAlignment="0" applyProtection="0"/>
    <xf numFmtId="37" fontId="13" fillId="0" borderId="0"/>
    <xf numFmtId="185" fontId="13" fillId="0" borderId="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56" fillId="0" borderId="0" applyFont="0" applyFill="0" applyBorder="0" applyAlignment="0" applyProtection="0"/>
    <xf numFmtId="177" fontId="56"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0" fontId="13" fillId="0" borderId="0" applyFont="0" applyFill="0" applyBorder="0" applyAlignment="0" applyProtection="0"/>
    <xf numFmtId="177" fontId="13" fillId="0" borderId="0" applyFont="0" applyFill="0" applyBorder="0" applyAlignment="0" applyProtection="0"/>
    <xf numFmtId="177" fontId="214" fillId="0" borderId="0" applyFont="0" applyFill="0" applyBorder="0" applyAlignment="0" applyProtection="0"/>
    <xf numFmtId="177" fontId="214"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40" fontId="210" fillId="0" borderId="0" applyFont="0" applyFill="0" applyBorder="0" applyAlignment="0" applyProtection="0"/>
    <xf numFmtId="186" fontId="13" fillId="0" borderId="0" applyFont="0" applyFill="0" applyBorder="0" applyAlignment="0" applyProtection="0"/>
    <xf numFmtId="186" fontId="13" fillId="0" borderId="0" applyFont="0" applyFill="0" applyBorder="0" applyAlignment="0" applyProtection="0"/>
    <xf numFmtId="186" fontId="13" fillId="0" borderId="0" applyFont="0" applyFill="0" applyBorder="0" applyAlignment="0" applyProtection="0"/>
    <xf numFmtId="186" fontId="13" fillId="0" borderId="0" applyFont="0" applyFill="0" applyBorder="0" applyAlignment="0" applyProtection="0"/>
    <xf numFmtId="40" fontId="210" fillId="0" borderId="0" applyFont="0" applyFill="0" applyBorder="0" applyAlignment="0" applyProtection="0"/>
    <xf numFmtId="186" fontId="13" fillId="0" borderId="0" applyFont="0" applyFill="0" applyBorder="0" applyAlignment="0" applyProtection="0"/>
    <xf numFmtId="186" fontId="13" fillId="0" borderId="0" applyFont="0" applyFill="0" applyBorder="0" applyAlignment="0" applyProtection="0"/>
    <xf numFmtId="177" fontId="13" fillId="0" borderId="0" applyFont="0" applyFill="0" applyBorder="0" applyAlignment="0" applyProtection="0"/>
    <xf numFmtId="186" fontId="13" fillId="0" borderId="0" applyFont="0" applyFill="0" applyBorder="0" applyAlignment="0" applyProtection="0"/>
    <xf numFmtId="186"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84" fontId="188" fillId="0" borderId="0" applyFont="0" applyFill="0" applyBorder="0" applyAlignment="0" applyProtection="0"/>
    <xf numFmtId="3" fontId="216" fillId="0" borderId="0" applyFont="0" applyFill="0" applyBorder="0" applyAlignment="0" applyProtection="0"/>
    <xf numFmtId="187" fontId="13" fillId="0" borderId="0" applyFont="0" applyFill="0" applyBorder="0" applyAlignment="0" applyProtection="0"/>
    <xf numFmtId="187" fontId="13" fillId="0" borderId="0" applyFont="0" applyFill="0" applyBorder="0" applyAlignment="0" applyProtection="0"/>
    <xf numFmtId="188" fontId="13" fillId="0" borderId="0" applyFill="0" applyBorder="0" applyAlignment="0" applyProtection="0"/>
    <xf numFmtId="187" fontId="13" fillId="0" borderId="0" applyFont="0" applyFill="0" applyBorder="0" applyAlignment="0" applyProtection="0"/>
    <xf numFmtId="187" fontId="13" fillId="0" borderId="0" applyFont="0" applyFill="0" applyBorder="0" applyAlignment="0" applyProtection="0"/>
    <xf numFmtId="38" fontId="217" fillId="0" borderId="13" applyBorder="0"/>
    <xf numFmtId="189" fontId="13" fillId="0" borderId="0" applyFont="0" applyFill="0" applyBorder="0" applyAlignment="0" applyProtection="0"/>
    <xf numFmtId="190" fontId="13" fillId="0" borderId="0">
      <protection locked="0"/>
    </xf>
    <xf numFmtId="182" fontId="214" fillId="0" borderId="0"/>
    <xf numFmtId="0" fontId="13" fillId="0" borderId="0"/>
    <xf numFmtId="0" fontId="218" fillId="0" borderId="0">
      <protection locked="0"/>
    </xf>
    <xf numFmtId="0" fontId="218" fillId="0" borderId="0">
      <protection locked="0"/>
    </xf>
    <xf numFmtId="0" fontId="218" fillId="0" borderId="0">
      <protection locked="0"/>
    </xf>
    <xf numFmtId="0" fontId="218" fillId="0" borderId="0">
      <protection locked="0"/>
    </xf>
    <xf numFmtId="0" fontId="218" fillId="0" borderId="0">
      <protection locked="0"/>
    </xf>
    <xf numFmtId="0" fontId="218" fillId="0" borderId="0">
      <protection locked="0"/>
    </xf>
    <xf numFmtId="0" fontId="218" fillId="0" borderId="0">
      <protection locked="0"/>
    </xf>
    <xf numFmtId="190" fontId="13" fillId="0" borderId="0">
      <protection locked="0"/>
    </xf>
    <xf numFmtId="38" fontId="96" fillId="30" borderId="0" applyNumberFormat="0" applyBorder="0" applyAlignment="0" applyProtection="0"/>
    <xf numFmtId="0" fontId="219" fillId="0" borderId="0"/>
    <xf numFmtId="0" fontId="55" fillId="0" borderId="35" applyNumberFormat="0" applyAlignment="0" applyProtection="0">
      <alignment horizontal="left" vertical="center"/>
    </xf>
    <xf numFmtId="0" fontId="55" fillId="0" borderId="19">
      <alignment horizontal="left" vertical="center"/>
    </xf>
    <xf numFmtId="190" fontId="13" fillId="0" borderId="0">
      <protection locked="0"/>
    </xf>
    <xf numFmtId="190" fontId="13" fillId="0" borderId="0">
      <protection locked="0"/>
    </xf>
    <xf numFmtId="0" fontId="26" fillId="0" borderId="0" applyNumberFormat="0" applyFill="0" applyBorder="0" applyAlignment="0" applyProtection="0">
      <alignment vertical="top"/>
      <protection locked="0"/>
    </xf>
    <xf numFmtId="10" fontId="96" fillId="30" borderId="4" applyNumberFormat="0" applyBorder="0" applyAlignment="0" applyProtection="0"/>
    <xf numFmtId="0" fontId="13" fillId="0" borderId="142" applyNumberFormat="0" applyFont="0" applyFill="0" applyAlignment="0" applyProtection="0"/>
    <xf numFmtId="38" fontId="220" fillId="0" borderId="0"/>
    <xf numFmtId="38" fontId="221" fillId="0" borderId="0"/>
    <xf numFmtId="38" fontId="222" fillId="0" borderId="0"/>
    <xf numFmtId="38" fontId="223" fillId="0" borderId="0"/>
    <xf numFmtId="0" fontId="217" fillId="0" borderId="0"/>
    <xf numFmtId="0" fontId="217" fillId="0" borderId="0"/>
    <xf numFmtId="191" fontId="13" fillId="0" borderId="0" applyFont="0" applyFill="0" applyBorder="0" applyAlignment="0" applyProtection="0"/>
    <xf numFmtId="192" fontId="13" fillId="0" borderId="0" applyFont="0" applyFill="0" applyBorder="0" applyAlignment="0" applyProtection="0"/>
    <xf numFmtId="193" fontId="13" fillId="0" borderId="0" applyFont="0" applyFill="0" applyBorder="0" applyAlignment="0" applyProtection="0"/>
    <xf numFmtId="194" fontId="13" fillId="0" borderId="0" applyFont="0" applyFill="0" applyBorder="0" applyAlignment="0" applyProtection="0"/>
    <xf numFmtId="0" fontId="224" fillId="0" borderId="0"/>
    <xf numFmtId="195" fontId="225" fillId="0" borderId="0"/>
    <xf numFmtId="0" fontId="226" fillId="0" borderId="0"/>
    <xf numFmtId="176" fontId="13" fillId="0" borderId="0">
      <alignment vertical="top"/>
    </xf>
    <xf numFmtId="196" fontId="13" fillId="0" borderId="0"/>
    <xf numFmtId="0" fontId="13" fillId="0" borderId="0"/>
    <xf numFmtId="0" fontId="13" fillId="0" borderId="0"/>
    <xf numFmtId="0" fontId="13" fillId="0" borderId="0"/>
    <xf numFmtId="176" fontId="13" fillId="0" borderId="0">
      <alignment vertical="top"/>
    </xf>
    <xf numFmtId="0" fontId="62" fillId="0" borderId="0"/>
    <xf numFmtId="0" fontId="227" fillId="30" borderId="0"/>
    <xf numFmtId="0" fontId="188" fillId="0" borderId="0"/>
    <xf numFmtId="0" fontId="130" fillId="0" borderId="0"/>
    <xf numFmtId="0" fontId="130" fillId="0" borderId="0"/>
    <xf numFmtId="0" fontId="130" fillId="0" borderId="0"/>
    <xf numFmtId="0" fontId="130" fillId="0" borderId="0"/>
    <xf numFmtId="3" fontId="13" fillId="0" borderId="0"/>
    <xf numFmtId="0" fontId="13" fillId="0" borderId="0"/>
    <xf numFmtId="0" fontId="13" fillId="0" borderId="0"/>
    <xf numFmtId="38" fontId="13" fillId="0" borderId="0" applyFont="0" applyFill="0" applyBorder="0" applyAlignment="0" applyProtection="0"/>
    <xf numFmtId="0" fontId="13" fillId="0" borderId="0"/>
    <xf numFmtId="0" fontId="13" fillId="0" borderId="0"/>
    <xf numFmtId="38" fontId="13" fillId="0" borderId="0" applyFont="0" applyFill="0" applyBorder="0" applyAlignment="0" applyProtection="0"/>
    <xf numFmtId="38" fontId="13" fillId="0" borderId="0" applyFont="0" applyFill="0" applyBorder="0" applyAlignment="0" applyProtection="0"/>
    <xf numFmtId="38" fontId="13" fillId="0" borderId="0" applyFont="0" applyFill="0" applyBorder="0" applyAlignment="0" applyProtection="0"/>
    <xf numFmtId="38" fontId="13" fillId="0" borderId="0" applyFont="0" applyFill="0" applyBorder="0" applyAlignment="0" applyProtection="0"/>
    <xf numFmtId="37" fontId="13" fillId="0" borderId="0"/>
    <xf numFmtId="0" fontId="62" fillId="0" borderId="0"/>
    <xf numFmtId="197" fontId="13" fillId="0" borderId="0"/>
    <xf numFmtId="0" fontId="13" fillId="0" borderId="0"/>
    <xf numFmtId="0" fontId="130" fillId="0" borderId="0"/>
    <xf numFmtId="0" fontId="62" fillId="0" borderId="0"/>
    <xf numFmtId="176" fontId="83" fillId="0" borderId="0">
      <alignment vertical="top"/>
    </xf>
    <xf numFmtId="0" fontId="130" fillId="0" borderId="0"/>
    <xf numFmtId="0" fontId="13" fillId="0" borderId="0"/>
    <xf numFmtId="176" fontId="83" fillId="0" borderId="0">
      <alignment vertical="top"/>
    </xf>
    <xf numFmtId="38" fontId="13" fillId="0" borderId="0" applyFont="0" applyFill="0" applyBorder="0" applyAlignment="0" applyProtection="0"/>
    <xf numFmtId="176" fontId="83" fillId="0" borderId="0">
      <alignment vertical="top"/>
    </xf>
    <xf numFmtId="0" fontId="130" fillId="0" borderId="0"/>
    <xf numFmtId="0" fontId="13" fillId="0" borderId="0"/>
    <xf numFmtId="0" fontId="13" fillId="0" borderId="0"/>
    <xf numFmtId="176" fontId="83" fillId="0" borderId="0">
      <alignment vertical="top"/>
    </xf>
    <xf numFmtId="180" fontId="158" fillId="0" borderId="0">
      <alignment vertical="top"/>
    </xf>
    <xf numFmtId="38" fontId="13" fillId="0" borderId="0" applyFont="0" applyFill="0" applyBorder="0" applyAlignment="0" applyProtection="0"/>
    <xf numFmtId="38" fontId="13" fillId="0" borderId="0" applyFont="0" applyFill="0" applyBorder="0" applyAlignment="0" applyProtection="0"/>
    <xf numFmtId="0" fontId="13" fillId="0" borderId="0"/>
    <xf numFmtId="176" fontId="0" fillId="0" borderId="0">
      <alignment vertical="top"/>
    </xf>
    <xf numFmtId="180" fontId="158" fillId="0" borderId="0">
      <alignment vertical="top"/>
    </xf>
    <xf numFmtId="0" fontId="13" fillId="0" borderId="0"/>
    <xf numFmtId="0" fontId="62" fillId="0" borderId="0"/>
    <xf numFmtId="180" fontId="158" fillId="0" borderId="0">
      <alignment vertical="top"/>
    </xf>
    <xf numFmtId="176" fontId="158" fillId="0" borderId="0">
      <alignment vertical="top"/>
    </xf>
    <xf numFmtId="0" fontId="42" fillId="0" borderId="0"/>
    <xf numFmtId="3" fontId="13" fillId="0" borderId="0"/>
    <xf numFmtId="0" fontId="13" fillId="0" borderId="0"/>
    <xf numFmtId="0" fontId="13" fillId="0" borderId="0"/>
    <xf numFmtId="0" fontId="13" fillId="0" borderId="0"/>
    <xf numFmtId="0" fontId="13" fillId="0" borderId="0"/>
    <xf numFmtId="0" fontId="13" fillId="0" borderId="0"/>
    <xf numFmtId="0" fontId="13" fillId="0" borderId="0"/>
    <xf numFmtId="3" fontId="13" fillId="0" borderId="0"/>
    <xf numFmtId="3" fontId="13" fillId="0" borderId="0"/>
    <xf numFmtId="38" fontId="228" fillId="0" borderId="0"/>
    <xf numFmtId="10" fontId="13" fillId="0" borderId="0" applyFont="0" applyFill="0" applyBorder="0" applyAlignment="0" applyProtection="0"/>
    <xf numFmtId="9" fontId="13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210" fillId="0" borderId="0" applyFont="0" applyFill="0" applyBorder="0" applyAlignment="0" applyProtection="0"/>
    <xf numFmtId="9" fontId="13" fillId="0" borderId="0" applyFont="0" applyFill="0" applyBorder="0" applyAlignment="0" applyProtection="0"/>
    <xf numFmtId="9" fontId="214" fillId="0" borderId="0" applyFont="0" applyFill="0" applyBorder="0" applyAlignment="0" applyProtection="0"/>
    <xf numFmtId="9" fontId="214" fillId="0" borderId="0" applyFont="0" applyFill="0" applyBorder="0" applyAlignment="0" applyProtection="0"/>
    <xf numFmtId="9" fontId="188"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210" fillId="0" borderId="0" applyNumberFormat="0" applyFont="0" applyFill="0" applyBorder="0" applyAlignment="0" applyProtection="0">
      <alignment horizontal="left"/>
    </xf>
    <xf numFmtId="198" fontId="210" fillId="0" borderId="0" applyFont="0" applyFill="0" applyBorder="0" applyAlignment="0" applyProtection="0"/>
    <xf numFmtId="4" fontId="210" fillId="0" borderId="0" applyFont="0" applyFill="0" applyBorder="0" applyAlignment="0" applyProtection="0"/>
    <xf numFmtId="0" fontId="212" fillId="0" borderId="45">
      <alignment horizontal="center"/>
    </xf>
    <xf numFmtId="3" fontId="210" fillId="0" borderId="0" applyFont="0" applyFill="0" applyBorder="0" applyAlignment="0" applyProtection="0"/>
    <xf numFmtId="176" fontId="73" fillId="0" borderId="0">
      <alignment vertical="top"/>
    </xf>
    <xf numFmtId="0" fontId="229" fillId="0" borderId="0">
      <alignment horizontal="center" vertical="top"/>
    </xf>
    <xf numFmtId="0" fontId="230" fillId="0" borderId="0">
      <alignment horizontal="center" vertical="top"/>
    </xf>
    <xf numFmtId="0" fontId="230" fillId="0" borderId="0">
      <alignment horizontal="center" vertical="top"/>
    </xf>
    <xf numFmtId="4" fontId="131" fillId="0" borderId="0">
      <alignment horizontal="center" vertical="top"/>
    </xf>
    <xf numFmtId="0" fontId="231" fillId="0" borderId="0">
      <alignment horizontal="center" vertical="top"/>
    </xf>
    <xf numFmtId="0" fontId="232" fillId="0" borderId="0">
      <alignment horizontal="center" vertical="top"/>
    </xf>
    <xf numFmtId="0" fontId="232" fillId="0" borderId="0">
      <alignment horizontal="center" vertical="top"/>
    </xf>
    <xf numFmtId="4" fontId="132" fillId="0" borderId="0">
      <alignment horizontal="center" vertical="top"/>
    </xf>
    <xf numFmtId="0" fontId="24" fillId="0" borderId="0">
      <alignment horizontal="right" vertical="top"/>
    </xf>
    <xf numFmtId="0" fontId="11" fillId="0" borderId="0">
      <alignment horizontal="right" vertical="top"/>
    </xf>
    <xf numFmtId="0" fontId="11" fillId="0" borderId="0">
      <alignment horizontal="right" vertical="top"/>
    </xf>
    <xf numFmtId="4" fontId="134" fillId="0" borderId="0">
      <alignment horizontal="center" vertical="top"/>
    </xf>
    <xf numFmtId="4" fontId="12" fillId="0" borderId="0">
      <alignment horizontal="right" vertical="top"/>
    </xf>
    <xf numFmtId="4" fontId="134" fillId="0" borderId="0">
      <alignment horizontal="left" vertical="top"/>
    </xf>
    <xf numFmtId="0" fontId="25" fillId="0" borderId="0">
      <alignment horizontal="right" vertical="top"/>
    </xf>
    <xf numFmtId="0" fontId="233" fillId="0" borderId="0">
      <alignment horizontal="left" vertical="top"/>
    </xf>
    <xf numFmtId="0" fontId="233" fillId="0" borderId="0">
      <alignment horizontal="left" vertical="top"/>
    </xf>
    <xf numFmtId="4" fontId="234" fillId="0" borderId="0">
      <alignment horizontal="left" vertical="top"/>
    </xf>
    <xf numFmtId="4" fontId="134" fillId="0" borderId="0">
      <alignment horizontal="right" vertical="top"/>
    </xf>
    <xf numFmtId="4" fontId="134" fillId="0" borderId="0">
      <alignment horizontal="left" vertical="top"/>
    </xf>
    <xf numFmtId="4" fontId="134" fillId="0" borderId="0">
      <alignment horizontal="center" vertical="top"/>
    </xf>
    <xf numFmtId="0" fontId="235" fillId="0" borderId="0">
      <alignment horizontal="center" vertical="top"/>
    </xf>
    <xf numFmtId="0" fontId="233" fillId="0" borderId="0">
      <alignment horizontal="right" vertical="top"/>
    </xf>
    <xf numFmtId="0" fontId="233" fillId="0" borderId="0">
      <alignment horizontal="right" vertical="top"/>
    </xf>
    <xf numFmtId="4" fontId="134" fillId="0" borderId="0">
      <alignment horizontal="left" vertical="top"/>
    </xf>
    <xf numFmtId="4" fontId="137" fillId="0" borderId="0">
      <alignment horizontal="left" vertical="top"/>
    </xf>
    <xf numFmtId="4" fontId="134" fillId="0" borderId="0">
      <alignment horizontal="center" vertical="top"/>
    </xf>
    <xf numFmtId="4" fontId="134" fillId="0" borderId="0">
      <alignment horizontal="right" vertical="top"/>
    </xf>
    <xf numFmtId="0" fontId="235" fillId="0" borderId="0">
      <alignment horizontal="right" vertical="top"/>
    </xf>
    <xf numFmtId="0" fontId="236" fillId="0" borderId="0">
      <alignment horizontal="center" vertical="top"/>
    </xf>
    <xf numFmtId="0" fontId="236" fillId="0" borderId="0">
      <alignment horizontal="center" vertical="top"/>
    </xf>
    <xf numFmtId="4" fontId="134" fillId="0" borderId="0">
      <alignment horizontal="right" vertical="top"/>
    </xf>
    <xf numFmtId="4" fontId="134" fillId="0" borderId="0">
      <alignment horizontal="left" vertical="top"/>
    </xf>
    <xf numFmtId="0" fontId="152" fillId="0" borderId="0">
      <alignment horizontal="right" vertical="top"/>
    </xf>
    <xf numFmtId="0" fontId="236" fillId="0" borderId="0">
      <alignment horizontal="right" vertical="top"/>
    </xf>
    <xf numFmtId="0" fontId="236" fillId="0" borderId="0">
      <alignment horizontal="right" vertical="top"/>
    </xf>
    <xf numFmtId="4" fontId="134" fillId="0" borderId="0">
      <alignment horizontal="right" vertical="top"/>
    </xf>
    <xf numFmtId="4" fontId="237" fillId="0" borderId="0">
      <alignment horizontal="right" vertical="top"/>
    </xf>
    <xf numFmtId="4" fontId="156" fillId="0" borderId="0">
      <alignment horizontal="right" vertical="top"/>
    </xf>
    <xf numFmtId="0" fontId="238" fillId="0" borderId="0">
      <alignment horizontal="center" vertical="top"/>
    </xf>
    <xf numFmtId="0" fontId="239" fillId="0" borderId="0">
      <alignment horizontal="center" vertical="top"/>
    </xf>
    <xf numFmtId="0" fontId="239" fillId="0" borderId="0">
      <alignment horizontal="center" vertical="top"/>
    </xf>
    <xf numFmtId="4" fontId="133" fillId="0" borderId="0">
      <alignment horizontal="center" vertical="top"/>
    </xf>
    <xf numFmtId="4" fontId="24" fillId="0" borderId="0">
      <alignment horizontal="right" vertical="top"/>
    </xf>
    <xf numFmtId="0" fontId="240" fillId="0" borderId="0">
      <alignment horizontal="right" vertical="top"/>
    </xf>
    <xf numFmtId="0" fontId="240" fillId="0" borderId="0">
      <alignment horizontal="right" vertical="top"/>
    </xf>
    <xf numFmtId="0" fontId="1" fillId="0" borderId="0">
      <alignment horizontal="right" vertical="top"/>
    </xf>
    <xf numFmtId="4" fontId="11" fillId="0" borderId="0">
      <alignment horizontal="right" vertical="top"/>
    </xf>
    <xf numFmtId="4" fontId="2" fillId="0" borderId="0">
      <alignment horizontal="center" vertical="top"/>
    </xf>
    <xf numFmtId="0" fontId="3" fillId="0" borderId="0">
      <alignment horizontal="left" vertical="top"/>
    </xf>
    <xf numFmtId="0" fontId="2" fillId="0" borderId="0">
      <alignment horizontal="left" vertical="top"/>
    </xf>
    <xf numFmtId="0" fontId="2" fillId="0" borderId="0">
      <alignment horizontal="left" vertical="top"/>
    </xf>
    <xf numFmtId="4" fontId="2" fillId="0" borderId="0">
      <alignment horizontal="center" vertical="top"/>
    </xf>
    <xf numFmtId="4" fontId="12" fillId="0" borderId="0">
      <alignment horizontal="left" vertical="top"/>
    </xf>
    <xf numFmtId="4" fontId="11" fillId="0" borderId="0">
      <alignment horizontal="left" vertical="top"/>
    </xf>
    <xf numFmtId="0" fontId="1" fillId="0" borderId="0">
      <alignment horizontal="center" vertical="top"/>
    </xf>
    <xf numFmtId="0" fontId="240" fillId="0" borderId="0">
      <alignment horizontal="center" vertical="top"/>
    </xf>
    <xf numFmtId="0" fontId="240" fillId="0" borderId="0">
      <alignment horizontal="center" vertical="top"/>
    </xf>
    <xf numFmtId="4" fontId="241" fillId="0" borderId="0">
      <alignment horizontal="left" vertical="top"/>
    </xf>
    <xf numFmtId="4" fontId="12" fillId="0" borderId="0">
      <alignment horizontal="left" vertical="top"/>
    </xf>
    <xf numFmtId="4" fontId="11" fillId="0" borderId="0">
      <alignment horizontal="left" vertical="top"/>
    </xf>
    <xf numFmtId="4" fontId="137" fillId="0" borderId="0">
      <alignment horizontal="center" vertical="top"/>
    </xf>
    <xf numFmtId="4" fontId="25" fillId="0" borderId="0">
      <alignment horizontal="left" vertical="top"/>
    </xf>
    <xf numFmtId="0" fontId="2" fillId="0" borderId="0">
      <alignment horizontal="right" vertical="top"/>
    </xf>
    <xf numFmtId="0" fontId="2" fillId="0" borderId="0">
      <alignment horizontal="right" vertical="top"/>
    </xf>
    <xf numFmtId="0" fontId="3" fillId="0" borderId="0">
      <alignment horizontal="right" vertical="top"/>
    </xf>
    <xf numFmtId="4" fontId="12" fillId="0" borderId="0">
      <alignment horizontal="left" vertical="top"/>
    </xf>
    <xf numFmtId="4" fontId="12" fillId="0" borderId="0">
      <alignment horizontal="right" vertical="top"/>
    </xf>
    <xf numFmtId="4" fontId="11" fillId="0" borderId="0">
      <alignment horizontal="left" vertical="top"/>
    </xf>
    <xf numFmtId="4" fontId="134" fillId="0" borderId="0">
      <alignment horizontal="center" vertical="top"/>
    </xf>
    <xf numFmtId="4" fontId="25" fillId="0" borderId="0">
      <alignment horizontal="right" vertical="top"/>
    </xf>
    <xf numFmtId="0" fontId="12" fillId="0" borderId="0">
      <alignment horizontal="left" vertical="top"/>
    </xf>
    <xf numFmtId="0" fontId="12" fillId="0" borderId="0">
      <alignment horizontal="left" vertical="top"/>
    </xf>
    <xf numFmtId="0" fontId="25" fillId="0" borderId="0">
      <alignment horizontal="left" vertical="top"/>
    </xf>
    <xf numFmtId="4" fontId="11" fillId="0" borderId="0">
      <alignment horizontal="left" vertical="top"/>
    </xf>
    <xf numFmtId="4" fontId="12" fillId="0" borderId="0">
      <alignment horizontal="right" vertical="top"/>
    </xf>
    <xf numFmtId="4" fontId="134" fillId="0" borderId="0">
      <alignment horizontal="left" vertical="top"/>
    </xf>
    <xf numFmtId="4" fontId="12" fillId="0" borderId="0">
      <alignment horizontal="left" vertical="top"/>
    </xf>
    <xf numFmtId="4" fontId="24" fillId="0" borderId="0">
      <alignment horizontal="left" vertical="top"/>
    </xf>
    <xf numFmtId="0" fontId="12" fillId="0" borderId="0">
      <alignment horizontal="right" vertical="top"/>
    </xf>
    <xf numFmtId="0" fontId="12" fillId="0" borderId="0">
      <alignment horizontal="right" vertical="top"/>
    </xf>
    <xf numFmtId="0" fontId="25" fillId="0" borderId="0">
      <alignment horizontal="left" vertical="top"/>
    </xf>
    <xf numFmtId="4" fontId="11" fillId="0" borderId="0">
      <alignment horizontal="right" vertical="top"/>
    </xf>
    <xf numFmtId="4" fontId="11" fillId="0" borderId="0">
      <alignment horizontal="left" vertical="top"/>
    </xf>
    <xf numFmtId="4" fontId="233" fillId="0" borderId="0">
      <alignment horizontal="right" vertical="top"/>
    </xf>
    <xf numFmtId="4" fontId="156" fillId="0" borderId="0">
      <alignment horizontal="left" vertical="top"/>
    </xf>
    <xf numFmtId="4" fontId="134" fillId="0" borderId="0">
      <alignment horizontal="right" vertical="top"/>
    </xf>
    <xf numFmtId="4" fontId="152" fillId="0" borderId="0">
      <alignment horizontal="right" vertical="top"/>
    </xf>
    <xf numFmtId="4" fontId="152" fillId="0" borderId="0">
      <alignment horizontal="right" vertical="top"/>
    </xf>
    <xf numFmtId="0" fontId="11" fillId="0" borderId="0">
      <alignment horizontal="left" vertical="top"/>
    </xf>
    <xf numFmtId="0" fontId="11" fillId="0" borderId="0">
      <alignment horizontal="left" vertical="top"/>
    </xf>
    <xf numFmtId="0" fontId="24" fillId="0" borderId="0">
      <alignment horizontal="left" vertical="top"/>
    </xf>
    <xf numFmtId="4" fontId="233" fillId="0" borderId="0">
      <alignment horizontal="right" vertical="top"/>
    </xf>
    <xf numFmtId="4" fontId="156" fillId="0" borderId="0">
      <alignment horizontal="right" vertical="top"/>
    </xf>
    <xf numFmtId="4" fontId="134" fillId="0" borderId="0">
      <alignment horizontal="center" vertical="top"/>
    </xf>
    <xf numFmtId="4" fontId="137" fillId="0" borderId="0">
      <alignment horizontal="left" vertical="top"/>
    </xf>
    <xf numFmtId="4" fontId="233" fillId="0" borderId="0">
      <alignment horizontal="left" vertical="top"/>
    </xf>
    <xf numFmtId="38" fontId="13" fillId="0" borderId="13" applyNumberFormat="0" applyFont="0" applyBorder="0" applyAlignment="0" applyProtection="0"/>
    <xf numFmtId="4" fontId="13" fillId="40" borderId="143" applyNumberFormat="0" applyProtection="0">
      <alignment vertical="center"/>
    </xf>
    <xf numFmtId="38" fontId="210" fillId="0" borderId="0" applyFont="0" applyFill="0" applyBorder="0" applyAlignment="0" applyProtection="0"/>
    <xf numFmtId="0" fontId="13" fillId="0" borderId="144" applyNumberFormat="0" applyFont="0" applyFill="0" applyAlignment="0" applyProtection="0"/>
    <xf numFmtId="38" fontId="210" fillId="0" borderId="0" applyFont="0" applyFill="0" applyBorder="0" applyAlignment="0" applyProtection="0"/>
    <xf numFmtId="40" fontId="210" fillId="0" borderId="0" applyFont="0" applyFill="0" applyBorder="0" applyAlignment="0" applyProtection="0"/>
    <xf numFmtId="0" fontId="115" fillId="0" borderId="9" applyNumberFormat="0" applyFill="0" applyBorder="0" applyAlignment="0">
      <protection locked="0"/>
    </xf>
    <xf numFmtId="199" fontId="13" fillId="0" borderId="0" applyFont="0" applyFill="0" applyBorder="0" applyAlignment="0" applyProtection="0"/>
    <xf numFmtId="200" fontId="13" fillId="0" borderId="0" applyFont="0" applyFill="0" applyBorder="0" applyAlignment="0" applyProtection="0"/>
    <xf numFmtId="0" fontId="242" fillId="0" borderId="0"/>
    <xf numFmtId="1" fontId="243" fillId="0" borderId="0"/>
    <xf numFmtId="0" fontId="244" fillId="0" borderId="0"/>
    <xf numFmtId="201" fontId="13" fillId="0" borderId="0" applyFont="0" applyFill="0" applyBorder="0" applyAlignment="0" applyProtection="0"/>
  </cellStyleXfs>
  <cellXfs count="4991">
    <xf numFmtId="176" fontId="0" fillId="0" borderId="0" xfId="0">
      <alignment vertical="top"/>
    </xf>
    <xf numFmtId="176" fontId="0" fillId="0" borderId="0" xfId="0" applyAlignment="1"/>
    <xf numFmtId="176" fontId="1" fillId="0" borderId="0" xfId="0" applyFont="1" applyAlignment="1">
      <alignment vertical="center"/>
    </xf>
    <xf numFmtId="176" fontId="1" fillId="0" borderId="0" xfId="0" applyFont="1" applyAlignment="1"/>
    <xf numFmtId="41" fontId="1" fillId="0" borderId="0" xfId="4" applyFont="1" applyAlignment="1"/>
    <xf numFmtId="41" fontId="1" fillId="0" borderId="0" xfId="4" applyFont="1"/>
    <xf numFmtId="4" fontId="2" fillId="0" borderId="1" xfId="348" applyBorder="1" applyAlignment="1">
      <alignment vertical="center"/>
    </xf>
    <xf numFmtId="41" fontId="3" fillId="0" borderId="1" xfId="4" applyFont="1" applyBorder="1" applyAlignment="1">
      <alignment vertical="center"/>
    </xf>
    <xf numFmtId="176" fontId="1" fillId="0" borderId="2" xfId="0" applyFont="1" applyBorder="1" applyAlignment="1"/>
    <xf numFmtId="41" fontId="1" fillId="0" borderId="2" xfId="4" applyFont="1" applyBorder="1" applyAlignment="1"/>
    <xf numFmtId="176" fontId="4" fillId="0" borderId="2" xfId="0" applyFont="1" applyBorder="1" applyAlignment="1"/>
    <xf numFmtId="41" fontId="4" fillId="0" borderId="2" xfId="4" applyFont="1" applyBorder="1" applyAlignment="1"/>
    <xf numFmtId="176" fontId="4" fillId="0" borderId="3" xfId="0" applyFont="1" applyBorder="1" applyAlignment="1"/>
    <xf numFmtId="41" fontId="4" fillId="0" borderId="3" xfId="4" applyFont="1" applyBorder="1" applyAlignment="1"/>
    <xf numFmtId="176" fontId="1" fillId="0" borderId="3" xfId="0" applyFont="1" applyBorder="1" applyAlignment="1"/>
    <xf numFmtId="41" fontId="1" fillId="0" borderId="3" xfId="4" applyFont="1" applyBorder="1" applyAlignment="1"/>
    <xf numFmtId="176" fontId="5" fillId="0" borderId="0" xfId="0" applyFont="1" applyAlignment="1"/>
    <xf numFmtId="198" fontId="1" fillId="0" borderId="0" xfId="0" applyNumberFormat="1" applyFont="1" applyAlignment="1"/>
    <xf numFmtId="41" fontId="0" fillId="0" borderId="0" xfId="4" applyFont="1"/>
    <xf numFmtId="41" fontId="1" fillId="0" borderId="0" xfId="4" applyFont="1" applyAlignment="1">
      <alignment vertical="center"/>
    </xf>
    <xf numFmtId="198" fontId="0" fillId="0" borderId="0" xfId="0" applyNumberFormat="1" applyAlignment="1"/>
    <xf numFmtId="176" fontId="6" fillId="0" borderId="0" xfId="0" applyFont="1" applyAlignment="1">
      <alignment horizontal="center"/>
    </xf>
    <xf numFmtId="176" fontId="7" fillId="0" borderId="0" xfId="0" applyFont="1" applyAlignment="1"/>
    <xf numFmtId="176" fontId="8" fillId="0" borderId="0" xfId="0" applyFont="1" applyAlignment="1"/>
    <xf numFmtId="176" fontId="7" fillId="2" borderId="0" xfId="0" applyFont="1" applyFill="1" applyAlignment="1"/>
    <xf numFmtId="176" fontId="8" fillId="0" borderId="4" xfId="0" applyFont="1" applyBorder="1" applyAlignment="1"/>
    <xf numFmtId="198" fontId="8" fillId="0" borderId="4" xfId="0" applyNumberFormat="1" applyFont="1" applyBorder="1" applyAlignment="1"/>
    <xf numFmtId="176" fontId="9" fillId="0" borderId="4" xfId="0" applyFont="1" applyBorder="1" applyAlignment="1">
      <alignment horizontal="center"/>
    </xf>
    <xf numFmtId="176" fontId="8" fillId="0" borderId="4" xfId="0" applyFont="1" applyBorder="1" applyAlignment="1">
      <alignment horizontal="center"/>
    </xf>
    <xf numFmtId="176" fontId="0" fillId="0" borderId="4" xfId="0" applyBorder="1">
      <alignment vertical="top"/>
    </xf>
    <xf numFmtId="176" fontId="0" fillId="0" borderId="4" xfId="0" applyBorder="1" applyAlignment="1"/>
    <xf numFmtId="198" fontId="0" fillId="0" borderId="4" xfId="0" applyNumberFormat="1" applyBorder="1">
      <alignment vertical="top"/>
    </xf>
    <xf numFmtId="176" fontId="6" fillId="0" borderId="4" xfId="0" applyFont="1" applyBorder="1" applyAlignment="1">
      <alignment horizontal="center"/>
    </xf>
    <xf numFmtId="176" fontId="10" fillId="0" borderId="0" xfId="0" applyFont="1" applyAlignment="1"/>
    <xf numFmtId="176" fontId="0" fillId="0" borderId="0" xfId="0" applyBorder="1" applyAlignment="1"/>
    <xf numFmtId="198" fontId="0" fillId="0" borderId="0" xfId="0" applyNumberFormat="1" applyBorder="1" applyAlignment="1"/>
    <xf numFmtId="176" fontId="6" fillId="0" borderId="0" xfId="0" applyFont="1" applyBorder="1" applyAlignment="1">
      <alignment horizontal="center"/>
    </xf>
    <xf numFmtId="176" fontId="7" fillId="0" borderId="0" xfId="0" applyFont="1" applyBorder="1" applyAlignment="1"/>
    <xf numFmtId="41" fontId="7" fillId="0" borderId="0" xfId="4" applyFont="1" applyAlignment="1"/>
    <xf numFmtId="40" fontId="0" fillId="0" borderId="0" xfId="0" applyNumberFormat="1" applyAlignment="1"/>
    <xf numFmtId="4" fontId="11" fillId="0" borderId="4" xfId="370" applyBorder="1" applyAlignment="1">
      <alignment horizontal="left" vertical="top"/>
    </xf>
    <xf numFmtId="4" fontId="12" fillId="0" borderId="4" xfId="362" applyBorder="1" applyAlignment="1">
      <alignment vertical="top"/>
    </xf>
    <xf numFmtId="198" fontId="0" fillId="0" borderId="0" xfId="0" applyNumberFormat="1">
      <alignment vertical="top"/>
    </xf>
    <xf numFmtId="41" fontId="0" fillId="0" borderId="4" xfId="4" applyFont="1" applyBorder="1" applyAlignment="1"/>
    <xf numFmtId="198" fontId="0" fillId="0" borderId="4" xfId="0" applyNumberFormat="1" applyBorder="1" applyAlignment="1">
      <alignment horizontal="left"/>
    </xf>
    <xf numFmtId="198" fontId="0" fillId="0" borderId="0" xfId="0" applyNumberFormat="1" applyBorder="1" applyAlignment="1">
      <alignment horizontal="left"/>
    </xf>
    <xf numFmtId="4" fontId="11" fillId="0" borderId="0" xfId="370" applyAlignment="1">
      <alignment horizontal="left" vertical="top"/>
    </xf>
    <xf numFmtId="40" fontId="6" fillId="0" borderId="4" xfId="0" applyNumberFormat="1" applyFont="1" applyBorder="1" applyAlignment="1">
      <alignment horizontal="center"/>
    </xf>
    <xf numFmtId="40" fontId="6" fillId="0" borderId="0" xfId="0" applyNumberFormat="1" applyFont="1" applyBorder="1" applyAlignment="1">
      <alignment horizontal="center"/>
    </xf>
    <xf numFmtId="40" fontId="6" fillId="0" borderId="0" xfId="0" applyNumberFormat="1" applyFont="1" applyAlignment="1">
      <alignment horizontal="center"/>
    </xf>
    <xf numFmtId="176" fontId="5" fillId="0" borderId="0" xfId="0" applyFont="1" applyBorder="1" applyAlignment="1"/>
    <xf numFmtId="202" fontId="13" fillId="0" borderId="0" xfId="140" applyNumberFormat="1"/>
    <xf numFmtId="37" fontId="14" fillId="0" borderId="0" xfId="0" applyNumberFormat="1" applyFont="1" applyAlignment="1">
      <alignment horizontal="left"/>
    </xf>
    <xf numFmtId="176" fontId="15" fillId="0" borderId="0" xfId="0" applyFont="1" applyAlignment="1">
      <alignment horizontal="left"/>
    </xf>
    <xf numFmtId="37" fontId="16" fillId="0" borderId="0" xfId="0" applyNumberFormat="1" applyFont="1" applyAlignment="1">
      <alignment horizontal="left"/>
    </xf>
    <xf numFmtId="203" fontId="16" fillId="0" borderId="0" xfId="0" applyNumberFormat="1" applyFont="1" applyAlignment="1">
      <alignment horizontal="left"/>
    </xf>
    <xf numFmtId="176" fontId="17" fillId="0" borderId="0" xfId="0" applyFont="1" applyAlignment="1"/>
    <xf numFmtId="204" fontId="18" fillId="0" borderId="0" xfId="88" applyNumberFormat="1" applyFont="1" applyAlignment="1">
      <alignment horizontal="center"/>
    </xf>
    <xf numFmtId="176" fontId="19" fillId="0" borderId="0" xfId="0" applyFont="1" applyAlignment="1"/>
    <xf numFmtId="202" fontId="19" fillId="0" borderId="0" xfId="140" applyNumberFormat="1" applyFont="1"/>
    <xf numFmtId="202" fontId="17" fillId="0" borderId="0" xfId="140" applyNumberFormat="1" applyFont="1"/>
    <xf numFmtId="176" fontId="17" fillId="0" borderId="0" xfId="0" applyFont="1" applyAlignment="1">
      <alignment horizontal="left"/>
    </xf>
    <xf numFmtId="176" fontId="17" fillId="0" borderId="0" xfId="0" applyFont="1" applyAlignment="1">
      <alignment horizontal="left" vertical="center"/>
    </xf>
    <xf numFmtId="176" fontId="17" fillId="0" borderId="0" xfId="0" applyFont="1">
      <alignment vertical="top"/>
    </xf>
    <xf numFmtId="176" fontId="0" fillId="0" borderId="0" xfId="0" applyFont="1">
      <alignment vertical="top"/>
    </xf>
    <xf numFmtId="176" fontId="17" fillId="0" borderId="0" xfId="0" applyFont="1" applyAlignment="1">
      <alignment horizontal="right" vertical="top"/>
    </xf>
    <xf numFmtId="202" fontId="17" fillId="0" borderId="5" xfId="140" applyNumberFormat="1" applyFont="1" applyBorder="1"/>
    <xf numFmtId="176" fontId="17" fillId="0" borderId="5" xfId="0" applyFont="1" applyBorder="1">
      <alignment vertical="top"/>
    </xf>
    <xf numFmtId="182" fontId="19" fillId="0" borderId="0" xfId="88" applyFont="1" applyBorder="1" applyAlignment="1">
      <alignment horizontal="center"/>
    </xf>
    <xf numFmtId="176" fontId="17" fillId="0" borderId="0" xfId="0" applyFont="1" applyAlignment="1">
      <alignment horizontal="left" indent="2"/>
    </xf>
    <xf numFmtId="202" fontId="17" fillId="0" borderId="0" xfId="140" applyNumberFormat="1" applyFont="1" applyBorder="1"/>
    <xf numFmtId="176" fontId="19" fillId="0" borderId="0" xfId="0" applyFont="1" applyAlignment="1">
      <alignment horizontal="left"/>
    </xf>
    <xf numFmtId="41" fontId="19" fillId="0" borderId="0" xfId="4" applyFont="1" applyAlignment="1">
      <alignment horizontal="center"/>
    </xf>
    <xf numFmtId="182" fontId="19" fillId="0" borderId="0" xfId="88" applyFont="1" applyAlignment="1">
      <alignment horizontal="center"/>
    </xf>
    <xf numFmtId="41" fontId="17" fillId="0" borderId="0" xfId="4" applyFont="1" applyAlignment="1"/>
    <xf numFmtId="176" fontId="17" fillId="0" borderId="0" xfId="0" applyFont="1" applyAlignment="1">
      <alignment horizontal="left" wrapText="1"/>
    </xf>
    <xf numFmtId="176" fontId="17" fillId="0" borderId="0" xfId="0" applyFont="1" applyAlignment="1">
      <alignment horizontal="right" vertical="center"/>
    </xf>
    <xf numFmtId="176" fontId="20" fillId="0" borderId="0" xfId="0" applyFont="1" applyAlignment="1">
      <alignment horizontal="center" vertical="center"/>
    </xf>
    <xf numFmtId="41" fontId="19" fillId="0" borderId="5" xfId="4" applyFont="1" applyBorder="1" applyAlignment="1">
      <alignment horizontal="center"/>
    </xf>
    <xf numFmtId="182" fontId="19" fillId="0" borderId="5" xfId="88" applyFont="1" applyBorder="1" applyAlignment="1">
      <alignment horizontal="center"/>
    </xf>
    <xf numFmtId="9" fontId="17" fillId="0" borderId="0" xfId="0" applyNumberFormat="1" applyFont="1" applyAlignment="1"/>
    <xf numFmtId="41" fontId="19" fillId="0" borderId="0" xfId="4" applyFont="1" applyBorder="1" applyAlignment="1">
      <alignment horizontal="center"/>
    </xf>
    <xf numFmtId="41" fontId="17" fillId="0" borderId="0" xfId="4" applyFont="1"/>
    <xf numFmtId="41" fontId="17" fillId="0" borderId="5" xfId="4" applyFont="1" applyBorder="1"/>
    <xf numFmtId="41" fontId="17" fillId="0" borderId="0" xfId="4" applyFont="1" applyAlignment="1">
      <alignment horizontal="center"/>
    </xf>
    <xf numFmtId="176" fontId="21" fillId="0" borderId="0" xfId="0" applyFont="1" applyAlignment="1">
      <alignment horizontal="right" vertical="center"/>
    </xf>
    <xf numFmtId="176" fontId="21" fillId="0" borderId="0" xfId="0" applyFont="1" applyAlignment="1">
      <alignment horizontal="center" vertical="center"/>
    </xf>
    <xf numFmtId="182" fontId="17" fillId="0" borderId="5" xfId="88" applyFont="1" applyBorder="1" applyAlignment="1">
      <alignment horizontal="center"/>
    </xf>
    <xf numFmtId="182" fontId="17" fillId="0" borderId="0" xfId="88" applyFont="1" applyBorder="1" applyAlignment="1">
      <alignment horizontal="center"/>
    </xf>
    <xf numFmtId="182" fontId="19" fillId="0" borderId="6" xfId="88" applyFont="1" applyBorder="1" applyAlignment="1">
      <alignment horizontal="center"/>
    </xf>
    <xf numFmtId="202" fontId="8" fillId="0" borderId="0" xfId="140" applyNumberFormat="1" applyFont="1"/>
    <xf numFmtId="176" fontId="22" fillId="0" borderId="0" xfId="0" applyFont="1" applyAlignment="1">
      <alignment horizontal="left"/>
    </xf>
    <xf numFmtId="176" fontId="23" fillId="0" borderId="0" xfId="0" applyFont="1" applyAlignment="1">
      <alignment horizontal="left"/>
    </xf>
    <xf numFmtId="176" fontId="0" fillId="0" borderId="0" xfId="0" applyAlignment="1">
      <alignment horizontal="right" vertical="top"/>
    </xf>
    <xf numFmtId="176" fontId="7" fillId="0" borderId="0" xfId="0" applyFont="1">
      <alignment vertical="top"/>
    </xf>
    <xf numFmtId="0" fontId="24" fillId="0" borderId="0" xfId="351" applyFont="1" applyAlignment="1">
      <alignment horizontal="left" vertical="top"/>
    </xf>
    <xf numFmtId="4" fontId="11" fillId="0" borderId="0" xfId="370">
      <alignment horizontal="left" vertical="top"/>
    </xf>
    <xf numFmtId="4" fontId="24" fillId="0" borderId="0" xfId="374" applyAlignment="1">
      <alignment horizontal="center" vertical="top"/>
    </xf>
    <xf numFmtId="41" fontId="25" fillId="0" borderId="0" xfId="4" applyFont="1" applyAlignment="1">
      <alignment horizontal="right" vertical="top"/>
    </xf>
    <xf numFmtId="41" fontId="24" fillId="0" borderId="0" xfId="4" applyFont="1" applyAlignment="1">
      <alignment horizontal="right" vertical="top"/>
    </xf>
    <xf numFmtId="176" fontId="8" fillId="0" borderId="0" xfId="0" applyFont="1">
      <alignment vertical="top"/>
    </xf>
    <xf numFmtId="176" fontId="13" fillId="0" borderId="0" xfId="0" applyFont="1">
      <alignment vertical="top"/>
    </xf>
    <xf numFmtId="176" fontId="8" fillId="0" borderId="0" xfId="0" applyFont="1" applyAlignment="1">
      <alignment horizontal="center"/>
    </xf>
    <xf numFmtId="9" fontId="13" fillId="0" borderId="0" xfId="3" applyFont="1"/>
    <xf numFmtId="176" fontId="7" fillId="3" borderId="7" xfId="0" applyFont="1" applyFill="1" applyBorder="1">
      <alignment vertical="top"/>
    </xf>
    <xf numFmtId="176" fontId="7" fillId="3" borderId="8" xfId="0" applyFont="1" applyFill="1" applyBorder="1">
      <alignment vertical="top"/>
    </xf>
    <xf numFmtId="176" fontId="7" fillId="3" borderId="9" xfId="0" applyFont="1" applyFill="1" applyBorder="1">
      <alignment vertical="top"/>
    </xf>
    <xf numFmtId="176" fontId="7" fillId="3" borderId="0" xfId="0" applyFont="1" applyFill="1" applyBorder="1">
      <alignment vertical="top"/>
    </xf>
    <xf numFmtId="176" fontId="26" fillId="3" borderId="0" xfId="6" applyNumberFormat="1" applyFill="1" applyBorder="1" applyProtection="1">
      <alignment vertical="top"/>
    </xf>
    <xf numFmtId="176" fontId="13" fillId="0" borderId="10" xfId="0" applyFont="1" applyBorder="1">
      <alignment vertical="top"/>
    </xf>
    <xf numFmtId="176" fontId="13" fillId="0" borderId="5" xfId="0" applyFont="1" applyBorder="1">
      <alignment vertical="top"/>
    </xf>
    <xf numFmtId="176" fontId="8" fillId="0" borderId="5" xfId="0" applyFont="1" applyBorder="1" applyAlignment="1">
      <alignment horizontal="center"/>
    </xf>
    <xf numFmtId="198" fontId="7" fillId="0" borderId="7" xfId="0" applyNumberFormat="1" applyFont="1" applyBorder="1">
      <alignment vertical="top"/>
    </xf>
    <xf numFmtId="198" fontId="7" fillId="0" borderId="8" xfId="0" applyNumberFormat="1" applyFont="1" applyBorder="1">
      <alignment vertical="top"/>
    </xf>
    <xf numFmtId="198" fontId="7" fillId="0" borderId="11" xfId="0" applyNumberFormat="1" applyFont="1" applyBorder="1" applyAlignment="1">
      <alignment horizontal="center" vertical="top"/>
    </xf>
    <xf numFmtId="198" fontId="7" fillId="0" borderId="7" xfId="0" applyNumberFormat="1" applyFont="1" applyBorder="1" applyAlignment="1">
      <alignment horizontal="center" vertical="top"/>
    </xf>
    <xf numFmtId="198" fontId="7" fillId="0" borderId="12" xfId="0" applyNumberFormat="1" applyFont="1" applyBorder="1" applyAlignment="1">
      <alignment horizontal="center" vertical="top"/>
    </xf>
    <xf numFmtId="198" fontId="7" fillId="0" borderId="9" xfId="0" applyNumberFormat="1" applyFont="1" applyBorder="1">
      <alignment vertical="top"/>
    </xf>
    <xf numFmtId="198" fontId="7" fillId="0" borderId="0" xfId="0" applyNumberFormat="1" applyFont="1" applyBorder="1">
      <alignment vertical="top"/>
    </xf>
    <xf numFmtId="198" fontId="7" fillId="0" borderId="13" xfId="0" applyNumberFormat="1" applyFont="1" applyBorder="1" applyAlignment="1">
      <alignment horizontal="center" vertical="top"/>
    </xf>
    <xf numFmtId="198" fontId="7" fillId="0" borderId="0" xfId="0" applyNumberFormat="1" applyFont="1" applyBorder="1" applyAlignment="1">
      <alignment horizontal="center" vertical="top"/>
    </xf>
    <xf numFmtId="198" fontId="7" fillId="0" borderId="9" xfId="0" applyNumberFormat="1" applyFont="1" applyBorder="1" applyAlignment="1">
      <alignment horizontal="center" vertical="top"/>
    </xf>
    <xf numFmtId="198" fontId="7" fillId="0" borderId="14" xfId="0" applyNumberFormat="1" applyFont="1" applyBorder="1" applyAlignment="1">
      <alignment horizontal="center" vertical="top"/>
    </xf>
    <xf numFmtId="198" fontId="7" fillId="0" borderId="10" xfId="0" applyNumberFormat="1" applyFont="1" applyBorder="1">
      <alignment vertical="top"/>
    </xf>
    <xf numFmtId="198" fontId="7" fillId="0" borderId="5" xfId="0" applyNumberFormat="1" applyFont="1" applyBorder="1">
      <alignment vertical="top"/>
    </xf>
    <xf numFmtId="198" fontId="7" fillId="0" borderId="15" xfId="0" applyNumberFormat="1" applyFont="1" applyBorder="1" applyAlignment="1">
      <alignment horizontal="center" vertical="top"/>
    </xf>
    <xf numFmtId="198" fontId="7" fillId="0" borderId="5" xfId="0" applyNumberFormat="1" applyFont="1" applyBorder="1" applyAlignment="1">
      <alignment horizontal="center" vertical="top"/>
    </xf>
    <xf numFmtId="198" fontId="7" fillId="0" borderId="10" xfId="0" applyNumberFormat="1" applyFont="1" applyBorder="1" applyAlignment="1">
      <alignment horizontal="center" vertical="top"/>
    </xf>
    <xf numFmtId="198" fontId="7" fillId="0" borderId="16" xfId="0" applyNumberFormat="1" applyFont="1" applyBorder="1" applyAlignment="1">
      <alignment horizontal="center" vertical="top"/>
    </xf>
    <xf numFmtId="176" fontId="8" fillId="0" borderId="9" xfId="0" applyFont="1" applyBorder="1">
      <alignment vertical="top"/>
    </xf>
    <xf numFmtId="176" fontId="8" fillId="0" borderId="0" xfId="0" applyFont="1" applyBorder="1">
      <alignment vertical="top"/>
    </xf>
    <xf numFmtId="176" fontId="8" fillId="0" borderId="13" xfId="0" applyFont="1" applyBorder="1" applyAlignment="1">
      <alignment horizontal="center"/>
    </xf>
    <xf numFmtId="176" fontId="8" fillId="0" borderId="0" xfId="0" applyFont="1" applyBorder="1" applyAlignment="1">
      <alignment horizontal="center"/>
    </xf>
    <xf numFmtId="37" fontId="8" fillId="0" borderId="9" xfId="0" applyNumberFormat="1" applyFont="1" applyBorder="1">
      <alignment vertical="top"/>
    </xf>
    <xf numFmtId="37" fontId="13" fillId="0" borderId="0" xfId="0" applyNumberFormat="1" applyFont="1" applyBorder="1">
      <alignment vertical="top"/>
    </xf>
    <xf numFmtId="37" fontId="8" fillId="0" borderId="13" xfId="0" applyNumberFormat="1" applyFont="1" applyBorder="1" applyAlignment="1">
      <alignment horizontal="center"/>
    </xf>
    <xf numFmtId="37" fontId="8" fillId="0" borderId="0" xfId="0" applyNumberFormat="1" applyFont="1" applyBorder="1" applyAlignment="1">
      <alignment horizontal="center"/>
    </xf>
    <xf numFmtId="176" fontId="13" fillId="0" borderId="0" xfId="0" applyFont="1" applyBorder="1">
      <alignment vertical="top"/>
    </xf>
    <xf numFmtId="37" fontId="13" fillId="0" borderId="9" xfId="0" applyNumberFormat="1" applyFont="1" applyBorder="1">
      <alignment vertical="top"/>
    </xf>
    <xf numFmtId="41" fontId="13" fillId="0" borderId="0" xfId="4" applyFont="1" applyBorder="1" applyAlignment="1">
      <alignment horizontal="center"/>
    </xf>
    <xf numFmtId="41" fontId="13" fillId="0" borderId="13" xfId="4" applyFont="1" applyBorder="1" applyAlignment="1">
      <alignment horizontal="center"/>
    </xf>
    <xf numFmtId="37" fontId="13" fillId="0" borderId="10" xfId="0" applyNumberFormat="1" applyFont="1" applyBorder="1">
      <alignment vertical="top"/>
    </xf>
    <xf numFmtId="176" fontId="0" fillId="0" borderId="15" xfId="0" applyBorder="1">
      <alignment vertical="top"/>
    </xf>
    <xf numFmtId="176" fontId="13" fillId="0" borderId="15" xfId="0" applyFont="1" applyBorder="1">
      <alignment vertical="top"/>
    </xf>
    <xf numFmtId="202" fontId="8" fillId="0" borderId="0" xfId="1" applyNumberFormat="1" applyFont="1" applyBorder="1" applyAlignment="1">
      <alignment vertical="top"/>
    </xf>
    <xf numFmtId="202" fontId="8" fillId="0" borderId="13" xfId="1" applyNumberFormat="1" applyFont="1" applyBorder="1" applyAlignment="1">
      <alignment vertical="top"/>
    </xf>
    <xf numFmtId="37" fontId="13" fillId="0" borderId="5" xfId="0" applyNumberFormat="1" applyFont="1" applyBorder="1">
      <alignment vertical="top"/>
    </xf>
    <xf numFmtId="37" fontId="8" fillId="0" borderId="15" xfId="0" applyNumberFormat="1" applyFont="1" applyBorder="1" applyAlignment="1">
      <alignment horizontal="center"/>
    </xf>
    <xf numFmtId="37" fontId="8" fillId="0" borderId="5" xfId="0" applyNumberFormat="1" applyFont="1" applyBorder="1" applyAlignment="1">
      <alignment horizontal="center"/>
    </xf>
    <xf numFmtId="202" fontId="8" fillId="0" borderId="11" xfId="1" applyNumberFormat="1" applyFont="1" applyBorder="1" applyAlignment="1">
      <alignment vertical="top"/>
    </xf>
    <xf numFmtId="37" fontId="8" fillId="0" borderId="13" xfId="0" applyNumberFormat="1" applyFont="1" applyBorder="1">
      <alignment vertical="top"/>
    </xf>
    <xf numFmtId="198" fontId="7" fillId="0" borderId="8" xfId="0" applyNumberFormat="1" applyFont="1" applyBorder="1" applyAlignment="1">
      <alignment horizontal="center" vertical="top"/>
    </xf>
    <xf numFmtId="176" fontId="8" fillId="0" borderId="13" xfId="0" applyFont="1" applyBorder="1">
      <alignment vertical="top"/>
    </xf>
    <xf numFmtId="176" fontId="8" fillId="0" borderId="14" xfId="0" applyFont="1" applyBorder="1">
      <alignment vertical="top"/>
    </xf>
    <xf numFmtId="177" fontId="13" fillId="0" borderId="0" xfId="1" applyFont="1" applyBorder="1"/>
    <xf numFmtId="177" fontId="13" fillId="0" borderId="9" xfId="1" applyFont="1" applyBorder="1" applyAlignment="1">
      <alignment horizontal="center"/>
    </xf>
    <xf numFmtId="177" fontId="13" fillId="0" borderId="13" xfId="1" applyFont="1" applyBorder="1" applyAlignment="1">
      <alignment vertical="top"/>
    </xf>
    <xf numFmtId="177" fontId="13" fillId="0" borderId="14" xfId="1" applyFont="1" applyBorder="1" applyAlignment="1">
      <alignment vertical="top"/>
    </xf>
    <xf numFmtId="202" fontId="13" fillId="0" borderId="13" xfId="1" applyNumberFormat="1" applyFont="1" applyBorder="1" applyAlignment="1">
      <alignment vertical="top"/>
    </xf>
    <xf numFmtId="176" fontId="0" fillId="0" borderId="0" xfId="0" applyBorder="1">
      <alignment vertical="top"/>
    </xf>
    <xf numFmtId="177" fontId="8" fillId="0" borderId="9" xfId="1" applyFont="1" applyBorder="1" applyAlignment="1">
      <alignment horizontal="center"/>
    </xf>
    <xf numFmtId="176" fontId="13" fillId="0" borderId="13" xfId="0" applyFont="1" applyBorder="1">
      <alignment vertical="top"/>
    </xf>
    <xf numFmtId="177" fontId="13" fillId="0" borderId="0" xfId="1" applyFont="1" applyBorder="1" applyAlignment="1">
      <alignment vertical="top"/>
    </xf>
    <xf numFmtId="177" fontId="8" fillId="0" borderId="13" xfId="1" applyFont="1" applyBorder="1" applyAlignment="1">
      <alignment vertical="top"/>
    </xf>
    <xf numFmtId="176" fontId="0" fillId="0" borderId="5" xfId="0" applyBorder="1">
      <alignment vertical="top"/>
    </xf>
    <xf numFmtId="202" fontId="13" fillId="0" borderId="15" xfId="1" applyNumberFormat="1" applyFont="1" applyBorder="1" applyAlignment="1">
      <alignment vertical="top"/>
    </xf>
    <xf numFmtId="177" fontId="8" fillId="0" borderId="10" xfId="1" applyFont="1" applyBorder="1" applyAlignment="1">
      <alignment horizontal="center"/>
    </xf>
    <xf numFmtId="177" fontId="13" fillId="0" borderId="10" xfId="1" applyFont="1" applyBorder="1" applyAlignment="1">
      <alignment vertical="top"/>
    </xf>
    <xf numFmtId="177" fontId="8" fillId="0" borderId="15" xfId="1" applyFont="1" applyBorder="1" applyAlignment="1">
      <alignment vertical="top"/>
    </xf>
    <xf numFmtId="202" fontId="8" fillId="0" borderId="9" xfId="1" applyNumberFormat="1" applyFont="1" applyBorder="1" applyAlignment="1">
      <alignment vertical="top"/>
    </xf>
    <xf numFmtId="202" fontId="13" fillId="0" borderId="9" xfId="1" applyNumberFormat="1" applyFont="1" applyBorder="1" applyAlignment="1">
      <alignment vertical="top"/>
    </xf>
    <xf numFmtId="177" fontId="13" fillId="0" borderId="15" xfId="1" applyFont="1" applyBorder="1" applyAlignment="1">
      <alignment vertical="top"/>
    </xf>
    <xf numFmtId="202" fontId="13" fillId="0" borderId="10" xfId="1" applyNumberFormat="1" applyFont="1" applyBorder="1" applyAlignment="1">
      <alignment vertical="top"/>
    </xf>
    <xf numFmtId="176" fontId="0" fillId="0" borderId="11" xfId="0" applyBorder="1">
      <alignment vertical="top"/>
    </xf>
    <xf numFmtId="41" fontId="13" fillId="0" borderId="13" xfId="4" applyFont="1" applyBorder="1" applyAlignment="1">
      <alignment vertical="top"/>
    </xf>
    <xf numFmtId="177" fontId="8" fillId="0" borderId="15" xfId="1" applyFont="1" applyBorder="1" applyAlignment="1">
      <alignment horizontal="center"/>
    </xf>
    <xf numFmtId="177" fontId="13" fillId="0" borderId="5" xfId="1" applyFont="1" applyBorder="1" applyAlignment="1">
      <alignment vertical="top"/>
    </xf>
    <xf numFmtId="177" fontId="13" fillId="0" borderId="9" xfId="1" applyFont="1" applyBorder="1" applyAlignment="1">
      <alignment vertical="top"/>
    </xf>
    <xf numFmtId="176" fontId="7" fillId="3" borderId="12" xfId="0" applyFont="1" applyFill="1" applyBorder="1">
      <alignment vertical="top"/>
    </xf>
    <xf numFmtId="176" fontId="26" fillId="3" borderId="14" xfId="6" applyNumberFormat="1" applyFill="1" applyBorder="1" applyProtection="1">
      <alignment vertical="top"/>
    </xf>
    <xf numFmtId="176" fontId="7" fillId="3" borderId="14" xfId="0" applyFont="1" applyFill="1" applyBorder="1">
      <alignment vertical="top"/>
    </xf>
    <xf numFmtId="9" fontId="13" fillId="0" borderId="16" xfId="3" applyFont="1" applyBorder="1"/>
    <xf numFmtId="198" fontId="7" fillId="0" borderId="17" xfId="0" applyNumberFormat="1" applyFont="1" applyBorder="1" applyAlignment="1">
      <alignment horizontal="center" vertical="top"/>
    </xf>
    <xf numFmtId="198" fontId="7" fillId="0" borderId="18" xfId="0" applyNumberFormat="1" applyFont="1" applyBorder="1" applyAlignment="1">
      <alignment horizontal="center" vertical="top"/>
    </xf>
    <xf numFmtId="176" fontId="13" fillId="0" borderId="9" xfId="0" applyFont="1" applyBorder="1">
      <alignment vertical="top"/>
    </xf>
    <xf numFmtId="9" fontId="13" fillId="0" borderId="13" xfId="3" applyFont="1" applyBorder="1"/>
    <xf numFmtId="37" fontId="13" fillId="0" borderId="0" xfId="0" applyNumberFormat="1" applyFont="1">
      <alignment vertical="top"/>
    </xf>
    <xf numFmtId="176" fontId="21" fillId="0" borderId="13" xfId="0" applyFont="1" applyBorder="1" applyAlignment="1">
      <alignment horizontal="right" vertical="center" wrapText="1"/>
    </xf>
    <xf numFmtId="176" fontId="21" fillId="0" borderId="9" xfId="0" applyFont="1" applyBorder="1" applyAlignment="1">
      <alignment horizontal="right" vertical="center"/>
    </xf>
    <xf numFmtId="9" fontId="8" fillId="0" borderId="13" xfId="3" applyFont="1" applyBorder="1"/>
    <xf numFmtId="176" fontId="21" fillId="0" borderId="10" xfId="0" applyFont="1" applyBorder="1" applyAlignment="1">
      <alignment horizontal="right" vertical="center"/>
    </xf>
    <xf numFmtId="176" fontId="0" fillId="0" borderId="13" xfId="0" applyBorder="1">
      <alignment vertical="top"/>
    </xf>
    <xf numFmtId="176" fontId="13" fillId="0" borderId="13" xfId="0" applyFont="1" applyBorder="1" applyAlignment="1">
      <alignment horizontal="right" vertical="center" wrapText="1"/>
    </xf>
    <xf numFmtId="176" fontId="13" fillId="0" borderId="9" xfId="0" applyFont="1" applyBorder="1" applyAlignment="1">
      <alignment horizontal="right" vertical="center"/>
    </xf>
    <xf numFmtId="176" fontId="13" fillId="0" borderId="15" xfId="0" applyFont="1" applyBorder="1" applyAlignment="1">
      <alignment horizontal="right" vertical="center" wrapText="1"/>
    </xf>
    <xf numFmtId="176" fontId="13" fillId="0" borderId="5" xfId="0" applyFont="1" applyBorder="1" applyAlignment="1">
      <alignment horizontal="right" vertical="center"/>
    </xf>
    <xf numFmtId="176" fontId="13" fillId="0" borderId="0" xfId="0" applyFont="1" applyBorder="1" applyAlignment="1">
      <alignment horizontal="right" vertical="center"/>
    </xf>
    <xf numFmtId="176" fontId="13" fillId="0" borderId="10" xfId="0" applyFont="1" applyBorder="1" applyAlignment="1">
      <alignment horizontal="right" vertical="center"/>
    </xf>
    <xf numFmtId="176" fontId="8" fillId="0" borderId="13" xfId="0" applyFont="1" applyBorder="1" applyAlignment="1">
      <alignment horizontal="right" vertical="center" wrapText="1"/>
    </xf>
    <xf numFmtId="41" fontId="8" fillId="0" borderId="0" xfId="4" applyFont="1" applyBorder="1" applyAlignment="1">
      <alignment horizontal="center"/>
    </xf>
    <xf numFmtId="41" fontId="8" fillId="0" borderId="13" xfId="4" applyFont="1" applyBorder="1" applyAlignment="1">
      <alignment horizontal="center"/>
    </xf>
    <xf numFmtId="37" fontId="13" fillId="0" borderId="16" xfId="0" applyNumberFormat="1" applyFont="1" applyBorder="1">
      <alignment vertical="top"/>
    </xf>
    <xf numFmtId="41" fontId="13" fillId="0" borderId="5" xfId="4" applyFont="1" applyBorder="1" applyAlignment="1">
      <alignment horizontal="center"/>
    </xf>
    <xf numFmtId="41" fontId="8" fillId="0" borderId="15" xfId="4" applyFont="1" applyBorder="1" applyAlignment="1">
      <alignment horizontal="center"/>
    </xf>
    <xf numFmtId="176" fontId="7" fillId="0" borderId="9" xfId="0" applyFont="1" applyBorder="1">
      <alignment vertical="top"/>
    </xf>
    <xf numFmtId="37" fontId="8" fillId="0" borderId="19" xfId="0" applyNumberFormat="1" applyFont="1" applyBorder="1">
      <alignment vertical="top"/>
    </xf>
    <xf numFmtId="37" fontId="8" fillId="0" borderId="4" xfId="0" applyNumberFormat="1" applyFont="1" applyBorder="1" applyAlignment="1">
      <alignment horizontal="center"/>
    </xf>
    <xf numFmtId="176" fontId="8" fillId="0" borderId="4" xfId="0" applyFont="1" applyBorder="1">
      <alignment vertical="top"/>
    </xf>
    <xf numFmtId="37" fontId="8" fillId="0" borderId="0" xfId="0" applyNumberFormat="1" applyFont="1" applyBorder="1">
      <alignment vertical="top"/>
    </xf>
    <xf numFmtId="176" fontId="13" fillId="0" borderId="0" xfId="0" applyFont="1" applyAlignment="1">
      <alignment horizontal="left"/>
    </xf>
    <xf numFmtId="176" fontId="13" fillId="4" borderId="7" xfId="0" applyFont="1" applyFill="1" applyBorder="1" applyAlignment="1">
      <alignment horizontal="left"/>
    </xf>
    <xf numFmtId="176" fontId="8" fillId="4" borderId="8" xfId="0" applyFont="1" applyFill="1" applyBorder="1">
      <alignment vertical="top"/>
    </xf>
    <xf numFmtId="176" fontId="8" fillId="4" borderId="8" xfId="0" applyFont="1" applyFill="1" applyBorder="1" applyAlignment="1">
      <alignment horizontal="center"/>
    </xf>
    <xf numFmtId="176" fontId="13" fillId="4" borderId="9" xfId="0" applyFont="1" applyFill="1" applyBorder="1" applyAlignment="1">
      <alignment horizontal="left"/>
    </xf>
    <xf numFmtId="176" fontId="8" fillId="4" borderId="0" xfId="0" applyFont="1" applyFill="1" applyBorder="1">
      <alignment vertical="top"/>
    </xf>
    <xf numFmtId="176" fontId="8" fillId="4" borderId="0" xfId="0" applyFont="1" applyFill="1" applyBorder="1" applyAlignment="1">
      <alignment horizontal="center"/>
    </xf>
    <xf numFmtId="176" fontId="13" fillId="4" borderId="0" xfId="0" applyFont="1" applyFill="1" applyBorder="1">
      <alignment vertical="top"/>
    </xf>
    <xf numFmtId="176" fontId="27" fillId="5" borderId="9" xfId="0" applyFont="1" applyFill="1" applyBorder="1" applyAlignment="1">
      <alignment horizontal="left"/>
    </xf>
    <xf numFmtId="176" fontId="0" fillId="5" borderId="0" xfId="0" applyFill="1" applyBorder="1" applyAlignment="1"/>
    <xf numFmtId="205" fontId="8" fillId="5" borderId="0" xfId="0" applyNumberFormat="1" applyFont="1" applyFill="1" applyBorder="1" applyAlignment="1">
      <alignment horizontal="center"/>
    </xf>
    <xf numFmtId="176" fontId="8" fillId="5" borderId="0" xfId="0" applyFont="1" applyFill="1" applyBorder="1" applyAlignment="1">
      <alignment horizontal="left"/>
    </xf>
    <xf numFmtId="37" fontId="28" fillId="4" borderId="9" xfId="0" applyNumberFormat="1" applyFont="1" applyFill="1" applyBorder="1" applyAlignment="1"/>
    <xf numFmtId="176" fontId="0" fillId="5" borderId="0" xfId="0" applyFill="1" applyBorder="1" applyAlignment="1">
      <alignment horizontal="center"/>
    </xf>
    <xf numFmtId="37" fontId="13" fillId="4" borderId="9" xfId="0" applyNumberFormat="1" applyFont="1" applyFill="1" applyBorder="1">
      <alignment vertical="top"/>
    </xf>
    <xf numFmtId="37" fontId="13" fillId="4" borderId="0" xfId="0" applyNumberFormat="1" applyFont="1" applyFill="1" applyBorder="1">
      <alignment vertical="top"/>
    </xf>
    <xf numFmtId="176" fontId="13" fillId="4" borderId="10" xfId="0" applyFont="1" applyFill="1" applyBorder="1">
      <alignment vertical="top"/>
    </xf>
    <xf numFmtId="176" fontId="8" fillId="4" borderId="5" xfId="0" applyFont="1" applyFill="1" applyBorder="1">
      <alignment vertical="top"/>
    </xf>
    <xf numFmtId="176" fontId="8" fillId="4" borderId="5" xfId="0" applyFont="1" applyFill="1" applyBorder="1" applyAlignment="1">
      <alignment horizontal="center"/>
    </xf>
    <xf numFmtId="176" fontId="8" fillId="0" borderId="0" xfId="0" applyFont="1" applyAlignment="1">
      <alignment horizontal="left"/>
    </xf>
    <xf numFmtId="41" fontId="13" fillId="0" borderId="0" xfId="4" applyFont="1" applyBorder="1" applyAlignment="1">
      <alignment vertical="top"/>
    </xf>
    <xf numFmtId="41" fontId="13" fillId="0" borderId="14" xfId="4" applyFont="1" applyBorder="1" applyAlignment="1">
      <alignment vertical="top"/>
    </xf>
    <xf numFmtId="41" fontId="13" fillId="0" borderId="9" xfId="4" applyFont="1" applyBorder="1" applyAlignment="1">
      <alignment vertical="top"/>
    </xf>
    <xf numFmtId="41" fontId="8" fillId="0" borderId="5" xfId="4" applyFont="1" applyBorder="1" applyAlignment="1">
      <alignment horizontal="center"/>
    </xf>
    <xf numFmtId="37" fontId="8" fillId="0" borderId="19" xfId="0" applyNumberFormat="1" applyFont="1" applyBorder="1" applyAlignment="1">
      <alignment horizontal="center"/>
    </xf>
    <xf numFmtId="202" fontId="8" fillId="0" borderId="4" xfId="1" applyNumberFormat="1" applyFont="1" applyBorder="1" applyAlignment="1">
      <alignment vertical="top"/>
    </xf>
    <xf numFmtId="202" fontId="8" fillId="0" borderId="17" xfId="1" applyNumberFormat="1" applyFont="1" applyBorder="1" applyAlignment="1">
      <alignment vertical="top"/>
    </xf>
    <xf numFmtId="37" fontId="13" fillId="0" borderId="15" xfId="0" applyNumberFormat="1" applyFont="1" applyBorder="1">
      <alignment vertical="top"/>
    </xf>
    <xf numFmtId="206" fontId="8" fillId="0" borderId="0" xfId="0" applyNumberFormat="1" applyFont="1" applyAlignment="1">
      <alignment horizontal="center"/>
    </xf>
    <xf numFmtId="202" fontId="8" fillId="4" borderId="8" xfId="1" applyNumberFormat="1" applyFont="1" applyFill="1" applyBorder="1"/>
    <xf numFmtId="176" fontId="13" fillId="4" borderId="8" xfId="0" applyFont="1" applyFill="1" applyBorder="1">
      <alignment vertical="top"/>
    </xf>
    <xf numFmtId="202" fontId="8" fillId="4" borderId="0" xfId="1" applyNumberFormat="1" applyFont="1" applyFill="1" applyBorder="1"/>
    <xf numFmtId="176" fontId="13" fillId="4" borderId="0" xfId="0" applyFont="1" applyFill="1" applyBorder="1" applyAlignment="1"/>
    <xf numFmtId="176" fontId="8" fillId="5" borderId="0" xfId="0" applyFont="1" applyFill="1" applyBorder="1" applyAlignment="1">
      <alignment horizontal="center"/>
    </xf>
    <xf numFmtId="176" fontId="13" fillId="4" borderId="5" xfId="0" applyFont="1" applyFill="1" applyBorder="1" applyAlignment="1">
      <alignment horizontal="center"/>
    </xf>
    <xf numFmtId="176" fontId="13" fillId="4" borderId="5" xfId="0" applyFont="1" applyFill="1" applyBorder="1">
      <alignment vertical="top"/>
    </xf>
    <xf numFmtId="177" fontId="8" fillId="0" borderId="0" xfId="1" applyFont="1"/>
    <xf numFmtId="176" fontId="13" fillId="0" borderId="0" xfId="0" applyFont="1" applyAlignment="1">
      <alignment horizontal="center"/>
    </xf>
    <xf numFmtId="4" fontId="24" fillId="0" borderId="0" xfId="355" applyFont="1">
      <alignment horizontal="left" vertical="top"/>
    </xf>
    <xf numFmtId="37" fontId="8" fillId="0" borderId="0" xfId="0" applyNumberFormat="1" applyFont="1">
      <alignment vertical="top"/>
    </xf>
    <xf numFmtId="10" fontId="8" fillId="0" borderId="0" xfId="3" applyNumberFormat="1" applyFont="1"/>
    <xf numFmtId="41" fontId="13" fillId="0" borderId="9" xfId="4" applyFont="1" applyBorder="1" applyAlignment="1">
      <alignment horizontal="right" vertical="top"/>
    </xf>
    <xf numFmtId="9" fontId="13" fillId="0" borderId="15" xfId="3" applyFont="1" applyBorder="1"/>
    <xf numFmtId="41" fontId="8" fillId="0" borderId="17" xfId="4" applyFont="1" applyBorder="1" applyAlignment="1">
      <alignment vertical="top"/>
    </xf>
    <xf numFmtId="176" fontId="0" fillId="0" borderId="18" xfId="0" applyBorder="1">
      <alignment vertical="top"/>
    </xf>
    <xf numFmtId="9" fontId="13" fillId="4" borderId="12" xfId="3" applyFont="1" applyFill="1" applyBorder="1"/>
    <xf numFmtId="9" fontId="13" fillId="4" borderId="14" xfId="3" applyFont="1" applyFill="1" applyBorder="1"/>
    <xf numFmtId="9" fontId="13" fillId="4" borderId="0" xfId="3" applyFont="1" applyFill="1" applyBorder="1"/>
    <xf numFmtId="9" fontId="13" fillId="4" borderId="5" xfId="3" applyFont="1" applyFill="1" applyBorder="1"/>
    <xf numFmtId="9" fontId="13" fillId="4" borderId="16" xfId="3" applyFont="1" applyFill="1" applyBorder="1"/>
    <xf numFmtId="4" fontId="2" fillId="0" borderId="5" xfId="348" applyBorder="1">
      <alignment horizontal="center" vertical="top"/>
    </xf>
    <xf numFmtId="176" fontId="8" fillId="0" borderId="19" xfId="0" applyFont="1" applyBorder="1">
      <alignment vertical="top"/>
    </xf>
    <xf numFmtId="176" fontId="29" fillId="3" borderId="7" xfId="0" applyFont="1" applyFill="1" applyBorder="1">
      <alignment vertical="top"/>
    </xf>
    <xf numFmtId="176" fontId="0" fillId="3" borderId="8" xfId="0" applyFill="1" applyBorder="1">
      <alignment vertical="top"/>
    </xf>
    <xf numFmtId="176" fontId="0" fillId="3" borderId="9" xfId="0" applyFill="1" applyBorder="1">
      <alignment vertical="top"/>
    </xf>
    <xf numFmtId="176" fontId="0" fillId="3" borderId="0" xfId="0" applyFill="1" applyBorder="1">
      <alignment vertical="top"/>
    </xf>
    <xf numFmtId="176" fontId="0" fillId="3" borderId="10" xfId="0" applyFill="1" applyBorder="1">
      <alignment vertical="top"/>
    </xf>
    <xf numFmtId="176" fontId="26" fillId="3" borderId="5" xfId="6" applyNumberFormat="1" applyFill="1" applyBorder="1" applyProtection="1">
      <alignment vertical="top"/>
    </xf>
    <xf numFmtId="176" fontId="0" fillId="3" borderId="5" xfId="0" applyFill="1" applyBorder="1">
      <alignment vertical="top"/>
    </xf>
    <xf numFmtId="176" fontId="8" fillId="6" borderId="7" xfId="0" applyFont="1" applyFill="1" applyBorder="1">
      <alignment vertical="top"/>
    </xf>
    <xf numFmtId="176" fontId="8" fillId="6" borderId="8" xfId="0" applyFont="1" applyFill="1" applyBorder="1">
      <alignment vertical="top"/>
    </xf>
    <xf numFmtId="176" fontId="13" fillId="6" borderId="12" xfId="0" applyFont="1" applyFill="1" applyBorder="1" applyAlignment="1">
      <alignment horizontal="left"/>
    </xf>
    <xf numFmtId="176" fontId="8" fillId="6" borderId="8" xfId="0" applyFont="1" applyFill="1" applyBorder="1" applyAlignment="1">
      <alignment horizontal="center"/>
    </xf>
    <xf numFmtId="176" fontId="8" fillId="6" borderId="11" xfId="0" applyFont="1" applyFill="1" applyBorder="1" applyAlignment="1">
      <alignment horizontal="center"/>
    </xf>
    <xf numFmtId="176" fontId="8" fillId="6" borderId="7" xfId="0" applyFont="1" applyFill="1" applyBorder="1" applyAlignment="1">
      <alignment horizontal="center"/>
    </xf>
    <xf numFmtId="176" fontId="8" fillId="6" borderId="17" xfId="0" applyFont="1" applyFill="1" applyBorder="1" applyAlignment="1">
      <alignment horizontal="center"/>
    </xf>
    <xf numFmtId="176" fontId="8" fillId="6" borderId="9" xfId="0" applyFont="1" applyFill="1" applyBorder="1">
      <alignment vertical="top"/>
    </xf>
    <xf numFmtId="176" fontId="8" fillId="6" borderId="0" xfId="0" applyFont="1" applyFill="1" applyBorder="1">
      <alignment vertical="top"/>
    </xf>
    <xf numFmtId="176" fontId="13" fillId="6" borderId="14" xfId="0" applyFont="1" applyFill="1" applyBorder="1" applyAlignment="1">
      <alignment horizontal="left"/>
    </xf>
    <xf numFmtId="176" fontId="8" fillId="6" borderId="0" xfId="0" applyFont="1" applyFill="1" applyBorder="1" applyAlignment="1">
      <alignment horizontal="center"/>
    </xf>
    <xf numFmtId="198" fontId="8" fillId="6" borderId="13" xfId="0" applyNumberFormat="1" applyFont="1" applyFill="1" applyBorder="1" applyAlignment="1">
      <alignment horizontal="center"/>
    </xf>
    <xf numFmtId="176" fontId="8" fillId="6" borderId="10" xfId="0" applyFont="1" applyFill="1" applyBorder="1">
      <alignment vertical="top"/>
    </xf>
    <xf numFmtId="176" fontId="8" fillId="6" borderId="5" xfId="0" applyFont="1" applyFill="1" applyBorder="1">
      <alignment vertical="top"/>
    </xf>
    <xf numFmtId="176" fontId="13" fillId="6" borderId="16" xfId="0" applyFont="1" applyFill="1" applyBorder="1" applyAlignment="1">
      <alignment horizontal="left"/>
    </xf>
    <xf numFmtId="176" fontId="8" fillId="6" borderId="5" xfId="0" applyFont="1" applyFill="1" applyBorder="1" applyAlignment="1">
      <alignment horizontal="center"/>
    </xf>
    <xf numFmtId="198" fontId="8" fillId="6" borderId="15" xfId="0" applyNumberFormat="1" applyFont="1" applyFill="1" applyBorder="1" applyAlignment="1">
      <alignment horizontal="center"/>
    </xf>
    <xf numFmtId="176" fontId="8" fillId="6" borderId="15" xfId="0" applyFont="1" applyFill="1" applyBorder="1" applyAlignment="1">
      <alignment horizontal="center"/>
    </xf>
    <xf numFmtId="176" fontId="8" fillId="0" borderId="20" xfId="0" applyFont="1" applyBorder="1">
      <alignment vertical="top"/>
    </xf>
    <xf numFmtId="176" fontId="13" fillId="0" borderId="14" xfId="0" applyFont="1" applyBorder="1" applyAlignment="1">
      <alignment horizontal="left"/>
    </xf>
    <xf numFmtId="176" fontId="13" fillId="0" borderId="21" xfId="0" applyFont="1" applyBorder="1">
      <alignment vertical="top"/>
    </xf>
    <xf numFmtId="37" fontId="13" fillId="0" borderId="14" xfId="0" applyNumberFormat="1" applyFont="1" applyBorder="1">
      <alignment vertical="top"/>
    </xf>
    <xf numFmtId="37" fontId="13" fillId="0" borderId="14" xfId="0" applyNumberFormat="1" applyFont="1" applyBorder="1" applyAlignment="1">
      <alignment horizontal="left"/>
    </xf>
    <xf numFmtId="37" fontId="8" fillId="0" borderId="0" xfId="0" applyNumberFormat="1" applyFont="1" applyAlignment="1">
      <alignment horizontal="center"/>
    </xf>
    <xf numFmtId="41" fontId="8" fillId="0" borderId="0" xfId="4" applyFont="1" applyAlignment="1">
      <alignment horizontal="center"/>
    </xf>
    <xf numFmtId="176" fontId="13" fillId="0" borderId="20" xfId="0" applyFont="1" applyBorder="1">
      <alignment vertical="top"/>
    </xf>
    <xf numFmtId="37" fontId="13" fillId="0" borderId="0" xfId="0" applyNumberFormat="1" applyFont="1" applyAlignment="1">
      <alignment horizontal="center"/>
    </xf>
    <xf numFmtId="41" fontId="13" fillId="0" borderId="0" xfId="4" applyFont="1" applyAlignment="1">
      <alignment horizontal="center"/>
    </xf>
    <xf numFmtId="37" fontId="13" fillId="0" borderId="13" xfId="0" applyNumberFormat="1" applyFont="1" applyBorder="1">
      <alignment vertical="top"/>
    </xf>
    <xf numFmtId="41" fontId="13" fillId="0" borderId="14" xfId="4" applyFont="1" applyBorder="1" applyAlignment="1">
      <alignment horizontal="center"/>
    </xf>
    <xf numFmtId="37" fontId="13" fillId="0" borderId="0" xfId="0" applyNumberFormat="1" applyFont="1" applyBorder="1" applyAlignment="1">
      <alignment horizontal="left"/>
    </xf>
    <xf numFmtId="37" fontId="13" fillId="0" borderId="13" xfId="0" applyNumberFormat="1" applyFont="1" applyBorder="1" applyAlignment="1">
      <alignment horizontal="center"/>
    </xf>
    <xf numFmtId="37" fontId="13" fillId="0" borderId="5" xfId="0" applyNumberFormat="1" applyFont="1" applyBorder="1" applyAlignment="1">
      <alignment horizontal="left"/>
    </xf>
    <xf numFmtId="37" fontId="13" fillId="0" borderId="15" xfId="0" applyNumberFormat="1" applyFont="1" applyBorder="1" applyAlignment="1">
      <alignment horizontal="center"/>
    </xf>
    <xf numFmtId="176" fontId="0" fillId="0" borderId="16" xfId="0" applyBorder="1">
      <alignment vertical="top"/>
    </xf>
    <xf numFmtId="176" fontId="8" fillId="0" borderId="21" xfId="0" applyFont="1" applyBorder="1">
      <alignment vertical="top"/>
    </xf>
    <xf numFmtId="176" fontId="13" fillId="0" borderId="14" xfId="0" applyFont="1" applyBorder="1">
      <alignment vertical="top"/>
    </xf>
    <xf numFmtId="37" fontId="13" fillId="0" borderId="14" xfId="0" applyNumberFormat="1" applyFont="1" applyFill="1" applyBorder="1">
      <alignment vertical="top"/>
    </xf>
    <xf numFmtId="37" fontId="13" fillId="0" borderId="0" xfId="0" applyNumberFormat="1" applyFont="1" applyFill="1" applyBorder="1" applyAlignment="1">
      <alignment horizontal="left"/>
    </xf>
    <xf numFmtId="37" fontId="8" fillId="0" borderId="13" xfId="0" applyNumberFormat="1" applyFont="1" applyFill="1" applyBorder="1" applyAlignment="1">
      <alignment horizontal="center"/>
    </xf>
    <xf numFmtId="176" fontId="13" fillId="0" borderId="11" xfId="0" applyFont="1" applyBorder="1">
      <alignment vertical="top"/>
    </xf>
    <xf numFmtId="41" fontId="8" fillId="0" borderId="0" xfId="4" applyFont="1" applyBorder="1" applyAlignment="1">
      <alignment vertical="top"/>
    </xf>
    <xf numFmtId="37" fontId="13" fillId="0" borderId="13" xfId="0" applyNumberFormat="1" applyFont="1" applyBorder="1" applyAlignment="1">
      <alignment horizontal="left"/>
    </xf>
    <xf numFmtId="37" fontId="8" fillId="0" borderId="9" xfId="0" applyNumberFormat="1" applyFont="1" applyBorder="1" applyAlignment="1">
      <alignment horizontal="center"/>
    </xf>
    <xf numFmtId="37" fontId="8" fillId="0" borderId="17" xfId="0" applyNumberFormat="1" applyFont="1" applyBorder="1">
      <alignment vertical="top"/>
    </xf>
    <xf numFmtId="37" fontId="13" fillId="0" borderId="0" xfId="0" applyNumberFormat="1" applyFont="1" applyAlignment="1">
      <alignment horizontal="left"/>
    </xf>
    <xf numFmtId="207" fontId="8" fillId="0" borderId="0" xfId="0" applyNumberFormat="1" applyFont="1" applyAlignment="1">
      <alignment horizontal="center"/>
    </xf>
    <xf numFmtId="176" fontId="0" fillId="6" borderId="7" xfId="0" applyFill="1" applyBorder="1">
      <alignment vertical="top"/>
    </xf>
    <xf numFmtId="176" fontId="0" fillId="6" borderId="8" xfId="0" applyFill="1" applyBorder="1">
      <alignment vertical="top"/>
    </xf>
    <xf numFmtId="176" fontId="0" fillId="6" borderId="9" xfId="0" applyFill="1" applyBorder="1">
      <alignment vertical="top"/>
    </xf>
    <xf numFmtId="176" fontId="0" fillId="6" borderId="0" xfId="0" applyFill="1" applyBorder="1">
      <alignment vertical="top"/>
    </xf>
    <xf numFmtId="176" fontId="27" fillId="7" borderId="9" xfId="0" applyFont="1" applyFill="1" applyBorder="1" applyAlignment="1">
      <alignment horizontal="left"/>
    </xf>
    <xf numFmtId="176" fontId="0" fillId="7" borderId="0" xfId="0" applyFill="1" applyBorder="1" applyAlignment="1"/>
    <xf numFmtId="205" fontId="8" fillId="7" borderId="0" xfId="0" applyNumberFormat="1" applyFont="1" applyFill="1" applyBorder="1" applyAlignment="1">
      <alignment horizontal="center"/>
    </xf>
    <xf numFmtId="176" fontId="8" fillId="7" borderId="0" xfId="0" applyFont="1" applyFill="1" applyBorder="1" applyAlignment="1">
      <alignment horizontal="left"/>
    </xf>
    <xf numFmtId="176" fontId="0" fillId="7" borderId="0" xfId="0" applyFill="1" applyBorder="1" applyAlignment="1">
      <alignment horizontal="center"/>
    </xf>
    <xf numFmtId="176" fontId="8" fillId="6" borderId="18" xfId="0" applyFont="1" applyFill="1" applyBorder="1" applyAlignment="1">
      <alignment horizontal="center"/>
    </xf>
    <xf numFmtId="176" fontId="8" fillId="6" borderId="14" xfId="0" applyFont="1" applyFill="1" applyBorder="1" applyAlignment="1">
      <alignment horizontal="center"/>
    </xf>
    <xf numFmtId="176" fontId="8" fillId="6" borderId="16" xfId="0" applyFont="1" applyFill="1" applyBorder="1" applyAlignment="1">
      <alignment horizontal="center"/>
    </xf>
    <xf numFmtId="198" fontId="8" fillId="6" borderId="10" xfId="0" applyNumberFormat="1" applyFont="1" applyFill="1" applyBorder="1" applyAlignment="1">
      <alignment horizontal="center"/>
    </xf>
    <xf numFmtId="176" fontId="8" fillId="0" borderId="14" xfId="0" applyFont="1" applyBorder="1" applyAlignment="1">
      <alignment horizontal="center"/>
    </xf>
    <xf numFmtId="37" fontId="8" fillId="0" borderId="14" xfId="0" applyNumberFormat="1" applyFont="1" applyBorder="1" applyAlignment="1">
      <alignment horizontal="center"/>
    </xf>
    <xf numFmtId="41" fontId="13" fillId="0" borderId="14" xfId="4" applyFont="1" applyBorder="1" applyAlignment="1">
      <alignment horizontal="right" vertical="center" wrapText="1"/>
    </xf>
    <xf numFmtId="37" fontId="13" fillId="0" borderId="5" xfId="0" applyNumberFormat="1" applyFont="1" applyBorder="1" applyAlignment="1">
      <alignment horizontal="center"/>
    </xf>
    <xf numFmtId="41" fontId="13" fillId="0" borderId="0" xfId="4" applyFont="1" applyFill="1" applyBorder="1" applyAlignment="1">
      <alignment vertical="top"/>
    </xf>
    <xf numFmtId="37" fontId="13" fillId="0" borderId="13" xfId="0" applyNumberFormat="1" applyFont="1" applyFill="1" applyBorder="1">
      <alignment vertical="top"/>
    </xf>
    <xf numFmtId="41" fontId="13" fillId="0" borderId="13" xfId="4" applyFont="1" applyFill="1" applyBorder="1" applyAlignment="1">
      <alignment vertical="top"/>
    </xf>
    <xf numFmtId="41" fontId="8" fillId="0" borderId="13" xfId="4" applyFont="1" applyBorder="1" applyAlignment="1">
      <alignment vertical="top"/>
    </xf>
    <xf numFmtId="37" fontId="8" fillId="0" borderId="4" xfId="0" applyNumberFormat="1" applyFont="1" applyBorder="1">
      <alignment vertical="top"/>
    </xf>
    <xf numFmtId="202" fontId="9" fillId="0" borderId="0" xfId="1" applyNumberFormat="1" applyFont="1"/>
    <xf numFmtId="37" fontId="13" fillId="6" borderId="0" xfId="0" applyNumberFormat="1" applyFont="1" applyFill="1" applyBorder="1">
      <alignment vertical="top"/>
    </xf>
    <xf numFmtId="176" fontId="0" fillId="3" borderId="12" xfId="0" applyFill="1" applyBorder="1">
      <alignment vertical="top"/>
    </xf>
    <xf numFmtId="198" fontId="0" fillId="3" borderId="0" xfId="0" applyNumberFormat="1" applyFill="1" applyBorder="1" applyAlignment="1">
      <alignment horizontal="center" vertical="top"/>
    </xf>
    <xf numFmtId="176" fontId="0" fillId="3" borderId="14" xfId="0" applyFill="1" applyBorder="1">
      <alignment vertical="top"/>
    </xf>
    <xf numFmtId="198" fontId="7" fillId="3" borderId="16" xfId="0" applyNumberFormat="1" applyFont="1" applyFill="1" applyBorder="1" applyAlignment="1">
      <alignment horizontal="center" vertical="top"/>
    </xf>
    <xf numFmtId="198" fontId="8" fillId="6" borderId="7" xfId="0" applyNumberFormat="1" applyFont="1" applyFill="1" applyBorder="1" applyAlignment="1">
      <alignment horizontal="center"/>
    </xf>
    <xf numFmtId="198" fontId="8" fillId="6" borderId="22" xfId="0" applyNumberFormat="1" applyFont="1" applyFill="1" applyBorder="1" applyAlignment="1">
      <alignment horizontal="center"/>
    </xf>
    <xf numFmtId="198" fontId="8" fillId="6" borderId="12" xfId="0" applyNumberFormat="1" applyFont="1" applyFill="1" applyBorder="1" applyAlignment="1">
      <alignment horizontal="center"/>
    </xf>
    <xf numFmtId="176" fontId="8" fillId="6" borderId="13" xfId="0" applyFont="1" applyFill="1" applyBorder="1" applyAlignment="1">
      <alignment horizontal="center"/>
    </xf>
    <xf numFmtId="176" fontId="8" fillId="6" borderId="10" xfId="0" applyFont="1" applyFill="1" applyBorder="1" applyAlignment="1">
      <alignment horizontal="center"/>
    </xf>
    <xf numFmtId="176" fontId="8" fillId="6" borderId="23" xfId="0" applyFont="1" applyFill="1" applyBorder="1" applyAlignment="1">
      <alignment horizontal="center"/>
    </xf>
    <xf numFmtId="198" fontId="8" fillId="6" borderId="5" xfId="0" applyNumberFormat="1" applyFont="1" applyFill="1" applyBorder="1" applyAlignment="1">
      <alignment horizontal="center"/>
    </xf>
    <xf numFmtId="176" fontId="8" fillId="6" borderId="4" xfId="0" applyFont="1" applyFill="1" applyBorder="1" applyAlignment="1">
      <alignment horizontal="center"/>
    </xf>
    <xf numFmtId="9" fontId="8" fillId="6" borderId="18" xfId="3" applyFont="1" applyFill="1" applyBorder="1"/>
    <xf numFmtId="176" fontId="0" fillId="6" borderId="5" xfId="0" applyFill="1" applyBorder="1">
      <alignment vertical="top"/>
    </xf>
    <xf numFmtId="176" fontId="0" fillId="6" borderId="16" xfId="0" applyFill="1" applyBorder="1">
      <alignment vertical="top"/>
    </xf>
    <xf numFmtId="9" fontId="8" fillId="0" borderId="0" xfId="3" applyFont="1" applyBorder="1" applyAlignment="1">
      <alignment vertical="top"/>
    </xf>
    <xf numFmtId="9" fontId="0" fillId="0" borderId="0" xfId="3" applyFont="1" applyBorder="1" applyAlignment="1">
      <alignment vertical="top"/>
    </xf>
    <xf numFmtId="176" fontId="0" fillId="0" borderId="14" xfId="0" applyBorder="1">
      <alignment vertical="top"/>
    </xf>
    <xf numFmtId="41" fontId="13" fillId="0" borderId="9" xfId="4" applyFont="1" applyBorder="1" applyAlignment="1">
      <alignment horizontal="right" vertical="center" wrapText="1"/>
    </xf>
    <xf numFmtId="176" fontId="13" fillId="0" borderId="16" xfId="0" applyFont="1" applyBorder="1">
      <alignment vertical="top"/>
    </xf>
    <xf numFmtId="176" fontId="13" fillId="0" borderId="0" xfId="0" applyFont="1" applyAlignment="1">
      <alignment horizontal="right" vertical="center" wrapText="1"/>
    </xf>
    <xf numFmtId="176" fontId="13" fillId="0" borderId="9" xfId="0" applyFont="1" applyBorder="1" applyAlignment="1">
      <alignment horizontal="right" vertical="center" wrapText="1"/>
    </xf>
    <xf numFmtId="9" fontId="0" fillId="0" borderId="14" xfId="3" applyFont="1" applyBorder="1" applyAlignment="1">
      <alignment vertical="top"/>
    </xf>
    <xf numFmtId="9" fontId="0" fillId="0" borderId="5" xfId="3" applyFont="1" applyBorder="1" applyAlignment="1">
      <alignment vertical="top"/>
    </xf>
    <xf numFmtId="176" fontId="8" fillId="0" borderId="17" xfId="0" applyFont="1" applyBorder="1">
      <alignment vertical="top"/>
    </xf>
    <xf numFmtId="9" fontId="13" fillId="0" borderId="0" xfId="3" applyFont="1" applyAlignment="1">
      <alignment vertical="top"/>
    </xf>
    <xf numFmtId="207" fontId="13" fillId="0" borderId="0" xfId="0" applyNumberFormat="1" applyFont="1">
      <alignment vertical="top"/>
    </xf>
    <xf numFmtId="176" fontId="13" fillId="6" borderId="12" xfId="0" applyFont="1" applyFill="1" applyBorder="1">
      <alignment vertical="top"/>
    </xf>
    <xf numFmtId="176" fontId="13" fillId="6" borderId="14" xfId="0" applyFont="1" applyFill="1" applyBorder="1">
      <alignment vertical="top"/>
    </xf>
    <xf numFmtId="37" fontId="28" fillId="6" borderId="9" xfId="0" applyNumberFormat="1" applyFont="1" applyFill="1" applyBorder="1" applyAlignment="1"/>
    <xf numFmtId="37" fontId="13" fillId="6" borderId="10" xfId="0" applyNumberFormat="1" applyFont="1" applyFill="1" applyBorder="1">
      <alignment vertical="top"/>
    </xf>
    <xf numFmtId="37" fontId="13" fillId="6" borderId="5" xfId="0" applyNumberFormat="1" applyFont="1" applyFill="1" applyBorder="1">
      <alignment vertical="top"/>
    </xf>
    <xf numFmtId="176" fontId="8" fillId="8" borderId="0" xfId="0" applyFont="1" applyFill="1" applyBorder="1" applyAlignment="1">
      <alignment horizontal="center"/>
    </xf>
    <xf numFmtId="176" fontId="8" fillId="8" borderId="5" xfId="0" applyFont="1" applyFill="1" applyBorder="1" applyAlignment="1">
      <alignment horizontal="center"/>
    </xf>
    <xf numFmtId="176" fontId="8" fillId="7" borderId="0" xfId="0" applyFont="1" applyFill="1" applyBorder="1" applyAlignment="1">
      <alignment horizontal="center"/>
    </xf>
    <xf numFmtId="176" fontId="30" fillId="0" borderId="0" xfId="0" applyFont="1">
      <alignment vertical="top"/>
    </xf>
    <xf numFmtId="176" fontId="13" fillId="6" borderId="16" xfId="0" applyFont="1" applyFill="1" applyBorder="1">
      <alignment vertical="top"/>
    </xf>
    <xf numFmtId="176" fontId="31" fillId="0" borderId="24" xfId="0" applyFont="1" applyBorder="1" applyAlignment="1">
      <alignment horizontal="center" vertical="top"/>
    </xf>
    <xf numFmtId="176" fontId="31" fillId="0" borderId="25" xfId="0" applyFont="1" applyBorder="1" applyAlignment="1">
      <alignment horizontal="center" vertical="top"/>
    </xf>
    <xf numFmtId="177" fontId="31" fillId="0" borderId="25" xfId="1" applyFont="1" applyBorder="1" applyAlignment="1">
      <alignment horizontal="center" vertical="top"/>
    </xf>
    <xf numFmtId="177" fontId="31" fillId="0" borderId="26" xfId="1" applyFont="1" applyBorder="1" applyAlignment="1">
      <alignment horizontal="center" vertical="top"/>
    </xf>
    <xf numFmtId="176" fontId="32" fillId="0" borderId="27" xfId="0" applyFont="1" applyBorder="1" applyAlignment="1">
      <alignment horizontal="center" vertical="center"/>
    </xf>
    <xf numFmtId="176" fontId="32" fillId="0" borderId="4" xfId="0" applyFont="1" applyBorder="1" applyAlignment="1">
      <alignment horizontal="center" vertical="center"/>
    </xf>
    <xf numFmtId="176" fontId="31" fillId="0" borderId="4" xfId="0" applyFont="1" applyBorder="1" applyAlignment="1">
      <alignment horizontal="center" vertical="center"/>
    </xf>
    <xf numFmtId="177" fontId="32" fillId="0" borderId="4" xfId="1" applyFont="1" applyBorder="1" applyAlignment="1">
      <alignment horizontal="center" vertical="center"/>
    </xf>
    <xf numFmtId="177" fontId="32" fillId="0" borderId="17" xfId="1" applyFont="1" applyBorder="1" applyAlignment="1">
      <alignment horizontal="center" vertical="center"/>
    </xf>
    <xf numFmtId="176" fontId="33" fillId="0" borderId="4" xfId="0" applyFont="1" applyBorder="1" applyAlignment="1">
      <alignment horizontal="center" vertical="center"/>
    </xf>
    <xf numFmtId="176" fontId="32" fillId="0" borderId="17" xfId="0" applyFont="1" applyBorder="1" applyAlignment="1">
      <alignment horizontal="center" vertical="center"/>
    </xf>
    <xf numFmtId="176" fontId="32" fillId="9" borderId="27" xfId="0" applyFont="1" applyFill="1" applyBorder="1" applyAlignment="1">
      <alignment horizontal="center" vertical="center"/>
    </xf>
    <xf numFmtId="176" fontId="32" fillId="9" borderId="4" xfId="0" applyFont="1" applyFill="1" applyBorder="1" applyAlignment="1">
      <alignment horizontal="center" vertical="center"/>
    </xf>
    <xf numFmtId="177" fontId="32" fillId="9" borderId="4" xfId="1" applyFont="1" applyFill="1" applyBorder="1" applyAlignment="1">
      <alignment horizontal="center" vertical="center"/>
    </xf>
    <xf numFmtId="177" fontId="32" fillId="9" borderId="17" xfId="1" applyFont="1" applyFill="1" applyBorder="1" applyAlignment="1">
      <alignment horizontal="center" vertical="center"/>
    </xf>
    <xf numFmtId="176" fontId="31" fillId="9" borderId="27" xfId="0" applyFont="1" applyFill="1" applyBorder="1" applyAlignment="1">
      <alignment horizontal="center" vertical="center"/>
    </xf>
    <xf numFmtId="176" fontId="31" fillId="9" borderId="4" xfId="0" applyFont="1" applyFill="1" applyBorder="1" applyAlignment="1">
      <alignment horizontal="center" vertical="center"/>
    </xf>
    <xf numFmtId="177" fontId="31" fillId="9" borderId="4" xfId="1" applyFont="1" applyFill="1" applyBorder="1" applyAlignment="1">
      <alignment horizontal="center" vertical="center"/>
    </xf>
    <xf numFmtId="177" fontId="31" fillId="9" borderId="17" xfId="1" applyFont="1" applyFill="1" applyBorder="1" applyAlignment="1">
      <alignment horizontal="center" vertical="center"/>
    </xf>
    <xf numFmtId="176" fontId="32" fillId="0" borderId="28" xfId="0" applyFont="1" applyBorder="1" applyAlignment="1">
      <alignment horizontal="center" vertical="center"/>
    </xf>
    <xf numFmtId="176" fontId="32" fillId="0" borderId="11" xfId="0" applyFont="1" applyBorder="1" applyAlignment="1">
      <alignment horizontal="center" vertical="center"/>
    </xf>
    <xf numFmtId="177" fontId="32" fillId="0" borderId="11" xfId="1" applyFont="1" applyBorder="1" applyAlignment="1">
      <alignment horizontal="center" vertical="center"/>
    </xf>
    <xf numFmtId="177" fontId="32" fillId="0" borderId="7" xfId="1" applyFont="1" applyBorder="1" applyAlignment="1">
      <alignment horizontal="center" vertical="center"/>
    </xf>
    <xf numFmtId="176" fontId="31" fillId="0" borderId="29" xfId="0" applyFont="1" applyBorder="1" applyAlignment="1">
      <alignment horizontal="center" vertical="center"/>
    </xf>
    <xf numFmtId="176" fontId="31" fillId="0" borderId="30" xfId="0" applyFont="1" applyBorder="1" applyAlignment="1">
      <alignment horizontal="center" vertical="center"/>
    </xf>
    <xf numFmtId="177" fontId="31" fillId="0" borderId="31" xfId="1" applyFont="1" applyBorder="1" applyAlignment="1">
      <alignment horizontal="center" vertical="center"/>
    </xf>
    <xf numFmtId="176" fontId="34" fillId="10" borderId="32" xfId="0" applyFont="1" applyFill="1" applyBorder="1" applyAlignment="1"/>
    <xf numFmtId="176" fontId="35" fillId="10" borderId="33" xfId="0" applyFont="1" applyFill="1" applyBorder="1" applyAlignment="1">
      <alignment horizontal="center" vertical="top"/>
    </xf>
    <xf numFmtId="176" fontId="35" fillId="10" borderId="33" xfId="0" applyFont="1" applyFill="1" applyBorder="1" applyAlignment="1">
      <alignment horizontal="center" vertical="center"/>
    </xf>
    <xf numFmtId="176" fontId="35" fillId="10" borderId="33" xfId="0" applyFont="1" applyFill="1" applyBorder="1" applyAlignment="1">
      <alignment horizontal="left" vertical="top"/>
    </xf>
    <xf numFmtId="208" fontId="35" fillId="10" borderId="33" xfId="1" applyNumberFormat="1" applyFont="1" applyFill="1" applyBorder="1" applyAlignment="1">
      <alignment vertical="top"/>
    </xf>
    <xf numFmtId="176" fontId="34" fillId="10" borderId="20" xfId="0" applyFont="1" applyFill="1" applyBorder="1" applyAlignment="1"/>
    <xf numFmtId="176" fontId="36" fillId="0" borderId="1" xfId="0" applyFont="1" applyBorder="1" applyAlignment="1">
      <alignment horizontal="center" vertical="center"/>
    </xf>
    <xf numFmtId="176" fontId="37" fillId="0" borderId="34" xfId="0" applyFont="1" applyBorder="1" applyAlignment="1">
      <alignment horizontal="center" vertical="center"/>
    </xf>
    <xf numFmtId="176" fontId="37" fillId="0" borderId="35" xfId="0" applyFont="1" applyBorder="1" applyAlignment="1">
      <alignment horizontal="center" vertical="center"/>
    </xf>
    <xf numFmtId="176" fontId="38" fillId="10" borderId="20" xfId="0" applyFont="1" applyFill="1" applyBorder="1" applyAlignment="1"/>
    <xf numFmtId="176" fontId="36" fillId="10" borderId="33" xfId="0" applyFont="1" applyFill="1" applyBorder="1" applyAlignment="1">
      <alignment horizontal="center" vertical="center"/>
    </xf>
    <xf numFmtId="176" fontId="37" fillId="10" borderId="33" xfId="0" applyFont="1" applyFill="1" applyBorder="1" applyAlignment="1">
      <alignment horizontal="center" vertical="center"/>
    </xf>
    <xf numFmtId="208" fontId="37" fillId="10" borderId="33" xfId="0" applyNumberFormat="1" applyFont="1" applyFill="1" applyBorder="1" applyAlignment="1">
      <alignment horizontal="center" vertical="center"/>
    </xf>
    <xf numFmtId="176" fontId="37" fillId="10" borderId="0" xfId="0" applyFont="1" applyFill="1" applyAlignment="1">
      <alignment horizontal="right" vertical="center"/>
    </xf>
    <xf numFmtId="204" fontId="37" fillId="10" borderId="0" xfId="0" applyNumberFormat="1" applyFont="1" applyFill="1" applyAlignment="1">
      <alignment horizontal="left" vertical="center"/>
    </xf>
    <xf numFmtId="176" fontId="37" fillId="10" borderId="0" xfId="0" applyFont="1" applyFill="1" applyAlignment="1">
      <alignment horizontal="left" vertical="center"/>
    </xf>
    <xf numFmtId="176" fontId="36" fillId="10" borderId="5" xfId="0" applyFont="1" applyFill="1" applyBorder="1" applyAlignment="1">
      <alignment horizontal="center" vertical="center"/>
    </xf>
    <xf numFmtId="176" fontId="39" fillId="10" borderId="20" xfId="0" applyFont="1" applyFill="1" applyBorder="1" applyAlignment="1"/>
    <xf numFmtId="176" fontId="31" fillId="11" borderId="36" xfId="0" applyFont="1" applyFill="1" applyBorder="1" applyAlignment="1">
      <alignment horizontal="center" vertical="center"/>
    </xf>
    <xf numFmtId="208" fontId="31" fillId="11" borderId="36" xfId="1" applyNumberFormat="1" applyFont="1" applyFill="1" applyBorder="1" applyAlignment="1">
      <alignment horizontal="center" vertical="center"/>
    </xf>
    <xf numFmtId="176" fontId="40" fillId="10" borderId="20" xfId="0" applyFont="1" applyFill="1" applyBorder="1" applyAlignment="1">
      <alignment horizontal="center"/>
    </xf>
    <xf numFmtId="176" fontId="31" fillId="11" borderId="37" xfId="0" applyFont="1" applyFill="1" applyBorder="1" applyAlignment="1">
      <alignment horizontal="center" vertical="center"/>
    </xf>
    <xf numFmtId="208" fontId="31" fillId="11" borderId="37" xfId="1" applyNumberFormat="1" applyFont="1" applyFill="1" applyBorder="1" applyAlignment="1">
      <alignment horizontal="center" vertical="center"/>
    </xf>
    <xf numFmtId="176" fontId="39" fillId="10" borderId="20" xfId="0" applyFont="1" applyFill="1" applyBorder="1" applyAlignment="1">
      <alignment horizontal="center" vertical="center"/>
    </xf>
    <xf numFmtId="176" fontId="41" fillId="10" borderId="38" xfId="0" applyFont="1" applyFill="1" applyBorder="1" applyAlignment="1">
      <alignment vertical="center"/>
    </xf>
    <xf numFmtId="176" fontId="41" fillId="10" borderId="39" xfId="0" applyFont="1" applyFill="1" applyBorder="1" applyAlignment="1">
      <alignment vertical="center"/>
    </xf>
    <xf numFmtId="176" fontId="31" fillId="0" borderId="40" xfId="0" applyFont="1" applyBorder="1" applyAlignment="1">
      <alignment horizontal="left" vertical="center"/>
    </xf>
    <xf numFmtId="176" fontId="32" fillId="0" borderId="36" xfId="0" applyFont="1" applyBorder="1" applyAlignment="1">
      <alignment horizontal="center" vertical="center"/>
    </xf>
    <xf numFmtId="208" fontId="32" fillId="0" borderId="36" xfId="1" applyNumberFormat="1" applyFont="1" applyBorder="1" applyAlignment="1">
      <alignment horizontal="center" vertical="center"/>
    </xf>
    <xf numFmtId="176" fontId="41" fillId="10" borderId="38" xfId="0" applyFont="1" applyFill="1" applyBorder="1" applyAlignment="1">
      <alignment horizontal="center" vertical="center"/>
    </xf>
    <xf numFmtId="176" fontId="41" fillId="10" borderId="39" xfId="0" applyFont="1" applyFill="1" applyBorder="1" applyAlignment="1">
      <alignment horizontal="center" vertical="center"/>
    </xf>
    <xf numFmtId="176" fontId="31" fillId="0" borderId="40" xfId="0" applyFont="1" applyBorder="1" applyAlignment="1">
      <alignment horizontal="left" vertical="center" indent="1"/>
    </xf>
    <xf numFmtId="176" fontId="32" fillId="0" borderId="40" xfId="0" applyFont="1" applyBorder="1" applyAlignment="1">
      <alignment horizontal="center" vertical="center"/>
    </xf>
    <xf numFmtId="208" fontId="32" fillId="0" borderId="40" xfId="1" applyNumberFormat="1" applyFont="1" applyBorder="1" applyAlignment="1">
      <alignment horizontal="center" vertical="center"/>
    </xf>
    <xf numFmtId="176" fontId="42" fillId="10" borderId="38" xfId="0" applyFont="1" applyFill="1" applyBorder="1" applyAlignment="1">
      <alignment horizontal="center" vertical="center"/>
    </xf>
    <xf numFmtId="176" fontId="42" fillId="10" borderId="39" xfId="0" applyFont="1" applyFill="1" applyBorder="1" applyAlignment="1">
      <alignment horizontal="center" vertical="center"/>
    </xf>
    <xf numFmtId="176" fontId="32" fillId="0" borderId="40" xfId="0" applyFont="1" applyBorder="1" applyAlignment="1">
      <alignment horizontal="left" vertical="center" indent="3"/>
    </xf>
    <xf numFmtId="208" fontId="32" fillId="0" borderId="40" xfId="0" applyNumberFormat="1" applyFont="1" applyBorder="1" applyAlignment="1">
      <alignment horizontal="center" vertical="center"/>
    </xf>
    <xf numFmtId="176" fontId="32" fillId="10" borderId="40" xfId="0" applyFont="1" applyFill="1" applyBorder="1" applyAlignment="1">
      <alignment horizontal="center" vertical="center"/>
    </xf>
    <xf numFmtId="208" fontId="31" fillId="10" borderId="40" xfId="1" applyNumberFormat="1" applyFont="1" applyFill="1" applyBorder="1" applyAlignment="1">
      <alignment horizontal="center" vertical="center"/>
    </xf>
    <xf numFmtId="208" fontId="32" fillId="10" borderId="40" xfId="1" applyNumberFormat="1" applyFont="1" applyFill="1" applyBorder="1" applyAlignment="1">
      <alignment horizontal="center" vertical="center"/>
    </xf>
    <xf numFmtId="176" fontId="40" fillId="10" borderId="20" xfId="0" applyFont="1" applyFill="1" applyBorder="1" applyAlignment="1">
      <alignment horizontal="center" vertical="center"/>
    </xf>
    <xf numFmtId="176" fontId="31" fillId="10" borderId="40" xfId="0" applyFont="1" applyFill="1" applyBorder="1" applyAlignment="1">
      <alignment horizontal="center" vertical="center"/>
    </xf>
    <xf numFmtId="176" fontId="42" fillId="10" borderId="41" xfId="0" applyFont="1" applyFill="1" applyBorder="1" applyAlignment="1">
      <alignment horizontal="center" vertical="center"/>
    </xf>
    <xf numFmtId="176" fontId="42" fillId="10" borderId="42" xfId="0" applyFont="1" applyFill="1" applyBorder="1" applyAlignment="1">
      <alignment horizontal="center" vertical="center"/>
    </xf>
    <xf numFmtId="176" fontId="32" fillId="0" borderId="43" xfId="0" applyFont="1" applyBorder="1" applyAlignment="1">
      <alignment horizontal="left" vertical="center" indent="3"/>
    </xf>
    <xf numFmtId="176" fontId="32" fillId="10" borderId="37" xfId="0" applyFont="1" applyFill="1" applyBorder="1" applyAlignment="1">
      <alignment horizontal="center" vertical="center"/>
    </xf>
    <xf numFmtId="208" fontId="32" fillId="10" borderId="37" xfId="1" applyNumberFormat="1" applyFont="1" applyFill="1" applyBorder="1" applyAlignment="1">
      <alignment horizontal="center" vertical="center"/>
    </xf>
    <xf numFmtId="176" fontId="41" fillId="12" borderId="4" xfId="0" applyFont="1" applyFill="1" applyBorder="1" applyAlignment="1">
      <alignment horizontal="center" vertical="center"/>
    </xf>
    <xf numFmtId="208" fontId="31" fillId="12" borderId="4" xfId="0" applyNumberFormat="1" applyFont="1" applyFill="1" applyBorder="1" applyAlignment="1">
      <alignment vertical="center"/>
    </xf>
    <xf numFmtId="176" fontId="42" fillId="10" borderId="20" xfId="0" applyFont="1" applyFill="1" applyBorder="1" applyAlignment="1">
      <alignment horizontal="center" vertical="center"/>
    </xf>
    <xf numFmtId="176" fontId="41" fillId="10" borderId="0" xfId="0" applyFont="1" applyFill="1" applyAlignment="1">
      <alignment horizontal="center" vertical="center"/>
    </xf>
    <xf numFmtId="208" fontId="41" fillId="10" borderId="0" xfId="0" applyNumberFormat="1" applyFont="1" applyFill="1" applyAlignment="1">
      <alignment vertical="center"/>
    </xf>
    <xf numFmtId="176" fontId="39" fillId="10" borderId="44" xfId="0" applyFont="1" applyFill="1" applyBorder="1" applyAlignment="1"/>
    <xf numFmtId="176" fontId="42" fillId="10" borderId="45" xfId="0" applyFont="1" applyFill="1" applyBorder="1" applyAlignment="1"/>
    <xf numFmtId="176" fontId="42" fillId="10" borderId="45" xfId="0" applyFont="1" applyFill="1" applyBorder="1" applyAlignment="1">
      <alignment vertical="center"/>
    </xf>
    <xf numFmtId="176" fontId="39" fillId="10" borderId="45" xfId="0" applyFont="1" applyFill="1" applyBorder="1" applyAlignment="1">
      <alignment horizontal="center" vertical="center"/>
    </xf>
    <xf numFmtId="208" fontId="39" fillId="10" borderId="45" xfId="0" applyNumberFormat="1" applyFont="1" applyFill="1" applyBorder="1" applyAlignment="1"/>
    <xf numFmtId="176" fontId="43" fillId="10" borderId="0" xfId="0" applyFont="1" applyFill="1" applyAlignment="1"/>
    <xf numFmtId="176" fontId="44" fillId="0" borderId="0" xfId="0" applyFont="1" applyAlignment="1">
      <alignment horizontal="center" vertical="top"/>
    </xf>
    <xf numFmtId="176" fontId="44" fillId="0" borderId="0" xfId="0" applyFont="1" applyAlignment="1">
      <alignment horizontal="center" vertical="center"/>
    </xf>
    <xf numFmtId="176" fontId="44" fillId="0" borderId="0" xfId="0" applyFont="1" applyAlignment="1">
      <alignment horizontal="left" vertical="top"/>
    </xf>
    <xf numFmtId="208" fontId="44" fillId="0" borderId="0" xfId="1" applyNumberFormat="1" applyFont="1" applyAlignment="1">
      <alignment vertical="top"/>
    </xf>
    <xf numFmtId="208" fontId="45" fillId="0" borderId="0" xfId="1" applyNumberFormat="1" applyFont="1" applyAlignment="1">
      <alignment vertical="top"/>
    </xf>
    <xf numFmtId="176" fontId="45" fillId="0" borderId="0" xfId="0" applyFont="1" applyAlignment="1">
      <alignment horizontal="left" vertical="center"/>
    </xf>
    <xf numFmtId="176" fontId="34" fillId="10" borderId="0" xfId="0" applyFont="1" applyFill="1" applyAlignment="1"/>
    <xf numFmtId="176" fontId="35" fillId="0" borderId="0" xfId="0" applyFont="1" applyAlignment="1">
      <alignment horizontal="center" vertical="top"/>
    </xf>
    <xf numFmtId="176" fontId="35" fillId="0" borderId="0" xfId="0" applyFont="1" applyAlignment="1">
      <alignment horizontal="center" vertical="center"/>
    </xf>
    <xf numFmtId="176" fontId="35" fillId="0" borderId="0" xfId="0" applyFont="1" applyAlignment="1">
      <alignment horizontal="left" vertical="top"/>
    </xf>
    <xf numFmtId="208" fontId="35" fillId="0" borderId="0" xfId="1" applyNumberFormat="1" applyFont="1" applyAlignment="1">
      <alignment vertical="top"/>
    </xf>
    <xf numFmtId="177" fontId="35" fillId="10" borderId="33" xfId="1" applyFont="1" applyFill="1" applyBorder="1" applyAlignment="1">
      <alignment vertical="top"/>
    </xf>
    <xf numFmtId="10" fontId="35" fillId="10" borderId="33" xfId="3" applyNumberFormat="1" applyFont="1" applyFill="1" applyBorder="1" applyAlignment="1">
      <alignment horizontal="center" vertical="center"/>
    </xf>
    <xf numFmtId="176" fontId="35" fillId="10" borderId="33" xfId="0" applyFont="1" applyFill="1" applyBorder="1" applyAlignment="1"/>
    <xf numFmtId="176" fontId="37" fillId="10" borderId="0" xfId="0" applyFont="1" applyFill="1" applyAlignment="1">
      <alignment horizontal="center" vertical="center"/>
    </xf>
    <xf numFmtId="177" fontId="31" fillId="11" borderId="36" xfId="1" applyFont="1" applyFill="1" applyBorder="1" applyAlignment="1">
      <alignment horizontal="center" vertical="center"/>
    </xf>
    <xf numFmtId="10" fontId="31" fillId="11" borderId="36" xfId="3" applyNumberFormat="1" applyFont="1" applyFill="1" applyBorder="1" applyAlignment="1">
      <alignment horizontal="center" vertical="center"/>
    </xf>
    <xf numFmtId="206" fontId="37" fillId="11" borderId="17" xfId="3" applyNumberFormat="1" applyFont="1" applyFill="1" applyBorder="1" applyAlignment="1">
      <alignment horizontal="center" vertical="center"/>
    </xf>
    <xf numFmtId="206" fontId="37" fillId="11" borderId="19" xfId="3" applyNumberFormat="1" applyFont="1" applyFill="1" applyBorder="1" applyAlignment="1">
      <alignment horizontal="center" vertical="center"/>
    </xf>
    <xf numFmtId="206" fontId="37" fillId="11" borderId="18" xfId="3" applyNumberFormat="1" applyFont="1" applyFill="1" applyBorder="1" applyAlignment="1">
      <alignment horizontal="center" vertical="center"/>
    </xf>
    <xf numFmtId="177" fontId="31" fillId="11" borderId="37" xfId="1" applyFont="1" applyFill="1" applyBorder="1" applyAlignment="1">
      <alignment horizontal="center" vertical="center"/>
    </xf>
    <xf numFmtId="10" fontId="31" fillId="11" borderId="37" xfId="3" applyNumberFormat="1" applyFont="1" applyFill="1" applyBorder="1" applyAlignment="1">
      <alignment horizontal="center" vertical="center"/>
    </xf>
    <xf numFmtId="10" fontId="37" fillId="11" borderId="4" xfId="3" applyNumberFormat="1" applyFont="1" applyFill="1" applyBorder="1" applyAlignment="1">
      <alignment horizontal="center" vertical="center"/>
    </xf>
    <xf numFmtId="206" fontId="37" fillId="11" borderId="4" xfId="3" applyNumberFormat="1" applyFont="1" applyFill="1" applyBorder="1" applyAlignment="1">
      <alignment horizontal="center" vertical="center"/>
    </xf>
    <xf numFmtId="176" fontId="37" fillId="11" borderId="4" xfId="0" applyFont="1" applyFill="1" applyBorder="1" applyAlignment="1">
      <alignment horizontal="center" vertical="center"/>
    </xf>
    <xf numFmtId="177" fontId="32" fillId="0" borderId="36" xfId="1" applyFont="1" applyBorder="1" applyAlignment="1">
      <alignment horizontal="center" vertical="center"/>
    </xf>
    <xf numFmtId="10" fontId="32" fillId="0" borderId="36" xfId="3" applyNumberFormat="1" applyFont="1" applyBorder="1" applyAlignment="1">
      <alignment horizontal="center" vertical="center"/>
    </xf>
    <xf numFmtId="10" fontId="45" fillId="0" borderId="36" xfId="3" applyNumberFormat="1" applyFont="1" applyFill="1" applyBorder="1" applyAlignment="1">
      <alignment horizontal="center" vertical="center"/>
    </xf>
    <xf numFmtId="209" fontId="45" fillId="0" borderId="36" xfId="3" applyNumberFormat="1" applyFont="1" applyFill="1" applyBorder="1" applyAlignment="1">
      <alignment vertical="center"/>
    </xf>
    <xf numFmtId="177" fontId="31" fillId="0" borderId="40" xfId="1" applyFont="1" applyBorder="1" applyAlignment="1">
      <alignment horizontal="center" vertical="center"/>
    </xf>
    <xf numFmtId="10" fontId="32" fillId="0" borderId="40" xfId="3" applyNumberFormat="1" applyFont="1" applyBorder="1" applyAlignment="1">
      <alignment horizontal="center" vertical="center"/>
    </xf>
    <xf numFmtId="10" fontId="45" fillId="0" borderId="40" xfId="3" applyNumberFormat="1" applyFont="1" applyFill="1" applyBorder="1" applyAlignment="1">
      <alignment horizontal="center" vertical="center"/>
    </xf>
    <xf numFmtId="10" fontId="44" fillId="0" borderId="40" xfId="3" applyNumberFormat="1" applyFont="1" applyFill="1" applyBorder="1" applyAlignment="1">
      <alignment horizontal="center" vertical="center"/>
    </xf>
    <xf numFmtId="209" fontId="45" fillId="0" borderId="40" xfId="1" applyNumberFormat="1" applyFont="1" applyBorder="1" applyAlignment="1">
      <alignment vertical="center"/>
    </xf>
    <xf numFmtId="10" fontId="45" fillId="0" borderId="40" xfId="3" applyNumberFormat="1" applyFont="1" applyBorder="1" applyAlignment="1">
      <alignment horizontal="center" vertical="center"/>
    </xf>
    <xf numFmtId="177" fontId="32" fillId="0" borderId="40" xfId="1" applyFont="1" applyBorder="1" applyAlignment="1">
      <alignment horizontal="center" vertical="center"/>
    </xf>
    <xf numFmtId="209" fontId="44" fillId="0" borderId="40" xfId="1" applyNumberFormat="1" applyFont="1" applyBorder="1" applyAlignment="1">
      <alignment vertical="center"/>
    </xf>
    <xf numFmtId="10" fontId="44" fillId="0" borderId="40" xfId="3" applyNumberFormat="1" applyFont="1" applyBorder="1" applyAlignment="1">
      <alignment horizontal="center" vertical="center"/>
    </xf>
    <xf numFmtId="10" fontId="44" fillId="0" borderId="40" xfId="3" applyNumberFormat="1" applyFont="1" applyFill="1" applyBorder="1" applyAlignment="1">
      <alignment vertical="center"/>
    </xf>
    <xf numFmtId="10" fontId="44" fillId="0" borderId="46" xfId="3" applyNumberFormat="1" applyFont="1" applyFill="1" applyBorder="1" applyAlignment="1">
      <alignment vertical="center"/>
    </xf>
    <xf numFmtId="10" fontId="44" fillId="0" borderId="46" xfId="3" applyNumberFormat="1" applyFont="1" applyFill="1" applyBorder="1" applyAlignment="1">
      <alignment horizontal="center" vertical="center"/>
    </xf>
    <xf numFmtId="10" fontId="31" fillId="0" borderId="40" xfId="3" applyNumberFormat="1" applyFont="1" applyBorder="1" applyAlignment="1">
      <alignment horizontal="center" vertical="center"/>
    </xf>
    <xf numFmtId="209" fontId="45" fillId="0" borderId="46" xfId="1" applyNumberFormat="1" applyFont="1" applyBorder="1" applyAlignment="1">
      <alignment vertical="center"/>
    </xf>
    <xf numFmtId="10" fontId="45" fillId="0" borderId="46" xfId="3" applyNumberFormat="1" applyFont="1" applyBorder="1" applyAlignment="1">
      <alignment horizontal="center" vertical="center"/>
    </xf>
    <xf numFmtId="177" fontId="31" fillId="10" borderId="40" xfId="1" applyFont="1" applyFill="1" applyBorder="1" applyAlignment="1">
      <alignment horizontal="center" vertical="center"/>
    </xf>
    <xf numFmtId="10" fontId="45" fillId="0" borderId="46" xfId="3" applyNumberFormat="1" applyFont="1" applyFill="1" applyBorder="1" applyAlignment="1">
      <alignment horizontal="center" vertical="center"/>
    </xf>
    <xf numFmtId="10" fontId="31" fillId="10" borderId="46" xfId="3" applyNumberFormat="1" applyFont="1" applyFill="1" applyBorder="1" applyAlignment="1">
      <alignment horizontal="center" vertical="center"/>
    </xf>
    <xf numFmtId="177" fontId="32" fillId="10" borderId="40" xfId="1" applyFont="1" applyFill="1" applyBorder="1" applyAlignment="1">
      <alignment horizontal="center" vertical="center"/>
    </xf>
    <xf numFmtId="10" fontId="45" fillId="0" borderId="40" xfId="3" applyNumberFormat="1" applyFont="1" applyFill="1" applyBorder="1" applyAlignment="1">
      <alignment vertical="center"/>
    </xf>
    <xf numFmtId="177" fontId="32" fillId="10" borderId="37" xfId="1" applyFont="1" applyFill="1" applyBorder="1" applyAlignment="1">
      <alignment horizontal="center" vertical="center"/>
    </xf>
    <xf numFmtId="10" fontId="32" fillId="0" borderId="37" xfId="3" applyNumberFormat="1" applyFont="1" applyBorder="1" applyAlignment="1">
      <alignment horizontal="center" vertical="center"/>
    </xf>
    <xf numFmtId="176" fontId="32" fillId="0" borderId="15" xfId="0" applyFont="1" applyBorder="1" applyAlignment="1">
      <alignment horizontal="center" vertical="center"/>
    </xf>
    <xf numFmtId="10" fontId="32" fillId="0" borderId="15" xfId="3" applyNumberFormat="1" applyFont="1" applyBorder="1" applyAlignment="1">
      <alignment horizontal="center" vertical="center"/>
    </xf>
    <xf numFmtId="177" fontId="31" fillId="12" borderId="4" xfId="1" applyFont="1" applyFill="1" applyBorder="1" applyAlignment="1">
      <alignment horizontal="center" vertical="center"/>
    </xf>
    <xf numFmtId="10" fontId="31" fillId="12" borderId="4" xfId="3" applyNumberFormat="1" applyFont="1" applyFill="1" applyBorder="1" applyAlignment="1">
      <alignment horizontal="center" vertical="center"/>
    </xf>
    <xf numFmtId="176" fontId="32" fillId="12" borderId="4" xfId="0" applyFont="1" applyFill="1" applyBorder="1" applyAlignment="1">
      <alignment horizontal="center" vertical="center"/>
    </xf>
    <xf numFmtId="209" fontId="45" fillId="12" borderId="4" xfId="1" applyNumberFormat="1" applyFont="1" applyFill="1" applyBorder="1" applyAlignment="1">
      <alignment vertical="center"/>
    </xf>
    <xf numFmtId="10" fontId="45" fillId="12" borderId="4" xfId="3" applyNumberFormat="1" applyFont="1" applyFill="1" applyBorder="1" applyAlignment="1">
      <alignment horizontal="center" vertical="center"/>
    </xf>
    <xf numFmtId="209" fontId="45" fillId="13" borderId="4" xfId="1" applyNumberFormat="1" applyFont="1" applyFill="1" applyBorder="1" applyAlignment="1">
      <alignment vertical="center"/>
    </xf>
    <xf numFmtId="177" fontId="41" fillId="10" borderId="0" xfId="1" applyFont="1" applyFill="1" applyBorder="1" applyAlignment="1">
      <alignment horizontal="center" vertical="center"/>
    </xf>
    <xf numFmtId="10" fontId="41" fillId="10" borderId="0" xfId="3" applyNumberFormat="1" applyFont="1" applyFill="1" applyBorder="1" applyAlignment="1">
      <alignment horizontal="center" vertical="center"/>
    </xf>
    <xf numFmtId="176" fontId="42" fillId="10" borderId="0" xfId="0" applyFont="1" applyFill="1" applyAlignment="1">
      <alignment horizontal="center" vertical="center"/>
    </xf>
    <xf numFmtId="209" fontId="46" fillId="10" borderId="0" xfId="1" applyNumberFormat="1" applyFont="1" applyFill="1" applyBorder="1" applyAlignment="1">
      <alignment vertical="center"/>
    </xf>
    <xf numFmtId="177" fontId="41" fillId="13" borderId="0" xfId="1" applyFont="1" applyFill="1" applyBorder="1" applyAlignment="1">
      <alignment horizontal="center" vertical="center"/>
    </xf>
    <xf numFmtId="184" fontId="40" fillId="10" borderId="45" xfId="0" applyNumberFormat="1" applyFont="1" applyFill="1" applyBorder="1" applyAlignment="1"/>
    <xf numFmtId="176" fontId="39" fillId="10" borderId="45" xfId="0" applyFont="1" applyFill="1" applyBorder="1" applyAlignment="1"/>
    <xf numFmtId="176" fontId="32" fillId="10" borderId="45" xfId="0" applyFont="1" applyFill="1" applyBorder="1" applyAlignment="1"/>
    <xf numFmtId="177" fontId="44" fillId="0" borderId="0" xfId="1" applyFont="1" applyAlignment="1">
      <alignment vertical="top"/>
    </xf>
    <xf numFmtId="10" fontId="44" fillId="0" borderId="0" xfId="3" applyNumberFormat="1" applyFont="1" applyAlignment="1">
      <alignment horizontal="center" vertical="center"/>
    </xf>
    <xf numFmtId="176" fontId="44" fillId="0" borderId="0" xfId="0" applyFont="1" applyAlignment="1"/>
    <xf numFmtId="177" fontId="47" fillId="0" borderId="0" xfId="1" applyFont="1" applyAlignment="1">
      <alignment vertical="top"/>
    </xf>
    <xf numFmtId="177" fontId="44" fillId="0" borderId="0" xfId="0" applyNumberFormat="1" applyFont="1" applyAlignment="1"/>
    <xf numFmtId="10" fontId="47" fillId="0" borderId="0" xfId="3" applyNumberFormat="1" applyFont="1" applyAlignment="1">
      <alignment vertical="top"/>
    </xf>
    <xf numFmtId="177" fontId="35" fillId="0" borderId="0" xfId="1" applyFont="1" applyAlignment="1">
      <alignment vertical="top"/>
    </xf>
    <xf numFmtId="10" fontId="35" fillId="0" borderId="0" xfId="3" applyNumberFormat="1" applyFont="1" applyAlignment="1">
      <alignment horizontal="center" vertical="center"/>
    </xf>
    <xf numFmtId="176" fontId="35" fillId="0" borderId="0" xfId="0" applyFont="1" applyAlignment="1"/>
    <xf numFmtId="176" fontId="37" fillId="0" borderId="47" xfId="0" applyFont="1" applyBorder="1" applyAlignment="1">
      <alignment horizontal="center" vertical="center"/>
    </xf>
    <xf numFmtId="176" fontId="35" fillId="0" borderId="32" xfId="0" applyFont="1" applyBorder="1" applyAlignment="1">
      <alignment horizontal="center"/>
    </xf>
    <xf numFmtId="176" fontId="35" fillId="0" borderId="33" xfId="0" applyFont="1" applyBorder="1" applyAlignment="1">
      <alignment horizontal="center"/>
    </xf>
    <xf numFmtId="176" fontId="35" fillId="0" borderId="48" xfId="0" applyFont="1" applyBorder="1" applyAlignment="1">
      <alignment horizontal="center"/>
    </xf>
    <xf numFmtId="176" fontId="35" fillId="0" borderId="44" xfId="0" applyFont="1" applyBorder="1" applyAlignment="1">
      <alignment horizontal="center"/>
    </xf>
    <xf numFmtId="176" fontId="35" fillId="0" borderId="45" xfId="0" applyFont="1" applyBorder="1" applyAlignment="1">
      <alignment horizontal="center"/>
    </xf>
    <xf numFmtId="176" fontId="35" fillId="0" borderId="49" xfId="0" applyFont="1" applyBorder="1" applyAlignment="1">
      <alignment horizontal="center"/>
    </xf>
    <xf numFmtId="176" fontId="35" fillId="10" borderId="33" xfId="0" applyFont="1" applyFill="1" applyBorder="1" applyAlignment="1">
      <alignment horizontal="center"/>
    </xf>
    <xf numFmtId="176" fontId="35" fillId="10" borderId="0" xfId="0" applyFont="1" applyFill="1" applyAlignment="1">
      <alignment horizontal="center"/>
    </xf>
    <xf numFmtId="206" fontId="37" fillId="11" borderId="11" xfId="3" applyNumberFormat="1" applyFont="1" applyFill="1" applyBorder="1" applyAlignment="1">
      <alignment horizontal="center" vertical="center"/>
    </xf>
    <xf numFmtId="206" fontId="37" fillId="11" borderId="15" xfId="3" applyNumberFormat="1" applyFont="1" applyFill="1" applyBorder="1" applyAlignment="1">
      <alignment horizontal="center" vertical="center"/>
    </xf>
    <xf numFmtId="206" fontId="37" fillId="11" borderId="4" xfId="3" applyNumberFormat="1" applyFont="1" applyFill="1" applyBorder="1" applyAlignment="1">
      <alignment horizontal="center" vertical="center" wrapText="1"/>
    </xf>
    <xf numFmtId="10" fontId="44" fillId="0" borderId="46" xfId="3" applyNumberFormat="1" applyFont="1" applyBorder="1" applyAlignment="1">
      <alignment horizontal="center" vertical="center"/>
    </xf>
    <xf numFmtId="209" fontId="44" fillId="0" borderId="40" xfId="3" applyNumberFormat="1" applyFont="1" applyFill="1" applyBorder="1" applyAlignment="1">
      <alignment vertical="center"/>
    </xf>
    <xf numFmtId="209" fontId="44" fillId="0" borderId="46" xfId="3" applyNumberFormat="1" applyFont="1" applyFill="1" applyBorder="1" applyAlignment="1">
      <alignment vertical="center"/>
    </xf>
    <xf numFmtId="10" fontId="45" fillId="13" borderId="46" xfId="3" applyNumberFormat="1" applyFont="1" applyFill="1" applyBorder="1" applyAlignment="1">
      <alignment horizontal="center" vertical="center"/>
    </xf>
    <xf numFmtId="209" fontId="44" fillId="0" borderId="46" xfId="1" applyNumberFormat="1" applyFont="1" applyBorder="1" applyAlignment="1">
      <alignment vertical="center"/>
    </xf>
    <xf numFmtId="177" fontId="31" fillId="10" borderId="46" xfId="1" applyFont="1" applyFill="1" applyBorder="1" applyAlignment="1">
      <alignment horizontal="center" vertical="center"/>
    </xf>
    <xf numFmtId="10" fontId="45" fillId="13" borderId="40" xfId="3" applyNumberFormat="1" applyFont="1" applyFill="1" applyBorder="1" applyAlignment="1">
      <alignment horizontal="center" vertical="center"/>
    </xf>
    <xf numFmtId="209" fontId="44" fillId="0" borderId="0" xfId="0" applyNumberFormat="1" applyFont="1" applyAlignment="1"/>
    <xf numFmtId="176" fontId="35" fillId="10" borderId="48" xfId="0" applyFont="1" applyFill="1" applyBorder="1" applyAlignment="1"/>
    <xf numFmtId="176" fontId="35" fillId="10" borderId="21" xfId="0" applyFont="1" applyFill="1" applyBorder="1" applyAlignment="1"/>
    <xf numFmtId="176" fontId="32" fillId="10" borderId="21" xfId="0" applyFont="1" applyFill="1" applyBorder="1" applyAlignment="1"/>
    <xf numFmtId="176" fontId="32" fillId="0" borderId="0" xfId="0" applyFont="1" applyAlignment="1"/>
    <xf numFmtId="176" fontId="31" fillId="10" borderId="21" xfId="0" applyFont="1" applyFill="1" applyBorder="1" applyAlignment="1">
      <alignment horizontal="center"/>
    </xf>
    <xf numFmtId="176" fontId="31" fillId="0" borderId="0" xfId="0" applyFont="1" applyAlignment="1">
      <alignment horizontal="center"/>
    </xf>
    <xf numFmtId="176" fontId="32" fillId="10" borderId="21" xfId="0" applyFont="1" applyFill="1" applyBorder="1" applyAlignment="1">
      <alignment horizontal="center" vertical="center"/>
    </xf>
    <xf numFmtId="176" fontId="32" fillId="0" borderId="0" xfId="0" applyFont="1" applyAlignment="1">
      <alignment horizontal="center" vertical="center"/>
    </xf>
    <xf numFmtId="10" fontId="32" fillId="0" borderId="0" xfId="0" applyNumberFormat="1" applyFont="1" applyAlignment="1">
      <alignment horizontal="center" vertical="center"/>
    </xf>
    <xf numFmtId="209" fontId="32" fillId="0" borderId="0" xfId="0" applyNumberFormat="1" applyFont="1" applyAlignment="1">
      <alignment horizontal="center" vertical="center"/>
    </xf>
    <xf numFmtId="176" fontId="31" fillId="10" borderId="21" xfId="0" applyFont="1" applyFill="1" applyBorder="1" applyAlignment="1">
      <alignment horizontal="center" vertical="center"/>
    </xf>
    <xf numFmtId="176" fontId="31" fillId="0" borderId="0" xfId="0" applyFont="1" applyAlignment="1">
      <alignment horizontal="center" vertical="center"/>
    </xf>
    <xf numFmtId="176" fontId="31" fillId="0" borderId="0" xfId="0" applyFont="1" applyAlignment="1">
      <alignment vertical="center"/>
    </xf>
    <xf numFmtId="176" fontId="42" fillId="10" borderId="21" xfId="0" applyFont="1" applyFill="1" applyBorder="1" applyAlignment="1">
      <alignment horizontal="center" vertical="center"/>
    </xf>
    <xf numFmtId="209" fontId="42" fillId="10" borderId="0" xfId="0" applyNumberFormat="1" applyFont="1" applyFill="1" applyAlignment="1">
      <alignment horizontal="center" vertical="center"/>
    </xf>
    <xf numFmtId="176" fontId="32" fillId="10" borderId="49" xfId="0" applyFont="1" applyFill="1" applyBorder="1" applyAlignment="1"/>
    <xf numFmtId="209" fontId="46" fillId="13" borderId="0" xfId="1" applyNumberFormat="1" applyFont="1" applyFill="1" applyBorder="1" applyAlignment="1">
      <alignment vertical="center"/>
    </xf>
    <xf numFmtId="209" fontId="31" fillId="13" borderId="0" xfId="0" applyNumberFormat="1" applyFont="1" applyFill="1" applyAlignment="1">
      <alignment horizontal="center" vertical="center"/>
    </xf>
    <xf numFmtId="198" fontId="48" fillId="0" borderId="0" xfId="0" applyNumberFormat="1" applyFont="1" applyAlignment="1">
      <alignment horizontal="center"/>
    </xf>
    <xf numFmtId="37" fontId="48" fillId="0" borderId="0" xfId="0" applyNumberFormat="1" applyFont="1" applyAlignment="1"/>
    <xf numFmtId="37" fontId="49" fillId="0" borderId="0" xfId="0" applyNumberFormat="1" applyFont="1" applyAlignment="1"/>
    <xf numFmtId="39" fontId="48" fillId="0" borderId="0" xfId="0" applyNumberFormat="1" applyFont="1" applyAlignment="1"/>
    <xf numFmtId="37" fontId="48" fillId="0" borderId="0" xfId="0" applyNumberFormat="1" applyFont="1" applyBorder="1" applyAlignment="1"/>
    <xf numFmtId="37" fontId="50" fillId="14" borderId="7" xfId="0" applyNumberFormat="1" applyFont="1" applyFill="1" applyBorder="1" applyAlignment="1">
      <alignment horizontal="center"/>
    </xf>
    <xf numFmtId="37" fontId="50" fillId="14" borderId="8" xfId="0" applyNumberFormat="1" applyFont="1" applyFill="1" applyBorder="1" applyAlignment="1">
      <alignment horizontal="center"/>
    </xf>
    <xf numFmtId="37" fontId="50" fillId="14" borderId="12" xfId="0" applyNumberFormat="1" applyFont="1" applyFill="1" applyBorder="1" applyAlignment="1">
      <alignment horizontal="center"/>
    </xf>
    <xf numFmtId="37" fontId="50" fillId="14" borderId="4" xfId="0" applyNumberFormat="1" applyFont="1" applyFill="1" applyBorder="1" applyAlignment="1">
      <alignment horizontal="center"/>
    </xf>
    <xf numFmtId="37" fontId="51" fillId="14" borderId="4" xfId="0" applyNumberFormat="1" applyFont="1" applyFill="1" applyBorder="1" applyAlignment="1">
      <alignment horizontal="center"/>
    </xf>
    <xf numFmtId="176" fontId="0" fillId="14" borderId="4" xfId="0" applyFill="1" applyBorder="1" applyAlignment="1">
      <alignment horizontal="center" vertical="top"/>
    </xf>
    <xf numFmtId="176" fontId="7" fillId="14" borderId="13" xfId="0" applyFont="1" applyFill="1" applyBorder="1">
      <alignment vertical="top"/>
    </xf>
    <xf numFmtId="198" fontId="0" fillId="14" borderId="10" xfId="0" applyNumberFormat="1" applyFill="1" applyBorder="1" applyAlignment="1">
      <alignment horizontal="center" vertical="top"/>
    </xf>
    <xf numFmtId="198" fontId="0" fillId="14" borderId="5" xfId="0" applyNumberFormat="1" applyFill="1" applyBorder="1" applyAlignment="1">
      <alignment horizontal="center" vertical="top"/>
    </xf>
    <xf numFmtId="198" fontId="0" fillId="14" borderId="16" xfId="0" applyNumberFormat="1" applyFill="1" applyBorder="1" applyAlignment="1">
      <alignment horizontal="center" vertical="top"/>
    </xf>
    <xf numFmtId="198" fontId="0" fillId="14" borderId="4" xfId="0" applyNumberFormat="1" applyFill="1" applyBorder="1" applyAlignment="1">
      <alignment horizontal="center" vertical="top"/>
    </xf>
    <xf numFmtId="37" fontId="48" fillId="0" borderId="7" xfId="0" applyNumberFormat="1" applyFont="1" applyBorder="1" applyAlignment="1"/>
    <xf numFmtId="37" fontId="50" fillId="0" borderId="13" xfId="0" applyNumberFormat="1" applyFont="1" applyBorder="1" applyAlignment="1">
      <alignment horizontal="center"/>
    </xf>
    <xf numFmtId="37" fontId="48" fillId="0" borderId="13" xfId="0" applyNumberFormat="1" applyFont="1" applyBorder="1" applyAlignment="1">
      <alignment horizontal="center"/>
    </xf>
    <xf numFmtId="37" fontId="48" fillId="0" borderId="9" xfId="0" applyNumberFormat="1" applyFont="1" applyBorder="1" applyAlignment="1"/>
    <xf numFmtId="202" fontId="48" fillId="0" borderId="13" xfId="1" applyNumberFormat="1" applyFont="1" applyBorder="1"/>
    <xf numFmtId="177" fontId="48" fillId="0" borderId="13" xfId="1" applyFont="1" applyBorder="1"/>
    <xf numFmtId="176" fontId="0" fillId="0" borderId="17" xfId="0" applyBorder="1">
      <alignment vertical="top"/>
    </xf>
    <xf numFmtId="37" fontId="50" fillId="0" borderId="19" xfId="0" applyNumberFormat="1" applyFont="1" applyBorder="1" applyAlignment="1"/>
    <xf numFmtId="37" fontId="48" fillId="0" borderId="19" xfId="0" applyNumberFormat="1" applyFont="1" applyBorder="1" applyAlignment="1"/>
    <xf numFmtId="202" fontId="50" fillId="0" borderId="17" xfId="1" applyNumberFormat="1" applyFont="1" applyBorder="1"/>
    <xf numFmtId="37" fontId="48" fillId="0" borderId="8" xfId="0" applyNumberFormat="1" applyFont="1" applyBorder="1" applyAlignment="1"/>
    <xf numFmtId="37" fontId="48" fillId="0" borderId="10" xfId="0" applyNumberFormat="1" applyFont="1" applyBorder="1" applyAlignment="1"/>
    <xf numFmtId="37" fontId="48" fillId="0" borderId="5" xfId="0" applyNumberFormat="1" applyFont="1" applyBorder="1" applyAlignment="1"/>
    <xf numFmtId="37" fontId="50" fillId="0" borderId="15" xfId="0" applyNumberFormat="1" applyFont="1" applyBorder="1" applyAlignment="1">
      <alignment horizontal="center"/>
    </xf>
    <xf numFmtId="37" fontId="50" fillId="0" borderId="0" xfId="0" applyNumberFormat="1" applyFont="1" applyAlignment="1">
      <alignment horizontal="center"/>
    </xf>
    <xf numFmtId="37" fontId="48" fillId="0" borderId="0" xfId="0" applyNumberFormat="1" applyFont="1" applyAlignment="1">
      <alignment horizontal="center"/>
    </xf>
    <xf numFmtId="37" fontId="50" fillId="0" borderId="0" xfId="0" applyNumberFormat="1" applyFont="1" applyAlignment="1"/>
    <xf numFmtId="176" fontId="27" fillId="15" borderId="0" xfId="0" applyFont="1" applyFill="1" applyBorder="1" applyAlignment="1">
      <alignment horizontal="left"/>
    </xf>
    <xf numFmtId="176" fontId="0" fillId="15" borderId="0" xfId="0" applyFill="1" applyBorder="1" applyAlignment="1"/>
    <xf numFmtId="0" fontId="7" fillId="15" borderId="0" xfId="0" applyNumberFormat="1" applyFont="1" applyFill="1" applyBorder="1" applyAlignment="1">
      <alignment horizontal="center"/>
    </xf>
    <xf numFmtId="176" fontId="0" fillId="15" borderId="0" xfId="0" applyFont="1" applyFill="1" applyBorder="1" applyAlignment="1"/>
    <xf numFmtId="176" fontId="7" fillId="15" borderId="0" xfId="0" applyFont="1" applyFill="1" applyBorder="1" applyAlignment="1"/>
    <xf numFmtId="176" fontId="0" fillId="15" borderId="5" xfId="0" applyFill="1" applyBorder="1" applyAlignment="1"/>
    <xf numFmtId="210" fontId="0" fillId="15" borderId="0" xfId="3" applyNumberFormat="1" applyFont="1" applyFill="1" applyBorder="1" applyAlignment="1"/>
    <xf numFmtId="176" fontId="0" fillId="15" borderId="45" xfId="0" applyFill="1" applyBorder="1" applyAlignment="1"/>
    <xf numFmtId="205" fontId="8" fillId="15" borderId="1" xfId="0" applyNumberFormat="1" applyFont="1" applyFill="1" applyBorder="1" applyAlignment="1">
      <alignment horizontal="center"/>
    </xf>
    <xf numFmtId="176" fontId="8" fillId="15" borderId="0" xfId="0" applyFont="1" applyFill="1" applyBorder="1" applyAlignment="1">
      <alignment horizontal="left"/>
    </xf>
    <xf numFmtId="176" fontId="0" fillId="15" borderId="1" xfId="0" applyFill="1" applyBorder="1" applyAlignment="1">
      <alignment horizontal="center"/>
    </xf>
    <xf numFmtId="176" fontId="0" fillId="15" borderId="0" xfId="0" applyFill="1" applyBorder="1" applyAlignment="1">
      <alignment horizontal="center"/>
    </xf>
    <xf numFmtId="37" fontId="28" fillId="8" borderId="0" xfId="0" applyNumberFormat="1" applyFont="1" applyFill="1" applyBorder="1" applyAlignment="1"/>
    <xf numFmtId="37" fontId="13" fillId="8" borderId="0" xfId="0" applyNumberFormat="1" applyFont="1" applyFill="1" applyBorder="1">
      <alignment vertical="top"/>
    </xf>
    <xf numFmtId="37" fontId="48" fillId="0" borderId="13" xfId="0" applyNumberFormat="1" applyFont="1" applyBorder="1" applyAlignment="1"/>
    <xf numFmtId="37" fontId="51" fillId="0" borderId="13" xfId="0" applyNumberFormat="1" applyFont="1" applyBorder="1" applyAlignment="1">
      <alignment horizontal="center"/>
    </xf>
    <xf numFmtId="41" fontId="48" fillId="0" borderId="13" xfId="4" applyFont="1" applyBorder="1" applyAlignment="1"/>
    <xf numFmtId="37" fontId="51" fillId="0" borderId="13" xfId="0" applyNumberFormat="1" applyFont="1" applyBorder="1" applyAlignment="1"/>
    <xf numFmtId="202" fontId="48" fillId="0" borderId="13" xfId="158" applyNumberFormat="1" applyFont="1" applyBorder="1"/>
    <xf numFmtId="37" fontId="48" fillId="0" borderId="15" xfId="0" applyNumberFormat="1" applyFont="1" applyBorder="1" applyAlignment="1"/>
    <xf numFmtId="37" fontId="51" fillId="0" borderId="15" xfId="0" applyNumberFormat="1" applyFont="1" applyBorder="1" applyAlignment="1">
      <alignment horizontal="center"/>
    </xf>
    <xf numFmtId="37" fontId="52" fillId="0" borderId="0" xfId="0" applyNumberFormat="1" applyFont="1" applyAlignment="1">
      <alignment horizontal="left"/>
    </xf>
    <xf numFmtId="202" fontId="0" fillId="0" borderId="0" xfId="158" applyNumberFormat="1" applyFont="1"/>
    <xf numFmtId="39" fontId="49" fillId="0" borderId="0" xfId="0" applyNumberFormat="1" applyFont="1" applyAlignment="1"/>
    <xf numFmtId="204" fontId="48" fillId="0" borderId="0" xfId="0" applyNumberFormat="1" applyFont="1" applyAlignment="1"/>
    <xf numFmtId="176" fontId="53" fillId="15" borderId="0" xfId="0" applyFont="1" applyFill="1" applyBorder="1" applyAlignment="1"/>
    <xf numFmtId="176" fontId="13" fillId="8" borderId="0" xfId="0" applyFont="1" applyFill="1" applyBorder="1" applyAlignment="1"/>
    <xf numFmtId="176" fontId="13" fillId="8" borderId="0" xfId="0" applyFont="1" applyFill="1" applyAlignment="1"/>
    <xf numFmtId="176" fontId="53" fillId="8" borderId="0" xfId="0" applyFont="1" applyFill="1" applyAlignment="1"/>
    <xf numFmtId="37" fontId="53" fillId="8" borderId="0" xfId="0" applyNumberFormat="1" applyFont="1" applyFill="1" applyBorder="1">
      <alignment vertical="top"/>
    </xf>
    <xf numFmtId="176" fontId="8" fillId="15" borderId="0" xfId="0" applyFont="1" applyFill="1" applyBorder="1" applyAlignment="1">
      <alignment horizontal="center"/>
    </xf>
    <xf numFmtId="176" fontId="0" fillId="3" borderId="11" xfId="0" applyFill="1" applyBorder="1">
      <alignment vertical="top"/>
    </xf>
    <xf numFmtId="176" fontId="0" fillId="3" borderId="7" xfId="0" applyFill="1" applyBorder="1">
      <alignment vertical="top"/>
    </xf>
    <xf numFmtId="176" fontId="0" fillId="3" borderId="13" xfId="0" applyFill="1" applyBorder="1">
      <alignment vertical="top"/>
    </xf>
    <xf numFmtId="176" fontId="0" fillId="3" borderId="15" xfId="0" applyFill="1" applyBorder="1">
      <alignment vertical="top"/>
    </xf>
    <xf numFmtId="198" fontId="0" fillId="3" borderId="10" xfId="0" applyNumberFormat="1" applyFill="1" applyBorder="1" applyAlignment="1">
      <alignment horizontal="center" vertical="top"/>
    </xf>
    <xf numFmtId="176" fontId="0" fillId="3" borderId="16" xfId="0" applyFill="1" applyBorder="1">
      <alignment vertical="top"/>
    </xf>
    <xf numFmtId="176" fontId="0" fillId="14" borderId="4" xfId="0" applyFill="1" applyBorder="1">
      <alignment vertical="top"/>
    </xf>
    <xf numFmtId="9" fontId="48" fillId="0" borderId="13" xfId="0" applyNumberFormat="1" applyFont="1" applyBorder="1" applyAlignment="1"/>
    <xf numFmtId="186" fontId="48" fillId="0" borderId="13" xfId="1" applyNumberFormat="1" applyFont="1" applyBorder="1"/>
    <xf numFmtId="9" fontId="0" fillId="0" borderId="13" xfId="3" applyFont="1" applyBorder="1" applyAlignment="1">
      <alignment vertical="top"/>
    </xf>
    <xf numFmtId="177" fontId="48" fillId="0" borderId="13" xfId="1" applyFont="1" applyBorder="1" applyAlignment="1"/>
    <xf numFmtId="186" fontId="48" fillId="0" borderId="13" xfId="1" applyNumberFormat="1" applyFont="1" applyBorder="1" applyAlignment="1"/>
    <xf numFmtId="9" fontId="48" fillId="0" borderId="13" xfId="3" applyFont="1" applyBorder="1" applyAlignment="1"/>
    <xf numFmtId="186" fontId="50" fillId="0" borderId="17" xfId="1" applyNumberFormat="1" applyFont="1" applyBorder="1"/>
    <xf numFmtId="9" fontId="50" fillId="0" borderId="4" xfId="3" applyFont="1" applyBorder="1"/>
    <xf numFmtId="9" fontId="48" fillId="0" borderId="15" xfId="0" applyNumberFormat="1" applyFont="1" applyBorder="1" applyAlignment="1"/>
    <xf numFmtId="9" fontId="13" fillId="8" borderId="0" xfId="3" applyFont="1" applyFill="1" applyBorder="1"/>
    <xf numFmtId="39" fontId="54" fillId="0" borderId="0" xfId="0" applyNumberFormat="1" applyFont="1" applyAlignment="1"/>
    <xf numFmtId="176" fontId="55" fillId="16" borderId="7" xfId="0" applyFont="1" applyFill="1" applyBorder="1" applyAlignment="1">
      <alignment horizontal="left"/>
    </xf>
    <xf numFmtId="176" fontId="0" fillId="16" borderId="8" xfId="0" applyFont="1" applyFill="1" applyBorder="1" applyAlignment="1"/>
    <xf numFmtId="176" fontId="0" fillId="16" borderId="12" xfId="0" applyFont="1" applyFill="1" applyBorder="1" applyAlignment="1"/>
    <xf numFmtId="37" fontId="48" fillId="16" borderId="7" xfId="0" applyNumberFormat="1" applyFont="1" applyFill="1" applyBorder="1" applyAlignment="1"/>
    <xf numFmtId="37" fontId="48" fillId="16" borderId="8" xfId="0" applyNumberFormat="1" applyFont="1" applyFill="1" applyBorder="1" applyAlignment="1"/>
    <xf numFmtId="176" fontId="7" fillId="16" borderId="10" xfId="0" applyFont="1" applyFill="1" applyBorder="1" applyAlignment="1">
      <alignment horizontal="centerContinuous" wrapText="1"/>
    </xf>
    <xf numFmtId="176" fontId="7" fillId="16" borderId="5" xfId="0" applyFont="1" applyFill="1" applyBorder="1" applyAlignment="1">
      <alignment horizontal="centerContinuous" wrapText="1"/>
    </xf>
    <xf numFmtId="176" fontId="7" fillId="16" borderId="5" xfId="0" applyFont="1" applyFill="1" applyBorder="1" applyAlignment="1">
      <alignment horizontal="left" wrapText="1"/>
    </xf>
    <xf numFmtId="37" fontId="48" fillId="16" borderId="5" xfId="0" applyNumberFormat="1" applyFont="1" applyFill="1" applyBorder="1" applyAlignment="1"/>
    <xf numFmtId="202" fontId="7" fillId="16" borderId="9" xfId="1" applyNumberFormat="1" applyFont="1" applyFill="1" applyBorder="1" applyAlignment="1">
      <alignment horizontal="left"/>
    </xf>
    <xf numFmtId="202" fontId="7" fillId="16" borderId="0" xfId="1" applyNumberFormat="1" applyFont="1" applyFill="1"/>
    <xf numFmtId="202" fontId="0" fillId="16" borderId="8" xfId="1" applyNumberFormat="1" applyFont="1" applyFill="1" applyBorder="1"/>
    <xf numFmtId="37" fontId="48" fillId="16" borderId="0" xfId="0" applyNumberFormat="1" applyFont="1" applyFill="1" applyBorder="1" applyAlignment="1"/>
    <xf numFmtId="202" fontId="0" fillId="16" borderId="10" xfId="1" applyNumberFormat="1" applyFont="1" applyFill="1" applyBorder="1"/>
    <xf numFmtId="202" fontId="0" fillId="16" borderId="5" xfId="1" applyNumberFormat="1" applyFont="1" applyFill="1" applyBorder="1"/>
    <xf numFmtId="202" fontId="0" fillId="16" borderId="9" xfId="1" applyNumberFormat="1" applyFont="1" applyFill="1" applyBorder="1"/>
    <xf numFmtId="202" fontId="0" fillId="16" borderId="0" xfId="1" applyNumberFormat="1" applyFont="1" applyFill="1"/>
    <xf numFmtId="202" fontId="0" fillId="16" borderId="0" xfId="1" applyNumberFormat="1" applyFont="1" applyFill="1" applyBorder="1"/>
    <xf numFmtId="202" fontId="7" fillId="16" borderId="10" xfId="1" applyNumberFormat="1" applyFont="1" applyFill="1" applyBorder="1"/>
    <xf numFmtId="202" fontId="7" fillId="16" borderId="5" xfId="1" applyNumberFormat="1" applyFont="1" applyFill="1" applyBorder="1"/>
    <xf numFmtId="176" fontId="7" fillId="17" borderId="50" xfId="0" applyFont="1" applyFill="1" applyBorder="1" applyAlignment="1">
      <alignment horizontal="center"/>
    </xf>
    <xf numFmtId="176" fontId="7" fillId="17" borderId="51" xfId="0" applyFont="1" applyFill="1" applyBorder="1" applyAlignment="1">
      <alignment horizontal="center"/>
    </xf>
    <xf numFmtId="3" fontId="7" fillId="17" borderId="51" xfId="0" applyNumberFormat="1" applyFont="1" applyFill="1" applyBorder="1" applyAlignment="1">
      <alignment horizontal="center"/>
    </xf>
    <xf numFmtId="4" fontId="7" fillId="17" borderId="51" xfId="0" applyNumberFormat="1" applyFont="1" applyFill="1" applyBorder="1" applyAlignment="1">
      <alignment horizontal="center"/>
    </xf>
    <xf numFmtId="176" fontId="7" fillId="17" borderId="52" xfId="0" applyFont="1" applyFill="1" applyBorder="1" applyAlignment="1">
      <alignment horizontal="center"/>
    </xf>
    <xf numFmtId="176" fontId="7" fillId="17" borderId="53" xfId="0" applyFont="1" applyFill="1" applyBorder="1" applyAlignment="1">
      <alignment horizontal="center"/>
    </xf>
    <xf numFmtId="3" fontId="7" fillId="17" borderId="53" xfId="0" applyNumberFormat="1" applyFont="1" applyFill="1" applyBorder="1" applyAlignment="1">
      <alignment horizontal="center"/>
    </xf>
    <xf numFmtId="4" fontId="7" fillId="17" borderId="53" xfId="0" applyNumberFormat="1" applyFont="1" applyFill="1" applyBorder="1" applyAlignment="1">
      <alignment horizontal="center"/>
    </xf>
    <xf numFmtId="176" fontId="56" fillId="0" borderId="4" xfId="0" applyFont="1" applyBorder="1" applyAlignment="1"/>
    <xf numFmtId="204" fontId="0" fillId="0" borderId="4" xfId="0" applyNumberFormat="1" applyBorder="1">
      <alignment vertical="top"/>
    </xf>
    <xf numFmtId="4" fontId="56" fillId="0" borderId="4" xfId="374" applyFont="1" applyBorder="1" applyAlignment="1"/>
    <xf numFmtId="207" fontId="0" fillId="0" borderId="4" xfId="0" applyNumberFormat="1" applyBorder="1">
      <alignment vertical="top"/>
    </xf>
    <xf numFmtId="0" fontId="57" fillId="0" borderId="8" xfId="270" applyFont="1" applyBorder="1" applyAlignment="1"/>
    <xf numFmtId="176" fontId="58" fillId="0" borderId="0" xfId="0" applyFont="1" applyAlignment="1"/>
    <xf numFmtId="176" fontId="7" fillId="18" borderId="54" xfId="0" applyFont="1" applyFill="1" applyBorder="1" applyAlignment="1">
      <alignment horizontal="center"/>
    </xf>
    <xf numFmtId="176" fontId="7" fillId="18" borderId="55" xfId="0" applyFont="1" applyFill="1" applyBorder="1" applyAlignment="1">
      <alignment horizontal="center"/>
    </xf>
    <xf numFmtId="3" fontId="7" fillId="18" borderId="55" xfId="0" applyNumberFormat="1" applyFont="1" applyFill="1" applyBorder="1" applyAlignment="1">
      <alignment horizontal="center"/>
    </xf>
    <xf numFmtId="4" fontId="7" fillId="18" borderId="55" xfId="0" applyNumberFormat="1" applyFont="1" applyFill="1" applyBorder="1" applyAlignment="1">
      <alignment horizontal="center"/>
    </xf>
    <xf numFmtId="176" fontId="7" fillId="18" borderId="56" xfId="0" applyFont="1" applyFill="1" applyBorder="1" applyAlignment="1">
      <alignment horizontal="center"/>
    </xf>
    <xf numFmtId="176" fontId="7" fillId="18" borderId="57" xfId="0" applyFont="1" applyFill="1" applyBorder="1" applyAlignment="1">
      <alignment horizontal="center"/>
    </xf>
    <xf numFmtId="3" fontId="7" fillId="18" borderId="57" xfId="0" applyNumberFormat="1" applyFont="1" applyFill="1" applyBorder="1" applyAlignment="1">
      <alignment horizontal="center"/>
    </xf>
    <xf numFmtId="4" fontId="7" fillId="18" borderId="57" xfId="0" applyNumberFormat="1" applyFont="1" applyFill="1" applyBorder="1" applyAlignment="1">
      <alignment horizontal="center"/>
    </xf>
    <xf numFmtId="37" fontId="48" fillId="16" borderId="12" xfId="0" applyNumberFormat="1" applyFont="1" applyFill="1" applyBorder="1" applyAlignment="1"/>
    <xf numFmtId="176" fontId="0" fillId="16" borderId="7" xfId="0" applyFont="1" applyFill="1" applyBorder="1" applyAlignment="1">
      <alignment horizontal="center"/>
    </xf>
    <xf numFmtId="176" fontId="0" fillId="16" borderId="11" xfId="0" applyFont="1" applyFill="1" applyBorder="1" applyAlignment="1"/>
    <xf numFmtId="37" fontId="48" fillId="16" borderId="16" xfId="0" applyNumberFormat="1" applyFont="1" applyFill="1" applyBorder="1" applyAlignment="1"/>
    <xf numFmtId="176" fontId="0" fillId="16" borderId="16" xfId="0" applyFill="1" applyBorder="1" applyAlignment="1">
      <alignment vertical="center"/>
    </xf>
    <xf numFmtId="204" fontId="0" fillId="16" borderId="10" xfId="0" applyNumberFormat="1" applyFont="1" applyFill="1" applyBorder="1" applyAlignment="1">
      <alignment horizontal="center" vertical="center"/>
    </xf>
    <xf numFmtId="176" fontId="55" fillId="16" borderId="15" xfId="0" applyFont="1" applyFill="1" applyBorder="1" applyAlignment="1">
      <alignment horizontal="center" vertical="center"/>
    </xf>
    <xf numFmtId="37" fontId="48" fillId="16" borderId="14" xfId="0" applyNumberFormat="1" applyFont="1" applyFill="1" applyBorder="1" applyAlignment="1"/>
    <xf numFmtId="202" fontId="0" fillId="16" borderId="13" xfId="1" applyNumberFormat="1" applyFont="1" applyFill="1" applyBorder="1" applyAlignment="1">
      <alignment horizontal="center"/>
    </xf>
    <xf numFmtId="202" fontId="0" fillId="16" borderId="14" xfId="1" applyNumberFormat="1" applyFont="1" applyFill="1" applyBorder="1"/>
    <xf numFmtId="176" fontId="13" fillId="16" borderId="14" xfId="0" applyFont="1" applyFill="1" applyBorder="1">
      <alignment vertical="top"/>
    </xf>
    <xf numFmtId="176" fontId="13" fillId="16" borderId="15" xfId="0" applyFont="1" applyFill="1" applyBorder="1" applyAlignment="1">
      <alignment horizontal="center" vertical="top"/>
    </xf>
    <xf numFmtId="176" fontId="13" fillId="16" borderId="16" xfId="0" applyFont="1" applyFill="1" applyBorder="1" applyAlignment="1">
      <alignment horizontal="center" vertical="top"/>
    </xf>
    <xf numFmtId="202" fontId="0" fillId="16" borderId="12" xfId="1" applyNumberFormat="1" applyFont="1" applyFill="1" applyBorder="1"/>
    <xf numFmtId="202" fontId="0" fillId="16" borderId="11" xfId="1" applyNumberFormat="1" applyFont="1" applyFill="1" applyBorder="1"/>
    <xf numFmtId="198" fontId="0" fillId="16" borderId="13" xfId="271" applyNumberFormat="1" applyFont="1" applyFill="1" applyBorder="1" applyAlignment="1">
      <alignment horizontal="center"/>
    </xf>
    <xf numFmtId="4" fontId="7" fillId="17" borderId="58" xfId="0" applyNumberFormat="1" applyFont="1" applyFill="1" applyBorder="1" applyAlignment="1">
      <alignment horizontal="center"/>
    </xf>
    <xf numFmtId="4" fontId="7" fillId="17" borderId="59" xfId="0" applyNumberFormat="1" applyFont="1" applyFill="1" applyBorder="1" applyAlignment="1">
      <alignment horizontal="center"/>
    </xf>
    <xf numFmtId="176" fontId="0" fillId="0" borderId="4" xfId="0" applyBorder="1" applyAlignment="1">
      <alignment horizontal="center" vertical="top"/>
    </xf>
    <xf numFmtId="41" fontId="56" fillId="0" borderId="4" xfId="123" applyFont="1" applyBorder="1" applyAlignment="1">
      <alignment horizontal="right" vertical="top" wrapText="1"/>
    </xf>
    <xf numFmtId="41" fontId="0" fillId="0" borderId="0" xfId="4" applyFont="1" applyAlignment="1">
      <alignment vertical="top"/>
    </xf>
    <xf numFmtId="4" fontId="7" fillId="18" borderId="60" xfId="0" applyNumberFormat="1" applyFont="1" applyFill="1" applyBorder="1" applyAlignment="1">
      <alignment horizontal="center"/>
    </xf>
    <xf numFmtId="4" fontId="7" fillId="18" borderId="58" xfId="0" applyNumberFormat="1" applyFont="1" applyFill="1" applyBorder="1" applyAlignment="1">
      <alignment horizontal="center"/>
    </xf>
    <xf numFmtId="4" fontId="7" fillId="18" borderId="61" xfId="0" applyNumberFormat="1" applyFont="1" applyFill="1" applyBorder="1" applyAlignment="1">
      <alignment horizontal="center"/>
    </xf>
    <xf numFmtId="4" fontId="7" fillId="18" borderId="59" xfId="0" applyNumberFormat="1" applyFont="1" applyFill="1" applyBorder="1" applyAlignment="1">
      <alignment horizontal="center"/>
    </xf>
    <xf numFmtId="9" fontId="0" fillId="0" borderId="0" xfId="3" applyFont="1" applyAlignment="1">
      <alignment vertical="top"/>
    </xf>
    <xf numFmtId="176" fontId="6" fillId="0" borderId="0" xfId="0" applyFont="1" applyAlignment="1">
      <alignment horizontal="center" vertical="top"/>
    </xf>
    <xf numFmtId="176" fontId="7" fillId="8" borderId="7" xfId="0" applyFont="1" applyFill="1" applyBorder="1" applyAlignment="1">
      <alignment horizontal="left"/>
    </xf>
    <xf numFmtId="176" fontId="0" fillId="8" borderId="8" xfId="0" applyFont="1" applyFill="1" applyBorder="1" applyAlignment="1"/>
    <xf numFmtId="176" fontId="0" fillId="8" borderId="12" xfId="0" applyFont="1" applyFill="1" applyBorder="1" applyAlignment="1"/>
    <xf numFmtId="37" fontId="48" fillId="8" borderId="0" xfId="0" applyNumberFormat="1" applyFont="1" applyFill="1" applyAlignment="1"/>
    <xf numFmtId="37" fontId="48" fillId="8" borderId="14" xfId="0" applyNumberFormat="1" applyFont="1" applyFill="1" applyBorder="1" applyAlignment="1"/>
    <xf numFmtId="176" fontId="0" fillId="19" borderId="8" xfId="0" applyFont="1" applyFill="1" applyBorder="1" applyAlignment="1"/>
    <xf numFmtId="176" fontId="7" fillId="8" borderId="10" xfId="0" applyFont="1" applyFill="1" applyBorder="1" applyAlignment="1">
      <alignment horizontal="centerContinuous" wrapText="1"/>
    </xf>
    <xf numFmtId="176" fontId="7" fillId="8" borderId="5" xfId="0" applyFont="1" applyFill="1" applyBorder="1" applyAlignment="1">
      <alignment horizontal="centerContinuous" wrapText="1"/>
    </xf>
    <xf numFmtId="176" fontId="7" fillId="8" borderId="16" xfId="0" applyFont="1" applyFill="1" applyBorder="1" applyAlignment="1">
      <alignment horizontal="left" wrapText="1"/>
    </xf>
    <xf numFmtId="37" fontId="48" fillId="8" borderId="10" xfId="0" applyNumberFormat="1" applyFont="1" applyFill="1" applyBorder="1" applyAlignment="1"/>
    <xf numFmtId="37" fontId="48" fillId="8" borderId="5" xfId="0" applyNumberFormat="1" applyFont="1" applyFill="1" applyBorder="1" applyAlignment="1"/>
    <xf numFmtId="37" fontId="48" fillId="8" borderId="16" xfId="0" applyNumberFormat="1" applyFont="1" applyFill="1" applyBorder="1" applyAlignment="1"/>
    <xf numFmtId="176" fontId="0" fillId="19" borderId="16" xfId="0" applyFill="1" applyBorder="1" applyAlignment="1">
      <alignment vertical="center"/>
    </xf>
    <xf numFmtId="202" fontId="7" fillId="8" borderId="9" xfId="1" applyNumberFormat="1" applyFont="1" applyFill="1" applyBorder="1" applyAlignment="1">
      <alignment horizontal="left"/>
    </xf>
    <xf numFmtId="202" fontId="7" fillId="8" borderId="0" xfId="1" applyNumberFormat="1" applyFont="1" applyFill="1"/>
    <xf numFmtId="202" fontId="7" fillId="8" borderId="14" xfId="1" applyNumberFormat="1" applyFont="1" applyFill="1" applyBorder="1"/>
    <xf numFmtId="202" fontId="0" fillId="19" borderId="0" xfId="1" applyNumberFormat="1" applyFont="1" applyFill="1"/>
    <xf numFmtId="202" fontId="0" fillId="8" borderId="10" xfId="1" applyNumberFormat="1" applyFont="1" applyFill="1" applyBorder="1"/>
    <xf numFmtId="202" fontId="0" fillId="8" borderId="5" xfId="1" applyNumberFormat="1" applyFont="1" applyFill="1" applyBorder="1"/>
    <xf numFmtId="202" fontId="0" fillId="8" borderId="16" xfId="1" applyNumberFormat="1" applyFont="1" applyFill="1" applyBorder="1"/>
    <xf numFmtId="176" fontId="13" fillId="19" borderId="14" xfId="0" applyFont="1" applyFill="1" applyBorder="1">
      <alignment vertical="top"/>
    </xf>
    <xf numFmtId="202" fontId="0" fillId="8" borderId="9" xfId="1" applyNumberFormat="1" applyFont="1" applyFill="1" applyBorder="1"/>
    <xf numFmtId="202" fontId="0" fillId="8" borderId="0" xfId="1" applyNumberFormat="1" applyFont="1" applyFill="1"/>
    <xf numFmtId="202" fontId="0" fillId="8" borderId="14" xfId="1" applyNumberFormat="1" applyFont="1" applyFill="1" applyBorder="1"/>
    <xf numFmtId="202" fontId="0" fillId="19" borderId="12" xfId="1" applyNumberFormat="1" applyFont="1" applyFill="1" applyBorder="1"/>
    <xf numFmtId="202" fontId="7" fillId="8" borderId="10" xfId="1" applyNumberFormat="1" applyFont="1" applyFill="1" applyBorder="1"/>
    <xf numFmtId="202" fontId="7" fillId="8" borderId="5" xfId="1" applyNumberFormat="1" applyFont="1" applyFill="1" applyBorder="1"/>
    <xf numFmtId="202" fontId="0" fillId="19" borderId="5" xfId="1" applyNumberFormat="1" applyFont="1" applyFill="1" applyBorder="1"/>
    <xf numFmtId="176" fontId="7" fillId="0" borderId="4" xfId="0" applyFont="1" applyBorder="1">
      <alignment vertical="top"/>
    </xf>
    <xf numFmtId="176" fontId="7" fillId="0" borderId="17" xfId="0" applyFont="1" applyBorder="1">
      <alignment vertical="top"/>
    </xf>
    <xf numFmtId="176" fontId="7" fillId="0" borderId="19" xfId="0" applyFont="1" applyBorder="1">
      <alignment vertical="top"/>
    </xf>
    <xf numFmtId="176" fontId="7" fillId="0" borderId="18" xfId="0" applyFont="1" applyBorder="1">
      <alignment vertical="top"/>
    </xf>
    <xf numFmtId="0" fontId="13" fillId="0" borderId="4" xfId="258" applyFont="1" applyBorder="1" applyAlignment="1">
      <alignment horizontal="center"/>
    </xf>
    <xf numFmtId="204" fontId="13" fillId="0" borderId="4" xfId="258" applyNumberFormat="1" applyFont="1" applyBorder="1" applyAlignment="1">
      <alignment horizontal="center"/>
    </xf>
    <xf numFmtId="0" fontId="13" fillId="0" borderId="17" xfId="258" applyFont="1" applyBorder="1"/>
    <xf numFmtId="176" fontId="6" fillId="0" borderId="19" xfId="0" applyFont="1" applyBorder="1" applyAlignment="1">
      <alignment horizontal="center" vertical="top"/>
    </xf>
    <xf numFmtId="176" fontId="0" fillId="0" borderId="19" xfId="0" applyBorder="1">
      <alignment vertical="top"/>
    </xf>
    <xf numFmtId="176" fontId="0" fillId="0" borderId="9" xfId="0" applyBorder="1" applyAlignment="1"/>
    <xf numFmtId="176" fontId="59" fillId="0" borderId="0" xfId="0" applyFont="1">
      <alignment vertical="top"/>
    </xf>
    <xf numFmtId="176" fontId="0" fillId="19" borderId="7" xfId="0" applyFont="1" applyFill="1" applyBorder="1" applyAlignment="1">
      <alignment horizontal="center"/>
    </xf>
    <xf numFmtId="176" fontId="0" fillId="19" borderId="11" xfId="0" applyFont="1" applyFill="1" applyBorder="1" applyAlignment="1"/>
    <xf numFmtId="204" fontId="0" fillId="19" borderId="10" xfId="0" applyNumberFormat="1" applyFont="1" applyFill="1" applyBorder="1" applyAlignment="1">
      <alignment horizontal="center" vertical="center"/>
    </xf>
    <xf numFmtId="176" fontId="55" fillId="19" borderId="15" xfId="0" applyFont="1" applyFill="1" applyBorder="1" applyAlignment="1">
      <alignment horizontal="center" vertical="center"/>
    </xf>
    <xf numFmtId="202" fontId="0" fillId="19" borderId="13" xfId="1" applyNumberFormat="1" applyFont="1" applyFill="1" applyBorder="1" applyAlignment="1">
      <alignment horizontal="center"/>
    </xf>
    <xf numFmtId="202" fontId="0" fillId="19" borderId="14" xfId="1" applyNumberFormat="1" applyFont="1" applyFill="1" applyBorder="1"/>
    <xf numFmtId="176" fontId="13" fillId="19" borderId="15" xfId="0" applyFont="1" applyFill="1" applyBorder="1" applyAlignment="1">
      <alignment horizontal="center" vertical="top"/>
    </xf>
    <xf numFmtId="176" fontId="13" fillId="19" borderId="16" xfId="0" applyFont="1" applyFill="1" applyBorder="1" applyAlignment="1">
      <alignment horizontal="center" vertical="top"/>
    </xf>
    <xf numFmtId="202" fontId="0" fillId="19" borderId="9" xfId="1" applyNumberFormat="1" applyFont="1" applyFill="1" applyBorder="1"/>
    <xf numFmtId="202" fontId="0" fillId="19" borderId="11" xfId="1" applyNumberFormat="1" applyFont="1" applyFill="1" applyBorder="1"/>
    <xf numFmtId="202" fontId="0" fillId="19" borderId="10" xfId="1" applyNumberFormat="1" applyFont="1" applyFill="1" applyBorder="1"/>
    <xf numFmtId="198" fontId="0" fillId="19" borderId="15" xfId="271" applyNumberFormat="1" applyFont="1" applyFill="1" applyBorder="1" applyAlignment="1">
      <alignment horizontal="center"/>
    </xf>
    <xf numFmtId="41" fontId="13" fillId="13" borderId="18" xfId="84" applyFont="1" applyFill="1" applyBorder="1" applyAlignment="1">
      <alignment horizontal="center"/>
    </xf>
    <xf numFmtId="41" fontId="13" fillId="13" borderId="4" xfId="84" applyFont="1" applyFill="1" applyBorder="1" applyAlignment="1"/>
    <xf numFmtId="41" fontId="13" fillId="13" borderId="4" xfId="84" applyFont="1" applyFill="1" applyBorder="1" applyAlignment="1">
      <alignment horizontal="center"/>
    </xf>
    <xf numFmtId="176" fontId="6" fillId="0" borderId="0" xfId="0" applyFont="1" applyBorder="1" applyAlignment="1">
      <alignment horizontal="center" vertical="top"/>
    </xf>
    <xf numFmtId="176" fontId="6" fillId="0" borderId="0" xfId="0" applyFont="1">
      <alignment vertical="top"/>
    </xf>
    <xf numFmtId="0" fontId="37" fillId="0" borderId="0" xfId="258" applyFont="1"/>
    <xf numFmtId="0" fontId="13" fillId="0" borderId="0" xfId="258" applyAlignment="1">
      <alignment horizontal="center"/>
    </xf>
    <xf numFmtId="0" fontId="13" fillId="0" borderId="0" xfId="258"/>
    <xf numFmtId="204" fontId="13" fillId="0" borderId="0" xfId="258" applyNumberFormat="1"/>
    <xf numFmtId="41" fontId="0" fillId="0" borderId="0" xfId="84" applyFont="1"/>
    <xf numFmtId="38" fontId="0" fillId="0" borderId="0" xfId="84" applyNumberFormat="1" applyFont="1"/>
    <xf numFmtId="38" fontId="60" fillId="0" borderId="0" xfId="84" applyNumberFormat="1" applyFont="1"/>
    <xf numFmtId="41" fontId="0" fillId="0" borderId="0" xfId="84" applyFont="1" applyFill="1"/>
    <xf numFmtId="0" fontId="13" fillId="0" borderId="0" xfId="258" applyAlignment="1">
      <alignment horizontal="left"/>
    </xf>
    <xf numFmtId="0" fontId="37" fillId="0" borderId="0" xfId="258" applyFont="1" applyAlignment="1">
      <alignment horizontal="center"/>
    </xf>
    <xf numFmtId="198" fontId="37" fillId="0" borderId="0" xfId="258" applyNumberFormat="1" applyFont="1"/>
    <xf numFmtId="204" fontId="37" fillId="0" borderId="0" xfId="258" applyNumberFormat="1" applyFont="1"/>
    <xf numFmtId="41" fontId="37" fillId="0" borderId="0" xfId="84" applyFont="1"/>
    <xf numFmtId="0" fontId="61" fillId="6" borderId="11" xfId="258" applyFont="1" applyFill="1" applyBorder="1" applyAlignment="1">
      <alignment horizontal="center"/>
    </xf>
    <xf numFmtId="0" fontId="61" fillId="6" borderId="4" xfId="258" applyFont="1" applyFill="1" applyBorder="1" applyAlignment="1">
      <alignment horizontal="center"/>
    </xf>
    <xf numFmtId="41" fontId="61" fillId="6" borderId="4" xfId="84" applyFont="1" applyFill="1" applyBorder="1" applyAlignment="1">
      <alignment horizontal="center"/>
    </xf>
    <xf numFmtId="0" fontId="61" fillId="6" borderId="15" xfId="258" applyFont="1" applyFill="1" applyBorder="1" applyAlignment="1">
      <alignment horizontal="center"/>
    </xf>
    <xf numFmtId="204" fontId="61" fillId="6" borderId="11" xfId="258" applyNumberFormat="1" applyFont="1" applyFill="1" applyBorder="1" applyAlignment="1">
      <alignment horizontal="center"/>
    </xf>
    <xf numFmtId="41" fontId="61" fillId="6" borderId="11" xfId="84" applyFont="1" applyFill="1" applyBorder="1" applyAlignment="1">
      <alignment horizontal="center"/>
    </xf>
    <xf numFmtId="0" fontId="13" fillId="0" borderId="19" xfId="258" applyBorder="1" applyAlignment="1">
      <alignment horizontal="center"/>
    </xf>
    <xf numFmtId="204" fontId="13" fillId="0" borderId="19" xfId="258" applyNumberFormat="1" applyBorder="1" applyAlignment="1">
      <alignment horizontal="center"/>
    </xf>
    <xf numFmtId="41" fontId="0" fillId="0" borderId="19" xfId="84" applyFont="1" applyBorder="1" applyAlignment="1">
      <alignment horizontal="center"/>
    </xf>
    <xf numFmtId="0" fontId="13" fillId="20" borderId="10" xfId="258" applyFill="1" applyBorder="1" applyAlignment="1">
      <alignment horizontal="left"/>
    </xf>
    <xf numFmtId="0" fontId="13" fillId="20" borderId="15" xfId="258" applyFill="1" applyBorder="1" applyAlignment="1">
      <alignment horizontal="center"/>
    </xf>
    <xf numFmtId="204" fontId="13" fillId="20" borderId="15" xfId="258" applyNumberFormat="1" applyFill="1" applyBorder="1" applyAlignment="1">
      <alignment horizontal="center"/>
    </xf>
    <xf numFmtId="0" fontId="61" fillId="20" borderId="5" xfId="258" applyFont="1" applyFill="1" applyBorder="1" applyAlignment="1">
      <alignment horizontal="center"/>
    </xf>
    <xf numFmtId="0" fontId="13" fillId="20" borderId="5" xfId="258" applyFill="1" applyBorder="1" applyAlignment="1">
      <alignment horizontal="center"/>
    </xf>
    <xf numFmtId="41" fontId="13" fillId="20" borderId="5" xfId="84" applyFont="1" applyFill="1" applyBorder="1" applyAlignment="1">
      <alignment horizontal="center"/>
    </xf>
    <xf numFmtId="0" fontId="13" fillId="0" borderId="4" xfId="258" applyBorder="1" applyAlignment="1">
      <alignment horizontal="right"/>
    </xf>
    <xf numFmtId="0" fontId="13" fillId="0" borderId="4" xfId="258" applyBorder="1" applyAlignment="1">
      <alignment horizontal="center"/>
    </xf>
    <xf numFmtId="204" fontId="13" fillId="0" borderId="4" xfId="258" applyNumberFormat="1" applyBorder="1" applyAlignment="1">
      <alignment horizontal="center"/>
    </xf>
    <xf numFmtId="0" fontId="62" fillId="0" borderId="4" xfId="258" applyFont="1" applyBorder="1" applyAlignment="1">
      <alignment horizontal="left"/>
    </xf>
    <xf numFmtId="41" fontId="0" fillId="0" borderId="4" xfId="84" applyFont="1" applyFill="1" applyBorder="1"/>
    <xf numFmtId="0" fontId="13" fillId="0" borderId="4" xfId="258" applyBorder="1"/>
    <xf numFmtId="41" fontId="0" fillId="0" borderId="4" xfId="84" applyFont="1" applyFill="1" applyBorder="1" applyAlignment="1">
      <alignment horizontal="center"/>
    </xf>
    <xf numFmtId="41" fontId="63" fillId="0" borderId="0" xfId="84" applyFont="1"/>
    <xf numFmtId="41" fontId="35" fillId="0" borderId="0" xfId="84" applyFont="1"/>
    <xf numFmtId="38" fontId="37" fillId="0" borderId="0" xfId="84" applyNumberFormat="1" applyFont="1"/>
    <xf numFmtId="41" fontId="64" fillId="0" borderId="0" xfId="84" applyFont="1"/>
    <xf numFmtId="41" fontId="61" fillId="6" borderId="17" xfId="84" applyFont="1" applyFill="1" applyBorder="1" applyAlignment="1">
      <alignment horizontal="center"/>
    </xf>
    <xf numFmtId="41" fontId="61" fillId="6" borderId="19" xfId="84" applyFont="1" applyFill="1" applyBorder="1" applyAlignment="1">
      <alignment horizontal="center"/>
    </xf>
    <xf numFmtId="41" fontId="61" fillId="6" borderId="18" xfId="84" applyFont="1" applyFill="1" applyBorder="1" applyAlignment="1">
      <alignment horizontal="center"/>
    </xf>
    <xf numFmtId="38" fontId="61" fillId="6" borderId="4" xfId="84" applyNumberFormat="1" applyFont="1" applyFill="1" applyBorder="1" applyAlignment="1">
      <alignment horizontal="center"/>
    </xf>
    <xf numFmtId="38" fontId="61" fillId="6" borderId="7" xfId="84" applyNumberFormat="1" applyFont="1" applyFill="1" applyBorder="1" applyAlignment="1">
      <alignment horizontal="center"/>
    </xf>
    <xf numFmtId="38" fontId="61" fillId="6" borderId="12" xfId="84" applyNumberFormat="1" applyFont="1" applyFill="1" applyBorder="1" applyAlignment="1">
      <alignment horizontal="center"/>
    </xf>
    <xf numFmtId="38" fontId="61" fillId="6" borderId="11" xfId="84" applyNumberFormat="1" applyFont="1" applyFill="1" applyBorder="1" applyAlignment="1">
      <alignment horizontal="center"/>
    </xf>
    <xf numFmtId="38" fontId="61" fillId="6" borderId="4" xfId="84" applyNumberFormat="1" applyFont="1" applyFill="1" applyBorder="1" applyAlignment="1"/>
    <xf numFmtId="38" fontId="0" fillId="0" borderId="19" xfId="84" applyNumberFormat="1" applyFont="1" applyBorder="1" applyAlignment="1">
      <alignment horizontal="center"/>
    </xf>
    <xf numFmtId="41" fontId="13" fillId="20" borderId="16" xfId="84" applyFont="1" applyFill="1" applyBorder="1" applyAlignment="1">
      <alignment horizontal="center"/>
    </xf>
    <xf numFmtId="38" fontId="0" fillId="0" borderId="15" xfId="84" applyNumberFormat="1" applyFont="1" applyBorder="1" applyAlignment="1">
      <alignment horizontal="right"/>
    </xf>
    <xf numFmtId="38" fontId="0" fillId="0" borderId="4" xfId="84" applyNumberFormat="1" applyFont="1" applyFill="1" applyBorder="1" applyAlignment="1">
      <alignment horizontal="right"/>
    </xf>
    <xf numFmtId="211" fontId="0" fillId="0" borderId="4" xfId="84" applyNumberFormat="1" applyFont="1" applyFill="1" applyBorder="1" applyAlignment="1">
      <alignment horizontal="center"/>
    </xf>
    <xf numFmtId="41" fontId="60" fillId="0" borderId="4" xfId="84" applyFont="1" applyFill="1" applyBorder="1" applyAlignment="1">
      <alignment horizontal="center"/>
    </xf>
    <xf numFmtId="211" fontId="65" fillId="13" borderId="4" xfId="84" applyNumberFormat="1" applyFont="1" applyFill="1" applyBorder="1" applyAlignment="1">
      <alignment horizontal="center"/>
    </xf>
    <xf numFmtId="38" fontId="65" fillId="13" borderId="4" xfId="84" applyNumberFormat="1" applyFont="1" applyFill="1" applyBorder="1" applyAlignment="1">
      <alignment horizontal="right"/>
    </xf>
    <xf numFmtId="38" fontId="13" fillId="13" borderId="4" xfId="84" applyNumberFormat="1" applyFont="1" applyFill="1" applyBorder="1" applyAlignment="1">
      <alignment horizontal="right"/>
    </xf>
    <xf numFmtId="41" fontId="65" fillId="0" borderId="4" xfId="84" applyFont="1" applyFill="1" applyBorder="1" applyAlignment="1">
      <alignment horizontal="center"/>
    </xf>
    <xf numFmtId="38" fontId="66" fillId="0" borderId="0" xfId="84" applyNumberFormat="1" applyFont="1"/>
    <xf numFmtId="38" fontId="61" fillId="6" borderId="17" xfId="84" applyNumberFormat="1" applyFont="1" applyFill="1" applyBorder="1" applyAlignment="1">
      <alignment horizontal="center"/>
    </xf>
    <xf numFmtId="38" fontId="61" fillId="6" borderId="19" xfId="84" applyNumberFormat="1" applyFont="1" applyFill="1" applyBorder="1" applyAlignment="1">
      <alignment horizontal="center"/>
    </xf>
    <xf numFmtId="38" fontId="61" fillId="6" borderId="18" xfId="84" applyNumberFormat="1" applyFont="1" applyFill="1" applyBorder="1" applyAlignment="1">
      <alignment horizontal="center"/>
    </xf>
    <xf numFmtId="38" fontId="67" fillId="6" borderId="18" xfId="84" applyNumberFormat="1" applyFont="1" applyFill="1" applyBorder="1" applyAlignment="1">
      <alignment horizontal="center"/>
    </xf>
    <xf numFmtId="38" fontId="67" fillId="6" borderId="11" xfId="84" applyNumberFormat="1" applyFont="1" applyFill="1" applyBorder="1" applyAlignment="1">
      <alignment horizontal="center"/>
    </xf>
    <xf numFmtId="38" fontId="60" fillId="0" borderId="19" xfId="84" applyNumberFormat="1" applyFont="1" applyBorder="1" applyAlignment="1">
      <alignment horizontal="center"/>
    </xf>
    <xf numFmtId="0" fontId="13" fillId="6" borderId="13" xfId="258" applyFill="1" applyBorder="1" applyAlignment="1">
      <alignment horizontal="center"/>
    </xf>
    <xf numFmtId="38" fontId="13" fillId="6" borderId="13" xfId="84" applyNumberFormat="1" applyFont="1" applyFill="1" applyBorder="1" applyAlignment="1">
      <alignment horizontal="center"/>
    </xf>
    <xf numFmtId="38" fontId="0" fillId="0" borderId="15" xfId="84" applyNumberFormat="1" applyFont="1" applyFill="1" applyBorder="1" applyAlignment="1">
      <alignment horizontal="center"/>
    </xf>
    <xf numFmtId="38" fontId="60" fillId="0" borderId="15" xfId="84" applyNumberFormat="1" applyFont="1" applyFill="1" applyBorder="1" applyAlignment="1">
      <alignment horizontal="center"/>
    </xf>
    <xf numFmtId="0" fontId="13" fillId="0" borderId="15" xfId="258" applyBorder="1" applyAlignment="1">
      <alignment horizontal="center"/>
    </xf>
    <xf numFmtId="204" fontId="13" fillId="0" borderId="15" xfId="258" applyNumberFormat="1" applyBorder="1" applyAlignment="1">
      <alignment horizontal="center"/>
    </xf>
    <xf numFmtId="206" fontId="13" fillId="0" borderId="13" xfId="258" applyNumberFormat="1" applyBorder="1" applyAlignment="1">
      <alignment horizontal="left"/>
    </xf>
    <xf numFmtId="212" fontId="0" fillId="0" borderId="13" xfId="84" applyNumberFormat="1" applyFont="1" applyFill="1" applyBorder="1"/>
    <xf numFmtId="38" fontId="0" fillId="0" borderId="13" xfId="84" applyNumberFormat="1" applyFont="1" applyFill="1" applyBorder="1"/>
    <xf numFmtId="212" fontId="0" fillId="0" borderId="4" xfId="84" applyNumberFormat="1" applyFont="1" applyFill="1" applyBorder="1" applyAlignment="1">
      <alignment horizontal="center"/>
    </xf>
    <xf numFmtId="38" fontId="0" fillId="0" borderId="4" xfId="84" applyNumberFormat="1" applyFont="1" applyFill="1" applyBorder="1" applyAlignment="1">
      <alignment horizontal="center"/>
    </xf>
    <xf numFmtId="0" fontId="13" fillId="0" borderId="13" xfId="258" applyBorder="1" applyAlignment="1">
      <alignment horizontal="left"/>
    </xf>
    <xf numFmtId="38" fontId="0" fillId="0" borderId="13" xfId="84" applyNumberFormat="1" applyFont="1" applyFill="1" applyBorder="1" applyAlignment="1">
      <alignment horizontal="center"/>
    </xf>
    <xf numFmtId="198" fontId="60" fillId="0" borderId="13" xfId="258" applyNumberFormat="1" applyFont="1" applyBorder="1" applyAlignment="1">
      <alignment horizontal="left"/>
    </xf>
    <xf numFmtId="0" fontId="60" fillId="0" borderId="13" xfId="258" applyFont="1" applyBorder="1" applyAlignment="1">
      <alignment horizontal="left"/>
    </xf>
    <xf numFmtId="198" fontId="13" fillId="0" borderId="13" xfId="258" applyNumberFormat="1" applyBorder="1"/>
    <xf numFmtId="212" fontId="13" fillId="13" borderId="13" xfId="84" applyNumberFormat="1" applyFont="1" applyFill="1" applyBorder="1"/>
    <xf numFmtId="41" fontId="37" fillId="0" borderId="0" xfId="84" applyFont="1" applyFill="1"/>
    <xf numFmtId="0" fontId="37" fillId="3" borderId="4" xfId="258" applyFont="1" applyFill="1" applyBorder="1" applyAlignment="1">
      <alignment horizontal="center"/>
    </xf>
    <xf numFmtId="41" fontId="37" fillId="3" borderId="4" xfId="84" applyFont="1" applyFill="1" applyBorder="1" applyAlignment="1">
      <alignment horizontal="center"/>
    </xf>
    <xf numFmtId="0" fontId="61" fillId="21" borderId="17" xfId="258" applyFont="1" applyFill="1" applyBorder="1" applyAlignment="1">
      <alignment horizontal="center"/>
    </xf>
    <xf numFmtId="0" fontId="61" fillId="21" borderId="19" xfId="258" applyFont="1" applyFill="1" applyBorder="1" applyAlignment="1">
      <alignment horizontal="center"/>
    </xf>
    <xf numFmtId="41" fontId="61" fillId="21" borderId="18" xfId="84" applyFont="1" applyFill="1" applyBorder="1" applyAlignment="1">
      <alignment horizontal="center"/>
    </xf>
    <xf numFmtId="0" fontId="61" fillId="22" borderId="4" xfId="258" applyFont="1" applyFill="1" applyBorder="1" applyAlignment="1">
      <alignment horizontal="center"/>
    </xf>
    <xf numFmtId="0" fontId="61" fillId="13" borderId="19" xfId="258" applyFont="1" applyFill="1" applyBorder="1" applyAlignment="1">
      <alignment horizontal="center"/>
    </xf>
    <xf numFmtId="0" fontId="61" fillId="13" borderId="18" xfId="258" applyFont="1" applyFill="1" applyBorder="1" applyAlignment="1">
      <alignment horizontal="center"/>
    </xf>
    <xf numFmtId="0" fontId="61" fillId="21" borderId="11" xfId="258" applyFont="1" applyFill="1" applyBorder="1" applyAlignment="1">
      <alignment horizontal="center"/>
    </xf>
    <xf numFmtId="204" fontId="61" fillId="21" borderId="11" xfId="258" applyNumberFormat="1" applyFont="1" applyFill="1" applyBorder="1" applyAlignment="1">
      <alignment horizontal="center"/>
    </xf>
    <xf numFmtId="41" fontId="61" fillId="21" borderId="11" xfId="84" applyFont="1" applyFill="1" applyBorder="1" applyAlignment="1">
      <alignment horizontal="center"/>
    </xf>
    <xf numFmtId="0" fontId="61" fillId="22" borderId="11" xfId="258" applyFont="1" applyFill="1" applyBorder="1" applyAlignment="1">
      <alignment horizontal="center"/>
    </xf>
    <xf numFmtId="0" fontId="61" fillId="13" borderId="11" xfId="258" applyFont="1" applyFill="1" applyBorder="1" applyAlignment="1">
      <alignment horizontal="center"/>
    </xf>
    <xf numFmtId="204" fontId="61" fillId="13" borderId="11" xfId="258" applyNumberFormat="1" applyFont="1" applyFill="1" applyBorder="1" applyAlignment="1">
      <alignment horizontal="center"/>
    </xf>
    <xf numFmtId="41" fontId="0" fillId="0" borderId="19" xfId="84" applyFont="1" applyFill="1" applyBorder="1" applyAlignment="1">
      <alignment horizontal="center"/>
    </xf>
    <xf numFmtId="41" fontId="0" fillId="0" borderId="15" xfId="84" applyFont="1" applyBorder="1" applyAlignment="1">
      <alignment horizontal="center"/>
    </xf>
    <xf numFmtId="41" fontId="0" fillId="0" borderId="15" xfId="84" applyFont="1" applyFill="1" applyBorder="1" applyAlignment="1">
      <alignment horizontal="center"/>
    </xf>
    <xf numFmtId="41" fontId="0" fillId="0" borderId="15" xfId="84" applyFont="1" applyFill="1" applyBorder="1"/>
    <xf numFmtId="0" fontId="37" fillId="0" borderId="0" xfId="258" applyFont="1" applyAlignment="1">
      <alignment horizontal="left"/>
    </xf>
    <xf numFmtId="0" fontId="37" fillId="23" borderId="4" xfId="258" applyFont="1" applyFill="1" applyBorder="1" applyAlignment="1">
      <alignment horizontal="center"/>
    </xf>
    <xf numFmtId="41" fontId="61" fillId="24" borderId="4" xfId="84" applyFont="1" applyFill="1" applyBorder="1" applyAlignment="1">
      <alignment horizontal="center" vertical="center"/>
    </xf>
    <xf numFmtId="41" fontId="68" fillId="24" borderId="4" xfId="84" applyFont="1" applyFill="1" applyBorder="1" applyAlignment="1">
      <alignment horizontal="center" vertical="center"/>
    </xf>
    <xf numFmtId="0" fontId="13" fillId="23" borderId="11" xfId="258" applyFill="1" applyBorder="1" applyAlignment="1">
      <alignment horizontal="center"/>
    </xf>
    <xf numFmtId="41" fontId="61" fillId="24" borderId="11" xfId="84" applyFont="1" applyFill="1" applyBorder="1" applyAlignment="1">
      <alignment horizontal="center" vertical="center"/>
    </xf>
    <xf numFmtId="41" fontId="68" fillId="24" borderId="11" xfId="84" applyFont="1" applyFill="1" applyBorder="1" applyAlignment="1">
      <alignment horizontal="center" vertical="center"/>
    </xf>
    <xf numFmtId="0" fontId="13" fillId="0" borderId="19" xfId="258" applyBorder="1" applyAlignment="1">
      <alignment horizontal="left"/>
    </xf>
    <xf numFmtId="204" fontId="13" fillId="0" borderId="19" xfId="258" applyNumberFormat="1" applyBorder="1" applyAlignment="1">
      <alignment horizontal="left"/>
    </xf>
    <xf numFmtId="0" fontId="69" fillId="0" borderId="19" xfId="258" applyFont="1" applyBorder="1" applyAlignment="1">
      <alignment horizontal="center"/>
    </xf>
    <xf numFmtId="0" fontId="13" fillId="0" borderId="15" xfId="258" applyBorder="1" applyAlignment="1">
      <alignment horizontal="left"/>
    </xf>
    <xf numFmtId="204" fontId="13" fillId="0" borderId="15" xfId="258" applyNumberFormat="1" applyBorder="1" applyAlignment="1">
      <alignment horizontal="left"/>
    </xf>
    <xf numFmtId="41" fontId="69" fillId="20" borderId="5" xfId="84" applyFont="1" applyFill="1" applyBorder="1" applyAlignment="1">
      <alignment horizontal="center"/>
    </xf>
    <xf numFmtId="41" fontId="69" fillId="0" borderId="4" xfId="84" applyFont="1" applyFill="1" applyBorder="1"/>
    <xf numFmtId="38" fontId="13" fillId="0" borderId="0" xfId="258" applyNumberFormat="1"/>
    <xf numFmtId="41" fontId="0" fillId="0" borderId="4" xfId="84" applyFont="1" applyFill="1" applyBorder="1" applyAlignment="1"/>
    <xf numFmtId="41" fontId="60" fillId="0" borderId="4" xfId="84" applyFont="1" applyFill="1" applyBorder="1" applyAlignment="1"/>
    <xf numFmtId="41" fontId="65" fillId="0" borderId="4" xfId="84" applyFont="1" applyFill="1" applyBorder="1" applyAlignment="1"/>
    <xf numFmtId="211" fontId="65" fillId="24" borderId="4" xfId="84" applyNumberFormat="1" applyFont="1" applyFill="1" applyBorder="1" applyAlignment="1">
      <alignment horizontal="center"/>
    </xf>
    <xf numFmtId="38" fontId="13" fillId="24" borderId="4" xfId="84" applyNumberFormat="1" applyFont="1" applyFill="1" applyBorder="1" applyAlignment="1">
      <alignment horizontal="right"/>
    </xf>
    <xf numFmtId="0" fontId="60" fillId="0" borderId="4" xfId="258" applyFont="1" applyBorder="1" applyAlignment="1">
      <alignment horizontal="center"/>
    </xf>
    <xf numFmtId="204" fontId="60" fillId="0" borderId="4" xfId="258" applyNumberFormat="1" applyFont="1" applyBorder="1" applyAlignment="1">
      <alignment horizontal="center"/>
    </xf>
    <xf numFmtId="0" fontId="60" fillId="0" borderId="4" xfId="258" applyFont="1" applyBorder="1"/>
    <xf numFmtId="0" fontId="65" fillId="0" borderId="4" xfId="258" applyFont="1" applyBorder="1" applyAlignment="1">
      <alignment horizontal="right"/>
    </xf>
    <xf numFmtId="0" fontId="61" fillId="6" borderId="34" xfId="258" applyFont="1" applyFill="1" applyBorder="1" applyAlignment="1">
      <alignment horizontal="left"/>
    </xf>
    <xf numFmtId="0" fontId="61" fillId="6" borderId="35" xfId="258" applyFont="1" applyFill="1" applyBorder="1" applyAlignment="1">
      <alignment horizontal="left"/>
    </xf>
    <xf numFmtId="0" fontId="61" fillId="6" borderId="47" xfId="258" applyFont="1" applyFill="1" applyBorder="1" applyAlignment="1">
      <alignment horizontal="left"/>
    </xf>
    <xf numFmtId="41" fontId="0" fillId="0" borderId="1" xfId="84" applyFont="1" applyBorder="1"/>
    <xf numFmtId="41" fontId="13" fillId="6" borderId="35" xfId="84" applyFont="1" applyFill="1" applyBorder="1"/>
    <xf numFmtId="41" fontId="70" fillId="0" borderId="0" xfId="84" applyFont="1"/>
    <xf numFmtId="204" fontId="71" fillId="0" borderId="0" xfId="258" applyNumberFormat="1" applyFont="1" applyAlignment="1">
      <alignment horizontal="left"/>
    </xf>
    <xf numFmtId="204" fontId="72" fillId="0" borderId="0" xfId="258" applyNumberFormat="1" applyFont="1"/>
    <xf numFmtId="0" fontId="72" fillId="0" borderId="0" xfId="258" applyFont="1"/>
    <xf numFmtId="204" fontId="71" fillId="0" borderId="0" xfId="258" applyNumberFormat="1" applyFont="1" applyAlignment="1">
      <alignment horizontal="center"/>
    </xf>
    <xf numFmtId="0" fontId="71" fillId="0" borderId="0" xfId="258" applyFont="1" applyAlignment="1">
      <alignment horizontal="center"/>
    </xf>
    <xf numFmtId="41" fontId="0" fillId="0" borderId="0" xfId="4" applyFont="1" applyAlignment="1">
      <alignment horizontal="center"/>
    </xf>
    <xf numFmtId="41" fontId="65" fillId="0" borderId="4" xfId="84" applyFont="1" applyFill="1" applyBorder="1"/>
    <xf numFmtId="38" fontId="0" fillId="0" borderId="4" xfId="84" applyNumberFormat="1" applyFont="1" applyFill="1" applyBorder="1"/>
    <xf numFmtId="38" fontId="0" fillId="0" borderId="1" xfId="84" applyNumberFormat="1" applyFont="1" applyBorder="1"/>
    <xf numFmtId="41" fontId="13" fillId="6" borderId="47" xfId="84" applyFont="1" applyFill="1" applyBorder="1"/>
    <xf numFmtId="41" fontId="7" fillId="0" borderId="0" xfId="84" applyFont="1" applyAlignment="1">
      <alignment horizontal="center"/>
    </xf>
    <xf numFmtId="0" fontId="13" fillId="6" borderId="13" xfId="258" applyFill="1" applyBorder="1"/>
    <xf numFmtId="38" fontId="13" fillId="6" borderId="13" xfId="84" applyNumberFormat="1" applyFont="1" applyFill="1" applyBorder="1"/>
    <xf numFmtId="41" fontId="0" fillId="0" borderId="4" xfId="84" applyFont="1" applyBorder="1" applyAlignment="1">
      <alignment horizontal="center"/>
    </xf>
    <xf numFmtId="0" fontId="13" fillId="0" borderId="4" xfId="258" applyBorder="1" applyAlignment="1">
      <alignment horizontal="left"/>
    </xf>
    <xf numFmtId="204" fontId="13" fillId="0" borderId="4" xfId="258" applyNumberFormat="1" applyBorder="1" applyAlignment="1">
      <alignment horizontal="left"/>
    </xf>
    <xf numFmtId="41" fontId="0" fillId="0" borderId="4" xfId="84" applyFont="1" applyBorder="1"/>
    <xf numFmtId="41" fontId="69" fillId="0" borderId="4" xfId="84" applyFont="1" applyBorder="1"/>
    <xf numFmtId="41" fontId="69" fillId="0" borderId="0" xfId="84" applyFont="1"/>
    <xf numFmtId="41" fontId="61" fillId="0" borderId="1" xfId="84" applyFont="1" applyBorder="1"/>
    <xf numFmtId="41" fontId="68" fillId="0" borderId="1" xfId="84" applyFont="1" applyBorder="1"/>
    <xf numFmtId="41" fontId="13" fillId="6" borderId="34" xfId="84" applyFont="1" applyFill="1" applyBorder="1" applyAlignment="1">
      <alignment horizontal="center"/>
    </xf>
    <xf numFmtId="41" fontId="13" fillId="6" borderId="47" xfId="84" applyFont="1" applyFill="1" applyBorder="1" applyAlignment="1">
      <alignment horizontal="center"/>
    </xf>
    <xf numFmtId="41" fontId="13" fillId="13" borderId="34" xfId="84" applyFont="1" applyFill="1" applyBorder="1" applyAlignment="1"/>
    <xf numFmtId="9" fontId="68" fillId="6" borderId="1" xfId="277" applyFont="1" applyFill="1" applyBorder="1"/>
    <xf numFmtId="41" fontId="13" fillId="6" borderId="34" xfId="84" applyFont="1" applyFill="1" applyBorder="1" applyAlignment="1"/>
    <xf numFmtId="41" fontId="7" fillId="0" borderId="19" xfId="4" applyFont="1" applyBorder="1" applyAlignment="1">
      <alignment horizontal="center"/>
    </xf>
    <xf numFmtId="0" fontId="0" fillId="0" borderId="0" xfId="258" applyFont="1" applyAlignment="1">
      <alignment horizontal="center"/>
    </xf>
    <xf numFmtId="206" fontId="13" fillId="0" borderId="4" xfId="258" applyNumberFormat="1" applyBorder="1"/>
    <xf numFmtId="41" fontId="8" fillId="0" borderId="19" xfId="4" applyFont="1" applyBorder="1" applyAlignment="1">
      <alignment horizontal="center"/>
    </xf>
    <xf numFmtId="210" fontId="0" fillId="0" borderId="0" xfId="3" applyNumberFormat="1" applyFont="1"/>
    <xf numFmtId="0" fontId="13" fillId="0" borderId="0" xfId="258" applyFont="1" applyAlignment="1">
      <alignment horizontal="center"/>
    </xf>
    <xf numFmtId="0" fontId="13" fillId="0" borderId="0" xfId="258" applyFont="1"/>
    <xf numFmtId="0" fontId="0" fillId="0" borderId="0" xfId="258" applyFont="1"/>
    <xf numFmtId="41" fontId="13" fillId="0" borderId="0" xfId="84" applyFont="1"/>
    <xf numFmtId="41" fontId="73" fillId="0" borderId="0" xfId="84" applyFont="1"/>
    <xf numFmtId="41" fontId="73" fillId="6" borderId="4" xfId="84" applyFont="1" applyFill="1" applyBorder="1" applyAlignment="1">
      <alignment horizontal="center"/>
    </xf>
    <xf numFmtId="41" fontId="73" fillId="6" borderId="11" xfId="84" applyFont="1" applyFill="1" applyBorder="1" applyAlignment="1">
      <alignment horizontal="center"/>
    </xf>
    <xf numFmtId="41" fontId="13" fillId="0" borderId="19" xfId="84" applyFont="1" applyBorder="1" applyAlignment="1">
      <alignment horizontal="center"/>
    </xf>
    <xf numFmtId="0" fontId="13" fillId="20" borderId="10" xfId="258" applyFont="1" applyFill="1" applyBorder="1" applyAlignment="1">
      <alignment horizontal="left"/>
    </xf>
    <xf numFmtId="0" fontId="13" fillId="20" borderId="15" xfId="258" applyFont="1" applyFill="1" applyBorder="1" applyAlignment="1">
      <alignment horizontal="center"/>
    </xf>
    <xf numFmtId="204" fontId="13" fillId="20" borderId="15" xfId="258" applyNumberFormat="1" applyFont="1" applyFill="1" applyBorder="1" applyAlignment="1">
      <alignment horizontal="center"/>
    </xf>
    <xf numFmtId="0" fontId="74" fillId="20" borderId="5" xfId="258" applyFont="1" applyFill="1" applyBorder="1" applyAlignment="1">
      <alignment horizontal="center"/>
    </xf>
    <xf numFmtId="0" fontId="13" fillId="20" borderId="5" xfId="258" applyFont="1" applyFill="1" applyBorder="1" applyAlignment="1">
      <alignment horizontal="center"/>
    </xf>
    <xf numFmtId="0" fontId="13" fillId="0" borderId="4" xfId="258" applyFont="1" applyBorder="1" applyAlignment="1">
      <alignment horizontal="right"/>
    </xf>
    <xf numFmtId="0" fontId="75" fillId="0" borderId="4" xfId="258" applyFont="1" applyBorder="1" applyAlignment="1">
      <alignment horizontal="left"/>
    </xf>
    <xf numFmtId="41" fontId="13" fillId="0" borderId="4" xfId="84" applyFont="1" applyFill="1" applyBorder="1"/>
    <xf numFmtId="0" fontId="13" fillId="0" borderId="4" xfId="258" applyFont="1" applyBorder="1"/>
    <xf numFmtId="41" fontId="13" fillId="0" borderId="4" xfId="84" applyFont="1" applyFill="1" applyBorder="1" applyAlignment="1">
      <alignment horizontal="center"/>
    </xf>
    <xf numFmtId="9" fontId="13" fillId="0" borderId="4" xfId="3" applyFont="1" applyBorder="1"/>
    <xf numFmtId="38" fontId="13" fillId="0" borderId="15" xfId="84" applyNumberFormat="1" applyFont="1" applyBorder="1" applyAlignment="1">
      <alignment horizontal="right"/>
    </xf>
    <xf numFmtId="38" fontId="13" fillId="0" borderId="4" xfId="84" applyNumberFormat="1" applyFont="1" applyFill="1" applyBorder="1" applyAlignment="1">
      <alignment horizontal="right"/>
    </xf>
    <xf numFmtId="211" fontId="13" fillId="0" borderId="4" xfId="84" applyNumberFormat="1" applyFont="1" applyFill="1" applyBorder="1" applyAlignment="1">
      <alignment horizontal="center"/>
    </xf>
    <xf numFmtId="0" fontId="13" fillId="6" borderId="13" xfId="258" applyFont="1" applyFill="1" applyBorder="1" applyAlignment="1">
      <alignment horizontal="center"/>
    </xf>
    <xf numFmtId="38" fontId="13" fillId="0" borderId="15" xfId="84" applyNumberFormat="1" applyFont="1" applyFill="1" applyBorder="1" applyAlignment="1">
      <alignment horizontal="center"/>
    </xf>
    <xf numFmtId="38" fontId="76" fillId="0" borderId="15" xfId="84" applyNumberFormat="1" applyFont="1" applyFill="1" applyBorder="1" applyAlignment="1">
      <alignment horizontal="center"/>
    </xf>
    <xf numFmtId="0" fontId="13" fillId="0" borderId="15" xfId="258" applyFont="1" applyBorder="1" applyAlignment="1">
      <alignment horizontal="center"/>
    </xf>
    <xf numFmtId="204" fontId="13" fillId="0" borderId="15" xfId="258" applyNumberFormat="1" applyFont="1" applyBorder="1" applyAlignment="1">
      <alignment horizontal="center"/>
    </xf>
    <xf numFmtId="206" fontId="13" fillId="0" borderId="13" xfId="258" applyNumberFormat="1" applyFont="1" applyBorder="1" applyAlignment="1">
      <alignment horizontal="left"/>
    </xf>
    <xf numFmtId="212" fontId="13" fillId="0" borderId="13" xfId="84" applyNumberFormat="1" applyFont="1" applyFill="1" applyBorder="1"/>
    <xf numFmtId="38" fontId="13" fillId="0" borderId="13" xfId="84" applyNumberFormat="1" applyFont="1" applyFill="1" applyBorder="1"/>
    <xf numFmtId="212" fontId="13" fillId="0" borderId="4" xfId="84" applyNumberFormat="1" applyFont="1" applyFill="1" applyBorder="1" applyAlignment="1">
      <alignment horizontal="center"/>
    </xf>
    <xf numFmtId="38" fontId="13" fillId="0" borderId="4" xfId="84" applyNumberFormat="1" applyFont="1" applyFill="1" applyBorder="1" applyAlignment="1">
      <alignment horizontal="center"/>
    </xf>
    <xf numFmtId="0" fontId="13" fillId="0" borderId="13" xfId="258" applyFont="1" applyBorder="1" applyAlignment="1">
      <alignment horizontal="left"/>
    </xf>
    <xf numFmtId="38" fontId="13" fillId="0" borderId="13" xfId="84" applyNumberFormat="1" applyFont="1" applyFill="1" applyBorder="1" applyAlignment="1">
      <alignment horizontal="center"/>
    </xf>
    <xf numFmtId="198" fontId="76" fillId="0" borderId="13" xfId="258" applyNumberFormat="1" applyFont="1" applyBorder="1" applyAlignment="1">
      <alignment horizontal="left"/>
    </xf>
    <xf numFmtId="0" fontId="76" fillId="0" borderId="13" xfId="258" applyFont="1" applyBorder="1" applyAlignment="1">
      <alignment horizontal="left"/>
    </xf>
    <xf numFmtId="198" fontId="13" fillId="0" borderId="13" xfId="258" applyNumberFormat="1" applyFont="1" applyBorder="1" applyAlignment="1">
      <alignment horizontal="left"/>
    </xf>
    <xf numFmtId="198" fontId="13" fillId="0" borderId="13" xfId="258" applyNumberFormat="1" applyFont="1" applyBorder="1"/>
    <xf numFmtId="0" fontId="37" fillId="3" borderId="17" xfId="258" applyFont="1" applyFill="1" applyBorder="1" applyAlignment="1">
      <alignment horizontal="center"/>
    </xf>
    <xf numFmtId="0" fontId="37" fillId="3" borderId="19" xfId="258" applyFont="1" applyFill="1" applyBorder="1" applyAlignment="1">
      <alignment horizontal="center"/>
    </xf>
    <xf numFmtId="41" fontId="37" fillId="3" borderId="18" xfId="84" applyFont="1" applyFill="1" applyBorder="1" applyAlignment="1">
      <alignment horizontal="center"/>
    </xf>
    <xf numFmtId="0" fontId="37" fillId="3" borderId="18" xfId="258" applyFont="1" applyFill="1" applyBorder="1" applyAlignment="1">
      <alignment horizontal="center"/>
    </xf>
    <xf numFmtId="41" fontId="13" fillId="0" borderId="15" xfId="84" applyFont="1" applyBorder="1" applyAlignment="1">
      <alignment horizontal="center"/>
    </xf>
    <xf numFmtId="41" fontId="13" fillId="0" borderId="15" xfId="84" applyFont="1" applyFill="1" applyBorder="1" applyAlignment="1">
      <alignment horizontal="center"/>
    </xf>
    <xf numFmtId="41" fontId="13" fillId="0" borderId="15" xfId="84" applyFont="1" applyFill="1" applyBorder="1"/>
    <xf numFmtId="0" fontId="13" fillId="0" borderId="15" xfId="258" applyFont="1" applyBorder="1" applyAlignment="1">
      <alignment horizontal="left"/>
    </xf>
    <xf numFmtId="204" fontId="13" fillId="0" borderId="15" xfId="258" applyNumberFormat="1" applyFont="1" applyBorder="1" applyAlignment="1">
      <alignment horizontal="left"/>
    </xf>
    <xf numFmtId="41" fontId="77" fillId="20" borderId="5" xfId="84" applyFont="1" applyFill="1" applyBorder="1" applyAlignment="1">
      <alignment horizontal="center"/>
    </xf>
    <xf numFmtId="41" fontId="77" fillId="0" borderId="4" xfId="84" applyFont="1" applyFill="1" applyBorder="1"/>
    <xf numFmtId="41" fontId="78" fillId="0" borderId="4" xfId="84" applyFont="1" applyFill="1" applyBorder="1"/>
    <xf numFmtId="38" fontId="13" fillId="0" borderId="0" xfId="258" applyNumberFormat="1" applyFont="1"/>
    <xf numFmtId="204" fontId="13" fillId="0" borderId="0" xfId="258" applyNumberFormat="1" applyFont="1"/>
    <xf numFmtId="0" fontId="73" fillId="6" borderId="34" xfId="258" applyFont="1" applyFill="1" applyBorder="1" applyAlignment="1">
      <alignment horizontal="left"/>
    </xf>
    <xf numFmtId="0" fontId="73" fillId="6" borderId="35" xfId="258" applyFont="1" applyFill="1" applyBorder="1" applyAlignment="1">
      <alignment horizontal="left"/>
    </xf>
    <xf numFmtId="0" fontId="73" fillId="6" borderId="47" xfId="258" applyFont="1" applyFill="1" applyBorder="1" applyAlignment="1">
      <alignment horizontal="left"/>
    </xf>
    <xf numFmtId="41" fontId="13" fillId="0" borderId="1" xfId="84" applyFont="1" applyBorder="1"/>
    <xf numFmtId="0" fontId="13" fillId="13" borderId="0" xfId="258" applyFont="1" applyFill="1"/>
    <xf numFmtId="0" fontId="13" fillId="13" borderId="0" xfId="258" applyFont="1" applyFill="1" applyAlignment="1">
      <alignment horizontal="center"/>
    </xf>
    <xf numFmtId="41" fontId="13" fillId="13" borderId="0" xfId="84" applyFont="1" applyFill="1"/>
    <xf numFmtId="41" fontId="13" fillId="0" borderId="62" xfId="4" applyFont="1" applyBorder="1" applyAlignment="1">
      <alignment horizontal="center"/>
    </xf>
    <xf numFmtId="0" fontId="79" fillId="0" borderId="0" xfId="258" applyFont="1"/>
    <xf numFmtId="41" fontId="79" fillId="0" borderId="0" xfId="4" applyFont="1" applyAlignment="1">
      <alignment horizontal="center"/>
    </xf>
    <xf numFmtId="0" fontId="79" fillId="0" borderId="0" xfId="258" applyFont="1" applyAlignment="1">
      <alignment horizontal="center"/>
    </xf>
    <xf numFmtId="41" fontId="13" fillId="0" borderId="4" xfId="84" applyFont="1" applyFill="1" applyBorder="1" applyAlignment="1"/>
    <xf numFmtId="41" fontId="80" fillId="0" borderId="4" xfId="84" applyFont="1" applyFill="1" applyBorder="1"/>
    <xf numFmtId="38" fontId="13" fillId="0" borderId="4" xfId="84" applyNumberFormat="1" applyFont="1" applyFill="1" applyBorder="1"/>
    <xf numFmtId="38" fontId="13" fillId="0" borderId="0" xfId="84" applyNumberFormat="1" applyFont="1"/>
    <xf numFmtId="41" fontId="13" fillId="24" borderId="1" xfId="84" applyFont="1" applyFill="1" applyBorder="1"/>
    <xf numFmtId="38" fontId="13" fillId="0" borderId="1" xfId="84" applyNumberFormat="1" applyFont="1" applyBorder="1"/>
    <xf numFmtId="41" fontId="13" fillId="13" borderId="0" xfId="84" applyFont="1" applyFill="1" applyAlignment="1">
      <alignment horizontal="center"/>
    </xf>
    <xf numFmtId="41" fontId="13" fillId="22" borderId="0" xfId="84" applyFont="1" applyFill="1"/>
    <xf numFmtId="41" fontId="13" fillId="25" borderId="0" xfId="84" applyFont="1" applyFill="1"/>
    <xf numFmtId="0" fontId="13" fillId="6" borderId="13" xfId="258" applyFont="1" applyFill="1" applyBorder="1"/>
    <xf numFmtId="41" fontId="13" fillId="0" borderId="4" xfId="84" applyFont="1" applyBorder="1" applyAlignment="1">
      <alignment horizontal="center"/>
    </xf>
    <xf numFmtId="41" fontId="13" fillId="0" borderId="0" xfId="84" applyFont="1" applyFill="1"/>
    <xf numFmtId="0" fontId="13" fillId="0" borderId="4" xfId="258" applyFont="1" applyBorder="1" applyAlignment="1">
      <alignment horizontal="left"/>
    </xf>
    <xf numFmtId="204" fontId="13" fillId="0" borderId="4" xfId="258" applyNumberFormat="1" applyFont="1" applyBorder="1" applyAlignment="1">
      <alignment horizontal="left"/>
    </xf>
    <xf numFmtId="41" fontId="13" fillId="0" borderId="4" xfId="84" applyFont="1" applyBorder="1"/>
    <xf numFmtId="41" fontId="77" fillId="0" borderId="4" xfId="84" applyFont="1" applyBorder="1"/>
    <xf numFmtId="0" fontId="13" fillId="0" borderId="0" xfId="258" applyFont="1" applyAlignment="1">
      <alignment horizontal="left"/>
    </xf>
    <xf numFmtId="41" fontId="78" fillId="0" borderId="0" xfId="84" applyFont="1"/>
    <xf numFmtId="41" fontId="73" fillId="0" borderId="1" xfId="84" applyFont="1" applyBorder="1"/>
    <xf numFmtId="41" fontId="81" fillId="0" borderId="1" xfId="84" applyFont="1" applyBorder="1"/>
    <xf numFmtId="9" fontId="81" fillId="6" borderId="1" xfId="277" applyFont="1" applyFill="1" applyBorder="1"/>
    <xf numFmtId="206" fontId="13" fillId="0" borderId="0" xfId="258" applyNumberFormat="1" applyFont="1" applyAlignment="1">
      <alignment horizontal="left"/>
    </xf>
    <xf numFmtId="41" fontId="13" fillId="0" borderId="0" xfId="258" applyNumberFormat="1" applyFont="1" applyAlignment="1">
      <alignment horizontal="center"/>
    </xf>
    <xf numFmtId="206" fontId="13" fillId="22" borderId="0" xfId="258" applyNumberFormat="1" applyFont="1" applyFill="1"/>
    <xf numFmtId="41" fontId="13" fillId="22" borderId="0" xfId="4" applyFont="1" applyFill="1" applyAlignment="1">
      <alignment horizontal="center"/>
    </xf>
    <xf numFmtId="0" fontId="13" fillId="22" borderId="0" xfId="258" applyFont="1" applyFill="1"/>
    <xf numFmtId="41" fontId="13" fillId="22" borderId="62" xfId="4" applyFont="1" applyFill="1" applyBorder="1" applyAlignment="1">
      <alignment horizontal="center"/>
    </xf>
    <xf numFmtId="213" fontId="13" fillId="0" borderId="0" xfId="258" applyNumberFormat="1" applyFont="1" applyAlignment="1">
      <alignment horizontal="center"/>
    </xf>
    <xf numFmtId="41" fontId="8" fillId="22" borderId="0" xfId="84" applyFont="1" applyFill="1"/>
    <xf numFmtId="0" fontId="78" fillId="0" borderId="0" xfId="258" applyFont="1" applyAlignment="1">
      <alignment horizontal="right" indent="1"/>
    </xf>
    <xf numFmtId="0" fontId="13" fillId="10" borderId="0" xfId="258" applyFont="1" applyFill="1"/>
    <xf numFmtId="41" fontId="13" fillId="25" borderId="0" xfId="258" applyNumberFormat="1" applyFont="1" applyFill="1"/>
    <xf numFmtId="41" fontId="13" fillId="22" borderId="0" xfId="258" applyNumberFormat="1" applyFont="1" applyFill="1"/>
    <xf numFmtId="213" fontId="13" fillId="22" borderId="62" xfId="4" applyNumberFormat="1" applyFont="1" applyFill="1" applyBorder="1" applyAlignment="1">
      <alignment horizontal="center"/>
    </xf>
    <xf numFmtId="41" fontId="82" fillId="0" borderId="0" xfId="84" applyFont="1"/>
    <xf numFmtId="41" fontId="13" fillId="26" borderId="0" xfId="84" applyFont="1" applyFill="1"/>
    <xf numFmtId="41" fontId="8" fillId="0" borderId="0" xfId="258" applyNumberFormat="1" applyFont="1"/>
    <xf numFmtId="213" fontId="13" fillId="0" borderId="0" xfId="84" applyNumberFormat="1" applyFont="1"/>
    <xf numFmtId="41" fontId="8" fillId="0" borderId="0" xfId="84" applyFont="1"/>
    <xf numFmtId="38" fontId="76" fillId="0" borderId="0" xfId="84" applyNumberFormat="1" applyFont="1"/>
    <xf numFmtId="176" fontId="61" fillId="6" borderId="4" xfId="0" applyFont="1" applyFill="1" applyBorder="1" applyAlignment="1">
      <alignment horizontal="center" vertical="center"/>
    </xf>
    <xf numFmtId="41" fontId="61" fillId="6" borderId="11" xfId="4" applyFont="1" applyFill="1" applyBorder="1" applyAlignment="1">
      <alignment horizontal="center" vertical="center"/>
    </xf>
    <xf numFmtId="41" fontId="61" fillId="6" borderId="4" xfId="4" applyFont="1" applyFill="1" applyBorder="1" applyAlignment="1">
      <alignment horizontal="center" vertical="center"/>
    </xf>
    <xf numFmtId="41" fontId="61" fillId="6" borderId="13" xfId="4" applyFont="1" applyFill="1" applyBorder="1" applyAlignment="1">
      <alignment horizontal="center" vertical="center"/>
    </xf>
    <xf numFmtId="41" fontId="61" fillId="6" borderId="15" xfId="4" applyFont="1" applyFill="1" applyBorder="1" applyAlignment="1">
      <alignment horizontal="center" vertical="center"/>
    </xf>
    <xf numFmtId="214" fontId="61" fillId="0" borderId="4" xfId="3" applyNumberFormat="1" applyFont="1" applyFill="1" applyBorder="1" applyAlignment="1">
      <alignment horizontal="left"/>
    </xf>
    <xf numFmtId="10" fontId="61" fillId="0" borderId="4" xfId="3" applyNumberFormat="1" applyFont="1" applyFill="1" applyBorder="1"/>
    <xf numFmtId="41" fontId="61" fillId="0" borderId="4" xfId="0" applyNumberFormat="1" applyFont="1" applyBorder="1" applyAlignment="1"/>
    <xf numFmtId="10" fontId="0" fillId="0" borderId="4" xfId="3" applyNumberFormat="1" applyFont="1" applyBorder="1"/>
    <xf numFmtId="41" fontId="0" fillId="13" borderId="4" xfId="0" applyNumberFormat="1" applyFill="1" applyBorder="1" applyAlignment="1"/>
    <xf numFmtId="41" fontId="0" fillId="0" borderId="4" xfId="0" applyNumberFormat="1" applyBorder="1" applyAlignment="1"/>
    <xf numFmtId="41" fontId="69" fillId="0" borderId="4" xfId="0" applyNumberFormat="1" applyFont="1" applyBorder="1" applyAlignment="1"/>
    <xf numFmtId="214" fontId="0" fillId="0" borderId="4" xfId="3" applyNumberFormat="1" applyFont="1" applyBorder="1"/>
    <xf numFmtId="10" fontId="0" fillId="0" borderId="0" xfId="0" applyNumberFormat="1" applyAlignment="1"/>
    <xf numFmtId="41" fontId="0" fillId="6" borderId="6" xfId="0" applyNumberFormat="1" applyFill="1" applyBorder="1" applyAlignment="1"/>
    <xf numFmtId="10" fontId="0" fillId="0" borderId="0" xfId="3" applyNumberFormat="1" applyFont="1"/>
    <xf numFmtId="41" fontId="0" fillId="0" borderId="0" xfId="0" applyNumberFormat="1" applyAlignment="1"/>
    <xf numFmtId="0" fontId="0" fillId="0" borderId="0" xfId="0" applyNumberFormat="1" applyAlignment="1">
      <alignment horizontal="center"/>
    </xf>
    <xf numFmtId="0" fontId="0" fillId="0" borderId="0" xfId="0" applyNumberFormat="1" applyAlignment="1">
      <alignment horizontal="center" vertical="top"/>
    </xf>
    <xf numFmtId="176" fontId="0" fillId="13" borderId="0" xfId="0" applyFill="1" applyAlignment="1"/>
    <xf numFmtId="176" fontId="0" fillId="13" borderId="0" xfId="0" applyFill="1">
      <alignment vertical="top"/>
    </xf>
    <xf numFmtId="176" fontId="0" fillId="13" borderId="0" xfId="0" applyFill="1" applyAlignment="1">
      <alignment horizontal="center" vertical="center"/>
    </xf>
    <xf numFmtId="176" fontId="61" fillId="6" borderId="4" xfId="0" applyFont="1" applyFill="1" applyBorder="1" applyAlignment="1">
      <alignment horizontal="center"/>
    </xf>
    <xf numFmtId="41" fontId="61" fillId="6" borderId="4" xfId="4" applyFont="1" applyFill="1" applyBorder="1" applyAlignment="1">
      <alignment horizontal="center"/>
    </xf>
    <xf numFmtId="41" fontId="0" fillId="0" borderId="4" xfId="4" applyFont="1" applyBorder="1"/>
    <xf numFmtId="204" fontId="0" fillId="0" borderId="4" xfId="0" applyNumberFormat="1" applyBorder="1" applyAlignment="1"/>
    <xf numFmtId="198" fontId="0" fillId="0" borderId="4" xfId="0" applyNumberFormat="1" applyBorder="1" applyAlignment="1"/>
    <xf numFmtId="198" fontId="0" fillId="0" borderId="4" xfId="4" applyNumberFormat="1" applyFont="1" applyFill="1" applyBorder="1"/>
    <xf numFmtId="198" fontId="69" fillId="0" borderId="4" xfId="4" applyNumberFormat="1" applyFont="1" applyFill="1" applyBorder="1"/>
    <xf numFmtId="9" fontId="0" fillId="0" borderId="0" xfId="3" applyFont="1" applyAlignment="1"/>
    <xf numFmtId="176" fontId="7" fillId="0" borderId="7" xfId="0" applyFont="1" applyBorder="1">
      <alignment vertical="top"/>
    </xf>
    <xf numFmtId="176" fontId="7" fillId="0" borderId="8" xfId="0" applyFont="1" applyBorder="1">
      <alignment vertical="top"/>
    </xf>
    <xf numFmtId="176" fontId="7" fillId="0" borderId="12" xfId="0" applyFont="1" applyBorder="1">
      <alignment vertical="top"/>
    </xf>
    <xf numFmtId="0" fontId="13" fillId="0" borderId="9" xfId="258" applyBorder="1"/>
    <xf numFmtId="0" fontId="13" fillId="0" borderId="14" xfId="258" applyBorder="1"/>
    <xf numFmtId="176" fontId="0" fillId="0" borderId="9" xfId="0" applyBorder="1">
      <alignment vertical="top"/>
    </xf>
    <xf numFmtId="0" fontId="7" fillId="0" borderId="0" xfId="0" applyNumberFormat="1" applyFont="1" applyAlignment="1">
      <alignment horizontal="center" vertical="top"/>
    </xf>
    <xf numFmtId="0" fontId="7" fillId="0" borderId="14" xfId="0" applyNumberFormat="1" applyFont="1" applyBorder="1" applyAlignment="1">
      <alignment horizontal="center" vertical="top"/>
    </xf>
    <xf numFmtId="176" fontId="0" fillId="13" borderId="11" xfId="0" applyFill="1" applyBorder="1">
      <alignment vertical="top"/>
    </xf>
    <xf numFmtId="176" fontId="0" fillId="13" borderId="13" xfId="0" applyFill="1" applyBorder="1">
      <alignment vertical="top"/>
    </xf>
    <xf numFmtId="176" fontId="0" fillId="0" borderId="10" xfId="0" applyBorder="1">
      <alignment vertical="top"/>
    </xf>
    <xf numFmtId="0" fontId="83" fillId="0" borderId="0" xfId="258" applyFont="1" applyAlignment="1">
      <alignment horizontal="left"/>
    </xf>
    <xf numFmtId="0" fontId="62" fillId="0" borderId="0" xfId="258" applyFont="1" applyAlignment="1">
      <alignment horizontal="left"/>
    </xf>
    <xf numFmtId="0" fontId="83" fillId="0" borderId="9" xfId="258" applyFont="1" applyBorder="1" applyAlignment="1">
      <alignment horizontal="left"/>
    </xf>
    <xf numFmtId="176" fontId="0" fillId="13" borderId="14" xfId="0" applyFill="1" applyBorder="1">
      <alignment vertical="top"/>
    </xf>
    <xf numFmtId="0" fontId="62" fillId="0" borderId="13" xfId="258" applyFont="1" applyBorder="1" applyAlignment="1">
      <alignment horizontal="left"/>
    </xf>
    <xf numFmtId="176" fontId="0" fillId="13" borderId="15" xfId="0" applyFill="1" applyBorder="1">
      <alignment vertical="top"/>
    </xf>
    <xf numFmtId="176" fontId="0" fillId="0" borderId="8" xfId="0" applyBorder="1">
      <alignment vertical="top"/>
    </xf>
    <xf numFmtId="176" fontId="0" fillId="0" borderId="12" xfId="0" applyBorder="1">
      <alignment vertical="top"/>
    </xf>
    <xf numFmtId="176" fontId="0" fillId="0" borderId="14" xfId="0" applyBorder="1" applyAlignment="1">
      <alignment horizontal="center" vertical="top"/>
    </xf>
    <xf numFmtId="0" fontId="70" fillId="0" borderId="0" xfId="0" applyNumberFormat="1" applyFont="1">
      <alignment vertical="top"/>
    </xf>
    <xf numFmtId="176" fontId="7" fillId="0" borderId="14" xfId="0" applyFont="1" applyBorder="1">
      <alignment vertical="top"/>
    </xf>
    <xf numFmtId="204" fontId="13" fillId="0" borderId="0" xfId="258" applyNumberFormat="1" applyAlignment="1">
      <alignment horizontal="center"/>
    </xf>
    <xf numFmtId="41" fontId="13" fillId="0" borderId="14" xfId="84" applyFont="1" applyFill="1" applyBorder="1" applyAlignment="1">
      <alignment horizontal="center"/>
    </xf>
    <xf numFmtId="9" fontId="79" fillId="0" borderId="0" xfId="3" applyFont="1" applyBorder="1"/>
    <xf numFmtId="41" fontId="13" fillId="13" borderId="14" xfId="84" applyFont="1" applyFill="1" applyBorder="1" applyAlignment="1">
      <alignment horizontal="center"/>
    </xf>
    <xf numFmtId="41" fontId="13" fillId="13" borderId="14" xfId="84" applyFont="1" applyFill="1" applyBorder="1" applyAlignment="1"/>
    <xf numFmtId="41" fontId="13" fillId="0" borderId="14" xfId="84" applyFont="1" applyFill="1" applyBorder="1" applyAlignment="1"/>
    <xf numFmtId="0" fontId="62" fillId="0" borderId="14" xfId="258" applyFont="1" applyBorder="1" applyAlignment="1">
      <alignment horizontal="left"/>
    </xf>
    <xf numFmtId="41" fontId="62" fillId="0" borderId="14" xfId="258" applyNumberFormat="1" applyFont="1" applyBorder="1" applyAlignment="1">
      <alignment horizontal="left"/>
    </xf>
    <xf numFmtId="41" fontId="13" fillId="0" borderId="14" xfId="84" applyFont="1" applyFill="1" applyBorder="1"/>
    <xf numFmtId="176" fontId="79" fillId="0" borderId="0" xfId="0" applyFont="1">
      <alignment vertical="top"/>
    </xf>
    <xf numFmtId="0" fontId="62" fillId="0" borderId="9" xfId="258" applyFont="1" applyBorder="1" applyAlignment="1">
      <alignment horizontal="left"/>
    </xf>
    <xf numFmtId="41" fontId="0" fillId="0" borderId="14" xfId="84" applyFont="1" applyFill="1" applyBorder="1" applyAlignment="1">
      <alignment horizontal="center"/>
    </xf>
    <xf numFmtId="41" fontId="60" fillId="0" borderId="14" xfId="84" applyFont="1" applyFill="1" applyBorder="1" applyAlignment="1"/>
    <xf numFmtId="41" fontId="0" fillId="0" borderId="14" xfId="84" applyFont="1" applyFill="1" applyBorder="1" applyAlignment="1"/>
    <xf numFmtId="0" fontId="60" fillId="0" borderId="0" xfId="258" applyFont="1"/>
    <xf numFmtId="204" fontId="60" fillId="0" borderId="0" xfId="258" applyNumberFormat="1" applyFont="1" applyAlignment="1">
      <alignment horizontal="center"/>
    </xf>
    <xf numFmtId="41" fontId="0" fillId="0" borderId="14" xfId="84" applyFont="1" applyFill="1" applyBorder="1"/>
    <xf numFmtId="41" fontId="13" fillId="0" borderId="16" xfId="84" applyFont="1" applyFill="1" applyBorder="1" applyAlignment="1"/>
    <xf numFmtId="41" fontId="60" fillId="0" borderId="14" xfId="84" applyFont="1" applyFill="1" applyBorder="1" applyAlignment="1">
      <alignment horizontal="center"/>
    </xf>
    <xf numFmtId="0" fontId="13" fillId="0" borderId="0" xfId="218"/>
    <xf numFmtId="0" fontId="13" fillId="0" borderId="0" xfId="218" applyFont="1"/>
    <xf numFmtId="37" fontId="8" fillId="0" borderId="0" xfId="218" applyNumberFormat="1" applyFont="1" applyAlignment="1"/>
    <xf numFmtId="0" fontId="8" fillId="0" borderId="0" xfId="218" applyFont="1" applyAlignment="1"/>
    <xf numFmtId="0" fontId="13" fillId="0" borderId="0" xfId="218" applyAlignment="1"/>
    <xf numFmtId="198" fontId="72" fillId="0" borderId="0" xfId="218" applyNumberFormat="1" applyFont="1" applyAlignment="1"/>
    <xf numFmtId="0" fontId="8" fillId="27" borderId="4" xfId="218" applyFont="1" applyFill="1" applyBorder="1" applyAlignment="1">
      <alignment horizontal="center"/>
    </xf>
    <xf numFmtId="0" fontId="8" fillId="0" borderId="1" xfId="218" applyFont="1" applyBorder="1" applyAlignment="1">
      <alignment horizontal="left"/>
    </xf>
    <xf numFmtId="0" fontId="8" fillId="0" borderId="47" xfId="218" applyFont="1" applyBorder="1" applyAlignment="1">
      <alignment horizontal="center"/>
    </xf>
    <xf numFmtId="0" fontId="8" fillId="0" borderId="1" xfId="218" applyFont="1" applyBorder="1" applyAlignment="1">
      <alignment horizontal="center" wrapText="1"/>
    </xf>
    <xf numFmtId="0" fontId="8" fillId="0" borderId="3" xfId="218" applyFont="1" applyBorder="1" applyAlignment="1">
      <alignment horizontal="center"/>
    </xf>
    <xf numFmtId="0" fontId="8" fillId="13" borderId="47" xfId="218" applyFont="1" applyFill="1" applyBorder="1" applyAlignment="1">
      <alignment horizontal="center"/>
    </xf>
    <xf numFmtId="0" fontId="13" fillId="0" borderId="2" xfId="218" applyBorder="1"/>
    <xf numFmtId="0" fontId="13" fillId="0" borderId="21" xfId="218" applyFont="1" applyBorder="1"/>
    <xf numFmtId="0" fontId="13" fillId="0" borderId="2" xfId="218" applyFont="1" applyBorder="1"/>
    <xf numFmtId="0" fontId="13" fillId="13" borderId="21" xfId="218" applyFont="1" applyFill="1" applyBorder="1"/>
    <xf numFmtId="41" fontId="13" fillId="0" borderId="21" xfId="110" applyFont="1" applyBorder="1"/>
    <xf numFmtId="41" fontId="13" fillId="0" borderId="2" xfId="110" applyFont="1" applyBorder="1"/>
    <xf numFmtId="0" fontId="13" fillId="13" borderId="21" xfId="218" applyFill="1" applyBorder="1"/>
    <xf numFmtId="0" fontId="72" fillId="0" borderId="2" xfId="218" applyFont="1" applyBorder="1"/>
    <xf numFmtId="0" fontId="72" fillId="13" borderId="21" xfId="218" applyFont="1" applyFill="1" applyBorder="1"/>
    <xf numFmtId="37" fontId="13" fillId="0" borderId="2" xfId="218" applyNumberFormat="1" applyBorder="1"/>
    <xf numFmtId="41" fontId="13" fillId="0" borderId="21" xfId="4" applyFont="1" applyBorder="1"/>
    <xf numFmtId="37" fontId="13" fillId="13" borderId="21" xfId="218" applyNumberFormat="1" applyFill="1" applyBorder="1"/>
    <xf numFmtId="41" fontId="13" fillId="0" borderId="63" xfId="110" applyFont="1" applyBorder="1"/>
    <xf numFmtId="37" fontId="13" fillId="13" borderId="2" xfId="218" applyNumberFormat="1" applyFill="1" applyBorder="1"/>
    <xf numFmtId="37" fontId="13" fillId="0" borderId="2" xfId="218" applyNumberFormat="1" applyBorder="1" applyAlignment="1">
      <alignment horizontal="left" indent="2"/>
    </xf>
    <xf numFmtId="37" fontId="13" fillId="13" borderId="21" xfId="218" applyNumberFormat="1" applyFill="1" applyBorder="1" applyAlignment="1">
      <alignment horizontal="left" indent="2"/>
    </xf>
    <xf numFmtId="41" fontId="8" fillId="0" borderId="47" xfId="218" applyNumberFormat="1" applyFont="1" applyBorder="1"/>
    <xf numFmtId="41" fontId="8" fillId="0" borderId="1" xfId="218" applyNumberFormat="1" applyFont="1" applyBorder="1"/>
    <xf numFmtId="0" fontId="13" fillId="0" borderId="64" xfId="218" applyFont="1" applyBorder="1"/>
    <xf numFmtId="0" fontId="13" fillId="13" borderId="2" xfId="218" applyFill="1" applyBorder="1"/>
    <xf numFmtId="0" fontId="71" fillId="0" borderId="2" xfId="218" applyFont="1" applyBorder="1"/>
    <xf numFmtId="0" fontId="71" fillId="13" borderId="2" xfId="218" applyFont="1" applyFill="1" applyBorder="1"/>
    <xf numFmtId="0" fontId="8" fillId="0" borderId="2" xfId="218" applyFont="1" applyBorder="1"/>
    <xf numFmtId="0" fontId="8" fillId="13" borderId="2" xfId="218" applyFont="1" applyFill="1" applyBorder="1"/>
    <xf numFmtId="202" fontId="13" fillId="0" borderId="2" xfId="128" applyNumberFormat="1" applyFont="1" applyBorder="1"/>
    <xf numFmtId="202" fontId="8" fillId="0" borderId="2" xfId="128" applyNumberFormat="1" applyFont="1" applyBorder="1"/>
    <xf numFmtId="41" fontId="8" fillId="0" borderId="2" xfId="110" applyFont="1" applyBorder="1"/>
    <xf numFmtId="41" fontId="13" fillId="0" borderId="3" xfId="110" applyFont="1" applyBorder="1"/>
    <xf numFmtId="41" fontId="8" fillId="0" borderId="1" xfId="110" applyFont="1" applyBorder="1"/>
    <xf numFmtId="0" fontId="13" fillId="0" borderId="20" xfId="218" applyBorder="1"/>
    <xf numFmtId="41" fontId="13" fillId="0" borderId="64" xfId="110" applyFont="1" applyBorder="1"/>
    <xf numFmtId="0" fontId="13" fillId="13" borderId="20" xfId="218" applyFill="1" applyBorder="1"/>
    <xf numFmtId="0" fontId="8" fillId="0" borderId="20" xfId="218" applyFont="1" applyBorder="1"/>
    <xf numFmtId="0" fontId="8" fillId="13" borderId="20" xfId="218" applyFont="1" applyFill="1" applyBorder="1"/>
    <xf numFmtId="37" fontId="71" fillId="0" borderId="20" xfId="218" applyNumberFormat="1" applyFont="1" applyBorder="1"/>
    <xf numFmtId="37" fontId="71" fillId="13" borderId="20" xfId="218" applyNumberFormat="1" applyFont="1" applyFill="1" applyBorder="1"/>
    <xf numFmtId="41" fontId="30" fillId="0" borderId="2" xfId="110" applyFont="1" applyBorder="1"/>
    <xf numFmtId="37" fontId="13" fillId="0" borderId="2" xfId="218" applyNumberFormat="1" applyFont="1" applyBorder="1"/>
    <xf numFmtId="37" fontId="13" fillId="13" borderId="2" xfId="218" applyNumberFormat="1" applyFont="1" applyFill="1" applyBorder="1"/>
    <xf numFmtId="0" fontId="13" fillId="0" borderId="20" xfId="218" applyFont="1" applyBorder="1"/>
    <xf numFmtId="41" fontId="84" fillId="0" borderId="1" xfId="110" applyFont="1" applyBorder="1"/>
    <xf numFmtId="0" fontId="13" fillId="13" borderId="20" xfId="218" applyFont="1" applyFill="1" applyBorder="1"/>
    <xf numFmtId="0" fontId="23" fillId="0" borderId="0" xfId="218" applyFont="1" applyAlignment="1">
      <alignment horizontal="right"/>
    </xf>
    <xf numFmtId="0" fontId="13" fillId="0" borderId="0" xfId="218" applyAlignment="1">
      <alignment horizontal="center"/>
    </xf>
    <xf numFmtId="0" fontId="13" fillId="0" borderId="0" xfId="218" applyBorder="1"/>
    <xf numFmtId="0" fontId="71" fillId="0" borderId="20" xfId="218" applyFont="1" applyBorder="1"/>
    <xf numFmtId="0" fontId="71" fillId="13" borderId="20" xfId="218" applyFont="1" applyFill="1" applyBorder="1"/>
    <xf numFmtId="41" fontId="8" fillId="0" borderId="3" xfId="110" applyFont="1" applyBorder="1"/>
    <xf numFmtId="0" fontId="13" fillId="0" borderId="44" xfId="218" applyFont="1" applyBorder="1"/>
    <xf numFmtId="0" fontId="13" fillId="13" borderId="44" xfId="218" applyFont="1" applyFill="1" applyBorder="1"/>
    <xf numFmtId="186" fontId="8" fillId="0" borderId="0" xfId="1" applyNumberFormat="1" applyFont="1"/>
    <xf numFmtId="0" fontId="72" fillId="0" borderId="0" xfId="218" applyFont="1"/>
    <xf numFmtId="186" fontId="13" fillId="0" borderId="0" xfId="1" applyNumberFormat="1" applyFont="1"/>
    <xf numFmtId="0" fontId="13" fillId="0" borderId="5" xfId="218" applyFont="1" applyBorder="1"/>
    <xf numFmtId="186" fontId="13" fillId="0" borderId="0" xfId="218" applyNumberFormat="1" applyFont="1"/>
    <xf numFmtId="41" fontId="8" fillId="0" borderId="19" xfId="218" applyNumberFormat="1" applyFont="1" applyBorder="1"/>
    <xf numFmtId="186" fontId="78" fillId="0" borderId="0" xfId="1" applyNumberFormat="1" applyFont="1"/>
    <xf numFmtId="202" fontId="13" fillId="0" borderId="0" xfId="128" applyNumberFormat="1" applyFont="1"/>
    <xf numFmtId="41" fontId="13" fillId="0" borderId="0" xfId="218" applyNumberFormat="1" applyFont="1"/>
    <xf numFmtId="202" fontId="13" fillId="0" borderId="0" xfId="128" applyNumberFormat="1" applyFont="1" applyBorder="1"/>
    <xf numFmtId="0" fontId="13" fillId="0" borderId="0" xfId="218" applyAlignment="1">
      <alignment horizontal="left" indent="3"/>
    </xf>
    <xf numFmtId="41" fontId="13" fillId="0" borderId="0" xfId="4" applyFont="1"/>
    <xf numFmtId="202" fontId="13" fillId="0" borderId="5" xfId="218" applyNumberFormat="1" applyFont="1" applyBorder="1"/>
    <xf numFmtId="202" fontId="13" fillId="0" borderId="0" xfId="218" applyNumberFormat="1" applyFont="1" applyBorder="1"/>
    <xf numFmtId="202" fontId="13" fillId="0" borderId="0" xfId="218" applyNumberFormat="1" applyFont="1"/>
    <xf numFmtId="41" fontId="8" fillId="0" borderId="0" xfId="218" applyNumberFormat="1" applyFont="1" applyBorder="1"/>
    <xf numFmtId="176" fontId="8" fillId="0" borderId="0" xfId="0" applyFont="1" applyAlignment="1">
      <alignment horizontal="center" vertical="top"/>
    </xf>
    <xf numFmtId="37" fontId="13" fillId="0" borderId="0" xfId="0" applyNumberFormat="1" applyFont="1" applyAlignment="1"/>
    <xf numFmtId="176" fontId="85" fillId="28" borderId="7" xfId="0" applyFont="1" applyFill="1" applyBorder="1">
      <alignment vertical="top"/>
    </xf>
    <xf numFmtId="176" fontId="0" fillId="28" borderId="8" xfId="0" applyFill="1" applyBorder="1">
      <alignment vertical="top"/>
    </xf>
    <xf numFmtId="176" fontId="0" fillId="28" borderId="9" xfId="0" applyFill="1" applyBorder="1">
      <alignment vertical="top"/>
    </xf>
    <xf numFmtId="176" fontId="0" fillId="28" borderId="0" xfId="0" applyFill="1" applyBorder="1">
      <alignment vertical="top"/>
    </xf>
    <xf numFmtId="176" fontId="0" fillId="28" borderId="10" xfId="0" applyFill="1" applyBorder="1">
      <alignment vertical="top"/>
    </xf>
    <xf numFmtId="176" fontId="0" fillId="28" borderId="5" xfId="0" applyFill="1" applyBorder="1">
      <alignment vertical="top"/>
    </xf>
    <xf numFmtId="198" fontId="8" fillId="29" borderId="7" xfId="0" applyNumberFormat="1" applyFont="1" applyFill="1" applyBorder="1" applyAlignment="1">
      <alignment horizontal="center" vertical="top"/>
    </xf>
    <xf numFmtId="198" fontId="8" fillId="29" borderId="8" xfId="0" applyNumberFormat="1" applyFont="1" applyFill="1" applyBorder="1" applyAlignment="1">
      <alignment horizontal="center" vertical="top"/>
    </xf>
    <xf numFmtId="198" fontId="8" fillId="29" borderId="11" xfId="0" applyNumberFormat="1" applyFont="1" applyFill="1" applyBorder="1" applyAlignment="1">
      <alignment horizontal="center" vertical="top"/>
    </xf>
    <xf numFmtId="198" fontId="8" fillId="29" borderId="17" xfId="0" applyNumberFormat="1" applyFont="1" applyFill="1" applyBorder="1" applyAlignment="1">
      <alignment horizontal="center" vertical="top"/>
    </xf>
    <xf numFmtId="198" fontId="8" fillId="29" borderId="10" xfId="0" applyNumberFormat="1" applyFont="1" applyFill="1" applyBorder="1" applyAlignment="1">
      <alignment horizontal="center" vertical="top"/>
    </xf>
    <xf numFmtId="198" fontId="8" fillId="29" borderId="5" xfId="0" applyNumberFormat="1" applyFont="1" applyFill="1" applyBorder="1" applyAlignment="1">
      <alignment horizontal="left" vertical="top"/>
    </xf>
    <xf numFmtId="198" fontId="8" fillId="29" borderId="5" xfId="0" applyNumberFormat="1" applyFont="1" applyFill="1" applyBorder="1" applyAlignment="1">
      <alignment horizontal="center" vertical="top"/>
    </xf>
    <xf numFmtId="198" fontId="8" fillId="29" borderId="15" xfId="0" applyNumberFormat="1" applyFont="1" applyFill="1" applyBorder="1" applyAlignment="1">
      <alignment horizontal="center" vertical="top"/>
    </xf>
    <xf numFmtId="37" fontId="13" fillId="0" borderId="9" xfId="0" applyNumberFormat="1" applyFont="1" applyBorder="1" applyAlignment="1"/>
    <xf numFmtId="37" fontId="13" fillId="0" borderId="0" xfId="0" applyNumberFormat="1" applyFont="1" applyBorder="1" applyAlignment="1"/>
    <xf numFmtId="0" fontId="13" fillId="0" borderId="13" xfId="0" applyNumberFormat="1" applyFont="1" applyBorder="1" applyAlignment="1">
      <alignment horizontal="center"/>
    </xf>
    <xf numFmtId="37" fontId="8" fillId="0" borderId="13" xfId="0" applyNumberFormat="1" applyFont="1" applyBorder="1" applyAlignment="1">
      <alignment horizontal="left"/>
    </xf>
    <xf numFmtId="37" fontId="13" fillId="0" borderId="10" xfId="0" applyNumberFormat="1" applyFont="1" applyBorder="1" applyAlignment="1"/>
    <xf numFmtId="37" fontId="13" fillId="0" borderId="5" xfId="0" applyNumberFormat="1" applyFont="1" applyBorder="1" applyAlignment="1"/>
    <xf numFmtId="176" fontId="13" fillId="0" borderId="7" xfId="0" applyFont="1" applyBorder="1">
      <alignment vertical="top"/>
    </xf>
    <xf numFmtId="37" fontId="30" fillId="0" borderId="9" xfId="0" applyNumberFormat="1" applyFont="1" applyBorder="1" applyAlignment="1"/>
    <xf numFmtId="37" fontId="30" fillId="0" borderId="0" xfId="0" applyNumberFormat="1" applyFont="1" applyBorder="1" applyAlignment="1"/>
    <xf numFmtId="176" fontId="13" fillId="0" borderId="13" xfId="0" applyFont="1" applyFill="1" applyBorder="1">
      <alignment vertical="top"/>
    </xf>
    <xf numFmtId="37" fontId="13" fillId="0" borderId="7" xfId="0" applyNumberFormat="1" applyFont="1" applyBorder="1" applyAlignment="1"/>
    <xf numFmtId="37" fontId="13" fillId="0" borderId="8" xfId="0" applyNumberFormat="1" applyFont="1" applyBorder="1" applyAlignment="1"/>
    <xf numFmtId="37" fontId="8" fillId="0" borderId="8" xfId="0" applyNumberFormat="1" applyFont="1" applyBorder="1" applyAlignment="1"/>
    <xf numFmtId="176" fontId="13" fillId="0" borderId="8" xfId="0" applyFont="1" applyBorder="1">
      <alignment vertical="top"/>
    </xf>
    <xf numFmtId="176" fontId="13" fillId="0" borderId="17" xfId="0" applyFont="1" applyBorder="1">
      <alignment vertical="top"/>
    </xf>
    <xf numFmtId="37" fontId="13" fillId="0" borderId="19" xfId="0" applyNumberFormat="1" applyFont="1" applyBorder="1" applyAlignment="1"/>
    <xf numFmtId="176" fontId="13" fillId="0" borderId="19" xfId="0" applyFont="1" applyBorder="1">
      <alignment vertical="top"/>
    </xf>
    <xf numFmtId="176" fontId="13" fillId="0" borderId="4" xfId="0" applyFont="1" applyBorder="1">
      <alignment vertical="top"/>
    </xf>
    <xf numFmtId="198" fontId="8" fillId="29" borderId="18" xfId="0" applyNumberFormat="1" applyFont="1" applyFill="1" applyBorder="1" applyAlignment="1">
      <alignment horizontal="center" vertical="top"/>
    </xf>
    <xf numFmtId="198" fontId="8" fillId="29" borderId="4" xfId="0" applyNumberFormat="1" applyFont="1" applyFill="1" applyBorder="1" applyAlignment="1">
      <alignment horizontal="center" vertical="top"/>
    </xf>
    <xf numFmtId="37" fontId="13" fillId="0" borderId="13" xfId="0" applyNumberFormat="1" applyFont="1" applyBorder="1" applyAlignment="1"/>
    <xf numFmtId="37" fontId="13" fillId="0" borderId="0" xfId="0" applyNumberFormat="1" applyFont="1" applyBorder="1" applyAlignment="1">
      <alignment horizontal="center"/>
    </xf>
    <xf numFmtId="176" fontId="30" fillId="0" borderId="0" xfId="0" applyFont="1" applyBorder="1">
      <alignment vertical="top"/>
    </xf>
    <xf numFmtId="41" fontId="13" fillId="0" borderId="13" xfId="4" applyFont="1" applyBorder="1" applyAlignment="1"/>
    <xf numFmtId="37" fontId="8" fillId="0" borderId="8" xfId="0" applyNumberFormat="1" applyFont="1" applyBorder="1" applyAlignment="1">
      <alignment horizontal="center"/>
    </xf>
    <xf numFmtId="176" fontId="0" fillId="28" borderId="11" xfId="0" applyFill="1" applyBorder="1">
      <alignment vertical="top"/>
    </xf>
    <xf numFmtId="176" fontId="0" fillId="28" borderId="13" xfId="0" applyFill="1" applyBorder="1">
      <alignment vertical="top"/>
    </xf>
    <xf numFmtId="198" fontId="0" fillId="28" borderId="0" xfId="0" applyNumberFormat="1" applyFill="1" applyBorder="1" applyAlignment="1">
      <alignment horizontal="center" vertical="top"/>
    </xf>
    <xf numFmtId="176" fontId="26" fillId="28" borderId="13" xfId="6" applyNumberFormat="1" applyFill="1" applyBorder="1" applyProtection="1">
      <alignment vertical="top"/>
    </xf>
    <xf numFmtId="176" fontId="0" fillId="28" borderId="15" xfId="0" applyFill="1" applyBorder="1">
      <alignment vertical="top"/>
    </xf>
    <xf numFmtId="198" fontId="0" fillId="28" borderId="5" xfId="0" applyNumberFormat="1" applyFill="1" applyBorder="1" applyAlignment="1">
      <alignment horizontal="center" vertical="top"/>
    </xf>
    <xf numFmtId="37" fontId="48" fillId="0" borderId="11" xfId="0" applyNumberFormat="1" applyFont="1" applyBorder="1" applyAlignment="1"/>
    <xf numFmtId="198" fontId="8" fillId="29" borderId="16" xfId="0" applyNumberFormat="1" applyFont="1" applyFill="1" applyBorder="1" applyAlignment="1">
      <alignment horizontal="center" vertical="top"/>
    </xf>
    <xf numFmtId="9" fontId="13" fillId="0" borderId="13" xfId="0" applyNumberFormat="1" applyFont="1" applyBorder="1" applyAlignment="1"/>
    <xf numFmtId="177" fontId="13" fillId="0" borderId="13" xfId="1" applyFont="1" applyBorder="1"/>
    <xf numFmtId="177" fontId="13" fillId="0" borderId="9" xfId="1" applyFont="1" applyBorder="1"/>
    <xf numFmtId="186" fontId="13" fillId="0" borderId="13" xfId="1" applyNumberFormat="1" applyFont="1" applyBorder="1"/>
    <xf numFmtId="37" fontId="13" fillId="0" borderId="15" xfId="0" applyNumberFormat="1" applyFont="1" applyBorder="1" applyAlignment="1"/>
    <xf numFmtId="37" fontId="8" fillId="0" borderId="0" xfId="0" applyNumberFormat="1" applyFont="1" applyAlignment="1"/>
    <xf numFmtId="176" fontId="0" fillId="30" borderId="7" xfId="0" applyFill="1" applyBorder="1" applyAlignment="1"/>
    <xf numFmtId="176" fontId="0" fillId="30" borderId="8" xfId="0" applyFill="1" applyBorder="1" applyAlignment="1"/>
    <xf numFmtId="176" fontId="8" fillId="30" borderId="8" xfId="0" applyFont="1" applyFill="1" applyBorder="1" applyAlignment="1">
      <alignment horizontal="center"/>
    </xf>
    <xf numFmtId="176" fontId="86" fillId="30" borderId="9" xfId="0" applyFont="1" applyFill="1" applyBorder="1" applyAlignment="1"/>
    <xf numFmtId="176" fontId="13" fillId="30" borderId="0" xfId="0" applyFont="1" applyFill="1" applyBorder="1" applyAlignment="1"/>
    <xf numFmtId="176" fontId="8" fillId="30" borderId="0" xfId="0" applyFont="1" applyFill="1" applyBorder="1" applyAlignment="1">
      <alignment horizontal="center"/>
    </xf>
    <xf numFmtId="176" fontId="13" fillId="30" borderId="9" xfId="0" applyFont="1" applyFill="1" applyBorder="1" applyAlignment="1"/>
    <xf numFmtId="176" fontId="13" fillId="30" borderId="0" xfId="0" applyFont="1" applyFill="1" applyBorder="1" applyAlignment="1">
      <alignment horizontal="left"/>
    </xf>
    <xf numFmtId="9" fontId="8" fillId="30" borderId="0" xfId="3" applyFont="1" applyFill="1" applyBorder="1" applyAlignment="1">
      <alignment horizontal="center"/>
    </xf>
    <xf numFmtId="176" fontId="8" fillId="30" borderId="0" xfId="0" applyFont="1" applyFill="1" applyBorder="1" applyAlignment="1"/>
    <xf numFmtId="176" fontId="13" fillId="30" borderId="9" xfId="0" applyFont="1" applyFill="1" applyBorder="1" applyAlignment="1">
      <alignment horizontal="left"/>
    </xf>
    <xf numFmtId="176" fontId="8" fillId="30" borderId="9" xfId="0" applyFont="1" applyFill="1" applyBorder="1" applyAlignment="1">
      <alignment horizontal="left"/>
    </xf>
    <xf numFmtId="176" fontId="0" fillId="0" borderId="0" xfId="0" applyFill="1" applyBorder="1">
      <alignment vertical="top"/>
    </xf>
    <xf numFmtId="204" fontId="72" fillId="0" borderId="0" xfId="258" applyNumberFormat="1" applyFont="1" applyBorder="1"/>
    <xf numFmtId="0" fontId="0" fillId="0" borderId="0" xfId="258" applyFont="1" applyBorder="1"/>
    <xf numFmtId="37" fontId="87" fillId="0" borderId="0" xfId="0" applyNumberFormat="1" applyFont="1" applyBorder="1" applyAlignment="1"/>
    <xf numFmtId="204" fontId="13" fillId="0" borderId="0" xfId="258" applyNumberFormat="1" applyBorder="1"/>
    <xf numFmtId="0" fontId="13" fillId="0" borderId="9" xfId="258" applyBorder="1" applyAlignment="1">
      <alignment horizontal="center"/>
    </xf>
    <xf numFmtId="0" fontId="13" fillId="0" borderId="0" xfId="258" applyBorder="1"/>
    <xf numFmtId="0" fontId="13" fillId="0" borderId="0" xfId="258" applyBorder="1" applyAlignment="1">
      <alignment horizontal="center"/>
    </xf>
    <xf numFmtId="37" fontId="48" fillId="0" borderId="0" xfId="0" applyNumberFormat="1" applyFont="1" applyBorder="1" applyAlignment="1">
      <alignment horizontal="center" vertical="center"/>
    </xf>
    <xf numFmtId="176" fontId="27" fillId="31" borderId="9" xfId="0" applyFont="1" applyFill="1" applyBorder="1" applyAlignment="1">
      <alignment horizontal="left"/>
    </xf>
    <xf numFmtId="176" fontId="0" fillId="31" borderId="0" xfId="0" applyFill="1" applyBorder="1" applyAlignment="1"/>
    <xf numFmtId="37" fontId="8" fillId="0" borderId="16" xfId="0" applyNumberFormat="1" applyFont="1" applyBorder="1" applyAlignment="1">
      <alignment horizontal="center"/>
    </xf>
    <xf numFmtId="39" fontId="88" fillId="0" borderId="0" xfId="0" applyNumberFormat="1" applyFont="1" applyAlignment="1"/>
    <xf numFmtId="204" fontId="50" fillId="0" borderId="0" xfId="0" applyNumberFormat="1" applyFont="1" applyAlignment="1"/>
    <xf numFmtId="176" fontId="0" fillId="30" borderId="0" xfId="0" applyFill="1" applyBorder="1" applyAlignment="1"/>
    <xf numFmtId="204" fontId="71" fillId="30" borderId="0" xfId="0" applyNumberFormat="1" applyFont="1" applyFill="1" applyBorder="1" applyAlignment="1">
      <alignment horizontal="center"/>
    </xf>
    <xf numFmtId="204" fontId="8" fillId="30" borderId="0" xfId="0" applyNumberFormat="1" applyFont="1" applyFill="1" applyBorder="1" applyAlignment="1">
      <alignment horizontal="center"/>
    </xf>
    <xf numFmtId="176" fontId="13" fillId="30" borderId="0" xfId="0" applyFont="1" applyFill="1" applyBorder="1" applyAlignment="1">
      <alignment horizontal="center"/>
    </xf>
    <xf numFmtId="9" fontId="13" fillId="30" borderId="0" xfId="3" applyFont="1" applyFill="1" applyBorder="1"/>
    <xf numFmtId="186" fontId="13" fillId="30" borderId="0" xfId="1" applyNumberFormat="1" applyFont="1" applyFill="1" applyBorder="1" applyAlignment="1">
      <alignment horizontal="center"/>
    </xf>
    <xf numFmtId="9" fontId="8" fillId="30" borderId="0" xfId="3" applyFont="1" applyFill="1" applyBorder="1"/>
    <xf numFmtId="0" fontId="13" fillId="0" borderId="0" xfId="258" applyBorder="1" applyAlignment="1">
      <alignment horizontal="center" vertical="center"/>
    </xf>
    <xf numFmtId="41" fontId="0" fillId="0" borderId="0" xfId="84" applyFont="1" applyBorder="1"/>
    <xf numFmtId="176" fontId="13" fillId="32" borderId="0" xfId="0" applyFont="1" applyFill="1" applyBorder="1" applyAlignment="1"/>
    <xf numFmtId="37" fontId="89" fillId="0" borderId="0" xfId="0" applyNumberFormat="1" applyFont="1" applyAlignment="1">
      <alignment horizontal="center"/>
    </xf>
    <xf numFmtId="9" fontId="0" fillId="30" borderId="8" xfId="3" applyFont="1" applyFill="1" applyBorder="1"/>
    <xf numFmtId="37" fontId="48" fillId="0" borderId="12" xfId="0" applyNumberFormat="1" applyFont="1" applyBorder="1" applyAlignment="1"/>
    <xf numFmtId="9" fontId="13" fillId="30" borderId="0" xfId="3" applyFill="1" applyBorder="1"/>
    <xf numFmtId="37" fontId="89" fillId="0" borderId="14" xfId="0" applyNumberFormat="1" applyFont="1" applyBorder="1" applyAlignment="1">
      <alignment horizontal="center"/>
    </xf>
    <xf numFmtId="9" fontId="13" fillId="30" borderId="0" xfId="3" applyFont="1" applyFill="1" applyBorder="1" applyAlignment="1">
      <alignment horizontal="center"/>
    </xf>
    <xf numFmtId="37" fontId="48" fillId="0" borderId="14" xfId="0" applyNumberFormat="1" applyFont="1" applyBorder="1" applyAlignment="1"/>
    <xf numFmtId="176" fontId="0" fillId="0" borderId="0" xfId="0" applyBorder="1" applyAlignment="1">
      <alignment vertical="top"/>
    </xf>
    <xf numFmtId="186" fontId="13" fillId="30" borderId="0" xfId="1" applyNumberFormat="1" applyFont="1" applyFill="1" applyBorder="1" applyAlignment="1"/>
    <xf numFmtId="186" fontId="13" fillId="30" borderId="0" xfId="1" applyNumberFormat="1" applyFont="1" applyFill="1" applyBorder="1"/>
    <xf numFmtId="9" fontId="13" fillId="32" borderId="0" xfId="3" applyFont="1" applyFill="1" applyBorder="1"/>
    <xf numFmtId="37" fontId="48" fillId="32" borderId="14" xfId="0" applyNumberFormat="1" applyFont="1" applyFill="1" applyBorder="1" applyAlignment="1"/>
    <xf numFmtId="205" fontId="8" fillId="31" borderId="0" xfId="0" applyNumberFormat="1" applyFont="1" applyFill="1" applyBorder="1" applyAlignment="1">
      <alignment horizontal="center"/>
    </xf>
    <xf numFmtId="176" fontId="8" fillId="31" borderId="0" xfId="0" applyFont="1" applyFill="1" applyBorder="1" applyAlignment="1">
      <alignment horizontal="left"/>
    </xf>
    <xf numFmtId="37" fontId="28" fillId="32" borderId="9" xfId="0" applyNumberFormat="1" applyFont="1" applyFill="1" applyBorder="1" applyAlignment="1"/>
    <xf numFmtId="176" fontId="0" fillId="31" borderId="0" xfId="0" applyFill="1" applyBorder="1" applyAlignment="1">
      <alignment horizontal="center"/>
    </xf>
    <xf numFmtId="37" fontId="13" fillId="32" borderId="9" xfId="0" applyNumberFormat="1" applyFont="1" applyFill="1" applyBorder="1">
      <alignment vertical="top"/>
    </xf>
    <xf numFmtId="37" fontId="13" fillId="32" borderId="0" xfId="0" applyNumberFormat="1" applyFont="1" applyFill="1" applyBorder="1">
      <alignment vertical="top"/>
    </xf>
    <xf numFmtId="176" fontId="13" fillId="30" borderId="10" xfId="0" applyFont="1" applyFill="1" applyBorder="1" applyAlignment="1"/>
    <xf numFmtId="176" fontId="13" fillId="30" borderId="5" xfId="0" applyFont="1" applyFill="1" applyBorder="1" applyAlignment="1"/>
    <xf numFmtId="176" fontId="8" fillId="30" borderId="5" xfId="0" applyFont="1" applyFill="1" applyBorder="1" applyAlignment="1">
      <alignment horizontal="center"/>
    </xf>
    <xf numFmtId="0" fontId="87" fillId="0" borderId="0" xfId="0" applyNumberFormat="1" applyFont="1" applyAlignment="1">
      <alignment horizontal="center" vertical="center"/>
    </xf>
    <xf numFmtId="176" fontId="8" fillId="31" borderId="0" xfId="0" applyFont="1" applyFill="1" applyBorder="1" applyAlignment="1">
      <alignment horizontal="center"/>
    </xf>
    <xf numFmtId="9" fontId="13" fillId="30" borderId="5" xfId="3" applyFont="1" applyFill="1" applyBorder="1"/>
    <xf numFmtId="37" fontId="48" fillId="0" borderId="16" xfId="0" applyNumberFormat="1" applyFont="1" applyBorder="1" applyAlignment="1"/>
    <xf numFmtId="176" fontId="90" fillId="14" borderId="7" xfId="0" applyFont="1" applyFill="1" applyBorder="1" applyAlignment="1">
      <alignment horizontal="left"/>
    </xf>
    <xf numFmtId="176" fontId="0" fillId="14" borderId="8" xfId="0" applyFont="1" applyFill="1" applyBorder="1" applyAlignment="1"/>
    <xf numFmtId="176" fontId="7" fillId="14" borderId="10" xfId="0" applyFont="1" applyFill="1" applyBorder="1" applyAlignment="1">
      <alignment horizontal="centerContinuous" wrapText="1"/>
    </xf>
    <xf numFmtId="176" fontId="7" fillId="14" borderId="5" xfId="0" applyFont="1" applyFill="1" applyBorder="1" applyAlignment="1">
      <alignment horizontal="centerContinuous" wrapText="1"/>
    </xf>
    <xf numFmtId="176" fontId="7" fillId="14" borderId="5" xfId="0" applyFont="1" applyFill="1" applyBorder="1" applyAlignment="1">
      <alignment horizontal="left" wrapText="1"/>
    </xf>
    <xf numFmtId="176" fontId="7" fillId="14" borderId="0" xfId="0" applyFont="1" applyFill="1" applyBorder="1" applyAlignment="1">
      <alignment horizontal="left" wrapText="1"/>
    </xf>
    <xf numFmtId="176" fontId="0" fillId="14" borderId="16" xfId="0" applyFill="1" applyBorder="1" applyAlignment="1">
      <alignment vertical="center"/>
    </xf>
    <xf numFmtId="202" fontId="7" fillId="14" borderId="9" xfId="1" applyNumberFormat="1" applyFont="1" applyFill="1" applyBorder="1" applyAlignment="1">
      <alignment horizontal="left"/>
    </xf>
    <xf numFmtId="202" fontId="0" fillId="14" borderId="8" xfId="1" applyNumberFormat="1" applyFont="1" applyFill="1" applyBorder="1"/>
    <xf numFmtId="202" fontId="0" fillId="14" borderId="0" xfId="1" applyNumberFormat="1" applyFont="1" applyFill="1"/>
    <xf numFmtId="202" fontId="0" fillId="14" borderId="10" xfId="1" applyNumberFormat="1" applyFont="1" applyFill="1" applyBorder="1"/>
    <xf numFmtId="202" fontId="0" fillId="14" borderId="5" xfId="1" applyNumberFormat="1" applyFont="1" applyFill="1" applyBorder="1"/>
    <xf numFmtId="176" fontId="13" fillId="14" borderId="16" xfId="0" applyFont="1" applyFill="1" applyBorder="1">
      <alignment vertical="top"/>
    </xf>
    <xf numFmtId="202" fontId="0" fillId="14" borderId="9" xfId="1" applyNumberFormat="1" applyFont="1" applyFill="1" applyBorder="1"/>
    <xf numFmtId="202" fontId="7" fillId="14" borderId="10" xfId="1" applyNumberFormat="1" applyFont="1" applyFill="1" applyBorder="1"/>
    <xf numFmtId="202" fontId="7" fillId="14" borderId="5" xfId="1" applyNumberFormat="1" applyFont="1" applyFill="1" applyBorder="1"/>
    <xf numFmtId="37" fontId="8" fillId="8" borderId="65" xfId="0" applyNumberFormat="1" applyFont="1" applyFill="1" applyBorder="1" applyAlignment="1">
      <alignment horizontal="center"/>
    </xf>
    <xf numFmtId="37" fontId="8" fillId="8" borderId="33" xfId="0" applyNumberFormat="1" applyFont="1" applyFill="1" applyBorder="1" applyAlignment="1">
      <alignment horizontal="center"/>
    </xf>
    <xf numFmtId="41" fontId="8" fillId="8" borderId="66" xfId="0" applyNumberFormat="1" applyFont="1" applyFill="1" applyBorder="1" applyAlignment="1">
      <alignment horizontal="center"/>
    </xf>
    <xf numFmtId="37" fontId="8" fillId="8" borderId="66" xfId="0" applyNumberFormat="1" applyFont="1" applyFill="1" applyBorder="1" applyAlignment="1">
      <alignment horizontal="center"/>
    </xf>
    <xf numFmtId="37" fontId="8" fillId="8" borderId="65" xfId="0" applyNumberFormat="1" applyFont="1" applyFill="1" applyBorder="1" applyAlignment="1">
      <alignment horizontal="center" vertical="center"/>
    </xf>
    <xf numFmtId="37" fontId="8" fillId="8" borderId="67" xfId="0" applyNumberFormat="1" applyFont="1" applyFill="1" applyBorder="1" applyAlignment="1">
      <alignment horizontal="center" vertical="center"/>
    </xf>
    <xf numFmtId="37" fontId="8" fillId="8" borderId="9" xfId="0" applyNumberFormat="1" applyFont="1" applyFill="1" applyBorder="1" applyAlignment="1"/>
    <xf numFmtId="37" fontId="8" fillId="8" borderId="0" xfId="0" applyNumberFormat="1" applyFont="1" applyFill="1" applyBorder="1" applyAlignment="1"/>
    <xf numFmtId="41" fontId="8" fillId="8" borderId="13" xfId="0" applyNumberFormat="1" applyFont="1" applyFill="1" applyBorder="1" applyAlignment="1">
      <alignment horizontal="center"/>
    </xf>
    <xf numFmtId="37" fontId="8" fillId="8" borderId="13" xfId="0" applyNumberFormat="1" applyFont="1" applyFill="1" applyBorder="1" applyAlignment="1">
      <alignment horizontal="center"/>
    </xf>
    <xf numFmtId="37" fontId="8" fillId="8" borderId="10" xfId="0" applyNumberFormat="1" applyFont="1" applyFill="1" applyBorder="1" applyAlignment="1">
      <alignment horizontal="center" vertical="center"/>
    </xf>
    <xf numFmtId="37" fontId="8" fillId="8" borderId="16" xfId="0" applyNumberFormat="1" applyFont="1" applyFill="1" applyBorder="1" applyAlignment="1">
      <alignment horizontal="center" vertical="center"/>
    </xf>
    <xf numFmtId="37" fontId="8" fillId="8" borderId="68" xfId="0" applyNumberFormat="1" applyFont="1" applyFill="1" applyBorder="1" applyAlignment="1">
      <alignment horizontal="center"/>
    </xf>
    <xf numFmtId="37" fontId="8" fillId="8" borderId="45" xfId="0" applyNumberFormat="1" applyFont="1" applyFill="1" applyBorder="1" applyAlignment="1">
      <alignment horizontal="center"/>
    </xf>
    <xf numFmtId="204" fontId="8" fillId="8" borderId="69" xfId="0" applyNumberFormat="1" applyFont="1" applyFill="1" applyBorder="1" applyAlignment="1">
      <alignment horizontal="center"/>
    </xf>
    <xf numFmtId="37" fontId="8" fillId="8" borderId="69" xfId="0" applyNumberFormat="1" applyFont="1" applyFill="1" applyBorder="1" applyAlignment="1">
      <alignment horizontal="center"/>
    </xf>
    <xf numFmtId="37" fontId="8" fillId="0" borderId="31" xfId="0" applyNumberFormat="1" applyFont="1" applyBorder="1" applyAlignment="1">
      <alignment horizontal="left"/>
    </xf>
    <xf numFmtId="37" fontId="13" fillId="0" borderId="62" xfId="0" applyNumberFormat="1" applyFont="1" applyBorder="1">
      <alignment vertical="top"/>
    </xf>
    <xf numFmtId="176" fontId="0" fillId="0" borderId="70" xfId="0" applyFont="1" applyBorder="1">
      <alignment vertical="top"/>
    </xf>
    <xf numFmtId="41" fontId="8" fillId="0" borderId="71" xfId="4" applyFont="1" applyBorder="1" applyAlignment="1">
      <alignment vertical="top"/>
    </xf>
    <xf numFmtId="37" fontId="13" fillId="0" borderId="45" xfId="0" applyNumberFormat="1" applyFont="1" applyBorder="1">
      <alignment vertical="top"/>
    </xf>
    <xf numFmtId="37" fontId="13" fillId="0" borderId="69" xfId="0" applyNumberFormat="1" applyFont="1" applyBorder="1">
      <alignment vertical="top"/>
    </xf>
    <xf numFmtId="38" fontId="8" fillId="0" borderId="0" xfId="0" applyNumberFormat="1" applyFont="1" applyAlignment="1">
      <alignment horizontal="left"/>
    </xf>
    <xf numFmtId="176" fontId="0" fillId="0" borderId="0" xfId="0" applyFont="1" applyBorder="1">
      <alignment vertical="top"/>
    </xf>
    <xf numFmtId="176" fontId="7" fillId="14" borderId="17" xfId="0" applyFont="1" applyFill="1" applyBorder="1" applyAlignment="1">
      <alignment horizontal="center" vertical="top"/>
    </xf>
    <xf numFmtId="176" fontId="7" fillId="14" borderId="19" xfId="0" applyFont="1" applyFill="1" applyBorder="1" applyAlignment="1">
      <alignment horizontal="center" vertical="top"/>
    </xf>
    <xf numFmtId="176" fontId="7" fillId="14" borderId="4" xfId="0" applyFont="1" applyFill="1" applyBorder="1" applyAlignment="1">
      <alignment horizontal="center" vertical="top"/>
    </xf>
    <xf numFmtId="176" fontId="7" fillId="14" borderId="18" xfId="0" applyFont="1" applyFill="1" applyBorder="1" applyAlignment="1">
      <alignment horizontal="center" vertical="top"/>
    </xf>
    <xf numFmtId="176" fontId="0" fillId="0" borderId="7" xfId="0" applyBorder="1">
      <alignment vertical="top"/>
    </xf>
    <xf numFmtId="9" fontId="7" fillId="0" borderId="4" xfId="3" applyFont="1" applyBorder="1" applyAlignment="1">
      <alignment vertical="top"/>
    </xf>
    <xf numFmtId="176" fontId="7" fillId="14" borderId="4" xfId="0" applyFont="1" applyFill="1" applyBorder="1">
      <alignment vertical="top"/>
    </xf>
    <xf numFmtId="176" fontId="8" fillId="14" borderId="17" xfId="0" applyFont="1" applyFill="1" applyBorder="1" applyAlignment="1">
      <alignment horizontal="left"/>
    </xf>
    <xf numFmtId="176" fontId="8" fillId="14" borderId="18" xfId="0" applyFont="1" applyFill="1" applyBorder="1" applyAlignment="1">
      <alignment horizontal="center"/>
    </xf>
    <xf numFmtId="0" fontId="7" fillId="14" borderId="17" xfId="0" applyNumberFormat="1" applyFont="1" applyFill="1" applyBorder="1" applyAlignment="1">
      <alignment horizontal="center" vertical="top"/>
    </xf>
    <xf numFmtId="0" fontId="7" fillId="14" borderId="19" xfId="0" applyNumberFormat="1" applyFont="1" applyFill="1" applyBorder="1" applyAlignment="1">
      <alignment horizontal="center" vertical="top"/>
    </xf>
    <xf numFmtId="176" fontId="91" fillId="0" borderId="4" xfId="0" applyFont="1" applyBorder="1" applyAlignment="1">
      <alignment vertical="top" textRotation="45" wrapText="1"/>
    </xf>
    <xf numFmtId="9" fontId="0" fillId="0" borderId="4" xfId="3" applyFont="1" applyBorder="1" applyAlignment="1">
      <alignment horizontal="center" vertical="top"/>
    </xf>
    <xf numFmtId="176" fontId="7" fillId="0" borderId="0" xfId="0" applyFont="1" applyBorder="1">
      <alignment vertical="top"/>
    </xf>
    <xf numFmtId="10" fontId="0" fillId="0" borderId="0" xfId="0" applyNumberFormat="1" applyFont="1">
      <alignment vertical="top"/>
    </xf>
    <xf numFmtId="176" fontId="0" fillId="0" borderId="4" xfId="0" applyFont="1" applyBorder="1">
      <alignment vertical="top"/>
    </xf>
    <xf numFmtId="176" fontId="0" fillId="33" borderId="17" xfId="0" applyFont="1" applyFill="1" applyBorder="1">
      <alignment vertical="top"/>
    </xf>
    <xf numFmtId="176" fontId="0" fillId="33" borderId="4" xfId="0" applyFill="1" applyBorder="1" applyAlignment="1">
      <alignment horizontal="center" vertical="top"/>
    </xf>
    <xf numFmtId="176" fontId="0" fillId="0" borderId="19" xfId="0" applyBorder="1" applyAlignment="1">
      <alignment horizontal="center" vertical="top"/>
    </xf>
    <xf numFmtId="198" fontId="0" fillId="0" borderId="13" xfId="0" applyNumberFormat="1" applyBorder="1" applyAlignment="1">
      <alignment horizontal="center" vertical="top"/>
    </xf>
    <xf numFmtId="198" fontId="0" fillId="0" borderId="0" xfId="0" applyNumberFormat="1" applyBorder="1" applyAlignment="1">
      <alignment horizontal="center" vertical="top"/>
    </xf>
    <xf numFmtId="198" fontId="0" fillId="0" borderId="4" xfId="0" applyNumberFormat="1" applyBorder="1" applyAlignment="1">
      <alignment horizontal="left" vertical="top" wrapText="1"/>
    </xf>
    <xf numFmtId="198" fontId="0" fillId="0" borderId="19" xfId="0" applyNumberFormat="1" applyBorder="1" applyAlignment="1">
      <alignment horizontal="left" vertical="top" wrapText="1"/>
    </xf>
    <xf numFmtId="198" fontId="0" fillId="0" borderId="4" xfId="0" applyNumberFormat="1" applyBorder="1" applyAlignment="1">
      <alignment horizontal="center" vertical="top"/>
    </xf>
    <xf numFmtId="198" fontId="0" fillId="0" borderId="19" xfId="0" applyNumberFormat="1" applyBorder="1" applyAlignment="1">
      <alignment horizontal="center" vertical="top"/>
    </xf>
    <xf numFmtId="176" fontId="0" fillId="14" borderId="17" xfId="0" applyFill="1" applyBorder="1">
      <alignment vertical="top"/>
    </xf>
    <xf numFmtId="0" fontId="0" fillId="14" borderId="4" xfId="0" applyNumberFormat="1" applyFill="1" applyBorder="1" applyAlignment="1">
      <alignment horizontal="center" vertical="top"/>
    </xf>
    <xf numFmtId="176" fontId="0" fillId="14" borderId="7" xfId="0" applyFont="1" applyFill="1" applyBorder="1" applyAlignment="1">
      <alignment horizontal="center"/>
    </xf>
    <xf numFmtId="176" fontId="0" fillId="14" borderId="11" xfId="0" applyFont="1" applyFill="1" applyBorder="1" applyAlignment="1"/>
    <xf numFmtId="204" fontId="0" fillId="14" borderId="10" xfId="0" applyNumberFormat="1" applyFont="1" applyFill="1" applyBorder="1" applyAlignment="1">
      <alignment horizontal="center" vertical="center"/>
    </xf>
    <xf numFmtId="176" fontId="55" fillId="14" borderId="15" xfId="0" applyFont="1" applyFill="1" applyBorder="1" applyAlignment="1">
      <alignment horizontal="center" vertical="center"/>
    </xf>
    <xf numFmtId="202" fontId="0" fillId="14" borderId="13" xfId="1" applyNumberFormat="1" applyFont="1" applyFill="1" applyBorder="1" applyAlignment="1">
      <alignment horizontal="center"/>
    </xf>
    <xf numFmtId="202" fontId="0" fillId="14" borderId="14" xfId="1" applyNumberFormat="1" applyFont="1" applyFill="1" applyBorder="1"/>
    <xf numFmtId="176" fontId="13" fillId="14" borderId="15" xfId="0" applyFont="1" applyFill="1" applyBorder="1" applyAlignment="1">
      <alignment horizontal="center" vertical="top"/>
    </xf>
    <xf numFmtId="176" fontId="13" fillId="14" borderId="16" xfId="0" applyFont="1" applyFill="1" applyBorder="1" applyAlignment="1">
      <alignment horizontal="center" vertical="top"/>
    </xf>
    <xf numFmtId="202" fontId="0" fillId="14" borderId="11" xfId="1" applyNumberFormat="1" applyFont="1" applyFill="1" applyBorder="1"/>
    <xf numFmtId="198" fontId="0" fillId="14" borderId="15" xfId="271" applyNumberFormat="1" applyFont="1" applyFill="1" applyBorder="1" applyAlignment="1">
      <alignment horizontal="center"/>
    </xf>
    <xf numFmtId="37" fontId="13" fillId="0" borderId="45" xfId="0" applyNumberFormat="1" applyFont="1" applyBorder="1" applyAlignment="1"/>
    <xf numFmtId="37" fontId="8" fillId="8" borderId="9" xfId="0" applyNumberFormat="1" applyFont="1" applyFill="1" applyBorder="1" applyAlignment="1">
      <alignment horizontal="center"/>
    </xf>
    <xf numFmtId="204" fontId="8" fillId="8" borderId="68" xfId="0" applyNumberFormat="1" applyFont="1" applyFill="1" applyBorder="1" applyAlignment="1">
      <alignment horizontal="center"/>
    </xf>
    <xf numFmtId="37" fontId="13" fillId="0" borderId="66" xfId="0" applyNumberFormat="1" applyFont="1" applyBorder="1">
      <alignment vertical="top"/>
    </xf>
    <xf numFmtId="41" fontId="8" fillId="0" borderId="72" xfId="4" applyFont="1" applyBorder="1" applyAlignment="1">
      <alignment vertical="top"/>
    </xf>
    <xf numFmtId="41" fontId="13" fillId="0" borderId="69" xfId="4" applyFont="1" applyBorder="1" applyAlignment="1">
      <alignment vertical="top"/>
    </xf>
    <xf numFmtId="41" fontId="8" fillId="0" borderId="69" xfId="4" applyFont="1" applyBorder="1" applyAlignment="1">
      <alignment horizontal="center"/>
    </xf>
    <xf numFmtId="41" fontId="13" fillId="0" borderId="68" xfId="4" applyFont="1" applyBorder="1" applyAlignment="1">
      <alignment vertical="top"/>
    </xf>
    <xf numFmtId="0" fontId="7" fillId="14" borderId="18" xfId="0" applyNumberFormat="1" applyFont="1" applyFill="1" applyBorder="1" applyAlignment="1">
      <alignment horizontal="center" vertical="top"/>
    </xf>
    <xf numFmtId="210" fontId="0" fillId="0" borderId="0" xfId="3" applyNumberFormat="1" applyFont="1" applyAlignment="1">
      <alignment vertical="top"/>
    </xf>
    <xf numFmtId="176" fontId="0" fillId="33" borderId="4" xfId="0" applyFont="1" applyFill="1" applyBorder="1" applyAlignment="1">
      <alignment horizontal="center" vertical="top"/>
    </xf>
    <xf numFmtId="176" fontId="0" fillId="0" borderId="18" xfId="0" applyBorder="1" applyAlignment="1">
      <alignment horizontal="center" vertical="top"/>
    </xf>
    <xf numFmtId="198" fontId="0" fillId="0" borderId="14" xfId="0" applyNumberFormat="1" applyBorder="1" applyAlignment="1">
      <alignment horizontal="center" vertical="top"/>
    </xf>
    <xf numFmtId="198" fontId="0" fillId="0" borderId="18" xfId="0" applyNumberFormat="1" applyBorder="1" applyAlignment="1">
      <alignment horizontal="left" vertical="top" wrapText="1"/>
    </xf>
    <xf numFmtId="198" fontId="0" fillId="0" borderId="18" xfId="0" applyNumberFormat="1" applyBorder="1" applyAlignment="1">
      <alignment horizontal="center" vertical="top"/>
    </xf>
    <xf numFmtId="204" fontId="8" fillId="8" borderId="66" xfId="0" applyNumberFormat="1" applyFont="1" applyFill="1" applyBorder="1" applyAlignment="1">
      <alignment horizontal="center"/>
    </xf>
    <xf numFmtId="204" fontId="8" fillId="8" borderId="73" xfId="0" applyNumberFormat="1" applyFont="1" applyFill="1" applyBorder="1" applyAlignment="1">
      <alignment horizontal="center"/>
    </xf>
    <xf numFmtId="37" fontId="8" fillId="8" borderId="15" xfId="0" applyNumberFormat="1" applyFont="1" applyFill="1" applyBorder="1" applyAlignment="1">
      <alignment horizontal="center"/>
    </xf>
    <xf numFmtId="37" fontId="8" fillId="8" borderId="74" xfId="0" applyNumberFormat="1" applyFont="1" applyFill="1" applyBorder="1" applyAlignment="1">
      <alignment horizontal="center"/>
    </xf>
    <xf numFmtId="37" fontId="8" fillId="8" borderId="75" xfId="0" applyNumberFormat="1" applyFont="1" applyFill="1" applyBorder="1" applyAlignment="1">
      <alignment horizontal="center"/>
    </xf>
    <xf numFmtId="39" fontId="13" fillId="0" borderId="0" xfId="0" applyNumberFormat="1" applyFont="1">
      <alignment vertical="top"/>
    </xf>
    <xf numFmtId="9" fontId="13" fillId="0" borderId="76" xfId="0" applyNumberFormat="1" applyFont="1" applyBorder="1">
      <alignment vertical="top"/>
    </xf>
    <xf numFmtId="9" fontId="13" fillId="0" borderId="76" xfId="3" applyFont="1" applyBorder="1" applyAlignment="1">
      <alignment vertical="top"/>
    </xf>
    <xf numFmtId="176" fontId="0" fillId="0" borderId="72" xfId="0" applyBorder="1">
      <alignment vertical="top"/>
    </xf>
    <xf numFmtId="37" fontId="8" fillId="0" borderId="72" xfId="0" applyNumberFormat="1" applyFont="1" applyBorder="1">
      <alignment vertical="top"/>
    </xf>
    <xf numFmtId="41" fontId="8" fillId="0" borderId="77" xfId="4" applyFont="1" applyBorder="1" applyAlignment="1">
      <alignment vertical="top"/>
    </xf>
    <xf numFmtId="9" fontId="13" fillId="0" borderId="75" xfId="3" applyFont="1" applyBorder="1" applyAlignment="1">
      <alignment vertical="top"/>
    </xf>
    <xf numFmtId="176" fontId="0" fillId="0" borderId="4" xfId="0" applyBorder="1" applyAlignment="1">
      <alignment vertical="top" textRotation="45" wrapText="1"/>
    </xf>
    <xf numFmtId="41" fontId="13" fillId="0" borderId="0" xfId="110" applyAlignment="1">
      <alignment horizontal="center" vertical="center"/>
    </xf>
    <xf numFmtId="41" fontId="13" fillId="0" borderId="0" xfId="110" applyAlignment="1">
      <alignment vertical="center"/>
    </xf>
    <xf numFmtId="41" fontId="8" fillId="0" borderId="0" xfId="110" applyFont="1" applyAlignment="1">
      <alignment horizontal="center" vertical="center"/>
    </xf>
    <xf numFmtId="41" fontId="13" fillId="0" borderId="0" xfId="110" applyBorder="1" applyAlignment="1">
      <alignment horizontal="center" vertical="center"/>
    </xf>
    <xf numFmtId="41" fontId="8" fillId="0" borderId="0" xfId="110" applyFont="1" applyAlignment="1">
      <alignment horizontal="left" vertical="center"/>
    </xf>
    <xf numFmtId="10" fontId="13" fillId="0" borderId="0" xfId="278" applyNumberFormat="1" applyAlignment="1">
      <alignment vertical="center"/>
    </xf>
    <xf numFmtId="41" fontId="13" fillId="0" borderId="11" xfId="110" applyBorder="1" applyAlignment="1">
      <alignment horizontal="left" vertical="center"/>
    </xf>
    <xf numFmtId="41" fontId="13" fillId="0" borderId="12" xfId="110" applyBorder="1" applyAlignment="1">
      <alignment horizontal="center" vertical="center"/>
    </xf>
    <xf numFmtId="41" fontId="13" fillId="0" borderId="11" xfId="110" applyBorder="1" applyAlignment="1">
      <alignment vertical="center"/>
    </xf>
    <xf numFmtId="41" fontId="13" fillId="0" borderId="15" xfId="110" applyBorder="1" applyAlignment="1">
      <alignment horizontal="center" vertical="center"/>
    </xf>
    <xf numFmtId="204" fontId="13" fillId="0" borderId="16" xfId="110" applyNumberFormat="1" applyBorder="1" applyAlignment="1">
      <alignment horizontal="center" vertical="center"/>
    </xf>
    <xf numFmtId="41" fontId="13" fillId="0" borderId="13" xfId="110" applyBorder="1" applyAlignment="1">
      <alignment vertical="center"/>
    </xf>
    <xf numFmtId="41" fontId="13" fillId="0" borderId="13" xfId="110" applyBorder="1" applyAlignment="1">
      <alignment horizontal="left" vertical="center"/>
    </xf>
    <xf numFmtId="41" fontId="13" fillId="0" borderId="14" xfId="110" applyBorder="1" applyAlignment="1">
      <alignment horizontal="center" vertical="center"/>
    </xf>
    <xf numFmtId="41" fontId="8" fillId="0" borderId="14" xfId="110" applyFont="1" applyBorder="1" applyAlignment="1">
      <alignment vertical="center"/>
    </xf>
    <xf numFmtId="41" fontId="13" fillId="0" borderId="16" xfId="110" applyBorder="1" applyAlignment="1">
      <alignment horizontal="center" vertical="center"/>
    </xf>
    <xf numFmtId="41" fontId="8" fillId="0" borderId="16" xfId="110" applyFont="1" applyBorder="1" applyAlignment="1">
      <alignment vertical="center"/>
    </xf>
    <xf numFmtId="41" fontId="8" fillId="0" borderId="0" xfId="110" applyFont="1" applyBorder="1" applyAlignment="1">
      <alignment vertical="center"/>
    </xf>
    <xf numFmtId="176" fontId="0" fillId="14" borderId="7" xfId="0" applyFill="1" applyBorder="1">
      <alignment vertical="top"/>
    </xf>
    <xf numFmtId="176" fontId="0" fillId="14" borderId="8" xfId="0" applyFill="1" applyBorder="1">
      <alignment vertical="top"/>
    </xf>
    <xf numFmtId="176" fontId="0" fillId="14" borderId="12" xfId="0" applyFill="1" applyBorder="1">
      <alignment vertical="top"/>
    </xf>
    <xf numFmtId="0" fontId="13" fillId="0" borderId="13" xfId="268" applyBorder="1" applyAlignment="1">
      <alignment horizontal="center" vertical="center"/>
    </xf>
    <xf numFmtId="41" fontId="8" fillId="0" borderId="13" xfId="110" applyFont="1" applyBorder="1" applyAlignment="1">
      <alignment horizontal="center" vertical="center"/>
    </xf>
    <xf numFmtId="41" fontId="8" fillId="0" borderId="9" xfId="110" applyFont="1" applyBorder="1" applyAlignment="1">
      <alignment horizontal="center" vertical="center"/>
    </xf>
    <xf numFmtId="41" fontId="13" fillId="0" borderId="0" xfId="110" applyBorder="1" applyAlignment="1">
      <alignment vertical="center"/>
    </xf>
    <xf numFmtId="41" fontId="13" fillId="0" borderId="9" xfId="110" applyBorder="1" applyAlignment="1">
      <alignment vertical="center"/>
    </xf>
    <xf numFmtId="9" fontId="13" fillId="0" borderId="13" xfId="110" applyNumberFormat="1" applyBorder="1" applyAlignment="1">
      <alignment horizontal="center" vertical="center"/>
    </xf>
    <xf numFmtId="41" fontId="13" fillId="0" borderId="9" xfId="110" applyBorder="1" applyAlignment="1">
      <alignment horizontal="center" vertical="center"/>
    </xf>
    <xf numFmtId="204" fontId="13" fillId="0" borderId="9" xfId="110" applyNumberFormat="1" applyBorder="1" applyAlignment="1">
      <alignment horizontal="right" vertical="center"/>
    </xf>
    <xf numFmtId="204" fontId="13" fillId="0" borderId="13" xfId="110" applyNumberFormat="1" applyBorder="1" applyAlignment="1">
      <alignment horizontal="right" vertical="center"/>
    </xf>
    <xf numFmtId="204" fontId="13" fillId="0" borderId="9" xfId="274" applyNumberFormat="1" applyBorder="1"/>
    <xf numFmtId="204" fontId="13" fillId="0" borderId="13" xfId="274" applyNumberFormat="1" applyBorder="1"/>
    <xf numFmtId="204" fontId="13" fillId="0" borderId="13" xfId="278" applyNumberFormat="1" applyBorder="1" applyAlignment="1">
      <alignment vertical="center"/>
    </xf>
    <xf numFmtId="41" fontId="13" fillId="0" borderId="13" xfId="110" applyBorder="1" applyAlignment="1">
      <alignment horizontal="center" vertical="center"/>
    </xf>
    <xf numFmtId="204" fontId="13" fillId="0" borderId="9" xfId="110" applyNumberFormat="1" applyBorder="1" applyAlignment="1">
      <alignment horizontal="center" vertical="center"/>
    </xf>
    <xf numFmtId="204" fontId="13" fillId="0" borderId="13" xfId="110" applyNumberFormat="1" applyBorder="1" applyAlignment="1">
      <alignment vertical="center"/>
    </xf>
    <xf numFmtId="41" fontId="8" fillId="8" borderId="17" xfId="110" applyFont="1" applyFill="1" applyBorder="1" applyAlignment="1">
      <alignment horizontal="center" vertical="center"/>
    </xf>
    <xf numFmtId="41" fontId="8" fillId="8" borderId="4" xfId="110" applyFont="1" applyFill="1" applyBorder="1" applyAlignment="1">
      <alignment vertical="center"/>
    </xf>
    <xf numFmtId="41" fontId="13" fillId="8" borderId="4" xfId="110" applyFill="1" applyBorder="1" applyAlignment="1">
      <alignment horizontal="center" vertical="center"/>
    </xf>
    <xf numFmtId="41" fontId="13" fillId="8" borderId="17" xfId="110" applyFill="1" applyBorder="1" applyAlignment="1">
      <alignment horizontal="center" vertical="center"/>
    </xf>
    <xf numFmtId="41" fontId="13" fillId="8" borderId="4" xfId="110" applyFill="1" applyBorder="1" applyAlignment="1">
      <alignment vertical="center"/>
    </xf>
    <xf numFmtId="41" fontId="92" fillId="0" borderId="0" xfId="110" applyFont="1" applyAlignment="1">
      <alignment horizontal="left" vertical="center"/>
    </xf>
    <xf numFmtId="41" fontId="8" fillId="0" borderId="0" xfId="110" applyFont="1" applyAlignment="1">
      <alignment vertical="center"/>
    </xf>
    <xf numFmtId="9" fontId="13" fillId="0" borderId="0" xfId="278" applyAlignment="1">
      <alignment vertical="center"/>
    </xf>
    <xf numFmtId="176" fontId="71" fillId="0" borderId="0" xfId="0" applyFont="1" applyAlignment="1">
      <alignment horizontal="left"/>
    </xf>
    <xf numFmtId="202" fontId="0" fillId="0" borderId="0" xfId="128" applyNumberFormat="1" applyFont="1"/>
    <xf numFmtId="176" fontId="93" fillId="0" borderId="0" xfId="0" applyFont="1">
      <alignment vertical="top"/>
    </xf>
    <xf numFmtId="202" fontId="93" fillId="0" borderId="0" xfId="128" applyNumberFormat="1" applyFont="1"/>
    <xf numFmtId="202" fontId="9" fillId="0" borderId="0" xfId="128" applyNumberFormat="1" applyFont="1" applyAlignment="1">
      <alignment horizontal="right"/>
    </xf>
    <xf numFmtId="176" fontId="9" fillId="0" borderId="0" xfId="0" applyFont="1">
      <alignment vertical="top"/>
    </xf>
    <xf numFmtId="202" fontId="9" fillId="0" borderId="0" xfId="128" applyNumberFormat="1" applyFont="1"/>
    <xf numFmtId="202" fontId="9" fillId="0" borderId="6" xfId="128" applyNumberFormat="1" applyFont="1" applyBorder="1"/>
    <xf numFmtId="202" fontId="0" fillId="0" borderId="0" xfId="1" applyNumberFormat="1" applyFont="1"/>
    <xf numFmtId="41" fontId="8" fillId="0" borderId="0" xfId="258" applyNumberFormat="1" applyFont="1" applyAlignment="1">
      <alignment horizontal="left"/>
    </xf>
    <xf numFmtId="176" fontId="0" fillId="19" borderId="15" xfId="0" applyFill="1" applyBorder="1" applyAlignment="1">
      <alignment vertical="center"/>
    </xf>
    <xf numFmtId="202" fontId="0" fillId="19" borderId="13" xfId="1" applyNumberFormat="1" applyFont="1" applyFill="1" applyBorder="1"/>
    <xf numFmtId="176" fontId="13" fillId="19" borderId="13" xfId="0" applyFont="1" applyFill="1" applyBorder="1">
      <alignment vertical="top"/>
    </xf>
    <xf numFmtId="176" fontId="13" fillId="19" borderId="13" xfId="0" applyFont="1" applyFill="1" applyBorder="1" applyAlignment="1">
      <alignment horizontal="center" vertical="top"/>
    </xf>
    <xf numFmtId="176" fontId="13" fillId="19" borderId="14" xfId="0" applyFont="1" applyFill="1" applyBorder="1" applyAlignment="1">
      <alignment horizontal="center" vertical="top"/>
    </xf>
    <xf numFmtId="202" fontId="0" fillId="19" borderId="15" xfId="1" applyNumberFormat="1" applyFont="1" applyFill="1" applyBorder="1"/>
    <xf numFmtId="0" fontId="8" fillId="34" borderId="78" xfId="258" applyFont="1" applyFill="1" applyBorder="1" applyAlignment="1">
      <alignment horizontal="center"/>
    </xf>
    <xf numFmtId="202" fontId="8" fillId="34" borderId="66" xfId="1" applyNumberFormat="1" applyFont="1" applyFill="1" applyBorder="1" applyAlignment="1">
      <alignment horizontal="center"/>
    </xf>
    <xf numFmtId="204" fontId="8" fillId="34" borderId="73" xfId="258" applyNumberFormat="1" applyFont="1" applyFill="1" applyBorder="1" applyAlignment="1">
      <alignment horizontal="center"/>
    </xf>
    <xf numFmtId="0" fontId="8" fillId="34" borderId="79" xfId="258" applyFont="1" applyFill="1" applyBorder="1" applyAlignment="1">
      <alignment horizontal="center"/>
    </xf>
    <xf numFmtId="202" fontId="8" fillId="34" borderId="69" xfId="1" applyNumberFormat="1" applyFont="1" applyFill="1" applyBorder="1" applyAlignment="1">
      <alignment horizontal="center"/>
    </xf>
    <xf numFmtId="204" fontId="8" fillId="34" borderId="75" xfId="258" applyNumberFormat="1" applyFont="1" applyFill="1" applyBorder="1" applyAlignment="1">
      <alignment horizontal="center"/>
    </xf>
    <xf numFmtId="0" fontId="13" fillId="0" borderId="80" xfId="258" applyBorder="1"/>
    <xf numFmtId="202" fontId="0" fillId="0" borderId="13" xfId="1" applyNumberFormat="1" applyFont="1" applyBorder="1"/>
    <xf numFmtId="204" fontId="13" fillId="0" borderId="76" xfId="258" applyNumberFormat="1" applyFont="1" applyBorder="1" applyAlignment="1">
      <alignment horizontal="right"/>
    </xf>
    <xf numFmtId="0" fontId="13" fillId="0" borderId="64" xfId="258" applyBorder="1"/>
    <xf numFmtId="198" fontId="13" fillId="0" borderId="2" xfId="258" applyNumberFormat="1" applyBorder="1"/>
    <xf numFmtId="177" fontId="13" fillId="0" borderId="2" xfId="258" applyNumberFormat="1" applyBorder="1" applyAlignment="1">
      <alignment horizontal="right"/>
    </xf>
    <xf numFmtId="0" fontId="13" fillId="0" borderId="80" xfId="258" applyBorder="1" applyAlignment="1">
      <alignment horizontal="left"/>
    </xf>
    <xf numFmtId="0" fontId="27" fillId="0" borderId="80" xfId="258" applyFont="1" applyBorder="1"/>
    <xf numFmtId="0" fontId="13" fillId="0" borderId="3" xfId="258" applyBorder="1"/>
    <xf numFmtId="0" fontId="8" fillId="0" borderId="79" xfId="258" applyFont="1" applyBorder="1"/>
    <xf numFmtId="202" fontId="0" fillId="0" borderId="72" xfId="1" applyNumberFormat="1" applyFont="1" applyBorder="1"/>
    <xf numFmtId="204" fontId="13" fillId="0" borderId="65" xfId="258" applyNumberFormat="1" applyBorder="1"/>
    <xf numFmtId="0" fontId="94" fillId="0" borderId="0" xfId="258" applyFont="1" applyAlignment="1">
      <alignment horizontal="left"/>
    </xf>
    <xf numFmtId="0" fontId="71" fillId="0" borderId="0" xfId="258" applyFont="1" applyAlignment="1">
      <alignment horizontal="left"/>
    </xf>
    <xf numFmtId="0" fontId="9" fillId="0" borderId="0" xfId="258" applyFont="1"/>
    <xf numFmtId="202" fontId="9" fillId="0" borderId="6" xfId="1" applyNumberFormat="1" applyFont="1" applyBorder="1"/>
    <xf numFmtId="202" fontId="30" fillId="0" borderId="6" xfId="1" applyNumberFormat="1" applyFont="1" applyBorder="1"/>
    <xf numFmtId="176" fontId="90" fillId="19" borderId="7" xfId="0" applyFont="1" applyFill="1" applyBorder="1" applyAlignment="1">
      <alignment horizontal="left"/>
    </xf>
    <xf numFmtId="176" fontId="7" fillId="19" borderId="10" xfId="0" applyFont="1" applyFill="1" applyBorder="1" applyAlignment="1">
      <alignment horizontal="centerContinuous" wrapText="1"/>
    </xf>
    <xf numFmtId="176" fontId="7" fillId="19" borderId="5" xfId="0" applyFont="1" applyFill="1" applyBorder="1" applyAlignment="1">
      <alignment horizontal="centerContinuous" wrapText="1"/>
    </xf>
    <xf numFmtId="176" fontId="7" fillId="19" borderId="5" xfId="0" applyFont="1" applyFill="1" applyBorder="1" applyAlignment="1">
      <alignment horizontal="left" wrapText="1"/>
    </xf>
    <xf numFmtId="176" fontId="7" fillId="19" borderId="0" xfId="0" applyFont="1" applyFill="1" applyAlignment="1">
      <alignment horizontal="left" wrapText="1"/>
    </xf>
    <xf numFmtId="176" fontId="7" fillId="19" borderId="0" xfId="0" applyFont="1" applyFill="1" applyAlignment="1">
      <alignment wrapText="1"/>
    </xf>
    <xf numFmtId="176" fontId="0" fillId="19" borderId="0" xfId="0" applyFont="1" applyFill="1" applyAlignment="1"/>
    <xf numFmtId="202" fontId="0" fillId="19" borderId="7" xfId="128" applyNumberFormat="1" applyFont="1" applyFill="1" applyBorder="1"/>
    <xf numFmtId="202" fontId="0" fillId="19" borderId="8" xfId="128" applyNumberFormat="1" applyFont="1" applyFill="1" applyBorder="1"/>
    <xf numFmtId="202" fontId="7" fillId="19" borderId="9" xfId="128" applyNumberFormat="1" applyFont="1" applyFill="1" applyBorder="1" applyAlignment="1">
      <alignment horizontal="left"/>
    </xf>
    <xf numFmtId="202" fontId="7" fillId="19" borderId="0" xfId="128" applyNumberFormat="1" applyFont="1" applyFill="1"/>
    <xf numFmtId="202" fontId="0" fillId="19" borderId="10" xfId="128" applyNumberFormat="1" applyFont="1" applyFill="1" applyBorder="1"/>
    <xf numFmtId="202" fontId="0" fillId="19" borderId="5" xfId="128" applyNumberFormat="1" applyFont="1" applyFill="1" applyBorder="1"/>
    <xf numFmtId="202" fontId="0" fillId="19" borderId="9" xfId="128" applyNumberFormat="1" applyFont="1" applyFill="1" applyBorder="1"/>
    <xf numFmtId="202" fontId="0" fillId="19" borderId="0" xfId="128" applyNumberFormat="1" applyFont="1" applyFill="1"/>
    <xf numFmtId="202" fontId="7" fillId="19" borderId="10" xfId="128" applyNumberFormat="1" applyFont="1" applyFill="1" applyBorder="1"/>
    <xf numFmtId="202" fontId="7" fillId="19" borderId="5" xfId="128" applyNumberFormat="1" applyFont="1" applyFill="1" applyBorder="1"/>
    <xf numFmtId="41" fontId="95" fillId="29" borderId="78" xfId="110" applyFont="1" applyFill="1" applyBorder="1" applyAlignment="1">
      <alignment horizontal="center" vertical="center"/>
    </xf>
    <xf numFmtId="41" fontId="95" fillId="29" borderId="66" xfId="110" applyFont="1" applyFill="1" applyBorder="1" applyAlignment="1">
      <alignment horizontal="center" vertical="center"/>
    </xf>
    <xf numFmtId="41" fontId="95" fillId="29" borderId="73" xfId="110" applyFont="1" applyFill="1" applyBorder="1" applyAlignment="1">
      <alignment horizontal="center" vertical="center"/>
    </xf>
    <xf numFmtId="0" fontId="96" fillId="29" borderId="81" xfId="268" applyFont="1" applyFill="1" applyBorder="1" applyAlignment="1">
      <alignment horizontal="center" vertical="center"/>
    </xf>
    <xf numFmtId="41" fontId="95" fillId="29" borderId="15" xfId="110" applyFont="1" applyFill="1" applyBorder="1" applyAlignment="1">
      <alignment horizontal="center" vertical="center"/>
    </xf>
    <xf numFmtId="0" fontId="96" fillId="29" borderId="15" xfId="268" applyFont="1" applyFill="1" applyBorder="1" applyAlignment="1">
      <alignment horizontal="center" vertical="center"/>
    </xf>
    <xf numFmtId="0" fontId="96" fillId="29" borderId="74" xfId="268" applyFont="1" applyFill="1" applyBorder="1" applyAlignment="1">
      <alignment horizontal="center" vertical="center"/>
    </xf>
    <xf numFmtId="41" fontId="0" fillId="0" borderId="80" xfId="110" applyFont="1" applyBorder="1" applyAlignment="1">
      <alignment horizontal="center" vertical="center"/>
    </xf>
    <xf numFmtId="41" fontId="0" fillId="0" borderId="13" xfId="110" applyFont="1" applyBorder="1" applyAlignment="1">
      <alignment vertical="center"/>
    </xf>
    <xf numFmtId="41" fontId="0" fillId="0" borderId="13" xfId="110" applyFont="1" applyBorder="1" applyAlignment="1">
      <alignment horizontal="left" vertical="center"/>
    </xf>
    <xf numFmtId="9" fontId="0" fillId="0" borderId="13" xfId="278" applyFont="1" applyBorder="1" applyAlignment="1">
      <alignment horizontal="left" vertical="center"/>
    </xf>
    <xf numFmtId="41" fontId="0" fillId="0" borderId="13" xfId="110" applyFont="1" applyBorder="1" applyAlignment="1">
      <alignment horizontal="right"/>
    </xf>
    <xf numFmtId="204" fontId="0" fillId="0" borderId="76" xfId="278" applyNumberFormat="1" applyFont="1" applyBorder="1" applyAlignment="1">
      <alignment horizontal="right" vertical="center"/>
    </xf>
    <xf numFmtId="204" fontId="0" fillId="0" borderId="76" xfId="278" applyNumberFormat="1" applyFont="1" applyBorder="1" applyAlignment="1">
      <alignment vertical="center"/>
    </xf>
    <xf numFmtId="41" fontId="0" fillId="0" borderId="0" xfId="110" applyFont="1" applyAlignment="1">
      <alignment horizontal="left" vertical="center"/>
    </xf>
    <xf numFmtId="41" fontId="8" fillId="8" borderId="82" xfId="110" applyFont="1" applyFill="1" applyBorder="1" applyAlignment="1">
      <alignment horizontal="center" vertical="center"/>
    </xf>
    <xf numFmtId="41" fontId="8" fillId="8" borderId="19" xfId="110" applyFont="1" applyFill="1" applyBorder="1" applyAlignment="1">
      <alignment horizontal="center" vertical="center"/>
    </xf>
    <xf numFmtId="41" fontId="13" fillId="8" borderId="83" xfId="110" applyFill="1" applyBorder="1" applyAlignment="1">
      <alignment vertical="center"/>
    </xf>
    <xf numFmtId="202" fontId="0" fillId="19" borderId="13" xfId="128" applyNumberFormat="1" applyFont="1" applyFill="1" applyBorder="1" applyAlignment="1">
      <alignment horizontal="center"/>
    </xf>
    <xf numFmtId="202" fontId="0" fillId="19" borderId="14" xfId="128" applyNumberFormat="1" applyFont="1" applyFill="1" applyBorder="1"/>
    <xf numFmtId="202" fontId="0" fillId="19" borderId="12" xfId="128" applyNumberFormat="1" applyFont="1" applyFill="1" applyBorder="1"/>
    <xf numFmtId="202" fontId="0" fillId="19" borderId="11" xfId="128" applyNumberFormat="1" applyFont="1" applyFill="1" applyBorder="1"/>
    <xf numFmtId="41" fontId="0" fillId="0" borderId="0" xfId="110" applyFont="1" applyAlignment="1">
      <alignment vertical="top"/>
    </xf>
    <xf numFmtId="176" fontId="7" fillId="0" borderId="0" xfId="0" applyFont="1" applyAlignment="1">
      <alignment horizontal="center"/>
    </xf>
    <xf numFmtId="176" fontId="7" fillId="0" borderId="0" xfId="0" applyFont="1" applyAlignment="1">
      <alignment horizontal="center" vertical="top"/>
    </xf>
    <xf numFmtId="41" fontId="7" fillId="0" borderId="0" xfId="110" applyFont="1" applyAlignment="1">
      <alignment horizontal="center" vertical="top"/>
    </xf>
    <xf numFmtId="4" fontId="24" fillId="0" borderId="0" xfId="374" applyAlignment="1">
      <alignment horizontal="left" wrapText="1"/>
    </xf>
    <xf numFmtId="4" fontId="24" fillId="0" borderId="0" xfId="374" applyAlignment="1">
      <alignment wrapText="1"/>
    </xf>
    <xf numFmtId="4" fontId="24" fillId="0" borderId="0" xfId="374" applyAlignment="1">
      <alignment vertical="top" wrapText="1"/>
    </xf>
    <xf numFmtId="41" fontId="24" fillId="0" borderId="0" xfId="110" applyFont="1" applyAlignment="1">
      <alignment horizontal="right" vertical="top" wrapText="1"/>
    </xf>
    <xf numFmtId="202" fontId="7" fillId="19" borderId="9" xfId="1" applyNumberFormat="1" applyFont="1" applyFill="1" applyBorder="1" applyAlignment="1">
      <alignment horizontal="left"/>
    </xf>
    <xf numFmtId="202" fontId="7" fillId="19" borderId="0" xfId="1" applyNumberFormat="1" applyFont="1" applyFill="1"/>
    <xf numFmtId="202" fontId="0" fillId="19" borderId="8" xfId="1" applyNumberFormat="1" applyFont="1" applyFill="1" applyBorder="1"/>
    <xf numFmtId="202" fontId="7" fillId="19" borderId="10" xfId="1" applyNumberFormat="1" applyFont="1" applyFill="1" applyBorder="1"/>
    <xf numFmtId="202" fontId="7" fillId="19" borderId="5" xfId="1" applyNumberFormat="1" applyFont="1" applyFill="1" applyBorder="1"/>
    <xf numFmtId="176" fontId="0" fillId="28" borderId="7" xfId="0" applyFill="1" applyBorder="1" applyAlignment="1">
      <alignment horizontal="center" vertical="top"/>
    </xf>
    <xf numFmtId="176" fontId="0" fillId="28" borderId="8" xfId="0" applyFill="1" applyBorder="1" applyAlignment="1">
      <alignment horizontal="center" vertical="top"/>
    </xf>
    <xf numFmtId="176" fontId="0" fillId="28" borderId="9" xfId="0" applyFill="1" applyBorder="1" applyAlignment="1">
      <alignment horizontal="center" vertical="top"/>
    </xf>
    <xf numFmtId="176" fontId="0" fillId="28" borderId="0" xfId="0" applyFill="1" applyAlignment="1">
      <alignment horizontal="center" vertical="top"/>
    </xf>
    <xf numFmtId="176" fontId="0" fillId="28" borderId="10" xfId="0" applyFill="1" applyBorder="1" applyAlignment="1">
      <alignment horizontal="center" vertical="top"/>
    </xf>
    <xf numFmtId="176" fontId="0" fillId="28" borderId="5" xfId="0" applyFill="1" applyBorder="1" applyAlignment="1">
      <alignment horizontal="center" vertical="top"/>
    </xf>
    <xf numFmtId="176" fontId="97" fillId="35" borderId="55" xfId="0" applyFont="1" applyFill="1" applyBorder="1" applyAlignment="1">
      <alignment horizontal="center"/>
    </xf>
    <xf numFmtId="176" fontId="97" fillId="35" borderId="84" xfId="0" applyFont="1" applyFill="1" applyBorder="1" applyAlignment="1">
      <alignment horizontal="center"/>
    </xf>
    <xf numFmtId="176" fontId="97" fillId="35" borderId="85" xfId="0" applyFont="1" applyFill="1" applyBorder="1" applyAlignment="1">
      <alignment horizontal="center"/>
    </xf>
    <xf numFmtId="176" fontId="97" fillId="35" borderId="57" xfId="0" applyFont="1" applyFill="1" applyBorder="1" applyAlignment="1"/>
    <xf numFmtId="176" fontId="97" fillId="35" borderId="84" xfId="0" applyFont="1" applyFill="1" applyBorder="1" applyAlignment="1"/>
    <xf numFmtId="176" fontId="97" fillId="35" borderId="86" xfId="0" applyFont="1" applyFill="1" applyBorder="1" applyAlignment="1"/>
    <xf numFmtId="176" fontId="13" fillId="35" borderId="86" xfId="0" applyFont="1" applyFill="1" applyBorder="1" applyAlignment="1">
      <alignment horizontal="center"/>
    </xf>
    <xf numFmtId="176" fontId="97" fillId="35" borderId="87" xfId="0" applyFont="1" applyFill="1" applyBorder="1" applyAlignment="1">
      <alignment horizontal="center"/>
    </xf>
    <xf numFmtId="176" fontId="97" fillId="35" borderId="88" xfId="0" applyFont="1" applyFill="1" applyBorder="1" applyAlignment="1">
      <alignment horizontal="center"/>
    </xf>
    <xf numFmtId="215" fontId="97" fillId="35" borderId="88" xfId="0" applyNumberFormat="1" applyFont="1" applyFill="1" applyBorder="1" applyAlignment="1">
      <alignment horizontal="center"/>
    </xf>
    <xf numFmtId="176" fontId="96" fillId="36" borderId="88" xfId="0" applyFont="1" applyFill="1" applyBorder="1" applyAlignment="1">
      <alignment horizontal="center"/>
    </xf>
    <xf numFmtId="176" fontId="96" fillId="0" borderId="88" xfId="0" applyFont="1" applyBorder="1" applyAlignment="1">
      <alignment horizontal="center"/>
    </xf>
    <xf numFmtId="215" fontId="96" fillId="0" borderId="88" xfId="0" applyNumberFormat="1" applyFont="1" applyBorder="1" applyAlignment="1">
      <alignment horizontal="center"/>
    </xf>
    <xf numFmtId="176" fontId="96" fillId="0" borderId="55" xfId="0" applyFont="1" applyBorder="1" applyAlignment="1"/>
    <xf numFmtId="176" fontId="57" fillId="0" borderId="55" xfId="0" applyFont="1" applyBorder="1" applyAlignment="1">
      <alignment horizontal="center"/>
    </xf>
    <xf numFmtId="176" fontId="96" fillId="36" borderId="89" xfId="0" applyFont="1" applyFill="1" applyBorder="1" applyAlignment="1">
      <alignment horizontal="center"/>
    </xf>
    <xf numFmtId="176" fontId="96" fillId="36" borderId="90" xfId="0" applyFont="1" applyFill="1" applyBorder="1" applyAlignment="1">
      <alignment horizontal="center"/>
    </xf>
    <xf numFmtId="215" fontId="96" fillId="36" borderId="90" xfId="0" applyNumberFormat="1" applyFont="1" applyFill="1" applyBorder="1" applyAlignment="1">
      <alignment horizontal="center"/>
    </xf>
    <xf numFmtId="176" fontId="96" fillId="0" borderId="91" xfId="0" applyFont="1" applyBorder="1" applyAlignment="1"/>
    <xf numFmtId="176" fontId="98" fillId="35" borderId="89" xfId="0" applyFont="1" applyFill="1" applyBorder="1" applyAlignment="1"/>
    <xf numFmtId="176" fontId="98" fillId="35" borderId="90" xfId="0" applyFont="1" applyFill="1" applyBorder="1" applyAlignment="1"/>
    <xf numFmtId="215" fontId="98" fillId="35" borderId="90" xfId="0" applyNumberFormat="1" applyFont="1" applyFill="1" applyBorder="1" applyAlignment="1"/>
    <xf numFmtId="176" fontId="96" fillId="0" borderId="90" xfId="0" applyFont="1" applyBorder="1" applyAlignment="1"/>
    <xf numFmtId="215" fontId="96" fillId="0" borderId="90" xfId="0" applyNumberFormat="1" applyFont="1" applyBorder="1" applyAlignment="1"/>
    <xf numFmtId="176" fontId="0" fillId="8" borderId="11" xfId="0" applyFont="1" applyFill="1" applyBorder="1" applyAlignment="1"/>
    <xf numFmtId="177" fontId="96" fillId="8" borderId="13" xfId="0" applyNumberFormat="1" applyFont="1" applyFill="1" applyBorder="1" applyAlignment="1"/>
    <xf numFmtId="176" fontId="0" fillId="8" borderId="11" xfId="0" applyFill="1" applyBorder="1">
      <alignment vertical="top"/>
    </xf>
    <xf numFmtId="176" fontId="0" fillId="8" borderId="11" xfId="0" applyFont="1" applyFill="1" applyBorder="1" applyAlignment="1">
      <alignment horizontal="center"/>
    </xf>
    <xf numFmtId="176" fontId="0" fillId="8" borderId="0" xfId="0" applyFill="1">
      <alignment vertical="top"/>
    </xf>
    <xf numFmtId="176" fontId="7" fillId="19" borderId="16" xfId="0" applyFont="1" applyFill="1" applyBorder="1" applyAlignment="1">
      <alignment vertical="center"/>
    </xf>
    <xf numFmtId="176" fontId="0" fillId="8" borderId="16" xfId="0" applyFill="1" applyBorder="1" applyAlignment="1">
      <alignment vertical="center"/>
    </xf>
    <xf numFmtId="176" fontId="0" fillId="8" borderId="13" xfId="0" applyFill="1" applyBorder="1">
      <alignment vertical="top"/>
    </xf>
    <xf numFmtId="204" fontId="0" fillId="8" borderId="15" xfId="0" applyNumberFormat="1" applyFont="1" applyFill="1" applyBorder="1" applyAlignment="1">
      <alignment horizontal="center" vertical="center"/>
    </xf>
    <xf numFmtId="177" fontId="96" fillId="8" borderId="11" xfId="0" applyNumberFormat="1" applyFont="1" applyFill="1" applyBorder="1" applyAlignment="1"/>
    <xf numFmtId="202" fontId="0" fillId="8" borderId="13" xfId="1" applyNumberFormat="1" applyFont="1" applyFill="1" applyBorder="1" applyAlignment="1">
      <alignment horizontal="center"/>
    </xf>
    <xf numFmtId="176" fontId="13" fillId="19" borderId="16" xfId="0" applyFont="1" applyFill="1" applyBorder="1">
      <alignment vertical="top"/>
    </xf>
    <xf numFmtId="176" fontId="13" fillId="8" borderId="14" xfId="0" applyFont="1" applyFill="1" applyBorder="1">
      <alignment vertical="top"/>
    </xf>
    <xf numFmtId="176" fontId="13" fillId="8" borderId="13" xfId="0" applyFont="1" applyFill="1" applyBorder="1" applyAlignment="1">
      <alignment horizontal="center" vertical="top"/>
    </xf>
    <xf numFmtId="176" fontId="0" fillId="8" borderId="15" xfId="0" applyFill="1" applyBorder="1">
      <alignment vertical="top"/>
    </xf>
    <xf numFmtId="202" fontId="0" fillId="8" borderId="12" xfId="1" applyNumberFormat="1" applyFont="1" applyFill="1" applyBorder="1"/>
    <xf numFmtId="176" fontId="96" fillId="8" borderId="11" xfId="0" applyFont="1" applyFill="1" applyBorder="1" applyAlignment="1"/>
    <xf numFmtId="202" fontId="0" fillId="8" borderId="11" xfId="1" applyNumberFormat="1" applyFont="1" applyFill="1" applyBorder="1"/>
    <xf numFmtId="202" fontId="0" fillId="19" borderId="16" xfId="1" applyNumberFormat="1" applyFont="1" applyFill="1" applyBorder="1"/>
    <xf numFmtId="176" fontId="96" fillId="8" borderId="15" xfId="0" applyFont="1" applyFill="1" applyBorder="1" applyAlignment="1"/>
    <xf numFmtId="202" fontId="0" fillId="8" borderId="15" xfId="1" applyNumberFormat="1" applyFont="1" applyFill="1" applyBorder="1"/>
    <xf numFmtId="176" fontId="97" fillId="35" borderId="85" xfId="0" applyFont="1" applyFill="1" applyBorder="1" applyAlignment="1"/>
    <xf numFmtId="176" fontId="97" fillId="35" borderId="55" xfId="0" applyFont="1" applyFill="1" applyBorder="1" applyAlignment="1"/>
    <xf numFmtId="176" fontId="97" fillId="35" borderId="88" xfId="0" applyFont="1" applyFill="1" applyBorder="1" applyAlignment="1">
      <alignment horizontal="left"/>
    </xf>
    <xf numFmtId="176" fontId="96" fillId="0" borderId="88" xfId="0" applyFont="1" applyBorder="1" applyAlignment="1"/>
    <xf numFmtId="9" fontId="96" fillId="0" borderId="88" xfId="0" applyNumberFormat="1" applyFont="1" applyBorder="1" applyAlignment="1">
      <alignment horizontal="center"/>
    </xf>
    <xf numFmtId="176" fontId="96" fillId="36" borderId="88" xfId="0" applyFont="1" applyFill="1" applyBorder="1" applyAlignment="1"/>
    <xf numFmtId="0" fontId="99" fillId="36" borderId="88" xfId="230" applyFont="1" applyFill="1" applyBorder="1"/>
    <xf numFmtId="176" fontId="96" fillId="36" borderId="90" xfId="0" applyFont="1" applyFill="1" applyBorder="1" applyAlignment="1"/>
    <xf numFmtId="216" fontId="96" fillId="36" borderId="88" xfId="1" applyNumberFormat="1" applyFont="1" applyFill="1" applyBorder="1"/>
    <xf numFmtId="9" fontId="96" fillId="36" borderId="88" xfId="0" applyNumberFormat="1" applyFont="1" applyFill="1" applyBorder="1" applyAlignment="1">
      <alignment horizontal="center"/>
    </xf>
    <xf numFmtId="176" fontId="100" fillId="35" borderId="90" xfId="0" applyFont="1" applyFill="1" applyBorder="1" applyAlignment="1"/>
    <xf numFmtId="216" fontId="98" fillId="37" borderId="88" xfId="1" applyNumberFormat="1" applyFont="1" applyFill="1" applyBorder="1"/>
    <xf numFmtId="176" fontId="0" fillId="28" borderId="12" xfId="0" applyFill="1" applyBorder="1" applyAlignment="1">
      <alignment horizontal="center" vertical="top"/>
    </xf>
    <xf numFmtId="176" fontId="0" fillId="28" borderId="14" xfId="0" applyFill="1" applyBorder="1" applyAlignment="1">
      <alignment horizontal="center" vertical="top"/>
    </xf>
    <xf numFmtId="176" fontId="0" fillId="28" borderId="16" xfId="0" applyFill="1" applyBorder="1" applyAlignment="1">
      <alignment horizontal="center" vertical="top"/>
    </xf>
    <xf numFmtId="176" fontId="97" fillId="0" borderId="0" xfId="0" applyFont="1" applyAlignment="1">
      <alignment horizontal="center"/>
    </xf>
    <xf numFmtId="216" fontId="97" fillId="0" borderId="0" xfId="1" applyNumberFormat="1" applyFont="1"/>
    <xf numFmtId="176" fontId="97" fillId="35" borderId="89" xfId="0" applyFont="1" applyFill="1" applyBorder="1" applyAlignment="1">
      <alignment horizontal="center"/>
    </xf>
    <xf numFmtId="176" fontId="97" fillId="0" borderId="4" xfId="0" applyFont="1" applyBorder="1" applyAlignment="1">
      <alignment horizontal="center"/>
    </xf>
    <xf numFmtId="216" fontId="97" fillId="0" borderId="4" xfId="1" applyNumberFormat="1" applyFont="1" applyBorder="1"/>
    <xf numFmtId="216" fontId="96" fillId="0" borderId="89" xfId="1" applyNumberFormat="1" applyFont="1" applyBorder="1"/>
    <xf numFmtId="216" fontId="57" fillId="0" borderId="4" xfId="1" applyNumberFormat="1" applyFont="1" applyBorder="1"/>
    <xf numFmtId="216" fontId="13" fillId="36" borderId="4" xfId="1" applyNumberFormat="1" applyFont="1" applyFill="1" applyBorder="1"/>
    <xf numFmtId="216" fontId="57" fillId="36" borderId="4" xfId="1" applyNumberFormat="1" applyFont="1" applyFill="1" applyBorder="1"/>
    <xf numFmtId="216" fontId="13" fillId="0" borderId="4" xfId="1" applyNumberFormat="1" applyFont="1" applyBorder="1"/>
    <xf numFmtId="176" fontId="96" fillId="0" borderId="90" xfId="0" applyFont="1" applyBorder="1" applyAlignment="1">
      <alignment horizontal="center"/>
    </xf>
    <xf numFmtId="216" fontId="96" fillId="36" borderId="11" xfId="1" applyNumberFormat="1" applyFont="1" applyFill="1" applyBorder="1"/>
    <xf numFmtId="216" fontId="98" fillId="37" borderId="89" xfId="1" applyNumberFormat="1" applyFont="1" applyFill="1" applyBorder="1"/>
    <xf numFmtId="176" fontId="101" fillId="38" borderId="11" xfId="0" applyFont="1" applyFill="1" applyBorder="1" applyAlignment="1">
      <alignment horizontal="center"/>
    </xf>
    <xf numFmtId="216" fontId="98" fillId="37" borderId="4" xfId="1" applyNumberFormat="1" applyFont="1" applyFill="1" applyBorder="1"/>
    <xf numFmtId="216" fontId="96" fillId="0" borderId="90" xfId="1" applyNumberFormat="1" applyFont="1" applyBorder="1"/>
    <xf numFmtId="216" fontId="96" fillId="0" borderId="19" xfId="1" applyNumberFormat="1" applyFont="1" applyBorder="1"/>
    <xf numFmtId="216" fontId="0" fillId="0" borderId="18" xfId="1" applyNumberFormat="1" applyFont="1" applyBorder="1"/>
    <xf numFmtId="176" fontId="102" fillId="0" borderId="0" xfId="0" applyFont="1" applyAlignment="1"/>
    <xf numFmtId="176" fontId="103" fillId="0" borderId="0" xfId="0" applyFont="1" applyAlignment="1"/>
    <xf numFmtId="0" fontId="103" fillId="0" borderId="0" xfId="269" applyFont="1"/>
    <xf numFmtId="0" fontId="104" fillId="0" borderId="11" xfId="269" applyFont="1" applyBorder="1" applyAlignment="1">
      <alignment horizontal="center" vertical="center" wrapText="1"/>
    </xf>
    <xf numFmtId="0" fontId="104" fillId="0" borderId="7" xfId="269" applyFont="1" applyBorder="1" applyAlignment="1">
      <alignment horizontal="center" vertical="center" wrapText="1"/>
    </xf>
    <xf numFmtId="0" fontId="104" fillId="0" borderId="8" xfId="269" applyFont="1" applyBorder="1" applyAlignment="1">
      <alignment horizontal="center" vertical="center" wrapText="1"/>
    </xf>
    <xf numFmtId="0" fontId="104" fillId="0" borderId="12" xfId="269" applyFont="1" applyBorder="1" applyAlignment="1">
      <alignment horizontal="center" vertical="center" wrapText="1"/>
    </xf>
    <xf numFmtId="0" fontId="103" fillId="0" borderId="17" xfId="269" applyFont="1" applyBorder="1" applyAlignment="1">
      <alignment horizontal="center" vertical="center" wrapText="1"/>
    </xf>
    <xf numFmtId="0" fontId="103" fillId="0" borderId="18" xfId="269" applyFont="1" applyBorder="1" applyAlignment="1">
      <alignment horizontal="center" vertical="center" wrapText="1"/>
    </xf>
    <xf numFmtId="0" fontId="104" fillId="0" borderId="15" xfId="269" applyFont="1" applyBorder="1" applyAlignment="1">
      <alignment horizontal="center" vertical="center" wrapText="1"/>
    </xf>
    <xf numFmtId="0" fontId="104" fillId="0" borderId="10" xfId="269" applyFont="1" applyBorder="1" applyAlignment="1">
      <alignment horizontal="center" vertical="center" wrapText="1"/>
    </xf>
    <xf numFmtId="0" fontId="104" fillId="0" borderId="5" xfId="269" applyFont="1" applyBorder="1" applyAlignment="1">
      <alignment horizontal="center" vertical="center" wrapText="1"/>
    </xf>
    <xf numFmtId="0" fontId="104" fillId="0" borderId="16" xfId="269" applyFont="1" applyBorder="1" applyAlignment="1">
      <alignment horizontal="center" vertical="center" wrapText="1"/>
    </xf>
    <xf numFmtId="0" fontId="103" fillId="0" borderId="15" xfId="269" applyFont="1" applyBorder="1" applyAlignment="1">
      <alignment horizontal="center" vertical="center" wrapText="1"/>
    </xf>
    <xf numFmtId="0" fontId="103" fillId="0" borderId="15" xfId="269" applyFont="1" applyBorder="1" applyAlignment="1">
      <alignment horizontal="center"/>
    </xf>
    <xf numFmtId="0" fontId="104" fillId="0" borderId="13" xfId="269" applyFont="1" applyBorder="1" applyAlignment="1">
      <alignment horizontal="center" vertical="center" wrapText="1"/>
    </xf>
    <xf numFmtId="0" fontId="104" fillId="0" borderId="9" xfId="269" applyFont="1" applyBorder="1" applyAlignment="1">
      <alignment horizontal="center" vertical="center" wrapText="1"/>
    </xf>
    <xf numFmtId="0" fontId="104" fillId="0" borderId="0" xfId="269" applyFont="1" applyAlignment="1">
      <alignment horizontal="center" vertical="center" wrapText="1"/>
    </xf>
    <xf numFmtId="0" fontId="104" fillId="0" borderId="14" xfId="269" applyFont="1" applyBorder="1" applyAlignment="1">
      <alignment horizontal="center" vertical="center" wrapText="1"/>
    </xf>
    <xf numFmtId="186" fontId="103" fillId="0" borderId="13" xfId="1" applyNumberFormat="1" applyFont="1" applyBorder="1" applyAlignment="1">
      <alignment horizontal="center" vertical="center" wrapText="1"/>
    </xf>
    <xf numFmtId="0" fontId="103" fillId="0" borderId="13" xfId="269" applyFont="1" applyBorder="1" applyAlignment="1">
      <alignment horizontal="center"/>
    </xf>
    <xf numFmtId="0" fontId="105" fillId="0" borderId="9" xfId="269" applyFont="1" applyBorder="1" applyAlignment="1">
      <alignment horizontal="left"/>
    </xf>
    <xf numFmtId="0" fontId="103" fillId="0" borderId="0" xfId="269" applyFont="1" applyAlignment="1">
      <alignment horizontal="left"/>
    </xf>
    <xf numFmtId="0" fontId="103" fillId="0" borderId="14" xfId="269" applyFont="1" applyBorder="1" applyAlignment="1">
      <alignment horizontal="left"/>
    </xf>
    <xf numFmtId="0" fontId="103" fillId="0" borderId="14" xfId="269" applyFont="1" applyBorder="1" applyAlignment="1">
      <alignment horizontal="center"/>
    </xf>
    <xf numFmtId="177" fontId="103" fillId="0" borderId="13" xfId="1" applyFont="1" applyFill="1" applyBorder="1"/>
    <xf numFmtId="184" fontId="103" fillId="0" borderId="13" xfId="269" applyNumberFormat="1" applyFont="1" applyBorder="1"/>
    <xf numFmtId="0" fontId="103" fillId="0" borderId="9" xfId="269" applyFont="1" applyBorder="1"/>
    <xf numFmtId="202" fontId="103" fillId="0" borderId="13" xfId="1" applyNumberFormat="1" applyFont="1" applyFill="1" applyBorder="1"/>
    <xf numFmtId="0" fontId="103" fillId="0" borderId="13" xfId="269" applyFont="1" applyBorder="1"/>
    <xf numFmtId="0" fontId="103" fillId="0" borderId="9" xfId="269" applyFont="1" applyBorder="1" applyAlignment="1">
      <alignment horizontal="left"/>
    </xf>
    <xf numFmtId="41" fontId="103" fillId="0" borderId="13" xfId="4" applyFont="1" applyFill="1" applyBorder="1"/>
    <xf numFmtId="0" fontId="105" fillId="0" borderId="71" xfId="269" applyFont="1" applyBorder="1" applyAlignment="1">
      <alignment horizontal="left"/>
    </xf>
    <xf numFmtId="0" fontId="103" fillId="0" borderId="6" xfId="269" applyFont="1" applyBorder="1" applyAlignment="1">
      <alignment horizontal="left"/>
    </xf>
    <xf numFmtId="0" fontId="103" fillId="0" borderId="92" xfId="269" applyFont="1" applyBorder="1" applyAlignment="1">
      <alignment horizontal="left"/>
    </xf>
    <xf numFmtId="0" fontId="103" fillId="0" borderId="92" xfId="269" applyFont="1" applyBorder="1" applyAlignment="1">
      <alignment horizontal="center"/>
    </xf>
    <xf numFmtId="202" fontId="103" fillId="0" borderId="72" xfId="1" applyNumberFormat="1" applyFont="1" applyFill="1" applyBorder="1" applyAlignment="1">
      <alignment horizontal="center"/>
    </xf>
    <xf numFmtId="0" fontId="103" fillId="0" borderId="11" xfId="269" applyFont="1" applyBorder="1" applyAlignment="1">
      <alignment horizontal="center"/>
    </xf>
    <xf numFmtId="0" fontId="102" fillId="0" borderId="71" xfId="269" applyFont="1" applyBorder="1" applyAlignment="1">
      <alignment horizontal="left"/>
    </xf>
    <xf numFmtId="202" fontId="103" fillId="0" borderId="72" xfId="1" applyNumberFormat="1" applyFont="1" applyFill="1" applyBorder="1"/>
    <xf numFmtId="41" fontId="103" fillId="0" borderId="71" xfId="4" applyFont="1" applyFill="1" applyBorder="1"/>
    <xf numFmtId="0" fontId="103" fillId="0" borderId="9" xfId="269" applyFont="1" applyBorder="1" applyAlignment="1">
      <alignment horizontal="center"/>
    </xf>
    <xf numFmtId="0" fontId="103" fillId="0" borderId="0" xfId="269" applyFont="1" applyAlignment="1">
      <alignment horizontal="center"/>
    </xf>
    <xf numFmtId="41" fontId="103" fillId="0" borderId="0" xfId="4" applyFont="1" applyFill="1" applyBorder="1"/>
    <xf numFmtId="0" fontId="106" fillId="0" borderId="9" xfId="269" applyFont="1" applyBorder="1"/>
    <xf numFmtId="200" fontId="103" fillId="0" borderId="13" xfId="1" applyNumberFormat="1" applyFont="1" applyBorder="1"/>
    <xf numFmtId="183" fontId="103" fillId="0" borderId="0" xfId="269" applyNumberFormat="1" applyFont="1"/>
    <xf numFmtId="183" fontId="103" fillId="0" borderId="13" xfId="269" applyNumberFormat="1" applyFont="1" applyBorder="1"/>
    <xf numFmtId="0" fontId="103" fillId="0" borderId="10" xfId="269" applyFont="1" applyBorder="1"/>
    <xf numFmtId="0" fontId="103" fillId="0" borderId="10" xfId="269" applyFont="1" applyBorder="1" applyAlignment="1">
      <alignment horizontal="center"/>
    </xf>
    <xf numFmtId="0" fontId="103" fillId="0" borderId="5" xfId="269" applyFont="1" applyBorder="1" applyAlignment="1">
      <alignment horizontal="center"/>
    </xf>
    <xf numFmtId="0" fontId="103" fillId="0" borderId="16" xfId="269" applyFont="1" applyBorder="1" applyAlignment="1">
      <alignment horizontal="center"/>
    </xf>
    <xf numFmtId="0" fontId="103" fillId="0" borderId="5" xfId="269" applyFont="1" applyBorder="1"/>
    <xf numFmtId="0" fontId="103" fillId="0" borderId="15" xfId="269" applyFont="1" applyBorder="1"/>
    <xf numFmtId="41" fontId="103" fillId="0" borderId="13" xfId="269" applyNumberFormat="1" applyFont="1" applyBorder="1" applyAlignment="1">
      <alignment horizontal="center" vertical="center" wrapText="1"/>
    </xf>
    <xf numFmtId="41" fontId="103" fillId="0" borderId="72" xfId="4" applyFont="1" applyFill="1" applyBorder="1"/>
    <xf numFmtId="183" fontId="102" fillId="0" borderId="72" xfId="269" applyNumberFormat="1" applyFont="1" applyBorder="1"/>
    <xf numFmtId="183" fontId="102" fillId="0" borderId="13" xfId="269" applyNumberFormat="1" applyFont="1" applyBorder="1"/>
    <xf numFmtId="183" fontId="102" fillId="0" borderId="15" xfId="269" applyNumberFormat="1" applyFont="1" applyBorder="1"/>
    <xf numFmtId="176" fontId="96" fillId="0" borderId="0" xfId="0" applyFont="1" applyAlignment="1"/>
    <xf numFmtId="176" fontId="96" fillId="39" borderId="0" xfId="0" applyFont="1" applyFill="1" applyAlignment="1"/>
    <xf numFmtId="177" fontId="107" fillId="0" borderId="0" xfId="0" applyNumberFormat="1" applyFont="1" applyAlignment="1"/>
    <xf numFmtId="177" fontId="94" fillId="0" borderId="0" xfId="0" applyNumberFormat="1" applyFont="1" applyAlignment="1"/>
    <xf numFmtId="177" fontId="96" fillId="0" borderId="0" xfId="0" applyNumberFormat="1" applyFont="1" applyAlignment="1"/>
    <xf numFmtId="202" fontId="0" fillId="19" borderId="7" xfId="1" applyNumberFormat="1" applyFont="1" applyFill="1" applyBorder="1"/>
    <xf numFmtId="176" fontId="95" fillId="0" borderId="0" xfId="0" applyFont="1" applyAlignment="1"/>
    <xf numFmtId="176" fontId="95" fillId="39" borderId="11" xfId="0" applyFont="1" applyFill="1" applyBorder="1" applyAlignment="1">
      <alignment horizontal="center" vertical="center"/>
    </xf>
    <xf numFmtId="176" fontId="95" fillId="40" borderId="4" xfId="0" applyFont="1" applyFill="1" applyBorder="1" applyAlignment="1">
      <alignment horizontal="center" wrapText="1"/>
    </xf>
    <xf numFmtId="176" fontId="95" fillId="41" borderId="4" xfId="0" applyFont="1" applyFill="1" applyBorder="1" applyAlignment="1">
      <alignment horizontal="center"/>
    </xf>
    <xf numFmtId="176" fontId="95" fillId="42" borderId="4" xfId="0" applyFont="1" applyFill="1" applyBorder="1" applyAlignment="1">
      <alignment horizontal="center" vertical="center"/>
    </xf>
    <xf numFmtId="176" fontId="95" fillId="39" borderId="69" xfId="0" applyFont="1" applyFill="1" applyBorder="1" applyAlignment="1">
      <alignment horizontal="center" vertical="center"/>
    </xf>
    <xf numFmtId="176" fontId="95" fillId="40" borderId="69" xfId="0" applyFont="1" applyFill="1" applyBorder="1" applyAlignment="1">
      <alignment horizontal="center"/>
    </xf>
    <xf numFmtId="176" fontId="95" fillId="41" borderId="69" xfId="0" applyFont="1" applyFill="1" applyBorder="1" applyAlignment="1">
      <alignment horizontal="center"/>
    </xf>
    <xf numFmtId="176" fontId="95" fillId="42" borderId="69" xfId="0" applyFont="1" applyFill="1" applyBorder="1" applyAlignment="1">
      <alignment horizontal="center"/>
    </xf>
    <xf numFmtId="176" fontId="96" fillId="0" borderId="66" xfId="0" applyFont="1" applyBorder="1" applyAlignment="1"/>
    <xf numFmtId="37" fontId="96" fillId="40" borderId="13" xfId="0" applyNumberFormat="1" applyFont="1" applyFill="1" applyBorder="1" applyAlignment="1"/>
    <xf numFmtId="37" fontId="96" fillId="41" borderId="13" xfId="0" applyNumberFormat="1" applyFont="1" applyFill="1" applyBorder="1" applyAlignment="1"/>
    <xf numFmtId="37" fontId="96" fillId="42" borderId="13" xfId="0" applyNumberFormat="1" applyFont="1" applyFill="1" applyBorder="1" applyAlignment="1"/>
    <xf numFmtId="176" fontId="95" fillId="0" borderId="13" xfId="0" applyFont="1" applyBorder="1" applyAlignment="1"/>
    <xf numFmtId="37" fontId="48" fillId="43" borderId="57" xfId="266" applyNumberFormat="1" applyFont="1" applyFill="1" applyBorder="1"/>
    <xf numFmtId="37" fontId="48" fillId="44" borderId="57" xfId="266" applyNumberFormat="1" applyFont="1" applyFill="1" applyBorder="1" applyAlignment="1">
      <alignment horizontal="right"/>
    </xf>
    <xf numFmtId="202" fontId="96" fillId="42" borderId="13" xfId="140" applyNumberFormat="1" applyFont="1" applyFill="1" applyBorder="1"/>
    <xf numFmtId="176" fontId="95" fillId="0" borderId="13" xfId="0" applyFont="1" applyFill="1" applyBorder="1" applyAlignment="1"/>
    <xf numFmtId="37" fontId="96" fillId="40" borderId="14" xfId="0" applyNumberFormat="1" applyFont="1" applyFill="1" applyBorder="1" applyAlignment="1"/>
    <xf numFmtId="37" fontId="48" fillId="45" borderId="0" xfId="266" applyNumberFormat="1" applyFont="1" applyFill="1" applyBorder="1"/>
    <xf numFmtId="37" fontId="48" fillId="45" borderId="13" xfId="266" applyNumberFormat="1" applyFont="1" applyFill="1" applyBorder="1"/>
    <xf numFmtId="37" fontId="96" fillId="39" borderId="14" xfId="0" applyNumberFormat="1" applyFont="1" applyFill="1" applyBorder="1" applyAlignment="1"/>
    <xf numFmtId="176" fontId="96" fillId="0" borderId="15" xfId="0" applyFont="1" applyBorder="1" applyAlignment="1"/>
    <xf numFmtId="176" fontId="96" fillId="0" borderId="16" xfId="0" applyFont="1" applyBorder="1" applyAlignment="1"/>
    <xf numFmtId="176" fontId="96" fillId="41" borderId="15" xfId="0" applyFont="1" applyFill="1" applyBorder="1" applyAlignment="1"/>
    <xf numFmtId="41" fontId="94" fillId="0" borderId="0" xfId="127" applyFont="1" applyAlignment="1">
      <alignment horizontal="left" vertical="center"/>
    </xf>
    <xf numFmtId="177" fontId="96" fillId="30" borderId="32" xfId="0" applyNumberFormat="1" applyFont="1" applyFill="1" applyBorder="1" applyAlignment="1"/>
    <xf numFmtId="177" fontId="96" fillId="30" borderId="33" xfId="0" applyNumberFormat="1" applyFont="1" applyFill="1" applyBorder="1" applyAlignment="1"/>
    <xf numFmtId="177" fontId="108" fillId="30" borderId="20" xfId="0" applyNumberFormat="1" applyFont="1" applyFill="1" applyBorder="1" applyAlignment="1">
      <alignment horizontal="left"/>
    </xf>
    <xf numFmtId="177" fontId="96" fillId="30" borderId="0" xfId="0" applyNumberFormat="1" applyFont="1" applyFill="1" applyAlignment="1"/>
    <xf numFmtId="177" fontId="96" fillId="30" borderId="20" xfId="0" applyNumberFormat="1" applyFont="1" applyFill="1" applyBorder="1" applyAlignment="1"/>
    <xf numFmtId="177" fontId="95" fillId="30" borderId="0" xfId="0" applyNumberFormat="1" applyFont="1" applyFill="1" applyAlignment="1">
      <alignment horizontal="center"/>
    </xf>
    <xf numFmtId="177" fontId="109" fillId="30" borderId="0" xfId="0" applyNumberFormat="1" applyFont="1" applyFill="1" applyAlignment="1">
      <alignment horizontal="center"/>
    </xf>
    <xf numFmtId="177" fontId="96" fillId="30" borderId="0" xfId="0" applyNumberFormat="1" applyFont="1" applyFill="1" applyAlignment="1">
      <alignment horizontal="center"/>
    </xf>
    <xf numFmtId="177" fontId="95" fillId="30" borderId="20" xfId="0" applyNumberFormat="1" applyFont="1" applyFill="1" applyBorder="1" applyAlignment="1"/>
    <xf numFmtId="202" fontId="96" fillId="30" borderId="0" xfId="0" applyNumberFormat="1" applyFont="1" applyFill="1" applyAlignment="1">
      <alignment horizontal="center"/>
    </xf>
    <xf numFmtId="202" fontId="96" fillId="30" borderId="0" xfId="0" applyNumberFormat="1" applyFont="1" applyFill="1" applyAlignment="1"/>
    <xf numFmtId="202" fontId="96" fillId="30" borderId="5" xfId="0" applyNumberFormat="1" applyFont="1" applyFill="1" applyBorder="1" applyAlignment="1"/>
    <xf numFmtId="202" fontId="95" fillId="30" borderId="0" xfId="0" applyNumberFormat="1" applyFont="1" applyFill="1" applyAlignment="1">
      <alignment horizontal="center"/>
    </xf>
    <xf numFmtId="202" fontId="95" fillId="30" borderId="19" xfId="0" applyNumberFormat="1" applyFont="1" applyFill="1" applyBorder="1" applyAlignment="1">
      <alignment horizontal="center"/>
    </xf>
    <xf numFmtId="177" fontId="95" fillId="30" borderId="0" xfId="0" applyNumberFormat="1" applyFont="1" applyFill="1" applyAlignment="1"/>
    <xf numFmtId="177" fontId="95" fillId="30" borderId="20" xfId="0" applyNumberFormat="1" applyFont="1" applyFill="1" applyBorder="1" applyAlignment="1">
      <alignment horizontal="left"/>
    </xf>
    <xf numFmtId="177" fontId="57" fillId="30" borderId="0" xfId="0" applyNumberFormat="1" applyFont="1" applyFill="1" applyAlignment="1">
      <alignment horizontal="center"/>
    </xf>
    <xf numFmtId="177" fontId="110" fillId="30" borderId="0" xfId="0" applyNumberFormat="1" applyFont="1" applyFill="1" applyAlignment="1">
      <alignment horizontal="right"/>
    </xf>
    <xf numFmtId="177" fontId="57" fillId="30" borderId="20" xfId="0" applyNumberFormat="1" applyFont="1" applyFill="1" applyBorder="1" applyAlignment="1"/>
    <xf numFmtId="177" fontId="95" fillId="30" borderId="5" xfId="0" applyNumberFormat="1" applyFont="1" applyFill="1" applyBorder="1" applyAlignment="1">
      <alignment horizontal="center"/>
    </xf>
    <xf numFmtId="177" fontId="96" fillId="30" borderId="20" xfId="0" applyNumberFormat="1" applyFont="1" applyFill="1" applyBorder="1" applyAlignment="1">
      <alignment horizontal="left"/>
    </xf>
    <xf numFmtId="177" fontId="107" fillId="30" borderId="20" xfId="0" applyNumberFormat="1" applyFont="1" applyFill="1" applyBorder="1" applyAlignment="1"/>
    <xf numFmtId="177" fontId="107" fillId="30" borderId="0" xfId="0" applyNumberFormat="1" applyFont="1" applyFill="1" applyAlignment="1"/>
    <xf numFmtId="177" fontId="94" fillId="30" borderId="20" xfId="0" applyNumberFormat="1" applyFont="1" applyFill="1" applyBorder="1" applyAlignment="1"/>
    <xf numFmtId="177" fontId="94" fillId="30" borderId="0" xfId="0" applyNumberFormat="1" applyFont="1" applyFill="1" applyAlignment="1"/>
    <xf numFmtId="202" fontId="94" fillId="30" borderId="93" xfId="0" applyNumberFormat="1" applyFont="1" applyFill="1" applyBorder="1" applyAlignment="1">
      <alignment horizontal="center"/>
    </xf>
    <xf numFmtId="202" fontId="94" fillId="30" borderId="0" xfId="0" applyNumberFormat="1" applyFont="1" applyFill="1" applyAlignment="1">
      <alignment horizontal="center"/>
    </xf>
    <xf numFmtId="202" fontId="94" fillId="30" borderId="0" xfId="266" applyNumberFormat="1" applyFont="1" applyFill="1" applyAlignment="1">
      <alignment horizontal="left"/>
    </xf>
    <xf numFmtId="177" fontId="96" fillId="30" borderId="44" xfId="0" applyNumberFormat="1" applyFont="1" applyFill="1" applyBorder="1" applyAlignment="1"/>
    <xf numFmtId="177" fontId="96" fillId="30" borderId="45" xfId="0" applyNumberFormat="1" applyFont="1" applyFill="1" applyBorder="1" applyAlignment="1"/>
    <xf numFmtId="177" fontId="96" fillId="0" borderId="5" xfId="0" applyNumberFormat="1" applyFont="1" applyBorder="1" applyAlignment="1"/>
    <xf numFmtId="176" fontId="13" fillId="19" borderId="8" xfId="0" applyFont="1" applyFill="1" applyBorder="1">
      <alignment vertical="top"/>
    </xf>
    <xf numFmtId="176" fontId="13" fillId="19" borderId="0" xfId="0" applyFont="1" applyFill="1" applyBorder="1">
      <alignment vertical="top"/>
    </xf>
    <xf numFmtId="176" fontId="13" fillId="19" borderId="5" xfId="0" applyFont="1" applyFill="1" applyBorder="1">
      <alignment vertical="top"/>
    </xf>
    <xf numFmtId="202" fontId="0" fillId="19" borderId="0" xfId="1" applyNumberFormat="1" applyFont="1" applyFill="1" applyBorder="1"/>
    <xf numFmtId="176" fontId="95" fillId="46" borderId="11" xfId="0" applyFont="1" applyFill="1" applyBorder="1" applyAlignment="1">
      <alignment horizontal="center"/>
    </xf>
    <xf numFmtId="176" fontId="95" fillId="28" borderId="7" xfId="0" applyFont="1" applyFill="1" applyBorder="1" applyAlignment="1">
      <alignment horizontal="center" vertical="center"/>
    </xf>
    <xf numFmtId="176" fontId="95" fillId="28" borderId="8" xfId="0" applyFont="1" applyFill="1" applyBorder="1" applyAlignment="1">
      <alignment horizontal="center" vertical="center"/>
    </xf>
    <xf numFmtId="176" fontId="95" fillId="28" borderId="12" xfId="0" applyFont="1" applyFill="1" applyBorder="1" applyAlignment="1">
      <alignment horizontal="center" vertical="center"/>
    </xf>
    <xf numFmtId="176" fontId="95" fillId="47" borderId="11" xfId="0" applyFont="1" applyFill="1" applyBorder="1" applyAlignment="1">
      <alignment horizontal="center" vertical="center"/>
    </xf>
    <xf numFmtId="176" fontId="95" fillId="0" borderId="4" xfId="0" applyFont="1" applyBorder="1" applyAlignment="1">
      <alignment horizontal="center"/>
    </xf>
    <xf numFmtId="176" fontId="95" fillId="46" borderId="69" xfId="0" applyFont="1" applyFill="1" applyBorder="1" applyAlignment="1">
      <alignment horizontal="center"/>
    </xf>
    <xf numFmtId="176" fontId="95" fillId="28" borderId="68" xfId="0" applyFont="1" applyFill="1" applyBorder="1" applyAlignment="1">
      <alignment horizontal="center"/>
    </xf>
    <xf numFmtId="176" fontId="95" fillId="28" borderId="69" xfId="0" applyFont="1" applyFill="1" applyBorder="1" applyAlignment="1">
      <alignment horizontal="center"/>
    </xf>
    <xf numFmtId="176" fontId="95" fillId="47" borderId="69" xfId="0" applyFont="1" applyFill="1" applyBorder="1" applyAlignment="1">
      <alignment horizontal="center"/>
    </xf>
    <xf numFmtId="176" fontId="95" fillId="0" borderId="69" xfId="0" applyFont="1" applyBorder="1" applyAlignment="1">
      <alignment horizontal="center"/>
    </xf>
    <xf numFmtId="37" fontId="96" fillId="46" borderId="13" xfId="0" applyNumberFormat="1" applyFont="1" applyFill="1" applyBorder="1" applyAlignment="1"/>
    <xf numFmtId="37" fontId="96" fillId="28" borderId="9" xfId="0" applyNumberFormat="1" applyFont="1" applyFill="1" applyBorder="1" applyAlignment="1"/>
    <xf numFmtId="37" fontId="96" fillId="28" borderId="66" xfId="0" applyNumberFormat="1" applyFont="1" applyFill="1" applyBorder="1" applyAlignment="1"/>
    <xf numFmtId="37" fontId="96" fillId="47" borderId="13" xfId="0" applyNumberFormat="1" applyFont="1" applyFill="1" applyBorder="1" applyAlignment="1"/>
    <xf numFmtId="176" fontId="96" fillId="0" borderId="13" xfId="0" applyFont="1" applyBorder="1" applyAlignment="1"/>
    <xf numFmtId="37" fontId="48" fillId="48" borderId="57" xfId="266" applyNumberFormat="1" applyFont="1" applyFill="1" applyBorder="1" applyAlignment="1">
      <alignment horizontal="right"/>
    </xf>
    <xf numFmtId="198" fontId="48" fillId="0" borderId="57" xfId="266" applyNumberFormat="1" applyFont="1" applyBorder="1"/>
    <xf numFmtId="37" fontId="96" fillId="28" borderId="13" xfId="0" applyNumberFormat="1" applyFont="1" applyFill="1" applyBorder="1" applyAlignment="1"/>
    <xf numFmtId="37" fontId="48" fillId="49" borderId="0" xfId="266" applyNumberFormat="1" applyFont="1" applyFill="1" applyBorder="1"/>
    <xf numFmtId="198" fontId="48" fillId="39" borderId="13" xfId="266" applyNumberFormat="1" applyFont="1" applyFill="1" applyBorder="1"/>
    <xf numFmtId="37" fontId="96" fillId="46" borderId="15" xfId="0" applyNumberFormat="1" applyFont="1" applyFill="1" applyBorder="1" applyAlignment="1"/>
    <xf numFmtId="176" fontId="96" fillId="28" borderId="15" xfId="0" applyFont="1" applyFill="1" applyBorder="1" applyAlignment="1"/>
    <xf numFmtId="177" fontId="96" fillId="30" borderId="48" xfId="0" applyNumberFormat="1" applyFont="1" applyFill="1" applyBorder="1" applyAlignment="1"/>
    <xf numFmtId="177" fontId="96" fillId="30" borderId="0" xfId="0" applyNumberFormat="1" applyFont="1" applyFill="1" applyBorder="1" applyAlignment="1"/>
    <xf numFmtId="177" fontId="96" fillId="30" borderId="21" xfId="0" applyNumberFormat="1" applyFont="1" applyFill="1" applyBorder="1" applyAlignment="1"/>
    <xf numFmtId="202" fontId="96" fillId="0" borderId="0" xfId="0" applyNumberFormat="1" applyFont="1" applyAlignment="1"/>
    <xf numFmtId="41" fontId="96" fillId="30" borderId="0" xfId="4" applyFont="1" applyFill="1" applyAlignment="1"/>
    <xf numFmtId="202" fontId="95" fillId="30" borderId="5" xfId="0" applyNumberFormat="1" applyFont="1" applyFill="1" applyBorder="1" applyAlignment="1"/>
    <xf numFmtId="37" fontId="13" fillId="0" borderId="0" xfId="140"/>
    <xf numFmtId="202" fontId="95" fillId="30" borderId="0" xfId="0" applyNumberFormat="1" applyFont="1" applyFill="1" applyAlignment="1"/>
    <xf numFmtId="202" fontId="57" fillId="30" borderId="6" xfId="0" applyNumberFormat="1" applyFont="1" applyFill="1" applyBorder="1" applyAlignment="1"/>
    <xf numFmtId="177" fontId="10" fillId="30" borderId="0" xfId="0" applyNumberFormat="1" applyFont="1" applyFill="1" applyAlignment="1"/>
    <xf numFmtId="202" fontId="57" fillId="30" borderId="0" xfId="0" applyNumberFormat="1" applyFont="1" applyFill="1" applyAlignment="1"/>
    <xf numFmtId="177" fontId="107" fillId="30" borderId="0" xfId="0" applyNumberFormat="1" applyFont="1" applyFill="1" applyBorder="1" applyAlignment="1"/>
    <xf numFmtId="177" fontId="107" fillId="30" borderId="21" xfId="0" applyNumberFormat="1" applyFont="1" applyFill="1" applyBorder="1" applyAlignment="1"/>
    <xf numFmtId="177" fontId="94" fillId="30" borderId="21" xfId="0" applyNumberFormat="1" applyFont="1" applyFill="1" applyBorder="1" applyAlignment="1"/>
    <xf numFmtId="177" fontId="94" fillId="30" borderId="0" xfId="0" applyNumberFormat="1" applyFont="1" applyFill="1" applyBorder="1" applyAlignment="1"/>
    <xf numFmtId="177" fontId="96" fillId="30" borderId="49" xfId="0" applyNumberFormat="1" applyFont="1" applyFill="1" applyBorder="1" applyAlignment="1"/>
    <xf numFmtId="176" fontId="95" fillId="0" borderId="11" xfId="0" applyFont="1" applyBorder="1" applyAlignment="1">
      <alignment horizontal="center" vertical="center"/>
    </xf>
    <xf numFmtId="176" fontId="95" fillId="0" borderId="69" xfId="0" applyFont="1" applyBorder="1" applyAlignment="1">
      <alignment horizontal="center" vertical="center"/>
    </xf>
    <xf numFmtId="176" fontId="110" fillId="0" borderId="0" xfId="0" applyFont="1" applyAlignment="1"/>
    <xf numFmtId="198" fontId="48" fillId="39" borderId="0" xfId="266" applyNumberFormat="1" applyFont="1" applyFill="1" applyBorder="1"/>
    <xf numFmtId="176" fontId="96" fillId="39" borderId="13" xfId="0" applyFont="1" applyFill="1" applyBorder="1" applyAlignment="1"/>
    <xf numFmtId="176" fontId="110" fillId="39" borderId="0" xfId="0" applyFont="1" applyFill="1" applyAlignment="1"/>
    <xf numFmtId="176" fontId="13" fillId="0" borderId="0" xfId="0" applyFont="1" applyAlignment="1"/>
    <xf numFmtId="3" fontId="13" fillId="0" borderId="0" xfId="0" applyNumberFormat="1" applyFont="1" applyAlignment="1"/>
    <xf numFmtId="3" fontId="9" fillId="0" borderId="0" xfId="0" applyNumberFormat="1" applyFont="1" applyAlignment="1"/>
    <xf numFmtId="3" fontId="30" fillId="0" borderId="0" xfId="0" applyNumberFormat="1" applyFont="1" applyAlignment="1"/>
    <xf numFmtId="204" fontId="0" fillId="0" borderId="0" xfId="0" applyNumberFormat="1" applyAlignment="1"/>
    <xf numFmtId="41" fontId="95" fillId="0" borderId="0" xfId="127" applyFont="1" applyAlignment="1">
      <alignment horizontal="center" vertical="center"/>
    </xf>
    <xf numFmtId="41" fontId="8" fillId="29" borderId="11" xfId="127" applyFont="1" applyFill="1" applyBorder="1" applyAlignment="1">
      <alignment horizontal="center" vertical="center"/>
    </xf>
    <xf numFmtId="41" fontId="8" fillId="40" borderId="17" xfId="127" applyFont="1" applyFill="1" applyBorder="1" applyAlignment="1">
      <alignment horizontal="center" vertical="center"/>
    </xf>
    <xf numFmtId="41" fontId="8" fillId="40" borderId="19" xfId="127" applyFont="1" applyFill="1" applyBorder="1" applyAlignment="1">
      <alignment horizontal="center" vertical="center"/>
    </xf>
    <xf numFmtId="41" fontId="8" fillId="29" borderId="13" xfId="127" applyFont="1" applyFill="1" applyBorder="1" applyAlignment="1">
      <alignment horizontal="center" vertical="center"/>
    </xf>
    <xf numFmtId="41" fontId="8" fillId="40" borderId="13" xfId="127" applyFont="1" applyFill="1" applyBorder="1" applyAlignment="1">
      <alignment horizontal="center" vertical="center"/>
    </xf>
    <xf numFmtId="41" fontId="8" fillId="40" borderId="11" xfId="127" applyFont="1" applyFill="1" applyBorder="1" applyAlignment="1">
      <alignment horizontal="center" vertical="center"/>
    </xf>
    <xf numFmtId="41" fontId="8" fillId="29" borderId="15" xfId="127" applyFont="1" applyFill="1" applyBorder="1" applyAlignment="1">
      <alignment horizontal="center" vertical="center"/>
    </xf>
    <xf numFmtId="41" fontId="8" fillId="40" borderId="15" xfId="127" applyFont="1" applyFill="1" applyBorder="1" applyAlignment="1">
      <alignment horizontal="center" vertical="center"/>
    </xf>
    <xf numFmtId="41" fontId="8" fillId="29" borderId="40" xfId="127" applyFont="1" applyFill="1" applyBorder="1" applyAlignment="1">
      <alignment horizontal="center" vertical="center"/>
    </xf>
    <xf numFmtId="41" fontId="8" fillId="40" borderId="36" xfId="127" applyFont="1" applyFill="1" applyBorder="1" applyAlignment="1">
      <alignment horizontal="center" vertical="center"/>
    </xf>
    <xf numFmtId="41" fontId="13" fillId="40" borderId="40" xfId="127" applyFont="1" applyFill="1" applyBorder="1" applyAlignment="1">
      <alignment horizontal="center" vertical="center"/>
    </xf>
    <xf numFmtId="176" fontId="79" fillId="0" borderId="0" xfId="0" applyFont="1" applyAlignment="1"/>
    <xf numFmtId="41" fontId="8" fillId="40" borderId="40" xfId="127" applyFont="1" applyFill="1" applyBorder="1" applyAlignment="1">
      <alignment horizontal="center" vertical="center"/>
    </xf>
    <xf numFmtId="41" fontId="8" fillId="40" borderId="40" xfId="127" applyFont="1" applyFill="1" applyBorder="1" applyAlignment="1">
      <alignment horizontal="right" vertical="center"/>
    </xf>
    <xf numFmtId="217" fontId="8" fillId="29" borderId="40" xfId="127" applyNumberFormat="1" applyFont="1" applyFill="1" applyBorder="1" applyAlignment="1">
      <alignment horizontal="center" vertical="center"/>
    </xf>
    <xf numFmtId="41" fontId="8" fillId="8" borderId="40" xfId="127" applyFont="1" applyFill="1" applyBorder="1" applyAlignment="1">
      <alignment horizontal="center" vertical="center"/>
    </xf>
    <xf numFmtId="41" fontId="8" fillId="40" borderId="40" xfId="127" applyFont="1" applyFill="1" applyBorder="1" applyAlignment="1">
      <alignment vertical="center"/>
    </xf>
    <xf numFmtId="41" fontId="8" fillId="29" borderId="37" xfId="127" applyFont="1" applyFill="1" applyBorder="1" applyAlignment="1">
      <alignment horizontal="center" vertical="center"/>
    </xf>
    <xf numFmtId="41" fontId="8" fillId="40" borderId="37" xfId="127" applyFont="1" applyFill="1" applyBorder="1" applyAlignment="1">
      <alignment horizontal="center" vertical="center"/>
    </xf>
    <xf numFmtId="213" fontId="8" fillId="40" borderId="43" xfId="127" applyNumberFormat="1" applyFont="1" applyFill="1" applyBorder="1" applyAlignment="1">
      <alignment horizontal="center" vertical="center"/>
    </xf>
    <xf numFmtId="41" fontId="8" fillId="40" borderId="43" xfId="127" applyFont="1" applyFill="1" applyBorder="1" applyAlignment="1">
      <alignment horizontal="center" vertical="center"/>
    </xf>
    <xf numFmtId="41" fontId="8" fillId="0" borderId="0" xfId="127" applyFont="1" applyAlignment="1">
      <alignment horizontal="center" vertical="center"/>
    </xf>
    <xf numFmtId="213" fontId="8" fillId="0" borderId="8" xfId="127" applyNumberFormat="1" applyFont="1" applyBorder="1" applyAlignment="1">
      <alignment horizontal="center" vertical="center"/>
    </xf>
    <xf numFmtId="41" fontId="8" fillId="0" borderId="8" xfId="127" applyFont="1" applyBorder="1" applyAlignment="1">
      <alignment horizontal="center" vertical="center"/>
    </xf>
    <xf numFmtId="41" fontId="111" fillId="0" borderId="0" xfId="127" applyFont="1" applyAlignment="1">
      <alignment horizontal="left" vertical="center"/>
    </xf>
    <xf numFmtId="41" fontId="112" fillId="0" borderId="0" xfId="127" applyFont="1" applyAlignment="1">
      <alignment horizontal="left" vertical="center"/>
    </xf>
    <xf numFmtId="41" fontId="8" fillId="0" borderId="0" xfId="127" applyFont="1" applyAlignment="1">
      <alignment vertical="center"/>
    </xf>
    <xf numFmtId="41" fontId="13" fillId="0" borderId="0" xfId="0" applyNumberFormat="1" applyFont="1" applyAlignment="1"/>
    <xf numFmtId="41" fontId="27" fillId="0" borderId="0" xfId="127" applyFont="1" applyAlignment="1">
      <alignment horizontal="right" vertical="center"/>
    </xf>
    <xf numFmtId="41" fontId="9" fillId="0" borderId="0" xfId="0" applyNumberFormat="1" applyFont="1" applyAlignment="1"/>
    <xf numFmtId="41" fontId="111" fillId="0" borderId="0" xfId="127" applyFont="1" applyAlignment="1">
      <alignment horizontal="right" vertical="center"/>
    </xf>
    <xf numFmtId="3" fontId="23" fillId="50" borderId="0" xfId="0" applyNumberFormat="1" applyFont="1" applyFill="1" applyAlignment="1"/>
    <xf numFmtId="3" fontId="13" fillId="50" borderId="0" xfId="0" applyNumberFormat="1" applyFont="1" applyFill="1" applyAlignment="1"/>
    <xf numFmtId="41" fontId="96" fillId="0" borderId="0" xfId="127" applyFont="1" applyAlignment="1">
      <alignment vertical="center"/>
    </xf>
    <xf numFmtId="41" fontId="8" fillId="42" borderId="19" xfId="127" applyFont="1" applyFill="1" applyBorder="1" applyAlignment="1">
      <alignment horizontal="center" vertical="center"/>
    </xf>
    <xf numFmtId="41" fontId="8" fillId="40" borderId="0" xfId="127" applyFont="1" applyFill="1" applyAlignment="1">
      <alignment horizontal="center" vertical="center"/>
    </xf>
    <xf numFmtId="41" fontId="8" fillId="47" borderId="11" xfId="127" applyFont="1" applyFill="1" applyBorder="1" applyAlignment="1">
      <alignment horizontal="center" vertical="center"/>
    </xf>
    <xf numFmtId="41" fontId="8" fillId="19" borderId="13" xfId="127" applyFont="1" applyFill="1" applyBorder="1" applyAlignment="1">
      <alignment horizontal="center" vertical="center"/>
    </xf>
    <xf numFmtId="41" fontId="8" fillId="47" borderId="13" xfId="127" applyFont="1" applyFill="1" applyBorder="1" applyAlignment="1">
      <alignment horizontal="center" vertical="center"/>
    </xf>
    <xf numFmtId="41" fontId="8" fillId="40" borderId="5" xfId="127" applyFont="1" applyFill="1" applyBorder="1" applyAlignment="1">
      <alignment horizontal="center" vertical="center"/>
    </xf>
    <xf numFmtId="41" fontId="8" fillId="19" borderId="15" xfId="127" applyFont="1" applyFill="1" applyBorder="1" applyAlignment="1">
      <alignment horizontal="center" vertical="center"/>
    </xf>
    <xf numFmtId="41" fontId="8" fillId="47" borderId="15" xfId="127" applyFont="1" applyFill="1" applyBorder="1" applyAlignment="1">
      <alignment horizontal="center" vertical="center"/>
    </xf>
    <xf numFmtId="41" fontId="8" fillId="19" borderId="36" xfId="127" applyFont="1" applyFill="1" applyBorder="1" applyAlignment="1">
      <alignment horizontal="center" vertical="center"/>
    </xf>
    <xf numFmtId="41" fontId="8" fillId="47" borderId="36" xfId="127" applyFont="1" applyFill="1" applyBorder="1" applyAlignment="1">
      <alignment horizontal="center" vertical="center"/>
    </xf>
    <xf numFmtId="41" fontId="8" fillId="19" borderId="13" xfId="127" applyFont="1" applyFill="1" applyBorder="1" applyAlignment="1">
      <alignment vertical="center"/>
    </xf>
    <xf numFmtId="41" fontId="8" fillId="47" borderId="13" xfId="127" applyFont="1" applyFill="1" applyBorder="1" applyAlignment="1">
      <alignment vertical="center"/>
    </xf>
    <xf numFmtId="41" fontId="13" fillId="19" borderId="40" xfId="127" applyFont="1" applyFill="1" applyBorder="1" applyAlignment="1">
      <alignment horizontal="center" vertical="center"/>
    </xf>
    <xf numFmtId="41" fontId="8" fillId="42" borderId="40" xfId="127" applyFont="1" applyFill="1" applyBorder="1" applyAlignment="1">
      <alignment vertical="center"/>
    </xf>
    <xf numFmtId="41" fontId="8" fillId="47" borderId="40" xfId="127" applyFont="1" applyFill="1" applyBorder="1" applyAlignment="1">
      <alignment vertical="center"/>
    </xf>
    <xf numFmtId="213" fontId="8" fillId="42" borderId="43" xfId="127" applyNumberFormat="1" applyFont="1" applyFill="1" applyBorder="1" applyAlignment="1">
      <alignment horizontal="center" vertical="center"/>
    </xf>
    <xf numFmtId="213" fontId="13" fillId="42" borderId="43" xfId="127" applyNumberFormat="1" applyFont="1" applyFill="1" applyBorder="1" applyAlignment="1">
      <alignment vertical="center"/>
    </xf>
    <xf numFmtId="213" fontId="13" fillId="47" borderId="43" xfId="127" applyNumberFormat="1" applyFont="1" applyFill="1" applyBorder="1" applyAlignment="1">
      <alignment vertical="center"/>
    </xf>
    <xf numFmtId="213" fontId="13" fillId="0" borderId="8" xfId="127" applyNumberFormat="1" applyFont="1" applyBorder="1" applyAlignment="1">
      <alignment vertical="center"/>
    </xf>
    <xf numFmtId="41" fontId="82" fillId="0" borderId="0" xfId="0" applyNumberFormat="1" applyFont="1" applyAlignment="1"/>
    <xf numFmtId="41" fontId="71" fillId="0" borderId="0" xfId="127" applyFont="1" applyAlignment="1">
      <alignment horizontal="center" vertical="center"/>
    </xf>
    <xf numFmtId="41" fontId="8" fillId="0" borderId="0" xfId="127" applyFont="1" applyAlignment="1">
      <alignment horizontal="right" vertical="center"/>
    </xf>
    <xf numFmtId="41" fontId="9" fillId="0" borderId="0" xfId="127" applyFont="1" applyAlignment="1">
      <alignment horizontal="center" vertical="center"/>
    </xf>
    <xf numFmtId="41" fontId="9" fillId="0" borderId="0" xfId="127" applyFont="1" applyAlignment="1">
      <alignment horizontal="right" vertical="center"/>
    </xf>
    <xf numFmtId="3" fontId="13" fillId="0" borderId="0" xfId="0" applyNumberFormat="1" applyFont="1" applyAlignment="1">
      <alignment horizontal="right"/>
    </xf>
    <xf numFmtId="41" fontId="30" fillId="0" borderId="0" xfId="4" applyFont="1"/>
    <xf numFmtId="41" fontId="113" fillId="0" borderId="0" xfId="0" applyNumberFormat="1" applyFont="1" applyAlignment="1"/>
    <xf numFmtId="3" fontId="0" fillId="0" borderId="0" xfId="0" applyNumberFormat="1" applyAlignment="1"/>
    <xf numFmtId="41" fontId="114" fillId="0" borderId="0" xfId="127" applyFont="1" applyAlignment="1">
      <alignment horizontal="left" vertical="center"/>
    </xf>
    <xf numFmtId="41" fontId="13" fillId="0" borderId="0" xfId="127" applyFont="1" applyAlignment="1">
      <alignment vertical="center"/>
    </xf>
    <xf numFmtId="204" fontId="96" fillId="0" borderId="0" xfId="127" applyNumberFormat="1" applyFont="1" applyAlignment="1">
      <alignment vertical="center"/>
    </xf>
    <xf numFmtId="204" fontId="96" fillId="0" borderId="0" xfId="127" applyNumberFormat="1" applyFont="1" applyAlignment="1">
      <alignment horizontal="center" vertical="center"/>
    </xf>
    <xf numFmtId="41" fontId="8" fillId="29" borderId="19" xfId="127" applyFont="1" applyFill="1" applyBorder="1" applyAlignment="1">
      <alignment horizontal="center" vertical="center"/>
    </xf>
    <xf numFmtId="204" fontId="8" fillId="51" borderId="11" xfId="127" applyNumberFormat="1" applyFont="1" applyFill="1" applyBorder="1" applyAlignment="1">
      <alignment horizontal="center" vertical="center"/>
    </xf>
    <xf numFmtId="41" fontId="8" fillId="42" borderId="11" xfId="127" applyFont="1" applyFill="1" applyBorder="1" applyAlignment="1">
      <alignment horizontal="center" vertical="center"/>
    </xf>
    <xf numFmtId="204" fontId="8" fillId="51" borderId="13" xfId="127" applyNumberFormat="1" applyFont="1" applyFill="1" applyBorder="1" applyAlignment="1">
      <alignment horizontal="center" vertical="center"/>
    </xf>
    <xf numFmtId="41" fontId="8" fillId="42" borderId="13" xfId="127" applyFont="1" applyFill="1" applyBorder="1" applyAlignment="1">
      <alignment horizontal="center" vertical="center"/>
    </xf>
    <xf numFmtId="41" fontId="8" fillId="42" borderId="15" xfId="127" applyFont="1" applyFill="1" applyBorder="1" applyAlignment="1">
      <alignment horizontal="center" vertical="center"/>
    </xf>
    <xf numFmtId="204" fontId="8" fillId="51" borderId="15" xfId="127" applyNumberFormat="1" applyFont="1" applyFill="1" applyBorder="1" applyAlignment="1">
      <alignment horizontal="center" vertical="center"/>
    </xf>
    <xf numFmtId="41" fontId="8" fillId="42" borderId="36" xfId="127" applyFont="1" applyFill="1" applyBorder="1" applyAlignment="1">
      <alignment horizontal="center" vertical="center"/>
    </xf>
    <xf numFmtId="41" fontId="8" fillId="29" borderId="36" xfId="127" applyFont="1" applyFill="1" applyBorder="1" applyAlignment="1">
      <alignment horizontal="center" vertical="center"/>
    </xf>
    <xf numFmtId="204" fontId="8" fillId="51" borderId="36" xfId="127" applyNumberFormat="1" applyFont="1" applyFill="1" applyBorder="1" applyAlignment="1">
      <alignment horizontal="center" vertical="center"/>
    </xf>
    <xf numFmtId="41" fontId="8" fillId="42" borderId="13" xfId="127" applyFont="1" applyFill="1" applyBorder="1" applyAlignment="1">
      <alignment vertical="center"/>
    </xf>
    <xf numFmtId="41" fontId="8" fillId="29" borderId="13" xfId="127" applyFont="1" applyFill="1" applyBorder="1" applyAlignment="1">
      <alignment vertical="center"/>
    </xf>
    <xf numFmtId="41" fontId="13" fillId="42" borderId="40" xfId="127" applyFont="1" applyFill="1" applyBorder="1" applyAlignment="1">
      <alignment horizontal="center" vertical="center"/>
    </xf>
    <xf numFmtId="41" fontId="30" fillId="29" borderId="40" xfId="127" applyFont="1" applyFill="1" applyBorder="1" applyAlignment="1">
      <alignment horizontal="center" vertical="center"/>
    </xf>
    <xf numFmtId="204" fontId="13" fillId="51" borderId="40" xfId="127" applyNumberFormat="1" applyFont="1" applyFill="1" applyBorder="1" applyAlignment="1">
      <alignment horizontal="center" vertical="center"/>
    </xf>
    <xf numFmtId="41" fontId="30" fillId="30" borderId="40" xfId="127" applyFont="1" applyFill="1" applyBorder="1" applyAlignment="1">
      <alignment horizontal="center" vertical="center"/>
    </xf>
    <xf numFmtId="204" fontId="0" fillId="51" borderId="40" xfId="127" applyNumberFormat="1" applyFont="1" applyFill="1" applyBorder="1" applyAlignment="1">
      <alignment horizontal="center" vertical="center"/>
    </xf>
    <xf numFmtId="198" fontId="13" fillId="0" borderId="0" xfId="127" applyNumberFormat="1" applyFont="1" applyAlignment="1">
      <alignment vertical="center"/>
    </xf>
    <xf numFmtId="41" fontId="13" fillId="29" borderId="40" xfId="127" applyFont="1" applyFill="1" applyBorder="1" applyAlignment="1">
      <alignment horizontal="center" vertical="center"/>
    </xf>
    <xf numFmtId="41" fontId="13" fillId="0" borderId="0" xfId="127" applyFont="1" applyAlignment="1">
      <alignment horizontal="center" vertical="center"/>
    </xf>
    <xf numFmtId="41" fontId="8" fillId="29" borderId="40" xfId="127" applyFont="1" applyFill="1" applyBorder="1" applyAlignment="1">
      <alignment vertical="center"/>
    </xf>
    <xf numFmtId="204" fontId="8" fillId="51" borderId="40" xfId="127" applyNumberFormat="1" applyFont="1" applyFill="1" applyBorder="1" applyAlignment="1">
      <alignment vertical="center"/>
    </xf>
    <xf numFmtId="204" fontId="8" fillId="51" borderId="40" xfId="127" applyNumberFormat="1" applyFont="1" applyFill="1" applyBorder="1" applyAlignment="1">
      <alignment horizontal="center" vertical="center"/>
    </xf>
    <xf numFmtId="213" fontId="13" fillId="29" borderId="43" xfId="127" applyNumberFormat="1" applyFont="1" applyFill="1" applyBorder="1" applyAlignment="1">
      <alignment vertical="center"/>
    </xf>
    <xf numFmtId="204" fontId="13" fillId="51" borderId="43" xfId="127" applyNumberFormat="1" applyFont="1" applyFill="1" applyBorder="1" applyAlignment="1">
      <alignment vertical="center"/>
    </xf>
    <xf numFmtId="204" fontId="13" fillId="51" borderId="43" xfId="127" applyNumberFormat="1" applyFont="1" applyFill="1" applyBorder="1" applyAlignment="1">
      <alignment horizontal="center" vertical="center"/>
    </xf>
    <xf numFmtId="204" fontId="13" fillId="0" borderId="8" xfId="127" applyNumberFormat="1" applyFont="1" applyBorder="1" applyAlignment="1">
      <alignment vertical="center"/>
    </xf>
    <xf numFmtId="204" fontId="13" fillId="0" borderId="8" xfId="127" applyNumberFormat="1" applyFont="1" applyBorder="1" applyAlignment="1">
      <alignment horizontal="center" vertical="center"/>
    </xf>
    <xf numFmtId="41" fontId="13" fillId="0" borderId="0" xfId="4" applyFont="1" applyAlignment="1"/>
    <xf numFmtId="41" fontId="13" fillId="0" borderId="0" xfId="127" applyFont="1" applyAlignment="1">
      <alignment horizontal="right" vertical="center"/>
    </xf>
    <xf numFmtId="41" fontId="30" fillId="0" borderId="0" xfId="127" applyFont="1" applyAlignment="1">
      <alignment vertical="center"/>
    </xf>
    <xf numFmtId="41" fontId="114" fillId="0" borderId="0" xfId="127" applyFont="1" applyAlignment="1">
      <alignment vertical="center"/>
    </xf>
    <xf numFmtId="41" fontId="115" fillId="0" borderId="0" xfId="127" applyFont="1" applyAlignment="1">
      <alignment vertical="center"/>
    </xf>
    <xf numFmtId="41" fontId="113" fillId="0" borderId="0" xfId="127" applyFont="1" applyAlignment="1">
      <alignment vertical="center"/>
    </xf>
    <xf numFmtId="177" fontId="13" fillId="0" borderId="0" xfId="1" applyFont="1"/>
    <xf numFmtId="204" fontId="13" fillId="0" borderId="0" xfId="0" applyNumberFormat="1" applyFont="1" applyAlignment="1"/>
    <xf numFmtId="204" fontId="13" fillId="0" borderId="0" xfId="127" applyNumberFormat="1" applyFont="1" applyAlignment="1">
      <alignment vertical="center"/>
    </xf>
    <xf numFmtId="204" fontId="13" fillId="0" borderId="0" xfId="127" applyNumberFormat="1" applyFont="1" applyAlignment="1">
      <alignment horizontal="center" vertical="center"/>
    </xf>
    <xf numFmtId="204" fontId="9" fillId="0" borderId="0" xfId="0" applyNumberFormat="1" applyFont="1" applyAlignment="1"/>
    <xf numFmtId="204" fontId="30" fillId="0" borderId="0" xfId="0" applyNumberFormat="1" applyFont="1" applyAlignment="1"/>
    <xf numFmtId="41" fontId="7" fillId="0" borderId="0" xfId="0" applyNumberFormat="1" applyFont="1" applyAlignment="1"/>
    <xf numFmtId="41" fontId="13" fillId="0" borderId="0" xfId="4" applyFont="1" applyAlignment="1">
      <alignment vertical="center"/>
    </xf>
    <xf numFmtId="41" fontId="8" fillId="0" borderId="0" xfId="4" applyFont="1" applyAlignment="1">
      <alignment horizontal="center" vertical="center"/>
    </xf>
    <xf numFmtId="41" fontId="8" fillId="0" borderId="0" xfId="4" applyFont="1" applyAlignment="1">
      <alignment vertical="center"/>
    </xf>
    <xf numFmtId="41" fontId="13" fillId="0" borderId="0" xfId="4" applyFont="1" applyAlignment="1">
      <alignment horizontal="center" vertical="center"/>
    </xf>
    <xf numFmtId="176" fontId="0" fillId="19" borderId="12" xfId="0" applyFont="1" applyFill="1" applyBorder="1" applyAlignment="1"/>
    <xf numFmtId="176" fontId="7" fillId="19" borderId="14" xfId="0" applyFont="1" applyFill="1" applyBorder="1" applyAlignment="1">
      <alignment wrapText="1"/>
    </xf>
    <xf numFmtId="202" fontId="7" fillId="19" borderId="14" xfId="1" applyNumberFormat="1" applyFont="1" applyFill="1" applyBorder="1"/>
    <xf numFmtId="41" fontId="8" fillId="0" borderId="0" xfId="4" applyFont="1" applyAlignment="1">
      <alignment horizontal="left" vertical="center"/>
    </xf>
    <xf numFmtId="10" fontId="13" fillId="0" borderId="0" xfId="3" applyNumberFormat="1" applyFont="1" applyAlignment="1">
      <alignment vertical="center"/>
    </xf>
    <xf numFmtId="41" fontId="8" fillId="8" borderId="78" xfId="4" applyFont="1" applyFill="1" applyBorder="1" applyAlignment="1">
      <alignment horizontal="center" vertical="center"/>
    </xf>
    <xf numFmtId="41" fontId="8" fillId="8" borderId="66" xfId="4" applyFont="1" applyFill="1" applyBorder="1" applyAlignment="1">
      <alignment horizontal="center" vertical="center"/>
    </xf>
    <xf numFmtId="41" fontId="8" fillId="8" borderId="73" xfId="4" applyFont="1" applyFill="1" applyBorder="1" applyAlignment="1">
      <alignment horizontal="center" vertical="center"/>
    </xf>
    <xf numFmtId="0" fontId="13" fillId="8" borderId="81" xfId="267" applyFont="1" applyFill="1" applyBorder="1" applyAlignment="1">
      <alignment horizontal="center" vertical="center"/>
    </xf>
    <xf numFmtId="41" fontId="8" fillId="8" borderId="15" xfId="4" applyFont="1" applyFill="1" applyBorder="1" applyAlignment="1">
      <alignment horizontal="center" vertical="center"/>
    </xf>
    <xf numFmtId="0" fontId="13" fillId="8" borderId="15" xfId="267" applyFont="1" applyFill="1" applyBorder="1" applyAlignment="1">
      <alignment horizontal="center" vertical="center"/>
    </xf>
    <xf numFmtId="0" fontId="13" fillId="8" borderId="74" xfId="267" applyFont="1" applyFill="1" applyBorder="1" applyAlignment="1">
      <alignment horizontal="center" vertical="center"/>
    </xf>
    <xf numFmtId="41" fontId="8" fillId="0" borderId="80" xfId="4" applyFont="1" applyBorder="1" applyAlignment="1">
      <alignment horizontal="center" vertical="center"/>
    </xf>
    <xf numFmtId="41" fontId="8" fillId="0" borderId="13" xfId="4" applyFont="1" applyBorder="1" applyAlignment="1">
      <alignment vertical="center"/>
    </xf>
    <xf numFmtId="41" fontId="13" fillId="0" borderId="13" xfId="4" applyFont="1" applyBorder="1" applyAlignment="1">
      <alignment vertical="center"/>
    </xf>
    <xf numFmtId="41" fontId="13" fillId="0" borderId="13" xfId="4" applyFont="1" applyBorder="1" applyAlignment="1">
      <alignment horizontal="center" vertical="center"/>
    </xf>
    <xf numFmtId="41" fontId="13" fillId="0" borderId="76" xfId="4" applyFont="1" applyBorder="1" applyAlignment="1">
      <alignment vertical="center"/>
    </xf>
    <xf numFmtId="41" fontId="13" fillId="0" borderId="13" xfId="4" applyFont="1" applyBorder="1" applyAlignment="1">
      <alignment horizontal="left" vertical="center"/>
    </xf>
    <xf numFmtId="211" fontId="13" fillId="0" borderId="13" xfId="273" applyNumberFormat="1" applyFont="1" applyBorder="1"/>
    <xf numFmtId="10" fontId="13" fillId="0" borderId="76" xfId="3" applyNumberFormat="1" applyFont="1" applyBorder="1" applyAlignment="1">
      <alignment vertical="center"/>
    </xf>
    <xf numFmtId="41" fontId="8" fillId="8" borderId="82" xfId="4" applyFont="1" applyFill="1" applyBorder="1" applyAlignment="1">
      <alignment horizontal="center" vertical="center"/>
    </xf>
    <xf numFmtId="41" fontId="8" fillId="8" borderId="19" xfId="4" applyFont="1" applyFill="1" applyBorder="1" applyAlignment="1">
      <alignment horizontal="center" vertical="center"/>
    </xf>
    <xf numFmtId="41" fontId="8" fillId="8" borderId="4" xfId="4" applyFont="1" applyFill="1" applyBorder="1" applyAlignment="1">
      <alignment vertical="center"/>
    </xf>
    <xf numFmtId="41" fontId="13" fillId="8" borderId="4" xfId="4" applyFont="1" applyFill="1" applyBorder="1" applyAlignment="1">
      <alignment horizontal="center" vertical="center"/>
    </xf>
    <xf numFmtId="41" fontId="13" fillId="8" borderId="83" xfId="4" applyFont="1" applyFill="1" applyBorder="1" applyAlignment="1">
      <alignment vertical="center"/>
    </xf>
    <xf numFmtId="41" fontId="92" fillId="0" borderId="0" xfId="4" applyFont="1" applyAlignment="1">
      <alignment horizontal="left" vertical="center"/>
    </xf>
    <xf numFmtId="9" fontId="13" fillId="0" borderId="0" xfId="3" applyFont="1" applyAlignment="1">
      <alignment vertical="center"/>
    </xf>
    <xf numFmtId="202" fontId="93" fillId="0" borderId="0" xfId="1" applyNumberFormat="1" applyFont="1"/>
    <xf numFmtId="202" fontId="9" fillId="0" borderId="0" xfId="1" applyNumberFormat="1" applyFont="1" applyAlignment="1">
      <alignment horizontal="right"/>
    </xf>
    <xf numFmtId="176" fontId="7" fillId="0" borderId="0" xfId="0" applyFont="1" applyAlignment="1">
      <alignment vertical="center"/>
    </xf>
    <xf numFmtId="9" fontId="13" fillId="0" borderId="0" xfId="3"/>
    <xf numFmtId="176" fontId="7" fillId="19" borderId="0" xfId="0" applyFont="1" applyFill="1" applyBorder="1" applyAlignment="1">
      <alignment horizontal="left" wrapText="1"/>
    </xf>
    <xf numFmtId="202" fontId="26" fillId="19" borderId="5" xfId="6" applyNumberFormat="1" applyFill="1" applyBorder="1" applyAlignment="1" applyProtection="1"/>
    <xf numFmtId="176" fontId="8" fillId="34" borderId="32" xfId="0" applyFont="1" applyFill="1" applyBorder="1">
      <alignment vertical="top"/>
    </xf>
    <xf numFmtId="176" fontId="8" fillId="34" borderId="67" xfId="0" applyFont="1" applyFill="1" applyBorder="1">
      <alignment vertical="top"/>
    </xf>
    <xf numFmtId="176" fontId="8" fillId="34" borderId="66" xfId="0" applyFont="1" applyFill="1" applyBorder="1" applyAlignment="1">
      <alignment horizontal="center" wrapText="1"/>
    </xf>
    <xf numFmtId="176" fontId="8" fillId="34" borderId="65" xfId="0" applyFont="1" applyFill="1" applyBorder="1" applyAlignment="1">
      <alignment horizontal="center"/>
    </xf>
    <xf numFmtId="176" fontId="8" fillId="34" borderId="94" xfId="0" applyFont="1" applyFill="1" applyBorder="1" applyAlignment="1">
      <alignment horizontal="center"/>
    </xf>
    <xf numFmtId="176" fontId="8" fillId="34" borderId="95" xfId="0" applyFont="1" applyFill="1" applyBorder="1" applyAlignment="1">
      <alignment horizontal="center"/>
    </xf>
    <xf numFmtId="176" fontId="8" fillId="34" borderId="20" xfId="0" applyFont="1" applyFill="1" applyBorder="1">
      <alignment vertical="top"/>
    </xf>
    <xf numFmtId="176" fontId="8" fillId="34" borderId="14" xfId="0" applyFont="1" applyFill="1" applyBorder="1">
      <alignment vertical="top"/>
    </xf>
    <xf numFmtId="176" fontId="8" fillId="34" borderId="13" xfId="0" applyFont="1" applyFill="1" applyBorder="1" applyAlignment="1">
      <alignment horizontal="center" wrapText="1"/>
    </xf>
    <xf numFmtId="176" fontId="8" fillId="34" borderId="13" xfId="0" applyFont="1" applyFill="1" applyBorder="1" applyAlignment="1">
      <alignment horizontal="center"/>
    </xf>
    <xf numFmtId="176" fontId="8" fillId="34" borderId="11" xfId="0" applyFont="1" applyFill="1" applyBorder="1" applyAlignment="1">
      <alignment horizontal="center"/>
    </xf>
    <xf numFmtId="176" fontId="8" fillId="34" borderId="0" xfId="0" applyFont="1" applyFill="1" applyAlignment="1">
      <alignment horizontal="center"/>
    </xf>
    <xf numFmtId="176" fontId="8" fillId="34" borderId="44" xfId="0" applyFont="1" applyFill="1" applyBorder="1">
      <alignment vertical="top"/>
    </xf>
    <xf numFmtId="176" fontId="8" fillId="34" borderId="96" xfId="0" applyFont="1" applyFill="1" applyBorder="1">
      <alignment vertical="top"/>
    </xf>
    <xf numFmtId="176" fontId="8" fillId="34" borderId="69" xfId="0" applyFont="1" applyFill="1" applyBorder="1" applyAlignment="1">
      <alignment horizontal="center" wrapText="1"/>
    </xf>
    <xf numFmtId="198" fontId="8" fillId="34" borderId="69" xfId="0" applyNumberFormat="1" applyFont="1" applyFill="1" applyBorder="1" applyAlignment="1">
      <alignment horizontal="center"/>
    </xf>
    <xf numFmtId="176" fontId="8" fillId="34" borderId="69" xfId="0" applyFont="1" applyFill="1" applyBorder="1" applyAlignment="1">
      <alignment horizontal="center"/>
    </xf>
    <xf numFmtId="176" fontId="8" fillId="34" borderId="45" xfId="0" applyFont="1" applyFill="1" applyBorder="1" applyAlignment="1">
      <alignment horizontal="center"/>
    </xf>
    <xf numFmtId="176" fontId="8" fillId="0" borderId="32" xfId="0" applyFont="1" applyBorder="1">
      <alignment vertical="top"/>
    </xf>
    <xf numFmtId="176" fontId="8" fillId="0" borderId="67" xfId="0" applyFont="1" applyBorder="1">
      <alignment vertical="top"/>
    </xf>
    <xf numFmtId="176" fontId="8" fillId="0" borderId="33" xfId="0" applyFont="1" applyBorder="1" applyAlignment="1">
      <alignment horizontal="center"/>
    </xf>
    <xf numFmtId="176" fontId="8" fillId="0" borderId="66" xfId="0" applyFont="1" applyBorder="1" applyAlignment="1">
      <alignment horizontal="center"/>
    </xf>
    <xf numFmtId="176" fontId="0" fillId="0" borderId="14" xfId="0" applyFont="1" applyBorder="1">
      <alignment vertical="top"/>
    </xf>
    <xf numFmtId="176" fontId="0" fillId="0" borderId="0" xfId="0" applyFont="1" applyAlignment="1">
      <alignment horizontal="center"/>
    </xf>
    <xf numFmtId="41" fontId="0" fillId="0" borderId="13" xfId="4" applyFont="1" applyBorder="1" applyAlignment="1">
      <alignment horizontal="center"/>
    </xf>
    <xf numFmtId="37" fontId="0" fillId="0" borderId="0" xfId="0" applyNumberFormat="1" applyFont="1" applyAlignment="1">
      <alignment horizontal="center"/>
    </xf>
    <xf numFmtId="37" fontId="7" fillId="0" borderId="0" xfId="0" applyNumberFormat="1" applyFont="1" applyAlignment="1">
      <alignment horizontal="center"/>
    </xf>
    <xf numFmtId="37" fontId="13" fillId="0" borderId="20" xfId="0" applyNumberFormat="1" applyFont="1" applyBorder="1">
      <alignment vertical="top"/>
    </xf>
    <xf numFmtId="176" fontId="0" fillId="0" borderId="14" xfId="0" applyFont="1" applyBorder="1" applyAlignment="1">
      <alignment vertical="center" wrapText="1"/>
    </xf>
    <xf numFmtId="37" fontId="8" fillId="0" borderId="82" xfId="0" applyNumberFormat="1" applyFont="1" applyBorder="1" applyAlignment="1">
      <alignment horizontal="left"/>
    </xf>
    <xf numFmtId="37" fontId="7" fillId="0" borderId="18" xfId="0" applyNumberFormat="1" applyFont="1" applyBorder="1">
      <alignment vertical="top"/>
    </xf>
    <xf numFmtId="37" fontId="7" fillId="0" borderId="17" xfId="0" applyNumberFormat="1" applyFont="1" applyBorder="1" applyAlignment="1">
      <alignment horizontal="center"/>
    </xf>
    <xf numFmtId="41" fontId="7" fillId="0" borderId="4" xfId="4" applyFont="1" applyBorder="1" applyAlignment="1">
      <alignment vertical="top"/>
    </xf>
    <xf numFmtId="37" fontId="7" fillId="0" borderId="19" xfId="0" applyNumberFormat="1" applyFont="1" applyBorder="1" applyAlignment="1">
      <alignment horizontal="center"/>
    </xf>
    <xf numFmtId="41" fontId="7" fillId="0" borderId="19" xfId="4" applyFont="1" applyBorder="1" applyAlignment="1">
      <alignment vertical="top"/>
    </xf>
    <xf numFmtId="37" fontId="0" fillId="0" borderId="44" xfId="0" applyNumberFormat="1" applyBorder="1">
      <alignment vertical="top"/>
    </xf>
    <xf numFmtId="37" fontId="0" fillId="0" borderId="96" xfId="0" applyNumberFormat="1" applyBorder="1">
      <alignment vertical="top"/>
    </xf>
    <xf numFmtId="37" fontId="7" fillId="0" borderId="45" xfId="0" applyNumberFormat="1" applyFont="1" applyBorder="1" applyAlignment="1">
      <alignment horizontal="center"/>
    </xf>
    <xf numFmtId="177" fontId="7" fillId="0" borderId="69" xfId="1" applyFont="1" applyBorder="1" applyAlignment="1">
      <alignment horizontal="center"/>
    </xf>
    <xf numFmtId="37" fontId="7" fillId="0" borderId="69" xfId="0" applyNumberFormat="1" applyFont="1" applyBorder="1" applyAlignment="1">
      <alignment horizontal="center"/>
    </xf>
    <xf numFmtId="176" fontId="116" fillId="0" borderId="0" xfId="0" applyFont="1" applyAlignment="1">
      <alignment horizontal="left"/>
    </xf>
    <xf numFmtId="176" fontId="116" fillId="0" borderId="0" xfId="0" applyFont="1">
      <alignment vertical="top"/>
    </xf>
    <xf numFmtId="176" fontId="0" fillId="8" borderId="7" xfId="0" applyFill="1" applyBorder="1">
      <alignment vertical="top"/>
    </xf>
    <xf numFmtId="176" fontId="0" fillId="8" borderId="8" xfId="0" applyFill="1" applyBorder="1">
      <alignment vertical="top"/>
    </xf>
    <xf numFmtId="176" fontId="8" fillId="8" borderId="8" xfId="0" applyFont="1" applyFill="1" applyBorder="1" applyAlignment="1">
      <alignment horizontal="center"/>
    </xf>
    <xf numFmtId="176" fontId="0" fillId="8" borderId="9" xfId="0" applyFill="1" applyBorder="1">
      <alignment vertical="top"/>
    </xf>
    <xf numFmtId="176" fontId="0" fillId="8" borderId="0" xfId="0" applyFill="1" applyBorder="1">
      <alignment vertical="top"/>
    </xf>
    <xf numFmtId="176" fontId="13" fillId="8" borderId="0" xfId="0" applyFont="1" applyFill="1" applyBorder="1" applyAlignment="1">
      <alignment horizontal="center"/>
    </xf>
    <xf numFmtId="176" fontId="13" fillId="8" borderId="5" xfId="0" applyFont="1" applyFill="1" applyBorder="1" applyAlignment="1">
      <alignment horizontal="center"/>
    </xf>
    <xf numFmtId="218" fontId="13" fillId="8" borderId="0" xfId="0" applyNumberFormat="1" applyFont="1" applyFill="1" applyBorder="1" applyAlignment="1">
      <alignment horizontal="center"/>
    </xf>
    <xf numFmtId="176" fontId="8" fillId="8" borderId="0" xfId="0" applyFont="1" applyFill="1" applyBorder="1">
      <alignment vertical="top"/>
    </xf>
    <xf numFmtId="176" fontId="27" fillId="15" borderId="9" xfId="0" applyFont="1" applyFill="1" applyBorder="1" applyAlignment="1">
      <alignment horizontal="left"/>
    </xf>
    <xf numFmtId="176" fontId="0" fillId="15" borderId="0" xfId="0" applyFill="1" applyAlignment="1"/>
    <xf numFmtId="176" fontId="0" fillId="15" borderId="0" xfId="0" applyFill="1" applyAlignment="1">
      <alignment horizontal="center"/>
    </xf>
    <xf numFmtId="37" fontId="28" fillId="8" borderId="9" xfId="0" applyNumberFormat="1" applyFont="1" applyFill="1" applyBorder="1" applyAlignment="1"/>
    <xf numFmtId="37" fontId="13" fillId="8" borderId="9" xfId="0" applyNumberFormat="1" applyFont="1" applyFill="1" applyBorder="1">
      <alignment vertical="top"/>
    </xf>
    <xf numFmtId="37" fontId="13" fillId="8" borderId="10" xfId="0" applyNumberFormat="1" applyFont="1" applyFill="1" applyBorder="1">
      <alignment vertical="top"/>
    </xf>
    <xf numFmtId="37" fontId="13" fillId="8" borderId="5" xfId="0" applyNumberFormat="1" applyFont="1" applyFill="1" applyBorder="1">
      <alignment vertical="top"/>
    </xf>
    <xf numFmtId="176" fontId="0" fillId="8" borderId="10" xfId="0" applyFill="1" applyBorder="1">
      <alignment vertical="top"/>
    </xf>
    <xf numFmtId="176" fontId="8" fillId="8" borderId="5" xfId="0" applyFont="1" applyFill="1" applyBorder="1">
      <alignment vertical="top"/>
    </xf>
    <xf numFmtId="207" fontId="0" fillId="0" borderId="0" xfId="0" applyNumberFormat="1">
      <alignment vertical="top"/>
    </xf>
    <xf numFmtId="176" fontId="8" fillId="34" borderId="66" xfId="0" applyFont="1" applyFill="1" applyBorder="1" applyAlignment="1">
      <alignment horizontal="center"/>
    </xf>
    <xf numFmtId="176" fontId="8" fillId="34" borderId="33" xfId="0" applyFont="1" applyFill="1" applyBorder="1" applyAlignment="1">
      <alignment horizontal="center"/>
    </xf>
    <xf numFmtId="198" fontId="8" fillId="34" borderId="96" xfId="0" applyNumberFormat="1" applyFont="1" applyFill="1" applyBorder="1" applyAlignment="1">
      <alignment horizontal="center"/>
    </xf>
    <xf numFmtId="176" fontId="8" fillId="0" borderId="65" xfId="0" applyFont="1" applyBorder="1" applyAlignment="1">
      <alignment horizontal="center"/>
    </xf>
    <xf numFmtId="176" fontId="8" fillId="0" borderId="65" xfId="0" applyFont="1" applyBorder="1">
      <alignment vertical="top"/>
    </xf>
    <xf numFmtId="202" fontId="8" fillId="0" borderId="66" xfId="1" applyNumberFormat="1" applyFont="1" applyBorder="1"/>
    <xf numFmtId="202" fontId="8" fillId="0" borderId="67" xfId="1" applyNumberFormat="1" applyFont="1" applyBorder="1"/>
    <xf numFmtId="176" fontId="8" fillId="0" borderId="66" xfId="0" applyFont="1" applyBorder="1">
      <alignment vertical="top"/>
    </xf>
    <xf numFmtId="176" fontId="7" fillId="0" borderId="13" xfId="0" applyFont="1" applyBorder="1" applyAlignment="1">
      <alignment horizontal="center"/>
    </xf>
    <xf numFmtId="186" fontId="0" fillId="0" borderId="13" xfId="1" applyNumberFormat="1" applyFont="1" applyBorder="1" applyAlignment="1">
      <alignment vertical="top"/>
    </xf>
    <xf numFmtId="176" fontId="0" fillId="0" borderId="9" xfId="0" applyFont="1" applyBorder="1">
      <alignment vertical="top"/>
    </xf>
    <xf numFmtId="37" fontId="7" fillId="0" borderId="13" xfId="0" applyNumberFormat="1" applyFont="1" applyBorder="1" applyAlignment="1">
      <alignment horizontal="center"/>
    </xf>
    <xf numFmtId="207" fontId="0" fillId="0" borderId="9" xfId="0" applyNumberFormat="1" applyFont="1" applyBorder="1">
      <alignment vertical="top"/>
    </xf>
    <xf numFmtId="37" fontId="8" fillId="0" borderId="9" xfId="0" applyNumberFormat="1" applyFont="1" applyBorder="1" applyAlignment="1">
      <alignment horizontal="center" vertical="top"/>
    </xf>
    <xf numFmtId="186" fontId="0" fillId="0" borderId="9" xfId="1" applyNumberFormat="1" applyFont="1" applyBorder="1" applyAlignment="1">
      <alignment vertical="top"/>
    </xf>
    <xf numFmtId="176" fontId="0" fillId="0" borderId="13" xfId="0" applyFont="1" applyBorder="1">
      <alignment vertical="top"/>
    </xf>
    <xf numFmtId="37" fontId="13" fillId="0" borderId="9" xfId="0" applyNumberFormat="1" applyFont="1" applyBorder="1" applyAlignment="1">
      <alignment horizontal="center"/>
    </xf>
    <xf numFmtId="202" fontId="13" fillId="0" borderId="9" xfId="1" applyNumberFormat="1" applyFont="1" applyBorder="1"/>
    <xf numFmtId="202" fontId="13" fillId="0" borderId="13" xfId="1" applyNumberFormat="1" applyFont="1" applyBorder="1"/>
    <xf numFmtId="37" fontId="7" fillId="0" borderId="4" xfId="0" applyNumberFormat="1" applyFont="1" applyBorder="1" applyAlignment="1">
      <alignment horizontal="center"/>
    </xf>
    <xf numFmtId="186" fontId="7" fillId="0" borderId="17" xfId="1" applyNumberFormat="1" applyFont="1" applyBorder="1" applyAlignment="1">
      <alignment vertical="top"/>
    </xf>
    <xf numFmtId="186" fontId="7" fillId="0" borderId="4" xfId="1" applyNumberFormat="1" applyFont="1" applyBorder="1" applyAlignment="1">
      <alignment vertical="top"/>
    </xf>
    <xf numFmtId="37" fontId="7" fillId="0" borderId="4" xfId="0" applyNumberFormat="1" applyFont="1" applyBorder="1">
      <alignment vertical="top"/>
    </xf>
    <xf numFmtId="186" fontId="7" fillId="0" borderId="19" xfId="1" applyNumberFormat="1" applyFont="1" applyBorder="1" applyAlignment="1">
      <alignment vertical="top"/>
    </xf>
    <xf numFmtId="186" fontId="7" fillId="0" borderId="68" xfId="1" applyNumberFormat="1" applyFont="1" applyBorder="1" applyAlignment="1">
      <alignment horizontal="center"/>
    </xf>
    <xf numFmtId="41" fontId="7" fillId="0" borderId="69" xfId="4" applyFont="1" applyBorder="1" applyAlignment="1">
      <alignment vertical="top"/>
    </xf>
    <xf numFmtId="41" fontId="0" fillId="0" borderId="68" xfId="4" applyFont="1" applyBorder="1" applyAlignment="1">
      <alignment vertical="top"/>
    </xf>
    <xf numFmtId="186" fontId="0" fillId="0" borderId="69" xfId="1" applyNumberFormat="1" applyFont="1" applyBorder="1" applyAlignment="1">
      <alignment vertical="top"/>
    </xf>
    <xf numFmtId="186" fontId="0" fillId="0" borderId="96" xfId="1" applyNumberFormat="1" applyFont="1" applyBorder="1" applyAlignment="1">
      <alignment vertical="top"/>
    </xf>
    <xf numFmtId="186" fontId="7" fillId="0" borderId="68" xfId="1" applyNumberFormat="1" applyFont="1" applyBorder="1" applyAlignment="1">
      <alignment vertical="top"/>
    </xf>
    <xf numFmtId="176" fontId="0" fillId="8" borderId="0" xfId="0" applyFill="1" applyBorder="1" applyAlignment="1">
      <alignment horizontal="center" vertical="top"/>
    </xf>
    <xf numFmtId="176" fontId="7" fillId="8" borderId="0" xfId="0" applyFont="1" applyFill="1" applyBorder="1" applyAlignment="1">
      <alignment horizontal="center" vertical="top"/>
    </xf>
    <xf numFmtId="206" fontId="8" fillId="8" borderId="0" xfId="0" applyNumberFormat="1" applyFont="1" applyFill="1" applyBorder="1" applyAlignment="1">
      <alignment horizontal="center"/>
    </xf>
    <xf numFmtId="176" fontId="8" fillId="15" borderId="0" xfId="0" applyFont="1" applyFill="1" applyAlignment="1">
      <alignment horizontal="left"/>
    </xf>
    <xf numFmtId="205" fontId="8" fillId="15" borderId="21" xfId="0" applyNumberFormat="1" applyFont="1" applyFill="1" applyBorder="1" applyAlignment="1">
      <alignment horizontal="center"/>
    </xf>
    <xf numFmtId="176" fontId="0" fillId="15" borderId="21" xfId="0" applyFill="1" applyBorder="1" applyAlignment="1">
      <alignment horizontal="center"/>
    </xf>
    <xf numFmtId="205" fontId="8" fillId="15" borderId="0" xfId="0" applyNumberFormat="1" applyFont="1" applyFill="1" applyBorder="1" applyAlignment="1">
      <alignment horizontal="center"/>
    </xf>
    <xf numFmtId="176" fontId="0" fillId="8" borderId="5" xfId="0" applyFill="1" applyBorder="1">
      <alignment vertical="top"/>
    </xf>
    <xf numFmtId="176" fontId="0" fillId="0" borderId="0" xfId="0" applyAlignment="1">
      <alignment horizontal="center"/>
    </xf>
    <xf numFmtId="177" fontId="71" fillId="0" borderId="0" xfId="1" applyFont="1"/>
    <xf numFmtId="198" fontId="8" fillId="34" borderId="65" xfId="0" applyNumberFormat="1" applyFont="1" applyFill="1" applyBorder="1" applyAlignment="1">
      <alignment horizontal="center"/>
    </xf>
    <xf numFmtId="198" fontId="8" fillId="34" borderId="48" xfId="0" applyNumberFormat="1" applyFont="1" applyFill="1" applyBorder="1" applyAlignment="1">
      <alignment horizontal="center"/>
    </xf>
    <xf numFmtId="176" fontId="8" fillId="34" borderId="10" xfId="0" applyFont="1" applyFill="1" applyBorder="1" applyAlignment="1">
      <alignment horizontal="center"/>
    </xf>
    <xf numFmtId="176" fontId="8" fillId="34" borderId="23" xfId="0" applyFont="1" applyFill="1" applyBorder="1" applyAlignment="1">
      <alignment horizontal="center"/>
    </xf>
    <xf numFmtId="176" fontId="8" fillId="34" borderId="30" xfId="0" applyFont="1" applyFill="1" applyBorder="1" applyAlignment="1">
      <alignment horizontal="center"/>
    </xf>
    <xf numFmtId="9" fontId="8" fillId="34" borderId="97" xfId="3" applyFont="1" applyFill="1" applyBorder="1"/>
    <xf numFmtId="176" fontId="13" fillId="0" borderId="66" xfId="0" applyFont="1" applyBorder="1">
      <alignment vertical="top"/>
    </xf>
    <xf numFmtId="9" fontId="13" fillId="0" borderId="48" xfId="3" applyFont="1" applyBorder="1"/>
    <xf numFmtId="176" fontId="13" fillId="0" borderId="0" xfId="0" applyFont="1" applyAlignment="1">
      <alignment horizontal="right" vertical="center"/>
    </xf>
    <xf numFmtId="9" fontId="13" fillId="0" borderId="98" xfId="3" applyFont="1" applyBorder="1"/>
    <xf numFmtId="9" fontId="13" fillId="0" borderId="21" xfId="3" applyFont="1" applyBorder="1"/>
    <xf numFmtId="9" fontId="7" fillId="0" borderId="83" xfId="3" applyFont="1" applyBorder="1"/>
    <xf numFmtId="37" fontId="0" fillId="0" borderId="0" xfId="0" applyNumberFormat="1">
      <alignment vertical="top"/>
    </xf>
    <xf numFmtId="9" fontId="0" fillId="0" borderId="49" xfId="3" applyFont="1" applyBorder="1"/>
    <xf numFmtId="9" fontId="13" fillId="8" borderId="12" xfId="3" applyFill="1" applyBorder="1"/>
    <xf numFmtId="9" fontId="13" fillId="8" borderId="14" xfId="3" applyFill="1" applyBorder="1"/>
    <xf numFmtId="0" fontId="7" fillId="8" borderId="0" xfId="0" applyNumberFormat="1" applyFont="1" applyFill="1" applyBorder="1" applyAlignment="1">
      <alignment horizontal="center" vertical="top"/>
    </xf>
    <xf numFmtId="176" fontId="0" fillId="8" borderId="0" xfId="0" applyFill="1" applyBorder="1" applyAlignment="1"/>
    <xf numFmtId="176" fontId="0" fillId="8" borderId="14" xfId="0" applyFill="1" applyBorder="1">
      <alignment vertical="top"/>
    </xf>
    <xf numFmtId="9" fontId="13" fillId="8" borderId="5" xfId="3" applyFill="1" applyBorder="1"/>
    <xf numFmtId="176" fontId="0" fillId="8" borderId="16" xfId="0" applyFill="1" applyBorder="1">
      <alignment vertical="top"/>
    </xf>
    <xf numFmtId="176" fontId="8" fillId="0" borderId="0" xfId="0" applyFont="1" applyAlignment="1">
      <alignment horizontal="right" vertical="top"/>
    </xf>
    <xf numFmtId="176" fontId="117" fillId="0" borderId="0" xfId="0" applyFont="1">
      <alignment vertical="top"/>
    </xf>
    <xf numFmtId="176" fontId="117" fillId="0" borderId="0" xfId="0" applyFont="1" applyAlignment="1">
      <alignment vertical="center" wrapText="1"/>
    </xf>
    <xf numFmtId="176" fontId="118" fillId="52" borderId="0" xfId="0" applyFont="1" applyFill="1" applyAlignment="1">
      <alignment horizontal="center" vertical="center" wrapText="1"/>
    </xf>
    <xf numFmtId="176" fontId="116" fillId="30" borderId="0" xfId="0" applyFont="1" applyFill="1" applyAlignment="1">
      <alignment vertical="center" wrapText="1"/>
    </xf>
    <xf numFmtId="176" fontId="116" fillId="30" borderId="0" xfId="0" applyFont="1" applyFill="1" applyAlignment="1">
      <alignment horizontal="right" vertical="center" wrapText="1"/>
    </xf>
    <xf numFmtId="207" fontId="116" fillId="30" borderId="0" xfId="0" applyNumberFormat="1" applyFont="1" applyFill="1" applyAlignment="1">
      <alignment horizontal="right" vertical="center" wrapText="1"/>
    </xf>
    <xf numFmtId="41" fontId="119" fillId="30" borderId="0" xfId="4" applyFont="1" applyFill="1" applyAlignment="1">
      <alignment horizontal="right" vertical="center" wrapText="1"/>
    </xf>
    <xf numFmtId="176" fontId="103" fillId="0" borderId="0" xfId="0" applyFont="1">
      <alignment vertical="top"/>
    </xf>
    <xf numFmtId="176" fontId="119" fillId="30" borderId="0" xfId="0" applyFont="1" applyFill="1" applyAlignment="1">
      <alignment horizontal="right" vertical="center" wrapText="1"/>
    </xf>
    <xf numFmtId="176" fontId="96" fillId="0" borderId="0" xfId="0" applyFont="1">
      <alignment vertical="top"/>
    </xf>
    <xf numFmtId="183" fontId="0" fillId="0" borderId="0" xfId="103" applyFont="1"/>
    <xf numFmtId="183" fontId="8" fillId="0" borderId="0" xfId="103" applyFont="1" applyAlignment="1">
      <alignment horizontal="center"/>
    </xf>
    <xf numFmtId="183" fontId="8" fillId="0" borderId="0" xfId="103" applyFont="1"/>
    <xf numFmtId="198" fontId="7" fillId="0" borderId="19" xfId="0" applyNumberFormat="1" applyFont="1" applyBorder="1">
      <alignment vertical="top"/>
    </xf>
    <xf numFmtId="198" fontId="0" fillId="0" borderId="0" xfId="0" applyNumberFormat="1" applyBorder="1">
      <alignment vertical="top"/>
    </xf>
    <xf numFmtId="176" fontId="0" fillId="0" borderId="0" xfId="0" applyBorder="1" applyAlignment="1">
      <alignment horizontal="justify" vertical="top" wrapText="1"/>
    </xf>
    <xf numFmtId="176" fontId="0" fillId="0" borderId="0" xfId="0" applyBorder="1" applyAlignment="1">
      <alignment horizontal="left" vertical="top" indent="1"/>
    </xf>
    <xf numFmtId="41" fontId="0" fillId="0" borderId="0" xfId="4" applyFont="1" applyBorder="1"/>
    <xf numFmtId="176" fontId="0" fillId="0" borderId="5" xfId="0" applyBorder="1" applyAlignment="1"/>
    <xf numFmtId="41" fontId="0" fillId="0" borderId="5" xfId="4" applyFont="1" applyBorder="1"/>
    <xf numFmtId="210" fontId="0" fillId="0" borderId="0" xfId="3" applyNumberFormat="1" applyFont="1" applyBorder="1" applyAlignment="1">
      <alignment vertical="top"/>
    </xf>
    <xf numFmtId="10" fontId="0" fillId="0" borderId="0" xfId="3" applyNumberFormat="1" applyFont="1" applyBorder="1" applyAlignment="1">
      <alignment vertical="top"/>
    </xf>
    <xf numFmtId="176" fontId="7" fillId="0" borderId="19" xfId="0" applyFont="1" applyBorder="1" applyAlignment="1">
      <alignment horizontal="center" vertical="top"/>
    </xf>
    <xf numFmtId="176" fontId="0" fillId="0" borderId="19" xfId="0" applyBorder="1" applyAlignment="1"/>
    <xf numFmtId="186" fontId="0" fillId="0" borderId="0" xfId="1" applyNumberFormat="1" applyFont="1" applyBorder="1" applyAlignment="1">
      <alignment vertical="top"/>
    </xf>
    <xf numFmtId="176" fontId="0" fillId="0" borderId="0" xfId="0" applyAlignment="1">
      <alignment horizontal="justify" vertical="top" wrapText="1"/>
    </xf>
    <xf numFmtId="186" fontId="0" fillId="0" borderId="0" xfId="0" applyNumberFormat="1" applyBorder="1">
      <alignment vertical="top"/>
    </xf>
    <xf numFmtId="186" fontId="0" fillId="0" borderId="0" xfId="3" applyNumberFormat="1" applyFont="1" applyBorder="1" applyAlignment="1">
      <alignment vertical="top"/>
    </xf>
    <xf numFmtId="176" fontId="0" fillId="0" borderId="0" xfId="0" applyBorder="1" applyAlignment="1">
      <alignment horizontal="left" vertical="top"/>
    </xf>
    <xf numFmtId="176" fontId="0" fillId="0" borderId="18" xfId="0" applyBorder="1" applyAlignment="1"/>
    <xf numFmtId="176" fontId="0" fillId="0" borderId="14" xfId="0" applyBorder="1" applyAlignment="1"/>
    <xf numFmtId="176" fontId="0" fillId="0" borderId="16" xfId="0" applyBorder="1" applyAlignment="1"/>
    <xf numFmtId="186" fontId="0" fillId="0" borderId="0" xfId="0" applyNumberFormat="1" applyBorder="1" applyAlignment="1"/>
    <xf numFmtId="186" fontId="0" fillId="0" borderId="0" xfId="1" applyNumberFormat="1" applyFont="1" applyBorder="1" applyAlignment="1"/>
    <xf numFmtId="198" fontId="0" fillId="0" borderId="0" xfId="0" applyNumberFormat="1" applyAlignment="1">
      <alignment horizontal="center" vertical="top"/>
    </xf>
    <xf numFmtId="206" fontId="11" fillId="0" borderId="14" xfId="370" applyNumberFormat="1" applyBorder="1">
      <alignment horizontal="left" vertical="top"/>
    </xf>
    <xf numFmtId="206" fontId="11" fillId="0" borderId="9" xfId="370" applyNumberFormat="1" applyBorder="1">
      <alignment horizontal="left" vertical="top"/>
    </xf>
    <xf numFmtId="41" fontId="1" fillId="0" borderId="9" xfId="4" applyFont="1" applyBorder="1" applyAlignment="1">
      <alignment horizontal="left" vertical="top"/>
    </xf>
    <xf numFmtId="41" fontId="24" fillId="0" borderId="0" xfId="4" applyFont="1" applyBorder="1" applyAlignment="1">
      <alignment horizontal="right" vertical="top"/>
    </xf>
    <xf numFmtId="176" fontId="0" fillId="0" borderId="9" xfId="0" applyBorder="1" applyAlignment="1">
      <alignment horizontal="justify" vertical="top" wrapText="1"/>
    </xf>
    <xf numFmtId="176" fontId="0" fillId="0" borderId="14" xfId="0" applyBorder="1" applyAlignment="1">
      <alignment horizontal="justify" vertical="top" wrapText="1"/>
    </xf>
    <xf numFmtId="176" fontId="0" fillId="14" borderId="9" xfId="0" applyFill="1" applyBorder="1">
      <alignment vertical="top"/>
    </xf>
    <xf numFmtId="176" fontId="0" fillId="14" borderId="14" xfId="0" applyFill="1" applyBorder="1">
      <alignment vertical="top"/>
    </xf>
    <xf numFmtId="198" fontId="0" fillId="14" borderId="13" xfId="0" applyNumberFormat="1" applyFill="1" applyBorder="1" applyAlignment="1">
      <alignment horizontal="center" vertical="top"/>
    </xf>
    <xf numFmtId="176" fontId="0" fillId="14" borderId="0" xfId="0" applyFill="1" applyBorder="1">
      <alignment vertical="top"/>
    </xf>
    <xf numFmtId="176" fontId="0" fillId="0" borderId="9" xfId="0" applyBorder="1" applyAlignment="1">
      <alignment horizontal="left" vertical="top" wrapText="1"/>
    </xf>
    <xf numFmtId="176" fontId="0" fillId="0" borderId="0" xfId="0" applyAlignment="1">
      <alignment horizontal="left" vertical="top" wrapText="1"/>
    </xf>
    <xf numFmtId="176" fontId="0" fillId="0" borderId="14" xfId="0" applyBorder="1" applyAlignment="1">
      <alignment horizontal="left" vertical="top" wrapText="1"/>
    </xf>
    <xf numFmtId="198" fontId="0" fillId="0" borderId="9" xfId="0" applyNumberFormat="1" applyBorder="1" applyAlignment="1">
      <alignment horizontal="center" vertical="top"/>
    </xf>
    <xf numFmtId="176" fontId="0" fillId="0" borderId="0" xfId="0" applyBorder="1" applyAlignment="1">
      <alignment horizontal="left" vertical="top" wrapText="1"/>
    </xf>
    <xf numFmtId="176" fontId="7" fillId="0" borderId="11" xfId="0" applyFont="1" applyBorder="1">
      <alignment vertical="top"/>
    </xf>
    <xf numFmtId="176" fontId="7" fillId="0" borderId="12" xfId="0" applyFont="1" applyBorder="1" applyAlignment="1">
      <alignment horizontal="center" vertical="top" wrapText="1"/>
    </xf>
    <xf numFmtId="176" fontId="0" fillId="0" borderId="13" xfId="0" applyBorder="1" applyAlignment="1">
      <alignment horizontal="justify" vertical="top" wrapText="1"/>
    </xf>
    <xf numFmtId="176" fontId="0" fillId="0" borderId="9" xfId="0" applyBorder="1" applyAlignment="1">
      <alignment horizontal="center" vertical="top"/>
    </xf>
    <xf numFmtId="176" fontId="0" fillId="0" borderId="14" xfId="0" applyBorder="1" applyAlignment="1">
      <alignment horizontal="justify" vertical="top"/>
    </xf>
    <xf numFmtId="176" fontId="0" fillId="0" borderId="13" xfId="0" applyBorder="1" applyAlignment="1">
      <alignment horizontal="center" vertical="top"/>
    </xf>
    <xf numFmtId="176" fontId="0" fillId="14" borderId="13" xfId="0" applyFill="1" applyBorder="1">
      <alignment vertical="top"/>
    </xf>
    <xf numFmtId="176" fontId="0" fillId="14" borderId="13" xfId="0" applyFill="1" applyBorder="1" applyAlignment="1">
      <alignment horizontal="center" vertical="top"/>
    </xf>
    <xf numFmtId="176" fontId="0" fillId="14" borderId="9" xfId="0" applyFill="1" applyBorder="1" applyAlignment="1">
      <alignment horizontal="center" vertical="top"/>
    </xf>
    <xf numFmtId="210" fontId="0" fillId="0" borderId="13" xfId="3" applyNumberFormat="1" applyFont="1" applyBorder="1" applyAlignment="1">
      <alignment horizontal="justify" vertical="top" wrapText="1"/>
    </xf>
    <xf numFmtId="0" fontId="7" fillId="0" borderId="9" xfId="3" applyNumberFormat="1" applyFont="1" applyBorder="1" applyAlignment="1">
      <alignment horizontal="center" vertical="top"/>
    </xf>
    <xf numFmtId="210" fontId="0" fillId="0" borderId="14" xfId="3" applyNumberFormat="1" applyFont="1" applyBorder="1" applyAlignment="1">
      <alignment horizontal="justify" vertical="top" wrapText="1"/>
    </xf>
    <xf numFmtId="210" fontId="7" fillId="0" borderId="9" xfId="3" applyNumberFormat="1" applyFont="1" applyBorder="1" applyAlignment="1">
      <alignment horizontal="center" vertical="top" wrapText="1"/>
    </xf>
    <xf numFmtId="210" fontId="0" fillId="0" borderId="13" xfId="3" applyNumberFormat="1" applyFont="1" applyBorder="1" applyAlignment="1">
      <alignment horizontal="center" vertical="top"/>
    </xf>
    <xf numFmtId="176" fontId="7" fillId="0" borderId="9" xfId="0" applyFont="1" applyBorder="1" applyAlignment="1">
      <alignment horizontal="center" vertical="top"/>
    </xf>
    <xf numFmtId="210" fontId="0" fillId="0" borderId="9" xfId="3" applyNumberFormat="1" applyFont="1" applyBorder="1" applyAlignment="1">
      <alignment horizontal="center" vertical="top"/>
    </xf>
    <xf numFmtId="176" fontId="0" fillId="0" borderId="0" xfId="0" applyFont="1" applyBorder="1" applyAlignment="1">
      <alignment horizontal="justify" vertical="top" wrapText="1"/>
    </xf>
    <xf numFmtId="176" fontId="0" fillId="0" borderId="0" xfId="0" applyFont="1" applyAlignment="1">
      <alignment horizontal="justify" vertical="top" wrapText="1"/>
    </xf>
    <xf numFmtId="176" fontId="0" fillId="0" borderId="14" xfId="0" applyFont="1" applyBorder="1" applyAlignment="1">
      <alignment horizontal="justify" vertical="top" wrapText="1"/>
    </xf>
    <xf numFmtId="176" fontId="0" fillId="0" borderId="13" xfId="0" applyBorder="1" applyAlignment="1">
      <alignment horizontal="left" vertical="top" wrapText="1"/>
    </xf>
    <xf numFmtId="176" fontId="0" fillId="0" borderId="13" xfId="0" applyBorder="1" applyAlignment="1">
      <alignment horizontal="justify" vertical="top"/>
    </xf>
    <xf numFmtId="41" fontId="24" fillId="0" borderId="9" xfId="4" applyFont="1" applyBorder="1" applyAlignment="1">
      <alignment horizontal="right" vertical="top"/>
    </xf>
    <xf numFmtId="41" fontId="24" fillId="0" borderId="9" xfId="4" applyFont="1" applyBorder="1" applyAlignment="1">
      <alignment horizontal="left" vertical="top"/>
    </xf>
    <xf numFmtId="41" fontId="120" fillId="0" borderId="9" xfId="4" applyFont="1" applyBorder="1" applyAlignment="1">
      <alignment horizontal="left" vertical="top"/>
    </xf>
    <xf numFmtId="206" fontId="11" fillId="14" borderId="9" xfId="370" applyNumberFormat="1" applyFill="1" applyBorder="1">
      <alignment horizontal="left" vertical="top"/>
    </xf>
    <xf numFmtId="206" fontId="11" fillId="14" borderId="14" xfId="370" applyNumberFormat="1" applyFill="1" applyBorder="1">
      <alignment horizontal="left" vertical="top"/>
    </xf>
    <xf numFmtId="41" fontId="24" fillId="14" borderId="9" xfId="4" applyFont="1" applyFill="1" applyBorder="1" applyAlignment="1">
      <alignment horizontal="right" vertical="top"/>
    </xf>
    <xf numFmtId="41" fontId="24" fillId="14" borderId="0" xfId="4" applyFont="1" applyFill="1" applyBorder="1" applyAlignment="1">
      <alignment horizontal="right" vertical="top"/>
    </xf>
    <xf numFmtId="176" fontId="0" fillId="0" borderId="13" xfId="0" applyBorder="1" applyAlignment="1">
      <alignment vertical="top"/>
    </xf>
    <xf numFmtId="176" fontId="0" fillId="0" borderId="9" xfId="0" applyBorder="1" applyAlignment="1">
      <alignment vertical="top"/>
    </xf>
    <xf numFmtId="176" fontId="0" fillId="13" borderId="9" xfId="0" applyFill="1" applyBorder="1">
      <alignment vertical="top"/>
    </xf>
    <xf numFmtId="198" fontId="0" fillId="13" borderId="13" xfId="0" applyNumberFormat="1" applyFill="1" applyBorder="1" applyAlignment="1">
      <alignment horizontal="center" vertical="top"/>
    </xf>
    <xf numFmtId="176" fontId="0" fillId="13" borderId="9" xfId="0" applyFill="1" applyBorder="1" applyAlignment="1">
      <alignment vertical="top"/>
    </xf>
    <xf numFmtId="176" fontId="0" fillId="13" borderId="0" xfId="0" applyFill="1" applyBorder="1">
      <alignment vertical="top"/>
    </xf>
    <xf numFmtId="206" fontId="11" fillId="0" borderId="10" xfId="370" applyNumberFormat="1" applyBorder="1">
      <alignment horizontal="left" vertical="top"/>
    </xf>
    <xf numFmtId="206" fontId="11" fillId="0" borderId="16" xfId="370" applyNumberFormat="1" applyBorder="1">
      <alignment horizontal="left" vertical="top"/>
    </xf>
    <xf numFmtId="198" fontId="0" fillId="0" borderId="15" xfId="0" applyNumberFormat="1" applyBorder="1" applyAlignment="1">
      <alignment horizontal="center" vertical="top"/>
    </xf>
    <xf numFmtId="206" fontId="11" fillId="0" borderId="0" xfId="370" applyNumberFormat="1">
      <alignment horizontal="left" vertical="top"/>
    </xf>
    <xf numFmtId="176" fontId="0" fillId="0" borderId="13" xfId="0" applyBorder="1" applyAlignment="1">
      <alignment vertical="top" wrapText="1"/>
    </xf>
    <xf numFmtId="210" fontId="0" fillId="0" borderId="9" xfId="3" applyNumberFormat="1" applyFont="1" applyBorder="1" applyAlignment="1">
      <alignment horizontal="justify" vertical="top" wrapText="1"/>
    </xf>
    <xf numFmtId="176" fontId="0" fillId="0" borderId="14" xfId="0" applyBorder="1" applyAlignment="1">
      <alignment vertical="top" wrapText="1"/>
    </xf>
    <xf numFmtId="210" fontId="0" fillId="0" borderId="13" xfId="3" applyNumberFormat="1" applyFont="1" applyBorder="1" applyAlignment="1">
      <alignment horizontal="left" vertical="top" wrapText="1"/>
    </xf>
    <xf numFmtId="210" fontId="0" fillId="0" borderId="9" xfId="3" applyNumberFormat="1" applyFont="1" applyBorder="1" applyAlignment="1">
      <alignment horizontal="left" vertical="top" wrapText="1"/>
    </xf>
    <xf numFmtId="210" fontId="0" fillId="0" borderId="13" xfId="3" applyNumberFormat="1" applyFont="1" applyBorder="1" applyAlignment="1">
      <alignment vertical="top" wrapText="1"/>
    </xf>
    <xf numFmtId="210" fontId="0" fillId="0" borderId="9" xfId="3" applyNumberFormat="1" applyFont="1" applyBorder="1" applyAlignment="1">
      <alignment vertical="top" wrapText="1"/>
    </xf>
    <xf numFmtId="198" fontId="8" fillId="34" borderId="68" xfId="0" applyNumberFormat="1" applyFont="1" applyFill="1" applyBorder="1" applyAlignment="1">
      <alignment horizontal="center"/>
    </xf>
    <xf numFmtId="176" fontId="82" fillId="0" borderId="14" xfId="0" applyFont="1" applyBorder="1">
      <alignment vertical="top"/>
    </xf>
    <xf numFmtId="176" fontId="96" fillId="0" borderId="0" xfId="0" applyFont="1" applyAlignment="1">
      <alignment horizontal="center"/>
    </xf>
    <xf numFmtId="37" fontId="96" fillId="0" borderId="0" xfId="0" applyNumberFormat="1" applyFont="1" applyAlignment="1">
      <alignment horizontal="center"/>
    </xf>
    <xf numFmtId="177" fontId="7" fillId="0" borderId="13" xfId="1" applyFont="1" applyBorder="1" applyAlignment="1">
      <alignment horizontal="center"/>
    </xf>
    <xf numFmtId="37" fontId="95" fillId="0" borderId="0" xfId="0" applyNumberFormat="1" applyFont="1" applyAlignment="1">
      <alignment horizontal="center"/>
    </xf>
    <xf numFmtId="41" fontId="13" fillId="0" borderId="15" xfId="4" applyFont="1" applyBorder="1" applyAlignment="1">
      <alignment vertical="top"/>
    </xf>
    <xf numFmtId="37" fontId="0" fillId="0" borderId="20" xfId="0" applyNumberFormat="1" applyBorder="1">
      <alignment vertical="top"/>
    </xf>
    <xf numFmtId="176" fontId="0" fillId="0" borderId="14" xfId="0" applyBorder="1" applyAlignment="1">
      <alignment vertical="center" wrapText="1"/>
    </xf>
    <xf numFmtId="41" fontId="8" fillId="0" borderId="4" xfId="4" applyFont="1" applyBorder="1" applyAlignment="1">
      <alignment vertical="top"/>
    </xf>
    <xf numFmtId="37" fontId="8" fillId="0" borderId="45" xfId="0" applyNumberFormat="1" applyFont="1" applyBorder="1" applyAlignment="1">
      <alignment horizontal="center"/>
    </xf>
    <xf numFmtId="176" fontId="116" fillId="0" borderId="0" xfId="0" applyFont="1" applyAlignment="1">
      <alignment horizontal="left" indent="2"/>
    </xf>
    <xf numFmtId="176" fontId="116" fillId="0" borderId="0" xfId="0" applyFont="1" applyAlignment="1">
      <alignment horizontal="left" vertical="top" indent="2"/>
    </xf>
    <xf numFmtId="176" fontId="8" fillId="14" borderId="8" xfId="0" applyFont="1" applyFill="1" applyBorder="1" applyAlignment="1">
      <alignment horizontal="center"/>
    </xf>
    <xf numFmtId="176" fontId="8" fillId="14" borderId="0" xfId="0" applyFont="1" applyFill="1" applyBorder="1" applyAlignment="1">
      <alignment horizontal="center"/>
    </xf>
    <xf numFmtId="176" fontId="13" fillId="14" borderId="0" xfId="0" applyFont="1" applyFill="1" applyBorder="1">
      <alignment vertical="top"/>
    </xf>
    <xf numFmtId="0" fontId="8" fillId="14" borderId="0" xfId="0" applyNumberFormat="1" applyFont="1" applyFill="1" applyBorder="1" applyAlignment="1">
      <alignment horizontal="center"/>
    </xf>
    <xf numFmtId="176" fontId="8" fillId="14" borderId="0" xfId="0" applyFont="1" applyFill="1" applyBorder="1">
      <alignment vertical="top"/>
    </xf>
    <xf numFmtId="176" fontId="13" fillId="14" borderId="0" xfId="0" applyFont="1" applyFill="1" applyBorder="1" applyAlignment="1">
      <alignment horizontal="left"/>
    </xf>
    <xf numFmtId="186" fontId="13" fillId="14" borderId="0" xfId="1" applyNumberFormat="1" applyFont="1" applyFill="1" applyBorder="1" applyAlignment="1">
      <alignment horizontal="center"/>
    </xf>
    <xf numFmtId="186" fontId="8" fillId="14" borderId="0" xfId="1" applyNumberFormat="1" applyFont="1" applyFill="1" applyBorder="1" applyAlignment="1">
      <alignment horizontal="center"/>
    </xf>
    <xf numFmtId="198" fontId="8" fillId="34" borderId="45" xfId="0" applyNumberFormat="1" applyFont="1" applyFill="1" applyBorder="1" applyAlignment="1">
      <alignment horizontal="center"/>
    </xf>
    <xf numFmtId="176" fontId="8" fillId="0" borderId="33" xfId="0" applyFont="1" applyBorder="1">
      <alignment vertical="top"/>
    </xf>
    <xf numFmtId="202" fontId="8" fillId="0" borderId="14" xfId="1" applyNumberFormat="1" applyFont="1" applyBorder="1"/>
    <xf numFmtId="202" fontId="13" fillId="0" borderId="14" xfId="1" applyNumberFormat="1" applyFont="1" applyBorder="1"/>
    <xf numFmtId="202" fontId="13" fillId="0" borderId="0" xfId="1" applyNumberFormat="1" applyFont="1" applyBorder="1"/>
    <xf numFmtId="202" fontId="13" fillId="0" borderId="15" xfId="1" applyNumberFormat="1" applyFont="1" applyBorder="1"/>
    <xf numFmtId="41" fontId="13" fillId="0" borderId="13" xfId="4" applyFont="1" applyBorder="1"/>
    <xf numFmtId="41" fontId="13" fillId="0" borderId="0" xfId="4" applyFont="1" applyBorder="1"/>
    <xf numFmtId="41" fontId="13" fillId="0" borderId="5" xfId="4" applyFont="1" applyBorder="1" applyAlignment="1">
      <alignment vertical="top"/>
    </xf>
    <xf numFmtId="41" fontId="13" fillId="0" borderId="15" xfId="4" applyFont="1" applyBorder="1"/>
    <xf numFmtId="41" fontId="13" fillId="0" borderId="9" xfId="4" applyFont="1" applyBorder="1" applyAlignment="1">
      <alignment horizontal="center"/>
    </xf>
    <xf numFmtId="41" fontId="13" fillId="0" borderId="14" xfId="4" applyFont="1" applyBorder="1"/>
    <xf numFmtId="41" fontId="8" fillId="0" borderId="19" xfId="4" applyFont="1" applyBorder="1" applyAlignment="1">
      <alignment vertical="top"/>
    </xf>
    <xf numFmtId="41" fontId="0" fillId="0" borderId="69" xfId="4" applyFont="1" applyBorder="1" applyAlignment="1">
      <alignment vertical="top"/>
    </xf>
    <xf numFmtId="41" fontId="0" fillId="0" borderId="96" xfId="4" applyFont="1" applyBorder="1" applyAlignment="1">
      <alignment vertical="top"/>
    </xf>
    <xf numFmtId="176" fontId="13" fillId="53" borderId="7" xfId="0" applyFont="1" applyFill="1" applyBorder="1">
      <alignment vertical="top"/>
    </xf>
    <xf numFmtId="176" fontId="13" fillId="53" borderId="8" xfId="0" applyFont="1" applyFill="1" applyBorder="1">
      <alignment vertical="top"/>
    </xf>
    <xf numFmtId="176" fontId="13" fillId="53" borderId="12" xfId="0" applyFont="1" applyFill="1" applyBorder="1">
      <alignment vertical="top"/>
    </xf>
    <xf numFmtId="0" fontId="8" fillId="22" borderId="7" xfId="0" applyNumberFormat="1" applyFont="1" applyFill="1" applyBorder="1" applyAlignment="1">
      <alignment horizontal="center"/>
    </xf>
    <xf numFmtId="0" fontId="8" fillId="22" borderId="8" xfId="0" applyNumberFormat="1" applyFont="1" applyFill="1" applyBorder="1" applyAlignment="1">
      <alignment horizontal="center"/>
    </xf>
    <xf numFmtId="176" fontId="13" fillId="53" borderId="9" xfId="0" applyFont="1" applyFill="1" applyBorder="1">
      <alignment vertical="top"/>
    </xf>
    <xf numFmtId="0" fontId="8" fillId="53" borderId="0" xfId="0" applyNumberFormat="1" applyFont="1" applyFill="1" applyBorder="1" applyAlignment="1">
      <alignment horizontal="center"/>
    </xf>
    <xf numFmtId="176" fontId="13" fillId="53" borderId="14" xfId="0" applyFont="1" applyFill="1" applyBorder="1">
      <alignment vertical="top"/>
    </xf>
    <xf numFmtId="176" fontId="13" fillId="22" borderId="9" xfId="0" applyFont="1" applyFill="1" applyBorder="1" applyAlignment="1">
      <alignment horizontal="center" vertical="top"/>
    </xf>
    <xf numFmtId="176" fontId="13" fillId="22" borderId="0" xfId="0" applyFont="1" applyFill="1" applyBorder="1" applyAlignment="1">
      <alignment horizontal="center" vertical="top"/>
    </xf>
    <xf numFmtId="176" fontId="13" fillId="53" borderId="0" xfId="0" applyFont="1" applyFill="1" applyBorder="1" applyAlignment="1">
      <alignment horizontal="center" vertical="top"/>
    </xf>
    <xf numFmtId="176" fontId="13" fillId="22" borderId="9" xfId="0" applyFont="1" applyFill="1" applyBorder="1">
      <alignment vertical="top"/>
    </xf>
    <xf numFmtId="176" fontId="13" fillId="22" borderId="0" xfId="0" applyFont="1" applyFill="1" applyBorder="1">
      <alignment vertical="top"/>
    </xf>
    <xf numFmtId="176" fontId="13" fillId="53" borderId="0" xfId="0" applyFont="1" applyFill="1" applyBorder="1">
      <alignment vertical="top"/>
    </xf>
    <xf numFmtId="186" fontId="8" fillId="22" borderId="9" xfId="1" applyNumberFormat="1" applyFont="1" applyFill="1" applyBorder="1" applyAlignment="1">
      <alignment horizontal="center"/>
    </xf>
    <xf numFmtId="186" fontId="8" fillId="53" borderId="9" xfId="1" applyNumberFormat="1" applyFont="1" applyFill="1" applyBorder="1" applyAlignment="1">
      <alignment horizontal="center"/>
    </xf>
    <xf numFmtId="186" fontId="8" fillId="53" borderId="0" xfId="1" applyNumberFormat="1" applyFont="1" applyFill="1" applyBorder="1" applyAlignment="1">
      <alignment horizontal="center"/>
    </xf>
    <xf numFmtId="186" fontId="8" fillId="53" borderId="14" xfId="1" applyNumberFormat="1" applyFont="1" applyFill="1" applyBorder="1" applyAlignment="1">
      <alignment horizontal="center"/>
    </xf>
    <xf numFmtId="186" fontId="8" fillId="22" borderId="0" xfId="1" applyNumberFormat="1" applyFont="1" applyFill="1" applyBorder="1" applyAlignment="1">
      <alignment horizontal="center"/>
    </xf>
    <xf numFmtId="186" fontId="13" fillId="14" borderId="0" xfId="1" applyNumberFormat="1" applyFont="1" applyFill="1" applyBorder="1" applyAlignment="1">
      <alignment vertical="top"/>
    </xf>
    <xf numFmtId="186" fontId="13" fillId="22" borderId="9" xfId="1" applyNumberFormat="1" applyFont="1" applyFill="1" applyBorder="1" applyAlignment="1">
      <alignment horizontal="center"/>
    </xf>
    <xf numFmtId="186" fontId="13" fillId="53" borderId="0" xfId="1" applyNumberFormat="1" applyFont="1" applyFill="1" applyBorder="1" applyAlignment="1">
      <alignment horizontal="center"/>
    </xf>
    <xf numFmtId="186" fontId="13" fillId="22" borderId="0" xfId="1" applyNumberFormat="1" applyFont="1" applyFill="1" applyBorder="1" applyAlignment="1">
      <alignment horizontal="center"/>
    </xf>
    <xf numFmtId="176" fontId="0" fillId="0" borderId="66" xfId="0" applyBorder="1">
      <alignment vertical="top"/>
    </xf>
    <xf numFmtId="9" fontId="13" fillId="0" borderId="48" xfId="3" applyBorder="1"/>
    <xf numFmtId="9" fontId="0" fillId="0" borderId="99" xfId="3" applyFont="1" applyBorder="1"/>
    <xf numFmtId="9" fontId="0" fillId="0" borderId="100" xfId="3" applyFont="1" applyBorder="1"/>
    <xf numFmtId="176" fontId="13" fillId="0" borderId="13" xfId="0" applyFont="1" applyBorder="1" applyAlignment="1">
      <alignment horizontal="right" vertical="center"/>
    </xf>
    <xf numFmtId="176" fontId="13" fillId="0" borderId="15" xfId="0" applyFont="1" applyBorder="1" applyAlignment="1">
      <alignment horizontal="right" vertical="center"/>
    </xf>
    <xf numFmtId="9" fontId="0" fillId="0" borderId="21" xfId="3" applyFont="1" applyBorder="1"/>
    <xf numFmtId="219" fontId="8" fillId="0" borderId="19" xfId="0" applyNumberFormat="1" applyFont="1" applyBorder="1">
      <alignment vertical="top"/>
    </xf>
    <xf numFmtId="219" fontId="8" fillId="0" borderId="17" xfId="0" applyNumberFormat="1" applyFont="1" applyBorder="1">
      <alignment vertical="top"/>
    </xf>
    <xf numFmtId="9" fontId="0" fillId="0" borderId="101" xfId="3" applyFont="1" applyBorder="1"/>
    <xf numFmtId="9" fontId="13" fillId="14" borderId="12" xfId="3" applyFill="1" applyBorder="1"/>
    <xf numFmtId="9" fontId="13" fillId="14" borderId="14" xfId="3" applyFill="1" applyBorder="1"/>
    <xf numFmtId="0" fontId="8" fillId="22" borderId="12" xfId="0" applyNumberFormat="1" applyFont="1" applyFill="1" applyBorder="1" applyAlignment="1">
      <alignment horizontal="center"/>
    </xf>
    <xf numFmtId="176" fontId="13" fillId="22" borderId="14" xfId="0" applyFont="1" applyFill="1" applyBorder="1" applyAlignment="1">
      <alignment horizontal="center" vertical="top"/>
    </xf>
    <xf numFmtId="176" fontId="13" fillId="22" borderId="14" xfId="0" applyFont="1" applyFill="1" applyBorder="1">
      <alignment vertical="top"/>
    </xf>
    <xf numFmtId="186" fontId="8" fillId="22" borderId="14" xfId="1" applyNumberFormat="1" applyFont="1" applyFill="1" applyBorder="1" applyAlignment="1">
      <alignment horizontal="center"/>
    </xf>
    <xf numFmtId="186" fontId="8" fillId="14" borderId="19" xfId="1" applyNumberFormat="1" applyFont="1" applyFill="1" applyBorder="1" applyAlignment="1">
      <alignment horizontal="center"/>
    </xf>
    <xf numFmtId="176" fontId="8" fillId="14" borderId="0" xfId="0" applyFont="1" applyFill="1" applyBorder="1" applyAlignment="1">
      <alignment horizontal="right"/>
    </xf>
    <xf numFmtId="176" fontId="121" fillId="14" borderId="0" xfId="0" applyFont="1" applyFill="1" applyBorder="1">
      <alignment vertical="top"/>
    </xf>
    <xf numFmtId="176" fontId="13" fillId="14" borderId="0" xfId="0" applyFont="1" applyFill="1" applyBorder="1" applyAlignment="1">
      <alignment horizontal="center"/>
    </xf>
    <xf numFmtId="210" fontId="13" fillId="14" borderId="0" xfId="3" applyNumberFormat="1" applyFont="1" applyFill="1" applyBorder="1" applyAlignment="1">
      <alignment horizontal="center"/>
    </xf>
    <xf numFmtId="176" fontId="27" fillId="54" borderId="9" xfId="0" applyFont="1" applyFill="1" applyBorder="1" applyAlignment="1">
      <alignment horizontal="left"/>
    </xf>
    <xf numFmtId="176" fontId="0" fillId="54" borderId="0" xfId="0" applyFill="1" applyAlignment="1"/>
    <xf numFmtId="176" fontId="0" fillId="54" borderId="0" xfId="0" applyFill="1" applyAlignment="1">
      <alignment horizontal="center"/>
    </xf>
    <xf numFmtId="37" fontId="28" fillId="14" borderId="9" xfId="0" applyNumberFormat="1" applyFont="1" applyFill="1" applyBorder="1" applyAlignment="1"/>
    <xf numFmtId="176" fontId="0" fillId="54" borderId="0" xfId="0" applyFill="1" applyBorder="1" applyAlignment="1"/>
    <xf numFmtId="176" fontId="0" fillId="54" borderId="0" xfId="0" applyFill="1" applyBorder="1" applyAlignment="1">
      <alignment horizontal="center"/>
    </xf>
    <xf numFmtId="37" fontId="13" fillId="14" borderId="9" xfId="0" applyNumberFormat="1" applyFont="1" applyFill="1" applyBorder="1">
      <alignment vertical="top"/>
    </xf>
    <xf numFmtId="37" fontId="13" fillId="14" borderId="0" xfId="0" applyNumberFormat="1" applyFont="1" applyFill="1" applyBorder="1">
      <alignment vertical="top"/>
    </xf>
    <xf numFmtId="37" fontId="13" fillId="14" borderId="10" xfId="0" applyNumberFormat="1" applyFont="1" applyFill="1" applyBorder="1">
      <alignment vertical="top"/>
    </xf>
    <xf numFmtId="37" fontId="13" fillId="14" borderId="5" xfId="0" applyNumberFormat="1" applyFont="1" applyFill="1" applyBorder="1">
      <alignment vertical="top"/>
    </xf>
    <xf numFmtId="186" fontId="8" fillId="22" borderId="17" xfId="1" applyNumberFormat="1" applyFont="1" applyFill="1" applyBorder="1" applyAlignment="1">
      <alignment horizontal="center"/>
    </xf>
    <xf numFmtId="186" fontId="8" fillId="22" borderId="19" xfId="1" applyNumberFormat="1" applyFont="1" applyFill="1" applyBorder="1" applyAlignment="1">
      <alignment horizontal="center"/>
    </xf>
    <xf numFmtId="176" fontId="13" fillId="53" borderId="10" xfId="0" applyFont="1" applyFill="1" applyBorder="1">
      <alignment vertical="top"/>
    </xf>
    <xf numFmtId="186" fontId="8" fillId="53" borderId="19" xfId="1" applyNumberFormat="1" applyFont="1" applyFill="1" applyBorder="1" applyAlignment="1">
      <alignment horizontal="center"/>
    </xf>
    <xf numFmtId="176" fontId="13" fillId="53" borderId="16" xfId="0" applyFont="1" applyFill="1" applyBorder="1">
      <alignment vertical="top"/>
    </xf>
    <xf numFmtId="186" fontId="8" fillId="14" borderId="0" xfId="1" applyNumberFormat="1" applyFont="1" applyFill="1" applyBorder="1" applyAlignment="1">
      <alignment vertical="top"/>
    </xf>
    <xf numFmtId="206" fontId="8" fillId="14" borderId="0" xfId="0" applyNumberFormat="1" applyFont="1" applyFill="1" applyBorder="1" applyAlignment="1">
      <alignment horizontal="center"/>
    </xf>
    <xf numFmtId="176" fontId="8" fillId="54" borderId="0" xfId="0" applyFont="1" applyFill="1" applyAlignment="1">
      <alignment horizontal="left"/>
    </xf>
    <xf numFmtId="205" fontId="8" fillId="54" borderId="21" xfId="0" applyNumberFormat="1" applyFont="1" applyFill="1" applyBorder="1" applyAlignment="1">
      <alignment horizontal="center"/>
    </xf>
    <xf numFmtId="205" fontId="8" fillId="54" borderId="1" xfId="0" applyNumberFormat="1" applyFont="1" applyFill="1" applyBorder="1" applyAlignment="1">
      <alignment horizontal="center"/>
    </xf>
    <xf numFmtId="176" fontId="0" fillId="54" borderId="21" xfId="0" applyFill="1" applyBorder="1" applyAlignment="1">
      <alignment horizontal="center"/>
    </xf>
    <xf numFmtId="176" fontId="0" fillId="54" borderId="1" xfId="0" applyFill="1" applyBorder="1" applyAlignment="1">
      <alignment horizontal="center"/>
    </xf>
    <xf numFmtId="205" fontId="8" fillId="54" borderId="0" xfId="0" applyNumberFormat="1" applyFont="1" applyFill="1" applyBorder="1" applyAlignment="1">
      <alignment horizontal="center"/>
    </xf>
    <xf numFmtId="176" fontId="8" fillId="54" borderId="0" xfId="0" applyFont="1" applyFill="1" applyBorder="1" applyAlignment="1">
      <alignment horizontal="left"/>
    </xf>
    <xf numFmtId="176" fontId="8" fillId="54" borderId="0" xfId="0" applyFont="1" applyFill="1" applyBorder="1" applyAlignment="1">
      <alignment horizontal="center"/>
    </xf>
    <xf numFmtId="186" fontId="8" fillId="22" borderId="18" xfId="1" applyNumberFormat="1" applyFont="1" applyFill="1" applyBorder="1" applyAlignment="1">
      <alignment horizontal="center"/>
    </xf>
    <xf numFmtId="176" fontId="0" fillId="14" borderId="0" xfId="0" applyFill="1" applyBorder="1" applyAlignment="1"/>
    <xf numFmtId="37" fontId="8" fillId="8" borderId="66" xfId="0" applyNumberFormat="1" applyFont="1" applyFill="1" applyBorder="1" applyAlignment="1">
      <alignment horizontal="center" vertical="center"/>
    </xf>
    <xf numFmtId="37" fontId="8" fillId="8" borderId="13" xfId="0" applyNumberFormat="1" applyFont="1" applyFill="1" applyBorder="1" applyAlignment="1"/>
    <xf numFmtId="37" fontId="8" fillId="8" borderId="15" xfId="0" applyNumberFormat="1" applyFont="1" applyFill="1" applyBorder="1" applyAlignment="1">
      <alignment horizontal="center" vertical="center"/>
    </xf>
    <xf numFmtId="58" fontId="8" fillId="8" borderId="13" xfId="0" applyNumberFormat="1" applyFont="1" applyFill="1" applyBorder="1" applyAlignment="1">
      <alignment horizontal="center"/>
    </xf>
    <xf numFmtId="37" fontId="8" fillId="0" borderId="4" xfId="0" applyNumberFormat="1" applyFont="1" applyBorder="1" applyAlignment="1">
      <alignment horizontal="left"/>
    </xf>
    <xf numFmtId="37" fontId="8" fillId="0" borderId="69" xfId="0" applyNumberFormat="1" applyFont="1" applyBorder="1" applyAlignment="1">
      <alignment horizontal="center"/>
    </xf>
    <xf numFmtId="37" fontId="13" fillId="0" borderId="68" xfId="0" applyNumberFormat="1" applyFont="1" applyBorder="1">
      <alignment vertical="top"/>
    </xf>
    <xf numFmtId="37" fontId="7" fillId="0" borderId="0" xfId="0" applyNumberFormat="1" applyFont="1" applyAlignment="1">
      <alignment horizontal="left" vertical="top" indent="4"/>
    </xf>
    <xf numFmtId="37" fontId="0" fillId="0" borderId="0" xfId="0" applyNumberFormat="1" applyAlignment="1">
      <alignment horizontal="left" vertical="top" indent="4"/>
    </xf>
    <xf numFmtId="37" fontId="7" fillId="0" borderId="0" xfId="0" applyNumberFormat="1" applyFont="1" applyAlignment="1">
      <alignment horizontal="left" indent="4"/>
    </xf>
    <xf numFmtId="37" fontId="13" fillId="3" borderId="7" xfId="0" applyNumberFormat="1" applyFont="1" applyFill="1" applyBorder="1" applyAlignment="1">
      <alignment horizontal="left" vertical="top" indent="1"/>
    </xf>
    <xf numFmtId="37" fontId="13" fillId="3" borderId="8" xfId="0" applyNumberFormat="1" applyFont="1" applyFill="1" applyBorder="1">
      <alignment vertical="top"/>
    </xf>
    <xf numFmtId="37" fontId="13" fillId="3" borderId="9" xfId="0" applyNumberFormat="1" applyFont="1" applyFill="1" applyBorder="1" applyAlignment="1">
      <alignment horizontal="left" vertical="top" indent="1"/>
    </xf>
    <xf numFmtId="37" fontId="13" fillId="3" borderId="0" xfId="0" applyNumberFormat="1" applyFont="1" applyFill="1" applyBorder="1">
      <alignment vertical="top"/>
    </xf>
    <xf numFmtId="37" fontId="13" fillId="3" borderId="9" xfId="0" applyNumberFormat="1" applyFont="1" applyFill="1" applyBorder="1">
      <alignment vertical="top"/>
    </xf>
    <xf numFmtId="37" fontId="8" fillId="3" borderId="8" xfId="0" applyNumberFormat="1" applyFont="1" applyFill="1" applyBorder="1">
      <alignment vertical="top"/>
    </xf>
    <xf numFmtId="37" fontId="13" fillId="3" borderId="9" xfId="0" applyNumberFormat="1" applyFont="1" applyFill="1" applyBorder="1" applyAlignment="1">
      <alignment horizontal="left" vertical="top" indent="2"/>
    </xf>
    <xf numFmtId="176" fontId="27" fillId="55" borderId="9" xfId="0" applyFont="1" applyFill="1" applyBorder="1" applyAlignment="1">
      <alignment horizontal="left"/>
    </xf>
    <xf numFmtId="176" fontId="0" fillId="55" borderId="0" xfId="0" applyFill="1" applyBorder="1" applyAlignment="1"/>
    <xf numFmtId="176" fontId="0" fillId="55" borderId="0" xfId="0" applyFill="1" applyBorder="1" applyAlignment="1">
      <alignment horizontal="center"/>
    </xf>
    <xf numFmtId="37" fontId="28" fillId="3" borderId="9" xfId="0" applyNumberFormat="1" applyFont="1" applyFill="1" applyBorder="1" applyAlignment="1"/>
    <xf numFmtId="37" fontId="13" fillId="3" borderId="10" xfId="0" applyNumberFormat="1" applyFont="1" applyFill="1" applyBorder="1">
      <alignment vertical="top"/>
    </xf>
    <xf numFmtId="37" fontId="13" fillId="3" borderId="5" xfId="0" applyNumberFormat="1" applyFont="1" applyFill="1" applyBorder="1">
      <alignment vertical="top"/>
    </xf>
    <xf numFmtId="41" fontId="96" fillId="0" borderId="13" xfId="4" applyFont="1" applyBorder="1" applyAlignment="1">
      <alignment vertical="top"/>
    </xf>
    <xf numFmtId="41" fontId="13" fillId="3" borderId="0" xfId="4" applyFont="1" applyFill="1" applyBorder="1" applyAlignment="1">
      <alignment vertical="top"/>
    </xf>
    <xf numFmtId="37" fontId="30" fillId="3" borderId="0" xfId="0" applyNumberFormat="1" applyFont="1" applyFill="1" applyBorder="1">
      <alignment vertical="top"/>
    </xf>
    <xf numFmtId="177" fontId="13" fillId="3" borderId="0" xfId="1" applyFont="1" applyFill="1" applyBorder="1" applyAlignment="1">
      <alignment vertical="top"/>
    </xf>
    <xf numFmtId="176" fontId="8" fillId="55" borderId="0" xfId="0" applyFont="1" applyFill="1" applyBorder="1" applyAlignment="1">
      <alignment horizontal="left"/>
    </xf>
    <xf numFmtId="205" fontId="8" fillId="55" borderId="21" xfId="0" applyNumberFormat="1" applyFont="1" applyFill="1" applyBorder="1" applyAlignment="1">
      <alignment horizontal="center"/>
    </xf>
    <xf numFmtId="205" fontId="8" fillId="55" borderId="1" xfId="0" applyNumberFormat="1" applyFont="1" applyFill="1" applyBorder="1" applyAlignment="1">
      <alignment horizontal="center"/>
    </xf>
    <xf numFmtId="176" fontId="0" fillId="55" borderId="21" xfId="0" applyFill="1" applyBorder="1" applyAlignment="1">
      <alignment horizontal="center"/>
    </xf>
    <xf numFmtId="176" fontId="0" fillId="55" borderId="1" xfId="0" applyFill="1" applyBorder="1" applyAlignment="1">
      <alignment horizontal="center"/>
    </xf>
    <xf numFmtId="205" fontId="8" fillId="55" borderId="0" xfId="0" applyNumberFormat="1" applyFont="1" applyFill="1" applyBorder="1" applyAlignment="1">
      <alignment horizontal="center"/>
    </xf>
    <xf numFmtId="176" fontId="8" fillId="55" borderId="0" xfId="0" applyFont="1" applyFill="1" applyBorder="1" applyAlignment="1">
      <alignment horizontal="center"/>
    </xf>
    <xf numFmtId="176" fontId="8" fillId="3" borderId="0" xfId="0" applyFont="1" applyFill="1" applyBorder="1" applyAlignment="1">
      <alignment horizontal="center"/>
    </xf>
    <xf numFmtId="9" fontId="8" fillId="0" borderId="77" xfId="0" applyNumberFormat="1" applyFont="1" applyBorder="1">
      <alignment vertical="top"/>
    </xf>
    <xf numFmtId="9" fontId="13" fillId="0" borderId="75" xfId="0" applyNumberFormat="1" applyFont="1" applyBorder="1">
      <alignment vertical="top"/>
    </xf>
    <xf numFmtId="9" fontId="13" fillId="0" borderId="0" xfId="0" applyNumberFormat="1" applyFont="1">
      <alignment vertical="top"/>
    </xf>
    <xf numFmtId="37" fontId="13" fillId="3" borderId="12" xfId="0" applyNumberFormat="1" applyFont="1" applyFill="1" applyBorder="1">
      <alignment vertical="top"/>
    </xf>
    <xf numFmtId="37" fontId="13" fillId="3" borderId="14" xfId="0" applyNumberFormat="1" applyFont="1" applyFill="1" applyBorder="1">
      <alignment vertical="top"/>
    </xf>
    <xf numFmtId="176" fontId="0" fillId="3" borderId="0" xfId="0" applyFill="1" applyBorder="1" applyAlignment="1"/>
    <xf numFmtId="37" fontId="13" fillId="3" borderId="16" xfId="0" applyNumberFormat="1" applyFont="1" applyFill="1" applyBorder="1">
      <alignment vertical="top"/>
    </xf>
    <xf numFmtId="37" fontId="0" fillId="0" borderId="0" xfId="0" applyNumberFormat="1" applyFont="1" applyFill="1" applyBorder="1">
      <alignment vertical="top"/>
    </xf>
    <xf numFmtId="37" fontId="7" fillId="0" borderId="0" xfId="0" applyNumberFormat="1" applyFont="1" applyFill="1" applyBorder="1">
      <alignment vertical="top"/>
    </xf>
    <xf numFmtId="198" fontId="0" fillId="0" borderId="0" xfId="0" applyNumberFormat="1" applyAlignment="1">
      <alignment horizontal="left" vertical="top"/>
    </xf>
    <xf numFmtId="10" fontId="0" fillId="0" borderId="0" xfId="3" applyNumberFormat="1" applyFont="1" applyAlignment="1">
      <alignment vertical="top"/>
    </xf>
    <xf numFmtId="176" fontId="91" fillId="25" borderId="17" xfId="0" applyFont="1" applyFill="1" applyBorder="1" applyAlignment="1">
      <alignment horizontal="center" vertical="top"/>
    </xf>
    <xf numFmtId="176" fontId="91" fillId="25" borderId="19" xfId="0" applyFont="1" applyFill="1" applyBorder="1" applyAlignment="1">
      <alignment horizontal="center" vertical="top"/>
    </xf>
    <xf numFmtId="176" fontId="91" fillId="25" borderId="18" xfId="0" applyFont="1" applyFill="1" applyBorder="1" applyAlignment="1">
      <alignment horizontal="center" vertical="top"/>
    </xf>
    <xf numFmtId="10" fontId="0" fillId="0" borderId="0" xfId="0" applyNumberFormat="1">
      <alignment vertical="top"/>
    </xf>
    <xf numFmtId="9" fontId="91" fillId="0" borderId="0" xfId="3" applyFont="1" applyAlignment="1">
      <alignment vertical="top"/>
    </xf>
    <xf numFmtId="176" fontId="122" fillId="0" borderId="0" xfId="0" applyFont="1">
      <alignment vertical="top"/>
    </xf>
    <xf numFmtId="176" fontId="102" fillId="28" borderId="7" xfId="0" applyFont="1" applyFill="1" applyBorder="1">
      <alignment vertical="top"/>
    </xf>
    <xf numFmtId="176" fontId="7" fillId="28" borderId="9" xfId="0" applyFont="1" applyFill="1" applyBorder="1">
      <alignment vertical="top"/>
    </xf>
    <xf numFmtId="37" fontId="8" fillId="0" borderId="0" xfId="0" applyNumberFormat="1" applyFont="1" applyAlignment="1">
      <alignment horizontal="left"/>
    </xf>
    <xf numFmtId="176" fontId="102" fillId="28" borderId="10" xfId="0" applyFont="1" applyFill="1" applyBorder="1">
      <alignment vertical="top"/>
    </xf>
    <xf numFmtId="198" fontId="8" fillId="16" borderId="11" xfId="0" applyNumberFormat="1" applyFont="1" applyFill="1" applyBorder="1" applyAlignment="1">
      <alignment horizontal="center"/>
    </xf>
    <xf numFmtId="198" fontId="0" fillId="16" borderId="8" xfId="0" applyNumberFormat="1" applyFill="1" applyBorder="1" applyAlignment="1">
      <alignment horizontal="center" vertical="top"/>
    </xf>
    <xf numFmtId="198" fontId="8" fillId="16" borderId="13" xfId="0" applyNumberFormat="1" applyFont="1" applyFill="1" applyBorder="1" applyAlignment="1">
      <alignment horizontal="center"/>
    </xf>
    <xf numFmtId="198" fontId="8" fillId="16" borderId="15" xfId="0" applyNumberFormat="1" applyFont="1" applyFill="1" applyBorder="1" applyAlignment="1">
      <alignment horizontal="center" vertical="center"/>
    </xf>
    <xf numFmtId="198" fontId="8" fillId="16" borderId="15" xfId="0" applyNumberFormat="1" applyFont="1" applyFill="1" applyBorder="1" applyAlignment="1">
      <alignment horizontal="center"/>
    </xf>
    <xf numFmtId="198" fontId="0" fillId="16" borderId="5" xfId="0" applyNumberFormat="1" applyFill="1" applyBorder="1" applyAlignment="1">
      <alignment horizontal="center" vertical="top"/>
    </xf>
    <xf numFmtId="198" fontId="0" fillId="16" borderId="15" xfId="0" applyNumberFormat="1" applyFill="1" applyBorder="1" applyAlignment="1">
      <alignment horizontal="center" vertical="top"/>
    </xf>
    <xf numFmtId="41" fontId="8" fillId="0" borderId="9" xfId="4" applyFont="1" applyBorder="1" applyAlignment="1">
      <alignment vertical="top"/>
    </xf>
    <xf numFmtId="37" fontId="13" fillId="26" borderId="7" xfId="0" applyNumberFormat="1" applyFont="1" applyFill="1" applyBorder="1" applyAlignment="1">
      <alignment horizontal="left" vertical="top" indent="1"/>
    </xf>
    <xf numFmtId="37" fontId="13" fillId="26" borderId="8" xfId="0" applyNumberFormat="1" applyFont="1" applyFill="1" applyBorder="1">
      <alignment vertical="top"/>
    </xf>
    <xf numFmtId="37" fontId="13" fillId="26" borderId="9" xfId="0" applyNumberFormat="1" applyFont="1" applyFill="1" applyBorder="1" applyAlignment="1">
      <alignment horizontal="left" vertical="top" indent="1"/>
    </xf>
    <xf numFmtId="37" fontId="13" fillId="26" borderId="0" xfId="0" applyNumberFormat="1" applyFont="1" applyFill="1" applyBorder="1">
      <alignment vertical="top"/>
    </xf>
    <xf numFmtId="0" fontId="8" fillId="26" borderId="0" xfId="0" applyNumberFormat="1" applyFont="1" applyFill="1" applyBorder="1" applyAlignment="1">
      <alignment horizontal="center" vertical="top"/>
    </xf>
    <xf numFmtId="37" fontId="8" fillId="26" borderId="0" xfId="0" applyNumberFormat="1" applyFont="1" applyFill="1" applyBorder="1">
      <alignment vertical="top"/>
    </xf>
    <xf numFmtId="37" fontId="0" fillId="0" borderId="0" xfId="0" applyNumberFormat="1" applyFont="1">
      <alignment vertical="top"/>
    </xf>
    <xf numFmtId="37" fontId="0" fillId="26" borderId="9" xfId="0" applyNumberFormat="1" applyFont="1" applyFill="1" applyBorder="1" applyAlignment="1">
      <alignment horizontal="left" vertical="top" indent="1"/>
    </xf>
    <xf numFmtId="37" fontId="0" fillId="26" borderId="0" xfId="0" applyNumberFormat="1" applyFont="1" applyFill="1">
      <alignment vertical="top"/>
    </xf>
    <xf numFmtId="176" fontId="0" fillId="26" borderId="5" xfId="0" applyFont="1" applyFill="1" applyBorder="1" applyAlignment="1">
      <alignment horizontal="center" vertical="top"/>
    </xf>
    <xf numFmtId="37" fontId="0" fillId="26" borderId="5" xfId="0" applyNumberFormat="1" applyFont="1" applyFill="1" applyBorder="1" applyAlignment="1">
      <alignment horizontal="center" vertical="top"/>
    </xf>
    <xf numFmtId="176" fontId="0" fillId="26" borderId="5" xfId="0" applyFont="1" applyFill="1" applyBorder="1" applyAlignment="1">
      <alignment horizontal="center" vertical="top" wrapText="1"/>
    </xf>
    <xf numFmtId="176" fontId="0" fillId="26" borderId="5" xfId="0" applyFont="1" applyFill="1" applyBorder="1">
      <alignment vertical="top"/>
    </xf>
    <xf numFmtId="37" fontId="0" fillId="26" borderId="5" xfId="0" applyNumberFormat="1" applyFont="1" applyFill="1" applyBorder="1">
      <alignment vertical="top"/>
    </xf>
    <xf numFmtId="176" fontId="0" fillId="26" borderId="0" xfId="0" applyFont="1" applyFill="1">
      <alignment vertical="top"/>
    </xf>
    <xf numFmtId="37" fontId="0" fillId="26" borderId="19" xfId="0" applyNumberFormat="1" applyFont="1" applyFill="1" applyBorder="1">
      <alignment vertical="top"/>
    </xf>
    <xf numFmtId="198" fontId="8" fillId="16" borderId="7" xfId="0" applyNumberFormat="1" applyFont="1" applyFill="1" applyBorder="1" applyAlignment="1">
      <alignment horizontal="center"/>
    </xf>
    <xf numFmtId="198" fontId="8" fillId="16" borderId="9" xfId="0" applyNumberFormat="1" applyFont="1" applyFill="1" applyBorder="1" applyAlignment="1">
      <alignment horizontal="center"/>
    </xf>
    <xf numFmtId="198" fontId="0" fillId="16" borderId="4" xfId="0" applyNumberFormat="1" applyFill="1" applyBorder="1" applyAlignment="1">
      <alignment horizontal="center" vertical="top"/>
    </xf>
    <xf numFmtId="198" fontId="8" fillId="16" borderId="16" xfId="0" applyNumberFormat="1" applyFont="1" applyFill="1" applyBorder="1" applyAlignment="1">
      <alignment horizontal="center"/>
    </xf>
    <xf numFmtId="176" fontId="13" fillId="13" borderId="0" xfId="0" applyFont="1" applyFill="1" applyBorder="1">
      <alignment vertical="top"/>
    </xf>
    <xf numFmtId="9" fontId="0" fillId="26" borderId="0" xfId="3" applyFont="1" applyFill="1" applyAlignment="1">
      <alignment vertical="top"/>
    </xf>
    <xf numFmtId="198" fontId="7" fillId="28" borderId="0" xfId="0" applyNumberFormat="1" applyFont="1" applyFill="1" applyBorder="1" applyAlignment="1">
      <alignment horizontal="center" vertical="top"/>
    </xf>
    <xf numFmtId="176" fontId="7" fillId="28" borderId="13" xfId="0" applyFont="1" applyFill="1" applyBorder="1">
      <alignment vertical="top"/>
    </xf>
    <xf numFmtId="198" fontId="7" fillId="28" borderId="15" xfId="0" applyNumberFormat="1" applyFont="1" applyFill="1" applyBorder="1" applyAlignment="1">
      <alignment horizontal="center" vertical="top"/>
    </xf>
    <xf numFmtId="198" fontId="0" fillId="16" borderId="7" xfId="0" applyNumberFormat="1" applyFill="1" applyBorder="1" applyAlignment="1">
      <alignment horizontal="center" vertical="top"/>
    </xf>
    <xf numFmtId="198" fontId="0" fillId="16" borderId="12" xfId="0" applyNumberFormat="1" applyFill="1" applyBorder="1" applyAlignment="1">
      <alignment horizontal="center" vertical="top"/>
    </xf>
    <xf numFmtId="198" fontId="13" fillId="16" borderId="9" xfId="0" applyNumberFormat="1" applyFont="1" applyFill="1" applyBorder="1" applyAlignment="1">
      <alignment horizontal="center"/>
    </xf>
    <xf numFmtId="198" fontId="0" fillId="16" borderId="10" xfId="0" applyNumberFormat="1" applyFill="1" applyBorder="1" applyAlignment="1">
      <alignment horizontal="center" vertical="top"/>
    </xf>
    <xf numFmtId="198" fontId="0" fillId="16" borderId="16" xfId="0" applyNumberFormat="1" applyFill="1" applyBorder="1" applyAlignment="1">
      <alignment horizontal="center" vertical="top"/>
    </xf>
    <xf numFmtId="176" fontId="13" fillId="0" borderId="0" xfId="0" applyFont="1" applyFill="1" applyBorder="1">
      <alignment vertical="top"/>
    </xf>
    <xf numFmtId="176" fontId="13" fillId="0" borderId="14" xfId="0" applyFont="1" applyFill="1" applyBorder="1">
      <alignment vertical="top"/>
    </xf>
    <xf numFmtId="176" fontId="13" fillId="0" borderId="9" xfId="0" applyFont="1" applyFill="1" applyBorder="1">
      <alignment vertical="top"/>
    </xf>
    <xf numFmtId="176" fontId="13" fillId="13" borderId="13" xfId="0" applyFont="1" applyFill="1" applyBorder="1">
      <alignment vertical="top"/>
    </xf>
    <xf numFmtId="176" fontId="13" fillId="13" borderId="14" xfId="0" applyFont="1" applyFill="1" applyBorder="1">
      <alignment vertical="top"/>
    </xf>
    <xf numFmtId="41" fontId="8" fillId="0" borderId="14" xfId="4" applyFont="1" applyBorder="1" applyAlignment="1">
      <alignment vertical="top"/>
    </xf>
    <xf numFmtId="37" fontId="13" fillId="26" borderId="12" xfId="0" applyNumberFormat="1" applyFont="1" applyFill="1" applyBorder="1">
      <alignment vertical="top"/>
    </xf>
    <xf numFmtId="37" fontId="13" fillId="26" borderId="14" xfId="0" applyNumberFormat="1" applyFont="1" applyFill="1" applyBorder="1">
      <alignment vertical="top"/>
    </xf>
    <xf numFmtId="37" fontId="0" fillId="26" borderId="14" xfId="0" applyNumberFormat="1" applyFont="1" applyFill="1" applyBorder="1">
      <alignment vertical="top"/>
    </xf>
    <xf numFmtId="37" fontId="0" fillId="26" borderId="9" xfId="0" applyNumberFormat="1" applyFont="1" applyFill="1" applyBorder="1">
      <alignment vertical="top"/>
    </xf>
    <xf numFmtId="37" fontId="7" fillId="26" borderId="9" xfId="0" applyNumberFormat="1" applyFont="1" applyFill="1" applyBorder="1">
      <alignment vertical="top"/>
    </xf>
    <xf numFmtId="37" fontId="83" fillId="26" borderId="9" xfId="0" applyNumberFormat="1" applyFont="1" applyFill="1" applyBorder="1">
      <alignment vertical="top"/>
    </xf>
    <xf numFmtId="37" fontId="83" fillId="26" borderId="0" xfId="0" applyNumberFormat="1" applyFont="1" applyFill="1">
      <alignment vertical="top"/>
    </xf>
    <xf numFmtId="37" fontId="91" fillId="26" borderId="0" xfId="0" applyNumberFormat="1" applyFont="1" applyFill="1">
      <alignment vertical="top"/>
    </xf>
    <xf numFmtId="0" fontId="0" fillId="26" borderId="0" xfId="0" applyNumberFormat="1" applyFont="1" applyFill="1" applyAlignment="1">
      <alignment horizontal="center" vertical="top"/>
    </xf>
    <xf numFmtId="177" fontId="0" fillId="26" borderId="0" xfId="1" applyFont="1" applyFill="1" applyAlignment="1">
      <alignment vertical="top"/>
    </xf>
    <xf numFmtId="186" fontId="0" fillId="13" borderId="0" xfId="1" applyNumberFormat="1" applyFont="1" applyFill="1" applyAlignment="1">
      <alignment vertical="top"/>
    </xf>
    <xf numFmtId="37" fontId="0" fillId="13" borderId="5" xfId="0" applyNumberFormat="1" applyFont="1" applyFill="1" applyBorder="1">
      <alignment vertical="top"/>
    </xf>
    <xf numFmtId="37" fontId="0" fillId="26" borderId="9" xfId="0" applyNumberFormat="1" applyFont="1" applyFill="1" applyBorder="1" applyAlignment="1">
      <alignment horizontal="left" vertical="top" indent="2"/>
    </xf>
    <xf numFmtId="37" fontId="0" fillId="0" borderId="14" xfId="0" applyNumberFormat="1" applyFont="1" applyBorder="1">
      <alignment vertical="top"/>
    </xf>
    <xf numFmtId="176" fontId="123" fillId="56" borderId="0" xfId="0" applyFont="1" applyFill="1" applyBorder="1" applyAlignment="1">
      <alignment horizontal="left"/>
    </xf>
    <xf numFmtId="176" fontId="0" fillId="56" borderId="0" xfId="0" applyFont="1" applyFill="1" applyAlignment="1"/>
    <xf numFmtId="176" fontId="0" fillId="56" borderId="0" xfId="0" applyFont="1" applyFill="1" applyAlignment="1">
      <alignment horizontal="center"/>
    </xf>
    <xf numFmtId="37" fontId="28" fillId="26" borderId="0" xfId="0" applyNumberFormat="1" applyFont="1" applyFill="1" applyBorder="1" applyAlignment="1"/>
    <xf numFmtId="176" fontId="0" fillId="56" borderId="0" xfId="0" applyFont="1" applyFill="1" applyBorder="1" applyAlignment="1"/>
    <xf numFmtId="176" fontId="0" fillId="56" borderId="0" xfId="0" applyFont="1" applyFill="1" applyBorder="1" applyAlignment="1">
      <alignment horizontal="center"/>
    </xf>
    <xf numFmtId="176" fontId="124" fillId="0" borderId="0" xfId="0" applyFont="1">
      <alignment vertical="top"/>
    </xf>
    <xf numFmtId="176" fontId="0" fillId="0" borderId="5" xfId="0" applyFont="1" applyBorder="1">
      <alignment vertical="top"/>
    </xf>
    <xf numFmtId="37" fontId="125" fillId="26" borderId="0" xfId="0" applyNumberFormat="1" applyFont="1" applyFill="1">
      <alignment vertical="top"/>
    </xf>
    <xf numFmtId="37" fontId="7" fillId="26" borderId="0" xfId="0" applyNumberFormat="1" applyFont="1" applyFill="1">
      <alignment vertical="top"/>
    </xf>
    <xf numFmtId="176" fontId="7" fillId="56" borderId="0" xfId="0" applyFont="1" applyFill="1" applyAlignment="1">
      <alignment horizontal="left"/>
    </xf>
    <xf numFmtId="205" fontId="7" fillId="56" borderId="21" xfId="0" applyNumberFormat="1" applyFont="1" applyFill="1" applyBorder="1" applyAlignment="1">
      <alignment horizontal="center"/>
    </xf>
    <xf numFmtId="205" fontId="7" fillId="56" borderId="1" xfId="0" applyNumberFormat="1" applyFont="1" applyFill="1" applyBorder="1" applyAlignment="1">
      <alignment horizontal="center"/>
    </xf>
    <xf numFmtId="176" fontId="0" fillId="56" borderId="21" xfId="0" applyFont="1" applyFill="1" applyBorder="1" applyAlignment="1">
      <alignment horizontal="center"/>
    </xf>
    <xf numFmtId="205" fontId="7" fillId="56" borderId="0" xfId="0" applyNumberFormat="1" applyFont="1" applyFill="1" applyBorder="1" applyAlignment="1">
      <alignment horizontal="center"/>
    </xf>
    <xf numFmtId="176" fontId="7" fillId="56" borderId="0" xfId="0" applyFont="1" applyFill="1" applyBorder="1" applyAlignment="1">
      <alignment horizontal="left"/>
    </xf>
    <xf numFmtId="176" fontId="7" fillId="56" borderId="0" xfId="0" applyFont="1" applyFill="1" applyBorder="1" applyAlignment="1">
      <alignment horizontal="center"/>
    </xf>
    <xf numFmtId="176" fontId="0" fillId="56" borderId="1" xfId="0" applyFont="1" applyFill="1" applyBorder="1" applyAlignment="1">
      <alignment horizontal="center"/>
    </xf>
    <xf numFmtId="37" fontId="0" fillId="26" borderId="0" xfId="0" applyNumberFormat="1" applyFont="1" applyFill="1" applyBorder="1">
      <alignment vertical="top"/>
    </xf>
    <xf numFmtId="176" fontId="7" fillId="26" borderId="0" xfId="0" applyFont="1" applyFill="1" applyBorder="1" applyAlignment="1">
      <alignment horizontal="center"/>
    </xf>
    <xf numFmtId="176" fontId="0" fillId="26" borderId="0" xfId="0" applyFont="1" applyFill="1" applyBorder="1" applyAlignment="1"/>
    <xf numFmtId="37" fontId="13" fillId="8" borderId="16" xfId="0" applyNumberFormat="1" applyFont="1" applyFill="1" applyBorder="1">
      <alignment vertical="top"/>
    </xf>
    <xf numFmtId="37" fontId="13" fillId="8" borderId="7" xfId="0" applyNumberFormat="1" applyFont="1" applyFill="1" applyBorder="1" applyAlignment="1">
      <alignment horizontal="left" vertical="top" indent="1"/>
    </xf>
    <xf numFmtId="37" fontId="13" fillId="8" borderId="8" xfId="0" applyNumberFormat="1" applyFont="1" applyFill="1" applyBorder="1">
      <alignment vertical="top"/>
    </xf>
    <xf numFmtId="37" fontId="13" fillId="8" borderId="9" xfId="0" applyNumberFormat="1" applyFont="1" applyFill="1" applyBorder="1" applyAlignment="1">
      <alignment horizontal="left" vertical="top" indent="1"/>
    </xf>
    <xf numFmtId="37" fontId="13" fillId="8" borderId="0" xfId="0" applyNumberFormat="1" applyFont="1" applyFill="1">
      <alignment vertical="top"/>
    </xf>
    <xf numFmtId="37" fontId="13" fillId="8" borderId="9" xfId="0" applyNumberFormat="1" applyFont="1" applyFill="1" applyBorder="1" applyAlignment="1">
      <alignment horizontal="left" vertical="top" indent="2"/>
    </xf>
    <xf numFmtId="176" fontId="21" fillId="0" borderId="0" xfId="0" applyFont="1">
      <alignment vertical="top"/>
    </xf>
    <xf numFmtId="41" fontId="13" fillId="0" borderId="0" xfId="4" applyFont="1" applyAlignment="1">
      <alignment vertical="top"/>
    </xf>
    <xf numFmtId="41" fontId="13" fillId="8" borderId="0" xfId="4" applyFont="1" applyFill="1" applyAlignment="1">
      <alignment vertical="top"/>
    </xf>
    <xf numFmtId="37" fontId="30" fillId="8" borderId="0" xfId="0" applyNumberFormat="1" applyFont="1" applyFill="1">
      <alignment vertical="top"/>
    </xf>
    <xf numFmtId="37" fontId="8" fillId="8" borderId="8" xfId="0" applyNumberFormat="1" applyFont="1" applyFill="1" applyBorder="1">
      <alignment vertical="top"/>
    </xf>
    <xf numFmtId="37" fontId="13" fillId="8" borderId="12" xfId="0" applyNumberFormat="1" applyFont="1" applyFill="1" applyBorder="1">
      <alignment vertical="top"/>
    </xf>
    <xf numFmtId="37" fontId="13" fillId="8" borderId="14" xfId="0" applyNumberFormat="1" applyFont="1" applyFill="1" applyBorder="1">
      <alignment vertical="top"/>
    </xf>
    <xf numFmtId="176" fontId="5" fillId="0" borderId="0" xfId="216" applyFont="1" applyBorder="1" applyAlignment="1">
      <alignment horizontal="center"/>
    </xf>
    <xf numFmtId="176" fontId="0" fillId="0" borderId="0" xfId="0" applyFont="1" applyBorder="1" applyAlignment="1">
      <alignment vertical="top"/>
    </xf>
    <xf numFmtId="176" fontId="5" fillId="0" borderId="0" xfId="0" applyFont="1" applyBorder="1">
      <alignment vertical="top"/>
    </xf>
    <xf numFmtId="176" fontId="0" fillId="0" borderId="0" xfId="148" applyNumberFormat="1" applyFont="1" applyBorder="1" applyAlignment="1">
      <alignment vertical="top"/>
    </xf>
    <xf numFmtId="176" fontId="7" fillId="0" borderId="0" xfId="0" applyFont="1" applyBorder="1" applyAlignment="1">
      <alignment vertical="top"/>
    </xf>
    <xf numFmtId="176" fontId="0" fillId="0" borderId="0" xfId="0" applyBorder="1" applyAlignment="1">
      <alignment vertical="top" wrapText="1"/>
    </xf>
    <xf numFmtId="176" fontId="0" fillId="0" borderId="0" xfId="216" applyFont="1" applyBorder="1">
      <alignment vertical="top"/>
    </xf>
    <xf numFmtId="176" fontId="7" fillId="0" borderId="0" xfId="216" applyFont="1" applyBorder="1">
      <alignment vertical="top"/>
    </xf>
    <xf numFmtId="176" fontId="7" fillId="28" borderId="7" xfId="0" applyFont="1" applyFill="1" applyBorder="1">
      <alignment vertical="top"/>
    </xf>
    <xf numFmtId="176" fontId="7" fillId="28" borderId="8" xfId="0" applyFont="1" applyFill="1" applyBorder="1">
      <alignment vertical="top"/>
    </xf>
    <xf numFmtId="176" fontId="0" fillId="28" borderId="0" xfId="0" applyFont="1" applyFill="1" applyBorder="1">
      <alignment vertical="top"/>
    </xf>
    <xf numFmtId="37" fontId="13" fillId="28" borderId="0" xfId="0" applyNumberFormat="1" applyFont="1" applyFill="1" applyBorder="1">
      <alignment vertical="top"/>
    </xf>
    <xf numFmtId="37" fontId="13" fillId="28" borderId="10" xfId="0" applyNumberFormat="1" applyFont="1" applyFill="1" applyBorder="1">
      <alignment vertical="top"/>
    </xf>
    <xf numFmtId="37" fontId="13" fillId="28" borderId="5" xfId="0" applyNumberFormat="1" applyFont="1" applyFill="1" applyBorder="1">
      <alignment vertical="top"/>
    </xf>
    <xf numFmtId="37" fontId="8" fillId="8" borderId="32" xfId="0" applyNumberFormat="1" applyFont="1" applyFill="1" applyBorder="1" applyAlignment="1">
      <alignment horizontal="center"/>
    </xf>
    <xf numFmtId="37" fontId="8" fillId="8" borderId="20" xfId="0" applyNumberFormat="1" applyFont="1" applyFill="1" applyBorder="1" applyAlignment="1">
      <alignment horizontal="center"/>
    </xf>
    <xf numFmtId="37" fontId="8" fillId="8" borderId="0" xfId="0" applyNumberFormat="1" applyFont="1" applyFill="1" applyAlignment="1">
      <alignment horizontal="center"/>
    </xf>
    <xf numFmtId="37" fontId="8" fillId="8" borderId="44" xfId="0" applyNumberFormat="1" applyFont="1" applyFill="1" applyBorder="1" applyAlignment="1">
      <alignment horizontal="center"/>
    </xf>
    <xf numFmtId="37" fontId="13" fillId="0" borderId="18" xfId="0" applyNumberFormat="1" applyFont="1" applyBorder="1">
      <alignment vertical="top"/>
    </xf>
    <xf numFmtId="37" fontId="13" fillId="0" borderId="44" xfId="0" applyNumberFormat="1" applyFont="1" applyBorder="1">
      <alignment vertical="top"/>
    </xf>
    <xf numFmtId="37" fontId="7" fillId="0" borderId="0" xfId="0" applyNumberFormat="1" applyFont="1" applyAlignment="1">
      <alignment horizontal="left" vertical="top" indent="1"/>
    </xf>
    <xf numFmtId="37" fontId="7" fillId="0" borderId="0" xfId="0" applyNumberFormat="1" applyFont="1" applyAlignment="1">
      <alignment horizontal="left" indent="1"/>
    </xf>
    <xf numFmtId="37" fontId="13" fillId="28" borderId="7" xfId="0" applyNumberFormat="1" applyFont="1" applyFill="1" applyBorder="1">
      <alignment vertical="top"/>
    </xf>
    <xf numFmtId="37" fontId="13" fillId="28" borderId="8" xfId="0" applyNumberFormat="1" applyFont="1" applyFill="1" applyBorder="1">
      <alignment vertical="top"/>
    </xf>
    <xf numFmtId="37" fontId="13" fillId="28" borderId="9" xfId="0" applyNumberFormat="1" applyFont="1" applyFill="1" applyBorder="1">
      <alignment vertical="top"/>
    </xf>
    <xf numFmtId="37" fontId="30" fillId="28" borderId="9" xfId="0" applyNumberFormat="1" applyFont="1" applyFill="1" applyBorder="1">
      <alignment vertical="top"/>
    </xf>
    <xf numFmtId="176" fontId="27" fillId="57" borderId="0" xfId="0" applyFont="1" applyFill="1" applyBorder="1" applyAlignment="1">
      <alignment horizontal="left"/>
    </xf>
    <xf numFmtId="176" fontId="0" fillId="57" borderId="0" xfId="0" applyFill="1" applyAlignment="1"/>
    <xf numFmtId="176" fontId="0" fillId="57" borderId="0" xfId="0" applyFill="1" applyAlignment="1">
      <alignment horizontal="center"/>
    </xf>
    <xf numFmtId="176" fontId="8" fillId="57" borderId="0" xfId="0" applyFont="1" applyFill="1" applyAlignment="1">
      <alignment horizontal="left"/>
    </xf>
    <xf numFmtId="37" fontId="28" fillId="28" borderId="0" xfId="0" applyNumberFormat="1" applyFont="1" applyFill="1" applyBorder="1" applyAlignment="1"/>
    <xf numFmtId="176" fontId="0" fillId="57" borderId="0" xfId="0" applyFill="1" applyBorder="1" applyAlignment="1"/>
    <xf numFmtId="176" fontId="0" fillId="57" borderId="0" xfId="0" applyFill="1" applyBorder="1" applyAlignment="1">
      <alignment horizontal="center"/>
    </xf>
    <xf numFmtId="176" fontId="8" fillId="57" borderId="0" xfId="0" applyFont="1" applyFill="1" applyBorder="1" applyAlignment="1">
      <alignment horizontal="left"/>
    </xf>
    <xf numFmtId="37" fontId="30" fillId="28" borderId="0" xfId="0" applyNumberFormat="1" applyFont="1" applyFill="1" applyBorder="1">
      <alignment vertical="top"/>
    </xf>
    <xf numFmtId="205" fontId="8" fillId="57" borderId="21" xfId="0" applyNumberFormat="1" applyFont="1" applyFill="1" applyBorder="1" applyAlignment="1">
      <alignment horizontal="center"/>
    </xf>
    <xf numFmtId="205" fontId="8" fillId="57" borderId="1" xfId="0" applyNumberFormat="1" applyFont="1" applyFill="1" applyBorder="1" applyAlignment="1">
      <alignment horizontal="center"/>
    </xf>
    <xf numFmtId="176" fontId="0" fillId="57" borderId="21" xfId="0" applyFill="1" applyBorder="1" applyAlignment="1">
      <alignment horizontal="center"/>
    </xf>
    <xf numFmtId="176" fontId="0" fillId="57" borderId="1" xfId="0" applyFill="1" applyBorder="1" applyAlignment="1">
      <alignment horizontal="center"/>
    </xf>
    <xf numFmtId="205" fontId="8" fillId="57" borderId="0" xfId="0" applyNumberFormat="1" applyFont="1" applyFill="1" applyBorder="1" applyAlignment="1">
      <alignment horizontal="center"/>
    </xf>
    <xf numFmtId="176" fontId="8" fillId="57" borderId="0" xfId="0" applyFont="1" applyFill="1" applyBorder="1" applyAlignment="1">
      <alignment horizontal="center"/>
    </xf>
    <xf numFmtId="176" fontId="8" fillId="28" borderId="0" xfId="0" applyFont="1" applyFill="1" applyBorder="1" applyAlignment="1">
      <alignment horizontal="center"/>
    </xf>
    <xf numFmtId="176" fontId="0" fillId="28" borderId="12" xfId="0" applyFill="1" applyBorder="1" applyAlignment="1">
      <alignment vertical="top"/>
    </xf>
    <xf numFmtId="176" fontId="7" fillId="28" borderId="0" xfId="0" applyFont="1" applyFill="1" applyBorder="1">
      <alignment vertical="top"/>
    </xf>
    <xf numFmtId="176" fontId="0" fillId="28" borderId="14" xfId="0" applyFill="1" applyBorder="1" applyAlignment="1">
      <alignment vertical="top"/>
    </xf>
    <xf numFmtId="176" fontId="0" fillId="28" borderId="16" xfId="0" applyFill="1" applyBorder="1" applyAlignment="1">
      <alignment vertical="top"/>
    </xf>
    <xf numFmtId="37" fontId="13" fillId="28" borderId="12" xfId="0" applyNumberFormat="1" applyFont="1" applyFill="1" applyBorder="1">
      <alignment vertical="top"/>
    </xf>
    <xf numFmtId="37" fontId="13" fillId="28" borderId="14" xfId="0" applyNumberFormat="1" applyFont="1" applyFill="1" applyBorder="1">
      <alignment vertical="top"/>
    </xf>
    <xf numFmtId="176" fontId="0" fillId="28" borderId="0" xfId="0" applyFill="1" applyBorder="1" applyAlignment="1"/>
    <xf numFmtId="37" fontId="13" fillId="28" borderId="16" xfId="0" applyNumberFormat="1" applyFont="1" applyFill="1" applyBorder="1">
      <alignment vertical="top"/>
    </xf>
    <xf numFmtId="9" fontId="0" fillId="0" borderId="0" xfId="3" applyFont="1"/>
    <xf numFmtId="176" fontId="0" fillId="19" borderId="7" xfId="0" applyFont="1" applyFill="1" applyBorder="1" applyAlignment="1"/>
    <xf numFmtId="176" fontId="7" fillId="19" borderId="9" xfId="0" applyFont="1" applyFill="1" applyBorder="1" applyAlignment="1">
      <alignment horizontal="left" wrapText="1"/>
    </xf>
    <xf numFmtId="176" fontId="8" fillId="34" borderId="32" xfId="0" applyFont="1" applyFill="1" applyBorder="1" applyAlignment="1">
      <alignment horizontal="center" vertical="center" wrapText="1"/>
    </xf>
    <xf numFmtId="176" fontId="8" fillId="34" borderId="33" xfId="0" applyFont="1" applyFill="1" applyBorder="1" applyAlignment="1">
      <alignment horizontal="center" vertical="center" wrapText="1"/>
    </xf>
    <xf numFmtId="176" fontId="8" fillId="34" borderId="67" xfId="0" applyFont="1" applyFill="1" applyBorder="1" applyAlignment="1">
      <alignment horizontal="center" vertical="center" wrapText="1"/>
    </xf>
    <xf numFmtId="176" fontId="8" fillId="34" borderId="66" xfId="0" applyFont="1" applyFill="1" applyBorder="1" applyAlignment="1">
      <alignment horizontal="center" vertical="center"/>
    </xf>
    <xf numFmtId="176" fontId="8" fillId="34" borderId="20" xfId="0" applyFont="1" applyFill="1" applyBorder="1" applyAlignment="1">
      <alignment horizontal="center" vertical="center" wrapText="1"/>
    </xf>
    <xf numFmtId="176" fontId="8" fillId="34" borderId="0" xfId="0" applyFont="1" applyFill="1" applyAlignment="1">
      <alignment horizontal="center" vertical="center" wrapText="1"/>
    </xf>
    <xf numFmtId="176" fontId="8" fillId="34" borderId="14" xfId="0" applyFont="1" applyFill="1" applyBorder="1" applyAlignment="1">
      <alignment horizontal="center" vertical="center" wrapText="1"/>
    </xf>
    <xf numFmtId="176" fontId="8" fillId="34" borderId="13" xfId="0" applyFont="1" applyFill="1" applyBorder="1" applyAlignment="1">
      <alignment horizontal="center" vertical="center"/>
    </xf>
    <xf numFmtId="176" fontId="8" fillId="34" borderId="44" xfId="0" applyFont="1" applyFill="1" applyBorder="1" applyAlignment="1">
      <alignment horizontal="center" vertical="center" wrapText="1"/>
    </xf>
    <xf numFmtId="176" fontId="8" fillId="34" borderId="45" xfId="0" applyFont="1" applyFill="1" applyBorder="1" applyAlignment="1">
      <alignment horizontal="center" vertical="center" wrapText="1"/>
    </xf>
    <xf numFmtId="176" fontId="8" fillId="34" borderId="96" xfId="0" applyFont="1" applyFill="1" applyBorder="1" applyAlignment="1">
      <alignment horizontal="center" vertical="center" wrapText="1"/>
    </xf>
    <xf numFmtId="176" fontId="8" fillId="34" borderId="69" xfId="0" applyFont="1" applyFill="1" applyBorder="1" applyAlignment="1">
      <alignment horizontal="center" vertical="center"/>
    </xf>
    <xf numFmtId="176" fontId="8" fillId="0" borderId="102" xfId="0" applyFont="1" applyBorder="1">
      <alignment vertical="top"/>
    </xf>
    <xf numFmtId="176" fontId="8" fillId="0" borderId="8" xfId="0" applyFont="1" applyBorder="1">
      <alignment vertical="top"/>
    </xf>
    <xf numFmtId="176" fontId="8" fillId="0" borderId="11" xfId="0" applyFont="1" applyBorder="1" applyAlignment="1">
      <alignment horizontal="center"/>
    </xf>
    <xf numFmtId="37" fontId="8" fillId="0" borderId="20" xfId="0" applyNumberFormat="1" applyFont="1" applyBorder="1">
      <alignment vertical="top"/>
    </xf>
    <xf numFmtId="37" fontId="30" fillId="0" borderId="0" xfId="0" applyNumberFormat="1" applyFont="1">
      <alignment vertical="top"/>
    </xf>
    <xf numFmtId="186" fontId="13" fillId="0" borderId="13" xfId="1" applyNumberFormat="1" applyFont="1" applyBorder="1" applyAlignment="1">
      <alignment horizontal="center"/>
    </xf>
    <xf numFmtId="4" fontId="17" fillId="0" borderId="0" xfId="0" applyNumberFormat="1" applyFont="1" applyBorder="1">
      <alignment vertical="top"/>
    </xf>
    <xf numFmtId="37" fontId="30" fillId="0" borderId="13" xfId="0" applyNumberFormat="1" applyFont="1" applyBorder="1" applyAlignment="1">
      <alignment horizontal="center"/>
    </xf>
    <xf numFmtId="186" fontId="8" fillId="0" borderId="15" xfId="1" applyNumberFormat="1" applyFont="1" applyBorder="1" applyAlignment="1">
      <alignment horizontal="center"/>
    </xf>
    <xf numFmtId="4" fontId="8" fillId="0" borderId="0" xfId="0" applyNumberFormat="1" applyFont="1" applyBorder="1">
      <alignment vertical="top"/>
    </xf>
    <xf numFmtId="176" fontId="7" fillId="0" borderId="13" xfId="0" applyFont="1" applyBorder="1">
      <alignment vertical="top"/>
    </xf>
    <xf numFmtId="186" fontId="8" fillId="0" borderId="13" xfId="1" applyNumberFormat="1" applyFont="1" applyBorder="1" applyAlignment="1">
      <alignment horizontal="center"/>
    </xf>
    <xf numFmtId="41" fontId="13" fillId="0" borderId="15" xfId="4" applyFont="1" applyBorder="1" applyAlignment="1">
      <alignment horizontal="center"/>
    </xf>
    <xf numFmtId="37" fontId="17" fillId="0" borderId="0" xfId="0" applyNumberFormat="1" applyFont="1" applyBorder="1">
      <alignment vertical="top"/>
    </xf>
    <xf numFmtId="37" fontId="8" fillId="0" borderId="103" xfId="0" applyNumberFormat="1" applyFont="1" applyBorder="1">
      <alignment vertical="top"/>
    </xf>
    <xf numFmtId="37" fontId="8" fillId="0" borderId="92" xfId="0" applyNumberFormat="1" applyFont="1" applyBorder="1">
      <alignment vertical="top"/>
    </xf>
    <xf numFmtId="37" fontId="8" fillId="0" borderId="72" xfId="0" applyNumberFormat="1" applyFont="1" applyBorder="1" applyAlignment="1">
      <alignment horizontal="center"/>
    </xf>
    <xf numFmtId="176" fontId="13" fillId="19" borderId="8" xfId="0" applyFont="1" applyFill="1" applyBorder="1" applyAlignment="1"/>
    <xf numFmtId="176" fontId="8" fillId="19" borderId="0" xfId="0" applyFont="1" applyFill="1" applyBorder="1" applyAlignment="1">
      <alignment horizontal="left" wrapText="1"/>
    </xf>
    <xf numFmtId="202" fontId="13" fillId="19" borderId="0" xfId="1" applyNumberFormat="1" applyFont="1" applyFill="1" applyBorder="1"/>
    <xf numFmtId="202" fontId="13" fillId="19" borderId="5" xfId="1" applyNumberFormat="1" applyFont="1" applyFill="1" applyBorder="1"/>
    <xf numFmtId="176" fontId="0" fillId="34" borderId="66" xfId="0" applyFill="1" applyBorder="1">
      <alignment vertical="top"/>
    </xf>
    <xf numFmtId="176" fontId="0" fillId="34" borderId="65" xfId="0" applyFill="1" applyBorder="1">
      <alignment vertical="top"/>
    </xf>
    <xf numFmtId="176" fontId="8" fillId="34" borderId="104" xfId="0" applyFont="1" applyFill="1" applyBorder="1" applyAlignment="1">
      <alignment horizontal="center"/>
    </xf>
    <xf numFmtId="176" fontId="8" fillId="0" borderId="11" xfId="0" applyFont="1" applyBorder="1">
      <alignment vertical="top"/>
    </xf>
    <xf numFmtId="41" fontId="126" fillId="0" borderId="13" xfId="4" applyFont="1" applyBorder="1" applyAlignment="1"/>
    <xf numFmtId="37" fontId="0" fillId="0" borderId="13" xfId="0" applyNumberFormat="1" applyBorder="1">
      <alignment vertical="top"/>
    </xf>
    <xf numFmtId="202" fontId="13" fillId="0" borderId="13" xfId="1" applyNumberFormat="1" applyFont="1" applyBorder="1" applyAlignment="1">
      <alignment horizontal="right"/>
    </xf>
    <xf numFmtId="202" fontId="13" fillId="0" borderId="15" xfId="1" applyNumberFormat="1" applyFont="1" applyBorder="1" applyAlignment="1">
      <alignment horizontal="right"/>
    </xf>
    <xf numFmtId="41" fontId="126" fillId="0" borderId="15" xfId="4" applyFont="1" applyBorder="1" applyAlignment="1"/>
    <xf numFmtId="37" fontId="0" fillId="0" borderId="15" xfId="0" applyNumberFormat="1" applyBorder="1">
      <alignment vertical="top"/>
    </xf>
    <xf numFmtId="37" fontId="7" fillId="0" borderId="13" xfId="0" applyNumberFormat="1" applyFont="1" applyBorder="1">
      <alignment vertical="top"/>
    </xf>
    <xf numFmtId="37" fontId="30" fillId="0" borderId="0" xfId="0" applyNumberFormat="1" applyFont="1" applyAlignment="1">
      <alignment horizontal="right" vertical="top"/>
    </xf>
    <xf numFmtId="176" fontId="13" fillId="19" borderId="15" xfId="0" applyFont="1" applyFill="1" applyBorder="1">
      <alignment vertical="top"/>
    </xf>
    <xf numFmtId="202" fontId="8" fillId="34" borderId="65" xfId="1" applyNumberFormat="1" applyFont="1" applyFill="1" applyBorder="1" applyAlignment="1">
      <alignment horizontal="center"/>
    </xf>
    <xf numFmtId="202" fontId="8" fillId="34" borderId="9" xfId="1" applyNumberFormat="1" applyFont="1" applyFill="1" applyBorder="1" applyAlignment="1">
      <alignment horizontal="center"/>
    </xf>
    <xf numFmtId="9" fontId="8" fillId="34" borderId="105" xfId="3" applyFont="1" applyFill="1" applyBorder="1" applyAlignment="1">
      <alignment horizontal="left"/>
    </xf>
    <xf numFmtId="202" fontId="0" fillId="0" borderId="11" xfId="1" applyNumberFormat="1" applyFont="1" applyBorder="1"/>
    <xf numFmtId="9" fontId="0" fillId="0" borderId="11" xfId="3" applyFont="1" applyBorder="1"/>
    <xf numFmtId="9" fontId="0" fillId="0" borderId="106" xfId="3" applyFont="1" applyBorder="1"/>
    <xf numFmtId="9" fontId="0" fillId="0" borderId="9" xfId="3" applyFont="1" applyBorder="1"/>
    <xf numFmtId="9" fontId="0" fillId="0" borderId="76" xfId="3" applyFont="1" applyBorder="1"/>
    <xf numFmtId="176" fontId="13" fillId="0" borderId="5" xfId="0" applyFont="1" applyBorder="1" applyAlignment="1">
      <alignment horizontal="right" vertical="center" wrapText="1"/>
    </xf>
    <xf numFmtId="9" fontId="0" fillId="0" borderId="74" xfId="3" applyFont="1" applyBorder="1"/>
    <xf numFmtId="9" fontId="0" fillId="0" borderId="107" xfId="3" applyFont="1" applyBorder="1"/>
    <xf numFmtId="9" fontId="7" fillId="0" borderId="101" xfId="3" applyFont="1" applyBorder="1"/>
    <xf numFmtId="9" fontId="0" fillId="0" borderId="108" xfId="3" applyFont="1" applyBorder="1"/>
    <xf numFmtId="176" fontId="0" fillId="0" borderId="0" xfId="0" applyAlignment="1">
      <alignment horizontal="left" vertical="top" indent="4"/>
    </xf>
    <xf numFmtId="176" fontId="0" fillId="0" borderId="0" xfId="0" applyAlignment="1">
      <alignment horizontal="center" vertical="top"/>
    </xf>
    <xf numFmtId="0" fontId="13" fillId="0" borderId="4" xfId="0" applyNumberFormat="1" applyFont="1" applyBorder="1" applyAlignment="1">
      <alignment horizontal="left" vertical="top"/>
    </xf>
    <xf numFmtId="176" fontId="13" fillId="0" borderId="4" xfId="0" applyFont="1" applyBorder="1" applyAlignment="1">
      <alignment horizontal="left"/>
    </xf>
    <xf numFmtId="0" fontId="127" fillId="0" borderId="4" xfId="0" applyNumberFormat="1" applyFont="1" applyBorder="1" applyAlignment="1">
      <alignment horizontal="left" vertical="center"/>
    </xf>
    <xf numFmtId="186" fontId="0" fillId="0" borderId="0" xfId="1" applyNumberFormat="1" applyFont="1"/>
    <xf numFmtId="41" fontId="8" fillId="0" borderId="4" xfId="4" applyFont="1" applyBorder="1" applyAlignment="1">
      <alignment horizontal="center"/>
    </xf>
    <xf numFmtId="41" fontId="0" fillId="0" borderId="4" xfId="4" applyFont="1" applyBorder="1" applyAlignment="1">
      <alignment vertical="top"/>
    </xf>
    <xf numFmtId="41" fontId="13" fillId="0" borderId="4" xfId="4" applyFont="1" applyBorder="1" applyAlignment="1">
      <alignment horizontal="center"/>
    </xf>
    <xf numFmtId="41" fontId="7" fillId="0" borderId="4" xfId="4" applyFont="1" applyBorder="1"/>
    <xf numFmtId="202" fontId="0" fillId="0" borderId="4" xfId="1" applyNumberFormat="1" applyFont="1" applyBorder="1"/>
    <xf numFmtId="220" fontId="8" fillId="0" borderId="0" xfId="0" applyNumberFormat="1" applyFont="1" applyAlignment="1">
      <alignment horizontal="center"/>
    </xf>
    <xf numFmtId="176" fontId="121" fillId="0" borderId="0" xfId="0" applyFont="1">
      <alignment vertical="top"/>
    </xf>
    <xf numFmtId="41" fontId="7" fillId="0" borderId="0" xfId="4" applyFont="1"/>
    <xf numFmtId="37" fontId="8" fillId="0" borderId="21" xfId="0" applyNumberFormat="1" applyFont="1" applyBorder="1" applyAlignment="1">
      <alignment horizontal="left"/>
    </xf>
    <xf numFmtId="37" fontId="23" fillId="0" borderId="0" xfId="0" applyNumberFormat="1" applyFont="1">
      <alignment vertical="top"/>
    </xf>
    <xf numFmtId="37" fontId="8" fillId="0" borderId="19" xfId="0" applyNumberFormat="1" applyFont="1" applyBorder="1" applyAlignment="1">
      <alignment horizontal="left"/>
    </xf>
    <xf numFmtId="37" fontId="8" fillId="0" borderId="0" xfId="0" applyNumberFormat="1" applyFont="1" applyBorder="1" applyAlignment="1">
      <alignment horizontal="left"/>
    </xf>
    <xf numFmtId="37" fontId="13" fillId="0" borderId="33" xfId="0" applyNumberFormat="1" applyFont="1" applyBorder="1">
      <alignment vertical="top"/>
    </xf>
    <xf numFmtId="37" fontId="13" fillId="0" borderId="0" xfId="0" applyNumberFormat="1" applyFont="1" applyAlignment="1">
      <alignment horizontal="left" vertical="top" indent="3"/>
    </xf>
    <xf numFmtId="37" fontId="13" fillId="0" borderId="0" xfId="0" applyNumberFormat="1" applyFont="1" applyAlignment="1">
      <alignment horizontal="left" indent="3"/>
    </xf>
    <xf numFmtId="37" fontId="13" fillId="0" borderId="0" xfId="0" applyNumberFormat="1" applyFont="1" applyAlignment="1">
      <alignment horizontal="left" vertical="top" indent="1"/>
    </xf>
    <xf numFmtId="37" fontId="13" fillId="40" borderId="7" xfId="0" applyNumberFormat="1" applyFont="1" applyFill="1" applyBorder="1">
      <alignment vertical="top"/>
    </xf>
    <xf numFmtId="37" fontId="13" fillId="40" borderId="8" xfId="0" applyNumberFormat="1" applyFont="1" applyFill="1" applyBorder="1">
      <alignment vertical="top"/>
    </xf>
    <xf numFmtId="37" fontId="13" fillId="40" borderId="9" xfId="0" applyNumberFormat="1" applyFont="1" applyFill="1" applyBorder="1">
      <alignment vertical="top"/>
    </xf>
    <xf numFmtId="37" fontId="13" fillId="40" borderId="0" xfId="0" applyNumberFormat="1" applyFont="1" applyFill="1" applyBorder="1">
      <alignment vertical="top"/>
    </xf>
    <xf numFmtId="37" fontId="13" fillId="40" borderId="9" xfId="0" applyNumberFormat="1" applyFont="1" applyFill="1" applyBorder="1" applyAlignment="1">
      <alignment horizontal="left" vertical="top" indent="1"/>
    </xf>
    <xf numFmtId="41" fontId="6" fillId="0" borderId="0" xfId="4" applyFont="1" applyAlignment="1">
      <alignment horizontal="right" vertical="top"/>
    </xf>
    <xf numFmtId="41" fontId="13" fillId="40" borderId="8" xfId="4" applyFont="1" applyFill="1" applyBorder="1" applyAlignment="1">
      <alignment vertical="top"/>
    </xf>
    <xf numFmtId="41" fontId="13" fillId="40" borderId="7" xfId="4" applyFont="1" applyFill="1" applyBorder="1" applyAlignment="1">
      <alignment vertical="top"/>
    </xf>
    <xf numFmtId="37" fontId="71" fillId="40" borderId="7" xfId="0" applyNumberFormat="1" applyFont="1" applyFill="1" applyBorder="1" applyAlignment="1">
      <alignment horizontal="center" vertical="top"/>
    </xf>
    <xf numFmtId="37" fontId="71" fillId="40" borderId="8" xfId="0" applyNumberFormat="1" applyFont="1" applyFill="1" applyBorder="1" applyAlignment="1">
      <alignment horizontal="center" vertical="top"/>
    </xf>
    <xf numFmtId="37" fontId="71" fillId="40" borderId="12" xfId="0" applyNumberFormat="1" applyFont="1" applyFill="1" applyBorder="1" applyAlignment="1">
      <alignment horizontal="center" vertical="top"/>
    </xf>
    <xf numFmtId="41" fontId="13" fillId="40" borderId="0" xfId="4" applyFont="1" applyFill="1" applyBorder="1" applyAlignment="1">
      <alignment vertical="top"/>
    </xf>
    <xf numFmtId="37" fontId="71" fillId="40" borderId="9" xfId="0" applyNumberFormat="1" applyFont="1" applyFill="1" applyBorder="1" applyAlignment="1">
      <alignment horizontal="center" vertical="top"/>
    </xf>
    <xf numFmtId="37" fontId="71" fillId="40" borderId="0" xfId="0" applyNumberFormat="1" applyFont="1" applyFill="1" applyBorder="1" applyAlignment="1">
      <alignment horizontal="center" vertical="top"/>
    </xf>
    <xf numFmtId="37" fontId="8" fillId="40" borderId="10" xfId="0" applyNumberFormat="1" applyFont="1" applyFill="1" applyBorder="1" applyAlignment="1">
      <alignment vertical="top" wrapText="1"/>
    </xf>
    <xf numFmtId="37" fontId="13" fillId="40" borderId="5" xfId="0" applyNumberFormat="1" applyFont="1" applyFill="1" applyBorder="1">
      <alignment vertical="top"/>
    </xf>
    <xf numFmtId="37" fontId="13" fillId="40" borderId="5" xfId="0" applyNumberFormat="1" applyFont="1" applyFill="1" applyBorder="1" applyAlignment="1">
      <alignment horizontal="center" vertical="top" wrapText="1"/>
    </xf>
    <xf numFmtId="37" fontId="13" fillId="40" borderId="16" xfId="0" applyNumberFormat="1" applyFont="1" applyFill="1" applyBorder="1" applyAlignment="1">
      <alignment horizontal="center" vertical="top" wrapText="1"/>
    </xf>
    <xf numFmtId="37" fontId="8" fillId="40" borderId="9" xfId="0" applyNumberFormat="1" applyFont="1" applyFill="1" applyBorder="1">
      <alignment vertical="top"/>
    </xf>
    <xf numFmtId="37" fontId="13" fillId="40" borderId="14" xfId="0" applyNumberFormat="1" applyFont="1" applyFill="1" applyBorder="1">
      <alignment vertical="top"/>
    </xf>
    <xf numFmtId="177" fontId="8" fillId="40" borderId="9" xfId="1" applyFont="1" applyFill="1" applyBorder="1" applyAlignment="1">
      <alignment vertical="top"/>
    </xf>
    <xf numFmtId="177" fontId="13" fillId="40" borderId="0" xfId="1" applyFont="1" applyFill="1" applyBorder="1" applyAlignment="1">
      <alignment vertical="top"/>
    </xf>
    <xf numFmtId="177" fontId="13" fillId="40" borderId="14" xfId="1" applyFont="1" applyFill="1" applyBorder="1" applyAlignment="1">
      <alignment vertical="top"/>
    </xf>
    <xf numFmtId="186" fontId="8" fillId="40" borderId="9" xfId="1" applyNumberFormat="1" applyFont="1" applyFill="1" applyBorder="1" applyAlignment="1">
      <alignment vertical="top"/>
    </xf>
    <xf numFmtId="37" fontId="8" fillId="40" borderId="10" xfId="0" applyNumberFormat="1" applyFont="1" applyFill="1" applyBorder="1">
      <alignment vertical="top"/>
    </xf>
    <xf numFmtId="37" fontId="13" fillId="40" borderId="16" xfId="0" applyNumberFormat="1" applyFont="1" applyFill="1" applyBorder="1">
      <alignment vertical="top"/>
    </xf>
    <xf numFmtId="37" fontId="13" fillId="40" borderId="10" xfId="0" applyNumberFormat="1" applyFont="1" applyFill="1" applyBorder="1">
      <alignment vertical="top"/>
    </xf>
    <xf numFmtId="41" fontId="13" fillId="40" borderId="16" xfId="4" applyFont="1" applyFill="1" applyBorder="1" applyAlignment="1">
      <alignment vertical="top"/>
    </xf>
    <xf numFmtId="41" fontId="13" fillId="40" borderId="10" xfId="4" applyFont="1" applyFill="1" applyBorder="1" applyAlignment="1">
      <alignment vertical="top"/>
    </xf>
    <xf numFmtId="41" fontId="13" fillId="40" borderId="5" xfId="4" applyFont="1" applyFill="1" applyBorder="1" applyAlignment="1">
      <alignment vertical="top"/>
    </xf>
    <xf numFmtId="176" fontId="26" fillId="19" borderId="15" xfId="6" applyNumberFormat="1" applyFill="1" applyBorder="1" applyAlignment="1" applyProtection="1">
      <alignment horizontal="center" vertical="center"/>
    </xf>
    <xf numFmtId="37" fontId="13" fillId="40" borderId="12" xfId="0" applyNumberFormat="1" applyFont="1" applyFill="1" applyBorder="1">
      <alignment vertical="top"/>
    </xf>
    <xf numFmtId="41" fontId="13" fillId="40" borderId="12" xfId="4" applyFont="1" applyFill="1" applyBorder="1" applyAlignment="1">
      <alignment vertical="top"/>
    </xf>
    <xf numFmtId="37" fontId="71" fillId="40" borderId="14" xfId="0" applyNumberFormat="1" applyFont="1" applyFill="1" applyBorder="1" applyAlignment="1">
      <alignment horizontal="center" vertical="top"/>
    </xf>
    <xf numFmtId="0" fontId="71" fillId="40" borderId="7" xfId="0" applyNumberFormat="1" applyFont="1" applyFill="1" applyBorder="1" applyAlignment="1">
      <alignment horizontal="center" vertical="top"/>
    </xf>
    <xf numFmtId="0" fontId="71" fillId="40" borderId="8" xfId="0" applyNumberFormat="1" applyFont="1" applyFill="1" applyBorder="1" applyAlignment="1">
      <alignment horizontal="center" vertical="top"/>
    </xf>
    <xf numFmtId="0" fontId="71" fillId="40" borderId="12" xfId="0" applyNumberFormat="1" applyFont="1" applyFill="1" applyBorder="1" applyAlignment="1">
      <alignment horizontal="center" vertical="top"/>
    </xf>
    <xf numFmtId="41" fontId="13" fillId="40" borderId="14" xfId="4" applyFont="1" applyFill="1" applyBorder="1" applyAlignment="1">
      <alignment vertical="top"/>
    </xf>
    <xf numFmtId="177" fontId="13" fillId="40" borderId="10" xfId="1" applyFont="1" applyFill="1" applyBorder="1" applyAlignment="1">
      <alignment vertical="top"/>
    </xf>
    <xf numFmtId="176" fontId="0" fillId="40" borderId="9" xfId="0" applyFill="1" applyBorder="1">
      <alignment vertical="top"/>
    </xf>
    <xf numFmtId="176" fontId="0" fillId="40" borderId="0" xfId="0" applyFill="1" applyBorder="1">
      <alignment vertical="top"/>
    </xf>
    <xf numFmtId="176" fontId="7" fillId="40" borderId="0" xfId="0" applyFont="1" applyFill="1" applyBorder="1" applyAlignment="1">
      <alignment horizontal="center" vertical="top" wrapText="1"/>
    </xf>
    <xf numFmtId="0" fontId="0" fillId="40" borderId="0" xfId="0" applyNumberFormat="1" applyFill="1" applyBorder="1" applyAlignment="1">
      <alignment horizontal="center" vertical="top"/>
    </xf>
    <xf numFmtId="176" fontId="7" fillId="40" borderId="0" xfId="0" applyFont="1" applyFill="1" applyBorder="1">
      <alignment vertical="top"/>
    </xf>
    <xf numFmtId="41" fontId="24" fillId="40" borderId="0" xfId="4" applyFont="1" applyFill="1" applyBorder="1" applyAlignment="1">
      <alignment horizontal="right" vertical="top"/>
    </xf>
    <xf numFmtId="176" fontId="27" fillId="58" borderId="9" xfId="0" applyFont="1" applyFill="1" applyBorder="1" applyAlignment="1">
      <alignment horizontal="left"/>
    </xf>
    <xf numFmtId="176" fontId="0" fillId="58" borderId="0" xfId="0" applyFill="1" applyBorder="1" applyAlignment="1"/>
    <xf numFmtId="176" fontId="0" fillId="58" borderId="0" xfId="0" applyFill="1" applyBorder="1" applyAlignment="1">
      <alignment horizontal="center"/>
    </xf>
    <xf numFmtId="37" fontId="28" fillId="40" borderId="9" xfId="0" applyNumberFormat="1" applyFont="1" applyFill="1" applyBorder="1" applyAlignment="1"/>
    <xf numFmtId="37" fontId="8" fillId="40" borderId="0" xfId="0" applyNumberFormat="1" applyFont="1" applyFill="1" applyBorder="1" applyAlignment="1">
      <alignment horizontal="center" vertical="top" wrapText="1"/>
    </xf>
    <xf numFmtId="176" fontId="7" fillId="40" borderId="0" xfId="0" applyFont="1" applyFill="1" applyBorder="1" applyAlignment="1">
      <alignment horizontal="center" vertical="top"/>
    </xf>
    <xf numFmtId="176" fontId="8" fillId="58" borderId="0" xfId="0" applyFont="1" applyFill="1" applyBorder="1" applyAlignment="1">
      <alignment horizontal="left"/>
    </xf>
    <xf numFmtId="205" fontId="8" fillId="58" borderId="21" xfId="0" applyNumberFormat="1" applyFont="1" applyFill="1" applyBorder="1" applyAlignment="1">
      <alignment horizontal="center"/>
    </xf>
    <xf numFmtId="205" fontId="8" fillId="58" borderId="1" xfId="0" applyNumberFormat="1" applyFont="1" applyFill="1" applyBorder="1" applyAlignment="1">
      <alignment horizontal="center"/>
    </xf>
    <xf numFmtId="176" fontId="0" fillId="58" borderId="21" xfId="0" applyFill="1" applyBorder="1" applyAlignment="1">
      <alignment horizontal="center"/>
    </xf>
    <xf numFmtId="205" fontId="8" fillId="58" borderId="0" xfId="0" applyNumberFormat="1" applyFont="1" applyFill="1" applyBorder="1" applyAlignment="1">
      <alignment horizontal="center"/>
    </xf>
    <xf numFmtId="176" fontId="8" fillId="58" borderId="0" xfId="0" applyFont="1" applyFill="1" applyBorder="1" applyAlignment="1">
      <alignment horizontal="center"/>
    </xf>
    <xf numFmtId="176" fontId="0" fillId="58" borderId="1" xfId="0" applyFill="1" applyBorder="1" applyAlignment="1">
      <alignment horizontal="center"/>
    </xf>
    <xf numFmtId="176" fontId="8" fillId="40" borderId="0" xfId="0" applyFont="1" applyFill="1" applyBorder="1" applyAlignment="1">
      <alignment horizontal="center"/>
    </xf>
    <xf numFmtId="176" fontId="0" fillId="40" borderId="0" xfId="0" applyFill="1" applyBorder="1" applyAlignment="1"/>
    <xf numFmtId="176" fontId="0" fillId="0" borderId="0" xfId="0" applyAlignment="1">
      <alignment vertical="top"/>
    </xf>
    <xf numFmtId="176" fontId="0" fillId="19" borderId="8" xfId="0" applyFont="1" applyFill="1" applyBorder="1" applyAlignment="1">
      <alignment horizontal="center"/>
    </xf>
    <xf numFmtId="176" fontId="0" fillId="19" borderId="0" xfId="0" applyFont="1" applyFill="1" applyBorder="1" applyAlignment="1"/>
    <xf numFmtId="176" fontId="7" fillId="19" borderId="5" xfId="0" applyFont="1" applyFill="1" applyBorder="1" applyAlignment="1">
      <alignment horizontal="center" wrapText="1"/>
    </xf>
    <xf numFmtId="176" fontId="0" fillId="19" borderId="5" xfId="0" applyFont="1" applyFill="1" applyBorder="1" applyAlignment="1">
      <alignment horizontal="center"/>
    </xf>
    <xf numFmtId="176" fontId="7" fillId="19" borderId="8" xfId="0" applyFont="1" applyFill="1" applyBorder="1" applyAlignment="1"/>
    <xf numFmtId="202" fontId="0" fillId="19" borderId="8" xfId="1" applyNumberFormat="1" applyFont="1" applyFill="1" applyBorder="1" applyAlignment="1">
      <alignment horizontal="center"/>
    </xf>
    <xf numFmtId="176" fontId="0" fillId="19" borderId="5" xfId="0" applyFont="1" applyFill="1" applyBorder="1" applyAlignment="1"/>
    <xf numFmtId="202" fontId="0" fillId="19" borderId="5" xfId="1" applyNumberFormat="1" applyFont="1" applyFill="1" applyBorder="1" applyAlignment="1">
      <alignment horizontal="center"/>
    </xf>
    <xf numFmtId="176" fontId="0" fillId="19" borderId="0" xfId="0" applyFont="1" applyFill="1" applyBorder="1" applyAlignment="1">
      <alignment horizontal="center"/>
    </xf>
    <xf numFmtId="202" fontId="0" fillId="19" borderId="0" xfId="1" applyNumberFormat="1" applyFont="1" applyFill="1" applyAlignment="1">
      <alignment horizontal="center"/>
    </xf>
    <xf numFmtId="176" fontId="7" fillId="19" borderId="0" xfId="0" applyFont="1" applyFill="1" applyBorder="1" applyAlignment="1"/>
    <xf numFmtId="176" fontId="0" fillId="0" borderId="0" xfId="0" applyFont="1" applyAlignment="1">
      <alignment vertical="top"/>
    </xf>
    <xf numFmtId="176" fontId="0" fillId="0" borderId="0" xfId="0" applyFont="1" applyAlignment="1">
      <alignment horizontal="center" vertical="top"/>
    </xf>
    <xf numFmtId="198" fontId="0" fillId="3" borderId="7" xfId="0" applyNumberFormat="1" applyFill="1" applyBorder="1" applyAlignment="1">
      <alignment horizontal="center" vertical="top"/>
    </xf>
    <xf numFmtId="198" fontId="0" fillId="3" borderId="11" xfId="0" applyNumberFormat="1" applyFill="1" applyBorder="1" applyAlignment="1">
      <alignment horizontal="center" vertical="top"/>
    </xf>
    <xf numFmtId="198" fontId="0" fillId="3" borderId="8" xfId="0" applyNumberFormat="1" applyFill="1" applyBorder="1" applyAlignment="1">
      <alignment horizontal="center" vertical="top"/>
    </xf>
    <xf numFmtId="198" fontId="0" fillId="3" borderId="12" xfId="0" applyNumberFormat="1" applyFill="1" applyBorder="1" applyAlignment="1">
      <alignment horizontal="center" vertical="top"/>
    </xf>
    <xf numFmtId="198" fontId="0" fillId="3" borderId="15" xfId="0" applyNumberFormat="1" applyFill="1" applyBorder="1" applyAlignment="1">
      <alignment horizontal="center" vertical="top"/>
    </xf>
    <xf numFmtId="198" fontId="0" fillId="3" borderId="5" xfId="0" applyNumberFormat="1" applyFill="1" applyBorder="1" applyAlignment="1">
      <alignment horizontal="center" vertical="top"/>
    </xf>
    <xf numFmtId="198" fontId="0" fillId="3" borderId="16" xfId="0" applyNumberFormat="1" applyFill="1" applyBorder="1" applyAlignment="1">
      <alignment horizontal="center" vertical="top"/>
    </xf>
    <xf numFmtId="176" fontId="0" fillId="0" borderId="15" xfId="0" applyFont="1" applyBorder="1">
      <alignment vertical="top"/>
    </xf>
    <xf numFmtId="176" fontId="7" fillId="0" borderId="13" xfId="0" applyFont="1" applyBorder="1" applyAlignment="1">
      <alignment vertical="top"/>
    </xf>
    <xf numFmtId="9" fontId="0" fillId="0" borderId="15" xfId="3" applyFont="1" applyBorder="1" applyAlignment="1">
      <alignment horizontal="center" vertical="top"/>
    </xf>
    <xf numFmtId="176" fontId="0" fillId="0" borderId="10" xfId="0" applyFont="1" applyBorder="1">
      <alignment vertical="top"/>
    </xf>
    <xf numFmtId="0" fontId="0" fillId="0" borderId="4" xfId="3" applyNumberFormat="1" applyFont="1" applyBorder="1" applyAlignment="1">
      <alignment horizontal="center" vertical="top"/>
    </xf>
    <xf numFmtId="176" fontId="13" fillId="19" borderId="12" xfId="0" applyFont="1" applyFill="1" applyBorder="1">
      <alignment vertical="top"/>
    </xf>
    <xf numFmtId="176" fontId="7" fillId="19" borderId="5" xfId="0" applyFont="1" applyFill="1" applyBorder="1" applyAlignment="1">
      <alignment vertical="center"/>
    </xf>
    <xf numFmtId="176" fontId="0" fillId="0" borderId="16" xfId="0" applyFont="1" applyBorder="1">
      <alignment vertical="top"/>
    </xf>
    <xf numFmtId="176" fontId="0" fillId="13" borderId="4" xfId="0" applyFont="1" applyFill="1" applyBorder="1">
      <alignment vertical="top"/>
    </xf>
    <xf numFmtId="176" fontId="0" fillId="53" borderId="17" xfId="0" applyFill="1" applyBorder="1" applyAlignment="1">
      <alignment horizontal="center" vertical="top"/>
    </xf>
    <xf numFmtId="176" fontId="0" fillId="53" borderId="19" xfId="0" applyFill="1" applyBorder="1" applyAlignment="1">
      <alignment horizontal="center" vertical="top"/>
    </xf>
    <xf numFmtId="198" fontId="0" fillId="3" borderId="17" xfId="0" applyNumberFormat="1" applyFill="1" applyBorder="1" applyAlignment="1">
      <alignment horizontal="center" vertical="top"/>
    </xf>
    <xf numFmtId="198" fontId="0" fillId="3" borderId="18" xfId="0" applyNumberFormat="1" applyFill="1" applyBorder="1" applyAlignment="1">
      <alignment horizontal="center" vertical="top"/>
    </xf>
    <xf numFmtId="198" fontId="0" fillId="3" borderId="19" xfId="0" applyNumberFormat="1" applyFill="1" applyBorder="1" applyAlignment="1">
      <alignment horizontal="center" vertical="top"/>
    </xf>
    <xf numFmtId="176" fontId="0" fillId="53" borderId="18" xfId="0" applyFill="1" applyBorder="1" applyAlignment="1">
      <alignment horizontal="center" vertical="top"/>
    </xf>
    <xf numFmtId="176" fontId="7" fillId="0" borderId="4" xfId="0" applyFont="1" applyBorder="1" applyAlignment="1">
      <alignment vertical="top"/>
    </xf>
    <xf numFmtId="176" fontId="7" fillId="0" borderId="4" xfId="0" applyFont="1" applyBorder="1" applyAlignment="1">
      <alignment horizontal="center" vertical="top"/>
    </xf>
    <xf numFmtId="0" fontId="7" fillId="0" borderId="0" xfId="272" applyFont="1"/>
    <xf numFmtId="0" fontId="0" fillId="0" borderId="0" xfId="272" applyFont="1" applyAlignment="1">
      <alignment horizontal="center"/>
    </xf>
    <xf numFmtId="176" fontId="7" fillId="0" borderId="15" xfId="0" applyFont="1" applyBorder="1" applyAlignment="1">
      <alignment vertical="top"/>
    </xf>
    <xf numFmtId="210" fontId="0" fillId="0" borderId="15" xfId="3" applyNumberFormat="1" applyFont="1" applyBorder="1" applyAlignment="1">
      <alignment vertical="top"/>
    </xf>
    <xf numFmtId="41" fontId="0" fillId="0" borderId="15" xfId="4" applyFont="1" applyBorder="1" applyAlignment="1">
      <alignment vertical="top"/>
    </xf>
    <xf numFmtId="210" fontId="0" fillId="0" borderId="4" xfId="3" applyNumberFormat="1" applyFont="1" applyBorder="1" applyAlignment="1">
      <alignment vertical="top"/>
    </xf>
    <xf numFmtId="176" fontId="0" fillId="0" borderId="4" xfId="0" applyFont="1" applyBorder="1" applyAlignment="1">
      <alignment horizontal="center" vertical="top"/>
    </xf>
    <xf numFmtId="9" fontId="7" fillId="0" borderId="4" xfId="3" applyFont="1" applyBorder="1" applyAlignment="1">
      <alignment horizontal="center" vertical="top"/>
    </xf>
    <xf numFmtId="176" fontId="28" fillId="0" borderId="0" xfId="0" applyFont="1">
      <alignment vertical="top"/>
    </xf>
    <xf numFmtId="9" fontId="128" fillId="0" borderId="0" xfId="3" applyFont="1" applyAlignment="1">
      <alignment vertical="top"/>
    </xf>
    <xf numFmtId="176" fontId="7" fillId="0" borderId="0" xfId="0" applyFont="1" applyAlignment="1">
      <alignment vertical="top"/>
    </xf>
    <xf numFmtId="9" fontId="7" fillId="0" borderId="0" xfId="3" applyFont="1" applyAlignment="1">
      <alignment vertical="top"/>
    </xf>
    <xf numFmtId="0" fontId="0" fillId="0" borderId="0" xfId="3" applyNumberFormat="1" applyFont="1" applyAlignment="1">
      <alignment vertical="top"/>
    </xf>
    <xf numFmtId="176" fontId="122" fillId="0" borderId="0" xfId="0" applyFont="1" applyAlignment="1">
      <alignment horizontal="center" vertical="top"/>
    </xf>
    <xf numFmtId="176" fontId="0" fillId="0" borderId="17" xfId="0" applyFont="1" applyBorder="1">
      <alignment vertical="top"/>
    </xf>
    <xf numFmtId="176" fontId="0" fillId="28" borderId="0" xfId="0" applyFill="1">
      <alignment vertical="top"/>
    </xf>
    <xf numFmtId="176" fontId="0" fillId="28" borderId="0" xfId="0" applyFill="1" applyAlignment="1">
      <alignment horizontal="center" vertical="center"/>
    </xf>
    <xf numFmtId="182" fontId="25" fillId="59" borderId="4" xfId="218" applyNumberFormat="1" applyFont="1" applyFill="1" applyBorder="1" applyAlignment="1">
      <alignment horizontal="center"/>
    </xf>
    <xf numFmtId="182" fontId="25" fillId="59" borderId="4" xfId="218" applyNumberFormat="1" applyFont="1" applyFill="1" applyBorder="1" applyAlignment="1">
      <alignment horizontal="center" vertical="center"/>
    </xf>
    <xf numFmtId="198" fontId="0" fillId="0" borderId="18" xfId="0" applyNumberFormat="1" applyFont="1" applyBorder="1" applyAlignment="1">
      <alignment horizontal="center" vertical="top"/>
    </xf>
    <xf numFmtId="176" fontId="83" fillId="0" borderId="0" xfId="0" applyFont="1">
      <alignment vertical="top"/>
    </xf>
    <xf numFmtId="176" fontId="0" fillId="0" borderId="0" xfId="0" applyFont="1" applyAlignment="1">
      <alignment horizontal="right" vertical="top"/>
    </xf>
    <xf numFmtId="176" fontId="0" fillId="0" borderId="0" xfId="0" applyFont="1" applyAlignment="1">
      <alignment horizontal="left" vertical="top"/>
    </xf>
    <xf numFmtId="176" fontId="0" fillId="19" borderId="5" xfId="0" applyFill="1" applyBorder="1" applyAlignment="1">
      <alignment vertical="center"/>
    </xf>
    <xf numFmtId="176" fontId="0" fillId="26" borderId="4" xfId="0" applyFont="1" applyFill="1" applyBorder="1">
      <alignment vertical="top"/>
    </xf>
    <xf numFmtId="176" fontId="0" fillId="60" borderId="4" xfId="0" applyFont="1" applyFill="1" applyBorder="1">
      <alignment vertical="top"/>
    </xf>
    <xf numFmtId="176" fontId="0" fillId="61" borderId="4" xfId="0" applyFont="1" applyFill="1" applyBorder="1">
      <alignment vertical="top"/>
    </xf>
    <xf numFmtId="176" fontId="6" fillId="26" borderId="0" xfId="0" applyFont="1" applyFill="1">
      <alignment vertical="top"/>
    </xf>
    <xf numFmtId="176" fontId="6" fillId="60" borderId="0" xfId="0" applyFont="1" applyFill="1">
      <alignment vertical="top"/>
    </xf>
    <xf numFmtId="176" fontId="6" fillId="61" borderId="0" xfId="0" applyFont="1" applyFill="1">
      <alignment vertical="top"/>
    </xf>
    <xf numFmtId="198" fontId="0" fillId="3" borderId="10" xfId="0" applyNumberFormat="1" applyFill="1" applyBorder="1">
      <alignment vertical="top"/>
    </xf>
    <xf numFmtId="198" fontId="0" fillId="3" borderId="4" xfId="0" applyNumberFormat="1" applyFill="1" applyBorder="1" applyAlignment="1">
      <alignment horizontal="center" vertical="top"/>
    </xf>
    <xf numFmtId="198" fontId="0" fillId="3" borderId="5" xfId="0" applyNumberFormat="1" applyFill="1" applyBorder="1">
      <alignment vertical="top"/>
    </xf>
    <xf numFmtId="198" fontId="0" fillId="3" borderId="8" xfId="0" applyNumberFormat="1" applyFill="1" applyBorder="1">
      <alignment vertical="top"/>
    </xf>
    <xf numFmtId="176" fontId="7" fillId="28" borderId="0" xfId="0" applyFont="1" applyFill="1" applyAlignment="1">
      <alignment horizontal="center" vertical="top"/>
    </xf>
    <xf numFmtId="176" fontId="7" fillId="0" borderId="15" xfId="0" applyFont="1" applyBorder="1">
      <alignment vertical="top"/>
    </xf>
    <xf numFmtId="4" fontId="1" fillId="0" borderId="4" xfId="358" applyFont="1" applyBorder="1">
      <alignment horizontal="left" vertical="top"/>
    </xf>
    <xf numFmtId="10" fontId="0" fillId="0" borderId="4" xfId="3" applyNumberFormat="1" applyFont="1" applyBorder="1" applyAlignment="1">
      <alignment horizontal="center" vertical="top"/>
    </xf>
    <xf numFmtId="198" fontId="1" fillId="0" borderId="4" xfId="370" applyNumberFormat="1" applyFont="1" applyBorder="1" applyAlignment="1">
      <alignment horizontal="left" vertical="top"/>
    </xf>
    <xf numFmtId="176" fontId="70" fillId="0" borderId="0" xfId="0" applyFont="1">
      <alignment vertical="top"/>
    </xf>
    <xf numFmtId="176" fontId="13" fillId="0" borderId="0" xfId="0" applyFont="1" applyAlignment="1">
      <alignment horizontal="center" vertical="top"/>
    </xf>
    <xf numFmtId="186" fontId="0" fillId="0" borderId="0" xfId="1" applyNumberFormat="1" applyFont="1" applyAlignment="1">
      <alignment vertical="top"/>
    </xf>
    <xf numFmtId="186" fontId="0" fillId="0" borderId="5" xfId="1" applyNumberFormat="1" applyFont="1" applyBorder="1" applyAlignment="1">
      <alignment vertical="top"/>
    </xf>
    <xf numFmtId="186" fontId="0" fillId="0" borderId="0" xfId="1" applyNumberFormat="1" applyFont="1" applyAlignment="1">
      <alignment horizontal="center" vertical="top"/>
    </xf>
    <xf numFmtId="202" fontId="0" fillId="0" borderId="0" xfId="1" applyNumberFormat="1" applyFont="1" applyBorder="1"/>
    <xf numFmtId="0" fontId="0" fillId="0" borderId="0" xfId="272" applyFont="1" applyBorder="1"/>
    <xf numFmtId="198" fontId="7" fillId="28" borderId="8" xfId="0" applyNumberFormat="1" applyFont="1" applyFill="1" applyBorder="1" applyAlignment="1">
      <alignment horizontal="center" vertical="top"/>
    </xf>
    <xf numFmtId="182" fontId="25" fillId="0" borderId="0" xfId="218" applyNumberFormat="1" applyFont="1" applyAlignment="1">
      <alignment horizontal="center"/>
    </xf>
    <xf numFmtId="41" fontId="1" fillId="0" borderId="4" xfId="4" applyFont="1" applyBorder="1" applyAlignment="1">
      <alignment horizontal="right" vertical="top"/>
    </xf>
    <xf numFmtId="182" fontId="24" fillId="62" borderId="57" xfId="218" applyNumberFormat="1" applyFont="1" applyFill="1" applyBorder="1"/>
    <xf numFmtId="182" fontId="25" fillId="62" borderId="15" xfId="218" applyNumberFormat="1" applyFont="1" applyFill="1" applyBorder="1"/>
    <xf numFmtId="186" fontId="13" fillId="0" borderId="0" xfId="1" applyNumberFormat="1" applyFont="1" applyAlignment="1">
      <alignment vertical="top"/>
    </xf>
    <xf numFmtId="176" fontId="0" fillId="53" borderId="7" xfId="0" applyFill="1" applyBorder="1" applyAlignment="1">
      <alignment horizontal="center" vertical="top"/>
    </xf>
    <xf numFmtId="176" fontId="0" fillId="53" borderId="8" xfId="0" applyFill="1" applyBorder="1" applyAlignment="1">
      <alignment horizontal="center" vertical="top"/>
    </xf>
    <xf numFmtId="198" fontId="25" fillId="59" borderId="4" xfId="218" applyNumberFormat="1" applyFont="1" applyFill="1" applyBorder="1" applyAlignment="1">
      <alignment horizontal="center"/>
    </xf>
    <xf numFmtId="198" fontId="8" fillId="3" borderId="4" xfId="128" applyNumberFormat="1" applyFont="1" applyFill="1" applyBorder="1" applyAlignment="1">
      <alignment horizontal="center"/>
    </xf>
    <xf numFmtId="0" fontId="25" fillId="0" borderId="0" xfId="218" applyFont="1" applyAlignment="1">
      <alignment horizontal="center"/>
    </xf>
    <xf numFmtId="182" fontId="25" fillId="0" borderId="14" xfId="218" applyNumberFormat="1" applyFont="1" applyBorder="1" applyAlignment="1">
      <alignment vertical="center"/>
    </xf>
    <xf numFmtId="186" fontId="0" fillId="0" borderId="15" xfId="1" applyNumberFormat="1" applyFont="1" applyBorder="1" applyAlignment="1">
      <alignment vertical="top"/>
    </xf>
    <xf numFmtId="202" fontId="24" fillId="62" borderId="109" xfId="218" applyNumberFormat="1" applyFont="1" applyFill="1" applyBorder="1"/>
    <xf numFmtId="186" fontId="13" fillId="0" borderId="4" xfId="1" applyNumberFormat="1" applyFont="1" applyBorder="1" applyAlignment="1">
      <alignment vertical="top"/>
    </xf>
    <xf numFmtId="186" fontId="13" fillId="0" borderId="4" xfId="1" applyNumberFormat="1" applyFont="1" applyBorder="1"/>
    <xf numFmtId="182" fontId="25" fillId="62" borderId="5" xfId="218" applyNumberFormat="1" applyFont="1" applyFill="1" applyBorder="1"/>
    <xf numFmtId="182" fontId="25" fillId="62" borderId="59" xfId="218" applyNumberFormat="1" applyFont="1" applyFill="1" applyBorder="1"/>
    <xf numFmtId="182" fontId="84" fillId="62" borderId="4" xfId="218" applyNumberFormat="1" applyFont="1" applyFill="1" applyBorder="1"/>
    <xf numFmtId="176" fontId="0" fillId="53" borderId="12" xfId="0" applyFill="1" applyBorder="1" applyAlignment="1">
      <alignment horizontal="center" vertical="top"/>
    </xf>
    <xf numFmtId="182" fontId="25" fillId="62" borderId="4" xfId="218" applyNumberFormat="1" applyFont="1" applyFill="1" applyBorder="1"/>
    <xf numFmtId="176" fontId="0" fillId="0" borderId="4" xfId="0" applyBorder="1" applyAlignment="1">
      <alignment horizontal="center" vertical="top" wrapText="1"/>
    </xf>
    <xf numFmtId="176" fontId="0" fillId="0" borderId="4" xfId="0" applyBorder="1" applyAlignment="1">
      <alignment horizontal="center" wrapText="1"/>
    </xf>
    <xf numFmtId="176" fontId="0" fillId="0" borderId="0" xfId="0" applyBorder="1" applyAlignment="1">
      <alignment horizontal="center" wrapText="1"/>
    </xf>
    <xf numFmtId="41" fontId="129" fillId="0" borderId="4" xfId="0" applyNumberFormat="1" applyFont="1" applyBorder="1" applyAlignment="1"/>
    <xf numFmtId="41" fontId="129" fillId="0" borderId="0" xfId="0" applyNumberFormat="1" applyFont="1" applyBorder="1" applyAlignment="1"/>
    <xf numFmtId="4" fontId="12" fillId="2" borderId="32" xfId="362" applyFill="1" applyBorder="1" applyAlignment="1">
      <alignment horizontal="center" vertical="top"/>
    </xf>
    <xf numFmtId="4" fontId="12" fillId="2" borderId="33" xfId="362" applyFill="1" applyBorder="1" applyAlignment="1">
      <alignment horizontal="center" vertical="top"/>
    </xf>
    <xf numFmtId="4" fontId="12" fillId="2" borderId="48" xfId="362" applyFill="1" applyBorder="1" applyAlignment="1">
      <alignment horizontal="center" vertical="top"/>
    </xf>
    <xf numFmtId="0" fontId="12" fillId="0" borderId="20" xfId="362" applyNumberFormat="1" applyBorder="1" applyAlignment="1">
      <alignment vertical="top" wrapText="1"/>
    </xf>
    <xf numFmtId="0" fontId="12" fillId="0" borderId="0" xfId="362" applyNumberFormat="1" applyBorder="1" applyAlignment="1">
      <alignment vertical="top" wrapText="1"/>
    </xf>
    <xf numFmtId="4" fontId="12" fillId="0" borderId="21" xfId="362" applyNumberFormat="1" applyBorder="1" applyAlignment="1">
      <alignment vertical="top" wrapText="1"/>
    </xf>
    <xf numFmtId="176" fontId="0" fillId="0" borderId="20" xfId="0" applyBorder="1" applyAlignment="1"/>
    <xf numFmtId="176" fontId="0" fillId="0" borderId="21" xfId="0" applyBorder="1" applyAlignment="1"/>
    <xf numFmtId="41" fontId="0" fillId="0" borderId="44" xfId="4" applyFont="1" applyBorder="1"/>
    <xf numFmtId="41" fontId="0" fillId="0" borderId="45" xfId="4" applyFont="1" applyBorder="1"/>
    <xf numFmtId="41" fontId="0" fillId="0" borderId="49" xfId="4" applyFont="1" applyBorder="1"/>
    <xf numFmtId="176" fontId="122" fillId="0" borderId="17" xfId="0" applyFont="1" applyBorder="1">
      <alignment vertical="top"/>
    </xf>
    <xf numFmtId="176" fontId="55" fillId="60" borderId="7" xfId="0" applyFont="1" applyFill="1" applyBorder="1">
      <alignment vertical="top"/>
    </xf>
    <xf numFmtId="176" fontId="0" fillId="60" borderId="8" xfId="0" applyFill="1" applyBorder="1">
      <alignment vertical="top"/>
    </xf>
    <xf numFmtId="176" fontId="0" fillId="60" borderId="9" xfId="0" applyFill="1" applyBorder="1">
      <alignment vertical="top"/>
    </xf>
    <xf numFmtId="176" fontId="0" fillId="60" borderId="0" xfId="0" applyFill="1" applyBorder="1">
      <alignment vertical="top"/>
    </xf>
    <xf numFmtId="176" fontId="0" fillId="60" borderId="10" xfId="0" applyFill="1" applyBorder="1">
      <alignment vertical="top"/>
    </xf>
    <xf numFmtId="176" fontId="0" fillId="60" borderId="5" xfId="0" applyFill="1" applyBorder="1">
      <alignment vertical="top"/>
    </xf>
    <xf numFmtId="176" fontId="26" fillId="60" borderId="5" xfId="6" applyNumberFormat="1" applyFill="1" applyBorder="1" applyProtection="1">
      <alignment vertical="top"/>
    </xf>
    <xf numFmtId="176" fontId="0" fillId="3" borderId="7" xfId="0" applyFill="1" applyBorder="1" applyAlignment="1">
      <alignment horizontal="center" vertical="top"/>
    </xf>
    <xf numFmtId="176" fontId="0" fillId="3" borderId="8" xfId="0" applyFill="1" applyBorder="1" applyAlignment="1">
      <alignment horizontal="center" vertical="top"/>
    </xf>
    <xf numFmtId="176" fontId="8" fillId="3" borderId="11" xfId="0" applyFont="1" applyFill="1" applyBorder="1" applyAlignment="1">
      <alignment horizontal="center"/>
    </xf>
    <xf numFmtId="176" fontId="0" fillId="3" borderId="4" xfId="0" applyFill="1" applyBorder="1" applyAlignment="1">
      <alignment horizontal="center" vertical="top"/>
    </xf>
    <xf numFmtId="176" fontId="0" fillId="3" borderId="17" xfId="0" applyFill="1" applyBorder="1" applyAlignment="1">
      <alignment horizontal="center" vertical="top"/>
    </xf>
    <xf numFmtId="176" fontId="0" fillId="3" borderId="10" xfId="0" applyFill="1" applyBorder="1" applyAlignment="1">
      <alignment horizontal="left" vertical="top"/>
    </xf>
    <xf numFmtId="176" fontId="8" fillId="3" borderId="5" xfId="0" applyFont="1" applyFill="1" applyBorder="1" applyAlignment="1">
      <alignment horizontal="center" vertical="top"/>
    </xf>
    <xf numFmtId="176" fontId="8" fillId="3" borderId="15" xfId="0" applyFont="1" applyFill="1" applyBorder="1" applyAlignment="1">
      <alignment horizontal="center"/>
    </xf>
    <xf numFmtId="176" fontId="0" fillId="3" borderId="5" xfId="0" applyFill="1" applyBorder="1" applyAlignment="1">
      <alignment horizontal="center" vertical="top"/>
    </xf>
    <xf numFmtId="198" fontId="8" fillId="3" borderId="15" xfId="0" applyNumberFormat="1" applyFont="1" applyFill="1" applyBorder="1" applyAlignment="1">
      <alignment horizontal="center"/>
    </xf>
    <xf numFmtId="176" fontId="13" fillId="0" borderId="14" xfId="0" applyFont="1" applyBorder="1" applyAlignment="1">
      <alignment horizontal="center"/>
    </xf>
    <xf numFmtId="37" fontId="13" fillId="0" borderId="14" xfId="0" applyNumberFormat="1" applyFont="1" applyBorder="1" applyAlignment="1">
      <alignment horizontal="center"/>
    </xf>
    <xf numFmtId="37" fontId="0" fillId="0" borderId="13" xfId="0" applyNumberFormat="1" applyFont="1" applyBorder="1" applyAlignment="1">
      <alignment horizontal="center"/>
    </xf>
    <xf numFmtId="37" fontId="0" fillId="0" borderId="14" xfId="0" applyNumberFormat="1" applyFont="1" applyBorder="1" applyAlignment="1">
      <alignment horizontal="center"/>
    </xf>
    <xf numFmtId="37" fontId="0" fillId="63" borderId="14" xfId="0" applyNumberFormat="1" applyFont="1" applyFill="1" applyBorder="1" applyAlignment="1">
      <alignment horizontal="center"/>
    </xf>
    <xf numFmtId="176" fontId="0" fillId="0" borderId="19" xfId="0" applyFont="1" applyBorder="1" applyAlignment="1">
      <alignment horizontal="center" vertical="top"/>
    </xf>
    <xf numFmtId="41" fontId="126" fillId="0" borderId="19" xfId="4" applyFont="1" applyBorder="1" applyAlignment="1">
      <alignment horizontal="right"/>
    </xf>
    <xf numFmtId="41" fontId="126" fillId="0" borderId="4" xfId="4" applyFont="1" applyBorder="1" applyAlignment="1">
      <alignment horizontal="right"/>
    </xf>
    <xf numFmtId="37" fontId="0" fillId="0" borderId="0" xfId="0" applyNumberFormat="1" applyFont="1" applyBorder="1" applyAlignment="1">
      <alignment horizontal="center"/>
    </xf>
    <xf numFmtId="37" fontId="13" fillId="0" borderId="19" xfId="0" applyNumberFormat="1" applyFont="1" applyBorder="1">
      <alignment vertical="top"/>
    </xf>
    <xf numFmtId="37" fontId="8" fillId="0" borderId="18" xfId="0" applyNumberFormat="1" applyFont="1" applyBorder="1">
      <alignment vertical="top"/>
    </xf>
    <xf numFmtId="176" fontId="13" fillId="40" borderId="32" xfId="0" applyFont="1" applyFill="1" applyBorder="1">
      <alignment vertical="top"/>
    </xf>
    <xf numFmtId="176" fontId="13" fillId="40" borderId="33" xfId="0" applyFont="1" applyFill="1" applyBorder="1">
      <alignment vertical="top"/>
    </xf>
    <xf numFmtId="176" fontId="8" fillId="40" borderId="33" xfId="0" applyFont="1" applyFill="1" applyBorder="1">
      <alignment vertical="top"/>
    </xf>
    <xf numFmtId="176" fontId="13" fillId="40" borderId="33" xfId="0" applyFont="1" applyFill="1" applyBorder="1" applyAlignment="1">
      <alignment horizontal="center"/>
    </xf>
    <xf numFmtId="176" fontId="13" fillId="40" borderId="20" xfId="0" applyFont="1" applyFill="1" applyBorder="1">
      <alignment vertical="top"/>
    </xf>
    <xf numFmtId="176" fontId="13" fillId="40" borderId="0" xfId="0" applyFont="1" applyFill="1" applyBorder="1">
      <alignment vertical="top"/>
    </xf>
    <xf numFmtId="0" fontId="7" fillId="61" borderId="0" xfId="0" applyNumberFormat="1" applyFont="1" applyFill="1" applyAlignment="1">
      <alignment vertical="top"/>
    </xf>
    <xf numFmtId="176" fontId="13" fillId="40" borderId="0" xfId="0" applyFont="1" applyFill="1" applyBorder="1" applyAlignment="1">
      <alignment horizontal="center"/>
    </xf>
    <xf numFmtId="176" fontId="8" fillId="40" borderId="0" xfId="0" applyFont="1" applyFill="1" applyBorder="1">
      <alignment vertical="top"/>
    </xf>
    <xf numFmtId="176" fontId="71" fillId="40" borderId="20" xfId="0" applyFont="1" applyFill="1" applyBorder="1">
      <alignment vertical="top"/>
    </xf>
    <xf numFmtId="176" fontId="71" fillId="40" borderId="0" xfId="0" applyFont="1" applyFill="1" applyBorder="1">
      <alignment vertical="top"/>
    </xf>
    <xf numFmtId="37" fontId="13" fillId="40" borderId="0" xfId="0" applyNumberFormat="1" applyFont="1" applyFill="1" applyBorder="1" applyAlignment="1">
      <alignment horizontal="center"/>
    </xf>
    <xf numFmtId="176" fontId="0" fillId="3" borderId="18" xfId="0" applyFill="1" applyBorder="1" applyAlignment="1">
      <alignment horizontal="center" vertical="top"/>
    </xf>
    <xf numFmtId="198" fontId="8" fillId="3" borderId="10" xfId="0" applyNumberFormat="1" applyFont="1" applyFill="1" applyBorder="1" applyAlignment="1">
      <alignment horizontal="center"/>
    </xf>
    <xf numFmtId="176" fontId="7" fillId="3" borderId="5" xfId="0" applyFont="1" applyFill="1" applyBorder="1" applyAlignment="1">
      <alignment horizontal="center" vertical="top"/>
    </xf>
    <xf numFmtId="176" fontId="9" fillId="40" borderId="33" xfId="0" applyFont="1" applyFill="1" applyBorder="1">
      <alignment vertical="top"/>
    </xf>
    <xf numFmtId="0" fontId="7" fillId="13" borderId="0" xfId="0" applyNumberFormat="1" applyFont="1" applyFill="1" applyAlignment="1">
      <alignment vertical="top"/>
    </xf>
    <xf numFmtId="176" fontId="13" fillId="40" borderId="0" xfId="0" applyFont="1" applyFill="1" applyBorder="1" applyAlignment="1">
      <alignment horizontal="center" vertical="top"/>
    </xf>
    <xf numFmtId="176" fontId="0" fillId="60" borderId="12" xfId="0" applyFill="1" applyBorder="1">
      <alignment vertical="top"/>
    </xf>
    <xf numFmtId="198" fontId="0" fillId="60" borderId="0" xfId="0" applyNumberFormat="1" applyFill="1" applyBorder="1">
      <alignment vertical="top"/>
    </xf>
    <xf numFmtId="176" fontId="0" fillId="60" borderId="14" xfId="0" applyFill="1" applyBorder="1">
      <alignment vertical="top"/>
    </xf>
    <xf numFmtId="198" fontId="0" fillId="60" borderId="16" xfId="0" applyNumberFormat="1" applyFill="1" applyBorder="1">
      <alignment vertical="top"/>
    </xf>
    <xf numFmtId="176" fontId="8" fillId="3" borderId="12" xfId="0" applyFont="1" applyFill="1" applyBorder="1" applyAlignment="1">
      <alignment horizontal="center"/>
    </xf>
    <xf numFmtId="176" fontId="8" fillId="3" borderId="7" xfId="0" applyFont="1" applyFill="1" applyBorder="1" applyAlignment="1">
      <alignment horizontal="center"/>
    </xf>
    <xf numFmtId="221" fontId="13" fillId="0" borderId="14" xfId="4" applyNumberFormat="1" applyFont="1" applyBorder="1" applyAlignment="1">
      <alignment vertical="top"/>
    </xf>
    <xf numFmtId="221" fontId="13" fillId="0" borderId="14" xfId="0" applyNumberFormat="1" applyFont="1" applyBorder="1">
      <alignment vertical="top"/>
    </xf>
    <xf numFmtId="221" fontId="13" fillId="0" borderId="13" xfId="0" applyNumberFormat="1" applyFont="1" applyBorder="1">
      <alignment vertical="top"/>
    </xf>
    <xf numFmtId="221" fontId="13" fillId="0" borderId="0" xfId="4" applyNumberFormat="1" applyFont="1" applyBorder="1" applyAlignment="1">
      <alignment vertical="top"/>
    </xf>
    <xf numFmtId="221" fontId="13" fillId="0" borderId="13" xfId="4" applyNumberFormat="1" applyFont="1" applyBorder="1" applyAlignment="1">
      <alignment vertical="top"/>
    </xf>
    <xf numFmtId="221" fontId="13" fillId="0" borderId="0" xfId="0" applyNumberFormat="1" applyFont="1" applyBorder="1">
      <alignment vertical="top"/>
    </xf>
    <xf numFmtId="221" fontId="8" fillId="0" borderId="13" xfId="0" applyNumberFormat="1" applyFont="1" applyBorder="1" applyAlignment="1">
      <alignment horizontal="center"/>
    </xf>
    <xf numFmtId="221" fontId="13" fillId="0" borderId="13" xfId="1" applyNumberFormat="1" applyFont="1" applyBorder="1" applyAlignment="1">
      <alignment vertical="top"/>
    </xf>
    <xf numFmtId="221" fontId="13" fillId="0" borderId="9" xfId="4" applyNumberFormat="1" applyFont="1" applyBorder="1" applyAlignment="1">
      <alignment vertical="top"/>
    </xf>
    <xf numFmtId="41" fontId="84" fillId="0" borderId="4" xfId="4" applyFont="1" applyBorder="1" applyAlignment="1">
      <alignment horizontal="right"/>
    </xf>
    <xf numFmtId="221" fontId="8" fillId="0" borderId="4" xfId="0" applyNumberFormat="1" applyFont="1" applyBorder="1">
      <alignment vertical="top"/>
    </xf>
    <xf numFmtId="221" fontId="0" fillId="0" borderId="18" xfId="0" applyNumberFormat="1" applyBorder="1">
      <alignment vertical="top"/>
    </xf>
    <xf numFmtId="221" fontId="13" fillId="0" borderId="17" xfId="0" applyNumberFormat="1" applyFont="1" applyBorder="1">
      <alignment vertical="top"/>
    </xf>
    <xf numFmtId="221" fontId="13" fillId="0" borderId="4" xfId="0" applyNumberFormat="1" applyFont="1" applyBorder="1">
      <alignment vertical="top"/>
    </xf>
    <xf numFmtId="221" fontId="13" fillId="0" borderId="19" xfId="0" applyNumberFormat="1" applyFont="1" applyBorder="1">
      <alignment vertical="top"/>
    </xf>
    <xf numFmtId="221" fontId="8" fillId="0" borderId="13" xfId="4" applyNumberFormat="1" applyFont="1" applyBorder="1" applyAlignment="1">
      <alignment horizontal="center"/>
    </xf>
    <xf numFmtId="221" fontId="8" fillId="0" borderId="4" xfId="4" applyNumberFormat="1" applyFont="1" applyBorder="1" applyAlignment="1">
      <alignment horizontal="center"/>
    </xf>
    <xf numFmtId="221" fontId="13" fillId="0" borderId="18" xfId="0" applyNumberFormat="1" applyFont="1" applyBorder="1">
      <alignment vertical="top"/>
    </xf>
    <xf numFmtId="221" fontId="13" fillId="0" borderId="11" xfId="0" applyNumberFormat="1" applyFont="1" applyBorder="1">
      <alignment vertical="top"/>
    </xf>
    <xf numFmtId="221" fontId="13" fillId="0" borderId="0" xfId="0" applyNumberFormat="1" applyFont="1">
      <alignment vertical="top"/>
    </xf>
    <xf numFmtId="221" fontId="0" fillId="0" borderId="13" xfId="0" applyNumberFormat="1" applyBorder="1">
      <alignment vertical="top"/>
    </xf>
    <xf numFmtId="221" fontId="13" fillId="0" borderId="15" xfId="0" applyNumberFormat="1" applyFont="1" applyBorder="1">
      <alignment vertical="top"/>
    </xf>
    <xf numFmtId="221" fontId="8" fillId="0" borderId="19" xfId="4" applyNumberFormat="1" applyFont="1" applyBorder="1" applyAlignment="1">
      <alignment vertical="top"/>
    </xf>
    <xf numFmtId="221" fontId="0" fillId="0" borderId="4" xfId="0" applyNumberFormat="1" applyBorder="1">
      <alignment vertical="top"/>
    </xf>
    <xf numFmtId="37" fontId="9" fillId="40" borderId="48" xfId="0" applyNumberFormat="1" applyFont="1" applyFill="1" applyBorder="1">
      <alignment vertical="top"/>
    </xf>
    <xf numFmtId="0" fontId="0" fillId="13" borderId="0" xfId="0" applyNumberFormat="1" applyFill="1" applyAlignment="1">
      <alignment vertical="top"/>
    </xf>
    <xf numFmtId="176" fontId="13" fillId="40" borderId="21" xfId="0" applyFont="1" applyFill="1" applyBorder="1">
      <alignment vertical="top"/>
    </xf>
    <xf numFmtId="207" fontId="13" fillId="0" borderId="0" xfId="0" applyNumberFormat="1" applyFont="1" applyBorder="1">
      <alignment vertical="top"/>
    </xf>
    <xf numFmtId="202" fontId="13" fillId="40" borderId="0" xfId="1" applyNumberFormat="1" applyFont="1" applyFill="1" applyBorder="1" applyAlignment="1">
      <alignment horizontal="center"/>
    </xf>
    <xf numFmtId="202" fontId="13" fillId="40" borderId="0" xfId="1" applyNumberFormat="1" applyFont="1" applyFill="1" applyBorder="1" applyAlignment="1">
      <alignment horizontal="left"/>
    </xf>
    <xf numFmtId="176" fontId="27" fillId="58" borderId="0" xfId="0" applyFont="1" applyFill="1" applyBorder="1" applyAlignment="1">
      <alignment horizontal="left"/>
    </xf>
    <xf numFmtId="176" fontId="0" fillId="58" borderId="0" xfId="0" applyFill="1" applyAlignment="1"/>
    <xf numFmtId="176" fontId="0" fillId="58" borderId="0" xfId="0" applyFill="1" applyAlignment="1">
      <alignment horizontal="center"/>
    </xf>
    <xf numFmtId="176" fontId="8" fillId="58" borderId="0" xfId="0" applyFont="1" applyFill="1" applyAlignment="1">
      <alignment horizontal="left" indent="1"/>
    </xf>
    <xf numFmtId="176" fontId="8" fillId="58" borderId="0" xfId="0" applyFont="1" applyFill="1" applyAlignment="1">
      <alignment horizontal="left"/>
    </xf>
    <xf numFmtId="37" fontId="28" fillId="40" borderId="0" xfId="0" applyNumberFormat="1" applyFont="1" applyFill="1" applyBorder="1" applyAlignment="1"/>
    <xf numFmtId="37" fontId="13" fillId="40" borderId="0" xfId="0" applyNumberFormat="1" applyFont="1" applyFill="1" applyBorder="1" applyAlignment="1">
      <alignment horizontal="right"/>
    </xf>
    <xf numFmtId="176" fontId="13" fillId="40" borderId="44" xfId="0" applyFont="1" applyFill="1" applyBorder="1">
      <alignment vertical="top"/>
    </xf>
    <xf numFmtId="176" fontId="13" fillId="40" borderId="45" xfId="0" applyFont="1" applyFill="1" applyBorder="1">
      <alignment vertical="top"/>
    </xf>
    <xf numFmtId="176" fontId="13" fillId="40" borderId="45" xfId="0" applyFont="1" applyFill="1" applyBorder="1" applyAlignment="1">
      <alignment horizontal="center"/>
    </xf>
    <xf numFmtId="202" fontId="13" fillId="40" borderId="45" xfId="1" applyNumberFormat="1" applyFont="1" applyFill="1" applyBorder="1" applyAlignment="1">
      <alignment horizontal="center"/>
    </xf>
    <xf numFmtId="202" fontId="13" fillId="40" borderId="45" xfId="1" applyNumberFormat="1" applyFont="1" applyFill="1" applyBorder="1"/>
    <xf numFmtId="202" fontId="13" fillId="0" borderId="0" xfId="1" applyNumberFormat="1" applyFont="1" applyAlignment="1">
      <alignment horizontal="center"/>
    </xf>
    <xf numFmtId="202" fontId="13" fillId="0" borderId="0" xfId="1" applyNumberFormat="1" applyFont="1"/>
    <xf numFmtId="4" fontId="11" fillId="0" borderId="0" xfId="364">
      <alignment horizontal="left" vertical="top"/>
    </xf>
    <xf numFmtId="37" fontId="8" fillId="40" borderId="0" xfId="0" applyNumberFormat="1" applyFont="1" applyFill="1" applyBorder="1" applyAlignment="1">
      <alignment horizontal="left"/>
    </xf>
    <xf numFmtId="37" fontId="8" fillId="40" borderId="0" xfId="0" applyNumberFormat="1" applyFont="1" applyFill="1" applyBorder="1">
      <alignment vertical="top"/>
    </xf>
    <xf numFmtId="176" fontId="82" fillId="0" borderId="0" xfId="0" applyFont="1" applyAlignment="1">
      <alignment horizontal="center" vertical="top"/>
    </xf>
    <xf numFmtId="41" fontId="24" fillId="0" borderId="0" xfId="4" applyFont="1" applyAlignment="1">
      <alignment horizontal="left" vertical="top"/>
    </xf>
    <xf numFmtId="202" fontId="13" fillId="40" borderId="21" xfId="1" applyNumberFormat="1" applyFont="1" applyFill="1" applyBorder="1"/>
    <xf numFmtId="37" fontId="9" fillId="40" borderId="21" xfId="0" applyNumberFormat="1" applyFont="1" applyFill="1" applyBorder="1">
      <alignment vertical="top"/>
    </xf>
    <xf numFmtId="176" fontId="13" fillId="40" borderId="49" xfId="0" applyFont="1" applyFill="1" applyBorder="1">
      <alignment vertical="top"/>
    </xf>
    <xf numFmtId="176" fontId="82" fillId="0" borderId="0" xfId="0" applyFont="1">
      <alignment vertical="top"/>
    </xf>
    <xf numFmtId="0" fontId="130" fillId="0" borderId="0" xfId="225" applyAlignment="1">
      <alignment wrapText="1"/>
    </xf>
    <xf numFmtId="4" fontId="131" fillId="0" borderId="0" xfId="299" applyAlignment="1">
      <alignment horizontal="left" vertical="top"/>
    </xf>
    <xf numFmtId="4" fontId="131" fillId="0" borderId="0" xfId="299" applyAlignment="1">
      <alignment horizontal="center" vertical="top" wrapText="1"/>
    </xf>
    <xf numFmtId="4" fontId="132" fillId="0" borderId="0" xfId="303" applyAlignment="1">
      <alignment horizontal="left" vertical="top"/>
    </xf>
    <xf numFmtId="4" fontId="132" fillId="0" borderId="0" xfId="303" applyAlignment="1">
      <alignment horizontal="center" vertical="top" wrapText="1"/>
    </xf>
    <xf numFmtId="4" fontId="133" fillId="0" borderId="0" xfId="338" applyAlignment="1">
      <alignment horizontal="center" vertical="top" wrapText="1"/>
    </xf>
    <xf numFmtId="4" fontId="11" fillId="0" borderId="0" xfId="343" applyAlignment="1">
      <alignment horizontal="right" vertical="top" wrapText="1"/>
    </xf>
    <xf numFmtId="4" fontId="2" fillId="0" borderId="5" xfId="348" applyBorder="1" applyAlignment="1">
      <alignment horizontal="center" vertical="top" wrapText="1"/>
    </xf>
    <xf numFmtId="4" fontId="2" fillId="0" borderId="0" xfId="348" applyBorder="1" applyAlignment="1">
      <alignment horizontal="center" vertical="top" wrapText="1"/>
    </xf>
    <xf numFmtId="4" fontId="11" fillId="0" borderId="0" xfId="356" applyAlignment="1">
      <alignment horizontal="left" vertical="top" wrapText="1"/>
    </xf>
    <xf numFmtId="4" fontId="134" fillId="0" borderId="0" xfId="365" applyAlignment="1">
      <alignment horizontal="left" vertical="top"/>
    </xf>
    <xf numFmtId="4" fontId="134" fillId="0" borderId="0" xfId="365" applyAlignment="1">
      <alignment horizontal="center" vertical="top" wrapText="1"/>
    </xf>
    <xf numFmtId="4" fontId="134" fillId="0" borderId="0" xfId="372">
      <alignment horizontal="left" vertical="top"/>
    </xf>
    <xf numFmtId="4" fontId="134" fillId="0" borderId="0" xfId="372" applyAlignment="1">
      <alignment horizontal="left" vertical="top" wrapText="1"/>
    </xf>
    <xf numFmtId="4" fontId="134" fillId="0" borderId="0" xfId="382" applyAlignment="1">
      <alignment horizontal="left" vertical="top"/>
    </xf>
    <xf numFmtId="4" fontId="134" fillId="0" borderId="0" xfId="382" applyAlignment="1">
      <alignment horizontal="right" vertical="top" wrapText="1"/>
    </xf>
    <xf numFmtId="176" fontId="13" fillId="14" borderId="14" xfId="0" applyFont="1" applyFill="1" applyBorder="1">
      <alignment vertical="top"/>
    </xf>
    <xf numFmtId="176" fontId="7" fillId="14" borderId="0" xfId="0" applyFont="1" applyFill="1" applyAlignment="1">
      <alignment wrapText="1"/>
    </xf>
    <xf numFmtId="176" fontId="0" fillId="14" borderId="0" xfId="0" applyFont="1" applyFill="1" applyAlignment="1"/>
    <xf numFmtId="176" fontId="7" fillId="14" borderId="16" xfId="0" applyFont="1" applyFill="1" applyBorder="1" applyAlignment="1">
      <alignment vertical="center"/>
    </xf>
    <xf numFmtId="202" fontId="0" fillId="14" borderId="16" xfId="1" applyNumberFormat="1" applyFont="1" applyFill="1" applyBorder="1"/>
    <xf numFmtId="176" fontId="0" fillId="14" borderId="9" xfId="0" applyFill="1" applyBorder="1" applyAlignment="1">
      <alignment horizontal="left" vertical="top" indent="1"/>
    </xf>
    <xf numFmtId="176" fontId="0" fillId="14" borderId="10" xfId="0" applyFill="1" applyBorder="1">
      <alignment vertical="top"/>
    </xf>
    <xf numFmtId="176" fontId="0" fillId="14" borderId="5" xfId="0" applyFill="1" applyBorder="1">
      <alignment vertical="top"/>
    </xf>
    <xf numFmtId="41" fontId="13" fillId="13" borderId="13" xfId="4" applyFont="1" applyFill="1" applyBorder="1" applyAlignment="1">
      <alignment vertical="top"/>
    </xf>
    <xf numFmtId="176" fontId="0" fillId="14" borderId="16" xfId="0" applyFill="1" applyBorder="1">
      <alignment vertical="top"/>
    </xf>
    <xf numFmtId="176" fontId="0" fillId="0" borderId="0" xfId="0" applyAlignment="1">
      <alignment horizontal="center" vertical="top" wrapText="1"/>
    </xf>
    <xf numFmtId="176" fontId="0" fillId="0" borderId="0" xfId="0" applyAlignment="1">
      <alignment vertical="center"/>
    </xf>
    <xf numFmtId="176" fontId="0" fillId="0" borderId="0" xfId="0" applyAlignment="1">
      <alignment horizontal="center" vertical="center"/>
    </xf>
    <xf numFmtId="176" fontId="0" fillId="0" borderId="0" xfId="0" applyAlignment="1">
      <alignment horizontal="left" vertical="top" indent="1"/>
    </xf>
    <xf numFmtId="176" fontId="0" fillId="64" borderId="7" xfId="0" applyFill="1" applyBorder="1">
      <alignment vertical="top"/>
    </xf>
    <xf numFmtId="176" fontId="0" fillId="64" borderId="8" xfId="0" applyFill="1" applyBorder="1">
      <alignment vertical="top"/>
    </xf>
    <xf numFmtId="176" fontId="0" fillId="64" borderId="12" xfId="0" applyFill="1" applyBorder="1">
      <alignment vertical="top"/>
    </xf>
    <xf numFmtId="176" fontId="0" fillId="64" borderId="9" xfId="0" applyFill="1" applyBorder="1">
      <alignment vertical="top"/>
    </xf>
    <xf numFmtId="176" fontId="0" fillId="64" borderId="0" xfId="0" applyFill="1" applyBorder="1">
      <alignment vertical="top"/>
    </xf>
    <xf numFmtId="176" fontId="0" fillId="64" borderId="14" xfId="0" applyFill="1" applyBorder="1">
      <alignment vertical="top"/>
    </xf>
    <xf numFmtId="176" fontId="7" fillId="64" borderId="0" xfId="0" applyFont="1" applyFill="1" applyBorder="1">
      <alignment vertical="top"/>
    </xf>
    <xf numFmtId="176" fontId="7" fillId="64" borderId="14" xfId="0" applyFont="1" applyFill="1" applyBorder="1">
      <alignment vertical="top"/>
    </xf>
    <xf numFmtId="176" fontId="0" fillId="64" borderId="10" xfId="0" applyFill="1" applyBorder="1">
      <alignment vertical="top"/>
    </xf>
    <xf numFmtId="176" fontId="0" fillId="64" borderId="5" xfId="0" applyFill="1" applyBorder="1">
      <alignment vertical="top"/>
    </xf>
    <xf numFmtId="176" fontId="0" fillId="64" borderId="16" xfId="0" applyFill="1" applyBorder="1">
      <alignment vertical="top"/>
    </xf>
    <xf numFmtId="176" fontId="8" fillId="32" borderId="4" xfId="216" applyFont="1" applyFill="1" applyBorder="1" applyAlignment="1">
      <alignment horizontal="center"/>
    </xf>
    <xf numFmtId="206" fontId="8" fillId="32" borderId="4" xfId="216" applyNumberFormat="1" applyFont="1" applyFill="1" applyBorder="1" applyAlignment="1">
      <alignment horizontal="center"/>
    </xf>
    <xf numFmtId="176" fontId="13" fillId="0" borderId="0" xfId="216" applyFont="1" applyAlignment="1"/>
    <xf numFmtId="41" fontId="13" fillId="0" borderId="0" xfId="125" applyFont="1"/>
    <xf numFmtId="3" fontId="13" fillId="0" borderId="0" xfId="216" applyNumberFormat="1" applyFont="1" applyAlignment="1"/>
    <xf numFmtId="41" fontId="13" fillId="13" borderId="0" xfId="4" applyFont="1" applyFill="1"/>
    <xf numFmtId="41" fontId="13" fillId="0" borderId="6" xfId="125" applyFont="1" applyBorder="1"/>
    <xf numFmtId="0" fontId="8" fillId="3" borderId="17" xfId="0" applyNumberFormat="1" applyFont="1" applyFill="1" applyBorder="1" applyAlignment="1">
      <alignment horizontal="center"/>
    </xf>
    <xf numFmtId="0" fontId="8" fillId="3" borderId="19" xfId="0" applyNumberFormat="1" applyFont="1" applyFill="1" applyBorder="1" applyAlignment="1">
      <alignment horizontal="center"/>
    </xf>
    <xf numFmtId="176" fontId="72" fillId="0" borderId="0" xfId="0" applyFont="1" applyAlignment="1"/>
    <xf numFmtId="176" fontId="23" fillId="0" borderId="0" xfId="0" applyFont="1" applyAlignment="1">
      <alignment horizontal="left" indent="1"/>
    </xf>
    <xf numFmtId="41" fontId="0" fillId="33" borderId="0" xfId="0" applyNumberFormat="1" applyFill="1" applyAlignment="1"/>
    <xf numFmtId="176" fontId="8" fillId="3" borderId="19" xfId="0" applyFont="1" applyFill="1" applyBorder="1" applyAlignment="1">
      <alignment horizontal="center"/>
    </xf>
    <xf numFmtId="176" fontId="8" fillId="3" borderId="18" xfId="0" applyFont="1" applyFill="1" applyBorder="1" applyAlignment="1">
      <alignment horizontal="center"/>
    </xf>
    <xf numFmtId="37" fontId="91" fillId="0" borderId="13" xfId="0" applyNumberFormat="1" applyFont="1" applyBorder="1" applyAlignment="1">
      <alignment horizontal="center"/>
    </xf>
    <xf numFmtId="37" fontId="13" fillId="12" borderId="7" xfId="0" applyNumberFormat="1" applyFont="1" applyFill="1" applyBorder="1" applyAlignment="1">
      <alignment horizontal="left" vertical="top"/>
    </xf>
    <xf numFmtId="37" fontId="13" fillId="12" borderId="8" xfId="0" applyNumberFormat="1" applyFont="1" applyFill="1" applyBorder="1" applyAlignment="1">
      <alignment horizontal="left" vertical="top"/>
    </xf>
    <xf numFmtId="37" fontId="13" fillId="12" borderId="9" xfId="0" applyNumberFormat="1" applyFont="1" applyFill="1" applyBorder="1" applyAlignment="1">
      <alignment horizontal="left" vertical="top"/>
    </xf>
    <xf numFmtId="37" fontId="13" fillId="12" borderId="0" xfId="0" applyNumberFormat="1" applyFont="1" applyFill="1" applyBorder="1" applyAlignment="1">
      <alignment horizontal="left" vertical="top"/>
    </xf>
    <xf numFmtId="37" fontId="13" fillId="12" borderId="10" xfId="0" applyNumberFormat="1" applyFont="1" applyFill="1" applyBorder="1" applyAlignment="1">
      <alignment horizontal="left" vertical="top"/>
    </xf>
    <xf numFmtId="37" fontId="13" fillId="12" borderId="5" xfId="0" applyNumberFormat="1" applyFont="1" applyFill="1" applyBorder="1" applyAlignment="1">
      <alignment horizontal="left" vertical="top"/>
    </xf>
    <xf numFmtId="176" fontId="7" fillId="0" borderId="0" xfId="0" applyFont="1" applyAlignment="1">
      <alignment horizontal="right" vertical="top"/>
    </xf>
    <xf numFmtId="176" fontId="7" fillId="47" borderId="17" xfId="0" applyFont="1" applyFill="1" applyBorder="1" applyAlignment="1">
      <alignment horizontal="center" vertical="top"/>
    </xf>
    <xf numFmtId="176" fontId="7" fillId="47" borderId="19" xfId="0" applyFont="1" applyFill="1" applyBorder="1" applyAlignment="1">
      <alignment horizontal="center" vertical="top"/>
    </xf>
    <xf numFmtId="176" fontId="7" fillId="47" borderId="18" xfId="0" applyFont="1" applyFill="1" applyBorder="1" applyAlignment="1">
      <alignment horizontal="center" vertical="top"/>
    </xf>
    <xf numFmtId="0" fontId="7" fillId="0" borderId="7" xfId="0" applyNumberFormat="1" applyFont="1" applyBorder="1" applyAlignment="1">
      <alignment horizontal="center" vertical="top"/>
    </xf>
    <xf numFmtId="0" fontId="7" fillId="0" borderId="8" xfId="0" applyNumberFormat="1" applyFont="1" applyBorder="1" applyAlignment="1">
      <alignment horizontal="center" vertical="top"/>
    </xf>
    <xf numFmtId="0" fontId="7" fillId="0" borderId="12" xfId="0" applyNumberFormat="1" applyFont="1" applyBorder="1" applyAlignment="1">
      <alignment horizontal="center" vertical="top"/>
    </xf>
    <xf numFmtId="176" fontId="7" fillId="0" borderId="5" xfId="0" applyFont="1" applyBorder="1">
      <alignment vertical="top"/>
    </xf>
    <xf numFmtId="37" fontId="8" fillId="0" borderId="5" xfId="0" applyNumberFormat="1" applyFont="1" applyBorder="1">
      <alignment vertical="top"/>
    </xf>
    <xf numFmtId="176" fontId="0" fillId="0" borderId="0" xfId="0" applyAlignment="1">
      <alignment horizontal="left" vertical="top"/>
    </xf>
    <xf numFmtId="37" fontId="13" fillId="12" borderId="12" xfId="0" applyNumberFormat="1" applyFont="1" applyFill="1" applyBorder="1" applyAlignment="1">
      <alignment horizontal="left" vertical="top"/>
    </xf>
    <xf numFmtId="37" fontId="13" fillId="12" borderId="14" xfId="0" applyNumberFormat="1" applyFont="1" applyFill="1" applyBorder="1" applyAlignment="1">
      <alignment horizontal="left" vertical="top"/>
    </xf>
    <xf numFmtId="37" fontId="13" fillId="12" borderId="16" xfId="0" applyNumberFormat="1" applyFont="1" applyFill="1" applyBorder="1" applyAlignment="1">
      <alignment horizontal="left" vertical="top"/>
    </xf>
    <xf numFmtId="176" fontId="91" fillId="0" borderId="0" xfId="0" applyFont="1" applyAlignment="1">
      <alignment horizontal="center" vertical="top"/>
    </xf>
    <xf numFmtId="176" fontId="91" fillId="0" borderId="0" xfId="0" applyFont="1">
      <alignment vertical="top"/>
    </xf>
    <xf numFmtId="176" fontId="91" fillId="0" borderId="5" xfId="0" applyFont="1" applyBorder="1">
      <alignment vertical="top"/>
    </xf>
    <xf numFmtId="37" fontId="78" fillId="0" borderId="0" xfId="0" applyNumberFormat="1" applyFont="1">
      <alignment vertical="top"/>
    </xf>
    <xf numFmtId="198" fontId="7" fillId="0" borderId="0" xfId="0" applyNumberFormat="1" applyFont="1" applyAlignment="1">
      <alignment horizontal="center" vertical="top"/>
    </xf>
    <xf numFmtId="198" fontId="13" fillId="0" borderId="0" xfId="0" applyNumberFormat="1" applyFont="1" applyAlignment="1">
      <alignment horizontal="center" vertical="top"/>
    </xf>
    <xf numFmtId="198" fontId="8" fillId="0" borderId="0" xfId="0" applyNumberFormat="1" applyFont="1" applyAlignment="1">
      <alignment horizontal="center"/>
    </xf>
    <xf numFmtId="176" fontId="8" fillId="0" borderId="0" xfId="0" applyFont="1" applyAlignment="1">
      <alignment horizontal="right"/>
    </xf>
    <xf numFmtId="198" fontId="13" fillId="0" borderId="0" xfId="0" applyNumberFormat="1" applyFont="1" applyAlignment="1">
      <alignment horizontal="left" vertical="top"/>
    </xf>
    <xf numFmtId="37" fontId="13" fillId="0" borderId="0" xfId="0" applyNumberFormat="1" applyFont="1" applyAlignment="1">
      <alignment horizontal="left" vertical="top"/>
    </xf>
    <xf numFmtId="186" fontId="78" fillId="0" borderId="0" xfId="1" applyNumberFormat="1" applyFont="1" applyAlignment="1">
      <alignment vertical="top"/>
    </xf>
    <xf numFmtId="0" fontId="13" fillId="0" borderId="0" xfId="218" applyFont="1" applyFill="1"/>
    <xf numFmtId="198" fontId="13" fillId="0" borderId="0" xfId="0" applyNumberFormat="1" applyFont="1" applyAlignment="1"/>
    <xf numFmtId="41" fontId="13" fillId="0" borderId="0" xfId="84" applyFont="1" applyFill="1" applyBorder="1" applyAlignment="1"/>
    <xf numFmtId="37" fontId="13" fillId="0" borderId="0" xfId="0" applyNumberFormat="1" applyFont="1" applyFill="1" applyBorder="1">
      <alignment vertical="top"/>
    </xf>
    <xf numFmtId="176" fontId="8" fillId="47" borderId="4" xfId="0" applyFont="1" applyFill="1" applyBorder="1" applyAlignment="1">
      <alignment horizontal="center" vertical="center"/>
    </xf>
    <xf numFmtId="37" fontId="13" fillId="0" borderId="4" xfId="0" applyNumberFormat="1" applyFont="1" applyFill="1" applyBorder="1" applyAlignment="1">
      <alignment horizontal="center"/>
    </xf>
    <xf numFmtId="198" fontId="126" fillId="0" borderId="4" xfId="0" applyNumberFormat="1" applyFont="1" applyBorder="1" applyAlignment="1">
      <alignment horizontal="center" vertical="top"/>
    </xf>
    <xf numFmtId="176" fontId="13" fillId="0" borderId="4" xfId="0" applyFont="1" applyBorder="1" applyAlignment="1"/>
    <xf numFmtId="176" fontId="13" fillId="0" borderId="17" xfId="0" applyFont="1" applyBorder="1" applyAlignment="1">
      <alignment horizontal="left"/>
    </xf>
    <xf numFmtId="0" fontId="13" fillId="0" borderId="18" xfId="218" applyFont="1" applyBorder="1"/>
    <xf numFmtId="176" fontId="13" fillId="0" borderId="17" xfId="0" applyFont="1" applyBorder="1" applyAlignment="1"/>
    <xf numFmtId="41" fontId="13" fillId="0" borderId="18" xfId="84" applyFont="1" applyFill="1" applyBorder="1" applyAlignment="1"/>
    <xf numFmtId="0" fontId="13" fillId="0" borderId="19" xfId="218" applyFont="1" applyBorder="1"/>
    <xf numFmtId="176" fontId="13" fillId="0" borderId="18" xfId="0" applyFont="1" applyFill="1" applyBorder="1">
      <alignment vertical="top"/>
    </xf>
    <xf numFmtId="37" fontId="13" fillId="0" borderId="19" xfId="0" applyNumberFormat="1" applyFont="1" applyFill="1" applyBorder="1">
      <alignment vertical="top"/>
    </xf>
    <xf numFmtId="176" fontId="13" fillId="0" borderId="4" xfId="0" applyFont="1" applyFill="1" applyBorder="1">
      <alignment vertical="top"/>
    </xf>
    <xf numFmtId="176" fontId="13" fillId="0" borderId="17" xfId="0" applyFont="1" applyFill="1" applyBorder="1">
      <alignment vertical="top"/>
    </xf>
    <xf numFmtId="37" fontId="13" fillId="0" borderId="18" xfId="0" applyNumberFormat="1" applyFont="1" applyFill="1" applyBorder="1">
      <alignment vertical="top"/>
    </xf>
    <xf numFmtId="198" fontId="13" fillId="0" borderId="4" xfId="0" applyNumberFormat="1" applyFont="1" applyFill="1" applyBorder="1" applyAlignment="1">
      <alignment horizontal="center" vertical="top"/>
    </xf>
    <xf numFmtId="176" fontId="8" fillId="0" borderId="17" xfId="0" applyFont="1" applyBorder="1" applyAlignment="1"/>
    <xf numFmtId="37" fontId="8" fillId="0" borderId="18" xfId="0" applyNumberFormat="1" applyFont="1" applyFill="1" applyBorder="1">
      <alignment vertical="top"/>
    </xf>
    <xf numFmtId="176" fontId="8" fillId="0" borderId="17" xfId="0" applyFont="1" applyFill="1" applyBorder="1">
      <alignment vertical="top"/>
    </xf>
    <xf numFmtId="37" fontId="8" fillId="0" borderId="19" xfId="0" applyNumberFormat="1" applyFont="1" applyFill="1" applyBorder="1">
      <alignment vertical="top"/>
    </xf>
    <xf numFmtId="198" fontId="13" fillId="0" borderId="0" xfId="0" applyNumberFormat="1" applyFont="1" applyFill="1" applyBorder="1" applyAlignment="1">
      <alignment horizontal="center" vertical="top"/>
    </xf>
    <xf numFmtId="176" fontId="81" fillId="16" borderId="0" xfId="0" applyFont="1" applyFill="1" applyBorder="1">
      <alignment vertical="top"/>
    </xf>
    <xf numFmtId="0" fontId="13" fillId="0" borderId="0" xfId="218" applyFont="1" applyFill="1" applyBorder="1"/>
    <xf numFmtId="0" fontId="9" fillId="0" borderId="0" xfId="218" applyFont="1" applyFill="1" applyBorder="1"/>
    <xf numFmtId="0" fontId="71" fillId="0" borderId="0" xfId="218" applyFont="1" applyFill="1" applyAlignment="1">
      <alignment horizontal="center"/>
    </xf>
    <xf numFmtId="0" fontId="71" fillId="0" borderId="0" xfId="218" applyFont="1" applyFill="1" applyBorder="1" applyAlignment="1">
      <alignment horizontal="center"/>
    </xf>
    <xf numFmtId="0" fontId="78" fillId="0" borderId="0" xfId="218" applyFont="1" applyFill="1" applyBorder="1" applyAlignment="1">
      <alignment horizontal="center"/>
    </xf>
    <xf numFmtId="198" fontId="13" fillId="0" borderId="0" xfId="218" applyNumberFormat="1" applyFont="1" applyFill="1" applyBorder="1"/>
    <xf numFmtId="198" fontId="13" fillId="0" borderId="0" xfId="218" applyNumberFormat="1" applyFont="1" applyFill="1"/>
    <xf numFmtId="0" fontId="13" fillId="0" borderId="5" xfId="218" applyFont="1" applyFill="1" applyBorder="1"/>
    <xf numFmtId="41" fontId="13" fillId="0" borderId="0" xfId="218" applyNumberFormat="1" applyFont="1" applyFill="1" applyBorder="1"/>
    <xf numFmtId="37" fontId="13" fillId="0" borderId="0" xfId="218" applyNumberFormat="1" applyFont="1" applyFill="1" applyBorder="1"/>
    <xf numFmtId="9" fontId="78" fillId="0" borderId="0" xfId="3" applyFont="1"/>
    <xf numFmtId="0" fontId="81" fillId="0" borderId="0" xfId="218" applyFont="1" applyFill="1" applyBorder="1" applyAlignment="1">
      <alignment horizontal="center"/>
    </xf>
    <xf numFmtId="41" fontId="8" fillId="47" borderId="4" xfId="84" applyFont="1" applyFill="1" applyBorder="1" applyAlignment="1"/>
    <xf numFmtId="0" fontId="13" fillId="0" borderId="4" xfId="218" applyFont="1" applyFill="1" applyBorder="1"/>
    <xf numFmtId="0" fontId="13" fillId="0" borderId="17" xfId="218" applyFont="1" applyBorder="1"/>
    <xf numFmtId="37" fontId="126" fillId="16" borderId="4" xfId="84" applyNumberFormat="1" applyFont="1" applyFill="1" applyBorder="1" applyAlignment="1">
      <alignment horizontal="right" vertical="top"/>
    </xf>
    <xf numFmtId="176" fontId="126" fillId="0" borderId="0" xfId="0" applyFont="1" applyAlignment="1">
      <alignment horizontal="left" vertical="top" indent="3"/>
    </xf>
    <xf numFmtId="0" fontId="13" fillId="0" borderId="17" xfId="218" applyFont="1" applyFill="1" applyBorder="1"/>
    <xf numFmtId="0" fontId="13" fillId="0" borderId="19" xfId="218" applyFont="1" applyFill="1" applyBorder="1"/>
    <xf numFmtId="37" fontId="126" fillId="12" borderId="4" xfId="84" applyNumberFormat="1" applyFont="1" applyFill="1" applyBorder="1" applyAlignment="1">
      <alignment horizontal="right" vertical="top"/>
    </xf>
    <xf numFmtId="37" fontId="126" fillId="0" borderId="4" xfId="84" applyNumberFormat="1" applyFont="1" applyFill="1" applyBorder="1" applyAlignment="1">
      <alignment horizontal="right" vertical="top"/>
    </xf>
    <xf numFmtId="176" fontId="126" fillId="30" borderId="0" xfId="0" applyFont="1" applyFill="1" applyAlignment="1">
      <alignment horizontal="left" vertical="top" indent="3"/>
    </xf>
    <xf numFmtId="176" fontId="13" fillId="0" borderId="0" xfId="0" applyFont="1" applyAlignment="1">
      <alignment horizontal="left" indent="3"/>
    </xf>
    <xf numFmtId="176" fontId="126" fillId="30" borderId="0" xfId="0" applyFont="1" applyFill="1" applyAlignment="1">
      <alignment horizontal="left" vertical="top" wrapText="1" indent="3"/>
    </xf>
    <xf numFmtId="37" fontId="13" fillId="0" borderId="4" xfId="218" applyNumberFormat="1" applyFont="1" applyBorder="1"/>
    <xf numFmtId="0" fontId="13" fillId="0" borderId="0" xfId="218" applyFont="1" applyAlignment="1">
      <alignment horizontal="left" indent="3"/>
    </xf>
    <xf numFmtId="0" fontId="8" fillId="0" borderId="19" xfId="218" applyFont="1" applyFill="1" applyBorder="1"/>
    <xf numFmtId="0" fontId="8" fillId="0" borderId="19" xfId="218" applyFont="1" applyBorder="1"/>
    <xf numFmtId="0" fontId="8" fillId="0" borderId="18" xfId="218" applyFont="1" applyBorder="1"/>
    <xf numFmtId="37" fontId="8" fillId="0" borderId="4" xfId="218" applyNumberFormat="1" applyFont="1" applyBorder="1"/>
    <xf numFmtId="204" fontId="13" fillId="0" borderId="0" xfId="218" applyNumberFormat="1" applyFont="1" applyFill="1" applyBorder="1"/>
    <xf numFmtId="176" fontId="135" fillId="28" borderId="7" xfId="0" applyFont="1" applyFill="1" applyBorder="1">
      <alignment vertical="top"/>
    </xf>
    <xf numFmtId="176" fontId="7" fillId="28" borderId="10" xfId="0" applyFont="1" applyFill="1" applyBorder="1">
      <alignment vertical="top"/>
    </xf>
    <xf numFmtId="37" fontId="8" fillId="8" borderId="11" xfId="0" applyNumberFormat="1" applyFont="1" applyFill="1" applyBorder="1" applyAlignment="1"/>
    <xf numFmtId="37" fontId="8" fillId="8" borderId="11" xfId="0" applyNumberFormat="1" applyFont="1" applyFill="1" applyBorder="1" applyAlignment="1">
      <alignment horizontal="center"/>
    </xf>
    <xf numFmtId="41" fontId="8" fillId="8" borderId="11" xfId="0" applyNumberFormat="1" applyFont="1" applyFill="1" applyBorder="1" applyAlignment="1">
      <alignment horizontal="center"/>
    </xf>
    <xf numFmtId="37" fontId="8" fillId="8" borderId="4" xfId="0" applyNumberFormat="1" applyFont="1" applyFill="1" applyBorder="1" applyAlignment="1">
      <alignment horizontal="center" vertical="center"/>
    </xf>
    <xf numFmtId="176" fontId="13" fillId="2" borderId="13" xfId="0" applyFont="1" applyFill="1" applyBorder="1">
      <alignment vertical="top"/>
    </xf>
    <xf numFmtId="37" fontId="13" fillId="4" borderId="7" xfId="0" applyNumberFormat="1" applyFont="1" applyFill="1" applyBorder="1">
      <alignment vertical="top"/>
    </xf>
    <xf numFmtId="37" fontId="13" fillId="4" borderId="8" xfId="0" applyNumberFormat="1" applyFont="1" applyFill="1" applyBorder="1">
      <alignment vertical="top"/>
    </xf>
    <xf numFmtId="37" fontId="72" fillId="4" borderId="9" xfId="0" applyNumberFormat="1" applyFont="1" applyFill="1" applyBorder="1">
      <alignment vertical="top"/>
    </xf>
    <xf numFmtId="0" fontId="8" fillId="4" borderId="0" xfId="0" applyNumberFormat="1" applyFont="1" applyFill="1" applyBorder="1" applyAlignment="1">
      <alignment horizontal="center" vertical="top"/>
    </xf>
    <xf numFmtId="186" fontId="13" fillId="4" borderId="0" xfId="1" applyNumberFormat="1" applyFont="1" applyFill="1" applyBorder="1" applyAlignment="1">
      <alignment vertical="top"/>
    </xf>
    <xf numFmtId="37" fontId="30" fillId="4" borderId="0" xfId="0" applyNumberFormat="1" applyFont="1" applyFill="1" applyBorder="1">
      <alignment vertical="top"/>
    </xf>
    <xf numFmtId="198" fontId="13" fillId="4" borderId="9" xfId="0" applyNumberFormat="1" applyFont="1" applyFill="1" applyBorder="1" applyAlignment="1">
      <alignment horizontal="right" vertical="top"/>
    </xf>
    <xf numFmtId="37" fontId="13" fillId="4" borderId="5" xfId="0" applyNumberFormat="1" applyFont="1" applyFill="1" applyBorder="1">
      <alignment vertical="top"/>
    </xf>
    <xf numFmtId="198" fontId="8" fillId="4" borderId="9" xfId="0" applyNumberFormat="1" applyFont="1" applyFill="1" applyBorder="1" applyAlignment="1">
      <alignment horizontal="left" vertical="top"/>
    </xf>
    <xf numFmtId="37" fontId="8" fillId="4" borderId="0" xfId="0" applyNumberFormat="1" applyFont="1" applyFill="1" applyBorder="1">
      <alignment vertical="top"/>
    </xf>
    <xf numFmtId="198" fontId="13" fillId="4" borderId="9" xfId="0" applyNumberFormat="1" applyFont="1" applyFill="1" applyBorder="1" applyAlignment="1">
      <alignment horizontal="left" vertical="top"/>
    </xf>
    <xf numFmtId="37" fontId="8" fillId="8" borderId="7" xfId="0" applyNumberFormat="1" applyFont="1" applyFill="1" applyBorder="1" applyAlignment="1">
      <alignment horizontal="center"/>
    </xf>
    <xf numFmtId="204" fontId="8" fillId="8" borderId="13" xfId="0" applyNumberFormat="1" applyFont="1" applyFill="1" applyBorder="1" applyAlignment="1">
      <alignment horizontal="center"/>
    </xf>
    <xf numFmtId="37" fontId="13" fillId="0" borderId="65" xfId="0" applyNumberFormat="1" applyFont="1" applyBorder="1">
      <alignment vertical="top"/>
    </xf>
    <xf numFmtId="37" fontId="13" fillId="0" borderId="11" xfId="0" applyNumberFormat="1" applyFont="1" applyBorder="1">
      <alignment vertical="top"/>
    </xf>
    <xf numFmtId="37" fontId="8" fillId="0" borderId="11" xfId="0" applyNumberFormat="1" applyFont="1" applyBorder="1" applyAlignment="1">
      <alignment horizontal="center"/>
    </xf>
    <xf numFmtId="186" fontId="8" fillId="0" borderId="0" xfId="1" applyNumberFormat="1" applyFont="1" applyBorder="1" applyAlignment="1">
      <alignment horizontal="center"/>
    </xf>
    <xf numFmtId="186" fontId="8" fillId="4" borderId="0" xfId="1" applyNumberFormat="1" applyFont="1" applyFill="1" applyBorder="1" applyAlignment="1">
      <alignment vertical="top"/>
    </xf>
    <xf numFmtId="186" fontId="13" fillId="4" borderId="5" xfId="1" applyNumberFormat="1" applyFont="1" applyFill="1" applyBorder="1" applyAlignment="1">
      <alignment vertical="top"/>
    </xf>
    <xf numFmtId="37" fontId="8" fillId="4" borderId="5" xfId="0" applyNumberFormat="1" applyFont="1" applyFill="1" applyBorder="1">
      <alignment vertical="top"/>
    </xf>
    <xf numFmtId="176" fontId="0" fillId="28" borderId="12" xfId="0" applyFill="1" applyBorder="1">
      <alignment vertical="top"/>
    </xf>
    <xf numFmtId="176" fontId="0" fillId="28" borderId="14" xfId="0" applyFill="1" applyBorder="1">
      <alignment vertical="top"/>
    </xf>
    <xf numFmtId="198" fontId="7" fillId="28" borderId="5" xfId="0" applyNumberFormat="1" applyFont="1" applyFill="1" applyBorder="1" applyAlignment="1">
      <alignment horizontal="center" vertical="top"/>
    </xf>
    <xf numFmtId="176" fontId="0" fillId="28" borderId="16" xfId="0" applyFill="1" applyBorder="1">
      <alignment vertical="top"/>
    </xf>
    <xf numFmtId="37" fontId="8" fillId="8" borderId="4" xfId="0" applyNumberFormat="1" applyFont="1" applyFill="1" applyBorder="1" applyAlignment="1">
      <alignment horizontal="center"/>
    </xf>
    <xf numFmtId="9" fontId="0" fillId="0" borderId="11" xfId="3" applyFont="1" applyBorder="1" applyAlignment="1">
      <alignment vertical="top"/>
    </xf>
    <xf numFmtId="41" fontId="13" fillId="13" borderId="0" xfId="4" applyFont="1" applyFill="1" applyBorder="1"/>
    <xf numFmtId="41" fontId="13" fillId="3" borderId="0" xfId="4" applyFont="1" applyFill="1" applyBorder="1"/>
    <xf numFmtId="41" fontId="13" fillId="0" borderId="10" xfId="4" applyFont="1" applyBorder="1" applyAlignment="1">
      <alignment vertical="top"/>
    </xf>
    <xf numFmtId="41" fontId="8" fillId="0" borderId="18" xfId="4" applyFont="1" applyBorder="1" applyAlignment="1">
      <alignment vertical="top"/>
    </xf>
    <xf numFmtId="9" fontId="0" fillId="0" borderId="15" xfId="3" applyFont="1" applyBorder="1" applyAlignment="1">
      <alignment vertical="top"/>
    </xf>
    <xf numFmtId="37" fontId="13" fillId="4" borderId="12" xfId="0" applyNumberFormat="1" applyFont="1" applyFill="1" applyBorder="1">
      <alignment vertical="top"/>
    </xf>
    <xf numFmtId="37" fontId="13" fillId="4" borderId="14" xfId="0" applyNumberFormat="1" applyFont="1" applyFill="1" applyBorder="1">
      <alignment vertical="top"/>
    </xf>
    <xf numFmtId="37" fontId="13" fillId="4" borderId="0" xfId="0" applyNumberFormat="1" applyFont="1" applyFill="1" applyBorder="1" applyAlignment="1">
      <alignment horizontal="left" vertical="top"/>
    </xf>
    <xf numFmtId="37" fontId="8" fillId="4" borderId="14" xfId="0" applyNumberFormat="1" applyFont="1" applyFill="1" applyBorder="1">
      <alignment vertical="top"/>
    </xf>
    <xf numFmtId="37" fontId="13" fillId="4" borderId="9" xfId="0" applyNumberFormat="1" applyFont="1" applyFill="1" applyBorder="1" applyAlignment="1">
      <alignment horizontal="left" vertical="top" indent="2"/>
    </xf>
    <xf numFmtId="176" fontId="0" fillId="5" borderId="0" xfId="0" applyFill="1" applyAlignment="1"/>
    <xf numFmtId="176" fontId="0" fillId="5" borderId="0" xfId="0" applyFill="1" applyAlignment="1">
      <alignment horizontal="center"/>
    </xf>
    <xf numFmtId="37" fontId="13" fillId="4" borderId="10" xfId="0" applyNumberFormat="1" applyFont="1" applyFill="1" applyBorder="1">
      <alignment vertical="top"/>
    </xf>
    <xf numFmtId="37" fontId="72" fillId="4" borderId="0" xfId="0" applyNumberFormat="1" applyFont="1" applyFill="1" applyBorder="1" applyAlignment="1">
      <alignment horizontal="center" vertical="top"/>
    </xf>
    <xf numFmtId="37" fontId="72" fillId="4" borderId="0" xfId="0" applyNumberFormat="1" applyFont="1" applyFill="1" applyBorder="1">
      <alignment vertical="top"/>
    </xf>
    <xf numFmtId="37" fontId="13" fillId="4" borderId="0" xfId="0" applyNumberFormat="1" applyFont="1" applyFill="1" applyBorder="1" applyAlignment="1">
      <alignment horizontal="center" vertical="top"/>
    </xf>
    <xf numFmtId="41" fontId="13" fillId="4" borderId="0" xfId="4" applyFont="1" applyFill="1" applyBorder="1" applyAlignment="1">
      <alignment horizontal="center" vertical="top"/>
    </xf>
    <xf numFmtId="176" fontId="8" fillId="5" borderId="0" xfId="0" applyFont="1" applyFill="1" applyAlignment="1">
      <alignment horizontal="left"/>
    </xf>
    <xf numFmtId="205" fontId="8" fillId="5" borderId="21" xfId="0" applyNumberFormat="1" applyFont="1" applyFill="1" applyBorder="1" applyAlignment="1">
      <alignment horizontal="center"/>
    </xf>
    <xf numFmtId="205" fontId="8" fillId="5" borderId="1" xfId="0" applyNumberFormat="1" applyFont="1" applyFill="1" applyBorder="1" applyAlignment="1">
      <alignment horizontal="center"/>
    </xf>
    <xf numFmtId="176" fontId="0" fillId="5" borderId="21" xfId="0" applyFill="1" applyBorder="1" applyAlignment="1">
      <alignment horizontal="center"/>
    </xf>
    <xf numFmtId="176" fontId="0" fillId="5" borderId="1" xfId="0" applyFill="1" applyBorder="1" applyAlignment="1">
      <alignment horizontal="center"/>
    </xf>
    <xf numFmtId="176" fontId="0" fillId="4" borderId="0" xfId="0" applyFill="1" applyBorder="1" applyAlignment="1"/>
    <xf numFmtId="37" fontId="13" fillId="4" borderId="16" xfId="0" applyNumberFormat="1" applyFont="1" applyFill="1" applyBorder="1">
      <alignment vertical="top"/>
    </xf>
    <xf numFmtId="0" fontId="0" fillId="0" borderId="0" xfId="218" applyFont="1"/>
    <xf numFmtId="0" fontId="0" fillId="0" borderId="0" xfId="218" applyFont="1" applyFill="1"/>
    <xf numFmtId="0" fontId="13" fillId="0" borderId="0" xfId="218" applyFill="1"/>
    <xf numFmtId="41" fontId="13" fillId="0" borderId="0" xfId="218" applyNumberFormat="1"/>
    <xf numFmtId="176" fontId="0" fillId="0" borderId="0" xfId="0" applyAlignment="1">
      <alignment horizontal="left"/>
    </xf>
    <xf numFmtId="0" fontId="84" fillId="8" borderId="7" xfId="218" applyFont="1" applyFill="1" applyBorder="1" applyAlignment="1">
      <alignment horizontal="center"/>
    </xf>
    <xf numFmtId="0" fontId="84" fillId="8" borderId="8" xfId="218" applyFont="1" applyFill="1" applyBorder="1" applyAlignment="1">
      <alignment horizontal="center"/>
    </xf>
    <xf numFmtId="0" fontId="126" fillId="8" borderId="10" xfId="218" applyFont="1" applyFill="1" applyBorder="1"/>
    <xf numFmtId="0" fontId="126" fillId="8" borderId="5" xfId="218" applyFont="1" applyFill="1" applyBorder="1"/>
    <xf numFmtId="0" fontId="84" fillId="8" borderId="5" xfId="218" applyFont="1" applyFill="1" applyBorder="1" applyAlignment="1">
      <alignment horizontal="center"/>
    </xf>
    <xf numFmtId="0" fontId="126" fillId="8" borderId="5" xfId="218" applyFont="1" applyFill="1" applyBorder="1" applyAlignment="1">
      <alignment horizontal="center"/>
    </xf>
    <xf numFmtId="0" fontId="13" fillId="0" borderId="9" xfId="218" applyBorder="1"/>
    <xf numFmtId="0" fontId="13" fillId="0" borderId="8" xfId="218" applyBorder="1"/>
    <xf numFmtId="0" fontId="0" fillId="0" borderId="9" xfId="218" applyFont="1" applyBorder="1"/>
    <xf numFmtId="0" fontId="0" fillId="0" borderId="0" xfId="218" applyFont="1" applyBorder="1"/>
    <xf numFmtId="0" fontId="6" fillId="0" borderId="9" xfId="218" applyFont="1" applyBorder="1"/>
    <xf numFmtId="0" fontId="7" fillId="0" borderId="0" xfId="218" applyFont="1" applyBorder="1"/>
    <xf numFmtId="0" fontId="1" fillId="0" borderId="0" xfId="262" applyFont="1" applyFill="1" applyAlignment="1">
      <alignment horizontal="left" vertical="top"/>
    </xf>
    <xf numFmtId="176" fontId="0" fillId="0" borderId="0" xfId="0" applyFont="1" applyAlignment="1"/>
    <xf numFmtId="182" fontId="0" fillId="0" borderId="0" xfId="88" applyFont="1" applyFill="1" applyAlignment="1">
      <alignment horizontal="left" vertical="top"/>
    </xf>
    <xf numFmtId="0" fontId="1" fillId="0" borderId="0" xfId="262" applyFont="1" applyFill="1"/>
    <xf numFmtId="41" fontId="1" fillId="0" borderId="0" xfId="4" applyFont="1" applyFill="1"/>
    <xf numFmtId="41" fontId="1" fillId="0" borderId="0" xfId="4" applyFont="1" applyFill="1" applyAlignment="1">
      <alignment horizontal="left" vertical="top"/>
    </xf>
    <xf numFmtId="0" fontId="1" fillId="0" borderId="9" xfId="262" applyFont="1" applyFill="1" applyBorder="1" applyAlignment="1">
      <alignment horizontal="center"/>
    </xf>
    <xf numFmtId="0" fontId="0" fillId="0" borderId="5" xfId="218" applyFont="1" applyBorder="1"/>
    <xf numFmtId="0" fontId="7" fillId="0" borderId="17" xfId="218" applyFont="1" applyBorder="1"/>
    <xf numFmtId="0" fontId="7" fillId="0" borderId="19" xfId="218" applyFont="1" applyBorder="1"/>
    <xf numFmtId="0" fontId="0" fillId="0" borderId="19" xfId="218" applyFont="1" applyBorder="1"/>
    <xf numFmtId="41" fontId="0" fillId="0" borderId="19" xfId="4" applyFont="1" applyBorder="1"/>
    <xf numFmtId="0" fontId="0" fillId="0" borderId="0" xfId="218" applyFont="1" applyFill="1" applyBorder="1"/>
    <xf numFmtId="0" fontId="13" fillId="0" borderId="0" xfId="218" applyFill="1" applyBorder="1"/>
    <xf numFmtId="0" fontId="13" fillId="32" borderId="32" xfId="218" applyFill="1" applyBorder="1"/>
    <xf numFmtId="0" fontId="0" fillId="32" borderId="33" xfId="218" applyFont="1" applyFill="1" applyBorder="1"/>
    <xf numFmtId="0" fontId="13" fillId="32" borderId="33" xfId="218" applyFill="1" applyBorder="1"/>
    <xf numFmtId="0" fontId="13" fillId="32" borderId="33" xfId="218" applyFont="1" applyFill="1" applyBorder="1"/>
    <xf numFmtId="0" fontId="0" fillId="32" borderId="20" xfId="218" applyFont="1" applyFill="1" applyBorder="1"/>
    <xf numFmtId="0" fontId="0" fillId="32" borderId="0" xfId="218" applyFont="1" applyFill="1" applyBorder="1"/>
    <xf numFmtId="0" fontId="13" fillId="32" borderId="0" xfId="218" applyFill="1" applyBorder="1"/>
    <xf numFmtId="0" fontId="13" fillId="32" borderId="20" xfId="218" applyFill="1" applyBorder="1"/>
    <xf numFmtId="0" fontId="9" fillId="32" borderId="27" xfId="218" applyFont="1" applyFill="1" applyBorder="1"/>
    <xf numFmtId="0" fontId="13" fillId="32" borderId="44" xfId="218" applyFill="1" applyBorder="1"/>
    <xf numFmtId="0" fontId="13" fillId="32" borderId="45" xfId="218" applyFill="1" applyBorder="1"/>
    <xf numFmtId="41" fontId="84" fillId="8" borderId="8" xfId="218" applyNumberFormat="1" applyFont="1" applyFill="1" applyBorder="1" applyAlignment="1">
      <alignment horizontal="center"/>
    </xf>
    <xf numFmtId="41" fontId="126" fillId="8" borderId="5" xfId="218" applyNumberFormat="1" applyFont="1" applyFill="1" applyBorder="1"/>
    <xf numFmtId="204" fontId="13" fillId="0" borderId="0" xfId="218" applyNumberFormat="1"/>
    <xf numFmtId="0" fontId="13" fillId="0" borderId="0" xfId="218" applyAlignment="1">
      <alignment horizontal="center" wrapText="1"/>
    </xf>
    <xf numFmtId="204" fontId="0" fillId="0" borderId="0" xfId="218" applyNumberFormat="1" applyFont="1"/>
    <xf numFmtId="41" fontId="0" fillId="0" borderId="0" xfId="218" applyNumberFormat="1" applyFont="1"/>
    <xf numFmtId="37" fontId="101" fillId="0" borderId="0" xfId="140" applyFont="1" applyAlignment="1">
      <alignment horizontal="right"/>
    </xf>
    <xf numFmtId="49" fontId="0" fillId="0" borderId="0" xfId="218" applyNumberFormat="1" applyFont="1"/>
    <xf numFmtId="37" fontId="0" fillId="0" borderId="0" xfId="140" applyFont="1"/>
    <xf numFmtId="37" fontId="7" fillId="0" borderId="0" xfId="140" applyFont="1"/>
    <xf numFmtId="222" fontId="1" fillId="0" borderId="0" xfId="262" applyNumberFormat="1" applyFont="1" applyFill="1"/>
    <xf numFmtId="0" fontId="0" fillId="0" borderId="0" xfId="218" applyNumberFormat="1" applyFont="1" applyAlignment="1">
      <alignment horizontal="center"/>
    </xf>
    <xf numFmtId="37" fontId="1" fillId="0" borderId="0" xfId="140" applyFont="1" applyFill="1"/>
    <xf numFmtId="41" fontId="101" fillId="0" borderId="0" xfId="218" applyNumberFormat="1" applyFont="1" applyAlignment="1">
      <alignment horizontal="right"/>
    </xf>
    <xf numFmtId="49" fontId="0" fillId="0" borderId="0" xfId="218" applyNumberFormat="1" applyFont="1" applyAlignment="1">
      <alignment horizontal="center"/>
    </xf>
    <xf numFmtId="211" fontId="7" fillId="0" borderId="19" xfId="218" applyNumberFormat="1" applyFont="1" applyBorder="1"/>
    <xf numFmtId="49" fontId="7" fillId="0" borderId="19" xfId="218" applyNumberFormat="1" applyFont="1" applyBorder="1" applyAlignment="1">
      <alignment horizontal="center"/>
    </xf>
    <xf numFmtId="41" fontId="7" fillId="0" borderId="19" xfId="218" applyNumberFormat="1" applyFont="1" applyBorder="1"/>
    <xf numFmtId="211" fontId="0" fillId="0" borderId="0" xfId="218" applyNumberFormat="1" applyFont="1"/>
    <xf numFmtId="211" fontId="0" fillId="0" borderId="0" xfId="218" applyNumberFormat="1" applyFont="1" applyFill="1" applyBorder="1"/>
    <xf numFmtId="204" fontId="0" fillId="0" borderId="0" xfId="218" applyNumberFormat="1" applyFont="1" applyFill="1" applyBorder="1"/>
    <xf numFmtId="41" fontId="0" fillId="0" borderId="0" xfId="218" applyNumberFormat="1" applyFont="1" applyFill="1"/>
    <xf numFmtId="211" fontId="13" fillId="0" borderId="0" xfId="218" applyNumberFormat="1" applyFill="1" applyBorder="1"/>
    <xf numFmtId="41" fontId="9" fillId="0" borderId="0" xfId="218" applyNumberFormat="1" applyFont="1" applyFill="1"/>
    <xf numFmtId="41" fontId="13" fillId="0" borderId="0" xfId="218" applyNumberFormat="1" applyFill="1" applyBorder="1"/>
    <xf numFmtId="41" fontId="13" fillId="0" borderId="0" xfId="218" applyNumberFormat="1" applyFill="1"/>
    <xf numFmtId="41" fontId="23" fillId="0" borderId="0" xfId="218" applyNumberFormat="1" applyFont="1" applyFill="1"/>
    <xf numFmtId="211" fontId="13" fillId="32" borderId="33" xfId="218" applyNumberFormat="1" applyFill="1" applyBorder="1"/>
    <xf numFmtId="204" fontId="13" fillId="32" borderId="33" xfId="218" applyNumberFormat="1" applyFill="1" applyBorder="1"/>
    <xf numFmtId="41" fontId="13" fillId="32" borderId="33" xfId="218" applyNumberFormat="1" applyFill="1" applyBorder="1"/>
    <xf numFmtId="41" fontId="13" fillId="32" borderId="48" xfId="218" applyNumberFormat="1" applyFill="1" applyBorder="1"/>
    <xf numFmtId="211" fontId="13" fillId="32" borderId="0" xfId="218" applyNumberFormat="1" applyFill="1" applyBorder="1"/>
    <xf numFmtId="204" fontId="13" fillId="32" borderId="0" xfId="218" applyNumberFormat="1" applyFill="1" applyBorder="1"/>
    <xf numFmtId="41" fontId="13" fillId="32" borderId="0" xfId="218" applyNumberFormat="1" applyFill="1" applyBorder="1"/>
    <xf numFmtId="41" fontId="13" fillId="32" borderId="21" xfId="218" applyNumberFormat="1" applyFill="1" applyBorder="1"/>
    <xf numFmtId="0" fontId="13" fillId="32" borderId="21" xfId="218" applyFill="1" applyBorder="1"/>
    <xf numFmtId="204" fontId="13" fillId="32" borderId="45" xfId="218" applyNumberFormat="1" applyFill="1" applyBorder="1"/>
    <xf numFmtId="41" fontId="13" fillId="32" borderId="45" xfId="218" applyNumberFormat="1" applyFill="1" applyBorder="1"/>
    <xf numFmtId="0" fontId="13" fillId="32" borderId="49" xfId="218" applyFill="1" applyBorder="1"/>
    <xf numFmtId="0" fontId="84" fillId="29" borderId="8" xfId="218" applyFont="1" applyFill="1" applyBorder="1" applyAlignment="1">
      <alignment horizontal="center"/>
    </xf>
    <xf numFmtId="0" fontId="84" fillId="29" borderId="5" xfId="218" applyFont="1" applyFill="1" applyBorder="1" applyAlignment="1">
      <alignment horizontal="center"/>
    </xf>
    <xf numFmtId="0" fontId="59" fillId="0" borderId="0" xfId="218" applyFont="1"/>
    <xf numFmtId="41" fontId="0" fillId="0" borderId="0" xfId="87" applyFont="1"/>
    <xf numFmtId="196" fontId="0" fillId="0" borderId="0" xfId="218" applyNumberFormat="1" applyFont="1"/>
    <xf numFmtId="0" fontId="0" fillId="0" borderId="0" xfId="218" applyNumberFormat="1" applyFont="1"/>
    <xf numFmtId="41" fontId="7" fillId="2" borderId="19" xfId="218" applyNumberFormat="1" applyFont="1" applyFill="1" applyBorder="1"/>
    <xf numFmtId="37" fontId="0" fillId="0" borderId="0" xfId="218" applyNumberFormat="1" applyFont="1" applyFill="1"/>
    <xf numFmtId="0" fontId="6" fillId="0" borderId="0" xfId="218" applyFont="1" applyFill="1" applyAlignment="1">
      <alignment horizontal="center"/>
    </xf>
    <xf numFmtId="41" fontId="0" fillId="0" borderId="0" xfId="218" applyNumberFormat="1" applyFont="1" applyAlignment="1">
      <alignment horizontal="right"/>
    </xf>
    <xf numFmtId="41" fontId="0" fillId="2" borderId="0" xfId="218" applyNumberFormat="1" applyFont="1" applyFill="1"/>
    <xf numFmtId="0" fontId="30" fillId="0" borderId="0" xfId="218" applyFont="1" applyFill="1" applyAlignment="1">
      <alignment horizontal="center"/>
    </xf>
    <xf numFmtId="37" fontId="13" fillId="19" borderId="8" xfId="0" applyNumberFormat="1" applyFont="1" applyFill="1" applyBorder="1">
      <alignment vertical="top"/>
    </xf>
    <xf numFmtId="37" fontId="13" fillId="19" borderId="5" xfId="0" applyNumberFormat="1" applyFont="1" applyFill="1" applyBorder="1">
      <alignment vertical="top"/>
    </xf>
    <xf numFmtId="37" fontId="13" fillId="19" borderId="0" xfId="0" applyNumberFormat="1" applyFont="1" applyFill="1" applyBorder="1">
      <alignment vertical="top"/>
    </xf>
    <xf numFmtId="37" fontId="13" fillId="0" borderId="96" xfId="0" applyNumberFormat="1" applyFont="1" applyBorder="1">
      <alignment vertical="top"/>
    </xf>
    <xf numFmtId="37" fontId="13" fillId="8" borderId="7" xfId="0" applyNumberFormat="1" applyFont="1" applyFill="1" applyBorder="1">
      <alignment vertical="top"/>
    </xf>
    <xf numFmtId="37" fontId="8" fillId="8" borderId="0" xfId="0" applyNumberFormat="1" applyFont="1" applyFill="1" applyBorder="1">
      <alignment vertical="top"/>
    </xf>
    <xf numFmtId="37" fontId="28" fillId="8" borderId="0" xfId="0" applyNumberFormat="1" applyFont="1" applyFill="1" applyAlignment="1"/>
    <xf numFmtId="176" fontId="7" fillId="19" borderId="0" xfId="0" applyFont="1" applyFill="1" applyBorder="1" applyAlignment="1">
      <alignment wrapText="1"/>
    </xf>
    <xf numFmtId="41" fontId="13" fillId="0" borderId="13" xfId="4" applyNumberFormat="1" applyFont="1" applyBorder="1" applyAlignment="1">
      <alignment vertical="top"/>
    </xf>
    <xf numFmtId="41" fontId="8" fillId="0" borderId="13" xfId="4" applyNumberFormat="1" applyFont="1" applyBorder="1" applyAlignment="1">
      <alignment horizontal="center"/>
    </xf>
    <xf numFmtId="41" fontId="13" fillId="0" borderId="15" xfId="4" applyNumberFormat="1" applyFont="1" applyBorder="1" applyAlignment="1">
      <alignment vertical="top"/>
    </xf>
    <xf numFmtId="41" fontId="8" fillId="0" borderId="15" xfId="4" applyNumberFormat="1" applyFont="1" applyBorder="1" applyAlignment="1">
      <alignment horizontal="center"/>
    </xf>
    <xf numFmtId="41" fontId="8" fillId="0" borderId="6" xfId="4" applyFont="1" applyBorder="1" applyAlignment="1">
      <alignment vertical="top"/>
    </xf>
    <xf numFmtId="219" fontId="13" fillId="0" borderId="69" xfId="0" applyNumberFormat="1" applyFont="1" applyBorder="1">
      <alignment vertical="top"/>
    </xf>
    <xf numFmtId="176" fontId="6" fillId="0" borderId="0" xfId="0" applyFont="1" applyAlignment="1">
      <alignment horizontal="right" vertical="top"/>
    </xf>
    <xf numFmtId="176" fontId="8" fillId="15" borderId="0" xfId="0" applyFont="1" applyFill="1" applyAlignment="1">
      <alignment horizontal="center"/>
    </xf>
    <xf numFmtId="176" fontId="8" fillId="8" borderId="0" xfId="0" applyFont="1" applyFill="1" applyAlignment="1">
      <alignment horizontal="center"/>
    </xf>
    <xf numFmtId="176" fontId="0" fillId="8" borderId="0" xfId="0" applyFill="1" applyAlignment="1"/>
    <xf numFmtId="41" fontId="13" fillId="0" borderId="0" xfId="4" applyNumberFormat="1" applyFont="1" applyAlignment="1">
      <alignment vertical="top"/>
    </xf>
    <xf numFmtId="9" fontId="13" fillId="0" borderId="74" xfId="0" applyNumberFormat="1" applyFont="1" applyBorder="1">
      <alignment vertical="top"/>
    </xf>
    <xf numFmtId="37" fontId="13" fillId="65" borderId="7" xfId="0" applyNumberFormat="1" applyFont="1" applyFill="1" applyBorder="1">
      <alignment vertical="top"/>
    </xf>
    <xf numFmtId="37" fontId="13" fillId="65" borderId="8" xfId="0" applyNumberFormat="1" applyFont="1" applyFill="1" applyBorder="1">
      <alignment vertical="top"/>
    </xf>
    <xf numFmtId="176" fontId="13" fillId="65" borderId="9" xfId="0" applyFont="1" applyFill="1" applyBorder="1">
      <alignment vertical="top"/>
    </xf>
    <xf numFmtId="176" fontId="13" fillId="65" borderId="0" xfId="0" applyFont="1" applyFill="1" applyBorder="1">
      <alignment vertical="top"/>
    </xf>
    <xf numFmtId="37" fontId="13" fillId="65" borderId="9" xfId="0" applyNumberFormat="1" applyFont="1" applyFill="1" applyBorder="1">
      <alignment vertical="top"/>
    </xf>
    <xf numFmtId="37" fontId="13" fillId="65" borderId="0" xfId="0" applyNumberFormat="1" applyFont="1" applyFill="1" applyBorder="1">
      <alignment vertical="top"/>
    </xf>
    <xf numFmtId="176" fontId="8" fillId="65" borderId="0" xfId="0" applyFont="1" applyFill="1" applyBorder="1">
      <alignment vertical="top"/>
    </xf>
    <xf numFmtId="0" fontId="71" fillId="65" borderId="0" xfId="0" applyNumberFormat="1" applyFont="1" applyFill="1" applyBorder="1" applyAlignment="1">
      <alignment horizontal="center" vertical="top"/>
    </xf>
    <xf numFmtId="9" fontId="13" fillId="65" borderId="0" xfId="3" applyFont="1" applyFill="1" applyBorder="1" applyAlignment="1">
      <alignment vertical="top"/>
    </xf>
    <xf numFmtId="176" fontId="136" fillId="65" borderId="0" xfId="0" applyFont="1" applyFill="1" applyBorder="1">
      <alignment vertical="top"/>
    </xf>
    <xf numFmtId="176" fontId="30" fillId="65" borderId="0" xfId="0" applyFont="1" applyFill="1" applyBorder="1">
      <alignment vertical="top"/>
    </xf>
    <xf numFmtId="176" fontId="0" fillId="65" borderId="9" xfId="0" applyFill="1" applyBorder="1">
      <alignment vertical="top"/>
    </xf>
    <xf numFmtId="176" fontId="0" fillId="65" borderId="0" xfId="0" applyFill="1" applyBorder="1">
      <alignment vertical="top"/>
    </xf>
    <xf numFmtId="176" fontId="0" fillId="65" borderId="10" xfId="0" applyFill="1" applyBorder="1">
      <alignment vertical="top"/>
    </xf>
    <xf numFmtId="176" fontId="0" fillId="65" borderId="5" xfId="0" applyFill="1" applyBorder="1">
      <alignment vertical="top"/>
    </xf>
    <xf numFmtId="41" fontId="13" fillId="65" borderId="8" xfId="4" applyFont="1" applyFill="1" applyBorder="1" applyAlignment="1">
      <alignment vertical="top"/>
    </xf>
    <xf numFmtId="176" fontId="78" fillId="65" borderId="0" xfId="0" applyFont="1" applyFill="1" applyBorder="1">
      <alignment vertical="top"/>
    </xf>
    <xf numFmtId="176" fontId="7" fillId="28" borderId="11" xfId="0" applyFont="1" applyFill="1" applyBorder="1">
      <alignment vertical="top"/>
    </xf>
    <xf numFmtId="176" fontId="0" fillId="28" borderId="13" xfId="0" applyFill="1" applyBorder="1" applyAlignment="1">
      <alignment horizontal="center" vertical="top"/>
    </xf>
    <xf numFmtId="198" fontId="0" fillId="28" borderId="13" xfId="0" applyNumberFormat="1" applyFill="1" applyBorder="1" applyAlignment="1">
      <alignment horizontal="center" vertical="top"/>
    </xf>
    <xf numFmtId="176" fontId="8" fillId="0" borderId="72" xfId="0" applyFont="1" applyBorder="1">
      <alignment vertical="top"/>
    </xf>
    <xf numFmtId="37" fontId="13" fillId="65" borderId="12" xfId="0" applyNumberFormat="1" applyFont="1" applyFill="1" applyBorder="1">
      <alignment vertical="top"/>
    </xf>
    <xf numFmtId="176" fontId="0" fillId="65" borderId="14" xfId="0" applyFill="1" applyBorder="1">
      <alignment vertical="top"/>
    </xf>
    <xf numFmtId="176" fontId="0" fillId="65" borderId="16" xfId="0" applyFill="1" applyBorder="1">
      <alignment vertical="top"/>
    </xf>
    <xf numFmtId="0" fontId="13" fillId="0" borderId="17" xfId="230" applyFont="1" applyBorder="1"/>
    <xf numFmtId="198" fontId="126" fillId="30" borderId="4" xfId="0" applyNumberFormat="1" applyFont="1" applyFill="1" applyBorder="1" applyAlignment="1">
      <alignment horizontal="center" vertical="top"/>
    </xf>
    <xf numFmtId="198" fontId="13" fillId="0" borderId="4" xfId="0" applyNumberFormat="1" applyFont="1" applyBorder="1" applyAlignment="1">
      <alignment horizontal="center"/>
    </xf>
    <xf numFmtId="198" fontId="126" fillId="30" borderId="4" xfId="0" applyNumberFormat="1" applyFont="1" applyFill="1" applyBorder="1" applyAlignment="1">
      <alignment horizontal="center" vertical="top" wrapText="1"/>
    </xf>
    <xf numFmtId="176" fontId="13" fillId="13" borderId="17" xfId="0" applyFont="1" applyFill="1" applyBorder="1" applyAlignment="1">
      <alignment horizontal="left"/>
    </xf>
    <xf numFmtId="37" fontId="13" fillId="13" borderId="18" xfId="0" applyNumberFormat="1" applyFont="1" applyFill="1" applyBorder="1">
      <alignment vertical="top"/>
    </xf>
    <xf numFmtId="176" fontId="13" fillId="13" borderId="17" xfId="0" applyFont="1" applyFill="1" applyBorder="1">
      <alignment vertical="top"/>
    </xf>
    <xf numFmtId="37" fontId="13" fillId="13" borderId="19" xfId="0" applyNumberFormat="1" applyFont="1" applyFill="1" applyBorder="1">
      <alignment vertical="top"/>
    </xf>
    <xf numFmtId="37" fontId="126" fillId="30" borderId="4" xfId="84" applyNumberFormat="1" applyFont="1" applyFill="1" applyBorder="1" applyAlignment="1">
      <alignment horizontal="right" vertical="top"/>
    </xf>
    <xf numFmtId="37" fontId="13" fillId="0" borderId="4" xfId="84" applyNumberFormat="1" applyFont="1" applyBorder="1" applyAlignment="1"/>
    <xf numFmtId="37" fontId="126" fillId="30" borderId="4" xfId="84" applyNumberFormat="1" applyFont="1" applyFill="1" applyBorder="1" applyAlignment="1">
      <alignment horizontal="right" vertical="top" wrapText="1"/>
    </xf>
    <xf numFmtId="0" fontId="13" fillId="13" borderId="19" xfId="218" applyFont="1" applyFill="1" applyBorder="1"/>
    <xf numFmtId="0" fontId="13" fillId="13" borderId="18" xfId="218" applyFont="1" applyFill="1" applyBorder="1"/>
    <xf numFmtId="37" fontId="126" fillId="13" borderId="4" xfId="84" applyNumberFormat="1" applyFont="1" applyFill="1" applyBorder="1" applyAlignment="1">
      <alignment horizontal="right" vertical="top"/>
    </xf>
    <xf numFmtId="176" fontId="7" fillId="0" borderId="0" xfId="0" applyFont="1" applyAlignment="1">
      <alignment horizontal="left" indent="1"/>
    </xf>
    <xf numFmtId="176" fontId="0" fillId="0" borderId="0" xfId="0" applyAlignment="1">
      <alignment horizontal="left" indent="1"/>
    </xf>
    <xf numFmtId="198" fontId="0" fillId="0" borderId="0" xfId="0" applyNumberFormat="1" applyAlignment="1">
      <alignment horizontal="left" indent="1"/>
    </xf>
    <xf numFmtId="198" fontId="13" fillId="0" borderId="0" xfId="0" applyNumberFormat="1" applyFont="1" applyAlignment="1">
      <alignment horizontal="left" indent="1"/>
    </xf>
    <xf numFmtId="41" fontId="13" fillId="0" borderId="0" xfId="84" applyFont="1" applyFill="1" applyBorder="1" applyAlignment="1">
      <alignment horizontal="left" indent="1"/>
    </xf>
    <xf numFmtId="37" fontId="13" fillId="0" borderId="0" xfId="0" applyNumberFormat="1" applyFont="1" applyFill="1" applyBorder="1" applyAlignment="1">
      <alignment horizontal="left" vertical="top" indent="1"/>
    </xf>
    <xf numFmtId="37" fontId="13" fillId="27" borderId="0" xfId="0" applyNumberFormat="1" applyFont="1" applyFill="1" applyAlignment="1">
      <alignment horizontal="center" vertical="center"/>
    </xf>
    <xf numFmtId="37" fontId="13" fillId="13" borderId="0" xfId="0" applyNumberFormat="1" applyFont="1" applyFill="1">
      <alignment vertical="top"/>
    </xf>
    <xf numFmtId="176" fontId="7" fillId="16" borderId="9" xfId="0" applyFont="1" applyFill="1" applyBorder="1" applyAlignment="1">
      <alignment horizontal="center" vertical="top"/>
    </xf>
    <xf numFmtId="176" fontId="0" fillId="2" borderId="14" xfId="0" applyFill="1" applyBorder="1">
      <alignment vertical="top"/>
    </xf>
    <xf numFmtId="37" fontId="13" fillId="0" borderId="10" xfId="0" applyNumberFormat="1" applyFont="1" applyBorder="1" applyAlignment="1">
      <alignment horizontal="center"/>
    </xf>
    <xf numFmtId="37" fontId="78" fillId="0" borderId="0" xfId="0" applyNumberFormat="1" applyFont="1" applyBorder="1">
      <alignment vertical="top"/>
    </xf>
    <xf numFmtId="0" fontId="137" fillId="0" borderId="0" xfId="218" applyFont="1" applyFill="1" applyBorder="1"/>
    <xf numFmtId="204" fontId="13" fillId="0" borderId="0" xfId="218" applyNumberFormat="1" applyFill="1" applyBorder="1"/>
    <xf numFmtId="176" fontId="122" fillId="0" borderId="0" xfId="0" applyFont="1" applyAlignment="1"/>
    <xf numFmtId="176" fontId="122" fillId="0" borderId="0" xfId="0" applyFont="1" applyAlignment="1">
      <alignment horizontal="center"/>
    </xf>
    <xf numFmtId="41" fontId="0" fillId="0" borderId="0" xfId="123" applyFont="1"/>
    <xf numFmtId="41" fontId="129" fillId="0" borderId="0" xfId="123" applyFont="1"/>
    <xf numFmtId="37" fontId="13" fillId="8" borderId="66" xfId="0" applyNumberFormat="1" applyFont="1" applyFill="1" applyBorder="1" applyAlignment="1">
      <alignment horizontal="center"/>
    </xf>
    <xf numFmtId="37" fontId="13" fillId="8" borderId="66" xfId="0" applyNumberFormat="1" applyFont="1" applyFill="1" applyBorder="1" applyAlignment="1">
      <alignment horizontal="center" vertical="center"/>
    </xf>
    <xf numFmtId="37" fontId="13" fillId="8" borderId="13" xfId="0" applyNumberFormat="1" applyFont="1" applyFill="1" applyBorder="1" applyAlignment="1">
      <alignment horizontal="center"/>
    </xf>
    <xf numFmtId="37" fontId="13" fillId="8" borderId="15" xfId="0" applyNumberFormat="1" applyFont="1" applyFill="1" applyBorder="1" applyAlignment="1">
      <alignment horizontal="center" vertical="center"/>
    </xf>
    <xf numFmtId="37" fontId="13" fillId="8" borderId="69" xfId="0" applyNumberFormat="1" applyFont="1" applyFill="1" applyBorder="1" applyAlignment="1">
      <alignment horizontal="center"/>
    </xf>
    <xf numFmtId="177" fontId="8" fillId="0" borderId="18" xfId="1" applyFont="1" applyBorder="1" applyAlignment="1">
      <alignment vertical="top"/>
    </xf>
    <xf numFmtId="177" fontId="13" fillId="0" borderId="69" xfId="1" applyFont="1" applyBorder="1" applyAlignment="1">
      <alignment vertical="top"/>
    </xf>
    <xf numFmtId="37" fontId="110" fillId="0" borderId="0" xfId="0" applyNumberFormat="1" applyFont="1" applyAlignment="1">
      <alignment horizontal="right" vertical="top"/>
    </xf>
    <xf numFmtId="37" fontId="13" fillId="65" borderId="7" xfId="0" applyNumberFormat="1" applyFont="1" applyFill="1" applyBorder="1" applyAlignment="1">
      <alignment horizontal="left"/>
    </xf>
    <xf numFmtId="186" fontId="13" fillId="65" borderId="8" xfId="1" applyNumberFormat="1" applyFont="1" applyFill="1" applyBorder="1" applyAlignment="1">
      <alignment vertical="top"/>
    </xf>
    <xf numFmtId="176" fontId="121" fillId="65" borderId="9" xfId="0" applyFont="1" applyFill="1" applyBorder="1">
      <alignment vertical="top"/>
    </xf>
    <xf numFmtId="176" fontId="122" fillId="65" borderId="0" xfId="0" applyFont="1" applyFill="1" applyBorder="1">
      <alignment vertical="top"/>
    </xf>
    <xf numFmtId="0" fontId="7" fillId="65" borderId="0" xfId="0" applyNumberFormat="1" applyFont="1" applyFill="1" applyBorder="1" applyAlignment="1">
      <alignment horizontal="center" vertical="top"/>
    </xf>
    <xf numFmtId="37" fontId="0" fillId="0" borderId="0" xfId="0" applyNumberFormat="1" applyFont="1" applyAlignment="1">
      <alignment horizontal="center" vertical="top"/>
    </xf>
    <xf numFmtId="37" fontId="13" fillId="65" borderId="9" xfId="0" applyNumberFormat="1" applyFont="1" applyFill="1" applyBorder="1" applyAlignment="1">
      <alignment horizontal="left"/>
    </xf>
    <xf numFmtId="176" fontId="7" fillId="65" borderId="9" xfId="0" applyFont="1" applyFill="1" applyBorder="1">
      <alignment vertical="top"/>
    </xf>
    <xf numFmtId="176" fontId="7" fillId="65" borderId="0" xfId="0" applyFont="1" applyFill="1" applyBorder="1">
      <alignment vertical="top"/>
    </xf>
    <xf numFmtId="176" fontId="122" fillId="65" borderId="9" xfId="0" applyFont="1" applyFill="1" applyBorder="1">
      <alignment vertical="top"/>
    </xf>
    <xf numFmtId="9" fontId="0" fillId="65" borderId="0" xfId="3" applyFont="1" applyFill="1" applyBorder="1" applyAlignment="1">
      <alignment vertical="top"/>
    </xf>
    <xf numFmtId="186" fontId="13" fillId="65" borderId="0" xfId="1" applyNumberFormat="1" applyFont="1" applyFill="1" applyBorder="1" applyAlignment="1">
      <alignment vertical="top"/>
    </xf>
    <xf numFmtId="37" fontId="8" fillId="65" borderId="9" xfId="0" applyNumberFormat="1" applyFont="1" applyFill="1" applyBorder="1" applyAlignment="1">
      <alignment horizontal="left"/>
    </xf>
    <xf numFmtId="41" fontId="13" fillId="0" borderId="14" xfId="4" applyFont="1" applyFill="1" applyBorder="1" applyAlignment="1">
      <alignment vertical="top"/>
    </xf>
    <xf numFmtId="186" fontId="13" fillId="0" borderId="13" xfId="1" applyNumberFormat="1" applyFont="1" applyBorder="1" applyAlignment="1">
      <alignment vertical="top"/>
    </xf>
    <xf numFmtId="176" fontId="13" fillId="0" borderId="0" xfId="0" applyFont="1" applyFill="1">
      <alignment vertical="top"/>
    </xf>
    <xf numFmtId="177" fontId="8" fillId="0" borderId="14" xfId="1" applyFont="1" applyBorder="1" applyAlignment="1">
      <alignment horizontal="center"/>
    </xf>
    <xf numFmtId="186" fontId="8" fillId="0" borderId="18" xfId="1" applyNumberFormat="1" applyFont="1" applyBorder="1" applyAlignment="1">
      <alignment vertical="top"/>
    </xf>
    <xf numFmtId="186" fontId="13" fillId="0" borderId="69" xfId="1" applyNumberFormat="1" applyFont="1" applyBorder="1" applyAlignment="1">
      <alignment vertical="top"/>
    </xf>
    <xf numFmtId="37" fontId="13" fillId="65" borderId="14" xfId="0" applyNumberFormat="1" applyFont="1" applyFill="1" applyBorder="1">
      <alignment vertical="top"/>
    </xf>
    <xf numFmtId="37" fontId="13" fillId="65" borderId="0" xfId="0" applyNumberFormat="1" applyFont="1" applyFill="1" applyBorder="1" applyAlignment="1">
      <alignment horizontal="center" vertical="center"/>
    </xf>
    <xf numFmtId="176" fontId="0" fillId="65" borderId="0" xfId="0" applyFill="1" applyBorder="1" applyAlignment="1"/>
    <xf numFmtId="176" fontId="7" fillId="65" borderId="7" xfId="0" applyFont="1" applyFill="1" applyBorder="1">
      <alignment vertical="top"/>
    </xf>
    <xf numFmtId="176" fontId="7" fillId="65" borderId="8" xfId="0" applyFont="1" applyFill="1" applyBorder="1">
      <alignment vertical="top"/>
    </xf>
    <xf numFmtId="176" fontId="7" fillId="65" borderId="12" xfId="0" applyFont="1" applyFill="1" applyBorder="1">
      <alignment vertical="top"/>
    </xf>
    <xf numFmtId="198" fontId="0" fillId="65" borderId="0" xfId="0" applyNumberFormat="1" applyFill="1" applyBorder="1" applyAlignment="1">
      <alignment horizontal="center" vertical="top"/>
    </xf>
    <xf numFmtId="198" fontId="0" fillId="16" borderId="0" xfId="0" applyNumberFormat="1" applyFill="1" applyBorder="1" applyAlignment="1">
      <alignment horizontal="center" vertical="top"/>
    </xf>
    <xf numFmtId="176" fontId="0" fillId="16" borderId="0" xfId="0" applyFill="1" applyBorder="1">
      <alignment vertical="top"/>
    </xf>
    <xf numFmtId="37" fontId="13" fillId="65" borderId="10" xfId="0" applyNumberFormat="1" applyFont="1" applyFill="1" applyBorder="1" applyAlignment="1">
      <alignment horizontal="left"/>
    </xf>
    <xf numFmtId="37" fontId="13" fillId="65" borderId="5" xfId="0" applyNumberFormat="1" applyFont="1" applyFill="1" applyBorder="1">
      <alignment vertical="top"/>
    </xf>
    <xf numFmtId="37" fontId="13" fillId="65" borderId="16" xfId="0" applyNumberFormat="1" applyFont="1" applyFill="1" applyBorder="1">
      <alignment vertical="top"/>
    </xf>
    <xf numFmtId="37" fontId="78" fillId="65" borderId="0" xfId="0" applyNumberFormat="1" applyFont="1" applyFill="1" applyBorder="1">
      <alignment vertical="top"/>
    </xf>
    <xf numFmtId="37" fontId="78" fillId="65" borderId="9" xfId="0" applyNumberFormat="1" applyFont="1" applyFill="1" applyBorder="1">
      <alignment vertical="top"/>
    </xf>
    <xf numFmtId="37" fontId="8" fillId="65" borderId="0" xfId="0" applyNumberFormat="1" applyFont="1" applyFill="1" applyBorder="1">
      <alignment vertical="top"/>
    </xf>
    <xf numFmtId="37" fontId="8" fillId="65" borderId="14" xfId="0" applyNumberFormat="1" applyFont="1" applyFill="1" applyBorder="1">
      <alignment vertical="top"/>
    </xf>
    <xf numFmtId="176" fontId="0" fillId="65" borderId="4" xfId="0" applyFill="1" applyBorder="1" applyAlignment="1">
      <alignment horizontal="center" vertical="top"/>
    </xf>
    <xf numFmtId="176" fontId="0" fillId="65" borderId="0" xfId="0" applyFill="1" applyBorder="1" applyAlignment="1">
      <alignment horizontal="left" vertical="top" indent="1"/>
    </xf>
    <xf numFmtId="37" fontId="13" fillId="65" borderId="10" xfId="0" applyNumberFormat="1" applyFont="1" applyFill="1" applyBorder="1">
      <alignment vertical="top"/>
    </xf>
    <xf numFmtId="176" fontId="7" fillId="65" borderId="14" xfId="0" applyFont="1" applyFill="1" applyBorder="1">
      <alignment vertical="top"/>
    </xf>
    <xf numFmtId="49" fontId="138" fillId="0" borderId="0" xfId="258" applyNumberFormat="1" applyFont="1" applyAlignment="1">
      <alignment horizontal="left" vertical="top" wrapText="1"/>
    </xf>
    <xf numFmtId="49" fontId="139" fillId="0" borderId="0" xfId="258" applyNumberFormat="1" applyFont="1" applyAlignment="1">
      <alignment horizontal="left" vertical="top" wrapText="1"/>
    </xf>
    <xf numFmtId="49" fontId="140" fillId="0" borderId="0" xfId="258" applyNumberFormat="1" applyFont="1" applyAlignment="1">
      <alignment horizontal="left" vertical="top" wrapText="1"/>
    </xf>
    <xf numFmtId="49" fontId="141" fillId="0" borderId="0" xfId="258" applyNumberFormat="1" applyFont="1" applyAlignment="1">
      <alignment vertical="top"/>
    </xf>
    <xf numFmtId="49" fontId="14" fillId="0" borderId="0" xfId="258" applyNumberFormat="1" applyFont="1" applyAlignment="1">
      <alignment vertical="top"/>
    </xf>
    <xf numFmtId="49" fontId="7" fillId="0" borderId="0" xfId="258" applyNumberFormat="1" applyFont="1" applyAlignment="1">
      <alignment horizontal="left" vertical="top" wrapText="1"/>
    </xf>
    <xf numFmtId="49" fontId="96" fillId="0" borderId="4" xfId="258" applyNumberFormat="1" applyFont="1" applyBorder="1" applyAlignment="1">
      <alignment horizontal="left" vertical="top" wrapText="1"/>
    </xf>
    <xf numFmtId="49" fontId="96" fillId="0" borderId="4" xfId="258" applyNumberFormat="1" applyFont="1" applyBorder="1" applyAlignment="1">
      <alignment horizontal="center" vertical="top" wrapText="1"/>
    </xf>
    <xf numFmtId="49" fontId="95" fillId="0" borderId="4" xfId="258" applyNumberFormat="1" applyFont="1" applyBorder="1" applyAlignment="1">
      <alignment horizontal="left" vertical="top" wrapText="1"/>
    </xf>
    <xf numFmtId="49" fontId="96" fillId="0" borderId="0" xfId="258" applyNumberFormat="1" applyFont="1" applyAlignment="1">
      <alignment horizontal="center" vertical="top"/>
    </xf>
    <xf numFmtId="49" fontId="96" fillId="0" borderId="0" xfId="258" applyNumberFormat="1" applyFont="1" applyAlignment="1">
      <alignment horizontal="left" vertical="top" wrapText="1"/>
    </xf>
    <xf numFmtId="49" fontId="95" fillId="0" borderId="0" xfId="258" applyNumberFormat="1" applyFont="1" applyAlignment="1">
      <alignment horizontal="left" vertical="top" wrapText="1"/>
    </xf>
    <xf numFmtId="49" fontId="96" fillId="0" borderId="0" xfId="258" applyNumberFormat="1" applyFont="1" applyAlignment="1">
      <alignment horizontal="right" vertical="top" wrapText="1"/>
    </xf>
    <xf numFmtId="3" fontId="96" fillId="0" borderId="0" xfId="258" applyNumberFormat="1" applyFont="1" applyAlignment="1">
      <alignment horizontal="right" vertical="top"/>
    </xf>
    <xf numFmtId="3" fontId="95" fillId="0" borderId="4" xfId="258" applyNumberFormat="1" applyFont="1" applyBorder="1" applyAlignment="1">
      <alignment horizontal="right" vertical="top"/>
    </xf>
    <xf numFmtId="49" fontId="95" fillId="0" borderId="0" xfId="258" applyNumberFormat="1" applyFont="1" applyAlignment="1">
      <alignment vertical="top" wrapText="1"/>
    </xf>
    <xf numFmtId="49" fontId="95" fillId="0" borderId="0" xfId="258" applyNumberFormat="1" applyFont="1" applyAlignment="1">
      <alignment vertical="top"/>
    </xf>
    <xf numFmtId="3" fontId="95" fillId="0" borderId="0" xfId="258" applyNumberFormat="1" applyFont="1" applyAlignment="1">
      <alignment horizontal="right" vertical="top"/>
    </xf>
    <xf numFmtId="176" fontId="7" fillId="0" borderId="0" xfId="0" applyFont="1" applyAlignment="1">
      <alignment horizontal="center" vertical="center" wrapText="1"/>
    </xf>
    <xf numFmtId="176" fontId="0" fillId="40" borderId="17" xfId="0" applyFill="1" applyBorder="1">
      <alignment vertical="top"/>
    </xf>
    <xf numFmtId="176" fontId="7" fillId="40" borderId="19" xfId="0" applyFont="1" applyFill="1" applyBorder="1" applyAlignment="1">
      <alignment horizontal="center" vertical="center" wrapText="1"/>
    </xf>
    <xf numFmtId="176" fontId="0" fillId="40" borderId="19" xfId="0" applyFill="1" applyBorder="1">
      <alignment vertical="top"/>
    </xf>
    <xf numFmtId="176" fontId="0" fillId="40" borderId="18" xfId="0" applyFill="1" applyBorder="1">
      <alignment vertical="top"/>
    </xf>
    <xf numFmtId="49" fontId="138" fillId="0" borderId="0" xfId="258" applyNumberFormat="1" applyFont="1" applyAlignment="1">
      <alignment vertical="top"/>
    </xf>
    <xf numFmtId="49" fontId="139" fillId="0" borderId="0" xfId="258" applyNumberFormat="1" applyFont="1" applyAlignment="1">
      <alignment vertical="top"/>
    </xf>
    <xf numFmtId="49" fontId="140" fillId="0" borderId="0" xfId="258" applyNumberFormat="1" applyFont="1" applyAlignment="1">
      <alignment vertical="top"/>
    </xf>
    <xf numFmtId="0" fontId="8" fillId="0" borderId="0" xfId="230" applyFont="1" applyAlignment="1">
      <alignment vertical="center"/>
    </xf>
    <xf numFmtId="49" fontId="7" fillId="0" borderId="0" xfId="258" applyNumberFormat="1" applyFont="1" applyAlignment="1">
      <alignment vertical="top"/>
    </xf>
    <xf numFmtId="49" fontId="96" fillId="0" borderId="4" xfId="258" applyNumberFormat="1" applyFont="1" applyBorder="1" applyAlignment="1">
      <alignment horizontal="left" vertical="top"/>
    </xf>
    <xf numFmtId="49" fontId="96" fillId="0" borderId="4" xfId="258" applyNumberFormat="1" applyFont="1" applyBorder="1" applyAlignment="1">
      <alignment horizontal="center" vertical="top"/>
    </xf>
    <xf numFmtId="49" fontId="96" fillId="0" borderId="4" xfId="258" applyNumberFormat="1" applyFont="1" applyBorder="1" applyAlignment="1">
      <alignment vertical="top"/>
    </xf>
    <xf numFmtId="49" fontId="95" fillId="0" borderId="4" xfId="258" applyNumberFormat="1" applyFont="1" applyBorder="1" applyAlignment="1">
      <alignment vertical="top"/>
    </xf>
    <xf numFmtId="49" fontId="96" fillId="0" borderId="0" xfId="258" applyNumberFormat="1" applyFont="1" applyAlignment="1">
      <alignment horizontal="left" vertical="top"/>
    </xf>
    <xf numFmtId="49" fontId="96" fillId="0" borderId="0" xfId="258" applyNumberFormat="1" applyFont="1" applyAlignment="1">
      <alignment vertical="top"/>
    </xf>
    <xf numFmtId="3" fontId="96" fillId="0" borderId="0" xfId="258" applyNumberFormat="1" applyFont="1" applyAlignment="1">
      <alignment vertical="top"/>
    </xf>
    <xf numFmtId="10" fontId="13" fillId="0" borderId="0" xfId="3" applyNumberFormat="1"/>
    <xf numFmtId="0" fontId="30" fillId="0" borderId="0" xfId="258" applyFont="1"/>
    <xf numFmtId="37" fontId="8" fillId="19" borderId="0" xfId="0" applyNumberFormat="1" applyFont="1" applyFill="1" applyBorder="1">
      <alignment vertical="top"/>
    </xf>
    <xf numFmtId="37" fontId="8" fillId="19" borderId="5" xfId="0" applyNumberFormat="1" applyFont="1" applyFill="1" applyBorder="1">
      <alignment vertical="top"/>
    </xf>
    <xf numFmtId="198" fontId="13" fillId="4" borderId="9" xfId="0" applyNumberFormat="1" applyFont="1" applyFill="1" applyBorder="1">
      <alignment vertical="top"/>
    </xf>
    <xf numFmtId="198" fontId="71" fillId="4" borderId="9" xfId="0" applyNumberFormat="1" applyFont="1" applyFill="1" applyBorder="1">
      <alignment vertical="top"/>
    </xf>
    <xf numFmtId="37" fontId="71" fillId="4" borderId="0" xfId="0" applyNumberFormat="1" applyFont="1" applyFill="1" applyBorder="1">
      <alignment vertical="top"/>
    </xf>
    <xf numFmtId="176" fontId="27" fillId="5" borderId="0" xfId="0" applyFont="1" applyFill="1" applyBorder="1" applyAlignment="1">
      <alignment horizontal="left"/>
    </xf>
    <xf numFmtId="223" fontId="13" fillId="0" borderId="13" xfId="4" applyNumberFormat="1" applyFont="1" applyBorder="1" applyAlignment="1">
      <alignment vertical="top"/>
    </xf>
    <xf numFmtId="176" fontId="7" fillId="19" borderId="13" xfId="0" applyFont="1" applyFill="1" applyBorder="1" applyAlignment="1">
      <alignment horizontal="left" wrapText="1"/>
    </xf>
    <xf numFmtId="37" fontId="8" fillId="0" borderId="71" xfId="0" applyNumberFormat="1" applyFont="1" applyBorder="1">
      <alignment vertical="top"/>
    </xf>
    <xf numFmtId="37" fontId="28" fillId="4" borderId="0" xfId="0" applyNumberFormat="1" applyFont="1" applyFill="1" applyAlignment="1"/>
    <xf numFmtId="176" fontId="8" fillId="5" borderId="0" xfId="0" applyFont="1" applyFill="1" applyAlignment="1">
      <alignment horizontal="center"/>
    </xf>
    <xf numFmtId="176" fontId="8" fillId="4" borderId="0" xfId="0" applyFont="1" applyFill="1" applyAlignment="1">
      <alignment horizontal="center"/>
    </xf>
    <xf numFmtId="176" fontId="0" fillId="4" borderId="0" xfId="0" applyFill="1" applyAlignment="1"/>
    <xf numFmtId="176" fontId="1" fillId="0" borderId="0" xfId="0" applyFont="1">
      <alignment vertical="top"/>
    </xf>
    <xf numFmtId="176" fontId="1" fillId="0" borderId="5" xfId="0" applyFont="1" applyBorder="1">
      <alignment vertical="top"/>
    </xf>
    <xf numFmtId="176" fontId="7" fillId="0" borderId="5" xfId="0" applyFont="1" applyBorder="1" applyAlignment="1">
      <alignment horizontal="center" vertical="top"/>
    </xf>
    <xf numFmtId="176" fontId="0" fillId="0" borderId="0" xfId="0" applyFont="1" applyFill="1">
      <alignment vertical="top"/>
    </xf>
    <xf numFmtId="176" fontId="1" fillId="0" borderId="0" xfId="0" applyFont="1" applyFill="1">
      <alignment vertical="top"/>
    </xf>
    <xf numFmtId="176" fontId="0" fillId="0" borderId="0" xfId="0" applyFill="1">
      <alignment vertical="top"/>
    </xf>
    <xf numFmtId="41" fontId="0" fillId="0" borderId="0" xfId="4" applyFont="1" applyFill="1"/>
    <xf numFmtId="176" fontId="5" fillId="0" borderId="0" xfId="0" applyFont="1">
      <alignment vertical="top"/>
    </xf>
    <xf numFmtId="176" fontId="0" fillId="0" borderId="19" xfId="0" applyFont="1" applyBorder="1">
      <alignment vertical="top"/>
    </xf>
    <xf numFmtId="176" fontId="7" fillId="0" borderId="6" xfId="0" applyFont="1" applyBorder="1">
      <alignment vertical="top"/>
    </xf>
    <xf numFmtId="176" fontId="0" fillId="0" borderId="0" xfId="221" applyFont="1" applyBorder="1">
      <alignment vertical="top"/>
    </xf>
    <xf numFmtId="176" fontId="0" fillId="0" borderId="0" xfId="221" applyFont="1">
      <alignment vertical="top"/>
    </xf>
    <xf numFmtId="176" fontId="7" fillId="0" borderId="0" xfId="221" applyFont="1" applyBorder="1">
      <alignment vertical="top"/>
    </xf>
    <xf numFmtId="176" fontId="1" fillId="0" borderId="0" xfId="221" applyFont="1">
      <alignment vertical="top"/>
    </xf>
    <xf numFmtId="176" fontId="6" fillId="0" borderId="0" xfId="221" applyFont="1">
      <alignment vertical="top"/>
    </xf>
    <xf numFmtId="176" fontId="0" fillId="0" borderId="0" xfId="149" applyNumberFormat="1" applyFont="1" applyAlignment="1">
      <alignment vertical="top"/>
    </xf>
    <xf numFmtId="207" fontId="0" fillId="0" borderId="0" xfId="221" applyNumberFormat="1" applyFont="1">
      <alignment vertical="top"/>
    </xf>
    <xf numFmtId="176" fontId="5" fillId="0" borderId="0" xfId="221" applyFont="1">
      <alignment vertical="top"/>
    </xf>
    <xf numFmtId="176" fontId="5" fillId="0" borderId="0" xfId="221" applyFont="1" applyAlignment="1">
      <alignment horizontal="left"/>
    </xf>
    <xf numFmtId="176" fontId="0" fillId="0" borderId="5" xfId="221" applyFont="1" applyBorder="1">
      <alignment vertical="top"/>
    </xf>
    <xf numFmtId="176" fontId="5" fillId="0" borderId="0" xfId="0" applyFont="1" applyAlignment="1">
      <alignment horizontal="center" vertical="top"/>
    </xf>
    <xf numFmtId="224" fontId="125" fillId="0" borderId="0" xfId="253" applyNumberFormat="1" applyFont="1" applyAlignment="1">
      <alignment vertical="top"/>
    </xf>
    <xf numFmtId="224" fontId="0" fillId="0" borderId="0" xfId="253" applyNumberFormat="1" applyFont="1" applyAlignment="1">
      <alignment vertical="top"/>
    </xf>
    <xf numFmtId="176" fontId="0" fillId="0" borderId="0" xfId="0" applyAlignment="1">
      <alignment horizontal="left" vertical="center"/>
    </xf>
    <xf numFmtId="176" fontId="0" fillId="0" borderId="0" xfId="0" applyAlignment="1">
      <alignment horizontal="justify" vertical="top"/>
    </xf>
    <xf numFmtId="176" fontId="5" fillId="0" borderId="0" xfId="0" applyFont="1" applyAlignment="1">
      <alignment horizontal="left" vertical="top"/>
    </xf>
    <xf numFmtId="176" fontId="0" fillId="0" borderId="0" xfId="0" applyFont="1" applyAlignment="1">
      <alignment horizontal="justify" vertical="top"/>
    </xf>
    <xf numFmtId="176" fontId="0" fillId="0" borderId="0" xfId="0" applyBorder="1" applyAlignment="1">
      <alignment horizontal="justify" vertical="top"/>
    </xf>
    <xf numFmtId="176" fontId="0" fillId="0" borderId="0" xfId="0" applyFont="1" applyBorder="1" applyAlignment="1">
      <alignment horizontal="justify" vertical="top"/>
    </xf>
    <xf numFmtId="176" fontId="7" fillId="0" borderId="0" xfId="0" applyFont="1" applyAlignment="1">
      <alignment horizontal="justify" vertical="top"/>
    </xf>
    <xf numFmtId="202" fontId="0" fillId="0" borderId="0" xfId="159" applyNumberFormat="1" applyFont="1" applyAlignment="1">
      <alignment vertical="top"/>
    </xf>
    <xf numFmtId="202" fontId="1" fillId="0" borderId="0" xfId="159" applyNumberFormat="1" applyFont="1" applyAlignment="1">
      <alignment vertical="top"/>
    </xf>
    <xf numFmtId="176" fontId="142" fillId="0" borderId="0" xfId="0" applyFont="1" applyAlignment="1"/>
    <xf numFmtId="202" fontId="5" fillId="0" borderId="0" xfId="159" applyNumberFormat="1" applyFont="1" applyAlignment="1">
      <alignment vertical="top"/>
    </xf>
    <xf numFmtId="176" fontId="5" fillId="0" borderId="0" xfId="0" applyFont="1" applyAlignment="1">
      <alignment horizontal="center"/>
    </xf>
    <xf numFmtId="176" fontId="143" fillId="0" borderId="0" xfId="257" applyNumberFormat="1" applyFont="1" applyBorder="1" applyAlignment="1">
      <alignment horizontal="center" vertical="center" textRotation="90" wrapText="1"/>
    </xf>
    <xf numFmtId="176" fontId="144" fillId="0" borderId="0" xfId="257" applyNumberFormat="1" applyFont="1" applyBorder="1" applyAlignment="1">
      <alignment vertical="top"/>
    </xf>
    <xf numFmtId="176" fontId="143" fillId="0" borderId="5" xfId="257" applyNumberFormat="1" applyFont="1" applyBorder="1" applyAlignment="1">
      <alignment horizontal="center" vertical="center" textRotation="90" wrapText="1"/>
    </xf>
    <xf numFmtId="176" fontId="144" fillId="0" borderId="5" xfId="257" applyNumberFormat="1" applyFont="1" applyBorder="1" applyAlignment="1">
      <alignment vertical="top"/>
    </xf>
    <xf numFmtId="176" fontId="5" fillId="0" borderId="5" xfId="221" applyFont="1" applyBorder="1" applyAlignment="1">
      <alignment horizontal="center"/>
    </xf>
    <xf numFmtId="176" fontId="5" fillId="0" borderId="5" xfId="221" applyFont="1" applyBorder="1" applyAlignment="1"/>
    <xf numFmtId="202" fontId="0" fillId="0" borderId="0" xfId="159" applyNumberFormat="1" applyFont="1" applyBorder="1" applyAlignment="1">
      <alignment vertical="top"/>
    </xf>
    <xf numFmtId="202" fontId="1" fillId="0" borderId="0" xfId="159" applyNumberFormat="1" applyFont="1" applyBorder="1" applyAlignment="1">
      <alignment vertical="top"/>
    </xf>
    <xf numFmtId="202" fontId="5" fillId="0" borderId="6" xfId="159" applyNumberFormat="1" applyFont="1" applyBorder="1" applyAlignment="1">
      <alignment vertical="top"/>
    </xf>
    <xf numFmtId="0" fontId="5" fillId="0" borderId="5" xfId="221" applyNumberFormat="1" applyFont="1" applyBorder="1" applyAlignment="1">
      <alignment horizontal="center"/>
    </xf>
    <xf numFmtId="0" fontId="5" fillId="0" borderId="5" xfId="221" applyNumberFormat="1" applyFont="1" applyBorder="1" applyAlignment="1"/>
    <xf numFmtId="0" fontId="5" fillId="0" borderId="0" xfId="221" applyNumberFormat="1" applyFont="1" applyAlignment="1">
      <alignment horizontal="center"/>
    </xf>
    <xf numFmtId="0" fontId="5" fillId="0" borderId="0" xfId="221" applyNumberFormat="1" applyFont="1" applyAlignment="1"/>
    <xf numFmtId="41" fontId="0" fillId="0" borderId="0" xfId="4" applyFont="1" applyAlignment="1">
      <alignment horizontal="center" vertical="top"/>
    </xf>
    <xf numFmtId="41" fontId="0" fillId="0" borderId="8" xfId="4" applyFont="1" applyBorder="1" applyAlignment="1">
      <alignment horizontal="center" vertical="top"/>
    </xf>
    <xf numFmtId="41" fontId="0" fillId="0" borderId="0" xfId="4" applyFont="1" applyBorder="1" applyAlignment="1">
      <alignment horizontal="center" vertical="top"/>
    </xf>
    <xf numFmtId="41" fontId="7" fillId="0" borderId="8" xfId="4" applyFont="1" applyBorder="1" applyAlignment="1">
      <alignment horizontal="center" vertical="top"/>
    </xf>
    <xf numFmtId="41" fontId="7" fillId="0" borderId="6" xfId="4" applyFont="1" applyBorder="1" applyAlignment="1">
      <alignment horizontal="center" vertical="top"/>
    </xf>
    <xf numFmtId="0" fontId="0" fillId="0" borderId="0" xfId="0" applyNumberFormat="1" applyFont="1">
      <alignment vertical="top"/>
    </xf>
    <xf numFmtId="177" fontId="0" fillId="0" borderId="0" xfId="149" applyFont="1" applyAlignment="1">
      <alignment vertical="top"/>
    </xf>
    <xf numFmtId="176" fontId="5" fillId="0" borderId="5" xfId="0" applyFont="1" applyBorder="1" applyAlignment="1"/>
    <xf numFmtId="176" fontId="0" fillId="0" borderId="0" xfId="149" applyNumberFormat="1" applyFont="1" applyBorder="1" applyAlignment="1">
      <alignment vertical="top"/>
    </xf>
    <xf numFmtId="202" fontId="5" fillId="0" borderId="0" xfId="159" applyNumberFormat="1" applyFont="1" applyBorder="1" applyAlignment="1">
      <alignment vertical="top"/>
    </xf>
    <xf numFmtId="176" fontId="0" fillId="0" borderId="0" xfId="221" applyFont="1" applyAlignment="1">
      <alignment horizontal="right" vertical="top"/>
    </xf>
    <xf numFmtId="176" fontId="0" fillId="0" borderId="8" xfId="0" applyBorder="1" applyAlignment="1">
      <alignment vertical="top"/>
    </xf>
    <xf numFmtId="41" fontId="0" fillId="0" borderId="8" xfId="4" applyFont="1" applyBorder="1" applyAlignment="1">
      <alignment vertical="top"/>
    </xf>
    <xf numFmtId="41" fontId="0" fillId="0" borderId="0" xfId="4" applyFont="1" applyBorder="1" applyAlignment="1">
      <alignment vertical="top"/>
    </xf>
    <xf numFmtId="176" fontId="7" fillId="0" borderId="8" xfId="0" applyFont="1" applyBorder="1" applyAlignment="1">
      <alignment vertical="top"/>
    </xf>
    <xf numFmtId="176" fontId="7" fillId="0" borderId="6" xfId="0" applyFont="1" applyBorder="1" applyAlignment="1">
      <alignment vertical="top"/>
    </xf>
    <xf numFmtId="207" fontId="0" fillId="0" borderId="0" xfId="221" applyNumberFormat="1" applyFont="1" applyBorder="1">
      <alignment vertical="top"/>
    </xf>
    <xf numFmtId="176" fontId="5" fillId="0" borderId="0" xfId="221" applyFont="1" applyBorder="1" applyAlignment="1"/>
    <xf numFmtId="0" fontId="5" fillId="0" borderId="0" xfId="221" applyNumberFormat="1" applyFont="1" applyBorder="1" applyAlignment="1"/>
    <xf numFmtId="176" fontId="0" fillId="0" borderId="0" xfId="0" applyFont="1" applyAlignment="1">
      <alignment vertical="center"/>
    </xf>
    <xf numFmtId="176" fontId="145" fillId="0" borderId="0" xfId="253" applyNumberFormat="1" applyFont="1" applyAlignment="1">
      <alignment vertical="top"/>
    </xf>
    <xf numFmtId="176" fontId="0" fillId="0" borderId="0" xfId="253" applyNumberFormat="1" applyFont="1" applyAlignment="1">
      <alignment vertical="top"/>
    </xf>
    <xf numFmtId="176" fontId="146" fillId="0" borderId="0" xfId="221" applyFont="1" applyAlignment="1">
      <alignment horizontal="center" vertical="top"/>
    </xf>
    <xf numFmtId="176" fontId="24" fillId="0" borderId="0" xfId="221" applyFont="1" applyAlignment="1">
      <alignment horizontal="center" vertical="top"/>
    </xf>
    <xf numFmtId="176" fontId="1" fillId="0" borderId="0" xfId="221" applyFont="1" applyAlignment="1">
      <alignment horizontal="center" vertical="top"/>
    </xf>
    <xf numFmtId="37" fontId="1" fillId="0" borderId="0" xfId="221" applyNumberFormat="1" applyFont="1" applyAlignment="1">
      <alignment horizontal="left" vertical="top"/>
    </xf>
    <xf numFmtId="0" fontId="1" fillId="0" borderId="0" xfId="221" applyNumberFormat="1" applyFont="1" applyAlignment="1">
      <alignment horizontal="center" vertical="top"/>
    </xf>
    <xf numFmtId="0" fontId="1" fillId="0" borderId="0" xfId="221" applyNumberFormat="1" applyFont="1" applyAlignment="1">
      <alignment horizontal="left" vertical="top"/>
    </xf>
    <xf numFmtId="176" fontId="28" fillId="0" borderId="0" xfId="221" applyFont="1">
      <alignment vertical="top"/>
    </xf>
    <xf numFmtId="176" fontId="7" fillId="0" borderId="0" xfId="159" applyNumberFormat="1" applyFont="1" applyAlignment="1">
      <alignment vertical="top"/>
    </xf>
    <xf numFmtId="176" fontId="0" fillId="0" borderId="0" xfId="0" applyAlignment="1">
      <alignment horizontal="right" vertical="center"/>
    </xf>
    <xf numFmtId="183" fontId="0" fillId="0" borderId="0" xfId="4" applyNumberFormat="1" applyFont="1" applyAlignment="1">
      <alignment horizontal="center" vertical="top"/>
    </xf>
    <xf numFmtId="41" fontId="7" fillId="0" borderId="0" xfId="4" applyFont="1" applyBorder="1" applyAlignment="1">
      <alignment horizontal="center" vertical="top"/>
    </xf>
    <xf numFmtId="176" fontId="0" fillId="0" borderId="0" xfId="0" applyFont="1" applyAlignment="1">
      <alignment horizontal="right" vertical="center"/>
    </xf>
    <xf numFmtId="176" fontId="5" fillId="0" borderId="5" xfId="0" applyFont="1" applyBorder="1" applyAlignment="1">
      <alignment horizontal="center"/>
    </xf>
    <xf numFmtId="176" fontId="1" fillId="0" borderId="0" xfId="149" applyNumberFormat="1" applyFont="1" applyAlignment="1">
      <alignment vertical="top"/>
    </xf>
    <xf numFmtId="207" fontId="1" fillId="0" borderId="0" xfId="221" applyNumberFormat="1" applyFont="1">
      <alignment vertical="top"/>
    </xf>
    <xf numFmtId="207" fontId="6" fillId="0" borderId="0" xfId="221" applyNumberFormat="1" applyFont="1">
      <alignment vertical="top"/>
    </xf>
    <xf numFmtId="41" fontId="7" fillId="0" borderId="6" xfId="4" applyFont="1" applyBorder="1" applyAlignment="1">
      <alignment vertical="top"/>
    </xf>
    <xf numFmtId="176" fontId="6" fillId="0" borderId="0" xfId="221" applyFont="1" applyBorder="1">
      <alignment vertical="top"/>
    </xf>
    <xf numFmtId="176" fontId="1" fillId="0" borderId="0" xfId="221" applyFont="1" applyBorder="1" applyAlignment="1">
      <alignment horizontal="center" vertical="top"/>
    </xf>
    <xf numFmtId="176" fontId="0" fillId="0" borderId="0" xfId="0" applyFont="1" applyBorder="1" applyAlignment="1">
      <alignment horizontal="right" vertical="top"/>
    </xf>
    <xf numFmtId="41" fontId="7" fillId="0" borderId="0" xfId="4" applyFont="1" applyBorder="1" applyAlignment="1">
      <alignment vertical="top"/>
    </xf>
    <xf numFmtId="176" fontId="1" fillId="0" borderId="0" xfId="221" applyFont="1" applyBorder="1">
      <alignment vertical="top"/>
    </xf>
    <xf numFmtId="0" fontId="0" fillId="0" borderId="0" xfId="0" applyNumberFormat="1" applyFont="1" applyAlignment="1">
      <alignment horizontal="justify" vertical="top"/>
    </xf>
    <xf numFmtId="176" fontId="147" fillId="0" borderId="0" xfId="0" applyFont="1" applyAlignment="1">
      <alignment horizontal="left" vertical="top"/>
    </xf>
    <xf numFmtId="176" fontId="148" fillId="0" borderId="0" xfId="0" applyFont="1">
      <alignment vertical="top"/>
    </xf>
    <xf numFmtId="176" fontId="121" fillId="0" borderId="0" xfId="149" applyNumberFormat="1" applyFont="1" applyAlignment="1">
      <alignment horizontal="left" vertical="top"/>
    </xf>
    <xf numFmtId="176" fontId="1" fillId="0" borderId="0" xfId="253" applyNumberFormat="1" applyFont="1" applyAlignment="1">
      <alignment vertical="top"/>
    </xf>
    <xf numFmtId="176" fontId="147" fillId="0" borderId="0" xfId="0" applyFont="1">
      <alignment vertical="top"/>
    </xf>
    <xf numFmtId="176" fontId="5" fillId="0" borderId="5" xfId="0" applyFont="1" applyBorder="1" applyAlignment="1">
      <alignment horizontal="center" vertical="top"/>
    </xf>
    <xf numFmtId="176" fontId="1" fillId="0" borderId="0" xfId="0" applyFont="1" applyAlignment="1">
      <alignment horizontal="center" vertical="top"/>
    </xf>
    <xf numFmtId="176" fontId="1" fillId="0" borderId="0" xfId="159" applyNumberFormat="1" applyFont="1" applyAlignment="1">
      <alignment horizontal="right" vertical="top"/>
    </xf>
    <xf numFmtId="176" fontId="1" fillId="0" borderId="0" xfId="159" applyNumberFormat="1" applyFont="1" applyBorder="1" applyAlignment="1">
      <alignment horizontal="right" vertical="top"/>
    </xf>
    <xf numFmtId="176" fontId="1" fillId="0" borderId="5" xfId="159" applyNumberFormat="1" applyFont="1" applyBorder="1" applyAlignment="1">
      <alignment horizontal="right" vertical="top"/>
    </xf>
    <xf numFmtId="176" fontId="1" fillId="0" borderId="0" xfId="0" applyFont="1" applyAlignment="1">
      <alignment horizontal="right" vertical="top"/>
    </xf>
    <xf numFmtId="176" fontId="5" fillId="0" borderId="0" xfId="0" applyFont="1" applyAlignment="1">
      <alignment horizontal="center" vertical="top" wrapText="1"/>
    </xf>
    <xf numFmtId="176" fontId="5" fillId="0" borderId="5" xfId="0" applyFont="1" applyBorder="1" applyAlignment="1">
      <alignment horizontal="center" vertical="top" wrapText="1"/>
    </xf>
    <xf numFmtId="176" fontId="1" fillId="0" borderId="5" xfId="0" applyFont="1" applyBorder="1" applyAlignment="1">
      <alignment horizontal="right" vertical="top"/>
    </xf>
    <xf numFmtId="186" fontId="1" fillId="0" borderId="0" xfId="149" applyNumberFormat="1" applyFont="1" applyAlignment="1">
      <alignment horizontal="right" vertical="top"/>
    </xf>
    <xf numFmtId="176" fontId="5" fillId="0" borderId="6" xfId="159" applyNumberFormat="1" applyFont="1" applyBorder="1" applyAlignment="1">
      <alignment vertical="top"/>
    </xf>
    <xf numFmtId="176" fontId="5" fillId="0" borderId="0" xfId="159" applyNumberFormat="1" applyFont="1" applyBorder="1" applyAlignment="1">
      <alignment horizontal="right" vertical="top"/>
    </xf>
    <xf numFmtId="0" fontId="0" fillId="0" borderId="0" xfId="234" applyFont="1" applyAlignment="1">
      <alignment vertical="top"/>
    </xf>
    <xf numFmtId="41" fontId="7" fillId="0" borderId="0" xfId="105" applyFont="1" applyAlignment="1">
      <alignment vertical="center"/>
    </xf>
    <xf numFmtId="37" fontId="0" fillId="0" borderId="0" xfId="234" applyNumberFormat="1" applyFont="1" applyAlignment="1">
      <alignment horizontal="left"/>
    </xf>
    <xf numFmtId="37" fontId="7" fillId="0" borderId="0" xfId="234" applyNumberFormat="1" applyFont="1" applyAlignment="1">
      <alignment horizontal="left"/>
    </xf>
    <xf numFmtId="0" fontId="0" fillId="0" borderId="0" xfId="234" applyFont="1" applyAlignment="1">
      <alignment horizontal="justify" vertical="center"/>
    </xf>
    <xf numFmtId="176" fontId="0" fillId="0" borderId="0" xfId="221" applyFont="1" applyAlignment="1">
      <alignment horizontal="justify" vertical="top"/>
    </xf>
    <xf numFmtId="37" fontId="145" fillId="0" borderId="0" xfId="221" applyNumberFormat="1" applyFont="1" applyAlignment="1">
      <alignment horizontal="left" vertical="top" indent="1"/>
    </xf>
    <xf numFmtId="37" fontId="149" fillId="0" borderId="0" xfId="221" applyNumberFormat="1" applyFont="1" applyAlignment="1">
      <alignment horizontal="left" vertical="top"/>
    </xf>
    <xf numFmtId="37" fontId="5" fillId="0" borderId="0" xfId="221" applyNumberFormat="1" applyFont="1" applyAlignment="1">
      <alignment horizontal="left" vertical="top"/>
    </xf>
    <xf numFmtId="0" fontId="24" fillId="0" borderId="0" xfId="221" applyNumberFormat="1" applyFont="1" applyAlignment="1">
      <alignment horizontal="center" vertical="top"/>
    </xf>
    <xf numFmtId="37" fontId="24" fillId="0" borderId="0" xfId="221" applyNumberFormat="1" applyFont="1" applyAlignment="1">
      <alignment horizontal="left" vertical="top"/>
    </xf>
    <xf numFmtId="176" fontId="7" fillId="0" borderId="6" xfId="0" applyFont="1" applyBorder="1" applyAlignment="1">
      <alignment horizontal="right" vertical="top"/>
    </xf>
    <xf numFmtId="41" fontId="121" fillId="0" borderId="0" xfId="4" applyFont="1" applyAlignment="1">
      <alignment horizontal="center" vertical="top"/>
    </xf>
    <xf numFmtId="41" fontId="7" fillId="0" borderId="19" xfId="4" applyFont="1" applyBorder="1" applyAlignment="1">
      <alignment horizontal="center" vertical="top"/>
    </xf>
    <xf numFmtId="176" fontId="5" fillId="0" borderId="0" xfId="221" applyFont="1" applyBorder="1" applyAlignment="1">
      <alignment horizontal="center"/>
    </xf>
    <xf numFmtId="176" fontId="0" fillId="0" borderId="5" xfId="0" applyBorder="1" applyAlignment="1">
      <alignment horizontal="right" vertical="center"/>
    </xf>
    <xf numFmtId="176" fontId="7" fillId="0" borderId="6" xfId="0" applyFont="1" applyBorder="1" applyAlignment="1">
      <alignment horizontal="right" vertical="center"/>
    </xf>
    <xf numFmtId="176" fontId="5" fillId="0" borderId="6" xfId="159" applyNumberFormat="1" applyFont="1" applyBorder="1" applyAlignment="1">
      <alignment horizontal="right" vertical="top"/>
    </xf>
    <xf numFmtId="41" fontId="70" fillId="0" borderId="0" xfId="4" applyFont="1" applyAlignment="1">
      <alignment horizontal="center" vertical="top"/>
    </xf>
    <xf numFmtId="41" fontId="121" fillId="0" borderId="0" xfId="4" applyFont="1" applyAlignment="1">
      <alignment vertical="top"/>
    </xf>
    <xf numFmtId="176" fontId="0" fillId="0" borderId="0" xfId="0" applyBorder="1" applyAlignment="1">
      <alignment horizontal="right" vertical="top"/>
    </xf>
    <xf numFmtId="176" fontId="7" fillId="0" borderId="0" xfId="0" applyFont="1" applyAlignment="1">
      <alignment horizontal="left" vertical="top"/>
    </xf>
    <xf numFmtId="176" fontId="0" fillId="0" borderId="0" xfId="253" applyNumberFormat="1" applyFont="1" applyAlignment="1">
      <alignment horizontal="left" vertical="top"/>
    </xf>
    <xf numFmtId="176" fontId="0" fillId="0" borderId="5" xfId="253" applyNumberFormat="1" applyFont="1" applyBorder="1" applyAlignment="1">
      <alignment vertical="top"/>
    </xf>
    <xf numFmtId="176" fontId="0" fillId="0" borderId="5" xfId="253" applyNumberFormat="1" applyFont="1" applyBorder="1" applyAlignment="1">
      <alignment horizontal="left" vertical="top"/>
    </xf>
    <xf numFmtId="176" fontId="5" fillId="0" borderId="0" xfId="159" applyNumberFormat="1" applyFont="1" applyAlignment="1">
      <alignment vertical="top"/>
    </xf>
    <xf numFmtId="176" fontId="5" fillId="0" borderId="5" xfId="221" applyNumberFormat="1" applyFont="1" applyBorder="1" applyAlignment="1">
      <alignment horizontal="center"/>
    </xf>
    <xf numFmtId="41" fontId="0" fillId="0" borderId="62" xfId="4" applyFont="1" applyBorder="1" applyAlignment="1">
      <alignment horizontal="center" vertical="top"/>
    </xf>
    <xf numFmtId="41" fontId="0" fillId="0" borderId="62" xfId="4" applyFont="1" applyBorder="1" applyAlignment="1">
      <alignment vertical="top"/>
    </xf>
    <xf numFmtId="176" fontId="0" fillId="0" borderId="5" xfId="0" applyBorder="1" applyAlignment="1">
      <alignment vertical="top"/>
    </xf>
    <xf numFmtId="176" fontId="127" fillId="0" borderId="0" xfId="0" applyFont="1" applyAlignment="1">
      <alignment horizontal="right" vertical="center" wrapText="1"/>
    </xf>
    <xf numFmtId="176" fontId="7" fillId="0" borderId="0" xfId="0" applyFont="1" applyBorder="1" applyAlignment="1">
      <alignment horizontal="center" vertical="top"/>
    </xf>
    <xf numFmtId="176" fontId="5" fillId="0" borderId="0" xfId="159" applyNumberFormat="1" applyFont="1" applyBorder="1" applyAlignment="1">
      <alignment vertical="top"/>
    </xf>
    <xf numFmtId="49" fontId="1" fillId="0" borderId="5" xfId="0" applyNumberFormat="1" applyFont="1" applyBorder="1">
      <alignment vertical="top"/>
    </xf>
    <xf numFmtId="183" fontId="0" fillId="0" borderId="0" xfId="0" applyNumberFormat="1" applyAlignment="1">
      <alignment horizontal="center" vertical="center"/>
    </xf>
    <xf numFmtId="183" fontId="0" fillId="0" borderId="0" xfId="0" applyNumberFormat="1" applyFont="1" applyAlignment="1">
      <alignment horizontal="center" vertical="center"/>
    </xf>
    <xf numFmtId="49" fontId="149" fillId="0" borderId="0" xfId="0" applyNumberFormat="1" applyFont="1">
      <alignment vertical="top"/>
    </xf>
    <xf numFmtId="176" fontId="1" fillId="0" borderId="0" xfId="0" applyFont="1" applyAlignment="1">
      <alignment horizontal="justify" vertical="top"/>
    </xf>
    <xf numFmtId="176" fontId="0" fillId="0" borderId="0" xfId="221" applyFont="1" applyAlignment="1">
      <alignment horizontal="center" vertical="top"/>
    </xf>
    <xf numFmtId="176" fontId="7" fillId="0" borderId="0" xfId="221" applyFont="1">
      <alignment vertical="top"/>
    </xf>
    <xf numFmtId="176" fontId="0" fillId="0" borderId="0" xfId="221" applyFont="1" applyAlignment="1">
      <alignment horizontal="center" vertical="center"/>
    </xf>
    <xf numFmtId="37" fontId="1" fillId="0" borderId="5" xfId="4" applyNumberFormat="1" applyFont="1" applyBorder="1" applyAlignment="1">
      <alignment horizontal="center" vertical="top"/>
    </xf>
    <xf numFmtId="37" fontId="1" fillId="0" borderId="8" xfId="4" applyNumberFormat="1" applyFont="1" applyBorder="1" applyAlignment="1">
      <alignment horizontal="center" vertical="top"/>
    </xf>
    <xf numFmtId="37" fontId="1" fillId="0" borderId="0" xfId="4" applyNumberFormat="1" applyFont="1" applyBorder="1" applyAlignment="1">
      <alignment horizontal="center" vertical="top"/>
    </xf>
    <xf numFmtId="9" fontId="1" fillId="0" borderId="0" xfId="0" applyNumberFormat="1" applyFont="1" applyAlignment="1">
      <alignment horizontal="center" vertical="center"/>
    </xf>
    <xf numFmtId="176" fontId="1" fillId="0" borderId="0" xfId="159" applyNumberFormat="1" applyFont="1" applyAlignment="1">
      <alignment vertical="top"/>
    </xf>
    <xf numFmtId="176" fontId="0" fillId="0" borderId="0" xfId="0" applyFont="1" applyAlignment="1">
      <alignment horizontal="center" vertical="center"/>
    </xf>
    <xf numFmtId="183" fontId="0" fillId="0" borderId="0" xfId="0" applyNumberFormat="1" applyFont="1" applyAlignment="1">
      <alignment horizontal="right" vertical="center"/>
    </xf>
    <xf numFmtId="183" fontId="0" fillId="0" borderId="0" xfId="0" applyNumberFormat="1" applyAlignment="1">
      <alignment horizontal="center"/>
    </xf>
    <xf numFmtId="183" fontId="0" fillId="0" borderId="0" xfId="0" applyNumberFormat="1" applyAlignment="1">
      <alignment vertical="center"/>
    </xf>
    <xf numFmtId="183" fontId="7" fillId="0" borderId="0" xfId="0" applyNumberFormat="1" applyFont="1" applyAlignment="1">
      <alignment horizontal="center" vertical="center"/>
    </xf>
    <xf numFmtId="183" fontId="7" fillId="0" borderId="19" xfId="0" applyNumberFormat="1" applyFont="1" applyBorder="1" applyAlignment="1">
      <alignment horizontal="center" vertical="center"/>
    </xf>
    <xf numFmtId="176" fontId="0" fillId="0" borderId="5" xfId="149" applyNumberFormat="1" applyFont="1" applyBorder="1" applyAlignment="1">
      <alignment vertical="top"/>
    </xf>
    <xf numFmtId="176" fontId="0" fillId="0" borderId="0" xfId="263" applyNumberFormat="1" applyFont="1">
      <alignment vertical="top"/>
    </xf>
    <xf numFmtId="207" fontId="0" fillId="0" borderId="0" xfId="263" applyNumberFormat="1" applyFont="1">
      <alignment vertical="top"/>
    </xf>
    <xf numFmtId="0" fontId="7" fillId="0" borderId="0" xfId="133" applyNumberFormat="1" applyFont="1" applyAlignment="1">
      <alignment horizontal="left" vertical="top"/>
    </xf>
    <xf numFmtId="209" fontId="0" fillId="0" borderId="0" xfId="0" applyNumberFormat="1" applyAlignment="1">
      <alignment horizontal="justify" vertical="top"/>
    </xf>
    <xf numFmtId="209" fontId="0" fillId="0" borderId="0" xfId="0" applyNumberFormat="1" applyFont="1" applyAlignment="1">
      <alignment horizontal="justify" vertical="top"/>
    </xf>
    <xf numFmtId="0" fontId="7" fillId="0" borderId="5" xfId="0" applyNumberFormat="1" applyFont="1" applyBorder="1" applyAlignment="1">
      <alignment horizontal="left" vertical="top"/>
    </xf>
    <xf numFmtId="0" fontId="0" fillId="0" borderId="0" xfId="133" applyNumberFormat="1" applyFont="1" applyAlignment="1">
      <alignment horizontal="left" vertical="top"/>
    </xf>
    <xf numFmtId="209" fontId="0" fillId="0" borderId="0" xfId="0" applyNumberFormat="1" applyAlignment="1">
      <alignment vertical="top"/>
    </xf>
    <xf numFmtId="209" fontId="0" fillId="0" borderId="0" xfId="0" applyNumberFormat="1" applyFont="1" applyAlignment="1">
      <alignment vertical="top"/>
    </xf>
    <xf numFmtId="0" fontId="7" fillId="0" borderId="0" xfId="130" applyNumberFormat="1" applyFont="1" applyAlignment="1">
      <alignment horizontal="left" vertical="top"/>
    </xf>
    <xf numFmtId="0" fontId="0" fillId="0" borderId="0" xfId="130" applyNumberFormat="1" applyFont="1" applyAlignment="1">
      <alignment horizontal="left" vertical="top"/>
    </xf>
    <xf numFmtId="0" fontId="0" fillId="0" borderId="0" xfId="265" applyFont="1" applyAlignment="1">
      <alignment vertical="top"/>
    </xf>
    <xf numFmtId="0" fontId="0" fillId="0" borderId="0" xfId="133" applyNumberFormat="1" applyFont="1" applyAlignment="1">
      <alignment vertical="top"/>
    </xf>
    <xf numFmtId="0" fontId="0" fillId="0" borderId="0" xfId="133" applyNumberFormat="1" applyFont="1" applyAlignment="1">
      <alignment horizontal="justify" vertical="top" wrapText="1"/>
    </xf>
    <xf numFmtId="176" fontId="0" fillId="0" borderId="0" xfId="133" applyNumberFormat="1" applyFont="1" applyAlignment="1">
      <alignment horizontal="left" vertical="top"/>
    </xf>
    <xf numFmtId="176" fontId="7" fillId="0" borderId="5" xfId="149" applyNumberFormat="1" applyFont="1" applyBorder="1" applyAlignment="1">
      <alignment horizontal="center" vertical="top"/>
    </xf>
    <xf numFmtId="176" fontId="7" fillId="0" borderId="19" xfId="0" applyFont="1" applyBorder="1" applyAlignment="1">
      <alignment horizontal="right" vertical="top"/>
    </xf>
    <xf numFmtId="176" fontId="7" fillId="0" borderId="62" xfId="0" applyFont="1" applyBorder="1" applyAlignment="1">
      <alignment horizontal="right" vertical="top"/>
    </xf>
    <xf numFmtId="176" fontId="5" fillId="0" borderId="0" xfId="221" applyFont="1" applyAlignment="1">
      <alignment horizontal="center"/>
    </xf>
    <xf numFmtId="176" fontId="5" fillId="0" borderId="0" xfId="221" applyFont="1" applyAlignment="1"/>
    <xf numFmtId="176" fontId="7" fillId="0" borderId="0" xfId="0" applyFont="1" applyBorder="1" applyAlignment="1">
      <alignment horizontal="right" vertical="top"/>
    </xf>
    <xf numFmtId="176" fontId="7" fillId="0" borderId="19" xfId="0" applyFont="1" applyBorder="1" applyAlignment="1">
      <alignment vertical="top"/>
    </xf>
    <xf numFmtId="176" fontId="7" fillId="0" borderId="62" xfId="0" applyFont="1" applyBorder="1" applyAlignment="1">
      <alignment vertical="top"/>
    </xf>
    <xf numFmtId="176" fontId="7" fillId="0" borderId="0" xfId="130" applyNumberFormat="1" applyFont="1" applyAlignment="1">
      <alignment horizontal="left" vertical="top"/>
    </xf>
    <xf numFmtId="0" fontId="128" fillId="0" borderId="0" xfId="133" applyNumberFormat="1" applyFont="1" applyAlignment="1">
      <alignment horizontal="left" vertical="top"/>
    </xf>
    <xf numFmtId="176" fontId="0" fillId="0" borderId="0" xfId="149" applyNumberFormat="1" applyFont="1" applyAlignment="1">
      <alignment horizontal="right" vertical="top"/>
    </xf>
    <xf numFmtId="49" fontId="7" fillId="0" borderId="0" xfId="133" applyNumberFormat="1" applyFont="1"/>
    <xf numFmtId="0" fontId="0" fillId="0" borderId="0" xfId="0" applyNumberFormat="1">
      <alignment vertical="top"/>
    </xf>
    <xf numFmtId="0" fontId="7" fillId="0" borderId="0" xfId="265" applyFont="1" applyAlignment="1">
      <alignment vertical="top"/>
    </xf>
    <xf numFmtId="0" fontId="0" fillId="0" borderId="0" xfId="133" applyNumberFormat="1" applyFont="1" applyAlignment="1">
      <alignment horizontal="center" vertical="top"/>
    </xf>
    <xf numFmtId="0" fontId="0" fillId="0" borderId="0" xfId="265" applyFont="1" applyAlignment="1">
      <alignment horizontal="justify" vertical="top" wrapText="1"/>
    </xf>
    <xf numFmtId="176" fontId="28" fillId="0" borderId="5" xfId="149" applyNumberFormat="1" applyFont="1" applyBorder="1" applyAlignment="1">
      <alignment vertical="top"/>
    </xf>
    <xf numFmtId="176" fontId="0" fillId="0" borderId="5" xfId="0" applyFont="1" applyBorder="1" applyAlignment="1">
      <alignment horizontal="justify" vertical="top"/>
    </xf>
    <xf numFmtId="176" fontId="7" fillId="0" borderId="0" xfId="0" applyFont="1" applyAlignment="1">
      <alignment horizontal="left" vertical="center"/>
    </xf>
    <xf numFmtId="176" fontId="7" fillId="0" borderId="0" xfId="149" applyNumberFormat="1" applyFont="1" applyAlignment="1">
      <alignment vertical="top"/>
    </xf>
    <xf numFmtId="176" fontId="96" fillId="0" borderId="0" xfId="149" applyNumberFormat="1" applyFont="1" applyAlignment="1">
      <alignment vertical="top"/>
    </xf>
    <xf numFmtId="176" fontId="96" fillId="0" borderId="0" xfId="0" applyFont="1" applyAlignment="1">
      <alignment horizontal="left" vertical="top"/>
    </xf>
    <xf numFmtId="176" fontId="95" fillId="0" borderId="0" xfId="149" applyNumberFormat="1" applyFont="1" applyAlignment="1">
      <alignment vertical="top"/>
    </xf>
    <xf numFmtId="0" fontId="109" fillId="0" borderId="0" xfId="0" applyNumberFormat="1" applyFont="1" applyBorder="1" applyAlignment="1">
      <alignment horizontal="center" vertical="top"/>
    </xf>
    <xf numFmtId="0" fontId="109" fillId="0" borderId="0" xfId="0" applyNumberFormat="1" applyFont="1" applyBorder="1" applyAlignment="1">
      <alignment horizontal="left" vertical="top"/>
    </xf>
    <xf numFmtId="176" fontId="0" fillId="0" borderId="19" xfId="0" applyFont="1" applyBorder="1" applyAlignment="1">
      <alignment horizontal="right" vertical="top"/>
    </xf>
    <xf numFmtId="176" fontId="96" fillId="0" borderId="0" xfId="0" applyFont="1" applyBorder="1" applyAlignment="1">
      <alignment horizontal="left" vertical="top"/>
    </xf>
    <xf numFmtId="176" fontId="7" fillId="0" borderId="0" xfId="149" applyNumberFormat="1" applyFont="1" applyBorder="1" applyAlignment="1">
      <alignment vertical="top"/>
    </xf>
    <xf numFmtId="176" fontId="0" fillId="0" borderId="19" xfId="0" applyFont="1" applyBorder="1" applyAlignment="1">
      <alignment vertical="top"/>
    </xf>
    <xf numFmtId="176" fontId="7" fillId="0" borderId="5" xfId="0" applyFont="1" applyBorder="1" applyAlignment="1">
      <alignment vertical="top"/>
    </xf>
    <xf numFmtId="176" fontId="0" fillId="0" borderId="0" xfId="263" applyNumberFormat="1" applyFont="1" applyAlignment="1">
      <alignment vertical="top"/>
    </xf>
    <xf numFmtId="176" fontId="0" fillId="0" borderId="0" xfId="263" applyNumberFormat="1" applyFont="1" applyAlignment="1">
      <alignment horizontal="left" vertical="top"/>
    </xf>
    <xf numFmtId="176" fontId="96" fillId="0" borderId="0" xfId="0" applyFont="1" applyAlignment="1">
      <alignment horizontal="left" vertical="top" indent="1"/>
    </xf>
    <xf numFmtId="176" fontId="95" fillId="0" borderId="0" xfId="0" applyFont="1" applyAlignment="1">
      <alignment horizontal="left" vertical="top"/>
    </xf>
    <xf numFmtId="176" fontId="25" fillId="0" borderId="0" xfId="0" applyFont="1" applyAlignment="1"/>
    <xf numFmtId="37" fontId="0" fillId="0" borderId="0" xfId="0" applyNumberFormat="1" applyAlignment="1">
      <alignment horizontal="left"/>
    </xf>
    <xf numFmtId="37" fontId="7" fillId="0" borderId="0" xfId="0" applyNumberFormat="1" applyFont="1" applyAlignment="1">
      <alignment horizontal="left"/>
    </xf>
    <xf numFmtId="176" fontId="125" fillId="0" borderId="0" xfId="0" applyFont="1">
      <alignment vertical="top"/>
    </xf>
    <xf numFmtId="176" fontId="96" fillId="0" borderId="0" xfId="0" applyFont="1" applyAlignment="1">
      <alignment horizontal="center" vertical="top"/>
    </xf>
    <xf numFmtId="176" fontId="150" fillId="0" borderId="0" xfId="0" applyFont="1" applyAlignment="1">
      <alignment horizontal="center" vertical="top"/>
    </xf>
    <xf numFmtId="176" fontId="96" fillId="0" borderId="6" xfId="0" applyFont="1" applyBorder="1" applyAlignment="1">
      <alignment horizontal="center" vertical="top"/>
    </xf>
    <xf numFmtId="0" fontId="95" fillId="0" borderId="5" xfId="0" applyNumberFormat="1" applyFont="1" applyBorder="1" applyAlignment="1">
      <alignment horizontal="center" vertical="top" wrapText="1"/>
    </xf>
    <xf numFmtId="9" fontId="96" fillId="0" borderId="0" xfId="3" applyFont="1" applyAlignment="1">
      <alignment horizontal="center" vertical="top"/>
    </xf>
    <xf numFmtId="210" fontId="96" fillId="0" borderId="0" xfId="3" applyNumberFormat="1" applyFont="1" applyAlignment="1">
      <alignment horizontal="center" vertical="top"/>
    </xf>
    <xf numFmtId="210" fontId="96" fillId="0" borderId="6" xfId="3" applyNumberFormat="1" applyFont="1" applyBorder="1" applyAlignment="1">
      <alignment horizontal="center" vertical="top"/>
    </xf>
    <xf numFmtId="9" fontId="7" fillId="0" borderId="0" xfId="3" applyFont="1" applyBorder="1" applyAlignment="1">
      <alignment horizontal="center" vertical="top"/>
    </xf>
    <xf numFmtId="0" fontId="95" fillId="0" borderId="5" xfId="0" applyNumberFormat="1" applyFont="1" applyBorder="1" applyAlignment="1">
      <alignment horizontal="center" vertical="top"/>
    </xf>
    <xf numFmtId="176" fontId="96" fillId="0" borderId="0" xfId="0" applyFont="1" applyAlignment="1">
      <alignment horizontal="right" vertical="top"/>
    </xf>
    <xf numFmtId="176" fontId="96" fillId="0" borderId="6" xfId="0" applyFont="1" applyBorder="1" applyAlignment="1">
      <alignment horizontal="right" vertical="top"/>
    </xf>
    <xf numFmtId="10" fontId="7" fillId="0" borderId="0" xfId="3" applyNumberFormat="1" applyFont="1" applyBorder="1" applyAlignment="1">
      <alignment horizontal="center" vertical="top"/>
    </xf>
    <xf numFmtId="0" fontId="95" fillId="0" borderId="0" xfId="0" applyNumberFormat="1" applyFont="1" applyBorder="1" applyAlignment="1">
      <alignment horizontal="left" vertical="top"/>
    </xf>
    <xf numFmtId="176" fontId="1" fillId="0" borderId="5" xfId="0" applyFont="1" applyBorder="1" applyAlignment="1"/>
    <xf numFmtId="220" fontId="0" fillId="0" borderId="19" xfId="0" applyNumberFormat="1" applyBorder="1" applyAlignment="1">
      <alignment horizontal="center" vertical="top"/>
    </xf>
    <xf numFmtId="176" fontId="1" fillId="0" borderId="0" xfId="0" applyFont="1" applyBorder="1" applyAlignment="1"/>
    <xf numFmtId="220" fontId="0" fillId="0" borderId="0" xfId="0" applyNumberFormat="1" applyBorder="1" applyAlignment="1">
      <alignment horizontal="center" vertical="top"/>
    </xf>
    <xf numFmtId="220" fontId="0" fillId="0" borderId="19" xfId="0" applyNumberFormat="1" applyBorder="1" applyAlignment="1">
      <alignment vertical="top"/>
    </xf>
    <xf numFmtId="0" fontId="5" fillId="0" borderId="5" xfId="0" applyNumberFormat="1" applyFont="1" applyBorder="1" applyAlignment="1"/>
    <xf numFmtId="220" fontId="0" fillId="0" borderId="0" xfId="0" applyNumberFormat="1" applyBorder="1" applyAlignment="1">
      <alignment vertical="top"/>
    </xf>
    <xf numFmtId="0" fontId="5" fillId="0" borderId="0" xfId="0" applyNumberFormat="1" applyFont="1" applyBorder="1" applyAlignment="1"/>
    <xf numFmtId="176" fontId="7" fillId="0" borderId="5" xfId="0" applyFont="1" applyBorder="1" applyAlignment="1">
      <alignment horizontal="left" vertical="top"/>
    </xf>
    <xf numFmtId="176" fontId="121" fillId="0" borderId="5" xfId="0" applyFont="1" applyBorder="1" applyAlignment="1">
      <alignment vertical="top"/>
    </xf>
    <xf numFmtId="37" fontId="128" fillId="0" borderId="0" xfId="0" applyNumberFormat="1" applyFont="1" applyAlignment="1">
      <alignment horizontal="left"/>
    </xf>
    <xf numFmtId="176" fontId="149" fillId="0" borderId="0" xfId="0" applyFont="1">
      <alignment vertical="top"/>
    </xf>
    <xf numFmtId="176" fontId="7" fillId="0" borderId="0" xfId="159" applyNumberFormat="1" applyFont="1"/>
    <xf numFmtId="176" fontId="7" fillId="0" borderId="6" xfId="159" applyNumberFormat="1" applyFont="1" applyBorder="1"/>
    <xf numFmtId="176" fontId="0" fillId="0" borderId="6" xfId="0" applyBorder="1">
      <alignment vertical="top"/>
    </xf>
    <xf numFmtId="176" fontId="0" fillId="0" borderId="8" xfId="0" applyFont="1" applyBorder="1" applyAlignment="1"/>
    <xf numFmtId="176" fontId="0" fillId="0" borderId="0" xfId="0" applyFont="1" applyAlignment="1">
      <alignment horizontal="right"/>
    </xf>
    <xf numFmtId="176" fontId="5" fillId="0" borderId="0" xfId="159" applyNumberFormat="1" applyFont="1" applyAlignment="1">
      <alignment horizontal="right" vertical="top"/>
    </xf>
    <xf numFmtId="176" fontId="7" fillId="0" borderId="6" xfId="159" applyNumberFormat="1" applyFont="1" applyBorder="1" applyAlignment="1"/>
    <xf numFmtId="202" fontId="0" fillId="0" borderId="6" xfId="159" applyNumberFormat="1" applyFont="1" applyBorder="1" applyAlignment="1">
      <alignment vertical="top"/>
    </xf>
    <xf numFmtId="176" fontId="7" fillId="0" borderId="0" xfId="159" applyNumberFormat="1" applyFont="1" applyBorder="1" applyAlignment="1"/>
    <xf numFmtId="176" fontId="151" fillId="0" borderId="0" xfId="263" applyNumberFormat="1" applyFont="1" applyAlignment="1">
      <alignment horizontal="center" vertical="top"/>
    </xf>
    <xf numFmtId="176" fontId="151" fillId="0" borderId="0" xfId="263" applyNumberFormat="1" applyFont="1">
      <alignment vertical="top"/>
    </xf>
    <xf numFmtId="176" fontId="151" fillId="0" borderId="0" xfId="263" applyNumberFormat="1" applyFont="1" applyAlignment="1">
      <alignment horizontal="left" vertical="top" wrapText="1"/>
    </xf>
    <xf numFmtId="176" fontId="0" fillId="0" borderId="0" xfId="159" applyNumberFormat="1" applyFont="1"/>
    <xf numFmtId="176" fontId="0" fillId="0" borderId="0" xfId="159" applyNumberFormat="1" applyFont="1" applyAlignment="1">
      <alignment vertical="top"/>
    </xf>
    <xf numFmtId="176" fontId="0" fillId="0" borderId="0" xfId="159" applyNumberFormat="1" applyFont="1" applyAlignment="1">
      <alignment horizontal="right"/>
    </xf>
    <xf numFmtId="176" fontId="0" fillId="0" borderId="0" xfId="159" applyNumberFormat="1" applyFont="1" applyAlignment="1">
      <alignment horizontal="right" vertical="top"/>
    </xf>
    <xf numFmtId="202" fontId="0" fillId="0" borderId="5" xfId="159" applyNumberFormat="1" applyFont="1" applyBorder="1" applyAlignment="1">
      <alignment vertical="top"/>
    </xf>
    <xf numFmtId="202" fontId="0" fillId="0" borderId="19" xfId="159" applyNumberFormat="1" applyFont="1" applyBorder="1" applyAlignment="1">
      <alignment vertical="top"/>
    </xf>
    <xf numFmtId="207" fontId="0" fillId="0" borderId="0" xfId="0" applyNumberFormat="1" applyFont="1">
      <alignment vertical="top"/>
    </xf>
    <xf numFmtId="207" fontId="7" fillId="0" borderId="0" xfId="221" applyNumberFormat="1" applyFont="1">
      <alignment vertical="top"/>
    </xf>
    <xf numFmtId="0" fontId="5" fillId="0" borderId="5" xfId="0" applyNumberFormat="1" applyFont="1" applyBorder="1" applyAlignment="1">
      <alignment horizontal="center"/>
    </xf>
    <xf numFmtId="0" fontId="130" fillId="0" borderId="0" xfId="243"/>
    <xf numFmtId="4" fontId="131" fillId="0" borderId="0" xfId="299" applyAlignment="1">
      <alignment vertical="top"/>
    </xf>
    <xf numFmtId="4" fontId="132" fillId="0" borderId="0" xfId="303" applyAlignment="1">
      <alignment vertical="top"/>
    </xf>
    <xf numFmtId="4" fontId="133" fillId="0" borderId="0" xfId="338" applyAlignment="1">
      <alignment vertical="top"/>
    </xf>
    <xf numFmtId="4" fontId="12" fillId="0" borderId="0" xfId="362" applyAlignment="1">
      <alignment vertical="top"/>
    </xf>
    <xf numFmtId="4" fontId="11" fillId="0" borderId="0" xfId="343" applyAlignment="1">
      <alignment vertical="top"/>
    </xf>
    <xf numFmtId="4" fontId="2" fillId="0" borderId="0" xfId="348" applyAlignment="1">
      <alignment vertical="top"/>
    </xf>
    <xf numFmtId="0" fontId="2" fillId="0" borderId="0" xfId="348" applyNumberFormat="1">
      <alignment horizontal="center" vertical="top"/>
    </xf>
    <xf numFmtId="0" fontId="130" fillId="0" borderId="5" xfId="243" applyBorder="1" applyAlignment="1">
      <alignment vertical="top"/>
    </xf>
    <xf numFmtId="4" fontId="11" fillId="0" borderId="0" xfId="370" applyAlignment="1">
      <alignment vertical="top"/>
    </xf>
    <xf numFmtId="41" fontId="24" fillId="0" borderId="5" xfId="123" applyFont="1" applyBorder="1" applyAlignment="1">
      <alignment vertical="top"/>
    </xf>
    <xf numFmtId="41" fontId="24" fillId="0" borderId="0" xfId="123" applyFont="1" applyAlignment="1">
      <alignment horizontal="right" vertical="top"/>
    </xf>
    <xf numFmtId="41" fontId="152" fillId="0" borderId="8" xfId="123" applyFont="1" applyBorder="1" applyAlignment="1">
      <alignment vertical="top"/>
    </xf>
    <xf numFmtId="41" fontId="152" fillId="0" borderId="8" xfId="123" applyFont="1" applyBorder="1" applyAlignment="1">
      <alignment horizontal="right" vertical="top"/>
    </xf>
    <xf numFmtId="41" fontId="25" fillId="0" borderId="0" xfId="123" applyFont="1" applyAlignment="1">
      <alignment vertical="top"/>
    </xf>
    <xf numFmtId="41" fontId="24" fillId="0" borderId="0" xfId="123" applyFont="1" applyAlignment="1">
      <alignment vertical="top"/>
    </xf>
    <xf numFmtId="4" fontId="134" fillId="0" borderId="0" xfId="307" applyAlignment="1">
      <alignment vertical="top"/>
    </xf>
    <xf numFmtId="4" fontId="134" fillId="0" borderId="0" xfId="320" applyAlignment="1">
      <alignment vertical="top"/>
    </xf>
    <xf numFmtId="4" fontId="134" fillId="0" borderId="0" xfId="327" applyAlignment="1">
      <alignment vertical="top"/>
    </xf>
    <xf numFmtId="0" fontId="62" fillId="0" borderId="0" xfId="222" applyAlignment="1">
      <alignment horizontal="left"/>
    </xf>
    <xf numFmtId="4" fontId="133" fillId="0" borderId="0" xfId="338" applyAlignment="1">
      <alignment horizontal="left" vertical="top"/>
    </xf>
    <xf numFmtId="4" fontId="84" fillId="0" borderId="0" xfId="338" applyFont="1" applyAlignment="1">
      <alignment horizontal="left" vertical="top"/>
    </xf>
    <xf numFmtId="4" fontId="12" fillId="0" borderId="0" xfId="355">
      <alignment horizontal="left" vertical="top"/>
    </xf>
    <xf numFmtId="4" fontId="11" fillId="0" borderId="0" xfId="343" applyAlignment="1">
      <alignment horizontal="left" vertical="top"/>
    </xf>
    <xf numFmtId="4" fontId="2" fillId="0" borderId="5" xfId="348" applyBorder="1" applyAlignment="1">
      <alignment horizontal="left" vertical="top"/>
    </xf>
    <xf numFmtId="0" fontId="7" fillId="0" borderId="5" xfId="0" applyNumberFormat="1" applyFont="1" applyBorder="1" applyAlignment="1">
      <alignment horizontal="center" vertical="top"/>
    </xf>
    <xf numFmtId="176" fontId="121" fillId="0" borderId="0" xfId="0" applyFont="1" applyAlignment="1">
      <alignment horizontal="center" vertical="top"/>
    </xf>
    <xf numFmtId="4" fontId="1" fillId="0" borderId="0" xfId="364" applyFont="1">
      <alignment horizontal="left" vertical="top"/>
    </xf>
    <xf numFmtId="176" fontId="0" fillId="0" borderId="6" xfId="0" applyFont="1" applyBorder="1">
      <alignment vertical="top"/>
    </xf>
    <xf numFmtId="176" fontId="0" fillId="0" borderId="0" xfId="216" applyFont="1">
      <alignment vertical="top"/>
    </xf>
    <xf numFmtId="176" fontId="5" fillId="0" borderId="0" xfId="216" applyFont="1">
      <alignment vertical="top"/>
    </xf>
    <xf numFmtId="176" fontId="5" fillId="0" borderId="0" xfId="216" applyFont="1" applyAlignment="1">
      <alignment horizontal="left"/>
    </xf>
    <xf numFmtId="176" fontId="1" fillId="0" borderId="0" xfId="216" applyFont="1">
      <alignment vertical="top"/>
    </xf>
    <xf numFmtId="176" fontId="5" fillId="0" borderId="5" xfId="216" applyFont="1" applyBorder="1">
      <alignment vertical="top"/>
    </xf>
    <xf numFmtId="176" fontId="0" fillId="0" borderId="5" xfId="216" applyFont="1" applyBorder="1">
      <alignment vertical="top"/>
    </xf>
    <xf numFmtId="176" fontId="5" fillId="0" borderId="0" xfId="0" applyFont="1" applyAlignment="1">
      <alignment horizontal="left"/>
    </xf>
    <xf numFmtId="0" fontId="128" fillId="0" borderId="0" xfId="0" applyNumberFormat="1" applyFont="1" applyAlignment="1">
      <alignment horizontal="left"/>
    </xf>
    <xf numFmtId="176" fontId="0" fillId="0" borderId="0" xfId="216" applyFont="1" applyAlignment="1">
      <alignment horizontal="justify" vertical="top"/>
    </xf>
    <xf numFmtId="0" fontId="8" fillId="0" borderId="0" xfId="230" applyFont="1" applyAlignment="1">
      <alignment horizontal="center"/>
    </xf>
    <xf numFmtId="0" fontId="7" fillId="0" borderId="0" xfId="230" applyFont="1"/>
    <xf numFmtId="176" fontId="5" fillId="0" borderId="0" xfId="216" applyFont="1" applyAlignment="1">
      <alignment horizontal="justify" vertical="top" wrapText="1"/>
    </xf>
    <xf numFmtId="176" fontId="0" fillId="0" borderId="0" xfId="260" applyNumberFormat="1" applyFont="1" applyAlignment="1">
      <alignment horizontal="justify" vertical="top"/>
    </xf>
    <xf numFmtId="176" fontId="5" fillId="0" borderId="0" xfId="216" applyFont="1" applyAlignment="1">
      <alignment horizontal="justify" vertical="top"/>
    </xf>
    <xf numFmtId="0" fontId="7" fillId="0" borderId="0" xfId="230" applyFont="1" applyAlignment="1">
      <alignment horizontal="center" vertical="top"/>
    </xf>
    <xf numFmtId="0" fontId="7" fillId="0" borderId="0" xfId="230" applyFont="1" applyAlignment="1">
      <alignment vertical="top"/>
    </xf>
    <xf numFmtId="176" fontId="5" fillId="0" borderId="0" xfId="216" applyFont="1" applyAlignment="1">
      <alignment vertical="top"/>
    </xf>
    <xf numFmtId="0" fontId="13" fillId="0" borderId="0" xfId="230" applyFont="1"/>
    <xf numFmtId="176" fontId="143" fillId="0" borderId="0" xfId="256" applyNumberFormat="1" applyFont="1" applyBorder="1" applyAlignment="1">
      <alignment horizontal="center" vertical="center" textRotation="90" wrapText="1"/>
    </xf>
    <xf numFmtId="176" fontId="144" fillId="0" borderId="0" xfId="256" applyNumberFormat="1" applyFont="1" applyBorder="1" applyAlignment="1">
      <alignment vertical="top"/>
    </xf>
    <xf numFmtId="176" fontId="143" fillId="0" borderId="5" xfId="256" applyNumberFormat="1" applyFont="1" applyBorder="1" applyAlignment="1">
      <alignment horizontal="center" vertical="center" textRotation="90" wrapText="1"/>
    </xf>
    <xf numFmtId="176" fontId="144" fillId="0" borderId="5" xfId="256" applyNumberFormat="1" applyFont="1" applyBorder="1" applyAlignment="1">
      <alignment vertical="top"/>
    </xf>
    <xf numFmtId="176" fontId="0" fillId="0" borderId="0" xfId="216" applyFont="1" applyAlignment="1">
      <alignment horizontal="center" vertical="top"/>
    </xf>
    <xf numFmtId="176" fontId="0" fillId="0" borderId="0" xfId="216" applyFont="1" applyAlignment="1">
      <alignment horizontal="left" vertical="top"/>
    </xf>
    <xf numFmtId="207" fontId="0" fillId="0" borderId="0" xfId="216" applyNumberFormat="1" applyFont="1">
      <alignment vertical="top"/>
    </xf>
    <xf numFmtId="0" fontId="0" fillId="0" borderId="5" xfId="230" applyFont="1" applyBorder="1" applyAlignment="1">
      <alignment horizontal="center"/>
    </xf>
    <xf numFmtId="0" fontId="0" fillId="0" borderId="0" xfId="230" applyFont="1"/>
    <xf numFmtId="176" fontId="0" fillId="0" borderId="0" xfId="216" applyFont="1" applyAlignment="1">
      <alignment horizontal="justify" vertical="top" wrapText="1"/>
    </xf>
    <xf numFmtId="0" fontId="7" fillId="0" borderId="0" xfId="231" applyFont="1"/>
    <xf numFmtId="0" fontId="0" fillId="0" borderId="0" xfId="231" applyFont="1"/>
    <xf numFmtId="0" fontId="0" fillId="0" borderId="0" xfId="231" applyFont="1" applyAlignment="1">
      <alignment horizontal="left" vertical="top" wrapText="1"/>
    </xf>
    <xf numFmtId="176" fontId="1" fillId="0" borderId="0" xfId="245" applyFont="1" applyAlignment="1">
      <alignment vertical="top"/>
    </xf>
    <xf numFmtId="176" fontId="83" fillId="0" borderId="0" xfId="0" applyFont="1" applyAlignment="1">
      <alignment vertical="top"/>
    </xf>
    <xf numFmtId="176" fontId="1" fillId="0" borderId="0" xfId="245" applyFont="1" applyAlignment="1">
      <alignment horizontal="justify" vertical="top" wrapText="1"/>
    </xf>
    <xf numFmtId="176" fontId="0" fillId="0" borderId="0" xfId="0" applyFont="1" applyAlignment="1">
      <alignment vertical="top" wrapText="1"/>
    </xf>
    <xf numFmtId="41" fontId="0" fillId="0" borderId="0" xfId="102" applyFont="1" applyFill="1"/>
    <xf numFmtId="0" fontId="28" fillId="0" borderId="0" xfId="231" applyFont="1" applyAlignment="1">
      <alignment horizontal="right"/>
    </xf>
    <xf numFmtId="41" fontId="28" fillId="0" borderId="0" xfId="102" applyFont="1" applyFill="1" applyAlignment="1">
      <alignment horizontal="right" vertical="center"/>
    </xf>
    <xf numFmtId="41" fontId="0" fillId="0" borderId="5" xfId="100" applyNumberFormat="1" applyFont="1" applyFill="1" applyBorder="1" applyAlignment="1">
      <alignment horizontal="center"/>
    </xf>
    <xf numFmtId="41" fontId="0" fillId="0" borderId="0" xfId="100" applyNumberFormat="1" applyFont="1" applyFill="1" applyAlignment="1">
      <alignment horizontal="center"/>
    </xf>
    <xf numFmtId="0" fontId="0" fillId="0" borderId="5" xfId="230" applyFont="1" applyBorder="1" applyAlignment="1">
      <alignment horizontal="center" vertical="center"/>
    </xf>
    <xf numFmtId="9" fontId="0" fillId="0" borderId="0" xfId="230" applyNumberFormat="1" applyFont="1" applyAlignment="1">
      <alignment horizontal="center"/>
    </xf>
    <xf numFmtId="176" fontId="0" fillId="0" borderId="0" xfId="216" applyFont="1" applyAlignment="1">
      <alignment vertical="top"/>
    </xf>
    <xf numFmtId="176" fontId="0" fillId="0" borderId="0" xfId="216" applyFont="1" applyAlignment="1">
      <alignment vertical="top" wrapText="1"/>
    </xf>
    <xf numFmtId="0" fontId="7" fillId="0" borderId="0" xfId="230" applyFont="1" applyAlignment="1">
      <alignment horizontal="center"/>
    </xf>
    <xf numFmtId="0" fontId="0" fillId="0" borderId="0" xfId="230" applyFont="1" applyAlignment="1">
      <alignment vertical="top" wrapText="1"/>
    </xf>
    <xf numFmtId="0" fontId="0" fillId="0" borderId="0" xfId="230" applyFont="1" applyAlignment="1">
      <alignment horizontal="justify" vertical="top" wrapText="1"/>
    </xf>
    <xf numFmtId="0" fontId="0" fillId="0" borderId="0" xfId="230" applyFont="1" applyAlignment="1">
      <alignment vertical="top"/>
    </xf>
    <xf numFmtId="176" fontId="153" fillId="0" borderId="0" xfId="0" applyFont="1" applyAlignment="1">
      <alignment vertical="top" wrapText="1"/>
    </xf>
    <xf numFmtId="176" fontId="83" fillId="0" borderId="0" xfId="0" applyFont="1" applyAlignment="1">
      <alignment horizontal="center" vertical="top" wrapText="1"/>
    </xf>
    <xf numFmtId="176" fontId="83" fillId="0" borderId="0" xfId="0" applyFont="1" applyAlignment="1">
      <alignment horizontal="justify" vertical="top"/>
    </xf>
    <xf numFmtId="176" fontId="83" fillId="0" borderId="0" xfId="0" applyFont="1" applyAlignment="1">
      <alignment vertical="top" wrapText="1"/>
    </xf>
    <xf numFmtId="0" fontId="0" fillId="0" borderId="0" xfId="230" applyFont="1" applyAlignment="1"/>
    <xf numFmtId="0" fontId="0" fillId="0" borderId="0" xfId="230" applyFont="1" applyAlignment="1">
      <alignment horizontal="justify" vertical="top"/>
    </xf>
    <xf numFmtId="176" fontId="83" fillId="0" borderId="0" xfId="0" applyFont="1" applyAlignment="1">
      <alignment horizontal="justify" vertical="top" wrapText="1"/>
    </xf>
    <xf numFmtId="0" fontId="154" fillId="0" borderId="0" xfId="230" applyFont="1" applyAlignment="1">
      <alignment vertical="top"/>
    </xf>
    <xf numFmtId="176" fontId="0" fillId="0" borderId="0" xfId="0" applyAlignment="1">
      <alignment vertical="top" wrapText="1"/>
    </xf>
    <xf numFmtId="0" fontId="0" fillId="0" borderId="0" xfId="230" applyFont="1" applyAlignment="1">
      <alignment horizontal="left" vertical="top" wrapText="1"/>
    </xf>
    <xf numFmtId="0" fontId="7" fillId="0" borderId="0" xfId="230" applyFont="1" applyAlignment="1"/>
    <xf numFmtId="41" fontId="0" fillId="0" borderId="0" xfId="100" applyNumberFormat="1" applyFont="1" applyFill="1"/>
    <xf numFmtId="0" fontId="28" fillId="0" borderId="0" xfId="230" applyFont="1" applyAlignment="1">
      <alignment horizontal="right"/>
    </xf>
    <xf numFmtId="182" fontId="28" fillId="0" borderId="0" xfId="100" applyFont="1" applyFill="1" applyAlignment="1">
      <alignment horizontal="right" vertical="center"/>
    </xf>
    <xf numFmtId="41" fontId="0" fillId="0" borderId="0" xfId="100" applyNumberFormat="1" applyFont="1" applyFill="1" applyAlignment="1"/>
    <xf numFmtId="0" fontId="130" fillId="0" borderId="0" xfId="243" applyAlignment="1"/>
    <xf numFmtId="0" fontId="130" fillId="0" borderId="0" xfId="243" applyAlignment="1">
      <alignment vertical="top"/>
    </xf>
    <xf numFmtId="4" fontId="2" fillId="0" borderId="0" xfId="348" applyBorder="1" applyAlignment="1">
      <alignment vertical="top"/>
    </xf>
    <xf numFmtId="0" fontId="130" fillId="0" borderId="0" xfId="243" applyBorder="1" applyAlignment="1">
      <alignment vertical="top"/>
    </xf>
    <xf numFmtId="4" fontId="11" fillId="2" borderId="5" xfId="370" applyFill="1" applyBorder="1" applyAlignment="1">
      <alignment vertical="top"/>
    </xf>
    <xf numFmtId="41" fontId="25" fillId="0" borderId="0" xfId="4" applyFont="1" applyAlignment="1">
      <alignment vertical="top"/>
    </xf>
    <xf numFmtId="4" fontId="24" fillId="0" borderId="0" xfId="358" applyFont="1" applyAlignment="1">
      <alignment horizontal="left" vertical="top"/>
    </xf>
    <xf numFmtId="41" fontId="152" fillId="0" borderId="8" xfId="4" applyFont="1" applyBorder="1" applyAlignment="1">
      <alignment horizontal="right" vertical="top"/>
    </xf>
    <xf numFmtId="0" fontId="130" fillId="0" borderId="0" xfId="243" applyBorder="1" applyAlignment="1"/>
    <xf numFmtId="0" fontId="130" fillId="0" borderId="8" xfId="243" applyBorder="1" applyAlignment="1">
      <alignment vertical="top"/>
    </xf>
    <xf numFmtId="4" fontId="152" fillId="0" borderId="0" xfId="383" applyAlignment="1">
      <alignment horizontal="left" vertical="top"/>
    </xf>
    <xf numFmtId="0" fontId="24" fillId="0" borderId="0" xfId="304" applyAlignment="1">
      <alignment horizontal="left" vertical="top"/>
    </xf>
    <xf numFmtId="0" fontId="25" fillId="0" borderId="0" xfId="310" applyAlignment="1">
      <alignment horizontal="left" vertical="top"/>
    </xf>
    <xf numFmtId="0" fontId="155" fillId="0" borderId="0" xfId="243" applyFont="1" applyAlignment="1"/>
    <xf numFmtId="198" fontId="24" fillId="0" borderId="0" xfId="4" applyNumberFormat="1" applyFont="1" applyAlignment="1">
      <alignment horizontal="center" vertical="top"/>
    </xf>
    <xf numFmtId="198" fontId="24" fillId="0" borderId="0" xfId="4" applyNumberFormat="1" applyFont="1" applyAlignment="1">
      <alignment horizontal="right" vertical="top"/>
    </xf>
    <xf numFmtId="198" fontId="24" fillId="0" borderId="0" xfId="4" applyNumberFormat="1" applyFont="1" applyAlignment="1">
      <alignment horizontal="left" vertical="top"/>
    </xf>
    <xf numFmtId="176" fontId="55" fillId="21" borderId="9" xfId="0" applyFont="1" applyFill="1" applyBorder="1">
      <alignment vertical="top"/>
    </xf>
    <xf numFmtId="176" fontId="7" fillId="28" borderId="5" xfId="0" applyFont="1" applyFill="1" applyBorder="1">
      <alignment vertical="top"/>
    </xf>
    <xf numFmtId="176" fontId="8" fillId="8" borderId="32" xfId="0" applyFont="1" applyFill="1" applyBorder="1" applyAlignment="1">
      <alignment horizontal="center" vertical="center"/>
    </xf>
    <xf numFmtId="176" fontId="8" fillId="8" borderId="33" xfId="0" applyFont="1" applyFill="1" applyBorder="1" applyAlignment="1">
      <alignment horizontal="center" vertical="center"/>
    </xf>
    <xf numFmtId="176" fontId="8" fillId="8" borderId="67" xfId="0" applyFont="1" applyFill="1" applyBorder="1" applyAlignment="1">
      <alignment horizontal="center" vertical="center"/>
    </xf>
    <xf numFmtId="176" fontId="8" fillId="8" borderId="33" xfId="0" applyFont="1" applyFill="1" applyBorder="1" applyAlignment="1">
      <alignment horizontal="center"/>
    </xf>
    <xf numFmtId="176" fontId="8" fillId="8" borderId="66" xfId="0" applyFont="1" applyFill="1" applyBorder="1" applyAlignment="1">
      <alignment horizontal="center"/>
    </xf>
    <xf numFmtId="176" fontId="8" fillId="8" borderId="94" xfId="0" applyFont="1" applyFill="1" applyBorder="1" applyAlignment="1">
      <alignment horizontal="center"/>
    </xf>
    <xf numFmtId="176" fontId="8" fillId="8" borderId="20" xfId="0" applyFont="1" applyFill="1" applyBorder="1" applyAlignment="1">
      <alignment horizontal="center" vertical="center"/>
    </xf>
    <xf numFmtId="176" fontId="8" fillId="8" borderId="0" xfId="0" applyFont="1" applyFill="1" applyAlignment="1">
      <alignment horizontal="center" vertical="center"/>
    </xf>
    <xf numFmtId="176" fontId="8" fillId="8" borderId="14" xfId="0" applyFont="1" applyFill="1" applyBorder="1" applyAlignment="1">
      <alignment horizontal="center" vertical="center"/>
    </xf>
    <xf numFmtId="176" fontId="8" fillId="8" borderId="13" xfId="0" applyFont="1" applyFill="1" applyBorder="1" applyAlignment="1">
      <alignment horizontal="center"/>
    </xf>
    <xf numFmtId="198" fontId="8" fillId="8" borderId="13" xfId="0" applyNumberFormat="1" applyFont="1" applyFill="1" applyBorder="1" applyAlignment="1">
      <alignment horizontal="center"/>
    </xf>
    <xf numFmtId="176" fontId="8" fillId="8" borderId="11" xfId="0" applyFont="1" applyFill="1" applyBorder="1" applyAlignment="1">
      <alignment horizontal="center"/>
    </xf>
    <xf numFmtId="176" fontId="8" fillId="8" borderId="44" xfId="0" applyFont="1" applyFill="1" applyBorder="1" applyAlignment="1">
      <alignment horizontal="center" vertical="center"/>
    </xf>
    <xf numFmtId="176" fontId="8" fillId="8" borderId="45" xfId="0" applyFont="1" applyFill="1" applyBorder="1" applyAlignment="1">
      <alignment horizontal="center" vertical="center"/>
    </xf>
    <xf numFmtId="176" fontId="8" fillId="8" borderId="96" xfId="0" applyFont="1" applyFill="1" applyBorder="1" applyAlignment="1">
      <alignment horizontal="center" vertical="center"/>
    </xf>
    <xf numFmtId="176" fontId="8" fillId="8" borderId="45" xfId="0" applyFont="1" applyFill="1" applyBorder="1" applyAlignment="1">
      <alignment horizontal="center"/>
    </xf>
    <xf numFmtId="198" fontId="8" fillId="8" borderId="69" xfId="0" applyNumberFormat="1" applyFont="1" applyFill="1" applyBorder="1" applyAlignment="1">
      <alignment horizontal="center"/>
    </xf>
    <xf numFmtId="198" fontId="8" fillId="8" borderId="45" xfId="0" applyNumberFormat="1" applyFont="1" applyFill="1" applyBorder="1" applyAlignment="1">
      <alignment horizontal="center"/>
    </xf>
    <xf numFmtId="176" fontId="8" fillId="8" borderId="69" xfId="0" applyFont="1" applyFill="1" applyBorder="1" applyAlignment="1">
      <alignment horizontal="center"/>
    </xf>
    <xf numFmtId="176" fontId="13" fillId="0" borderId="99" xfId="0" applyFont="1" applyBorder="1">
      <alignment vertical="top"/>
    </xf>
    <xf numFmtId="176" fontId="8" fillId="0" borderId="0" xfId="0" applyFont="1" applyBorder="1">
      <alignment vertical="top"/>
    </xf>
    <xf numFmtId="176" fontId="8" fillId="0" borderId="9" xfId="0" applyFont="1" applyBorder="1" applyAlignment="1">
      <alignment horizontal="center"/>
    </xf>
    <xf numFmtId="41" fontId="8" fillId="0" borderId="9" xfId="4" applyFont="1" applyBorder="1" applyAlignment="1">
      <alignment horizontal="center"/>
    </xf>
    <xf numFmtId="37" fontId="8" fillId="0" borderId="82" xfId="0" applyNumberFormat="1" applyFont="1" applyBorder="1">
      <alignment vertical="top"/>
    </xf>
    <xf numFmtId="37" fontId="9" fillId="0" borderId="17" xfId="0" applyNumberFormat="1" applyFont="1" applyBorder="1" applyAlignment="1">
      <alignment horizontal="center"/>
    </xf>
    <xf numFmtId="37" fontId="8" fillId="0" borderId="4" xfId="0" applyNumberFormat="1" applyFont="1" applyBorder="1" applyAlignment="1">
      <alignment horizontal="right"/>
    </xf>
    <xf numFmtId="41" fontId="8" fillId="0" borderId="4" xfId="4" applyFont="1" applyBorder="1" applyAlignment="1">
      <alignment horizontal="right"/>
    </xf>
    <xf numFmtId="176" fontId="0" fillId="42" borderId="7" xfId="0" applyFill="1" applyBorder="1">
      <alignment vertical="top"/>
    </xf>
    <xf numFmtId="176" fontId="0" fillId="42" borderId="8" xfId="0" applyFill="1" applyBorder="1">
      <alignment vertical="top"/>
    </xf>
    <xf numFmtId="176" fontId="0" fillId="42" borderId="9" xfId="0" applyFill="1" applyBorder="1">
      <alignment vertical="top"/>
    </xf>
    <xf numFmtId="176" fontId="0" fillId="42" borderId="0" xfId="0" applyFill="1" applyBorder="1">
      <alignment vertical="top"/>
    </xf>
    <xf numFmtId="198" fontId="7" fillId="42" borderId="5" xfId="0" applyNumberFormat="1" applyFont="1" applyFill="1" applyBorder="1" applyAlignment="1">
      <alignment horizontal="center" vertical="top"/>
    </xf>
    <xf numFmtId="176" fontId="0" fillId="42" borderId="5" xfId="0" applyFill="1" applyBorder="1">
      <alignment vertical="top"/>
    </xf>
    <xf numFmtId="176" fontId="0" fillId="42" borderId="5" xfId="0" applyFont="1" applyFill="1" applyBorder="1">
      <alignment vertical="top"/>
    </xf>
    <xf numFmtId="176" fontId="6" fillId="42" borderId="19" xfId="0" applyFont="1" applyFill="1" applyBorder="1">
      <alignment vertical="top"/>
    </xf>
    <xf numFmtId="176" fontId="6" fillId="42" borderId="0" xfId="0" applyFont="1" applyFill="1" applyBorder="1">
      <alignment vertical="top"/>
    </xf>
    <xf numFmtId="176" fontId="121" fillId="42" borderId="0" xfId="0" applyFont="1" applyFill="1" applyBorder="1">
      <alignment vertical="top"/>
    </xf>
    <xf numFmtId="198" fontId="128" fillId="42" borderId="0" xfId="0" applyNumberFormat="1" applyFont="1" applyFill="1" applyBorder="1" applyAlignment="1">
      <alignment horizontal="center" vertical="top"/>
    </xf>
    <xf numFmtId="176" fontId="156" fillId="42" borderId="0" xfId="0" applyFont="1" applyFill="1" applyBorder="1" applyAlignment="1">
      <alignment horizontal="center" vertical="top"/>
    </xf>
    <xf numFmtId="176" fontId="8" fillId="8" borderId="95" xfId="0" applyFont="1" applyFill="1" applyBorder="1" applyAlignment="1">
      <alignment horizontal="center"/>
    </xf>
    <xf numFmtId="176" fontId="8" fillId="8" borderId="104" xfId="0" applyFont="1" applyFill="1" applyBorder="1" applyAlignment="1">
      <alignment horizontal="center"/>
    </xf>
    <xf numFmtId="176" fontId="8" fillId="8" borderId="65" xfId="0" applyFont="1" applyFill="1" applyBorder="1" applyAlignment="1">
      <alignment horizontal="center"/>
    </xf>
    <xf numFmtId="176" fontId="8" fillId="8" borderId="14" xfId="0" applyFont="1" applyFill="1" applyBorder="1" applyAlignment="1">
      <alignment horizontal="center"/>
    </xf>
    <xf numFmtId="176" fontId="8" fillId="8" borderId="14" xfId="0" applyFont="1" applyFill="1" applyBorder="1" applyAlignment="1">
      <alignment horizontal="center"/>
    </xf>
    <xf numFmtId="176" fontId="8" fillId="8" borderId="96" xfId="0" applyFont="1" applyFill="1" applyBorder="1" applyAlignment="1">
      <alignment horizontal="center"/>
    </xf>
    <xf numFmtId="176" fontId="8" fillId="8" borderId="96" xfId="0" applyFont="1" applyFill="1" applyBorder="1" applyAlignment="1">
      <alignment horizontal="center"/>
    </xf>
    <xf numFmtId="176" fontId="8" fillId="0" borderId="13" xfId="0" applyFont="1" applyBorder="1" applyAlignment="1">
      <alignment horizontal="center"/>
    </xf>
    <xf numFmtId="176" fontId="8" fillId="0" borderId="0" xfId="0" applyFont="1" applyBorder="1" applyAlignment="1">
      <alignment horizontal="center"/>
    </xf>
    <xf numFmtId="176" fontId="8" fillId="0" borderId="14" xfId="0" applyFont="1" applyBorder="1" applyAlignment="1">
      <alignment horizontal="center"/>
    </xf>
    <xf numFmtId="176" fontId="7" fillId="42" borderId="0" xfId="0" applyFont="1" applyFill="1" applyBorder="1">
      <alignment vertical="top"/>
    </xf>
    <xf numFmtId="176" fontId="7" fillId="42" borderId="0" xfId="0" applyFont="1" applyFill="1" applyBorder="1" applyAlignment="1">
      <alignment horizontal="center" vertical="top"/>
    </xf>
    <xf numFmtId="198" fontId="7" fillId="42" borderId="0" xfId="0" applyNumberFormat="1" applyFont="1" applyFill="1" applyBorder="1" applyAlignment="1">
      <alignment horizontal="center" vertical="top"/>
    </xf>
    <xf numFmtId="9" fontId="0" fillId="42" borderId="0" xfId="3" applyFont="1" applyFill="1" applyBorder="1" applyAlignment="1">
      <alignment vertical="top"/>
    </xf>
    <xf numFmtId="176" fontId="0" fillId="42" borderId="0" xfId="0" applyFill="1" applyBorder="1" applyAlignment="1">
      <alignment horizontal="center" vertical="top"/>
    </xf>
    <xf numFmtId="37" fontId="13" fillId="66" borderId="0" xfId="0" applyNumberFormat="1" applyFont="1" applyFill="1" applyBorder="1">
      <alignment vertical="top"/>
    </xf>
    <xf numFmtId="176" fontId="8" fillId="0" borderId="5" xfId="0" applyFont="1" applyBorder="1">
      <alignment vertical="top"/>
    </xf>
    <xf numFmtId="176" fontId="8" fillId="66" borderId="17" xfId="0" applyFont="1" applyFill="1" applyBorder="1">
      <alignment vertical="top"/>
    </xf>
    <xf numFmtId="0" fontId="128" fillId="42" borderId="0" xfId="0" applyNumberFormat="1" applyFont="1" applyFill="1" applyBorder="1" applyAlignment="1">
      <alignment horizontal="center" vertical="top"/>
    </xf>
    <xf numFmtId="176" fontId="128" fillId="42" borderId="0" xfId="0" applyFont="1" applyFill="1" applyBorder="1" applyAlignment="1">
      <alignment horizontal="center" vertical="top"/>
    </xf>
    <xf numFmtId="37" fontId="8" fillId="66" borderId="0" xfId="0" applyNumberFormat="1" applyFont="1" applyFill="1" applyBorder="1">
      <alignment vertical="top"/>
    </xf>
    <xf numFmtId="198" fontId="0" fillId="28" borderId="16" xfId="0" applyNumberFormat="1" applyFill="1" applyBorder="1">
      <alignment vertical="top"/>
    </xf>
    <xf numFmtId="198" fontId="8" fillId="8" borderId="65" xfId="0" applyNumberFormat="1" applyFont="1" applyFill="1" applyBorder="1" applyAlignment="1">
      <alignment horizontal="center"/>
    </xf>
    <xf numFmtId="198" fontId="8" fillId="8" borderId="48" xfId="0" applyNumberFormat="1" applyFont="1" applyFill="1" applyBorder="1" applyAlignment="1">
      <alignment horizontal="center"/>
    </xf>
    <xf numFmtId="176" fontId="8" fillId="8" borderId="10" xfId="0" applyFont="1" applyFill="1" applyBorder="1" applyAlignment="1">
      <alignment horizontal="center"/>
    </xf>
    <xf numFmtId="176" fontId="8" fillId="8" borderId="23" xfId="0" applyFont="1" applyFill="1" applyBorder="1" applyAlignment="1">
      <alignment horizontal="center"/>
    </xf>
    <xf numFmtId="176" fontId="8" fillId="8" borderId="30" xfId="0" applyFont="1" applyFill="1" applyBorder="1" applyAlignment="1">
      <alignment horizontal="center"/>
    </xf>
    <xf numFmtId="9" fontId="8" fillId="8" borderId="97" xfId="3" applyFont="1" applyFill="1" applyBorder="1"/>
    <xf numFmtId="37" fontId="8" fillId="0" borderId="15" xfId="0" applyNumberFormat="1" applyFont="1" applyBorder="1">
      <alignment vertical="top"/>
    </xf>
    <xf numFmtId="9" fontId="13" fillId="0" borderId="110" xfId="3" applyFont="1" applyBorder="1"/>
    <xf numFmtId="176" fontId="13" fillId="0" borderId="0" xfId="0" applyFont="1" applyAlignment="1">
      <alignment horizontal="center" vertical="top"/>
    </xf>
    <xf numFmtId="176" fontId="0" fillId="0" borderId="0" xfId="0" applyAlignment="1">
      <alignment horizontal="center" vertical="top"/>
    </xf>
    <xf numFmtId="176" fontId="0" fillId="42" borderId="12" xfId="0" applyFill="1" applyBorder="1">
      <alignment vertical="top"/>
    </xf>
    <xf numFmtId="176" fontId="0" fillId="42" borderId="14" xfId="0" applyFill="1" applyBorder="1">
      <alignment vertical="top"/>
    </xf>
    <xf numFmtId="176" fontId="0" fillId="42" borderId="19" xfId="0" applyFill="1" applyBorder="1">
      <alignment vertical="top"/>
    </xf>
    <xf numFmtId="176" fontId="0" fillId="42" borderId="6" xfId="0" applyFill="1" applyBorder="1">
      <alignment vertical="top"/>
    </xf>
    <xf numFmtId="176" fontId="0" fillId="66" borderId="0" xfId="0" applyFill="1" applyBorder="1">
      <alignment vertical="top"/>
    </xf>
    <xf numFmtId="176" fontId="13" fillId="66" borderId="0" xfId="0" applyFont="1" applyFill="1">
      <alignment vertical="top"/>
    </xf>
    <xf numFmtId="176" fontId="6" fillId="42" borderId="5" xfId="0" applyFont="1" applyFill="1" applyBorder="1">
      <alignment vertical="top"/>
    </xf>
    <xf numFmtId="176" fontId="13" fillId="0" borderId="5" xfId="0" applyFont="1" applyBorder="1">
      <alignment vertical="top"/>
    </xf>
    <xf numFmtId="176" fontId="7" fillId="66" borderId="0" xfId="0" applyFont="1" applyFill="1" applyBorder="1" applyAlignment="1">
      <alignment horizontal="center" vertical="top"/>
    </xf>
    <xf numFmtId="176" fontId="0" fillId="66" borderId="6" xfId="0" applyFill="1" applyBorder="1">
      <alignment vertical="top"/>
    </xf>
    <xf numFmtId="0" fontId="7" fillId="42" borderId="0" xfId="0" applyNumberFormat="1" applyFont="1" applyFill="1" applyBorder="1" applyAlignment="1">
      <alignment horizontal="center" vertical="top"/>
    </xf>
    <xf numFmtId="176" fontId="7" fillId="42" borderId="9" xfId="0" applyFont="1" applyFill="1" applyBorder="1">
      <alignment vertical="top"/>
    </xf>
    <xf numFmtId="176" fontId="0" fillId="42" borderId="4" xfId="0" applyFill="1" applyBorder="1" applyAlignment="1">
      <alignment horizontal="center" vertical="top"/>
    </xf>
    <xf numFmtId="176" fontId="0" fillId="42" borderId="10" xfId="0" applyFill="1" applyBorder="1">
      <alignment vertical="top"/>
    </xf>
    <xf numFmtId="176" fontId="0" fillId="42" borderId="16" xfId="0" applyFill="1" applyBorder="1">
      <alignment vertical="top"/>
    </xf>
    <xf numFmtId="176" fontId="8" fillId="0" borderId="9" xfId="0" applyFont="1" applyBorder="1" applyAlignment="1">
      <alignment horizontal="center"/>
    </xf>
    <xf numFmtId="176" fontId="71" fillId="0" borderId="20" xfId="0" applyFont="1" applyBorder="1">
      <alignment vertical="top"/>
    </xf>
    <xf numFmtId="176" fontId="13" fillId="0" borderId="9" xfId="0" applyFont="1" applyBorder="1" applyAlignment="1">
      <alignment horizontal="center"/>
    </xf>
    <xf numFmtId="176" fontId="71" fillId="0" borderId="0" xfId="0" applyFont="1">
      <alignment vertical="top"/>
    </xf>
    <xf numFmtId="176" fontId="13" fillId="0" borderId="9" xfId="0" applyFont="1" applyBorder="1" applyAlignment="1">
      <alignment horizontal="left"/>
    </xf>
    <xf numFmtId="41" fontId="13" fillId="0" borderId="10" xfId="4" applyFont="1" applyBorder="1" applyAlignment="1">
      <alignment horizontal="center"/>
    </xf>
    <xf numFmtId="176" fontId="13" fillId="0" borderId="10" xfId="0" applyFont="1" applyBorder="1" applyAlignment="1">
      <alignment horizontal="center"/>
    </xf>
    <xf numFmtId="176" fontId="8" fillId="0" borderId="9" xfId="0" applyFont="1" applyBorder="1" applyAlignment="1">
      <alignment horizontal="left"/>
    </xf>
    <xf numFmtId="176" fontId="8" fillId="0" borderId="15" xfId="0" applyFont="1" applyBorder="1">
      <alignment vertical="top"/>
    </xf>
    <xf numFmtId="176" fontId="13" fillId="0" borderId="15" xfId="0" applyFont="1" applyBorder="1" applyAlignment="1">
      <alignment horizontal="right"/>
    </xf>
    <xf numFmtId="176" fontId="13" fillId="0" borderId="16" xfId="0" applyFont="1" applyBorder="1" applyAlignment="1">
      <alignment horizontal="right"/>
    </xf>
    <xf numFmtId="176" fontId="13" fillId="0" borderId="13" xfId="0" applyFont="1" applyBorder="1" applyAlignment="1">
      <alignment horizontal="right"/>
    </xf>
    <xf numFmtId="176" fontId="13" fillId="0" borderId="14" xfId="0" applyFont="1" applyBorder="1" applyAlignment="1">
      <alignment horizontal="right"/>
    </xf>
    <xf numFmtId="9" fontId="13" fillId="0" borderId="76" xfId="3" applyFont="1" applyBorder="1"/>
    <xf numFmtId="9" fontId="13" fillId="0" borderId="99" xfId="3" applyFont="1" applyBorder="1"/>
    <xf numFmtId="176" fontId="13" fillId="0" borderId="10" xfId="0" applyFont="1" applyBorder="1" applyAlignment="1">
      <alignment horizontal="right" vertical="center" wrapText="1"/>
    </xf>
    <xf numFmtId="9" fontId="13" fillId="0" borderId="107" xfId="3" applyFont="1" applyBorder="1"/>
    <xf numFmtId="9" fontId="13" fillId="0" borderId="101" xfId="3" applyFont="1" applyBorder="1"/>
    <xf numFmtId="9" fontId="13" fillId="0" borderId="100" xfId="3" applyFont="1" applyBorder="1"/>
    <xf numFmtId="176" fontId="0" fillId="63" borderId="4" xfId="0" applyFill="1" applyBorder="1" applyAlignment="1">
      <alignment horizontal="center" vertical="top"/>
    </xf>
    <xf numFmtId="176" fontId="13" fillId="0" borderId="0" xfId="0" applyFont="1" applyBorder="1" applyAlignment="1"/>
    <xf numFmtId="176" fontId="13" fillId="0" borderId="0" xfId="0" applyFont="1" applyFill="1" applyBorder="1" applyAlignment="1"/>
    <xf numFmtId="176" fontId="0" fillId="0" borderId="0" xfId="0" applyBorder="1" applyAlignment="1">
      <alignment horizontal="center" vertical="top"/>
    </xf>
    <xf numFmtId="176" fontId="0" fillId="0" borderId="45" xfId="0" applyBorder="1">
      <alignment vertical="top"/>
    </xf>
    <xf numFmtId="176" fontId="7" fillId="0" borderId="4" xfId="0" applyFont="1" applyBorder="1" applyAlignment="1">
      <alignment horizontal="center" vertical="top" wrapText="1"/>
    </xf>
    <xf numFmtId="176" fontId="7" fillId="0" borderId="4" xfId="0" applyFont="1" applyBorder="1" applyAlignment="1">
      <alignment vertical="top" wrapText="1"/>
    </xf>
    <xf numFmtId="220" fontId="0" fillId="0" borderId="13" xfId="0" applyNumberFormat="1" applyBorder="1">
      <alignment vertical="top"/>
    </xf>
    <xf numFmtId="225" fontId="0" fillId="0" borderId="0" xfId="0" applyNumberFormat="1" applyAlignment="1">
      <alignment horizontal="center" vertical="top"/>
    </xf>
    <xf numFmtId="220" fontId="0" fillId="0" borderId="0" xfId="0" applyNumberFormat="1">
      <alignment vertical="top"/>
    </xf>
    <xf numFmtId="207" fontId="0" fillId="0" borderId="13" xfId="0" applyNumberFormat="1" applyBorder="1">
      <alignment vertical="top"/>
    </xf>
    <xf numFmtId="176" fontId="157" fillId="0" borderId="0" xfId="0" applyFont="1" applyBorder="1">
      <alignment vertical="top"/>
    </xf>
    <xf numFmtId="176" fontId="151" fillId="0" borderId="0" xfId="0" applyFont="1">
      <alignment vertical="top"/>
    </xf>
    <xf numFmtId="176" fontId="7" fillId="0" borderId="19" xfId="0" applyFont="1" applyBorder="1" applyAlignment="1">
      <alignment vertical="top" wrapText="1"/>
    </xf>
    <xf numFmtId="176" fontId="7" fillId="0" borderId="17" xfId="0" applyFont="1" applyBorder="1" applyAlignment="1">
      <alignment vertical="top" wrapText="1"/>
    </xf>
    <xf numFmtId="207" fontId="0" fillId="0" borderId="0" xfId="0" applyNumberFormat="1" applyBorder="1">
      <alignment vertical="top"/>
    </xf>
    <xf numFmtId="225" fontId="0" fillId="0" borderId="0" xfId="0" applyNumberFormat="1" applyAlignment="1">
      <alignment horizontal="center" vertical="center"/>
    </xf>
    <xf numFmtId="176" fontId="0" fillId="0" borderId="15" xfId="0" applyBorder="1" applyAlignment="1">
      <alignment horizontal="center" vertical="top"/>
    </xf>
    <xf numFmtId="176" fontId="0" fillId="38" borderId="9" xfId="0" applyFill="1" applyBorder="1">
      <alignment vertical="top"/>
    </xf>
    <xf numFmtId="4" fontId="25" fillId="0" borderId="13" xfId="366" applyBorder="1" applyAlignment="1">
      <alignment vertical="top"/>
    </xf>
    <xf numFmtId="4" fontId="25" fillId="0" borderId="0" xfId="366" applyAlignment="1">
      <alignment vertical="top"/>
    </xf>
    <xf numFmtId="176" fontId="0" fillId="38" borderId="11" xfId="0" applyFill="1" applyBorder="1">
      <alignment vertical="top"/>
    </xf>
    <xf numFmtId="176" fontId="0" fillId="38" borderId="13" xfId="0" applyFill="1" applyBorder="1">
      <alignment vertical="top"/>
    </xf>
    <xf numFmtId="176" fontId="0" fillId="38" borderId="15" xfId="0" applyFill="1" applyBorder="1">
      <alignment vertical="top"/>
    </xf>
    <xf numFmtId="176" fontId="0" fillId="0" borderId="0" xfId="0" applyNumberFormat="1" applyBorder="1">
      <alignment vertical="top"/>
    </xf>
    <xf numFmtId="176" fontId="7" fillId="0" borderId="19" xfId="0" applyFont="1" applyBorder="1" applyAlignment="1">
      <alignment horizontal="center" vertical="top" wrapText="1"/>
    </xf>
    <xf numFmtId="176" fontId="7" fillId="0" borderId="18" xfId="0" applyFont="1" applyBorder="1" applyAlignment="1">
      <alignment vertical="top" wrapText="1"/>
    </xf>
    <xf numFmtId="176" fontId="0" fillId="0" borderId="7" xfId="0" applyFont="1" applyBorder="1">
      <alignment vertical="top"/>
    </xf>
    <xf numFmtId="176" fontId="0" fillId="2" borderId="0" xfId="0" applyFont="1" applyFill="1" applyBorder="1">
      <alignment vertical="top"/>
    </xf>
    <xf numFmtId="176" fontId="0" fillId="2" borderId="14" xfId="0" applyFont="1" applyFill="1" applyBorder="1">
      <alignment vertical="top"/>
    </xf>
    <xf numFmtId="9" fontId="0" fillId="0" borderId="16" xfId="3" applyFont="1" applyBorder="1" applyAlignment="1">
      <alignment vertical="top"/>
    </xf>
    <xf numFmtId="176" fontId="0" fillId="0" borderId="8" xfId="0" applyFont="1" applyBorder="1">
      <alignment vertical="top"/>
    </xf>
    <xf numFmtId="176" fontId="0" fillId="0" borderId="12" xfId="0" applyFont="1" applyBorder="1">
      <alignment vertical="top"/>
    </xf>
    <xf numFmtId="176" fontId="0" fillId="2" borderId="0" xfId="0" applyFont="1" applyFill="1" applyBorder="1" applyAlignment="1">
      <alignment vertical="top"/>
    </xf>
    <xf numFmtId="41" fontId="13" fillId="0" borderId="0" xfId="4" applyFont="1" applyAlignment="1">
      <alignment horizontal="right"/>
    </xf>
    <xf numFmtId="176" fontId="7" fillId="19" borderId="5" xfId="0" applyFont="1" applyFill="1" applyBorder="1" applyAlignment="1">
      <alignment wrapText="1"/>
    </xf>
    <xf numFmtId="202" fontId="7" fillId="19" borderId="7" xfId="1" applyNumberFormat="1" applyFont="1" applyFill="1" applyBorder="1"/>
    <xf numFmtId="202" fontId="7" fillId="19" borderId="8" xfId="1" applyNumberFormat="1" applyFont="1" applyFill="1" applyBorder="1"/>
    <xf numFmtId="176" fontId="8" fillId="34" borderId="32" xfId="0" applyFont="1" applyFill="1" applyBorder="1" applyAlignment="1">
      <alignment vertical="center"/>
    </xf>
    <xf numFmtId="176" fontId="8" fillId="34" borderId="67" xfId="0" applyFont="1" applyFill="1" applyBorder="1" applyAlignment="1">
      <alignment vertical="center" wrapText="1"/>
    </xf>
    <xf numFmtId="176" fontId="8" fillId="34" borderId="94" xfId="0" applyFont="1" applyFill="1" applyBorder="1" applyAlignment="1">
      <alignment horizontal="center" vertical="center" wrapText="1"/>
    </xf>
    <xf numFmtId="176" fontId="8" fillId="34" borderId="95" xfId="0" applyFont="1" applyFill="1" applyBorder="1" applyAlignment="1">
      <alignment horizontal="center" vertical="center" wrapText="1"/>
    </xf>
    <xf numFmtId="176" fontId="8" fillId="34" borderId="104" xfId="0" applyFont="1" applyFill="1" applyBorder="1" applyAlignment="1">
      <alignment horizontal="center" vertical="center" wrapText="1"/>
    </xf>
    <xf numFmtId="176" fontId="13" fillId="34" borderId="44" xfId="0" applyFont="1" applyFill="1" applyBorder="1" applyAlignment="1">
      <alignment vertical="center" wrapText="1"/>
    </xf>
    <xf numFmtId="176" fontId="13" fillId="34" borderId="96" xfId="0" applyFont="1" applyFill="1" applyBorder="1" applyAlignment="1">
      <alignment vertical="center" wrapText="1"/>
    </xf>
    <xf numFmtId="41" fontId="8" fillId="34" borderId="68" xfId="4" applyFont="1" applyFill="1" applyBorder="1" applyAlignment="1">
      <alignment horizontal="center"/>
    </xf>
    <xf numFmtId="41" fontId="8" fillId="34" borderId="69" xfId="4" applyFont="1" applyFill="1" applyBorder="1" applyAlignment="1">
      <alignment horizontal="center"/>
    </xf>
    <xf numFmtId="176" fontId="8" fillId="34" borderId="68" xfId="0" applyFont="1" applyFill="1" applyBorder="1" applyAlignment="1">
      <alignment horizontal="center" vertical="center" wrapText="1"/>
    </xf>
    <xf numFmtId="213" fontId="13" fillId="0" borderId="66" xfId="4" applyNumberFormat="1" applyFont="1" applyBorder="1" applyAlignment="1">
      <alignment horizontal="center"/>
    </xf>
    <xf numFmtId="213" fontId="13" fillId="0" borderId="13" xfId="4" applyNumberFormat="1" applyFont="1" applyBorder="1" applyAlignment="1">
      <alignment horizontal="center"/>
    </xf>
    <xf numFmtId="213" fontId="13" fillId="0" borderId="9" xfId="4" applyNumberFormat="1" applyFont="1" applyBorder="1" applyAlignment="1">
      <alignment horizontal="center"/>
    </xf>
    <xf numFmtId="226" fontId="13" fillId="0" borderId="9" xfId="4" applyNumberFormat="1" applyFont="1" applyBorder="1" applyAlignment="1">
      <alignment horizontal="center"/>
    </xf>
    <xf numFmtId="176" fontId="8" fillId="0" borderId="20" xfId="0" applyFont="1" applyBorder="1" applyAlignment="1">
      <alignment horizontal="center"/>
    </xf>
    <xf numFmtId="41" fontId="8" fillId="0" borderId="0" xfId="4" applyFont="1"/>
    <xf numFmtId="176" fontId="71" fillId="0" borderId="20" xfId="0" applyFont="1" applyBorder="1" applyAlignment="1">
      <alignment horizontal="left"/>
    </xf>
    <xf numFmtId="176" fontId="8" fillId="0" borderId="44" xfId="0" applyFont="1" applyBorder="1">
      <alignment vertical="top"/>
    </xf>
    <xf numFmtId="176" fontId="13" fillId="0" borderId="45" xfId="0" applyFont="1" applyBorder="1">
      <alignment vertical="top"/>
    </xf>
    <xf numFmtId="176" fontId="8" fillId="0" borderId="69" xfId="0" applyFont="1" applyBorder="1" applyAlignment="1">
      <alignment horizontal="center"/>
    </xf>
    <xf numFmtId="213" fontId="13" fillId="0" borderId="69" xfId="4" applyNumberFormat="1" applyFont="1" applyBorder="1" applyAlignment="1">
      <alignment horizontal="center"/>
    </xf>
    <xf numFmtId="176" fontId="8" fillId="34" borderId="65" xfId="0" applyFont="1" applyFill="1" applyBorder="1" applyAlignment="1">
      <alignment horizontal="center" vertical="center"/>
    </xf>
    <xf numFmtId="176" fontId="8" fillId="34" borderId="67" xfId="0" applyFont="1" applyFill="1" applyBorder="1" applyAlignment="1">
      <alignment horizontal="center" vertical="center"/>
    </xf>
    <xf numFmtId="176" fontId="8" fillId="34" borderId="66" xfId="0" applyFont="1" applyFill="1" applyBorder="1" applyAlignment="1">
      <alignment horizontal="center" vertical="center" wrapText="1"/>
    </xf>
    <xf numFmtId="176" fontId="8" fillId="34" borderId="73" xfId="0" applyFont="1" applyFill="1" applyBorder="1" applyAlignment="1">
      <alignment horizontal="center" vertical="center" wrapText="1"/>
    </xf>
    <xf numFmtId="176" fontId="13" fillId="0" borderId="69" xfId="0" applyFont="1" applyBorder="1" applyAlignment="1">
      <alignment horizontal="center" vertical="center" wrapText="1"/>
    </xf>
    <xf numFmtId="176" fontId="8" fillId="34" borderId="69" xfId="0" applyFont="1" applyFill="1" applyBorder="1" applyAlignment="1">
      <alignment horizontal="center" vertical="center" wrapText="1"/>
    </xf>
    <xf numFmtId="176" fontId="8" fillId="34" borderId="75" xfId="0" applyFont="1" applyFill="1" applyBorder="1" applyAlignment="1">
      <alignment horizontal="center" vertical="center" wrapText="1"/>
    </xf>
    <xf numFmtId="213" fontId="13" fillId="0" borderId="14" xfId="4" applyNumberFormat="1" applyFont="1" applyBorder="1" applyAlignment="1">
      <alignment horizontal="center"/>
    </xf>
    <xf numFmtId="41" fontId="115" fillId="0" borderId="66" xfId="4" applyFont="1" applyBorder="1"/>
    <xf numFmtId="204" fontId="13" fillId="0" borderId="13" xfId="0" applyNumberFormat="1" applyFont="1" applyBorder="1">
      <alignment vertical="top"/>
    </xf>
    <xf numFmtId="41" fontId="115" fillId="0" borderId="13" xfId="4" applyFont="1" applyBorder="1"/>
    <xf numFmtId="37" fontId="8" fillId="0" borderId="57" xfId="185" applyNumberFormat="1" applyFont="1" applyBorder="1" applyAlignment="1">
      <alignment horizontal="center"/>
    </xf>
    <xf numFmtId="37" fontId="8" fillId="0" borderId="0" xfId="185" applyNumberFormat="1" applyFont="1" applyAlignment="1">
      <alignment horizontal="center"/>
    </xf>
    <xf numFmtId="204" fontId="13" fillId="0" borderId="13" xfId="0" applyNumberFormat="1" applyFont="1" applyBorder="1" applyAlignment="1">
      <alignment vertical="center" wrapText="1"/>
    </xf>
    <xf numFmtId="204" fontId="13" fillId="0" borderId="13" xfId="0" applyNumberFormat="1" applyFont="1" applyBorder="1" applyAlignment="1">
      <alignment horizontal="center"/>
    </xf>
    <xf numFmtId="204" fontId="13" fillId="0" borderId="109" xfId="0" applyNumberFormat="1" applyFont="1" applyBorder="1" applyAlignment="1">
      <alignment vertical="center" wrapText="1"/>
    </xf>
    <xf numFmtId="41" fontId="13" fillId="0" borderId="69" xfId="4" applyFont="1" applyBorder="1" applyAlignment="1">
      <alignment horizontal="center"/>
    </xf>
    <xf numFmtId="41" fontId="13" fillId="0" borderId="45" xfId="4" applyFont="1" applyBorder="1" applyAlignment="1">
      <alignment horizontal="center"/>
    </xf>
    <xf numFmtId="41" fontId="13" fillId="0" borderId="69" xfId="4" applyFont="1" applyBorder="1"/>
    <xf numFmtId="41" fontId="115" fillId="0" borderId="69" xfId="4" applyFont="1" applyBorder="1"/>
    <xf numFmtId="204" fontId="13" fillId="0" borderId="69" xfId="0" applyNumberFormat="1" applyFont="1" applyBorder="1">
      <alignment vertical="top"/>
    </xf>
    <xf numFmtId="176" fontId="8" fillId="34" borderId="32" xfId="0" applyFont="1" applyFill="1" applyBorder="1" applyAlignment="1">
      <alignment horizontal="center"/>
    </xf>
    <xf numFmtId="176" fontId="13" fillId="34" borderId="48" xfId="0" applyFont="1" applyFill="1" applyBorder="1">
      <alignment vertical="top"/>
    </xf>
    <xf numFmtId="176" fontId="8" fillId="34" borderId="20" xfId="0" applyFont="1" applyFill="1" applyBorder="1" applyAlignment="1">
      <alignment horizontal="right"/>
    </xf>
    <xf numFmtId="176" fontId="8" fillId="34" borderId="21" xfId="0" applyFont="1" applyFill="1" applyBorder="1">
      <alignment vertical="top"/>
    </xf>
    <xf numFmtId="176" fontId="8" fillId="34" borderId="44" xfId="0" applyFont="1" applyFill="1" applyBorder="1" applyAlignment="1">
      <alignment horizontal="right"/>
    </xf>
    <xf numFmtId="176" fontId="8" fillId="34" borderId="49" xfId="0" applyFont="1" applyFill="1" applyBorder="1">
      <alignment vertical="top"/>
    </xf>
    <xf numFmtId="4" fontId="13" fillId="0" borderId="0" xfId="0" applyNumberFormat="1" applyFont="1" applyAlignment="1"/>
    <xf numFmtId="9" fontId="8" fillId="0" borderId="0" xfId="3" applyFont="1" applyBorder="1" applyAlignment="1">
      <alignment horizontal="center"/>
    </xf>
    <xf numFmtId="0" fontId="13" fillId="0" borderId="0" xfId="220"/>
    <xf numFmtId="3" fontId="8" fillId="0" borderId="0" xfId="220" applyNumberFormat="1" applyFont="1"/>
    <xf numFmtId="0" fontId="8" fillId="0" borderId="0" xfId="220" applyFont="1"/>
    <xf numFmtId="3" fontId="13" fillId="0" borderId="32" xfId="229" applyBorder="1"/>
    <xf numFmtId="3" fontId="13" fillId="0" borderId="33" xfId="229" applyBorder="1"/>
    <xf numFmtId="3" fontId="13" fillId="0" borderId="20" xfId="229" applyBorder="1"/>
    <xf numFmtId="204" fontId="13" fillId="0" borderId="0" xfId="229" applyNumberFormat="1"/>
    <xf numFmtId="3" fontId="13" fillId="0" borderId="0" xfId="229"/>
    <xf numFmtId="37" fontId="8" fillId="0" borderId="0" xfId="220" applyNumberFormat="1" applyFont="1"/>
    <xf numFmtId="3" fontId="13" fillId="0" borderId="44" xfId="229" applyBorder="1"/>
    <xf numFmtId="204" fontId="13" fillId="0" borderId="45" xfId="229" applyNumberFormat="1" applyBorder="1"/>
    <xf numFmtId="3" fontId="13" fillId="0" borderId="45" xfId="229" applyBorder="1"/>
    <xf numFmtId="0" fontId="86" fillId="0" borderId="0" xfId="220" applyFont="1"/>
    <xf numFmtId="0" fontId="71" fillId="0" borderId="0" xfId="220" applyFont="1" applyAlignment="1">
      <alignment horizontal="center"/>
    </xf>
    <xf numFmtId="0" fontId="71" fillId="0" borderId="0" xfId="220" applyFont="1"/>
    <xf numFmtId="202" fontId="13" fillId="0" borderId="0" xfId="131" applyNumberFormat="1" applyFont="1"/>
    <xf numFmtId="198" fontId="158" fillId="0" borderId="0" xfId="220" applyNumberFormat="1" applyFont="1"/>
    <xf numFmtId="198" fontId="13" fillId="0" borderId="0" xfId="220" applyNumberFormat="1" applyAlignment="1">
      <alignment horizontal="center"/>
    </xf>
    <xf numFmtId="227" fontId="13" fillId="0" borderId="0" xfId="220" applyNumberFormat="1" applyAlignment="1">
      <alignment horizontal="center" vertical="top"/>
    </xf>
    <xf numFmtId="0" fontId="158" fillId="0" borderId="0" xfId="220" applyFont="1" applyAlignment="1">
      <alignment horizontal="left" vertical="top"/>
    </xf>
    <xf numFmtId="0" fontId="9" fillId="0" borderId="0" xfId="220" applyFont="1"/>
    <xf numFmtId="202" fontId="13" fillId="0" borderId="0" xfId="131" applyNumberFormat="1" applyFont="1" applyFill="1"/>
    <xf numFmtId="0" fontId="13" fillId="0" borderId="5" xfId="220" applyBorder="1"/>
    <xf numFmtId="202" fontId="13" fillId="0" borderId="5" xfId="131" applyNumberFormat="1" applyFont="1" applyFill="1" applyBorder="1"/>
    <xf numFmtId="202" fontId="8" fillId="0" borderId="0" xfId="220" applyNumberFormat="1" applyFont="1"/>
    <xf numFmtId="202" fontId="13" fillId="0" borderId="0" xfId="131" applyNumberFormat="1" applyFont="1" applyBorder="1"/>
    <xf numFmtId="198" fontId="13" fillId="0" borderId="0" xfId="220" applyNumberFormat="1"/>
    <xf numFmtId="198" fontId="158" fillId="0" borderId="0" xfId="220" applyNumberFormat="1" applyFont="1" applyAlignment="1">
      <alignment horizontal="left" indent="1"/>
    </xf>
    <xf numFmtId="198" fontId="13" fillId="0" borderId="0" xfId="220" applyNumberFormat="1" applyAlignment="1">
      <alignment horizontal="left"/>
    </xf>
    <xf numFmtId="202" fontId="8" fillId="0" borderId="6" xfId="220" applyNumberFormat="1" applyFont="1" applyBorder="1"/>
    <xf numFmtId="198" fontId="0" fillId="0" borderId="0" xfId="220" applyNumberFormat="1" applyFont="1"/>
    <xf numFmtId="202" fontId="13" fillId="0" borderId="0" xfId="220" applyNumberFormat="1"/>
    <xf numFmtId="202" fontId="13" fillId="0" borderId="0" xfId="131" applyNumberFormat="1" applyFont="1" applyAlignment="1">
      <alignment horizontal="center"/>
    </xf>
    <xf numFmtId="0" fontId="13" fillId="0" borderId="0" xfId="220" applyAlignment="1">
      <alignment horizontal="center"/>
    </xf>
    <xf numFmtId="3" fontId="13" fillId="0" borderId="48" xfId="229" applyBorder="1"/>
    <xf numFmtId="3" fontId="78" fillId="0" borderId="21" xfId="229" applyFont="1" applyBorder="1"/>
    <xf numFmtId="3" fontId="13" fillId="0" borderId="21" xfId="229" applyBorder="1"/>
    <xf numFmtId="3" fontId="13" fillId="0" borderId="49" xfId="229" applyBorder="1"/>
    <xf numFmtId="0" fontId="71" fillId="0" borderId="0" xfId="220" applyFont="1" applyAlignment="1">
      <alignment horizontal="center" wrapText="1"/>
    </xf>
    <xf numFmtId="0" fontId="13" fillId="0" borderId="0" xfId="220" applyAlignment="1">
      <alignment wrapText="1"/>
    </xf>
    <xf numFmtId="0" fontId="78" fillId="0" borderId="0" xfId="220" applyFont="1"/>
    <xf numFmtId="202" fontId="78" fillId="0" borderId="0" xfId="131" applyNumberFormat="1" applyFont="1" applyAlignment="1">
      <alignment horizontal="left"/>
    </xf>
    <xf numFmtId="202" fontId="13" fillId="0" borderId="5" xfId="220" applyNumberFormat="1" applyBorder="1"/>
    <xf numFmtId="0" fontId="13" fillId="0" borderId="0" xfId="220" applyAlignment="1">
      <alignment horizontal="left"/>
    </xf>
    <xf numFmtId="202" fontId="13" fillId="0" borderId="0" xfId="131" applyNumberFormat="1" applyFont="1" applyAlignment="1">
      <alignment horizontal="left"/>
    </xf>
    <xf numFmtId="184" fontId="13" fillId="0" borderId="0" xfId="220" applyNumberFormat="1"/>
    <xf numFmtId="0" fontId="136" fillId="0" borderId="0" xfId="220" applyFont="1"/>
    <xf numFmtId="182" fontId="13" fillId="0" borderId="0" xfId="116"/>
    <xf numFmtId="198" fontId="55" fillId="28" borderId="7" xfId="0" applyNumberFormat="1" applyFont="1" applyFill="1" applyBorder="1">
      <alignment vertical="top"/>
    </xf>
    <xf numFmtId="198" fontId="0" fillId="28" borderId="8" xfId="0" applyNumberFormat="1" applyFill="1" applyBorder="1">
      <alignment vertical="top"/>
    </xf>
    <xf numFmtId="198" fontId="0" fillId="28" borderId="0" xfId="0" applyNumberFormat="1" applyFill="1" applyBorder="1">
      <alignment vertical="top"/>
    </xf>
    <xf numFmtId="198" fontId="7" fillId="28" borderId="0" xfId="0" applyNumberFormat="1" applyFont="1" applyFill="1" applyBorder="1">
      <alignment vertical="top"/>
    </xf>
    <xf numFmtId="198" fontId="0" fillId="28" borderId="5" xfId="0" applyNumberFormat="1" applyFill="1" applyBorder="1">
      <alignment vertical="top"/>
    </xf>
    <xf numFmtId="198" fontId="7" fillId="28" borderId="5" xfId="0" applyNumberFormat="1" applyFont="1" applyFill="1" applyBorder="1">
      <alignment vertical="top"/>
    </xf>
    <xf numFmtId="176" fontId="7" fillId="0" borderId="0" xfId="0" applyFont="1" applyFill="1" applyBorder="1" applyAlignment="1">
      <alignment horizontal="center" vertical="center" wrapText="1"/>
    </xf>
    <xf numFmtId="198" fontId="8" fillId="0" borderId="0" xfId="0" applyNumberFormat="1" applyFont="1" applyFill="1" applyBorder="1" applyAlignment="1">
      <alignment horizontal="center"/>
    </xf>
    <xf numFmtId="176" fontId="13" fillId="67" borderId="7" xfId="0" applyFont="1" applyFill="1" applyBorder="1">
      <alignment vertical="top"/>
    </xf>
    <xf numFmtId="176" fontId="13" fillId="67" borderId="8" xfId="0" applyFont="1" applyFill="1" applyBorder="1">
      <alignment vertical="top"/>
    </xf>
    <xf numFmtId="176" fontId="13" fillId="67" borderId="11" xfId="0" applyFont="1" applyFill="1" applyBorder="1">
      <alignment vertical="top"/>
    </xf>
    <xf numFmtId="198" fontId="8" fillId="67" borderId="4" xfId="0" applyNumberFormat="1" applyFont="1" applyFill="1" applyBorder="1" applyAlignment="1">
      <alignment horizontal="center" vertical="top"/>
    </xf>
    <xf numFmtId="176" fontId="8" fillId="67" borderId="10" xfId="0" applyFont="1" applyFill="1" applyBorder="1">
      <alignment vertical="top"/>
    </xf>
    <xf numFmtId="37" fontId="8" fillId="67" borderId="5" xfId="0" applyNumberFormat="1" applyFont="1" applyFill="1" applyBorder="1" applyAlignment="1">
      <alignment horizontal="left"/>
    </xf>
    <xf numFmtId="176" fontId="8" fillId="67" borderId="5" xfId="0" applyFont="1" applyFill="1" applyBorder="1">
      <alignment vertical="top"/>
    </xf>
    <xf numFmtId="176" fontId="8" fillId="67" borderId="15" xfId="0" applyFont="1" applyFill="1" applyBorder="1" applyAlignment="1">
      <alignment horizontal="center" vertical="top"/>
    </xf>
    <xf numFmtId="176" fontId="13" fillId="67" borderId="5" xfId="0" applyFont="1" applyFill="1" applyBorder="1">
      <alignment vertical="top"/>
    </xf>
    <xf numFmtId="176" fontId="8" fillId="67" borderId="10" xfId="0" applyFont="1" applyFill="1" applyBorder="1" applyAlignment="1">
      <alignment horizontal="center" vertical="top"/>
    </xf>
    <xf numFmtId="37" fontId="8" fillId="0" borderId="9" xfId="0" applyNumberFormat="1" applyFont="1" applyBorder="1" applyAlignment="1">
      <alignment horizontal="left"/>
    </xf>
    <xf numFmtId="176" fontId="13" fillId="0" borderId="13" xfId="0" applyFont="1" applyBorder="1" applyAlignment="1">
      <alignment horizontal="center" vertical="top"/>
    </xf>
    <xf numFmtId="37" fontId="8" fillId="0" borderId="10" xfId="0" applyNumberFormat="1" applyFont="1" applyBorder="1" applyAlignment="1">
      <alignment horizontal="left"/>
    </xf>
    <xf numFmtId="39" fontId="8" fillId="0" borderId="5" xfId="0" applyNumberFormat="1" applyFont="1" applyBorder="1" applyAlignment="1">
      <alignment horizontal="center"/>
    </xf>
    <xf numFmtId="176" fontId="8" fillId="0" borderId="15" xfId="0" applyFont="1" applyBorder="1" applyAlignment="1">
      <alignment horizontal="right" vertical="center"/>
    </xf>
    <xf numFmtId="0" fontId="13" fillId="0" borderId="0" xfId="242" applyFont="1" applyBorder="1" applyAlignment="1">
      <alignment horizontal="left" indent="1"/>
    </xf>
    <xf numFmtId="176" fontId="81" fillId="0" borderId="13" xfId="0" applyFont="1" applyBorder="1" applyAlignment="1">
      <alignment horizontal="center" vertical="top"/>
    </xf>
    <xf numFmtId="37" fontId="8" fillId="0" borderId="5" xfId="0" applyNumberFormat="1" applyFont="1" applyBorder="1" applyAlignment="1">
      <alignment horizontal="left"/>
    </xf>
    <xf numFmtId="207" fontId="8" fillId="0" borderId="15" xfId="0" applyNumberFormat="1" applyFont="1" applyBorder="1" applyAlignment="1">
      <alignment horizontal="center"/>
    </xf>
    <xf numFmtId="37" fontId="30" fillId="0" borderId="10" xfId="0" applyNumberFormat="1" applyFont="1" applyBorder="1">
      <alignment vertical="top"/>
    </xf>
    <xf numFmtId="37" fontId="30" fillId="0" borderId="5" xfId="0" applyNumberFormat="1" applyFont="1" applyBorder="1">
      <alignment vertical="top"/>
    </xf>
    <xf numFmtId="37" fontId="9" fillId="0" borderId="15" xfId="0" applyNumberFormat="1" applyFont="1" applyBorder="1" applyAlignment="1">
      <alignment horizontal="center"/>
    </xf>
    <xf numFmtId="41" fontId="30" fillId="0" borderId="15" xfId="4" applyFont="1" applyBorder="1" applyAlignment="1">
      <alignment vertical="top"/>
    </xf>
    <xf numFmtId="176" fontId="8" fillId="0" borderId="0" xfId="0" applyFont="1" applyAlignment="1">
      <alignment horizontal="left" vertical="top" indent="1"/>
    </xf>
    <xf numFmtId="176" fontId="13" fillId="65" borderId="32" xfId="0" applyFont="1" applyFill="1" applyBorder="1">
      <alignment vertical="top"/>
    </xf>
    <xf numFmtId="176" fontId="13" fillId="65" borderId="33" xfId="0" applyFont="1" applyFill="1" applyBorder="1">
      <alignment vertical="top"/>
    </xf>
    <xf numFmtId="176" fontId="8" fillId="65" borderId="33" xfId="0" applyFont="1" applyFill="1" applyBorder="1">
      <alignment vertical="top"/>
    </xf>
    <xf numFmtId="176" fontId="30" fillId="65" borderId="33" xfId="0" applyFont="1" applyFill="1" applyBorder="1" applyAlignment="1">
      <alignment horizontal="center"/>
    </xf>
    <xf numFmtId="176" fontId="13" fillId="65" borderId="20" xfId="0" applyFont="1" applyFill="1" applyBorder="1">
      <alignment vertical="top"/>
    </xf>
    <xf numFmtId="176" fontId="13" fillId="65" borderId="0" xfId="0" applyFont="1" applyFill="1">
      <alignment vertical="top"/>
    </xf>
    <xf numFmtId="176" fontId="0" fillId="50" borderId="4" xfId="0" applyFill="1" applyBorder="1">
      <alignment vertical="top"/>
    </xf>
    <xf numFmtId="176" fontId="23" fillId="65" borderId="0" xfId="0" applyFont="1" applyFill="1" applyBorder="1" applyAlignment="1"/>
    <xf numFmtId="176" fontId="8" fillId="65" borderId="0" xfId="0" applyFont="1" applyFill="1" applyAlignment="1">
      <alignment horizontal="center"/>
    </xf>
    <xf numFmtId="176" fontId="23" fillId="65" borderId="0" xfId="0" applyFont="1" applyFill="1" applyAlignment="1">
      <alignment horizontal="left"/>
    </xf>
    <xf numFmtId="176" fontId="13" fillId="50" borderId="7" xfId="0" applyFont="1" applyFill="1" applyBorder="1">
      <alignment vertical="top"/>
    </xf>
    <xf numFmtId="176" fontId="13" fillId="50" borderId="8" xfId="0" applyFont="1" applyFill="1" applyBorder="1">
      <alignment vertical="top"/>
    </xf>
    <xf numFmtId="176" fontId="8" fillId="50" borderId="7" xfId="0" applyFont="1" applyFill="1" applyBorder="1">
      <alignment vertical="top"/>
    </xf>
    <xf numFmtId="176" fontId="8" fillId="50" borderId="8" xfId="0" applyFont="1" applyFill="1" applyBorder="1">
      <alignment vertical="top"/>
    </xf>
    <xf numFmtId="176" fontId="13" fillId="50" borderId="10" xfId="0" applyFont="1" applyFill="1" applyBorder="1">
      <alignment vertical="top"/>
    </xf>
    <xf numFmtId="176" fontId="13" fillId="50" borderId="5" xfId="0" applyFont="1" applyFill="1" applyBorder="1">
      <alignment vertical="top"/>
    </xf>
    <xf numFmtId="176" fontId="8" fillId="65" borderId="20" xfId="0" applyFont="1" applyFill="1" applyBorder="1">
      <alignment vertical="top"/>
    </xf>
    <xf numFmtId="176" fontId="8" fillId="65" borderId="0" xfId="0" applyFont="1" applyFill="1">
      <alignment vertical="top"/>
    </xf>
    <xf numFmtId="176" fontId="0" fillId="50" borderId="9" xfId="0" applyFill="1" applyBorder="1">
      <alignment vertical="top"/>
    </xf>
    <xf numFmtId="176" fontId="0" fillId="50" borderId="0" xfId="0" applyFill="1" applyBorder="1">
      <alignment vertical="top"/>
    </xf>
    <xf numFmtId="176" fontId="8" fillId="0" borderId="0" xfId="0" applyFont="1" applyFill="1" applyBorder="1" applyAlignment="1">
      <alignment horizontal="center"/>
    </xf>
    <xf numFmtId="176" fontId="7" fillId="67" borderId="7" xfId="0" applyFont="1" applyFill="1" applyBorder="1" applyAlignment="1">
      <alignment horizontal="center" vertical="top"/>
    </xf>
    <xf numFmtId="176" fontId="7" fillId="67" borderId="12" xfId="0" applyFont="1" applyFill="1" applyBorder="1" applyAlignment="1">
      <alignment horizontal="center" vertical="top"/>
    </xf>
    <xf numFmtId="176" fontId="13" fillId="67" borderId="12" xfId="0" applyFont="1" applyFill="1" applyBorder="1">
      <alignment vertical="top"/>
    </xf>
    <xf numFmtId="176" fontId="7" fillId="67" borderId="17" xfId="0" applyFont="1" applyFill="1" applyBorder="1" applyAlignment="1">
      <alignment horizontal="center" vertical="top"/>
    </xf>
    <xf numFmtId="176" fontId="7" fillId="67" borderId="18" xfId="0" applyFont="1" applyFill="1" applyBorder="1" applyAlignment="1">
      <alignment horizontal="center" vertical="top"/>
    </xf>
    <xf numFmtId="176" fontId="8" fillId="67" borderId="4" xfId="0" applyFont="1" applyFill="1" applyBorder="1" applyAlignment="1">
      <alignment horizontal="center"/>
    </xf>
    <xf numFmtId="176" fontId="8" fillId="67" borderId="16" xfId="0" applyFont="1" applyFill="1" applyBorder="1" applyAlignment="1">
      <alignment horizontal="center" vertical="top"/>
    </xf>
    <xf numFmtId="176" fontId="8" fillId="67" borderId="5" xfId="0" applyFont="1" applyFill="1" applyBorder="1" applyAlignment="1">
      <alignment horizontal="center" vertical="top"/>
    </xf>
    <xf numFmtId="228" fontId="13" fillId="0" borderId="14" xfId="0" applyNumberFormat="1" applyFont="1" applyBorder="1">
      <alignment vertical="top"/>
    </xf>
    <xf numFmtId="37" fontId="13" fillId="0" borderId="13" xfId="0" applyNumberFormat="1" applyFont="1" applyBorder="1" applyAlignment="1">
      <alignment vertical="top"/>
    </xf>
    <xf numFmtId="202" fontId="13" fillId="0" borderId="16" xfId="1" applyNumberFormat="1" applyFont="1" applyBorder="1" applyAlignment="1">
      <alignment vertical="top"/>
    </xf>
    <xf numFmtId="177" fontId="13" fillId="0" borderId="16" xfId="1" applyFont="1" applyBorder="1" applyAlignment="1">
      <alignment vertical="top"/>
    </xf>
    <xf numFmtId="176" fontId="13" fillId="0" borderId="18" xfId="0" applyFont="1" applyBorder="1">
      <alignment vertical="top"/>
    </xf>
    <xf numFmtId="41" fontId="30" fillId="0" borderId="10" xfId="4" applyFont="1" applyBorder="1" applyAlignment="1">
      <alignment vertical="top"/>
    </xf>
    <xf numFmtId="177" fontId="30" fillId="0" borderId="15" xfId="1" applyFont="1" applyBorder="1" applyAlignment="1">
      <alignment vertical="top"/>
    </xf>
    <xf numFmtId="176" fontId="30" fillId="0" borderId="5" xfId="0" applyFont="1" applyBorder="1">
      <alignment vertical="top"/>
    </xf>
    <xf numFmtId="176" fontId="159" fillId="0" borderId="0" xfId="0" applyFont="1" applyAlignment="1">
      <alignment horizontal="center"/>
    </xf>
    <xf numFmtId="176" fontId="79" fillId="0" borderId="0" xfId="0" applyFont="1" applyAlignment="1">
      <alignment horizontal="left"/>
    </xf>
    <xf numFmtId="176" fontId="79" fillId="0" borderId="0" xfId="0" applyFont="1" applyAlignment="1">
      <alignment horizontal="center"/>
    </xf>
    <xf numFmtId="176" fontId="30" fillId="65" borderId="33" xfId="0" applyFont="1" applyFill="1" applyBorder="1">
      <alignment vertical="top"/>
    </xf>
    <xf numFmtId="176" fontId="30" fillId="65" borderId="33" xfId="0" applyFont="1" applyFill="1" applyBorder="1" applyAlignment="1">
      <alignment horizontal="center" vertical="top"/>
    </xf>
    <xf numFmtId="176" fontId="8" fillId="50" borderId="4" xfId="0" applyFont="1" applyFill="1" applyBorder="1" applyAlignment="1">
      <alignment horizontal="center" vertical="top" wrapText="1"/>
    </xf>
    <xf numFmtId="176" fontId="8" fillId="50" borderId="11" xfId="0" applyFont="1" applyFill="1" applyBorder="1" applyAlignment="1">
      <alignment horizontal="center" vertical="top" wrapText="1"/>
    </xf>
    <xf numFmtId="176" fontId="8" fillId="50" borderId="8" xfId="0" applyFont="1" applyFill="1" applyBorder="1" applyAlignment="1">
      <alignment horizontal="center" vertical="top" wrapText="1"/>
    </xf>
    <xf numFmtId="176" fontId="8" fillId="50" borderId="8" xfId="0" applyFont="1" applyFill="1" applyBorder="1" applyAlignment="1">
      <alignment horizontal="center" vertical="top"/>
    </xf>
    <xf numFmtId="176" fontId="13" fillId="50" borderId="4" xfId="0" applyFont="1" applyFill="1" applyBorder="1" applyAlignment="1">
      <alignment horizontal="center" vertical="top"/>
    </xf>
    <xf numFmtId="176" fontId="13" fillId="50" borderId="19" xfId="0" applyFont="1" applyFill="1" applyBorder="1" applyAlignment="1">
      <alignment horizontal="center" vertical="top"/>
    </xf>
    <xf numFmtId="176" fontId="13" fillId="50" borderId="18" xfId="0" applyFont="1" applyFill="1" applyBorder="1" applyAlignment="1">
      <alignment horizontal="center" vertical="top"/>
    </xf>
    <xf numFmtId="176" fontId="13" fillId="50" borderId="13" xfId="0" applyFont="1" applyFill="1" applyBorder="1" applyAlignment="1">
      <alignment horizontal="center" vertical="top"/>
    </xf>
    <xf numFmtId="207" fontId="13" fillId="50" borderId="7" xfId="0" applyNumberFormat="1" applyFont="1" applyFill="1" applyBorder="1" applyAlignment="1">
      <alignment horizontal="center" vertical="top"/>
    </xf>
    <xf numFmtId="207" fontId="13" fillId="50" borderId="12" xfId="0" applyNumberFormat="1" applyFont="1" applyFill="1" applyBorder="1" applyAlignment="1">
      <alignment horizontal="center" vertical="top"/>
    </xf>
    <xf numFmtId="207" fontId="13" fillId="50" borderId="8" xfId="0" applyNumberFormat="1" applyFont="1" applyFill="1" applyBorder="1">
      <alignment vertical="top"/>
    </xf>
    <xf numFmtId="176" fontId="13" fillId="50" borderId="15" xfId="0" applyFont="1" applyFill="1" applyBorder="1" applyAlignment="1">
      <alignment horizontal="center" vertical="top"/>
    </xf>
    <xf numFmtId="207" fontId="13" fillId="50" borderId="10" xfId="0" applyNumberFormat="1" applyFont="1" applyFill="1" applyBorder="1" applyAlignment="1">
      <alignment horizontal="center" vertical="top"/>
    </xf>
    <xf numFmtId="207" fontId="13" fillId="50" borderId="16" xfId="0" applyNumberFormat="1" applyFont="1" applyFill="1" applyBorder="1" applyAlignment="1">
      <alignment horizontal="center" vertical="top"/>
    </xf>
    <xf numFmtId="207" fontId="13" fillId="50" borderId="5" xfId="0" applyNumberFormat="1" applyFont="1" applyFill="1" applyBorder="1">
      <alignment vertical="top"/>
    </xf>
    <xf numFmtId="198" fontId="0" fillId="28" borderId="12" xfId="0" applyNumberFormat="1" applyFill="1" applyBorder="1">
      <alignment vertical="top"/>
    </xf>
    <xf numFmtId="198" fontId="8" fillId="67" borderId="17" xfId="0" applyNumberFormat="1" applyFont="1" applyFill="1" applyBorder="1" applyAlignment="1">
      <alignment horizontal="center" vertical="top"/>
    </xf>
    <xf numFmtId="198" fontId="8" fillId="67" borderId="18" xfId="0" applyNumberFormat="1" applyFont="1" applyFill="1" applyBorder="1" applyAlignment="1">
      <alignment horizontal="center" vertical="top"/>
    </xf>
    <xf numFmtId="176" fontId="8" fillId="67" borderId="4" xfId="0" applyFont="1" applyFill="1" applyBorder="1" applyAlignment="1">
      <alignment horizontal="center" vertical="top"/>
    </xf>
    <xf numFmtId="176" fontId="8" fillId="67" borderId="18" xfId="0" applyFont="1" applyFill="1" applyBorder="1" applyAlignment="1">
      <alignment horizontal="center" vertical="top"/>
    </xf>
    <xf numFmtId="9" fontId="13" fillId="0" borderId="14" xfId="3" applyFont="1" applyBorder="1"/>
    <xf numFmtId="9" fontId="13" fillId="0" borderId="9" xfId="3" applyFont="1" applyBorder="1"/>
    <xf numFmtId="9" fontId="13" fillId="0" borderId="109" xfId="3" applyFont="1" applyBorder="1"/>
    <xf numFmtId="9" fontId="13" fillId="0" borderId="59" xfId="3" applyFont="1" applyBorder="1"/>
    <xf numFmtId="9" fontId="13" fillId="0" borderId="17" xfId="3" applyFont="1" applyBorder="1" applyAlignment="1">
      <alignment vertical="top"/>
    </xf>
    <xf numFmtId="37" fontId="30" fillId="0" borderId="15" xfId="0" applyNumberFormat="1" applyFont="1" applyBorder="1">
      <alignment vertical="top"/>
    </xf>
    <xf numFmtId="9" fontId="30" fillId="0" borderId="16" xfId="3" applyFont="1" applyBorder="1"/>
    <xf numFmtId="176" fontId="13" fillId="65" borderId="48" xfId="0" applyFont="1" applyFill="1" applyBorder="1">
      <alignment vertical="top"/>
    </xf>
    <xf numFmtId="176" fontId="13" fillId="65" borderId="21" xfId="0" applyFont="1" applyFill="1" applyBorder="1" applyAlignment="1">
      <alignment horizontal="center" vertical="top"/>
    </xf>
    <xf numFmtId="176" fontId="13" fillId="65" borderId="21" xfId="0" applyFont="1" applyFill="1" applyBorder="1">
      <alignment vertical="top"/>
    </xf>
    <xf numFmtId="176" fontId="13" fillId="50" borderId="12" xfId="0" applyFont="1" applyFill="1" applyBorder="1">
      <alignment vertical="top"/>
    </xf>
    <xf numFmtId="207" fontId="13" fillId="50" borderId="11" xfId="0" applyNumberFormat="1" applyFont="1" applyFill="1" applyBorder="1" applyAlignment="1">
      <alignment horizontal="center" vertical="top"/>
    </xf>
    <xf numFmtId="176" fontId="13" fillId="50" borderId="11" xfId="0" applyFont="1" applyFill="1" applyBorder="1" applyAlignment="1">
      <alignment horizontal="center" vertical="top"/>
    </xf>
    <xf numFmtId="207" fontId="13" fillId="50" borderId="15" xfId="0" applyNumberFormat="1" applyFont="1" applyFill="1" applyBorder="1" applyAlignment="1">
      <alignment horizontal="center" vertical="top"/>
    </xf>
    <xf numFmtId="176" fontId="0" fillId="50" borderId="14" xfId="0" applyFill="1" applyBorder="1">
      <alignment vertical="top"/>
    </xf>
    <xf numFmtId="41" fontId="8" fillId="0" borderId="0" xfId="4" applyFont="1" applyAlignment="1">
      <alignment vertical="top"/>
    </xf>
    <xf numFmtId="176" fontId="0" fillId="50" borderId="10" xfId="0" applyFill="1" applyBorder="1">
      <alignment vertical="top"/>
    </xf>
    <xf numFmtId="176" fontId="0" fillId="50" borderId="5" xfId="0" applyFill="1" applyBorder="1">
      <alignment vertical="top"/>
    </xf>
    <xf numFmtId="176" fontId="27" fillId="68" borderId="20" xfId="0" applyFont="1" applyFill="1" applyBorder="1" applyAlignment="1">
      <alignment horizontal="left"/>
    </xf>
    <xf numFmtId="176" fontId="0" fillId="68" borderId="0" xfId="0" applyFill="1" applyAlignment="1"/>
    <xf numFmtId="176" fontId="0" fillId="68" borderId="0" xfId="0" applyFill="1" applyAlignment="1">
      <alignment horizontal="center"/>
    </xf>
    <xf numFmtId="176" fontId="13" fillId="65" borderId="44" xfId="0" applyFont="1" applyFill="1" applyBorder="1">
      <alignment vertical="top"/>
    </xf>
    <xf numFmtId="176" fontId="13" fillId="65" borderId="45" xfId="0" applyFont="1" applyFill="1" applyBorder="1">
      <alignment vertical="top"/>
    </xf>
    <xf numFmtId="176" fontId="8" fillId="65" borderId="45" xfId="0" applyFont="1" applyFill="1" applyBorder="1" applyAlignment="1">
      <alignment horizontal="center"/>
    </xf>
    <xf numFmtId="176" fontId="13" fillId="65" borderId="49" xfId="0" applyFont="1" applyFill="1" applyBorder="1">
      <alignment vertical="top"/>
    </xf>
    <xf numFmtId="176" fontId="7" fillId="0" borderId="0" xfId="216" applyFont="1">
      <alignment vertical="top"/>
    </xf>
    <xf numFmtId="176" fontId="28" fillId="0" borderId="0" xfId="216" applyFont="1">
      <alignment vertical="top"/>
    </xf>
    <xf numFmtId="176" fontId="1" fillId="0" borderId="0" xfId="216" applyFont="1" applyAlignment="1">
      <alignment horizontal="left"/>
    </xf>
    <xf numFmtId="176" fontId="5" fillId="0" borderId="0" xfId="216" applyFont="1" applyAlignment="1">
      <alignment horizontal="left" vertical="top"/>
    </xf>
    <xf numFmtId="176" fontId="160" fillId="0" borderId="0" xfId="216" applyFont="1">
      <alignment vertical="top"/>
    </xf>
    <xf numFmtId="176" fontId="151" fillId="0" borderId="0" xfId="0" applyFont="1" applyBorder="1" applyAlignment="1">
      <alignment vertical="top"/>
    </xf>
    <xf numFmtId="176" fontId="28" fillId="0" borderId="5" xfId="216" applyFont="1" applyBorder="1">
      <alignment vertical="top"/>
    </xf>
    <xf numFmtId="176" fontId="161" fillId="0" borderId="5" xfId="216" applyFont="1" applyBorder="1" applyAlignment="1">
      <alignment horizontal="center"/>
    </xf>
    <xf numFmtId="176" fontId="161" fillId="0" borderId="0" xfId="216" applyFont="1" applyBorder="1" applyAlignment="1">
      <alignment horizontal="center"/>
    </xf>
    <xf numFmtId="0" fontId="5" fillId="0" borderId="5" xfId="216" applyNumberFormat="1" applyFont="1" applyBorder="1" applyAlignment="1">
      <alignment horizontal="center"/>
    </xf>
    <xf numFmtId="176" fontId="107" fillId="0" borderId="8" xfId="216" applyFont="1" applyBorder="1" applyAlignment="1">
      <alignment horizontal="center"/>
    </xf>
    <xf numFmtId="176" fontId="107" fillId="0" borderId="0" xfId="216" applyFont="1" applyBorder="1" applyAlignment="1">
      <alignment horizontal="center"/>
    </xf>
    <xf numFmtId="176" fontId="28" fillId="0" borderId="0" xfId="216" applyFont="1" applyAlignment="1"/>
    <xf numFmtId="176" fontId="107" fillId="0" borderId="0" xfId="216" applyFont="1" applyAlignment="1">
      <alignment horizontal="center"/>
    </xf>
    <xf numFmtId="229" fontId="107" fillId="0" borderId="0" xfId="216" applyNumberFormat="1" applyFont="1" applyAlignment="1">
      <alignment horizontal="center"/>
    </xf>
    <xf numFmtId="230" fontId="107" fillId="0" borderId="0" xfId="216" applyNumberFormat="1" applyFont="1" applyAlignment="1">
      <alignment horizontal="center"/>
    </xf>
    <xf numFmtId="231" fontId="107" fillId="0" borderId="0" xfId="216" applyNumberFormat="1" applyFont="1" applyAlignment="1">
      <alignment horizontal="center"/>
    </xf>
    <xf numFmtId="232" fontId="107" fillId="0" borderId="0" xfId="216" applyNumberFormat="1" applyFont="1" applyAlignment="1">
      <alignment horizontal="center"/>
    </xf>
    <xf numFmtId="176" fontId="107" fillId="0" borderId="5" xfId="216" applyFont="1" applyBorder="1" applyAlignment="1">
      <alignment horizontal="center"/>
    </xf>
    <xf numFmtId="176" fontId="107" fillId="0" borderId="0" xfId="216" applyFont="1" applyAlignment="1"/>
    <xf numFmtId="233" fontId="107" fillId="0" borderId="0" xfId="216" applyNumberFormat="1" applyFont="1" applyAlignment="1">
      <alignment horizontal="center"/>
    </xf>
    <xf numFmtId="176" fontId="0" fillId="0" borderId="0" xfId="0" applyNumberFormat="1" applyFont="1" applyAlignment="1">
      <alignment vertical="top"/>
    </xf>
    <xf numFmtId="176" fontId="107" fillId="0" borderId="5" xfId="216" applyNumberFormat="1" applyFont="1" applyBorder="1" applyAlignment="1">
      <alignment horizontal="center"/>
    </xf>
    <xf numFmtId="176" fontId="7" fillId="0" borderId="0" xfId="0" applyNumberFormat="1" applyFont="1" applyAlignment="1">
      <alignment vertical="top"/>
    </xf>
    <xf numFmtId="176" fontId="107" fillId="0" borderId="0" xfId="216" applyNumberFormat="1" applyFont="1" applyAlignment="1">
      <alignment horizontal="center"/>
    </xf>
    <xf numFmtId="176" fontId="7" fillId="0" borderId="6" xfId="0" applyNumberFormat="1" applyFont="1" applyBorder="1" applyAlignment="1">
      <alignment vertical="top"/>
    </xf>
    <xf numFmtId="176" fontId="0" fillId="0" borderId="0" xfId="0" applyNumberFormat="1">
      <alignment vertical="top"/>
    </xf>
    <xf numFmtId="234" fontId="107" fillId="0" borderId="0" xfId="216" applyNumberFormat="1" applyFont="1" applyAlignment="1">
      <alignment horizontal="center"/>
    </xf>
    <xf numFmtId="235" fontId="107" fillId="0" borderId="0" xfId="216" applyNumberFormat="1" applyFont="1" applyAlignment="1">
      <alignment horizontal="center"/>
    </xf>
    <xf numFmtId="236" fontId="107" fillId="0" borderId="0" xfId="216" applyNumberFormat="1" applyFont="1" applyAlignment="1">
      <alignment horizontal="center"/>
    </xf>
    <xf numFmtId="176" fontId="107" fillId="0" borderId="0" xfId="216" applyNumberFormat="1" applyFont="1" applyAlignment="1"/>
    <xf numFmtId="176" fontId="151" fillId="0" borderId="0" xfId="0" applyFont="1" applyBorder="1">
      <alignment vertical="top"/>
    </xf>
    <xf numFmtId="176" fontId="0" fillId="0" borderId="8" xfId="216" applyFont="1" applyBorder="1" applyAlignment="1"/>
    <xf numFmtId="176" fontId="0" fillId="0" borderId="0" xfId="216" applyFont="1" applyAlignment="1"/>
    <xf numFmtId="176" fontId="0" fillId="0" borderId="0" xfId="148" applyNumberFormat="1" applyFont="1"/>
    <xf numFmtId="176" fontId="5" fillId="0" borderId="0" xfId="148" applyNumberFormat="1" applyFont="1"/>
    <xf numFmtId="41" fontId="0" fillId="0" borderId="0" xfId="4" applyFont="1" applyAlignment="1"/>
    <xf numFmtId="176" fontId="70" fillId="0" borderId="0" xfId="216" applyFont="1" applyAlignment="1"/>
    <xf numFmtId="176" fontId="6" fillId="0" borderId="0" xfId="216" applyFont="1" applyAlignment="1"/>
    <xf numFmtId="176" fontId="151" fillId="0" borderId="111" xfId="0" applyFont="1" applyBorder="1" applyAlignment="1">
      <alignment vertical="top"/>
    </xf>
    <xf numFmtId="176" fontId="151" fillId="0" borderId="0" xfId="0" applyFont="1" applyAlignment="1">
      <alignment vertical="top"/>
    </xf>
    <xf numFmtId="176" fontId="151" fillId="0" borderId="0" xfId="216" applyFont="1">
      <alignment vertical="top"/>
    </xf>
    <xf numFmtId="176" fontId="5" fillId="0" borderId="5" xfId="216" applyFont="1" applyBorder="1" applyAlignment="1">
      <alignment horizontal="center" wrapText="1"/>
    </xf>
    <xf numFmtId="176" fontId="0" fillId="0" borderId="0" xfId="216" applyFont="1" applyBorder="1" applyAlignment="1"/>
    <xf numFmtId="176" fontId="0" fillId="0" borderId="0" xfId="148" applyNumberFormat="1" applyFont="1" applyAlignment="1"/>
    <xf numFmtId="176" fontId="0" fillId="0" borderId="0" xfId="148" applyNumberFormat="1" applyFont="1" applyBorder="1"/>
    <xf numFmtId="176" fontId="7" fillId="0" borderId="0" xfId="148" applyNumberFormat="1" applyFont="1"/>
    <xf numFmtId="176" fontId="5" fillId="0" borderId="0" xfId="148" applyNumberFormat="1" applyFont="1" applyBorder="1"/>
    <xf numFmtId="176" fontId="151" fillId="0" borderId="0" xfId="216" applyFont="1" applyAlignment="1"/>
    <xf numFmtId="176" fontId="0" fillId="0" borderId="5" xfId="148" applyNumberFormat="1" applyFont="1" applyBorder="1"/>
    <xf numFmtId="176" fontId="0" fillId="0" borderId="5" xfId="148" applyNumberFormat="1" applyFont="1" applyBorder="1" applyAlignment="1"/>
    <xf numFmtId="176" fontId="0" fillId="0" borderId="0" xfId="148" applyNumberFormat="1" applyFont="1" applyBorder="1" applyAlignment="1"/>
    <xf numFmtId="176" fontId="5" fillId="0" borderId="6" xfId="148" applyNumberFormat="1" applyFont="1" applyBorder="1"/>
    <xf numFmtId="176" fontId="144" fillId="0" borderId="0" xfId="256" applyNumberFormat="1" applyFont="1" applyBorder="1" applyAlignment="1">
      <alignment horizontal="center" vertical="top"/>
    </xf>
    <xf numFmtId="176" fontId="144" fillId="0" borderId="0" xfId="256" applyNumberFormat="1" applyFont="1" applyBorder="1" applyAlignment="1">
      <alignment horizontal="left" vertical="top"/>
    </xf>
    <xf numFmtId="0" fontId="7" fillId="0" borderId="0" xfId="216" applyNumberFormat="1" applyFont="1" applyAlignment="1">
      <alignment horizontal="center" vertical="top"/>
    </xf>
    <xf numFmtId="176" fontId="151" fillId="0" borderId="0" xfId="216" applyFont="1" applyBorder="1" applyAlignment="1"/>
    <xf numFmtId="176" fontId="7" fillId="0" borderId="0" xfId="148" applyNumberFormat="1" applyFont="1" applyBorder="1"/>
    <xf numFmtId="176" fontId="7" fillId="0" borderId="0" xfId="216" applyFont="1" applyAlignment="1">
      <alignment horizontal="left" vertical="top"/>
    </xf>
    <xf numFmtId="176" fontId="1" fillId="2" borderId="0" xfId="216" applyFont="1" applyFill="1">
      <alignment vertical="top"/>
    </xf>
    <xf numFmtId="176" fontId="0" fillId="2" borderId="0" xfId="216" applyFont="1" applyFill="1">
      <alignment vertical="top"/>
    </xf>
    <xf numFmtId="176" fontId="28" fillId="0" borderId="0" xfId="216" applyFont="1" applyAlignment="1">
      <alignment horizontal="center"/>
    </xf>
    <xf numFmtId="176" fontId="162" fillId="0" borderId="5" xfId="216" applyFont="1" applyBorder="1" applyAlignment="1">
      <alignment horizontal="center"/>
    </xf>
    <xf numFmtId="176" fontId="162" fillId="0" borderId="0" xfId="216" applyFont="1" applyBorder="1" applyAlignment="1">
      <alignment horizontal="center"/>
    </xf>
    <xf numFmtId="176" fontId="107" fillId="0" borderId="8" xfId="216" applyFont="1" applyBorder="1" applyAlignment="1"/>
    <xf numFmtId="176" fontId="107" fillId="0" borderId="0" xfId="216" applyFont="1" applyBorder="1" applyAlignment="1"/>
    <xf numFmtId="237" fontId="107" fillId="0" borderId="0" xfId="216" applyNumberFormat="1" applyFont="1" applyAlignment="1">
      <alignment horizontal="center"/>
    </xf>
    <xf numFmtId="176" fontId="123" fillId="0" borderId="0" xfId="216" applyFont="1" applyAlignment="1"/>
    <xf numFmtId="176" fontId="163" fillId="0" borderId="0" xfId="216" applyFont="1" applyAlignment="1">
      <alignment horizontal="center"/>
    </xf>
    <xf numFmtId="176" fontId="107" fillId="0" borderId="0" xfId="216" applyFont="1">
      <alignment vertical="top"/>
    </xf>
    <xf numFmtId="176" fontId="107" fillId="2" borderId="0" xfId="216" applyFont="1" applyFill="1" applyAlignment="1"/>
    <xf numFmtId="176" fontId="28" fillId="2" borderId="0" xfId="216" applyFont="1" applyFill="1" applyAlignment="1"/>
    <xf numFmtId="176" fontId="164" fillId="0" borderId="0" xfId="256" applyNumberFormat="1" applyFont="1" applyAlignment="1">
      <alignment horizontal="center" vertical="center" textRotation="90" wrapText="1"/>
    </xf>
    <xf numFmtId="0" fontId="5" fillId="0" borderId="5" xfId="216" applyNumberFormat="1" applyFont="1" applyBorder="1" applyAlignment="1"/>
    <xf numFmtId="176" fontId="7" fillId="0" borderId="5" xfId="148" applyNumberFormat="1" applyFont="1" applyBorder="1"/>
    <xf numFmtId="176" fontId="7" fillId="0" borderId="19" xfId="148" applyNumberFormat="1" applyFont="1" applyBorder="1"/>
    <xf numFmtId="176" fontId="0" fillId="2" borderId="0" xfId="148" applyNumberFormat="1" applyFont="1" applyFill="1" applyBorder="1"/>
    <xf numFmtId="176" fontId="144" fillId="0" borderId="5" xfId="256" applyNumberFormat="1" applyFont="1" applyBorder="1" applyAlignment="1">
      <alignment horizontal="left" vertical="top"/>
    </xf>
    <xf numFmtId="176" fontId="165" fillId="0" borderId="0" xfId="256" applyNumberFormat="1" applyFont="1" applyAlignment="1">
      <alignment vertical="top"/>
    </xf>
    <xf numFmtId="176" fontId="5" fillId="0" borderId="5" xfId="216" applyFont="1" applyBorder="1" applyAlignment="1">
      <alignment wrapText="1"/>
    </xf>
    <xf numFmtId="176" fontId="5" fillId="0" borderId="0" xfId="216" applyFont="1" applyBorder="1" applyAlignment="1"/>
    <xf numFmtId="176" fontId="0" fillId="0" borderId="7" xfId="216" applyFont="1" applyBorder="1">
      <alignment vertical="top"/>
    </xf>
    <xf numFmtId="0" fontId="0" fillId="0" borderId="12" xfId="216" applyNumberFormat="1" applyFont="1" applyBorder="1">
      <alignment vertical="top"/>
    </xf>
    <xf numFmtId="176" fontId="0" fillId="0" borderId="9" xfId="216" applyFont="1" applyBorder="1" applyAlignment="1"/>
    <xf numFmtId="0" fontId="0" fillId="0" borderId="14" xfId="216" applyNumberFormat="1" applyFont="1" applyBorder="1" applyAlignment="1"/>
    <xf numFmtId="176" fontId="0" fillId="0" borderId="10" xfId="216" applyFont="1" applyBorder="1" applyAlignment="1"/>
    <xf numFmtId="0" fontId="0" fillId="0" borderId="16" xfId="216" applyNumberFormat="1" applyFont="1" applyBorder="1">
      <alignment vertical="top"/>
    </xf>
    <xf numFmtId="176" fontId="1" fillId="0" borderId="0" xfId="0" applyFont="1" applyAlignment="1">
      <alignment horizontal="left"/>
    </xf>
    <xf numFmtId="176" fontId="1" fillId="0" borderId="0" xfId="0" applyFont="1" applyAlignment="1">
      <alignment vertical="top"/>
    </xf>
    <xf numFmtId="176" fontId="5" fillId="0" borderId="5" xfId="0" applyFont="1" applyBorder="1" applyAlignment="1">
      <alignment horizontal="center" wrapText="1"/>
    </xf>
    <xf numFmtId="176" fontId="1" fillId="0" borderId="0" xfId="1" applyNumberFormat="1" applyFont="1"/>
    <xf numFmtId="176" fontId="1" fillId="0" borderId="0" xfId="1" applyNumberFormat="1" applyFont="1" applyBorder="1"/>
    <xf numFmtId="176" fontId="5" fillId="0" borderId="0" xfId="1" applyNumberFormat="1" applyFont="1"/>
    <xf numFmtId="176" fontId="1" fillId="0" borderId="5" xfId="1" applyNumberFormat="1" applyFont="1" applyBorder="1" applyAlignment="1"/>
    <xf numFmtId="176" fontId="5" fillId="0" borderId="6" xfId="1" applyNumberFormat="1" applyFont="1" applyBorder="1"/>
    <xf numFmtId="176" fontId="5" fillId="0" borderId="0" xfId="0" applyFont="1" applyBorder="1" applyAlignment="1">
      <alignment horizontal="center" wrapText="1"/>
    </xf>
    <xf numFmtId="176" fontId="145" fillId="0" borderId="0" xfId="0" applyFont="1">
      <alignment vertical="top"/>
    </xf>
    <xf numFmtId="176" fontId="145" fillId="0" borderId="0" xfId="0" applyFont="1" applyAlignment="1"/>
    <xf numFmtId="176" fontId="145" fillId="0" borderId="0" xfId="1" applyNumberFormat="1" applyFont="1"/>
    <xf numFmtId="176" fontId="145" fillId="0" borderId="0" xfId="1" applyNumberFormat="1" applyFont="1" applyBorder="1"/>
    <xf numFmtId="176" fontId="162" fillId="0" borderId="0" xfId="1" applyNumberFormat="1" applyFont="1"/>
    <xf numFmtId="176" fontId="145" fillId="0" borderId="5" xfId="1" applyNumberFormat="1" applyFont="1" applyBorder="1" applyAlignment="1"/>
    <xf numFmtId="176" fontId="145" fillId="0" borderId="0" xfId="1" applyNumberFormat="1" applyFont="1" applyBorder="1" applyAlignment="1"/>
    <xf numFmtId="176" fontId="145" fillId="0" borderId="0" xfId="148" applyNumberFormat="1" applyFont="1"/>
    <xf numFmtId="176" fontId="5" fillId="0" borderId="0" xfId="1" applyNumberFormat="1" applyFont="1" applyBorder="1"/>
    <xf numFmtId="176" fontId="162" fillId="0" borderId="0" xfId="148" applyNumberFormat="1" applyFont="1"/>
    <xf numFmtId="176" fontId="95" fillId="0" borderId="0" xfId="256" applyNumberFormat="1" applyFont="1" applyBorder="1" applyAlignment="1">
      <alignment vertical="center" textRotation="90" wrapText="1"/>
    </xf>
    <xf numFmtId="176" fontId="95" fillId="0" borderId="5" xfId="256" applyNumberFormat="1" applyFont="1" applyBorder="1" applyAlignment="1">
      <alignment vertical="center" textRotation="90" wrapText="1"/>
    </xf>
    <xf numFmtId="176" fontId="1" fillId="0" borderId="0" xfId="148" applyNumberFormat="1" applyFont="1"/>
    <xf numFmtId="176" fontId="144" fillId="0" borderId="5" xfId="256" applyNumberFormat="1" applyFont="1" applyBorder="1" applyAlignment="1">
      <alignment horizontal="center" vertical="top"/>
    </xf>
    <xf numFmtId="176" fontId="5" fillId="0" borderId="0" xfId="0" applyFont="1" applyBorder="1" applyAlignment="1">
      <alignment horizontal="center"/>
    </xf>
    <xf numFmtId="176" fontId="1" fillId="63" borderId="0" xfId="1" applyNumberFormat="1" applyFont="1" applyFill="1"/>
    <xf numFmtId="176" fontId="1" fillId="0" borderId="0" xfId="0" applyFont="1" applyAlignment="1">
      <alignment horizontal="left" vertical="top"/>
    </xf>
    <xf numFmtId="176" fontId="162" fillId="0" borderId="0" xfId="216" applyFont="1" applyAlignment="1">
      <alignment horizontal="center"/>
    </xf>
    <xf numFmtId="176" fontId="28" fillId="0" borderId="0" xfId="216" applyFont="1" applyAlignment="1">
      <alignment horizontal="right"/>
    </xf>
    <xf numFmtId="176" fontId="123" fillId="0" borderId="0" xfId="216" applyFont="1" applyAlignment="1">
      <alignment horizontal="center"/>
    </xf>
    <xf numFmtId="176" fontId="57" fillId="0" borderId="0" xfId="256" applyNumberFormat="1" applyFont="1" applyBorder="1" applyAlignment="1">
      <alignment horizontal="center" vertical="center" textRotation="90" wrapText="1"/>
    </xf>
    <xf numFmtId="176" fontId="57" fillId="0" borderId="5" xfId="256" applyNumberFormat="1" applyFont="1" applyBorder="1" applyAlignment="1">
      <alignment horizontal="center" vertical="center" textRotation="90" wrapText="1"/>
    </xf>
    <xf numFmtId="176" fontId="5" fillId="0" borderId="5" xfId="216" applyFont="1" applyBorder="1" applyAlignment="1">
      <alignment horizontal="center"/>
    </xf>
    <xf numFmtId="176" fontId="5" fillId="0" borderId="5" xfId="216" applyFont="1" applyBorder="1" applyAlignment="1"/>
    <xf numFmtId="176" fontId="0" fillId="0" borderId="8" xfId="216" applyFont="1" applyBorder="1">
      <alignment vertical="top"/>
    </xf>
    <xf numFmtId="176" fontId="0" fillId="0" borderId="0" xfId="148" applyNumberFormat="1" applyFont="1" applyAlignment="1">
      <alignment vertical="top"/>
    </xf>
    <xf numFmtId="176" fontId="7" fillId="0" borderId="5" xfId="148" applyNumberFormat="1" applyFont="1" applyBorder="1" applyAlignment="1">
      <alignment vertical="top"/>
    </xf>
    <xf numFmtId="176" fontId="7" fillId="0" borderId="0" xfId="148" applyNumberFormat="1" applyFont="1" applyAlignment="1">
      <alignment vertical="top"/>
    </xf>
    <xf numFmtId="176" fontId="5" fillId="0" borderId="0" xfId="148" applyNumberFormat="1" applyFont="1" applyAlignment="1">
      <alignment vertical="top"/>
    </xf>
    <xf numFmtId="176" fontId="1" fillId="0" borderId="5" xfId="148" applyNumberFormat="1" applyFont="1" applyBorder="1" applyAlignment="1">
      <alignment vertical="top"/>
    </xf>
    <xf numFmtId="176" fontId="1" fillId="0" borderId="0" xfId="148" applyNumberFormat="1" applyFont="1" applyAlignment="1">
      <alignment vertical="top"/>
    </xf>
    <xf numFmtId="176" fontId="5" fillId="0" borderId="5" xfId="148" applyNumberFormat="1" applyFont="1" applyBorder="1" applyAlignment="1">
      <alignment vertical="top"/>
    </xf>
    <xf numFmtId="176" fontId="7" fillId="0" borderId="6" xfId="216" applyFont="1" applyBorder="1" applyAlignment="1">
      <alignment horizontal="right" vertical="top"/>
    </xf>
    <xf numFmtId="176" fontId="94" fillId="0" borderId="0" xfId="256" applyNumberFormat="1" applyFont="1" applyBorder="1" applyAlignment="1">
      <alignment horizontal="left" vertical="top"/>
    </xf>
    <xf numFmtId="176" fontId="94" fillId="0" borderId="5" xfId="256" applyNumberFormat="1" applyFont="1" applyBorder="1" applyAlignment="1">
      <alignment horizontal="left" vertical="top"/>
    </xf>
    <xf numFmtId="176" fontId="7" fillId="0" borderId="0" xfId="148" applyNumberFormat="1" applyFont="1" applyBorder="1" applyAlignment="1">
      <alignment vertical="top"/>
    </xf>
    <xf numFmtId="176" fontId="1" fillId="0" borderId="0" xfId="148" applyNumberFormat="1" applyFont="1" applyBorder="1" applyAlignment="1">
      <alignment vertical="top"/>
    </xf>
    <xf numFmtId="176" fontId="5" fillId="0" borderId="0" xfId="148" applyNumberFormat="1" applyFont="1" applyBorder="1" applyAlignment="1">
      <alignment vertical="top"/>
    </xf>
    <xf numFmtId="176" fontId="0" fillId="0" borderId="0" xfId="216" applyFont="1" applyAlignment="1">
      <alignment horizontal="right" vertical="top"/>
    </xf>
    <xf numFmtId="176" fontId="7" fillId="0" borderId="0" xfId="216" applyFont="1" applyBorder="1" applyAlignment="1">
      <alignment horizontal="right" vertical="top"/>
    </xf>
    <xf numFmtId="176" fontId="0" fillId="0" borderId="5" xfId="148" applyNumberFormat="1" applyFont="1" applyBorder="1" applyAlignment="1">
      <alignment horizontal="center"/>
    </xf>
    <xf numFmtId="176" fontId="0" fillId="0" borderId="0" xfId="148" applyNumberFormat="1" applyFont="1" applyAlignment="1">
      <alignment horizontal="right"/>
    </xf>
    <xf numFmtId="176" fontId="0" fillId="0" borderId="0" xfId="148" applyNumberFormat="1" applyFont="1" applyBorder="1" applyAlignment="1">
      <alignment horizontal="center"/>
    </xf>
    <xf numFmtId="176" fontId="0" fillId="0" borderId="0" xfId="148" applyNumberFormat="1" applyFont="1" applyBorder="1" applyAlignment="1">
      <alignment horizontal="right"/>
    </xf>
    <xf numFmtId="176" fontId="0" fillId="0" borderId="6" xfId="148" applyNumberFormat="1" applyFont="1" applyBorder="1" applyAlignment="1">
      <alignment horizontal="right"/>
    </xf>
    <xf numFmtId="176" fontId="0" fillId="0" borderId="5" xfId="216" applyFont="1" applyBorder="1" applyAlignment="1">
      <alignment horizontal="center" vertical="top"/>
    </xf>
    <xf numFmtId="176" fontId="28" fillId="0" borderId="0" xfId="216" applyFont="1" applyBorder="1">
      <alignment vertical="top"/>
    </xf>
    <xf numFmtId="176" fontId="0" fillId="0" borderId="6" xfId="216" applyFont="1" applyBorder="1">
      <alignment vertical="top"/>
    </xf>
    <xf numFmtId="176" fontId="0" fillId="0" borderId="6" xfId="148" applyNumberFormat="1" applyFont="1" applyBorder="1"/>
    <xf numFmtId="176" fontId="160" fillId="0" borderId="0" xfId="216" applyFont="1" applyAlignment="1"/>
    <xf numFmtId="176" fontId="160" fillId="0" borderId="0" xfId="216" applyFont="1" applyAlignment="1">
      <alignment horizontal="center"/>
    </xf>
    <xf numFmtId="176" fontId="70" fillId="0" borderId="0" xfId="148" applyNumberFormat="1" applyFont="1"/>
    <xf numFmtId="0" fontId="0" fillId="0" borderId="0" xfId="216" applyNumberFormat="1" applyFont="1" applyAlignment="1">
      <alignment horizontal="center" vertical="top"/>
    </xf>
    <xf numFmtId="176" fontId="0" fillId="0" borderId="7" xfId="216" applyFont="1" applyBorder="1" applyAlignment="1"/>
    <xf numFmtId="0" fontId="0" fillId="0" borderId="12" xfId="216" applyNumberFormat="1" applyFont="1" applyBorder="1" applyAlignment="1"/>
    <xf numFmtId="176" fontId="5" fillId="0" borderId="0" xfId="216" applyFont="1" applyBorder="1" applyAlignment="1">
      <alignment horizontal="right"/>
    </xf>
    <xf numFmtId="176" fontId="5" fillId="0" borderId="0" xfId="216" applyFont="1" applyBorder="1" applyAlignment="1">
      <alignment horizontal="right" wrapText="1"/>
    </xf>
    <xf numFmtId="176" fontId="7" fillId="0" borderId="5" xfId="148" applyNumberFormat="1" applyFont="1" applyBorder="1" applyAlignment="1">
      <alignment horizontal="center"/>
    </xf>
    <xf numFmtId="176" fontId="0" fillId="0" borderId="0" xfId="148" applyNumberFormat="1" applyFont="1" applyAlignment="1">
      <alignment horizontal="center"/>
    </xf>
    <xf numFmtId="176" fontId="0" fillId="0" borderId="8" xfId="148" applyNumberFormat="1" applyFont="1" applyBorder="1" applyAlignment="1">
      <alignment horizontal="center"/>
    </xf>
    <xf numFmtId="176" fontId="0" fillId="0" borderId="6" xfId="148" applyNumberFormat="1" applyFont="1" applyBorder="1" applyAlignment="1">
      <alignment horizontal="center"/>
    </xf>
    <xf numFmtId="9" fontId="30" fillId="0" borderId="0" xfId="3" applyFont="1" applyAlignment="1">
      <alignment vertical="top"/>
    </xf>
    <xf numFmtId="9" fontId="13" fillId="0" borderId="0" xfId="278" applyFont="1"/>
    <xf numFmtId="41" fontId="13" fillId="0" borderId="13" xfId="87" applyFont="1" applyBorder="1"/>
    <xf numFmtId="176" fontId="90" fillId="28" borderId="7" xfId="0" applyFont="1" applyFill="1" applyBorder="1" applyAlignment="1">
      <alignment horizontal="left"/>
    </xf>
    <xf numFmtId="176" fontId="13" fillId="28" borderId="8" xfId="0" applyFont="1" applyFill="1" applyBorder="1">
      <alignment vertical="top"/>
    </xf>
    <xf numFmtId="176" fontId="0" fillId="28" borderId="8" xfId="0" applyFont="1" applyFill="1" applyBorder="1" applyAlignment="1"/>
    <xf numFmtId="176" fontId="0" fillId="28" borderId="8" xfId="0" applyFont="1" applyFill="1" applyBorder="1" applyAlignment="1">
      <alignment horizontal="center"/>
    </xf>
    <xf numFmtId="176" fontId="0" fillId="28" borderId="7" xfId="0" applyFont="1" applyFill="1" applyBorder="1" applyAlignment="1"/>
    <xf numFmtId="176" fontId="7" fillId="28" borderId="9" xfId="0" applyFont="1" applyFill="1" applyBorder="1" applyAlignment="1">
      <alignment horizontal="centerContinuous" wrapText="1"/>
    </xf>
    <xf numFmtId="176" fontId="13" fillId="28" borderId="0" xfId="0" applyFont="1" applyFill="1" applyBorder="1">
      <alignment vertical="top"/>
    </xf>
    <xf numFmtId="176" fontId="7" fillId="28" borderId="0" xfId="0" applyFont="1" applyFill="1" applyBorder="1" applyAlignment="1">
      <alignment horizontal="centerContinuous" wrapText="1"/>
    </xf>
    <xf numFmtId="176" fontId="7" fillId="28" borderId="0" xfId="0" applyFont="1" applyFill="1" applyBorder="1" applyAlignment="1">
      <alignment horizontal="center" wrapText="1"/>
    </xf>
    <xf numFmtId="176" fontId="7" fillId="28" borderId="0" xfId="0" applyFont="1" applyFill="1" applyBorder="1" applyAlignment="1">
      <alignment horizontal="left" wrapText="1"/>
    </xf>
    <xf numFmtId="176" fontId="7" fillId="28" borderId="0" xfId="0" applyFont="1" applyFill="1" applyAlignment="1">
      <alignment horizontal="left" wrapText="1"/>
    </xf>
    <xf numFmtId="202" fontId="0" fillId="28" borderId="9" xfId="128" applyNumberFormat="1" applyFont="1" applyFill="1" applyBorder="1" applyAlignment="1">
      <alignment horizontal="left"/>
    </xf>
    <xf numFmtId="176" fontId="8" fillId="28" borderId="0" xfId="0" applyFont="1" applyFill="1" applyBorder="1">
      <alignment vertical="top"/>
    </xf>
    <xf numFmtId="202" fontId="0" fillId="28" borderId="0" xfId="128" applyNumberFormat="1" applyFont="1" applyFill="1" applyBorder="1"/>
    <xf numFmtId="202" fontId="0" fillId="28" borderId="0" xfId="128" applyNumberFormat="1" applyFont="1" applyFill="1" applyBorder="1" applyAlignment="1">
      <alignment horizontal="center"/>
    </xf>
    <xf numFmtId="202" fontId="0" fillId="28" borderId="9" xfId="128" applyNumberFormat="1" applyFont="1" applyFill="1" applyBorder="1"/>
    <xf numFmtId="202" fontId="0" fillId="28" borderId="14" xfId="128" applyNumberFormat="1" applyFont="1" applyFill="1" applyBorder="1" applyAlignment="1">
      <alignment horizontal="center"/>
    </xf>
    <xf numFmtId="176" fontId="13" fillId="28" borderId="0" xfId="0" applyFont="1" applyFill="1">
      <alignment vertical="top"/>
    </xf>
    <xf numFmtId="202" fontId="0" fillId="28" borderId="10" xfId="128" applyNumberFormat="1" applyFont="1" applyFill="1" applyBorder="1"/>
    <xf numFmtId="176" fontId="26" fillId="28" borderId="5" xfId="6" applyNumberFormat="1" applyFill="1" applyBorder="1" applyProtection="1">
      <alignment vertical="top"/>
    </xf>
    <xf numFmtId="202" fontId="7" fillId="28" borderId="5" xfId="128" applyNumberFormat="1" applyFont="1" applyFill="1" applyBorder="1"/>
    <xf numFmtId="202" fontId="0" fillId="28" borderId="5" xfId="128" applyNumberFormat="1" applyFont="1" applyFill="1" applyBorder="1"/>
    <xf numFmtId="198" fontId="8" fillId="0" borderId="18" xfId="0" applyNumberFormat="1" applyFont="1" applyBorder="1" applyAlignment="1">
      <alignment horizontal="center" vertical="top"/>
    </xf>
    <xf numFmtId="176" fontId="8" fillId="0" borderId="10" xfId="0" applyFont="1" applyBorder="1">
      <alignment vertical="top"/>
    </xf>
    <xf numFmtId="176" fontId="8" fillId="0" borderId="5" xfId="0" applyFont="1" applyBorder="1">
      <alignment vertical="top"/>
    </xf>
    <xf numFmtId="176" fontId="0" fillId="0" borderId="17" xfId="0" applyFont="1" applyBorder="1" applyAlignment="1">
      <alignment horizontal="center" vertical="top"/>
    </xf>
    <xf numFmtId="176" fontId="8" fillId="0" borderId="16" xfId="0" applyFont="1" applyBorder="1" applyAlignment="1">
      <alignment horizontal="center" vertical="top"/>
    </xf>
    <xf numFmtId="176" fontId="13" fillId="0" borderId="10" xfId="0" applyFont="1" applyBorder="1" applyAlignment="1">
      <alignment horizontal="center" vertical="top"/>
    </xf>
    <xf numFmtId="176" fontId="8" fillId="0" borderId="9" xfId="0" applyFont="1" applyBorder="1" applyAlignment="1">
      <alignment horizontal="center" vertical="top"/>
    </xf>
    <xf numFmtId="41" fontId="13" fillId="0" borderId="13" xfId="87" applyFont="1" applyBorder="1" applyAlignment="1">
      <alignment horizontal="center"/>
    </xf>
    <xf numFmtId="176" fontId="26" fillId="0" borderId="13" xfId="6" applyNumberFormat="1" applyBorder="1" applyAlignment="1" applyProtection="1">
      <alignment horizontal="center" vertical="top"/>
    </xf>
    <xf numFmtId="41" fontId="13" fillId="0" borderId="0" xfId="87" applyFont="1" applyBorder="1"/>
    <xf numFmtId="186" fontId="13" fillId="0" borderId="9" xfId="1" applyNumberFormat="1" applyFont="1" applyBorder="1" applyAlignment="1">
      <alignment horizontal="center"/>
    </xf>
    <xf numFmtId="41" fontId="13" fillId="0" borderId="0" xfId="87" applyFont="1" applyBorder="1" applyAlignment="1">
      <alignment horizontal="center"/>
    </xf>
    <xf numFmtId="9" fontId="30" fillId="0" borderId="9" xfId="3" applyFont="1" applyBorder="1" applyAlignment="1">
      <alignment vertical="top"/>
    </xf>
    <xf numFmtId="9" fontId="30" fillId="0" borderId="0" xfId="3" applyFont="1" applyBorder="1" applyAlignment="1">
      <alignment vertical="top"/>
    </xf>
    <xf numFmtId="9" fontId="30" fillId="0" borderId="13" xfId="3" applyFont="1" applyBorder="1" applyAlignment="1">
      <alignment vertical="top"/>
    </xf>
    <xf numFmtId="41" fontId="13" fillId="0" borderId="9" xfId="87" applyFont="1" applyBorder="1" applyAlignment="1">
      <alignment horizontal="center"/>
    </xf>
    <xf numFmtId="37" fontId="13" fillId="0" borderId="17" xfId="0" applyNumberFormat="1" applyFont="1" applyBorder="1">
      <alignment vertical="top"/>
    </xf>
    <xf numFmtId="176" fontId="0" fillId="0" borderId="7" xfId="0" applyBorder="1" applyAlignment="1">
      <alignment horizontal="center" vertical="top"/>
    </xf>
    <xf numFmtId="0" fontId="8" fillId="0" borderId="0" xfId="0" applyNumberFormat="1" applyFont="1" applyAlignment="1">
      <alignment horizontal="center" vertical="top"/>
    </xf>
    <xf numFmtId="176" fontId="13" fillId="28" borderId="8" xfId="0" applyFont="1" applyFill="1" applyBorder="1" applyAlignment="1"/>
    <xf numFmtId="176" fontId="8" fillId="28" borderId="0" xfId="0" applyFont="1" applyFill="1" applyAlignment="1">
      <alignment horizontal="left" wrapText="1"/>
    </xf>
    <xf numFmtId="202" fontId="13" fillId="28" borderId="0" xfId="128" applyNumberFormat="1" applyFont="1" applyFill="1" applyBorder="1"/>
    <xf numFmtId="202" fontId="13" fillId="28" borderId="5" xfId="128" applyNumberFormat="1" applyFont="1" applyFill="1" applyBorder="1"/>
    <xf numFmtId="177" fontId="13" fillId="0" borderId="0" xfId="128" applyFont="1" applyAlignment="1">
      <alignment vertical="top"/>
    </xf>
    <xf numFmtId="37" fontId="13" fillId="0" borderId="0" xfId="0" applyNumberFormat="1" applyFont="1" applyAlignment="1">
      <alignment horizontal="center" vertical="top"/>
    </xf>
    <xf numFmtId="198" fontId="8" fillId="0" borderId="4" xfId="0" applyNumberFormat="1" applyFont="1" applyBorder="1" applyAlignment="1">
      <alignment horizontal="center" vertical="top"/>
    </xf>
    <xf numFmtId="176" fontId="13" fillId="0" borderId="0" xfId="0" applyFont="1" applyBorder="1" applyAlignment="1">
      <alignment horizontal="center" vertical="top"/>
    </xf>
    <xf numFmtId="176" fontId="8" fillId="69" borderId="13" xfId="0" applyFont="1" applyFill="1" applyBorder="1" applyAlignment="1">
      <alignment horizontal="center" vertical="top"/>
    </xf>
    <xf numFmtId="176" fontId="8" fillId="0" borderId="0" xfId="0" applyFont="1" applyBorder="1" applyAlignment="1">
      <alignment horizontal="center" vertical="top"/>
    </xf>
    <xf numFmtId="176" fontId="13" fillId="0" borderId="15" xfId="0" applyFont="1" applyBorder="1" applyAlignment="1">
      <alignment horizontal="center" vertical="top"/>
    </xf>
    <xf numFmtId="176" fontId="8" fillId="0" borderId="5" xfId="0" applyFont="1" applyBorder="1" applyAlignment="1">
      <alignment horizontal="center" vertical="top"/>
    </xf>
    <xf numFmtId="41" fontId="8" fillId="0" borderId="13" xfId="87" applyFont="1" applyBorder="1" applyAlignment="1">
      <alignment vertical="top"/>
    </xf>
    <xf numFmtId="41" fontId="8" fillId="0" borderId="0" xfId="87" applyFont="1" applyBorder="1" applyAlignment="1">
      <alignment vertical="top"/>
    </xf>
    <xf numFmtId="41" fontId="8" fillId="0" borderId="13" xfId="87" applyFont="1" applyBorder="1" applyAlignment="1">
      <alignment horizontal="center"/>
    </xf>
    <xf numFmtId="41" fontId="13" fillId="0" borderId="9" xfId="87" applyFont="1" applyBorder="1"/>
    <xf numFmtId="37" fontId="8" fillId="0" borderId="18" xfId="0" applyNumberFormat="1" applyFont="1" applyBorder="1" applyAlignment="1">
      <alignment horizontal="center"/>
    </xf>
    <xf numFmtId="41" fontId="13" fillId="0" borderId="4" xfId="87" applyFont="1" applyBorder="1" applyAlignment="1">
      <alignment horizontal="center"/>
    </xf>
    <xf numFmtId="176" fontId="8" fillId="0" borderId="18" xfId="0" applyFont="1" applyBorder="1">
      <alignment vertical="top"/>
    </xf>
    <xf numFmtId="176" fontId="13" fillId="0" borderId="12" xfId="0" applyFont="1" applyBorder="1">
      <alignment vertical="top"/>
    </xf>
    <xf numFmtId="176" fontId="0" fillId="28" borderId="7" xfId="0" applyFont="1" applyFill="1" applyBorder="1" applyAlignment="1">
      <alignment horizontal="center"/>
    </xf>
    <xf numFmtId="176" fontId="0" fillId="28" borderId="11" xfId="0" applyFont="1" applyFill="1" applyBorder="1" applyAlignment="1"/>
    <xf numFmtId="176" fontId="0" fillId="28" borderId="10" xfId="0" applyFill="1" applyBorder="1" applyAlignment="1">
      <alignment vertical="center"/>
    </xf>
    <xf numFmtId="176" fontId="0" fillId="28" borderId="16" xfId="0" applyFill="1" applyBorder="1" applyAlignment="1">
      <alignment vertical="center"/>
    </xf>
    <xf numFmtId="204" fontId="0" fillId="28" borderId="10" xfId="0" applyNumberFormat="1" applyFont="1" applyFill="1" applyBorder="1" applyAlignment="1">
      <alignment horizontal="center" vertical="center"/>
    </xf>
    <xf numFmtId="176" fontId="55" fillId="28" borderId="15" xfId="0" applyFont="1" applyFill="1" applyBorder="1" applyAlignment="1">
      <alignment horizontal="center" vertical="center"/>
    </xf>
    <xf numFmtId="202" fontId="0" fillId="28" borderId="13" xfId="128" applyNumberFormat="1" applyFont="1" applyFill="1" applyBorder="1" applyAlignment="1">
      <alignment horizontal="center"/>
    </xf>
    <xf numFmtId="202" fontId="0" fillId="28" borderId="14" xfId="128" applyNumberFormat="1" applyFont="1" applyFill="1" applyBorder="1"/>
    <xf numFmtId="176" fontId="13" fillId="28" borderId="15" xfId="0" applyFont="1" applyFill="1" applyBorder="1" applyAlignment="1">
      <alignment horizontal="center" vertical="top"/>
    </xf>
    <xf numFmtId="176" fontId="13" fillId="28" borderId="16" xfId="0" applyFont="1" applyFill="1" applyBorder="1" applyAlignment="1">
      <alignment horizontal="center" vertical="top"/>
    </xf>
    <xf numFmtId="202" fontId="0" fillId="28" borderId="11" xfId="128" applyNumberFormat="1" applyFont="1" applyFill="1" applyBorder="1"/>
    <xf numFmtId="198" fontId="0" fillId="28" borderId="15" xfId="271" applyNumberFormat="1" applyFont="1" applyFill="1" applyBorder="1" applyAlignment="1">
      <alignment horizontal="center"/>
    </xf>
    <xf numFmtId="198" fontId="8" fillId="0" borderId="17" xfId="0" applyNumberFormat="1" applyFont="1" applyBorder="1" applyAlignment="1">
      <alignment horizontal="center" vertical="top"/>
    </xf>
    <xf numFmtId="176" fontId="8" fillId="69" borderId="15" xfId="0" applyFont="1" applyFill="1" applyBorder="1" applyAlignment="1">
      <alignment horizontal="center" vertical="top"/>
    </xf>
    <xf numFmtId="176" fontId="8" fillId="0" borderId="4" xfId="0" applyFont="1" applyBorder="1" applyAlignment="1">
      <alignment horizontal="center" vertical="top"/>
    </xf>
    <xf numFmtId="176" fontId="8" fillId="70" borderId="5" xfId="0" applyFont="1" applyFill="1" applyBorder="1" applyAlignment="1">
      <alignment horizontal="center" vertical="top"/>
    </xf>
    <xf numFmtId="176" fontId="8" fillId="0" borderId="18" xfId="0" applyFont="1" applyBorder="1" applyAlignment="1">
      <alignment horizontal="center" vertical="top"/>
    </xf>
    <xf numFmtId="41" fontId="8" fillId="0" borderId="14" xfId="87" applyFont="1" applyBorder="1" applyAlignment="1">
      <alignment vertical="top"/>
    </xf>
    <xf numFmtId="9" fontId="13" fillId="0" borderId="0" xfId="3" applyFont="1" applyAlignment="1">
      <alignment horizontal="center" vertical="top"/>
    </xf>
    <xf numFmtId="9" fontId="13" fillId="0" borderId="13" xfId="3" applyFont="1" applyBorder="1" applyAlignment="1">
      <alignment horizontal="center" vertical="top"/>
    </xf>
    <xf numFmtId="176" fontId="8" fillId="0" borderId="12" xfId="0" applyFont="1" applyBorder="1">
      <alignment vertical="top"/>
    </xf>
    <xf numFmtId="9" fontId="0" fillId="0" borderId="13" xfId="3" applyFont="1" applyBorder="1" applyAlignment="1">
      <alignment horizontal="center" vertical="top"/>
    </xf>
    <xf numFmtId="9" fontId="30" fillId="0" borderId="13" xfId="3" applyFont="1" applyBorder="1" applyAlignment="1">
      <alignment horizontal="center" vertical="top"/>
    </xf>
    <xf numFmtId="9" fontId="13" fillId="0" borderId="15" xfId="3" applyFont="1" applyBorder="1" applyAlignment="1">
      <alignment horizontal="center" vertical="top"/>
    </xf>
    <xf numFmtId="176" fontId="8" fillId="0" borderId="16" xfId="0" applyFont="1" applyBorder="1">
      <alignment vertical="top"/>
    </xf>
    <xf numFmtId="9" fontId="13" fillId="0" borderId="15" xfId="3" applyFont="1" applyBorder="1" applyAlignment="1">
      <alignment vertical="top"/>
    </xf>
    <xf numFmtId="176" fontId="8" fillId="0" borderId="11" xfId="0" applyFont="1" applyBorder="1" applyAlignment="1">
      <alignment horizontal="center" vertical="top"/>
    </xf>
    <xf numFmtId="9" fontId="13" fillId="0" borderId="14" xfId="278" applyFont="1" applyBorder="1"/>
    <xf numFmtId="9" fontId="13" fillId="0" borderId="14" xfId="3" applyFont="1" applyBorder="1" applyAlignment="1">
      <alignment horizontal="center" vertical="top"/>
    </xf>
    <xf numFmtId="9" fontId="13" fillId="0" borderId="4" xfId="3" applyFont="1" applyBorder="1" applyAlignment="1">
      <alignment horizontal="center" vertical="top"/>
    </xf>
    <xf numFmtId="9" fontId="13" fillId="0" borderId="13" xfId="3" applyFont="1" applyBorder="1" applyAlignment="1">
      <alignment vertical="top"/>
    </xf>
    <xf numFmtId="9" fontId="13" fillId="0" borderId="16" xfId="3" applyFont="1" applyBorder="1" applyAlignment="1">
      <alignment vertical="top"/>
    </xf>
    <xf numFmtId="176" fontId="78" fillId="0" borderId="0" xfId="0" applyFont="1">
      <alignment vertical="top"/>
    </xf>
    <xf numFmtId="9" fontId="78" fillId="0" borderId="0" xfId="3" applyFont="1" applyAlignment="1">
      <alignment vertical="top"/>
    </xf>
    <xf numFmtId="186" fontId="13" fillId="0" borderId="0" xfId="1" applyNumberFormat="1" applyFont="1" applyAlignment="1">
      <alignment horizontal="center"/>
    </xf>
    <xf numFmtId="176" fontId="81" fillId="0" borderId="0" xfId="0" applyFont="1">
      <alignment vertical="top"/>
    </xf>
    <xf numFmtId="9" fontId="13" fillId="0" borderId="0" xfId="3" applyFont="1" applyAlignment="1">
      <alignment horizontal="center"/>
    </xf>
    <xf numFmtId="210" fontId="13" fillId="0" borderId="0" xfId="3" applyNumberFormat="1" applyFont="1" applyAlignment="1">
      <alignment horizontal="center"/>
    </xf>
    <xf numFmtId="176" fontId="30" fillId="0" borderId="0" xfId="0" applyFont="1" applyFill="1">
      <alignment vertical="top"/>
    </xf>
    <xf numFmtId="0" fontId="13" fillId="0" borderId="0" xfId="0" applyNumberFormat="1" applyFont="1">
      <alignment vertical="top"/>
    </xf>
    <xf numFmtId="176" fontId="7" fillId="28" borderId="10" xfId="0" applyFont="1" applyFill="1" applyBorder="1" applyAlignment="1">
      <alignment horizontal="centerContinuous" wrapText="1"/>
    </xf>
    <xf numFmtId="176" fontId="13" fillId="28" borderId="5" xfId="0" applyFont="1" applyFill="1" applyBorder="1">
      <alignment vertical="top"/>
    </xf>
    <xf numFmtId="176" fontId="7" fillId="28" borderId="5" xfId="0" applyFont="1" applyFill="1" applyBorder="1" applyAlignment="1">
      <alignment horizontal="centerContinuous" wrapText="1"/>
    </xf>
    <xf numFmtId="202" fontId="0" fillId="28" borderId="9" xfId="1" applyNumberFormat="1" applyFont="1" applyFill="1" applyBorder="1" applyAlignment="1">
      <alignment horizontal="left"/>
    </xf>
    <xf numFmtId="202" fontId="0" fillId="28" borderId="0" xfId="1" applyNumberFormat="1" applyFont="1" applyFill="1" applyBorder="1"/>
    <xf numFmtId="202" fontId="0" fillId="28" borderId="10" xfId="1" applyNumberFormat="1" applyFont="1" applyFill="1" applyBorder="1"/>
    <xf numFmtId="202" fontId="0" fillId="28" borderId="5" xfId="1" applyNumberFormat="1" applyFont="1" applyFill="1" applyBorder="1"/>
    <xf numFmtId="202" fontId="0" fillId="28" borderId="9" xfId="1" applyNumberFormat="1" applyFont="1" applyFill="1" applyBorder="1"/>
    <xf numFmtId="176" fontId="8" fillId="28" borderId="5" xfId="0" applyFont="1" applyFill="1" applyBorder="1">
      <alignment vertical="top"/>
    </xf>
    <xf numFmtId="202" fontId="7" fillId="28" borderId="5" xfId="1" applyNumberFormat="1" applyFont="1" applyFill="1" applyBorder="1"/>
    <xf numFmtId="176" fontId="30" fillId="0" borderId="0" xfId="0" applyFont="1" applyFill="1" applyBorder="1">
      <alignment vertical="top"/>
    </xf>
    <xf numFmtId="202" fontId="6" fillId="0" borderId="0" xfId="1" applyNumberFormat="1" applyFont="1" applyFill="1" applyBorder="1"/>
    <xf numFmtId="176" fontId="9" fillId="0" borderId="0" xfId="0" applyFont="1" applyFill="1" applyBorder="1">
      <alignment vertical="top"/>
    </xf>
    <xf numFmtId="202" fontId="101" fillId="0" borderId="0" xfId="1" applyNumberFormat="1" applyFont="1" applyFill="1" applyBorder="1"/>
    <xf numFmtId="176" fontId="0" fillId="0" borderId="12" xfId="0" applyBorder="1" applyAlignment="1">
      <alignment horizontal="center" vertical="center"/>
    </xf>
    <xf numFmtId="176" fontId="0" fillId="0" borderId="16" xfId="0" applyBorder="1" applyAlignment="1">
      <alignment horizontal="center" vertical="center"/>
    </xf>
    <xf numFmtId="176" fontId="8" fillId="0" borderId="15" xfId="0" applyFont="1" applyBorder="1" applyAlignment="1">
      <alignment horizontal="center" vertical="top"/>
    </xf>
    <xf numFmtId="176" fontId="8" fillId="0" borderId="10" xfId="0" applyFont="1" applyBorder="1" applyAlignment="1">
      <alignment horizontal="center" vertical="top"/>
    </xf>
    <xf numFmtId="176" fontId="13" fillId="0" borderId="13" xfId="0" applyFont="1" applyBorder="1" applyAlignment="1">
      <alignment horizontal="center"/>
    </xf>
    <xf numFmtId="176" fontId="13" fillId="0" borderId="0" xfId="0" applyFont="1" applyBorder="1" applyAlignment="1">
      <alignment horizontal="left"/>
    </xf>
    <xf numFmtId="176" fontId="8" fillId="0" borderId="19" xfId="0" applyFont="1" applyBorder="1" applyAlignment="1">
      <alignment horizontal="left"/>
    </xf>
    <xf numFmtId="176" fontId="8" fillId="0" borderId="0" xfId="0" applyFont="1" applyBorder="1" applyAlignment="1">
      <alignment horizontal="left"/>
    </xf>
    <xf numFmtId="176" fontId="26" fillId="0" borderId="13" xfId="6" applyNumberFormat="1" applyBorder="1" applyAlignment="1" applyProtection="1">
      <alignment horizontal="center"/>
    </xf>
    <xf numFmtId="176" fontId="8" fillId="0" borderId="7" xfId="0" applyFont="1" applyBorder="1">
      <alignment vertical="top"/>
    </xf>
    <xf numFmtId="37" fontId="8" fillId="0" borderId="8" xfId="0" applyNumberFormat="1" applyFont="1" applyBorder="1" applyAlignment="1">
      <alignment horizontal="left"/>
    </xf>
    <xf numFmtId="176" fontId="8" fillId="28" borderId="0" xfId="0" applyFont="1" applyFill="1" applyBorder="1" applyAlignment="1">
      <alignment horizontal="left" wrapText="1"/>
    </xf>
    <xf numFmtId="202" fontId="13" fillId="28" borderId="0" xfId="1" applyNumberFormat="1" applyFont="1" applyFill="1" applyBorder="1"/>
    <xf numFmtId="202" fontId="13" fillId="28" borderId="5" xfId="1" applyNumberFormat="1" applyFont="1" applyFill="1" applyBorder="1"/>
    <xf numFmtId="202" fontId="30" fillId="0" borderId="0" xfId="1" applyNumberFormat="1" applyFont="1" applyFill="1" applyBorder="1"/>
    <xf numFmtId="177" fontId="13" fillId="0" borderId="0" xfId="1" applyFont="1" applyAlignment="1">
      <alignment vertical="top"/>
    </xf>
    <xf numFmtId="176" fontId="8" fillId="0" borderId="17" xfId="0" applyFont="1" applyBorder="1" applyAlignment="1">
      <alignment horizontal="center"/>
    </xf>
    <xf numFmtId="176" fontId="8" fillId="0" borderId="13" xfId="0" applyFont="1" applyBorder="1" applyAlignment="1">
      <alignment horizontal="center" vertical="top"/>
    </xf>
    <xf numFmtId="176" fontId="8" fillId="29" borderId="0" xfId="0" applyFont="1" applyFill="1" applyAlignment="1">
      <alignment horizontal="center" vertical="top"/>
    </xf>
    <xf numFmtId="41" fontId="13" fillId="0" borderId="9" xfId="4" applyFont="1" applyBorder="1"/>
    <xf numFmtId="177" fontId="13" fillId="0" borderId="14" xfId="1" applyFont="1" applyBorder="1"/>
    <xf numFmtId="41" fontId="8" fillId="0" borderId="11" xfId="4" applyFont="1" applyBorder="1" applyAlignment="1">
      <alignment vertical="top"/>
    </xf>
    <xf numFmtId="37" fontId="8" fillId="0" borderId="10" xfId="0" applyNumberFormat="1" applyFont="1" applyBorder="1" applyAlignment="1">
      <alignment horizontal="center"/>
    </xf>
    <xf numFmtId="202" fontId="0" fillId="28" borderId="13" xfId="1" applyNumberFormat="1" applyFont="1" applyFill="1" applyBorder="1" applyAlignment="1">
      <alignment horizontal="center"/>
    </xf>
    <xf numFmtId="202" fontId="13" fillId="0" borderId="0" xfId="1" applyNumberFormat="1" applyFont="1" applyAlignment="1">
      <alignment vertical="top"/>
    </xf>
    <xf numFmtId="41" fontId="13" fillId="0" borderId="13" xfId="4" applyFont="1" applyBorder="1" applyAlignment="1">
      <alignment horizontal="right" vertical="center" wrapText="1"/>
    </xf>
    <xf numFmtId="176" fontId="13" fillId="0" borderId="0" xfId="0" applyFont="1" applyBorder="1" applyAlignment="1">
      <alignment horizontal="right" vertical="center" wrapText="1"/>
    </xf>
    <xf numFmtId="9" fontId="13" fillId="0" borderId="0" xfId="3" applyFont="1" applyBorder="1" applyAlignment="1">
      <alignment vertical="top"/>
    </xf>
    <xf numFmtId="41" fontId="13" fillId="0" borderId="0" xfId="4" applyFont="1" applyBorder="1" applyAlignment="1">
      <alignment horizontal="right" vertical="center" wrapText="1"/>
    </xf>
    <xf numFmtId="9" fontId="0" fillId="0" borderId="9" xfId="3" applyFont="1" applyBorder="1" applyAlignment="1">
      <alignment vertical="top"/>
    </xf>
    <xf numFmtId="39" fontId="13" fillId="0" borderId="5" xfId="0" applyNumberFormat="1" applyFont="1" applyBorder="1">
      <alignment vertical="top"/>
    </xf>
    <xf numFmtId="202" fontId="0" fillId="28" borderId="14" xfId="1" applyNumberFormat="1" applyFont="1" applyFill="1" applyBorder="1"/>
    <xf numFmtId="202" fontId="0" fillId="28" borderId="11" xfId="1" applyNumberFormat="1" applyFont="1" applyFill="1" applyBorder="1"/>
    <xf numFmtId="198" fontId="6" fillId="0" borderId="0" xfId="271" applyNumberFormat="1" applyFont="1" applyFill="1" applyBorder="1" applyAlignment="1">
      <alignment horizontal="center"/>
    </xf>
    <xf numFmtId="202" fontId="13" fillId="0" borderId="0" xfId="0" applyNumberFormat="1" applyFont="1">
      <alignment vertical="top"/>
    </xf>
    <xf numFmtId="176" fontId="166" fillId="0" borderId="0" xfId="0" applyFont="1">
      <alignment vertical="top"/>
    </xf>
    <xf numFmtId="176" fontId="7" fillId="28" borderId="5" xfId="0" applyFont="1" applyFill="1" applyBorder="1" applyAlignment="1">
      <alignment horizontal="left" wrapText="1"/>
    </xf>
    <xf numFmtId="176" fontId="7" fillId="28" borderId="9" xfId="0" applyFont="1" applyFill="1" applyBorder="1" applyAlignment="1">
      <alignment horizontal="left" wrapText="1"/>
    </xf>
    <xf numFmtId="202" fontId="0" fillId="28" borderId="8" xfId="1" applyNumberFormat="1" applyFont="1" applyFill="1" applyBorder="1"/>
    <xf numFmtId="176" fontId="7" fillId="0" borderId="15" xfId="0" applyFont="1" applyBorder="1" applyAlignment="1">
      <alignment horizontal="center" vertical="center"/>
    </xf>
    <xf numFmtId="176" fontId="7" fillId="0" borderId="15" xfId="0" applyFont="1" applyBorder="1" applyAlignment="1">
      <alignment horizontal="center" vertical="top"/>
    </xf>
    <xf numFmtId="176" fontId="7" fillId="0" borderId="10" xfId="0" applyFont="1" applyBorder="1" applyAlignment="1">
      <alignment horizontal="center" vertical="top"/>
    </xf>
    <xf numFmtId="176" fontId="7" fillId="0" borderId="16" xfId="0" applyFont="1" applyBorder="1" applyAlignment="1">
      <alignment horizontal="center" vertical="top"/>
    </xf>
    <xf numFmtId="186" fontId="73" fillId="0" borderId="13" xfId="1" applyNumberFormat="1" applyFont="1" applyBorder="1" applyAlignment="1">
      <alignment horizontal="center"/>
    </xf>
    <xf numFmtId="37" fontId="26" fillId="0" borderId="13" xfId="6" applyNumberFormat="1" applyBorder="1" applyAlignment="1" applyProtection="1">
      <alignment horizontal="center"/>
    </xf>
    <xf numFmtId="37" fontId="26" fillId="0" borderId="13" xfId="6" applyNumberFormat="1" applyFont="1" applyBorder="1" applyAlignment="1" applyProtection="1">
      <alignment horizontal="center"/>
    </xf>
    <xf numFmtId="186" fontId="115" fillId="0" borderId="13" xfId="1" applyNumberFormat="1" applyFont="1" applyBorder="1" applyAlignment="1" applyProtection="1">
      <alignment horizontal="center"/>
    </xf>
    <xf numFmtId="186" fontId="158" fillId="0" borderId="13" xfId="1" applyNumberFormat="1" applyFont="1" applyBorder="1" applyAlignment="1" applyProtection="1">
      <alignment horizontal="center"/>
    </xf>
    <xf numFmtId="186" fontId="167" fillId="0" borderId="13" xfId="1" applyNumberFormat="1" applyFont="1" applyBorder="1" applyAlignment="1" applyProtection="1">
      <alignment horizontal="center"/>
    </xf>
    <xf numFmtId="176" fontId="13" fillId="0" borderId="0" xfId="0" applyFont="1" applyAlignment="1">
      <alignment horizontal="left" vertical="top" indent="1"/>
    </xf>
    <xf numFmtId="37" fontId="26" fillId="0" borderId="9" xfId="6" applyNumberFormat="1" applyFont="1" applyBorder="1" applyAlignment="1" applyProtection="1">
      <alignment horizontal="center"/>
    </xf>
    <xf numFmtId="37" fontId="26" fillId="0" borderId="9" xfId="6" applyNumberFormat="1" applyBorder="1" applyAlignment="1" applyProtection="1">
      <alignment horizontal="center"/>
    </xf>
    <xf numFmtId="186" fontId="13" fillId="0" borderId="14" xfId="1" applyNumberFormat="1" applyFont="1" applyBorder="1"/>
    <xf numFmtId="37" fontId="26" fillId="0" borderId="0" xfId="6" applyNumberFormat="1" applyBorder="1" applyAlignment="1" applyProtection="1">
      <alignment horizontal="center"/>
    </xf>
    <xf numFmtId="186" fontId="13" fillId="0" borderId="0" xfId="1" applyNumberFormat="1" applyFont="1" applyBorder="1" applyAlignment="1">
      <alignment vertical="top"/>
    </xf>
    <xf numFmtId="37" fontId="8" fillId="0" borderId="14" xfId="0" applyNumberFormat="1" applyFont="1" applyBorder="1">
      <alignment vertical="top"/>
    </xf>
    <xf numFmtId="41" fontId="8" fillId="0" borderId="4" xfId="4" applyFont="1" applyBorder="1"/>
    <xf numFmtId="186" fontId="8" fillId="0" borderId="4" xfId="1" applyNumberFormat="1" applyFont="1" applyBorder="1"/>
    <xf numFmtId="186" fontId="8" fillId="0" borderId="9" xfId="1" applyNumberFormat="1" applyFont="1" applyBorder="1" applyAlignment="1">
      <alignment horizontal="center"/>
    </xf>
    <xf numFmtId="186" fontId="13" fillId="0" borderId="9" xfId="1" applyNumberFormat="1" applyFont="1" applyBorder="1" applyAlignment="1">
      <alignment vertical="top"/>
    </xf>
    <xf numFmtId="176" fontId="0" fillId="0" borderId="13" xfId="0" applyBorder="1" applyAlignment="1">
      <alignment horizontal="center" vertical="center"/>
    </xf>
    <xf numFmtId="186" fontId="13" fillId="0" borderId="9" xfId="1" applyNumberFormat="1" applyFont="1" applyBorder="1" applyAlignment="1">
      <alignment horizontal="center" vertical="center"/>
    </xf>
    <xf numFmtId="186" fontId="8" fillId="0" borderId="13" xfId="1" applyNumberFormat="1" applyFont="1" applyBorder="1" applyAlignment="1">
      <alignment horizontal="center" vertical="center"/>
    </xf>
    <xf numFmtId="37" fontId="8" fillId="0" borderId="13" xfId="0" applyNumberFormat="1" applyFont="1" applyBorder="1" applyAlignment="1">
      <alignment horizontal="center" vertical="center"/>
    </xf>
    <xf numFmtId="186" fontId="8" fillId="0" borderId="9" xfId="1" applyNumberFormat="1" applyFont="1" applyBorder="1" applyAlignment="1">
      <alignment horizontal="center" vertical="center"/>
    </xf>
    <xf numFmtId="37" fontId="26" fillId="0" borderId="15" xfId="6" applyNumberFormat="1" applyFont="1" applyBorder="1" applyAlignment="1" applyProtection="1">
      <alignment horizontal="center"/>
    </xf>
    <xf numFmtId="186" fontId="13" fillId="0" borderId="10" xfId="1" applyNumberFormat="1" applyFont="1" applyBorder="1" applyAlignment="1">
      <alignment horizontal="center"/>
    </xf>
    <xf numFmtId="186" fontId="13" fillId="0" borderId="15" xfId="1" applyNumberFormat="1" applyFont="1" applyBorder="1" applyAlignment="1">
      <alignment horizontal="center"/>
    </xf>
    <xf numFmtId="37" fontId="168" fillId="0" borderId="13" xfId="6" applyNumberFormat="1" applyFont="1" applyBorder="1" applyAlignment="1" applyProtection="1">
      <alignment horizontal="center"/>
    </xf>
    <xf numFmtId="41" fontId="8" fillId="0" borderId="17" xfId="4" applyFont="1" applyBorder="1"/>
    <xf numFmtId="186" fontId="8" fillId="0" borderId="4" xfId="1" applyNumberFormat="1" applyFont="1" applyBorder="1" applyAlignment="1">
      <alignment vertical="top"/>
    </xf>
    <xf numFmtId="186" fontId="8" fillId="0" borderId="17" xfId="1" applyNumberFormat="1" applyFont="1" applyBorder="1" applyAlignment="1">
      <alignment vertical="top"/>
    </xf>
    <xf numFmtId="176" fontId="169" fillId="10" borderId="0" xfId="0" applyFont="1" applyFill="1" applyBorder="1" applyAlignment="1">
      <alignment horizontal="center"/>
    </xf>
    <xf numFmtId="198" fontId="8" fillId="0" borderId="13" xfId="0" applyNumberFormat="1" applyFont="1" applyBorder="1" applyAlignment="1">
      <alignment horizontal="center"/>
    </xf>
    <xf numFmtId="37" fontId="13" fillId="0" borderId="0" xfId="0" applyNumberFormat="1" applyFont="1" applyBorder="1" applyAlignment="1">
      <alignment horizontal="center" vertical="top"/>
    </xf>
    <xf numFmtId="41" fontId="126" fillId="0" borderId="13" xfId="4" applyFont="1" applyBorder="1"/>
    <xf numFmtId="186" fontId="13" fillId="0" borderId="15" xfId="1" applyNumberFormat="1" applyFont="1" applyBorder="1"/>
    <xf numFmtId="41" fontId="8" fillId="0" borderId="0" xfId="4" applyFont="1" applyBorder="1"/>
    <xf numFmtId="41" fontId="126" fillId="0" borderId="9" xfId="4" applyFont="1" applyBorder="1"/>
    <xf numFmtId="186" fontId="13" fillId="0" borderId="13" xfId="1" applyNumberFormat="1" applyFont="1" applyBorder="1" applyAlignment="1"/>
    <xf numFmtId="186" fontId="13" fillId="0" borderId="14" xfId="1" applyNumberFormat="1" applyFont="1" applyBorder="1" applyAlignment="1"/>
    <xf numFmtId="41" fontId="8" fillId="0" borderId="13" xfId="4" applyFont="1" applyBorder="1" applyAlignment="1"/>
    <xf numFmtId="186" fontId="8" fillId="0" borderId="13" xfId="1" applyNumberFormat="1" applyFont="1" applyBorder="1" applyAlignment="1"/>
    <xf numFmtId="186" fontId="8" fillId="0" borderId="14" xfId="1" applyNumberFormat="1" applyFont="1" applyBorder="1" applyAlignment="1"/>
    <xf numFmtId="41" fontId="126" fillId="0" borderId="10" xfId="4" applyFont="1" applyBorder="1"/>
    <xf numFmtId="186" fontId="8" fillId="0" borderId="13" xfId="1" applyNumberFormat="1" applyFont="1" applyBorder="1"/>
    <xf numFmtId="186" fontId="8" fillId="0" borderId="9" xfId="1" applyNumberFormat="1" applyFont="1" applyBorder="1"/>
    <xf numFmtId="186" fontId="13" fillId="0" borderId="9" xfId="1" applyNumberFormat="1" applyFont="1" applyBorder="1"/>
    <xf numFmtId="186" fontId="13" fillId="0" borderId="15" xfId="1" applyNumberFormat="1" applyFont="1" applyBorder="1" applyAlignment="1">
      <alignment vertical="top"/>
    </xf>
    <xf numFmtId="202" fontId="30" fillId="0" borderId="0" xfId="1" applyNumberFormat="1" applyFont="1"/>
    <xf numFmtId="198" fontId="8" fillId="0" borderId="0" xfId="0" applyNumberFormat="1" applyFont="1" applyBorder="1" applyAlignment="1">
      <alignment horizontal="center"/>
    </xf>
    <xf numFmtId="198" fontId="8" fillId="0" borderId="11" xfId="0" applyNumberFormat="1" applyFont="1" applyBorder="1" applyAlignment="1">
      <alignment horizontal="center"/>
    </xf>
    <xf numFmtId="198" fontId="8" fillId="0" borderId="14" xfId="0" applyNumberFormat="1" applyFont="1" applyBorder="1" applyAlignment="1">
      <alignment horizontal="center"/>
    </xf>
    <xf numFmtId="9" fontId="8" fillId="0" borderId="14" xfId="3" applyFont="1" applyBorder="1"/>
    <xf numFmtId="9" fontId="0" fillId="0" borderId="4" xfId="3" applyFont="1" applyBorder="1" applyAlignment="1">
      <alignment vertical="top"/>
    </xf>
    <xf numFmtId="9" fontId="8" fillId="0" borderId="18" xfId="3" applyFont="1" applyBorder="1"/>
    <xf numFmtId="41" fontId="13" fillId="0" borderId="13" xfId="4" applyFont="1" applyBorder="1" applyAlignment="1">
      <alignment wrapText="1"/>
    </xf>
    <xf numFmtId="41" fontId="13" fillId="0" borderId="16" xfId="4" applyFont="1" applyBorder="1" applyAlignment="1">
      <alignment horizontal="right" vertical="center" wrapText="1"/>
    </xf>
    <xf numFmtId="41" fontId="13" fillId="0" borderId="15" xfId="4" applyFont="1" applyBorder="1" applyAlignment="1">
      <alignment wrapText="1"/>
    </xf>
    <xf numFmtId="41" fontId="8" fillId="0" borderId="13" xfId="4" applyFont="1" applyBorder="1" applyAlignment="1">
      <alignment wrapText="1"/>
    </xf>
    <xf numFmtId="41" fontId="13" fillId="0" borderId="15" xfId="4" applyFont="1" applyBorder="1" applyAlignment="1">
      <alignment horizontal="right" vertical="center" wrapText="1"/>
    </xf>
    <xf numFmtId="41" fontId="8" fillId="0" borderId="14" xfId="4" applyFont="1" applyBorder="1" applyAlignment="1">
      <alignment horizontal="right" vertical="center" wrapText="1"/>
    </xf>
    <xf numFmtId="9" fontId="7" fillId="0" borderId="0" xfId="3" applyFont="1" applyBorder="1" applyAlignment="1">
      <alignment vertical="top"/>
    </xf>
    <xf numFmtId="41" fontId="8" fillId="0" borderId="13" xfId="4" applyFont="1" applyBorder="1" applyAlignment="1">
      <alignment horizontal="right" vertical="center" wrapText="1"/>
    </xf>
    <xf numFmtId="9" fontId="7" fillId="0" borderId="14" xfId="3" applyFont="1" applyBorder="1" applyAlignment="1">
      <alignment vertical="top"/>
    </xf>
    <xf numFmtId="238" fontId="13" fillId="0" borderId="15" xfId="4" applyNumberFormat="1" applyFont="1" applyBorder="1" applyAlignment="1">
      <alignment vertical="top"/>
    </xf>
    <xf numFmtId="202" fontId="8" fillId="0" borderId="0" xfId="0" applyNumberFormat="1" applyFont="1">
      <alignment vertical="top"/>
    </xf>
    <xf numFmtId="176" fontId="164" fillId="0" borderId="0" xfId="0" applyFont="1" applyAlignment="1">
      <alignment horizontal="center"/>
    </xf>
    <xf numFmtId="9" fontId="166" fillId="0" borderId="0" xfId="3" applyFont="1" applyAlignment="1">
      <alignment vertical="top"/>
    </xf>
    <xf numFmtId="9" fontId="166" fillId="0" borderId="0" xfId="3" applyFont="1"/>
    <xf numFmtId="176" fontId="0" fillId="71" borderId="7" xfId="0" applyFill="1" applyBorder="1">
      <alignment vertical="top"/>
    </xf>
    <xf numFmtId="176" fontId="0" fillId="71" borderId="8" xfId="0" applyFill="1" applyBorder="1">
      <alignment vertical="top"/>
    </xf>
    <xf numFmtId="176" fontId="13" fillId="71" borderId="8" xfId="0" applyFont="1" applyFill="1" applyBorder="1">
      <alignment vertical="top"/>
    </xf>
    <xf numFmtId="176" fontId="0" fillId="71" borderId="10" xfId="0" applyFill="1" applyBorder="1">
      <alignment vertical="top"/>
    </xf>
    <xf numFmtId="176" fontId="0" fillId="71" borderId="5" xfId="0" applyFill="1" applyBorder="1">
      <alignment vertical="top"/>
    </xf>
    <xf numFmtId="176" fontId="13" fillId="71" borderId="5" xfId="0" applyFont="1" applyFill="1" applyBorder="1">
      <alignment vertical="top"/>
    </xf>
    <xf numFmtId="202" fontId="7" fillId="19" borderId="7" xfId="1" applyNumberFormat="1" applyFont="1" applyFill="1" applyBorder="1" applyAlignment="1">
      <alignment horizontal="left"/>
    </xf>
    <xf numFmtId="202" fontId="13" fillId="19" borderId="8" xfId="1" applyNumberFormat="1" applyFont="1" applyFill="1" applyBorder="1"/>
    <xf numFmtId="41" fontId="13" fillId="0" borderId="5" xfId="4" applyFont="1" applyBorder="1"/>
    <xf numFmtId="176" fontId="8" fillId="42" borderId="20" xfId="0" applyFont="1" applyFill="1" applyBorder="1" applyAlignment="1">
      <alignment horizontal="center"/>
    </xf>
    <xf numFmtId="176" fontId="8" fillId="42" borderId="2" xfId="0" applyFont="1" applyFill="1" applyBorder="1" applyAlignment="1">
      <alignment horizontal="center"/>
    </xf>
    <xf numFmtId="176" fontId="8" fillId="42" borderId="0" xfId="0" applyFont="1" applyFill="1" applyBorder="1" applyAlignment="1">
      <alignment horizontal="centerContinuous"/>
    </xf>
    <xf numFmtId="176" fontId="8" fillId="42" borderId="21" xfId="0" applyFont="1" applyFill="1" applyBorder="1" applyAlignment="1">
      <alignment horizontal="centerContinuous"/>
    </xf>
    <xf numFmtId="0" fontId="8" fillId="42" borderId="82" xfId="0" applyNumberFormat="1" applyFont="1" applyFill="1" applyBorder="1" applyAlignment="1">
      <alignment horizontal="center"/>
    </xf>
    <xf numFmtId="0" fontId="8" fillId="42" borderId="110" xfId="0" applyNumberFormat="1" applyFont="1" applyFill="1" applyBorder="1" applyAlignment="1">
      <alignment horizontal="center"/>
    </xf>
    <xf numFmtId="176" fontId="8" fillId="42" borderId="44" xfId="0" applyFont="1" applyFill="1" applyBorder="1" applyAlignment="1">
      <alignment horizontal="center"/>
    </xf>
    <xf numFmtId="176" fontId="8" fillId="42" borderId="3" xfId="0" applyFont="1" applyFill="1" applyBorder="1" applyAlignment="1">
      <alignment horizontal="center"/>
    </xf>
    <xf numFmtId="176" fontId="8" fillId="42" borderId="45" xfId="0" applyFont="1" applyFill="1" applyBorder="1" applyAlignment="1">
      <alignment horizontal="centerContinuous"/>
    </xf>
    <xf numFmtId="176" fontId="8" fillId="42" borderId="49" xfId="0" applyFont="1" applyFill="1" applyBorder="1" applyAlignment="1">
      <alignment horizontal="centerContinuous"/>
    </xf>
    <xf numFmtId="176" fontId="8" fillId="42" borderId="49" xfId="0" applyFont="1" applyFill="1" applyBorder="1" applyAlignment="1">
      <alignment horizontal="center"/>
    </xf>
    <xf numFmtId="176" fontId="8" fillId="42" borderId="112" xfId="0" applyFont="1" applyFill="1" applyBorder="1" applyAlignment="1">
      <alignment horizontal="center"/>
    </xf>
    <xf numFmtId="202" fontId="8" fillId="0" borderId="2" xfId="1" applyNumberFormat="1" applyFont="1" applyBorder="1"/>
    <xf numFmtId="3" fontId="23" fillId="0" borderId="0" xfId="0" applyNumberFormat="1" applyFont="1" applyAlignment="1">
      <alignment horizontal="left"/>
    </xf>
    <xf numFmtId="202" fontId="8" fillId="0" borderId="2" xfId="1" applyNumberFormat="1" applyFont="1" applyBorder="1" applyAlignment="1">
      <alignment horizontal="center"/>
    </xf>
    <xf numFmtId="41" fontId="13" fillId="0" borderId="2" xfId="4" applyFont="1" applyBorder="1"/>
    <xf numFmtId="202" fontId="13" fillId="0" borderId="0" xfId="1" applyNumberFormat="1" applyFont="1" applyAlignment="1">
      <alignment horizontal="left"/>
    </xf>
    <xf numFmtId="202" fontId="13" fillId="0" borderId="21" xfId="1" applyNumberFormat="1" applyFont="1" applyBorder="1"/>
    <xf numFmtId="202" fontId="13" fillId="0" borderId="21" xfId="1" applyNumberFormat="1" applyFont="1" applyBorder="1" applyAlignment="1">
      <alignment horizontal="left"/>
    </xf>
    <xf numFmtId="202" fontId="23" fillId="0" borderId="0" xfId="1" applyNumberFormat="1" applyFont="1" applyBorder="1"/>
    <xf numFmtId="202" fontId="82" fillId="0" borderId="2" xfId="1" applyNumberFormat="1" applyFont="1" applyBorder="1" applyAlignment="1">
      <alignment horizontal="center"/>
    </xf>
    <xf numFmtId="202" fontId="13" fillId="0" borderId="2" xfId="1" applyNumberFormat="1" applyFont="1" applyBorder="1" applyAlignment="1">
      <alignment horizontal="center"/>
    </xf>
    <xf numFmtId="202" fontId="8" fillId="0" borderId="3" xfId="1" applyNumberFormat="1" applyFont="1" applyBorder="1"/>
    <xf numFmtId="37" fontId="23" fillId="0" borderId="45" xfId="0" applyNumberFormat="1" applyFont="1" applyBorder="1" applyAlignment="1">
      <alignment horizontal="left"/>
    </xf>
    <xf numFmtId="202" fontId="13" fillId="0" borderId="45" xfId="1" applyNumberFormat="1" applyFont="1" applyBorder="1"/>
    <xf numFmtId="202" fontId="13" fillId="0" borderId="3" xfId="1" applyNumberFormat="1" applyFont="1" applyBorder="1" applyAlignment="1">
      <alignment horizontal="center"/>
    </xf>
    <xf numFmtId="41" fontId="13" fillId="0" borderId="3" xfId="4" applyFont="1" applyBorder="1"/>
    <xf numFmtId="37" fontId="23" fillId="0" borderId="0" xfId="0" applyNumberFormat="1" applyFont="1" applyAlignment="1">
      <alignment horizontal="left"/>
    </xf>
    <xf numFmtId="202" fontId="82" fillId="0" borderId="21" xfId="1" applyNumberFormat="1" applyFont="1" applyBorder="1"/>
    <xf numFmtId="202" fontId="8" fillId="0" borderId="3" xfId="1" applyNumberFormat="1" applyFont="1" applyBorder="1" applyAlignment="1">
      <alignment horizontal="center"/>
    </xf>
    <xf numFmtId="202" fontId="23" fillId="0" borderId="21" xfId="1" applyNumberFormat="1" applyFont="1" applyBorder="1"/>
    <xf numFmtId="202" fontId="13" fillId="0" borderId="21" xfId="1" applyNumberFormat="1" applyFont="1" applyBorder="1" applyAlignment="1">
      <alignment horizontal="left" indent="1"/>
    </xf>
    <xf numFmtId="176" fontId="0" fillId="71" borderId="12" xfId="0" applyFill="1" applyBorder="1">
      <alignment vertical="top"/>
    </xf>
    <xf numFmtId="198" fontId="0" fillId="71" borderId="5" xfId="0" applyNumberFormat="1" applyFill="1" applyBorder="1">
      <alignment vertical="top"/>
    </xf>
    <xf numFmtId="176" fontId="0" fillId="71" borderId="16" xfId="0" applyFill="1" applyBorder="1">
      <alignment vertical="top"/>
    </xf>
    <xf numFmtId="176" fontId="13" fillId="42" borderId="2" xfId="0" applyFont="1" applyFill="1" applyBorder="1">
      <alignment vertical="top"/>
    </xf>
    <xf numFmtId="176" fontId="8" fillId="0" borderId="2" xfId="0" applyFont="1" applyBorder="1" applyAlignment="1">
      <alignment horizontal="center"/>
    </xf>
    <xf numFmtId="202" fontId="13" fillId="0" borderId="2" xfId="1" applyNumberFormat="1" applyFont="1" applyBorder="1"/>
    <xf numFmtId="176" fontId="8" fillId="0" borderId="3" xfId="0" applyFont="1" applyBorder="1" applyAlignment="1">
      <alignment horizontal="center"/>
    </xf>
    <xf numFmtId="202" fontId="13" fillId="0" borderId="3" xfId="1" applyNumberFormat="1" applyFont="1" applyBorder="1"/>
    <xf numFmtId="41" fontId="8" fillId="0" borderId="2" xfId="4" applyFont="1" applyBorder="1" applyAlignment="1">
      <alignment horizontal="center"/>
    </xf>
    <xf numFmtId="202" fontId="23" fillId="0" borderId="0" xfId="1" applyNumberFormat="1" applyFont="1" applyBorder="1" applyAlignment="1">
      <alignment horizontal="left" indent="1"/>
    </xf>
    <xf numFmtId="202" fontId="13" fillId="0" borderId="0" xfId="1" applyNumberFormat="1" applyFont="1" applyBorder="1" applyAlignment="1">
      <alignment horizontal="left" indent="2"/>
    </xf>
    <xf numFmtId="202" fontId="8" fillId="0" borderId="63" xfId="1" applyNumberFormat="1" applyFont="1" applyBorder="1"/>
    <xf numFmtId="3" fontId="23" fillId="0" borderId="5" xfId="0" applyNumberFormat="1" applyFont="1" applyBorder="1" applyAlignment="1">
      <alignment horizontal="left"/>
    </xf>
    <xf numFmtId="176" fontId="23" fillId="0" borderId="5" xfId="0" applyFont="1" applyBorder="1" applyAlignment="1">
      <alignment horizontal="center"/>
    </xf>
    <xf numFmtId="202" fontId="8" fillId="0" borderId="63" xfId="1" applyNumberFormat="1" applyFont="1" applyBorder="1" applyAlignment="1">
      <alignment horizontal="center"/>
    </xf>
    <xf numFmtId="41" fontId="13" fillId="0" borderId="63" xfId="4" applyFont="1" applyBorder="1"/>
    <xf numFmtId="176" fontId="8" fillId="0" borderId="64" xfId="0" applyFont="1" applyBorder="1" applyAlignment="1">
      <alignment horizontal="center"/>
    </xf>
    <xf numFmtId="176" fontId="13" fillId="0" borderId="33" xfId="0" applyFont="1" applyBorder="1">
      <alignment vertical="top"/>
    </xf>
    <xf numFmtId="41" fontId="8" fillId="0" borderId="64" xfId="4" applyFont="1" applyBorder="1"/>
    <xf numFmtId="3" fontId="13" fillId="0" borderId="45" xfId="0" applyNumberFormat="1" applyFont="1" applyBorder="1">
      <alignment vertical="top"/>
    </xf>
    <xf numFmtId="4" fontId="126" fillId="0" borderId="0" xfId="355" applyFont="1">
      <alignment horizontal="left" vertical="top"/>
    </xf>
    <xf numFmtId="176" fontId="8" fillId="0" borderId="63" xfId="0" applyFont="1" applyBorder="1" applyAlignment="1">
      <alignment horizontal="center"/>
    </xf>
    <xf numFmtId="202" fontId="13" fillId="0" borderId="63" xfId="1" applyNumberFormat="1" applyFont="1" applyBorder="1"/>
    <xf numFmtId="202" fontId="13" fillId="0" borderId="64" xfId="1" applyNumberFormat="1" applyFont="1" applyBorder="1"/>
    <xf numFmtId="176" fontId="8" fillId="42" borderId="32" xfId="0" applyFont="1" applyFill="1" applyBorder="1" applyAlignment="1">
      <alignment horizontal="center"/>
    </xf>
    <xf numFmtId="176" fontId="8" fillId="42" borderId="64" xfId="0" applyFont="1" applyFill="1" applyBorder="1" applyAlignment="1">
      <alignment horizontal="center"/>
    </xf>
    <xf numFmtId="176" fontId="8" fillId="42" borderId="33" xfId="0" applyFont="1" applyFill="1" applyBorder="1" applyAlignment="1">
      <alignment horizontal="centerContinuous"/>
    </xf>
    <xf numFmtId="176" fontId="8" fillId="42" borderId="48" xfId="0" applyFont="1" applyFill="1" applyBorder="1" applyAlignment="1">
      <alignment horizontal="centerContinuous"/>
    </xf>
    <xf numFmtId="176" fontId="8" fillId="42" borderId="33" xfId="0" applyFont="1" applyFill="1" applyBorder="1" applyAlignment="1">
      <alignment horizontal="center"/>
    </xf>
    <xf numFmtId="202" fontId="8" fillId="42" borderId="64" xfId="1" applyNumberFormat="1" applyFont="1" applyFill="1" applyBorder="1" applyAlignment="1">
      <alignment horizontal="center"/>
    </xf>
    <xf numFmtId="176" fontId="8" fillId="42" borderId="45" xfId="0" applyFont="1" applyFill="1" applyBorder="1" applyAlignment="1">
      <alignment horizontal="center"/>
    </xf>
    <xf numFmtId="202" fontId="8" fillId="42" borderId="3" xfId="1" applyNumberFormat="1" applyFont="1" applyFill="1" applyBorder="1" applyAlignment="1">
      <alignment horizontal="center"/>
    </xf>
    <xf numFmtId="3" fontId="13" fillId="0" borderId="0" xfId="0" applyNumberFormat="1" applyFont="1" applyAlignment="1">
      <alignment horizontal="left"/>
    </xf>
    <xf numFmtId="202" fontId="23" fillId="0" borderId="0" xfId="1" applyNumberFormat="1" applyFont="1"/>
    <xf numFmtId="202" fontId="13" fillId="0" borderId="5" xfId="1" applyNumberFormat="1" applyFont="1" applyBorder="1"/>
    <xf numFmtId="3" fontId="23" fillId="0" borderId="0" xfId="0" applyNumberFormat="1" applyFont="1" applyBorder="1" applyAlignment="1">
      <alignment horizontal="left"/>
    </xf>
    <xf numFmtId="202" fontId="8" fillId="0" borderId="64" xfId="1" applyNumberFormat="1" applyFont="1" applyBorder="1"/>
    <xf numFmtId="3" fontId="13" fillId="0" borderId="45" xfId="0" applyNumberFormat="1" applyFont="1" applyBorder="1" applyAlignment="1">
      <alignment horizontal="center"/>
    </xf>
    <xf numFmtId="176" fontId="0" fillId="19" borderId="14" xfId="0" applyFont="1" applyFill="1" applyBorder="1" applyAlignment="1"/>
    <xf numFmtId="176" fontId="8" fillId="0" borderId="33" xfId="0" applyFont="1" applyBorder="1" applyAlignment="1">
      <alignment horizontal="left"/>
    </xf>
    <xf numFmtId="202" fontId="8" fillId="0" borderId="64" xfId="1" applyNumberFormat="1" applyFont="1" applyBorder="1" applyAlignment="1">
      <alignment horizontal="center"/>
    </xf>
    <xf numFmtId="3" fontId="23" fillId="0" borderId="33" xfId="0" applyNumberFormat="1" applyFont="1" applyBorder="1" applyAlignment="1">
      <alignment horizontal="left"/>
    </xf>
    <xf numFmtId="202" fontId="13" fillId="0" borderId="33" xfId="1" applyNumberFormat="1" applyFont="1" applyBorder="1"/>
    <xf numFmtId="3" fontId="23" fillId="0" borderId="45" xfId="0" applyNumberFormat="1" applyFont="1" applyBorder="1" applyAlignment="1">
      <alignment horizontal="left"/>
    </xf>
    <xf numFmtId="176" fontId="13" fillId="42" borderId="64" xfId="0" applyFont="1" applyFill="1" applyBorder="1">
      <alignment vertical="top"/>
    </xf>
    <xf numFmtId="176" fontId="13" fillId="0" borderId="64" xfId="0" applyFont="1" applyBorder="1">
      <alignment vertical="top"/>
    </xf>
    <xf numFmtId="176" fontId="13" fillId="0" borderId="21" xfId="0" applyFont="1" applyBorder="1" applyAlignment="1">
      <alignment horizontal="left"/>
    </xf>
    <xf numFmtId="198" fontId="7" fillId="0" borderId="19" xfId="0" applyNumberFormat="1" applyFont="1" applyBorder="1" applyAlignment="1">
      <alignment horizontal="center" vertical="top"/>
    </xf>
    <xf numFmtId="176" fontId="7" fillId="0" borderId="10" xfId="0" applyFont="1" applyBorder="1">
      <alignment vertical="top"/>
    </xf>
    <xf numFmtId="176" fontId="7" fillId="0" borderId="13" xfId="0" applyFont="1" applyBorder="1" applyAlignment="1">
      <alignment horizontal="center" vertical="top"/>
    </xf>
    <xf numFmtId="41" fontId="8" fillId="0" borderId="19" xfId="4" applyFont="1" applyBorder="1"/>
    <xf numFmtId="38" fontId="13" fillId="0" borderId="13" xfId="4" applyNumberFormat="1" applyFont="1" applyBorder="1"/>
    <xf numFmtId="176" fontId="13" fillId="72" borderId="7" xfId="0" applyFont="1" applyFill="1" applyBorder="1">
      <alignment vertical="top"/>
    </xf>
    <xf numFmtId="176" fontId="13" fillId="72" borderId="8" xfId="0" applyFont="1" applyFill="1" applyBorder="1">
      <alignment vertical="top"/>
    </xf>
    <xf numFmtId="176" fontId="8" fillId="72" borderId="8" xfId="0" applyFont="1" applyFill="1" applyBorder="1" applyAlignment="1">
      <alignment horizontal="center"/>
    </xf>
    <xf numFmtId="176" fontId="13" fillId="72" borderId="9" xfId="0" applyFont="1" applyFill="1" applyBorder="1">
      <alignment vertical="top"/>
    </xf>
    <xf numFmtId="176" fontId="13" fillId="72" borderId="0" xfId="0" applyFont="1" applyFill="1" applyBorder="1">
      <alignment vertical="top"/>
    </xf>
    <xf numFmtId="176" fontId="8" fillId="72" borderId="0" xfId="0" applyFont="1" applyFill="1" applyBorder="1" applyAlignment="1">
      <alignment horizontal="center"/>
    </xf>
    <xf numFmtId="37" fontId="96" fillId="0" borderId="0" xfId="0" applyNumberFormat="1" applyFont="1" applyAlignment="1">
      <alignment horizontal="center" vertical="top"/>
    </xf>
    <xf numFmtId="198" fontId="7" fillId="0" borderId="4" xfId="0" applyNumberFormat="1" applyFont="1" applyBorder="1" applyAlignment="1">
      <alignment horizontal="center" vertical="top"/>
    </xf>
    <xf numFmtId="41" fontId="13" fillId="0" borderId="10" xfId="4" applyFont="1" applyBorder="1"/>
    <xf numFmtId="38" fontId="13" fillId="0" borderId="0" xfId="4" applyNumberFormat="1" applyFont="1" applyBorder="1"/>
    <xf numFmtId="41" fontId="8" fillId="0" borderId="15" xfId="4" applyFont="1" applyBorder="1"/>
    <xf numFmtId="41" fontId="8" fillId="0" borderId="9" xfId="4" applyFont="1" applyBorder="1"/>
    <xf numFmtId="41" fontId="8" fillId="0" borderId="13" xfId="4" applyFont="1" applyBorder="1"/>
    <xf numFmtId="202" fontId="13" fillId="72" borderId="8" xfId="1" applyNumberFormat="1" applyFont="1" applyFill="1" applyBorder="1" applyAlignment="1">
      <alignment vertical="top"/>
    </xf>
    <xf numFmtId="176" fontId="7" fillId="0" borderId="17" xfId="0" applyFont="1" applyBorder="1" applyAlignment="1">
      <alignment horizontal="center" vertical="top"/>
    </xf>
    <xf numFmtId="38" fontId="13" fillId="0" borderId="9" xfId="4" applyNumberFormat="1" applyFont="1" applyBorder="1"/>
    <xf numFmtId="9" fontId="13" fillId="72" borderId="12" xfId="3" applyFont="1" applyFill="1" applyBorder="1"/>
    <xf numFmtId="9" fontId="13" fillId="72" borderId="14" xfId="3" applyFont="1" applyFill="1" applyBorder="1"/>
    <xf numFmtId="176" fontId="13" fillId="72" borderId="10" xfId="0" applyFont="1" applyFill="1" applyBorder="1">
      <alignment vertical="top"/>
    </xf>
    <xf numFmtId="176" fontId="13" fillId="72" borderId="5" xfId="0" applyFont="1" applyFill="1" applyBorder="1">
      <alignment vertical="top"/>
    </xf>
    <xf numFmtId="176" fontId="8" fillId="72" borderId="5" xfId="0" applyFont="1" applyFill="1" applyBorder="1" applyAlignment="1">
      <alignment horizontal="center"/>
    </xf>
    <xf numFmtId="9" fontId="13" fillId="72" borderId="16" xfId="3" applyFont="1" applyFill="1" applyBorder="1"/>
    <xf numFmtId="176" fontId="1" fillId="0" borderId="5" xfId="216" applyFont="1" applyBorder="1">
      <alignment vertical="top"/>
    </xf>
    <xf numFmtId="41" fontId="7" fillId="0" borderId="5" xfId="102" applyFont="1" applyBorder="1" applyAlignment="1">
      <alignment horizontal="center" vertical="center"/>
    </xf>
    <xf numFmtId="0" fontId="7" fillId="0" borderId="0" xfId="231" applyFont="1" applyBorder="1"/>
    <xf numFmtId="0" fontId="0" fillId="0" borderId="0" xfId="231" applyFont="1" applyBorder="1"/>
    <xf numFmtId="41" fontId="0" fillId="0" borderId="0" xfId="110" applyFont="1" applyBorder="1" applyAlignment="1">
      <alignment horizontal="center"/>
    </xf>
    <xf numFmtId="0" fontId="125" fillId="0" borderId="0" xfId="231" applyFont="1" applyBorder="1"/>
    <xf numFmtId="202" fontId="0" fillId="0" borderId="5" xfId="148" applyNumberFormat="1" applyFont="1" applyBorder="1" applyAlignment="1">
      <alignment horizontal="right"/>
    </xf>
    <xf numFmtId="202" fontId="7" fillId="0" borderId="0" xfId="148" applyNumberFormat="1" applyFont="1" applyFill="1" applyBorder="1" applyAlignment="1">
      <alignment horizontal="right"/>
    </xf>
    <xf numFmtId="0" fontId="0" fillId="0" borderId="0" xfId="231" applyFont="1" applyBorder="1" applyAlignment="1">
      <alignment horizontal="center"/>
    </xf>
    <xf numFmtId="202" fontId="0" fillId="0" borderId="0" xfId="148" applyNumberFormat="1" applyFont="1" applyBorder="1" applyAlignment="1">
      <alignment horizontal="right"/>
    </xf>
    <xf numFmtId="202" fontId="125" fillId="0" borderId="5" xfId="148" applyNumberFormat="1" applyFont="1" applyBorder="1" applyAlignment="1">
      <alignment horizontal="right"/>
    </xf>
    <xf numFmtId="202" fontId="7" fillId="0" borderId="0" xfId="148" applyNumberFormat="1" applyFont="1" applyBorder="1" applyAlignment="1">
      <alignment horizontal="right"/>
    </xf>
    <xf numFmtId="183" fontId="0" fillId="0" borderId="0" xfId="110" applyNumberFormat="1" applyFont="1" applyBorder="1" applyAlignment="1">
      <alignment horizontal="center"/>
    </xf>
    <xf numFmtId="183" fontId="0" fillId="0" borderId="0" xfId="0" applyNumberFormat="1" applyFont="1">
      <alignment vertical="top"/>
    </xf>
    <xf numFmtId="202" fontId="0" fillId="0" borderId="0" xfId="231" applyNumberFormat="1" applyFont="1" applyBorder="1" applyAlignment="1">
      <alignment horizontal="center"/>
    </xf>
    <xf numFmtId="202" fontId="7" fillId="0" borderId="6" xfId="148" applyNumberFormat="1" applyFont="1" applyBorder="1" applyAlignment="1">
      <alignment horizontal="right"/>
    </xf>
    <xf numFmtId="41" fontId="0" fillId="0" borderId="0" xfId="231" applyNumberFormat="1" applyFont="1" applyBorder="1" applyAlignment="1">
      <alignment horizontal="center"/>
    </xf>
    <xf numFmtId="41" fontId="170" fillId="0" borderId="0" xfId="102" applyFont="1" applyBorder="1" applyAlignment="1">
      <alignment horizontal="center" vertical="center"/>
    </xf>
    <xf numFmtId="202" fontId="13" fillId="0" borderId="0" xfId="231" applyNumberFormat="1" applyFont="1" applyAlignment="1">
      <alignment horizontal="center"/>
    </xf>
    <xf numFmtId="176" fontId="143" fillId="0" borderId="0" xfId="256" applyNumberFormat="1" applyFont="1" applyAlignment="1">
      <alignment horizontal="center" vertical="center" textRotation="90" wrapText="1"/>
    </xf>
    <xf numFmtId="176" fontId="144" fillId="0" borderId="0" xfId="256" applyNumberFormat="1" applyFont="1" applyAlignment="1">
      <alignment horizontal="left" vertical="top" textRotation="45"/>
    </xf>
    <xf numFmtId="176" fontId="144" fillId="0" borderId="0" xfId="256" applyNumberFormat="1" applyFont="1" applyAlignment="1">
      <alignment horizontal="left" vertical="top" wrapText="1"/>
    </xf>
    <xf numFmtId="176" fontId="144" fillId="0" borderId="5" xfId="256" applyNumberFormat="1" applyFont="1" applyBorder="1" applyAlignment="1">
      <alignment horizontal="left" vertical="top" wrapText="1"/>
    </xf>
    <xf numFmtId="176" fontId="165" fillId="0" borderId="0" xfId="256" applyNumberFormat="1" applyFont="1" applyAlignment="1">
      <alignment horizontal="center" vertical="top" wrapText="1"/>
    </xf>
    <xf numFmtId="176" fontId="144" fillId="0" borderId="0" xfId="256" applyNumberFormat="1" applyFont="1" applyAlignment="1">
      <alignment horizontal="center" vertical="top"/>
    </xf>
    <xf numFmtId="176" fontId="144" fillId="0" borderId="0" xfId="256" applyNumberFormat="1" applyFont="1" applyAlignment="1">
      <alignment horizontal="left" vertical="top"/>
    </xf>
    <xf numFmtId="176" fontId="165" fillId="0" borderId="0" xfId="256" applyNumberFormat="1" applyFont="1" applyAlignment="1">
      <alignment horizontal="center" vertical="top"/>
    </xf>
    <xf numFmtId="176" fontId="5" fillId="0" borderId="0" xfId="216" applyFont="1" applyAlignment="1">
      <alignment horizontal="center"/>
    </xf>
    <xf numFmtId="176" fontId="151" fillId="0" borderId="0" xfId="216" applyFont="1" applyAlignment="1">
      <alignment horizontal="center" vertical="top"/>
    </xf>
    <xf numFmtId="176" fontId="5" fillId="0" borderId="0" xfId="216" applyFont="1" applyAlignment="1"/>
    <xf numFmtId="9" fontId="0" fillId="0" borderId="0" xfId="278" applyFont="1"/>
    <xf numFmtId="176" fontId="1" fillId="0" borderId="0" xfId="0" applyFont="1" applyAlignment="1">
      <alignment horizontal="center" vertical="center"/>
    </xf>
    <xf numFmtId="176" fontId="1" fillId="0" borderId="0" xfId="128" applyNumberFormat="1" applyFont="1" applyBorder="1"/>
    <xf numFmtId="176" fontId="145" fillId="0" borderId="0" xfId="128" applyNumberFormat="1" applyFont="1" applyBorder="1"/>
    <xf numFmtId="176" fontId="1" fillId="0" borderId="0" xfId="216" applyFont="1" applyBorder="1">
      <alignment vertical="top"/>
    </xf>
    <xf numFmtId="176" fontId="1" fillId="0" borderId="0" xfId="128" applyNumberFormat="1" applyFont="1"/>
    <xf numFmtId="176" fontId="5" fillId="0" borderId="6" xfId="128" applyNumberFormat="1" applyFont="1" applyBorder="1"/>
    <xf numFmtId="176" fontId="145" fillId="0" borderId="0" xfId="0" applyFont="1" applyBorder="1" applyAlignment="1"/>
    <xf numFmtId="176" fontId="5" fillId="0" borderId="0" xfId="128" applyNumberFormat="1" applyFont="1" applyBorder="1"/>
    <xf numFmtId="176" fontId="1" fillId="0" borderId="0" xfId="148" applyNumberFormat="1" applyFont="1" applyBorder="1"/>
    <xf numFmtId="176" fontId="145" fillId="0" borderId="0" xfId="148" applyNumberFormat="1" applyFont="1" applyBorder="1"/>
    <xf numFmtId="176" fontId="145" fillId="0" borderId="0" xfId="128" applyNumberFormat="1" applyFont="1"/>
    <xf numFmtId="176" fontId="162" fillId="0" borderId="0" xfId="128" applyNumberFormat="1" applyFont="1"/>
    <xf numFmtId="176" fontId="5" fillId="0" borderId="0" xfId="128" applyNumberFormat="1" applyFont="1"/>
    <xf numFmtId="207" fontId="24" fillId="0" borderId="0" xfId="128" applyNumberFormat="1" applyFont="1"/>
    <xf numFmtId="176" fontId="7" fillId="0" borderId="0" xfId="216" applyFont="1" applyAlignment="1"/>
    <xf numFmtId="176" fontId="171" fillId="0" borderId="0" xfId="0" applyFont="1" applyAlignment="1">
      <alignment horizontal="center" vertical="center"/>
    </xf>
    <xf numFmtId="41" fontId="0" fillId="0" borderId="0" xfId="87" applyFont="1" applyAlignment="1">
      <alignment vertical="top"/>
    </xf>
    <xf numFmtId="0" fontId="172" fillId="0" borderId="0" xfId="218" applyFont="1"/>
    <xf numFmtId="202" fontId="172" fillId="0" borderId="0" xfId="148" applyNumberFormat="1" applyFont="1"/>
    <xf numFmtId="0" fontId="173" fillId="0" borderId="0" xfId="218" applyFont="1"/>
    <xf numFmtId="37" fontId="173" fillId="0" borderId="0" xfId="218" applyNumberFormat="1" applyFont="1"/>
    <xf numFmtId="202" fontId="7" fillId="19" borderId="9" xfId="1" applyNumberFormat="1" applyFont="1" applyFill="1" applyBorder="1"/>
    <xf numFmtId="0" fontId="172" fillId="0" borderId="93" xfId="218" applyFont="1" applyBorder="1"/>
    <xf numFmtId="202" fontId="172" fillId="0" borderId="93" xfId="148" applyNumberFormat="1" applyFont="1" applyBorder="1"/>
    <xf numFmtId="0" fontId="173" fillId="0" borderId="113" xfId="218" applyFont="1" applyBorder="1" applyAlignment="1">
      <alignment horizontal="centerContinuous"/>
    </xf>
    <xf numFmtId="0" fontId="173" fillId="0" borderId="114" xfId="218" applyFont="1" applyBorder="1" applyAlignment="1">
      <alignment horizontal="centerContinuous"/>
    </xf>
    <xf numFmtId="37" fontId="173" fillId="0" borderId="115" xfId="218" applyNumberFormat="1" applyFont="1" applyBorder="1" applyAlignment="1">
      <alignment horizontal="center"/>
    </xf>
    <xf numFmtId="37" fontId="173" fillId="0" borderId="14" xfId="218" applyNumberFormat="1" applyFont="1" applyBorder="1" applyAlignment="1">
      <alignment horizontal="center"/>
    </xf>
    <xf numFmtId="37" fontId="173" fillId="0" borderId="13" xfId="218" applyNumberFormat="1" applyFont="1" applyBorder="1" applyAlignment="1">
      <alignment horizontal="center"/>
    </xf>
    <xf numFmtId="0" fontId="173" fillId="0" borderId="116" xfId="218" applyFont="1" applyBorder="1" applyAlignment="1">
      <alignment horizontal="centerContinuous"/>
    </xf>
    <xf numFmtId="0" fontId="173" fillId="0" borderId="93" xfId="218" applyFont="1" applyBorder="1" applyAlignment="1">
      <alignment horizontal="centerContinuous"/>
    </xf>
    <xf numFmtId="204" fontId="173" fillId="0" borderId="117" xfId="218" applyNumberFormat="1" applyFont="1" applyBorder="1" applyAlignment="1">
      <alignment horizontal="center"/>
    </xf>
    <xf numFmtId="204" fontId="173" fillId="0" borderId="118" xfId="218" applyNumberFormat="1" applyFont="1" applyBorder="1" applyAlignment="1">
      <alignment horizontal="center"/>
    </xf>
    <xf numFmtId="37" fontId="173" fillId="0" borderId="117" xfId="218" applyNumberFormat="1" applyFont="1" applyBorder="1" applyAlignment="1">
      <alignment horizontal="center"/>
    </xf>
    <xf numFmtId="0" fontId="173" fillId="0" borderId="9" xfId="218" applyFont="1" applyBorder="1"/>
    <xf numFmtId="37" fontId="172" fillId="0" borderId="13" xfId="218" applyNumberFormat="1" applyFont="1" applyBorder="1" applyAlignment="1">
      <alignment horizontal="center"/>
    </xf>
    <xf numFmtId="37" fontId="172" fillId="0" borderId="14" xfId="218" applyNumberFormat="1" applyFont="1" applyBorder="1" applyAlignment="1">
      <alignment horizontal="center"/>
    </xf>
    <xf numFmtId="37" fontId="173" fillId="0" borderId="9" xfId="218" applyNumberFormat="1" applyFont="1" applyBorder="1"/>
    <xf numFmtId="0" fontId="172" fillId="0" borderId="9" xfId="218" applyFont="1" applyBorder="1"/>
    <xf numFmtId="176" fontId="48" fillId="0" borderId="0" xfId="0" applyFont="1" applyAlignment="1">
      <alignment horizontal="left" vertical="top"/>
    </xf>
    <xf numFmtId="202" fontId="172" fillId="0" borderId="13" xfId="148" applyNumberFormat="1" applyFont="1" applyBorder="1"/>
    <xf numFmtId="202" fontId="172" fillId="0" borderId="14" xfId="148" applyNumberFormat="1" applyFont="1" applyBorder="1"/>
    <xf numFmtId="0" fontId="173" fillId="0" borderId="7" xfId="218" applyFont="1" applyBorder="1"/>
    <xf numFmtId="0" fontId="173" fillId="0" borderId="12" xfId="218" applyFont="1" applyBorder="1"/>
    <xf numFmtId="202" fontId="173" fillId="0" borderId="11" xfId="148" applyNumberFormat="1" applyFont="1" applyBorder="1"/>
    <xf numFmtId="202" fontId="173" fillId="0" borderId="72" xfId="148" applyNumberFormat="1" applyFont="1" applyBorder="1"/>
    <xf numFmtId="202" fontId="48" fillId="0" borderId="0" xfId="148" applyNumberFormat="1" applyFont="1" applyAlignment="1">
      <alignment horizontal="left"/>
    </xf>
    <xf numFmtId="202" fontId="173" fillId="0" borderId="13" xfId="148" applyNumberFormat="1" applyFont="1" applyBorder="1"/>
    <xf numFmtId="202" fontId="173" fillId="0" borderId="0" xfId="148" applyNumberFormat="1" applyFont="1"/>
    <xf numFmtId="202" fontId="172" fillId="0" borderId="15" xfId="148" applyNumberFormat="1" applyFont="1" applyBorder="1"/>
    <xf numFmtId="0" fontId="173" fillId="0" borderId="71" xfId="218" applyFont="1" applyBorder="1" applyAlignment="1">
      <alignment horizontal="left"/>
    </xf>
    <xf numFmtId="0" fontId="173" fillId="0" borderId="6" xfId="218" applyFont="1" applyBorder="1" applyAlignment="1">
      <alignment horizontal="centerContinuous"/>
    </xf>
    <xf numFmtId="202" fontId="173" fillId="0" borderId="92" xfId="148" applyNumberFormat="1" applyFont="1" applyBorder="1"/>
    <xf numFmtId="0" fontId="174" fillId="0" borderId="9" xfId="218" applyFont="1" applyBorder="1"/>
    <xf numFmtId="0" fontId="174" fillId="0" borderId="0" xfId="218" applyFont="1"/>
    <xf numFmtId="37" fontId="174" fillId="0" borderId="0" xfId="218" applyNumberFormat="1" applyFont="1"/>
    <xf numFmtId="37" fontId="172" fillId="0" borderId="0" xfId="218" applyNumberFormat="1" applyFont="1"/>
    <xf numFmtId="0" fontId="172" fillId="0" borderId="116" xfId="218" applyFont="1" applyBorder="1"/>
    <xf numFmtId="37" fontId="172" fillId="0" borderId="93" xfId="218" applyNumberFormat="1" applyFont="1" applyBorder="1"/>
    <xf numFmtId="0" fontId="173" fillId="0" borderId="9" xfId="218" applyFont="1" applyBorder="1" applyAlignment="1">
      <alignment horizontal="centerContinuous"/>
    </xf>
    <xf numFmtId="0" fontId="173" fillId="0" borderId="0" xfId="218" applyFont="1" applyAlignment="1">
      <alignment horizontal="centerContinuous"/>
    </xf>
    <xf numFmtId="37" fontId="173" fillId="0" borderId="13" xfId="218" applyNumberFormat="1" applyFont="1" applyBorder="1"/>
    <xf numFmtId="37" fontId="173" fillId="0" borderId="115" xfId="218" applyNumberFormat="1" applyFont="1" applyBorder="1"/>
    <xf numFmtId="37" fontId="172" fillId="0" borderId="13" xfId="218" applyNumberFormat="1" applyFont="1" applyBorder="1"/>
    <xf numFmtId="202" fontId="48" fillId="0" borderId="9" xfId="148" applyNumberFormat="1" applyFont="1" applyBorder="1"/>
    <xf numFmtId="202" fontId="48" fillId="0" borderId="0" xfId="148" applyNumberFormat="1" applyFont="1"/>
    <xf numFmtId="202" fontId="48" fillId="0" borderId="9" xfId="148" applyNumberFormat="1" applyFont="1" applyBorder="1" applyAlignment="1">
      <alignment horizontal="left"/>
    </xf>
    <xf numFmtId="202" fontId="173" fillId="0" borderId="0" xfId="148" applyNumberFormat="1" applyFont="1" applyAlignment="1">
      <alignment horizontal="center"/>
    </xf>
    <xf numFmtId="0" fontId="172" fillId="0" borderId="0" xfId="218" applyFont="1" applyAlignment="1">
      <alignment horizontal="left" vertical="top"/>
    </xf>
    <xf numFmtId="0" fontId="173" fillId="0" borderId="0" xfId="218" applyFont="1" applyAlignment="1">
      <alignment horizontal="center"/>
    </xf>
    <xf numFmtId="204" fontId="173" fillId="0" borderId="0" xfId="148" applyNumberFormat="1" applyFont="1" applyAlignment="1">
      <alignment horizontal="center"/>
    </xf>
    <xf numFmtId="0" fontId="173" fillId="0" borderId="93" xfId="148" applyNumberFormat="1" applyFont="1" applyBorder="1" applyAlignment="1">
      <alignment horizontal="center"/>
    </xf>
    <xf numFmtId="0" fontId="173" fillId="0" borderId="0" xfId="148" applyNumberFormat="1" applyFont="1" applyAlignment="1">
      <alignment horizontal="center"/>
    </xf>
    <xf numFmtId="0" fontId="172" fillId="0" borderId="32" xfId="218" applyFont="1" applyBorder="1" applyAlignment="1">
      <alignment horizontal="center"/>
    </xf>
    <xf numFmtId="0" fontId="172" fillId="0" borderId="33" xfId="218" applyFont="1" applyBorder="1" applyAlignment="1">
      <alignment horizontal="center"/>
    </xf>
    <xf numFmtId="0" fontId="173" fillId="0" borderId="33" xfId="148" applyNumberFormat="1" applyFont="1" applyBorder="1" applyAlignment="1">
      <alignment horizontal="center"/>
    </xf>
    <xf numFmtId="0" fontId="173" fillId="0" borderId="48" xfId="148" applyNumberFormat="1" applyFont="1" applyBorder="1" applyAlignment="1">
      <alignment horizontal="center"/>
    </xf>
    <xf numFmtId="176" fontId="0" fillId="19" borderId="7" xfId="0" applyFont="1" applyFill="1" applyBorder="1" applyAlignment="1">
      <alignment horizontal="left"/>
    </xf>
    <xf numFmtId="204" fontId="0" fillId="19" borderId="10" xfId="0" applyNumberFormat="1" applyFont="1" applyFill="1" applyBorder="1" applyAlignment="1">
      <alignment horizontal="left" vertical="center"/>
    </xf>
    <xf numFmtId="0" fontId="0" fillId="19" borderId="13" xfId="1" applyNumberFormat="1" applyFont="1" applyFill="1" applyBorder="1" applyAlignment="1">
      <alignment horizontal="left"/>
    </xf>
    <xf numFmtId="202" fontId="172" fillId="0" borderId="0" xfId="218" applyNumberFormat="1" applyFont="1"/>
    <xf numFmtId="0" fontId="48" fillId="0" borderId="20" xfId="218" applyFont="1" applyBorder="1" applyAlignment="1">
      <alignment horizontal="left"/>
    </xf>
    <xf numFmtId="202" fontId="172" fillId="0" borderId="21" xfId="148" applyNumberFormat="1" applyFont="1" applyBorder="1"/>
    <xf numFmtId="37" fontId="48" fillId="0" borderId="0" xfId="218" applyNumberFormat="1" applyFont="1"/>
    <xf numFmtId="0" fontId="172" fillId="0" borderId="20" xfId="218" applyFont="1" applyBorder="1"/>
    <xf numFmtId="0" fontId="175" fillId="0" borderId="20" xfId="218" applyFont="1" applyBorder="1" applyAlignment="1">
      <alignment horizontal="left"/>
    </xf>
    <xf numFmtId="0" fontId="176" fillId="0" borderId="0" xfId="218" applyFont="1"/>
    <xf numFmtId="0" fontId="50" fillId="0" borderId="20" xfId="218" applyFont="1" applyBorder="1" applyAlignment="1">
      <alignment horizontal="left"/>
    </xf>
    <xf numFmtId="202" fontId="173" fillId="0" borderId="6" xfId="148" applyNumberFormat="1" applyFont="1" applyBorder="1"/>
    <xf numFmtId="202" fontId="173" fillId="0" borderId="119" xfId="148" applyNumberFormat="1" applyFont="1" applyBorder="1"/>
    <xf numFmtId="0" fontId="50" fillId="0" borderId="20" xfId="218" applyFont="1" applyBorder="1"/>
    <xf numFmtId="202" fontId="48" fillId="0" borderId="20" xfId="148" applyNumberFormat="1" applyFont="1" applyBorder="1"/>
    <xf numFmtId="202" fontId="173" fillId="0" borderId="21" xfId="148" applyNumberFormat="1" applyFont="1" applyBorder="1"/>
    <xf numFmtId="0" fontId="48" fillId="0" borderId="20" xfId="218" applyFont="1" applyBorder="1"/>
    <xf numFmtId="0" fontId="50" fillId="0" borderId="44" xfId="218" applyFont="1" applyBorder="1"/>
    <xf numFmtId="0" fontId="172" fillId="0" borderId="45" xfId="218" applyFont="1" applyBorder="1"/>
    <xf numFmtId="202" fontId="173" fillId="0" borderId="62" xfId="148" applyNumberFormat="1" applyFont="1" applyBorder="1"/>
    <xf numFmtId="202" fontId="173" fillId="0" borderId="97" xfId="148" applyNumberFormat="1" applyFont="1" applyBorder="1"/>
    <xf numFmtId="41" fontId="172" fillId="0" borderId="0" xfId="4" applyFont="1"/>
    <xf numFmtId="41" fontId="172" fillId="0" borderId="0" xfId="218" applyNumberFormat="1" applyFont="1"/>
    <xf numFmtId="0" fontId="0" fillId="0" borderId="0" xfId="0" applyNumberFormat="1" applyFont="1" applyAlignment="1">
      <alignment horizontal="center" vertical="top"/>
    </xf>
    <xf numFmtId="176" fontId="102" fillId="0" borderId="7" xfId="0" applyFont="1" applyBorder="1" applyAlignment="1"/>
    <xf numFmtId="176" fontId="102" fillId="0" borderId="8" xfId="0" applyFont="1" applyBorder="1" applyAlignment="1"/>
    <xf numFmtId="0" fontId="177" fillId="0" borderId="4" xfId="0" applyNumberFormat="1" applyFont="1" applyBorder="1" applyAlignment="1">
      <alignment horizontal="center"/>
    </xf>
    <xf numFmtId="176" fontId="102" fillId="0" borderId="17" xfId="0" applyFont="1" applyBorder="1" applyAlignment="1"/>
    <xf numFmtId="176" fontId="102" fillId="0" borderId="19" xfId="0" applyFont="1" applyBorder="1" applyAlignment="1"/>
    <xf numFmtId="176" fontId="102" fillId="0" borderId="4" xfId="0" applyFont="1" applyBorder="1" applyAlignment="1"/>
    <xf numFmtId="176" fontId="103" fillId="0" borderId="17" xfId="0" applyFont="1" applyBorder="1" applyAlignment="1"/>
    <xf numFmtId="176" fontId="103" fillId="0" borderId="19" xfId="0" applyFont="1" applyBorder="1" applyAlignment="1"/>
    <xf numFmtId="202" fontId="103" fillId="0" borderId="4" xfId="128" applyNumberFormat="1" applyFont="1" applyBorder="1"/>
    <xf numFmtId="202" fontId="102" fillId="0" borderId="4" xfId="128" applyNumberFormat="1" applyFont="1" applyBorder="1"/>
    <xf numFmtId="176" fontId="102" fillId="0" borderId="18" xfId="0" applyFont="1" applyBorder="1" applyAlignment="1"/>
    <xf numFmtId="176" fontId="102" fillId="0" borderId="9" xfId="0" applyFont="1" applyBorder="1" applyAlignment="1"/>
    <xf numFmtId="176" fontId="102" fillId="0" borderId="5" xfId="0" applyFont="1" applyBorder="1" applyAlignment="1"/>
    <xf numFmtId="176" fontId="102" fillId="0" borderId="0" xfId="0" applyFont="1" applyBorder="1" applyAlignment="1"/>
    <xf numFmtId="176" fontId="102" fillId="0" borderId="10" xfId="0" applyFont="1" applyBorder="1" applyAlignment="1"/>
    <xf numFmtId="202" fontId="103" fillId="0" borderId="0" xfId="0" applyNumberFormat="1" applyFont="1" applyAlignment="1"/>
    <xf numFmtId="202" fontId="102" fillId="0" borderId="19" xfId="0" applyNumberFormat="1" applyFont="1" applyBorder="1" applyAlignment="1"/>
    <xf numFmtId="176" fontId="103" fillId="0" borderId="7" xfId="0" applyFont="1" applyBorder="1" applyAlignment="1"/>
    <xf numFmtId="176" fontId="103" fillId="0" borderId="8" xfId="0" applyFont="1" applyBorder="1" applyAlignment="1"/>
    <xf numFmtId="202" fontId="103" fillId="0" borderId="18" xfId="0" applyNumberFormat="1" applyFont="1" applyBorder="1" applyAlignment="1"/>
    <xf numFmtId="176" fontId="103" fillId="0" borderId="18" xfId="0" applyFont="1" applyBorder="1" applyAlignment="1"/>
    <xf numFmtId="202" fontId="102" fillId="0" borderId="18" xfId="0" applyNumberFormat="1" applyFont="1" applyBorder="1" applyAlignment="1"/>
    <xf numFmtId="176" fontId="102" fillId="0" borderId="4" xfId="0" applyFont="1" applyBorder="1" applyAlignment="1">
      <alignment horizontal="center"/>
    </xf>
    <xf numFmtId="176" fontId="103" fillId="0" borderId="4" xfId="0" applyFont="1" applyBorder="1" applyAlignment="1"/>
    <xf numFmtId="41" fontId="103" fillId="0" borderId="0" xfId="110" applyFont="1"/>
    <xf numFmtId="41" fontId="102" fillId="0" borderId="4" xfId="4" applyFont="1" applyBorder="1" applyAlignment="1"/>
    <xf numFmtId="41" fontId="103" fillId="0" borderId="0" xfId="4" applyFont="1" applyAlignment="1"/>
    <xf numFmtId="176" fontId="103" fillId="0" borderId="0" xfId="0" applyFont="1" applyBorder="1" applyAlignment="1"/>
    <xf numFmtId="176" fontId="103" fillId="0" borderId="5" xfId="0" applyFont="1" applyBorder="1" applyAlignment="1"/>
    <xf numFmtId="176" fontId="103" fillId="0" borderId="16" xfId="0" applyFont="1" applyBorder="1" applyAlignment="1"/>
    <xf numFmtId="202" fontId="103" fillId="0" borderId="4" xfId="0" applyNumberFormat="1" applyFont="1" applyBorder="1" applyAlignment="1"/>
    <xf numFmtId="202" fontId="103" fillId="0" borderId="0" xfId="0" applyNumberFormat="1" applyFont="1" applyBorder="1" applyAlignment="1"/>
    <xf numFmtId="202" fontId="102" fillId="0" borderId="4" xfId="0" applyNumberFormat="1" applyFont="1" applyBorder="1" applyAlignment="1"/>
    <xf numFmtId="202" fontId="102" fillId="0" borderId="11" xfId="0" applyNumberFormat="1" applyFont="1" applyBorder="1" applyAlignment="1"/>
    <xf numFmtId="176" fontId="103" fillId="0" borderId="10" xfId="0" applyFont="1" applyBorder="1" applyAlignment="1"/>
    <xf numFmtId="176" fontId="177" fillId="0" borderId="0" xfId="0" applyFont="1" applyAlignment="1"/>
    <xf numFmtId="0" fontId="102" fillId="0" borderId="0" xfId="0" applyNumberFormat="1" applyFont="1" applyAlignment="1">
      <alignment horizontal="center"/>
    </xf>
    <xf numFmtId="41" fontId="102" fillId="0" borderId="19" xfId="0" applyNumberFormat="1" applyFont="1" applyBorder="1" applyAlignment="1"/>
    <xf numFmtId="0" fontId="103" fillId="0" borderId="0" xfId="102" applyNumberFormat="1" applyFont="1" applyAlignment="1">
      <alignment vertical="center"/>
    </xf>
    <xf numFmtId="202" fontId="102" fillId="0" borderId="0" xfId="0" applyNumberFormat="1" applyFont="1" applyBorder="1" applyAlignment="1"/>
    <xf numFmtId="176" fontId="102" fillId="0" borderId="0" xfId="0" applyFont="1" applyAlignment="1">
      <alignment horizontal="center"/>
    </xf>
    <xf numFmtId="41" fontId="103" fillId="0" borderId="0" xfId="0" applyNumberFormat="1" applyFont="1" applyAlignment="1"/>
    <xf numFmtId="41" fontId="103" fillId="2" borderId="0" xfId="0" applyNumberFormat="1" applyFont="1" applyFill="1" applyAlignment="1"/>
    <xf numFmtId="176" fontId="103" fillId="0" borderId="0" xfId="0" applyFont="1" applyAlignment="1">
      <alignment horizontal="center"/>
    </xf>
    <xf numFmtId="41" fontId="103" fillId="0" borderId="0" xfId="110" applyFont="1" applyBorder="1" applyAlignment="1"/>
    <xf numFmtId="41" fontId="103" fillId="0" borderId="0" xfId="110" applyFont="1" applyAlignment="1"/>
    <xf numFmtId="202" fontId="103" fillId="0" borderId="5" xfId="0" applyNumberFormat="1" applyFont="1" applyBorder="1" applyAlignment="1"/>
    <xf numFmtId="202" fontId="102" fillId="0" borderId="8" xfId="0" applyNumberFormat="1" applyFont="1" applyBorder="1" applyAlignment="1"/>
    <xf numFmtId="202" fontId="102" fillId="0" borderId="6" xfId="0" applyNumberFormat="1" applyFont="1" applyBorder="1" applyAlignment="1"/>
    <xf numFmtId="41" fontId="103" fillId="0" borderId="8" xfId="0" applyNumberFormat="1" applyFont="1" applyBorder="1" applyAlignment="1"/>
    <xf numFmtId="41" fontId="103" fillId="0" borderId="5" xfId="0" applyNumberFormat="1" applyFont="1" applyBorder="1" applyAlignment="1"/>
    <xf numFmtId="176" fontId="5" fillId="0" borderId="0" xfId="216" applyFont="1" applyAlignment="1">
      <alignment horizontal="center" vertical="top"/>
    </xf>
    <xf numFmtId="176" fontId="178" fillId="0" borderId="0" xfId="216" applyFont="1">
      <alignment vertical="top"/>
    </xf>
    <xf numFmtId="176" fontId="0" fillId="0" borderId="120" xfId="216" applyFont="1" applyBorder="1">
      <alignment vertical="top"/>
    </xf>
    <xf numFmtId="176" fontId="70" fillId="0" borderId="0" xfId="216" applyFont="1">
      <alignment vertical="top"/>
    </xf>
    <xf numFmtId="176" fontId="164" fillId="0" borderId="5" xfId="256" applyNumberFormat="1" applyFont="1" applyBorder="1" applyAlignment="1">
      <alignment horizontal="center" vertical="center" textRotation="90" wrapText="1"/>
    </xf>
    <xf numFmtId="176" fontId="165" fillId="0" borderId="5" xfId="256" applyNumberFormat="1" applyFont="1" applyBorder="1" applyAlignment="1">
      <alignment vertical="top"/>
    </xf>
    <xf numFmtId="176" fontId="13" fillId="0" borderId="0" xfId="216">
      <alignment vertical="top"/>
    </xf>
    <xf numFmtId="176" fontId="179" fillId="0" borderId="0" xfId="216" applyFont="1" applyAlignment="1">
      <alignment horizontal="center"/>
    </xf>
    <xf numFmtId="176" fontId="180" fillId="0" borderId="0" xfId="216" applyFont="1" applyAlignment="1">
      <alignment horizontal="center"/>
    </xf>
    <xf numFmtId="176" fontId="181" fillId="0" borderId="0" xfId="216" applyFont="1" applyAlignment="1">
      <alignment horizontal="center"/>
    </xf>
    <xf numFmtId="176" fontId="182" fillId="0" borderId="0" xfId="216" applyFont="1" applyAlignment="1">
      <alignment horizontal="center"/>
    </xf>
    <xf numFmtId="176" fontId="183" fillId="0" borderId="0" xfId="216" applyFont="1" applyAlignment="1">
      <alignment horizontal="center"/>
    </xf>
    <xf numFmtId="176" fontId="84" fillId="0" borderId="4" xfId="256" applyNumberFormat="1" applyFont="1" applyBorder="1" applyAlignment="1">
      <alignment horizontal="center" vertical="center" textRotation="90" wrapText="1"/>
    </xf>
    <xf numFmtId="176" fontId="184" fillId="0" borderId="4" xfId="256" applyNumberFormat="1" applyFont="1" applyBorder="1" applyAlignment="1">
      <alignment vertical="top"/>
    </xf>
    <xf numFmtId="176" fontId="185" fillId="0" borderId="7" xfId="0" applyFont="1" applyBorder="1" applyAlignment="1">
      <alignment horizontal="center"/>
    </xf>
    <xf numFmtId="176" fontId="185" fillId="0" borderId="8" xfId="0" applyFont="1" applyBorder="1" applyAlignment="1">
      <alignment horizontal="center"/>
    </xf>
    <xf numFmtId="176" fontId="96" fillId="0" borderId="9" xfId="0" applyFont="1" applyBorder="1">
      <alignment vertical="top"/>
    </xf>
    <xf numFmtId="176" fontId="96" fillId="0" borderId="0" xfId="0" applyFont="1" applyBorder="1">
      <alignment vertical="top"/>
    </xf>
    <xf numFmtId="176" fontId="96" fillId="0" borderId="0" xfId="0" applyFont="1" applyBorder="1" applyAlignment="1">
      <alignment horizontal="center"/>
    </xf>
    <xf numFmtId="176" fontId="96" fillId="42" borderId="5" xfId="0" applyFont="1" applyFill="1" applyBorder="1" applyAlignment="1">
      <alignment horizontal="left"/>
    </xf>
    <xf numFmtId="176" fontId="96" fillId="42" borderId="5" xfId="0" applyFont="1" applyFill="1" applyBorder="1" applyAlignment="1"/>
    <xf numFmtId="176" fontId="96" fillId="0" borderId="9" xfId="0" applyFont="1" applyBorder="1" applyAlignment="1">
      <alignment horizontal="left"/>
    </xf>
    <xf numFmtId="176" fontId="96" fillId="0" borderId="10" xfId="0" applyFont="1" applyBorder="1">
      <alignment vertical="top"/>
    </xf>
    <xf numFmtId="176" fontId="96" fillId="0" borderId="5" xfId="0" applyFont="1" applyBorder="1">
      <alignment vertical="top"/>
    </xf>
    <xf numFmtId="176" fontId="152" fillId="0" borderId="0" xfId="0" applyFont="1">
      <alignment vertical="top"/>
    </xf>
    <xf numFmtId="176" fontId="186" fillId="0" borderId="0" xfId="0" applyFont="1">
      <alignment vertical="top"/>
    </xf>
    <xf numFmtId="176" fontId="96" fillId="0" borderId="0" xfId="0" applyFont="1" applyAlignment="1">
      <alignment horizontal="left"/>
    </xf>
    <xf numFmtId="176" fontId="95" fillId="42" borderId="4" xfId="0" applyFont="1" applyFill="1" applyBorder="1" applyAlignment="1">
      <alignment horizontal="center"/>
    </xf>
    <xf numFmtId="202" fontId="95" fillId="42" borderId="17" xfId="1" applyNumberFormat="1" applyFont="1" applyFill="1" applyBorder="1" applyAlignment="1">
      <alignment horizontal="center"/>
    </xf>
    <xf numFmtId="202" fontId="95" fillId="42" borderId="19" xfId="1" applyNumberFormat="1" applyFont="1" applyFill="1" applyBorder="1" applyAlignment="1">
      <alignment horizontal="center"/>
    </xf>
    <xf numFmtId="202" fontId="95" fillId="42" borderId="18" xfId="1" applyNumberFormat="1" applyFont="1" applyFill="1" applyBorder="1" applyAlignment="1">
      <alignment horizontal="center"/>
    </xf>
    <xf numFmtId="176" fontId="187" fillId="0" borderId="0" xfId="0" applyFont="1">
      <alignment vertical="top"/>
    </xf>
    <xf numFmtId="176" fontId="7" fillId="42" borderId="4" xfId="0" applyFont="1" applyFill="1" applyBorder="1" applyAlignment="1">
      <alignment horizontal="center"/>
    </xf>
    <xf numFmtId="176" fontId="96" fillId="42" borderId="17" xfId="0" applyFont="1" applyFill="1" applyBorder="1" applyAlignment="1">
      <alignment horizontal="left" vertical="top" wrapText="1"/>
    </xf>
    <xf numFmtId="176" fontId="96" fillId="0" borderId="19" xfId="0" applyFont="1" applyBorder="1" applyAlignment="1">
      <alignment vertical="top" wrapText="1"/>
    </xf>
    <xf numFmtId="176" fontId="96" fillId="42" borderId="17" xfId="0" applyFont="1" applyFill="1" applyBorder="1" applyAlignment="1">
      <alignment vertical="top" wrapText="1"/>
    </xf>
    <xf numFmtId="10" fontId="95" fillId="42" borderId="17" xfId="3" applyNumberFormat="1" applyFont="1" applyFill="1" applyBorder="1" applyAlignment="1">
      <alignment horizontal="center"/>
    </xf>
    <xf numFmtId="10" fontId="95" fillId="42" borderId="19" xfId="3" applyNumberFormat="1" applyFont="1" applyFill="1" applyBorder="1" applyAlignment="1">
      <alignment horizontal="center"/>
    </xf>
    <xf numFmtId="10" fontId="95" fillId="42" borderId="18" xfId="3" applyNumberFormat="1" applyFont="1" applyFill="1" applyBorder="1" applyAlignment="1">
      <alignment horizontal="center"/>
    </xf>
    <xf numFmtId="176" fontId="186" fillId="0" borderId="0" xfId="0" applyFont="1" applyAlignment="1">
      <alignment horizontal="center"/>
    </xf>
    <xf numFmtId="202" fontId="94" fillId="40" borderId="17" xfId="1" applyNumberFormat="1" applyFont="1" applyFill="1" applyBorder="1" applyAlignment="1">
      <alignment horizontal="center"/>
    </xf>
    <xf numFmtId="202" fontId="94" fillId="40" borderId="19" xfId="1" applyNumberFormat="1" applyFont="1" applyFill="1" applyBorder="1" applyAlignment="1">
      <alignment horizontal="center"/>
    </xf>
    <xf numFmtId="202" fontId="94" fillId="40" borderId="18" xfId="1" applyNumberFormat="1" applyFont="1" applyFill="1" applyBorder="1" applyAlignment="1">
      <alignment horizontal="center"/>
    </xf>
    <xf numFmtId="210" fontId="94" fillId="40" borderId="17" xfId="0" applyNumberFormat="1" applyFont="1" applyFill="1" applyBorder="1" applyAlignment="1">
      <alignment horizontal="center"/>
    </xf>
    <xf numFmtId="176" fontId="185" fillId="0" borderId="12" xfId="0" applyFont="1" applyBorder="1" applyAlignment="1">
      <alignment horizontal="center"/>
    </xf>
    <xf numFmtId="176" fontId="96" fillId="73" borderId="0" xfId="0" applyFont="1" applyFill="1">
      <alignment vertical="top"/>
    </xf>
    <xf numFmtId="176" fontId="96" fillId="0" borderId="14" xfId="0" applyFont="1" applyBorder="1">
      <alignment vertical="top"/>
    </xf>
    <xf numFmtId="176" fontId="96" fillId="0" borderId="0" xfId="0" applyFont="1" applyBorder="1" applyAlignment="1">
      <alignment horizontal="right"/>
    </xf>
    <xf numFmtId="211" fontId="96" fillId="42" borderId="16" xfId="0" applyNumberFormat="1" applyFont="1" applyFill="1" applyBorder="1" applyAlignment="1">
      <alignment horizontal="center"/>
    </xf>
    <xf numFmtId="211" fontId="96" fillId="42" borderId="16" xfId="0" applyNumberFormat="1" applyFont="1" applyFill="1" applyBorder="1" applyAlignment="1"/>
    <xf numFmtId="176" fontId="96" fillId="0" borderId="16" xfId="0" applyFont="1" applyBorder="1">
      <alignment vertical="top"/>
    </xf>
    <xf numFmtId="176" fontId="96" fillId="0" borderId="5" xfId="0" applyFont="1" applyBorder="1" applyAlignment="1">
      <alignment horizontal="center"/>
    </xf>
    <xf numFmtId="176" fontId="96" fillId="0" borderId="0" xfId="0" applyFont="1" applyAlignment="1">
      <alignment horizontal="right"/>
    </xf>
    <xf numFmtId="176" fontId="96" fillId="0" borderId="18" xfId="0" applyFont="1" applyBorder="1" applyAlignment="1">
      <alignment vertical="top" wrapText="1"/>
    </xf>
    <xf numFmtId="210" fontId="94" fillId="40" borderId="19" xfId="0" applyNumberFormat="1" applyFont="1" applyFill="1" applyBorder="1" applyAlignment="1">
      <alignment horizontal="center"/>
    </xf>
    <xf numFmtId="210" fontId="94" fillId="40" borderId="18" xfId="0" applyNumberFormat="1" applyFont="1" applyFill="1" applyBorder="1" applyAlignment="1">
      <alignment horizontal="center"/>
    </xf>
    <xf numFmtId="202" fontId="94" fillId="40" borderId="4" xfId="1" applyNumberFormat="1" applyFont="1" applyFill="1" applyBorder="1" applyAlignment="1">
      <alignment horizontal="center"/>
    </xf>
    <xf numFmtId="202" fontId="96" fillId="0" borderId="0" xfId="1" applyNumberFormat="1" applyFont="1"/>
    <xf numFmtId="176" fontId="186" fillId="0" borderId="0" xfId="0" applyFont="1" applyAlignment="1">
      <alignment horizontal="left"/>
    </xf>
    <xf numFmtId="176" fontId="95" fillId="42" borderId="17" xfId="0" applyFont="1" applyFill="1" applyBorder="1" applyAlignment="1">
      <alignment horizontal="center"/>
    </xf>
    <xf numFmtId="176" fontId="95" fillId="42" borderId="19" xfId="0" applyFont="1" applyFill="1" applyBorder="1" applyAlignment="1">
      <alignment horizontal="center"/>
    </xf>
    <xf numFmtId="176" fontId="95" fillId="42" borderId="18" xfId="0" applyFont="1" applyFill="1" applyBorder="1" applyAlignment="1">
      <alignment horizontal="center"/>
    </xf>
    <xf numFmtId="176" fontId="95" fillId="0" borderId="0" xfId="0" applyFont="1" applyAlignment="1">
      <alignment horizontal="center"/>
    </xf>
    <xf numFmtId="176" fontId="94" fillId="40" borderId="17" xfId="0" applyFont="1" applyFill="1" applyBorder="1" applyAlignment="1">
      <alignment horizontal="center"/>
    </xf>
    <xf numFmtId="176" fontId="94" fillId="40" borderId="19" xfId="0" applyFont="1" applyFill="1" applyBorder="1" applyAlignment="1">
      <alignment horizontal="center"/>
    </xf>
    <xf numFmtId="176" fontId="94" fillId="40" borderId="18" xfId="0" applyFont="1" applyFill="1" applyBorder="1" applyAlignment="1">
      <alignment horizontal="center"/>
    </xf>
    <xf numFmtId="38" fontId="94" fillId="40" borderId="17" xfId="0" applyNumberFormat="1" applyFont="1" applyFill="1" applyBorder="1" applyAlignment="1">
      <alignment horizontal="center"/>
    </xf>
    <xf numFmtId="176" fontId="96" fillId="51" borderId="7" xfId="0" applyFont="1" applyFill="1" applyBorder="1" applyAlignment="1">
      <alignment horizontal="center"/>
    </xf>
    <xf numFmtId="176" fontId="96" fillId="51" borderId="8" xfId="0" applyFont="1" applyFill="1" applyBorder="1" applyAlignment="1">
      <alignment horizontal="center"/>
    </xf>
    <xf numFmtId="176" fontId="96" fillId="51" borderId="12" xfId="0" applyFont="1" applyFill="1" applyBorder="1" applyAlignment="1">
      <alignment horizontal="center"/>
    </xf>
    <xf numFmtId="176" fontId="96" fillId="51" borderId="9" xfId="0" applyFont="1" applyFill="1" applyBorder="1" applyAlignment="1">
      <alignment horizontal="center"/>
    </xf>
    <xf numFmtId="176" fontId="96" fillId="51" borderId="0" xfId="0" applyFont="1" applyFill="1" applyAlignment="1">
      <alignment horizontal="center"/>
    </xf>
    <xf numFmtId="176" fontId="96" fillId="51" borderId="14" xfId="0" applyFont="1" applyFill="1" applyBorder="1" applyAlignment="1">
      <alignment horizontal="center"/>
    </xf>
    <xf numFmtId="176" fontId="186" fillId="51" borderId="10" xfId="0" applyFont="1" applyFill="1" applyBorder="1" applyAlignment="1">
      <alignment horizontal="center"/>
    </xf>
    <xf numFmtId="176" fontId="96" fillId="51" borderId="5" xfId="0" applyFont="1" applyFill="1" applyBorder="1" applyAlignment="1">
      <alignment horizontal="center"/>
    </xf>
    <xf numFmtId="176" fontId="96" fillId="51" borderId="16" xfId="0" applyFont="1" applyFill="1" applyBorder="1" applyAlignment="1">
      <alignment horizontal="center"/>
    </xf>
    <xf numFmtId="176" fontId="96" fillId="0" borderId="7" xfId="0" applyFont="1" applyBorder="1">
      <alignment vertical="top"/>
    </xf>
    <xf numFmtId="176" fontId="96" fillId="0" borderId="8" xfId="0" applyFont="1" applyBorder="1">
      <alignment vertical="top"/>
    </xf>
    <xf numFmtId="176" fontId="96" fillId="0" borderId="12" xfId="0" applyFont="1" applyBorder="1">
      <alignment vertical="top"/>
    </xf>
    <xf numFmtId="176" fontId="96" fillId="0" borderId="14" xfId="0" applyFont="1" applyBorder="1" applyAlignment="1">
      <alignment horizontal="left"/>
    </xf>
    <xf numFmtId="176" fontId="96" fillId="0" borderId="9" xfId="0" applyFont="1" applyBorder="1" applyAlignment="1">
      <alignment horizontal="center"/>
    </xf>
    <xf numFmtId="9" fontId="95" fillId="42" borderId="17" xfId="0" applyNumberFormat="1" applyFont="1" applyFill="1" applyBorder="1" applyAlignment="1">
      <alignment horizontal="center"/>
    </xf>
    <xf numFmtId="9" fontId="95" fillId="42" borderId="19" xfId="0" applyNumberFormat="1" applyFont="1" applyFill="1" applyBorder="1" applyAlignment="1">
      <alignment horizontal="center"/>
    </xf>
    <xf numFmtId="9" fontId="95" fillId="42" borderId="18" xfId="0" applyNumberFormat="1" applyFont="1" applyFill="1" applyBorder="1" applyAlignment="1">
      <alignment horizontal="center"/>
    </xf>
    <xf numFmtId="176" fontId="152" fillId="0" borderId="0" xfId="0" applyFont="1" applyAlignment="1">
      <alignment horizontal="left"/>
    </xf>
    <xf numFmtId="38" fontId="95" fillId="42" borderId="17" xfId="0" applyNumberFormat="1" applyFont="1" applyFill="1" applyBorder="1" applyAlignment="1">
      <alignment horizontal="center"/>
    </xf>
    <xf numFmtId="38" fontId="95" fillId="42" borderId="19" xfId="0" applyNumberFormat="1" applyFont="1" applyFill="1" applyBorder="1" applyAlignment="1">
      <alignment horizontal="center"/>
    </xf>
    <xf numFmtId="38" fontId="95" fillId="42" borderId="18" xfId="0" applyNumberFormat="1" applyFont="1" applyFill="1" applyBorder="1" applyAlignment="1">
      <alignment horizontal="center"/>
    </xf>
    <xf numFmtId="38" fontId="94" fillId="40" borderId="19" xfId="0" applyNumberFormat="1" applyFont="1" applyFill="1" applyBorder="1" applyAlignment="1">
      <alignment horizontal="center"/>
    </xf>
    <xf numFmtId="38" fontId="94" fillId="40" borderId="18" xfId="0" applyNumberFormat="1" applyFont="1" applyFill="1" applyBorder="1" applyAlignment="1">
      <alignment horizontal="center"/>
    </xf>
    <xf numFmtId="9" fontId="94" fillId="40" borderId="4" xfId="0" applyNumberFormat="1" applyFont="1" applyFill="1" applyBorder="1" applyAlignment="1">
      <alignment horizontal="center"/>
    </xf>
    <xf numFmtId="176" fontId="96" fillId="51" borderId="11" xfId="0" applyFont="1" applyFill="1" applyBorder="1" applyAlignment="1">
      <alignment horizontal="center"/>
    </xf>
    <xf numFmtId="176" fontId="96" fillId="51" borderId="13" xfId="0" applyFont="1" applyFill="1" applyBorder="1" applyAlignment="1">
      <alignment horizontal="center"/>
    </xf>
    <xf numFmtId="176" fontId="96" fillId="51" borderId="15" xfId="0" applyFont="1" applyFill="1" applyBorder="1" applyAlignment="1">
      <alignment horizontal="center"/>
    </xf>
    <xf numFmtId="176" fontId="96" fillId="0" borderId="11" xfId="0" applyFont="1" applyBorder="1">
      <alignment vertical="top"/>
    </xf>
    <xf numFmtId="176" fontId="96" fillId="0" borderId="14" xfId="0" applyFont="1" applyBorder="1" applyAlignment="1">
      <alignment horizontal="center"/>
    </xf>
    <xf numFmtId="176" fontId="96" fillId="0" borderId="13" xfId="0" applyFont="1" applyBorder="1" applyAlignment="1">
      <alignment horizontal="center"/>
    </xf>
    <xf numFmtId="176" fontId="96" fillId="0" borderId="15" xfId="0" applyFont="1" applyBorder="1">
      <alignment vertical="top"/>
    </xf>
    <xf numFmtId="176" fontId="96" fillId="0" borderId="13" xfId="0" applyFont="1" applyBorder="1">
      <alignment vertical="top"/>
    </xf>
    <xf numFmtId="38" fontId="94" fillId="40" borderId="4" xfId="0" applyNumberFormat="1" applyFont="1" applyFill="1" applyBorder="1" applyAlignment="1">
      <alignment horizontal="center"/>
    </xf>
    <xf numFmtId="0" fontId="8" fillId="0" borderId="0" xfId="224" applyFont="1"/>
    <xf numFmtId="0" fontId="188" fillId="0" borderId="0" xfId="224"/>
    <xf numFmtId="183" fontId="0" fillId="0" borderId="0" xfId="113" applyFont="1"/>
    <xf numFmtId="0" fontId="8" fillId="0" borderId="4" xfId="224" applyFont="1" applyBorder="1" applyAlignment="1">
      <alignment horizontal="center" vertical="center" wrapText="1"/>
    </xf>
    <xf numFmtId="0" fontId="8" fillId="0" borderId="4" xfId="224" applyFont="1" applyBorder="1" applyAlignment="1">
      <alignment horizontal="center"/>
    </xf>
    <xf numFmtId="0" fontId="8" fillId="0" borderId="0" xfId="224" applyFont="1" applyAlignment="1">
      <alignment horizontal="center" vertical="center" wrapText="1"/>
    </xf>
    <xf numFmtId="0" fontId="188" fillId="0" borderId="4" xfId="224" applyBorder="1"/>
    <xf numFmtId="0" fontId="188" fillId="0" borderId="4" xfId="224" applyBorder="1" applyAlignment="1">
      <alignment horizontal="center"/>
    </xf>
    <xf numFmtId="212" fontId="188" fillId="0" borderId="4" xfId="224" applyNumberFormat="1" applyBorder="1" applyAlignment="1">
      <alignment horizontal="center"/>
    </xf>
    <xf numFmtId="202" fontId="0" fillId="0" borderId="4" xfId="174" applyNumberFormat="1" applyFont="1" applyBorder="1"/>
    <xf numFmtId="0" fontId="188" fillId="2" borderId="4" xfId="224" applyFill="1" applyBorder="1"/>
    <xf numFmtId="0" fontId="188" fillId="2" borderId="4" xfId="224" applyFill="1" applyBorder="1" applyAlignment="1">
      <alignment horizontal="center"/>
    </xf>
    <xf numFmtId="212" fontId="188" fillId="2" borderId="4" xfId="224" applyNumberFormat="1" applyFill="1" applyBorder="1" applyAlignment="1">
      <alignment horizontal="center"/>
    </xf>
    <xf numFmtId="202" fontId="0" fillId="2" borderId="4" xfId="174" applyNumberFormat="1" applyFont="1" applyFill="1" applyBorder="1"/>
    <xf numFmtId="0" fontId="188" fillId="2" borderId="0" xfId="224" applyFill="1"/>
    <xf numFmtId="202" fontId="0" fillId="0" borderId="4" xfId="174" applyNumberFormat="1" applyFont="1" applyFill="1" applyBorder="1"/>
    <xf numFmtId="212" fontId="188" fillId="0" borderId="4" xfId="224" applyNumberFormat="1" applyBorder="1" applyAlignment="1">
      <alignment horizontal="center" vertical="center" wrapText="1"/>
    </xf>
    <xf numFmtId="183" fontId="189" fillId="0" borderId="4" xfId="113" applyFont="1" applyBorder="1"/>
    <xf numFmtId="183" fontId="8" fillId="0" borderId="4" xfId="113" applyFont="1" applyBorder="1"/>
    <xf numFmtId="0" fontId="8" fillId="0" borderId="4" xfId="224" applyFont="1" applyBorder="1"/>
    <xf numFmtId="211" fontId="188" fillId="0" borderId="4" xfId="224" applyNumberFormat="1" applyBorder="1" applyAlignment="1">
      <alignment horizontal="center"/>
    </xf>
    <xf numFmtId="0" fontId="8" fillId="0" borderId="11" xfId="224" applyFont="1" applyBorder="1" applyAlignment="1">
      <alignment horizontal="center" vertical="center" wrapText="1"/>
    </xf>
    <xf numFmtId="183" fontId="8" fillId="0" borderId="4" xfId="113" applyFont="1" applyBorder="1" applyAlignment="1">
      <alignment horizontal="center" vertical="center" wrapText="1"/>
    </xf>
    <xf numFmtId="0" fontId="8" fillId="0" borderId="15" xfId="224" applyFont="1" applyBorder="1" applyAlignment="1">
      <alignment horizontal="center" vertical="center" wrapText="1"/>
    </xf>
    <xf numFmtId="183" fontId="0" fillId="0" borderId="4" xfId="113" applyFont="1" applyBorder="1"/>
    <xf numFmtId="210" fontId="188" fillId="0" borderId="4" xfId="284" applyNumberFormat="1" applyBorder="1" applyAlignment="1">
      <alignment horizontal="center"/>
    </xf>
    <xf numFmtId="202" fontId="0" fillId="0" borderId="0" xfId="174" applyNumberFormat="1" applyFont="1"/>
    <xf numFmtId="183" fontId="0" fillId="2" borderId="4" xfId="113" applyFont="1" applyFill="1" applyBorder="1"/>
    <xf numFmtId="210" fontId="188" fillId="2" borderId="4" xfId="284" applyNumberFormat="1" applyFill="1" applyBorder="1" applyAlignment="1">
      <alignment horizontal="center"/>
    </xf>
    <xf numFmtId="202" fontId="0" fillId="2" borderId="0" xfId="174" applyNumberFormat="1" applyFont="1" applyFill="1"/>
    <xf numFmtId="210" fontId="8" fillId="0" borderId="4" xfId="284" applyNumberFormat="1" applyFont="1" applyBorder="1" applyAlignment="1">
      <alignment horizontal="center"/>
    </xf>
    <xf numFmtId="0" fontId="188" fillId="0" borderId="4" xfId="224" applyBorder="1" applyAlignment="1">
      <alignment horizontal="left"/>
    </xf>
    <xf numFmtId="183" fontId="0" fillId="0" borderId="4" xfId="113" applyFont="1" applyFill="1" applyBorder="1"/>
    <xf numFmtId="0" fontId="188" fillId="0" borderId="11" xfId="224" applyBorder="1" applyAlignment="1">
      <alignment horizontal="center"/>
    </xf>
    <xf numFmtId="0" fontId="188" fillId="0" borderId="11" xfId="224" applyBorder="1" applyAlignment="1">
      <alignment horizontal="left"/>
    </xf>
    <xf numFmtId="212" fontId="188" fillId="0" borderId="11" xfId="224" applyNumberFormat="1" applyBorder="1" applyAlignment="1">
      <alignment horizontal="center" vertical="center" wrapText="1"/>
    </xf>
    <xf numFmtId="183" fontId="0" fillId="0" borderId="11" xfId="113" applyFont="1" applyBorder="1"/>
    <xf numFmtId="183" fontId="8" fillId="0" borderId="11" xfId="113" applyFont="1" applyBorder="1"/>
    <xf numFmtId="0" fontId="8" fillId="0" borderId="11" xfId="224" applyFont="1" applyBorder="1" applyAlignment="1">
      <alignment horizontal="center"/>
    </xf>
    <xf numFmtId="0" fontId="8" fillId="0" borderId="4" xfId="224" applyFont="1" applyBorder="1" applyAlignment="1">
      <alignment horizontal="left"/>
    </xf>
    <xf numFmtId="0" fontId="13" fillId="0" borderId="15" xfId="224" applyFont="1" applyBorder="1" applyAlignment="1">
      <alignment horizontal="center"/>
    </xf>
    <xf numFmtId="0" fontId="13" fillId="0" borderId="15" xfId="224" applyFont="1" applyBorder="1" applyAlignment="1">
      <alignment horizontal="left"/>
    </xf>
    <xf numFmtId="206" fontId="13" fillId="0" borderId="15" xfId="224" applyNumberFormat="1" applyFont="1" applyBorder="1"/>
    <xf numFmtId="213" fontId="13" fillId="0" borderId="15" xfId="113" applyNumberFormat="1" applyFont="1" applyBorder="1" applyAlignment="1">
      <alignment horizontal="center" vertical="center" wrapText="1"/>
    </xf>
    <xf numFmtId="0" fontId="13" fillId="0" borderId="4" xfId="224" applyFont="1" applyBorder="1" applyAlignment="1">
      <alignment horizontal="center"/>
    </xf>
    <xf numFmtId="0" fontId="13" fillId="0" borderId="4" xfId="224" applyFont="1" applyBorder="1" applyAlignment="1">
      <alignment horizontal="left"/>
    </xf>
    <xf numFmtId="206" fontId="13" fillId="0" borderId="4" xfId="224" applyNumberFormat="1" applyFont="1" applyBorder="1"/>
    <xf numFmtId="213" fontId="13" fillId="0" borderId="4" xfId="113" applyNumberFormat="1" applyFont="1" applyBorder="1" applyAlignment="1">
      <alignment horizontal="center" vertical="center" wrapText="1"/>
    </xf>
    <xf numFmtId="206" fontId="188" fillId="0" borderId="4" xfId="224" applyNumberFormat="1" applyBorder="1"/>
    <xf numFmtId="213" fontId="0" fillId="0" borderId="4" xfId="113" applyNumberFormat="1" applyFont="1" applyBorder="1"/>
    <xf numFmtId="0" fontId="188" fillId="0" borderId="11" xfId="224" applyBorder="1"/>
    <xf numFmtId="210" fontId="188" fillId="0" borderId="11" xfId="284" applyNumberFormat="1" applyBorder="1" applyAlignment="1">
      <alignment horizontal="center"/>
    </xf>
    <xf numFmtId="202" fontId="0" fillId="0" borderId="11" xfId="174" applyNumberFormat="1" applyFont="1" applyBorder="1"/>
    <xf numFmtId="0" fontId="8" fillId="0" borderId="11" xfId="224" applyFont="1" applyBorder="1"/>
    <xf numFmtId="210" fontId="8" fillId="0" borderId="11" xfId="284" applyNumberFormat="1" applyFont="1" applyBorder="1" applyAlignment="1">
      <alignment horizontal="center"/>
    </xf>
    <xf numFmtId="183" fontId="188" fillId="0" borderId="0" xfId="224" applyNumberFormat="1"/>
    <xf numFmtId="206" fontId="8" fillId="0" borderId="4" xfId="224" applyNumberFormat="1" applyFont="1" applyBorder="1"/>
    <xf numFmtId="213" fontId="8" fillId="0" borderId="4" xfId="113" applyNumberFormat="1" applyFont="1" applyBorder="1"/>
    <xf numFmtId="0" fontId="188" fillId="0" borderId="0" xfId="224" applyAlignment="1">
      <alignment horizontal="center"/>
    </xf>
    <xf numFmtId="0" fontId="188" fillId="0" borderId="0" xfId="224" applyAlignment="1">
      <alignment horizontal="left"/>
    </xf>
    <xf numFmtId="212" fontId="188" fillId="0" borderId="0" xfId="224" applyNumberFormat="1" applyAlignment="1">
      <alignment horizontal="center" vertical="center" wrapText="1"/>
    </xf>
    <xf numFmtId="183" fontId="0" fillId="0" borderId="0" xfId="113" applyFont="1" applyBorder="1"/>
    <xf numFmtId="0" fontId="8" fillId="0" borderId="0" xfId="224" applyFont="1" applyAlignment="1">
      <alignment horizontal="left"/>
    </xf>
    <xf numFmtId="183" fontId="8" fillId="0" borderId="0" xfId="113" applyFont="1" applyBorder="1"/>
    <xf numFmtId="0" fontId="114" fillId="0" borderId="0" xfId="224" applyFont="1"/>
    <xf numFmtId="183" fontId="9" fillId="0" borderId="6" xfId="113" applyFont="1" applyBorder="1"/>
    <xf numFmtId="0" fontId="71" fillId="0" borderId="0" xfId="224" applyFont="1" applyAlignment="1">
      <alignment horizontal="left"/>
    </xf>
    <xf numFmtId="0" fontId="114" fillId="0" borderId="1" xfId="224" applyFont="1" applyBorder="1" applyAlignment="1">
      <alignment horizontal="center"/>
    </xf>
    <xf numFmtId="0" fontId="9" fillId="0" borderId="0" xfId="224" applyFont="1" applyAlignment="1">
      <alignment horizontal="center"/>
    </xf>
    <xf numFmtId="0" fontId="9" fillId="0" borderId="0" xfId="224" applyFont="1" applyAlignment="1">
      <alignment horizontal="left"/>
    </xf>
    <xf numFmtId="212" fontId="9" fillId="0" borderId="0" xfId="224" applyNumberFormat="1" applyFont="1" applyAlignment="1">
      <alignment horizontal="center" vertical="center" wrapText="1"/>
    </xf>
    <xf numFmtId="210" fontId="188" fillId="0" borderId="0" xfId="284" applyNumberFormat="1" applyBorder="1" applyAlignment="1">
      <alignment horizontal="center"/>
    </xf>
    <xf numFmtId="0" fontId="13" fillId="0" borderId="0" xfId="224" applyFont="1" applyAlignment="1">
      <alignment horizontal="right"/>
    </xf>
    <xf numFmtId="183" fontId="13" fillId="0" borderId="0" xfId="113" applyFont="1" applyBorder="1"/>
    <xf numFmtId="183" fontId="9" fillId="0" borderId="0" xfId="113" applyFont="1" applyBorder="1"/>
    <xf numFmtId="0" fontId="8" fillId="0" borderId="0" xfId="224" applyFont="1" applyAlignment="1">
      <alignment horizontal="right"/>
    </xf>
    <xf numFmtId="183" fontId="8" fillId="0" borderId="6" xfId="113" applyFont="1" applyBorder="1"/>
    <xf numFmtId="211" fontId="188" fillId="0" borderId="0" xfId="224" applyNumberFormat="1" applyAlignment="1">
      <alignment horizontal="center"/>
    </xf>
    <xf numFmtId="0" fontId="8" fillId="0" borderId="72" xfId="224" applyFont="1" applyBorder="1"/>
    <xf numFmtId="183" fontId="8" fillId="0" borderId="72" xfId="113" applyFont="1" applyBorder="1"/>
    <xf numFmtId="0" fontId="8" fillId="0" borderId="0" xfId="0" applyNumberFormat="1" applyFont="1" applyAlignment="1">
      <alignment horizontal="center"/>
    </xf>
    <xf numFmtId="0" fontId="8" fillId="0" borderId="0" xfId="0" applyNumberFormat="1" applyFont="1" applyAlignment="1"/>
    <xf numFmtId="0" fontId="0" fillId="0" borderId="0" xfId="0" applyNumberFormat="1" applyAlignment="1"/>
    <xf numFmtId="188" fontId="13" fillId="0" borderId="0" xfId="178"/>
    <xf numFmtId="39" fontId="13" fillId="0" borderId="0" xfId="140" applyNumberFormat="1"/>
    <xf numFmtId="38" fontId="8" fillId="0" borderId="0" xfId="0" applyNumberFormat="1" applyFont="1" applyAlignment="1"/>
    <xf numFmtId="38" fontId="8" fillId="0" borderId="0" xfId="0" applyNumberFormat="1" applyFont="1" applyAlignment="1">
      <alignment horizontal="center"/>
    </xf>
    <xf numFmtId="177" fontId="166" fillId="0" borderId="0" xfId="0" applyNumberFormat="1" applyFont="1" applyAlignment="1"/>
    <xf numFmtId="177" fontId="0" fillId="0" borderId="0" xfId="0" applyNumberFormat="1" applyAlignment="1"/>
    <xf numFmtId="177" fontId="56" fillId="0" borderId="0" xfId="140" applyNumberFormat="1" applyFont="1"/>
    <xf numFmtId="0" fontId="166" fillId="0" borderId="0" xfId="0" applyNumberFormat="1" applyFont="1" applyAlignment="1"/>
    <xf numFmtId="0" fontId="8" fillId="74" borderId="121" xfId="0" applyNumberFormat="1" applyFont="1" applyFill="1" applyBorder="1" applyAlignment="1">
      <alignment horizontal="center"/>
    </xf>
    <xf numFmtId="0" fontId="8" fillId="74" borderId="122" xfId="0" applyNumberFormat="1" applyFont="1" applyFill="1" applyBorder="1" applyAlignment="1">
      <alignment horizontal="center"/>
    </xf>
    <xf numFmtId="0" fontId="8" fillId="74" borderId="123" xfId="0" applyNumberFormat="1" applyFont="1" applyFill="1" applyBorder="1" applyAlignment="1">
      <alignment horizontal="center"/>
    </xf>
    <xf numFmtId="0" fontId="8" fillId="74" borderId="86" xfId="0" applyNumberFormat="1" applyFont="1" applyFill="1" applyBorder="1" applyAlignment="1">
      <alignment horizontal="center"/>
    </xf>
    <xf numFmtId="0" fontId="8" fillId="74" borderId="87" xfId="0" applyNumberFormat="1" applyFont="1" applyFill="1" applyBorder="1" applyAlignment="1"/>
    <xf numFmtId="0" fontId="8" fillId="74" borderId="87" xfId="0" applyNumberFormat="1" applyFont="1" applyFill="1" applyBorder="1" applyAlignment="1">
      <alignment horizontal="center"/>
    </xf>
    <xf numFmtId="198" fontId="8" fillId="74" borderId="57" xfId="0" applyNumberFormat="1" applyFont="1" applyFill="1" applyBorder="1" applyAlignment="1">
      <alignment horizontal="center"/>
    </xf>
    <xf numFmtId="239" fontId="8" fillId="74" borderId="87" xfId="0" applyNumberFormat="1" applyFont="1" applyFill="1" applyBorder="1" applyAlignment="1">
      <alignment horizontal="center"/>
    </xf>
    <xf numFmtId="0" fontId="0" fillId="0" borderId="124" xfId="0" applyNumberFormat="1" applyBorder="1" applyAlignment="1"/>
    <xf numFmtId="0" fontId="0" fillId="0" borderId="57" xfId="0" applyNumberFormat="1" applyBorder="1" applyAlignment="1"/>
    <xf numFmtId="0" fontId="0" fillId="0" borderId="57" xfId="0" applyNumberFormat="1" applyBorder="1" applyAlignment="1">
      <alignment horizontal="center"/>
    </xf>
    <xf numFmtId="0" fontId="0" fillId="0" borderId="61" xfId="0" applyNumberFormat="1" applyBorder="1" applyAlignment="1"/>
    <xf numFmtId="0" fontId="0" fillId="0" borderId="11" xfId="0" applyNumberFormat="1" applyBorder="1" applyAlignment="1"/>
    <xf numFmtId="0" fontId="0" fillId="0" borderId="56" xfId="0" applyNumberFormat="1" applyBorder="1" applyAlignment="1"/>
    <xf numFmtId="0" fontId="8" fillId="0" borderId="124" xfId="0" applyNumberFormat="1" applyFont="1" applyBorder="1" applyAlignment="1"/>
    <xf numFmtId="0" fontId="8" fillId="0" borderId="57" xfId="0" applyNumberFormat="1" applyFont="1" applyBorder="1" applyAlignment="1"/>
    <xf numFmtId="0" fontId="8" fillId="0" borderId="57" xfId="0" applyNumberFormat="1" applyFont="1" applyBorder="1" applyAlignment="1">
      <alignment horizontal="center"/>
    </xf>
    <xf numFmtId="0" fontId="0" fillId="0" borderId="13" xfId="0" applyNumberFormat="1" applyBorder="1" applyAlignment="1"/>
    <xf numFmtId="37" fontId="0" fillId="0" borderId="0" xfId="0" applyNumberFormat="1" applyAlignment="1"/>
    <xf numFmtId="177" fontId="56" fillId="0" borderId="61" xfId="140" applyNumberFormat="1" applyFont="1" applyBorder="1"/>
    <xf numFmtId="213" fontId="56" fillId="0" borderId="13" xfId="88" applyNumberFormat="1" applyFont="1" applyBorder="1"/>
    <xf numFmtId="177" fontId="56" fillId="0" borderId="56" xfId="140" applyNumberFormat="1" applyFont="1" applyBorder="1"/>
    <xf numFmtId="41" fontId="56" fillId="0" borderId="61" xfId="88" applyNumberFormat="1" applyFont="1" applyBorder="1"/>
    <xf numFmtId="41" fontId="56" fillId="0" borderId="15" xfId="88" applyNumberFormat="1" applyFont="1" applyBorder="1"/>
    <xf numFmtId="41" fontId="56" fillId="0" borderId="56" xfId="88" applyNumberFormat="1" applyFont="1" applyBorder="1"/>
    <xf numFmtId="0" fontId="8" fillId="0" borderId="88" xfId="0" applyNumberFormat="1" applyFont="1" applyBorder="1" applyAlignment="1"/>
    <xf numFmtId="0" fontId="8" fillId="0" borderId="90" xfId="0" applyNumberFormat="1" applyFont="1" applyBorder="1" applyAlignment="1"/>
    <xf numFmtId="0" fontId="8" fillId="0" borderId="125" xfId="0" applyNumberFormat="1" applyFont="1" applyBorder="1" applyAlignment="1">
      <alignment horizontal="center"/>
    </xf>
    <xf numFmtId="213" fontId="8" fillId="0" borderId="88" xfId="140" applyNumberFormat="1" applyFont="1" applyBorder="1"/>
    <xf numFmtId="41" fontId="8" fillId="0" borderId="125" xfId="88" applyNumberFormat="1" applyFont="1" applyBorder="1"/>
    <xf numFmtId="41" fontId="56" fillId="0" borderId="125" xfId="88" applyNumberFormat="1" applyFont="1" applyBorder="1"/>
    <xf numFmtId="41" fontId="56" fillId="0" borderId="57" xfId="88" applyNumberFormat="1" applyFont="1" applyBorder="1"/>
    <xf numFmtId="0" fontId="7" fillId="0" borderId="0" xfId="0" applyNumberFormat="1" applyFont="1" applyAlignment="1"/>
    <xf numFmtId="177" fontId="56" fillId="0" borderId="57" xfId="140" applyNumberFormat="1" applyFont="1" applyBorder="1"/>
    <xf numFmtId="0" fontId="0" fillId="0" borderId="0" xfId="0" applyNumberFormat="1" applyAlignment="1">
      <alignment horizontal="left"/>
    </xf>
    <xf numFmtId="240" fontId="56" fillId="0" borderId="57" xfId="88" applyNumberFormat="1" applyFont="1" applyBorder="1"/>
    <xf numFmtId="0" fontId="8" fillId="0" borderId="88" xfId="0" applyNumberFormat="1" applyFont="1" applyBorder="1" applyAlignment="1">
      <alignment horizontal="left"/>
    </xf>
    <xf numFmtId="0" fontId="8" fillId="0" borderId="90" xfId="0" applyNumberFormat="1" applyFont="1" applyBorder="1" applyAlignment="1">
      <alignment horizontal="left"/>
    </xf>
    <xf numFmtId="213" fontId="8" fillId="0" borderId="88" xfId="88" applyNumberFormat="1" applyFont="1" applyBorder="1"/>
    <xf numFmtId="0" fontId="8" fillId="0" borderId="57" xfId="0" applyNumberFormat="1" applyFont="1" applyBorder="1" applyAlignment="1">
      <alignment horizontal="left"/>
    </xf>
    <xf numFmtId="0" fontId="8" fillId="0" borderId="0" xfId="0" applyNumberFormat="1" applyFont="1" applyAlignment="1">
      <alignment horizontal="left"/>
    </xf>
    <xf numFmtId="240" fontId="8" fillId="0" borderId="57" xfId="88" applyNumberFormat="1" applyFont="1" applyBorder="1"/>
    <xf numFmtId="41" fontId="8" fillId="0" borderId="57" xfId="88" applyNumberFormat="1" applyFont="1" applyBorder="1"/>
    <xf numFmtId="0" fontId="8" fillId="0" borderId="126" xfId="0" applyNumberFormat="1" applyFont="1" applyBorder="1" applyAlignment="1"/>
    <xf numFmtId="0" fontId="8" fillId="0" borderId="127" xfId="0" applyNumberFormat="1" applyFont="1" applyBorder="1" applyAlignment="1"/>
    <xf numFmtId="0" fontId="0" fillId="0" borderId="128" xfId="0" applyNumberFormat="1" applyBorder="1" applyAlignment="1">
      <alignment horizontal="left"/>
    </xf>
    <xf numFmtId="0" fontId="0" fillId="0" borderId="127" xfId="0" applyNumberFormat="1" applyBorder="1" applyAlignment="1">
      <alignment horizontal="center"/>
    </xf>
    <xf numFmtId="240" fontId="56" fillId="0" borderId="127" xfId="88" applyNumberFormat="1" applyFont="1" applyBorder="1"/>
    <xf numFmtId="41" fontId="56" fillId="0" borderId="127" xfId="88" applyNumberFormat="1" applyFont="1" applyBorder="1"/>
    <xf numFmtId="41" fontId="56" fillId="0" borderId="0" xfId="88" applyNumberFormat="1" applyFont="1"/>
    <xf numFmtId="37" fontId="56" fillId="0" borderId="0" xfId="88" applyNumberFormat="1" applyFont="1"/>
    <xf numFmtId="0" fontId="190" fillId="0" borderId="0" xfId="0" applyNumberFormat="1" applyFont="1" applyAlignment="1">
      <alignment horizontal="center" vertical="top" wrapText="1"/>
    </xf>
    <xf numFmtId="177" fontId="190" fillId="0" borderId="0" xfId="140" applyNumberFormat="1" applyFont="1" applyAlignment="1">
      <alignment horizontal="right" vertical="top" wrapText="1"/>
    </xf>
    <xf numFmtId="4" fontId="190" fillId="0" borderId="0" xfId="0" applyNumberFormat="1" applyFont="1" applyAlignment="1">
      <alignment horizontal="right" vertical="top" wrapText="1"/>
    </xf>
    <xf numFmtId="0" fontId="8" fillId="74" borderId="129" xfId="0" applyNumberFormat="1" applyFont="1" applyFill="1" applyBorder="1" applyAlignment="1">
      <alignment horizontal="center"/>
    </xf>
    <xf numFmtId="198" fontId="8" fillId="74" borderId="87" xfId="0" applyNumberFormat="1" applyFont="1" applyFill="1" applyBorder="1" applyAlignment="1">
      <alignment horizontal="center"/>
    </xf>
    <xf numFmtId="0" fontId="8" fillId="74" borderId="130" xfId="0" applyNumberFormat="1" applyFont="1" applyFill="1" applyBorder="1" applyAlignment="1"/>
    <xf numFmtId="0" fontId="0" fillId="0" borderId="98" xfId="0" applyNumberFormat="1" applyBorder="1" applyAlignment="1"/>
    <xf numFmtId="213" fontId="56" fillId="0" borderId="57" xfId="88" applyNumberFormat="1" applyFont="1" applyBorder="1"/>
    <xf numFmtId="213" fontId="9" fillId="0" borderId="98" xfId="88" applyNumberFormat="1" applyFont="1" applyBorder="1"/>
    <xf numFmtId="37" fontId="9" fillId="0" borderId="98" xfId="88" applyNumberFormat="1" applyFont="1" applyBorder="1"/>
    <xf numFmtId="213" fontId="9" fillId="0" borderId="131" xfId="88" applyNumberFormat="1" applyFont="1" applyBorder="1"/>
    <xf numFmtId="39" fontId="8" fillId="0" borderId="0" xfId="0" applyNumberFormat="1" applyFont="1" applyAlignment="1"/>
    <xf numFmtId="213" fontId="8" fillId="0" borderId="88" xfId="4" applyNumberFormat="1" applyFont="1" applyBorder="1"/>
    <xf numFmtId="213" fontId="9" fillId="0" borderId="132" xfId="4" applyNumberFormat="1" applyFont="1" applyBorder="1"/>
    <xf numFmtId="213" fontId="9" fillId="0" borderId="132" xfId="88" applyNumberFormat="1" applyFont="1" applyBorder="1"/>
    <xf numFmtId="37" fontId="8" fillId="0" borderId="133" xfId="88" applyNumberFormat="1" applyFont="1" applyBorder="1"/>
    <xf numFmtId="0" fontId="190" fillId="0" borderId="0" xfId="0" applyNumberFormat="1" applyFont="1" applyAlignment="1">
      <alignment horizontal="right" vertical="top" wrapText="1"/>
    </xf>
    <xf numFmtId="202" fontId="56" fillId="0" borderId="0" xfId="140" applyNumberFormat="1" applyFont="1"/>
    <xf numFmtId="0" fontId="8" fillId="0" borderId="88" xfId="0" applyNumberFormat="1" applyFont="1" applyBorder="1" applyAlignment="1" quotePrefix="1">
      <alignment horizontal="left"/>
    </xf>
    <xf numFmtId="0" fontId="8" fillId="0" borderId="4" xfId="224" applyFont="1" applyBorder="1" applyAlignment="1" quotePrefix="1">
      <alignment horizontal="center" vertical="center" wrapText="1"/>
    </xf>
    <xf numFmtId="183" fontId="8" fillId="0" borderId="4" xfId="113" applyFont="1" applyBorder="1" applyAlignment="1" quotePrefix="1">
      <alignment horizontal="center" vertical="center" wrapText="1"/>
    </xf>
    <xf numFmtId="0" fontId="114" fillId="0" borderId="1" xfId="224" applyFont="1" applyBorder="1" applyAlignment="1" quotePrefix="1">
      <alignment horizontal="center"/>
    </xf>
    <xf numFmtId="211" fontId="96" fillId="42" borderId="16" xfId="0" applyNumberFormat="1" applyFont="1" applyFill="1" applyBorder="1" applyAlignment="1" quotePrefix="1">
      <alignment horizontal="center"/>
    </xf>
    <xf numFmtId="176" fontId="186" fillId="0" borderId="0" xfId="0" applyFont="1" quotePrefix="1">
      <alignment vertical="top"/>
    </xf>
    <xf numFmtId="176" fontId="96" fillId="0" borderId="5" xfId="0" applyFont="1" applyBorder="1" applyAlignment="1" quotePrefix="1">
      <alignment horizontal="center"/>
    </xf>
    <xf numFmtId="176" fontId="96" fillId="0" borderId="0" xfId="0" applyFont="1" applyAlignment="1" quotePrefix="1">
      <alignment horizontal="left"/>
    </xf>
    <xf numFmtId="176" fontId="96" fillId="0" borderId="0" xfId="0" applyFont="1" applyAlignment="1" quotePrefix="1">
      <alignment horizontal="right"/>
    </xf>
    <xf numFmtId="176" fontId="96" fillId="42" borderId="17" xfId="0" applyFont="1" applyFill="1" applyBorder="1" applyAlignment="1" quotePrefix="1">
      <alignment horizontal="left" vertical="top" wrapText="1"/>
    </xf>
    <xf numFmtId="176" fontId="186" fillId="0" borderId="0" xfId="0" applyFont="1" applyAlignment="1" quotePrefix="1">
      <alignment horizontal="center"/>
    </xf>
    <xf numFmtId="176" fontId="96" fillId="0" borderId="0" xfId="0" applyFont="1" applyAlignment="1" quotePrefix="1">
      <alignment horizontal="center"/>
    </xf>
    <xf numFmtId="176" fontId="186" fillId="0" borderId="0" xfId="0" applyFont="1" applyAlignment="1" quotePrefix="1">
      <alignment horizontal="left"/>
    </xf>
    <xf numFmtId="176" fontId="186" fillId="51" borderId="10" xfId="0" applyFont="1" applyFill="1" applyBorder="1" applyAlignment="1" quotePrefix="1">
      <alignment horizontal="center"/>
    </xf>
    <xf numFmtId="176" fontId="96" fillId="0" borderId="14" xfId="0" applyFont="1" applyBorder="1" applyAlignment="1" quotePrefix="1">
      <alignment horizontal="left"/>
    </xf>
    <xf numFmtId="176" fontId="96" fillId="0" borderId="13" xfId="0" applyFont="1" applyBorder="1" applyAlignment="1" quotePrefix="1">
      <alignment horizontal="center"/>
    </xf>
    <xf numFmtId="176" fontId="152" fillId="0" borderId="0" xfId="0" applyFont="1" applyAlignment="1" quotePrefix="1">
      <alignment horizontal="left"/>
    </xf>
    <xf numFmtId="176" fontId="183" fillId="0" borderId="0" xfId="216" applyFont="1" applyAlignment="1" quotePrefix="1">
      <alignment horizontal="center"/>
    </xf>
    <xf numFmtId="176" fontId="182" fillId="0" borderId="0" xfId="216" applyFont="1" applyAlignment="1" quotePrefix="1">
      <alignment horizontal="center"/>
    </xf>
    <xf numFmtId="176" fontId="5" fillId="0" borderId="0" xfId="216" applyFont="1" applyAlignment="1" quotePrefix="1">
      <alignment horizontal="left"/>
    </xf>
    <xf numFmtId="176" fontId="0" fillId="0" borderId="0" xfId="216" applyFont="1" applyAlignment="1" quotePrefix="1">
      <alignment horizontal="left" vertical="top"/>
    </xf>
    <xf numFmtId="176" fontId="0" fillId="0" borderId="0" xfId="216" applyFont="1" applyAlignment="1" quotePrefix="1">
      <alignment horizontal="center" vertical="top"/>
    </xf>
    <xf numFmtId="41" fontId="7" fillId="0" borderId="5" xfId="102" applyFont="1" applyBorder="1" applyAlignment="1" quotePrefix="1">
      <alignment horizontal="center" vertical="center"/>
    </xf>
    <xf numFmtId="176" fontId="48" fillId="0" borderId="0" xfId="0" applyFont="1" applyAlignment="1" quotePrefix="1">
      <alignment horizontal="left" vertical="top"/>
    </xf>
    <xf numFmtId="0" fontId="173" fillId="0" borderId="9" xfId="218" applyFont="1" applyBorder="1" quotePrefix="1"/>
    <xf numFmtId="37" fontId="173" fillId="0" borderId="115" xfId="218" applyNumberFormat="1" applyFont="1" applyBorder="1" applyAlignment="1" quotePrefix="1">
      <alignment horizontal="center"/>
    </xf>
    <xf numFmtId="202" fontId="48" fillId="0" borderId="9" xfId="148" applyNumberFormat="1" applyFont="1" applyBorder="1" applyAlignment="1" quotePrefix="1">
      <alignment horizontal="left"/>
    </xf>
    <xf numFmtId="0" fontId="48" fillId="0" borderId="20" xfId="218" applyFont="1" applyBorder="1" applyAlignment="1" quotePrefix="1">
      <alignment horizontal="left"/>
    </xf>
    <xf numFmtId="0" fontId="175" fillId="0" borderId="20" xfId="218" applyFont="1" applyBorder="1" applyAlignment="1" quotePrefix="1">
      <alignment horizontal="left"/>
    </xf>
    <xf numFmtId="0" fontId="50" fillId="0" borderId="20" xfId="218" applyFont="1" applyBorder="1" applyAlignment="1" quotePrefix="1">
      <alignment horizontal="left"/>
    </xf>
    <xf numFmtId="176" fontId="5" fillId="0" borderId="5" xfId="216" applyFont="1" applyBorder="1" applyAlignment="1" quotePrefix="1">
      <alignment horizontal="center"/>
    </xf>
    <xf numFmtId="176" fontId="5" fillId="0" borderId="5" xfId="216" applyFont="1" applyBorder="1" applyAlignment="1" quotePrefix="1">
      <alignment horizontal="center" wrapText="1"/>
    </xf>
    <xf numFmtId="176" fontId="1" fillId="0" borderId="0" xfId="216" applyFont="1" applyAlignment="1" quotePrefix="1">
      <alignment horizontal="left"/>
    </xf>
    <xf numFmtId="176" fontId="5" fillId="0" borderId="0" xfId="216" applyFont="1" applyAlignment="1" quotePrefix="1">
      <alignment horizontal="left" vertical="top"/>
    </xf>
    <xf numFmtId="176" fontId="7" fillId="0" borderId="0" xfId="216" applyFont="1" applyAlignment="1" quotePrefix="1">
      <alignment horizontal="left" vertical="top"/>
    </xf>
    <xf numFmtId="176" fontId="1" fillId="0" borderId="0" xfId="0" applyFont="1" applyAlignment="1" quotePrefix="1">
      <alignment horizontal="left"/>
    </xf>
    <xf numFmtId="176" fontId="1" fillId="0" borderId="0" xfId="0" applyFont="1" quotePrefix="1">
      <alignment vertical="top"/>
    </xf>
    <xf numFmtId="176" fontId="5" fillId="0" borderId="0" xfId="0" applyFont="1" applyAlignment="1" quotePrefix="1">
      <alignment horizontal="left"/>
    </xf>
    <xf numFmtId="37" fontId="8" fillId="0" borderId="9" xfId="0" applyNumberFormat="1" applyFont="1" applyBorder="1" applyAlignment="1" quotePrefix="1">
      <alignment horizontal="left"/>
    </xf>
    <xf numFmtId="37" fontId="13" fillId="0" borderId="14" xfId="0" applyNumberFormat="1" applyFont="1" applyBorder="1" applyAlignment="1" quotePrefix="1">
      <alignment horizontal="left"/>
    </xf>
    <xf numFmtId="176" fontId="13" fillId="0" borderId="0" xfId="0" applyFont="1" applyBorder="1" applyAlignment="1" quotePrefix="1">
      <alignment horizontal="left"/>
    </xf>
    <xf numFmtId="176" fontId="8" fillId="0" borderId="0" xfId="0" applyFont="1" applyBorder="1" applyAlignment="1" quotePrefix="1">
      <alignment horizontal="left"/>
    </xf>
    <xf numFmtId="37" fontId="13" fillId="0" borderId="0" xfId="0" applyNumberFormat="1" applyFont="1" applyBorder="1" applyAlignment="1" quotePrefix="1">
      <alignment horizontal="left"/>
    </xf>
    <xf numFmtId="176" fontId="13" fillId="0" borderId="0" xfId="0" applyFont="1" applyAlignment="1" quotePrefix="1">
      <alignment horizontal="left"/>
    </xf>
    <xf numFmtId="176" fontId="1" fillId="0" borderId="0" xfId="0" applyFont="1" applyAlignment="1" quotePrefix="1">
      <alignment vertical="top"/>
    </xf>
    <xf numFmtId="176" fontId="0" fillId="0" borderId="0" xfId="0" applyAlignment="1" quotePrefix="1">
      <alignment horizontal="justify" vertical="top"/>
    </xf>
    <xf numFmtId="176" fontId="5" fillId="0" borderId="0" xfId="0" applyFont="1" applyAlignment="1" quotePrefix="1">
      <alignment horizontal="left" vertical="top"/>
    </xf>
    <xf numFmtId="176" fontId="1" fillId="0" borderId="0" xfId="0" applyFont="1" applyAlignment="1" quotePrefix="1">
      <alignment horizontal="left" vertical="top"/>
    </xf>
    <xf numFmtId="176" fontId="107" fillId="0" borderId="0" xfId="216" applyFont="1" applyAlignment="1" quotePrefix="1">
      <alignment horizontal="center"/>
    </xf>
    <xf numFmtId="176" fontId="8" fillId="34" borderId="94" xfId="0" applyFont="1" applyFill="1" applyBorder="1" applyAlignment="1" quotePrefix="1">
      <alignment horizontal="center" vertical="center" wrapText="1"/>
    </xf>
    <xf numFmtId="176" fontId="8" fillId="34" borderId="65" xfId="0" applyFont="1" applyFill="1" applyBorder="1" applyAlignment="1" quotePrefix="1">
      <alignment horizontal="center" vertical="center"/>
    </xf>
    <xf numFmtId="41" fontId="8" fillId="34" borderId="69" xfId="4" applyFont="1" applyFill="1" applyBorder="1" applyAlignment="1" quotePrefix="1">
      <alignment horizontal="center"/>
    </xf>
    <xf numFmtId="176" fontId="8" fillId="34" borderId="68" xfId="0" applyFont="1" applyFill="1" applyBorder="1" applyAlignment="1" quotePrefix="1">
      <alignment horizontal="center" vertical="center" wrapText="1"/>
    </xf>
    <xf numFmtId="176" fontId="0" fillId="0" borderId="0" xfId="0" quotePrefix="1">
      <alignment vertical="top"/>
    </xf>
    <xf numFmtId="176" fontId="7" fillId="42" borderId="0" xfId="0" applyFont="1" applyFill="1" applyBorder="1" applyAlignment="1" quotePrefix="1">
      <alignment horizontal="center" vertical="top"/>
    </xf>
    <xf numFmtId="4" fontId="131" fillId="0" borderId="0" xfId="299" applyAlignment="1" quotePrefix="1">
      <alignment vertical="top"/>
    </xf>
    <xf numFmtId="4" fontId="132" fillId="0" borderId="0" xfId="303" applyAlignment="1" quotePrefix="1">
      <alignment vertical="top"/>
    </xf>
    <xf numFmtId="4" fontId="133" fillId="0" borderId="0" xfId="338" applyAlignment="1" quotePrefix="1">
      <alignment vertical="top"/>
    </xf>
    <xf numFmtId="4" fontId="2" fillId="0" borderId="0" xfId="348" applyBorder="1" applyAlignment="1" quotePrefix="1">
      <alignment vertical="top"/>
    </xf>
    <xf numFmtId="4" fontId="2" fillId="0" borderId="0" xfId="348" applyBorder="1" applyAlignment="1" quotePrefix="1">
      <alignment horizontal="center" vertical="top" wrapText="1"/>
    </xf>
    <xf numFmtId="4" fontId="2" fillId="0" borderId="0" xfId="348" applyAlignment="1" quotePrefix="1">
      <alignment vertical="top"/>
    </xf>
    <xf numFmtId="4" fontId="11" fillId="2" borderId="5" xfId="370" applyFill="1" applyBorder="1" applyAlignment="1" quotePrefix="1">
      <alignment vertical="top"/>
    </xf>
    <xf numFmtId="4" fontId="12" fillId="0" borderId="0" xfId="362" applyAlignment="1" quotePrefix="1">
      <alignment vertical="top"/>
    </xf>
    <xf numFmtId="4" fontId="24" fillId="0" borderId="0" xfId="358" applyFont="1" applyAlignment="1" quotePrefix="1">
      <alignment horizontal="left" vertical="top"/>
    </xf>
    <xf numFmtId="4" fontId="11" fillId="0" borderId="0" xfId="370" applyAlignment="1" quotePrefix="1">
      <alignment vertical="top"/>
    </xf>
    <xf numFmtId="4" fontId="152" fillId="0" borderId="0" xfId="383" applyAlignment="1" quotePrefix="1">
      <alignment horizontal="left" vertical="top"/>
    </xf>
    <xf numFmtId="0" fontId="24" fillId="0" borderId="0" xfId="304" applyAlignment="1" quotePrefix="1">
      <alignment horizontal="left" vertical="top"/>
    </xf>
    <xf numFmtId="0" fontId="25" fillId="0" borderId="0" xfId="310" applyAlignment="1" quotePrefix="1">
      <alignment horizontal="left" vertical="top"/>
    </xf>
    <xf numFmtId="176" fontId="0" fillId="0" borderId="0" xfId="0" applyAlignment="1" quotePrefix="1">
      <alignment horizontal="justify" vertical="top" wrapText="1"/>
    </xf>
    <xf numFmtId="0" fontId="8" fillId="0" borderId="0" xfId="230" applyFont="1" applyAlignment="1" quotePrefix="1">
      <alignment horizontal="center"/>
    </xf>
    <xf numFmtId="176" fontId="0" fillId="0" borderId="0" xfId="260" applyNumberFormat="1" applyFont="1" applyAlignment="1" quotePrefix="1">
      <alignment horizontal="justify" vertical="top"/>
    </xf>
    <xf numFmtId="0" fontId="7" fillId="0" borderId="0" xfId="230" applyFont="1" applyAlignment="1" quotePrefix="1">
      <alignment horizontal="center" vertical="top"/>
    </xf>
    <xf numFmtId="176" fontId="5" fillId="0" borderId="0" xfId="216" applyFont="1" quotePrefix="1">
      <alignment vertical="top"/>
    </xf>
    <xf numFmtId="9" fontId="0" fillId="0" borderId="0" xfId="230" applyNumberFormat="1" applyFont="1" applyAlignment="1" quotePrefix="1">
      <alignment horizontal="center"/>
    </xf>
    <xf numFmtId="176" fontId="0" fillId="0" borderId="0" xfId="0" applyFont="1" applyAlignment="1" quotePrefix="1">
      <alignment horizontal="justify" vertical="top" wrapText="1"/>
    </xf>
    <xf numFmtId="176" fontId="0" fillId="0" borderId="0" xfId="216" applyFont="1" applyAlignment="1" quotePrefix="1">
      <alignment horizontal="justify" vertical="top" wrapText="1"/>
    </xf>
    <xf numFmtId="0" fontId="7" fillId="0" borderId="0" xfId="230" applyFont="1" applyAlignment="1" quotePrefix="1">
      <alignment horizontal="center"/>
    </xf>
    <xf numFmtId="176" fontId="0" fillId="0" borderId="0" xfId="0" applyFont="1" quotePrefix="1">
      <alignment vertical="top"/>
    </xf>
    <xf numFmtId="4" fontId="1" fillId="0" borderId="0" xfId="364" applyFont="1" quotePrefix="1">
      <alignment horizontal="left" vertical="top"/>
    </xf>
    <xf numFmtId="4" fontId="131" fillId="0" borderId="0" xfId="299" applyAlignment="1" quotePrefix="1">
      <alignment horizontal="left" vertical="top"/>
    </xf>
    <xf numFmtId="4" fontId="132" fillId="0" borderId="0" xfId="303" applyAlignment="1" quotePrefix="1">
      <alignment horizontal="left" vertical="top"/>
    </xf>
    <xf numFmtId="4" fontId="133" fillId="0" borderId="0" xfId="338" applyAlignment="1" quotePrefix="1">
      <alignment horizontal="left" vertical="top"/>
    </xf>
    <xf numFmtId="4" fontId="12" fillId="0" borderId="0" xfId="355" quotePrefix="1">
      <alignment horizontal="left" vertical="top"/>
    </xf>
    <xf numFmtId="4" fontId="2" fillId="0" borderId="5" xfId="348" applyBorder="1" applyAlignment="1" quotePrefix="1">
      <alignment horizontal="left" vertical="top"/>
    </xf>
    <xf numFmtId="4" fontId="11" fillId="0" borderId="0" xfId="364" quotePrefix="1">
      <alignment horizontal="left" vertical="top"/>
    </xf>
    <xf numFmtId="4" fontId="11" fillId="0" borderId="0" xfId="370" quotePrefix="1">
      <alignment horizontal="left" vertical="top"/>
    </xf>
    <xf numFmtId="4" fontId="134" fillId="0" borderId="0" xfId="307" applyAlignment="1" quotePrefix="1">
      <alignment vertical="top"/>
    </xf>
    <xf numFmtId="4" fontId="134" fillId="0" borderId="0" xfId="320" applyAlignment="1" quotePrefix="1">
      <alignment vertical="top"/>
    </xf>
    <xf numFmtId="4" fontId="134" fillId="0" borderId="0" xfId="327" applyAlignment="1" quotePrefix="1">
      <alignment vertical="top"/>
    </xf>
    <xf numFmtId="176" fontId="5" fillId="0" borderId="0" xfId="221" applyFont="1" applyAlignment="1" quotePrefix="1">
      <alignment horizontal="left"/>
    </xf>
    <xf numFmtId="176" fontId="5" fillId="0" borderId="5" xfId="221" applyFont="1" applyBorder="1" applyAlignment="1" quotePrefix="1">
      <alignment horizontal="center"/>
    </xf>
    <xf numFmtId="176" fontId="5" fillId="0" borderId="5" xfId="0" applyFont="1" applyBorder="1" applyAlignment="1" quotePrefix="1">
      <alignment horizontal="center"/>
    </xf>
    <xf numFmtId="224" fontId="0" fillId="0" borderId="0" xfId="253" applyNumberFormat="1" applyFont="1" applyAlignment="1" quotePrefix="1">
      <alignment vertical="top"/>
    </xf>
    <xf numFmtId="176" fontId="0" fillId="0" borderId="0" xfId="0" applyFont="1" applyAlignment="1" quotePrefix="1">
      <alignment horizontal="justify" vertical="top"/>
    </xf>
    <xf numFmtId="176" fontId="147" fillId="0" borderId="0" xfId="0" applyFont="1" applyAlignment="1" quotePrefix="1">
      <alignment horizontal="left" vertical="top"/>
    </xf>
    <xf numFmtId="41" fontId="121" fillId="0" borderId="0" xfId="4" applyFont="1" applyAlignment="1" quotePrefix="1">
      <alignment horizontal="center" vertical="top"/>
    </xf>
    <xf numFmtId="176" fontId="0" fillId="0" borderId="0" xfId="221" applyFont="1" applyAlignment="1" quotePrefix="1">
      <alignment horizontal="justify" vertical="top"/>
    </xf>
    <xf numFmtId="176" fontId="0" fillId="0" borderId="0" xfId="253" applyNumberFormat="1" applyFont="1" applyAlignment="1" quotePrefix="1">
      <alignment horizontal="left" vertical="top"/>
    </xf>
    <xf numFmtId="176" fontId="0" fillId="0" borderId="0" xfId="221" applyFont="1" applyAlignment="1" quotePrefix="1">
      <alignment horizontal="center" vertical="top"/>
    </xf>
    <xf numFmtId="176" fontId="7" fillId="0" borderId="5" xfId="0" applyFont="1" applyBorder="1" quotePrefix="1">
      <alignment vertical="top"/>
    </xf>
    <xf numFmtId="176" fontId="7" fillId="0" borderId="0" xfId="0" applyFont="1" quotePrefix="1">
      <alignment vertical="top"/>
    </xf>
    <xf numFmtId="209" fontId="0" fillId="0" borderId="0" xfId="0" applyNumberFormat="1" applyAlignment="1" quotePrefix="1">
      <alignment horizontal="justify" vertical="top"/>
    </xf>
    <xf numFmtId="0" fontId="0" fillId="0" borderId="0" xfId="133" applyNumberFormat="1" applyFont="1" applyAlignment="1" quotePrefix="1">
      <alignment horizontal="left" vertical="top"/>
    </xf>
    <xf numFmtId="209" fontId="0" fillId="0" borderId="0" xfId="0" applyNumberFormat="1" applyAlignment="1" quotePrefix="1">
      <alignment vertical="top"/>
    </xf>
    <xf numFmtId="176" fontId="0" fillId="0" borderId="0" xfId="149" applyNumberFormat="1" applyFont="1" applyAlignment="1" quotePrefix="1">
      <alignment horizontal="right" vertical="top"/>
    </xf>
    <xf numFmtId="176" fontId="122" fillId="0" borderId="0" xfId="0" applyFont="1" applyAlignment="1" quotePrefix="1">
      <alignment horizontal="center" vertical="top"/>
    </xf>
    <xf numFmtId="176" fontId="0" fillId="0" borderId="0" xfId="0" applyAlignment="1" quotePrefix="1">
      <alignment horizontal="left" vertical="top"/>
    </xf>
    <xf numFmtId="0" fontId="109" fillId="0" borderId="0" xfId="0" applyNumberFormat="1" applyFont="1" applyBorder="1" applyAlignment="1" quotePrefix="1">
      <alignment horizontal="center" vertical="top"/>
    </xf>
    <xf numFmtId="176" fontId="96" fillId="0" borderId="0" xfId="0" applyFont="1" applyAlignment="1" quotePrefix="1">
      <alignment horizontal="left" vertical="top"/>
    </xf>
    <xf numFmtId="176" fontId="96" fillId="0" borderId="0" xfId="0" applyFont="1" applyAlignment="1" quotePrefix="1">
      <alignment horizontal="left" vertical="top" indent="1"/>
    </xf>
    <xf numFmtId="176" fontId="95" fillId="0" borderId="0" xfId="0" applyFont="1" applyAlignment="1" quotePrefix="1">
      <alignment horizontal="left" vertical="top"/>
    </xf>
    <xf numFmtId="0" fontId="95" fillId="0" borderId="5" xfId="0" applyNumberFormat="1" applyFont="1" applyBorder="1" applyAlignment="1" quotePrefix="1">
      <alignment horizontal="center" vertical="top" wrapText="1"/>
    </xf>
    <xf numFmtId="0" fontId="95" fillId="0" borderId="5" xfId="0" applyNumberFormat="1" applyFont="1" applyBorder="1" applyAlignment="1" quotePrefix="1">
      <alignment horizontal="center" vertical="top"/>
    </xf>
    <xf numFmtId="176" fontId="151" fillId="0" borderId="0" xfId="263" applyNumberFormat="1" applyFont="1" applyAlignment="1" quotePrefix="1">
      <alignment horizontal="left" vertical="top" wrapText="1"/>
    </xf>
    <xf numFmtId="176" fontId="5" fillId="0" borderId="5" xfId="0" applyFont="1" applyBorder="1" applyAlignment="1" quotePrefix="1"/>
    <xf numFmtId="176" fontId="5" fillId="0" borderId="5" xfId="221" applyFont="1" applyBorder="1" applyAlignment="1" quotePrefix="1"/>
    <xf numFmtId="41" fontId="121" fillId="0" borderId="0" xfId="4" applyFont="1" applyAlignment="1" quotePrefix="1">
      <alignment vertical="top"/>
    </xf>
    <xf numFmtId="176" fontId="5" fillId="0" borderId="5" xfId="221" applyNumberFormat="1" applyFont="1" applyBorder="1" applyAlignment="1" quotePrefix="1">
      <alignment horizontal="center"/>
    </xf>
    <xf numFmtId="176" fontId="7" fillId="0" borderId="0" xfId="0" applyFont="1" applyAlignment="1" quotePrefix="1">
      <alignment vertical="top"/>
    </xf>
    <xf numFmtId="176" fontId="7" fillId="0" borderId="5" xfId="0" applyFont="1" applyBorder="1" applyAlignment="1" quotePrefix="1">
      <alignment horizontal="center" vertical="top"/>
    </xf>
    <xf numFmtId="37" fontId="8" fillId="8" borderId="69" xfId="0" applyNumberFormat="1" applyFont="1" applyFill="1" applyBorder="1" applyAlignment="1" quotePrefix="1">
      <alignment horizontal="center"/>
    </xf>
    <xf numFmtId="37" fontId="8" fillId="8" borderId="75" xfId="0" applyNumberFormat="1" applyFont="1" applyFill="1" applyBorder="1" applyAlignment="1" quotePrefix="1">
      <alignment horizontal="center"/>
    </xf>
    <xf numFmtId="37" fontId="13" fillId="0" borderId="0" xfId="0" applyNumberFormat="1" applyFont="1" applyAlignment="1" quotePrefix="1">
      <alignment horizontal="left"/>
    </xf>
    <xf numFmtId="37" fontId="8" fillId="0" borderId="4" xfId="0" applyNumberFormat="1" applyFont="1" applyBorder="1" applyAlignment="1" quotePrefix="1">
      <alignment horizontal="left"/>
    </xf>
    <xf numFmtId="37" fontId="13" fillId="65" borderId="9" xfId="0" applyNumberFormat="1" applyFont="1" applyFill="1" applyBorder="1" applyAlignment="1" quotePrefix="1">
      <alignment horizontal="left"/>
    </xf>
    <xf numFmtId="37" fontId="8" fillId="65" borderId="9" xfId="0" applyNumberFormat="1" applyFont="1" applyFill="1" applyBorder="1" applyAlignment="1" quotePrefix="1">
      <alignment horizontal="left"/>
    </xf>
    <xf numFmtId="37" fontId="13" fillId="0" borderId="0" xfId="0" applyNumberFormat="1" applyFont="1" applyFill="1" applyBorder="1" applyAlignment="1" quotePrefix="1">
      <alignment horizontal="left"/>
    </xf>
    <xf numFmtId="37" fontId="8" fillId="0" borderId="0" xfId="0" applyNumberFormat="1" applyFont="1" applyAlignment="1" quotePrefix="1">
      <alignment horizontal="left"/>
    </xf>
    <xf numFmtId="37" fontId="8" fillId="0" borderId="19" xfId="0" applyNumberFormat="1" applyFont="1" applyBorder="1" applyAlignment="1" quotePrefix="1">
      <alignment horizontal="left"/>
    </xf>
    <xf numFmtId="37" fontId="13" fillId="0" borderId="0" xfId="0" applyNumberFormat="1" applyFont="1" applyAlignment="1" quotePrefix="1">
      <alignment horizontal="left" indent="3"/>
    </xf>
    <xf numFmtId="49" fontId="0" fillId="0" borderId="0" xfId="218" applyNumberFormat="1" applyFont="1" quotePrefix="1"/>
    <xf numFmtId="37" fontId="8" fillId="8" borderId="13" xfId="0" applyNumberFormat="1" applyFont="1" applyFill="1" applyBorder="1" applyAlignment="1" quotePrefix="1">
      <alignment horizontal="center"/>
    </xf>
    <xf numFmtId="37" fontId="13" fillId="4" borderId="9" xfId="0" applyNumberFormat="1" applyFont="1" applyFill="1" applyBorder="1" quotePrefix="1">
      <alignment vertical="top"/>
    </xf>
    <xf numFmtId="37" fontId="7" fillId="0" borderId="0" xfId="0" applyNumberFormat="1" applyFont="1" applyAlignment="1" quotePrefix="1">
      <alignment horizontal="left" indent="4"/>
    </xf>
    <xf numFmtId="4" fontId="2" fillId="0" borderId="5" xfId="348" applyBorder="1" applyAlignment="1" quotePrefix="1">
      <alignment horizontal="center" vertical="top" wrapText="1"/>
    </xf>
    <xf numFmtId="4" fontId="11" fillId="0" borderId="0" xfId="356" applyAlignment="1" quotePrefix="1">
      <alignment horizontal="left" vertical="top" wrapText="1"/>
    </xf>
    <xf numFmtId="37" fontId="13" fillId="40" borderId="0" xfId="0" applyNumberFormat="1" applyFont="1" applyFill="1" applyBorder="1" quotePrefix="1">
      <alignment vertical="top"/>
    </xf>
    <xf numFmtId="4" fontId="12" fillId="2" borderId="32" xfId="362" applyFill="1" applyBorder="1" applyAlignment="1" quotePrefix="1">
      <alignment horizontal="center" vertical="top"/>
    </xf>
    <xf numFmtId="0" fontId="12" fillId="0" borderId="20" xfId="362" applyNumberFormat="1" applyBorder="1" applyAlignment="1" quotePrefix="1">
      <alignment vertical="top" wrapText="1"/>
    </xf>
    <xf numFmtId="0" fontId="12" fillId="0" borderId="0" xfId="362" applyNumberFormat="1" applyBorder="1" applyAlignment="1" quotePrefix="1">
      <alignment vertical="top" wrapText="1"/>
    </xf>
    <xf numFmtId="4" fontId="12" fillId="0" borderId="21" xfId="362" applyNumberFormat="1" applyBorder="1" applyAlignment="1" quotePrefix="1">
      <alignment vertical="top" wrapText="1"/>
    </xf>
    <xf numFmtId="198" fontId="8" fillId="3" borderId="4" xfId="128" applyNumberFormat="1" applyFont="1" applyFill="1" applyBorder="1" applyAlignment="1" quotePrefix="1">
      <alignment horizontal="center"/>
    </xf>
    <xf numFmtId="4" fontId="1" fillId="0" borderId="4" xfId="358" applyFont="1" applyBorder="1" quotePrefix="1">
      <alignment horizontal="left" vertical="top"/>
    </xf>
    <xf numFmtId="198" fontId="0" fillId="3" borderId="5" xfId="0" applyNumberFormat="1" applyFill="1" applyBorder="1" applyAlignment="1" quotePrefix="1">
      <alignment horizontal="center" vertical="top"/>
    </xf>
    <xf numFmtId="0" fontId="0" fillId="0" borderId="0" xfId="272" applyFont="1" applyAlignment="1" quotePrefix="1">
      <alignment horizontal="center"/>
    </xf>
    <xf numFmtId="37" fontId="71" fillId="40" borderId="7" xfId="0" applyNumberFormat="1" applyFont="1" applyFill="1" applyBorder="1" applyAlignment="1" quotePrefix="1">
      <alignment horizontal="center" vertical="top"/>
    </xf>
    <xf numFmtId="37" fontId="71" fillId="40" borderId="9" xfId="0" applyNumberFormat="1" applyFont="1" applyFill="1" applyBorder="1" applyAlignment="1" quotePrefix="1">
      <alignment horizontal="center" vertical="top"/>
    </xf>
    <xf numFmtId="37" fontId="13" fillId="0" borderId="0" xfId="0" applyNumberFormat="1" applyFont="1" quotePrefix="1">
      <alignment vertical="top"/>
    </xf>
    <xf numFmtId="9" fontId="8" fillId="34" borderId="105" xfId="3" applyFont="1" applyFill="1" applyBorder="1" applyAlignment="1" quotePrefix="1">
      <alignment horizontal="left"/>
    </xf>
    <xf numFmtId="176" fontId="0" fillId="0" borderId="4" xfId="0" applyBorder="1" quotePrefix="1">
      <alignment vertical="top"/>
    </xf>
    <xf numFmtId="37" fontId="8" fillId="0" borderId="82" xfId="0" applyNumberFormat="1" applyFont="1" applyBorder="1" applyAlignment="1" quotePrefix="1">
      <alignment horizontal="left"/>
    </xf>
    <xf numFmtId="37" fontId="7" fillId="0" borderId="0" xfId="0" applyNumberFormat="1" applyFont="1" applyAlignment="1" quotePrefix="1">
      <alignment horizontal="left" indent="1"/>
    </xf>
    <xf numFmtId="204" fontId="0" fillId="19" borderId="10" xfId="0" applyNumberFormat="1" applyFont="1" applyFill="1" applyBorder="1" applyAlignment="1" quotePrefix="1">
      <alignment horizontal="center" vertical="center"/>
    </xf>
    <xf numFmtId="176" fontId="8" fillId="34" borderId="13" xfId="0" applyFont="1" applyFill="1" applyBorder="1" applyAlignment="1" quotePrefix="1">
      <alignment horizontal="center"/>
    </xf>
    <xf numFmtId="176" fontId="116" fillId="0" borderId="0" xfId="0" applyFont="1" applyAlignment="1" quotePrefix="1">
      <alignment horizontal="left" indent="2"/>
    </xf>
    <xf numFmtId="210" fontId="0" fillId="0" borderId="14" xfId="3" applyNumberFormat="1" applyFont="1" applyBorder="1" applyAlignment="1" quotePrefix="1">
      <alignment horizontal="justify" vertical="top" wrapText="1"/>
    </xf>
    <xf numFmtId="210" fontId="7" fillId="0" borderId="9" xfId="3" applyNumberFormat="1" applyFont="1" applyBorder="1" applyAlignment="1" quotePrefix="1">
      <alignment horizontal="center" vertical="top" wrapText="1"/>
    </xf>
    <xf numFmtId="176" fontId="0" fillId="0" borderId="9" xfId="0" applyBorder="1" quotePrefix="1">
      <alignment vertical="top"/>
    </xf>
    <xf numFmtId="176" fontId="0" fillId="0" borderId="10" xfId="0" applyBorder="1" quotePrefix="1">
      <alignment vertical="top"/>
    </xf>
    <xf numFmtId="176" fontId="7" fillId="0" borderId="9" xfId="0" applyFont="1" applyBorder="1" applyAlignment="1" quotePrefix="1">
      <alignment horizontal="center" vertical="top"/>
    </xf>
    <xf numFmtId="176" fontId="116" fillId="0" borderId="0" xfId="0" applyFont="1" applyAlignment="1" quotePrefix="1">
      <alignment horizontal="left"/>
    </xf>
    <xf numFmtId="41" fontId="92" fillId="0" borderId="0" xfId="4" applyFont="1" applyAlignment="1" quotePrefix="1">
      <alignment horizontal="left" vertical="center"/>
    </xf>
    <xf numFmtId="176" fontId="71" fillId="0" borderId="0" xfId="0" applyFont="1" applyAlignment="1" quotePrefix="1">
      <alignment horizontal="left"/>
    </xf>
    <xf numFmtId="41" fontId="8" fillId="40" borderId="17" xfId="127" applyFont="1" applyFill="1" applyBorder="1" applyAlignment="1" quotePrefix="1">
      <alignment horizontal="center" vertical="center"/>
    </xf>
    <xf numFmtId="41" fontId="8" fillId="29" borderId="13" xfId="127" applyFont="1" applyFill="1" applyBorder="1" applyAlignment="1" quotePrefix="1">
      <alignment horizontal="center" vertical="center"/>
    </xf>
    <xf numFmtId="41" fontId="8" fillId="29" borderId="40" xfId="127" applyFont="1" applyFill="1" applyBorder="1" applyAlignment="1" quotePrefix="1">
      <alignment horizontal="center" vertical="center"/>
    </xf>
    <xf numFmtId="217" fontId="8" fillId="29" borderId="40" xfId="127" applyNumberFormat="1" applyFont="1" applyFill="1" applyBorder="1" applyAlignment="1" quotePrefix="1">
      <alignment horizontal="center" vertical="center"/>
    </xf>
    <xf numFmtId="41" fontId="111" fillId="0" borderId="0" xfId="127" applyFont="1" applyAlignment="1" quotePrefix="1">
      <alignment horizontal="left" vertical="center"/>
    </xf>
    <xf numFmtId="41" fontId="8" fillId="0" borderId="0" xfId="127" applyFont="1" applyAlignment="1" quotePrefix="1">
      <alignment horizontal="right" vertical="center"/>
    </xf>
    <xf numFmtId="176" fontId="95" fillId="40" borderId="4" xfId="0" applyFont="1" applyFill="1" applyBorder="1" applyAlignment="1" quotePrefix="1">
      <alignment horizontal="center" wrapText="1"/>
    </xf>
    <xf numFmtId="176" fontId="95" fillId="42" borderId="4" xfId="0" applyFont="1" applyFill="1" applyBorder="1" applyAlignment="1" quotePrefix="1">
      <alignment horizontal="center" vertical="center"/>
    </xf>
    <xf numFmtId="176" fontId="95" fillId="47" borderId="69" xfId="0" applyFont="1" applyFill="1" applyBorder="1" applyAlignment="1" quotePrefix="1">
      <alignment horizontal="center"/>
    </xf>
    <xf numFmtId="41" fontId="94" fillId="0" borderId="0" xfId="127" applyFont="1" applyAlignment="1" quotePrefix="1">
      <alignment horizontal="left" vertical="center"/>
    </xf>
    <xf numFmtId="177" fontId="108" fillId="30" borderId="20" xfId="0" applyNumberFormat="1" applyFont="1" applyFill="1" applyBorder="1" applyAlignment="1" quotePrefix="1">
      <alignment horizontal="left"/>
    </xf>
    <xf numFmtId="177" fontId="95" fillId="30" borderId="0" xfId="0" applyNumberFormat="1" applyFont="1" applyFill="1" applyAlignment="1" quotePrefix="1">
      <alignment horizontal="center"/>
    </xf>
    <xf numFmtId="177" fontId="109" fillId="30" borderId="0" xfId="0" applyNumberFormat="1" applyFont="1" applyFill="1" applyAlignment="1" quotePrefix="1">
      <alignment horizontal="center"/>
    </xf>
    <xf numFmtId="177" fontId="95" fillId="30" borderId="20" xfId="0" applyNumberFormat="1" applyFont="1" applyFill="1" applyBorder="1" applyAlignment="1" quotePrefix="1">
      <alignment horizontal="left"/>
    </xf>
    <xf numFmtId="177" fontId="96" fillId="30" borderId="20" xfId="0" applyNumberFormat="1" applyFont="1" applyFill="1" applyBorder="1" applyAlignment="1" quotePrefix="1">
      <alignment horizontal="left"/>
    </xf>
    <xf numFmtId="41" fontId="92" fillId="0" borderId="0" xfId="110" applyFont="1" applyAlignment="1" quotePrefix="1">
      <alignment horizontal="left" vertical="center"/>
    </xf>
    <xf numFmtId="41" fontId="8" fillId="0" borderId="0" xfId="258" applyNumberFormat="1" applyFont="1" applyAlignment="1" quotePrefix="1">
      <alignment horizontal="left"/>
    </xf>
    <xf numFmtId="0" fontId="13" fillId="0" borderId="80" xfId="258" applyBorder="1" applyAlignment="1" quotePrefix="1">
      <alignment horizontal="left"/>
    </xf>
    <xf numFmtId="0" fontId="94" fillId="0" borderId="0" xfId="258" applyFont="1" applyAlignment="1" quotePrefix="1">
      <alignment horizontal="left"/>
    </xf>
    <xf numFmtId="0" fontId="71" fillId="0" borderId="0" xfId="258" applyFont="1" applyAlignment="1" quotePrefix="1">
      <alignment horizontal="left"/>
    </xf>
    <xf numFmtId="0" fontId="13" fillId="0" borderId="0" xfId="258" applyAlignment="1" quotePrefix="1">
      <alignment horizontal="left"/>
    </xf>
    <xf numFmtId="176" fontId="8" fillId="0" borderId="0" xfId="0" applyFont="1" applyAlignment="1" quotePrefix="1">
      <alignment horizontal="left"/>
    </xf>
    <xf numFmtId="37" fontId="8" fillId="0" borderId="31" xfId="0" applyNumberFormat="1" applyFont="1" applyBorder="1" applyAlignment="1" quotePrefix="1">
      <alignment horizontal="left"/>
    </xf>
    <xf numFmtId="0" fontId="13" fillId="0" borderId="13" xfId="0" applyNumberFormat="1" applyFont="1" applyBorder="1" applyAlignment="1" quotePrefix="1">
      <alignment horizontal="center"/>
    </xf>
    <xf numFmtId="176" fontId="13" fillId="30" borderId="0" xfId="0" applyFont="1" applyFill="1" applyBorder="1" applyAlignment="1" quotePrefix="1">
      <alignment horizontal="left"/>
    </xf>
    <xf numFmtId="176" fontId="13" fillId="30" borderId="9" xfId="0" applyFont="1" applyFill="1" applyBorder="1" applyAlignment="1" quotePrefix="1">
      <alignment horizontal="left"/>
    </xf>
    <xf numFmtId="176" fontId="8" fillId="30" borderId="9" xfId="0" applyFont="1" applyFill="1" applyBorder="1" applyAlignment="1" quotePrefix="1">
      <alignment horizontal="left"/>
    </xf>
    <xf numFmtId="198" fontId="72" fillId="0" borderId="0" xfId="218" applyNumberFormat="1" applyFont="1" applyAlignment="1" quotePrefix="1"/>
    <xf numFmtId="176" fontId="0" fillId="0" borderId="14" xfId="0" applyBorder="1" applyAlignment="1" quotePrefix="1">
      <alignment horizontal="center" vertical="top"/>
    </xf>
    <xf numFmtId="0" fontId="79" fillId="0" borderId="0" xfId="258" applyFont="1" applyAlignment="1" quotePrefix="1">
      <alignment horizontal="center"/>
    </xf>
    <xf numFmtId="0" fontId="13" fillId="0" borderId="0" xfId="258" applyFont="1" applyAlignment="1" quotePrefix="1">
      <alignment horizontal="center"/>
    </xf>
    <xf numFmtId="4" fontId="56" fillId="0" borderId="4" xfId="374" applyFont="1" applyBorder="1" applyAlignment="1" quotePrefix="1"/>
    <xf numFmtId="37" fontId="50" fillId="0" borderId="13" xfId="0" applyNumberFormat="1" applyFont="1" applyBorder="1" applyAlignment="1" quotePrefix="1">
      <alignment horizontal="center"/>
    </xf>
    <xf numFmtId="176" fontId="13" fillId="0" borderId="0" xfId="0" applyFont="1" quotePrefix="1">
      <alignment vertical="top"/>
    </xf>
    <xf numFmtId="4" fontId="2" fillId="0" borderId="5" xfId="348" applyBorder="1" quotePrefix="1">
      <alignment horizontal="center" vertical="top"/>
    </xf>
    <xf numFmtId="176" fontId="15" fillId="0" borderId="0" xfId="0" applyFont="1" applyAlignment="1" quotePrefix="1">
      <alignment horizontal="left"/>
    </xf>
    <xf numFmtId="37" fontId="16" fillId="0" borderId="0" xfId="0" applyNumberFormat="1" applyFont="1" applyAlignment="1" quotePrefix="1">
      <alignment horizontal="left"/>
    </xf>
    <xf numFmtId="176" fontId="17" fillId="0" borderId="0" xfId="0" applyFont="1" applyAlignment="1" quotePrefix="1">
      <alignment horizontal="left" wrapText="1"/>
    </xf>
    <xf numFmtId="176" fontId="19" fillId="0" borderId="0" xfId="0" applyFont="1" applyAlignment="1" quotePrefix="1">
      <alignment horizontal="left"/>
    </xf>
    <xf numFmtId="4" fontId="11" fillId="0" borderId="4" xfId="370" applyBorder="1" applyAlignment="1" quotePrefix="1">
      <alignment horizontal="left" vertical="top"/>
    </xf>
    <xf numFmtId="4" fontId="2" fillId="0" borderId="1" xfId="348" applyBorder="1" applyAlignment="1" quotePrefix="1">
      <alignment vertical="center"/>
    </xf>
    <xf numFmtId="41" fontId="3" fillId="0" borderId="1" xfId="4" applyFont="1" applyBorder="1" applyAlignment="1" quotePrefix="1">
      <alignment vertical="center"/>
    </xf>
    <xf numFmtId="176" fontId="1" fillId="0" borderId="2" xfId="0" applyFont="1" applyBorder="1" applyAlignment="1" quotePrefix="1"/>
    <xf numFmtId="176" fontId="4" fillId="0" borderId="2" xfId="0" applyFont="1" applyBorder="1" applyAlignment="1" quotePrefix="1"/>
    <xf numFmtId="176" fontId="4" fillId="0" borderId="3" xfId="0" applyFont="1" applyBorder="1" applyAlignment="1" quotePrefix="1"/>
    <xf numFmtId="176" fontId="1" fillId="0" borderId="3" xfId="0" applyFont="1" applyBorder="1" applyAlignment="1" quotePrefix="1"/>
  </cellXfs>
  <cellStyles count="406">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0" xfId="49"/>
    <cellStyle name="0_ABFood recon tax-P2" xfId="50"/>
    <cellStyle name="0_ABFood report P11" xfId="51"/>
    <cellStyle name="0_ABFood report P12" xfId="52"/>
    <cellStyle name="0_ABFood report P3" xfId="53"/>
    <cellStyle name="0_ABFood report P4" xfId="54"/>
    <cellStyle name="0_ABFood report P5" xfId="55"/>
    <cellStyle name="0_ABFood report P9" xfId="56"/>
    <cellStyle name="0_Book1" xfId="57"/>
    <cellStyle name="0_Copy of ABFood report P13_YT" xfId="58"/>
    <cellStyle name="0_Copy of ABFood report P13_YT_revised" xfId="59"/>
    <cellStyle name="0_notes-ABF" xfId="60"/>
    <cellStyle name="0_Recon taxes P11" xfId="61"/>
    <cellStyle name="0_recon taxes- P4" xfId="62"/>
    <cellStyle name="0_recon taxes- P6" xfId="63"/>
    <cellStyle name="0_Recon taxes- P6 (revised)" xfId="64"/>
    <cellStyle name="0_tax recon AB food" xfId="65"/>
    <cellStyle name="0_TAX RECON P10" xfId="66"/>
    <cellStyle name="0_TAX RECON P8" xfId="67"/>
    <cellStyle name="9" xfId="68"/>
    <cellStyle name="active" xfId="69"/>
    <cellStyle name="Border" xfId="70"/>
    <cellStyle name="Calc Currency (0)" xfId="71"/>
    <cellStyle name="CAS" xfId="72"/>
    <cellStyle name="Column_Title" xfId="73"/>
    <cellStyle name="Comma  - Style1" xfId="74"/>
    <cellStyle name="Comma  - Style2" xfId="75"/>
    <cellStyle name="Comma  - Style3" xfId="76"/>
    <cellStyle name="Comma  - Style4" xfId="77"/>
    <cellStyle name="Comma  - Style5" xfId="78"/>
    <cellStyle name="Comma  - Style6" xfId="79"/>
    <cellStyle name="Comma  - Style7" xfId="80"/>
    <cellStyle name="Comma  - Style8" xfId="81"/>
    <cellStyle name="Comma [0] 10" xfId="82"/>
    <cellStyle name="Comma [0] 10 2" xfId="83"/>
    <cellStyle name="Comma [0] 10 3" xfId="84"/>
    <cellStyle name="Comma [0] 11" xfId="85"/>
    <cellStyle name="Comma [0] 11 2" xfId="86"/>
    <cellStyle name="Comma [0] 12" xfId="87"/>
    <cellStyle name="Comma [0] 13" xfId="88"/>
    <cellStyle name="Comma [0] 14" xfId="89"/>
    <cellStyle name="Comma [0] 14 2" xfId="90"/>
    <cellStyle name="Comma [0] 15" xfId="91"/>
    <cellStyle name="Comma [0] 15 2" xfId="92"/>
    <cellStyle name="Comma [0] 16" xfId="93"/>
    <cellStyle name="Comma [0] 16 2" xfId="94"/>
    <cellStyle name="Comma [0] 17" xfId="95"/>
    <cellStyle name="Comma [0] 17 2" xfId="96"/>
    <cellStyle name="Comma [0] 18" xfId="97"/>
    <cellStyle name="Comma [0] 18 2" xfId="98"/>
    <cellStyle name="Comma [0] 19" xfId="99"/>
    <cellStyle name="Comma [0] 2" xfId="100"/>
    <cellStyle name="Comma [0] 2 10" xfId="101"/>
    <cellStyle name="Comma [0] 2 2" xfId="102"/>
    <cellStyle name="Comma [0] 2 2 3" xfId="103"/>
    <cellStyle name="Comma [0] 2 2 7" xfId="104"/>
    <cellStyle name="Comma [0] 2 2 7 2" xfId="105"/>
    <cellStyle name="Comma [0] 2 3" xfId="106"/>
    <cellStyle name="Comma [0] 2 4" xfId="107"/>
    <cellStyle name="Comma [0] 2 5" xfId="108"/>
    <cellStyle name="Comma [0] 2 6" xfId="109"/>
    <cellStyle name="Comma [0] 2 7" xfId="110"/>
    <cellStyle name="Comma [0] 2 8" xfId="111"/>
    <cellStyle name="Comma [0] 2 8 2" xfId="112"/>
    <cellStyle name="Comma [0] 2 9" xfId="113"/>
    <cellStyle name="Comma [0] 20" xfId="114"/>
    <cellStyle name="Comma [0] 20 2" xfId="115"/>
    <cellStyle name="Comma [0] 21" xfId="116"/>
    <cellStyle name="Comma [0] 3" xfId="117"/>
    <cellStyle name="Comma [0] 4" xfId="118"/>
    <cellStyle name="Comma [0] 4 2" xfId="119"/>
    <cellStyle name="Comma [0] 5" xfId="120"/>
    <cellStyle name="Comma [0] 6" xfId="121"/>
    <cellStyle name="Comma [0] 7" xfId="122"/>
    <cellStyle name="Comma [0] 8" xfId="123"/>
    <cellStyle name="Comma [0] 8 2" xfId="124"/>
    <cellStyle name="Comma [0] 9" xfId="125"/>
    <cellStyle name="Comma [0] 9 2" xfId="126"/>
    <cellStyle name="Comma [0]_recap tax" xfId="127"/>
    <cellStyle name="Comma 10" xfId="128"/>
    <cellStyle name="Comma 10 2" xfId="129"/>
    <cellStyle name="Comma 10 2 2" xfId="130"/>
    <cellStyle name="Comma 10 3" xfId="131"/>
    <cellStyle name="Comma 10 4" xfId="132"/>
    <cellStyle name="Comma 10 5" xfId="133"/>
    <cellStyle name="Comma 11" xfId="134"/>
    <cellStyle name="Comma 12" xfId="135"/>
    <cellStyle name="Comma 13" xfId="136"/>
    <cellStyle name="Comma 14" xfId="137"/>
    <cellStyle name="Comma 15" xfId="138"/>
    <cellStyle name="Comma 16" xfId="139"/>
    <cellStyle name="Comma 16 2" xfId="140"/>
    <cellStyle name="Comma 17" xfId="141"/>
    <cellStyle name="Comma 18" xfId="142"/>
    <cellStyle name="Comma 18 2" xfId="143"/>
    <cellStyle name="Comma 19" xfId="144"/>
    <cellStyle name="Comma 19 2" xfId="145"/>
    <cellStyle name="Comma 2" xfId="146"/>
    <cellStyle name="Comma 2 10" xfId="147"/>
    <cellStyle name="Comma 2 2" xfId="148"/>
    <cellStyle name="Comma 2 2 2" xfId="149"/>
    <cellStyle name="Comma 2 3" xfId="150"/>
    <cellStyle name="Comma 2 4" xfId="151"/>
    <cellStyle name="Comma 20" xfId="152"/>
    <cellStyle name="Comma 20 2" xfId="153"/>
    <cellStyle name="Comma 21" xfId="154"/>
    <cellStyle name="Comma 3" xfId="155"/>
    <cellStyle name="Comma 3 2" xfId="156"/>
    <cellStyle name="Comma 4" xfId="157"/>
    <cellStyle name="Comma 4 2" xfId="158"/>
    <cellStyle name="Comma 4 2 2" xfId="159"/>
    <cellStyle name="Comma 5" xfId="160"/>
    <cellStyle name="Comma 6" xfId="161"/>
    <cellStyle name="Comma 6 2" xfId="162"/>
    <cellStyle name="Comma 6 2 2" xfId="163"/>
    <cellStyle name="Comma 6 3" xfId="164"/>
    <cellStyle name="Comma 6 4" xfId="165"/>
    <cellStyle name="Comma 7" xfId="166"/>
    <cellStyle name="Comma 7 2" xfId="167"/>
    <cellStyle name="Comma 7 2 2" xfId="168"/>
    <cellStyle name="Comma 8" xfId="169"/>
    <cellStyle name="Comma 8 2" xfId="170"/>
    <cellStyle name="Comma 8 3" xfId="171"/>
    <cellStyle name="Comma 9" xfId="172"/>
    <cellStyle name="Comma 9 2" xfId="173"/>
    <cellStyle name="Comma 9 3" xfId="174"/>
    <cellStyle name="Comma0" xfId="175"/>
    <cellStyle name="Currency 2" xfId="176"/>
    <cellStyle name="Currency 4 2 2" xfId="177"/>
    <cellStyle name="Currency 7" xfId="178"/>
    <cellStyle name="Currency 9" xfId="179"/>
    <cellStyle name="Currency 9 2" xfId="180"/>
    <cellStyle name="Currency(000)" xfId="181"/>
    <cellStyle name="Currency0" xfId="182"/>
    <cellStyle name="Date" xfId="183"/>
    <cellStyle name="Excel Built-in Comma [0]" xfId="184"/>
    <cellStyle name="Excel Built-in Normal" xfId="185"/>
    <cellStyle name="F2" xfId="186"/>
    <cellStyle name="F3" xfId="187"/>
    <cellStyle name="F4" xfId="188"/>
    <cellStyle name="F5" xfId="189"/>
    <cellStyle name="F6" xfId="190"/>
    <cellStyle name="F7" xfId="191"/>
    <cellStyle name="F8" xfId="192"/>
    <cellStyle name="Fixed" xfId="193"/>
    <cellStyle name="Grey" xfId="194"/>
    <cellStyle name="header" xfId="195"/>
    <cellStyle name="Header1" xfId="196"/>
    <cellStyle name="Header2" xfId="197"/>
    <cellStyle name="Heading1" xfId="198"/>
    <cellStyle name="Heading2" xfId="199"/>
    <cellStyle name="Hyperlink 2" xfId="200"/>
    <cellStyle name="Input [yellow]" xfId="201"/>
    <cellStyle name="Internal link" xfId="202"/>
    <cellStyle name="KPMG Heading 1" xfId="203"/>
    <cellStyle name="KPMG Heading 2" xfId="204"/>
    <cellStyle name="KPMG Heading 3" xfId="205"/>
    <cellStyle name="KPMG Heading 4" xfId="206"/>
    <cellStyle name="KPMG Normal" xfId="207"/>
    <cellStyle name="KPMG Normal Text" xfId="208"/>
    <cellStyle name="Milliers [0]_Cadre reporting.xls Graphique 1" xfId="209"/>
    <cellStyle name="Milliers_Cadre reporting.xls Graphique 1" xfId="210"/>
    <cellStyle name="Monétaire [0]_Cadre reporting.xls Graphique 1" xfId="211"/>
    <cellStyle name="Monétaire_Cadre reporting.xls Graphique 1" xfId="212"/>
    <cellStyle name="Normaali_RESULTS" xfId="213"/>
    <cellStyle name="Normal - Style1" xfId="214"/>
    <cellStyle name="Normal - Style2" xfId="215"/>
    <cellStyle name="Normal 10" xfId="216"/>
    <cellStyle name="Normal 10 10" xfId="217"/>
    <cellStyle name="Normal 10 2" xfId="218"/>
    <cellStyle name="Normal 10 2 2" xfId="219"/>
    <cellStyle name="Normal 10 3" xfId="220"/>
    <cellStyle name="Normal 10 4" xfId="221"/>
    <cellStyle name="Normal 11" xfId="222"/>
    <cellStyle name="Normal 12" xfId="223"/>
    <cellStyle name="Normal 12 2" xfId="224"/>
    <cellStyle name="Normal 13" xfId="225"/>
    <cellStyle name="Normal 14" xfId="226"/>
    <cellStyle name="Normal 15" xfId="227"/>
    <cellStyle name="Normal 16" xfId="228"/>
    <cellStyle name="Normal 17" xfId="229"/>
    <cellStyle name="Normal 2" xfId="230"/>
    <cellStyle name="Normal 2 2" xfId="231"/>
    <cellStyle name="Normal 2 2 2" xfId="232"/>
    <cellStyle name="Normal 2 2 7" xfId="233"/>
    <cellStyle name="Normal 2 2 7 2" xfId="234"/>
    <cellStyle name="Normal 2 3" xfId="235"/>
    <cellStyle name="Normal 2 4" xfId="236"/>
    <cellStyle name="Normal 2 5" xfId="237"/>
    <cellStyle name="Normal 2 6" xfId="238"/>
    <cellStyle name="Normal 21" xfId="239"/>
    <cellStyle name="Normal 22" xfId="240"/>
    <cellStyle name="Normal 22 7" xfId="241"/>
    <cellStyle name="Normal 3" xfId="242"/>
    <cellStyle name="Normal 3 2" xfId="243"/>
    <cellStyle name="Normal 31" xfId="244"/>
    <cellStyle name="Normal 4" xfId="245"/>
    <cellStyle name="Normal 4 2" xfId="246"/>
    <cellStyle name="Normal 4 3" xfId="247"/>
    <cellStyle name="Normal 5" xfId="248"/>
    <cellStyle name="Normal 5 2" xfId="249"/>
    <cellStyle name="Normal 6" xfId="250"/>
    <cellStyle name="Normal 6 2" xfId="251"/>
    <cellStyle name="Normal 6 3" xfId="252"/>
    <cellStyle name="Normal 6 3 2" xfId="253"/>
    <cellStyle name="Normal 6 4" xfId="254"/>
    <cellStyle name="Normal 7" xfId="255"/>
    <cellStyle name="Normal 7 2" xfId="256"/>
    <cellStyle name="Normal 7 2 2" xfId="257"/>
    <cellStyle name="Normal 8" xfId="258"/>
    <cellStyle name="Normal 8 2" xfId="259"/>
    <cellStyle name="Normal 8 3" xfId="260"/>
    <cellStyle name="Normal 8 4" xfId="261"/>
    <cellStyle name="Normal 9" xfId="262"/>
    <cellStyle name="Normal 9 2" xfId="263"/>
    <cellStyle name="Normal 9 3" xfId="264"/>
    <cellStyle name="Normal_PT Sahid Grup Jawa - Satrya Bhima Sakti 05" xfId="265"/>
    <cellStyle name="Normal_Sheet1" xfId="266"/>
    <cellStyle name="Normal_tax june 2006" xfId="267"/>
    <cellStyle name="Normal_tax june 2006 2" xfId="268"/>
    <cellStyle name="Normal_Working Paper.04" xfId="269"/>
    <cellStyle name="Normal_WP AUS123106_UPDATE" xfId="270"/>
    <cellStyle name="Normal_WP G1 - Prepaid tax &amp; exp_WBS 2005 REVISI" xfId="271"/>
    <cellStyle name="Normal_WP K - PPE _WBS 2005 REVISI" xfId="272"/>
    <cellStyle name="Normal_WP MI Surabaya 30062006" xfId="273"/>
    <cellStyle name="Normal_WP MI Surabaya 30062006 2" xfId="274"/>
    <cellStyle name="Note heading" xfId="275"/>
    <cellStyle name="Percent [2]" xfId="276"/>
    <cellStyle name="Percent 10" xfId="277"/>
    <cellStyle name="Percent 2" xfId="278"/>
    <cellStyle name="Percent 2 2" xfId="279"/>
    <cellStyle name="Percent 3" xfId="280"/>
    <cellStyle name="Percent 4" xfId="281"/>
    <cellStyle name="Percent 5" xfId="282"/>
    <cellStyle name="Percent 5 2" xfId="283"/>
    <cellStyle name="Percent 5 3" xfId="284"/>
    <cellStyle name="Percent 6" xfId="285"/>
    <cellStyle name="Percent 7" xfId="286"/>
    <cellStyle name="Percent 8" xfId="287"/>
    <cellStyle name="Percent 9" xfId="288"/>
    <cellStyle name="Pilkku_RESULTS" xfId="289"/>
    <cellStyle name="PSChar" xfId="290"/>
    <cellStyle name="PSDate" xfId="291"/>
    <cellStyle name="PSDec" xfId="292"/>
    <cellStyle name="PSHeading" xfId="293"/>
    <cellStyle name="PSInt" xfId="294"/>
    <cellStyle name="RTU_N1" xfId="295"/>
    <cellStyle name="S0" xfId="296"/>
    <cellStyle name="S0 2" xfId="297"/>
    <cellStyle name="S0 3" xfId="298"/>
    <cellStyle name="S0 4" xfId="299"/>
    <cellStyle name="S1" xfId="300"/>
    <cellStyle name="S1 2" xfId="301"/>
    <cellStyle name="S1 3" xfId="302"/>
    <cellStyle name="S1 4" xfId="303"/>
    <cellStyle name="S10" xfId="304"/>
    <cellStyle name="S10 2" xfId="305"/>
    <cellStyle name="S10 3" xfId="306"/>
    <cellStyle name="S10 4" xfId="307"/>
    <cellStyle name="S10 5" xfId="308"/>
    <cellStyle name="S10 6" xfId="309"/>
    <cellStyle name="S11" xfId="310"/>
    <cellStyle name="S11 2" xfId="311"/>
    <cellStyle name="S11 3" xfId="312"/>
    <cellStyle name="S11 4" xfId="313"/>
    <cellStyle name="S11 5" xfId="314"/>
    <cellStyle name="S11 6" xfId="315"/>
    <cellStyle name="S11 7" xfId="316"/>
    <cellStyle name="S12" xfId="317"/>
    <cellStyle name="S12 2" xfId="318"/>
    <cellStyle name="S12 3" xfId="319"/>
    <cellStyle name="S12 4" xfId="320"/>
    <cellStyle name="S12 5" xfId="321"/>
    <cellStyle name="S12 6" xfId="322"/>
    <cellStyle name="S12 7" xfId="323"/>
    <cellStyle name="S13" xfId="324"/>
    <cellStyle name="S13 2" xfId="325"/>
    <cellStyle name="S13 3" xfId="326"/>
    <cellStyle name="S13 4" xfId="327"/>
    <cellStyle name="S13 5" xfId="328"/>
    <cellStyle name="S14" xfId="329"/>
    <cellStyle name="S14 2" xfId="330"/>
    <cellStyle name="S14 3" xfId="331"/>
    <cellStyle name="S14 4" xfId="332"/>
    <cellStyle name="S15" xfId="333"/>
    <cellStyle name="S15 2" xfId="334"/>
    <cellStyle name="S2" xfId="335"/>
    <cellStyle name="S2 2" xfId="336"/>
    <cellStyle name="S2 3" xfId="337"/>
    <cellStyle name="S2 4" xfId="338"/>
    <cellStyle name="S3" xfId="339"/>
    <cellStyle name="S3 2" xfId="340"/>
    <cellStyle name="S3 3" xfId="341"/>
    <cellStyle name="S3 4" xfId="342"/>
    <cellStyle name="S3 5" xfId="343"/>
    <cellStyle name="S3 6" xfId="344"/>
    <cellStyle name="S4" xfId="345"/>
    <cellStyle name="S4 2" xfId="346"/>
    <cellStyle name="S4 3" xfId="347"/>
    <cellStyle name="S4 4" xfId="348"/>
    <cellStyle name="S4 5" xfId="349"/>
    <cellStyle name="S4 6" xfId="350"/>
    <cellStyle name="S5" xfId="351"/>
    <cellStyle name="S5 2" xfId="352"/>
    <cellStyle name="S5 3" xfId="353"/>
    <cellStyle name="S5 4" xfId="354"/>
    <cellStyle name="S5 5" xfId="355"/>
    <cellStyle name="S5 6" xfId="356"/>
    <cellStyle name="S5 7" xfId="357"/>
    <cellStyle name="S6" xfId="358"/>
    <cellStyle name="S6 2" xfId="359"/>
    <cellStyle name="S6 3" xfId="360"/>
    <cellStyle name="S6 4" xfId="361"/>
    <cellStyle name="S6 5" xfId="362"/>
    <cellStyle name="S6 6" xfId="363"/>
    <cellStyle name="S6 7" xfId="364"/>
    <cellStyle name="S6 8" xfId="365"/>
    <cellStyle name="S7" xfId="366"/>
    <cellStyle name="S7 2" xfId="367"/>
    <cellStyle name="S7 3" xfId="368"/>
    <cellStyle name="S7 4" xfId="369"/>
    <cellStyle name="S7 5" xfId="370"/>
    <cellStyle name="S7 6" xfId="371"/>
    <cellStyle name="S7 7" xfId="372"/>
    <cellStyle name="S7 8" xfId="373"/>
    <cellStyle name="S8" xfId="374"/>
    <cellStyle name="S8 2" xfId="375"/>
    <cellStyle name="S8 3" xfId="376"/>
    <cellStyle name="S8 4" xfId="377"/>
    <cellStyle name="S8 5" xfId="378"/>
    <cellStyle name="S8 6" xfId="379"/>
    <cellStyle name="S8 7" xfId="380"/>
    <cellStyle name="S8 8" xfId="381"/>
    <cellStyle name="S8 9" xfId="382"/>
    <cellStyle name="S9" xfId="383"/>
    <cellStyle name="S9 10" xfId="384"/>
    <cellStyle name="S9 2" xfId="385"/>
    <cellStyle name="S9 3" xfId="386"/>
    <cellStyle name="S9 4" xfId="387"/>
    <cellStyle name="S9 5" xfId="388"/>
    <cellStyle name="S9 6" xfId="389"/>
    <cellStyle name="S9 7" xfId="390"/>
    <cellStyle name="S9 8" xfId="391"/>
    <cellStyle name="S9 9" xfId="392"/>
    <cellStyle name="sans" xfId="393"/>
    <cellStyle name="SAPBEXaggData" xfId="394"/>
    <cellStyle name="Style 1" xfId="395"/>
    <cellStyle name="Transfer out" xfId="396"/>
    <cellStyle name="Tusental (0)_laroux" xfId="397"/>
    <cellStyle name="Tusental_laroux" xfId="398"/>
    <cellStyle name="Unprotected" xfId="399"/>
    <cellStyle name="Valuta (0)_laroux" xfId="400"/>
    <cellStyle name="Valuta_laroux" xfId="401"/>
    <cellStyle name="一般_Accrual &amp; Provision" xfId="402"/>
    <cellStyle name="未定義" xfId="403"/>
    <cellStyle name="標準_04.5月在庫" xfId="404"/>
    <cellStyle name="通貨_INDONESIA BB CB 第1期～3期" xfId="405"/>
  </cellStyles>
  <tableStyles count="0" defaultTableStyle="TableStyleMedium2" defaultPivotStyle="PivotStyleLight16"/>
  <colors>
    <mruColors>
      <color rgb="00DCFBA5"/>
      <color rgb="0099FF99"/>
      <color rgb="00A6FAD8"/>
      <color rgb="00AFF3AD"/>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6" Type="http://schemas.openxmlformats.org/officeDocument/2006/relationships/sharedStrings" Target="sharedStrings.xml"/><Relationship Id="rId225" Type="http://schemas.openxmlformats.org/officeDocument/2006/relationships/styles" Target="styles.xml"/><Relationship Id="rId224" Type="http://schemas.openxmlformats.org/officeDocument/2006/relationships/theme" Target="theme/theme1.xml"/><Relationship Id="rId223" Type="http://schemas.openxmlformats.org/officeDocument/2006/relationships/externalLink" Target="externalLinks/externalLink112.xml"/><Relationship Id="rId222" Type="http://schemas.openxmlformats.org/officeDocument/2006/relationships/externalLink" Target="externalLinks/externalLink111.xml"/><Relationship Id="rId221" Type="http://schemas.openxmlformats.org/officeDocument/2006/relationships/externalLink" Target="externalLinks/externalLink110.xml"/><Relationship Id="rId220" Type="http://schemas.openxmlformats.org/officeDocument/2006/relationships/externalLink" Target="externalLinks/externalLink109.xml"/><Relationship Id="rId22" Type="http://schemas.openxmlformats.org/officeDocument/2006/relationships/worksheet" Target="worksheets/sheet22.xml"/><Relationship Id="rId219" Type="http://schemas.openxmlformats.org/officeDocument/2006/relationships/externalLink" Target="externalLinks/externalLink108.xml"/><Relationship Id="rId218" Type="http://schemas.openxmlformats.org/officeDocument/2006/relationships/externalLink" Target="externalLinks/externalLink107.xml"/><Relationship Id="rId217" Type="http://schemas.openxmlformats.org/officeDocument/2006/relationships/externalLink" Target="externalLinks/externalLink106.xml"/><Relationship Id="rId216" Type="http://schemas.openxmlformats.org/officeDocument/2006/relationships/externalLink" Target="externalLinks/externalLink105.xml"/><Relationship Id="rId215" Type="http://schemas.openxmlformats.org/officeDocument/2006/relationships/externalLink" Target="externalLinks/externalLink104.xml"/><Relationship Id="rId214" Type="http://schemas.openxmlformats.org/officeDocument/2006/relationships/externalLink" Target="externalLinks/externalLink103.xml"/><Relationship Id="rId213" Type="http://schemas.openxmlformats.org/officeDocument/2006/relationships/externalLink" Target="externalLinks/externalLink102.xml"/><Relationship Id="rId212" Type="http://schemas.openxmlformats.org/officeDocument/2006/relationships/externalLink" Target="externalLinks/externalLink101.xml"/><Relationship Id="rId211" Type="http://schemas.openxmlformats.org/officeDocument/2006/relationships/externalLink" Target="externalLinks/externalLink100.xml"/><Relationship Id="rId210" Type="http://schemas.openxmlformats.org/officeDocument/2006/relationships/externalLink" Target="externalLinks/externalLink99.xml"/><Relationship Id="rId21" Type="http://schemas.openxmlformats.org/officeDocument/2006/relationships/worksheet" Target="worksheets/sheet21.xml"/><Relationship Id="rId209" Type="http://schemas.openxmlformats.org/officeDocument/2006/relationships/externalLink" Target="externalLinks/externalLink98.xml"/><Relationship Id="rId208" Type="http://schemas.openxmlformats.org/officeDocument/2006/relationships/externalLink" Target="externalLinks/externalLink97.xml"/><Relationship Id="rId207" Type="http://schemas.openxmlformats.org/officeDocument/2006/relationships/externalLink" Target="externalLinks/externalLink96.xml"/><Relationship Id="rId206" Type="http://schemas.openxmlformats.org/officeDocument/2006/relationships/externalLink" Target="externalLinks/externalLink95.xml"/><Relationship Id="rId205" Type="http://schemas.openxmlformats.org/officeDocument/2006/relationships/externalLink" Target="externalLinks/externalLink94.xml"/><Relationship Id="rId204" Type="http://schemas.openxmlformats.org/officeDocument/2006/relationships/externalLink" Target="externalLinks/externalLink93.xml"/><Relationship Id="rId203" Type="http://schemas.openxmlformats.org/officeDocument/2006/relationships/externalLink" Target="externalLinks/externalLink92.xml"/><Relationship Id="rId202" Type="http://schemas.openxmlformats.org/officeDocument/2006/relationships/externalLink" Target="externalLinks/externalLink91.xml"/><Relationship Id="rId201" Type="http://schemas.openxmlformats.org/officeDocument/2006/relationships/externalLink" Target="externalLinks/externalLink90.xml"/><Relationship Id="rId200" Type="http://schemas.openxmlformats.org/officeDocument/2006/relationships/externalLink" Target="externalLinks/externalLink89.xml"/><Relationship Id="rId20" Type="http://schemas.openxmlformats.org/officeDocument/2006/relationships/worksheet" Target="worksheets/sheet20.xml"/><Relationship Id="rId2" Type="http://schemas.openxmlformats.org/officeDocument/2006/relationships/worksheet" Target="worksheets/sheet2.xml"/><Relationship Id="rId199" Type="http://schemas.openxmlformats.org/officeDocument/2006/relationships/externalLink" Target="externalLinks/externalLink88.xml"/><Relationship Id="rId198" Type="http://schemas.openxmlformats.org/officeDocument/2006/relationships/externalLink" Target="externalLinks/externalLink87.xml"/><Relationship Id="rId197" Type="http://schemas.openxmlformats.org/officeDocument/2006/relationships/externalLink" Target="externalLinks/externalLink86.xml"/><Relationship Id="rId196" Type="http://schemas.openxmlformats.org/officeDocument/2006/relationships/externalLink" Target="externalLinks/externalLink85.xml"/><Relationship Id="rId195" Type="http://schemas.openxmlformats.org/officeDocument/2006/relationships/externalLink" Target="externalLinks/externalLink84.xml"/><Relationship Id="rId194" Type="http://schemas.openxmlformats.org/officeDocument/2006/relationships/externalLink" Target="externalLinks/externalLink83.xml"/><Relationship Id="rId193" Type="http://schemas.openxmlformats.org/officeDocument/2006/relationships/externalLink" Target="externalLinks/externalLink82.xml"/><Relationship Id="rId192" Type="http://schemas.openxmlformats.org/officeDocument/2006/relationships/externalLink" Target="externalLinks/externalLink81.xml"/><Relationship Id="rId191" Type="http://schemas.openxmlformats.org/officeDocument/2006/relationships/externalLink" Target="externalLinks/externalLink80.xml"/><Relationship Id="rId190" Type="http://schemas.openxmlformats.org/officeDocument/2006/relationships/externalLink" Target="externalLinks/externalLink79.xml"/><Relationship Id="rId19" Type="http://schemas.openxmlformats.org/officeDocument/2006/relationships/worksheet" Target="worksheets/sheet19.xml"/><Relationship Id="rId189" Type="http://schemas.openxmlformats.org/officeDocument/2006/relationships/externalLink" Target="externalLinks/externalLink78.xml"/><Relationship Id="rId188" Type="http://schemas.openxmlformats.org/officeDocument/2006/relationships/externalLink" Target="externalLinks/externalLink77.xml"/><Relationship Id="rId187" Type="http://schemas.openxmlformats.org/officeDocument/2006/relationships/externalLink" Target="externalLinks/externalLink76.xml"/><Relationship Id="rId186" Type="http://schemas.openxmlformats.org/officeDocument/2006/relationships/externalLink" Target="externalLinks/externalLink75.xml"/><Relationship Id="rId185" Type="http://schemas.openxmlformats.org/officeDocument/2006/relationships/externalLink" Target="externalLinks/externalLink74.xml"/><Relationship Id="rId184" Type="http://schemas.openxmlformats.org/officeDocument/2006/relationships/externalLink" Target="externalLinks/externalLink73.xml"/><Relationship Id="rId183" Type="http://schemas.openxmlformats.org/officeDocument/2006/relationships/externalLink" Target="externalLinks/externalLink72.xml"/><Relationship Id="rId182" Type="http://schemas.openxmlformats.org/officeDocument/2006/relationships/externalLink" Target="externalLinks/externalLink71.xml"/><Relationship Id="rId181" Type="http://schemas.openxmlformats.org/officeDocument/2006/relationships/externalLink" Target="externalLinks/externalLink70.xml"/><Relationship Id="rId180" Type="http://schemas.openxmlformats.org/officeDocument/2006/relationships/externalLink" Target="externalLinks/externalLink69.xml"/><Relationship Id="rId18" Type="http://schemas.openxmlformats.org/officeDocument/2006/relationships/worksheet" Target="worksheets/sheet18.xml"/><Relationship Id="rId179" Type="http://schemas.openxmlformats.org/officeDocument/2006/relationships/externalLink" Target="externalLinks/externalLink68.xml"/><Relationship Id="rId178" Type="http://schemas.openxmlformats.org/officeDocument/2006/relationships/externalLink" Target="externalLinks/externalLink67.xml"/><Relationship Id="rId177" Type="http://schemas.openxmlformats.org/officeDocument/2006/relationships/externalLink" Target="externalLinks/externalLink66.xml"/><Relationship Id="rId176" Type="http://schemas.openxmlformats.org/officeDocument/2006/relationships/externalLink" Target="externalLinks/externalLink65.xml"/><Relationship Id="rId175" Type="http://schemas.openxmlformats.org/officeDocument/2006/relationships/externalLink" Target="externalLinks/externalLink64.xml"/><Relationship Id="rId174" Type="http://schemas.openxmlformats.org/officeDocument/2006/relationships/externalLink" Target="externalLinks/externalLink63.xml"/><Relationship Id="rId173" Type="http://schemas.openxmlformats.org/officeDocument/2006/relationships/externalLink" Target="externalLinks/externalLink62.xml"/><Relationship Id="rId172" Type="http://schemas.openxmlformats.org/officeDocument/2006/relationships/externalLink" Target="externalLinks/externalLink61.xml"/><Relationship Id="rId171" Type="http://schemas.openxmlformats.org/officeDocument/2006/relationships/externalLink" Target="externalLinks/externalLink60.xml"/><Relationship Id="rId170" Type="http://schemas.openxmlformats.org/officeDocument/2006/relationships/externalLink" Target="externalLinks/externalLink59.xml"/><Relationship Id="rId17" Type="http://schemas.openxmlformats.org/officeDocument/2006/relationships/worksheet" Target="worksheets/sheet17.xml"/><Relationship Id="rId169" Type="http://schemas.openxmlformats.org/officeDocument/2006/relationships/externalLink" Target="externalLinks/externalLink58.xml"/><Relationship Id="rId168" Type="http://schemas.openxmlformats.org/officeDocument/2006/relationships/externalLink" Target="externalLinks/externalLink57.xml"/><Relationship Id="rId167" Type="http://schemas.openxmlformats.org/officeDocument/2006/relationships/externalLink" Target="externalLinks/externalLink56.xml"/><Relationship Id="rId166" Type="http://schemas.openxmlformats.org/officeDocument/2006/relationships/externalLink" Target="externalLinks/externalLink55.xml"/><Relationship Id="rId165" Type="http://schemas.openxmlformats.org/officeDocument/2006/relationships/externalLink" Target="externalLinks/externalLink54.xml"/><Relationship Id="rId164" Type="http://schemas.openxmlformats.org/officeDocument/2006/relationships/externalLink" Target="externalLinks/externalLink53.xml"/><Relationship Id="rId163" Type="http://schemas.openxmlformats.org/officeDocument/2006/relationships/externalLink" Target="externalLinks/externalLink52.xml"/><Relationship Id="rId162" Type="http://schemas.openxmlformats.org/officeDocument/2006/relationships/externalLink" Target="externalLinks/externalLink51.xml"/><Relationship Id="rId161" Type="http://schemas.openxmlformats.org/officeDocument/2006/relationships/externalLink" Target="externalLinks/externalLink50.xml"/><Relationship Id="rId160" Type="http://schemas.openxmlformats.org/officeDocument/2006/relationships/externalLink" Target="externalLinks/externalLink49.xml"/><Relationship Id="rId16" Type="http://schemas.openxmlformats.org/officeDocument/2006/relationships/worksheet" Target="worksheets/sheet16.xml"/><Relationship Id="rId159" Type="http://schemas.openxmlformats.org/officeDocument/2006/relationships/externalLink" Target="externalLinks/externalLink48.xml"/><Relationship Id="rId158" Type="http://schemas.openxmlformats.org/officeDocument/2006/relationships/externalLink" Target="externalLinks/externalLink47.xml"/><Relationship Id="rId157" Type="http://schemas.openxmlformats.org/officeDocument/2006/relationships/externalLink" Target="externalLinks/externalLink46.xml"/><Relationship Id="rId156" Type="http://schemas.openxmlformats.org/officeDocument/2006/relationships/externalLink" Target="externalLinks/externalLink45.xml"/><Relationship Id="rId155" Type="http://schemas.openxmlformats.org/officeDocument/2006/relationships/externalLink" Target="externalLinks/externalLink44.xml"/><Relationship Id="rId154" Type="http://schemas.openxmlformats.org/officeDocument/2006/relationships/externalLink" Target="externalLinks/externalLink43.xml"/><Relationship Id="rId153" Type="http://schemas.openxmlformats.org/officeDocument/2006/relationships/externalLink" Target="externalLinks/externalLink42.xml"/><Relationship Id="rId152" Type="http://schemas.openxmlformats.org/officeDocument/2006/relationships/externalLink" Target="externalLinks/externalLink41.xml"/><Relationship Id="rId151" Type="http://schemas.openxmlformats.org/officeDocument/2006/relationships/externalLink" Target="externalLinks/externalLink40.xml"/><Relationship Id="rId150" Type="http://schemas.openxmlformats.org/officeDocument/2006/relationships/externalLink" Target="externalLinks/externalLink39.xml"/><Relationship Id="rId15" Type="http://schemas.openxmlformats.org/officeDocument/2006/relationships/worksheet" Target="worksheets/sheet15.xml"/><Relationship Id="rId149" Type="http://schemas.openxmlformats.org/officeDocument/2006/relationships/externalLink" Target="externalLinks/externalLink38.xml"/><Relationship Id="rId148" Type="http://schemas.openxmlformats.org/officeDocument/2006/relationships/externalLink" Target="externalLinks/externalLink37.xml"/><Relationship Id="rId147" Type="http://schemas.openxmlformats.org/officeDocument/2006/relationships/externalLink" Target="externalLinks/externalLink36.xml"/><Relationship Id="rId146" Type="http://schemas.openxmlformats.org/officeDocument/2006/relationships/externalLink" Target="externalLinks/externalLink35.xml"/><Relationship Id="rId145" Type="http://schemas.openxmlformats.org/officeDocument/2006/relationships/externalLink" Target="externalLinks/externalLink34.xml"/><Relationship Id="rId144" Type="http://schemas.openxmlformats.org/officeDocument/2006/relationships/externalLink" Target="externalLinks/externalLink33.xml"/><Relationship Id="rId143" Type="http://schemas.openxmlformats.org/officeDocument/2006/relationships/externalLink" Target="externalLinks/externalLink32.xml"/><Relationship Id="rId142" Type="http://schemas.openxmlformats.org/officeDocument/2006/relationships/externalLink" Target="externalLinks/externalLink31.xml"/><Relationship Id="rId141" Type="http://schemas.openxmlformats.org/officeDocument/2006/relationships/externalLink" Target="externalLinks/externalLink30.xml"/><Relationship Id="rId140" Type="http://schemas.openxmlformats.org/officeDocument/2006/relationships/externalLink" Target="externalLinks/externalLink29.xml"/><Relationship Id="rId14" Type="http://schemas.openxmlformats.org/officeDocument/2006/relationships/worksheet" Target="worksheets/sheet14.xml"/><Relationship Id="rId139" Type="http://schemas.openxmlformats.org/officeDocument/2006/relationships/externalLink" Target="externalLinks/externalLink28.xml"/><Relationship Id="rId138" Type="http://schemas.openxmlformats.org/officeDocument/2006/relationships/externalLink" Target="externalLinks/externalLink27.xml"/><Relationship Id="rId137" Type="http://schemas.openxmlformats.org/officeDocument/2006/relationships/externalLink" Target="externalLinks/externalLink26.xml"/><Relationship Id="rId136" Type="http://schemas.openxmlformats.org/officeDocument/2006/relationships/externalLink" Target="externalLinks/externalLink25.xml"/><Relationship Id="rId135" Type="http://schemas.openxmlformats.org/officeDocument/2006/relationships/externalLink" Target="externalLinks/externalLink24.xml"/><Relationship Id="rId134" Type="http://schemas.openxmlformats.org/officeDocument/2006/relationships/externalLink" Target="externalLinks/externalLink23.xml"/><Relationship Id="rId133" Type="http://schemas.openxmlformats.org/officeDocument/2006/relationships/externalLink" Target="externalLinks/externalLink22.xml"/><Relationship Id="rId132" Type="http://schemas.openxmlformats.org/officeDocument/2006/relationships/externalLink" Target="externalLinks/externalLink21.xml"/><Relationship Id="rId131" Type="http://schemas.openxmlformats.org/officeDocument/2006/relationships/externalLink" Target="externalLinks/externalLink20.xml"/><Relationship Id="rId130" Type="http://schemas.openxmlformats.org/officeDocument/2006/relationships/externalLink" Target="externalLinks/externalLink19.xml"/><Relationship Id="rId13" Type="http://schemas.openxmlformats.org/officeDocument/2006/relationships/worksheet" Target="worksheets/sheet13.xml"/><Relationship Id="rId129" Type="http://schemas.openxmlformats.org/officeDocument/2006/relationships/externalLink" Target="externalLinks/externalLink18.xml"/><Relationship Id="rId128" Type="http://schemas.openxmlformats.org/officeDocument/2006/relationships/externalLink" Target="externalLinks/externalLink17.xml"/><Relationship Id="rId127" Type="http://schemas.openxmlformats.org/officeDocument/2006/relationships/externalLink" Target="externalLinks/externalLink16.xml"/><Relationship Id="rId126" Type="http://schemas.openxmlformats.org/officeDocument/2006/relationships/externalLink" Target="externalLinks/externalLink15.xml"/><Relationship Id="rId125" Type="http://schemas.openxmlformats.org/officeDocument/2006/relationships/externalLink" Target="externalLinks/externalLink14.xml"/><Relationship Id="rId124" Type="http://schemas.openxmlformats.org/officeDocument/2006/relationships/externalLink" Target="externalLinks/externalLink13.xml"/><Relationship Id="rId123" Type="http://schemas.openxmlformats.org/officeDocument/2006/relationships/externalLink" Target="externalLinks/externalLink12.xml"/><Relationship Id="rId122" Type="http://schemas.openxmlformats.org/officeDocument/2006/relationships/externalLink" Target="externalLinks/externalLink11.xml"/><Relationship Id="rId121" Type="http://schemas.openxmlformats.org/officeDocument/2006/relationships/externalLink" Target="externalLinks/externalLink10.xml"/><Relationship Id="rId120" Type="http://schemas.openxmlformats.org/officeDocument/2006/relationships/externalLink" Target="externalLinks/externalLink9.xml"/><Relationship Id="rId12" Type="http://schemas.openxmlformats.org/officeDocument/2006/relationships/worksheet" Target="worksheets/sheet12.xml"/><Relationship Id="rId119" Type="http://schemas.openxmlformats.org/officeDocument/2006/relationships/externalLink" Target="externalLinks/externalLink8.xml"/><Relationship Id="rId118" Type="http://schemas.openxmlformats.org/officeDocument/2006/relationships/externalLink" Target="externalLinks/externalLink7.xml"/><Relationship Id="rId117" Type="http://schemas.openxmlformats.org/officeDocument/2006/relationships/externalLink" Target="externalLinks/externalLink6.xml"/><Relationship Id="rId116" Type="http://schemas.openxmlformats.org/officeDocument/2006/relationships/externalLink" Target="externalLinks/externalLink5.xml"/><Relationship Id="rId115" Type="http://schemas.openxmlformats.org/officeDocument/2006/relationships/externalLink" Target="externalLinks/externalLink4.xml"/><Relationship Id="rId114" Type="http://schemas.openxmlformats.org/officeDocument/2006/relationships/externalLink" Target="externalLinks/externalLink3.xml"/><Relationship Id="rId113" Type="http://schemas.openxmlformats.org/officeDocument/2006/relationships/externalLink" Target="externalLinks/externalLink2.xml"/><Relationship Id="rId112" Type="http://schemas.openxmlformats.org/officeDocument/2006/relationships/externalLink" Target="externalLinks/externalLink1.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emf"/></Relationships>
</file>

<file path=xl/drawings/_rels/drawing20.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2.xml.rels><?xml version="1.0" encoding="UTF-8" standalone="yes"?>
<Relationships xmlns="http://schemas.openxmlformats.org/package/2006/relationships"><Relationship Id="rId1" Type="http://schemas.openxmlformats.org/officeDocument/2006/relationships/image" Target="../media/image1.emf"/></Relationships>
</file>

<file path=xl/drawings/_rels/drawing23.xml.rels><?xml version="1.0" encoding="UTF-8" standalone="yes"?>
<Relationships xmlns="http://schemas.openxmlformats.org/package/2006/relationships"><Relationship Id="rId1" Type="http://schemas.openxmlformats.org/officeDocument/2006/relationships/image" Target="../media/image1.emf"/></Relationships>
</file>

<file path=xl/drawings/_rels/drawing2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emf"/></Relationships>
</file>

<file path=xl/drawings/_rels/drawing27.xml.rels><?xml version="1.0" encoding="UTF-8" standalone="yes"?>
<Relationships xmlns="http://schemas.openxmlformats.org/package/2006/relationships"><Relationship Id="rId1" Type="http://schemas.openxmlformats.org/officeDocument/2006/relationships/image" Target="../media/image1.emf"/></Relationships>
</file>

<file path=xl/drawings/_rels/drawing28.xml.rels><?xml version="1.0" encoding="UTF-8" standalone="yes"?>
<Relationships xmlns="http://schemas.openxmlformats.org/package/2006/relationships"><Relationship Id="rId1" Type="http://schemas.openxmlformats.org/officeDocument/2006/relationships/image" Target="../media/image1.emf"/></Relationships>
</file>

<file path=xl/drawings/_rels/drawing29.xml.rels><?xml version="1.0" encoding="UTF-8" standalone="yes"?>
<Relationships xmlns="http://schemas.openxmlformats.org/package/2006/relationships"><Relationship Id="rId1" Type="http://schemas.openxmlformats.org/officeDocument/2006/relationships/image" Target="../media/image1.emf"/></Relationships>
</file>

<file path=xl/drawings/_rels/drawing30.xml.rels><?xml version="1.0" encoding="UTF-8" standalone="yes"?>
<Relationships xmlns="http://schemas.openxmlformats.org/package/2006/relationships"><Relationship Id="rId1" Type="http://schemas.openxmlformats.org/officeDocument/2006/relationships/image" Target="../media/image1.emf"/></Relationships>
</file>

<file path=xl/drawings/_rels/drawing31.xml.rels><?xml version="1.0" encoding="UTF-8" standalone="yes"?>
<Relationships xmlns="http://schemas.openxmlformats.org/package/2006/relationships"><Relationship Id="rId1" Type="http://schemas.openxmlformats.org/officeDocument/2006/relationships/image" Target="../media/image1.emf"/></Relationships>
</file>

<file path=xl/drawings/_rels/drawing39.xml.rels><?xml version="1.0" encoding="UTF-8" standalone="yes"?>
<Relationships xmlns="http://schemas.openxmlformats.org/package/2006/relationships"><Relationship Id="rId1" Type="http://schemas.openxmlformats.org/officeDocument/2006/relationships/image" Target="../media/image1.emf"/></Relationships>
</file>

<file path=xl/drawings/_rels/drawing4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4.xml.rels><?xml version="1.0" encoding="UTF-8" standalone="yes"?>
<Relationships xmlns="http://schemas.openxmlformats.org/package/2006/relationships"><Relationship Id="rId9" Type="http://schemas.openxmlformats.org/officeDocument/2006/relationships/customXml" Target="../ink/ink8.xml"/><Relationship Id="rId8" Type="http://schemas.openxmlformats.org/officeDocument/2006/relationships/customXml" Target="../ink/ink7.xml"/><Relationship Id="rId7" Type="http://schemas.openxmlformats.org/officeDocument/2006/relationships/customXml" Target="../ink/ink6.xml"/><Relationship Id="rId6" Type="http://schemas.openxmlformats.org/officeDocument/2006/relationships/customXml" Target="../ink/ink5.xml"/><Relationship Id="rId5" Type="http://schemas.openxmlformats.org/officeDocument/2006/relationships/customXml" Target="../ink/ink4.xml"/><Relationship Id="rId4" Type="http://schemas.openxmlformats.org/officeDocument/2006/relationships/customXml" Target="../ink/ink3.xml"/><Relationship Id="rId3" Type="http://schemas.openxmlformats.org/officeDocument/2006/relationships/customXml" Target="../ink/ink2.xml"/><Relationship Id="rId2" Type="http://schemas.openxmlformats.org/officeDocument/2006/relationships/customXml" Target="../ink/ink1.xml"/><Relationship Id="rId11" Type="http://schemas.openxmlformats.org/officeDocument/2006/relationships/customXml" Target="../ink/ink10.xml"/><Relationship Id="rId10" Type="http://schemas.openxmlformats.org/officeDocument/2006/relationships/customXml" Target="../ink/ink9.xml"/><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1.emf"/></Relationships>
</file>

<file path=xl/drawings/_rels/vmlDrawing7.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9.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10.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11.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14.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19.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4.emf"/><Relationship Id="rId1" Type="http://schemas.openxmlformats.org/officeDocument/2006/relationships/image" Target="../media/image1.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22.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1.emf"/></Relationships>
</file>

<file path=xl/drawings/_rels/vmlDrawing23.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24.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25.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27.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emf"/></Relationships>
</file>

<file path=xl/drawings/_rels/vmlDrawing28.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1.emf"/><Relationship Id="rId1" Type="http://schemas.openxmlformats.org/officeDocument/2006/relationships/image" Target="../media/image3.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1.emf"/><Relationship Id="rId1" Type="http://schemas.openxmlformats.org/officeDocument/2006/relationships/image" Target="../media/image3.emf"/></Relationships>
</file>

<file path=xl/drawings/_rels/vmlDrawing3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1.emf"/><Relationship Id="rId1" Type="http://schemas.openxmlformats.org/officeDocument/2006/relationships/image" Target="../media/image4.emf"/></Relationships>
</file>

<file path=xl/drawings/_rels/vmlDrawing36.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1.emf"/><Relationship Id="rId1" Type="http://schemas.openxmlformats.org/officeDocument/2006/relationships/image" Target="../media/image3.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image" Target="../media/image3.emf"/><Relationship Id="rId1" Type="http://schemas.openxmlformats.org/officeDocument/2006/relationships/image" Target="../media/image4.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5</xdr:col>
      <xdr:colOff>47625</xdr:colOff>
      <xdr:row>143</xdr:row>
      <xdr:rowOff>95250</xdr:rowOff>
    </xdr:from>
    <xdr:to>
      <xdr:col>6</xdr:col>
      <xdr:colOff>200025</xdr:colOff>
      <xdr:row>143</xdr:row>
      <xdr:rowOff>104775</xdr:rowOff>
    </xdr:to>
    <xdr:sp>
      <xdr:nvSpPr>
        <xdr:cNvPr id="2" name="Line 8"/>
        <xdr:cNvSpPr>
          <a:spLocks noChangeShapeType="1"/>
        </xdr:cNvSpPr>
      </xdr:nvSpPr>
      <xdr:spPr>
        <a:xfrm flipV="1">
          <a:off x="5106670" y="24343995"/>
          <a:ext cx="298450" cy="9525"/>
        </a:xfrm>
        <a:prstGeom prst="line">
          <a:avLst/>
        </a:prstGeom>
        <a:noFill/>
        <a:ln w="9525">
          <a:solidFill>
            <a:srgbClr val="000000"/>
          </a:solidFill>
          <a:round/>
          <a:tailEnd type="triangle" w="med" len="med"/>
        </a:ln>
      </xdr:spPr>
    </xdr:sp>
    <xdr:clientData/>
  </xdr:twoCellAnchor>
  <xdr:twoCellAnchor>
    <xdr:from>
      <xdr:col>6</xdr:col>
      <xdr:colOff>190500</xdr:colOff>
      <xdr:row>143</xdr:row>
      <xdr:rowOff>9525</xdr:rowOff>
    </xdr:from>
    <xdr:to>
      <xdr:col>7</xdr:col>
      <xdr:colOff>161925</xdr:colOff>
      <xdr:row>144</xdr:row>
      <xdr:rowOff>38100</xdr:rowOff>
    </xdr:to>
    <xdr:sp>
      <xdr:nvSpPr>
        <xdr:cNvPr id="3" name="Rectangle 9"/>
        <xdr:cNvSpPr>
          <a:spLocks noChangeArrowheads="1"/>
        </xdr:cNvSpPr>
      </xdr:nvSpPr>
      <xdr:spPr>
        <a:xfrm>
          <a:off x="5395595" y="24258270"/>
          <a:ext cx="555625" cy="205740"/>
        </a:xfrm>
        <a:prstGeom prst="rect">
          <a:avLst/>
        </a:prstGeom>
        <a:solidFill>
          <a:srgbClr val="FFFFFF"/>
        </a:solidFill>
        <a:ln w="9525">
          <a:solidFill>
            <a:srgbClr val="000000"/>
          </a:solidFill>
          <a:miter lim="800000"/>
        </a:ln>
      </xdr:spPr>
      <xdr:txBody>
        <a:bodyPr vertOverflow="clip" wrap="square" lIns="27432" tIns="22860" rIns="27432" bIns="0" anchor="t" upright="1"/>
        <a:lstStyle/>
        <a:p>
          <a:pPr algn="ctr" rtl="0">
            <a:defRPr sz="1000"/>
          </a:pPr>
          <a:r>
            <a:rPr lang="id-ID" sz="1000" b="1" i="0" u="none" strike="noStrike" baseline="0">
              <a:solidFill>
                <a:srgbClr val="FF0000"/>
              </a:solidFill>
              <a:latin typeface="Arial" panose="020B0604020202020204"/>
              <a:cs typeface="Arial" panose="020B0604020202020204"/>
            </a:rPr>
            <a:t>DTA</a:t>
          </a:r>
          <a:endParaRPr lang="id-ID" sz="1000" b="1" i="0" u="none" strike="noStrike" baseline="0">
            <a:solidFill>
              <a:srgbClr val="FF0000"/>
            </a:solidFill>
            <a:latin typeface="Arial" panose="020B0604020202020204"/>
            <a:cs typeface="Arial" panose="020B0604020202020204"/>
          </a:endParaRPr>
        </a:p>
      </xdr:txBody>
    </xdr:sp>
    <xdr:clientData/>
  </xdr:twoCellAnchor>
  <xdr:twoCellAnchor>
    <xdr:from>
      <xdr:col>15</xdr:col>
      <xdr:colOff>419100</xdr:colOff>
      <xdr:row>136</xdr:row>
      <xdr:rowOff>66675</xdr:rowOff>
    </xdr:from>
    <xdr:to>
      <xdr:col>15</xdr:col>
      <xdr:colOff>419100</xdr:colOff>
      <xdr:row>137</xdr:row>
      <xdr:rowOff>85725</xdr:rowOff>
    </xdr:to>
    <xdr:sp>
      <xdr:nvSpPr>
        <xdr:cNvPr id="4" name="Line 10"/>
        <xdr:cNvSpPr>
          <a:spLocks noChangeShapeType="1"/>
        </xdr:cNvSpPr>
      </xdr:nvSpPr>
      <xdr:spPr>
        <a:xfrm flipH="1">
          <a:off x="10382250" y="23103840"/>
          <a:ext cx="0" cy="186690"/>
        </a:xfrm>
        <a:prstGeom prst="line">
          <a:avLst/>
        </a:prstGeom>
        <a:noFill/>
        <a:ln w="9525">
          <a:solidFill>
            <a:srgbClr val="000000"/>
          </a:solidFill>
          <a:round/>
          <a:tailEnd type="triangle" w="med" len="med"/>
        </a:ln>
      </xdr:spPr>
    </xdr:sp>
    <xdr:clientData/>
  </xdr:twoCellAnchor>
  <xdr:twoCellAnchor>
    <xdr:from>
      <xdr:col>15</xdr:col>
      <xdr:colOff>238125</xdr:colOff>
      <xdr:row>137</xdr:row>
      <xdr:rowOff>133350</xdr:rowOff>
    </xdr:from>
    <xdr:to>
      <xdr:col>15</xdr:col>
      <xdr:colOff>676275</xdr:colOff>
      <xdr:row>138</xdr:row>
      <xdr:rowOff>152400</xdr:rowOff>
    </xdr:to>
    <xdr:sp>
      <xdr:nvSpPr>
        <xdr:cNvPr id="5" name="Rectangle 11"/>
        <xdr:cNvSpPr>
          <a:spLocks noChangeArrowheads="1"/>
        </xdr:cNvSpPr>
      </xdr:nvSpPr>
      <xdr:spPr>
        <a:xfrm>
          <a:off x="10201275" y="23338155"/>
          <a:ext cx="438150" cy="196215"/>
        </a:xfrm>
        <a:prstGeom prst="rect">
          <a:avLst/>
        </a:prstGeom>
        <a:solidFill>
          <a:srgbClr val="FFFFFF"/>
        </a:solidFill>
        <a:ln w="9525">
          <a:solidFill>
            <a:srgbClr val="000000"/>
          </a:solidFill>
          <a:miter lim="800000"/>
        </a:ln>
      </xdr:spPr>
      <xdr:txBody>
        <a:bodyPr vertOverflow="clip" wrap="square" lIns="27432" tIns="22860" rIns="27432" bIns="0" anchor="t" upright="1"/>
        <a:lstStyle/>
        <a:p>
          <a:pPr algn="ctr" rtl="0">
            <a:defRPr sz="1000"/>
          </a:pPr>
          <a:r>
            <a:rPr lang="id-ID" sz="1000" b="1" i="0" u="none" strike="noStrike" baseline="0">
              <a:solidFill>
                <a:srgbClr val="FF0000"/>
              </a:solidFill>
              <a:latin typeface="Arial" panose="020B0604020202020204"/>
              <a:cs typeface="Arial" panose="020B0604020202020204"/>
            </a:rPr>
            <a:t>60</a:t>
          </a:r>
          <a:endParaRPr lang="id-ID" sz="1000" b="1" i="0" u="none" strike="noStrike" baseline="0">
            <a:solidFill>
              <a:srgbClr val="FF0000"/>
            </a:solidFill>
            <a:latin typeface="Arial" panose="020B0604020202020204"/>
            <a:cs typeface="Arial" panose="020B0604020202020204"/>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10</xdr:col>
      <xdr:colOff>643738</xdr:colOff>
      <xdr:row>87</xdr:row>
      <xdr:rowOff>65837</xdr:rowOff>
    </xdr:from>
    <xdr:to>
      <xdr:col>10</xdr:col>
      <xdr:colOff>643738</xdr:colOff>
      <xdr:row>107</xdr:row>
      <xdr:rowOff>87782</xdr:rowOff>
    </xdr:to>
    <xdr:sp>
      <xdr:nvSpPr>
        <xdr:cNvPr id="6308812" name="Line 7"/>
        <xdr:cNvSpPr>
          <a:spLocks noChangeShapeType="1"/>
        </xdr:cNvSpPr>
      </xdr:nvSpPr>
      <xdr:spPr>
        <a:xfrm>
          <a:off x="8072755" y="15221585"/>
          <a:ext cx="0" cy="3546475"/>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10</xdr:col>
      <xdr:colOff>80467</xdr:colOff>
      <xdr:row>107</xdr:row>
      <xdr:rowOff>87782</xdr:rowOff>
    </xdr:from>
    <xdr:to>
      <xdr:col>10</xdr:col>
      <xdr:colOff>643738</xdr:colOff>
      <xdr:row>107</xdr:row>
      <xdr:rowOff>87782</xdr:rowOff>
    </xdr:to>
    <xdr:sp>
      <xdr:nvSpPr>
        <xdr:cNvPr id="6308813" name="Line 8"/>
        <xdr:cNvSpPr>
          <a:spLocks noChangeShapeType="1"/>
        </xdr:cNvSpPr>
      </xdr:nvSpPr>
      <xdr:spPr>
        <a:xfrm flipH="1">
          <a:off x="7509510" y="18768060"/>
          <a:ext cx="56324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80467</xdr:colOff>
      <xdr:row>108</xdr:row>
      <xdr:rowOff>87782</xdr:rowOff>
    </xdr:from>
    <xdr:to>
      <xdr:col>11</xdr:col>
      <xdr:colOff>687629</xdr:colOff>
      <xdr:row>108</xdr:row>
      <xdr:rowOff>87782</xdr:rowOff>
    </xdr:to>
    <xdr:sp>
      <xdr:nvSpPr>
        <xdr:cNvPr id="6308814" name="Line 11"/>
        <xdr:cNvSpPr>
          <a:spLocks noChangeShapeType="1"/>
        </xdr:cNvSpPr>
      </xdr:nvSpPr>
      <xdr:spPr>
        <a:xfrm flipH="1">
          <a:off x="7509510" y="18943320"/>
          <a:ext cx="181292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687629</xdr:colOff>
      <xdr:row>87</xdr:row>
      <xdr:rowOff>36576</xdr:rowOff>
    </xdr:from>
    <xdr:to>
      <xdr:col>11</xdr:col>
      <xdr:colOff>687629</xdr:colOff>
      <xdr:row>108</xdr:row>
      <xdr:rowOff>87782</xdr:rowOff>
    </xdr:to>
    <xdr:sp>
      <xdr:nvSpPr>
        <xdr:cNvPr id="6308815" name="Line 12"/>
        <xdr:cNvSpPr>
          <a:spLocks noChangeShapeType="1"/>
        </xdr:cNvSpPr>
      </xdr:nvSpPr>
      <xdr:spPr>
        <a:xfrm flipV="1">
          <a:off x="9322435" y="15192375"/>
          <a:ext cx="0" cy="3750945"/>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10</xdr:col>
      <xdr:colOff>80467</xdr:colOff>
      <xdr:row>111</xdr:row>
      <xdr:rowOff>102413</xdr:rowOff>
    </xdr:from>
    <xdr:to>
      <xdr:col>12</xdr:col>
      <xdr:colOff>621792</xdr:colOff>
      <xdr:row>111</xdr:row>
      <xdr:rowOff>102413</xdr:rowOff>
    </xdr:to>
    <xdr:sp>
      <xdr:nvSpPr>
        <xdr:cNvPr id="6308816" name="Line 13"/>
        <xdr:cNvSpPr>
          <a:spLocks noChangeShapeType="1"/>
        </xdr:cNvSpPr>
      </xdr:nvSpPr>
      <xdr:spPr>
        <a:xfrm flipH="1">
          <a:off x="7509510" y="19483705"/>
          <a:ext cx="295338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643738</xdr:colOff>
      <xdr:row>87</xdr:row>
      <xdr:rowOff>36576</xdr:rowOff>
    </xdr:from>
    <xdr:to>
      <xdr:col>12</xdr:col>
      <xdr:colOff>643738</xdr:colOff>
      <xdr:row>111</xdr:row>
      <xdr:rowOff>102413</xdr:rowOff>
    </xdr:to>
    <xdr:sp>
      <xdr:nvSpPr>
        <xdr:cNvPr id="6308817" name="Line 15"/>
        <xdr:cNvSpPr>
          <a:spLocks noChangeShapeType="1"/>
        </xdr:cNvSpPr>
      </xdr:nvSpPr>
      <xdr:spPr>
        <a:xfrm flipV="1">
          <a:off x="10484485" y="15192375"/>
          <a:ext cx="0" cy="429133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10</xdr:col>
      <xdr:colOff>87782</xdr:colOff>
      <xdr:row>112</xdr:row>
      <xdr:rowOff>124358</xdr:rowOff>
    </xdr:from>
    <xdr:to>
      <xdr:col>13</xdr:col>
      <xdr:colOff>592531</xdr:colOff>
      <xdr:row>112</xdr:row>
      <xdr:rowOff>124358</xdr:rowOff>
    </xdr:to>
    <xdr:sp>
      <xdr:nvSpPr>
        <xdr:cNvPr id="6308818" name="Line 16"/>
        <xdr:cNvSpPr>
          <a:spLocks noChangeShapeType="1"/>
        </xdr:cNvSpPr>
      </xdr:nvSpPr>
      <xdr:spPr>
        <a:xfrm flipH="1">
          <a:off x="7517130" y="19680555"/>
          <a:ext cx="389382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614477</xdr:colOff>
      <xdr:row>87</xdr:row>
      <xdr:rowOff>58522</xdr:rowOff>
    </xdr:from>
    <xdr:to>
      <xdr:col>13</xdr:col>
      <xdr:colOff>614477</xdr:colOff>
      <xdr:row>112</xdr:row>
      <xdr:rowOff>124358</xdr:rowOff>
    </xdr:to>
    <xdr:sp>
      <xdr:nvSpPr>
        <xdr:cNvPr id="6308819" name="Line 17"/>
        <xdr:cNvSpPr>
          <a:spLocks noChangeShapeType="1"/>
        </xdr:cNvSpPr>
      </xdr:nvSpPr>
      <xdr:spPr>
        <a:xfrm>
          <a:off x="11432540" y="15214600"/>
          <a:ext cx="0" cy="4465955"/>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15</xdr:col>
      <xdr:colOff>497434</xdr:colOff>
      <xdr:row>87</xdr:row>
      <xdr:rowOff>102413</xdr:rowOff>
    </xdr:from>
    <xdr:to>
      <xdr:col>15</xdr:col>
      <xdr:colOff>497434</xdr:colOff>
      <xdr:row>110</xdr:row>
      <xdr:rowOff>109728</xdr:rowOff>
    </xdr:to>
    <xdr:sp>
      <xdr:nvSpPr>
        <xdr:cNvPr id="6308820" name="Line 12"/>
        <xdr:cNvSpPr>
          <a:spLocks noChangeShapeType="1"/>
        </xdr:cNvSpPr>
      </xdr:nvSpPr>
      <xdr:spPr>
        <a:xfrm flipV="1">
          <a:off x="13470890" y="15258415"/>
          <a:ext cx="0" cy="4057015"/>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10</xdr:col>
      <xdr:colOff>65837</xdr:colOff>
      <xdr:row>110</xdr:row>
      <xdr:rowOff>117043</xdr:rowOff>
    </xdr:from>
    <xdr:to>
      <xdr:col>15</xdr:col>
      <xdr:colOff>504749</xdr:colOff>
      <xdr:row>110</xdr:row>
      <xdr:rowOff>117043</xdr:rowOff>
    </xdr:to>
    <xdr:sp>
      <xdr:nvSpPr>
        <xdr:cNvPr id="6308821" name="Line 11"/>
        <xdr:cNvSpPr>
          <a:spLocks noChangeShapeType="1"/>
        </xdr:cNvSpPr>
      </xdr:nvSpPr>
      <xdr:spPr>
        <a:xfrm flipH="1">
          <a:off x="7494905" y="19323050"/>
          <a:ext cx="598297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563270</xdr:colOff>
      <xdr:row>86</xdr:row>
      <xdr:rowOff>109728</xdr:rowOff>
    </xdr:from>
    <xdr:to>
      <xdr:col>14</xdr:col>
      <xdr:colOff>563270</xdr:colOff>
      <xdr:row>109</xdr:row>
      <xdr:rowOff>124358</xdr:rowOff>
    </xdr:to>
    <xdr:sp>
      <xdr:nvSpPr>
        <xdr:cNvPr id="6308822" name="Line 12"/>
        <xdr:cNvSpPr>
          <a:spLocks noChangeShapeType="1"/>
        </xdr:cNvSpPr>
      </xdr:nvSpPr>
      <xdr:spPr>
        <a:xfrm flipV="1">
          <a:off x="12459335" y="15090140"/>
          <a:ext cx="0" cy="4064635"/>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10</xdr:col>
      <xdr:colOff>80467</xdr:colOff>
      <xdr:row>109</xdr:row>
      <xdr:rowOff>117043</xdr:rowOff>
    </xdr:from>
    <xdr:to>
      <xdr:col>14</xdr:col>
      <xdr:colOff>563270</xdr:colOff>
      <xdr:row>109</xdr:row>
      <xdr:rowOff>117043</xdr:rowOff>
    </xdr:to>
    <xdr:sp>
      <xdr:nvSpPr>
        <xdr:cNvPr id="6308823" name="Line 11"/>
        <xdr:cNvSpPr>
          <a:spLocks noChangeShapeType="1"/>
        </xdr:cNvSpPr>
      </xdr:nvSpPr>
      <xdr:spPr>
        <a:xfrm flipH="1">
          <a:off x="7509510" y="19147790"/>
          <a:ext cx="4949825"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51206</xdr:colOff>
      <xdr:row>4</xdr:row>
      <xdr:rowOff>0</xdr:rowOff>
    </xdr:from>
    <xdr:to>
      <xdr:col>2</xdr:col>
      <xdr:colOff>277978</xdr:colOff>
      <xdr:row>4</xdr:row>
      <xdr:rowOff>0</xdr:rowOff>
    </xdr:to>
    <xdr:grpSp>
      <xdr:nvGrpSpPr>
        <xdr:cNvPr id="6323498" name="Group 42"/>
        <xdr:cNvGrpSpPr/>
      </xdr:nvGrpSpPr>
      <xdr:grpSpPr>
        <a:xfrm>
          <a:off x="50800" y="800100"/>
          <a:ext cx="854075" cy="0"/>
          <a:chOff x="5" y="854"/>
          <a:chExt cx="411" cy="67"/>
        </a:xfrm>
      </xdr:grpSpPr>
      <xdr:sp>
        <xdr:nvSpPr>
          <xdr:cNvPr id="2091" name="Rectangle 43"/>
          <xdr:cNvSpPr>
            <a:spLocks noChangeArrowheads="1"/>
          </xdr:cNvSpPr>
        </xdr:nvSpPr>
        <xdr:spPr>
          <a:xfrm>
            <a:off x="-4602634462886" y="782726"/>
            <a:ext cx="0" cy="0"/>
          </a:xfrm>
          <a:prstGeom prst="rect">
            <a:avLst/>
          </a:prstGeom>
          <a:solidFill>
            <a:srgbClr val="FFFFFF"/>
          </a:solidFill>
          <a:ln w="9525">
            <a:solidFill>
              <a:srgbClr val="000000"/>
            </a:solidFill>
            <a:miter lim="800000"/>
          </a:ln>
        </xdr:spPr>
        <xdr:txBody>
          <a:bodyPr vertOverflow="clip" wrap="square" lIns="36576" tIns="27432" rIns="36576" bIns="0" anchor="t" upright="1"/>
          <a:lstStyle/>
          <a:p>
            <a:pPr algn="ctr" rtl="0">
              <a:defRPr sz="1000"/>
            </a:pPr>
            <a:r>
              <a:rPr lang="id-ID" sz="1200" b="1" i="0" u="none" strike="noStrike" baseline="0">
                <a:solidFill>
                  <a:srgbClr val="000000"/>
                </a:solidFill>
                <a:latin typeface="Arial" panose="020B0604020202020204"/>
                <a:cs typeface="Arial" panose="020B0604020202020204"/>
              </a:rPr>
              <a:t>PREPARED BY</a:t>
            </a:r>
            <a:endParaRPr lang="id-ID" sz="1200" b="1" i="0" u="none" strike="noStrike" baseline="0">
              <a:solidFill>
                <a:srgbClr val="000000"/>
              </a:solidFill>
              <a:latin typeface="Arial" panose="020B0604020202020204"/>
              <a:cs typeface="Arial" panose="020B0604020202020204"/>
            </a:endParaRPr>
          </a:p>
        </xdr:txBody>
      </xdr:sp>
      <xdr:sp>
        <xdr:nvSpPr>
          <xdr:cNvPr id="2092" name="Rectangle 44"/>
          <xdr:cNvSpPr>
            <a:spLocks noChangeArrowheads="1"/>
          </xdr:cNvSpPr>
        </xdr:nvSpPr>
        <xdr:spPr>
          <a:xfrm>
            <a:off x="-4602634462886" y="782726"/>
            <a:ext cx="0" cy="0"/>
          </a:xfrm>
          <a:prstGeom prst="rect">
            <a:avLst/>
          </a:prstGeom>
          <a:solidFill>
            <a:srgbClr val="FFFFFF"/>
          </a:solidFill>
          <a:ln w="9525">
            <a:solidFill>
              <a:srgbClr val="000000"/>
            </a:solidFill>
            <a:miter lim="800000"/>
          </a:ln>
        </xdr:spPr>
        <xdr:txBody>
          <a:bodyPr vertOverflow="clip" wrap="square" lIns="36576" tIns="27432" rIns="0" bIns="0" anchor="t" upright="1"/>
          <a:lstStyle/>
          <a:p>
            <a:pPr algn="l" rtl="0">
              <a:defRPr sz="1000"/>
            </a:pPr>
            <a:r>
              <a:rPr lang="id-ID" sz="1200" b="1" i="0" u="none" strike="noStrike" baseline="0">
                <a:solidFill>
                  <a:srgbClr val="000000"/>
                </a:solidFill>
                <a:latin typeface="Arial" panose="020B0604020202020204"/>
                <a:cs typeface="Arial" panose="020B0604020202020204"/>
              </a:rPr>
              <a:t>DATE</a:t>
            </a:r>
            <a:endParaRPr lang="id-ID" sz="1200" b="1" i="0" u="none" strike="noStrike" baseline="0">
              <a:solidFill>
                <a:srgbClr val="000000"/>
              </a:solidFill>
              <a:latin typeface="Arial" panose="020B0604020202020204"/>
              <a:cs typeface="Arial" panose="020B0604020202020204"/>
            </a:endParaRPr>
          </a:p>
          <a:p>
            <a:pPr algn="l" rtl="0">
              <a:defRPr sz="1000"/>
            </a:pPr>
            <a:endParaRPr lang="id-ID" sz="1200" b="1" i="0" u="none" strike="noStrike" baseline="0">
              <a:solidFill>
                <a:srgbClr val="000000"/>
              </a:solidFill>
              <a:latin typeface="Arial" panose="020B0604020202020204"/>
              <a:cs typeface="Arial" panose="020B0604020202020204"/>
            </a:endParaRPr>
          </a:p>
        </xdr:txBody>
      </xdr:sp>
      <xdr:sp>
        <xdr:nvSpPr>
          <xdr:cNvPr id="2093" name="Rectangle 45"/>
          <xdr:cNvSpPr>
            <a:spLocks noChangeArrowheads="1"/>
          </xdr:cNvSpPr>
        </xdr:nvSpPr>
        <xdr:spPr>
          <a:xfrm>
            <a:off x="4778741209478" y="782726"/>
            <a:ext cx="0" cy="0"/>
          </a:xfrm>
          <a:prstGeom prst="rect">
            <a:avLst/>
          </a:prstGeom>
          <a:solidFill>
            <a:srgbClr val="FFFFFF"/>
          </a:solidFill>
          <a:ln w="9525">
            <a:solidFill>
              <a:srgbClr val="000000"/>
            </a:solidFill>
            <a:miter lim="800000"/>
          </a:ln>
        </xdr:spPr>
        <xdr:txBody>
          <a:bodyPr vertOverflow="clip" wrap="square" lIns="27432" tIns="22860" rIns="0" bIns="0" anchor="t" upright="1"/>
          <a:lstStyle/>
          <a:p>
            <a:pPr algn="l" rtl="0">
              <a:defRPr sz="1000"/>
            </a:pPr>
            <a:r>
              <a:rPr lang="id-ID" sz="1200" b="1" i="0" u="none" strike="noStrike" baseline="0">
                <a:solidFill>
                  <a:srgbClr val="000000"/>
                </a:solidFill>
                <a:latin typeface="Arial" panose="020B0604020202020204"/>
                <a:cs typeface="Arial" panose="020B0604020202020204"/>
              </a:rPr>
              <a:t>INITIAL</a:t>
            </a:r>
            <a:endParaRPr lang="id-ID" sz="1200" b="1" i="0" u="none" strike="noStrike" baseline="0">
              <a:solidFill>
                <a:srgbClr val="000000"/>
              </a:solidFill>
              <a:latin typeface="Arial" panose="020B0604020202020204"/>
              <a:cs typeface="Arial" panose="020B0604020202020204"/>
            </a:endParaRPr>
          </a:p>
          <a:p>
            <a:pPr algn="l" rtl="0">
              <a:defRPr sz="1000"/>
            </a:pPr>
            <a:endParaRPr lang="id-ID" sz="1200" b="1" i="0" u="none" strike="noStrike" baseline="0">
              <a:solidFill>
                <a:srgbClr val="000000"/>
              </a:solidFill>
              <a:latin typeface="Arial" panose="020B0604020202020204"/>
              <a:cs typeface="Arial" panose="020B0604020202020204"/>
            </a:endParaRPr>
          </a:p>
        </xdr:txBody>
      </xdr:sp>
      <xdr:sp>
        <xdr:nvSpPr>
          <xdr:cNvPr id="2094" name="Rectangle 46"/>
          <xdr:cNvSpPr>
            <a:spLocks noChangeArrowheads="1"/>
          </xdr:cNvSpPr>
        </xdr:nvSpPr>
        <xdr:spPr>
          <a:xfrm>
            <a:off x="4778741209478" y="782726"/>
            <a:ext cx="0" cy="0"/>
          </a:xfrm>
          <a:prstGeom prst="rect">
            <a:avLst/>
          </a:prstGeom>
          <a:solidFill>
            <a:srgbClr val="FFFFFF"/>
          </a:solidFill>
          <a:ln w="9525">
            <a:solidFill>
              <a:srgbClr val="000000"/>
            </a:solidFill>
            <a:miter lim="800000"/>
          </a:ln>
        </xdr:spPr>
        <xdr:txBody>
          <a:bodyPr vertOverflow="clip" wrap="square" lIns="27432" tIns="22860" rIns="0" bIns="0" anchor="t" upright="1"/>
          <a:lstStyle/>
          <a:p>
            <a:pPr algn="l" rtl="0">
              <a:defRPr sz="1000"/>
            </a:pPr>
            <a:r>
              <a:rPr lang="id-ID" sz="1200" b="1" i="0" u="none" strike="noStrike" baseline="0">
                <a:solidFill>
                  <a:srgbClr val="000000"/>
                </a:solidFill>
                <a:latin typeface="Arial" panose="020B0604020202020204"/>
                <a:cs typeface="Arial" panose="020B0604020202020204"/>
              </a:rPr>
              <a:t>DATE</a:t>
            </a:r>
            <a:endParaRPr lang="id-ID" sz="1200" b="1" i="0" u="none" strike="noStrike" baseline="0">
              <a:solidFill>
                <a:srgbClr val="000000"/>
              </a:solidFill>
              <a:latin typeface="Arial" panose="020B0604020202020204"/>
              <a:cs typeface="Arial" panose="020B0604020202020204"/>
            </a:endParaRPr>
          </a:p>
          <a:p>
            <a:pPr algn="l" rtl="0">
              <a:defRPr sz="1000"/>
            </a:pPr>
            <a:r>
              <a:rPr lang="id-ID" sz="1200" b="1" i="0" u="none" strike="noStrike" baseline="0">
                <a:solidFill>
                  <a:srgbClr val="000000"/>
                </a:solidFill>
                <a:latin typeface="Arial" panose="020B0604020202020204"/>
                <a:cs typeface="Arial" panose="020B0604020202020204"/>
              </a:rPr>
              <a:t>Feb 18, 2005</a:t>
            </a:r>
            <a:endParaRPr lang="id-ID" sz="1200" b="1" i="0" u="none" strike="noStrike" baseline="0">
              <a:solidFill>
                <a:srgbClr val="000000"/>
              </a:solidFill>
              <a:latin typeface="Arial" panose="020B0604020202020204"/>
              <a:cs typeface="Arial" panose="020B0604020202020204"/>
            </a:endParaRPr>
          </a:p>
        </xdr:txBody>
      </xdr:sp>
      <xdr:sp>
        <xdr:nvSpPr>
          <xdr:cNvPr id="2095" name="Rectangle 47"/>
          <xdr:cNvSpPr>
            <a:spLocks noChangeArrowheads="1"/>
          </xdr:cNvSpPr>
        </xdr:nvSpPr>
        <xdr:spPr>
          <a:xfrm>
            <a:off x="-4602634462886" y="782726"/>
            <a:ext cx="0" cy="0"/>
          </a:xfrm>
          <a:prstGeom prst="rect">
            <a:avLst/>
          </a:prstGeom>
          <a:solidFill>
            <a:srgbClr val="FFFFFF"/>
          </a:solidFill>
          <a:ln w="9525">
            <a:solidFill>
              <a:srgbClr val="000000"/>
            </a:solidFill>
            <a:miter lim="800000"/>
          </a:ln>
        </xdr:spPr>
        <xdr:txBody>
          <a:bodyPr vertOverflow="clip" wrap="square" lIns="27432" tIns="22860" rIns="27432" bIns="0" anchor="t" upright="1"/>
          <a:lstStyle/>
          <a:p>
            <a:pPr algn="ctr" rtl="0">
              <a:defRPr sz="1000"/>
            </a:pPr>
            <a:r>
              <a:rPr lang="id-ID" sz="1200" b="1" i="0" u="none" strike="noStrike" baseline="0">
                <a:solidFill>
                  <a:srgbClr val="000000"/>
                </a:solidFill>
                <a:latin typeface="Arial" panose="020B0604020202020204"/>
                <a:cs typeface="Arial" panose="020B0604020202020204"/>
              </a:rPr>
              <a:t>REVIEWED BY</a:t>
            </a:r>
            <a:endParaRPr lang="id-ID" sz="1200" b="1" i="0" u="none" strike="noStrike" baseline="0">
              <a:solidFill>
                <a:srgbClr val="000000"/>
              </a:solidFill>
              <a:latin typeface="Arial" panose="020B0604020202020204"/>
              <a:cs typeface="Arial" panose="020B0604020202020204"/>
            </a:endParaRPr>
          </a:p>
        </xdr:txBody>
      </xdr:sp>
      <xdr:sp>
        <xdr:nvSpPr>
          <xdr:cNvPr id="2096" name="Text Box 48"/>
          <xdr:cNvSpPr txBox="1">
            <a:spLocks noChangeArrowheads="1"/>
          </xdr:cNvSpPr>
        </xdr:nvSpPr>
        <xdr:spPr>
          <a:xfrm>
            <a:off x="4778741209478" y="782726"/>
            <a:ext cx="0" cy="0"/>
          </a:xfrm>
          <a:prstGeom prst="rect">
            <a:avLst/>
          </a:prstGeom>
          <a:solidFill>
            <a:srgbClr val="FFFFFF"/>
          </a:solidFill>
          <a:ln w="9525">
            <a:solidFill>
              <a:srgbClr val="000000"/>
            </a:solidFill>
            <a:miter lim="800000"/>
          </a:ln>
        </xdr:spPr>
        <xdr:txBody>
          <a:bodyPr vertOverflow="clip" wrap="square" lIns="27432" tIns="22860" rIns="0" bIns="0" anchor="t" upright="1"/>
          <a:lstStyle/>
          <a:p>
            <a:pPr algn="l" rtl="0">
              <a:defRPr sz="1000"/>
            </a:pPr>
            <a:r>
              <a:rPr lang="id-ID" sz="1200" b="1" i="0" u="none" strike="noStrike" baseline="0">
                <a:solidFill>
                  <a:srgbClr val="000000"/>
                </a:solidFill>
                <a:latin typeface="Arial" panose="020B0604020202020204"/>
                <a:cs typeface="Arial" panose="020B0604020202020204"/>
              </a:rPr>
              <a:t>INITIAL</a:t>
            </a:r>
            <a:endParaRPr lang="id-ID" sz="1200" b="1" i="0" u="none" strike="noStrike" baseline="0">
              <a:solidFill>
                <a:srgbClr val="000000"/>
              </a:solidFill>
              <a:latin typeface="Arial" panose="020B0604020202020204"/>
              <a:cs typeface="Arial" panose="020B0604020202020204"/>
            </a:endParaRPr>
          </a:p>
          <a:p>
            <a:pPr algn="l" rtl="0">
              <a:defRPr sz="1000"/>
            </a:pPr>
            <a:r>
              <a:rPr lang="id-ID" sz="1200" b="1" i="0" u="none" strike="noStrike" baseline="0">
                <a:solidFill>
                  <a:srgbClr val="000000"/>
                </a:solidFill>
                <a:latin typeface="Arial" panose="020B0604020202020204"/>
                <a:cs typeface="Arial" panose="020B0604020202020204"/>
              </a:rPr>
              <a:t>TR</a:t>
            </a:r>
            <a:endParaRPr lang="id-ID" sz="1200" b="1" i="0" u="none" strike="noStrike" baseline="0">
              <a:solidFill>
                <a:srgbClr val="000000"/>
              </a:solidFill>
              <a:latin typeface="Arial" panose="020B0604020202020204"/>
              <a:cs typeface="Arial" panose="020B0604020202020204"/>
            </a:endParaRPr>
          </a:p>
        </xdr:txBody>
      </xdr:sp>
    </xdr:grpSp>
    <xdr:clientData/>
  </xdr:twoCellAnchor>
  <xdr:twoCellAnchor editAs="oneCell">
    <xdr:from>
      <xdr:col>5</xdr:col>
      <xdr:colOff>504749</xdr:colOff>
      <xdr:row>10</xdr:row>
      <xdr:rowOff>43891</xdr:rowOff>
    </xdr:from>
    <xdr:to>
      <xdr:col>5</xdr:col>
      <xdr:colOff>709574</xdr:colOff>
      <xdr:row>11</xdr:row>
      <xdr:rowOff>58522</xdr:rowOff>
    </xdr:to>
    <xdr:pic>
      <xdr:nvPicPr>
        <xdr:cNvPr id="6323499" name="Picture 53"/>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564255" y="1817370"/>
          <a:ext cx="205105" cy="18224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xdr:from>
          <xdr:col>16</xdr:col>
          <xdr:colOff>1022350</xdr:colOff>
          <xdr:row>4</xdr:row>
          <xdr:rowOff>0</xdr:rowOff>
        </xdr:from>
        <xdr:to>
          <xdr:col>18</xdr:col>
          <xdr:colOff>0</xdr:colOff>
          <xdr:row>4</xdr:row>
          <xdr:rowOff>0</xdr:rowOff>
        </xdr:to>
        <xdr:sp>
          <xdr:nvSpPr>
            <xdr:cNvPr id="2080" name="Object 32" hidden="1">
              <a:extLst>
                <a:ext uri="{63B3BB69-23CF-44E3-9099-C40C66FF867C}">
                  <a14:compatExt spid="_x0000_s2080"/>
                </a:ext>
              </a:extLst>
            </xdr:cNvPr>
            <xdr:cNvSpPr/>
          </xdr:nvSpPr>
          <xdr:spPr>
            <a:xfrm>
              <a:off x="12501880" y="800100"/>
              <a:ext cx="126111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514350</xdr:colOff>
          <xdr:row>10</xdr:row>
          <xdr:rowOff>57150</xdr:rowOff>
        </xdr:from>
        <xdr:to>
          <xdr:col>16</xdr:col>
          <xdr:colOff>692150</xdr:colOff>
          <xdr:row>11</xdr:row>
          <xdr:rowOff>76200</xdr:rowOff>
        </xdr:to>
        <xdr:sp>
          <xdr:nvSpPr>
            <xdr:cNvPr id="2102" name="Object 54" hidden="1">
              <a:extLst>
                <a:ext uri="{63B3BB69-23CF-44E3-9099-C40C66FF867C}">
                  <a14:compatExt spid="_x0000_s2102"/>
                </a:ext>
              </a:extLst>
            </xdr:cNvPr>
            <xdr:cNvSpPr/>
          </xdr:nvSpPr>
          <xdr:spPr>
            <a:xfrm>
              <a:off x="11993880" y="1830705"/>
              <a:ext cx="177800" cy="186690"/>
            </a:xfrm>
            <a:prstGeom prst="rect">
              <a:avLst/>
            </a:prstGeom>
          </xdr:spPr>
        </xdr:sp>
        <xdr:clientData/>
      </xdr:twoCellAnchor>
    </mc:Choice>
    <mc:Fallback/>
  </mc:AlternateContent>
  <xdr:twoCellAnchor>
    <xdr:from>
      <xdr:col>5</xdr:col>
      <xdr:colOff>351130</xdr:colOff>
      <xdr:row>49</xdr:row>
      <xdr:rowOff>43891</xdr:rowOff>
    </xdr:from>
    <xdr:to>
      <xdr:col>16</xdr:col>
      <xdr:colOff>592531</xdr:colOff>
      <xdr:row>50</xdr:row>
      <xdr:rowOff>138989</xdr:rowOff>
    </xdr:to>
    <xdr:sp>
      <xdr:nvSpPr>
        <xdr:cNvPr id="6323500" name="Freeform 1"/>
        <xdr:cNvSpPr/>
      </xdr:nvSpPr>
      <xdr:spPr>
        <a:xfrm>
          <a:off x="3410585" y="7927975"/>
          <a:ext cx="8661400" cy="26225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229933</xdr:colOff>
      <xdr:row>50</xdr:row>
      <xdr:rowOff>38683</xdr:rowOff>
    </xdr:from>
    <xdr:to>
      <xdr:col>8</xdr:col>
      <xdr:colOff>558549</xdr:colOff>
      <xdr:row>51</xdr:row>
      <xdr:rowOff>123245</xdr:rowOff>
    </xdr:to>
    <xdr:sp>
      <xdr:nvSpPr>
        <xdr:cNvPr id="18" name="Rectangle 2"/>
        <xdr:cNvSpPr>
          <a:spLocks noChangeArrowheads="1"/>
        </xdr:cNvSpPr>
      </xdr:nvSpPr>
      <xdr:spPr>
        <a:xfrm>
          <a:off x="5618480" y="8089900"/>
          <a:ext cx="328295" cy="252730"/>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300" b="1" i="0" u="none" strike="noStrike" baseline="0">
              <a:solidFill>
                <a:srgbClr val="000000"/>
              </a:solidFill>
              <a:latin typeface="Arial" panose="020B0604020202020204"/>
              <a:cs typeface="Arial" panose="020B0604020202020204"/>
            </a:rPr>
            <a:t>F</a:t>
          </a:r>
          <a:r>
            <a:rPr lang="en-US" sz="1300" b="1" i="0" u="none" strike="noStrike" baseline="0">
              <a:solidFill>
                <a:srgbClr val="000000"/>
              </a:solidFill>
              <a:latin typeface="Arial" panose="020B0604020202020204"/>
              <a:cs typeface="Arial" panose="020B0604020202020204"/>
            </a:rPr>
            <a:t>3</a:t>
          </a:r>
          <a:endParaRPr lang="id-ID" sz="1300" b="1" i="0" u="none" strike="noStrike" baseline="0">
            <a:solidFill>
              <a:srgbClr val="000000"/>
            </a:solidFill>
            <a:latin typeface="Arial" panose="020B0604020202020204"/>
            <a:cs typeface="Arial" panose="020B0604020202020204"/>
          </a:endParaRPr>
        </a:p>
      </xdr:txBody>
    </xdr:sp>
    <xdr:clientData/>
  </xdr:twoCellAnchor>
  <mc:AlternateContent xmlns:mc="http://schemas.openxmlformats.org/markup-compatibility/2006">
    <mc:Choice xmlns:a14="http://schemas.microsoft.com/office/drawing/2010/main" Requires="a14">
      <xdr:twoCellAnchor editAs="oneCell">
        <xdr:from>
          <xdr:col>7</xdr:col>
          <xdr:colOff>673100</xdr:colOff>
          <xdr:row>50</xdr:row>
          <xdr:rowOff>63500</xdr:rowOff>
        </xdr:from>
        <xdr:to>
          <xdr:col>8</xdr:col>
          <xdr:colOff>0</xdr:colOff>
          <xdr:row>51</xdr:row>
          <xdr:rowOff>114300</xdr:rowOff>
        </xdr:to>
        <xdr:sp>
          <xdr:nvSpPr>
            <xdr:cNvPr id="2033175" name="Object 4631" hidden="1">
              <a:extLst>
                <a:ext uri="{63B3BB69-23CF-44E3-9099-C40C66FF867C}">
                  <a14:compatExt spid="_x0000_s2033175"/>
                </a:ext>
              </a:extLst>
            </xdr:cNvPr>
            <xdr:cNvSpPr/>
          </xdr:nvSpPr>
          <xdr:spPr>
            <a:xfrm>
              <a:off x="5184775" y="8115300"/>
              <a:ext cx="203835" cy="218440"/>
            </a:xfrm>
            <a:prstGeom prst="rect">
              <a:avLst/>
            </a:prstGeom>
          </xdr:spPr>
        </xdr:sp>
        <xdr:clientData/>
      </xdr:twoCellAnchor>
    </mc:Choice>
    <mc:Fallback/>
  </mc:AlternateContent>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548640</xdr:colOff>
      <xdr:row>11</xdr:row>
      <xdr:rowOff>146304</xdr:rowOff>
    </xdr:from>
    <xdr:to>
      <xdr:col>15</xdr:col>
      <xdr:colOff>724205</xdr:colOff>
      <xdr:row>12</xdr:row>
      <xdr:rowOff>161925</xdr:rowOff>
    </xdr:to>
    <xdr:pic>
      <xdr:nvPicPr>
        <xdr:cNvPr id="6319360"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863070" y="2073910"/>
          <a:ext cx="175260" cy="183515"/>
        </a:xfrm>
        <a:prstGeom prst="rect">
          <a:avLst/>
        </a:prstGeom>
        <a:solidFill>
          <a:srgbClr val="FFFFFF"/>
        </a:solidFill>
        <a:ln w="9525">
          <a:solidFill>
            <a:srgbClr val="000000"/>
          </a:solidFill>
          <a:miter lim="800000"/>
          <a:headEnd/>
          <a:tailEnd/>
        </a:ln>
      </xdr:spPr>
    </xdr:pic>
    <xdr:clientData/>
  </xdr:twoCellAnchor>
  <xdr:twoCellAnchor>
    <xdr:from>
      <xdr:col>13</xdr:col>
      <xdr:colOff>724205</xdr:colOff>
      <xdr:row>43</xdr:row>
      <xdr:rowOff>0</xdr:rowOff>
    </xdr:from>
    <xdr:to>
      <xdr:col>13</xdr:col>
      <xdr:colOff>724205</xdr:colOff>
      <xdr:row>43</xdr:row>
      <xdr:rowOff>0</xdr:rowOff>
    </xdr:to>
    <xdr:sp>
      <xdr:nvSpPr>
        <xdr:cNvPr id="6319361" name="Line 87"/>
        <xdr:cNvSpPr>
          <a:spLocks noChangeShapeType="1"/>
        </xdr:cNvSpPr>
      </xdr:nvSpPr>
      <xdr:spPr>
        <a:xfrm>
          <a:off x="10704830" y="7239000"/>
          <a:ext cx="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mc:AlternateContent xmlns:mc="http://schemas.openxmlformats.org/markup-compatibility/2006">
    <mc:Choice xmlns:a14="http://schemas.microsoft.com/office/drawing/2010/main" Requires="a14">
      <xdr:twoCellAnchor editAs="oneCell">
        <xdr:from>
          <xdr:col>16</xdr:col>
          <xdr:colOff>488950</xdr:colOff>
          <xdr:row>11</xdr:row>
          <xdr:rowOff>146050</xdr:rowOff>
        </xdr:from>
        <xdr:to>
          <xdr:col>16</xdr:col>
          <xdr:colOff>660400</xdr:colOff>
          <xdr:row>12</xdr:row>
          <xdr:rowOff>146050</xdr:rowOff>
        </xdr:to>
        <xdr:sp>
          <xdr:nvSpPr>
            <xdr:cNvPr id="15368" name="Object 8" hidden="1">
              <a:extLst>
                <a:ext uri="{63B3BB69-23CF-44E3-9099-C40C66FF867C}">
                  <a14:compatExt spid="_x0000_s15368"/>
                </a:ext>
              </a:extLst>
            </xdr:cNvPr>
            <xdr:cNvSpPr/>
          </xdr:nvSpPr>
          <xdr:spPr>
            <a:xfrm>
              <a:off x="12872085" y="2073910"/>
              <a:ext cx="171450" cy="167640"/>
            </a:xfrm>
            <a:prstGeom prst="rect">
              <a:avLst/>
            </a:prstGeom>
          </xdr:spPr>
        </xdr:sp>
        <xdr:clientData/>
      </xdr:twoCellAnchor>
    </mc:Choice>
    <mc:Fallback/>
  </mc:AlternateContent>
  <xdr:twoCellAnchor>
    <xdr:from>
      <xdr:col>4</xdr:col>
      <xdr:colOff>760781</xdr:colOff>
      <xdr:row>41</xdr:row>
      <xdr:rowOff>21946</xdr:rowOff>
    </xdr:from>
    <xdr:to>
      <xdr:col>9</xdr:col>
      <xdr:colOff>1024128</xdr:colOff>
      <xdr:row>42</xdr:row>
      <xdr:rowOff>102413</xdr:rowOff>
    </xdr:to>
    <xdr:sp>
      <xdr:nvSpPr>
        <xdr:cNvPr id="6319362" name="Freeform 1"/>
        <xdr:cNvSpPr/>
      </xdr:nvSpPr>
      <xdr:spPr>
        <a:xfrm>
          <a:off x="3600450" y="6902450"/>
          <a:ext cx="4061460" cy="27114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395156</xdr:colOff>
      <xdr:row>41</xdr:row>
      <xdr:rowOff>155587</xdr:rowOff>
    </xdr:from>
    <xdr:to>
      <xdr:col>7</xdr:col>
      <xdr:colOff>1077383</xdr:colOff>
      <xdr:row>43</xdr:row>
      <xdr:rowOff>4573</xdr:rowOff>
    </xdr:to>
    <xdr:sp>
      <xdr:nvSpPr>
        <xdr:cNvPr id="14" name="Rectangle 2"/>
        <xdr:cNvSpPr>
          <a:spLocks noChangeArrowheads="1"/>
        </xdr:cNvSpPr>
      </xdr:nvSpPr>
      <xdr:spPr>
        <a:xfrm>
          <a:off x="5645150" y="7036435"/>
          <a:ext cx="600710" cy="207010"/>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050" b="1" i="0" u="none" strike="noStrike" baseline="0">
              <a:solidFill>
                <a:srgbClr val="000000"/>
              </a:solidFill>
              <a:latin typeface="Arial" panose="020B0604020202020204"/>
              <a:cs typeface="Arial" panose="020B0604020202020204"/>
            </a:rPr>
            <a:t>F1</a:t>
          </a:r>
          <a:endParaRPr lang="id-ID" sz="1050" b="1" i="0" u="none" strike="noStrike" baseline="0">
            <a:solidFill>
              <a:srgbClr val="000000"/>
            </a:solidFill>
            <a:latin typeface="Arial" panose="020B0604020202020204"/>
            <a:cs typeface="Arial" panose="020B0604020202020204"/>
          </a:endParaRPr>
        </a:p>
      </xdr:txBody>
    </xdr:sp>
    <xdr:clientData/>
  </xdr:twoCellAnchor>
  <mc:AlternateContent xmlns:mc="http://schemas.openxmlformats.org/markup-compatibility/2006">
    <mc:Choice xmlns:a14="http://schemas.microsoft.com/office/drawing/2010/main" Requires="a14">
      <xdr:twoCellAnchor editAs="oneCell">
        <xdr:from>
          <xdr:col>6</xdr:col>
          <xdr:colOff>666750</xdr:colOff>
          <xdr:row>42</xdr:row>
          <xdr:rowOff>19050</xdr:rowOff>
        </xdr:from>
        <xdr:to>
          <xdr:col>6</xdr:col>
          <xdr:colOff>863600</xdr:colOff>
          <xdr:row>43</xdr:row>
          <xdr:rowOff>31750</xdr:rowOff>
        </xdr:to>
        <xdr:sp>
          <xdr:nvSpPr>
            <xdr:cNvPr id="1383228" name="Object 1852" hidden="1">
              <a:extLst>
                <a:ext uri="{63B3BB69-23CF-44E3-9099-C40C66FF867C}">
                  <a14:compatExt spid="_x0000_s1383228"/>
                </a:ext>
              </a:extLst>
            </xdr:cNvPr>
            <xdr:cNvSpPr/>
          </xdr:nvSpPr>
          <xdr:spPr>
            <a:xfrm>
              <a:off x="4930775" y="7090410"/>
              <a:ext cx="196850" cy="180340"/>
            </a:xfrm>
            <a:prstGeom prst="rect">
              <a:avLst/>
            </a:prstGeom>
          </xdr:spPr>
        </xdr:sp>
        <xdr:clientData/>
      </xdr:twoCellAnchor>
    </mc:Choice>
    <mc:Fallback/>
  </mc:AlternateContent>
  <xdr:twoCellAnchor editAs="oneCell">
    <xdr:from>
      <xdr:col>9</xdr:col>
      <xdr:colOff>409651</xdr:colOff>
      <xdr:row>11</xdr:row>
      <xdr:rowOff>138989</xdr:rowOff>
    </xdr:from>
    <xdr:to>
      <xdr:col>9</xdr:col>
      <xdr:colOff>592531</xdr:colOff>
      <xdr:row>13</xdr:row>
      <xdr:rowOff>14630</xdr:rowOff>
    </xdr:to>
    <xdr:pic>
      <xdr:nvPicPr>
        <xdr:cNvPr id="6319364"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7047865" y="2066290"/>
          <a:ext cx="182880" cy="211455"/>
        </a:xfrm>
        <a:prstGeom prst="rect">
          <a:avLst/>
        </a:prstGeom>
        <a:solidFill>
          <a:srgbClr val="FFFFFF"/>
        </a:solidFill>
        <a:ln w="9525">
          <a:solidFill>
            <a:srgbClr val="000000"/>
          </a:solid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16</xdr:col>
      <xdr:colOff>460858</xdr:colOff>
      <xdr:row>11</xdr:row>
      <xdr:rowOff>58522</xdr:rowOff>
    </xdr:from>
    <xdr:to>
      <xdr:col>16</xdr:col>
      <xdr:colOff>621792</xdr:colOff>
      <xdr:row>12</xdr:row>
      <xdr:rowOff>43891</xdr:rowOff>
    </xdr:to>
    <xdr:pic>
      <xdr:nvPicPr>
        <xdr:cNvPr id="6320439"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498070" y="1986280"/>
          <a:ext cx="161290" cy="153035"/>
        </a:xfrm>
        <a:prstGeom prst="rect">
          <a:avLst/>
        </a:prstGeom>
        <a:solidFill>
          <a:srgbClr val="FFFFFF"/>
        </a:solidFill>
        <a:ln w="9525">
          <a:solidFill>
            <a:srgbClr val="000000"/>
          </a:solidFill>
          <a:miter lim="800000"/>
          <a:headEnd/>
          <a:tailEnd/>
        </a:ln>
      </xdr:spPr>
    </xdr:pic>
    <xdr:clientData/>
  </xdr:twoCellAnchor>
  <xdr:twoCellAnchor>
    <xdr:from>
      <xdr:col>13</xdr:col>
      <xdr:colOff>1126737</xdr:colOff>
      <xdr:row>52</xdr:row>
      <xdr:rowOff>4762</xdr:rowOff>
    </xdr:from>
    <xdr:to>
      <xdr:col>14</xdr:col>
      <xdr:colOff>203827</xdr:colOff>
      <xdr:row>52</xdr:row>
      <xdr:rowOff>4762</xdr:rowOff>
    </xdr:to>
    <xdr:sp>
      <xdr:nvSpPr>
        <xdr:cNvPr id="16514" name="Rectangle 130"/>
        <xdr:cNvSpPr>
          <a:spLocks noChangeArrowheads="1"/>
        </xdr:cNvSpPr>
      </xdr:nvSpPr>
      <xdr:spPr>
        <a:xfrm>
          <a:off x="10659110" y="8287385"/>
          <a:ext cx="203200" cy="0"/>
        </a:xfrm>
        <a:prstGeom prst="rect">
          <a:avLst/>
        </a:prstGeom>
        <a:solidFill>
          <a:srgbClr val="FFFFFF"/>
        </a:solidFill>
        <a:ln>
          <a:noFill/>
        </a:ln>
        <a:effectLst/>
      </xdr:spPr>
      <xdr:txBody>
        <a:bodyPr vertOverflow="clip" wrap="square" lIns="36576" tIns="27432" rIns="0" bIns="0" anchor="t" upright="1"/>
        <a:lstStyle/>
        <a:p>
          <a:pPr algn="l" rtl="0">
            <a:defRPr sz="1000"/>
          </a:pPr>
          <a:r>
            <a:rPr lang="el-GR" sz="1200" b="1" i="0" u="none" strike="noStrike" baseline="0">
              <a:solidFill>
                <a:srgbClr val="FF0000"/>
              </a:solidFill>
              <a:latin typeface="Arial" panose="020B0604020202020204"/>
              <a:cs typeface="Arial" panose="020B0604020202020204"/>
            </a:rPr>
            <a:t>β</a:t>
          </a:r>
          <a:endParaRPr lang="el-GR" sz="1200" b="1" i="0" u="none" strike="noStrike" baseline="0">
            <a:solidFill>
              <a:srgbClr val="FF0000"/>
            </a:solidFill>
            <a:latin typeface="Arial" panose="020B0604020202020204"/>
            <a:cs typeface="Arial" panose="020B0604020202020204"/>
          </a:endParaRPr>
        </a:p>
      </xdr:txBody>
    </xdr:sp>
    <xdr:clientData/>
  </xdr:twoCellAnchor>
  <xdr:twoCellAnchor>
    <xdr:from>
      <xdr:col>1</xdr:col>
      <xdr:colOff>115900</xdr:colOff>
      <xdr:row>52</xdr:row>
      <xdr:rowOff>4762</xdr:rowOff>
    </xdr:from>
    <xdr:to>
      <xdr:col>2</xdr:col>
      <xdr:colOff>86647</xdr:colOff>
      <xdr:row>52</xdr:row>
      <xdr:rowOff>4762</xdr:rowOff>
    </xdr:to>
    <xdr:sp>
      <xdr:nvSpPr>
        <xdr:cNvPr id="16515" name="Rectangle 131"/>
        <xdr:cNvSpPr>
          <a:spLocks noChangeArrowheads="1"/>
        </xdr:cNvSpPr>
      </xdr:nvSpPr>
      <xdr:spPr>
        <a:xfrm>
          <a:off x="307340" y="8287385"/>
          <a:ext cx="408940" cy="0"/>
        </a:xfrm>
        <a:prstGeom prst="rect">
          <a:avLst/>
        </a:prstGeom>
        <a:solidFill>
          <a:srgbClr val="FFFFFF"/>
        </a:solidFill>
        <a:ln>
          <a:noFill/>
        </a:ln>
        <a:effectLst/>
      </xdr:spPr>
      <xdr:txBody>
        <a:bodyPr vertOverflow="clip" wrap="square" lIns="36576" tIns="27432" rIns="0" bIns="0" anchor="t" upright="1"/>
        <a:lstStyle/>
        <a:p>
          <a:pPr algn="l" rtl="0">
            <a:defRPr sz="1000"/>
          </a:pPr>
          <a:r>
            <a:rPr lang="el-GR" sz="1200" b="1" i="0" u="none" strike="noStrike" baseline="0">
              <a:solidFill>
                <a:srgbClr val="FF0000"/>
              </a:solidFill>
              <a:latin typeface="Arial" panose="020B0604020202020204"/>
              <a:cs typeface="Arial" panose="020B0604020202020204"/>
            </a:rPr>
            <a:t>β</a:t>
          </a:r>
          <a:endParaRPr lang="el-GR" sz="1200" b="1" i="0" u="none" strike="noStrike" baseline="0">
            <a:solidFill>
              <a:srgbClr val="FF0000"/>
            </a:solidFill>
            <a:latin typeface="Arial" panose="020B0604020202020204"/>
            <a:cs typeface="Arial" panose="020B0604020202020204"/>
          </a:endParaRPr>
        </a:p>
      </xdr:txBody>
    </xdr:sp>
    <xdr:clientData/>
  </xdr:twoCellAnchor>
  <xdr:twoCellAnchor>
    <xdr:from>
      <xdr:col>13</xdr:col>
      <xdr:colOff>687629</xdr:colOff>
      <xdr:row>52</xdr:row>
      <xdr:rowOff>0</xdr:rowOff>
    </xdr:from>
    <xdr:to>
      <xdr:col>13</xdr:col>
      <xdr:colOff>687629</xdr:colOff>
      <xdr:row>52</xdr:row>
      <xdr:rowOff>0</xdr:rowOff>
    </xdr:to>
    <xdr:sp>
      <xdr:nvSpPr>
        <xdr:cNvPr id="6320442" name="Line 137"/>
        <xdr:cNvSpPr>
          <a:spLocks noChangeShapeType="1"/>
        </xdr:cNvSpPr>
      </xdr:nvSpPr>
      <xdr:spPr>
        <a:xfrm>
          <a:off x="10295890" y="8282940"/>
          <a:ext cx="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mc:AlternateContent xmlns:mc="http://schemas.openxmlformats.org/markup-compatibility/2006">
    <mc:Choice xmlns:a14="http://schemas.microsoft.com/office/drawing/2010/main" Requires="a14">
      <xdr:twoCellAnchor editAs="oneCell">
        <xdr:from>
          <xdr:col>17</xdr:col>
          <xdr:colOff>476250</xdr:colOff>
          <xdr:row>11</xdr:row>
          <xdr:rowOff>82550</xdr:rowOff>
        </xdr:from>
        <xdr:to>
          <xdr:col>17</xdr:col>
          <xdr:colOff>660400</xdr:colOff>
          <xdr:row>12</xdr:row>
          <xdr:rowOff>95250</xdr:rowOff>
        </xdr:to>
        <xdr:sp>
          <xdr:nvSpPr>
            <xdr:cNvPr id="16391" name="Object 7" hidden="1">
              <a:extLst>
                <a:ext uri="{63B3BB69-23CF-44E3-9099-C40C66FF867C}">
                  <a14:compatExt spid="_x0000_s16391"/>
                </a:ext>
              </a:extLst>
            </xdr:cNvPr>
            <xdr:cNvSpPr/>
          </xdr:nvSpPr>
          <xdr:spPr>
            <a:xfrm>
              <a:off x="13564235" y="2010410"/>
              <a:ext cx="184150" cy="180340"/>
            </a:xfrm>
            <a:prstGeom prst="rect">
              <a:avLst/>
            </a:prstGeom>
          </xdr:spPr>
        </xdr:sp>
        <xdr:clientData/>
      </xdr:twoCellAnchor>
    </mc:Choice>
    <mc:Fallback/>
  </mc:AlternateContent>
  <xdr:twoCellAnchor>
    <xdr:from>
      <xdr:col>5</xdr:col>
      <xdr:colOff>168250</xdr:colOff>
      <xdr:row>50</xdr:row>
      <xdr:rowOff>43891</xdr:rowOff>
    </xdr:from>
    <xdr:to>
      <xdr:col>16</xdr:col>
      <xdr:colOff>358445</xdr:colOff>
      <xdr:row>51</xdr:row>
      <xdr:rowOff>124358</xdr:rowOff>
    </xdr:to>
    <xdr:sp>
      <xdr:nvSpPr>
        <xdr:cNvPr id="6320443" name="Freeform 1"/>
        <xdr:cNvSpPr/>
      </xdr:nvSpPr>
      <xdr:spPr>
        <a:xfrm>
          <a:off x="3373755" y="7991475"/>
          <a:ext cx="9022080" cy="247650"/>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560375</xdr:colOff>
      <xdr:row>51</xdr:row>
      <xdr:rowOff>10294</xdr:rowOff>
    </xdr:from>
    <xdr:to>
      <xdr:col>9</xdr:col>
      <xdr:colOff>36966</xdr:colOff>
      <xdr:row>52</xdr:row>
      <xdr:rowOff>82264</xdr:rowOff>
    </xdr:to>
    <xdr:sp>
      <xdr:nvSpPr>
        <xdr:cNvPr id="16" name="Rectangle 2"/>
        <xdr:cNvSpPr>
          <a:spLocks noChangeArrowheads="1"/>
        </xdr:cNvSpPr>
      </xdr:nvSpPr>
      <xdr:spPr>
        <a:xfrm>
          <a:off x="6259830" y="8125460"/>
          <a:ext cx="435610" cy="239395"/>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300" b="1" i="0" u="none" strike="noStrike" baseline="0">
              <a:solidFill>
                <a:srgbClr val="000000"/>
              </a:solidFill>
              <a:latin typeface="Arial" panose="020B0604020202020204"/>
              <a:cs typeface="Arial" panose="020B0604020202020204"/>
            </a:rPr>
            <a:t>F</a:t>
          </a:r>
          <a:r>
            <a:rPr lang="en-US" sz="1300" b="1" i="0" u="none" strike="noStrike" baseline="0">
              <a:solidFill>
                <a:srgbClr val="000000"/>
              </a:solidFill>
              <a:latin typeface="Arial" panose="020B0604020202020204"/>
              <a:cs typeface="Arial" panose="020B0604020202020204"/>
            </a:rPr>
            <a:t>2</a:t>
          </a:r>
          <a:endParaRPr lang="id-ID" sz="1300" b="1" i="0" u="none" strike="noStrike" baseline="0">
            <a:solidFill>
              <a:srgbClr val="000000"/>
            </a:solidFill>
            <a:latin typeface="Arial" panose="020B0604020202020204"/>
            <a:cs typeface="Arial" panose="020B0604020202020204"/>
          </a:endParaRPr>
        </a:p>
      </xdr:txBody>
    </xdr:sp>
    <xdr:clientData/>
  </xdr:twoCellAnchor>
  <mc:AlternateContent xmlns:mc="http://schemas.openxmlformats.org/markup-compatibility/2006">
    <mc:Choice xmlns:a14="http://schemas.microsoft.com/office/drawing/2010/main" Requires="a14">
      <xdr:twoCellAnchor editAs="oneCell">
        <xdr:from>
          <xdr:col>8</xdr:col>
          <xdr:colOff>196850</xdr:colOff>
          <xdr:row>51</xdr:row>
          <xdr:rowOff>12700</xdr:rowOff>
        </xdr:from>
        <xdr:to>
          <xdr:col>8</xdr:col>
          <xdr:colOff>431800</xdr:colOff>
          <xdr:row>52</xdr:row>
          <xdr:rowOff>38100</xdr:rowOff>
        </xdr:to>
        <xdr:sp>
          <xdr:nvSpPr>
            <xdr:cNvPr id="1823575" name="Object 2903" hidden="1">
              <a:extLst>
                <a:ext uri="{63B3BB69-23CF-44E3-9099-C40C66FF867C}">
                  <a14:compatExt spid="_x0000_s1823575"/>
                </a:ext>
              </a:extLst>
            </xdr:cNvPr>
            <xdr:cNvSpPr/>
          </xdr:nvSpPr>
          <xdr:spPr>
            <a:xfrm>
              <a:off x="5896610" y="8128000"/>
              <a:ext cx="234950" cy="193040"/>
            </a:xfrm>
            <a:prstGeom prst="rect">
              <a:avLst/>
            </a:prstGeom>
          </xdr:spPr>
        </xdr:sp>
        <xdr:clientData/>
      </xdr:twoCellAnchor>
    </mc:Choice>
    <mc:Fallback/>
  </mc:AlternateContent>
  <xdr:twoCellAnchor editAs="oneCell">
    <xdr:from>
      <xdr:col>10</xdr:col>
      <xdr:colOff>314554</xdr:colOff>
      <xdr:row>11</xdr:row>
      <xdr:rowOff>95098</xdr:rowOff>
    </xdr:from>
    <xdr:to>
      <xdr:col>10</xdr:col>
      <xdr:colOff>482803</xdr:colOff>
      <xdr:row>12</xdr:row>
      <xdr:rowOff>80467</xdr:rowOff>
    </xdr:to>
    <xdr:pic>
      <xdr:nvPicPr>
        <xdr:cNvPr id="632044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7374890" y="2022475"/>
          <a:ext cx="168275" cy="153035"/>
        </a:xfrm>
        <a:prstGeom prst="rect">
          <a:avLst/>
        </a:prstGeom>
        <a:solidFill>
          <a:srgbClr val="FFFFFF"/>
        </a:solidFill>
        <a:ln w="9525">
          <a:solidFill>
            <a:srgbClr val="000000"/>
          </a:solid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51206</xdr:colOff>
      <xdr:row>4</xdr:row>
      <xdr:rowOff>0</xdr:rowOff>
    </xdr:from>
    <xdr:to>
      <xdr:col>3</xdr:col>
      <xdr:colOff>0</xdr:colOff>
      <xdr:row>4</xdr:row>
      <xdr:rowOff>0</xdr:rowOff>
    </xdr:to>
    <xdr:grpSp>
      <xdr:nvGrpSpPr>
        <xdr:cNvPr id="6322474" name="Group 42"/>
        <xdr:cNvGrpSpPr/>
      </xdr:nvGrpSpPr>
      <xdr:grpSpPr>
        <a:xfrm>
          <a:off x="50800" y="800100"/>
          <a:ext cx="854075" cy="0"/>
          <a:chOff x="5" y="854"/>
          <a:chExt cx="411" cy="67"/>
        </a:xfrm>
      </xdr:grpSpPr>
      <xdr:sp>
        <xdr:nvSpPr>
          <xdr:cNvPr id="3" name="Rectangle 43"/>
          <xdr:cNvSpPr>
            <a:spLocks noChangeArrowheads="1"/>
          </xdr:cNvSpPr>
        </xdr:nvSpPr>
        <xdr:spPr>
          <a:xfrm>
            <a:off x="3549932399232" y="782726"/>
            <a:ext cx="0" cy="0"/>
          </a:xfrm>
          <a:prstGeom prst="rect">
            <a:avLst/>
          </a:prstGeom>
          <a:solidFill>
            <a:srgbClr val="FFFFFF"/>
          </a:solidFill>
          <a:ln w="9525">
            <a:solidFill>
              <a:srgbClr val="000000"/>
            </a:solidFill>
            <a:miter lim="800000"/>
          </a:ln>
        </xdr:spPr>
        <xdr:txBody>
          <a:bodyPr vertOverflow="clip" wrap="square" lIns="36576" tIns="27432" rIns="36576" bIns="0" anchor="t" upright="1"/>
          <a:lstStyle/>
          <a:p>
            <a:pPr algn="ctr" rtl="0">
              <a:defRPr sz="1000"/>
            </a:pPr>
            <a:r>
              <a:rPr lang="id-ID" sz="1200" b="1" i="0" u="none" strike="noStrike" baseline="0">
                <a:solidFill>
                  <a:srgbClr val="000000"/>
                </a:solidFill>
                <a:latin typeface="Arial" panose="020B0604020202020204"/>
                <a:cs typeface="Arial" panose="020B0604020202020204"/>
              </a:rPr>
              <a:t>PREPARED BY</a:t>
            </a:r>
            <a:endParaRPr lang="id-ID" sz="1200" b="1" i="0" u="none" strike="noStrike" baseline="0">
              <a:solidFill>
                <a:srgbClr val="000000"/>
              </a:solidFill>
              <a:latin typeface="Arial" panose="020B0604020202020204"/>
              <a:cs typeface="Arial" panose="020B0604020202020204"/>
            </a:endParaRPr>
          </a:p>
        </xdr:txBody>
      </xdr:sp>
      <xdr:sp>
        <xdr:nvSpPr>
          <xdr:cNvPr id="4" name="Rectangle 44"/>
          <xdr:cNvSpPr>
            <a:spLocks noChangeArrowheads="1"/>
          </xdr:cNvSpPr>
        </xdr:nvSpPr>
        <xdr:spPr>
          <a:xfrm>
            <a:off x="3549932399232" y="782726"/>
            <a:ext cx="0" cy="0"/>
          </a:xfrm>
          <a:prstGeom prst="rect">
            <a:avLst/>
          </a:prstGeom>
          <a:solidFill>
            <a:srgbClr val="FFFFFF"/>
          </a:solidFill>
          <a:ln w="9525">
            <a:solidFill>
              <a:srgbClr val="000000"/>
            </a:solidFill>
            <a:miter lim="800000"/>
          </a:ln>
        </xdr:spPr>
        <xdr:txBody>
          <a:bodyPr vertOverflow="clip" wrap="square" lIns="36576" tIns="27432" rIns="0" bIns="0" anchor="t" upright="1"/>
          <a:lstStyle/>
          <a:p>
            <a:pPr algn="l" rtl="0">
              <a:defRPr sz="1000"/>
            </a:pPr>
            <a:r>
              <a:rPr lang="id-ID" sz="1200" b="1" i="0" u="none" strike="noStrike" baseline="0">
                <a:solidFill>
                  <a:srgbClr val="000000"/>
                </a:solidFill>
                <a:latin typeface="Arial" panose="020B0604020202020204"/>
                <a:cs typeface="Arial" panose="020B0604020202020204"/>
              </a:rPr>
              <a:t>DATE</a:t>
            </a:r>
            <a:endParaRPr lang="id-ID" sz="1200" b="1" i="0" u="none" strike="noStrike" baseline="0">
              <a:solidFill>
                <a:srgbClr val="000000"/>
              </a:solidFill>
              <a:latin typeface="Arial" panose="020B0604020202020204"/>
              <a:cs typeface="Arial" panose="020B0604020202020204"/>
            </a:endParaRPr>
          </a:p>
          <a:p>
            <a:pPr algn="l" rtl="0">
              <a:defRPr sz="1000"/>
            </a:pPr>
            <a:endParaRPr lang="id-ID" sz="1200" b="1" i="0" u="none" strike="noStrike" baseline="0">
              <a:solidFill>
                <a:srgbClr val="000000"/>
              </a:solidFill>
              <a:latin typeface="Arial" panose="020B0604020202020204"/>
              <a:cs typeface="Arial" panose="020B0604020202020204"/>
            </a:endParaRPr>
          </a:p>
        </xdr:txBody>
      </xdr:sp>
      <xdr:sp>
        <xdr:nvSpPr>
          <xdr:cNvPr id="5" name="Rectangle 45"/>
          <xdr:cNvSpPr>
            <a:spLocks noChangeArrowheads="1"/>
          </xdr:cNvSpPr>
        </xdr:nvSpPr>
        <xdr:spPr>
          <a:xfrm>
            <a:off x="-3520349247629" y="782726"/>
            <a:ext cx="0" cy="0"/>
          </a:xfrm>
          <a:prstGeom prst="rect">
            <a:avLst/>
          </a:prstGeom>
          <a:solidFill>
            <a:srgbClr val="FFFFFF"/>
          </a:solidFill>
          <a:ln w="9525">
            <a:solidFill>
              <a:srgbClr val="000000"/>
            </a:solidFill>
            <a:miter lim="800000"/>
          </a:ln>
        </xdr:spPr>
        <xdr:txBody>
          <a:bodyPr vertOverflow="clip" wrap="square" lIns="27432" tIns="22860" rIns="0" bIns="0" anchor="t" upright="1"/>
          <a:lstStyle/>
          <a:p>
            <a:pPr algn="l" rtl="0">
              <a:defRPr sz="1000"/>
            </a:pPr>
            <a:r>
              <a:rPr lang="id-ID" sz="1200" b="1" i="0" u="none" strike="noStrike" baseline="0">
                <a:solidFill>
                  <a:srgbClr val="000000"/>
                </a:solidFill>
                <a:latin typeface="Arial" panose="020B0604020202020204"/>
                <a:cs typeface="Arial" panose="020B0604020202020204"/>
              </a:rPr>
              <a:t>INITIAL</a:t>
            </a:r>
            <a:endParaRPr lang="id-ID" sz="1200" b="1" i="0" u="none" strike="noStrike" baseline="0">
              <a:solidFill>
                <a:srgbClr val="000000"/>
              </a:solidFill>
              <a:latin typeface="Arial" panose="020B0604020202020204"/>
              <a:cs typeface="Arial" panose="020B0604020202020204"/>
            </a:endParaRPr>
          </a:p>
          <a:p>
            <a:pPr algn="l" rtl="0">
              <a:defRPr sz="1000"/>
            </a:pPr>
            <a:endParaRPr lang="id-ID" sz="1200" b="1" i="0" u="none" strike="noStrike" baseline="0">
              <a:solidFill>
                <a:srgbClr val="000000"/>
              </a:solidFill>
              <a:latin typeface="Arial" panose="020B0604020202020204"/>
              <a:cs typeface="Arial" panose="020B0604020202020204"/>
            </a:endParaRPr>
          </a:p>
        </xdr:txBody>
      </xdr:sp>
      <xdr:sp>
        <xdr:nvSpPr>
          <xdr:cNvPr id="6" name="Rectangle 46"/>
          <xdr:cNvSpPr>
            <a:spLocks noChangeArrowheads="1"/>
          </xdr:cNvSpPr>
        </xdr:nvSpPr>
        <xdr:spPr>
          <a:xfrm>
            <a:off x="-3520349247629" y="782726"/>
            <a:ext cx="0" cy="0"/>
          </a:xfrm>
          <a:prstGeom prst="rect">
            <a:avLst/>
          </a:prstGeom>
          <a:solidFill>
            <a:srgbClr val="FFFFFF"/>
          </a:solidFill>
          <a:ln w="9525">
            <a:solidFill>
              <a:srgbClr val="000000"/>
            </a:solidFill>
            <a:miter lim="800000"/>
          </a:ln>
        </xdr:spPr>
        <xdr:txBody>
          <a:bodyPr vertOverflow="clip" wrap="square" lIns="27432" tIns="22860" rIns="0" bIns="0" anchor="t" upright="1"/>
          <a:lstStyle/>
          <a:p>
            <a:pPr algn="l" rtl="0">
              <a:defRPr sz="1000"/>
            </a:pPr>
            <a:r>
              <a:rPr lang="id-ID" sz="1200" b="1" i="0" u="none" strike="noStrike" baseline="0">
                <a:solidFill>
                  <a:srgbClr val="000000"/>
                </a:solidFill>
                <a:latin typeface="Arial" panose="020B0604020202020204"/>
                <a:cs typeface="Arial" panose="020B0604020202020204"/>
              </a:rPr>
              <a:t>DATE</a:t>
            </a:r>
            <a:endParaRPr lang="id-ID" sz="1200" b="1" i="0" u="none" strike="noStrike" baseline="0">
              <a:solidFill>
                <a:srgbClr val="000000"/>
              </a:solidFill>
              <a:latin typeface="Arial" panose="020B0604020202020204"/>
              <a:cs typeface="Arial" panose="020B0604020202020204"/>
            </a:endParaRPr>
          </a:p>
          <a:p>
            <a:pPr algn="l" rtl="0">
              <a:defRPr sz="1000"/>
            </a:pPr>
            <a:r>
              <a:rPr lang="id-ID" sz="1200" b="1" i="0" u="none" strike="noStrike" baseline="0">
                <a:solidFill>
                  <a:srgbClr val="000000"/>
                </a:solidFill>
                <a:latin typeface="Arial" panose="020B0604020202020204"/>
                <a:cs typeface="Arial" panose="020B0604020202020204"/>
              </a:rPr>
              <a:t>Feb 18, 2005</a:t>
            </a:r>
            <a:endParaRPr lang="id-ID" sz="1200" b="1" i="0" u="none" strike="noStrike" baseline="0">
              <a:solidFill>
                <a:srgbClr val="000000"/>
              </a:solidFill>
              <a:latin typeface="Arial" panose="020B0604020202020204"/>
              <a:cs typeface="Arial" panose="020B0604020202020204"/>
            </a:endParaRPr>
          </a:p>
        </xdr:txBody>
      </xdr:sp>
      <xdr:sp>
        <xdr:nvSpPr>
          <xdr:cNvPr id="7" name="Rectangle 47"/>
          <xdr:cNvSpPr>
            <a:spLocks noChangeArrowheads="1"/>
          </xdr:cNvSpPr>
        </xdr:nvSpPr>
        <xdr:spPr>
          <a:xfrm>
            <a:off x="3549932399232" y="782726"/>
            <a:ext cx="0" cy="0"/>
          </a:xfrm>
          <a:prstGeom prst="rect">
            <a:avLst/>
          </a:prstGeom>
          <a:solidFill>
            <a:srgbClr val="FFFFFF"/>
          </a:solidFill>
          <a:ln w="9525">
            <a:solidFill>
              <a:srgbClr val="000000"/>
            </a:solidFill>
            <a:miter lim="800000"/>
          </a:ln>
        </xdr:spPr>
        <xdr:txBody>
          <a:bodyPr vertOverflow="clip" wrap="square" lIns="27432" tIns="22860" rIns="27432" bIns="0" anchor="t" upright="1"/>
          <a:lstStyle/>
          <a:p>
            <a:pPr algn="ctr" rtl="0">
              <a:defRPr sz="1000"/>
            </a:pPr>
            <a:r>
              <a:rPr lang="id-ID" sz="1200" b="1" i="0" u="none" strike="noStrike" baseline="0">
                <a:solidFill>
                  <a:srgbClr val="000000"/>
                </a:solidFill>
                <a:latin typeface="Arial" panose="020B0604020202020204"/>
                <a:cs typeface="Arial" panose="020B0604020202020204"/>
              </a:rPr>
              <a:t>REVIEWED BY</a:t>
            </a:r>
            <a:endParaRPr lang="id-ID" sz="1200" b="1" i="0" u="none" strike="noStrike" baseline="0">
              <a:solidFill>
                <a:srgbClr val="000000"/>
              </a:solidFill>
              <a:latin typeface="Arial" panose="020B0604020202020204"/>
              <a:cs typeface="Arial" panose="020B0604020202020204"/>
            </a:endParaRPr>
          </a:p>
        </xdr:txBody>
      </xdr:sp>
      <xdr:sp>
        <xdr:nvSpPr>
          <xdr:cNvPr id="8" name="Text Box 48"/>
          <xdr:cNvSpPr txBox="1">
            <a:spLocks noChangeArrowheads="1"/>
          </xdr:cNvSpPr>
        </xdr:nvSpPr>
        <xdr:spPr>
          <a:xfrm>
            <a:off x="-3520349247629" y="782726"/>
            <a:ext cx="0" cy="0"/>
          </a:xfrm>
          <a:prstGeom prst="rect">
            <a:avLst/>
          </a:prstGeom>
          <a:solidFill>
            <a:srgbClr val="FFFFFF"/>
          </a:solidFill>
          <a:ln w="9525">
            <a:solidFill>
              <a:srgbClr val="000000"/>
            </a:solidFill>
            <a:miter lim="800000"/>
          </a:ln>
        </xdr:spPr>
        <xdr:txBody>
          <a:bodyPr vertOverflow="clip" wrap="square" lIns="27432" tIns="22860" rIns="0" bIns="0" anchor="t" upright="1"/>
          <a:lstStyle/>
          <a:p>
            <a:pPr algn="l" rtl="0">
              <a:defRPr sz="1000"/>
            </a:pPr>
            <a:r>
              <a:rPr lang="id-ID" sz="1200" b="1" i="0" u="none" strike="noStrike" baseline="0">
                <a:solidFill>
                  <a:srgbClr val="000000"/>
                </a:solidFill>
                <a:latin typeface="Arial" panose="020B0604020202020204"/>
                <a:cs typeface="Arial" panose="020B0604020202020204"/>
              </a:rPr>
              <a:t>INITIAL</a:t>
            </a:r>
            <a:endParaRPr lang="id-ID" sz="1200" b="1" i="0" u="none" strike="noStrike" baseline="0">
              <a:solidFill>
                <a:srgbClr val="000000"/>
              </a:solidFill>
              <a:latin typeface="Arial" panose="020B0604020202020204"/>
              <a:cs typeface="Arial" panose="020B0604020202020204"/>
            </a:endParaRPr>
          </a:p>
          <a:p>
            <a:pPr algn="l" rtl="0">
              <a:defRPr sz="1000"/>
            </a:pPr>
            <a:r>
              <a:rPr lang="id-ID" sz="1200" b="1" i="0" u="none" strike="noStrike" baseline="0">
                <a:solidFill>
                  <a:srgbClr val="000000"/>
                </a:solidFill>
                <a:latin typeface="Arial" panose="020B0604020202020204"/>
                <a:cs typeface="Arial" panose="020B0604020202020204"/>
              </a:rPr>
              <a:t>TR</a:t>
            </a:r>
            <a:endParaRPr lang="id-ID" sz="1200" b="1" i="0" u="none" strike="noStrike" baseline="0">
              <a:solidFill>
                <a:srgbClr val="000000"/>
              </a:solidFill>
              <a:latin typeface="Arial" panose="020B0604020202020204"/>
              <a:cs typeface="Arial" panose="020B0604020202020204"/>
            </a:endParaRPr>
          </a:p>
        </xdr:txBody>
      </xdr:sp>
    </xdr:grpSp>
    <xdr:clientData/>
  </xdr:twoCellAnchor>
  <xdr:twoCellAnchor editAs="oneCell">
    <xdr:from>
      <xdr:col>10</xdr:col>
      <xdr:colOff>405149</xdr:colOff>
      <xdr:row>10</xdr:row>
      <xdr:rowOff>68087</xdr:rowOff>
    </xdr:from>
    <xdr:to>
      <xdr:col>10</xdr:col>
      <xdr:colOff>609974</xdr:colOff>
      <xdr:row>11</xdr:row>
      <xdr:rowOff>82718</xdr:rowOff>
    </xdr:to>
    <xdr:pic>
      <xdr:nvPicPr>
        <xdr:cNvPr id="6322475" name="Picture 53"/>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213725" y="1841500"/>
          <a:ext cx="204470" cy="18224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xdr:from>
          <xdr:col>16</xdr:col>
          <xdr:colOff>1022350</xdr:colOff>
          <xdr:row>4</xdr:row>
          <xdr:rowOff>0</xdr:rowOff>
        </xdr:from>
        <xdr:to>
          <xdr:col>18</xdr:col>
          <xdr:colOff>0</xdr:colOff>
          <xdr:row>4</xdr:row>
          <xdr:rowOff>0</xdr:rowOff>
        </xdr:to>
        <xdr:sp>
          <xdr:nvSpPr>
            <xdr:cNvPr id="6218753" name="Object 1025" hidden="1">
              <a:extLst>
                <a:ext uri="{63B3BB69-23CF-44E3-9099-C40C66FF867C}">
                  <a14:compatExt spid="_x0000_s6218753"/>
                </a:ext>
              </a:extLst>
            </xdr:cNvPr>
            <xdr:cNvSpPr/>
          </xdr:nvSpPr>
          <xdr:spPr>
            <a:xfrm>
              <a:off x="13698220" y="800100"/>
              <a:ext cx="119761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514350</xdr:colOff>
          <xdr:row>10</xdr:row>
          <xdr:rowOff>57150</xdr:rowOff>
        </xdr:from>
        <xdr:to>
          <xdr:col>16</xdr:col>
          <xdr:colOff>692150</xdr:colOff>
          <xdr:row>11</xdr:row>
          <xdr:rowOff>76200</xdr:rowOff>
        </xdr:to>
        <xdr:sp>
          <xdr:nvSpPr>
            <xdr:cNvPr id="6218757" name="Object 1029" hidden="1">
              <a:extLst>
                <a:ext uri="{63B3BB69-23CF-44E3-9099-C40C66FF867C}">
                  <a14:compatExt spid="_x0000_s6218757"/>
                </a:ext>
              </a:extLst>
            </xdr:cNvPr>
            <xdr:cNvSpPr/>
          </xdr:nvSpPr>
          <xdr:spPr>
            <a:xfrm>
              <a:off x="13190220" y="1830705"/>
              <a:ext cx="177800" cy="186690"/>
            </a:xfrm>
            <a:prstGeom prst="rect">
              <a:avLst/>
            </a:prstGeom>
          </xdr:spPr>
        </xdr:sp>
        <xdr:clientData/>
      </xdr:twoCellAnchor>
    </mc:Choice>
    <mc:Fallback/>
  </mc:AlternateContent>
  <xdr:twoCellAnchor>
    <xdr:from>
      <xdr:col>5</xdr:col>
      <xdr:colOff>351130</xdr:colOff>
      <xdr:row>53</xdr:row>
      <xdr:rowOff>43891</xdr:rowOff>
    </xdr:from>
    <xdr:to>
      <xdr:col>16</xdr:col>
      <xdr:colOff>592531</xdr:colOff>
      <xdr:row>54</xdr:row>
      <xdr:rowOff>138989</xdr:rowOff>
    </xdr:to>
    <xdr:sp>
      <xdr:nvSpPr>
        <xdr:cNvPr id="6322476" name="Freeform 1"/>
        <xdr:cNvSpPr/>
      </xdr:nvSpPr>
      <xdr:spPr>
        <a:xfrm>
          <a:off x="3410585" y="7940675"/>
          <a:ext cx="9857740" cy="26225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229933</xdr:colOff>
      <xdr:row>54</xdr:row>
      <xdr:rowOff>38683</xdr:rowOff>
    </xdr:from>
    <xdr:to>
      <xdr:col>8</xdr:col>
      <xdr:colOff>558549</xdr:colOff>
      <xdr:row>56</xdr:row>
      <xdr:rowOff>123245</xdr:rowOff>
    </xdr:to>
    <xdr:sp>
      <xdr:nvSpPr>
        <xdr:cNvPr id="16" name="Rectangle 2"/>
        <xdr:cNvSpPr>
          <a:spLocks noChangeArrowheads="1"/>
        </xdr:cNvSpPr>
      </xdr:nvSpPr>
      <xdr:spPr>
        <a:xfrm>
          <a:off x="6157595" y="8102600"/>
          <a:ext cx="328295" cy="420370"/>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300" b="1" i="0" u="none" strike="noStrike" baseline="0">
              <a:solidFill>
                <a:srgbClr val="000000"/>
              </a:solidFill>
              <a:latin typeface="Arial" panose="020B0604020202020204"/>
              <a:cs typeface="Arial" panose="020B0604020202020204"/>
            </a:rPr>
            <a:t>F</a:t>
          </a:r>
          <a:r>
            <a:rPr lang="en-US" sz="1300" b="1" i="0" u="none" strike="noStrike" baseline="0">
              <a:solidFill>
                <a:srgbClr val="000000"/>
              </a:solidFill>
              <a:latin typeface="Arial" panose="020B0604020202020204"/>
              <a:cs typeface="Arial" panose="020B0604020202020204"/>
            </a:rPr>
            <a:t>3</a:t>
          </a:r>
          <a:endParaRPr lang="id-ID" sz="1300" b="1" i="0" u="none" strike="noStrike" baseline="0">
            <a:solidFill>
              <a:srgbClr val="000000"/>
            </a:solidFill>
            <a:latin typeface="Arial" panose="020B0604020202020204"/>
            <a:cs typeface="Arial" panose="020B0604020202020204"/>
          </a:endParaRPr>
        </a:p>
      </xdr:txBody>
    </xdr:sp>
    <xdr:clientData/>
  </xdr:twoCellAnchor>
  <mc:AlternateContent xmlns:mc="http://schemas.openxmlformats.org/markup-compatibility/2006">
    <mc:Choice xmlns:a14="http://schemas.microsoft.com/office/drawing/2010/main" Requires="a14">
      <xdr:twoCellAnchor editAs="oneCell">
        <xdr:from>
          <xdr:col>7</xdr:col>
          <xdr:colOff>673100</xdr:colOff>
          <xdr:row>54</xdr:row>
          <xdr:rowOff>63500</xdr:rowOff>
        </xdr:from>
        <xdr:to>
          <xdr:col>7</xdr:col>
          <xdr:colOff>927100</xdr:colOff>
          <xdr:row>55</xdr:row>
          <xdr:rowOff>114300</xdr:rowOff>
        </xdr:to>
        <xdr:sp>
          <xdr:nvSpPr>
            <xdr:cNvPr id="6218758" name="Object 1030" hidden="1">
              <a:extLst>
                <a:ext uri="{63B3BB69-23CF-44E3-9099-C40C66FF867C}">
                  <a14:compatExt spid="_x0000_s6218758"/>
                </a:ext>
              </a:extLst>
            </xdr:cNvPr>
            <xdr:cNvSpPr/>
          </xdr:nvSpPr>
          <xdr:spPr>
            <a:xfrm>
              <a:off x="5660390" y="8128000"/>
              <a:ext cx="254000" cy="218440"/>
            </a:xfrm>
            <a:prstGeom prst="rect">
              <a:avLst/>
            </a:prstGeom>
          </xdr:spPr>
        </xdr:sp>
        <xdr:clientData/>
      </xdr:twoCellAnchor>
    </mc:Choice>
    <mc:Fallback/>
  </mc:AlternateContent>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6</xdr:col>
      <xdr:colOff>248717</xdr:colOff>
      <xdr:row>34</xdr:row>
      <xdr:rowOff>80467</xdr:rowOff>
    </xdr:from>
    <xdr:to>
      <xdr:col>11</xdr:col>
      <xdr:colOff>790042</xdr:colOff>
      <xdr:row>35</xdr:row>
      <xdr:rowOff>146304</xdr:rowOff>
    </xdr:to>
    <xdr:sp>
      <xdr:nvSpPr>
        <xdr:cNvPr id="6259699" name="Freeform 1"/>
        <xdr:cNvSpPr/>
      </xdr:nvSpPr>
      <xdr:spPr>
        <a:xfrm>
          <a:off x="3543300" y="5473065"/>
          <a:ext cx="789940" cy="233680"/>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604765</xdr:colOff>
      <xdr:row>35</xdr:row>
      <xdr:rowOff>18865</xdr:rowOff>
    </xdr:from>
    <xdr:to>
      <xdr:col>9</xdr:col>
      <xdr:colOff>150602</xdr:colOff>
      <xdr:row>36</xdr:row>
      <xdr:rowOff>73279</xdr:rowOff>
    </xdr:to>
    <xdr:sp>
      <xdr:nvSpPr>
        <xdr:cNvPr id="20482" name="Rectangle 2"/>
        <xdr:cNvSpPr>
          <a:spLocks noChangeArrowheads="1"/>
        </xdr:cNvSpPr>
      </xdr:nvSpPr>
      <xdr:spPr>
        <a:xfrm>
          <a:off x="3543300" y="5579110"/>
          <a:ext cx="0" cy="222250"/>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000" b="1" i="0" u="none" strike="noStrike" baseline="0">
              <a:solidFill>
                <a:srgbClr val="000000"/>
              </a:solidFill>
              <a:latin typeface="Arial" panose="020B0604020202020204"/>
              <a:cs typeface="Arial" panose="020B0604020202020204"/>
            </a:rPr>
            <a:t>F1</a:t>
          </a:r>
          <a:endParaRPr lang="id-ID" sz="10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6</xdr:col>
      <xdr:colOff>541325</xdr:colOff>
      <xdr:row>11</xdr:row>
      <xdr:rowOff>58522</xdr:rowOff>
    </xdr:from>
    <xdr:to>
      <xdr:col>11</xdr:col>
      <xdr:colOff>160934</xdr:colOff>
      <xdr:row>12</xdr:row>
      <xdr:rowOff>43891</xdr:rowOff>
    </xdr:to>
    <xdr:pic>
      <xdr:nvPicPr>
        <xdr:cNvPr id="6259701"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543300" y="1931035"/>
          <a:ext cx="160655" cy="15303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18</xdr:col>
          <xdr:colOff>374650</xdr:colOff>
          <xdr:row>11</xdr:row>
          <xdr:rowOff>19050</xdr:rowOff>
        </xdr:from>
        <xdr:to>
          <xdr:col>18</xdr:col>
          <xdr:colOff>558800</xdr:colOff>
          <xdr:row>12</xdr:row>
          <xdr:rowOff>44450</xdr:rowOff>
        </xdr:to>
        <xdr:sp>
          <xdr:nvSpPr>
            <xdr:cNvPr id="20486" name="Object 6" hidden="1">
              <a:extLst>
                <a:ext uri="{63B3BB69-23CF-44E3-9099-C40C66FF867C}">
                  <a14:compatExt spid="_x0000_s20486"/>
                </a:ext>
              </a:extLst>
            </xdr:cNvPr>
            <xdr:cNvSpPr/>
          </xdr:nvSpPr>
          <xdr:spPr>
            <a:xfrm>
              <a:off x="5817870" y="1891665"/>
              <a:ext cx="184150" cy="1930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298450</xdr:colOff>
          <xdr:row>35</xdr:row>
          <xdr:rowOff>44450</xdr:rowOff>
        </xdr:from>
        <xdr:to>
          <xdr:col>11</xdr:col>
          <xdr:colOff>228600</xdr:colOff>
          <xdr:row>36</xdr:row>
          <xdr:rowOff>63500</xdr:rowOff>
        </xdr:to>
        <xdr:sp>
          <xdr:nvSpPr>
            <xdr:cNvPr id="20491" name="Object 11" hidden="1">
              <a:extLst>
                <a:ext uri="{63B3BB69-23CF-44E3-9099-C40C66FF867C}">
                  <a14:compatExt spid="_x0000_s20491"/>
                </a:ext>
              </a:extLst>
            </xdr:cNvPr>
            <xdr:cNvSpPr/>
          </xdr:nvSpPr>
          <xdr:spPr>
            <a:xfrm>
              <a:off x="3543300" y="5605145"/>
              <a:ext cx="228600" cy="1866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393700</xdr:colOff>
          <xdr:row>11</xdr:row>
          <xdr:rowOff>38100</xdr:rowOff>
        </xdr:from>
        <xdr:to>
          <xdr:col>17</xdr:col>
          <xdr:colOff>577850</xdr:colOff>
          <xdr:row>12</xdr:row>
          <xdr:rowOff>44450</xdr:rowOff>
        </xdr:to>
        <xdr:sp>
          <xdr:nvSpPr>
            <xdr:cNvPr id="3696183" name="Object 1591" hidden="1">
              <a:extLst>
                <a:ext uri="{63B3BB69-23CF-44E3-9099-C40C66FF867C}">
                  <a14:compatExt spid="_x0000_s3696183"/>
                </a:ext>
              </a:extLst>
            </xdr:cNvPr>
            <xdr:cNvSpPr/>
          </xdr:nvSpPr>
          <xdr:spPr>
            <a:xfrm>
              <a:off x="4859655" y="1910715"/>
              <a:ext cx="184150" cy="173990"/>
            </a:xfrm>
            <a:prstGeom prst="rect">
              <a:avLst/>
            </a:prstGeom>
          </xdr:spPr>
        </xdr:sp>
        <xdr:clientData/>
      </xdr:twoCellAnchor>
    </mc:Choice>
    <mc:Fallback/>
  </mc:AlternateContent>
</xdr:wsDr>
</file>

<file path=xl/drawings/drawing8.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450850</xdr:colOff>
          <xdr:row>11</xdr:row>
          <xdr:rowOff>19050</xdr:rowOff>
        </xdr:from>
        <xdr:to>
          <xdr:col>5</xdr:col>
          <xdr:colOff>615950</xdr:colOff>
          <xdr:row>12</xdr:row>
          <xdr:rowOff>12700</xdr:rowOff>
        </xdr:to>
        <xdr:sp>
          <xdr:nvSpPr>
            <xdr:cNvPr id="308232" name="Object 8" hidden="1">
              <a:extLst>
                <a:ext uri="{63B3BB69-23CF-44E3-9099-C40C66FF867C}">
                  <a14:compatExt spid="_x0000_s308232"/>
                </a:ext>
              </a:extLst>
            </xdr:cNvPr>
            <xdr:cNvSpPr/>
          </xdr:nvSpPr>
          <xdr:spPr>
            <a:xfrm>
              <a:off x="3382645" y="1857375"/>
              <a:ext cx="165100" cy="1612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488950</xdr:colOff>
          <xdr:row>11</xdr:row>
          <xdr:rowOff>19050</xdr:rowOff>
        </xdr:from>
        <xdr:to>
          <xdr:col>17</xdr:col>
          <xdr:colOff>685800</xdr:colOff>
          <xdr:row>12</xdr:row>
          <xdr:rowOff>38100</xdr:rowOff>
        </xdr:to>
        <xdr:sp>
          <xdr:nvSpPr>
            <xdr:cNvPr id="308233" name="Object 9" hidden="1">
              <a:extLst>
                <a:ext uri="{63B3BB69-23CF-44E3-9099-C40C66FF867C}">
                  <a14:compatExt spid="_x0000_s308233"/>
                </a:ext>
              </a:extLst>
            </xdr:cNvPr>
            <xdr:cNvSpPr/>
          </xdr:nvSpPr>
          <xdr:spPr>
            <a:xfrm>
              <a:off x="13102590" y="1857375"/>
              <a:ext cx="196850" cy="1866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469900</xdr:colOff>
          <xdr:row>41</xdr:row>
          <xdr:rowOff>88900</xdr:rowOff>
        </xdr:from>
        <xdr:to>
          <xdr:col>8</xdr:col>
          <xdr:colOff>628650</xdr:colOff>
          <xdr:row>42</xdr:row>
          <xdr:rowOff>107950</xdr:rowOff>
        </xdr:to>
        <xdr:sp>
          <xdr:nvSpPr>
            <xdr:cNvPr id="308234" name="Object 10" hidden="1">
              <a:extLst>
                <a:ext uri="{63B3BB69-23CF-44E3-9099-C40C66FF867C}">
                  <a14:compatExt spid="_x0000_s308234"/>
                </a:ext>
              </a:extLst>
            </xdr:cNvPr>
            <xdr:cNvSpPr/>
          </xdr:nvSpPr>
          <xdr:spPr>
            <a:xfrm>
              <a:off x="5648960" y="5782945"/>
              <a:ext cx="158750" cy="186690"/>
            </a:xfrm>
            <a:prstGeom prst="rect">
              <a:avLst/>
            </a:prstGeom>
          </xdr:spPr>
        </xdr:sp>
        <xdr:clientData/>
      </xdr:twoCellAnchor>
    </mc:Choice>
    <mc:Fallback/>
  </mc:AlternateContent>
  <xdr:twoCellAnchor>
    <xdr:from>
      <xdr:col>5</xdr:col>
      <xdr:colOff>146304</xdr:colOff>
      <xdr:row>42</xdr:row>
      <xdr:rowOff>58522</xdr:rowOff>
    </xdr:from>
    <xdr:to>
      <xdr:col>18</xdr:col>
      <xdr:colOff>592531</xdr:colOff>
      <xdr:row>43</xdr:row>
      <xdr:rowOff>87782</xdr:rowOff>
    </xdr:to>
    <xdr:sp>
      <xdr:nvSpPr>
        <xdr:cNvPr id="6260102" name="Freeform 1"/>
        <xdr:cNvSpPr/>
      </xdr:nvSpPr>
      <xdr:spPr>
        <a:xfrm>
          <a:off x="3077845" y="5920105"/>
          <a:ext cx="11324590" cy="196850"/>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16</xdr:col>
          <xdr:colOff>469900</xdr:colOff>
          <xdr:row>11</xdr:row>
          <xdr:rowOff>38100</xdr:rowOff>
        </xdr:from>
        <xdr:to>
          <xdr:col>16</xdr:col>
          <xdr:colOff>660400</xdr:colOff>
          <xdr:row>12</xdr:row>
          <xdr:rowOff>44450</xdr:rowOff>
        </xdr:to>
        <xdr:sp>
          <xdr:nvSpPr>
            <xdr:cNvPr id="4576620" name="Object 2412" hidden="1">
              <a:extLst>
                <a:ext uri="{63B3BB69-23CF-44E3-9099-C40C66FF867C}">
                  <a14:compatExt spid="_x0000_s4576620"/>
                </a:ext>
              </a:extLst>
            </xdr:cNvPr>
            <xdr:cNvSpPr/>
          </xdr:nvSpPr>
          <xdr:spPr>
            <a:xfrm>
              <a:off x="12005945" y="1876425"/>
              <a:ext cx="190500" cy="173990"/>
            </a:xfrm>
            <a:prstGeom prst="rect">
              <a:avLst/>
            </a:prstGeom>
          </xdr:spPr>
        </xdr:sp>
        <xdr:clientData/>
      </xdr:twoCellAnchor>
    </mc:Choice>
    <mc:Fallback/>
  </mc:AlternateContent>
</xdr:wsDr>
</file>

<file path=xl/drawings/drawing9.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18</xdr:col>
          <xdr:colOff>488950</xdr:colOff>
          <xdr:row>11</xdr:row>
          <xdr:rowOff>19050</xdr:rowOff>
        </xdr:from>
        <xdr:to>
          <xdr:col>18</xdr:col>
          <xdr:colOff>685800</xdr:colOff>
          <xdr:row>12</xdr:row>
          <xdr:rowOff>38100</xdr:rowOff>
        </xdr:to>
        <xdr:sp>
          <xdr:nvSpPr>
            <xdr:cNvPr id="6781954" name="Object 2" hidden="1">
              <a:extLst>
                <a:ext uri="{63B3BB69-23CF-44E3-9099-C40C66FF867C}">
                  <a14:compatExt spid="_x0000_s6781954"/>
                </a:ext>
              </a:extLst>
            </xdr:cNvPr>
            <xdr:cNvSpPr/>
          </xdr:nvSpPr>
          <xdr:spPr>
            <a:xfrm>
              <a:off x="13769340" y="1866900"/>
              <a:ext cx="196850" cy="1866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469900</xdr:colOff>
          <xdr:row>21</xdr:row>
          <xdr:rowOff>88900</xdr:rowOff>
        </xdr:from>
        <xdr:to>
          <xdr:col>9</xdr:col>
          <xdr:colOff>628650</xdr:colOff>
          <xdr:row>22</xdr:row>
          <xdr:rowOff>107950</xdr:rowOff>
        </xdr:to>
        <xdr:sp>
          <xdr:nvSpPr>
            <xdr:cNvPr id="6781955" name="Object 3" hidden="1">
              <a:extLst>
                <a:ext uri="{63B3BB69-23CF-44E3-9099-C40C66FF867C}">
                  <a14:compatExt spid="_x0000_s6781955"/>
                </a:ext>
              </a:extLst>
            </xdr:cNvPr>
            <xdr:cNvSpPr/>
          </xdr:nvSpPr>
          <xdr:spPr>
            <a:xfrm>
              <a:off x="6206490" y="3613150"/>
              <a:ext cx="158750" cy="186690"/>
            </a:xfrm>
            <a:prstGeom prst="rect">
              <a:avLst/>
            </a:prstGeom>
          </xdr:spPr>
        </xdr:sp>
        <xdr:clientData/>
      </xdr:twoCellAnchor>
    </mc:Choice>
    <mc:Fallback/>
  </mc:AlternateContent>
  <xdr:twoCellAnchor>
    <xdr:from>
      <xdr:col>5</xdr:col>
      <xdr:colOff>146304</xdr:colOff>
      <xdr:row>22</xdr:row>
      <xdr:rowOff>58522</xdr:rowOff>
    </xdr:from>
    <xdr:to>
      <xdr:col>19</xdr:col>
      <xdr:colOff>592531</xdr:colOff>
      <xdr:row>23</xdr:row>
      <xdr:rowOff>87782</xdr:rowOff>
    </xdr:to>
    <xdr:sp>
      <xdr:nvSpPr>
        <xdr:cNvPr id="5" name="Freeform 1"/>
        <xdr:cNvSpPr/>
      </xdr:nvSpPr>
      <xdr:spPr>
        <a:xfrm>
          <a:off x="3077845" y="3750310"/>
          <a:ext cx="11991340" cy="196850"/>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17</xdr:col>
          <xdr:colOff>469900</xdr:colOff>
          <xdr:row>11</xdr:row>
          <xdr:rowOff>38100</xdr:rowOff>
        </xdr:from>
        <xdr:to>
          <xdr:col>17</xdr:col>
          <xdr:colOff>660400</xdr:colOff>
          <xdr:row>12</xdr:row>
          <xdr:rowOff>44450</xdr:rowOff>
        </xdr:to>
        <xdr:sp>
          <xdr:nvSpPr>
            <xdr:cNvPr id="6781956" name="Object 2412" hidden="1">
              <a:extLst>
                <a:ext uri="{63B3BB69-23CF-44E3-9099-C40C66FF867C}">
                  <a14:compatExt spid="_x0000_s6781956"/>
                </a:ext>
              </a:extLst>
            </xdr:cNvPr>
            <xdr:cNvSpPr/>
          </xdr:nvSpPr>
          <xdr:spPr>
            <a:xfrm>
              <a:off x="12672695" y="1885950"/>
              <a:ext cx="190500" cy="173990"/>
            </a:xfrm>
            <a:prstGeom prst="rect">
              <a:avLst/>
            </a:prstGeom>
          </xdr:spPr>
        </xdr:sp>
        <xdr:clientData/>
      </xdr:twoCellAnchor>
    </mc:Choice>
    <mc:Fallback/>
  </mc:AlternateContent>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16</xdr:col>
      <xdr:colOff>43962</xdr:colOff>
      <xdr:row>113</xdr:row>
      <xdr:rowOff>68386</xdr:rowOff>
    </xdr:from>
    <xdr:to>
      <xdr:col>17</xdr:col>
      <xdr:colOff>136770</xdr:colOff>
      <xdr:row>151</xdr:row>
      <xdr:rowOff>63500</xdr:rowOff>
    </xdr:to>
    <xdr:sp>
      <xdr:nvSpPr>
        <xdr:cNvPr id="2" name="Right Brace 1"/>
        <xdr:cNvSpPr/>
      </xdr:nvSpPr>
      <xdr:spPr>
        <a:xfrm>
          <a:off x="7216775" y="16769080"/>
          <a:ext cx="0" cy="1703705"/>
        </a:xfrm>
        <a:prstGeom prst="rightBrace">
          <a:avLst>
            <a:gd name="adj1" fmla="val 8333"/>
            <a:gd name="adj2" fmla="val 48029"/>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en-US"/>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80467</xdr:colOff>
      <xdr:row>36</xdr:row>
      <xdr:rowOff>14630</xdr:rowOff>
    </xdr:from>
    <xdr:to>
      <xdr:col>1</xdr:col>
      <xdr:colOff>234086</xdr:colOff>
      <xdr:row>36</xdr:row>
      <xdr:rowOff>160934</xdr:rowOff>
    </xdr:to>
    <xdr:pic>
      <xdr:nvPicPr>
        <xdr:cNvPr id="6309188"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244475" y="6163945"/>
          <a:ext cx="153670" cy="146050"/>
        </a:xfrm>
        <a:prstGeom prst="rect">
          <a:avLst/>
        </a:prstGeom>
        <a:solidFill>
          <a:srgbClr val="FFFFFF"/>
        </a:solidFill>
        <a:ln w="9525">
          <a:solidFill>
            <a:srgbClr val="000000"/>
          </a:solidFill>
          <a:miter lim="800000"/>
          <a:headEnd/>
          <a:tailEnd/>
        </a:ln>
      </xdr:spPr>
    </xdr:pic>
    <xdr:clientData/>
  </xdr:twoCellAnchor>
  <xdr:twoCellAnchor editAs="oneCell">
    <xdr:from>
      <xdr:col>11</xdr:col>
      <xdr:colOff>512064</xdr:colOff>
      <xdr:row>6</xdr:row>
      <xdr:rowOff>138989</xdr:rowOff>
    </xdr:from>
    <xdr:to>
      <xdr:col>16</xdr:col>
      <xdr:colOff>153619</xdr:colOff>
      <xdr:row>7</xdr:row>
      <xdr:rowOff>131674</xdr:rowOff>
    </xdr:to>
    <xdr:pic>
      <xdr:nvPicPr>
        <xdr:cNvPr id="6309189"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375650" y="1210945"/>
          <a:ext cx="153035" cy="16065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82550</xdr:colOff>
          <xdr:row>40</xdr:row>
          <xdr:rowOff>12700</xdr:rowOff>
        </xdr:from>
        <xdr:to>
          <xdr:col>1</xdr:col>
          <xdr:colOff>234950</xdr:colOff>
          <xdr:row>41</xdr:row>
          <xdr:rowOff>0</xdr:rowOff>
        </xdr:to>
        <xdr:sp>
          <xdr:nvSpPr>
            <xdr:cNvPr id="421889" name="Object 1" hidden="1">
              <a:extLst>
                <a:ext uri="{63B3BB69-23CF-44E3-9099-C40C66FF867C}">
                  <a14:compatExt spid="_x0000_s421889"/>
                </a:ext>
              </a:extLst>
            </xdr:cNvPr>
            <xdr:cNvSpPr/>
          </xdr:nvSpPr>
          <xdr:spPr>
            <a:xfrm>
              <a:off x="247015" y="6731000"/>
              <a:ext cx="152400" cy="1549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82550</xdr:colOff>
          <xdr:row>38</xdr:row>
          <xdr:rowOff>12700</xdr:rowOff>
        </xdr:from>
        <xdr:to>
          <xdr:col>1</xdr:col>
          <xdr:colOff>279400</xdr:colOff>
          <xdr:row>39</xdr:row>
          <xdr:rowOff>19050</xdr:rowOff>
        </xdr:to>
        <xdr:sp>
          <xdr:nvSpPr>
            <xdr:cNvPr id="421890" name="Object 2" hidden="1">
              <a:extLst>
                <a:ext uri="{63B3BB69-23CF-44E3-9099-C40C66FF867C}">
                  <a14:compatExt spid="_x0000_s421890"/>
                </a:ext>
              </a:extLst>
            </xdr:cNvPr>
            <xdr:cNvSpPr/>
          </xdr:nvSpPr>
          <xdr:spPr>
            <a:xfrm>
              <a:off x="247015" y="6446520"/>
              <a:ext cx="1968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527050</xdr:colOff>
          <xdr:row>6</xdr:row>
          <xdr:rowOff>139700</xdr:rowOff>
        </xdr:from>
        <xdr:to>
          <xdr:col>17</xdr:col>
          <xdr:colOff>711200</xdr:colOff>
          <xdr:row>7</xdr:row>
          <xdr:rowOff>146050</xdr:rowOff>
        </xdr:to>
        <xdr:sp>
          <xdr:nvSpPr>
            <xdr:cNvPr id="421891" name="Object 3" hidden="1">
              <a:extLst>
                <a:ext uri="{63B3BB69-23CF-44E3-9099-C40C66FF867C}">
                  <a14:compatExt spid="_x0000_s421891"/>
                </a:ext>
              </a:extLst>
            </xdr:cNvPr>
            <xdr:cNvSpPr/>
          </xdr:nvSpPr>
          <xdr:spPr>
            <a:xfrm>
              <a:off x="9998710" y="1212215"/>
              <a:ext cx="1841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927100</xdr:colOff>
          <xdr:row>33</xdr:row>
          <xdr:rowOff>114300</xdr:rowOff>
        </xdr:from>
        <xdr:to>
          <xdr:col>8</xdr:col>
          <xdr:colOff>6350</xdr:colOff>
          <xdr:row>34</xdr:row>
          <xdr:rowOff>139700</xdr:rowOff>
        </xdr:to>
        <xdr:sp>
          <xdr:nvSpPr>
            <xdr:cNvPr id="1918404" name="Object 2500" hidden="1">
              <a:extLst>
                <a:ext uri="{63B3BB69-23CF-44E3-9099-C40C66FF867C}">
                  <a14:compatExt spid="_x0000_s1918404"/>
                </a:ext>
              </a:extLst>
            </xdr:cNvPr>
            <xdr:cNvSpPr/>
          </xdr:nvSpPr>
          <xdr:spPr>
            <a:xfrm>
              <a:off x="5877560" y="5760720"/>
              <a:ext cx="74930" cy="193040"/>
            </a:xfrm>
            <a:prstGeom prst="rect">
              <a:avLst/>
            </a:prstGeom>
          </xdr:spPr>
        </xdr:sp>
        <xdr:clientData/>
      </xdr:twoCellAnchor>
    </mc:Choice>
    <mc:Fallback/>
  </mc:AlternateContent>
  <xdr:twoCellAnchor>
    <xdr:from>
      <xdr:col>5</xdr:col>
      <xdr:colOff>548640</xdr:colOff>
      <xdr:row>32</xdr:row>
      <xdr:rowOff>95098</xdr:rowOff>
    </xdr:from>
    <xdr:to>
      <xdr:col>18</xdr:col>
      <xdr:colOff>402336</xdr:colOff>
      <xdr:row>33</xdr:row>
      <xdr:rowOff>131674</xdr:rowOff>
    </xdr:to>
    <xdr:sp>
      <xdr:nvSpPr>
        <xdr:cNvPr id="6309190" name="Freeform 1"/>
        <xdr:cNvSpPr/>
      </xdr:nvSpPr>
      <xdr:spPr>
        <a:xfrm>
          <a:off x="4074160" y="5573395"/>
          <a:ext cx="6904355" cy="204470"/>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0</xdr:colOff>
      <xdr:row>32</xdr:row>
      <xdr:rowOff>132896</xdr:rowOff>
    </xdr:from>
    <xdr:to>
      <xdr:col>11</xdr:col>
      <xdr:colOff>0</xdr:colOff>
      <xdr:row>34</xdr:row>
      <xdr:rowOff>64838</xdr:rowOff>
    </xdr:to>
    <xdr:sp>
      <xdr:nvSpPr>
        <xdr:cNvPr id="12" name="Rectangle 2"/>
        <xdr:cNvSpPr>
          <a:spLocks noChangeArrowheads="1"/>
        </xdr:cNvSpPr>
      </xdr:nvSpPr>
      <xdr:spPr>
        <a:xfrm>
          <a:off x="8375650" y="5611495"/>
          <a:ext cx="0" cy="267335"/>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300" b="1" i="0" u="none" strike="noStrike" baseline="0">
              <a:solidFill>
                <a:srgbClr val="000000"/>
              </a:solidFill>
              <a:latin typeface="Arial" panose="020B0604020202020204"/>
              <a:cs typeface="Arial" panose="020B0604020202020204"/>
            </a:rPr>
            <a:t>F1</a:t>
          </a:r>
          <a:endParaRPr lang="id-ID" sz="1300" b="1" i="0" u="none" strike="noStrike" baseline="0">
            <a:solidFill>
              <a:srgbClr val="000000"/>
            </a:solidFill>
            <a:latin typeface="Arial" panose="020B0604020202020204"/>
            <a:cs typeface="Arial" panose="020B0604020202020204"/>
          </a:endParaRPr>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80467</xdr:colOff>
      <xdr:row>30</xdr:row>
      <xdr:rowOff>14630</xdr:rowOff>
    </xdr:from>
    <xdr:to>
      <xdr:col>1</xdr:col>
      <xdr:colOff>234086</xdr:colOff>
      <xdr:row>31</xdr:row>
      <xdr:rowOff>0</xdr:rowOff>
    </xdr:to>
    <xdr:pic>
      <xdr:nvPicPr>
        <xdr:cNvPr id="6310212"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226060" y="5072380"/>
          <a:ext cx="153670" cy="153035"/>
        </a:xfrm>
        <a:prstGeom prst="rect">
          <a:avLst/>
        </a:prstGeom>
        <a:solidFill>
          <a:srgbClr val="FFFFFF"/>
        </a:solidFill>
        <a:ln w="9525">
          <a:solidFill>
            <a:srgbClr val="000000"/>
          </a:solidFill>
          <a:miter lim="800000"/>
          <a:headEnd/>
          <a:tailEnd/>
        </a:ln>
      </xdr:spPr>
    </xdr:pic>
    <xdr:clientData/>
  </xdr:twoCellAnchor>
  <xdr:twoCellAnchor>
    <xdr:from>
      <xdr:col>4</xdr:col>
      <xdr:colOff>117043</xdr:colOff>
      <xdr:row>26</xdr:row>
      <xdr:rowOff>21946</xdr:rowOff>
    </xdr:from>
    <xdr:to>
      <xdr:col>19</xdr:col>
      <xdr:colOff>292608</xdr:colOff>
      <xdr:row>27</xdr:row>
      <xdr:rowOff>138989</xdr:rowOff>
    </xdr:to>
    <xdr:sp>
      <xdr:nvSpPr>
        <xdr:cNvPr id="6310213" name="Freeform 7"/>
        <xdr:cNvSpPr/>
      </xdr:nvSpPr>
      <xdr:spPr>
        <a:xfrm>
          <a:off x="3907155" y="4408805"/>
          <a:ext cx="12038965" cy="284480"/>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0</xdr:colOff>
      <xdr:row>27</xdr:row>
      <xdr:rowOff>38652</xdr:rowOff>
    </xdr:from>
    <xdr:to>
      <xdr:col>16</xdr:col>
      <xdr:colOff>306476</xdr:colOff>
      <xdr:row>28</xdr:row>
      <xdr:rowOff>47683</xdr:rowOff>
    </xdr:to>
    <xdr:sp>
      <xdr:nvSpPr>
        <xdr:cNvPr id="4" name="Rectangle 8"/>
        <xdr:cNvSpPr>
          <a:spLocks noChangeArrowheads="1"/>
        </xdr:cNvSpPr>
      </xdr:nvSpPr>
      <xdr:spPr>
        <a:xfrm>
          <a:off x="8978265" y="4592955"/>
          <a:ext cx="3931285" cy="177165"/>
        </a:xfrm>
        <a:prstGeom prst="rect">
          <a:avLst/>
        </a:prstGeom>
        <a:solidFill>
          <a:srgbClr val="FFFFFF"/>
        </a:solidFill>
        <a:ln w="9525">
          <a:solidFill>
            <a:srgbClr val="000000"/>
          </a:solidFill>
          <a:miter lim="800000"/>
        </a:ln>
      </xdr:spPr>
      <xdr:txBody>
        <a:bodyPr vertOverflow="clip" wrap="square" lIns="36576" tIns="32004" rIns="36576" bIns="0" anchor="ctr" upright="1"/>
        <a:lstStyle/>
        <a:p>
          <a:pPr algn="ctr" rtl="0">
            <a:defRPr sz="1000"/>
          </a:pPr>
          <a:r>
            <a:rPr lang="id-ID" sz="1400" b="1" i="0" u="none" strike="noStrike" baseline="0">
              <a:solidFill>
                <a:srgbClr val="000000"/>
              </a:solidFill>
              <a:latin typeface="Arial" panose="020B0604020202020204"/>
              <a:cs typeface="Arial" panose="020B0604020202020204"/>
            </a:rPr>
            <a:t>F1</a:t>
          </a:r>
          <a:endParaRPr lang="id-ID" sz="14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11</xdr:col>
      <xdr:colOff>497434</xdr:colOff>
      <xdr:row>6</xdr:row>
      <xdr:rowOff>102413</xdr:rowOff>
    </xdr:from>
    <xdr:to>
      <xdr:col>11</xdr:col>
      <xdr:colOff>665683</xdr:colOff>
      <xdr:row>7</xdr:row>
      <xdr:rowOff>124358</xdr:rowOff>
    </xdr:to>
    <xdr:pic>
      <xdr:nvPicPr>
        <xdr:cNvPr id="6310215"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9475470" y="1108075"/>
          <a:ext cx="168275" cy="189230"/>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76200</xdr:colOff>
          <xdr:row>32</xdr:row>
          <xdr:rowOff>6350</xdr:rowOff>
        </xdr:from>
        <xdr:to>
          <xdr:col>1</xdr:col>
          <xdr:colOff>228600</xdr:colOff>
          <xdr:row>32</xdr:row>
          <xdr:rowOff>152400</xdr:rowOff>
        </xdr:to>
        <xdr:sp>
          <xdr:nvSpPr>
            <xdr:cNvPr id="1050625" name="Object 1" hidden="1">
              <a:extLst>
                <a:ext uri="{63B3BB69-23CF-44E3-9099-C40C66FF867C}">
                  <a14:compatExt spid="_x0000_s1050625"/>
                </a:ext>
              </a:extLst>
            </xdr:cNvPr>
            <xdr:cNvSpPr/>
          </xdr:nvSpPr>
          <xdr:spPr>
            <a:xfrm>
              <a:off x="222250" y="5399405"/>
              <a:ext cx="152400" cy="1460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31</xdr:row>
          <xdr:rowOff>6350</xdr:rowOff>
        </xdr:from>
        <xdr:to>
          <xdr:col>1</xdr:col>
          <xdr:colOff>228600</xdr:colOff>
          <xdr:row>31</xdr:row>
          <xdr:rowOff>152400</xdr:rowOff>
        </xdr:to>
        <xdr:sp>
          <xdr:nvSpPr>
            <xdr:cNvPr id="1050626" name="Object 2" hidden="1">
              <a:extLst>
                <a:ext uri="{63B3BB69-23CF-44E3-9099-C40C66FF867C}">
                  <a14:compatExt spid="_x0000_s1050626"/>
                </a:ext>
              </a:extLst>
            </xdr:cNvPr>
            <xdr:cNvSpPr/>
          </xdr:nvSpPr>
          <xdr:spPr>
            <a:xfrm>
              <a:off x="222250" y="5231765"/>
              <a:ext cx="152400" cy="1460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469900</xdr:colOff>
          <xdr:row>6</xdr:row>
          <xdr:rowOff>101600</xdr:rowOff>
        </xdr:from>
        <xdr:to>
          <xdr:col>17</xdr:col>
          <xdr:colOff>635000</xdr:colOff>
          <xdr:row>7</xdr:row>
          <xdr:rowOff>95250</xdr:rowOff>
        </xdr:to>
        <xdr:sp>
          <xdr:nvSpPr>
            <xdr:cNvPr id="1050627" name="Object 3" hidden="1">
              <a:extLst>
                <a:ext uri="{63B3BB69-23CF-44E3-9099-C40C66FF867C}">
                  <a14:compatExt spid="_x0000_s1050627"/>
                </a:ext>
              </a:extLst>
            </xdr:cNvPr>
            <xdr:cNvSpPr/>
          </xdr:nvSpPr>
          <xdr:spPr>
            <a:xfrm>
              <a:off x="14105255" y="1107440"/>
              <a:ext cx="165100" cy="1612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101600</xdr:colOff>
          <xdr:row>26</xdr:row>
          <xdr:rowOff>139700</xdr:rowOff>
        </xdr:from>
        <xdr:to>
          <xdr:col>12</xdr:col>
          <xdr:colOff>273050</xdr:colOff>
          <xdr:row>27</xdr:row>
          <xdr:rowOff>146050</xdr:rowOff>
        </xdr:to>
        <xdr:sp>
          <xdr:nvSpPr>
            <xdr:cNvPr id="1050628" name="Object 4" hidden="1">
              <a:extLst>
                <a:ext uri="{63B3BB69-23CF-44E3-9099-C40C66FF867C}">
                  <a14:compatExt spid="_x0000_s1050628"/>
                </a:ext>
              </a:extLst>
            </xdr:cNvPr>
            <xdr:cNvSpPr/>
          </xdr:nvSpPr>
          <xdr:spPr>
            <a:xfrm>
              <a:off x="10130155" y="4526915"/>
              <a:ext cx="1714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234950</xdr:colOff>
          <xdr:row>27</xdr:row>
          <xdr:rowOff>57150</xdr:rowOff>
        </xdr:from>
        <xdr:to>
          <xdr:col>7</xdr:col>
          <xdr:colOff>31750</xdr:colOff>
          <xdr:row>28</xdr:row>
          <xdr:rowOff>63500</xdr:rowOff>
        </xdr:to>
        <xdr:sp>
          <xdr:nvSpPr>
            <xdr:cNvPr id="4033997" name="Object 2509" hidden="1">
              <a:extLst>
                <a:ext uri="{63B3BB69-23CF-44E3-9099-C40C66FF867C}">
                  <a14:compatExt spid="_x0000_s4033997"/>
                </a:ext>
              </a:extLst>
            </xdr:cNvPr>
            <xdr:cNvSpPr/>
          </xdr:nvSpPr>
          <xdr:spPr>
            <a:xfrm>
              <a:off x="5349875" y="4612005"/>
              <a:ext cx="153035" cy="173990"/>
            </a:xfrm>
            <a:prstGeom prst="rect">
              <a:avLst/>
            </a:prstGeom>
          </xdr:spPr>
        </xdr:sp>
        <xdr:clientData/>
      </xdr:twoCellAnchor>
    </mc:Choice>
    <mc:Fallback/>
  </mc:AlternateContent>
  <xdr:twoCellAnchor editAs="oneCell">
    <xdr:from>
      <xdr:col>8</xdr:col>
      <xdr:colOff>564838</xdr:colOff>
      <xdr:row>87</xdr:row>
      <xdr:rowOff>145041</xdr:rowOff>
    </xdr:from>
    <xdr:to>
      <xdr:col>14</xdr:col>
      <xdr:colOff>296534</xdr:colOff>
      <xdr:row>103</xdr:row>
      <xdr:rowOff>141942</xdr:rowOff>
    </xdr:to>
    <xdr:pic>
      <xdr:nvPicPr>
        <xdr:cNvPr id="2" name="Picture 1"/>
        <xdr:cNvPicPr>
          <a:picLocks noChangeAspect="1"/>
        </xdr:cNvPicPr>
      </xdr:nvPicPr>
      <xdr:blipFill>
        <a:blip r:embed="rId2"/>
        <a:stretch>
          <a:fillRect/>
        </a:stretch>
      </xdr:blipFill>
      <xdr:spPr>
        <a:xfrm>
          <a:off x="7031355" y="14788515"/>
          <a:ext cx="4525645" cy="2585720"/>
        </a:xfrm>
        <a:prstGeom prst="rect">
          <a:avLst/>
        </a:prstGeom>
      </xdr:spPr>
    </xdr:pic>
    <xdr:clientData/>
  </xdr:twoCellAnchor>
  <xdr:twoCellAnchor editAs="oneCell">
    <xdr:from>
      <xdr:col>14</xdr:col>
      <xdr:colOff>552139</xdr:colOff>
      <xdr:row>87</xdr:row>
      <xdr:rowOff>147370</xdr:rowOff>
    </xdr:from>
    <xdr:to>
      <xdr:col>19</xdr:col>
      <xdr:colOff>239058</xdr:colOff>
      <xdr:row>103</xdr:row>
      <xdr:rowOff>118428</xdr:rowOff>
    </xdr:to>
    <xdr:pic>
      <xdr:nvPicPr>
        <xdr:cNvPr id="3" name="Picture 2"/>
        <xdr:cNvPicPr>
          <a:picLocks noChangeAspect="1"/>
        </xdr:cNvPicPr>
      </xdr:nvPicPr>
      <xdr:blipFill>
        <a:blip r:embed="rId3"/>
        <a:stretch>
          <a:fillRect/>
        </a:stretch>
      </xdr:blipFill>
      <xdr:spPr>
        <a:xfrm>
          <a:off x="11812905" y="14791055"/>
          <a:ext cx="4079875" cy="2559685"/>
        </a:xfrm>
        <a:prstGeom prst="rect">
          <a:avLst/>
        </a:prstGeom>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36582</xdr:colOff>
      <xdr:row>39</xdr:row>
      <xdr:rowOff>153688</xdr:rowOff>
    </xdr:from>
    <xdr:to>
      <xdr:col>7</xdr:col>
      <xdr:colOff>100584</xdr:colOff>
      <xdr:row>79</xdr:row>
      <xdr:rowOff>91776</xdr:rowOff>
    </xdr:to>
    <xdr:pic>
      <xdr:nvPicPr>
        <xdr:cNvPr id="2" name="Picture 1"/>
        <xdr:cNvPicPr>
          <a:picLocks noChangeAspect="1"/>
        </xdr:cNvPicPr>
      </xdr:nvPicPr>
      <xdr:blipFill>
        <a:blip r:embed="rId1"/>
        <a:stretch>
          <a:fillRect/>
        </a:stretch>
      </xdr:blipFill>
      <xdr:spPr>
        <a:xfrm>
          <a:off x="766445" y="6669405"/>
          <a:ext cx="5963920" cy="6643370"/>
        </a:xfrm>
        <a:prstGeom prst="rect">
          <a:avLst/>
        </a:prstGeom>
      </xdr:spPr>
    </xdr:pic>
    <xdr:clientData/>
  </xdr:twoCellAnchor>
  <xdr:twoCellAnchor>
    <xdr:from>
      <xdr:col>4</xdr:col>
      <xdr:colOff>981265</xdr:colOff>
      <xdr:row>75</xdr:row>
      <xdr:rowOff>88825</xdr:rowOff>
    </xdr:from>
    <xdr:to>
      <xdr:col>4</xdr:col>
      <xdr:colOff>1151529</xdr:colOff>
      <xdr:row>77</xdr:row>
      <xdr:rowOff>32472</xdr:rowOff>
    </xdr:to>
    <xdr:sp>
      <xdr:nvSpPr>
        <xdr:cNvPr id="3" name="L-Shape 2"/>
        <xdr:cNvSpPr/>
      </xdr:nvSpPr>
      <xdr:spPr>
        <a:xfrm rot="18584922">
          <a:off x="4168140" y="12693650"/>
          <a:ext cx="278765" cy="170180"/>
        </a:xfrm>
        <a:prstGeom prst="corner">
          <a:avLst>
            <a:gd name="adj1" fmla="val 23617"/>
            <a:gd name="adj2" fmla="val 262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601454</xdr:colOff>
      <xdr:row>65</xdr:row>
      <xdr:rowOff>112542</xdr:rowOff>
    </xdr:from>
    <xdr:to>
      <xdr:col>6</xdr:col>
      <xdr:colOff>0</xdr:colOff>
      <xdr:row>81</xdr:row>
      <xdr:rowOff>106915</xdr:rowOff>
    </xdr:to>
    <xdr:pic>
      <xdr:nvPicPr>
        <xdr:cNvPr id="2" name="Picture 1"/>
        <xdr:cNvPicPr>
          <a:picLocks noChangeAspect="1"/>
        </xdr:cNvPicPr>
      </xdr:nvPicPr>
      <xdr:blipFill>
        <a:blip r:embed="rId1"/>
        <a:stretch>
          <a:fillRect/>
        </a:stretch>
      </xdr:blipFill>
      <xdr:spPr>
        <a:xfrm>
          <a:off x="747395" y="10893425"/>
          <a:ext cx="4312285" cy="2676525"/>
        </a:xfrm>
        <a:prstGeom prst="rect">
          <a:avLst/>
        </a:prstGeom>
      </xdr:spPr>
    </xdr:pic>
    <xdr:clientData/>
  </xdr:twoCellAnchor>
  <xdr:twoCellAnchor editAs="oneCell">
    <xdr:from>
      <xdr:col>6</xdr:col>
      <xdr:colOff>50642</xdr:colOff>
      <xdr:row>66</xdr:row>
      <xdr:rowOff>107994</xdr:rowOff>
    </xdr:from>
    <xdr:to>
      <xdr:col>12</xdr:col>
      <xdr:colOff>658797</xdr:colOff>
      <xdr:row>81</xdr:row>
      <xdr:rowOff>101301</xdr:rowOff>
    </xdr:to>
    <xdr:pic>
      <xdr:nvPicPr>
        <xdr:cNvPr id="3" name="Picture 2"/>
        <xdr:cNvPicPr>
          <a:picLocks noChangeAspect="1"/>
        </xdr:cNvPicPr>
      </xdr:nvPicPr>
      <xdr:blipFill>
        <a:blip r:embed="rId2"/>
        <a:stretch>
          <a:fillRect/>
        </a:stretch>
      </xdr:blipFill>
      <xdr:spPr>
        <a:xfrm>
          <a:off x="5109845" y="11056620"/>
          <a:ext cx="4845685" cy="2507615"/>
        </a:xfrm>
        <a:prstGeom prst="rect">
          <a:avLst/>
        </a:prstGeom>
      </xdr:spPr>
    </xdr:pic>
    <xdr:clientData/>
  </xdr:twoCellAnchor>
  <xdr:twoCellAnchor editAs="oneCell">
    <xdr:from>
      <xdr:col>12</xdr:col>
      <xdr:colOff>1055928</xdr:colOff>
      <xdr:row>66</xdr:row>
      <xdr:rowOff>84409</xdr:rowOff>
    </xdr:from>
    <xdr:to>
      <xdr:col>20</xdr:col>
      <xdr:colOff>422031</xdr:colOff>
      <xdr:row>81</xdr:row>
      <xdr:rowOff>146703</xdr:rowOff>
    </xdr:to>
    <xdr:pic>
      <xdr:nvPicPr>
        <xdr:cNvPr id="5" name="Picture 4"/>
        <xdr:cNvPicPr>
          <a:picLocks noChangeAspect="1"/>
        </xdr:cNvPicPr>
      </xdr:nvPicPr>
      <xdr:blipFill>
        <a:blip r:embed="rId3"/>
        <a:stretch>
          <a:fillRect/>
        </a:stretch>
      </xdr:blipFill>
      <xdr:spPr>
        <a:xfrm>
          <a:off x="10292715" y="11032490"/>
          <a:ext cx="5746115" cy="2577465"/>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14630</xdr:colOff>
      <xdr:row>22</xdr:row>
      <xdr:rowOff>0</xdr:rowOff>
    </xdr:from>
    <xdr:to>
      <xdr:col>2</xdr:col>
      <xdr:colOff>168250</xdr:colOff>
      <xdr:row>23</xdr:row>
      <xdr:rowOff>14629</xdr:rowOff>
    </xdr:to>
    <xdr:pic>
      <xdr:nvPicPr>
        <xdr:cNvPr id="6311236"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170" y="3781425"/>
          <a:ext cx="153035" cy="182245"/>
        </a:xfrm>
        <a:prstGeom prst="rect">
          <a:avLst/>
        </a:prstGeom>
        <a:solidFill>
          <a:srgbClr val="FFFFFF"/>
        </a:solidFill>
        <a:ln w="9525">
          <a:solidFill>
            <a:srgbClr val="000000"/>
          </a:solidFill>
          <a:miter lim="800000"/>
          <a:headEnd/>
          <a:tailEnd/>
        </a:ln>
      </xdr:spPr>
    </xdr:pic>
    <xdr:clientData/>
  </xdr:twoCellAnchor>
  <xdr:twoCellAnchor>
    <xdr:from>
      <xdr:col>4</xdr:col>
      <xdr:colOff>109728</xdr:colOff>
      <xdr:row>18</xdr:row>
      <xdr:rowOff>21946</xdr:rowOff>
    </xdr:from>
    <xdr:to>
      <xdr:col>19</xdr:col>
      <xdr:colOff>299923</xdr:colOff>
      <xdr:row>19</xdr:row>
      <xdr:rowOff>131674</xdr:rowOff>
    </xdr:to>
    <xdr:sp>
      <xdr:nvSpPr>
        <xdr:cNvPr id="6311237" name="Freeform 7"/>
        <xdr:cNvSpPr/>
      </xdr:nvSpPr>
      <xdr:spPr>
        <a:xfrm>
          <a:off x="2667000" y="3132455"/>
          <a:ext cx="11844020" cy="27749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0</xdr:colOff>
      <xdr:row>19</xdr:row>
      <xdr:rowOff>1</xdr:rowOff>
    </xdr:from>
    <xdr:to>
      <xdr:col>16</xdr:col>
      <xdr:colOff>394395</xdr:colOff>
      <xdr:row>20</xdr:row>
      <xdr:rowOff>70640</xdr:rowOff>
    </xdr:to>
    <xdr:sp>
      <xdr:nvSpPr>
        <xdr:cNvPr id="4" name="Rectangle 8"/>
        <xdr:cNvSpPr>
          <a:spLocks noChangeArrowheads="1"/>
        </xdr:cNvSpPr>
      </xdr:nvSpPr>
      <xdr:spPr>
        <a:xfrm>
          <a:off x="7361555" y="3278505"/>
          <a:ext cx="4193540" cy="238125"/>
        </a:xfrm>
        <a:prstGeom prst="rect">
          <a:avLst/>
        </a:prstGeom>
        <a:solidFill>
          <a:srgbClr val="FFFFFF"/>
        </a:solidFill>
        <a:ln w="9525">
          <a:solidFill>
            <a:srgbClr val="000000"/>
          </a:solidFill>
          <a:miter lim="800000"/>
        </a:ln>
      </xdr:spPr>
      <xdr:txBody>
        <a:bodyPr vertOverflow="clip" wrap="square" lIns="36576" tIns="32004" rIns="36576" bIns="0" anchor="ctr" upright="1"/>
        <a:lstStyle/>
        <a:p>
          <a:pPr algn="ctr" rtl="0">
            <a:defRPr sz="1000"/>
          </a:pPr>
          <a:r>
            <a:rPr lang="id-ID" sz="1200" b="1" i="0" u="none" strike="noStrike" baseline="0">
              <a:solidFill>
                <a:srgbClr val="000000"/>
              </a:solidFill>
              <a:latin typeface="Arial" panose="020B0604020202020204"/>
              <a:cs typeface="Arial" panose="020B0604020202020204"/>
            </a:rPr>
            <a:t>F1</a:t>
          </a:r>
          <a:endParaRPr lang="id-ID" sz="12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11</xdr:col>
      <xdr:colOff>512064</xdr:colOff>
      <xdr:row>6</xdr:row>
      <xdr:rowOff>138989</xdr:rowOff>
    </xdr:from>
    <xdr:to>
      <xdr:col>11</xdr:col>
      <xdr:colOff>665683</xdr:colOff>
      <xdr:row>7</xdr:row>
      <xdr:rowOff>131674</xdr:rowOff>
    </xdr:to>
    <xdr:pic>
      <xdr:nvPicPr>
        <xdr:cNvPr id="6311239"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7873365" y="1189990"/>
          <a:ext cx="153670" cy="16065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xdr:col>
          <xdr:colOff>12700</xdr:colOff>
          <xdr:row>24</xdr:row>
          <xdr:rowOff>19050</xdr:rowOff>
        </xdr:from>
        <xdr:to>
          <xdr:col>2</xdr:col>
          <xdr:colOff>158750</xdr:colOff>
          <xdr:row>25</xdr:row>
          <xdr:rowOff>12700</xdr:rowOff>
        </xdr:to>
        <xdr:sp>
          <xdr:nvSpPr>
            <xdr:cNvPr id="1055745" name="Object 1" hidden="1">
              <a:extLst>
                <a:ext uri="{63B3BB69-23CF-44E3-9099-C40C66FF867C}">
                  <a14:compatExt spid="_x0000_s1055745"/>
                </a:ext>
              </a:extLst>
            </xdr:cNvPr>
            <xdr:cNvSpPr/>
          </xdr:nvSpPr>
          <xdr:spPr>
            <a:xfrm>
              <a:off x="469265" y="4135755"/>
              <a:ext cx="146050" cy="1612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23</xdr:row>
          <xdr:rowOff>12700</xdr:rowOff>
        </xdr:from>
        <xdr:to>
          <xdr:col>2</xdr:col>
          <xdr:colOff>158750</xdr:colOff>
          <xdr:row>24</xdr:row>
          <xdr:rowOff>0</xdr:rowOff>
        </xdr:to>
        <xdr:sp>
          <xdr:nvSpPr>
            <xdr:cNvPr id="1055746" name="Object 2" hidden="1">
              <a:extLst>
                <a:ext uri="{63B3BB69-23CF-44E3-9099-C40C66FF867C}">
                  <a14:compatExt spid="_x0000_s1055746"/>
                </a:ext>
              </a:extLst>
            </xdr:cNvPr>
            <xdr:cNvSpPr/>
          </xdr:nvSpPr>
          <xdr:spPr>
            <a:xfrm>
              <a:off x="469265" y="3961765"/>
              <a:ext cx="146050" cy="1549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527050</xdr:colOff>
          <xdr:row>6</xdr:row>
          <xdr:rowOff>139700</xdr:rowOff>
        </xdr:from>
        <xdr:to>
          <xdr:col>17</xdr:col>
          <xdr:colOff>711200</xdr:colOff>
          <xdr:row>7</xdr:row>
          <xdr:rowOff>146050</xdr:rowOff>
        </xdr:to>
        <xdr:sp>
          <xdr:nvSpPr>
            <xdr:cNvPr id="1055747" name="Object 3" hidden="1">
              <a:extLst>
                <a:ext uri="{63B3BB69-23CF-44E3-9099-C40C66FF867C}">
                  <a14:compatExt spid="_x0000_s1055747"/>
                </a:ext>
              </a:extLst>
            </xdr:cNvPr>
            <xdr:cNvSpPr/>
          </xdr:nvSpPr>
          <xdr:spPr>
            <a:xfrm>
              <a:off x="12719685" y="1191260"/>
              <a:ext cx="1841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431800</xdr:colOff>
          <xdr:row>19</xdr:row>
          <xdr:rowOff>6350</xdr:rowOff>
        </xdr:from>
        <xdr:to>
          <xdr:col>10</xdr:col>
          <xdr:colOff>685800</xdr:colOff>
          <xdr:row>20</xdr:row>
          <xdr:rowOff>127000</xdr:rowOff>
        </xdr:to>
        <xdr:sp>
          <xdr:nvSpPr>
            <xdr:cNvPr id="1055748" name="Object 4" hidden="1">
              <a:extLst>
                <a:ext uri="{63B3BB69-23CF-44E3-9099-C40C66FF867C}">
                  <a14:compatExt spid="_x0000_s1055748"/>
                </a:ext>
              </a:extLst>
            </xdr:cNvPr>
            <xdr:cNvSpPr/>
          </xdr:nvSpPr>
          <xdr:spPr>
            <a:xfrm>
              <a:off x="6797675" y="3284855"/>
              <a:ext cx="254000" cy="2882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527050</xdr:colOff>
          <xdr:row>6</xdr:row>
          <xdr:rowOff>139700</xdr:rowOff>
        </xdr:from>
        <xdr:to>
          <xdr:col>18</xdr:col>
          <xdr:colOff>711200</xdr:colOff>
          <xdr:row>7</xdr:row>
          <xdr:rowOff>146050</xdr:rowOff>
        </xdr:to>
        <xdr:sp>
          <xdr:nvSpPr>
            <xdr:cNvPr id="6182908" name="Object 2044" hidden="1">
              <a:extLst>
                <a:ext uri="{63B3BB69-23CF-44E3-9099-C40C66FF867C}">
                  <a14:compatExt spid="_x0000_s6182908"/>
                </a:ext>
              </a:extLst>
            </xdr:cNvPr>
            <xdr:cNvSpPr/>
          </xdr:nvSpPr>
          <xdr:spPr>
            <a:xfrm>
              <a:off x="13742670" y="1191260"/>
              <a:ext cx="184150" cy="173990"/>
            </a:xfrm>
            <a:prstGeom prst="rect">
              <a:avLst/>
            </a:prstGeom>
          </xdr:spPr>
        </xdr:sp>
        <xdr:clientData/>
      </xdr:twoCellAnchor>
    </mc:Choice>
    <mc:Fallback/>
  </mc:AlternateContent>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80467</xdr:colOff>
      <xdr:row>33</xdr:row>
      <xdr:rowOff>14630</xdr:rowOff>
    </xdr:from>
    <xdr:to>
      <xdr:col>1</xdr:col>
      <xdr:colOff>234086</xdr:colOff>
      <xdr:row>34</xdr:row>
      <xdr:rowOff>0</xdr:rowOff>
    </xdr:to>
    <xdr:pic>
      <xdr:nvPicPr>
        <xdr:cNvPr id="6265843"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244475" y="5723890"/>
          <a:ext cx="153670" cy="153035"/>
        </a:xfrm>
        <a:prstGeom prst="rect">
          <a:avLst/>
        </a:prstGeom>
        <a:solidFill>
          <a:srgbClr val="FFFFFF"/>
        </a:solidFill>
        <a:ln w="9525">
          <a:solidFill>
            <a:srgbClr val="000000"/>
          </a:solidFill>
          <a:miter lim="800000"/>
          <a:headEnd/>
          <a:tailEnd/>
        </a:ln>
      </xdr:spPr>
    </xdr:pic>
    <xdr:clientData/>
  </xdr:twoCellAnchor>
  <xdr:twoCellAnchor editAs="oneCell">
    <xdr:from>
      <xdr:col>10</xdr:col>
      <xdr:colOff>512064</xdr:colOff>
      <xdr:row>6</xdr:row>
      <xdr:rowOff>138989</xdr:rowOff>
    </xdr:from>
    <xdr:to>
      <xdr:col>10</xdr:col>
      <xdr:colOff>665683</xdr:colOff>
      <xdr:row>7</xdr:row>
      <xdr:rowOff>131674</xdr:rowOff>
    </xdr:to>
    <xdr:pic>
      <xdr:nvPicPr>
        <xdr:cNvPr id="6265844"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120380" y="1273810"/>
          <a:ext cx="153670" cy="16065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82550</xdr:colOff>
          <xdr:row>35</xdr:row>
          <xdr:rowOff>12700</xdr:rowOff>
        </xdr:from>
        <xdr:to>
          <xdr:col>1</xdr:col>
          <xdr:colOff>234950</xdr:colOff>
          <xdr:row>36</xdr:row>
          <xdr:rowOff>0</xdr:rowOff>
        </xdr:to>
        <xdr:sp>
          <xdr:nvSpPr>
            <xdr:cNvPr id="2354177" name="Object 1" hidden="1">
              <a:extLst>
                <a:ext uri="{63B3BB69-23CF-44E3-9099-C40C66FF867C}">
                  <a14:compatExt spid="_x0000_s2354177"/>
                </a:ext>
              </a:extLst>
            </xdr:cNvPr>
            <xdr:cNvSpPr/>
          </xdr:nvSpPr>
          <xdr:spPr>
            <a:xfrm>
              <a:off x="247015" y="6057265"/>
              <a:ext cx="152400" cy="1549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82550</xdr:colOff>
          <xdr:row>34</xdr:row>
          <xdr:rowOff>12700</xdr:rowOff>
        </xdr:from>
        <xdr:to>
          <xdr:col>1</xdr:col>
          <xdr:colOff>254000</xdr:colOff>
          <xdr:row>35</xdr:row>
          <xdr:rowOff>6350</xdr:rowOff>
        </xdr:to>
        <xdr:sp>
          <xdr:nvSpPr>
            <xdr:cNvPr id="2354178" name="Object 2" hidden="1">
              <a:extLst>
                <a:ext uri="{63B3BB69-23CF-44E3-9099-C40C66FF867C}">
                  <a14:compatExt spid="_x0000_s2354178"/>
                </a:ext>
              </a:extLst>
            </xdr:cNvPr>
            <xdr:cNvSpPr/>
          </xdr:nvSpPr>
          <xdr:spPr>
            <a:xfrm>
              <a:off x="247015" y="5889625"/>
              <a:ext cx="171450" cy="1612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527050</xdr:colOff>
          <xdr:row>6</xdr:row>
          <xdr:rowOff>133350</xdr:rowOff>
        </xdr:from>
        <xdr:to>
          <xdr:col>16</xdr:col>
          <xdr:colOff>711200</xdr:colOff>
          <xdr:row>7</xdr:row>
          <xdr:rowOff>146050</xdr:rowOff>
        </xdr:to>
        <xdr:sp>
          <xdr:nvSpPr>
            <xdr:cNvPr id="2354179" name="Object 3" hidden="1">
              <a:extLst>
                <a:ext uri="{63B3BB69-23CF-44E3-9099-C40C66FF867C}">
                  <a14:compatExt spid="_x0000_s2354179"/>
                </a:ext>
              </a:extLst>
            </xdr:cNvPr>
            <xdr:cNvSpPr/>
          </xdr:nvSpPr>
          <xdr:spPr>
            <a:xfrm>
              <a:off x="12564745" y="1268730"/>
              <a:ext cx="184150" cy="1803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107950</xdr:colOff>
          <xdr:row>29</xdr:row>
          <xdr:rowOff>57150</xdr:rowOff>
        </xdr:from>
        <xdr:to>
          <xdr:col>12</xdr:col>
          <xdr:colOff>279400</xdr:colOff>
          <xdr:row>30</xdr:row>
          <xdr:rowOff>82550</xdr:rowOff>
        </xdr:to>
        <xdr:sp>
          <xdr:nvSpPr>
            <xdr:cNvPr id="2354180" name="Object 4" hidden="1">
              <a:extLst>
                <a:ext uri="{63B3BB69-23CF-44E3-9099-C40C66FF867C}">
                  <a14:compatExt spid="_x0000_s2354180"/>
                </a:ext>
              </a:extLst>
            </xdr:cNvPr>
            <xdr:cNvSpPr/>
          </xdr:nvSpPr>
          <xdr:spPr>
            <a:xfrm>
              <a:off x="9058910" y="5095875"/>
              <a:ext cx="171450" cy="193040"/>
            </a:xfrm>
            <a:prstGeom prst="rect">
              <a:avLst/>
            </a:prstGeom>
          </xdr:spPr>
        </xdr:sp>
        <xdr:clientData/>
      </xdr:twoCellAnchor>
    </mc:Choice>
    <mc:Fallback/>
  </mc:AlternateContent>
  <xdr:twoCellAnchor>
    <xdr:from>
      <xdr:col>10</xdr:col>
      <xdr:colOff>526694</xdr:colOff>
      <xdr:row>29</xdr:row>
      <xdr:rowOff>21946</xdr:rowOff>
    </xdr:from>
    <xdr:to>
      <xdr:col>17</xdr:col>
      <xdr:colOff>738835</xdr:colOff>
      <xdr:row>30</xdr:row>
      <xdr:rowOff>80467</xdr:rowOff>
    </xdr:to>
    <xdr:sp>
      <xdr:nvSpPr>
        <xdr:cNvPr id="6265845" name="Freeform 1"/>
        <xdr:cNvSpPr/>
      </xdr:nvSpPr>
      <xdr:spPr>
        <a:xfrm>
          <a:off x="8134985" y="5060315"/>
          <a:ext cx="5664200" cy="226060"/>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29261</xdr:colOff>
      <xdr:row>35</xdr:row>
      <xdr:rowOff>146304</xdr:rowOff>
    </xdr:from>
    <xdr:to>
      <xdr:col>2</xdr:col>
      <xdr:colOff>52010</xdr:colOff>
      <xdr:row>37</xdr:row>
      <xdr:rowOff>21946</xdr:rowOff>
    </xdr:to>
    <xdr:pic>
      <xdr:nvPicPr>
        <xdr:cNvPr id="6312260"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84785" y="6045835"/>
          <a:ext cx="177800" cy="210820"/>
        </a:xfrm>
        <a:prstGeom prst="rect">
          <a:avLst/>
        </a:prstGeom>
        <a:solidFill>
          <a:srgbClr val="FFFFFF"/>
        </a:solidFill>
        <a:ln w="9525">
          <a:solidFill>
            <a:srgbClr val="000000"/>
          </a:solidFill>
          <a:miter lim="800000"/>
          <a:headEnd/>
          <a:tailEnd/>
        </a:ln>
      </xdr:spPr>
    </xdr:pic>
    <xdr:clientData/>
  </xdr:twoCellAnchor>
  <xdr:twoCellAnchor>
    <xdr:from>
      <xdr:col>4</xdr:col>
      <xdr:colOff>109728</xdr:colOff>
      <xdr:row>32</xdr:row>
      <xdr:rowOff>21946</xdr:rowOff>
    </xdr:from>
    <xdr:to>
      <xdr:col>22</xdr:col>
      <xdr:colOff>292608</xdr:colOff>
      <xdr:row>33</xdr:row>
      <xdr:rowOff>131674</xdr:rowOff>
    </xdr:to>
    <xdr:sp>
      <xdr:nvSpPr>
        <xdr:cNvPr id="6312261" name="Freeform 7"/>
        <xdr:cNvSpPr/>
      </xdr:nvSpPr>
      <xdr:spPr>
        <a:xfrm>
          <a:off x="2722245" y="5418455"/>
          <a:ext cx="15315565" cy="27749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1195656</xdr:colOff>
      <xdr:row>33</xdr:row>
      <xdr:rowOff>30271</xdr:rowOff>
    </xdr:from>
    <xdr:to>
      <xdr:col>16</xdr:col>
      <xdr:colOff>401399</xdr:colOff>
      <xdr:row>34</xdr:row>
      <xdr:rowOff>79431</xdr:rowOff>
    </xdr:to>
    <xdr:sp>
      <xdr:nvSpPr>
        <xdr:cNvPr id="4" name="Rectangle 8"/>
        <xdr:cNvSpPr>
          <a:spLocks noChangeArrowheads="1"/>
        </xdr:cNvSpPr>
      </xdr:nvSpPr>
      <xdr:spPr>
        <a:xfrm>
          <a:off x="7470775" y="5594350"/>
          <a:ext cx="4556760" cy="217170"/>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200" b="1" i="0" u="none" strike="noStrike" baseline="0">
              <a:solidFill>
                <a:srgbClr val="000000"/>
              </a:solidFill>
              <a:latin typeface="Arial" panose="020B0604020202020204"/>
              <a:cs typeface="Arial" panose="020B0604020202020204"/>
            </a:rPr>
            <a:t>F1</a:t>
          </a:r>
          <a:endParaRPr lang="id-ID" sz="12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11</xdr:col>
      <xdr:colOff>512064</xdr:colOff>
      <xdr:row>7</xdr:row>
      <xdr:rowOff>138989</xdr:rowOff>
    </xdr:from>
    <xdr:to>
      <xdr:col>11</xdr:col>
      <xdr:colOff>665683</xdr:colOff>
      <xdr:row>8</xdr:row>
      <xdr:rowOff>131674</xdr:rowOff>
    </xdr:to>
    <xdr:pic>
      <xdr:nvPicPr>
        <xdr:cNvPr id="6312263"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7982585" y="1357630"/>
          <a:ext cx="153670" cy="16065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38100</xdr:colOff>
          <xdr:row>38</xdr:row>
          <xdr:rowOff>44450</xdr:rowOff>
        </xdr:from>
        <xdr:to>
          <xdr:col>2</xdr:col>
          <xdr:colOff>44450</xdr:colOff>
          <xdr:row>39</xdr:row>
          <xdr:rowOff>38100</xdr:rowOff>
        </xdr:to>
        <xdr:sp>
          <xdr:nvSpPr>
            <xdr:cNvPr id="1584129" name="Object 1" hidden="1">
              <a:extLst>
                <a:ext uri="{63B3BB69-23CF-44E3-9099-C40C66FF867C}">
                  <a14:compatExt spid="_x0000_s1584129"/>
                </a:ext>
              </a:extLst>
            </xdr:cNvPr>
            <xdr:cNvSpPr/>
          </xdr:nvSpPr>
          <xdr:spPr>
            <a:xfrm>
              <a:off x="193675" y="6447155"/>
              <a:ext cx="161925" cy="1612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31750</xdr:colOff>
          <xdr:row>37</xdr:row>
          <xdr:rowOff>0</xdr:rowOff>
        </xdr:from>
        <xdr:to>
          <xdr:col>2</xdr:col>
          <xdr:colOff>50800</xdr:colOff>
          <xdr:row>38</xdr:row>
          <xdr:rowOff>19050</xdr:rowOff>
        </xdr:to>
        <xdr:sp>
          <xdr:nvSpPr>
            <xdr:cNvPr id="1584130" name="Object 2" hidden="1">
              <a:extLst>
                <a:ext uri="{63B3BB69-23CF-44E3-9099-C40C66FF867C}">
                  <a14:compatExt spid="_x0000_s1584130"/>
                </a:ext>
              </a:extLst>
            </xdr:cNvPr>
            <xdr:cNvSpPr/>
          </xdr:nvSpPr>
          <xdr:spPr>
            <a:xfrm>
              <a:off x="187325" y="6235065"/>
              <a:ext cx="174625" cy="1866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527050</xdr:colOff>
          <xdr:row>7</xdr:row>
          <xdr:rowOff>139700</xdr:rowOff>
        </xdr:from>
        <xdr:to>
          <xdr:col>17</xdr:col>
          <xdr:colOff>711200</xdr:colOff>
          <xdr:row>8</xdr:row>
          <xdr:rowOff>146050</xdr:rowOff>
        </xdr:to>
        <xdr:sp>
          <xdr:nvSpPr>
            <xdr:cNvPr id="1584131" name="Object 3" hidden="1">
              <a:extLst>
                <a:ext uri="{63B3BB69-23CF-44E3-9099-C40C66FF867C}">
                  <a14:compatExt spid="_x0000_s1584131"/>
                </a:ext>
              </a:extLst>
            </xdr:cNvPr>
            <xdr:cNvSpPr/>
          </xdr:nvSpPr>
          <xdr:spPr>
            <a:xfrm>
              <a:off x="13185140" y="1358900"/>
              <a:ext cx="1841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546100</xdr:colOff>
          <xdr:row>33</xdr:row>
          <xdr:rowOff>38100</xdr:rowOff>
        </xdr:from>
        <xdr:to>
          <xdr:col>7</xdr:col>
          <xdr:colOff>730250</xdr:colOff>
          <xdr:row>34</xdr:row>
          <xdr:rowOff>63500</xdr:rowOff>
        </xdr:to>
        <xdr:sp>
          <xdr:nvSpPr>
            <xdr:cNvPr id="1584132" name="Object 4" hidden="1">
              <a:extLst>
                <a:ext uri="{63B3BB69-23CF-44E3-9099-C40C66FF867C}">
                  <a14:compatExt spid="_x0000_s1584132"/>
                </a:ext>
              </a:extLst>
            </xdr:cNvPr>
            <xdr:cNvSpPr/>
          </xdr:nvSpPr>
          <xdr:spPr>
            <a:xfrm>
              <a:off x="4610735" y="5602605"/>
              <a:ext cx="184150" cy="1930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527050</xdr:colOff>
          <xdr:row>7</xdr:row>
          <xdr:rowOff>139700</xdr:rowOff>
        </xdr:from>
        <xdr:to>
          <xdr:col>18</xdr:col>
          <xdr:colOff>711200</xdr:colOff>
          <xdr:row>8</xdr:row>
          <xdr:rowOff>146050</xdr:rowOff>
        </xdr:to>
        <xdr:sp>
          <xdr:nvSpPr>
            <xdr:cNvPr id="1584133" name="Object 5" hidden="1">
              <a:extLst>
                <a:ext uri="{63B3BB69-23CF-44E3-9099-C40C66FF867C}">
                  <a14:compatExt spid="_x0000_s1584133"/>
                </a:ext>
              </a:extLst>
            </xdr:cNvPr>
            <xdr:cNvSpPr/>
          </xdr:nvSpPr>
          <xdr:spPr>
            <a:xfrm>
              <a:off x="14208125" y="1358900"/>
              <a:ext cx="1841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527050</xdr:colOff>
          <xdr:row>7</xdr:row>
          <xdr:rowOff>139700</xdr:rowOff>
        </xdr:from>
        <xdr:to>
          <xdr:col>19</xdr:col>
          <xdr:colOff>711200</xdr:colOff>
          <xdr:row>8</xdr:row>
          <xdr:rowOff>146050</xdr:rowOff>
        </xdr:to>
        <xdr:sp>
          <xdr:nvSpPr>
            <xdr:cNvPr id="1584134" name="Object 6" hidden="1">
              <a:extLst>
                <a:ext uri="{63B3BB69-23CF-44E3-9099-C40C66FF867C}">
                  <a14:compatExt spid="_x0000_s1584134"/>
                </a:ext>
              </a:extLst>
            </xdr:cNvPr>
            <xdr:cNvSpPr/>
          </xdr:nvSpPr>
          <xdr:spPr>
            <a:xfrm>
              <a:off x="15231110" y="1358900"/>
              <a:ext cx="1841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527050</xdr:colOff>
          <xdr:row>7</xdr:row>
          <xdr:rowOff>139700</xdr:rowOff>
        </xdr:from>
        <xdr:to>
          <xdr:col>20</xdr:col>
          <xdr:colOff>711200</xdr:colOff>
          <xdr:row>8</xdr:row>
          <xdr:rowOff>146050</xdr:rowOff>
        </xdr:to>
        <xdr:sp>
          <xdr:nvSpPr>
            <xdr:cNvPr id="1584135" name="Object 7" hidden="1">
              <a:extLst>
                <a:ext uri="{63B3BB69-23CF-44E3-9099-C40C66FF867C}">
                  <a14:compatExt spid="_x0000_s1584135"/>
                </a:ext>
              </a:extLst>
            </xdr:cNvPr>
            <xdr:cNvSpPr/>
          </xdr:nvSpPr>
          <xdr:spPr>
            <a:xfrm>
              <a:off x="16254095" y="1358900"/>
              <a:ext cx="184150" cy="173990"/>
            </a:xfrm>
            <a:prstGeom prst="rect">
              <a:avLst/>
            </a:prstGeom>
          </xdr:spPr>
        </xdr:sp>
        <xdr:clientData/>
      </xdr:twoCellAnchor>
    </mc:Choice>
    <mc:Fallback/>
  </mc:AlternateContent>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601454</xdr:colOff>
      <xdr:row>60</xdr:row>
      <xdr:rowOff>112542</xdr:rowOff>
    </xdr:from>
    <xdr:to>
      <xdr:col>6</xdr:col>
      <xdr:colOff>0</xdr:colOff>
      <xdr:row>76</xdr:row>
      <xdr:rowOff>106915</xdr:rowOff>
    </xdr:to>
    <xdr:pic>
      <xdr:nvPicPr>
        <xdr:cNvPr id="2" name="Picture 1"/>
        <xdr:cNvPicPr>
          <a:picLocks noChangeAspect="1"/>
        </xdr:cNvPicPr>
      </xdr:nvPicPr>
      <xdr:blipFill>
        <a:blip r:embed="rId1"/>
        <a:stretch>
          <a:fillRect/>
        </a:stretch>
      </xdr:blipFill>
      <xdr:spPr>
        <a:xfrm>
          <a:off x="747395" y="10055225"/>
          <a:ext cx="4312285" cy="2676525"/>
        </a:xfrm>
        <a:prstGeom prst="rect">
          <a:avLst/>
        </a:prstGeom>
      </xdr:spPr>
    </xdr:pic>
    <xdr:clientData/>
  </xdr:twoCellAnchor>
  <xdr:twoCellAnchor editAs="oneCell">
    <xdr:from>
      <xdr:col>6</xdr:col>
      <xdr:colOff>50642</xdr:colOff>
      <xdr:row>61</xdr:row>
      <xdr:rowOff>107994</xdr:rowOff>
    </xdr:from>
    <xdr:to>
      <xdr:col>12</xdr:col>
      <xdr:colOff>658797</xdr:colOff>
      <xdr:row>76</xdr:row>
      <xdr:rowOff>101299</xdr:rowOff>
    </xdr:to>
    <xdr:pic>
      <xdr:nvPicPr>
        <xdr:cNvPr id="3" name="Picture 2"/>
        <xdr:cNvPicPr>
          <a:picLocks noChangeAspect="1"/>
        </xdr:cNvPicPr>
      </xdr:nvPicPr>
      <xdr:blipFill>
        <a:blip r:embed="rId2"/>
        <a:stretch>
          <a:fillRect/>
        </a:stretch>
      </xdr:blipFill>
      <xdr:spPr>
        <a:xfrm>
          <a:off x="5109845" y="10218420"/>
          <a:ext cx="4845685" cy="2507615"/>
        </a:xfrm>
        <a:prstGeom prst="rect">
          <a:avLst/>
        </a:prstGeom>
      </xdr:spPr>
    </xdr:pic>
    <xdr:clientData/>
  </xdr:twoCellAnchor>
  <xdr:twoCellAnchor editAs="oneCell">
    <xdr:from>
      <xdr:col>12</xdr:col>
      <xdr:colOff>1055928</xdr:colOff>
      <xdr:row>61</xdr:row>
      <xdr:rowOff>84409</xdr:rowOff>
    </xdr:from>
    <xdr:to>
      <xdr:col>20</xdr:col>
      <xdr:colOff>422031</xdr:colOff>
      <xdr:row>76</xdr:row>
      <xdr:rowOff>146701</xdr:rowOff>
    </xdr:to>
    <xdr:pic>
      <xdr:nvPicPr>
        <xdr:cNvPr id="4" name="Picture 3"/>
        <xdr:cNvPicPr>
          <a:picLocks noChangeAspect="1"/>
        </xdr:cNvPicPr>
      </xdr:nvPicPr>
      <xdr:blipFill>
        <a:blip r:embed="rId3"/>
        <a:stretch>
          <a:fillRect/>
        </a:stretch>
      </xdr:blipFill>
      <xdr:spPr>
        <a:xfrm>
          <a:off x="10292715" y="10194290"/>
          <a:ext cx="5746115" cy="2577465"/>
        </a:xfrm>
        <a:prstGeom prst="rect">
          <a:avLst/>
        </a:prstGeom>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146304</xdr:colOff>
      <xdr:row>23</xdr:row>
      <xdr:rowOff>0</xdr:rowOff>
    </xdr:from>
    <xdr:to>
      <xdr:col>1</xdr:col>
      <xdr:colOff>292608</xdr:colOff>
      <xdr:row>23</xdr:row>
      <xdr:rowOff>146304</xdr:rowOff>
    </xdr:to>
    <xdr:pic>
      <xdr:nvPicPr>
        <xdr:cNvPr id="6321479"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37820" y="4032885"/>
          <a:ext cx="146050" cy="146050"/>
        </a:xfrm>
        <a:prstGeom prst="rect">
          <a:avLst/>
        </a:prstGeom>
        <a:solidFill>
          <a:srgbClr val="FFFFFF"/>
        </a:solidFill>
        <a:ln w="9525">
          <a:solidFill>
            <a:srgbClr val="000000"/>
          </a:solidFill>
          <a:miter lim="800000"/>
          <a:headEnd/>
          <a:tailEnd/>
        </a:ln>
      </xdr:spPr>
    </xdr:pic>
    <xdr:clientData/>
  </xdr:twoCellAnchor>
  <xdr:twoCellAnchor>
    <xdr:from>
      <xdr:col>3</xdr:col>
      <xdr:colOff>109728</xdr:colOff>
      <xdr:row>19</xdr:row>
      <xdr:rowOff>21946</xdr:rowOff>
    </xdr:from>
    <xdr:to>
      <xdr:col>19</xdr:col>
      <xdr:colOff>292608</xdr:colOff>
      <xdr:row>20</xdr:row>
      <xdr:rowOff>131674</xdr:rowOff>
    </xdr:to>
    <xdr:sp>
      <xdr:nvSpPr>
        <xdr:cNvPr id="6321480" name="Freeform 7"/>
        <xdr:cNvSpPr/>
      </xdr:nvSpPr>
      <xdr:spPr>
        <a:xfrm>
          <a:off x="3160395" y="3383915"/>
          <a:ext cx="13700125" cy="27749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63610</xdr:colOff>
      <xdr:row>20</xdr:row>
      <xdr:rowOff>76332</xdr:rowOff>
    </xdr:from>
    <xdr:to>
      <xdr:col>15</xdr:col>
      <xdr:colOff>478753</xdr:colOff>
      <xdr:row>21</xdr:row>
      <xdr:rowOff>155779</xdr:rowOff>
    </xdr:to>
    <xdr:sp>
      <xdr:nvSpPr>
        <xdr:cNvPr id="4" name="Rectangle 8"/>
        <xdr:cNvSpPr>
          <a:spLocks noChangeArrowheads="1"/>
        </xdr:cNvSpPr>
      </xdr:nvSpPr>
      <xdr:spPr>
        <a:xfrm>
          <a:off x="8128635" y="3606165"/>
          <a:ext cx="4834890" cy="247015"/>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600" b="1" i="0" u="none" strike="noStrike" baseline="0">
              <a:solidFill>
                <a:srgbClr val="000000"/>
              </a:solidFill>
              <a:latin typeface="Arial" panose="020B0604020202020204"/>
              <a:cs typeface="Arial" panose="020B0604020202020204"/>
            </a:rPr>
            <a:t>F1</a:t>
          </a:r>
          <a:endParaRPr lang="id-ID" sz="16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10</xdr:col>
      <xdr:colOff>512064</xdr:colOff>
      <xdr:row>6</xdr:row>
      <xdr:rowOff>138989</xdr:rowOff>
    </xdr:from>
    <xdr:to>
      <xdr:col>10</xdr:col>
      <xdr:colOff>665683</xdr:colOff>
      <xdr:row>7</xdr:row>
      <xdr:rowOff>131674</xdr:rowOff>
    </xdr:to>
    <xdr:pic>
      <xdr:nvPicPr>
        <xdr:cNvPr id="6321482"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576945" y="1273810"/>
          <a:ext cx="153670" cy="16065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146050</xdr:colOff>
          <xdr:row>25</xdr:row>
          <xdr:rowOff>0</xdr:rowOff>
        </xdr:from>
        <xdr:to>
          <xdr:col>1</xdr:col>
          <xdr:colOff>298450</xdr:colOff>
          <xdr:row>25</xdr:row>
          <xdr:rowOff>146050</xdr:rowOff>
        </xdr:to>
        <xdr:sp>
          <xdr:nvSpPr>
            <xdr:cNvPr id="4595713" name="Object 1" hidden="1">
              <a:extLst>
                <a:ext uri="{63B3BB69-23CF-44E3-9099-C40C66FF867C}">
                  <a14:compatExt spid="_x0000_s4595713"/>
                </a:ext>
              </a:extLst>
            </xdr:cNvPr>
            <xdr:cNvSpPr/>
          </xdr:nvSpPr>
          <xdr:spPr>
            <a:xfrm>
              <a:off x="337820" y="4368165"/>
              <a:ext cx="152400" cy="1460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24</xdr:row>
          <xdr:rowOff>12700</xdr:rowOff>
        </xdr:from>
        <xdr:to>
          <xdr:col>1</xdr:col>
          <xdr:colOff>292100</xdr:colOff>
          <xdr:row>25</xdr:row>
          <xdr:rowOff>12700</xdr:rowOff>
        </xdr:to>
        <xdr:sp>
          <xdr:nvSpPr>
            <xdr:cNvPr id="4595714" name="Object 2" hidden="1">
              <a:extLst>
                <a:ext uri="{63B3BB69-23CF-44E3-9099-C40C66FF867C}">
                  <a14:compatExt spid="_x0000_s4595714"/>
                </a:ext>
              </a:extLst>
            </xdr:cNvPr>
            <xdr:cNvSpPr/>
          </xdr:nvSpPr>
          <xdr:spPr>
            <a:xfrm>
              <a:off x="337820" y="4213225"/>
              <a:ext cx="146050" cy="1676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539750</xdr:colOff>
          <xdr:row>6</xdr:row>
          <xdr:rowOff>133350</xdr:rowOff>
        </xdr:from>
        <xdr:to>
          <xdr:col>16</xdr:col>
          <xdr:colOff>723900</xdr:colOff>
          <xdr:row>7</xdr:row>
          <xdr:rowOff>146050</xdr:rowOff>
        </xdr:to>
        <xdr:sp>
          <xdr:nvSpPr>
            <xdr:cNvPr id="4595715" name="Object 3" hidden="1">
              <a:extLst>
                <a:ext uri="{63B3BB69-23CF-44E3-9099-C40C66FF867C}">
                  <a14:compatExt spid="_x0000_s4595715"/>
                </a:ext>
              </a:extLst>
            </xdr:cNvPr>
            <xdr:cNvSpPr/>
          </xdr:nvSpPr>
          <xdr:spPr>
            <a:xfrm>
              <a:off x="14020800" y="1268730"/>
              <a:ext cx="184150" cy="1803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171450</xdr:colOff>
          <xdr:row>20</xdr:row>
          <xdr:rowOff>50800</xdr:rowOff>
        </xdr:from>
        <xdr:to>
          <xdr:col>11</xdr:col>
          <xdr:colOff>368300</xdr:colOff>
          <xdr:row>21</xdr:row>
          <xdr:rowOff>82550</xdr:rowOff>
        </xdr:to>
        <xdr:sp>
          <xdr:nvSpPr>
            <xdr:cNvPr id="4595716" name="Object 4" hidden="1">
              <a:extLst>
                <a:ext uri="{63B3BB69-23CF-44E3-9099-C40C66FF867C}">
                  <a14:compatExt spid="_x0000_s4595716"/>
                </a:ext>
              </a:extLst>
            </xdr:cNvPr>
            <xdr:cNvSpPr/>
          </xdr:nvSpPr>
          <xdr:spPr>
            <a:xfrm>
              <a:off x="9314180" y="3580765"/>
              <a:ext cx="196850" cy="199390"/>
            </a:xfrm>
            <a:prstGeom prst="rect">
              <a:avLst/>
            </a:prstGeom>
          </xdr:spPr>
        </xdr:sp>
        <xdr:clientData/>
      </xdr:twoCellAnchor>
    </mc:Choice>
    <mc:Fallback/>
  </mc:AlternateContent>
  <xdr:twoCellAnchor editAs="oneCell">
    <xdr:from>
      <xdr:col>8</xdr:col>
      <xdr:colOff>219456</xdr:colOff>
      <xdr:row>74</xdr:row>
      <xdr:rowOff>43891</xdr:rowOff>
    </xdr:from>
    <xdr:to>
      <xdr:col>12</xdr:col>
      <xdr:colOff>925020</xdr:colOff>
      <xdr:row>95</xdr:row>
      <xdr:rowOff>168554</xdr:rowOff>
    </xdr:to>
    <xdr:pic>
      <xdr:nvPicPr>
        <xdr:cNvPr id="6321483" name="Picture 1"/>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6850380" y="12531725"/>
          <a:ext cx="4121150" cy="3675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131674</xdr:colOff>
      <xdr:row>97</xdr:row>
      <xdr:rowOff>102413</xdr:rowOff>
    </xdr:from>
    <xdr:to>
      <xdr:col>12</xdr:col>
      <xdr:colOff>866498</xdr:colOff>
      <xdr:row>104</xdr:row>
      <xdr:rowOff>124362</xdr:rowOff>
    </xdr:to>
    <xdr:pic>
      <xdr:nvPicPr>
        <xdr:cNvPr id="6321484" name="Picture 2"/>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6762750" y="16476345"/>
          <a:ext cx="4150360" cy="1195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1272845</xdr:colOff>
      <xdr:row>191</xdr:row>
      <xdr:rowOff>153619</xdr:rowOff>
    </xdr:from>
    <xdr:to>
      <xdr:col>7</xdr:col>
      <xdr:colOff>843839</xdr:colOff>
      <xdr:row>235</xdr:row>
      <xdr:rowOff>14629</xdr:rowOff>
    </xdr:to>
    <xdr:pic>
      <xdr:nvPicPr>
        <xdr:cNvPr id="6321485" name="Picture 5"/>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1464310" y="32285305"/>
          <a:ext cx="5014595" cy="72377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146304</xdr:colOff>
      <xdr:row>110</xdr:row>
      <xdr:rowOff>126124</xdr:rowOff>
    </xdr:from>
    <xdr:to>
      <xdr:col>7</xdr:col>
      <xdr:colOff>413687</xdr:colOff>
      <xdr:row>120</xdr:row>
      <xdr:rowOff>65585</xdr:rowOff>
    </xdr:to>
    <xdr:sp>
      <xdr:nvSpPr>
        <xdr:cNvPr id="2" name="Right Brace 1"/>
        <xdr:cNvSpPr/>
      </xdr:nvSpPr>
      <xdr:spPr>
        <a:xfrm>
          <a:off x="5781675" y="18679160"/>
          <a:ext cx="267335" cy="1616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182669</xdr:colOff>
      <xdr:row>121</xdr:row>
      <xdr:rowOff>157443</xdr:rowOff>
    </xdr:from>
    <xdr:to>
      <xdr:col>7</xdr:col>
      <xdr:colOff>450052</xdr:colOff>
      <xdr:row>133</xdr:row>
      <xdr:rowOff>45403</xdr:rowOff>
    </xdr:to>
    <xdr:sp>
      <xdr:nvSpPr>
        <xdr:cNvPr id="14" name="Right Brace 13"/>
        <xdr:cNvSpPr/>
      </xdr:nvSpPr>
      <xdr:spPr>
        <a:xfrm>
          <a:off x="5817870" y="20554315"/>
          <a:ext cx="267335" cy="189992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166484</xdr:colOff>
      <xdr:row>135</xdr:row>
      <xdr:rowOff>70630</xdr:rowOff>
    </xdr:from>
    <xdr:to>
      <xdr:col>7</xdr:col>
      <xdr:colOff>433867</xdr:colOff>
      <xdr:row>146</xdr:row>
      <xdr:rowOff>120028</xdr:rowOff>
    </xdr:to>
    <xdr:sp>
      <xdr:nvSpPr>
        <xdr:cNvPr id="15" name="Right Brace 14"/>
        <xdr:cNvSpPr/>
      </xdr:nvSpPr>
      <xdr:spPr>
        <a:xfrm>
          <a:off x="5801995" y="22814915"/>
          <a:ext cx="267335" cy="189357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151349</xdr:colOff>
      <xdr:row>150</xdr:row>
      <xdr:rowOff>45405</xdr:rowOff>
    </xdr:from>
    <xdr:to>
      <xdr:col>7</xdr:col>
      <xdr:colOff>418732</xdr:colOff>
      <xdr:row>157</xdr:row>
      <xdr:rowOff>126124</xdr:rowOff>
    </xdr:to>
    <xdr:sp>
      <xdr:nvSpPr>
        <xdr:cNvPr id="16" name="Right Brace 15"/>
        <xdr:cNvSpPr/>
      </xdr:nvSpPr>
      <xdr:spPr>
        <a:xfrm>
          <a:off x="5786755" y="25304115"/>
          <a:ext cx="267335" cy="12541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617220</xdr:colOff>
      <xdr:row>44</xdr:row>
      <xdr:rowOff>73152</xdr:rowOff>
    </xdr:from>
    <xdr:to>
      <xdr:col>10</xdr:col>
      <xdr:colOff>0</xdr:colOff>
      <xdr:row>50</xdr:row>
      <xdr:rowOff>18288</xdr:rowOff>
    </xdr:to>
    <xdr:cxnSp>
      <xdr:nvCxnSpPr>
        <xdr:cNvPr id="5" name="Straight Arrow Connector 4"/>
        <xdr:cNvCxnSpPr/>
      </xdr:nvCxnSpPr>
      <xdr:spPr>
        <a:xfrm>
          <a:off x="7686675" y="7611110"/>
          <a:ext cx="378460" cy="9505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349250</xdr:colOff>
      <xdr:row>67</xdr:row>
      <xdr:rowOff>50800</xdr:rowOff>
    </xdr:from>
    <xdr:to>
      <xdr:col>4</xdr:col>
      <xdr:colOff>869950</xdr:colOff>
      <xdr:row>71</xdr:row>
      <xdr:rowOff>88900</xdr:rowOff>
    </xdr:to>
    <xdr:sp>
      <xdr:nvSpPr>
        <xdr:cNvPr id="3" name="Right Brace 2"/>
        <xdr:cNvSpPr/>
      </xdr:nvSpPr>
      <xdr:spPr>
        <a:xfrm>
          <a:off x="3509645" y="11365230"/>
          <a:ext cx="520700" cy="70866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D" sz="1100"/>
        </a:p>
      </xdr:txBody>
    </xdr:sp>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498348</xdr:colOff>
      <xdr:row>4</xdr:row>
      <xdr:rowOff>118872</xdr:rowOff>
    </xdr:from>
    <xdr:to>
      <xdr:col>15</xdr:col>
      <xdr:colOff>221285</xdr:colOff>
      <xdr:row>24</xdr:row>
      <xdr:rowOff>107742</xdr:rowOff>
    </xdr:to>
    <xdr:pic>
      <xdr:nvPicPr>
        <xdr:cNvPr id="2" name="Picture 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5277485" y="705485"/>
          <a:ext cx="4112260" cy="34937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150876</xdr:colOff>
      <xdr:row>5</xdr:row>
      <xdr:rowOff>68580</xdr:rowOff>
    </xdr:from>
    <xdr:to>
      <xdr:col>14</xdr:col>
      <xdr:colOff>105156</xdr:colOff>
      <xdr:row>23</xdr:row>
      <xdr:rowOff>91440</xdr:rowOff>
    </xdr:to>
    <xdr:cxnSp>
      <xdr:nvCxnSpPr>
        <xdr:cNvPr id="4" name="Straight Arrow Connector 3"/>
        <xdr:cNvCxnSpPr/>
      </xdr:nvCxnSpPr>
      <xdr:spPr>
        <a:xfrm>
          <a:off x="4381500" y="800100"/>
          <a:ext cx="4343400" cy="32308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134683</xdr:colOff>
      <xdr:row>27</xdr:row>
      <xdr:rowOff>141732</xdr:rowOff>
    </xdr:from>
    <xdr:to>
      <xdr:col>15</xdr:col>
      <xdr:colOff>192752</xdr:colOff>
      <xdr:row>51</xdr:row>
      <xdr:rowOff>92852</xdr:rowOff>
    </xdr:to>
    <xdr:pic>
      <xdr:nvPicPr>
        <xdr:cNvPr id="6" name="Picture 5"/>
        <xdr:cNvPicPr>
          <a:picLocks noChangeAspect="1"/>
        </xdr:cNvPicPr>
      </xdr:nvPicPr>
      <xdr:blipFill>
        <a:blip r:embed="rId2"/>
        <a:stretch>
          <a:fillRect/>
        </a:stretch>
      </xdr:blipFill>
      <xdr:spPr>
        <a:xfrm>
          <a:off x="5462905" y="4667885"/>
          <a:ext cx="3898265" cy="3433445"/>
        </a:xfrm>
        <a:prstGeom prst="rect">
          <a:avLst/>
        </a:prstGeom>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146304</xdr:colOff>
      <xdr:row>30</xdr:row>
      <xdr:rowOff>0</xdr:rowOff>
    </xdr:from>
    <xdr:to>
      <xdr:col>1</xdr:col>
      <xdr:colOff>292608</xdr:colOff>
      <xdr:row>30</xdr:row>
      <xdr:rowOff>146304</xdr:rowOff>
    </xdr:to>
    <xdr:pic>
      <xdr:nvPicPr>
        <xdr:cNvPr id="6295369"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37820" y="5206365"/>
          <a:ext cx="146050" cy="146050"/>
        </a:xfrm>
        <a:prstGeom prst="rect">
          <a:avLst/>
        </a:prstGeom>
        <a:solidFill>
          <a:srgbClr val="FFFFFF"/>
        </a:solidFill>
        <a:ln w="9525">
          <a:solidFill>
            <a:srgbClr val="000000"/>
          </a:solidFill>
          <a:miter lim="800000"/>
          <a:headEnd/>
          <a:tailEnd/>
        </a:ln>
      </xdr:spPr>
    </xdr:pic>
    <xdr:clientData/>
  </xdr:twoCellAnchor>
  <xdr:twoCellAnchor>
    <xdr:from>
      <xdr:col>3</xdr:col>
      <xdr:colOff>109728</xdr:colOff>
      <xdr:row>26</xdr:row>
      <xdr:rowOff>21946</xdr:rowOff>
    </xdr:from>
    <xdr:to>
      <xdr:col>19</xdr:col>
      <xdr:colOff>292608</xdr:colOff>
      <xdr:row>27</xdr:row>
      <xdr:rowOff>131674</xdr:rowOff>
    </xdr:to>
    <xdr:sp>
      <xdr:nvSpPr>
        <xdr:cNvPr id="6295370" name="Freeform 7"/>
        <xdr:cNvSpPr/>
      </xdr:nvSpPr>
      <xdr:spPr>
        <a:xfrm>
          <a:off x="2402205" y="4557395"/>
          <a:ext cx="13160375" cy="27749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0</xdr:colOff>
      <xdr:row>27</xdr:row>
      <xdr:rowOff>73152</xdr:rowOff>
    </xdr:from>
    <xdr:to>
      <xdr:col>15</xdr:col>
      <xdr:colOff>415143</xdr:colOff>
      <xdr:row>28</xdr:row>
      <xdr:rowOff>123795</xdr:rowOff>
    </xdr:to>
    <xdr:sp>
      <xdr:nvSpPr>
        <xdr:cNvPr id="4" name="Rectangle 8"/>
        <xdr:cNvSpPr>
          <a:spLocks noChangeArrowheads="1"/>
        </xdr:cNvSpPr>
      </xdr:nvSpPr>
      <xdr:spPr>
        <a:xfrm>
          <a:off x="7270115" y="4776470"/>
          <a:ext cx="4268470" cy="217805"/>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200" b="1" i="0" u="none" strike="noStrike" baseline="0">
              <a:solidFill>
                <a:srgbClr val="000000"/>
              </a:solidFill>
              <a:latin typeface="Arial" panose="020B0604020202020204"/>
              <a:cs typeface="Arial" panose="020B0604020202020204"/>
            </a:rPr>
            <a:t>F1</a:t>
          </a:r>
          <a:endParaRPr lang="id-ID" sz="12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10</xdr:col>
      <xdr:colOff>512064</xdr:colOff>
      <xdr:row>6</xdr:row>
      <xdr:rowOff>138989</xdr:rowOff>
    </xdr:from>
    <xdr:to>
      <xdr:col>10</xdr:col>
      <xdr:colOff>665683</xdr:colOff>
      <xdr:row>7</xdr:row>
      <xdr:rowOff>131674</xdr:rowOff>
    </xdr:to>
    <xdr:pic>
      <xdr:nvPicPr>
        <xdr:cNvPr id="6295372"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7781925" y="1273810"/>
          <a:ext cx="153670" cy="16065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146050</xdr:colOff>
          <xdr:row>32</xdr:row>
          <xdr:rowOff>0</xdr:rowOff>
        </xdr:from>
        <xdr:to>
          <xdr:col>1</xdr:col>
          <xdr:colOff>298450</xdr:colOff>
          <xdr:row>32</xdr:row>
          <xdr:rowOff>146050</xdr:rowOff>
        </xdr:to>
        <xdr:sp>
          <xdr:nvSpPr>
            <xdr:cNvPr id="6217729" name="Object 1" hidden="1">
              <a:extLst>
                <a:ext uri="{63B3BB69-23CF-44E3-9099-C40C66FF867C}">
                  <a14:compatExt spid="_x0000_s6217729"/>
                </a:ext>
              </a:extLst>
            </xdr:cNvPr>
            <xdr:cNvSpPr/>
          </xdr:nvSpPr>
          <xdr:spPr>
            <a:xfrm>
              <a:off x="337820" y="5541645"/>
              <a:ext cx="152400" cy="1460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31</xdr:row>
          <xdr:rowOff>12700</xdr:rowOff>
        </xdr:from>
        <xdr:to>
          <xdr:col>1</xdr:col>
          <xdr:colOff>292100</xdr:colOff>
          <xdr:row>32</xdr:row>
          <xdr:rowOff>12700</xdr:rowOff>
        </xdr:to>
        <xdr:sp>
          <xdr:nvSpPr>
            <xdr:cNvPr id="6217730" name="Object 2" hidden="1">
              <a:extLst>
                <a:ext uri="{63B3BB69-23CF-44E3-9099-C40C66FF867C}">
                  <a14:compatExt spid="_x0000_s6217730"/>
                </a:ext>
              </a:extLst>
            </xdr:cNvPr>
            <xdr:cNvSpPr/>
          </xdr:nvSpPr>
          <xdr:spPr>
            <a:xfrm>
              <a:off x="337820" y="5386705"/>
              <a:ext cx="146050" cy="1676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539750</xdr:colOff>
          <xdr:row>6</xdr:row>
          <xdr:rowOff>133350</xdr:rowOff>
        </xdr:from>
        <xdr:to>
          <xdr:col>16</xdr:col>
          <xdr:colOff>723900</xdr:colOff>
          <xdr:row>7</xdr:row>
          <xdr:rowOff>146050</xdr:rowOff>
        </xdr:to>
        <xdr:sp>
          <xdr:nvSpPr>
            <xdr:cNvPr id="6217731" name="Object 3" hidden="1">
              <a:extLst>
                <a:ext uri="{63B3BB69-23CF-44E3-9099-C40C66FF867C}">
                  <a14:compatExt spid="_x0000_s6217731"/>
                </a:ext>
              </a:extLst>
            </xdr:cNvPr>
            <xdr:cNvSpPr/>
          </xdr:nvSpPr>
          <xdr:spPr>
            <a:xfrm>
              <a:off x="12768580" y="1268730"/>
              <a:ext cx="184150" cy="1803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381000</xdr:colOff>
          <xdr:row>27</xdr:row>
          <xdr:rowOff>31750</xdr:rowOff>
        </xdr:from>
        <xdr:to>
          <xdr:col>9</xdr:col>
          <xdr:colOff>584200</xdr:colOff>
          <xdr:row>28</xdr:row>
          <xdr:rowOff>82550</xdr:rowOff>
        </xdr:to>
        <xdr:sp>
          <xdr:nvSpPr>
            <xdr:cNvPr id="6217732" name="Object 4" hidden="1">
              <a:extLst>
                <a:ext uri="{63B3BB69-23CF-44E3-9099-C40C66FF867C}">
                  <a14:compatExt spid="_x0000_s6217732"/>
                </a:ext>
              </a:extLst>
            </xdr:cNvPr>
            <xdr:cNvSpPr/>
          </xdr:nvSpPr>
          <xdr:spPr>
            <a:xfrm>
              <a:off x="6527800" y="4735195"/>
              <a:ext cx="203200" cy="218440"/>
            </a:xfrm>
            <a:prstGeom prst="rect">
              <a:avLst/>
            </a:prstGeom>
          </xdr:spPr>
        </xdr:sp>
        <xdr:clientData/>
      </xdr:twoCellAnchor>
    </mc:Choice>
    <mc:Fallback/>
  </mc:AlternateContent>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14630</xdr:colOff>
      <xdr:row>22</xdr:row>
      <xdr:rowOff>0</xdr:rowOff>
    </xdr:from>
    <xdr:to>
      <xdr:col>2</xdr:col>
      <xdr:colOff>168250</xdr:colOff>
      <xdr:row>23</xdr:row>
      <xdr:rowOff>14630</xdr:rowOff>
    </xdr:to>
    <xdr:pic>
      <xdr:nvPicPr>
        <xdr:cNvPr id="6313284"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261620" y="3865245"/>
          <a:ext cx="153035" cy="182245"/>
        </a:xfrm>
        <a:prstGeom prst="rect">
          <a:avLst/>
        </a:prstGeom>
        <a:solidFill>
          <a:srgbClr val="FFFFFF"/>
        </a:solidFill>
        <a:ln w="9525">
          <a:solidFill>
            <a:srgbClr val="000000"/>
          </a:solidFill>
          <a:miter lim="800000"/>
          <a:headEnd/>
          <a:tailEnd/>
        </a:ln>
      </xdr:spPr>
    </xdr:pic>
    <xdr:clientData/>
  </xdr:twoCellAnchor>
  <xdr:twoCellAnchor>
    <xdr:from>
      <xdr:col>4</xdr:col>
      <xdr:colOff>109728</xdr:colOff>
      <xdr:row>18</xdr:row>
      <xdr:rowOff>21946</xdr:rowOff>
    </xdr:from>
    <xdr:to>
      <xdr:col>19</xdr:col>
      <xdr:colOff>299923</xdr:colOff>
      <xdr:row>19</xdr:row>
      <xdr:rowOff>131674</xdr:rowOff>
    </xdr:to>
    <xdr:sp>
      <xdr:nvSpPr>
        <xdr:cNvPr id="6313285" name="Freeform 7"/>
        <xdr:cNvSpPr/>
      </xdr:nvSpPr>
      <xdr:spPr>
        <a:xfrm>
          <a:off x="2457450" y="3216275"/>
          <a:ext cx="11844020" cy="27749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463666</xdr:colOff>
      <xdr:row>19</xdr:row>
      <xdr:rowOff>1</xdr:rowOff>
    </xdr:from>
    <xdr:to>
      <xdr:col>16</xdr:col>
      <xdr:colOff>414835</xdr:colOff>
      <xdr:row>20</xdr:row>
      <xdr:rowOff>70640</xdr:rowOff>
    </xdr:to>
    <xdr:sp>
      <xdr:nvSpPr>
        <xdr:cNvPr id="4" name="Rectangle 8"/>
        <xdr:cNvSpPr>
          <a:spLocks noChangeArrowheads="1"/>
        </xdr:cNvSpPr>
      </xdr:nvSpPr>
      <xdr:spPr>
        <a:xfrm>
          <a:off x="10008235" y="3362325"/>
          <a:ext cx="1357630" cy="238125"/>
        </a:xfrm>
        <a:prstGeom prst="rect">
          <a:avLst/>
        </a:prstGeom>
        <a:solidFill>
          <a:srgbClr val="FFFFFF"/>
        </a:solidFill>
        <a:ln w="9525">
          <a:solidFill>
            <a:srgbClr val="000000"/>
          </a:solidFill>
          <a:miter lim="800000"/>
        </a:ln>
      </xdr:spPr>
      <xdr:txBody>
        <a:bodyPr vertOverflow="clip" wrap="square" lIns="36576" tIns="32004" rIns="36576" bIns="0" anchor="ctr" upright="1"/>
        <a:lstStyle/>
        <a:p>
          <a:pPr algn="ctr" rtl="0">
            <a:defRPr sz="1000"/>
          </a:pPr>
          <a:r>
            <a:rPr lang="id-ID" sz="1200" b="1" i="0" u="none" strike="noStrike" baseline="0">
              <a:solidFill>
                <a:srgbClr val="000000"/>
              </a:solidFill>
              <a:latin typeface="Arial" panose="020B0604020202020204"/>
              <a:cs typeface="Arial" panose="020B0604020202020204"/>
            </a:rPr>
            <a:t>F1</a:t>
          </a:r>
          <a:endParaRPr lang="id-ID" sz="12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11</xdr:col>
      <xdr:colOff>512064</xdr:colOff>
      <xdr:row>6</xdr:row>
      <xdr:rowOff>138989</xdr:rowOff>
    </xdr:from>
    <xdr:to>
      <xdr:col>11</xdr:col>
      <xdr:colOff>672998</xdr:colOff>
      <xdr:row>7</xdr:row>
      <xdr:rowOff>131674</xdr:rowOff>
    </xdr:to>
    <xdr:pic>
      <xdr:nvPicPr>
        <xdr:cNvPr id="6313287"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7663815" y="1273810"/>
          <a:ext cx="160655" cy="16065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xdr:col>
          <xdr:colOff>12700</xdr:colOff>
          <xdr:row>26</xdr:row>
          <xdr:rowOff>19050</xdr:rowOff>
        </xdr:from>
        <xdr:to>
          <xdr:col>2</xdr:col>
          <xdr:colOff>158750</xdr:colOff>
          <xdr:row>27</xdr:row>
          <xdr:rowOff>12700</xdr:rowOff>
        </xdr:to>
        <xdr:sp>
          <xdr:nvSpPr>
            <xdr:cNvPr id="4625409" name="Object 1" hidden="1">
              <a:extLst>
                <a:ext uri="{63B3BB69-23CF-44E3-9099-C40C66FF867C}">
                  <a14:compatExt spid="_x0000_s4625409"/>
                </a:ext>
              </a:extLst>
            </xdr:cNvPr>
            <xdr:cNvSpPr/>
          </xdr:nvSpPr>
          <xdr:spPr>
            <a:xfrm>
              <a:off x="259715" y="4401185"/>
              <a:ext cx="146050" cy="1612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24</xdr:row>
          <xdr:rowOff>12700</xdr:rowOff>
        </xdr:from>
        <xdr:to>
          <xdr:col>2</xdr:col>
          <xdr:colOff>165100</xdr:colOff>
          <xdr:row>25</xdr:row>
          <xdr:rowOff>0</xdr:rowOff>
        </xdr:to>
        <xdr:sp>
          <xdr:nvSpPr>
            <xdr:cNvPr id="4625410" name="Object 2" hidden="1">
              <a:extLst>
                <a:ext uri="{63B3BB69-23CF-44E3-9099-C40C66FF867C}">
                  <a14:compatExt spid="_x0000_s4625410"/>
                </a:ext>
              </a:extLst>
            </xdr:cNvPr>
            <xdr:cNvSpPr/>
          </xdr:nvSpPr>
          <xdr:spPr>
            <a:xfrm>
              <a:off x="259715" y="4138930"/>
              <a:ext cx="152400" cy="1549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527050</xdr:colOff>
          <xdr:row>6</xdr:row>
          <xdr:rowOff>139700</xdr:rowOff>
        </xdr:from>
        <xdr:to>
          <xdr:col>17</xdr:col>
          <xdr:colOff>723900</xdr:colOff>
          <xdr:row>7</xdr:row>
          <xdr:rowOff>146050</xdr:rowOff>
        </xdr:to>
        <xdr:sp>
          <xdr:nvSpPr>
            <xdr:cNvPr id="4625411" name="Object 3" hidden="1">
              <a:extLst>
                <a:ext uri="{63B3BB69-23CF-44E3-9099-C40C66FF867C}">
                  <a14:compatExt spid="_x0000_s4625411"/>
                </a:ext>
              </a:extLst>
            </xdr:cNvPr>
            <xdr:cNvSpPr/>
          </xdr:nvSpPr>
          <xdr:spPr>
            <a:xfrm>
              <a:off x="12510135" y="1275080"/>
              <a:ext cx="1968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755650</xdr:colOff>
          <xdr:row>19</xdr:row>
          <xdr:rowOff>57150</xdr:rowOff>
        </xdr:from>
        <xdr:to>
          <xdr:col>13</xdr:col>
          <xdr:colOff>952500</xdr:colOff>
          <xdr:row>20</xdr:row>
          <xdr:rowOff>82550</xdr:rowOff>
        </xdr:to>
        <xdr:sp>
          <xdr:nvSpPr>
            <xdr:cNvPr id="4625412" name="Object 4" hidden="1">
              <a:extLst>
                <a:ext uri="{63B3BB69-23CF-44E3-9099-C40C66FF867C}">
                  <a14:compatExt spid="_x0000_s4625412"/>
                </a:ext>
              </a:extLst>
            </xdr:cNvPr>
            <xdr:cNvSpPr/>
          </xdr:nvSpPr>
          <xdr:spPr>
            <a:xfrm>
              <a:off x="9250045" y="3419475"/>
              <a:ext cx="196850" cy="193040"/>
            </a:xfrm>
            <a:prstGeom prst="rect">
              <a:avLst/>
            </a:prstGeom>
          </xdr:spPr>
        </xdr:sp>
        <xdr:clientData/>
      </xdr:twoCellAnchor>
    </mc:Choice>
    <mc:Fallback/>
  </mc:AlternateContent>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14</xdr:col>
      <xdr:colOff>160934</xdr:colOff>
      <xdr:row>37</xdr:row>
      <xdr:rowOff>124358</xdr:rowOff>
    </xdr:from>
    <xdr:to>
      <xdr:col>22</xdr:col>
      <xdr:colOff>885139</xdr:colOff>
      <xdr:row>40</xdr:row>
      <xdr:rowOff>43891</xdr:rowOff>
    </xdr:to>
    <xdr:sp>
      <xdr:nvSpPr>
        <xdr:cNvPr id="6269602" name="Freeform 1"/>
        <xdr:cNvSpPr/>
      </xdr:nvSpPr>
      <xdr:spPr>
        <a:xfrm>
          <a:off x="10672445" y="5477510"/>
          <a:ext cx="7811770" cy="422910"/>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2</xdr:col>
          <xdr:colOff>355600</xdr:colOff>
          <xdr:row>41</xdr:row>
          <xdr:rowOff>133350</xdr:rowOff>
        </xdr:from>
        <xdr:to>
          <xdr:col>2</xdr:col>
          <xdr:colOff>501650</xdr:colOff>
          <xdr:row>43</xdr:row>
          <xdr:rowOff>0</xdr:rowOff>
        </xdr:to>
        <xdr:sp>
          <xdr:nvSpPr>
            <xdr:cNvPr id="64516" name="Object 4" hidden="1">
              <a:extLst>
                <a:ext uri="{63B3BB69-23CF-44E3-9099-C40C66FF867C}">
                  <a14:compatExt spid="_x0000_s64516"/>
                </a:ext>
              </a:extLst>
            </xdr:cNvPr>
            <xdr:cNvSpPr/>
          </xdr:nvSpPr>
          <xdr:spPr>
            <a:xfrm>
              <a:off x="675640" y="6157595"/>
              <a:ext cx="146050" cy="20193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355600</xdr:colOff>
          <xdr:row>44</xdr:row>
          <xdr:rowOff>63500</xdr:rowOff>
        </xdr:from>
        <xdr:to>
          <xdr:col>2</xdr:col>
          <xdr:colOff>482600</xdr:colOff>
          <xdr:row>45</xdr:row>
          <xdr:rowOff>44450</xdr:rowOff>
        </xdr:to>
        <xdr:sp>
          <xdr:nvSpPr>
            <xdr:cNvPr id="64517" name="Object 5" hidden="1">
              <a:extLst>
                <a:ext uri="{63B3BB69-23CF-44E3-9099-C40C66FF867C}">
                  <a14:compatExt spid="_x0000_s64517"/>
                </a:ext>
              </a:extLst>
            </xdr:cNvPr>
            <xdr:cNvSpPr/>
          </xdr:nvSpPr>
          <xdr:spPr>
            <a:xfrm>
              <a:off x="675640" y="6590665"/>
              <a:ext cx="127000" cy="1485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349250</xdr:colOff>
          <xdr:row>43</xdr:row>
          <xdr:rowOff>19050</xdr:rowOff>
        </xdr:from>
        <xdr:to>
          <xdr:col>2</xdr:col>
          <xdr:colOff>501650</xdr:colOff>
          <xdr:row>44</xdr:row>
          <xdr:rowOff>19050</xdr:rowOff>
        </xdr:to>
        <xdr:sp>
          <xdr:nvSpPr>
            <xdr:cNvPr id="64551" name="Object 39" hidden="1">
              <a:extLst>
                <a:ext uri="{63B3BB69-23CF-44E3-9099-C40C66FF867C}">
                  <a14:compatExt spid="_x0000_s64551"/>
                </a:ext>
              </a:extLst>
            </xdr:cNvPr>
            <xdr:cNvSpPr/>
          </xdr:nvSpPr>
          <xdr:spPr>
            <a:xfrm>
              <a:off x="669290" y="6378575"/>
              <a:ext cx="152400" cy="1676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368300</xdr:colOff>
          <xdr:row>39</xdr:row>
          <xdr:rowOff>114300</xdr:rowOff>
        </xdr:from>
        <xdr:to>
          <xdr:col>17</xdr:col>
          <xdr:colOff>527050</xdr:colOff>
          <xdr:row>40</xdr:row>
          <xdr:rowOff>133350</xdr:rowOff>
        </xdr:to>
        <xdr:sp>
          <xdr:nvSpPr>
            <xdr:cNvPr id="64586" name="Object 74" hidden="1">
              <a:extLst>
                <a:ext uri="{63B3BB69-23CF-44E3-9099-C40C66FF867C}">
                  <a14:compatExt spid="_x0000_s64586"/>
                </a:ext>
              </a:extLst>
            </xdr:cNvPr>
            <xdr:cNvSpPr/>
          </xdr:nvSpPr>
          <xdr:spPr>
            <a:xfrm>
              <a:off x="13867130" y="5803265"/>
              <a:ext cx="158750" cy="186690"/>
            </a:xfrm>
            <a:prstGeom prst="rect">
              <a:avLst/>
            </a:prstGeom>
          </xdr:spPr>
        </xdr:sp>
        <xdr:clientData/>
      </xdr:twoCellAnchor>
    </mc:Choice>
    <mc:Fallback/>
  </mc:AlternateContent>
  <xdr:twoCellAnchor editAs="oneCell">
    <xdr:from>
      <xdr:col>17</xdr:col>
      <xdr:colOff>475488</xdr:colOff>
      <xdr:row>10</xdr:row>
      <xdr:rowOff>117043</xdr:rowOff>
    </xdr:from>
    <xdr:to>
      <xdr:col>17</xdr:col>
      <xdr:colOff>658368</xdr:colOff>
      <xdr:row>11</xdr:row>
      <xdr:rowOff>146305</xdr:rowOff>
    </xdr:to>
    <xdr:pic>
      <xdr:nvPicPr>
        <xdr:cNvPr id="6269603" name="Picture 6"/>
        <xdr:cNvPicPr>
          <a:picLocks noChangeAspect="1" noChangeArrowheads="1"/>
        </xdr:cNvPicPr>
      </xdr:nvPicPr>
      <xdr:blipFill>
        <a:blip r:embed="rId1">
          <a:biLevel thresh="50000"/>
          <a:grayscl/>
          <a:extLst>
            <a:ext uri="{28A0092B-C50C-407E-A947-70E740481C1C}">
              <a14:useLocalDpi xmlns:a14="http://schemas.microsoft.com/office/drawing/2010/main" val="0"/>
            </a:ext>
          </a:extLst>
        </a:blip>
        <a:srcRect/>
        <a:stretch>
          <a:fillRect/>
        </a:stretch>
      </xdr:blipFill>
      <xdr:spPr>
        <a:xfrm>
          <a:off x="13973810" y="1823720"/>
          <a:ext cx="182880" cy="196850"/>
        </a:xfrm>
        <a:prstGeom prst="rect">
          <a:avLst/>
        </a:prstGeom>
        <a:solidFill>
          <a:srgbClr val="FFFFFF"/>
        </a:solidFill>
        <a:ln w="9525">
          <a:solidFill>
            <a:srgbClr val="000000"/>
          </a:solidFill>
          <a:miter lim="800000"/>
          <a:headEnd/>
          <a:tailEnd/>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11331</xdr:colOff>
      <xdr:row>33</xdr:row>
      <xdr:rowOff>104870</xdr:rowOff>
    </xdr:from>
    <xdr:to>
      <xdr:col>2</xdr:col>
      <xdr:colOff>2136458</xdr:colOff>
      <xdr:row>42</xdr:row>
      <xdr:rowOff>45936</xdr:rowOff>
    </xdr:to>
    <xdr:pic>
      <xdr:nvPicPr>
        <xdr:cNvPr id="2" name="Picture 1"/>
        <xdr:cNvPicPr>
          <a:picLocks noChangeAspect="1"/>
        </xdr:cNvPicPr>
      </xdr:nvPicPr>
      <xdr:blipFill>
        <a:blip r:embed="rId1"/>
        <a:stretch>
          <a:fillRect/>
        </a:stretch>
      </xdr:blipFill>
      <xdr:spPr>
        <a:xfrm>
          <a:off x="521970" y="5126355"/>
          <a:ext cx="2125345" cy="1243965"/>
        </a:xfrm>
        <a:prstGeom prst="rect">
          <a:avLst/>
        </a:prstGeom>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14630</xdr:colOff>
      <xdr:row>25</xdr:row>
      <xdr:rowOff>0</xdr:rowOff>
    </xdr:from>
    <xdr:to>
      <xdr:col>2</xdr:col>
      <xdr:colOff>168250</xdr:colOff>
      <xdr:row>26</xdr:row>
      <xdr:rowOff>14630</xdr:rowOff>
    </xdr:to>
    <xdr:pic>
      <xdr:nvPicPr>
        <xdr:cNvPr id="6314308"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170" y="4170045"/>
          <a:ext cx="153035" cy="182245"/>
        </a:xfrm>
        <a:prstGeom prst="rect">
          <a:avLst/>
        </a:prstGeom>
        <a:solidFill>
          <a:srgbClr val="FFFFFF"/>
        </a:solidFill>
        <a:ln w="9525">
          <a:solidFill>
            <a:srgbClr val="000000"/>
          </a:solidFill>
          <a:miter lim="800000"/>
          <a:headEnd/>
          <a:tailEnd/>
        </a:ln>
      </xdr:spPr>
    </xdr:pic>
    <xdr:clientData/>
  </xdr:twoCellAnchor>
  <xdr:twoCellAnchor>
    <xdr:from>
      <xdr:col>4</xdr:col>
      <xdr:colOff>109728</xdr:colOff>
      <xdr:row>21</xdr:row>
      <xdr:rowOff>21946</xdr:rowOff>
    </xdr:from>
    <xdr:to>
      <xdr:col>19</xdr:col>
      <xdr:colOff>292608</xdr:colOff>
      <xdr:row>22</xdr:row>
      <xdr:rowOff>131674</xdr:rowOff>
    </xdr:to>
    <xdr:sp>
      <xdr:nvSpPr>
        <xdr:cNvPr id="6314309" name="Freeform 7"/>
        <xdr:cNvSpPr/>
      </xdr:nvSpPr>
      <xdr:spPr>
        <a:xfrm>
          <a:off x="2667000" y="3521075"/>
          <a:ext cx="12028805" cy="27749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14</xdr:col>
      <xdr:colOff>444616</xdr:colOff>
      <xdr:row>22</xdr:row>
      <xdr:rowOff>1</xdr:rowOff>
    </xdr:from>
    <xdr:to>
      <xdr:col>16</xdr:col>
      <xdr:colOff>415690</xdr:colOff>
      <xdr:row>23</xdr:row>
      <xdr:rowOff>38859</xdr:rowOff>
    </xdr:to>
    <xdr:sp>
      <xdr:nvSpPr>
        <xdr:cNvPr id="4" name="Rectangle 8"/>
        <xdr:cNvSpPr>
          <a:spLocks noChangeArrowheads="1"/>
        </xdr:cNvSpPr>
      </xdr:nvSpPr>
      <xdr:spPr>
        <a:xfrm>
          <a:off x="10391140" y="3667125"/>
          <a:ext cx="1377315" cy="206375"/>
        </a:xfrm>
        <a:prstGeom prst="rect">
          <a:avLst/>
        </a:prstGeom>
        <a:solidFill>
          <a:srgbClr val="FFFFFF"/>
        </a:solidFill>
        <a:ln w="9525">
          <a:solidFill>
            <a:srgbClr val="000000"/>
          </a:solidFill>
          <a:miter lim="800000"/>
        </a:ln>
      </xdr:spPr>
      <xdr:txBody>
        <a:bodyPr vertOverflow="clip" wrap="square" lIns="36576" tIns="32004" rIns="36576" bIns="0" anchor="ctr" upright="1"/>
        <a:lstStyle/>
        <a:p>
          <a:pPr algn="ctr" rtl="0">
            <a:defRPr sz="1000"/>
          </a:pPr>
          <a:r>
            <a:rPr lang="id-ID" sz="1200" b="1" i="0" u="none" strike="noStrike" baseline="0">
              <a:solidFill>
                <a:srgbClr val="000000"/>
              </a:solidFill>
              <a:latin typeface="Arial" panose="020B0604020202020204"/>
              <a:cs typeface="Arial" panose="020B0604020202020204"/>
            </a:rPr>
            <a:t>F1</a:t>
          </a:r>
          <a:endParaRPr lang="id-ID" sz="12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11</xdr:col>
      <xdr:colOff>512064</xdr:colOff>
      <xdr:row>6</xdr:row>
      <xdr:rowOff>138989</xdr:rowOff>
    </xdr:from>
    <xdr:to>
      <xdr:col>11</xdr:col>
      <xdr:colOff>672998</xdr:colOff>
      <xdr:row>7</xdr:row>
      <xdr:rowOff>131674</xdr:rowOff>
    </xdr:to>
    <xdr:pic>
      <xdr:nvPicPr>
        <xdr:cNvPr id="6314311"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7928610" y="1243330"/>
          <a:ext cx="160655" cy="16065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xdr:col>
          <xdr:colOff>12700</xdr:colOff>
          <xdr:row>27</xdr:row>
          <xdr:rowOff>19050</xdr:rowOff>
        </xdr:from>
        <xdr:to>
          <xdr:col>2</xdr:col>
          <xdr:colOff>158750</xdr:colOff>
          <xdr:row>28</xdr:row>
          <xdr:rowOff>12700</xdr:rowOff>
        </xdr:to>
        <xdr:sp>
          <xdr:nvSpPr>
            <xdr:cNvPr id="2907137" name="Object 1" hidden="1">
              <a:extLst>
                <a:ext uri="{63B3BB69-23CF-44E3-9099-C40C66FF867C}">
                  <a14:compatExt spid="_x0000_s2907137"/>
                </a:ext>
              </a:extLst>
            </xdr:cNvPr>
            <xdr:cNvSpPr/>
          </xdr:nvSpPr>
          <xdr:spPr>
            <a:xfrm>
              <a:off x="469265" y="4524375"/>
              <a:ext cx="146050" cy="1612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26</xdr:row>
          <xdr:rowOff>12700</xdr:rowOff>
        </xdr:from>
        <xdr:to>
          <xdr:col>2</xdr:col>
          <xdr:colOff>158750</xdr:colOff>
          <xdr:row>27</xdr:row>
          <xdr:rowOff>0</xdr:rowOff>
        </xdr:to>
        <xdr:sp>
          <xdr:nvSpPr>
            <xdr:cNvPr id="2907138" name="Object 2" hidden="1">
              <a:extLst>
                <a:ext uri="{63B3BB69-23CF-44E3-9099-C40C66FF867C}">
                  <a14:compatExt spid="_x0000_s2907138"/>
                </a:ext>
              </a:extLst>
            </xdr:cNvPr>
            <xdr:cNvSpPr/>
          </xdr:nvSpPr>
          <xdr:spPr>
            <a:xfrm>
              <a:off x="469265" y="4350385"/>
              <a:ext cx="146050" cy="1549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527050</xdr:colOff>
          <xdr:row>6</xdr:row>
          <xdr:rowOff>139700</xdr:rowOff>
        </xdr:from>
        <xdr:to>
          <xdr:col>17</xdr:col>
          <xdr:colOff>711200</xdr:colOff>
          <xdr:row>7</xdr:row>
          <xdr:rowOff>146050</xdr:rowOff>
        </xdr:to>
        <xdr:sp>
          <xdr:nvSpPr>
            <xdr:cNvPr id="2907139" name="Object 3" hidden="1">
              <a:extLst>
                <a:ext uri="{63B3BB69-23CF-44E3-9099-C40C66FF867C}">
                  <a14:compatExt spid="_x0000_s2907139"/>
                </a:ext>
              </a:extLst>
            </xdr:cNvPr>
            <xdr:cNvSpPr/>
          </xdr:nvSpPr>
          <xdr:spPr>
            <a:xfrm>
              <a:off x="12912090" y="1244600"/>
              <a:ext cx="1841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755650</xdr:colOff>
          <xdr:row>22</xdr:row>
          <xdr:rowOff>57150</xdr:rowOff>
        </xdr:from>
        <xdr:to>
          <xdr:col>13</xdr:col>
          <xdr:colOff>952500</xdr:colOff>
          <xdr:row>23</xdr:row>
          <xdr:rowOff>95250</xdr:rowOff>
        </xdr:to>
        <xdr:sp>
          <xdr:nvSpPr>
            <xdr:cNvPr id="2907140" name="Object 4" hidden="1">
              <a:extLst>
                <a:ext uri="{63B3BB69-23CF-44E3-9099-C40C66FF867C}">
                  <a14:compatExt spid="_x0000_s2907140"/>
                </a:ext>
              </a:extLst>
            </xdr:cNvPr>
            <xdr:cNvSpPr/>
          </xdr:nvSpPr>
          <xdr:spPr>
            <a:xfrm>
              <a:off x="9652000" y="3724275"/>
              <a:ext cx="196850" cy="2057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527050</xdr:colOff>
          <xdr:row>6</xdr:row>
          <xdr:rowOff>139700</xdr:rowOff>
        </xdr:from>
        <xdr:to>
          <xdr:col>18</xdr:col>
          <xdr:colOff>711200</xdr:colOff>
          <xdr:row>7</xdr:row>
          <xdr:rowOff>146050</xdr:rowOff>
        </xdr:to>
        <xdr:sp>
          <xdr:nvSpPr>
            <xdr:cNvPr id="6185884" name="Object 1948" hidden="1">
              <a:extLst>
                <a:ext uri="{63B3BB69-23CF-44E3-9099-C40C66FF867C}">
                  <a14:compatExt spid="_x0000_s6185884"/>
                </a:ext>
              </a:extLst>
            </xdr:cNvPr>
            <xdr:cNvSpPr/>
          </xdr:nvSpPr>
          <xdr:spPr>
            <a:xfrm>
              <a:off x="13935075" y="1244600"/>
              <a:ext cx="184150" cy="173990"/>
            </a:xfrm>
            <a:prstGeom prst="rect">
              <a:avLst/>
            </a:prstGeom>
          </xdr:spPr>
        </xdr:sp>
        <xdr:clientData/>
      </xdr:twoCellAnchor>
    </mc:Choice>
    <mc:Fallback/>
  </mc:AlternateContent>
</xdr:wsDr>
</file>

<file path=xl/drawings/drawing26.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2</xdr:col>
          <xdr:colOff>63500</xdr:colOff>
          <xdr:row>63</xdr:row>
          <xdr:rowOff>127000</xdr:rowOff>
        </xdr:from>
        <xdr:to>
          <xdr:col>2</xdr:col>
          <xdr:colOff>247650</xdr:colOff>
          <xdr:row>65</xdr:row>
          <xdr:rowOff>0</xdr:rowOff>
        </xdr:to>
        <xdr:sp>
          <xdr:nvSpPr>
            <xdr:cNvPr id="309252" name="Object 4" hidden="1">
              <a:extLst>
                <a:ext uri="{63B3BB69-23CF-44E3-9099-C40C66FF867C}">
                  <a14:compatExt spid="_x0000_s309252"/>
                </a:ext>
              </a:extLst>
            </xdr:cNvPr>
            <xdr:cNvSpPr/>
          </xdr:nvSpPr>
          <xdr:spPr>
            <a:xfrm>
              <a:off x="684530" y="7447915"/>
              <a:ext cx="184150" cy="1930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65</xdr:row>
          <xdr:rowOff>0</xdr:rowOff>
        </xdr:from>
        <xdr:to>
          <xdr:col>2</xdr:col>
          <xdr:colOff>260350</xdr:colOff>
          <xdr:row>66</xdr:row>
          <xdr:rowOff>38100</xdr:rowOff>
        </xdr:to>
        <xdr:sp>
          <xdr:nvSpPr>
            <xdr:cNvPr id="309253" name="Object 5" hidden="1">
              <a:extLst>
                <a:ext uri="{63B3BB69-23CF-44E3-9099-C40C66FF867C}">
                  <a14:compatExt spid="_x0000_s309253"/>
                </a:ext>
              </a:extLst>
            </xdr:cNvPr>
            <xdr:cNvSpPr/>
          </xdr:nvSpPr>
          <xdr:spPr>
            <a:xfrm>
              <a:off x="671830" y="7640955"/>
              <a:ext cx="209550" cy="2057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63500</xdr:colOff>
          <xdr:row>66</xdr:row>
          <xdr:rowOff>0</xdr:rowOff>
        </xdr:from>
        <xdr:to>
          <xdr:col>2</xdr:col>
          <xdr:colOff>279400</xdr:colOff>
          <xdr:row>67</xdr:row>
          <xdr:rowOff>44450</xdr:rowOff>
        </xdr:to>
        <xdr:sp>
          <xdr:nvSpPr>
            <xdr:cNvPr id="309254" name="Object 6" hidden="1">
              <a:extLst>
                <a:ext uri="{63B3BB69-23CF-44E3-9099-C40C66FF867C}">
                  <a14:compatExt spid="_x0000_s309254"/>
                </a:ext>
              </a:extLst>
            </xdr:cNvPr>
            <xdr:cNvSpPr/>
          </xdr:nvSpPr>
          <xdr:spPr>
            <a:xfrm>
              <a:off x="684530" y="7808595"/>
              <a:ext cx="215900" cy="212090"/>
            </a:xfrm>
            <a:prstGeom prst="rect">
              <a:avLst/>
            </a:prstGeom>
          </xdr:spPr>
        </xdr:sp>
        <xdr:clientData/>
      </xdr:twoCellAnchor>
    </mc:Choice>
    <mc:Fallback/>
  </mc:AlternateContent>
  <xdr:twoCellAnchor>
    <xdr:from>
      <xdr:col>5</xdr:col>
      <xdr:colOff>636422</xdr:colOff>
      <xdr:row>61</xdr:row>
      <xdr:rowOff>58522</xdr:rowOff>
    </xdr:from>
    <xdr:to>
      <xdr:col>18</xdr:col>
      <xdr:colOff>51206</xdr:colOff>
      <xdr:row>62</xdr:row>
      <xdr:rowOff>87782</xdr:rowOff>
    </xdr:to>
    <xdr:sp>
      <xdr:nvSpPr>
        <xdr:cNvPr id="6271650" name="Freeform 7"/>
        <xdr:cNvSpPr/>
      </xdr:nvSpPr>
      <xdr:spPr>
        <a:xfrm>
          <a:off x="4115435" y="7034530"/>
          <a:ext cx="9819005" cy="20637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57248</xdr:colOff>
      <xdr:row>61</xdr:row>
      <xdr:rowOff>150467</xdr:rowOff>
    </xdr:from>
    <xdr:to>
      <xdr:col>8</xdr:col>
      <xdr:colOff>318051</xdr:colOff>
      <xdr:row>63</xdr:row>
      <xdr:rowOff>101776</xdr:rowOff>
    </xdr:to>
    <xdr:sp>
      <xdr:nvSpPr>
        <xdr:cNvPr id="6" name="Rectangle 8"/>
        <xdr:cNvSpPr>
          <a:spLocks noChangeArrowheads="1"/>
        </xdr:cNvSpPr>
      </xdr:nvSpPr>
      <xdr:spPr>
        <a:xfrm>
          <a:off x="5938520" y="7125970"/>
          <a:ext cx="260350" cy="296545"/>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200" b="1" i="0" u="none" strike="noStrike" baseline="0">
              <a:solidFill>
                <a:srgbClr val="000000"/>
              </a:solidFill>
              <a:latin typeface="Arial" panose="020B0604020202020204"/>
              <a:cs typeface="Arial" panose="020B0604020202020204"/>
            </a:rPr>
            <a:t>F1</a:t>
          </a:r>
          <a:endParaRPr lang="id-ID" sz="1200" b="1" i="0" u="none" strike="noStrike" baseline="0">
            <a:solidFill>
              <a:srgbClr val="000000"/>
            </a:solidFill>
            <a:latin typeface="Arial" panose="020B0604020202020204"/>
            <a:cs typeface="Arial" panose="020B0604020202020204"/>
          </a:endParaRPr>
        </a:p>
      </xdr:txBody>
    </xdr:sp>
    <xdr:clientData/>
  </xdr:twoCellAnchor>
  <mc:AlternateContent xmlns:mc="http://schemas.openxmlformats.org/markup-compatibility/2006">
    <mc:Choice xmlns:a14="http://schemas.microsoft.com/office/drawing/2010/main" Requires="a14">
      <xdr:twoCellAnchor editAs="oneCell">
        <xdr:from>
          <xdr:col>8</xdr:col>
          <xdr:colOff>469900</xdr:colOff>
          <xdr:row>62</xdr:row>
          <xdr:rowOff>6350</xdr:rowOff>
        </xdr:from>
        <xdr:to>
          <xdr:col>8</xdr:col>
          <xdr:colOff>666750</xdr:colOff>
          <xdr:row>63</xdr:row>
          <xdr:rowOff>50800</xdr:rowOff>
        </xdr:to>
        <xdr:sp>
          <xdr:nvSpPr>
            <xdr:cNvPr id="309386" name="Object 138" hidden="1">
              <a:extLst>
                <a:ext uri="{63B3BB69-23CF-44E3-9099-C40C66FF867C}">
                  <a14:compatExt spid="_x0000_s309386"/>
                </a:ext>
              </a:extLst>
            </xdr:cNvPr>
            <xdr:cNvSpPr/>
          </xdr:nvSpPr>
          <xdr:spPr>
            <a:xfrm>
              <a:off x="6351270" y="7159625"/>
              <a:ext cx="196850" cy="212090"/>
            </a:xfrm>
            <a:prstGeom prst="rect">
              <a:avLst/>
            </a:prstGeom>
          </xdr:spPr>
        </xdr:sp>
        <xdr:clientData/>
      </xdr:twoCellAnchor>
    </mc:Choice>
    <mc:Fallback/>
  </mc:AlternateContent>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80467</xdr:colOff>
      <xdr:row>25</xdr:row>
      <xdr:rowOff>95098</xdr:rowOff>
    </xdr:from>
    <xdr:to>
      <xdr:col>1</xdr:col>
      <xdr:colOff>314554</xdr:colOff>
      <xdr:row>26</xdr:row>
      <xdr:rowOff>153619</xdr:rowOff>
    </xdr:to>
    <xdr:pic>
      <xdr:nvPicPr>
        <xdr:cNvPr id="6315332"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07975" y="4333240"/>
          <a:ext cx="234315" cy="226060"/>
        </a:xfrm>
        <a:prstGeom prst="rect">
          <a:avLst/>
        </a:prstGeom>
        <a:solidFill>
          <a:srgbClr val="FFFFFF"/>
        </a:solidFill>
        <a:ln w="9525">
          <a:solidFill>
            <a:srgbClr val="000000"/>
          </a:solidFill>
          <a:miter lim="800000"/>
          <a:headEnd/>
          <a:tailEnd/>
        </a:ln>
      </xdr:spPr>
    </xdr:pic>
    <xdr:clientData/>
  </xdr:twoCellAnchor>
  <xdr:twoCellAnchor>
    <xdr:from>
      <xdr:col>4</xdr:col>
      <xdr:colOff>109728</xdr:colOff>
      <xdr:row>22</xdr:row>
      <xdr:rowOff>21946</xdr:rowOff>
    </xdr:from>
    <xdr:to>
      <xdr:col>19</xdr:col>
      <xdr:colOff>292608</xdr:colOff>
      <xdr:row>23</xdr:row>
      <xdr:rowOff>131674</xdr:rowOff>
    </xdr:to>
    <xdr:sp>
      <xdr:nvSpPr>
        <xdr:cNvPr id="6315333" name="Freeform 7"/>
        <xdr:cNvSpPr/>
      </xdr:nvSpPr>
      <xdr:spPr>
        <a:xfrm>
          <a:off x="3552825" y="3757295"/>
          <a:ext cx="11744960" cy="27749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0</xdr:colOff>
      <xdr:row>23</xdr:row>
      <xdr:rowOff>0</xdr:rowOff>
    </xdr:from>
    <xdr:to>
      <xdr:col>16</xdr:col>
      <xdr:colOff>414954</xdr:colOff>
      <xdr:row>25</xdr:row>
      <xdr:rowOff>0</xdr:rowOff>
    </xdr:to>
    <xdr:sp>
      <xdr:nvSpPr>
        <xdr:cNvPr id="4" name="Rectangle 8"/>
        <xdr:cNvSpPr>
          <a:spLocks noChangeArrowheads="1"/>
        </xdr:cNvSpPr>
      </xdr:nvSpPr>
      <xdr:spPr>
        <a:xfrm>
          <a:off x="8220075" y="3903345"/>
          <a:ext cx="4149725" cy="335280"/>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600" b="1" i="0" u="none" strike="noStrike" baseline="0">
              <a:solidFill>
                <a:srgbClr val="000000"/>
              </a:solidFill>
              <a:latin typeface="Arial" panose="020B0604020202020204"/>
              <a:cs typeface="Arial" panose="020B0604020202020204"/>
            </a:rPr>
            <a:t>F1</a:t>
          </a:r>
          <a:endParaRPr lang="id-ID" sz="16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11</xdr:col>
      <xdr:colOff>512064</xdr:colOff>
      <xdr:row>5</xdr:row>
      <xdr:rowOff>138989</xdr:rowOff>
    </xdr:from>
    <xdr:to>
      <xdr:col>11</xdr:col>
      <xdr:colOff>658368</xdr:colOff>
      <xdr:row>6</xdr:row>
      <xdr:rowOff>131674</xdr:rowOff>
    </xdr:to>
    <xdr:pic>
      <xdr:nvPicPr>
        <xdr:cNvPr id="6315335"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731885" y="976630"/>
          <a:ext cx="146050" cy="16065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82550</xdr:colOff>
          <xdr:row>28</xdr:row>
          <xdr:rowOff>19050</xdr:rowOff>
        </xdr:from>
        <xdr:to>
          <xdr:col>1</xdr:col>
          <xdr:colOff>292100</xdr:colOff>
          <xdr:row>29</xdr:row>
          <xdr:rowOff>63500</xdr:rowOff>
        </xdr:to>
        <xdr:sp>
          <xdr:nvSpPr>
            <xdr:cNvPr id="1599489" name="Object 1" hidden="1">
              <a:extLst>
                <a:ext uri="{63B3BB69-23CF-44E3-9099-C40C66FF867C}">
                  <a14:compatExt spid="_x0000_s1599489"/>
                </a:ext>
              </a:extLst>
            </xdr:cNvPr>
            <xdr:cNvSpPr/>
          </xdr:nvSpPr>
          <xdr:spPr>
            <a:xfrm>
              <a:off x="310515" y="4760595"/>
              <a:ext cx="209550" cy="2120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82550</xdr:colOff>
          <xdr:row>26</xdr:row>
          <xdr:rowOff>146050</xdr:rowOff>
        </xdr:from>
        <xdr:to>
          <xdr:col>1</xdr:col>
          <xdr:colOff>298450</xdr:colOff>
          <xdr:row>28</xdr:row>
          <xdr:rowOff>38100</xdr:rowOff>
        </xdr:to>
        <xdr:sp>
          <xdr:nvSpPr>
            <xdr:cNvPr id="1599490" name="Object 2" hidden="1">
              <a:extLst>
                <a:ext uri="{63B3BB69-23CF-44E3-9099-C40C66FF867C}">
                  <a14:compatExt spid="_x0000_s1599490"/>
                </a:ext>
              </a:extLst>
            </xdr:cNvPr>
            <xdr:cNvSpPr/>
          </xdr:nvSpPr>
          <xdr:spPr>
            <a:xfrm>
              <a:off x="310515" y="4552315"/>
              <a:ext cx="215900" cy="22733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527050</xdr:colOff>
          <xdr:row>5</xdr:row>
          <xdr:rowOff>133350</xdr:rowOff>
        </xdr:from>
        <xdr:to>
          <xdr:col>17</xdr:col>
          <xdr:colOff>711200</xdr:colOff>
          <xdr:row>6</xdr:row>
          <xdr:rowOff>146050</xdr:rowOff>
        </xdr:to>
        <xdr:sp>
          <xdr:nvSpPr>
            <xdr:cNvPr id="1599491" name="Object 3" hidden="1">
              <a:extLst>
                <a:ext uri="{63B3BB69-23CF-44E3-9099-C40C66FF867C}">
                  <a14:compatExt spid="_x0000_s1599491"/>
                </a:ext>
              </a:extLst>
            </xdr:cNvPr>
            <xdr:cNvSpPr/>
          </xdr:nvSpPr>
          <xdr:spPr>
            <a:xfrm>
              <a:off x="13514070" y="971550"/>
              <a:ext cx="184150" cy="1803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774700</xdr:colOff>
          <xdr:row>23</xdr:row>
          <xdr:rowOff>19050</xdr:rowOff>
        </xdr:from>
        <xdr:to>
          <xdr:col>9</xdr:col>
          <xdr:colOff>0</xdr:colOff>
          <xdr:row>25</xdr:row>
          <xdr:rowOff>12700</xdr:rowOff>
        </xdr:to>
        <xdr:sp>
          <xdr:nvSpPr>
            <xdr:cNvPr id="1599492" name="Object 4" hidden="1">
              <a:extLst>
                <a:ext uri="{63B3BB69-23CF-44E3-9099-C40C66FF867C}">
                  <a14:compatExt spid="_x0000_s1599492"/>
                </a:ext>
              </a:extLst>
            </xdr:cNvPr>
            <xdr:cNvSpPr/>
          </xdr:nvSpPr>
          <xdr:spPr>
            <a:xfrm>
              <a:off x="6674485" y="3922395"/>
              <a:ext cx="220980" cy="328930"/>
            </a:xfrm>
            <a:prstGeom prst="rect">
              <a:avLst/>
            </a:prstGeom>
          </xdr:spPr>
        </xdr:sp>
        <xdr:clientData/>
      </xdr:twoCellAnchor>
    </mc:Choice>
    <mc:Fallback/>
  </mc:AlternateContent>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146304</xdr:colOff>
      <xdr:row>24</xdr:row>
      <xdr:rowOff>0</xdr:rowOff>
    </xdr:from>
    <xdr:to>
      <xdr:col>1</xdr:col>
      <xdr:colOff>292608</xdr:colOff>
      <xdr:row>24</xdr:row>
      <xdr:rowOff>146304</xdr:rowOff>
    </xdr:to>
    <xdr:pic>
      <xdr:nvPicPr>
        <xdr:cNvPr id="6316356"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37820" y="4276725"/>
          <a:ext cx="146050" cy="146050"/>
        </a:xfrm>
        <a:prstGeom prst="rect">
          <a:avLst/>
        </a:prstGeom>
        <a:solidFill>
          <a:srgbClr val="FFFFFF"/>
        </a:solidFill>
        <a:ln w="9525">
          <a:solidFill>
            <a:srgbClr val="000000"/>
          </a:solidFill>
          <a:miter lim="800000"/>
          <a:headEnd/>
          <a:tailEnd/>
        </a:ln>
      </xdr:spPr>
    </xdr:pic>
    <xdr:clientData/>
  </xdr:twoCellAnchor>
  <xdr:twoCellAnchor>
    <xdr:from>
      <xdr:col>8</xdr:col>
      <xdr:colOff>109728</xdr:colOff>
      <xdr:row>20</xdr:row>
      <xdr:rowOff>21946</xdr:rowOff>
    </xdr:from>
    <xdr:to>
      <xdr:col>17</xdr:col>
      <xdr:colOff>292608</xdr:colOff>
      <xdr:row>21</xdr:row>
      <xdr:rowOff>131674</xdr:rowOff>
    </xdr:to>
    <xdr:sp>
      <xdr:nvSpPr>
        <xdr:cNvPr id="6316357" name="Freeform 7"/>
        <xdr:cNvSpPr/>
      </xdr:nvSpPr>
      <xdr:spPr>
        <a:xfrm>
          <a:off x="5415915" y="3627755"/>
          <a:ext cx="7872730" cy="27749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0</xdr:colOff>
      <xdr:row>21</xdr:row>
      <xdr:rowOff>0</xdr:rowOff>
    </xdr:from>
    <xdr:to>
      <xdr:col>14</xdr:col>
      <xdr:colOff>415143</xdr:colOff>
      <xdr:row>22</xdr:row>
      <xdr:rowOff>85524</xdr:rowOff>
    </xdr:to>
    <xdr:sp>
      <xdr:nvSpPr>
        <xdr:cNvPr id="4" name="Rectangle 8"/>
        <xdr:cNvSpPr>
          <a:spLocks noChangeArrowheads="1"/>
        </xdr:cNvSpPr>
      </xdr:nvSpPr>
      <xdr:spPr>
        <a:xfrm>
          <a:off x="6183630" y="3773805"/>
          <a:ext cx="4104005" cy="252730"/>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600" b="1" i="0" u="none" strike="noStrike" baseline="0">
              <a:solidFill>
                <a:srgbClr val="000000"/>
              </a:solidFill>
              <a:latin typeface="Arial" panose="020B0604020202020204"/>
              <a:cs typeface="Arial" panose="020B0604020202020204"/>
            </a:rPr>
            <a:t>F1</a:t>
          </a:r>
          <a:endParaRPr lang="id-ID" sz="16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9</xdr:col>
      <xdr:colOff>512064</xdr:colOff>
      <xdr:row>6</xdr:row>
      <xdr:rowOff>138989</xdr:rowOff>
    </xdr:from>
    <xdr:to>
      <xdr:col>9</xdr:col>
      <xdr:colOff>665683</xdr:colOff>
      <xdr:row>7</xdr:row>
      <xdr:rowOff>131674</xdr:rowOff>
    </xdr:to>
    <xdr:pic>
      <xdr:nvPicPr>
        <xdr:cNvPr id="6316359"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695440" y="1273810"/>
          <a:ext cx="153670" cy="16065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146050</xdr:colOff>
          <xdr:row>27</xdr:row>
          <xdr:rowOff>158750</xdr:rowOff>
        </xdr:from>
        <xdr:to>
          <xdr:col>1</xdr:col>
          <xdr:colOff>298450</xdr:colOff>
          <xdr:row>28</xdr:row>
          <xdr:rowOff>146050</xdr:rowOff>
        </xdr:to>
        <xdr:sp>
          <xdr:nvSpPr>
            <xdr:cNvPr id="2516993" name="Object 1" hidden="1">
              <a:extLst>
                <a:ext uri="{63B3BB69-23CF-44E3-9099-C40C66FF867C}">
                  <a14:compatExt spid="_x0000_s2516993"/>
                </a:ext>
              </a:extLst>
            </xdr:cNvPr>
            <xdr:cNvSpPr/>
          </xdr:nvSpPr>
          <xdr:spPr>
            <a:xfrm>
              <a:off x="337820" y="4938395"/>
              <a:ext cx="152400" cy="1549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26</xdr:row>
          <xdr:rowOff>12700</xdr:rowOff>
        </xdr:from>
        <xdr:to>
          <xdr:col>1</xdr:col>
          <xdr:colOff>292100</xdr:colOff>
          <xdr:row>27</xdr:row>
          <xdr:rowOff>12700</xdr:rowOff>
        </xdr:to>
        <xdr:sp>
          <xdr:nvSpPr>
            <xdr:cNvPr id="2516994" name="Object 2" hidden="1">
              <a:extLst>
                <a:ext uri="{63B3BB69-23CF-44E3-9099-C40C66FF867C}">
                  <a14:compatExt spid="_x0000_s2516994"/>
                </a:ext>
              </a:extLst>
            </xdr:cNvPr>
            <xdr:cNvSpPr/>
          </xdr:nvSpPr>
          <xdr:spPr>
            <a:xfrm>
              <a:off x="337820" y="4624705"/>
              <a:ext cx="146050" cy="1676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527050</xdr:colOff>
          <xdr:row>6</xdr:row>
          <xdr:rowOff>133350</xdr:rowOff>
        </xdr:from>
        <xdr:to>
          <xdr:col>15</xdr:col>
          <xdr:colOff>711200</xdr:colOff>
          <xdr:row>7</xdr:row>
          <xdr:rowOff>146050</xdr:rowOff>
        </xdr:to>
        <xdr:sp>
          <xdr:nvSpPr>
            <xdr:cNvPr id="2516995" name="Object 3" hidden="1">
              <a:extLst>
                <a:ext uri="{63B3BB69-23CF-44E3-9099-C40C66FF867C}">
                  <a14:compatExt spid="_x0000_s2516995"/>
                </a:ext>
              </a:extLst>
            </xdr:cNvPr>
            <xdr:cNvSpPr/>
          </xdr:nvSpPr>
          <xdr:spPr>
            <a:xfrm>
              <a:off x="11504930" y="1268730"/>
              <a:ext cx="184150" cy="1803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101600</xdr:colOff>
          <xdr:row>20</xdr:row>
          <xdr:rowOff>139700</xdr:rowOff>
        </xdr:from>
        <xdr:to>
          <xdr:col>11</xdr:col>
          <xdr:colOff>101600</xdr:colOff>
          <xdr:row>22</xdr:row>
          <xdr:rowOff>133350</xdr:rowOff>
        </xdr:to>
        <xdr:sp>
          <xdr:nvSpPr>
            <xdr:cNvPr id="2516996" name="Object 4" hidden="1">
              <a:extLst>
                <a:ext uri="{63B3BB69-23CF-44E3-9099-C40C66FF867C}">
                  <a14:compatExt spid="_x0000_s2516996"/>
                </a:ext>
              </a:extLst>
            </xdr:cNvPr>
            <xdr:cNvSpPr/>
          </xdr:nvSpPr>
          <xdr:spPr>
            <a:xfrm>
              <a:off x="7408545" y="3745865"/>
              <a:ext cx="292100" cy="328930"/>
            </a:xfrm>
            <a:prstGeom prst="rect">
              <a:avLst/>
            </a:prstGeom>
          </xdr:spPr>
        </xdr:sp>
        <xdr:clientData/>
      </xdr:twoCellAnchor>
    </mc:Choice>
    <mc:Fallback/>
  </mc:AlternateContent>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146304</xdr:colOff>
      <xdr:row>34</xdr:row>
      <xdr:rowOff>0</xdr:rowOff>
    </xdr:from>
    <xdr:to>
      <xdr:col>2</xdr:col>
      <xdr:colOff>299923</xdr:colOff>
      <xdr:row>34</xdr:row>
      <xdr:rowOff>146304</xdr:rowOff>
    </xdr:to>
    <xdr:pic>
      <xdr:nvPicPr>
        <xdr:cNvPr id="6324348"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57225" y="5734050"/>
          <a:ext cx="153670" cy="146050"/>
        </a:xfrm>
        <a:prstGeom prst="rect">
          <a:avLst/>
        </a:prstGeom>
        <a:solidFill>
          <a:srgbClr val="FFFFFF"/>
        </a:solidFill>
        <a:ln w="9525">
          <a:solidFill>
            <a:srgbClr val="000000"/>
          </a:solidFill>
          <a:miter lim="800000"/>
          <a:headEnd/>
          <a:tailEnd/>
        </a:ln>
      </xdr:spPr>
    </xdr:pic>
    <xdr:clientData/>
  </xdr:twoCellAnchor>
  <xdr:twoCellAnchor>
    <xdr:from>
      <xdr:col>5</xdr:col>
      <xdr:colOff>315117</xdr:colOff>
      <xdr:row>29</xdr:row>
      <xdr:rowOff>123796</xdr:rowOff>
    </xdr:from>
    <xdr:to>
      <xdr:col>17</xdr:col>
      <xdr:colOff>905960</xdr:colOff>
      <xdr:row>31</xdr:row>
      <xdr:rowOff>114793</xdr:rowOff>
    </xdr:to>
    <xdr:sp>
      <xdr:nvSpPr>
        <xdr:cNvPr id="6324349" name="Freeform 7"/>
        <xdr:cNvSpPr/>
      </xdr:nvSpPr>
      <xdr:spPr>
        <a:xfrm>
          <a:off x="4497705" y="5009515"/>
          <a:ext cx="10317480" cy="33591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315117</xdr:colOff>
      <xdr:row>31</xdr:row>
      <xdr:rowOff>0</xdr:rowOff>
    </xdr:from>
    <xdr:to>
      <xdr:col>15</xdr:col>
      <xdr:colOff>10478</xdr:colOff>
      <xdr:row>32</xdr:row>
      <xdr:rowOff>50645</xdr:rowOff>
    </xdr:to>
    <xdr:sp>
      <xdr:nvSpPr>
        <xdr:cNvPr id="4" name="Rectangle 8"/>
        <xdr:cNvSpPr>
          <a:spLocks noChangeArrowheads="1"/>
        </xdr:cNvSpPr>
      </xdr:nvSpPr>
      <xdr:spPr>
        <a:xfrm>
          <a:off x="8270240" y="5231130"/>
          <a:ext cx="4206875" cy="217805"/>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200" b="1" i="0" u="none" strike="noStrike" baseline="0">
              <a:solidFill>
                <a:srgbClr val="000000"/>
              </a:solidFill>
              <a:latin typeface="Arial" panose="020B0604020202020204"/>
              <a:cs typeface="Arial" panose="020B0604020202020204"/>
            </a:rPr>
            <a:t>F1</a:t>
          </a:r>
          <a:endParaRPr lang="id-ID" sz="12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11</xdr:col>
      <xdr:colOff>512064</xdr:colOff>
      <xdr:row>6</xdr:row>
      <xdr:rowOff>138989</xdr:rowOff>
    </xdr:from>
    <xdr:to>
      <xdr:col>11</xdr:col>
      <xdr:colOff>665683</xdr:colOff>
      <xdr:row>7</xdr:row>
      <xdr:rowOff>117958</xdr:rowOff>
    </xdr:to>
    <xdr:pic>
      <xdr:nvPicPr>
        <xdr:cNvPr id="6324351"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9462770" y="1151890"/>
          <a:ext cx="153670" cy="15430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xdr:col>
          <xdr:colOff>152400</xdr:colOff>
          <xdr:row>36</xdr:row>
          <xdr:rowOff>0</xdr:rowOff>
        </xdr:from>
        <xdr:to>
          <xdr:col>2</xdr:col>
          <xdr:colOff>298450</xdr:colOff>
          <xdr:row>36</xdr:row>
          <xdr:rowOff>146050</xdr:rowOff>
        </xdr:to>
        <xdr:sp>
          <xdr:nvSpPr>
            <xdr:cNvPr id="775169" name="Object 1" hidden="1">
              <a:extLst>
                <a:ext uri="{63B3BB69-23CF-44E3-9099-C40C66FF867C}">
                  <a14:compatExt spid="_x0000_s775169"/>
                </a:ext>
              </a:extLst>
            </xdr:cNvPr>
            <xdr:cNvSpPr/>
          </xdr:nvSpPr>
          <xdr:spPr>
            <a:xfrm>
              <a:off x="663575" y="6069330"/>
              <a:ext cx="146050" cy="1460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146050</xdr:colOff>
          <xdr:row>35</xdr:row>
          <xdr:rowOff>12700</xdr:rowOff>
        </xdr:from>
        <xdr:to>
          <xdr:col>2</xdr:col>
          <xdr:colOff>292100</xdr:colOff>
          <xdr:row>36</xdr:row>
          <xdr:rowOff>12700</xdr:rowOff>
        </xdr:to>
        <xdr:sp>
          <xdr:nvSpPr>
            <xdr:cNvPr id="775170" name="Object 2" hidden="1">
              <a:extLst>
                <a:ext uri="{63B3BB69-23CF-44E3-9099-C40C66FF867C}">
                  <a14:compatExt spid="_x0000_s775170"/>
                </a:ext>
              </a:extLst>
            </xdr:cNvPr>
            <xdr:cNvSpPr/>
          </xdr:nvSpPr>
          <xdr:spPr>
            <a:xfrm>
              <a:off x="657225" y="5914390"/>
              <a:ext cx="146050" cy="1676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527050</xdr:colOff>
          <xdr:row>6</xdr:row>
          <xdr:rowOff>139700</xdr:rowOff>
        </xdr:from>
        <xdr:to>
          <xdr:col>17</xdr:col>
          <xdr:colOff>717550</xdr:colOff>
          <xdr:row>7</xdr:row>
          <xdr:rowOff>133350</xdr:rowOff>
        </xdr:to>
        <xdr:sp>
          <xdr:nvSpPr>
            <xdr:cNvPr id="775171" name="Object 3" hidden="1">
              <a:extLst>
                <a:ext uri="{63B3BB69-23CF-44E3-9099-C40C66FF867C}">
                  <a14:compatExt spid="_x0000_s775171"/>
                </a:ext>
              </a:extLst>
            </xdr:cNvPr>
            <xdr:cNvSpPr/>
          </xdr:nvSpPr>
          <xdr:spPr>
            <a:xfrm>
              <a:off x="14436725" y="1153160"/>
              <a:ext cx="190500" cy="16891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596900</xdr:colOff>
          <xdr:row>31</xdr:row>
          <xdr:rowOff>44450</xdr:rowOff>
        </xdr:from>
        <xdr:to>
          <xdr:col>8</xdr:col>
          <xdr:colOff>793750</xdr:colOff>
          <xdr:row>32</xdr:row>
          <xdr:rowOff>82550</xdr:rowOff>
        </xdr:to>
        <xdr:sp>
          <xdr:nvSpPr>
            <xdr:cNvPr id="775172" name="Object 4" hidden="1">
              <a:extLst>
                <a:ext uri="{63B3BB69-23CF-44E3-9099-C40C66FF867C}">
                  <a14:compatExt spid="_x0000_s775172"/>
                </a:ext>
              </a:extLst>
            </xdr:cNvPr>
            <xdr:cNvSpPr/>
          </xdr:nvSpPr>
          <xdr:spPr>
            <a:xfrm>
              <a:off x="7127240" y="5275580"/>
              <a:ext cx="196850" cy="205740"/>
            </a:xfrm>
            <a:prstGeom prst="rect">
              <a:avLst/>
            </a:prstGeom>
          </xdr:spPr>
        </xdr:sp>
        <xdr:clientData/>
      </xdr:twoCellAnchor>
    </mc:Choice>
    <mc:Fallback/>
  </mc:AlternateContent>
  <xdr:twoCellAnchor editAs="oneCell">
    <xdr:from>
      <xdr:col>12</xdr:col>
      <xdr:colOff>512064</xdr:colOff>
      <xdr:row>6</xdr:row>
      <xdr:rowOff>138989</xdr:rowOff>
    </xdr:from>
    <xdr:to>
      <xdr:col>13</xdr:col>
      <xdr:colOff>152247</xdr:colOff>
      <xdr:row>7</xdr:row>
      <xdr:rowOff>117958</xdr:rowOff>
    </xdr:to>
    <xdr:pic>
      <xdr:nvPicPr>
        <xdr:cNvPr id="6324352"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0366375" y="1151890"/>
          <a:ext cx="151765" cy="15430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21</xdr:col>
          <xdr:colOff>527050</xdr:colOff>
          <xdr:row>6</xdr:row>
          <xdr:rowOff>139700</xdr:rowOff>
        </xdr:from>
        <xdr:to>
          <xdr:col>21</xdr:col>
          <xdr:colOff>717550</xdr:colOff>
          <xdr:row>7</xdr:row>
          <xdr:rowOff>133350</xdr:rowOff>
        </xdr:to>
        <xdr:sp>
          <xdr:nvSpPr>
            <xdr:cNvPr id="6229128" name="Object 2184" hidden="1">
              <a:extLst>
                <a:ext uri="{63B3BB69-23CF-44E3-9099-C40C66FF867C}">
                  <a14:compatExt spid="_x0000_s6229128"/>
                </a:ext>
              </a:extLst>
            </xdr:cNvPr>
            <xdr:cNvSpPr/>
          </xdr:nvSpPr>
          <xdr:spPr>
            <a:xfrm>
              <a:off x="18528665" y="1153160"/>
              <a:ext cx="190500" cy="168910"/>
            </a:xfrm>
            <a:prstGeom prst="rect">
              <a:avLst/>
            </a:prstGeom>
          </xdr:spPr>
        </xdr:sp>
        <xdr:clientData/>
      </xdr:twoCellAnchor>
    </mc:Choice>
    <mc:Fallback/>
  </mc:AlternateContent>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146304</xdr:colOff>
      <xdr:row>23</xdr:row>
      <xdr:rowOff>0</xdr:rowOff>
    </xdr:from>
    <xdr:to>
      <xdr:col>1</xdr:col>
      <xdr:colOff>292608</xdr:colOff>
      <xdr:row>23</xdr:row>
      <xdr:rowOff>146304</xdr:rowOff>
    </xdr:to>
    <xdr:pic>
      <xdr:nvPicPr>
        <xdr:cNvPr id="6317380"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37820" y="4032885"/>
          <a:ext cx="146050" cy="146050"/>
        </a:xfrm>
        <a:prstGeom prst="rect">
          <a:avLst/>
        </a:prstGeom>
        <a:solidFill>
          <a:srgbClr val="FFFFFF"/>
        </a:solidFill>
        <a:ln w="9525">
          <a:solidFill>
            <a:srgbClr val="000000"/>
          </a:solidFill>
          <a:miter lim="800000"/>
          <a:headEnd/>
          <a:tailEnd/>
        </a:ln>
      </xdr:spPr>
    </xdr:pic>
    <xdr:clientData/>
  </xdr:twoCellAnchor>
  <xdr:twoCellAnchor>
    <xdr:from>
      <xdr:col>3</xdr:col>
      <xdr:colOff>109728</xdr:colOff>
      <xdr:row>19</xdr:row>
      <xdr:rowOff>21946</xdr:rowOff>
    </xdr:from>
    <xdr:to>
      <xdr:col>18</xdr:col>
      <xdr:colOff>292608</xdr:colOff>
      <xdr:row>20</xdr:row>
      <xdr:rowOff>131674</xdr:rowOff>
    </xdr:to>
    <xdr:sp>
      <xdr:nvSpPr>
        <xdr:cNvPr id="6317381" name="Freeform 7"/>
        <xdr:cNvSpPr/>
      </xdr:nvSpPr>
      <xdr:spPr>
        <a:xfrm>
          <a:off x="3781425" y="3383915"/>
          <a:ext cx="12037695" cy="27749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444616</xdr:colOff>
      <xdr:row>20</xdr:row>
      <xdr:rowOff>0</xdr:rowOff>
    </xdr:from>
    <xdr:to>
      <xdr:col>15</xdr:col>
      <xdr:colOff>423436</xdr:colOff>
      <xdr:row>21</xdr:row>
      <xdr:rowOff>88900</xdr:rowOff>
    </xdr:to>
    <xdr:sp>
      <xdr:nvSpPr>
        <xdr:cNvPr id="4" name="Rectangle 8"/>
        <xdr:cNvSpPr>
          <a:spLocks noChangeArrowheads="1"/>
        </xdr:cNvSpPr>
      </xdr:nvSpPr>
      <xdr:spPr>
        <a:xfrm>
          <a:off x="11459845" y="3529965"/>
          <a:ext cx="1366520" cy="256540"/>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id-ID" sz="1600" b="1" i="0" u="none" strike="noStrike" baseline="0">
              <a:solidFill>
                <a:srgbClr val="000000"/>
              </a:solidFill>
              <a:latin typeface="Arial" panose="020B0604020202020204"/>
              <a:cs typeface="Arial" panose="020B0604020202020204"/>
            </a:rPr>
            <a:t>F1</a:t>
          </a:r>
          <a:endParaRPr lang="id-ID" sz="16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10</xdr:col>
      <xdr:colOff>512064</xdr:colOff>
      <xdr:row>6</xdr:row>
      <xdr:rowOff>138989</xdr:rowOff>
    </xdr:from>
    <xdr:to>
      <xdr:col>10</xdr:col>
      <xdr:colOff>672998</xdr:colOff>
      <xdr:row>7</xdr:row>
      <xdr:rowOff>131674</xdr:rowOff>
    </xdr:to>
    <xdr:pic>
      <xdr:nvPicPr>
        <xdr:cNvPr id="6317383"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9061450" y="1273810"/>
          <a:ext cx="160655" cy="160655"/>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146050</xdr:colOff>
          <xdr:row>26</xdr:row>
          <xdr:rowOff>158750</xdr:rowOff>
        </xdr:from>
        <xdr:to>
          <xdr:col>1</xdr:col>
          <xdr:colOff>298450</xdr:colOff>
          <xdr:row>27</xdr:row>
          <xdr:rowOff>146050</xdr:rowOff>
        </xdr:to>
        <xdr:sp>
          <xdr:nvSpPr>
            <xdr:cNvPr id="2514945" name="Object 1" hidden="1">
              <a:extLst>
                <a:ext uri="{63B3BB69-23CF-44E3-9099-C40C66FF867C}">
                  <a14:compatExt spid="_x0000_s2514945"/>
                </a:ext>
              </a:extLst>
            </xdr:cNvPr>
            <xdr:cNvSpPr/>
          </xdr:nvSpPr>
          <xdr:spPr>
            <a:xfrm>
              <a:off x="337820" y="4694555"/>
              <a:ext cx="152400" cy="1549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25</xdr:row>
          <xdr:rowOff>12700</xdr:rowOff>
        </xdr:from>
        <xdr:to>
          <xdr:col>1</xdr:col>
          <xdr:colOff>292100</xdr:colOff>
          <xdr:row>26</xdr:row>
          <xdr:rowOff>12700</xdr:rowOff>
        </xdr:to>
        <xdr:sp>
          <xdr:nvSpPr>
            <xdr:cNvPr id="2514946" name="Object 2" hidden="1">
              <a:extLst>
                <a:ext uri="{63B3BB69-23CF-44E3-9099-C40C66FF867C}">
                  <a14:compatExt spid="_x0000_s2514946"/>
                </a:ext>
              </a:extLst>
            </xdr:cNvPr>
            <xdr:cNvSpPr/>
          </xdr:nvSpPr>
          <xdr:spPr>
            <a:xfrm>
              <a:off x="337820" y="4380865"/>
              <a:ext cx="146050" cy="1676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539750</xdr:colOff>
          <xdr:row>6</xdr:row>
          <xdr:rowOff>133350</xdr:rowOff>
        </xdr:from>
        <xdr:to>
          <xdr:col>16</xdr:col>
          <xdr:colOff>723900</xdr:colOff>
          <xdr:row>7</xdr:row>
          <xdr:rowOff>146050</xdr:rowOff>
        </xdr:to>
        <xdr:sp>
          <xdr:nvSpPr>
            <xdr:cNvPr id="2514947" name="Object 3" hidden="1">
              <a:extLst>
                <a:ext uri="{63B3BB69-23CF-44E3-9099-C40C66FF867C}">
                  <a14:compatExt spid="_x0000_s2514947"/>
                </a:ext>
              </a:extLst>
            </xdr:cNvPr>
            <xdr:cNvSpPr/>
          </xdr:nvSpPr>
          <xdr:spPr>
            <a:xfrm>
              <a:off x="14048105" y="1268730"/>
              <a:ext cx="184150" cy="1803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19</xdr:row>
          <xdr:rowOff>158750</xdr:rowOff>
        </xdr:from>
        <xdr:to>
          <xdr:col>10</xdr:col>
          <xdr:colOff>222250</xdr:colOff>
          <xdr:row>21</xdr:row>
          <xdr:rowOff>44450</xdr:rowOff>
        </xdr:to>
        <xdr:sp>
          <xdr:nvSpPr>
            <xdr:cNvPr id="2514948" name="Object 4" hidden="1">
              <a:extLst>
                <a:ext uri="{63B3BB69-23CF-44E3-9099-C40C66FF867C}">
                  <a14:compatExt spid="_x0000_s2514948"/>
                </a:ext>
              </a:extLst>
            </xdr:cNvPr>
            <xdr:cNvSpPr/>
          </xdr:nvSpPr>
          <xdr:spPr>
            <a:xfrm>
              <a:off x="8549640" y="3521075"/>
              <a:ext cx="222250" cy="220980"/>
            </a:xfrm>
            <a:prstGeom prst="rect">
              <a:avLst/>
            </a:prstGeom>
          </xdr:spPr>
        </xdr:sp>
        <xdr:clientData/>
      </xdr:twoCellAnchor>
    </mc:Choice>
    <mc:Fallback/>
  </mc:AlternateContent>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7</xdr:col>
      <xdr:colOff>131674</xdr:colOff>
      <xdr:row>29</xdr:row>
      <xdr:rowOff>43891</xdr:rowOff>
    </xdr:from>
    <xdr:to>
      <xdr:col>16</xdr:col>
      <xdr:colOff>256032</xdr:colOff>
      <xdr:row>31</xdr:row>
      <xdr:rowOff>87782</xdr:rowOff>
    </xdr:to>
    <xdr:sp>
      <xdr:nvSpPr>
        <xdr:cNvPr id="6276083" name="Freeform 1"/>
        <xdr:cNvSpPr/>
      </xdr:nvSpPr>
      <xdr:spPr>
        <a:xfrm>
          <a:off x="5728970" y="4982210"/>
          <a:ext cx="7814310" cy="37909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0</xdr:colOff>
      <xdr:row>30</xdr:row>
      <xdr:rowOff>124356</xdr:rowOff>
    </xdr:from>
    <xdr:to>
      <xdr:col>15</xdr:col>
      <xdr:colOff>184116</xdr:colOff>
      <xdr:row>31</xdr:row>
      <xdr:rowOff>138446</xdr:rowOff>
    </xdr:to>
    <xdr:sp>
      <xdr:nvSpPr>
        <xdr:cNvPr id="3" name="Rectangle 2"/>
        <xdr:cNvSpPr>
          <a:spLocks noChangeArrowheads="1"/>
        </xdr:cNvSpPr>
      </xdr:nvSpPr>
      <xdr:spPr>
        <a:xfrm>
          <a:off x="8602345" y="5229860"/>
          <a:ext cx="3872865" cy="182245"/>
        </a:xfrm>
        <a:prstGeom prst="rect">
          <a:avLst/>
        </a:prstGeom>
        <a:solidFill>
          <a:srgbClr val="FFFFFF"/>
        </a:solidFill>
        <a:ln w="9525">
          <a:solidFill>
            <a:srgbClr val="000000"/>
          </a:solidFill>
          <a:miter lim="800000"/>
        </a:ln>
      </xdr:spPr>
      <xdr:txBody>
        <a:bodyPr vertOverflow="clip" wrap="square" lIns="36576" tIns="32004" rIns="36576" bIns="0" anchor="ctr" upright="1"/>
        <a:lstStyle/>
        <a:p>
          <a:pPr algn="ctr" rtl="0">
            <a:defRPr sz="1000"/>
          </a:pPr>
          <a:r>
            <a:rPr lang="id-ID" sz="1300" b="1" i="0" u="none" strike="noStrike" baseline="0">
              <a:solidFill>
                <a:srgbClr val="000000"/>
              </a:solidFill>
              <a:latin typeface="Arial" panose="020B0604020202020204"/>
              <a:cs typeface="Arial" panose="020B0604020202020204"/>
            </a:rPr>
            <a:t>F3</a:t>
          </a:r>
          <a:endParaRPr lang="id-ID" sz="1300" b="1" i="0" u="none" strike="noStrike" baseline="0">
            <a:solidFill>
              <a:srgbClr val="000000"/>
            </a:solidFill>
            <a:latin typeface="Arial" panose="020B0604020202020204"/>
            <a:cs typeface="Arial" panose="020B0604020202020204"/>
          </a:endParaRPr>
        </a:p>
      </xdr:txBody>
    </xdr:sp>
    <xdr:clientData/>
  </xdr:twoCellAnchor>
  <xdr:twoCellAnchor editAs="oneCell">
    <xdr:from>
      <xdr:col>10</xdr:col>
      <xdr:colOff>526694</xdr:colOff>
      <xdr:row>29</xdr:row>
      <xdr:rowOff>80467</xdr:rowOff>
    </xdr:from>
    <xdr:to>
      <xdr:col>10</xdr:col>
      <xdr:colOff>672998</xdr:colOff>
      <xdr:row>30</xdr:row>
      <xdr:rowOff>80469</xdr:rowOff>
    </xdr:to>
    <xdr:pic>
      <xdr:nvPicPr>
        <xdr:cNvPr id="6276085" name="Picture 11"/>
        <xdr:cNvPicPr>
          <a:picLocks noChangeAspect="1" noChangeArrowheads="1"/>
        </xdr:cNvPicPr>
      </xdr:nvPicPr>
      <xdr:blipFill>
        <a:blip r:embed="rId1">
          <a:biLevel thresh="50000"/>
          <a:grayscl/>
          <a:extLst>
            <a:ext uri="{28A0092B-C50C-407E-A947-70E740481C1C}">
              <a14:useLocalDpi xmlns:a14="http://schemas.microsoft.com/office/drawing/2010/main" val="0"/>
            </a:ext>
          </a:extLst>
        </a:blip>
        <a:srcRect/>
        <a:stretch>
          <a:fillRect/>
        </a:stretch>
      </xdr:blipFill>
      <xdr:spPr>
        <a:xfrm>
          <a:off x="9128760" y="5018405"/>
          <a:ext cx="146050" cy="167640"/>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xdr:col>
          <xdr:colOff>152400</xdr:colOff>
          <xdr:row>35</xdr:row>
          <xdr:rowOff>12700</xdr:rowOff>
        </xdr:from>
        <xdr:to>
          <xdr:col>2</xdr:col>
          <xdr:colOff>82550</xdr:colOff>
          <xdr:row>36</xdr:row>
          <xdr:rowOff>0</xdr:rowOff>
        </xdr:to>
        <xdr:sp>
          <xdr:nvSpPr>
            <xdr:cNvPr id="3089409" name="Object 1" hidden="1">
              <a:extLst>
                <a:ext uri="{63B3BB69-23CF-44E3-9099-C40C66FF867C}">
                  <a14:compatExt spid="_x0000_s3089409"/>
                </a:ext>
              </a:extLst>
            </xdr:cNvPr>
            <xdr:cNvSpPr/>
          </xdr:nvSpPr>
          <xdr:spPr>
            <a:xfrm>
              <a:off x="325755" y="5956935"/>
              <a:ext cx="158115" cy="1549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165100</xdr:colOff>
          <xdr:row>33</xdr:row>
          <xdr:rowOff>146050</xdr:rowOff>
        </xdr:from>
        <xdr:to>
          <xdr:col>2</xdr:col>
          <xdr:colOff>82550</xdr:colOff>
          <xdr:row>34</xdr:row>
          <xdr:rowOff>139700</xdr:rowOff>
        </xdr:to>
        <xdr:sp>
          <xdr:nvSpPr>
            <xdr:cNvPr id="3089410" name="Object 2" hidden="1">
              <a:extLst>
                <a:ext uri="{63B3BB69-23CF-44E3-9099-C40C66FF867C}">
                  <a14:compatExt spid="_x0000_s3089410"/>
                </a:ext>
              </a:extLst>
            </xdr:cNvPr>
            <xdr:cNvSpPr/>
          </xdr:nvSpPr>
          <xdr:spPr>
            <a:xfrm>
              <a:off x="338455" y="5755005"/>
              <a:ext cx="145415" cy="1612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165100</xdr:colOff>
          <xdr:row>36</xdr:row>
          <xdr:rowOff>19050</xdr:rowOff>
        </xdr:from>
        <xdr:to>
          <xdr:col>2</xdr:col>
          <xdr:colOff>63500</xdr:colOff>
          <xdr:row>37</xdr:row>
          <xdr:rowOff>0</xdr:rowOff>
        </xdr:to>
        <xdr:sp>
          <xdr:nvSpPr>
            <xdr:cNvPr id="3089411" name="Object 3" hidden="1">
              <a:extLst>
                <a:ext uri="{63B3BB69-23CF-44E3-9099-C40C66FF867C}">
                  <a14:compatExt spid="_x0000_s3089411"/>
                </a:ext>
              </a:extLst>
            </xdr:cNvPr>
            <xdr:cNvSpPr/>
          </xdr:nvSpPr>
          <xdr:spPr>
            <a:xfrm>
              <a:off x="338455" y="6130925"/>
              <a:ext cx="126365" cy="1485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673100</xdr:colOff>
          <xdr:row>29</xdr:row>
          <xdr:rowOff>57150</xdr:rowOff>
        </xdr:from>
        <xdr:to>
          <xdr:col>16</xdr:col>
          <xdr:colOff>857250</xdr:colOff>
          <xdr:row>30</xdr:row>
          <xdr:rowOff>82550</xdr:rowOff>
        </xdr:to>
        <xdr:sp>
          <xdr:nvSpPr>
            <xdr:cNvPr id="3089412" name="Object 4" hidden="1">
              <a:extLst>
                <a:ext uri="{63B3BB69-23CF-44E3-9099-C40C66FF867C}">
                  <a14:compatExt spid="_x0000_s3089412"/>
                </a:ext>
              </a:extLst>
            </xdr:cNvPr>
            <xdr:cNvSpPr/>
          </xdr:nvSpPr>
          <xdr:spPr>
            <a:xfrm>
              <a:off x="13960475" y="4995545"/>
              <a:ext cx="184150" cy="1930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158750</xdr:colOff>
          <xdr:row>30</xdr:row>
          <xdr:rowOff>127000</xdr:rowOff>
        </xdr:from>
        <xdr:to>
          <xdr:col>11</xdr:col>
          <xdr:colOff>323850</xdr:colOff>
          <xdr:row>31</xdr:row>
          <xdr:rowOff>127000</xdr:rowOff>
        </xdr:to>
        <xdr:sp>
          <xdr:nvSpPr>
            <xdr:cNvPr id="3089413" name="Object 5" hidden="1">
              <a:extLst>
                <a:ext uri="{63B3BB69-23CF-44E3-9099-C40C66FF867C}">
                  <a14:compatExt spid="_x0000_s3089413"/>
                </a:ext>
              </a:extLst>
            </xdr:cNvPr>
            <xdr:cNvSpPr/>
          </xdr:nvSpPr>
          <xdr:spPr>
            <a:xfrm>
              <a:off x="9838690" y="5233035"/>
              <a:ext cx="165100" cy="167640"/>
            </a:xfrm>
            <a:prstGeom prst="rect">
              <a:avLst/>
            </a:prstGeom>
          </xdr:spPr>
        </xdr:sp>
        <xdr:clientData/>
      </xdr:twoCellAnchor>
    </mc:Choice>
    <mc:Fallback/>
  </mc:AlternateContent>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4</xdr:col>
      <xdr:colOff>543134</xdr:colOff>
      <xdr:row>21</xdr:row>
      <xdr:rowOff>152674</xdr:rowOff>
    </xdr:from>
    <xdr:to>
      <xdr:col>19</xdr:col>
      <xdr:colOff>301733</xdr:colOff>
      <xdr:row>24</xdr:row>
      <xdr:rowOff>30914</xdr:rowOff>
    </xdr:to>
    <xdr:sp>
      <xdr:nvSpPr>
        <xdr:cNvPr id="6277107" name="Freeform 1"/>
        <xdr:cNvSpPr/>
      </xdr:nvSpPr>
      <xdr:spPr>
        <a:xfrm>
          <a:off x="3136900" y="3703955"/>
          <a:ext cx="11247755" cy="381000"/>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416629</xdr:colOff>
      <xdr:row>22</xdr:row>
      <xdr:rowOff>143668</xdr:rowOff>
    </xdr:from>
    <xdr:to>
      <xdr:col>9</xdr:col>
      <xdr:colOff>996427</xdr:colOff>
      <xdr:row>24</xdr:row>
      <xdr:rowOff>70651</xdr:rowOff>
    </xdr:to>
    <xdr:sp>
      <xdr:nvSpPr>
        <xdr:cNvPr id="69634" name="Rectangle 2"/>
        <xdr:cNvSpPr>
          <a:spLocks noChangeArrowheads="1"/>
        </xdr:cNvSpPr>
      </xdr:nvSpPr>
      <xdr:spPr>
        <a:xfrm>
          <a:off x="6262370" y="3862705"/>
          <a:ext cx="579755" cy="262255"/>
        </a:xfrm>
        <a:prstGeom prst="rect">
          <a:avLst/>
        </a:prstGeom>
        <a:solidFill>
          <a:srgbClr val="FFFFFF"/>
        </a:solidFill>
        <a:ln w="9525">
          <a:solidFill>
            <a:srgbClr val="000000"/>
          </a:solidFill>
          <a:miter lim="800000"/>
        </a:ln>
      </xdr:spPr>
      <xdr:txBody>
        <a:bodyPr vertOverflow="clip" wrap="square" lIns="36576" tIns="32004" rIns="36576" bIns="0" anchor="ctr" upright="1"/>
        <a:lstStyle/>
        <a:p>
          <a:pPr algn="ctr" rtl="0">
            <a:defRPr sz="1000"/>
          </a:pPr>
          <a:r>
            <a:rPr lang="id-ID" sz="1300" b="1" i="0" u="none" strike="noStrike" baseline="0">
              <a:solidFill>
                <a:srgbClr val="000000"/>
              </a:solidFill>
              <a:latin typeface="Arial" panose="020B0604020202020204"/>
              <a:cs typeface="Arial" panose="020B0604020202020204"/>
            </a:rPr>
            <a:t>F3</a:t>
          </a:r>
          <a:endParaRPr lang="id-ID" sz="1300" b="1" i="0" u="none" strike="noStrike" baseline="0">
            <a:solidFill>
              <a:srgbClr val="000000"/>
            </a:solidFill>
            <a:latin typeface="Arial" panose="020B0604020202020204"/>
            <a:cs typeface="Arial" panose="020B0604020202020204"/>
          </a:endParaRPr>
        </a:p>
      </xdr:txBody>
    </xdr:sp>
    <xdr:clientData/>
  </xdr:twoCellAnchor>
  <mc:AlternateContent xmlns:mc="http://schemas.openxmlformats.org/markup-compatibility/2006">
    <mc:Choice xmlns:a14="http://schemas.microsoft.com/office/drawing/2010/main" Requires="a14">
      <xdr:twoCellAnchor editAs="oneCell">
        <xdr:from>
          <xdr:col>1</xdr:col>
          <xdr:colOff>158750</xdr:colOff>
          <xdr:row>27</xdr:row>
          <xdr:rowOff>12700</xdr:rowOff>
        </xdr:from>
        <xdr:to>
          <xdr:col>1</xdr:col>
          <xdr:colOff>330200</xdr:colOff>
          <xdr:row>28</xdr:row>
          <xdr:rowOff>0</xdr:rowOff>
        </xdr:to>
        <xdr:sp>
          <xdr:nvSpPr>
            <xdr:cNvPr id="69640" name="Object 8" hidden="1">
              <a:extLst>
                <a:ext uri="{63B3BB69-23CF-44E3-9099-C40C66FF867C}">
                  <a14:compatExt spid="_x0000_s69640"/>
                </a:ext>
              </a:extLst>
            </xdr:cNvPr>
            <xdr:cNvSpPr/>
          </xdr:nvSpPr>
          <xdr:spPr>
            <a:xfrm>
              <a:off x="332105" y="4570095"/>
              <a:ext cx="171450" cy="1549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196850</xdr:colOff>
          <xdr:row>25</xdr:row>
          <xdr:rowOff>146050</xdr:rowOff>
        </xdr:from>
        <xdr:to>
          <xdr:col>1</xdr:col>
          <xdr:colOff>355600</xdr:colOff>
          <xdr:row>26</xdr:row>
          <xdr:rowOff>139700</xdr:rowOff>
        </xdr:to>
        <xdr:sp>
          <xdr:nvSpPr>
            <xdr:cNvPr id="69641" name="Object 9" hidden="1">
              <a:extLst>
                <a:ext uri="{63B3BB69-23CF-44E3-9099-C40C66FF867C}">
                  <a14:compatExt spid="_x0000_s69641"/>
                </a:ext>
              </a:extLst>
            </xdr:cNvPr>
            <xdr:cNvSpPr/>
          </xdr:nvSpPr>
          <xdr:spPr>
            <a:xfrm>
              <a:off x="370205" y="4368165"/>
              <a:ext cx="158750" cy="1612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158750</xdr:colOff>
          <xdr:row>28</xdr:row>
          <xdr:rowOff>19050</xdr:rowOff>
        </xdr:from>
        <xdr:to>
          <xdr:col>1</xdr:col>
          <xdr:colOff>323850</xdr:colOff>
          <xdr:row>29</xdr:row>
          <xdr:rowOff>0</xdr:rowOff>
        </xdr:to>
        <xdr:sp>
          <xdr:nvSpPr>
            <xdr:cNvPr id="69642" name="Object 10" hidden="1">
              <a:extLst>
                <a:ext uri="{63B3BB69-23CF-44E3-9099-C40C66FF867C}">
                  <a14:compatExt spid="_x0000_s69642"/>
                </a:ext>
              </a:extLst>
            </xdr:cNvPr>
            <xdr:cNvSpPr/>
          </xdr:nvSpPr>
          <xdr:spPr>
            <a:xfrm>
              <a:off x="332105" y="4744085"/>
              <a:ext cx="165100" cy="1485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133350</xdr:colOff>
          <xdr:row>23</xdr:row>
          <xdr:rowOff>88900</xdr:rowOff>
        </xdr:from>
        <xdr:to>
          <xdr:col>9</xdr:col>
          <xdr:colOff>304800</xdr:colOff>
          <xdr:row>24</xdr:row>
          <xdr:rowOff>101600</xdr:rowOff>
        </xdr:to>
        <xdr:sp>
          <xdr:nvSpPr>
            <xdr:cNvPr id="69684" name="Object 52" hidden="1">
              <a:extLst>
                <a:ext uri="{63B3BB69-23CF-44E3-9099-C40C66FF867C}">
                  <a14:compatExt spid="_x0000_s69684"/>
                </a:ext>
              </a:extLst>
            </xdr:cNvPr>
            <xdr:cNvSpPr/>
          </xdr:nvSpPr>
          <xdr:spPr>
            <a:xfrm>
              <a:off x="5979160" y="3975735"/>
              <a:ext cx="171450" cy="180340"/>
            </a:xfrm>
            <a:prstGeom prst="rect">
              <a:avLst/>
            </a:prstGeom>
          </xdr:spPr>
        </xdr:sp>
        <xdr:clientData/>
      </xdr:twoCellAnchor>
    </mc:Choice>
    <mc:Fallback/>
  </mc:AlternateContent>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27</xdr:row>
      <xdr:rowOff>0</xdr:rowOff>
    </xdr:from>
    <xdr:to>
      <xdr:col>3</xdr:col>
      <xdr:colOff>0</xdr:colOff>
      <xdr:row>27</xdr:row>
      <xdr:rowOff>0</xdr:rowOff>
    </xdr:to>
    <xdr:sp>
      <xdr:nvSpPr>
        <xdr:cNvPr id="306179" name="Rectangle 2"/>
        <xdr:cNvSpPr>
          <a:spLocks noChangeArrowheads="1"/>
        </xdr:cNvSpPr>
      </xdr:nvSpPr>
      <xdr:spPr>
        <a:xfrm>
          <a:off x="3900170" y="4672965"/>
          <a:ext cx="0" cy="0"/>
        </a:xfrm>
        <a:prstGeom prst="rect">
          <a:avLst/>
        </a:prstGeom>
        <a:solidFill>
          <a:srgbClr val="FFFFFF"/>
        </a:solidFill>
        <a:ln w="19050">
          <a:solidFill>
            <a:srgbClr val="000000"/>
          </a:solidFill>
          <a:miter lim="800000"/>
        </a:ln>
      </xdr:spPr>
      <xdr:txBody>
        <a:bodyPr vertOverflow="clip" wrap="square" lIns="27432" tIns="22860" rIns="27432" bIns="0" anchor="t" upright="1"/>
        <a:lstStyle/>
        <a:p>
          <a:pPr algn="ctr" rtl="0">
            <a:defRPr sz="1000"/>
          </a:pPr>
          <a:r>
            <a:rPr lang="en-US" sz="1000" b="1" i="0" u="none" strike="noStrike" baseline="0">
              <a:solidFill>
                <a:srgbClr val="FF0000"/>
              </a:solidFill>
              <a:latin typeface="Arial" panose="020B0604020202020204"/>
              <a:cs typeface="Arial" panose="020B0604020202020204"/>
            </a:rPr>
            <a:t>FF</a:t>
          </a:r>
          <a:endParaRPr lang="en-US" sz="1000" b="1" i="0" u="none" strike="noStrike" baseline="0">
            <a:solidFill>
              <a:srgbClr val="FF0000"/>
            </a:solidFill>
            <a:latin typeface="Arial" panose="020B0604020202020204"/>
            <a:cs typeface="Arial" panose="020B0604020202020204"/>
          </a:endParaRPr>
        </a:p>
      </xdr:txBody>
    </xdr:sp>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13</xdr:col>
      <xdr:colOff>790042</xdr:colOff>
      <xdr:row>30</xdr:row>
      <xdr:rowOff>0</xdr:rowOff>
    </xdr:from>
    <xdr:to>
      <xdr:col>13</xdr:col>
      <xdr:colOff>790042</xdr:colOff>
      <xdr:row>30</xdr:row>
      <xdr:rowOff>0</xdr:rowOff>
    </xdr:to>
    <xdr:sp>
      <xdr:nvSpPr>
        <xdr:cNvPr id="6305429" name="Line 15"/>
        <xdr:cNvSpPr>
          <a:spLocks noChangeShapeType="1"/>
        </xdr:cNvSpPr>
      </xdr:nvSpPr>
      <xdr:spPr>
        <a:xfrm>
          <a:off x="12962255" y="5074920"/>
          <a:ext cx="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790042</xdr:colOff>
      <xdr:row>30</xdr:row>
      <xdr:rowOff>0</xdr:rowOff>
    </xdr:from>
    <xdr:to>
      <xdr:col>13</xdr:col>
      <xdr:colOff>790042</xdr:colOff>
      <xdr:row>30</xdr:row>
      <xdr:rowOff>0</xdr:rowOff>
    </xdr:to>
    <xdr:sp>
      <xdr:nvSpPr>
        <xdr:cNvPr id="6305430" name="Line 15"/>
        <xdr:cNvSpPr>
          <a:spLocks noChangeShapeType="1"/>
        </xdr:cNvSpPr>
      </xdr:nvSpPr>
      <xdr:spPr>
        <a:xfrm>
          <a:off x="12962255" y="5074920"/>
          <a:ext cx="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0</xdr:colOff>
      <xdr:row>30</xdr:row>
      <xdr:rowOff>0</xdr:rowOff>
    </xdr:from>
    <xdr:to>
      <xdr:col>13</xdr:col>
      <xdr:colOff>212141</xdr:colOff>
      <xdr:row>30</xdr:row>
      <xdr:rowOff>0</xdr:rowOff>
    </xdr:to>
    <xdr:sp>
      <xdr:nvSpPr>
        <xdr:cNvPr id="6305431" name="Line 8"/>
        <xdr:cNvSpPr>
          <a:spLocks noChangeShapeType="1"/>
        </xdr:cNvSpPr>
      </xdr:nvSpPr>
      <xdr:spPr>
        <a:xfrm flipV="1">
          <a:off x="12172315" y="5074920"/>
          <a:ext cx="212090" cy="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tailEnd type="triangle" w="med" len="med"/>
            </a14:hiddenLine>
          </a:ext>
        </a:extLst>
      </xdr:spPr>
    </xdr:sp>
    <xdr:clientData/>
  </xdr:twoCellAnchor>
  <xdr:twoCellAnchor>
    <xdr:from>
      <xdr:col>13</xdr:col>
      <xdr:colOff>790042</xdr:colOff>
      <xdr:row>30</xdr:row>
      <xdr:rowOff>0</xdr:rowOff>
    </xdr:from>
    <xdr:to>
      <xdr:col>13</xdr:col>
      <xdr:colOff>790042</xdr:colOff>
      <xdr:row>30</xdr:row>
      <xdr:rowOff>0</xdr:rowOff>
    </xdr:to>
    <xdr:sp>
      <xdr:nvSpPr>
        <xdr:cNvPr id="6305432" name="Line 15"/>
        <xdr:cNvSpPr>
          <a:spLocks noChangeShapeType="1"/>
        </xdr:cNvSpPr>
      </xdr:nvSpPr>
      <xdr:spPr>
        <a:xfrm>
          <a:off x="12962255" y="5074920"/>
          <a:ext cx="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790042</xdr:colOff>
      <xdr:row>30</xdr:row>
      <xdr:rowOff>0</xdr:rowOff>
    </xdr:from>
    <xdr:to>
      <xdr:col>13</xdr:col>
      <xdr:colOff>790042</xdr:colOff>
      <xdr:row>30</xdr:row>
      <xdr:rowOff>0</xdr:rowOff>
    </xdr:to>
    <xdr:sp>
      <xdr:nvSpPr>
        <xdr:cNvPr id="6305433" name="Line 15"/>
        <xdr:cNvSpPr>
          <a:spLocks noChangeShapeType="1"/>
        </xdr:cNvSpPr>
      </xdr:nvSpPr>
      <xdr:spPr>
        <a:xfrm>
          <a:off x="12962255" y="5074920"/>
          <a:ext cx="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xdr:from>
      <xdr:col>14</xdr:col>
      <xdr:colOff>583728</xdr:colOff>
      <xdr:row>27</xdr:row>
      <xdr:rowOff>17160</xdr:rowOff>
    </xdr:from>
    <xdr:to>
      <xdr:col>14</xdr:col>
      <xdr:colOff>991914</xdr:colOff>
      <xdr:row>28</xdr:row>
      <xdr:rowOff>84480</xdr:rowOff>
    </xdr:to>
    <xdr:sp>
      <xdr:nvSpPr>
        <xdr:cNvPr id="94230" name="Oval 38"/>
        <xdr:cNvSpPr>
          <a:spLocks noChangeArrowheads="1"/>
        </xdr:cNvSpPr>
      </xdr:nvSpPr>
      <xdr:spPr>
        <a:xfrm>
          <a:off x="9726295" y="4671060"/>
          <a:ext cx="408305" cy="212090"/>
        </a:xfrm>
        <a:prstGeom prst="ellipse">
          <a:avLst/>
        </a:prstGeom>
        <a:solidFill>
          <a:srgbClr val="FFFFFF"/>
        </a:solidFill>
        <a:ln w="9525" algn="ctr">
          <a:solidFill>
            <a:srgbClr val="000000"/>
          </a:solidFill>
          <a:round/>
        </a:ln>
      </xdr:spPr>
      <xdr:txBody>
        <a:bodyPr vertOverflow="clip" wrap="square" lIns="27432" tIns="22860" rIns="0" bIns="0" anchor="t"/>
        <a:lstStyle/>
        <a:p>
          <a:pPr algn="ctr" rtl="0">
            <a:defRPr sz="1000"/>
          </a:pPr>
          <a:r>
            <a:rPr lang="id-ID" sz="1000" b="1" i="0" u="none" strike="noStrike" baseline="0">
              <a:solidFill>
                <a:srgbClr val="FF0000"/>
              </a:solidFill>
              <a:latin typeface="Arial" panose="020B0604020202020204"/>
              <a:cs typeface="Arial" panose="020B0604020202020204"/>
            </a:rPr>
            <a:t>1</a:t>
          </a:r>
          <a:endParaRPr lang="id-ID" sz="1000" b="1" i="0" u="none" strike="noStrike" baseline="0">
            <a:solidFill>
              <a:srgbClr val="FF0000"/>
            </a:solidFill>
            <a:latin typeface="Arial" panose="020B0604020202020204"/>
            <a:cs typeface="Arial" panose="020B0604020202020204"/>
          </a:endParaRPr>
        </a:p>
      </xdr:txBody>
    </xdr:sp>
    <xdr:clientData/>
  </xdr:twoCellAnchor>
  <xdr:twoCellAnchor>
    <xdr:from>
      <xdr:col>9</xdr:col>
      <xdr:colOff>753466</xdr:colOff>
      <xdr:row>25</xdr:row>
      <xdr:rowOff>0</xdr:rowOff>
    </xdr:from>
    <xdr:to>
      <xdr:col>9</xdr:col>
      <xdr:colOff>753466</xdr:colOff>
      <xdr:row>25</xdr:row>
      <xdr:rowOff>0</xdr:rowOff>
    </xdr:to>
    <xdr:sp>
      <xdr:nvSpPr>
        <xdr:cNvPr id="6301671" name="Line 42"/>
        <xdr:cNvSpPr>
          <a:spLocks noChangeShapeType="1"/>
        </xdr:cNvSpPr>
      </xdr:nvSpPr>
      <xdr:spPr>
        <a:xfrm>
          <a:off x="6250940" y="4364355"/>
          <a:ext cx="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30175</xdr:colOff>
      <xdr:row>37</xdr:row>
      <xdr:rowOff>133582</xdr:rowOff>
    </xdr:from>
    <xdr:to>
      <xdr:col>9</xdr:col>
      <xdr:colOff>198990</xdr:colOff>
      <xdr:row>39</xdr:row>
      <xdr:rowOff>29853</xdr:rowOff>
    </xdr:to>
    <xdr:sp>
      <xdr:nvSpPr>
        <xdr:cNvPr id="94254" name="Oval 8"/>
        <xdr:cNvSpPr>
          <a:spLocks noChangeArrowheads="1"/>
        </xdr:cNvSpPr>
      </xdr:nvSpPr>
      <xdr:spPr>
        <a:xfrm>
          <a:off x="5527675" y="6126480"/>
          <a:ext cx="168910" cy="159385"/>
        </a:xfrm>
        <a:prstGeom prst="ellipse">
          <a:avLst/>
        </a:prstGeom>
        <a:solidFill>
          <a:srgbClr val="FFFFFF"/>
        </a:solidFill>
        <a:ln w="9525">
          <a:solidFill>
            <a:srgbClr val="000000"/>
          </a:solidFill>
          <a:round/>
        </a:ln>
      </xdr:spPr>
      <xdr:txBody>
        <a:bodyPr vertOverflow="clip" wrap="square" lIns="27432" tIns="18288" rIns="27432" bIns="0" anchor="t"/>
        <a:lstStyle/>
        <a:p>
          <a:pPr algn="ctr" rtl="0">
            <a:defRPr sz="1000"/>
          </a:pPr>
          <a:r>
            <a:rPr lang="id-ID" sz="1000" b="1" i="0" u="none" strike="noStrike" baseline="0">
              <a:solidFill>
                <a:srgbClr val="FF0000"/>
              </a:solidFill>
              <a:latin typeface="Arial" panose="020B0604020202020204"/>
              <a:cs typeface="Arial" panose="020B0604020202020204"/>
            </a:rPr>
            <a:t>1</a:t>
          </a:r>
          <a:endParaRPr lang="id-ID" sz="1000" b="1" i="0" u="none" strike="noStrike" baseline="0">
            <a:solidFill>
              <a:srgbClr val="FF0000"/>
            </a:solidFill>
            <a:latin typeface="Arial" panose="020B0604020202020204"/>
            <a:cs typeface="Arial" panose="020B0604020202020204"/>
          </a:endParaRPr>
        </a:p>
      </xdr:txBody>
    </xdr:sp>
    <xdr:clientData/>
  </xdr:twoCellAnchor>
  <xdr:twoCellAnchor>
    <xdr:from>
      <xdr:col>14</xdr:col>
      <xdr:colOff>495073</xdr:colOff>
      <xdr:row>27</xdr:row>
      <xdr:rowOff>141584</xdr:rowOff>
    </xdr:from>
    <xdr:to>
      <xdr:col>14</xdr:col>
      <xdr:colOff>590171</xdr:colOff>
      <xdr:row>29</xdr:row>
      <xdr:rowOff>97693</xdr:rowOff>
    </xdr:to>
    <xdr:sp>
      <xdr:nvSpPr>
        <xdr:cNvPr id="6301673" name="Line 41"/>
        <xdr:cNvSpPr>
          <a:spLocks noChangeShapeType="1"/>
        </xdr:cNvSpPr>
      </xdr:nvSpPr>
      <xdr:spPr>
        <a:xfrm flipH="1">
          <a:off x="9637395" y="4794885"/>
          <a:ext cx="95250" cy="23050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753466</xdr:colOff>
      <xdr:row>25</xdr:row>
      <xdr:rowOff>0</xdr:rowOff>
    </xdr:from>
    <xdr:to>
      <xdr:col>9</xdr:col>
      <xdr:colOff>753466</xdr:colOff>
      <xdr:row>25</xdr:row>
      <xdr:rowOff>0</xdr:rowOff>
    </xdr:to>
    <xdr:sp>
      <xdr:nvSpPr>
        <xdr:cNvPr id="6301674" name="Line 42"/>
        <xdr:cNvSpPr>
          <a:spLocks noChangeShapeType="1"/>
        </xdr:cNvSpPr>
      </xdr:nvSpPr>
      <xdr:spPr>
        <a:xfrm>
          <a:off x="6250940" y="4364355"/>
          <a:ext cx="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30175</xdr:colOff>
      <xdr:row>37</xdr:row>
      <xdr:rowOff>133582</xdr:rowOff>
    </xdr:from>
    <xdr:to>
      <xdr:col>9</xdr:col>
      <xdr:colOff>198990</xdr:colOff>
      <xdr:row>39</xdr:row>
      <xdr:rowOff>29675</xdr:rowOff>
    </xdr:to>
    <xdr:sp>
      <xdr:nvSpPr>
        <xdr:cNvPr id="3" name="Oval 8"/>
        <xdr:cNvSpPr>
          <a:spLocks noChangeArrowheads="1"/>
        </xdr:cNvSpPr>
      </xdr:nvSpPr>
      <xdr:spPr>
        <a:xfrm>
          <a:off x="5527675" y="6126480"/>
          <a:ext cx="168910" cy="158750"/>
        </a:xfrm>
        <a:prstGeom prst="ellipse">
          <a:avLst/>
        </a:prstGeom>
        <a:solidFill>
          <a:srgbClr val="FFFFFF"/>
        </a:solidFill>
        <a:ln w="9525">
          <a:solidFill>
            <a:srgbClr val="000000"/>
          </a:solidFill>
          <a:round/>
        </a:ln>
      </xdr:spPr>
      <xdr:txBody>
        <a:bodyPr vertOverflow="clip" wrap="square" lIns="27432" tIns="18288" rIns="27432" bIns="0" anchor="t"/>
        <a:lstStyle/>
        <a:p>
          <a:pPr algn="ctr" rtl="0">
            <a:defRPr sz="1000"/>
          </a:pPr>
          <a:r>
            <a:rPr lang="id-ID" sz="1000" b="1" i="0" u="none" strike="noStrike" baseline="0">
              <a:solidFill>
                <a:srgbClr val="FF0000"/>
              </a:solidFill>
              <a:latin typeface="Arial" panose="020B0604020202020204"/>
              <a:cs typeface="Arial" panose="020B0604020202020204"/>
            </a:rPr>
            <a:t>1</a:t>
          </a:r>
          <a:endParaRPr lang="id-ID" sz="1000" b="1" i="0" u="none" strike="noStrike" baseline="0">
            <a:solidFill>
              <a:srgbClr val="FF0000"/>
            </a:solidFill>
            <a:latin typeface="Arial" panose="020B0604020202020204"/>
            <a:cs typeface="Arial" panose="020B0604020202020204"/>
          </a:endParaRPr>
        </a:p>
      </xdr:txBody>
    </xdr:sp>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xdr:from>
      <xdr:col>8</xdr:col>
      <xdr:colOff>527050</xdr:colOff>
      <xdr:row>24</xdr:row>
      <xdr:rowOff>69850</xdr:rowOff>
    </xdr:from>
    <xdr:to>
      <xdr:col>8</xdr:col>
      <xdr:colOff>698500</xdr:colOff>
      <xdr:row>24</xdr:row>
      <xdr:rowOff>196850</xdr:rowOff>
    </xdr:to>
    <xdr:sp>
      <xdr:nvSpPr>
        <xdr:cNvPr id="2" name="Freeform 7"/>
        <xdr:cNvSpPr/>
      </xdr:nvSpPr>
      <xdr:spPr>
        <a:xfrm>
          <a:off x="6346190" y="4224655"/>
          <a:ext cx="171450" cy="114935"/>
        </a:xfrm>
        <a:custGeom>
          <a:avLst/>
          <a:gdLst>
            <a:gd name="T0" fmla="*/ 0 w 17"/>
            <a:gd name="T1" fmla="*/ 2147483647 h 20"/>
            <a:gd name="T2" fmla="*/ 2147483647 w 17"/>
            <a:gd name="T3" fmla="*/ 2147483647 h 20"/>
            <a:gd name="T4" fmla="*/ 2147483647 w 17"/>
            <a:gd name="T5" fmla="*/ 2147483647 h 20"/>
            <a:gd name="T6" fmla="*/ 0 60000 65536"/>
            <a:gd name="T7" fmla="*/ 0 60000 65536"/>
            <a:gd name="T8" fmla="*/ 0 60000 65536"/>
            <a:gd name="T9" fmla="*/ 0 w 17"/>
            <a:gd name="T10" fmla="*/ 0 h 20"/>
            <a:gd name="T11" fmla="*/ 17 w 17"/>
            <a:gd name="T12" fmla="*/ 20 h 20"/>
          </a:gdLst>
          <a:ahLst/>
          <a:cxnLst>
            <a:cxn ang="T6">
              <a:pos x="T0" y="T1"/>
            </a:cxn>
            <a:cxn ang="T7">
              <a:pos x="T2" y="T3"/>
            </a:cxn>
            <a:cxn ang="T8">
              <a:pos x="T4" y="T5"/>
            </a:cxn>
          </a:cxnLst>
          <a:rect l="T9" t="T10" r="T11" b="T12"/>
          <a:pathLst>
            <a:path w="17" h="20">
              <a:moveTo>
                <a:pt x="0" y="13"/>
              </a:moveTo>
              <a:cubicBezTo>
                <a:pt x="1" y="6"/>
                <a:pt x="2" y="0"/>
                <a:pt x="5" y="1"/>
              </a:cubicBezTo>
              <a:cubicBezTo>
                <a:pt x="8" y="2"/>
                <a:pt x="15" y="17"/>
                <a:pt x="17" y="20"/>
              </a:cubicBezTo>
            </a:path>
          </a:pathLst>
        </a:custGeom>
        <a:noFill/>
        <a:ln w="9525">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527050</xdr:colOff>
      <xdr:row>24</xdr:row>
      <xdr:rowOff>69850</xdr:rowOff>
    </xdr:from>
    <xdr:to>
      <xdr:col>12</xdr:col>
      <xdr:colOff>698500</xdr:colOff>
      <xdr:row>24</xdr:row>
      <xdr:rowOff>196850</xdr:rowOff>
    </xdr:to>
    <xdr:sp>
      <xdr:nvSpPr>
        <xdr:cNvPr id="3" name="Freeform 7"/>
        <xdr:cNvSpPr/>
      </xdr:nvSpPr>
      <xdr:spPr>
        <a:xfrm>
          <a:off x="10347325" y="4224655"/>
          <a:ext cx="171450" cy="114935"/>
        </a:xfrm>
        <a:custGeom>
          <a:avLst/>
          <a:gdLst>
            <a:gd name="T0" fmla="*/ 0 w 17"/>
            <a:gd name="T1" fmla="*/ 2147483647 h 20"/>
            <a:gd name="T2" fmla="*/ 2147483647 w 17"/>
            <a:gd name="T3" fmla="*/ 2147483647 h 20"/>
            <a:gd name="T4" fmla="*/ 2147483647 w 17"/>
            <a:gd name="T5" fmla="*/ 2147483647 h 20"/>
            <a:gd name="T6" fmla="*/ 0 60000 65536"/>
            <a:gd name="T7" fmla="*/ 0 60000 65536"/>
            <a:gd name="T8" fmla="*/ 0 60000 65536"/>
            <a:gd name="T9" fmla="*/ 0 w 17"/>
            <a:gd name="T10" fmla="*/ 0 h 20"/>
            <a:gd name="T11" fmla="*/ 17 w 17"/>
            <a:gd name="T12" fmla="*/ 20 h 20"/>
          </a:gdLst>
          <a:ahLst/>
          <a:cxnLst>
            <a:cxn ang="T6">
              <a:pos x="T0" y="T1"/>
            </a:cxn>
            <a:cxn ang="T7">
              <a:pos x="T2" y="T3"/>
            </a:cxn>
            <a:cxn ang="T8">
              <a:pos x="T4" y="T5"/>
            </a:cxn>
          </a:cxnLst>
          <a:rect l="T9" t="T10" r="T11" b="T12"/>
          <a:pathLst>
            <a:path w="17" h="20">
              <a:moveTo>
                <a:pt x="0" y="13"/>
              </a:moveTo>
              <a:cubicBezTo>
                <a:pt x="1" y="6"/>
                <a:pt x="2" y="0"/>
                <a:pt x="5" y="1"/>
              </a:cubicBezTo>
              <a:cubicBezTo>
                <a:pt x="8" y="2"/>
                <a:pt x="15" y="17"/>
                <a:pt x="17" y="20"/>
              </a:cubicBezTo>
            </a:path>
          </a:pathLst>
        </a:custGeom>
        <a:noFill/>
        <a:ln w="9525">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527050</xdr:colOff>
      <xdr:row>24</xdr:row>
      <xdr:rowOff>69850</xdr:rowOff>
    </xdr:from>
    <xdr:to>
      <xdr:col>16</xdr:col>
      <xdr:colOff>698500</xdr:colOff>
      <xdr:row>24</xdr:row>
      <xdr:rowOff>196850</xdr:rowOff>
    </xdr:to>
    <xdr:sp>
      <xdr:nvSpPr>
        <xdr:cNvPr id="4" name="Freeform 7"/>
        <xdr:cNvSpPr/>
      </xdr:nvSpPr>
      <xdr:spPr>
        <a:xfrm>
          <a:off x="14229715" y="4224655"/>
          <a:ext cx="171450" cy="114935"/>
        </a:xfrm>
        <a:custGeom>
          <a:avLst/>
          <a:gdLst>
            <a:gd name="T0" fmla="*/ 0 w 17"/>
            <a:gd name="T1" fmla="*/ 2147483647 h 20"/>
            <a:gd name="T2" fmla="*/ 2147483647 w 17"/>
            <a:gd name="T3" fmla="*/ 2147483647 h 20"/>
            <a:gd name="T4" fmla="*/ 2147483647 w 17"/>
            <a:gd name="T5" fmla="*/ 2147483647 h 20"/>
            <a:gd name="T6" fmla="*/ 0 60000 65536"/>
            <a:gd name="T7" fmla="*/ 0 60000 65536"/>
            <a:gd name="T8" fmla="*/ 0 60000 65536"/>
            <a:gd name="T9" fmla="*/ 0 w 17"/>
            <a:gd name="T10" fmla="*/ 0 h 20"/>
            <a:gd name="T11" fmla="*/ 17 w 17"/>
            <a:gd name="T12" fmla="*/ 20 h 20"/>
          </a:gdLst>
          <a:ahLst/>
          <a:cxnLst>
            <a:cxn ang="T6">
              <a:pos x="T0" y="T1"/>
            </a:cxn>
            <a:cxn ang="T7">
              <a:pos x="T2" y="T3"/>
            </a:cxn>
            <a:cxn ang="T8">
              <a:pos x="T4" y="T5"/>
            </a:cxn>
          </a:cxnLst>
          <a:rect l="T9" t="T10" r="T11" b="T12"/>
          <a:pathLst>
            <a:path w="17" h="20">
              <a:moveTo>
                <a:pt x="0" y="13"/>
              </a:moveTo>
              <a:cubicBezTo>
                <a:pt x="1" y="6"/>
                <a:pt x="2" y="0"/>
                <a:pt x="5" y="1"/>
              </a:cubicBezTo>
              <a:cubicBezTo>
                <a:pt x="8" y="2"/>
                <a:pt x="15" y="17"/>
                <a:pt x="17" y="20"/>
              </a:cubicBezTo>
            </a:path>
          </a:pathLst>
        </a:custGeom>
        <a:noFill/>
        <a:ln w="9525">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xdr:from>
      <xdr:col>3</xdr:col>
      <xdr:colOff>9525</xdr:colOff>
      <xdr:row>22</xdr:row>
      <xdr:rowOff>26307</xdr:rowOff>
    </xdr:from>
    <xdr:to>
      <xdr:col>3</xdr:col>
      <xdr:colOff>189439</xdr:colOff>
      <xdr:row>23</xdr:row>
      <xdr:rowOff>74877</xdr:rowOff>
    </xdr:to>
    <xdr:sp>
      <xdr:nvSpPr>
        <xdr:cNvPr id="2" name="Oval 2"/>
        <xdr:cNvSpPr>
          <a:spLocks noChangeArrowheads="1"/>
        </xdr:cNvSpPr>
      </xdr:nvSpPr>
      <xdr:spPr>
        <a:xfrm>
          <a:off x="1671320" y="3754120"/>
          <a:ext cx="179705" cy="215900"/>
        </a:xfrm>
        <a:prstGeom prst="ellipse">
          <a:avLst/>
        </a:prstGeom>
        <a:solidFill>
          <a:srgbClr val="FFFFFF"/>
        </a:solidFill>
        <a:ln w="9525">
          <a:solidFill>
            <a:srgbClr val="000000"/>
          </a:solidFill>
          <a:round/>
        </a:ln>
      </xdr:spPr>
      <xdr:txBody>
        <a:bodyPr vertOverflow="clip" wrap="square" lIns="27432" tIns="22860" rIns="27432" bIns="0" anchor="t" upright="1"/>
        <a:lstStyle/>
        <a:p>
          <a:pPr algn="ctr" rtl="0">
            <a:defRPr sz="1000"/>
          </a:pPr>
          <a:r>
            <a:rPr lang="en-US" sz="800" b="1" i="0" u="none" strike="noStrike" baseline="0">
              <a:solidFill>
                <a:srgbClr val="FF0000"/>
              </a:solidFill>
              <a:latin typeface="Arial" panose="020B0604020202020204"/>
              <a:cs typeface="Arial" panose="020B0604020202020204"/>
            </a:rPr>
            <a:t>1</a:t>
          </a:r>
          <a:endParaRPr lang="en-US" sz="800" b="1" i="0" u="none" strike="noStrike" baseline="0">
            <a:solidFill>
              <a:srgbClr val="FF0000"/>
            </a:solidFill>
            <a:latin typeface="Arial" panose="020B0604020202020204"/>
            <a:cs typeface="Arial" panose="020B0604020202020204"/>
          </a:endParaRPr>
        </a:p>
      </xdr:txBody>
    </xdr:sp>
    <xdr:clientData/>
  </xdr:twoCellAnchor>
  <xdr:twoCellAnchor>
    <xdr:from>
      <xdr:col>3</xdr:col>
      <xdr:colOff>102413</xdr:colOff>
      <xdr:row>22</xdr:row>
      <xdr:rowOff>146304</xdr:rowOff>
    </xdr:from>
    <xdr:to>
      <xdr:col>3</xdr:col>
      <xdr:colOff>197510</xdr:colOff>
      <xdr:row>24</xdr:row>
      <xdr:rowOff>73152</xdr:rowOff>
    </xdr:to>
    <xdr:sp>
      <xdr:nvSpPr>
        <xdr:cNvPr id="6318405" name="Line 3"/>
        <xdr:cNvSpPr>
          <a:spLocks noChangeShapeType="1"/>
        </xdr:cNvSpPr>
      </xdr:nvSpPr>
      <xdr:spPr>
        <a:xfrm flipH="1">
          <a:off x="1764030" y="3874135"/>
          <a:ext cx="95250" cy="27178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275467</xdr:colOff>
      <xdr:row>33</xdr:row>
      <xdr:rowOff>121828</xdr:rowOff>
    </xdr:from>
    <xdr:to>
      <xdr:col>4</xdr:col>
      <xdr:colOff>466974</xdr:colOff>
      <xdr:row>34</xdr:row>
      <xdr:rowOff>150805</xdr:rowOff>
    </xdr:to>
    <xdr:sp>
      <xdr:nvSpPr>
        <xdr:cNvPr id="4" name="Oval 4"/>
        <xdr:cNvSpPr>
          <a:spLocks noChangeArrowheads="1"/>
        </xdr:cNvSpPr>
      </xdr:nvSpPr>
      <xdr:spPr>
        <a:xfrm>
          <a:off x="2630805" y="5721985"/>
          <a:ext cx="191770" cy="196850"/>
        </a:xfrm>
        <a:prstGeom prst="ellipse">
          <a:avLst/>
        </a:prstGeom>
        <a:solidFill>
          <a:srgbClr val="FFFFFF"/>
        </a:solidFill>
        <a:ln w="9525">
          <a:solidFill>
            <a:srgbClr val="000000"/>
          </a:solidFill>
          <a:round/>
        </a:ln>
      </xdr:spPr>
      <xdr:txBody>
        <a:bodyPr vertOverflow="clip" wrap="square" lIns="27432" tIns="22860" rIns="27432" bIns="0" anchor="t" upright="1"/>
        <a:lstStyle/>
        <a:p>
          <a:pPr algn="ctr" rtl="0">
            <a:defRPr sz="1000"/>
          </a:pPr>
          <a:r>
            <a:rPr lang="en-US" sz="800" b="1" i="0" u="none" strike="noStrike" baseline="0">
              <a:solidFill>
                <a:srgbClr val="FF0000"/>
              </a:solidFill>
              <a:latin typeface="Arial" panose="020B0604020202020204"/>
              <a:cs typeface="Arial" panose="020B0604020202020204"/>
            </a:rPr>
            <a:t>1</a:t>
          </a:r>
          <a:endParaRPr lang="en-US" sz="800" b="1" i="0" u="none" strike="noStrike" baseline="0">
            <a:solidFill>
              <a:srgbClr val="FF0000"/>
            </a:solidFill>
            <a:latin typeface="Arial" panose="020B0604020202020204"/>
            <a:cs typeface="Arial" panose="020B0604020202020204"/>
          </a:endParaRPr>
        </a:p>
      </xdr:txBody>
    </xdr:sp>
    <xdr:clientData/>
  </xdr:twoCellAnchor>
  <xdr:twoCellAnchor>
    <xdr:from>
      <xdr:col>3</xdr:col>
      <xdr:colOff>373075</xdr:colOff>
      <xdr:row>33</xdr:row>
      <xdr:rowOff>80467</xdr:rowOff>
    </xdr:from>
    <xdr:to>
      <xdr:col>3</xdr:col>
      <xdr:colOff>409651</xdr:colOff>
      <xdr:row>34</xdr:row>
      <xdr:rowOff>43891</xdr:rowOff>
    </xdr:to>
    <xdr:sp>
      <xdr:nvSpPr>
        <xdr:cNvPr id="6318407" name="Line 5"/>
        <xdr:cNvSpPr>
          <a:spLocks noChangeShapeType="1"/>
        </xdr:cNvSpPr>
      </xdr:nvSpPr>
      <xdr:spPr>
        <a:xfrm flipV="1">
          <a:off x="2034540" y="5680710"/>
          <a:ext cx="36830" cy="13144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19</xdr:row>
      <xdr:rowOff>0</xdr:rowOff>
    </xdr:from>
    <xdr:to>
      <xdr:col>2</xdr:col>
      <xdr:colOff>0</xdr:colOff>
      <xdr:row>19</xdr:row>
      <xdr:rowOff>0</xdr:rowOff>
    </xdr:to>
    <xdr:sp>
      <xdr:nvSpPr>
        <xdr:cNvPr id="4" name="Rectangle 2"/>
        <xdr:cNvSpPr>
          <a:spLocks noChangeArrowheads="1"/>
        </xdr:cNvSpPr>
      </xdr:nvSpPr>
      <xdr:spPr>
        <a:xfrm>
          <a:off x="803275" y="3192780"/>
          <a:ext cx="0" cy="0"/>
        </a:xfrm>
        <a:prstGeom prst="rect">
          <a:avLst/>
        </a:prstGeom>
        <a:solidFill>
          <a:srgbClr val="FFFFFF"/>
        </a:solidFill>
        <a:ln w="19050">
          <a:solidFill>
            <a:srgbClr val="000000"/>
          </a:solidFill>
          <a:miter lim="800000"/>
        </a:ln>
      </xdr:spPr>
      <xdr:txBody>
        <a:bodyPr vertOverflow="clip" wrap="square" lIns="27432" tIns="22860" rIns="27432" bIns="0" anchor="t" upright="1"/>
        <a:lstStyle/>
        <a:p>
          <a:pPr algn="ctr" rtl="0">
            <a:defRPr sz="1000"/>
          </a:pPr>
          <a:r>
            <a:rPr lang="en-US" sz="1000" b="1" i="0" u="none" strike="noStrike" baseline="0">
              <a:solidFill>
                <a:srgbClr val="FF0000"/>
              </a:solidFill>
              <a:latin typeface="Arial" panose="020B0604020202020204"/>
              <a:cs typeface="Arial" panose="020B0604020202020204"/>
            </a:rPr>
            <a:t>FF</a:t>
          </a:r>
          <a:endParaRPr lang="en-US" sz="1000" b="1" i="0" u="none" strike="noStrike" baseline="0">
            <a:solidFill>
              <a:srgbClr val="FF0000"/>
            </a:solidFill>
            <a:latin typeface="Arial" panose="020B0604020202020204"/>
            <a:cs typeface="Arial" panose="020B0604020202020204"/>
          </a:endParaRPr>
        </a:p>
      </xdr:txBody>
    </xdr:sp>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xdr:from>
      <xdr:col>7</xdr:col>
      <xdr:colOff>263347</xdr:colOff>
      <xdr:row>43</xdr:row>
      <xdr:rowOff>0</xdr:rowOff>
    </xdr:from>
    <xdr:to>
      <xdr:col>7</xdr:col>
      <xdr:colOff>263347</xdr:colOff>
      <xdr:row>43</xdr:row>
      <xdr:rowOff>0</xdr:rowOff>
    </xdr:to>
    <xdr:sp>
      <xdr:nvSpPr>
        <xdr:cNvPr id="6282949" name="Line 81"/>
        <xdr:cNvSpPr>
          <a:spLocks noChangeShapeType="1"/>
        </xdr:cNvSpPr>
      </xdr:nvSpPr>
      <xdr:spPr>
        <a:xfrm>
          <a:off x="6016625" y="7039610"/>
          <a:ext cx="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277978</xdr:colOff>
      <xdr:row>43</xdr:row>
      <xdr:rowOff>0</xdr:rowOff>
    </xdr:from>
    <xdr:to>
      <xdr:col>7</xdr:col>
      <xdr:colOff>277978</xdr:colOff>
      <xdr:row>43</xdr:row>
      <xdr:rowOff>0</xdr:rowOff>
    </xdr:to>
    <xdr:sp>
      <xdr:nvSpPr>
        <xdr:cNvPr id="6282950" name="Line 83"/>
        <xdr:cNvSpPr>
          <a:spLocks noChangeShapeType="1"/>
        </xdr:cNvSpPr>
      </xdr:nvSpPr>
      <xdr:spPr>
        <a:xfrm>
          <a:off x="6031230" y="7039610"/>
          <a:ext cx="0"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11</xdr:col>
      <xdr:colOff>512064</xdr:colOff>
      <xdr:row>7</xdr:row>
      <xdr:rowOff>138989</xdr:rowOff>
    </xdr:from>
    <xdr:to>
      <xdr:col>11</xdr:col>
      <xdr:colOff>672998</xdr:colOff>
      <xdr:row>9</xdr:row>
      <xdr:rowOff>4674</xdr:rowOff>
    </xdr:to>
    <xdr:pic>
      <xdr:nvPicPr>
        <xdr:cNvPr id="6" name="Picture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0567670" y="1395730"/>
          <a:ext cx="160655" cy="210820"/>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9</xdr:col>
          <xdr:colOff>527050</xdr:colOff>
          <xdr:row>7</xdr:row>
          <xdr:rowOff>139700</xdr:rowOff>
        </xdr:from>
        <xdr:to>
          <xdr:col>9</xdr:col>
          <xdr:colOff>723900</xdr:colOff>
          <xdr:row>8</xdr:row>
          <xdr:rowOff>152400</xdr:rowOff>
        </xdr:to>
        <xdr:sp>
          <xdr:nvSpPr>
            <xdr:cNvPr id="6539266" name="Object 2" hidden="1">
              <a:extLst>
                <a:ext uri="{63B3BB69-23CF-44E3-9099-C40C66FF867C}">
                  <a14:compatExt spid="_x0000_s6539266"/>
                </a:ext>
              </a:extLst>
            </xdr:cNvPr>
            <xdr:cNvSpPr/>
          </xdr:nvSpPr>
          <xdr:spPr>
            <a:xfrm>
              <a:off x="8591550" y="1397000"/>
              <a:ext cx="196850" cy="180340"/>
            </a:xfrm>
            <a:prstGeom prst="rect">
              <a:avLst/>
            </a:prstGeom>
          </xdr:spPr>
        </xdr:sp>
        <xdr:clientData/>
      </xdr:twoCellAnchor>
    </mc:Choice>
    <mc:Fallback/>
  </mc:AlternateContent>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xdr:from>
      <xdr:col>4</xdr:col>
      <xdr:colOff>343814</xdr:colOff>
      <xdr:row>66</xdr:row>
      <xdr:rowOff>73152</xdr:rowOff>
    </xdr:from>
    <xdr:to>
      <xdr:col>17</xdr:col>
      <xdr:colOff>826618</xdr:colOff>
      <xdr:row>68</xdr:row>
      <xdr:rowOff>36576</xdr:rowOff>
    </xdr:to>
    <xdr:sp>
      <xdr:nvSpPr>
        <xdr:cNvPr id="6283938" name="Freeform 13"/>
        <xdr:cNvSpPr/>
      </xdr:nvSpPr>
      <xdr:spPr>
        <a:xfrm>
          <a:off x="2983230" y="8919845"/>
          <a:ext cx="10511155" cy="298450"/>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105945</xdr:colOff>
      <xdr:row>67</xdr:row>
      <xdr:rowOff>90810</xdr:rowOff>
    </xdr:from>
    <xdr:to>
      <xdr:col>10</xdr:col>
      <xdr:colOff>590261</xdr:colOff>
      <xdr:row>68</xdr:row>
      <xdr:rowOff>110989</xdr:rowOff>
    </xdr:to>
    <xdr:sp>
      <xdr:nvSpPr>
        <xdr:cNvPr id="3" name="Rectangle 14"/>
        <xdr:cNvSpPr>
          <a:spLocks noChangeArrowheads="1"/>
        </xdr:cNvSpPr>
      </xdr:nvSpPr>
      <xdr:spPr>
        <a:xfrm>
          <a:off x="5184140" y="9105265"/>
          <a:ext cx="1744980" cy="187325"/>
        </a:xfrm>
        <a:prstGeom prst="rect">
          <a:avLst/>
        </a:prstGeom>
        <a:solidFill>
          <a:srgbClr val="FFFFFF"/>
        </a:solidFill>
        <a:ln w="9525">
          <a:solidFill>
            <a:srgbClr val="000000"/>
          </a:solidFill>
          <a:miter lim="800000"/>
        </a:ln>
      </xdr:spPr>
      <xdr:txBody>
        <a:bodyPr vertOverflow="clip" wrap="square" lIns="36576" tIns="32004" rIns="36576" bIns="0" anchor="ctr" upright="1"/>
        <a:lstStyle/>
        <a:p>
          <a:pPr algn="ctr" rtl="0">
            <a:defRPr sz="1000"/>
          </a:pPr>
          <a:r>
            <a:rPr lang="en-US" sz="1200" b="1" i="0" u="none" strike="noStrike" baseline="0">
              <a:solidFill>
                <a:srgbClr val="000000"/>
              </a:solidFill>
              <a:latin typeface="Arial" panose="020B0604020202020204"/>
              <a:cs typeface="Arial" panose="020B0604020202020204"/>
            </a:rPr>
            <a:t>F3</a:t>
          </a:r>
          <a:endParaRPr lang="en-US" sz="1200" b="1" i="0" u="none" strike="noStrike" baseline="0">
            <a:solidFill>
              <a:srgbClr val="000000"/>
            </a:solidFill>
            <a:latin typeface="Arial" panose="020B0604020202020204"/>
            <a:cs typeface="Arial" panose="020B0604020202020204"/>
          </a:endParaRPr>
        </a:p>
      </xdr:txBody>
    </xdr:sp>
    <xdr:clientData/>
  </xdr:twoCellAnchor>
  <mc:AlternateContent xmlns:mc="http://schemas.openxmlformats.org/markup-compatibility/2006">
    <mc:Choice xmlns:a14="http://schemas.microsoft.com/office/drawing/2010/main" Requires="a14">
      <xdr:twoCellAnchor editAs="oneCell">
        <xdr:from>
          <xdr:col>7</xdr:col>
          <xdr:colOff>139700</xdr:colOff>
          <xdr:row>67</xdr:row>
          <xdr:rowOff>101600</xdr:rowOff>
        </xdr:from>
        <xdr:to>
          <xdr:col>7</xdr:col>
          <xdr:colOff>298450</xdr:colOff>
          <xdr:row>68</xdr:row>
          <xdr:rowOff>107950</xdr:rowOff>
        </xdr:to>
        <xdr:sp>
          <xdr:nvSpPr>
            <xdr:cNvPr id="311297" name="Object 1" hidden="1">
              <a:extLst>
                <a:ext uri="{63B3BB69-23CF-44E3-9099-C40C66FF867C}">
                  <a14:compatExt spid="_x0000_s311297"/>
                </a:ext>
              </a:extLst>
            </xdr:cNvPr>
            <xdr:cNvSpPr/>
          </xdr:nvSpPr>
          <xdr:spPr>
            <a:xfrm>
              <a:off x="4478655" y="9116060"/>
              <a:ext cx="1587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114300</xdr:colOff>
          <xdr:row>71</xdr:row>
          <xdr:rowOff>19050</xdr:rowOff>
        </xdr:from>
        <xdr:to>
          <xdr:col>2</xdr:col>
          <xdr:colOff>82550</xdr:colOff>
          <xdr:row>72</xdr:row>
          <xdr:rowOff>50800</xdr:rowOff>
        </xdr:to>
        <xdr:sp>
          <xdr:nvSpPr>
            <xdr:cNvPr id="753666" name="Object 1026" hidden="1">
              <a:extLst>
                <a:ext uri="{63B3BB69-23CF-44E3-9099-C40C66FF867C}">
                  <a14:compatExt spid="_x0000_s753666"/>
                </a:ext>
              </a:extLst>
            </xdr:cNvPr>
            <xdr:cNvSpPr/>
          </xdr:nvSpPr>
          <xdr:spPr>
            <a:xfrm>
              <a:off x="187325" y="9723120"/>
              <a:ext cx="160020" cy="20701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107950</xdr:colOff>
          <xdr:row>72</xdr:row>
          <xdr:rowOff>31750</xdr:rowOff>
        </xdr:from>
        <xdr:to>
          <xdr:col>2</xdr:col>
          <xdr:colOff>82550</xdr:colOff>
          <xdr:row>73</xdr:row>
          <xdr:rowOff>38100</xdr:rowOff>
        </xdr:to>
        <xdr:sp>
          <xdr:nvSpPr>
            <xdr:cNvPr id="753667" name="Object 1027" hidden="1">
              <a:extLst>
                <a:ext uri="{63B3BB69-23CF-44E3-9099-C40C66FF867C}">
                  <a14:compatExt spid="_x0000_s753667"/>
                </a:ext>
              </a:extLst>
            </xdr:cNvPr>
            <xdr:cNvSpPr/>
          </xdr:nvSpPr>
          <xdr:spPr>
            <a:xfrm>
              <a:off x="180975" y="9911080"/>
              <a:ext cx="166370" cy="18161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127000</xdr:colOff>
          <xdr:row>73</xdr:row>
          <xdr:rowOff>19050</xdr:rowOff>
        </xdr:from>
        <xdr:to>
          <xdr:col>2</xdr:col>
          <xdr:colOff>82550</xdr:colOff>
          <xdr:row>74</xdr:row>
          <xdr:rowOff>19050</xdr:rowOff>
        </xdr:to>
        <xdr:sp>
          <xdr:nvSpPr>
            <xdr:cNvPr id="753668" name="Object 1028" hidden="1">
              <a:extLst>
                <a:ext uri="{63B3BB69-23CF-44E3-9099-C40C66FF867C}">
                  <a14:compatExt spid="_x0000_s753668"/>
                </a:ext>
              </a:extLst>
            </xdr:cNvPr>
            <xdr:cNvSpPr/>
          </xdr:nvSpPr>
          <xdr:spPr>
            <a:xfrm>
              <a:off x="200025" y="10073640"/>
              <a:ext cx="147320" cy="175260"/>
            </a:xfrm>
            <a:prstGeom prst="rect">
              <a:avLst/>
            </a:prstGeom>
          </xdr:spPr>
        </xdr:sp>
        <xdr:clientData/>
      </xdr:twoCellAnchor>
    </mc:Choice>
    <mc:Fallback/>
  </mc:AlternateContent>
  <xdr:twoCellAnchor>
    <xdr:from>
      <xdr:col>3</xdr:col>
      <xdr:colOff>1140162</xdr:colOff>
      <xdr:row>114</xdr:row>
      <xdr:rowOff>156394</xdr:rowOff>
    </xdr:from>
    <xdr:to>
      <xdr:col>3</xdr:col>
      <xdr:colOff>2204650</xdr:colOff>
      <xdr:row>118</xdr:row>
      <xdr:rowOff>45016</xdr:rowOff>
    </xdr:to>
    <xdr:sp>
      <xdr:nvSpPr>
        <xdr:cNvPr id="2" name="Right Brace 1"/>
        <xdr:cNvSpPr/>
      </xdr:nvSpPr>
      <xdr:spPr>
        <a:xfrm>
          <a:off x="1660525" y="17396460"/>
          <a:ext cx="979170" cy="58928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xdr:from>
      <xdr:col>11</xdr:col>
      <xdr:colOff>67525</xdr:colOff>
      <xdr:row>128</xdr:row>
      <xdr:rowOff>123796</xdr:rowOff>
    </xdr:from>
    <xdr:to>
      <xdr:col>11</xdr:col>
      <xdr:colOff>78779</xdr:colOff>
      <xdr:row>141</xdr:row>
      <xdr:rowOff>140677</xdr:rowOff>
    </xdr:to>
    <xdr:cxnSp>
      <xdr:nvCxnSpPr>
        <xdr:cNvPr id="3" name="Straight Arrow Connector 2"/>
        <xdr:cNvCxnSpPr/>
      </xdr:nvCxnSpPr>
      <xdr:spPr>
        <a:xfrm flipH="1">
          <a:off x="11082655" y="12012295"/>
          <a:ext cx="11430"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xdr:from>
      <xdr:col>11</xdr:col>
      <xdr:colOff>0</xdr:colOff>
      <xdr:row>27</xdr:row>
      <xdr:rowOff>87782</xdr:rowOff>
    </xdr:from>
    <xdr:to>
      <xdr:col>19</xdr:col>
      <xdr:colOff>424282</xdr:colOff>
      <xdr:row>29</xdr:row>
      <xdr:rowOff>29261</xdr:rowOff>
    </xdr:to>
    <xdr:sp>
      <xdr:nvSpPr>
        <xdr:cNvPr id="6284962" name="Freeform 13"/>
        <xdr:cNvSpPr/>
      </xdr:nvSpPr>
      <xdr:spPr>
        <a:xfrm>
          <a:off x="8228330" y="3768090"/>
          <a:ext cx="6899910" cy="292100"/>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45017</xdr:colOff>
      <xdr:row>28</xdr:row>
      <xdr:rowOff>80225</xdr:rowOff>
    </xdr:from>
    <xdr:to>
      <xdr:col>17</xdr:col>
      <xdr:colOff>700201</xdr:colOff>
      <xdr:row>30</xdr:row>
      <xdr:rowOff>5627</xdr:rowOff>
    </xdr:to>
    <xdr:sp>
      <xdr:nvSpPr>
        <xdr:cNvPr id="3" name="Rectangle 14"/>
        <xdr:cNvSpPr>
          <a:spLocks noChangeArrowheads="1"/>
        </xdr:cNvSpPr>
      </xdr:nvSpPr>
      <xdr:spPr>
        <a:xfrm>
          <a:off x="9323070" y="3935730"/>
          <a:ext cx="4107815" cy="271780"/>
        </a:xfrm>
        <a:prstGeom prst="rect">
          <a:avLst/>
        </a:prstGeom>
        <a:solidFill>
          <a:srgbClr val="FFFFFF"/>
        </a:solidFill>
        <a:ln w="9525">
          <a:solidFill>
            <a:srgbClr val="000000"/>
          </a:solidFill>
          <a:miter lim="800000"/>
        </a:ln>
      </xdr:spPr>
      <xdr:txBody>
        <a:bodyPr vertOverflow="clip" wrap="square" lIns="36576" tIns="32004" rIns="36576" bIns="0" anchor="t" upright="1"/>
        <a:lstStyle/>
        <a:p>
          <a:pPr algn="ctr" rtl="0">
            <a:defRPr sz="1000"/>
          </a:pPr>
          <a:r>
            <a:rPr lang="en-US" sz="1600" b="1" i="0" u="none" strike="noStrike" baseline="0">
              <a:solidFill>
                <a:srgbClr val="000000"/>
              </a:solidFill>
              <a:latin typeface="Arial" panose="020B0604020202020204"/>
              <a:cs typeface="Arial" panose="020B0604020202020204"/>
            </a:rPr>
            <a:t>F3</a:t>
          </a:r>
          <a:endParaRPr lang="en-US" sz="1600" b="1" i="0" u="none" strike="noStrike" baseline="0">
            <a:solidFill>
              <a:srgbClr val="000000"/>
            </a:solidFill>
            <a:latin typeface="Arial" panose="020B0604020202020204"/>
            <a:cs typeface="Arial" panose="020B0604020202020204"/>
          </a:endParaRPr>
        </a:p>
      </xdr:txBody>
    </xdr:sp>
    <xdr:clientData/>
  </xdr:twoCellAnchor>
  <mc:AlternateContent xmlns:mc="http://schemas.openxmlformats.org/markup-compatibility/2006">
    <mc:Choice xmlns:a14="http://schemas.microsoft.com/office/drawing/2010/main" Requires="a14">
      <xdr:twoCellAnchor editAs="oneCell">
        <xdr:from>
          <xdr:col>18</xdr:col>
          <xdr:colOff>44450</xdr:colOff>
          <xdr:row>28</xdr:row>
          <xdr:rowOff>38100</xdr:rowOff>
        </xdr:from>
        <xdr:to>
          <xdr:col>18</xdr:col>
          <xdr:colOff>317500</xdr:colOff>
          <xdr:row>29</xdr:row>
          <xdr:rowOff>158750</xdr:rowOff>
        </xdr:to>
        <xdr:sp>
          <xdr:nvSpPr>
            <xdr:cNvPr id="413697" name="Object 1" hidden="1">
              <a:extLst>
                <a:ext uri="{63B3BB69-23CF-44E3-9099-C40C66FF867C}">
                  <a14:compatExt spid="_x0000_s413697"/>
                </a:ext>
              </a:extLst>
            </xdr:cNvPr>
            <xdr:cNvSpPr/>
          </xdr:nvSpPr>
          <xdr:spPr>
            <a:xfrm>
              <a:off x="13844270" y="3893820"/>
              <a:ext cx="273050" cy="295910"/>
            </a:xfrm>
            <a:prstGeom prst="rect">
              <a:avLst/>
            </a:prstGeom>
          </xdr:spPr>
        </xdr:sp>
        <xdr:clientData/>
      </xdr:twoCellAnchor>
    </mc:Choice>
    <mc:Fallback/>
  </mc:AlternateContent>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xdr:from>
      <xdr:col>4</xdr:col>
      <xdr:colOff>299923</xdr:colOff>
      <xdr:row>40</xdr:row>
      <xdr:rowOff>0</xdr:rowOff>
    </xdr:from>
    <xdr:to>
      <xdr:col>17</xdr:col>
      <xdr:colOff>1016813</xdr:colOff>
      <xdr:row>41</xdr:row>
      <xdr:rowOff>102413</xdr:rowOff>
    </xdr:to>
    <xdr:sp>
      <xdr:nvSpPr>
        <xdr:cNvPr id="6286323" name="Freeform 1"/>
        <xdr:cNvSpPr/>
      </xdr:nvSpPr>
      <xdr:spPr>
        <a:xfrm>
          <a:off x="3131185" y="4907280"/>
          <a:ext cx="10349230" cy="26987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548640</xdr:colOff>
      <xdr:row>11</xdr:row>
      <xdr:rowOff>102413</xdr:rowOff>
    </xdr:from>
    <xdr:to>
      <xdr:col>11</xdr:col>
      <xdr:colOff>694944</xdr:colOff>
      <xdr:row>12</xdr:row>
      <xdr:rowOff>102412</xdr:rowOff>
    </xdr:to>
    <xdr:pic>
      <xdr:nvPicPr>
        <xdr:cNvPr id="6286325" name="Picture 3"/>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238490" y="1991995"/>
          <a:ext cx="146050" cy="167640"/>
        </a:xfrm>
        <a:prstGeom prst="rect">
          <a:avLst/>
        </a:prstGeom>
        <a:solidFill>
          <a:srgbClr val="FFFFFF"/>
        </a:solidFill>
        <a:ln w="9525">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17</xdr:col>
          <xdr:colOff>488950</xdr:colOff>
          <xdr:row>11</xdr:row>
          <xdr:rowOff>82550</xdr:rowOff>
        </xdr:from>
        <xdr:to>
          <xdr:col>17</xdr:col>
          <xdr:colOff>685800</xdr:colOff>
          <xdr:row>12</xdr:row>
          <xdr:rowOff>101600</xdr:rowOff>
        </xdr:to>
        <xdr:sp>
          <xdr:nvSpPr>
            <xdr:cNvPr id="49156" name="Object 4" hidden="1">
              <a:extLst>
                <a:ext uri="{63B3BB69-23CF-44E3-9099-C40C66FF867C}">
                  <a14:compatExt spid="_x0000_s49156"/>
                </a:ext>
              </a:extLst>
            </xdr:cNvPr>
            <xdr:cNvSpPr/>
          </xdr:nvSpPr>
          <xdr:spPr>
            <a:xfrm>
              <a:off x="12983210" y="1972310"/>
              <a:ext cx="196850" cy="1866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177800</xdr:colOff>
          <xdr:row>45</xdr:row>
          <xdr:rowOff>0</xdr:rowOff>
        </xdr:from>
        <xdr:to>
          <xdr:col>1</xdr:col>
          <xdr:colOff>368300</xdr:colOff>
          <xdr:row>46</xdr:row>
          <xdr:rowOff>44450</xdr:rowOff>
        </xdr:to>
        <xdr:sp>
          <xdr:nvSpPr>
            <xdr:cNvPr id="49164" name="Object 12" hidden="1">
              <a:extLst>
                <a:ext uri="{63B3BB69-23CF-44E3-9099-C40C66FF867C}">
                  <a14:compatExt spid="_x0000_s49164"/>
                </a:ext>
              </a:extLst>
            </xdr:cNvPr>
            <xdr:cNvSpPr/>
          </xdr:nvSpPr>
          <xdr:spPr>
            <a:xfrm>
              <a:off x="387985" y="5745480"/>
              <a:ext cx="190500" cy="2120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184150</xdr:colOff>
          <xdr:row>43</xdr:row>
          <xdr:rowOff>127000</xdr:rowOff>
        </xdr:from>
        <xdr:to>
          <xdr:col>1</xdr:col>
          <xdr:colOff>368300</xdr:colOff>
          <xdr:row>45</xdr:row>
          <xdr:rowOff>0</xdr:rowOff>
        </xdr:to>
        <xdr:sp>
          <xdr:nvSpPr>
            <xdr:cNvPr id="49165" name="Object 13" hidden="1">
              <a:extLst>
                <a:ext uri="{63B3BB69-23CF-44E3-9099-C40C66FF867C}">
                  <a14:compatExt spid="_x0000_s49165"/>
                </a:ext>
              </a:extLst>
            </xdr:cNvPr>
            <xdr:cNvSpPr/>
          </xdr:nvSpPr>
          <xdr:spPr>
            <a:xfrm>
              <a:off x="394335" y="5537200"/>
              <a:ext cx="184150" cy="2082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184150</xdr:colOff>
          <xdr:row>46</xdr:row>
          <xdr:rowOff>0</xdr:rowOff>
        </xdr:from>
        <xdr:to>
          <xdr:col>1</xdr:col>
          <xdr:colOff>349250</xdr:colOff>
          <xdr:row>47</xdr:row>
          <xdr:rowOff>0</xdr:rowOff>
        </xdr:to>
        <xdr:sp>
          <xdr:nvSpPr>
            <xdr:cNvPr id="49166" name="Object 14" hidden="1">
              <a:extLst>
                <a:ext uri="{63B3BB69-23CF-44E3-9099-C40C66FF867C}">
                  <a14:compatExt spid="_x0000_s49166"/>
                </a:ext>
              </a:extLst>
            </xdr:cNvPr>
            <xdr:cNvSpPr/>
          </xdr:nvSpPr>
          <xdr:spPr>
            <a:xfrm>
              <a:off x="394335" y="5913120"/>
              <a:ext cx="165100" cy="1676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609600</xdr:colOff>
          <xdr:row>41</xdr:row>
          <xdr:rowOff>19050</xdr:rowOff>
        </xdr:from>
        <xdr:to>
          <xdr:col>10</xdr:col>
          <xdr:colOff>787400</xdr:colOff>
          <xdr:row>42</xdr:row>
          <xdr:rowOff>44450</xdr:rowOff>
        </xdr:to>
        <xdr:sp>
          <xdr:nvSpPr>
            <xdr:cNvPr id="49238" name="Object 86" hidden="1">
              <a:extLst>
                <a:ext uri="{63B3BB69-23CF-44E3-9099-C40C66FF867C}">
                  <a14:compatExt spid="_x0000_s49238"/>
                </a:ext>
              </a:extLst>
            </xdr:cNvPr>
            <xdr:cNvSpPr/>
          </xdr:nvSpPr>
          <xdr:spPr>
            <a:xfrm>
              <a:off x="7267575" y="5093970"/>
              <a:ext cx="177800" cy="193040"/>
            </a:xfrm>
            <a:prstGeom prst="rect">
              <a:avLst/>
            </a:prstGeom>
          </xdr:spPr>
        </xdr:sp>
        <xdr:clientData/>
      </xdr:twoCellAnchor>
    </mc:Choice>
    <mc:Fallback/>
  </mc:AlternateContent>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512064</xdr:colOff>
      <xdr:row>11</xdr:row>
      <xdr:rowOff>102413</xdr:rowOff>
    </xdr:from>
    <xdr:to>
      <xdr:col>10</xdr:col>
      <xdr:colOff>687629</xdr:colOff>
      <xdr:row>12</xdr:row>
      <xdr:rowOff>102413</xdr:rowOff>
    </xdr:to>
    <xdr:pic>
      <xdr:nvPicPr>
        <xdr:cNvPr id="6287347" name="Picture 11"/>
        <xdr:cNvPicPr>
          <a:picLocks noChangeAspect="1" noChangeArrowheads="1"/>
        </xdr:cNvPicPr>
      </xdr:nvPicPr>
      <xdr:blipFill>
        <a:blip r:embed="rId1">
          <a:biLevel thresh="50000"/>
          <a:grayscl/>
          <a:extLst>
            <a:ext uri="{28A0092B-C50C-407E-A947-70E740481C1C}">
              <a14:useLocalDpi xmlns:a14="http://schemas.microsoft.com/office/drawing/2010/main" val="0"/>
            </a:ext>
          </a:extLst>
        </a:blip>
        <a:srcRect/>
        <a:stretch>
          <a:fillRect/>
        </a:stretch>
      </xdr:blipFill>
      <xdr:spPr>
        <a:xfrm>
          <a:off x="8166100" y="1946275"/>
          <a:ext cx="175260" cy="167640"/>
        </a:xfrm>
        <a:prstGeom prst="rect">
          <a:avLst/>
        </a:prstGeom>
        <a:solidFill>
          <a:srgbClr val="FFFFFF"/>
        </a:solidFill>
        <a:ln w="9525">
          <a:solidFill>
            <a:srgbClr val="000000"/>
          </a:solidFill>
          <a:miter lim="800000"/>
          <a:headEnd/>
          <a:tailEnd/>
        </a:ln>
      </xdr:spPr>
    </xdr:pic>
    <xdr:clientData/>
  </xdr:twoCellAnchor>
  <xdr:twoCellAnchor>
    <xdr:from>
      <xdr:col>3</xdr:col>
      <xdr:colOff>592531</xdr:colOff>
      <xdr:row>78</xdr:row>
      <xdr:rowOff>58522</xdr:rowOff>
    </xdr:from>
    <xdr:to>
      <xdr:col>18</xdr:col>
      <xdr:colOff>497434</xdr:colOff>
      <xdr:row>79</xdr:row>
      <xdr:rowOff>102413</xdr:rowOff>
    </xdr:to>
    <xdr:sp>
      <xdr:nvSpPr>
        <xdr:cNvPr id="6287348" name="Freeform 36"/>
        <xdr:cNvSpPr/>
      </xdr:nvSpPr>
      <xdr:spPr>
        <a:xfrm>
          <a:off x="3169285" y="7919085"/>
          <a:ext cx="12023090" cy="211455"/>
        </a:xfrm>
        <a:custGeom>
          <a:avLst/>
          <a:gdLst>
            <a:gd name="T0" fmla="*/ 0 w 1088"/>
            <a:gd name="T1" fmla="*/ 2147483646 h 43"/>
            <a:gd name="T2" fmla="*/ 2147483646 w 1088"/>
            <a:gd name="T3" fmla="*/ 2147483646 h 43"/>
            <a:gd name="T4" fmla="*/ 2147483646 w 1088"/>
            <a:gd name="T5" fmla="*/ 2147483646 h 43"/>
            <a:gd name="T6" fmla="*/ 2147483646 w 1088"/>
            <a:gd name="T7" fmla="*/ 0 h 43"/>
            <a:gd name="T8" fmla="*/ 0 60000 65536"/>
            <a:gd name="T9" fmla="*/ 0 60000 65536"/>
            <a:gd name="T10" fmla="*/ 0 60000 65536"/>
            <a:gd name="T11" fmla="*/ 0 60000 65536"/>
            <a:gd name="T12" fmla="*/ 0 w 1088"/>
            <a:gd name="T13" fmla="*/ 0 h 43"/>
            <a:gd name="T14" fmla="*/ 1088 w 1088"/>
            <a:gd name="T15" fmla="*/ 43 h 43"/>
          </a:gdLst>
          <a:ahLst/>
          <a:cxnLst>
            <a:cxn ang="T8">
              <a:pos x="T0" y="T1"/>
            </a:cxn>
            <a:cxn ang="T9">
              <a:pos x="T2" y="T3"/>
            </a:cxn>
            <a:cxn ang="T10">
              <a:pos x="T4" y="T5"/>
            </a:cxn>
            <a:cxn ang="T11">
              <a:pos x="T6" y="T7"/>
            </a:cxn>
          </a:cxnLst>
          <a:rect l="T12" t="T13" r="T14" b="T15"/>
          <a:pathLst>
            <a:path w="1088" h="43">
              <a:moveTo>
                <a:pt x="0" y="2"/>
              </a:moveTo>
              <a:lnTo>
                <a:pt x="47" y="43"/>
              </a:lnTo>
              <a:lnTo>
                <a:pt x="1027" y="43"/>
              </a:lnTo>
              <a:lnTo>
                <a:pt x="1088" y="0"/>
              </a:lnTo>
            </a:path>
          </a:pathLst>
        </a:custGeom>
        <a:noFill/>
        <a:ln w="38100">
          <a:solidFill>
            <a:srgbClr val="000000"/>
          </a:solidFill>
          <a:rou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0</xdr:colOff>
      <xdr:row>78</xdr:row>
      <xdr:rowOff>138270</xdr:rowOff>
    </xdr:from>
    <xdr:to>
      <xdr:col>15</xdr:col>
      <xdr:colOff>856068</xdr:colOff>
      <xdr:row>80</xdr:row>
      <xdr:rowOff>9685</xdr:rowOff>
    </xdr:to>
    <xdr:sp>
      <xdr:nvSpPr>
        <xdr:cNvPr id="87077" name="Rectangle 37"/>
        <xdr:cNvSpPr>
          <a:spLocks noChangeArrowheads="1"/>
        </xdr:cNvSpPr>
      </xdr:nvSpPr>
      <xdr:spPr>
        <a:xfrm>
          <a:off x="7654290" y="7998460"/>
          <a:ext cx="4627880" cy="207010"/>
        </a:xfrm>
        <a:prstGeom prst="rect">
          <a:avLst/>
        </a:prstGeom>
        <a:solidFill>
          <a:srgbClr val="FFFFFF"/>
        </a:solidFill>
        <a:ln w="9525">
          <a:solidFill>
            <a:srgbClr val="000000"/>
          </a:solidFill>
          <a:miter lim="800000"/>
        </a:ln>
      </xdr:spPr>
      <xdr:txBody>
        <a:bodyPr vertOverflow="clip" wrap="square" lIns="36576" tIns="32004" rIns="36576" bIns="0" anchor="ctr" upright="1"/>
        <a:lstStyle/>
        <a:p>
          <a:pPr algn="ctr" rtl="0">
            <a:defRPr sz="1000"/>
          </a:pPr>
          <a:r>
            <a:rPr lang="id-ID" sz="1400" b="1" i="0" u="none" strike="noStrike" baseline="0">
              <a:solidFill>
                <a:srgbClr val="000000"/>
              </a:solidFill>
              <a:latin typeface="Arial" panose="020B0604020202020204"/>
              <a:cs typeface="Arial" panose="020B0604020202020204"/>
            </a:rPr>
            <a:t>F3</a:t>
          </a:r>
          <a:endParaRPr lang="id-ID" sz="1400" b="1" i="0" u="none" strike="noStrike" baseline="0">
            <a:solidFill>
              <a:srgbClr val="000000"/>
            </a:solidFill>
            <a:latin typeface="Arial" panose="020B0604020202020204"/>
            <a:cs typeface="Arial" panose="020B0604020202020204"/>
          </a:endParaRPr>
        </a:p>
      </xdr:txBody>
    </xdr:sp>
    <xdr:clientData/>
  </xdr:twoCellAnchor>
  <mc:AlternateContent xmlns:mc="http://schemas.openxmlformats.org/markup-compatibility/2006">
    <mc:Choice xmlns:a14="http://schemas.microsoft.com/office/drawing/2010/main" Requires="a14">
      <xdr:twoCellAnchor editAs="oneCell">
        <xdr:from>
          <xdr:col>10</xdr:col>
          <xdr:colOff>571500</xdr:colOff>
          <xdr:row>78</xdr:row>
          <xdr:rowOff>127000</xdr:rowOff>
        </xdr:from>
        <xdr:to>
          <xdr:col>10</xdr:col>
          <xdr:colOff>819150</xdr:colOff>
          <xdr:row>80</xdr:row>
          <xdr:rowOff>38100</xdr:rowOff>
        </xdr:to>
        <xdr:sp>
          <xdr:nvSpPr>
            <xdr:cNvPr id="87079" name="Object 39" hidden="1">
              <a:extLst>
                <a:ext uri="{63B3BB69-23CF-44E3-9099-C40C66FF867C}">
                  <a14:compatExt spid="_x0000_s87079"/>
                </a:ext>
              </a:extLst>
            </xdr:cNvPr>
            <xdr:cNvSpPr/>
          </xdr:nvSpPr>
          <xdr:spPr>
            <a:xfrm>
              <a:off x="8225790" y="7987665"/>
              <a:ext cx="247650" cy="2463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539750</xdr:colOff>
          <xdr:row>11</xdr:row>
          <xdr:rowOff>38100</xdr:rowOff>
        </xdr:from>
        <xdr:to>
          <xdr:col>16</xdr:col>
          <xdr:colOff>723900</xdr:colOff>
          <xdr:row>12</xdr:row>
          <xdr:rowOff>44450</xdr:rowOff>
        </xdr:to>
        <xdr:sp>
          <xdr:nvSpPr>
            <xdr:cNvPr id="87087" name="Object 47" hidden="1">
              <a:extLst>
                <a:ext uri="{63B3BB69-23CF-44E3-9099-C40C66FF867C}">
                  <a14:compatExt spid="_x0000_s87087"/>
                </a:ext>
              </a:extLst>
            </xdr:cNvPr>
            <xdr:cNvSpPr/>
          </xdr:nvSpPr>
          <xdr:spPr>
            <a:xfrm>
              <a:off x="13070840" y="1882140"/>
              <a:ext cx="1841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80</xdr:row>
          <xdr:rowOff>127000</xdr:rowOff>
        </xdr:from>
        <xdr:to>
          <xdr:col>1</xdr:col>
          <xdr:colOff>393700</xdr:colOff>
          <xdr:row>81</xdr:row>
          <xdr:rowOff>139700</xdr:rowOff>
        </xdr:to>
        <xdr:sp>
          <xdr:nvSpPr>
            <xdr:cNvPr id="757760" name="Object 1024" hidden="1">
              <a:extLst>
                <a:ext uri="{63B3BB69-23CF-44E3-9099-C40C66FF867C}">
                  <a14:compatExt spid="_x0000_s757760"/>
                </a:ext>
              </a:extLst>
            </xdr:cNvPr>
            <xdr:cNvSpPr/>
          </xdr:nvSpPr>
          <xdr:spPr>
            <a:xfrm>
              <a:off x="462915" y="8322945"/>
              <a:ext cx="158750" cy="1803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222250</xdr:colOff>
          <xdr:row>82</xdr:row>
          <xdr:rowOff>6350</xdr:rowOff>
        </xdr:from>
        <xdr:to>
          <xdr:col>1</xdr:col>
          <xdr:colOff>393700</xdr:colOff>
          <xdr:row>83</xdr:row>
          <xdr:rowOff>12700</xdr:rowOff>
        </xdr:to>
        <xdr:sp>
          <xdr:nvSpPr>
            <xdr:cNvPr id="757761" name="Object 1025" hidden="1">
              <a:extLst>
                <a:ext uri="{63B3BB69-23CF-44E3-9099-C40C66FF867C}">
                  <a14:compatExt spid="_x0000_s757761"/>
                </a:ext>
              </a:extLst>
            </xdr:cNvPr>
            <xdr:cNvSpPr/>
          </xdr:nvSpPr>
          <xdr:spPr>
            <a:xfrm>
              <a:off x="450215" y="8537575"/>
              <a:ext cx="171450" cy="1739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83</xdr:row>
          <xdr:rowOff>38100</xdr:rowOff>
        </xdr:from>
        <xdr:to>
          <xdr:col>1</xdr:col>
          <xdr:colOff>387350</xdr:colOff>
          <xdr:row>84</xdr:row>
          <xdr:rowOff>19050</xdr:rowOff>
        </xdr:to>
        <xdr:sp>
          <xdr:nvSpPr>
            <xdr:cNvPr id="757762" name="Object 1026" hidden="1">
              <a:extLst>
                <a:ext uri="{63B3BB69-23CF-44E3-9099-C40C66FF867C}">
                  <a14:compatExt spid="_x0000_s757762"/>
                </a:ext>
              </a:extLst>
            </xdr:cNvPr>
            <xdr:cNvSpPr/>
          </xdr:nvSpPr>
          <xdr:spPr>
            <a:xfrm>
              <a:off x="456565" y="8736965"/>
              <a:ext cx="158750" cy="148590"/>
            </a:xfrm>
            <a:prstGeom prst="rect">
              <a:avLst/>
            </a:prstGeom>
          </xdr:spPr>
        </xdr:sp>
        <xdr:clientData/>
      </xdr:twoCellAnchor>
    </mc:Choice>
    <mc:Fallback/>
  </mc:AlternateContent>
  <xdr:twoCellAnchor editAs="oneCell">
    <xdr:from>
      <xdr:col>4</xdr:col>
      <xdr:colOff>342720</xdr:colOff>
      <xdr:row>35</xdr:row>
      <xdr:rowOff>43050</xdr:rowOff>
    </xdr:from>
    <xdr:to>
      <xdr:col>4</xdr:col>
      <xdr:colOff>910800</xdr:colOff>
      <xdr:row>35</xdr:row>
      <xdr:rowOff>75450</xdr:rowOff>
    </xdr:to>
    <xdr:contentPart xmlns:xdr14="http://schemas.microsoft.com/office/excel/2010/spreadsheetDrawing" r:id="rId2">
      <xdr14:nvContentPartPr>
        <xdr14:cNvPr id="9" name="Ink 8"/>
        <xdr14:cNvContentPartPr/>
      </xdr14:nvContentPartPr>
      <xdr14:nvPr/>
      <xdr14:xfrm>
        <a:off x="3511550" y="3879850"/>
        <a:ext cx="568325" cy="32385"/>
      </xdr14:xfrm>
    </xdr:contentPart>
    <xdr:clientData/>
  </xdr:twoCellAnchor>
  <xdr:twoCellAnchor editAs="oneCell">
    <xdr:from>
      <xdr:col>9</xdr:col>
      <xdr:colOff>463430</xdr:colOff>
      <xdr:row>35</xdr:row>
      <xdr:rowOff>44490</xdr:rowOff>
    </xdr:from>
    <xdr:to>
      <xdr:col>10</xdr:col>
      <xdr:colOff>0</xdr:colOff>
      <xdr:row>35</xdr:row>
      <xdr:rowOff>57450</xdr:rowOff>
    </xdr:to>
    <xdr:contentPart xmlns:xdr14="http://schemas.microsoft.com/office/excel/2010/spreadsheetDrawing" r:id="rId3">
      <xdr14:nvContentPartPr>
        <xdr14:cNvPr id="10" name="Ink 9"/>
        <xdr14:cNvContentPartPr/>
      </xdr14:nvContentPartPr>
      <xdr14:nvPr/>
      <xdr14:xfrm>
        <a:off x="7176770" y="3881755"/>
        <a:ext cx="477520" cy="12700"/>
      </xdr14:xfrm>
    </xdr:contentPart>
    <xdr:clientData/>
  </xdr:twoCellAnchor>
  <xdr:twoCellAnchor editAs="oneCell">
    <xdr:from>
      <xdr:col>10</xdr:col>
      <xdr:colOff>323610</xdr:colOff>
      <xdr:row>35</xdr:row>
      <xdr:rowOff>83370</xdr:rowOff>
    </xdr:from>
    <xdr:to>
      <xdr:col>10</xdr:col>
      <xdr:colOff>921570</xdr:colOff>
      <xdr:row>35</xdr:row>
      <xdr:rowOff>128370</xdr:rowOff>
    </xdr:to>
    <xdr:contentPart xmlns:xdr14="http://schemas.microsoft.com/office/excel/2010/spreadsheetDrawing" r:id="rId4">
      <xdr14:nvContentPartPr>
        <xdr14:cNvPr id="11" name="Ink 10"/>
        <xdr14:cNvContentPartPr/>
      </xdr14:nvContentPartPr>
      <xdr14:nvPr/>
      <xdr14:xfrm>
        <a:off x="7977505" y="3920490"/>
        <a:ext cx="598170" cy="45085"/>
      </xdr14:xfrm>
    </xdr:contentPart>
    <xdr:clientData/>
  </xdr:twoCellAnchor>
  <xdr:twoCellAnchor editAs="oneCell">
    <xdr:from>
      <xdr:col>15</xdr:col>
      <xdr:colOff>361730</xdr:colOff>
      <xdr:row>35</xdr:row>
      <xdr:rowOff>47010</xdr:rowOff>
    </xdr:from>
    <xdr:to>
      <xdr:col>15</xdr:col>
      <xdr:colOff>906770</xdr:colOff>
      <xdr:row>36</xdr:row>
      <xdr:rowOff>5030</xdr:rowOff>
    </xdr:to>
    <xdr:contentPart xmlns:xdr14="http://schemas.microsoft.com/office/excel/2010/spreadsheetDrawing" r:id="rId5">
      <xdr14:nvContentPartPr>
        <xdr14:cNvPr id="12" name="Ink 11"/>
        <xdr14:cNvContentPartPr/>
      </xdr14:nvContentPartPr>
      <xdr14:nvPr/>
      <xdr14:xfrm>
        <a:off x="11787505" y="3884295"/>
        <a:ext cx="544830" cy="125095"/>
      </xdr14:xfrm>
    </xdr:contentPart>
    <xdr:clientData/>
  </xdr:twoCellAnchor>
  <xdr:twoCellAnchor editAs="oneCell">
    <xdr:from>
      <xdr:col>15</xdr:col>
      <xdr:colOff>958610</xdr:colOff>
      <xdr:row>35</xdr:row>
      <xdr:rowOff>107130</xdr:rowOff>
    </xdr:from>
    <xdr:to>
      <xdr:col>16</xdr:col>
      <xdr:colOff>0</xdr:colOff>
      <xdr:row>35</xdr:row>
      <xdr:rowOff>120810</xdr:rowOff>
    </xdr:to>
    <xdr:contentPart xmlns:xdr14="http://schemas.microsoft.com/office/excel/2010/spreadsheetDrawing" r:id="rId6">
      <xdr14:nvContentPartPr>
        <xdr14:cNvPr id="13" name="Ink 12"/>
        <xdr14:cNvContentPartPr/>
      </xdr14:nvContentPartPr>
      <xdr14:nvPr/>
      <xdr14:xfrm>
        <a:off x="12384405" y="3943985"/>
        <a:ext cx="146685" cy="13970"/>
      </xdr14:xfrm>
    </xdr:contentPart>
    <xdr:clientData/>
  </xdr:twoCellAnchor>
  <xdr:twoCellAnchor editAs="oneCell">
    <xdr:from>
      <xdr:col>16</xdr:col>
      <xdr:colOff>437950</xdr:colOff>
      <xdr:row>34</xdr:row>
      <xdr:rowOff>139390</xdr:rowOff>
    </xdr:from>
    <xdr:to>
      <xdr:col>16</xdr:col>
      <xdr:colOff>1002790</xdr:colOff>
      <xdr:row>35</xdr:row>
      <xdr:rowOff>89130</xdr:rowOff>
    </xdr:to>
    <xdr:contentPart xmlns:xdr14="http://schemas.microsoft.com/office/excel/2010/spreadsheetDrawing" r:id="rId7">
      <xdr14:nvContentPartPr>
        <xdr14:cNvPr id="14" name="Ink 13"/>
        <xdr14:cNvContentPartPr/>
      </xdr14:nvContentPartPr>
      <xdr14:nvPr/>
      <xdr14:xfrm>
        <a:off x="12968605" y="3808730"/>
        <a:ext cx="565150" cy="117475"/>
      </xdr14:xfrm>
    </xdr:contentPart>
    <xdr:clientData/>
  </xdr:twoCellAnchor>
  <xdr:twoCellAnchor editAs="oneCell">
    <xdr:from>
      <xdr:col>4</xdr:col>
      <xdr:colOff>107640</xdr:colOff>
      <xdr:row>73</xdr:row>
      <xdr:rowOff>113720</xdr:rowOff>
    </xdr:from>
    <xdr:to>
      <xdr:col>5</xdr:col>
      <xdr:colOff>23130</xdr:colOff>
      <xdr:row>73</xdr:row>
      <xdr:rowOff>147200</xdr:rowOff>
    </xdr:to>
    <xdr:contentPart xmlns:xdr14="http://schemas.microsoft.com/office/excel/2010/spreadsheetDrawing" r:id="rId8">
      <xdr14:nvContentPartPr>
        <xdr14:cNvPr id="15" name="Ink 14"/>
        <xdr14:cNvContentPartPr/>
      </xdr14:nvContentPartPr>
      <xdr14:nvPr/>
      <xdr14:xfrm>
        <a:off x="3276600" y="7136130"/>
        <a:ext cx="847090" cy="33020"/>
      </xdr14:xfrm>
    </xdr:contentPart>
    <xdr:clientData/>
  </xdr:twoCellAnchor>
  <xdr:twoCellAnchor editAs="oneCell">
    <xdr:from>
      <xdr:col>9</xdr:col>
      <xdr:colOff>139430</xdr:colOff>
      <xdr:row>73</xdr:row>
      <xdr:rowOff>7520</xdr:rowOff>
    </xdr:from>
    <xdr:to>
      <xdr:col>10</xdr:col>
      <xdr:colOff>718890</xdr:colOff>
      <xdr:row>73</xdr:row>
      <xdr:rowOff>134240</xdr:rowOff>
    </xdr:to>
    <xdr:contentPart xmlns:xdr14="http://schemas.microsoft.com/office/excel/2010/spreadsheetDrawing" r:id="rId9">
      <xdr14:nvContentPartPr>
        <xdr14:cNvPr id="16" name="Ink 15"/>
        <xdr14:cNvContentPartPr/>
      </xdr14:nvContentPartPr>
      <xdr14:nvPr/>
      <xdr14:xfrm>
        <a:off x="6852920" y="7029450"/>
        <a:ext cx="1520190" cy="127000"/>
      </xdr14:xfrm>
    </xdr:contentPart>
    <xdr:clientData/>
  </xdr:twoCellAnchor>
  <xdr:twoCellAnchor editAs="oneCell">
    <xdr:from>
      <xdr:col>10</xdr:col>
      <xdr:colOff>12570</xdr:colOff>
      <xdr:row>35</xdr:row>
      <xdr:rowOff>82290</xdr:rowOff>
    </xdr:from>
    <xdr:to>
      <xdr:col>10</xdr:col>
      <xdr:colOff>258810</xdr:colOff>
      <xdr:row>35</xdr:row>
      <xdr:rowOff>88770</xdr:rowOff>
    </xdr:to>
    <xdr:contentPart xmlns:xdr14="http://schemas.microsoft.com/office/excel/2010/spreadsheetDrawing" r:id="rId10">
      <xdr14:nvContentPartPr>
        <xdr14:cNvPr id="17" name="Ink 16"/>
        <xdr14:cNvContentPartPr/>
      </xdr14:nvContentPartPr>
      <xdr14:nvPr/>
      <xdr14:xfrm>
        <a:off x="7666355" y="3919220"/>
        <a:ext cx="246380" cy="6350"/>
      </xdr14:xfrm>
    </xdr:contentPart>
    <xdr:clientData/>
  </xdr:twoCellAnchor>
  <xdr:twoCellAnchor editAs="oneCell">
    <xdr:from>
      <xdr:col>15</xdr:col>
      <xdr:colOff>323570</xdr:colOff>
      <xdr:row>72</xdr:row>
      <xdr:rowOff>139140</xdr:rowOff>
    </xdr:from>
    <xdr:to>
      <xdr:col>17</xdr:col>
      <xdr:colOff>281250</xdr:colOff>
      <xdr:row>74</xdr:row>
      <xdr:rowOff>104500</xdr:rowOff>
    </xdr:to>
    <xdr:contentPart xmlns:xdr14="http://schemas.microsoft.com/office/excel/2010/spreadsheetDrawing" r:id="rId11">
      <xdr14:nvContentPartPr>
        <xdr14:cNvPr id="18" name="Ink 17"/>
        <xdr14:cNvContentPartPr/>
      </xdr14:nvContentPartPr>
      <xdr14:nvPr/>
      <xdr14:xfrm>
        <a:off x="11749405" y="6993890"/>
        <a:ext cx="2167255" cy="300355"/>
      </xdr14:xfrm>
    </xdr:contentPar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AAMADI\MSOFFICE\EXCEL\BIAYA20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data\DAMHD\BUDFEB9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WINDOWS\TEMP\BDAA9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Users\fictor\AppData\Local\Temp\Rar$DI39.267\WP-2010%20PT%20Tresno%20Joy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xceldata\ABF\reporting\2003-04\FS%20details%20-2003-04P1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Documents%20and%20Settings\fictor\Application%20Data\Microsoft\Excel\Kumpulan%20File2\Data%20Kantor\File%20Audit%20Tahun%202005\PT%20Multi%20Safe%20&amp;%20Secure\Koperasi%20Karyawan%20PDAM%202004%20-%20Edi%20revis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idsurameyfp01\AUDIT\Documents%20and%20Settings\TJAHYO.SUSANTO\My%20Documents\TS\2004\KTI\Year%20End\DATA\ts\kti\2004\Interim%20Oct%2004\WBS-WPL%202003-KTper%208%20April%2004\WBS-WPL%202003-KTper%208%20April%20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R:\BSD\AS\Jenny\NPS\2004\Accounting\Data%20client\Act\FREEPORT\v1202-LC\Data\Data-clea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idsurameyfp01\AUDIT\Documents%20and%20Settings\TJAHYO.SUSANTO\My%20Documents\TS\2004\KTI\Year%20End\Documents%20and%20Settings\IWANKA\My%20Documents\IK\KTI\KTI-2003\Translasi-CMA\Fixed%20Asset%20KTI.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BSD\AS\Jenny\NPS\2004\Accounting\Data%20client\DOCUME~1\pl\LOCALS~1\Temp\WatsonSS0203\Salary_Program0302_Feb4_APPROVED.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Lenovo\Downloads\Mutasi%20Kas%20jan-%20Oktober%202023-%20IGA.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idsurameyfp01\AUDIT\Documents%20and%20Settings\djoko.poernomosidi\My%20Documents\Data\djoko2\Djoko%20Poernomosidi\auditor\Marga%20nusantara%20jaya\MNJ%202006\WP\WBS%20(MNJ)%20-%202006.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ata%20KAP\KAP%20RIS\KMI%20-%20Cibubur\KMI%20-%20bekasi\Audit\Tahun%202012\PT%20Wiraghani\KKP%20PT%20Wiraghani%2030%20Sep%202012%20(Autosaved).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KAP%20TERAMIHARDJA\Klien\Intiroda\Per%20November%202012\KKP%20Intiroda%20model%202%20B.xlsb"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ocuments%20and%20Settings\user\Local%20Settings\Temp\Program%20A%20Perusahaan%20Jasa.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YLVIE\Data%202006\Ade\Report\Management%20Report\2004%20Budget\CATV%20Jkt\TBS-Mgt1-F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K:\ANIMATE\SECURE\Production\2D_REPNew2.4.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ata%20KAP\KAP%20RIS\KMI%20-%20Cibubur\KMI%20-%20bekasi\Report%20&amp;%20KKP%20Intiroda%20201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Users\fictor\AppData\Local\Temp\KKP%20Per%2031%20Desember%202009%20-%20PT%20MBI%20FINAL%20report%20OKe.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Jimtucker\public\My%20Documents\TBS-Budget-200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Documents%20and%20Settings\jsandjaja\Local%20Settings\Temporary%20Internet%20Files\OLK2\Documents%20and%20Settings\lsyahwal\Local%20Settings\Temporary%20Internet%20Files\OLK6E\HPSI-WS31Mar2003(sent%20to%20tax).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Documents%20and%20Settings\jsandjaja\Local%20Settings\Temporary%20Internet%20Files\OLK2\matsushita\txa%202002\My%20Documents\hanna\mki\txa%202001\worksheet31-3-200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Amiftah\may%20mrb\WINDOWS\Temporary%20Internet%20Files\OLK8172\Staff%20April%202001_FINAL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Users\fictor\AppData\Local\Temp\Rar$DI00.457\Nia\ABBA%20Group\Praisindo\Data\Desember%202009\Desember%202009-%20ABBA\WP%20ABBA%20update(2)\WP%20ABBA%20update\DAFTAR%20SCHEDUL%20LEASING%20av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Deddy\Program%20B%20Perusahaan%20Dagang%20(LSYI).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Documents%20and%20Settings\KEVIN%20WIBAWA\Application%20Data\Microsoft\Excel\GL%202010%20(Jan-Sep).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ocuments%20and%20Settings\fictor\Application%20Data\Microsoft\Excel\File%20Latihan\New%20Folder\Latihan%20Excel\Ms.%20Excel%20for%20Accounting\aplikasi_akuntansi_blank.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WINDOWS\TEMP\mydocument\th1998\nov\GL_Data.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Audit\2006\Jasa%20Marga\WP%20Des06_Kantor%20Pusat\PB%20_Jannata\WSJM311207_FINAL.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Users\fictor\AppData\Local\Temp\KKP%20Per%2031%20Desember%202009%20-%20PT%20MBI%20(Autosaved)%20(Autosaved)%20(Autosaved)%20(Autosaved).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SYLVIE\Data%202006\Ade\Report\Management%20Report\unzipped\Optic4\Zip\Projections\Model-2000-do-not-use-ver1-test.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R:\BSD\AS\Jenny\SSAB\2005\Set-up\0509\Buku%20Besar%20September%20200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Gfjprodpc004\data%20pengawas\IBT\Jatim\Dbase%20SM%20II\Sept\W-IX-B-03.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FLASH%20DISK\01-01-2011\AUDIT%202010\REPORT%202010\testiber%20des\TESIBER---Desember'10.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File%20Audit\Audit%202008\BU%20Rini%20Grup\PT%20MBI\KKP%20Per%2031%20Desember%202008%20-%20PT%20MBI%20(Autosaved).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Users\fictor\AppData\Local\Temp\Rar$DI00.457\Nia\ABBA%20Group\Praisindo\Data\Desember%202009\Desember%202009-%20ABBA\WP%20ABBA%20update(2)\WP%20ABBA%20update\ACCTNG\ACTG_MIS\HERMAWAN\ADVANCE\ADV_03\ADV_LAMA\MEI'03.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Dataku\Jaktv\Loan%20Artha%20Grah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Documents%20and%20Settings\IWANKA\My%20Documents\IK\KTI\KTI-2003\Translasi-CMA\Fixed%20Asset%20KTI.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E:\Deddy\2006\Financial%20Statement%202006%20(mar%20isi%20di%20sini).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idsurameyfp01\AUDIT\Documents%20and%20Settings\ray.minarta\My%20Documents\Client%20Audit\Sinar%20Intermark\SI%202008\PBC%20SI%202008\From%20Bu%20Lanny\PSAK%2046%202008.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idsurameyfp01\AUDIT\Documents%20and%20Settings\ray.minarta\My%20Documents\Client%20Audit\Sinar%20Intermark\SI%202008\PBC%20SI%202008\From%20Bu%20Lanny\PSAK%2046%202008%20revised.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P:\Documents%20and%20Settings\erry.setyawan\Desktop\Year%20End\WINDOWS\Temp\WBS-WPL%202003-KTper%208%20April%2004.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Startup" Target="ABF\permafile\financials &amp; sales\FS &amp; Sales 2003-04-mktperspective.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data\Period%20Reports\0405%20Financials\FS%20&amp;%20Sales%202003-04-mktperspective.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ocuments%20and%20Settings\andry\Local%20Settings\Temporary%20Internet%20Files\OLK4\blocking.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P:\Documents%20and%20Settings\iwan.kartono\My%20Documents\IK\KTI\KTI-2004\September%202004\WP\WBS-WPL%202003-KTper%208%20April%2004.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E:\Data\Tax\2003\2003%20Tax%20Review.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Zulkarnaen\lajur\Permintaan\REPORT18050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Data\Tax\2003\2003%201771%20V1.0.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Worksheet in 5141 Cash on hand - Rupiah Combined Leadsheet"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E:\File%20Audit\Audit%202009\PT%20JKSW\PT%20Jksw\KKP%20Per%2031%20Desember%202009%20-%20PT%20JKSW.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Documents%20and%20Settings\fictor\Application%20Data\Microsoft\Excel\Kumpulan%20File2\Data%20Fictor\Audit%202006\PT%20SMC\lap%20keu%20integrated-smc%202006.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bachtiar\misc%20compen\U.Bachtiar\Data\Compensation\STAFF%20FIC\Compen_Package.new.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FLASH%20DISK\01-01-2011\AUDIT%202010\REPORT%202010\KKP%20Iberchem%20'09\KKP%20Iberchem%2009-final2.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data\OUTLOOK%20WS\Outlook%20files%200405\2004-03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xceldata\MONTHLY%20REPORTS\2004-05%20FS%20version%202%20with%20India.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Documents%20and%20Settings\rhonggowidjojo\Local%20Settings\Temporary%20Internet%20Files\OLK1\BSPLFA%202002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Gfjprodpc004\Yoe\Data%20Sjamsul\DATA\AGP7\Laporan\0407\Prog\BP.YONO\BP-2006\BP.WIDI\BP.YONO\BP-2006\DATA-BP\DATA%20FORM-1\OPEX-TK\Schedule\Baru6\Form%20Act%20Plan-HO\2003\KPI\RO%20Distribusi%20Feb03%20revisi.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Documents%20and%20Settings\jsandjaja\Local%20Settings\Temporary%20Internet%20Files\OLK2\tax\Manager%20-%20DA\Rita\Hitachi\Hitachi\TXA%202002\HPSI-WS31Mar2003.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JLT\COSTING%20REPORTS\Outlook\mar%20receipts.xls" TargetMode="External"/></Relationships>
</file>

<file path=xl/externalLinks/_rels/externalLink61.xml.rels><?xml version="1.0" encoding="UTF-8" standalone="yes"?>
<Relationships xmlns="http://schemas.openxmlformats.org/package/2006/relationships"><Relationship Id="rId1" Type="http://schemas.microsoft.com/office/2006/relationships/xlExternalLinkPath/xlStartup" Target="ABF\Budget\2004-2005\RTD-Indonesia.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xceldata\MONTHLY%20REPORTS\2004-05%20FS.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eddy\2007\Audit\GL%20account%20P%20&amp;%20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E:\OWN\Audit\Tahun%202010\PT%20JKSW\KKP%20Per%2031%20Desember%202009%20-%20PT%20JKSW%20edit.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E:\Users\fictor\AppData\Roaming\Microsoft\Excel\Users\fictor\Desktop\PT%20papanraya\KKP%20Per%2031%20Desember%202009%20-%20PT%20leo.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Data%20KAP\KAP%20RIS\KMI%20-%20Cibubur\KMI%20-%20bekasi\TOC%20Sales.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Data%20KAP\KAP%20TERAMIHARDJA\KKP\contoh%20Worksheet%20TPC.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MyData\Own\Contoh%20Kertas%20Kerja%20Pemeriksaan\KKP%20Per%2031%20Desember%202009%20-%20PT%20JKSW%20edit.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Audit\FInal%202018\IMC\Lap%20Audit%20-%20PT%20IMC%202018%20rev1%20-%20print%20KAP%20-%20Copy.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CT05-BS\Users\WP%20Sabrina%20+%20replet\estetika\EST20111-WP_Rev.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MyData\2018\Audit\FINAL%202018\WPB%202018\WP%20WPB%2031122018%20-%2020082019%20(version%20audit)%20-%20format%20print%20kantor.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Users\user\Downloads\PL%20WPB%2016072019%20-%20inhouse.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Users\user\Downloads\PT%20Sanba.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Users\user\Downloads\WP%20SBI%2017%20UPDATE.xls" TargetMode="External"/></Relationships>
</file>

<file path=xl/externalLinks/_rels/externalLink75.xml.rels><?xml version="1.0" encoding="UTF-8" standalone="yes"?>
<Relationships xmlns="http://schemas.openxmlformats.org/package/2006/relationships"><Relationship Id="rId1" Type="http://schemas.microsoft.com/office/2006/relationships/xlExternalLinkPath/xlPathMissing" Target="file:///C:\raja audit\Lap Keu IGA Juni 2023 UDT 20230607.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G:\MyData\Own\PT%20IGA\Laporan%20sak%20etap\AUDIT%20PT%20IGA%20-%202017%20Versi%20SAK%20ETAP.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Lain-lain\Audit\Final%202021\EFFRESINDO\Data%20Inhouse\Lap%20Keu%20&amp;%20RK%20bank\Neraca%20Des%202022-fix.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Lain-lain\Audit\Final%202021\EFFRESINDO\KKP%20Auditor\WP%20EFK%203112202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raja%20audit\0%20Inhouse%20LK\Lap%20Keu%20IGA%20Juni%202023%20UDT%2020230607.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Audit\Final%202020\IMC\PT%20Sanba.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Audit\Final%202020\IMC\WP%20SBI%2017%20UPDATE.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MyData\2018\Audit\FINAL%202017\WPB\PT%20WPB%2012%20Des%202017%20-%20130418%20FINAL.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Audit\Final%202020\IMC\AR.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Lain-lain\Audit\Final%202022\PT%20Intan%20Giri%20Abadi\Data%20audit%202017\Laporan%20sak%20etap\AUDIT%20PT%20IGA%20-%202017%20Versi%20SAK%20ETAP.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raja%20audit\001%20KAP\Final%20Audit%20Report%20Tahun%20Buku%202021%20-%20PT%20IGA.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Audit\Final%202020\IMC\Inhouse%203\AR%20SUMMARY%202020.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raja%20audit\7%20Aset%20Tetap\Daftar%20Aset%20PT%20IGA%20-%20UDT%2020230606%20-%20audit%20222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Audit\Final%202020\IMC\inhouse\FS%20IMC%202019%20UPDATE(AutoRecovered).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fictor\Downloads\Clients%20EMMY\RTU\Renalmed\WP%20REN%2020091231Rev,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Lenovo\Downloads\GL%202022.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Audit\Final%202020\IMC\Gl%20ALL%20Jan-des%2018.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Users\Lenovo\Downloads\Rekap%20Payment%20DPS%20ESP.xlsx"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raja%20audit\5%20WIP\Rekap%20Payment%20DPS%20ESP.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raja%20audit\7%20Aset%20Tetap\Daftar%20Aset%20PT%20IGA%20-%20UDT%2020230606.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raja%20audit\0%20Inhouse%20LK\unuse\WP%20IGA%2031122022.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Audit\Final%202020\IMC\FA%20list.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Audit\Final%202020\IMC\GL%20Detail%20WPB%202018%20-%2016072019.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Audit\Final%202020\IMC\data%20internal\Neraca\12.%20Des%20-%20FS.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raja%20audit\0%20Inhouse%20LK\unuse\Lap%20Keu%20IGA%20Juni%202023%20UDT%2020231010%20Audit.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Users\Lenovo\Downloads\Penjualan%20Kompresor%20ke%20MEB.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Users\Lenovo\Downloads\Rekap%20Invoice%20Vendor%20-%20Project%20Domas%20CHP%20-%20MEP%20Medan%20(2023)%20Update%2010%20Okt%20%202023)TAR.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Audit\Final%202020\IMC\Lap%20Audit%20-%20PT%20IMC%202019%20Final.xlsx"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Victor\Downloads\REKAP%20PPN%20IMC1%20(4).xlsx"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Users\Victor\Downloads\SALFPN2020.xlsx"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Users\Putri\AppData\Local\Microsoft\Windows\Temporary%20Internet%20Files\Content.IE5\6911XIWO\WP%20SBI%2018.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MK\KANTOR%20TPC\KLIEN\PT%20KMA\WP_KMA20112%20murni.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raja%20audit\14%20Modal\Modal.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raja%20audit\0%20Inhouse%20LK\Laporan%20Keuangan%20IGA%2022%20-21%20untuk%20Bank%20Jatim.xlsx"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raja%20audit\12%20Utang%20Lain2\DD2%20-%20MEP-RAB,%20Detail%20PO.xlsx"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Users\Lenovo\Downloads\Laporan%20Keuangan.xlsx"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Users\Lenovo\Downloads\Weekly%20Progress%20Report\05.%20Jan%2022\WPR%2026%20Jan%2023\WPR%2026%20Jan%2022.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Audit\Final%202020\IMC\inhouse\PL%20IMC%202019%20V%202019.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IAYA03"/>
      <sheetName val="ANALISABIAYA"/>
      <sheetName val="BIAYA20"/>
      <sheetName val="Sheet2"/>
      <sheetName val="Sheet3"/>
      <sheetName val="Sheet1"/>
      <sheetName val="REKBIAYA"/>
      <sheetName val="BIAYA21"/>
      <sheetName val="ANAL22"/>
      <sheetName val="BIAYA22"/>
      <sheetName val="BIAYA23"/>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HONDA_DIV"/>
      <sheetName val="SR_AA"/>
      <sheetName val="SR_CBR"/>
      <sheetName val="BEKASI"/>
      <sheetName val="CIBITUNG"/>
      <sheetName val="TAMBUN"/>
      <sheetName val="CISALAK"/>
      <sheetName val="DEPOK"/>
      <sheetName val="CIREBON"/>
      <sheetName val="Sheet2"/>
      <sheetName val="PSD"/>
      <sheetName val="TAP"/>
      <sheetName val="API-BDG"/>
      <sheetName val="API-BKS"/>
      <sheetName val="Sheet3"/>
      <sheetName val="Sheet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NOV_DEC98"/>
      <sheetName val="Sheet1"/>
      <sheetName val="BUDGET_1999"/>
      <sheetName val="Sheet2"/>
      <sheetName val="9NOP98"/>
      <sheetName val="NDS96_2000"/>
    </sheetNames>
    <sheetDataSet>
      <sheetData sheetId="0"/>
      <sheetData sheetId="1"/>
      <sheetData sheetId="2" refreshError="1"/>
      <sheetData sheetId="3"/>
      <sheetData sheetId="4" refreshError="1"/>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TOP"/>
      <sheetName val="Detail"/>
      <sheetName val="CF"/>
      <sheetName val="PAJE"/>
      <sheetName val="Inc Tax"/>
      <sheetName val="Cash&amp;Bank"/>
      <sheetName val="Prepaid expense"/>
      <sheetName val="FA"/>
      <sheetName val="List Fa"/>
      <sheetName val="Advance"/>
      <sheetName val="AR"/>
      <sheetName val="AP"/>
      <sheetName val="Accrued &amp; Other Payable"/>
      <sheetName val="due to"/>
      <sheetName val="capital stock"/>
      <sheetName val="PPh 21"/>
      <sheetName val="PPh 23"/>
      <sheetName val="PPN"/>
      <sheetName val="Tabel"/>
      <sheetName val="PEBO 2010"/>
      <sheetName val="rekon"/>
      <sheetName val="Rekap PPn in"/>
      <sheetName val="rinciaan AR 2009"/>
      <sheetName val="Inventory 2009"/>
      <sheetName val="Penjualan 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kpi-gm% 9+4 (2)"/>
      <sheetName val="cover"/>
      <sheetName val="commentary"/>
      <sheetName val="kpi-sales &amp;OP"/>
      <sheetName val="kpi-sales &amp;OP-old set-up"/>
      <sheetName val="kpi-sales &amp;OP vs 9+4"/>
      <sheetName val="kpi-gp"/>
      <sheetName val="kpi-sales &amp;OP vs 9+4-old set up"/>
      <sheetName val="kpi-gm%"/>
      <sheetName val="kpi-gm% 9+4"/>
      <sheetName val="kpi-vs bud"/>
      <sheetName val="pmv var"/>
      <sheetName val="pmv var -old"/>
      <sheetName val="pmv var  9+4"/>
      <sheetName val="pmv var  9+4-old"/>
      <sheetName val="causal-period"/>
      <sheetName val="causal-cum"/>
      <sheetName val="total co -w local"/>
      <sheetName val="total company"/>
      <sheetName val="Indonesia"/>
      <sheetName val="Twn&amp;Hkg"/>
      <sheetName val="domestic"/>
      <sheetName val="export"/>
      <sheetName val="BSvsbud"/>
      <sheetName val="BS"/>
      <sheetName val="IS"/>
      <sheetName val="IS-MO"/>
      <sheetName val="cogs"/>
      <sheetName val="cogs-mo"/>
      <sheetName val="exp alloc"/>
      <sheetName val="aje-ho"/>
      <sheetName val="income tax"/>
      <sheetName val="re &amp; def tax"/>
      <sheetName val="BS-mo"/>
      <sheetName val="BS- loc fomat"/>
      <sheetName val="6+7 cogs-std"/>
      <sheetName val="9+4 TM1"/>
      <sheetName val="9+4 cogs-std"/>
      <sheetName val="9+4cogs det"/>
      <sheetName val="Sheet1"/>
      <sheetName val="accruals &amp; pro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Recovered_Sheet1"/>
      <sheetName val="XXXX"/>
      <sheetName val="opn"/>
      <sheetName val="Isi"/>
      <sheetName val="Cover"/>
      <sheetName val="bs"/>
      <sheetName val="is"/>
      <sheetName val="eqt"/>
      <sheetName val="csf"/>
      <sheetName val="n1"/>
      <sheetName val="n2"/>
      <sheetName val="n3"/>
      <sheetName val="FA"/>
      <sheetName val="listfadetail"/>
      <sheetName val="RATIO"/>
      <sheetName val="DFKM"/>
      <sheetName val="df"/>
      <sheetName val="dfET"/>
      <sheetName val="cadangan"/>
      <sheetName val="listfarekap"/>
      <sheetName val="worksheet 2"/>
      <sheetName val="Daf.Ptg"/>
      <sheetName val=" worksheet 1"/>
      <sheetName val="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TE"/>
      <sheetName val="BS"/>
      <sheetName val="IS"/>
      <sheetName val="Equity"/>
      <sheetName val="A4-2002"/>
      <sheetName val="CF-2002"/>
      <sheetName val="CF supp-2002"/>
      <sheetName val="CF supp-2002 (2)"/>
      <sheetName val="CF"/>
      <sheetName val="CF supp"/>
      <sheetName val="T-Acc"/>
      <sheetName val="Proforma"/>
      <sheetName val="A4"/>
      <sheetName val="AJE"/>
      <sheetName val="C"/>
      <sheetName val="E1"/>
      <sheetName val="E2"/>
      <sheetName val="F"/>
      <sheetName val="LCM "/>
      <sheetName val="G"/>
      <sheetName val="G1"/>
      <sheetName val="G2"/>
      <sheetName val="G3"/>
      <sheetName val="Rent"/>
      <sheetName val="DIT"/>
      <sheetName val="DTA"/>
      <sheetName val="K"/>
      <sheetName val="Kdetail"/>
      <sheetName val="K2"/>
      <sheetName val="CIP"/>
      <sheetName val="Sale-Leaseback (2)"/>
      <sheetName val="Sale-Leaseback"/>
      <sheetName val="M"/>
      <sheetName val="M1"/>
      <sheetName val="Mflow (2)"/>
      <sheetName val="N-1"/>
      <sheetName val="N-2"/>
      <sheetName val="N-3"/>
      <sheetName val="O-1"/>
      <sheetName val="O-1-1"/>
      <sheetName val="O-1-2"/>
      <sheetName val="O-1-3"/>
      <sheetName val="O-1-4"/>
      <sheetName val="O-2"/>
      <sheetName val="P"/>
      <sheetName val="Q"/>
      <sheetName val="R"/>
      <sheetName val="R1"/>
      <sheetName val="V1"/>
      <sheetName val="RE"/>
      <sheetName val="Reval"/>
      <sheetName val="T"/>
      <sheetName val="U-1 (2)"/>
      <sheetName val="quantity-sales"/>
      <sheetName val="GPA "/>
      <sheetName val="U-1 Analysis"/>
      <sheetName val="xport-cut"/>
      <sheetName val="local-cut (2)"/>
      <sheetName val="U-2 "/>
      <sheetName val="U2-1"/>
      <sheetName val="Costing-Test"/>
      <sheetName val="quantity-COGS"/>
      <sheetName val="purchase-cutoff"/>
      <sheetName val="U-3 (2)"/>
      <sheetName val="U-4 (2)"/>
      <sheetName val="U-5 (2)"/>
      <sheetName val="U-5-1"/>
      <sheetName val="i test"/>
      <sheetName val="C1"/>
      <sheetName val="Tax Rec"/>
      <sheetName val="NDE-i"/>
      <sheetName val="NDE"/>
      <sheetName val="PPE-fis"/>
      <sheetName val="lease-forex"/>
      <sheetName val="FSC- Lease Rec"/>
      <sheetName val="monetary"/>
      <sheetName val="F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sheetData sheetId="14" refreshError="1"/>
      <sheetData sheetId="15"/>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JKTA SS &amp;NS"/>
      <sheetName val="JobsiteNonstaff"/>
      <sheetName val="Jobsite Staff"/>
      <sheetName val="PT Mineserve"/>
      <sheetName val="FI1202-C"/>
    </sheetNames>
    <sheetDataSet>
      <sheetData sheetId="0" refreshError="1"/>
      <sheetData sheetId="1" refreshError="1"/>
      <sheetData sheetId="2"/>
      <sheetData sheetId="3" refreshError="1"/>
      <sheetData sheetId="4"/>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Summary"/>
      <sheetName val="1101-LR-OK"/>
      <sheetName val="1102-B&amp;I-OK"/>
      <sheetName val="1103-M&amp;E"/>
      <sheetName val="1104-M&amp;E"/>
      <sheetName val="1105-B&amp;I-OK"/>
      <sheetName val="1106-M&amp;E"/>
      <sheetName val="1107-V&amp;T"/>
      <sheetName val="1108-V&amp;T"/>
      <sheetName val="1109-T&amp;O"/>
      <sheetName val=" Leasing"/>
      <sheetName val="KOMPARASI"/>
      <sheetName val="CIP"/>
      <sheetName val="Sale-Leaseback"/>
      <sheetName val="F1771-2"/>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sheetData sheetId="13" refreshError="1"/>
      <sheetData sheetId="14"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Tables"/>
      <sheetName val="Cost Summary"/>
      <sheetName val="Jobsite"/>
      <sheetName val="JKTA"/>
      <sheetName val="Mine Serve"/>
      <sheetName val="Adjustment"/>
      <sheetName val="Proposed 2003 Salary Range"/>
      <sheetName val="2003PEDist"/>
      <sheetName val="Matrix_2003"/>
      <sheetName val="Matrix03"/>
      <sheetName val="Matrix_2002 (3)"/>
      <sheetName val="Matrix"/>
      <sheetName val="Sheet1"/>
      <sheetName val="PE Distribution"/>
      <sheetName val="Matrix_2001"/>
      <sheetName val="2002 NS Range"/>
      <sheetName val="2003 NS Range"/>
      <sheetName val="Com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Note"/>
      <sheetName val="Rekap Sales"/>
      <sheetName val="KAs"/>
      <sheetName val="Mutasi Kas jan- Oktober 2023- I"/>
    </sheetNames>
    <definedNames>
      <definedName name="Header_Row" refersTo="=#REF!"/>
      <definedName name="Loan_Start" refersTo="=#REF!"/>
    </definedNames>
    <sheetDataSet>
      <sheetData sheetId="0" refreshError="1"/>
      <sheetData sheetId="1" refreshError="1"/>
      <sheetData sheetId="2" refreshError="1"/>
      <sheetData sheetId="3"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farmasi"/>
      <sheetName val="non farmasi"/>
      <sheetName val="C "/>
      <sheetName val="C1-1.2"/>
      <sheetName val="E"/>
      <sheetName val="E sumry"/>
      <sheetName val="E-1-1-1SS"/>
      <sheetName val="E-1-3SS"/>
      <sheetName val="AR AllSS"/>
      <sheetName val="F"/>
      <sheetName val="Summary SO"/>
      <sheetName val="Summary BA SO"/>
      <sheetName val="Inv TO"/>
      <sheetName val="F6-7"/>
      <sheetName val="G lead"/>
      <sheetName val="G-1"/>
      <sheetName val="G-2 SS"/>
      <sheetName val="rental out"/>
      <sheetName val="G2-1"/>
      <sheetName val="G-3"/>
      <sheetName val="K"/>
      <sheetName val="K-1"/>
      <sheetName val="K-2"/>
      <sheetName val="K-3"/>
      <sheetName val="vouching"/>
      <sheetName val="M"/>
      <sheetName val="N-1"/>
      <sheetName val="N1-1"/>
      <sheetName val="N-2"/>
      <sheetName val="P1"/>
      <sheetName val="P1-1"/>
      <sheetName val="O"/>
      <sheetName val="O-1"/>
      <sheetName val="O1-1"/>
      <sheetName val="O-1-1-1"/>
      <sheetName val="O-1-2"/>
      <sheetName val="O-1-3"/>
      <sheetName val="O-2 "/>
      <sheetName val="S"/>
      <sheetName val="S-1"/>
      <sheetName val="T"/>
      <sheetName val="A"/>
      <sheetName val="Ex-Rate"/>
      <sheetName val="RATE-NE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LampAp"/>
      <sheetName val="COVER"/>
      <sheetName val="dft"/>
      <sheetName val="OPINI"/>
      <sheetName val="fa"/>
      <sheetName val="Bs1"/>
      <sheetName val="Bs2"/>
      <sheetName val="PL"/>
      <sheetName val="EQUITY"/>
      <sheetName val="CF"/>
      <sheetName val="NOTES"/>
      <sheetName val="npdf"/>
      <sheetName val="TypeAcct"/>
      <sheetName val="Supp.Sch"/>
      <sheetName val="TB 2011"/>
      <sheetName val="WBS.WPL"/>
      <sheetName val="AJE-RJE"/>
      <sheetName val="PLAN"/>
      <sheetName val="LPD"/>
      <sheetName val="LBD"/>
      <sheetName val="PA"/>
      <sheetName val="FormFina"/>
      <sheetName val="Mat"/>
      <sheetName val="AP"/>
      <sheetName val="rasio"/>
      <sheetName val="T-M"/>
      <sheetName val="Aff"/>
      <sheetName val="Mem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N2"/>
      <sheetName val="N1 (2)"/>
      <sheetName val="EQUITY"/>
      <sheetName val="PL"/>
      <sheetName val="Bs2"/>
      <sheetName val="Bs1"/>
      <sheetName val="OPINI"/>
      <sheetName val="fa"/>
      <sheetName val="CF-direct"/>
      <sheetName val="TypeAcct"/>
      <sheetName val="Supp.Sch"/>
      <sheetName val="gl"/>
      <sheetName val="tb"/>
      <sheetName val="WBSPL"/>
      <sheetName val="AJRE"/>
      <sheetName val="PLAN"/>
      <sheetName val="LPD"/>
      <sheetName val="LBD"/>
      <sheetName val="PA"/>
      <sheetName val="FormFina"/>
      <sheetName val="Mat"/>
      <sheetName val="AP"/>
      <sheetName val="rasio"/>
      <sheetName val="T-M"/>
      <sheetName val="Aff"/>
      <sheetName val="Mon"/>
      <sheetName val="Memo"/>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Ref"/>
      <sheetName val="JurnalUmum"/>
      <sheetName val="Pos101"/>
      <sheetName val="Pos102"/>
      <sheetName val="Pos104"/>
      <sheetName val="Pos105"/>
      <sheetName val="Pos108"/>
      <sheetName val="Pos109"/>
      <sheetName val="Pos201"/>
      <sheetName val="Pos202"/>
      <sheetName val="Pos301"/>
      <sheetName val="Pos302"/>
      <sheetName val="Pos401"/>
      <sheetName val="Pos402"/>
      <sheetName val="Pos501"/>
      <sheetName val="Pos502"/>
      <sheetName val="Pos503"/>
      <sheetName val="Pos504"/>
      <sheetName val="Pos509"/>
      <sheetName val="NeracaPercobaan"/>
      <sheetName val="AJP&amp;Penutupan"/>
      <sheetName val="NeracaLajur"/>
      <sheetName val="PerhitunganRugiLaba"/>
      <sheetName val="LaporanModal"/>
      <sheetName val="Neraca"/>
      <sheetName val="NrcPercobaanStlhPenutup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Balance Sheet"/>
      <sheetName val="Income Statement"/>
      <sheetName val="Income Statement (shortform)"/>
      <sheetName val="Valuation"/>
      <sheetName val="BS Cash Flow"/>
      <sheetName val="Ratios"/>
      <sheetName val="Fixed Assets"/>
      <sheetName val="Debt"/>
      <sheetName val="Functions"/>
    </sheetNames>
    <sheetDataSet>
      <sheetData sheetId="0" refreshError="1"/>
      <sheetData sheetId="1"/>
      <sheetData sheetId="2"/>
      <sheetData sheetId="3"/>
      <sheetData sheetId="4"/>
      <sheetData sheetId="5"/>
      <sheetData sheetId="6"/>
      <sheetData sheetId="7"/>
      <sheetData sheetId="8"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COST"/>
      <sheetName val="PRODUCTION REPORTS"/>
      <sheetName val="MASTER"/>
      <sheetName val="ANIMATION ONLY"/>
      <sheetName val="CONCEP-STREET"/>
      <sheetName val="ANIMATION COST FORECAST"/>
      <sheetName val="WEEKLY"/>
      <sheetName val="Sheet1"/>
      <sheetName val="EXTERNAL ANIMATION"/>
      <sheetName val="LMA"/>
      <sheetName val="EXTERNAANIMATION"/>
      <sheetName val="ASUMPTION"/>
      <sheetName val="KSO-Revenue"/>
      <sheetName val="General Info"/>
      <sheetName val="2003 ACT CFlow"/>
      <sheetName val="2003 BGT C Flow"/>
      <sheetName val="HO Use"/>
      <sheetName val="Engineering Workload"/>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EXTERNA??ANIMATION"/>
      <sheetName val="ANGGARAN"/>
      <sheetName val="BODP-16KOLOM"/>
      <sheetName val="Penyusutan Kendaraan"/>
      <sheetName val="SLS-TGT-FEED (FDM)"/>
      <sheetName val="1152000"/>
      <sheetName val="Ref"/>
      <sheetName val="TB"/>
      <sheetName val="gvl"/>
      <sheetName val="summary"/>
      <sheetName val="EXTERNA"/>
      <sheetName val="Calcs"/>
      <sheetName val="CA"/>
      <sheetName val="2D_REPNew2.4"/>
      <sheetName val="PriceList"/>
      <sheetName val="CTIPricing"/>
      <sheetName val="Input"/>
      <sheetName val="PlatformList"/>
      <sheetName val="Table 5"/>
      <sheetName val="EXTERNA_x005f_x0000__x005f_x0000_ANIMATION"/>
      <sheetName val="Income Statement"/>
      <sheetName val="Adj"/>
      <sheetName val="PRODUCTION_REPORTS"/>
      <sheetName val="ANIMATION_ONLY"/>
      <sheetName val="ANIMATION_COST_FORECAST"/>
      <sheetName val="EXTERNAL_ANIMATION"/>
      <sheetName val="KONS_BID_P&amp;N"/>
      <sheetName val="UP_II_DUMAI"/>
      <sheetName val="KP_DIT_HULU"/>
      <sheetName val="UP_VI_BALONGAN"/>
      <sheetName val="UP_1_BRANDAN"/>
      <sheetName val="UP_V_BALIKPAPAN"/>
      <sheetName val="DIT_HILIR"/>
      <sheetName val="UP_IV_CILACAP"/>
      <sheetName val="UP_III_PLAJU"/>
      <sheetName val="KONS_DIT_HULU"/>
      <sheetName val="KR_AMPEL"/>
      <sheetName val="UP_VII_KASIM"/>
      <sheetName val="KONS_BID_P"/>
      <sheetName val="2003_ACT_CFlow"/>
      <sheetName val="2003_BGT_C_Flow"/>
      <sheetName val="HO_Use"/>
      <sheetName val="General_Info"/>
      <sheetName val="Engineering_Workload"/>
      <sheetName val="EXRA"/>
      <sheetName val="NB UNIT3"/>
      <sheetName val="Monthly"/>
      <sheetName val="EXTERNAANIMATION"/>
      <sheetName val="EXTERNA__ANIMATION"/>
      <sheetName val="C O A"/>
      <sheetName val="WS"/>
      <sheetName val="List of related party"/>
      <sheetName val="TB0"/>
      <sheetName val="2-asi-00"/>
      <sheetName val="Rates"/>
      <sheetName val="summary-final"/>
      <sheetName val="Iss Jrn"/>
      <sheetName val="Report"/>
      <sheetName val="Table_5"/>
      <sheetName val="2D_REPNew2_4"/>
      <sheetName val="TABEL"/>
      <sheetName val="List Pilihan"/>
      <sheetName val="Tables"/>
      <sheetName val="Altman Z Score"/>
      <sheetName val="A"/>
      <sheetName val="FAKTOR"/>
      <sheetName val="CRITERIA2"/>
      <sheetName val="Coll Bulan ini"/>
      <sheetName val="Coll Bulan lalu"/>
      <sheetName val="Renc Bulan ini"/>
      <sheetName val="Renc Bulan Lalu"/>
      <sheetName val="Okt"/>
      <sheetName val="Stock Report"/>
      <sheetName val="lookup table"/>
      <sheetName val="SCH 3"/>
      <sheetName val="Instructions"/>
      <sheetName val="BBM-03"/>
      <sheetName val="Chart Of Acc"/>
      <sheetName val="Perhitungan"/>
      <sheetName val="Asumsi"/>
      <sheetName val="Keragaan"/>
      <sheetName val="Coy"/>
      <sheetName val="TB_BLSHT"/>
      <sheetName val="TBCons KMB04"/>
      <sheetName val="bpp"/>
      <sheetName val="2002"/>
      <sheetName val="bantenJBTBK"/>
      <sheetName val="Bekasi"/>
      <sheetName val="tanggerang"/>
      <sheetName val="sukabumi"/>
      <sheetName val="cianjur"/>
      <sheetName val="cilegon"/>
      <sheetName val="serang"/>
      <sheetName val="98"/>
      <sheetName val="BogorF"/>
      <sheetName val="trendJKT"/>
      <sheetName val="Bogor"/>
      <sheetName val="pandeglang"/>
      <sheetName val="lebak"/>
      <sheetName val="99"/>
      <sheetName val="00"/>
      <sheetName val="Fixset"/>
      <sheetName val="U-EK"/>
      <sheetName val="Sheet7"/>
      <sheetName val="PERSONAL"/>
      <sheetName val="absen kebun 28"/>
      <sheetName val="absen panen 28"/>
      <sheetName val="UPAH 28"/>
      <sheetName val="Disposals"/>
      <sheetName val="TOP"/>
      <sheetName val="ocean voyage"/>
      <sheetName val="bs09"/>
      <sheetName val="bs10"/>
      <sheetName val="fiscal"/>
      <sheetName val="hiden"/>
      <sheetName val="17"/>
      <sheetName val="C13"/>
      <sheetName val="CDYW"/>
      <sheetName val="Exch.rate"/>
      <sheetName val="rab.33.2011.krt"/>
      <sheetName val="Ex_Rate"/>
      <sheetName val="RADIO CONTROLS"/>
      <sheetName val="KPI-Data Source"/>
      <sheetName val="Ex-Rate"/>
      <sheetName val="Permanent info"/>
      <sheetName val="Sheet8"/>
      <sheetName val="logopt"/>
      <sheetName val="FISIK RAB 2000"/>
      <sheetName val="PPH1298S"/>
      <sheetName val="Satuan Harga Bahan"/>
      <sheetName val="Satuan Harga Upah"/>
      <sheetName val="Material SAP"/>
      <sheetName val="Salary"/>
      <sheetName val="Master File"/>
      <sheetName val="Master Data"/>
      <sheetName val="Pivot-HK"/>
      <sheetName val="Assump"/>
      <sheetName val="BUDGET_1999"/>
      <sheetName val="Outil"/>
      <sheetName val="Coef Calculation"/>
      <sheetName val="DATA"/>
      <sheetName val="PEG"/>
      <sheetName val="Kontensalden"/>
      <sheetName val="rekap pph 23"/>
      <sheetName val="21 &amp; 25"/>
      <sheetName val="PPN"/>
      <sheetName val="단가"/>
      <sheetName val="RATE"/>
      <sheetName val="EXTERNA_x005f_x005f_x005f_x0000__x005f_x005f_x000"/>
      <sheetName val="Pipe"/>
      <sheetName val="#REF"/>
      <sheetName val="KASUS8"/>
      <sheetName val="Access"/>
      <sheetName val="PBC S2003"/>
      <sheetName val="Index"/>
      <sheetName val="Base Data"/>
      <sheetName val="cilandak payroll"/>
      <sheetName val="POV"/>
      <sheetName val="Sheet4"/>
      <sheetName val="1105-B&amp;I-OK"/>
      <sheetName val="ACHV_JAN_FEB_MAR_APR"/>
      <sheetName val="BGT Cashflow"/>
      <sheetName val="List"/>
      <sheetName val="Ring"/>
      <sheetName val="Eksisting Penarikan"/>
      <sheetName val="DAT_1"/>
      <sheetName val="3"/>
      <sheetName val="MGR_12"/>
      <sheetName val="Daftar Harga"/>
      <sheetName val="Rinci-Biaya"/>
      <sheetName val="Rinci-Pendapatan"/>
      <sheetName val="rab_50"/>
      <sheetName val="Cash-print"/>
      <sheetName val="Tanaman"/>
      <sheetName val="①　BP vs SPR (TTL Impact)"/>
      <sheetName val="GeneralInfo"/>
      <sheetName val="original"/>
      <sheetName val="BA Rekon ARDWS-APTSEL (IDR)"/>
      <sheetName val="BA Rekon RevDWS-ExpTSEL (IDR)"/>
      <sheetName val="BA Rekon ARAP (USD)"/>
      <sheetName val="BA Rekon RevExp (USD)"/>
      <sheetName val="BA Rekon RevDWS-ExpTSEL (SLI)"/>
      <sheetName val="Memo"/>
      <sheetName val="Jurnal Memo (USD)"/>
      <sheetName val="OTHER PREPAID EXPENSE"/>
      <sheetName val="ABG-BUDGET"/>
      <sheetName val="BMV-BUDGET"/>
      <sheetName val="CLN-BUDGET"/>
      <sheetName val="COL-BUDGET"/>
      <sheetName val="CORP-BUDGET"/>
      <sheetName val="LVL-BUDGET"/>
      <sheetName val="PON-BUDGET"/>
      <sheetName val="BUDGET"/>
      <sheetName val="SALES-BUDGET"/>
      <sheetName val="SEN-BUDGET"/>
      <sheetName val="SUF-BUDGET"/>
      <sheetName val="alamat"/>
      <sheetName val="Based Data_wacc"/>
      <sheetName val="재료비"/>
      <sheetName val="Data Sheet "/>
      <sheetName val="Accounts"/>
      <sheetName val="CRITERIA1"/>
      <sheetName val="Main"/>
      <sheetName val="Actuals &amp; Prior Yr. Figures"/>
      <sheetName val="Annual Budget Figures"/>
      <sheetName val="MainMenu"/>
      <sheetName val="Financial Reports"/>
      <sheetName val="Cost Analysis"/>
      <sheetName val="jan04"/>
      <sheetName val="PARAMETERS"/>
      <sheetName val="Power &amp; Fuel(SMS)"/>
      <sheetName val="Power &amp; Fuel(new)"/>
      <sheetName val="Power &amp; Fuel (S)"/>
      <sheetName val="Power &amp; Fuel(c)"/>
      <sheetName val="THREE VARIABLES"/>
      <sheetName val="synthgraph"/>
      <sheetName val="MENU"/>
      <sheetName val="A u g"/>
      <sheetName val="NAMES"/>
      <sheetName val="MD13"/>
      <sheetName val="Lain2"/>
      <sheetName val="Tabel2"/>
      <sheetName val="ANALISA"/>
      <sheetName val="PPN-M"/>
      <sheetName val="dongia (2)"/>
      <sheetName val="giathanh1"/>
      <sheetName val="DON GIA"/>
      <sheetName val="THPDMoi  (2)"/>
      <sheetName val="lam-moi"/>
      <sheetName val="gtrinh"/>
      <sheetName val="thao-go"/>
      <sheetName val="CHITIET VL-NC"/>
      <sheetName val="CHITIET VL-NC-TT -1p"/>
      <sheetName val="VC"/>
      <sheetName val="TH XL"/>
      <sheetName val="chitiet"/>
      <sheetName val="Tiepdia"/>
      <sheetName val="CHITIET VL-NC-TT-3p"/>
      <sheetName val="TONGKE-HT"/>
      <sheetName val="t-h HA THE"/>
      <sheetName val="TDTKP"/>
      <sheetName val="TDTKP1"/>
      <sheetName val="TONGKE3p "/>
      <sheetName val="KPVC-BD "/>
      <sheetName val="VCV-BE-TONG"/>
      <sheetName val="TNHCHINH"/>
      <sheetName val="hrg"/>
      <sheetName val="pro ra op"/>
      <sheetName val="grafik"/>
      <sheetName val="Program Triwulanan-04"/>
      <sheetName val="data berat"/>
      <sheetName val="3 - Balance Sheet"/>
      <sheetName val="5 - Cash Flow"/>
      <sheetName val="Data Parameter"/>
      <sheetName val="SC Pusat BB301"/>
      <sheetName val="SC Pusat BB303"/>
      <sheetName val="Cucian"/>
      <sheetName val="SC Pusat krd"/>
      <sheetName val="R"/>
      <sheetName val="DPPN"/>
      <sheetName val="4 - Income Statement"/>
      <sheetName val="Analisa Harga Satuan"/>
      <sheetName val="upah_borong"/>
      <sheetName val="harsat"/>
      <sheetName val="satuan_pek"/>
      <sheetName val="I-KAMAR"/>
      <sheetName val="puspel_proyk"/>
      <sheetName val="budget 2018"/>
      <sheetName val="Div_Prjct"/>
      <sheetName val="Puspel"/>
      <sheetName val="5614.a Factory Machinery"/>
      <sheetName val="5614.b Diesel "/>
      <sheetName val="5614.c Factory Equipment"/>
      <sheetName val="5614.C Coal Boiler"/>
      <sheetName val="STN2006"/>
      <sheetName val="Faktor Pembatas Luas Areal"/>
      <sheetName val="MATERIALFINAL"/>
      <sheetName val="Tickmarks"/>
      <sheetName val="L_23"/>
      <sheetName val="XREF"/>
      <sheetName val="Facilities"/>
      <sheetName val="Fact Truck"/>
      <sheetName val="Coal Boiler"/>
      <sheetName val="Template "/>
      <sheetName val="Legend"/>
      <sheetName val="PRODUCTION_REPORTS1"/>
      <sheetName val="ANIMATION_ONLY1"/>
      <sheetName val="ANIMATION_COST_FORECAST1"/>
      <sheetName val="EXTERNAL_ANIMATION1"/>
      <sheetName val="General_Info1"/>
      <sheetName val="2003_ACT_CFlow1"/>
      <sheetName val="2003_BGT_C_Flow1"/>
      <sheetName val="HO_Use1"/>
      <sheetName val="Engineering_Workload1"/>
      <sheetName val="KONS_BID_P&amp;N1"/>
      <sheetName val="UP_II_DUMAI1"/>
      <sheetName val="KP_DIT_HULU1"/>
      <sheetName val="UP_VI_BALONGAN1"/>
      <sheetName val="UP_1_BRANDAN1"/>
      <sheetName val="UP_V_BALIKPAPAN1"/>
      <sheetName val="DIT_HILIR1"/>
      <sheetName val="UP_IV_CILACAP1"/>
      <sheetName val="UP_III_PLAJU1"/>
      <sheetName val="KONS_DIT_HULU1"/>
      <sheetName val="KR_AMPEL1"/>
      <sheetName val="UP_VII_KASIM1"/>
      <sheetName val="KONS_BID_P1"/>
      <sheetName val="Table_51"/>
      <sheetName val="Income_Statement"/>
      <sheetName val="NB_UNIT3"/>
      <sheetName val="List_Pilihan"/>
      <sheetName val="2D_REPNew2_41"/>
      <sheetName val="Altman_Z_Score"/>
      <sheetName val="Iss_Jrn"/>
      <sheetName val="Coll_Bulan_ini"/>
      <sheetName val="Coll_Bulan_lalu"/>
      <sheetName val="Renc_Bulan_ini"/>
      <sheetName val="Renc_Bulan_Lalu"/>
      <sheetName val="Stock_Report"/>
      <sheetName val="lookup_table"/>
      <sheetName val="SCH_3"/>
      <sheetName val="TBCons_KMB04"/>
      <sheetName val="Penyusutan_Kendaraan"/>
      <sheetName val="absen_kebun_28"/>
      <sheetName val="absen_panen_28"/>
      <sheetName val="UPAH_28"/>
      <sheetName val="Coef_Calculation"/>
      <sheetName val="Exch_rate"/>
      <sheetName val="rab_33_2011_krt"/>
      <sheetName val="RADIO_CONTROLS"/>
      <sheetName val="KPI-Data_Source"/>
      <sheetName val="ocean_voyage"/>
      <sheetName val="Eksisting_Penarikan"/>
      <sheetName val="Daftar_Harga"/>
      <sheetName val="C_O_A"/>
      <sheetName val="①　BP_vs_SPR_(TTL_Impact)"/>
      <sheetName val="rekap_pph_23"/>
      <sheetName val="21_&amp;_25"/>
      <sheetName val="Permanent_info"/>
      <sheetName val="FISIK_RAB_2000"/>
      <sheetName val="Satuan_Harga_Bahan"/>
      <sheetName val="Satuan_Harga_Upah"/>
      <sheetName val="Material_SAP"/>
      <sheetName val="Master_File"/>
      <sheetName val="Master_Data"/>
      <sheetName val="SLS-TGT-FEED_(FDM)"/>
      <sheetName val="BA_Rekon_ARDWS-APTSEL_(IDR)"/>
      <sheetName val="BA_Rekon_RevDWS-ExpTSEL_(IDR)"/>
      <sheetName val="BA_Rekon_ARAP_(USD)"/>
      <sheetName val="BA_Rekon_RevExp_(USD)"/>
      <sheetName val="BA_Rekon_RevDWS-ExpTSEL_(SLI)"/>
      <sheetName val="Jurnal_Memo_(USD)"/>
      <sheetName val="List_of_related_party"/>
      <sheetName val="OTHER_PREPAID_EXPENSE"/>
      <sheetName val="cilandak_payroll"/>
      <sheetName val="PBC_S2003"/>
      <sheetName val="EXTERNA_x005f_x0000__x000"/>
      <sheetName val="Subs"/>
      <sheetName val="ARPU"/>
      <sheetName val="Reload"/>
      <sheetName val="Price"/>
      <sheetName val="Revenue"/>
      <sheetName val="Traffic"/>
      <sheetName val="Ass_Planting"/>
      <sheetName val="EXECp2"/>
      <sheetName val="NT"/>
      <sheetName val="Jateng"/>
      <sheetName val="Jatim"/>
      <sheetName val="contekan"/>
      <sheetName val="RAP"/>
      <sheetName val="MarkUp"/>
      <sheetName val="RESOURCE MODEL"/>
      <sheetName val="Branch"/>
      <sheetName val="Jenis"/>
      <sheetName val="Summary UM"/>
      <sheetName val="KH-Q1,Q2,01"/>
      <sheetName val="Sumda1"/>
      <sheetName val="Volume"/>
      <sheetName val="villa"/>
      <sheetName val="JSiar"/>
      <sheetName val="TOWN"/>
      <sheetName val="H.Satuan"/>
      <sheetName val="s5"/>
      <sheetName val="TRADING PROFIT"/>
      <sheetName val="Q302"/>
      <sheetName val="9211 Summary of CAJE"/>
      <sheetName val="9212 Summary of AJE"/>
      <sheetName val="9213 Summary of RJE"/>
      <sheetName val="DAF.INVEN U.O"/>
      <sheetName val="April"/>
      <sheetName val="Februari"/>
      <sheetName val="Januari"/>
      <sheetName val="Juni"/>
      <sheetName val="Maret"/>
      <sheetName val="Mei"/>
      <sheetName val="lembar_kerja"/>
      <sheetName val="bez_karPim"/>
      <sheetName val="bez_karpel"/>
      <sheetName val="pihak iii"/>
      <sheetName val="FF-3"/>
      <sheetName val="alokasi"/>
      <sheetName val="O4_CA"/>
      <sheetName val="atp"/>
      <sheetName val="prom"/>
      <sheetName val="nm kbn"/>
      <sheetName val="tu"/>
      <sheetName val="EXTERNA_x005f_x005f_x005f_x005f_x005f_x005f_x0000"/>
      <sheetName val="EXTERNA_x005f_x005f_x005f_x005f_x005f_x005f_x005f"/>
      <sheetName val="EXTERNA_x005f_x005f_x005f_x0000__x000"/>
      <sheetName val="EXTERNA_x005f_x005f_x005f_x005f_x0000"/>
      <sheetName val="EXTERNA_x005f_x005f_x005f_x005f_x005f"/>
      <sheetName val="TBM KR 2006"/>
      <sheetName val="almanak &amp;hk."/>
      <sheetName val="HP99"/>
      <sheetName val="ADD"/>
      <sheetName val="rab_33"/>
      <sheetName val="EXTERNA_x005f_x005f_x0000"/>
      <sheetName val="EXTERNA_x005f_x005f_x005f"/>
      <sheetName val="pintar"/>
      <sheetName val="K4. F&amp;F"/>
      <sheetName val="SOAL42"/>
      <sheetName val="EXTERNA_x000"/>
      <sheetName val="EXTERNA_x0000"/>
      <sheetName val="EXTERNA_x005f"/>
      <sheetName val="CA-O7"/>
      <sheetName val="fm13(Giro)"/>
      <sheetName val="kepmenaker150"/>
      <sheetName val="1106-M&amp;E"/>
      <sheetName val="SW1"/>
      <sheetName val="gl"/>
      <sheetName val="C1 NOV"/>
      <sheetName val="N1"/>
      <sheetName val="FF-21(a)"/>
      <sheetName val="angs griya"/>
      <sheetName val="neraca"/>
      <sheetName val="Draft Neraca"/>
      <sheetName val="MAPP"/>
      <sheetName val="rek det 1-3"/>
      <sheetName val="HARGA SATUAN"/>
      <sheetName val="KEUANGAN"/>
      <sheetName val="Call"/>
      <sheetName val="pak-03"/>
      <sheetName val="Alat"/>
      <sheetName val="Persiapan"/>
      <sheetName val="TB-Detail-IDR"/>
      <sheetName val="Tanah 09"/>
      <sheetName val="Inputs"/>
      <sheetName val="Forecast"/>
      <sheetName val="Minutes"/>
      <sheetName val="dropdown"/>
      <sheetName val="Status"/>
      <sheetName val="pro_ra_op"/>
      <sheetName val="9"/>
      <sheetName val="14"/>
      <sheetName val="15"/>
      <sheetName val="D"/>
      <sheetName val="7"/>
      <sheetName val="B"/>
      <sheetName val="tgp_02"/>
      <sheetName val="CF(3)"/>
      <sheetName val="Sensitivitas(16)"/>
      <sheetName val="COVER"/>
      <sheetName val="KOCAB"/>
      <sheetName val="KRN"/>
      <sheetName val="inti"/>
      <sheetName val="by.sendiri"/>
      <sheetName val="plasma"/>
      <sheetName val="bezeting."/>
      <sheetName val="SKCD DATA GP YK"/>
      <sheetName val="NPWP DEBITUR"/>
      <sheetName val="rab.3.krt"/>
      <sheetName val="rab.4.krt"/>
      <sheetName val="rab.4.swt"/>
      <sheetName val="J u l"/>
      <sheetName val="O c t"/>
      <sheetName val="A p r"/>
      <sheetName val="M a y"/>
      <sheetName val="S e p"/>
      <sheetName val="00 received in 01"/>
      <sheetName val="F e b"/>
      <sheetName val="Per GL J a n"/>
      <sheetName val="J u n"/>
      <sheetName val="M a r"/>
      <sheetName val="Du_lieu"/>
      <sheetName val="CF-hot"/>
      <sheetName val="Material"/>
      <sheetName val="Bal 1997-1998"/>
      <sheetName val="GAOL_SMK"/>
      <sheetName val="Sheet6"/>
      <sheetName val="Lamp 2 "/>
      <sheetName val="lm7-11"/>
      <sheetName val="JUAL"/>
      <sheetName val="A-HC"/>
      <sheetName val="RL"/>
      <sheetName val="laru-kbn"/>
      <sheetName val="TK1"/>
      <sheetName val="CONFIG2"/>
      <sheetName val="REKAP OMZET KAPAL"/>
      <sheetName val="BS-RTI"/>
      <sheetName val="SDAYA"/>
      <sheetName val="Desplegable"/>
      <sheetName val="Project Code 관리"/>
      <sheetName val="Function"/>
      <sheetName val="목록데이터"/>
      <sheetName val="PRODUCTION_REPORTS2"/>
      <sheetName val="ANIMATION_ONLY2"/>
      <sheetName val="ANIMATION_COST_FORECAST2"/>
      <sheetName val="EXTERNAL_ANIMATION2"/>
      <sheetName val="List as of October"/>
      <sheetName val="PFA"/>
      <sheetName val="R_Category"/>
      <sheetName val="R_Controls"/>
      <sheetName val="R.Category"/>
      <sheetName val="자금세탁 사례관리"/>
      <sheetName val="전체 리스트"/>
      <sheetName val="1)일반상품"/>
      <sheetName val="POTO MAC"/>
      <sheetName val="LP-IDR"/>
      <sheetName val="OTP-BU"/>
      <sheetName val="LK-Box"/>
      <sheetName val="LARL-3"/>
      <sheetName val="Data YTD"/>
      <sheetName val="LARL-4 (TW)"/>
      <sheetName val="Cost-Centre"/>
      <sheetName val="MNR"/>
      <sheetName val="Doc Type Ref"/>
      <sheetName val="List as of Dec16"/>
      <sheetName val="KOR"/>
      <sheetName val="Acuan"/>
      <sheetName val="BS-WORK"/>
      <sheetName val="INDIRECT DETAIL"/>
      <sheetName val="FA-0800"/>
      <sheetName val="Kode BKU"/>
      <sheetName val="FF-6"/>
      <sheetName val="AU 31 Komputer"/>
      <sheetName val="rab.8(over.swt)"/>
      <sheetName val="rab.8.2(swt)"/>
      <sheetName val="50-53-54-55"/>
      <sheetName val="STKBB"/>
      <sheetName val="CIPARAY"/>
      <sheetName val="RANCAEKEK"/>
      <sheetName val="Drop-Down"/>
      <sheetName val="1997"/>
      <sheetName val="lp.kmmda"/>
      <sheetName val="karet RKAP"/>
      <sheetName val="AGUS-09"/>
      <sheetName val="Sheet5"/>
      <sheetName val="rumus"/>
      <sheetName val="Askolin"/>
      <sheetName val="bez.karpel"/>
      <sheetName val="lembar kerja"/>
      <sheetName val="CA Sheet"/>
      <sheetName val="BP1_23"/>
      <sheetName val="Deferred Revenue Nov 04"/>
      <sheetName val="TAX COM"/>
      <sheetName val="Noodles (assumptions)"/>
      <sheetName val="Center"/>
      <sheetName val="Company"/>
      <sheetName val="License"/>
      <sheetName val="Account"/>
      <sheetName val="GL_Account"/>
      <sheetName val="chemcal"/>
      <sheetName val="Accrued RO"/>
      <sheetName val="DSR"/>
      <sheetName val="XRATE"/>
      <sheetName val="MARKSUMM"/>
      <sheetName val="Sales"/>
      <sheetName val="SEC Income Statement"/>
      <sheetName val="UNPAID"/>
      <sheetName val="HARVEST02"/>
      <sheetName val="Operation 01-0207"/>
      <sheetName val="F-BSPL"/>
      <sheetName val="Nrj Ljr"/>
      <sheetName val="AR_Actual"/>
      <sheetName val="AR_Budget"/>
      <sheetName val="RRP"/>
      <sheetName val="Scoping"/>
      <sheetName val="Calc"/>
      <sheetName val="ProductionTarget50Pct"/>
      <sheetName val="CAPEX"/>
      <sheetName val="Operations"/>
      <sheetName val="Scenarios and Sensitivities"/>
      <sheetName val="Financials"/>
      <sheetName val="Global Assumptions"/>
      <sheetName val="Marshal"/>
      <sheetName val="CF_Pmt creditor"/>
      <sheetName val="Seb KPI's"/>
      <sheetName val="P&amp;L Detail SARold"/>
      <sheetName val="OLAH"/>
      <sheetName val="Excess Calc"/>
      <sheetName val="Exc. Rate"/>
      <sheetName val="PF-OFFICE"/>
      <sheetName val="AP Trade"/>
      <sheetName val="AUG02"/>
      <sheetName val="0220"/>
      <sheetName val="Indirects MBR"/>
      <sheetName val="fr BS"/>
      <sheetName val="CFLOW"/>
      <sheetName val="RMS FUNGSIONAL"/>
      <sheetName val="RMS - STR (2)"/>
      <sheetName val="SEN_FUNG"/>
      <sheetName val="p.mgmt"/>
      <sheetName val="1"/>
      <sheetName val="nc-0698"/>
      <sheetName val="tabel rimba"/>
      <sheetName val="RO344 TOTAL"/>
      <sheetName val="KBB-CIB BANK"/>
      <sheetName val="data arus kas"/>
      <sheetName val="Bi.kirim"/>
      <sheetName val="Sheet 2"/>
      <sheetName val="OLDMAP"/>
      <sheetName val="Adf par resp"/>
      <sheetName val="COA"/>
      <sheetName val="SETUP"/>
      <sheetName val="ADJ AUG12,2010"/>
      <sheetName val="eka"/>
      <sheetName val="Variabel"/>
      <sheetName val="General"/>
      <sheetName val="Benefit Design"/>
      <sheetName val="Experience Rating"/>
      <sheetName val="Table"/>
      <sheetName val="Member"/>
      <sheetName val="Insem"/>
      <sheetName val="Sheet3"/>
      <sheetName val="HRPar"/>
      <sheetName val="HIT"/>
      <sheetName val="database"/>
      <sheetName val="AD&amp;D"/>
      <sheetName val="Formula-KM"/>
      <sheetName val="Formula-LH"/>
      <sheetName val="Formula-RG"/>
      <sheetName val="Formula-RI"/>
      <sheetName val="Formula-RJ"/>
      <sheetName val="Options"/>
      <sheetName val="Hidden!"/>
      <sheetName val="Marketer"/>
      <sheetName val="Code_1"/>
      <sheetName val="PREMI"/>
      <sheetName val="std ip tanpa abnormal"/>
      <sheetName val="Summary Peserta"/>
      <sheetName val="Data Peserta"/>
      <sheetName val="Param"/>
      <sheetName val="Loading"/>
      <sheetName val="Assumption"/>
      <sheetName val="Recap OT"/>
      <sheetName val="Proses Gaji"/>
      <sheetName val="BENEFIT"/>
      <sheetName val="Premi Iuran"/>
      <sheetName val="OP"/>
      <sheetName val="int-h wk1"/>
      <sheetName val="REKAP BKK BANK"/>
      <sheetName val="Claim Ratio "/>
      <sheetName val="KWITANSI"/>
      <sheetName val="form Rnwl"/>
      <sheetName val="2003-2004"/>
      <sheetName val="Assetdb"/>
      <sheetName val="PersList"/>
      <sheetName val="AssetPar"/>
      <sheetName val="Sales Parameter"/>
      <sheetName val="Parameter"/>
      <sheetName val="ABK.04.AWALR+CO+TAB.RUPS"/>
      <sheetName val="DATA3"/>
      <sheetName val="DATA1"/>
      <sheetName val="EX RATE"/>
      <sheetName val="Recon. Template"/>
      <sheetName val="Checks_BO"/>
      <sheetName val="Inc Stmt Sum"/>
      <sheetName val="May"/>
      <sheetName val="C90_NET"/>
      <sheetName val="Corp 04 DeprAmort Recap"/>
      <sheetName val="Total NA Food"/>
      <sheetName val="Other"/>
      <sheetName val="Canada"/>
      <sheetName val="Midwest"/>
      <sheetName val="East"/>
      <sheetName val="South"/>
      <sheetName val="Staff"/>
      <sheetName val="West"/>
      <sheetName val="QTIL -BSHEET"/>
      <sheetName val="Developer rev 99"/>
      <sheetName val=" Ad Sales  exp"/>
      <sheetName val="Bus Dev"/>
      <sheetName val="corp. exp"/>
      <sheetName val="LBO --&gt;"/>
      <sheetName val="ONYX"/>
      <sheetName val="Monomers"/>
      <sheetName val="Jurnal"/>
      <sheetName val="A.02-I"/>
      <sheetName val="06. CC270616"/>
      <sheetName val="5313 Test Allowance (aging)"/>
      <sheetName val="1.Rollfwd"/>
      <sheetName val="Lead"/>
      <sheetName val="Pain data"/>
      <sheetName val="Wages"/>
      <sheetName val="FSA"/>
      <sheetName val="Form 4"/>
      <sheetName val="KBT."/>
      <sheetName val="Norma_HK"/>
      <sheetName val="DB MP"/>
      <sheetName val="VD"/>
      <sheetName val="PRO_COAL"/>
      <sheetName val="Compensation Data Worksheet"/>
      <sheetName val="DB_MP"/>
      <sheetName val="TANDA TERIMA"/>
      <sheetName val="Rekening"/>
      <sheetName val="Big"/>
      <sheetName val="Coal_Mining"/>
      <sheetName val="Htr"/>
      <sheetName val="KPC Coal"/>
      <sheetName val="KPC_Total"/>
      <sheetName val="MS"/>
      <sheetName val="FA sd APRIL 07"/>
      <sheetName val="3 _ Balance Sheet"/>
      <sheetName val="_16 _ Final Budgets"/>
      <sheetName val="4 _ Income Statement"/>
      <sheetName val="5 _ Cash Flow"/>
      <sheetName val="JUAL_STD"/>
      <sheetName val="DEPN 2001"/>
      <sheetName val="KONSOLIDASI"/>
      <sheetName val="end"/>
      <sheetName val="lkupref"/>
      <sheetName val="Syracuse0"/>
      <sheetName val="tgp-02"/>
      <sheetName val="B7"/>
      <sheetName val="JADI"/>
      <sheetName val="Control"/>
      <sheetName val="ChartData"/>
      <sheetName val="Subs Details 2004"/>
      <sheetName val="Start"/>
      <sheetName val="Mt.Ex-CurWk"/>
      <sheetName val="Fuel &amp; Safety - 2"/>
      <sheetName val="Source"/>
      <sheetName val="Generator"/>
      <sheetName val="Micro_S"/>
      <sheetName val="Brand"/>
      <sheetName val="SCHEDULE 9A(1 of 3)"/>
      <sheetName val="INCOME RATNA"/>
      <sheetName val="Detail WPL Jan"/>
      <sheetName val="Ner"/>
      <sheetName val="N_Sld_Kmd"/>
      <sheetName val="N_Sld_Pku"/>
      <sheetName val="OPR-99"/>
      <sheetName val="Telephone &amp; KSO Rev"/>
      <sheetName val="JLSNER-HD99_"/>
      <sheetName val="FORM-X-1"/>
      <sheetName val="List PT"/>
      <sheetName val="TM"/>
      <sheetName val="Valuation"/>
      <sheetName val="Input_Sing_Life"/>
      <sheetName val="ReffTable"/>
      <sheetName val="Acsys Key"/>
      <sheetName val="Consumable"/>
      <sheetName val="Tools"/>
      <sheetName val="CM_Genset_1"/>
      <sheetName val="CM Genset_2"/>
      <sheetName val="CP_PD"/>
      <sheetName val="Spare Part"/>
      <sheetName val="SMPS Relocation"/>
      <sheetName val="DG Cranking System"/>
      <sheetName val="Site Support and Maintenance"/>
      <sheetName val="GrFour"/>
      <sheetName val="MOne"/>
      <sheetName val="MTwo"/>
      <sheetName val="KOne"/>
      <sheetName val="GoSeven"/>
      <sheetName val="GrThree"/>
      <sheetName val="HTwo"/>
      <sheetName val="JOne"/>
      <sheetName val="JTwo"/>
      <sheetName val="HOne"/>
      <sheetName val="GoEight"/>
      <sheetName val="BUTYL 070303 "/>
      <sheetName val="Aug"/>
      <sheetName val=""/>
      <sheetName val="TE"/>
      <sheetName val="CH"/>
      <sheetName val="12"/>
      <sheetName val="Bangunan Utama B"/>
      <sheetName val="FIELDCALC"/>
      <sheetName val="B2003_LES"/>
      <sheetName val="VLOOK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sheetData sheetId="222"/>
      <sheetData sheetId="223"/>
      <sheetData sheetId="224"/>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sheetData sheetId="537" refreshError="1"/>
      <sheetData sheetId="538" refreshError="1"/>
      <sheetData sheetId="539" refreshError="1"/>
      <sheetData sheetId="540" refreshError="1"/>
      <sheetData sheetId="541" refreshError="1"/>
      <sheetData sheetId="542" refreshError="1"/>
      <sheetData sheetId="543"/>
      <sheetData sheetId="544" refreshError="1"/>
      <sheetData sheetId="545"/>
      <sheetData sheetId="546"/>
      <sheetData sheetId="547"/>
      <sheetData sheetId="548"/>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sheetData sheetId="614"/>
      <sheetData sheetId="615"/>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B3"/>
      <sheetName val="B2"/>
      <sheetName val="B1"/>
      <sheetName val="B"/>
      <sheetName val="A1"/>
      <sheetName val="OPINI"/>
      <sheetName val="Bs1"/>
      <sheetName val="Bs2"/>
      <sheetName val="PL"/>
      <sheetName val="EQUITY"/>
      <sheetName val="CF arus kas"/>
      <sheetName val="N1"/>
      <sheetName val="N2"/>
      <sheetName val="NOTES"/>
      <sheetName val="Sheet2"/>
      <sheetName val="Pj Cf"/>
      <sheetName val="Menu"/>
      <sheetName val="INdexwp"/>
      <sheetName val="INDEX"/>
      <sheetName val="TB"/>
      <sheetName val="BS-PL"/>
      <sheetName val="Bar LEAD"/>
      <sheetName val="Bar SUPP"/>
      <sheetName val="BB"/>
      <sheetName val="ARL jurnal"/>
      <sheetName val="T-M"/>
      <sheetName val="Penyhsn"/>
      <sheetName val="Imb kerj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Opn (2)"/>
      <sheetName val="Opn"/>
      <sheetName val="LampAp"/>
      <sheetName val="LampAr"/>
      <sheetName val="dft"/>
      <sheetName val="arap afiliasi"/>
      <sheetName val="Bar LEAD (2)"/>
      <sheetName val="LAr ori"/>
      <sheetName val="Penyhsn"/>
      <sheetName val="EQUITY"/>
      <sheetName val="CF"/>
      <sheetName val="Bs1"/>
      <sheetName val="Bs2"/>
      <sheetName val="NOTES"/>
      <sheetName val="PL"/>
      <sheetName val="ctt2"/>
      <sheetName val="TB08"/>
      <sheetName val="TB09"/>
      <sheetName val="ARL"/>
      <sheetName val="INDEX"/>
      <sheetName val="Tb09klien"/>
      <sheetName val="Neraca lajur 2008"/>
      <sheetName val="Neraca Lajur 2007"/>
      <sheetName val="BS-PL"/>
      <sheetName val="Bar LEAD"/>
      <sheetName val="Menu"/>
      <sheetName val="T-M"/>
      <sheetName val="BB"/>
      <sheetName val="Bar SUP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alance Sheet"/>
      <sheetName val="Income Statement"/>
      <sheetName val="Analysis"/>
      <sheetName val="Employees"/>
      <sheetName val="Profile"/>
    </sheetNames>
    <sheetDataSet>
      <sheetData sheetId="0"/>
      <sheetData sheetId="1"/>
      <sheetData sheetId="2"/>
      <sheetData sheetId="3"/>
      <sheetData sheetId="4"/>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BS"/>
      <sheetName val="IS"/>
      <sheetName val="AJE"/>
      <sheetName val="CAJE"/>
    </sheetNames>
    <sheetDataSet>
      <sheetData sheetId="0"/>
      <sheetData sheetId="1"/>
      <sheetData sheetId="2"/>
      <sheetData sheetId="3"/>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tb-mar"/>
    </sheetNames>
    <sheetDataSet>
      <sheetData sheetId="0"/>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Nat Staff"/>
      <sheetName val="Nat Staff Final"/>
      <sheetName val="comparison"/>
      <sheetName val="Data"/>
      <sheetName val="Eligible-Data"/>
      <sheetName val="Eligible-PBA-April-2001"/>
      <sheetName val="FINAL-APRIL"/>
      <sheetName val="Training"/>
      <sheetName val="April"/>
      <sheetName val="Sheet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Honda"/>
      <sheetName val="Avanza"/>
      <sheetName val="Sheet2"/>
    </sheetNames>
    <sheetDataSet>
      <sheetData sheetId="0" refreshError="1"/>
      <sheetData sheetId="1" refreshError="1"/>
      <sheetData sheetId="2"/>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Ref"/>
    </sheetNames>
    <sheetDataSet>
      <sheetData sheetId="0"/>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GL 2010"/>
      <sheetName val="TB"/>
    </sheetNames>
    <sheetDataSet>
      <sheetData sheetId="0" refreshError="1"/>
      <sheetData sheetId="1"/>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INSTITUSI"/>
      <sheetName val="COA"/>
      <sheetName val="JU"/>
      <sheetName val="BB"/>
      <sheetName val="BUKU BESAR"/>
      <sheetName val="BUKU PEMBANTU"/>
      <sheetName val="NERACA"/>
      <sheetName val="R-L"/>
      <sheetName val="LABA DITAHA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Daily"/>
      <sheetName val="BCA"/>
      <sheetName val="Lippo"/>
      <sheetName val="Cash"/>
      <sheetName val="GV"/>
      <sheetName val="BB"/>
      <sheetName val="COA"/>
      <sheetName val="Sett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KSA01"/>
      <sheetName val="ADJ01"/>
      <sheetName val="KSA11"/>
      <sheetName val="ADJ11"/>
      <sheetName val="KSA12"/>
      <sheetName val="ADJ12"/>
      <sheetName val="KSA13"/>
      <sheetName val="ADJ13"/>
      <sheetName val="KSA14"/>
      <sheetName val="ADJ14"/>
      <sheetName val="KSA15"/>
      <sheetName val="ADJ15"/>
      <sheetName val="KSA16"/>
      <sheetName val="ADJ16"/>
      <sheetName val="KSA17"/>
      <sheetName val="ADJ17"/>
      <sheetName val="KSA51"/>
      <sheetName val="ADJ51"/>
      <sheetName val="KSA52"/>
      <sheetName val="ADJ52"/>
      <sheetName val="KSA53"/>
      <sheetName val="ADJ53"/>
      <sheetName val="TB (UNAUDITED)"/>
      <sheetName val="TB (UNAUDITED) 01-12 2006"/>
      <sheetName val="WP Arus Kas"/>
      <sheetName val="Combine2006"/>
      <sheetName val="Combine2005"/>
      <sheetName val="minority interest"/>
      <sheetName val="ELIMINASI (TB)"/>
      <sheetName val="ELIMINASI(Audited)"/>
      <sheetName val="Neraca"/>
      <sheetName val="Laba Rugi"/>
      <sheetName val="Equity (Induk)"/>
      <sheetName val="Equity (Consol)"/>
      <sheetName val="RINCIAN BEBAN"/>
      <sheetName val="RINCIAN PENDAPATAN"/>
      <sheetName val="RINCIAN KAS DAN BANK"/>
      <sheetName val="Arus Kas"/>
      <sheetName val="ADJ Effect"/>
      <sheetName val="Neraca Mapping"/>
      <sheetName val="Purna Kary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LampAp"/>
      <sheetName val="LampAr"/>
      <sheetName val="dft"/>
      <sheetName val="arap afiliasi"/>
      <sheetName val="Bar LEAD (2)"/>
      <sheetName val="CF"/>
      <sheetName val="OPINI (2)"/>
      <sheetName val="cover"/>
      <sheetName val="LampAr ori"/>
      <sheetName val="Penyhsn"/>
      <sheetName val="Sheet1"/>
      <sheetName val="analisa LR"/>
      <sheetName val="EQUITY"/>
      <sheetName val="Bs1"/>
      <sheetName val="ctt2"/>
      <sheetName val="NOTES"/>
      <sheetName val="Bs2"/>
      <sheetName val="PL"/>
      <sheetName val="Isfskl08"/>
      <sheetName val="TB (2)"/>
      <sheetName val="TB"/>
      <sheetName val="ARL"/>
      <sheetName val="INDEX"/>
      <sheetName val="TB 2009"/>
      <sheetName val="Neraca lajur 2008"/>
      <sheetName val="Neraca Lajur 2007"/>
      <sheetName val="Bar LEAD"/>
      <sheetName val="Menu"/>
      <sheetName val="T-M"/>
      <sheetName val="BB"/>
      <sheetName val="BS-PL"/>
      <sheetName val="Bar SUP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 sheetId="23"/>
      <sheetData sheetId="24" refreshError="1"/>
      <sheetData sheetId="25" refreshError="1"/>
      <sheetData sheetId="26"/>
      <sheetData sheetId="27" refreshError="1"/>
      <sheetData sheetId="28"/>
      <sheetData sheetId="29" refreshError="1"/>
      <sheetData sheetId="30" refreshError="1"/>
      <sheetData sheetId="31"/>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Income Statement"/>
      <sheetName val="Profile"/>
    </sheetNames>
    <sheetDataSet>
      <sheetData sheetId="0" refreshError="1"/>
      <sheetData sheetId="1" refreshError="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memorial"/>
      <sheetName val="GLBANK"/>
      <sheetName val="GLKAS"/>
      <sheetName val="Sheet1"/>
      <sheetName val="sort"/>
      <sheetName val="Expenses"/>
      <sheetName val="Account"/>
      <sheetName val="B S"/>
      <sheetName val="L n P"/>
      <sheetName val="HSBC(Rp)"/>
      <sheetName val="HSBC(USD)"/>
      <sheetName val="LBH "/>
      <sheetName val="pREPAYMENT"/>
      <sheetName val="PPNM"/>
      <sheetName val="PPH22"/>
      <sheetName val="Account Receivable"/>
      <sheetName val="INVENTORY"/>
      <sheetName val="inventaris"/>
      <sheetName val="Liability to group"/>
      <sheetName val="Sales"/>
      <sheetName val="COGS"/>
      <sheetName val="COGS2"/>
      <sheetName val="PPNK"/>
      <sheetName val="PPH"/>
      <sheetName val="Rekon"/>
      <sheetName val="XX By Pra operasional X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A1"/>
      <sheetName val="A"/>
      <sheetName val="Data"/>
    </sheetNames>
    <sheetDataSet>
      <sheetData sheetId="0" refreshError="1"/>
      <sheetData sheetId="1" refreshError="1"/>
      <sheetData sheetId="2" refreshError="1"/>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TB"/>
      <sheetName val="Sheet2"/>
      <sheetName val="Sheet1"/>
      <sheetName val="Sheet3"/>
    </sheetNames>
    <sheetDataSet>
      <sheetData sheetId="0"/>
      <sheetData sheetId="1"/>
      <sheetData sheetId="2" refreshError="1"/>
      <sheetData sheetId="3" refreshError="1"/>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Isfskl07"/>
      <sheetName val="opini"/>
      <sheetName val="cover"/>
      <sheetName val="dftisi"/>
      <sheetName val="lamp"/>
      <sheetName val="Penyhsn"/>
      <sheetName val="ctt1"/>
      <sheetName val="analisa LR"/>
      <sheetName val="LR"/>
      <sheetName val="Eqt"/>
      <sheetName val="bs"/>
      <sheetName val="ctt2"/>
      <sheetName val="ctt2 (2)"/>
      <sheetName val="Isfskl08"/>
      <sheetName val="TB"/>
      <sheetName val="INDEX"/>
      <sheetName val="Neraca lajur 2008"/>
      <sheetName val="Neraca Lajur 2007"/>
      <sheetName val="Bar LEAD"/>
      <sheetName val="Menu"/>
      <sheetName val="T-M"/>
      <sheetName val="ARL"/>
      <sheetName val="BB"/>
      <sheetName val="BS-PL"/>
      <sheetName val="Bar SUPP"/>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Summary"/>
      <sheetName val="Mutasi"/>
      <sheetName val="Sheet2"/>
      <sheetName val="print"/>
      <sheetName val="detail"/>
    </sheetNames>
    <sheetDataSet>
      <sheetData sheetId="0" refreshError="1"/>
      <sheetData sheetId="1" refreshError="1"/>
      <sheetData sheetId="2" refreshError="1"/>
      <sheetData sheetId="3" refreshError="1"/>
      <sheetData sheetId="4" refreshError="1"/>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50 (2)"/>
      <sheetName val="50"/>
      <sheetName val="40 45"/>
      <sheetName val="35 40"/>
      <sheetName val="Amortization Table"/>
      <sheetName val="25 30"/>
      <sheetName val="30 35"/>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Summary"/>
      <sheetName val="1101-LR-OK"/>
      <sheetName val="1102-B&amp;I-OK"/>
      <sheetName val="1103-M&amp;E"/>
      <sheetName val="1104-M&amp;E"/>
      <sheetName val="1105-B&amp;I-OK"/>
      <sheetName val="1106-M&amp;E"/>
      <sheetName val="1107-V&amp;T"/>
      <sheetName val="1108-V&amp;T"/>
      <sheetName val="1109-T&amp;O"/>
      <sheetName val=" Leasing"/>
      <sheetName val="KOMPARASI"/>
      <sheetName val="CIP"/>
      <sheetName val="Sale-Leaseback"/>
      <sheetName val="1105_B_I_OK"/>
      <sheetName val="1106_M_E"/>
      <sheetName val="TB-WP"/>
      <sheetName val="Other charges _income_"/>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sheetData sheetId="13" refreshError="1"/>
      <sheetData sheetId="14"/>
      <sheetData sheetId="15"/>
      <sheetData sheetId="16" refreshError="1"/>
      <sheetData sheetId="17" refreshError="1"/>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CoA"/>
      <sheetName val="Jan"/>
      <sheetName val="Feb"/>
      <sheetName val="Mar"/>
      <sheetName val="Apr"/>
      <sheetName val="May"/>
      <sheetName val="Jun"/>
      <sheetName val="Jul"/>
      <sheetName val="Aug"/>
      <sheetName val="Sep"/>
      <sheetName val="Oct"/>
      <sheetName val="Nov"/>
      <sheetName val="Dec"/>
      <sheetName val="Neraca Lajur"/>
      <sheetName val="Neraca"/>
      <sheetName val="Laba Rugi"/>
      <sheetName val="Koreksi Fiskal"/>
      <sheetName val="PSAK 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REKAP SI"/>
      <sheetName val="REKAP EY"/>
      <sheetName val="DIT AUDIT"/>
      <sheetName val="KOM NDA"/>
      <sheetName val="AT FISKAL"/>
      <sheetName val="AT NDA"/>
      <sheetName val="REKAP NDA"/>
      <sheetName val="AT JUAL"/>
      <sheetName val="AR Lain"/>
      <sheetName val="WBS1"/>
    </sheetNames>
    <sheetDataSet>
      <sheetData sheetId="0" refreshError="1"/>
      <sheetData sheetId="1" refreshError="1"/>
      <sheetData sheetId="2" refreshError="1"/>
      <sheetData sheetId="3"/>
      <sheetData sheetId="4"/>
      <sheetData sheetId="5" refreshError="1"/>
      <sheetData sheetId="6" refreshError="1"/>
      <sheetData sheetId="7"/>
      <sheetData sheetId="8" refreshError="1"/>
      <sheetData sheetId="9" refreshError="1"/>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REKAP SI"/>
      <sheetName val="REKAP EY"/>
      <sheetName val="DIT AUDIT"/>
      <sheetName val="KOM NDA"/>
      <sheetName val="AT FISKAL"/>
      <sheetName val="AT NDA"/>
      <sheetName val="REKAP NDA"/>
      <sheetName val="AT JU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TE"/>
      <sheetName val="BS"/>
      <sheetName val="IS"/>
      <sheetName val="Equity"/>
      <sheetName val="A4-2002"/>
      <sheetName val="CF-2002"/>
      <sheetName val="CF supp-2002"/>
      <sheetName val="CF supp-2002 (2)"/>
      <sheetName val="CF"/>
      <sheetName val="CF supp"/>
      <sheetName val="T-Acc"/>
      <sheetName val="Proforma"/>
      <sheetName val="A4"/>
      <sheetName val="AJE"/>
      <sheetName val="C"/>
      <sheetName val="E1"/>
      <sheetName val="E2"/>
      <sheetName val="F"/>
      <sheetName val="LCM "/>
      <sheetName val="G"/>
      <sheetName val="G1"/>
      <sheetName val="G2"/>
      <sheetName val="G3"/>
      <sheetName val="Rent"/>
      <sheetName val="DIT"/>
      <sheetName val="DTA"/>
      <sheetName val="K"/>
      <sheetName val="Kdetail"/>
      <sheetName val="K2"/>
      <sheetName val="CIP"/>
      <sheetName val="Sale-Leaseback (2)"/>
      <sheetName val="Sale-Leaseback"/>
      <sheetName val="M"/>
      <sheetName val="M1"/>
      <sheetName val="Mflow (2)"/>
      <sheetName val="N-1"/>
      <sheetName val="N-2"/>
      <sheetName val="N-3"/>
      <sheetName val="O-1"/>
      <sheetName val="O-1-1"/>
      <sheetName val="O-1-2"/>
      <sheetName val="O-1-3"/>
      <sheetName val="O-1-4"/>
      <sheetName val="O-2"/>
      <sheetName val="P"/>
      <sheetName val="Q"/>
      <sheetName val="R"/>
      <sheetName val="R1"/>
      <sheetName val="V1"/>
      <sheetName val="RE"/>
      <sheetName val="Reval"/>
      <sheetName val="T"/>
      <sheetName val="U-1 (2)"/>
      <sheetName val="quantity-sales"/>
      <sheetName val="GPA "/>
      <sheetName val="U-1 Analysis"/>
      <sheetName val="xport-cut"/>
      <sheetName val="local-cut (2)"/>
      <sheetName val="U-2 "/>
      <sheetName val="U2-1"/>
      <sheetName val="Costing-Test"/>
      <sheetName val="quantity-COGS"/>
      <sheetName val="purchase-cutoff"/>
      <sheetName val="U-3 (2)"/>
      <sheetName val="U-4 (2)"/>
      <sheetName val="U-5 (2)"/>
      <sheetName val="U-5-1"/>
      <sheetName val="i test"/>
      <sheetName val="C1"/>
      <sheetName val="Tax Rec"/>
      <sheetName val="NDE-i"/>
      <sheetName val="NDE"/>
      <sheetName val="PPE-fis"/>
      <sheetName val="lease-forex"/>
      <sheetName val="FSC- Lease Rec"/>
      <sheetName val="monetary"/>
      <sheetName val="FPR"/>
      <sheetName val="Sale_Leaseback _2_"/>
      <sheetName val="GeneralInf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cover"/>
      <sheetName val="assumptions"/>
      <sheetName val="struct change"/>
      <sheetName val="Profit recon"/>
      <sheetName val="IGtm1"/>
      <sheetName val="chart"/>
      <sheetName val="KEY-gbp"/>
      <sheetName val="KEY-php"/>
      <sheetName val="Brand_CUM"/>
      <sheetName val="Brand_PRD"/>
      <sheetName val="FY P&amp;L perBrand"/>
      <sheetName val="FY P&amp;LperCountry"/>
      <sheetName val="TOTAL"/>
      <sheetName val="PHI"/>
      <sheetName val="THA"/>
      <sheetName val="IND"/>
      <sheetName val="TWN"/>
      <sheetName val="HKG"/>
      <sheetName val="SRL"/>
      <sheetName val="INDIA"/>
      <sheetName val="TEA details"/>
      <sheetName val="Sales perBrand"/>
      <sheetName val="BS"/>
      <sheetName val="P&amp;L -Revised"/>
      <sheetName val="P&amp;L -Original"/>
      <sheetName val="Old structure"/>
      <sheetName val="P&amp;L -DIFF"/>
      <sheetName val="translation"/>
      <sheetName val="Sheet1"/>
      <sheetName val="1105-B&amp;I-OK"/>
      <sheetName val="1106-M&am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cover"/>
      <sheetName val="assumptions"/>
      <sheetName val="struct change"/>
      <sheetName val="Profit recon"/>
      <sheetName val="IGtm1"/>
      <sheetName val="chart"/>
      <sheetName val="KEY-gbp"/>
      <sheetName val="KEY-php"/>
      <sheetName val="Brand_CUM"/>
      <sheetName val="Brand_PRD"/>
      <sheetName val="FY P&amp;L perBrand"/>
      <sheetName val="FY P&amp;LperCountry"/>
      <sheetName val="TOTAL"/>
      <sheetName val="PHI"/>
      <sheetName val="THA"/>
      <sheetName val="IND"/>
      <sheetName val="TWN"/>
      <sheetName val="HKG"/>
      <sheetName val="SRL"/>
      <sheetName val="INDIA"/>
      <sheetName val="TEA details"/>
      <sheetName val="Sales perBrand"/>
      <sheetName val="BS"/>
      <sheetName val="P&amp;L -Revised"/>
      <sheetName val="P&amp;L -Original"/>
      <sheetName val="Old structure"/>
      <sheetName val="P&amp;L -DIFF"/>
      <sheetName val="translation"/>
      <sheetName val="FS &amp; Sales 2003-04-mktperspec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sheetData sheetId="1"/>
      <sheetData sheetId="2"/>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TE"/>
      <sheetName val="BS"/>
      <sheetName val="IS"/>
      <sheetName val="Equity"/>
      <sheetName val="A4-2002"/>
      <sheetName val="CF-2002"/>
      <sheetName val="CF supp-2002"/>
      <sheetName val="CF supp-2002 (2)"/>
      <sheetName val="CF"/>
      <sheetName val="CF supp"/>
      <sheetName val="T-Acc"/>
      <sheetName val="Proforma"/>
      <sheetName val="A4"/>
      <sheetName val="AJE"/>
      <sheetName val="C"/>
      <sheetName val="E1"/>
      <sheetName val="E2"/>
      <sheetName val="F"/>
      <sheetName val="LCM "/>
      <sheetName val="G"/>
      <sheetName val="G1"/>
      <sheetName val="G2"/>
      <sheetName val="G3"/>
      <sheetName val="Rent"/>
      <sheetName val="DIT"/>
      <sheetName val="DTA"/>
      <sheetName val="K"/>
      <sheetName val="Kdetail"/>
      <sheetName val="K2"/>
      <sheetName val="CIP"/>
      <sheetName val="Sale-Leaseback (2)"/>
      <sheetName val="Sale-Leaseback"/>
      <sheetName val="M"/>
      <sheetName val="M1"/>
      <sheetName val="Mflow (2)"/>
      <sheetName val="N-1"/>
      <sheetName val="N-2"/>
      <sheetName val="N-3"/>
      <sheetName val="O-1"/>
      <sheetName val="O-1-1"/>
      <sheetName val="O-1-2"/>
      <sheetName val="O-1-3"/>
      <sheetName val="O-1-4"/>
      <sheetName val="O-2"/>
      <sheetName val="P"/>
      <sheetName val="Q"/>
      <sheetName val="R"/>
      <sheetName val="R1"/>
      <sheetName val="V1"/>
      <sheetName val="RE"/>
      <sheetName val="Reval"/>
      <sheetName val="T"/>
      <sheetName val="U-1 (2)"/>
      <sheetName val="quantity-sales"/>
      <sheetName val="GPA "/>
      <sheetName val="U-1 Analysis"/>
      <sheetName val="xport-cut"/>
      <sheetName val="local-cut (2)"/>
      <sheetName val="U-2 "/>
      <sheetName val="U2-1"/>
      <sheetName val="Costing-Test"/>
      <sheetName val="quantity-COGS"/>
      <sheetName val="purchase-cutoff"/>
      <sheetName val="U-3 (2)"/>
      <sheetName val="U-4 (2)"/>
      <sheetName val="U-5 (2)"/>
      <sheetName val="U-5-1"/>
      <sheetName val="i test"/>
      <sheetName val="C1"/>
      <sheetName val="Tax Rec"/>
      <sheetName val="NDE-i"/>
      <sheetName val="NDE"/>
      <sheetName val="PPE-fis"/>
      <sheetName val="lease-forex"/>
      <sheetName val="FSC- Lease Rec"/>
      <sheetName val="monetary"/>
      <sheetName val="FPR"/>
      <sheetName val="Sale_Leaseback _2_"/>
      <sheetName val="Asums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SSP SPT 21 26"/>
      <sheetName val="SSP SPT 42"/>
      <sheetName val="SSP SPT 23 26"/>
      <sheetName val="SSP"/>
      <sheetName val="POT 23 26"/>
      <sheetName val="DBP"/>
      <sheetName val="DBP2"/>
      <sheetName val="DBP3"/>
      <sheetName val="BP23"/>
      <sheetName val="BP23 (2)"/>
      <sheetName val="SSP SPT 22"/>
      <sheetName val="POT 42"/>
      <sheetName val="SSP SPT 25"/>
      <sheetName val="FISKAL"/>
      <sheetName val="KODE"/>
      <sheetName val="DWP"/>
      <sheetName val="LOOKUP"/>
      <sheetName val="PM-PL"/>
      <sheetName val="Repo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KAS RP"/>
      <sheetName val="KAS $"/>
      <sheetName val="RAK"/>
      <sheetName val="ANL2"/>
      <sheetName val="ELIM LBU1"/>
      <sheetName val="NERLKP"/>
      <sheetName val="pnllkp"/>
      <sheetName val="PNLLBUALL"/>
      <sheetName val="PNL1 A"/>
      <sheetName val="PNL2 A"/>
      <sheetName val="RRA"/>
      <sheetName val="LIK"/>
      <sheetName val="RRP&amp;K2L"/>
      <sheetName val="KAS _"/>
      <sheetName val="Asumsi"/>
      <sheetName val="Sheet8"/>
      <sheetName val="KODE"/>
      <sheetName val="LOOK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INDEX"/>
      <sheetName val="1771"/>
      <sheetName val="1771.2"/>
      <sheetName val="I"/>
      <sheetName val="II"/>
      <sheetName val="III"/>
      <sheetName val="IV"/>
      <sheetName val="V"/>
      <sheetName val="VI"/>
      <sheetName val="1A"/>
      <sheetName val="2A"/>
      <sheetName val="3A"/>
      <sheetName val="4A"/>
      <sheetName val="5A"/>
      <sheetName val="6A"/>
      <sheetName val="7A"/>
      <sheetName val="III.1"/>
      <sheetName val="III.2"/>
      <sheetName val="C10a"/>
      <sheetName val="C10c"/>
      <sheetName val="Fiskal"/>
      <sheetName val="Fa"/>
      <sheetName val="CGS"/>
      <sheetName val="MKT"/>
      <sheetName val="GA"/>
      <sheetName val="OTH"/>
      <sheetName val="Pos"/>
      <sheetName val="1771_2"/>
      <sheetName val="KODE"/>
      <sheetName val="LOOKUP"/>
      <sheetName val="DWP"/>
      <sheetName val="SK HTM"/>
      <sheetName val="TLKM-J"/>
      <sheetName val="N-TLK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Lead"/>
      <sheetName val="Links"/>
      <sheetName val="Tickmarks"/>
      <sheetName val="KAS $"/>
    </sheetNames>
    <sheetDataSet>
      <sheetData sheetId="0" refreshError="1"/>
      <sheetData sheetId="1" refreshError="1"/>
      <sheetData sheetId="2" refreshError="1"/>
      <sheetData sheetId="3" refreshError="1"/>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B3"/>
      <sheetName val="B2"/>
      <sheetName val="B1"/>
      <sheetName val="B"/>
      <sheetName val="A1"/>
      <sheetName val="OPINI"/>
      <sheetName val="Bs1"/>
      <sheetName val="Bs2"/>
      <sheetName val="PL"/>
      <sheetName val="EQUITY"/>
      <sheetName val="CF"/>
      <sheetName val="NOTES"/>
      <sheetName val="Sheet2"/>
      <sheetName val="Sheet1"/>
      <sheetName val="Pj Cf"/>
      <sheetName val="INDEX"/>
      <sheetName val="TB"/>
      <sheetName val="ARL"/>
      <sheetName val="BS-PL"/>
      <sheetName val="Bar LEAD"/>
      <sheetName val="Bar SUPP"/>
      <sheetName val="BB"/>
      <sheetName val="Menu"/>
      <sheetName val="T-M"/>
      <sheetName val="Penyhsn"/>
      <sheetName val="Imb kerja"/>
      <sheetName val="T Afls"/>
      <sheetName val="A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MENU"/>
      <sheetName val="BSAA"/>
      <sheetName val="JT"/>
      <sheetName val="BB"/>
      <sheetName val="NR"/>
      <sheetName val="LR"/>
    </sheetNames>
    <sheetDataSet>
      <sheetData sheetId="0"/>
      <sheetData sheetId="1"/>
      <sheetData sheetId="2" refreshError="1"/>
      <sheetData sheetId="3"/>
      <sheetData sheetId="4"/>
      <sheetData sheetId="5"/>
    </sheetDataSet>
  </externalBook>
</externalLink>
</file>

<file path=xl/externalLinks/externalLink53.xml><?xml version="1.0" encoding="utf-8"?>
<externalLink xmlns="http://schemas.openxmlformats.org/spreadsheetml/2006/main">
  <externalBook xmlns:r="http://schemas.openxmlformats.org/officeDocument/2006/relationships" r:id="rId1">
    <sheetNames>
      <sheetName val="Compensation Package"/>
      <sheetName val="Total Earnings"/>
    </sheetNames>
    <sheetDataSet>
      <sheetData sheetId="0"/>
      <sheetData sheetId="1"/>
    </sheetDataSet>
  </externalBook>
</externalLink>
</file>

<file path=xl/externalLinks/externalLink54.xml><?xml version="1.0" encoding="utf-8"?>
<externalLink xmlns="http://schemas.openxmlformats.org/spreadsheetml/2006/main">
  <externalBook xmlns:r="http://schemas.openxmlformats.org/officeDocument/2006/relationships" r:id="rId1">
    <sheetNames>
      <sheetName val="MENU UTAMA"/>
      <sheetName val="sales. disc."/>
      <sheetName val="KEB DATA"/>
      <sheetName val="PREPARE DATA CLOSING"/>
      <sheetName val="Sales Dic."/>
      <sheetName val="SALES"/>
      <sheetName val="KREDIT MOBIL"/>
      <sheetName val="IBSA"/>
      <sheetName val="Afiliasi"/>
      <sheetName val="ARL2"/>
      <sheetName val="ARL1"/>
      <sheetName val="LK"/>
      <sheetName val="TB"/>
      <sheetName val="DISCLOSURE"/>
      <sheetName val="CAT"/>
      <sheetName val="INDEX"/>
      <sheetName val="LK AUP"/>
      <sheetName val="CAT AUP"/>
      <sheetName val="CLASIFY"/>
      <sheetName val="TB AUP"/>
      <sheetName val="kor. fis."/>
      <sheetName val="BS-PL"/>
      <sheetName val="T-M"/>
      <sheetName val="Bar LEAD"/>
      <sheetName val="Bar SUPP"/>
      <sheetName val="KOR FISK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5.xml><?xml version="1.0" encoding="utf-8"?>
<externalLink xmlns="http://schemas.openxmlformats.org/spreadsheetml/2006/main">
  <externalBook xmlns:r="http://schemas.openxmlformats.org/officeDocument/2006/relationships" r:id="rId1">
    <sheetNames>
      <sheetName val="Table of Contents"/>
      <sheetName val="kpi-gm%"/>
      <sheetName val="Causal-YTD (exc. T&amp;H)"/>
      <sheetName val="Commentary per TM1"/>
      <sheetName val="SALES-graph "/>
      <sheetName val="Causal-YTD"/>
      <sheetName val="Causal-period 3P"/>
      <sheetName val="Causal-period total"/>
      <sheetName val="KPI-Sales YTD"/>
      <sheetName val="KPI-Sales Period"/>
      <sheetName val="Brand_CUM"/>
      <sheetName val="Brand_PRD"/>
      <sheetName val="FY P&amp;L perBrand"/>
      <sheetName val="YTD P&amp;LperCountry"/>
      <sheetName val="TOTAL (exc T&amp;H)"/>
      <sheetName val="Cum Causal"/>
      <sheetName val="Period Causal"/>
      <sheetName val="TOTAL (ex-BIG p active)"/>
      <sheetName val="Total ex-BIG (NAN)"/>
      <sheetName val="Cover"/>
      <sheetName val="TOTAL"/>
      <sheetName val="PHI"/>
      <sheetName val="PHI per brand"/>
      <sheetName val="IND"/>
      <sheetName val="IND per brand"/>
      <sheetName val="SRL"/>
      <sheetName val="SRL per brand"/>
      <sheetName val="KRA"/>
      <sheetName val="KRA per brand"/>
      <sheetName val="THA"/>
      <sheetName val="THA per brand"/>
      <sheetName val="TWN"/>
      <sheetName val="TWN per brand"/>
      <sheetName val="HKG"/>
      <sheetName val="HKG per brand"/>
      <sheetName val="INDIA per brand"/>
      <sheetName val="Key Commodity Costs"/>
      <sheetName val="DL,DOH,PPC"/>
      <sheetName val="Balance Sheet"/>
      <sheetName val="Ratios P5"/>
      <sheetName val="Ratios FY"/>
      <sheetName val="TEA details"/>
      <sheetName val="P&amp;L -Revised"/>
      <sheetName val="P&amp;L -Original"/>
      <sheetName val="Old structure"/>
      <sheetName val="P&amp;L -DIFF"/>
      <sheetName val="translation"/>
      <sheetName val="INDIA"/>
      <sheetName val="assumptions"/>
      <sheetName val="chart"/>
      <sheetName val="KEY-gbp"/>
      <sheetName val="KEY-php"/>
      <sheetName val="FY P&amp;LperCountry"/>
      <sheetName val="Sales perBrand"/>
      <sheetName val="BS"/>
      <sheetName val="Ratios"/>
      <sheetName val="IDENTIT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56.xml><?xml version="1.0" encoding="utf-8"?>
<externalLink xmlns="http://schemas.openxmlformats.org/spreadsheetml/2006/main">
  <externalBook xmlns:r="http://schemas.openxmlformats.org/officeDocument/2006/relationships" r:id="rId1">
    <sheetNames>
      <sheetName val="Table of Contents"/>
      <sheetName val="kpi-gm%"/>
      <sheetName val="Causal-YTD (exc. T&amp;H)"/>
      <sheetName val="Commentary per TM1"/>
      <sheetName val="SALES-graph "/>
      <sheetName val="Causal-YTD"/>
      <sheetName val="Causal-period 3P"/>
      <sheetName val="Causal-period total"/>
      <sheetName val="KPI-Sales YTD"/>
      <sheetName val="KPI-Sales Period"/>
      <sheetName val="Brand_CUM"/>
      <sheetName val="Brand_PRD"/>
      <sheetName val="FY P&amp;L perBrand"/>
      <sheetName val="YTD P&amp;LperCountry"/>
      <sheetName val="TOTAL (exc T&amp;H)"/>
      <sheetName val="Cum Causal"/>
      <sheetName val="Period Causal"/>
      <sheetName val="TOTAL (ex-BIG p active)"/>
      <sheetName val="Total ex-BIG (NAN)"/>
      <sheetName val="Cover"/>
      <sheetName val="TOTAL"/>
      <sheetName val="PHI"/>
      <sheetName val="PHI per brand"/>
      <sheetName val="IND"/>
      <sheetName val="IND per brand"/>
      <sheetName val="SRL"/>
      <sheetName val="SRL per brand"/>
      <sheetName val="KRA"/>
      <sheetName val="KRA per brand"/>
      <sheetName val="HKG"/>
      <sheetName val="HKG per brand"/>
      <sheetName val="P1-P6 TWN per brand"/>
      <sheetName val="THA"/>
      <sheetName val="THA per brand"/>
      <sheetName val="IG-TWN "/>
      <sheetName val="IG-TWN per brand"/>
      <sheetName val="ABF TWN"/>
      <sheetName val="ABF TWN per brand"/>
      <sheetName val="INDIA per brand"/>
      <sheetName val="Key Commodity Costs"/>
      <sheetName val="DL,DOH,PPC"/>
      <sheetName val="Balance Sheet"/>
      <sheetName val="Ratios P5"/>
      <sheetName val="Ratios FY"/>
      <sheetName val="TEA details"/>
      <sheetName val="P&amp;L -Revised"/>
      <sheetName val="P&amp;L -Original"/>
      <sheetName val="Old structure"/>
      <sheetName val="P&amp;L -DIFF"/>
      <sheetName val="translation"/>
      <sheetName val="TOTAL SOUTH ASIA"/>
      <sheetName val="TOTAL PH "/>
      <sheetName val="IG-IM"/>
      <sheetName val="IG-IM per brand "/>
      <sheetName val="3PTWN per brand (P1-P6)"/>
      <sheetName val="3P TAIWAN per brand (combined)"/>
      <sheetName val="Key Commodities"/>
      <sheetName val="BS"/>
      <sheetName val="TWN"/>
      <sheetName val="TWN per brand"/>
      <sheetName val="TOTAL (NAN)"/>
      <sheetName val="Taiwan combin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57.xml><?xml version="1.0" encoding="utf-8"?>
<externalLink xmlns="http://schemas.openxmlformats.org/spreadsheetml/2006/main">
  <externalBook xmlns:r="http://schemas.openxmlformats.org/officeDocument/2006/relationships" r:id="rId1">
    <sheetNames>
      <sheetName val="Addition"/>
      <sheetName val="bs"/>
      <sheetName val="pl"/>
      <sheetName val="FA"/>
      <sheetName val="FORM BQ TL PRATU 4cct"/>
    </sheetNames>
    <sheetDataSet>
      <sheetData sheetId="0"/>
      <sheetData sheetId="1"/>
      <sheetData sheetId="2"/>
      <sheetData sheetId="3"/>
      <sheetData sheetId="4" refreshError="1"/>
    </sheetDataSet>
  </externalBook>
</externalLink>
</file>

<file path=xl/externalLinks/externalLink58.xml><?xml version="1.0" encoding="utf-8"?>
<externalLink xmlns="http://schemas.openxmlformats.org/spreadsheetml/2006/main">
  <externalBook xmlns:r="http://schemas.openxmlformats.org/officeDocument/2006/relationships" r:id="rId1">
    <sheetNames>
      <sheetName val="tabel nilai"/>
      <sheetName val="MM"/>
      <sheetName val="BM"/>
      <sheetName val="score revisi"/>
      <sheetName val="indeks"/>
      <sheetName val="incentif"/>
      <sheetName val="Bobot"/>
      <sheetName val="Rekap"/>
      <sheetName val="Rekap (2)"/>
      <sheetName val="DIRECTOR"/>
      <sheetName val="COO"/>
      <sheetName val="CDO"/>
      <sheetName val="JABEKBAN"/>
      <sheetName val="JABEKBAN (2)"/>
      <sheetName val="JABAR"/>
      <sheetName val="JABAR (2)"/>
      <sheetName val="LAMPUNG"/>
      <sheetName val="PALEMBANG"/>
      <sheetName val="BENGKULU"/>
      <sheetName val="JAMBI"/>
      <sheetName val="PADANG"/>
      <sheetName val="RIAU"/>
      <sheetName val="MEDAN"/>
      <sheetName val="VCOO"/>
      <sheetName val="JATENG"/>
      <sheetName val="JATIM_BALI"/>
      <sheetName val="LOMBOK"/>
      <sheetName val="MAKASAR"/>
      <sheetName val="MENADO"/>
      <sheetName val="Sheet1"/>
      <sheetName val="Sheet1 (2)"/>
      <sheetName val="Sheet1 (3)"/>
      <sheetName val="score"/>
      <sheetName val="RM"/>
      <sheetName val="RSM"/>
      <sheetName val="product mix"/>
      <sheetName val="Target"/>
      <sheetName val="pl"/>
      <sheetName val="bs"/>
      <sheetName val="Permanent info"/>
      <sheetName val="BSAA"/>
      <sheetName val="SheetGMP"/>
      <sheetName val="SheetGMT"/>
      <sheetName val="TBM"/>
      <sheetName val="KAS $"/>
      <sheetName val="DATA"/>
      <sheetName val="BTR"/>
      <sheetName val="BGR"/>
      <sheetName val="BKS"/>
      <sheetName val="NA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9.xml><?xml version="1.0" encoding="utf-8"?>
<externalLink xmlns="http://schemas.openxmlformats.org/spreadsheetml/2006/main">
  <externalBook xmlns:r="http://schemas.openxmlformats.org/officeDocument/2006/relationships" r:id="rId1">
    <sheetNames>
      <sheetName val="BS"/>
      <sheetName val="IS"/>
      <sheetName val="AJE"/>
      <sheetName val="CAJE"/>
      <sheetName val="SUD"/>
      <sheetName val="Cash flows"/>
      <sheetName val="Monetary"/>
    </sheetNames>
    <sheetDataSet>
      <sheetData sheetId="0"/>
      <sheetData sheetId="1"/>
      <sheetData sheetId="2"/>
      <sheetData sheetId="3"/>
      <sheetData sheetId="4"/>
      <sheetData sheetId="5"/>
      <sheetData sheetId="6"/>
    </sheetDataSet>
  </externalBook>
</externalLink>
</file>

<file path=xl/externalLinks/externalLink60.xml><?xml version="1.0" encoding="utf-8"?>
<externalLink xmlns="http://schemas.openxmlformats.org/spreadsheetml/2006/main">
  <externalBook xmlns:r="http://schemas.openxmlformats.org/officeDocument/2006/relationships" r:id="rId1">
    <sheetNames>
      <sheetName val="mar receipts"/>
      <sheetName val="9"/>
    </sheetNames>
    <sheetDataSet>
      <sheetData sheetId="0" refreshError="1"/>
      <sheetData sheetId="1" refreshError="1"/>
    </sheetDataSet>
  </externalBook>
</externalLink>
</file>

<file path=xl/externalLinks/externalLink61.xml><?xml version="1.0" encoding="utf-8"?>
<externalLink xmlns="http://schemas.openxmlformats.org/spreadsheetml/2006/main">
  <externalBook xmlns:r="http://schemas.openxmlformats.org/officeDocument/2006/relationships" r:id="rId1">
    <sheetNames>
      <sheetName val="Sheet1"/>
      <sheetName val="RTD-Indonesia"/>
      <sheetName val="#REF"/>
      <sheetName val="Adjustment"/>
      <sheetName val="TB"/>
    </sheetNames>
    <sheetDataSet>
      <sheetData sheetId="0" refreshError="1"/>
      <sheetData sheetId="1" refreshError="1"/>
      <sheetData sheetId="2" refreshError="1"/>
      <sheetData sheetId="3" refreshError="1"/>
      <sheetData sheetId="4" refreshError="1"/>
    </sheetDataSet>
  </externalBook>
</externalLink>
</file>

<file path=xl/externalLinks/externalLink62.xml><?xml version="1.0" encoding="utf-8"?>
<externalLink xmlns="http://schemas.openxmlformats.org/spreadsheetml/2006/main">
  <externalBook xmlns:r="http://schemas.openxmlformats.org/officeDocument/2006/relationships" r:id="rId1">
    <sheetNames>
      <sheetName val="Cover"/>
      <sheetName val="Table of Contents"/>
      <sheetName val="kpi-gm%"/>
      <sheetName val="Causal-YTD (exc. T&amp;H)"/>
      <sheetName val="Causal-YTD"/>
      <sheetName val="Causal-period 3P"/>
      <sheetName val="Causal-period total"/>
      <sheetName val="KPI-Sales YTD"/>
      <sheetName val="KPI-Sales Period"/>
      <sheetName val="Key Commodities"/>
      <sheetName val="DL,DOH,PPC"/>
      <sheetName val="Brand_CUM"/>
      <sheetName val="Brand_PRD"/>
      <sheetName val="FY P&amp;L perBrand"/>
      <sheetName val="YTD P&amp;LperCountry"/>
      <sheetName val="TOTAL (exc T&amp;H)"/>
      <sheetName val="TOTAL"/>
      <sheetName val="PHI"/>
      <sheetName val="IND"/>
      <sheetName val="THA"/>
      <sheetName val="TWN"/>
      <sheetName val="HKG"/>
      <sheetName val="KRA"/>
      <sheetName val="SRL"/>
      <sheetName val="INDIA"/>
      <sheetName val="TEA details"/>
      <sheetName val="P&amp;L -Revised"/>
      <sheetName val="P&amp;L -Original"/>
      <sheetName val="Old structure"/>
      <sheetName val="P&amp;L -DIFF"/>
      <sheetName val="translation"/>
      <sheetName val="Causal-period"/>
      <sheetName val="tabel perkira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63.xml><?xml version="1.0" encoding="utf-8"?>
<externalLink xmlns="http://schemas.openxmlformats.org/spreadsheetml/2006/main">
  <externalBook xmlns:r="http://schemas.openxmlformats.org/officeDocument/2006/relationships" r:id="rId1">
    <sheetNames>
      <sheetName val="Sheet1"/>
    </sheetNames>
    <sheetDataSet>
      <sheetData sheetId="0"/>
    </sheetDataSet>
  </externalBook>
</externalLink>
</file>

<file path=xl/externalLinks/externalLink64.xml><?xml version="1.0" encoding="utf-8"?>
<externalLink xmlns="http://schemas.openxmlformats.org/spreadsheetml/2006/main">
  <externalBook xmlns:r="http://schemas.openxmlformats.org/officeDocument/2006/relationships" r:id="rId1">
    <sheetNames>
      <sheetName val="B3"/>
      <sheetName val="B2"/>
      <sheetName val="B1"/>
      <sheetName val="B"/>
      <sheetName val="A1"/>
      <sheetName val="OPINI"/>
      <sheetName val="Bs1"/>
      <sheetName val="Bs2"/>
      <sheetName val="PL"/>
      <sheetName val="EQUITY"/>
      <sheetName val="CF arus kas"/>
      <sheetName val="NOTES"/>
      <sheetName val="Sheet2"/>
      <sheetName val="Sheet1"/>
      <sheetName val="Pj Cf"/>
      <sheetName val="INDEX"/>
      <sheetName val="TB"/>
      <sheetName val="ARL jurnal"/>
      <sheetName val="BS-PL"/>
      <sheetName val="Bar LEAD"/>
      <sheetName val="Bar SUPP"/>
      <sheetName val="BB"/>
      <sheetName val="Menu"/>
      <sheetName val="T-M"/>
      <sheetName val="Penyhsn"/>
      <sheetName val="Imb kerja"/>
      <sheetName val="T Afls"/>
      <sheetName val="AP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sheetData sheetId="16"/>
      <sheetData sheetId="17"/>
      <sheetData sheetId="18" refreshError="1"/>
      <sheetData sheetId="19"/>
      <sheetData sheetId="20"/>
      <sheetData sheetId="21" refreshError="1"/>
      <sheetData sheetId="22" refreshError="1"/>
      <sheetData sheetId="23"/>
      <sheetData sheetId="24" refreshError="1"/>
      <sheetData sheetId="25" refreshError="1"/>
      <sheetData sheetId="26" refreshError="1"/>
      <sheetData sheetId="27" refreshError="1"/>
    </sheetDataSet>
  </externalBook>
</externalLink>
</file>

<file path=xl/externalLinks/externalLink65.xml><?xml version="1.0" encoding="utf-8"?>
<externalLink xmlns="http://schemas.openxmlformats.org/spreadsheetml/2006/main">
  <externalBook xmlns:r="http://schemas.openxmlformats.org/officeDocument/2006/relationships" r:id="rId1">
    <sheetNames>
      <sheetName val="NOTES (2)"/>
      <sheetName val="PL (2)"/>
      <sheetName val="Bs2 (2)"/>
      <sheetName val="Bs1 (2)"/>
      <sheetName val="bs klien"/>
      <sheetName val="OPINI"/>
      <sheetName val="dftisi"/>
      <sheetName val="Alk"/>
      <sheetName val="CF"/>
      <sheetName val="Bs1"/>
      <sheetName val="Bs2"/>
      <sheetName val="PL"/>
      <sheetName val="EQUITY"/>
      <sheetName val="NOTES"/>
      <sheetName val="lr 08"/>
      <sheetName val="GL"/>
      <sheetName val="INDEX"/>
      <sheetName val="TB"/>
      <sheetName val="Bar LEAD"/>
      <sheetName val="TB 2009"/>
      <sheetName val="ARL"/>
      <sheetName val="TB (3)"/>
      <sheetName val="Menu"/>
      <sheetName val="T-M"/>
      <sheetName val="BB"/>
      <sheetName val="BS-PL"/>
      <sheetName val="Bar SUPP"/>
      <sheetName val="form"/>
      <sheetName val="Sheet1"/>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sheetData sheetId="10"/>
      <sheetData sheetId="11"/>
      <sheetData sheetId="12" refreshError="1"/>
      <sheetData sheetId="13"/>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6.xml><?xml version="1.0" encoding="utf-8"?>
<externalLink xmlns="http://schemas.openxmlformats.org/spreadsheetml/2006/main">
  <externalBook xmlns:r="http://schemas.openxmlformats.org/officeDocument/2006/relationships" r:id="rId1">
    <sheetNames>
      <sheetName val="105 (TOC-1)"/>
      <sheetName val="106"/>
      <sheetName val="TOC Sales"/>
    </sheetNames>
    <definedNames>
      <definedName name="Number_of_Payments" refersTo="=#REF!" sheetId="1"/>
      <definedName name="Values_Entered" refersTo="=#REF!" sheetId="1"/>
    </definedNames>
    <sheetDataSet>
      <sheetData sheetId="0" refreshError="1"/>
      <sheetData sheetId="1" refreshError="1"/>
      <sheetData sheetId="2" refreshError="1"/>
    </sheetDataSet>
  </externalBook>
</externalLink>
</file>

<file path=xl/externalLinks/externalLink67.xml><?xml version="1.0" encoding="utf-8"?>
<externalLink xmlns="http://schemas.openxmlformats.org/spreadsheetml/2006/main">
  <externalBook xmlns:r="http://schemas.openxmlformats.org/officeDocument/2006/relationships" r:id="rId1">
    <sheetNames>
      <sheetName val="ML"/>
      <sheetName val="JJ"/>
      <sheetName val="F1"/>
      <sheetName val="F1-1"/>
      <sheetName val="F2"/>
      <sheetName val="F2-1"/>
      <sheetName val="F3"/>
      <sheetName val="F4"/>
      <sheetName val="F5"/>
      <sheetName val="F6"/>
      <sheetName val="F8"/>
      <sheetName val="A"/>
      <sheetName val="B"/>
      <sheetName val="B-1"/>
      <sheetName val="D"/>
      <sheetName val="D-1"/>
      <sheetName val="D-2"/>
      <sheetName val="D-3"/>
      <sheetName val="UV"/>
      <sheetName val="UV-1"/>
      <sheetName val="UV-2"/>
      <sheetName val="UV-3"/>
      <sheetName val="BB"/>
      <sheetName val="CC"/>
      <sheetName val="FF"/>
      <sheetName val="FF-1"/>
      <sheetName val="FF-2"/>
      <sheetName val="FF-3"/>
      <sheetName val="SS"/>
      <sheetName val="10"/>
      <sheetName val="10-1"/>
      <sheetName val="10-2"/>
      <sheetName val="20"/>
      <sheetName val="20-1"/>
      <sheetName val="20-2"/>
      <sheetName val="30"/>
      <sheetName val="30-1"/>
      <sheetName val="40"/>
      <sheetName val="40-1"/>
      <sheetName val="50"/>
      <sheetName val="50-1"/>
      <sheetName val="DTA"/>
      <sheetName val="60"/>
      <sheetName val="FA Fiskal"/>
      <sheetName val="Monet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5">
          <cell r="N15">
            <v>6283279282</v>
          </cell>
        </row>
        <row r="24">
          <cell r="N24">
            <v>5604854661</v>
          </cell>
        </row>
        <row r="32">
          <cell r="H32">
            <v>508232743</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68.xml><?xml version="1.0" encoding="utf-8"?>
<externalLink xmlns="http://schemas.openxmlformats.org/spreadsheetml/2006/main">
  <externalBook xmlns:r="http://schemas.openxmlformats.org/officeDocument/2006/relationships" r:id="rId1">
    <sheetNames>
      <sheetName val="B3"/>
      <sheetName val="B2"/>
      <sheetName val="B1"/>
      <sheetName val="B"/>
      <sheetName val="A1"/>
      <sheetName val="OPINI"/>
      <sheetName val="Bs1"/>
      <sheetName val="Bs2"/>
      <sheetName val="PL"/>
      <sheetName val="EQUITY"/>
      <sheetName val="CF arus kas"/>
      <sheetName val="NOTES"/>
      <sheetName val="Sheet2"/>
      <sheetName val="Sheet1"/>
      <sheetName val="Pj Cf"/>
      <sheetName val="INDEX"/>
      <sheetName val="TB"/>
      <sheetName val="ARL jurnal"/>
      <sheetName val="BS-PL"/>
      <sheetName val="Bar LEAD"/>
      <sheetName val="Bar SUPP"/>
      <sheetName val="BB"/>
      <sheetName val="Menu"/>
      <sheetName val="T-M"/>
      <sheetName val="Penyhsn"/>
      <sheetName val="Imb kerja"/>
      <sheetName val="T Afls"/>
      <sheetName val="A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43">
          <cell r="F43">
            <v>927896253</v>
          </cell>
        </row>
        <row r="50">
          <cell r="F50">
            <v>927896253</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9.xml><?xml version="1.0" encoding="utf-8"?>
<externalLink xmlns="http://schemas.openxmlformats.org/spreadsheetml/2006/main">
  <externalBook xmlns:r="http://schemas.openxmlformats.org/officeDocument/2006/relationships" r:id="rId1">
    <sheetNames>
      <sheetName val="OPINI"/>
      <sheetName val="Pj Cf"/>
      <sheetName val="CF arus kas"/>
      <sheetName val="LapKeu"/>
      <sheetName val="Catatan"/>
      <sheetName val="loan btn"/>
      <sheetName val="Sheet6"/>
      <sheetName val="ARtrade"/>
      <sheetName val="ws"/>
      <sheetName val="PL"/>
      <sheetName val="Aje"/>
      <sheetName val="Cover"/>
      <sheetName val="dis"/>
    </sheetNames>
    <sheetDataSet>
      <sheetData sheetId="0" refreshError="1"/>
      <sheetData sheetId="1" refreshError="1"/>
      <sheetData sheetId="2" refreshError="1">
        <row r="27">
          <cell r="C27" t="str">
            <v>Pembelian aset tetap</v>
          </cell>
        </row>
      </sheetData>
      <sheetData sheetId="3" refreshError="1"/>
      <sheetData sheetId="4" refreshError="1">
        <row r="1895">
          <cell r="G1895" t="str">
            <v>Beban entertainment</v>
          </cell>
        </row>
        <row r="1896">
          <cell r="G1896" t="str">
            <v>Beban pajak</v>
          </cell>
        </row>
        <row r="1909">
          <cell r="F1909" t="str">
            <v>Penghasilan kena pajak</v>
          </cell>
        </row>
        <row r="1911">
          <cell r="F1911" t="str">
            <v>Perhitungan Pajak Penghasilan :</v>
          </cell>
        </row>
        <row r="1960">
          <cell r="D1960" t="str">
            <v>BEBAN AKRUAL</v>
          </cell>
        </row>
        <row r="1962">
          <cell r="D1962" t="str">
            <v>Beban akrual terdiri atas :</v>
          </cell>
        </row>
        <row r="2191">
          <cell r="F2191" t="str">
            <v>Denda Keterlambatan</v>
          </cell>
        </row>
        <row r="2195">
          <cell r="F2195" t="str">
            <v>Agunan dan Pengikat</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0.xml><?xml version="1.0" encoding="utf-8"?>
<externalLink xmlns="http://schemas.openxmlformats.org/spreadsheetml/2006/main">
  <externalBook xmlns:r="http://schemas.openxmlformats.org/officeDocument/2006/relationships" r:id="rId1">
    <sheetNames>
      <sheetName val="000000000"/>
      <sheetName val="COVER"/>
      <sheetName val="ToC"/>
      <sheetName val="FS."/>
      <sheetName val="Note 1"/>
      <sheetName val="Note 2"/>
      <sheetName val="PTD"/>
      <sheetName val="PM"/>
      <sheetName val="F1"/>
      <sheetName val="F2"/>
      <sheetName val="F3"/>
      <sheetName val="F4"/>
      <sheetName val="F5"/>
      <sheetName val="F6"/>
      <sheetName val="F7"/>
      <sheetName val="JJ"/>
      <sheetName val="A"/>
      <sheetName val="B"/>
      <sheetName val="B-1"/>
      <sheetName val="L"/>
      <sheetName val="UV"/>
      <sheetName val="UV-1"/>
      <sheetName val="D"/>
      <sheetName val="D-1"/>
      <sheetName val="BB"/>
      <sheetName val="FF"/>
      <sheetName val="FF-1"/>
      <sheetName val="FF-2"/>
      <sheetName val="FF-5"/>
      <sheetName val="CC"/>
      <sheetName val="SS"/>
      <sheetName val="10"/>
      <sheetName val="10-1"/>
      <sheetName val="40"/>
      <sheetName val="50"/>
    </sheetNames>
    <sheetDataSet>
      <sheetData sheetId="0"/>
      <sheetData sheetId="1"/>
      <sheetData sheetId="2"/>
      <sheetData sheetId="3"/>
      <sheetData sheetId="4"/>
      <sheetData sheetId="5"/>
      <sheetData sheetId="6"/>
      <sheetData sheetId="7"/>
      <sheetData sheetId="8">
        <row r="21">
          <cell r="B21" t="str">
            <v>Aset tetap, bersih</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71.xml><?xml version="1.0" encoding="utf-8"?>
<externalLink xmlns="http://schemas.openxmlformats.org/spreadsheetml/2006/main">
  <externalBook xmlns:r="http://schemas.openxmlformats.org/officeDocument/2006/relationships" r:id="rId1">
    <sheetNames>
      <sheetName val="000000000"/>
      <sheetName val="Monetery"/>
      <sheetName val="Audit Isu"/>
      <sheetName val="Cover"/>
      <sheetName val="ToC"/>
      <sheetName val="FS-0"/>
      <sheetName val="cfacurate"/>
      <sheetName val="cr cf 18"/>
      <sheetName val="cr cf 17"/>
      <sheetName val="Def modal"/>
      <sheetName val="PM"/>
      <sheetName val="F22"/>
      <sheetName val="opini"/>
      <sheetName val="Note1"/>
      <sheetName val="Ekin"/>
      <sheetName val="FS-1"/>
      <sheetName val="CF"/>
      <sheetName val="Note2"/>
      <sheetName val="F1"/>
      <sheetName val="F2"/>
      <sheetName val="F3"/>
      <sheetName val="F4"/>
      <sheetName val="F5"/>
      <sheetName val="F6"/>
      <sheetName val="F7"/>
      <sheetName val="JJ"/>
      <sheetName val="A"/>
      <sheetName val="A1"/>
      <sheetName val="B"/>
      <sheetName val="50"/>
      <sheetName val="40"/>
      <sheetName val="B1"/>
      <sheetName val="B17"/>
      <sheetName val="G"/>
      <sheetName val="C"/>
      <sheetName val="C0"/>
      <sheetName val="C1"/>
      <sheetName val="C2"/>
      <sheetName val="D"/>
      <sheetName val="D0"/>
      <sheetName val="D1"/>
      <sheetName val="D2"/>
      <sheetName val="D3"/>
      <sheetName val="EE"/>
      <sheetName val="GG"/>
      <sheetName val="E"/>
      <sheetName val="F"/>
      <sheetName val="FA list"/>
      <sheetName val="FA"/>
      <sheetName val="UV"/>
      <sheetName val="UVo"/>
      <sheetName val="UV1"/>
      <sheetName val="UV3"/>
      <sheetName val="UV6"/>
      <sheetName val="UV8"/>
      <sheetName val="II"/>
      <sheetName val="BB"/>
      <sheetName val="CC"/>
      <sheetName val="DD"/>
      <sheetName val="AA"/>
      <sheetName val="kurs"/>
      <sheetName val="FF"/>
      <sheetName val="FFF"/>
      <sheetName val="FF1"/>
      <sheetName val="FF2"/>
      <sheetName val="FF31"/>
      <sheetName val="FF311"/>
      <sheetName val="FF3"/>
      <sheetName val="FF4"/>
      <sheetName val="FF5"/>
      <sheetName val="SS"/>
      <sheetName val="SS1"/>
      <sheetName val="10"/>
      <sheetName val="101"/>
      <sheetName val="102"/>
      <sheetName val="103"/>
      <sheetName val="20"/>
      <sheetName val="4011"/>
      <sheetName val="5011"/>
      <sheetName val="Perhit Fiskal"/>
      <sheetName val="Kompensasi kerugian"/>
      <sheetName val="60"/>
      <sheetName val="vo by"/>
      <sheetName val="Compatibility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row r="122">
          <cell r="AL122">
            <v>1826956171.9</v>
          </cell>
        </row>
        <row r="195">
          <cell r="A195">
            <v>11</v>
          </cell>
        </row>
        <row r="281">
          <cell r="A281">
            <v>13</v>
          </cell>
        </row>
        <row r="536">
          <cell r="AC536">
            <v>352366278</v>
          </cell>
        </row>
        <row r="661">
          <cell r="AC661">
            <v>3260287092.03</v>
          </cell>
        </row>
      </sheetData>
      <sheetData sheetId="18" refreshError="1">
        <row r="15">
          <cell r="J15">
            <v>6936702194.99</v>
          </cell>
          <cell r="K15">
            <v>1072340570.19</v>
          </cell>
        </row>
        <row r="16">
          <cell r="J16">
            <v>1174191501</v>
          </cell>
          <cell r="K16">
            <v>0</v>
          </cell>
        </row>
        <row r="17">
          <cell r="C17" t="str">
            <v>Piutang lain-lain</v>
          </cell>
        </row>
        <row r="17">
          <cell r="J17">
            <v>1735620779</v>
          </cell>
          <cell r="K17">
            <v>1236976335</v>
          </cell>
        </row>
        <row r="18">
          <cell r="J18">
            <v>36205001</v>
          </cell>
          <cell r="K18">
            <v>0</v>
          </cell>
        </row>
        <row r="19">
          <cell r="C19" t="str">
            <v>Biaya dibayar dimuka</v>
          </cell>
        </row>
        <row r="19">
          <cell r="J19">
            <v>506207689</v>
          </cell>
          <cell r="K19">
            <v>86957031</v>
          </cell>
        </row>
        <row r="20">
          <cell r="C20" t="str">
            <v>Pajak dibayar dimuka</v>
          </cell>
        </row>
        <row r="20">
          <cell r="J20">
            <v>0.199999809265137</v>
          </cell>
          <cell r="K20">
            <v>0.270000000018626</v>
          </cell>
        </row>
        <row r="21">
          <cell r="J21">
            <v>0</v>
          </cell>
          <cell r="K21">
            <v>0</v>
          </cell>
        </row>
        <row r="23">
          <cell r="J23">
            <v>10388927165.19</v>
          </cell>
          <cell r="K23">
            <v>2396273936.46</v>
          </cell>
        </row>
        <row r="26">
          <cell r="J26">
            <v>80699776251</v>
          </cell>
          <cell r="K26">
            <v>6118718800</v>
          </cell>
        </row>
        <row r="27">
          <cell r="J27">
            <v>-1826956171.9</v>
          </cell>
          <cell r="K27">
            <v>-182534810.9</v>
          </cell>
        </row>
        <row r="29">
          <cell r="J29">
            <v>7718465197.5325</v>
          </cell>
        </row>
        <row r="30">
          <cell r="J30">
            <v>3418119127</v>
          </cell>
          <cell r="K30">
            <v>65879900802</v>
          </cell>
        </row>
        <row r="34">
          <cell r="J34">
            <v>100398331568.823</v>
          </cell>
          <cell r="K34">
            <v>74212358727.56</v>
          </cell>
        </row>
      </sheetData>
      <sheetData sheetId="19" refreshError="1">
        <row r="15">
          <cell r="K15">
            <v>4000000000</v>
          </cell>
        </row>
        <row r="16">
          <cell r="C16" t="str">
            <v>Utang usaha</v>
          </cell>
        </row>
        <row r="16">
          <cell r="K16">
            <v>2141486840</v>
          </cell>
          <cell r="L16">
            <v>22537882921</v>
          </cell>
        </row>
        <row r="17">
          <cell r="L17">
            <v>0</v>
          </cell>
        </row>
        <row r="19">
          <cell r="C19" t="str">
            <v>Utang pajak</v>
          </cell>
        </row>
        <row r="19">
          <cell r="K19">
            <v>1295341369</v>
          </cell>
          <cell r="L19">
            <v>442064432</v>
          </cell>
        </row>
        <row r="20">
          <cell r="C20" t="str">
            <v>Biaya yang masih harus dibayar</v>
          </cell>
        </row>
        <row r="20">
          <cell r="K20">
            <v>1320168254.92</v>
          </cell>
          <cell r="L20">
            <v>938234764</v>
          </cell>
        </row>
        <row r="21">
          <cell r="C21" t="str">
            <v>Pendapatan diterima dimuka</v>
          </cell>
        </row>
        <row r="21">
          <cell r="K21">
            <v>81920000</v>
          </cell>
          <cell r="L21">
            <v>81920000</v>
          </cell>
        </row>
        <row r="22">
          <cell r="C22" t="str">
            <v>Utang pembiayaan jangka pendek</v>
          </cell>
        </row>
        <row r="22">
          <cell r="K22">
            <v>120048000</v>
          </cell>
        </row>
        <row r="24">
          <cell r="K24">
            <v>8958964463.92</v>
          </cell>
          <cell r="L24">
            <v>24000102117</v>
          </cell>
        </row>
        <row r="28">
          <cell r="K28">
            <v>46000000000</v>
          </cell>
          <cell r="L28">
            <v>4819444446</v>
          </cell>
        </row>
        <row r="29">
          <cell r="C29" t="str">
            <v>Utang pembiayaan - jangka panjang</v>
          </cell>
        </row>
        <row r="29">
          <cell r="K29">
            <v>114587845</v>
          </cell>
          <cell r="L29">
            <v>0</v>
          </cell>
        </row>
        <row r="30">
          <cell r="C30" t="str">
            <v>Utang lain-lain</v>
          </cell>
        </row>
        <row r="30">
          <cell r="L30">
            <v>230000000</v>
          </cell>
        </row>
        <row r="31">
          <cell r="C31" t="str">
            <v>Utang pihak berelasi</v>
          </cell>
        </row>
        <row r="31">
          <cell r="K31">
            <v>62332171316.6</v>
          </cell>
          <cell r="L31">
            <v>42191838993.6</v>
          </cell>
        </row>
        <row r="39">
          <cell r="K39">
            <v>11200000000</v>
          </cell>
          <cell r="L39">
            <v>11200000000</v>
          </cell>
        </row>
        <row r="40">
          <cell r="K40">
            <v>250000000</v>
          </cell>
          <cell r="L40">
            <v>250000000</v>
          </cell>
        </row>
        <row r="41">
          <cell r="L41">
            <v>-6567851446</v>
          </cell>
        </row>
        <row r="42">
          <cell r="L42">
            <v>-1911175382.81</v>
          </cell>
        </row>
      </sheetData>
      <sheetData sheetId="20" refreshError="1">
        <row r="14">
          <cell r="K14">
            <v>2836780958</v>
          </cell>
          <cell r="L14">
            <v>0</v>
          </cell>
        </row>
        <row r="16">
          <cell r="K16">
            <v>2514572119.42</v>
          </cell>
          <cell r="L16">
            <v>0</v>
          </cell>
        </row>
        <row r="21">
          <cell r="L21">
            <v>1577251659.4</v>
          </cell>
        </row>
        <row r="32">
          <cell r="K32">
            <v>0</v>
          </cell>
          <cell r="L32">
            <v>0</v>
          </cell>
        </row>
        <row r="33">
          <cell r="K33">
            <v>-7718465197.5325</v>
          </cell>
        </row>
        <row r="39">
          <cell r="K39">
            <v>0</v>
          </cell>
          <cell r="L39">
            <v>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row r="22">
          <cell r="J22">
            <v>1079051968.08</v>
          </cell>
          <cell r="K22">
            <v>2517196</v>
          </cell>
        </row>
        <row r="36">
          <cell r="J36">
            <v>25966030482.79</v>
          </cell>
          <cell r="K36">
            <v>336440920</v>
          </cell>
        </row>
      </sheetData>
      <sheetData sheetId="30" refreshError="1"/>
      <sheetData sheetId="31" refreshError="1"/>
      <sheetData sheetId="32" refreshError="1"/>
      <sheetData sheetId="33" refreshError="1"/>
      <sheetData sheetId="34" refreshError="1">
        <row r="18">
          <cell r="K18">
            <v>36205001</v>
          </cell>
          <cell r="L18">
            <v>0</v>
          </cell>
        </row>
      </sheetData>
      <sheetData sheetId="35" refreshError="1"/>
      <sheetData sheetId="36" refreshError="1"/>
      <sheetData sheetId="37" refreshError="1"/>
      <sheetData sheetId="38" refreshError="1">
        <row r="20">
          <cell r="K20">
            <v>506207689</v>
          </cell>
          <cell r="L20">
            <v>86957031</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37">
          <cell r="O37">
            <v>1826956171.9</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72.xml><?xml version="1.0" encoding="utf-8"?>
<externalLink xmlns="http://schemas.openxmlformats.org/spreadsheetml/2006/main">
  <externalBook xmlns:r="http://schemas.openxmlformats.org/officeDocument/2006/relationships" r:id="rId1">
    <sheetNames>
      <sheetName val="PL"/>
      <sheetName val="PL detail"/>
      <sheetName val="Sheet1"/>
    </sheetNames>
    <sheetDataSet>
      <sheetData sheetId="0">
        <row r="118">
          <cell r="N118">
            <v>-23154997793.86</v>
          </cell>
        </row>
      </sheetData>
      <sheetData sheetId="1"/>
      <sheetData sheetId="2"/>
    </sheetDataSet>
  </externalBook>
</externalLink>
</file>

<file path=xl/externalLinks/externalLink73.xml><?xml version="1.0" encoding="utf-8"?>
<externalLink xmlns="http://schemas.openxmlformats.org/spreadsheetml/2006/main">
  <externalBook xmlns:r="http://schemas.openxmlformats.org/officeDocument/2006/relationships" r:id="rId1">
    <sheetNames>
      <sheetName val="FA"/>
      <sheetName val="for bank"/>
      <sheetName val="LapKeu"/>
      <sheetName val="Catatan"/>
      <sheetName val="WS"/>
      <sheetName val="WSS"/>
      <sheetName val="Dis2"/>
      <sheetName val="dis"/>
      <sheetName val="Cover"/>
      <sheetName val="Sheet2"/>
    </sheetNames>
    <sheetDataSet>
      <sheetData sheetId="0"/>
      <sheetData sheetId="1"/>
      <sheetData sheetId="2">
        <row r="166">
          <cell r="W166">
            <v>2842200000</v>
          </cell>
        </row>
        <row r="166">
          <cell r="AQ166">
            <v>-8132444723</v>
          </cell>
        </row>
      </sheetData>
      <sheetData sheetId="3"/>
      <sheetData sheetId="4"/>
      <sheetData sheetId="5"/>
      <sheetData sheetId="6"/>
      <sheetData sheetId="7"/>
      <sheetData sheetId="8"/>
      <sheetData sheetId="9"/>
    </sheetDataSet>
  </externalBook>
</externalLink>
</file>

<file path=xl/externalLinks/externalLink74.xml><?xml version="1.0" encoding="utf-8"?>
<externalLink xmlns="http://schemas.openxmlformats.org/spreadsheetml/2006/main">
  <externalBook xmlns:r="http://schemas.openxmlformats.org/officeDocument/2006/relationships" r:id="rId1">
    <sheetNames>
      <sheetName val="000000000"/>
      <sheetName val="Monetery"/>
      <sheetName val="Cover"/>
      <sheetName val="ToC"/>
      <sheetName val="Sheet1"/>
      <sheetName val="FS-1"/>
      <sheetName val="Note1"/>
      <sheetName val="Note2"/>
      <sheetName val="PM"/>
      <sheetName val="F1"/>
      <sheetName val="F2"/>
      <sheetName val="F4"/>
      <sheetName val="F5"/>
      <sheetName val="F6"/>
      <sheetName val="F7"/>
      <sheetName val="F3"/>
      <sheetName val="JJ"/>
      <sheetName val="A"/>
      <sheetName val="A1"/>
      <sheetName val="B"/>
      <sheetName val="B1"/>
      <sheetName val="C"/>
      <sheetName val="D"/>
      <sheetName val="E"/>
      <sheetName val="C1"/>
      <sheetName val="UV"/>
      <sheetName val="UV1"/>
      <sheetName val="BB"/>
      <sheetName val="DD"/>
      <sheetName val="FF"/>
      <sheetName val="FF1"/>
      <sheetName val="FF2"/>
      <sheetName val="FF3"/>
      <sheetName val="FF31"/>
      <sheetName val="FF4"/>
      <sheetName val="FF5"/>
      <sheetName val="SS"/>
      <sheetName val="10"/>
      <sheetName val="20"/>
      <sheetName val="40"/>
      <sheetName val="401"/>
      <sheetName val="50"/>
      <sheetName val="60"/>
      <sheetName val="Perhitungan Fiskal"/>
      <sheetName val="Audit Isu"/>
      <sheetName val="vo by"/>
    </sheetNames>
    <sheetDataSet>
      <sheetData sheetId="0" refreshError="1"/>
      <sheetData sheetId="1" refreshError="1"/>
      <sheetData sheetId="2" refreshError="1"/>
      <sheetData sheetId="3" refreshError="1"/>
      <sheetData sheetId="4" refreshError="1"/>
      <sheetData sheetId="5" refreshError="1">
        <row r="157">
          <cell r="X157">
            <v>-1383733291</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5.xml><?xml version="1.0" encoding="utf-8"?>
<externalLink xmlns="http://schemas.openxmlformats.org/spreadsheetml/2006/main">
  <externalBook xmlns:r="http://schemas.openxmlformats.org/officeDocument/2006/relationships" r:id="rId1">
    <sheetNames>
      <sheetName val="P&amp;L22"/>
      <sheetName val="BS22"/>
      <sheetName val="Rasio"/>
      <sheetName val="Kas bank"/>
      <sheetName val="Sheet1"/>
      <sheetName val="ARAPWIP"/>
      <sheetName val="Sheet2"/>
      <sheetName val="Investasi Proj"/>
      <sheetName val="Loan"/>
      <sheetName val="GunaUsaha"/>
      <sheetName val="LOanBANK"/>
      <sheetName val="AR AP"/>
      <sheetName val="ACC22"/>
      <sheetName val="ACC21"/>
      <sheetName val="Penj&amp;cus"/>
      <sheetName val="PPN21"/>
      <sheetName val="PPN22"/>
      <sheetName val="PPN23"/>
      <sheetName val="Gaji &amp; PPh 21"/>
      <sheetName val="Penj &amp; Hpp"/>
      <sheetName val="GMT"/>
      <sheetName val="MEMO"/>
      <sheetName val="DPS ESP"/>
      <sheetName val="Risco"/>
      <sheetName val="Project"/>
    </sheetNames>
    <sheetDataSet>
      <sheetData sheetId="0" refreshError="1">
        <row r="9">
          <cell r="F9">
            <v>7376021851.59131</v>
          </cell>
        </row>
        <row r="9">
          <cell r="H9">
            <v>5551498722</v>
          </cell>
          <cell r="I9">
            <v>12507006890.5</v>
          </cell>
          <cell r="J9">
            <v>15876744367</v>
          </cell>
          <cell r="K9">
            <v>16194648340</v>
          </cell>
          <cell r="L9">
            <v>14394528943</v>
          </cell>
        </row>
        <row r="14">
          <cell r="H14">
            <v>3061286269</v>
          </cell>
          <cell r="I14">
            <v>9124465383.46196</v>
          </cell>
          <cell r="J14">
            <v>11397279711.2933</v>
          </cell>
          <cell r="K14">
            <v>11797047243</v>
          </cell>
          <cell r="L14">
            <v>10273865106</v>
          </cell>
        </row>
        <row r="18">
          <cell r="F18">
            <v>3053000539</v>
          </cell>
        </row>
        <row r="24">
          <cell r="F24">
            <v>14200000</v>
          </cell>
        </row>
        <row r="24">
          <cell r="J24">
            <v>505425621</v>
          </cell>
          <cell r="K24">
            <v>447596315</v>
          </cell>
          <cell r="L24">
            <v>480673904</v>
          </cell>
        </row>
        <row r="25">
          <cell r="F25">
            <v>581540167</v>
          </cell>
        </row>
        <row r="25">
          <cell r="I25">
            <v>952271710.462427</v>
          </cell>
          <cell r="J25">
            <v>1175644086.99065</v>
          </cell>
          <cell r="K25">
            <v>1106410672</v>
          </cell>
          <cell r="L25">
            <v>859616757</v>
          </cell>
        </row>
        <row r="26">
          <cell r="F26">
            <v>698018383.033948</v>
          </cell>
        </row>
        <row r="26">
          <cell r="I26">
            <v>439622512.575619</v>
          </cell>
          <cell r="J26">
            <v>1452681135.83</v>
          </cell>
          <cell r="K26">
            <v>1332734987</v>
          </cell>
          <cell r="L26">
            <v>1261577261</v>
          </cell>
        </row>
        <row r="36">
          <cell r="F36">
            <v>968019.0607</v>
          </cell>
        </row>
        <row r="36">
          <cell r="J36">
            <v>37875953.1</v>
          </cell>
          <cell r="K36">
            <v>65157970</v>
          </cell>
          <cell r="L36">
            <v>236720511</v>
          </cell>
        </row>
        <row r="46">
          <cell r="F46">
            <v>2449205975.97761</v>
          </cell>
        </row>
        <row r="46">
          <cell r="J46">
            <v>511260610.2</v>
          </cell>
          <cell r="K46">
            <v>351663370</v>
          </cell>
          <cell r="L46">
            <v>825560279</v>
          </cell>
        </row>
        <row r="50">
          <cell r="I50">
            <v>130245044.874999</v>
          </cell>
          <cell r="J50">
            <v>109041144.34825</v>
          </cell>
          <cell r="K50">
            <v>153044215.375</v>
          </cell>
          <cell r="L50">
            <v>206545131</v>
          </cell>
        </row>
      </sheetData>
      <sheetData sheetId="1" refreshError="1">
        <row r="17">
          <cell r="I17">
            <v>487368498.393332</v>
          </cell>
        </row>
        <row r="30">
          <cell r="J30">
            <v>0</v>
          </cell>
          <cell r="K30">
            <v>0</v>
          </cell>
          <cell r="L30">
            <v>0</v>
          </cell>
        </row>
        <row r="61">
          <cell r="J61">
            <v>11000000000</v>
          </cell>
          <cell r="K61">
            <v>11000000000</v>
          </cell>
        </row>
        <row r="65">
          <cell r="F65">
            <v>508396704.935399</v>
          </cell>
        </row>
        <row r="65">
          <cell r="H65">
            <v>257165987.91625</v>
          </cell>
          <cell r="I65">
            <v>911715314.124995</v>
          </cell>
          <cell r="J65">
            <v>763288010.437753</v>
          </cell>
          <cell r="K65">
            <v>1071309507.625</v>
          </cell>
        </row>
      </sheetData>
      <sheetData sheetId="2" refreshError="1"/>
      <sheetData sheetId="3" refreshError="1">
        <row r="3">
          <cell r="F3">
            <v>1484994.14999997</v>
          </cell>
        </row>
        <row r="3">
          <cell r="I3">
            <v>332136.52</v>
          </cell>
        </row>
        <row r="4">
          <cell r="I4">
            <v>6044699.89275</v>
          </cell>
        </row>
        <row r="5">
          <cell r="I5">
            <v>336861273.53</v>
          </cell>
        </row>
        <row r="8">
          <cell r="F8">
            <v>1605698</v>
          </cell>
        </row>
        <row r="8">
          <cell r="I8">
            <v>252561678</v>
          </cell>
        </row>
        <row r="10">
          <cell r="F10">
            <v>5863163</v>
          </cell>
        </row>
        <row r="10">
          <cell r="I10">
            <v>139094859.2</v>
          </cell>
        </row>
        <row r="11">
          <cell r="I11">
            <v>1250500</v>
          </cell>
        </row>
        <row r="13">
          <cell r="I13">
            <v>13955299.85725</v>
          </cell>
        </row>
      </sheetData>
      <sheetData sheetId="4" refreshError="1"/>
      <sheetData sheetId="5" refreshError="1">
        <row r="38">
          <cell r="F38">
            <v>487368498.393332</v>
          </cell>
          <cell r="G38">
            <v>759421490</v>
          </cell>
        </row>
      </sheetData>
      <sheetData sheetId="6" refreshError="1"/>
      <sheetData sheetId="7" refreshError="1">
        <row r="4">
          <cell r="F4">
            <v>0</v>
          </cell>
          <cell r="G4">
            <v>0</v>
          </cell>
          <cell r="H4">
            <v>0</v>
          </cell>
          <cell r="I4">
            <v>0</v>
          </cell>
          <cell r="J4">
            <v>1148245350</v>
          </cell>
        </row>
        <row r="5">
          <cell r="F5">
            <v>6548500015</v>
          </cell>
          <cell r="G5">
            <v>10566441215</v>
          </cell>
          <cell r="H5">
            <v>10566441215</v>
          </cell>
          <cell r="I5">
            <v>9920275415</v>
          </cell>
          <cell r="J5">
            <v>0</v>
          </cell>
        </row>
        <row r="6">
          <cell r="G6">
            <v>415008000</v>
          </cell>
          <cell r="H6">
            <v>415008000</v>
          </cell>
          <cell r="I6">
            <v>246878740</v>
          </cell>
        </row>
      </sheetData>
      <sheetData sheetId="8" refreshError="1">
        <row r="29">
          <cell r="E29">
            <v>2800000000</v>
          </cell>
          <cell r="F29">
            <v>4196640000</v>
          </cell>
          <cell r="G29">
            <v>4334735364.8655</v>
          </cell>
          <cell r="H29">
            <v>4753485864.8655</v>
          </cell>
          <cell r="I29">
            <v>4270835864.8655</v>
          </cell>
          <cell r="J29">
            <v>175360500</v>
          </cell>
        </row>
        <row r="30">
          <cell r="E30">
            <v>5200000000</v>
          </cell>
          <cell r="F30">
            <v>7793760000</v>
          </cell>
          <cell r="G30">
            <v>8050222820.4645</v>
          </cell>
          <cell r="H30">
            <v>8827902320.4645</v>
          </cell>
          <cell r="I30">
            <v>7931552320.4645</v>
          </cell>
          <cell r="J30">
            <v>325669500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6.xml><?xml version="1.0" encoding="utf-8"?>
<externalLink xmlns="http://schemas.openxmlformats.org/spreadsheetml/2006/main">
  <externalBook xmlns:r="http://schemas.openxmlformats.org/officeDocument/2006/relationships" r:id="rId1">
    <sheetNames>
      <sheetName val="WIP"/>
      <sheetName val="JJ"/>
      <sheetName val="AJE"/>
      <sheetName val="WS (2)"/>
      <sheetName val="Lap "/>
      <sheetName val="Cover"/>
      <sheetName val="opini "/>
      <sheetName val="opini  kualifikasi"/>
      <sheetName val="highlight"/>
    </sheetNames>
    <sheetDataSet>
      <sheetData sheetId="0"/>
      <sheetData sheetId="1"/>
      <sheetData sheetId="2"/>
      <sheetData sheetId="3"/>
      <sheetData sheetId="4">
        <row r="147">
          <cell r="T147">
            <v>433748767.100521</v>
          </cell>
        </row>
      </sheetData>
      <sheetData sheetId="5"/>
      <sheetData sheetId="6"/>
      <sheetData sheetId="7"/>
      <sheetData sheetId="8"/>
    </sheetDataSet>
  </externalBook>
</externalLink>
</file>

<file path=xl/externalLinks/externalLink77.xml><?xml version="1.0" encoding="utf-8"?>
<externalLink xmlns="http://schemas.openxmlformats.org/spreadsheetml/2006/main">
  <externalBook xmlns:r="http://schemas.openxmlformats.org/officeDocument/2006/relationships" r:id="rId1">
    <sheetNames>
      <sheetName val="Table 1"/>
      <sheetName val="pjk vs inhouse"/>
    </sheetNames>
    <sheetDataSet>
      <sheetData sheetId="0">
        <row r="157">
          <cell r="E157" t="str">
            <v>Deviden</v>
          </cell>
        </row>
      </sheetData>
      <sheetData sheetId="1"/>
    </sheetDataSet>
  </externalBook>
</externalLink>
</file>

<file path=xl/externalLinks/externalLink78.xml><?xml version="1.0" encoding="utf-8"?>
<externalLink xmlns="http://schemas.openxmlformats.org/spreadsheetml/2006/main">
  <externalBook xmlns:r="http://schemas.openxmlformats.org/officeDocument/2006/relationships" r:id="rId1">
    <sheetNames>
      <sheetName val="000000000"/>
      <sheetName val="Monetery"/>
      <sheetName val="Sheet3"/>
      <sheetName val="Audit Isu"/>
      <sheetName val="Cover"/>
      <sheetName val="ToC"/>
      <sheetName val="FS-0"/>
      <sheetName val="cfacurate"/>
      <sheetName val="Def modal"/>
      <sheetName val="PM"/>
      <sheetName val="F22"/>
      <sheetName val="cr cf 17"/>
      <sheetName val="cr cf 19"/>
      <sheetName val="CF 1"/>
      <sheetName val="F4"/>
      <sheetName val="F5"/>
      <sheetName val="F520"/>
      <sheetName val="F620"/>
      <sheetName val="F6"/>
      <sheetName val="F7"/>
      <sheetName val="JJ"/>
      <sheetName val="WS"/>
      <sheetName val="FS-1"/>
      <sheetName val="ekin"/>
      <sheetName val="Sheet2"/>
      <sheetName val="CF"/>
      <sheetName val="Note1"/>
      <sheetName val="Note2"/>
      <sheetName val="F1"/>
      <sheetName val="F2"/>
      <sheetName val="F20"/>
      <sheetName val="ARAP"/>
      <sheetName val="F3"/>
      <sheetName val="F420"/>
      <sheetName val="A"/>
      <sheetName val="a1"/>
      <sheetName val="a2"/>
      <sheetName val="a3"/>
      <sheetName val="B"/>
      <sheetName val="Sheet1"/>
      <sheetName val="B1"/>
      <sheetName val="AR"/>
      <sheetName val="AR1"/>
      <sheetName val="AP19"/>
      <sheetName val="B17"/>
      <sheetName val="AP"/>
      <sheetName val="c1"/>
      <sheetName val="C"/>
      <sheetName val="C11"/>
      <sheetName val="c2"/>
      <sheetName val="D"/>
      <sheetName val="E"/>
      <sheetName val="F"/>
      <sheetName val="G"/>
      <sheetName val="TT"/>
      <sheetName val="D0"/>
      <sheetName val="D1"/>
      <sheetName val="z"/>
      <sheetName val="FA list"/>
      <sheetName val="list FA"/>
      <sheetName val="UV"/>
      <sheetName val="UVo"/>
      <sheetName val="UV1"/>
      <sheetName val="UV2"/>
      <sheetName val="UV3"/>
      <sheetName val="UV4"/>
      <sheetName val="II"/>
      <sheetName val="BB"/>
      <sheetName val="CC"/>
      <sheetName val="konfr bank"/>
      <sheetName val="DD"/>
      <sheetName val="EE"/>
      <sheetName val="GG"/>
      <sheetName val="AA"/>
      <sheetName val="AA1"/>
      <sheetName val="AA2"/>
      <sheetName val="AA5"/>
      <sheetName val="kurs"/>
      <sheetName val="FF"/>
      <sheetName val="FF0"/>
      <sheetName val="FF1"/>
      <sheetName val="FF11"/>
      <sheetName val="FF2"/>
      <sheetName val="FF31"/>
      <sheetName val="FF311"/>
      <sheetName val="FF3"/>
      <sheetName val="FF4"/>
      <sheetName val="FF5"/>
      <sheetName val="SS"/>
      <sheetName val="SS1"/>
      <sheetName val="10"/>
      <sheetName val="101"/>
      <sheetName val="102"/>
      <sheetName val="103"/>
      <sheetName val="20"/>
      <sheetName val="40"/>
      <sheetName val="4011"/>
      <sheetName val="50"/>
      <sheetName val="5011"/>
      <sheetName val="Perhit Fiskal"/>
      <sheetName val="Kompensasi kerugian"/>
      <sheetName val="60"/>
      <sheetName val="vo by"/>
      <sheetName val="Voby1"/>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Set>
  </externalBook>
</externalLink>
</file>

<file path=xl/externalLinks/externalLink79.xml><?xml version="1.0" encoding="utf-8"?>
<externalLink xmlns="http://schemas.openxmlformats.org/spreadsheetml/2006/main">
  <externalBook xmlns:r="http://schemas.openxmlformats.org/officeDocument/2006/relationships" r:id="rId1">
    <sheetNames>
      <sheetName val="P&amp;L22"/>
      <sheetName val="BS22 (revisi1)"/>
      <sheetName val="BS22"/>
      <sheetName val="Rasio"/>
      <sheetName val="Kas bank"/>
      <sheetName val="Sheet1"/>
      <sheetName val="ARAPWIP"/>
      <sheetName val="Sheet2"/>
      <sheetName val="Investasi Proj"/>
      <sheetName val="Loan"/>
      <sheetName val="GunaUsaha"/>
      <sheetName val="LOanBANK"/>
      <sheetName val="AR AP"/>
      <sheetName val="ACC22"/>
      <sheetName val="ACC21"/>
      <sheetName val="Penj&amp;cus"/>
      <sheetName val="PPN21"/>
      <sheetName val="PPN22"/>
      <sheetName val="PPN23"/>
      <sheetName val="Gaji &amp; PPh 21"/>
      <sheetName val="Penj &amp; Hpp"/>
      <sheetName val="GMT"/>
      <sheetName val="MEMO"/>
      <sheetName val="DPS ESP"/>
      <sheetName val="Risco"/>
      <sheetName val="Project"/>
    </sheetNames>
    <sheetDataSet>
      <sheetData sheetId="0">
        <row r="10">
          <cell r="F10">
            <v>2892097277.71171</v>
          </cell>
        </row>
        <row r="11">
          <cell r="F11">
            <v>4483924573.8796</v>
          </cell>
        </row>
        <row r="12">
          <cell r="P12">
            <v>18209305548</v>
          </cell>
        </row>
        <row r="18">
          <cell r="P18">
            <v>14272910612.2578</v>
          </cell>
        </row>
        <row r="24">
          <cell r="P24">
            <v>125355168.5</v>
          </cell>
        </row>
        <row r="25">
          <cell r="P25">
            <v>632390233.66667</v>
          </cell>
        </row>
        <row r="26">
          <cell r="P26">
            <v>1196458294</v>
          </cell>
        </row>
        <row r="32">
          <cell r="F32">
            <v>968019.0607</v>
          </cell>
        </row>
        <row r="32">
          <cell r="H32">
            <v>6328441.05</v>
          </cell>
          <cell r="I32">
            <v>8249050</v>
          </cell>
        </row>
        <row r="34">
          <cell r="F34">
            <v>0</v>
          </cell>
        </row>
        <row r="34">
          <cell r="H34">
            <v>5600000</v>
          </cell>
          <cell r="I34">
            <v>1800000</v>
          </cell>
        </row>
        <row r="39">
          <cell r="H39">
            <v>18908000</v>
          </cell>
          <cell r="I39">
            <v>23958695</v>
          </cell>
        </row>
        <row r="40">
          <cell r="H40">
            <v>587493064</v>
          </cell>
          <cell r="I40">
            <v>546941567</v>
          </cell>
        </row>
        <row r="41">
          <cell r="H41">
            <v>111147000</v>
          </cell>
          <cell r="I41">
            <v>115664892</v>
          </cell>
        </row>
        <row r="43">
          <cell r="H43">
            <v>1405499.54</v>
          </cell>
          <cell r="I43">
            <v>1078216</v>
          </cell>
        </row>
        <row r="84">
          <cell r="F84">
            <v>502700450</v>
          </cell>
        </row>
        <row r="84">
          <cell r="I84">
            <v>1616911781.57465</v>
          </cell>
        </row>
        <row r="85">
          <cell r="F85">
            <v>422300500</v>
          </cell>
        </row>
        <row r="85">
          <cell r="I85">
            <v>1403986764.01995</v>
          </cell>
        </row>
        <row r="86">
          <cell r="F86">
            <v>147230000</v>
          </cell>
        </row>
        <row r="87">
          <cell r="F87">
            <v>1655768639.20978</v>
          </cell>
        </row>
        <row r="87">
          <cell r="I87">
            <v>1032437987.5</v>
          </cell>
        </row>
        <row r="88">
          <cell r="F88">
            <v>325000949.790218</v>
          </cell>
        </row>
        <row r="88">
          <cell r="I88">
            <v>5071128850.36736</v>
          </cell>
        </row>
        <row r="95">
          <cell r="F95">
            <v>14200000</v>
          </cell>
        </row>
      </sheetData>
      <sheetData sheetId="1"/>
      <sheetData sheetId="2"/>
      <sheetData sheetId="3"/>
      <sheetData sheetId="4"/>
      <sheetData sheetId="5"/>
      <sheetData sheetId="6">
        <row r="45">
          <cell r="B45" t="str">
            <v>DPS Energi Sukses Pratama PT. </v>
          </cell>
        </row>
        <row r="45">
          <cell r="G45">
            <v>25418181818.1818</v>
          </cell>
          <cell r="H45">
            <v>25418181818.1818</v>
          </cell>
          <cell r="I45">
            <v>3761781296.8474</v>
          </cell>
        </row>
        <row r="46">
          <cell r="B46" t="str">
            <v>Patra Logistic PT. </v>
          </cell>
        </row>
        <row r="46">
          <cell r="G46">
            <v>172780560</v>
          </cell>
          <cell r="H46">
            <v>186744150</v>
          </cell>
        </row>
        <row r="47">
          <cell r="B47" t="str">
            <v>Central Motor wheel Indonesia PT </v>
          </cell>
        </row>
        <row r="47">
          <cell r="G47">
            <v>210045014.7</v>
          </cell>
          <cell r="H47">
            <v>102281300</v>
          </cell>
          <cell r="I47">
            <v>60785993</v>
          </cell>
        </row>
        <row r="48">
          <cell r="B48" t="str">
            <v>Graha Niaga Tata Utama PT</v>
          </cell>
        </row>
        <row r="49">
          <cell r="B49" t="str">
            <v>BASS OIL SUKANANTI LIMITED</v>
          </cell>
        </row>
        <row r="49">
          <cell r="G49">
            <v>74197387.68</v>
          </cell>
          <cell r="H49">
            <v>51712631.55</v>
          </cell>
        </row>
        <row r="50">
          <cell r="B50" t="str">
            <v>CSTS Joint Operation</v>
          </cell>
        </row>
        <row r="50">
          <cell r="G50">
            <v>195858000</v>
          </cell>
        </row>
        <row r="51">
          <cell r="B51" t="str">
            <v>Dharma Pratama Sejati PT</v>
          </cell>
        </row>
        <row r="51">
          <cell r="G51">
            <v>27146880180.8045</v>
          </cell>
          <cell r="H51">
            <v>27146880180.8045</v>
          </cell>
          <cell r="I51">
            <v>20309915361</v>
          </cell>
        </row>
        <row r="52">
          <cell r="B52" t="str">
            <v>Mitra Energi Buana PT </v>
          </cell>
        </row>
        <row r="52">
          <cell r="G52">
            <v>186030366.48</v>
          </cell>
          <cell r="H52">
            <v>234657600</v>
          </cell>
        </row>
        <row r="53">
          <cell r="B53" t="str">
            <v>Hotel Borobudur Jakarta PT</v>
          </cell>
        </row>
        <row r="53">
          <cell r="G53">
            <v>0</v>
          </cell>
          <cell r="H53">
            <v>147256132</v>
          </cell>
        </row>
        <row r="54">
          <cell r="B54" t="str">
            <v>Gagas Energi Indonesia PT</v>
          </cell>
        </row>
        <row r="54">
          <cell r="G54">
            <v>0</v>
          </cell>
          <cell r="H54">
            <v>93506400</v>
          </cell>
          <cell r="I54">
            <v>75816000</v>
          </cell>
        </row>
        <row r="55">
          <cell r="B55" t="str">
            <v>MCCONNEL DOWELL</v>
          </cell>
        </row>
        <row r="55">
          <cell r="G55">
            <v>0</v>
          </cell>
          <cell r="H55">
            <v>52531200</v>
          </cell>
        </row>
        <row r="56">
          <cell r="B56" t="str">
            <v>Hotel Dharmawangsa PT</v>
          </cell>
        </row>
        <row r="56">
          <cell r="H56">
            <v>44378168</v>
          </cell>
          <cell r="I56">
            <v>98841063.2</v>
          </cell>
        </row>
        <row r="57">
          <cell r="B57" t="str">
            <v>Baharu Penta Kencana PT. </v>
          </cell>
        </row>
        <row r="57">
          <cell r="H57">
            <v>38720000</v>
          </cell>
          <cell r="I57">
            <v>0</v>
          </cell>
        </row>
      </sheetData>
      <sheetData sheetId="7"/>
      <sheetData sheetId="8"/>
      <sheetData sheetId="9"/>
      <sheetData sheetId="10">
        <row r="24">
          <cell r="D24">
            <v>1317435130.11007</v>
          </cell>
        </row>
      </sheetData>
      <sheetData sheetId="11">
        <row r="21">
          <cell r="I21">
            <v>1500000000</v>
          </cell>
        </row>
        <row r="29">
          <cell r="I29">
            <v>1000000000</v>
          </cell>
        </row>
        <row r="30">
          <cell r="I30">
            <v>300606168.16</v>
          </cell>
        </row>
        <row r="60">
          <cell r="I60">
            <v>748895966</v>
          </cell>
          <cell r="J60">
            <v>374447983</v>
          </cell>
        </row>
        <row r="61">
          <cell r="I61">
            <v>891587098</v>
          </cell>
          <cell r="J61">
            <v>0</v>
          </cell>
        </row>
        <row r="62">
          <cell r="I62">
            <v>0</v>
          </cell>
          <cell r="J62">
            <v>0</v>
          </cell>
        </row>
        <row r="63">
          <cell r="I63">
            <v>0</v>
          </cell>
          <cell r="J63">
            <v>0</v>
          </cell>
        </row>
        <row r="64">
          <cell r="I64">
            <v>1375000000</v>
          </cell>
          <cell r="J64">
            <v>3449460000</v>
          </cell>
        </row>
        <row r="65">
          <cell r="H65">
            <v>242581543</v>
          </cell>
          <cell r="I65">
            <v>242581543</v>
          </cell>
          <cell r="J65">
            <v>0</v>
          </cell>
        </row>
        <row r="96">
          <cell r="I96">
            <v>1500000000</v>
          </cell>
        </row>
        <row r="97">
          <cell r="I97">
            <v>748895966</v>
          </cell>
          <cell r="J97">
            <v>471644034</v>
          </cell>
        </row>
        <row r="98">
          <cell r="I98">
            <v>891587098</v>
          </cell>
          <cell r="J98">
            <v>0</v>
          </cell>
        </row>
        <row r="99">
          <cell r="I99">
            <v>595100800</v>
          </cell>
          <cell r="J99">
            <v>0</v>
          </cell>
        </row>
        <row r="100">
          <cell r="I100">
            <v>660000000</v>
          </cell>
          <cell r="J100">
            <v>0</v>
          </cell>
        </row>
        <row r="101">
          <cell r="I101">
            <v>1375000000</v>
          </cell>
          <cell r="J101">
            <v>4699460000</v>
          </cell>
        </row>
        <row r="102">
          <cell r="G102" t="str">
            <v>SUB TOTAL BNI</v>
          </cell>
        </row>
        <row r="133">
          <cell r="H133">
            <v>1500000000</v>
          </cell>
        </row>
        <row r="134">
          <cell r="H134">
            <v>1180555556</v>
          </cell>
        </row>
        <row r="135">
          <cell r="H135">
            <v>2162540000</v>
          </cell>
        </row>
        <row r="136">
          <cell r="H136">
            <v>5000000000</v>
          </cell>
        </row>
      </sheetData>
      <sheetData sheetId="12"/>
      <sheetData sheetId="13"/>
      <sheetData sheetId="14"/>
      <sheetData sheetId="15">
        <row r="46">
          <cell r="G46">
            <v>1585333737</v>
          </cell>
        </row>
        <row r="47">
          <cell r="G47">
            <v>2587596648.5</v>
          </cell>
        </row>
      </sheetData>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80.xml><?xml version="1.0" encoding="utf-8"?>
<externalLink xmlns="http://schemas.openxmlformats.org/spreadsheetml/2006/main">
  <externalBook xmlns:r="http://schemas.openxmlformats.org/officeDocument/2006/relationships" r:id="rId1">
    <sheetNames>
      <sheetName val="FA"/>
      <sheetName val="for bank"/>
      <sheetName val="LapKeu"/>
      <sheetName val="Catatan"/>
      <sheetName val="WS"/>
      <sheetName val="WSS"/>
      <sheetName val="Dis2"/>
      <sheetName val="dis"/>
      <sheetName val="Cover"/>
      <sheetName val="Sheet2"/>
    </sheetNames>
    <sheetDataSet>
      <sheetData sheetId="0"/>
      <sheetData sheetId="1"/>
      <sheetData sheetId="2">
        <row r="166">
          <cell r="AQ166">
            <v>-8132444723</v>
          </cell>
        </row>
      </sheetData>
      <sheetData sheetId="3"/>
      <sheetData sheetId="4"/>
      <sheetData sheetId="5"/>
      <sheetData sheetId="6"/>
      <sheetData sheetId="7"/>
      <sheetData sheetId="8"/>
      <sheetData sheetId="9"/>
    </sheetDataSet>
  </externalBook>
</externalLink>
</file>

<file path=xl/externalLinks/externalLink81.xml><?xml version="1.0" encoding="utf-8"?>
<externalLink xmlns="http://schemas.openxmlformats.org/spreadsheetml/2006/main">
  <externalBook xmlns:r="http://schemas.openxmlformats.org/officeDocument/2006/relationships" r:id="rId1">
    <sheetNames>
      <sheetName val="000000000"/>
      <sheetName val="Monetery"/>
      <sheetName val="Cover"/>
      <sheetName val="ToC"/>
      <sheetName val="Sheet1"/>
      <sheetName val="FS-1"/>
      <sheetName val="Note1"/>
      <sheetName val="Note2"/>
      <sheetName val="PM"/>
      <sheetName val="F1"/>
      <sheetName val="F2"/>
      <sheetName val="F4"/>
      <sheetName val="F5"/>
      <sheetName val="F6"/>
      <sheetName val="F7"/>
      <sheetName val="F3"/>
      <sheetName val="JJ"/>
      <sheetName val="A"/>
      <sheetName val="A1"/>
      <sheetName val="B"/>
      <sheetName val="B1"/>
      <sheetName val="C"/>
      <sheetName val="D"/>
      <sheetName val="E"/>
      <sheetName val="C1"/>
      <sheetName val="UV"/>
      <sheetName val="UV1"/>
      <sheetName val="BB"/>
      <sheetName val="DD"/>
      <sheetName val="FF"/>
      <sheetName val="FF1"/>
      <sheetName val="FF2"/>
      <sheetName val="FF3"/>
      <sheetName val="FF31"/>
      <sheetName val="FF4"/>
      <sheetName val="FF5"/>
      <sheetName val="SS"/>
      <sheetName val="10"/>
      <sheetName val="20"/>
      <sheetName val="40"/>
      <sheetName val="401"/>
      <sheetName val="50"/>
      <sheetName val="60"/>
      <sheetName val="Perhitungan Fiskal"/>
      <sheetName val="Audit Isu"/>
      <sheetName val="vo by"/>
    </sheetNames>
    <sheetDataSet>
      <sheetData sheetId="0" refreshError="1"/>
      <sheetData sheetId="1" refreshError="1"/>
      <sheetData sheetId="2" refreshError="1"/>
      <sheetData sheetId="3" refreshError="1"/>
      <sheetData sheetId="4" refreshError="1"/>
      <sheetData sheetId="5" refreshError="1">
        <row r="157">
          <cell r="X157">
            <v>-1383733291</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82.xml><?xml version="1.0" encoding="utf-8"?>
<externalLink xmlns="http://schemas.openxmlformats.org/spreadsheetml/2006/main">
  <externalBook xmlns:r="http://schemas.openxmlformats.org/officeDocument/2006/relationships" r:id="rId1">
    <sheetNames>
      <sheetName val="FA"/>
      <sheetName val="for bank"/>
      <sheetName val="WS"/>
      <sheetName val="Tb"/>
      <sheetName val="pl"/>
      <sheetName val="WSS"/>
      <sheetName val="Dis2"/>
      <sheetName val="DFT"/>
      <sheetName val="CVR"/>
      <sheetName val="Catatan2"/>
      <sheetName val="LapKeu"/>
      <sheetName val="CF"/>
      <sheetName val="Catatan1"/>
      <sheetName val="AR"/>
      <sheetName val="AR1"/>
      <sheetName val="Sheet3"/>
      <sheetName val="dis"/>
      <sheetName val="Cover"/>
      <sheetName val="dilusi _1"/>
      <sheetName val="dilusi _2"/>
      <sheetName val="Sheet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2">
          <cell r="X12">
            <v>145435279.6</v>
          </cell>
        </row>
      </sheetData>
      <sheetData sheetId="11" refreshError="1"/>
      <sheetData sheetId="12">
        <row r="1700">
          <cell r="S1700">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3.xml><?xml version="1.0" encoding="utf-8"?>
<externalLink xmlns="http://schemas.openxmlformats.org/spreadsheetml/2006/main">
  <externalBook xmlns:r="http://schemas.openxmlformats.org/officeDocument/2006/relationships" r:id="rId1">
    <sheetNames>
      <sheetName val="AR"/>
    </sheetNames>
    <sheetDataSet>
      <sheetData sheetId="0">
        <row r="11">
          <cell r="D11" t="str">
            <v>Umum (Loading Dock)</v>
          </cell>
        </row>
      </sheetData>
    </sheetDataSet>
  </externalBook>
</externalLink>
</file>

<file path=xl/externalLinks/externalLink84.xml><?xml version="1.0" encoding="utf-8"?>
<externalLink xmlns="http://schemas.openxmlformats.org/spreadsheetml/2006/main">
  <externalBook xmlns:r="http://schemas.openxmlformats.org/officeDocument/2006/relationships" r:id="rId1">
    <sheetNames>
      <sheetName val="WIP"/>
      <sheetName val="JJ"/>
      <sheetName val="AJE"/>
      <sheetName val="WS (2)"/>
      <sheetName val="Lap "/>
      <sheetName val="Cover"/>
      <sheetName val="opini "/>
      <sheetName val="opini  kualifikasi"/>
      <sheetName val="highlight"/>
    </sheetNames>
    <sheetDataSet>
      <sheetData sheetId="0"/>
      <sheetData sheetId="1"/>
      <sheetData sheetId="2"/>
      <sheetData sheetId="3"/>
      <sheetData sheetId="4">
        <row r="274">
          <cell r="C274" t="str">
            <v>Sejarah Singkat Perusahaan</v>
          </cell>
        </row>
      </sheetData>
      <sheetData sheetId="5"/>
      <sheetData sheetId="6"/>
      <sheetData sheetId="7"/>
      <sheetData sheetId="8"/>
    </sheetDataSet>
  </externalBook>
</externalLink>
</file>

<file path=xl/externalLinks/externalLink85.xml><?xml version="1.0" encoding="utf-8"?>
<externalLink xmlns="http://schemas.openxmlformats.org/spreadsheetml/2006/main">
  <externalBook xmlns:r="http://schemas.openxmlformats.org/officeDocument/2006/relationships" r:id="rId1">
    <sheetNames>
      <sheetName val="INHOUSE (TB)2021"/>
      <sheetName val="DASI"/>
      <sheetName val="ASET"/>
      <sheetName val="KEWAJIBAN"/>
      <sheetName val="LR"/>
      <sheetName val="EKUITAS"/>
      <sheetName val="ARUSKAS"/>
      <sheetName val="CALK"/>
      <sheetName val="&quot;Lampiran 1"/>
      <sheetName val="&quot;Lampiran 2"/>
    </sheetNames>
    <sheetDataSet>
      <sheetData sheetId="0"/>
      <sheetData sheetId="1"/>
      <sheetData sheetId="2"/>
      <sheetData sheetId="3"/>
      <sheetData sheetId="4"/>
      <sheetData sheetId="5"/>
      <sheetData sheetId="6"/>
      <sheetData sheetId="7">
        <row r="187">
          <cell r="C187" t="str">
            <v>Imbalan Kerja dan BPJS</v>
          </cell>
        </row>
      </sheetData>
      <sheetData sheetId="8"/>
      <sheetData sheetId="9"/>
    </sheetDataSet>
  </externalBook>
</externalLink>
</file>

<file path=xl/externalLinks/externalLink86.xml><?xml version="1.0" encoding="utf-8"?>
<externalLink xmlns="http://schemas.openxmlformats.org/spreadsheetml/2006/main">
  <externalBook xmlns:r="http://schemas.openxmlformats.org/officeDocument/2006/relationships" r:id="rId1">
    <sheetNames>
      <sheetName val="AR TRADE"/>
      <sheetName val="LAIN2"/>
    </sheetNames>
    <sheetDataSet>
      <sheetData sheetId="0"/>
      <sheetData sheetId="1">
        <row r="22">
          <cell r="D22">
            <v>20966325</v>
          </cell>
        </row>
      </sheetData>
    </sheetDataSet>
  </externalBook>
</externalLink>
</file>

<file path=xl/externalLinks/externalLink87.xml><?xml version="1.0" encoding="utf-8"?>
<externalLink xmlns="http://schemas.openxmlformats.org/spreadsheetml/2006/main">
  <externalBook xmlns:r="http://schemas.openxmlformats.org/officeDocument/2006/relationships" r:id="rId1">
    <sheetNames>
      <sheetName val="Tarif"/>
      <sheetName val="Tanah"/>
      <sheetName val="AT-2012"/>
      <sheetName val="AT-2013"/>
      <sheetName val="AT-2018@"/>
      <sheetName val="AT-2014"/>
      <sheetName val="AT-2015"/>
      <sheetName val="AT-2016"/>
      <sheetName val="AT-2017"/>
      <sheetName val="AT-2018"/>
      <sheetName val="AT-2019"/>
      <sheetName val="AT-2020"/>
      <sheetName val="AT-2021"/>
      <sheetName val="AT-2022"/>
      <sheetName val="AT-2022 (3)"/>
      <sheetName val="Jurnal"/>
      <sheetName val="Daftar Aset"/>
    </sheetNames>
    <sheetDataSet>
      <sheetData sheetId="0"/>
      <sheetData sheetId="1"/>
      <sheetData sheetId="2"/>
      <sheetData sheetId="3"/>
      <sheetData sheetId="4"/>
      <sheetData sheetId="5"/>
      <sheetData sheetId="6"/>
      <sheetData sheetId="7"/>
      <sheetData sheetId="8"/>
      <sheetData sheetId="9"/>
      <sheetData sheetId="10">
        <row r="157">
          <cell r="G157">
            <v>10715682004.9076</v>
          </cell>
        </row>
        <row r="158">
          <cell r="G158">
            <v>2391499425.09237</v>
          </cell>
          <cell r="H158">
            <v>518720189.285475</v>
          </cell>
        </row>
        <row r="159">
          <cell r="G159">
            <v>3815975219</v>
          </cell>
          <cell r="H159">
            <v>1222872455.5</v>
          </cell>
        </row>
        <row r="160">
          <cell r="G160">
            <v>15398136400</v>
          </cell>
          <cell r="H160">
            <v>8658934751.04167</v>
          </cell>
        </row>
        <row r="161">
          <cell r="G161">
            <v>413611400</v>
          </cell>
          <cell r="H161">
            <v>267267406.25</v>
          </cell>
        </row>
      </sheetData>
      <sheetData sheetId="11">
        <row r="21">
          <cell r="K21">
            <v>265644087.700619</v>
          </cell>
        </row>
        <row r="29">
          <cell r="K29">
            <v>-140000000</v>
          </cell>
        </row>
        <row r="31">
          <cell r="K31">
            <v>22500000</v>
          </cell>
        </row>
        <row r="32">
          <cell r="K32">
            <v>-306188802.25</v>
          </cell>
        </row>
        <row r="33">
          <cell r="K33">
            <v>18500000</v>
          </cell>
        </row>
        <row r="35">
          <cell r="K35">
            <v>-154677807.375</v>
          </cell>
        </row>
        <row r="36">
          <cell r="K36">
            <v>20000000</v>
          </cell>
        </row>
        <row r="37">
          <cell r="K37">
            <v>3309375</v>
          </cell>
        </row>
        <row r="38">
          <cell r="K38">
            <v>32500000</v>
          </cell>
        </row>
        <row r="39">
          <cell r="K39">
            <v>25284072</v>
          </cell>
        </row>
        <row r="40">
          <cell r="K40">
            <v>41218750</v>
          </cell>
        </row>
        <row r="41">
          <cell r="K41">
            <v>45118750</v>
          </cell>
        </row>
        <row r="42">
          <cell r="K42">
            <v>64375000</v>
          </cell>
        </row>
        <row r="43">
          <cell r="K43">
            <v>16756250</v>
          </cell>
        </row>
        <row r="44">
          <cell r="K44">
            <v>64375000</v>
          </cell>
        </row>
        <row r="46">
          <cell r="H46">
            <v>-951577643</v>
          </cell>
        </row>
        <row r="53">
          <cell r="K53">
            <v>143750000</v>
          </cell>
        </row>
        <row r="54">
          <cell r="K54">
            <v>1179226250</v>
          </cell>
        </row>
        <row r="55">
          <cell r="K55">
            <v>-768675000</v>
          </cell>
        </row>
        <row r="56">
          <cell r="K56">
            <v>41550000</v>
          </cell>
        </row>
        <row r="57">
          <cell r="K57">
            <v>41550000</v>
          </cell>
        </row>
        <row r="58">
          <cell r="K58">
            <v>84375000</v>
          </cell>
        </row>
        <row r="59">
          <cell r="K59">
            <v>130911512.5</v>
          </cell>
        </row>
        <row r="60">
          <cell r="K60">
            <v>177758350</v>
          </cell>
        </row>
        <row r="61">
          <cell r="K61">
            <v>1125000</v>
          </cell>
        </row>
        <row r="62">
          <cell r="K62">
            <v>230000</v>
          </cell>
        </row>
        <row r="63">
          <cell r="K63">
            <v>421875</v>
          </cell>
        </row>
        <row r="64">
          <cell r="K64">
            <v>215000</v>
          </cell>
        </row>
        <row r="66">
          <cell r="H66">
            <v>-997200000</v>
          </cell>
        </row>
        <row r="154">
          <cell r="K154">
            <v>58041170.8333333</v>
          </cell>
        </row>
        <row r="155">
          <cell r="H155">
            <v>1600000</v>
          </cell>
        </row>
        <row r="157">
          <cell r="K157">
            <v>66666.6666666667</v>
          </cell>
        </row>
      </sheetData>
      <sheetData sheetId="12"/>
      <sheetData sheetId="13"/>
      <sheetData sheetId="14"/>
      <sheetData sheetId="15"/>
      <sheetData sheetId="16"/>
    </sheetDataSet>
  </externalBook>
</externalLink>
</file>

<file path=xl/externalLinks/externalLink88.xml><?xml version="1.0" encoding="utf-8"?>
<externalLink xmlns="http://schemas.openxmlformats.org/spreadsheetml/2006/main">
  <externalBook xmlns:r="http://schemas.openxmlformats.org/officeDocument/2006/relationships" r:id="rId1">
    <sheetNames>
      <sheetName val="Sheet1"/>
    </sheetNames>
    <sheetDataSet>
      <sheetData sheetId="0" refreshError="1">
        <row r="49">
          <cell r="J49">
            <v>110448433.86</v>
          </cell>
        </row>
        <row r="52">
          <cell r="E52" t="str">
            <v>Aset Tetap dalam pembangunan</v>
          </cell>
        </row>
        <row r="112">
          <cell r="J112">
            <v>3117742498.22</v>
          </cell>
        </row>
      </sheetData>
    </sheetDataSet>
  </externalBook>
</externalLink>
</file>

<file path=xl/externalLinks/externalLink89.xml><?xml version="1.0" encoding="utf-8"?>
<externalLink xmlns="http://schemas.openxmlformats.org/spreadsheetml/2006/main">
  <externalBook xmlns:r="http://schemas.openxmlformats.org/officeDocument/2006/relationships" r:id="rId1">
    <sheetNames>
      <sheetName val="F1"/>
    </sheetNames>
    <sheetDataSet>
      <sheetData sheetId="0" refreshError="1"/>
    </sheetDataSet>
  </externalBook>
</externalLink>
</file>

<file path=xl/externalLinks/externalLink90.xml><?xml version="1.0" encoding="utf-8"?>
<externalLink xmlns="http://schemas.openxmlformats.org/spreadsheetml/2006/main">
  <externalBook xmlns:r="http://schemas.openxmlformats.org/officeDocument/2006/relationships" r:id="rId1">
    <sheetNames>
      <sheetName val="Gl work 22"/>
      <sheetName val="Ori"/>
      <sheetName val="Sheet1"/>
      <sheetName val="Sheet3"/>
      <sheetName val="tb"/>
    </sheetNames>
    <sheetDataSet>
      <sheetData sheetId="0">
        <row r="7262">
          <cell r="D7262" t="str">
            <v>120.001 - Barang Terkirim</v>
          </cell>
        </row>
        <row r="7262">
          <cell r="F7262" t="str">
            <v>Pengiriman Pesanan</v>
          </cell>
        </row>
        <row r="7262">
          <cell r="I7262">
            <v>38083558.68</v>
          </cell>
        </row>
        <row r="7474">
          <cell r="D7474" t="str">
            <v>120.001 - Barang Terkirim</v>
          </cell>
        </row>
        <row r="7474">
          <cell r="F7474" t="str">
            <v>Faktur Penjualan</v>
          </cell>
        </row>
        <row r="7474">
          <cell r="J7474">
            <v>38083558.68</v>
          </cell>
        </row>
        <row r="9949">
          <cell r="D9949" t="str">
            <v>120.102 - FIRE (Simplex,Geca, Horinglih, System Sen,Thorn,Vesda)</v>
          </cell>
        </row>
        <row r="9949">
          <cell r="F9949" t="str">
            <v>Pengiriman Pesanan</v>
          </cell>
        </row>
        <row r="9949">
          <cell r="J9949">
            <v>38083558.68</v>
          </cell>
        </row>
        <row r="21450">
          <cell r="D21450" t="str">
            <v>500.006.2 - COGS FIRE (Simplex,Horinglih,Geca, Syst Sensor,Thorn, Vesda)</v>
          </cell>
        </row>
        <row r="21450">
          <cell r="F21450" t="str">
            <v>Faktur Penjualan</v>
          </cell>
        </row>
        <row r="21450">
          <cell r="I21450">
            <v>38083558.68</v>
          </cell>
        </row>
      </sheetData>
      <sheetData sheetId="1"/>
      <sheetData sheetId="2"/>
      <sheetData sheetId="3"/>
      <sheetData sheetId="4"/>
    </sheetDataSet>
  </externalBook>
</externalLink>
</file>

<file path=xl/externalLinks/externalLink91.xml><?xml version="1.0" encoding="utf-8"?>
<externalLink xmlns="http://schemas.openxmlformats.org/spreadsheetml/2006/main">
  <externalBook xmlns:r="http://schemas.openxmlformats.org/officeDocument/2006/relationships" r:id="rId1">
    <sheetNames>
      <sheetName val="12"/>
      <sheetName val="ppnin"/>
      <sheetName val="persediaan"/>
      <sheetName val="TB"/>
      <sheetName val="PC"/>
      <sheetName val="Bank"/>
      <sheetName val="Bnk sortir"/>
      <sheetName val="sales"/>
      <sheetName val="penjulan barang"/>
      <sheetName val="pph23"/>
      <sheetName val="sewa prepaid"/>
      <sheetName val="Sheet2"/>
      <sheetName val="Gaji"/>
      <sheetName val="Tax"/>
      <sheetName val="sales receive"/>
      <sheetName val="other deposit"/>
      <sheetName val="utang pph "/>
    </sheetNames>
    <sheetDataSet>
      <sheetData sheetId="0"/>
      <sheetData sheetId="1"/>
      <sheetData sheetId="2"/>
      <sheetData sheetId="3"/>
      <sheetData sheetId="4"/>
      <sheetData sheetId="5"/>
      <sheetData sheetId="6"/>
      <sheetData sheetId="7">
        <row r="6">
          <cell r="Q6">
            <v>405790444</v>
          </cell>
        </row>
        <row r="7">
          <cell r="Q7">
            <v>425544783</v>
          </cell>
        </row>
        <row r="8">
          <cell r="Q8">
            <v>493270512</v>
          </cell>
        </row>
      </sheetData>
      <sheetData sheetId="8">
        <row r="9">
          <cell r="C9" t="str">
            <v>02 Feb 2018</v>
          </cell>
        </row>
        <row r="9">
          <cell r="K9">
            <v>6925120</v>
          </cell>
        </row>
        <row r="10">
          <cell r="C10" t="str">
            <v>31 Jan 2018</v>
          </cell>
        </row>
        <row r="10">
          <cell r="K10">
            <v>2171400</v>
          </cell>
        </row>
        <row r="11">
          <cell r="C11" t="str">
            <v>31 Jan 2018</v>
          </cell>
        </row>
        <row r="11">
          <cell r="K11">
            <v>1905750</v>
          </cell>
        </row>
        <row r="12">
          <cell r="C12" t="str">
            <v>31 Jan 2018</v>
          </cell>
        </row>
        <row r="12">
          <cell r="K12">
            <v>767340</v>
          </cell>
        </row>
        <row r="13">
          <cell r="C13" t="str">
            <v>12 Jul 2018</v>
          </cell>
        </row>
        <row r="13">
          <cell r="K13">
            <v>8516370</v>
          </cell>
        </row>
        <row r="14">
          <cell r="C14" t="str">
            <v>23 Feb 2018</v>
          </cell>
        </row>
        <row r="14">
          <cell r="K14">
            <v>16558680</v>
          </cell>
        </row>
        <row r="15">
          <cell r="C15" t="str">
            <v>22 Mar 2018</v>
          </cell>
        </row>
        <row r="15">
          <cell r="K15">
            <v>1228500</v>
          </cell>
        </row>
        <row r="16">
          <cell r="C16" t="str">
            <v>22 Mar 2018</v>
          </cell>
        </row>
        <row r="16">
          <cell r="K16">
            <v>1228500</v>
          </cell>
        </row>
        <row r="17">
          <cell r="C17" t="str">
            <v>02 Apr 2018</v>
          </cell>
        </row>
        <row r="17">
          <cell r="K17">
            <v>8439990</v>
          </cell>
        </row>
        <row r="18">
          <cell r="C18" t="str">
            <v>10 Apr 2018</v>
          </cell>
        </row>
        <row r="18">
          <cell r="K18">
            <v>2500000</v>
          </cell>
        </row>
        <row r="19">
          <cell r="C19" t="str">
            <v>08 Mei 2018</v>
          </cell>
        </row>
        <row r="19">
          <cell r="K19">
            <v>1228500</v>
          </cell>
        </row>
        <row r="20">
          <cell r="C20" t="str">
            <v>11 Mei 2018</v>
          </cell>
        </row>
        <row r="20">
          <cell r="K20">
            <v>10464060</v>
          </cell>
        </row>
        <row r="21">
          <cell r="C21" t="str">
            <v>28 Jun 2018</v>
          </cell>
        </row>
        <row r="21">
          <cell r="K21">
            <v>1228500</v>
          </cell>
        </row>
        <row r="22">
          <cell r="C22" t="str">
            <v>28 Jun 2018</v>
          </cell>
        </row>
        <row r="22">
          <cell r="K22">
            <v>2069025</v>
          </cell>
        </row>
        <row r="23">
          <cell r="C23" t="str">
            <v>31 Jul 2018</v>
          </cell>
        </row>
        <row r="23">
          <cell r="K23">
            <v>10036950</v>
          </cell>
        </row>
        <row r="24">
          <cell r="C24" t="str">
            <v>29 Agu 2018</v>
          </cell>
        </row>
        <row r="24">
          <cell r="K24">
            <v>7676190</v>
          </cell>
        </row>
        <row r="25">
          <cell r="C25" t="str">
            <v>31 Agu 2018</v>
          </cell>
        </row>
        <row r="25">
          <cell r="K25">
            <v>4431216</v>
          </cell>
        </row>
        <row r="26">
          <cell r="C26" t="str">
            <v>01 Okt 2018</v>
          </cell>
        </row>
        <row r="26">
          <cell r="K26">
            <v>4468230</v>
          </cell>
        </row>
        <row r="27">
          <cell r="C27" t="str">
            <v>04 Okt 2018</v>
          </cell>
        </row>
        <row r="27">
          <cell r="K27">
            <v>1965600</v>
          </cell>
        </row>
        <row r="28">
          <cell r="C28" t="str">
            <v>04 Okt 2018</v>
          </cell>
        </row>
        <row r="28">
          <cell r="K28">
            <v>1965600</v>
          </cell>
        </row>
        <row r="29">
          <cell r="C29" t="str">
            <v>27 Nov 2018</v>
          </cell>
        </row>
        <row r="29">
          <cell r="K29">
            <v>5620456</v>
          </cell>
        </row>
        <row r="30">
          <cell r="C30" t="str">
            <v>27 Nov 2018</v>
          </cell>
        </row>
        <row r="30">
          <cell r="K30">
            <v>5621664</v>
          </cell>
        </row>
        <row r="31">
          <cell r="C31" t="str">
            <v>01 Des 2018</v>
          </cell>
        </row>
        <row r="31">
          <cell r="K31">
            <v>6759630</v>
          </cell>
        </row>
        <row r="32">
          <cell r="C32" t="str">
            <v>18 Des 2018</v>
          </cell>
        </row>
        <row r="32">
          <cell r="K32">
            <v>4798500</v>
          </cell>
        </row>
        <row r="33">
          <cell r="C33" t="str">
            <v>28 Sep 2018</v>
          </cell>
        </row>
        <row r="33">
          <cell r="K33">
            <v>538000</v>
          </cell>
        </row>
      </sheetData>
      <sheetData sheetId="9"/>
      <sheetData sheetId="10">
        <row r="124">
          <cell r="I124">
            <v>0</v>
          </cell>
        </row>
      </sheetData>
      <sheetData sheetId="11"/>
      <sheetData sheetId="12"/>
      <sheetData sheetId="13"/>
      <sheetData sheetId="14"/>
      <sheetData sheetId="15"/>
      <sheetData sheetId="16"/>
    </sheetDataSet>
  </externalBook>
</externalLink>
</file>

<file path=xl/externalLinks/externalLink92.xml><?xml version="1.0" encoding="utf-8"?>
<externalLink xmlns="http://schemas.openxmlformats.org/spreadsheetml/2006/main">
  <externalBook xmlns:r="http://schemas.openxmlformats.org/officeDocument/2006/relationships" r:id="rId1">
    <sheetNames>
      <sheetName val="2017"/>
      <sheetName val="2018"/>
      <sheetName val="Sheet3"/>
    </sheetNames>
    <sheetDataSet>
      <sheetData sheetId="0">
        <row r="8">
          <cell r="A8">
            <v>42853</v>
          </cell>
        </row>
        <row r="8">
          <cell r="C8" t="str">
            <v>MDRI-201704127</v>
          </cell>
          <cell r="D8" t="str">
            <v>Hutang Pihak III (Company)</v>
          </cell>
        </row>
        <row r="8">
          <cell r="J8">
            <v>985000000</v>
          </cell>
        </row>
        <row r="9">
          <cell r="A9">
            <v>42928</v>
          </cell>
        </row>
        <row r="9">
          <cell r="C9" t="str">
            <v>MDRI-201707089</v>
          </cell>
          <cell r="D9" t="str">
            <v>Hutang Pihak III (Company)</v>
          </cell>
        </row>
        <row r="9">
          <cell r="J9">
            <v>350000000</v>
          </cell>
        </row>
        <row r="10">
          <cell r="A10">
            <v>42930</v>
          </cell>
        </row>
        <row r="10">
          <cell r="C10" t="str">
            <v>MDRI-201707105</v>
          </cell>
          <cell r="D10" t="str">
            <v>Hutang Pihak III (Company)</v>
          </cell>
        </row>
        <row r="10">
          <cell r="J10">
            <v>300000000</v>
          </cell>
        </row>
        <row r="11">
          <cell r="A11">
            <v>42956</v>
          </cell>
        </row>
        <row r="11">
          <cell r="C11" t="str">
            <v>MDRI-201708063</v>
          </cell>
          <cell r="D11" t="str">
            <v>Hutang Pihak III (Company)</v>
          </cell>
        </row>
        <row r="11">
          <cell r="J11">
            <v>420000000</v>
          </cell>
        </row>
        <row r="12">
          <cell r="A12">
            <v>42970</v>
          </cell>
        </row>
        <row r="12">
          <cell r="C12" t="str">
            <v>MDRI-201708109</v>
          </cell>
          <cell r="D12" t="str">
            <v>Hutang Pihak III (Company)</v>
          </cell>
        </row>
        <row r="12">
          <cell r="J12">
            <v>300000000</v>
          </cell>
        </row>
        <row r="13">
          <cell r="A13">
            <v>42996</v>
          </cell>
        </row>
        <row r="13">
          <cell r="C13" t="str">
            <v>MDRI-201709076</v>
          </cell>
          <cell r="D13" t="str">
            <v>Hutang Pihak III (Company)</v>
          </cell>
        </row>
        <row r="13">
          <cell r="J13">
            <v>1200000000</v>
          </cell>
        </row>
        <row r="14">
          <cell r="A14">
            <v>43014</v>
          </cell>
        </row>
        <row r="14">
          <cell r="C14" t="str">
            <v>MDRI-201710052</v>
          </cell>
          <cell r="D14" t="str">
            <v>Hutang Pihak III (Company)</v>
          </cell>
        </row>
        <row r="14">
          <cell r="J14">
            <v>100000000</v>
          </cell>
        </row>
        <row r="15">
          <cell r="A15">
            <v>43026</v>
          </cell>
        </row>
        <row r="15">
          <cell r="C15" t="str">
            <v>MDRI-201710111</v>
          </cell>
          <cell r="D15" t="str">
            <v>Hutang Pihak III (Company)</v>
          </cell>
        </row>
        <row r="15">
          <cell r="J15">
            <v>280000000</v>
          </cell>
        </row>
        <row r="16">
          <cell r="A16">
            <v>43045</v>
          </cell>
        </row>
        <row r="16">
          <cell r="C16" t="str">
            <v>MDRI-201711033</v>
          </cell>
          <cell r="D16" t="str">
            <v>Hutang Pihak III (Company)</v>
          </cell>
        </row>
        <row r="16">
          <cell r="J16">
            <v>250000000</v>
          </cell>
        </row>
      </sheetData>
      <sheetData sheetId="1"/>
      <sheetData sheetId="2"/>
    </sheetDataSet>
  </externalBook>
</externalLink>
</file>

<file path=xl/externalLinks/externalLink93.xml><?xml version="1.0" encoding="utf-8"?>
<externalLink xmlns="http://schemas.openxmlformats.org/spreadsheetml/2006/main">
  <externalBook xmlns:r="http://schemas.openxmlformats.org/officeDocument/2006/relationships" r:id="rId1">
    <sheetNames>
      <sheetName val="2017"/>
      <sheetName val="2018"/>
      <sheetName val="Sheet3"/>
    </sheetNames>
    <sheetDataSet>
      <sheetData sheetId="0" refreshError="1"/>
      <sheetData sheetId="1">
        <row r="8">
          <cell r="A8">
            <v>43175</v>
          </cell>
        </row>
        <row r="8">
          <cell r="C8" t="str">
            <v>MDRI-201803100</v>
          </cell>
        </row>
        <row r="8">
          <cell r="I8" t="str">
            <v>DPS ENERGI SUKSES Transfer  DARI DPS ENERGI SUKSES PRATAMA</v>
          </cell>
          <cell r="J8">
            <v>2055000000</v>
          </cell>
        </row>
        <row r="9">
          <cell r="A9">
            <v>43222</v>
          </cell>
        </row>
        <row r="9">
          <cell r="C9" t="str">
            <v>MDRI-201805026</v>
          </cell>
        </row>
        <row r="9">
          <cell r="I9" t="str">
            <v>Inward RTGS  DPS ENERGI SUKSES PRATAMAPT. BANK CAPITAL INDONESIA</v>
          </cell>
          <cell r="J9">
            <v>4234452488</v>
          </cell>
        </row>
        <row r="10">
          <cell r="A10">
            <v>43251</v>
          </cell>
        </row>
        <row r="10">
          <cell r="C10" t="str">
            <v>MDRI-201805193</v>
          </cell>
        </row>
        <row r="10">
          <cell r="I10" t="str">
            <v>Inward RTGS  DPS ENERGI SUKSES PRATAMAPT. BANK CAPITAL INDONESIA</v>
          </cell>
          <cell r="J10">
            <v>4063311843</v>
          </cell>
        </row>
        <row r="11">
          <cell r="A11">
            <v>43341</v>
          </cell>
        </row>
        <row r="11">
          <cell r="C11" t="str">
            <v>MDRI-201808174</v>
          </cell>
        </row>
        <row r="11">
          <cell r="I11" t="str">
            <v>Inward RTGS  DPS ENERGI SUKSES PRATAMAPT. BANK CAPITAL INDONESIA</v>
          </cell>
          <cell r="J11">
            <v>2180810280</v>
          </cell>
        </row>
        <row r="12">
          <cell r="A12">
            <v>43342</v>
          </cell>
        </row>
        <row r="12">
          <cell r="C12" t="str">
            <v>MDRI-201808181</v>
          </cell>
        </row>
        <row r="12">
          <cell r="I12" t="str">
            <v>Inward RTGS  DPS ENERGI SUKSES PRATAMAPT. BANK CAPITAL INDONESIA</v>
          </cell>
          <cell r="J12">
            <v>819189720</v>
          </cell>
        </row>
      </sheetData>
      <sheetData sheetId="2" refreshError="1"/>
    </sheetDataSet>
  </externalBook>
</externalLink>
</file>

<file path=xl/externalLinks/externalLink94.xml><?xml version="1.0" encoding="utf-8"?>
<externalLink xmlns="http://schemas.openxmlformats.org/spreadsheetml/2006/main">
  <externalBook xmlns:r="http://schemas.openxmlformats.org/officeDocument/2006/relationships" r:id="rId1">
    <sheetNames>
      <sheetName val="Tarif"/>
      <sheetName val="Tanah"/>
      <sheetName val="AT-2012"/>
      <sheetName val="AT-2013"/>
      <sheetName val="AT-2018@"/>
      <sheetName val="AT-2014"/>
      <sheetName val="AT-2015"/>
      <sheetName val="AT-2016"/>
      <sheetName val="AT-2017"/>
      <sheetName val="AT-2018"/>
      <sheetName val="AT-2019"/>
      <sheetName val="AT-2020"/>
      <sheetName val="AT-2021"/>
      <sheetName val="AT-2022"/>
      <sheetName val="AT-2022 (3)"/>
      <sheetName val="Jurnal"/>
      <sheetName val="Daftar Aset"/>
    </sheetNames>
    <sheetDataSet>
      <sheetData sheetId="0"/>
      <sheetData sheetId="1"/>
      <sheetData sheetId="2"/>
      <sheetData sheetId="3"/>
      <sheetData sheetId="4"/>
      <sheetData sheetId="5"/>
      <sheetData sheetId="6"/>
      <sheetData sheetId="7"/>
      <sheetData sheetId="8"/>
      <sheetData sheetId="9">
        <row r="18">
          <cell r="H18">
            <v>1251663380</v>
          </cell>
        </row>
      </sheetData>
      <sheetData sheetId="10">
        <row r="8">
          <cell r="E8">
            <v>42615</v>
          </cell>
        </row>
        <row r="9">
          <cell r="E9">
            <v>43551</v>
          </cell>
        </row>
      </sheetData>
      <sheetData sheetId="11"/>
      <sheetData sheetId="12"/>
      <sheetData sheetId="13"/>
      <sheetData sheetId="14"/>
      <sheetData sheetId="15"/>
      <sheetData sheetId="16"/>
    </sheetDataSet>
  </externalBook>
</externalLink>
</file>

<file path=xl/externalLinks/externalLink95.xml><?xml version="1.0" encoding="utf-8"?>
<externalLink xmlns="http://schemas.openxmlformats.org/spreadsheetml/2006/main">
  <externalBook xmlns:r="http://schemas.openxmlformats.org/officeDocument/2006/relationships" r:id="rId1">
    <sheetNames>
      <sheetName val="000000000"/>
      <sheetName val="Monetery"/>
      <sheetName val="Audit Isu"/>
      <sheetName val="Cover"/>
      <sheetName val="ToC"/>
      <sheetName val="FS-0"/>
      <sheetName val="cfacurate"/>
      <sheetName val="Def modal"/>
      <sheetName val="PM"/>
      <sheetName val="F22"/>
      <sheetName val="cr cf 17"/>
      <sheetName val="cr cf 19"/>
      <sheetName val="CF 1"/>
      <sheetName val="F4"/>
      <sheetName val="F5"/>
      <sheetName val="F520"/>
      <sheetName val="F620"/>
      <sheetName val="F6"/>
      <sheetName val="F7"/>
      <sheetName val="JJ"/>
      <sheetName val="WS"/>
      <sheetName val="FS-1"/>
      <sheetName val="ekin"/>
      <sheetName val="Sheet2"/>
      <sheetName val="CF"/>
      <sheetName val="Note1"/>
      <sheetName val="Note2"/>
      <sheetName val="F1"/>
      <sheetName val="F2"/>
      <sheetName val="ARAP"/>
      <sheetName val="F3"/>
      <sheetName val="F30"/>
      <sheetName val="F420"/>
      <sheetName val="A"/>
      <sheetName val="a1"/>
      <sheetName val="a2"/>
      <sheetName val="B"/>
      <sheetName val="B1"/>
      <sheetName val="AR"/>
      <sheetName val="AR1"/>
      <sheetName val="AP19"/>
      <sheetName val="B17"/>
      <sheetName val="AP"/>
      <sheetName val="C"/>
      <sheetName val="c1"/>
      <sheetName val="C11"/>
      <sheetName val="c2"/>
      <sheetName val="D"/>
      <sheetName val="E"/>
      <sheetName val="F"/>
      <sheetName val="G"/>
      <sheetName val="H"/>
      <sheetName val="I"/>
      <sheetName val="D0"/>
      <sheetName val="D1"/>
      <sheetName val="z"/>
      <sheetName val="FA list"/>
      <sheetName val="UV"/>
      <sheetName val="UVo"/>
      <sheetName val="UV1"/>
      <sheetName val="UV2"/>
      <sheetName val="UV3"/>
      <sheetName val="UV4"/>
      <sheetName val="II"/>
      <sheetName val="BB"/>
      <sheetName val="CC"/>
      <sheetName val="konfr bank"/>
      <sheetName val="DD"/>
      <sheetName val="EE"/>
      <sheetName val="GG"/>
      <sheetName val="AA"/>
      <sheetName val="AA1"/>
      <sheetName val="AA2"/>
      <sheetName val="AA5"/>
      <sheetName val="kurs"/>
      <sheetName val="FF"/>
      <sheetName val="FF0"/>
      <sheetName val="FF1"/>
      <sheetName val="FF11"/>
      <sheetName val="FF2"/>
      <sheetName val="FF31"/>
      <sheetName val="FF311"/>
      <sheetName val="FF3"/>
      <sheetName val="FF4"/>
      <sheetName val="FF5"/>
      <sheetName val="SS"/>
      <sheetName val="SS1"/>
      <sheetName val="10"/>
      <sheetName val="101"/>
      <sheetName val="102"/>
      <sheetName val="103"/>
      <sheetName val="20"/>
      <sheetName val="40"/>
      <sheetName val="4011"/>
      <sheetName val="50"/>
      <sheetName val="5011"/>
      <sheetName val="Perhit Fiskal"/>
      <sheetName val="Kompensasi kerugian"/>
      <sheetName val="60"/>
      <sheetName val="vo by"/>
      <sheetName val="Voby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5">
          <cell r="R35">
            <v>168129260</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96.xml><?xml version="1.0" encoding="utf-8"?>
<externalLink xmlns="http://schemas.openxmlformats.org/spreadsheetml/2006/main">
  <externalBook xmlns:r="http://schemas.openxmlformats.org/officeDocument/2006/relationships" r:id="rId1">
    <sheetNames>
      <sheetName val="Sheet1"/>
      <sheetName val="FA"/>
    </sheetNames>
    <sheetDataSet>
      <sheetData sheetId="0" refreshError="1"/>
      <sheetData sheetId="1" refreshError="1">
        <row r="25">
          <cell r="K25">
            <v>0</v>
          </cell>
        </row>
      </sheetData>
    </sheetDataSet>
  </externalBook>
</externalLink>
</file>

<file path=xl/externalLinks/externalLink97.xml><?xml version="1.0" encoding="utf-8"?>
<externalLink xmlns="http://schemas.openxmlformats.org/spreadsheetml/2006/main">
  <externalBook xmlns:r="http://schemas.openxmlformats.org/officeDocument/2006/relationships" r:id="rId1">
    <sheetNames>
      <sheetName val="Sheet3"/>
      <sheetName val="GL WPb 2018"/>
      <sheetName val="Sheet2"/>
    </sheetNames>
    <sheetDataSet>
      <sheetData sheetId="0" refreshError="1"/>
      <sheetData sheetId="1" refreshError="1">
        <row r="3938">
          <cell r="G3938" t="str">
            <v>06 Dec 2018</v>
          </cell>
        </row>
        <row r="3941">
          <cell r="G3941" t="str">
            <v>26 Sep 2018</v>
          </cell>
        </row>
        <row r="3943">
          <cell r="L3943">
            <v>4513655</v>
          </cell>
        </row>
      </sheetData>
      <sheetData sheetId="2" refreshError="1"/>
    </sheetDataSet>
  </externalBook>
</externalLink>
</file>

<file path=xl/externalLinks/externalLink98.xml><?xml version="1.0" encoding="utf-8"?>
<externalLink xmlns="http://schemas.openxmlformats.org/spreadsheetml/2006/main">
  <externalBook xmlns:r="http://schemas.openxmlformats.org/officeDocument/2006/relationships" r:id="rId1">
    <sheetNames>
      <sheetName val="krj"/>
      <sheetName val="ori"/>
      <sheetName val="Sheet2"/>
      <sheetName val="Sheet3"/>
    </sheetNames>
    <sheetDataSet>
      <sheetData sheetId="0">
        <row r="29">
          <cell r="F29" t="str">
            <v>PPn Masukan</v>
          </cell>
        </row>
      </sheetData>
      <sheetData sheetId="1"/>
      <sheetData sheetId="2"/>
      <sheetData sheetId="3"/>
    </sheetDataSet>
  </externalBook>
</externalLink>
</file>

<file path=xl/externalLinks/externalLink99.xml><?xml version="1.0" encoding="utf-8"?>
<externalLink xmlns="http://schemas.openxmlformats.org/spreadsheetml/2006/main">
  <externalBook xmlns:r="http://schemas.openxmlformats.org/officeDocument/2006/relationships" r:id="rId1">
    <sheetNames>
      <sheetName val="PL"/>
      <sheetName val="FS"/>
      <sheetName val="BS22"/>
      <sheetName val="Rasio"/>
      <sheetName val="CALK"/>
      <sheetName val="Kas bank"/>
      <sheetName val="Sheet1"/>
      <sheetName val="ARAPWIP"/>
      <sheetName val="Sheet2"/>
      <sheetName val="Investasi Proj"/>
      <sheetName val="Loan"/>
      <sheetName val="GunaUsaha"/>
      <sheetName val="LOanBANK"/>
      <sheetName val="AR AP"/>
      <sheetName val="ACC22"/>
      <sheetName val="ACC21"/>
      <sheetName val="Penj&amp;cus"/>
      <sheetName val="PPN21"/>
      <sheetName val="PPN22"/>
      <sheetName val="PPN23"/>
      <sheetName val="Gaji &amp; PPh 21"/>
      <sheetName val="Penj &amp; Hpp"/>
      <sheetName val="GMT"/>
      <sheetName val="MEMO"/>
      <sheetName val="DPS ESP"/>
      <sheetName val="Risco"/>
      <sheetName val="Project"/>
    </sheetNames>
    <sheetDataSet>
      <sheetData sheetId="0">
        <row r="9">
          <cell r="J9">
            <v>15876744367</v>
          </cell>
          <cell r="K9">
            <v>16194648340</v>
          </cell>
          <cell r="L9">
            <v>14394528943</v>
          </cell>
        </row>
        <row r="14">
          <cell r="J14">
            <v>11397279711.2933</v>
          </cell>
          <cell r="K14">
            <v>11797047243</v>
          </cell>
          <cell r="L14">
            <v>10273865106</v>
          </cell>
          <cell r="M14">
            <v>12234003131.7</v>
          </cell>
          <cell r="N14">
            <v>5175862994.0752</v>
          </cell>
          <cell r="O14">
            <v>11197844992</v>
          </cell>
        </row>
        <row r="15">
          <cell r="B15" t="str">
            <v>Biaya Material</v>
          </cell>
        </row>
        <row r="15">
          <cell r="F15">
            <v>502700450</v>
          </cell>
        </row>
        <row r="15">
          <cell r="J15">
            <v>2554201680.08576</v>
          </cell>
          <cell r="K15">
            <v>2643767280.62072</v>
          </cell>
          <cell r="L15">
            <v>2394654056</v>
          </cell>
        </row>
        <row r="16">
          <cell r="B16" t="str">
            <v>Biaya Tenaga Kerja Produksi</v>
          </cell>
        </row>
        <row r="16">
          <cell r="F16">
            <v>422300500</v>
          </cell>
        </row>
        <row r="16">
          <cell r="J16">
            <v>1483738620.00935</v>
          </cell>
          <cell r="K16">
            <v>1399753415.10316</v>
          </cell>
          <cell r="L16">
            <v>1505289244</v>
          </cell>
        </row>
        <row r="17">
          <cell r="B17" t="str">
            <v>Biaya Lain Lain HPP</v>
          </cell>
        </row>
        <row r="17">
          <cell r="J17">
            <v>7359339411.19824</v>
          </cell>
          <cell r="K17">
            <v>7753526547.27612</v>
          </cell>
          <cell r="L17">
            <v>6373921806</v>
          </cell>
        </row>
      </sheetData>
      <sheetData sheetId="1">
        <row r="54">
          <cell r="L54">
            <v>1209186630</v>
          </cell>
        </row>
      </sheetData>
      <sheetData sheetId="2"/>
      <sheetData sheetId="3"/>
      <sheetData sheetId="4"/>
      <sheetData sheetId="5"/>
      <sheetData sheetId="6"/>
      <sheetData sheetId="7"/>
      <sheetData sheetId="8"/>
      <sheetData sheetId="9"/>
      <sheetData sheetId="10">
        <row r="40">
          <cell r="H40">
            <v>64900000</v>
          </cell>
          <cell r="I40">
            <v>64900000</v>
          </cell>
          <cell r="J40">
            <v>279000000</v>
          </cell>
        </row>
        <row r="41">
          <cell r="H41">
            <v>415000000</v>
          </cell>
          <cell r="I41">
            <v>465000000</v>
          </cell>
        </row>
        <row r="42">
          <cell r="H42">
            <v>270000000</v>
          </cell>
          <cell r="I42">
            <v>270000000</v>
          </cell>
          <cell r="J42">
            <v>320000000</v>
          </cell>
        </row>
        <row r="43">
          <cell r="H43">
            <v>700000000</v>
          </cell>
          <cell r="I43">
            <v>700000000</v>
          </cell>
          <cell r="J43">
            <v>700000000</v>
          </cell>
        </row>
        <row r="45">
          <cell r="H45">
            <v>104660000</v>
          </cell>
          <cell r="I45">
            <v>175000000</v>
          </cell>
          <cell r="J45">
            <v>200000000</v>
          </cell>
        </row>
        <row r="46">
          <cell r="H46">
            <v>23031111006.6137</v>
          </cell>
          <cell r="I46">
            <v>18502987975.5937</v>
          </cell>
          <cell r="J46">
            <v>6700000000</v>
          </cell>
        </row>
        <row r="47">
          <cell r="H47">
            <v>28945251994</v>
          </cell>
          <cell r="I47">
            <v>28945251994</v>
          </cell>
          <cell r="J47">
            <v>2985000000</v>
          </cell>
        </row>
        <row r="48">
          <cell r="H48">
            <v>785000000</v>
          </cell>
        </row>
      </sheetData>
      <sheetData sheetId="11">
        <row r="44">
          <cell r="B44" t="str">
            <v>PT Hino Finance Indonesia</v>
          </cell>
          <cell r="C44" t="str">
            <v>Hino Dutro3</v>
          </cell>
        </row>
        <row r="45">
          <cell r="B45" t="str">
            <v>PT Hino Finance Indonesia</v>
          </cell>
          <cell r="C45" t="str">
            <v>HinoTractor Head 2</v>
          </cell>
        </row>
        <row r="57">
          <cell r="B57" t="str">
            <v>PT Hino Finance Indonesia</v>
          </cell>
          <cell r="C57" t="str">
            <v>HINO 235</v>
          </cell>
        </row>
      </sheetData>
      <sheetData sheetId="12"/>
      <sheetData sheetId="13"/>
      <sheetData sheetId="14"/>
      <sheetData sheetId="15"/>
      <sheetData sheetId="16">
        <row r="43">
          <cell r="G43">
            <v>663786753</v>
          </cell>
        </row>
        <row r="44">
          <cell r="G44">
            <v>808710918</v>
          </cell>
        </row>
        <row r="45">
          <cell r="G45">
            <v>32000000</v>
          </cell>
        </row>
        <row r="46">
          <cell r="G46">
            <v>1585333737</v>
          </cell>
        </row>
        <row r="47">
          <cell r="G47">
            <v>2587596648.5</v>
          </cell>
        </row>
        <row r="48">
          <cell r="G48">
            <v>3437500</v>
          </cell>
        </row>
        <row r="49">
          <cell r="G49">
            <v>159125000</v>
          </cell>
        </row>
        <row r="50">
          <cell r="G50">
            <v>2840349929</v>
          </cell>
        </row>
        <row r="51">
          <cell r="G51">
            <v>226644444</v>
          </cell>
        </row>
        <row r="52">
          <cell r="G52">
            <v>2728155000</v>
          </cell>
        </row>
        <row r="53">
          <cell r="G53">
            <v>199629461</v>
          </cell>
        </row>
        <row r="54">
          <cell r="G54">
            <v>668800000</v>
          </cell>
        </row>
        <row r="55">
          <cell r="G55">
            <v>3437500</v>
          </cell>
        </row>
        <row r="56">
          <cell r="G56">
            <v>12507006890.5</v>
          </cell>
        </row>
      </sheetData>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00.xml><?xml version="1.0" encoding="utf-8"?>
<externalLink xmlns="http://schemas.openxmlformats.org/spreadsheetml/2006/main">
  <externalBook xmlns:r="http://schemas.openxmlformats.org/officeDocument/2006/relationships" r:id="rId1">
    <sheetNames>
      <sheetName val="QTN (8%)Ppn"/>
      <sheetName val="Sheet1"/>
      <sheetName val="Sheet2"/>
      <sheetName val="Sheet3"/>
    </sheetNames>
    <sheetDataSet>
      <sheetData sheetId="0">
        <row r="27">
          <cell r="C27" t="str">
            <v>Instalation Cost :</v>
          </cell>
        </row>
        <row r="28">
          <cell r="M28">
            <v>136363636.363636</v>
          </cell>
        </row>
        <row r="29">
          <cell r="M29">
            <v>86363636.3636364</v>
          </cell>
        </row>
        <row r="31">
          <cell r="C31" t="str">
            <v>Mechanical &amp; Electrical</v>
          </cell>
        </row>
        <row r="32">
          <cell r="M32">
            <v>795454545.454545</v>
          </cell>
        </row>
        <row r="33">
          <cell r="M33">
            <v>41818181.8181818</v>
          </cell>
        </row>
        <row r="34">
          <cell r="M34">
            <v>34545454.5454545</v>
          </cell>
        </row>
        <row r="35">
          <cell r="M35">
            <v>61363636.3636364</v>
          </cell>
        </row>
        <row r="36">
          <cell r="M36">
            <v>152727272.727273</v>
          </cell>
        </row>
        <row r="38">
          <cell r="C38" t="str">
            <v>Piping</v>
          </cell>
        </row>
        <row r="39">
          <cell r="M39">
            <v>268181818.181818</v>
          </cell>
        </row>
        <row r="42">
          <cell r="C42" t="str">
            <v>Overhead Cost :</v>
          </cell>
        </row>
        <row r="43">
          <cell r="M43">
            <v>250000000</v>
          </cell>
        </row>
        <row r="44">
          <cell r="M44">
            <v>573378715</v>
          </cell>
        </row>
        <row r="45">
          <cell r="M45">
            <v>50000000</v>
          </cell>
        </row>
        <row r="46">
          <cell r="M46">
            <v>20000000</v>
          </cell>
        </row>
      </sheetData>
      <sheetData sheetId="1"/>
      <sheetData sheetId="2"/>
      <sheetData sheetId="3"/>
    </sheetDataSet>
  </externalBook>
</externalLink>
</file>

<file path=xl/externalLinks/externalLink101.xml><?xml version="1.0" encoding="utf-8"?>
<externalLink xmlns="http://schemas.openxmlformats.org/spreadsheetml/2006/main">
  <externalBook xmlns:r="http://schemas.openxmlformats.org/officeDocument/2006/relationships" r:id="rId1">
    <sheetNames>
      <sheetName val="LIST INV VENDOR (2)"/>
      <sheetName val="LIST INV VENDOR"/>
      <sheetName val="Droping MEP In &amp; Out"/>
    </sheetNames>
    <sheetDataSet>
      <sheetData sheetId="0">
        <row r="84">
          <cell r="L84">
            <v>17891027395</v>
          </cell>
        </row>
      </sheetData>
      <sheetData sheetId="1"/>
      <sheetData sheetId="2"/>
    </sheetDataSet>
  </externalBook>
</externalLink>
</file>

<file path=xl/externalLinks/externalLink102.xml><?xml version="1.0" encoding="utf-8"?>
<externalLink xmlns="http://schemas.openxmlformats.org/spreadsheetml/2006/main">
  <externalBook xmlns:r="http://schemas.openxmlformats.org/officeDocument/2006/relationships" r:id="rId1">
    <sheetNames>
      <sheetName val="OPINI"/>
      <sheetName val="Pj Cf"/>
      <sheetName val="CF arus kas"/>
      <sheetName val="LapKeu"/>
      <sheetName val="Catatan"/>
      <sheetName val="loan btn"/>
      <sheetName val="Sheet6"/>
      <sheetName val="ARtrade"/>
      <sheetName val="ws"/>
      <sheetName val="PL"/>
      <sheetName val="Aje"/>
      <sheetName val="Cover"/>
      <sheetName val="dis"/>
    </sheetNames>
    <sheetDataSet>
      <sheetData sheetId="0" refreshError="1"/>
      <sheetData sheetId="1" refreshError="1"/>
      <sheetData sheetId="2" refreshError="1"/>
      <sheetData sheetId="3" refreshError="1"/>
      <sheetData sheetId="4" refreshError="1">
        <row r="1843">
          <cell r="F1843" t="str">
            <v>PPh Pasal 21</v>
          </cell>
        </row>
        <row r="1844">
          <cell r="F1844" t="str">
            <v>PPh Pasal 25/29</v>
          </cell>
        </row>
        <row r="1845">
          <cell r="F1845" t="str">
            <v>Pajak Pertambahan Nilai (PPN)</v>
          </cell>
        </row>
        <row r="1846">
          <cell r="F1846" t="str">
            <v>PPh Pasal 23</v>
          </cell>
        </row>
        <row r="1847">
          <cell r="F1847" t="str">
            <v>PPh Pasal 4 ayat 2 Final</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3.xml><?xml version="1.0" encoding="utf-8"?>
<externalLink xmlns="http://schemas.openxmlformats.org/spreadsheetml/2006/main">
  <externalBook xmlns:r="http://schemas.openxmlformats.org/officeDocument/2006/relationships" r:id="rId1">
    <sheetNames>
      <sheetName val="2016"/>
      <sheetName val="2017 (2)"/>
      <sheetName val="2017"/>
      <sheetName val="2018"/>
      <sheetName val="2019"/>
      <sheetName val="OMSET PPN2016"/>
      <sheetName val="OMSET PPN2017"/>
      <sheetName val="OMSET 2018"/>
      <sheetName val="OMSET 2019"/>
      <sheetName val="OMSET 2020"/>
    </sheetNames>
    <sheetDataSet>
      <sheetData sheetId="0"/>
      <sheetData sheetId="1"/>
      <sheetData sheetId="2"/>
      <sheetData sheetId="3"/>
      <sheetData sheetId="4"/>
      <sheetData sheetId="5"/>
      <sheetData sheetId="6"/>
      <sheetData sheetId="7"/>
      <sheetData sheetId="8"/>
      <sheetData sheetId="9">
        <row r="24">
          <cell r="H24">
            <v>0.517110018617739</v>
          </cell>
        </row>
      </sheetData>
    </sheetDataSet>
  </externalBook>
</externalLink>
</file>

<file path=xl/externalLinks/externalLink104.xml><?xml version="1.0" encoding="utf-8"?>
<externalLink xmlns="http://schemas.openxmlformats.org/spreadsheetml/2006/main">
  <externalBook xmlns:r="http://schemas.openxmlformats.org/officeDocument/2006/relationships" r:id="rId1">
    <sheetNames>
      <sheetName val="Recap"/>
      <sheetName val="Januari"/>
      <sheetName val="February"/>
      <sheetName val="Maret"/>
      <sheetName val="April"/>
      <sheetName val="Mei"/>
      <sheetName val="Juni"/>
      <sheetName val="July"/>
      <sheetName val="Agustus"/>
      <sheetName val="September"/>
      <sheetName val="Oktober"/>
      <sheetName val="November"/>
      <sheetName val="Desember"/>
      <sheetName val="THR20"/>
    </sheetNames>
    <sheetDataSet>
      <sheetData sheetId="0"/>
      <sheetData sheetId="1">
        <row r="7">
          <cell r="AE7">
            <v>234</v>
          </cell>
        </row>
        <row r="33">
          <cell r="AE33">
            <v>44949158.2600733</v>
          </cell>
        </row>
        <row r="38">
          <cell r="AE38">
            <v>1095453011.33433</v>
          </cell>
        </row>
      </sheetData>
      <sheetData sheetId="2">
        <row r="7">
          <cell r="AE7">
            <v>233</v>
          </cell>
        </row>
        <row r="33">
          <cell r="AE33">
            <v>45264925.2761905</v>
          </cell>
        </row>
        <row r="38">
          <cell r="AE38">
            <v>1103447985.50769</v>
          </cell>
        </row>
      </sheetData>
      <sheetData sheetId="3">
        <row r="7">
          <cell r="AE7">
            <v>260</v>
          </cell>
        </row>
        <row r="33">
          <cell r="AE33">
            <v>45456556.6452381</v>
          </cell>
        </row>
        <row r="38">
          <cell r="AE38">
            <v>1177096375.29249</v>
          </cell>
        </row>
      </sheetData>
      <sheetData sheetId="4">
        <row r="7">
          <cell r="AE7">
            <v>258</v>
          </cell>
        </row>
        <row r="33">
          <cell r="AE33">
            <v>44697721.5758333</v>
          </cell>
        </row>
        <row r="38">
          <cell r="AE38">
            <v>1178268422.53772</v>
          </cell>
        </row>
      </sheetData>
      <sheetData sheetId="5">
        <row r="7">
          <cell r="AE7">
            <v>255</v>
          </cell>
        </row>
        <row r="33">
          <cell r="AE33">
            <v>0</v>
          </cell>
        </row>
        <row r="38">
          <cell r="AE38">
            <v>995085222.098168</v>
          </cell>
        </row>
      </sheetData>
      <sheetData sheetId="6">
        <row r="7">
          <cell r="AE7">
            <v>242</v>
          </cell>
        </row>
        <row r="33">
          <cell r="AE33">
            <v>0</v>
          </cell>
        </row>
        <row r="38">
          <cell r="AE38">
            <v>994696839.771795</v>
          </cell>
        </row>
      </sheetData>
      <sheetData sheetId="7">
        <row r="7">
          <cell r="AE7">
            <v>240</v>
          </cell>
        </row>
        <row r="33">
          <cell r="AE33">
            <v>0</v>
          </cell>
        </row>
        <row r="38">
          <cell r="AE38">
            <v>1010909771.563</v>
          </cell>
        </row>
      </sheetData>
      <sheetData sheetId="8">
        <row r="7">
          <cell r="AE7">
            <v>234</v>
          </cell>
        </row>
        <row r="33">
          <cell r="AE33">
            <v>58644564.1472619</v>
          </cell>
        </row>
        <row r="38">
          <cell r="AE38">
            <v>1197297940.83442</v>
          </cell>
        </row>
      </sheetData>
      <sheetData sheetId="9">
        <row r="7">
          <cell r="AE7">
            <v>239</v>
          </cell>
        </row>
        <row r="33">
          <cell r="AE33">
            <v>54984419.8615476</v>
          </cell>
        </row>
        <row r="38">
          <cell r="AE38">
            <v>1176221753.79047</v>
          </cell>
        </row>
      </sheetData>
      <sheetData sheetId="10">
        <row r="7">
          <cell r="AE7">
            <v>249</v>
          </cell>
        </row>
        <row r="33">
          <cell r="AE33">
            <v>56007254.8020238</v>
          </cell>
        </row>
        <row r="38">
          <cell r="AE38">
            <v>1192992602.23461</v>
          </cell>
        </row>
      </sheetData>
      <sheetData sheetId="11">
        <row r="7">
          <cell r="AE7">
            <v>265</v>
          </cell>
        </row>
        <row r="33">
          <cell r="AE33">
            <v>56123336.4091667</v>
          </cell>
        </row>
        <row r="38">
          <cell r="AE38">
            <v>1220517634.64944</v>
          </cell>
        </row>
      </sheetData>
      <sheetData sheetId="12">
        <row r="7">
          <cell r="AE7">
            <v>266</v>
          </cell>
        </row>
        <row r="33">
          <cell r="AE33">
            <v>56996132.1829762</v>
          </cell>
        </row>
        <row r="38">
          <cell r="AE38">
            <v>1257298453.22728</v>
          </cell>
        </row>
      </sheetData>
      <sheetData sheetId="13">
        <row r="7">
          <cell r="AE7">
            <v>260</v>
          </cell>
        </row>
        <row r="33">
          <cell r="AE33">
            <v>40420635.5758333</v>
          </cell>
        </row>
        <row r="38">
          <cell r="AE38">
            <v>1059498029.42417</v>
          </cell>
        </row>
      </sheetData>
    </sheetDataSet>
  </externalBook>
</externalLink>
</file>

<file path=xl/externalLinks/externalLink105.xml><?xml version="1.0" encoding="utf-8"?>
<externalLink xmlns="http://schemas.openxmlformats.org/spreadsheetml/2006/main">
  <externalBook xmlns:r="http://schemas.openxmlformats.org/officeDocument/2006/relationships" r:id="rId1">
    <sheetNames>
      <sheetName val="000000000"/>
      <sheetName val="AP list"/>
      <sheetName val="Monetery"/>
      <sheetName val="Cover"/>
      <sheetName val="ToC"/>
      <sheetName val="Sheet1"/>
      <sheetName val="FS-1"/>
      <sheetName val="Note1"/>
      <sheetName val="Note2"/>
      <sheetName val="PM"/>
      <sheetName val="F1"/>
      <sheetName val="F2"/>
      <sheetName val="F3"/>
      <sheetName val="F4"/>
      <sheetName val="F5"/>
      <sheetName val="F6"/>
      <sheetName val="F7"/>
      <sheetName val="JJ"/>
      <sheetName val="A"/>
      <sheetName val="A1"/>
      <sheetName val="B"/>
      <sheetName val="B1"/>
      <sheetName val="B17"/>
      <sheetName val="C"/>
      <sheetName val="D"/>
      <sheetName val="E"/>
      <sheetName val="f"/>
      <sheetName val="C1"/>
      <sheetName val="UV"/>
      <sheetName val="UVo"/>
      <sheetName val="UV1"/>
      <sheetName val="UV2"/>
      <sheetName val="BB"/>
      <sheetName val="CC"/>
      <sheetName val="DD"/>
      <sheetName val="FF"/>
      <sheetName val="FF1"/>
      <sheetName val="FF2"/>
      <sheetName val="FF3"/>
      <sheetName val="FF31"/>
      <sheetName val="FF4"/>
      <sheetName val="FF5"/>
      <sheetName val="SS"/>
      <sheetName val="10"/>
      <sheetName val="101"/>
      <sheetName val="102"/>
      <sheetName val="103"/>
      <sheetName val="20"/>
      <sheetName val="40"/>
      <sheetName val="401"/>
      <sheetName val="50"/>
      <sheetName val="60"/>
      <sheetName val="Perhitungan Fiskal"/>
      <sheetName val="Audit Isu"/>
      <sheetName val="vo b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row r="2">
          <cell r="B2" t="str">
            <v>KAP S MANNAN, ARDIANSYAH &amp; REKAN</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06.xml><?xml version="1.0" encoding="utf-8"?>
<externalLink xmlns="http://schemas.openxmlformats.org/spreadsheetml/2006/main">
  <externalBook xmlns:r="http://schemas.openxmlformats.org/officeDocument/2006/relationships" r:id="rId1">
    <sheetNames>
      <sheetName val="000000000"/>
      <sheetName val="Cover"/>
      <sheetName val="ToC"/>
      <sheetName val="FS-1"/>
      <sheetName val="Note1"/>
      <sheetName val="Note2"/>
      <sheetName val="PM"/>
      <sheetName val="F1"/>
      <sheetName val="F2"/>
      <sheetName val="F3"/>
      <sheetName val="F4"/>
      <sheetName val="F5"/>
      <sheetName val="F6"/>
      <sheetName val="F7"/>
      <sheetName val="JJ"/>
      <sheetName val="A"/>
      <sheetName val="B"/>
      <sheetName val="B-1"/>
      <sheetName val="C"/>
      <sheetName val="D"/>
      <sheetName val="D-1"/>
      <sheetName val="Z"/>
      <sheetName val="L"/>
      <sheetName val="UV"/>
      <sheetName val="BB"/>
      <sheetName val="FF"/>
      <sheetName val="FF-1"/>
      <sheetName val="FF-2"/>
      <sheetName val="FF-3"/>
      <sheetName val="Vouching Pph 4 Ayat (2)"/>
      <sheetName val="PPh 25"/>
      <sheetName val="FF-4"/>
      <sheetName val="SS"/>
      <sheetName val="10"/>
      <sheetName val="20"/>
      <sheetName val="40"/>
      <sheetName val="40-1"/>
      <sheetName val="40-2"/>
      <sheetName val="40-3"/>
      <sheetName val="40-4"/>
      <sheetName val="50"/>
      <sheetName val="prepaid"/>
      <sheetName val="OTHER EXP"/>
      <sheetName val="AR"/>
      <sheetName val="OTHER INC&amp;EXP"/>
      <sheetName val="RENT&amp;TRAVEL"/>
      <sheetName val="Salary Payble"/>
      <sheetName val="Audit Isu"/>
      <sheetName val="SALARY"/>
      <sheetName val="Telco&amp;Prof Fee"/>
      <sheetName val="UTLTY"/>
      <sheetName val="SALES"/>
      <sheetName val="AP1"/>
      <sheetName val="AP2"/>
      <sheetName val="AP USD"/>
      <sheetName val="PPH 26"/>
      <sheetName val="Sheet1"/>
      <sheetName val="vouching PPH 2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2">
          <cell r="I12">
            <v>0</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107.xml><?xml version="1.0" encoding="utf-8"?>
<externalLink xmlns="http://schemas.openxmlformats.org/spreadsheetml/2006/main">
  <externalBook xmlns:r="http://schemas.openxmlformats.org/officeDocument/2006/relationships" r:id="rId1">
    <sheetNames>
      <sheetName val="SS"/>
      <sheetName val="5. IGA Okt 2018"/>
      <sheetName val="4. IGA Mei 2017"/>
      <sheetName val="3. IGA Maret 2017"/>
      <sheetName val="2. IGA Juni 2013"/>
      <sheetName val="1. IGA Aug 2011 "/>
    </sheetNames>
    <sheetDataSet>
      <sheetData sheetId="0"/>
      <sheetData sheetId="1">
        <row r="17">
          <cell r="G17">
            <v>44000</v>
          </cell>
        </row>
        <row r="18">
          <cell r="G18">
            <v>33000</v>
          </cell>
        </row>
        <row r="19">
          <cell r="G19">
            <v>33000</v>
          </cell>
        </row>
      </sheetData>
      <sheetData sheetId="2"/>
      <sheetData sheetId="3"/>
      <sheetData sheetId="4"/>
      <sheetData sheetId="5"/>
    </sheetDataSet>
  </externalBook>
</externalLink>
</file>

<file path=xl/externalLinks/externalLink108.xml><?xml version="1.0" encoding="utf-8"?>
<externalLink xmlns="http://schemas.openxmlformats.org/spreadsheetml/2006/main">
  <externalBook xmlns:r="http://schemas.openxmlformats.org/officeDocument/2006/relationships" r:id="rId1">
    <sheetNames>
      <sheetName val="Neraca 22-21"/>
      <sheetName val="RL22-21"/>
      <sheetName val="CALK"/>
      <sheetName val="Neraca22"/>
      <sheetName val="RL22"/>
      <sheetName val="Neraca21"/>
      <sheetName val="RL21"/>
      <sheetName val="Sheet3"/>
    </sheetNames>
    <sheetDataSet>
      <sheetData sheetId="0"/>
      <sheetData sheetId="1">
        <row r="13">
          <cell r="F13">
            <v>7474615452.8796</v>
          </cell>
        </row>
      </sheetData>
      <sheetData sheetId="2">
        <row r="238">
          <cell r="G238">
            <v>781927600</v>
          </cell>
        </row>
      </sheetData>
      <sheetData sheetId="3"/>
      <sheetData sheetId="4"/>
      <sheetData sheetId="5"/>
      <sheetData sheetId="6"/>
      <sheetData sheetId="7"/>
    </sheetDataSet>
  </externalBook>
</externalLink>
</file>

<file path=xl/externalLinks/externalLink109.xml><?xml version="1.0" encoding="utf-8"?>
<externalLink xmlns="http://schemas.openxmlformats.org/spreadsheetml/2006/main">
  <externalBook xmlns:r="http://schemas.openxmlformats.org/officeDocument/2006/relationships" r:id="rId1">
    <sheetNames>
      <sheetName val="SUMMARY INV"/>
      <sheetName val="Progress PT IGA TAX"/>
    </sheetNames>
    <sheetDataSet>
      <sheetData sheetId="0">
        <row r="8">
          <cell r="D8">
            <v>42376255894</v>
          </cell>
        </row>
        <row r="9">
          <cell r="E9">
            <v>932277629.668</v>
          </cell>
        </row>
      </sheetData>
      <sheetData sheetId="1"/>
    </sheetDataSet>
  </externalBook>
</externalLink>
</file>

<file path=xl/externalLinks/externalLink110.xml><?xml version="1.0" encoding="utf-8"?>
<externalLink xmlns="http://schemas.openxmlformats.org/spreadsheetml/2006/main">
  <externalBook xmlns:r="http://schemas.openxmlformats.org/officeDocument/2006/relationships" r:id="rId1">
    <sheetNames>
      <sheetName val="Neraca22"/>
      <sheetName val="CALK"/>
      <sheetName val="RL22"/>
      <sheetName val="Neraca21"/>
      <sheetName val="RL21"/>
      <sheetName val="Sheet3"/>
    </sheetNames>
    <sheetDataSet>
      <sheetData sheetId="0" refreshError="1"/>
      <sheetData sheetId="1" refreshError="1"/>
      <sheetData sheetId="2" refreshError="1"/>
      <sheetData sheetId="3" refreshError="1"/>
      <sheetData sheetId="4">
        <row r="19">
          <cell r="G19">
            <v>3061286269</v>
          </cell>
        </row>
      </sheetData>
      <sheetData sheetId="5" refreshError="1"/>
    </sheetDataSet>
  </externalBook>
</externalLink>
</file>

<file path=xl/externalLinks/externalLink111.xml><?xml version="1.0" encoding="utf-8"?>
<externalLink xmlns="http://schemas.openxmlformats.org/spreadsheetml/2006/main">
  <externalBook xmlns:r="http://schemas.openxmlformats.org/officeDocument/2006/relationships" r:id="rId1">
    <sheetNames>
      <sheetName val="BOQ PROG. MANDIRI (2)"/>
      <sheetName val="Progress PT IGA TAX (2)"/>
      <sheetName val="Progress PT IGA TAX"/>
      <sheetName val="BOQ Progress PT IGA"/>
      <sheetName val="COVER"/>
      <sheetName val="Sheet1"/>
      <sheetName val="Dashboard Pekerjaan"/>
      <sheetName val="PROC EL,INST,PIP"/>
      <sheetName val="S Curve"/>
      <sheetName val="S Curve Asuransi"/>
      <sheetName val="SHIP And Transp"/>
      <sheetName val="SHIP&amp;TRANS."/>
      <sheetName val="PROCUREMENT STATUS"/>
      <sheetName val="CIV Prep."/>
      <sheetName val="CIV"/>
      <sheetName val="SS"/>
      <sheetName val="PIP"/>
      <sheetName val="MEC"/>
      <sheetName val="El &amp; Ins"/>
      <sheetName val="PRE &amp; COM."/>
      <sheetName val="Documentasi"/>
      <sheetName val="S Curve Mandiri"/>
      <sheetName val="BOQ PROG. MANDIRI"/>
      <sheetName val="S Curve PT IGA"/>
    </sheetNames>
    <sheetDataSet>
      <sheetData sheetId="0" refreshError="1"/>
      <sheetData sheetId="1" refreshError="1"/>
      <sheetData sheetId="2" refreshError="1"/>
      <sheetData sheetId="3" refreshError="1"/>
      <sheetData sheetId="4" refreshError="1"/>
      <sheetData sheetId="5" refreshError="1"/>
      <sheetData sheetId="6" refreshError="1">
        <row r="81">
          <cell r="BZ81">
            <v>0.766359571273189</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12.xml><?xml version="1.0" encoding="utf-8"?>
<externalLink xmlns="http://schemas.openxmlformats.org/spreadsheetml/2006/main">
  <externalBook xmlns:r="http://schemas.openxmlformats.org/officeDocument/2006/relationships" r:id="rId1">
    <sheetNames>
      <sheetName val="Sheet1"/>
    </sheetNames>
    <sheetDataSet>
      <sheetData sheetId="0" refreshError="1">
        <row r="292">
          <cell r="E292" t="str">
            <v>Beban Administrasi Bank</v>
          </cell>
        </row>
      </sheetData>
    </sheetDataSet>
  </externalBook>
</externalLink>
</file>

<file path=xl/ink/ink1.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traceFormat>
        <inkml:channelProperties>
          <inkml:channelProperty channel="X" name="resolution" value="1000" units="1/cm"/>
          <inkml:channelProperty channel="Y" name="resolution" value="1000" units="1/cm"/>
        </inkml:channelProperties>
      </inkml:inkSource>
      <inkml:timestamp xml:id="ts0" timeString="2023-10-24T11:13:58"/>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22,'602'0,"-494"-9,0-1,-47 9,-7 0,0 1,65 10,-102-6,0 1,26 11,-28-10,1-1,-1 0,20 3,166 13,-123-15,-43-3</inkml:trace>
</inkml:ink>
</file>

<file path=xl/ink/ink2.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traceFormat>
        <inkml:channelProperties>
          <inkml:channelProperty channel="X" name="resolution" value="1000" units="1/cm"/>
          <inkml:channelProperty channel="Y" name="resolution" value="1000" units="1/cm"/>
        </inkml:channelProperties>
      </inkml:inkSource>
      <inkml:timestamp xml:id="ts0" timeString="2023-10-24T11:14:00"/>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35,'2'0,"29"0,45 0,45 0,32 0,24 0,4-6,-3-2,-18 0,-29 2,-35 2,-33 1</inkml:trace>
</inkml:ink>
</file>

<file path=xl/ink/ink3.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traceFormat>
        <inkml:channelProperties>
          <inkml:channelProperty channel="X" name="resolution" value="1000" units="1/cm"/>
          <inkml:channelProperty channel="Y" name="resolution" value="1000" units="1/cm"/>
        </inkml:channelProperties>
      </inkml:inkSource>
      <inkml:timestamp xml:id="ts0" timeString="2023-10-24T11:14:0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68,'0'-1,"0"1,0-1,0 1,0-1,1 1,-1-1,0 1,0-1,1 1,-1 0,0-1,1 1,-1-1,0 1,1 0,-1-1,1 1,-1 0,0 0,1-1,-1 1,1 0,-1 0,1-1,-1 1,1 0,0 0,18-3,-16 3,92-6,133 8,-187 2,1 2,73 21,14 2,-78-24,-1-2,74-5,-29 0,42-8,-59 3,272-30,-343 36,0 0,0 0,0 0,0-1,13-5,-17 6,-1 0,0-1,0 1,1 0,-1-1,0 0,0 1,0-1,-1 0,1 0,0 0,-1 0,1 0,-1 0,0-1,1 1,-1 0,0-1,0-3,2-6</inkml:trace>
</inkml:ink>
</file>

<file path=xl/ink/ink4.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traceFormat>
        <inkml:channelProperties>
          <inkml:channelProperty channel="X" name="resolution" value="1000" units="1/cm"/>
          <inkml:channelProperty channel="Y" name="resolution" value="1000" units="1/cm"/>
        </inkml:channelProperties>
      </inkml:inkSource>
      <inkml:timestamp xml:id="ts0" timeString="2023-10-24T11:14:03"/>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11,'0'-1,"0"1,0-1,0 1,0-1,0 1,1-1,-1 1,0 0,0-1,1 1,-1-1,0 1,0-1,1 1,-1 0,1-1,-1 1,0 0,1-1,-1 1,1 0,-1 0,0-1,1 1,-1 0,1 0,-1 0,1 0,-1-1,1 1,-1 0,1 0,-1 0,1 0,-1 0,1 0,0 1,26 2,-23-2,205 41,60 10,-158-33,286 53,-295-48,182 69,-205-64,-62-23</inkml:trace>
</inkml:ink>
</file>

<file path=xl/ink/ink5.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traceFormat>
        <inkml:channelProperties>
          <inkml:channelProperty channel="X" name="resolution" value="1000" units="1/cm"/>
          <inkml:channelProperty channel="Y" name="resolution" value="1000" units="1/cm"/>
        </inkml:channelProperties>
      </inkml:inkSource>
      <inkml:timestamp xml:id="ts0" timeString="2023-10-24T11:14:0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38,'9'-1,"0"0,-1-1,1 0,0 0,8-4,21-5,20 4,1 2,103 4,-74 3,-76-2</inkml:trace>
</inkml:ink>
</file>

<file path=xl/ink/ink6.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traceFormat>
        <inkml:channelProperties>
          <inkml:channelProperty channel="X" name="resolution" value="1000" units="1/cm"/>
          <inkml:channelProperty channel="Y" name="resolution" value="1000" units="1/cm"/>
        </inkml:channelProperties>
      </inkml:inkSource>
      <inkml:timestamp xml:id="ts0" timeString="2023-10-24T11:14:06"/>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1 318,'0'-1,"0"1,0-1,1 0,-1 1,0-1,0 1,1-1,-1 1,0-1,1 1,-1-1,1 1,-1-1,1 1,-1-1,1 1,-1 0,1-1,-1 1,1 0,-1-1,1 1,0 0,-1 0,1-1,-1 1,1 0,1 0,23-3,-17 2,96-16,0-5,106-37,-73 20,-88 26,-21 7,-1-2,0 0,30-15,-36 11,-17 9,1 0,0 1,0-1,0 1,0 0,0 0,0 1,1 0,5-1,167-16,28-2,46 1,-245 19,-2 0,0-1,0 1,0-1,0 0,0 0,0 0,5-3,3-4</inkml:trace>
</inkml:ink>
</file>

<file path=xl/ink/ink7.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traceFormat>
        <inkml:channelProperties>
          <inkml:channelProperty channel="X" name="resolution" value="1000" units="1/cm"/>
          <inkml:channelProperty channel="Y" name="resolution" value="1000" units="1/cm"/>
        </inkml:channelProperties>
      </inkml:inkSource>
      <inkml:timestamp xml:id="ts0" timeString="2023-10-24T11:14:09"/>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0 19,'1'1,"-1"1,0-1,1 0,-1 0,1 1,-1-1,1 0,0 0,0 0,-1 1,1-1,0 0,0 0,0 0,0-1,0 1,0 0,0 0,0 0,1-1,-1 1,2 0,31 12,-29-11,26 7,1-2,0-1,56 3,102-7,-75-9,141-27,-2-2,406 23,-605 16,0 3,-1 2,64 18,-72-15,89 8,-76-11,-32-3,30 1,-49-6,-1 0,1 0,-1-1,1 0,-1 0,1-1,-1 0,12-5,-15 5,0 0,0-1,0 0,-1 0,1 0,-1 0,0-1,0 1,0-1,4-6,11-18</inkml:trace>
</inkml:ink>
</file>

<file path=xl/ink/ink8.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traceFormat>
        <inkml:channelProperties>
          <inkml:channelProperty channel="X" name="resolution" value="1000" units="1/cm"/>
          <inkml:channelProperty channel="Y" name="resolution" value="1000" units="1/cm"/>
        </inkml:channelProperties>
      </inkml:inkSource>
      <inkml:timestamp xml:id="ts0" timeString="2023-10-24T11:14:11"/>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67,'440'-28,"-187"6,184 5,-327 19,216 32,-285-25,-1 1,46 19,73 38,19 7,6-18,-154-49,0-2,1-1,0-1,40-2,-48 0,0 0,0 1,24 7,21 1,205 3,-66-7,256 2,-307-9,-111-2,-1-1,0-3,48-13,9-1,119-24,-217 44,-1 1,0 0,0-1,0 0,1 1,-1-1,0 0,0 0,0 0,0 0,0 0,0-1,-1 1,1-1,0 1,-1-1,1 0,-1 1,1-1,-1 0,0 0,0 0,0 0,0 0,0 0,0 0,-1 0,1-1,-1 1,1 0,-1 0,0-1,0 1,0 0,0 0,-1-3,-2-13</inkml:trace>
</inkml:ink>
</file>

<file path=xl/ink/ink9.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traceFormat>
        <inkml:channelProperties>
          <inkml:channelProperty channel="X" name="resolution" value="1000" units="1/cm"/>
          <inkml:channelProperty channel="Y" name="resolution" value="1000" units="1/cm"/>
        </inkml:channelProperties>
      </inkml:inkSource>
      <inkml:timestamp xml:id="ts0" timeString="2023-10-24T11:14:13"/>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1,'2'0,"11"0,15 0,8 0,5 0,1 0,-4 3,-5 1,7-1,14 0,19-1,22 0,6-5,-14 0</inkml:trace>
</inkml:ink>
</file>

<file path=xl/ink/ink10.xml><?xml version="1.0" encoding="utf-8"?>
<inkml:ink xmlns:inkml="http://www.w3.org/2003/InkML">
  <inkml:definitions>
    <inkml:context xml:id="ctx0">
      <inkml:inkSource xml:id="inkSrc0">
        <inkml:traceFormat>
          <inkml:channel name="X" type="integer" max="2147480000" min="-2147480000" units="cm"/>
          <inkml:channel name="Y" type="integer" max="2147480000" min="-2147480000" units="cm"/>
        </inkml:traceFormat>
        <inkml:channelProperties>
          <inkml:channelProperty channel="X" name="resolution" value="1000" units="1/cm"/>
          <inkml:channelProperty channel="Y" name="resolution" value="1000" units="1/cm"/>
        </inkml:channelProperties>
      </inkml:inkSource>
      <inkml:timestamp xml:id="ts0" timeString="2023-10-24T11:14:18"/>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1 107,'4'1,"1"0,0 0,-1 0,1 1,-1-1,1 1,5 4,9 3,-1-3,0 0,1-2,-1 0,28 2,77-2,-59-4,228 24,-226-13,0 2,88 31,-133-38,1-1,-1-1,1-1,0-1,23-1,-7 0,79 5,193 13,-284-14,-1 0,0 1,0 1,0 2,25 12,-24-10,1 0,-1-2,51 10,-49-15,1-1,31-2,-49-1,0-1,-1 0,1-1,-1 0,1 0,-1-1,1-1,17-8,15-14,-22 13,1 1,45-19,60-6,-82 26,0-2,73-32,-118 44,24-11,0 1,0 0,0 2,44-10,118-30,-57 12,53 6,-121 23,6 2,123 4,-95 4,-81-1,-1 0,1 1,0 0,-1 1,0 1,0 0,0 1,13 6,6 1,2-1,-1-2,1-1,53 4,1-7,-63-5,0 2,-1 0,1 1,-1 2,43 12,-35-6,0-2,40 6,-33-8,37 12,-45-10,1-1,-1-2,64 4,100-10,-84-2,-23 1,99 2,-167 3,-1 0,0 1,0 0,-1 2,0 0,23 13,-8-4,-27-14,203 84,-179-77,1 0,0-2,0-1,1-2,36 1,-26-5,186 9,-218-8,21 2,-29-3,-1 0,1 0,0 0,-1-1,1 1,-1 0,1-1,0 1,-1 0,1-1,-1 0,1 1,-1-1,2-2,-2 3,-1 0,0 0,0 0,0 0,0 0,0-1,0 1,0 0,0 0,0 0,1 0,-1-1,0 1,0 0,0 0,0 0,0-1,0 1,0 0,0 0,0 0,0 0,0-1,-1 1,1 0,0 0,0 0,0 0,0-1,0 1,0 0,0 0,0 0,0 0,-1 0,1-1,0 1,0 0,0 0,0 0,-1 0,-10-7,-12-1,23 8,-55-13,-1 2,-100-5,98 12,0-2,-92-23,-137-66,262 86,0 1,0 1,0 1,-52-4,49 8,1 1,-1 1,1 2,0 0,-1 2,1 1,1 2,-37 12,-107 45,131-52,0-2,-61 7,86-15,0 0,0 1,1 1,-1 0,1 1,0 0,0 1,0 1,-13 9,7-5,-2 0,1-1,-1-1,-1-1,-34 8,7-6,-74 4,-336 45,315-24,-48 9,147-36,1 2,0 1,1 3,-73 33,9-6,13-5,89-34,1 0,-1 1,1-1,-1 1,1 0,0 0,0 0,0 0,0 1,1 0,0 0,-1 0,-3 6,1-5,3-13,0-23,2 15,-2 0,0 0,-1 0,-1 0,-10-21,12 29,-1 1,0 0,-1 0,0 0,0 0,0 1,-1 0,0 0,0 0,-14-9,7 8,-1 1,0 0,0 0,0 2,0-1,-1 2,0 0,0 1,0 1,0 0,-29 2,-7 3</inkml:trace>
</inkml:ink>
</file>

<file path=xl/theme/theme1.xml><?xml version="1.0" encoding="utf-8"?>
<a:theme xmlns:a="http://schemas.openxmlformats.org/drawingml/2006/main" name="Tema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8" Type="http://schemas.openxmlformats.org/officeDocument/2006/relationships/image" Target="../media/image4.emf"/><Relationship Id="rId7" Type="http://schemas.openxmlformats.org/officeDocument/2006/relationships/oleObject" Target="../embeddings/oleObject3.bin"/><Relationship Id="rId6" Type="http://schemas.openxmlformats.org/officeDocument/2006/relationships/image" Target="../media/image3.emf"/><Relationship Id="rId5" Type="http://schemas.openxmlformats.org/officeDocument/2006/relationships/oleObject" Target="../embeddings/oleObject2.bin"/><Relationship Id="rId4" Type="http://schemas.openxmlformats.org/officeDocument/2006/relationships/image" Target="../media/image2.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6" Type="http://schemas.openxmlformats.org/officeDocument/2006/relationships/image" Target="../media/image4.emf"/><Relationship Id="rId5" Type="http://schemas.openxmlformats.org/officeDocument/2006/relationships/oleObject" Target="../embeddings/oleObject5.bin"/><Relationship Id="rId4" Type="http://schemas.openxmlformats.org/officeDocument/2006/relationships/image" Target="../media/image3.emf"/><Relationship Id="rId3"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6" Type="http://schemas.openxmlformats.org/officeDocument/2006/relationships/image" Target="../media/image4.emf"/><Relationship Id="rId5" Type="http://schemas.openxmlformats.org/officeDocument/2006/relationships/oleObject" Target="../embeddings/oleObject7.bin"/><Relationship Id="rId4" Type="http://schemas.openxmlformats.org/officeDocument/2006/relationships/image" Target="../media/image3.emf"/><Relationship Id="rId3" Type="http://schemas.openxmlformats.org/officeDocument/2006/relationships/oleObject" Target="../embeddings/oleObject6.bin"/><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8" Type="http://schemas.openxmlformats.org/officeDocument/2006/relationships/image" Target="../media/image4.emf"/><Relationship Id="rId7" Type="http://schemas.openxmlformats.org/officeDocument/2006/relationships/oleObject" Target="../embeddings/oleObject10.bin"/><Relationship Id="rId6" Type="http://schemas.openxmlformats.org/officeDocument/2006/relationships/image" Target="../media/image3.emf"/><Relationship Id="rId5" Type="http://schemas.openxmlformats.org/officeDocument/2006/relationships/oleObject" Target="../embeddings/oleObject9.bin"/><Relationship Id="rId4" Type="http://schemas.openxmlformats.org/officeDocument/2006/relationships/image" Target="../media/image2.emf"/><Relationship Id="rId3" Type="http://schemas.openxmlformats.org/officeDocument/2006/relationships/oleObject" Target="../embeddings/oleObject8.bin"/><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13.bin"/><Relationship Id="rId7" Type="http://schemas.openxmlformats.org/officeDocument/2006/relationships/image" Target="../media/image4.emf"/><Relationship Id="rId6" Type="http://schemas.openxmlformats.org/officeDocument/2006/relationships/oleObject" Target="../embeddings/oleObject12.bin"/><Relationship Id="rId5" Type="http://schemas.openxmlformats.org/officeDocument/2006/relationships/image" Target="../media/image3.emf"/><Relationship Id="rId4" Type="http://schemas.openxmlformats.org/officeDocument/2006/relationships/oleObject" Target="../embeddings/oleObject11.bin"/><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comments" Target="../comments1.xml"/></Relationships>
</file>

<file path=xl/worksheets/_rels/sheet32.xml.rels><?xml version="1.0" encoding="UTF-8" standalone="yes"?>
<Relationships xmlns="http://schemas.openxmlformats.org/package/2006/relationships"><Relationship Id="rId9" Type="http://schemas.openxmlformats.org/officeDocument/2006/relationships/oleObject" Target="../embeddings/oleObject17.bin"/><Relationship Id="rId8" Type="http://schemas.openxmlformats.org/officeDocument/2006/relationships/image" Target="../media/image4.emf"/><Relationship Id="rId7" Type="http://schemas.openxmlformats.org/officeDocument/2006/relationships/oleObject" Target="../embeddings/oleObject16.bin"/><Relationship Id="rId6" Type="http://schemas.openxmlformats.org/officeDocument/2006/relationships/image" Target="../media/image3.emf"/><Relationship Id="rId5" Type="http://schemas.openxmlformats.org/officeDocument/2006/relationships/oleObject" Target="../embeddings/oleObject15.bin"/><Relationship Id="rId4" Type="http://schemas.openxmlformats.org/officeDocument/2006/relationships/image" Target="../media/image1.emf"/><Relationship Id="rId3" Type="http://schemas.openxmlformats.org/officeDocument/2006/relationships/oleObject" Target="../embeddings/oleObject14.bin"/><Relationship Id="rId2" Type="http://schemas.openxmlformats.org/officeDocument/2006/relationships/vmlDrawing" Target="../drawings/vmlDrawing6.vml"/><Relationship Id="rId1" Type="http://schemas.openxmlformats.org/officeDocument/2006/relationships/drawing" Target="../drawings/drawing8.xml"/></Relationships>
</file>

<file path=xl/worksheets/_rels/sheet33.xml.rels><?xml version="1.0" encoding="UTF-8" standalone="yes"?>
<Relationships xmlns="http://schemas.openxmlformats.org/package/2006/relationships"><Relationship Id="rId7" Type="http://schemas.openxmlformats.org/officeDocument/2006/relationships/oleObject" Target="../embeddings/oleObject20.bin"/><Relationship Id="rId6" Type="http://schemas.openxmlformats.org/officeDocument/2006/relationships/image" Target="../media/image4.emf"/><Relationship Id="rId5" Type="http://schemas.openxmlformats.org/officeDocument/2006/relationships/oleObject" Target="../embeddings/oleObject19.bin"/><Relationship Id="rId4" Type="http://schemas.openxmlformats.org/officeDocument/2006/relationships/image" Target="../media/image3.emf"/><Relationship Id="rId3" Type="http://schemas.openxmlformats.org/officeDocument/2006/relationships/oleObject" Target="../embeddings/oleObject18.bin"/><Relationship Id="rId2" Type="http://schemas.openxmlformats.org/officeDocument/2006/relationships/vmlDrawing" Target="../drawings/vmlDrawing7.vml"/><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comments" Target="../comments2.xml"/></Relationships>
</file>

<file path=xl/worksheets/_rels/sheet44.xml.rels><?xml version="1.0" encoding="UTF-8" standalone="yes"?>
<Relationships xmlns="http://schemas.openxmlformats.org/package/2006/relationships"><Relationship Id="rId8" Type="http://schemas.openxmlformats.org/officeDocument/2006/relationships/oleObject" Target="../embeddings/oleObject24.bin"/><Relationship Id="rId7" Type="http://schemas.openxmlformats.org/officeDocument/2006/relationships/oleObject" Target="../embeddings/oleObject23.bin"/><Relationship Id="rId6" Type="http://schemas.openxmlformats.org/officeDocument/2006/relationships/image" Target="../media/image3.emf"/><Relationship Id="rId5" Type="http://schemas.openxmlformats.org/officeDocument/2006/relationships/oleObject" Target="../embeddings/oleObject22.bin"/><Relationship Id="rId4" Type="http://schemas.openxmlformats.org/officeDocument/2006/relationships/image" Target="../media/image4.emf"/><Relationship Id="rId3" Type="http://schemas.openxmlformats.org/officeDocument/2006/relationships/oleObject" Target="../embeddings/oleObject21.bin"/><Relationship Id="rId2" Type="http://schemas.openxmlformats.org/officeDocument/2006/relationships/vmlDrawing" Target="../drawings/vmlDrawing9.vml"/><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9" Type="http://schemas.openxmlformats.org/officeDocument/2006/relationships/oleObject" Target="../embeddings/oleObject28.bin"/><Relationship Id="rId8" Type="http://schemas.openxmlformats.org/officeDocument/2006/relationships/oleObject" Target="../embeddings/oleObject27.bin"/><Relationship Id="rId7" Type="http://schemas.openxmlformats.org/officeDocument/2006/relationships/image" Target="../media/image3.emf"/><Relationship Id="rId6" Type="http://schemas.openxmlformats.org/officeDocument/2006/relationships/oleObject" Target="../embeddings/oleObject26.bin"/><Relationship Id="rId5" Type="http://schemas.openxmlformats.org/officeDocument/2006/relationships/image" Target="../media/image4.emf"/><Relationship Id="rId4" Type="http://schemas.openxmlformats.org/officeDocument/2006/relationships/oleObject" Target="../embeddings/oleObject25.bin"/><Relationship Id="rId3" Type="http://schemas.openxmlformats.org/officeDocument/2006/relationships/vmlDrawing" Target="../drawings/vmlDrawing10.vml"/><Relationship Id="rId2" Type="http://schemas.openxmlformats.org/officeDocument/2006/relationships/drawing" Target="../drawings/drawing12.xml"/><Relationship Id="rId10" Type="http://schemas.openxmlformats.org/officeDocument/2006/relationships/oleObject" Target="../embeddings/oleObject29.bin"/><Relationship Id="rId1" Type="http://schemas.openxmlformats.org/officeDocument/2006/relationships/comments" Target="../comments3.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52.xml.rels><?xml version="1.0" encoding="UTF-8" standalone="yes"?>
<Relationships xmlns="http://schemas.openxmlformats.org/package/2006/relationships"><Relationship Id="rId9" Type="http://schemas.openxmlformats.org/officeDocument/2006/relationships/oleObject" Target="../embeddings/oleObject34.bin"/><Relationship Id="rId8" Type="http://schemas.openxmlformats.org/officeDocument/2006/relationships/oleObject" Target="../embeddings/oleObject33.bin"/><Relationship Id="rId7" Type="http://schemas.openxmlformats.org/officeDocument/2006/relationships/oleObject" Target="../embeddings/oleObject32.bin"/><Relationship Id="rId6" Type="http://schemas.openxmlformats.org/officeDocument/2006/relationships/image" Target="../media/image3.emf"/><Relationship Id="rId5" Type="http://schemas.openxmlformats.org/officeDocument/2006/relationships/oleObject" Target="../embeddings/oleObject31.bin"/><Relationship Id="rId4" Type="http://schemas.openxmlformats.org/officeDocument/2006/relationships/image" Target="../media/image4.emf"/><Relationship Id="rId3" Type="http://schemas.openxmlformats.org/officeDocument/2006/relationships/oleObject" Target="../embeddings/oleObject30.bin"/><Relationship Id="rId2" Type="http://schemas.openxmlformats.org/officeDocument/2006/relationships/vmlDrawing" Target="../drawings/vmlDrawing11.vml"/><Relationship Id="rId1" Type="http://schemas.openxmlformats.org/officeDocument/2006/relationships/drawing" Target="../drawings/drawing15.xml"/></Relationships>
</file>

<file path=xl/worksheets/_rels/sheet53.xml.rels><?xml version="1.0" encoding="UTF-8" standalone="yes"?>
<Relationships xmlns="http://schemas.openxmlformats.org/package/2006/relationships"><Relationship Id="rId9" Type="http://schemas.openxmlformats.org/officeDocument/2006/relationships/oleObject" Target="../embeddings/oleObject38.bin"/><Relationship Id="rId8" Type="http://schemas.openxmlformats.org/officeDocument/2006/relationships/oleObject" Target="../embeddings/oleObject37.bin"/><Relationship Id="rId7" Type="http://schemas.openxmlformats.org/officeDocument/2006/relationships/image" Target="../media/image3.emf"/><Relationship Id="rId6" Type="http://schemas.openxmlformats.org/officeDocument/2006/relationships/oleObject" Target="../embeddings/oleObject36.bin"/><Relationship Id="rId5" Type="http://schemas.openxmlformats.org/officeDocument/2006/relationships/image" Target="../media/image4.emf"/><Relationship Id="rId4" Type="http://schemas.openxmlformats.org/officeDocument/2006/relationships/oleObject" Target="../embeddings/oleObject35.bin"/><Relationship Id="rId3" Type="http://schemas.openxmlformats.org/officeDocument/2006/relationships/vmlDrawing" Target="../drawings/vmlDrawing12.vml"/><Relationship Id="rId2" Type="http://schemas.openxmlformats.org/officeDocument/2006/relationships/drawing" Target="../drawings/drawing16.xml"/><Relationship Id="rId1" Type="http://schemas.openxmlformats.org/officeDocument/2006/relationships/comments" Target="../comments4.xml"/></Relationships>
</file>

<file path=xl/worksheets/_rels/sheet54.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comments" Target="../comments5.xml"/></Relationships>
</file>

<file path=xl/worksheets/_rels/sheet55.xml.rels><?xml version="1.0" encoding="UTF-8" standalone="yes"?>
<Relationships xmlns="http://schemas.openxmlformats.org/package/2006/relationships"><Relationship Id="rId9" Type="http://schemas.openxmlformats.org/officeDocument/2006/relationships/oleObject" Target="../embeddings/oleObject42.bin"/><Relationship Id="rId8" Type="http://schemas.openxmlformats.org/officeDocument/2006/relationships/oleObject" Target="../embeddings/oleObject41.bin"/><Relationship Id="rId7" Type="http://schemas.openxmlformats.org/officeDocument/2006/relationships/image" Target="../media/image3.emf"/><Relationship Id="rId6" Type="http://schemas.openxmlformats.org/officeDocument/2006/relationships/oleObject" Target="../embeddings/oleObject40.bin"/><Relationship Id="rId5" Type="http://schemas.openxmlformats.org/officeDocument/2006/relationships/image" Target="../media/image4.emf"/><Relationship Id="rId4" Type="http://schemas.openxmlformats.org/officeDocument/2006/relationships/oleObject" Target="../embeddings/oleObject39.bin"/><Relationship Id="rId3" Type="http://schemas.openxmlformats.org/officeDocument/2006/relationships/vmlDrawing" Target="../drawings/vmlDrawing14.vml"/><Relationship Id="rId2" Type="http://schemas.openxmlformats.org/officeDocument/2006/relationships/drawing" Target="../drawings/drawing17.xml"/><Relationship Id="rId12" Type="http://schemas.openxmlformats.org/officeDocument/2006/relationships/oleObject" Target="../embeddings/oleObject45.bin"/><Relationship Id="rId11" Type="http://schemas.openxmlformats.org/officeDocument/2006/relationships/oleObject" Target="../embeddings/oleObject44.bin"/><Relationship Id="rId10" Type="http://schemas.openxmlformats.org/officeDocument/2006/relationships/oleObject" Target="../embeddings/oleObject43.bin"/><Relationship Id="rId1" Type="http://schemas.openxmlformats.org/officeDocument/2006/relationships/comments" Target="../comments6.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49.bin"/><Relationship Id="rId7" Type="http://schemas.openxmlformats.org/officeDocument/2006/relationships/oleObject" Target="../embeddings/oleObject48.bin"/><Relationship Id="rId6" Type="http://schemas.openxmlformats.org/officeDocument/2006/relationships/image" Target="../media/image3.emf"/><Relationship Id="rId5" Type="http://schemas.openxmlformats.org/officeDocument/2006/relationships/oleObject" Target="../embeddings/oleObject47.bin"/><Relationship Id="rId4" Type="http://schemas.openxmlformats.org/officeDocument/2006/relationships/image" Target="../media/image4.emf"/><Relationship Id="rId3" Type="http://schemas.openxmlformats.org/officeDocument/2006/relationships/oleObject" Target="../embeddings/oleObject46.bin"/><Relationship Id="rId2" Type="http://schemas.openxmlformats.org/officeDocument/2006/relationships/vmlDrawing" Target="../drawings/vmlDrawing15.vml"/><Relationship Id="rId1" Type="http://schemas.openxmlformats.org/officeDocument/2006/relationships/drawing" Target="../drawings/drawing19.xml"/></Relationships>
</file>

<file path=xl/worksheets/_rels/sheet58.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comments" Target="../comments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60.xml.rels><?xml version="1.0" encoding="UTF-8" standalone="yes"?>
<Relationships xmlns="http://schemas.openxmlformats.org/package/2006/relationships"><Relationship Id="rId8" Type="http://schemas.openxmlformats.org/officeDocument/2006/relationships/oleObject" Target="../embeddings/oleObject53.bin"/><Relationship Id="rId7" Type="http://schemas.openxmlformats.org/officeDocument/2006/relationships/oleObject" Target="../embeddings/oleObject52.bin"/><Relationship Id="rId6" Type="http://schemas.openxmlformats.org/officeDocument/2006/relationships/image" Target="../media/image3.emf"/><Relationship Id="rId5" Type="http://schemas.openxmlformats.org/officeDocument/2006/relationships/oleObject" Target="../embeddings/oleObject51.bin"/><Relationship Id="rId4" Type="http://schemas.openxmlformats.org/officeDocument/2006/relationships/image" Target="../media/image4.emf"/><Relationship Id="rId3" Type="http://schemas.openxmlformats.org/officeDocument/2006/relationships/oleObject" Target="../embeddings/oleObject50.bin"/><Relationship Id="rId2" Type="http://schemas.openxmlformats.org/officeDocument/2006/relationships/vmlDrawing" Target="../drawings/vmlDrawing17.vml"/><Relationship Id="rId1" Type="http://schemas.openxmlformats.org/officeDocument/2006/relationships/drawing" Target="../drawings/drawing21.xml"/></Relationships>
</file>

<file path=xl/worksheets/_rels/sheet61.xml.rels><?xml version="1.0" encoding="UTF-8" standalone="yes"?>
<Relationships xmlns="http://schemas.openxmlformats.org/package/2006/relationships"><Relationship Id="rId8" Type="http://schemas.openxmlformats.org/officeDocument/2006/relationships/oleObject" Target="../embeddings/oleObject57.bin"/><Relationship Id="rId7" Type="http://schemas.openxmlformats.org/officeDocument/2006/relationships/oleObject" Target="../embeddings/oleObject56.bin"/><Relationship Id="rId6" Type="http://schemas.openxmlformats.org/officeDocument/2006/relationships/image" Target="../media/image3.emf"/><Relationship Id="rId5" Type="http://schemas.openxmlformats.org/officeDocument/2006/relationships/oleObject" Target="../embeddings/oleObject55.bin"/><Relationship Id="rId4" Type="http://schemas.openxmlformats.org/officeDocument/2006/relationships/image" Target="../media/image4.emf"/><Relationship Id="rId3" Type="http://schemas.openxmlformats.org/officeDocument/2006/relationships/oleObject" Target="../embeddings/oleObject54.bin"/><Relationship Id="rId2" Type="http://schemas.openxmlformats.org/officeDocument/2006/relationships/vmlDrawing" Target="../drawings/vmlDrawing18.vml"/><Relationship Id="rId1" Type="http://schemas.openxmlformats.org/officeDocument/2006/relationships/drawing" Target="../drawings/drawing22.xml"/></Relationships>
</file>

<file path=xl/worksheets/_rels/sheet63.xml.rels><?xml version="1.0" encoding="UTF-8" standalone="yes"?>
<Relationships xmlns="http://schemas.openxmlformats.org/package/2006/relationships"><Relationship Id="rId9" Type="http://schemas.openxmlformats.org/officeDocument/2006/relationships/oleObject" Target="../embeddings/oleObject61.bin"/><Relationship Id="rId8" Type="http://schemas.openxmlformats.org/officeDocument/2006/relationships/image" Target="../media/image3.emf"/><Relationship Id="rId7" Type="http://schemas.openxmlformats.org/officeDocument/2006/relationships/oleObject" Target="../embeddings/oleObject60.bin"/><Relationship Id="rId6" Type="http://schemas.openxmlformats.org/officeDocument/2006/relationships/image" Target="../media/image4.emf"/><Relationship Id="rId5" Type="http://schemas.openxmlformats.org/officeDocument/2006/relationships/oleObject" Target="../embeddings/oleObject59.bin"/><Relationship Id="rId4" Type="http://schemas.openxmlformats.org/officeDocument/2006/relationships/image" Target="../media/image1.emf"/><Relationship Id="rId3" Type="http://schemas.openxmlformats.org/officeDocument/2006/relationships/oleObject" Target="../embeddings/oleObject58.bin"/><Relationship Id="rId2" Type="http://schemas.openxmlformats.org/officeDocument/2006/relationships/vmlDrawing" Target="../drawings/vmlDrawing19.vml"/><Relationship Id="rId1" Type="http://schemas.openxmlformats.org/officeDocument/2006/relationships/drawing" Target="../drawings/drawing23.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8.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comments" Target="../comments8.xml"/></Relationships>
</file>

<file path=xl/worksheets/_rels/sheet70.xml.rels><?xml version="1.0" encoding="UTF-8" standalone="yes"?>
<Relationships xmlns="http://schemas.openxmlformats.org/package/2006/relationships"><Relationship Id="rId9" Type="http://schemas.openxmlformats.org/officeDocument/2006/relationships/oleObject" Target="../embeddings/oleObject66.bin"/><Relationship Id="rId8" Type="http://schemas.openxmlformats.org/officeDocument/2006/relationships/oleObject" Target="../embeddings/oleObject65.bin"/><Relationship Id="rId7" Type="http://schemas.openxmlformats.org/officeDocument/2006/relationships/oleObject" Target="../embeddings/oleObject64.bin"/><Relationship Id="rId6" Type="http://schemas.openxmlformats.org/officeDocument/2006/relationships/image" Target="../media/image3.emf"/><Relationship Id="rId5" Type="http://schemas.openxmlformats.org/officeDocument/2006/relationships/oleObject" Target="../embeddings/oleObject63.bin"/><Relationship Id="rId4" Type="http://schemas.openxmlformats.org/officeDocument/2006/relationships/image" Target="../media/image4.emf"/><Relationship Id="rId3" Type="http://schemas.openxmlformats.org/officeDocument/2006/relationships/oleObject" Target="../embeddings/oleObject62.bin"/><Relationship Id="rId2" Type="http://schemas.openxmlformats.org/officeDocument/2006/relationships/vmlDrawing" Target="../drawings/vmlDrawing21.vml"/><Relationship Id="rId1" Type="http://schemas.openxmlformats.org/officeDocument/2006/relationships/drawing" Target="../drawings/drawing25.xml"/></Relationships>
</file>

<file path=xl/worksheets/_rels/sheet71.xml.rels><?xml version="1.0" encoding="UTF-8" standalone="yes"?>
<Relationships xmlns="http://schemas.openxmlformats.org/package/2006/relationships"><Relationship Id="rId9" Type="http://schemas.openxmlformats.org/officeDocument/2006/relationships/oleObject" Target="../embeddings/oleObject70.bin"/><Relationship Id="rId8" Type="http://schemas.openxmlformats.org/officeDocument/2006/relationships/image" Target="../media/image4.emf"/><Relationship Id="rId7" Type="http://schemas.openxmlformats.org/officeDocument/2006/relationships/oleObject" Target="../embeddings/oleObject69.bin"/><Relationship Id="rId6" Type="http://schemas.openxmlformats.org/officeDocument/2006/relationships/image" Target="../media/image3.emf"/><Relationship Id="rId5" Type="http://schemas.openxmlformats.org/officeDocument/2006/relationships/oleObject" Target="../embeddings/oleObject68.bin"/><Relationship Id="rId4" Type="http://schemas.openxmlformats.org/officeDocument/2006/relationships/image" Target="../media/image1.emf"/><Relationship Id="rId3" Type="http://schemas.openxmlformats.org/officeDocument/2006/relationships/oleObject" Target="../embeddings/oleObject67.bin"/><Relationship Id="rId2" Type="http://schemas.openxmlformats.org/officeDocument/2006/relationships/vmlDrawing" Target="../drawings/vmlDrawing22.vml"/><Relationship Id="rId1" Type="http://schemas.openxmlformats.org/officeDocument/2006/relationships/drawing" Target="../drawings/drawing26.xml"/></Relationships>
</file>

<file path=xl/worksheets/_rels/sheet72.xml.rels><?xml version="1.0" encoding="UTF-8" standalone="yes"?>
<Relationships xmlns="http://schemas.openxmlformats.org/package/2006/relationships"><Relationship Id="rId8" Type="http://schemas.openxmlformats.org/officeDocument/2006/relationships/oleObject" Target="../embeddings/oleObject74.bin"/><Relationship Id="rId7" Type="http://schemas.openxmlformats.org/officeDocument/2006/relationships/oleObject" Target="../embeddings/oleObject73.bin"/><Relationship Id="rId6" Type="http://schemas.openxmlformats.org/officeDocument/2006/relationships/image" Target="../media/image3.emf"/><Relationship Id="rId5" Type="http://schemas.openxmlformats.org/officeDocument/2006/relationships/oleObject" Target="../embeddings/oleObject72.bin"/><Relationship Id="rId4" Type="http://schemas.openxmlformats.org/officeDocument/2006/relationships/image" Target="../media/image4.emf"/><Relationship Id="rId3" Type="http://schemas.openxmlformats.org/officeDocument/2006/relationships/oleObject" Target="../embeddings/oleObject71.bin"/><Relationship Id="rId2" Type="http://schemas.openxmlformats.org/officeDocument/2006/relationships/vmlDrawing" Target="../drawings/vmlDrawing23.vml"/><Relationship Id="rId1" Type="http://schemas.openxmlformats.org/officeDocument/2006/relationships/drawing" Target="../drawings/drawing27.xml"/></Relationships>
</file>

<file path=xl/worksheets/_rels/sheet74.xml.rels><?xml version="1.0" encoding="UTF-8" standalone="yes"?>
<Relationships xmlns="http://schemas.openxmlformats.org/package/2006/relationships"><Relationship Id="rId8" Type="http://schemas.openxmlformats.org/officeDocument/2006/relationships/oleObject" Target="../embeddings/oleObject78.bin"/><Relationship Id="rId7" Type="http://schemas.openxmlformats.org/officeDocument/2006/relationships/oleObject" Target="../embeddings/oleObject77.bin"/><Relationship Id="rId6" Type="http://schemas.openxmlformats.org/officeDocument/2006/relationships/image" Target="../media/image3.emf"/><Relationship Id="rId5" Type="http://schemas.openxmlformats.org/officeDocument/2006/relationships/oleObject" Target="../embeddings/oleObject76.bin"/><Relationship Id="rId4" Type="http://schemas.openxmlformats.org/officeDocument/2006/relationships/image" Target="../media/image4.emf"/><Relationship Id="rId3" Type="http://schemas.openxmlformats.org/officeDocument/2006/relationships/oleObject" Target="../embeddings/oleObject75.bin"/><Relationship Id="rId2" Type="http://schemas.openxmlformats.org/officeDocument/2006/relationships/vmlDrawing" Target="../drawings/vmlDrawing24.vml"/><Relationship Id="rId1" Type="http://schemas.openxmlformats.org/officeDocument/2006/relationships/drawing" Target="../drawings/drawing28.xml"/></Relationships>
</file>

<file path=xl/worksheets/_rels/sheet75.xml.rels><?xml version="1.0" encoding="UTF-8" standalone="yes"?>
<Relationships xmlns="http://schemas.openxmlformats.org/package/2006/relationships"><Relationship Id="rId9" Type="http://schemas.openxmlformats.org/officeDocument/2006/relationships/oleObject" Target="../embeddings/oleObject82.bin"/><Relationship Id="rId8" Type="http://schemas.openxmlformats.org/officeDocument/2006/relationships/oleObject" Target="../embeddings/oleObject81.bin"/><Relationship Id="rId7" Type="http://schemas.openxmlformats.org/officeDocument/2006/relationships/image" Target="../media/image3.emf"/><Relationship Id="rId6" Type="http://schemas.openxmlformats.org/officeDocument/2006/relationships/oleObject" Target="../embeddings/oleObject80.bin"/><Relationship Id="rId5" Type="http://schemas.openxmlformats.org/officeDocument/2006/relationships/image" Target="../media/image4.emf"/><Relationship Id="rId4" Type="http://schemas.openxmlformats.org/officeDocument/2006/relationships/oleObject" Target="../embeddings/oleObject79.bin"/><Relationship Id="rId3" Type="http://schemas.openxmlformats.org/officeDocument/2006/relationships/vmlDrawing" Target="../drawings/vmlDrawing25.vml"/><Relationship Id="rId2" Type="http://schemas.openxmlformats.org/officeDocument/2006/relationships/drawing" Target="../drawings/drawing29.xml"/><Relationship Id="rId10" Type="http://schemas.openxmlformats.org/officeDocument/2006/relationships/oleObject" Target="../embeddings/oleObject83.bin"/><Relationship Id="rId1" Type="http://schemas.openxmlformats.org/officeDocument/2006/relationships/comments" Target="../comments9.xml"/></Relationships>
</file>

<file path=xl/worksheets/_rels/sheet76.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comments" Target="../comments10.xml"/></Relationships>
</file>

<file path=xl/worksheets/_rels/sheet77.xml.rels><?xml version="1.0" encoding="UTF-8" standalone="yes"?>
<Relationships xmlns="http://schemas.openxmlformats.org/package/2006/relationships"><Relationship Id="rId8" Type="http://schemas.openxmlformats.org/officeDocument/2006/relationships/oleObject" Target="../embeddings/oleObject87.bin"/><Relationship Id="rId7" Type="http://schemas.openxmlformats.org/officeDocument/2006/relationships/oleObject" Target="../embeddings/oleObject86.bin"/><Relationship Id="rId6" Type="http://schemas.openxmlformats.org/officeDocument/2006/relationships/image" Target="../media/image3.emf"/><Relationship Id="rId5" Type="http://schemas.openxmlformats.org/officeDocument/2006/relationships/oleObject" Target="../embeddings/oleObject85.bin"/><Relationship Id="rId4" Type="http://schemas.openxmlformats.org/officeDocument/2006/relationships/image" Target="../media/image4.emf"/><Relationship Id="rId3" Type="http://schemas.openxmlformats.org/officeDocument/2006/relationships/oleObject" Target="../embeddings/oleObject84.bin"/><Relationship Id="rId2" Type="http://schemas.openxmlformats.org/officeDocument/2006/relationships/vmlDrawing" Target="../drawings/vmlDrawing27.vml"/><Relationship Id="rId1" Type="http://schemas.openxmlformats.org/officeDocument/2006/relationships/drawing" Target="../drawings/drawing30.xml"/></Relationships>
</file>

<file path=xl/worksheets/_rels/sheet78.xml.rels><?xml version="1.0" encoding="UTF-8" standalone="yes"?>
<Relationships xmlns="http://schemas.openxmlformats.org/package/2006/relationships"><Relationship Id="rId9" Type="http://schemas.openxmlformats.org/officeDocument/2006/relationships/image" Target="../media/image4.emf"/><Relationship Id="rId8" Type="http://schemas.openxmlformats.org/officeDocument/2006/relationships/oleObject" Target="../embeddings/oleObject90.bin"/><Relationship Id="rId7" Type="http://schemas.openxmlformats.org/officeDocument/2006/relationships/image" Target="../media/image1.emf"/><Relationship Id="rId6" Type="http://schemas.openxmlformats.org/officeDocument/2006/relationships/oleObject" Target="../embeddings/oleObject89.bin"/><Relationship Id="rId5" Type="http://schemas.openxmlformats.org/officeDocument/2006/relationships/image" Target="../media/image3.emf"/><Relationship Id="rId4" Type="http://schemas.openxmlformats.org/officeDocument/2006/relationships/oleObject" Target="../embeddings/oleObject88.bin"/><Relationship Id="rId3" Type="http://schemas.openxmlformats.org/officeDocument/2006/relationships/vmlDrawing" Target="../drawings/vmlDrawing28.vml"/><Relationship Id="rId2" Type="http://schemas.openxmlformats.org/officeDocument/2006/relationships/drawing" Target="../drawings/drawing31.xml"/><Relationship Id="rId11" Type="http://schemas.openxmlformats.org/officeDocument/2006/relationships/oleObject" Target="../embeddings/oleObject92.bin"/><Relationship Id="rId10" Type="http://schemas.openxmlformats.org/officeDocument/2006/relationships/oleObject" Target="../embeddings/oleObject91.bin"/><Relationship Id="rId1" Type="http://schemas.openxmlformats.org/officeDocument/2006/relationships/comments" Target="../comments11.xml"/></Relationships>
</file>

<file path=xl/worksheets/_rels/sheet79.xml.rels><?xml version="1.0" encoding="UTF-8" standalone="yes"?>
<Relationships xmlns="http://schemas.openxmlformats.org/package/2006/relationships"><Relationship Id="rId2" Type="http://schemas.openxmlformats.org/officeDocument/2006/relationships/vmlDrawing" Target="../drawings/vmlDrawing29.vml"/><Relationship Id="rId1" Type="http://schemas.openxmlformats.org/officeDocument/2006/relationships/comments" Target="../comments12.xml"/></Relationships>
</file>

<file path=xl/worksheets/_rels/sheet83.xml.rels><?xml version="1.0" encoding="UTF-8" standalone="yes"?>
<Relationships xmlns="http://schemas.openxmlformats.org/package/2006/relationships"><Relationship Id="rId9" Type="http://schemas.openxmlformats.org/officeDocument/2006/relationships/oleObject" Target="../embeddings/oleObject96.bin"/><Relationship Id="rId8" Type="http://schemas.openxmlformats.org/officeDocument/2006/relationships/image" Target="../media/image4.emf"/><Relationship Id="rId7" Type="http://schemas.openxmlformats.org/officeDocument/2006/relationships/oleObject" Target="../embeddings/oleObject95.bin"/><Relationship Id="rId6" Type="http://schemas.openxmlformats.org/officeDocument/2006/relationships/image" Target="../media/image1.emf"/><Relationship Id="rId5" Type="http://schemas.openxmlformats.org/officeDocument/2006/relationships/oleObject" Target="../embeddings/oleObject94.bin"/><Relationship Id="rId4" Type="http://schemas.openxmlformats.org/officeDocument/2006/relationships/image" Target="../media/image3.emf"/><Relationship Id="rId3" Type="http://schemas.openxmlformats.org/officeDocument/2006/relationships/oleObject" Target="../embeddings/oleObject93.bin"/><Relationship Id="rId2" Type="http://schemas.openxmlformats.org/officeDocument/2006/relationships/vmlDrawing" Target="../drawings/vmlDrawing30.vml"/><Relationship Id="rId1" Type="http://schemas.openxmlformats.org/officeDocument/2006/relationships/drawing" Target="../drawings/drawing3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93.xml.rels><?xml version="1.0" encoding="UTF-8" standalone="yes"?>
<Relationships xmlns="http://schemas.openxmlformats.org/package/2006/relationships"><Relationship Id="rId4" Type="http://schemas.openxmlformats.org/officeDocument/2006/relationships/image" Target="../media/image3.emf"/><Relationship Id="rId3" Type="http://schemas.openxmlformats.org/officeDocument/2006/relationships/oleObject" Target="../embeddings/oleObject97.bin"/><Relationship Id="rId2" Type="http://schemas.openxmlformats.org/officeDocument/2006/relationships/vmlDrawing" Target="../drawings/vmlDrawing31.vml"/><Relationship Id="rId1" Type="http://schemas.openxmlformats.org/officeDocument/2006/relationships/drawing" Target="../drawings/drawing39.xml"/></Relationships>
</file>

<file path=xl/worksheets/_rels/sheet94.xml.rels><?xml version="1.0" encoding="UTF-8" standalone="yes"?>
<Relationships xmlns="http://schemas.openxmlformats.org/package/2006/relationships"><Relationship Id="rId9" Type="http://schemas.openxmlformats.org/officeDocument/2006/relationships/image" Target="../media/image3.emf"/><Relationship Id="rId8" Type="http://schemas.openxmlformats.org/officeDocument/2006/relationships/oleObject" Target="../embeddings/oleObject100.bin"/><Relationship Id="rId7" Type="http://schemas.openxmlformats.org/officeDocument/2006/relationships/image" Target="../media/image1.emf"/><Relationship Id="rId6" Type="http://schemas.openxmlformats.org/officeDocument/2006/relationships/oleObject" Target="../embeddings/oleObject99.bin"/><Relationship Id="rId5" Type="http://schemas.openxmlformats.org/officeDocument/2006/relationships/image" Target="../media/image4.emf"/><Relationship Id="rId4" Type="http://schemas.openxmlformats.org/officeDocument/2006/relationships/oleObject" Target="../embeddings/oleObject98.bin"/><Relationship Id="rId3" Type="http://schemas.openxmlformats.org/officeDocument/2006/relationships/vmlDrawing" Target="../drawings/vmlDrawing32.vml"/><Relationship Id="rId2" Type="http://schemas.openxmlformats.org/officeDocument/2006/relationships/drawing" Target="../drawings/drawing40.xml"/><Relationship Id="rId10" Type="http://schemas.openxmlformats.org/officeDocument/2006/relationships/oleObject" Target="../embeddings/oleObject101.bin"/><Relationship Id="rId1" Type="http://schemas.openxmlformats.org/officeDocument/2006/relationships/comments" Target="../comments13.xml"/></Relationships>
</file>

<file path=xl/worksheets/_rels/sheet95.xml.rels><?xml version="1.0" encoding="UTF-8" standalone="yes"?>
<Relationships xmlns="http://schemas.openxmlformats.org/package/2006/relationships"><Relationship Id="rId2" Type="http://schemas.openxmlformats.org/officeDocument/2006/relationships/vmlDrawing" Target="../drawings/vmlDrawing33.vml"/><Relationship Id="rId1" Type="http://schemas.openxmlformats.org/officeDocument/2006/relationships/comments" Target="../comments14.xml"/></Relationships>
</file>

<file path=xl/worksheets/_rels/sheet98.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41.xml"/><Relationship Id="rId1" Type="http://schemas.openxmlformats.org/officeDocument/2006/relationships/comments" Target="../comments15.xml"/></Relationships>
</file>

<file path=xl/worksheets/_rels/sheet99.xml.rels><?xml version="1.0" encoding="UTF-8" standalone="yes"?>
<Relationships xmlns="http://schemas.openxmlformats.org/package/2006/relationships"><Relationship Id="rId2" Type="http://schemas.openxmlformats.org/officeDocument/2006/relationships/vmlDrawing" Target="../drawings/vmlDrawing35.vml"/><Relationship Id="rId1" Type="http://schemas.openxmlformats.org/officeDocument/2006/relationships/comments" Target="../comments16.xml"/></Relationships>
</file>

<file path=xl/worksheets/_rels/sheet102.xml.rels><?xml version="1.0" encoding="UTF-8" standalone="yes"?>
<Relationships xmlns="http://schemas.openxmlformats.org/package/2006/relationships"><Relationship Id="rId4" Type="http://schemas.openxmlformats.org/officeDocument/2006/relationships/image" Target="../media/image4.emf"/><Relationship Id="rId3" Type="http://schemas.openxmlformats.org/officeDocument/2006/relationships/oleObject" Target="../embeddings/oleObject102.bin"/><Relationship Id="rId2" Type="http://schemas.openxmlformats.org/officeDocument/2006/relationships/vmlDrawing" Target="../drawings/vmlDrawing36.vml"/><Relationship Id="rId1" Type="http://schemas.openxmlformats.org/officeDocument/2006/relationships/drawing" Target="../drawings/drawing42.xml"/></Relationships>
</file>

<file path=xl/worksheets/_rels/sheet104.xml.rels><?xml version="1.0" encoding="UTF-8" standalone="yes"?>
<Relationships xmlns="http://schemas.openxmlformats.org/package/2006/relationships"><Relationship Id="rId9" Type="http://schemas.openxmlformats.org/officeDocument/2006/relationships/image" Target="../media/image4.emf"/><Relationship Id="rId8" Type="http://schemas.openxmlformats.org/officeDocument/2006/relationships/oleObject" Target="../embeddings/oleObject106.bin"/><Relationship Id="rId7" Type="http://schemas.openxmlformats.org/officeDocument/2006/relationships/image" Target="../media/image1.emf"/><Relationship Id="rId6" Type="http://schemas.openxmlformats.org/officeDocument/2006/relationships/oleObject" Target="../embeddings/oleObject105.bin"/><Relationship Id="rId5" Type="http://schemas.openxmlformats.org/officeDocument/2006/relationships/oleObject" Target="../embeddings/oleObject104.bin"/><Relationship Id="rId4" Type="http://schemas.openxmlformats.org/officeDocument/2006/relationships/image" Target="../media/image3.emf"/><Relationship Id="rId3" Type="http://schemas.openxmlformats.org/officeDocument/2006/relationships/oleObject" Target="../embeddings/oleObject103.bin"/><Relationship Id="rId2" Type="http://schemas.openxmlformats.org/officeDocument/2006/relationships/vmlDrawing" Target="../drawings/vmlDrawing37.vml"/><Relationship Id="rId10" Type="http://schemas.openxmlformats.org/officeDocument/2006/relationships/oleObject" Target="../embeddings/oleObject107.bin"/><Relationship Id="rId1" Type="http://schemas.openxmlformats.org/officeDocument/2006/relationships/drawing" Target="../drawings/drawing43.xml"/></Relationships>
</file>

<file path=xl/worksheets/_rels/sheet106.xml.rels><?xml version="1.0" encoding="UTF-8" standalone="yes"?>
<Relationships xmlns="http://schemas.openxmlformats.org/package/2006/relationships"><Relationship Id="rId9" Type="http://schemas.openxmlformats.org/officeDocument/2006/relationships/oleObject" Target="../embeddings/oleObject111.bin"/><Relationship Id="rId8" Type="http://schemas.openxmlformats.org/officeDocument/2006/relationships/image" Target="../media/image1.emf"/><Relationship Id="rId7" Type="http://schemas.openxmlformats.org/officeDocument/2006/relationships/oleObject" Target="../embeddings/oleObject110.bin"/><Relationship Id="rId6" Type="http://schemas.openxmlformats.org/officeDocument/2006/relationships/image" Target="../media/image3.emf"/><Relationship Id="rId5" Type="http://schemas.openxmlformats.org/officeDocument/2006/relationships/oleObject" Target="../embeddings/oleObject109.bin"/><Relationship Id="rId4" Type="http://schemas.openxmlformats.org/officeDocument/2006/relationships/image" Target="../media/image4.emf"/><Relationship Id="rId3" Type="http://schemas.openxmlformats.org/officeDocument/2006/relationships/oleObject" Target="../embeddings/oleObject108.bin"/><Relationship Id="rId2" Type="http://schemas.openxmlformats.org/officeDocument/2006/relationships/vmlDrawing" Target="../drawings/vmlDrawing38.vml"/><Relationship Id="rId10" Type="http://schemas.openxmlformats.org/officeDocument/2006/relationships/oleObject" Target="../embeddings/oleObject112.bin"/><Relationship Id="rId1" Type="http://schemas.openxmlformats.org/officeDocument/2006/relationships/drawing" Target="../drawings/drawing4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
  <sheetViews>
    <sheetView showGridLines="0" showRowColHeaders="0" showZeros="0" showOutlineSymbols="0" zoomScaleSheetLayoutView="70" topLeftCell="B16717" workbookViewId="0">
      <selection activeCell="A1" sqref="A1"/>
    </sheetView>
  </sheetViews>
  <sheetFormatPr defaultColWidth="9" defaultRowHeight="11.4"/>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B1:P32"/>
  <sheetViews>
    <sheetView zoomScale="130" zoomScaleNormal="130" workbookViewId="0">
      <selection activeCell="C42" sqref="C42"/>
    </sheetView>
  </sheetViews>
  <sheetFormatPr defaultColWidth="9.13541666666667" defaultRowHeight="13.2"/>
  <cols>
    <col min="1" max="1" width="6.14583333333333" style="4913" customWidth="1"/>
    <col min="2" max="2" width="3.59375" style="4913" customWidth="1"/>
    <col min="3" max="3" width="23.21875" style="4913" customWidth="1"/>
    <col min="4" max="4" width="18.7291666666667" style="4913" customWidth="1"/>
    <col min="5" max="5" width="16.78125" style="1063" customWidth="1"/>
    <col min="6" max="6" width="16.78125" style="4913" customWidth="1"/>
    <col min="7" max="7" width="10.78125" style="4913" customWidth="1"/>
    <col min="8" max="8" width="17.2291666666667" style="4913" customWidth="1"/>
    <col min="9" max="9" width="24.125" style="4913" customWidth="1"/>
    <col min="10" max="10" width="21.125" style="4913" customWidth="1"/>
    <col min="11" max="11" width="22.3229166666667" style="4913" customWidth="1"/>
    <col min="12" max="12" width="13.9375" style="4913" customWidth="1"/>
    <col min="13" max="13" width="14.9791666666667" style="4914" customWidth="1"/>
    <col min="14" max="14" width="17.6770833333333" style="4915" customWidth="1"/>
    <col min="15" max="15" width="9.13541666666667" style="4913"/>
    <col min="16" max="16" width="16.9270833333333" style="4912" customWidth="1"/>
    <col min="17" max="16384" width="9.13541666666667" style="4913"/>
  </cols>
  <sheetData>
    <row r="1" spans="2:5">
      <c r="B1" s="4916" t="s">
        <v>0</v>
      </c>
      <c r="C1" s="4916"/>
      <c r="D1" s="4916"/>
      <c r="E1" s="4917"/>
    </row>
    <row r="2" spans="2:10">
      <c r="B2" s="4916" t="s">
        <v>1</v>
      </c>
      <c r="C2" s="4916"/>
      <c r="D2" s="4916"/>
      <c r="E2" s="4917"/>
      <c r="H2" s="4918">
        <f>H3-I17</f>
        <v>71431857136</v>
      </c>
      <c r="I2" s="4940"/>
      <c r="J2" s="4940"/>
    </row>
    <row r="3" ht="14.4" spans="2:9">
      <c r="B3" s="4916" t="s">
        <v>2</v>
      </c>
      <c r="C3" s="4916"/>
      <c r="D3" s="4916"/>
      <c r="E3" s="4917"/>
      <c r="F3" s="4919"/>
      <c r="G3" s="4920"/>
      <c r="H3" s="4921">
        <v>71431857136</v>
      </c>
      <c r="I3" s="4940"/>
    </row>
    <row r="4" ht="14.4" spans="6:10">
      <c r="F4" s="4920"/>
      <c r="G4" s="4920"/>
      <c r="I4" s="4940"/>
      <c r="J4" s="4956"/>
    </row>
    <row r="5" spans="9:10">
      <c r="I5" s="4940"/>
      <c r="J5" s="4940"/>
    </row>
    <row r="6" s="4911" customFormat="1" spans="2:14">
      <c r="B6" s="4922" t="s">
        <v>3</v>
      </c>
      <c r="C6" s="4922"/>
      <c r="D6" s="4923" t="s">
        <v>4</v>
      </c>
      <c r="E6" s="4923" t="s">
        <v>5</v>
      </c>
      <c r="F6" s="4923" t="s">
        <v>6</v>
      </c>
      <c r="G6" s="4923" t="s">
        <v>7</v>
      </c>
      <c r="H6" s="4923" t="s">
        <v>7</v>
      </c>
      <c r="I6" s="4923" t="s">
        <v>8</v>
      </c>
      <c r="J6" s="4923" t="s">
        <v>8</v>
      </c>
      <c r="K6" s="4976" t="s">
        <v>9</v>
      </c>
      <c r="M6" s="4914"/>
      <c r="N6" s="4915"/>
    </row>
    <row r="7" s="4911" customFormat="1" spans="2:14">
      <c r="B7" s="4924"/>
      <c r="C7" s="4925"/>
      <c r="D7" s="4926"/>
      <c r="E7" s="4927"/>
      <c r="F7" s="4927" t="s">
        <v>5</v>
      </c>
      <c r="G7" s="4928">
        <v>43465</v>
      </c>
      <c r="H7" s="4929">
        <v>43579</v>
      </c>
      <c r="I7" s="4977">
        <f>G7</f>
        <v>43465</v>
      </c>
      <c r="J7" s="4929">
        <f>+H7</f>
        <v>43579</v>
      </c>
      <c r="K7" s="4978"/>
      <c r="M7" s="4914"/>
      <c r="N7" s="4915"/>
    </row>
    <row r="8" spans="2:11">
      <c r="B8" s="4930"/>
      <c r="C8" s="4931"/>
      <c r="D8" s="4931"/>
      <c r="E8" s="4932"/>
      <c r="F8" s="4933"/>
      <c r="G8" s="4934"/>
      <c r="H8" s="4935"/>
      <c r="I8" s="4931"/>
      <c r="J8" s="4931"/>
      <c r="K8" s="4979"/>
    </row>
    <row r="9" spans="2:11">
      <c r="B9" s="4936" t="s">
        <v>10</v>
      </c>
      <c r="C9" s="4937"/>
      <c r="D9" s="4937"/>
      <c r="E9" s="4938"/>
      <c r="F9" s="4933"/>
      <c r="G9" s="4939"/>
      <c r="H9" s="4935"/>
      <c r="I9" s="4931"/>
      <c r="J9" s="4931"/>
      <c r="K9" s="4979"/>
    </row>
    <row r="10" ht="14.4" spans="2:11">
      <c r="B10" s="4936"/>
      <c r="C10" s="4937" t="s">
        <v>11</v>
      </c>
      <c r="D10" s="4940" t="s">
        <v>12</v>
      </c>
      <c r="E10" s="4932" t="s">
        <v>13</v>
      </c>
      <c r="F10" s="4941">
        <v>0</v>
      </c>
      <c r="G10" s="4942">
        <v>0</v>
      </c>
      <c r="H10" s="4943">
        <f>((12455.12+12583.53)/2)/100</f>
        <v>125.19325</v>
      </c>
      <c r="I10" s="4955">
        <f>ROUND((F10*G10),0)</f>
        <v>0</v>
      </c>
      <c r="J10" s="4980">
        <f>F10*H10</f>
        <v>0</v>
      </c>
      <c r="K10" s="4981">
        <f>J10-I10</f>
        <v>0</v>
      </c>
    </row>
    <row r="11" ht="14.4" spans="2:11">
      <c r="B11" s="4936"/>
      <c r="C11" s="4937"/>
      <c r="D11" s="4940" t="s">
        <v>14</v>
      </c>
      <c r="E11" s="4932" t="str">
        <f>E10</f>
        <v>JPY</v>
      </c>
      <c r="F11" s="4941">
        <v>0</v>
      </c>
      <c r="G11" s="4942">
        <v>0</v>
      </c>
      <c r="H11" s="4943">
        <f>((12455.12+12583.53)/2)/100</f>
        <v>125.19325</v>
      </c>
      <c r="I11" s="4955">
        <f>ROUND((F11*G11),0)</f>
        <v>0</v>
      </c>
      <c r="J11" s="4980">
        <f>F11*H11</f>
        <v>0</v>
      </c>
      <c r="K11" s="4981">
        <f>J11-I11</f>
        <v>0</v>
      </c>
    </row>
    <row r="12" ht="14.4" spans="2:11">
      <c r="B12" s="4936"/>
      <c r="C12" s="4937"/>
      <c r="D12" s="4912"/>
      <c r="E12" s="4932"/>
      <c r="F12" s="4944"/>
      <c r="G12" s="4945"/>
      <c r="H12" s="4946"/>
      <c r="I12" s="4953"/>
      <c r="J12" s="4953"/>
      <c r="K12" s="4982"/>
    </row>
    <row r="13" s="4912" customFormat="1" ht="14.4" spans="2:16">
      <c r="B13" s="4936"/>
      <c r="C13" s="4947" t="s">
        <v>15</v>
      </c>
      <c r="D13" s="4948"/>
      <c r="E13" s="4949" t="s">
        <v>13</v>
      </c>
      <c r="F13" s="4950">
        <f>SUM(F10:F11)</f>
        <v>0</v>
      </c>
      <c r="G13" s="4951"/>
      <c r="H13" s="4952"/>
      <c r="I13" s="4950">
        <f>SUM(I10:I11)</f>
        <v>0</v>
      </c>
      <c r="J13" s="4950">
        <f>SUM(J10:J11)</f>
        <v>0</v>
      </c>
      <c r="K13" s="4983">
        <f>SUM(K10:K12)</f>
        <v>0</v>
      </c>
      <c r="M13" s="4914"/>
      <c r="N13" s="4915"/>
      <c r="P13" s="4984">
        <f>N13</f>
        <v>0</v>
      </c>
    </row>
    <row r="14" ht="14.4" spans="2:11">
      <c r="B14" s="4936"/>
      <c r="C14" s="4937"/>
      <c r="D14" s="4912"/>
      <c r="E14" s="4932"/>
      <c r="F14" s="4953"/>
      <c r="G14" s="4953"/>
      <c r="H14" s="4953"/>
      <c r="I14" s="4953"/>
      <c r="J14" s="4953"/>
      <c r="K14" s="4982"/>
    </row>
    <row r="15" ht="14.4" spans="2:11">
      <c r="B15" s="4936" t="s">
        <v>16</v>
      </c>
      <c r="C15" s="4937"/>
      <c r="D15" s="4912"/>
      <c r="E15" s="4932"/>
      <c r="F15" s="4953"/>
      <c r="G15" s="4953"/>
      <c r="H15" s="4953"/>
      <c r="I15" s="4953"/>
      <c r="J15" s="4953"/>
      <c r="K15" s="4982"/>
    </row>
    <row r="16" ht="14.4" spans="2:16">
      <c r="B16" s="4936"/>
      <c r="C16" s="4954" t="s">
        <v>17</v>
      </c>
      <c r="D16" s="4931" t="str">
        <f>C16</f>
        <v>Account Raceivable</v>
      </c>
      <c r="E16" s="4932" t="str">
        <f>E10</f>
        <v>JPY</v>
      </c>
      <c r="F16" s="4955">
        <v>0</v>
      </c>
      <c r="G16" s="4942">
        <f>G11</f>
        <v>0</v>
      </c>
      <c r="H16" s="4943">
        <f>((12455.12+12583.53)/2)/100</f>
        <v>125.19325</v>
      </c>
      <c r="I16" s="4955">
        <f>ROUND((F16*G16),0)</f>
        <v>0</v>
      </c>
      <c r="J16" s="4980">
        <f>F16*H16</f>
        <v>0</v>
      </c>
      <c r="K16" s="4981">
        <f>J16-I16</f>
        <v>0</v>
      </c>
      <c r="P16" s="4984">
        <f>N16</f>
        <v>0</v>
      </c>
    </row>
    <row r="17" ht="14.4" spans="2:11">
      <c r="B17" s="4936"/>
      <c r="C17" s="4937" t="s">
        <v>18</v>
      </c>
      <c r="D17" s="4931" t="str">
        <f>C17</f>
        <v>Trade payable</v>
      </c>
      <c r="E17" s="4932" t="str">
        <f>E16</f>
        <v>JPY</v>
      </c>
      <c r="F17" s="4955">
        <v>0</v>
      </c>
      <c r="G17" s="4942">
        <f>G10</f>
        <v>0</v>
      </c>
      <c r="H17" s="4943">
        <f>((12455.12+12583.53)/2)/100</f>
        <v>125.19325</v>
      </c>
      <c r="I17" s="4955">
        <f>ROUND((F17*G17),0)</f>
        <v>0</v>
      </c>
      <c r="J17" s="4980">
        <f>F17*H17</f>
        <v>0</v>
      </c>
      <c r="K17" s="4981">
        <f>J17-I17</f>
        <v>0</v>
      </c>
    </row>
    <row r="18" ht="14.4" spans="2:11">
      <c r="B18" s="4936"/>
      <c r="C18" s="4937" t="s">
        <v>19</v>
      </c>
      <c r="D18" s="4931" t="str">
        <f>C18</f>
        <v>Shareholders loan</v>
      </c>
      <c r="E18" s="4932" t="str">
        <f>E17</f>
        <v>JPY</v>
      </c>
      <c r="F18" s="4955">
        <v>0</v>
      </c>
      <c r="G18" s="4942">
        <f>G11</f>
        <v>0</v>
      </c>
      <c r="H18" s="4943">
        <f>((12455.12+12583.53)/2)/100</f>
        <v>125.19325</v>
      </c>
      <c r="I18" s="4955">
        <f>ROUND((F18*G18),0)</f>
        <v>0</v>
      </c>
      <c r="J18" s="4980">
        <f>F18*H18</f>
        <v>0</v>
      </c>
      <c r="K18" s="4981">
        <f>J18-I18</f>
        <v>0</v>
      </c>
    </row>
    <row r="19" ht="14.4" spans="2:11">
      <c r="B19" s="4936"/>
      <c r="C19" s="4937"/>
      <c r="D19" s="4956"/>
      <c r="E19" s="4932"/>
      <c r="F19" s="4957"/>
      <c r="G19" s="4953"/>
      <c r="H19" s="4953"/>
      <c r="I19" s="4953"/>
      <c r="J19" s="4953"/>
      <c r="K19" s="4982"/>
    </row>
    <row r="20" s="4912" customFormat="1" spans="2:16">
      <c r="B20" s="4936"/>
      <c r="C20" s="4958" t="s">
        <v>20</v>
      </c>
      <c r="D20" s="4959"/>
      <c r="E20" s="4949" t="s">
        <v>13</v>
      </c>
      <c r="F20" s="4960">
        <f>SUM(F16:F19)</f>
        <v>0</v>
      </c>
      <c r="G20" s="4951"/>
      <c r="H20" s="4951"/>
      <c r="I20" s="4985">
        <f>SUM(I16:I18)</f>
        <v>0</v>
      </c>
      <c r="J20" s="4985">
        <f>SUM(J16:J18)</f>
        <v>0</v>
      </c>
      <c r="K20" s="4986">
        <f>SUM(K16:K19)</f>
        <v>0</v>
      </c>
      <c r="L20" s="1249"/>
      <c r="M20" s="4914"/>
      <c r="N20" s="4915"/>
      <c r="P20" s="4915">
        <f>SUM(P16:P19)</f>
        <v>0</v>
      </c>
    </row>
    <row r="21" spans="2:12">
      <c r="B21" s="4936"/>
      <c r="C21" s="4961"/>
      <c r="D21" s="4962"/>
      <c r="E21" s="4938"/>
      <c r="F21" s="4963"/>
      <c r="G21" s="4964"/>
      <c r="H21" s="4964"/>
      <c r="I21" s="4964"/>
      <c r="J21" s="4964"/>
      <c r="K21" s="4982"/>
      <c r="L21" s="4940"/>
    </row>
    <row r="22" s="4912" customFormat="1" spans="2:14">
      <c r="B22" s="4936"/>
      <c r="C22" s="4991" t="s">
        <v>21</v>
      </c>
      <c r="D22" s="4959"/>
      <c r="E22" s="4949" t="str">
        <f>E20</f>
        <v>JPY</v>
      </c>
      <c r="F22" s="4960">
        <f>F13-F20</f>
        <v>0</v>
      </c>
      <c r="G22" s="4951"/>
      <c r="H22" s="4951"/>
      <c r="I22" s="4960">
        <f>I13-I20</f>
        <v>0</v>
      </c>
      <c r="J22" s="4960">
        <f>J13-J20</f>
        <v>0</v>
      </c>
      <c r="K22" s="4987">
        <f>K13-K20</f>
        <v>0</v>
      </c>
      <c r="L22" s="1790"/>
      <c r="M22" s="4915"/>
      <c r="N22" s="4915"/>
    </row>
    <row r="23" ht="15.15" spans="2:12">
      <c r="B23" s="4965"/>
      <c r="C23" s="4966"/>
      <c r="D23" s="4967"/>
      <c r="E23" s="4968"/>
      <c r="F23" s="4969"/>
      <c r="G23" s="4970"/>
      <c r="H23" s="4970"/>
      <c r="I23" s="4970"/>
      <c r="J23" s="4970"/>
      <c r="K23" s="4988"/>
      <c r="L23" s="4940"/>
    </row>
    <row r="24" ht="14.4" spans="7:12">
      <c r="G24" s="4971"/>
      <c r="H24" s="4972"/>
      <c r="I24" s="4972"/>
      <c r="J24" s="4972"/>
      <c r="K24" s="4972"/>
      <c r="L24" s="4940"/>
    </row>
    <row r="25" ht="14.4" spans="8:11">
      <c r="H25" s="4971" t="s">
        <v>22</v>
      </c>
      <c r="I25" s="4971">
        <f>I22*1%</f>
        <v>0</v>
      </c>
      <c r="J25" s="4971">
        <f>J22*1%</f>
        <v>0</v>
      </c>
      <c r="K25" s="4971">
        <f>K22*1%</f>
        <v>0</v>
      </c>
    </row>
    <row r="26" ht="12.95" customHeight="1" spans="8:11">
      <c r="H26" s="4973"/>
      <c r="I26" s="4973"/>
      <c r="J26" s="4989"/>
      <c r="K26" s="4989"/>
    </row>
    <row r="27" ht="14.4" spans="7:9">
      <c r="G27" s="4974"/>
      <c r="H27" s="4974"/>
      <c r="I27" s="4990"/>
    </row>
    <row r="28" ht="12.95" customHeight="1" spans="8:11">
      <c r="H28" s="4973"/>
      <c r="I28" s="4973"/>
      <c r="J28" s="4989"/>
      <c r="K28" s="4989"/>
    </row>
    <row r="29" ht="14.4" spans="7:9">
      <c r="G29" s="4975"/>
      <c r="H29" s="4975"/>
      <c r="I29" s="4990"/>
    </row>
    <row r="30" ht="12.95" customHeight="1" spans="8:11">
      <c r="H30" s="4973"/>
      <c r="I30" s="4973"/>
      <c r="J30" s="4989"/>
      <c r="K30" s="4989"/>
    </row>
    <row r="32" ht="14.4" spans="7:9">
      <c r="G32" s="4975"/>
      <c r="H32" s="4975"/>
      <c r="I32" s="4990"/>
    </row>
  </sheetData>
  <mergeCells count="1">
    <mergeCell ref="B6:C6"/>
  </mergeCells>
  <pageMargins left="0.708661417322835" right="0.708661417322835" top="0.748031496062992" bottom="0.748031496062992" header="0.31496062992126" footer="0.31496062992126"/>
  <pageSetup paperSize="9" scale="65"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11"/>
  </sheetPr>
  <dimension ref="A1:R200"/>
  <sheetViews>
    <sheetView workbookViewId="0">
      <pane xSplit="4" ySplit="7" topLeftCell="E8" activePane="bottomRight" state="frozen"/>
      <selection/>
      <selection pane="topRight"/>
      <selection pane="bottomLeft"/>
      <selection pane="bottomRight" activeCell="A2" sqref="A2"/>
    </sheetView>
  </sheetViews>
  <sheetFormatPr defaultColWidth="10.0416666666667" defaultRowHeight="13.2"/>
  <cols>
    <col min="1" max="1" width="4.9375" style="4832" customWidth="1"/>
    <col min="2" max="2" width="39.40625" style="4832" customWidth="1"/>
    <col min="3" max="3" width="10.6354166666667" style="4832" customWidth="1"/>
    <col min="4" max="4" width="11.8333333333333" style="4832" customWidth="1"/>
    <col min="5" max="5" width="16.1770833333333" style="4832" customWidth="1"/>
    <col min="6" max="6" width="2.39583333333333" style="4832" customWidth="1"/>
    <col min="7" max="7" width="9.58333333333333" style="4832" customWidth="1"/>
    <col min="8" max="8" width="12.4375" style="4832" customWidth="1"/>
    <col min="9" max="9" width="13.9375" style="4833" customWidth="1"/>
    <col min="10" max="10" width="0.895833333333333" style="4832" customWidth="1"/>
    <col min="11" max="11" width="6.29166666666667" style="4832" customWidth="1"/>
    <col min="12" max="12" width="8.54166666666667" style="4832" customWidth="1"/>
    <col min="13" max="13" width="9.58333333333333" style="4832" customWidth="1"/>
    <col min="14" max="14" width="13.9375" style="4833" customWidth="1"/>
    <col min="15" max="15" width="2.84375" style="4832" customWidth="1"/>
    <col min="16" max="16" width="15.4270833333333" style="4832" customWidth="1"/>
    <col min="17" max="16384" width="10.0416666666667" style="4832"/>
  </cols>
  <sheetData>
    <row r="1" spans="1:1">
      <c r="A1" s="4831" t="s">
        <v>23</v>
      </c>
    </row>
    <row r="2" spans="1:1">
      <c r="A2" s="4831" t="s">
        <v>24</v>
      </c>
    </row>
    <row r="3" spans="1:1">
      <c r="A3" s="4831" t="s">
        <v>25</v>
      </c>
    </row>
    <row r="5" spans="1:16">
      <c r="A5" s="4834" t="s">
        <v>26</v>
      </c>
      <c r="B5" s="4834" t="s">
        <v>27</v>
      </c>
      <c r="C5" s="4834" t="s">
        <v>28</v>
      </c>
      <c r="D5" s="4834" t="s">
        <v>29</v>
      </c>
      <c r="E5" s="4834" t="s">
        <v>30</v>
      </c>
      <c r="F5" s="4831"/>
      <c r="G5" s="4835" t="s">
        <v>31</v>
      </c>
      <c r="H5" s="4835"/>
      <c r="I5" s="4835"/>
      <c r="J5" s="4831"/>
      <c r="K5" s="4835" t="s">
        <v>32</v>
      </c>
      <c r="L5" s="4835"/>
      <c r="M5" s="4835"/>
      <c r="N5" s="4835"/>
      <c r="O5" s="4831"/>
      <c r="P5" s="4852" t="s">
        <v>33</v>
      </c>
    </row>
    <row r="6" ht="39.6" spans="1:16">
      <c r="A6" s="4834"/>
      <c r="B6" s="4834"/>
      <c r="C6" s="4834"/>
      <c r="D6" s="4834"/>
      <c r="E6" s="4834"/>
      <c r="F6" s="4836"/>
      <c r="G6" s="4834" t="s">
        <v>34</v>
      </c>
      <c r="H6" s="4992" t="s">
        <v>35</v>
      </c>
      <c r="I6" s="4993" t="s">
        <v>36</v>
      </c>
      <c r="J6" s="4836"/>
      <c r="K6" s="4834" t="s">
        <v>37</v>
      </c>
      <c r="L6" s="4834" t="s">
        <v>38</v>
      </c>
      <c r="M6" s="4992" t="s">
        <v>35</v>
      </c>
      <c r="N6" s="4993" t="s">
        <v>36</v>
      </c>
      <c r="O6" s="4831"/>
      <c r="P6" s="4854"/>
    </row>
    <row r="7" ht="6" customHeight="1"/>
    <row r="8" ht="12.75" customHeight="1" spans="2:2">
      <c r="B8" s="4831" t="s">
        <v>39</v>
      </c>
    </row>
    <row r="9" spans="1:16">
      <c r="A9" s="4837">
        <v>1</v>
      </c>
      <c r="B9" s="4837" t="s">
        <v>40</v>
      </c>
      <c r="C9" s="4838">
        <v>1</v>
      </c>
      <c r="D9" s="4839">
        <v>39722</v>
      </c>
      <c r="E9" s="4840">
        <v>105000000</v>
      </c>
      <c r="G9" s="4838">
        <v>5</v>
      </c>
      <c r="H9" s="4838">
        <v>6</v>
      </c>
      <c r="I9" s="4855">
        <f t="shared" ref="I9:I21" si="0">E9/(G9*12)*H9</f>
        <v>10500000</v>
      </c>
      <c r="K9" s="4837">
        <v>2</v>
      </c>
      <c r="L9" s="4856">
        <v>0.125</v>
      </c>
      <c r="M9" s="4838">
        <v>6</v>
      </c>
      <c r="N9" s="4855">
        <f t="shared" ref="N9:N21" si="1">E9*L9*M9/12</f>
        <v>6562500</v>
      </c>
      <c r="O9" s="4857"/>
      <c r="P9" s="4840">
        <f t="shared" ref="P9:P72" si="2">I9-N9</f>
        <v>3937500</v>
      </c>
    </row>
    <row r="10" spans="1:16">
      <c r="A10" s="4841">
        <v>2</v>
      </c>
      <c r="B10" s="4841" t="s">
        <v>41</v>
      </c>
      <c r="C10" s="4842">
        <v>1</v>
      </c>
      <c r="D10" s="4843">
        <v>39748</v>
      </c>
      <c r="E10" s="4844"/>
      <c r="F10" s="4845"/>
      <c r="G10" s="4842">
        <v>5</v>
      </c>
      <c r="H10" s="4842">
        <v>4</v>
      </c>
      <c r="I10" s="4858">
        <v>4666666.66666667</v>
      </c>
      <c r="J10" s="4845"/>
      <c r="K10" s="4841">
        <v>2</v>
      </c>
      <c r="L10" s="4859">
        <v>0.125</v>
      </c>
      <c r="M10" s="4842">
        <v>4</v>
      </c>
      <c r="N10" s="4858">
        <v>2916666.66666667</v>
      </c>
      <c r="O10" s="4860"/>
      <c r="P10" s="4844">
        <v>1750000</v>
      </c>
    </row>
    <row r="11" spans="1:16">
      <c r="A11" s="4837">
        <v>3</v>
      </c>
      <c r="B11" s="4837" t="s">
        <v>42</v>
      </c>
      <c r="C11" s="4838">
        <v>1</v>
      </c>
      <c r="D11" s="4839">
        <v>39748</v>
      </c>
      <c r="E11" s="4840">
        <v>7000000</v>
      </c>
      <c r="G11" s="4838">
        <v>5</v>
      </c>
      <c r="H11" s="4838">
        <v>6</v>
      </c>
      <c r="I11" s="4855">
        <f t="shared" si="0"/>
        <v>700000</v>
      </c>
      <c r="K11" s="4837">
        <v>2</v>
      </c>
      <c r="L11" s="4856">
        <v>0.125</v>
      </c>
      <c r="M11" s="4838">
        <v>6</v>
      </c>
      <c r="N11" s="4855">
        <f t="shared" si="1"/>
        <v>437500</v>
      </c>
      <c r="O11" s="4857"/>
      <c r="P11" s="4840">
        <f t="shared" si="2"/>
        <v>262500</v>
      </c>
    </row>
    <row r="12" spans="1:16">
      <c r="A12" s="4837">
        <v>4</v>
      </c>
      <c r="B12" s="4837" t="s">
        <v>43</v>
      </c>
      <c r="C12" s="4838">
        <v>1</v>
      </c>
      <c r="D12" s="4839">
        <v>39748</v>
      </c>
      <c r="E12" s="4840">
        <v>6000000</v>
      </c>
      <c r="G12" s="4838">
        <v>5</v>
      </c>
      <c r="H12" s="4838">
        <v>6</v>
      </c>
      <c r="I12" s="4855">
        <f t="shared" si="0"/>
        <v>600000</v>
      </c>
      <c r="K12" s="4837">
        <v>2</v>
      </c>
      <c r="L12" s="4856">
        <v>0.125</v>
      </c>
      <c r="M12" s="4838">
        <v>6</v>
      </c>
      <c r="N12" s="4855">
        <f t="shared" si="1"/>
        <v>375000</v>
      </c>
      <c r="O12" s="4857"/>
      <c r="P12" s="4840">
        <f t="shared" si="2"/>
        <v>225000</v>
      </c>
    </row>
    <row r="13" spans="1:16">
      <c r="A13" s="4837">
        <v>5</v>
      </c>
      <c r="B13" s="4837" t="s">
        <v>44</v>
      </c>
      <c r="C13" s="4838">
        <v>1</v>
      </c>
      <c r="D13" s="4839">
        <v>39748</v>
      </c>
      <c r="E13" s="4840">
        <v>8000000</v>
      </c>
      <c r="G13" s="4838">
        <v>5</v>
      </c>
      <c r="H13" s="4838">
        <v>6</v>
      </c>
      <c r="I13" s="4855">
        <f t="shared" si="0"/>
        <v>800000</v>
      </c>
      <c r="K13" s="4837">
        <v>2</v>
      </c>
      <c r="L13" s="4856">
        <v>0.125</v>
      </c>
      <c r="M13" s="4838">
        <v>6</v>
      </c>
      <c r="N13" s="4855">
        <f t="shared" si="1"/>
        <v>500000</v>
      </c>
      <c r="O13" s="4857"/>
      <c r="P13" s="4840">
        <f t="shared" si="2"/>
        <v>300000</v>
      </c>
    </row>
    <row r="14" spans="1:16">
      <c r="A14" s="4837">
        <v>6</v>
      </c>
      <c r="B14" s="4837" t="s">
        <v>45</v>
      </c>
      <c r="C14" s="4838">
        <v>1</v>
      </c>
      <c r="D14" s="4839">
        <v>39748</v>
      </c>
      <c r="E14" s="4840">
        <v>6500000</v>
      </c>
      <c r="G14" s="4838">
        <v>5</v>
      </c>
      <c r="H14" s="4838">
        <v>6</v>
      </c>
      <c r="I14" s="4855">
        <f t="shared" si="0"/>
        <v>650000</v>
      </c>
      <c r="K14" s="4837">
        <v>2</v>
      </c>
      <c r="L14" s="4856">
        <v>0.125</v>
      </c>
      <c r="M14" s="4838">
        <v>6</v>
      </c>
      <c r="N14" s="4855">
        <f t="shared" si="1"/>
        <v>406250</v>
      </c>
      <c r="O14" s="4857"/>
      <c r="P14" s="4840">
        <f t="shared" si="2"/>
        <v>243750</v>
      </c>
    </row>
    <row r="15" spans="1:16">
      <c r="A15" s="4837">
        <v>7</v>
      </c>
      <c r="B15" s="4837" t="s">
        <v>46</v>
      </c>
      <c r="C15" s="4838">
        <v>1</v>
      </c>
      <c r="D15" s="4839">
        <v>39748</v>
      </c>
      <c r="E15" s="4840">
        <v>4500000</v>
      </c>
      <c r="G15" s="4838">
        <v>5</v>
      </c>
      <c r="H15" s="4838">
        <v>6</v>
      </c>
      <c r="I15" s="4855">
        <f t="shared" si="0"/>
        <v>450000</v>
      </c>
      <c r="K15" s="4837">
        <v>2</v>
      </c>
      <c r="L15" s="4856">
        <v>0.125</v>
      </c>
      <c r="M15" s="4838">
        <v>6</v>
      </c>
      <c r="N15" s="4855">
        <f t="shared" si="1"/>
        <v>281250</v>
      </c>
      <c r="O15" s="4857"/>
      <c r="P15" s="4840">
        <f t="shared" si="2"/>
        <v>168750</v>
      </c>
    </row>
    <row r="16" spans="1:16">
      <c r="A16" s="4837">
        <v>9</v>
      </c>
      <c r="B16" s="4837" t="s">
        <v>47</v>
      </c>
      <c r="C16" s="4838">
        <v>1</v>
      </c>
      <c r="D16" s="4839">
        <v>39748</v>
      </c>
      <c r="E16" s="4840">
        <v>7000000</v>
      </c>
      <c r="G16" s="4838">
        <v>5</v>
      </c>
      <c r="H16" s="4838">
        <v>6</v>
      </c>
      <c r="I16" s="4855">
        <f t="shared" si="0"/>
        <v>700000</v>
      </c>
      <c r="K16" s="4837">
        <v>2</v>
      </c>
      <c r="L16" s="4856">
        <v>0.125</v>
      </c>
      <c r="M16" s="4838">
        <v>6</v>
      </c>
      <c r="N16" s="4855">
        <f t="shared" si="1"/>
        <v>437500</v>
      </c>
      <c r="O16" s="4857"/>
      <c r="P16" s="4840">
        <f t="shared" si="2"/>
        <v>262500</v>
      </c>
    </row>
    <row r="17" spans="1:16">
      <c r="A17" s="4837">
        <v>10</v>
      </c>
      <c r="B17" s="4837" t="s">
        <v>48</v>
      </c>
      <c r="C17" s="4838">
        <v>1</v>
      </c>
      <c r="D17" s="4839">
        <v>39748</v>
      </c>
      <c r="E17" s="4840">
        <v>6000000</v>
      </c>
      <c r="G17" s="4838">
        <v>5</v>
      </c>
      <c r="H17" s="4838">
        <v>6</v>
      </c>
      <c r="I17" s="4855">
        <f t="shared" si="0"/>
        <v>600000</v>
      </c>
      <c r="K17" s="4837">
        <v>2</v>
      </c>
      <c r="L17" s="4856">
        <v>0.125</v>
      </c>
      <c r="M17" s="4838">
        <v>6</v>
      </c>
      <c r="N17" s="4855">
        <f t="shared" si="1"/>
        <v>375000</v>
      </c>
      <c r="O17" s="4857"/>
      <c r="P17" s="4840">
        <f t="shared" si="2"/>
        <v>225000</v>
      </c>
    </row>
    <row r="18" spans="1:16">
      <c r="A18" s="4841">
        <v>11</v>
      </c>
      <c r="B18" s="4841" t="s">
        <v>49</v>
      </c>
      <c r="C18" s="4842">
        <v>1</v>
      </c>
      <c r="D18" s="4843">
        <v>39748</v>
      </c>
      <c r="E18" s="4844"/>
      <c r="F18" s="4845"/>
      <c r="G18" s="4842">
        <v>5</v>
      </c>
      <c r="H18" s="4842">
        <v>4</v>
      </c>
      <c r="I18" s="4858">
        <v>133333.333333333</v>
      </c>
      <c r="J18" s="4845"/>
      <c r="K18" s="4841">
        <v>2</v>
      </c>
      <c r="L18" s="4859">
        <v>0.125</v>
      </c>
      <c r="M18" s="4842">
        <v>4</v>
      </c>
      <c r="N18" s="4858">
        <v>83333.3333333333</v>
      </c>
      <c r="O18" s="4860"/>
      <c r="P18" s="4844">
        <v>50000</v>
      </c>
    </row>
    <row r="19" spans="1:16">
      <c r="A19" s="4837">
        <v>12</v>
      </c>
      <c r="B19" s="4837" t="s">
        <v>50</v>
      </c>
      <c r="C19" s="4838">
        <v>1</v>
      </c>
      <c r="D19" s="4839">
        <v>39783</v>
      </c>
      <c r="E19" s="4846">
        <v>34501682</v>
      </c>
      <c r="G19" s="4838">
        <v>5</v>
      </c>
      <c r="H19" s="4838">
        <v>6</v>
      </c>
      <c r="I19" s="4855">
        <f t="shared" si="0"/>
        <v>3450168.2</v>
      </c>
      <c r="K19" s="4837">
        <v>2</v>
      </c>
      <c r="L19" s="4856">
        <v>0.125</v>
      </c>
      <c r="M19" s="4838">
        <v>6</v>
      </c>
      <c r="N19" s="4855">
        <f t="shared" si="1"/>
        <v>2156355.125</v>
      </c>
      <c r="O19" s="4857"/>
      <c r="P19" s="4840">
        <f>I19-N19</f>
        <v>1293813.075</v>
      </c>
    </row>
    <row r="20" spans="1:16">
      <c r="A20" s="4838">
        <v>13</v>
      </c>
      <c r="B20" s="4837" t="s">
        <v>51</v>
      </c>
      <c r="C20" s="4838">
        <v>1</v>
      </c>
      <c r="D20" s="4847">
        <v>39934</v>
      </c>
      <c r="E20" s="4848">
        <v>186000000</v>
      </c>
      <c r="G20" s="4838">
        <v>5</v>
      </c>
      <c r="H20" s="4838">
        <v>2</v>
      </c>
      <c r="I20" s="4855">
        <f t="shared" si="0"/>
        <v>6200000</v>
      </c>
      <c r="K20" s="4837">
        <v>2</v>
      </c>
      <c r="L20" s="4856">
        <v>0.125</v>
      </c>
      <c r="M20" s="4838">
        <v>2</v>
      </c>
      <c r="N20" s="4855">
        <f t="shared" si="1"/>
        <v>3875000</v>
      </c>
      <c r="O20" s="4857"/>
      <c r="P20" s="4840">
        <f>I20-N20</f>
        <v>2325000</v>
      </c>
    </row>
    <row r="21" spans="1:16">
      <c r="A21" s="4838">
        <f>A20+1</f>
        <v>14</v>
      </c>
      <c r="B21" s="4837" t="s">
        <v>52</v>
      </c>
      <c r="C21" s="4838">
        <v>1</v>
      </c>
      <c r="D21" s="4847">
        <v>39934</v>
      </c>
      <c r="E21" s="4848">
        <v>132247273</v>
      </c>
      <c r="G21" s="4838">
        <v>5</v>
      </c>
      <c r="H21" s="4838">
        <v>2</v>
      </c>
      <c r="I21" s="4855">
        <f t="shared" si="0"/>
        <v>4408242.43333333</v>
      </c>
      <c r="K21" s="4837">
        <v>2</v>
      </c>
      <c r="L21" s="4856">
        <v>0.125</v>
      </c>
      <c r="M21" s="4838">
        <v>2</v>
      </c>
      <c r="N21" s="4855">
        <f t="shared" si="1"/>
        <v>2755151.52083333</v>
      </c>
      <c r="O21" s="4857"/>
      <c r="P21" s="4840">
        <f>I21-N21</f>
        <v>1653090.9125</v>
      </c>
    </row>
    <row r="22" spans="1:16">
      <c r="A22" s="4838"/>
      <c r="B22" s="4837"/>
      <c r="C22" s="4838"/>
      <c r="D22" s="4847"/>
      <c r="E22" s="4849">
        <f>SUM(E9:E21)</f>
        <v>502748955</v>
      </c>
      <c r="F22" s="4831"/>
      <c r="G22" s="4835"/>
      <c r="H22" s="4835"/>
      <c r="I22" s="4849">
        <f>SUM(I9:I21)</f>
        <v>33858410.6333333</v>
      </c>
      <c r="J22" s="4831"/>
      <c r="K22" s="4850"/>
      <c r="L22" s="4861"/>
      <c r="M22" s="4835"/>
      <c r="N22" s="4849">
        <f>SUM(N9:N21)</f>
        <v>21161506.6458333</v>
      </c>
      <c r="O22" s="4831"/>
      <c r="P22" s="4849">
        <f>SUM(P9:P21)</f>
        <v>12696903.9875</v>
      </c>
    </row>
    <row r="23" spans="1:16">
      <c r="A23" s="4837"/>
      <c r="B23" s="4850" t="s">
        <v>53</v>
      </c>
      <c r="C23" s="4838"/>
      <c r="D23" s="4851"/>
      <c r="E23" s="4837"/>
      <c r="G23" s="4838"/>
      <c r="H23" s="4838"/>
      <c r="I23" s="4855"/>
      <c r="K23" s="4837"/>
      <c r="L23" s="4856"/>
      <c r="M23" s="4838"/>
      <c r="N23" s="4855"/>
      <c r="P23" s="4837"/>
    </row>
    <row r="24" spans="1:16">
      <c r="A24" s="4837">
        <v>1</v>
      </c>
      <c r="B24" s="4837" t="s">
        <v>54</v>
      </c>
      <c r="C24" s="4838">
        <v>1</v>
      </c>
      <c r="D24" s="4839">
        <v>39748</v>
      </c>
      <c r="E24" s="4840">
        <v>23582487.9909579</v>
      </c>
      <c r="G24" s="4838">
        <v>5</v>
      </c>
      <c r="H24" s="4838">
        <v>6</v>
      </c>
      <c r="I24" s="4855">
        <f t="shared" ref="I24:I87" si="3">E24/(G24*12)*H24</f>
        <v>2358248.79909579</v>
      </c>
      <c r="K24" s="4837">
        <v>1</v>
      </c>
      <c r="L24" s="4856">
        <v>0.25</v>
      </c>
      <c r="M24" s="4838">
        <v>6</v>
      </c>
      <c r="N24" s="4855">
        <f t="shared" ref="N24:N87" si="4">E24*L24*M24/12</f>
        <v>2947810.99886974</v>
      </c>
      <c r="O24" s="4857"/>
      <c r="P24" s="4840">
        <f t="shared" si="2"/>
        <v>-589562.199773947</v>
      </c>
    </row>
    <row r="25" spans="1:16">
      <c r="A25" s="4837">
        <v>2</v>
      </c>
      <c r="B25" s="4837" t="s">
        <v>55</v>
      </c>
      <c r="C25" s="4838">
        <v>1</v>
      </c>
      <c r="D25" s="4839">
        <v>39748</v>
      </c>
      <c r="E25" s="4840">
        <v>36788681.2658943</v>
      </c>
      <c r="G25" s="4838">
        <v>5</v>
      </c>
      <c r="H25" s="4838">
        <v>6</v>
      </c>
      <c r="I25" s="4855">
        <f t="shared" si="3"/>
        <v>3678868.12658943</v>
      </c>
      <c r="K25" s="4837">
        <v>1</v>
      </c>
      <c r="L25" s="4856">
        <v>0.25</v>
      </c>
      <c r="M25" s="4838">
        <v>6</v>
      </c>
      <c r="N25" s="4855">
        <f t="shared" si="4"/>
        <v>4598585.15823679</v>
      </c>
      <c r="O25" s="4857"/>
      <c r="P25" s="4840">
        <f t="shared" si="2"/>
        <v>-919717.031647358</v>
      </c>
    </row>
    <row r="26" spans="1:16">
      <c r="A26" s="4837">
        <v>3</v>
      </c>
      <c r="B26" s="4837" t="s">
        <v>56</v>
      </c>
      <c r="C26" s="4838">
        <v>1</v>
      </c>
      <c r="D26" s="4839">
        <v>39748</v>
      </c>
      <c r="E26" s="4840">
        <v>23582487.9909579</v>
      </c>
      <c r="G26" s="4838">
        <v>5</v>
      </c>
      <c r="H26" s="4838">
        <v>6</v>
      </c>
      <c r="I26" s="4855">
        <f t="shared" si="3"/>
        <v>2358248.79909579</v>
      </c>
      <c r="K26" s="4837">
        <v>1</v>
      </c>
      <c r="L26" s="4856">
        <v>0.25</v>
      </c>
      <c r="M26" s="4838">
        <v>6</v>
      </c>
      <c r="N26" s="4855">
        <f t="shared" si="4"/>
        <v>2947810.99886974</v>
      </c>
      <c r="O26" s="4857"/>
      <c r="P26" s="4840">
        <f t="shared" si="2"/>
        <v>-589562.199773947</v>
      </c>
    </row>
    <row r="27" spans="1:16">
      <c r="A27" s="4837">
        <v>4</v>
      </c>
      <c r="B27" s="4837" t="s">
        <v>57</v>
      </c>
      <c r="C27" s="4838">
        <v>1</v>
      </c>
      <c r="D27" s="4839">
        <v>39748</v>
      </c>
      <c r="E27" s="4840">
        <v>23582487.9909579</v>
      </c>
      <c r="G27" s="4838">
        <v>5</v>
      </c>
      <c r="H27" s="4838">
        <v>6</v>
      </c>
      <c r="I27" s="4855">
        <f t="shared" si="3"/>
        <v>2358248.79909579</v>
      </c>
      <c r="K27" s="4837">
        <v>1</v>
      </c>
      <c r="L27" s="4856">
        <v>0.25</v>
      </c>
      <c r="M27" s="4838">
        <v>6</v>
      </c>
      <c r="N27" s="4855">
        <f t="shared" si="4"/>
        <v>2947810.99886974</v>
      </c>
      <c r="O27" s="4857"/>
      <c r="P27" s="4840">
        <f t="shared" si="2"/>
        <v>-589562.199773947</v>
      </c>
    </row>
    <row r="28" spans="1:16">
      <c r="A28" s="4837">
        <v>5</v>
      </c>
      <c r="B28" s="4837" t="s">
        <v>58</v>
      </c>
      <c r="C28" s="4838">
        <v>1</v>
      </c>
      <c r="D28" s="4839">
        <v>39748</v>
      </c>
      <c r="E28" s="4840">
        <v>36788681.2658943</v>
      </c>
      <c r="G28" s="4838">
        <v>5</v>
      </c>
      <c r="H28" s="4838">
        <v>6</v>
      </c>
      <c r="I28" s="4855">
        <f t="shared" si="3"/>
        <v>3678868.12658943</v>
      </c>
      <c r="K28" s="4837">
        <v>1</v>
      </c>
      <c r="L28" s="4856">
        <v>0.25</v>
      </c>
      <c r="M28" s="4838">
        <v>6</v>
      </c>
      <c r="N28" s="4855">
        <f t="shared" si="4"/>
        <v>4598585.15823679</v>
      </c>
      <c r="O28" s="4857"/>
      <c r="P28" s="4840">
        <f t="shared" si="2"/>
        <v>-919717.031647358</v>
      </c>
    </row>
    <row r="29" spans="1:16">
      <c r="A29" s="4837">
        <v>6</v>
      </c>
      <c r="B29" s="4837" t="s">
        <v>59</v>
      </c>
      <c r="C29" s="4838">
        <v>1</v>
      </c>
      <c r="D29" s="4839">
        <v>39748</v>
      </c>
      <c r="E29" s="4840">
        <v>36788681.2658943</v>
      </c>
      <c r="G29" s="4838">
        <v>5</v>
      </c>
      <c r="H29" s="4838">
        <v>6</v>
      </c>
      <c r="I29" s="4855">
        <f t="shared" si="3"/>
        <v>3678868.12658943</v>
      </c>
      <c r="K29" s="4837">
        <v>1</v>
      </c>
      <c r="L29" s="4856">
        <v>0.25</v>
      </c>
      <c r="M29" s="4838">
        <v>6</v>
      </c>
      <c r="N29" s="4855">
        <f t="shared" si="4"/>
        <v>4598585.15823679</v>
      </c>
      <c r="O29" s="4857"/>
      <c r="P29" s="4840">
        <f t="shared" si="2"/>
        <v>-919717.031647358</v>
      </c>
    </row>
    <row r="30" spans="1:16">
      <c r="A30" s="4837">
        <v>7</v>
      </c>
      <c r="B30" s="4837" t="s">
        <v>60</v>
      </c>
      <c r="C30" s="4838">
        <v>1</v>
      </c>
      <c r="D30" s="4839">
        <v>39748</v>
      </c>
      <c r="E30" s="4840">
        <v>36788681.2658943</v>
      </c>
      <c r="G30" s="4838">
        <v>5</v>
      </c>
      <c r="H30" s="4838">
        <v>6</v>
      </c>
      <c r="I30" s="4855">
        <f t="shared" si="3"/>
        <v>3678868.12658943</v>
      </c>
      <c r="K30" s="4837">
        <v>1</v>
      </c>
      <c r="L30" s="4856">
        <v>0.25</v>
      </c>
      <c r="M30" s="4838">
        <v>6</v>
      </c>
      <c r="N30" s="4855">
        <f t="shared" si="4"/>
        <v>4598585.15823679</v>
      </c>
      <c r="O30" s="4857"/>
      <c r="P30" s="4840">
        <f t="shared" si="2"/>
        <v>-919717.031647358</v>
      </c>
    </row>
    <row r="31" spans="1:16">
      <c r="A31" s="4837">
        <v>8</v>
      </c>
      <c r="B31" s="4837" t="s">
        <v>61</v>
      </c>
      <c r="C31" s="4838">
        <v>1</v>
      </c>
      <c r="D31" s="4839">
        <v>39748</v>
      </c>
      <c r="E31" s="4840">
        <v>23582487.9909579</v>
      </c>
      <c r="G31" s="4838">
        <v>5</v>
      </c>
      <c r="H31" s="4838">
        <v>6</v>
      </c>
      <c r="I31" s="4855">
        <f t="shared" si="3"/>
        <v>2358248.79909579</v>
      </c>
      <c r="K31" s="4837">
        <v>1</v>
      </c>
      <c r="L31" s="4856">
        <v>0.25</v>
      </c>
      <c r="M31" s="4838">
        <v>6</v>
      </c>
      <c r="N31" s="4855">
        <f t="shared" si="4"/>
        <v>2947810.99886974</v>
      </c>
      <c r="O31" s="4857"/>
      <c r="P31" s="4840">
        <f t="shared" si="2"/>
        <v>-589562.199773947</v>
      </c>
    </row>
    <row r="32" spans="1:16">
      <c r="A32" s="4837">
        <v>9</v>
      </c>
      <c r="B32" s="4837" t="s">
        <v>62</v>
      </c>
      <c r="C32" s="4838">
        <v>1</v>
      </c>
      <c r="D32" s="4839">
        <v>39748</v>
      </c>
      <c r="E32" s="4840">
        <v>36788681.2658943</v>
      </c>
      <c r="G32" s="4838">
        <v>5</v>
      </c>
      <c r="H32" s="4838">
        <v>6</v>
      </c>
      <c r="I32" s="4855">
        <f t="shared" si="3"/>
        <v>3678868.12658943</v>
      </c>
      <c r="K32" s="4837">
        <v>1</v>
      </c>
      <c r="L32" s="4856">
        <v>0.25</v>
      </c>
      <c r="M32" s="4838">
        <v>6</v>
      </c>
      <c r="N32" s="4855">
        <f t="shared" si="4"/>
        <v>4598585.15823679</v>
      </c>
      <c r="O32" s="4857"/>
      <c r="P32" s="4840">
        <f t="shared" si="2"/>
        <v>-919717.031647358</v>
      </c>
    </row>
    <row r="33" spans="1:16">
      <c r="A33" s="4837">
        <v>10</v>
      </c>
      <c r="B33" s="4837" t="s">
        <v>63</v>
      </c>
      <c r="C33" s="4838">
        <v>1</v>
      </c>
      <c r="D33" s="4839">
        <v>39748</v>
      </c>
      <c r="E33" s="4840">
        <v>36788681.2658943</v>
      </c>
      <c r="G33" s="4838">
        <v>5</v>
      </c>
      <c r="H33" s="4838">
        <v>6</v>
      </c>
      <c r="I33" s="4855">
        <f t="shared" si="3"/>
        <v>3678868.12658943</v>
      </c>
      <c r="K33" s="4837">
        <v>1</v>
      </c>
      <c r="L33" s="4856">
        <v>0.25</v>
      </c>
      <c r="M33" s="4838">
        <v>6</v>
      </c>
      <c r="N33" s="4855">
        <f t="shared" si="4"/>
        <v>4598585.15823679</v>
      </c>
      <c r="O33" s="4857"/>
      <c r="P33" s="4840">
        <f t="shared" si="2"/>
        <v>-919717.031647358</v>
      </c>
    </row>
    <row r="34" spans="1:16">
      <c r="A34" s="4837">
        <v>11</v>
      </c>
      <c r="B34" s="4837" t="s">
        <v>64</v>
      </c>
      <c r="C34" s="4838">
        <v>1</v>
      </c>
      <c r="D34" s="4839">
        <v>39748</v>
      </c>
      <c r="E34" s="4840">
        <v>116969140.435151</v>
      </c>
      <c r="G34" s="4838">
        <v>5</v>
      </c>
      <c r="H34" s="4838">
        <v>6</v>
      </c>
      <c r="I34" s="4855">
        <f t="shared" si="3"/>
        <v>11696914.0435151</v>
      </c>
      <c r="K34" s="4837">
        <v>1</v>
      </c>
      <c r="L34" s="4856">
        <v>0.25</v>
      </c>
      <c r="M34" s="4838">
        <v>6</v>
      </c>
      <c r="N34" s="4855">
        <f t="shared" si="4"/>
        <v>14621142.5543939</v>
      </c>
      <c r="O34" s="4857"/>
      <c r="P34" s="4840">
        <f t="shared" si="2"/>
        <v>-2924228.51087878</v>
      </c>
    </row>
    <row r="35" spans="1:16">
      <c r="A35" s="4837">
        <v>12</v>
      </c>
      <c r="B35" s="4837" t="s">
        <v>65</v>
      </c>
      <c r="C35" s="4838">
        <v>1</v>
      </c>
      <c r="D35" s="4839">
        <v>39748</v>
      </c>
      <c r="E35" s="4840">
        <v>62257768.2961289</v>
      </c>
      <c r="G35" s="4838">
        <v>5</v>
      </c>
      <c r="H35" s="4838">
        <v>6</v>
      </c>
      <c r="I35" s="4855">
        <f t="shared" si="3"/>
        <v>6225776.82961289</v>
      </c>
      <c r="K35" s="4837">
        <v>1</v>
      </c>
      <c r="L35" s="4856">
        <v>0.25</v>
      </c>
      <c r="M35" s="4838">
        <v>6</v>
      </c>
      <c r="N35" s="4855">
        <f t="shared" si="4"/>
        <v>7782221.03701611</v>
      </c>
      <c r="O35" s="4857"/>
      <c r="P35" s="4840">
        <f t="shared" si="2"/>
        <v>-1556444.20740322</v>
      </c>
    </row>
    <row r="36" spans="1:16">
      <c r="A36" s="4837">
        <v>13</v>
      </c>
      <c r="B36" s="4837" t="s">
        <v>66</v>
      </c>
      <c r="C36" s="4838">
        <v>1</v>
      </c>
      <c r="D36" s="4839">
        <v>39748</v>
      </c>
      <c r="E36" s="4840">
        <v>116969140.435151</v>
      </c>
      <c r="G36" s="4838">
        <v>5</v>
      </c>
      <c r="H36" s="4838">
        <v>6</v>
      </c>
      <c r="I36" s="4855">
        <f t="shared" si="3"/>
        <v>11696914.0435151</v>
      </c>
      <c r="K36" s="4837">
        <v>1</v>
      </c>
      <c r="L36" s="4856">
        <v>0.25</v>
      </c>
      <c r="M36" s="4838">
        <v>6</v>
      </c>
      <c r="N36" s="4855">
        <f t="shared" si="4"/>
        <v>14621142.5543939</v>
      </c>
      <c r="O36" s="4857"/>
      <c r="P36" s="4840">
        <f t="shared" si="2"/>
        <v>-2924228.51087878</v>
      </c>
    </row>
    <row r="37" spans="1:16">
      <c r="A37" s="4837">
        <v>14</v>
      </c>
      <c r="B37" s="4837" t="s">
        <v>67</v>
      </c>
      <c r="C37" s="4838">
        <v>1</v>
      </c>
      <c r="D37" s="4839">
        <v>39748</v>
      </c>
      <c r="E37" s="4840">
        <v>116969140.435151</v>
      </c>
      <c r="G37" s="4838">
        <v>5</v>
      </c>
      <c r="H37" s="4838">
        <v>6</v>
      </c>
      <c r="I37" s="4855">
        <f t="shared" si="3"/>
        <v>11696914.0435151</v>
      </c>
      <c r="K37" s="4837">
        <v>1</v>
      </c>
      <c r="L37" s="4856">
        <v>0.25</v>
      </c>
      <c r="M37" s="4838">
        <v>6</v>
      </c>
      <c r="N37" s="4855">
        <f t="shared" si="4"/>
        <v>14621142.5543939</v>
      </c>
      <c r="O37" s="4857"/>
      <c r="P37" s="4840">
        <f t="shared" si="2"/>
        <v>-2924228.51087878</v>
      </c>
    </row>
    <row r="38" spans="1:16">
      <c r="A38" s="4837">
        <v>15</v>
      </c>
      <c r="B38" s="4837" t="s">
        <v>68</v>
      </c>
      <c r="C38" s="4838">
        <v>1</v>
      </c>
      <c r="D38" s="4839">
        <v>39748</v>
      </c>
      <c r="E38" s="4840">
        <v>36788681.2658943</v>
      </c>
      <c r="G38" s="4838">
        <v>5</v>
      </c>
      <c r="H38" s="4838">
        <v>6</v>
      </c>
      <c r="I38" s="4855">
        <f t="shared" si="3"/>
        <v>3678868.12658943</v>
      </c>
      <c r="K38" s="4837">
        <v>1</v>
      </c>
      <c r="L38" s="4856">
        <v>0.25</v>
      </c>
      <c r="M38" s="4838">
        <v>6</v>
      </c>
      <c r="N38" s="4855">
        <f t="shared" si="4"/>
        <v>4598585.15823679</v>
      </c>
      <c r="O38" s="4857"/>
      <c r="P38" s="4840">
        <f t="shared" si="2"/>
        <v>-919717.031647358</v>
      </c>
    </row>
    <row r="39" spans="1:16">
      <c r="A39" s="4837">
        <v>16</v>
      </c>
      <c r="B39" s="4837" t="s">
        <v>69</v>
      </c>
      <c r="C39" s="4838">
        <v>1</v>
      </c>
      <c r="D39" s="4839">
        <v>39748</v>
      </c>
      <c r="E39" s="4840">
        <v>36788681.2658943</v>
      </c>
      <c r="G39" s="4838">
        <v>5</v>
      </c>
      <c r="H39" s="4838">
        <v>6</v>
      </c>
      <c r="I39" s="4855">
        <f t="shared" si="3"/>
        <v>3678868.12658943</v>
      </c>
      <c r="K39" s="4837">
        <v>1</v>
      </c>
      <c r="L39" s="4856">
        <v>0.25</v>
      </c>
      <c r="M39" s="4838">
        <v>6</v>
      </c>
      <c r="N39" s="4855">
        <f t="shared" si="4"/>
        <v>4598585.15823679</v>
      </c>
      <c r="O39" s="4857"/>
      <c r="P39" s="4840">
        <f t="shared" si="2"/>
        <v>-919717.031647358</v>
      </c>
    </row>
    <row r="40" spans="1:16">
      <c r="A40" s="4837">
        <v>17</v>
      </c>
      <c r="B40" s="4837" t="s">
        <v>70</v>
      </c>
      <c r="C40" s="4838">
        <v>1</v>
      </c>
      <c r="D40" s="4839">
        <v>39748</v>
      </c>
      <c r="E40" s="4840">
        <v>23582487.9909579</v>
      </c>
      <c r="G40" s="4838">
        <v>5</v>
      </c>
      <c r="H40" s="4838">
        <v>6</v>
      </c>
      <c r="I40" s="4855">
        <f t="shared" si="3"/>
        <v>2358248.79909579</v>
      </c>
      <c r="K40" s="4837">
        <v>1</v>
      </c>
      <c r="L40" s="4856">
        <v>0.25</v>
      </c>
      <c r="M40" s="4838">
        <v>6</v>
      </c>
      <c r="N40" s="4855">
        <f t="shared" si="4"/>
        <v>2947810.99886974</v>
      </c>
      <c r="O40" s="4857"/>
      <c r="P40" s="4840">
        <f t="shared" si="2"/>
        <v>-589562.199773947</v>
      </c>
    </row>
    <row r="41" spans="1:16">
      <c r="A41" s="4837">
        <v>18</v>
      </c>
      <c r="B41" s="4837" t="s">
        <v>71</v>
      </c>
      <c r="C41" s="4838">
        <v>1</v>
      </c>
      <c r="D41" s="4839">
        <v>39748</v>
      </c>
      <c r="E41" s="4840">
        <v>23582487.9909579</v>
      </c>
      <c r="G41" s="4838">
        <v>5</v>
      </c>
      <c r="H41" s="4838">
        <v>6</v>
      </c>
      <c r="I41" s="4855">
        <f t="shared" si="3"/>
        <v>2358248.79909579</v>
      </c>
      <c r="K41" s="4837">
        <v>1</v>
      </c>
      <c r="L41" s="4856">
        <v>0.25</v>
      </c>
      <c r="M41" s="4838">
        <v>6</v>
      </c>
      <c r="N41" s="4855">
        <f t="shared" si="4"/>
        <v>2947810.99886974</v>
      </c>
      <c r="O41" s="4857"/>
      <c r="P41" s="4840">
        <f t="shared" si="2"/>
        <v>-589562.199773947</v>
      </c>
    </row>
    <row r="42" spans="1:16">
      <c r="A42" s="4837">
        <v>19</v>
      </c>
      <c r="B42" s="4837" t="s">
        <v>72</v>
      </c>
      <c r="C42" s="4838">
        <v>1</v>
      </c>
      <c r="D42" s="4839">
        <v>39748</v>
      </c>
      <c r="E42" s="4840">
        <v>23582487.9909579</v>
      </c>
      <c r="G42" s="4838">
        <v>5</v>
      </c>
      <c r="H42" s="4838">
        <v>6</v>
      </c>
      <c r="I42" s="4855">
        <f t="shared" si="3"/>
        <v>2358248.79909579</v>
      </c>
      <c r="K42" s="4837">
        <v>1</v>
      </c>
      <c r="L42" s="4856">
        <v>0.25</v>
      </c>
      <c r="M42" s="4838">
        <v>6</v>
      </c>
      <c r="N42" s="4855">
        <f t="shared" si="4"/>
        <v>2947810.99886974</v>
      </c>
      <c r="O42" s="4857"/>
      <c r="P42" s="4840">
        <f t="shared" si="2"/>
        <v>-589562.199773947</v>
      </c>
    </row>
    <row r="43" spans="1:16">
      <c r="A43" s="4837">
        <v>20</v>
      </c>
      <c r="B43" s="4837" t="s">
        <v>73</v>
      </c>
      <c r="C43" s="4838">
        <v>1</v>
      </c>
      <c r="D43" s="4839">
        <v>39748</v>
      </c>
      <c r="E43" s="4840">
        <v>23582487.9909579</v>
      </c>
      <c r="G43" s="4838">
        <v>5</v>
      </c>
      <c r="H43" s="4838">
        <v>6</v>
      </c>
      <c r="I43" s="4855">
        <f t="shared" si="3"/>
        <v>2358248.79909579</v>
      </c>
      <c r="K43" s="4837">
        <v>1</v>
      </c>
      <c r="L43" s="4856">
        <v>0.25</v>
      </c>
      <c r="M43" s="4838">
        <v>6</v>
      </c>
      <c r="N43" s="4855">
        <f t="shared" si="4"/>
        <v>2947810.99886974</v>
      </c>
      <c r="O43" s="4857"/>
      <c r="P43" s="4840">
        <f t="shared" si="2"/>
        <v>-589562.199773947</v>
      </c>
    </row>
    <row r="44" spans="1:16">
      <c r="A44" s="4837">
        <v>21</v>
      </c>
      <c r="B44" s="4837" t="s">
        <v>74</v>
      </c>
      <c r="C44" s="4838">
        <v>1</v>
      </c>
      <c r="D44" s="4839">
        <v>39748</v>
      </c>
      <c r="E44" s="4840">
        <v>23582487.9909579</v>
      </c>
      <c r="G44" s="4838">
        <v>5</v>
      </c>
      <c r="H44" s="4838">
        <v>6</v>
      </c>
      <c r="I44" s="4855">
        <f t="shared" si="3"/>
        <v>2358248.79909579</v>
      </c>
      <c r="K44" s="4837">
        <v>1</v>
      </c>
      <c r="L44" s="4856">
        <v>0.25</v>
      </c>
      <c r="M44" s="4838">
        <v>6</v>
      </c>
      <c r="N44" s="4855">
        <f t="shared" si="4"/>
        <v>2947810.99886974</v>
      </c>
      <c r="O44" s="4857"/>
      <c r="P44" s="4840">
        <f t="shared" si="2"/>
        <v>-589562.199773947</v>
      </c>
    </row>
    <row r="45" spans="1:16">
      <c r="A45" s="4837">
        <v>22</v>
      </c>
      <c r="B45" s="4837" t="s">
        <v>75</v>
      </c>
      <c r="C45" s="4838">
        <v>1</v>
      </c>
      <c r="D45" s="4839">
        <v>39748</v>
      </c>
      <c r="E45" s="4840">
        <v>23582487.9909579</v>
      </c>
      <c r="G45" s="4838">
        <v>5</v>
      </c>
      <c r="H45" s="4838">
        <v>6</v>
      </c>
      <c r="I45" s="4855">
        <f t="shared" si="3"/>
        <v>2358248.79909579</v>
      </c>
      <c r="K45" s="4837">
        <v>1</v>
      </c>
      <c r="L45" s="4856">
        <v>0.25</v>
      </c>
      <c r="M45" s="4838">
        <v>6</v>
      </c>
      <c r="N45" s="4855">
        <f t="shared" si="4"/>
        <v>2947810.99886974</v>
      </c>
      <c r="O45" s="4857"/>
      <c r="P45" s="4840">
        <f t="shared" si="2"/>
        <v>-589562.199773947</v>
      </c>
    </row>
    <row r="46" spans="1:16">
      <c r="A46" s="4837">
        <v>23</v>
      </c>
      <c r="B46" s="4837" t="s">
        <v>76</v>
      </c>
      <c r="C46" s="4838">
        <v>1</v>
      </c>
      <c r="D46" s="4839">
        <v>39748</v>
      </c>
      <c r="E46" s="4840">
        <v>91500053.4049166</v>
      </c>
      <c r="G46" s="4838">
        <v>5</v>
      </c>
      <c r="H46" s="4838">
        <v>6</v>
      </c>
      <c r="I46" s="4855">
        <f t="shared" si="3"/>
        <v>9150005.34049167</v>
      </c>
      <c r="K46" s="4837">
        <v>1</v>
      </c>
      <c r="L46" s="4856">
        <v>0.25</v>
      </c>
      <c r="M46" s="4838">
        <v>6</v>
      </c>
      <c r="N46" s="4855">
        <f t="shared" si="4"/>
        <v>11437506.6756146</v>
      </c>
      <c r="O46" s="4857"/>
      <c r="P46" s="4840">
        <f t="shared" si="2"/>
        <v>-2287501.33512291</v>
      </c>
    </row>
    <row r="47" spans="1:16">
      <c r="A47" s="4837">
        <v>24</v>
      </c>
      <c r="B47" s="4837" t="s">
        <v>77</v>
      </c>
      <c r="C47" s="4838">
        <v>1</v>
      </c>
      <c r="D47" s="4839">
        <v>39748</v>
      </c>
      <c r="E47" s="4840">
        <v>91500053.4049166</v>
      </c>
      <c r="G47" s="4838">
        <v>5</v>
      </c>
      <c r="H47" s="4838">
        <v>6</v>
      </c>
      <c r="I47" s="4855">
        <f t="shared" si="3"/>
        <v>9150005.34049167</v>
      </c>
      <c r="K47" s="4837">
        <v>1</v>
      </c>
      <c r="L47" s="4856">
        <v>0.25</v>
      </c>
      <c r="M47" s="4838">
        <v>6</v>
      </c>
      <c r="N47" s="4855">
        <f t="shared" si="4"/>
        <v>11437506.6756146</v>
      </c>
      <c r="O47" s="4857"/>
      <c r="P47" s="4840">
        <f t="shared" si="2"/>
        <v>-2287501.33512291</v>
      </c>
    </row>
    <row r="48" spans="1:16">
      <c r="A48" s="4837">
        <v>25</v>
      </c>
      <c r="B48" s="4837" t="s">
        <v>78</v>
      </c>
      <c r="C48" s="4838">
        <v>1</v>
      </c>
      <c r="D48" s="4839">
        <v>39748</v>
      </c>
      <c r="E48" s="4840">
        <v>23582487.9909579</v>
      </c>
      <c r="G48" s="4838">
        <v>5</v>
      </c>
      <c r="H48" s="4838">
        <v>6</v>
      </c>
      <c r="I48" s="4855">
        <f t="shared" si="3"/>
        <v>2358248.79909579</v>
      </c>
      <c r="K48" s="4837">
        <v>1</v>
      </c>
      <c r="L48" s="4856">
        <v>0.25</v>
      </c>
      <c r="M48" s="4838">
        <v>6</v>
      </c>
      <c r="N48" s="4855">
        <f t="shared" si="4"/>
        <v>2947810.99886974</v>
      </c>
      <c r="O48" s="4857"/>
      <c r="P48" s="4840">
        <f t="shared" si="2"/>
        <v>-589562.199773947</v>
      </c>
    </row>
    <row r="49" spans="1:16">
      <c r="A49" s="4837">
        <v>26</v>
      </c>
      <c r="B49" s="4837" t="s">
        <v>79</v>
      </c>
      <c r="C49" s="4838">
        <v>1</v>
      </c>
      <c r="D49" s="4839">
        <v>39748</v>
      </c>
      <c r="E49" s="4840">
        <v>23582487.9909579</v>
      </c>
      <c r="G49" s="4838">
        <v>5</v>
      </c>
      <c r="H49" s="4838">
        <v>6</v>
      </c>
      <c r="I49" s="4855">
        <f t="shared" si="3"/>
        <v>2358248.79909579</v>
      </c>
      <c r="K49" s="4837">
        <v>1</v>
      </c>
      <c r="L49" s="4856">
        <v>0.25</v>
      </c>
      <c r="M49" s="4838">
        <v>6</v>
      </c>
      <c r="N49" s="4855">
        <f t="shared" si="4"/>
        <v>2947810.99886974</v>
      </c>
      <c r="O49" s="4857"/>
      <c r="P49" s="4840">
        <f t="shared" si="2"/>
        <v>-589562.199773947</v>
      </c>
    </row>
    <row r="50" spans="1:16">
      <c r="A50" s="4837">
        <v>27</v>
      </c>
      <c r="B50" s="4837" t="s">
        <v>80</v>
      </c>
      <c r="C50" s="4838">
        <v>1</v>
      </c>
      <c r="D50" s="4839">
        <v>39748</v>
      </c>
      <c r="E50" s="4840">
        <v>23582487.9909579</v>
      </c>
      <c r="G50" s="4838">
        <v>5</v>
      </c>
      <c r="H50" s="4838">
        <v>6</v>
      </c>
      <c r="I50" s="4855">
        <f t="shared" si="3"/>
        <v>2358248.79909579</v>
      </c>
      <c r="K50" s="4837">
        <v>1</v>
      </c>
      <c r="L50" s="4856">
        <v>0.25</v>
      </c>
      <c r="M50" s="4838">
        <v>6</v>
      </c>
      <c r="N50" s="4855">
        <f t="shared" si="4"/>
        <v>2947810.99886974</v>
      </c>
      <c r="O50" s="4857"/>
      <c r="P50" s="4840">
        <f t="shared" si="2"/>
        <v>-589562.199773947</v>
      </c>
    </row>
    <row r="51" spans="1:16">
      <c r="A51" s="4837">
        <v>28</v>
      </c>
      <c r="B51" s="4837" t="s">
        <v>81</v>
      </c>
      <c r="C51" s="4838">
        <v>1</v>
      </c>
      <c r="D51" s="4839">
        <v>39748</v>
      </c>
      <c r="E51" s="4840">
        <v>23582487.9909579</v>
      </c>
      <c r="G51" s="4838">
        <v>5</v>
      </c>
      <c r="H51" s="4838">
        <v>6</v>
      </c>
      <c r="I51" s="4855">
        <f t="shared" si="3"/>
        <v>2358248.79909579</v>
      </c>
      <c r="K51" s="4837">
        <v>1</v>
      </c>
      <c r="L51" s="4856">
        <v>0.25</v>
      </c>
      <c r="M51" s="4838">
        <v>6</v>
      </c>
      <c r="N51" s="4855">
        <f t="shared" si="4"/>
        <v>2947810.99886974</v>
      </c>
      <c r="O51" s="4857"/>
      <c r="P51" s="4840">
        <f t="shared" si="2"/>
        <v>-589562.199773947</v>
      </c>
    </row>
    <row r="52" spans="1:16">
      <c r="A52" s="4837">
        <v>29</v>
      </c>
      <c r="B52" s="4837" t="s">
        <v>82</v>
      </c>
      <c r="C52" s="4838">
        <v>1</v>
      </c>
      <c r="D52" s="4839">
        <v>39748</v>
      </c>
      <c r="E52" s="4840">
        <v>23582487.9909579</v>
      </c>
      <c r="G52" s="4838">
        <v>5</v>
      </c>
      <c r="H52" s="4838">
        <v>6</v>
      </c>
      <c r="I52" s="4855">
        <f t="shared" si="3"/>
        <v>2358248.79909579</v>
      </c>
      <c r="K52" s="4837">
        <v>1</v>
      </c>
      <c r="L52" s="4856">
        <v>0.25</v>
      </c>
      <c r="M52" s="4838">
        <v>6</v>
      </c>
      <c r="N52" s="4855">
        <f t="shared" si="4"/>
        <v>2947810.99886974</v>
      </c>
      <c r="O52" s="4857"/>
      <c r="P52" s="4840">
        <f t="shared" si="2"/>
        <v>-589562.199773947</v>
      </c>
    </row>
    <row r="53" spans="1:16">
      <c r="A53" s="4837">
        <v>30</v>
      </c>
      <c r="B53" s="4837" t="s">
        <v>83</v>
      </c>
      <c r="C53" s="4838">
        <v>1</v>
      </c>
      <c r="D53" s="4839">
        <v>39748</v>
      </c>
      <c r="E53" s="4840">
        <v>23582487.9909579</v>
      </c>
      <c r="G53" s="4838">
        <v>5</v>
      </c>
      <c r="H53" s="4838">
        <v>6</v>
      </c>
      <c r="I53" s="4855">
        <f t="shared" si="3"/>
        <v>2358248.79909579</v>
      </c>
      <c r="K53" s="4837">
        <v>1</v>
      </c>
      <c r="L53" s="4856">
        <v>0.25</v>
      </c>
      <c r="M53" s="4838">
        <v>6</v>
      </c>
      <c r="N53" s="4855">
        <f t="shared" si="4"/>
        <v>2947810.99886974</v>
      </c>
      <c r="O53" s="4857"/>
      <c r="P53" s="4840">
        <f t="shared" si="2"/>
        <v>-589562.199773947</v>
      </c>
    </row>
    <row r="54" spans="1:16">
      <c r="A54" s="4837">
        <v>31</v>
      </c>
      <c r="B54" s="4837" t="s">
        <v>84</v>
      </c>
      <c r="C54" s="4838">
        <v>1</v>
      </c>
      <c r="D54" s="4839">
        <v>39748</v>
      </c>
      <c r="E54" s="4840">
        <v>36788681.2658943</v>
      </c>
      <c r="G54" s="4838">
        <v>5</v>
      </c>
      <c r="H54" s="4838">
        <v>6</v>
      </c>
      <c r="I54" s="4855">
        <f t="shared" si="3"/>
        <v>3678868.12658943</v>
      </c>
      <c r="K54" s="4837">
        <v>1</v>
      </c>
      <c r="L54" s="4856">
        <v>0.25</v>
      </c>
      <c r="M54" s="4838">
        <v>6</v>
      </c>
      <c r="N54" s="4855">
        <f t="shared" si="4"/>
        <v>4598585.15823679</v>
      </c>
      <c r="O54" s="4857"/>
      <c r="P54" s="4840">
        <f t="shared" si="2"/>
        <v>-919717.031647358</v>
      </c>
    </row>
    <row r="55" spans="1:16">
      <c r="A55" s="4837">
        <v>32</v>
      </c>
      <c r="B55" s="4837" t="s">
        <v>85</v>
      </c>
      <c r="C55" s="4838">
        <v>1</v>
      </c>
      <c r="D55" s="4839">
        <v>39748</v>
      </c>
      <c r="E55" s="4840">
        <v>36788681.2658943</v>
      </c>
      <c r="G55" s="4838">
        <v>5</v>
      </c>
      <c r="H55" s="4838">
        <v>6</v>
      </c>
      <c r="I55" s="4855">
        <f t="shared" si="3"/>
        <v>3678868.12658943</v>
      </c>
      <c r="K55" s="4837">
        <v>1</v>
      </c>
      <c r="L55" s="4856">
        <v>0.25</v>
      </c>
      <c r="M55" s="4838">
        <v>6</v>
      </c>
      <c r="N55" s="4855">
        <f t="shared" si="4"/>
        <v>4598585.15823679</v>
      </c>
      <c r="O55" s="4857"/>
      <c r="P55" s="4840">
        <f t="shared" si="2"/>
        <v>-919717.031647358</v>
      </c>
    </row>
    <row r="56" spans="1:16">
      <c r="A56" s="4837">
        <v>33</v>
      </c>
      <c r="B56" s="4837" t="s">
        <v>86</v>
      </c>
      <c r="C56" s="4838">
        <v>1</v>
      </c>
      <c r="D56" s="4839">
        <v>39748</v>
      </c>
      <c r="E56" s="4840">
        <v>36788681.2658943</v>
      </c>
      <c r="G56" s="4838">
        <v>5</v>
      </c>
      <c r="H56" s="4838">
        <v>6</v>
      </c>
      <c r="I56" s="4855">
        <f t="shared" si="3"/>
        <v>3678868.12658943</v>
      </c>
      <c r="K56" s="4837">
        <v>1</v>
      </c>
      <c r="L56" s="4856">
        <v>0.25</v>
      </c>
      <c r="M56" s="4838">
        <v>6</v>
      </c>
      <c r="N56" s="4855">
        <f t="shared" si="4"/>
        <v>4598585.15823679</v>
      </c>
      <c r="O56" s="4857"/>
      <c r="P56" s="4840">
        <f t="shared" si="2"/>
        <v>-919717.031647358</v>
      </c>
    </row>
    <row r="57" spans="1:16">
      <c r="A57" s="4837">
        <v>34</v>
      </c>
      <c r="B57" s="4837" t="s">
        <v>87</v>
      </c>
      <c r="C57" s="4838">
        <v>1</v>
      </c>
      <c r="D57" s="4839">
        <v>39748</v>
      </c>
      <c r="E57" s="4840">
        <v>36788681.2658943</v>
      </c>
      <c r="G57" s="4838">
        <v>5</v>
      </c>
      <c r="H57" s="4838">
        <v>6</v>
      </c>
      <c r="I57" s="4855">
        <f t="shared" si="3"/>
        <v>3678868.12658943</v>
      </c>
      <c r="K57" s="4837">
        <v>1</v>
      </c>
      <c r="L57" s="4856">
        <v>0.25</v>
      </c>
      <c r="M57" s="4838">
        <v>6</v>
      </c>
      <c r="N57" s="4855">
        <f t="shared" si="4"/>
        <v>4598585.15823679</v>
      </c>
      <c r="O57" s="4857"/>
      <c r="P57" s="4840">
        <f t="shared" si="2"/>
        <v>-919717.031647358</v>
      </c>
    </row>
    <row r="58" spans="1:16">
      <c r="A58" s="4837">
        <v>35</v>
      </c>
      <c r="B58" s="4837" t="s">
        <v>88</v>
      </c>
      <c r="C58" s="4838">
        <v>1</v>
      </c>
      <c r="D58" s="4839">
        <v>39748</v>
      </c>
      <c r="E58" s="4840">
        <v>23582487.9909579</v>
      </c>
      <c r="G58" s="4838">
        <v>5</v>
      </c>
      <c r="H58" s="4838">
        <v>6</v>
      </c>
      <c r="I58" s="4855">
        <f t="shared" si="3"/>
        <v>2358248.79909579</v>
      </c>
      <c r="K58" s="4837">
        <v>1</v>
      </c>
      <c r="L58" s="4856">
        <v>0.25</v>
      </c>
      <c r="M58" s="4838">
        <v>6</v>
      </c>
      <c r="N58" s="4855">
        <f t="shared" si="4"/>
        <v>2947810.99886974</v>
      </c>
      <c r="O58" s="4857"/>
      <c r="P58" s="4840">
        <f t="shared" si="2"/>
        <v>-589562.199773947</v>
      </c>
    </row>
    <row r="59" spans="1:16">
      <c r="A59" s="4837">
        <v>36</v>
      </c>
      <c r="B59" s="4837" t="s">
        <v>89</v>
      </c>
      <c r="C59" s="4838">
        <v>1</v>
      </c>
      <c r="D59" s="4839">
        <v>39748</v>
      </c>
      <c r="E59" s="4840">
        <v>23582487.9909579</v>
      </c>
      <c r="G59" s="4838">
        <v>5</v>
      </c>
      <c r="H59" s="4838">
        <v>6</v>
      </c>
      <c r="I59" s="4855">
        <f t="shared" si="3"/>
        <v>2358248.79909579</v>
      </c>
      <c r="K59" s="4837">
        <v>1</v>
      </c>
      <c r="L59" s="4856">
        <v>0.25</v>
      </c>
      <c r="M59" s="4838">
        <v>6</v>
      </c>
      <c r="N59" s="4855">
        <f t="shared" si="4"/>
        <v>2947810.99886974</v>
      </c>
      <c r="O59" s="4857"/>
      <c r="P59" s="4840">
        <f t="shared" si="2"/>
        <v>-589562.199773947</v>
      </c>
    </row>
    <row r="60" spans="1:16">
      <c r="A60" s="4837">
        <v>37</v>
      </c>
      <c r="B60" s="4837" t="s">
        <v>90</v>
      </c>
      <c r="C60" s="4838">
        <v>1</v>
      </c>
      <c r="D60" s="4839">
        <v>39748</v>
      </c>
      <c r="E60" s="4840">
        <v>62257768.2961289</v>
      </c>
      <c r="G60" s="4838">
        <v>5</v>
      </c>
      <c r="H60" s="4838">
        <v>6</v>
      </c>
      <c r="I60" s="4855">
        <f t="shared" si="3"/>
        <v>6225776.82961289</v>
      </c>
      <c r="K60" s="4837">
        <v>1</v>
      </c>
      <c r="L60" s="4856">
        <v>0.25</v>
      </c>
      <c r="M60" s="4838">
        <v>6</v>
      </c>
      <c r="N60" s="4855">
        <f t="shared" si="4"/>
        <v>7782221.03701611</v>
      </c>
      <c r="O60" s="4857"/>
      <c r="P60" s="4840">
        <f t="shared" si="2"/>
        <v>-1556444.20740322</v>
      </c>
    </row>
    <row r="61" spans="1:16">
      <c r="A61" s="4837">
        <v>38</v>
      </c>
      <c r="B61" s="4837" t="s">
        <v>91</v>
      </c>
      <c r="C61" s="4838">
        <v>1</v>
      </c>
      <c r="D61" s="4839">
        <v>39748</v>
      </c>
      <c r="E61" s="4840">
        <v>116969140.435151</v>
      </c>
      <c r="G61" s="4838">
        <v>5</v>
      </c>
      <c r="H61" s="4838">
        <v>6</v>
      </c>
      <c r="I61" s="4855">
        <f t="shared" si="3"/>
        <v>11696914.0435151</v>
      </c>
      <c r="K61" s="4837">
        <v>1</v>
      </c>
      <c r="L61" s="4856">
        <v>0.25</v>
      </c>
      <c r="M61" s="4838">
        <v>6</v>
      </c>
      <c r="N61" s="4855">
        <f t="shared" si="4"/>
        <v>14621142.5543939</v>
      </c>
      <c r="O61" s="4857"/>
      <c r="P61" s="4840">
        <f t="shared" si="2"/>
        <v>-2924228.51087878</v>
      </c>
    </row>
    <row r="62" spans="1:16">
      <c r="A62" s="4837">
        <v>39</v>
      </c>
      <c r="B62" s="4837" t="s">
        <v>92</v>
      </c>
      <c r="C62" s="4838">
        <v>1</v>
      </c>
      <c r="D62" s="4839">
        <v>39748</v>
      </c>
      <c r="E62" s="4840">
        <v>49051575.0211924</v>
      </c>
      <c r="G62" s="4838">
        <v>5</v>
      </c>
      <c r="H62" s="4838">
        <v>6</v>
      </c>
      <c r="I62" s="4855">
        <f t="shared" si="3"/>
        <v>4905157.50211924</v>
      </c>
      <c r="K62" s="4837">
        <v>1</v>
      </c>
      <c r="L62" s="4856">
        <v>0.25</v>
      </c>
      <c r="M62" s="4838">
        <v>6</v>
      </c>
      <c r="N62" s="4855">
        <f t="shared" si="4"/>
        <v>6131446.87764905</v>
      </c>
      <c r="O62" s="4857"/>
      <c r="P62" s="4840">
        <f t="shared" si="2"/>
        <v>-1226289.37552981</v>
      </c>
    </row>
    <row r="63" spans="1:16">
      <c r="A63" s="4837">
        <v>40</v>
      </c>
      <c r="B63" s="4837" t="s">
        <v>93</v>
      </c>
      <c r="C63" s="4838">
        <v>1</v>
      </c>
      <c r="D63" s="4839">
        <v>39748</v>
      </c>
      <c r="E63" s="4840">
        <v>49051575.0211924</v>
      </c>
      <c r="G63" s="4838">
        <v>5</v>
      </c>
      <c r="H63" s="4838">
        <v>6</v>
      </c>
      <c r="I63" s="4855">
        <f t="shared" si="3"/>
        <v>4905157.50211924</v>
      </c>
      <c r="K63" s="4837">
        <v>1</v>
      </c>
      <c r="L63" s="4856">
        <v>0.25</v>
      </c>
      <c r="M63" s="4838">
        <v>6</v>
      </c>
      <c r="N63" s="4855">
        <f t="shared" si="4"/>
        <v>6131446.87764905</v>
      </c>
      <c r="O63" s="4857"/>
      <c r="P63" s="4840">
        <f t="shared" si="2"/>
        <v>-1226289.37552981</v>
      </c>
    </row>
    <row r="64" spans="1:16">
      <c r="A64" s="4837">
        <v>41</v>
      </c>
      <c r="B64" s="4837" t="s">
        <v>94</v>
      </c>
      <c r="C64" s="4838">
        <v>1</v>
      </c>
      <c r="D64" s="4839">
        <v>39748</v>
      </c>
      <c r="E64" s="4840">
        <v>49051575.0211924</v>
      </c>
      <c r="G64" s="4838">
        <v>5</v>
      </c>
      <c r="H64" s="4838">
        <v>6</v>
      </c>
      <c r="I64" s="4855">
        <f t="shared" si="3"/>
        <v>4905157.50211924</v>
      </c>
      <c r="K64" s="4837">
        <v>1</v>
      </c>
      <c r="L64" s="4856">
        <v>0.25</v>
      </c>
      <c r="M64" s="4838">
        <v>6</v>
      </c>
      <c r="N64" s="4855">
        <f t="shared" si="4"/>
        <v>6131446.87764905</v>
      </c>
      <c r="O64" s="4857"/>
      <c r="P64" s="4840">
        <f t="shared" si="2"/>
        <v>-1226289.37552981</v>
      </c>
    </row>
    <row r="65" spans="1:16">
      <c r="A65" s="4837">
        <v>42</v>
      </c>
      <c r="B65" s="4837" t="s">
        <v>95</v>
      </c>
      <c r="C65" s="4838">
        <v>1</v>
      </c>
      <c r="D65" s="4839">
        <v>39748</v>
      </c>
      <c r="E65" s="4840">
        <v>49051575.0211924</v>
      </c>
      <c r="G65" s="4838">
        <v>5</v>
      </c>
      <c r="H65" s="4838">
        <v>6</v>
      </c>
      <c r="I65" s="4855">
        <f t="shared" si="3"/>
        <v>4905157.50211924</v>
      </c>
      <c r="K65" s="4837">
        <v>1</v>
      </c>
      <c r="L65" s="4856">
        <v>0.25</v>
      </c>
      <c r="M65" s="4838">
        <v>6</v>
      </c>
      <c r="N65" s="4855">
        <f t="shared" si="4"/>
        <v>6131446.87764905</v>
      </c>
      <c r="O65" s="4857"/>
      <c r="P65" s="4840">
        <f t="shared" si="2"/>
        <v>-1226289.37552981</v>
      </c>
    </row>
    <row r="66" spans="1:16">
      <c r="A66" s="4837">
        <v>43</v>
      </c>
      <c r="B66" s="4837" t="s">
        <v>96</v>
      </c>
      <c r="C66" s="4838">
        <v>1</v>
      </c>
      <c r="D66" s="4839">
        <v>39748</v>
      </c>
      <c r="E66" s="4840">
        <v>62257768.2961289</v>
      </c>
      <c r="G66" s="4838">
        <v>5</v>
      </c>
      <c r="H66" s="4838">
        <v>6</v>
      </c>
      <c r="I66" s="4855">
        <f t="shared" si="3"/>
        <v>6225776.82961289</v>
      </c>
      <c r="K66" s="4837">
        <v>1</v>
      </c>
      <c r="L66" s="4856">
        <v>0.25</v>
      </c>
      <c r="M66" s="4838">
        <v>6</v>
      </c>
      <c r="N66" s="4855">
        <f t="shared" si="4"/>
        <v>7782221.03701611</v>
      </c>
      <c r="O66" s="4857"/>
      <c r="P66" s="4840">
        <f t="shared" si="2"/>
        <v>-1556444.20740322</v>
      </c>
    </row>
    <row r="67" spans="1:16">
      <c r="A67" s="4837">
        <v>44</v>
      </c>
      <c r="B67" s="4837" t="s">
        <v>97</v>
      </c>
      <c r="C67" s="4838">
        <v>1</v>
      </c>
      <c r="D67" s="4839">
        <v>39748</v>
      </c>
      <c r="E67" s="4840">
        <v>36788681.2658943</v>
      </c>
      <c r="G67" s="4838">
        <v>5</v>
      </c>
      <c r="H67" s="4838">
        <v>6</v>
      </c>
      <c r="I67" s="4855">
        <f t="shared" si="3"/>
        <v>3678868.12658943</v>
      </c>
      <c r="K67" s="4837">
        <v>1</v>
      </c>
      <c r="L67" s="4856">
        <v>0.25</v>
      </c>
      <c r="M67" s="4838">
        <v>6</v>
      </c>
      <c r="N67" s="4855">
        <f t="shared" si="4"/>
        <v>4598585.15823679</v>
      </c>
      <c r="O67" s="4857"/>
      <c r="P67" s="4840">
        <f t="shared" si="2"/>
        <v>-919717.031647358</v>
      </c>
    </row>
    <row r="68" spans="1:16">
      <c r="A68" s="4837">
        <v>45</v>
      </c>
      <c r="B68" s="4837" t="s">
        <v>98</v>
      </c>
      <c r="C68" s="4838">
        <v>1</v>
      </c>
      <c r="D68" s="4839">
        <v>39748</v>
      </c>
      <c r="E68" s="4840">
        <v>36788681.2658943</v>
      </c>
      <c r="G68" s="4838">
        <v>5</v>
      </c>
      <c r="H68" s="4838">
        <v>6</v>
      </c>
      <c r="I68" s="4855">
        <f t="shared" si="3"/>
        <v>3678868.12658943</v>
      </c>
      <c r="K68" s="4837">
        <v>1</v>
      </c>
      <c r="L68" s="4856">
        <v>0.25</v>
      </c>
      <c r="M68" s="4838">
        <v>6</v>
      </c>
      <c r="N68" s="4855">
        <f t="shared" si="4"/>
        <v>4598585.15823679</v>
      </c>
      <c r="O68" s="4857"/>
      <c r="P68" s="4840">
        <f t="shared" si="2"/>
        <v>-919717.031647358</v>
      </c>
    </row>
    <row r="69" spans="1:16">
      <c r="A69" s="4837">
        <v>46</v>
      </c>
      <c r="B69" s="4837" t="s">
        <v>99</v>
      </c>
      <c r="C69" s="4838">
        <v>1</v>
      </c>
      <c r="D69" s="4839">
        <v>39748</v>
      </c>
      <c r="E69" s="4840">
        <v>36788681.2658943</v>
      </c>
      <c r="G69" s="4838">
        <v>5</v>
      </c>
      <c r="H69" s="4838">
        <v>6</v>
      </c>
      <c r="I69" s="4855">
        <f t="shared" si="3"/>
        <v>3678868.12658943</v>
      </c>
      <c r="K69" s="4837">
        <v>1</v>
      </c>
      <c r="L69" s="4856">
        <v>0.25</v>
      </c>
      <c r="M69" s="4838">
        <v>6</v>
      </c>
      <c r="N69" s="4855">
        <f t="shared" si="4"/>
        <v>4598585.15823679</v>
      </c>
      <c r="O69" s="4857"/>
      <c r="P69" s="4840">
        <f t="shared" si="2"/>
        <v>-919717.031647358</v>
      </c>
    </row>
    <row r="70" spans="1:16">
      <c r="A70" s="4837">
        <v>47</v>
      </c>
      <c r="B70" s="4837" t="s">
        <v>100</v>
      </c>
      <c r="C70" s="4838">
        <v>1</v>
      </c>
      <c r="D70" s="4839">
        <v>39748</v>
      </c>
      <c r="E70" s="4840">
        <v>23582487.9909579</v>
      </c>
      <c r="G70" s="4838">
        <v>5</v>
      </c>
      <c r="H70" s="4838">
        <v>6</v>
      </c>
      <c r="I70" s="4855">
        <f t="shared" si="3"/>
        <v>2358248.79909579</v>
      </c>
      <c r="K70" s="4837">
        <v>1</v>
      </c>
      <c r="L70" s="4856">
        <v>0.25</v>
      </c>
      <c r="M70" s="4838">
        <v>6</v>
      </c>
      <c r="N70" s="4855">
        <f t="shared" si="4"/>
        <v>2947810.99886974</v>
      </c>
      <c r="O70" s="4857"/>
      <c r="P70" s="4840">
        <f t="shared" si="2"/>
        <v>-589562.199773947</v>
      </c>
    </row>
    <row r="71" spans="1:16">
      <c r="A71" s="4837">
        <v>48</v>
      </c>
      <c r="B71" s="4837" t="s">
        <v>101</v>
      </c>
      <c r="C71" s="4838">
        <v>1</v>
      </c>
      <c r="D71" s="4839">
        <v>39748</v>
      </c>
      <c r="E71" s="4840">
        <v>36788681.2658943</v>
      </c>
      <c r="G71" s="4838">
        <v>5</v>
      </c>
      <c r="H71" s="4838">
        <v>6</v>
      </c>
      <c r="I71" s="4855">
        <f t="shared" si="3"/>
        <v>3678868.12658943</v>
      </c>
      <c r="K71" s="4837">
        <v>1</v>
      </c>
      <c r="L71" s="4856">
        <v>0.25</v>
      </c>
      <c r="M71" s="4838">
        <v>6</v>
      </c>
      <c r="N71" s="4855">
        <f t="shared" si="4"/>
        <v>4598585.15823679</v>
      </c>
      <c r="O71" s="4857"/>
      <c r="P71" s="4840">
        <f t="shared" si="2"/>
        <v>-919717.031647358</v>
      </c>
    </row>
    <row r="72" spans="1:16">
      <c r="A72" s="4837">
        <v>49</v>
      </c>
      <c r="B72" s="4837" t="s">
        <v>102</v>
      </c>
      <c r="C72" s="4838">
        <v>1</v>
      </c>
      <c r="D72" s="4839">
        <v>39748</v>
      </c>
      <c r="E72" s="4840">
        <v>36788681.2658943</v>
      </c>
      <c r="G72" s="4838">
        <v>5</v>
      </c>
      <c r="H72" s="4838">
        <v>6</v>
      </c>
      <c r="I72" s="4855">
        <f t="shared" si="3"/>
        <v>3678868.12658943</v>
      </c>
      <c r="K72" s="4837">
        <v>1</v>
      </c>
      <c r="L72" s="4856">
        <v>0.25</v>
      </c>
      <c r="M72" s="4838">
        <v>6</v>
      </c>
      <c r="N72" s="4855">
        <f t="shared" si="4"/>
        <v>4598585.15823679</v>
      </c>
      <c r="O72" s="4857"/>
      <c r="P72" s="4840">
        <f t="shared" si="2"/>
        <v>-919717.031647358</v>
      </c>
    </row>
    <row r="73" spans="1:16">
      <c r="A73" s="4837">
        <v>50</v>
      </c>
      <c r="B73" s="4837" t="s">
        <v>103</v>
      </c>
      <c r="C73" s="4838">
        <v>1</v>
      </c>
      <c r="D73" s="4839">
        <v>39748</v>
      </c>
      <c r="E73" s="4840">
        <v>36788681.2658943</v>
      </c>
      <c r="G73" s="4838">
        <v>5</v>
      </c>
      <c r="H73" s="4838">
        <v>6</v>
      </c>
      <c r="I73" s="4855">
        <f t="shared" si="3"/>
        <v>3678868.12658943</v>
      </c>
      <c r="K73" s="4837">
        <v>1</v>
      </c>
      <c r="L73" s="4856">
        <v>0.25</v>
      </c>
      <c r="M73" s="4838">
        <v>6</v>
      </c>
      <c r="N73" s="4855">
        <f t="shared" si="4"/>
        <v>4598585.15823679</v>
      </c>
      <c r="O73" s="4857"/>
      <c r="P73" s="4840">
        <f t="shared" ref="P73:P104" si="5">I73-N73</f>
        <v>-919717.031647358</v>
      </c>
    </row>
    <row r="74" spans="1:16">
      <c r="A74" s="4837">
        <v>51</v>
      </c>
      <c r="B74" s="4837" t="s">
        <v>104</v>
      </c>
      <c r="C74" s="4838">
        <v>1</v>
      </c>
      <c r="D74" s="4839">
        <v>39748</v>
      </c>
      <c r="E74" s="4840">
        <v>62257768.2961289</v>
      </c>
      <c r="G74" s="4838">
        <v>5</v>
      </c>
      <c r="H74" s="4838">
        <v>6</v>
      </c>
      <c r="I74" s="4855">
        <f t="shared" si="3"/>
        <v>6225776.82961289</v>
      </c>
      <c r="K74" s="4837">
        <v>1</v>
      </c>
      <c r="L74" s="4856">
        <v>0.25</v>
      </c>
      <c r="M74" s="4838">
        <v>6</v>
      </c>
      <c r="N74" s="4855">
        <f t="shared" si="4"/>
        <v>7782221.03701611</v>
      </c>
      <c r="O74" s="4857"/>
      <c r="P74" s="4840">
        <f t="shared" si="5"/>
        <v>-1556444.20740322</v>
      </c>
    </row>
    <row r="75" spans="1:16">
      <c r="A75" s="4837">
        <v>52</v>
      </c>
      <c r="B75" s="4837" t="s">
        <v>105</v>
      </c>
      <c r="C75" s="4838">
        <v>1</v>
      </c>
      <c r="D75" s="4839">
        <v>39748</v>
      </c>
      <c r="E75" s="4840">
        <v>62257768.2961289</v>
      </c>
      <c r="G75" s="4838">
        <v>5</v>
      </c>
      <c r="H75" s="4838">
        <v>6</v>
      </c>
      <c r="I75" s="4855">
        <f t="shared" si="3"/>
        <v>6225776.82961289</v>
      </c>
      <c r="K75" s="4837">
        <v>1</v>
      </c>
      <c r="L75" s="4856">
        <v>0.25</v>
      </c>
      <c r="M75" s="4838">
        <v>6</v>
      </c>
      <c r="N75" s="4855">
        <f t="shared" si="4"/>
        <v>7782221.03701611</v>
      </c>
      <c r="O75" s="4857"/>
      <c r="P75" s="4840">
        <f t="shared" si="5"/>
        <v>-1556444.20740322</v>
      </c>
    </row>
    <row r="76" spans="1:16">
      <c r="A76" s="4837">
        <v>53</v>
      </c>
      <c r="B76" s="4837" t="s">
        <v>106</v>
      </c>
      <c r="C76" s="4838">
        <v>1</v>
      </c>
      <c r="D76" s="4839">
        <v>39748</v>
      </c>
      <c r="E76" s="4840">
        <v>62257768.2961289</v>
      </c>
      <c r="G76" s="4838">
        <v>5</v>
      </c>
      <c r="H76" s="4838">
        <v>6</v>
      </c>
      <c r="I76" s="4855">
        <f t="shared" si="3"/>
        <v>6225776.82961289</v>
      </c>
      <c r="K76" s="4837">
        <v>1</v>
      </c>
      <c r="L76" s="4856">
        <v>0.25</v>
      </c>
      <c r="M76" s="4838">
        <v>6</v>
      </c>
      <c r="N76" s="4855">
        <f t="shared" si="4"/>
        <v>7782221.03701611</v>
      </c>
      <c r="O76" s="4857"/>
      <c r="P76" s="4840">
        <f t="shared" si="5"/>
        <v>-1556444.20740322</v>
      </c>
    </row>
    <row r="77" spans="1:16">
      <c r="A77" s="4837">
        <v>54</v>
      </c>
      <c r="B77" s="4837" t="s">
        <v>107</v>
      </c>
      <c r="C77" s="4838">
        <v>1</v>
      </c>
      <c r="D77" s="4839">
        <v>39748</v>
      </c>
      <c r="E77" s="4840">
        <v>62257768.2961289</v>
      </c>
      <c r="G77" s="4838">
        <v>5</v>
      </c>
      <c r="H77" s="4838">
        <v>6</v>
      </c>
      <c r="I77" s="4855">
        <f t="shared" si="3"/>
        <v>6225776.82961289</v>
      </c>
      <c r="K77" s="4837">
        <v>1</v>
      </c>
      <c r="L77" s="4856">
        <v>0.25</v>
      </c>
      <c r="M77" s="4838">
        <v>6</v>
      </c>
      <c r="N77" s="4855">
        <f t="shared" si="4"/>
        <v>7782221.03701611</v>
      </c>
      <c r="O77" s="4857"/>
      <c r="P77" s="4840">
        <f t="shared" si="5"/>
        <v>-1556444.20740322</v>
      </c>
    </row>
    <row r="78" spans="1:16">
      <c r="A78" s="4837">
        <v>55</v>
      </c>
      <c r="B78" s="4837" t="s">
        <v>108</v>
      </c>
      <c r="C78" s="4838">
        <v>1</v>
      </c>
      <c r="D78" s="4839">
        <v>39748</v>
      </c>
      <c r="E78" s="4840">
        <v>36788681.2658943</v>
      </c>
      <c r="G78" s="4838">
        <v>5</v>
      </c>
      <c r="H78" s="4838">
        <v>6</v>
      </c>
      <c r="I78" s="4855">
        <f t="shared" si="3"/>
        <v>3678868.12658943</v>
      </c>
      <c r="K78" s="4837">
        <v>1</v>
      </c>
      <c r="L78" s="4856">
        <v>0.25</v>
      </c>
      <c r="M78" s="4838">
        <v>6</v>
      </c>
      <c r="N78" s="4855">
        <f t="shared" si="4"/>
        <v>4598585.15823679</v>
      </c>
      <c r="O78" s="4857"/>
      <c r="P78" s="4840">
        <f t="shared" si="5"/>
        <v>-919717.031647358</v>
      </c>
    </row>
    <row r="79" spans="1:16">
      <c r="A79" s="4837">
        <v>56</v>
      </c>
      <c r="B79" s="4837" t="s">
        <v>99</v>
      </c>
      <c r="C79" s="4838">
        <v>1</v>
      </c>
      <c r="D79" s="4839">
        <v>39748</v>
      </c>
      <c r="E79" s="4840">
        <v>36788681.2658943</v>
      </c>
      <c r="G79" s="4838">
        <v>5</v>
      </c>
      <c r="H79" s="4838">
        <v>6</v>
      </c>
      <c r="I79" s="4855">
        <f t="shared" si="3"/>
        <v>3678868.12658943</v>
      </c>
      <c r="K79" s="4837">
        <v>1</v>
      </c>
      <c r="L79" s="4856">
        <v>0.25</v>
      </c>
      <c r="M79" s="4838">
        <v>6</v>
      </c>
      <c r="N79" s="4855">
        <f t="shared" si="4"/>
        <v>4598585.15823679</v>
      </c>
      <c r="O79" s="4857"/>
      <c r="P79" s="4840">
        <f t="shared" si="5"/>
        <v>-919717.031647358</v>
      </c>
    </row>
    <row r="80" spans="1:16">
      <c r="A80" s="4837">
        <v>57</v>
      </c>
      <c r="B80" s="4837" t="s">
        <v>109</v>
      </c>
      <c r="C80" s="4838">
        <v>1</v>
      </c>
      <c r="D80" s="4839">
        <v>39748</v>
      </c>
      <c r="E80" s="4840">
        <v>62257768.2961289</v>
      </c>
      <c r="G80" s="4838">
        <v>5</v>
      </c>
      <c r="H80" s="4838">
        <v>6</v>
      </c>
      <c r="I80" s="4855">
        <f t="shared" si="3"/>
        <v>6225776.82961289</v>
      </c>
      <c r="K80" s="4837">
        <v>1</v>
      </c>
      <c r="L80" s="4856">
        <v>0.25</v>
      </c>
      <c r="M80" s="4838">
        <v>6</v>
      </c>
      <c r="N80" s="4855">
        <f t="shared" si="4"/>
        <v>7782221.03701611</v>
      </c>
      <c r="O80" s="4857"/>
      <c r="P80" s="4840">
        <f t="shared" si="5"/>
        <v>-1556444.20740322</v>
      </c>
    </row>
    <row r="81" spans="1:16">
      <c r="A81" s="4837">
        <v>58</v>
      </c>
      <c r="B81" s="4837" t="s">
        <v>110</v>
      </c>
      <c r="C81" s="4838">
        <v>1</v>
      </c>
      <c r="D81" s="4839">
        <v>39748</v>
      </c>
      <c r="E81" s="4840">
        <v>62257768.2961289</v>
      </c>
      <c r="G81" s="4838">
        <v>5</v>
      </c>
      <c r="H81" s="4838">
        <v>6</v>
      </c>
      <c r="I81" s="4855">
        <f t="shared" si="3"/>
        <v>6225776.82961289</v>
      </c>
      <c r="K81" s="4837">
        <v>1</v>
      </c>
      <c r="L81" s="4856">
        <v>0.25</v>
      </c>
      <c r="M81" s="4838">
        <v>6</v>
      </c>
      <c r="N81" s="4855">
        <f t="shared" si="4"/>
        <v>7782221.03701611</v>
      </c>
      <c r="O81" s="4857"/>
      <c r="P81" s="4840">
        <f t="shared" si="5"/>
        <v>-1556444.20740322</v>
      </c>
    </row>
    <row r="82" spans="1:16">
      <c r="A82" s="4837">
        <v>59</v>
      </c>
      <c r="B82" s="4837" t="s">
        <v>111</v>
      </c>
      <c r="C82" s="4838">
        <v>1</v>
      </c>
      <c r="D82" s="4839">
        <v>39748</v>
      </c>
      <c r="E82" s="4840">
        <v>116969140.435151</v>
      </c>
      <c r="G82" s="4838">
        <v>5</v>
      </c>
      <c r="H82" s="4838">
        <v>6</v>
      </c>
      <c r="I82" s="4855">
        <f t="shared" si="3"/>
        <v>11696914.0435151</v>
      </c>
      <c r="K82" s="4837">
        <v>1</v>
      </c>
      <c r="L82" s="4856">
        <v>0.25</v>
      </c>
      <c r="M82" s="4838">
        <v>6</v>
      </c>
      <c r="N82" s="4855">
        <f t="shared" si="4"/>
        <v>14621142.5543939</v>
      </c>
      <c r="O82" s="4857"/>
      <c r="P82" s="4840">
        <f t="shared" si="5"/>
        <v>-2924228.51087878</v>
      </c>
    </row>
    <row r="83" spans="1:16">
      <c r="A83" s="4837">
        <v>60</v>
      </c>
      <c r="B83" s="4837" t="s">
        <v>112</v>
      </c>
      <c r="C83" s="4838">
        <v>1</v>
      </c>
      <c r="D83" s="4839">
        <v>39748</v>
      </c>
      <c r="E83" s="4840">
        <v>116969140.435151</v>
      </c>
      <c r="G83" s="4838">
        <v>5</v>
      </c>
      <c r="H83" s="4838">
        <v>6</v>
      </c>
      <c r="I83" s="4855">
        <f t="shared" si="3"/>
        <v>11696914.0435151</v>
      </c>
      <c r="K83" s="4837">
        <v>1</v>
      </c>
      <c r="L83" s="4856">
        <v>0.25</v>
      </c>
      <c r="M83" s="4838">
        <v>6</v>
      </c>
      <c r="N83" s="4855">
        <f t="shared" si="4"/>
        <v>14621142.5543939</v>
      </c>
      <c r="O83" s="4857"/>
      <c r="P83" s="4840">
        <f t="shared" si="5"/>
        <v>-2924228.51087878</v>
      </c>
    </row>
    <row r="84" spans="1:16">
      <c r="A84" s="4837">
        <v>61</v>
      </c>
      <c r="B84" s="4837" t="s">
        <v>113</v>
      </c>
      <c r="C84" s="4838">
        <v>1</v>
      </c>
      <c r="D84" s="4839">
        <v>39748</v>
      </c>
      <c r="E84" s="4840">
        <v>36788681.2658943</v>
      </c>
      <c r="G84" s="4838">
        <v>5</v>
      </c>
      <c r="H84" s="4838">
        <v>6</v>
      </c>
      <c r="I84" s="4855">
        <f t="shared" si="3"/>
        <v>3678868.12658943</v>
      </c>
      <c r="K84" s="4837">
        <v>1</v>
      </c>
      <c r="L84" s="4856">
        <v>0.25</v>
      </c>
      <c r="M84" s="4838">
        <v>6</v>
      </c>
      <c r="N84" s="4855">
        <f t="shared" si="4"/>
        <v>4598585.15823679</v>
      </c>
      <c r="O84" s="4857"/>
      <c r="P84" s="4840">
        <f t="shared" si="5"/>
        <v>-919717.031647358</v>
      </c>
    </row>
    <row r="85" spans="1:16">
      <c r="A85" s="4837">
        <v>62</v>
      </c>
      <c r="B85" s="4837" t="s">
        <v>114</v>
      </c>
      <c r="C85" s="4838">
        <v>1</v>
      </c>
      <c r="D85" s="4839">
        <v>39748</v>
      </c>
      <c r="E85" s="4840">
        <v>36788681.2658943</v>
      </c>
      <c r="G85" s="4838">
        <v>5</v>
      </c>
      <c r="H85" s="4838">
        <v>6</v>
      </c>
      <c r="I85" s="4855">
        <f t="shared" si="3"/>
        <v>3678868.12658943</v>
      </c>
      <c r="K85" s="4837">
        <v>1</v>
      </c>
      <c r="L85" s="4856">
        <v>0.25</v>
      </c>
      <c r="M85" s="4838">
        <v>6</v>
      </c>
      <c r="N85" s="4855">
        <f t="shared" si="4"/>
        <v>4598585.15823679</v>
      </c>
      <c r="O85" s="4857"/>
      <c r="P85" s="4840">
        <f t="shared" si="5"/>
        <v>-919717.031647358</v>
      </c>
    </row>
    <row r="86" spans="1:16">
      <c r="A86" s="4837">
        <v>63</v>
      </c>
      <c r="B86" s="4837" t="s">
        <v>115</v>
      </c>
      <c r="C86" s="4838">
        <v>1</v>
      </c>
      <c r="D86" s="4839">
        <v>39748</v>
      </c>
      <c r="E86" s="4840">
        <v>36788681.2658943</v>
      </c>
      <c r="G86" s="4838">
        <v>5</v>
      </c>
      <c r="H86" s="4838">
        <v>6</v>
      </c>
      <c r="I86" s="4855">
        <f t="shared" si="3"/>
        <v>3678868.12658943</v>
      </c>
      <c r="K86" s="4837">
        <v>1</v>
      </c>
      <c r="L86" s="4856">
        <v>0.25</v>
      </c>
      <c r="M86" s="4838">
        <v>6</v>
      </c>
      <c r="N86" s="4855">
        <f t="shared" si="4"/>
        <v>4598585.15823679</v>
      </c>
      <c r="O86" s="4857"/>
      <c r="P86" s="4840">
        <f t="shared" si="5"/>
        <v>-919717.031647358</v>
      </c>
    </row>
    <row r="87" spans="1:16">
      <c r="A87" s="4837">
        <v>64</v>
      </c>
      <c r="B87" s="4837" t="s">
        <v>116</v>
      </c>
      <c r="C87" s="4838">
        <v>1</v>
      </c>
      <c r="D87" s="4839">
        <v>39748</v>
      </c>
      <c r="E87" s="4840">
        <v>91500053.4049166</v>
      </c>
      <c r="G87" s="4838">
        <v>5</v>
      </c>
      <c r="H87" s="4838">
        <v>6</v>
      </c>
      <c r="I87" s="4855">
        <f t="shared" si="3"/>
        <v>9150005.34049167</v>
      </c>
      <c r="K87" s="4837">
        <v>1</v>
      </c>
      <c r="L87" s="4856">
        <v>0.25</v>
      </c>
      <c r="M87" s="4838">
        <v>6</v>
      </c>
      <c r="N87" s="4855">
        <f t="shared" si="4"/>
        <v>11437506.6756146</v>
      </c>
      <c r="O87" s="4857"/>
      <c r="P87" s="4840">
        <f t="shared" si="5"/>
        <v>-2287501.33512291</v>
      </c>
    </row>
    <row r="88" spans="1:16">
      <c r="A88" s="4837">
        <v>65</v>
      </c>
      <c r="B88" s="4837" t="s">
        <v>117</v>
      </c>
      <c r="C88" s="4838">
        <v>1</v>
      </c>
      <c r="D88" s="4839">
        <v>39748</v>
      </c>
      <c r="E88" s="4840">
        <v>36788681.2658943</v>
      </c>
      <c r="G88" s="4838">
        <v>5</v>
      </c>
      <c r="H88" s="4838">
        <v>6</v>
      </c>
      <c r="I88" s="4855">
        <f>E88/(G88*12)*H88</f>
        <v>3678868.12658943</v>
      </c>
      <c r="K88" s="4837">
        <v>1</v>
      </c>
      <c r="L88" s="4856">
        <v>0.25</v>
      </c>
      <c r="M88" s="4838">
        <v>6</v>
      </c>
      <c r="N88" s="4855">
        <f>E88*L88*M88/12</f>
        <v>4598585.15823679</v>
      </c>
      <c r="O88" s="4857"/>
      <c r="P88" s="4840">
        <f t="shared" si="5"/>
        <v>-919717.031647358</v>
      </c>
    </row>
    <row r="89" spans="1:16">
      <c r="A89" s="4837">
        <v>66</v>
      </c>
      <c r="B89" s="4837" t="s">
        <v>118</v>
      </c>
      <c r="C89" s="4838">
        <v>1</v>
      </c>
      <c r="D89" s="4839">
        <v>39748</v>
      </c>
      <c r="E89" s="4840">
        <v>91500053.4049166</v>
      </c>
      <c r="G89" s="4838">
        <v>5</v>
      </c>
      <c r="H89" s="4838">
        <v>6</v>
      </c>
      <c r="I89" s="4855">
        <f>E89/(G89*12)*H89</f>
        <v>9150005.34049167</v>
      </c>
      <c r="K89" s="4837">
        <v>1</v>
      </c>
      <c r="L89" s="4856">
        <v>0.25</v>
      </c>
      <c r="M89" s="4838">
        <v>6</v>
      </c>
      <c r="N89" s="4855">
        <f>E89*L89*M89/12</f>
        <v>11437506.6756146</v>
      </c>
      <c r="O89" s="4857"/>
      <c r="P89" s="4840">
        <f t="shared" si="5"/>
        <v>-2287501.33512291</v>
      </c>
    </row>
    <row r="90" spans="1:16">
      <c r="A90" s="4837">
        <v>67</v>
      </c>
      <c r="B90" s="4837" t="s">
        <v>119</v>
      </c>
      <c r="C90" s="4838">
        <v>1</v>
      </c>
      <c r="D90" s="4839">
        <v>39748</v>
      </c>
      <c r="E90" s="4840">
        <v>91500053.4049166</v>
      </c>
      <c r="G90" s="4838">
        <v>5</v>
      </c>
      <c r="H90" s="4838">
        <v>6</v>
      </c>
      <c r="I90" s="4855">
        <f>E90/(G90*12)*H90</f>
        <v>9150005.34049167</v>
      </c>
      <c r="K90" s="4837">
        <v>1</v>
      </c>
      <c r="L90" s="4856">
        <v>0.25</v>
      </c>
      <c r="M90" s="4838">
        <v>6</v>
      </c>
      <c r="N90" s="4855">
        <f>E90*L90*M90/12</f>
        <v>11437506.6756146</v>
      </c>
      <c r="O90" s="4857"/>
      <c r="P90" s="4840">
        <f t="shared" si="5"/>
        <v>-2287501.33512291</v>
      </c>
    </row>
    <row r="91" spans="1:16">
      <c r="A91" s="4837">
        <v>68</v>
      </c>
      <c r="B91" s="4837" t="s">
        <v>120</v>
      </c>
      <c r="C91" s="4838">
        <v>1</v>
      </c>
      <c r="D91" s="4839">
        <v>39748</v>
      </c>
      <c r="E91" s="4840">
        <v>91500053.4049166</v>
      </c>
      <c r="G91" s="4838">
        <v>5</v>
      </c>
      <c r="H91" s="4838">
        <v>6</v>
      </c>
      <c r="I91" s="4855">
        <f>E91/(G91*12)*H91</f>
        <v>9150005.34049167</v>
      </c>
      <c r="K91" s="4837">
        <v>1</v>
      </c>
      <c r="L91" s="4856">
        <v>0.25</v>
      </c>
      <c r="M91" s="4838">
        <v>6</v>
      </c>
      <c r="N91" s="4855">
        <f>E91*L91*M91/12</f>
        <v>11437506.6756146</v>
      </c>
      <c r="O91" s="4857"/>
      <c r="P91" s="4840">
        <f t="shared" si="5"/>
        <v>-2287501.33512291</v>
      </c>
    </row>
    <row r="92" spans="1:18">
      <c r="A92" s="4838">
        <f t="shared" ref="A92:A104" si="6">A91+1</f>
        <v>69</v>
      </c>
      <c r="B92" s="4862" t="s">
        <v>121</v>
      </c>
      <c r="C92" s="4838">
        <v>1</v>
      </c>
      <c r="D92" s="4847">
        <v>39814</v>
      </c>
      <c r="E92" s="4863">
        <v>179361079</v>
      </c>
      <c r="G92" s="4838">
        <v>5</v>
      </c>
      <c r="H92" s="4838">
        <v>6</v>
      </c>
      <c r="I92" s="4855">
        <f t="shared" ref="I92:I104" si="7">E92/(G92*12)*H92</f>
        <v>17936107.9</v>
      </c>
      <c r="K92" s="4837">
        <v>1</v>
      </c>
      <c r="L92" s="4856">
        <v>0.25</v>
      </c>
      <c r="M92" s="4838">
        <v>6</v>
      </c>
      <c r="N92" s="4855">
        <f t="shared" ref="N92:N104" si="8">E92*L92*M92/12</f>
        <v>22420134.875</v>
      </c>
      <c r="O92" s="4857"/>
      <c r="P92" s="4840">
        <f t="shared" si="5"/>
        <v>-4484026.975</v>
      </c>
      <c r="R92" s="4886"/>
    </row>
    <row r="93" spans="1:18">
      <c r="A93" s="4838">
        <f t="shared" si="6"/>
        <v>70</v>
      </c>
      <c r="B93" s="4862" t="s">
        <v>122</v>
      </c>
      <c r="C93" s="4838">
        <v>1</v>
      </c>
      <c r="D93" s="4847">
        <v>39814</v>
      </c>
      <c r="E93" s="4863">
        <v>186813073</v>
      </c>
      <c r="G93" s="4838">
        <v>5</v>
      </c>
      <c r="H93" s="4838">
        <v>6</v>
      </c>
      <c r="I93" s="4855">
        <f t="shared" si="7"/>
        <v>18681307.3</v>
      </c>
      <c r="K93" s="4837">
        <v>1</v>
      </c>
      <c r="L93" s="4856">
        <v>0.25</v>
      </c>
      <c r="M93" s="4838">
        <v>6</v>
      </c>
      <c r="N93" s="4855">
        <f t="shared" si="8"/>
        <v>23351634.125</v>
      </c>
      <c r="O93" s="4857"/>
      <c r="P93" s="4840">
        <f t="shared" si="5"/>
        <v>-4670326.825</v>
      </c>
      <c r="R93" s="4886"/>
    </row>
    <row r="94" spans="1:18">
      <c r="A94" s="4838">
        <f t="shared" si="6"/>
        <v>71</v>
      </c>
      <c r="B94" s="4862" t="s">
        <v>121</v>
      </c>
      <c r="C94" s="4838">
        <v>1</v>
      </c>
      <c r="D94" s="4847">
        <v>39814</v>
      </c>
      <c r="E94" s="4863">
        <v>168337054</v>
      </c>
      <c r="G94" s="4838">
        <v>5</v>
      </c>
      <c r="H94" s="4838">
        <v>6</v>
      </c>
      <c r="I94" s="4855">
        <f t="shared" si="7"/>
        <v>16833705.4</v>
      </c>
      <c r="K94" s="4837">
        <v>1</v>
      </c>
      <c r="L94" s="4856">
        <v>0.25</v>
      </c>
      <c r="M94" s="4838">
        <v>6</v>
      </c>
      <c r="N94" s="4855">
        <f t="shared" si="8"/>
        <v>21042131.75</v>
      </c>
      <c r="O94" s="4857"/>
      <c r="P94" s="4840">
        <f t="shared" si="5"/>
        <v>-4208426.35</v>
      </c>
      <c r="R94" s="4886"/>
    </row>
    <row r="95" spans="1:18">
      <c r="A95" s="4838">
        <f t="shared" si="6"/>
        <v>72</v>
      </c>
      <c r="B95" s="4862" t="s">
        <v>121</v>
      </c>
      <c r="C95" s="4838">
        <v>1</v>
      </c>
      <c r="D95" s="4847">
        <v>39814</v>
      </c>
      <c r="E95" s="4863">
        <v>168337054</v>
      </c>
      <c r="G95" s="4838">
        <v>5</v>
      </c>
      <c r="H95" s="4838">
        <v>6</v>
      </c>
      <c r="I95" s="4855">
        <f t="shared" si="7"/>
        <v>16833705.4</v>
      </c>
      <c r="K95" s="4837">
        <v>1</v>
      </c>
      <c r="L95" s="4856">
        <v>0.25</v>
      </c>
      <c r="M95" s="4838">
        <v>6</v>
      </c>
      <c r="N95" s="4855">
        <f t="shared" si="8"/>
        <v>21042131.75</v>
      </c>
      <c r="O95" s="4857"/>
      <c r="P95" s="4840">
        <f t="shared" si="5"/>
        <v>-4208426.35</v>
      </c>
      <c r="R95" s="4886"/>
    </row>
    <row r="96" spans="1:16">
      <c r="A96" s="4838">
        <f t="shared" si="6"/>
        <v>73</v>
      </c>
      <c r="B96" s="4862" t="s">
        <v>122</v>
      </c>
      <c r="C96" s="4838">
        <v>1</v>
      </c>
      <c r="D96" s="4847">
        <v>39904</v>
      </c>
      <c r="E96" s="4863">
        <v>260798940</v>
      </c>
      <c r="G96" s="4838">
        <v>5</v>
      </c>
      <c r="H96" s="4838">
        <v>3</v>
      </c>
      <c r="I96" s="4855">
        <f t="shared" si="7"/>
        <v>13039947</v>
      </c>
      <c r="K96" s="4837">
        <v>1</v>
      </c>
      <c r="L96" s="4856">
        <v>0.25</v>
      </c>
      <c r="M96" s="4838">
        <v>3</v>
      </c>
      <c r="N96" s="4855">
        <f t="shared" si="8"/>
        <v>16299933.75</v>
      </c>
      <c r="O96" s="4857"/>
      <c r="P96" s="4840">
        <f t="shared" si="5"/>
        <v>-3259986.75</v>
      </c>
    </row>
    <row r="97" spans="1:16">
      <c r="A97" s="4838">
        <f t="shared" si="6"/>
        <v>74</v>
      </c>
      <c r="B97" s="4862" t="s">
        <v>122</v>
      </c>
      <c r="C97" s="4838">
        <v>1</v>
      </c>
      <c r="D97" s="4847">
        <v>39904</v>
      </c>
      <c r="E97" s="4863">
        <f>343656000-147772080</f>
        <v>195883920</v>
      </c>
      <c r="G97" s="4838">
        <v>5</v>
      </c>
      <c r="H97" s="4838">
        <v>3</v>
      </c>
      <c r="I97" s="4855">
        <f t="shared" si="7"/>
        <v>9794196</v>
      </c>
      <c r="K97" s="4837">
        <v>1</v>
      </c>
      <c r="L97" s="4856">
        <v>0.25</v>
      </c>
      <c r="M97" s="4838">
        <v>3</v>
      </c>
      <c r="N97" s="4855">
        <f t="shared" si="8"/>
        <v>12242745</v>
      </c>
      <c r="O97" s="4857"/>
      <c r="P97" s="4840">
        <f t="shared" si="5"/>
        <v>-2448549</v>
      </c>
    </row>
    <row r="98" spans="1:16">
      <c r="A98" s="4838">
        <f t="shared" si="6"/>
        <v>75</v>
      </c>
      <c r="B98" s="4862" t="s">
        <v>122</v>
      </c>
      <c r="C98" s="4838">
        <v>1</v>
      </c>
      <c r="D98" s="4847">
        <v>39904</v>
      </c>
      <c r="E98" s="4855">
        <v>211153000</v>
      </c>
      <c r="G98" s="4838">
        <v>5</v>
      </c>
      <c r="H98" s="4838">
        <v>3</v>
      </c>
      <c r="I98" s="4855">
        <f t="shared" si="7"/>
        <v>10557650</v>
      </c>
      <c r="K98" s="4837">
        <v>1</v>
      </c>
      <c r="L98" s="4856">
        <v>0.25</v>
      </c>
      <c r="M98" s="4838">
        <v>3</v>
      </c>
      <c r="N98" s="4855">
        <f t="shared" si="8"/>
        <v>13197062.5</v>
      </c>
      <c r="O98" s="4857"/>
      <c r="P98" s="4840">
        <f t="shared" si="5"/>
        <v>-2639412.5</v>
      </c>
    </row>
    <row r="99" spans="1:16">
      <c r="A99" s="4838">
        <f t="shared" si="6"/>
        <v>76</v>
      </c>
      <c r="B99" s="4862" t="s">
        <v>123</v>
      </c>
      <c r="C99" s="4838">
        <v>1</v>
      </c>
      <c r="D99" s="4847">
        <v>39934</v>
      </c>
      <c r="E99" s="4855">
        <v>40000000</v>
      </c>
      <c r="G99" s="4838">
        <v>5</v>
      </c>
      <c r="H99" s="4838">
        <v>2</v>
      </c>
      <c r="I99" s="4855">
        <f t="shared" si="7"/>
        <v>1333333.33333333</v>
      </c>
      <c r="K99" s="4837">
        <v>1</v>
      </c>
      <c r="L99" s="4856">
        <v>0.25</v>
      </c>
      <c r="M99" s="4838">
        <v>2</v>
      </c>
      <c r="N99" s="4855">
        <f t="shared" si="8"/>
        <v>1666666.66666667</v>
      </c>
      <c r="O99" s="4857"/>
      <c r="P99" s="4840">
        <f t="shared" si="5"/>
        <v>-333333.333333333</v>
      </c>
    </row>
    <row r="100" spans="1:16">
      <c r="A100" s="4838">
        <f t="shared" si="6"/>
        <v>77</v>
      </c>
      <c r="B100" s="4862" t="s">
        <v>124</v>
      </c>
      <c r="C100" s="4838">
        <v>1</v>
      </c>
      <c r="D100" s="4847">
        <v>39934</v>
      </c>
      <c r="E100" s="4855">
        <v>211827960</v>
      </c>
      <c r="G100" s="4838">
        <v>5</v>
      </c>
      <c r="H100" s="4838">
        <v>2</v>
      </c>
      <c r="I100" s="4855">
        <f t="shared" si="7"/>
        <v>7060932</v>
      </c>
      <c r="K100" s="4837">
        <v>1</v>
      </c>
      <c r="L100" s="4856">
        <v>0.25</v>
      </c>
      <c r="M100" s="4838">
        <v>2</v>
      </c>
      <c r="N100" s="4855">
        <f t="shared" si="8"/>
        <v>8826165</v>
      </c>
      <c r="O100" s="4857"/>
      <c r="P100" s="4840">
        <f t="shared" si="5"/>
        <v>-1765233</v>
      </c>
    </row>
    <row r="101" spans="1:16">
      <c r="A101" s="4838">
        <f t="shared" si="6"/>
        <v>78</v>
      </c>
      <c r="B101" s="4862" t="s">
        <v>125</v>
      </c>
      <c r="C101" s="4838">
        <v>1</v>
      </c>
      <c r="D101" s="4847">
        <v>39934</v>
      </c>
      <c r="E101" s="4855">
        <v>195883920</v>
      </c>
      <c r="G101" s="4838">
        <v>5</v>
      </c>
      <c r="H101" s="4838">
        <v>2</v>
      </c>
      <c r="I101" s="4855">
        <f t="shared" si="7"/>
        <v>6529464</v>
      </c>
      <c r="K101" s="4837">
        <v>1</v>
      </c>
      <c r="L101" s="4856">
        <v>0.25</v>
      </c>
      <c r="M101" s="4838">
        <v>2</v>
      </c>
      <c r="N101" s="4855">
        <f t="shared" si="8"/>
        <v>8161830</v>
      </c>
      <c r="O101" s="4857"/>
      <c r="P101" s="4840">
        <f t="shared" si="5"/>
        <v>-1632366</v>
      </c>
    </row>
    <row r="102" spans="1:16">
      <c r="A102" s="4838">
        <f t="shared" si="6"/>
        <v>79</v>
      </c>
      <c r="B102" s="4862" t="s">
        <v>126</v>
      </c>
      <c r="C102" s="4838">
        <v>1</v>
      </c>
      <c r="D102" s="4847">
        <v>39934</v>
      </c>
      <c r="E102" s="4855">
        <v>165500000</v>
      </c>
      <c r="G102" s="4838">
        <v>5</v>
      </c>
      <c r="H102" s="4838">
        <v>2</v>
      </c>
      <c r="I102" s="4855">
        <f t="shared" si="7"/>
        <v>5516666.66666667</v>
      </c>
      <c r="K102" s="4837">
        <v>1</v>
      </c>
      <c r="L102" s="4856">
        <v>0.25</v>
      </c>
      <c r="M102" s="4838">
        <v>2</v>
      </c>
      <c r="N102" s="4855">
        <f t="shared" si="8"/>
        <v>6895833.33333333</v>
      </c>
      <c r="O102" s="4857"/>
      <c r="P102" s="4840">
        <f t="shared" si="5"/>
        <v>-1379166.66666667</v>
      </c>
    </row>
    <row r="103" spans="1:16">
      <c r="A103" s="4838">
        <f t="shared" si="6"/>
        <v>80</v>
      </c>
      <c r="B103" s="4862" t="s">
        <v>126</v>
      </c>
      <c r="C103" s="4838">
        <v>1</v>
      </c>
      <c r="D103" s="4847">
        <v>39934</v>
      </c>
      <c r="E103" s="4855">
        <v>165500000</v>
      </c>
      <c r="G103" s="4838">
        <v>5</v>
      </c>
      <c r="H103" s="4838">
        <v>2</v>
      </c>
      <c r="I103" s="4855">
        <f t="shared" si="7"/>
        <v>5516666.66666667</v>
      </c>
      <c r="K103" s="4837">
        <v>1</v>
      </c>
      <c r="L103" s="4856">
        <v>0.25</v>
      </c>
      <c r="M103" s="4838">
        <v>2</v>
      </c>
      <c r="N103" s="4855">
        <f t="shared" si="8"/>
        <v>6895833.33333333</v>
      </c>
      <c r="O103" s="4857"/>
      <c r="P103" s="4840">
        <f t="shared" si="5"/>
        <v>-1379166.66666667</v>
      </c>
    </row>
    <row r="104" spans="1:16">
      <c r="A104" s="4864">
        <f t="shared" si="6"/>
        <v>81</v>
      </c>
      <c r="B104" s="4865" t="s">
        <v>126</v>
      </c>
      <c r="C104" s="4864">
        <v>1</v>
      </c>
      <c r="D104" s="4866">
        <v>39934</v>
      </c>
      <c r="E104" s="4867">
        <v>165500000</v>
      </c>
      <c r="G104" s="4864">
        <v>5</v>
      </c>
      <c r="H104" s="4864">
        <v>2</v>
      </c>
      <c r="I104" s="4867">
        <f t="shared" si="7"/>
        <v>5516666.66666667</v>
      </c>
      <c r="K104" s="4881">
        <v>1</v>
      </c>
      <c r="L104" s="4882">
        <v>0.25</v>
      </c>
      <c r="M104" s="4864">
        <v>2</v>
      </c>
      <c r="N104" s="4867">
        <f t="shared" si="8"/>
        <v>6895833.33333333</v>
      </c>
      <c r="O104" s="4857"/>
      <c r="P104" s="4883">
        <f t="shared" si="5"/>
        <v>-1379166.66666667</v>
      </c>
    </row>
    <row r="105" spans="1:16">
      <c r="A105" s="4864"/>
      <c r="B105" s="4865"/>
      <c r="C105" s="4864"/>
      <c r="D105" s="4866"/>
      <c r="E105" s="4868">
        <f>SUM(E24:E104)</f>
        <v>5653233000</v>
      </c>
      <c r="F105" s="4831"/>
      <c r="G105" s="4869"/>
      <c r="H105" s="4869"/>
      <c r="I105" s="4868">
        <f>SUM(I24:I104)</f>
        <v>468984048.333333</v>
      </c>
      <c r="J105" s="4831"/>
      <c r="K105" s="4884"/>
      <c r="L105" s="4885"/>
      <c r="M105" s="4869"/>
      <c r="N105" s="4868">
        <f>SUM(N24:N104)</f>
        <v>586230060.416667</v>
      </c>
      <c r="O105" s="4831"/>
      <c r="P105" s="4868">
        <f>SUM(P24:P104)</f>
        <v>-117246012.083333</v>
      </c>
    </row>
    <row r="106" spans="1:16">
      <c r="A106" s="4838"/>
      <c r="B106" s="4870" t="s">
        <v>127</v>
      </c>
      <c r="C106" s="4838"/>
      <c r="D106" s="4837"/>
      <c r="E106" s="4837"/>
      <c r="F106" s="4837"/>
      <c r="G106" s="4838"/>
      <c r="H106" s="4838"/>
      <c r="I106" s="4855"/>
      <c r="J106" s="4837"/>
      <c r="K106" s="4837"/>
      <c r="L106" s="4856"/>
      <c r="M106" s="4838"/>
      <c r="N106" s="4855"/>
      <c r="O106" s="4837"/>
      <c r="P106" s="4837"/>
    </row>
    <row r="107" spans="1:16">
      <c r="A107" s="4871">
        <v>1</v>
      </c>
      <c r="B107" s="4872" t="s">
        <v>128</v>
      </c>
      <c r="C107" s="4838">
        <v>1</v>
      </c>
      <c r="D107" s="4873">
        <v>39904</v>
      </c>
      <c r="E107" s="4874">
        <v>1800000</v>
      </c>
      <c r="F107" s="4837"/>
      <c r="G107" s="4864">
        <v>4</v>
      </c>
      <c r="H107" s="4864">
        <v>3</v>
      </c>
      <c r="I107" s="4867">
        <f t="shared" ref="I107:I133" si="9">E107/(G107*12)*H107</f>
        <v>112500</v>
      </c>
      <c r="J107" s="4837"/>
      <c r="K107" s="4881">
        <v>1</v>
      </c>
      <c r="L107" s="4882">
        <v>0.25</v>
      </c>
      <c r="M107" s="4864">
        <v>3</v>
      </c>
      <c r="N107" s="4867">
        <f t="shared" ref="N107:N133" si="10">E107*L107*M107/12</f>
        <v>112500</v>
      </c>
      <c r="P107" s="4881">
        <f t="shared" ref="P107:P133" si="11">I107-N107</f>
        <v>0</v>
      </c>
    </row>
    <row r="108" spans="1:16">
      <c r="A108" s="4875">
        <f>A107+1</f>
        <v>2</v>
      </c>
      <c r="B108" s="4876" t="s">
        <v>129</v>
      </c>
      <c r="C108" s="4838">
        <v>1</v>
      </c>
      <c r="D108" s="4877">
        <v>39904</v>
      </c>
      <c r="E108" s="4878">
        <v>1400000</v>
      </c>
      <c r="F108" s="4837"/>
      <c r="G108" s="4864">
        <v>4</v>
      </c>
      <c r="H108" s="4864">
        <v>3</v>
      </c>
      <c r="I108" s="4867">
        <f t="shared" si="9"/>
        <v>87500</v>
      </c>
      <c r="J108" s="4837"/>
      <c r="K108" s="4881">
        <v>1</v>
      </c>
      <c r="L108" s="4882">
        <v>0.25</v>
      </c>
      <c r="M108" s="4864">
        <v>3</v>
      </c>
      <c r="N108" s="4867">
        <f t="shared" si="10"/>
        <v>87500</v>
      </c>
      <c r="P108" s="4881">
        <f t="shared" si="11"/>
        <v>0</v>
      </c>
    </row>
    <row r="109" spans="1:16">
      <c r="A109" s="4875">
        <f t="shared" ref="A109:A133" si="12">A108+1</f>
        <v>3</v>
      </c>
      <c r="B109" s="4876" t="s">
        <v>129</v>
      </c>
      <c r="C109" s="4838">
        <v>1</v>
      </c>
      <c r="D109" s="4877">
        <v>39904</v>
      </c>
      <c r="E109" s="4878">
        <v>1400000</v>
      </c>
      <c r="F109" s="4837"/>
      <c r="G109" s="4864">
        <v>4</v>
      </c>
      <c r="H109" s="4864">
        <v>3</v>
      </c>
      <c r="I109" s="4867">
        <f t="shared" si="9"/>
        <v>87500</v>
      </c>
      <c r="J109" s="4837"/>
      <c r="K109" s="4881">
        <v>1</v>
      </c>
      <c r="L109" s="4882">
        <v>0.25</v>
      </c>
      <c r="M109" s="4864">
        <v>3</v>
      </c>
      <c r="N109" s="4867">
        <f t="shared" si="10"/>
        <v>87500</v>
      </c>
      <c r="P109" s="4881">
        <f t="shared" si="11"/>
        <v>0</v>
      </c>
    </row>
    <row r="110" spans="1:16">
      <c r="A110" s="4875">
        <f t="shared" si="12"/>
        <v>4</v>
      </c>
      <c r="B110" s="4876" t="s">
        <v>129</v>
      </c>
      <c r="C110" s="4838">
        <v>1</v>
      </c>
      <c r="D110" s="4877">
        <v>39904</v>
      </c>
      <c r="E110" s="4878">
        <v>1400000</v>
      </c>
      <c r="F110" s="4837"/>
      <c r="G110" s="4864">
        <v>4</v>
      </c>
      <c r="H110" s="4864">
        <v>3</v>
      </c>
      <c r="I110" s="4867">
        <f t="shared" si="9"/>
        <v>87500</v>
      </c>
      <c r="J110" s="4837"/>
      <c r="K110" s="4881">
        <v>1</v>
      </c>
      <c r="L110" s="4882">
        <v>0.25</v>
      </c>
      <c r="M110" s="4864">
        <v>3</v>
      </c>
      <c r="N110" s="4867">
        <f t="shared" si="10"/>
        <v>87500</v>
      </c>
      <c r="P110" s="4881">
        <f t="shared" si="11"/>
        <v>0</v>
      </c>
    </row>
    <row r="111" spans="1:16">
      <c r="A111" s="4875">
        <f t="shared" si="12"/>
        <v>5</v>
      </c>
      <c r="B111" s="4876" t="s">
        <v>129</v>
      </c>
      <c r="C111" s="4838">
        <v>1</v>
      </c>
      <c r="D111" s="4877">
        <v>39904</v>
      </c>
      <c r="E111" s="4878">
        <v>1400000</v>
      </c>
      <c r="F111" s="4837"/>
      <c r="G111" s="4864">
        <v>4</v>
      </c>
      <c r="H111" s="4864">
        <v>3</v>
      </c>
      <c r="I111" s="4867">
        <f t="shared" si="9"/>
        <v>87500</v>
      </c>
      <c r="J111" s="4837"/>
      <c r="K111" s="4881">
        <v>1</v>
      </c>
      <c r="L111" s="4882">
        <v>0.25</v>
      </c>
      <c r="M111" s="4864">
        <v>3</v>
      </c>
      <c r="N111" s="4867">
        <f t="shared" si="10"/>
        <v>87500</v>
      </c>
      <c r="P111" s="4881">
        <f t="shared" si="11"/>
        <v>0</v>
      </c>
    </row>
    <row r="112" spans="1:16">
      <c r="A112" s="4875">
        <f t="shared" si="12"/>
        <v>6</v>
      </c>
      <c r="B112" s="4876" t="s">
        <v>129</v>
      </c>
      <c r="C112" s="4838">
        <v>1</v>
      </c>
      <c r="D112" s="4877">
        <v>39904</v>
      </c>
      <c r="E112" s="4878">
        <v>1400000</v>
      </c>
      <c r="F112" s="4837"/>
      <c r="G112" s="4864">
        <v>4</v>
      </c>
      <c r="H112" s="4864">
        <v>3</v>
      </c>
      <c r="I112" s="4867">
        <f t="shared" si="9"/>
        <v>87500</v>
      </c>
      <c r="J112" s="4837"/>
      <c r="K112" s="4881">
        <v>1</v>
      </c>
      <c r="L112" s="4882">
        <v>0.25</v>
      </c>
      <c r="M112" s="4864">
        <v>3</v>
      </c>
      <c r="N112" s="4867">
        <f t="shared" si="10"/>
        <v>87500</v>
      </c>
      <c r="P112" s="4881">
        <f t="shared" si="11"/>
        <v>0</v>
      </c>
    </row>
    <row r="113" spans="1:16">
      <c r="A113" s="4875">
        <f t="shared" si="12"/>
        <v>7</v>
      </c>
      <c r="B113" s="4837" t="s">
        <v>130</v>
      </c>
      <c r="C113" s="4838">
        <v>1</v>
      </c>
      <c r="D113" s="4879">
        <v>39904</v>
      </c>
      <c r="E113" s="4878">
        <v>1400000</v>
      </c>
      <c r="F113" s="4837"/>
      <c r="G113" s="4864">
        <v>4</v>
      </c>
      <c r="H113" s="4864">
        <v>3</v>
      </c>
      <c r="I113" s="4867">
        <f t="shared" si="9"/>
        <v>87500</v>
      </c>
      <c r="J113" s="4837"/>
      <c r="K113" s="4881">
        <v>1</v>
      </c>
      <c r="L113" s="4882">
        <v>0.25</v>
      </c>
      <c r="M113" s="4864">
        <v>3</v>
      </c>
      <c r="N113" s="4867">
        <f t="shared" si="10"/>
        <v>87500</v>
      </c>
      <c r="P113" s="4881">
        <f t="shared" si="11"/>
        <v>0</v>
      </c>
    </row>
    <row r="114" spans="1:16">
      <c r="A114" s="4875">
        <f t="shared" si="12"/>
        <v>8</v>
      </c>
      <c r="B114" s="4837" t="s">
        <v>130</v>
      </c>
      <c r="C114" s="4838">
        <v>1</v>
      </c>
      <c r="D114" s="4879">
        <v>39904</v>
      </c>
      <c r="E114" s="4878">
        <v>1400000</v>
      </c>
      <c r="F114" s="4837"/>
      <c r="G114" s="4864">
        <v>4</v>
      </c>
      <c r="H114" s="4864">
        <v>3</v>
      </c>
      <c r="I114" s="4867">
        <f t="shared" si="9"/>
        <v>87500</v>
      </c>
      <c r="J114" s="4837"/>
      <c r="K114" s="4881">
        <v>1</v>
      </c>
      <c r="L114" s="4882">
        <v>0.25</v>
      </c>
      <c r="M114" s="4864">
        <v>3</v>
      </c>
      <c r="N114" s="4867">
        <f t="shared" si="10"/>
        <v>87500</v>
      </c>
      <c r="P114" s="4881">
        <f t="shared" si="11"/>
        <v>0</v>
      </c>
    </row>
    <row r="115" spans="1:16">
      <c r="A115" s="4875">
        <f t="shared" si="12"/>
        <v>9</v>
      </c>
      <c r="B115" s="4837" t="s">
        <v>130</v>
      </c>
      <c r="C115" s="4838">
        <v>1</v>
      </c>
      <c r="D115" s="4879">
        <v>39904</v>
      </c>
      <c r="E115" s="4878">
        <v>1400000</v>
      </c>
      <c r="F115" s="4837"/>
      <c r="G115" s="4864">
        <v>4</v>
      </c>
      <c r="H115" s="4864">
        <v>3</v>
      </c>
      <c r="I115" s="4867">
        <f t="shared" si="9"/>
        <v>87500</v>
      </c>
      <c r="J115" s="4837"/>
      <c r="K115" s="4881">
        <v>1</v>
      </c>
      <c r="L115" s="4882">
        <v>0.25</v>
      </c>
      <c r="M115" s="4864">
        <v>3</v>
      </c>
      <c r="N115" s="4867">
        <f t="shared" si="10"/>
        <v>87500</v>
      </c>
      <c r="P115" s="4881">
        <f t="shared" si="11"/>
        <v>0</v>
      </c>
    </row>
    <row r="116" spans="1:16">
      <c r="A116" s="4875">
        <f t="shared" si="12"/>
        <v>10</v>
      </c>
      <c r="B116" s="4837" t="s">
        <v>130</v>
      </c>
      <c r="C116" s="4838">
        <v>1</v>
      </c>
      <c r="D116" s="4879">
        <v>39904</v>
      </c>
      <c r="E116" s="4878">
        <v>1400000</v>
      </c>
      <c r="F116" s="4837"/>
      <c r="G116" s="4864">
        <v>4</v>
      </c>
      <c r="H116" s="4864">
        <v>3</v>
      </c>
      <c r="I116" s="4867">
        <f t="shared" si="9"/>
        <v>87500</v>
      </c>
      <c r="J116" s="4837"/>
      <c r="K116" s="4881">
        <v>1</v>
      </c>
      <c r="L116" s="4882">
        <v>0.25</v>
      </c>
      <c r="M116" s="4864">
        <v>3</v>
      </c>
      <c r="N116" s="4867">
        <f t="shared" si="10"/>
        <v>87500</v>
      </c>
      <c r="P116" s="4881">
        <f t="shared" si="11"/>
        <v>0</v>
      </c>
    </row>
    <row r="117" spans="1:16">
      <c r="A117" s="4875">
        <f t="shared" si="12"/>
        <v>11</v>
      </c>
      <c r="B117" s="4837" t="s">
        <v>130</v>
      </c>
      <c r="C117" s="4838">
        <v>1</v>
      </c>
      <c r="D117" s="4879">
        <v>39904</v>
      </c>
      <c r="E117" s="4878">
        <v>1400000</v>
      </c>
      <c r="F117" s="4837"/>
      <c r="G117" s="4864">
        <v>4</v>
      </c>
      <c r="H117" s="4864">
        <v>3</v>
      </c>
      <c r="I117" s="4867">
        <f t="shared" si="9"/>
        <v>87500</v>
      </c>
      <c r="J117" s="4837"/>
      <c r="K117" s="4881">
        <v>1</v>
      </c>
      <c r="L117" s="4882">
        <v>0.25</v>
      </c>
      <c r="M117" s="4864">
        <v>3</v>
      </c>
      <c r="N117" s="4867">
        <f t="shared" si="10"/>
        <v>87500</v>
      </c>
      <c r="P117" s="4881">
        <f t="shared" si="11"/>
        <v>0</v>
      </c>
    </row>
    <row r="118" spans="1:16">
      <c r="A118" s="4875">
        <f t="shared" si="12"/>
        <v>12</v>
      </c>
      <c r="B118" s="4837" t="s">
        <v>131</v>
      </c>
      <c r="C118" s="4838">
        <v>1</v>
      </c>
      <c r="D118" s="4879">
        <v>39904</v>
      </c>
      <c r="E118" s="4880">
        <v>6864966</v>
      </c>
      <c r="F118" s="4837"/>
      <c r="G118" s="4864">
        <v>4</v>
      </c>
      <c r="H118" s="4864">
        <v>3</v>
      </c>
      <c r="I118" s="4867">
        <f t="shared" si="9"/>
        <v>429060.375</v>
      </c>
      <c r="J118" s="4837"/>
      <c r="K118" s="4881">
        <v>1</v>
      </c>
      <c r="L118" s="4882">
        <v>0.25</v>
      </c>
      <c r="M118" s="4864">
        <v>3</v>
      </c>
      <c r="N118" s="4867">
        <f t="shared" si="10"/>
        <v>429060.375</v>
      </c>
      <c r="P118" s="4881">
        <f t="shared" si="11"/>
        <v>0</v>
      </c>
    </row>
    <row r="119" spans="1:16">
      <c r="A119" s="4875">
        <f t="shared" si="12"/>
        <v>13</v>
      </c>
      <c r="B119" s="4837" t="s">
        <v>131</v>
      </c>
      <c r="C119" s="4838">
        <v>1</v>
      </c>
      <c r="D119" s="4879">
        <v>39904</v>
      </c>
      <c r="E119" s="4880">
        <v>6864966</v>
      </c>
      <c r="F119" s="4837"/>
      <c r="G119" s="4864">
        <v>4</v>
      </c>
      <c r="H119" s="4864">
        <v>3</v>
      </c>
      <c r="I119" s="4867">
        <f t="shared" si="9"/>
        <v>429060.375</v>
      </c>
      <c r="J119" s="4837"/>
      <c r="K119" s="4881">
        <v>1</v>
      </c>
      <c r="L119" s="4882">
        <v>0.25</v>
      </c>
      <c r="M119" s="4864">
        <v>3</v>
      </c>
      <c r="N119" s="4867">
        <f t="shared" si="10"/>
        <v>429060.375</v>
      </c>
      <c r="P119" s="4881">
        <f t="shared" si="11"/>
        <v>0</v>
      </c>
    </row>
    <row r="120" spans="1:16">
      <c r="A120" s="4875">
        <f t="shared" si="12"/>
        <v>14</v>
      </c>
      <c r="B120" s="4837" t="s">
        <v>131</v>
      </c>
      <c r="C120" s="4838">
        <v>1</v>
      </c>
      <c r="D120" s="4879">
        <v>39904</v>
      </c>
      <c r="E120" s="4880">
        <v>6864966</v>
      </c>
      <c r="F120" s="4837"/>
      <c r="G120" s="4864">
        <v>4</v>
      </c>
      <c r="H120" s="4864">
        <v>3</v>
      </c>
      <c r="I120" s="4867">
        <f t="shared" si="9"/>
        <v>429060.375</v>
      </c>
      <c r="J120" s="4837"/>
      <c r="K120" s="4881">
        <v>1</v>
      </c>
      <c r="L120" s="4882">
        <v>0.25</v>
      </c>
      <c r="M120" s="4864">
        <v>3</v>
      </c>
      <c r="N120" s="4867">
        <f t="shared" si="10"/>
        <v>429060.375</v>
      </c>
      <c r="P120" s="4881">
        <f t="shared" si="11"/>
        <v>0</v>
      </c>
    </row>
    <row r="121" spans="1:16">
      <c r="A121" s="4875">
        <f t="shared" si="12"/>
        <v>15</v>
      </c>
      <c r="B121" s="4837" t="s">
        <v>131</v>
      </c>
      <c r="C121" s="4838">
        <v>1</v>
      </c>
      <c r="D121" s="4879">
        <v>39904</v>
      </c>
      <c r="E121" s="4880">
        <v>6864966</v>
      </c>
      <c r="F121" s="4837"/>
      <c r="G121" s="4864">
        <v>4</v>
      </c>
      <c r="H121" s="4864">
        <v>3</v>
      </c>
      <c r="I121" s="4867">
        <f t="shared" si="9"/>
        <v>429060.375</v>
      </c>
      <c r="J121" s="4837"/>
      <c r="K121" s="4881">
        <v>1</v>
      </c>
      <c r="L121" s="4882">
        <v>0.25</v>
      </c>
      <c r="M121" s="4864">
        <v>3</v>
      </c>
      <c r="N121" s="4867">
        <f t="shared" si="10"/>
        <v>429060.375</v>
      </c>
      <c r="P121" s="4881">
        <f t="shared" si="11"/>
        <v>0</v>
      </c>
    </row>
    <row r="122" spans="1:16">
      <c r="A122" s="4875">
        <f t="shared" si="12"/>
        <v>16</v>
      </c>
      <c r="B122" s="4837" t="s">
        <v>132</v>
      </c>
      <c r="C122" s="4838">
        <v>1</v>
      </c>
      <c r="D122" s="4879">
        <v>39904</v>
      </c>
      <c r="E122" s="4880">
        <v>6366472</v>
      </c>
      <c r="F122" s="4837"/>
      <c r="G122" s="4864">
        <v>4</v>
      </c>
      <c r="H122" s="4864">
        <v>3</v>
      </c>
      <c r="I122" s="4867">
        <f t="shared" si="9"/>
        <v>397904.5</v>
      </c>
      <c r="J122" s="4837"/>
      <c r="K122" s="4881">
        <v>1</v>
      </c>
      <c r="L122" s="4882">
        <v>0.25</v>
      </c>
      <c r="M122" s="4864">
        <v>3</v>
      </c>
      <c r="N122" s="4867">
        <f t="shared" si="10"/>
        <v>397904.5</v>
      </c>
      <c r="P122" s="4881">
        <f t="shared" si="11"/>
        <v>0</v>
      </c>
    </row>
    <row r="123" spans="1:16">
      <c r="A123" s="4875">
        <f t="shared" si="12"/>
        <v>17</v>
      </c>
      <c r="B123" s="4837" t="s">
        <v>133</v>
      </c>
      <c r="C123" s="4838">
        <v>1</v>
      </c>
      <c r="D123" s="4879">
        <v>39934</v>
      </c>
      <c r="E123" s="4880">
        <v>10727881</v>
      </c>
      <c r="F123" s="4837"/>
      <c r="G123" s="4864">
        <v>4</v>
      </c>
      <c r="H123" s="4864">
        <v>2</v>
      </c>
      <c r="I123" s="4867">
        <f t="shared" si="9"/>
        <v>446995.041666667</v>
      </c>
      <c r="J123" s="4837"/>
      <c r="K123" s="4881">
        <v>1</v>
      </c>
      <c r="L123" s="4882">
        <v>0.25</v>
      </c>
      <c r="M123" s="4864">
        <v>2</v>
      </c>
      <c r="N123" s="4867">
        <f t="shared" si="10"/>
        <v>446995.041666667</v>
      </c>
      <c r="P123" s="4881">
        <f t="shared" si="11"/>
        <v>0</v>
      </c>
    </row>
    <row r="124" spans="1:16">
      <c r="A124" s="4875">
        <f t="shared" si="12"/>
        <v>18</v>
      </c>
      <c r="B124" s="4837" t="s">
        <v>133</v>
      </c>
      <c r="C124" s="4838">
        <v>1</v>
      </c>
      <c r="D124" s="4879">
        <v>39934</v>
      </c>
      <c r="E124" s="4880">
        <v>10727881</v>
      </c>
      <c r="F124" s="4837"/>
      <c r="G124" s="4864">
        <v>4</v>
      </c>
      <c r="H124" s="4864">
        <v>2</v>
      </c>
      <c r="I124" s="4867">
        <f t="shared" si="9"/>
        <v>446995.041666667</v>
      </c>
      <c r="J124" s="4837"/>
      <c r="K124" s="4881">
        <v>1</v>
      </c>
      <c r="L124" s="4882">
        <v>0.25</v>
      </c>
      <c r="M124" s="4864">
        <v>2</v>
      </c>
      <c r="N124" s="4867">
        <f t="shared" si="10"/>
        <v>446995.041666667</v>
      </c>
      <c r="P124" s="4881">
        <f t="shared" si="11"/>
        <v>0</v>
      </c>
    </row>
    <row r="125" spans="1:16">
      <c r="A125" s="4875">
        <f t="shared" si="12"/>
        <v>19</v>
      </c>
      <c r="B125" s="4837" t="s">
        <v>133</v>
      </c>
      <c r="C125" s="4838">
        <v>1</v>
      </c>
      <c r="D125" s="4879">
        <v>39934</v>
      </c>
      <c r="E125" s="4880">
        <v>10727881</v>
      </c>
      <c r="F125" s="4837"/>
      <c r="G125" s="4864">
        <v>4</v>
      </c>
      <c r="H125" s="4864">
        <v>2</v>
      </c>
      <c r="I125" s="4867">
        <f t="shared" si="9"/>
        <v>446995.041666667</v>
      </c>
      <c r="J125" s="4837"/>
      <c r="K125" s="4881">
        <v>1</v>
      </c>
      <c r="L125" s="4882">
        <v>0.25</v>
      </c>
      <c r="M125" s="4864">
        <v>2</v>
      </c>
      <c r="N125" s="4867">
        <f t="shared" si="10"/>
        <v>446995.041666667</v>
      </c>
      <c r="P125" s="4881">
        <f t="shared" si="11"/>
        <v>0</v>
      </c>
    </row>
    <row r="126" spans="1:16">
      <c r="A126" s="4875">
        <f t="shared" si="12"/>
        <v>20</v>
      </c>
      <c r="B126" s="4837" t="s">
        <v>134</v>
      </c>
      <c r="C126" s="4838">
        <v>1</v>
      </c>
      <c r="D126" s="4879">
        <v>39965</v>
      </c>
      <c r="E126" s="4880">
        <v>1663200</v>
      </c>
      <c r="F126" s="4837"/>
      <c r="G126" s="4864">
        <v>4</v>
      </c>
      <c r="H126" s="4864">
        <v>1</v>
      </c>
      <c r="I126" s="4867">
        <f t="shared" si="9"/>
        <v>34650</v>
      </c>
      <c r="J126" s="4837"/>
      <c r="K126" s="4881">
        <v>1</v>
      </c>
      <c r="L126" s="4882">
        <v>0.25</v>
      </c>
      <c r="M126" s="4864">
        <v>1</v>
      </c>
      <c r="N126" s="4867">
        <f t="shared" si="10"/>
        <v>34650</v>
      </c>
      <c r="P126" s="4881">
        <f t="shared" si="11"/>
        <v>0</v>
      </c>
    </row>
    <row r="127" spans="1:16">
      <c r="A127" s="4875">
        <f t="shared" si="12"/>
        <v>21</v>
      </c>
      <c r="B127" s="4837" t="s">
        <v>135</v>
      </c>
      <c r="C127" s="4838">
        <v>1</v>
      </c>
      <c r="D127" s="4879">
        <v>39965</v>
      </c>
      <c r="E127" s="4880">
        <v>1107260</v>
      </c>
      <c r="F127" s="4837"/>
      <c r="G127" s="4864">
        <v>4</v>
      </c>
      <c r="H127" s="4864">
        <v>1</v>
      </c>
      <c r="I127" s="4867">
        <f t="shared" si="9"/>
        <v>23067.9166666667</v>
      </c>
      <c r="J127" s="4837"/>
      <c r="K127" s="4881">
        <v>1</v>
      </c>
      <c r="L127" s="4882">
        <v>0.25</v>
      </c>
      <c r="M127" s="4864">
        <v>1</v>
      </c>
      <c r="N127" s="4867">
        <f t="shared" si="10"/>
        <v>23067.9166666667</v>
      </c>
      <c r="P127" s="4881">
        <f t="shared" si="11"/>
        <v>0</v>
      </c>
    </row>
    <row r="128" spans="1:16">
      <c r="A128" s="4875">
        <f t="shared" si="12"/>
        <v>22</v>
      </c>
      <c r="B128" s="4837" t="s">
        <v>136</v>
      </c>
      <c r="C128" s="4838">
        <v>1</v>
      </c>
      <c r="D128" s="4879">
        <v>39965</v>
      </c>
      <c r="E128" s="4880">
        <v>10000000</v>
      </c>
      <c r="F128" s="4837"/>
      <c r="G128" s="4864">
        <v>4</v>
      </c>
      <c r="H128" s="4864">
        <v>1</v>
      </c>
      <c r="I128" s="4867">
        <f t="shared" si="9"/>
        <v>208333.333333333</v>
      </c>
      <c r="J128" s="4837"/>
      <c r="K128" s="4881">
        <v>1</v>
      </c>
      <c r="L128" s="4882">
        <v>0.25</v>
      </c>
      <c r="M128" s="4864">
        <v>1</v>
      </c>
      <c r="N128" s="4867">
        <f t="shared" si="10"/>
        <v>208333.333333333</v>
      </c>
      <c r="P128" s="4881">
        <f t="shared" si="11"/>
        <v>0</v>
      </c>
    </row>
    <row r="129" spans="1:16">
      <c r="A129" s="4875">
        <f t="shared" si="12"/>
        <v>23</v>
      </c>
      <c r="B129" s="4837" t="s">
        <v>137</v>
      </c>
      <c r="C129" s="4838">
        <v>1</v>
      </c>
      <c r="D129" s="4879">
        <v>39965</v>
      </c>
      <c r="E129" s="4880">
        <v>3925000</v>
      </c>
      <c r="F129" s="4837"/>
      <c r="G129" s="4864">
        <v>4</v>
      </c>
      <c r="H129" s="4864">
        <v>1</v>
      </c>
      <c r="I129" s="4867">
        <f t="shared" si="9"/>
        <v>81770.8333333333</v>
      </c>
      <c r="J129" s="4837"/>
      <c r="K129" s="4881">
        <v>1</v>
      </c>
      <c r="L129" s="4882">
        <v>0.25</v>
      </c>
      <c r="M129" s="4864">
        <v>1</v>
      </c>
      <c r="N129" s="4867">
        <f t="shared" si="10"/>
        <v>81770.8333333333</v>
      </c>
      <c r="P129" s="4881">
        <f t="shared" si="11"/>
        <v>0</v>
      </c>
    </row>
    <row r="130" spans="1:16">
      <c r="A130" s="4875">
        <f t="shared" si="12"/>
        <v>24</v>
      </c>
      <c r="B130" s="4837" t="s">
        <v>138</v>
      </c>
      <c r="C130" s="4838">
        <v>1</v>
      </c>
      <c r="D130" s="4879">
        <v>39965</v>
      </c>
      <c r="E130" s="4880">
        <v>6023903.4</v>
      </c>
      <c r="F130" s="4837"/>
      <c r="G130" s="4864">
        <v>4</v>
      </c>
      <c r="H130" s="4864">
        <v>1</v>
      </c>
      <c r="I130" s="4867">
        <f t="shared" si="9"/>
        <v>125497.9875</v>
      </c>
      <c r="J130" s="4837"/>
      <c r="K130" s="4881">
        <v>1</v>
      </c>
      <c r="L130" s="4882">
        <v>0.25</v>
      </c>
      <c r="M130" s="4864">
        <v>1</v>
      </c>
      <c r="N130" s="4867">
        <f t="shared" si="10"/>
        <v>125497.9875</v>
      </c>
      <c r="P130" s="4881">
        <f t="shared" si="11"/>
        <v>0</v>
      </c>
    </row>
    <row r="131" spans="1:16">
      <c r="A131" s="4875">
        <f t="shared" si="12"/>
        <v>25</v>
      </c>
      <c r="B131" s="4837" t="s">
        <v>133</v>
      </c>
      <c r="C131" s="4838">
        <v>1</v>
      </c>
      <c r="D131" s="4879">
        <v>39965</v>
      </c>
      <c r="E131" s="4880">
        <v>10124815</v>
      </c>
      <c r="F131" s="4837"/>
      <c r="G131" s="4864">
        <v>4</v>
      </c>
      <c r="H131" s="4864">
        <v>1</v>
      </c>
      <c r="I131" s="4867">
        <f t="shared" si="9"/>
        <v>210933.645833333</v>
      </c>
      <c r="J131" s="4837"/>
      <c r="K131" s="4881">
        <v>1</v>
      </c>
      <c r="L131" s="4882">
        <v>0.25</v>
      </c>
      <c r="M131" s="4864">
        <v>1</v>
      </c>
      <c r="N131" s="4867">
        <f t="shared" si="10"/>
        <v>210933.645833333</v>
      </c>
      <c r="P131" s="4881">
        <f t="shared" si="11"/>
        <v>0</v>
      </c>
    </row>
    <row r="132" spans="1:16">
      <c r="A132" s="4875">
        <f t="shared" si="12"/>
        <v>26</v>
      </c>
      <c r="B132" s="4837" t="s">
        <v>139</v>
      </c>
      <c r="C132" s="4838">
        <v>1</v>
      </c>
      <c r="D132" s="4879">
        <v>39965</v>
      </c>
      <c r="E132" s="4880">
        <v>5859030</v>
      </c>
      <c r="F132" s="4837"/>
      <c r="G132" s="4864">
        <v>4</v>
      </c>
      <c r="H132" s="4864">
        <v>1</v>
      </c>
      <c r="I132" s="4867">
        <f t="shared" si="9"/>
        <v>122063.125</v>
      </c>
      <c r="J132" s="4881"/>
      <c r="K132" s="4881">
        <v>1</v>
      </c>
      <c r="L132" s="4882">
        <v>0.25</v>
      </c>
      <c r="M132" s="4864">
        <v>1</v>
      </c>
      <c r="N132" s="4867">
        <f t="shared" si="10"/>
        <v>122063.125</v>
      </c>
      <c r="P132" s="4881">
        <f t="shared" si="11"/>
        <v>0</v>
      </c>
    </row>
    <row r="133" spans="1:16">
      <c r="A133" s="4875">
        <f t="shared" si="12"/>
        <v>27</v>
      </c>
      <c r="B133" s="4837" t="s">
        <v>140</v>
      </c>
      <c r="C133" s="4838">
        <v>1</v>
      </c>
      <c r="D133" s="4879">
        <v>39965</v>
      </c>
      <c r="E133" s="4880">
        <v>6784140</v>
      </c>
      <c r="F133" s="4837"/>
      <c r="G133" s="4864">
        <v>4</v>
      </c>
      <c r="H133" s="4838">
        <v>1</v>
      </c>
      <c r="I133" s="4855">
        <f t="shared" si="9"/>
        <v>141336.25</v>
      </c>
      <c r="J133" s="4837"/>
      <c r="K133" s="4837">
        <v>1</v>
      </c>
      <c r="L133" s="4856">
        <v>0.25</v>
      </c>
      <c r="M133" s="4838">
        <v>1</v>
      </c>
      <c r="N133" s="4855">
        <f t="shared" si="10"/>
        <v>141336.25</v>
      </c>
      <c r="O133" s="4837"/>
      <c r="P133" s="4837">
        <f t="shared" si="11"/>
        <v>0</v>
      </c>
    </row>
    <row r="134" s="4831" customFormat="1" spans="1:16">
      <c r="A134" s="4835"/>
      <c r="B134" s="4850"/>
      <c r="C134" s="4835"/>
      <c r="D134" s="4887"/>
      <c r="E134" s="4888">
        <f>SUM(E107:E133)</f>
        <v>127297327.4</v>
      </c>
      <c r="F134" s="4850"/>
      <c r="G134" s="4835"/>
      <c r="H134" s="4835"/>
      <c r="I134" s="4849">
        <f>SUM(I107:I133)</f>
        <v>5390284.21666667</v>
      </c>
      <c r="J134" s="4850"/>
      <c r="K134" s="4850"/>
      <c r="L134" s="4861"/>
      <c r="M134" s="4835"/>
      <c r="N134" s="4849">
        <f>SUM(N107:N133)</f>
        <v>5390284.21666667</v>
      </c>
      <c r="O134" s="4850"/>
      <c r="P134" s="4888">
        <f>SUM(P107:P133)</f>
        <v>0</v>
      </c>
    </row>
    <row r="135" spans="1:14">
      <c r="A135" s="4889"/>
      <c r="B135" s="4890"/>
      <c r="C135" s="4889"/>
      <c r="D135" s="4891"/>
      <c r="E135" s="4892"/>
      <c r="G135" s="4889"/>
      <c r="H135" s="4889"/>
      <c r="I135" s="4892"/>
      <c r="L135" s="4902"/>
      <c r="M135" s="4889"/>
      <c r="N135" s="4892"/>
    </row>
    <row r="136" spans="1:16">
      <c r="A136" s="4893" t="s">
        <v>141</v>
      </c>
      <c r="B136" s="4890"/>
      <c r="C136" s="4889"/>
      <c r="D136" s="4891"/>
      <c r="E136" s="4894">
        <f>E22+E105+E134</f>
        <v>6283279282.4</v>
      </c>
      <c r="F136" s="4895" t="s">
        <v>142</v>
      </c>
      <c r="G136" s="4889"/>
      <c r="H136" s="4889"/>
      <c r="I136" s="4894">
        <f>I22+I105+I134</f>
        <v>508232743.183333</v>
      </c>
      <c r="L136" s="4902"/>
      <c r="M136" s="4903" t="s">
        <v>143</v>
      </c>
      <c r="N136" s="4904">
        <f>N22+N105+N134</f>
        <v>612781851.279167</v>
      </c>
      <c r="P136" s="4905">
        <f>P22+P105+P134</f>
        <v>-104549108.095833</v>
      </c>
    </row>
    <row r="137" spans="1:14">
      <c r="A137" s="4893" t="s">
        <v>144</v>
      </c>
      <c r="B137" s="4890"/>
      <c r="C137" s="4889"/>
      <c r="D137" s="4891"/>
      <c r="E137" s="4894">
        <f>[67]UV!N15</f>
        <v>6283279282</v>
      </c>
      <c r="G137" s="4889"/>
      <c r="H137" s="4889"/>
      <c r="I137" s="4894">
        <f>[67]UV!H32</f>
        <v>508232743</v>
      </c>
      <c r="L137" s="4902"/>
      <c r="M137" s="4903" t="s">
        <v>145</v>
      </c>
      <c r="N137" s="4904">
        <v>7368469</v>
      </c>
    </row>
    <row r="138" ht="13.95" spans="1:15">
      <c r="A138" s="4893" t="s">
        <v>146</v>
      </c>
      <c r="B138" s="4890"/>
      <c r="C138" s="4889"/>
      <c r="D138" s="4891"/>
      <c r="E138" s="4896">
        <f>E136-E137</f>
        <v>0.400001525878906</v>
      </c>
      <c r="G138" s="4889"/>
      <c r="H138" s="4889"/>
      <c r="I138" s="4896">
        <f>I136-I137</f>
        <v>0.183333098888397</v>
      </c>
      <c r="L138" s="4902"/>
      <c r="M138" s="4906" t="s">
        <v>147</v>
      </c>
      <c r="N138" s="4907">
        <f>SUM(N136:N137)</f>
        <v>620150320.279167</v>
      </c>
      <c r="O138" s="4895" t="s">
        <v>148</v>
      </c>
    </row>
    <row r="139" ht="13.95" spans="1:14">
      <c r="A139" s="4889"/>
      <c r="B139" s="4890"/>
      <c r="C139" s="4889"/>
      <c r="D139" s="4891"/>
      <c r="E139" s="4892"/>
      <c r="G139" s="4889"/>
      <c r="H139" s="4889"/>
      <c r="I139" s="4892"/>
      <c r="L139" s="4902"/>
      <c r="M139" s="4889"/>
      <c r="N139" s="4892"/>
    </row>
    <row r="140" spans="1:14">
      <c r="A140" s="4889"/>
      <c r="B140" s="4890"/>
      <c r="C140" s="4889"/>
      <c r="D140" s="4891"/>
      <c r="E140" s="4892"/>
      <c r="G140" s="4889"/>
      <c r="H140" s="4889"/>
      <c r="I140" s="4892"/>
      <c r="L140" s="4902"/>
      <c r="M140" s="4889"/>
      <c r="N140" s="4892"/>
    </row>
    <row r="141" spans="1:14">
      <c r="A141" s="4897" t="s">
        <v>149</v>
      </c>
      <c r="B141" s="4890"/>
      <c r="C141" s="4889"/>
      <c r="D141" s="4891"/>
      <c r="E141" s="4892"/>
      <c r="G141" s="4889"/>
      <c r="H141" s="4889"/>
      <c r="I141" s="4892"/>
      <c r="L141" s="4902"/>
      <c r="M141" s="4889"/>
      <c r="N141" s="4892"/>
    </row>
    <row r="142" ht="13.95" spans="1:14">
      <c r="A142" s="4890" t="s">
        <v>31</v>
      </c>
      <c r="B142" s="4890"/>
      <c r="C142" s="4889"/>
      <c r="D142" s="4891"/>
      <c r="E142" s="4892">
        <f>[67]UV!N24</f>
        <v>5604854661</v>
      </c>
      <c r="G142" s="4889"/>
      <c r="H142" s="4889"/>
      <c r="I142" s="4892"/>
      <c r="L142" s="4902"/>
      <c r="M142" s="4889"/>
      <c r="N142" s="4892"/>
    </row>
    <row r="143" ht="13.95" spans="1:14">
      <c r="A143" s="4890" t="s">
        <v>32</v>
      </c>
      <c r="B143" s="4890"/>
      <c r="C143" s="4889"/>
      <c r="D143" s="4994" t="s">
        <v>150</v>
      </c>
      <c r="E143" s="4892">
        <f>E136-N138</f>
        <v>5663128962.12083</v>
      </c>
      <c r="H143" s="4889"/>
      <c r="I143" s="4892"/>
      <c r="L143" s="4902"/>
      <c r="M143" s="4889"/>
      <c r="N143" s="4892"/>
    </row>
    <row r="144" ht="13.95" spans="1:14">
      <c r="A144" s="4899" t="s">
        <v>146</v>
      </c>
      <c r="B144" s="4900"/>
      <c r="C144" s="4899"/>
      <c r="D144" s="4901"/>
      <c r="E144" s="4896">
        <f>E142-E143</f>
        <v>-58274301.1208344</v>
      </c>
      <c r="G144" s="4889"/>
      <c r="H144" s="4889"/>
      <c r="I144" s="4892"/>
      <c r="L144" s="4902"/>
      <c r="M144" s="4889"/>
      <c r="N144" s="4892"/>
    </row>
    <row r="145" ht="13.95" spans="1:14">
      <c r="A145" s="4889"/>
      <c r="B145" s="4890"/>
      <c r="C145" s="4889"/>
      <c r="D145" s="4891"/>
      <c r="E145" s="4892"/>
      <c r="G145" s="4889"/>
      <c r="H145" s="4889"/>
      <c r="I145" s="4892"/>
      <c r="L145" s="4902"/>
      <c r="M145" s="4889"/>
      <c r="N145" s="4892"/>
    </row>
    <row r="146" spans="1:14">
      <c r="A146" s="4889"/>
      <c r="B146" s="4890"/>
      <c r="C146" s="4889"/>
      <c r="D146" s="4891"/>
      <c r="E146" s="4892"/>
      <c r="G146" s="4889"/>
      <c r="H146" s="4889"/>
      <c r="I146" s="4892"/>
      <c r="L146" s="4902"/>
      <c r="M146" s="4889"/>
      <c r="N146" s="4892"/>
    </row>
    <row r="147" spans="1:14">
      <c r="A147" s="4889"/>
      <c r="B147" s="4890"/>
      <c r="C147" s="4889"/>
      <c r="D147" s="4891"/>
      <c r="E147" s="4892"/>
      <c r="G147" s="4889"/>
      <c r="H147" s="4889"/>
      <c r="I147" s="4892"/>
      <c r="L147" s="4902"/>
      <c r="M147" s="4889"/>
      <c r="N147" s="4892"/>
    </row>
    <row r="148" spans="1:14">
      <c r="A148" s="4889"/>
      <c r="B148" s="4890"/>
      <c r="C148" s="4889"/>
      <c r="D148" s="4891"/>
      <c r="E148" s="4892"/>
      <c r="G148" s="4889"/>
      <c r="H148" s="4889"/>
      <c r="I148" s="4892"/>
      <c r="L148" s="4902"/>
      <c r="M148" s="4889"/>
      <c r="N148" s="4892"/>
    </row>
    <row r="149" spans="1:14">
      <c r="A149" s="4889"/>
      <c r="B149" s="4890"/>
      <c r="C149" s="4889"/>
      <c r="D149" s="4891"/>
      <c r="E149" s="4892"/>
      <c r="G149" s="4889"/>
      <c r="H149" s="4889"/>
      <c r="I149" s="4892"/>
      <c r="L149" s="4902"/>
      <c r="M149" s="4889"/>
      <c r="N149" s="4892"/>
    </row>
    <row r="150" spans="1:14">
      <c r="A150" s="4889"/>
      <c r="B150" s="4890"/>
      <c r="C150" s="4889"/>
      <c r="D150" s="4891"/>
      <c r="E150" s="4892"/>
      <c r="G150" s="4889"/>
      <c r="H150" s="4889"/>
      <c r="I150" s="4892"/>
      <c r="L150" s="4902"/>
      <c r="M150" s="4889"/>
      <c r="N150" s="4892"/>
    </row>
    <row r="151" spans="1:14">
      <c r="A151" s="4889"/>
      <c r="B151" s="4890"/>
      <c r="C151" s="4889"/>
      <c r="D151" s="4891"/>
      <c r="E151" s="4892"/>
      <c r="G151" s="4889"/>
      <c r="H151" s="4889"/>
      <c r="I151" s="4892"/>
      <c r="L151" s="4902"/>
      <c r="M151" s="4889"/>
      <c r="N151" s="4892"/>
    </row>
    <row r="152" spans="1:14">
      <c r="A152" s="4889"/>
      <c r="B152" s="4890"/>
      <c r="C152" s="4889"/>
      <c r="D152" s="4891"/>
      <c r="E152" s="4892"/>
      <c r="G152" s="4889"/>
      <c r="H152" s="4889"/>
      <c r="I152" s="4892"/>
      <c r="L152" s="4902"/>
      <c r="M152" s="4889"/>
      <c r="N152" s="4892"/>
    </row>
    <row r="153" spans="1:14">
      <c r="A153" s="4889"/>
      <c r="B153" s="4890"/>
      <c r="C153" s="4889"/>
      <c r="D153" s="4891"/>
      <c r="E153" s="4892"/>
      <c r="G153" s="4889"/>
      <c r="H153" s="4889"/>
      <c r="I153" s="4892"/>
      <c r="L153" s="4902"/>
      <c r="M153" s="4889"/>
      <c r="N153" s="4892"/>
    </row>
    <row r="154" spans="1:14">
      <c r="A154" s="4889"/>
      <c r="B154" s="4890"/>
      <c r="C154" s="4889"/>
      <c r="D154" s="4891"/>
      <c r="E154" s="4892"/>
      <c r="G154" s="4889"/>
      <c r="H154" s="4889"/>
      <c r="I154" s="4892"/>
      <c r="L154" s="4902"/>
      <c r="M154" s="4889"/>
      <c r="N154" s="4892"/>
    </row>
    <row r="155" spans="1:14">
      <c r="A155" s="4889"/>
      <c r="B155" s="4890"/>
      <c r="C155" s="4889"/>
      <c r="D155" s="4891"/>
      <c r="E155" s="4892"/>
      <c r="G155" s="4889"/>
      <c r="H155" s="4889"/>
      <c r="I155" s="4892"/>
      <c r="L155" s="4902"/>
      <c r="M155" s="4889"/>
      <c r="N155" s="4892"/>
    </row>
    <row r="156" spans="1:14">
      <c r="A156" s="4889"/>
      <c r="B156" s="4890"/>
      <c r="C156" s="4889"/>
      <c r="D156" s="4891"/>
      <c r="E156" s="4892"/>
      <c r="G156" s="4889"/>
      <c r="H156" s="4889"/>
      <c r="I156" s="4892"/>
      <c r="L156" s="4902"/>
      <c r="M156" s="4889"/>
      <c r="N156" s="4892"/>
    </row>
    <row r="157" spans="1:14">
      <c r="A157" s="4889"/>
      <c r="B157" s="4890"/>
      <c r="C157" s="4889"/>
      <c r="D157" s="4891"/>
      <c r="E157" s="4892"/>
      <c r="G157" s="4889"/>
      <c r="H157" s="4889"/>
      <c r="I157" s="4892"/>
      <c r="L157" s="4902"/>
      <c r="M157" s="4889"/>
      <c r="N157" s="4892"/>
    </row>
    <row r="158" spans="1:14">
      <c r="A158" s="4889"/>
      <c r="B158" s="4890"/>
      <c r="C158" s="4889"/>
      <c r="D158" s="4891"/>
      <c r="E158" s="4892"/>
      <c r="G158" s="4889"/>
      <c r="H158" s="4889"/>
      <c r="I158" s="4892"/>
      <c r="L158" s="4902"/>
      <c r="M158" s="4889"/>
      <c r="N158" s="4892"/>
    </row>
    <row r="159" spans="1:14">
      <c r="A159" s="4889"/>
      <c r="B159" s="4890"/>
      <c r="C159" s="4889"/>
      <c r="D159" s="4891"/>
      <c r="E159" s="4892"/>
      <c r="G159" s="4889"/>
      <c r="H159" s="4889"/>
      <c r="I159" s="4892"/>
      <c r="L159" s="4902"/>
      <c r="M159" s="4889"/>
      <c r="N159" s="4892"/>
    </row>
    <row r="160" spans="1:14">
      <c r="A160" s="4889"/>
      <c r="B160" s="4890"/>
      <c r="C160" s="4889"/>
      <c r="D160" s="4891"/>
      <c r="E160" s="4892"/>
      <c r="G160" s="4889"/>
      <c r="H160" s="4889"/>
      <c r="I160" s="4892"/>
      <c r="L160" s="4902"/>
      <c r="M160" s="4889"/>
      <c r="N160" s="4892"/>
    </row>
    <row r="161" spans="1:14">
      <c r="A161" s="4889"/>
      <c r="B161" s="4890"/>
      <c r="C161" s="4889"/>
      <c r="D161" s="4891"/>
      <c r="E161" s="4892"/>
      <c r="G161" s="4889"/>
      <c r="H161" s="4889"/>
      <c r="I161" s="4892"/>
      <c r="L161" s="4902"/>
      <c r="M161" s="4889"/>
      <c r="N161" s="4892"/>
    </row>
    <row r="162" spans="1:14">
      <c r="A162" s="4889"/>
      <c r="B162" s="4890"/>
      <c r="C162" s="4889"/>
      <c r="D162" s="4891"/>
      <c r="E162" s="4892"/>
      <c r="G162" s="4889"/>
      <c r="H162" s="4889"/>
      <c r="I162" s="4892"/>
      <c r="L162" s="4902"/>
      <c r="M162" s="4889"/>
      <c r="N162" s="4892"/>
    </row>
    <row r="163" spans="1:14">
      <c r="A163" s="4889"/>
      <c r="B163" s="4890"/>
      <c r="C163" s="4889"/>
      <c r="D163" s="4891"/>
      <c r="E163" s="4892"/>
      <c r="G163" s="4889"/>
      <c r="H163" s="4889"/>
      <c r="I163" s="4892"/>
      <c r="L163" s="4902"/>
      <c r="M163" s="4889"/>
      <c r="N163" s="4892"/>
    </row>
    <row r="164" spans="1:14">
      <c r="A164" s="4889"/>
      <c r="B164" s="4890"/>
      <c r="C164" s="4889"/>
      <c r="D164" s="4891"/>
      <c r="E164" s="4892"/>
      <c r="G164" s="4889"/>
      <c r="H164" s="4889"/>
      <c r="I164" s="4892"/>
      <c r="L164" s="4902"/>
      <c r="M164" s="4889"/>
      <c r="N164" s="4892"/>
    </row>
    <row r="165" spans="1:14">
      <c r="A165" s="4889"/>
      <c r="B165" s="4890"/>
      <c r="C165" s="4889"/>
      <c r="D165" s="4891"/>
      <c r="E165" s="4892"/>
      <c r="G165" s="4889"/>
      <c r="H165" s="4889"/>
      <c r="I165" s="4892"/>
      <c r="L165" s="4902"/>
      <c r="M165" s="4889"/>
      <c r="N165" s="4892"/>
    </row>
    <row r="166" spans="1:14">
      <c r="A166" s="4889"/>
      <c r="B166" s="4890"/>
      <c r="C166" s="4889"/>
      <c r="D166" s="4891"/>
      <c r="E166" s="4892"/>
      <c r="G166" s="4889"/>
      <c r="H166" s="4889"/>
      <c r="I166" s="4892"/>
      <c r="L166" s="4902"/>
      <c r="M166" s="4889"/>
      <c r="N166" s="4892"/>
    </row>
    <row r="167" spans="1:14">
      <c r="A167" s="4889"/>
      <c r="B167" s="4890"/>
      <c r="C167" s="4889"/>
      <c r="D167" s="4891"/>
      <c r="E167" s="4892"/>
      <c r="G167" s="4889"/>
      <c r="H167" s="4889"/>
      <c r="I167" s="4892"/>
      <c r="L167" s="4902"/>
      <c r="M167" s="4889"/>
      <c r="N167" s="4892"/>
    </row>
    <row r="168" spans="1:14">
      <c r="A168" s="4889"/>
      <c r="B168" s="4890"/>
      <c r="C168" s="4889"/>
      <c r="D168" s="4891"/>
      <c r="E168" s="4892"/>
      <c r="G168" s="4889"/>
      <c r="H168" s="4889"/>
      <c r="I168" s="4892"/>
      <c r="L168" s="4902"/>
      <c r="M168" s="4889"/>
      <c r="N168" s="4892"/>
    </row>
    <row r="169" spans="1:14">
      <c r="A169" s="4889"/>
      <c r="B169" s="4890"/>
      <c r="C169" s="4889"/>
      <c r="D169" s="4891"/>
      <c r="E169" s="4892"/>
      <c r="G169" s="4889"/>
      <c r="H169" s="4889"/>
      <c r="I169" s="4892"/>
      <c r="L169" s="4902"/>
      <c r="M169" s="4889"/>
      <c r="N169" s="4892"/>
    </row>
    <row r="170" spans="1:14">
      <c r="A170" s="4889"/>
      <c r="B170" s="4890"/>
      <c r="C170" s="4889"/>
      <c r="D170" s="4891"/>
      <c r="E170" s="4892"/>
      <c r="G170" s="4889"/>
      <c r="H170" s="4889"/>
      <c r="I170" s="4892"/>
      <c r="L170" s="4902"/>
      <c r="M170" s="4889"/>
      <c r="N170" s="4892"/>
    </row>
    <row r="171" spans="1:14">
      <c r="A171" s="4889"/>
      <c r="B171" s="4890"/>
      <c r="C171" s="4889"/>
      <c r="D171" s="4891"/>
      <c r="E171" s="4892"/>
      <c r="G171" s="4889"/>
      <c r="H171" s="4889"/>
      <c r="I171" s="4892"/>
      <c r="L171" s="4902"/>
      <c r="M171" s="4889"/>
      <c r="N171" s="4892"/>
    </row>
    <row r="172" spans="1:14">
      <c r="A172" s="4889"/>
      <c r="B172" s="4890"/>
      <c r="C172" s="4889"/>
      <c r="D172" s="4891"/>
      <c r="E172" s="4892"/>
      <c r="G172" s="4889"/>
      <c r="H172" s="4889"/>
      <c r="I172" s="4892"/>
      <c r="L172" s="4902"/>
      <c r="M172" s="4889"/>
      <c r="N172" s="4892"/>
    </row>
    <row r="173" spans="1:14">
      <c r="A173" s="4889"/>
      <c r="B173" s="4890"/>
      <c r="C173" s="4889"/>
      <c r="D173" s="4891"/>
      <c r="E173" s="4892"/>
      <c r="G173" s="4889"/>
      <c r="H173" s="4889"/>
      <c r="I173" s="4892"/>
      <c r="L173" s="4902"/>
      <c r="M173" s="4889"/>
      <c r="N173" s="4892"/>
    </row>
    <row r="174" spans="1:14">
      <c r="A174" s="4889"/>
      <c r="B174" s="4890"/>
      <c r="C174" s="4889"/>
      <c r="D174" s="4891"/>
      <c r="E174" s="4892"/>
      <c r="G174" s="4889"/>
      <c r="H174" s="4889"/>
      <c r="I174" s="4892"/>
      <c r="L174" s="4902"/>
      <c r="M174" s="4889"/>
      <c r="N174" s="4892"/>
    </row>
    <row r="175" spans="1:14">
      <c r="A175" s="4889"/>
      <c r="B175" s="4890"/>
      <c r="C175" s="4889"/>
      <c r="D175" s="4891"/>
      <c r="E175" s="4892"/>
      <c r="G175" s="4889"/>
      <c r="H175" s="4889"/>
      <c r="I175" s="4892"/>
      <c r="L175" s="4902"/>
      <c r="M175" s="4889"/>
      <c r="N175" s="4892"/>
    </row>
    <row r="176" spans="1:14">
      <c r="A176" s="4889"/>
      <c r="B176" s="4890"/>
      <c r="C176" s="4889"/>
      <c r="D176" s="4891"/>
      <c r="E176" s="4892"/>
      <c r="G176" s="4889"/>
      <c r="H176" s="4889"/>
      <c r="I176" s="4892"/>
      <c r="L176" s="4902"/>
      <c r="M176" s="4889"/>
      <c r="N176" s="4892"/>
    </row>
    <row r="177" spans="1:14">
      <c r="A177" s="4889"/>
      <c r="B177" s="4890"/>
      <c r="C177" s="4889"/>
      <c r="D177" s="4891"/>
      <c r="E177" s="4892"/>
      <c r="G177" s="4889"/>
      <c r="H177" s="4889"/>
      <c r="I177" s="4892"/>
      <c r="L177" s="4902"/>
      <c r="M177" s="4889"/>
      <c r="N177" s="4892"/>
    </row>
    <row r="178" spans="1:14">
      <c r="A178" s="4889"/>
      <c r="B178" s="4890"/>
      <c r="C178" s="4889"/>
      <c r="D178" s="4891"/>
      <c r="E178" s="4892"/>
      <c r="G178" s="4889"/>
      <c r="H178" s="4889"/>
      <c r="I178" s="4892"/>
      <c r="L178" s="4902"/>
      <c r="M178" s="4889"/>
      <c r="N178" s="4892"/>
    </row>
    <row r="179" spans="1:14">
      <c r="A179" s="4889"/>
      <c r="B179" s="4890"/>
      <c r="C179" s="4889"/>
      <c r="D179" s="4891"/>
      <c r="E179" s="4892"/>
      <c r="G179" s="4889"/>
      <c r="H179" s="4889"/>
      <c r="I179" s="4892"/>
      <c r="L179" s="4902"/>
      <c r="M179" s="4889"/>
      <c r="N179" s="4892"/>
    </row>
    <row r="180" spans="1:14">
      <c r="A180" s="4889"/>
      <c r="B180" s="4890"/>
      <c r="C180" s="4889"/>
      <c r="D180" s="4891"/>
      <c r="E180" s="4892"/>
      <c r="G180" s="4889"/>
      <c r="H180" s="4889"/>
      <c r="I180" s="4892"/>
      <c r="L180" s="4902"/>
      <c r="M180" s="4889"/>
      <c r="N180" s="4892"/>
    </row>
    <row r="181" spans="1:14">
      <c r="A181" s="4889"/>
      <c r="B181" s="4890"/>
      <c r="C181" s="4889"/>
      <c r="D181" s="4891"/>
      <c r="E181" s="4892"/>
      <c r="G181" s="4889"/>
      <c r="H181" s="4889"/>
      <c r="I181" s="4892"/>
      <c r="L181" s="4902"/>
      <c r="M181" s="4889"/>
      <c r="N181" s="4892"/>
    </row>
    <row r="182" spans="1:14">
      <c r="A182" s="4889"/>
      <c r="B182" s="4890"/>
      <c r="C182" s="4889"/>
      <c r="D182" s="4891"/>
      <c r="E182" s="4892"/>
      <c r="G182" s="4889"/>
      <c r="H182" s="4889"/>
      <c r="I182" s="4892"/>
      <c r="L182" s="4902"/>
      <c r="M182" s="4889"/>
      <c r="N182" s="4892"/>
    </row>
    <row r="183" spans="1:14">
      <c r="A183" s="4889"/>
      <c r="B183" s="4890"/>
      <c r="C183" s="4889"/>
      <c r="D183" s="4891"/>
      <c r="E183" s="4892"/>
      <c r="G183" s="4889"/>
      <c r="H183" s="4889"/>
      <c r="I183" s="4892"/>
      <c r="L183" s="4902"/>
      <c r="M183" s="4889"/>
      <c r="N183" s="4892"/>
    </row>
    <row r="184" spans="1:14">
      <c r="A184" s="4889"/>
      <c r="B184" s="4890"/>
      <c r="C184" s="4889"/>
      <c r="D184" s="4891"/>
      <c r="E184" s="4892"/>
      <c r="G184" s="4889"/>
      <c r="H184" s="4889"/>
      <c r="I184" s="4892"/>
      <c r="L184" s="4902"/>
      <c r="M184" s="4889"/>
      <c r="N184" s="4892"/>
    </row>
    <row r="185" spans="1:14">
      <c r="A185" s="4889"/>
      <c r="B185" s="4890"/>
      <c r="C185" s="4889"/>
      <c r="D185" s="4891"/>
      <c r="E185" s="4892"/>
      <c r="G185" s="4889"/>
      <c r="H185" s="4889"/>
      <c r="I185" s="4892"/>
      <c r="L185" s="4902"/>
      <c r="M185" s="4889"/>
      <c r="N185" s="4892"/>
    </row>
    <row r="186" spans="1:14">
      <c r="A186" s="4889"/>
      <c r="B186" s="4890"/>
      <c r="C186" s="4889"/>
      <c r="D186" s="4891"/>
      <c r="E186" s="4892"/>
      <c r="G186" s="4889"/>
      <c r="H186" s="4889"/>
      <c r="I186" s="4892"/>
      <c r="L186" s="4902"/>
      <c r="M186" s="4889"/>
      <c r="N186" s="4892"/>
    </row>
    <row r="187" spans="1:14">
      <c r="A187" s="4889"/>
      <c r="B187" s="4890"/>
      <c r="C187" s="4889"/>
      <c r="D187" s="4891"/>
      <c r="E187" s="4892"/>
      <c r="G187" s="4889"/>
      <c r="H187" s="4889"/>
      <c r="I187" s="4892"/>
      <c r="L187" s="4902"/>
      <c r="M187" s="4889"/>
      <c r="N187" s="4892"/>
    </row>
    <row r="188" spans="1:14">
      <c r="A188" s="4889"/>
      <c r="B188" s="4890"/>
      <c r="C188" s="4889"/>
      <c r="D188" s="4891"/>
      <c r="E188" s="4892"/>
      <c r="G188" s="4889"/>
      <c r="H188" s="4889"/>
      <c r="I188" s="4892"/>
      <c r="L188" s="4902"/>
      <c r="M188" s="4889"/>
      <c r="N188" s="4892"/>
    </row>
    <row r="189" spans="1:14">
      <c r="A189" s="4889"/>
      <c r="B189" s="4890"/>
      <c r="C189" s="4889"/>
      <c r="D189" s="4891"/>
      <c r="E189" s="4892"/>
      <c r="G189" s="4889"/>
      <c r="H189" s="4889"/>
      <c r="I189" s="4892"/>
      <c r="L189" s="4902"/>
      <c r="M189" s="4889"/>
      <c r="N189" s="4892"/>
    </row>
    <row r="190" spans="1:14">
      <c r="A190" s="4889"/>
      <c r="B190" s="4890"/>
      <c r="C190" s="4889"/>
      <c r="D190" s="4891"/>
      <c r="E190" s="4892"/>
      <c r="G190" s="4889"/>
      <c r="H190" s="4889"/>
      <c r="I190" s="4892"/>
      <c r="L190" s="4902"/>
      <c r="M190" s="4889"/>
      <c r="N190" s="4892"/>
    </row>
    <row r="191" spans="1:14">
      <c r="A191" s="4889"/>
      <c r="B191" s="4890"/>
      <c r="C191" s="4889"/>
      <c r="D191" s="4891"/>
      <c r="E191" s="4892"/>
      <c r="G191" s="4889"/>
      <c r="H191" s="4889"/>
      <c r="I191" s="4892"/>
      <c r="L191" s="4902"/>
      <c r="M191" s="4889"/>
      <c r="N191" s="4892"/>
    </row>
    <row r="192" spans="1:14">
      <c r="A192" s="4889"/>
      <c r="B192" s="4890"/>
      <c r="C192" s="4889"/>
      <c r="D192" s="4891"/>
      <c r="E192" s="4892"/>
      <c r="G192" s="4889"/>
      <c r="H192" s="4889"/>
      <c r="I192" s="4892"/>
      <c r="L192" s="4902"/>
      <c r="M192" s="4889"/>
      <c r="N192" s="4892"/>
    </row>
    <row r="193" spans="1:14">
      <c r="A193" s="4889"/>
      <c r="B193" s="4890"/>
      <c r="C193" s="4889"/>
      <c r="D193" s="4891"/>
      <c r="E193" s="4892"/>
      <c r="G193" s="4889"/>
      <c r="H193" s="4889"/>
      <c r="I193" s="4892"/>
      <c r="L193" s="4902"/>
      <c r="M193" s="4889"/>
      <c r="N193" s="4892"/>
    </row>
    <row r="194" spans="1:14">
      <c r="A194" s="4889"/>
      <c r="B194" s="4890"/>
      <c r="C194" s="4889"/>
      <c r="D194" s="4891"/>
      <c r="E194" s="4892"/>
      <c r="G194" s="4889"/>
      <c r="H194" s="4889"/>
      <c r="I194" s="4892"/>
      <c r="L194" s="4902"/>
      <c r="M194" s="4889"/>
      <c r="N194" s="4892"/>
    </row>
    <row r="195" spans="1:14">
      <c r="A195" s="4889"/>
      <c r="B195" s="4890"/>
      <c r="C195" s="4889"/>
      <c r="D195" s="4891"/>
      <c r="E195" s="4892"/>
      <c r="G195" s="4889"/>
      <c r="H195" s="4889"/>
      <c r="I195" s="4892"/>
      <c r="L195" s="4902"/>
      <c r="M195" s="4889"/>
      <c r="N195" s="4892"/>
    </row>
    <row r="196" spans="1:14">
      <c r="A196" s="4889"/>
      <c r="B196" s="4890"/>
      <c r="C196" s="4889"/>
      <c r="D196" s="4891"/>
      <c r="E196" s="4892"/>
      <c r="G196" s="4889"/>
      <c r="H196" s="4889"/>
      <c r="I196" s="4892"/>
      <c r="L196" s="4902"/>
      <c r="M196" s="4889"/>
      <c r="N196" s="4892"/>
    </row>
    <row r="197" spans="1:14">
      <c r="A197" s="4889"/>
      <c r="B197" s="4890"/>
      <c r="C197" s="4889"/>
      <c r="D197" s="4891"/>
      <c r="E197" s="4892"/>
      <c r="G197" s="4889"/>
      <c r="H197" s="4889"/>
      <c r="I197" s="4892"/>
      <c r="L197" s="4902"/>
      <c r="M197" s="4889"/>
      <c r="N197" s="4892"/>
    </row>
    <row r="198" spans="3:14">
      <c r="C198" s="4889"/>
      <c r="D198" s="4908"/>
      <c r="G198" s="4889"/>
      <c r="H198" s="4889"/>
      <c r="I198" s="4892"/>
      <c r="L198" s="4902"/>
      <c r="M198" s="4889"/>
      <c r="N198" s="4892"/>
    </row>
    <row r="199" ht="6" customHeight="1"/>
    <row r="200" ht="13.95" spans="2:16">
      <c r="B200" s="4831" t="s">
        <v>151</v>
      </c>
      <c r="E200" s="4909">
        <f>SUM(E9:E104)</f>
        <v>6658730910</v>
      </c>
      <c r="I200" s="4910">
        <f>SUM(I9:I91)</f>
        <v>401550521.266666</v>
      </c>
      <c r="N200" s="4910">
        <f>SUM(N9:N91)</f>
        <v>459615138.291667</v>
      </c>
      <c r="P200" s="4909">
        <f>SUM(P9:P91)</f>
        <v>-58064617.025</v>
      </c>
    </row>
  </sheetData>
  <mergeCells count="8">
    <mergeCell ref="G5:I5"/>
    <mergeCell ref="K5:N5"/>
    <mergeCell ref="A5:A6"/>
    <mergeCell ref="B5:B6"/>
    <mergeCell ref="C5:C6"/>
    <mergeCell ref="D5:D6"/>
    <mergeCell ref="E5:E6"/>
    <mergeCell ref="P5:P6"/>
  </mergeCells>
  <pageMargins left="0.75" right="0.75" top="1" bottom="1" header="0.5" footer="0.5"/>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B2:P128"/>
  <sheetViews>
    <sheetView showGridLines="0" zoomScale="190" zoomScaleNormal="190" workbookViewId="0">
      <pane xSplit="4" ySplit="9" topLeftCell="E10" activePane="bottomRight" state="frozen"/>
      <selection/>
      <selection pane="topRight"/>
      <selection pane="bottomLeft"/>
      <selection pane="bottomRight" activeCell="E34" sqref="E34"/>
    </sheetView>
  </sheetViews>
  <sheetFormatPr defaultColWidth="9.13541666666667" defaultRowHeight="10.2"/>
  <cols>
    <col min="1" max="1" width="2.39583333333333" style="2088" customWidth="1"/>
    <col min="2" max="3" width="3.73958333333333" style="2088" customWidth="1"/>
    <col min="4" max="4" width="2.69791666666667" style="2088" customWidth="1"/>
    <col min="5" max="5" width="1.64583333333333" style="2088" customWidth="1"/>
    <col min="6" max="6" width="13.6354166666667" style="2088" customWidth="1"/>
    <col min="7" max="7" width="2.69791666666667" style="2088" customWidth="1"/>
    <col min="8" max="8" width="3.73958333333333" style="2088" customWidth="1"/>
    <col min="9" max="9" width="2.69791666666667" style="2088" customWidth="1"/>
    <col min="10" max="10" width="1.64583333333333" style="2088" customWidth="1"/>
    <col min="11" max="11" width="13.6354166666667" style="2088" customWidth="1"/>
    <col min="12" max="12" width="2.69791666666667" style="2088" customWidth="1"/>
    <col min="13" max="13" width="16.9270833333333" style="2088" customWidth="1"/>
    <col min="14" max="14" width="16.625" style="2088" customWidth="1"/>
    <col min="15" max="15" width="0.447916666666667" style="2088" customWidth="1"/>
    <col min="16" max="16384" width="9.13541666666667" style="2088"/>
  </cols>
  <sheetData>
    <row r="2" ht="16.2" spans="2:15">
      <c r="B2" s="4745" t="s">
        <v>152</v>
      </c>
      <c r="C2" s="4746"/>
      <c r="D2" s="4746"/>
      <c r="E2" s="4746"/>
      <c r="F2" s="4746"/>
      <c r="G2" s="4746"/>
      <c r="H2" s="4746"/>
      <c r="I2" s="4746"/>
      <c r="J2" s="4746"/>
      <c r="K2" s="4746"/>
      <c r="L2" s="4746"/>
      <c r="M2" s="4746"/>
      <c r="N2" s="4775"/>
      <c r="O2" s="4776"/>
    </row>
    <row r="3" spans="2:15">
      <c r="B3" s="4747"/>
      <c r="C3" s="4748"/>
      <c r="D3" s="4748"/>
      <c r="E3" s="4748"/>
      <c r="F3" s="4748"/>
      <c r="G3" s="4748"/>
      <c r="H3" s="4748"/>
      <c r="I3" s="4748"/>
      <c r="J3" s="4748"/>
      <c r="K3" s="4748"/>
      <c r="L3" s="4748"/>
      <c r="M3" s="4748"/>
      <c r="N3" s="4777"/>
      <c r="O3" s="4776"/>
    </row>
    <row r="4" spans="2:15">
      <c r="B4" s="4747" t="s">
        <v>153</v>
      </c>
      <c r="C4" s="4748"/>
      <c r="D4" s="4748"/>
      <c r="E4" s="4749"/>
      <c r="F4" s="4750" t="str">
        <f>'Audit Isu'!B2</f>
        <v>PT INTAN GIRI ABADI</v>
      </c>
      <c r="G4" s="4751"/>
      <c r="H4" s="4751"/>
      <c r="I4" s="4751"/>
      <c r="J4" s="4751"/>
      <c r="K4" s="4751"/>
      <c r="L4" s="4751"/>
      <c r="M4" s="4778" t="s">
        <v>154</v>
      </c>
      <c r="N4" s="4995" t="s">
        <v>155</v>
      </c>
      <c r="O4" s="4776"/>
    </row>
    <row r="5" ht="6" customHeight="1" spans="2:15">
      <c r="B5" s="4747"/>
      <c r="C5" s="4748"/>
      <c r="D5" s="4748"/>
      <c r="E5" s="4748"/>
      <c r="F5" s="4748"/>
      <c r="G5" s="4748"/>
      <c r="H5" s="4748"/>
      <c r="I5" s="4748"/>
      <c r="J5" s="4748"/>
      <c r="K5" s="4748"/>
      <c r="L5" s="4748"/>
      <c r="M5" s="4748"/>
      <c r="N5" s="4777"/>
      <c r="O5" s="4776"/>
    </row>
    <row r="6" spans="2:15">
      <c r="B6" s="4752" t="s">
        <v>156</v>
      </c>
      <c r="C6" s="4748"/>
      <c r="D6" s="4748"/>
      <c r="E6" s="4749"/>
      <c r="F6" s="4751"/>
      <c r="G6" s="4751"/>
      <c r="H6" s="4751"/>
      <c r="I6" s="4751"/>
      <c r="J6" s="4751"/>
      <c r="K6" s="4751"/>
      <c r="L6" s="4751"/>
      <c r="M6" s="4778" t="s">
        <v>157</v>
      </c>
      <c r="N6" s="4780">
        <v>45196</v>
      </c>
      <c r="O6" s="4776"/>
    </row>
    <row r="7" ht="6" customHeight="1" spans="2:15">
      <c r="B7" s="4747"/>
      <c r="C7" s="4748"/>
      <c r="D7" s="4748"/>
      <c r="E7" s="4748"/>
      <c r="F7" s="4748"/>
      <c r="G7" s="4748"/>
      <c r="H7" s="4748"/>
      <c r="I7" s="4748"/>
      <c r="J7" s="4748"/>
      <c r="K7" s="4748"/>
      <c r="L7" s="4748"/>
      <c r="M7" s="4748"/>
      <c r="N7" s="4777"/>
      <c r="O7" s="4776"/>
    </row>
    <row r="8" spans="2:15">
      <c r="B8" s="4752" t="s">
        <v>158</v>
      </c>
      <c r="C8" s="4748"/>
      <c r="D8" s="4748"/>
      <c r="E8" s="4748"/>
      <c r="F8" s="4751"/>
      <c r="G8" s="4751"/>
      <c r="H8" s="4751"/>
      <c r="I8" s="4751"/>
      <c r="J8" s="4751"/>
      <c r="K8" s="4751"/>
      <c r="L8" s="4751"/>
      <c r="M8" s="4778" t="s">
        <v>157</v>
      </c>
      <c r="N8" s="4780">
        <f>N6+30</f>
        <v>45226</v>
      </c>
      <c r="O8" s="4776"/>
    </row>
    <row r="9" ht="7.5" customHeight="1" spans="2:15">
      <c r="B9" s="4753"/>
      <c r="C9" s="4754"/>
      <c r="D9" s="4754"/>
      <c r="E9" s="4754"/>
      <c r="F9" s="4754"/>
      <c r="G9" s="4754"/>
      <c r="H9" s="4754"/>
      <c r="I9" s="4754"/>
      <c r="J9" s="4754"/>
      <c r="K9" s="4754"/>
      <c r="L9" s="4754"/>
      <c r="M9" s="4754"/>
      <c r="N9" s="4781"/>
      <c r="O9" s="4776"/>
    </row>
    <row r="10" ht="7.5" customHeight="1"/>
    <row r="11" spans="2:3">
      <c r="B11" s="4755" t="s">
        <v>159</v>
      </c>
      <c r="C11" s="4755" t="s">
        <v>160</v>
      </c>
    </row>
    <row r="12" ht="6" customHeight="1"/>
    <row r="13" spans="2:3">
      <c r="B13" s="4996" t="s">
        <v>161</v>
      </c>
      <c r="C13" s="4756" t="s">
        <v>162</v>
      </c>
    </row>
    <row r="14" ht="6" customHeight="1"/>
    <row r="15" spans="3:4">
      <c r="C15" s="2088" t="s">
        <v>163</v>
      </c>
      <c r="D15" s="2088" t="s">
        <v>164</v>
      </c>
    </row>
    <row r="16" ht="6" customHeight="1"/>
    <row r="17" spans="14:14">
      <c r="N17" s="4997" t="s">
        <v>165</v>
      </c>
    </row>
    <row r="18" spans="6:6">
      <c r="F18" s="4757" t="s">
        <v>166</v>
      </c>
    </row>
    <row r="19" spans="4:14">
      <c r="D19" s="4758"/>
      <c r="F19" s="4998" t="s">
        <v>167</v>
      </c>
      <c r="N19" s="4999" t="s">
        <v>168</v>
      </c>
    </row>
    <row r="20" spans="4:14">
      <c r="D20" s="4758"/>
      <c r="F20" s="4998" t="s">
        <v>169</v>
      </c>
      <c r="N20" s="4999" t="s">
        <v>170</v>
      </c>
    </row>
    <row r="21" ht="11.4" spans="4:16">
      <c r="D21" s="1704" t="s">
        <v>171</v>
      </c>
      <c r="F21" s="2088" t="s">
        <v>172</v>
      </c>
      <c r="N21" s="4999" t="s">
        <v>173</v>
      </c>
      <c r="P21"/>
    </row>
    <row r="22" spans="4:14">
      <c r="D22" s="4758"/>
      <c r="F22" s="2088" t="s">
        <v>174</v>
      </c>
      <c r="N22" s="4999" t="s">
        <v>175</v>
      </c>
    </row>
    <row r="23" spans="4:14">
      <c r="D23" s="1704"/>
      <c r="F23" s="2088" t="s">
        <v>176</v>
      </c>
      <c r="N23" s="4999" t="s">
        <v>177</v>
      </c>
    </row>
    <row r="24" spans="4:14">
      <c r="D24" s="4758"/>
      <c r="F24" s="2088" t="s">
        <v>178</v>
      </c>
      <c r="N24" s="4999" t="s">
        <v>179</v>
      </c>
    </row>
    <row r="25" spans="4:14">
      <c r="D25" s="4758"/>
      <c r="F25" s="2088" t="s">
        <v>180</v>
      </c>
      <c r="N25" s="4999" t="s">
        <v>181</v>
      </c>
    </row>
    <row r="26" ht="6" customHeight="1"/>
    <row r="27" spans="3:4">
      <c r="C27" s="2088" t="s">
        <v>182</v>
      </c>
      <c r="D27" s="4998" t="s">
        <v>183</v>
      </c>
    </row>
    <row r="28" ht="6" customHeight="1"/>
    <row r="29" ht="12" customHeight="1" spans="4:8">
      <c r="D29" s="4759">
        <f>+'F3'!F13</f>
        <v>7474615453.59131</v>
      </c>
      <c r="E29" s="4760"/>
      <c r="F29" s="4761"/>
      <c r="H29" s="4762">
        <f>'F1'!K40</f>
        <v>66132899461.2343</v>
      </c>
    </row>
    <row r="30" ht="6" customHeight="1"/>
    <row r="31" spans="3:4">
      <c r="C31" s="2088" t="s">
        <v>184</v>
      </c>
      <c r="D31" s="2088" t="s">
        <v>185</v>
      </c>
    </row>
    <row r="32" ht="6" customHeight="1"/>
    <row r="33" spans="4:6">
      <c r="D33" s="4758"/>
      <c r="F33" s="2088" t="s">
        <v>186</v>
      </c>
    </row>
    <row r="34" ht="12" spans="4:6">
      <c r="D34" s="4763" t="s">
        <v>187</v>
      </c>
      <c r="F34" s="2088" t="s">
        <v>188</v>
      </c>
    </row>
    <row r="35" spans="4:6">
      <c r="D35" s="4758"/>
      <c r="F35" s="2088" t="s">
        <v>189</v>
      </c>
    </row>
    <row r="36" spans="4:6">
      <c r="D36" s="4758"/>
      <c r="F36" s="2088" t="s">
        <v>190</v>
      </c>
    </row>
    <row r="37" ht="6" customHeight="1"/>
    <row r="38" ht="25.5" customHeight="1" spans="4:14">
      <c r="D38" s="5000" t="s">
        <v>191</v>
      </c>
      <c r="E38" s="4765"/>
      <c r="F38" s="4765"/>
      <c r="G38" s="4765"/>
      <c r="H38" s="4765"/>
      <c r="I38" s="4765"/>
      <c r="J38" s="4765"/>
      <c r="K38" s="4765"/>
      <c r="L38" s="4765"/>
      <c r="M38" s="4765"/>
      <c r="N38" s="4784"/>
    </row>
    <row r="39" ht="6" customHeight="1"/>
    <row r="40" spans="3:4">
      <c r="C40" s="2088" t="s">
        <v>192</v>
      </c>
      <c r="D40" s="2088" t="s">
        <v>193</v>
      </c>
    </row>
    <row r="41" ht="6" customHeight="1"/>
    <row r="42" ht="12" spans="4:6">
      <c r="D42" s="4763" t="s">
        <v>187</v>
      </c>
      <c r="F42" s="4998" t="s">
        <v>194</v>
      </c>
    </row>
    <row r="43" spans="4:6">
      <c r="D43" s="4758"/>
      <c r="F43" s="4757" t="s">
        <v>195</v>
      </c>
    </row>
    <row r="44" spans="4:6">
      <c r="D44" s="4758"/>
      <c r="F44" s="4757" t="s">
        <v>196</v>
      </c>
    </row>
    <row r="45" spans="4:6">
      <c r="D45" s="4758"/>
      <c r="F45" s="4757" t="s">
        <v>197</v>
      </c>
    </row>
    <row r="46" spans="4:6">
      <c r="D46" s="4758"/>
      <c r="F46" s="2088" t="s">
        <v>198</v>
      </c>
    </row>
    <row r="47" spans="4:6">
      <c r="D47" s="4758"/>
      <c r="F47" s="2088" t="s">
        <v>199</v>
      </c>
    </row>
    <row r="48" spans="4:6">
      <c r="D48" s="4758"/>
      <c r="F48" s="2088" t="s">
        <v>190</v>
      </c>
    </row>
    <row r="49" ht="6" customHeight="1"/>
    <row r="50" ht="25.5" customHeight="1" spans="4:14">
      <c r="D50" s="4766" t="s">
        <v>200</v>
      </c>
      <c r="E50" s="4765"/>
      <c r="F50" s="4765"/>
      <c r="G50" s="4765"/>
      <c r="H50" s="4765"/>
      <c r="I50" s="4765"/>
      <c r="J50" s="4765"/>
      <c r="K50" s="4765"/>
      <c r="L50" s="4765"/>
      <c r="M50" s="4765"/>
      <c r="N50" s="4784"/>
    </row>
    <row r="51" ht="6" customHeight="1"/>
    <row r="52" spans="2:3">
      <c r="B52" s="4996" t="s">
        <v>201</v>
      </c>
      <c r="C52" s="4756" t="s">
        <v>202</v>
      </c>
    </row>
    <row r="53" ht="6" customHeight="1"/>
    <row r="54" spans="3:3">
      <c r="C54" s="4998" t="s">
        <v>203</v>
      </c>
    </row>
    <row r="55" ht="6" customHeight="1"/>
    <row r="56" spans="4:6">
      <c r="D56" s="4767">
        <v>0.005</v>
      </c>
      <c r="E56" s="4768"/>
      <c r="F56" s="4769"/>
    </row>
    <row r="57" ht="6" customHeight="1"/>
    <row r="58" spans="2:3">
      <c r="B58" s="4996" t="s">
        <v>204</v>
      </c>
      <c r="C58" s="4756" t="s">
        <v>205</v>
      </c>
    </row>
    <row r="59" ht="6" customHeight="1"/>
    <row r="60" spans="3:13">
      <c r="C60" s="2176" t="s">
        <v>206</v>
      </c>
      <c r="D60" s="2176"/>
      <c r="E60" s="2176"/>
      <c r="F60" s="2176"/>
      <c r="H60" s="2176" t="s">
        <v>165</v>
      </c>
      <c r="I60" s="2176"/>
      <c r="J60" s="2176"/>
      <c r="K60" s="2176"/>
      <c r="M60" s="2176" t="s">
        <v>207</v>
      </c>
    </row>
    <row r="61" spans="3:13">
      <c r="C61" s="4770" t="s">
        <v>208</v>
      </c>
      <c r="D61" s="2176"/>
      <c r="E61" s="2176"/>
      <c r="F61" s="2176"/>
      <c r="H61" s="5001" t="s">
        <v>209</v>
      </c>
      <c r="I61" s="2176"/>
      <c r="J61" s="2176"/>
      <c r="K61" s="2176"/>
      <c r="M61" s="2176"/>
    </row>
    <row r="62" spans="3:13">
      <c r="C62" s="4771">
        <f>D29</f>
        <v>7474615453.59131</v>
      </c>
      <c r="D62" s="4772"/>
      <c r="E62" s="4772"/>
      <c r="F62" s="4773"/>
      <c r="G62" s="5002" t="s">
        <v>171</v>
      </c>
      <c r="H62" s="4774">
        <v>0.005</v>
      </c>
      <c r="I62" s="4785"/>
      <c r="J62" s="4785"/>
      <c r="K62" s="4786"/>
      <c r="L62" s="5002" t="s">
        <v>210</v>
      </c>
      <c r="M62" s="4787">
        <f>C62*H62</f>
        <v>37373077.2679566</v>
      </c>
    </row>
    <row r="63" ht="6" customHeight="1" spans="13:13">
      <c r="M63" s="4788"/>
    </row>
    <row r="64" spans="11:13">
      <c r="K64" s="2176" t="s">
        <v>211</v>
      </c>
      <c r="L64" s="5002" t="s">
        <v>210</v>
      </c>
      <c r="M64" s="4787">
        <f>ROUNDUP(M62/100,0)*100</f>
        <v>37373100</v>
      </c>
    </row>
    <row r="66" spans="2:3">
      <c r="B66" s="4755" t="s">
        <v>212</v>
      </c>
      <c r="C66" s="4755" t="s">
        <v>213</v>
      </c>
    </row>
    <row r="67" ht="6" customHeight="1"/>
    <row r="68" spans="2:3">
      <c r="B68" s="5003" t="s">
        <v>161</v>
      </c>
      <c r="C68" s="4756" t="s">
        <v>214</v>
      </c>
    </row>
    <row r="69" ht="6" customHeight="1"/>
    <row r="70" spans="4:6">
      <c r="D70" s="4771">
        <f>M64</f>
        <v>37373100</v>
      </c>
      <c r="E70" s="4772"/>
      <c r="F70" s="4773"/>
    </row>
    <row r="71" ht="6" customHeight="1"/>
    <row r="72" spans="2:3">
      <c r="B72" s="5003" t="s">
        <v>201</v>
      </c>
      <c r="C72" s="4789" t="s">
        <v>215</v>
      </c>
    </row>
    <row r="73" ht="6" customHeight="1"/>
    <row r="74" spans="4:6">
      <c r="D74" s="4790">
        <v>0</v>
      </c>
      <c r="E74" s="4791"/>
      <c r="F74" s="4792"/>
    </row>
    <row r="75" ht="6" customHeight="1"/>
    <row r="76" spans="2:3">
      <c r="B76" s="5003" t="s">
        <v>204</v>
      </c>
      <c r="C76" s="4756" t="s">
        <v>216</v>
      </c>
    </row>
    <row r="77" ht="6" customHeight="1"/>
    <row r="78" spans="4:6">
      <c r="D78" s="4790">
        <v>0</v>
      </c>
      <c r="E78" s="4791"/>
      <c r="F78" s="4792"/>
    </row>
    <row r="79" ht="6" customHeight="1"/>
    <row r="80" spans="3:3">
      <c r="C80" s="2088" t="s">
        <v>217</v>
      </c>
    </row>
    <row r="81" ht="6" customHeight="1"/>
    <row r="82" ht="38.25" customHeight="1" spans="4:14">
      <c r="D82" s="4766"/>
      <c r="E82" s="4765"/>
      <c r="F82" s="4765"/>
      <c r="G82" s="4765"/>
      <c r="H82" s="4765"/>
      <c r="I82" s="4765"/>
      <c r="J82" s="4765"/>
      <c r="K82" s="4765"/>
      <c r="L82" s="4765"/>
      <c r="M82" s="4765"/>
      <c r="N82" s="4784"/>
    </row>
    <row r="83" ht="6" customHeight="1"/>
    <row r="84" spans="2:3">
      <c r="B84" s="5003" t="s">
        <v>218</v>
      </c>
      <c r="C84" s="4756" t="s">
        <v>219</v>
      </c>
    </row>
    <row r="85" ht="6" customHeight="1"/>
    <row r="86" spans="3:13">
      <c r="C86" s="2176" t="s">
        <v>220</v>
      </c>
      <c r="D86" s="2176"/>
      <c r="E86" s="2176"/>
      <c r="F86" s="2176"/>
      <c r="H86" s="2176" t="s">
        <v>221</v>
      </c>
      <c r="I86" s="2176"/>
      <c r="J86" s="2176"/>
      <c r="K86" s="2176"/>
      <c r="M86" s="2176" t="s">
        <v>222</v>
      </c>
    </row>
    <row r="87" spans="3:13">
      <c r="C87" s="5001" t="s">
        <v>223</v>
      </c>
      <c r="D87" s="4793"/>
      <c r="E87" s="4793"/>
      <c r="F87" s="4793"/>
      <c r="H87" s="5001" t="s">
        <v>224</v>
      </c>
      <c r="I87" s="2176"/>
      <c r="J87" s="2176"/>
      <c r="K87" s="2176"/>
      <c r="M87" s="2176"/>
    </row>
    <row r="88" spans="3:13">
      <c r="C88" s="4794">
        <f>D78</f>
        <v>0</v>
      </c>
      <c r="D88" s="4795"/>
      <c r="E88" s="4795"/>
      <c r="F88" s="4796"/>
      <c r="G88" s="5002" t="s">
        <v>225</v>
      </c>
      <c r="H88" s="4797">
        <f>D70</f>
        <v>37373100</v>
      </c>
      <c r="I88" s="4819"/>
      <c r="J88" s="4819"/>
      <c r="K88" s="4820"/>
      <c r="L88" s="5002" t="s">
        <v>210</v>
      </c>
      <c r="M88" s="4821">
        <f>IF(H88=0,0,C88/H88)</f>
        <v>0</v>
      </c>
    </row>
    <row r="89" ht="6" customHeight="1"/>
    <row r="90" spans="2:3">
      <c r="B90" s="5003" t="s">
        <v>226</v>
      </c>
      <c r="C90" s="4756" t="s">
        <v>227</v>
      </c>
    </row>
    <row r="91" ht="6" customHeight="1"/>
    <row r="92" spans="3:13">
      <c r="C92" s="4782" t="s">
        <v>228</v>
      </c>
      <c r="D92" s="4782"/>
      <c r="E92" s="4782"/>
      <c r="F92" s="4782"/>
      <c r="H92" s="4782" t="s">
        <v>229</v>
      </c>
      <c r="I92" s="4782"/>
      <c r="J92" s="4782"/>
      <c r="K92" s="4782"/>
      <c r="M92" s="2176" t="s">
        <v>230</v>
      </c>
    </row>
    <row r="93" spans="3:13">
      <c r="C93" s="4798" t="s">
        <v>231</v>
      </c>
      <c r="D93" s="4799"/>
      <c r="E93" s="4799"/>
      <c r="F93" s="4800"/>
      <c r="H93" s="4798" t="s">
        <v>232</v>
      </c>
      <c r="I93" s="4799"/>
      <c r="J93" s="4799"/>
      <c r="K93" s="4800"/>
      <c r="M93" s="4822" t="s">
        <v>233</v>
      </c>
    </row>
    <row r="94" spans="3:13">
      <c r="C94" s="4801" t="s">
        <v>234</v>
      </c>
      <c r="D94" s="4802"/>
      <c r="E94" s="4802"/>
      <c r="F94" s="4803"/>
      <c r="H94" s="4801" t="s">
        <v>235</v>
      </c>
      <c r="I94" s="4802"/>
      <c r="J94" s="4802"/>
      <c r="K94" s="4803"/>
      <c r="M94" s="4823" t="s">
        <v>236</v>
      </c>
    </row>
    <row r="95" spans="3:13">
      <c r="C95" s="4804" t="s">
        <v>209</v>
      </c>
      <c r="D95" s="4805"/>
      <c r="E95" s="4805"/>
      <c r="F95" s="4806"/>
      <c r="H95" s="5004" t="s">
        <v>237</v>
      </c>
      <c r="I95" s="4805"/>
      <c r="J95" s="4805"/>
      <c r="K95" s="4806"/>
      <c r="M95" s="4824"/>
    </row>
    <row r="96" ht="6" customHeight="1" spans="3:13">
      <c r="C96" s="4807"/>
      <c r="D96" s="4808"/>
      <c r="E96" s="4808"/>
      <c r="F96" s="4809"/>
      <c r="H96" s="4807"/>
      <c r="I96" s="4808"/>
      <c r="J96" s="4808"/>
      <c r="K96" s="4809"/>
      <c r="M96" s="4825"/>
    </row>
    <row r="97" spans="3:13">
      <c r="C97" s="4747"/>
      <c r="D97" s="4758" t="s">
        <v>171</v>
      </c>
      <c r="F97" s="5005" t="s">
        <v>238</v>
      </c>
      <c r="H97" s="4811" t="s">
        <v>239</v>
      </c>
      <c r="I97" s="2176"/>
      <c r="J97" s="2176"/>
      <c r="K97" s="4826"/>
      <c r="M97" s="5006" t="s">
        <v>240</v>
      </c>
    </row>
    <row r="98" ht="6" customHeight="1" spans="3:13">
      <c r="C98" s="4747"/>
      <c r="F98" s="4777"/>
      <c r="H98" s="4753"/>
      <c r="I98" s="4754"/>
      <c r="J98" s="4754"/>
      <c r="K98" s="4781"/>
      <c r="M98" s="4828"/>
    </row>
    <row r="99" ht="6" customHeight="1" spans="3:13">
      <c r="C99" s="4807"/>
      <c r="D99" s="4808"/>
      <c r="E99" s="4808"/>
      <c r="F99" s="4809"/>
      <c r="H99" s="4807"/>
      <c r="I99" s="4808"/>
      <c r="J99" s="4808"/>
      <c r="K99" s="4809"/>
      <c r="M99" s="4825"/>
    </row>
    <row r="100" spans="3:13">
      <c r="C100" s="4747"/>
      <c r="D100" s="4758"/>
      <c r="F100" s="5005" t="s">
        <v>241</v>
      </c>
      <c r="H100" s="4747"/>
      <c r="I100" s="4758"/>
      <c r="K100" s="4777" t="s">
        <v>242</v>
      </c>
      <c r="M100" s="5006" t="s">
        <v>243</v>
      </c>
    </row>
    <row r="101" ht="6" customHeight="1" spans="3:13">
      <c r="C101" s="4747"/>
      <c r="F101" s="4777"/>
      <c r="H101" s="4747"/>
      <c r="K101" s="4777"/>
      <c r="M101" s="4829"/>
    </row>
    <row r="102" spans="3:13">
      <c r="C102" s="4747"/>
      <c r="F102" s="4777"/>
      <c r="H102" s="4747"/>
      <c r="I102" s="4758"/>
      <c r="K102" s="4777" t="s">
        <v>244</v>
      </c>
      <c r="M102" s="5006" t="s">
        <v>245</v>
      </c>
    </row>
    <row r="103" ht="6" customHeight="1" spans="3:13">
      <c r="C103" s="4753"/>
      <c r="D103" s="4754"/>
      <c r="E103" s="4754"/>
      <c r="F103" s="4781"/>
      <c r="H103" s="4753"/>
      <c r="I103" s="4754"/>
      <c r="J103" s="4754"/>
      <c r="K103" s="4781"/>
      <c r="M103" s="4828"/>
    </row>
    <row r="104" ht="6" customHeight="1" spans="3:13">
      <c r="C104" s="4807"/>
      <c r="D104" s="4808"/>
      <c r="E104" s="4808"/>
      <c r="F104" s="4809"/>
      <c r="H104" s="4807"/>
      <c r="I104" s="4808"/>
      <c r="J104" s="4808"/>
      <c r="K104" s="4809"/>
      <c r="M104" s="4825"/>
    </row>
    <row r="105" spans="3:13">
      <c r="C105" s="4747"/>
      <c r="D105" s="4758"/>
      <c r="F105" s="4777" t="s">
        <v>246</v>
      </c>
      <c r="H105" s="4747"/>
      <c r="I105" s="4758"/>
      <c r="K105" s="4777" t="s">
        <v>242</v>
      </c>
      <c r="M105" s="5006" t="s">
        <v>247</v>
      </c>
    </row>
    <row r="106" ht="6" customHeight="1" spans="3:13">
      <c r="C106" s="4747"/>
      <c r="F106" s="4777"/>
      <c r="H106" s="4747"/>
      <c r="K106" s="4777"/>
      <c r="M106" s="4829"/>
    </row>
    <row r="107" spans="3:13">
      <c r="C107" s="4747"/>
      <c r="F107" s="4777"/>
      <c r="H107" s="4747"/>
      <c r="I107" s="4758"/>
      <c r="K107" s="4777" t="s">
        <v>244</v>
      </c>
      <c r="M107" s="5006" t="s">
        <v>248</v>
      </c>
    </row>
    <row r="108" ht="6" customHeight="1" spans="3:13">
      <c r="C108" s="4753"/>
      <c r="D108" s="4754"/>
      <c r="E108" s="4754"/>
      <c r="F108" s="4781"/>
      <c r="H108" s="4753"/>
      <c r="I108" s="4754"/>
      <c r="J108" s="4754"/>
      <c r="K108" s="4781"/>
      <c r="M108" s="4828"/>
    </row>
    <row r="109" ht="6" customHeight="1"/>
    <row r="110" spans="2:3">
      <c r="B110" s="5003" t="s">
        <v>249</v>
      </c>
      <c r="C110" s="4756" t="s">
        <v>250</v>
      </c>
    </row>
    <row r="111" ht="6" customHeight="1"/>
    <row r="112" spans="3:13">
      <c r="C112" s="2176" t="s">
        <v>251</v>
      </c>
      <c r="D112" s="2176"/>
      <c r="E112" s="2176"/>
      <c r="F112" s="2176"/>
      <c r="H112" s="2176" t="s">
        <v>221</v>
      </c>
      <c r="I112" s="2176"/>
      <c r="J112" s="2176"/>
      <c r="K112" s="2176"/>
      <c r="M112" s="2176" t="s">
        <v>252</v>
      </c>
    </row>
    <row r="113" spans="3:13">
      <c r="C113" s="5001" t="s">
        <v>253</v>
      </c>
      <c r="D113" s="4793"/>
      <c r="E113" s="4793"/>
      <c r="F113" s="4793"/>
      <c r="H113" s="5001" t="s">
        <v>224</v>
      </c>
      <c r="I113" s="2176"/>
      <c r="J113" s="2176"/>
      <c r="K113" s="2176"/>
      <c r="M113" s="2176"/>
    </row>
    <row r="114" spans="3:13">
      <c r="C114" s="4812">
        <v>0.5</v>
      </c>
      <c r="D114" s="4813"/>
      <c r="E114" s="4813"/>
      <c r="F114" s="4814"/>
      <c r="G114" s="5002" t="s">
        <v>171</v>
      </c>
      <c r="H114" s="4797">
        <f>D70</f>
        <v>37373100</v>
      </c>
      <c r="I114" s="4819"/>
      <c r="J114" s="4819"/>
      <c r="K114" s="4820"/>
      <c r="L114" s="5002" t="s">
        <v>210</v>
      </c>
      <c r="M114" s="4830">
        <f>C114*H114</f>
        <v>18686550</v>
      </c>
    </row>
    <row r="116" spans="2:3">
      <c r="B116" s="4755" t="s">
        <v>254</v>
      </c>
      <c r="C116" s="5007" t="s">
        <v>255</v>
      </c>
    </row>
    <row r="117" ht="6" customHeight="1"/>
    <row r="118" spans="2:3">
      <c r="B118" s="5003" t="s">
        <v>161</v>
      </c>
      <c r="C118" s="5003" t="s">
        <v>256</v>
      </c>
    </row>
    <row r="119" ht="6" customHeight="1"/>
    <row r="120" spans="3:13">
      <c r="C120" s="5002" t="s">
        <v>257</v>
      </c>
      <c r="D120" s="2176"/>
      <c r="E120" s="2176"/>
      <c r="F120" s="2176"/>
      <c r="H120" s="5002" t="s">
        <v>252</v>
      </c>
      <c r="I120" s="2176"/>
      <c r="J120" s="2176"/>
      <c r="K120" s="2176"/>
      <c r="M120" s="2176" t="s">
        <v>258</v>
      </c>
    </row>
    <row r="121" spans="3:13">
      <c r="C121" s="5001" t="s">
        <v>259</v>
      </c>
      <c r="D121" s="4793"/>
      <c r="E121" s="4793"/>
      <c r="F121" s="4793"/>
      <c r="H121" s="5001" t="s">
        <v>260</v>
      </c>
      <c r="I121" s="4770"/>
      <c r="J121" s="4770"/>
      <c r="K121" s="4770"/>
      <c r="M121" s="2176"/>
    </row>
    <row r="122" spans="3:13">
      <c r="C122" s="4812">
        <v>0.05</v>
      </c>
      <c r="D122" s="4813"/>
      <c r="E122" s="4813"/>
      <c r="F122" s="4814"/>
      <c r="G122" s="5002" t="s">
        <v>171</v>
      </c>
      <c r="H122" s="4797">
        <f>M114</f>
        <v>18686550</v>
      </c>
      <c r="I122" s="4819"/>
      <c r="J122" s="4819"/>
      <c r="K122" s="4820"/>
      <c r="L122" s="5002" t="s">
        <v>210</v>
      </c>
      <c r="M122" s="4830">
        <f>C122*H122</f>
        <v>934327.5</v>
      </c>
    </row>
    <row r="123" ht="6" customHeight="1"/>
    <row r="124" spans="2:3">
      <c r="B124" s="5003" t="s">
        <v>201</v>
      </c>
      <c r="C124" s="5003" t="s">
        <v>261</v>
      </c>
    </row>
    <row r="125" ht="6" customHeight="1"/>
    <row r="126" spans="3:13">
      <c r="C126" s="2176" t="s">
        <v>262</v>
      </c>
      <c r="D126" s="2176"/>
      <c r="E126" s="2176"/>
      <c r="F126" s="2176"/>
      <c r="H126" s="2176" t="s">
        <v>258</v>
      </c>
      <c r="I126" s="2176"/>
      <c r="J126" s="2176"/>
      <c r="K126" s="2176"/>
      <c r="M126" s="5002" t="s">
        <v>263</v>
      </c>
    </row>
    <row r="127" spans="3:13">
      <c r="C127" s="5001" t="s">
        <v>264</v>
      </c>
      <c r="D127" s="4793"/>
      <c r="E127" s="4793"/>
      <c r="F127" s="4793"/>
      <c r="H127" s="4770" t="s">
        <v>224</v>
      </c>
      <c r="I127" s="4770"/>
      <c r="J127" s="4770"/>
      <c r="K127" s="4770"/>
      <c r="M127" s="2176"/>
    </row>
    <row r="128" spans="3:13">
      <c r="C128" s="4816">
        <v>2</v>
      </c>
      <c r="D128" s="4817"/>
      <c r="E128" s="4817"/>
      <c r="F128" s="4818"/>
      <c r="G128" s="5002" t="s">
        <v>171</v>
      </c>
      <c r="H128" s="4797">
        <f>M122</f>
        <v>934327.5</v>
      </c>
      <c r="I128" s="4819"/>
      <c r="J128" s="4819"/>
      <c r="K128" s="4820"/>
      <c r="L128" s="5002" t="s">
        <v>210</v>
      </c>
      <c r="M128" s="4830">
        <f>C128*H128</f>
        <v>1868655</v>
      </c>
    </row>
  </sheetData>
  <mergeCells count="51">
    <mergeCell ref="B2:N2"/>
    <mergeCell ref="F4:L4"/>
    <mergeCell ref="F6:L6"/>
    <mergeCell ref="F8:L8"/>
    <mergeCell ref="D29:F29"/>
    <mergeCell ref="D38:N38"/>
    <mergeCell ref="D50:N50"/>
    <mergeCell ref="D56:F56"/>
    <mergeCell ref="C60:F60"/>
    <mergeCell ref="H60:K60"/>
    <mergeCell ref="C61:F61"/>
    <mergeCell ref="H61:K61"/>
    <mergeCell ref="C62:F62"/>
    <mergeCell ref="H62:K62"/>
    <mergeCell ref="D70:F70"/>
    <mergeCell ref="D74:F74"/>
    <mergeCell ref="D78:F78"/>
    <mergeCell ref="D82:N82"/>
    <mergeCell ref="C86:F86"/>
    <mergeCell ref="H86:K86"/>
    <mergeCell ref="C87:F87"/>
    <mergeCell ref="H87:K87"/>
    <mergeCell ref="C88:F88"/>
    <mergeCell ref="H88:K88"/>
    <mergeCell ref="C92:F92"/>
    <mergeCell ref="H92:K92"/>
    <mergeCell ref="C93:F93"/>
    <mergeCell ref="H93:K93"/>
    <mergeCell ref="C94:F94"/>
    <mergeCell ref="H94:K94"/>
    <mergeCell ref="C95:F95"/>
    <mergeCell ref="H95:K95"/>
    <mergeCell ref="H97:K97"/>
    <mergeCell ref="C112:F112"/>
    <mergeCell ref="H112:K112"/>
    <mergeCell ref="C113:F113"/>
    <mergeCell ref="H113:K113"/>
    <mergeCell ref="C114:F114"/>
    <mergeCell ref="H114:K114"/>
    <mergeCell ref="C120:F120"/>
    <mergeCell ref="H120:K120"/>
    <mergeCell ref="C121:F121"/>
    <mergeCell ref="H121:K121"/>
    <mergeCell ref="C122:F122"/>
    <mergeCell ref="H122:K122"/>
    <mergeCell ref="C126:F126"/>
    <mergeCell ref="H126:K126"/>
    <mergeCell ref="C127:F127"/>
    <mergeCell ref="H127:K127"/>
    <mergeCell ref="C128:F128"/>
    <mergeCell ref="H128:K128"/>
  </mergeCells>
  <pageMargins left="0.75" right="0.75" top="1" bottom="1" header="0.5" footer="0.5"/>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51"/>
  <sheetViews>
    <sheetView showGridLines="0" zoomScale="145" zoomScaleNormal="145" workbookViewId="0">
      <selection activeCell="X18" sqref="X18"/>
    </sheetView>
  </sheetViews>
  <sheetFormatPr defaultColWidth="9.13541666666667" defaultRowHeight="13.2"/>
  <cols>
    <col min="1" max="45" width="2.25" style="4737" customWidth="1"/>
    <col min="46" max="16384" width="9.13541666666667" style="4737"/>
  </cols>
  <sheetData>
    <row r="1" ht="28.2" spans="1:45">
      <c r="A1" s="4738" t="str">
        <f>'Audit Isu'!B2</f>
        <v>PT INTAN GIRI ABADI</v>
      </c>
      <c r="B1" s="4738"/>
      <c r="C1" s="4738"/>
      <c r="D1" s="4738"/>
      <c r="E1" s="4738"/>
      <c r="F1" s="4738"/>
      <c r="G1" s="4738"/>
      <c r="H1" s="4738"/>
      <c r="I1" s="4738"/>
      <c r="J1" s="4738"/>
      <c r="K1" s="4738"/>
      <c r="L1" s="4738"/>
      <c r="M1" s="4738"/>
      <c r="N1" s="4738"/>
      <c r="O1" s="4738"/>
      <c r="P1" s="4738"/>
      <c r="Q1" s="4738"/>
      <c r="R1" s="4738"/>
      <c r="S1" s="4738"/>
      <c r="T1" s="4738"/>
      <c r="U1" s="4738"/>
      <c r="V1" s="4738"/>
      <c r="W1" s="4738"/>
      <c r="X1" s="4738"/>
      <c r="Y1" s="4738"/>
      <c r="Z1" s="4738"/>
      <c r="AA1" s="4738"/>
      <c r="AB1" s="4738"/>
      <c r="AC1" s="4738"/>
      <c r="AD1" s="4738"/>
      <c r="AE1" s="4738"/>
      <c r="AF1" s="4738"/>
      <c r="AG1" s="4738"/>
      <c r="AH1" s="4738"/>
      <c r="AI1" s="4738"/>
      <c r="AJ1" s="4738"/>
      <c r="AK1" s="4738"/>
      <c r="AL1" s="4738"/>
      <c r="AM1" s="4738"/>
      <c r="AN1" s="4738"/>
      <c r="AO1" s="4738"/>
      <c r="AP1" s="4738"/>
      <c r="AQ1" s="4738"/>
      <c r="AR1" s="4738"/>
      <c r="AS1" s="4738"/>
    </row>
    <row r="2" ht="12" spans="1:1">
      <c r="A2" s="4739"/>
    </row>
    <row r="3" ht="17.4" spans="1:45">
      <c r="A3" s="4740" t="s">
        <v>265</v>
      </c>
      <c r="B3" s="4740"/>
      <c r="C3" s="4740"/>
      <c r="D3" s="4740"/>
      <c r="E3" s="4740"/>
      <c r="F3" s="4740"/>
      <c r="G3" s="4740"/>
      <c r="H3" s="4740"/>
      <c r="I3" s="4740"/>
      <c r="J3" s="4740"/>
      <c r="K3" s="4740"/>
      <c r="L3" s="4740"/>
      <c r="M3" s="4740"/>
      <c r="N3" s="4740"/>
      <c r="O3" s="4740"/>
      <c r="P3" s="4740"/>
      <c r="Q3" s="4740"/>
      <c r="R3" s="4740"/>
      <c r="S3" s="4740"/>
      <c r="T3" s="4740"/>
      <c r="U3" s="4740"/>
      <c r="V3" s="4740"/>
      <c r="W3" s="4740"/>
      <c r="X3" s="4740"/>
      <c r="Y3" s="4740"/>
      <c r="Z3" s="4740"/>
      <c r="AA3" s="4740"/>
      <c r="AB3" s="4740"/>
      <c r="AC3" s="4740"/>
      <c r="AD3" s="4740"/>
      <c r="AE3" s="4740"/>
      <c r="AF3" s="4740"/>
      <c r="AG3" s="4740"/>
      <c r="AH3" s="4740"/>
      <c r="AI3" s="4740"/>
      <c r="AJ3" s="4740"/>
      <c r="AK3" s="4740"/>
      <c r="AL3" s="4740"/>
      <c r="AM3" s="4740"/>
      <c r="AN3" s="4740"/>
      <c r="AO3" s="4740"/>
      <c r="AP3" s="4740"/>
      <c r="AQ3" s="4740"/>
      <c r="AR3" s="4740"/>
      <c r="AS3" s="4740"/>
    </row>
    <row r="5" ht="17.4" spans="1:45">
      <c r="A5" s="4740" t="s">
        <v>266</v>
      </c>
      <c r="B5" s="4740"/>
      <c r="C5" s="4740"/>
      <c r="D5" s="4740"/>
      <c r="E5" s="4740"/>
      <c r="F5" s="4740"/>
      <c r="G5" s="4740"/>
      <c r="H5" s="4740"/>
      <c r="I5" s="4740"/>
      <c r="J5" s="4740"/>
      <c r="K5" s="4740"/>
      <c r="L5" s="4740"/>
      <c r="M5" s="4740"/>
      <c r="N5" s="4740"/>
      <c r="O5" s="4740"/>
      <c r="P5" s="4740"/>
      <c r="Q5" s="4740"/>
      <c r="R5" s="4740"/>
      <c r="S5" s="4740"/>
      <c r="T5" s="4740"/>
      <c r="U5" s="4740"/>
      <c r="V5" s="4740"/>
      <c r="W5" s="4740"/>
      <c r="X5" s="4740"/>
      <c r="Y5" s="4740"/>
      <c r="Z5" s="4740"/>
      <c r="AA5" s="4740"/>
      <c r="AB5" s="4740"/>
      <c r="AC5" s="4740"/>
      <c r="AD5" s="4740"/>
      <c r="AE5" s="4740"/>
      <c r="AF5" s="4740"/>
      <c r="AG5" s="4740"/>
      <c r="AH5" s="4740"/>
      <c r="AI5" s="4740"/>
      <c r="AJ5" s="4740"/>
      <c r="AK5" s="4740"/>
      <c r="AL5" s="4740"/>
      <c r="AM5" s="4740"/>
      <c r="AN5" s="4740"/>
      <c r="AO5" s="4740"/>
      <c r="AP5" s="4740"/>
      <c r="AQ5" s="4740"/>
      <c r="AR5" s="4740"/>
      <c r="AS5" s="4740"/>
    </row>
    <row r="6" ht="12" spans="1:1">
      <c r="A6" s="4739"/>
    </row>
    <row r="7" ht="17.4" spans="1:45">
      <c r="A7" s="4740" t="s">
        <v>267</v>
      </c>
      <c r="B7" s="4740"/>
      <c r="C7" s="4740"/>
      <c r="D7" s="4740"/>
      <c r="E7" s="4740"/>
      <c r="F7" s="4740"/>
      <c r="G7" s="4740"/>
      <c r="H7" s="4740"/>
      <c r="I7" s="4740"/>
      <c r="J7" s="4740"/>
      <c r="K7" s="4740"/>
      <c r="L7" s="4740"/>
      <c r="M7" s="4740"/>
      <c r="N7" s="4740"/>
      <c r="O7" s="4740"/>
      <c r="P7" s="4740"/>
      <c r="Q7" s="4740"/>
      <c r="R7" s="4740"/>
      <c r="S7" s="4740"/>
      <c r="T7" s="4740"/>
      <c r="U7" s="4740"/>
      <c r="V7" s="4740"/>
      <c r="W7" s="4740"/>
      <c r="X7" s="4740"/>
      <c r="Y7" s="4740"/>
      <c r="Z7" s="4740"/>
      <c r="AA7" s="4740"/>
      <c r="AB7" s="4740"/>
      <c r="AC7" s="4740"/>
      <c r="AD7" s="4740"/>
      <c r="AE7" s="4740"/>
      <c r="AF7" s="4740"/>
      <c r="AG7" s="4740"/>
      <c r="AH7" s="4740"/>
      <c r="AI7" s="4740"/>
      <c r="AJ7" s="4740"/>
      <c r="AK7" s="4740"/>
      <c r="AL7" s="4740"/>
      <c r="AM7" s="4740"/>
      <c r="AN7" s="4740"/>
      <c r="AO7" s="4740"/>
      <c r="AP7" s="4740"/>
      <c r="AQ7" s="4740"/>
      <c r="AR7" s="4740"/>
      <c r="AS7" s="4740"/>
    </row>
    <row r="8" ht="7.5" customHeight="1"/>
    <row r="9" ht="17.4" spans="1:45">
      <c r="A9" s="4741" t="s">
        <v>268</v>
      </c>
      <c r="B9" s="4741"/>
      <c r="C9" s="4741"/>
      <c r="D9" s="4741"/>
      <c r="E9" s="4741"/>
      <c r="F9" s="4741"/>
      <c r="G9" s="4741"/>
      <c r="H9" s="4741"/>
      <c r="I9" s="4741"/>
      <c r="J9" s="4741"/>
      <c r="K9" s="4741"/>
      <c r="L9" s="4741"/>
      <c r="M9" s="4741"/>
      <c r="N9" s="4741"/>
      <c r="O9" s="4741"/>
      <c r="P9" s="4741"/>
      <c r="Q9" s="4741"/>
      <c r="R9" s="4741"/>
      <c r="S9" s="4741"/>
      <c r="T9" s="4741"/>
      <c r="U9" s="4741"/>
      <c r="V9" s="4741"/>
      <c r="W9" s="4741"/>
      <c r="X9" s="4741"/>
      <c r="Y9" s="4741"/>
      <c r="Z9" s="4741"/>
      <c r="AA9" s="4741"/>
      <c r="AB9" s="4741"/>
      <c r="AC9" s="4741"/>
      <c r="AD9" s="4741"/>
      <c r="AE9" s="4741"/>
      <c r="AF9" s="4741"/>
      <c r="AG9" s="4741"/>
      <c r="AH9" s="4741"/>
      <c r="AI9" s="4741"/>
      <c r="AJ9" s="4741"/>
      <c r="AK9" s="4741"/>
      <c r="AL9" s="4741"/>
      <c r="AM9" s="4741"/>
      <c r="AN9" s="4741"/>
      <c r="AO9" s="4741"/>
      <c r="AP9" s="4741"/>
      <c r="AQ9" s="4741"/>
      <c r="AR9" s="4741"/>
      <c r="AS9" s="4741"/>
    </row>
    <row r="10" ht="9.95" customHeight="1" spans="1:45">
      <c r="A10" s="5008" t="s">
        <v>269</v>
      </c>
      <c r="B10" s="4742"/>
      <c r="C10" s="4742"/>
      <c r="D10" s="4742"/>
      <c r="E10" s="4742"/>
      <c r="F10" s="4742"/>
      <c r="G10" s="4742"/>
      <c r="H10" s="4742"/>
      <c r="I10" s="4742"/>
      <c r="J10" s="4742"/>
      <c r="K10" s="4742"/>
      <c r="L10" s="4742"/>
      <c r="M10" s="4742"/>
      <c r="N10" s="4742"/>
      <c r="O10" s="4742"/>
      <c r="P10" s="4742"/>
      <c r="Q10" s="4742"/>
      <c r="R10" s="4742"/>
      <c r="S10" s="4742"/>
      <c r="T10" s="4742"/>
      <c r="U10" s="4742"/>
      <c r="V10" s="4742"/>
      <c r="W10" s="4742"/>
      <c r="X10" s="4742"/>
      <c r="Y10" s="4742"/>
      <c r="Z10" s="4742"/>
      <c r="AA10" s="4742"/>
      <c r="AB10" s="4742"/>
      <c r="AC10" s="4742"/>
      <c r="AD10" s="4742"/>
      <c r="AE10" s="4742"/>
      <c r="AF10" s="4742"/>
      <c r="AG10" s="4742"/>
      <c r="AH10" s="4742"/>
      <c r="AI10" s="4742"/>
      <c r="AJ10" s="4742"/>
      <c r="AK10" s="4742"/>
      <c r="AL10" s="4742"/>
      <c r="AM10" s="4742"/>
      <c r="AN10" s="4742"/>
      <c r="AO10" s="4742"/>
      <c r="AP10" s="4742"/>
      <c r="AQ10" s="4742"/>
      <c r="AR10" s="4742"/>
      <c r="AS10" s="4742"/>
    </row>
    <row r="11" ht="17.4" spans="1:45">
      <c r="A11" s="5009" t="s">
        <v>270</v>
      </c>
      <c r="B11" s="4741"/>
      <c r="C11" s="4741"/>
      <c r="D11" s="4741"/>
      <c r="E11" s="4741"/>
      <c r="F11" s="4741"/>
      <c r="G11" s="4741"/>
      <c r="H11" s="4741"/>
      <c r="I11" s="4741"/>
      <c r="J11" s="4741"/>
      <c r="K11" s="4741"/>
      <c r="L11" s="4741"/>
      <c r="M11" s="4741"/>
      <c r="N11" s="4741"/>
      <c r="O11" s="4741"/>
      <c r="P11" s="4741"/>
      <c r="Q11" s="4741"/>
      <c r="R11" s="4741"/>
      <c r="S11" s="4741"/>
      <c r="T11" s="4741"/>
      <c r="U11" s="4741"/>
      <c r="V11" s="4741"/>
      <c r="W11" s="4741"/>
      <c r="X11" s="4741"/>
      <c r="Y11" s="4741"/>
      <c r="Z11" s="4741"/>
      <c r="AA11" s="4741"/>
      <c r="AB11" s="4741"/>
      <c r="AC11" s="4741"/>
      <c r="AD11" s="4741"/>
      <c r="AE11" s="4741"/>
      <c r="AF11" s="4741"/>
      <c r="AG11" s="4741"/>
      <c r="AH11" s="4741"/>
      <c r="AI11" s="4741"/>
      <c r="AJ11" s="4741"/>
      <c r="AK11" s="4741"/>
      <c r="AL11" s="4741"/>
      <c r="AM11" s="4741"/>
      <c r="AN11" s="4741"/>
      <c r="AO11" s="4741"/>
      <c r="AP11" s="4741"/>
      <c r="AQ11" s="4741"/>
      <c r="AR11" s="4741"/>
      <c r="AS11" s="4741"/>
    </row>
    <row r="47" spans="28:44">
      <c r="AB47" s="4743" t="s">
        <v>271</v>
      </c>
      <c r="AC47" s="4743"/>
      <c r="AD47" s="4744" t="s">
        <v>272</v>
      </c>
      <c r="AE47" s="4744"/>
      <c r="AF47" s="4744"/>
      <c r="AG47" s="4744"/>
      <c r="AH47" s="4744"/>
      <c r="AI47" s="4744"/>
      <c r="AJ47" s="4744"/>
      <c r="AK47" s="4744"/>
      <c r="AL47" s="4744"/>
      <c r="AM47" s="4744" t="s">
        <v>273</v>
      </c>
      <c r="AN47" s="4744"/>
      <c r="AO47" s="4744"/>
      <c r="AP47" s="4744"/>
      <c r="AQ47" s="4744"/>
      <c r="AR47" s="4744"/>
    </row>
    <row r="48" spans="28:44">
      <c r="AB48" s="4743"/>
      <c r="AC48" s="4743"/>
      <c r="AD48" s="4744"/>
      <c r="AE48" s="4744"/>
      <c r="AF48" s="4744"/>
      <c r="AG48" s="4744"/>
      <c r="AH48" s="4744"/>
      <c r="AI48" s="4744"/>
      <c r="AJ48" s="4744"/>
      <c r="AK48" s="4744"/>
      <c r="AL48" s="4744"/>
      <c r="AM48" s="4744"/>
      <c r="AN48" s="4744"/>
      <c r="AO48" s="4744"/>
      <c r="AP48" s="4744"/>
      <c r="AQ48" s="4744"/>
      <c r="AR48" s="4744"/>
    </row>
    <row r="49" spans="28:44">
      <c r="AB49" s="4743"/>
      <c r="AC49" s="4743"/>
      <c r="AD49" s="4744"/>
      <c r="AE49" s="4744"/>
      <c r="AF49" s="4744"/>
      <c r="AG49" s="4744"/>
      <c r="AH49" s="4744"/>
      <c r="AI49" s="4744"/>
      <c r="AJ49" s="4744"/>
      <c r="AK49" s="4744"/>
      <c r="AL49" s="4744"/>
      <c r="AM49" s="4744"/>
      <c r="AN49" s="4744"/>
      <c r="AO49" s="4744"/>
      <c r="AP49" s="4744"/>
      <c r="AQ49" s="4744"/>
      <c r="AR49" s="4744"/>
    </row>
    <row r="50" spans="28:44">
      <c r="AB50" s="4743"/>
      <c r="AC50" s="4743"/>
      <c r="AD50" s="4744" t="s">
        <v>274</v>
      </c>
      <c r="AE50" s="4744"/>
      <c r="AF50" s="4744"/>
      <c r="AG50" s="4744"/>
      <c r="AH50" s="4744"/>
      <c r="AI50" s="4744"/>
      <c r="AJ50" s="4744"/>
      <c r="AK50" s="4744"/>
      <c r="AL50" s="4744"/>
      <c r="AM50" s="4744" t="s">
        <v>275</v>
      </c>
      <c r="AN50" s="4744"/>
      <c r="AO50" s="4744"/>
      <c r="AP50" s="4744"/>
      <c r="AQ50" s="4744"/>
      <c r="AR50" s="4744"/>
    </row>
    <row r="51" spans="28:44">
      <c r="AB51" s="4743"/>
      <c r="AC51" s="4743"/>
      <c r="AD51" s="4744"/>
      <c r="AE51" s="4744"/>
      <c r="AF51" s="4744"/>
      <c r="AG51" s="4744"/>
      <c r="AH51" s="4744"/>
      <c r="AI51" s="4744"/>
      <c r="AJ51" s="4744"/>
      <c r="AK51" s="4744"/>
      <c r="AL51" s="4744"/>
      <c r="AM51" s="4744"/>
      <c r="AN51" s="4744"/>
      <c r="AO51" s="4744"/>
      <c r="AP51" s="4744"/>
      <c r="AQ51" s="4744"/>
      <c r="AR51" s="4744"/>
    </row>
  </sheetData>
  <mergeCells count="12">
    <mergeCell ref="A1:AS1"/>
    <mergeCell ref="A3:AS3"/>
    <mergeCell ref="A5:AS5"/>
    <mergeCell ref="A7:AS7"/>
    <mergeCell ref="A9:AS9"/>
    <mergeCell ref="A10:AS10"/>
    <mergeCell ref="A11:AS11"/>
    <mergeCell ref="AB47:AC51"/>
    <mergeCell ref="AD47:AL49"/>
    <mergeCell ref="AM47:AR49"/>
    <mergeCell ref="AD50:AL51"/>
    <mergeCell ref="AM50:AR51"/>
  </mergeCells>
  <printOptions horizontalCentered="1"/>
  <pageMargins left="0.75" right="0.75" top="3" bottom="1" header="0.25" footer="0.25"/>
  <pageSetup paperSize="9" scale="93"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AS51"/>
  <sheetViews>
    <sheetView showGridLines="0" zoomScale="145" zoomScaleNormal="145" workbookViewId="0">
      <selection activeCell="Z17" sqref="Z17"/>
    </sheetView>
  </sheetViews>
  <sheetFormatPr defaultColWidth="9.13541666666667" defaultRowHeight="13.2"/>
  <cols>
    <col min="1" max="45" width="2.25" style="4737" customWidth="1"/>
    <col min="46" max="16384" width="9.13541666666667" style="4737"/>
  </cols>
  <sheetData>
    <row r="1" ht="28.2" spans="1:45">
      <c r="A1" s="4738" t="str">
        <f>'Audit Isu'!B2</f>
        <v>PT INTAN GIRI ABADI</v>
      </c>
      <c r="B1" s="4738"/>
      <c r="C1" s="4738"/>
      <c r="D1" s="4738"/>
      <c r="E1" s="4738"/>
      <c r="F1" s="4738"/>
      <c r="G1" s="4738"/>
      <c r="H1" s="4738"/>
      <c r="I1" s="4738"/>
      <c r="J1" s="4738"/>
      <c r="K1" s="4738"/>
      <c r="L1" s="4738"/>
      <c r="M1" s="4738"/>
      <c r="N1" s="4738"/>
      <c r="O1" s="4738"/>
      <c r="P1" s="4738"/>
      <c r="Q1" s="4738"/>
      <c r="R1" s="4738"/>
      <c r="S1" s="4738"/>
      <c r="T1" s="4738"/>
      <c r="U1" s="4738"/>
      <c r="V1" s="4738"/>
      <c r="W1" s="4738"/>
      <c r="X1" s="4738"/>
      <c r="Y1" s="4738"/>
      <c r="Z1" s="4738"/>
      <c r="AA1" s="4738"/>
      <c r="AB1" s="4738"/>
      <c r="AC1" s="4738"/>
      <c r="AD1" s="4738"/>
      <c r="AE1" s="4738"/>
      <c r="AF1" s="4738"/>
      <c r="AG1" s="4738"/>
      <c r="AH1" s="4738"/>
      <c r="AI1" s="4738"/>
      <c r="AJ1" s="4738"/>
      <c r="AK1" s="4738"/>
      <c r="AL1" s="4738"/>
      <c r="AM1" s="4738"/>
      <c r="AN1" s="4738"/>
      <c r="AO1" s="4738"/>
      <c r="AP1" s="4738"/>
      <c r="AQ1" s="4738"/>
      <c r="AR1" s="4738"/>
      <c r="AS1" s="4738"/>
    </row>
    <row r="2" ht="12" spans="1:1">
      <c r="A2" s="4739"/>
    </row>
    <row r="3" ht="17.4" spans="1:45">
      <c r="A3" s="4740" t="s">
        <v>265</v>
      </c>
      <c r="B3" s="4740"/>
      <c r="C3" s="4740"/>
      <c r="D3" s="4740"/>
      <c r="E3" s="4740"/>
      <c r="F3" s="4740"/>
      <c r="G3" s="4740"/>
      <c r="H3" s="4740"/>
      <c r="I3" s="4740"/>
      <c r="J3" s="4740"/>
      <c r="K3" s="4740"/>
      <c r="L3" s="4740"/>
      <c r="M3" s="4740"/>
      <c r="N3" s="4740"/>
      <c r="O3" s="4740"/>
      <c r="P3" s="4740"/>
      <c r="Q3" s="4740"/>
      <c r="R3" s="4740"/>
      <c r="S3" s="4740"/>
      <c r="T3" s="4740"/>
      <c r="U3" s="4740"/>
      <c r="V3" s="4740"/>
      <c r="W3" s="4740"/>
      <c r="X3" s="4740"/>
      <c r="Y3" s="4740"/>
      <c r="Z3" s="4740"/>
      <c r="AA3" s="4740"/>
      <c r="AB3" s="4740"/>
      <c r="AC3" s="4740"/>
      <c r="AD3" s="4740"/>
      <c r="AE3" s="4740"/>
      <c r="AF3" s="4740"/>
      <c r="AG3" s="4740"/>
      <c r="AH3" s="4740"/>
      <c r="AI3" s="4740"/>
      <c r="AJ3" s="4740"/>
      <c r="AK3" s="4740"/>
      <c r="AL3" s="4740"/>
      <c r="AM3" s="4740"/>
      <c r="AN3" s="4740"/>
      <c r="AO3" s="4740"/>
      <c r="AP3" s="4740"/>
      <c r="AQ3" s="4740"/>
      <c r="AR3" s="4740"/>
      <c r="AS3" s="4740"/>
    </row>
    <row r="5" ht="17.4" spans="1:45">
      <c r="A5" s="4740" t="s">
        <v>266</v>
      </c>
      <c r="B5" s="4740"/>
      <c r="C5" s="4740"/>
      <c r="D5" s="4740"/>
      <c r="E5" s="4740"/>
      <c r="F5" s="4740"/>
      <c r="G5" s="4740"/>
      <c r="H5" s="4740"/>
      <c r="I5" s="4740"/>
      <c r="J5" s="4740"/>
      <c r="K5" s="4740"/>
      <c r="L5" s="4740"/>
      <c r="M5" s="4740"/>
      <c r="N5" s="4740"/>
      <c r="O5" s="4740"/>
      <c r="P5" s="4740"/>
      <c r="Q5" s="4740"/>
      <c r="R5" s="4740"/>
      <c r="S5" s="4740"/>
      <c r="T5" s="4740"/>
      <c r="U5" s="4740"/>
      <c r="V5" s="4740"/>
      <c r="W5" s="4740"/>
      <c r="X5" s="4740"/>
      <c r="Y5" s="4740"/>
      <c r="Z5" s="4740"/>
      <c r="AA5" s="4740"/>
      <c r="AB5" s="4740"/>
      <c r="AC5" s="4740"/>
      <c r="AD5" s="4740"/>
      <c r="AE5" s="4740"/>
      <c r="AF5" s="4740"/>
      <c r="AG5" s="4740"/>
      <c r="AH5" s="4740"/>
      <c r="AI5" s="4740"/>
      <c r="AJ5" s="4740"/>
      <c r="AK5" s="4740"/>
      <c r="AL5" s="4740"/>
      <c r="AM5" s="4740"/>
      <c r="AN5" s="4740"/>
      <c r="AO5" s="4740"/>
      <c r="AP5" s="4740"/>
      <c r="AQ5" s="4740"/>
      <c r="AR5" s="4740"/>
      <c r="AS5" s="4740"/>
    </row>
    <row r="6" ht="12" spans="1:1">
      <c r="A6" s="4739"/>
    </row>
    <row r="7" ht="17.4" spans="1:45">
      <c r="A7" s="4740" t="s">
        <v>267</v>
      </c>
      <c r="B7" s="4740"/>
      <c r="C7" s="4740"/>
      <c r="D7" s="4740"/>
      <c r="E7" s="4740"/>
      <c r="F7" s="4740"/>
      <c r="G7" s="4740"/>
      <c r="H7" s="4740"/>
      <c r="I7" s="4740"/>
      <c r="J7" s="4740"/>
      <c r="K7" s="4740"/>
      <c r="L7" s="4740"/>
      <c r="M7" s="4740"/>
      <c r="N7" s="4740"/>
      <c r="O7" s="4740"/>
      <c r="P7" s="4740"/>
      <c r="Q7" s="4740"/>
      <c r="R7" s="4740"/>
      <c r="S7" s="4740"/>
      <c r="T7" s="4740"/>
      <c r="U7" s="4740"/>
      <c r="V7" s="4740"/>
      <c r="W7" s="4740"/>
      <c r="X7" s="4740"/>
      <c r="Y7" s="4740"/>
      <c r="Z7" s="4740"/>
      <c r="AA7" s="4740"/>
      <c r="AB7" s="4740"/>
      <c r="AC7" s="4740"/>
      <c r="AD7" s="4740"/>
      <c r="AE7" s="4740"/>
      <c r="AF7" s="4740"/>
      <c r="AG7" s="4740"/>
      <c r="AH7" s="4740"/>
      <c r="AI7" s="4740"/>
      <c r="AJ7" s="4740"/>
      <c r="AK7" s="4740"/>
      <c r="AL7" s="4740"/>
      <c r="AM7" s="4740"/>
      <c r="AN7" s="4740"/>
      <c r="AO7" s="4740"/>
      <c r="AP7" s="4740"/>
      <c r="AQ7" s="4740"/>
      <c r="AR7" s="4740"/>
      <c r="AS7" s="4740"/>
    </row>
    <row r="8" ht="7.5" customHeight="1"/>
    <row r="9" ht="17.4" spans="1:45">
      <c r="A9" s="4741" t="s">
        <v>268</v>
      </c>
      <c r="B9" s="4741"/>
      <c r="C9" s="4741"/>
      <c r="D9" s="4741"/>
      <c r="E9" s="4741"/>
      <c r="F9" s="4741"/>
      <c r="G9" s="4741"/>
      <c r="H9" s="4741"/>
      <c r="I9" s="4741"/>
      <c r="J9" s="4741"/>
      <c r="K9" s="4741"/>
      <c r="L9" s="4741"/>
      <c r="M9" s="4741"/>
      <c r="N9" s="4741"/>
      <c r="O9" s="4741"/>
      <c r="P9" s="4741"/>
      <c r="Q9" s="4741"/>
      <c r="R9" s="4741"/>
      <c r="S9" s="4741"/>
      <c r="T9" s="4741"/>
      <c r="U9" s="4741"/>
      <c r="V9" s="4741"/>
      <c r="W9" s="4741"/>
      <c r="X9" s="4741"/>
      <c r="Y9" s="4741"/>
      <c r="Z9" s="4741"/>
      <c r="AA9" s="4741"/>
      <c r="AB9" s="4741"/>
      <c r="AC9" s="4741"/>
      <c r="AD9" s="4741"/>
      <c r="AE9" s="4741"/>
      <c r="AF9" s="4741"/>
      <c r="AG9" s="4741"/>
      <c r="AH9" s="4741"/>
      <c r="AI9" s="4741"/>
      <c r="AJ9" s="4741"/>
      <c r="AK9" s="4741"/>
      <c r="AL9" s="4741"/>
      <c r="AM9" s="4741"/>
      <c r="AN9" s="4741"/>
      <c r="AO9" s="4741"/>
      <c r="AP9" s="4741"/>
      <c r="AQ9" s="4741"/>
      <c r="AR9" s="4741"/>
      <c r="AS9" s="4741"/>
    </row>
    <row r="10" ht="9.95" customHeight="1" spans="1:45">
      <c r="A10" s="5008" t="s">
        <v>269</v>
      </c>
      <c r="B10" s="4742"/>
      <c r="C10" s="4742"/>
      <c r="D10" s="4742"/>
      <c r="E10" s="4742"/>
      <c r="F10" s="4742"/>
      <c r="G10" s="4742"/>
      <c r="H10" s="4742"/>
      <c r="I10" s="4742"/>
      <c r="J10" s="4742"/>
      <c r="K10" s="4742"/>
      <c r="L10" s="4742"/>
      <c r="M10" s="4742"/>
      <c r="N10" s="4742"/>
      <c r="O10" s="4742"/>
      <c r="P10" s="4742"/>
      <c r="Q10" s="4742"/>
      <c r="R10" s="4742"/>
      <c r="S10" s="4742"/>
      <c r="T10" s="4742"/>
      <c r="U10" s="4742"/>
      <c r="V10" s="4742"/>
      <c r="W10" s="4742"/>
      <c r="X10" s="4742"/>
      <c r="Y10" s="4742"/>
      <c r="Z10" s="4742"/>
      <c r="AA10" s="4742"/>
      <c r="AB10" s="4742"/>
      <c r="AC10" s="4742"/>
      <c r="AD10" s="4742"/>
      <c r="AE10" s="4742"/>
      <c r="AF10" s="4742"/>
      <c r="AG10" s="4742"/>
      <c r="AH10" s="4742"/>
      <c r="AI10" s="4742"/>
      <c r="AJ10" s="4742"/>
      <c r="AK10" s="4742"/>
      <c r="AL10" s="4742"/>
      <c r="AM10" s="4742"/>
      <c r="AN10" s="4742"/>
      <c r="AO10" s="4742"/>
      <c r="AP10" s="4742"/>
      <c r="AQ10" s="4742"/>
      <c r="AR10" s="4742"/>
      <c r="AS10" s="4742"/>
    </row>
    <row r="11" ht="17.4" spans="1:45">
      <c r="A11" s="5009" t="s">
        <v>276</v>
      </c>
      <c r="B11" s="4741"/>
      <c r="C11" s="4741"/>
      <c r="D11" s="4741"/>
      <c r="E11" s="4741"/>
      <c r="F11" s="4741"/>
      <c r="G11" s="4741"/>
      <c r="H11" s="4741"/>
      <c r="I11" s="4741"/>
      <c r="J11" s="4741"/>
      <c r="K11" s="4741"/>
      <c r="L11" s="4741"/>
      <c r="M11" s="4741"/>
      <c r="N11" s="4741"/>
      <c r="O11" s="4741"/>
      <c r="P11" s="4741"/>
      <c r="Q11" s="4741"/>
      <c r="R11" s="4741"/>
      <c r="S11" s="4741"/>
      <c r="T11" s="4741"/>
      <c r="U11" s="4741"/>
      <c r="V11" s="4741"/>
      <c r="W11" s="4741"/>
      <c r="X11" s="4741"/>
      <c r="Y11" s="4741"/>
      <c r="Z11" s="4741"/>
      <c r="AA11" s="4741"/>
      <c r="AB11" s="4741"/>
      <c r="AC11" s="4741"/>
      <c r="AD11" s="4741"/>
      <c r="AE11" s="4741"/>
      <c r="AF11" s="4741"/>
      <c r="AG11" s="4741"/>
      <c r="AH11" s="4741"/>
      <c r="AI11" s="4741"/>
      <c r="AJ11" s="4741"/>
      <c r="AK11" s="4741"/>
      <c r="AL11" s="4741"/>
      <c r="AM11" s="4741"/>
      <c r="AN11" s="4741"/>
      <c r="AO11" s="4741"/>
      <c r="AP11" s="4741"/>
      <c r="AQ11" s="4741"/>
      <c r="AR11" s="4741"/>
      <c r="AS11" s="4741"/>
    </row>
    <row r="47" spans="28:44">
      <c r="AB47" s="4743" t="s">
        <v>271</v>
      </c>
      <c r="AC47" s="4743"/>
      <c r="AD47" s="4744" t="s">
        <v>272</v>
      </c>
      <c r="AE47" s="4744"/>
      <c r="AF47" s="4744"/>
      <c r="AG47" s="4744"/>
      <c r="AH47" s="4744"/>
      <c r="AI47" s="4744"/>
      <c r="AJ47" s="4744"/>
      <c r="AK47" s="4744"/>
      <c r="AL47" s="4744"/>
      <c r="AM47" s="4744" t="s">
        <v>273</v>
      </c>
      <c r="AN47" s="4744"/>
      <c r="AO47" s="4744"/>
      <c r="AP47" s="4744"/>
      <c r="AQ47" s="4744"/>
      <c r="AR47" s="4744"/>
    </row>
    <row r="48" spans="28:44">
      <c r="AB48" s="4743"/>
      <c r="AC48" s="4743"/>
      <c r="AD48" s="4744"/>
      <c r="AE48" s="4744"/>
      <c r="AF48" s="4744"/>
      <c r="AG48" s="4744"/>
      <c r="AH48" s="4744"/>
      <c r="AI48" s="4744"/>
      <c r="AJ48" s="4744"/>
      <c r="AK48" s="4744"/>
      <c r="AL48" s="4744"/>
      <c r="AM48" s="4744"/>
      <c r="AN48" s="4744"/>
      <c r="AO48" s="4744"/>
      <c r="AP48" s="4744"/>
      <c r="AQ48" s="4744"/>
      <c r="AR48" s="4744"/>
    </row>
    <row r="49" spans="28:44">
      <c r="AB49" s="4743"/>
      <c r="AC49" s="4743"/>
      <c r="AD49" s="4744"/>
      <c r="AE49" s="4744"/>
      <c r="AF49" s="4744"/>
      <c r="AG49" s="4744"/>
      <c r="AH49" s="4744"/>
      <c r="AI49" s="4744"/>
      <c r="AJ49" s="4744"/>
      <c r="AK49" s="4744"/>
      <c r="AL49" s="4744"/>
      <c r="AM49" s="4744"/>
      <c r="AN49" s="4744"/>
      <c r="AO49" s="4744"/>
      <c r="AP49" s="4744"/>
      <c r="AQ49" s="4744"/>
      <c r="AR49" s="4744"/>
    </row>
    <row r="50" spans="28:44">
      <c r="AB50" s="4743"/>
      <c r="AC50" s="4743"/>
      <c r="AD50" s="4744" t="s">
        <v>274</v>
      </c>
      <c r="AE50" s="4744"/>
      <c r="AF50" s="4744"/>
      <c r="AG50" s="4744"/>
      <c r="AH50" s="4744"/>
      <c r="AI50" s="4744"/>
      <c r="AJ50" s="4744"/>
      <c r="AK50" s="4744"/>
      <c r="AL50" s="4744"/>
      <c r="AM50" s="4744" t="s">
        <v>275</v>
      </c>
      <c r="AN50" s="4744"/>
      <c r="AO50" s="4744"/>
      <c r="AP50" s="4744"/>
      <c r="AQ50" s="4744"/>
      <c r="AR50" s="4744"/>
    </row>
    <row r="51" spans="28:44">
      <c r="AB51" s="4743"/>
      <c r="AC51" s="4743"/>
      <c r="AD51" s="4744"/>
      <c r="AE51" s="4744"/>
      <c r="AF51" s="4744"/>
      <c r="AG51" s="4744"/>
      <c r="AH51" s="4744"/>
      <c r="AI51" s="4744"/>
      <c r="AJ51" s="4744"/>
      <c r="AK51" s="4744"/>
      <c r="AL51" s="4744"/>
      <c r="AM51" s="4744"/>
      <c r="AN51" s="4744"/>
      <c r="AO51" s="4744"/>
      <c r="AP51" s="4744"/>
      <c r="AQ51" s="4744"/>
      <c r="AR51" s="4744"/>
    </row>
  </sheetData>
  <mergeCells count="12">
    <mergeCell ref="A1:AS1"/>
    <mergeCell ref="A3:AS3"/>
    <mergeCell ref="A5:AS5"/>
    <mergeCell ref="A7:AS7"/>
    <mergeCell ref="A9:AS9"/>
    <mergeCell ref="A10:AS10"/>
    <mergeCell ref="A11:AS11"/>
    <mergeCell ref="AB47:AC51"/>
    <mergeCell ref="AD47:AL49"/>
    <mergeCell ref="AM47:AR49"/>
    <mergeCell ref="AD50:AL51"/>
    <mergeCell ref="AM50:AR51"/>
  </mergeCells>
  <printOptions horizontalCentered="1"/>
  <pageMargins left="0.75" right="0.75" top="3" bottom="1" header="0.25" footer="0.25"/>
  <pageSetup paperSize="9" scale="93"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37"/>
  <sheetViews>
    <sheetView showGridLines="0" view="pageLayout" zoomScaleNormal="100" workbookViewId="0">
      <selection activeCell="R36" sqref="R36"/>
    </sheetView>
  </sheetViews>
  <sheetFormatPr defaultColWidth="9.13541666666667" defaultRowHeight="11.4"/>
  <cols>
    <col min="1" max="44" width="2.25" style="3606" customWidth="1"/>
    <col min="45" max="16384" width="9.13541666666667" style="3606"/>
  </cols>
  <sheetData>
    <row r="1" ht="12" customHeight="1" spans="1:44">
      <c r="A1" s="3607" t="str">
        <f>Cover21!A1</f>
        <v>PT INTAN GIRI ABADI</v>
      </c>
      <c r="AC1" s="4120" t="s">
        <v>277</v>
      </c>
      <c r="AD1" s="4120"/>
      <c r="AE1" s="4126" t="s">
        <v>278</v>
      </c>
      <c r="AF1" s="4126"/>
      <c r="AG1" s="4126"/>
      <c r="AH1" s="4126"/>
      <c r="AI1" s="4126"/>
      <c r="AJ1" s="4126"/>
      <c r="AK1" s="4126"/>
      <c r="AL1" s="4126"/>
      <c r="AM1" s="4126" t="s">
        <v>273</v>
      </c>
      <c r="AN1" s="4126"/>
      <c r="AO1" s="4126"/>
      <c r="AP1" s="4126"/>
      <c r="AQ1" s="4126"/>
      <c r="AR1" s="4126"/>
    </row>
    <row r="2" ht="12" customHeight="1" spans="1:44">
      <c r="A2" s="5010" t="s">
        <v>267</v>
      </c>
      <c r="AC2" s="4120"/>
      <c r="AD2" s="4120"/>
      <c r="AE2" s="4126"/>
      <c r="AF2" s="4126"/>
      <c r="AG2" s="4126"/>
      <c r="AH2" s="4126"/>
      <c r="AI2" s="4126"/>
      <c r="AJ2" s="4126"/>
      <c r="AK2" s="4126"/>
      <c r="AL2" s="4126"/>
      <c r="AM2" s="4126"/>
      <c r="AN2" s="4126"/>
      <c r="AO2" s="4126"/>
      <c r="AP2" s="4126"/>
      <c r="AQ2" s="4126"/>
      <c r="AR2" s="4126"/>
    </row>
    <row r="3" ht="12" customHeight="1" spans="1:44">
      <c r="A3" s="3607" t="s">
        <v>279</v>
      </c>
      <c r="AC3" s="4120"/>
      <c r="AD3" s="4120"/>
      <c r="AE3" s="4126"/>
      <c r="AF3" s="4126"/>
      <c r="AG3" s="4126"/>
      <c r="AH3" s="4126"/>
      <c r="AI3" s="4126"/>
      <c r="AJ3" s="4126"/>
      <c r="AK3" s="4126"/>
      <c r="AL3" s="4126"/>
      <c r="AM3" s="4126"/>
      <c r="AN3" s="4126"/>
      <c r="AO3" s="4126"/>
      <c r="AP3" s="4126"/>
      <c r="AQ3" s="4126"/>
      <c r="AR3" s="4126"/>
    </row>
    <row r="4" ht="12" customHeight="1" spans="1:44">
      <c r="A4" s="5010" t="s">
        <v>269</v>
      </c>
      <c r="AC4" s="4120"/>
      <c r="AD4" s="4120"/>
      <c r="AE4" s="4126" t="s">
        <v>280</v>
      </c>
      <c r="AF4" s="4126"/>
      <c r="AG4" s="4126"/>
      <c r="AH4" s="4126"/>
      <c r="AI4" s="4126"/>
      <c r="AJ4" s="4126"/>
      <c r="AK4" s="4126"/>
      <c r="AL4" s="4126"/>
      <c r="AM4" s="4126" t="s">
        <v>275</v>
      </c>
      <c r="AN4" s="4126"/>
      <c r="AO4" s="4126"/>
      <c r="AP4" s="4126"/>
      <c r="AQ4" s="4126"/>
      <c r="AR4" s="4126"/>
    </row>
    <row r="5" ht="12" customHeight="1" spans="1:44">
      <c r="A5" s="3611"/>
      <c r="B5" s="3611"/>
      <c r="C5" s="3611"/>
      <c r="D5" s="3611"/>
      <c r="E5" s="3611"/>
      <c r="F5" s="3611"/>
      <c r="G5" s="3611"/>
      <c r="H5" s="3611"/>
      <c r="I5" s="3611"/>
      <c r="J5" s="3611"/>
      <c r="K5" s="3611"/>
      <c r="L5" s="3611"/>
      <c r="M5" s="3611"/>
      <c r="N5" s="3611"/>
      <c r="O5" s="3611"/>
      <c r="P5" s="3611"/>
      <c r="Q5" s="3611"/>
      <c r="R5" s="3611"/>
      <c r="S5" s="3611"/>
      <c r="T5" s="3611"/>
      <c r="U5" s="3611"/>
      <c r="V5" s="3611"/>
      <c r="W5" s="3611"/>
      <c r="X5" s="3611"/>
      <c r="Y5" s="3611"/>
      <c r="Z5" s="3611"/>
      <c r="AA5" s="3611"/>
      <c r="AB5" s="3611"/>
      <c r="AC5" s="4735"/>
      <c r="AD5" s="4735"/>
      <c r="AE5" s="4736"/>
      <c r="AF5" s="4736"/>
      <c r="AG5" s="4736"/>
      <c r="AH5" s="4736"/>
      <c r="AI5" s="4736"/>
      <c r="AJ5" s="4736"/>
      <c r="AK5" s="4736"/>
      <c r="AL5" s="4736"/>
      <c r="AM5" s="4736"/>
      <c r="AN5" s="4736"/>
      <c r="AO5" s="4736"/>
      <c r="AP5" s="4736"/>
      <c r="AQ5" s="4736"/>
      <c r="AR5" s="4736"/>
    </row>
    <row r="8" ht="12" spans="1:44">
      <c r="A8" s="4731" t="s">
        <v>281</v>
      </c>
      <c r="B8" s="4731"/>
      <c r="C8" s="4731"/>
      <c r="D8" s="4731"/>
      <c r="E8" s="4731"/>
      <c r="F8" s="4731"/>
      <c r="G8" s="4731"/>
      <c r="H8" s="4731"/>
      <c r="I8" s="4731"/>
      <c r="J8" s="4731"/>
      <c r="K8" s="4731"/>
      <c r="L8" s="4731"/>
      <c r="M8" s="4731"/>
      <c r="N8" s="4731"/>
      <c r="O8" s="4731"/>
      <c r="P8" s="4731"/>
      <c r="Q8" s="4731"/>
      <c r="R8" s="4731"/>
      <c r="S8" s="4731"/>
      <c r="T8" s="4731"/>
      <c r="U8" s="4731"/>
      <c r="V8" s="4731"/>
      <c r="W8" s="4731"/>
      <c r="X8" s="4731"/>
      <c r="Y8" s="4731"/>
      <c r="Z8" s="4731"/>
      <c r="AA8" s="4731"/>
      <c r="AB8" s="4731"/>
      <c r="AC8" s="4731"/>
      <c r="AD8" s="4731"/>
      <c r="AE8" s="4731"/>
      <c r="AF8" s="4731"/>
      <c r="AG8" s="4731"/>
      <c r="AH8" s="4731"/>
      <c r="AI8" s="4731"/>
      <c r="AJ8" s="4731"/>
      <c r="AK8" s="4731"/>
      <c r="AL8" s="4731"/>
      <c r="AM8" s="4731"/>
      <c r="AN8" s="4731"/>
      <c r="AO8" s="4731"/>
      <c r="AP8" s="4731"/>
      <c r="AQ8" s="4731"/>
      <c r="AR8" s="4731"/>
    </row>
    <row r="10" spans="41:44">
      <c r="AO10" s="4189" t="s">
        <v>282</v>
      </c>
      <c r="AP10" s="4189"/>
      <c r="AQ10" s="4189"/>
      <c r="AR10" s="4189"/>
    </row>
    <row r="12" spans="1:44">
      <c r="A12" s="5011" t="s">
        <v>283</v>
      </c>
      <c r="B12" s="4732"/>
      <c r="C12" s="4732"/>
      <c r="D12" s="4732"/>
      <c r="E12" s="4732"/>
      <c r="F12" s="4732"/>
      <c r="G12" s="4732"/>
      <c r="H12" s="4732"/>
      <c r="I12" s="4732"/>
      <c r="J12" s="4732"/>
      <c r="K12" s="4732"/>
      <c r="L12" s="4732"/>
      <c r="M12" s="4732"/>
      <c r="AO12" s="3628"/>
      <c r="AP12" s="3628"/>
      <c r="AQ12" s="3628"/>
      <c r="AR12" s="3628"/>
    </row>
    <row r="13" spans="2:13">
      <c r="B13" s="4732"/>
      <c r="C13" s="4732"/>
      <c r="D13" s="4732"/>
      <c r="E13" s="4732"/>
      <c r="F13" s="4732"/>
      <c r="G13" s="4732"/>
      <c r="H13" s="4732"/>
      <c r="I13" s="4732"/>
      <c r="J13" s="4732"/>
      <c r="K13" s="4732"/>
      <c r="L13" s="4732"/>
      <c r="M13" s="4732"/>
    </row>
    <row r="14" spans="1:44">
      <c r="A14" s="4732" t="s">
        <v>265</v>
      </c>
      <c r="AO14" s="3628"/>
      <c r="AP14" s="3628"/>
      <c r="AQ14" s="3628"/>
      <c r="AR14" s="3628"/>
    </row>
    <row r="16" spans="1:44">
      <c r="A16" s="5011" t="s">
        <v>284</v>
      </c>
      <c r="K16" s="4733"/>
      <c r="L16" s="4733"/>
      <c r="M16" s="4733"/>
      <c r="N16" s="4733"/>
      <c r="O16" s="4733"/>
      <c r="P16" s="4733"/>
      <c r="Q16" s="4733"/>
      <c r="R16" s="4733"/>
      <c r="S16" s="4733"/>
      <c r="T16" s="4733"/>
      <c r="U16" s="4733"/>
      <c r="V16" s="4733"/>
      <c r="W16" s="4733"/>
      <c r="X16" s="4733"/>
      <c r="Y16" s="4733"/>
      <c r="Z16" s="4733"/>
      <c r="AA16" s="4733"/>
      <c r="AB16" s="4733"/>
      <c r="AC16" s="4733"/>
      <c r="AD16" s="4733"/>
      <c r="AE16" s="4733"/>
      <c r="AF16" s="4733"/>
      <c r="AG16" s="4733"/>
      <c r="AH16" s="4733"/>
      <c r="AI16" s="4733"/>
      <c r="AJ16" s="4733"/>
      <c r="AK16" s="4733"/>
      <c r="AL16" s="4733"/>
      <c r="AM16" s="4733"/>
      <c r="AN16" s="4733"/>
      <c r="AO16" s="5012" t="s">
        <v>285</v>
      </c>
      <c r="AP16" s="3628"/>
      <c r="AQ16" s="3628"/>
      <c r="AR16" s="3628"/>
    </row>
    <row r="18" spans="1:44">
      <c r="A18" s="3606" t="s">
        <v>286</v>
      </c>
      <c r="M18" s="4733"/>
      <c r="N18" s="4733"/>
      <c r="O18" s="4733"/>
      <c r="P18" s="4733"/>
      <c r="Q18" s="4733"/>
      <c r="R18" s="4733"/>
      <c r="S18" s="4733"/>
      <c r="T18" s="4733"/>
      <c r="U18" s="4733"/>
      <c r="V18" s="4733"/>
      <c r="W18" s="4733"/>
      <c r="X18" s="4733"/>
      <c r="Y18" s="4733"/>
      <c r="Z18" s="4733"/>
      <c r="AA18" s="4733"/>
      <c r="AB18" s="4733"/>
      <c r="AC18" s="4733"/>
      <c r="AD18" s="4733"/>
      <c r="AE18" s="4733"/>
      <c r="AF18" s="4733"/>
      <c r="AG18" s="4733"/>
      <c r="AH18" s="4733"/>
      <c r="AI18" s="4733"/>
      <c r="AJ18" s="4733"/>
      <c r="AK18" s="4733"/>
      <c r="AL18" s="4733"/>
      <c r="AM18" s="4733"/>
      <c r="AN18" s="4733"/>
      <c r="AO18" s="3628">
        <v>2</v>
      </c>
      <c r="AP18" s="3628"/>
      <c r="AQ18" s="3628"/>
      <c r="AR18" s="3628"/>
    </row>
    <row r="20" spans="1:44">
      <c r="A20" s="3606" t="s">
        <v>287</v>
      </c>
      <c r="R20" s="4733"/>
      <c r="S20" s="4733"/>
      <c r="T20" s="4733"/>
      <c r="U20" s="4733"/>
      <c r="V20" s="4733"/>
      <c r="W20" s="4733"/>
      <c r="X20" s="4733"/>
      <c r="Y20" s="4733"/>
      <c r="Z20" s="4733"/>
      <c r="AA20" s="4733"/>
      <c r="AB20" s="4733"/>
      <c r="AC20" s="4733"/>
      <c r="AD20" s="4733"/>
      <c r="AE20" s="4733"/>
      <c r="AF20" s="4733"/>
      <c r="AG20" s="4733"/>
      <c r="AH20" s="4733"/>
      <c r="AI20" s="4733"/>
      <c r="AJ20" s="4733"/>
      <c r="AK20" s="4733"/>
      <c r="AL20" s="4733"/>
      <c r="AM20" s="4733"/>
      <c r="AN20" s="4733"/>
      <c r="AO20" s="3628">
        <v>3</v>
      </c>
      <c r="AP20" s="3628"/>
      <c r="AQ20" s="3628"/>
      <c r="AR20" s="3628"/>
    </row>
    <row r="22" spans="1:44">
      <c r="A22" s="3606" t="s">
        <v>288</v>
      </c>
      <c r="H22" s="4733"/>
      <c r="I22" s="4733"/>
      <c r="J22" s="4733"/>
      <c r="K22" s="4733"/>
      <c r="L22" s="4733"/>
      <c r="M22" s="4733"/>
      <c r="N22" s="4733"/>
      <c r="O22" s="4733"/>
      <c r="P22" s="4733"/>
      <c r="Q22" s="4733"/>
      <c r="R22" s="4733"/>
      <c r="S22" s="4733"/>
      <c r="T22" s="4733"/>
      <c r="U22" s="4733"/>
      <c r="V22" s="4733"/>
      <c r="W22" s="4733"/>
      <c r="X22" s="4733"/>
      <c r="Y22" s="4733"/>
      <c r="Z22" s="4733"/>
      <c r="AA22" s="4733"/>
      <c r="AB22" s="4733"/>
      <c r="AC22" s="4733"/>
      <c r="AD22" s="4733"/>
      <c r="AE22" s="4733"/>
      <c r="AF22" s="4733"/>
      <c r="AG22" s="4733"/>
      <c r="AH22" s="4733"/>
      <c r="AI22" s="4733"/>
      <c r="AJ22" s="4733"/>
      <c r="AK22" s="4733"/>
      <c r="AL22" s="4733"/>
      <c r="AM22" s="4733"/>
      <c r="AN22" s="4733"/>
      <c r="AO22" s="3628">
        <v>4</v>
      </c>
      <c r="AP22" s="3628"/>
      <c r="AQ22" s="3628"/>
      <c r="AR22" s="3628"/>
    </row>
    <row r="24" spans="1:44">
      <c r="A24" s="3606" t="s">
        <v>289</v>
      </c>
      <c r="M24" s="4733"/>
      <c r="N24" s="4733"/>
      <c r="O24" s="4733"/>
      <c r="P24" s="4733"/>
      <c r="Q24" s="4733"/>
      <c r="R24" s="4733"/>
      <c r="S24" s="4733"/>
      <c r="T24" s="4733"/>
      <c r="U24" s="4733"/>
      <c r="V24" s="4733"/>
      <c r="W24" s="4733"/>
      <c r="X24" s="4733"/>
      <c r="Y24" s="4733"/>
      <c r="Z24" s="4733"/>
      <c r="AA24" s="4733"/>
      <c r="AB24" s="4733"/>
      <c r="AC24" s="4733"/>
      <c r="AD24" s="4733"/>
      <c r="AE24" s="4733"/>
      <c r="AF24" s="4733"/>
      <c r="AG24" s="4733"/>
      <c r="AH24" s="4733"/>
      <c r="AI24" s="4733"/>
      <c r="AJ24" s="4733"/>
      <c r="AK24" s="4733"/>
      <c r="AL24" s="4733"/>
      <c r="AM24" s="4733"/>
      <c r="AN24" s="4733"/>
      <c r="AO24" s="5012" t="s">
        <v>290</v>
      </c>
      <c r="AP24" s="3628"/>
      <c r="AQ24" s="3628"/>
      <c r="AR24" s="3628"/>
    </row>
    <row r="26" spans="1:2">
      <c r="A26" s="4734" t="s">
        <v>291</v>
      </c>
      <c r="B26" s="4734"/>
    </row>
    <row r="27" spans="1:2">
      <c r="A27" s="4734"/>
      <c r="B27" s="4734"/>
    </row>
    <row r="28" spans="1:2">
      <c r="A28" s="4734" t="s">
        <v>292</v>
      </c>
      <c r="B28" s="4734"/>
    </row>
    <row r="37" spans="1:44">
      <c r="A37" s="5012" t="s">
        <v>293</v>
      </c>
      <c r="B37" s="3628"/>
      <c r="C37" s="3628"/>
      <c r="D37" s="3628"/>
      <c r="E37" s="3628"/>
      <c r="F37" s="3628"/>
      <c r="G37" s="3628"/>
      <c r="H37" s="3628"/>
      <c r="I37" s="3628"/>
      <c r="J37" s="3628"/>
      <c r="K37" s="3628"/>
      <c r="L37" s="3628"/>
      <c r="M37" s="3628"/>
      <c r="N37" s="3628"/>
      <c r="O37" s="3628"/>
      <c r="P37" s="3628"/>
      <c r="Q37" s="3628"/>
      <c r="R37" s="3628"/>
      <c r="S37" s="3628"/>
      <c r="T37" s="3628"/>
      <c r="U37" s="3628"/>
      <c r="V37" s="3628"/>
      <c r="W37" s="3628"/>
      <c r="X37" s="3628"/>
      <c r="Y37" s="3628"/>
      <c r="Z37" s="3628"/>
      <c r="AA37" s="3628"/>
      <c r="AB37" s="3628"/>
      <c r="AC37" s="3628"/>
      <c r="AD37" s="3628"/>
      <c r="AE37" s="3628"/>
      <c r="AF37" s="3628"/>
      <c r="AG37" s="3628"/>
      <c r="AH37" s="3628"/>
      <c r="AI37" s="3628"/>
      <c r="AJ37" s="3628"/>
      <c r="AK37" s="3628"/>
      <c r="AL37" s="3628"/>
      <c r="AM37" s="3628"/>
      <c r="AN37" s="3628"/>
      <c r="AO37" s="3628"/>
      <c r="AP37" s="3628"/>
      <c r="AQ37" s="3628"/>
      <c r="AR37" s="3628"/>
    </row>
  </sheetData>
  <mergeCells count="15">
    <mergeCell ref="A8:AR8"/>
    <mergeCell ref="AO10:AR10"/>
    <mergeCell ref="AO12:AR12"/>
    <mergeCell ref="AO14:AR14"/>
    <mergeCell ref="AO16:AR16"/>
    <mergeCell ref="AO18:AR18"/>
    <mergeCell ref="AO20:AR20"/>
    <mergeCell ref="AO22:AR22"/>
    <mergeCell ref="AO24:AR24"/>
    <mergeCell ref="A37:AR37"/>
    <mergeCell ref="AC1:AD5"/>
    <mergeCell ref="AE1:AL3"/>
    <mergeCell ref="AM1:AR3"/>
    <mergeCell ref="AE4:AL5"/>
    <mergeCell ref="AM4:AR5"/>
  </mergeCells>
  <printOptions horizontalCentered="1"/>
  <pageMargins left="0.85" right="0.75" top="0.5" bottom="0.75" header="0.25" footer="0.5"/>
  <pageSetup paperSize="9" scale="92"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AR37"/>
  <sheetViews>
    <sheetView showGridLines="0" view="pageLayout" zoomScaleNormal="100" workbookViewId="0">
      <selection activeCell="U29" sqref="U29"/>
    </sheetView>
  </sheetViews>
  <sheetFormatPr defaultColWidth="9.13541666666667" defaultRowHeight="11.4"/>
  <cols>
    <col min="1" max="44" width="2.25" style="3606" customWidth="1"/>
    <col min="45" max="16384" width="9.13541666666667" style="3606"/>
  </cols>
  <sheetData>
    <row r="1" ht="12" customHeight="1" spans="1:44">
      <c r="A1" s="3607" t="str">
        <f>Cover21!A1</f>
        <v>PT INTAN GIRI ABADI</v>
      </c>
      <c r="AC1" s="4120" t="s">
        <v>277</v>
      </c>
      <c r="AD1" s="4120"/>
      <c r="AE1" s="4126" t="s">
        <v>278</v>
      </c>
      <c r="AF1" s="4126"/>
      <c r="AG1" s="4126"/>
      <c r="AH1" s="4126"/>
      <c r="AI1" s="4126"/>
      <c r="AJ1" s="4126"/>
      <c r="AK1" s="4126"/>
      <c r="AL1" s="4126"/>
      <c r="AM1" s="4126" t="s">
        <v>273</v>
      </c>
      <c r="AN1" s="4126"/>
      <c r="AO1" s="4126"/>
      <c r="AP1" s="4126"/>
      <c r="AQ1" s="4126"/>
      <c r="AR1" s="4126"/>
    </row>
    <row r="2" ht="12" customHeight="1" spans="1:44">
      <c r="A2" s="5010" t="s">
        <v>267</v>
      </c>
      <c r="AC2" s="4120"/>
      <c r="AD2" s="4120"/>
      <c r="AE2" s="4126"/>
      <c r="AF2" s="4126"/>
      <c r="AG2" s="4126"/>
      <c r="AH2" s="4126"/>
      <c r="AI2" s="4126"/>
      <c r="AJ2" s="4126"/>
      <c r="AK2" s="4126"/>
      <c r="AL2" s="4126"/>
      <c r="AM2" s="4126"/>
      <c r="AN2" s="4126"/>
      <c r="AO2" s="4126"/>
      <c r="AP2" s="4126"/>
      <c r="AQ2" s="4126"/>
      <c r="AR2" s="4126"/>
    </row>
    <row r="3" ht="12" customHeight="1" spans="1:44">
      <c r="A3" s="3607" t="s">
        <v>294</v>
      </c>
      <c r="AC3" s="4120"/>
      <c r="AD3" s="4120"/>
      <c r="AE3" s="4126"/>
      <c r="AF3" s="4126"/>
      <c r="AG3" s="4126"/>
      <c r="AH3" s="4126"/>
      <c r="AI3" s="4126"/>
      <c r="AJ3" s="4126"/>
      <c r="AK3" s="4126"/>
      <c r="AL3" s="4126"/>
      <c r="AM3" s="4126"/>
      <c r="AN3" s="4126"/>
      <c r="AO3" s="4126"/>
      <c r="AP3" s="4126"/>
      <c r="AQ3" s="4126"/>
      <c r="AR3" s="4126"/>
    </row>
    <row r="4" ht="12" customHeight="1" spans="1:44">
      <c r="A4" s="5010" t="s">
        <v>269</v>
      </c>
      <c r="AC4" s="4120"/>
      <c r="AD4" s="4120"/>
      <c r="AE4" s="4126" t="s">
        <v>280</v>
      </c>
      <c r="AF4" s="4126"/>
      <c r="AG4" s="4126"/>
      <c r="AH4" s="4126"/>
      <c r="AI4" s="4126"/>
      <c r="AJ4" s="4126"/>
      <c r="AK4" s="4126"/>
      <c r="AL4" s="4126"/>
      <c r="AM4" s="4126" t="s">
        <v>275</v>
      </c>
      <c r="AN4" s="4126"/>
      <c r="AO4" s="4126"/>
      <c r="AP4" s="4126"/>
      <c r="AQ4" s="4126"/>
      <c r="AR4" s="4126"/>
    </row>
    <row r="5" ht="12" customHeight="1" spans="1:44">
      <c r="A5" s="3611"/>
      <c r="B5" s="3611"/>
      <c r="C5" s="3611"/>
      <c r="D5" s="3611"/>
      <c r="E5" s="3611"/>
      <c r="F5" s="3611"/>
      <c r="G5" s="3611"/>
      <c r="H5" s="3611"/>
      <c r="I5" s="3611"/>
      <c r="J5" s="3611"/>
      <c r="K5" s="3611"/>
      <c r="L5" s="3611"/>
      <c r="M5" s="3611"/>
      <c r="N5" s="3611"/>
      <c r="O5" s="3611"/>
      <c r="P5" s="3611"/>
      <c r="Q5" s="3611"/>
      <c r="R5" s="3611"/>
      <c r="S5" s="3611"/>
      <c r="T5" s="3611"/>
      <c r="U5" s="3611"/>
      <c r="V5" s="3611"/>
      <c r="W5" s="3611"/>
      <c r="X5" s="3611"/>
      <c r="Y5" s="3611"/>
      <c r="Z5" s="3611"/>
      <c r="AA5" s="3611"/>
      <c r="AB5" s="3611"/>
      <c r="AC5" s="4735"/>
      <c r="AD5" s="4735"/>
      <c r="AE5" s="4736"/>
      <c r="AF5" s="4736"/>
      <c r="AG5" s="4736"/>
      <c r="AH5" s="4736"/>
      <c r="AI5" s="4736"/>
      <c r="AJ5" s="4736"/>
      <c r="AK5" s="4736"/>
      <c r="AL5" s="4736"/>
      <c r="AM5" s="4736"/>
      <c r="AN5" s="4736"/>
      <c r="AO5" s="4736"/>
      <c r="AP5" s="4736"/>
      <c r="AQ5" s="4736"/>
      <c r="AR5" s="4736"/>
    </row>
    <row r="8" ht="12" spans="1:44">
      <c r="A8" s="4731" t="s">
        <v>281</v>
      </c>
      <c r="B8" s="4731"/>
      <c r="C8" s="4731"/>
      <c r="D8" s="4731"/>
      <c r="E8" s="4731"/>
      <c r="F8" s="4731"/>
      <c r="G8" s="4731"/>
      <c r="H8" s="4731"/>
      <c r="I8" s="4731"/>
      <c r="J8" s="4731"/>
      <c r="K8" s="4731"/>
      <c r="L8" s="4731"/>
      <c r="M8" s="4731"/>
      <c r="N8" s="4731"/>
      <c r="O8" s="4731"/>
      <c r="P8" s="4731"/>
      <c r="Q8" s="4731"/>
      <c r="R8" s="4731"/>
      <c r="S8" s="4731"/>
      <c r="T8" s="4731"/>
      <c r="U8" s="4731"/>
      <c r="V8" s="4731"/>
      <c r="W8" s="4731"/>
      <c r="X8" s="4731"/>
      <c r="Y8" s="4731"/>
      <c r="Z8" s="4731"/>
      <c r="AA8" s="4731"/>
      <c r="AB8" s="4731"/>
      <c r="AC8" s="4731"/>
      <c r="AD8" s="4731"/>
      <c r="AE8" s="4731"/>
      <c r="AF8" s="4731"/>
      <c r="AG8" s="4731"/>
      <c r="AH8" s="4731"/>
      <c r="AI8" s="4731"/>
      <c r="AJ8" s="4731"/>
      <c r="AK8" s="4731"/>
      <c r="AL8" s="4731"/>
      <c r="AM8" s="4731"/>
      <c r="AN8" s="4731"/>
      <c r="AO8" s="4731"/>
      <c r="AP8" s="4731"/>
      <c r="AQ8" s="4731"/>
      <c r="AR8" s="4731"/>
    </row>
    <row r="10" spans="41:44">
      <c r="AO10" s="4189" t="s">
        <v>282</v>
      </c>
      <c r="AP10" s="4189"/>
      <c r="AQ10" s="4189"/>
      <c r="AR10" s="4189"/>
    </row>
    <row r="12" spans="1:44">
      <c r="A12" s="5011" t="s">
        <v>283</v>
      </c>
      <c r="B12" s="4732"/>
      <c r="C12" s="4732"/>
      <c r="D12" s="4732"/>
      <c r="E12" s="4732"/>
      <c r="F12" s="4732"/>
      <c r="G12" s="4732"/>
      <c r="H12" s="4732"/>
      <c r="I12" s="4732"/>
      <c r="J12" s="4732"/>
      <c r="K12" s="4732"/>
      <c r="L12" s="4732"/>
      <c r="M12" s="4732"/>
      <c r="AO12" s="3628"/>
      <c r="AP12" s="3628"/>
      <c r="AQ12" s="3628"/>
      <c r="AR12" s="3628"/>
    </row>
    <row r="13" spans="2:13">
      <c r="B13" s="4732"/>
      <c r="C13" s="4732"/>
      <c r="D13" s="4732"/>
      <c r="E13" s="4732"/>
      <c r="F13" s="4732"/>
      <c r="G13" s="4732"/>
      <c r="H13" s="4732"/>
      <c r="I13" s="4732"/>
      <c r="J13" s="4732"/>
      <c r="K13" s="4732"/>
      <c r="L13" s="4732"/>
      <c r="M13" s="4732"/>
    </row>
    <row r="14" spans="1:44">
      <c r="A14" s="4732" t="s">
        <v>265</v>
      </c>
      <c r="AO14" s="3628"/>
      <c r="AP14" s="3628"/>
      <c r="AQ14" s="3628"/>
      <c r="AR14" s="3628"/>
    </row>
    <row r="16" spans="1:44">
      <c r="A16" s="5011" t="s">
        <v>284</v>
      </c>
      <c r="K16" s="4733"/>
      <c r="L16" s="4733"/>
      <c r="M16" s="4733"/>
      <c r="N16" s="4733"/>
      <c r="O16" s="4733"/>
      <c r="P16" s="4733"/>
      <c r="Q16" s="4733"/>
      <c r="R16" s="4733"/>
      <c r="S16" s="4733"/>
      <c r="T16" s="4733"/>
      <c r="U16" s="4733"/>
      <c r="V16" s="4733"/>
      <c r="W16" s="4733"/>
      <c r="X16" s="4733"/>
      <c r="Y16" s="4733"/>
      <c r="Z16" s="4733"/>
      <c r="AA16" s="4733"/>
      <c r="AB16" s="4733"/>
      <c r="AC16" s="4733"/>
      <c r="AD16" s="4733"/>
      <c r="AE16" s="4733"/>
      <c r="AF16" s="4733"/>
      <c r="AG16" s="4733"/>
      <c r="AH16" s="4733"/>
      <c r="AI16" s="4733"/>
      <c r="AJ16" s="4733"/>
      <c r="AK16" s="4733"/>
      <c r="AL16" s="4733"/>
      <c r="AM16" s="4733"/>
      <c r="AN16" s="4733"/>
      <c r="AO16" s="5012" t="s">
        <v>285</v>
      </c>
      <c r="AP16" s="3628"/>
      <c r="AQ16" s="3628"/>
      <c r="AR16" s="3628"/>
    </row>
    <row r="18" spans="1:44">
      <c r="A18" s="3606" t="s">
        <v>286</v>
      </c>
      <c r="M18" s="4733"/>
      <c r="N18" s="4733"/>
      <c r="O18" s="4733"/>
      <c r="P18" s="4733"/>
      <c r="Q18" s="4733"/>
      <c r="R18" s="4733"/>
      <c r="S18" s="4733"/>
      <c r="T18" s="4733"/>
      <c r="U18" s="4733"/>
      <c r="V18" s="4733"/>
      <c r="W18" s="4733"/>
      <c r="X18" s="4733"/>
      <c r="Y18" s="4733"/>
      <c r="Z18" s="4733"/>
      <c r="AA18" s="4733"/>
      <c r="AB18" s="4733"/>
      <c r="AC18" s="4733"/>
      <c r="AD18" s="4733"/>
      <c r="AE18" s="4733"/>
      <c r="AF18" s="4733"/>
      <c r="AG18" s="4733"/>
      <c r="AH18" s="4733"/>
      <c r="AI18" s="4733"/>
      <c r="AJ18" s="4733"/>
      <c r="AK18" s="4733"/>
      <c r="AL18" s="4733"/>
      <c r="AM18" s="4733"/>
      <c r="AN18" s="4733"/>
      <c r="AO18" s="3628">
        <v>2</v>
      </c>
      <c r="AP18" s="3628"/>
      <c r="AQ18" s="3628"/>
      <c r="AR18" s="3628"/>
    </row>
    <row r="20" spans="1:44">
      <c r="A20" s="3606" t="s">
        <v>287</v>
      </c>
      <c r="R20" s="4733"/>
      <c r="S20" s="4733"/>
      <c r="T20" s="4733"/>
      <c r="U20" s="4733"/>
      <c r="V20" s="4733"/>
      <c r="W20" s="4733"/>
      <c r="X20" s="4733"/>
      <c r="Y20" s="4733"/>
      <c r="Z20" s="4733"/>
      <c r="AA20" s="4733"/>
      <c r="AB20" s="4733"/>
      <c r="AC20" s="4733"/>
      <c r="AD20" s="4733"/>
      <c r="AE20" s="4733"/>
      <c r="AF20" s="4733"/>
      <c r="AG20" s="4733"/>
      <c r="AH20" s="4733"/>
      <c r="AI20" s="4733"/>
      <c r="AJ20" s="4733"/>
      <c r="AK20" s="4733"/>
      <c r="AL20" s="4733"/>
      <c r="AM20" s="4733"/>
      <c r="AN20" s="4733"/>
      <c r="AO20" s="3628">
        <v>3</v>
      </c>
      <c r="AP20" s="3628"/>
      <c r="AQ20" s="3628"/>
      <c r="AR20" s="3628"/>
    </row>
    <row r="22" spans="1:44">
      <c r="A22" s="3606" t="s">
        <v>288</v>
      </c>
      <c r="H22" s="4733"/>
      <c r="I22" s="4733"/>
      <c r="J22" s="4733"/>
      <c r="K22" s="4733"/>
      <c r="L22" s="4733"/>
      <c r="M22" s="4733"/>
      <c r="N22" s="4733"/>
      <c r="O22" s="4733"/>
      <c r="P22" s="4733"/>
      <c r="Q22" s="4733"/>
      <c r="R22" s="4733"/>
      <c r="S22" s="4733"/>
      <c r="T22" s="4733"/>
      <c r="U22" s="4733"/>
      <c r="V22" s="4733"/>
      <c r="W22" s="4733"/>
      <c r="X22" s="4733"/>
      <c r="Y22" s="4733"/>
      <c r="Z22" s="4733"/>
      <c r="AA22" s="4733"/>
      <c r="AB22" s="4733"/>
      <c r="AC22" s="4733"/>
      <c r="AD22" s="4733"/>
      <c r="AE22" s="4733"/>
      <c r="AF22" s="4733"/>
      <c r="AG22" s="4733"/>
      <c r="AH22" s="4733"/>
      <c r="AI22" s="4733"/>
      <c r="AJ22" s="4733"/>
      <c r="AK22" s="4733"/>
      <c r="AL22" s="4733"/>
      <c r="AM22" s="4733"/>
      <c r="AN22" s="4733"/>
      <c r="AO22" s="3628">
        <v>4</v>
      </c>
      <c r="AP22" s="3628"/>
      <c r="AQ22" s="3628"/>
      <c r="AR22" s="3628"/>
    </row>
    <row r="24" spans="1:44">
      <c r="A24" s="3606" t="s">
        <v>289</v>
      </c>
      <c r="M24" s="4733"/>
      <c r="N24" s="4733"/>
      <c r="O24" s="4733"/>
      <c r="P24" s="4733"/>
      <c r="Q24" s="4733"/>
      <c r="R24" s="4733"/>
      <c r="S24" s="4733"/>
      <c r="T24" s="4733"/>
      <c r="U24" s="4733"/>
      <c r="V24" s="4733"/>
      <c r="W24" s="4733"/>
      <c r="X24" s="4733"/>
      <c r="Y24" s="4733"/>
      <c r="Z24" s="4733"/>
      <c r="AA24" s="4733"/>
      <c r="AB24" s="4733"/>
      <c r="AC24" s="4733"/>
      <c r="AD24" s="4733"/>
      <c r="AE24" s="4733"/>
      <c r="AF24" s="4733"/>
      <c r="AG24" s="4733"/>
      <c r="AH24" s="4733"/>
      <c r="AI24" s="4733"/>
      <c r="AJ24" s="4733"/>
      <c r="AK24" s="4733"/>
      <c r="AL24" s="4733"/>
      <c r="AM24" s="4733"/>
      <c r="AN24" s="4733"/>
      <c r="AO24" s="5012" t="s">
        <v>295</v>
      </c>
      <c r="AP24" s="3628"/>
      <c r="AQ24" s="3628"/>
      <c r="AR24" s="3628"/>
    </row>
    <row r="26" spans="1:2">
      <c r="A26" s="4734" t="s">
        <v>291</v>
      </c>
      <c r="B26" s="4734"/>
    </row>
    <row r="27" spans="1:2">
      <c r="A27" s="4734"/>
      <c r="B27" s="4734"/>
    </row>
    <row r="28" spans="1:2">
      <c r="A28" s="4734" t="s">
        <v>292</v>
      </c>
      <c r="B28" s="4734"/>
    </row>
    <row r="37" spans="1:44">
      <c r="A37" s="5012" t="s">
        <v>293</v>
      </c>
      <c r="B37" s="3628"/>
      <c r="C37" s="3628"/>
      <c r="D37" s="3628"/>
      <c r="E37" s="3628"/>
      <c r="F37" s="3628"/>
      <c r="G37" s="3628"/>
      <c r="H37" s="3628"/>
      <c r="I37" s="3628"/>
      <c r="J37" s="3628"/>
      <c r="K37" s="3628"/>
      <c r="L37" s="3628"/>
      <c r="M37" s="3628"/>
      <c r="N37" s="3628"/>
      <c r="O37" s="3628"/>
      <c r="P37" s="3628"/>
      <c r="Q37" s="3628"/>
      <c r="R37" s="3628"/>
      <c r="S37" s="3628"/>
      <c r="T37" s="3628"/>
      <c r="U37" s="3628"/>
      <c r="V37" s="3628"/>
      <c r="W37" s="3628"/>
      <c r="X37" s="3628"/>
      <c r="Y37" s="3628"/>
      <c r="Z37" s="3628"/>
      <c r="AA37" s="3628"/>
      <c r="AB37" s="3628"/>
      <c r="AC37" s="3628"/>
      <c r="AD37" s="3628"/>
      <c r="AE37" s="3628"/>
      <c r="AF37" s="3628"/>
      <c r="AG37" s="3628"/>
      <c r="AH37" s="3628"/>
      <c r="AI37" s="3628"/>
      <c r="AJ37" s="3628"/>
      <c r="AK37" s="3628"/>
      <c r="AL37" s="3628"/>
      <c r="AM37" s="3628"/>
      <c r="AN37" s="3628"/>
      <c r="AO37" s="3628"/>
      <c r="AP37" s="3628"/>
      <c r="AQ37" s="3628"/>
      <c r="AR37" s="3628"/>
    </row>
  </sheetData>
  <mergeCells count="15">
    <mergeCell ref="A8:AR8"/>
    <mergeCell ref="AO10:AR10"/>
    <mergeCell ref="AO12:AR12"/>
    <mergeCell ref="AO14:AR14"/>
    <mergeCell ref="AO16:AR16"/>
    <mergeCell ref="AO18:AR18"/>
    <mergeCell ref="AO20:AR20"/>
    <mergeCell ref="AO22:AR22"/>
    <mergeCell ref="AO24:AR24"/>
    <mergeCell ref="A37:AR37"/>
    <mergeCell ref="AE1:AL3"/>
    <mergeCell ref="AM1:AR3"/>
    <mergeCell ref="AC1:AD5"/>
    <mergeCell ref="AE4:AL5"/>
    <mergeCell ref="AM4:AR5"/>
  </mergeCells>
  <printOptions horizontalCentered="1"/>
  <pageMargins left="0.85" right="0.75" top="0.5" bottom="0.75" header="0.25" footer="0.5"/>
  <pageSetup paperSize="9" scale="92"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6"/>
  <dimension ref="B4:R133"/>
  <sheetViews>
    <sheetView workbookViewId="0">
      <pane xSplit="6" ySplit="4" topLeftCell="G86" activePane="bottomRight" state="frozen"/>
      <selection/>
      <selection pane="topRight"/>
      <selection pane="bottomLeft"/>
      <selection pane="bottomRight" activeCell="H101" sqref="H101"/>
    </sheetView>
  </sheetViews>
  <sheetFormatPr defaultColWidth="9" defaultRowHeight="11.4"/>
  <cols>
    <col min="7" max="7" width="8.84375"/>
    <col min="8" max="9" width="19.625" customWidth="1"/>
    <col min="10" max="12" width="19.78125" customWidth="1"/>
    <col min="13" max="13" width="16.03125" customWidth="1"/>
    <col min="14" max="17" width="17.6770833333333" customWidth="1"/>
    <col min="18" max="18" width="20.2291666666667" customWidth="1"/>
    <col min="19" max="19" width="14.3854166666667" customWidth="1"/>
  </cols>
  <sheetData>
    <row r="4" ht="13.8" spans="2:18">
      <c r="B4" s="4680" t="s">
        <v>296</v>
      </c>
      <c r="C4" s="4681"/>
      <c r="D4" s="4681"/>
      <c r="E4" s="4681"/>
      <c r="F4" s="4681"/>
      <c r="G4" s="4681"/>
      <c r="H4" s="4682">
        <v>2021</v>
      </c>
      <c r="I4" s="4682">
        <v>2020</v>
      </c>
      <c r="J4" s="4702" t="s">
        <v>297</v>
      </c>
      <c r="K4" s="4702" t="s">
        <v>298</v>
      </c>
      <c r="L4" s="1636"/>
      <c r="M4" s="1636"/>
      <c r="N4" s="1636"/>
      <c r="O4" s="1636"/>
      <c r="P4" s="1636"/>
      <c r="Q4" s="1636"/>
      <c r="R4" s="1636"/>
    </row>
    <row r="5" ht="13.8" spans="2:18">
      <c r="B5" s="4683" t="s">
        <v>299</v>
      </c>
      <c r="C5" s="4684"/>
      <c r="D5" s="4684"/>
      <c r="E5" s="4684"/>
      <c r="F5" s="4684"/>
      <c r="G5" s="4684"/>
      <c r="H5" s="4685"/>
      <c r="I5" s="4685"/>
      <c r="J5" s="4703"/>
      <c r="K5" s="4703"/>
      <c r="L5" s="1636"/>
      <c r="M5" s="1636"/>
      <c r="N5" s="1636"/>
      <c r="O5" s="1636"/>
      <c r="P5" s="1636"/>
      <c r="Q5" s="1636"/>
      <c r="R5" s="1636"/>
    </row>
    <row r="6" ht="13.8" spans="2:18">
      <c r="B6" s="4686" t="str">
        <f>'F1'!C15</f>
        <v>Kas dan bank</v>
      </c>
      <c r="C6" s="4687"/>
      <c r="D6" s="4687"/>
      <c r="E6" s="4687"/>
      <c r="F6" s="4687"/>
      <c r="G6" s="4687"/>
      <c r="H6" s="4688">
        <f>'F1'!P15</f>
        <v>295686160.08</v>
      </c>
      <c r="I6" s="4688">
        <f>'F1'!Q15</f>
        <v>750100447</v>
      </c>
      <c r="J6" s="4688">
        <f t="shared" ref="J6:J12" si="0">IF($H6-$I6&gt;0,0,$I6-$H6)</f>
        <v>454414286.92</v>
      </c>
      <c r="K6" s="4688">
        <f t="shared" ref="K6:K12" si="1">IF($H6-$I6&gt;0,$H6-$I6,0)</f>
        <v>0</v>
      </c>
      <c r="L6" s="4704">
        <f>IF(H6-I6&gt;0,0,I6-H6)</f>
        <v>454414286.92</v>
      </c>
      <c r="M6" s="1636">
        <v>2</v>
      </c>
      <c r="N6" s="1636">
        <v>1</v>
      </c>
      <c r="O6" s="1636"/>
      <c r="P6" s="1636"/>
      <c r="Q6" s="1636"/>
      <c r="R6" s="1636">
        <f>+M6-N6</f>
        <v>1</v>
      </c>
    </row>
    <row r="7" ht="13.8" spans="2:18">
      <c r="B7" s="4686" t="str">
        <f>'F1'!C16</f>
        <v>Piutang usaha</v>
      </c>
      <c r="C7" s="4687"/>
      <c r="D7" s="4687"/>
      <c r="E7" s="4687"/>
      <c r="F7" s="4687"/>
      <c r="G7" s="4687"/>
      <c r="H7" s="4688">
        <f>'F1'!P16</f>
        <v>0</v>
      </c>
      <c r="I7" s="4688">
        <f>'F1'!Q16</f>
        <v>0</v>
      </c>
      <c r="J7" s="4688">
        <f t="shared" si="0"/>
        <v>0</v>
      </c>
      <c r="K7" s="4688">
        <f t="shared" si="1"/>
        <v>0</v>
      </c>
      <c r="L7" s="1636"/>
      <c r="M7" s="1636"/>
      <c r="N7" s="1636"/>
      <c r="O7" s="1636"/>
      <c r="P7" s="1636"/>
      <c r="Q7" s="1636"/>
      <c r="R7" s="1636"/>
    </row>
    <row r="8" ht="13.8" spans="2:18">
      <c r="B8" s="4686" t="str">
        <f>'F1'!C20</f>
        <v>Piutang lain-lain</v>
      </c>
      <c r="C8" s="4687"/>
      <c r="D8" s="4687"/>
      <c r="E8" s="4687"/>
      <c r="F8" s="4687"/>
      <c r="G8" s="4687"/>
      <c r="H8" s="4688">
        <f>'F1'!P20</f>
        <v>4196640000</v>
      </c>
      <c r="I8" s="4688">
        <f>'F1'!Q20</f>
        <v>3508958185.33</v>
      </c>
      <c r="J8" s="4688">
        <f t="shared" si="0"/>
        <v>0</v>
      </c>
      <c r="K8" s="4688">
        <f t="shared" si="1"/>
        <v>687681814.67</v>
      </c>
      <c r="L8" s="4704">
        <f>IF(H8&gt;I8,0,I8-H8)</f>
        <v>0</v>
      </c>
      <c r="M8" s="1636"/>
      <c r="N8" s="1636"/>
      <c r="O8" s="1636"/>
      <c r="P8" s="1636"/>
      <c r="Q8" s="1636"/>
      <c r="R8" s="1636">
        <f>IF(M6-N6&gt;0,0,M6-N6)</f>
        <v>0</v>
      </c>
    </row>
    <row r="9" ht="13.8" spans="2:18">
      <c r="B9" s="4686" t="str">
        <f>'F1'!C19</f>
        <v>Persediaan</v>
      </c>
      <c r="C9" s="4687"/>
      <c r="D9" s="4687"/>
      <c r="E9" s="4687"/>
      <c r="F9" s="4687"/>
      <c r="G9" s="4687"/>
      <c r="H9" s="4688">
        <f>'F1'!P19</f>
        <v>0</v>
      </c>
      <c r="I9" s="4688">
        <f>'F1'!Q19</f>
        <v>0</v>
      </c>
      <c r="J9" s="4688">
        <f t="shared" si="0"/>
        <v>0</v>
      </c>
      <c r="K9" s="4688">
        <f t="shared" si="1"/>
        <v>0</v>
      </c>
      <c r="L9" s="4704">
        <f>IF(H9&gt;I9,0,I9-H9)</f>
        <v>0</v>
      </c>
      <c r="M9" s="1636"/>
      <c r="N9" s="1636"/>
      <c r="O9" s="1636"/>
      <c r="P9" s="1636"/>
      <c r="Q9" s="1636"/>
      <c r="R9" s="1636"/>
    </row>
    <row r="10" ht="13.8" spans="2:18">
      <c r="B10" s="4686" t="str">
        <f>'F1'!C21</f>
        <v>Biaya dibayar dimuka</v>
      </c>
      <c r="C10" s="4687"/>
      <c r="D10" s="4687"/>
      <c r="E10" s="4687"/>
      <c r="F10" s="4687"/>
      <c r="G10" s="4687"/>
      <c r="H10" s="4688">
        <f>'F1'!P21</f>
        <v>23000600</v>
      </c>
      <c r="I10" s="4688">
        <f>'F1'!Q21</f>
        <v>27800000</v>
      </c>
      <c r="J10" s="4688">
        <f t="shared" si="0"/>
        <v>4799400.00000001</v>
      </c>
      <c r="K10" s="4688">
        <f t="shared" si="1"/>
        <v>0</v>
      </c>
      <c r="L10" s="4704">
        <f>IF(H10&gt;I10,0,I10-H10)</f>
        <v>4799400.00000001</v>
      </c>
      <c r="M10" s="1636"/>
      <c r="N10" s="1636"/>
      <c r="O10" s="1636"/>
      <c r="P10" s="1636"/>
      <c r="Q10" s="1636"/>
      <c r="R10" s="1636"/>
    </row>
    <row r="11" ht="13.8" spans="2:18">
      <c r="B11" s="4686" t="str">
        <f>'F1'!C22</f>
        <v>Pajak dibayar dimuka</v>
      </c>
      <c r="C11" s="4687"/>
      <c r="D11" s="4687"/>
      <c r="E11" s="4687"/>
      <c r="F11" s="4687"/>
      <c r="G11" s="4687"/>
      <c r="H11" s="4688">
        <f>'F1'!P22</f>
        <v>0</v>
      </c>
      <c r="I11" s="4688">
        <f>'F1'!Q22</f>
        <v>0</v>
      </c>
      <c r="J11" s="4688">
        <f t="shared" si="0"/>
        <v>0</v>
      </c>
      <c r="K11" s="4688">
        <f t="shared" si="1"/>
        <v>0</v>
      </c>
      <c r="L11" s="4704"/>
      <c r="M11" s="1636"/>
      <c r="N11" s="1636"/>
      <c r="O11" s="1636"/>
      <c r="P11" s="1636"/>
      <c r="Q11" s="1636"/>
      <c r="R11" s="1636"/>
    </row>
    <row r="12" ht="13.8" spans="2:18">
      <c r="B12" s="4686" t="str">
        <f>'F1'!C23</f>
        <v>Pekerjaan dlm pelaksanaan</v>
      </c>
      <c r="C12" s="4687"/>
      <c r="D12" s="4687"/>
      <c r="E12" s="4687"/>
      <c r="F12" s="4687"/>
      <c r="G12" s="4687"/>
      <c r="H12" s="4688">
        <f>'F1'!P23</f>
        <v>25610278304.9818</v>
      </c>
      <c r="I12" s="4688">
        <f>'F1'!Q23</f>
        <v>37294524612.7138</v>
      </c>
      <c r="J12" s="4688">
        <f t="shared" si="0"/>
        <v>11684246307.732</v>
      </c>
      <c r="K12" s="4688">
        <f t="shared" si="1"/>
        <v>0</v>
      </c>
      <c r="L12" s="4704"/>
      <c r="M12" s="1636"/>
      <c r="N12" s="1636"/>
      <c r="O12" s="1636"/>
      <c r="P12" s="1636"/>
      <c r="Q12" s="1636"/>
      <c r="R12" s="1636"/>
    </row>
    <row r="13" ht="13.8" spans="2:18">
      <c r="B13" s="4686"/>
      <c r="C13" s="4687"/>
      <c r="D13" s="4687"/>
      <c r="E13" s="4687"/>
      <c r="F13" s="4687"/>
      <c r="G13" s="4687"/>
      <c r="H13" s="4688"/>
      <c r="I13" s="4688"/>
      <c r="J13" s="4688"/>
      <c r="K13" s="4688"/>
      <c r="L13" s="4704"/>
      <c r="M13" s="1636"/>
      <c r="N13" s="1636"/>
      <c r="O13" s="1636"/>
      <c r="P13" s="1636"/>
      <c r="Q13" s="1636"/>
      <c r="R13" s="1636"/>
    </row>
    <row r="14" ht="13.8" spans="2:18">
      <c r="B14" s="4683"/>
      <c r="C14" s="4684" t="s">
        <v>151</v>
      </c>
      <c r="D14" s="4684"/>
      <c r="E14" s="4684"/>
      <c r="F14" s="4684"/>
      <c r="G14" s="4684"/>
      <c r="H14" s="4689">
        <f>SUM(H6:H13)</f>
        <v>30125605065.0618</v>
      </c>
      <c r="I14" s="4689">
        <f>SUM(I6:I13)</f>
        <v>41581383245.0438</v>
      </c>
      <c r="J14" s="4689"/>
      <c r="K14" s="4689"/>
      <c r="L14" s="1636"/>
      <c r="M14" s="1636"/>
      <c r="N14" s="1636"/>
      <c r="O14" s="1636"/>
      <c r="P14" s="1636"/>
      <c r="Q14" s="1636"/>
      <c r="R14" s="1636"/>
    </row>
    <row r="15" ht="13.8" spans="2:18">
      <c r="B15" s="4683"/>
      <c r="C15" s="4684"/>
      <c r="D15" s="4684"/>
      <c r="E15" s="4684"/>
      <c r="F15" s="4684"/>
      <c r="G15" s="4684"/>
      <c r="H15" s="4689"/>
      <c r="I15" s="4689"/>
      <c r="J15" s="4703"/>
      <c r="K15" s="4703"/>
      <c r="L15" s="1636"/>
      <c r="M15" s="1636"/>
      <c r="N15" s="1636"/>
      <c r="O15" s="1636"/>
      <c r="P15" s="1636"/>
      <c r="Q15" s="1636"/>
      <c r="R15" s="1636"/>
    </row>
    <row r="16" ht="13.8" spans="2:18">
      <c r="B16" s="4686" t="s">
        <v>300</v>
      </c>
      <c r="C16" s="4687"/>
      <c r="D16" s="4687"/>
      <c r="E16" s="4687"/>
      <c r="F16" s="4687"/>
      <c r="G16" s="4687"/>
      <c r="H16" s="4688"/>
      <c r="I16" s="4688"/>
      <c r="J16" s="4703"/>
      <c r="K16" s="4703"/>
      <c r="L16" s="1636"/>
      <c r="M16" s="1636"/>
      <c r="N16" s="1636"/>
      <c r="O16" s="1636"/>
      <c r="P16" s="1636"/>
      <c r="Q16" s="1636"/>
      <c r="R16" s="1636"/>
    </row>
    <row r="17" ht="13.8" spans="2:18">
      <c r="B17" s="4686" t="s">
        <v>301</v>
      </c>
      <c r="C17" s="4687"/>
      <c r="D17" s="4687"/>
      <c r="E17" s="4687"/>
      <c r="F17" s="4687"/>
      <c r="G17" s="4687"/>
      <c r="H17" s="4688" t="e">
        <f>#REF!</f>
        <v>#REF!</v>
      </c>
      <c r="I17" s="4688" t="e">
        <f>#REF!</f>
        <v>#REF!</v>
      </c>
      <c r="J17" s="4688" t="e">
        <f>IF($H17-$I17&gt;0,0,$I17-$H17)</f>
        <v>#REF!</v>
      </c>
      <c r="K17" s="4688" t="e">
        <f>IF($H17-$I17&gt;0,$H17-$I17,0)</f>
        <v>#REF!</v>
      </c>
      <c r="L17" s="1636"/>
      <c r="M17" s="1636"/>
      <c r="N17" s="1636"/>
      <c r="O17" s="1636"/>
      <c r="P17" s="1636"/>
      <c r="Q17" s="1636"/>
      <c r="R17" s="1636"/>
    </row>
    <row r="18" ht="13.8" spans="2:18">
      <c r="B18" s="4683" t="s">
        <v>302</v>
      </c>
      <c r="C18" s="4684"/>
      <c r="D18" s="4684"/>
      <c r="E18" s="4684"/>
      <c r="F18" s="4684"/>
      <c r="G18" s="4684"/>
      <c r="H18" s="4688" t="e">
        <f>-#REF!</f>
        <v>#REF!</v>
      </c>
      <c r="I18" s="4688" t="e">
        <f>-#REF!</f>
        <v>#REF!</v>
      </c>
      <c r="J18" s="4688" t="e">
        <f>IF($H18-$I18&gt;0,0,$I18-$H18)</f>
        <v>#REF!</v>
      </c>
      <c r="K18" s="4688" t="e">
        <f>IF($H18-$I18&gt;0,$H18-$I18,0)</f>
        <v>#REF!</v>
      </c>
      <c r="L18" s="1636"/>
      <c r="M18" s="1636"/>
      <c r="N18" s="1636"/>
      <c r="O18" s="1636"/>
      <c r="P18" s="1636"/>
      <c r="Q18" s="1636"/>
      <c r="R18" s="1636"/>
    </row>
    <row r="19" ht="13.8" spans="2:18">
      <c r="B19" s="4683"/>
      <c r="C19" s="4684" t="s">
        <v>151</v>
      </c>
      <c r="D19" s="4684"/>
      <c r="E19" s="4684"/>
      <c r="F19" s="4690"/>
      <c r="G19" s="4690"/>
      <c r="H19" s="4689" t="e">
        <f>+H17+H18</f>
        <v>#REF!</v>
      </c>
      <c r="I19" s="4689" t="e">
        <f>+I17+I18</f>
        <v>#REF!</v>
      </c>
      <c r="J19" s="4703"/>
      <c r="K19" s="4703"/>
      <c r="L19" s="1636"/>
      <c r="M19" s="1636"/>
      <c r="N19" s="1636"/>
      <c r="O19" s="1636"/>
      <c r="P19" s="1636"/>
      <c r="Q19" s="1636"/>
      <c r="R19" s="1636"/>
    </row>
    <row r="20" ht="13.8" spans="2:18">
      <c r="B20" s="4691"/>
      <c r="C20" s="4692"/>
      <c r="D20" s="4693"/>
      <c r="E20" s="4693"/>
      <c r="F20" s="4693"/>
      <c r="G20" s="4693"/>
      <c r="H20" s="4689"/>
      <c r="I20" s="4689"/>
      <c r="J20" s="4703"/>
      <c r="K20" s="4703"/>
      <c r="L20" s="1636"/>
      <c r="M20" s="1636"/>
      <c r="N20" s="1636"/>
      <c r="O20" s="1636"/>
      <c r="P20" s="1636"/>
      <c r="Q20" s="1636"/>
      <c r="R20" s="1636"/>
    </row>
    <row r="21" ht="13.8" spans="2:18">
      <c r="B21" s="4686" t="s">
        <v>303</v>
      </c>
      <c r="C21" s="4687"/>
      <c r="D21" s="4687"/>
      <c r="E21" s="4687"/>
      <c r="F21" s="4687"/>
      <c r="G21" s="4687"/>
      <c r="H21" s="4688"/>
      <c r="I21" s="4688"/>
      <c r="J21" s="4703"/>
      <c r="K21" s="4703"/>
      <c r="L21" s="1636"/>
      <c r="M21" s="1636"/>
      <c r="N21" s="1636"/>
      <c r="O21" s="1636"/>
      <c r="P21" s="1636"/>
      <c r="Q21" s="1636"/>
      <c r="R21" s="1636"/>
    </row>
    <row r="22" ht="13.8" spans="2:18">
      <c r="B22" s="4686" t="e">
        <f>#REF!</f>
        <v>#REF!</v>
      </c>
      <c r="C22" s="4687"/>
      <c r="D22" s="4687"/>
      <c r="E22" s="4687"/>
      <c r="F22" s="4687"/>
      <c r="G22" s="4687"/>
      <c r="H22" s="4688" t="e">
        <f>#REF!</f>
        <v>#REF!</v>
      </c>
      <c r="I22" s="4688" t="e">
        <f>#REF!</f>
        <v>#REF!</v>
      </c>
      <c r="J22" s="4688" t="e">
        <f>IF($H22-$I22&gt;0,0,$I22-$H22)</f>
        <v>#REF!</v>
      </c>
      <c r="K22" s="4688" t="e">
        <f>IF($H22-$I22&gt;0,$H22-$I22,0)</f>
        <v>#REF!</v>
      </c>
      <c r="L22" s="1636"/>
      <c r="M22" s="1636"/>
      <c r="N22" s="1636"/>
      <c r="O22" s="1636"/>
      <c r="P22" s="1636"/>
      <c r="Q22" s="1636"/>
      <c r="R22" s="1636"/>
    </row>
    <row r="23" ht="13.8" spans="2:18">
      <c r="B23" s="4686"/>
      <c r="C23" s="4687"/>
      <c r="D23" s="4687"/>
      <c r="E23" s="4687"/>
      <c r="F23" s="4687"/>
      <c r="G23" s="4687"/>
      <c r="H23" s="4688"/>
      <c r="I23" s="4688"/>
      <c r="J23" s="4688"/>
      <c r="K23" s="4688"/>
      <c r="L23" s="1636"/>
      <c r="M23" s="1636"/>
      <c r="N23" s="1636"/>
      <c r="O23" s="1636"/>
      <c r="P23" s="1636"/>
      <c r="Q23" s="1636"/>
      <c r="R23" s="1636"/>
    </row>
    <row r="24" ht="13.8" spans="2:18">
      <c r="B24" s="4683"/>
      <c r="C24" s="4684" t="s">
        <v>151</v>
      </c>
      <c r="D24" s="4684"/>
      <c r="E24" s="4684"/>
      <c r="F24" s="4684"/>
      <c r="G24" s="4684"/>
      <c r="H24" s="4689" t="e">
        <f>SUM(H22:H23)</f>
        <v>#REF!</v>
      </c>
      <c r="I24" s="4689" t="e">
        <f>SUM(I22:I23)</f>
        <v>#REF!</v>
      </c>
      <c r="J24" s="4689"/>
      <c r="K24" s="4689"/>
      <c r="L24" s="1636"/>
      <c r="M24" s="1636"/>
      <c r="N24" s="1636"/>
      <c r="O24" s="1636"/>
      <c r="P24" s="1636"/>
      <c r="Q24" s="1636"/>
      <c r="R24" s="1636"/>
    </row>
    <row r="25" ht="13.8" spans="2:18">
      <c r="B25" s="4683" t="s">
        <v>304</v>
      </c>
      <c r="C25" s="4684"/>
      <c r="D25" s="4684"/>
      <c r="E25" s="4684"/>
      <c r="F25" s="4684"/>
      <c r="G25" s="4684"/>
      <c r="H25" s="4689" t="e">
        <f>+H24+H19+H14</f>
        <v>#REF!</v>
      </c>
      <c r="I25" s="4689" t="e">
        <f>+I24+I19+I14</f>
        <v>#REF!</v>
      </c>
      <c r="J25" s="4689"/>
      <c r="K25" s="4689"/>
      <c r="L25" s="1636"/>
      <c r="M25" s="1636"/>
      <c r="N25" s="1636"/>
      <c r="O25" s="1636"/>
      <c r="P25" s="1636"/>
      <c r="Q25" s="1636"/>
      <c r="R25" s="1636"/>
    </row>
    <row r="26" ht="13.8" spans="2:18">
      <c r="B26" s="4691"/>
      <c r="C26" s="4693"/>
      <c r="D26" s="4693"/>
      <c r="E26" s="4693"/>
      <c r="F26" s="4693"/>
      <c r="G26" s="4693"/>
      <c r="H26" s="4689"/>
      <c r="I26" s="4689"/>
      <c r="J26" s="4703"/>
      <c r="K26" s="4703"/>
      <c r="L26" s="1636"/>
      <c r="M26" s="1636"/>
      <c r="N26" s="1636"/>
      <c r="O26" s="1636"/>
      <c r="P26" s="1636"/>
      <c r="Q26" s="1636"/>
      <c r="R26" s="1636"/>
    </row>
    <row r="27" ht="13.8" spans="2:18">
      <c r="B27" s="4683" t="s">
        <v>305</v>
      </c>
      <c r="C27" s="4684"/>
      <c r="D27" s="4684"/>
      <c r="E27" s="4684"/>
      <c r="F27" s="4684"/>
      <c r="G27" s="4684"/>
      <c r="H27" s="4689"/>
      <c r="I27" s="4689"/>
      <c r="J27" s="4703"/>
      <c r="K27" s="4703"/>
      <c r="L27" s="1636"/>
      <c r="M27" s="1636"/>
      <c r="N27" s="1636"/>
      <c r="O27" s="1636"/>
      <c r="P27" s="1636"/>
      <c r="Q27" s="1636"/>
      <c r="R27" s="1636"/>
    </row>
    <row r="28" ht="13.8" spans="2:18">
      <c r="B28" s="4683" t="s">
        <v>306</v>
      </c>
      <c r="C28" s="4684"/>
      <c r="D28" s="4684"/>
      <c r="E28" s="4684"/>
      <c r="F28" s="4684"/>
      <c r="G28" s="4684"/>
      <c r="H28" s="4689"/>
      <c r="I28" s="4689"/>
      <c r="J28" s="4703"/>
      <c r="K28" s="4703"/>
      <c r="L28" s="1636"/>
      <c r="M28" s="1636"/>
      <c r="N28" s="1636"/>
      <c r="O28" s="1636"/>
      <c r="P28" s="1636"/>
      <c r="Q28" s="1636"/>
      <c r="R28" s="1636"/>
    </row>
    <row r="29" ht="13.8" spans="2:18">
      <c r="B29" s="4686" t="str">
        <f>'F2'!C15</f>
        <v>Utang bank - jangka pendek</v>
      </c>
      <c r="C29" s="4687"/>
      <c r="D29" s="4687"/>
      <c r="E29" s="4687"/>
      <c r="F29" s="4687"/>
      <c r="G29" s="4687"/>
      <c r="H29" s="4688">
        <f>'F2'!Q15</f>
        <v>11058670775</v>
      </c>
      <c r="I29" s="4688">
        <f>'F2'!R15</f>
        <v>12071190032.16</v>
      </c>
      <c r="J29" s="4688">
        <f t="shared" ref="J29:J35" si="2">IF($H29-$I29&lt;0,0,$H29-$I29)</f>
        <v>0</v>
      </c>
      <c r="K29" s="4688">
        <f t="shared" ref="K29:K35" si="3">IF($H29-$I29&lt;0,$I29-$H29,0)</f>
        <v>1012519257.16</v>
      </c>
      <c r="L29" s="1636"/>
      <c r="M29" s="1636"/>
      <c r="N29" s="1636"/>
      <c r="O29" s="1636"/>
      <c r="P29" s="1636"/>
      <c r="Q29" s="1636"/>
      <c r="R29" s="1636"/>
    </row>
    <row r="30" ht="13.8" spans="2:18">
      <c r="B30" s="4686" t="str">
        <f>'F2'!C16</f>
        <v>Utang usaha</v>
      </c>
      <c r="C30" s="4687"/>
      <c r="D30" s="4687"/>
      <c r="E30" s="4687"/>
      <c r="F30" s="4687"/>
      <c r="G30" s="4687"/>
      <c r="H30" s="4688">
        <f>'F2'!Q16</f>
        <v>869165810</v>
      </c>
      <c r="I30" s="4688">
        <f>'F2'!R16</f>
        <v>1840865220</v>
      </c>
      <c r="J30" s="4688">
        <f t="shared" si="2"/>
        <v>0</v>
      </c>
      <c r="K30" s="4688">
        <f t="shared" si="3"/>
        <v>971699410</v>
      </c>
      <c r="L30" s="1636"/>
      <c r="M30" s="1636"/>
      <c r="N30" s="1636"/>
      <c r="O30" s="1636"/>
      <c r="P30" s="1636"/>
      <c r="Q30" s="1636"/>
      <c r="R30" s="1636"/>
    </row>
    <row r="31" ht="13.8" spans="2:18">
      <c r="B31" s="4686" t="str">
        <f>'F2'!C17</f>
        <v>Utang lain-lain</v>
      </c>
      <c r="C31" s="4687"/>
      <c r="D31" s="4687"/>
      <c r="E31" s="4687"/>
      <c r="F31" s="4687"/>
      <c r="G31" s="4687"/>
      <c r="H31" s="4688">
        <f>'F2'!Q17</f>
        <v>2145000000</v>
      </c>
      <c r="I31" s="4688">
        <f>'F2'!R17</f>
        <v>2989000000</v>
      </c>
      <c r="J31" s="4688">
        <f t="shared" si="2"/>
        <v>0</v>
      </c>
      <c r="K31" s="4688">
        <f t="shared" si="3"/>
        <v>844000000</v>
      </c>
      <c r="L31" s="1636"/>
      <c r="M31" s="1636"/>
      <c r="N31" s="1636"/>
      <c r="O31" s="1636"/>
      <c r="P31" s="1636"/>
      <c r="Q31" s="1636"/>
      <c r="R31" s="1636"/>
    </row>
    <row r="32" ht="13.8" spans="2:18">
      <c r="B32" s="4686" t="str">
        <f>'F2'!C18</f>
        <v>Utang pajak</v>
      </c>
      <c r="C32" s="4687"/>
      <c r="D32" s="4687"/>
      <c r="E32" s="4687"/>
      <c r="F32" s="4687"/>
      <c r="G32" s="4687"/>
      <c r="H32" s="4688">
        <f>'F2'!Q18</f>
        <v>129053445.732503</v>
      </c>
      <c r="I32" s="4688">
        <f>'F2'!R18</f>
        <v>143432000.25221</v>
      </c>
      <c r="J32" s="4688">
        <f t="shared" si="2"/>
        <v>0</v>
      </c>
      <c r="K32" s="4688">
        <f t="shared" si="3"/>
        <v>14378554.5197069</v>
      </c>
      <c r="L32" s="1636"/>
      <c r="M32" s="1636"/>
      <c r="N32" s="1636"/>
      <c r="O32" s="1636"/>
      <c r="P32" s="1636"/>
      <c r="Q32" s="1636"/>
      <c r="R32" s="1636"/>
    </row>
    <row r="33" ht="13.8" spans="2:18">
      <c r="B33" s="4686" t="str">
        <f>'F2'!C19</f>
        <v>Biaya yang masih harus dibayar</v>
      </c>
      <c r="C33" s="4687"/>
      <c r="D33" s="4687"/>
      <c r="E33" s="4687"/>
      <c r="F33" s="4687"/>
      <c r="G33" s="4687"/>
      <c r="H33" s="4688">
        <f>'F2'!Q19</f>
        <v>0</v>
      </c>
      <c r="I33" s="4688">
        <f>'F2'!R19</f>
        <v>0</v>
      </c>
      <c r="J33" s="4688">
        <f t="shared" si="2"/>
        <v>0</v>
      </c>
      <c r="K33" s="4688">
        <f t="shared" si="3"/>
        <v>0</v>
      </c>
      <c r="L33" s="1636"/>
      <c r="M33" s="1636"/>
      <c r="N33" s="1636"/>
      <c r="O33" s="1636"/>
      <c r="P33" s="1636"/>
      <c r="Q33" s="1636"/>
      <c r="R33" s="1636"/>
    </row>
    <row r="34" ht="13.8" spans="2:18">
      <c r="B34" s="4686" t="str">
        <f>'F2'!C20</f>
        <v>Uang Muka Penjualan</v>
      </c>
      <c r="C34" s="4687"/>
      <c r="D34" s="4687"/>
      <c r="E34" s="4687"/>
      <c r="F34" s="4687"/>
      <c r="G34" s="4687"/>
      <c r="H34" s="4688">
        <f>'F2'!Q20</f>
        <v>0</v>
      </c>
      <c r="I34" s="4688">
        <f>'F2'!R20</f>
        <v>0</v>
      </c>
      <c r="J34" s="4688">
        <f t="shared" si="2"/>
        <v>0</v>
      </c>
      <c r="K34" s="4688">
        <f t="shared" si="3"/>
        <v>0</v>
      </c>
      <c r="L34" s="1636"/>
      <c r="M34" s="1636"/>
      <c r="N34" s="1636"/>
      <c r="O34" s="1636"/>
      <c r="P34" s="1636"/>
      <c r="Q34" s="1636"/>
      <c r="R34" s="1636"/>
    </row>
    <row r="35" ht="13.8" spans="2:18">
      <c r="B35" s="4686" t="str">
        <f>'F2'!C21</f>
        <v>Utang pembiayaan jangka pendek</v>
      </c>
      <c r="C35" s="4687"/>
      <c r="D35" s="4687"/>
      <c r="E35" s="4687"/>
      <c r="F35" s="4687"/>
      <c r="G35" s="4687"/>
      <c r="H35" s="4688">
        <f>'F2'!Q21</f>
        <v>778392444</v>
      </c>
      <c r="I35" s="4688">
        <f>'F2'!R21</f>
        <v>1186161720.57996</v>
      </c>
      <c r="J35" s="4688">
        <f t="shared" si="2"/>
        <v>0</v>
      </c>
      <c r="K35" s="4688">
        <f t="shared" si="3"/>
        <v>407769276.579963</v>
      </c>
      <c r="L35" s="1636"/>
      <c r="M35" s="1636"/>
      <c r="N35" s="1636"/>
      <c r="O35" s="1636"/>
      <c r="P35" s="1636"/>
      <c r="Q35" s="1636"/>
      <c r="R35" s="1636"/>
    </row>
    <row r="36" ht="13.8" spans="2:18">
      <c r="B36" s="4686"/>
      <c r="C36" s="4687"/>
      <c r="D36" s="4687"/>
      <c r="E36" s="4687"/>
      <c r="F36" s="4687"/>
      <c r="G36" s="4687"/>
      <c r="H36" s="4688"/>
      <c r="I36" s="4688"/>
      <c r="J36" s="4688"/>
      <c r="K36" s="4688"/>
      <c r="L36" s="1636"/>
      <c r="M36" s="1636"/>
      <c r="N36" s="1636"/>
      <c r="O36" s="1636"/>
      <c r="P36" s="1636"/>
      <c r="Q36" s="1636"/>
      <c r="R36" s="1636"/>
    </row>
    <row r="37" ht="13.8" spans="2:18">
      <c r="B37" s="4683"/>
      <c r="C37" s="4684" t="s">
        <v>307</v>
      </c>
      <c r="D37" s="4684"/>
      <c r="E37" s="4684"/>
      <c r="F37" s="4684"/>
      <c r="G37" s="4684"/>
      <c r="H37" s="4689">
        <f>SUM(H29:H36)</f>
        <v>14980282474.7325</v>
      </c>
      <c r="I37" s="4689">
        <f>SUM(I29:I36)</f>
        <v>18230648972.9922</v>
      </c>
      <c r="J37" s="4689"/>
      <c r="K37" s="4689"/>
      <c r="L37" s="1636"/>
      <c r="M37" s="1636"/>
      <c r="N37" s="1636"/>
      <c r="O37" s="1636"/>
      <c r="P37" s="1636"/>
      <c r="Q37" s="1636"/>
      <c r="R37" s="1636"/>
    </row>
    <row r="38" ht="13.8" spans="2:18">
      <c r="B38" s="4683" t="s">
        <v>308</v>
      </c>
      <c r="C38" s="4684"/>
      <c r="D38" s="4684"/>
      <c r="E38" s="4684"/>
      <c r="F38" s="4684"/>
      <c r="G38" s="4684"/>
      <c r="H38" s="4689"/>
      <c r="I38" s="4689"/>
      <c r="J38" s="4703"/>
      <c r="K38" s="4703"/>
      <c r="L38" s="1636"/>
      <c r="M38" s="1636"/>
      <c r="N38" s="1636"/>
      <c r="O38" s="1636"/>
      <c r="P38" s="1636"/>
      <c r="Q38" s="1636"/>
      <c r="R38" s="1636"/>
    </row>
    <row r="39" ht="13.8" spans="2:18">
      <c r="B39" s="4686" t="str">
        <f>'F2'!C27</f>
        <v>Utang bank - jangka panjang</v>
      </c>
      <c r="C39" s="4687"/>
      <c r="D39" s="4687"/>
      <c r="E39" s="4687"/>
      <c r="F39" s="4687"/>
      <c r="G39" s="4687"/>
      <c r="H39" s="4688">
        <f>'F2'!Q27</f>
        <v>8697841150</v>
      </c>
      <c r="I39" s="4688">
        <f>'F2'!R27</f>
        <v>10160488508.84</v>
      </c>
      <c r="J39" s="4688">
        <f>IF($H39-$I39&lt;0,0,$H39-$I39)</f>
        <v>0</v>
      </c>
      <c r="K39" s="4688">
        <f>IF($H39-$I39&lt;0,$I39-$H39,0)</f>
        <v>1462647358.84</v>
      </c>
      <c r="L39" s="1636"/>
      <c r="M39" s="1636"/>
      <c r="N39" s="1636"/>
      <c r="O39" s="1636"/>
      <c r="P39" s="1636"/>
      <c r="Q39" s="1636"/>
      <c r="R39" s="1636"/>
    </row>
    <row r="40" ht="13.8" spans="2:18">
      <c r="B40" s="4686" t="str">
        <f>'F2'!C28</f>
        <v>Utang pembiayaan - jangka panjang</v>
      </c>
      <c r="C40" s="4687"/>
      <c r="D40" s="4687"/>
      <c r="E40" s="4687"/>
      <c r="F40" s="4687"/>
      <c r="G40" s="4687"/>
      <c r="H40" s="4688">
        <f>'F2'!Q28</f>
        <v>423925049</v>
      </c>
      <c r="I40" s="4688">
        <f>'F2'!R28</f>
        <v>1202317492.9388</v>
      </c>
      <c r="J40" s="4688">
        <f>IF($H40-$I40&lt;0,0,$H40-$I40)</f>
        <v>0</v>
      </c>
      <c r="K40" s="4688">
        <f>IF($H40-$I40&lt;0,$I40-$H40,0)</f>
        <v>778392443.938801</v>
      </c>
      <c r="L40" s="1636"/>
      <c r="M40" s="1636"/>
      <c r="N40" s="1636"/>
      <c r="O40" s="1636"/>
      <c r="P40" s="1636"/>
      <c r="Q40" s="1636"/>
      <c r="R40" s="1636"/>
    </row>
    <row r="41" ht="13.8" spans="2:18">
      <c r="B41" s="4686" t="str">
        <f>'F2'!C30</f>
        <v>Utang lain-lain</v>
      </c>
      <c r="C41" s="4687"/>
      <c r="D41" s="4687"/>
      <c r="E41" s="4687"/>
      <c r="F41" s="4687"/>
      <c r="G41" s="4687"/>
      <c r="H41" s="4688">
        <f>'F2'!Q30</f>
        <v>20768109400.0357</v>
      </c>
      <c r="I41" s="4688">
        <f>'F2'!R30</f>
        <v>22238067642.9259</v>
      </c>
      <c r="J41" s="4688">
        <f>IF($H41-$I41&lt;0,0,$H41-$I41)</f>
        <v>0</v>
      </c>
      <c r="K41" s="4688">
        <f>IF($H41-$I41&lt;0,$I41-$H41,0)</f>
        <v>1469958242.8902</v>
      </c>
      <c r="L41" s="1636"/>
      <c r="M41" s="1636"/>
      <c r="N41" s="1636"/>
      <c r="O41" s="1636"/>
      <c r="P41" s="1636"/>
      <c r="Q41" s="1636"/>
      <c r="R41" s="1636"/>
    </row>
    <row r="42" ht="13.8" spans="2:18">
      <c r="B42" s="4686" t="str">
        <f>'F2'!C29</f>
        <v>Utang pihak berelasi</v>
      </c>
      <c r="C42" s="4687"/>
      <c r="D42" s="4687"/>
      <c r="E42" s="4687"/>
      <c r="F42" s="4687"/>
      <c r="G42" s="4687"/>
      <c r="H42" s="4688">
        <f>'F2'!Q29</f>
        <v>0</v>
      </c>
      <c r="I42" s="4688">
        <f>'F2'!R29</f>
        <v>0</v>
      </c>
      <c r="J42" s="4688">
        <f>IF($H42-$I42&lt;0,0,$H42-$I42)</f>
        <v>0</v>
      </c>
      <c r="K42" s="4688">
        <f>IF($H42-$I42&lt;0,$I42-$H42,0)</f>
        <v>0</v>
      </c>
      <c r="L42" s="1636"/>
      <c r="M42" s="1636"/>
      <c r="N42" s="1636"/>
      <c r="O42" s="1636"/>
      <c r="P42" s="1636"/>
      <c r="Q42" s="1636"/>
      <c r="R42" s="1636"/>
    </row>
    <row r="43" ht="13.8" spans="2:18">
      <c r="B43" s="4686">
        <f>'F2'!C32</f>
        <v>0</v>
      </c>
      <c r="C43" s="4687"/>
      <c r="D43" s="4687"/>
      <c r="E43" s="4687"/>
      <c r="F43" s="4687"/>
      <c r="G43" s="4687"/>
      <c r="H43" s="4688"/>
      <c r="I43" s="4688"/>
      <c r="J43" s="4688"/>
      <c r="K43" s="4688"/>
      <c r="L43" s="1636"/>
      <c r="M43" s="1636"/>
      <c r="N43" s="1636"/>
      <c r="O43" s="1636"/>
      <c r="P43" s="1636"/>
      <c r="Q43" s="1636"/>
      <c r="R43" s="1636"/>
    </row>
    <row r="44" ht="13.8" spans="2:18">
      <c r="B44" s="4683"/>
      <c r="C44" s="4684" t="s">
        <v>309</v>
      </c>
      <c r="D44" s="4684"/>
      <c r="E44" s="4684"/>
      <c r="F44" s="4684"/>
      <c r="G44" s="4684"/>
      <c r="H44" s="4689">
        <f>SUM(H39:H43)</f>
        <v>29889875599.0357</v>
      </c>
      <c r="I44" s="4689">
        <f>SUM(I39:I43)</f>
        <v>33600873644.7047</v>
      </c>
      <c r="J44" s="4689"/>
      <c r="K44" s="4689">
        <f>SUM(K39:K43)</f>
        <v>3710998045.669</v>
      </c>
      <c r="L44" s="1636"/>
      <c r="M44" s="1636"/>
      <c r="N44" s="1636"/>
      <c r="O44" s="1636"/>
      <c r="P44" s="1636"/>
      <c r="Q44" s="1636"/>
      <c r="R44" s="1636"/>
    </row>
    <row r="45" ht="13.8" spans="2:18">
      <c r="B45" s="4683" t="s">
        <v>310</v>
      </c>
      <c r="C45" s="4684"/>
      <c r="D45" s="4684"/>
      <c r="E45" s="4684"/>
      <c r="F45" s="4684"/>
      <c r="G45" s="4684"/>
      <c r="H45" s="4689"/>
      <c r="I45" s="4689"/>
      <c r="J45" s="4703"/>
      <c r="K45" s="4703"/>
      <c r="L45" s="1636"/>
      <c r="M45" s="1636"/>
      <c r="N45" s="1636"/>
      <c r="O45" s="1636"/>
      <c r="P45" s="1636"/>
      <c r="Q45" s="1636"/>
      <c r="R45" s="1636"/>
    </row>
    <row r="46" ht="13.8" spans="2:18">
      <c r="B46" s="4686" t="str">
        <f>'F2'!C39</f>
        <v>Modal disetor</v>
      </c>
      <c r="C46" s="4687"/>
      <c r="D46" s="4687"/>
      <c r="E46" s="4687"/>
      <c r="F46" s="4687"/>
      <c r="G46" s="4687"/>
      <c r="H46" s="4688" t="e">
        <f>I46</f>
        <v>#REF!</v>
      </c>
      <c r="I46" s="4688" t="e">
        <f>#REF!</f>
        <v>#REF!</v>
      </c>
      <c r="J46" s="4688" t="e">
        <f>IF($H46-$I46&lt;0,0,$H46-$I46)</f>
        <v>#REF!</v>
      </c>
      <c r="K46" s="4688" t="e">
        <f>IF($H46-$I46&lt;0,$I46-$H46,0)</f>
        <v>#REF!</v>
      </c>
      <c r="L46" s="1636"/>
      <c r="M46" s="1636"/>
      <c r="N46" s="1636"/>
      <c r="O46" s="1636"/>
      <c r="P46" s="1636"/>
      <c r="Q46" s="1636"/>
      <c r="R46" s="1636"/>
    </row>
    <row r="47" ht="13.8" spans="2:18">
      <c r="B47" s="4686" t="str">
        <f>'F2'!C41</f>
        <v>Tambahan modal disetor - pengampunan pajak</v>
      </c>
      <c r="C47" s="4687"/>
      <c r="D47" s="4687"/>
      <c r="E47" s="4687"/>
      <c r="F47" s="4687"/>
      <c r="G47" s="4687"/>
      <c r="H47" s="4688">
        <f>'F2'!Q41</f>
        <v>0</v>
      </c>
      <c r="I47" s="4688">
        <f>'F2'!R41</f>
        <v>0</v>
      </c>
      <c r="J47" s="4688">
        <f>IF($H47-$I47&lt;0,0,$H47-$I47)</f>
        <v>0</v>
      </c>
      <c r="K47" s="4688">
        <f>IF($H47-$I47&lt;0,$I47-$H47,0)</f>
        <v>0</v>
      </c>
      <c r="L47" s="1636"/>
      <c r="M47" s="1636"/>
      <c r="N47" s="1636"/>
      <c r="O47" s="1636"/>
      <c r="P47" s="1636"/>
      <c r="Q47" s="1636"/>
      <c r="R47" s="1636"/>
    </row>
    <row r="48" ht="13.8" spans="2:18">
      <c r="B48" s="4686" t="s">
        <v>311</v>
      </c>
      <c r="C48" s="4687"/>
      <c r="D48" s="4687"/>
      <c r="E48" s="4687"/>
      <c r="F48" s="4687"/>
      <c r="G48" s="4687"/>
      <c r="H48" s="4688">
        <f>SUM('F2'!Q42:Q45)</f>
        <v>10100743261.0142</v>
      </c>
      <c r="I48" s="4688">
        <f>SUM('F2'!R42:R45)</f>
        <v>9865490344.76497</v>
      </c>
      <c r="J48" s="4688">
        <f>IF($H48-$I48&lt;0,0,$H48-$I48)</f>
        <v>235252916.249275</v>
      </c>
      <c r="K48" s="4688">
        <f>IF($H48-$I48&lt;0,$I48-$H48,0)</f>
        <v>0</v>
      </c>
      <c r="L48" s="1636"/>
      <c r="M48" s="1636"/>
      <c r="N48" s="1636"/>
      <c r="O48" s="1636"/>
      <c r="P48" s="1636"/>
      <c r="Q48" s="1636"/>
      <c r="R48" s="1636"/>
    </row>
    <row r="49" ht="13.8" spans="2:18">
      <c r="B49" s="4683"/>
      <c r="C49" s="4684" t="s">
        <v>312</v>
      </c>
      <c r="D49" s="4684"/>
      <c r="E49" s="4684"/>
      <c r="F49" s="4684"/>
      <c r="G49" s="4684"/>
      <c r="H49" s="4689" t="e">
        <f>SUM(H46:H48)</f>
        <v>#REF!</v>
      </c>
      <c r="I49" s="4689" t="e">
        <f>SUM(I46:I48)</f>
        <v>#REF!</v>
      </c>
      <c r="J49" s="4703"/>
      <c r="K49" s="4703"/>
      <c r="L49" s="1636"/>
      <c r="M49" s="1636"/>
      <c r="N49" s="1636"/>
      <c r="O49" s="1636"/>
      <c r="P49" s="1636"/>
      <c r="Q49" s="1636"/>
      <c r="R49" s="1636"/>
    </row>
    <row r="50" ht="13.8" spans="2:18">
      <c r="B50" s="4694" t="s">
        <v>313</v>
      </c>
      <c r="C50" s="4692"/>
      <c r="D50" s="4692"/>
      <c r="E50" s="4692"/>
      <c r="F50" s="4692"/>
      <c r="G50" s="4692"/>
      <c r="H50" s="4689" t="e">
        <f>+H49+H44+H37</f>
        <v>#REF!</v>
      </c>
      <c r="I50" s="4689" t="e">
        <f>+I49+I44+I37</f>
        <v>#REF!</v>
      </c>
      <c r="J50" s="4705" t="e">
        <f>SUM(J6:J49)</f>
        <v>#REF!</v>
      </c>
      <c r="K50" s="4705" t="e">
        <f>SUM(K6:K49)</f>
        <v>#REF!</v>
      </c>
      <c r="L50" s="1636"/>
      <c r="M50" s="1636"/>
      <c r="N50" s="1636"/>
      <c r="O50" s="1636"/>
      <c r="P50" s="1636"/>
      <c r="Q50" s="1636"/>
      <c r="R50" s="1636"/>
    </row>
    <row r="51" ht="13.8" spans="2:18">
      <c r="B51" s="1636"/>
      <c r="C51" s="1636"/>
      <c r="D51" s="1636"/>
      <c r="E51" s="1636"/>
      <c r="F51" s="1636"/>
      <c r="G51" s="1636"/>
      <c r="H51" s="4695" t="e">
        <f>H25-H50</f>
        <v>#REF!</v>
      </c>
      <c r="I51" s="4695" t="e">
        <f>I25-I50</f>
        <v>#REF!</v>
      </c>
      <c r="J51" s="4706" t="e">
        <f>J25-J50</f>
        <v>#REF!</v>
      </c>
      <c r="K51" s="4706"/>
      <c r="L51" s="1636"/>
      <c r="M51" s="1636"/>
      <c r="N51" s="1636"/>
      <c r="O51" s="1636"/>
      <c r="P51" s="1636"/>
      <c r="Q51" s="1636"/>
      <c r="R51" s="1636"/>
    </row>
    <row r="52" ht="13.8" spans="2:18">
      <c r="B52" s="1636"/>
      <c r="C52" s="4686"/>
      <c r="D52" s="4684" t="s">
        <v>314</v>
      </c>
      <c r="E52" s="4684"/>
      <c r="F52" s="4684"/>
      <c r="G52" s="4684"/>
      <c r="H52" s="4696"/>
      <c r="I52" s="4684" t="s">
        <v>315</v>
      </c>
      <c r="J52" s="4687"/>
      <c r="K52" s="4700"/>
      <c r="L52" s="4707"/>
      <c r="M52" s="1636"/>
      <c r="N52" s="1636"/>
      <c r="O52" s="1636"/>
      <c r="P52" s="1636"/>
      <c r="Q52" s="1636"/>
      <c r="R52" s="1636"/>
    </row>
    <row r="53" ht="13.8" spans="2:18">
      <c r="B53" s="1636"/>
      <c r="C53" s="4697"/>
      <c r="D53" s="4681" t="s">
        <v>316</v>
      </c>
      <c r="E53" s="4698"/>
      <c r="F53" s="4698"/>
      <c r="G53" s="4698"/>
      <c r="H53" s="4699"/>
      <c r="I53" s="4708"/>
      <c r="J53" s="4708"/>
      <c r="K53" s="4709"/>
      <c r="L53" s="4707"/>
      <c r="M53" s="1636"/>
      <c r="N53" s="1636"/>
      <c r="O53" s="1636"/>
      <c r="P53" s="1636"/>
      <c r="Q53" s="1636"/>
      <c r="R53" s="1636"/>
    </row>
    <row r="54" ht="13.8" spans="2:18">
      <c r="B54" s="1636"/>
      <c r="C54" s="4686"/>
      <c r="D54" s="4687" t="s">
        <v>317</v>
      </c>
      <c r="E54" s="4687"/>
      <c r="F54" s="4700"/>
      <c r="G54" s="4700"/>
      <c r="H54" s="4699" t="e">
        <f>SUM(#REF!)</f>
        <v>#REF!</v>
      </c>
      <c r="I54" s="4686" t="s">
        <v>318</v>
      </c>
      <c r="J54" s="4700"/>
      <c r="K54" s="4710">
        <v>0</v>
      </c>
      <c r="L54" s="4711"/>
      <c r="M54" s="1636"/>
      <c r="N54" s="1636"/>
      <c r="O54" s="1636"/>
      <c r="P54" s="1636"/>
      <c r="Q54" s="1636"/>
      <c r="R54" s="1636"/>
    </row>
    <row r="55" ht="13.8" spans="2:18">
      <c r="B55" s="1636"/>
      <c r="C55" s="4686"/>
      <c r="D55" s="4687" t="s">
        <v>319</v>
      </c>
      <c r="E55" s="4687"/>
      <c r="F55" s="4700"/>
      <c r="G55" s="4700"/>
      <c r="H55" s="4699" t="e">
        <f>-#REF!</f>
        <v>#REF!</v>
      </c>
      <c r="I55" s="4686" t="s">
        <v>320</v>
      </c>
      <c r="J55" s="4700"/>
      <c r="K55" s="4710" t="e">
        <f>600000-J17-250000</f>
        <v>#REF!</v>
      </c>
      <c r="L55" s="4711"/>
      <c r="M55" s="1636"/>
      <c r="N55" s="1636"/>
      <c r="O55" s="1636"/>
      <c r="P55" s="1636"/>
      <c r="Q55" s="1636"/>
      <c r="R55" s="1636"/>
    </row>
    <row r="56" ht="13.8" spans="2:18">
      <c r="B56" s="1636"/>
      <c r="C56" s="4686"/>
      <c r="D56" s="4687" t="s">
        <v>321</v>
      </c>
      <c r="E56" s="4687"/>
      <c r="F56" s="4700"/>
      <c r="G56" s="4700"/>
      <c r="H56" s="4699" t="e">
        <f>+J46</f>
        <v>#REF!</v>
      </c>
      <c r="I56" s="4686" t="s">
        <v>322</v>
      </c>
      <c r="J56" s="4700"/>
      <c r="K56" s="4710" t="e">
        <f>+K22</f>
        <v>#REF!</v>
      </c>
      <c r="L56" s="4711"/>
      <c r="M56" s="1636"/>
      <c r="N56" s="1636"/>
      <c r="O56" s="1636"/>
      <c r="P56" s="1636"/>
      <c r="Q56" s="1636"/>
      <c r="R56" s="1636"/>
    </row>
    <row r="57" ht="13.8" spans="2:18">
      <c r="B57" s="1636"/>
      <c r="C57" s="4686"/>
      <c r="D57" s="4687" t="s">
        <v>323</v>
      </c>
      <c r="E57" s="4687"/>
      <c r="F57" s="4700"/>
      <c r="G57" s="4700"/>
      <c r="H57" s="4699" t="e">
        <f>+J18</f>
        <v>#REF!</v>
      </c>
      <c r="I57" s="4686"/>
      <c r="J57" s="4700"/>
      <c r="K57" s="4703"/>
      <c r="L57" s="4707"/>
      <c r="M57" s="1636"/>
      <c r="N57" s="1636"/>
      <c r="O57" s="1636"/>
      <c r="P57" s="1636"/>
      <c r="Q57" s="1636"/>
      <c r="R57" s="1636"/>
    </row>
    <row r="58" ht="13.8" spans="2:18">
      <c r="B58" s="1636"/>
      <c r="C58" s="4686"/>
      <c r="D58" s="4687"/>
      <c r="E58" s="4687"/>
      <c r="F58" s="4700"/>
      <c r="G58" s="4700"/>
      <c r="H58" s="4701" t="e">
        <f>SUM(H54:H57)</f>
        <v>#REF!</v>
      </c>
      <c r="I58" s="4707"/>
      <c r="J58" s="4707"/>
      <c r="K58" s="4712" t="e">
        <f>SUM(K54:K57)</f>
        <v>#REF!</v>
      </c>
      <c r="L58" s="4707"/>
      <c r="M58" s="1636"/>
      <c r="N58" s="1636"/>
      <c r="O58" s="1636"/>
      <c r="P58" s="1636"/>
      <c r="Q58" s="1636"/>
      <c r="R58" s="1636"/>
    </row>
    <row r="59" ht="13.8" spans="2:18">
      <c r="B59" s="1636"/>
      <c r="C59" s="4686"/>
      <c r="D59" s="4687" t="s">
        <v>324</v>
      </c>
      <c r="E59" s="4687"/>
      <c r="F59" s="4700"/>
      <c r="G59" s="4700"/>
      <c r="H59" s="4699">
        <f>+J7</f>
        <v>0</v>
      </c>
      <c r="I59" s="4686" t="s">
        <v>325</v>
      </c>
      <c r="J59" s="4700"/>
      <c r="K59" s="4710">
        <f>+K8</f>
        <v>687681814.67</v>
      </c>
      <c r="L59" s="4711"/>
      <c r="M59" s="1636"/>
      <c r="N59" s="1636"/>
      <c r="O59" s="1636"/>
      <c r="P59" s="1636"/>
      <c r="Q59" s="1636"/>
      <c r="R59" s="1636"/>
    </row>
    <row r="60" ht="13.8" spans="2:18">
      <c r="B60" s="1636"/>
      <c r="C60" s="4686"/>
      <c r="D60" s="4687" t="s">
        <v>326</v>
      </c>
      <c r="E60" s="4687"/>
      <c r="F60" s="4700"/>
      <c r="G60" s="4700"/>
      <c r="H60" s="4699">
        <f>+J10</f>
        <v>4799400.00000001</v>
      </c>
      <c r="I60" s="4686" t="s">
        <v>327</v>
      </c>
      <c r="J60" s="4700"/>
      <c r="K60" s="4710">
        <f>+K9</f>
        <v>0</v>
      </c>
      <c r="L60" s="4711"/>
      <c r="M60" s="1636"/>
      <c r="N60" s="1636"/>
      <c r="O60" s="1636"/>
      <c r="P60" s="1636"/>
      <c r="Q60" s="1636"/>
      <c r="R60" s="1636"/>
    </row>
    <row r="61" ht="13.8" spans="2:18">
      <c r="B61" s="1636"/>
      <c r="C61" s="4686"/>
      <c r="D61" s="4687" t="s">
        <v>328</v>
      </c>
      <c r="E61" s="4687"/>
      <c r="F61" s="4700"/>
      <c r="G61" s="4700"/>
      <c r="H61" s="4699">
        <f>+J29</f>
        <v>0</v>
      </c>
      <c r="I61" s="4686" t="s">
        <v>329</v>
      </c>
      <c r="J61" s="4700"/>
      <c r="K61" s="4710">
        <f>+K30</f>
        <v>971699410</v>
      </c>
      <c r="L61" s="4711"/>
      <c r="M61" s="1636"/>
      <c r="N61" s="1636"/>
      <c r="O61" s="1636"/>
      <c r="P61" s="1636"/>
      <c r="Q61" s="1636"/>
      <c r="R61" s="1636"/>
    </row>
    <row r="62" ht="13.8" spans="2:18">
      <c r="B62" s="1636"/>
      <c r="C62" s="4686"/>
      <c r="D62" s="4687" t="s">
        <v>330</v>
      </c>
      <c r="E62" s="4687"/>
      <c r="F62" s="4700"/>
      <c r="G62" s="4700"/>
      <c r="H62" s="4699">
        <v>0</v>
      </c>
      <c r="I62" s="4686" t="s">
        <v>331</v>
      </c>
      <c r="J62" s="4700"/>
      <c r="K62" s="4710">
        <f>+K31</f>
        <v>844000000</v>
      </c>
      <c r="L62" s="4711"/>
      <c r="M62" s="1636"/>
      <c r="N62" s="1636"/>
      <c r="O62" s="1636"/>
      <c r="P62" s="1636"/>
      <c r="Q62" s="1636"/>
      <c r="R62" s="1636"/>
    </row>
    <row r="63" ht="13.8" spans="2:18">
      <c r="B63" s="1636"/>
      <c r="C63" s="4686"/>
      <c r="D63" s="4687" t="s">
        <v>332</v>
      </c>
      <c r="E63" s="4687"/>
      <c r="F63" s="4700"/>
      <c r="G63" s="4700"/>
      <c r="H63" s="4699" t="e">
        <f>+#REF!</f>
        <v>#REF!</v>
      </c>
      <c r="I63" s="4686" t="s">
        <v>333</v>
      </c>
      <c r="J63" s="4700"/>
      <c r="K63" s="4710">
        <f>+K39</f>
        <v>1462647358.84</v>
      </c>
      <c r="L63" s="4711"/>
      <c r="M63" s="1636"/>
      <c r="N63" s="1636"/>
      <c r="O63" s="1636"/>
      <c r="P63" s="1636"/>
      <c r="Q63" s="1636"/>
      <c r="R63" s="1636"/>
    </row>
    <row r="64" ht="13.8" spans="2:18">
      <c r="B64" s="1636"/>
      <c r="C64" s="4686"/>
      <c r="D64" s="4687" t="s">
        <v>334</v>
      </c>
      <c r="E64" s="4687"/>
      <c r="F64" s="4700"/>
      <c r="G64" s="4700"/>
      <c r="H64" s="4699">
        <f>+J6</f>
        <v>454414286.92</v>
      </c>
      <c r="I64" s="4686"/>
      <c r="J64" s="4700"/>
      <c r="K64" s="4713"/>
      <c r="L64" s="4707"/>
      <c r="M64" s="1636"/>
      <c r="N64" s="1636"/>
      <c r="O64" s="1636"/>
      <c r="P64" s="1636"/>
      <c r="Q64" s="1636"/>
      <c r="R64" s="1636"/>
    </row>
    <row r="65" ht="13.8" spans="2:18">
      <c r="B65" s="1636"/>
      <c r="C65" s="4714"/>
      <c r="D65" s="4708"/>
      <c r="E65" s="4708"/>
      <c r="F65" s="4709"/>
      <c r="G65" s="4709"/>
      <c r="H65" s="4701" t="e">
        <f>SUM(H58:H64)</f>
        <v>#REF!</v>
      </c>
      <c r="I65" s="4686"/>
      <c r="J65" s="4687"/>
      <c r="K65" s="4701" t="e">
        <f>SUM(K58:K64)</f>
        <v>#REF!</v>
      </c>
      <c r="L65" s="4719"/>
      <c r="M65" s="1636"/>
      <c r="N65" s="1636"/>
      <c r="O65" s="1636"/>
      <c r="P65" s="1636"/>
      <c r="Q65" s="1636"/>
      <c r="R65" s="1636"/>
    </row>
    <row r="66" ht="13.8" spans="2:18">
      <c r="B66" s="1636"/>
      <c r="C66" s="1636"/>
      <c r="D66" s="1636"/>
      <c r="E66" s="1636"/>
      <c r="F66" s="1636"/>
      <c r="G66" s="1636"/>
      <c r="H66" s="1636"/>
      <c r="I66" s="1636"/>
      <c r="J66" s="1636"/>
      <c r="K66" s="1636"/>
      <c r="L66" s="1636"/>
      <c r="M66" s="1636"/>
      <c r="N66" s="1636"/>
      <c r="O66" s="1636"/>
      <c r="P66" s="1636"/>
      <c r="Q66" s="1636"/>
      <c r="R66" s="1636"/>
    </row>
    <row r="67" ht="13.8" spans="2:18">
      <c r="B67" s="1636"/>
      <c r="C67" s="1636"/>
      <c r="D67" s="1636"/>
      <c r="E67" s="1636"/>
      <c r="F67" s="1636"/>
      <c r="G67" s="1636"/>
      <c r="H67" s="1636"/>
      <c r="I67" s="1636"/>
      <c r="J67" s="1636"/>
      <c r="K67" s="4720" t="s">
        <v>335</v>
      </c>
      <c r="L67" s="4720"/>
      <c r="M67" s="4720"/>
      <c r="N67" s="4720"/>
      <c r="O67" s="4720"/>
      <c r="P67" s="4720"/>
      <c r="Q67" s="4720"/>
      <c r="R67" s="4723" t="s">
        <v>336</v>
      </c>
    </row>
    <row r="68" ht="13.8" spans="2:18">
      <c r="B68" s="1636"/>
      <c r="C68" s="1636"/>
      <c r="D68" s="1636"/>
      <c r="E68" s="1636"/>
      <c r="F68" s="1636"/>
      <c r="G68" s="1636"/>
      <c r="H68" s="1636"/>
      <c r="I68" s="1636"/>
      <c r="J68" s="1636"/>
      <c r="K68" s="1636" t="s">
        <v>337</v>
      </c>
      <c r="L68" s="1636" t="s">
        <v>338</v>
      </c>
      <c r="M68" s="1636" t="s">
        <v>339</v>
      </c>
      <c r="N68" s="1636" t="s">
        <v>339</v>
      </c>
      <c r="O68" s="1636" t="s">
        <v>338</v>
      </c>
      <c r="P68" s="1636" t="s">
        <v>340</v>
      </c>
      <c r="Q68" s="1636" t="s">
        <v>340</v>
      </c>
      <c r="R68" s="4723" t="s">
        <v>341</v>
      </c>
    </row>
    <row r="69" ht="13.8" spans="2:18">
      <c r="B69" s="4715" t="s">
        <v>342</v>
      </c>
      <c r="C69" s="1636"/>
      <c r="D69" s="1636"/>
      <c r="E69" s="1636"/>
      <c r="F69" s="1636"/>
      <c r="G69" s="1636"/>
      <c r="H69" s="1636"/>
      <c r="I69" s="1636"/>
      <c r="J69" s="1636"/>
      <c r="K69" s="1636" t="s">
        <v>343</v>
      </c>
      <c r="L69" s="1636" t="s">
        <v>344</v>
      </c>
      <c r="M69" s="1636" t="s">
        <v>345</v>
      </c>
      <c r="N69" s="1636" t="s">
        <v>346</v>
      </c>
      <c r="O69" s="1636" t="s">
        <v>347</v>
      </c>
      <c r="P69" s="1636" t="s">
        <v>348</v>
      </c>
      <c r="Q69" s="1636" t="s">
        <v>349</v>
      </c>
      <c r="R69" s="4723" t="s">
        <v>350</v>
      </c>
    </row>
    <row r="70" ht="13.8" spans="2:18">
      <c r="B70" s="1636"/>
      <c r="C70" s="1636"/>
      <c r="D70" s="1636"/>
      <c r="E70" s="1636"/>
      <c r="F70" s="1636"/>
      <c r="G70" s="1636"/>
      <c r="H70" s="1635"/>
      <c r="I70" s="1635"/>
      <c r="J70" s="1635"/>
      <c r="K70" s="1636"/>
      <c r="L70" s="1636"/>
      <c r="M70" s="1636"/>
      <c r="N70" s="1636"/>
      <c r="O70" s="1636"/>
      <c r="P70" s="1636"/>
      <c r="Q70" s="1636"/>
      <c r="R70" s="1636"/>
    </row>
    <row r="71" ht="13.8" spans="2:18">
      <c r="B71" s="1635" t="s">
        <v>351</v>
      </c>
      <c r="C71" s="1636"/>
      <c r="D71" s="1636"/>
      <c r="E71" s="1636"/>
      <c r="F71" s="1636"/>
      <c r="G71" s="1636"/>
      <c r="H71" s="4716">
        <v>2022</v>
      </c>
      <c r="I71" s="4716">
        <v>2021</v>
      </c>
      <c r="J71" s="4716">
        <v>2020</v>
      </c>
      <c r="K71" s="1636"/>
      <c r="L71" s="1636"/>
      <c r="M71" s="1636"/>
      <c r="N71" s="1636"/>
      <c r="O71" s="1636"/>
      <c r="P71" s="1636"/>
      <c r="Q71" s="1636"/>
      <c r="R71" s="1636"/>
    </row>
    <row r="72" ht="13.8" spans="2:18">
      <c r="B72" s="1636" t="s">
        <v>352</v>
      </c>
      <c r="C72" s="1636"/>
      <c r="D72" s="1636"/>
      <c r="E72" s="1636"/>
      <c r="F72" s="1636"/>
      <c r="G72" s="1636"/>
      <c r="H72" s="1636">
        <f>+'F3'!F30</f>
        <v>675435738.674405</v>
      </c>
      <c r="I72" s="1636">
        <f>+'F3'!L30</f>
        <v>289682939.71</v>
      </c>
      <c r="J72" s="4721">
        <f>+'F3'!R30</f>
        <v>1032142614.99999</v>
      </c>
      <c r="K72" s="4721" t="e">
        <f>SUM(#REF!)</f>
        <v>#REF!</v>
      </c>
      <c r="L72" s="4721" t="e">
        <f>-SUM(#REF!)</f>
        <v>#REF!</v>
      </c>
      <c r="M72" s="4721">
        <f>-'F30'!Q34</f>
        <v>-36737998</v>
      </c>
      <c r="N72" s="4721">
        <v>0</v>
      </c>
      <c r="O72" s="4722" t="e">
        <f>-'F30'!Q22+#REF!</f>
        <v>#REF!</v>
      </c>
      <c r="P72" s="4721">
        <v>0</v>
      </c>
      <c r="Q72" s="4721" t="e">
        <f>#REF!</f>
        <v>#REF!</v>
      </c>
      <c r="R72" s="4721" t="e">
        <f>SUM(K72:Q72)</f>
        <v>#REF!</v>
      </c>
    </row>
    <row r="73" ht="13.8" spans="2:18">
      <c r="B73" s="1636" t="s">
        <v>353</v>
      </c>
      <c r="C73" s="1636"/>
      <c r="D73" s="1636"/>
      <c r="E73" s="1636"/>
      <c r="F73" s="1636"/>
      <c r="G73" s="1636"/>
      <c r="H73" s="1636"/>
      <c r="I73" s="1636"/>
      <c r="J73" s="1636"/>
      <c r="K73" s="4707"/>
      <c r="L73" s="1636"/>
      <c r="M73" s="1636"/>
      <c r="N73" s="1636"/>
      <c r="O73" s="1636"/>
      <c r="P73" s="1636"/>
      <c r="Q73" s="1636"/>
      <c r="R73" s="1636"/>
    </row>
    <row r="74" ht="13.8" spans="2:18">
      <c r="B74" s="1636" t="s">
        <v>354</v>
      </c>
      <c r="C74" s="1636"/>
      <c r="D74" s="1636"/>
      <c r="E74" s="1636"/>
      <c r="F74" s="1636"/>
      <c r="G74" s="1636"/>
      <c r="H74" s="1636"/>
      <c r="I74" s="1636"/>
      <c r="J74" s="1636"/>
      <c r="K74" s="4707"/>
      <c r="L74" s="1636"/>
      <c r="M74" s="1636"/>
      <c r="N74" s="1636"/>
      <c r="O74" s="1636"/>
      <c r="P74" s="1636"/>
      <c r="Q74" s="1636"/>
      <c r="R74" s="1636"/>
    </row>
    <row r="75" ht="13.8" spans="2:18">
      <c r="B75" s="1636"/>
      <c r="C75" s="1636" t="s">
        <v>36</v>
      </c>
      <c r="D75" s="1636"/>
      <c r="E75" s="1636"/>
      <c r="F75" s="1636"/>
      <c r="G75" s="1636"/>
      <c r="H75">
        <v>0</v>
      </c>
      <c r="I75" s="1636">
        <f>+Note21!AB198</f>
        <v>1801256844.9</v>
      </c>
      <c r="J75" s="1636">
        <f>+Note21!AJ198</f>
        <v>1109260500.07562</v>
      </c>
      <c r="K75" s="4707"/>
      <c r="L75" s="4704">
        <v>0</v>
      </c>
      <c r="M75" s="1636"/>
      <c r="N75" s="1636"/>
      <c r="O75" s="1636">
        <v>0</v>
      </c>
      <c r="P75" s="1636"/>
      <c r="Q75" s="1636"/>
      <c r="R75" s="4721">
        <f t="shared" ref="R75:R85" si="4">SUM(K75:Q75)</f>
        <v>0</v>
      </c>
    </row>
    <row r="76" ht="13.8" spans="2:18">
      <c r="B76" s="1636"/>
      <c r="C76" s="1636" t="s">
        <v>355</v>
      </c>
      <c r="D76" s="1636"/>
      <c r="E76" s="1636"/>
      <c r="F76" s="1636"/>
      <c r="G76" s="1636"/>
      <c r="H76" s="1636">
        <f>-Note22!AB873</f>
        <v>1043261427.23</v>
      </c>
      <c r="I76" s="1636"/>
      <c r="J76" s="4695"/>
      <c r="K76" s="4707"/>
      <c r="L76" s="1636"/>
      <c r="M76" s="1636"/>
      <c r="N76" s="1636"/>
      <c r="O76" s="1636"/>
      <c r="P76" s="1636"/>
      <c r="Q76" s="1636"/>
      <c r="R76" s="4721">
        <f t="shared" si="4"/>
        <v>0</v>
      </c>
    </row>
    <row r="77" ht="13.8" spans="2:18">
      <c r="B77" s="1636" t="s">
        <v>356</v>
      </c>
      <c r="C77" s="1636"/>
      <c r="D77" s="1636"/>
      <c r="E77" s="1636"/>
      <c r="F77" s="1636"/>
      <c r="G77" s="1636"/>
      <c r="H77" s="1636"/>
      <c r="I77" s="1636"/>
      <c r="J77" s="1636"/>
      <c r="K77" s="4707"/>
      <c r="L77" s="1636"/>
      <c r="M77" s="1636"/>
      <c r="N77" s="1636"/>
      <c r="O77" s="1636"/>
      <c r="P77" s="1636"/>
      <c r="Q77" s="1636"/>
      <c r="R77" s="4721">
        <f t="shared" si="4"/>
        <v>0</v>
      </c>
    </row>
    <row r="78" ht="13.8" spans="2:18">
      <c r="B78" s="1636"/>
      <c r="C78" s="1636" t="str">
        <f>+'F1'!C16</f>
        <v>Piutang usaha</v>
      </c>
      <c r="D78" s="1636"/>
      <c r="E78" s="1636"/>
      <c r="F78" s="1636"/>
      <c r="G78" s="1636"/>
      <c r="H78" s="1636"/>
      <c r="I78" s="1636"/>
      <c r="J78" s="4695">
        <f>-'FS-21'!AQ12</f>
        <v>39528991.6066685</v>
      </c>
      <c r="K78" s="4711"/>
      <c r="L78" s="1636"/>
      <c r="M78" s="1636"/>
      <c r="N78" s="1636"/>
      <c r="O78" s="1636"/>
      <c r="P78" s="1636"/>
      <c r="Q78" s="1636"/>
      <c r="R78" s="4721">
        <f t="shared" si="4"/>
        <v>0</v>
      </c>
    </row>
    <row r="79" ht="13.8" spans="2:18">
      <c r="B79" s="1636"/>
      <c r="C79" s="1636" t="str">
        <f>+'FS-21'!B14</f>
        <v>Piutang lain-lain</v>
      </c>
      <c r="D79" s="1636"/>
      <c r="E79" s="1636"/>
      <c r="F79" s="1636"/>
      <c r="G79" s="1636"/>
      <c r="H79" s="1636"/>
      <c r="I79" s="1636"/>
      <c r="J79" s="4695">
        <f>-'FS-21'!AQ14</f>
        <v>1497893314.67</v>
      </c>
      <c r="K79" s="4707"/>
      <c r="L79" s="4695"/>
      <c r="M79" s="1636"/>
      <c r="N79" s="1636"/>
      <c r="O79" s="1636"/>
      <c r="P79" s="1636"/>
      <c r="Q79" s="1636"/>
      <c r="R79" s="4721">
        <f t="shared" si="4"/>
        <v>0</v>
      </c>
    </row>
    <row r="80" ht="13.8" spans="2:18">
      <c r="B80" s="1636"/>
      <c r="C80" s="1636" t="str">
        <f>+'FS-21'!B15</f>
        <v>Biaya Dibayar Dimuka</v>
      </c>
      <c r="D80" s="1636"/>
      <c r="E80" s="1636"/>
      <c r="F80" s="1636"/>
      <c r="G80" s="1636"/>
      <c r="H80" s="1636"/>
      <c r="I80" s="1636"/>
      <c r="J80" s="4695">
        <f>-'FS-21'!AQ15</f>
        <v>129192211.333333</v>
      </c>
      <c r="K80" s="4707"/>
      <c r="L80" s="4695">
        <v>0</v>
      </c>
      <c r="M80" s="1636"/>
      <c r="N80" s="1636"/>
      <c r="O80" s="1636">
        <f>J80</f>
        <v>129192211.333333</v>
      </c>
      <c r="P80" s="1636"/>
      <c r="Q80" s="1636"/>
      <c r="R80" s="4721">
        <f t="shared" si="4"/>
        <v>129192211.333333</v>
      </c>
    </row>
    <row r="81" ht="13.8" spans="2:18">
      <c r="B81" s="1636"/>
      <c r="C81" s="1636" t="str">
        <f>+'FS-21'!B17</f>
        <v>Pekerjaan Dalam Pelaksanaan</v>
      </c>
      <c r="D81" s="1636"/>
      <c r="E81" s="1636"/>
      <c r="F81" s="1636"/>
      <c r="G81" s="1636"/>
      <c r="H81" s="1636"/>
      <c r="I81" s="1636"/>
      <c r="J81" s="4695">
        <f>-'FS-21'!AQ17</f>
        <v>16109448715.1325</v>
      </c>
      <c r="K81" s="4711"/>
      <c r="L81" s="4695">
        <v>0</v>
      </c>
      <c r="M81" s="1636">
        <f>J81</f>
        <v>16109448715.1325</v>
      </c>
      <c r="N81" s="1636"/>
      <c r="O81" s="1636"/>
      <c r="P81" s="1636"/>
      <c r="Q81" s="1636"/>
      <c r="R81" s="4721">
        <f t="shared" si="4"/>
        <v>16109448715.1325</v>
      </c>
    </row>
    <row r="82" ht="13.8" spans="2:18">
      <c r="B82" s="1636"/>
      <c r="C82" s="1636" t="str">
        <f>+'FS-21'!B28</f>
        <v>Aset lain-lain</v>
      </c>
      <c r="D82" s="1636"/>
      <c r="E82" s="1636"/>
      <c r="F82" s="1636"/>
      <c r="G82" s="1636"/>
      <c r="H82" s="1636"/>
      <c r="I82" s="1636"/>
      <c r="J82" s="4695">
        <f>-'FS-21'!AQ28</f>
        <v>-814295060</v>
      </c>
      <c r="K82" s="4707"/>
      <c r="L82" s="4695">
        <v>0</v>
      </c>
      <c r="M82" s="1636"/>
      <c r="N82" s="1636"/>
      <c r="O82" s="1636"/>
      <c r="P82" s="1636">
        <f>J82</f>
        <v>-814295060</v>
      </c>
      <c r="Q82" s="1636"/>
      <c r="R82" s="4721">
        <f t="shared" si="4"/>
        <v>-814295060</v>
      </c>
    </row>
    <row r="83" ht="13.8" spans="2:18">
      <c r="B83" s="1636"/>
      <c r="C83" s="1636" t="str">
        <f>+'FS-21'!B37</f>
        <v>Utang usaha</v>
      </c>
      <c r="D83" s="1636"/>
      <c r="E83" s="1636"/>
      <c r="F83" s="1636"/>
      <c r="G83" s="1636"/>
      <c r="H83" s="1636"/>
      <c r="I83" s="1636"/>
      <c r="J83" s="4695">
        <f>+'FS-21'!AQ37</f>
        <v>-32187851</v>
      </c>
      <c r="K83" s="4711">
        <v>0</v>
      </c>
      <c r="L83" s="1636"/>
      <c r="M83" s="1636"/>
      <c r="N83" s="1636"/>
      <c r="O83" s="1636"/>
      <c r="P83" s="1636"/>
      <c r="Q83" s="1636"/>
      <c r="R83" s="4721">
        <f t="shared" si="4"/>
        <v>0</v>
      </c>
    </row>
    <row r="84" ht="13.8" spans="2:18">
      <c r="B84" s="1636"/>
      <c r="C84" s="1636" t="str">
        <f>+'FS-21'!B38</f>
        <v>Utang pajak</v>
      </c>
      <c r="D84" s="1636"/>
      <c r="E84" s="1636"/>
      <c r="F84" s="1636"/>
      <c r="G84" s="1636"/>
      <c r="H84" s="1636"/>
      <c r="I84" s="1636"/>
      <c r="J84" s="4695">
        <f>+'FS-21'!AQ38</f>
        <v>115502675.25221</v>
      </c>
      <c r="K84" s="4707"/>
      <c r="L84" s="4695"/>
      <c r="M84" s="1636">
        <f>J84</f>
        <v>115502675.25221</v>
      </c>
      <c r="N84" s="1636"/>
      <c r="O84" s="1636"/>
      <c r="P84" s="1636"/>
      <c r="Q84" s="1636"/>
      <c r="R84" s="4721">
        <f t="shared" si="4"/>
        <v>115502675.25221</v>
      </c>
    </row>
    <row r="85" ht="13.8" spans="2:18">
      <c r="B85" s="1636"/>
      <c r="C85" s="1636" t="str">
        <f>+'FS-21'!B41</f>
        <v>Utang lain-lain</v>
      </c>
      <c r="D85" s="1636"/>
      <c r="E85" s="1636"/>
      <c r="F85" s="1636"/>
      <c r="G85" s="1636"/>
      <c r="H85" s="1636"/>
      <c r="I85" s="1636"/>
      <c r="J85" s="4695">
        <f>+'FS-21'!AP41</f>
        <v>-844000000</v>
      </c>
      <c r="K85" s="4707"/>
      <c r="L85" s="1636"/>
      <c r="M85" s="4695">
        <v>0</v>
      </c>
      <c r="N85" s="1636"/>
      <c r="O85" s="1636">
        <f>J85</f>
        <v>-844000000</v>
      </c>
      <c r="P85" s="1636"/>
      <c r="Q85" s="1636"/>
      <c r="R85" s="4721">
        <f t="shared" si="4"/>
        <v>-844000000</v>
      </c>
    </row>
    <row r="86" customFormat="1" ht="13.8" spans="2:18">
      <c r="B86" s="1636"/>
      <c r="C86" s="1636"/>
      <c r="D86" s="1636"/>
      <c r="E86" s="1636"/>
      <c r="F86" s="1636"/>
      <c r="G86" s="1636"/>
      <c r="H86" s="1636"/>
      <c r="I86" s="1636"/>
      <c r="J86" s="4695"/>
      <c r="K86" s="4707"/>
      <c r="L86" s="1636"/>
      <c r="M86" s="4695"/>
      <c r="N86" s="1636"/>
      <c r="O86" s="1636"/>
      <c r="P86" s="1636"/>
      <c r="Q86" s="1636"/>
      <c r="R86" s="4721"/>
    </row>
    <row r="87" ht="13.8" spans="2:18">
      <c r="B87" s="1636"/>
      <c r="C87" s="1636"/>
      <c r="D87" s="1635" t="s">
        <v>357</v>
      </c>
      <c r="E87" s="1635"/>
      <c r="F87" s="1635"/>
      <c r="G87" s="1635"/>
      <c r="H87" s="4717">
        <f t="shared" ref="H87:J87" si="5">SUM(H72:H85)</f>
        <v>1718697165.90441</v>
      </c>
      <c r="I87" s="4717">
        <f t="shared" si="5"/>
        <v>2090939784.61</v>
      </c>
      <c r="J87" s="4717">
        <f t="shared" si="5"/>
        <v>18342486112.0703</v>
      </c>
      <c r="K87" s="4717" t="e">
        <f t="shared" ref="K87:R87" si="6">SUM(K72:K85)</f>
        <v>#REF!</v>
      </c>
      <c r="L87" s="4717" t="e">
        <f t="shared" si="6"/>
        <v>#REF!</v>
      </c>
      <c r="M87" s="4717">
        <f t="shared" si="6"/>
        <v>16188213392.3847</v>
      </c>
      <c r="N87" s="4717">
        <f t="shared" si="6"/>
        <v>0</v>
      </c>
      <c r="O87" s="4717" t="e">
        <f t="shared" si="6"/>
        <v>#REF!</v>
      </c>
      <c r="P87" s="4717">
        <f t="shared" si="6"/>
        <v>-814295060</v>
      </c>
      <c r="Q87" s="4717" t="e">
        <f t="shared" si="6"/>
        <v>#REF!</v>
      </c>
      <c r="R87" s="4717" t="e">
        <f t="shared" si="6"/>
        <v>#REF!</v>
      </c>
    </row>
    <row r="88" ht="13.8" spans="2:18">
      <c r="B88" s="1636"/>
      <c r="C88" s="1636"/>
      <c r="D88" s="1636"/>
      <c r="E88" s="1636"/>
      <c r="F88" s="1636"/>
      <c r="G88" s="1636"/>
      <c r="H88" s="1636"/>
      <c r="I88" s="1636"/>
      <c r="J88" s="4698"/>
      <c r="K88" s="1636"/>
      <c r="L88" s="1636"/>
      <c r="M88" s="1636"/>
      <c r="N88" s="1636"/>
      <c r="O88" s="4723"/>
      <c r="P88" s="4723"/>
      <c r="Q88" s="4723"/>
      <c r="R88" s="1636"/>
    </row>
    <row r="89" ht="13.8" spans="2:18">
      <c r="B89" s="1635" t="s">
        <v>358</v>
      </c>
      <c r="C89" s="1636"/>
      <c r="D89" s="1636"/>
      <c r="E89" s="1636"/>
      <c r="F89" s="1636"/>
      <c r="G89" s="1636"/>
      <c r="H89" s="1636"/>
      <c r="I89" s="1636"/>
      <c r="J89" s="1636"/>
      <c r="K89" s="1636"/>
      <c r="L89" s="1636"/>
      <c r="M89" s="1636"/>
      <c r="N89" s="1636"/>
      <c r="O89" s="1636"/>
      <c r="P89" s="1636"/>
      <c r="Q89" s="1636"/>
      <c r="R89" s="1636"/>
    </row>
    <row r="90" ht="13.8" spans="2:18">
      <c r="B90" s="1636"/>
      <c r="C90" s="1636" t="s">
        <v>359</v>
      </c>
      <c r="D90" s="1636"/>
      <c r="E90" s="1636"/>
      <c r="F90" s="1636"/>
      <c r="G90" s="1636"/>
      <c r="H90" s="1636">
        <f>-Note22!W145</f>
        <v>-1589217281</v>
      </c>
      <c r="I90" s="1636">
        <f>-Note21!W140</f>
        <v>-3225000</v>
      </c>
      <c r="J90" s="4695">
        <f>-Note21!W173</f>
        <v>-1600000</v>
      </c>
      <c r="K90" s="4724"/>
      <c r="L90" s="1636"/>
      <c r="M90" s="1636"/>
      <c r="N90" s="1636"/>
      <c r="O90" s="1636"/>
      <c r="P90" s="1636"/>
      <c r="Q90" s="1636"/>
      <c r="R90" s="1636"/>
    </row>
    <row r="91" ht="13.8" spans="2:18">
      <c r="B91" s="1636"/>
      <c r="C91" s="1636" t="s">
        <v>360</v>
      </c>
      <c r="D91" s="1636"/>
      <c r="E91" s="1636"/>
      <c r="F91" s="1636"/>
      <c r="G91" s="1636"/>
      <c r="H91" s="1636">
        <f>+Note22!AD145-Note22!AD153</f>
        <v>208401952.77</v>
      </c>
      <c r="I91" s="1636">
        <f>+Note21!AD140-Note21!AD149</f>
        <v>740840980.5</v>
      </c>
      <c r="J91" s="4725">
        <f>+Note21!AD173-Note21!AD181</f>
        <v>579236033.375</v>
      </c>
      <c r="K91" s="4707"/>
      <c r="L91" s="1636"/>
      <c r="M91" s="1636"/>
      <c r="N91" s="1636"/>
      <c r="O91" s="1636"/>
      <c r="P91" s="1636"/>
      <c r="Q91" s="1636"/>
      <c r="R91" s="1636"/>
    </row>
    <row r="92" ht="13.8" spans="2:18">
      <c r="B92" s="1636"/>
      <c r="C92" s="1636" t="s">
        <v>361</v>
      </c>
      <c r="D92" s="1636"/>
      <c r="E92" s="1636"/>
      <c r="F92" s="1636"/>
      <c r="G92" s="1636"/>
      <c r="H92" s="1636"/>
      <c r="I92" s="1636"/>
      <c r="J92" s="4726">
        <v>0</v>
      </c>
      <c r="K92" s="4693"/>
      <c r="L92" s="1636"/>
      <c r="M92" s="1636"/>
      <c r="N92" s="1636"/>
      <c r="O92" s="1636"/>
      <c r="P92" s="1636"/>
      <c r="Q92" s="1636"/>
      <c r="R92" s="1636"/>
    </row>
    <row r="93" ht="13.8" spans="2:18">
      <c r="B93" s="1636"/>
      <c r="C93" s="1636"/>
      <c r="D93" s="1635" t="s">
        <v>362</v>
      </c>
      <c r="E93" s="1635"/>
      <c r="F93" s="1635"/>
      <c r="G93" s="1635"/>
      <c r="H93" s="4696">
        <f>SUM(H89:H92)</f>
        <v>-1380815328.23</v>
      </c>
      <c r="I93" s="4696">
        <f>SUM(I89:I92)</f>
        <v>737615980.5</v>
      </c>
      <c r="J93" s="4696">
        <f>SUM(J89:J92)</f>
        <v>577636033.375</v>
      </c>
      <c r="K93" s="4707"/>
      <c r="L93" s="1636"/>
      <c r="M93" s="1636"/>
      <c r="N93" s="1636"/>
      <c r="O93" s="1636"/>
      <c r="P93" s="1636"/>
      <c r="Q93" s="1636"/>
      <c r="R93" s="1636">
        <f>J93</f>
        <v>577636033.375</v>
      </c>
    </row>
    <row r="94" ht="13.8" spans="2:18">
      <c r="B94" s="1636"/>
      <c r="C94" s="1636"/>
      <c r="D94" s="1636"/>
      <c r="E94" s="1636"/>
      <c r="F94" s="1636"/>
      <c r="G94" s="1636"/>
      <c r="H94" s="1636"/>
      <c r="I94" s="1636"/>
      <c r="J94" s="4698"/>
      <c r="K94" s="4707"/>
      <c r="L94" s="1636"/>
      <c r="M94" s="1636"/>
      <c r="N94" s="1636"/>
      <c r="O94" s="1636"/>
      <c r="P94" s="1636"/>
      <c r="Q94" s="1636"/>
      <c r="R94" s="1636"/>
    </row>
    <row r="95" ht="13.8" spans="2:18">
      <c r="B95" s="1635" t="s">
        <v>363</v>
      </c>
      <c r="C95" s="1636"/>
      <c r="D95" s="1636"/>
      <c r="E95" s="1636"/>
      <c r="F95" s="1636"/>
      <c r="G95" s="1636"/>
      <c r="H95" s="1636"/>
      <c r="I95" s="1636"/>
      <c r="J95" s="1636"/>
      <c r="K95" s="4707"/>
      <c r="L95" s="1636"/>
      <c r="M95" s="1636"/>
      <c r="N95" s="1636"/>
      <c r="O95" s="1636"/>
      <c r="P95" s="1636"/>
      <c r="Q95" s="1636"/>
      <c r="R95" s="1636"/>
    </row>
    <row r="96" ht="13.8" spans="2:18">
      <c r="B96" s="1636"/>
      <c r="C96" s="1636" t="str">
        <f>+'FS-21'!B40</f>
        <v>Utang pembiayaan jangka pendek</v>
      </c>
      <c r="D96" s="1636"/>
      <c r="E96" s="1636"/>
      <c r="F96" s="1636"/>
      <c r="G96" s="1636"/>
      <c r="H96" s="1636" t="s">
        <v>364</v>
      </c>
      <c r="I96" s="1636"/>
      <c r="J96" s="4695" t="e">
        <f>SUM(#REF!)</f>
        <v>#REF!</v>
      </c>
      <c r="K96" s="4707"/>
      <c r="L96" s="1636"/>
      <c r="M96" s="1636"/>
      <c r="N96" s="1636"/>
      <c r="O96" s="1636"/>
      <c r="P96" s="1636"/>
      <c r="Q96" s="1636"/>
      <c r="R96" s="1636"/>
    </row>
    <row r="97" ht="13.8" spans="2:18">
      <c r="B97" s="1636"/>
      <c r="C97" s="1636" t="s">
        <v>365</v>
      </c>
      <c r="D97" s="1636"/>
      <c r="E97" s="1636"/>
      <c r="F97" s="1636"/>
      <c r="G97" s="1636"/>
      <c r="H97" s="1636"/>
      <c r="I97" s="1636"/>
      <c r="J97" s="4695">
        <v>0</v>
      </c>
      <c r="K97" s="4707"/>
      <c r="L97" s="1636"/>
      <c r="M97" s="1636"/>
      <c r="N97" s="1636"/>
      <c r="O97" s="1636"/>
      <c r="P97" s="1636"/>
      <c r="Q97" s="1636"/>
      <c r="R97" s="1636"/>
    </row>
    <row r="98" ht="13.8" spans="2:18">
      <c r="B98" s="1636"/>
      <c r="C98" s="1636" t="s">
        <v>366</v>
      </c>
      <c r="D98" s="1636"/>
      <c r="E98" s="1636"/>
      <c r="F98" s="1636"/>
      <c r="G98" s="1636"/>
      <c r="H98" s="1636"/>
      <c r="I98" s="1636"/>
      <c r="J98" s="4695">
        <v>0</v>
      </c>
      <c r="K98" s="4707"/>
      <c r="L98" s="1636"/>
      <c r="M98" s="1636"/>
      <c r="N98" s="1636"/>
      <c r="O98" s="1636"/>
      <c r="P98" s="1636"/>
      <c r="Q98" s="1636"/>
      <c r="R98" s="1636"/>
    </row>
    <row r="99" ht="13.8" spans="2:18">
      <c r="B99" s="1636"/>
      <c r="C99" s="1636" t="s">
        <v>367</v>
      </c>
      <c r="D99" s="1636"/>
      <c r="E99" s="1636"/>
      <c r="F99" s="1636"/>
      <c r="G99" s="1636"/>
      <c r="H99" s="1636"/>
      <c r="I99" s="1636"/>
      <c r="J99" s="4695">
        <v>0</v>
      </c>
      <c r="K99" s="4693"/>
      <c r="L99" s="1636"/>
      <c r="M99" s="1636"/>
      <c r="N99" s="1636"/>
      <c r="O99" s="1636"/>
      <c r="P99" s="1636"/>
      <c r="Q99" s="1636"/>
      <c r="R99" s="1636"/>
    </row>
    <row r="100" ht="13.8" spans="2:18">
      <c r="B100" s="1636"/>
      <c r="C100" s="1636"/>
      <c r="D100" s="1635" t="s">
        <v>368</v>
      </c>
      <c r="E100" s="1635"/>
      <c r="F100" s="1635"/>
      <c r="G100" s="1635"/>
      <c r="H100" s="1635"/>
      <c r="I100" s="1635"/>
      <c r="J100" s="4696" t="e">
        <f>SUM(J95:K98)</f>
        <v>#REF!</v>
      </c>
      <c r="K100" s="4693"/>
      <c r="L100" s="1636"/>
      <c r="M100" s="1636"/>
      <c r="N100" s="1636"/>
      <c r="O100" s="1636"/>
      <c r="P100" s="1636"/>
      <c r="Q100" s="1636"/>
      <c r="R100" s="1636" t="e">
        <f>J100</f>
        <v>#REF!</v>
      </c>
    </row>
    <row r="101" ht="13.8" spans="2:18">
      <c r="B101" s="1636"/>
      <c r="C101" s="1635" t="s">
        <v>369</v>
      </c>
      <c r="D101" s="1635"/>
      <c r="E101" s="1635"/>
      <c r="F101" s="1635"/>
      <c r="G101" s="1635"/>
      <c r="H101" s="1635"/>
      <c r="I101" s="1635"/>
      <c r="J101" s="4727" t="e">
        <f>+J100+J93+J87</f>
        <v>#REF!</v>
      </c>
      <c r="K101" s="4707"/>
      <c r="L101" s="1636"/>
      <c r="M101" s="1636"/>
      <c r="N101" s="1636"/>
      <c r="O101" s="1636"/>
      <c r="P101" s="1636"/>
      <c r="Q101" s="1636"/>
      <c r="R101" s="4727" t="e">
        <f>+R100+R93+R87</f>
        <v>#REF!</v>
      </c>
    </row>
    <row r="102" ht="13.8" spans="2:18">
      <c r="B102" s="1636"/>
      <c r="C102" s="1636" t="s">
        <v>370</v>
      </c>
      <c r="D102" s="1636"/>
      <c r="E102" s="1636"/>
      <c r="F102" s="1636"/>
      <c r="G102" s="1636"/>
      <c r="H102" s="1636"/>
      <c r="I102" s="1636"/>
      <c r="J102" s="4726" t="e">
        <f>SUM(#REF!)</f>
        <v>#REF!</v>
      </c>
      <c r="K102" s="4693"/>
      <c r="L102" s="1636"/>
      <c r="M102" s="1636"/>
      <c r="N102" s="1636"/>
      <c r="O102" s="1636"/>
      <c r="P102" s="1636"/>
      <c r="Q102" s="1636"/>
      <c r="R102" s="1636" t="e">
        <f>J102</f>
        <v>#REF!</v>
      </c>
    </row>
    <row r="103" ht="14.55" spans="2:18">
      <c r="B103" s="1636"/>
      <c r="C103" s="1635" t="s">
        <v>371</v>
      </c>
      <c r="D103" s="1635"/>
      <c r="E103" s="1635"/>
      <c r="F103" s="1635"/>
      <c r="G103" s="1635"/>
      <c r="H103" s="1635"/>
      <c r="I103" s="1635"/>
      <c r="J103" s="4728" t="e">
        <f>+J101+J102</f>
        <v>#REF!</v>
      </c>
      <c r="K103" s="4707"/>
      <c r="L103" s="1636"/>
      <c r="M103" s="1636"/>
      <c r="N103" s="1636"/>
      <c r="O103" s="1636"/>
      <c r="P103" s="1636"/>
      <c r="Q103" s="1636"/>
      <c r="R103" s="4728" t="e">
        <f>+R101+R102</f>
        <v>#REF!</v>
      </c>
    </row>
    <row r="104" ht="14.55" spans="2:18">
      <c r="B104" s="1636"/>
      <c r="C104" s="1636"/>
      <c r="D104" s="1636"/>
      <c r="E104" s="1636"/>
      <c r="F104" s="1636"/>
      <c r="G104" s="1636"/>
      <c r="H104" s="1636"/>
      <c r="I104" s="1636"/>
      <c r="J104" s="1636" t="e">
        <f>J103-SUM(#REF!)</f>
        <v>#REF!</v>
      </c>
      <c r="K104" s="4707"/>
      <c r="L104" s="1636"/>
      <c r="M104" s="1636"/>
      <c r="N104" s="1636"/>
      <c r="O104" s="1636"/>
      <c r="P104" s="1636"/>
      <c r="Q104" s="1636"/>
      <c r="R104" s="1636"/>
    </row>
    <row r="105" ht="13.8" spans="2:18">
      <c r="B105" s="4715" t="s">
        <v>372</v>
      </c>
      <c r="C105" s="1636"/>
      <c r="D105" s="1636"/>
      <c r="E105" s="1636"/>
      <c r="F105" s="1636"/>
      <c r="G105" s="1636"/>
      <c r="H105" s="1636"/>
      <c r="I105" s="1636"/>
      <c r="J105" s="1636"/>
      <c r="K105" s="4707"/>
      <c r="L105" s="1636"/>
      <c r="M105" s="1636"/>
      <c r="N105" s="1636"/>
      <c r="O105" s="1636"/>
      <c r="P105" s="1636"/>
      <c r="Q105" s="1636"/>
      <c r="R105" s="1636"/>
    </row>
    <row r="106" ht="13.8" spans="2:18">
      <c r="B106" s="1636"/>
      <c r="C106" s="1636"/>
      <c r="D106" s="1636"/>
      <c r="E106" s="1636"/>
      <c r="F106" s="1636"/>
      <c r="G106" s="1636"/>
      <c r="H106" s="1636"/>
      <c r="I106" s="1636"/>
      <c r="J106" s="1636"/>
      <c r="K106" s="4707"/>
      <c r="L106" s="1636"/>
      <c r="M106" s="1636"/>
      <c r="N106" s="1636"/>
      <c r="O106" s="1636"/>
      <c r="P106" s="1636"/>
      <c r="Q106" s="1636"/>
      <c r="R106" s="1636"/>
    </row>
    <row r="107" ht="13.8" spans="2:18">
      <c r="B107" s="1635" t="s">
        <v>351</v>
      </c>
      <c r="C107" s="1636"/>
      <c r="D107" s="1636"/>
      <c r="E107" s="1636"/>
      <c r="F107" s="1636"/>
      <c r="G107" s="1636"/>
      <c r="H107" s="1636"/>
      <c r="I107" s="1636"/>
      <c r="J107" s="1636"/>
      <c r="K107" s="4707"/>
      <c r="L107" s="1636"/>
      <c r="M107" s="1636"/>
      <c r="N107" s="1636"/>
      <c r="O107" s="1636"/>
      <c r="P107" s="1636"/>
      <c r="Q107" s="1636"/>
      <c r="R107" s="1636"/>
    </row>
    <row r="108" ht="13.8" spans="2:18">
      <c r="B108" s="1636"/>
      <c r="C108" s="1636" t="s">
        <v>373</v>
      </c>
      <c r="D108" s="1636"/>
      <c r="E108" s="1636"/>
      <c r="F108" s="1636"/>
      <c r="G108" s="1636"/>
      <c r="H108" s="1636"/>
      <c r="I108" s="1636"/>
      <c r="J108" s="4695" t="e">
        <f>K87</f>
        <v>#REF!</v>
      </c>
      <c r="K108" s="4707"/>
      <c r="L108" s="1636"/>
      <c r="M108" s="1636"/>
      <c r="N108" s="1636"/>
      <c r="O108" s="1636"/>
      <c r="P108" s="1636"/>
      <c r="Q108" s="1636"/>
      <c r="R108" s="1636"/>
    </row>
    <row r="109" ht="13.8" spans="2:18">
      <c r="B109" s="1636"/>
      <c r="C109" s="1636" t="s">
        <v>374</v>
      </c>
      <c r="D109" s="1636"/>
      <c r="E109" s="1636"/>
      <c r="F109" s="1636"/>
      <c r="G109" s="1636"/>
      <c r="H109" s="1636"/>
      <c r="I109" s="1636"/>
      <c r="J109" s="4695" t="e">
        <f>L87</f>
        <v>#REF!</v>
      </c>
      <c r="K109" s="4707"/>
      <c r="L109" s="1636"/>
      <c r="M109" s="1636"/>
      <c r="N109" s="1636"/>
      <c r="O109" s="1636"/>
      <c r="P109" s="1636"/>
      <c r="Q109" s="1636"/>
      <c r="R109" s="1636"/>
    </row>
    <row r="110" ht="13.8" spans="2:18">
      <c r="B110" s="1636"/>
      <c r="C110" s="1636" t="str">
        <f>'CF 22'!B14</f>
        <v>Direksi dan karyawan</v>
      </c>
      <c r="D110" s="1636"/>
      <c r="E110" s="1636"/>
      <c r="F110" s="1636"/>
      <c r="G110" s="1636"/>
      <c r="H110" s="1636"/>
      <c r="I110" s="1636"/>
      <c r="J110" s="4695" t="e">
        <f>O87+N98</f>
        <v>#REF!</v>
      </c>
      <c r="K110" s="4707"/>
      <c r="L110" s="1636"/>
      <c r="M110" s="1636"/>
      <c r="N110" s="1636"/>
      <c r="O110" s="1636"/>
      <c r="P110" s="1636"/>
      <c r="Q110" s="1636"/>
      <c r="R110" s="1636"/>
    </row>
    <row r="111" ht="13.8" spans="2:18">
      <c r="B111" s="1636"/>
      <c r="C111" s="1636" t="str">
        <f>'CF 22'!B15</f>
        <v>Pembayaran beban usaha</v>
      </c>
      <c r="D111" s="1636"/>
      <c r="E111" s="1636"/>
      <c r="F111" s="1636"/>
      <c r="G111" s="1636"/>
      <c r="H111" s="1636"/>
      <c r="I111" s="1636"/>
      <c r="J111" s="4695" t="e">
        <f>-#REF!</f>
        <v>#REF!</v>
      </c>
      <c r="K111" s="4707"/>
      <c r="L111" s="1636"/>
      <c r="M111" s="1636"/>
      <c r="N111" s="1636"/>
      <c r="O111" s="1636"/>
      <c r="P111" s="1636"/>
      <c r="Q111" s="1636"/>
      <c r="R111" s="1636"/>
    </row>
    <row r="112" ht="13.8" spans="2:18">
      <c r="B112" s="1636"/>
      <c r="C112" s="1636" t="s">
        <v>375</v>
      </c>
      <c r="D112" s="1636"/>
      <c r="E112" s="1636"/>
      <c r="F112" s="1636"/>
      <c r="G112" s="1636"/>
      <c r="H112" s="1636"/>
      <c r="I112" s="1636"/>
      <c r="J112" s="4721">
        <f>M87</f>
        <v>16188213392.3847</v>
      </c>
      <c r="K112" s="4707"/>
      <c r="L112" s="1636"/>
      <c r="M112" s="1636"/>
      <c r="N112" s="1636"/>
      <c r="O112" s="1636"/>
      <c r="P112" s="1636"/>
      <c r="Q112" s="1636"/>
      <c r="R112" s="1636"/>
    </row>
    <row r="113" ht="13.8" spans="2:18">
      <c r="B113" s="1636"/>
      <c r="C113" s="1636" t="s">
        <v>376</v>
      </c>
      <c r="D113" s="1636"/>
      <c r="E113" s="1636"/>
      <c r="F113" s="1636"/>
      <c r="G113" s="1636"/>
      <c r="H113" s="1636"/>
      <c r="I113" s="1636"/>
      <c r="J113" s="4711">
        <f>N87</f>
        <v>0</v>
      </c>
      <c r="K113" s="4707"/>
      <c r="L113" s="1636"/>
      <c r="M113" s="1636"/>
      <c r="N113" s="1636"/>
      <c r="O113" s="1636"/>
      <c r="P113" s="1636"/>
      <c r="Q113" s="1636"/>
      <c r="R113" s="1636"/>
    </row>
    <row r="114" ht="13.8" spans="2:18">
      <c r="B114" s="1636"/>
      <c r="C114" s="4718" t="s">
        <v>377</v>
      </c>
      <c r="D114" s="1636"/>
      <c r="E114" s="1636"/>
      <c r="F114" s="1636"/>
      <c r="G114" s="1636"/>
      <c r="H114" s="1636"/>
      <c r="I114" s="1636"/>
      <c r="J114" s="4711" t="e">
        <f>Q87</f>
        <v>#REF!</v>
      </c>
      <c r="K114" s="4707"/>
      <c r="L114" s="1636"/>
      <c r="M114" s="1636"/>
      <c r="N114" s="1636"/>
      <c r="O114" s="1636"/>
      <c r="P114" s="1636"/>
      <c r="Q114" s="1636"/>
      <c r="R114" s="1636"/>
    </row>
    <row r="115" ht="13.8" spans="2:18">
      <c r="B115" s="1636"/>
      <c r="C115" s="1636"/>
      <c r="D115" s="1635" t="s">
        <v>378</v>
      </c>
      <c r="E115" s="1635"/>
      <c r="F115" s="1635"/>
      <c r="G115" s="1635"/>
      <c r="H115" s="1635"/>
      <c r="I115" s="1635"/>
      <c r="J115" s="4696" t="e">
        <f>SUM(J108:J114)</f>
        <v>#REF!</v>
      </c>
      <c r="K115" s="4693"/>
      <c r="L115" s="1636"/>
      <c r="M115" s="1636"/>
      <c r="N115" s="1636"/>
      <c r="O115" s="1636"/>
      <c r="P115" s="1636"/>
      <c r="Q115" s="1636"/>
      <c r="R115" s="1636"/>
    </row>
    <row r="116" ht="13.8" spans="2:18">
      <c r="B116" s="1636"/>
      <c r="C116" s="1636"/>
      <c r="D116" s="1636"/>
      <c r="E116" s="1636"/>
      <c r="F116" s="1636"/>
      <c r="G116" s="1636"/>
      <c r="H116" s="1636"/>
      <c r="I116" s="1636"/>
      <c r="J116" s="4729"/>
      <c r="K116" s="4707"/>
      <c r="L116" s="1636"/>
      <c r="M116" s="1636"/>
      <c r="N116" s="1636"/>
      <c r="O116" s="1636"/>
      <c r="P116" s="1636"/>
      <c r="Q116" s="1636"/>
      <c r="R116" s="1636"/>
    </row>
    <row r="117" ht="13.8" spans="2:18">
      <c r="B117" s="1635" t="s">
        <v>358</v>
      </c>
      <c r="C117" s="1636"/>
      <c r="D117" s="1636"/>
      <c r="E117" s="1636"/>
      <c r="F117" s="1636"/>
      <c r="G117" s="1636"/>
      <c r="H117" s="1636"/>
      <c r="I117" s="1636"/>
      <c r="J117" s="1636"/>
      <c r="K117" s="4707"/>
      <c r="L117" s="1636"/>
      <c r="M117" s="1636"/>
      <c r="N117" s="1636"/>
      <c r="O117" s="1636"/>
      <c r="P117" s="1636"/>
      <c r="Q117" s="1636"/>
      <c r="R117" s="1636"/>
    </row>
    <row r="118" ht="13.8" spans="2:18">
      <c r="B118" s="1636"/>
      <c r="C118" s="1636" t="s">
        <v>379</v>
      </c>
      <c r="D118" s="1636"/>
      <c r="E118" s="1636"/>
      <c r="F118" s="1636"/>
      <c r="G118" s="1636"/>
      <c r="H118" s="1636"/>
      <c r="I118" s="1636"/>
      <c r="J118" s="4721">
        <f>J90</f>
        <v>-1600000</v>
      </c>
      <c r="K118" s="4707"/>
      <c r="L118" s="1636"/>
      <c r="M118" s="1636"/>
      <c r="N118" s="1636"/>
      <c r="O118" s="1636"/>
      <c r="P118" s="1636"/>
      <c r="Q118" s="1636"/>
      <c r="R118" s="1636"/>
    </row>
    <row r="119" ht="13.8" spans="2:18">
      <c r="B119" s="1636"/>
      <c r="C119" s="1636" t="s">
        <v>380</v>
      </c>
      <c r="D119" s="1636"/>
      <c r="E119" s="1636"/>
      <c r="F119" s="1636"/>
      <c r="G119" s="1636"/>
      <c r="H119" s="1636"/>
      <c r="I119" s="1636"/>
      <c r="J119" s="4721">
        <f>J91</f>
        <v>579236033.375</v>
      </c>
      <c r="K119" s="4707"/>
      <c r="L119" s="1636"/>
      <c r="M119" s="1636"/>
      <c r="N119" s="1636"/>
      <c r="O119" s="1636"/>
      <c r="P119" s="1636"/>
      <c r="Q119" s="1636"/>
      <c r="R119" s="1636"/>
    </row>
    <row r="120" ht="13.8" spans="2:18">
      <c r="B120" s="1636"/>
      <c r="C120" s="1636" t="s">
        <v>381</v>
      </c>
      <c r="D120" s="1636"/>
      <c r="E120" s="1636"/>
      <c r="F120" s="1636"/>
      <c r="G120" s="1636"/>
      <c r="H120" s="1636"/>
      <c r="I120" s="1636"/>
      <c r="J120" s="4721">
        <f>J92</f>
        <v>0</v>
      </c>
      <c r="K120" s="4707"/>
      <c r="L120" s="1636"/>
      <c r="M120" s="1636"/>
      <c r="N120" s="1636"/>
      <c r="O120" s="1636"/>
      <c r="P120" s="1636"/>
      <c r="Q120" s="1636"/>
      <c r="R120" s="1636"/>
    </row>
    <row r="121" ht="13.8" spans="2:18">
      <c r="B121" s="1636"/>
      <c r="C121" s="1636"/>
      <c r="D121" s="1635" t="s">
        <v>382</v>
      </c>
      <c r="E121" s="1636"/>
      <c r="F121" s="1636"/>
      <c r="G121" s="1636"/>
      <c r="H121" s="1636"/>
      <c r="I121" s="1636"/>
      <c r="J121" s="4717">
        <f>SUM(J118:K120)</f>
        <v>577636033.375</v>
      </c>
      <c r="K121" s="4693"/>
      <c r="L121" s="1636"/>
      <c r="M121" s="1636"/>
      <c r="N121" s="1636"/>
      <c r="O121" s="1636"/>
      <c r="P121" s="1636"/>
      <c r="Q121" s="1636"/>
      <c r="R121" s="1636"/>
    </row>
    <row r="122" ht="13.8" spans="2:18">
      <c r="B122" s="1636"/>
      <c r="C122" s="1636"/>
      <c r="D122" s="1636"/>
      <c r="E122" s="1636"/>
      <c r="F122" s="1636"/>
      <c r="G122" s="1636"/>
      <c r="H122" s="1636"/>
      <c r="I122" s="1636"/>
      <c r="J122" s="4698"/>
      <c r="K122" s="4707"/>
      <c r="L122" s="1636"/>
      <c r="M122" s="1636"/>
      <c r="N122" s="1636"/>
      <c r="O122" s="1636"/>
      <c r="P122" s="1636"/>
      <c r="Q122" s="1636"/>
      <c r="R122" s="1636"/>
    </row>
    <row r="123" ht="13.8" spans="2:18">
      <c r="B123" s="1635" t="s">
        <v>363</v>
      </c>
      <c r="C123" s="1636"/>
      <c r="D123" s="1636"/>
      <c r="E123" s="1636"/>
      <c r="F123" s="1636"/>
      <c r="G123" s="1636"/>
      <c r="H123" s="1636"/>
      <c r="I123" s="1636"/>
      <c r="J123" s="1636"/>
      <c r="K123" s="4707"/>
      <c r="L123" s="1636"/>
      <c r="M123" s="1636"/>
      <c r="N123" s="1636"/>
      <c r="O123" s="1636"/>
      <c r="P123" s="1636"/>
      <c r="Q123" s="1636"/>
      <c r="R123" s="1636"/>
    </row>
    <row r="124" ht="13.8" spans="2:18">
      <c r="B124" s="1636"/>
      <c r="C124" s="1636" t="s">
        <v>383</v>
      </c>
      <c r="D124" s="1636"/>
      <c r="E124" s="1636"/>
      <c r="F124" s="1636"/>
      <c r="G124" s="1636"/>
      <c r="H124" s="1636"/>
      <c r="I124" s="1636"/>
      <c r="J124" s="4695">
        <v>0</v>
      </c>
      <c r="K124" s="4707"/>
      <c r="L124" s="1636"/>
      <c r="M124" s="1636"/>
      <c r="N124" s="1636"/>
      <c r="O124" s="1636"/>
      <c r="P124" s="1636"/>
      <c r="Q124" s="1636"/>
      <c r="R124" s="1636"/>
    </row>
    <row r="125" ht="13.8" spans="2:18">
      <c r="B125" s="1636"/>
      <c r="C125" s="1636" t="s">
        <v>365</v>
      </c>
      <c r="D125" s="1636"/>
      <c r="E125" s="1636"/>
      <c r="F125" s="1636"/>
      <c r="G125" s="1636"/>
      <c r="H125" s="1636"/>
      <c r="I125" s="1636"/>
      <c r="J125" s="4695" t="e">
        <f>J96*0</f>
        <v>#REF!</v>
      </c>
      <c r="K125" s="4707"/>
      <c r="L125" s="1636"/>
      <c r="M125" s="1636"/>
      <c r="N125" s="1636"/>
      <c r="O125" s="1636"/>
      <c r="P125" s="1636"/>
      <c r="Q125" s="1636"/>
      <c r="R125" s="1636"/>
    </row>
    <row r="126" ht="13.8" spans="2:18">
      <c r="B126" s="1636"/>
      <c r="C126" s="1636" t="s">
        <v>384</v>
      </c>
      <c r="D126" s="1636"/>
      <c r="E126" s="1636"/>
      <c r="F126" s="1636"/>
      <c r="G126" s="1636"/>
      <c r="H126" s="1636"/>
      <c r="I126" s="1636"/>
      <c r="J126" s="4695">
        <v>0</v>
      </c>
      <c r="K126" s="4707"/>
      <c r="L126" s="1636"/>
      <c r="M126" s="1636"/>
      <c r="N126" s="1636"/>
      <c r="O126" s="1636"/>
      <c r="P126" s="1636"/>
      <c r="Q126" s="1636"/>
      <c r="R126" s="1636"/>
    </row>
    <row r="127" ht="13.8" spans="2:18">
      <c r="B127" s="1636"/>
      <c r="C127" s="1636" t="s">
        <v>367</v>
      </c>
      <c r="D127" s="1636"/>
      <c r="E127" s="1636"/>
      <c r="F127" s="1636"/>
      <c r="G127" s="1636"/>
      <c r="H127" s="1636"/>
      <c r="I127" s="1636"/>
      <c r="J127" s="4730">
        <v>0</v>
      </c>
      <c r="K127" s="4707"/>
      <c r="L127" s="1636"/>
      <c r="M127" s="1636"/>
      <c r="N127" s="1636"/>
      <c r="O127" s="1636"/>
      <c r="P127" s="1636"/>
      <c r="Q127" s="1636"/>
      <c r="R127" s="1636"/>
    </row>
    <row r="128" ht="13.8" spans="2:18">
      <c r="B128" s="1636"/>
      <c r="C128" s="1636"/>
      <c r="D128" s="1635" t="s">
        <v>385</v>
      </c>
      <c r="E128" s="1635"/>
      <c r="F128" s="1635"/>
      <c r="G128" s="1635"/>
      <c r="H128" s="1635"/>
      <c r="I128" s="1635"/>
      <c r="J128" s="4696" t="e">
        <f>SUM(J124:K127)</f>
        <v>#REF!</v>
      </c>
      <c r="K128" s="4693"/>
      <c r="L128" s="1636"/>
      <c r="M128" s="1636"/>
      <c r="N128" s="1636"/>
      <c r="O128" s="1636"/>
      <c r="P128" s="1636"/>
      <c r="Q128" s="1636"/>
      <c r="R128" s="1636"/>
    </row>
    <row r="129" ht="13.8" spans="2:18">
      <c r="B129" s="1636"/>
      <c r="C129" s="1635" t="s">
        <v>369</v>
      </c>
      <c r="D129" s="1636"/>
      <c r="E129" s="1636"/>
      <c r="F129" s="1636"/>
      <c r="G129" s="1636"/>
      <c r="H129" s="1636"/>
      <c r="I129" s="1636"/>
      <c r="J129" s="4729" t="e">
        <f>+J128+J121+J115</f>
        <v>#REF!</v>
      </c>
      <c r="K129" s="4707"/>
      <c r="L129" s="1636"/>
      <c r="M129" s="1636"/>
      <c r="N129" s="1636"/>
      <c r="O129" s="1636"/>
      <c r="P129" s="1636"/>
      <c r="Q129" s="1636"/>
      <c r="R129" s="1636"/>
    </row>
    <row r="130" ht="13.8" spans="2:18">
      <c r="B130" s="1636"/>
      <c r="C130" s="1636" t="s">
        <v>370</v>
      </c>
      <c r="D130" s="1636"/>
      <c r="E130" s="1636"/>
      <c r="F130" s="1636"/>
      <c r="G130" s="1636"/>
      <c r="H130" s="1636"/>
      <c r="I130" s="1636"/>
      <c r="J130" s="4726">
        <f>+I6</f>
        <v>750100447</v>
      </c>
      <c r="K130" s="4707"/>
      <c r="L130" s="1636"/>
      <c r="M130" s="1636"/>
      <c r="N130" s="1636"/>
      <c r="O130" s="1636"/>
      <c r="P130" s="1636"/>
      <c r="Q130" s="1636"/>
      <c r="R130" s="1636"/>
    </row>
    <row r="131" ht="14.55" spans="2:18">
      <c r="B131" s="1636"/>
      <c r="C131" s="1635" t="s">
        <v>371</v>
      </c>
      <c r="D131" s="1635"/>
      <c r="E131" s="1635"/>
      <c r="F131" s="1635"/>
      <c r="G131" s="1635"/>
      <c r="H131" s="1635"/>
      <c r="I131" s="1635"/>
      <c r="J131" s="4728" t="e">
        <f>+J129+J130</f>
        <v>#REF!</v>
      </c>
      <c r="K131" s="4693"/>
      <c r="L131" s="1636"/>
      <c r="M131" s="1636"/>
      <c r="N131" s="1636"/>
      <c r="O131" s="1636"/>
      <c r="P131" s="1636"/>
      <c r="Q131" s="1636"/>
      <c r="R131" s="1636"/>
    </row>
    <row r="132" ht="12.15" spans="10:10">
      <c r="J132" t="e">
        <f>#REF!</f>
        <v>#REF!</v>
      </c>
    </row>
    <row r="133" spans="10:10">
      <c r="J133" t="e">
        <f>J131-J132</f>
        <v>#REF!</v>
      </c>
    </row>
  </sheetData>
  <mergeCells count="1">
    <mergeCell ref="K67:N67"/>
  </mergeCells>
  <pageMargins left="0.7" right="0.7" top="0.75" bottom="0.75" header="0.3" footer="0.3"/>
  <pageSetup paperSize="1"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7"/>
  <dimension ref="B2:J100"/>
  <sheetViews>
    <sheetView showGridLines="0" zoomScale="130" zoomScaleNormal="130" workbookViewId="0">
      <pane xSplit="3" ySplit="6" topLeftCell="D59" activePane="bottomRight" state="frozen"/>
      <selection/>
      <selection pane="topRight"/>
      <selection pane="bottomLeft"/>
      <selection pane="bottomRight" activeCell="F80" sqref="F80"/>
    </sheetView>
  </sheetViews>
  <sheetFormatPr defaultColWidth="9.58333333333333" defaultRowHeight="11.4"/>
  <cols>
    <col min="1" max="1" width="4.19791666666667" style="64" customWidth="1"/>
    <col min="2" max="2" width="9.73958333333333" style="64" customWidth="1"/>
    <col min="3" max="3" width="38.2083333333333" style="64" customWidth="1"/>
    <col min="4" max="4" width="19.9270833333333" style="64" customWidth="1"/>
    <col min="5" max="5" width="18.5833333333333" style="64" customWidth="1"/>
    <col min="6" max="6" width="17.8333333333333" style="64" customWidth="1"/>
    <col min="7" max="7" width="18.125" style="64" hidden="1" customWidth="1"/>
    <col min="8" max="8" width="17.2291666666667" style="64" customWidth="1"/>
    <col min="9" max="9" width="11.53125" style="64" customWidth="1"/>
    <col min="10" max="16384" width="9.58333333333333" style="64"/>
  </cols>
  <sheetData>
    <row r="2" ht="12" spans="2:2">
      <c r="B2" s="94" t="str">
        <f>+'F1'!C4</f>
        <v>PT INTAN GIRI ABADI</v>
      </c>
    </row>
    <row r="3" ht="12" spans="2:2">
      <c r="B3" s="94" t="s">
        <v>386</v>
      </c>
    </row>
    <row r="5" s="94" customFormat="1" ht="12" spans="2:7">
      <c r="B5" s="94" t="s">
        <v>26</v>
      </c>
      <c r="C5" s="94" t="s">
        <v>387</v>
      </c>
      <c r="D5" s="94" t="s">
        <v>388</v>
      </c>
      <c r="E5" s="94" t="s">
        <v>388</v>
      </c>
      <c r="F5" s="94" t="s">
        <v>388</v>
      </c>
      <c r="G5" s="94" t="s">
        <v>388</v>
      </c>
    </row>
    <row r="6" spans="2:7">
      <c r="B6" s="64">
        <v>1</v>
      </c>
      <c r="C6" s="64" t="s">
        <v>389</v>
      </c>
      <c r="D6" s="4679">
        <v>2022</v>
      </c>
      <c r="E6" s="4679">
        <v>2021</v>
      </c>
      <c r="F6" s="4679">
        <v>2020</v>
      </c>
      <c r="G6" s="4679">
        <v>2019</v>
      </c>
    </row>
    <row r="7" spans="3:8">
      <c r="C7" s="64" t="s">
        <v>390</v>
      </c>
      <c r="H7" s="64">
        <f>+'[68]CF arus kas'!F50-'[68]CF arus kas'!F43</f>
        <v>0</v>
      </c>
    </row>
    <row r="8" spans="3:7">
      <c r="C8" s="64" t="s">
        <v>391</v>
      </c>
      <c r="D8" s="64">
        <f>-E13</f>
        <v>1205578095.27479</v>
      </c>
      <c r="E8" s="64">
        <f>-F13</f>
        <v>1233508998.39333</v>
      </c>
      <c r="F8" s="64">
        <f>-G13</f>
        <v>1273037990</v>
      </c>
      <c r="G8" s="64">
        <v>2123479896</v>
      </c>
    </row>
    <row r="9" ht="9.2" customHeight="1"/>
    <row r="10" spans="3:3">
      <c r="C10" s="64" t="s">
        <v>392</v>
      </c>
    </row>
    <row r="11" spans="3:7">
      <c r="C11" s="64" t="s">
        <v>393</v>
      </c>
      <c r="D11" s="64">
        <f>+'F3'!K13</f>
        <v>7474615453.59131</v>
      </c>
      <c r="E11" s="64">
        <f>+'F3'!Q13</f>
        <v>5551498722</v>
      </c>
      <c r="F11" s="64">
        <f>+'F3'!R13</f>
        <v>12507006890.5</v>
      </c>
      <c r="G11" s="64">
        <f>+'F3'!S13</f>
        <v>15876744367</v>
      </c>
    </row>
    <row r="12" spans="3:7">
      <c r="C12" s="64" t="s">
        <v>390</v>
      </c>
      <c r="G12" s="64">
        <v>0</v>
      </c>
    </row>
    <row r="13" spans="3:7">
      <c r="C13" s="64" t="s">
        <v>394</v>
      </c>
      <c r="D13" s="1350">
        <f>-SUM('F1'!J17)-B!K39</f>
        <v>-2119615270.2</v>
      </c>
      <c r="E13" s="1350">
        <f>-'F1'!P17</f>
        <v>-1205578095.27479</v>
      </c>
      <c r="F13" s="1350">
        <f>-'F1'!Q17</f>
        <v>-1233508998.39333</v>
      </c>
      <c r="G13" s="1350">
        <f>-'F1'!R17</f>
        <v>-1273037990</v>
      </c>
    </row>
    <row r="14" spans="3:7">
      <c r="C14" s="64" t="s">
        <v>395</v>
      </c>
      <c r="D14" s="2402"/>
      <c r="E14" s="2402"/>
      <c r="F14" s="2402"/>
      <c r="G14" s="2402"/>
    </row>
    <row r="15" spans="3:7">
      <c r="C15" s="64" t="s">
        <v>396</v>
      </c>
      <c r="D15" s="64">
        <f>SUM(D8:D14)</f>
        <v>6560578278.6661</v>
      </c>
      <c r="E15" s="64">
        <f>SUM(E8:E14)</f>
        <v>5579429625.11854</v>
      </c>
      <c r="F15" s="64">
        <f>SUM(F8:F14)</f>
        <v>12546535882.1067</v>
      </c>
      <c r="G15" s="64">
        <f>SUM(G8:G14)</f>
        <v>16727186273</v>
      </c>
    </row>
    <row r="18" spans="2:3">
      <c r="B18" s="64">
        <v>2</v>
      </c>
      <c r="C18" s="64" t="s">
        <v>397</v>
      </c>
    </row>
    <row r="19" spans="2:3">
      <c r="B19" s="64" t="s">
        <v>142</v>
      </c>
      <c r="C19" s="64" t="s">
        <v>398</v>
      </c>
    </row>
    <row r="20" spans="3:7">
      <c r="C20" s="64" t="s">
        <v>399</v>
      </c>
      <c r="D20" s="64">
        <f>-SUM('FS-22'!Y37:AE37)</f>
        <v>-869165810</v>
      </c>
      <c r="E20" s="64">
        <f>-SUM('FS-21'!AG37:AM37)</f>
        <v>-1840865220</v>
      </c>
      <c r="F20" s="64">
        <f>-'FS-21'!AO37</f>
        <v>-1873053071</v>
      </c>
      <c r="G20" s="64">
        <f>-'F2'!S16</f>
        <v>-1873053071</v>
      </c>
    </row>
    <row r="21" spans="3:3">
      <c r="C21" s="64" t="s">
        <v>400</v>
      </c>
    </row>
    <row r="22" spans="3:7">
      <c r="C22" s="64" t="s">
        <v>401</v>
      </c>
      <c r="D22" s="64">
        <f>-'20'!F37</f>
        <v>-502700450</v>
      </c>
      <c r="E22" s="64">
        <f>-'20'!G37</f>
        <v>-533495000</v>
      </c>
      <c r="F22" s="64">
        <f>-'20'!H37</f>
        <v>-1616911781.57465</v>
      </c>
      <c r="G22" s="64">
        <f>-'20'!I37</f>
        <v>-2554201680.08576</v>
      </c>
    </row>
    <row r="23" spans="3:7">
      <c r="C23" s="64" t="s">
        <v>402</v>
      </c>
      <c r="D23" s="64">
        <f>-('20'!F40+'20'!F41)</f>
        <v>-472230949.790218</v>
      </c>
      <c r="E23" s="64">
        <f>-('20'!G40+'20'!G41)</f>
        <v>-489656175</v>
      </c>
      <c r="F23" s="64">
        <f>-('20'!H40+'20'!H41)</f>
        <v>-5071128850.36736</v>
      </c>
      <c r="G23" s="64">
        <f>-('20'!I40+'20'!I41)</f>
        <v>0</v>
      </c>
    </row>
    <row r="24" spans="3:7">
      <c r="C24" s="64" t="s">
        <v>403</v>
      </c>
      <c r="D24" s="64">
        <f>+'FS-22'!W37</f>
        <v>111500000</v>
      </c>
      <c r="E24" s="64">
        <f>SUM('FS-21'!Y37:AE37)</f>
        <v>869165810</v>
      </c>
      <c r="F24" s="64">
        <f>SUM('FS-21'!AG37:AM37)</f>
        <v>1840865220</v>
      </c>
      <c r="G24" s="64">
        <v>0</v>
      </c>
    </row>
    <row r="25" hidden="1" spans="3:6">
      <c r="C25" s="64" t="s">
        <v>404</v>
      </c>
      <c r="E25" s="64">
        <v>0</v>
      </c>
      <c r="F25" s="64">
        <v>0</v>
      </c>
    </row>
    <row r="26" hidden="1" spans="3:8">
      <c r="C26" t="s">
        <v>405</v>
      </c>
      <c r="D26" s="64">
        <v>0</v>
      </c>
      <c r="E26" s="1350">
        <v>0</v>
      </c>
      <c r="F26" s="1350">
        <v>0</v>
      </c>
      <c r="G26" s="1350"/>
      <c r="H26" s="1350"/>
    </row>
    <row r="27" hidden="1" spans="3:5">
      <c r="C27" s="64">
        <v>0</v>
      </c>
      <c r="E27">
        <v>0</v>
      </c>
    </row>
    <row r="28" ht="9" customHeight="1" spans="4:7">
      <c r="D28" s="2402"/>
      <c r="E28" s="2402"/>
      <c r="F28" s="2402"/>
      <c r="G28" s="2402"/>
    </row>
    <row r="29" spans="3:7">
      <c r="C29" s="64" t="s">
        <v>396</v>
      </c>
      <c r="D29" s="64">
        <f>SUM(D20:D28)</f>
        <v>-1732597209.79022</v>
      </c>
      <c r="E29" s="64">
        <f>SUM(E20:E28)</f>
        <v>-1994850585</v>
      </c>
      <c r="F29" s="64">
        <f>SUM(F20:F28)</f>
        <v>-6720228482.94201</v>
      </c>
      <c r="G29" s="64">
        <f>SUM(G20:G28)</f>
        <v>-4427254751.08576</v>
      </c>
    </row>
    <row r="31" spans="2:3">
      <c r="B31" s="64" t="s">
        <v>148</v>
      </c>
      <c r="C31" s="64" t="s">
        <v>406</v>
      </c>
    </row>
    <row r="32" spans="3:7">
      <c r="C32" s="64" t="s">
        <v>407</v>
      </c>
      <c r="D32" s="64">
        <f>-'20'!F38</f>
        <v>-422300500</v>
      </c>
      <c r="E32" s="64">
        <f>-'20'!G38</f>
        <v>-414511498</v>
      </c>
      <c r="F32" s="64">
        <f>-'20'!H38</f>
        <v>-1403986764.01995</v>
      </c>
      <c r="G32" s="64">
        <f>-'20'!I38</f>
        <v>-1483738620.00935</v>
      </c>
    </row>
    <row r="33" hidden="1" spans="3:7">
      <c r="C33" s="64" t="s">
        <v>408</v>
      </c>
      <c r="D33" s="64">
        <f>-'40'!K15</f>
        <v>0</v>
      </c>
      <c r="E33" s="64">
        <f>-'40'!Q15</f>
        <v>0</v>
      </c>
      <c r="F33" s="64">
        <v>0</v>
      </c>
      <c r="G33" s="64">
        <v>0</v>
      </c>
    </row>
    <row r="34" spans="3:7">
      <c r="C34" s="64" t="s">
        <v>409</v>
      </c>
      <c r="D34" s="64">
        <f>-'40'!F27</f>
        <v>-585722836</v>
      </c>
      <c r="E34" s="1350">
        <f>-'40'!L27</f>
        <v>-602760278.3</v>
      </c>
      <c r="F34" s="1350">
        <f>-'40'!R27</f>
        <v>-962089454.462427</v>
      </c>
      <c r="G34" s="1350">
        <v>0</v>
      </c>
    </row>
    <row r="35" ht="5.85" customHeight="1" spans="4:7">
      <c r="D35" s="2402"/>
      <c r="E35" s="2402"/>
      <c r="F35" s="2402"/>
      <c r="G35" s="2402"/>
    </row>
    <row r="36" spans="3:7">
      <c r="C36" s="64" t="s">
        <v>396</v>
      </c>
      <c r="D36" s="64">
        <f>SUM(D32:D35)</f>
        <v>-1008023336</v>
      </c>
      <c r="E36" s="64">
        <f>SUM(E32:E35)</f>
        <v>-1017271776.3</v>
      </c>
      <c r="F36" s="64">
        <f>SUM(F32:F35)</f>
        <v>-2366076218.48237</v>
      </c>
      <c r="G36" s="64">
        <f>SUM(G32:G35)</f>
        <v>-1483738620.00935</v>
      </c>
    </row>
    <row r="38" spans="2:3">
      <c r="B38" s="64" t="s">
        <v>410</v>
      </c>
      <c r="C38" s="64" t="s">
        <v>411</v>
      </c>
    </row>
    <row r="39" spans="3:7">
      <c r="C39" s="64" t="s">
        <v>412</v>
      </c>
      <c r="D39" s="64">
        <f>-'40'!K39</f>
        <v>-1269740746.64</v>
      </c>
      <c r="E39" s="64">
        <f>-SUM('40'!Q39)</f>
        <v>-1493504389.8</v>
      </c>
      <c r="F39" s="64">
        <f>-SUM('40'!R39)</f>
        <v>-1672704572.03805</v>
      </c>
      <c r="G39" s="64">
        <v>0</v>
      </c>
    </row>
    <row r="40" hidden="1" spans="3:7">
      <c r="C40" s="64" t="s">
        <v>408</v>
      </c>
      <c r="D40" s="64">
        <f>-D33</f>
        <v>0</v>
      </c>
      <c r="E40" s="64">
        <v>0</v>
      </c>
      <c r="F40" s="64">
        <f>-F33</f>
        <v>0</v>
      </c>
      <c r="G40" s="64">
        <f>-G33</f>
        <v>0</v>
      </c>
    </row>
    <row r="41" spans="3:7">
      <c r="C41" s="64" t="s">
        <v>409</v>
      </c>
      <c r="D41" s="64">
        <f>-D34</f>
        <v>585722836</v>
      </c>
      <c r="E41" s="64">
        <f>-E34</f>
        <v>602760278.3</v>
      </c>
      <c r="F41" s="64">
        <f>-F34</f>
        <v>962089454.462427</v>
      </c>
      <c r="G41" s="64">
        <f>-G34</f>
        <v>0</v>
      </c>
    </row>
    <row r="42" spans="3:7">
      <c r="C42" s="64" t="s">
        <v>36</v>
      </c>
      <c r="D42" s="64">
        <f>+'40'!K30</f>
        <v>545866843</v>
      </c>
      <c r="E42" s="64">
        <f>+'40'!Q30</f>
        <v>177633247.9</v>
      </c>
      <c r="F42" s="64">
        <f>+'40'!R30</f>
        <v>76822512.5756187</v>
      </c>
      <c r="G42" s="64">
        <v>0</v>
      </c>
    </row>
    <row r="43" ht="7.5" customHeight="1" spans="4:7">
      <c r="D43" s="2402"/>
      <c r="E43" s="2402"/>
      <c r="F43" s="2402"/>
      <c r="G43" s="2402"/>
    </row>
    <row r="44" spans="3:7">
      <c r="C44" s="64" t="s">
        <v>151</v>
      </c>
      <c r="D44" s="64">
        <f>SUM(D39:D43)</f>
        <v>-138151067.64</v>
      </c>
      <c r="E44" s="64">
        <f>SUM(E39:E43)</f>
        <v>-713110863.6</v>
      </c>
      <c r="F44" s="64">
        <f>SUM(F39:F43)</f>
        <v>-633792605</v>
      </c>
      <c r="G44" s="64">
        <f>SUM(G39:G43)</f>
        <v>0</v>
      </c>
    </row>
    <row r="47" spans="2:3">
      <c r="B47" s="64" t="s">
        <v>413</v>
      </c>
      <c r="C47" s="64" t="s">
        <v>414</v>
      </c>
    </row>
    <row r="48" spans="3:3">
      <c r="C48" s="64" t="s">
        <v>415</v>
      </c>
    </row>
    <row r="49" spans="3:7">
      <c r="C49" s="64" t="s">
        <v>416</v>
      </c>
      <c r="D49" s="64">
        <f>-'50'!J48</f>
        <v>-5261099</v>
      </c>
      <c r="E49" s="64">
        <f>-'50'!P48</f>
        <v>-18908000</v>
      </c>
      <c r="F49" s="64">
        <f>-'50'!Q48</f>
        <v>-23958695</v>
      </c>
      <c r="G49" s="64">
        <v>0</v>
      </c>
    </row>
    <row r="50" spans="3:7">
      <c r="C50" s="64" t="s">
        <v>417</v>
      </c>
      <c r="D50" s="64">
        <f>-SUM('50'!J57:J72)</f>
        <v>-341778163.5352</v>
      </c>
      <c r="E50" s="64">
        <f>-SUM('50'!P57:P72)</f>
        <v>-130887501.624398</v>
      </c>
      <c r="F50" s="64">
        <f>-SUM('50'!Q57:Q72)</f>
        <v>-116843108</v>
      </c>
      <c r="G50" s="64">
        <v>0</v>
      </c>
    </row>
    <row r="52" spans="2:3">
      <c r="B52" s="64" t="s">
        <v>418</v>
      </c>
      <c r="C52" s="64" t="s">
        <v>419</v>
      </c>
    </row>
    <row r="53" spans="3:3">
      <c r="C53" s="64" t="s">
        <v>415</v>
      </c>
    </row>
    <row r="54" spans="3:7">
      <c r="C54" s="64" t="s">
        <v>420</v>
      </c>
      <c r="D54" s="64">
        <f>+'50'!J22</f>
        <v>968019.0607</v>
      </c>
      <c r="E54" s="64">
        <f>+'50'!P22</f>
        <v>6328441.05</v>
      </c>
      <c r="F54" s="64">
        <f>+'50'!Q22</f>
        <v>8249050</v>
      </c>
      <c r="G54" s="64">
        <v>0</v>
      </c>
    </row>
    <row r="55" spans="3:7">
      <c r="C55" s="64" t="s">
        <v>421</v>
      </c>
      <c r="D55" s="64">
        <f>+'50'!J35</f>
        <v>0</v>
      </c>
      <c r="E55" s="64">
        <f>+'50'!P35</f>
        <v>5600000</v>
      </c>
      <c r="F55" s="64">
        <f>+'50'!Q35</f>
        <v>1800000</v>
      </c>
      <c r="G55" s="64">
        <v>0</v>
      </c>
    </row>
    <row r="57" spans="2:3">
      <c r="B57" s="64" t="s">
        <v>422</v>
      </c>
      <c r="C57" s="64" t="s">
        <v>423</v>
      </c>
    </row>
    <row r="58" spans="3:6">
      <c r="C58" s="64" t="s">
        <v>424</v>
      </c>
      <c r="D58" s="64">
        <f>-FF!H16</f>
        <v>0</v>
      </c>
      <c r="F58" s="64">
        <f>-'FS-21'!AQ15</f>
        <v>129192211.333333</v>
      </c>
    </row>
    <row r="59" spans="3:7">
      <c r="C59" s="64" t="s">
        <v>425</v>
      </c>
      <c r="D59" s="1350">
        <f>+'FS-22'!AP38</f>
        <v>-46916405.4861017</v>
      </c>
      <c r="E59" s="1350">
        <f>+'FS-21'!AP38</f>
        <v>-14378554.5197069</v>
      </c>
      <c r="F59" s="1350">
        <f>+'FS-21'!AQ38</f>
        <v>115502675.25221</v>
      </c>
      <c r="G59" s="1350">
        <v>0</v>
      </c>
    </row>
    <row r="60" spans="4:7">
      <c r="D60" s="2402"/>
      <c r="E60" s="2402"/>
      <c r="F60" s="2402"/>
      <c r="G60" s="2402"/>
    </row>
    <row r="61" spans="3:7">
      <c r="C61" s="64" t="s">
        <v>151</v>
      </c>
      <c r="D61" s="64">
        <f>SUM(D58:D60)</f>
        <v>-46916405.4861017</v>
      </c>
      <c r="E61" s="64">
        <f>SUM(E58:E60)</f>
        <v>-14378554.5197069</v>
      </c>
      <c r="F61" s="64">
        <f>SUM(F58:F60)</f>
        <v>244694886.585544</v>
      </c>
      <c r="G61" s="64">
        <f>SUM(G58:G60)</f>
        <v>0</v>
      </c>
    </row>
    <row r="63" spans="2:3">
      <c r="B63" s="64" t="s">
        <v>426</v>
      </c>
      <c r="C63" s="64" t="s">
        <v>377</v>
      </c>
    </row>
    <row r="64" spans="3:6">
      <c r="C64" s="64" t="s">
        <v>417</v>
      </c>
      <c r="E64" s="64">
        <v>0</v>
      </c>
      <c r="F64" s="64">
        <v>0</v>
      </c>
    </row>
    <row r="65" ht="7.35" customHeight="1" spans="4:7">
      <c r="D65" s="2402"/>
      <c r="E65" s="2402"/>
      <c r="F65" s="2402"/>
      <c r="G65" s="2402"/>
    </row>
    <row r="66" spans="3:7">
      <c r="C66" s="64" t="s">
        <v>151</v>
      </c>
      <c r="E66" s="64">
        <f>SUM(E64:E65)</f>
        <v>0</v>
      </c>
      <c r="F66" s="64">
        <f>SUM(F64:F65)</f>
        <v>0</v>
      </c>
      <c r="G66" s="64">
        <f>SUM(G64:G65)</f>
        <v>0</v>
      </c>
    </row>
    <row r="68" spans="2:3">
      <c r="B68" s="64" t="s">
        <v>427</v>
      </c>
      <c r="C68" s="64" t="s">
        <v>428</v>
      </c>
    </row>
    <row r="69" spans="3:7">
      <c r="C69" s="64" t="s">
        <v>429</v>
      </c>
      <c r="D69" s="64">
        <f>-UV!P23-UV!T23</f>
        <v>-1589217281</v>
      </c>
      <c r="E69" s="64">
        <f>-Note21!W140</f>
        <v>-3225000</v>
      </c>
      <c r="F69" s="64">
        <f>-Note21!W173</f>
        <v>-1600000</v>
      </c>
      <c r="G69" s="64">
        <v>0</v>
      </c>
    </row>
    <row r="70" spans="4:6">
      <c r="D70" s="64">
        <v>0</v>
      </c>
      <c r="E70" s="64">
        <v>0</v>
      </c>
      <c r="F70" s="64">
        <v>0</v>
      </c>
    </row>
    <row r="71" ht="10.5" customHeight="1" spans="4:7">
      <c r="D71" s="2402"/>
      <c r="E71" s="2402"/>
      <c r="F71" s="2402"/>
      <c r="G71" s="2402"/>
    </row>
    <row r="72" spans="3:7">
      <c r="C72" s="64" t="s">
        <v>151</v>
      </c>
      <c r="D72" s="64">
        <f>SUM(D69:D71)</f>
        <v>-1589217281</v>
      </c>
      <c r="E72" s="64">
        <f>SUM(E69:E71)</f>
        <v>-3225000</v>
      </c>
      <c r="F72" s="64">
        <f>SUM(F69:F71)</f>
        <v>-1600000</v>
      </c>
      <c r="G72" s="64">
        <f>SUM(G69:G71)</f>
        <v>0</v>
      </c>
    </row>
    <row r="74" spans="2:3">
      <c r="B74" s="64" t="s">
        <v>430</v>
      </c>
      <c r="C74" s="64" t="s">
        <v>431</v>
      </c>
    </row>
    <row r="75" spans="3:7">
      <c r="C75" s="64" t="s">
        <v>432</v>
      </c>
      <c r="D75" s="64">
        <f>-'FS-22'!AP14</f>
        <v>1396640000</v>
      </c>
      <c r="E75" s="64">
        <f>-'FS-21'!AP14</f>
        <v>-687681814.67</v>
      </c>
      <c r="F75" s="64">
        <f>-'FS-21'!AQ14</f>
        <v>1497893314.67</v>
      </c>
      <c r="G75" s="64">
        <v>0</v>
      </c>
    </row>
    <row r="76" spans="3:7">
      <c r="C76" s="64" t="s">
        <v>433</v>
      </c>
      <c r="D76" s="64">
        <f>-'FS-22'!AP22</f>
        <v>2593760000</v>
      </c>
      <c r="E76" s="64">
        <f>-'FS-21'!AP22</f>
        <v>-7793760000</v>
      </c>
      <c r="F76" s="64">
        <f>-'FS-21'!AQ22</f>
        <v>9298438500</v>
      </c>
      <c r="G76" s="64">
        <v>0</v>
      </c>
    </row>
    <row r="77" spans="3:10">
      <c r="C77" s="64" t="s">
        <v>434</v>
      </c>
      <c r="D77" s="64">
        <f>-'FS-22'!AP17-257735879</f>
        <v>5577310648.8918</v>
      </c>
      <c r="E77" s="64">
        <f>-'FS-21'!AP17-121498966</f>
        <v>11562747341.732</v>
      </c>
      <c r="F77" s="64">
        <f>-'FS-21'!AQ17-5487967</f>
        <v>16103960748.1325</v>
      </c>
      <c r="H77" s="64">
        <f>+'CF 22'!F50</f>
        <v>-0.0236194729804993</v>
      </c>
      <c r="I77" s="64">
        <f>+'CF 22'!H50</f>
        <v>0.197480201721191</v>
      </c>
      <c r="J77" s="64">
        <f>+'CF 22'!J50</f>
        <v>-0.19326388835907</v>
      </c>
    </row>
    <row r="78" spans="3:6">
      <c r="C78" s="64" t="s">
        <v>435</v>
      </c>
      <c r="D78" s="64">
        <f>+'FS-22'!AP42</f>
        <v>-2145000000</v>
      </c>
      <c r="E78" s="64">
        <f>+'FS-21'!AP41</f>
        <v>-844000000</v>
      </c>
      <c r="F78" s="64">
        <f>+'FS-21'!AQ41</f>
        <v>-22381671006.6137</v>
      </c>
    </row>
    <row r="79" spans="3:6">
      <c r="C79" s="64" t="s">
        <v>436</v>
      </c>
      <c r="D79" s="64">
        <f>+'FS-22'!AP49</f>
        <v>-11454261221.0357</v>
      </c>
      <c r="E79" s="64">
        <f>+'FS-21'!AP48</f>
        <v>-1469958242.8902</v>
      </c>
      <c r="F79" s="64">
        <f>+'FS-21'!AQ48</f>
        <v>-6497634225.0741</v>
      </c>
    </row>
    <row r="80" spans="3:7">
      <c r="C80" s="64" t="s">
        <v>437</v>
      </c>
      <c r="D80" s="1350">
        <f>+'FS-22'!AP41</f>
        <v>377949256</v>
      </c>
      <c r="E80" s="1350">
        <f>+'FS-21'!AP40</f>
        <v>-407769276.579963</v>
      </c>
      <c r="F80" s="1350">
        <f>+'FS-21'!AQ40</f>
        <v>708528515.579963</v>
      </c>
      <c r="G80" s="1350"/>
    </row>
    <row r="81" s="64" customFormat="1" spans="3:7">
      <c r="C81" s="64" t="s">
        <v>438</v>
      </c>
      <c r="D81" s="1350">
        <f>+'FS-22'!AP48</f>
        <v>991411710</v>
      </c>
      <c r="E81" s="1350">
        <f>+'FS-21'!AP47</f>
        <v>-778392443.938801</v>
      </c>
      <c r="F81" s="1350">
        <f>+'FS-21'!AQ47</f>
        <v>162079089.938801</v>
      </c>
      <c r="G81" s="1350"/>
    </row>
    <row r="82" s="64" customFormat="1" spans="3:7">
      <c r="C82" s="64" t="s">
        <v>439</v>
      </c>
      <c r="D82" s="1350">
        <f>+H!E45+H!J45+H!P45</f>
        <v>2421712815</v>
      </c>
      <c r="E82" s="1350">
        <f>-'FS-21'!AP28</f>
        <v>0</v>
      </c>
      <c r="F82" s="1350">
        <f>-'FS-21'!AQ28</f>
        <v>-814295060</v>
      </c>
      <c r="G82" s="1350"/>
    </row>
    <row r="83" s="64" customFormat="1" spans="4:7">
      <c r="D83" s="1350"/>
      <c r="E83" s="1350"/>
      <c r="F83" s="1350"/>
      <c r="G83" s="1350"/>
    </row>
    <row r="84" spans="3:7">
      <c r="C84" s="64" t="s">
        <v>151</v>
      </c>
      <c r="D84" s="3824">
        <f>SUM(D75:D83)</f>
        <v>-240476791.143902</v>
      </c>
      <c r="E84" s="3824">
        <f t="shared" ref="E84:G84" si="0">SUM(E75:E83)</f>
        <v>-418814436.346956</v>
      </c>
      <c r="F84" s="3824">
        <f t="shared" si="0"/>
        <v>-1922700123.36654</v>
      </c>
      <c r="G84" s="3824">
        <f t="shared" si="0"/>
        <v>0</v>
      </c>
    </row>
    <row r="86" spans="2:3">
      <c r="B86" s="64" t="s">
        <v>440</v>
      </c>
      <c r="C86" s="64" t="s">
        <v>441</v>
      </c>
    </row>
    <row r="87" spans="3:7">
      <c r="C87" s="64" t="s">
        <v>442</v>
      </c>
      <c r="D87" s="64">
        <f>+'FS-22'!AP40</f>
        <v>-3625095820</v>
      </c>
      <c r="E87" s="64">
        <f>+'FS-21'!AP39</f>
        <v>-1012519257.16</v>
      </c>
      <c r="F87" s="64">
        <f>+'FS-21'!AQ39</f>
        <v>-798839010.84</v>
      </c>
      <c r="G87" s="64">
        <v>0</v>
      </c>
    </row>
    <row r="88" s="64" customFormat="1" spans="3:6">
      <c r="C88" s="64" t="s">
        <v>443</v>
      </c>
      <c r="D88" s="64">
        <f>+'FS-22'!AP47</f>
        <v>1865513236</v>
      </c>
      <c r="E88" s="64">
        <f>+'FS-21'!AP46</f>
        <v>-1462647358.84</v>
      </c>
      <c r="F88" s="64">
        <f>+'FS-21'!AQ46</f>
        <v>-388039449.16</v>
      </c>
    </row>
    <row r="89" spans="4:7">
      <c r="D89" s="2402"/>
      <c r="E89" s="2402"/>
      <c r="F89" s="2402"/>
      <c r="G89" s="2402"/>
    </row>
    <row r="90" spans="3:7">
      <c r="C90" s="64" t="s">
        <v>444</v>
      </c>
      <c r="D90" s="64">
        <f>SUM(D86:D87)</f>
        <v>-3625095820</v>
      </c>
      <c r="E90" s="64">
        <f>SUM(E86:E87)</f>
        <v>-1012519257.16</v>
      </c>
      <c r="F90" s="64">
        <f>SUM(F86:F87)</f>
        <v>-798839010.84</v>
      </c>
      <c r="G90" s="64">
        <f>SUM(G86:G87)</f>
        <v>0</v>
      </c>
    </row>
    <row r="91" spans="4:7">
      <c r="D91" s="2402"/>
      <c r="E91" s="2402"/>
      <c r="F91" s="2402"/>
      <c r="G91" s="2402"/>
    </row>
    <row r="92" spans="3:7">
      <c r="C92" s="64" t="s">
        <v>396</v>
      </c>
      <c r="D92" s="64">
        <f>+D15+D29+D36+D44+D49+D61+D66+D72+D50+D84+D90</f>
        <v>-2166938894.92932</v>
      </c>
      <c r="E92" s="64">
        <f>+E15+E29+E36+E44+E49+E61+E66+E72+E50+E84+E90</f>
        <v>255463650.56748</v>
      </c>
      <c r="F92" s="64">
        <f>+F15+F29+F36+F44+F49+F61+F66+F72+F50+F84+F90</f>
        <v>207192525.061286</v>
      </c>
      <c r="G92" s="64">
        <f>+G15+G29+G36+G44+G49+G61+G66+G72+G50+G84+G90</f>
        <v>10816192901.9049</v>
      </c>
    </row>
    <row r="95" spans="3:6">
      <c r="C95" s="64" t="s">
        <v>445</v>
      </c>
      <c r="F95" s="64">
        <f>+'FS-21'!AO11</f>
        <v>341662287.53045</v>
      </c>
    </row>
    <row r="97" spans="3:6">
      <c r="C97" s="64" t="s">
        <v>446</v>
      </c>
      <c r="D97" s="64">
        <f>SUM(D92:D96)</f>
        <v>-2166938894.92932</v>
      </c>
      <c r="E97" s="64">
        <f>SUM(E92:E96)</f>
        <v>255463650.56748</v>
      </c>
      <c r="F97" s="64">
        <f>SUM(F92:F96)</f>
        <v>548854812.591736</v>
      </c>
    </row>
    <row r="98" spans="3:6">
      <c r="C98" s="64" t="s">
        <v>447</v>
      </c>
      <c r="D98" s="64">
        <f>+'FS-22'!W11</f>
        <v>203630473.005</v>
      </c>
      <c r="E98" s="64">
        <f>SUM('FS-22'!Y11:AE11)</f>
        <v>295686160.08</v>
      </c>
      <c r="F98" s="64">
        <f>SUM('FS-22'!AG11:AM11)</f>
        <v>750100447</v>
      </c>
    </row>
    <row r="99" spans="4:6">
      <c r="D99" s="2402"/>
      <c r="E99" s="2402"/>
      <c r="F99" s="2402"/>
    </row>
    <row r="100" spans="3:6">
      <c r="C100" s="64" t="s">
        <v>448</v>
      </c>
      <c r="D100" s="64">
        <f>+D97-D98</f>
        <v>-2370569367.93432</v>
      </c>
      <c r="E100" s="64">
        <f>+E97-E98</f>
        <v>-40222509.5125198</v>
      </c>
      <c r="F100" s="64">
        <f>+F97-F98</f>
        <v>-201245634.408264</v>
      </c>
    </row>
  </sheetData>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71"/>
  <sheetViews>
    <sheetView zoomScale="160" zoomScaleNormal="160" workbookViewId="0">
      <pane xSplit="4" ySplit="8" topLeftCell="E9" activePane="bottomRight" state="frozen"/>
      <selection/>
      <selection pane="topRight"/>
      <selection pane="bottomLeft"/>
      <selection pane="bottomRight" activeCell="D69" sqref="D69"/>
    </sheetView>
  </sheetViews>
  <sheetFormatPr defaultColWidth="8.84375" defaultRowHeight="11.4"/>
  <cols>
    <col min="1" max="1" width="3" customWidth="1"/>
    <col min="2" max="3" width="9.13541666666667" style="64" customWidth="1"/>
    <col min="4" max="4" width="12.1354166666667" style="64" customWidth="1"/>
    <col min="5" max="5" width="22.3229166666667" style="64" customWidth="1"/>
    <col min="6" max="6" width="19.03125" style="64" hidden="1" customWidth="1"/>
    <col min="7" max="7" width="2.39583333333333" style="64" customWidth="1"/>
    <col min="8" max="8" width="19.03125" style="64" customWidth="1"/>
    <col min="9" max="9" width="2.39583333333333" style="64" customWidth="1"/>
    <col min="10" max="10" width="17.53125" style="64" customWidth="1"/>
    <col min="12" max="12" width="18.7291666666667" customWidth="1"/>
  </cols>
  <sheetData>
    <row r="2" ht="12" spans="2:3">
      <c r="B2" s="3607" t="str">
        <f>PM!F4</f>
        <v>PT INTAN GIRI ABADI</v>
      </c>
      <c r="C2" s="3606"/>
    </row>
    <row r="3" ht="12" spans="2:3">
      <c r="B3" s="5010" t="s">
        <v>288</v>
      </c>
      <c r="C3" s="3606"/>
    </row>
    <row r="4" ht="12" spans="2:3">
      <c r="B4" s="5010" t="s">
        <v>449</v>
      </c>
      <c r="C4" s="3606"/>
    </row>
    <row r="5" spans="2:3">
      <c r="B5" s="3609" t="s">
        <v>450</v>
      </c>
      <c r="C5" s="3606"/>
    </row>
    <row r="6" spans="2:10">
      <c r="B6" s="4548"/>
      <c r="C6" s="3611"/>
      <c r="D6" s="2402"/>
      <c r="E6" s="2402"/>
      <c r="F6" s="2402"/>
      <c r="G6" s="2402"/>
      <c r="H6" s="2402"/>
      <c r="I6" s="2402"/>
      <c r="J6" s="2402"/>
    </row>
    <row r="8" ht="15.6" spans="6:10">
      <c r="F8" s="5013" t="s">
        <v>451</v>
      </c>
      <c r="H8" s="5013" t="s">
        <v>452</v>
      </c>
      <c r="I8" s="4565"/>
      <c r="J8" s="5013" t="s">
        <v>453</v>
      </c>
    </row>
    <row r="10" ht="12" spans="2:3">
      <c r="B10" s="4550" t="s">
        <v>454</v>
      </c>
      <c r="C10" s="4551"/>
    </row>
    <row r="11" spans="2:10">
      <c r="B11" s="4551" t="s">
        <v>455</v>
      </c>
      <c r="C11" s="3635"/>
      <c r="F11" s="4552">
        <f>CF21!D15</f>
        <v>6560578278.6661</v>
      </c>
      <c r="H11" s="4552">
        <f>CF21!E15</f>
        <v>5579429625.11854</v>
      </c>
      <c r="I11" s="4556"/>
      <c r="J11" s="4552">
        <f>CF21!F15</f>
        <v>12546535882.1067</v>
      </c>
    </row>
    <row r="12" spans="2:10">
      <c r="B12" s="4553" t="s">
        <v>456</v>
      </c>
      <c r="C12" s="4551"/>
      <c r="F12" s="4552"/>
      <c r="H12" s="4552"/>
      <c r="I12" s="4556"/>
      <c r="J12" s="4552"/>
    </row>
    <row r="13" spans="2:12">
      <c r="B13" s="64" t="s">
        <v>398</v>
      </c>
      <c r="F13" s="64">
        <f>CF21!D29</f>
        <v>-1732597209.79022</v>
      </c>
      <c r="H13" s="64">
        <f>CF21!E29</f>
        <v>-1994850585</v>
      </c>
      <c r="I13" s="4556"/>
      <c r="J13" s="64">
        <f>CF21!F29</f>
        <v>-6720228482.94201</v>
      </c>
      <c r="L13">
        <f>L50</f>
        <v>0.197480201721191</v>
      </c>
    </row>
    <row r="14" spans="2:12">
      <c r="B14" s="64" t="s">
        <v>406</v>
      </c>
      <c r="F14" s="64">
        <f>CF21!D36</f>
        <v>-1008023336</v>
      </c>
      <c r="H14" s="64">
        <f>CF21!E36</f>
        <v>-1017271776.3</v>
      </c>
      <c r="I14" s="4556"/>
      <c r="J14" s="64">
        <f>CF21!F36</f>
        <v>-2366076218.48237</v>
      </c>
      <c r="L14">
        <f>L51</f>
        <v>-0.19326388835907</v>
      </c>
    </row>
    <row r="15" spans="2:10">
      <c r="B15" s="64" t="s">
        <v>457</v>
      </c>
      <c r="F15" s="64">
        <f>CF21!D44</f>
        <v>-138151067.64</v>
      </c>
      <c r="H15" s="64">
        <f>CF21!E44</f>
        <v>-713110863.6</v>
      </c>
      <c r="I15" s="4556"/>
      <c r="J15" s="64">
        <f>CF21!F44</f>
        <v>-633792605</v>
      </c>
    </row>
    <row r="16" spans="2:10">
      <c r="B16" s="64" t="s">
        <v>458</v>
      </c>
      <c r="F16" s="64">
        <f>+CF21!D50</f>
        <v>-341778163.5352</v>
      </c>
      <c r="H16" s="64">
        <f>+CF21!E50</f>
        <v>-130887501.624398</v>
      </c>
      <c r="I16" s="4556"/>
      <c r="J16" s="64">
        <f>+CF21!F50</f>
        <v>-116843108</v>
      </c>
    </row>
    <row r="17" spans="2:10">
      <c r="B17" s="64" t="s">
        <v>414</v>
      </c>
      <c r="F17" s="64">
        <f>+CF21!D49</f>
        <v>-5261099</v>
      </c>
      <c r="H17" s="64">
        <f>+CF21!E49</f>
        <v>-18908000</v>
      </c>
      <c r="J17" s="64">
        <f>+CF21!F49</f>
        <v>-23958695</v>
      </c>
    </row>
    <row r="18" spans="2:10">
      <c r="B18" s="64" t="s">
        <v>459</v>
      </c>
      <c r="F18" s="64">
        <f>SUM(CF21!D54:D55)</f>
        <v>968019.0607</v>
      </c>
      <c r="H18" s="64">
        <f>SUM(CF21!E54:E55)</f>
        <v>11928441.05</v>
      </c>
      <c r="I18" s="4556"/>
      <c r="J18" s="64">
        <f>SUM(CF21!F54:F55)</f>
        <v>10049050</v>
      </c>
    </row>
    <row r="19" spans="2:10">
      <c r="B19" s="64" t="s">
        <v>423</v>
      </c>
      <c r="F19" s="64">
        <f>+CF21!D61</f>
        <v>-46916405.4861017</v>
      </c>
      <c r="H19" s="64">
        <f>+CF21!E61</f>
        <v>-14378554.5197069</v>
      </c>
      <c r="I19" s="3635"/>
      <c r="J19" s="64">
        <f>+CF21!F61</f>
        <v>244694886.585544</v>
      </c>
    </row>
    <row r="20" spans="6:10">
      <c r="F20" s="3635"/>
      <c r="H20" s="3635"/>
      <c r="I20" s="3635"/>
      <c r="J20" s="3635"/>
    </row>
    <row r="21" ht="12" spans="2:10">
      <c r="B21" s="4550" t="s">
        <v>460</v>
      </c>
      <c r="C21" s="3635"/>
      <c r="F21" s="4554"/>
      <c r="H21" s="4554"/>
      <c r="I21" s="4556"/>
      <c r="J21" s="4554"/>
    </row>
    <row r="22" ht="12" spans="2:10">
      <c r="B22" s="4550" t="s">
        <v>461</v>
      </c>
      <c r="F22" s="4555">
        <f>SUM(F11:F20)</f>
        <v>3288819016.27528</v>
      </c>
      <c r="H22" s="4555">
        <f>SUM(H11:H20)</f>
        <v>1701950785.12444</v>
      </c>
      <c r="I22" s="4556"/>
      <c r="J22" s="4555">
        <f>SUM(J11:J20)</f>
        <v>2940380709.26783</v>
      </c>
    </row>
    <row r="23" spans="2:10">
      <c r="B23" s="4551"/>
      <c r="C23" s="4551"/>
      <c r="F23" s="4556"/>
      <c r="H23" s="4556"/>
      <c r="I23" s="4556"/>
      <c r="J23" s="4557"/>
    </row>
    <row r="24" ht="12" spans="2:10">
      <c r="B24" s="4550" t="s">
        <v>462</v>
      </c>
      <c r="C24" s="4551"/>
      <c r="F24" s="4556"/>
      <c r="H24" s="4556"/>
      <c r="I24" s="4556"/>
      <c r="J24" s="4557"/>
    </row>
    <row r="25" spans="2:10">
      <c r="B25" s="4551" t="str">
        <f>'[69]CF arus kas'!C27</f>
        <v>Pembelian aset tetap</v>
      </c>
      <c r="F25" s="4557">
        <f>-SUM(UV!P13:P19)-SUM(UV!T13:T19)</f>
        <v>-1589217281</v>
      </c>
      <c r="H25" s="4557">
        <f>-Note22!W171</f>
        <v>-3225000</v>
      </c>
      <c r="I25" s="4556"/>
      <c r="J25" s="4557">
        <f>-Note21!W173</f>
        <v>-1600000</v>
      </c>
    </row>
    <row r="26" spans="2:10">
      <c r="B26" s="4551" t="s">
        <v>463</v>
      </c>
      <c r="F26" s="4557">
        <f>+Note22!AD145-Note22!AD153</f>
        <v>208401952.77</v>
      </c>
      <c r="H26" s="4557">
        <f>+Note22!AD171-Note22!AD179</f>
        <v>740840980.5</v>
      </c>
      <c r="I26" s="4556"/>
      <c r="J26" s="4557">
        <f>+Note21!AD173-Note21!AD181</f>
        <v>579236033.375</v>
      </c>
    </row>
    <row r="27" ht="9.2" customHeight="1" spans="2:10">
      <c r="B27" s="4551"/>
      <c r="C27" s="4551"/>
      <c r="F27" s="3635"/>
      <c r="H27" s="3635"/>
      <c r="I27" s="3635"/>
      <c r="J27" s="3635"/>
    </row>
    <row r="28" ht="12" spans="2:10">
      <c r="B28" s="4550" t="s">
        <v>460</v>
      </c>
      <c r="C28" s="4551"/>
      <c r="F28" s="4558"/>
      <c r="H28" s="4558"/>
      <c r="I28" s="4556"/>
      <c r="J28" s="4558"/>
    </row>
    <row r="29" ht="12" spans="2:10">
      <c r="B29" s="4550" t="s">
        <v>464</v>
      </c>
      <c r="F29" s="4559">
        <f>SUM(F25:F28)</f>
        <v>-1380815328.23</v>
      </c>
      <c r="H29" s="4559">
        <f>SUM(H25:H28)</f>
        <v>737615980.5</v>
      </c>
      <c r="I29" s="4556"/>
      <c r="J29" s="4559">
        <f>SUM(J25:J28)</f>
        <v>577636033.375</v>
      </c>
    </row>
    <row r="30" spans="2:10">
      <c r="B30" s="4551"/>
      <c r="C30" s="4551"/>
      <c r="F30" s="4556"/>
      <c r="H30" s="4556"/>
      <c r="I30" s="4556"/>
      <c r="J30" s="4557"/>
    </row>
    <row r="31" ht="12" spans="2:10">
      <c r="B31" s="4550" t="s">
        <v>465</v>
      </c>
      <c r="C31" s="4551"/>
      <c r="F31" s="4556"/>
      <c r="H31" s="4556"/>
      <c r="I31" s="4556"/>
      <c r="J31" s="4557"/>
    </row>
    <row r="32" spans="2:10">
      <c r="B32" s="4551" t="s">
        <v>466</v>
      </c>
      <c r="C32" s="3635"/>
      <c r="F32" s="4557">
        <f>+CF21!D87</f>
        <v>-3625095820</v>
      </c>
      <c r="H32" s="4557">
        <f>+CF21!E87</f>
        <v>-1012519257.16</v>
      </c>
      <c r="I32" s="4556"/>
      <c r="J32" s="4557">
        <f>+CF21!F87</f>
        <v>-798839010.84</v>
      </c>
    </row>
    <row r="33" spans="2:10">
      <c r="B33" s="4551" t="s">
        <v>467</v>
      </c>
      <c r="C33" s="3635"/>
      <c r="F33" s="4557">
        <f>+CF21!D88</f>
        <v>1865513236</v>
      </c>
      <c r="H33" s="4557">
        <f>+CF21!E88</f>
        <v>-1462647358.84</v>
      </c>
      <c r="I33" s="4556"/>
      <c r="J33" s="4557">
        <f>+CF21!F88</f>
        <v>-388039449.16</v>
      </c>
    </row>
    <row r="34" spans="2:10">
      <c r="B34" s="4551" t="s">
        <v>468</v>
      </c>
      <c r="F34" s="4560">
        <f>+CF21!D84</f>
        <v>-240476791.143902</v>
      </c>
      <c r="G34" s="4561"/>
      <c r="H34" s="4560">
        <f>+CF21!E84</f>
        <v>-418814436.346956</v>
      </c>
      <c r="I34" s="4556"/>
      <c r="J34" s="4557">
        <f>+CF21!F84</f>
        <v>-1922700123.36654</v>
      </c>
    </row>
    <row r="35" spans="2:10">
      <c r="B35" s="4551"/>
      <c r="C35" s="3635"/>
      <c r="F35" s="3635"/>
      <c r="H35" s="3635"/>
      <c r="I35" s="3635"/>
      <c r="J35" s="3635"/>
    </row>
    <row r="36" ht="12" spans="2:10">
      <c r="B36" s="4550" t="s">
        <v>460</v>
      </c>
      <c r="C36" s="4551"/>
      <c r="F36" s="4558"/>
      <c r="H36" s="4558"/>
      <c r="I36" s="4556"/>
      <c r="J36" s="4558"/>
    </row>
    <row r="37" ht="12" spans="2:10">
      <c r="B37" s="4550" t="s">
        <v>469</v>
      </c>
      <c r="F37" s="4559">
        <f>SUM(F32:F35)</f>
        <v>-2000059375.1439</v>
      </c>
      <c r="H37" s="4559">
        <f>SUM(H32:H35)</f>
        <v>-2893981052.34696</v>
      </c>
      <c r="I37" s="4556"/>
      <c r="J37" s="4559">
        <f>SUM(J32:J35)</f>
        <v>-3109578583.36654</v>
      </c>
    </row>
    <row r="38" ht="12" spans="2:10">
      <c r="B38" s="4550"/>
      <c r="C38" s="4551"/>
      <c r="F38" s="4556"/>
      <c r="H38" s="4556"/>
      <c r="I38" s="4556"/>
      <c r="J38" s="4557"/>
    </row>
    <row r="39" spans="2:10">
      <c r="B39" s="4551" t="s">
        <v>470</v>
      </c>
      <c r="C39" s="4551"/>
      <c r="F39" s="4557">
        <f>F22+F29+F37</f>
        <v>-92055687.098619</v>
      </c>
      <c r="H39" s="4557">
        <f>H22+H29+H37</f>
        <v>-454414286.72252</v>
      </c>
      <c r="I39" s="4556"/>
      <c r="J39" s="4557">
        <f>J22+J29+J37</f>
        <v>408438159.276286</v>
      </c>
    </row>
    <row r="40" spans="2:10">
      <c r="B40" s="4551" t="s">
        <v>471</v>
      </c>
      <c r="C40" s="4551"/>
      <c r="F40" s="4562">
        <f>H49</f>
        <v>295686160.08</v>
      </c>
      <c r="H40" s="4562">
        <f>J49</f>
        <v>750100447</v>
      </c>
      <c r="I40" s="4556"/>
      <c r="J40" s="4562">
        <f>+'FS-21'!AO11</f>
        <v>341662287.53045</v>
      </c>
    </row>
    <row r="41" ht="9.2" customHeight="1" spans="2:10">
      <c r="B41" s="4551"/>
      <c r="C41" s="4551"/>
      <c r="F41" s="4558"/>
      <c r="H41" s="4558"/>
      <c r="I41" s="4556"/>
      <c r="J41" s="4558"/>
    </row>
    <row r="42" ht="12.75" spans="2:10">
      <c r="B42" s="4551" t="s">
        <v>472</v>
      </c>
      <c r="C42" s="4551"/>
      <c r="F42" s="4563">
        <f>SUM(F39:F40)</f>
        <v>203630472.981381</v>
      </c>
      <c r="H42" s="4563">
        <f>SUM(H39:H40)</f>
        <v>295686160.27748</v>
      </c>
      <c r="I42" s="4556"/>
      <c r="J42" s="4563">
        <f>SUM(J39:J40)</f>
        <v>750100446.806736</v>
      </c>
    </row>
    <row r="43" ht="12.75" spans="2:10">
      <c r="B43" s="4550"/>
      <c r="C43" s="4551"/>
      <c r="F43" s="4556"/>
      <c r="H43" s="4556"/>
      <c r="I43" s="4556"/>
      <c r="J43" s="4557"/>
    </row>
    <row r="44" ht="12" spans="2:10">
      <c r="B44" s="4550" t="s">
        <v>473</v>
      </c>
      <c r="C44" s="4551"/>
      <c r="F44" s="4556"/>
      <c r="H44" s="4556"/>
      <c r="I44" s="4556"/>
      <c r="J44" s="4559"/>
    </row>
    <row r="45" ht="12" spans="2:10">
      <c r="B45" s="4550" t="s">
        <v>474</v>
      </c>
      <c r="F45" s="4556"/>
      <c r="H45" s="4556"/>
      <c r="I45" s="4556"/>
      <c r="J45" s="4559"/>
    </row>
    <row r="46" spans="2:10">
      <c r="B46" s="4551" t="s">
        <v>475</v>
      </c>
      <c r="F46" s="4552">
        <f>+Note22!AB11</f>
        <v>1635000</v>
      </c>
      <c r="H46" s="4552">
        <f>A!R18</f>
        <v>22220000</v>
      </c>
      <c r="J46" s="4552">
        <f>A!S18</f>
        <v>15205799.85725</v>
      </c>
    </row>
    <row r="47" spans="2:10">
      <c r="B47" s="4551" t="s">
        <v>476</v>
      </c>
      <c r="F47" s="4564">
        <f>SUM(A!L28)</f>
        <v>201995473.005</v>
      </c>
      <c r="H47" s="4564">
        <f>A!R28</f>
        <v>273466160.08</v>
      </c>
      <c r="J47" s="4564">
        <f>A!S28</f>
        <v>734894647.14275</v>
      </c>
    </row>
    <row r="48" ht="9.2" customHeight="1" spans="2:10">
      <c r="B48" s="4551"/>
      <c r="C48" s="4551"/>
      <c r="F48" s="4556"/>
      <c r="H48" s="4556"/>
      <c r="I48" s="4556"/>
      <c r="J48" s="4557"/>
    </row>
    <row r="49" ht="12" spans="2:13">
      <c r="B49" t="s">
        <v>477</v>
      </c>
      <c r="F49" s="756">
        <f>SUM(F46:F47)</f>
        <v>203630473.005</v>
      </c>
      <c r="H49" s="756">
        <f>SUM(H46:H47)</f>
        <v>295686160.08</v>
      </c>
      <c r="I49"/>
      <c r="J49" s="756">
        <f>SUM(J46:J47)</f>
        <v>750100447</v>
      </c>
      <c r="L49">
        <f>F49-F42</f>
        <v>0.0236194729804993</v>
      </c>
      <c r="M49">
        <v>2022</v>
      </c>
    </row>
    <row r="50" ht="13.2" spans="6:13">
      <c r="F50" s="64">
        <f>+F42-F49</f>
        <v>-0.0236194729804993</v>
      </c>
      <c r="H50" s="2700">
        <f>+H42-H49</f>
        <v>0.197480201721191</v>
      </c>
      <c r="I50" s="2700">
        <f>+I42-I49</f>
        <v>0</v>
      </c>
      <c r="J50" s="2700">
        <f>+J42-J49</f>
        <v>-0.19326388835907</v>
      </c>
      <c r="L50" s="4566">
        <f>H42-H49</f>
        <v>0.197480201721191</v>
      </c>
      <c r="M50" t="s">
        <v>478</v>
      </c>
    </row>
    <row r="51" ht="13.2" spans="8:13">
      <c r="H51"/>
      <c r="I51"/>
      <c r="J51"/>
      <c r="L51" s="4566">
        <f>J42-J49</f>
        <v>-0.19326388835907</v>
      </c>
      <c r="M51" t="s">
        <v>479</v>
      </c>
    </row>
    <row r="65" spans="1:12">
      <c r="A65" s="2542" t="s">
        <v>480</v>
      </c>
      <c r="B65" s="2542"/>
      <c r="C65" s="2542"/>
      <c r="D65" s="2542"/>
      <c r="E65" s="2542"/>
      <c r="F65" s="2542"/>
      <c r="G65" s="2542"/>
      <c r="H65" s="2542"/>
      <c r="I65" s="2542"/>
      <c r="J65" s="2542"/>
      <c r="K65" s="2623"/>
      <c r="L65" s="2623"/>
    </row>
    <row r="66" spans="1:10">
      <c r="A66" s="2542" t="s">
        <v>480</v>
      </c>
      <c r="B66" s="2542"/>
      <c r="C66" s="2542"/>
      <c r="D66" s="2542"/>
      <c r="E66" s="2542"/>
      <c r="F66" s="2542"/>
      <c r="G66" s="2542"/>
      <c r="H66" s="2542"/>
      <c r="I66" s="2542"/>
      <c r="J66" s="2542"/>
    </row>
    <row r="68" spans="1:12">
      <c r="A68" s="2542" t="s">
        <v>480</v>
      </c>
      <c r="B68" s="2542"/>
      <c r="C68" s="2542"/>
      <c r="D68" s="2542"/>
      <c r="E68" s="2542"/>
      <c r="F68" s="2542"/>
      <c r="G68" s="2542"/>
      <c r="H68" s="2542"/>
      <c r="I68" s="2542"/>
      <c r="J68" s="2542"/>
      <c r="K68" s="2623"/>
      <c r="L68" s="2623"/>
    </row>
    <row r="71" spans="6:10">
      <c r="F71">
        <f>F42-F49</f>
        <v>-0.0236194729804993</v>
      </c>
      <c r="H71"/>
      <c r="J71"/>
    </row>
  </sheetData>
  <mergeCells count="3">
    <mergeCell ref="A65:J65"/>
    <mergeCell ref="A66:J66"/>
    <mergeCell ref="A68:J68"/>
  </mergeCells>
  <pageMargins left="0.78740157480315" right="0.590551181102362" top="0.590551181102362" bottom="0.590551181102362" header="0.31496062992126" footer="0.31496062992126"/>
  <pageSetup paperSize="9" orientation="portrait"/>
  <headerFooter>
    <oddFooter>&amp;CCatatan atas laporan keuangan merupakan
bagian yang tidak terpisahkan dari laporan keuangan secara keseluruhan.
4</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B2:L98"/>
  <sheetViews>
    <sheetView zoomScale="130" zoomScaleNormal="130" workbookViewId="0">
      <pane xSplit="3" ySplit="10" topLeftCell="D57" activePane="bottomRight" state="frozen"/>
      <selection/>
      <selection pane="topRight"/>
      <selection pane="bottomLeft"/>
      <selection pane="bottomRight" activeCell="D98" sqref="D98"/>
    </sheetView>
  </sheetViews>
  <sheetFormatPr defaultColWidth="19.3333333333333" defaultRowHeight="12.6"/>
  <cols>
    <col min="1" max="1" width="1.80208333333333" style="4596" customWidth="1"/>
    <col min="2" max="2" width="2.39583333333333" style="4596" customWidth="1"/>
    <col min="3" max="3" width="28.1666666666667" style="4596" customWidth="1"/>
    <col min="4" max="4" width="15.4270833333333" style="4596" customWidth="1"/>
    <col min="5" max="5" width="15.7291666666667" style="4596" customWidth="1"/>
    <col min="6" max="7" width="13.9375" style="4596" hidden="1" customWidth="1"/>
    <col min="8" max="8" width="14.6875" style="4597" customWidth="1"/>
    <col min="9" max="9" width="15.4270833333333" style="4596" hidden="1" customWidth="1"/>
    <col min="10" max="10" width="14.3854166666667" style="4596" hidden="1" customWidth="1"/>
    <col min="11" max="11" width="11.2395833333333" style="4596" customWidth="1"/>
    <col min="12" max="12" width="10.3333333333333" style="4596" customWidth="1"/>
    <col min="13" max="16384" width="19.3333333333333" style="4596"/>
  </cols>
  <sheetData>
    <row r="2" ht="21" spans="3:12">
      <c r="C2" s="1499" t="str">
        <f>'F1'!B2</f>
        <v>KAP LIASTA NIRWAN SYAFRUDIN &amp; REKAN</v>
      </c>
      <c r="D2" s="731"/>
      <c r="E2" s="731"/>
      <c r="F2" s="731"/>
      <c r="G2" s="731"/>
      <c r="H2" s="731"/>
      <c r="I2" s="1923"/>
      <c r="J2" s="731" t="s">
        <v>481</v>
      </c>
      <c r="K2" s="4656" t="s">
        <v>482</v>
      </c>
      <c r="L2" s="766" t="s">
        <v>483</v>
      </c>
    </row>
    <row r="3" ht="15.6" spans="3:12">
      <c r="C3" s="1500"/>
      <c r="D3" s="1501"/>
      <c r="E3" s="1502"/>
      <c r="F3" s="1504"/>
      <c r="G3" s="1504"/>
      <c r="H3" s="1505"/>
      <c r="I3" s="4512"/>
      <c r="J3" s="738" t="s">
        <v>484</v>
      </c>
      <c r="K3" s="4657">
        <v>43548</v>
      </c>
      <c r="L3" s="768" t="s">
        <v>485</v>
      </c>
    </row>
    <row r="4" spans="3:12">
      <c r="C4" s="3829" t="s">
        <v>486</v>
      </c>
      <c r="D4" s="3830" t="str">
        <f>'F1'!C4</f>
        <v>PT INTAN GIRI ABADI</v>
      </c>
      <c r="E4" s="1548"/>
      <c r="F4" s="1548"/>
      <c r="G4" s="1548"/>
      <c r="H4" s="1548"/>
      <c r="I4" s="750"/>
      <c r="J4" s="742" t="s">
        <v>487</v>
      </c>
      <c r="K4" s="4658" t="s">
        <v>482</v>
      </c>
      <c r="L4" s="770" t="s">
        <v>488</v>
      </c>
    </row>
    <row r="5" ht="13.2" spans="2:12">
      <c r="B5" s="4598"/>
      <c r="C5" s="775"/>
      <c r="D5" s="753"/>
      <c r="E5" s="753"/>
      <c r="F5" s="753"/>
      <c r="G5" s="753"/>
      <c r="H5" s="753"/>
      <c r="I5" s="1599"/>
      <c r="J5" s="1592"/>
      <c r="K5" s="771"/>
      <c r="L5" s="772"/>
    </row>
    <row r="6" spans="2:12">
      <c r="B6" s="4599"/>
      <c r="C6" s="4600" t="s">
        <v>489</v>
      </c>
      <c r="D6" s="1547" t="s">
        <v>490</v>
      </c>
      <c r="E6" s="742"/>
      <c r="F6" s="742"/>
      <c r="G6" s="742"/>
      <c r="H6" s="742"/>
      <c r="I6" s="770"/>
      <c r="J6" s="742"/>
      <c r="K6" s="773"/>
      <c r="L6" s="774" t="s">
        <v>491</v>
      </c>
    </row>
    <row r="7" spans="3:12">
      <c r="C7" s="1549"/>
      <c r="D7" s="1550"/>
      <c r="E7" s="753"/>
      <c r="F7" s="753"/>
      <c r="G7" s="753"/>
      <c r="H7" s="753"/>
      <c r="I7" s="1599"/>
      <c r="J7" s="753"/>
      <c r="K7" s="775"/>
      <c r="L7" s="776">
        <f>'F1'!X7</f>
        <v>44926</v>
      </c>
    </row>
    <row r="8" ht="13.35" spans="2:10">
      <c r="B8" s="4601"/>
      <c r="C8" s="4601"/>
      <c r="D8" s="4601"/>
      <c r="E8" s="4601"/>
      <c r="F8" s="4601"/>
      <c r="G8" s="4601"/>
      <c r="H8" s="4602"/>
      <c r="I8" s="4601"/>
      <c r="J8" s="4601"/>
    </row>
    <row r="9" ht="13.35" spans="2:10">
      <c r="B9" s="4603" t="s">
        <v>492</v>
      </c>
      <c r="C9" s="4604"/>
      <c r="D9" s="4605" t="s">
        <v>493</v>
      </c>
      <c r="E9" s="4606" t="s">
        <v>494</v>
      </c>
      <c r="F9" s="4607" t="s">
        <v>494</v>
      </c>
      <c r="G9" s="4607" t="s">
        <v>494</v>
      </c>
      <c r="H9" s="4607" t="s">
        <v>495</v>
      </c>
      <c r="I9" s="4607" t="s">
        <v>495</v>
      </c>
      <c r="J9" s="4607" t="s">
        <v>495</v>
      </c>
    </row>
    <row r="10" ht="13.35" spans="2:10">
      <c r="B10" s="4608"/>
      <c r="C10" s="4609"/>
      <c r="D10" s="4610">
        <v>43465</v>
      </c>
      <c r="E10" s="4611">
        <v>43100</v>
      </c>
      <c r="F10" s="4610">
        <v>40178</v>
      </c>
      <c r="G10" s="4610">
        <v>39813</v>
      </c>
      <c r="H10" s="4612" t="s">
        <v>496</v>
      </c>
      <c r="I10" s="4612" t="s">
        <v>497</v>
      </c>
      <c r="J10" s="4612" t="s">
        <v>498</v>
      </c>
    </row>
    <row r="11" ht="13.35" spans="2:10">
      <c r="B11" s="4613" t="s">
        <v>499</v>
      </c>
      <c r="D11" s="4614"/>
      <c r="E11" s="4615"/>
      <c r="F11" s="4614"/>
      <c r="G11" s="4614"/>
      <c r="H11" s="4614"/>
      <c r="I11" s="4614"/>
      <c r="J11" s="4614"/>
    </row>
    <row r="12" spans="2:10">
      <c r="B12" s="4613"/>
      <c r="D12" s="4614"/>
      <c r="E12" s="4615"/>
      <c r="F12" s="4614"/>
      <c r="G12" s="4614"/>
      <c r="H12" s="4614"/>
      <c r="I12" s="4614"/>
      <c r="J12" s="4614"/>
    </row>
    <row r="13" spans="2:10">
      <c r="B13" s="4616" t="s">
        <v>500</v>
      </c>
      <c r="D13" s="4614"/>
      <c r="E13" s="4615"/>
      <c r="F13" s="4614"/>
      <c r="G13" s="4614"/>
      <c r="H13" s="4614"/>
      <c r="I13" s="4614"/>
      <c r="J13" s="4614"/>
    </row>
    <row r="14" ht="13.8" spans="2:10">
      <c r="B14" s="4617"/>
      <c r="C14" s="5014" t="str">
        <f>+'F1'!C15</f>
        <v>Kas dan bank</v>
      </c>
      <c r="D14" s="4619">
        <f>+'F1'!P15</f>
        <v>295686160.08</v>
      </c>
      <c r="E14" s="4620">
        <f>'F1'!Q15</f>
        <v>750100447</v>
      </c>
      <c r="F14" s="4619">
        <v>18403239</v>
      </c>
      <c r="G14" s="4619">
        <v>23386880</v>
      </c>
      <c r="H14" s="4619">
        <f>D14-E14</f>
        <v>-454414286.92</v>
      </c>
      <c r="I14" s="4619">
        <f>E14-F14</f>
        <v>731697208</v>
      </c>
      <c r="J14" s="4619">
        <f t="shared" ref="H14:J19" si="0">F14-G14</f>
        <v>-4983641</v>
      </c>
    </row>
    <row r="15" ht="13.8" spans="2:10">
      <c r="B15" s="4617"/>
      <c r="C15" s="5014" t="str">
        <f>+'F1'!C16</f>
        <v>Piutang usaha</v>
      </c>
      <c r="D15" s="4619">
        <f>+'F1'!P16</f>
        <v>0</v>
      </c>
      <c r="E15" s="4620">
        <f>'F1'!Q16</f>
        <v>0</v>
      </c>
      <c r="F15" s="4619">
        <v>0</v>
      </c>
      <c r="G15" s="4619"/>
      <c r="H15" s="4619">
        <f>D15-E15</f>
        <v>0</v>
      </c>
      <c r="I15" s="4619">
        <f t="shared" si="0"/>
        <v>0</v>
      </c>
      <c r="J15" s="4619">
        <f t="shared" si="0"/>
        <v>0</v>
      </c>
    </row>
    <row r="16" ht="13.8" spans="2:10">
      <c r="B16" s="4617"/>
      <c r="C16" s="5014" t="str">
        <f>+'F1'!C19</f>
        <v>Persediaan</v>
      </c>
      <c r="D16" s="4619">
        <f>+'F1'!P19</f>
        <v>0</v>
      </c>
      <c r="E16" s="4620">
        <f>'F1'!Q19</f>
        <v>0</v>
      </c>
      <c r="F16" s="4619">
        <v>0</v>
      </c>
      <c r="G16" s="4619"/>
      <c r="H16" s="4619">
        <f t="shared" si="0"/>
        <v>0</v>
      </c>
      <c r="I16" s="4619">
        <f t="shared" si="0"/>
        <v>0</v>
      </c>
      <c r="J16" s="4619">
        <f t="shared" si="0"/>
        <v>0</v>
      </c>
    </row>
    <row r="17" ht="13.8" spans="2:10">
      <c r="B17" s="4617"/>
      <c r="C17" s="5014" t="str">
        <f>+'F1'!C21</f>
        <v>Biaya dibayar dimuka</v>
      </c>
      <c r="D17" s="4619">
        <f>+'F1'!P21</f>
        <v>23000600</v>
      </c>
      <c r="E17" s="4620">
        <f>'F1'!Q21</f>
        <v>27800000</v>
      </c>
      <c r="F17" s="4619">
        <v>0</v>
      </c>
      <c r="G17" s="4619"/>
      <c r="H17" s="4619">
        <f t="shared" si="0"/>
        <v>-4799400.00000001</v>
      </c>
      <c r="I17" s="4619">
        <f t="shared" si="0"/>
        <v>27800000</v>
      </c>
      <c r="J17" s="4619">
        <f t="shared" si="0"/>
        <v>0</v>
      </c>
    </row>
    <row r="18" ht="13.8" spans="2:10">
      <c r="B18" s="4617"/>
      <c r="C18" s="5014" t="str">
        <f>+'F1'!C22</f>
        <v>Pajak dibayar dimuka</v>
      </c>
      <c r="D18" s="4619">
        <f>+'F1'!P22</f>
        <v>0</v>
      </c>
      <c r="E18" s="4620">
        <f>'F1'!Q22</f>
        <v>0</v>
      </c>
      <c r="F18" s="4619"/>
      <c r="G18" s="4619"/>
      <c r="H18" s="4619">
        <f t="shared" si="0"/>
        <v>0</v>
      </c>
      <c r="I18" s="4619"/>
      <c r="J18" s="4619"/>
    </row>
    <row r="19" ht="13.8" spans="2:10">
      <c r="B19" s="4617"/>
      <c r="C19" s="5014" t="str">
        <f>+'F1'!C23</f>
        <v>Pekerjaan dlm pelaksanaan</v>
      </c>
      <c r="D19" s="4619">
        <f>+'F1'!P23</f>
        <v>25610278304.9818</v>
      </c>
      <c r="E19" s="4620">
        <f>'F1'!Q23</f>
        <v>37294524612.7138</v>
      </c>
      <c r="F19" s="4619"/>
      <c r="G19" s="4619"/>
      <c r="H19" s="4619">
        <f t="shared" si="0"/>
        <v>-11684246307.732</v>
      </c>
      <c r="I19" s="4619"/>
      <c r="J19" s="4619"/>
    </row>
    <row r="20" spans="2:10">
      <c r="B20" s="4617"/>
      <c r="C20" s="4598"/>
      <c r="D20" s="4619"/>
      <c r="E20" s="4620"/>
      <c r="F20" s="4619"/>
      <c r="G20" s="4619"/>
      <c r="H20" s="4619"/>
      <c r="I20" s="4619"/>
      <c r="J20" s="4619"/>
    </row>
    <row r="21" ht="13.35" spans="2:11">
      <c r="B21" s="4621" t="s">
        <v>501</v>
      </c>
      <c r="C21" s="4622"/>
      <c r="D21" s="4623">
        <f t="shared" ref="D21:J21" si="1">SUM(D14:D20)</f>
        <v>25928965065.0618</v>
      </c>
      <c r="E21" s="4623">
        <f t="shared" si="1"/>
        <v>38072425059.7138</v>
      </c>
      <c r="F21" s="4624">
        <f t="shared" si="1"/>
        <v>18403239</v>
      </c>
      <c r="G21" s="4624">
        <f t="shared" si="1"/>
        <v>23386880</v>
      </c>
      <c r="H21" s="4623">
        <f t="shared" si="1"/>
        <v>-12143459994.652</v>
      </c>
      <c r="I21" s="4624">
        <f t="shared" si="1"/>
        <v>759497208</v>
      </c>
      <c r="J21" s="4624">
        <f t="shared" si="1"/>
        <v>-4983641</v>
      </c>
      <c r="K21" s="4659">
        <f>D21-'F1'!$P$26</f>
        <v>-5402218095.27479</v>
      </c>
    </row>
    <row r="22" ht="13.35" spans="2:10">
      <c r="B22" s="4617"/>
      <c r="C22" s="4598"/>
      <c r="D22" s="4619"/>
      <c r="E22" s="4620"/>
      <c r="F22" s="4619"/>
      <c r="G22" s="4619"/>
      <c r="H22" s="4619"/>
      <c r="I22" s="4619"/>
      <c r="J22" s="4619"/>
    </row>
    <row r="23" ht="13.8" spans="2:10">
      <c r="B23" s="4617"/>
      <c r="C23" s="4625" t="str">
        <f>'[70]F1'!B21</f>
        <v>Aset tetap, bersih</v>
      </c>
      <c r="D23" s="4619">
        <f>+'F1'!P30</f>
        <v>29571154439.3333</v>
      </c>
      <c r="E23" s="4597">
        <f>+'F1'!Q30</f>
        <v>30787726806</v>
      </c>
      <c r="F23" s="4619">
        <v>0</v>
      </c>
      <c r="G23" s="4619"/>
      <c r="H23" s="4619">
        <f>D23-E23</f>
        <v>-1216572366.66667</v>
      </c>
      <c r="I23" s="4619">
        <f>E23-F23</f>
        <v>30787726806</v>
      </c>
      <c r="J23" s="4619">
        <f>F23-G23</f>
        <v>0</v>
      </c>
    </row>
    <row r="24" ht="13.8" spans="2:10">
      <c r="B24" s="4617"/>
      <c r="C24" s="4625" t="e">
        <f>+'F1'!#REF!</f>
        <v>#REF!</v>
      </c>
      <c r="D24" s="4619">
        <f>+'F1'!P35</f>
        <v>0</v>
      </c>
      <c r="E24" s="4619">
        <f>+'F1'!Q35</f>
        <v>0</v>
      </c>
      <c r="F24" s="4597"/>
      <c r="G24" s="4619"/>
      <c r="H24" s="4619">
        <f>D24-E24</f>
        <v>0</v>
      </c>
      <c r="I24" s="4619"/>
      <c r="J24" s="4619"/>
    </row>
    <row r="25" spans="2:10">
      <c r="B25" s="5015" t="s">
        <v>502</v>
      </c>
      <c r="C25" s="4598"/>
      <c r="D25" s="4626">
        <f>SUM(D23:D24)</f>
        <v>29571154439.3333</v>
      </c>
      <c r="E25" s="4626">
        <f>SUM(E23:E24)</f>
        <v>30787726806</v>
      </c>
      <c r="F25" s="4627">
        <f>F23</f>
        <v>0</v>
      </c>
      <c r="G25" s="4626"/>
      <c r="H25" s="4626">
        <f>SUM(H23:H24)</f>
        <v>-1216572366.66667</v>
      </c>
      <c r="I25" s="4626">
        <f>SUM(I22:I23)</f>
        <v>30787726806</v>
      </c>
      <c r="J25" s="4626">
        <f>SUM(J22:J23)</f>
        <v>0</v>
      </c>
    </row>
    <row r="26" spans="2:10">
      <c r="B26" s="4617"/>
      <c r="D26" s="4619"/>
      <c r="E26" s="4628"/>
      <c r="F26" s="4620"/>
      <c r="G26" s="4619"/>
      <c r="H26" s="4619"/>
      <c r="I26" s="4619"/>
      <c r="J26" s="4619"/>
    </row>
    <row r="27" ht="13.35" spans="2:10">
      <c r="B27" s="4629" t="s">
        <v>151</v>
      </c>
      <c r="C27" s="4630"/>
      <c r="D27" s="4624">
        <f>D21+D25</f>
        <v>55500119504.3951</v>
      </c>
      <c r="E27" s="4631">
        <f t="shared" ref="E27:J27" si="2">E21+E25</f>
        <v>68860151865.7138</v>
      </c>
      <c r="F27" s="4624">
        <f t="shared" si="2"/>
        <v>18403239</v>
      </c>
      <c r="G27" s="4624">
        <f t="shared" si="2"/>
        <v>23386880</v>
      </c>
      <c r="H27" s="4624">
        <f t="shared" si="2"/>
        <v>-13360032361.3187</v>
      </c>
      <c r="I27" s="4624">
        <f t="shared" si="2"/>
        <v>31547224014</v>
      </c>
      <c r="J27" s="4624">
        <f t="shared" si="2"/>
        <v>-4983641</v>
      </c>
    </row>
    <row r="28" ht="13.35" spans="2:10">
      <c r="B28" s="4632" t="s">
        <v>503</v>
      </c>
      <c r="C28" s="4633"/>
      <c r="D28" s="4634">
        <f>+D27-'F1'!P40</f>
        <v>-10580781830.7547</v>
      </c>
      <c r="E28" s="4634">
        <f>+E27-'F1'!Q40</f>
        <v>-3946861096.57056</v>
      </c>
      <c r="F28" s="4634">
        <f>+F27-F52</f>
        <v>-222631677</v>
      </c>
      <c r="G28" s="4634">
        <f>+G27-G52</f>
        <v>0</v>
      </c>
      <c r="H28" s="4634">
        <f>H27-H52</f>
        <v>-11765207313.0482</v>
      </c>
      <c r="I28" s="4634">
        <f>+I27-I52</f>
        <v>5949471364.98281</v>
      </c>
      <c r="J28" s="4634">
        <f>+J27-J52</f>
        <v>-222631677</v>
      </c>
    </row>
    <row r="29" spans="2:8">
      <c r="B29" s="4617"/>
      <c r="D29" s="4635"/>
      <c r="E29" s="4635"/>
      <c r="F29" s="4635"/>
      <c r="G29" s="4635"/>
      <c r="H29" s="4635"/>
    </row>
    <row r="30" ht="13.35" spans="2:8">
      <c r="B30" s="4636"/>
      <c r="C30" s="4601"/>
      <c r="D30" s="4637"/>
      <c r="E30" s="4637"/>
      <c r="F30" s="4637"/>
      <c r="G30" s="4637"/>
      <c r="H30" s="4637"/>
    </row>
    <row r="31" ht="13.35" spans="2:10">
      <c r="B31" s="4638" t="s">
        <v>492</v>
      </c>
      <c r="C31" s="4639"/>
      <c r="D31" s="4605" t="s">
        <v>493</v>
      </c>
      <c r="E31" s="5016" t="s">
        <v>494</v>
      </c>
      <c r="F31" s="4607" t="s">
        <v>494</v>
      </c>
      <c r="G31" s="4607" t="s">
        <v>494</v>
      </c>
      <c r="H31" s="4605" t="s">
        <v>495</v>
      </c>
      <c r="I31" s="4605" t="s">
        <v>495</v>
      </c>
      <c r="J31" s="4605" t="s">
        <v>495</v>
      </c>
    </row>
    <row r="32" ht="13.35" spans="2:10">
      <c r="B32" s="4608"/>
      <c r="C32" s="4609"/>
      <c r="D32" s="4610">
        <f>D10</f>
        <v>43465</v>
      </c>
      <c r="E32" s="4610">
        <f>E10</f>
        <v>43100</v>
      </c>
      <c r="F32" s="4610">
        <v>40178</v>
      </c>
      <c r="G32" s="4610">
        <v>39813</v>
      </c>
      <c r="H32" s="4612" t="str">
        <f>H10</f>
        <v>(Penurunan)-18</v>
      </c>
      <c r="I32" s="4612" t="s">
        <v>504</v>
      </c>
      <c r="J32" s="4612" t="s">
        <v>505</v>
      </c>
    </row>
    <row r="33" ht="13.35" spans="2:10">
      <c r="B33" s="4616" t="s">
        <v>305</v>
      </c>
      <c r="C33" s="4598"/>
      <c r="D33" s="4640"/>
      <c r="E33" s="4640"/>
      <c r="F33" s="4641"/>
      <c r="G33" s="4641"/>
      <c r="H33" s="4641"/>
      <c r="I33" s="4641"/>
      <c r="J33" s="4641"/>
    </row>
    <row r="34" spans="2:10">
      <c r="B34" s="4613"/>
      <c r="C34" s="4598"/>
      <c r="D34" s="4640"/>
      <c r="E34" s="4640"/>
      <c r="F34" s="4640"/>
      <c r="G34" s="4640"/>
      <c r="H34" s="4640"/>
      <c r="I34" s="4640"/>
      <c r="J34" s="4640"/>
    </row>
    <row r="35" spans="2:10">
      <c r="B35" s="4613" t="s">
        <v>506</v>
      </c>
      <c r="D35" s="4642"/>
      <c r="E35" s="4642"/>
      <c r="F35" s="4642"/>
      <c r="G35" s="4642"/>
      <c r="H35" s="4642"/>
      <c r="I35" s="4642"/>
      <c r="J35" s="4642"/>
    </row>
    <row r="36" ht="13.8" spans="2:10">
      <c r="B36" s="4643"/>
      <c r="C36" s="4644" t="str">
        <f>'F2'!C16</f>
        <v>Utang usaha</v>
      </c>
      <c r="D36" s="4619">
        <f>'F2'!Q16</f>
        <v>869165810</v>
      </c>
      <c r="E36" s="4619">
        <f>'F2'!R16</f>
        <v>1840865220</v>
      </c>
      <c r="F36" s="4619">
        <v>0</v>
      </c>
      <c r="G36" s="4619"/>
      <c r="H36" s="4619">
        <f t="shared" ref="H36:J39" si="3">D36-E36</f>
        <v>-971699410</v>
      </c>
      <c r="I36" s="4619">
        <f t="shared" si="3"/>
        <v>1840865220</v>
      </c>
      <c r="J36" s="4619">
        <f t="shared" si="3"/>
        <v>0</v>
      </c>
    </row>
    <row r="37" ht="13.8" spans="2:11">
      <c r="B37" s="4643"/>
      <c r="C37" s="4644" t="str">
        <f>'F2'!C17</f>
        <v>Utang lain-lain</v>
      </c>
      <c r="D37" s="4619">
        <f>+'F2'!Q17</f>
        <v>2145000000</v>
      </c>
      <c r="E37" s="4619">
        <f>+'F2'!R17</f>
        <v>2989000000</v>
      </c>
      <c r="F37" s="4619">
        <v>5000000</v>
      </c>
      <c r="G37" s="4619"/>
      <c r="H37" s="4619">
        <f t="shared" si="3"/>
        <v>-844000000</v>
      </c>
      <c r="I37" s="4619">
        <f t="shared" si="3"/>
        <v>2984000000</v>
      </c>
      <c r="J37" s="4619">
        <f t="shared" si="3"/>
        <v>5000000</v>
      </c>
      <c r="K37" s="4659"/>
    </row>
    <row r="38" ht="13.8" spans="2:10">
      <c r="B38" s="4643"/>
      <c r="C38" s="4644" t="str">
        <f>'F2'!C18</f>
        <v>Utang pajak</v>
      </c>
      <c r="D38" s="4619">
        <f>'F2'!Q18</f>
        <v>129053445.732503</v>
      </c>
      <c r="E38" s="4619">
        <f>'F2'!R18</f>
        <v>143432000.25221</v>
      </c>
      <c r="F38" s="4619">
        <v>0</v>
      </c>
      <c r="G38" s="4619"/>
      <c r="H38" s="4619">
        <f t="shared" si="3"/>
        <v>-14378554.5197069</v>
      </c>
      <c r="I38" s="4619">
        <f t="shared" si="3"/>
        <v>143432000.25221</v>
      </c>
      <c r="J38" s="4619">
        <f t="shared" si="3"/>
        <v>0</v>
      </c>
    </row>
    <row r="39" ht="13.8" spans="2:10">
      <c r="B39" s="4643"/>
      <c r="C39" s="4644" t="str">
        <f>'F2'!C19</f>
        <v>Biaya yang masih harus dibayar</v>
      </c>
      <c r="D39" s="4619">
        <f>'F2'!Q19</f>
        <v>0</v>
      </c>
      <c r="E39" s="4619">
        <f>'F2'!R19</f>
        <v>0</v>
      </c>
      <c r="F39" s="4619">
        <v>0</v>
      </c>
      <c r="G39" s="4619"/>
      <c r="H39" s="4619">
        <f t="shared" si="3"/>
        <v>0</v>
      </c>
      <c r="I39" s="4619">
        <f t="shared" si="3"/>
        <v>0</v>
      </c>
      <c r="J39" s="4619">
        <f t="shared" si="3"/>
        <v>0</v>
      </c>
    </row>
    <row r="40" ht="13.8" spans="2:10">
      <c r="B40" s="4643"/>
      <c r="D40" s="4619"/>
      <c r="E40" s="4619"/>
      <c r="F40" s="4619"/>
      <c r="G40" s="4619"/>
      <c r="H40" s="4619"/>
      <c r="I40" s="4619"/>
      <c r="J40" s="4619"/>
    </row>
    <row r="41" spans="2:10">
      <c r="B41" s="4613" t="s">
        <v>507</v>
      </c>
      <c r="C41" s="4598"/>
      <c r="D41" s="4626">
        <f>SUM(D36:D39)</f>
        <v>3143219255.7325</v>
      </c>
      <c r="E41" s="4626">
        <f>SUM(E36:E39)</f>
        <v>4973297220.25221</v>
      </c>
      <c r="F41" s="4626">
        <f>SUM(F36:F39)</f>
        <v>5000000</v>
      </c>
      <c r="G41" s="4626"/>
      <c r="H41" s="4626">
        <f>SUM(H36:H40)</f>
        <v>-1830077964.51971</v>
      </c>
      <c r="I41" s="4626">
        <f>SUM(I36:I40)</f>
        <v>4968297220.25221</v>
      </c>
      <c r="J41" s="4626">
        <f>SUM(J36:J40)</f>
        <v>5000000</v>
      </c>
    </row>
    <row r="42" spans="2:10">
      <c r="B42" s="4613"/>
      <c r="C42" s="4598"/>
      <c r="D42" s="4626"/>
      <c r="E42" s="4626"/>
      <c r="F42" s="4626"/>
      <c r="G42" s="4626"/>
      <c r="H42" s="4626"/>
      <c r="I42" s="4626"/>
      <c r="J42" s="4626"/>
    </row>
    <row r="43" spans="2:10">
      <c r="B43" s="4613" t="s">
        <v>508</v>
      </c>
      <c r="C43" s="4598"/>
      <c r="D43" s="4626"/>
      <c r="E43" s="4626"/>
      <c r="F43" s="4626"/>
      <c r="G43" s="4626"/>
      <c r="H43" s="4626"/>
      <c r="I43" s="4626"/>
      <c r="J43" s="4626"/>
    </row>
    <row r="44" spans="2:10">
      <c r="B44" s="4613"/>
      <c r="C44" s="4596" t="str">
        <f>+'F2'!C29</f>
        <v>Utang pihak berelasi</v>
      </c>
      <c r="D44" s="4626">
        <f>+'F2'!Q29</f>
        <v>0</v>
      </c>
      <c r="E44" s="4626">
        <f>+'F2'!R29</f>
        <v>0</v>
      </c>
      <c r="F44" s="4626"/>
      <c r="G44" s="4626"/>
      <c r="H44" s="4619">
        <f>D44-E44</f>
        <v>0</v>
      </c>
      <c r="I44" s="4626"/>
      <c r="J44" s="4626"/>
    </row>
    <row r="45" spans="2:10">
      <c r="B45" s="4613"/>
      <c r="C45" s="4598"/>
      <c r="D45" s="4626"/>
      <c r="E45" s="4626"/>
      <c r="F45" s="4626"/>
      <c r="G45" s="4626"/>
      <c r="H45" s="4626"/>
      <c r="I45" s="4626"/>
      <c r="J45" s="4626"/>
    </row>
    <row r="46" spans="2:10">
      <c r="B46" s="4613" t="s">
        <v>509</v>
      </c>
      <c r="C46" s="4635"/>
      <c r="D46" s="4619"/>
      <c r="E46" s="4619"/>
      <c r="F46" s="4619"/>
      <c r="G46" s="4619"/>
      <c r="H46" s="4619"/>
      <c r="I46" s="4619"/>
      <c r="J46" s="4619"/>
    </row>
    <row r="47" ht="13.8" spans="2:10">
      <c r="B47" s="4643" t="s">
        <v>510</v>
      </c>
      <c r="D47" s="4619">
        <f>'F2'!Q39</f>
        <v>11000000000</v>
      </c>
      <c r="E47" s="4619">
        <f>+'F2'!R39</f>
        <v>11000000000</v>
      </c>
      <c r="F47" s="4619">
        <v>250000000</v>
      </c>
      <c r="G47" s="4619">
        <v>27368323</v>
      </c>
      <c r="H47" s="4619">
        <f t="shared" ref="H47:J48" si="4">D47-E47</f>
        <v>0</v>
      </c>
      <c r="I47" s="4619">
        <f t="shared" si="4"/>
        <v>10750000000</v>
      </c>
      <c r="J47" s="4619">
        <f t="shared" si="4"/>
        <v>222631677</v>
      </c>
    </row>
    <row r="48" ht="13.8" spans="2:10">
      <c r="B48" s="5017" t="s">
        <v>511</v>
      </c>
      <c r="C48" s="4598"/>
      <c r="D48" s="4619">
        <f>+SUM('F2'!Q42:Q43)</f>
        <v>10100743261.0142</v>
      </c>
      <c r="E48" s="4619">
        <f>+'F2'!R42+'F2'!R43</f>
        <v>9865490344.76497</v>
      </c>
      <c r="F48" s="4619">
        <v>-13965084</v>
      </c>
      <c r="G48" s="4619">
        <v>-3981443</v>
      </c>
      <c r="H48" s="4619">
        <f t="shared" si="4"/>
        <v>235252916.249275</v>
      </c>
      <c r="I48" s="4619">
        <f t="shared" si="4"/>
        <v>9879455428.76497</v>
      </c>
      <c r="J48" s="4619">
        <f t="shared" si="4"/>
        <v>-9983641</v>
      </c>
    </row>
    <row r="49" spans="2:10">
      <c r="B49" s="4617"/>
      <c r="D49" s="4619"/>
      <c r="E49" s="4619"/>
      <c r="F49" s="4619"/>
      <c r="G49" s="4619"/>
      <c r="H49" s="4619"/>
      <c r="I49" s="4619"/>
      <c r="J49" s="4619"/>
    </row>
    <row r="50" spans="2:10">
      <c r="B50" s="4613" t="s">
        <v>512</v>
      </c>
      <c r="C50" s="4598"/>
      <c r="D50" s="4626">
        <f>SUM(D47:D48)</f>
        <v>21100743261.0143</v>
      </c>
      <c r="E50" s="4626">
        <f t="shared" ref="E50:J50" si="5">SUM(E47:E48)</f>
        <v>20865490344.765</v>
      </c>
      <c r="F50" s="4626">
        <f t="shared" si="5"/>
        <v>236034916</v>
      </c>
      <c r="G50" s="4626">
        <f t="shared" si="5"/>
        <v>23386880</v>
      </c>
      <c r="H50" s="4626">
        <f t="shared" si="5"/>
        <v>235252916.249275</v>
      </c>
      <c r="I50" s="4626">
        <f t="shared" si="5"/>
        <v>20629455428.765</v>
      </c>
      <c r="J50" s="4626">
        <f t="shared" si="5"/>
        <v>212648036</v>
      </c>
    </row>
    <row r="51" spans="2:10">
      <c r="B51" s="4638"/>
      <c r="C51" s="4639"/>
      <c r="D51" s="4619"/>
      <c r="E51" s="4619"/>
      <c r="F51" s="4628"/>
      <c r="G51" s="4628"/>
      <c r="H51" s="4628"/>
      <c r="I51" s="4628"/>
      <c r="J51" s="4628"/>
    </row>
    <row r="52" ht="13.35" spans="2:10">
      <c r="B52" s="4629" t="s">
        <v>513</v>
      </c>
      <c r="C52" s="4630"/>
      <c r="D52" s="4624">
        <f>D41+D44+D50</f>
        <v>24243962516.7468</v>
      </c>
      <c r="E52" s="4624">
        <f>E41+E44+E50</f>
        <v>25838787565.0172</v>
      </c>
      <c r="F52" s="4624">
        <f>F41+F50</f>
        <v>241034916</v>
      </c>
      <c r="G52" s="4624">
        <f>G41+G50</f>
        <v>23386880</v>
      </c>
      <c r="H52" s="4624">
        <f>H41+H44+H50</f>
        <v>-1594825048.27043</v>
      </c>
      <c r="I52" s="4624">
        <f>I41+I50</f>
        <v>25597752649.0172</v>
      </c>
      <c r="J52" s="4624">
        <f>J41+J50</f>
        <v>217648036</v>
      </c>
    </row>
    <row r="53" ht="13.35" spans="4:8">
      <c r="D53" s="4635">
        <f>+D52-'F2'!Q49</f>
        <v>-41836938818.0357</v>
      </c>
      <c r="E53" s="4635">
        <f>+E52-'F2'!R49</f>
        <v>-46968225397.4446</v>
      </c>
      <c r="F53" s="4635"/>
      <c r="G53" s="4635"/>
      <c r="H53" s="4635">
        <f>+H27-H52</f>
        <v>-11765207313.0482</v>
      </c>
    </row>
    <row r="54" spans="8:8">
      <c r="H54" s="4646"/>
    </row>
    <row r="55" spans="8:8">
      <c r="H55" s="4646"/>
    </row>
    <row r="56" ht="21" spans="3:12">
      <c r="C56" s="1499" t="str">
        <f>C2</f>
        <v>KAP LIASTA NIRWAN SYAFRUDIN &amp; REKAN</v>
      </c>
      <c r="D56" s="731"/>
      <c r="E56" s="731"/>
      <c r="F56" s="731"/>
      <c r="G56" s="731"/>
      <c r="H56" s="731"/>
      <c r="I56" s="1923"/>
      <c r="J56" s="731" t="s">
        <v>481</v>
      </c>
      <c r="K56" s="4656" t="s">
        <v>482</v>
      </c>
      <c r="L56" s="766" t="s">
        <v>483</v>
      </c>
    </row>
    <row r="57" ht="15.6" spans="3:12">
      <c r="C57" s="1500"/>
      <c r="D57" s="1501"/>
      <c r="E57" s="1502"/>
      <c r="F57" s="1504"/>
      <c r="G57" s="1504"/>
      <c r="H57" s="1505"/>
      <c r="I57" s="4512"/>
      <c r="J57" s="738" t="s">
        <v>484</v>
      </c>
      <c r="K57" s="4657">
        <v>43548</v>
      </c>
      <c r="L57" s="768" t="s">
        <v>514</v>
      </c>
    </row>
    <row r="58" spans="3:12">
      <c r="C58" s="3829" t="s">
        <v>486</v>
      </c>
      <c r="D58" s="3830" t="str">
        <f>D4</f>
        <v>PT INTAN GIRI ABADI</v>
      </c>
      <c r="E58" s="1548"/>
      <c r="F58" s="1548"/>
      <c r="G58" s="1548"/>
      <c r="H58" s="1548"/>
      <c r="I58" s="750"/>
      <c r="J58" s="742" t="s">
        <v>487</v>
      </c>
      <c r="K58" s="4658" t="s">
        <v>482</v>
      </c>
      <c r="L58" s="770" t="s">
        <v>488</v>
      </c>
    </row>
    <row r="59" ht="13.2" spans="3:12">
      <c r="C59" s="775"/>
      <c r="D59" s="753"/>
      <c r="E59" s="753"/>
      <c r="F59" s="753"/>
      <c r="G59" s="753"/>
      <c r="H59" s="753"/>
      <c r="I59" s="1599"/>
      <c r="J59" s="1592"/>
      <c r="K59" s="771"/>
      <c r="L59" s="772"/>
    </row>
    <row r="60" spans="3:12">
      <c r="C60" s="4600" t="s">
        <v>489</v>
      </c>
      <c r="D60" s="1547" t="s">
        <v>490</v>
      </c>
      <c r="E60" s="742"/>
      <c r="F60" s="742"/>
      <c r="G60" s="742"/>
      <c r="H60" s="742"/>
      <c r="I60" s="770"/>
      <c r="J60" s="742"/>
      <c r="K60" s="773"/>
      <c r="L60" s="774" t="s">
        <v>491</v>
      </c>
    </row>
    <row r="61" spans="3:12">
      <c r="C61" s="1549"/>
      <c r="D61" s="1550"/>
      <c r="E61" s="753"/>
      <c r="F61" s="753"/>
      <c r="G61" s="753"/>
      <c r="H61" s="753"/>
      <c r="I61" s="1599"/>
      <c r="J61" s="753"/>
      <c r="K61" s="775"/>
      <c r="L61" s="776">
        <f>L7</f>
        <v>44926</v>
      </c>
    </row>
    <row r="62" spans="8:8">
      <c r="H62" s="4646"/>
    </row>
    <row r="63" ht="13.35" spans="2:8">
      <c r="B63" s="4647" t="s">
        <v>515</v>
      </c>
      <c r="C63" s="4648"/>
      <c r="D63" s="4649">
        <f>+D10</f>
        <v>43465</v>
      </c>
      <c r="E63" s="4649">
        <f>+E10</f>
        <v>43100</v>
      </c>
      <c r="F63" s="4650">
        <v>2009</v>
      </c>
      <c r="G63" s="4651"/>
      <c r="H63" s="4596"/>
    </row>
    <row r="64" ht="13.35" spans="2:8">
      <c r="B64" s="4652"/>
      <c r="C64" s="4653"/>
      <c r="D64" s="4654"/>
      <c r="E64" s="4655"/>
      <c r="F64" s="4651"/>
      <c r="G64" s="4651"/>
      <c r="H64" s="4596"/>
    </row>
    <row r="65" ht="13.8" spans="2:8">
      <c r="B65" s="5018" t="s">
        <v>516</v>
      </c>
      <c r="D65" s="4597">
        <f>+'F30'!Q40</f>
        <v>290829112</v>
      </c>
      <c r="E65" s="4661">
        <f>+'F30'!R40</f>
        <v>911715314.124995</v>
      </c>
      <c r="F65" s="4662">
        <v>-9983641</v>
      </c>
      <c r="G65" s="4662"/>
      <c r="H65" s="4596"/>
    </row>
    <row r="66" spans="2:8">
      <c r="B66" s="4663"/>
      <c r="D66" s="4597"/>
      <c r="E66" s="4661"/>
      <c r="F66" s="4597"/>
      <c r="G66" s="4597"/>
      <c r="H66" s="4596"/>
    </row>
    <row r="67" spans="2:8">
      <c r="B67" s="5019" t="s">
        <v>517</v>
      </c>
      <c r="D67" s="4597"/>
      <c r="E67" s="4661"/>
      <c r="F67" s="4597"/>
      <c r="G67" s="4597"/>
      <c r="H67" s="4596"/>
    </row>
    <row r="68" spans="2:8">
      <c r="B68" s="4663"/>
      <c r="C68" s="4596" t="s">
        <v>323</v>
      </c>
      <c r="D68" s="4597" t="e">
        <f>#REF!</f>
        <v>#REF!</v>
      </c>
      <c r="E68" s="4661">
        <v>430192107.1</v>
      </c>
      <c r="F68" s="4597">
        <v>0</v>
      </c>
      <c r="G68" s="4597"/>
      <c r="H68" s="4596"/>
    </row>
    <row r="69" spans="2:8">
      <c r="B69" s="4663"/>
      <c r="D69" s="4597"/>
      <c r="E69" s="4661"/>
      <c r="F69" s="4597"/>
      <c r="G69" s="4597"/>
      <c r="H69" s="4596"/>
    </row>
    <row r="70" spans="2:8">
      <c r="B70" s="5019" t="s">
        <v>518</v>
      </c>
      <c r="D70" s="4597"/>
      <c r="E70" s="4661"/>
      <c r="F70" s="4597"/>
      <c r="G70" s="4597"/>
      <c r="H70" s="4665"/>
    </row>
    <row r="71" ht="13.8" spans="2:8">
      <c r="B71" s="4663"/>
      <c r="C71" s="4644" t="str">
        <f>C15</f>
        <v>Piutang usaha</v>
      </c>
      <c r="D71" s="4597">
        <f>-H15</f>
        <v>0</v>
      </c>
      <c r="E71" s="4661" t="e">
        <f>SUM(#REF!)</f>
        <v>#REF!</v>
      </c>
      <c r="F71" s="4597">
        <f t="shared" ref="D71:F73" si="6">-J15</f>
        <v>0</v>
      </c>
      <c r="G71" s="4597"/>
      <c r="H71" s="4596"/>
    </row>
    <row r="72" ht="13.8" spans="2:8">
      <c r="B72" s="4663"/>
      <c r="C72" s="4644" t="str">
        <f>C16</f>
        <v>Persediaan</v>
      </c>
      <c r="D72" s="4597">
        <f t="shared" si="6"/>
        <v>0</v>
      </c>
      <c r="E72" s="4661" t="e">
        <f>SUM(#REF!)</f>
        <v>#REF!</v>
      </c>
      <c r="F72" s="4597">
        <f t="shared" si="6"/>
        <v>0</v>
      </c>
      <c r="G72" s="4597"/>
      <c r="H72" s="4596"/>
    </row>
    <row r="73" ht="13.8" spans="2:8">
      <c r="B73" s="4663"/>
      <c r="C73" s="4644" t="str">
        <f>C17</f>
        <v>Biaya dibayar dimuka</v>
      </c>
      <c r="D73" s="4597">
        <f t="shared" si="6"/>
        <v>4799400.00000001</v>
      </c>
      <c r="E73" s="4661" t="e">
        <f>SUM(#REF!)</f>
        <v>#REF!</v>
      </c>
      <c r="F73" s="4597">
        <f t="shared" si="6"/>
        <v>0</v>
      </c>
      <c r="G73" s="4597"/>
      <c r="H73" s="4596"/>
    </row>
    <row r="74" ht="13.8" spans="2:8">
      <c r="B74" s="4663"/>
      <c r="C74" s="4644" t="s">
        <v>519</v>
      </c>
      <c r="D74" s="4597">
        <f>-H18</f>
        <v>0</v>
      </c>
      <c r="E74" s="4661" t="e">
        <f>SUM(#REF!)</f>
        <v>#REF!</v>
      </c>
      <c r="F74" s="4597"/>
      <c r="G74" s="4597"/>
      <c r="H74" s="4596"/>
    </row>
    <row r="75" ht="13.8" spans="2:8">
      <c r="B75" s="4663"/>
      <c r="C75" s="4644" t="str">
        <f>C19</f>
        <v>Pekerjaan dlm pelaksanaan</v>
      </c>
      <c r="D75" s="4597">
        <f>-H19</f>
        <v>11684246307.732</v>
      </c>
      <c r="E75" s="4661" t="e">
        <f>SUM(#REF!)</f>
        <v>#REF!</v>
      </c>
      <c r="F75" s="4597"/>
      <c r="G75" s="4597"/>
      <c r="H75" s="4596"/>
    </row>
    <row r="76" ht="13.8" spans="2:8">
      <c r="B76" s="4663"/>
      <c r="C76" s="4644" t="str">
        <f>C36</f>
        <v>Utang usaha</v>
      </c>
      <c r="D76" s="4597">
        <f>H36</f>
        <v>-971699410</v>
      </c>
      <c r="E76" s="4661" t="e">
        <f>SUM(#REF!)</f>
        <v>#REF!</v>
      </c>
      <c r="F76" s="4597">
        <f>J36</f>
        <v>0</v>
      </c>
      <c r="G76" s="4597"/>
      <c r="H76" s="4596"/>
    </row>
    <row r="77" ht="13.8" spans="2:8">
      <c r="B77" s="4663"/>
      <c r="C77" s="4644" t="str">
        <f>C38</f>
        <v>Utang pajak</v>
      </c>
      <c r="D77" s="4597">
        <f>H38</f>
        <v>-14378554.5197069</v>
      </c>
      <c r="E77" s="4661" t="e">
        <f>SUM(#REF!)</f>
        <v>#REF!</v>
      </c>
      <c r="F77" s="4597">
        <f t="shared" ref="D77:F78" si="7">J38</f>
        <v>0</v>
      </c>
      <c r="G77" s="4597"/>
      <c r="H77" s="4596"/>
    </row>
    <row r="78" ht="13.8" spans="2:8">
      <c r="B78" s="4663"/>
      <c r="C78" s="4644" t="str">
        <f>C39</f>
        <v>Biaya yang masih harus dibayar</v>
      </c>
      <c r="D78" s="4597">
        <f t="shared" si="7"/>
        <v>0</v>
      </c>
      <c r="E78" s="4661">
        <v>0</v>
      </c>
      <c r="F78" s="4597">
        <f t="shared" si="7"/>
        <v>0</v>
      </c>
      <c r="G78" s="4597"/>
      <c r="H78" s="4596"/>
    </row>
    <row r="79" spans="2:8">
      <c r="B79" s="4663"/>
      <c r="D79" s="4597"/>
      <c r="E79" s="4661"/>
      <c r="F79" s="4597"/>
      <c r="G79" s="4597"/>
      <c r="H79" s="4596"/>
    </row>
    <row r="80" ht="14.55" spans="2:8">
      <c r="B80" s="4666" t="s">
        <v>520</v>
      </c>
      <c r="C80" s="4598"/>
      <c r="D80" s="4667" t="e">
        <f>SUM(D65:D79)</f>
        <v>#REF!</v>
      </c>
      <c r="E80" s="4668" t="e">
        <f>SUM(E65:E79)</f>
        <v>#REF!</v>
      </c>
      <c r="F80" s="4667">
        <f>SUM(F65:F79)</f>
        <v>-9983641</v>
      </c>
      <c r="G80" s="4627"/>
      <c r="H80" s="4596"/>
    </row>
    <row r="81" ht="13.35" spans="2:8">
      <c r="B81" s="4663"/>
      <c r="D81" s="4597"/>
      <c r="E81" s="4661"/>
      <c r="F81" s="4597"/>
      <c r="G81" s="4597"/>
      <c r="H81" s="4596"/>
    </row>
    <row r="82" ht="13.8" spans="2:8">
      <c r="B82" s="4669" t="s">
        <v>521</v>
      </c>
      <c r="D82" s="4597"/>
      <c r="E82" s="4661"/>
      <c r="F82" s="4597"/>
      <c r="G82" s="4597"/>
      <c r="H82" s="4596"/>
    </row>
    <row r="83" spans="2:8">
      <c r="B83" s="4663"/>
      <c r="C83" s="4596" t="s">
        <v>522</v>
      </c>
      <c r="D83" s="4597" t="e">
        <f>-#REF!</f>
        <v>#REF!</v>
      </c>
      <c r="E83" s="4661" t="e">
        <f>-#REF!</f>
        <v>#REF!</v>
      </c>
      <c r="F83" s="4597">
        <v>0</v>
      </c>
      <c r="G83" s="4597"/>
      <c r="H83" s="4596"/>
    </row>
    <row r="84" spans="2:8">
      <c r="B84" s="4663"/>
      <c r="D84" s="4597"/>
      <c r="E84" s="4661"/>
      <c r="F84" s="4597"/>
      <c r="G84" s="4597"/>
      <c r="H84" s="4596"/>
    </row>
    <row r="85" ht="13.8" spans="2:8">
      <c r="B85" s="5020" t="s">
        <v>523</v>
      </c>
      <c r="D85" s="4597"/>
      <c r="E85" s="4661"/>
      <c r="F85" s="4597"/>
      <c r="G85" s="4597"/>
      <c r="H85" s="4596"/>
    </row>
    <row r="86" ht="13.8" spans="2:8">
      <c r="B86" s="4663"/>
      <c r="C86" s="4644" t="s">
        <v>524</v>
      </c>
      <c r="D86" s="4597">
        <f>+H44</f>
        <v>0</v>
      </c>
      <c r="E86" s="4661" t="e">
        <f>SUM(#REF!)</f>
        <v>#REF!</v>
      </c>
      <c r="F86" s="4597">
        <f>J47</f>
        <v>222631677</v>
      </c>
      <c r="G86" s="4597"/>
      <c r="H86" s="4596"/>
    </row>
    <row r="87" ht="13.8" spans="2:8">
      <c r="B87" s="4670"/>
      <c r="C87" s="4596" t="s">
        <v>525</v>
      </c>
      <c r="D87" s="4597">
        <v>0</v>
      </c>
      <c r="E87" s="4661">
        <v>0</v>
      </c>
      <c r="F87" s="4597">
        <v>0</v>
      </c>
      <c r="G87" s="4597"/>
      <c r="H87" s="4596"/>
    </row>
    <row r="88" ht="14.55" spans="2:8">
      <c r="B88" s="4669" t="s">
        <v>526</v>
      </c>
      <c r="D88" s="4667">
        <f>SUM(D86:D87)</f>
        <v>0</v>
      </c>
      <c r="E88" s="4668" t="e">
        <f>SUM(E86:E87)</f>
        <v>#REF!</v>
      </c>
      <c r="F88" s="4667">
        <f>SUM(F86:F87)</f>
        <v>222631677</v>
      </c>
      <c r="G88" s="4627"/>
      <c r="H88" s="4596"/>
    </row>
    <row r="89" ht="13.35" spans="2:8">
      <c r="B89" s="4663"/>
      <c r="D89" s="4597"/>
      <c r="E89" s="4661"/>
      <c r="F89" s="4597"/>
      <c r="G89" s="4597"/>
      <c r="H89" s="4596"/>
    </row>
    <row r="90" ht="13.8" spans="2:8">
      <c r="B90" s="4669" t="s">
        <v>527</v>
      </c>
      <c r="C90" s="4598"/>
      <c r="D90" s="4627" t="e">
        <f>D88+D83+D80</f>
        <v>#REF!</v>
      </c>
      <c r="E90" s="4671" t="e">
        <f>E88+E83+E80</f>
        <v>#REF!</v>
      </c>
      <c r="F90" s="4627">
        <f>F88+F83+F80</f>
        <v>212648036</v>
      </c>
      <c r="G90" s="4627"/>
      <c r="H90" s="4596"/>
    </row>
    <row r="91" spans="2:8">
      <c r="B91" s="4663"/>
      <c r="D91" s="4597"/>
      <c r="E91" s="4661"/>
      <c r="F91" s="4597"/>
      <c r="G91" s="4597"/>
      <c r="H91" s="4596"/>
    </row>
    <row r="92" ht="13.8" spans="2:8">
      <c r="B92" s="4672" t="s">
        <v>528</v>
      </c>
      <c r="C92" s="4598"/>
      <c r="D92" s="4597">
        <f>E14</f>
        <v>750100447</v>
      </c>
      <c r="E92" s="4661" t="e">
        <f>SUM(#REF!)</f>
        <v>#REF!</v>
      </c>
      <c r="F92" s="4597">
        <f>G14</f>
        <v>23386880</v>
      </c>
      <c r="G92" s="4597"/>
      <c r="H92" s="4596"/>
    </row>
    <row r="93" spans="2:8">
      <c r="B93" s="4663"/>
      <c r="D93" s="4597"/>
      <c r="E93" s="4661"/>
      <c r="F93" s="4597"/>
      <c r="G93" s="4597"/>
      <c r="H93" s="4596"/>
    </row>
    <row r="94" ht="14.55" spans="2:8">
      <c r="B94" s="4673" t="s">
        <v>529</v>
      </c>
      <c r="C94" s="4674"/>
      <c r="D94" s="4675" t="e">
        <f>D90+D92</f>
        <v>#REF!</v>
      </c>
      <c r="E94" s="4676" t="e">
        <f>E90+E92</f>
        <v>#REF!</v>
      </c>
      <c r="F94" s="4667">
        <f>F90+F92</f>
        <v>236034916</v>
      </c>
      <c r="G94" s="4627"/>
      <c r="H94" s="4596"/>
    </row>
    <row r="95" spans="4:8">
      <c r="D95" s="4597" t="e">
        <f>D94-D14</f>
        <v>#REF!</v>
      </c>
      <c r="E95" s="4597" t="e">
        <f>E94-E14</f>
        <v>#REF!</v>
      </c>
      <c r="F95" s="4597" t="b">
        <f>F94=F14</f>
        <v>0</v>
      </c>
      <c r="G95" s="4597"/>
      <c r="H95" s="4596"/>
    </row>
    <row r="96" spans="4:5">
      <c r="D96" s="4677"/>
      <c r="E96" s="4677"/>
    </row>
    <row r="97" ht="12" customHeight="1" spans="4:5">
      <c r="D97" s="4678"/>
      <c r="E97" s="4678"/>
    </row>
    <row r="98" ht="12" customHeight="1" spans="4:4">
      <c r="D98" s="4659"/>
    </row>
  </sheetData>
  <pageMargins left="0.748031496062992" right="0.551181102362205" top="0.590551181102362" bottom="0.393700787401575" header="0.511811023622047" footer="0.511811023622047"/>
  <pageSetup paperSize="1" orientation="portrait"/>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9"/>
  <dimension ref="B1:BF221"/>
  <sheetViews>
    <sheetView showGridLines="0" topLeftCell="A146" workbookViewId="0">
      <pane xSplit="13" ySplit="8" topLeftCell="N154" activePane="bottomRight" state="frozen"/>
      <selection/>
      <selection pane="topRight"/>
      <selection pane="bottomLeft"/>
      <selection pane="bottomRight" activeCell="AD207" sqref="AD207"/>
    </sheetView>
  </sheetViews>
  <sheetFormatPr defaultColWidth="9.13541666666667" defaultRowHeight="11.4"/>
  <cols>
    <col min="1" max="1" width="1.19791666666667" style="3606" customWidth="1"/>
    <col min="2" max="8" width="2.25" style="3606" customWidth="1"/>
    <col min="9" max="9" width="3" style="3606" customWidth="1"/>
    <col min="10" max="10" width="4.9375" style="3606" customWidth="1"/>
    <col min="11" max="11" width="3.73958333333333" style="3606" customWidth="1"/>
    <col min="12" max="12" width="4.79166666666667" style="3606" customWidth="1"/>
    <col min="13" max="13" width="3.14583333333333" style="3606" customWidth="1"/>
    <col min="14" max="14" width="20.2291666666667" style="3606" customWidth="1"/>
    <col min="15" max="17" width="2.69791666666667" style="3606" customWidth="1"/>
    <col min="18" max="27" width="2.69791666666667" style="4049" customWidth="1"/>
    <col min="28" max="28" width="2.25" style="4049" customWidth="1"/>
    <col min="29" max="35" width="2.69791666666667" style="4049" customWidth="1"/>
    <col min="36" max="48" width="2.69791666666667" style="3606" customWidth="1"/>
    <col min="49" max="49" width="2.39583333333333" style="3606" customWidth="1"/>
    <col min="50" max="50" width="16.625" style="3606" customWidth="1"/>
    <col min="51" max="51" width="15.1354166666667" style="3606" customWidth="1"/>
    <col min="52" max="52" width="16.3333333333333" style="3606" customWidth="1"/>
    <col min="53" max="53" width="14.3854166666667" style="3606" customWidth="1"/>
    <col min="54" max="57" width="9.13541666666667" style="3606"/>
    <col min="58" max="58" width="16.3333333333333" style="3606" customWidth="1"/>
    <col min="59" max="16384" width="9.13541666666667" style="3606"/>
  </cols>
  <sheetData>
    <row r="1" ht="12" hidden="1" customHeight="1" spans="2:51">
      <c r="B1" s="3607" t="s">
        <v>530</v>
      </c>
      <c r="AJ1" s="4567" t="s">
        <v>531</v>
      </c>
      <c r="AK1" s="4567"/>
      <c r="AL1" s="4568" t="s">
        <v>532</v>
      </c>
      <c r="AM1" s="4568"/>
      <c r="AN1" s="4568"/>
      <c r="AO1" s="4568"/>
      <c r="AP1" s="4568"/>
      <c r="AQ1" s="4568"/>
      <c r="AR1" s="4568"/>
      <c r="AS1" s="4572" t="s">
        <v>533</v>
      </c>
      <c r="AT1" s="4572"/>
      <c r="AU1" s="4572"/>
      <c r="AV1" s="4572"/>
      <c r="AW1" s="4572"/>
      <c r="AX1" s="4572"/>
      <c r="AY1" s="4089"/>
    </row>
    <row r="2" ht="12" hidden="1" customHeight="1" spans="2:51">
      <c r="B2" s="5010" t="s">
        <v>284</v>
      </c>
      <c r="AJ2" s="4567"/>
      <c r="AK2" s="4567"/>
      <c r="AL2" s="4568"/>
      <c r="AM2" s="4568"/>
      <c r="AN2" s="4568"/>
      <c r="AO2" s="4568"/>
      <c r="AP2" s="4568"/>
      <c r="AQ2" s="4568"/>
      <c r="AR2" s="4568"/>
      <c r="AS2" s="4572"/>
      <c r="AT2" s="4572"/>
      <c r="AU2" s="4572"/>
      <c r="AV2" s="4572"/>
      <c r="AW2" s="4572"/>
      <c r="AX2" s="4572"/>
      <c r="AY2" s="4089"/>
    </row>
    <row r="3" ht="12" hidden="1" customHeight="1" spans="2:51">
      <c r="B3" s="5010" t="s">
        <v>534</v>
      </c>
      <c r="AJ3" s="4567"/>
      <c r="AK3" s="4567"/>
      <c r="AL3" s="4568"/>
      <c r="AM3" s="4568"/>
      <c r="AN3" s="4568"/>
      <c r="AO3" s="4568"/>
      <c r="AP3" s="4568"/>
      <c r="AQ3" s="4568"/>
      <c r="AR3" s="4568"/>
      <c r="AS3" s="4572"/>
      <c r="AT3" s="4572"/>
      <c r="AU3" s="4572"/>
      <c r="AV3" s="4572"/>
      <c r="AW3" s="4572"/>
      <c r="AX3" s="4572"/>
      <c r="AY3" s="4089"/>
    </row>
    <row r="4" ht="12" hidden="1" customHeight="1" spans="2:51">
      <c r="B4" s="3609" t="s">
        <v>450</v>
      </c>
      <c r="AJ4" s="4567"/>
      <c r="AK4" s="4567"/>
      <c r="AL4" s="4569" t="s">
        <v>535</v>
      </c>
      <c r="AM4" s="4569"/>
      <c r="AN4" s="4569"/>
      <c r="AO4" s="4569"/>
      <c r="AP4" s="4569"/>
      <c r="AQ4" s="4569"/>
      <c r="AR4" s="4569"/>
      <c r="AS4" s="4573" t="s">
        <v>275</v>
      </c>
      <c r="AT4" s="4573"/>
      <c r="AU4" s="4573"/>
      <c r="AV4" s="4573"/>
      <c r="AW4" s="4573"/>
      <c r="AX4" s="4573"/>
      <c r="AY4" s="4089"/>
    </row>
    <row r="5" ht="12" hidden="1" customHeight="1" spans="2:51">
      <c r="B5" s="3610"/>
      <c r="C5" s="3611"/>
      <c r="D5" s="3611"/>
      <c r="E5" s="3611"/>
      <c r="F5" s="3611"/>
      <c r="G5" s="3611"/>
      <c r="H5" s="3611"/>
      <c r="I5" s="3611"/>
      <c r="J5" s="3611"/>
      <c r="K5" s="3611"/>
      <c r="L5" s="3611"/>
      <c r="M5" s="3611"/>
      <c r="N5" s="3611"/>
      <c r="O5" s="3611"/>
      <c r="P5" s="3611"/>
      <c r="Q5" s="3611"/>
      <c r="R5" s="4054"/>
      <c r="S5" s="4054"/>
      <c r="T5" s="4054"/>
      <c r="U5" s="4054"/>
      <c r="V5" s="4054"/>
      <c r="W5" s="4054"/>
      <c r="X5" s="4054"/>
      <c r="Y5" s="4054"/>
      <c r="Z5" s="4054"/>
      <c r="AA5" s="4054"/>
      <c r="AB5" s="4054"/>
      <c r="AC5" s="4054"/>
      <c r="AD5" s="4054"/>
      <c r="AE5" s="4054"/>
      <c r="AF5" s="4054"/>
      <c r="AG5" s="4054"/>
      <c r="AH5" s="4054"/>
      <c r="AI5" s="4054"/>
      <c r="AJ5" s="3626"/>
      <c r="AK5" s="3626"/>
      <c r="AL5" s="4570"/>
      <c r="AM5" s="4570"/>
      <c r="AN5" s="4570"/>
      <c r="AO5" s="4570"/>
      <c r="AP5" s="4570"/>
      <c r="AQ5" s="4570"/>
      <c r="AR5" s="4570"/>
      <c r="AS5" s="4125"/>
      <c r="AT5" s="4125"/>
      <c r="AU5" s="4125"/>
      <c r="AV5" s="4125"/>
      <c r="AW5" s="4573"/>
      <c r="AX5" s="4573"/>
      <c r="AY5" s="4089"/>
    </row>
    <row r="6" ht="12" hidden="1" customHeight="1" spans="2:50">
      <c r="B6" s="3607"/>
      <c r="AJ6" s="4120"/>
      <c r="AK6" s="4120"/>
      <c r="AL6" s="4571"/>
      <c r="AM6" s="4571"/>
      <c r="AN6" s="4571"/>
      <c r="AO6" s="4571"/>
      <c r="AP6" s="4571"/>
      <c r="AQ6" s="4571"/>
      <c r="AR6" s="4571"/>
      <c r="AS6" s="4574"/>
      <c r="AT6" s="4574"/>
      <c r="AU6" s="4574"/>
      <c r="AV6" s="4574"/>
      <c r="AW6" s="4574"/>
      <c r="AX6" s="4574"/>
    </row>
    <row r="7" hidden="1"/>
    <row r="8" ht="15.75" hidden="1" customHeight="1" spans="18:52">
      <c r="R8" s="4055" t="s">
        <v>536</v>
      </c>
      <c r="S8" s="4055"/>
      <c r="T8" s="4055"/>
      <c r="U8" s="4056"/>
      <c r="V8" s="4056"/>
      <c r="W8" s="4056"/>
      <c r="X8" s="4056"/>
      <c r="Y8" s="4056"/>
      <c r="Z8" s="4056"/>
      <c r="AA8" s="4056"/>
      <c r="AB8" s="4056"/>
      <c r="AJ8" s="5021" t="s">
        <v>537</v>
      </c>
      <c r="AK8" s="4166"/>
      <c r="AL8" s="4166"/>
      <c r="AM8" s="4166"/>
      <c r="AN8" s="4166"/>
      <c r="AO8" s="4166"/>
      <c r="AQ8" s="5022" t="s">
        <v>538</v>
      </c>
      <c r="AR8" s="4090"/>
      <c r="AS8" s="4090"/>
      <c r="AT8" s="4090"/>
      <c r="AU8" s="4090"/>
      <c r="AV8" s="4090"/>
      <c r="AW8" s="4575"/>
      <c r="AX8" s="3608"/>
      <c r="AY8" s="3606">
        <v>18</v>
      </c>
      <c r="AZ8" s="3606">
        <v>17</v>
      </c>
    </row>
    <row r="9" hidden="1" spans="18:50">
      <c r="R9" s="4112"/>
      <c r="S9" s="4112"/>
      <c r="T9" s="4112"/>
      <c r="U9" s="4113"/>
      <c r="V9" s="4113"/>
      <c r="W9" s="4113"/>
      <c r="X9" s="4113"/>
      <c r="Y9" s="4113"/>
      <c r="Z9" s="4113"/>
      <c r="AA9" s="4113"/>
      <c r="AB9" s="4113"/>
      <c r="AC9" s="4060"/>
      <c r="AD9" s="4060"/>
      <c r="AE9" s="4060"/>
      <c r="AF9" s="4060"/>
      <c r="AG9" s="4060"/>
      <c r="AH9" s="4060"/>
      <c r="AI9" s="4060"/>
      <c r="AJ9" s="4080"/>
      <c r="AK9" s="4080"/>
      <c r="AL9" s="4080"/>
      <c r="AM9" s="4080"/>
      <c r="AN9" s="4080"/>
      <c r="AO9" s="4080"/>
      <c r="AP9" s="4081"/>
      <c r="AQ9" s="4080"/>
      <c r="AR9" s="4080"/>
      <c r="AS9" s="4080"/>
      <c r="AT9" s="4080"/>
      <c r="AU9" s="4080"/>
      <c r="AV9" s="4080"/>
      <c r="AW9" s="4081"/>
      <c r="AX9" s="4081"/>
    </row>
    <row r="10" ht="12" hidden="1" spans="2:53">
      <c r="B10" s="3607" t="s">
        <v>499</v>
      </c>
      <c r="R10" s="4067"/>
      <c r="S10" s="4067"/>
      <c r="T10" s="4067"/>
      <c r="U10" s="4067"/>
      <c r="V10" s="4067"/>
      <c r="W10" s="4067"/>
      <c r="X10" s="4067"/>
      <c r="Y10" s="4067"/>
      <c r="Z10" s="4067"/>
      <c r="AA10" s="4067"/>
      <c r="AB10" s="4067"/>
      <c r="AC10" s="4060"/>
      <c r="AD10" s="4060"/>
      <c r="AE10" s="4060"/>
      <c r="AF10" s="4060"/>
      <c r="AG10" s="4060"/>
      <c r="AH10" s="4060"/>
      <c r="AI10" s="4060"/>
      <c r="AJ10" s="4081"/>
      <c r="AK10" s="4081"/>
      <c r="AL10" s="4081"/>
      <c r="AM10" s="4081"/>
      <c r="AN10" s="4081"/>
      <c r="AO10" s="4081"/>
      <c r="AP10" s="4081"/>
      <c r="AQ10" s="4081"/>
      <c r="AR10" s="4081"/>
      <c r="AS10" s="4081"/>
      <c r="AT10" s="4081"/>
      <c r="AU10" s="4081"/>
      <c r="AV10" s="4081"/>
      <c r="AW10" s="4081"/>
      <c r="AX10" s="4081"/>
      <c r="BA10" s="3606" t="s">
        <v>539</v>
      </c>
    </row>
    <row r="11" ht="12" hidden="1" spans="2:53">
      <c r="B11" s="3607" t="s">
        <v>540</v>
      </c>
      <c r="R11" s="4067"/>
      <c r="S11" s="4067"/>
      <c r="T11" s="4067"/>
      <c r="U11" s="4067"/>
      <c r="V11" s="4067"/>
      <c r="W11" s="4067"/>
      <c r="X11" s="4067"/>
      <c r="Y11" s="4067"/>
      <c r="Z11" s="4067"/>
      <c r="AA11" s="4067"/>
      <c r="AB11" s="4067"/>
      <c r="AC11" s="4060"/>
      <c r="AD11" s="4060"/>
      <c r="AE11" s="4060"/>
      <c r="AF11" s="4060"/>
      <c r="AG11" s="4060"/>
      <c r="AH11" s="4060"/>
      <c r="AI11" s="4060"/>
      <c r="AJ11" s="4081"/>
      <c r="AK11" s="4081"/>
      <c r="AL11" s="4081"/>
      <c r="AM11" s="4081"/>
      <c r="AN11" s="4081"/>
      <c r="AO11" s="4081"/>
      <c r="AP11" s="4081"/>
      <c r="AQ11" s="4081"/>
      <c r="AR11" s="4081"/>
      <c r="AS11" s="4081"/>
      <c r="AT11" s="4081"/>
      <c r="AU11" s="4081"/>
      <c r="AV11" s="4081"/>
      <c r="AW11" s="4081"/>
      <c r="AX11" s="4081"/>
      <c r="BA11" s="3628">
        <v>2018</v>
      </c>
    </row>
    <row r="12" hidden="1" spans="2:53">
      <c r="B12" s="3606" t="s">
        <v>541</v>
      </c>
      <c r="R12" s="4061" t="s">
        <v>542</v>
      </c>
      <c r="S12" s="4061"/>
      <c r="T12" s="4061"/>
      <c r="U12" s="4061"/>
      <c r="V12" s="4061"/>
      <c r="W12" s="4061"/>
      <c r="X12" s="4061"/>
      <c r="Y12" s="4061"/>
      <c r="Z12" s="4061"/>
      <c r="AA12" s="4061"/>
      <c r="AB12" s="4061"/>
      <c r="AC12" s="4060"/>
      <c r="AD12" s="4060"/>
      <c r="AE12" s="4060"/>
      <c r="AF12" s="4060"/>
      <c r="AG12" s="4060"/>
      <c r="AH12" s="4060"/>
      <c r="AI12" s="4060"/>
      <c r="AJ12" s="4082">
        <f>+'[71]F1'!J15</f>
        <v>6936702194.99</v>
      </c>
      <c r="AK12" s="4082"/>
      <c r="AL12" s="4082"/>
      <c r="AM12" s="4082"/>
      <c r="AN12" s="4082"/>
      <c r="AO12" s="4082"/>
      <c r="AP12" s="4082"/>
      <c r="AQ12" s="4082">
        <f>+'[71]F1'!K15</f>
        <v>1072340570.19</v>
      </c>
      <c r="AR12" s="4082"/>
      <c r="AS12" s="4082"/>
      <c r="AT12" s="4082"/>
      <c r="AU12" s="4082"/>
      <c r="AV12" s="4082"/>
      <c r="AW12" s="4082"/>
      <c r="AX12" s="4082"/>
      <c r="AY12" s="3606" t="b">
        <f>AJ12='[71]F1'!J15</f>
        <v>1</v>
      </c>
      <c r="AZ12" s="3606" t="b">
        <f>AQ12='[71]F1'!K15</f>
        <v>1</v>
      </c>
      <c r="BA12" s="3606">
        <f t="shared" ref="BA12:BA18" si="0">AQ12-AJ12</f>
        <v>-5864361624.8</v>
      </c>
    </row>
    <row r="13" hidden="1" spans="2:53">
      <c r="B13" s="3606" t="s">
        <v>543</v>
      </c>
      <c r="R13" s="4061" t="s">
        <v>544</v>
      </c>
      <c r="S13" s="4061"/>
      <c r="T13" s="4061"/>
      <c r="U13" s="4061"/>
      <c r="V13" s="4061"/>
      <c r="W13" s="4061"/>
      <c r="X13" s="4061"/>
      <c r="Y13" s="4061"/>
      <c r="Z13" s="4061"/>
      <c r="AA13" s="4061"/>
      <c r="AB13" s="4061"/>
      <c r="AC13" s="4060"/>
      <c r="AD13" s="4060"/>
      <c r="AE13" s="4060"/>
      <c r="AF13" s="4060"/>
      <c r="AG13" s="4060"/>
      <c r="AH13" s="4060"/>
      <c r="AI13" s="4060"/>
      <c r="AJ13" s="4185">
        <f>+'[71]F1'!J16</f>
        <v>1174191501</v>
      </c>
      <c r="AK13" s="4185"/>
      <c r="AL13" s="4185"/>
      <c r="AM13" s="4185"/>
      <c r="AN13" s="4185"/>
      <c r="AO13" s="4185"/>
      <c r="AP13" s="4082"/>
      <c r="AQ13" s="4082">
        <f>+'[71]F1'!K16</f>
        <v>0</v>
      </c>
      <c r="AR13" s="4082"/>
      <c r="AS13" s="4082"/>
      <c r="AT13" s="4082"/>
      <c r="AU13" s="4082"/>
      <c r="AV13" s="4082"/>
      <c r="AW13" s="4082"/>
      <c r="AX13" s="4082"/>
      <c r="AY13" s="3606" t="b">
        <f>AJ13='[71]F1'!J16</f>
        <v>1</v>
      </c>
      <c r="AZ13" s="3606" t="b">
        <f>AQ13='[71]F1'!K16</f>
        <v>1</v>
      </c>
      <c r="BA13" s="3606">
        <f t="shared" si="0"/>
        <v>-1174191501</v>
      </c>
    </row>
    <row r="14" hidden="1" spans="2:53">
      <c r="B14" s="3606" t="str">
        <f>'[71]F1'!C17</f>
        <v>Piutang lain-lain</v>
      </c>
      <c r="R14" s="4061" t="s">
        <v>545</v>
      </c>
      <c r="S14" s="4061"/>
      <c r="T14" s="4061"/>
      <c r="U14" s="4061"/>
      <c r="V14" s="4061"/>
      <c r="W14" s="4061"/>
      <c r="X14" s="4061"/>
      <c r="Y14" s="4061"/>
      <c r="Z14" s="4061"/>
      <c r="AA14" s="4061"/>
      <c r="AB14" s="4061"/>
      <c r="AC14" s="4060"/>
      <c r="AD14" s="4060"/>
      <c r="AE14" s="4060"/>
      <c r="AF14" s="4060"/>
      <c r="AG14" s="4060"/>
      <c r="AH14" s="4060"/>
      <c r="AI14" s="4060"/>
      <c r="AJ14" s="4185">
        <f>+'[71]F1'!J17</f>
        <v>1735620779</v>
      </c>
      <c r="AK14" s="4185"/>
      <c r="AL14" s="4185"/>
      <c r="AM14" s="4185"/>
      <c r="AN14" s="4185"/>
      <c r="AO14" s="4185"/>
      <c r="AP14" s="4082"/>
      <c r="AQ14" s="4082">
        <f>+'[71]F1'!K17</f>
        <v>1236976335</v>
      </c>
      <c r="AR14" s="4082"/>
      <c r="AS14" s="4082"/>
      <c r="AT14" s="4082"/>
      <c r="AU14" s="4082"/>
      <c r="AV14" s="4082"/>
      <c r="AW14" s="4082"/>
      <c r="AX14" s="4082"/>
      <c r="BA14" s="3606">
        <f t="shared" si="0"/>
        <v>-498644444</v>
      </c>
    </row>
    <row r="15" hidden="1" spans="2:53">
      <c r="B15" s="3606" t="s">
        <v>546</v>
      </c>
      <c r="R15" s="4061" t="s">
        <v>547</v>
      </c>
      <c r="S15" s="4061"/>
      <c r="T15" s="4061"/>
      <c r="U15" s="4061"/>
      <c r="V15" s="4061"/>
      <c r="W15" s="4061"/>
      <c r="X15" s="4061"/>
      <c r="Y15" s="4061"/>
      <c r="Z15" s="4061"/>
      <c r="AA15" s="4061"/>
      <c r="AB15" s="4061"/>
      <c r="AC15" s="4060"/>
      <c r="AD15" s="4060"/>
      <c r="AE15" s="4060"/>
      <c r="AF15" s="4060"/>
      <c r="AG15" s="4060"/>
      <c r="AH15" s="4060"/>
      <c r="AI15" s="4060"/>
      <c r="AJ15" s="4082">
        <f>+'[71]F1'!J18</f>
        <v>36205001</v>
      </c>
      <c r="AK15" s="4082"/>
      <c r="AL15" s="4082"/>
      <c r="AM15" s="4082"/>
      <c r="AN15" s="4082"/>
      <c r="AO15" s="4082"/>
      <c r="AP15" s="4082"/>
      <c r="AQ15" s="4082">
        <f>+'[71]F1'!K18</f>
        <v>0</v>
      </c>
      <c r="AR15" s="4082"/>
      <c r="AS15" s="4082"/>
      <c r="AT15" s="4082"/>
      <c r="AU15" s="4082"/>
      <c r="AV15" s="4082"/>
      <c r="AW15" s="4082"/>
      <c r="AX15" s="4082"/>
      <c r="AY15" s="3606" t="b">
        <f>AJ15='[71]C'!K18</f>
        <v>1</v>
      </c>
      <c r="AZ15" s="3606" t="b">
        <f>AQ15='[71]C'!L18</f>
        <v>1</v>
      </c>
      <c r="BA15" s="3606">
        <f t="shared" si="0"/>
        <v>-36205001</v>
      </c>
    </row>
    <row r="16" hidden="1" spans="2:53">
      <c r="B16" s="3606" t="str">
        <f>+'[71]F1'!C19</f>
        <v>Biaya dibayar dimuka</v>
      </c>
      <c r="R16" s="4061" t="s">
        <v>548</v>
      </c>
      <c r="S16" s="4061"/>
      <c r="T16" s="4061"/>
      <c r="U16" s="4061"/>
      <c r="V16" s="4061"/>
      <c r="W16" s="4061"/>
      <c r="X16" s="4061"/>
      <c r="Y16" s="4061"/>
      <c r="Z16" s="4061"/>
      <c r="AA16" s="4061"/>
      <c r="AB16" s="4061"/>
      <c r="AC16" s="4060"/>
      <c r="AD16" s="4060"/>
      <c r="AE16" s="4060"/>
      <c r="AF16" s="4060"/>
      <c r="AG16" s="4060"/>
      <c r="AH16" s="4060"/>
      <c r="AI16" s="4060"/>
      <c r="AJ16" s="4082">
        <f>+'[71]F1'!J19</f>
        <v>506207689</v>
      </c>
      <c r="AK16" s="4082"/>
      <c r="AL16" s="4082"/>
      <c r="AM16" s="4082"/>
      <c r="AN16" s="4082"/>
      <c r="AO16" s="4082"/>
      <c r="AP16" s="4082"/>
      <c r="AQ16" s="4082">
        <f>+'[71]F1'!K19</f>
        <v>86957031</v>
      </c>
      <c r="AR16" s="4082"/>
      <c r="AS16" s="4082"/>
      <c r="AT16" s="4082"/>
      <c r="AU16" s="4082"/>
      <c r="AV16" s="4082"/>
      <c r="AW16" s="4082"/>
      <c r="AX16" s="4082"/>
      <c r="AY16" s="3606" t="b">
        <f>AJ16=[71]D!K20</f>
        <v>1</v>
      </c>
      <c r="AZ16" s="3606" t="b">
        <f>AQ16=[71]D!L20</f>
        <v>1</v>
      </c>
      <c r="BA16" s="3606">
        <f t="shared" si="0"/>
        <v>-419250658</v>
      </c>
    </row>
    <row r="17" hidden="1" spans="2:53">
      <c r="B17" s="3606" t="str">
        <f>'[71]F1'!C20</f>
        <v>Pajak dibayar dimuka</v>
      </c>
      <c r="R17" s="4061">
        <v>7</v>
      </c>
      <c r="S17" s="4061"/>
      <c r="T17" s="4061"/>
      <c r="U17" s="4061"/>
      <c r="V17" s="4061"/>
      <c r="W17" s="4061"/>
      <c r="X17" s="4061"/>
      <c r="Y17" s="4061"/>
      <c r="Z17" s="4061"/>
      <c r="AA17" s="4061"/>
      <c r="AB17" s="4061"/>
      <c r="AC17" s="4060"/>
      <c r="AD17" s="4060"/>
      <c r="AE17" s="4060"/>
      <c r="AF17" s="4060"/>
      <c r="AG17" s="4060"/>
      <c r="AH17" s="4060"/>
      <c r="AI17" s="4060"/>
      <c r="AJ17" s="4082">
        <f>+'[71]F1'!J20</f>
        <v>0.199999809265137</v>
      </c>
      <c r="AK17" s="4082"/>
      <c r="AL17" s="4082"/>
      <c r="AM17" s="4082"/>
      <c r="AN17" s="4082"/>
      <c r="AO17" s="4082"/>
      <c r="AP17" s="4082"/>
      <c r="AQ17" s="4082">
        <f>+'[71]F1'!K20</f>
        <v>0.270000000018626</v>
      </c>
      <c r="AR17" s="4082"/>
      <c r="AS17" s="4082"/>
      <c r="AT17" s="4082"/>
      <c r="AU17" s="4082"/>
      <c r="AV17" s="4082"/>
      <c r="AW17" s="4082"/>
      <c r="AX17" s="4082"/>
      <c r="AY17" s="3606" t="b">
        <f>AJ15='[71]F1'!J18</f>
        <v>1</v>
      </c>
      <c r="AZ17" s="3606" t="b">
        <f>AQ15='[71]F1'!K18</f>
        <v>1</v>
      </c>
      <c r="BA17" s="3606">
        <f t="shared" si="0"/>
        <v>0.0700001907534897</v>
      </c>
    </row>
    <row r="18" hidden="1" spans="2:53">
      <c r="B18" s="3606" t="s">
        <v>549</v>
      </c>
      <c r="R18" s="4061" t="s">
        <v>550</v>
      </c>
      <c r="S18" s="4061"/>
      <c r="T18" s="4061"/>
      <c r="U18" s="4061"/>
      <c r="V18" s="4061"/>
      <c r="W18" s="4061"/>
      <c r="X18" s="4061"/>
      <c r="Y18" s="4061"/>
      <c r="Z18" s="4061"/>
      <c r="AA18" s="4061"/>
      <c r="AB18" s="4061"/>
      <c r="AC18" s="4060"/>
      <c r="AD18" s="4060"/>
      <c r="AE18" s="4060"/>
      <c r="AF18" s="4060"/>
      <c r="AG18" s="4060"/>
      <c r="AH18" s="4060"/>
      <c r="AI18" s="4060"/>
      <c r="AJ18" s="4082">
        <f>+'[71]F1'!J21</f>
        <v>0</v>
      </c>
      <c r="AK18" s="4082"/>
      <c r="AL18" s="4082"/>
      <c r="AM18" s="4082"/>
      <c r="AN18" s="4082"/>
      <c r="AO18" s="4082"/>
      <c r="AP18" s="4082"/>
      <c r="AQ18" s="4082">
        <f>+'[71]F1'!K21</f>
        <v>0</v>
      </c>
      <c r="AR18" s="4082"/>
      <c r="AS18" s="4082"/>
      <c r="AT18" s="4082"/>
      <c r="AU18" s="4082"/>
      <c r="AV18" s="4082"/>
      <c r="AW18" s="4082"/>
      <c r="AX18" s="4082"/>
      <c r="BA18" s="3606">
        <f t="shared" si="0"/>
        <v>0</v>
      </c>
    </row>
    <row r="19" ht="6" hidden="1" customHeight="1" spans="18:50">
      <c r="R19" s="4061"/>
      <c r="S19" s="4061"/>
      <c r="T19" s="4061"/>
      <c r="U19" s="4061"/>
      <c r="V19" s="4061"/>
      <c r="W19" s="4061"/>
      <c r="X19" s="4061"/>
      <c r="Y19" s="4061"/>
      <c r="Z19" s="4061"/>
      <c r="AA19" s="4061"/>
      <c r="AB19" s="4061"/>
      <c r="AC19" s="4060"/>
      <c r="AD19" s="4060"/>
      <c r="AE19" s="4060"/>
      <c r="AF19" s="4060"/>
      <c r="AG19" s="4060"/>
      <c r="AH19" s="4060"/>
      <c r="AI19" s="4060"/>
      <c r="AJ19" s="4097"/>
      <c r="AK19" s="4097"/>
      <c r="AL19" s="4097"/>
      <c r="AM19" s="4097"/>
      <c r="AN19" s="4097"/>
      <c r="AO19" s="4097"/>
      <c r="AP19" s="4082"/>
      <c r="AQ19" s="4097"/>
      <c r="AR19" s="4097"/>
      <c r="AS19" s="4097"/>
      <c r="AT19" s="4097"/>
      <c r="AU19" s="4097"/>
      <c r="AV19" s="4097"/>
      <c r="AW19" s="4082"/>
      <c r="AX19" s="4082"/>
    </row>
    <row r="20" ht="12" hidden="1" spans="2:52">
      <c r="B20" s="3607" t="s">
        <v>551</v>
      </c>
      <c r="R20" s="4067"/>
      <c r="S20" s="4067"/>
      <c r="T20" s="4067"/>
      <c r="U20" s="4067"/>
      <c r="V20" s="4067"/>
      <c r="W20" s="4067"/>
      <c r="X20" s="4067"/>
      <c r="Y20" s="4067"/>
      <c r="Z20" s="4067"/>
      <c r="AA20" s="4067"/>
      <c r="AB20" s="4067"/>
      <c r="AC20" s="4060"/>
      <c r="AD20" s="4060"/>
      <c r="AE20" s="4060"/>
      <c r="AF20" s="4060"/>
      <c r="AG20" s="4060"/>
      <c r="AH20" s="4060"/>
      <c r="AI20" s="4060"/>
      <c r="AJ20" s="4083">
        <f>SUM(AJ12:AO16)</f>
        <v>10388927164.99</v>
      </c>
      <c r="AK20" s="4083"/>
      <c r="AL20" s="4083"/>
      <c r="AM20" s="4083"/>
      <c r="AN20" s="4083"/>
      <c r="AO20" s="4083"/>
      <c r="AP20" s="4083"/>
      <c r="AQ20" s="4083">
        <f>SUM(AQ12:AV18)</f>
        <v>2396273936.46</v>
      </c>
      <c r="AR20" s="4083"/>
      <c r="AS20" s="4083"/>
      <c r="AT20" s="4083"/>
      <c r="AU20" s="4083"/>
      <c r="AV20" s="4083"/>
      <c r="AW20" s="4083"/>
      <c r="AX20" s="4083"/>
      <c r="AY20" s="3606" t="b">
        <f>AJ20='[71]F1'!J23</f>
        <v>0</v>
      </c>
      <c r="AZ20" s="3606" t="b">
        <f>AQ20='[71]F1'!K23</f>
        <v>1</v>
      </c>
    </row>
    <row r="21" ht="12" hidden="1" customHeight="1" spans="18:50">
      <c r="R21" s="4067"/>
      <c r="S21" s="4067"/>
      <c r="T21" s="4067"/>
      <c r="U21" s="4067"/>
      <c r="V21" s="4067"/>
      <c r="W21" s="4067"/>
      <c r="X21" s="4067"/>
      <c r="Y21" s="4067"/>
      <c r="Z21" s="4067"/>
      <c r="AA21" s="4067"/>
      <c r="AB21" s="4067"/>
      <c r="AC21" s="4060"/>
      <c r="AD21" s="4060"/>
      <c r="AE21" s="4060"/>
      <c r="AF21" s="4060"/>
      <c r="AG21" s="4060"/>
      <c r="AH21" s="4060"/>
      <c r="AI21" s="4060"/>
      <c r="AJ21" s="4082"/>
      <c r="AK21" s="4082"/>
      <c r="AL21" s="4082"/>
      <c r="AM21" s="4082"/>
      <c r="AN21" s="4082"/>
      <c r="AO21" s="4082"/>
      <c r="AP21" s="4082"/>
      <c r="AQ21" s="4082"/>
      <c r="AR21" s="4082"/>
      <c r="AS21" s="4082"/>
      <c r="AT21" s="4082"/>
      <c r="AU21" s="4082"/>
      <c r="AV21" s="4082"/>
      <c r="AW21" s="4082"/>
      <c r="AX21" s="4082"/>
    </row>
    <row r="22" ht="12" hidden="1" spans="2:50">
      <c r="B22" s="3607" t="s">
        <v>552</v>
      </c>
      <c r="R22" s="4067"/>
      <c r="S22" s="4067"/>
      <c r="T22" s="4067"/>
      <c r="U22" s="4067"/>
      <c r="V22" s="4067"/>
      <c r="W22" s="4067"/>
      <c r="X22" s="4067"/>
      <c r="Y22" s="4067"/>
      <c r="Z22" s="4067"/>
      <c r="AA22" s="4067"/>
      <c r="AB22" s="4067"/>
      <c r="AC22" s="4060"/>
      <c r="AD22" s="4060"/>
      <c r="AE22" s="4060"/>
      <c r="AF22" s="4060"/>
      <c r="AG22" s="4060"/>
      <c r="AH22" s="4060"/>
      <c r="AI22" s="4060"/>
      <c r="AJ22" s="4082"/>
      <c r="AK22" s="4082"/>
      <c r="AL22" s="4082"/>
      <c r="AM22" s="4082"/>
      <c r="AN22" s="4082"/>
      <c r="AO22" s="4082"/>
      <c r="AP22" s="4082"/>
      <c r="AQ22" s="4082"/>
      <c r="AR22" s="4082"/>
      <c r="AS22" s="4082"/>
      <c r="AT22" s="4082"/>
      <c r="AU22" s="4082"/>
      <c r="AV22" s="4082"/>
      <c r="AW22" s="4082"/>
      <c r="AX22" s="4082"/>
    </row>
    <row r="23" hidden="1" spans="2:50">
      <c r="B23" t="s">
        <v>553</v>
      </c>
      <c r="AW23" s="4082"/>
      <c r="AX23" s="4082"/>
    </row>
    <row r="24" hidden="1" spans="2:50">
      <c r="B24" s="3339" t="s">
        <v>554</v>
      </c>
      <c r="C24" s="3339"/>
      <c r="D24" s="3339"/>
      <c r="E24" s="3339"/>
      <c r="F24" s="3339"/>
      <c r="G24" s="3339"/>
      <c r="H24" s="3339"/>
      <c r="I24" s="3339"/>
      <c r="J24" s="3339"/>
      <c r="K24" s="3339"/>
      <c r="L24" s="3339"/>
      <c r="M24" s="3339"/>
      <c r="N24" s="3339"/>
      <c r="O24" s="3339"/>
      <c r="P24" s="3339"/>
      <c r="R24" s="4061"/>
      <c r="S24" s="4061"/>
      <c r="T24" s="4061"/>
      <c r="U24" s="4061"/>
      <c r="V24" s="4061"/>
      <c r="W24" s="4061"/>
      <c r="X24" s="4061"/>
      <c r="Y24" s="4061"/>
      <c r="Z24" s="4061"/>
      <c r="AA24" s="4061"/>
      <c r="AB24" s="4061"/>
      <c r="AC24" s="4060"/>
      <c r="AD24" s="4060"/>
      <c r="AE24" s="4060"/>
      <c r="AF24" s="4060"/>
      <c r="AG24" s="4060"/>
      <c r="AH24" s="4060"/>
      <c r="AI24" s="4060"/>
      <c r="AJ24" s="4082"/>
      <c r="AK24" s="4082"/>
      <c r="AL24" s="4082"/>
      <c r="AM24" s="4082"/>
      <c r="AN24" s="4082"/>
      <c r="AO24" s="4082"/>
      <c r="AP24" s="4082"/>
      <c r="AQ24" s="4082"/>
      <c r="AR24" s="4082"/>
      <c r="AS24" s="4082"/>
      <c r="AT24" s="4082"/>
      <c r="AU24" s="4082"/>
      <c r="AV24" s="4082"/>
      <c r="AW24" s="4082"/>
      <c r="AX24" s="4082">
        <f>[71]UV!O37</f>
        <v>1826956171.9</v>
      </c>
    </row>
    <row r="25" hidden="1" spans="2:50">
      <c r="B25" s="3339"/>
      <c r="C25" s="3339"/>
      <c r="D25" s="3339"/>
      <c r="E25" s="3339"/>
      <c r="F25" s="3339"/>
      <c r="G25" s="3339"/>
      <c r="H25" s="3339"/>
      <c r="I25" s="3339"/>
      <c r="J25" s="3339"/>
      <c r="K25" s="3339"/>
      <c r="L25" s="3339"/>
      <c r="M25" s="3339"/>
      <c r="N25" s="3339"/>
      <c r="O25" s="3339"/>
      <c r="P25" s="3339"/>
      <c r="R25" s="4061"/>
      <c r="S25" s="4061"/>
      <c r="T25" s="4061"/>
      <c r="U25" s="4061"/>
      <c r="V25" s="4061"/>
      <c r="W25" s="4061"/>
      <c r="X25" s="4061"/>
      <c r="Y25" s="4061"/>
      <c r="Z25" s="4061"/>
      <c r="AA25" s="4061"/>
      <c r="AB25" s="4061"/>
      <c r="AC25" s="4060"/>
      <c r="AD25" s="4060"/>
      <c r="AE25" s="4060"/>
      <c r="AF25" s="4060"/>
      <c r="AG25" s="4060"/>
      <c r="AH25" s="4060"/>
      <c r="AI25" s="4060"/>
      <c r="AJ25" s="4082"/>
      <c r="AK25" s="4082"/>
      <c r="AL25" s="4082"/>
      <c r="AM25" s="4082"/>
      <c r="AN25" s="4082"/>
      <c r="AO25" s="4082"/>
      <c r="AP25" s="4082"/>
      <c r="AQ25" s="4082"/>
      <c r="AR25" s="4082"/>
      <c r="AS25" s="4082"/>
      <c r="AT25" s="4082"/>
      <c r="AU25" s="4082"/>
      <c r="AV25" s="4082"/>
      <c r="AW25" s="4082"/>
      <c r="AX25" s="4082"/>
    </row>
    <row r="26" hidden="1" spans="2:53">
      <c r="B26" s="3339"/>
      <c r="C26" s="3339"/>
      <c r="D26" s="3339"/>
      <c r="E26" s="3339"/>
      <c r="F26" s="3339"/>
      <c r="G26" s="3339"/>
      <c r="H26" s="3339"/>
      <c r="I26" s="3339"/>
      <c r="J26" s="3339"/>
      <c r="K26" s="3339"/>
      <c r="L26" s="3339"/>
      <c r="M26" s="3339"/>
      <c r="N26" s="3339"/>
      <c r="O26" s="3339"/>
      <c r="P26" s="3339"/>
      <c r="R26" s="4061" t="s">
        <v>555</v>
      </c>
      <c r="S26" s="4061"/>
      <c r="T26" s="4061"/>
      <c r="U26" s="4061"/>
      <c r="V26" s="4061"/>
      <c r="W26" s="4061"/>
      <c r="X26" s="4061"/>
      <c r="Y26" s="4061"/>
      <c r="Z26" s="4061"/>
      <c r="AA26" s="4061"/>
      <c r="AB26" s="4061"/>
      <c r="AC26" s="4060"/>
      <c r="AD26" s="4060"/>
      <c r="AE26" s="4060"/>
      <c r="AF26" s="4060"/>
      <c r="AG26" s="4060"/>
      <c r="AH26" s="4060"/>
      <c r="AI26" s="4060"/>
      <c r="AJ26" s="4082">
        <f>SUM('[71]F1'!J26:J27)</f>
        <v>78872820079.1</v>
      </c>
      <c r="AK26" s="4082"/>
      <c r="AL26" s="4082"/>
      <c r="AM26" s="4082"/>
      <c r="AN26" s="4082"/>
      <c r="AO26" s="4082"/>
      <c r="AP26" s="4082"/>
      <c r="AQ26" s="4082">
        <f>SUM('[71]F1'!K26:K27)</f>
        <v>5936183989.1</v>
      </c>
      <c r="AR26" s="4082"/>
      <c r="AS26" s="4082"/>
      <c r="AT26" s="4082"/>
      <c r="AU26" s="4082"/>
      <c r="AV26" s="4082"/>
      <c r="BA26" s="3606">
        <f>AQ26-AJ26</f>
        <v>-72936636090</v>
      </c>
    </row>
    <row r="27" hidden="1" spans="2:48">
      <c r="B27" t="s">
        <v>556</v>
      </c>
      <c r="C27" s="3339"/>
      <c r="D27" s="3339"/>
      <c r="E27" s="3339"/>
      <c r="F27" s="3339"/>
      <c r="G27" s="3339"/>
      <c r="H27" s="3339"/>
      <c r="I27" s="3339"/>
      <c r="J27" s="3339"/>
      <c r="K27" s="3339"/>
      <c r="L27" s="3339"/>
      <c r="M27" s="3339"/>
      <c r="N27" s="3339"/>
      <c r="O27" s="3339"/>
      <c r="P27" s="3339"/>
      <c r="R27" s="4061" t="s">
        <v>557</v>
      </c>
      <c r="S27" s="4061"/>
      <c r="T27" s="4061"/>
      <c r="U27" s="4061"/>
      <c r="V27" s="4061"/>
      <c r="W27" s="4061"/>
      <c r="X27" s="4061"/>
      <c r="Y27" s="4061"/>
      <c r="Z27" s="4061"/>
      <c r="AA27" s="4061"/>
      <c r="AB27" s="4061"/>
      <c r="AC27" s="4060"/>
      <c r="AD27" s="4060"/>
      <c r="AE27" s="4060"/>
      <c r="AF27" s="4060"/>
      <c r="AG27" s="4060"/>
      <c r="AH27" s="4060"/>
      <c r="AI27" s="4060"/>
      <c r="AJ27" s="4082">
        <f>'[71]F1'!J29</f>
        <v>7718465197.5325</v>
      </c>
      <c r="AK27" s="4082"/>
      <c r="AL27" s="4082"/>
      <c r="AM27" s="4082"/>
      <c r="AN27" s="4082"/>
      <c r="AO27" s="4082"/>
      <c r="AP27" s="4082"/>
      <c r="AQ27" s="4082">
        <v>0</v>
      </c>
      <c r="AR27" s="4082"/>
      <c r="AS27" s="4082"/>
      <c r="AT27" s="4082"/>
      <c r="AU27" s="4082"/>
      <c r="AV27" s="4082"/>
    </row>
    <row r="28" hidden="1" spans="2:53">
      <c r="B28" t="s">
        <v>558</v>
      </c>
      <c r="C28" s="3339"/>
      <c r="D28" s="3339"/>
      <c r="E28" s="3339"/>
      <c r="F28" s="3339"/>
      <c r="G28" s="3339"/>
      <c r="H28" s="3339"/>
      <c r="I28" s="3339"/>
      <c r="J28" s="3339"/>
      <c r="K28" s="3339"/>
      <c r="L28" s="3339"/>
      <c r="M28" s="3339"/>
      <c r="N28" s="3339"/>
      <c r="O28" s="3339"/>
      <c r="P28" s="3339"/>
      <c r="R28" s="4061">
        <v>10</v>
      </c>
      <c r="S28" s="4061"/>
      <c r="T28" s="4061"/>
      <c r="U28" s="4061"/>
      <c r="V28" s="4061"/>
      <c r="W28" s="4061"/>
      <c r="X28" s="4061"/>
      <c r="Y28" s="4061"/>
      <c r="Z28" s="4061"/>
      <c r="AA28" s="4061"/>
      <c r="AB28" s="4061"/>
      <c r="AC28" s="4060"/>
      <c r="AD28" s="4060"/>
      <c r="AE28" s="4060"/>
      <c r="AF28" s="4060"/>
      <c r="AG28" s="4060"/>
      <c r="AH28" s="4060"/>
      <c r="AI28" s="4060"/>
      <c r="AJ28" s="4082">
        <f>+'[71]F1'!J30</f>
        <v>3418119127</v>
      </c>
      <c r="AK28" s="4082"/>
      <c r="AL28" s="4082"/>
      <c r="AM28" s="4082"/>
      <c r="AN28" s="4082"/>
      <c r="AO28" s="4082"/>
      <c r="AP28" s="4082"/>
      <c r="AQ28" s="4082">
        <f>+'[71]F1'!K30</f>
        <v>65879900802</v>
      </c>
      <c r="AR28" s="4082"/>
      <c r="AS28" s="4082"/>
      <c r="AT28" s="4082"/>
      <c r="AU28" s="4082"/>
      <c r="AV28" s="4082"/>
      <c r="AW28" s="4082"/>
      <c r="AX28" s="3606">
        <f>[71]Note2!AL122</f>
        <v>1826956171.9</v>
      </c>
      <c r="AZ28" s="3606" t="e">
        <f>AQ28='[71]F1'!K31</f>
        <v>#REF!</v>
      </c>
      <c r="BA28" s="3606">
        <f>AQ28-AJ28</f>
        <v>62461781675</v>
      </c>
    </row>
    <row r="29" ht="6.6" hidden="1" customHeight="1" spans="3:56">
      <c r="C29"/>
      <c r="R29" s="4061"/>
      <c r="S29" s="4061"/>
      <c r="T29" s="4061"/>
      <c r="U29" s="4061"/>
      <c r="V29" s="4061"/>
      <c r="W29" s="4061"/>
      <c r="X29" s="4061"/>
      <c r="Y29" s="4061"/>
      <c r="Z29" s="4061"/>
      <c r="AA29" s="4061"/>
      <c r="AB29" s="4061"/>
      <c r="AC29" s="4060"/>
      <c r="AD29" s="4060"/>
      <c r="AE29" s="4060"/>
      <c r="AF29" s="4060"/>
      <c r="AG29" s="4060"/>
      <c r="AH29" s="4060"/>
      <c r="AI29" s="4060"/>
      <c r="AJ29" s="4097"/>
      <c r="AK29" s="4097"/>
      <c r="AL29" s="4097"/>
      <c r="AM29" s="4097"/>
      <c r="AN29" s="4097"/>
      <c r="AO29" s="4097"/>
      <c r="AP29" s="4082"/>
      <c r="AQ29" s="4097"/>
      <c r="AR29" s="4097"/>
      <c r="AS29" s="4097"/>
      <c r="AT29" s="4097"/>
      <c r="AU29" s="4097"/>
      <c r="AV29" s="4097"/>
      <c r="AW29" s="4082"/>
      <c r="AX29" s="4082"/>
      <c r="AY29" s="4082"/>
      <c r="AZ29" s="4082"/>
      <c r="BA29" s="4082"/>
      <c r="BB29" s="4082"/>
      <c r="BC29" s="4082"/>
      <c r="BD29" s="4082"/>
    </row>
    <row r="30" ht="12" hidden="1" customHeight="1" spans="2:50">
      <c r="B30" s="3607" t="s">
        <v>559</v>
      </c>
      <c r="R30" s="4067"/>
      <c r="S30" s="4067"/>
      <c r="T30" s="4067"/>
      <c r="U30" s="4067"/>
      <c r="V30" s="4067"/>
      <c r="W30" s="4067"/>
      <c r="X30" s="4067"/>
      <c r="Y30" s="4067"/>
      <c r="Z30" s="4067"/>
      <c r="AA30" s="4067"/>
      <c r="AB30" s="4067"/>
      <c r="AC30" s="4060"/>
      <c r="AD30" s="4060"/>
      <c r="AE30" s="4060"/>
      <c r="AF30" s="4060"/>
      <c r="AG30" s="4060"/>
      <c r="AH30" s="4060"/>
      <c r="AI30" s="4060"/>
      <c r="AJ30" s="4094">
        <f>SUM(AJ24:AO28)</f>
        <v>90009404403.6325</v>
      </c>
      <c r="AK30" s="4094"/>
      <c r="AL30" s="4094"/>
      <c r="AM30" s="4094"/>
      <c r="AN30" s="4094"/>
      <c r="AO30" s="4094"/>
      <c r="AP30" s="4082"/>
      <c r="AQ30" s="4094">
        <f>SUM(AQ24:AV28)</f>
        <v>71816084791.1</v>
      </c>
      <c r="AR30" s="4094"/>
      <c r="AS30" s="4094"/>
      <c r="AT30" s="4094"/>
      <c r="AU30" s="4094"/>
      <c r="AV30" s="4094"/>
      <c r="AW30" s="4094"/>
      <c r="AX30" s="4094"/>
    </row>
    <row r="31" ht="12" hidden="1" customHeight="1" spans="2:50">
      <c r="B31" s="3607"/>
      <c r="R31" s="4061"/>
      <c r="S31" s="4061"/>
      <c r="T31" s="4061"/>
      <c r="U31" s="4061"/>
      <c r="V31" s="4061"/>
      <c r="W31" s="4061"/>
      <c r="X31" s="4061"/>
      <c r="Y31" s="4061"/>
      <c r="Z31" s="4061"/>
      <c r="AA31" s="4061"/>
      <c r="AB31" s="4061"/>
      <c r="AC31" s="4060"/>
      <c r="AD31" s="4060"/>
      <c r="AE31" s="4060"/>
      <c r="AF31" s="4060"/>
      <c r="AG31" s="4060"/>
      <c r="AH31" s="4060"/>
      <c r="AI31" s="4060"/>
      <c r="AJ31" s="4082"/>
      <c r="AK31" s="4082"/>
      <c r="AL31" s="4082"/>
      <c r="AM31" s="4082"/>
      <c r="AN31" s="4082"/>
      <c r="AO31" s="4082"/>
      <c r="AP31" s="4082"/>
      <c r="AQ31" s="4082"/>
      <c r="AR31" s="4082"/>
      <c r="AS31" s="4082"/>
      <c r="AT31" s="4082"/>
      <c r="AU31" s="4082"/>
      <c r="AV31" s="4082"/>
      <c r="AW31" s="4082"/>
      <c r="AX31" s="4082"/>
    </row>
    <row r="32" ht="12.75" hidden="1" spans="2:53">
      <c r="B32" s="3607" t="s">
        <v>560</v>
      </c>
      <c r="R32" s="4067"/>
      <c r="S32" s="4067"/>
      <c r="T32" s="4067"/>
      <c r="U32" s="4067"/>
      <c r="V32" s="4067"/>
      <c r="W32" s="4067"/>
      <c r="X32" s="4067"/>
      <c r="Y32" s="4067"/>
      <c r="Z32" s="4067"/>
      <c r="AA32" s="4067"/>
      <c r="AB32" s="4067"/>
      <c r="AC32" s="4060"/>
      <c r="AD32" s="4060"/>
      <c r="AE32" s="4060"/>
      <c r="AF32" s="4060"/>
      <c r="AG32" s="4060"/>
      <c r="AH32" s="4060"/>
      <c r="AI32" s="4060"/>
      <c r="AJ32" s="4100">
        <f>AJ20+AJ30</f>
        <v>100398331568.623</v>
      </c>
      <c r="AK32" s="4100"/>
      <c r="AL32" s="4100"/>
      <c r="AM32" s="4100"/>
      <c r="AN32" s="4100"/>
      <c r="AO32" s="4100"/>
      <c r="AP32" s="4082"/>
      <c r="AQ32" s="4100">
        <f>AQ20+AQ30</f>
        <v>74212358727.56</v>
      </c>
      <c r="AR32" s="4100"/>
      <c r="AS32" s="4100"/>
      <c r="AT32" s="4100"/>
      <c r="AU32" s="4100"/>
      <c r="AV32" s="4100"/>
      <c r="AW32" s="4083"/>
      <c r="AX32" s="4083"/>
      <c r="AY32" s="3606" t="b">
        <f>AJ32='[71]F1'!J34</f>
        <v>0</v>
      </c>
      <c r="AZ32" s="3606" t="b">
        <f>AQ32='[71]F1'!K34</f>
        <v>1</v>
      </c>
      <c r="BA32" s="3606">
        <f>AQ32-AJ32</f>
        <v>-26185972841.0625</v>
      </c>
    </row>
    <row r="33" ht="12.15" hidden="1" spans="18:50">
      <c r="R33" s="4067"/>
      <c r="S33" s="4067"/>
      <c r="T33" s="4067"/>
      <c r="U33" s="4067"/>
      <c r="V33" s="4067"/>
      <c r="W33" s="4067"/>
      <c r="X33" s="4067"/>
      <c r="Y33" s="4067"/>
      <c r="Z33" s="4067"/>
      <c r="AA33" s="4067"/>
      <c r="AB33" s="4067"/>
      <c r="AC33" s="4060"/>
      <c r="AD33" s="4060"/>
      <c r="AE33" s="4060"/>
      <c r="AF33" s="4060"/>
      <c r="AG33" s="4060"/>
      <c r="AH33" s="4060"/>
      <c r="AI33" s="4060"/>
      <c r="AJ33" s="4086"/>
      <c r="AK33" s="4086"/>
      <c r="AL33" s="4086"/>
      <c r="AM33" s="4086"/>
      <c r="AN33" s="4086"/>
      <c r="AO33" s="4086"/>
      <c r="AP33" s="4086"/>
      <c r="AQ33" s="4086"/>
      <c r="AR33" s="4086"/>
      <c r="AS33" s="4086"/>
      <c r="AT33" s="4086"/>
      <c r="AU33" s="4086"/>
      <c r="AV33" s="4086"/>
      <c r="AW33" s="4096"/>
      <c r="AX33" s="4096"/>
    </row>
    <row r="34" hidden="1" spans="18:50">
      <c r="R34" s="4067"/>
      <c r="S34" s="4067"/>
      <c r="T34" s="4067"/>
      <c r="U34" s="4067"/>
      <c r="V34" s="4067"/>
      <c r="W34" s="4067"/>
      <c r="X34" s="4067"/>
      <c r="Y34" s="4067"/>
      <c r="Z34" s="4067"/>
      <c r="AA34" s="4067"/>
      <c r="AB34" s="4067"/>
      <c r="AC34" s="4060"/>
      <c r="AD34" s="4060"/>
      <c r="AE34" s="4060"/>
      <c r="AF34" s="4060"/>
      <c r="AG34" s="4060"/>
      <c r="AH34" s="4060"/>
      <c r="AI34" s="4060"/>
      <c r="AJ34" s="4086"/>
      <c r="AK34" s="4086"/>
      <c r="AL34" s="4086"/>
      <c r="AM34" s="4086"/>
      <c r="AN34" s="4086"/>
      <c r="AO34" s="4086"/>
      <c r="AP34" s="4086"/>
      <c r="AQ34" s="4086"/>
      <c r="AR34" s="4086"/>
      <c r="AS34" s="4086"/>
      <c r="AT34" s="4086"/>
      <c r="AU34" s="4086"/>
      <c r="AV34" s="4086"/>
      <c r="AW34" s="4081"/>
      <c r="AX34" s="4081"/>
    </row>
    <row r="35" ht="12" hidden="1" spans="2:50">
      <c r="B35" s="5010" t="s">
        <v>561</v>
      </c>
      <c r="R35" s="4067"/>
      <c r="S35" s="4067"/>
      <c r="T35" s="4067"/>
      <c r="U35" s="4067"/>
      <c r="V35" s="4067"/>
      <c r="W35" s="4067"/>
      <c r="X35" s="4067"/>
      <c r="Y35" s="4067"/>
      <c r="Z35" s="4067"/>
      <c r="AA35" s="4067"/>
      <c r="AB35" s="4067"/>
      <c r="AC35" s="4060"/>
      <c r="AD35" s="4060"/>
      <c r="AE35" s="4060"/>
      <c r="AF35" s="4060"/>
      <c r="AG35" s="4060"/>
      <c r="AH35" s="4060"/>
      <c r="AI35" s="4060"/>
      <c r="AJ35" s="4081"/>
      <c r="AK35" s="4081"/>
      <c r="AL35" s="4081"/>
      <c r="AM35" s="4081"/>
      <c r="AN35" s="4081"/>
      <c r="AO35" s="4081"/>
      <c r="AP35" s="4081"/>
      <c r="AQ35" s="4081"/>
      <c r="AR35" s="4081"/>
      <c r="AS35" s="4081"/>
      <c r="AT35" s="4081"/>
      <c r="AU35" s="4081"/>
      <c r="AV35" s="4081"/>
      <c r="AW35" s="4081"/>
      <c r="AX35" s="4081"/>
    </row>
    <row r="36" ht="12" hidden="1" spans="2:50">
      <c r="B36" s="5010" t="s">
        <v>562</v>
      </c>
      <c r="R36" s="4067"/>
      <c r="S36" s="4067"/>
      <c r="T36" s="4067"/>
      <c r="U36" s="4067"/>
      <c r="V36" s="4067"/>
      <c r="W36" s="4067"/>
      <c r="X36" s="4067"/>
      <c r="Y36" s="4067"/>
      <c r="Z36" s="4067"/>
      <c r="AA36" s="4067"/>
      <c r="AB36" s="4067"/>
      <c r="AC36" s="4060"/>
      <c r="AD36" s="4060"/>
      <c r="AE36" s="4060"/>
      <c r="AF36" s="4060"/>
      <c r="AG36" s="4060"/>
      <c r="AH36" s="4060"/>
      <c r="AI36" s="4060"/>
      <c r="AJ36" s="4081"/>
      <c r="AK36" s="4081"/>
      <c r="AL36" s="4081"/>
      <c r="AM36" s="4081"/>
      <c r="AN36" s="4081"/>
      <c r="AO36" s="4081"/>
      <c r="AP36" s="4081"/>
      <c r="AQ36" s="4081"/>
      <c r="AR36" s="4081"/>
      <c r="AS36" s="4081"/>
      <c r="AT36" s="4081"/>
      <c r="AU36" s="4081"/>
      <c r="AV36" s="4081"/>
      <c r="AW36" s="4081"/>
      <c r="AX36" s="4081"/>
    </row>
    <row r="37" hidden="1" spans="2:53">
      <c r="B37" t="s">
        <v>563</v>
      </c>
      <c r="R37" s="4061">
        <f>R40+1</f>
        <v>14</v>
      </c>
      <c r="S37" s="4061"/>
      <c r="T37" s="4061"/>
      <c r="U37" s="4061"/>
      <c r="V37" s="4061"/>
      <c r="W37" s="4061"/>
      <c r="X37" s="4061"/>
      <c r="Y37" s="4061"/>
      <c r="Z37" s="4061"/>
      <c r="AA37" s="4061"/>
      <c r="AB37" s="4061"/>
      <c r="AC37" s="4060"/>
      <c r="AD37" s="4060"/>
      <c r="AE37" s="4060"/>
      <c r="AF37" s="4060"/>
      <c r="AG37" s="4060"/>
      <c r="AH37" s="4060"/>
      <c r="AI37" s="4060"/>
      <c r="AJ37" s="4082">
        <f>'[71]F2'!K15</f>
        <v>4000000000</v>
      </c>
      <c r="AK37" s="4082"/>
      <c r="AL37" s="4082"/>
      <c r="AM37" s="4082"/>
      <c r="AN37" s="4082"/>
      <c r="AO37" s="4082"/>
      <c r="AP37" s="4082"/>
      <c r="AQ37" s="4082">
        <f>'[71]F2'!L17</f>
        <v>0</v>
      </c>
      <c r="AR37" s="4082"/>
      <c r="AS37" s="4082"/>
      <c r="AT37" s="4082"/>
      <c r="AU37" s="4082"/>
      <c r="AV37" s="4082"/>
      <c r="AW37" s="4081"/>
      <c r="AX37" s="4081"/>
      <c r="BA37" s="3606">
        <f>AJ37-AQ37</f>
        <v>4000000000</v>
      </c>
    </row>
    <row r="38" ht="11.45" hidden="1" customHeight="1" spans="2:53">
      <c r="B38" t="str">
        <f>'[71]F2'!C16</f>
        <v>Utang usaha</v>
      </c>
      <c r="R38" s="4061">
        <f>[71]Note2!A195</f>
        <v>11</v>
      </c>
      <c r="S38" s="4061"/>
      <c r="T38" s="4061"/>
      <c r="U38" s="4061"/>
      <c r="V38" s="4061"/>
      <c r="W38" s="4061"/>
      <c r="X38" s="4061"/>
      <c r="Y38" s="4061"/>
      <c r="Z38" s="4061"/>
      <c r="AA38" s="4061"/>
      <c r="AB38" s="4061"/>
      <c r="AC38" s="4060"/>
      <c r="AD38" s="4060"/>
      <c r="AE38" s="4060"/>
      <c r="AF38" s="4060"/>
      <c r="AG38" s="4060"/>
      <c r="AH38" s="4060"/>
      <c r="AI38" s="4060"/>
      <c r="AJ38" s="4081">
        <f>+'[71]F2'!K16</f>
        <v>2141486840</v>
      </c>
      <c r="AK38" s="4081"/>
      <c r="AL38" s="4081"/>
      <c r="AM38" s="4081"/>
      <c r="AN38" s="4081"/>
      <c r="AO38" s="4081"/>
      <c r="AP38" s="4081"/>
      <c r="AQ38" s="4081">
        <f>+'[71]F2'!L16</f>
        <v>22537882921</v>
      </c>
      <c r="AR38" s="4081"/>
      <c r="AS38" s="4081"/>
      <c r="AT38" s="4081"/>
      <c r="AU38" s="4081"/>
      <c r="AV38" s="4081"/>
      <c r="AW38" s="4081"/>
      <c r="AX38" s="4081"/>
      <c r="AY38" s="3606" t="b">
        <f>AJ38='[71]F2'!K16</f>
        <v>1</v>
      </c>
      <c r="AZ38" s="3606" t="b">
        <f>AQ38='[71]F2'!L16</f>
        <v>1</v>
      </c>
      <c r="BA38" s="3606">
        <f>AJ38-AQ38</f>
        <v>-20396396081</v>
      </c>
    </row>
    <row r="39" hidden="1" spans="2:53">
      <c r="B39" t="str">
        <f>'[71]F2'!C19</f>
        <v>Utang pajak</v>
      </c>
      <c r="R39" s="4061" t="s">
        <v>564</v>
      </c>
      <c r="S39" s="4061"/>
      <c r="T39" s="4061"/>
      <c r="U39" s="4061"/>
      <c r="V39" s="4061"/>
      <c r="W39" s="4061"/>
      <c r="X39" s="4061"/>
      <c r="Y39" s="4061"/>
      <c r="Z39" s="4061"/>
      <c r="AA39" s="4061"/>
      <c r="AB39" s="4061"/>
      <c r="AC39" s="4060"/>
      <c r="AD39" s="4060"/>
      <c r="AE39" s="4060"/>
      <c r="AF39" s="4060"/>
      <c r="AG39" s="4060"/>
      <c r="AH39" s="4060"/>
      <c r="AI39" s="4060"/>
      <c r="AJ39" s="4081">
        <f>+'[71]F2'!K19</f>
        <v>1295341369</v>
      </c>
      <c r="AK39" s="4081"/>
      <c r="AL39" s="4081"/>
      <c r="AM39" s="4081"/>
      <c r="AN39" s="4081"/>
      <c r="AO39" s="4081"/>
      <c r="AP39" s="4082"/>
      <c r="AQ39" s="4082">
        <f>+'[71]F2'!L19</f>
        <v>442064432</v>
      </c>
      <c r="AR39" s="4082"/>
      <c r="AS39" s="4082"/>
      <c r="AT39" s="4082"/>
      <c r="AU39" s="4082"/>
      <c r="AV39" s="4082"/>
      <c r="AW39" s="4082"/>
      <c r="AX39" s="4082"/>
      <c r="AY39" s="3606" t="b">
        <f>AJ39='[71]F2'!K19</f>
        <v>1</v>
      </c>
      <c r="AZ39" s="3606" t="b">
        <f>AQ39='[71]F2'!L19</f>
        <v>1</v>
      </c>
      <c r="BA39" s="3606">
        <f>AJ39-AQ39</f>
        <v>853276937</v>
      </c>
    </row>
    <row r="40" hidden="1" spans="2:53">
      <c r="B40" t="str">
        <f>'[71]F2'!C20</f>
        <v>Biaya yang masih harus dibayar</v>
      </c>
      <c r="R40" s="4061">
        <f>[71]Note2!A281</f>
        <v>13</v>
      </c>
      <c r="S40" s="4061"/>
      <c r="T40" s="4061"/>
      <c r="U40" s="4061"/>
      <c r="V40" s="4061"/>
      <c r="W40" s="4061"/>
      <c r="X40" s="4061"/>
      <c r="Y40" s="4061"/>
      <c r="Z40" s="4061"/>
      <c r="AA40" s="4061"/>
      <c r="AB40" s="4061"/>
      <c r="AC40" s="4060"/>
      <c r="AD40" s="4060"/>
      <c r="AE40" s="4060"/>
      <c r="AF40" s="4060"/>
      <c r="AG40" s="4060"/>
      <c r="AH40" s="4060"/>
      <c r="AI40" s="4060"/>
      <c r="AJ40" s="4081">
        <f>+'[71]F2'!K20</f>
        <v>1320168254.92</v>
      </c>
      <c r="AK40" s="4081"/>
      <c r="AL40" s="4081"/>
      <c r="AM40" s="4081"/>
      <c r="AN40" s="4081"/>
      <c r="AO40" s="4081"/>
      <c r="AP40" s="4082"/>
      <c r="AQ40" s="4082">
        <f>+'[71]F2'!L20</f>
        <v>938234764</v>
      </c>
      <c r="AR40" s="4082"/>
      <c r="AS40" s="4082"/>
      <c r="AT40" s="4082"/>
      <c r="AU40" s="4082"/>
      <c r="AV40" s="4082"/>
      <c r="AW40" s="4082"/>
      <c r="AX40" s="4082"/>
      <c r="BA40" s="3606">
        <f>AJ40-AQ40</f>
        <v>381933490.92</v>
      </c>
    </row>
    <row r="41" hidden="1" spans="2:53">
      <c r="B41" t="str">
        <f>'[71]F2'!C22</f>
        <v>Utang pembiayaan jangka pendek</v>
      </c>
      <c r="R41" s="4061">
        <f>R37+1</f>
        <v>15</v>
      </c>
      <c r="S41" s="4061"/>
      <c r="T41" s="4061"/>
      <c r="U41" s="4061"/>
      <c r="V41" s="4061"/>
      <c r="W41" s="4061"/>
      <c r="X41" s="4061"/>
      <c r="Y41" s="4061"/>
      <c r="Z41" s="4061"/>
      <c r="AA41" s="4061"/>
      <c r="AB41" s="4061"/>
      <c r="AC41" s="4060"/>
      <c r="AD41" s="4060"/>
      <c r="AE41" s="4060"/>
      <c r="AF41" s="4060"/>
      <c r="AG41" s="4060"/>
      <c r="AH41" s="4060"/>
      <c r="AI41" s="4060"/>
      <c r="AJ41" s="4081">
        <f>'[71]F2'!K22</f>
        <v>120048000</v>
      </c>
      <c r="AK41" s="4081"/>
      <c r="AL41" s="4081"/>
      <c r="AM41" s="4081"/>
      <c r="AN41" s="4081"/>
      <c r="AO41" s="4081"/>
      <c r="AP41" s="4082"/>
      <c r="AQ41" s="4082">
        <v>0</v>
      </c>
      <c r="AR41" s="4082"/>
      <c r="AS41" s="4082"/>
      <c r="AT41" s="4082"/>
      <c r="AU41" s="4082"/>
      <c r="AV41" s="4082"/>
      <c r="AW41" s="4082"/>
      <c r="AX41" s="4082"/>
      <c r="BA41" s="3606">
        <f>AJ41-AQ41</f>
        <v>120048000</v>
      </c>
    </row>
    <row r="42" hidden="1" spans="2:50">
      <c r="B42" t="str">
        <f>'[71]F2'!C21</f>
        <v>Pendapatan diterima dimuka</v>
      </c>
      <c r="R42" s="4061">
        <v>17</v>
      </c>
      <c r="S42" s="4061"/>
      <c r="T42" s="4061"/>
      <c r="U42" s="4061"/>
      <c r="V42" s="4061"/>
      <c r="W42" s="4061"/>
      <c r="X42" s="4061"/>
      <c r="Y42" s="4061"/>
      <c r="Z42" s="4061"/>
      <c r="AA42" s="4061"/>
      <c r="AB42" s="4061"/>
      <c r="AC42" s="4060"/>
      <c r="AD42" s="4060"/>
      <c r="AE42" s="4060"/>
      <c r="AF42" s="4060"/>
      <c r="AG42" s="4060"/>
      <c r="AH42" s="4060"/>
      <c r="AI42" s="4060"/>
      <c r="AJ42" s="4081" t="e">
        <f>'[71]F2'!K23</f>
        <v>#REF!</v>
      </c>
      <c r="AK42" s="4081"/>
      <c r="AL42" s="4081"/>
      <c r="AM42" s="4081"/>
      <c r="AN42" s="4081"/>
      <c r="AO42" s="4081"/>
      <c r="AP42" s="4082"/>
      <c r="AQ42" s="4082">
        <f>+'[71]F2'!L21</f>
        <v>81920000</v>
      </c>
      <c r="AR42" s="4082"/>
      <c r="AS42" s="4082"/>
      <c r="AT42" s="4082"/>
      <c r="AU42" s="4082"/>
      <c r="AV42" s="4082"/>
      <c r="AW42" s="4082"/>
      <c r="AX42" s="4082"/>
    </row>
    <row r="43" ht="8.45" hidden="1" customHeight="1" spans="18:50">
      <c r="R43" s="4067"/>
      <c r="S43" s="4067"/>
      <c r="T43" s="4067"/>
      <c r="U43" s="4067"/>
      <c r="V43" s="4067"/>
      <c r="W43" s="4067"/>
      <c r="X43" s="4067"/>
      <c r="Y43" s="4067"/>
      <c r="Z43" s="4067"/>
      <c r="AA43" s="4067"/>
      <c r="AB43" s="4067"/>
      <c r="AC43" s="4060"/>
      <c r="AD43" s="4060"/>
      <c r="AE43" s="4060"/>
      <c r="AF43" s="4060"/>
      <c r="AG43" s="4060"/>
      <c r="AH43" s="4060"/>
      <c r="AI43" s="4060"/>
      <c r="AJ43" s="4097"/>
      <c r="AK43" s="4097"/>
      <c r="AL43" s="4097"/>
      <c r="AM43" s="4097"/>
      <c r="AN43" s="4097"/>
      <c r="AO43" s="4097"/>
      <c r="AP43" s="4082"/>
      <c r="AQ43" s="4097"/>
      <c r="AR43" s="4097"/>
      <c r="AS43" s="4097"/>
      <c r="AT43" s="4097"/>
      <c r="AU43" s="4097"/>
      <c r="AV43" s="4097"/>
      <c r="AW43" s="4082"/>
      <c r="AX43" s="4082"/>
    </row>
    <row r="44" ht="12" hidden="1" spans="2:52">
      <c r="B44" s="5010" t="s">
        <v>565</v>
      </c>
      <c r="R44" s="4067"/>
      <c r="S44" s="4067"/>
      <c r="T44" s="4067"/>
      <c r="U44" s="4067"/>
      <c r="V44" s="4067"/>
      <c r="W44" s="4067"/>
      <c r="X44" s="4067"/>
      <c r="Y44" s="4067"/>
      <c r="Z44" s="4067"/>
      <c r="AA44" s="4067"/>
      <c r="AB44" s="4067"/>
      <c r="AC44" s="4060"/>
      <c r="AD44" s="4060"/>
      <c r="AE44" s="4060"/>
      <c r="AF44" s="4060"/>
      <c r="AG44" s="4060"/>
      <c r="AH44" s="4060"/>
      <c r="AI44" s="4060"/>
      <c r="AJ44" s="4083" t="e">
        <f>SUM(AJ37:AO43)</f>
        <v>#REF!</v>
      </c>
      <c r="AK44" s="4083"/>
      <c r="AL44" s="4083"/>
      <c r="AM44" s="4083"/>
      <c r="AN44" s="4083"/>
      <c r="AO44" s="4083"/>
      <c r="AP44" s="4083"/>
      <c r="AQ44" s="4083">
        <f>SUM(AQ37:AV43)</f>
        <v>24000102117</v>
      </c>
      <c r="AR44" s="4083"/>
      <c r="AS44" s="4083"/>
      <c r="AT44" s="4083"/>
      <c r="AU44" s="4083"/>
      <c r="AV44" s="4083"/>
      <c r="AW44" s="4083"/>
      <c r="AX44" s="4094"/>
      <c r="AY44" s="3606" t="e">
        <f>AJ44='[71]F2'!K24</f>
        <v>#REF!</v>
      </c>
      <c r="AZ44" s="3606" t="b">
        <f>AQ44='[71]F2'!L24</f>
        <v>1</v>
      </c>
    </row>
    <row r="45" ht="12" hidden="1" spans="2:50">
      <c r="B45" s="3608"/>
      <c r="R45" s="4061"/>
      <c r="S45" s="4061"/>
      <c r="T45" s="4061"/>
      <c r="U45" s="4061"/>
      <c r="V45" s="4061"/>
      <c r="W45" s="4061"/>
      <c r="X45" s="4061"/>
      <c r="Y45" s="4061"/>
      <c r="Z45" s="4061"/>
      <c r="AA45" s="4061"/>
      <c r="AB45" s="4061"/>
      <c r="AC45" s="4060"/>
      <c r="AD45" s="4060"/>
      <c r="AE45" s="4060"/>
      <c r="AF45" s="4060"/>
      <c r="AG45" s="4060"/>
      <c r="AH45" s="4060"/>
      <c r="AI45" s="4060"/>
      <c r="AJ45" s="4083"/>
      <c r="AK45" s="4083"/>
      <c r="AL45" s="4083"/>
      <c r="AM45" s="4083"/>
      <c r="AN45" s="4083"/>
      <c r="AO45" s="4083"/>
      <c r="AP45" s="4083"/>
      <c r="AQ45" s="4083"/>
      <c r="AR45" s="4083"/>
      <c r="AS45" s="4083"/>
      <c r="AT45" s="4083"/>
      <c r="AU45" s="4083"/>
      <c r="AV45" s="4083"/>
      <c r="AW45" s="4083"/>
      <c r="AX45" s="4083"/>
    </row>
    <row r="46" ht="12" hidden="1" spans="2:50">
      <c r="B46" s="5010" t="s">
        <v>566</v>
      </c>
      <c r="R46" s="4061"/>
      <c r="S46" s="4061"/>
      <c r="T46" s="4061"/>
      <c r="U46" s="4061"/>
      <c r="V46" s="4061"/>
      <c r="W46" s="4061"/>
      <c r="X46" s="4061"/>
      <c r="Y46" s="4061"/>
      <c r="Z46" s="4061"/>
      <c r="AA46" s="4061"/>
      <c r="AB46" s="4061"/>
      <c r="AC46" s="4060"/>
      <c r="AD46" s="4060"/>
      <c r="AE46" s="4060"/>
      <c r="AF46" s="4060"/>
      <c r="AG46" s="4060"/>
      <c r="AH46" s="4060"/>
      <c r="AI46" s="4060"/>
      <c r="AJ46" s="4083"/>
      <c r="AK46" s="4083"/>
      <c r="AL46" s="4083"/>
      <c r="AM46" s="4083"/>
      <c r="AN46" s="4083"/>
      <c r="AO46" s="4083"/>
      <c r="AP46" s="4083"/>
      <c r="AQ46" s="4083"/>
      <c r="AR46" s="4083"/>
      <c r="AS46" s="4083"/>
      <c r="AT46" s="4083"/>
      <c r="AU46" s="4083"/>
      <c r="AV46" s="4083"/>
      <c r="AW46" s="4083"/>
      <c r="AX46" s="4083"/>
    </row>
    <row r="47" ht="12" hidden="1" spans="2:53">
      <c r="B47" t="s">
        <v>567</v>
      </c>
      <c r="R47" s="4061">
        <f>R37</f>
        <v>14</v>
      </c>
      <c r="S47" s="4061"/>
      <c r="T47" s="4061"/>
      <c r="U47" s="4061"/>
      <c r="V47" s="4061"/>
      <c r="W47" s="4061"/>
      <c r="X47" s="4061"/>
      <c r="Y47" s="4061"/>
      <c r="Z47" s="4061"/>
      <c r="AA47" s="4061"/>
      <c r="AB47" s="4061"/>
      <c r="AC47" s="4060"/>
      <c r="AD47" s="4060"/>
      <c r="AE47" s="4060"/>
      <c r="AF47" s="4060"/>
      <c r="AG47" s="4060"/>
      <c r="AH47" s="4060"/>
      <c r="AI47" s="4060"/>
      <c r="AJ47" s="4082">
        <f>'[71]F2'!K28</f>
        <v>46000000000</v>
      </c>
      <c r="AK47" s="4082"/>
      <c r="AL47" s="4082"/>
      <c r="AM47" s="4082"/>
      <c r="AN47" s="4082"/>
      <c r="AO47" s="4082"/>
      <c r="AP47" s="4082"/>
      <c r="AQ47" s="4082">
        <f>'[71]F2'!L28</f>
        <v>4819444446</v>
      </c>
      <c r="AR47" s="4082"/>
      <c r="AS47" s="4082"/>
      <c r="AT47" s="4082"/>
      <c r="AU47" s="4082"/>
      <c r="AV47" s="4082"/>
      <c r="AW47" s="4083"/>
      <c r="AX47" s="4083"/>
      <c r="BA47" s="3606">
        <f>AJ47-AQ47</f>
        <v>41180555554</v>
      </c>
    </row>
    <row r="48" ht="12" hidden="1" spans="2:53">
      <c r="B48" s="5023" t="str">
        <f>'[71]F2'!C29</f>
        <v>Utang pembiayaan - jangka panjang</v>
      </c>
      <c r="R48" s="4061">
        <f>R41</f>
        <v>15</v>
      </c>
      <c r="S48" s="4061"/>
      <c r="T48" s="4061"/>
      <c r="U48" s="4061"/>
      <c r="V48" s="4061"/>
      <c r="W48" s="4061"/>
      <c r="X48" s="4061"/>
      <c r="Y48" s="4061"/>
      <c r="Z48" s="4061"/>
      <c r="AA48" s="4061"/>
      <c r="AB48" s="4061"/>
      <c r="AC48" s="4060"/>
      <c r="AD48" s="4060"/>
      <c r="AE48" s="4060"/>
      <c r="AF48" s="4060"/>
      <c r="AG48" s="4060"/>
      <c r="AH48" s="4060"/>
      <c r="AI48" s="4060"/>
      <c r="AJ48" s="4082">
        <f>'[71]F2'!K29</f>
        <v>114587845</v>
      </c>
      <c r="AK48" s="4082"/>
      <c r="AL48" s="4082"/>
      <c r="AM48" s="4082"/>
      <c r="AN48" s="4082"/>
      <c r="AO48" s="4082"/>
      <c r="AP48" s="4082"/>
      <c r="AQ48" s="4082">
        <f>'[71]F2'!L29</f>
        <v>0</v>
      </c>
      <c r="AR48" s="4082"/>
      <c r="AS48" s="4082"/>
      <c r="AT48" s="4082"/>
      <c r="AU48" s="4082"/>
      <c r="AV48" s="4082"/>
      <c r="AW48" s="4083"/>
      <c r="AX48" s="4083"/>
      <c r="BA48" s="3606">
        <f>AJ48-AQ48</f>
        <v>114587845</v>
      </c>
    </row>
    <row r="49" hidden="1" spans="2:53">
      <c r="B49" s="5023" t="str">
        <f>'[71]F2'!C30</f>
        <v>Utang lain-lain</v>
      </c>
      <c r="R49" s="4061" t="s">
        <v>568</v>
      </c>
      <c r="S49" s="4061"/>
      <c r="T49" s="4061"/>
      <c r="U49" s="4061"/>
      <c r="V49" s="4061"/>
      <c r="W49" s="4061"/>
      <c r="X49" s="4061"/>
      <c r="Y49" s="4061"/>
      <c r="Z49" s="4061"/>
      <c r="AA49" s="4061"/>
      <c r="AB49" s="4061"/>
      <c r="AC49" s="4060"/>
      <c r="AD49" s="4060"/>
      <c r="AE49" s="4060"/>
      <c r="AF49" s="4060"/>
      <c r="AG49" s="4060"/>
      <c r="AH49" s="4060"/>
      <c r="AI49" s="4060"/>
      <c r="AJ49" s="4082">
        <f>[71]Note2!AC536</f>
        <v>352366278</v>
      </c>
      <c r="AK49" s="4082"/>
      <c r="AL49" s="4082"/>
      <c r="AM49" s="4082"/>
      <c r="AN49" s="4082"/>
      <c r="AO49" s="4082"/>
      <c r="AP49" s="4082"/>
      <c r="AQ49" s="4082">
        <f>'[71]F2'!L30</f>
        <v>230000000</v>
      </c>
      <c r="AR49" s="4082"/>
      <c r="AS49" s="4082"/>
      <c r="AT49" s="4082"/>
      <c r="AU49" s="4082"/>
      <c r="AV49" s="4082"/>
      <c r="AW49" s="4082"/>
      <c r="AX49" s="4082"/>
      <c r="BA49" s="3606">
        <f>AJ49-AQ49</f>
        <v>122366278</v>
      </c>
    </row>
    <row r="50" hidden="1" spans="2:53">
      <c r="B50" t="str">
        <f>'[71]F2'!C21</f>
        <v>Pendapatan diterima dimuka</v>
      </c>
      <c r="R50" s="4061">
        <v>17</v>
      </c>
      <c r="S50" s="4061"/>
      <c r="T50" s="4061"/>
      <c r="U50" s="4061"/>
      <c r="V50" s="4061"/>
      <c r="W50" s="4061"/>
      <c r="X50" s="4061"/>
      <c r="Y50" s="4061"/>
      <c r="Z50" s="4061"/>
      <c r="AA50" s="4061"/>
      <c r="AB50" s="4061"/>
      <c r="AC50" s="4060"/>
      <c r="AD50" s="4060"/>
      <c r="AE50" s="4060"/>
      <c r="AF50" s="4060"/>
      <c r="AG50" s="4060"/>
      <c r="AH50" s="4060"/>
      <c r="AI50" s="4060"/>
      <c r="AJ50" s="4081">
        <f>+'[71]F2'!K21</f>
        <v>81920000</v>
      </c>
      <c r="AK50" s="4081"/>
      <c r="AL50" s="4081"/>
      <c r="AM50" s="4081"/>
      <c r="AN50" s="4081"/>
      <c r="AO50" s="4081"/>
      <c r="AP50" s="4082"/>
      <c r="AQ50" s="4082">
        <v>0</v>
      </c>
      <c r="AR50" s="4082"/>
      <c r="AS50" s="4082"/>
      <c r="AT50" s="4082"/>
      <c r="AU50" s="4082"/>
      <c r="AV50" s="4082"/>
      <c r="AW50" s="4082"/>
      <c r="AX50" s="4082"/>
      <c r="BA50" s="3606">
        <f>AJ50-AQ50</f>
        <v>81920000</v>
      </c>
    </row>
    <row r="51" hidden="1" spans="2:53">
      <c r="B51" s="5023" t="str">
        <f>'[71]F2'!C31</f>
        <v>Utang pihak berelasi</v>
      </c>
      <c r="R51" s="4061" t="s">
        <v>569</v>
      </c>
      <c r="S51" s="4061"/>
      <c r="T51" s="4061"/>
      <c r="U51" s="4061"/>
      <c r="V51" s="4061"/>
      <c r="W51" s="4061"/>
      <c r="X51" s="4061"/>
      <c r="Y51" s="4061"/>
      <c r="Z51" s="4061"/>
      <c r="AA51" s="4061"/>
      <c r="AB51" s="4061"/>
      <c r="AC51" s="4060"/>
      <c r="AD51" s="4060"/>
      <c r="AE51" s="4060"/>
      <c r="AF51" s="4060"/>
      <c r="AG51" s="4060"/>
      <c r="AH51" s="4060"/>
      <c r="AI51" s="4060"/>
      <c r="AJ51" s="4082">
        <f>'[71]F2'!K31</f>
        <v>62332171316.6</v>
      </c>
      <c r="AK51" s="4082"/>
      <c r="AL51" s="4082"/>
      <c r="AM51" s="4082"/>
      <c r="AN51" s="4082"/>
      <c r="AO51" s="4082"/>
      <c r="AP51" s="4082"/>
      <c r="AQ51" s="4082">
        <f>'[71]F2'!L31</f>
        <v>42191838993.6</v>
      </c>
      <c r="AR51" s="4082"/>
      <c r="AS51" s="4082"/>
      <c r="AT51" s="4082"/>
      <c r="AU51" s="4082"/>
      <c r="AV51" s="4082"/>
      <c r="AW51" s="4082"/>
      <c r="AX51" s="4082"/>
      <c r="BA51" s="3606">
        <f>AJ51-AQ51</f>
        <v>20140332323</v>
      </c>
    </row>
    <row r="52" ht="10.35" hidden="1" customHeight="1" spans="2:50">
      <c r="B52"/>
      <c r="R52" s="4061"/>
      <c r="S52" s="4061"/>
      <c r="T52" s="4061"/>
      <c r="U52" s="4061"/>
      <c r="V52" s="4061"/>
      <c r="W52" s="4061"/>
      <c r="X52" s="4061"/>
      <c r="Y52" s="4061"/>
      <c r="Z52" s="4061"/>
      <c r="AA52" s="4061"/>
      <c r="AB52" s="4061"/>
      <c r="AC52" s="4060"/>
      <c r="AD52" s="4060"/>
      <c r="AE52" s="4060"/>
      <c r="AF52" s="4060"/>
      <c r="AG52" s="4060"/>
      <c r="AH52" s="4060"/>
      <c r="AI52" s="4060"/>
      <c r="AJ52" s="4097"/>
      <c r="AK52" s="4097"/>
      <c r="AL52" s="4097"/>
      <c r="AM52" s="4097"/>
      <c r="AN52" s="4097"/>
      <c r="AO52" s="4097"/>
      <c r="AP52" s="4082"/>
      <c r="AQ52" s="4097"/>
      <c r="AR52" s="4097"/>
      <c r="AS52" s="4097"/>
      <c r="AT52" s="4097"/>
      <c r="AU52" s="4097"/>
      <c r="AV52" s="4097"/>
      <c r="AW52" s="4082"/>
      <c r="AX52" s="4082"/>
    </row>
    <row r="53" ht="12" hidden="1" spans="2:50">
      <c r="B53" s="5010" t="s">
        <v>570</v>
      </c>
      <c r="R53" s="4061"/>
      <c r="S53" s="4061"/>
      <c r="T53" s="4061"/>
      <c r="U53" s="4061"/>
      <c r="V53" s="4061"/>
      <c r="W53" s="4061"/>
      <c r="X53" s="4061"/>
      <c r="Y53" s="4061"/>
      <c r="Z53" s="4061"/>
      <c r="AA53" s="4061"/>
      <c r="AB53" s="4061"/>
      <c r="AC53" s="4060"/>
      <c r="AD53" s="4060"/>
      <c r="AE53" s="4060"/>
      <c r="AF53" s="4060"/>
      <c r="AG53" s="4060"/>
      <c r="AH53" s="4060"/>
      <c r="AI53" s="4060"/>
      <c r="AJ53" s="4083">
        <f>SUM(AJ47:AO52)</f>
        <v>108881045439.6</v>
      </c>
      <c r="AK53" s="4083"/>
      <c r="AL53" s="4083"/>
      <c r="AM53" s="4083"/>
      <c r="AN53" s="4083"/>
      <c r="AO53" s="4083"/>
      <c r="AP53" s="4083"/>
      <c r="AQ53" s="4083">
        <f>SUM(AQ47:AV52)</f>
        <v>47241283439.6</v>
      </c>
      <c r="AR53" s="4083"/>
      <c r="AS53" s="4083"/>
      <c r="AT53" s="4083"/>
      <c r="AU53" s="4083"/>
      <c r="AV53" s="4083"/>
      <c r="AW53" s="4083"/>
      <c r="AX53" s="4094"/>
    </row>
    <row r="54" hidden="1" spans="18:50">
      <c r="R54" s="4067"/>
      <c r="S54" s="4067"/>
      <c r="T54" s="4067"/>
      <c r="U54" s="4067"/>
      <c r="V54" s="4067"/>
      <c r="W54" s="4067"/>
      <c r="X54" s="4067"/>
      <c r="Y54" s="4067"/>
      <c r="Z54" s="4067"/>
      <c r="AA54" s="4067"/>
      <c r="AB54" s="4067"/>
      <c r="AC54" s="4060"/>
      <c r="AD54" s="4060"/>
      <c r="AE54" s="4060"/>
      <c r="AF54" s="4060"/>
      <c r="AG54" s="4060"/>
      <c r="AH54" s="4060"/>
      <c r="AI54" s="4060"/>
      <c r="AJ54" s="4082"/>
      <c r="AK54" s="4082"/>
      <c r="AL54" s="4082"/>
      <c r="AM54" s="4082"/>
      <c r="AN54" s="4082"/>
      <c r="AO54" s="4082"/>
      <c r="AP54" s="4082"/>
      <c r="AQ54" s="4082"/>
      <c r="AR54" s="4082"/>
      <c r="AS54" s="4082"/>
      <c r="AT54" s="4082"/>
      <c r="AU54" s="4082"/>
      <c r="AV54" s="4082"/>
      <c r="AW54" s="4082"/>
      <c r="AX54" s="4082"/>
    </row>
    <row r="55" ht="12" hidden="1" spans="2:50">
      <c r="B55" s="5024" t="s">
        <v>310</v>
      </c>
      <c r="R55" s="4067"/>
      <c r="S55" s="4067"/>
      <c r="T55" s="4067"/>
      <c r="U55" s="4067"/>
      <c r="V55" s="4067"/>
      <c r="W55" s="4067"/>
      <c r="X55" s="4067"/>
      <c r="Y55" s="4067"/>
      <c r="Z55" s="4067"/>
      <c r="AA55" s="4067"/>
      <c r="AB55" s="4067"/>
      <c r="AC55" s="4060"/>
      <c r="AD55" s="4060"/>
      <c r="AE55" s="4060"/>
      <c r="AF55" s="4060"/>
      <c r="AG55" s="4060"/>
      <c r="AH55" s="4060"/>
      <c r="AI55" s="4060"/>
      <c r="AJ55" s="4082"/>
      <c r="AK55" s="4082"/>
      <c r="AL55" s="4082"/>
      <c r="AM55" s="4082"/>
      <c r="AN55" s="4082"/>
      <c r="AO55" s="4082"/>
      <c r="AP55" s="4082"/>
      <c r="AQ55" s="4082"/>
      <c r="AR55" s="4082"/>
      <c r="AS55" s="4082"/>
      <c r="AT55" s="4082"/>
      <c r="AU55" s="4082"/>
      <c r="AV55" s="4082"/>
      <c r="AW55" s="4082"/>
      <c r="AX55" s="4082"/>
    </row>
    <row r="56" s="3606" customFormat="1" ht="12" hidden="1" customHeight="1" spans="2:53">
      <c r="B56" t="s">
        <v>510</v>
      </c>
      <c r="R56" s="4061">
        <v>19</v>
      </c>
      <c r="S56" s="4061"/>
      <c r="T56" s="4061"/>
      <c r="U56" s="4061"/>
      <c r="V56" s="4061"/>
      <c r="W56" s="4061"/>
      <c r="X56" s="4061"/>
      <c r="Y56" s="4061"/>
      <c r="Z56" s="4061"/>
      <c r="AA56" s="4061"/>
      <c r="AB56" s="4061"/>
      <c r="AC56" s="4060"/>
      <c r="AD56" s="4060"/>
      <c r="AE56" s="4060"/>
      <c r="AF56" s="4060"/>
      <c r="AG56" s="4060"/>
      <c r="AH56" s="4060"/>
      <c r="AI56" s="4060"/>
      <c r="AJ56" s="4082">
        <f>+'[71]F2'!K39</f>
        <v>11200000000</v>
      </c>
      <c r="AK56" s="4082"/>
      <c r="AL56" s="4082"/>
      <c r="AM56" s="4082"/>
      <c r="AN56" s="4082"/>
      <c r="AO56" s="4082"/>
      <c r="AP56" s="4082"/>
      <c r="AQ56" s="4082">
        <f>+'[71]F2'!L39</f>
        <v>11200000000</v>
      </c>
      <c r="AR56" s="4082"/>
      <c r="AS56" s="4082"/>
      <c r="AT56" s="4082"/>
      <c r="AU56" s="4082"/>
      <c r="AV56" s="4082"/>
      <c r="AW56" s="4082"/>
      <c r="AX56" s="4082"/>
      <c r="BA56" s="3606">
        <f>AJ56-AQ56</f>
        <v>0</v>
      </c>
    </row>
    <row r="57" s="3606" customFormat="1" ht="12" hidden="1" customHeight="1" spans="2:53">
      <c r="B57" t="s">
        <v>571</v>
      </c>
      <c r="R57" s="4061">
        <f>R56+1</f>
        <v>20</v>
      </c>
      <c r="S57" s="4061"/>
      <c r="T57" s="4061"/>
      <c r="U57" s="4061"/>
      <c r="V57" s="4061"/>
      <c r="W57" s="4061"/>
      <c r="X57" s="4061"/>
      <c r="Y57" s="4061"/>
      <c r="Z57" s="4061"/>
      <c r="AA57" s="4061"/>
      <c r="AB57" s="4061"/>
      <c r="AC57" s="4060"/>
      <c r="AD57" s="4060"/>
      <c r="AE57" s="4060"/>
      <c r="AF57" s="4060"/>
      <c r="AG57" s="4060"/>
      <c r="AH57" s="4060"/>
      <c r="AI57" s="4060"/>
      <c r="AJ57" s="4082">
        <f>+'[71]F2'!K40</f>
        <v>250000000</v>
      </c>
      <c r="AK57" s="4082"/>
      <c r="AL57" s="4082"/>
      <c r="AM57" s="4082"/>
      <c r="AN57" s="4082"/>
      <c r="AO57" s="4082"/>
      <c r="AP57" s="4082"/>
      <c r="AQ57" s="4082">
        <f>+'[71]F2'!L40</f>
        <v>250000000</v>
      </c>
      <c r="AR57" s="4082"/>
      <c r="AS57" s="4082"/>
      <c r="AT57" s="4082"/>
      <c r="AU57" s="4082"/>
      <c r="AV57" s="4082"/>
      <c r="AW57" s="4082"/>
      <c r="AX57" s="4082"/>
      <c r="BA57" s="3606">
        <f>AJ57-AQ57</f>
        <v>0</v>
      </c>
    </row>
    <row r="58" s="3606" customFormat="1" ht="12" hidden="1" customHeight="1" spans="2:53">
      <c r="B58" t="s">
        <v>572</v>
      </c>
      <c r="R58" s="4067"/>
      <c r="S58" s="4067"/>
      <c r="T58" s="4067"/>
      <c r="U58" s="4067"/>
      <c r="V58" s="4067"/>
      <c r="W58" s="4067"/>
      <c r="X58" s="4067"/>
      <c r="Y58" s="4067"/>
      <c r="Z58" s="4067"/>
      <c r="AA58" s="4067"/>
      <c r="AB58" s="4067"/>
      <c r="AC58" s="4060"/>
      <c r="AD58" s="4060"/>
      <c r="AE58" s="4060"/>
      <c r="AF58" s="4060"/>
      <c r="AG58" s="4060"/>
      <c r="AH58" s="4060"/>
      <c r="AI58" s="4060"/>
      <c r="AJ58" s="4082">
        <f>AJ173</f>
        <v>8970193250</v>
      </c>
      <c r="AK58" s="4082"/>
      <c r="AL58" s="4082"/>
      <c r="AM58" s="4082"/>
      <c r="AN58" s="4082"/>
      <c r="AO58" s="4082"/>
      <c r="AP58" s="4082"/>
      <c r="AQ58" s="4082">
        <f>'[71]F2'!L41+'[71]F2'!L42</f>
        <v>-8479026828.81</v>
      </c>
      <c r="AR58" s="4082"/>
      <c r="AS58" s="4082"/>
      <c r="AT58" s="4082"/>
      <c r="AU58" s="4082"/>
      <c r="AV58" s="4082"/>
      <c r="AW58" s="4082"/>
      <c r="AX58" s="4082"/>
      <c r="BA58" s="3606">
        <f>AJ58-AQ58</f>
        <v>17449220078.81</v>
      </c>
    </row>
    <row r="59" ht="6" hidden="1" customHeight="1" spans="18:50">
      <c r="R59" s="4067"/>
      <c r="S59" s="4067"/>
      <c r="T59" s="4067"/>
      <c r="U59" s="4067"/>
      <c r="V59" s="4067"/>
      <c r="W59" s="4067"/>
      <c r="X59" s="4067"/>
      <c r="Y59" s="4067"/>
      <c r="Z59" s="4067"/>
      <c r="AA59" s="4067"/>
      <c r="AB59" s="4067"/>
      <c r="AC59" s="4060"/>
      <c r="AD59" s="4060"/>
      <c r="AE59" s="4060"/>
      <c r="AF59" s="4060"/>
      <c r="AG59" s="4060"/>
      <c r="AH59" s="4060"/>
      <c r="AI59" s="4060"/>
      <c r="AJ59" s="4097"/>
      <c r="AK59" s="4097"/>
      <c r="AL59" s="4097"/>
      <c r="AM59" s="4097"/>
      <c r="AN59" s="4097"/>
      <c r="AO59" s="4097"/>
      <c r="AP59" s="4082"/>
      <c r="AQ59" s="4097"/>
      <c r="AR59" s="4097"/>
      <c r="AS59" s="4097"/>
      <c r="AT59" s="4097"/>
      <c r="AU59" s="4097"/>
      <c r="AV59" s="4097"/>
      <c r="AW59" s="4082"/>
      <c r="AX59" s="4082"/>
    </row>
    <row r="60" ht="12" hidden="1" spans="2:50">
      <c r="B60" s="5024" t="s">
        <v>312</v>
      </c>
      <c r="R60" s="4067"/>
      <c r="S60" s="4067"/>
      <c r="T60" s="4067"/>
      <c r="U60" s="4067"/>
      <c r="V60" s="4067"/>
      <c r="W60" s="4067"/>
      <c r="X60" s="4067"/>
      <c r="Y60" s="4067"/>
      <c r="Z60" s="4067"/>
      <c r="AA60" s="4067"/>
      <c r="AB60" s="4067"/>
      <c r="AC60" s="4060"/>
      <c r="AD60" s="4060"/>
      <c r="AE60" s="4060"/>
      <c r="AF60" s="4060"/>
      <c r="AG60" s="4060"/>
      <c r="AH60" s="4060"/>
      <c r="AI60" s="4060"/>
      <c r="AJ60" s="4094">
        <f>SUM(AJ56:AO58)</f>
        <v>20420193250</v>
      </c>
      <c r="AK60" s="4094"/>
      <c r="AL60" s="4094"/>
      <c r="AM60" s="4094"/>
      <c r="AN60" s="4094"/>
      <c r="AO60" s="4094"/>
      <c r="AP60" s="4082"/>
      <c r="AQ60" s="4094">
        <f>SUM(AQ56:AV58)</f>
        <v>2970973171.19</v>
      </c>
      <c r="AR60" s="4094"/>
      <c r="AS60" s="4094"/>
      <c r="AT60" s="4094"/>
      <c r="AU60" s="4094"/>
      <c r="AV60" s="4094"/>
      <c r="AW60" s="4094"/>
      <c r="AX60" s="4094"/>
    </row>
    <row r="61" hidden="1" spans="18:51">
      <c r="R61" s="4067"/>
      <c r="S61" s="4067"/>
      <c r="T61" s="4067"/>
      <c r="U61" s="4067"/>
      <c r="V61" s="4067"/>
      <c r="W61" s="4067"/>
      <c r="X61" s="4067"/>
      <c r="Y61" s="4067"/>
      <c r="Z61" s="4067"/>
      <c r="AA61" s="4067"/>
      <c r="AB61" s="4067"/>
      <c r="AC61" s="4060"/>
      <c r="AD61" s="4060"/>
      <c r="AE61" s="4060"/>
      <c r="AF61" s="4060"/>
      <c r="AG61" s="4060"/>
      <c r="AH61" s="4060"/>
      <c r="AI61" s="4060"/>
      <c r="AJ61" s="4082"/>
      <c r="AK61" s="4082"/>
      <c r="AL61" s="4082"/>
      <c r="AM61" s="4082"/>
      <c r="AN61" s="4082"/>
      <c r="AO61" s="4082"/>
      <c r="AP61" s="4082"/>
      <c r="AQ61" s="4082"/>
      <c r="AR61" s="4082"/>
      <c r="AS61" s="4082"/>
      <c r="AT61" s="4082"/>
      <c r="AU61" s="4082"/>
      <c r="AV61" s="4082"/>
      <c r="AW61" s="4082"/>
      <c r="AX61" s="4082"/>
      <c r="AY61" s="3606">
        <f>9+3-9</f>
        <v>3</v>
      </c>
    </row>
    <row r="62" ht="12.75" hidden="1" spans="2:50">
      <c r="B62" s="3607" t="s">
        <v>573</v>
      </c>
      <c r="R62" s="4067"/>
      <c r="S62" s="4067"/>
      <c r="T62" s="4067"/>
      <c r="U62" s="4067"/>
      <c r="V62" s="4067"/>
      <c r="W62" s="4067"/>
      <c r="X62" s="4067"/>
      <c r="Y62" s="4067"/>
      <c r="Z62" s="4067"/>
      <c r="AA62" s="4067"/>
      <c r="AB62" s="4067"/>
      <c r="AC62" s="4060"/>
      <c r="AD62" s="4060"/>
      <c r="AE62" s="4060"/>
      <c r="AF62" s="4060"/>
      <c r="AG62" s="4060"/>
      <c r="AH62" s="4060"/>
      <c r="AI62" s="4060"/>
      <c r="AJ62" s="4100" t="e">
        <f>AJ44+AJ60+AJ53</f>
        <v>#REF!</v>
      </c>
      <c r="AK62" s="4100"/>
      <c r="AL62" s="4100"/>
      <c r="AM62" s="4100"/>
      <c r="AN62" s="4100"/>
      <c r="AO62" s="4100"/>
      <c r="AP62" s="4082"/>
      <c r="AQ62" s="4100">
        <f>AQ44+AQ60+AQ53</f>
        <v>74212358727.79</v>
      </c>
      <c r="AR62" s="4100"/>
      <c r="AS62" s="4100"/>
      <c r="AT62" s="4100"/>
      <c r="AU62" s="4100"/>
      <c r="AV62" s="4100"/>
      <c r="AW62" s="4083"/>
      <c r="AX62" s="4094"/>
    </row>
    <row r="63" ht="12.15" hidden="1" spans="18:58">
      <c r="R63" s="4060"/>
      <c r="S63" s="4060"/>
      <c r="T63" s="4060"/>
      <c r="U63" s="4060"/>
      <c r="V63" s="4060"/>
      <c r="W63" s="4060"/>
      <c r="X63" s="4060"/>
      <c r="Y63" s="4060"/>
      <c r="Z63" s="4060"/>
      <c r="AA63" s="4060"/>
      <c r="AB63" s="4060"/>
      <c r="AC63" s="4060"/>
      <c r="AD63" s="4060"/>
      <c r="AE63" s="4060"/>
      <c r="AF63" s="4060"/>
      <c r="AG63" s="4060"/>
      <c r="AH63" s="4060"/>
      <c r="AI63" s="4060"/>
      <c r="AP63" s="4086"/>
      <c r="BA63" s="4086"/>
      <c r="BB63" s="4086"/>
      <c r="BC63" s="4086"/>
      <c r="BD63" s="4086"/>
      <c r="BE63" s="4086"/>
      <c r="BF63" s="4086"/>
    </row>
    <row r="64" hidden="1" spans="18:57">
      <c r="R64" s="4109"/>
      <c r="S64" s="4109"/>
      <c r="T64" s="4109"/>
      <c r="U64" s="4109"/>
      <c r="V64" s="4109"/>
      <c r="W64" s="4109"/>
      <c r="X64" s="4109"/>
      <c r="Y64" s="4109"/>
      <c r="Z64" s="4109"/>
      <c r="AA64" s="4109"/>
      <c r="AB64" s="4109"/>
      <c r="AC64" s="4060"/>
      <c r="AD64" s="4060"/>
      <c r="AE64" s="4060"/>
      <c r="AF64" s="4060"/>
      <c r="AG64" s="4060"/>
      <c r="AH64" s="4060"/>
      <c r="AI64" s="4060"/>
      <c r="AJ64" s="4081"/>
      <c r="AK64" s="4081"/>
      <c r="AL64" s="4081"/>
      <c r="AM64" s="4081"/>
      <c r="AN64" s="4081"/>
      <c r="AO64" s="4081"/>
      <c r="AP64" s="4081"/>
      <c r="AQ64" s="4081"/>
      <c r="AR64" s="4081"/>
      <c r="AS64" s="4081"/>
      <c r="AT64" s="4081"/>
      <c r="AU64" s="4081"/>
      <c r="AV64" s="4081"/>
      <c r="AW64" s="4081"/>
      <c r="AX64" s="4081"/>
      <c r="BA64" s="4086"/>
      <c r="BB64" s="4086"/>
      <c r="BC64" s="4086"/>
      <c r="BD64" s="4086"/>
      <c r="BE64" s="4086"/>
    </row>
    <row r="65" hidden="1" spans="18:51">
      <c r="R65" s="4109"/>
      <c r="S65" s="4109"/>
      <c r="T65" s="4109"/>
      <c r="U65" s="4109"/>
      <c r="V65" s="4109"/>
      <c r="W65" s="4109"/>
      <c r="X65" s="4109"/>
      <c r="Y65" s="4109"/>
      <c r="Z65" s="4109"/>
      <c r="AA65" s="4109"/>
      <c r="AB65" s="4109"/>
      <c r="AC65" s="4060"/>
      <c r="AD65" s="4060"/>
      <c r="AE65" s="4060"/>
      <c r="AF65" s="4060"/>
      <c r="AG65" s="4060"/>
      <c r="AH65" s="4060"/>
      <c r="AI65" s="4060"/>
      <c r="AJ65" s="4081"/>
      <c r="AK65" s="4081"/>
      <c r="AL65" s="4081"/>
      <c r="AM65" s="4081"/>
      <c r="AN65" s="4081"/>
      <c r="AO65" s="4081"/>
      <c r="AP65" s="4081"/>
      <c r="AQ65" s="4081"/>
      <c r="AR65" s="4081"/>
      <c r="AS65" s="4081"/>
      <c r="AT65" s="4081"/>
      <c r="AU65" s="4081"/>
      <c r="AV65" s="4081"/>
      <c r="AW65" s="4081"/>
      <c r="AX65" s="3606">
        <v>2018</v>
      </c>
      <c r="AY65" s="4086" t="e">
        <f>+AJ62-AJ32</f>
        <v>#REF!</v>
      </c>
    </row>
    <row r="66" hidden="1" spans="2:51">
      <c r="B66" s="3609"/>
      <c r="R66" s="4109"/>
      <c r="S66" s="4109"/>
      <c r="T66" s="4109"/>
      <c r="U66" s="4109"/>
      <c r="V66" s="4109"/>
      <c r="W66" s="4109"/>
      <c r="X66" s="4109"/>
      <c r="Y66" s="4109"/>
      <c r="Z66" s="4109"/>
      <c r="AA66" s="4109"/>
      <c r="AB66" s="4109"/>
      <c r="AC66" s="4060"/>
      <c r="AD66" s="4060"/>
      <c r="AE66" s="4060"/>
      <c r="AF66" s="4060"/>
      <c r="AG66" s="4060"/>
      <c r="AH66" s="4060"/>
      <c r="AI66" s="4060"/>
      <c r="AJ66" s="4081"/>
      <c r="AK66" s="4081"/>
      <c r="AL66" s="4081"/>
      <c r="AM66" s="4081"/>
      <c r="AN66" s="4081"/>
      <c r="AO66" s="4081"/>
      <c r="AP66" s="4081"/>
      <c r="AQ66" s="4081"/>
      <c r="AR66" s="4081"/>
      <c r="AS66" s="4081"/>
      <c r="AT66" s="4081"/>
      <c r="AU66" s="4081"/>
      <c r="AV66" s="4081"/>
      <c r="AW66" s="4081"/>
      <c r="AX66" s="3606">
        <v>2017</v>
      </c>
      <c r="AY66" s="4086">
        <f>+AQ62-AQ32</f>
        <v>0.22998046875</v>
      </c>
    </row>
    <row r="67" hidden="1" spans="2:50">
      <c r="B67" s="3609"/>
      <c r="R67" s="4109"/>
      <c r="S67" s="4109"/>
      <c r="T67" s="4109"/>
      <c r="U67" s="4109"/>
      <c r="V67" s="4109"/>
      <c r="W67" s="4109"/>
      <c r="X67" s="4109"/>
      <c r="Y67" s="4109"/>
      <c r="Z67" s="4109"/>
      <c r="AA67" s="4109"/>
      <c r="AB67" s="4109"/>
      <c r="AC67" s="4060"/>
      <c r="AD67" s="4060"/>
      <c r="AE67" s="4060"/>
      <c r="AF67" s="4060"/>
      <c r="AG67" s="4060"/>
      <c r="AH67" s="4060"/>
      <c r="AI67" s="4060"/>
      <c r="AJ67" s="4081"/>
      <c r="AK67" s="4081"/>
      <c r="AL67" s="4081"/>
      <c r="AM67" s="4081"/>
      <c r="AN67" s="4081"/>
      <c r="AO67" s="4081"/>
      <c r="AP67" s="4081"/>
      <c r="AQ67" s="4081"/>
      <c r="AR67" s="4081"/>
      <c r="AS67" s="4081"/>
      <c r="AT67" s="4081"/>
      <c r="AU67" s="4081"/>
      <c r="AV67" s="4081"/>
      <c r="AW67" s="4081"/>
      <c r="AX67" s="4081"/>
    </row>
    <row r="68" hidden="1" spans="2:50">
      <c r="B68" s="3609"/>
      <c r="R68" s="4109"/>
      <c r="S68" s="4109"/>
      <c r="T68" s="4109"/>
      <c r="U68" s="4109"/>
      <c r="V68" s="4109"/>
      <c r="W68" s="4109"/>
      <c r="X68" s="4109"/>
      <c r="Y68" s="4109"/>
      <c r="Z68" s="4109"/>
      <c r="AA68" s="4109"/>
      <c r="AB68" s="4109"/>
      <c r="AC68" s="4060"/>
      <c r="AD68" s="4060"/>
      <c r="AE68" s="4060"/>
      <c r="AF68" s="4060"/>
      <c r="AG68" s="4060"/>
      <c r="AH68" s="4060"/>
      <c r="AI68" s="4060"/>
      <c r="AJ68" s="4081"/>
      <c r="AK68" s="4081"/>
      <c r="AL68" s="4081"/>
      <c r="AM68" s="4081"/>
      <c r="AN68" s="4081"/>
      <c r="AO68" s="4081"/>
      <c r="AP68" s="4081"/>
      <c r="AQ68" s="4081"/>
      <c r="AR68" s="4081"/>
      <c r="AS68" s="4081"/>
      <c r="AT68" s="4081"/>
      <c r="AU68" s="4081"/>
      <c r="AV68" s="4081"/>
      <c r="AW68" s="4081"/>
      <c r="AX68" s="4081"/>
    </row>
    <row r="69" hidden="1" spans="2:50">
      <c r="B69" s="3609"/>
      <c r="R69" s="4109"/>
      <c r="S69" s="4109"/>
      <c r="T69" s="4109"/>
      <c r="U69" s="4109"/>
      <c r="V69" s="4109"/>
      <c r="W69" s="4109"/>
      <c r="X69" s="4109"/>
      <c r="Y69" s="4109"/>
      <c r="Z69" s="4109"/>
      <c r="AA69" s="4109"/>
      <c r="AB69" s="4109"/>
      <c r="AC69" s="4060"/>
      <c r="AD69" s="4060"/>
      <c r="AE69" s="4060"/>
      <c r="AF69" s="4060"/>
      <c r="AG69" s="4060"/>
      <c r="AH69" s="4060"/>
      <c r="AI69" s="4060"/>
      <c r="AJ69" s="4081"/>
      <c r="AK69" s="4081"/>
      <c r="AL69" s="4081"/>
      <c r="AM69" s="4081"/>
      <c r="AN69" s="4081"/>
      <c r="AO69" s="4081"/>
      <c r="AP69" s="4081"/>
      <c r="AQ69" s="4081"/>
      <c r="AR69" s="4081"/>
      <c r="AS69" s="4081"/>
      <c r="AT69" s="4081"/>
      <c r="AU69" s="4081"/>
      <c r="AV69" s="4081"/>
      <c r="AW69" s="4081"/>
      <c r="AX69" s="4081"/>
    </row>
    <row r="70" hidden="1" spans="2:50">
      <c r="B70" s="3609"/>
      <c r="R70" s="4109"/>
      <c r="S70" s="4109"/>
      <c r="T70" s="4109"/>
      <c r="U70" s="4109"/>
      <c r="V70" s="4109"/>
      <c r="W70" s="4109"/>
      <c r="X70" s="4109"/>
      <c r="Y70" s="4109"/>
      <c r="Z70" s="4109"/>
      <c r="AA70" s="4109"/>
      <c r="AB70" s="4109"/>
      <c r="AC70" s="4060"/>
      <c r="AD70" s="4060"/>
      <c r="AE70" s="4060"/>
      <c r="AF70" s="4060"/>
      <c r="AG70" s="4060"/>
      <c r="AH70" s="4060"/>
      <c r="AI70" s="4060"/>
      <c r="AJ70" s="4081"/>
      <c r="AK70" s="4081"/>
      <c r="AL70" s="4081"/>
      <c r="AM70" s="4081"/>
      <c r="AN70" s="4081"/>
      <c r="AO70" s="4081"/>
      <c r="AP70" s="4081"/>
      <c r="AQ70" s="4081"/>
      <c r="AR70" s="4081"/>
      <c r="AS70" s="4081"/>
      <c r="AT70" s="4081"/>
      <c r="AU70" s="4081"/>
      <c r="AV70" s="4081"/>
      <c r="AW70" s="4081"/>
      <c r="AX70" s="4081"/>
    </row>
    <row r="71" hidden="1" spans="2:50">
      <c r="B71" s="3609"/>
      <c r="R71" s="4109"/>
      <c r="S71" s="4109"/>
      <c r="T71" s="4109"/>
      <c r="U71" s="4109"/>
      <c r="V71" s="4109"/>
      <c r="W71" s="4109"/>
      <c r="X71" s="4109"/>
      <c r="Y71" s="4109"/>
      <c r="Z71" s="4109"/>
      <c r="AA71" s="4109"/>
      <c r="AB71" s="4109"/>
      <c r="AC71" s="4060"/>
      <c r="AD71" s="4060"/>
      <c r="AE71" s="4060"/>
      <c r="AF71" s="4060"/>
      <c r="AG71" s="4060"/>
      <c r="AH71" s="4060"/>
      <c r="AI71" s="4060"/>
      <c r="AJ71" s="4081"/>
      <c r="AK71" s="4081"/>
      <c r="AL71" s="4081"/>
      <c r="AM71" s="4081"/>
      <c r="AN71" s="4081"/>
      <c r="AO71" s="4081"/>
      <c r="AP71" s="4081"/>
      <c r="AQ71" s="4081"/>
      <c r="AR71" s="4081"/>
      <c r="AS71" s="4081"/>
      <c r="AT71" s="4081"/>
      <c r="AU71" s="4081"/>
      <c r="AV71" s="4081"/>
      <c r="AW71" s="4081"/>
      <c r="AX71" s="4081"/>
    </row>
    <row r="72" hidden="1" spans="2:50">
      <c r="B72" s="3609"/>
      <c r="R72" s="4109"/>
      <c r="S72" s="4109"/>
      <c r="T72" s="4109"/>
      <c r="U72" s="4109"/>
      <c r="V72" s="4109"/>
      <c r="W72" s="4109"/>
      <c r="X72" s="4109"/>
      <c r="Y72" s="4109"/>
      <c r="Z72" s="4109"/>
      <c r="AA72" s="4109"/>
      <c r="AB72" s="4109"/>
      <c r="AC72" s="4060"/>
      <c r="AD72" s="4060"/>
      <c r="AE72" s="4060"/>
      <c r="AF72" s="4060"/>
      <c r="AG72" s="4060"/>
      <c r="AH72" s="4060"/>
      <c r="AI72" s="4060"/>
      <c r="AJ72" s="4081"/>
      <c r="AK72" s="4081"/>
      <c r="AL72" s="4081"/>
      <c r="AM72" s="4081"/>
      <c r="AN72" s="4081"/>
      <c r="AO72" s="4081"/>
      <c r="AP72" s="4081"/>
      <c r="AQ72" s="4081"/>
      <c r="AR72" s="4081"/>
      <c r="AS72" s="4081"/>
      <c r="AT72" s="4081"/>
      <c r="AU72" s="4081"/>
      <c r="AV72" s="4081"/>
      <c r="AW72" s="4081"/>
      <c r="AX72" s="4081"/>
    </row>
    <row r="73" hidden="1" spans="2:50">
      <c r="B73" s="3609"/>
      <c r="R73" s="4109"/>
      <c r="S73" s="4109"/>
      <c r="T73" s="4109"/>
      <c r="U73" s="4109"/>
      <c r="V73" s="4109"/>
      <c r="W73" s="4109"/>
      <c r="X73" s="4109"/>
      <c r="Y73" s="4109"/>
      <c r="Z73" s="4109"/>
      <c r="AA73" s="4109"/>
      <c r="AB73" s="4109"/>
      <c r="AC73" s="4060"/>
      <c r="AD73" s="4060"/>
      <c r="AE73" s="4060"/>
      <c r="AF73" s="4060"/>
      <c r="AG73" s="4060"/>
      <c r="AH73" s="4060"/>
      <c r="AI73" s="4060"/>
      <c r="AJ73" s="4081"/>
      <c r="AK73" s="4081"/>
      <c r="AL73" s="4081"/>
      <c r="AM73" s="4081"/>
      <c r="AN73" s="4081"/>
      <c r="AO73" s="4081"/>
      <c r="AP73" s="4081"/>
      <c r="AQ73" s="4081"/>
      <c r="AR73" s="4081"/>
      <c r="AS73" s="4081"/>
      <c r="AT73" s="4081"/>
      <c r="AU73" s="4081"/>
      <c r="AV73" s="4081"/>
      <c r="AW73" s="4081"/>
      <c r="AX73" s="4081"/>
    </row>
    <row r="74" hidden="1" spans="2:50">
      <c r="B74" s="3609"/>
      <c r="R74" s="4109"/>
      <c r="S74" s="4109"/>
      <c r="T74" s="4109"/>
      <c r="U74" s="4109"/>
      <c r="V74" s="4109"/>
      <c r="W74" s="4109"/>
      <c r="X74" s="4109"/>
      <c r="Y74" s="4109"/>
      <c r="Z74" s="4109"/>
      <c r="AA74" s="4109"/>
      <c r="AB74" s="4109"/>
      <c r="AC74" s="4060"/>
      <c r="AD74" s="4060"/>
      <c r="AE74" s="4060"/>
      <c r="AF74" s="4060"/>
      <c r="AG74" s="4060"/>
      <c r="AH74" s="4060"/>
      <c r="AI74" s="4060"/>
      <c r="AJ74" s="4081"/>
      <c r="AK74" s="4081"/>
      <c r="AL74" s="4081"/>
      <c r="AM74" s="4081"/>
      <c r="AN74" s="4081"/>
      <c r="AO74" s="4081"/>
      <c r="AP74" s="4081"/>
      <c r="AQ74" s="4081"/>
      <c r="AR74" s="4081"/>
      <c r="AS74" s="4081"/>
      <c r="AT74" s="4081"/>
      <c r="AU74" s="4081"/>
      <c r="AV74" s="4081"/>
      <c r="AW74" s="4081"/>
      <c r="AX74" s="4081"/>
    </row>
    <row r="75" ht="12" hidden="1" spans="2:50">
      <c r="B75" s="3607" t="str">
        <f>B1</f>
        <v>PT WATERINDO PRIMATECH BEKASI</v>
      </c>
      <c r="R75" s="4109"/>
      <c r="S75" s="4109"/>
      <c r="T75" s="4109"/>
      <c r="U75" s="4109"/>
      <c r="V75" s="4109"/>
      <c r="W75" s="4109"/>
      <c r="X75" s="4109"/>
      <c r="Y75" s="4109"/>
      <c r="Z75" s="4109"/>
      <c r="AA75" s="4109"/>
      <c r="AB75" s="4109"/>
      <c r="AC75" s="4060"/>
      <c r="AD75" s="4060"/>
      <c r="AE75" s="4060"/>
      <c r="AF75" s="4060"/>
      <c r="AG75" s="4060"/>
      <c r="AH75" s="4060"/>
      <c r="AI75" s="4060"/>
      <c r="AJ75" s="4081"/>
      <c r="AK75" s="4081"/>
      <c r="AL75" s="4081"/>
      <c r="AM75" s="4081"/>
      <c r="AN75" s="4081"/>
      <c r="AO75" s="4081"/>
      <c r="AP75" s="4081"/>
      <c r="AQ75" s="4081"/>
      <c r="AR75" s="4081"/>
      <c r="AS75" s="4081"/>
      <c r="AT75" s="4081"/>
      <c r="AU75" s="4081"/>
      <c r="AV75" s="4081"/>
      <c r="AW75" s="4081"/>
      <c r="AX75" s="4081"/>
    </row>
    <row r="76" ht="12" hidden="1" customHeight="1" spans="2:50">
      <c r="B76" s="5010" t="s">
        <v>574</v>
      </c>
      <c r="AP76" s="4567" t="str">
        <f>AJ1</f>
        <v>Approval for Print</v>
      </c>
      <c r="AQ76" s="4567"/>
      <c r="AR76" s="4573" t="str">
        <f>AS1</f>
        <v>signature</v>
      </c>
      <c r="AS76" s="4573"/>
      <c r="AT76" s="4573"/>
      <c r="AU76" s="4573"/>
      <c r="AV76" s="4573"/>
      <c r="AW76" s="4573"/>
      <c r="AX76" s="4573"/>
    </row>
    <row r="77" ht="12" hidden="1" customHeight="1" spans="2:50">
      <c r="B77" s="5010" t="s">
        <v>575</v>
      </c>
      <c r="AP77" s="4567"/>
      <c r="AQ77" s="4567"/>
      <c r="AR77" s="4573"/>
      <c r="AS77" s="4573"/>
      <c r="AT77" s="4573"/>
      <c r="AU77" s="4573"/>
      <c r="AV77" s="4573"/>
      <c r="AW77" s="4573"/>
      <c r="AX77" s="4573"/>
    </row>
    <row r="78" ht="12" hidden="1" customHeight="1" spans="2:50">
      <c r="B78" s="3609" t="s">
        <v>450</v>
      </c>
      <c r="AP78" s="4567"/>
      <c r="AQ78" s="4567"/>
      <c r="AR78" s="4573" t="str">
        <f>AS4</f>
        <v>Date</v>
      </c>
      <c r="AS78" s="4573"/>
      <c r="AT78" s="4573"/>
      <c r="AU78" s="4573"/>
      <c r="AV78" s="4573"/>
      <c r="AW78" s="4573"/>
      <c r="AX78" s="4573"/>
    </row>
    <row r="79" ht="12" hidden="1" customHeight="1" spans="2:50">
      <c r="B79" s="3611"/>
      <c r="C79" s="3611"/>
      <c r="D79" s="3611"/>
      <c r="E79" s="3611"/>
      <c r="F79" s="3611"/>
      <c r="G79" s="3611"/>
      <c r="H79" s="3611"/>
      <c r="I79" s="3611"/>
      <c r="J79" s="3611"/>
      <c r="K79" s="3611"/>
      <c r="L79" s="3611"/>
      <c r="M79" s="3611"/>
      <c r="N79" s="3611"/>
      <c r="O79" s="3611"/>
      <c r="P79" s="3611"/>
      <c r="Q79" s="3611"/>
      <c r="R79" s="4054"/>
      <c r="S79" s="4054"/>
      <c r="T79" s="4054"/>
      <c r="U79" s="4054"/>
      <c r="V79" s="4054"/>
      <c r="W79" s="4054"/>
      <c r="X79" s="4054"/>
      <c r="Y79" s="4054"/>
      <c r="Z79" s="4054"/>
      <c r="AA79" s="4054"/>
      <c r="AB79" s="4054"/>
      <c r="AC79" s="4054"/>
      <c r="AD79" s="4054"/>
      <c r="AE79" s="4054"/>
      <c r="AF79" s="4054"/>
      <c r="AG79" s="4054"/>
      <c r="AH79" s="4054"/>
      <c r="AI79" s="4054"/>
      <c r="AJ79" s="3611"/>
      <c r="AK79" s="3611"/>
      <c r="AL79" s="3611"/>
      <c r="AM79" s="3611"/>
      <c r="AN79" s="3611"/>
      <c r="AO79" s="3611"/>
      <c r="AP79" s="3626"/>
      <c r="AQ79" s="3626"/>
      <c r="AR79" s="4125"/>
      <c r="AS79" s="4125"/>
      <c r="AT79" s="4125"/>
      <c r="AU79" s="4125"/>
      <c r="AV79" s="4125"/>
      <c r="AW79" s="4573"/>
      <c r="AX79" s="4573"/>
    </row>
    <row r="80" ht="12" hidden="1" customHeight="1" spans="42:50">
      <c r="AP80" s="4120"/>
      <c r="AQ80" s="4120"/>
      <c r="AR80" s="4126"/>
      <c r="AS80" s="4126"/>
      <c r="AT80" s="4126"/>
      <c r="AU80" s="4126"/>
      <c r="AV80" s="4126"/>
      <c r="AW80" s="4126"/>
      <c r="AX80" s="4126"/>
    </row>
    <row r="81" hidden="1" spans="43:48">
      <c r="AQ81" s="4576" t="s">
        <v>576</v>
      </c>
      <c r="AR81" s="4576"/>
      <c r="AS81" s="4576"/>
      <c r="AT81" s="4576"/>
      <c r="AU81" s="4576"/>
      <c r="AV81" s="4576"/>
    </row>
    <row r="82" ht="12" hidden="1" spans="18:50">
      <c r="R82" s="4110" t="s">
        <v>536</v>
      </c>
      <c r="S82" s="4110"/>
      <c r="T82" s="4110"/>
      <c r="U82" s="4111"/>
      <c r="V82" s="4111"/>
      <c r="W82" s="4111"/>
      <c r="X82" s="4111"/>
      <c r="Y82" s="4111"/>
      <c r="Z82" s="4111"/>
      <c r="AA82" s="4111"/>
      <c r="AB82" s="4111"/>
      <c r="AJ82" s="5021" t="str">
        <f>+AJ8</f>
        <v>2018</v>
      </c>
      <c r="AK82" s="4167"/>
      <c r="AL82" s="4167"/>
      <c r="AM82" s="4167"/>
      <c r="AN82" s="4167"/>
      <c r="AO82" s="4167"/>
      <c r="AQ82" s="5022" t="s">
        <v>577</v>
      </c>
      <c r="AR82" s="4127"/>
      <c r="AS82" s="4127"/>
      <c r="AT82" s="4127"/>
      <c r="AU82" s="4127"/>
      <c r="AV82" s="4127"/>
      <c r="AW82" s="4577"/>
      <c r="AX82" s="5022" t="s">
        <v>578</v>
      </c>
    </row>
    <row r="83" hidden="1" spans="18:50">
      <c r="R83" s="4112"/>
      <c r="S83" s="4112"/>
      <c r="T83" s="4112"/>
      <c r="U83" s="4113"/>
      <c r="V83" s="4113"/>
      <c r="W83" s="4113"/>
      <c r="X83" s="4113"/>
      <c r="Y83" s="4113"/>
      <c r="Z83" s="4113"/>
      <c r="AA83" s="4113"/>
      <c r="AB83" s="4113"/>
      <c r="AC83" s="4060"/>
      <c r="AD83" s="4060"/>
      <c r="AE83" s="4060"/>
      <c r="AF83" s="4060"/>
      <c r="AG83" s="4060"/>
      <c r="AH83" s="4060"/>
      <c r="AI83" s="4060"/>
      <c r="AJ83" s="4080"/>
      <c r="AK83" s="4080"/>
      <c r="AL83" s="4080"/>
      <c r="AM83" s="4080"/>
      <c r="AN83" s="4080"/>
      <c r="AO83" s="4080"/>
      <c r="AP83" s="4081"/>
      <c r="AQ83" s="4080"/>
      <c r="AR83" s="4080"/>
      <c r="AS83" s="4080"/>
      <c r="AT83" s="4080"/>
      <c r="AU83" s="4080"/>
      <c r="AV83" s="4080"/>
      <c r="AW83" s="4081"/>
      <c r="AX83" s="4081"/>
    </row>
    <row r="84" ht="12" hidden="1" spans="2:52">
      <c r="B84" s="3607" t="s">
        <v>579</v>
      </c>
      <c r="R84" s="4061" t="s">
        <v>580</v>
      </c>
      <c r="S84" s="4061"/>
      <c r="T84" s="4061"/>
      <c r="U84" s="4061"/>
      <c r="V84" s="4061"/>
      <c r="W84" s="4061"/>
      <c r="X84" s="4061"/>
      <c r="Y84" s="4061"/>
      <c r="Z84" s="4061"/>
      <c r="AA84" s="4061"/>
      <c r="AB84" s="4061"/>
      <c r="AC84" s="4060"/>
      <c r="AD84" s="4060"/>
      <c r="AE84" s="4060"/>
      <c r="AF84" s="4060"/>
      <c r="AG84" s="4060"/>
      <c r="AH84" s="4060"/>
      <c r="AI84" s="4060"/>
      <c r="AJ84" s="4082">
        <f>+'[71]F3'!K14</f>
        <v>2836780958</v>
      </c>
      <c r="AK84" s="4082"/>
      <c r="AL84" s="4082"/>
      <c r="AM84" s="4082"/>
      <c r="AN84" s="4082"/>
      <c r="AO84" s="4082"/>
      <c r="AP84" s="4082"/>
      <c r="AQ84" s="4082">
        <f>+'[71]F3'!L14</f>
        <v>0</v>
      </c>
      <c r="AR84" s="4082"/>
      <c r="AS84" s="4082"/>
      <c r="AT84" s="4082"/>
      <c r="AU84" s="4082"/>
      <c r="AV84" s="4082"/>
      <c r="AW84" s="4082"/>
      <c r="AX84" s="4082"/>
      <c r="AZ84" s="3606">
        <v>1525320775033.21</v>
      </c>
    </row>
    <row r="85" ht="12" hidden="1" spans="2:50">
      <c r="B85" s="3607"/>
      <c r="R85" s="4061"/>
      <c r="S85" s="4061"/>
      <c r="T85" s="4061"/>
      <c r="U85" s="4061"/>
      <c r="V85" s="4061"/>
      <c r="W85" s="4061"/>
      <c r="X85" s="4061"/>
      <c r="Y85" s="4061"/>
      <c r="Z85" s="4061"/>
      <c r="AA85" s="4061"/>
      <c r="AB85" s="4061"/>
      <c r="AC85" s="4060"/>
      <c r="AD85" s="4060"/>
      <c r="AE85" s="4060"/>
      <c r="AF85" s="4060"/>
      <c r="AG85" s="4060"/>
      <c r="AH85" s="4060"/>
      <c r="AI85" s="4060"/>
      <c r="AJ85" s="4082"/>
      <c r="AK85" s="4082"/>
      <c r="AL85" s="4082"/>
      <c r="AM85" s="4082"/>
      <c r="AN85" s="4082"/>
      <c r="AO85" s="4082"/>
      <c r="AP85" s="4082"/>
      <c r="AQ85" s="4082"/>
      <c r="AR85" s="4082"/>
      <c r="AS85" s="4082"/>
      <c r="AT85" s="4082"/>
      <c r="AU85" s="4082"/>
      <c r="AV85" s="4082"/>
      <c r="AW85" s="4082"/>
      <c r="AX85" s="4082"/>
    </row>
    <row r="86" ht="12" hidden="1" spans="2:50">
      <c r="B86" s="3607" t="s">
        <v>581</v>
      </c>
      <c r="R86" s="4061" t="s">
        <v>582</v>
      </c>
      <c r="S86" s="4061"/>
      <c r="T86" s="4061"/>
      <c r="U86" s="4061"/>
      <c r="V86" s="4061"/>
      <c r="W86" s="4061"/>
      <c r="X86" s="4061"/>
      <c r="Y86" s="4061"/>
      <c r="Z86" s="4061"/>
      <c r="AA86" s="4061"/>
      <c r="AB86" s="4061"/>
      <c r="AC86" s="4060"/>
      <c r="AD86" s="4060"/>
      <c r="AE86" s="4060"/>
      <c r="AF86" s="4060"/>
      <c r="AG86" s="4060"/>
      <c r="AH86" s="4060"/>
      <c r="AI86" s="4060"/>
      <c r="AJ86" s="4082">
        <f>+'[71]F3'!K16</f>
        <v>2514572119.42</v>
      </c>
      <c r="AK86" s="4082"/>
      <c r="AL86" s="4082"/>
      <c r="AM86" s="4082"/>
      <c r="AN86" s="4082"/>
      <c r="AO86" s="4082"/>
      <c r="AP86" s="4082"/>
      <c r="AQ86" s="4082">
        <f>+'[71]F3'!L16</f>
        <v>0</v>
      </c>
      <c r="AR86" s="4082"/>
      <c r="AS86" s="4082"/>
      <c r="AT86" s="4082"/>
      <c r="AU86" s="4082"/>
      <c r="AV86" s="4082"/>
      <c r="AW86" s="4082"/>
      <c r="AX86" s="4578">
        <f>AJ86/AJ84</f>
        <v>0.886417441688143</v>
      </c>
    </row>
    <row r="87" ht="12" hidden="1" spans="2:50">
      <c r="B87" s="3607"/>
      <c r="R87" s="4067"/>
      <c r="S87" s="4067"/>
      <c r="T87" s="4067"/>
      <c r="U87" s="4067"/>
      <c r="V87" s="4067"/>
      <c r="W87" s="4067"/>
      <c r="X87" s="4067"/>
      <c r="Y87" s="4067"/>
      <c r="Z87" s="4067"/>
      <c r="AA87" s="4067"/>
      <c r="AB87" s="4067"/>
      <c r="AC87" s="4060"/>
      <c r="AD87" s="4060"/>
      <c r="AE87" s="4060"/>
      <c r="AF87" s="4060"/>
      <c r="AG87" s="4060"/>
      <c r="AH87" s="4060"/>
      <c r="AI87" s="4060"/>
      <c r="AJ87" s="4122"/>
      <c r="AK87" s="4122"/>
      <c r="AL87" s="4122"/>
      <c r="AM87" s="4122"/>
      <c r="AN87" s="4122"/>
      <c r="AO87" s="4122"/>
      <c r="AP87" s="4082"/>
      <c r="AQ87" s="4122"/>
      <c r="AR87" s="4122"/>
      <c r="AS87" s="4122"/>
      <c r="AT87" s="4122"/>
      <c r="AU87" s="4122"/>
      <c r="AV87" s="4122"/>
      <c r="AW87" s="4094"/>
      <c r="AX87" s="4094"/>
    </row>
    <row r="88" ht="12" hidden="1" spans="2:50">
      <c r="B88" s="3607" t="s">
        <v>583</v>
      </c>
      <c r="R88" s="4067"/>
      <c r="S88" s="4067"/>
      <c r="T88" s="4067"/>
      <c r="U88" s="4067"/>
      <c r="V88" s="4067"/>
      <c r="W88" s="4067"/>
      <c r="X88" s="4067"/>
      <c r="Y88" s="4067"/>
      <c r="Z88" s="4067"/>
      <c r="AA88" s="4067"/>
      <c r="AB88" s="4067"/>
      <c r="AC88" s="4060"/>
      <c r="AD88" s="4060"/>
      <c r="AE88" s="4060"/>
      <c r="AF88" s="4060"/>
      <c r="AG88" s="4060"/>
      <c r="AH88" s="4060"/>
      <c r="AI88" s="4060"/>
      <c r="AJ88" s="4094">
        <f>AJ84-AJ86</f>
        <v>322208838.58</v>
      </c>
      <c r="AK88" s="4094"/>
      <c r="AL88" s="4094"/>
      <c r="AM88" s="4094"/>
      <c r="AN88" s="4094"/>
      <c r="AO88" s="4094"/>
      <c r="AP88" s="4094"/>
      <c r="AQ88" s="4094">
        <f>AQ84-AQ86</f>
        <v>0</v>
      </c>
      <c r="AR88" s="4094"/>
      <c r="AS88" s="4094"/>
      <c r="AT88" s="4094"/>
      <c r="AU88" s="4094"/>
      <c r="AV88" s="4094"/>
      <c r="AW88" s="4094"/>
      <c r="AX88" s="4578">
        <f>AJ88/AJ84</f>
        <v>0.113582558311857</v>
      </c>
    </row>
    <row r="89" s="4048" customFormat="1" ht="12" hidden="1" spans="18:50">
      <c r="R89" s="4067"/>
      <c r="S89" s="4067"/>
      <c r="T89" s="4067"/>
      <c r="U89" s="4067"/>
      <c r="V89" s="4067"/>
      <c r="W89" s="4067"/>
      <c r="X89" s="4067"/>
      <c r="Y89" s="4067"/>
      <c r="Z89" s="4067"/>
      <c r="AA89" s="4067"/>
      <c r="AB89" s="4067"/>
      <c r="AC89" s="4115"/>
      <c r="AD89" s="4115"/>
      <c r="AE89" s="4115"/>
      <c r="AF89" s="4115"/>
      <c r="AG89" s="4115"/>
      <c r="AH89" s="4115"/>
      <c r="AI89" s="4115"/>
      <c r="AJ89" s="4082"/>
      <c r="AK89" s="4082"/>
      <c r="AL89" s="4082"/>
      <c r="AM89" s="4082"/>
      <c r="AN89" s="4082"/>
      <c r="AO89" s="4082"/>
      <c r="AP89" s="4082"/>
      <c r="AQ89" s="4082"/>
      <c r="AR89" s="4082"/>
      <c r="AS89" s="4082"/>
      <c r="AT89" s="4082"/>
      <c r="AU89" s="4082"/>
      <c r="AV89" s="4082"/>
      <c r="AW89" s="4082"/>
      <c r="AX89" s="4082"/>
    </row>
    <row r="90" s="4048" customFormat="1" ht="12" hidden="1" spans="2:50">
      <c r="B90" s="5025" t="s">
        <v>584</v>
      </c>
      <c r="R90" s="4116" t="s">
        <v>585</v>
      </c>
      <c r="S90" s="4116"/>
      <c r="T90" s="4116"/>
      <c r="U90" s="4116"/>
      <c r="V90" s="4116"/>
      <c r="W90" s="4116"/>
      <c r="X90" s="4116"/>
      <c r="Y90" s="4116"/>
      <c r="Z90" s="4116"/>
      <c r="AA90" s="4116"/>
      <c r="AB90" s="4116"/>
      <c r="AC90" s="4115"/>
      <c r="AD90" s="4115"/>
      <c r="AE90" s="4115"/>
      <c r="AF90" s="4115"/>
      <c r="AG90" s="4115"/>
      <c r="AH90" s="4115"/>
      <c r="AI90" s="4115"/>
      <c r="AJ90" s="4082">
        <f>[71]Note2!AC661</f>
        <v>3260287092.03</v>
      </c>
      <c r="AK90" s="4082"/>
      <c r="AL90" s="4082"/>
      <c r="AM90" s="4082"/>
      <c r="AN90" s="4082"/>
      <c r="AO90" s="4082"/>
      <c r="AP90" s="4094"/>
      <c r="AQ90" s="4082">
        <f>+'[71]F3'!L21</f>
        <v>1577251659.4</v>
      </c>
      <c r="AR90" s="4082"/>
      <c r="AS90" s="4082"/>
      <c r="AT90" s="4082"/>
      <c r="AU90" s="4082"/>
      <c r="AV90" s="4082"/>
      <c r="AW90" s="4082"/>
      <c r="AX90" s="4082"/>
    </row>
    <row r="91" hidden="1" spans="18:50">
      <c r="R91" s="4067" t="s">
        <v>480</v>
      </c>
      <c r="S91" s="4067"/>
      <c r="T91" s="4067"/>
      <c r="U91" s="4067"/>
      <c r="V91" s="4067"/>
      <c r="W91" s="4067"/>
      <c r="X91" s="4067"/>
      <c r="Y91" s="4067"/>
      <c r="Z91" s="4067"/>
      <c r="AA91" s="4067"/>
      <c r="AB91" s="4067"/>
      <c r="AC91" s="4060"/>
      <c r="AD91" s="4060"/>
      <c r="AE91" s="4060"/>
      <c r="AF91" s="4060"/>
      <c r="AG91" s="4060"/>
      <c r="AH91" s="4060"/>
      <c r="AI91" s="4060"/>
      <c r="AJ91" s="4097"/>
      <c r="AK91" s="4097"/>
      <c r="AL91" s="4097"/>
      <c r="AM91" s="4097"/>
      <c r="AN91" s="4097"/>
      <c r="AO91" s="4097"/>
      <c r="AP91" s="4082"/>
      <c r="AQ91" s="4097"/>
      <c r="AR91" s="4097"/>
      <c r="AS91" s="4097"/>
      <c r="AT91" s="4097"/>
      <c r="AU91" s="4097"/>
      <c r="AV91" s="4097"/>
      <c r="AW91" s="4082"/>
      <c r="AX91" s="4082"/>
    </row>
    <row r="92" ht="12" hidden="1" spans="2:50">
      <c r="B92" s="4048" t="s">
        <v>586</v>
      </c>
      <c r="R92" s="4061"/>
      <c r="S92" s="4061"/>
      <c r="T92" s="4061"/>
      <c r="U92" s="4061"/>
      <c r="V92" s="4061"/>
      <c r="W92" s="4061"/>
      <c r="X92" s="4061"/>
      <c r="Y92" s="4061"/>
      <c r="Z92" s="4061"/>
      <c r="AA92" s="4061"/>
      <c r="AB92" s="4061"/>
      <c r="AC92" s="4060"/>
      <c r="AD92" s="4060"/>
      <c r="AE92" s="4060"/>
      <c r="AF92" s="4060"/>
      <c r="AG92" s="4060"/>
      <c r="AH92" s="4060"/>
      <c r="AI92" s="4060"/>
      <c r="AJ92" s="4094">
        <f>AJ88-AJ90</f>
        <v>-2938078253.45</v>
      </c>
      <c r="AK92" s="4094"/>
      <c r="AL92" s="4094"/>
      <c r="AM92" s="4094"/>
      <c r="AN92" s="4094"/>
      <c r="AO92" s="4094"/>
      <c r="AP92" s="4082"/>
      <c r="AQ92" s="4094">
        <f>AQ88-AQ90</f>
        <v>-1577251659.4</v>
      </c>
      <c r="AR92" s="4094"/>
      <c r="AS92" s="4094"/>
      <c r="AT92" s="4094"/>
      <c r="AU92" s="4094"/>
      <c r="AV92" s="4094"/>
      <c r="AW92" s="4094"/>
      <c r="AX92" s="4094"/>
    </row>
    <row r="93" hidden="1" spans="18:50">
      <c r="R93" s="4061"/>
      <c r="S93" s="4061"/>
      <c r="T93" s="4061"/>
      <c r="U93" s="4061"/>
      <c r="V93" s="4061"/>
      <c r="W93" s="4061"/>
      <c r="X93" s="4061"/>
      <c r="Y93" s="4061"/>
      <c r="Z93" s="4061"/>
      <c r="AA93" s="4061"/>
      <c r="AB93" s="4061"/>
      <c r="AC93" s="4060"/>
      <c r="AD93" s="4060"/>
      <c r="AE93" s="4060"/>
      <c r="AF93" s="4060"/>
      <c r="AG93" s="4060"/>
      <c r="AH93" s="4060"/>
      <c r="AI93" s="4060"/>
      <c r="AJ93" s="4082"/>
      <c r="AK93" s="4082"/>
      <c r="AL93" s="4082"/>
      <c r="AM93" s="4082"/>
      <c r="AN93" s="4082"/>
      <c r="AO93" s="4082"/>
      <c r="AP93" s="4082"/>
      <c r="AQ93" s="4082"/>
      <c r="AR93" s="4082"/>
      <c r="AS93" s="4082"/>
      <c r="AT93" s="4082"/>
      <c r="AU93" s="4082"/>
      <c r="AV93" s="4082"/>
      <c r="AW93" s="4082"/>
      <c r="AX93" s="4082"/>
    </row>
    <row r="94" ht="12" hidden="1" spans="2:50">
      <c r="B94" s="4048" t="s">
        <v>587</v>
      </c>
      <c r="R94" s="4061" t="s">
        <v>588</v>
      </c>
      <c r="S94" s="4061"/>
      <c r="T94" s="4061"/>
      <c r="U94" s="4061"/>
      <c r="V94" s="4061"/>
      <c r="W94" s="4061"/>
      <c r="X94" s="4061"/>
      <c r="Y94" s="4061"/>
      <c r="Z94" s="4061"/>
      <c r="AA94" s="4061"/>
      <c r="AB94" s="4061"/>
      <c r="AC94" s="4060"/>
      <c r="AD94" s="4060"/>
      <c r="AE94" s="4060"/>
      <c r="AF94" s="4060"/>
      <c r="AG94" s="4060"/>
      <c r="AH94" s="4060"/>
      <c r="AI94" s="4060"/>
      <c r="AJ94" s="4082"/>
      <c r="AK94" s="4082"/>
      <c r="AL94" s="4082"/>
      <c r="AM94" s="4082"/>
      <c r="AN94" s="4082"/>
      <c r="AO94" s="4082"/>
      <c r="AP94" s="4082"/>
      <c r="AQ94" s="4082"/>
      <c r="AR94" s="4082"/>
      <c r="AS94" s="4082"/>
      <c r="AT94" s="4082"/>
      <c r="AU94" s="4082"/>
      <c r="AV94" s="4082"/>
      <c r="AW94" s="4082"/>
      <c r="AX94" s="4082"/>
    </row>
    <row r="95" hidden="1" spans="2:50">
      <c r="B95" t="s">
        <v>589</v>
      </c>
      <c r="R95" s="4117"/>
      <c r="S95" s="4117"/>
      <c r="T95" s="4117"/>
      <c r="U95" s="4117"/>
      <c r="V95" s="4117"/>
      <c r="W95" s="4117"/>
      <c r="X95" s="4117"/>
      <c r="Y95" s="4117"/>
      <c r="Z95" s="4117"/>
      <c r="AA95" s="4117"/>
      <c r="AB95" s="4117"/>
      <c r="AC95" s="4060"/>
      <c r="AD95" s="4060"/>
      <c r="AE95" s="4060"/>
      <c r="AF95" s="4060"/>
      <c r="AG95" s="4060"/>
      <c r="AH95" s="4060"/>
      <c r="AI95" s="4060"/>
      <c r="AJ95" s="4082">
        <f>'[71]50'!J22</f>
        <v>1079051968.08</v>
      </c>
      <c r="AK95" s="4082"/>
      <c r="AL95" s="4082"/>
      <c r="AM95" s="4082"/>
      <c r="AN95" s="4082"/>
      <c r="AO95" s="4082"/>
      <c r="AP95" s="4082"/>
      <c r="AQ95" s="4082">
        <f>'[71]50'!K22</f>
        <v>2517196</v>
      </c>
      <c r="AR95" s="4082"/>
      <c r="AS95" s="4082"/>
      <c r="AT95" s="4082"/>
      <c r="AU95" s="4082"/>
      <c r="AV95" s="4082"/>
      <c r="AW95" s="4082"/>
      <c r="AX95" s="4082"/>
    </row>
    <row r="96" hidden="1" spans="2:50">
      <c r="B96" t="s">
        <v>590</v>
      </c>
      <c r="R96" s="4061"/>
      <c r="S96" s="4061"/>
      <c r="T96" s="4061"/>
      <c r="U96" s="4061"/>
      <c r="V96" s="4061"/>
      <c r="W96" s="4061"/>
      <c r="X96" s="4061"/>
      <c r="Y96" s="4061"/>
      <c r="Z96" s="4061"/>
      <c r="AA96" s="4061"/>
      <c r="AB96" s="4061"/>
      <c r="AC96" s="4060"/>
      <c r="AD96" s="4060"/>
      <c r="AE96" s="4060"/>
      <c r="AF96" s="4060"/>
      <c r="AG96" s="4060"/>
      <c r="AH96" s="4060"/>
      <c r="AI96" s="4060"/>
      <c r="AJ96" s="4082">
        <f>-'[71]50'!J36</f>
        <v>-25966030482.79</v>
      </c>
      <c r="AK96" s="4082"/>
      <c r="AL96" s="4082"/>
      <c r="AM96" s="4082"/>
      <c r="AN96" s="4082"/>
      <c r="AO96" s="4082"/>
      <c r="AP96" s="4082"/>
      <c r="AQ96" s="4082">
        <f>-'[71]50'!K36</f>
        <v>-336440920</v>
      </c>
      <c r="AR96" s="4082"/>
      <c r="AS96" s="4082"/>
      <c r="AT96" s="4082"/>
      <c r="AU96" s="4082"/>
      <c r="AV96" s="4082"/>
      <c r="AW96" s="4082"/>
      <c r="AX96" s="4082"/>
    </row>
    <row r="97" ht="6" hidden="1" customHeight="1" spans="2:50">
      <c r="B97" s="4051"/>
      <c r="R97" s="4061"/>
      <c r="S97" s="4061"/>
      <c r="T97" s="4061"/>
      <c r="U97" s="4061"/>
      <c r="V97" s="4061"/>
      <c r="W97" s="4061"/>
      <c r="X97" s="4061"/>
      <c r="Y97" s="4061"/>
      <c r="Z97" s="4061"/>
      <c r="AA97" s="4061"/>
      <c r="AB97" s="4061"/>
      <c r="AC97" s="4060"/>
      <c r="AD97" s="4060"/>
      <c r="AE97" s="4060"/>
      <c r="AF97" s="4060"/>
      <c r="AG97" s="4060"/>
      <c r="AH97" s="4060"/>
      <c r="AI97" s="4060"/>
      <c r="AJ97" s="4097"/>
      <c r="AK97" s="4097"/>
      <c r="AL97" s="4097"/>
      <c r="AM97" s="4097"/>
      <c r="AN97" s="4097"/>
      <c r="AO97" s="4097"/>
      <c r="AP97" s="4082"/>
      <c r="AQ97" s="4097"/>
      <c r="AR97" s="4097"/>
      <c r="AS97" s="4097"/>
      <c r="AT97" s="4097"/>
      <c r="AU97" s="4097"/>
      <c r="AV97" s="4097"/>
      <c r="AW97" s="4082"/>
      <c r="AX97" s="4082"/>
    </row>
    <row r="98" ht="12" hidden="1" customHeight="1" spans="2:50">
      <c r="B98" s="5024" t="s">
        <v>591</v>
      </c>
      <c r="R98" s="4061"/>
      <c r="S98" s="4061"/>
      <c r="T98" s="4061"/>
      <c r="U98" s="4061"/>
      <c r="V98" s="4061"/>
      <c r="W98" s="4061"/>
      <c r="X98" s="4061"/>
      <c r="Y98" s="4061"/>
      <c r="Z98" s="4061"/>
      <c r="AA98" s="4061"/>
      <c r="AB98" s="4061"/>
      <c r="AC98" s="4060"/>
      <c r="AD98" s="4060"/>
      <c r="AE98" s="4060"/>
      <c r="AF98" s="4060"/>
      <c r="AG98" s="4060"/>
      <c r="AH98" s="4060"/>
      <c r="AI98" s="4060"/>
      <c r="AJ98" s="4094">
        <f>SUM(AJ95:AO96)</f>
        <v>-24886978514.71</v>
      </c>
      <c r="AK98" s="4094"/>
      <c r="AL98" s="4094"/>
      <c r="AM98" s="4094"/>
      <c r="AN98" s="4094"/>
      <c r="AO98" s="4094"/>
      <c r="AP98" s="4082"/>
      <c r="AQ98" s="4094">
        <f>SUM(AQ95:AV96)</f>
        <v>-333923724</v>
      </c>
      <c r="AR98" s="4094"/>
      <c r="AS98" s="4094"/>
      <c r="AT98" s="4094"/>
      <c r="AU98" s="4094"/>
      <c r="AV98" s="4094"/>
      <c r="AW98" s="4094"/>
      <c r="AX98" s="4094"/>
    </row>
    <row r="99" ht="12" hidden="1" spans="2:50">
      <c r="B99" s="4051"/>
      <c r="R99" s="4061"/>
      <c r="S99" s="4061"/>
      <c r="T99" s="4061"/>
      <c r="U99" s="4061"/>
      <c r="V99" s="4061"/>
      <c r="W99" s="4061"/>
      <c r="X99" s="4061"/>
      <c r="Y99" s="4061"/>
      <c r="Z99" s="4061"/>
      <c r="AA99" s="4061"/>
      <c r="AB99" s="4061"/>
      <c r="AC99" s="4060"/>
      <c r="AD99" s="4060"/>
      <c r="AE99" s="4060"/>
      <c r="AF99" s="4060"/>
      <c r="AG99" s="4060"/>
      <c r="AH99" s="4060"/>
      <c r="AI99" s="4060"/>
      <c r="AJ99" s="4097"/>
      <c r="AK99" s="4097"/>
      <c r="AL99" s="4097"/>
      <c r="AM99" s="4097"/>
      <c r="AN99" s="4097"/>
      <c r="AO99" s="4097"/>
      <c r="AP99" s="4082"/>
      <c r="AQ99" s="4097"/>
      <c r="AR99" s="4097"/>
      <c r="AS99" s="4097"/>
      <c r="AT99" s="4097"/>
      <c r="AU99" s="4097"/>
      <c r="AV99" s="4097"/>
      <c r="AW99" s="4082"/>
      <c r="AX99" s="4082"/>
    </row>
    <row r="100" ht="12" hidden="1" spans="2:50">
      <c r="B100" s="5024" t="s">
        <v>592</v>
      </c>
      <c r="R100" s="4067" t="s">
        <v>480</v>
      </c>
      <c r="S100" s="4067"/>
      <c r="T100" s="4067"/>
      <c r="U100" s="4067"/>
      <c r="V100" s="4067"/>
      <c r="W100" s="4067"/>
      <c r="X100" s="4067"/>
      <c r="Y100" s="4067"/>
      <c r="Z100" s="4067"/>
      <c r="AA100" s="4067"/>
      <c r="AB100" s="4067"/>
      <c r="AC100" s="4060"/>
      <c r="AD100" s="4060"/>
      <c r="AE100" s="4060"/>
      <c r="AF100" s="4060"/>
      <c r="AG100" s="4060"/>
      <c r="AH100" s="4060"/>
      <c r="AI100" s="4060"/>
      <c r="AJ100" s="4094">
        <f>AJ92+AJ98</f>
        <v>-27825056768.16</v>
      </c>
      <c r="AK100" s="4094"/>
      <c r="AL100" s="4094"/>
      <c r="AM100" s="4094"/>
      <c r="AN100" s="4094"/>
      <c r="AO100" s="4094"/>
      <c r="AP100" s="4094"/>
      <c r="AQ100" s="4094">
        <f>AQ92+AQ98</f>
        <v>-1911175383.4</v>
      </c>
      <c r="AR100" s="4094"/>
      <c r="AS100" s="4094"/>
      <c r="AT100" s="4094"/>
      <c r="AU100" s="4094"/>
      <c r="AV100" s="4094"/>
      <c r="AW100" s="4094"/>
      <c r="AX100" s="4082"/>
    </row>
    <row r="101" hidden="1" spans="18:50">
      <c r="R101" s="4067"/>
      <c r="S101" s="4067"/>
      <c r="T101" s="4067"/>
      <c r="U101" s="4067"/>
      <c r="V101" s="4067"/>
      <c r="W101" s="4067"/>
      <c r="X101" s="4067"/>
      <c r="Y101" s="4067"/>
      <c r="Z101" s="4067"/>
      <c r="AA101" s="4067"/>
      <c r="AB101" s="4067"/>
      <c r="AC101" s="4060"/>
      <c r="AD101" s="4060"/>
      <c r="AE101" s="4060"/>
      <c r="AF101" s="4060"/>
      <c r="AG101" s="4060"/>
      <c r="AH101" s="4060"/>
      <c r="AI101" s="4060"/>
      <c r="AJ101" s="4082"/>
      <c r="AK101" s="4082"/>
      <c r="AL101" s="4082"/>
      <c r="AM101" s="4082"/>
      <c r="AN101" s="4082"/>
      <c r="AO101" s="4082"/>
      <c r="AP101" s="4082"/>
      <c r="AQ101" s="4082"/>
      <c r="AR101" s="4082"/>
      <c r="AS101" s="4082"/>
      <c r="AT101" s="4082"/>
      <c r="AU101" s="4082"/>
      <c r="AV101" s="4082"/>
      <c r="AW101" s="4082"/>
      <c r="AX101" s="4082"/>
    </row>
    <row r="102" ht="12" hidden="1" spans="2:50">
      <c r="B102" s="3607" t="s">
        <v>593</v>
      </c>
      <c r="R102" s="4061" t="s">
        <v>557</v>
      </c>
      <c r="S102" s="4061"/>
      <c r="T102" s="4061"/>
      <c r="U102" s="4061"/>
      <c r="V102" s="4061"/>
      <c r="W102" s="4061"/>
      <c r="X102" s="4061"/>
      <c r="Y102" s="4061"/>
      <c r="Z102" s="4061"/>
      <c r="AA102" s="4061"/>
      <c r="AB102" s="4061"/>
      <c r="AC102" s="4060"/>
      <c r="AD102" s="4060"/>
      <c r="AE102" s="4060"/>
      <c r="AF102" s="4060"/>
      <c r="AG102" s="4060"/>
      <c r="AH102" s="4060"/>
      <c r="AI102" s="4060"/>
      <c r="AJ102" s="4082"/>
      <c r="AK102" s="4082"/>
      <c r="AL102" s="4082"/>
      <c r="AM102" s="4082"/>
      <c r="AN102" s="4082"/>
      <c r="AO102" s="4082"/>
      <c r="AP102" s="4082"/>
      <c r="AQ102" s="4082"/>
      <c r="AR102" s="4082"/>
      <c r="AS102" s="4082"/>
      <c r="AT102" s="4082"/>
      <c r="AU102" s="4082"/>
      <c r="AV102" s="4082"/>
      <c r="AW102" s="4082"/>
      <c r="AX102" s="4082"/>
    </row>
    <row r="103" hidden="1" spans="2:53">
      <c r="B103" s="3609" t="s">
        <v>594</v>
      </c>
      <c r="R103" s="4061"/>
      <c r="S103" s="4061"/>
      <c r="T103" s="4061"/>
      <c r="U103" s="4061"/>
      <c r="V103" s="4061"/>
      <c r="W103" s="4061"/>
      <c r="X103" s="4061"/>
      <c r="Y103" s="4061"/>
      <c r="Z103" s="4061"/>
      <c r="AA103" s="4061"/>
      <c r="AB103" s="4061"/>
      <c r="AC103" s="4060"/>
      <c r="AD103" s="4060"/>
      <c r="AE103" s="4060"/>
      <c r="AF103" s="4060"/>
      <c r="AG103" s="4060"/>
      <c r="AH103" s="4060"/>
      <c r="AI103" s="4060"/>
      <c r="AJ103" s="4082">
        <f>+'[71]F3'!K32</f>
        <v>0</v>
      </c>
      <c r="AK103" s="4082"/>
      <c r="AL103" s="4082"/>
      <c r="AM103" s="4082"/>
      <c r="AN103" s="4082"/>
      <c r="AO103" s="4082"/>
      <c r="AP103" s="4082"/>
      <c r="AQ103" s="4082">
        <f>+'[71]F3'!L32</f>
        <v>0</v>
      </c>
      <c r="AR103" s="4082"/>
      <c r="AS103" s="4082"/>
      <c r="AT103" s="4082"/>
      <c r="AU103" s="4082"/>
      <c r="AV103" s="4082"/>
      <c r="AW103" s="4082"/>
      <c r="AX103" s="4082"/>
      <c r="BA103" s="3606">
        <v>11130588750</v>
      </c>
    </row>
    <row r="104" hidden="1" spans="2:50">
      <c r="B104" s="3609" t="s">
        <v>595</v>
      </c>
      <c r="R104" s="4061"/>
      <c r="S104" s="4061"/>
      <c r="T104" s="4061"/>
      <c r="U104" s="4061"/>
      <c r="V104" s="4061"/>
      <c r="W104" s="4061"/>
      <c r="X104" s="4061"/>
      <c r="Y104" s="4061"/>
      <c r="Z104" s="4061"/>
      <c r="AA104" s="4061"/>
      <c r="AB104" s="4061"/>
      <c r="AC104" s="4060"/>
      <c r="AD104" s="4060"/>
      <c r="AE104" s="4060"/>
      <c r="AF104" s="4060"/>
      <c r="AG104" s="4060"/>
      <c r="AH104" s="4060"/>
      <c r="AI104" s="4060"/>
      <c r="AJ104" s="4082">
        <f>-'[71]F3'!K33</f>
        <v>7718465197.5325</v>
      </c>
      <c r="AK104" s="4082"/>
      <c r="AL104" s="4082"/>
      <c r="AM104" s="4082"/>
      <c r="AN104" s="4082"/>
      <c r="AO104" s="4082"/>
      <c r="AP104" s="4082"/>
      <c r="AQ104" s="4082">
        <v>0</v>
      </c>
      <c r="AR104" s="4082"/>
      <c r="AS104" s="4082"/>
      <c r="AT104" s="4082"/>
      <c r="AU104" s="4082"/>
      <c r="AV104" s="4082"/>
      <c r="AW104" s="4082"/>
      <c r="AX104" s="4082"/>
    </row>
    <row r="105" ht="6" hidden="1" customHeight="1" spans="18:50">
      <c r="R105" s="4061"/>
      <c r="S105" s="4061"/>
      <c r="T105" s="4061"/>
      <c r="U105" s="4061"/>
      <c r="V105" s="4061"/>
      <c r="W105" s="4061"/>
      <c r="X105" s="4061"/>
      <c r="Y105" s="4061"/>
      <c r="Z105" s="4061"/>
      <c r="AA105" s="4061"/>
      <c r="AB105" s="4061"/>
      <c r="AC105" s="4060"/>
      <c r="AD105" s="4060"/>
      <c r="AE105" s="4060"/>
      <c r="AF105" s="4060"/>
      <c r="AG105" s="4060"/>
      <c r="AH105" s="4060"/>
      <c r="AI105" s="4060"/>
      <c r="AJ105" s="4097"/>
      <c r="AK105" s="4097"/>
      <c r="AL105" s="4097"/>
      <c r="AM105" s="4097"/>
      <c r="AN105" s="4097"/>
      <c r="AO105" s="4097"/>
      <c r="AP105" s="4082"/>
      <c r="AQ105" s="4097"/>
      <c r="AR105" s="4097"/>
      <c r="AS105" s="4097"/>
      <c r="AT105" s="4097"/>
      <c r="AU105" s="4097"/>
      <c r="AV105" s="4097"/>
      <c r="AW105" s="4082"/>
      <c r="AX105" s="4082"/>
    </row>
    <row r="106" ht="12" hidden="1" customHeight="1" spans="2:50">
      <c r="B106" s="4048" t="s">
        <v>596</v>
      </c>
      <c r="R106" s="4061"/>
      <c r="S106" s="4061"/>
      <c r="T106" s="4061"/>
      <c r="U106" s="4061"/>
      <c r="V106" s="4061"/>
      <c r="W106" s="4061"/>
      <c r="X106" s="4061"/>
      <c r="Y106" s="4061"/>
      <c r="Z106" s="4061"/>
      <c r="AA106" s="4061"/>
      <c r="AB106" s="4061"/>
      <c r="AC106" s="4060"/>
      <c r="AD106" s="4060"/>
      <c r="AE106" s="4060"/>
      <c r="AF106" s="4060"/>
      <c r="AG106" s="4060"/>
      <c r="AH106" s="4060"/>
      <c r="AI106" s="4060"/>
      <c r="AJ106" s="4094">
        <f>SUM(AJ103:AO104)</f>
        <v>7718465197.5325</v>
      </c>
      <c r="AK106" s="4094"/>
      <c r="AL106" s="4094"/>
      <c r="AM106" s="4094"/>
      <c r="AN106" s="4094"/>
      <c r="AO106" s="4094"/>
      <c r="AP106" s="4082"/>
      <c r="AQ106" s="4094">
        <f>SUM(AQ103:AV104)</f>
        <v>0</v>
      </c>
      <c r="AR106" s="4094"/>
      <c r="AS106" s="4094"/>
      <c r="AT106" s="4094"/>
      <c r="AU106" s="4094"/>
      <c r="AV106" s="4094"/>
      <c r="AW106" s="4094"/>
      <c r="AX106" s="4094"/>
    </row>
    <row r="107" ht="12" hidden="1" customHeight="1" spans="18:50">
      <c r="R107" s="4061"/>
      <c r="S107" s="4061"/>
      <c r="T107" s="4061"/>
      <c r="U107" s="4061"/>
      <c r="V107" s="4061"/>
      <c r="W107" s="4061"/>
      <c r="X107" s="4061"/>
      <c r="Y107" s="4061"/>
      <c r="Z107" s="4061"/>
      <c r="AA107" s="4061"/>
      <c r="AB107" s="4061"/>
      <c r="AC107" s="4060"/>
      <c r="AD107" s="4060"/>
      <c r="AE107" s="4060"/>
      <c r="AF107" s="4060"/>
      <c r="AG107" s="4060"/>
      <c r="AH107" s="4060"/>
      <c r="AI107" s="4060"/>
      <c r="AJ107" s="4097">
        <v>0</v>
      </c>
      <c r="AK107" s="4097"/>
      <c r="AL107" s="4097"/>
      <c r="AM107" s="4097"/>
      <c r="AN107" s="4097"/>
      <c r="AO107" s="4097"/>
      <c r="AP107" s="4082"/>
      <c r="AQ107" s="4097">
        <v>0</v>
      </c>
      <c r="AR107" s="4097"/>
      <c r="AS107" s="4097"/>
      <c r="AT107" s="4097"/>
      <c r="AU107" s="4097"/>
      <c r="AV107" s="4097"/>
      <c r="AW107" s="4082"/>
      <c r="AX107" s="4082"/>
    </row>
    <row r="108" ht="12" hidden="1" spans="2:50">
      <c r="B108" s="5024" t="s">
        <v>597</v>
      </c>
      <c r="R108" s="4067"/>
      <c r="S108" s="4067"/>
      <c r="T108" s="4067"/>
      <c r="U108" s="4067"/>
      <c r="V108" s="4067"/>
      <c r="W108" s="4067"/>
      <c r="X108" s="4067"/>
      <c r="Y108" s="4067"/>
      <c r="Z108" s="4067"/>
      <c r="AA108" s="4067"/>
      <c r="AB108" s="4067"/>
      <c r="AC108" s="4060"/>
      <c r="AD108" s="4060"/>
      <c r="AE108" s="4060"/>
      <c r="AF108" s="4060"/>
      <c r="AG108" s="4060"/>
      <c r="AH108" s="4060"/>
      <c r="AI108" s="4060"/>
      <c r="AJ108" s="4094">
        <f>AJ100+AJ106</f>
        <v>-20106591570.6275</v>
      </c>
      <c r="AK108" s="4094"/>
      <c r="AL108" s="4094"/>
      <c r="AM108" s="4094"/>
      <c r="AN108" s="4094"/>
      <c r="AO108" s="4094"/>
      <c r="AP108" s="4094"/>
      <c r="AQ108" s="4094">
        <f>AQ100-AQ106</f>
        <v>-1911175383.4</v>
      </c>
      <c r="AR108" s="4094"/>
      <c r="AS108" s="4094"/>
      <c r="AT108" s="4094"/>
      <c r="AU108" s="4094"/>
      <c r="AV108" s="4094"/>
      <c r="AW108" s="4094"/>
      <c r="AX108" s="4094"/>
    </row>
    <row r="109" hidden="1" spans="18:50">
      <c r="R109" s="4067"/>
      <c r="S109" s="4067"/>
      <c r="T109" s="4067"/>
      <c r="U109" s="4067"/>
      <c r="V109" s="4067"/>
      <c r="W109" s="4067"/>
      <c r="X109" s="4067"/>
      <c r="Y109" s="4067"/>
      <c r="Z109" s="4067"/>
      <c r="AA109" s="4067"/>
      <c r="AB109" s="4067"/>
      <c r="AC109" s="4060"/>
      <c r="AD109" s="4060"/>
      <c r="AE109" s="4060"/>
      <c r="AF109" s="4060"/>
      <c r="AG109" s="4060"/>
      <c r="AH109" s="4060"/>
      <c r="AI109" s="4060"/>
      <c r="AJ109" s="4082"/>
      <c r="AK109" s="4082"/>
      <c r="AL109" s="4082"/>
      <c r="AM109" s="4082"/>
      <c r="AN109" s="4082"/>
      <c r="AO109" s="4082"/>
      <c r="AP109" s="4082"/>
      <c r="AQ109" s="4082"/>
      <c r="AR109" s="4082"/>
      <c r="AS109" s="4082"/>
      <c r="AT109" s="4082"/>
      <c r="AU109" s="4082"/>
      <c r="AV109" s="4082"/>
      <c r="AW109" s="4082"/>
      <c r="AX109" s="4082"/>
    </row>
    <row r="110" ht="12" hidden="1" spans="2:50">
      <c r="B110" s="5024" t="s">
        <v>598</v>
      </c>
      <c r="R110" s="4067"/>
      <c r="S110" s="4067"/>
      <c r="T110" s="4067"/>
      <c r="U110" s="4067"/>
      <c r="V110" s="4067"/>
      <c r="W110" s="4067"/>
      <c r="X110" s="4067"/>
      <c r="Y110" s="4067"/>
      <c r="Z110" s="4067"/>
      <c r="AA110" s="4067"/>
      <c r="AB110" s="4067"/>
      <c r="AC110" s="4060"/>
      <c r="AD110" s="4060"/>
      <c r="AE110" s="4060"/>
      <c r="AF110" s="4060"/>
      <c r="AG110" s="4060"/>
      <c r="AH110" s="4060"/>
      <c r="AI110" s="4060"/>
      <c r="AJ110" s="4082">
        <f>'[71]F3'!K39</f>
        <v>0</v>
      </c>
      <c r="AK110" s="4082"/>
      <c r="AL110" s="4082"/>
      <c r="AM110" s="4082"/>
      <c r="AN110" s="4082"/>
      <c r="AO110" s="4082"/>
      <c r="AP110" s="4082"/>
      <c r="AQ110" s="4082">
        <f>'[71]F3'!L39</f>
        <v>0</v>
      </c>
      <c r="AR110" s="4082"/>
      <c r="AS110" s="4082"/>
      <c r="AT110" s="4082"/>
      <c r="AU110" s="4082"/>
      <c r="AV110" s="4082"/>
      <c r="AW110" s="4082"/>
      <c r="AX110" s="4082"/>
    </row>
    <row r="111" ht="12" hidden="1" customHeight="1" spans="18:50">
      <c r="R111" s="4067"/>
      <c r="S111" s="4067"/>
      <c r="T111" s="4067"/>
      <c r="U111" s="4067"/>
      <c r="V111" s="4067"/>
      <c r="W111" s="4067"/>
      <c r="X111" s="4067"/>
      <c r="Y111" s="4067"/>
      <c r="Z111" s="4067"/>
      <c r="AA111" s="4067"/>
      <c r="AB111" s="4067"/>
      <c r="AC111" s="4060"/>
      <c r="AD111" s="4060"/>
      <c r="AE111" s="4060"/>
      <c r="AF111" s="4060"/>
      <c r="AG111" s="4060"/>
      <c r="AH111" s="4060"/>
      <c r="AI111" s="4060"/>
      <c r="AJ111" s="4082"/>
      <c r="AK111" s="4082"/>
      <c r="AL111" s="4082"/>
      <c r="AM111" s="4082"/>
      <c r="AN111" s="4082"/>
      <c r="AO111" s="4082"/>
      <c r="AP111" s="4082"/>
      <c r="AQ111" s="4082"/>
      <c r="AR111" s="4082"/>
      <c r="AS111" s="4082"/>
      <c r="AT111" s="4082"/>
      <c r="AU111" s="4082"/>
      <c r="AV111" s="4082"/>
      <c r="AW111" s="4082"/>
      <c r="AX111" s="4082"/>
    </row>
    <row r="112" ht="12.75" hidden="1" spans="2:51">
      <c r="B112" s="5024" t="s">
        <v>599</v>
      </c>
      <c r="R112" s="4067"/>
      <c r="S112" s="4067"/>
      <c r="T112" s="4067"/>
      <c r="U112" s="4067"/>
      <c r="V112" s="4067"/>
      <c r="W112" s="4067"/>
      <c r="X112" s="4067"/>
      <c r="Y112" s="4067"/>
      <c r="Z112" s="4067"/>
      <c r="AA112" s="4067"/>
      <c r="AB112" s="4067"/>
      <c r="AC112" s="4060"/>
      <c r="AD112" s="4060"/>
      <c r="AE112" s="4060"/>
      <c r="AF112" s="4060"/>
      <c r="AG112" s="4060"/>
      <c r="AH112" s="4060"/>
      <c r="AI112" s="4060"/>
      <c r="AJ112" s="4100">
        <f>AJ108+AJ110</f>
        <v>-20106591570.6275</v>
      </c>
      <c r="AK112" s="4100"/>
      <c r="AL112" s="4100"/>
      <c r="AM112" s="4100"/>
      <c r="AN112" s="4100"/>
      <c r="AO112" s="4100"/>
      <c r="AP112" s="4083"/>
      <c r="AQ112" s="4100">
        <f>AQ108+AQ110</f>
        <v>-1911175383.4</v>
      </c>
      <c r="AR112" s="4100"/>
      <c r="AS112" s="4100"/>
      <c r="AT112" s="4100"/>
      <c r="AU112" s="4100"/>
      <c r="AV112" s="4100"/>
      <c r="AW112" s="4083"/>
      <c r="AX112" s="4083">
        <f>[72]PL!$N$118</f>
        <v>-23154997793.86</v>
      </c>
      <c r="AY112" s="3606">
        <f>AX112-AJ112</f>
        <v>-3048406223.2325</v>
      </c>
    </row>
    <row r="113" ht="12.75" hidden="1" spans="2:35">
      <c r="B113" s="3607"/>
      <c r="R113" s="4067"/>
      <c r="S113" s="4067"/>
      <c r="T113" s="4067"/>
      <c r="U113" s="4067"/>
      <c r="V113" s="4067"/>
      <c r="W113" s="4067"/>
      <c r="X113" s="4067"/>
      <c r="Y113" s="4067"/>
      <c r="Z113" s="4067"/>
      <c r="AA113" s="4067"/>
      <c r="AB113" s="4067"/>
      <c r="AC113" s="4060"/>
      <c r="AD113" s="4060"/>
      <c r="AE113" s="4060"/>
      <c r="AF113" s="4060"/>
      <c r="AG113" s="4060"/>
      <c r="AH113" s="4060"/>
      <c r="AI113" s="4060"/>
    </row>
    <row r="114" hidden="1" spans="18:50">
      <c r="R114" s="4067"/>
      <c r="S114" s="4067"/>
      <c r="T114" s="4067"/>
      <c r="U114" s="4067"/>
      <c r="V114" s="4067"/>
      <c r="W114" s="4067"/>
      <c r="X114" s="4067"/>
      <c r="Y114" s="4067"/>
      <c r="Z114" s="4067"/>
      <c r="AA114" s="4067"/>
      <c r="AB114" s="4067"/>
      <c r="AC114" s="4060"/>
      <c r="AD114" s="4060"/>
      <c r="AE114" s="4060"/>
      <c r="AF114" s="4060"/>
      <c r="AG114" s="4060"/>
      <c r="AH114" s="4060"/>
      <c r="AI114" s="4060"/>
      <c r="AJ114" s="4081"/>
      <c r="AK114" s="4081"/>
      <c r="AL114" s="4081"/>
      <c r="AM114" s="4081"/>
      <c r="AN114" s="4081"/>
      <c r="AO114" s="4081"/>
      <c r="AP114" s="4081"/>
      <c r="AQ114" s="4081"/>
      <c r="AR114" s="4081"/>
      <c r="AS114" s="4081"/>
      <c r="AT114" s="4081"/>
      <c r="AU114" s="4081"/>
      <c r="AV114" s="4081"/>
      <c r="AW114" s="4081"/>
      <c r="AX114" s="4081"/>
    </row>
    <row r="115" hidden="1" spans="18:50">
      <c r="R115" s="4061"/>
      <c r="S115" s="4061"/>
      <c r="T115" s="4061"/>
      <c r="U115" s="4061"/>
      <c r="V115" s="4061"/>
      <c r="W115" s="4061"/>
      <c r="X115" s="4061"/>
      <c r="Y115" s="4061"/>
      <c r="Z115" s="4061"/>
      <c r="AA115" s="4061"/>
      <c r="AB115" s="4061"/>
      <c r="AC115" s="4060"/>
      <c r="AD115" s="4060"/>
      <c r="AE115" s="4060"/>
      <c r="AF115" s="4060"/>
      <c r="AG115" s="4060"/>
      <c r="AH115" s="4060"/>
      <c r="AI115" s="4060"/>
      <c r="AJ115" s="4081"/>
      <c r="AK115" s="4081"/>
      <c r="AL115" s="4081"/>
      <c r="AM115" s="4081"/>
      <c r="AN115" s="4081"/>
      <c r="AO115" s="4081"/>
      <c r="AP115" s="4081"/>
      <c r="AQ115" s="4081"/>
      <c r="AR115" s="4081"/>
      <c r="AS115" s="4081"/>
      <c r="AT115" s="4081"/>
      <c r="AU115" s="4081"/>
      <c r="AV115" s="4081"/>
      <c r="AW115" s="4081"/>
      <c r="AX115" s="4081"/>
    </row>
    <row r="116" hidden="1" spans="18:50">
      <c r="R116" s="4061"/>
      <c r="S116" s="4061"/>
      <c r="T116" s="4061"/>
      <c r="U116" s="4061"/>
      <c r="V116" s="4061"/>
      <c r="W116" s="4061"/>
      <c r="X116" s="4061"/>
      <c r="Y116" s="4061"/>
      <c r="Z116" s="4061"/>
      <c r="AA116" s="4061"/>
      <c r="AB116" s="4061"/>
      <c r="AC116" s="4060"/>
      <c r="AD116" s="4060"/>
      <c r="AE116" s="4060"/>
      <c r="AF116" s="4060"/>
      <c r="AG116" s="4060"/>
      <c r="AH116" s="4060"/>
      <c r="AI116" s="4060"/>
      <c r="AJ116" s="4081"/>
      <c r="AK116" s="4081"/>
      <c r="AL116" s="4081"/>
      <c r="AM116" s="4081"/>
      <c r="AN116" s="4081"/>
      <c r="AO116" s="4081"/>
      <c r="AP116" s="4081"/>
      <c r="AQ116" s="4081"/>
      <c r="AR116" s="4081"/>
      <c r="AS116" s="4081"/>
      <c r="AT116" s="4081"/>
      <c r="AU116" s="4081"/>
      <c r="AV116" s="4081"/>
      <c r="AW116" s="4081"/>
      <c r="AX116" s="4081"/>
    </row>
    <row r="117" hidden="1" spans="18:50">
      <c r="R117" s="4109"/>
      <c r="S117" s="4109"/>
      <c r="T117" s="4109"/>
      <c r="U117" s="4109"/>
      <c r="V117" s="4109"/>
      <c r="W117" s="4109"/>
      <c r="X117" s="4109"/>
      <c r="Y117" s="4109"/>
      <c r="Z117" s="4109"/>
      <c r="AA117" s="4109"/>
      <c r="AB117" s="4109"/>
      <c r="AC117" s="4060"/>
      <c r="AD117" s="4060"/>
      <c r="AE117" s="4060"/>
      <c r="AF117" s="4060"/>
      <c r="AG117" s="4060"/>
      <c r="AH117" s="4060"/>
      <c r="AI117" s="4060"/>
      <c r="AJ117" s="4081"/>
      <c r="AK117" s="4081"/>
      <c r="AL117" s="4081"/>
      <c r="AM117" s="4081"/>
      <c r="AN117" s="4081"/>
      <c r="AO117" s="4081"/>
      <c r="AP117" s="4081"/>
      <c r="AQ117" s="4081"/>
      <c r="AR117" s="4081"/>
      <c r="AS117" s="4081"/>
      <c r="AT117" s="4081"/>
      <c r="AU117" s="4081"/>
      <c r="AV117" s="4081"/>
      <c r="AW117" s="4081"/>
      <c r="AX117" s="4081"/>
    </row>
    <row r="118" hidden="1" spans="18:50">
      <c r="R118" s="4109"/>
      <c r="S118" s="4109"/>
      <c r="T118" s="4109"/>
      <c r="U118" s="4109"/>
      <c r="V118" s="4109"/>
      <c r="W118" s="4109"/>
      <c r="X118" s="4109"/>
      <c r="Y118" s="4109"/>
      <c r="Z118" s="4109"/>
      <c r="AA118" s="4109"/>
      <c r="AB118" s="4109"/>
      <c r="AC118" s="4060"/>
      <c r="AD118" s="4060"/>
      <c r="AE118" s="4060"/>
      <c r="AF118" s="4060"/>
      <c r="AG118" s="4060"/>
      <c r="AH118" s="4060"/>
      <c r="AI118" s="4060"/>
      <c r="AJ118" s="4081"/>
      <c r="AK118" s="4081"/>
      <c r="AL118" s="4081"/>
      <c r="AM118" s="4081"/>
      <c r="AN118" s="4081"/>
      <c r="AO118" s="4081"/>
      <c r="AP118" s="4081"/>
      <c r="AQ118" s="4081"/>
      <c r="AR118" s="4081"/>
      <c r="AS118" s="4081"/>
      <c r="AT118" s="4081"/>
      <c r="AU118" s="4081"/>
      <c r="AV118" s="4081"/>
      <c r="AW118" s="4081"/>
      <c r="AX118" s="4081"/>
    </row>
    <row r="119" hidden="1" spans="18:50">
      <c r="R119" s="4109"/>
      <c r="S119" s="4109"/>
      <c r="T119" s="4109"/>
      <c r="U119" s="4109"/>
      <c r="V119" s="4109"/>
      <c r="W119" s="4109"/>
      <c r="X119" s="4109"/>
      <c r="Y119" s="4109"/>
      <c r="Z119" s="4109"/>
      <c r="AA119" s="4109"/>
      <c r="AB119" s="4109"/>
      <c r="AC119" s="4060"/>
      <c r="AD119" s="4060"/>
      <c r="AE119" s="4060"/>
      <c r="AF119" s="4060"/>
      <c r="AG119" s="4060"/>
      <c r="AH119" s="4060"/>
      <c r="AI119" s="4060"/>
      <c r="AJ119" s="4081"/>
      <c r="AK119" s="4081"/>
      <c r="AL119" s="4081"/>
      <c r="AM119" s="4081"/>
      <c r="AN119" s="4081"/>
      <c r="AO119" s="4081"/>
      <c r="AP119" s="4081"/>
      <c r="AQ119" s="4081"/>
      <c r="AR119" s="4081"/>
      <c r="AS119" s="4081"/>
      <c r="AT119" s="4081"/>
      <c r="AU119" s="4081"/>
      <c r="AV119" s="4081"/>
      <c r="AW119" s="4081"/>
      <c r="AX119" s="4081"/>
    </row>
    <row r="120" hidden="1" spans="18:50">
      <c r="R120" s="4109"/>
      <c r="S120" s="4109"/>
      <c r="T120" s="4109"/>
      <c r="U120" s="4109"/>
      <c r="V120" s="4109"/>
      <c r="W120" s="4109"/>
      <c r="X120" s="4109"/>
      <c r="Y120" s="4109"/>
      <c r="Z120" s="4109"/>
      <c r="AA120" s="4109"/>
      <c r="AB120" s="4109"/>
      <c r="AC120" s="4060"/>
      <c r="AD120" s="4060"/>
      <c r="AE120" s="4060"/>
      <c r="AF120" s="4060"/>
      <c r="AG120" s="4060"/>
      <c r="AH120" s="4060"/>
      <c r="AI120" s="4060"/>
      <c r="AJ120" s="4081"/>
      <c r="AK120" s="4081"/>
      <c r="AL120" s="4081"/>
      <c r="AM120" s="4081"/>
      <c r="AN120" s="4081"/>
      <c r="AO120" s="4081"/>
      <c r="AP120" s="4081"/>
      <c r="AQ120" s="4081"/>
      <c r="AR120" s="4081"/>
      <c r="AS120" s="4081"/>
      <c r="AT120" s="4081"/>
      <c r="AU120" s="4081"/>
      <c r="AV120" s="4081"/>
      <c r="AW120" s="4081"/>
      <c r="AX120" s="4081"/>
    </row>
    <row r="121" hidden="1" spans="18:50">
      <c r="R121" s="4109"/>
      <c r="S121" s="4109"/>
      <c r="T121" s="4109"/>
      <c r="U121" s="4109"/>
      <c r="V121" s="4109"/>
      <c r="W121" s="4109"/>
      <c r="X121" s="4109"/>
      <c r="Y121" s="4109"/>
      <c r="Z121" s="4109"/>
      <c r="AA121" s="4109"/>
      <c r="AB121" s="4109"/>
      <c r="AC121" s="4060"/>
      <c r="AD121" s="4060"/>
      <c r="AE121" s="4060"/>
      <c r="AF121" s="4060"/>
      <c r="AG121" s="4060"/>
      <c r="AH121" s="4060"/>
      <c r="AI121" s="4060"/>
      <c r="AJ121" s="4081"/>
      <c r="AK121" s="4081"/>
      <c r="AL121" s="4081"/>
      <c r="AM121" s="4081"/>
      <c r="AN121" s="4081"/>
      <c r="AO121" s="4081"/>
      <c r="AP121" s="4081"/>
      <c r="AQ121" s="4081"/>
      <c r="AR121" s="4081"/>
      <c r="AS121" s="4081"/>
      <c r="AT121" s="4081"/>
      <c r="AU121" s="4081"/>
      <c r="AV121" s="4081"/>
      <c r="AW121" s="4081"/>
      <c r="AX121" s="4081"/>
    </row>
    <row r="122" hidden="1" spans="18:50">
      <c r="R122" s="4109"/>
      <c r="S122" s="4109"/>
      <c r="T122" s="4109"/>
      <c r="U122" s="4109"/>
      <c r="V122" s="4109"/>
      <c r="W122" s="4109"/>
      <c r="X122" s="4109"/>
      <c r="Y122" s="4109"/>
      <c r="Z122" s="4109"/>
      <c r="AA122" s="4109"/>
      <c r="AB122" s="4109"/>
      <c r="AC122" s="4060"/>
      <c r="AD122" s="4060"/>
      <c r="AE122" s="4060"/>
      <c r="AF122" s="4060"/>
      <c r="AG122" s="4060"/>
      <c r="AH122" s="4060"/>
      <c r="AI122" s="4060"/>
      <c r="AJ122" s="4081"/>
      <c r="AK122" s="4081"/>
      <c r="AL122" s="4081"/>
      <c r="AM122" s="4081"/>
      <c r="AN122" s="4081"/>
      <c r="AO122" s="4081"/>
      <c r="AP122" s="4081"/>
      <c r="AQ122" s="4081"/>
      <c r="AR122" s="4081"/>
      <c r="AS122" s="4081"/>
      <c r="AT122" s="4081"/>
      <c r="AU122" s="4081"/>
      <c r="AV122" s="4081"/>
      <c r="AW122" s="4081"/>
      <c r="AX122" s="4081"/>
    </row>
    <row r="123" hidden="1" spans="18:50">
      <c r="R123" s="4109"/>
      <c r="S123" s="4109"/>
      <c r="T123" s="4109"/>
      <c r="U123" s="4109"/>
      <c r="V123" s="4109"/>
      <c r="W123" s="4109"/>
      <c r="X123" s="4109"/>
      <c r="Y123" s="4109"/>
      <c r="Z123" s="4109"/>
      <c r="AA123" s="4109"/>
      <c r="AB123" s="4109"/>
      <c r="AC123" s="4060"/>
      <c r="AD123" s="4060"/>
      <c r="AE123" s="4060"/>
      <c r="AF123" s="4060"/>
      <c r="AG123" s="4060"/>
      <c r="AH123" s="4060"/>
      <c r="AI123" s="4060"/>
      <c r="AJ123" s="4081"/>
      <c r="AK123" s="4081"/>
      <c r="AL123" s="4081"/>
      <c r="AM123" s="4081"/>
      <c r="AN123" s="4081"/>
      <c r="AO123" s="4081"/>
      <c r="AP123" s="4081"/>
      <c r="AQ123" s="4081"/>
      <c r="AR123" s="4081"/>
      <c r="AS123" s="4081"/>
      <c r="AT123" s="4081"/>
      <c r="AU123" s="4081"/>
      <c r="AV123" s="4081"/>
      <c r="AW123" s="4081"/>
      <c r="AX123" s="4081"/>
    </row>
    <row r="124" hidden="1" spans="18:50">
      <c r="R124" s="4109"/>
      <c r="S124" s="4109"/>
      <c r="T124" s="4109"/>
      <c r="U124" s="4109"/>
      <c r="V124" s="4109"/>
      <c r="W124" s="4109"/>
      <c r="X124" s="4109"/>
      <c r="Y124" s="4109"/>
      <c r="Z124" s="4109"/>
      <c r="AA124" s="4109"/>
      <c r="AB124" s="4109"/>
      <c r="AC124" s="4060"/>
      <c r="AD124" s="4060"/>
      <c r="AE124" s="4060"/>
      <c r="AF124" s="4060"/>
      <c r="AG124" s="4060"/>
      <c r="AH124" s="4060"/>
      <c r="AI124" s="4060"/>
      <c r="AJ124" s="4081"/>
      <c r="AK124" s="4081"/>
      <c r="AL124" s="4081"/>
      <c r="AM124" s="4081"/>
      <c r="AN124" s="4081"/>
      <c r="AO124" s="4081"/>
      <c r="AP124" s="4081"/>
      <c r="AQ124" s="4081"/>
      <c r="AR124" s="4081"/>
      <c r="AS124" s="4081"/>
      <c r="AT124" s="4081"/>
      <c r="AU124" s="4081"/>
      <c r="AV124" s="4081"/>
      <c r="AW124" s="4081"/>
      <c r="AX124" s="4081"/>
    </row>
    <row r="125" hidden="1" spans="18:50">
      <c r="R125" s="4109"/>
      <c r="S125" s="4109"/>
      <c r="T125" s="4109"/>
      <c r="U125" s="4109"/>
      <c r="V125" s="4109"/>
      <c r="W125" s="4109"/>
      <c r="X125" s="4109"/>
      <c r="Y125" s="4109"/>
      <c r="Z125" s="4109"/>
      <c r="AA125" s="4109"/>
      <c r="AB125" s="4109"/>
      <c r="AC125" s="4060"/>
      <c r="AD125" s="4060"/>
      <c r="AE125" s="4060"/>
      <c r="AF125" s="4060"/>
      <c r="AG125" s="4060"/>
      <c r="AH125" s="4060"/>
      <c r="AI125" s="4060"/>
      <c r="AJ125" s="4081"/>
      <c r="AK125" s="4081"/>
      <c r="AL125" s="4081"/>
      <c r="AM125" s="4081"/>
      <c r="AN125" s="4081"/>
      <c r="AO125" s="4081"/>
      <c r="AP125" s="4081"/>
      <c r="AQ125" s="4081"/>
      <c r="AR125" s="4081"/>
      <c r="AS125" s="4081"/>
      <c r="AT125" s="4081"/>
      <c r="AU125" s="4081"/>
      <c r="AV125" s="4081"/>
      <c r="AW125" s="4081"/>
      <c r="AX125" s="4081"/>
    </row>
    <row r="126" hidden="1" spans="18:50">
      <c r="R126" s="4109"/>
      <c r="S126" s="4109"/>
      <c r="T126" s="4109"/>
      <c r="U126" s="4109"/>
      <c r="V126" s="4109"/>
      <c r="W126" s="4109"/>
      <c r="X126" s="4109"/>
      <c r="Y126" s="4109"/>
      <c r="Z126" s="4109"/>
      <c r="AA126" s="4109"/>
      <c r="AB126" s="4109"/>
      <c r="AC126" s="4060"/>
      <c r="AD126" s="4060"/>
      <c r="AE126" s="4060"/>
      <c r="AF126" s="4060"/>
      <c r="AG126" s="4060"/>
      <c r="AH126" s="4060"/>
      <c r="AI126" s="4060"/>
      <c r="AJ126" s="4081"/>
      <c r="AK126" s="4081"/>
      <c r="AL126" s="4081"/>
      <c r="AM126" s="4081"/>
      <c r="AN126" s="4081"/>
      <c r="AO126" s="4081"/>
      <c r="AP126" s="4081"/>
      <c r="AQ126" s="4081"/>
      <c r="AR126" s="4081"/>
      <c r="AS126" s="4081"/>
      <c r="AT126" s="4081"/>
      <c r="AU126" s="4081"/>
      <c r="AV126" s="4081"/>
      <c r="AW126" s="4081"/>
      <c r="AX126" s="4081"/>
    </row>
    <row r="127" hidden="1" spans="18:50">
      <c r="R127" s="4109"/>
      <c r="S127" s="4109"/>
      <c r="T127" s="4109"/>
      <c r="U127" s="4109"/>
      <c r="V127" s="4109"/>
      <c r="W127" s="4109"/>
      <c r="X127" s="4109"/>
      <c r="Y127" s="4109"/>
      <c r="Z127" s="4109"/>
      <c r="AA127" s="4109"/>
      <c r="AB127" s="4109"/>
      <c r="AC127" s="4060"/>
      <c r="AD127" s="4060"/>
      <c r="AE127" s="4060"/>
      <c r="AF127" s="4060"/>
      <c r="AG127" s="4060"/>
      <c r="AH127" s="4060"/>
      <c r="AI127" s="4060"/>
      <c r="AJ127" s="4081"/>
      <c r="AK127" s="4081"/>
      <c r="AL127" s="4081"/>
      <c r="AM127" s="4081"/>
      <c r="AN127" s="4081"/>
      <c r="AO127" s="4081"/>
      <c r="AP127" s="4081"/>
      <c r="AQ127" s="4081"/>
      <c r="AR127" s="4081"/>
      <c r="AS127" s="4081"/>
      <c r="AT127" s="4081"/>
      <c r="AU127" s="4081"/>
      <c r="AV127" s="4081"/>
      <c r="AW127" s="4081"/>
      <c r="AX127" s="4081"/>
    </row>
    <row r="128" hidden="1" spans="18:50">
      <c r="R128" s="4109"/>
      <c r="S128" s="4109"/>
      <c r="T128" s="4109"/>
      <c r="U128" s="4109"/>
      <c r="V128" s="4109"/>
      <c r="W128" s="4109"/>
      <c r="X128" s="4109"/>
      <c r="Y128" s="4109"/>
      <c r="Z128" s="4109"/>
      <c r="AA128" s="4109"/>
      <c r="AB128" s="4109"/>
      <c r="AC128" s="4060"/>
      <c r="AD128" s="4060"/>
      <c r="AE128" s="4060"/>
      <c r="AF128" s="4060"/>
      <c r="AG128" s="4060"/>
      <c r="AH128" s="4060"/>
      <c r="AI128" s="4060"/>
      <c r="AJ128" s="4081"/>
      <c r="AK128" s="4081"/>
      <c r="AL128" s="4081"/>
      <c r="AM128" s="4081"/>
      <c r="AN128" s="4081"/>
      <c r="AO128" s="4081"/>
      <c r="AP128" s="4081"/>
      <c r="AQ128" s="4081"/>
      <c r="AR128" s="4081"/>
      <c r="AS128" s="4081"/>
      <c r="AT128" s="4081"/>
      <c r="AU128" s="4081"/>
      <c r="AV128" s="4081"/>
      <c r="AW128" s="4081"/>
      <c r="AX128" s="4081"/>
    </row>
    <row r="129" hidden="1" spans="18:50">
      <c r="R129" s="4109"/>
      <c r="S129" s="4109"/>
      <c r="T129" s="4109"/>
      <c r="U129" s="4109"/>
      <c r="V129" s="4109"/>
      <c r="W129" s="4109"/>
      <c r="X129" s="4109"/>
      <c r="Y129" s="4109"/>
      <c r="Z129" s="4109"/>
      <c r="AA129" s="4109"/>
      <c r="AB129" s="4109"/>
      <c r="AC129" s="4060"/>
      <c r="AD129" s="4060"/>
      <c r="AE129" s="4060"/>
      <c r="AF129" s="4060"/>
      <c r="AG129" s="4060"/>
      <c r="AH129" s="4060"/>
      <c r="AI129" s="4060"/>
      <c r="AJ129" s="4081"/>
      <c r="AK129" s="4081"/>
      <c r="AL129" s="4081"/>
      <c r="AM129" s="4081"/>
      <c r="AN129" s="4081"/>
      <c r="AO129" s="4081"/>
      <c r="AP129" s="4081"/>
      <c r="AQ129" s="4081"/>
      <c r="AR129" s="4081"/>
      <c r="AS129" s="4081"/>
      <c r="AT129" s="4081"/>
      <c r="AU129" s="4081"/>
      <c r="AV129" s="4081"/>
      <c r="AW129" s="4081"/>
      <c r="AX129" s="4081"/>
    </row>
    <row r="130" hidden="1" spans="2:50">
      <c r="B130" s="3609">
        <f>B66</f>
        <v>0</v>
      </c>
      <c r="R130" s="4109"/>
      <c r="S130" s="4109"/>
      <c r="T130" s="4109"/>
      <c r="U130" s="4109"/>
      <c r="V130" s="4109"/>
      <c r="W130" s="4109"/>
      <c r="X130" s="4109"/>
      <c r="Y130" s="4109"/>
      <c r="Z130" s="4109"/>
      <c r="AA130" s="4109"/>
      <c r="AB130" s="4109"/>
      <c r="AC130" s="4060"/>
      <c r="AD130" s="4060"/>
      <c r="AE130" s="4060"/>
      <c r="AF130" s="4060"/>
      <c r="AG130" s="4060"/>
      <c r="AH130" s="4060"/>
      <c r="AI130" s="4060"/>
      <c r="AJ130" s="4081"/>
      <c r="AK130" s="4081"/>
      <c r="AL130" s="4081"/>
      <c r="AM130" s="4081"/>
      <c r="AN130" s="4081"/>
      <c r="AO130" s="4081"/>
      <c r="AP130" s="4081"/>
      <c r="AQ130" s="4081"/>
      <c r="AR130" s="4081"/>
      <c r="AS130" s="4081"/>
      <c r="AT130" s="4081"/>
      <c r="AU130" s="4081"/>
      <c r="AV130" s="4081"/>
      <c r="AW130" s="4081"/>
      <c r="AX130" s="4081"/>
    </row>
    <row r="131" hidden="1" spans="2:50">
      <c r="B131" s="3609"/>
      <c r="R131" s="4109"/>
      <c r="S131" s="4109"/>
      <c r="T131" s="4109"/>
      <c r="U131" s="4109"/>
      <c r="V131" s="4109"/>
      <c r="W131" s="4109"/>
      <c r="X131" s="4109"/>
      <c r="Y131" s="4109"/>
      <c r="Z131" s="4109"/>
      <c r="AA131" s="4109"/>
      <c r="AB131" s="4109"/>
      <c r="AC131" s="4060"/>
      <c r="AD131" s="4060"/>
      <c r="AE131" s="4060"/>
      <c r="AF131" s="4060"/>
      <c r="AG131" s="4060"/>
      <c r="AH131" s="4060"/>
      <c r="AI131" s="4060"/>
      <c r="AJ131" s="4081"/>
      <c r="AK131" s="4081"/>
      <c r="AL131" s="4081"/>
      <c r="AM131" s="4081"/>
      <c r="AN131" s="4081"/>
      <c r="AO131" s="4081"/>
      <c r="AP131" s="4081"/>
      <c r="AQ131" s="4081"/>
      <c r="AR131" s="4081"/>
      <c r="AS131" s="4081"/>
      <c r="AT131" s="4081"/>
      <c r="AU131" s="4081"/>
      <c r="AV131" s="4081"/>
      <c r="AW131" s="4081"/>
      <c r="AX131" s="4081"/>
    </row>
    <row r="132" hidden="1" spans="2:50">
      <c r="B132" s="3609"/>
      <c r="R132" s="4109"/>
      <c r="S132" s="4109"/>
      <c r="T132" s="4109"/>
      <c r="U132" s="4109"/>
      <c r="V132" s="4109"/>
      <c r="W132" s="4109"/>
      <c r="X132" s="4109"/>
      <c r="Y132" s="4109"/>
      <c r="Z132" s="4109"/>
      <c r="AA132" s="4109"/>
      <c r="AB132" s="4109"/>
      <c r="AC132" s="4060"/>
      <c r="AD132" s="4060"/>
      <c r="AE132" s="4060"/>
      <c r="AF132" s="4060"/>
      <c r="AG132" s="4060"/>
      <c r="AH132" s="4060"/>
      <c r="AI132" s="4060"/>
      <c r="AJ132" s="4081"/>
      <c r="AK132" s="4081"/>
      <c r="AL132" s="4081"/>
      <c r="AM132" s="4081"/>
      <c r="AN132" s="4081"/>
      <c r="AO132" s="4081"/>
      <c r="AP132" s="4081"/>
      <c r="AQ132" s="4081"/>
      <c r="AR132" s="4081"/>
      <c r="AS132" s="4081"/>
      <c r="AT132" s="4081"/>
      <c r="AU132" s="4081"/>
      <c r="AV132" s="4081"/>
      <c r="AW132" s="4081"/>
      <c r="AX132" s="4081"/>
    </row>
    <row r="133" hidden="1" spans="2:50">
      <c r="B133" s="3609"/>
      <c r="R133" s="4109"/>
      <c r="S133" s="4109"/>
      <c r="T133" s="4109"/>
      <c r="U133" s="4109"/>
      <c r="V133" s="4109"/>
      <c r="W133" s="4109"/>
      <c r="X133" s="4109"/>
      <c r="Y133" s="4109"/>
      <c r="Z133" s="4109"/>
      <c r="AA133" s="4109"/>
      <c r="AB133" s="4109"/>
      <c r="AC133" s="4060"/>
      <c r="AD133" s="4060"/>
      <c r="AE133" s="4060"/>
      <c r="AF133" s="4060"/>
      <c r="AG133" s="4060"/>
      <c r="AH133" s="4060"/>
      <c r="AI133" s="4060"/>
      <c r="AJ133" s="4081"/>
      <c r="AK133" s="4081"/>
      <c r="AL133" s="4081"/>
      <c r="AM133" s="4081"/>
      <c r="AN133" s="4081"/>
      <c r="AO133" s="4081"/>
      <c r="AP133" s="4081"/>
      <c r="AQ133" s="4081"/>
      <c r="AR133" s="4081"/>
      <c r="AS133" s="4081"/>
      <c r="AT133" s="4081"/>
      <c r="AU133" s="4081"/>
      <c r="AV133" s="4081"/>
      <c r="AW133" s="4081"/>
      <c r="AX133" s="4081"/>
    </row>
    <row r="134" hidden="1" spans="18:50">
      <c r="R134" s="4109"/>
      <c r="S134" s="4109"/>
      <c r="T134" s="4109"/>
      <c r="U134" s="4109"/>
      <c r="V134" s="4109"/>
      <c r="W134" s="4109"/>
      <c r="X134" s="4109"/>
      <c r="Y134" s="4109"/>
      <c r="Z134" s="4109"/>
      <c r="AA134" s="4109"/>
      <c r="AB134" s="4109"/>
      <c r="AC134" s="4060"/>
      <c r="AD134" s="4060"/>
      <c r="AE134" s="4060"/>
      <c r="AF134" s="4060"/>
      <c r="AG134" s="4060"/>
      <c r="AH134" s="4060"/>
      <c r="AI134" s="4060"/>
      <c r="AJ134" s="4081"/>
      <c r="AK134" s="4081"/>
      <c r="AL134" s="4081"/>
      <c r="AM134" s="4081"/>
      <c r="AN134" s="4081"/>
      <c r="AO134" s="4081"/>
      <c r="AP134" s="4081"/>
      <c r="AQ134" s="4081"/>
      <c r="AR134" s="4081"/>
      <c r="AS134" s="4081"/>
      <c r="AT134" s="4081"/>
      <c r="AU134" s="4081"/>
      <c r="AV134" s="4081"/>
      <c r="AW134" s="4081"/>
      <c r="AX134" s="4081"/>
    </row>
    <row r="135" hidden="1" spans="18:50">
      <c r="R135" s="4109"/>
      <c r="S135" s="4109"/>
      <c r="T135" s="4109"/>
      <c r="U135" s="4109"/>
      <c r="V135" s="4109"/>
      <c r="W135" s="4109"/>
      <c r="X135" s="4109"/>
      <c r="Y135" s="4109"/>
      <c r="Z135" s="4109"/>
      <c r="AA135" s="4109"/>
      <c r="AB135" s="4109"/>
      <c r="AC135" s="4060"/>
      <c r="AD135" s="4060"/>
      <c r="AE135" s="4060"/>
      <c r="AF135" s="4060"/>
      <c r="AG135" s="4060"/>
      <c r="AH135" s="4060"/>
      <c r="AI135" s="4060"/>
      <c r="AJ135" s="4081"/>
      <c r="AK135" s="4081"/>
      <c r="AL135" s="4081"/>
      <c r="AM135" s="4081"/>
      <c r="AN135" s="4081"/>
      <c r="AO135" s="4081"/>
      <c r="AP135" s="4081"/>
      <c r="AQ135" s="4081"/>
      <c r="AR135" s="4081"/>
      <c r="AS135" s="4081"/>
      <c r="AT135" s="4081"/>
      <c r="AU135" s="4081"/>
      <c r="AV135" s="4081"/>
      <c r="AW135" s="4081"/>
      <c r="AX135" s="4081"/>
    </row>
    <row r="136" hidden="1" spans="2:50">
      <c r="B136" s="3609"/>
      <c r="R136" s="4109"/>
      <c r="S136" s="4109"/>
      <c r="T136" s="4109"/>
      <c r="U136" s="4109"/>
      <c r="V136" s="4109"/>
      <c r="W136" s="4109"/>
      <c r="X136" s="4109"/>
      <c r="Y136" s="4109"/>
      <c r="Z136" s="4109"/>
      <c r="AA136" s="4109"/>
      <c r="AB136" s="4109"/>
      <c r="AC136" s="4060"/>
      <c r="AD136" s="4060"/>
      <c r="AE136" s="4060"/>
      <c r="AF136" s="4060"/>
      <c r="AG136" s="4060"/>
      <c r="AH136" s="4060"/>
      <c r="AI136" s="4060"/>
      <c r="AJ136" s="4081"/>
      <c r="AK136" s="4081"/>
      <c r="AL136" s="4081"/>
      <c r="AM136" s="4081"/>
      <c r="AN136" s="4081"/>
      <c r="AO136" s="4081"/>
      <c r="AP136" s="4081"/>
      <c r="AQ136" s="4081"/>
      <c r="AR136" s="4081"/>
      <c r="AS136" s="4081"/>
      <c r="AT136" s="4081"/>
      <c r="AU136" s="4081"/>
      <c r="AV136" s="4081"/>
      <c r="AW136" s="4081"/>
      <c r="AX136" s="4081"/>
    </row>
    <row r="137" hidden="1" spans="2:50">
      <c r="B137" s="3609"/>
      <c r="R137" s="4109"/>
      <c r="S137" s="4109"/>
      <c r="T137" s="4109"/>
      <c r="U137" s="4109"/>
      <c r="V137" s="4109"/>
      <c r="W137" s="4109"/>
      <c r="X137" s="4109"/>
      <c r="Y137" s="4109"/>
      <c r="Z137" s="4109"/>
      <c r="AA137" s="4109"/>
      <c r="AB137" s="4109"/>
      <c r="AC137" s="4060"/>
      <c r="AD137" s="4060"/>
      <c r="AE137" s="4060"/>
      <c r="AF137" s="4060"/>
      <c r="AG137" s="4060"/>
      <c r="AH137" s="4060"/>
      <c r="AI137" s="4060"/>
      <c r="AJ137" s="4081"/>
      <c r="AK137" s="4081"/>
      <c r="AL137" s="4081"/>
      <c r="AM137" s="4081"/>
      <c r="AN137" s="4081"/>
      <c r="AO137" s="4081"/>
      <c r="AP137" s="4081"/>
      <c r="AQ137" s="4081"/>
      <c r="AR137" s="4081"/>
      <c r="AS137" s="4081"/>
      <c r="AT137" s="4081"/>
      <c r="AU137" s="4081"/>
      <c r="AV137" s="4081"/>
      <c r="AW137" s="4081"/>
      <c r="AX137" s="4081"/>
    </row>
    <row r="138" hidden="1" spans="2:50">
      <c r="B138" s="3609"/>
      <c r="R138" s="4109"/>
      <c r="S138" s="4109"/>
      <c r="T138" s="4109"/>
      <c r="U138" s="4109"/>
      <c r="V138" s="4109"/>
      <c r="W138" s="4109"/>
      <c r="X138" s="4109"/>
      <c r="Y138" s="4109"/>
      <c r="Z138" s="4109"/>
      <c r="AA138" s="4109"/>
      <c r="AB138" s="4109"/>
      <c r="AC138" s="4060"/>
      <c r="AD138" s="4060"/>
      <c r="AE138" s="4060"/>
      <c r="AF138" s="4060"/>
      <c r="AG138" s="4060"/>
      <c r="AH138" s="4060"/>
      <c r="AI138" s="4060"/>
      <c r="AJ138" s="4081"/>
      <c r="AK138" s="4081"/>
      <c r="AL138" s="4081"/>
      <c r="AM138" s="4081"/>
      <c r="AN138" s="4081"/>
      <c r="AO138" s="4081"/>
      <c r="AP138" s="4081"/>
      <c r="AQ138" s="4081"/>
      <c r="AR138" s="4081"/>
      <c r="AS138" s="4081"/>
      <c r="AT138" s="4081"/>
      <c r="AU138" s="4081"/>
      <c r="AV138" s="4081"/>
      <c r="AW138" s="4081"/>
      <c r="AX138" s="4081"/>
    </row>
    <row r="139" hidden="1" spans="2:50">
      <c r="B139" s="3609"/>
      <c r="R139" s="4109"/>
      <c r="S139" s="4109"/>
      <c r="T139" s="4109"/>
      <c r="U139" s="4109"/>
      <c r="V139" s="4109"/>
      <c r="W139" s="4109"/>
      <c r="X139" s="4109"/>
      <c r="Y139" s="4109"/>
      <c r="Z139" s="4109"/>
      <c r="AA139" s="4109"/>
      <c r="AB139" s="4109"/>
      <c r="AC139" s="4060"/>
      <c r="AD139" s="4060"/>
      <c r="AE139" s="4060"/>
      <c r="AF139" s="4060"/>
      <c r="AG139" s="4060"/>
      <c r="AH139" s="4060"/>
      <c r="AI139" s="4060"/>
      <c r="AJ139" s="4081"/>
      <c r="AK139" s="4081"/>
      <c r="AL139" s="4081"/>
      <c r="AM139" s="4081"/>
      <c r="AN139" s="4081"/>
      <c r="AO139" s="4081"/>
      <c r="AP139" s="4081"/>
      <c r="AQ139" s="4081"/>
      <c r="AR139" s="4081"/>
      <c r="AS139" s="4081"/>
      <c r="AT139" s="4081"/>
      <c r="AU139" s="4081"/>
      <c r="AV139" s="4081"/>
      <c r="AW139" s="4081"/>
      <c r="AX139" s="4081"/>
    </row>
    <row r="140" hidden="1" spans="2:50">
      <c r="B140" s="3609"/>
      <c r="R140" s="4109"/>
      <c r="S140" s="4109"/>
      <c r="T140" s="4109"/>
      <c r="U140" s="4109"/>
      <c r="V140" s="4109"/>
      <c r="W140" s="4109"/>
      <c r="X140" s="4109"/>
      <c r="Y140" s="4109"/>
      <c r="Z140" s="4109"/>
      <c r="AA140" s="4109"/>
      <c r="AB140" s="4109"/>
      <c r="AC140" s="4060"/>
      <c r="AD140" s="4060"/>
      <c r="AE140" s="4060"/>
      <c r="AF140" s="4060"/>
      <c r="AG140" s="4060"/>
      <c r="AH140" s="4060"/>
      <c r="AI140" s="4060"/>
      <c r="AJ140" s="4081"/>
      <c r="AK140" s="4081"/>
      <c r="AL140" s="4081"/>
      <c r="AM140" s="4081"/>
      <c r="AN140" s="4081"/>
      <c r="AO140" s="4081"/>
      <c r="AP140" s="4081"/>
      <c r="AQ140" s="4081"/>
      <c r="AR140" s="4081"/>
      <c r="AS140" s="4081"/>
      <c r="AT140" s="4081"/>
      <c r="AU140" s="4081"/>
      <c r="AV140" s="4081"/>
      <c r="AW140" s="4081"/>
      <c r="AX140" s="4081"/>
    </row>
    <row r="141" hidden="1" spans="18:50">
      <c r="R141" s="4109"/>
      <c r="S141" s="4109"/>
      <c r="T141" s="4109"/>
      <c r="U141" s="4109"/>
      <c r="V141" s="4109"/>
      <c r="W141" s="4109"/>
      <c r="X141" s="4109"/>
      <c r="Y141" s="4109"/>
      <c r="Z141" s="4109"/>
      <c r="AA141" s="4109"/>
      <c r="AB141" s="4109"/>
      <c r="AC141" s="4060"/>
      <c r="AD141" s="4060"/>
      <c r="AE141" s="4060"/>
      <c r="AF141" s="4060"/>
      <c r="AG141" s="4060"/>
      <c r="AH141" s="4060"/>
      <c r="AI141" s="4060"/>
      <c r="AJ141" s="4081"/>
      <c r="AK141" s="4081"/>
      <c r="AL141" s="4081"/>
      <c r="AM141" s="4081"/>
      <c r="AN141" s="4081"/>
      <c r="AO141" s="4081"/>
      <c r="AP141" s="4081"/>
      <c r="AQ141" s="4081"/>
      <c r="AR141" s="4081"/>
      <c r="AS141" s="4081"/>
      <c r="AT141" s="4081"/>
      <c r="AU141" s="4081"/>
      <c r="AV141" s="4081"/>
      <c r="AW141" s="4081"/>
      <c r="AX141" s="4081"/>
    </row>
    <row r="142" hidden="1" spans="18:50">
      <c r="R142" s="4109"/>
      <c r="S142" s="4109"/>
      <c r="T142" s="4109"/>
      <c r="U142" s="4109"/>
      <c r="V142" s="4109"/>
      <c r="W142" s="4109"/>
      <c r="X142" s="4109"/>
      <c r="Y142" s="4109"/>
      <c r="Z142" s="4109"/>
      <c r="AA142" s="4109"/>
      <c r="AB142" s="4109"/>
      <c r="AC142" s="4060"/>
      <c r="AD142" s="4060"/>
      <c r="AE142" s="4060"/>
      <c r="AF142" s="4060"/>
      <c r="AG142" s="4060"/>
      <c r="AH142" s="4060"/>
      <c r="AI142" s="4060"/>
      <c r="AJ142" s="4081"/>
      <c r="AK142" s="4081"/>
      <c r="AL142" s="4081"/>
      <c r="AM142" s="4081"/>
      <c r="AN142" s="4081"/>
      <c r="AO142" s="4081"/>
      <c r="AP142" s="4081"/>
      <c r="AQ142" s="4081"/>
      <c r="AR142" s="4081"/>
      <c r="AS142" s="4081"/>
      <c r="AT142" s="4081"/>
      <c r="AU142" s="4081"/>
      <c r="AV142" s="4081"/>
      <c r="AW142" s="4081"/>
      <c r="AX142" s="4081"/>
    </row>
    <row r="143" hidden="1" spans="18:50">
      <c r="R143" s="4109"/>
      <c r="S143" s="4109"/>
      <c r="T143" s="4109"/>
      <c r="U143" s="4109"/>
      <c r="V143" s="4109"/>
      <c r="W143" s="4109"/>
      <c r="X143" s="4109"/>
      <c r="Y143" s="4109"/>
      <c r="Z143" s="4109"/>
      <c r="AA143" s="4109"/>
      <c r="AB143" s="4109"/>
      <c r="AC143" s="4060"/>
      <c r="AD143" s="4060"/>
      <c r="AE143" s="4060"/>
      <c r="AF143" s="4060"/>
      <c r="AG143" s="4060"/>
      <c r="AH143" s="4060"/>
      <c r="AI143" s="4060"/>
      <c r="AJ143" s="4081"/>
      <c r="AK143" s="4081"/>
      <c r="AL143" s="4081"/>
      <c r="AM143" s="4081"/>
      <c r="AN143" s="4081"/>
      <c r="AO143" s="4081"/>
      <c r="AP143" s="4081"/>
      <c r="AQ143" s="4081"/>
      <c r="AR143" s="4081"/>
      <c r="AS143" s="4081"/>
      <c r="AT143" s="4081"/>
      <c r="AU143" s="4081"/>
      <c r="AV143" s="4081"/>
      <c r="AW143" s="4081"/>
      <c r="AX143" s="4081"/>
    </row>
    <row r="144" hidden="1" spans="18:50">
      <c r="R144" s="4109"/>
      <c r="S144" s="4109"/>
      <c r="T144" s="4109"/>
      <c r="U144" s="4109"/>
      <c r="V144" s="4109"/>
      <c r="W144" s="4109"/>
      <c r="X144" s="4109"/>
      <c r="Y144" s="4109"/>
      <c r="Z144" s="4109"/>
      <c r="AA144" s="4109"/>
      <c r="AB144" s="4109"/>
      <c r="AC144" s="4060"/>
      <c r="AD144" s="4060"/>
      <c r="AE144" s="4060"/>
      <c r="AF144" s="4060"/>
      <c r="AG144" s="4060"/>
      <c r="AH144" s="4060"/>
      <c r="AI144" s="4060"/>
      <c r="AJ144" s="4081"/>
      <c r="AK144" s="4081"/>
      <c r="AL144" s="4081"/>
      <c r="AM144" s="4081"/>
      <c r="AN144" s="4081"/>
      <c r="AO144" s="4081"/>
      <c r="AP144" s="4081"/>
      <c r="AQ144" s="4081"/>
      <c r="AR144" s="4081"/>
      <c r="AS144" s="4081"/>
      <c r="AT144" s="4081"/>
      <c r="AU144" s="4081"/>
      <c r="AV144" s="4081"/>
      <c r="AW144" s="4081"/>
      <c r="AX144" s="4081"/>
    </row>
    <row r="145" hidden="1" spans="18:50">
      <c r="R145" s="4109"/>
      <c r="S145" s="4109"/>
      <c r="T145" s="4109"/>
      <c r="U145" s="4109"/>
      <c r="V145" s="4109"/>
      <c r="W145" s="4109"/>
      <c r="X145" s="4109"/>
      <c r="Y145" s="4109"/>
      <c r="Z145" s="4109"/>
      <c r="AA145" s="4109"/>
      <c r="AB145" s="4109"/>
      <c r="AC145" s="4060"/>
      <c r="AD145" s="4060"/>
      <c r="AE145" s="4060"/>
      <c r="AF145" s="4060"/>
      <c r="AG145" s="4060"/>
      <c r="AH145" s="4060"/>
      <c r="AI145" s="4060"/>
      <c r="AJ145" s="4081"/>
      <c r="AK145" s="4081"/>
      <c r="AL145" s="4081"/>
      <c r="AM145" s="4081"/>
      <c r="AN145" s="4081"/>
      <c r="AO145" s="4081"/>
      <c r="AP145" s="4081"/>
      <c r="AQ145" s="4081"/>
      <c r="AR145" s="4081"/>
      <c r="AS145" s="4081"/>
      <c r="AT145" s="4081"/>
      <c r="AU145" s="4081"/>
      <c r="AV145" s="4081"/>
      <c r="AW145" s="4081"/>
      <c r="AX145" s="4081"/>
    </row>
    <row r="146" spans="18:50">
      <c r="R146" s="4109"/>
      <c r="S146" s="4109"/>
      <c r="T146" s="4109"/>
      <c r="U146" s="4109"/>
      <c r="V146" s="4109"/>
      <c r="W146" s="4109"/>
      <c r="X146" s="4109"/>
      <c r="Y146" s="4109"/>
      <c r="Z146" s="4109"/>
      <c r="AA146" s="4109"/>
      <c r="AB146" s="4109"/>
      <c r="AC146" s="4060"/>
      <c r="AD146" s="4060"/>
      <c r="AE146" s="4060"/>
      <c r="AF146" s="4060"/>
      <c r="AG146" s="4060"/>
      <c r="AH146" s="4060"/>
      <c r="AI146" s="4060"/>
      <c r="AJ146" s="4081"/>
      <c r="AK146" s="4081"/>
      <c r="AL146" s="4081"/>
      <c r="AM146" s="4081"/>
      <c r="AN146" s="4081"/>
      <c r="AO146" s="4081"/>
      <c r="AP146" s="4081"/>
      <c r="AQ146" s="4081"/>
      <c r="AR146" s="4081"/>
      <c r="AS146" s="4081"/>
      <c r="AT146" s="4081"/>
      <c r="AU146" s="4081"/>
      <c r="AV146" s="4081"/>
      <c r="AW146" s="4081"/>
      <c r="AX146" s="4081"/>
    </row>
    <row r="147" ht="12" spans="2:50">
      <c r="B147" s="3607" t="str">
        <f>+'F1'!C4</f>
        <v>PT INTAN GIRI ABADI</v>
      </c>
      <c r="R147" s="4109"/>
      <c r="S147" s="4109"/>
      <c r="T147" s="4109"/>
      <c r="U147" s="4109"/>
      <c r="V147" s="4109"/>
      <c r="W147" s="4109"/>
      <c r="X147" s="4109"/>
      <c r="Y147" s="4109"/>
      <c r="Z147" s="4109"/>
      <c r="AA147" s="4109"/>
      <c r="AB147" s="4109"/>
      <c r="AC147" s="4060"/>
      <c r="AD147" s="4060"/>
      <c r="AE147" s="4060"/>
      <c r="AF147" s="4060"/>
      <c r="AG147" s="4060"/>
      <c r="AH147" s="4060"/>
      <c r="AI147" s="4060"/>
      <c r="AJ147" s="4081"/>
      <c r="AK147" s="4081"/>
      <c r="AL147" s="4081"/>
      <c r="AM147" s="4081"/>
      <c r="AN147" s="4081"/>
      <c r="AO147" s="4081"/>
      <c r="AP147" s="4081"/>
      <c r="AQ147" s="4081"/>
      <c r="AR147" s="4081"/>
      <c r="AS147" s="4081"/>
      <c r="AT147" s="4081"/>
      <c r="AU147" s="4081"/>
      <c r="AV147" s="4081"/>
      <c r="AW147" s="4081"/>
      <c r="AX147" s="4081"/>
    </row>
    <row r="148" ht="12" customHeight="1" spans="2:50">
      <c r="B148" s="5010" t="s">
        <v>287</v>
      </c>
      <c r="AP148" s="4567" t="str">
        <f>AP76</f>
        <v>Approval for Print</v>
      </c>
      <c r="AQ148" s="4567"/>
      <c r="AR148" s="4572" t="str">
        <f>AR76</f>
        <v>signature</v>
      </c>
      <c r="AS148" s="4572"/>
      <c r="AT148" s="4572"/>
      <c r="AU148" s="4572"/>
      <c r="AV148" s="4572"/>
      <c r="AW148" s="4572"/>
      <c r="AX148" s="4572"/>
    </row>
    <row r="149" ht="12" customHeight="1" spans="2:50">
      <c r="B149" s="3608" t="e">
        <f>#REF!</f>
        <v>#REF!</v>
      </c>
      <c r="AP149" s="4567"/>
      <c r="AQ149" s="4567"/>
      <c r="AR149" s="4572"/>
      <c r="AS149" s="4572"/>
      <c r="AT149" s="4572"/>
      <c r="AU149" s="4572"/>
      <c r="AV149" s="4572"/>
      <c r="AW149" s="4572"/>
      <c r="AX149" s="4572"/>
    </row>
    <row r="150" ht="12" customHeight="1" spans="2:50">
      <c r="B150" s="3609" t="s">
        <v>450</v>
      </c>
      <c r="AP150" s="4567"/>
      <c r="AQ150" s="4567"/>
      <c r="AR150" s="4572" t="str">
        <f>AR78</f>
        <v>Date</v>
      </c>
      <c r="AS150" s="4572"/>
      <c r="AT150" s="4572"/>
      <c r="AU150" s="4572"/>
      <c r="AV150" s="4572"/>
      <c r="AW150" s="4572"/>
      <c r="AX150" s="4572"/>
    </row>
    <row r="151" ht="12" customHeight="1" spans="2:50">
      <c r="B151" s="3610"/>
      <c r="C151" s="3611"/>
      <c r="D151" s="3611"/>
      <c r="E151" s="3611"/>
      <c r="F151" s="3611"/>
      <c r="G151" s="3611"/>
      <c r="H151" s="3611"/>
      <c r="I151" s="3611"/>
      <c r="J151" s="3611"/>
      <c r="K151" s="3611"/>
      <c r="L151" s="3611"/>
      <c r="M151" s="3611"/>
      <c r="N151" s="3611"/>
      <c r="O151" s="3611"/>
      <c r="P151" s="3611"/>
      <c r="Q151" s="3611"/>
      <c r="R151" s="4054"/>
      <c r="S151" s="4054"/>
      <c r="T151" s="4054"/>
      <c r="U151" s="4054"/>
      <c r="V151" s="4054"/>
      <c r="W151" s="4054"/>
      <c r="X151" s="4054"/>
      <c r="Y151" s="4054"/>
      <c r="Z151" s="4054"/>
      <c r="AA151" s="4054"/>
      <c r="AB151" s="4054"/>
      <c r="AC151" s="4054"/>
      <c r="AD151" s="4054"/>
      <c r="AE151" s="4054"/>
      <c r="AF151" s="4054"/>
      <c r="AG151" s="4054"/>
      <c r="AH151" s="4054"/>
      <c r="AI151" s="4054"/>
      <c r="AJ151" s="3611"/>
      <c r="AK151" s="3611"/>
      <c r="AL151" s="3611"/>
      <c r="AM151" s="3611"/>
      <c r="AN151" s="3611"/>
      <c r="AO151" s="3611"/>
      <c r="AP151" s="3626"/>
      <c r="AQ151" s="3626"/>
      <c r="AR151" s="4157"/>
      <c r="AS151" s="4157"/>
      <c r="AT151" s="4157"/>
      <c r="AU151" s="4157"/>
      <c r="AV151" s="4157"/>
      <c r="AW151" s="4572"/>
      <c r="AX151" s="4572"/>
    </row>
    <row r="153" customFormat="1" ht="49.5" customHeight="1" spans="2:43">
      <c r="B153" s="4579"/>
      <c r="C153" s="4579"/>
      <c r="D153" s="4579"/>
      <c r="E153" s="4579"/>
      <c r="F153" s="4579"/>
      <c r="G153" s="4579"/>
      <c r="H153" s="4579"/>
      <c r="I153" s="4579"/>
      <c r="J153" s="4579"/>
      <c r="K153" s="4579"/>
      <c r="L153" s="4579"/>
      <c r="M153" s="4579"/>
      <c r="N153" s="4579"/>
      <c r="O153" t="s">
        <v>600</v>
      </c>
      <c r="V153" t="s">
        <v>601</v>
      </c>
      <c r="AC153" t="s">
        <v>602</v>
      </c>
      <c r="AJ153" t="s">
        <v>603</v>
      </c>
      <c r="AQ153" t="s">
        <v>512</v>
      </c>
    </row>
    <row r="154" spans="2:53">
      <c r="B154" s="3315"/>
      <c r="C154" s="3315"/>
      <c r="D154" s="3315"/>
      <c r="E154" s="3315"/>
      <c r="F154" s="3315"/>
      <c r="G154" s="3315"/>
      <c r="H154" s="3315"/>
      <c r="I154" s="3315"/>
      <c r="J154" s="3315"/>
      <c r="K154" s="3315"/>
      <c r="L154" s="3315"/>
      <c r="M154" s="3315"/>
      <c r="N154" s="3315"/>
      <c r="O154" s="3546"/>
      <c r="P154" s="3546"/>
      <c r="Q154" s="3546"/>
      <c r="R154" s="3546"/>
      <c r="S154" s="3546"/>
      <c r="T154" s="3546"/>
      <c r="U154" s="3546"/>
      <c r="V154" s="4585"/>
      <c r="W154" s="4585"/>
      <c r="X154" s="4585"/>
      <c r="Y154" s="4585"/>
      <c r="Z154" s="4585"/>
      <c r="AA154" s="4585"/>
      <c r="AB154" s="3546"/>
      <c r="AC154" s="4585"/>
      <c r="AD154" s="4585"/>
      <c r="AE154" s="4585"/>
      <c r="AF154" s="4585"/>
      <c r="AG154" s="4585"/>
      <c r="AH154" s="4585"/>
      <c r="AI154" s="4585"/>
      <c r="AJ154" s="3546"/>
      <c r="AK154" s="3546"/>
      <c r="AL154" s="3546"/>
      <c r="AM154" s="3546"/>
      <c r="AN154" s="3546"/>
      <c r="AO154" s="3546"/>
      <c r="AP154" s="3546"/>
      <c r="AQ154" s="3546"/>
      <c r="AR154" s="3546"/>
      <c r="AS154" s="3546"/>
      <c r="AT154" s="3546"/>
      <c r="AU154" s="3546"/>
      <c r="AV154" s="3546"/>
      <c r="AW154" s="3546"/>
      <c r="AX154" s="3546"/>
      <c r="AY154" s="2435"/>
      <c r="AZ154" s="2435"/>
      <c r="BA154" s="2435"/>
    </row>
    <row r="155" ht="12" hidden="1" customHeight="1" spans="2:53">
      <c r="B155" s="3322" t="s">
        <v>604</v>
      </c>
      <c r="C155" s="3315"/>
      <c r="D155" s="3315"/>
      <c r="E155" s="3315"/>
      <c r="F155" s="3315"/>
      <c r="G155" s="3315"/>
      <c r="H155" s="3315"/>
      <c r="I155" s="3315"/>
      <c r="J155" s="3315"/>
      <c r="K155" s="3315"/>
      <c r="L155" s="3315"/>
      <c r="M155" s="3315"/>
      <c r="N155" s="3315"/>
      <c r="O155" s="4580">
        <f>SUM([73]LapKeu!$W$166:$AF$166)</f>
        <v>2842200000</v>
      </c>
      <c r="P155" s="4580"/>
      <c r="Q155" s="4580"/>
      <c r="R155" s="4580"/>
      <c r="S155" s="4580"/>
      <c r="T155" s="4580"/>
      <c r="U155" s="4580"/>
      <c r="V155" s="4581"/>
      <c r="W155" s="4581"/>
      <c r="X155" s="4581"/>
      <c r="Y155" s="4581"/>
      <c r="Z155" s="4581"/>
      <c r="AA155" s="4581"/>
      <c r="AB155" s="4580"/>
      <c r="AC155" s="4581"/>
      <c r="AD155" s="4581"/>
      <c r="AE155" s="4581"/>
      <c r="AF155" s="4581"/>
      <c r="AG155" s="4581"/>
      <c r="AH155" s="4581"/>
      <c r="AI155" s="4581"/>
      <c r="AJ155" s="4580">
        <f>SUM([73]LapKeu!$AQ$166:$AZ$166)+SUM([73]LapKeu!$AG$170:$AP$170)</f>
        <v>-8143590685</v>
      </c>
      <c r="AK155" s="4580"/>
      <c r="AL155" s="4580"/>
      <c r="AM155" s="4580"/>
      <c r="AN155" s="4580"/>
      <c r="AO155" s="4580"/>
      <c r="AP155" s="4580"/>
      <c r="AQ155" s="4580">
        <f>O155+AJ155</f>
        <v>-5301390685</v>
      </c>
      <c r="AR155" s="4580"/>
      <c r="AS155" s="4580"/>
      <c r="AT155" s="4580"/>
      <c r="AU155" s="4580"/>
      <c r="AV155" s="4580"/>
      <c r="AW155" s="4583"/>
      <c r="AX155" s="4583"/>
      <c r="AZ155" s="3393"/>
      <c r="BA155" s="4594">
        <f>AJ155+AZ166</f>
        <v>-8143590685</v>
      </c>
    </row>
    <row r="156" hidden="1" spans="2:50">
      <c r="B156" s="3315"/>
      <c r="C156" s="3315"/>
      <c r="D156" s="3315"/>
      <c r="E156" s="3315"/>
      <c r="F156" s="3315"/>
      <c r="G156" s="3315"/>
      <c r="H156" s="3315"/>
      <c r="I156" s="3315"/>
      <c r="J156" s="3315"/>
      <c r="K156" s="3315"/>
      <c r="L156" s="3315"/>
      <c r="M156" s="3315"/>
      <c r="N156" s="3315"/>
      <c r="O156" s="4580"/>
      <c r="P156" s="4580"/>
      <c r="Q156" s="4580"/>
      <c r="R156" s="4580"/>
      <c r="S156" s="4580"/>
      <c r="T156" s="4580"/>
      <c r="U156" s="4580"/>
      <c r="V156" s="4581"/>
      <c r="W156" s="4581"/>
      <c r="X156" s="4581"/>
      <c r="Y156" s="4581"/>
      <c r="Z156" s="4581"/>
      <c r="AA156" s="4581"/>
      <c r="AB156" s="4580"/>
      <c r="AC156" s="4581"/>
      <c r="AD156" s="4581"/>
      <c r="AE156" s="4581"/>
      <c r="AF156" s="4581"/>
      <c r="AG156" s="4581"/>
      <c r="AH156" s="4581"/>
      <c r="AI156" s="4581"/>
      <c r="AJ156" s="4580"/>
      <c r="AK156" s="4580"/>
      <c r="AL156" s="4580"/>
      <c r="AM156" s="4580"/>
      <c r="AN156" s="4580"/>
      <c r="AO156" s="4580"/>
      <c r="AP156" s="4580"/>
      <c r="AQ156" s="4580"/>
      <c r="AR156" s="4580"/>
      <c r="AS156" s="4580"/>
      <c r="AT156" s="4580"/>
      <c r="AU156" s="4580"/>
      <c r="AV156" s="4580"/>
      <c r="AW156" s="4583"/>
      <c r="AX156" s="4583"/>
    </row>
    <row r="157" hidden="1" spans="2:50">
      <c r="B157" s="5026" t="s">
        <v>605</v>
      </c>
      <c r="C157" s="3315"/>
      <c r="D157" s="3315"/>
      <c r="E157" s="3315"/>
      <c r="F157" s="3315"/>
      <c r="G157" s="3315"/>
      <c r="H157" s="3315"/>
      <c r="I157" s="3315"/>
      <c r="J157" s="3315"/>
      <c r="K157" s="3315"/>
      <c r="L157" s="3315"/>
      <c r="M157" s="3315"/>
      <c r="N157" s="3315"/>
      <c r="O157" s="4580"/>
      <c r="P157" s="4580"/>
      <c r="Q157" s="4580"/>
      <c r="R157" s="4580"/>
      <c r="S157" s="4580"/>
      <c r="T157" s="4580"/>
      <c r="U157" s="4580"/>
      <c r="V157" s="4581"/>
      <c r="W157" s="4581"/>
      <c r="X157" s="4581"/>
      <c r="Y157" s="4581"/>
      <c r="Z157" s="4581"/>
      <c r="AA157" s="4581"/>
      <c r="AB157" s="4580"/>
      <c r="AC157" s="4581"/>
      <c r="AD157" s="4581"/>
      <c r="AE157" s="4581"/>
      <c r="AF157" s="4581"/>
      <c r="AG157" s="4581"/>
      <c r="AH157" s="4581"/>
      <c r="AI157" s="4581"/>
      <c r="AJ157" s="4580"/>
      <c r="AK157" s="4580"/>
      <c r="AL157" s="4580"/>
      <c r="AM157" s="4580"/>
      <c r="AN157" s="4580"/>
      <c r="AO157" s="4580"/>
      <c r="AP157" s="4580"/>
      <c r="AQ157" s="4580"/>
      <c r="AR157" s="4580"/>
      <c r="AS157" s="4580"/>
      <c r="AT157" s="4580"/>
      <c r="AU157" s="4580"/>
      <c r="AV157" s="4580"/>
      <c r="AW157" s="4583"/>
      <c r="AX157" s="4583"/>
    </row>
    <row r="158" hidden="1" spans="2:50">
      <c r="B158" s="3315"/>
      <c r="C158" s="3315" t="s">
        <v>606</v>
      </c>
      <c r="D158" s="3315"/>
      <c r="E158" s="3315"/>
      <c r="F158" s="3315"/>
      <c r="G158" s="3315"/>
      <c r="H158" s="3315"/>
      <c r="I158" s="3315"/>
      <c r="J158" s="3315"/>
      <c r="K158" s="3315"/>
      <c r="L158" s="3315"/>
      <c r="M158" s="3315"/>
      <c r="N158" s="3315"/>
      <c r="O158" s="4580">
        <v>0</v>
      </c>
      <c r="P158" s="4580"/>
      <c r="Q158" s="4580"/>
      <c r="R158" s="4580"/>
      <c r="S158" s="4580"/>
      <c r="T158" s="4580"/>
      <c r="U158" s="4580"/>
      <c r="V158" s="4581"/>
      <c r="W158" s="4581"/>
      <c r="X158" s="4581"/>
      <c r="Y158" s="4581"/>
      <c r="Z158" s="4581"/>
      <c r="AA158" s="4581"/>
      <c r="AB158" s="4580"/>
      <c r="AC158" s="4581"/>
      <c r="AD158" s="4581"/>
      <c r="AE158" s="4581"/>
      <c r="AF158" s="4581"/>
      <c r="AG158" s="4581"/>
      <c r="AH158" s="4581"/>
      <c r="AI158" s="4581"/>
      <c r="AJ158" s="4580" t="e">
        <f>'[74]FS-1'!$X$157:$AD$157</f>
        <v>#VALUE!</v>
      </c>
      <c r="AK158" s="4580"/>
      <c r="AL158" s="4580"/>
      <c r="AM158" s="4580"/>
      <c r="AN158" s="4580"/>
      <c r="AO158" s="4580"/>
      <c r="AP158" s="4580"/>
      <c r="AQ158" s="4580" t="e">
        <f>O158+AJ158</f>
        <v>#VALUE!</v>
      </c>
      <c r="AR158" s="4580"/>
      <c r="AS158" s="4580"/>
      <c r="AT158" s="4580"/>
      <c r="AU158" s="4580"/>
      <c r="AV158" s="4580"/>
      <c r="AW158" s="4583"/>
      <c r="AX158" s="4583"/>
    </row>
    <row r="159" ht="12" hidden="1" customHeight="1" spans="2:50">
      <c r="B159" s="3315"/>
      <c r="C159" s="3315"/>
      <c r="D159" s="3315"/>
      <c r="E159" s="3315"/>
      <c r="F159" s="3315"/>
      <c r="G159" s="3315"/>
      <c r="H159" s="3315"/>
      <c r="I159" s="3315"/>
      <c r="J159" s="3315"/>
      <c r="K159" s="3315"/>
      <c r="L159" s="3315"/>
      <c r="M159" s="3315"/>
      <c r="N159" s="3315"/>
      <c r="O159" s="4580"/>
      <c r="P159" s="4580"/>
      <c r="Q159" s="4580"/>
      <c r="R159" s="4580"/>
      <c r="S159" s="4580"/>
      <c r="T159" s="4580"/>
      <c r="U159" s="4580"/>
      <c r="V159" s="4581"/>
      <c r="W159" s="4581"/>
      <c r="X159" s="4581"/>
      <c r="Y159" s="4581"/>
      <c r="Z159" s="4581"/>
      <c r="AA159" s="4581"/>
      <c r="AB159" s="4580"/>
      <c r="AC159" s="4581"/>
      <c r="AD159" s="4581"/>
      <c r="AE159" s="4581"/>
      <c r="AF159" s="4581"/>
      <c r="AG159" s="4581"/>
      <c r="AH159" s="4581"/>
      <c r="AI159" s="4581"/>
      <c r="AJ159" s="4580"/>
      <c r="AK159" s="4580"/>
      <c r="AL159" s="4580"/>
      <c r="AM159" s="4580"/>
      <c r="AN159" s="4580"/>
      <c r="AO159" s="4580"/>
      <c r="AP159" s="4580"/>
      <c r="AQ159" s="4580"/>
      <c r="AR159" s="4580"/>
      <c r="AS159" s="4580"/>
      <c r="AT159" s="4580"/>
      <c r="AU159" s="4580"/>
      <c r="AV159" s="4580"/>
      <c r="AW159" s="4583"/>
      <c r="AX159" s="4583"/>
    </row>
    <row r="160" ht="12" outlineLevel="1" spans="2:50">
      <c r="B160" s="3322" t="s">
        <v>607</v>
      </c>
      <c r="C160" s="3322"/>
      <c r="D160" s="3322"/>
      <c r="E160" s="3322"/>
      <c r="F160" s="3322"/>
      <c r="G160" s="3322"/>
      <c r="H160" s="3322"/>
      <c r="I160" s="3322"/>
      <c r="J160" s="3322"/>
      <c r="K160" s="3322"/>
      <c r="L160" s="3322"/>
      <c r="M160" s="3322"/>
      <c r="N160" s="3322"/>
      <c r="O160">
        <v>7500000000</v>
      </c>
      <c r="P160"/>
      <c r="Q160"/>
      <c r="R160"/>
      <c r="S160"/>
      <c r="T160"/>
      <c r="U160" s="4586"/>
      <c r="V160">
        <v>59114000000</v>
      </c>
      <c r="W160"/>
      <c r="X160"/>
      <c r="Y160"/>
      <c r="Z160"/>
      <c r="AA160"/>
      <c r="AB160" s="4586"/>
      <c r="AC160">
        <v>498183700</v>
      </c>
      <c r="AD160"/>
      <c r="AE160"/>
      <c r="AF160"/>
      <c r="AG160"/>
      <c r="AH160"/>
      <c r="AI160"/>
      <c r="AJ160">
        <v>5055067390</v>
      </c>
      <c r="AK160"/>
      <c r="AL160"/>
      <c r="AM160"/>
      <c r="AN160"/>
      <c r="AO160"/>
      <c r="AP160" s="4586"/>
      <c r="AQ160">
        <f>SUM(O160:AO160)</f>
        <v>72167251090</v>
      </c>
      <c r="AR160"/>
      <c r="AS160"/>
      <c r="AT160"/>
      <c r="AU160"/>
      <c r="AV160"/>
      <c r="AW160" s="4591"/>
      <c r="AX160" s="4591"/>
    </row>
    <row r="161" ht="12" customHeight="1" outlineLevel="1" spans="2:50">
      <c r="B161" s="3315"/>
      <c r="C161" s="3315"/>
      <c r="D161" s="3315"/>
      <c r="E161" s="3315"/>
      <c r="F161" s="3315"/>
      <c r="G161" s="3315"/>
      <c r="H161" s="3315"/>
      <c r="I161" s="3315"/>
      <c r="J161" s="3315"/>
      <c r="K161" s="3315"/>
      <c r="L161" s="3315"/>
      <c r="M161" s="3315"/>
      <c r="N161" s="3315"/>
      <c r="O161" s="4580"/>
      <c r="P161" s="4580"/>
      <c r="Q161" s="4580"/>
      <c r="R161" s="4580"/>
      <c r="S161" s="4580"/>
      <c r="T161" s="4580"/>
      <c r="U161" s="4580"/>
      <c r="V161" s="4580"/>
      <c r="W161" s="4580"/>
      <c r="X161" s="4580"/>
      <c r="Y161" s="4580"/>
      <c r="Z161" s="4580"/>
      <c r="AA161" s="4580"/>
      <c r="AB161" s="4580"/>
      <c r="AC161" s="4580"/>
      <c r="AD161" s="4580"/>
      <c r="AE161" s="4580"/>
      <c r="AF161" s="4580"/>
      <c r="AG161" s="4580"/>
      <c r="AH161" s="4580"/>
      <c r="AI161" s="4581"/>
      <c r="AJ161" s="4580"/>
      <c r="AK161" s="4580"/>
      <c r="AL161" s="4580"/>
      <c r="AM161" s="4580"/>
      <c r="AN161" s="4580"/>
      <c r="AO161" s="4580"/>
      <c r="AP161" s="4580"/>
      <c r="AQ161" s="4580"/>
      <c r="AR161" s="4580"/>
      <c r="AS161" s="4580"/>
      <c r="AT161" s="4580"/>
      <c r="AU161" s="4580"/>
      <c r="AV161" s="4580"/>
      <c r="AW161" s="4583"/>
      <c r="AX161" s="4583"/>
    </row>
    <row r="162" ht="12" customHeight="1" outlineLevel="1" spans="2:50">
      <c r="B162" s="5027" t="s">
        <v>608</v>
      </c>
      <c r="C162"/>
      <c r="D162"/>
      <c r="E162"/>
      <c r="F162"/>
      <c r="G162"/>
      <c r="H162"/>
      <c r="I162"/>
      <c r="J162"/>
      <c r="K162"/>
      <c r="L162"/>
      <c r="M162"/>
      <c r="N162"/>
      <c r="O162" s="4580">
        <v>0</v>
      </c>
      <c r="P162" s="4580"/>
      <c r="Q162" s="4580"/>
      <c r="R162" s="4580"/>
      <c r="S162" s="4580"/>
      <c r="T162" s="4580"/>
      <c r="U162" s="4580"/>
      <c r="V162" s="4580">
        <v>-668000000</v>
      </c>
      <c r="W162" s="4580"/>
      <c r="X162" s="4580"/>
      <c r="Y162" s="4580"/>
      <c r="Z162" s="4580"/>
      <c r="AA162" s="4580"/>
      <c r="AB162" s="4580"/>
      <c r="AC162" s="4580">
        <v>0</v>
      </c>
      <c r="AD162" s="4580"/>
      <c r="AE162" s="4580"/>
      <c r="AF162" s="4580"/>
      <c r="AG162" s="4580"/>
      <c r="AH162" s="4580"/>
      <c r="AI162" s="4581"/>
      <c r="AJ162" s="4580">
        <v>0</v>
      </c>
      <c r="AK162" s="4580"/>
      <c r="AL162" s="4580"/>
      <c r="AM162" s="4580"/>
      <c r="AN162" s="4580"/>
      <c r="AO162" s="4580"/>
      <c r="AP162" s="4580"/>
      <c r="AQ162" s="4580">
        <f>SUM(O162:AO162)</f>
        <v>-668000000</v>
      </c>
      <c r="AR162" s="4580"/>
      <c r="AS162" s="4580"/>
      <c r="AT162" s="4580"/>
      <c r="AU162" s="4580"/>
      <c r="AV162" s="4580"/>
      <c r="AW162" s="4583"/>
      <c r="AX162" s="4583"/>
    </row>
    <row r="163" outlineLevel="1" spans="2:50">
      <c r="B163" s="3462"/>
      <c r="C163" s="3339"/>
      <c r="D163" s="3339"/>
      <c r="E163" s="3339"/>
      <c r="F163" s="3339"/>
      <c r="G163" s="3339"/>
      <c r="H163" s="3339"/>
      <c r="I163" s="3339"/>
      <c r="J163" s="3339"/>
      <c r="K163" s="3339"/>
      <c r="L163" s="3339"/>
      <c r="M163" s="3339"/>
      <c r="N163" s="3339"/>
      <c r="O163" s="4580"/>
      <c r="P163" s="4580"/>
      <c r="Q163" s="4580"/>
      <c r="R163" s="4581"/>
      <c r="S163" s="4581"/>
      <c r="T163" s="4581"/>
      <c r="U163" s="4581"/>
      <c r="V163" s="4580"/>
      <c r="W163" s="4580"/>
      <c r="X163" s="4580"/>
      <c r="Y163" s="4580"/>
      <c r="Z163" s="4580"/>
      <c r="AA163" s="4580"/>
      <c r="AB163" s="4581"/>
      <c r="AC163" s="4580"/>
      <c r="AD163" s="4580"/>
      <c r="AE163" s="4580"/>
      <c r="AF163" s="4580"/>
      <c r="AG163" s="4580"/>
      <c r="AH163" s="4580"/>
      <c r="AI163" s="4581"/>
      <c r="AJ163" s="4580"/>
      <c r="AK163" s="4580"/>
      <c r="AL163" s="4580"/>
      <c r="AM163" s="4580"/>
      <c r="AN163" s="4580"/>
      <c r="AO163" s="4580"/>
      <c r="AP163" s="4580"/>
      <c r="AQ163" s="4580"/>
      <c r="AR163" s="4580"/>
      <c r="AS163" s="4580"/>
      <c r="AT163" s="4580"/>
      <c r="AU163" s="4580"/>
      <c r="AV163" s="4580"/>
      <c r="AW163" s="4583"/>
      <c r="AX163" s="4583"/>
    </row>
    <row r="164" outlineLevel="1" spans="2:50">
      <c r="B164" s="5027" t="s">
        <v>609</v>
      </c>
      <c r="C164" s="3339"/>
      <c r="D164" s="3339"/>
      <c r="E164" s="3339"/>
      <c r="F164" s="3339"/>
      <c r="G164" s="3339"/>
      <c r="H164" s="3339"/>
      <c r="I164" s="3339"/>
      <c r="J164" s="3339"/>
      <c r="K164" s="3339"/>
      <c r="L164" s="3339"/>
      <c r="M164" s="3339"/>
      <c r="N164" s="3339"/>
      <c r="O164" s="4580">
        <v>0</v>
      </c>
      <c r="P164" s="4580"/>
      <c r="Q164" s="4580"/>
      <c r="R164" s="4580"/>
      <c r="S164" s="4580"/>
      <c r="T164" s="4580"/>
      <c r="U164" s="4580"/>
      <c r="V164" s="4580">
        <v>0</v>
      </c>
      <c r="W164" s="4580"/>
      <c r="X164" s="4580"/>
      <c r="Y164" s="4580"/>
      <c r="Z164" s="4580"/>
      <c r="AA164" s="4580"/>
      <c r="AB164" s="4580"/>
      <c r="AC164" s="4580">
        <v>0</v>
      </c>
      <c r="AD164" s="4580"/>
      <c r="AE164" s="4580"/>
      <c r="AF164" s="4580"/>
      <c r="AG164" s="4580"/>
      <c r="AH164" s="4580"/>
      <c r="AI164" s="4581"/>
      <c r="AJ164" s="4580">
        <v>1898863602</v>
      </c>
      <c r="AK164" s="4580"/>
      <c r="AL164" s="4580"/>
      <c r="AM164" s="4580"/>
      <c r="AN164" s="4580"/>
      <c r="AO164" s="4580"/>
      <c r="AP164" s="4580"/>
      <c r="AQ164" s="4580">
        <f>SUM(O164:AO164)</f>
        <v>1898863602</v>
      </c>
      <c r="AR164" s="4580"/>
      <c r="AS164" s="4580"/>
      <c r="AT164" s="4580"/>
      <c r="AU164" s="4580"/>
      <c r="AV164" s="4580"/>
      <c r="AW164" s="4583"/>
      <c r="AX164" s="4583"/>
    </row>
    <row r="165" outlineLevel="1" spans="2:50">
      <c r="B165" s="3315"/>
      <c r="C165" s="3315"/>
      <c r="D165" s="3315"/>
      <c r="E165" s="3315"/>
      <c r="F165" s="3315"/>
      <c r="G165" s="3315"/>
      <c r="H165" s="3315"/>
      <c r="I165" s="3315"/>
      <c r="J165" s="3315"/>
      <c r="K165" s="3315"/>
      <c r="L165" s="3315"/>
      <c r="M165" s="3315"/>
      <c r="N165" s="3315"/>
      <c r="O165" s="4580"/>
      <c r="P165" s="4580"/>
      <c r="Q165" s="4580"/>
      <c r="R165" s="4581"/>
      <c r="S165" s="4581"/>
      <c r="T165" s="4581"/>
      <c r="U165" s="4581"/>
      <c r="V165" s="4580"/>
      <c r="W165" s="4580"/>
      <c r="X165" s="4580"/>
      <c r="Y165" s="4580"/>
      <c r="Z165" s="4580"/>
      <c r="AA165" s="4580"/>
      <c r="AB165" s="4581"/>
      <c r="AC165" s="4580"/>
      <c r="AD165" s="4580"/>
      <c r="AE165" s="4580"/>
      <c r="AF165" s="4580"/>
      <c r="AG165" s="4580"/>
      <c r="AH165" s="4580"/>
      <c r="AI165" s="4581"/>
      <c r="AJ165" s="4580"/>
      <c r="AK165" s="4580"/>
      <c r="AL165" s="4580"/>
      <c r="AM165" s="4580"/>
      <c r="AN165" s="4580"/>
      <c r="AO165" s="4580"/>
      <c r="AP165" s="4580"/>
      <c r="AQ165" s="4580"/>
      <c r="AR165" s="4580"/>
      <c r="AS165" s="4580"/>
      <c r="AT165" s="4580"/>
      <c r="AU165" s="4580"/>
      <c r="AV165" s="4580"/>
      <c r="AW165" s="4583"/>
      <c r="AX165" s="4583">
        <f>AQ58</f>
        <v>-8479026828.81</v>
      </c>
    </row>
    <row r="166" ht="12" outlineLevel="1" spans="2:52">
      <c r="B166" s="5028" t="s">
        <v>610</v>
      </c>
      <c r="C166" s="3322"/>
      <c r="D166" s="3322"/>
      <c r="E166" s="3322"/>
      <c r="F166" s="3322"/>
      <c r="G166" s="3322"/>
      <c r="H166" s="3322"/>
      <c r="I166" s="3322"/>
      <c r="J166" s="3322"/>
      <c r="K166" s="3322"/>
      <c r="L166" s="3322"/>
      <c r="M166" s="3322"/>
      <c r="N166" s="3322"/>
      <c r="O166">
        <f>SUM(O160:T162)</f>
        <v>7500000000</v>
      </c>
      <c r="P166"/>
      <c r="Q166"/>
      <c r="R166"/>
      <c r="S166"/>
      <c r="T166"/>
      <c r="U166" s="4586"/>
      <c r="V166">
        <f>SUM(V160:AA165)</f>
        <v>58446000000</v>
      </c>
      <c r="W166"/>
      <c r="X166"/>
      <c r="Y166"/>
      <c r="Z166"/>
      <c r="AA166"/>
      <c r="AB166" s="4586"/>
      <c r="AC166">
        <f>SUM(AC160:AH165)</f>
        <v>498183700</v>
      </c>
      <c r="AD166"/>
      <c r="AE166"/>
      <c r="AF166"/>
      <c r="AG166"/>
      <c r="AH166"/>
      <c r="AI166"/>
      <c r="AJ166">
        <f>SUM(AJ160:AO165)</f>
        <v>6953930992</v>
      </c>
      <c r="AK166"/>
      <c r="AL166"/>
      <c r="AM166"/>
      <c r="AN166"/>
      <c r="AO166"/>
      <c r="AP166" s="4586"/>
      <c r="AQ166">
        <f>SUM(AQ160:AV165)</f>
        <v>73398114692</v>
      </c>
      <c r="AR166"/>
      <c r="AS166"/>
      <c r="AT166"/>
      <c r="AU166"/>
      <c r="AV166"/>
      <c r="AW166" s="4591"/>
      <c r="AX166" s="4591">
        <f>AQ60</f>
        <v>2970973171.19</v>
      </c>
      <c r="AY166" s="3606">
        <v>0</v>
      </c>
      <c r="AZ166" s="3606">
        <v>0</v>
      </c>
    </row>
    <row r="167" ht="12" customHeight="1" outlineLevel="1" spans="2:50">
      <c r="B167" s="3609"/>
      <c r="C167" s="3609"/>
      <c r="D167" s="3609"/>
      <c r="E167" s="3609"/>
      <c r="F167" s="3609"/>
      <c r="G167" s="3609"/>
      <c r="H167" s="3609"/>
      <c r="I167" s="3609"/>
      <c r="J167" s="3609"/>
      <c r="K167" s="3609"/>
      <c r="L167" s="3609"/>
      <c r="M167" s="3609"/>
      <c r="N167" s="3609"/>
      <c r="O167"/>
      <c r="P167"/>
      <c r="Q167" s="2435"/>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s="4156"/>
      <c r="AX167" s="4156"/>
    </row>
    <row r="168" ht="12" customHeight="1" outlineLevel="1" spans="2:50">
      <c r="B168" s="5027" t="s">
        <v>611</v>
      </c>
      <c r="C168" s="3315"/>
      <c r="D168" s="3315"/>
      <c r="E168" s="3315"/>
      <c r="F168" s="3315"/>
      <c r="G168" s="3315"/>
      <c r="H168" s="3315"/>
      <c r="I168" s="3315"/>
      <c r="J168" s="3315"/>
      <c r="K168" s="3315"/>
      <c r="L168" s="3315"/>
      <c r="M168" s="3315"/>
      <c r="N168" s="3315"/>
      <c r="O168" s="2435"/>
      <c r="P168" s="2435"/>
      <c r="Q168" s="2435"/>
      <c r="R168"/>
      <c r="S168"/>
      <c r="T168"/>
      <c r="U168"/>
      <c r="V168"/>
      <c r="W168"/>
      <c r="X168"/>
      <c r="Y168"/>
      <c r="Z168"/>
      <c r="AA168"/>
      <c r="AB168"/>
      <c r="AC168"/>
      <c r="AD168"/>
      <c r="AE168"/>
      <c r="AF168"/>
      <c r="AG168"/>
      <c r="AH168"/>
      <c r="AI168"/>
      <c r="AJ168" s="2435"/>
      <c r="AK168" s="2435"/>
      <c r="AL168" s="2435"/>
      <c r="AM168" s="2435"/>
      <c r="AN168" s="2435"/>
      <c r="AO168" s="2435"/>
      <c r="AP168" s="2435"/>
      <c r="AQ168" s="2435"/>
      <c r="AR168" s="2435"/>
      <c r="AS168" s="2435"/>
      <c r="AT168" s="2435"/>
      <c r="AU168" s="2435"/>
      <c r="AV168" s="2435"/>
      <c r="AW168" s="4583"/>
      <c r="AX168" s="4583"/>
    </row>
    <row r="169" ht="12" customHeight="1" outlineLevel="1" spans="2:50">
      <c r="B169" s="4135"/>
      <c r="C169" s="3315" t="s">
        <v>612</v>
      </c>
      <c r="D169" s="3315"/>
      <c r="E169" s="3315"/>
      <c r="F169" s="3315"/>
      <c r="G169" s="3315"/>
      <c r="H169" s="3315"/>
      <c r="I169" s="3315"/>
      <c r="J169" s="3315"/>
      <c r="K169" s="3315"/>
      <c r="L169" s="3315"/>
      <c r="M169" s="3315"/>
      <c r="N169" s="3315"/>
      <c r="O169" s="4580">
        <v>0</v>
      </c>
      <c r="P169" s="4580"/>
      <c r="Q169" s="4580"/>
      <c r="R169" s="4580"/>
      <c r="S169" s="4580"/>
      <c r="T169" s="4580"/>
      <c r="U169" s="4580"/>
      <c r="V169" s="4580">
        <v>-58446000000</v>
      </c>
      <c r="W169" s="4580"/>
      <c r="X169" s="4580"/>
      <c r="Y169" s="4580"/>
      <c r="Z169" s="4580"/>
      <c r="AA169" s="4580"/>
      <c r="AB169" s="4580"/>
      <c r="AC169" s="4580">
        <v>0</v>
      </c>
      <c r="AD169" s="4580"/>
      <c r="AE169" s="4580"/>
      <c r="AF169" s="4580"/>
      <c r="AG169" s="4580"/>
      <c r="AH169" s="4580"/>
      <c r="AI169" s="4581"/>
      <c r="AJ169" s="4580">
        <v>0</v>
      </c>
      <c r="AK169" s="4580"/>
      <c r="AL169" s="4580"/>
      <c r="AM169" s="4580"/>
      <c r="AN169" s="4580"/>
      <c r="AO169" s="4580"/>
      <c r="AP169" s="4580"/>
      <c r="AQ169" s="4580">
        <f>SUM(O169:AO169)</f>
        <v>-58446000000</v>
      </c>
      <c r="AR169" s="4580"/>
      <c r="AS169" s="4580"/>
      <c r="AT169" s="4580"/>
      <c r="AU169" s="4580"/>
      <c r="AV169" s="4580"/>
      <c r="AW169" s="4583"/>
      <c r="AX169" s="4583"/>
    </row>
    <row r="170" ht="12" customHeight="1" outlineLevel="1" spans="2:50">
      <c r="B170" s="3315"/>
      <c r="C170" s="3339"/>
      <c r="D170" s="3339"/>
      <c r="E170" s="3339"/>
      <c r="F170" s="3339"/>
      <c r="G170" s="3339"/>
      <c r="H170" s="3339"/>
      <c r="I170" s="3339"/>
      <c r="J170" s="3339"/>
      <c r="K170" s="3339"/>
      <c r="L170" s="3339"/>
      <c r="M170" s="3339"/>
      <c r="N170" s="3339"/>
      <c r="O170" s="4580"/>
      <c r="P170" s="4580"/>
      <c r="Q170" s="4580"/>
      <c r="R170" s="4580"/>
      <c r="S170" s="4580"/>
      <c r="T170" s="4580"/>
      <c r="U170" s="4580"/>
      <c r="V170"/>
      <c r="W170"/>
      <c r="X170"/>
      <c r="Y170"/>
      <c r="Z170"/>
      <c r="AA170"/>
      <c r="AB170" s="4580"/>
      <c r="AC170" s="4580"/>
      <c r="AD170" s="4580"/>
      <c r="AE170" s="4580"/>
      <c r="AF170" s="4580"/>
      <c r="AG170" s="4580"/>
      <c r="AH170" s="4580"/>
      <c r="AI170" s="4581"/>
      <c r="AJ170" s="4580"/>
      <c r="AK170" s="4580"/>
      <c r="AL170" s="4580"/>
      <c r="AM170" s="4580"/>
      <c r="AN170" s="4580"/>
      <c r="AO170" s="4580"/>
      <c r="AP170" s="4580"/>
      <c r="AQ170" s="4580"/>
      <c r="AR170" s="4580"/>
      <c r="AS170" s="4580"/>
      <c r="AT170" s="4580"/>
      <c r="AU170" s="4580"/>
      <c r="AV170" s="4580"/>
      <c r="AW170" s="4583"/>
      <c r="AX170" s="4583"/>
    </row>
    <row r="171" ht="12" customHeight="1" outlineLevel="1" spans="2:50">
      <c r="B171" s="5027" t="s">
        <v>609</v>
      </c>
      <c r="C171" s="3315"/>
      <c r="D171" s="3315"/>
      <c r="E171" s="3315"/>
      <c r="F171" s="3315"/>
      <c r="G171" s="3315"/>
      <c r="H171" s="3315"/>
      <c r="I171" s="3315"/>
      <c r="J171" s="3315"/>
      <c r="K171" s="3315"/>
      <c r="L171" s="3315"/>
      <c r="M171" s="3315"/>
      <c r="N171" s="3315"/>
      <c r="O171" s="4580">
        <v>0</v>
      </c>
      <c r="P171" s="4580"/>
      <c r="Q171" s="4580"/>
      <c r="R171" s="4580"/>
      <c r="S171" s="4580"/>
      <c r="T171" s="4580"/>
      <c r="U171" s="4580"/>
      <c r="V171">
        <v>0</v>
      </c>
      <c r="W171"/>
      <c r="X171"/>
      <c r="Y171"/>
      <c r="Z171"/>
      <c r="AA171"/>
      <c r="AB171" s="4580"/>
      <c r="AC171" s="4580">
        <v>0</v>
      </c>
      <c r="AD171" s="4580"/>
      <c r="AE171" s="4580"/>
      <c r="AF171" s="4580"/>
      <c r="AG171" s="4580"/>
      <c r="AH171" s="4580"/>
      <c r="AI171" s="4581"/>
      <c r="AJ171" s="4580">
        <v>2016262258</v>
      </c>
      <c r="AK171" s="4580"/>
      <c r="AL171" s="4580"/>
      <c r="AM171" s="4580"/>
      <c r="AN171" s="4580"/>
      <c r="AO171" s="4580"/>
      <c r="AP171" s="4580"/>
      <c r="AQ171" s="4580">
        <f>SUM(O171:AO171)</f>
        <v>2016262258</v>
      </c>
      <c r="AR171" s="4580"/>
      <c r="AS171" s="4580"/>
      <c r="AT171" s="4580"/>
      <c r="AU171" s="4580"/>
      <c r="AV171" s="4580"/>
      <c r="AW171" s="4583"/>
      <c r="AX171" s="4583"/>
    </row>
    <row r="172" outlineLevel="1" spans="2:50">
      <c r="B172" s="3315"/>
      <c r="C172" s="3609"/>
      <c r="D172" s="3609"/>
      <c r="E172" s="3609"/>
      <c r="F172" s="3609"/>
      <c r="G172" s="3609"/>
      <c r="H172" s="3609"/>
      <c r="I172" s="3609"/>
      <c r="J172" s="3609"/>
      <c r="K172" s="3609"/>
      <c r="L172" s="3609"/>
      <c r="M172" s="3609"/>
      <c r="N172" s="3609"/>
      <c r="O172"/>
      <c r="P172"/>
      <c r="Q172" s="2435"/>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s="4156"/>
      <c r="AX172" s="4156"/>
    </row>
    <row r="173" ht="12" spans="2:52">
      <c r="B173" s="5028" t="s">
        <v>613</v>
      </c>
      <c r="C173" s="3322"/>
      <c r="D173" s="3322"/>
      <c r="E173" s="3322"/>
      <c r="F173" s="3322"/>
      <c r="G173" s="3322"/>
      <c r="H173" s="3322"/>
      <c r="I173" s="3322"/>
      <c r="J173" s="3322"/>
      <c r="K173" s="3322"/>
      <c r="L173" s="3322"/>
      <c r="M173" s="3322"/>
      <c r="N173" s="3322"/>
      <c r="O173">
        <f>SUM(O166:T172)</f>
        <v>7500000000</v>
      </c>
      <c r="P173"/>
      <c r="Q173"/>
      <c r="R173"/>
      <c r="S173"/>
      <c r="T173"/>
      <c r="U173" s="4586"/>
      <c r="V173" s="2542">
        <f>SUM(V166:AA172)</f>
        <v>0</v>
      </c>
      <c r="W173" s="2542"/>
      <c r="X173" s="2542"/>
      <c r="Y173" s="2542"/>
      <c r="Z173" s="2542"/>
      <c r="AA173" s="2542"/>
      <c r="AB173" s="4586"/>
      <c r="AC173" s="93" t="e">
        <f>#REF!</f>
        <v>#REF!</v>
      </c>
      <c r="AD173" s="93"/>
      <c r="AE173" s="93"/>
      <c r="AF173" s="93"/>
      <c r="AG173" s="93"/>
      <c r="AH173" s="93"/>
      <c r="AI173"/>
      <c r="AJ173" s="93">
        <f>SUM(AJ166:AO172)</f>
        <v>8970193250</v>
      </c>
      <c r="AK173" s="93"/>
      <c r="AL173" s="93"/>
      <c r="AM173" s="93"/>
      <c r="AN173" s="93"/>
      <c r="AO173" s="93"/>
      <c r="AP173" s="4586"/>
      <c r="AQ173" s="93">
        <v>16968376950</v>
      </c>
      <c r="AR173" s="93"/>
      <c r="AS173" s="93"/>
      <c r="AT173" s="93"/>
      <c r="AU173" s="93"/>
      <c r="AV173" s="93"/>
      <c r="AW173" s="4591"/>
      <c r="AX173" s="4592">
        <v>0</v>
      </c>
      <c r="AY173" s="3606">
        <v>0</v>
      </c>
      <c r="AZ173" s="3606">
        <f>AJ60</f>
        <v>20420193250</v>
      </c>
    </row>
    <row r="174" spans="2:52">
      <c r="B174" s="3609"/>
      <c r="C174" s="3315"/>
      <c r="D174" s="3315"/>
      <c r="E174" s="3315"/>
      <c r="F174" s="3609"/>
      <c r="G174" s="3609"/>
      <c r="H174" s="3609"/>
      <c r="I174" s="3609"/>
      <c r="J174" s="3609"/>
      <c r="K174" s="3609"/>
      <c r="L174" s="3609"/>
      <c r="M174" s="3609"/>
      <c r="N174" s="3609"/>
      <c r="O174" s="3609"/>
      <c r="P174" s="3609"/>
      <c r="V174" s="4156"/>
      <c r="W174" s="4156"/>
      <c r="X174" s="4156"/>
      <c r="Y174" s="4156"/>
      <c r="Z174" s="4156"/>
      <c r="AA174" s="4156"/>
      <c r="AC174" s="4156"/>
      <c r="AD174" s="4156"/>
      <c r="AE174" s="4156"/>
      <c r="AF174" s="4156"/>
      <c r="AG174" s="4156"/>
      <c r="AH174" s="4156"/>
      <c r="AI174" s="4151"/>
      <c r="AJ174" s="4156"/>
      <c r="AK174" s="4156"/>
      <c r="AL174" s="4156"/>
      <c r="AM174" s="4156"/>
      <c r="AN174" s="4156"/>
      <c r="AO174" s="4156"/>
      <c r="AP174" s="4156"/>
      <c r="AQ174" s="4156"/>
      <c r="AR174" s="4156"/>
      <c r="AS174" s="4156"/>
      <c r="AT174" s="4156"/>
      <c r="AU174" s="4156"/>
      <c r="AV174" s="4156"/>
      <c r="AW174" s="4156"/>
      <c r="AX174" s="4156"/>
      <c r="AZ174" s="3606">
        <f>AZ173-AQ173</f>
        <v>3451816300</v>
      </c>
    </row>
    <row r="175" spans="2:50">
      <c r="B175" s="5027" t="s">
        <v>609</v>
      </c>
      <c r="C175" s="3315"/>
      <c r="D175" s="3315"/>
      <c r="E175" s="3315"/>
      <c r="F175" s="3315"/>
      <c r="G175" s="3315"/>
      <c r="H175" s="3315"/>
      <c r="I175" s="3315"/>
      <c r="J175" s="3315"/>
      <c r="K175" s="3315"/>
      <c r="L175" s="3315"/>
      <c r="M175" s="3315"/>
      <c r="N175" s="3315"/>
      <c r="O175" s="4583">
        <v>0</v>
      </c>
      <c r="P175" s="4583"/>
      <c r="Q175" s="4583"/>
      <c r="R175" s="4583"/>
      <c r="S175" s="4583"/>
      <c r="T175" s="4583"/>
      <c r="U175" s="4583"/>
      <c r="V175">
        <v>0</v>
      </c>
      <c r="W175"/>
      <c r="X175"/>
      <c r="Y175"/>
      <c r="Z175"/>
      <c r="AA175"/>
      <c r="AB175" s="4583"/>
      <c r="AC175">
        <v>0</v>
      </c>
      <c r="AD175"/>
      <c r="AE175"/>
      <c r="AF175"/>
      <c r="AG175"/>
      <c r="AH175"/>
      <c r="AI175" s="4589"/>
      <c r="AJ175">
        <v>1800682291.69487</v>
      </c>
      <c r="AK175"/>
      <c r="AL175"/>
      <c r="AM175"/>
      <c r="AN175"/>
      <c r="AO175"/>
      <c r="AP175" s="4583"/>
      <c r="AQ175">
        <f>SUM(O175:AO175)</f>
        <v>1800682291.69487</v>
      </c>
      <c r="AR175"/>
      <c r="AS175"/>
      <c r="AT175"/>
      <c r="AU175"/>
      <c r="AV175"/>
      <c r="AW175" s="4156"/>
      <c r="AX175" s="4156"/>
    </row>
    <row r="176" spans="2:50">
      <c r="B176" s="3315"/>
      <c r="C176" s="3315"/>
      <c r="D176" s="3315"/>
      <c r="E176" s="3315"/>
      <c r="F176" s="3315"/>
      <c r="G176" s="3315"/>
      <c r="H176" s="3315"/>
      <c r="I176" s="3315"/>
      <c r="J176" s="3315"/>
      <c r="K176" s="3315"/>
      <c r="L176" s="3315"/>
      <c r="M176" s="3315"/>
      <c r="N176" s="3315"/>
      <c r="O176" s="4583"/>
      <c r="P176" s="4583"/>
      <c r="Q176" s="4583"/>
      <c r="R176" s="4583"/>
      <c r="S176" s="4583"/>
      <c r="T176" s="4583"/>
      <c r="U176" s="4583"/>
      <c r="V176" s="5"/>
      <c r="W176" s="5"/>
      <c r="X176" s="5"/>
      <c r="Y176" s="5"/>
      <c r="Z176" s="5"/>
      <c r="AA176" s="5"/>
      <c r="AB176" s="4583"/>
      <c r="AC176" s="4583"/>
      <c r="AD176" s="4583"/>
      <c r="AE176" s="4583"/>
      <c r="AF176" s="4583"/>
      <c r="AG176" s="4583"/>
      <c r="AH176" s="4583"/>
      <c r="AI176" s="4589"/>
      <c r="AJ176" s="4583"/>
      <c r="AK176" s="4583"/>
      <c r="AL176" s="4583"/>
      <c r="AM176" s="4583"/>
      <c r="AN176" s="4583"/>
      <c r="AO176" s="4583"/>
      <c r="AP176" s="4583"/>
      <c r="AQ176" s="4583"/>
      <c r="AR176" s="4583"/>
      <c r="AS176" s="4583"/>
      <c r="AT176" s="4583"/>
      <c r="AU176" s="4583"/>
      <c r="AV176" s="4583"/>
      <c r="AW176" s="4156"/>
      <c r="AX176" s="4156"/>
    </row>
    <row r="177" spans="2:50">
      <c r="B177" s="5027" t="s">
        <v>601</v>
      </c>
      <c r="C177" s="3315"/>
      <c r="D177" s="3315"/>
      <c r="E177" s="3315"/>
      <c r="F177" s="3315"/>
      <c r="G177" s="3315"/>
      <c r="H177" s="3315"/>
      <c r="I177" s="3315"/>
      <c r="J177" s="3315"/>
      <c r="K177" s="3315"/>
      <c r="L177" s="3315"/>
      <c r="M177" s="3315"/>
      <c r="N177" s="3315"/>
      <c r="O177" s="4583">
        <v>0</v>
      </c>
      <c r="P177" s="4583"/>
      <c r="Q177" s="4583"/>
      <c r="R177" s="4583"/>
      <c r="S177" s="4583"/>
      <c r="T177" s="4583"/>
      <c r="U177" s="4583"/>
      <c r="V177" t="e">
        <f>SUM(#REF!)</f>
        <v>#REF!</v>
      </c>
      <c r="W177"/>
      <c r="X177"/>
      <c r="Y177"/>
      <c r="Z177"/>
      <c r="AA177"/>
      <c r="AB177" s="4583"/>
      <c r="AC177">
        <v>0</v>
      </c>
      <c r="AD177"/>
      <c r="AE177"/>
      <c r="AF177"/>
      <c r="AG177"/>
      <c r="AH177"/>
      <c r="AI177" s="4589"/>
      <c r="AJ177" t="e">
        <f>SUM(#REF!)</f>
        <v>#REF!</v>
      </c>
      <c r="AK177"/>
      <c r="AL177"/>
      <c r="AM177"/>
      <c r="AN177"/>
      <c r="AO177"/>
      <c r="AP177" s="4583"/>
      <c r="AQ177" t="e">
        <f>SUM(O177:AO177)</f>
        <v>#REF!</v>
      </c>
      <c r="AR177"/>
      <c r="AS177"/>
      <c r="AT177"/>
      <c r="AU177"/>
      <c r="AV177"/>
      <c r="AW177" s="4156"/>
      <c r="AX177" s="4156"/>
    </row>
    <row r="178" ht="12" spans="2:50">
      <c r="B178" s="3315"/>
      <c r="C178" s="3609"/>
      <c r="D178" s="3609"/>
      <c r="E178" s="3609"/>
      <c r="F178" s="3609"/>
      <c r="G178" s="3609"/>
      <c r="H178" s="3609"/>
      <c r="I178" s="3609"/>
      <c r="J178" s="3609"/>
      <c r="K178" s="3609"/>
      <c r="L178" s="3609"/>
      <c r="M178" s="3609"/>
      <c r="N178" s="3609"/>
      <c r="O178" s="3609"/>
      <c r="P178" s="3609"/>
      <c r="V178" s="4156"/>
      <c r="W178" s="4156"/>
      <c r="X178" s="4156"/>
      <c r="Y178" s="4156"/>
      <c r="Z178" s="4156"/>
      <c r="AA178" s="4156"/>
      <c r="AC178" s="4156"/>
      <c r="AD178" s="4156"/>
      <c r="AE178" s="4156"/>
      <c r="AF178" s="4156"/>
      <c r="AG178" s="4156"/>
      <c r="AH178" s="4156"/>
      <c r="AI178" s="4151"/>
      <c r="AJ178" s="4156"/>
      <c r="AK178" s="4156"/>
      <c r="AL178" s="4156"/>
      <c r="AM178" s="4156"/>
      <c r="AN178" s="4156"/>
      <c r="AO178" s="4156"/>
      <c r="AP178" s="4156"/>
      <c r="AQ178" s="4156"/>
      <c r="AR178" s="4156"/>
      <c r="AS178" s="4156"/>
      <c r="AT178" s="4156"/>
      <c r="AU178" s="4156"/>
      <c r="AV178" s="4156"/>
      <c r="AW178" s="4083"/>
      <c r="AX178" s="4083"/>
    </row>
    <row r="179" s="4048" customFormat="1" ht="12.75" spans="2:50">
      <c r="B179" s="5028" t="s">
        <v>614</v>
      </c>
      <c r="C179" s="3322"/>
      <c r="D179" s="3322"/>
      <c r="E179" s="3322"/>
      <c r="F179" s="3322"/>
      <c r="G179" s="3322"/>
      <c r="H179" s="3322"/>
      <c r="I179" s="3322"/>
      <c r="J179" s="3322"/>
      <c r="K179" s="3322"/>
      <c r="L179" s="3322"/>
      <c r="M179" s="3322"/>
      <c r="N179" s="3322"/>
      <c r="O179" s="4584">
        <f>SUM(O170:T178)</f>
        <v>7500000000</v>
      </c>
      <c r="P179" s="4584"/>
      <c r="Q179" s="4584"/>
      <c r="R179" s="4584"/>
      <c r="S179" s="4584"/>
      <c r="T179" s="4584"/>
      <c r="U179" s="4586"/>
      <c r="V179" s="3324" t="e">
        <f>SUM(V170:AA178)</f>
        <v>#REF!</v>
      </c>
      <c r="W179" s="3324"/>
      <c r="X179" s="3324"/>
      <c r="Y179" s="3324"/>
      <c r="Z179" s="3324"/>
      <c r="AA179" s="3324"/>
      <c r="AB179" s="4586"/>
      <c r="AC179" s="3324" t="e">
        <f>SUM(AC170:AH178)</f>
        <v>#REF!</v>
      </c>
      <c r="AD179" s="3324"/>
      <c r="AE179" s="3324"/>
      <c r="AF179" s="3324"/>
      <c r="AG179" s="3324"/>
      <c r="AH179" s="3324"/>
      <c r="AI179" s="4590"/>
      <c r="AJ179" s="3324" t="e">
        <f>SUM(AJ173:AO178)</f>
        <v>#REF!</v>
      </c>
      <c r="AK179" s="3324"/>
      <c r="AL179" s="3324"/>
      <c r="AM179" s="3324"/>
      <c r="AN179" s="3324"/>
      <c r="AO179" s="3324"/>
      <c r="AP179" s="4591"/>
      <c r="AQ179" s="3324" t="e">
        <f>SUM(AQ173:AV178)</f>
        <v>#REF!</v>
      </c>
      <c r="AR179" s="3324"/>
      <c r="AS179" s="3324"/>
      <c r="AT179" s="3324"/>
      <c r="AU179" s="3324"/>
      <c r="AV179" s="3324"/>
      <c r="AW179" s="4593"/>
      <c r="AX179" s="4593"/>
    </row>
    <row r="180" ht="12.15" spans="29:50">
      <c r="AC180" s="4060"/>
      <c r="AD180" s="4060"/>
      <c r="AE180" s="4060"/>
      <c r="AF180" s="4060"/>
      <c r="AG180" s="4060"/>
      <c r="AH180" s="4060"/>
      <c r="AI180" s="4060"/>
      <c r="AJ180" s="4081"/>
      <c r="AK180" s="4081"/>
      <c r="AL180" s="4081"/>
      <c r="AM180" s="4081"/>
      <c r="AN180" s="4081"/>
      <c r="AO180" s="4081"/>
      <c r="AP180" s="4081"/>
      <c r="AQ180" s="4081"/>
      <c r="AR180" s="4081"/>
      <c r="AS180" s="4081"/>
      <c r="AT180" s="4081"/>
      <c r="AU180" s="4081"/>
      <c r="AV180" s="4081"/>
      <c r="AW180" s="4081"/>
      <c r="AX180" s="4081"/>
    </row>
    <row r="181" spans="2:50">
      <c r="B181" s="5027" t="s">
        <v>609</v>
      </c>
      <c r="C181" s="3315"/>
      <c r="D181" s="3315"/>
      <c r="E181" s="3315"/>
      <c r="F181" s="3315"/>
      <c r="G181" s="3315"/>
      <c r="H181" s="3315"/>
      <c r="I181" s="3315"/>
      <c r="J181" s="3315"/>
      <c r="K181" s="3315"/>
      <c r="L181" s="3315"/>
      <c r="M181" s="3315"/>
      <c r="N181" s="3315"/>
      <c r="O181" s="4583">
        <v>0</v>
      </c>
      <c r="P181" s="4583"/>
      <c r="Q181" s="4583"/>
      <c r="R181" s="4583"/>
      <c r="S181" s="4583"/>
      <c r="T181" s="4583"/>
      <c r="U181" s="4583"/>
      <c r="V181">
        <v>0</v>
      </c>
      <c r="W181"/>
      <c r="X181"/>
      <c r="Y181"/>
      <c r="Z181"/>
      <c r="AA181"/>
      <c r="AB181" s="4583"/>
      <c r="AC181">
        <v>0</v>
      </c>
      <c r="AD181"/>
      <c r="AE181"/>
      <c r="AF181"/>
      <c r="AG181"/>
      <c r="AH181"/>
      <c r="AI181" s="4589"/>
      <c r="AJ181">
        <f>'F30'!K40</f>
        <v>536663419.025456</v>
      </c>
      <c r="AK181"/>
      <c r="AL181"/>
      <c r="AM181"/>
      <c r="AN181"/>
      <c r="AO181"/>
      <c r="AP181" s="4583"/>
      <c r="AQ181">
        <f>SUM(O181:AO181)</f>
        <v>536663419.025456</v>
      </c>
      <c r="AR181"/>
      <c r="AS181"/>
      <c r="AT181"/>
      <c r="AU181"/>
      <c r="AV181"/>
      <c r="AW181" s="4156"/>
      <c r="AX181" s="4081"/>
    </row>
    <row r="182" spans="2:50">
      <c r="B182" s="3315"/>
      <c r="C182" s="3315"/>
      <c r="D182" s="3315"/>
      <c r="E182" s="3315"/>
      <c r="F182" s="3315"/>
      <c r="G182" s="3315"/>
      <c r="H182" s="3315"/>
      <c r="I182" s="3315"/>
      <c r="J182" s="3315"/>
      <c r="K182" s="3315"/>
      <c r="L182" s="3315"/>
      <c r="M182" s="3315"/>
      <c r="N182" s="3315"/>
      <c r="O182" s="4583"/>
      <c r="P182" s="4583"/>
      <c r="Q182" s="4583"/>
      <c r="R182" s="4583"/>
      <c r="S182" s="4583"/>
      <c r="T182" s="4583"/>
      <c r="U182" s="4583"/>
      <c r="V182" s="5"/>
      <c r="W182" s="5"/>
      <c r="X182" s="5"/>
      <c r="Y182" s="5"/>
      <c r="Z182" s="5"/>
      <c r="AA182" s="5"/>
      <c r="AB182" s="4583"/>
      <c r="AC182" s="4583"/>
      <c r="AD182" s="4583"/>
      <c r="AE182" s="4583"/>
      <c r="AF182" s="4583"/>
      <c r="AG182" s="4583"/>
      <c r="AH182" s="4583"/>
      <c r="AI182" s="4589"/>
      <c r="AJ182" s="4583"/>
      <c r="AK182" s="4583"/>
      <c r="AL182" s="4583"/>
      <c r="AM182" s="4583"/>
      <c r="AN182" s="4583"/>
      <c r="AO182" s="4583"/>
      <c r="AP182" s="4583"/>
      <c r="AQ182" s="4583"/>
      <c r="AR182" s="4583"/>
      <c r="AS182" s="4583"/>
      <c r="AT182" s="4583"/>
      <c r="AU182" s="4583"/>
      <c r="AV182" s="4583"/>
      <c r="AW182" s="4156"/>
      <c r="AX182" s="4081"/>
    </row>
    <row r="183" spans="2:50">
      <c r="B183" s="5027" t="s">
        <v>615</v>
      </c>
      <c r="C183" s="3315"/>
      <c r="D183" s="3315"/>
      <c r="E183" s="3315"/>
      <c r="F183" s="3315"/>
      <c r="G183" s="3315"/>
      <c r="H183" s="3315"/>
      <c r="I183" s="3315"/>
      <c r="J183" s="3315"/>
      <c r="K183" s="3315"/>
      <c r="L183" s="3315"/>
      <c r="M183" s="3315"/>
      <c r="N183" s="3315"/>
      <c r="O183" s="4583">
        <v>0</v>
      </c>
      <c r="P183" s="4583"/>
      <c r="Q183" s="4583"/>
      <c r="R183" s="4583"/>
      <c r="S183" s="4583"/>
      <c r="T183" s="4583"/>
      <c r="U183" s="4583"/>
      <c r="V183">
        <v>0</v>
      </c>
      <c r="W183"/>
      <c r="X183"/>
      <c r="Y183"/>
      <c r="Z183"/>
      <c r="AA183"/>
      <c r="AB183" s="4583"/>
      <c r="AC183">
        <v>0</v>
      </c>
      <c r="AD183"/>
      <c r="AE183"/>
      <c r="AF183"/>
      <c r="AG183"/>
      <c r="AH183"/>
      <c r="AI183" s="4589"/>
      <c r="AJ183">
        <f>'F30'!K44</f>
        <v>0</v>
      </c>
      <c r="AK183"/>
      <c r="AL183"/>
      <c r="AM183"/>
      <c r="AN183"/>
      <c r="AO183"/>
      <c r="AP183" s="4583"/>
      <c r="AQ183">
        <f>SUM(O183:AO183)</f>
        <v>0</v>
      </c>
      <c r="AR183"/>
      <c r="AS183"/>
      <c r="AT183"/>
      <c r="AU183"/>
      <c r="AV183"/>
      <c r="AW183" s="4156"/>
      <c r="AX183" s="4081"/>
    </row>
    <row r="184" spans="2:50">
      <c r="B184" s="3315"/>
      <c r="C184" s="3315"/>
      <c r="D184" s="3315"/>
      <c r="E184" s="3315"/>
      <c r="F184" s="3315"/>
      <c r="G184" s="3315"/>
      <c r="H184" s="3315"/>
      <c r="I184" s="3315"/>
      <c r="J184" s="3315"/>
      <c r="K184" s="3315"/>
      <c r="L184" s="3315"/>
      <c r="M184" s="3315"/>
      <c r="N184" s="3315"/>
      <c r="O184" s="4583"/>
      <c r="P184" s="4583"/>
      <c r="Q184" s="4583"/>
      <c r="R184" s="4583"/>
      <c r="S184" s="4583"/>
      <c r="T184" s="4583"/>
      <c r="U184" s="4583"/>
      <c r="V184" s="5"/>
      <c r="W184" s="5"/>
      <c r="X184" s="5"/>
      <c r="Y184" s="5"/>
      <c r="Z184" s="5"/>
      <c r="AA184" s="5"/>
      <c r="AB184" s="4583"/>
      <c r="AC184" s="4583"/>
      <c r="AD184" s="4583"/>
      <c r="AE184" s="4583"/>
      <c r="AF184" s="4583"/>
      <c r="AG184" s="4583"/>
      <c r="AH184" s="4583"/>
      <c r="AI184" s="4589"/>
      <c r="AJ184" s="4583"/>
      <c r="AK184" s="4583"/>
      <c r="AL184" s="4583"/>
      <c r="AM184" s="4583"/>
      <c r="AN184" s="4583"/>
      <c r="AO184" s="4583"/>
      <c r="AP184" s="4583"/>
      <c r="AQ184" s="4583"/>
      <c r="AR184" s="4583"/>
      <c r="AS184" s="4583"/>
      <c r="AT184" s="4583"/>
      <c r="AU184" s="4583"/>
      <c r="AV184" s="4583"/>
      <c r="AW184" s="4156"/>
      <c r="AX184" s="4081"/>
    </row>
    <row r="185" spans="2:50">
      <c r="B185" s="5027" t="s">
        <v>616</v>
      </c>
      <c r="C185" s="3315"/>
      <c r="D185" s="3315"/>
      <c r="E185" s="3315"/>
      <c r="F185" s="3315"/>
      <c r="G185" s="3315"/>
      <c r="H185" s="3315"/>
      <c r="I185" s="3315"/>
      <c r="J185" s="3315"/>
      <c r="K185" s="3315"/>
      <c r="L185" s="3315"/>
      <c r="M185" s="3315"/>
      <c r="N185" s="3315"/>
      <c r="O185" s="4583">
        <v>0</v>
      </c>
      <c r="P185" s="4583"/>
      <c r="Q185" s="4583"/>
      <c r="R185" s="4583"/>
      <c r="S185" s="4583"/>
      <c r="T185" s="4583"/>
      <c r="U185" s="4583"/>
      <c r="V185">
        <v>-2395412870</v>
      </c>
      <c r="W185"/>
      <c r="X185"/>
      <c r="Y185"/>
      <c r="Z185"/>
      <c r="AA185"/>
      <c r="AB185" s="4583"/>
      <c r="AC185">
        <v>0</v>
      </c>
      <c r="AD185"/>
      <c r="AE185"/>
      <c r="AF185"/>
      <c r="AG185"/>
      <c r="AH185"/>
      <c r="AI185" s="4589"/>
      <c r="AJ185">
        <f>'F30'!K46</f>
        <v>0</v>
      </c>
      <c r="AK185"/>
      <c r="AL185"/>
      <c r="AM185"/>
      <c r="AN185"/>
      <c r="AO185"/>
      <c r="AP185" s="4583"/>
      <c r="AQ185">
        <f>SUM(O185:AO185)</f>
        <v>-2395412870</v>
      </c>
      <c r="AR185"/>
      <c r="AS185"/>
      <c r="AT185"/>
      <c r="AU185"/>
      <c r="AV185"/>
      <c r="AW185" s="4156"/>
      <c r="AX185" s="4081"/>
    </row>
    <row r="186" spans="2:50">
      <c r="B186" s="3315"/>
      <c r="C186" s="3315"/>
      <c r="D186" s="3315"/>
      <c r="E186" s="3315"/>
      <c r="F186" s="3315"/>
      <c r="G186" s="3315"/>
      <c r="H186" s="3315"/>
      <c r="I186" s="3315"/>
      <c r="J186" s="3315"/>
      <c r="K186" s="3315"/>
      <c r="L186" s="3315"/>
      <c r="M186" s="3315"/>
      <c r="N186" s="3315"/>
      <c r="O186" s="4583"/>
      <c r="P186" s="4583"/>
      <c r="Q186" s="4583"/>
      <c r="R186" s="4583"/>
      <c r="S186" s="4583"/>
      <c r="T186" s="4583"/>
      <c r="U186" s="4583"/>
      <c r="V186" s="5"/>
      <c r="W186" s="5"/>
      <c r="X186" s="5"/>
      <c r="Y186" s="5"/>
      <c r="Z186" s="5"/>
      <c r="AA186" s="5"/>
      <c r="AB186" s="4583"/>
      <c r="AC186" s="4583"/>
      <c r="AD186" s="4583"/>
      <c r="AE186" s="4583"/>
      <c r="AF186" s="4583"/>
      <c r="AG186" s="4583"/>
      <c r="AH186" s="4583"/>
      <c r="AI186" s="4589"/>
      <c r="AJ186" s="4583"/>
      <c r="AK186" s="4583"/>
      <c r="AL186" s="4583"/>
      <c r="AM186" s="4583"/>
      <c r="AN186" s="4583"/>
      <c r="AO186" s="4583"/>
      <c r="AP186" s="4583"/>
      <c r="AQ186" s="4583"/>
      <c r="AR186" s="4583"/>
      <c r="AS186" s="4583"/>
      <c r="AT186" s="4583"/>
      <c r="AU186" s="4583"/>
      <c r="AV186" s="4583"/>
      <c r="AW186" s="4156"/>
      <c r="AX186" s="4081"/>
    </row>
    <row r="187" ht="12.75" spans="2:56">
      <c r="B187" s="5028" t="s">
        <v>617</v>
      </c>
      <c r="C187" s="3322"/>
      <c r="D187" s="3322"/>
      <c r="E187" s="3322"/>
      <c r="F187" s="3322"/>
      <c r="G187" s="3322"/>
      <c r="H187" s="3322"/>
      <c r="I187" s="3322"/>
      <c r="J187" s="3322"/>
      <c r="K187" s="3322"/>
      <c r="L187" s="3322"/>
      <c r="M187" s="3322"/>
      <c r="N187" s="3322"/>
      <c r="O187" s="4584">
        <f>SUM(O179:T186)</f>
        <v>7500000000</v>
      </c>
      <c r="P187" s="4584"/>
      <c r="Q187" s="4584"/>
      <c r="R187" s="4584"/>
      <c r="S187" s="4584"/>
      <c r="T187" s="4584"/>
      <c r="U187" s="4586"/>
      <c r="V187" s="3324" t="e">
        <f>SUM(V179:AA186)</f>
        <v>#REF!</v>
      </c>
      <c r="W187" s="3324"/>
      <c r="X187" s="3324"/>
      <c r="Y187" s="3324"/>
      <c r="Z187" s="3324"/>
      <c r="AA187" s="3324"/>
      <c r="AB187" s="4586"/>
      <c r="AC187" s="3324" t="e">
        <f>SUM(AC179:AH186)</f>
        <v>#REF!</v>
      </c>
      <c r="AD187" s="3324"/>
      <c r="AE187" s="3324"/>
      <c r="AF187" s="3324"/>
      <c r="AG187" s="3324"/>
      <c r="AH187" s="3324"/>
      <c r="AI187" s="4590"/>
      <c r="AJ187" s="3324" t="e">
        <f>SUM(AJ179:AO186)+1</f>
        <v>#REF!</v>
      </c>
      <c r="AK187" s="3324"/>
      <c r="AL187" s="3324"/>
      <c r="AM187" s="3324"/>
      <c r="AN187" s="3324"/>
      <c r="AO187" s="3324"/>
      <c r="AP187" s="4591"/>
      <c r="AQ187" s="3324" t="e">
        <f>SUM(AQ179:AV186)</f>
        <v>#REF!</v>
      </c>
      <c r="AR187" s="3324"/>
      <c r="AS187" s="3324"/>
      <c r="AT187" s="3324"/>
      <c r="AU187" s="3324"/>
      <c r="AV187" s="3324"/>
      <c r="AW187" s="4081"/>
      <c r="AX187" t="e">
        <f>AQ187-#REF!</f>
        <v>#REF!</v>
      </c>
      <c r="AY187"/>
      <c r="AZ187"/>
      <c r="BA187"/>
      <c r="BB187"/>
      <c r="BC187"/>
      <c r="BD187"/>
    </row>
    <row r="188" ht="12.15" spans="29:50">
      <c r="AC188" s="4060"/>
      <c r="AD188" s="4060"/>
      <c r="AE188" s="4060"/>
      <c r="AF188" s="4060"/>
      <c r="AG188" s="4060"/>
      <c r="AH188" s="4060"/>
      <c r="AI188" s="4060"/>
      <c r="AJ188" s="4081"/>
      <c r="AK188" s="4081"/>
      <c r="AL188" s="4081"/>
      <c r="AM188" s="4081"/>
      <c r="AN188" s="4081"/>
      <c r="AO188" s="4081"/>
      <c r="AP188" s="4081"/>
      <c r="AQ188" s="4081"/>
      <c r="AR188" s="4081"/>
      <c r="AS188" s="4081"/>
      <c r="AT188" s="4081"/>
      <c r="AU188" s="4081"/>
      <c r="AV188" s="4081"/>
      <c r="AW188" s="4081"/>
      <c r="AX188" s="4081"/>
    </row>
    <row r="189" spans="29:50">
      <c r="AC189" s="4060"/>
      <c r="AD189" s="4060"/>
      <c r="AE189" s="4060"/>
      <c r="AF189" s="4060"/>
      <c r="AG189" s="4060"/>
      <c r="AH189" s="4060"/>
      <c r="AI189" s="4060"/>
      <c r="AJ189" s="4583"/>
      <c r="AK189" s="4583"/>
      <c r="AL189" s="4583"/>
      <c r="AM189" s="4583"/>
      <c r="AN189" s="4583"/>
      <c r="AO189" s="4583"/>
      <c r="AP189" s="4081"/>
      <c r="AQ189" s="4081"/>
      <c r="AR189" s="4081"/>
      <c r="AS189" s="4081"/>
      <c r="AT189" s="4081"/>
      <c r="AU189" s="4081"/>
      <c r="AV189" s="4081"/>
      <c r="AW189" s="4081"/>
      <c r="AX189" s="4081"/>
    </row>
    <row r="190" spans="22:50">
      <c r="V190"/>
      <c r="W190"/>
      <c r="X190"/>
      <c r="Y190"/>
      <c r="Z190"/>
      <c r="AA190"/>
      <c r="AC190" s="4060"/>
      <c r="AD190" s="4060"/>
      <c r="AE190" s="4060"/>
      <c r="AF190" s="4060"/>
      <c r="AG190" s="4060"/>
      <c r="AH190" s="4060"/>
      <c r="AI190" s="4060"/>
      <c r="AJ190" s="4583"/>
      <c r="AK190" s="4583"/>
      <c r="AL190" s="4583"/>
      <c r="AM190" s="4583"/>
      <c r="AN190" s="4583"/>
      <c r="AO190" s="4583"/>
      <c r="AP190" s="4081"/>
      <c r="AQ190" s="4081"/>
      <c r="AR190" s="4081"/>
      <c r="AS190" s="4081"/>
      <c r="AT190" s="4081"/>
      <c r="AU190" s="4081"/>
      <c r="AV190" s="4081"/>
      <c r="AW190" s="4081"/>
      <c r="AX190" s="4081"/>
    </row>
    <row r="191" spans="29:50">
      <c r="AC191" s="4060"/>
      <c r="AD191" s="4060"/>
      <c r="AE191" s="4060"/>
      <c r="AF191" s="4060"/>
      <c r="AG191" s="4060"/>
      <c r="AH191" s="4060"/>
      <c r="AI191" s="4060"/>
      <c r="AJ191" s="4081"/>
      <c r="AK191" s="4081"/>
      <c r="AL191" s="4081"/>
      <c r="AM191" s="4081"/>
      <c r="AN191" s="4081"/>
      <c r="AO191" s="4081"/>
      <c r="AP191" s="4081"/>
      <c r="AQ191" s="4081"/>
      <c r="AR191" s="4081"/>
      <c r="AS191" s="4081"/>
      <c r="AT191" s="4081"/>
      <c r="AU191" s="4081"/>
      <c r="AV191" s="4081"/>
      <c r="AW191" s="4081"/>
      <c r="AX191" s="4081"/>
    </row>
    <row r="192" spans="29:50">
      <c r="AC192" s="4060"/>
      <c r="AD192" s="4060"/>
      <c r="AE192" s="4060"/>
      <c r="AF192" s="4060"/>
      <c r="AG192" s="4060"/>
      <c r="AH192" s="4060"/>
      <c r="AI192" s="4060"/>
      <c r="AJ192" s="4081"/>
      <c r="AK192" s="4081"/>
      <c r="AL192" s="4081"/>
      <c r="AM192" s="4081"/>
      <c r="AN192" s="4081"/>
      <c r="AO192" s="4081"/>
      <c r="AP192" s="4081"/>
      <c r="AQ192" s="4081"/>
      <c r="AR192" s="4081"/>
      <c r="AS192" s="4081"/>
      <c r="AT192" s="4081"/>
      <c r="AU192" s="4081"/>
      <c r="AV192" s="4081"/>
      <c r="AW192" s="4081"/>
      <c r="AX192" s="4081"/>
    </row>
    <row r="193" spans="29:50">
      <c r="AC193" s="4060"/>
      <c r="AD193" s="4060"/>
      <c r="AE193" s="4060"/>
      <c r="AF193" s="4060"/>
      <c r="AG193" s="4060"/>
      <c r="AH193" s="4060"/>
      <c r="AI193" s="4060"/>
      <c r="AJ193" s="4081"/>
      <c r="AK193" s="4081"/>
      <c r="AL193" s="4081"/>
      <c r="AM193" s="4081"/>
      <c r="AN193" s="4081"/>
      <c r="AO193" s="4081"/>
      <c r="AP193" s="4081"/>
      <c r="AQ193" s="4081"/>
      <c r="AR193" s="4081"/>
      <c r="AS193" s="4081"/>
      <c r="AT193" s="4081"/>
      <c r="AU193" s="4081"/>
      <c r="AV193" s="4081"/>
      <c r="AW193" s="4081"/>
      <c r="AX193" s="4081"/>
    </row>
    <row r="194" ht="12" customHeight="1" spans="50:50">
      <c r="AX194" s="4081"/>
    </row>
    <row r="195" spans="29:50">
      <c r="AC195" s="4060"/>
      <c r="AD195" s="4060"/>
      <c r="AE195" s="4060"/>
      <c r="AF195" s="4060"/>
      <c r="AG195" s="4060"/>
      <c r="AH195" s="4060"/>
      <c r="AI195" s="4060"/>
      <c r="AJ195" s="4081"/>
      <c r="AK195" s="4081"/>
      <c r="AL195" s="4081"/>
      <c r="AM195" s="4081"/>
      <c r="AN195" s="4081"/>
      <c r="AO195" s="4081"/>
      <c r="AP195" s="4081"/>
      <c r="AQ195" s="4081"/>
      <c r="AR195" s="4081"/>
      <c r="AS195" s="4081"/>
      <c r="AT195" s="4081"/>
      <c r="AU195" s="4081"/>
      <c r="AV195" s="4081"/>
      <c r="AW195" s="4081"/>
      <c r="AX195" s="4081"/>
    </row>
    <row r="196" spans="29:50">
      <c r="AC196" s="4060"/>
      <c r="AD196" s="4060"/>
      <c r="AE196" s="4060"/>
      <c r="AF196" s="4060"/>
      <c r="AG196" s="4060"/>
      <c r="AH196" s="4060"/>
      <c r="AI196" s="4060"/>
      <c r="AJ196" s="4081"/>
      <c r="AK196" s="4081"/>
      <c r="AL196" s="4081"/>
      <c r="AM196" s="4081"/>
      <c r="AN196" s="4081"/>
      <c r="AO196" s="4081"/>
      <c r="AP196" s="4081"/>
      <c r="AQ196" s="4081"/>
      <c r="AR196" s="4081"/>
      <c r="AS196" s="4081"/>
      <c r="AT196" s="4081"/>
      <c r="AU196" s="4081"/>
      <c r="AV196" s="4081"/>
      <c r="AW196" s="4081"/>
      <c r="AX196" s="4081"/>
    </row>
    <row r="197" spans="29:50">
      <c r="AC197" s="4060"/>
      <c r="AD197" s="4060"/>
      <c r="AE197" s="4060"/>
      <c r="AF197" s="4060"/>
      <c r="AG197" s="4060"/>
      <c r="AH197" s="4060"/>
      <c r="AI197" s="4060"/>
      <c r="AJ197" s="4081"/>
      <c r="AK197" s="4081"/>
      <c r="AL197" s="4081"/>
      <c r="AM197" s="4081"/>
      <c r="AN197" s="4081"/>
      <c r="AO197" s="4081"/>
      <c r="AP197" s="4081"/>
      <c r="AQ197" s="4081"/>
      <c r="AR197" s="4081"/>
      <c r="AS197" s="4081"/>
      <c r="AT197" s="4081"/>
      <c r="AU197" s="4081"/>
      <c r="AV197" s="4081"/>
      <c r="AW197" s="4081"/>
      <c r="AX197" s="4081"/>
    </row>
    <row r="198" spans="29:50">
      <c r="AC198" s="4060"/>
      <c r="AD198" s="4060"/>
      <c r="AE198" s="4060"/>
      <c r="AF198" s="4060"/>
      <c r="AG198" s="4060"/>
      <c r="AH198" s="4060"/>
      <c r="AI198" s="4060"/>
      <c r="AJ198" s="4081"/>
      <c r="AK198" s="4081"/>
      <c r="AL198" s="4081"/>
      <c r="AM198" s="4081"/>
      <c r="AN198" s="4081"/>
      <c r="AO198" s="4081"/>
      <c r="AP198" s="4081"/>
      <c r="AQ198" s="4081"/>
      <c r="AR198" s="4081"/>
      <c r="AS198" s="4081"/>
      <c r="AT198" s="4081"/>
      <c r="AU198" s="4081"/>
      <c r="AV198" s="4081"/>
      <c r="AW198" s="4081"/>
      <c r="AX198" s="4081"/>
    </row>
    <row r="199" spans="29:50">
      <c r="AC199" s="4060"/>
      <c r="AD199" s="4060"/>
      <c r="AE199" s="4060"/>
      <c r="AF199" s="4060"/>
      <c r="AG199" s="4060"/>
      <c r="AH199" s="4060"/>
      <c r="AI199" s="4060"/>
      <c r="AJ199" s="4081"/>
      <c r="AK199" s="4081"/>
      <c r="AL199" s="4081"/>
      <c r="AM199" s="4081"/>
      <c r="AN199" s="4081"/>
      <c r="AO199" s="4081"/>
      <c r="AP199" s="4081"/>
      <c r="AQ199" s="4081"/>
      <c r="AR199" s="4081"/>
      <c r="AS199" s="4081"/>
      <c r="AT199" s="4081"/>
      <c r="AU199" s="4081"/>
      <c r="AV199" s="4081"/>
      <c r="AW199" s="4081"/>
      <c r="AX199" s="4081"/>
    </row>
    <row r="200" spans="29:50">
      <c r="AC200" s="4060"/>
      <c r="AD200" s="4060"/>
      <c r="AE200" s="4060"/>
      <c r="AF200" s="4060"/>
      <c r="AG200" s="4060"/>
      <c r="AH200" s="4060"/>
      <c r="AI200" s="4060"/>
      <c r="AJ200" s="4081"/>
      <c r="AK200" s="4081"/>
      <c r="AL200" s="4081"/>
      <c r="AM200" s="4081"/>
      <c r="AN200" s="4081"/>
      <c r="AO200" s="4081"/>
      <c r="AP200" s="4081"/>
      <c r="AQ200" s="4081"/>
      <c r="AR200" s="4081"/>
      <c r="AS200" s="4081"/>
      <c r="AT200" s="4081"/>
      <c r="AU200" s="4081"/>
      <c r="AV200" s="4081"/>
      <c r="AW200" s="4081"/>
      <c r="AX200" s="4081"/>
    </row>
    <row r="201" spans="29:50">
      <c r="AC201" s="4060"/>
      <c r="AD201" s="4060"/>
      <c r="AE201" s="4060"/>
      <c r="AF201" s="4060"/>
      <c r="AG201" s="4060"/>
      <c r="AH201" s="4060"/>
      <c r="AI201" s="4060"/>
      <c r="AJ201" s="4081"/>
      <c r="AK201" s="4081"/>
      <c r="AL201" s="4081"/>
      <c r="AM201" s="4081"/>
      <c r="AN201" s="4081"/>
      <c r="AO201" s="4081"/>
      <c r="AP201" s="4081"/>
      <c r="AQ201" s="4081"/>
      <c r="AR201" s="4081"/>
      <c r="AS201" s="4081"/>
      <c r="AT201" s="4081"/>
      <c r="AU201" s="4081"/>
      <c r="AV201" s="4081"/>
      <c r="AW201" s="4081"/>
      <c r="AX201" s="4081"/>
    </row>
    <row r="202" spans="29:50">
      <c r="AC202" s="4060"/>
      <c r="AD202" s="4060"/>
      <c r="AE202" s="4060"/>
      <c r="AF202" s="4060"/>
      <c r="AG202" s="4060"/>
      <c r="AH202" s="4060"/>
      <c r="AI202" s="4060"/>
      <c r="AJ202" s="4081"/>
      <c r="AK202" s="4081"/>
      <c r="AL202" s="4081"/>
      <c r="AM202" s="4081"/>
      <c r="AN202" s="4081"/>
      <c r="AO202" s="4081"/>
      <c r="AP202" s="4081"/>
      <c r="AQ202" s="4081"/>
      <c r="AR202" s="4081"/>
      <c r="AS202" s="4081"/>
      <c r="AT202" s="4081"/>
      <c r="AU202" s="4081"/>
      <c r="AV202" s="4081"/>
      <c r="AW202" s="4081"/>
      <c r="AX202" s="4081"/>
    </row>
    <row r="203" spans="29:50">
      <c r="AC203" s="4060"/>
      <c r="AD203" s="4060"/>
      <c r="AE203" s="4060"/>
      <c r="AF203" s="4060"/>
      <c r="AG203" s="4060"/>
      <c r="AH203" s="4060"/>
      <c r="AI203" s="4060"/>
      <c r="AJ203" s="4081"/>
      <c r="AK203" s="4081"/>
      <c r="AL203" s="4081"/>
      <c r="AM203" s="4081"/>
      <c r="AN203" s="4081"/>
      <c r="AO203" s="4081"/>
      <c r="AP203" s="4081"/>
      <c r="AQ203" s="4081"/>
      <c r="AR203" s="4081"/>
      <c r="AS203" s="4081"/>
      <c r="AT203" s="4081"/>
      <c r="AU203" s="4081"/>
      <c r="AV203" s="4081"/>
      <c r="AW203" s="4081"/>
      <c r="AX203" s="4081"/>
    </row>
    <row r="204" spans="2:50">
      <c r="B204" s="3628" t="s">
        <v>480</v>
      </c>
      <c r="C204" s="3628"/>
      <c r="D204" s="3628"/>
      <c r="E204" s="3628"/>
      <c r="F204" s="3628"/>
      <c r="G204" s="3628"/>
      <c r="H204" s="3628"/>
      <c r="I204" s="3628"/>
      <c r="J204" s="3628"/>
      <c r="K204" s="3628"/>
      <c r="L204" s="3628"/>
      <c r="M204" s="3628"/>
      <c r="N204" s="3628"/>
      <c r="O204" s="3628"/>
      <c r="P204" s="3628"/>
      <c r="Q204" s="3628"/>
      <c r="R204" s="3628"/>
      <c r="S204" s="3628"/>
      <c r="T204" s="3628"/>
      <c r="U204" s="3628"/>
      <c r="V204" s="3628"/>
      <c r="W204" s="3628"/>
      <c r="X204" s="3628"/>
      <c r="Y204" s="3628"/>
      <c r="Z204" s="3628"/>
      <c r="AA204" s="3628"/>
      <c r="AB204" s="3628"/>
      <c r="AC204" s="3628"/>
      <c r="AD204" s="3628"/>
      <c r="AE204" s="3628"/>
      <c r="AF204" s="3628"/>
      <c r="AG204" s="3628"/>
      <c r="AH204" s="3628"/>
      <c r="AI204" s="3628"/>
      <c r="AJ204" s="3628"/>
      <c r="AK204" s="3628"/>
      <c r="AL204" s="3628"/>
      <c r="AM204" s="3628"/>
      <c r="AN204" s="3628"/>
      <c r="AO204" s="3628"/>
      <c r="AP204" s="3628"/>
      <c r="AQ204" s="3628"/>
      <c r="AR204" s="3628"/>
      <c r="AS204" s="3628"/>
      <c r="AT204" s="3628"/>
      <c r="AU204" s="3628"/>
      <c r="AV204" s="3628"/>
      <c r="AW204" s="3628"/>
      <c r="AX204" s="4081"/>
    </row>
    <row r="205" spans="29:50">
      <c r="AC205" s="4060"/>
      <c r="AD205" s="4060"/>
      <c r="AE205" s="4060"/>
      <c r="AF205" s="4060"/>
      <c r="AG205" s="4060"/>
      <c r="AH205" s="4060"/>
      <c r="AI205" s="4060"/>
      <c r="AJ205" s="4081"/>
      <c r="AK205" s="4081"/>
      <c r="AL205" s="4081"/>
      <c r="AM205" s="4081"/>
      <c r="AN205" s="4081"/>
      <c r="AO205" s="4081"/>
      <c r="AP205" s="4081"/>
      <c r="AQ205" s="4081"/>
      <c r="AR205" s="4081"/>
      <c r="AS205" s="4081"/>
      <c r="AT205" s="4081"/>
      <c r="AU205" s="4081"/>
      <c r="AV205" s="4081"/>
      <c r="AW205" s="4081"/>
      <c r="AX205" s="4081"/>
    </row>
    <row r="206" spans="29:50">
      <c r="AC206" s="4060"/>
      <c r="AD206" s="4060"/>
      <c r="AE206" s="4060"/>
      <c r="AF206" s="4060"/>
      <c r="AG206" s="4060"/>
      <c r="AH206" s="4060"/>
      <c r="AI206" s="4060"/>
      <c r="AJ206" s="4081"/>
      <c r="AK206" s="4081"/>
      <c r="AL206" s="4081"/>
      <c r="AM206" s="4081"/>
      <c r="AN206" s="4081"/>
      <c r="AO206" s="4081"/>
      <c r="AP206" s="4081"/>
      <c r="AQ206" s="4081"/>
      <c r="AR206" s="4081"/>
      <c r="AS206" s="4081"/>
      <c r="AT206" s="4081"/>
      <c r="AU206" s="4081"/>
      <c r="AV206" s="4081"/>
      <c r="AW206" s="4081"/>
      <c r="AX206" s="4081"/>
    </row>
    <row r="207" spans="29:50">
      <c r="AC207" s="4060"/>
      <c r="AD207" s="4060"/>
      <c r="AE207" s="4060"/>
      <c r="AF207" s="4060"/>
      <c r="AG207" s="4060"/>
      <c r="AH207" s="4060"/>
      <c r="AI207" s="4060"/>
      <c r="AJ207" s="4081"/>
      <c r="AK207" s="4081"/>
      <c r="AL207" s="4081"/>
      <c r="AM207" s="4081"/>
      <c r="AN207" s="4081"/>
      <c r="AO207" s="4081"/>
      <c r="AP207" s="4081"/>
      <c r="AQ207" s="4081"/>
      <c r="AR207" s="4081"/>
      <c r="AS207" s="4081"/>
      <c r="AT207" s="4081"/>
      <c r="AU207" s="4081"/>
      <c r="AV207" s="4081"/>
      <c r="AW207" s="4081"/>
      <c r="AX207" s="4081"/>
    </row>
    <row r="208" spans="29:50">
      <c r="AC208" s="4060"/>
      <c r="AD208" s="4060"/>
      <c r="AE208" s="4060"/>
      <c r="AF208" s="4060"/>
      <c r="AG208" s="4060"/>
      <c r="AH208" s="4060"/>
      <c r="AI208" s="4060"/>
      <c r="AJ208" s="4081"/>
      <c r="AK208" s="4081"/>
      <c r="AL208" s="4081"/>
      <c r="AM208" s="4081"/>
      <c r="AN208" s="4081"/>
      <c r="AO208" s="4081"/>
      <c r="AP208" s="4081"/>
      <c r="AQ208" s="4081"/>
      <c r="AR208" s="4081"/>
      <c r="AS208" s="4081"/>
      <c r="AT208" s="4081"/>
      <c r="AU208" s="4081"/>
      <c r="AV208" s="4081"/>
      <c r="AW208" s="4081"/>
      <c r="AX208" s="4081"/>
    </row>
    <row r="209" spans="29:50">
      <c r="AC209" s="4060"/>
      <c r="AD209" s="4060"/>
      <c r="AE209" s="4060"/>
      <c r="AF209" s="4060"/>
      <c r="AG209" s="4060"/>
      <c r="AH209" s="4060"/>
      <c r="AI209" s="4060"/>
      <c r="AJ209" s="4081"/>
      <c r="AK209" s="4081"/>
      <c r="AL209" s="4081"/>
      <c r="AM209" s="4081"/>
      <c r="AN209" s="4081"/>
      <c r="AO209" s="4081"/>
      <c r="AP209" s="4081"/>
      <c r="AQ209" s="4081"/>
      <c r="AR209" s="4081"/>
      <c r="AS209" s="4081"/>
      <c r="AT209" s="4081"/>
      <c r="AU209" s="4081"/>
      <c r="AV209" s="4081"/>
      <c r="AW209" s="4081"/>
      <c r="AX209" s="4081"/>
    </row>
    <row r="210" spans="29:50">
      <c r="AC210" s="4060"/>
      <c r="AD210" s="4060"/>
      <c r="AE210" s="4060"/>
      <c r="AF210" s="4060"/>
      <c r="AG210" s="4060"/>
      <c r="AH210" s="4060"/>
      <c r="AI210" s="4060"/>
      <c r="AJ210" s="4081"/>
      <c r="AK210" s="4081"/>
      <c r="AL210" s="4081"/>
      <c r="AM210" s="4081"/>
      <c r="AN210" s="4081"/>
      <c r="AO210" s="4081"/>
      <c r="AP210" s="4081"/>
      <c r="AQ210" s="4081"/>
      <c r="AR210" s="4081"/>
      <c r="AS210" s="4081"/>
      <c r="AT210" s="4081"/>
      <c r="AU210" s="4081"/>
      <c r="AV210" s="4081"/>
      <c r="AW210" s="4081"/>
      <c r="AX210" s="4081"/>
    </row>
    <row r="211" spans="29:50">
      <c r="AC211" s="4060"/>
      <c r="AD211" s="4060"/>
      <c r="AE211" s="4060"/>
      <c r="AF211" s="4060"/>
      <c r="AG211" s="4060"/>
      <c r="AH211" s="4060"/>
      <c r="AI211" s="4060"/>
      <c r="AJ211" s="4081"/>
      <c r="AK211" s="4081"/>
      <c r="AL211" s="4081"/>
      <c r="AM211" s="4081"/>
      <c r="AN211" s="4081"/>
      <c r="AO211" s="4081"/>
      <c r="AP211" s="4081"/>
      <c r="AQ211" s="4081"/>
      <c r="AR211" s="4081"/>
      <c r="AS211" s="4081"/>
      <c r="AT211" s="4081"/>
      <c r="AU211" s="4081"/>
      <c r="AV211" s="4081"/>
      <c r="AW211" s="4081"/>
      <c r="AX211" s="4081"/>
    </row>
    <row r="212" spans="2:50">
      <c r="B212" s="3609">
        <f>B130</f>
        <v>0</v>
      </c>
      <c r="AC212" s="4060"/>
      <c r="AD212" s="4060"/>
      <c r="AE212" s="4060"/>
      <c r="AF212" s="4060"/>
      <c r="AG212" s="4060"/>
      <c r="AH212" s="4060"/>
      <c r="AI212" s="4060"/>
      <c r="AJ212" s="4081"/>
      <c r="AK212" s="4081"/>
      <c r="AL212" s="4081"/>
      <c r="AM212" s="4081"/>
      <c r="AN212" s="4081"/>
      <c r="AO212" s="4081"/>
      <c r="AP212" s="4081"/>
      <c r="AQ212" s="4081"/>
      <c r="AR212" s="4081"/>
      <c r="AS212" s="4081"/>
      <c r="AT212" s="4081"/>
      <c r="AU212" s="4081"/>
      <c r="AV212" s="4081"/>
      <c r="AW212" s="4081"/>
      <c r="AX212" s="4081"/>
    </row>
    <row r="213" spans="2:50">
      <c r="B213" s="3609"/>
      <c r="AC213" s="4060"/>
      <c r="AD213" s="4060"/>
      <c r="AE213" s="4060"/>
      <c r="AF213" s="4060"/>
      <c r="AG213" s="4060"/>
      <c r="AH213" s="4060"/>
      <c r="AI213" s="4060"/>
      <c r="AJ213" s="4081"/>
      <c r="AK213" s="4081"/>
      <c r="AL213" s="4081"/>
      <c r="AM213" s="4081"/>
      <c r="AN213" s="4081"/>
      <c r="AO213" s="4081"/>
      <c r="AP213" s="4081"/>
      <c r="AQ213" s="4081"/>
      <c r="AR213" s="4081"/>
      <c r="AS213" s="4081"/>
      <c r="AT213" s="4081"/>
      <c r="AU213" s="4081"/>
      <c r="AV213" s="4081"/>
      <c r="AW213" s="4081"/>
      <c r="AX213" s="4081"/>
    </row>
    <row r="214" spans="29:50">
      <c r="AC214" s="4060"/>
      <c r="AD214" s="4060"/>
      <c r="AE214" s="4060"/>
      <c r="AF214" s="4060"/>
      <c r="AG214" s="4060"/>
      <c r="AH214" s="4060"/>
      <c r="AI214" s="4060"/>
      <c r="AJ214" s="4081"/>
      <c r="AK214" s="4081"/>
      <c r="AL214" s="4081"/>
      <c r="AM214" s="4081"/>
      <c r="AN214" s="4081"/>
      <c r="AO214" s="4081"/>
      <c r="AP214" s="4081"/>
      <c r="AQ214" s="4081"/>
      <c r="AR214" s="4081"/>
      <c r="AS214" s="4081"/>
      <c r="AT214" s="4081"/>
      <c r="AU214" s="4081"/>
      <c r="AV214" s="4081"/>
      <c r="AW214" s="4081"/>
      <c r="AX214" s="4081"/>
    </row>
    <row r="215" spans="29:50">
      <c r="AC215" s="4060"/>
      <c r="AD215" s="4060"/>
      <c r="AE215" s="4060"/>
      <c r="AF215" s="4060"/>
      <c r="AG215" s="4060"/>
      <c r="AH215" s="4060"/>
      <c r="AI215" s="4060"/>
      <c r="AJ215" s="4081"/>
      <c r="AK215" s="4081"/>
      <c r="AL215" s="4081"/>
      <c r="AM215" s="4081"/>
      <c r="AN215" s="4081"/>
      <c r="AO215" s="4081"/>
      <c r="AP215" s="4081"/>
      <c r="AQ215" s="4081"/>
      <c r="AR215" s="4081"/>
      <c r="AS215" s="4081"/>
      <c r="AT215" s="4081"/>
      <c r="AU215" s="4081"/>
      <c r="AV215" s="4081"/>
      <c r="AW215" s="4081"/>
      <c r="AX215" s="4081"/>
    </row>
    <row r="216" spans="29:50">
      <c r="AC216" s="4060"/>
      <c r="AD216" s="4060"/>
      <c r="AE216" s="4060"/>
      <c r="AF216" s="4060"/>
      <c r="AG216" s="4060"/>
      <c r="AH216" s="4060"/>
      <c r="AI216" s="4060"/>
      <c r="AJ216" s="4081"/>
      <c r="AK216" s="4081"/>
      <c r="AL216" s="4081"/>
      <c r="AM216" s="4081"/>
      <c r="AN216" s="4081"/>
      <c r="AO216" s="4081"/>
      <c r="AP216" s="4081"/>
      <c r="AQ216" s="4081"/>
      <c r="AR216" s="4081"/>
      <c r="AS216" s="4081"/>
      <c r="AT216" s="4081"/>
      <c r="AU216" s="4081"/>
      <c r="AV216" s="4081"/>
      <c r="AW216" s="4081"/>
      <c r="AX216" s="4081"/>
    </row>
    <row r="217" spans="29:50">
      <c r="AC217" s="4060"/>
      <c r="AD217" s="4060"/>
      <c r="AE217" s="4060"/>
      <c r="AF217" s="4060"/>
      <c r="AG217" s="4060"/>
      <c r="AH217" s="4060"/>
      <c r="AI217" s="4060"/>
      <c r="AJ217" s="4081"/>
      <c r="AK217" s="4081"/>
      <c r="AL217" s="4081"/>
      <c r="AM217" s="4081"/>
      <c r="AN217" s="4081"/>
      <c r="AO217" s="4081"/>
      <c r="AP217" s="4081"/>
      <c r="AQ217" s="4081"/>
      <c r="AR217" s="4081"/>
      <c r="AS217" s="4081"/>
      <c r="AT217" s="4081"/>
      <c r="AU217" s="4081"/>
      <c r="AV217" s="4081"/>
      <c r="AW217" s="4081"/>
      <c r="AX217" s="4081"/>
    </row>
    <row r="218" spans="2:50">
      <c r="B218" s="3609"/>
      <c r="AC218" s="4060"/>
      <c r="AD218" s="4060"/>
      <c r="AE218" s="4060"/>
      <c r="AF218" s="4060"/>
      <c r="AG218" s="4060"/>
      <c r="AH218" s="4060"/>
      <c r="AI218" s="4060"/>
      <c r="AJ218" s="4081"/>
      <c r="AK218" s="4081"/>
      <c r="AL218" s="4081"/>
      <c r="AM218" s="4081"/>
      <c r="AN218" s="4081"/>
      <c r="AO218" s="4081"/>
      <c r="AP218" s="4081"/>
      <c r="AQ218" s="4081"/>
      <c r="AR218" s="4081"/>
      <c r="AS218" s="4081"/>
      <c r="AT218" s="4081"/>
      <c r="AU218" s="4081"/>
      <c r="AV218" s="4081"/>
      <c r="AW218" s="4081"/>
      <c r="AX218" s="4081"/>
    </row>
    <row r="219" spans="29:50">
      <c r="AC219" s="4060"/>
      <c r="AD219" s="4060"/>
      <c r="AE219" s="4060"/>
      <c r="AF219" s="4060"/>
      <c r="AG219" s="4060"/>
      <c r="AH219" s="4060"/>
      <c r="AI219" s="4060"/>
      <c r="AJ219" s="4081"/>
      <c r="AK219" s="4081"/>
      <c r="AL219" s="4081"/>
      <c r="AM219" s="4081"/>
      <c r="AN219" s="4081"/>
      <c r="AO219" s="4081"/>
      <c r="AP219" s="4081"/>
      <c r="AQ219" s="4081"/>
      <c r="AR219" s="4081"/>
      <c r="AS219" s="4081"/>
      <c r="AT219" s="4081"/>
      <c r="AU219" s="4081"/>
      <c r="AV219" s="4081"/>
      <c r="AW219" s="4081"/>
      <c r="AX219" s="4081"/>
    </row>
    <row r="220" spans="29:50">
      <c r="AC220" s="4060"/>
      <c r="AD220" s="4060"/>
      <c r="AE220" s="4060"/>
      <c r="AF220" s="4060"/>
      <c r="AG220" s="4060"/>
      <c r="AH220" s="4060"/>
      <c r="AI220" s="4060"/>
      <c r="AJ220" s="4081"/>
      <c r="AK220" s="4081"/>
      <c r="AL220" s="4081"/>
      <c r="AM220" s="4081"/>
      <c r="AN220" s="4081"/>
      <c r="AO220" s="4081"/>
      <c r="AP220" s="4081"/>
      <c r="AQ220" s="4081"/>
      <c r="AR220" s="4081"/>
      <c r="AS220" s="4081"/>
      <c r="AT220" s="4081"/>
      <c r="AU220" s="4081"/>
      <c r="AV220" s="4081"/>
      <c r="AW220" s="4081"/>
      <c r="AX220" s="4081"/>
    </row>
    <row r="221" spans="52:52">
      <c r="AZ221" s="4595"/>
    </row>
  </sheetData>
  <mergeCells count="283">
    <mergeCell ref="R8:T8"/>
    <mergeCell ref="AJ8:AO8"/>
    <mergeCell ref="AQ8:AV8"/>
    <mergeCell ref="R12:T12"/>
    <mergeCell ref="AJ12:AO12"/>
    <mergeCell ref="AQ12:AV12"/>
    <mergeCell ref="R13:T13"/>
    <mergeCell ref="AJ13:AO13"/>
    <mergeCell ref="AQ13:AV13"/>
    <mergeCell ref="R14:T14"/>
    <mergeCell ref="AJ14:AO14"/>
    <mergeCell ref="AQ14:AV14"/>
    <mergeCell ref="R15:T15"/>
    <mergeCell ref="AJ15:AO15"/>
    <mergeCell ref="AQ15:AV15"/>
    <mergeCell ref="R16:T16"/>
    <mergeCell ref="AJ16:AO16"/>
    <mergeCell ref="AQ16:AV16"/>
    <mergeCell ref="R17:T17"/>
    <mergeCell ref="AJ17:AO17"/>
    <mergeCell ref="AQ17:AV17"/>
    <mergeCell ref="R18:T18"/>
    <mergeCell ref="AJ18:AO18"/>
    <mergeCell ref="AQ18:AV18"/>
    <mergeCell ref="R19:T19"/>
    <mergeCell ref="AJ19:AO19"/>
    <mergeCell ref="AQ19:AV19"/>
    <mergeCell ref="AJ20:AO20"/>
    <mergeCell ref="AQ20:AV20"/>
    <mergeCell ref="R26:T26"/>
    <mergeCell ref="AJ26:AO26"/>
    <mergeCell ref="AQ26:AV26"/>
    <mergeCell ref="R27:T27"/>
    <mergeCell ref="AJ27:AO27"/>
    <mergeCell ref="AQ27:AV27"/>
    <mergeCell ref="R28:T28"/>
    <mergeCell ref="AJ28:AO28"/>
    <mergeCell ref="AQ28:AV28"/>
    <mergeCell ref="AJ29:AO29"/>
    <mergeCell ref="AQ29:AV29"/>
    <mergeCell ref="AJ30:AO30"/>
    <mergeCell ref="AQ30:AV30"/>
    <mergeCell ref="AJ32:AO32"/>
    <mergeCell ref="AQ32:AV32"/>
    <mergeCell ref="AJ33:AO33"/>
    <mergeCell ref="AQ33:AV33"/>
    <mergeCell ref="R37:T37"/>
    <mergeCell ref="AJ37:AO37"/>
    <mergeCell ref="AQ37:AV37"/>
    <mergeCell ref="R38:T38"/>
    <mergeCell ref="AJ38:AO38"/>
    <mergeCell ref="AQ38:AV38"/>
    <mergeCell ref="R39:T39"/>
    <mergeCell ref="AJ39:AO39"/>
    <mergeCell ref="AQ39:AV39"/>
    <mergeCell ref="R40:T40"/>
    <mergeCell ref="AJ40:AO40"/>
    <mergeCell ref="AQ40:AV40"/>
    <mergeCell ref="R41:T41"/>
    <mergeCell ref="AJ41:AO41"/>
    <mergeCell ref="AQ41:AV41"/>
    <mergeCell ref="R42:T42"/>
    <mergeCell ref="AJ42:AO42"/>
    <mergeCell ref="AQ42:AV42"/>
    <mergeCell ref="AJ43:AO43"/>
    <mergeCell ref="AQ43:AV43"/>
    <mergeCell ref="AJ44:AO44"/>
    <mergeCell ref="AQ44:AV44"/>
    <mergeCell ref="R47:T47"/>
    <mergeCell ref="AJ47:AO47"/>
    <mergeCell ref="AQ47:AV47"/>
    <mergeCell ref="R48:T48"/>
    <mergeCell ref="AJ48:AO48"/>
    <mergeCell ref="AQ48:AV48"/>
    <mergeCell ref="R49:T49"/>
    <mergeCell ref="AJ49:AO49"/>
    <mergeCell ref="AQ49:AV49"/>
    <mergeCell ref="R50:T50"/>
    <mergeCell ref="AJ50:AO50"/>
    <mergeCell ref="AQ50:AV50"/>
    <mergeCell ref="R51:T51"/>
    <mergeCell ref="AJ51:AO51"/>
    <mergeCell ref="AQ51:AV51"/>
    <mergeCell ref="AJ53:AO53"/>
    <mergeCell ref="AQ53:AV53"/>
    <mergeCell ref="R56:T56"/>
    <mergeCell ref="AJ56:AO56"/>
    <mergeCell ref="AQ56:AV56"/>
    <mergeCell ref="R57:T57"/>
    <mergeCell ref="AJ57:AO57"/>
    <mergeCell ref="AQ57:AV57"/>
    <mergeCell ref="AJ58:AO58"/>
    <mergeCell ref="AQ58:AV58"/>
    <mergeCell ref="AJ59:AO59"/>
    <mergeCell ref="AQ59:AV59"/>
    <mergeCell ref="AJ60:AO60"/>
    <mergeCell ref="AQ60:AV60"/>
    <mergeCell ref="AJ62:AO62"/>
    <mergeCell ref="AQ62:AV62"/>
    <mergeCell ref="AQ81:AV81"/>
    <mergeCell ref="R82:T82"/>
    <mergeCell ref="AJ82:AO82"/>
    <mergeCell ref="AQ82:AV82"/>
    <mergeCell ref="R84:T84"/>
    <mergeCell ref="AJ84:AO84"/>
    <mergeCell ref="AQ84:AV84"/>
    <mergeCell ref="AJ85:AO85"/>
    <mergeCell ref="AQ85:AV85"/>
    <mergeCell ref="R86:T86"/>
    <mergeCell ref="AJ86:AO86"/>
    <mergeCell ref="AQ86:AV86"/>
    <mergeCell ref="AJ87:AO87"/>
    <mergeCell ref="AQ87:AV87"/>
    <mergeCell ref="AJ88:AO88"/>
    <mergeCell ref="AQ88:AV88"/>
    <mergeCell ref="AJ89:AO89"/>
    <mergeCell ref="AQ89:AV89"/>
    <mergeCell ref="R90:T90"/>
    <mergeCell ref="AJ90:AO90"/>
    <mergeCell ref="AQ90:AV90"/>
    <mergeCell ref="AJ91:AO91"/>
    <mergeCell ref="AQ91:AV91"/>
    <mergeCell ref="AJ92:AO92"/>
    <mergeCell ref="AQ92:AV92"/>
    <mergeCell ref="R94:T94"/>
    <mergeCell ref="AJ95:AO95"/>
    <mergeCell ref="AQ95:AV95"/>
    <mergeCell ref="AJ96:AO96"/>
    <mergeCell ref="AQ96:AV96"/>
    <mergeCell ref="R97:T97"/>
    <mergeCell ref="AJ97:AO97"/>
    <mergeCell ref="AQ97:AV97"/>
    <mergeCell ref="AJ98:AO98"/>
    <mergeCell ref="AQ98:AV98"/>
    <mergeCell ref="AJ100:AO100"/>
    <mergeCell ref="AQ100:AV100"/>
    <mergeCell ref="AJ101:AO101"/>
    <mergeCell ref="AQ101:AV101"/>
    <mergeCell ref="R102:T102"/>
    <mergeCell ref="AJ102:AO102"/>
    <mergeCell ref="AQ102:AV102"/>
    <mergeCell ref="R103:T103"/>
    <mergeCell ref="AJ103:AO103"/>
    <mergeCell ref="AQ103:AV103"/>
    <mergeCell ref="R104:T104"/>
    <mergeCell ref="AJ104:AO104"/>
    <mergeCell ref="AQ104:AV104"/>
    <mergeCell ref="R105:T105"/>
    <mergeCell ref="AJ105:AO105"/>
    <mergeCell ref="AQ105:AV105"/>
    <mergeCell ref="AJ106:AO106"/>
    <mergeCell ref="AQ106:AV106"/>
    <mergeCell ref="AJ107:AO107"/>
    <mergeCell ref="AQ107:AV107"/>
    <mergeCell ref="AJ108:AO108"/>
    <mergeCell ref="AQ108:AV108"/>
    <mergeCell ref="AJ109:AO109"/>
    <mergeCell ref="AQ109:AV109"/>
    <mergeCell ref="AJ110:AO110"/>
    <mergeCell ref="AQ110:AV110"/>
    <mergeCell ref="AJ111:AO111"/>
    <mergeCell ref="AQ111:AV111"/>
    <mergeCell ref="AJ112:AO112"/>
    <mergeCell ref="AQ112:AV112"/>
    <mergeCell ref="O153:T153"/>
    <mergeCell ref="V153:AA153"/>
    <mergeCell ref="AC153:AH153"/>
    <mergeCell ref="AJ153:AO153"/>
    <mergeCell ref="AQ153:AV153"/>
    <mergeCell ref="O154:T154"/>
    <mergeCell ref="AJ154:AO154"/>
    <mergeCell ref="AQ154:AV154"/>
    <mergeCell ref="O155:T155"/>
    <mergeCell ref="AJ155:AO155"/>
    <mergeCell ref="AQ155:AV155"/>
    <mergeCell ref="O156:T156"/>
    <mergeCell ref="AJ156:AO156"/>
    <mergeCell ref="AQ156:AV156"/>
    <mergeCell ref="O157:T157"/>
    <mergeCell ref="AJ157:AO157"/>
    <mergeCell ref="AQ157:AV157"/>
    <mergeCell ref="O158:T158"/>
    <mergeCell ref="AJ158:AO158"/>
    <mergeCell ref="AQ158:AV158"/>
    <mergeCell ref="O159:T159"/>
    <mergeCell ref="AJ159:AO159"/>
    <mergeCell ref="AQ159:AV159"/>
    <mergeCell ref="O160:T160"/>
    <mergeCell ref="V160:AA160"/>
    <mergeCell ref="AC160:AH160"/>
    <mergeCell ref="AJ160:AO160"/>
    <mergeCell ref="AQ160:AV160"/>
    <mergeCell ref="O161:T161"/>
    <mergeCell ref="V161:AA161"/>
    <mergeCell ref="AC161:AH161"/>
    <mergeCell ref="AJ161:AO161"/>
    <mergeCell ref="AQ161:AV161"/>
    <mergeCell ref="O162:T162"/>
    <mergeCell ref="V162:AA162"/>
    <mergeCell ref="AC162:AH162"/>
    <mergeCell ref="AJ162:AO162"/>
    <mergeCell ref="AQ162:AV162"/>
    <mergeCell ref="O164:T164"/>
    <mergeCell ref="V164:AA164"/>
    <mergeCell ref="AC164:AH164"/>
    <mergeCell ref="AJ164:AO164"/>
    <mergeCell ref="AQ164:AV164"/>
    <mergeCell ref="O166:T166"/>
    <mergeCell ref="V166:AA166"/>
    <mergeCell ref="AC166:AH166"/>
    <mergeCell ref="AJ166:AO166"/>
    <mergeCell ref="AQ166:AV166"/>
    <mergeCell ref="O169:T169"/>
    <mergeCell ref="V169:AA169"/>
    <mergeCell ref="AC169:AH169"/>
    <mergeCell ref="AJ169:AO169"/>
    <mergeCell ref="AQ169:AV169"/>
    <mergeCell ref="O170:T170"/>
    <mergeCell ref="V170:AA170"/>
    <mergeCell ref="AC170:AH170"/>
    <mergeCell ref="AJ170:AO170"/>
    <mergeCell ref="AQ170:AV170"/>
    <mergeCell ref="O171:T171"/>
    <mergeCell ref="V171:AA171"/>
    <mergeCell ref="AC171:AH171"/>
    <mergeCell ref="AJ171:AO171"/>
    <mergeCell ref="AQ171:AV171"/>
    <mergeCell ref="O173:T173"/>
    <mergeCell ref="V173:AA173"/>
    <mergeCell ref="AC173:AH173"/>
    <mergeCell ref="AJ173:AO173"/>
    <mergeCell ref="AQ173:AV173"/>
    <mergeCell ref="O175:T175"/>
    <mergeCell ref="V175:AA175"/>
    <mergeCell ref="AC175:AH175"/>
    <mergeCell ref="AJ175:AO175"/>
    <mergeCell ref="AQ175:AV175"/>
    <mergeCell ref="O177:T177"/>
    <mergeCell ref="V177:AA177"/>
    <mergeCell ref="AC177:AH177"/>
    <mergeCell ref="AJ177:AO177"/>
    <mergeCell ref="AQ177:AV177"/>
    <mergeCell ref="O179:T179"/>
    <mergeCell ref="V179:AA179"/>
    <mergeCell ref="AC179:AH179"/>
    <mergeCell ref="AJ179:AO179"/>
    <mergeCell ref="AQ179:AV179"/>
    <mergeCell ref="O181:T181"/>
    <mergeCell ref="V181:AA181"/>
    <mergeCell ref="AC181:AH181"/>
    <mergeCell ref="AJ181:AO181"/>
    <mergeCell ref="AQ181:AV181"/>
    <mergeCell ref="O183:T183"/>
    <mergeCell ref="V183:AA183"/>
    <mergeCell ref="AC183:AH183"/>
    <mergeCell ref="AJ183:AO183"/>
    <mergeCell ref="AQ183:AV183"/>
    <mergeCell ref="O185:T185"/>
    <mergeCell ref="V185:AA185"/>
    <mergeCell ref="AC185:AH185"/>
    <mergeCell ref="AJ185:AO185"/>
    <mergeCell ref="AQ185:AV185"/>
    <mergeCell ref="O187:T187"/>
    <mergeCell ref="V187:AA187"/>
    <mergeCell ref="AC187:AH187"/>
    <mergeCell ref="AJ187:AO187"/>
    <mergeCell ref="AQ187:AV187"/>
    <mergeCell ref="AJ189:AO189"/>
    <mergeCell ref="V190:AA190"/>
    <mergeCell ref="AJ190:AO190"/>
    <mergeCell ref="B204:AW204"/>
    <mergeCell ref="AP148:AQ151"/>
    <mergeCell ref="AR148:AV149"/>
    <mergeCell ref="AR150:AV151"/>
    <mergeCell ref="AP76:AQ79"/>
    <mergeCell ref="AR76:AV77"/>
    <mergeCell ref="AR78:AV79"/>
    <mergeCell ref="B24:P26"/>
    <mergeCell ref="AJ1:AK5"/>
    <mergeCell ref="AL1:AR3"/>
    <mergeCell ref="AS1:AV3"/>
    <mergeCell ref="AL4:AR5"/>
    <mergeCell ref="AS4:AV5"/>
  </mergeCells>
  <pageMargins left="0.590551181102362" right="0.590551181102362" top="0.78740157480315" bottom="0.590551181102362" header="0.31496062992126" footer="0.31496062992126"/>
  <pageSetup paperSize="9" orientation="landscape"/>
  <headerFooter>
    <oddFooter>&amp;CCatatan atas laporan keuangan merupakan
bagian yang tidak terpisahkan dari laporan keuangan secara keseluruhan.
3</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S214"/>
  <sheetViews>
    <sheetView showGridLines="0" zoomScale="130" zoomScaleNormal="130" topLeftCell="A146" workbookViewId="0">
      <pane xSplit="13" ySplit="8" topLeftCell="N154" activePane="bottomRight" state="frozen"/>
      <selection/>
      <selection pane="topRight"/>
      <selection pane="bottomLeft"/>
      <selection pane="bottomRight" activeCell="AW175" sqref="AW175:BB175"/>
    </sheetView>
  </sheetViews>
  <sheetFormatPr defaultColWidth="9.13541666666667" defaultRowHeight="11.4"/>
  <cols>
    <col min="1" max="1" width="1.19791666666667" style="3606" customWidth="1"/>
    <col min="2" max="8" width="2.25" style="3606" customWidth="1"/>
    <col min="9" max="9" width="3" style="3606" customWidth="1"/>
    <col min="10" max="10" width="4.9375" style="3606" customWidth="1"/>
    <col min="11" max="11" width="3.73958333333333" style="3606" customWidth="1"/>
    <col min="12" max="12" width="4.79166666666667" style="3606" customWidth="1"/>
    <col min="13" max="26" width="3.29166666666667" style="3606" customWidth="1"/>
    <col min="27" max="27" width="20.2291666666667" style="3606" customWidth="1"/>
    <col min="28" max="30" width="2.69791666666667" style="3606" customWidth="1"/>
    <col min="31" max="34" width="2.69791666666667" style="4049" customWidth="1"/>
    <col min="35" max="40" width="2.69791666666667" style="4049" hidden="1" customWidth="1"/>
    <col min="41" max="41" width="2.25" style="4049" hidden="1" customWidth="1"/>
    <col min="42" max="46" width="2.69791666666667" style="4049" hidden="1" customWidth="1"/>
    <col min="47" max="47" width="0.145833333333333" style="4049" customWidth="1"/>
    <col min="48" max="48" width="2.69791666666667" style="4049" hidden="1" customWidth="1"/>
    <col min="49" max="61" width="2.69791666666667" style="3606" customWidth="1"/>
    <col min="62" max="62" width="2.39583333333333" style="3606" customWidth="1"/>
    <col min="63" max="63" width="16.625" style="3606" customWidth="1"/>
    <col min="64" max="64" width="15.1354166666667" style="3606" customWidth="1"/>
    <col min="65" max="65" width="16.3333333333333" style="3606" customWidth="1"/>
    <col min="66" max="66" width="14.3854166666667" style="3606" customWidth="1"/>
    <col min="67" max="70" width="9.13541666666667" style="3606"/>
    <col min="71" max="71" width="16.3333333333333" style="3606" customWidth="1"/>
    <col min="72" max="16384" width="9.13541666666667" style="3606"/>
  </cols>
  <sheetData>
    <row r="1" ht="12" hidden="1" customHeight="1" spans="2:64">
      <c r="B1" s="3607" t="s">
        <v>530</v>
      </c>
      <c r="AW1" s="4567" t="s">
        <v>531</v>
      </c>
      <c r="AX1" s="4567"/>
      <c r="AY1" s="4568" t="s">
        <v>532</v>
      </c>
      <c r="AZ1" s="4568"/>
      <c r="BA1" s="4568"/>
      <c r="BB1" s="4568"/>
      <c r="BC1" s="4568"/>
      <c r="BD1" s="4568"/>
      <c r="BE1" s="4568"/>
      <c r="BF1" s="4572" t="s">
        <v>533</v>
      </c>
      <c r="BG1" s="4572"/>
      <c r="BH1" s="4572"/>
      <c r="BI1" s="4572"/>
      <c r="BJ1" s="4572"/>
      <c r="BK1" s="4572"/>
      <c r="BL1" s="4089"/>
    </row>
    <row r="2" ht="12" hidden="1" customHeight="1" spans="2:64">
      <c r="B2" s="5010" t="s">
        <v>284</v>
      </c>
      <c r="AW2" s="4567"/>
      <c r="AX2" s="4567"/>
      <c r="AY2" s="4568"/>
      <c r="AZ2" s="4568"/>
      <c r="BA2" s="4568"/>
      <c r="BB2" s="4568"/>
      <c r="BC2" s="4568"/>
      <c r="BD2" s="4568"/>
      <c r="BE2" s="4568"/>
      <c r="BF2" s="4572"/>
      <c r="BG2" s="4572"/>
      <c r="BH2" s="4572"/>
      <c r="BI2" s="4572"/>
      <c r="BJ2" s="4572"/>
      <c r="BK2" s="4572"/>
      <c r="BL2" s="4089"/>
    </row>
    <row r="3" ht="12" hidden="1" customHeight="1" spans="2:64">
      <c r="B3" s="5010" t="s">
        <v>534</v>
      </c>
      <c r="AW3" s="4567"/>
      <c r="AX3" s="4567"/>
      <c r="AY3" s="4568"/>
      <c r="AZ3" s="4568"/>
      <c r="BA3" s="4568"/>
      <c r="BB3" s="4568"/>
      <c r="BC3" s="4568"/>
      <c r="BD3" s="4568"/>
      <c r="BE3" s="4568"/>
      <c r="BF3" s="4572"/>
      <c r="BG3" s="4572"/>
      <c r="BH3" s="4572"/>
      <c r="BI3" s="4572"/>
      <c r="BJ3" s="4572"/>
      <c r="BK3" s="4572"/>
      <c r="BL3" s="4089"/>
    </row>
    <row r="4" ht="12" hidden="1" customHeight="1" spans="2:64">
      <c r="B4" s="3609" t="s">
        <v>450</v>
      </c>
      <c r="AW4" s="4567"/>
      <c r="AX4" s="4567"/>
      <c r="AY4" s="4569" t="s">
        <v>535</v>
      </c>
      <c r="AZ4" s="4569"/>
      <c r="BA4" s="4569"/>
      <c r="BB4" s="4569"/>
      <c r="BC4" s="4569"/>
      <c r="BD4" s="4569"/>
      <c r="BE4" s="4569"/>
      <c r="BF4" s="4573" t="s">
        <v>275</v>
      </c>
      <c r="BG4" s="4573"/>
      <c r="BH4" s="4573"/>
      <c r="BI4" s="4573"/>
      <c r="BJ4" s="4573"/>
      <c r="BK4" s="4573"/>
      <c r="BL4" s="4089"/>
    </row>
    <row r="5" ht="12" hidden="1" customHeight="1" spans="2:64">
      <c r="B5" s="3610"/>
      <c r="C5" s="3611"/>
      <c r="D5" s="3611"/>
      <c r="E5" s="3611"/>
      <c r="F5" s="3611"/>
      <c r="G5" s="3611"/>
      <c r="H5" s="3611"/>
      <c r="I5" s="3611"/>
      <c r="J5" s="3611"/>
      <c r="K5" s="3611"/>
      <c r="L5" s="3611"/>
      <c r="M5" s="3611"/>
      <c r="N5" s="3611"/>
      <c r="O5" s="3611"/>
      <c r="P5" s="3611"/>
      <c r="Q5" s="3611"/>
      <c r="R5" s="3611"/>
      <c r="S5" s="3611"/>
      <c r="T5" s="3611"/>
      <c r="U5" s="3611"/>
      <c r="V5" s="3611"/>
      <c r="W5" s="3611"/>
      <c r="X5" s="3611"/>
      <c r="Y5" s="3611"/>
      <c r="Z5" s="3611"/>
      <c r="AA5" s="3611"/>
      <c r="AB5" s="3611"/>
      <c r="AC5" s="3611"/>
      <c r="AD5" s="3611"/>
      <c r="AE5" s="4054"/>
      <c r="AF5" s="4054"/>
      <c r="AG5" s="4054"/>
      <c r="AH5" s="4054"/>
      <c r="AI5" s="4054"/>
      <c r="AJ5" s="4054"/>
      <c r="AK5" s="4054"/>
      <c r="AL5" s="4054"/>
      <c r="AM5" s="4054"/>
      <c r="AN5" s="4054"/>
      <c r="AO5" s="4054"/>
      <c r="AP5" s="4054"/>
      <c r="AQ5" s="4054"/>
      <c r="AR5" s="4054"/>
      <c r="AS5" s="4054"/>
      <c r="AT5" s="4054"/>
      <c r="AU5" s="4054"/>
      <c r="AV5" s="4054"/>
      <c r="AW5" s="3626"/>
      <c r="AX5" s="3626"/>
      <c r="AY5" s="4570"/>
      <c r="AZ5" s="4570"/>
      <c r="BA5" s="4570"/>
      <c r="BB5" s="4570"/>
      <c r="BC5" s="4570"/>
      <c r="BD5" s="4570"/>
      <c r="BE5" s="4570"/>
      <c r="BF5" s="4125"/>
      <c r="BG5" s="4125"/>
      <c r="BH5" s="4125"/>
      <c r="BI5" s="4125"/>
      <c r="BJ5" s="4573"/>
      <c r="BK5" s="4573"/>
      <c r="BL5" s="4089"/>
    </row>
    <row r="6" ht="12" hidden="1" customHeight="1" spans="2:63">
      <c r="B6" s="3607"/>
      <c r="AW6" s="4120"/>
      <c r="AX6" s="4120"/>
      <c r="AY6" s="4571"/>
      <c r="AZ6" s="4571"/>
      <c r="BA6" s="4571"/>
      <c r="BB6" s="4571"/>
      <c r="BC6" s="4571"/>
      <c r="BD6" s="4571"/>
      <c r="BE6" s="4571"/>
      <c r="BF6" s="4574"/>
      <c r="BG6" s="4574"/>
      <c r="BH6" s="4574"/>
      <c r="BI6" s="4574"/>
      <c r="BJ6" s="4574"/>
      <c r="BK6" s="4574"/>
    </row>
    <row r="7" hidden="1"/>
    <row r="8" ht="15.75" hidden="1" customHeight="1" spans="31:65">
      <c r="AE8" s="4055" t="s">
        <v>536</v>
      </c>
      <c r="AF8" s="4055"/>
      <c r="AG8" s="4055"/>
      <c r="AH8" s="4056"/>
      <c r="AI8" s="4056"/>
      <c r="AJ8" s="4056"/>
      <c r="AK8" s="4056"/>
      <c r="AL8" s="4056"/>
      <c r="AM8" s="4056"/>
      <c r="AN8" s="4056"/>
      <c r="AO8" s="4056"/>
      <c r="AW8" s="5021" t="s">
        <v>537</v>
      </c>
      <c r="AX8" s="4166"/>
      <c r="AY8" s="4166"/>
      <c r="AZ8" s="4166"/>
      <c r="BA8" s="4166"/>
      <c r="BB8" s="4166"/>
      <c r="BD8" s="5022" t="s">
        <v>538</v>
      </c>
      <c r="BE8" s="4090"/>
      <c r="BF8" s="4090"/>
      <c r="BG8" s="4090"/>
      <c r="BH8" s="4090"/>
      <c r="BI8" s="4090"/>
      <c r="BJ8" s="4575"/>
      <c r="BK8" s="3608"/>
      <c r="BL8" s="3606">
        <v>18</v>
      </c>
      <c r="BM8" s="3606">
        <v>17</v>
      </c>
    </row>
    <row r="9" hidden="1" spans="31:63">
      <c r="AE9" s="4112"/>
      <c r="AF9" s="4112"/>
      <c r="AG9" s="4112"/>
      <c r="AH9" s="4113"/>
      <c r="AI9" s="4113"/>
      <c r="AJ9" s="4113"/>
      <c r="AK9" s="4113"/>
      <c r="AL9" s="4113"/>
      <c r="AM9" s="4113"/>
      <c r="AN9" s="4113"/>
      <c r="AO9" s="4113"/>
      <c r="AP9" s="4060"/>
      <c r="AQ9" s="4060"/>
      <c r="AR9" s="4060"/>
      <c r="AS9" s="4060"/>
      <c r="AT9" s="4060"/>
      <c r="AU9" s="4060"/>
      <c r="AV9" s="4060"/>
      <c r="AW9" s="4080"/>
      <c r="AX9" s="4080"/>
      <c r="AY9" s="4080"/>
      <c r="AZ9" s="4080"/>
      <c r="BA9" s="4080"/>
      <c r="BB9" s="4080"/>
      <c r="BC9" s="4081"/>
      <c r="BD9" s="4080"/>
      <c r="BE9" s="4080"/>
      <c r="BF9" s="4080"/>
      <c r="BG9" s="4080"/>
      <c r="BH9" s="4080"/>
      <c r="BI9" s="4080"/>
      <c r="BJ9" s="4081"/>
      <c r="BK9" s="4081"/>
    </row>
    <row r="10" ht="12" hidden="1" spans="2:66">
      <c r="B10" s="3607" t="s">
        <v>499</v>
      </c>
      <c r="AE10" s="4067"/>
      <c r="AF10" s="4067"/>
      <c r="AG10" s="4067"/>
      <c r="AH10" s="4067"/>
      <c r="AI10" s="4067"/>
      <c r="AJ10" s="4067"/>
      <c r="AK10" s="4067"/>
      <c r="AL10" s="4067"/>
      <c r="AM10" s="4067"/>
      <c r="AN10" s="4067"/>
      <c r="AO10" s="4067"/>
      <c r="AP10" s="4060"/>
      <c r="AQ10" s="4060"/>
      <c r="AR10" s="4060"/>
      <c r="AS10" s="4060"/>
      <c r="AT10" s="4060"/>
      <c r="AU10" s="4060"/>
      <c r="AV10" s="4060"/>
      <c r="AW10" s="4081"/>
      <c r="AX10" s="4081"/>
      <c r="AY10" s="4081"/>
      <c r="AZ10" s="4081"/>
      <c r="BA10" s="4081"/>
      <c r="BB10" s="4081"/>
      <c r="BC10" s="4081"/>
      <c r="BD10" s="4081"/>
      <c r="BE10" s="4081"/>
      <c r="BF10" s="4081"/>
      <c r="BG10" s="4081"/>
      <c r="BH10" s="4081"/>
      <c r="BI10" s="4081"/>
      <c r="BJ10" s="4081"/>
      <c r="BK10" s="4081"/>
      <c r="BN10" s="3606" t="s">
        <v>539</v>
      </c>
    </row>
    <row r="11" ht="12" hidden="1" spans="2:66">
      <c r="B11" s="3607" t="s">
        <v>540</v>
      </c>
      <c r="AE11" s="4067"/>
      <c r="AF11" s="4067"/>
      <c r="AG11" s="4067"/>
      <c r="AH11" s="4067"/>
      <c r="AI11" s="4067"/>
      <c r="AJ11" s="4067"/>
      <c r="AK11" s="4067"/>
      <c r="AL11" s="4067"/>
      <c r="AM11" s="4067"/>
      <c r="AN11" s="4067"/>
      <c r="AO11" s="4067"/>
      <c r="AP11" s="4060"/>
      <c r="AQ11" s="4060"/>
      <c r="AR11" s="4060"/>
      <c r="AS11" s="4060"/>
      <c r="AT11" s="4060"/>
      <c r="AU11" s="4060"/>
      <c r="AV11" s="4060"/>
      <c r="AW11" s="4081"/>
      <c r="AX11" s="4081"/>
      <c r="AY11" s="4081"/>
      <c r="AZ11" s="4081"/>
      <c r="BA11" s="4081"/>
      <c r="BB11" s="4081"/>
      <c r="BC11" s="4081"/>
      <c r="BD11" s="4081"/>
      <c r="BE11" s="4081"/>
      <c r="BF11" s="4081"/>
      <c r="BG11" s="4081"/>
      <c r="BH11" s="4081"/>
      <c r="BI11" s="4081"/>
      <c r="BJ11" s="4081"/>
      <c r="BK11" s="4081"/>
      <c r="BN11" s="3628">
        <v>2018</v>
      </c>
    </row>
    <row r="12" hidden="1" spans="2:66">
      <c r="B12" s="3606" t="s">
        <v>541</v>
      </c>
      <c r="AE12" s="4061" t="s">
        <v>542</v>
      </c>
      <c r="AF12" s="4061"/>
      <c r="AG12" s="4061"/>
      <c r="AH12" s="4061"/>
      <c r="AI12" s="4061"/>
      <c r="AJ12" s="4061"/>
      <c r="AK12" s="4061"/>
      <c r="AL12" s="4061"/>
      <c r="AM12" s="4061"/>
      <c r="AN12" s="4061"/>
      <c r="AO12" s="4061"/>
      <c r="AP12" s="4060"/>
      <c r="AQ12" s="4060"/>
      <c r="AR12" s="4060"/>
      <c r="AS12" s="4060"/>
      <c r="AT12" s="4060"/>
      <c r="AU12" s="4060"/>
      <c r="AV12" s="4060"/>
      <c r="AW12" s="4082">
        <f>+'[71]F1'!J15</f>
        <v>6936702194.99</v>
      </c>
      <c r="AX12" s="4082"/>
      <c r="AY12" s="4082"/>
      <c r="AZ12" s="4082"/>
      <c r="BA12" s="4082"/>
      <c r="BB12" s="4082"/>
      <c r="BC12" s="4082"/>
      <c r="BD12" s="4082">
        <f>+'[71]F1'!K15</f>
        <v>1072340570.19</v>
      </c>
      <c r="BE12" s="4082"/>
      <c r="BF12" s="4082"/>
      <c r="BG12" s="4082"/>
      <c r="BH12" s="4082"/>
      <c r="BI12" s="4082"/>
      <c r="BJ12" s="4082"/>
      <c r="BK12" s="4082"/>
      <c r="BL12" s="3606" t="b">
        <f>AW12='[71]F1'!J15</f>
        <v>1</v>
      </c>
      <c r="BM12" s="3606" t="b">
        <f>BD12='[71]F1'!K15</f>
        <v>1</v>
      </c>
      <c r="BN12" s="3606">
        <f t="shared" ref="BN12:BN18" si="0">BD12-AW12</f>
        <v>-5864361624.8</v>
      </c>
    </row>
    <row r="13" hidden="1" spans="2:66">
      <c r="B13" s="3606" t="s">
        <v>543</v>
      </c>
      <c r="AE13" s="4061" t="s">
        <v>544</v>
      </c>
      <c r="AF13" s="4061"/>
      <c r="AG13" s="4061"/>
      <c r="AH13" s="4061"/>
      <c r="AI13" s="4061"/>
      <c r="AJ13" s="4061"/>
      <c r="AK13" s="4061"/>
      <c r="AL13" s="4061"/>
      <c r="AM13" s="4061"/>
      <c r="AN13" s="4061"/>
      <c r="AO13" s="4061"/>
      <c r="AP13" s="4060"/>
      <c r="AQ13" s="4060"/>
      <c r="AR13" s="4060"/>
      <c r="AS13" s="4060"/>
      <c r="AT13" s="4060"/>
      <c r="AU13" s="4060"/>
      <c r="AV13" s="4060"/>
      <c r="AW13" s="4185">
        <f>+'[71]F1'!J16</f>
        <v>1174191501</v>
      </c>
      <c r="AX13" s="4185"/>
      <c r="AY13" s="4185"/>
      <c r="AZ13" s="4185"/>
      <c r="BA13" s="4185"/>
      <c r="BB13" s="4185"/>
      <c r="BC13" s="4082"/>
      <c r="BD13" s="4082">
        <f>+'[71]F1'!K16</f>
        <v>0</v>
      </c>
      <c r="BE13" s="4082"/>
      <c r="BF13" s="4082"/>
      <c r="BG13" s="4082"/>
      <c r="BH13" s="4082"/>
      <c r="BI13" s="4082"/>
      <c r="BJ13" s="4082"/>
      <c r="BK13" s="4082"/>
      <c r="BL13" s="3606" t="b">
        <f>AW13='[71]F1'!J16</f>
        <v>1</v>
      </c>
      <c r="BM13" s="3606" t="b">
        <f>BD13='[71]F1'!K16</f>
        <v>1</v>
      </c>
      <c r="BN13" s="3606">
        <f t="shared" si="0"/>
        <v>-1174191501</v>
      </c>
    </row>
    <row r="14" hidden="1" spans="2:66">
      <c r="B14" s="3606" t="str">
        <f>'[71]F1'!C17</f>
        <v>Piutang lain-lain</v>
      </c>
      <c r="AE14" s="4061" t="s">
        <v>545</v>
      </c>
      <c r="AF14" s="4061"/>
      <c r="AG14" s="4061"/>
      <c r="AH14" s="4061"/>
      <c r="AI14" s="4061"/>
      <c r="AJ14" s="4061"/>
      <c r="AK14" s="4061"/>
      <c r="AL14" s="4061"/>
      <c r="AM14" s="4061"/>
      <c r="AN14" s="4061"/>
      <c r="AO14" s="4061"/>
      <c r="AP14" s="4060"/>
      <c r="AQ14" s="4060"/>
      <c r="AR14" s="4060"/>
      <c r="AS14" s="4060"/>
      <c r="AT14" s="4060"/>
      <c r="AU14" s="4060"/>
      <c r="AV14" s="4060"/>
      <c r="AW14" s="4185">
        <f>+'[71]F1'!J17</f>
        <v>1735620779</v>
      </c>
      <c r="AX14" s="4185"/>
      <c r="AY14" s="4185"/>
      <c r="AZ14" s="4185"/>
      <c r="BA14" s="4185"/>
      <c r="BB14" s="4185"/>
      <c r="BC14" s="4082"/>
      <c r="BD14" s="4082">
        <f>+'[71]F1'!K17</f>
        <v>1236976335</v>
      </c>
      <c r="BE14" s="4082"/>
      <c r="BF14" s="4082"/>
      <c r="BG14" s="4082"/>
      <c r="BH14" s="4082"/>
      <c r="BI14" s="4082"/>
      <c r="BJ14" s="4082"/>
      <c r="BK14" s="4082"/>
      <c r="BN14" s="3606">
        <f t="shared" si="0"/>
        <v>-498644444</v>
      </c>
    </row>
    <row r="15" hidden="1" spans="2:66">
      <c r="B15" s="3606" t="s">
        <v>546</v>
      </c>
      <c r="AE15" s="4061" t="s">
        <v>547</v>
      </c>
      <c r="AF15" s="4061"/>
      <c r="AG15" s="4061"/>
      <c r="AH15" s="4061"/>
      <c r="AI15" s="4061"/>
      <c r="AJ15" s="4061"/>
      <c r="AK15" s="4061"/>
      <c r="AL15" s="4061"/>
      <c r="AM15" s="4061"/>
      <c r="AN15" s="4061"/>
      <c r="AO15" s="4061"/>
      <c r="AP15" s="4060"/>
      <c r="AQ15" s="4060"/>
      <c r="AR15" s="4060"/>
      <c r="AS15" s="4060"/>
      <c r="AT15" s="4060"/>
      <c r="AU15" s="4060"/>
      <c r="AV15" s="4060"/>
      <c r="AW15" s="4082">
        <f>+'[71]F1'!J18</f>
        <v>36205001</v>
      </c>
      <c r="AX15" s="4082"/>
      <c r="AY15" s="4082"/>
      <c r="AZ15" s="4082"/>
      <c r="BA15" s="4082"/>
      <c r="BB15" s="4082"/>
      <c r="BC15" s="4082"/>
      <c r="BD15" s="4082">
        <f>+'[71]F1'!K18</f>
        <v>0</v>
      </c>
      <c r="BE15" s="4082"/>
      <c r="BF15" s="4082"/>
      <c r="BG15" s="4082"/>
      <c r="BH15" s="4082"/>
      <c r="BI15" s="4082"/>
      <c r="BJ15" s="4082"/>
      <c r="BK15" s="4082"/>
      <c r="BL15" s="3606" t="b">
        <f>AW15='[71]C'!K18</f>
        <v>1</v>
      </c>
      <c r="BM15" s="3606" t="b">
        <f>BD15='[71]C'!L18</f>
        <v>1</v>
      </c>
      <c r="BN15" s="3606">
        <f t="shared" si="0"/>
        <v>-36205001</v>
      </c>
    </row>
    <row r="16" hidden="1" spans="2:66">
      <c r="B16" s="3606" t="str">
        <f>+'[71]F1'!C19</f>
        <v>Biaya dibayar dimuka</v>
      </c>
      <c r="AE16" s="4061" t="s">
        <v>548</v>
      </c>
      <c r="AF16" s="4061"/>
      <c r="AG16" s="4061"/>
      <c r="AH16" s="4061"/>
      <c r="AI16" s="4061"/>
      <c r="AJ16" s="4061"/>
      <c r="AK16" s="4061"/>
      <c r="AL16" s="4061"/>
      <c r="AM16" s="4061"/>
      <c r="AN16" s="4061"/>
      <c r="AO16" s="4061"/>
      <c r="AP16" s="4060"/>
      <c r="AQ16" s="4060"/>
      <c r="AR16" s="4060"/>
      <c r="AS16" s="4060"/>
      <c r="AT16" s="4060"/>
      <c r="AU16" s="4060"/>
      <c r="AV16" s="4060"/>
      <c r="AW16" s="4082">
        <f>+'[71]F1'!J19</f>
        <v>506207689</v>
      </c>
      <c r="AX16" s="4082"/>
      <c r="AY16" s="4082"/>
      <c r="AZ16" s="4082"/>
      <c r="BA16" s="4082"/>
      <c r="BB16" s="4082"/>
      <c r="BC16" s="4082"/>
      <c r="BD16" s="4082">
        <f>+'[71]F1'!K19</f>
        <v>86957031</v>
      </c>
      <c r="BE16" s="4082"/>
      <c r="BF16" s="4082"/>
      <c r="BG16" s="4082"/>
      <c r="BH16" s="4082"/>
      <c r="BI16" s="4082"/>
      <c r="BJ16" s="4082"/>
      <c r="BK16" s="4082"/>
      <c r="BL16" s="3606" t="b">
        <f>AW16=[71]D!K20</f>
        <v>1</v>
      </c>
      <c r="BM16" s="3606" t="b">
        <f>BD16=[71]D!L20</f>
        <v>1</v>
      </c>
      <c r="BN16" s="3606">
        <f t="shared" si="0"/>
        <v>-419250658</v>
      </c>
    </row>
    <row r="17" hidden="1" spans="2:66">
      <c r="B17" s="3606" t="str">
        <f>'[71]F1'!C20</f>
        <v>Pajak dibayar dimuka</v>
      </c>
      <c r="AE17" s="4061">
        <v>7</v>
      </c>
      <c r="AF17" s="4061"/>
      <c r="AG17" s="4061"/>
      <c r="AH17" s="4061"/>
      <c r="AI17" s="4061"/>
      <c r="AJ17" s="4061"/>
      <c r="AK17" s="4061"/>
      <c r="AL17" s="4061"/>
      <c r="AM17" s="4061"/>
      <c r="AN17" s="4061"/>
      <c r="AO17" s="4061"/>
      <c r="AP17" s="4060"/>
      <c r="AQ17" s="4060"/>
      <c r="AR17" s="4060"/>
      <c r="AS17" s="4060"/>
      <c r="AT17" s="4060"/>
      <c r="AU17" s="4060"/>
      <c r="AV17" s="4060"/>
      <c r="AW17" s="4082">
        <f>+'[71]F1'!J20</f>
        <v>0.199999809265137</v>
      </c>
      <c r="AX17" s="4082"/>
      <c r="AY17" s="4082"/>
      <c r="AZ17" s="4082"/>
      <c r="BA17" s="4082"/>
      <c r="BB17" s="4082"/>
      <c r="BC17" s="4082"/>
      <c r="BD17" s="4082">
        <f>+'[71]F1'!K20</f>
        <v>0.270000000018626</v>
      </c>
      <c r="BE17" s="4082"/>
      <c r="BF17" s="4082"/>
      <c r="BG17" s="4082"/>
      <c r="BH17" s="4082"/>
      <c r="BI17" s="4082"/>
      <c r="BJ17" s="4082"/>
      <c r="BK17" s="4082"/>
      <c r="BL17" s="3606" t="b">
        <f>AW15='[71]F1'!J18</f>
        <v>1</v>
      </c>
      <c r="BM17" s="3606" t="b">
        <f>BD15='[71]F1'!K18</f>
        <v>1</v>
      </c>
      <c r="BN17" s="3606">
        <f t="shared" si="0"/>
        <v>0.0700001907534897</v>
      </c>
    </row>
    <row r="18" hidden="1" spans="2:66">
      <c r="B18" s="3606" t="s">
        <v>549</v>
      </c>
      <c r="AE18" s="4061" t="s">
        <v>550</v>
      </c>
      <c r="AF18" s="4061"/>
      <c r="AG18" s="4061"/>
      <c r="AH18" s="4061"/>
      <c r="AI18" s="4061"/>
      <c r="AJ18" s="4061"/>
      <c r="AK18" s="4061"/>
      <c r="AL18" s="4061"/>
      <c r="AM18" s="4061"/>
      <c r="AN18" s="4061"/>
      <c r="AO18" s="4061"/>
      <c r="AP18" s="4060"/>
      <c r="AQ18" s="4060"/>
      <c r="AR18" s="4060"/>
      <c r="AS18" s="4060"/>
      <c r="AT18" s="4060"/>
      <c r="AU18" s="4060"/>
      <c r="AV18" s="4060"/>
      <c r="AW18" s="4082">
        <f>+'[71]F1'!J21</f>
        <v>0</v>
      </c>
      <c r="AX18" s="4082"/>
      <c r="AY18" s="4082"/>
      <c r="AZ18" s="4082"/>
      <c r="BA18" s="4082"/>
      <c r="BB18" s="4082"/>
      <c r="BC18" s="4082"/>
      <c r="BD18" s="4082">
        <f>+'[71]F1'!K21</f>
        <v>0</v>
      </c>
      <c r="BE18" s="4082"/>
      <c r="BF18" s="4082"/>
      <c r="BG18" s="4082"/>
      <c r="BH18" s="4082"/>
      <c r="BI18" s="4082"/>
      <c r="BJ18" s="4082"/>
      <c r="BK18" s="4082"/>
      <c r="BN18" s="3606">
        <f t="shared" si="0"/>
        <v>0</v>
      </c>
    </row>
    <row r="19" ht="6" hidden="1" customHeight="1" spans="31:63">
      <c r="AE19" s="4061"/>
      <c r="AF19" s="4061"/>
      <c r="AG19" s="4061"/>
      <c r="AH19" s="4061"/>
      <c r="AI19" s="4061"/>
      <c r="AJ19" s="4061"/>
      <c r="AK19" s="4061"/>
      <c r="AL19" s="4061"/>
      <c r="AM19" s="4061"/>
      <c r="AN19" s="4061"/>
      <c r="AO19" s="4061"/>
      <c r="AP19" s="4060"/>
      <c r="AQ19" s="4060"/>
      <c r="AR19" s="4060"/>
      <c r="AS19" s="4060"/>
      <c r="AT19" s="4060"/>
      <c r="AU19" s="4060"/>
      <c r="AV19" s="4060"/>
      <c r="AW19" s="4097"/>
      <c r="AX19" s="4097"/>
      <c r="AY19" s="4097"/>
      <c r="AZ19" s="4097"/>
      <c r="BA19" s="4097"/>
      <c r="BB19" s="4097"/>
      <c r="BC19" s="4082"/>
      <c r="BD19" s="4097"/>
      <c r="BE19" s="4097"/>
      <c r="BF19" s="4097"/>
      <c r="BG19" s="4097"/>
      <c r="BH19" s="4097"/>
      <c r="BI19" s="4097"/>
      <c r="BJ19" s="4082"/>
      <c r="BK19" s="4082"/>
    </row>
    <row r="20" ht="12" hidden="1" spans="2:65">
      <c r="B20" s="3607" t="s">
        <v>551</v>
      </c>
      <c r="AE20" s="4067"/>
      <c r="AF20" s="4067"/>
      <c r="AG20" s="4067"/>
      <c r="AH20" s="4067"/>
      <c r="AI20" s="4067"/>
      <c r="AJ20" s="4067"/>
      <c r="AK20" s="4067"/>
      <c r="AL20" s="4067"/>
      <c r="AM20" s="4067"/>
      <c r="AN20" s="4067"/>
      <c r="AO20" s="4067"/>
      <c r="AP20" s="4060"/>
      <c r="AQ20" s="4060"/>
      <c r="AR20" s="4060"/>
      <c r="AS20" s="4060"/>
      <c r="AT20" s="4060"/>
      <c r="AU20" s="4060"/>
      <c r="AV20" s="4060"/>
      <c r="AW20" s="4083">
        <f>SUM(AW12:BB16)</f>
        <v>10388927164.99</v>
      </c>
      <c r="AX20" s="4083"/>
      <c r="AY20" s="4083"/>
      <c r="AZ20" s="4083"/>
      <c r="BA20" s="4083"/>
      <c r="BB20" s="4083"/>
      <c r="BC20" s="4083"/>
      <c r="BD20" s="4083">
        <f>SUM(BD12:BI18)</f>
        <v>2396273936.46</v>
      </c>
      <c r="BE20" s="4083"/>
      <c r="BF20" s="4083"/>
      <c r="BG20" s="4083"/>
      <c r="BH20" s="4083"/>
      <c r="BI20" s="4083"/>
      <c r="BJ20" s="4083"/>
      <c r="BK20" s="4083"/>
      <c r="BL20" s="3606" t="b">
        <f>AW20='[71]F1'!J23</f>
        <v>0</v>
      </c>
      <c r="BM20" s="3606" t="b">
        <f>BD20='[71]F1'!K23</f>
        <v>1</v>
      </c>
    </row>
    <row r="21" ht="12" hidden="1" customHeight="1" spans="31:63">
      <c r="AE21" s="4067"/>
      <c r="AF21" s="4067"/>
      <c r="AG21" s="4067"/>
      <c r="AH21" s="4067"/>
      <c r="AI21" s="4067"/>
      <c r="AJ21" s="4067"/>
      <c r="AK21" s="4067"/>
      <c r="AL21" s="4067"/>
      <c r="AM21" s="4067"/>
      <c r="AN21" s="4067"/>
      <c r="AO21" s="4067"/>
      <c r="AP21" s="4060"/>
      <c r="AQ21" s="4060"/>
      <c r="AR21" s="4060"/>
      <c r="AS21" s="4060"/>
      <c r="AT21" s="4060"/>
      <c r="AU21" s="4060"/>
      <c r="AV21" s="4060"/>
      <c r="AW21" s="4082"/>
      <c r="AX21" s="4082"/>
      <c r="AY21" s="4082"/>
      <c r="AZ21" s="4082"/>
      <c r="BA21" s="4082"/>
      <c r="BB21" s="4082"/>
      <c r="BC21" s="4082"/>
      <c r="BD21" s="4082"/>
      <c r="BE21" s="4082"/>
      <c r="BF21" s="4082"/>
      <c r="BG21" s="4082"/>
      <c r="BH21" s="4082"/>
      <c r="BI21" s="4082"/>
      <c r="BJ21" s="4082"/>
      <c r="BK21" s="4082"/>
    </row>
    <row r="22" ht="12" hidden="1" spans="2:63">
      <c r="B22" s="3607" t="s">
        <v>552</v>
      </c>
      <c r="AE22" s="4067"/>
      <c r="AF22" s="4067"/>
      <c r="AG22" s="4067"/>
      <c r="AH22" s="4067"/>
      <c r="AI22" s="4067"/>
      <c r="AJ22" s="4067"/>
      <c r="AK22" s="4067"/>
      <c r="AL22" s="4067"/>
      <c r="AM22" s="4067"/>
      <c r="AN22" s="4067"/>
      <c r="AO22" s="4067"/>
      <c r="AP22" s="4060"/>
      <c r="AQ22" s="4060"/>
      <c r="AR22" s="4060"/>
      <c r="AS22" s="4060"/>
      <c r="AT22" s="4060"/>
      <c r="AU22" s="4060"/>
      <c r="AV22" s="4060"/>
      <c r="AW22" s="4082"/>
      <c r="AX22" s="4082"/>
      <c r="AY22" s="4082"/>
      <c r="AZ22" s="4082"/>
      <c r="BA22" s="4082"/>
      <c r="BB22" s="4082"/>
      <c r="BC22" s="4082"/>
      <c r="BD22" s="4082"/>
      <c r="BE22" s="4082"/>
      <c r="BF22" s="4082"/>
      <c r="BG22" s="4082"/>
      <c r="BH22" s="4082"/>
      <c r="BI22" s="4082"/>
      <c r="BJ22" s="4082"/>
      <c r="BK22" s="4082"/>
    </row>
    <row r="23" hidden="1" spans="2:63">
      <c r="B23" t="s">
        <v>553</v>
      </c>
      <c r="BJ23" s="4082"/>
      <c r="BK23" s="4082"/>
    </row>
    <row r="24" hidden="1" spans="2:63">
      <c r="B24" s="3339" t="s">
        <v>554</v>
      </c>
      <c r="C24" s="3339"/>
      <c r="D24" s="3339"/>
      <c r="E24" s="3339"/>
      <c r="F24" s="3339"/>
      <c r="G24" s="3339"/>
      <c r="H24" s="3339"/>
      <c r="I24" s="3339"/>
      <c r="J24" s="3339"/>
      <c r="K24" s="3339"/>
      <c r="L24" s="3339"/>
      <c r="M24" s="3339"/>
      <c r="N24" s="3339"/>
      <c r="O24" s="3339"/>
      <c r="P24" s="3339"/>
      <c r="Q24" s="3339"/>
      <c r="R24" s="3339"/>
      <c r="S24" s="3339"/>
      <c r="T24" s="3339"/>
      <c r="U24" s="3339"/>
      <c r="V24" s="3339"/>
      <c r="W24" s="3339"/>
      <c r="X24" s="3339"/>
      <c r="Y24" s="3339"/>
      <c r="Z24" s="3339"/>
      <c r="AA24" s="3339"/>
      <c r="AB24" s="3339"/>
      <c r="AC24" s="3339"/>
      <c r="AE24" s="4061"/>
      <c r="AF24" s="4061"/>
      <c r="AG24" s="4061"/>
      <c r="AH24" s="4061"/>
      <c r="AI24" s="4061"/>
      <c r="AJ24" s="4061"/>
      <c r="AK24" s="4061"/>
      <c r="AL24" s="4061"/>
      <c r="AM24" s="4061"/>
      <c r="AN24" s="4061"/>
      <c r="AO24" s="4061"/>
      <c r="AP24" s="4060"/>
      <c r="AQ24" s="4060"/>
      <c r="AR24" s="4060"/>
      <c r="AS24" s="4060"/>
      <c r="AT24" s="4060"/>
      <c r="AU24" s="4060"/>
      <c r="AV24" s="4060"/>
      <c r="AW24" s="4082"/>
      <c r="AX24" s="4082"/>
      <c r="AY24" s="4082"/>
      <c r="AZ24" s="4082"/>
      <c r="BA24" s="4082"/>
      <c r="BB24" s="4082"/>
      <c r="BC24" s="4082"/>
      <c r="BD24" s="4082"/>
      <c r="BE24" s="4082"/>
      <c r="BF24" s="4082"/>
      <c r="BG24" s="4082"/>
      <c r="BH24" s="4082"/>
      <c r="BI24" s="4082"/>
      <c r="BJ24" s="4082"/>
      <c r="BK24" s="4082">
        <f>[71]UV!O37</f>
        <v>1826956171.9</v>
      </c>
    </row>
    <row r="25" hidden="1" spans="2:63">
      <c r="B25" s="3339"/>
      <c r="C25" s="3339"/>
      <c r="D25" s="3339"/>
      <c r="E25" s="3339"/>
      <c r="F25" s="3339"/>
      <c r="G25" s="3339"/>
      <c r="H25" s="3339"/>
      <c r="I25" s="3339"/>
      <c r="J25" s="3339"/>
      <c r="K25" s="3339"/>
      <c r="L25" s="3339"/>
      <c r="M25" s="3339"/>
      <c r="N25" s="3339"/>
      <c r="O25" s="3339"/>
      <c r="P25" s="3339"/>
      <c r="Q25" s="3339"/>
      <c r="R25" s="3339"/>
      <c r="S25" s="3339"/>
      <c r="T25" s="3339"/>
      <c r="U25" s="3339"/>
      <c r="V25" s="3339"/>
      <c r="W25" s="3339"/>
      <c r="X25" s="3339"/>
      <c r="Y25" s="3339"/>
      <c r="Z25" s="3339"/>
      <c r="AA25" s="3339"/>
      <c r="AB25" s="3339"/>
      <c r="AC25" s="3339"/>
      <c r="AE25" s="4061"/>
      <c r="AF25" s="4061"/>
      <c r="AG25" s="4061"/>
      <c r="AH25" s="4061"/>
      <c r="AI25" s="4061"/>
      <c r="AJ25" s="4061"/>
      <c r="AK25" s="4061"/>
      <c r="AL25" s="4061"/>
      <c r="AM25" s="4061"/>
      <c r="AN25" s="4061"/>
      <c r="AO25" s="4061"/>
      <c r="AP25" s="4060"/>
      <c r="AQ25" s="4060"/>
      <c r="AR25" s="4060"/>
      <c r="AS25" s="4060"/>
      <c r="AT25" s="4060"/>
      <c r="AU25" s="4060"/>
      <c r="AV25" s="4060"/>
      <c r="AW25" s="4082"/>
      <c r="AX25" s="4082"/>
      <c r="AY25" s="4082"/>
      <c r="AZ25" s="4082"/>
      <c r="BA25" s="4082"/>
      <c r="BB25" s="4082"/>
      <c r="BC25" s="4082"/>
      <c r="BD25" s="4082"/>
      <c r="BE25" s="4082"/>
      <c r="BF25" s="4082"/>
      <c r="BG25" s="4082"/>
      <c r="BH25" s="4082"/>
      <c r="BI25" s="4082"/>
      <c r="BJ25" s="4082"/>
      <c r="BK25" s="4082"/>
    </row>
    <row r="26" hidden="1" spans="2:66">
      <c r="B26" s="3339"/>
      <c r="C26" s="3339"/>
      <c r="D26" s="3339"/>
      <c r="E26" s="3339"/>
      <c r="F26" s="3339"/>
      <c r="G26" s="3339"/>
      <c r="H26" s="3339"/>
      <c r="I26" s="3339"/>
      <c r="J26" s="3339"/>
      <c r="K26" s="3339"/>
      <c r="L26" s="3339"/>
      <c r="M26" s="3339"/>
      <c r="N26" s="3339"/>
      <c r="O26" s="3339"/>
      <c r="P26" s="3339"/>
      <c r="Q26" s="3339"/>
      <c r="R26" s="3339"/>
      <c r="S26" s="3339"/>
      <c r="T26" s="3339"/>
      <c r="U26" s="3339"/>
      <c r="V26" s="3339"/>
      <c r="W26" s="3339"/>
      <c r="X26" s="3339"/>
      <c r="Y26" s="3339"/>
      <c r="Z26" s="3339"/>
      <c r="AA26" s="3339"/>
      <c r="AB26" s="3339"/>
      <c r="AC26" s="3339"/>
      <c r="AE26" s="4061" t="s">
        <v>555</v>
      </c>
      <c r="AF26" s="4061"/>
      <c r="AG26" s="4061"/>
      <c r="AH26" s="4061"/>
      <c r="AI26" s="4061"/>
      <c r="AJ26" s="4061"/>
      <c r="AK26" s="4061"/>
      <c r="AL26" s="4061"/>
      <c r="AM26" s="4061"/>
      <c r="AN26" s="4061"/>
      <c r="AO26" s="4061"/>
      <c r="AP26" s="4060"/>
      <c r="AQ26" s="4060"/>
      <c r="AR26" s="4060"/>
      <c r="AS26" s="4060"/>
      <c r="AT26" s="4060"/>
      <c r="AU26" s="4060"/>
      <c r="AV26" s="4060"/>
      <c r="AW26" s="4082">
        <f>SUM('[71]F1'!J26:J27)</f>
        <v>78872820079.1</v>
      </c>
      <c r="AX26" s="4082"/>
      <c r="AY26" s="4082"/>
      <c r="AZ26" s="4082"/>
      <c r="BA26" s="4082"/>
      <c r="BB26" s="4082"/>
      <c r="BC26" s="4082"/>
      <c r="BD26" s="4082">
        <f>SUM('[71]F1'!K26:K27)</f>
        <v>5936183989.1</v>
      </c>
      <c r="BE26" s="4082"/>
      <c r="BF26" s="4082"/>
      <c r="BG26" s="4082"/>
      <c r="BH26" s="4082"/>
      <c r="BI26" s="4082"/>
      <c r="BN26" s="3606">
        <f>BD26-AW26</f>
        <v>-72936636090</v>
      </c>
    </row>
    <row r="27" hidden="1" spans="2:61">
      <c r="B27" t="s">
        <v>556</v>
      </c>
      <c r="C27" s="3339"/>
      <c r="D27" s="3339"/>
      <c r="E27" s="3339"/>
      <c r="F27" s="3339"/>
      <c r="G27" s="3339"/>
      <c r="H27" s="3339"/>
      <c r="I27" s="3339"/>
      <c r="J27" s="3339"/>
      <c r="K27" s="3339"/>
      <c r="L27" s="3339"/>
      <c r="M27" s="3339"/>
      <c r="N27" s="3339"/>
      <c r="O27" s="3339"/>
      <c r="P27" s="3339"/>
      <c r="Q27" s="3339"/>
      <c r="R27" s="3339"/>
      <c r="S27" s="3339"/>
      <c r="T27" s="3339"/>
      <c r="U27" s="3339"/>
      <c r="V27" s="3339"/>
      <c r="W27" s="3339"/>
      <c r="X27" s="3339"/>
      <c r="Y27" s="3339"/>
      <c r="Z27" s="3339"/>
      <c r="AA27" s="3339"/>
      <c r="AB27" s="3339"/>
      <c r="AC27" s="3339"/>
      <c r="AE27" s="4061" t="s">
        <v>557</v>
      </c>
      <c r="AF27" s="4061"/>
      <c r="AG27" s="4061"/>
      <c r="AH27" s="4061"/>
      <c r="AI27" s="4061"/>
      <c r="AJ27" s="4061"/>
      <c r="AK27" s="4061"/>
      <c r="AL27" s="4061"/>
      <c r="AM27" s="4061"/>
      <c r="AN27" s="4061"/>
      <c r="AO27" s="4061"/>
      <c r="AP27" s="4060"/>
      <c r="AQ27" s="4060"/>
      <c r="AR27" s="4060"/>
      <c r="AS27" s="4060"/>
      <c r="AT27" s="4060"/>
      <c r="AU27" s="4060"/>
      <c r="AV27" s="4060"/>
      <c r="AW27" s="4082">
        <f>'[71]F1'!J29</f>
        <v>7718465197.5325</v>
      </c>
      <c r="AX27" s="4082"/>
      <c r="AY27" s="4082"/>
      <c r="AZ27" s="4082"/>
      <c r="BA27" s="4082"/>
      <c r="BB27" s="4082"/>
      <c r="BC27" s="4082"/>
      <c r="BD27" s="4082">
        <v>0</v>
      </c>
      <c r="BE27" s="4082"/>
      <c r="BF27" s="4082"/>
      <c r="BG27" s="4082"/>
      <c r="BH27" s="4082"/>
      <c r="BI27" s="4082"/>
    </row>
    <row r="28" hidden="1" spans="2:66">
      <c r="B28" t="s">
        <v>558</v>
      </c>
      <c r="C28" s="3339"/>
      <c r="D28" s="3339"/>
      <c r="E28" s="3339"/>
      <c r="F28" s="3339"/>
      <c r="G28" s="3339"/>
      <c r="H28" s="3339"/>
      <c r="I28" s="3339"/>
      <c r="J28" s="3339"/>
      <c r="K28" s="3339"/>
      <c r="L28" s="3339"/>
      <c r="M28" s="3339"/>
      <c r="N28" s="3339"/>
      <c r="O28" s="3339"/>
      <c r="P28" s="3339"/>
      <c r="Q28" s="3339"/>
      <c r="R28" s="3339"/>
      <c r="S28" s="3339"/>
      <c r="T28" s="3339"/>
      <c r="U28" s="3339"/>
      <c r="V28" s="3339"/>
      <c r="W28" s="3339"/>
      <c r="X28" s="3339"/>
      <c r="Y28" s="3339"/>
      <c r="Z28" s="3339"/>
      <c r="AA28" s="3339"/>
      <c r="AB28" s="3339"/>
      <c r="AC28" s="3339"/>
      <c r="AE28" s="4061">
        <v>10</v>
      </c>
      <c r="AF28" s="4061"/>
      <c r="AG28" s="4061"/>
      <c r="AH28" s="4061"/>
      <c r="AI28" s="4061"/>
      <c r="AJ28" s="4061"/>
      <c r="AK28" s="4061"/>
      <c r="AL28" s="4061"/>
      <c r="AM28" s="4061"/>
      <c r="AN28" s="4061"/>
      <c r="AO28" s="4061"/>
      <c r="AP28" s="4060"/>
      <c r="AQ28" s="4060"/>
      <c r="AR28" s="4060"/>
      <c r="AS28" s="4060"/>
      <c r="AT28" s="4060"/>
      <c r="AU28" s="4060"/>
      <c r="AV28" s="4060"/>
      <c r="AW28" s="4082">
        <f>+'[71]F1'!J30</f>
        <v>3418119127</v>
      </c>
      <c r="AX28" s="4082"/>
      <c r="AY28" s="4082"/>
      <c r="AZ28" s="4082"/>
      <c r="BA28" s="4082"/>
      <c r="BB28" s="4082"/>
      <c r="BC28" s="4082"/>
      <c r="BD28" s="4082">
        <f>+'[71]F1'!K30</f>
        <v>65879900802</v>
      </c>
      <c r="BE28" s="4082"/>
      <c r="BF28" s="4082"/>
      <c r="BG28" s="4082"/>
      <c r="BH28" s="4082"/>
      <c r="BI28" s="4082"/>
      <c r="BJ28" s="4082"/>
      <c r="BK28" s="3606">
        <f>[71]Note2!AL122</f>
        <v>1826956171.9</v>
      </c>
      <c r="BM28" s="3606" t="e">
        <f>BD28='[71]F1'!K31</f>
        <v>#REF!</v>
      </c>
      <c r="BN28" s="3606">
        <f>BD28-AW28</f>
        <v>62461781675</v>
      </c>
    </row>
    <row r="29" ht="6.6" hidden="1" customHeight="1" spans="3:69">
      <c r="C29"/>
      <c r="AE29" s="4061"/>
      <c r="AF29" s="4061"/>
      <c r="AG29" s="4061"/>
      <c r="AH29" s="4061"/>
      <c r="AI29" s="4061"/>
      <c r="AJ29" s="4061"/>
      <c r="AK29" s="4061"/>
      <c r="AL29" s="4061"/>
      <c r="AM29" s="4061"/>
      <c r="AN29" s="4061"/>
      <c r="AO29" s="4061"/>
      <c r="AP29" s="4060"/>
      <c r="AQ29" s="4060"/>
      <c r="AR29" s="4060"/>
      <c r="AS29" s="4060"/>
      <c r="AT29" s="4060"/>
      <c r="AU29" s="4060"/>
      <c r="AV29" s="4060"/>
      <c r="AW29" s="4097"/>
      <c r="AX29" s="4097"/>
      <c r="AY29" s="4097"/>
      <c r="AZ29" s="4097"/>
      <c r="BA29" s="4097"/>
      <c r="BB29" s="4097"/>
      <c r="BC29" s="4082"/>
      <c r="BD29" s="4097"/>
      <c r="BE29" s="4097"/>
      <c r="BF29" s="4097"/>
      <c r="BG29" s="4097"/>
      <c r="BH29" s="4097"/>
      <c r="BI29" s="4097"/>
      <c r="BJ29" s="4082"/>
      <c r="BK29" s="4082"/>
      <c r="BL29" s="4082"/>
      <c r="BM29" s="4082"/>
      <c r="BN29" s="4082"/>
      <c r="BO29" s="4082"/>
      <c r="BP29" s="4082"/>
      <c r="BQ29" s="4082"/>
    </row>
    <row r="30" ht="12" hidden="1" customHeight="1" spans="2:63">
      <c r="B30" s="3607" t="s">
        <v>559</v>
      </c>
      <c r="AE30" s="4067"/>
      <c r="AF30" s="4067"/>
      <c r="AG30" s="4067"/>
      <c r="AH30" s="4067"/>
      <c r="AI30" s="4067"/>
      <c r="AJ30" s="4067"/>
      <c r="AK30" s="4067"/>
      <c r="AL30" s="4067"/>
      <c r="AM30" s="4067"/>
      <c r="AN30" s="4067"/>
      <c r="AO30" s="4067"/>
      <c r="AP30" s="4060"/>
      <c r="AQ30" s="4060"/>
      <c r="AR30" s="4060"/>
      <c r="AS30" s="4060"/>
      <c r="AT30" s="4060"/>
      <c r="AU30" s="4060"/>
      <c r="AV30" s="4060"/>
      <c r="AW30" s="4094">
        <f>SUM(AW24:BB28)</f>
        <v>90009404403.6325</v>
      </c>
      <c r="AX30" s="4094"/>
      <c r="AY30" s="4094"/>
      <c r="AZ30" s="4094"/>
      <c r="BA30" s="4094"/>
      <c r="BB30" s="4094"/>
      <c r="BC30" s="4082"/>
      <c r="BD30" s="4094">
        <f>SUM(BD24:BI28)</f>
        <v>71816084791.1</v>
      </c>
      <c r="BE30" s="4094"/>
      <c r="BF30" s="4094"/>
      <c r="BG30" s="4094"/>
      <c r="BH30" s="4094"/>
      <c r="BI30" s="4094"/>
      <c r="BJ30" s="4094"/>
      <c r="BK30" s="4094"/>
    </row>
    <row r="31" ht="12" hidden="1" customHeight="1" spans="2:63">
      <c r="B31" s="3607"/>
      <c r="AE31" s="4061"/>
      <c r="AF31" s="4061"/>
      <c r="AG31" s="4061"/>
      <c r="AH31" s="4061"/>
      <c r="AI31" s="4061"/>
      <c r="AJ31" s="4061"/>
      <c r="AK31" s="4061"/>
      <c r="AL31" s="4061"/>
      <c r="AM31" s="4061"/>
      <c r="AN31" s="4061"/>
      <c r="AO31" s="4061"/>
      <c r="AP31" s="4060"/>
      <c r="AQ31" s="4060"/>
      <c r="AR31" s="4060"/>
      <c r="AS31" s="4060"/>
      <c r="AT31" s="4060"/>
      <c r="AU31" s="4060"/>
      <c r="AV31" s="4060"/>
      <c r="AW31" s="4082"/>
      <c r="AX31" s="4082"/>
      <c r="AY31" s="4082"/>
      <c r="AZ31" s="4082"/>
      <c r="BA31" s="4082"/>
      <c r="BB31" s="4082"/>
      <c r="BC31" s="4082"/>
      <c r="BD31" s="4082"/>
      <c r="BE31" s="4082"/>
      <c r="BF31" s="4082"/>
      <c r="BG31" s="4082"/>
      <c r="BH31" s="4082"/>
      <c r="BI31" s="4082"/>
      <c r="BJ31" s="4082"/>
      <c r="BK31" s="4082"/>
    </row>
    <row r="32" ht="12.75" hidden="1" spans="2:66">
      <c r="B32" s="3607" t="s">
        <v>560</v>
      </c>
      <c r="AE32" s="4067"/>
      <c r="AF32" s="4067"/>
      <c r="AG32" s="4067"/>
      <c r="AH32" s="4067"/>
      <c r="AI32" s="4067"/>
      <c r="AJ32" s="4067"/>
      <c r="AK32" s="4067"/>
      <c r="AL32" s="4067"/>
      <c r="AM32" s="4067"/>
      <c r="AN32" s="4067"/>
      <c r="AO32" s="4067"/>
      <c r="AP32" s="4060"/>
      <c r="AQ32" s="4060"/>
      <c r="AR32" s="4060"/>
      <c r="AS32" s="4060"/>
      <c r="AT32" s="4060"/>
      <c r="AU32" s="4060"/>
      <c r="AV32" s="4060"/>
      <c r="AW32" s="4100">
        <f>AW20+AW30</f>
        <v>100398331568.623</v>
      </c>
      <c r="AX32" s="4100"/>
      <c r="AY32" s="4100"/>
      <c r="AZ32" s="4100"/>
      <c r="BA32" s="4100"/>
      <c r="BB32" s="4100"/>
      <c r="BC32" s="4082"/>
      <c r="BD32" s="4100">
        <f>BD20+BD30</f>
        <v>74212358727.56</v>
      </c>
      <c r="BE32" s="4100"/>
      <c r="BF32" s="4100"/>
      <c r="BG32" s="4100"/>
      <c r="BH32" s="4100"/>
      <c r="BI32" s="4100"/>
      <c r="BJ32" s="4083"/>
      <c r="BK32" s="4083"/>
      <c r="BL32" s="3606" t="b">
        <f>AW32='[71]F1'!J34</f>
        <v>0</v>
      </c>
      <c r="BM32" s="3606" t="b">
        <f>BD32='[71]F1'!K34</f>
        <v>1</v>
      </c>
      <c r="BN32" s="3606">
        <f>BD32-AW32</f>
        <v>-26185972841.0625</v>
      </c>
    </row>
    <row r="33" ht="12.15" hidden="1" spans="31:63">
      <c r="AE33" s="4067"/>
      <c r="AF33" s="4067"/>
      <c r="AG33" s="4067"/>
      <c r="AH33" s="4067"/>
      <c r="AI33" s="4067"/>
      <c r="AJ33" s="4067"/>
      <c r="AK33" s="4067"/>
      <c r="AL33" s="4067"/>
      <c r="AM33" s="4067"/>
      <c r="AN33" s="4067"/>
      <c r="AO33" s="4067"/>
      <c r="AP33" s="4060"/>
      <c r="AQ33" s="4060"/>
      <c r="AR33" s="4060"/>
      <c r="AS33" s="4060"/>
      <c r="AT33" s="4060"/>
      <c r="AU33" s="4060"/>
      <c r="AV33" s="4060"/>
      <c r="AW33" s="4086"/>
      <c r="AX33" s="4086"/>
      <c r="AY33" s="4086"/>
      <c r="AZ33" s="4086"/>
      <c r="BA33" s="4086"/>
      <c r="BB33" s="4086"/>
      <c r="BC33" s="4086"/>
      <c r="BD33" s="4086"/>
      <c r="BE33" s="4086"/>
      <c r="BF33" s="4086"/>
      <c r="BG33" s="4086"/>
      <c r="BH33" s="4086"/>
      <c r="BI33" s="4086"/>
      <c r="BJ33" s="4096"/>
      <c r="BK33" s="4096"/>
    </row>
    <row r="34" hidden="1" spans="31:63">
      <c r="AE34" s="4067"/>
      <c r="AF34" s="4067"/>
      <c r="AG34" s="4067"/>
      <c r="AH34" s="4067"/>
      <c r="AI34" s="4067"/>
      <c r="AJ34" s="4067"/>
      <c r="AK34" s="4067"/>
      <c r="AL34" s="4067"/>
      <c r="AM34" s="4067"/>
      <c r="AN34" s="4067"/>
      <c r="AO34" s="4067"/>
      <c r="AP34" s="4060"/>
      <c r="AQ34" s="4060"/>
      <c r="AR34" s="4060"/>
      <c r="AS34" s="4060"/>
      <c r="AT34" s="4060"/>
      <c r="AU34" s="4060"/>
      <c r="AV34" s="4060"/>
      <c r="AW34" s="4086"/>
      <c r="AX34" s="4086"/>
      <c r="AY34" s="4086"/>
      <c r="AZ34" s="4086"/>
      <c r="BA34" s="4086"/>
      <c r="BB34" s="4086"/>
      <c r="BC34" s="4086"/>
      <c r="BD34" s="4086"/>
      <c r="BE34" s="4086"/>
      <c r="BF34" s="4086"/>
      <c r="BG34" s="4086"/>
      <c r="BH34" s="4086"/>
      <c r="BI34" s="4086"/>
      <c r="BJ34" s="4081"/>
      <c r="BK34" s="4081"/>
    </row>
    <row r="35" ht="12" hidden="1" spans="2:63">
      <c r="B35" s="5010" t="s">
        <v>561</v>
      </c>
      <c r="AE35" s="4067"/>
      <c r="AF35" s="4067"/>
      <c r="AG35" s="4067"/>
      <c r="AH35" s="4067"/>
      <c r="AI35" s="4067"/>
      <c r="AJ35" s="4067"/>
      <c r="AK35" s="4067"/>
      <c r="AL35" s="4067"/>
      <c r="AM35" s="4067"/>
      <c r="AN35" s="4067"/>
      <c r="AO35" s="4067"/>
      <c r="AP35" s="4060"/>
      <c r="AQ35" s="4060"/>
      <c r="AR35" s="4060"/>
      <c r="AS35" s="4060"/>
      <c r="AT35" s="4060"/>
      <c r="AU35" s="4060"/>
      <c r="AV35" s="4060"/>
      <c r="AW35" s="4081"/>
      <c r="AX35" s="4081"/>
      <c r="AY35" s="4081"/>
      <c r="AZ35" s="4081"/>
      <c r="BA35" s="4081"/>
      <c r="BB35" s="4081"/>
      <c r="BC35" s="4081"/>
      <c r="BD35" s="4081"/>
      <c r="BE35" s="4081"/>
      <c r="BF35" s="4081"/>
      <c r="BG35" s="4081"/>
      <c r="BH35" s="4081"/>
      <c r="BI35" s="4081"/>
      <c r="BJ35" s="4081"/>
      <c r="BK35" s="4081"/>
    </row>
    <row r="36" ht="12" hidden="1" spans="2:63">
      <c r="B36" s="5010" t="s">
        <v>562</v>
      </c>
      <c r="AE36" s="4067"/>
      <c r="AF36" s="4067"/>
      <c r="AG36" s="4067"/>
      <c r="AH36" s="4067"/>
      <c r="AI36" s="4067"/>
      <c r="AJ36" s="4067"/>
      <c r="AK36" s="4067"/>
      <c r="AL36" s="4067"/>
      <c r="AM36" s="4067"/>
      <c r="AN36" s="4067"/>
      <c r="AO36" s="4067"/>
      <c r="AP36" s="4060"/>
      <c r="AQ36" s="4060"/>
      <c r="AR36" s="4060"/>
      <c r="AS36" s="4060"/>
      <c r="AT36" s="4060"/>
      <c r="AU36" s="4060"/>
      <c r="AV36" s="4060"/>
      <c r="AW36" s="4081"/>
      <c r="AX36" s="4081"/>
      <c r="AY36" s="4081"/>
      <c r="AZ36" s="4081"/>
      <c r="BA36" s="4081"/>
      <c r="BB36" s="4081"/>
      <c r="BC36" s="4081"/>
      <c r="BD36" s="4081"/>
      <c r="BE36" s="4081"/>
      <c r="BF36" s="4081"/>
      <c r="BG36" s="4081"/>
      <c r="BH36" s="4081"/>
      <c r="BI36" s="4081"/>
      <c r="BJ36" s="4081"/>
      <c r="BK36" s="4081"/>
    </row>
    <row r="37" hidden="1" spans="2:66">
      <c r="B37" t="s">
        <v>563</v>
      </c>
      <c r="AE37" s="4061">
        <f>AE40+1</f>
        <v>14</v>
      </c>
      <c r="AF37" s="4061"/>
      <c r="AG37" s="4061"/>
      <c r="AH37" s="4061"/>
      <c r="AI37" s="4061"/>
      <c r="AJ37" s="4061"/>
      <c r="AK37" s="4061"/>
      <c r="AL37" s="4061"/>
      <c r="AM37" s="4061"/>
      <c r="AN37" s="4061"/>
      <c r="AO37" s="4061"/>
      <c r="AP37" s="4060"/>
      <c r="AQ37" s="4060"/>
      <c r="AR37" s="4060"/>
      <c r="AS37" s="4060"/>
      <c r="AT37" s="4060"/>
      <c r="AU37" s="4060"/>
      <c r="AV37" s="4060"/>
      <c r="AW37" s="4082">
        <f>'[71]F2'!K15</f>
        <v>4000000000</v>
      </c>
      <c r="AX37" s="4082"/>
      <c r="AY37" s="4082"/>
      <c r="AZ37" s="4082"/>
      <c r="BA37" s="4082"/>
      <c r="BB37" s="4082"/>
      <c r="BC37" s="4082"/>
      <c r="BD37" s="4082">
        <f>'[71]F2'!L17</f>
        <v>0</v>
      </c>
      <c r="BE37" s="4082"/>
      <c r="BF37" s="4082"/>
      <c r="BG37" s="4082"/>
      <c r="BH37" s="4082"/>
      <c r="BI37" s="4082"/>
      <c r="BJ37" s="4081"/>
      <c r="BK37" s="4081"/>
      <c r="BN37" s="3606">
        <f>AW37-BD37</f>
        <v>4000000000</v>
      </c>
    </row>
    <row r="38" ht="11.45" hidden="1" customHeight="1" spans="2:66">
      <c r="B38" t="str">
        <f>'[71]F2'!C16</f>
        <v>Utang usaha</v>
      </c>
      <c r="AE38" s="4061">
        <f>[71]Note2!A195</f>
        <v>11</v>
      </c>
      <c r="AF38" s="4061"/>
      <c r="AG38" s="4061"/>
      <c r="AH38" s="4061"/>
      <c r="AI38" s="4061"/>
      <c r="AJ38" s="4061"/>
      <c r="AK38" s="4061"/>
      <c r="AL38" s="4061"/>
      <c r="AM38" s="4061"/>
      <c r="AN38" s="4061"/>
      <c r="AO38" s="4061"/>
      <c r="AP38" s="4060"/>
      <c r="AQ38" s="4060"/>
      <c r="AR38" s="4060"/>
      <c r="AS38" s="4060"/>
      <c r="AT38" s="4060"/>
      <c r="AU38" s="4060"/>
      <c r="AV38" s="4060"/>
      <c r="AW38" s="4081">
        <f>+'[71]F2'!K16</f>
        <v>2141486840</v>
      </c>
      <c r="AX38" s="4081"/>
      <c r="AY38" s="4081"/>
      <c r="AZ38" s="4081"/>
      <c r="BA38" s="4081"/>
      <c r="BB38" s="4081"/>
      <c r="BC38" s="4081"/>
      <c r="BD38" s="4081">
        <f>+'[71]F2'!L16</f>
        <v>22537882921</v>
      </c>
      <c r="BE38" s="4081"/>
      <c r="BF38" s="4081"/>
      <c r="BG38" s="4081"/>
      <c r="BH38" s="4081"/>
      <c r="BI38" s="4081"/>
      <c r="BJ38" s="4081"/>
      <c r="BK38" s="4081"/>
      <c r="BL38" s="3606" t="b">
        <f>AW38='[71]F2'!K16</f>
        <v>1</v>
      </c>
      <c r="BM38" s="3606" t="b">
        <f>BD38='[71]F2'!L16</f>
        <v>1</v>
      </c>
      <c r="BN38" s="3606">
        <f>AW38-BD38</f>
        <v>-20396396081</v>
      </c>
    </row>
    <row r="39" hidden="1" spans="2:66">
      <c r="B39" t="str">
        <f>'[71]F2'!C19</f>
        <v>Utang pajak</v>
      </c>
      <c r="AE39" s="4061" t="s">
        <v>564</v>
      </c>
      <c r="AF39" s="4061"/>
      <c r="AG39" s="4061"/>
      <c r="AH39" s="4061"/>
      <c r="AI39" s="4061"/>
      <c r="AJ39" s="4061"/>
      <c r="AK39" s="4061"/>
      <c r="AL39" s="4061"/>
      <c r="AM39" s="4061"/>
      <c r="AN39" s="4061"/>
      <c r="AO39" s="4061"/>
      <c r="AP39" s="4060"/>
      <c r="AQ39" s="4060"/>
      <c r="AR39" s="4060"/>
      <c r="AS39" s="4060"/>
      <c r="AT39" s="4060"/>
      <c r="AU39" s="4060"/>
      <c r="AV39" s="4060"/>
      <c r="AW39" s="4081">
        <f>+'[71]F2'!K19</f>
        <v>1295341369</v>
      </c>
      <c r="AX39" s="4081"/>
      <c r="AY39" s="4081"/>
      <c r="AZ39" s="4081"/>
      <c r="BA39" s="4081"/>
      <c r="BB39" s="4081"/>
      <c r="BC39" s="4082"/>
      <c r="BD39" s="4082">
        <f>+'[71]F2'!L19</f>
        <v>442064432</v>
      </c>
      <c r="BE39" s="4082"/>
      <c r="BF39" s="4082"/>
      <c r="BG39" s="4082"/>
      <c r="BH39" s="4082"/>
      <c r="BI39" s="4082"/>
      <c r="BJ39" s="4082"/>
      <c r="BK39" s="4082"/>
      <c r="BL39" s="3606" t="b">
        <f>AW39='[71]F2'!K19</f>
        <v>1</v>
      </c>
      <c r="BM39" s="3606" t="b">
        <f>BD39='[71]F2'!L19</f>
        <v>1</v>
      </c>
      <c r="BN39" s="3606">
        <f>AW39-BD39</f>
        <v>853276937</v>
      </c>
    </row>
    <row r="40" hidden="1" spans="2:66">
      <c r="B40" t="str">
        <f>'[71]F2'!C20</f>
        <v>Biaya yang masih harus dibayar</v>
      </c>
      <c r="AE40" s="4061">
        <f>[71]Note2!A281</f>
        <v>13</v>
      </c>
      <c r="AF40" s="4061"/>
      <c r="AG40" s="4061"/>
      <c r="AH40" s="4061"/>
      <c r="AI40" s="4061"/>
      <c r="AJ40" s="4061"/>
      <c r="AK40" s="4061"/>
      <c r="AL40" s="4061"/>
      <c r="AM40" s="4061"/>
      <c r="AN40" s="4061"/>
      <c r="AO40" s="4061"/>
      <c r="AP40" s="4060"/>
      <c r="AQ40" s="4060"/>
      <c r="AR40" s="4060"/>
      <c r="AS40" s="4060"/>
      <c r="AT40" s="4060"/>
      <c r="AU40" s="4060"/>
      <c r="AV40" s="4060"/>
      <c r="AW40" s="4081">
        <f>+'[71]F2'!K20</f>
        <v>1320168254.92</v>
      </c>
      <c r="AX40" s="4081"/>
      <c r="AY40" s="4081"/>
      <c r="AZ40" s="4081"/>
      <c r="BA40" s="4081"/>
      <c r="BB40" s="4081"/>
      <c r="BC40" s="4082"/>
      <c r="BD40" s="4082">
        <f>+'[71]F2'!L20</f>
        <v>938234764</v>
      </c>
      <c r="BE40" s="4082"/>
      <c r="BF40" s="4082"/>
      <c r="BG40" s="4082"/>
      <c r="BH40" s="4082"/>
      <c r="BI40" s="4082"/>
      <c r="BJ40" s="4082"/>
      <c r="BK40" s="4082"/>
      <c r="BN40" s="3606">
        <f>AW40-BD40</f>
        <v>381933490.92</v>
      </c>
    </row>
    <row r="41" hidden="1" spans="2:66">
      <c r="B41" t="str">
        <f>'[71]F2'!C22</f>
        <v>Utang pembiayaan jangka pendek</v>
      </c>
      <c r="AE41" s="4061">
        <f>AE37+1</f>
        <v>15</v>
      </c>
      <c r="AF41" s="4061"/>
      <c r="AG41" s="4061"/>
      <c r="AH41" s="4061"/>
      <c r="AI41" s="4061"/>
      <c r="AJ41" s="4061"/>
      <c r="AK41" s="4061"/>
      <c r="AL41" s="4061"/>
      <c r="AM41" s="4061"/>
      <c r="AN41" s="4061"/>
      <c r="AO41" s="4061"/>
      <c r="AP41" s="4060"/>
      <c r="AQ41" s="4060"/>
      <c r="AR41" s="4060"/>
      <c r="AS41" s="4060"/>
      <c r="AT41" s="4060"/>
      <c r="AU41" s="4060"/>
      <c r="AV41" s="4060"/>
      <c r="AW41" s="4081">
        <f>'[71]F2'!K22</f>
        <v>120048000</v>
      </c>
      <c r="AX41" s="4081"/>
      <c r="AY41" s="4081"/>
      <c r="AZ41" s="4081"/>
      <c r="BA41" s="4081"/>
      <c r="BB41" s="4081"/>
      <c r="BC41" s="4082"/>
      <c r="BD41" s="4082">
        <v>0</v>
      </c>
      <c r="BE41" s="4082"/>
      <c r="BF41" s="4082"/>
      <c r="BG41" s="4082"/>
      <c r="BH41" s="4082"/>
      <c r="BI41" s="4082"/>
      <c r="BJ41" s="4082"/>
      <c r="BK41" s="4082"/>
      <c r="BN41" s="3606">
        <f>AW41-BD41</f>
        <v>120048000</v>
      </c>
    </row>
    <row r="42" hidden="1" spans="2:63">
      <c r="B42" t="str">
        <f>'[71]F2'!C21</f>
        <v>Pendapatan diterima dimuka</v>
      </c>
      <c r="AE42" s="4061">
        <v>17</v>
      </c>
      <c r="AF42" s="4061"/>
      <c r="AG42" s="4061"/>
      <c r="AH42" s="4061"/>
      <c r="AI42" s="4061"/>
      <c r="AJ42" s="4061"/>
      <c r="AK42" s="4061"/>
      <c r="AL42" s="4061"/>
      <c r="AM42" s="4061"/>
      <c r="AN42" s="4061"/>
      <c r="AO42" s="4061"/>
      <c r="AP42" s="4060"/>
      <c r="AQ42" s="4060"/>
      <c r="AR42" s="4060"/>
      <c r="AS42" s="4060"/>
      <c r="AT42" s="4060"/>
      <c r="AU42" s="4060"/>
      <c r="AV42" s="4060"/>
      <c r="AW42" s="4081" t="e">
        <f>'[71]F2'!K23</f>
        <v>#REF!</v>
      </c>
      <c r="AX42" s="4081"/>
      <c r="AY42" s="4081"/>
      <c r="AZ42" s="4081"/>
      <c r="BA42" s="4081"/>
      <c r="BB42" s="4081"/>
      <c r="BC42" s="4082"/>
      <c r="BD42" s="4082">
        <f>+'[71]F2'!L21</f>
        <v>81920000</v>
      </c>
      <c r="BE42" s="4082"/>
      <c r="BF42" s="4082"/>
      <c r="BG42" s="4082"/>
      <c r="BH42" s="4082"/>
      <c r="BI42" s="4082"/>
      <c r="BJ42" s="4082"/>
      <c r="BK42" s="4082"/>
    </row>
    <row r="43" ht="8.45" hidden="1" customHeight="1" spans="31:63">
      <c r="AE43" s="4067"/>
      <c r="AF43" s="4067"/>
      <c r="AG43" s="4067"/>
      <c r="AH43" s="4067"/>
      <c r="AI43" s="4067"/>
      <c r="AJ43" s="4067"/>
      <c r="AK43" s="4067"/>
      <c r="AL43" s="4067"/>
      <c r="AM43" s="4067"/>
      <c r="AN43" s="4067"/>
      <c r="AO43" s="4067"/>
      <c r="AP43" s="4060"/>
      <c r="AQ43" s="4060"/>
      <c r="AR43" s="4060"/>
      <c r="AS43" s="4060"/>
      <c r="AT43" s="4060"/>
      <c r="AU43" s="4060"/>
      <c r="AV43" s="4060"/>
      <c r="AW43" s="4097"/>
      <c r="AX43" s="4097"/>
      <c r="AY43" s="4097"/>
      <c r="AZ43" s="4097"/>
      <c r="BA43" s="4097"/>
      <c r="BB43" s="4097"/>
      <c r="BC43" s="4082"/>
      <c r="BD43" s="4097"/>
      <c r="BE43" s="4097"/>
      <c r="BF43" s="4097"/>
      <c r="BG43" s="4097"/>
      <c r="BH43" s="4097"/>
      <c r="BI43" s="4097"/>
      <c r="BJ43" s="4082"/>
      <c r="BK43" s="4082"/>
    </row>
    <row r="44" ht="12" hidden="1" spans="2:65">
      <c r="B44" s="5010" t="s">
        <v>565</v>
      </c>
      <c r="AE44" s="4067"/>
      <c r="AF44" s="4067"/>
      <c r="AG44" s="4067"/>
      <c r="AH44" s="4067"/>
      <c r="AI44" s="4067"/>
      <c r="AJ44" s="4067"/>
      <c r="AK44" s="4067"/>
      <c r="AL44" s="4067"/>
      <c r="AM44" s="4067"/>
      <c r="AN44" s="4067"/>
      <c r="AO44" s="4067"/>
      <c r="AP44" s="4060"/>
      <c r="AQ44" s="4060"/>
      <c r="AR44" s="4060"/>
      <c r="AS44" s="4060"/>
      <c r="AT44" s="4060"/>
      <c r="AU44" s="4060"/>
      <c r="AV44" s="4060"/>
      <c r="AW44" s="4083" t="e">
        <f>SUM(AW37:BB43)</f>
        <v>#REF!</v>
      </c>
      <c r="AX44" s="4083"/>
      <c r="AY44" s="4083"/>
      <c r="AZ44" s="4083"/>
      <c r="BA44" s="4083"/>
      <c r="BB44" s="4083"/>
      <c r="BC44" s="4083"/>
      <c r="BD44" s="4083">
        <f>SUM(BD37:BI43)</f>
        <v>24000102117</v>
      </c>
      <c r="BE44" s="4083"/>
      <c r="BF44" s="4083"/>
      <c r="BG44" s="4083"/>
      <c r="BH44" s="4083"/>
      <c r="BI44" s="4083"/>
      <c r="BJ44" s="4083"/>
      <c r="BK44" s="4094"/>
      <c r="BL44" s="3606" t="e">
        <f>AW44='[71]F2'!K24</f>
        <v>#REF!</v>
      </c>
      <c r="BM44" s="3606" t="b">
        <f>BD44='[71]F2'!L24</f>
        <v>1</v>
      </c>
    </row>
    <row r="45" ht="12" hidden="1" spans="2:63">
      <c r="B45" s="3608"/>
      <c r="AE45" s="4061"/>
      <c r="AF45" s="4061"/>
      <c r="AG45" s="4061"/>
      <c r="AH45" s="4061"/>
      <c r="AI45" s="4061"/>
      <c r="AJ45" s="4061"/>
      <c r="AK45" s="4061"/>
      <c r="AL45" s="4061"/>
      <c r="AM45" s="4061"/>
      <c r="AN45" s="4061"/>
      <c r="AO45" s="4061"/>
      <c r="AP45" s="4060"/>
      <c r="AQ45" s="4060"/>
      <c r="AR45" s="4060"/>
      <c r="AS45" s="4060"/>
      <c r="AT45" s="4060"/>
      <c r="AU45" s="4060"/>
      <c r="AV45" s="4060"/>
      <c r="AW45" s="4083"/>
      <c r="AX45" s="4083"/>
      <c r="AY45" s="4083"/>
      <c r="AZ45" s="4083"/>
      <c r="BA45" s="4083"/>
      <c r="BB45" s="4083"/>
      <c r="BC45" s="4083"/>
      <c r="BD45" s="4083"/>
      <c r="BE45" s="4083"/>
      <c r="BF45" s="4083"/>
      <c r="BG45" s="4083"/>
      <c r="BH45" s="4083"/>
      <c r="BI45" s="4083"/>
      <c r="BJ45" s="4083"/>
      <c r="BK45" s="4083"/>
    </row>
    <row r="46" ht="12" hidden="1" spans="2:63">
      <c r="B46" s="5010" t="s">
        <v>566</v>
      </c>
      <c r="AE46" s="4061"/>
      <c r="AF46" s="4061"/>
      <c r="AG46" s="4061"/>
      <c r="AH46" s="4061"/>
      <c r="AI46" s="4061"/>
      <c r="AJ46" s="4061"/>
      <c r="AK46" s="4061"/>
      <c r="AL46" s="4061"/>
      <c r="AM46" s="4061"/>
      <c r="AN46" s="4061"/>
      <c r="AO46" s="4061"/>
      <c r="AP46" s="4060"/>
      <c r="AQ46" s="4060"/>
      <c r="AR46" s="4060"/>
      <c r="AS46" s="4060"/>
      <c r="AT46" s="4060"/>
      <c r="AU46" s="4060"/>
      <c r="AV46" s="4060"/>
      <c r="AW46" s="4083"/>
      <c r="AX46" s="4083"/>
      <c r="AY46" s="4083"/>
      <c r="AZ46" s="4083"/>
      <c r="BA46" s="4083"/>
      <c r="BB46" s="4083"/>
      <c r="BC46" s="4083"/>
      <c r="BD46" s="4083"/>
      <c r="BE46" s="4083"/>
      <c r="BF46" s="4083"/>
      <c r="BG46" s="4083"/>
      <c r="BH46" s="4083"/>
      <c r="BI46" s="4083"/>
      <c r="BJ46" s="4083"/>
      <c r="BK46" s="4083"/>
    </row>
    <row r="47" ht="12" hidden="1" spans="2:66">
      <c r="B47" t="s">
        <v>567</v>
      </c>
      <c r="AE47" s="4061">
        <f>AE37</f>
        <v>14</v>
      </c>
      <c r="AF47" s="4061"/>
      <c r="AG47" s="4061"/>
      <c r="AH47" s="4061"/>
      <c r="AI47" s="4061"/>
      <c r="AJ47" s="4061"/>
      <c r="AK47" s="4061"/>
      <c r="AL47" s="4061"/>
      <c r="AM47" s="4061"/>
      <c r="AN47" s="4061"/>
      <c r="AO47" s="4061"/>
      <c r="AP47" s="4060"/>
      <c r="AQ47" s="4060"/>
      <c r="AR47" s="4060"/>
      <c r="AS47" s="4060"/>
      <c r="AT47" s="4060"/>
      <c r="AU47" s="4060"/>
      <c r="AV47" s="4060"/>
      <c r="AW47" s="4082">
        <f>'[71]F2'!K28</f>
        <v>46000000000</v>
      </c>
      <c r="AX47" s="4082"/>
      <c r="AY47" s="4082"/>
      <c r="AZ47" s="4082"/>
      <c r="BA47" s="4082"/>
      <c r="BB47" s="4082"/>
      <c r="BC47" s="4082"/>
      <c r="BD47" s="4082">
        <f>'[71]F2'!L28</f>
        <v>4819444446</v>
      </c>
      <c r="BE47" s="4082"/>
      <c r="BF47" s="4082"/>
      <c r="BG47" s="4082"/>
      <c r="BH47" s="4082"/>
      <c r="BI47" s="4082"/>
      <c r="BJ47" s="4083"/>
      <c r="BK47" s="4083"/>
      <c r="BN47" s="3606">
        <f>AW47-BD47</f>
        <v>41180555554</v>
      </c>
    </row>
    <row r="48" ht="12" hidden="1" spans="2:66">
      <c r="B48" s="5023" t="str">
        <f>'[71]F2'!C29</f>
        <v>Utang pembiayaan - jangka panjang</v>
      </c>
      <c r="AE48" s="4061">
        <f>AE41</f>
        <v>15</v>
      </c>
      <c r="AF48" s="4061"/>
      <c r="AG48" s="4061"/>
      <c r="AH48" s="4061"/>
      <c r="AI48" s="4061"/>
      <c r="AJ48" s="4061"/>
      <c r="AK48" s="4061"/>
      <c r="AL48" s="4061"/>
      <c r="AM48" s="4061"/>
      <c r="AN48" s="4061"/>
      <c r="AO48" s="4061"/>
      <c r="AP48" s="4060"/>
      <c r="AQ48" s="4060"/>
      <c r="AR48" s="4060"/>
      <c r="AS48" s="4060"/>
      <c r="AT48" s="4060"/>
      <c r="AU48" s="4060"/>
      <c r="AV48" s="4060"/>
      <c r="AW48" s="4082">
        <f>'[71]F2'!K29</f>
        <v>114587845</v>
      </c>
      <c r="AX48" s="4082"/>
      <c r="AY48" s="4082"/>
      <c r="AZ48" s="4082"/>
      <c r="BA48" s="4082"/>
      <c r="BB48" s="4082"/>
      <c r="BC48" s="4082"/>
      <c r="BD48" s="4082">
        <f>'[71]F2'!L29</f>
        <v>0</v>
      </c>
      <c r="BE48" s="4082"/>
      <c r="BF48" s="4082"/>
      <c r="BG48" s="4082"/>
      <c r="BH48" s="4082"/>
      <c r="BI48" s="4082"/>
      <c r="BJ48" s="4083"/>
      <c r="BK48" s="4083"/>
      <c r="BN48" s="3606">
        <f>AW48-BD48</f>
        <v>114587845</v>
      </c>
    </row>
    <row r="49" hidden="1" spans="2:66">
      <c r="B49" s="5023" t="str">
        <f>'[71]F2'!C30</f>
        <v>Utang lain-lain</v>
      </c>
      <c r="AE49" s="4061" t="s">
        <v>568</v>
      </c>
      <c r="AF49" s="4061"/>
      <c r="AG49" s="4061"/>
      <c r="AH49" s="4061"/>
      <c r="AI49" s="4061"/>
      <c r="AJ49" s="4061"/>
      <c r="AK49" s="4061"/>
      <c r="AL49" s="4061"/>
      <c r="AM49" s="4061"/>
      <c r="AN49" s="4061"/>
      <c r="AO49" s="4061"/>
      <c r="AP49" s="4060"/>
      <c r="AQ49" s="4060"/>
      <c r="AR49" s="4060"/>
      <c r="AS49" s="4060"/>
      <c r="AT49" s="4060"/>
      <c r="AU49" s="4060"/>
      <c r="AV49" s="4060"/>
      <c r="AW49" s="4082">
        <f>[71]Note2!AC536</f>
        <v>352366278</v>
      </c>
      <c r="AX49" s="4082"/>
      <c r="AY49" s="4082"/>
      <c r="AZ49" s="4082"/>
      <c r="BA49" s="4082"/>
      <c r="BB49" s="4082"/>
      <c r="BC49" s="4082"/>
      <c r="BD49" s="4082">
        <f>'[71]F2'!L30</f>
        <v>230000000</v>
      </c>
      <c r="BE49" s="4082"/>
      <c r="BF49" s="4082"/>
      <c r="BG49" s="4082"/>
      <c r="BH49" s="4082"/>
      <c r="BI49" s="4082"/>
      <c r="BJ49" s="4082"/>
      <c r="BK49" s="4082"/>
      <c r="BN49" s="3606">
        <f>AW49-BD49</f>
        <v>122366278</v>
      </c>
    </row>
    <row r="50" hidden="1" spans="2:66">
      <c r="B50" t="str">
        <f>'[71]F2'!C21</f>
        <v>Pendapatan diterima dimuka</v>
      </c>
      <c r="AE50" s="4061">
        <v>17</v>
      </c>
      <c r="AF50" s="4061"/>
      <c r="AG50" s="4061"/>
      <c r="AH50" s="4061"/>
      <c r="AI50" s="4061"/>
      <c r="AJ50" s="4061"/>
      <c r="AK50" s="4061"/>
      <c r="AL50" s="4061"/>
      <c r="AM50" s="4061"/>
      <c r="AN50" s="4061"/>
      <c r="AO50" s="4061"/>
      <c r="AP50" s="4060"/>
      <c r="AQ50" s="4060"/>
      <c r="AR50" s="4060"/>
      <c r="AS50" s="4060"/>
      <c r="AT50" s="4060"/>
      <c r="AU50" s="4060"/>
      <c r="AV50" s="4060"/>
      <c r="AW50" s="4081">
        <f>+'[71]F2'!K21</f>
        <v>81920000</v>
      </c>
      <c r="AX50" s="4081"/>
      <c r="AY50" s="4081"/>
      <c r="AZ50" s="4081"/>
      <c r="BA50" s="4081"/>
      <c r="BB50" s="4081"/>
      <c r="BC50" s="4082"/>
      <c r="BD50" s="4082">
        <v>0</v>
      </c>
      <c r="BE50" s="4082"/>
      <c r="BF50" s="4082"/>
      <c r="BG50" s="4082"/>
      <c r="BH50" s="4082"/>
      <c r="BI50" s="4082"/>
      <c r="BJ50" s="4082"/>
      <c r="BK50" s="4082"/>
      <c r="BN50" s="3606">
        <f>AW50-BD50</f>
        <v>81920000</v>
      </c>
    </row>
    <row r="51" hidden="1" spans="2:66">
      <c r="B51" s="5023" t="str">
        <f>'[71]F2'!C31</f>
        <v>Utang pihak berelasi</v>
      </c>
      <c r="AE51" s="4061" t="s">
        <v>569</v>
      </c>
      <c r="AF51" s="4061"/>
      <c r="AG51" s="4061"/>
      <c r="AH51" s="4061"/>
      <c r="AI51" s="4061"/>
      <c r="AJ51" s="4061"/>
      <c r="AK51" s="4061"/>
      <c r="AL51" s="4061"/>
      <c r="AM51" s="4061"/>
      <c r="AN51" s="4061"/>
      <c r="AO51" s="4061"/>
      <c r="AP51" s="4060"/>
      <c r="AQ51" s="4060"/>
      <c r="AR51" s="4060"/>
      <c r="AS51" s="4060"/>
      <c r="AT51" s="4060"/>
      <c r="AU51" s="4060"/>
      <c r="AV51" s="4060"/>
      <c r="AW51" s="4082">
        <f>'[71]F2'!K31</f>
        <v>62332171316.6</v>
      </c>
      <c r="AX51" s="4082"/>
      <c r="AY51" s="4082"/>
      <c r="AZ51" s="4082"/>
      <c r="BA51" s="4082"/>
      <c r="BB51" s="4082"/>
      <c r="BC51" s="4082"/>
      <c r="BD51" s="4082">
        <f>'[71]F2'!L31</f>
        <v>42191838993.6</v>
      </c>
      <c r="BE51" s="4082"/>
      <c r="BF51" s="4082"/>
      <c r="BG51" s="4082"/>
      <c r="BH51" s="4082"/>
      <c r="BI51" s="4082"/>
      <c r="BJ51" s="4082"/>
      <c r="BK51" s="4082"/>
      <c r="BN51" s="3606">
        <f>AW51-BD51</f>
        <v>20140332323</v>
      </c>
    </row>
    <row r="52" ht="10.35" hidden="1" customHeight="1" spans="2:63">
      <c r="B52"/>
      <c r="AE52" s="4061"/>
      <c r="AF52" s="4061"/>
      <c r="AG52" s="4061"/>
      <c r="AH52" s="4061"/>
      <c r="AI52" s="4061"/>
      <c r="AJ52" s="4061"/>
      <c r="AK52" s="4061"/>
      <c r="AL52" s="4061"/>
      <c r="AM52" s="4061"/>
      <c r="AN52" s="4061"/>
      <c r="AO52" s="4061"/>
      <c r="AP52" s="4060"/>
      <c r="AQ52" s="4060"/>
      <c r="AR52" s="4060"/>
      <c r="AS52" s="4060"/>
      <c r="AT52" s="4060"/>
      <c r="AU52" s="4060"/>
      <c r="AV52" s="4060"/>
      <c r="AW52" s="4097"/>
      <c r="AX52" s="4097"/>
      <c r="AY52" s="4097"/>
      <c r="AZ52" s="4097"/>
      <c r="BA52" s="4097"/>
      <c r="BB52" s="4097"/>
      <c r="BC52" s="4082"/>
      <c r="BD52" s="4097"/>
      <c r="BE52" s="4097"/>
      <c r="BF52" s="4097"/>
      <c r="BG52" s="4097"/>
      <c r="BH52" s="4097"/>
      <c r="BI52" s="4097"/>
      <c r="BJ52" s="4082"/>
      <c r="BK52" s="4082"/>
    </row>
    <row r="53" ht="12" hidden="1" spans="2:63">
      <c r="B53" s="5010" t="s">
        <v>570</v>
      </c>
      <c r="AE53" s="4061"/>
      <c r="AF53" s="4061"/>
      <c r="AG53" s="4061"/>
      <c r="AH53" s="4061"/>
      <c r="AI53" s="4061"/>
      <c r="AJ53" s="4061"/>
      <c r="AK53" s="4061"/>
      <c r="AL53" s="4061"/>
      <c r="AM53" s="4061"/>
      <c r="AN53" s="4061"/>
      <c r="AO53" s="4061"/>
      <c r="AP53" s="4060"/>
      <c r="AQ53" s="4060"/>
      <c r="AR53" s="4060"/>
      <c r="AS53" s="4060"/>
      <c r="AT53" s="4060"/>
      <c r="AU53" s="4060"/>
      <c r="AV53" s="4060"/>
      <c r="AW53" s="4083">
        <f>SUM(AW47:BB52)</f>
        <v>108881045439.6</v>
      </c>
      <c r="AX53" s="4083"/>
      <c r="AY53" s="4083"/>
      <c r="AZ53" s="4083"/>
      <c r="BA53" s="4083"/>
      <c r="BB53" s="4083"/>
      <c r="BC53" s="4083"/>
      <c r="BD53" s="4083">
        <f>SUM(BD47:BI52)</f>
        <v>47241283439.6</v>
      </c>
      <c r="BE53" s="4083"/>
      <c r="BF53" s="4083"/>
      <c r="BG53" s="4083"/>
      <c r="BH53" s="4083"/>
      <c r="BI53" s="4083"/>
      <c r="BJ53" s="4083"/>
      <c r="BK53" s="4094"/>
    </row>
    <row r="54" hidden="1" spans="31:63">
      <c r="AE54" s="4067"/>
      <c r="AF54" s="4067"/>
      <c r="AG54" s="4067"/>
      <c r="AH54" s="4067"/>
      <c r="AI54" s="4067"/>
      <c r="AJ54" s="4067"/>
      <c r="AK54" s="4067"/>
      <c r="AL54" s="4067"/>
      <c r="AM54" s="4067"/>
      <c r="AN54" s="4067"/>
      <c r="AO54" s="4067"/>
      <c r="AP54" s="4060"/>
      <c r="AQ54" s="4060"/>
      <c r="AR54" s="4060"/>
      <c r="AS54" s="4060"/>
      <c r="AT54" s="4060"/>
      <c r="AU54" s="4060"/>
      <c r="AV54" s="4060"/>
      <c r="AW54" s="4082"/>
      <c r="AX54" s="4082"/>
      <c r="AY54" s="4082"/>
      <c r="AZ54" s="4082"/>
      <c r="BA54" s="4082"/>
      <c r="BB54" s="4082"/>
      <c r="BC54" s="4082"/>
      <c r="BD54" s="4082"/>
      <c r="BE54" s="4082"/>
      <c r="BF54" s="4082"/>
      <c r="BG54" s="4082"/>
      <c r="BH54" s="4082"/>
      <c r="BI54" s="4082"/>
      <c r="BJ54" s="4082"/>
      <c r="BK54" s="4082"/>
    </row>
    <row r="55" ht="12" hidden="1" spans="2:63">
      <c r="B55" s="5024" t="s">
        <v>310</v>
      </c>
      <c r="AE55" s="4067"/>
      <c r="AF55" s="4067"/>
      <c r="AG55" s="4067"/>
      <c r="AH55" s="4067"/>
      <c r="AI55" s="4067"/>
      <c r="AJ55" s="4067"/>
      <c r="AK55" s="4067"/>
      <c r="AL55" s="4067"/>
      <c r="AM55" s="4067"/>
      <c r="AN55" s="4067"/>
      <c r="AO55" s="4067"/>
      <c r="AP55" s="4060"/>
      <c r="AQ55" s="4060"/>
      <c r="AR55" s="4060"/>
      <c r="AS55" s="4060"/>
      <c r="AT55" s="4060"/>
      <c r="AU55" s="4060"/>
      <c r="AV55" s="4060"/>
      <c r="AW55" s="4082"/>
      <c r="AX55" s="4082"/>
      <c r="AY55" s="4082"/>
      <c r="AZ55" s="4082"/>
      <c r="BA55" s="4082"/>
      <c r="BB55" s="4082"/>
      <c r="BC55" s="4082"/>
      <c r="BD55" s="4082"/>
      <c r="BE55" s="4082"/>
      <c r="BF55" s="4082"/>
      <c r="BG55" s="4082"/>
      <c r="BH55" s="4082"/>
      <c r="BI55" s="4082"/>
      <c r="BJ55" s="4082"/>
      <c r="BK55" s="4082"/>
    </row>
    <row r="56" s="3606" customFormat="1" ht="12" hidden="1" customHeight="1" spans="2:66">
      <c r="B56" t="s">
        <v>510</v>
      </c>
      <c r="AE56" s="4061">
        <v>19</v>
      </c>
      <c r="AF56" s="4061"/>
      <c r="AG56" s="4061"/>
      <c r="AH56" s="4061"/>
      <c r="AI56" s="4061"/>
      <c r="AJ56" s="4061"/>
      <c r="AK56" s="4061"/>
      <c r="AL56" s="4061"/>
      <c r="AM56" s="4061"/>
      <c r="AN56" s="4061"/>
      <c r="AO56" s="4061"/>
      <c r="AP56" s="4060"/>
      <c r="AQ56" s="4060"/>
      <c r="AR56" s="4060"/>
      <c r="AS56" s="4060"/>
      <c r="AT56" s="4060"/>
      <c r="AU56" s="4060"/>
      <c r="AV56" s="4060"/>
      <c r="AW56" s="4082">
        <f>+'[71]F2'!K39</f>
        <v>11200000000</v>
      </c>
      <c r="AX56" s="4082"/>
      <c r="AY56" s="4082"/>
      <c r="AZ56" s="4082"/>
      <c r="BA56" s="4082"/>
      <c r="BB56" s="4082"/>
      <c r="BC56" s="4082"/>
      <c r="BD56" s="4082">
        <f>+'[71]F2'!L39</f>
        <v>11200000000</v>
      </c>
      <c r="BE56" s="4082"/>
      <c r="BF56" s="4082"/>
      <c r="BG56" s="4082"/>
      <c r="BH56" s="4082"/>
      <c r="BI56" s="4082"/>
      <c r="BJ56" s="4082"/>
      <c r="BK56" s="4082"/>
      <c r="BN56" s="3606">
        <f>AW56-BD56</f>
        <v>0</v>
      </c>
    </row>
    <row r="57" s="3606" customFormat="1" ht="12" hidden="1" customHeight="1" spans="2:66">
      <c r="B57" t="s">
        <v>571</v>
      </c>
      <c r="AE57" s="4061">
        <f>AE56+1</f>
        <v>20</v>
      </c>
      <c r="AF57" s="4061"/>
      <c r="AG57" s="4061"/>
      <c r="AH57" s="4061"/>
      <c r="AI57" s="4061"/>
      <c r="AJ57" s="4061"/>
      <c r="AK57" s="4061"/>
      <c r="AL57" s="4061"/>
      <c r="AM57" s="4061"/>
      <c r="AN57" s="4061"/>
      <c r="AO57" s="4061"/>
      <c r="AP57" s="4060"/>
      <c r="AQ57" s="4060"/>
      <c r="AR57" s="4060"/>
      <c r="AS57" s="4060"/>
      <c r="AT57" s="4060"/>
      <c r="AU57" s="4060"/>
      <c r="AV57" s="4060"/>
      <c r="AW57" s="4082">
        <f>+'[71]F2'!K40</f>
        <v>250000000</v>
      </c>
      <c r="AX57" s="4082"/>
      <c r="AY57" s="4082"/>
      <c r="AZ57" s="4082"/>
      <c r="BA57" s="4082"/>
      <c r="BB57" s="4082"/>
      <c r="BC57" s="4082"/>
      <c r="BD57" s="4082">
        <f>+'[71]F2'!L40</f>
        <v>250000000</v>
      </c>
      <c r="BE57" s="4082"/>
      <c r="BF57" s="4082"/>
      <c r="BG57" s="4082"/>
      <c r="BH57" s="4082"/>
      <c r="BI57" s="4082"/>
      <c r="BJ57" s="4082"/>
      <c r="BK57" s="4082"/>
      <c r="BN57" s="3606">
        <f>AW57-BD57</f>
        <v>0</v>
      </c>
    </row>
    <row r="58" s="3606" customFormat="1" ht="12" hidden="1" customHeight="1" spans="2:66">
      <c r="B58" t="s">
        <v>572</v>
      </c>
      <c r="AE58" s="4067"/>
      <c r="AF58" s="4067"/>
      <c r="AG58" s="4067"/>
      <c r="AH58" s="4067"/>
      <c r="AI58" s="4067"/>
      <c r="AJ58" s="4067"/>
      <c r="AK58" s="4067"/>
      <c r="AL58" s="4067"/>
      <c r="AM58" s="4067"/>
      <c r="AN58" s="4067"/>
      <c r="AO58" s="4067"/>
      <c r="AP58" s="4060"/>
      <c r="AQ58" s="4060"/>
      <c r="AR58" s="4060"/>
      <c r="AS58" s="4060"/>
      <c r="AT58" s="4060"/>
      <c r="AU58" s="4060"/>
      <c r="AV58" s="4060"/>
      <c r="AW58" s="4082">
        <f>AW169</f>
        <v>9040934717.37351</v>
      </c>
      <c r="AX58" s="4082"/>
      <c r="AY58" s="4082"/>
      <c r="AZ58" s="4082"/>
      <c r="BA58" s="4082"/>
      <c r="BB58" s="4082"/>
      <c r="BC58" s="4082"/>
      <c r="BD58" s="4082">
        <f>'[71]F2'!L41+'[71]F2'!L42</f>
        <v>-8479026828.81</v>
      </c>
      <c r="BE58" s="4082"/>
      <c r="BF58" s="4082"/>
      <c r="BG58" s="4082"/>
      <c r="BH58" s="4082"/>
      <c r="BI58" s="4082"/>
      <c r="BJ58" s="4082"/>
      <c r="BK58" s="4082"/>
      <c r="BN58" s="3606">
        <f>AW58-BD58</f>
        <v>17519961546.1835</v>
      </c>
    </row>
    <row r="59" ht="6" hidden="1" customHeight="1" spans="31:63">
      <c r="AE59" s="4067"/>
      <c r="AF59" s="4067"/>
      <c r="AG59" s="4067"/>
      <c r="AH59" s="4067"/>
      <c r="AI59" s="4067"/>
      <c r="AJ59" s="4067"/>
      <c r="AK59" s="4067"/>
      <c r="AL59" s="4067"/>
      <c r="AM59" s="4067"/>
      <c r="AN59" s="4067"/>
      <c r="AO59" s="4067"/>
      <c r="AP59" s="4060"/>
      <c r="AQ59" s="4060"/>
      <c r="AR59" s="4060"/>
      <c r="AS59" s="4060"/>
      <c r="AT59" s="4060"/>
      <c r="AU59" s="4060"/>
      <c r="AV59" s="4060"/>
      <c r="AW59" s="4097"/>
      <c r="AX59" s="4097"/>
      <c r="AY59" s="4097"/>
      <c r="AZ59" s="4097"/>
      <c r="BA59" s="4097"/>
      <c r="BB59" s="4097"/>
      <c r="BC59" s="4082"/>
      <c r="BD59" s="4097"/>
      <c r="BE59" s="4097"/>
      <c r="BF59" s="4097"/>
      <c r="BG59" s="4097"/>
      <c r="BH59" s="4097"/>
      <c r="BI59" s="4097"/>
      <c r="BJ59" s="4082"/>
      <c r="BK59" s="4082"/>
    </row>
    <row r="60" ht="12" hidden="1" spans="2:63">
      <c r="B60" s="5024" t="s">
        <v>312</v>
      </c>
      <c r="AE60" s="4067"/>
      <c r="AF60" s="4067"/>
      <c r="AG60" s="4067"/>
      <c r="AH60" s="4067"/>
      <c r="AI60" s="4067"/>
      <c r="AJ60" s="4067"/>
      <c r="AK60" s="4067"/>
      <c r="AL60" s="4067"/>
      <c r="AM60" s="4067"/>
      <c r="AN60" s="4067"/>
      <c r="AO60" s="4067"/>
      <c r="AP60" s="4060"/>
      <c r="AQ60" s="4060"/>
      <c r="AR60" s="4060"/>
      <c r="AS60" s="4060"/>
      <c r="AT60" s="4060"/>
      <c r="AU60" s="4060"/>
      <c r="AV60" s="4060"/>
      <c r="AW60" s="4094">
        <f>SUM(AW56:BB58)</f>
        <v>20490934717.3735</v>
      </c>
      <c r="AX60" s="4094"/>
      <c r="AY60" s="4094"/>
      <c r="AZ60" s="4094"/>
      <c r="BA60" s="4094"/>
      <c r="BB60" s="4094"/>
      <c r="BC60" s="4082"/>
      <c r="BD60" s="4094">
        <f>SUM(BD56:BI58)</f>
        <v>2970973171.19</v>
      </c>
      <c r="BE60" s="4094"/>
      <c r="BF60" s="4094"/>
      <c r="BG60" s="4094"/>
      <c r="BH60" s="4094"/>
      <c r="BI60" s="4094"/>
      <c r="BJ60" s="4094"/>
      <c r="BK60" s="4094"/>
    </row>
    <row r="61" hidden="1" spans="31:64">
      <c r="AE61" s="4067"/>
      <c r="AF61" s="4067"/>
      <c r="AG61" s="4067"/>
      <c r="AH61" s="4067"/>
      <c r="AI61" s="4067"/>
      <c r="AJ61" s="4067"/>
      <c r="AK61" s="4067"/>
      <c r="AL61" s="4067"/>
      <c r="AM61" s="4067"/>
      <c r="AN61" s="4067"/>
      <c r="AO61" s="4067"/>
      <c r="AP61" s="4060"/>
      <c r="AQ61" s="4060"/>
      <c r="AR61" s="4060"/>
      <c r="AS61" s="4060"/>
      <c r="AT61" s="4060"/>
      <c r="AU61" s="4060"/>
      <c r="AV61" s="4060"/>
      <c r="AW61" s="4082"/>
      <c r="AX61" s="4082"/>
      <c r="AY61" s="4082"/>
      <c r="AZ61" s="4082"/>
      <c r="BA61" s="4082"/>
      <c r="BB61" s="4082"/>
      <c r="BC61" s="4082"/>
      <c r="BD61" s="4082"/>
      <c r="BE61" s="4082"/>
      <c r="BF61" s="4082"/>
      <c r="BG61" s="4082"/>
      <c r="BH61" s="4082"/>
      <c r="BI61" s="4082"/>
      <c r="BJ61" s="4082"/>
      <c r="BK61" s="4082"/>
      <c r="BL61" s="3606">
        <f>9+3-9</f>
        <v>3</v>
      </c>
    </row>
    <row r="62" ht="12.75" hidden="1" spans="2:63">
      <c r="B62" s="3607" t="s">
        <v>573</v>
      </c>
      <c r="AE62" s="4067"/>
      <c r="AF62" s="4067"/>
      <c r="AG62" s="4067"/>
      <c r="AH62" s="4067"/>
      <c r="AI62" s="4067"/>
      <c r="AJ62" s="4067"/>
      <c r="AK62" s="4067"/>
      <c r="AL62" s="4067"/>
      <c r="AM62" s="4067"/>
      <c r="AN62" s="4067"/>
      <c r="AO62" s="4067"/>
      <c r="AP62" s="4060"/>
      <c r="AQ62" s="4060"/>
      <c r="AR62" s="4060"/>
      <c r="AS62" s="4060"/>
      <c r="AT62" s="4060"/>
      <c r="AU62" s="4060"/>
      <c r="AV62" s="4060"/>
      <c r="AW62" s="4100" t="e">
        <f>AW44+AW60+AW53</f>
        <v>#REF!</v>
      </c>
      <c r="AX62" s="4100"/>
      <c r="AY62" s="4100"/>
      <c r="AZ62" s="4100"/>
      <c r="BA62" s="4100"/>
      <c r="BB62" s="4100"/>
      <c r="BC62" s="4082"/>
      <c r="BD62" s="4100">
        <f>BD44+BD60+BD53</f>
        <v>74212358727.79</v>
      </c>
      <c r="BE62" s="4100"/>
      <c r="BF62" s="4100"/>
      <c r="BG62" s="4100"/>
      <c r="BH62" s="4100"/>
      <c r="BI62" s="4100"/>
      <c r="BJ62" s="4083"/>
      <c r="BK62" s="4094"/>
    </row>
    <row r="63" ht="12.15" hidden="1" spans="31:71">
      <c r="AE63" s="4060"/>
      <c r="AF63" s="4060"/>
      <c r="AG63" s="4060"/>
      <c r="AH63" s="4060"/>
      <c r="AI63" s="4060"/>
      <c r="AJ63" s="4060"/>
      <c r="AK63" s="4060"/>
      <c r="AL63" s="4060"/>
      <c r="AM63" s="4060"/>
      <c r="AN63" s="4060"/>
      <c r="AO63" s="4060"/>
      <c r="AP63" s="4060"/>
      <c r="AQ63" s="4060"/>
      <c r="AR63" s="4060"/>
      <c r="AS63" s="4060"/>
      <c r="AT63" s="4060"/>
      <c r="AU63" s="4060"/>
      <c r="AV63" s="4060"/>
      <c r="BC63" s="4086"/>
      <c r="BN63" s="4086"/>
      <c r="BO63" s="4086"/>
      <c r="BP63" s="4086"/>
      <c r="BQ63" s="4086"/>
      <c r="BR63" s="4086"/>
      <c r="BS63" s="4086"/>
    </row>
    <row r="64" hidden="1" spans="31:70">
      <c r="AE64" s="4109"/>
      <c r="AF64" s="4109"/>
      <c r="AG64" s="4109"/>
      <c r="AH64" s="4109"/>
      <c r="AI64" s="4109"/>
      <c r="AJ64" s="4109"/>
      <c r="AK64" s="4109"/>
      <c r="AL64" s="4109"/>
      <c r="AM64" s="4109"/>
      <c r="AN64" s="4109"/>
      <c r="AO64" s="4109"/>
      <c r="AP64" s="4060"/>
      <c r="AQ64" s="4060"/>
      <c r="AR64" s="4060"/>
      <c r="AS64" s="4060"/>
      <c r="AT64" s="4060"/>
      <c r="AU64" s="4060"/>
      <c r="AV64" s="4060"/>
      <c r="AW64" s="4081"/>
      <c r="AX64" s="4081"/>
      <c r="AY64" s="4081"/>
      <c r="AZ64" s="4081"/>
      <c r="BA64" s="4081"/>
      <c r="BB64" s="4081"/>
      <c r="BC64" s="4081"/>
      <c r="BD64" s="4081"/>
      <c r="BE64" s="4081"/>
      <c r="BF64" s="4081"/>
      <c r="BG64" s="4081"/>
      <c r="BH64" s="4081"/>
      <c r="BI64" s="4081"/>
      <c r="BJ64" s="4081"/>
      <c r="BK64" s="4081"/>
      <c r="BN64" s="4086"/>
      <c r="BO64" s="4086"/>
      <c r="BP64" s="4086"/>
      <c r="BQ64" s="4086"/>
      <c r="BR64" s="4086"/>
    </row>
    <row r="65" hidden="1" spans="31:64">
      <c r="AE65" s="4109"/>
      <c r="AF65" s="4109"/>
      <c r="AG65" s="4109"/>
      <c r="AH65" s="4109"/>
      <c r="AI65" s="4109"/>
      <c r="AJ65" s="4109"/>
      <c r="AK65" s="4109"/>
      <c r="AL65" s="4109"/>
      <c r="AM65" s="4109"/>
      <c r="AN65" s="4109"/>
      <c r="AO65" s="4109"/>
      <c r="AP65" s="4060"/>
      <c r="AQ65" s="4060"/>
      <c r="AR65" s="4060"/>
      <c r="AS65" s="4060"/>
      <c r="AT65" s="4060"/>
      <c r="AU65" s="4060"/>
      <c r="AV65" s="4060"/>
      <c r="AW65" s="4081"/>
      <c r="AX65" s="4081"/>
      <c r="AY65" s="4081"/>
      <c r="AZ65" s="4081"/>
      <c r="BA65" s="4081"/>
      <c r="BB65" s="4081"/>
      <c r="BC65" s="4081"/>
      <c r="BD65" s="4081"/>
      <c r="BE65" s="4081"/>
      <c r="BF65" s="4081"/>
      <c r="BG65" s="4081"/>
      <c r="BH65" s="4081"/>
      <c r="BI65" s="4081"/>
      <c r="BJ65" s="4081"/>
      <c r="BK65" s="3606">
        <v>2018</v>
      </c>
      <c r="BL65" s="4086" t="e">
        <f>+AW62-AW32</f>
        <v>#REF!</v>
      </c>
    </row>
    <row r="66" hidden="1" spans="2:64">
      <c r="B66" s="3609"/>
      <c r="AE66" s="4109"/>
      <c r="AF66" s="4109"/>
      <c r="AG66" s="4109"/>
      <c r="AH66" s="4109"/>
      <c r="AI66" s="4109"/>
      <c r="AJ66" s="4109"/>
      <c r="AK66" s="4109"/>
      <c r="AL66" s="4109"/>
      <c r="AM66" s="4109"/>
      <c r="AN66" s="4109"/>
      <c r="AO66" s="4109"/>
      <c r="AP66" s="4060"/>
      <c r="AQ66" s="4060"/>
      <c r="AR66" s="4060"/>
      <c r="AS66" s="4060"/>
      <c r="AT66" s="4060"/>
      <c r="AU66" s="4060"/>
      <c r="AV66" s="4060"/>
      <c r="AW66" s="4081"/>
      <c r="AX66" s="4081"/>
      <c r="AY66" s="4081"/>
      <c r="AZ66" s="4081"/>
      <c r="BA66" s="4081"/>
      <c r="BB66" s="4081"/>
      <c r="BC66" s="4081"/>
      <c r="BD66" s="4081"/>
      <c r="BE66" s="4081"/>
      <c r="BF66" s="4081"/>
      <c r="BG66" s="4081"/>
      <c r="BH66" s="4081"/>
      <c r="BI66" s="4081"/>
      <c r="BJ66" s="4081"/>
      <c r="BK66" s="3606">
        <v>2017</v>
      </c>
      <c r="BL66" s="4086">
        <f>+BD62-BD32</f>
        <v>0.22998046875</v>
      </c>
    </row>
    <row r="67" hidden="1" spans="2:63">
      <c r="B67" s="3609"/>
      <c r="AE67" s="4109"/>
      <c r="AF67" s="4109"/>
      <c r="AG67" s="4109"/>
      <c r="AH67" s="4109"/>
      <c r="AI67" s="4109"/>
      <c r="AJ67" s="4109"/>
      <c r="AK67" s="4109"/>
      <c r="AL67" s="4109"/>
      <c r="AM67" s="4109"/>
      <c r="AN67" s="4109"/>
      <c r="AO67" s="4109"/>
      <c r="AP67" s="4060"/>
      <c r="AQ67" s="4060"/>
      <c r="AR67" s="4060"/>
      <c r="AS67" s="4060"/>
      <c r="AT67" s="4060"/>
      <c r="AU67" s="4060"/>
      <c r="AV67" s="4060"/>
      <c r="AW67" s="4081"/>
      <c r="AX67" s="4081"/>
      <c r="AY67" s="4081"/>
      <c r="AZ67" s="4081"/>
      <c r="BA67" s="4081"/>
      <c r="BB67" s="4081"/>
      <c r="BC67" s="4081"/>
      <c r="BD67" s="4081"/>
      <c r="BE67" s="4081"/>
      <c r="BF67" s="4081"/>
      <c r="BG67" s="4081"/>
      <c r="BH67" s="4081"/>
      <c r="BI67" s="4081"/>
      <c r="BJ67" s="4081"/>
      <c r="BK67" s="4081"/>
    </row>
    <row r="68" hidden="1" spans="2:63">
      <c r="B68" s="3609"/>
      <c r="AE68" s="4109"/>
      <c r="AF68" s="4109"/>
      <c r="AG68" s="4109"/>
      <c r="AH68" s="4109"/>
      <c r="AI68" s="4109"/>
      <c r="AJ68" s="4109"/>
      <c r="AK68" s="4109"/>
      <c r="AL68" s="4109"/>
      <c r="AM68" s="4109"/>
      <c r="AN68" s="4109"/>
      <c r="AO68" s="4109"/>
      <c r="AP68" s="4060"/>
      <c r="AQ68" s="4060"/>
      <c r="AR68" s="4060"/>
      <c r="AS68" s="4060"/>
      <c r="AT68" s="4060"/>
      <c r="AU68" s="4060"/>
      <c r="AV68" s="4060"/>
      <c r="AW68" s="4081"/>
      <c r="AX68" s="4081"/>
      <c r="AY68" s="4081"/>
      <c r="AZ68" s="4081"/>
      <c r="BA68" s="4081"/>
      <c r="BB68" s="4081"/>
      <c r="BC68" s="4081"/>
      <c r="BD68" s="4081"/>
      <c r="BE68" s="4081"/>
      <c r="BF68" s="4081"/>
      <c r="BG68" s="4081"/>
      <c r="BH68" s="4081"/>
      <c r="BI68" s="4081"/>
      <c r="BJ68" s="4081"/>
      <c r="BK68" s="4081"/>
    </row>
    <row r="69" hidden="1" spans="2:63">
      <c r="B69" s="3609"/>
      <c r="AE69" s="4109"/>
      <c r="AF69" s="4109"/>
      <c r="AG69" s="4109"/>
      <c r="AH69" s="4109"/>
      <c r="AI69" s="4109"/>
      <c r="AJ69" s="4109"/>
      <c r="AK69" s="4109"/>
      <c r="AL69" s="4109"/>
      <c r="AM69" s="4109"/>
      <c r="AN69" s="4109"/>
      <c r="AO69" s="4109"/>
      <c r="AP69" s="4060"/>
      <c r="AQ69" s="4060"/>
      <c r="AR69" s="4060"/>
      <c r="AS69" s="4060"/>
      <c r="AT69" s="4060"/>
      <c r="AU69" s="4060"/>
      <c r="AV69" s="4060"/>
      <c r="AW69" s="4081"/>
      <c r="AX69" s="4081"/>
      <c r="AY69" s="4081"/>
      <c r="AZ69" s="4081"/>
      <c r="BA69" s="4081"/>
      <c r="BB69" s="4081"/>
      <c r="BC69" s="4081"/>
      <c r="BD69" s="4081"/>
      <c r="BE69" s="4081"/>
      <c r="BF69" s="4081"/>
      <c r="BG69" s="4081"/>
      <c r="BH69" s="4081"/>
      <c r="BI69" s="4081"/>
      <c r="BJ69" s="4081"/>
      <c r="BK69" s="4081"/>
    </row>
    <row r="70" hidden="1" spans="2:63">
      <c r="B70" s="3609"/>
      <c r="AE70" s="4109"/>
      <c r="AF70" s="4109"/>
      <c r="AG70" s="4109"/>
      <c r="AH70" s="4109"/>
      <c r="AI70" s="4109"/>
      <c r="AJ70" s="4109"/>
      <c r="AK70" s="4109"/>
      <c r="AL70" s="4109"/>
      <c r="AM70" s="4109"/>
      <c r="AN70" s="4109"/>
      <c r="AO70" s="4109"/>
      <c r="AP70" s="4060"/>
      <c r="AQ70" s="4060"/>
      <c r="AR70" s="4060"/>
      <c r="AS70" s="4060"/>
      <c r="AT70" s="4060"/>
      <c r="AU70" s="4060"/>
      <c r="AV70" s="4060"/>
      <c r="AW70" s="4081"/>
      <c r="AX70" s="4081"/>
      <c r="AY70" s="4081"/>
      <c r="AZ70" s="4081"/>
      <c r="BA70" s="4081"/>
      <c r="BB70" s="4081"/>
      <c r="BC70" s="4081"/>
      <c r="BD70" s="4081"/>
      <c r="BE70" s="4081"/>
      <c r="BF70" s="4081"/>
      <c r="BG70" s="4081"/>
      <c r="BH70" s="4081"/>
      <c r="BI70" s="4081"/>
      <c r="BJ70" s="4081"/>
      <c r="BK70" s="4081"/>
    </row>
    <row r="71" hidden="1" spans="2:63">
      <c r="B71" s="3609"/>
      <c r="AE71" s="4109"/>
      <c r="AF71" s="4109"/>
      <c r="AG71" s="4109"/>
      <c r="AH71" s="4109"/>
      <c r="AI71" s="4109"/>
      <c r="AJ71" s="4109"/>
      <c r="AK71" s="4109"/>
      <c r="AL71" s="4109"/>
      <c r="AM71" s="4109"/>
      <c r="AN71" s="4109"/>
      <c r="AO71" s="4109"/>
      <c r="AP71" s="4060"/>
      <c r="AQ71" s="4060"/>
      <c r="AR71" s="4060"/>
      <c r="AS71" s="4060"/>
      <c r="AT71" s="4060"/>
      <c r="AU71" s="4060"/>
      <c r="AV71" s="4060"/>
      <c r="AW71" s="4081"/>
      <c r="AX71" s="4081"/>
      <c r="AY71" s="4081"/>
      <c r="AZ71" s="4081"/>
      <c r="BA71" s="4081"/>
      <c r="BB71" s="4081"/>
      <c r="BC71" s="4081"/>
      <c r="BD71" s="4081"/>
      <c r="BE71" s="4081"/>
      <c r="BF71" s="4081"/>
      <c r="BG71" s="4081"/>
      <c r="BH71" s="4081"/>
      <c r="BI71" s="4081"/>
      <c r="BJ71" s="4081"/>
      <c r="BK71" s="4081"/>
    </row>
    <row r="72" hidden="1" spans="2:63">
      <c r="B72" s="3609"/>
      <c r="AE72" s="4109"/>
      <c r="AF72" s="4109"/>
      <c r="AG72" s="4109"/>
      <c r="AH72" s="4109"/>
      <c r="AI72" s="4109"/>
      <c r="AJ72" s="4109"/>
      <c r="AK72" s="4109"/>
      <c r="AL72" s="4109"/>
      <c r="AM72" s="4109"/>
      <c r="AN72" s="4109"/>
      <c r="AO72" s="4109"/>
      <c r="AP72" s="4060"/>
      <c r="AQ72" s="4060"/>
      <c r="AR72" s="4060"/>
      <c r="AS72" s="4060"/>
      <c r="AT72" s="4060"/>
      <c r="AU72" s="4060"/>
      <c r="AV72" s="4060"/>
      <c r="AW72" s="4081"/>
      <c r="AX72" s="4081"/>
      <c r="AY72" s="4081"/>
      <c r="AZ72" s="4081"/>
      <c r="BA72" s="4081"/>
      <c r="BB72" s="4081"/>
      <c r="BC72" s="4081"/>
      <c r="BD72" s="4081"/>
      <c r="BE72" s="4081"/>
      <c r="BF72" s="4081"/>
      <c r="BG72" s="4081"/>
      <c r="BH72" s="4081"/>
      <c r="BI72" s="4081"/>
      <c r="BJ72" s="4081"/>
      <c r="BK72" s="4081"/>
    </row>
    <row r="73" hidden="1" spans="2:63">
      <c r="B73" s="3609"/>
      <c r="AE73" s="4109"/>
      <c r="AF73" s="4109"/>
      <c r="AG73" s="4109"/>
      <c r="AH73" s="4109"/>
      <c r="AI73" s="4109"/>
      <c r="AJ73" s="4109"/>
      <c r="AK73" s="4109"/>
      <c r="AL73" s="4109"/>
      <c r="AM73" s="4109"/>
      <c r="AN73" s="4109"/>
      <c r="AO73" s="4109"/>
      <c r="AP73" s="4060"/>
      <c r="AQ73" s="4060"/>
      <c r="AR73" s="4060"/>
      <c r="AS73" s="4060"/>
      <c r="AT73" s="4060"/>
      <c r="AU73" s="4060"/>
      <c r="AV73" s="4060"/>
      <c r="AW73" s="4081"/>
      <c r="AX73" s="4081"/>
      <c r="AY73" s="4081"/>
      <c r="AZ73" s="4081"/>
      <c r="BA73" s="4081"/>
      <c r="BB73" s="4081"/>
      <c r="BC73" s="4081"/>
      <c r="BD73" s="4081"/>
      <c r="BE73" s="4081"/>
      <c r="BF73" s="4081"/>
      <c r="BG73" s="4081"/>
      <c r="BH73" s="4081"/>
      <c r="BI73" s="4081"/>
      <c r="BJ73" s="4081"/>
      <c r="BK73" s="4081"/>
    </row>
    <row r="74" hidden="1" spans="2:63">
      <c r="B74" s="3609"/>
      <c r="AE74" s="4109"/>
      <c r="AF74" s="4109"/>
      <c r="AG74" s="4109"/>
      <c r="AH74" s="4109"/>
      <c r="AI74" s="4109"/>
      <c r="AJ74" s="4109"/>
      <c r="AK74" s="4109"/>
      <c r="AL74" s="4109"/>
      <c r="AM74" s="4109"/>
      <c r="AN74" s="4109"/>
      <c r="AO74" s="4109"/>
      <c r="AP74" s="4060"/>
      <c r="AQ74" s="4060"/>
      <c r="AR74" s="4060"/>
      <c r="AS74" s="4060"/>
      <c r="AT74" s="4060"/>
      <c r="AU74" s="4060"/>
      <c r="AV74" s="4060"/>
      <c r="AW74" s="4081"/>
      <c r="AX74" s="4081"/>
      <c r="AY74" s="4081"/>
      <c r="AZ74" s="4081"/>
      <c r="BA74" s="4081"/>
      <c r="BB74" s="4081"/>
      <c r="BC74" s="4081"/>
      <c r="BD74" s="4081"/>
      <c r="BE74" s="4081"/>
      <c r="BF74" s="4081"/>
      <c r="BG74" s="4081"/>
      <c r="BH74" s="4081"/>
      <c r="BI74" s="4081"/>
      <c r="BJ74" s="4081"/>
      <c r="BK74" s="4081"/>
    </row>
    <row r="75" ht="12" hidden="1" spans="2:63">
      <c r="B75" s="3607" t="str">
        <f>B1</f>
        <v>PT WATERINDO PRIMATECH BEKASI</v>
      </c>
      <c r="AE75" s="4109"/>
      <c r="AF75" s="4109"/>
      <c r="AG75" s="4109"/>
      <c r="AH75" s="4109"/>
      <c r="AI75" s="4109"/>
      <c r="AJ75" s="4109"/>
      <c r="AK75" s="4109"/>
      <c r="AL75" s="4109"/>
      <c r="AM75" s="4109"/>
      <c r="AN75" s="4109"/>
      <c r="AO75" s="4109"/>
      <c r="AP75" s="4060"/>
      <c r="AQ75" s="4060"/>
      <c r="AR75" s="4060"/>
      <c r="AS75" s="4060"/>
      <c r="AT75" s="4060"/>
      <c r="AU75" s="4060"/>
      <c r="AV75" s="4060"/>
      <c r="AW75" s="4081"/>
      <c r="AX75" s="4081"/>
      <c r="AY75" s="4081"/>
      <c r="AZ75" s="4081"/>
      <c r="BA75" s="4081"/>
      <c r="BB75" s="4081"/>
      <c r="BC75" s="4081"/>
      <c r="BD75" s="4081"/>
      <c r="BE75" s="4081"/>
      <c r="BF75" s="4081"/>
      <c r="BG75" s="4081"/>
      <c r="BH75" s="4081"/>
      <c r="BI75" s="4081"/>
      <c r="BJ75" s="4081"/>
      <c r="BK75" s="4081"/>
    </row>
    <row r="76" ht="12" hidden="1" customHeight="1" spans="2:63">
      <c r="B76" s="5010" t="s">
        <v>574</v>
      </c>
      <c r="BC76" s="4567" t="str">
        <f>AW1</f>
        <v>Approval for Print</v>
      </c>
      <c r="BD76" s="4567"/>
      <c r="BE76" s="4573" t="str">
        <f>BF1</f>
        <v>signature</v>
      </c>
      <c r="BF76" s="4573"/>
      <c r="BG76" s="4573"/>
      <c r="BH76" s="4573"/>
      <c r="BI76" s="4573"/>
      <c r="BJ76" s="4573"/>
      <c r="BK76" s="4573"/>
    </row>
    <row r="77" ht="12" hidden="1" customHeight="1" spans="2:63">
      <c r="B77" s="5010" t="s">
        <v>575</v>
      </c>
      <c r="BC77" s="4567"/>
      <c r="BD77" s="4567"/>
      <c r="BE77" s="4573"/>
      <c r="BF77" s="4573"/>
      <c r="BG77" s="4573"/>
      <c r="BH77" s="4573"/>
      <c r="BI77" s="4573"/>
      <c r="BJ77" s="4573"/>
      <c r="BK77" s="4573"/>
    </row>
    <row r="78" ht="12" hidden="1" customHeight="1" spans="2:63">
      <c r="B78" s="3609" t="s">
        <v>450</v>
      </c>
      <c r="BC78" s="4567"/>
      <c r="BD78" s="4567"/>
      <c r="BE78" s="4573" t="str">
        <f>BF4</f>
        <v>Date</v>
      </c>
      <c r="BF78" s="4573"/>
      <c r="BG78" s="4573"/>
      <c r="BH78" s="4573"/>
      <c r="BI78" s="4573"/>
      <c r="BJ78" s="4573"/>
      <c r="BK78" s="4573"/>
    </row>
    <row r="79" ht="12" hidden="1" customHeight="1" spans="2:63">
      <c r="B79" s="3611"/>
      <c r="C79" s="3611"/>
      <c r="D79" s="3611"/>
      <c r="E79" s="3611"/>
      <c r="F79" s="3611"/>
      <c r="G79" s="3611"/>
      <c r="H79" s="3611"/>
      <c r="I79" s="3611"/>
      <c r="J79" s="3611"/>
      <c r="K79" s="3611"/>
      <c r="L79" s="3611"/>
      <c r="M79" s="3611"/>
      <c r="N79" s="3611"/>
      <c r="O79" s="3611"/>
      <c r="P79" s="3611"/>
      <c r="Q79" s="3611"/>
      <c r="R79" s="3611"/>
      <c r="S79" s="3611"/>
      <c r="T79" s="3611"/>
      <c r="U79" s="3611"/>
      <c r="V79" s="3611"/>
      <c r="W79" s="3611"/>
      <c r="X79" s="3611"/>
      <c r="Y79" s="3611"/>
      <c r="Z79" s="3611"/>
      <c r="AA79" s="3611"/>
      <c r="AB79" s="3611"/>
      <c r="AC79" s="3611"/>
      <c r="AD79" s="3611"/>
      <c r="AE79" s="4054"/>
      <c r="AF79" s="4054"/>
      <c r="AG79" s="4054"/>
      <c r="AH79" s="4054"/>
      <c r="AI79" s="4054"/>
      <c r="AJ79" s="4054"/>
      <c r="AK79" s="4054"/>
      <c r="AL79" s="4054"/>
      <c r="AM79" s="4054"/>
      <c r="AN79" s="4054"/>
      <c r="AO79" s="4054"/>
      <c r="AP79" s="4054"/>
      <c r="AQ79" s="4054"/>
      <c r="AR79" s="4054"/>
      <c r="AS79" s="4054"/>
      <c r="AT79" s="4054"/>
      <c r="AU79" s="4054"/>
      <c r="AV79" s="4054"/>
      <c r="AW79" s="3611"/>
      <c r="AX79" s="3611"/>
      <c r="AY79" s="3611"/>
      <c r="AZ79" s="3611"/>
      <c r="BA79" s="3611"/>
      <c r="BB79" s="3611"/>
      <c r="BC79" s="3626"/>
      <c r="BD79" s="3626"/>
      <c r="BE79" s="4125"/>
      <c r="BF79" s="4125"/>
      <c r="BG79" s="4125"/>
      <c r="BH79" s="4125"/>
      <c r="BI79" s="4125"/>
      <c r="BJ79" s="4573"/>
      <c r="BK79" s="4573"/>
    </row>
    <row r="80" ht="12" hidden="1" customHeight="1" spans="55:63">
      <c r="BC80" s="4120"/>
      <c r="BD80" s="4120"/>
      <c r="BE80" s="4126"/>
      <c r="BF80" s="4126"/>
      <c r="BG80" s="4126"/>
      <c r="BH80" s="4126"/>
      <c r="BI80" s="4126"/>
      <c r="BJ80" s="4126"/>
      <c r="BK80" s="4126"/>
    </row>
    <row r="81" hidden="1" spans="56:61">
      <c r="BD81" s="4576" t="s">
        <v>576</v>
      </c>
      <c r="BE81" s="4576"/>
      <c r="BF81" s="4576"/>
      <c r="BG81" s="4576"/>
      <c r="BH81" s="4576"/>
      <c r="BI81" s="4576"/>
    </row>
    <row r="82" ht="12" hidden="1" spans="31:63">
      <c r="AE82" s="4110" t="s">
        <v>536</v>
      </c>
      <c r="AF82" s="4110"/>
      <c r="AG82" s="4110"/>
      <c r="AH82" s="4111"/>
      <c r="AI82" s="4111"/>
      <c r="AJ82" s="4111"/>
      <c r="AK82" s="4111"/>
      <c r="AL82" s="4111"/>
      <c r="AM82" s="4111"/>
      <c r="AN82" s="4111"/>
      <c r="AO82" s="4111"/>
      <c r="AW82" s="5021" t="str">
        <f>+AW8</f>
        <v>2018</v>
      </c>
      <c r="AX82" s="4167"/>
      <c r="AY82" s="4167"/>
      <c r="AZ82" s="4167"/>
      <c r="BA82" s="4167"/>
      <c r="BB82" s="4167"/>
      <c r="BD82" s="5022" t="s">
        <v>577</v>
      </c>
      <c r="BE82" s="4127"/>
      <c r="BF82" s="4127"/>
      <c r="BG82" s="4127"/>
      <c r="BH82" s="4127"/>
      <c r="BI82" s="4127"/>
      <c r="BJ82" s="4577"/>
      <c r="BK82" s="5022" t="s">
        <v>578</v>
      </c>
    </row>
    <row r="83" hidden="1" spans="31:63">
      <c r="AE83" s="4112"/>
      <c r="AF83" s="4112"/>
      <c r="AG83" s="4112"/>
      <c r="AH83" s="4113"/>
      <c r="AI83" s="4113"/>
      <c r="AJ83" s="4113"/>
      <c r="AK83" s="4113"/>
      <c r="AL83" s="4113"/>
      <c r="AM83" s="4113"/>
      <c r="AN83" s="4113"/>
      <c r="AO83" s="4113"/>
      <c r="AP83" s="4060"/>
      <c r="AQ83" s="4060"/>
      <c r="AR83" s="4060"/>
      <c r="AS83" s="4060"/>
      <c r="AT83" s="4060"/>
      <c r="AU83" s="4060"/>
      <c r="AV83" s="4060"/>
      <c r="AW83" s="4080"/>
      <c r="AX83" s="4080"/>
      <c r="AY83" s="4080"/>
      <c r="AZ83" s="4080"/>
      <c r="BA83" s="4080"/>
      <c r="BB83" s="4080"/>
      <c r="BC83" s="4081"/>
      <c r="BD83" s="4080"/>
      <c r="BE83" s="4080"/>
      <c r="BF83" s="4080"/>
      <c r="BG83" s="4080"/>
      <c r="BH83" s="4080"/>
      <c r="BI83" s="4080"/>
      <c r="BJ83" s="4081"/>
      <c r="BK83" s="4081"/>
    </row>
    <row r="84" ht="12" hidden="1" spans="2:65">
      <c r="B84" s="3607" t="s">
        <v>579</v>
      </c>
      <c r="AE84" s="4061" t="s">
        <v>580</v>
      </c>
      <c r="AF84" s="4061"/>
      <c r="AG84" s="4061"/>
      <c r="AH84" s="4061"/>
      <c r="AI84" s="4061"/>
      <c r="AJ84" s="4061"/>
      <c r="AK84" s="4061"/>
      <c r="AL84" s="4061"/>
      <c r="AM84" s="4061"/>
      <c r="AN84" s="4061"/>
      <c r="AO84" s="4061"/>
      <c r="AP84" s="4060"/>
      <c r="AQ84" s="4060"/>
      <c r="AR84" s="4060"/>
      <c r="AS84" s="4060"/>
      <c r="AT84" s="4060"/>
      <c r="AU84" s="4060"/>
      <c r="AV84" s="4060"/>
      <c r="AW84" s="4082">
        <f>+'[71]F3'!K14</f>
        <v>2836780958</v>
      </c>
      <c r="AX84" s="4082"/>
      <c r="AY84" s="4082"/>
      <c r="AZ84" s="4082"/>
      <c r="BA84" s="4082"/>
      <c r="BB84" s="4082"/>
      <c r="BC84" s="4082"/>
      <c r="BD84" s="4082">
        <f>+'[71]F3'!L14</f>
        <v>0</v>
      </c>
      <c r="BE84" s="4082"/>
      <c r="BF84" s="4082"/>
      <c r="BG84" s="4082"/>
      <c r="BH84" s="4082"/>
      <c r="BI84" s="4082"/>
      <c r="BJ84" s="4082"/>
      <c r="BK84" s="4082"/>
      <c r="BM84" s="3606">
        <v>1525320775033.21</v>
      </c>
    </row>
    <row r="85" ht="12" hidden="1" spans="2:63">
      <c r="B85" s="3607"/>
      <c r="AE85" s="4061"/>
      <c r="AF85" s="4061"/>
      <c r="AG85" s="4061"/>
      <c r="AH85" s="4061"/>
      <c r="AI85" s="4061"/>
      <c r="AJ85" s="4061"/>
      <c r="AK85" s="4061"/>
      <c r="AL85" s="4061"/>
      <c r="AM85" s="4061"/>
      <c r="AN85" s="4061"/>
      <c r="AO85" s="4061"/>
      <c r="AP85" s="4060"/>
      <c r="AQ85" s="4060"/>
      <c r="AR85" s="4060"/>
      <c r="AS85" s="4060"/>
      <c r="AT85" s="4060"/>
      <c r="AU85" s="4060"/>
      <c r="AV85" s="4060"/>
      <c r="AW85" s="4082"/>
      <c r="AX85" s="4082"/>
      <c r="AY85" s="4082"/>
      <c r="AZ85" s="4082"/>
      <c r="BA85" s="4082"/>
      <c r="BB85" s="4082"/>
      <c r="BC85" s="4082"/>
      <c r="BD85" s="4082"/>
      <c r="BE85" s="4082"/>
      <c r="BF85" s="4082"/>
      <c r="BG85" s="4082"/>
      <c r="BH85" s="4082"/>
      <c r="BI85" s="4082"/>
      <c r="BJ85" s="4082"/>
      <c r="BK85" s="4082"/>
    </row>
    <row r="86" ht="12" hidden="1" spans="2:63">
      <c r="B86" s="3607" t="s">
        <v>581</v>
      </c>
      <c r="AE86" s="4061" t="s">
        <v>582</v>
      </c>
      <c r="AF86" s="4061"/>
      <c r="AG86" s="4061"/>
      <c r="AH86" s="4061"/>
      <c r="AI86" s="4061"/>
      <c r="AJ86" s="4061"/>
      <c r="AK86" s="4061"/>
      <c r="AL86" s="4061"/>
      <c r="AM86" s="4061"/>
      <c r="AN86" s="4061"/>
      <c r="AO86" s="4061"/>
      <c r="AP86" s="4060"/>
      <c r="AQ86" s="4060"/>
      <c r="AR86" s="4060"/>
      <c r="AS86" s="4060"/>
      <c r="AT86" s="4060"/>
      <c r="AU86" s="4060"/>
      <c r="AV86" s="4060"/>
      <c r="AW86" s="4082">
        <f>+'[71]F3'!K16</f>
        <v>2514572119.42</v>
      </c>
      <c r="AX86" s="4082"/>
      <c r="AY86" s="4082"/>
      <c r="AZ86" s="4082"/>
      <c r="BA86" s="4082"/>
      <c r="BB86" s="4082"/>
      <c r="BC86" s="4082"/>
      <c r="BD86" s="4082">
        <f>+'[71]F3'!L16</f>
        <v>0</v>
      </c>
      <c r="BE86" s="4082"/>
      <c r="BF86" s="4082"/>
      <c r="BG86" s="4082"/>
      <c r="BH86" s="4082"/>
      <c r="BI86" s="4082"/>
      <c r="BJ86" s="4082"/>
      <c r="BK86" s="4578">
        <f>AW86/AW84</f>
        <v>0.886417441688143</v>
      </c>
    </row>
    <row r="87" ht="12" hidden="1" spans="2:63">
      <c r="B87" s="3607"/>
      <c r="AE87" s="4067"/>
      <c r="AF87" s="4067"/>
      <c r="AG87" s="4067"/>
      <c r="AH87" s="4067"/>
      <c r="AI87" s="4067"/>
      <c r="AJ87" s="4067"/>
      <c r="AK87" s="4067"/>
      <c r="AL87" s="4067"/>
      <c r="AM87" s="4067"/>
      <c r="AN87" s="4067"/>
      <c r="AO87" s="4067"/>
      <c r="AP87" s="4060"/>
      <c r="AQ87" s="4060"/>
      <c r="AR87" s="4060"/>
      <c r="AS87" s="4060"/>
      <c r="AT87" s="4060"/>
      <c r="AU87" s="4060"/>
      <c r="AV87" s="4060"/>
      <c r="AW87" s="4122"/>
      <c r="AX87" s="4122"/>
      <c r="AY87" s="4122"/>
      <c r="AZ87" s="4122"/>
      <c r="BA87" s="4122"/>
      <c r="BB87" s="4122"/>
      <c r="BC87" s="4082"/>
      <c r="BD87" s="4122"/>
      <c r="BE87" s="4122"/>
      <c r="BF87" s="4122"/>
      <c r="BG87" s="4122"/>
      <c r="BH87" s="4122"/>
      <c r="BI87" s="4122"/>
      <c r="BJ87" s="4094"/>
      <c r="BK87" s="4094"/>
    </row>
    <row r="88" ht="12" hidden="1" spans="2:63">
      <c r="B88" s="3607" t="s">
        <v>583</v>
      </c>
      <c r="AE88" s="4067"/>
      <c r="AF88" s="4067"/>
      <c r="AG88" s="4067"/>
      <c r="AH88" s="4067"/>
      <c r="AI88" s="4067"/>
      <c r="AJ88" s="4067"/>
      <c r="AK88" s="4067"/>
      <c r="AL88" s="4067"/>
      <c r="AM88" s="4067"/>
      <c r="AN88" s="4067"/>
      <c r="AO88" s="4067"/>
      <c r="AP88" s="4060"/>
      <c r="AQ88" s="4060"/>
      <c r="AR88" s="4060"/>
      <c r="AS88" s="4060"/>
      <c r="AT88" s="4060"/>
      <c r="AU88" s="4060"/>
      <c r="AV88" s="4060"/>
      <c r="AW88" s="4094">
        <f>AW84-AW86</f>
        <v>322208838.58</v>
      </c>
      <c r="AX88" s="4094"/>
      <c r="AY88" s="4094"/>
      <c r="AZ88" s="4094"/>
      <c r="BA88" s="4094"/>
      <c r="BB88" s="4094"/>
      <c r="BC88" s="4094"/>
      <c r="BD88" s="4094">
        <f>BD84-BD86</f>
        <v>0</v>
      </c>
      <c r="BE88" s="4094"/>
      <c r="BF88" s="4094"/>
      <c r="BG88" s="4094"/>
      <c r="BH88" s="4094"/>
      <c r="BI88" s="4094"/>
      <c r="BJ88" s="4094"/>
      <c r="BK88" s="4578">
        <f>AW88/AW84</f>
        <v>0.113582558311857</v>
      </c>
    </row>
    <row r="89" s="4048" customFormat="1" ht="12" hidden="1" spans="31:63">
      <c r="AE89" s="4067"/>
      <c r="AF89" s="4067"/>
      <c r="AG89" s="4067"/>
      <c r="AH89" s="4067"/>
      <c r="AI89" s="4067"/>
      <c r="AJ89" s="4067"/>
      <c r="AK89" s="4067"/>
      <c r="AL89" s="4067"/>
      <c r="AM89" s="4067"/>
      <c r="AN89" s="4067"/>
      <c r="AO89" s="4067"/>
      <c r="AP89" s="4115"/>
      <c r="AQ89" s="4115"/>
      <c r="AR89" s="4115"/>
      <c r="AS89" s="4115"/>
      <c r="AT89" s="4115"/>
      <c r="AU89" s="4115"/>
      <c r="AV89" s="4115"/>
      <c r="AW89" s="4082"/>
      <c r="AX89" s="4082"/>
      <c r="AY89" s="4082"/>
      <c r="AZ89" s="4082"/>
      <c r="BA89" s="4082"/>
      <c r="BB89" s="4082"/>
      <c r="BC89" s="4082"/>
      <c r="BD89" s="4082"/>
      <c r="BE89" s="4082"/>
      <c r="BF89" s="4082"/>
      <c r="BG89" s="4082"/>
      <c r="BH89" s="4082"/>
      <c r="BI89" s="4082"/>
      <c r="BJ89" s="4082"/>
      <c r="BK89" s="4082"/>
    </row>
    <row r="90" s="4048" customFormat="1" ht="12" hidden="1" spans="2:63">
      <c r="B90" s="5025" t="s">
        <v>584</v>
      </c>
      <c r="AE90" s="4116" t="s">
        <v>585</v>
      </c>
      <c r="AF90" s="4116"/>
      <c r="AG90" s="4116"/>
      <c r="AH90" s="4116"/>
      <c r="AI90" s="4116"/>
      <c r="AJ90" s="4116"/>
      <c r="AK90" s="4116"/>
      <c r="AL90" s="4116"/>
      <c r="AM90" s="4116"/>
      <c r="AN90" s="4116"/>
      <c r="AO90" s="4116"/>
      <c r="AP90" s="4115"/>
      <c r="AQ90" s="4115"/>
      <c r="AR90" s="4115"/>
      <c r="AS90" s="4115"/>
      <c r="AT90" s="4115"/>
      <c r="AU90" s="4115"/>
      <c r="AV90" s="4115"/>
      <c r="AW90" s="4082">
        <f>[71]Note2!AC661</f>
        <v>3260287092.03</v>
      </c>
      <c r="AX90" s="4082"/>
      <c r="AY90" s="4082"/>
      <c r="AZ90" s="4082"/>
      <c r="BA90" s="4082"/>
      <c r="BB90" s="4082"/>
      <c r="BC90" s="4094"/>
      <c r="BD90" s="4082">
        <f>+'[71]F3'!L21</f>
        <v>1577251659.4</v>
      </c>
      <c r="BE90" s="4082"/>
      <c r="BF90" s="4082"/>
      <c r="BG90" s="4082"/>
      <c r="BH90" s="4082"/>
      <c r="BI90" s="4082"/>
      <c r="BJ90" s="4082"/>
      <c r="BK90" s="4082"/>
    </row>
    <row r="91" hidden="1" spans="31:63">
      <c r="AE91" s="4067" t="s">
        <v>480</v>
      </c>
      <c r="AF91" s="4067"/>
      <c r="AG91" s="4067"/>
      <c r="AH91" s="4067"/>
      <c r="AI91" s="4067"/>
      <c r="AJ91" s="4067"/>
      <c r="AK91" s="4067"/>
      <c r="AL91" s="4067"/>
      <c r="AM91" s="4067"/>
      <c r="AN91" s="4067"/>
      <c r="AO91" s="4067"/>
      <c r="AP91" s="4060"/>
      <c r="AQ91" s="4060"/>
      <c r="AR91" s="4060"/>
      <c r="AS91" s="4060"/>
      <c r="AT91" s="4060"/>
      <c r="AU91" s="4060"/>
      <c r="AV91" s="4060"/>
      <c r="AW91" s="4097"/>
      <c r="AX91" s="4097"/>
      <c r="AY91" s="4097"/>
      <c r="AZ91" s="4097"/>
      <c r="BA91" s="4097"/>
      <c r="BB91" s="4097"/>
      <c r="BC91" s="4082"/>
      <c r="BD91" s="4097"/>
      <c r="BE91" s="4097"/>
      <c r="BF91" s="4097"/>
      <c r="BG91" s="4097"/>
      <c r="BH91" s="4097"/>
      <c r="BI91" s="4097"/>
      <c r="BJ91" s="4082"/>
      <c r="BK91" s="4082"/>
    </row>
    <row r="92" ht="12" hidden="1" spans="2:63">
      <c r="B92" s="4048" t="s">
        <v>586</v>
      </c>
      <c r="AE92" s="4061"/>
      <c r="AF92" s="4061"/>
      <c r="AG92" s="4061"/>
      <c r="AH92" s="4061"/>
      <c r="AI92" s="4061"/>
      <c r="AJ92" s="4061"/>
      <c r="AK92" s="4061"/>
      <c r="AL92" s="4061"/>
      <c r="AM92" s="4061"/>
      <c r="AN92" s="4061"/>
      <c r="AO92" s="4061"/>
      <c r="AP92" s="4060"/>
      <c r="AQ92" s="4060"/>
      <c r="AR92" s="4060"/>
      <c r="AS92" s="4060"/>
      <c r="AT92" s="4060"/>
      <c r="AU92" s="4060"/>
      <c r="AV92" s="4060"/>
      <c r="AW92" s="4094">
        <f>AW88-AW90</f>
        <v>-2938078253.45</v>
      </c>
      <c r="AX92" s="4094"/>
      <c r="AY92" s="4094"/>
      <c r="AZ92" s="4094"/>
      <c r="BA92" s="4094"/>
      <c r="BB92" s="4094"/>
      <c r="BC92" s="4082"/>
      <c r="BD92" s="4094">
        <f>BD88-BD90</f>
        <v>-1577251659.4</v>
      </c>
      <c r="BE92" s="4094"/>
      <c r="BF92" s="4094"/>
      <c r="BG92" s="4094"/>
      <c r="BH92" s="4094"/>
      <c r="BI92" s="4094"/>
      <c r="BJ92" s="4094"/>
      <c r="BK92" s="4094"/>
    </row>
    <row r="93" hidden="1" spans="31:63">
      <c r="AE93" s="4061"/>
      <c r="AF93" s="4061"/>
      <c r="AG93" s="4061"/>
      <c r="AH93" s="4061"/>
      <c r="AI93" s="4061"/>
      <c r="AJ93" s="4061"/>
      <c r="AK93" s="4061"/>
      <c r="AL93" s="4061"/>
      <c r="AM93" s="4061"/>
      <c r="AN93" s="4061"/>
      <c r="AO93" s="4061"/>
      <c r="AP93" s="4060"/>
      <c r="AQ93" s="4060"/>
      <c r="AR93" s="4060"/>
      <c r="AS93" s="4060"/>
      <c r="AT93" s="4060"/>
      <c r="AU93" s="4060"/>
      <c r="AV93" s="4060"/>
      <c r="AW93" s="4082"/>
      <c r="AX93" s="4082"/>
      <c r="AY93" s="4082"/>
      <c r="AZ93" s="4082"/>
      <c r="BA93" s="4082"/>
      <c r="BB93" s="4082"/>
      <c r="BC93" s="4082"/>
      <c r="BD93" s="4082"/>
      <c r="BE93" s="4082"/>
      <c r="BF93" s="4082"/>
      <c r="BG93" s="4082"/>
      <c r="BH93" s="4082"/>
      <c r="BI93" s="4082"/>
      <c r="BJ93" s="4082"/>
      <c r="BK93" s="4082"/>
    </row>
    <row r="94" ht="12" hidden="1" spans="2:63">
      <c r="B94" s="4048" t="s">
        <v>587</v>
      </c>
      <c r="AE94" s="4061" t="s">
        <v>588</v>
      </c>
      <c r="AF94" s="4061"/>
      <c r="AG94" s="4061"/>
      <c r="AH94" s="4061"/>
      <c r="AI94" s="4061"/>
      <c r="AJ94" s="4061"/>
      <c r="AK94" s="4061"/>
      <c r="AL94" s="4061"/>
      <c r="AM94" s="4061"/>
      <c r="AN94" s="4061"/>
      <c r="AO94" s="4061"/>
      <c r="AP94" s="4060"/>
      <c r="AQ94" s="4060"/>
      <c r="AR94" s="4060"/>
      <c r="AS94" s="4060"/>
      <c r="AT94" s="4060"/>
      <c r="AU94" s="4060"/>
      <c r="AV94" s="4060"/>
      <c r="AW94" s="4082"/>
      <c r="AX94" s="4082"/>
      <c r="AY94" s="4082"/>
      <c r="AZ94" s="4082"/>
      <c r="BA94" s="4082"/>
      <c r="BB94" s="4082"/>
      <c r="BC94" s="4082"/>
      <c r="BD94" s="4082"/>
      <c r="BE94" s="4082"/>
      <c r="BF94" s="4082"/>
      <c r="BG94" s="4082"/>
      <c r="BH94" s="4082"/>
      <c r="BI94" s="4082"/>
      <c r="BJ94" s="4082"/>
      <c r="BK94" s="4082"/>
    </row>
    <row r="95" hidden="1" spans="2:63">
      <c r="B95" t="s">
        <v>589</v>
      </c>
      <c r="AE95" s="4117"/>
      <c r="AF95" s="4117"/>
      <c r="AG95" s="4117"/>
      <c r="AH95" s="4117"/>
      <c r="AI95" s="4117"/>
      <c r="AJ95" s="4117"/>
      <c r="AK95" s="4117"/>
      <c r="AL95" s="4117"/>
      <c r="AM95" s="4117"/>
      <c r="AN95" s="4117"/>
      <c r="AO95" s="4117"/>
      <c r="AP95" s="4060"/>
      <c r="AQ95" s="4060"/>
      <c r="AR95" s="4060"/>
      <c r="AS95" s="4060"/>
      <c r="AT95" s="4060"/>
      <c r="AU95" s="4060"/>
      <c r="AV95" s="4060"/>
      <c r="AW95" s="4082">
        <f>'[71]50'!J22</f>
        <v>1079051968.08</v>
      </c>
      <c r="AX95" s="4082"/>
      <c r="AY95" s="4082"/>
      <c r="AZ95" s="4082"/>
      <c r="BA95" s="4082"/>
      <c r="BB95" s="4082"/>
      <c r="BC95" s="4082"/>
      <c r="BD95" s="4082">
        <f>'[71]50'!K22</f>
        <v>2517196</v>
      </c>
      <c r="BE95" s="4082"/>
      <c r="BF95" s="4082"/>
      <c r="BG95" s="4082"/>
      <c r="BH95" s="4082"/>
      <c r="BI95" s="4082"/>
      <c r="BJ95" s="4082"/>
      <c r="BK95" s="4082"/>
    </row>
    <row r="96" hidden="1" spans="2:63">
      <c r="B96" t="s">
        <v>590</v>
      </c>
      <c r="AE96" s="4061"/>
      <c r="AF96" s="4061"/>
      <c r="AG96" s="4061"/>
      <c r="AH96" s="4061"/>
      <c r="AI96" s="4061"/>
      <c r="AJ96" s="4061"/>
      <c r="AK96" s="4061"/>
      <c r="AL96" s="4061"/>
      <c r="AM96" s="4061"/>
      <c r="AN96" s="4061"/>
      <c r="AO96" s="4061"/>
      <c r="AP96" s="4060"/>
      <c r="AQ96" s="4060"/>
      <c r="AR96" s="4060"/>
      <c r="AS96" s="4060"/>
      <c r="AT96" s="4060"/>
      <c r="AU96" s="4060"/>
      <c r="AV96" s="4060"/>
      <c r="AW96" s="4082">
        <f>-'[71]50'!J36</f>
        <v>-25966030482.79</v>
      </c>
      <c r="AX96" s="4082"/>
      <c r="AY96" s="4082"/>
      <c r="AZ96" s="4082"/>
      <c r="BA96" s="4082"/>
      <c r="BB96" s="4082"/>
      <c r="BC96" s="4082"/>
      <c r="BD96" s="4082">
        <f>-'[71]50'!K36</f>
        <v>-336440920</v>
      </c>
      <c r="BE96" s="4082"/>
      <c r="BF96" s="4082"/>
      <c r="BG96" s="4082"/>
      <c r="BH96" s="4082"/>
      <c r="BI96" s="4082"/>
      <c r="BJ96" s="4082"/>
      <c r="BK96" s="4082"/>
    </row>
    <row r="97" ht="6" hidden="1" customHeight="1" spans="2:63">
      <c r="B97" s="4051"/>
      <c r="AE97" s="4061"/>
      <c r="AF97" s="4061"/>
      <c r="AG97" s="4061"/>
      <c r="AH97" s="4061"/>
      <c r="AI97" s="4061"/>
      <c r="AJ97" s="4061"/>
      <c r="AK97" s="4061"/>
      <c r="AL97" s="4061"/>
      <c r="AM97" s="4061"/>
      <c r="AN97" s="4061"/>
      <c r="AO97" s="4061"/>
      <c r="AP97" s="4060"/>
      <c r="AQ97" s="4060"/>
      <c r="AR97" s="4060"/>
      <c r="AS97" s="4060"/>
      <c r="AT97" s="4060"/>
      <c r="AU97" s="4060"/>
      <c r="AV97" s="4060"/>
      <c r="AW97" s="4097"/>
      <c r="AX97" s="4097"/>
      <c r="AY97" s="4097"/>
      <c r="AZ97" s="4097"/>
      <c r="BA97" s="4097"/>
      <c r="BB97" s="4097"/>
      <c r="BC97" s="4082"/>
      <c r="BD97" s="4097"/>
      <c r="BE97" s="4097"/>
      <c r="BF97" s="4097"/>
      <c r="BG97" s="4097"/>
      <c r="BH97" s="4097"/>
      <c r="BI97" s="4097"/>
      <c r="BJ97" s="4082"/>
      <c r="BK97" s="4082"/>
    </row>
    <row r="98" ht="12" hidden="1" customHeight="1" spans="2:63">
      <c r="B98" s="5024" t="s">
        <v>591</v>
      </c>
      <c r="AE98" s="4061"/>
      <c r="AF98" s="4061"/>
      <c r="AG98" s="4061"/>
      <c r="AH98" s="4061"/>
      <c r="AI98" s="4061"/>
      <c r="AJ98" s="4061"/>
      <c r="AK98" s="4061"/>
      <c r="AL98" s="4061"/>
      <c r="AM98" s="4061"/>
      <c r="AN98" s="4061"/>
      <c r="AO98" s="4061"/>
      <c r="AP98" s="4060"/>
      <c r="AQ98" s="4060"/>
      <c r="AR98" s="4060"/>
      <c r="AS98" s="4060"/>
      <c r="AT98" s="4060"/>
      <c r="AU98" s="4060"/>
      <c r="AV98" s="4060"/>
      <c r="AW98" s="4094">
        <f>SUM(AW95:BB96)</f>
        <v>-24886978514.71</v>
      </c>
      <c r="AX98" s="4094"/>
      <c r="AY98" s="4094"/>
      <c r="AZ98" s="4094"/>
      <c r="BA98" s="4094"/>
      <c r="BB98" s="4094"/>
      <c r="BC98" s="4082"/>
      <c r="BD98" s="4094">
        <f>SUM(BD95:BI96)</f>
        <v>-333923724</v>
      </c>
      <c r="BE98" s="4094"/>
      <c r="BF98" s="4094"/>
      <c r="BG98" s="4094"/>
      <c r="BH98" s="4094"/>
      <c r="BI98" s="4094"/>
      <c r="BJ98" s="4094"/>
      <c r="BK98" s="4094"/>
    </row>
    <row r="99" ht="12" hidden="1" spans="2:63">
      <c r="B99" s="4051"/>
      <c r="AE99" s="4061"/>
      <c r="AF99" s="4061"/>
      <c r="AG99" s="4061"/>
      <c r="AH99" s="4061"/>
      <c r="AI99" s="4061"/>
      <c r="AJ99" s="4061"/>
      <c r="AK99" s="4061"/>
      <c r="AL99" s="4061"/>
      <c r="AM99" s="4061"/>
      <c r="AN99" s="4061"/>
      <c r="AO99" s="4061"/>
      <c r="AP99" s="4060"/>
      <c r="AQ99" s="4060"/>
      <c r="AR99" s="4060"/>
      <c r="AS99" s="4060"/>
      <c r="AT99" s="4060"/>
      <c r="AU99" s="4060"/>
      <c r="AV99" s="4060"/>
      <c r="AW99" s="4097"/>
      <c r="AX99" s="4097"/>
      <c r="AY99" s="4097"/>
      <c r="AZ99" s="4097"/>
      <c r="BA99" s="4097"/>
      <c r="BB99" s="4097"/>
      <c r="BC99" s="4082"/>
      <c r="BD99" s="4097"/>
      <c r="BE99" s="4097"/>
      <c r="BF99" s="4097"/>
      <c r="BG99" s="4097"/>
      <c r="BH99" s="4097"/>
      <c r="BI99" s="4097"/>
      <c r="BJ99" s="4082"/>
      <c r="BK99" s="4082"/>
    </row>
    <row r="100" ht="12" hidden="1" spans="2:63">
      <c r="B100" s="5024" t="s">
        <v>592</v>
      </c>
      <c r="AE100" s="4067" t="s">
        <v>480</v>
      </c>
      <c r="AF100" s="4067"/>
      <c r="AG100" s="4067"/>
      <c r="AH100" s="4067"/>
      <c r="AI100" s="4067"/>
      <c r="AJ100" s="4067"/>
      <c r="AK100" s="4067"/>
      <c r="AL100" s="4067"/>
      <c r="AM100" s="4067"/>
      <c r="AN100" s="4067"/>
      <c r="AO100" s="4067"/>
      <c r="AP100" s="4060"/>
      <c r="AQ100" s="4060"/>
      <c r="AR100" s="4060"/>
      <c r="AS100" s="4060"/>
      <c r="AT100" s="4060"/>
      <c r="AU100" s="4060"/>
      <c r="AV100" s="4060"/>
      <c r="AW100" s="4094">
        <f>AW92+AW98</f>
        <v>-27825056768.16</v>
      </c>
      <c r="AX100" s="4094"/>
      <c r="AY100" s="4094"/>
      <c r="AZ100" s="4094"/>
      <c r="BA100" s="4094"/>
      <c r="BB100" s="4094"/>
      <c r="BC100" s="4094"/>
      <c r="BD100" s="4094">
        <f>BD92+BD98</f>
        <v>-1911175383.4</v>
      </c>
      <c r="BE100" s="4094"/>
      <c r="BF100" s="4094"/>
      <c r="BG100" s="4094"/>
      <c r="BH100" s="4094"/>
      <c r="BI100" s="4094"/>
      <c r="BJ100" s="4094"/>
      <c r="BK100" s="4082"/>
    </row>
    <row r="101" hidden="1" spans="31:63">
      <c r="AE101" s="4067"/>
      <c r="AF101" s="4067"/>
      <c r="AG101" s="4067"/>
      <c r="AH101" s="4067"/>
      <c r="AI101" s="4067"/>
      <c r="AJ101" s="4067"/>
      <c r="AK101" s="4067"/>
      <c r="AL101" s="4067"/>
      <c r="AM101" s="4067"/>
      <c r="AN101" s="4067"/>
      <c r="AO101" s="4067"/>
      <c r="AP101" s="4060"/>
      <c r="AQ101" s="4060"/>
      <c r="AR101" s="4060"/>
      <c r="AS101" s="4060"/>
      <c r="AT101" s="4060"/>
      <c r="AU101" s="4060"/>
      <c r="AV101" s="4060"/>
      <c r="AW101" s="4082"/>
      <c r="AX101" s="4082"/>
      <c r="AY101" s="4082"/>
      <c r="AZ101" s="4082"/>
      <c r="BA101" s="4082"/>
      <c r="BB101" s="4082"/>
      <c r="BC101" s="4082"/>
      <c r="BD101" s="4082"/>
      <c r="BE101" s="4082"/>
      <c r="BF101" s="4082"/>
      <c r="BG101" s="4082"/>
      <c r="BH101" s="4082"/>
      <c r="BI101" s="4082"/>
      <c r="BJ101" s="4082"/>
      <c r="BK101" s="4082"/>
    </row>
    <row r="102" ht="12" hidden="1" spans="2:63">
      <c r="B102" s="3607" t="s">
        <v>593</v>
      </c>
      <c r="AE102" s="4061" t="s">
        <v>557</v>
      </c>
      <c r="AF102" s="4061"/>
      <c r="AG102" s="4061"/>
      <c r="AH102" s="4061"/>
      <c r="AI102" s="4061"/>
      <c r="AJ102" s="4061"/>
      <c r="AK102" s="4061"/>
      <c r="AL102" s="4061"/>
      <c r="AM102" s="4061"/>
      <c r="AN102" s="4061"/>
      <c r="AO102" s="4061"/>
      <c r="AP102" s="4060"/>
      <c r="AQ102" s="4060"/>
      <c r="AR102" s="4060"/>
      <c r="AS102" s="4060"/>
      <c r="AT102" s="4060"/>
      <c r="AU102" s="4060"/>
      <c r="AV102" s="4060"/>
      <c r="AW102" s="4082"/>
      <c r="AX102" s="4082"/>
      <c r="AY102" s="4082"/>
      <c r="AZ102" s="4082"/>
      <c r="BA102" s="4082"/>
      <c r="BB102" s="4082"/>
      <c r="BC102" s="4082"/>
      <c r="BD102" s="4082"/>
      <c r="BE102" s="4082"/>
      <c r="BF102" s="4082"/>
      <c r="BG102" s="4082"/>
      <c r="BH102" s="4082"/>
      <c r="BI102" s="4082"/>
      <c r="BJ102" s="4082"/>
      <c r="BK102" s="4082"/>
    </row>
    <row r="103" hidden="1" spans="2:66">
      <c r="B103" s="3609" t="s">
        <v>594</v>
      </c>
      <c r="AE103" s="4061"/>
      <c r="AF103" s="4061"/>
      <c r="AG103" s="4061"/>
      <c r="AH103" s="4061"/>
      <c r="AI103" s="4061"/>
      <c r="AJ103" s="4061"/>
      <c r="AK103" s="4061"/>
      <c r="AL103" s="4061"/>
      <c r="AM103" s="4061"/>
      <c r="AN103" s="4061"/>
      <c r="AO103" s="4061"/>
      <c r="AP103" s="4060"/>
      <c r="AQ103" s="4060"/>
      <c r="AR103" s="4060"/>
      <c r="AS103" s="4060"/>
      <c r="AT103" s="4060"/>
      <c r="AU103" s="4060"/>
      <c r="AV103" s="4060"/>
      <c r="AW103" s="4082">
        <f>+'[71]F3'!K32</f>
        <v>0</v>
      </c>
      <c r="AX103" s="4082"/>
      <c r="AY103" s="4082"/>
      <c r="AZ103" s="4082"/>
      <c r="BA103" s="4082"/>
      <c r="BB103" s="4082"/>
      <c r="BC103" s="4082"/>
      <c r="BD103" s="4082">
        <f>+'[71]F3'!L32</f>
        <v>0</v>
      </c>
      <c r="BE103" s="4082"/>
      <c r="BF103" s="4082"/>
      <c r="BG103" s="4082"/>
      <c r="BH103" s="4082"/>
      <c r="BI103" s="4082"/>
      <c r="BJ103" s="4082"/>
      <c r="BK103" s="4082"/>
      <c r="BN103" s="3606">
        <v>11130588750</v>
      </c>
    </row>
    <row r="104" hidden="1" spans="2:63">
      <c r="B104" s="3609" t="s">
        <v>595</v>
      </c>
      <c r="AE104" s="4061"/>
      <c r="AF104" s="4061"/>
      <c r="AG104" s="4061"/>
      <c r="AH104" s="4061"/>
      <c r="AI104" s="4061"/>
      <c r="AJ104" s="4061"/>
      <c r="AK104" s="4061"/>
      <c r="AL104" s="4061"/>
      <c r="AM104" s="4061"/>
      <c r="AN104" s="4061"/>
      <c r="AO104" s="4061"/>
      <c r="AP104" s="4060"/>
      <c r="AQ104" s="4060"/>
      <c r="AR104" s="4060"/>
      <c r="AS104" s="4060"/>
      <c r="AT104" s="4060"/>
      <c r="AU104" s="4060"/>
      <c r="AV104" s="4060"/>
      <c r="AW104" s="4082">
        <f>-'[71]F3'!K33</f>
        <v>7718465197.5325</v>
      </c>
      <c r="AX104" s="4082"/>
      <c r="AY104" s="4082"/>
      <c r="AZ104" s="4082"/>
      <c r="BA104" s="4082"/>
      <c r="BB104" s="4082"/>
      <c r="BC104" s="4082"/>
      <c r="BD104" s="4082">
        <v>0</v>
      </c>
      <c r="BE104" s="4082"/>
      <c r="BF104" s="4082"/>
      <c r="BG104" s="4082"/>
      <c r="BH104" s="4082"/>
      <c r="BI104" s="4082"/>
      <c r="BJ104" s="4082"/>
      <c r="BK104" s="4082"/>
    </row>
    <row r="105" ht="6" hidden="1" customHeight="1" spans="31:63">
      <c r="AE105" s="4061"/>
      <c r="AF105" s="4061"/>
      <c r="AG105" s="4061"/>
      <c r="AH105" s="4061"/>
      <c r="AI105" s="4061"/>
      <c r="AJ105" s="4061"/>
      <c r="AK105" s="4061"/>
      <c r="AL105" s="4061"/>
      <c r="AM105" s="4061"/>
      <c r="AN105" s="4061"/>
      <c r="AO105" s="4061"/>
      <c r="AP105" s="4060"/>
      <c r="AQ105" s="4060"/>
      <c r="AR105" s="4060"/>
      <c r="AS105" s="4060"/>
      <c r="AT105" s="4060"/>
      <c r="AU105" s="4060"/>
      <c r="AV105" s="4060"/>
      <c r="AW105" s="4097"/>
      <c r="AX105" s="4097"/>
      <c r="AY105" s="4097"/>
      <c r="AZ105" s="4097"/>
      <c r="BA105" s="4097"/>
      <c r="BB105" s="4097"/>
      <c r="BC105" s="4082"/>
      <c r="BD105" s="4097"/>
      <c r="BE105" s="4097"/>
      <c r="BF105" s="4097"/>
      <c r="BG105" s="4097"/>
      <c r="BH105" s="4097"/>
      <c r="BI105" s="4097"/>
      <c r="BJ105" s="4082"/>
      <c r="BK105" s="4082"/>
    </row>
    <row r="106" ht="12" hidden="1" customHeight="1" spans="2:63">
      <c r="B106" s="4048" t="s">
        <v>596</v>
      </c>
      <c r="AE106" s="4061"/>
      <c r="AF106" s="4061"/>
      <c r="AG106" s="4061"/>
      <c r="AH106" s="4061"/>
      <c r="AI106" s="4061"/>
      <c r="AJ106" s="4061"/>
      <c r="AK106" s="4061"/>
      <c r="AL106" s="4061"/>
      <c r="AM106" s="4061"/>
      <c r="AN106" s="4061"/>
      <c r="AO106" s="4061"/>
      <c r="AP106" s="4060"/>
      <c r="AQ106" s="4060"/>
      <c r="AR106" s="4060"/>
      <c r="AS106" s="4060"/>
      <c r="AT106" s="4060"/>
      <c r="AU106" s="4060"/>
      <c r="AV106" s="4060"/>
      <c r="AW106" s="4094">
        <f>SUM(AW103:BB104)</f>
        <v>7718465197.5325</v>
      </c>
      <c r="AX106" s="4094"/>
      <c r="AY106" s="4094"/>
      <c r="AZ106" s="4094"/>
      <c r="BA106" s="4094"/>
      <c r="BB106" s="4094"/>
      <c r="BC106" s="4082"/>
      <c r="BD106" s="4094">
        <f>SUM(BD103:BI104)</f>
        <v>0</v>
      </c>
      <c r="BE106" s="4094"/>
      <c r="BF106" s="4094"/>
      <c r="BG106" s="4094"/>
      <c r="BH106" s="4094"/>
      <c r="BI106" s="4094"/>
      <c r="BJ106" s="4094"/>
      <c r="BK106" s="4094"/>
    </row>
    <row r="107" ht="12" hidden="1" customHeight="1" spans="31:63">
      <c r="AE107" s="4061"/>
      <c r="AF107" s="4061"/>
      <c r="AG107" s="4061"/>
      <c r="AH107" s="4061"/>
      <c r="AI107" s="4061"/>
      <c r="AJ107" s="4061"/>
      <c r="AK107" s="4061"/>
      <c r="AL107" s="4061"/>
      <c r="AM107" s="4061"/>
      <c r="AN107" s="4061"/>
      <c r="AO107" s="4061"/>
      <c r="AP107" s="4060"/>
      <c r="AQ107" s="4060"/>
      <c r="AR107" s="4060"/>
      <c r="AS107" s="4060"/>
      <c r="AT107" s="4060"/>
      <c r="AU107" s="4060"/>
      <c r="AV107" s="4060"/>
      <c r="AW107" s="4097">
        <v>0</v>
      </c>
      <c r="AX107" s="4097"/>
      <c r="AY107" s="4097"/>
      <c r="AZ107" s="4097"/>
      <c r="BA107" s="4097"/>
      <c r="BB107" s="4097"/>
      <c r="BC107" s="4082"/>
      <c r="BD107" s="4097">
        <v>0</v>
      </c>
      <c r="BE107" s="4097"/>
      <c r="BF107" s="4097"/>
      <c r="BG107" s="4097"/>
      <c r="BH107" s="4097"/>
      <c r="BI107" s="4097"/>
      <c r="BJ107" s="4082"/>
      <c r="BK107" s="4082"/>
    </row>
    <row r="108" ht="12" hidden="1" spans="2:63">
      <c r="B108" s="5024" t="s">
        <v>597</v>
      </c>
      <c r="AE108" s="4067"/>
      <c r="AF108" s="4067"/>
      <c r="AG108" s="4067"/>
      <c r="AH108" s="4067"/>
      <c r="AI108" s="4067"/>
      <c r="AJ108" s="4067"/>
      <c r="AK108" s="4067"/>
      <c r="AL108" s="4067"/>
      <c r="AM108" s="4067"/>
      <c r="AN108" s="4067"/>
      <c r="AO108" s="4067"/>
      <c r="AP108" s="4060"/>
      <c r="AQ108" s="4060"/>
      <c r="AR108" s="4060"/>
      <c r="AS108" s="4060"/>
      <c r="AT108" s="4060"/>
      <c r="AU108" s="4060"/>
      <c r="AV108" s="4060"/>
      <c r="AW108" s="4094">
        <f>AW100+AW106</f>
        <v>-20106591570.6275</v>
      </c>
      <c r="AX108" s="4094"/>
      <c r="AY108" s="4094"/>
      <c r="AZ108" s="4094"/>
      <c r="BA108" s="4094"/>
      <c r="BB108" s="4094"/>
      <c r="BC108" s="4094"/>
      <c r="BD108" s="4094">
        <f>BD100-BD106</f>
        <v>-1911175383.4</v>
      </c>
      <c r="BE108" s="4094"/>
      <c r="BF108" s="4094"/>
      <c r="BG108" s="4094"/>
      <c r="BH108" s="4094"/>
      <c r="BI108" s="4094"/>
      <c r="BJ108" s="4094"/>
      <c r="BK108" s="4094"/>
    </row>
    <row r="109" hidden="1" spans="31:63">
      <c r="AE109" s="4067"/>
      <c r="AF109" s="4067"/>
      <c r="AG109" s="4067"/>
      <c r="AH109" s="4067"/>
      <c r="AI109" s="4067"/>
      <c r="AJ109" s="4067"/>
      <c r="AK109" s="4067"/>
      <c r="AL109" s="4067"/>
      <c r="AM109" s="4067"/>
      <c r="AN109" s="4067"/>
      <c r="AO109" s="4067"/>
      <c r="AP109" s="4060"/>
      <c r="AQ109" s="4060"/>
      <c r="AR109" s="4060"/>
      <c r="AS109" s="4060"/>
      <c r="AT109" s="4060"/>
      <c r="AU109" s="4060"/>
      <c r="AV109" s="4060"/>
      <c r="AW109" s="4082"/>
      <c r="AX109" s="4082"/>
      <c r="AY109" s="4082"/>
      <c r="AZ109" s="4082"/>
      <c r="BA109" s="4082"/>
      <c r="BB109" s="4082"/>
      <c r="BC109" s="4082"/>
      <c r="BD109" s="4082"/>
      <c r="BE109" s="4082"/>
      <c r="BF109" s="4082"/>
      <c r="BG109" s="4082"/>
      <c r="BH109" s="4082"/>
      <c r="BI109" s="4082"/>
      <c r="BJ109" s="4082"/>
      <c r="BK109" s="4082"/>
    </row>
    <row r="110" ht="12" hidden="1" spans="2:63">
      <c r="B110" s="5024" t="s">
        <v>598</v>
      </c>
      <c r="AE110" s="4067"/>
      <c r="AF110" s="4067"/>
      <c r="AG110" s="4067"/>
      <c r="AH110" s="4067"/>
      <c r="AI110" s="4067"/>
      <c r="AJ110" s="4067"/>
      <c r="AK110" s="4067"/>
      <c r="AL110" s="4067"/>
      <c r="AM110" s="4067"/>
      <c r="AN110" s="4067"/>
      <c r="AO110" s="4067"/>
      <c r="AP110" s="4060"/>
      <c r="AQ110" s="4060"/>
      <c r="AR110" s="4060"/>
      <c r="AS110" s="4060"/>
      <c r="AT110" s="4060"/>
      <c r="AU110" s="4060"/>
      <c r="AV110" s="4060"/>
      <c r="AW110" s="4082">
        <f>'[71]F3'!K39</f>
        <v>0</v>
      </c>
      <c r="AX110" s="4082"/>
      <c r="AY110" s="4082"/>
      <c r="AZ110" s="4082"/>
      <c r="BA110" s="4082"/>
      <c r="BB110" s="4082"/>
      <c r="BC110" s="4082"/>
      <c r="BD110" s="4082">
        <f>'[71]F3'!L39</f>
        <v>0</v>
      </c>
      <c r="BE110" s="4082"/>
      <c r="BF110" s="4082"/>
      <c r="BG110" s="4082"/>
      <c r="BH110" s="4082"/>
      <c r="BI110" s="4082"/>
      <c r="BJ110" s="4082"/>
      <c r="BK110" s="4082"/>
    </row>
    <row r="111" ht="12" hidden="1" customHeight="1" spans="31:63">
      <c r="AE111" s="4067"/>
      <c r="AF111" s="4067"/>
      <c r="AG111" s="4067"/>
      <c r="AH111" s="4067"/>
      <c r="AI111" s="4067"/>
      <c r="AJ111" s="4067"/>
      <c r="AK111" s="4067"/>
      <c r="AL111" s="4067"/>
      <c r="AM111" s="4067"/>
      <c r="AN111" s="4067"/>
      <c r="AO111" s="4067"/>
      <c r="AP111" s="4060"/>
      <c r="AQ111" s="4060"/>
      <c r="AR111" s="4060"/>
      <c r="AS111" s="4060"/>
      <c r="AT111" s="4060"/>
      <c r="AU111" s="4060"/>
      <c r="AV111" s="4060"/>
      <c r="AW111" s="4082"/>
      <c r="AX111" s="4082"/>
      <c r="AY111" s="4082"/>
      <c r="AZ111" s="4082"/>
      <c r="BA111" s="4082"/>
      <c r="BB111" s="4082"/>
      <c r="BC111" s="4082"/>
      <c r="BD111" s="4082"/>
      <c r="BE111" s="4082"/>
      <c r="BF111" s="4082"/>
      <c r="BG111" s="4082"/>
      <c r="BH111" s="4082"/>
      <c r="BI111" s="4082"/>
      <c r="BJ111" s="4082"/>
      <c r="BK111" s="4082"/>
    </row>
    <row r="112" ht="12.75" hidden="1" spans="2:64">
      <c r="B112" s="5024" t="s">
        <v>599</v>
      </c>
      <c r="AE112" s="4067"/>
      <c r="AF112" s="4067"/>
      <c r="AG112" s="4067"/>
      <c r="AH112" s="4067"/>
      <c r="AI112" s="4067"/>
      <c r="AJ112" s="4067"/>
      <c r="AK112" s="4067"/>
      <c r="AL112" s="4067"/>
      <c r="AM112" s="4067"/>
      <c r="AN112" s="4067"/>
      <c r="AO112" s="4067"/>
      <c r="AP112" s="4060"/>
      <c r="AQ112" s="4060"/>
      <c r="AR112" s="4060"/>
      <c r="AS112" s="4060"/>
      <c r="AT112" s="4060"/>
      <c r="AU112" s="4060"/>
      <c r="AV112" s="4060"/>
      <c r="AW112" s="4100">
        <f>AW108+AW110</f>
        <v>-20106591570.6275</v>
      </c>
      <c r="AX112" s="4100"/>
      <c r="AY112" s="4100"/>
      <c r="AZ112" s="4100"/>
      <c r="BA112" s="4100"/>
      <c r="BB112" s="4100"/>
      <c r="BC112" s="4083"/>
      <c r="BD112" s="4100">
        <f>BD108+BD110</f>
        <v>-1911175383.4</v>
      </c>
      <c r="BE112" s="4100"/>
      <c r="BF112" s="4100"/>
      <c r="BG112" s="4100"/>
      <c r="BH112" s="4100"/>
      <c r="BI112" s="4100"/>
      <c r="BJ112" s="4083"/>
      <c r="BK112" s="4083">
        <f>[72]PL!$N$118</f>
        <v>-23154997793.86</v>
      </c>
      <c r="BL112" s="3606">
        <f>BK112-AW112</f>
        <v>-3048406223.2325</v>
      </c>
    </row>
    <row r="113" ht="12.75" hidden="1" spans="2:48">
      <c r="B113" s="3607"/>
      <c r="AE113" s="4067"/>
      <c r="AF113" s="4067"/>
      <c r="AG113" s="4067"/>
      <c r="AH113" s="4067"/>
      <c r="AI113" s="4067"/>
      <c r="AJ113" s="4067"/>
      <c r="AK113" s="4067"/>
      <c r="AL113" s="4067"/>
      <c r="AM113" s="4067"/>
      <c r="AN113" s="4067"/>
      <c r="AO113" s="4067"/>
      <c r="AP113" s="4060"/>
      <c r="AQ113" s="4060"/>
      <c r="AR113" s="4060"/>
      <c r="AS113" s="4060"/>
      <c r="AT113" s="4060"/>
      <c r="AU113" s="4060"/>
      <c r="AV113" s="4060"/>
    </row>
    <row r="114" hidden="1" spans="31:63">
      <c r="AE114" s="4067"/>
      <c r="AF114" s="4067"/>
      <c r="AG114" s="4067"/>
      <c r="AH114" s="4067"/>
      <c r="AI114" s="4067"/>
      <c r="AJ114" s="4067"/>
      <c r="AK114" s="4067"/>
      <c r="AL114" s="4067"/>
      <c r="AM114" s="4067"/>
      <c r="AN114" s="4067"/>
      <c r="AO114" s="4067"/>
      <c r="AP114" s="4060"/>
      <c r="AQ114" s="4060"/>
      <c r="AR114" s="4060"/>
      <c r="AS114" s="4060"/>
      <c r="AT114" s="4060"/>
      <c r="AU114" s="4060"/>
      <c r="AV114" s="4060"/>
      <c r="AW114" s="4081"/>
      <c r="AX114" s="4081"/>
      <c r="AY114" s="4081"/>
      <c r="AZ114" s="4081"/>
      <c r="BA114" s="4081"/>
      <c r="BB114" s="4081"/>
      <c r="BC114" s="4081"/>
      <c r="BD114" s="4081"/>
      <c r="BE114" s="4081"/>
      <c r="BF114" s="4081"/>
      <c r="BG114" s="4081"/>
      <c r="BH114" s="4081"/>
      <c r="BI114" s="4081"/>
      <c r="BJ114" s="4081"/>
      <c r="BK114" s="4081"/>
    </row>
    <row r="115" hidden="1" spans="31:63">
      <c r="AE115" s="4061"/>
      <c r="AF115" s="4061"/>
      <c r="AG115" s="4061"/>
      <c r="AH115" s="4061"/>
      <c r="AI115" s="4061"/>
      <c r="AJ115" s="4061"/>
      <c r="AK115" s="4061"/>
      <c r="AL115" s="4061"/>
      <c r="AM115" s="4061"/>
      <c r="AN115" s="4061"/>
      <c r="AO115" s="4061"/>
      <c r="AP115" s="4060"/>
      <c r="AQ115" s="4060"/>
      <c r="AR115" s="4060"/>
      <c r="AS115" s="4060"/>
      <c r="AT115" s="4060"/>
      <c r="AU115" s="4060"/>
      <c r="AV115" s="4060"/>
      <c r="AW115" s="4081"/>
      <c r="AX115" s="4081"/>
      <c r="AY115" s="4081"/>
      <c r="AZ115" s="4081"/>
      <c r="BA115" s="4081"/>
      <c r="BB115" s="4081"/>
      <c r="BC115" s="4081"/>
      <c r="BD115" s="4081"/>
      <c r="BE115" s="4081"/>
      <c r="BF115" s="4081"/>
      <c r="BG115" s="4081"/>
      <c r="BH115" s="4081"/>
      <c r="BI115" s="4081"/>
      <c r="BJ115" s="4081"/>
      <c r="BK115" s="4081"/>
    </row>
    <row r="116" hidden="1" spans="31:63">
      <c r="AE116" s="4061"/>
      <c r="AF116" s="4061"/>
      <c r="AG116" s="4061"/>
      <c r="AH116" s="4061"/>
      <c r="AI116" s="4061"/>
      <c r="AJ116" s="4061"/>
      <c r="AK116" s="4061"/>
      <c r="AL116" s="4061"/>
      <c r="AM116" s="4061"/>
      <c r="AN116" s="4061"/>
      <c r="AO116" s="4061"/>
      <c r="AP116" s="4060"/>
      <c r="AQ116" s="4060"/>
      <c r="AR116" s="4060"/>
      <c r="AS116" s="4060"/>
      <c r="AT116" s="4060"/>
      <c r="AU116" s="4060"/>
      <c r="AV116" s="4060"/>
      <c r="AW116" s="4081"/>
      <c r="AX116" s="4081"/>
      <c r="AY116" s="4081"/>
      <c r="AZ116" s="4081"/>
      <c r="BA116" s="4081"/>
      <c r="BB116" s="4081"/>
      <c r="BC116" s="4081"/>
      <c r="BD116" s="4081"/>
      <c r="BE116" s="4081"/>
      <c r="BF116" s="4081"/>
      <c r="BG116" s="4081"/>
      <c r="BH116" s="4081"/>
      <c r="BI116" s="4081"/>
      <c r="BJ116" s="4081"/>
      <c r="BK116" s="4081"/>
    </row>
    <row r="117" hidden="1" spans="31:63">
      <c r="AE117" s="4109"/>
      <c r="AF117" s="4109"/>
      <c r="AG117" s="4109"/>
      <c r="AH117" s="4109"/>
      <c r="AI117" s="4109"/>
      <c r="AJ117" s="4109"/>
      <c r="AK117" s="4109"/>
      <c r="AL117" s="4109"/>
      <c r="AM117" s="4109"/>
      <c r="AN117" s="4109"/>
      <c r="AO117" s="4109"/>
      <c r="AP117" s="4060"/>
      <c r="AQ117" s="4060"/>
      <c r="AR117" s="4060"/>
      <c r="AS117" s="4060"/>
      <c r="AT117" s="4060"/>
      <c r="AU117" s="4060"/>
      <c r="AV117" s="4060"/>
      <c r="AW117" s="4081"/>
      <c r="AX117" s="4081"/>
      <c r="AY117" s="4081"/>
      <c r="AZ117" s="4081"/>
      <c r="BA117" s="4081"/>
      <c r="BB117" s="4081"/>
      <c r="BC117" s="4081"/>
      <c r="BD117" s="4081"/>
      <c r="BE117" s="4081"/>
      <c r="BF117" s="4081"/>
      <c r="BG117" s="4081"/>
      <c r="BH117" s="4081"/>
      <c r="BI117" s="4081"/>
      <c r="BJ117" s="4081"/>
      <c r="BK117" s="4081"/>
    </row>
    <row r="118" hidden="1" spans="31:63">
      <c r="AE118" s="4109"/>
      <c r="AF118" s="4109"/>
      <c r="AG118" s="4109"/>
      <c r="AH118" s="4109"/>
      <c r="AI118" s="4109"/>
      <c r="AJ118" s="4109"/>
      <c r="AK118" s="4109"/>
      <c r="AL118" s="4109"/>
      <c r="AM118" s="4109"/>
      <c r="AN118" s="4109"/>
      <c r="AO118" s="4109"/>
      <c r="AP118" s="4060"/>
      <c r="AQ118" s="4060"/>
      <c r="AR118" s="4060"/>
      <c r="AS118" s="4060"/>
      <c r="AT118" s="4060"/>
      <c r="AU118" s="4060"/>
      <c r="AV118" s="4060"/>
      <c r="AW118" s="4081"/>
      <c r="AX118" s="4081"/>
      <c r="AY118" s="4081"/>
      <c r="AZ118" s="4081"/>
      <c r="BA118" s="4081"/>
      <c r="BB118" s="4081"/>
      <c r="BC118" s="4081"/>
      <c r="BD118" s="4081"/>
      <c r="BE118" s="4081"/>
      <c r="BF118" s="4081"/>
      <c r="BG118" s="4081"/>
      <c r="BH118" s="4081"/>
      <c r="BI118" s="4081"/>
      <c r="BJ118" s="4081"/>
      <c r="BK118" s="4081"/>
    </row>
    <row r="119" hidden="1" spans="31:63">
      <c r="AE119" s="4109"/>
      <c r="AF119" s="4109"/>
      <c r="AG119" s="4109"/>
      <c r="AH119" s="4109"/>
      <c r="AI119" s="4109"/>
      <c r="AJ119" s="4109"/>
      <c r="AK119" s="4109"/>
      <c r="AL119" s="4109"/>
      <c r="AM119" s="4109"/>
      <c r="AN119" s="4109"/>
      <c r="AO119" s="4109"/>
      <c r="AP119" s="4060"/>
      <c r="AQ119" s="4060"/>
      <c r="AR119" s="4060"/>
      <c r="AS119" s="4060"/>
      <c r="AT119" s="4060"/>
      <c r="AU119" s="4060"/>
      <c r="AV119" s="4060"/>
      <c r="AW119" s="4081"/>
      <c r="AX119" s="4081"/>
      <c r="AY119" s="4081"/>
      <c r="AZ119" s="4081"/>
      <c r="BA119" s="4081"/>
      <c r="BB119" s="4081"/>
      <c r="BC119" s="4081"/>
      <c r="BD119" s="4081"/>
      <c r="BE119" s="4081"/>
      <c r="BF119" s="4081"/>
      <c r="BG119" s="4081"/>
      <c r="BH119" s="4081"/>
      <c r="BI119" s="4081"/>
      <c r="BJ119" s="4081"/>
      <c r="BK119" s="4081"/>
    </row>
    <row r="120" hidden="1" spans="31:63">
      <c r="AE120" s="4109"/>
      <c r="AF120" s="4109"/>
      <c r="AG120" s="4109"/>
      <c r="AH120" s="4109"/>
      <c r="AI120" s="4109"/>
      <c r="AJ120" s="4109"/>
      <c r="AK120" s="4109"/>
      <c r="AL120" s="4109"/>
      <c r="AM120" s="4109"/>
      <c r="AN120" s="4109"/>
      <c r="AO120" s="4109"/>
      <c r="AP120" s="4060"/>
      <c r="AQ120" s="4060"/>
      <c r="AR120" s="4060"/>
      <c r="AS120" s="4060"/>
      <c r="AT120" s="4060"/>
      <c r="AU120" s="4060"/>
      <c r="AV120" s="4060"/>
      <c r="AW120" s="4081"/>
      <c r="AX120" s="4081"/>
      <c r="AY120" s="4081"/>
      <c r="AZ120" s="4081"/>
      <c r="BA120" s="4081"/>
      <c r="BB120" s="4081"/>
      <c r="BC120" s="4081"/>
      <c r="BD120" s="4081"/>
      <c r="BE120" s="4081"/>
      <c r="BF120" s="4081"/>
      <c r="BG120" s="4081"/>
      <c r="BH120" s="4081"/>
      <c r="BI120" s="4081"/>
      <c r="BJ120" s="4081"/>
      <c r="BK120" s="4081"/>
    </row>
    <row r="121" hidden="1" spans="31:63">
      <c r="AE121" s="4109"/>
      <c r="AF121" s="4109"/>
      <c r="AG121" s="4109"/>
      <c r="AH121" s="4109"/>
      <c r="AI121" s="4109"/>
      <c r="AJ121" s="4109"/>
      <c r="AK121" s="4109"/>
      <c r="AL121" s="4109"/>
      <c r="AM121" s="4109"/>
      <c r="AN121" s="4109"/>
      <c r="AO121" s="4109"/>
      <c r="AP121" s="4060"/>
      <c r="AQ121" s="4060"/>
      <c r="AR121" s="4060"/>
      <c r="AS121" s="4060"/>
      <c r="AT121" s="4060"/>
      <c r="AU121" s="4060"/>
      <c r="AV121" s="4060"/>
      <c r="AW121" s="4081"/>
      <c r="AX121" s="4081"/>
      <c r="AY121" s="4081"/>
      <c r="AZ121" s="4081"/>
      <c r="BA121" s="4081"/>
      <c r="BB121" s="4081"/>
      <c r="BC121" s="4081"/>
      <c r="BD121" s="4081"/>
      <c r="BE121" s="4081"/>
      <c r="BF121" s="4081"/>
      <c r="BG121" s="4081"/>
      <c r="BH121" s="4081"/>
      <c r="BI121" s="4081"/>
      <c r="BJ121" s="4081"/>
      <c r="BK121" s="4081"/>
    </row>
    <row r="122" hidden="1" spans="31:63">
      <c r="AE122" s="4109"/>
      <c r="AF122" s="4109"/>
      <c r="AG122" s="4109"/>
      <c r="AH122" s="4109"/>
      <c r="AI122" s="4109"/>
      <c r="AJ122" s="4109"/>
      <c r="AK122" s="4109"/>
      <c r="AL122" s="4109"/>
      <c r="AM122" s="4109"/>
      <c r="AN122" s="4109"/>
      <c r="AO122" s="4109"/>
      <c r="AP122" s="4060"/>
      <c r="AQ122" s="4060"/>
      <c r="AR122" s="4060"/>
      <c r="AS122" s="4060"/>
      <c r="AT122" s="4060"/>
      <c r="AU122" s="4060"/>
      <c r="AV122" s="4060"/>
      <c r="AW122" s="4081"/>
      <c r="AX122" s="4081"/>
      <c r="AY122" s="4081"/>
      <c r="AZ122" s="4081"/>
      <c r="BA122" s="4081"/>
      <c r="BB122" s="4081"/>
      <c r="BC122" s="4081"/>
      <c r="BD122" s="4081"/>
      <c r="BE122" s="4081"/>
      <c r="BF122" s="4081"/>
      <c r="BG122" s="4081"/>
      <c r="BH122" s="4081"/>
      <c r="BI122" s="4081"/>
      <c r="BJ122" s="4081"/>
      <c r="BK122" s="4081"/>
    </row>
    <row r="123" hidden="1" spans="31:63">
      <c r="AE123" s="4109"/>
      <c r="AF123" s="4109"/>
      <c r="AG123" s="4109"/>
      <c r="AH123" s="4109"/>
      <c r="AI123" s="4109"/>
      <c r="AJ123" s="4109"/>
      <c r="AK123" s="4109"/>
      <c r="AL123" s="4109"/>
      <c r="AM123" s="4109"/>
      <c r="AN123" s="4109"/>
      <c r="AO123" s="4109"/>
      <c r="AP123" s="4060"/>
      <c r="AQ123" s="4060"/>
      <c r="AR123" s="4060"/>
      <c r="AS123" s="4060"/>
      <c r="AT123" s="4060"/>
      <c r="AU123" s="4060"/>
      <c r="AV123" s="4060"/>
      <c r="AW123" s="4081"/>
      <c r="AX123" s="4081"/>
      <c r="AY123" s="4081"/>
      <c r="AZ123" s="4081"/>
      <c r="BA123" s="4081"/>
      <c r="BB123" s="4081"/>
      <c r="BC123" s="4081"/>
      <c r="BD123" s="4081"/>
      <c r="BE123" s="4081"/>
      <c r="BF123" s="4081"/>
      <c r="BG123" s="4081"/>
      <c r="BH123" s="4081"/>
      <c r="BI123" s="4081"/>
      <c r="BJ123" s="4081"/>
      <c r="BK123" s="4081"/>
    </row>
    <row r="124" hidden="1" spans="31:63">
      <c r="AE124" s="4109"/>
      <c r="AF124" s="4109"/>
      <c r="AG124" s="4109"/>
      <c r="AH124" s="4109"/>
      <c r="AI124" s="4109"/>
      <c r="AJ124" s="4109"/>
      <c r="AK124" s="4109"/>
      <c r="AL124" s="4109"/>
      <c r="AM124" s="4109"/>
      <c r="AN124" s="4109"/>
      <c r="AO124" s="4109"/>
      <c r="AP124" s="4060"/>
      <c r="AQ124" s="4060"/>
      <c r="AR124" s="4060"/>
      <c r="AS124" s="4060"/>
      <c r="AT124" s="4060"/>
      <c r="AU124" s="4060"/>
      <c r="AV124" s="4060"/>
      <c r="AW124" s="4081"/>
      <c r="AX124" s="4081"/>
      <c r="AY124" s="4081"/>
      <c r="AZ124" s="4081"/>
      <c r="BA124" s="4081"/>
      <c r="BB124" s="4081"/>
      <c r="BC124" s="4081"/>
      <c r="BD124" s="4081"/>
      <c r="BE124" s="4081"/>
      <c r="BF124" s="4081"/>
      <c r="BG124" s="4081"/>
      <c r="BH124" s="4081"/>
      <c r="BI124" s="4081"/>
      <c r="BJ124" s="4081"/>
      <c r="BK124" s="4081"/>
    </row>
    <row r="125" hidden="1" spans="31:63">
      <c r="AE125" s="4109"/>
      <c r="AF125" s="4109"/>
      <c r="AG125" s="4109"/>
      <c r="AH125" s="4109"/>
      <c r="AI125" s="4109"/>
      <c r="AJ125" s="4109"/>
      <c r="AK125" s="4109"/>
      <c r="AL125" s="4109"/>
      <c r="AM125" s="4109"/>
      <c r="AN125" s="4109"/>
      <c r="AO125" s="4109"/>
      <c r="AP125" s="4060"/>
      <c r="AQ125" s="4060"/>
      <c r="AR125" s="4060"/>
      <c r="AS125" s="4060"/>
      <c r="AT125" s="4060"/>
      <c r="AU125" s="4060"/>
      <c r="AV125" s="4060"/>
      <c r="AW125" s="4081"/>
      <c r="AX125" s="4081"/>
      <c r="AY125" s="4081"/>
      <c r="AZ125" s="4081"/>
      <c r="BA125" s="4081"/>
      <c r="BB125" s="4081"/>
      <c r="BC125" s="4081"/>
      <c r="BD125" s="4081"/>
      <c r="BE125" s="4081"/>
      <c r="BF125" s="4081"/>
      <c r="BG125" s="4081"/>
      <c r="BH125" s="4081"/>
      <c r="BI125" s="4081"/>
      <c r="BJ125" s="4081"/>
      <c r="BK125" s="4081"/>
    </row>
    <row r="126" hidden="1" spans="31:63">
      <c r="AE126" s="4109"/>
      <c r="AF126" s="4109"/>
      <c r="AG126" s="4109"/>
      <c r="AH126" s="4109"/>
      <c r="AI126" s="4109"/>
      <c r="AJ126" s="4109"/>
      <c r="AK126" s="4109"/>
      <c r="AL126" s="4109"/>
      <c r="AM126" s="4109"/>
      <c r="AN126" s="4109"/>
      <c r="AO126" s="4109"/>
      <c r="AP126" s="4060"/>
      <c r="AQ126" s="4060"/>
      <c r="AR126" s="4060"/>
      <c r="AS126" s="4060"/>
      <c r="AT126" s="4060"/>
      <c r="AU126" s="4060"/>
      <c r="AV126" s="4060"/>
      <c r="AW126" s="4081"/>
      <c r="AX126" s="4081"/>
      <c r="AY126" s="4081"/>
      <c r="AZ126" s="4081"/>
      <c r="BA126" s="4081"/>
      <c r="BB126" s="4081"/>
      <c r="BC126" s="4081"/>
      <c r="BD126" s="4081"/>
      <c r="BE126" s="4081"/>
      <c r="BF126" s="4081"/>
      <c r="BG126" s="4081"/>
      <c r="BH126" s="4081"/>
      <c r="BI126" s="4081"/>
      <c r="BJ126" s="4081"/>
      <c r="BK126" s="4081"/>
    </row>
    <row r="127" hidden="1" spans="31:63">
      <c r="AE127" s="4109"/>
      <c r="AF127" s="4109"/>
      <c r="AG127" s="4109"/>
      <c r="AH127" s="4109"/>
      <c r="AI127" s="4109"/>
      <c r="AJ127" s="4109"/>
      <c r="AK127" s="4109"/>
      <c r="AL127" s="4109"/>
      <c r="AM127" s="4109"/>
      <c r="AN127" s="4109"/>
      <c r="AO127" s="4109"/>
      <c r="AP127" s="4060"/>
      <c r="AQ127" s="4060"/>
      <c r="AR127" s="4060"/>
      <c r="AS127" s="4060"/>
      <c r="AT127" s="4060"/>
      <c r="AU127" s="4060"/>
      <c r="AV127" s="4060"/>
      <c r="AW127" s="4081"/>
      <c r="AX127" s="4081"/>
      <c r="AY127" s="4081"/>
      <c r="AZ127" s="4081"/>
      <c r="BA127" s="4081"/>
      <c r="BB127" s="4081"/>
      <c r="BC127" s="4081"/>
      <c r="BD127" s="4081"/>
      <c r="BE127" s="4081"/>
      <c r="BF127" s="4081"/>
      <c r="BG127" s="4081"/>
      <c r="BH127" s="4081"/>
      <c r="BI127" s="4081"/>
      <c r="BJ127" s="4081"/>
      <c r="BK127" s="4081"/>
    </row>
    <row r="128" hidden="1" spans="31:63">
      <c r="AE128" s="4109"/>
      <c r="AF128" s="4109"/>
      <c r="AG128" s="4109"/>
      <c r="AH128" s="4109"/>
      <c r="AI128" s="4109"/>
      <c r="AJ128" s="4109"/>
      <c r="AK128" s="4109"/>
      <c r="AL128" s="4109"/>
      <c r="AM128" s="4109"/>
      <c r="AN128" s="4109"/>
      <c r="AO128" s="4109"/>
      <c r="AP128" s="4060"/>
      <c r="AQ128" s="4060"/>
      <c r="AR128" s="4060"/>
      <c r="AS128" s="4060"/>
      <c r="AT128" s="4060"/>
      <c r="AU128" s="4060"/>
      <c r="AV128" s="4060"/>
      <c r="AW128" s="4081"/>
      <c r="AX128" s="4081"/>
      <c r="AY128" s="4081"/>
      <c r="AZ128" s="4081"/>
      <c r="BA128" s="4081"/>
      <c r="BB128" s="4081"/>
      <c r="BC128" s="4081"/>
      <c r="BD128" s="4081"/>
      <c r="BE128" s="4081"/>
      <c r="BF128" s="4081"/>
      <c r="BG128" s="4081"/>
      <c r="BH128" s="4081"/>
      <c r="BI128" s="4081"/>
      <c r="BJ128" s="4081"/>
      <c r="BK128" s="4081"/>
    </row>
    <row r="129" hidden="1" spans="31:63">
      <c r="AE129" s="4109"/>
      <c r="AF129" s="4109"/>
      <c r="AG129" s="4109"/>
      <c r="AH129" s="4109"/>
      <c r="AI129" s="4109"/>
      <c r="AJ129" s="4109"/>
      <c r="AK129" s="4109"/>
      <c r="AL129" s="4109"/>
      <c r="AM129" s="4109"/>
      <c r="AN129" s="4109"/>
      <c r="AO129" s="4109"/>
      <c r="AP129" s="4060"/>
      <c r="AQ129" s="4060"/>
      <c r="AR129" s="4060"/>
      <c r="AS129" s="4060"/>
      <c r="AT129" s="4060"/>
      <c r="AU129" s="4060"/>
      <c r="AV129" s="4060"/>
      <c r="AW129" s="4081"/>
      <c r="AX129" s="4081"/>
      <c r="AY129" s="4081"/>
      <c r="AZ129" s="4081"/>
      <c r="BA129" s="4081"/>
      <c r="BB129" s="4081"/>
      <c r="BC129" s="4081"/>
      <c r="BD129" s="4081"/>
      <c r="BE129" s="4081"/>
      <c r="BF129" s="4081"/>
      <c r="BG129" s="4081"/>
      <c r="BH129" s="4081"/>
      <c r="BI129" s="4081"/>
      <c r="BJ129" s="4081"/>
      <c r="BK129" s="4081"/>
    </row>
    <row r="130" hidden="1" spans="2:63">
      <c r="B130" s="3609">
        <f>B66</f>
        <v>0</v>
      </c>
      <c r="AE130" s="4109"/>
      <c r="AF130" s="4109"/>
      <c r="AG130" s="4109"/>
      <c r="AH130" s="4109"/>
      <c r="AI130" s="4109"/>
      <c r="AJ130" s="4109"/>
      <c r="AK130" s="4109"/>
      <c r="AL130" s="4109"/>
      <c r="AM130" s="4109"/>
      <c r="AN130" s="4109"/>
      <c r="AO130" s="4109"/>
      <c r="AP130" s="4060"/>
      <c r="AQ130" s="4060"/>
      <c r="AR130" s="4060"/>
      <c r="AS130" s="4060"/>
      <c r="AT130" s="4060"/>
      <c r="AU130" s="4060"/>
      <c r="AV130" s="4060"/>
      <c r="AW130" s="4081"/>
      <c r="AX130" s="4081"/>
      <c r="AY130" s="4081"/>
      <c r="AZ130" s="4081"/>
      <c r="BA130" s="4081"/>
      <c r="BB130" s="4081"/>
      <c r="BC130" s="4081"/>
      <c r="BD130" s="4081"/>
      <c r="BE130" s="4081"/>
      <c r="BF130" s="4081"/>
      <c r="BG130" s="4081"/>
      <c r="BH130" s="4081"/>
      <c r="BI130" s="4081"/>
      <c r="BJ130" s="4081"/>
      <c r="BK130" s="4081"/>
    </row>
    <row r="131" hidden="1" spans="2:63">
      <c r="B131" s="3609"/>
      <c r="AE131" s="4109"/>
      <c r="AF131" s="4109"/>
      <c r="AG131" s="4109"/>
      <c r="AH131" s="4109"/>
      <c r="AI131" s="4109"/>
      <c r="AJ131" s="4109"/>
      <c r="AK131" s="4109"/>
      <c r="AL131" s="4109"/>
      <c r="AM131" s="4109"/>
      <c r="AN131" s="4109"/>
      <c r="AO131" s="4109"/>
      <c r="AP131" s="4060"/>
      <c r="AQ131" s="4060"/>
      <c r="AR131" s="4060"/>
      <c r="AS131" s="4060"/>
      <c r="AT131" s="4060"/>
      <c r="AU131" s="4060"/>
      <c r="AV131" s="4060"/>
      <c r="AW131" s="4081"/>
      <c r="AX131" s="4081"/>
      <c r="AY131" s="4081"/>
      <c r="AZ131" s="4081"/>
      <c r="BA131" s="4081"/>
      <c r="BB131" s="4081"/>
      <c r="BC131" s="4081"/>
      <c r="BD131" s="4081"/>
      <c r="BE131" s="4081"/>
      <c r="BF131" s="4081"/>
      <c r="BG131" s="4081"/>
      <c r="BH131" s="4081"/>
      <c r="BI131" s="4081"/>
      <c r="BJ131" s="4081"/>
      <c r="BK131" s="4081"/>
    </row>
    <row r="132" hidden="1" spans="2:63">
      <c r="B132" s="3609"/>
      <c r="AE132" s="4109"/>
      <c r="AF132" s="4109"/>
      <c r="AG132" s="4109"/>
      <c r="AH132" s="4109"/>
      <c r="AI132" s="4109"/>
      <c r="AJ132" s="4109"/>
      <c r="AK132" s="4109"/>
      <c r="AL132" s="4109"/>
      <c r="AM132" s="4109"/>
      <c r="AN132" s="4109"/>
      <c r="AO132" s="4109"/>
      <c r="AP132" s="4060"/>
      <c r="AQ132" s="4060"/>
      <c r="AR132" s="4060"/>
      <c r="AS132" s="4060"/>
      <c r="AT132" s="4060"/>
      <c r="AU132" s="4060"/>
      <c r="AV132" s="4060"/>
      <c r="AW132" s="4081"/>
      <c r="AX132" s="4081"/>
      <c r="AY132" s="4081"/>
      <c r="AZ132" s="4081"/>
      <c r="BA132" s="4081"/>
      <c r="BB132" s="4081"/>
      <c r="BC132" s="4081"/>
      <c r="BD132" s="4081"/>
      <c r="BE132" s="4081"/>
      <c r="BF132" s="4081"/>
      <c r="BG132" s="4081"/>
      <c r="BH132" s="4081"/>
      <c r="BI132" s="4081"/>
      <c r="BJ132" s="4081"/>
      <c r="BK132" s="4081"/>
    </row>
    <row r="133" hidden="1" spans="2:63">
      <c r="B133" s="3609"/>
      <c r="AE133" s="4109"/>
      <c r="AF133" s="4109"/>
      <c r="AG133" s="4109"/>
      <c r="AH133" s="4109"/>
      <c r="AI133" s="4109"/>
      <c r="AJ133" s="4109"/>
      <c r="AK133" s="4109"/>
      <c r="AL133" s="4109"/>
      <c r="AM133" s="4109"/>
      <c r="AN133" s="4109"/>
      <c r="AO133" s="4109"/>
      <c r="AP133" s="4060"/>
      <c r="AQ133" s="4060"/>
      <c r="AR133" s="4060"/>
      <c r="AS133" s="4060"/>
      <c r="AT133" s="4060"/>
      <c r="AU133" s="4060"/>
      <c r="AV133" s="4060"/>
      <c r="AW133" s="4081"/>
      <c r="AX133" s="4081"/>
      <c r="AY133" s="4081"/>
      <c r="AZ133" s="4081"/>
      <c r="BA133" s="4081"/>
      <c r="BB133" s="4081"/>
      <c r="BC133" s="4081"/>
      <c r="BD133" s="4081"/>
      <c r="BE133" s="4081"/>
      <c r="BF133" s="4081"/>
      <c r="BG133" s="4081"/>
      <c r="BH133" s="4081"/>
      <c r="BI133" s="4081"/>
      <c r="BJ133" s="4081"/>
      <c r="BK133" s="4081"/>
    </row>
    <row r="134" hidden="1" spans="31:63">
      <c r="AE134" s="4109"/>
      <c r="AF134" s="4109"/>
      <c r="AG134" s="4109"/>
      <c r="AH134" s="4109"/>
      <c r="AI134" s="4109"/>
      <c r="AJ134" s="4109"/>
      <c r="AK134" s="4109"/>
      <c r="AL134" s="4109"/>
      <c r="AM134" s="4109"/>
      <c r="AN134" s="4109"/>
      <c r="AO134" s="4109"/>
      <c r="AP134" s="4060"/>
      <c r="AQ134" s="4060"/>
      <c r="AR134" s="4060"/>
      <c r="AS134" s="4060"/>
      <c r="AT134" s="4060"/>
      <c r="AU134" s="4060"/>
      <c r="AV134" s="4060"/>
      <c r="AW134" s="4081"/>
      <c r="AX134" s="4081"/>
      <c r="AY134" s="4081"/>
      <c r="AZ134" s="4081"/>
      <c r="BA134" s="4081"/>
      <c r="BB134" s="4081"/>
      <c r="BC134" s="4081"/>
      <c r="BD134" s="4081"/>
      <c r="BE134" s="4081"/>
      <c r="BF134" s="4081"/>
      <c r="BG134" s="4081"/>
      <c r="BH134" s="4081"/>
      <c r="BI134" s="4081"/>
      <c r="BJ134" s="4081"/>
      <c r="BK134" s="4081"/>
    </row>
    <row r="135" hidden="1" spans="31:63">
      <c r="AE135" s="4109"/>
      <c r="AF135" s="4109"/>
      <c r="AG135" s="4109"/>
      <c r="AH135" s="4109"/>
      <c r="AI135" s="4109"/>
      <c r="AJ135" s="4109"/>
      <c r="AK135" s="4109"/>
      <c r="AL135" s="4109"/>
      <c r="AM135" s="4109"/>
      <c r="AN135" s="4109"/>
      <c r="AO135" s="4109"/>
      <c r="AP135" s="4060"/>
      <c r="AQ135" s="4060"/>
      <c r="AR135" s="4060"/>
      <c r="AS135" s="4060"/>
      <c r="AT135" s="4060"/>
      <c r="AU135" s="4060"/>
      <c r="AV135" s="4060"/>
      <c r="AW135" s="4081"/>
      <c r="AX135" s="4081"/>
      <c r="AY135" s="4081"/>
      <c r="AZ135" s="4081"/>
      <c r="BA135" s="4081"/>
      <c r="BB135" s="4081"/>
      <c r="BC135" s="4081"/>
      <c r="BD135" s="4081"/>
      <c r="BE135" s="4081"/>
      <c r="BF135" s="4081"/>
      <c r="BG135" s="4081"/>
      <c r="BH135" s="4081"/>
      <c r="BI135" s="4081"/>
      <c r="BJ135" s="4081"/>
      <c r="BK135" s="4081"/>
    </row>
    <row r="136" hidden="1" spans="2:63">
      <c r="B136" s="3609"/>
      <c r="AE136" s="4109"/>
      <c r="AF136" s="4109"/>
      <c r="AG136" s="4109"/>
      <c r="AH136" s="4109"/>
      <c r="AI136" s="4109"/>
      <c r="AJ136" s="4109"/>
      <c r="AK136" s="4109"/>
      <c r="AL136" s="4109"/>
      <c r="AM136" s="4109"/>
      <c r="AN136" s="4109"/>
      <c r="AO136" s="4109"/>
      <c r="AP136" s="4060"/>
      <c r="AQ136" s="4060"/>
      <c r="AR136" s="4060"/>
      <c r="AS136" s="4060"/>
      <c r="AT136" s="4060"/>
      <c r="AU136" s="4060"/>
      <c r="AV136" s="4060"/>
      <c r="AW136" s="4081"/>
      <c r="AX136" s="4081"/>
      <c r="AY136" s="4081"/>
      <c r="AZ136" s="4081"/>
      <c r="BA136" s="4081"/>
      <c r="BB136" s="4081"/>
      <c r="BC136" s="4081"/>
      <c r="BD136" s="4081"/>
      <c r="BE136" s="4081"/>
      <c r="BF136" s="4081"/>
      <c r="BG136" s="4081"/>
      <c r="BH136" s="4081"/>
      <c r="BI136" s="4081"/>
      <c r="BJ136" s="4081"/>
      <c r="BK136" s="4081"/>
    </row>
    <row r="137" hidden="1" spans="2:63">
      <c r="B137" s="3609"/>
      <c r="AE137" s="4109"/>
      <c r="AF137" s="4109"/>
      <c r="AG137" s="4109"/>
      <c r="AH137" s="4109"/>
      <c r="AI137" s="4109"/>
      <c r="AJ137" s="4109"/>
      <c r="AK137" s="4109"/>
      <c r="AL137" s="4109"/>
      <c r="AM137" s="4109"/>
      <c r="AN137" s="4109"/>
      <c r="AO137" s="4109"/>
      <c r="AP137" s="4060"/>
      <c r="AQ137" s="4060"/>
      <c r="AR137" s="4060"/>
      <c r="AS137" s="4060"/>
      <c r="AT137" s="4060"/>
      <c r="AU137" s="4060"/>
      <c r="AV137" s="4060"/>
      <c r="AW137" s="4081"/>
      <c r="AX137" s="4081"/>
      <c r="AY137" s="4081"/>
      <c r="AZ137" s="4081"/>
      <c r="BA137" s="4081"/>
      <c r="BB137" s="4081"/>
      <c r="BC137" s="4081"/>
      <c r="BD137" s="4081"/>
      <c r="BE137" s="4081"/>
      <c r="BF137" s="4081"/>
      <c r="BG137" s="4081"/>
      <c r="BH137" s="4081"/>
      <c r="BI137" s="4081"/>
      <c r="BJ137" s="4081"/>
      <c r="BK137" s="4081"/>
    </row>
    <row r="138" hidden="1" spans="2:63">
      <c r="B138" s="3609"/>
      <c r="AE138" s="4109"/>
      <c r="AF138" s="4109"/>
      <c r="AG138" s="4109"/>
      <c r="AH138" s="4109"/>
      <c r="AI138" s="4109"/>
      <c r="AJ138" s="4109"/>
      <c r="AK138" s="4109"/>
      <c r="AL138" s="4109"/>
      <c r="AM138" s="4109"/>
      <c r="AN138" s="4109"/>
      <c r="AO138" s="4109"/>
      <c r="AP138" s="4060"/>
      <c r="AQ138" s="4060"/>
      <c r="AR138" s="4060"/>
      <c r="AS138" s="4060"/>
      <c r="AT138" s="4060"/>
      <c r="AU138" s="4060"/>
      <c r="AV138" s="4060"/>
      <c r="AW138" s="4081"/>
      <c r="AX138" s="4081"/>
      <c r="AY138" s="4081"/>
      <c r="AZ138" s="4081"/>
      <c r="BA138" s="4081"/>
      <c r="BB138" s="4081"/>
      <c r="BC138" s="4081"/>
      <c r="BD138" s="4081"/>
      <c r="BE138" s="4081"/>
      <c r="BF138" s="4081"/>
      <c r="BG138" s="4081"/>
      <c r="BH138" s="4081"/>
      <c r="BI138" s="4081"/>
      <c r="BJ138" s="4081"/>
      <c r="BK138" s="4081"/>
    </row>
    <row r="139" hidden="1" spans="2:63">
      <c r="B139" s="3609"/>
      <c r="AE139" s="4109"/>
      <c r="AF139" s="4109"/>
      <c r="AG139" s="4109"/>
      <c r="AH139" s="4109"/>
      <c r="AI139" s="4109"/>
      <c r="AJ139" s="4109"/>
      <c r="AK139" s="4109"/>
      <c r="AL139" s="4109"/>
      <c r="AM139" s="4109"/>
      <c r="AN139" s="4109"/>
      <c r="AO139" s="4109"/>
      <c r="AP139" s="4060"/>
      <c r="AQ139" s="4060"/>
      <c r="AR139" s="4060"/>
      <c r="AS139" s="4060"/>
      <c r="AT139" s="4060"/>
      <c r="AU139" s="4060"/>
      <c r="AV139" s="4060"/>
      <c r="AW139" s="4081"/>
      <c r="AX139" s="4081"/>
      <c r="AY139" s="4081"/>
      <c r="AZ139" s="4081"/>
      <c r="BA139" s="4081"/>
      <c r="BB139" s="4081"/>
      <c r="BC139" s="4081"/>
      <c r="BD139" s="4081"/>
      <c r="BE139" s="4081"/>
      <c r="BF139" s="4081"/>
      <c r="BG139" s="4081"/>
      <c r="BH139" s="4081"/>
      <c r="BI139" s="4081"/>
      <c r="BJ139" s="4081"/>
      <c r="BK139" s="4081"/>
    </row>
    <row r="140" hidden="1" spans="2:63">
      <c r="B140" s="3609"/>
      <c r="AE140" s="4109"/>
      <c r="AF140" s="4109"/>
      <c r="AG140" s="4109"/>
      <c r="AH140" s="4109"/>
      <c r="AI140" s="4109"/>
      <c r="AJ140" s="4109"/>
      <c r="AK140" s="4109"/>
      <c r="AL140" s="4109"/>
      <c r="AM140" s="4109"/>
      <c r="AN140" s="4109"/>
      <c r="AO140" s="4109"/>
      <c r="AP140" s="4060"/>
      <c r="AQ140" s="4060"/>
      <c r="AR140" s="4060"/>
      <c r="AS140" s="4060"/>
      <c r="AT140" s="4060"/>
      <c r="AU140" s="4060"/>
      <c r="AV140" s="4060"/>
      <c r="AW140" s="4081"/>
      <c r="AX140" s="4081"/>
      <c r="AY140" s="4081"/>
      <c r="AZ140" s="4081"/>
      <c r="BA140" s="4081"/>
      <c r="BB140" s="4081"/>
      <c r="BC140" s="4081"/>
      <c r="BD140" s="4081"/>
      <c r="BE140" s="4081"/>
      <c r="BF140" s="4081"/>
      <c r="BG140" s="4081"/>
      <c r="BH140" s="4081"/>
      <c r="BI140" s="4081"/>
      <c r="BJ140" s="4081"/>
      <c r="BK140" s="4081"/>
    </row>
    <row r="141" hidden="1" spans="31:63">
      <c r="AE141" s="4109"/>
      <c r="AF141" s="4109"/>
      <c r="AG141" s="4109"/>
      <c r="AH141" s="4109"/>
      <c r="AI141" s="4109"/>
      <c r="AJ141" s="4109"/>
      <c r="AK141" s="4109"/>
      <c r="AL141" s="4109"/>
      <c r="AM141" s="4109"/>
      <c r="AN141" s="4109"/>
      <c r="AO141" s="4109"/>
      <c r="AP141" s="4060"/>
      <c r="AQ141" s="4060"/>
      <c r="AR141" s="4060"/>
      <c r="AS141" s="4060"/>
      <c r="AT141" s="4060"/>
      <c r="AU141" s="4060"/>
      <c r="AV141" s="4060"/>
      <c r="AW141" s="4081"/>
      <c r="AX141" s="4081"/>
      <c r="AY141" s="4081"/>
      <c r="AZ141" s="4081"/>
      <c r="BA141" s="4081"/>
      <c r="BB141" s="4081"/>
      <c r="BC141" s="4081"/>
      <c r="BD141" s="4081"/>
      <c r="BE141" s="4081"/>
      <c r="BF141" s="4081"/>
      <c r="BG141" s="4081"/>
      <c r="BH141" s="4081"/>
      <c r="BI141" s="4081"/>
      <c r="BJ141" s="4081"/>
      <c r="BK141" s="4081"/>
    </row>
    <row r="142" hidden="1" spans="31:63">
      <c r="AE142" s="4109"/>
      <c r="AF142" s="4109"/>
      <c r="AG142" s="4109"/>
      <c r="AH142" s="4109"/>
      <c r="AI142" s="4109"/>
      <c r="AJ142" s="4109"/>
      <c r="AK142" s="4109"/>
      <c r="AL142" s="4109"/>
      <c r="AM142" s="4109"/>
      <c r="AN142" s="4109"/>
      <c r="AO142" s="4109"/>
      <c r="AP142" s="4060"/>
      <c r="AQ142" s="4060"/>
      <c r="AR142" s="4060"/>
      <c r="AS142" s="4060"/>
      <c r="AT142" s="4060"/>
      <c r="AU142" s="4060"/>
      <c r="AV142" s="4060"/>
      <c r="AW142" s="4081"/>
      <c r="AX142" s="4081"/>
      <c r="AY142" s="4081"/>
      <c r="AZ142" s="4081"/>
      <c r="BA142" s="4081"/>
      <c r="BB142" s="4081"/>
      <c r="BC142" s="4081"/>
      <c r="BD142" s="4081"/>
      <c r="BE142" s="4081"/>
      <c r="BF142" s="4081"/>
      <c r="BG142" s="4081"/>
      <c r="BH142" s="4081"/>
      <c r="BI142" s="4081"/>
      <c r="BJ142" s="4081"/>
      <c r="BK142" s="4081"/>
    </row>
    <row r="143" hidden="1" spans="31:63">
      <c r="AE143" s="4109"/>
      <c r="AF143" s="4109"/>
      <c r="AG143" s="4109"/>
      <c r="AH143" s="4109"/>
      <c r="AI143" s="4109"/>
      <c r="AJ143" s="4109"/>
      <c r="AK143" s="4109"/>
      <c r="AL143" s="4109"/>
      <c r="AM143" s="4109"/>
      <c r="AN143" s="4109"/>
      <c r="AO143" s="4109"/>
      <c r="AP143" s="4060"/>
      <c r="AQ143" s="4060"/>
      <c r="AR143" s="4060"/>
      <c r="AS143" s="4060"/>
      <c r="AT143" s="4060"/>
      <c r="AU143" s="4060"/>
      <c r="AV143" s="4060"/>
      <c r="AW143" s="4081"/>
      <c r="AX143" s="4081"/>
      <c r="AY143" s="4081"/>
      <c r="AZ143" s="4081"/>
      <c r="BA143" s="4081"/>
      <c r="BB143" s="4081"/>
      <c r="BC143" s="4081"/>
      <c r="BD143" s="4081"/>
      <c r="BE143" s="4081"/>
      <c r="BF143" s="4081"/>
      <c r="BG143" s="4081"/>
      <c r="BH143" s="4081"/>
      <c r="BI143" s="4081"/>
      <c r="BJ143" s="4081"/>
      <c r="BK143" s="4081"/>
    </row>
    <row r="144" hidden="1" spans="31:63">
      <c r="AE144" s="4109"/>
      <c r="AF144" s="4109"/>
      <c r="AG144" s="4109"/>
      <c r="AH144" s="4109"/>
      <c r="AI144" s="4109"/>
      <c r="AJ144" s="4109"/>
      <c r="AK144" s="4109"/>
      <c r="AL144" s="4109"/>
      <c r="AM144" s="4109"/>
      <c r="AN144" s="4109"/>
      <c r="AO144" s="4109"/>
      <c r="AP144" s="4060"/>
      <c r="AQ144" s="4060"/>
      <c r="AR144" s="4060"/>
      <c r="AS144" s="4060"/>
      <c r="AT144" s="4060"/>
      <c r="AU144" s="4060"/>
      <c r="AV144" s="4060"/>
      <c r="AW144" s="4081"/>
      <c r="AX144" s="4081"/>
      <c r="AY144" s="4081"/>
      <c r="AZ144" s="4081"/>
      <c r="BA144" s="4081"/>
      <c r="BB144" s="4081"/>
      <c r="BC144" s="4081"/>
      <c r="BD144" s="4081"/>
      <c r="BE144" s="4081"/>
      <c r="BF144" s="4081"/>
      <c r="BG144" s="4081"/>
      <c r="BH144" s="4081"/>
      <c r="BI144" s="4081"/>
      <c r="BJ144" s="4081"/>
      <c r="BK144" s="4081"/>
    </row>
    <row r="145" hidden="1" spans="31:63">
      <c r="AE145" s="4109"/>
      <c r="AF145" s="4109"/>
      <c r="AG145" s="4109"/>
      <c r="AH145" s="4109"/>
      <c r="AI145" s="4109"/>
      <c r="AJ145" s="4109"/>
      <c r="AK145" s="4109"/>
      <c r="AL145" s="4109"/>
      <c r="AM145" s="4109"/>
      <c r="AN145" s="4109"/>
      <c r="AO145" s="4109"/>
      <c r="AP145" s="4060"/>
      <c r="AQ145" s="4060"/>
      <c r="AR145" s="4060"/>
      <c r="AS145" s="4060"/>
      <c r="AT145" s="4060"/>
      <c r="AU145" s="4060"/>
      <c r="AV145" s="4060"/>
      <c r="AW145" s="4081"/>
      <c r="AX145" s="4081"/>
      <c r="AY145" s="4081"/>
      <c r="AZ145" s="4081"/>
      <c r="BA145" s="4081"/>
      <c r="BB145" s="4081"/>
      <c r="BC145" s="4081"/>
      <c r="BD145" s="4081"/>
      <c r="BE145" s="4081"/>
      <c r="BF145" s="4081"/>
      <c r="BG145" s="4081"/>
      <c r="BH145" s="4081"/>
      <c r="BI145" s="4081"/>
      <c r="BJ145" s="4081"/>
      <c r="BK145" s="4081"/>
    </row>
    <row r="146" spans="31:63">
      <c r="AE146" s="4109"/>
      <c r="AF146" s="4109"/>
      <c r="AG146" s="4109"/>
      <c r="AH146" s="4109"/>
      <c r="AI146" s="4109"/>
      <c r="AJ146" s="4109"/>
      <c r="AK146" s="4109"/>
      <c r="AL146" s="4109"/>
      <c r="AM146" s="4109"/>
      <c r="AN146" s="4109"/>
      <c r="AO146" s="4109"/>
      <c r="AP146" s="4060"/>
      <c r="AQ146" s="4060"/>
      <c r="AR146" s="4060"/>
      <c r="AS146" s="4060"/>
      <c r="AT146" s="4060"/>
      <c r="AU146" s="4060"/>
      <c r="AV146" s="4060"/>
      <c r="AW146" s="4081"/>
      <c r="AX146" s="4081"/>
      <c r="AY146" s="4081"/>
      <c r="AZ146" s="4081"/>
      <c r="BA146" s="4081"/>
      <c r="BB146" s="4081"/>
      <c r="BC146" s="4081"/>
      <c r="BD146" s="4081"/>
      <c r="BE146" s="4081"/>
      <c r="BF146" s="4081"/>
      <c r="BG146" s="4081"/>
      <c r="BH146" s="4081"/>
      <c r="BI146" s="4081"/>
      <c r="BJ146" s="4081"/>
      <c r="BK146" s="4081"/>
    </row>
    <row r="147" ht="12" spans="2:63">
      <c r="B147" s="3607" t="str">
        <f>+'F1'!C4</f>
        <v>PT INTAN GIRI ABADI</v>
      </c>
      <c r="AE147" s="4109"/>
      <c r="AF147" s="4109"/>
      <c r="AG147" s="4109"/>
      <c r="AH147" s="4109"/>
      <c r="AI147" s="4109"/>
      <c r="AJ147" s="4109"/>
      <c r="AK147" s="4109"/>
      <c r="AL147" s="4109"/>
      <c r="AM147" s="4109"/>
      <c r="AN147" s="4109"/>
      <c r="AO147" s="4109"/>
      <c r="AP147" s="4060"/>
      <c r="AQ147" s="4060"/>
      <c r="AR147" s="4060"/>
      <c r="AS147" s="4060"/>
      <c r="AT147" s="4060"/>
      <c r="AU147" s="4060"/>
      <c r="AV147" s="4060"/>
      <c r="AW147" s="4081"/>
      <c r="AX147" s="4081"/>
      <c r="AY147" s="4081"/>
      <c r="AZ147" s="4081"/>
      <c r="BA147" s="4081"/>
      <c r="BB147" s="4081"/>
      <c r="BC147" s="4081"/>
      <c r="BD147" s="4081"/>
      <c r="BE147" s="4081"/>
      <c r="BF147" s="4081"/>
      <c r="BG147" s="4081"/>
      <c r="BH147" s="4081"/>
      <c r="BI147" s="4081"/>
      <c r="BJ147" s="4081"/>
      <c r="BK147" s="4081"/>
    </row>
    <row r="148" ht="12" customHeight="1" spans="2:63">
      <c r="B148" s="5010" t="s">
        <v>287</v>
      </c>
      <c r="BC148" s="4567" t="str">
        <f>BC76</f>
        <v>Approval for Print</v>
      </c>
      <c r="BD148" s="4567"/>
      <c r="BE148" s="4572" t="str">
        <f>BE76</f>
        <v>signature</v>
      </c>
      <c r="BF148" s="4572"/>
      <c r="BG148" s="4572"/>
      <c r="BH148" s="4572"/>
      <c r="BI148" s="4572"/>
      <c r="BJ148" s="4572"/>
      <c r="BK148" s="4572"/>
    </row>
    <row r="149" ht="12" customHeight="1" spans="2:63">
      <c r="B149" s="5010" t="s">
        <v>618</v>
      </c>
      <c r="BC149" s="4567"/>
      <c r="BD149" s="4567"/>
      <c r="BE149" s="4572"/>
      <c r="BF149" s="4572"/>
      <c r="BG149" s="4572"/>
      <c r="BH149" s="4572"/>
      <c r="BI149" s="4572"/>
      <c r="BJ149" s="4572"/>
      <c r="BK149" s="4572"/>
    </row>
    <row r="150" ht="12" customHeight="1" spans="2:63">
      <c r="B150" s="3609" t="s">
        <v>450</v>
      </c>
      <c r="BC150" s="4567"/>
      <c r="BD150" s="4567"/>
      <c r="BE150" s="4572" t="str">
        <f>BE78</f>
        <v>Date</v>
      </c>
      <c r="BF150" s="4572"/>
      <c r="BG150" s="4572"/>
      <c r="BH150" s="4572"/>
      <c r="BI150" s="4572"/>
      <c r="BJ150" s="4572"/>
      <c r="BK150" s="4572"/>
    </row>
    <row r="151" ht="12" customHeight="1" spans="2:63">
      <c r="B151" s="3610"/>
      <c r="C151" s="3611"/>
      <c r="D151" s="3611"/>
      <c r="E151" s="3611"/>
      <c r="F151" s="3611"/>
      <c r="G151" s="3611"/>
      <c r="H151" s="3611"/>
      <c r="I151" s="3611"/>
      <c r="J151" s="3611"/>
      <c r="K151" s="3611"/>
      <c r="L151" s="3611"/>
      <c r="M151" s="3611"/>
      <c r="N151" s="3611"/>
      <c r="O151" s="3611"/>
      <c r="P151" s="3611"/>
      <c r="Q151" s="3611"/>
      <c r="R151" s="3611"/>
      <c r="S151" s="3611"/>
      <c r="T151" s="3611"/>
      <c r="U151" s="3611"/>
      <c r="V151" s="3611"/>
      <c r="W151" s="3611"/>
      <c r="X151" s="3611"/>
      <c r="Y151" s="3611"/>
      <c r="Z151" s="3611"/>
      <c r="AA151" s="3611"/>
      <c r="AB151" s="3611"/>
      <c r="AC151" s="3611"/>
      <c r="AD151" s="3611"/>
      <c r="AE151" s="4054"/>
      <c r="AF151" s="4054"/>
      <c r="AG151" s="4054"/>
      <c r="AH151" s="4054"/>
      <c r="AI151" s="4054"/>
      <c r="AJ151" s="4054"/>
      <c r="AK151" s="4054"/>
      <c r="AL151" s="4054"/>
      <c r="AM151" s="4054"/>
      <c r="AN151" s="4054"/>
      <c r="AO151" s="4054"/>
      <c r="AP151" s="4054"/>
      <c r="AQ151" s="4054"/>
      <c r="AR151" s="4054"/>
      <c r="AS151" s="4054"/>
      <c r="AT151" s="4054"/>
      <c r="AU151" s="4054"/>
      <c r="AV151" s="4054"/>
      <c r="AW151" s="3611"/>
      <c r="AX151" s="3611"/>
      <c r="AY151" s="3611"/>
      <c r="AZ151" s="3611"/>
      <c r="BA151" s="3611"/>
      <c r="BB151" s="3611"/>
      <c r="BC151" s="3626"/>
      <c r="BD151" s="3626"/>
      <c r="BE151" s="4157"/>
      <c r="BF151" s="4157"/>
      <c r="BG151" s="4157"/>
      <c r="BH151" s="4157"/>
      <c r="BI151" s="4157"/>
      <c r="BJ151" s="4572"/>
      <c r="BK151" s="4572"/>
    </row>
    <row r="153" customFormat="1" ht="21" customHeight="1" spans="2:61">
      <c r="B153" s="4579"/>
      <c r="C153" s="4579"/>
      <c r="D153" s="4579"/>
      <c r="E153" s="4579"/>
      <c r="F153" s="4579"/>
      <c r="G153" s="4579"/>
      <c r="H153" s="4579"/>
      <c r="I153" s="4579"/>
      <c r="J153" s="4579"/>
      <c r="K153" s="4579"/>
      <c r="L153" s="4579"/>
      <c r="M153" s="4579"/>
      <c r="N153" s="4579"/>
      <c r="O153" s="4579"/>
      <c r="P153" s="4579"/>
      <c r="Q153" s="4579"/>
      <c r="R153" s="4579"/>
      <c r="S153" s="4579"/>
      <c r="T153" s="4579"/>
      <c r="U153" s="4579"/>
      <c r="V153" s="4579"/>
      <c r="W153" s="4579"/>
      <c r="X153" s="4579"/>
      <c r="Y153" s="4579"/>
      <c r="Z153" s="4579"/>
      <c r="AA153" s="4579"/>
      <c r="AB153" s="2542" t="s">
        <v>600</v>
      </c>
      <c r="AC153" s="2542"/>
      <c r="AD153" s="2542"/>
      <c r="AE153" s="2542"/>
      <c r="AF153" s="2542"/>
      <c r="AG153" s="2542"/>
      <c r="AI153" t="s">
        <v>601</v>
      </c>
      <c r="AP153" s="3662" t="s">
        <v>602</v>
      </c>
      <c r="AQ153" s="3662"/>
      <c r="AR153" s="3662"/>
      <c r="AS153" s="3662"/>
      <c r="AT153" s="3662"/>
      <c r="AU153" s="3662"/>
      <c r="AW153" s="2542" t="s">
        <v>603</v>
      </c>
      <c r="AX153" s="2542"/>
      <c r="AY153" s="2542"/>
      <c r="AZ153" s="2542"/>
      <c r="BA153" s="2542"/>
      <c r="BB153" s="2542"/>
      <c r="BD153" s="2542" t="s">
        <v>512</v>
      </c>
      <c r="BE153" s="2542"/>
      <c r="BF153" s="2542"/>
      <c r="BG153" s="2542"/>
      <c r="BH153" s="2542"/>
      <c r="BI153" s="2542"/>
    </row>
    <row r="154" spans="2:66">
      <c r="B154" s="3315"/>
      <c r="C154" s="3315"/>
      <c r="D154" s="3315"/>
      <c r="E154" s="3315"/>
      <c r="F154" s="3315"/>
      <c r="G154" s="3315"/>
      <c r="H154" s="3315"/>
      <c r="I154" s="3315"/>
      <c r="J154" s="3315"/>
      <c r="K154" s="3315"/>
      <c r="L154" s="3315"/>
      <c r="M154" s="3315"/>
      <c r="N154" s="3315"/>
      <c r="O154" s="3315"/>
      <c r="P154" s="3315"/>
      <c r="Q154" s="3315"/>
      <c r="R154" s="3315"/>
      <c r="S154" s="3315"/>
      <c r="T154" s="3315"/>
      <c r="U154" s="3315"/>
      <c r="V154" s="3315"/>
      <c r="W154" s="3315"/>
      <c r="X154" s="3315"/>
      <c r="Y154" s="3315"/>
      <c r="Z154" s="3315"/>
      <c r="AA154" s="3315"/>
      <c r="AB154" s="3546"/>
      <c r="AC154" s="3546"/>
      <c r="AD154" s="3546"/>
      <c r="AE154" s="3546"/>
      <c r="AF154" s="3546"/>
      <c r="AG154" s="3546"/>
      <c r="AH154" s="3546"/>
      <c r="AI154" s="4585"/>
      <c r="AJ154" s="4585"/>
      <c r="AK154" s="4585"/>
      <c r="AL154" s="4585"/>
      <c r="AM154" s="4585"/>
      <c r="AN154" s="4585"/>
      <c r="AO154" s="3546"/>
      <c r="AP154" s="4585"/>
      <c r="AQ154" s="4585"/>
      <c r="AR154" s="4585"/>
      <c r="AS154" s="4585"/>
      <c r="AT154" s="4585"/>
      <c r="AU154" s="4585"/>
      <c r="AV154" s="4585"/>
      <c r="AW154" s="3546"/>
      <c r="AX154" s="3546"/>
      <c r="AY154" s="3546"/>
      <c r="AZ154" s="3546"/>
      <c r="BA154" s="3546"/>
      <c r="BB154" s="3546"/>
      <c r="BC154" s="3546"/>
      <c r="BD154" s="3546"/>
      <c r="BE154" s="3546"/>
      <c r="BF154" s="3546"/>
      <c r="BG154" s="3546"/>
      <c r="BH154" s="3546"/>
      <c r="BI154" s="3546"/>
      <c r="BJ154" s="3546"/>
      <c r="BK154" s="3546"/>
      <c r="BL154" s="2435"/>
      <c r="BM154" s="2435"/>
      <c r="BN154" s="2435"/>
    </row>
    <row r="155" ht="12" hidden="1" customHeight="1" spans="2:66">
      <c r="B155" s="3322" t="s">
        <v>604</v>
      </c>
      <c r="C155" s="3315"/>
      <c r="D155" s="3315"/>
      <c r="E155" s="3315"/>
      <c r="F155" s="3315"/>
      <c r="G155" s="3315"/>
      <c r="H155" s="3315"/>
      <c r="I155" s="3315"/>
      <c r="J155" s="3315"/>
      <c r="K155" s="3315"/>
      <c r="L155" s="3315"/>
      <c r="M155" s="3315"/>
      <c r="N155" s="3315"/>
      <c r="O155" s="3315"/>
      <c r="P155" s="3315"/>
      <c r="Q155" s="3315"/>
      <c r="R155" s="3315"/>
      <c r="S155" s="3315"/>
      <c r="T155" s="3315"/>
      <c r="U155" s="3315"/>
      <c r="V155" s="3315"/>
      <c r="W155" s="3315"/>
      <c r="X155" s="3315"/>
      <c r="Y155" s="3315"/>
      <c r="Z155" s="3315"/>
      <c r="AA155" s="3315"/>
      <c r="AB155" s="4580">
        <f>SUM([73]LapKeu!$W$166:$AF$166)</f>
        <v>2842200000</v>
      </c>
      <c r="AC155" s="4580"/>
      <c r="AD155" s="4580"/>
      <c r="AE155" s="4580"/>
      <c r="AF155" s="4580"/>
      <c r="AG155" s="4580"/>
      <c r="AH155" s="4580"/>
      <c r="AI155" s="4581"/>
      <c r="AJ155" s="4581"/>
      <c r="AK155" s="4581"/>
      <c r="AL155" s="4581"/>
      <c r="AM155" s="4581"/>
      <c r="AN155" s="4581"/>
      <c r="AO155" s="4580"/>
      <c r="AP155" s="4581"/>
      <c r="AQ155" s="4581"/>
      <c r="AR155" s="4581"/>
      <c r="AS155" s="4581"/>
      <c r="AT155" s="4581"/>
      <c r="AU155" s="4581"/>
      <c r="AV155" s="4581"/>
      <c r="AW155" s="4580">
        <f>SUM([73]LapKeu!$AQ$166:$AZ$166)+SUM([73]LapKeu!$AG$170:$AP$170)</f>
        <v>-8143590685</v>
      </c>
      <c r="AX155" s="4580"/>
      <c r="AY155" s="4580"/>
      <c r="AZ155" s="4580"/>
      <c r="BA155" s="4580"/>
      <c r="BB155" s="4580"/>
      <c r="BC155" s="4580"/>
      <c r="BD155" s="4580">
        <f>AB155+AW155</f>
        <v>-5301390685</v>
      </c>
      <c r="BE155" s="4580"/>
      <c r="BF155" s="4580"/>
      <c r="BG155" s="4580"/>
      <c r="BH155" s="4580"/>
      <c r="BI155" s="4580"/>
      <c r="BJ155" s="4583"/>
      <c r="BK155" s="4583"/>
      <c r="BM155" s="3393"/>
      <c r="BN155" s="4594">
        <f>AW155+BM164</f>
        <v>-8143590685</v>
      </c>
    </row>
    <row r="156" hidden="1" spans="2:63">
      <c r="B156" s="3315"/>
      <c r="C156" s="3315"/>
      <c r="D156" s="3315"/>
      <c r="E156" s="3315"/>
      <c r="F156" s="3315"/>
      <c r="G156" s="3315"/>
      <c r="H156" s="3315"/>
      <c r="I156" s="3315"/>
      <c r="J156" s="3315"/>
      <c r="K156" s="3315"/>
      <c r="L156" s="3315"/>
      <c r="M156" s="3315"/>
      <c r="N156" s="3315"/>
      <c r="O156" s="3315"/>
      <c r="P156" s="3315"/>
      <c r="Q156" s="3315"/>
      <c r="R156" s="3315"/>
      <c r="S156" s="3315"/>
      <c r="T156" s="3315"/>
      <c r="U156" s="3315"/>
      <c r="V156" s="3315"/>
      <c r="W156" s="3315"/>
      <c r="X156" s="3315"/>
      <c r="Y156" s="3315"/>
      <c r="Z156" s="3315"/>
      <c r="AA156" s="3315"/>
      <c r="AB156" s="4580"/>
      <c r="AC156" s="4580"/>
      <c r="AD156" s="4580"/>
      <c r="AE156" s="4580"/>
      <c r="AF156" s="4580"/>
      <c r="AG156" s="4580"/>
      <c r="AH156" s="4580"/>
      <c r="AI156" s="4581"/>
      <c r="AJ156" s="4581"/>
      <c r="AK156" s="4581"/>
      <c r="AL156" s="4581"/>
      <c r="AM156" s="4581"/>
      <c r="AN156" s="4581"/>
      <c r="AO156" s="4580"/>
      <c r="AP156" s="4581"/>
      <c r="AQ156" s="4581"/>
      <c r="AR156" s="4581"/>
      <c r="AS156" s="4581"/>
      <c r="AT156" s="4581"/>
      <c r="AU156" s="4581"/>
      <c r="AV156" s="4581"/>
      <c r="AW156" s="4580"/>
      <c r="AX156" s="4580"/>
      <c r="AY156" s="4580"/>
      <c r="AZ156" s="4580"/>
      <c r="BA156" s="4580"/>
      <c r="BB156" s="4580"/>
      <c r="BC156" s="4580"/>
      <c r="BD156" s="4580"/>
      <c r="BE156" s="4580"/>
      <c r="BF156" s="4580"/>
      <c r="BG156" s="4580"/>
      <c r="BH156" s="4580"/>
      <c r="BI156" s="4580"/>
      <c r="BJ156" s="4583"/>
      <c r="BK156" s="4583"/>
    </row>
    <row r="157" hidden="1" spans="2:63">
      <c r="B157" s="5026" t="s">
        <v>605</v>
      </c>
      <c r="C157" s="3315"/>
      <c r="D157" s="3315"/>
      <c r="E157" s="3315"/>
      <c r="F157" s="3315"/>
      <c r="G157" s="3315"/>
      <c r="H157" s="3315"/>
      <c r="I157" s="3315"/>
      <c r="J157" s="3315"/>
      <c r="K157" s="3315"/>
      <c r="L157" s="3315"/>
      <c r="M157" s="3315"/>
      <c r="N157" s="3315"/>
      <c r="O157" s="3315"/>
      <c r="P157" s="3315"/>
      <c r="Q157" s="3315"/>
      <c r="R157" s="3315"/>
      <c r="S157" s="3315"/>
      <c r="T157" s="3315"/>
      <c r="U157" s="3315"/>
      <c r="V157" s="3315"/>
      <c r="W157" s="3315"/>
      <c r="X157" s="3315"/>
      <c r="Y157" s="3315"/>
      <c r="Z157" s="3315"/>
      <c r="AA157" s="3315"/>
      <c r="AB157" s="4580"/>
      <c r="AC157" s="4580"/>
      <c r="AD157" s="4580"/>
      <c r="AE157" s="4580"/>
      <c r="AF157" s="4580"/>
      <c r="AG157" s="4580"/>
      <c r="AH157" s="4580"/>
      <c r="AI157" s="4581"/>
      <c r="AJ157" s="4581"/>
      <c r="AK157" s="4581"/>
      <c r="AL157" s="4581"/>
      <c r="AM157" s="4581"/>
      <c r="AN157" s="4581"/>
      <c r="AO157" s="4580"/>
      <c r="AP157" s="4581"/>
      <c r="AQ157" s="4581"/>
      <c r="AR157" s="4581"/>
      <c r="AS157" s="4581"/>
      <c r="AT157" s="4581"/>
      <c r="AU157" s="4581"/>
      <c r="AV157" s="4581"/>
      <c r="AW157" s="4580"/>
      <c r="AX157" s="4580"/>
      <c r="AY157" s="4580"/>
      <c r="AZ157" s="4580"/>
      <c r="BA157" s="4580"/>
      <c r="BB157" s="4580"/>
      <c r="BC157" s="4580"/>
      <c r="BD157" s="4580"/>
      <c r="BE157" s="4580"/>
      <c r="BF157" s="4580"/>
      <c r="BG157" s="4580"/>
      <c r="BH157" s="4580"/>
      <c r="BI157" s="4580"/>
      <c r="BJ157" s="4583"/>
      <c r="BK157" s="4583"/>
    </row>
    <row r="158" hidden="1" spans="2:63">
      <c r="B158" s="3315"/>
      <c r="C158" s="3315" t="s">
        <v>606</v>
      </c>
      <c r="D158" s="3315"/>
      <c r="E158" s="3315"/>
      <c r="F158" s="3315"/>
      <c r="G158" s="3315"/>
      <c r="H158" s="3315"/>
      <c r="I158" s="3315"/>
      <c r="J158" s="3315"/>
      <c r="K158" s="3315"/>
      <c r="L158" s="3315"/>
      <c r="M158" s="3315"/>
      <c r="N158" s="3315"/>
      <c r="O158" s="3315"/>
      <c r="P158" s="3315"/>
      <c r="Q158" s="3315"/>
      <c r="R158" s="3315"/>
      <c r="S158" s="3315"/>
      <c r="T158" s="3315"/>
      <c r="U158" s="3315"/>
      <c r="V158" s="3315"/>
      <c r="W158" s="3315"/>
      <c r="X158" s="3315"/>
      <c r="Y158" s="3315"/>
      <c r="Z158" s="3315"/>
      <c r="AA158" s="3315"/>
      <c r="AB158" s="4580">
        <v>0</v>
      </c>
      <c r="AC158" s="4580"/>
      <c r="AD158" s="4580"/>
      <c r="AE158" s="4580"/>
      <c r="AF158" s="4580"/>
      <c r="AG158" s="4580"/>
      <c r="AH158" s="4580"/>
      <c r="AI158" s="4581"/>
      <c r="AJ158" s="4581"/>
      <c r="AK158" s="4581"/>
      <c r="AL158" s="4581"/>
      <c r="AM158" s="4581"/>
      <c r="AN158" s="4581"/>
      <c r="AO158" s="4580"/>
      <c r="AP158" s="4581"/>
      <c r="AQ158" s="4581"/>
      <c r="AR158" s="4581"/>
      <c r="AS158" s="4581"/>
      <c r="AT158" s="4581"/>
      <c r="AU158" s="4581"/>
      <c r="AV158" s="4581"/>
      <c r="AW158" s="4580" t="e">
        <f>'[74]FS-1'!$X$157:$AD$157</f>
        <v>#VALUE!</v>
      </c>
      <c r="AX158" s="4580"/>
      <c r="AY158" s="4580"/>
      <c r="AZ158" s="4580"/>
      <c r="BA158" s="4580"/>
      <c r="BB158" s="4580"/>
      <c r="BC158" s="4580"/>
      <c r="BD158" s="4580" t="e">
        <f>AB158+AW158</f>
        <v>#VALUE!</v>
      </c>
      <c r="BE158" s="4580"/>
      <c r="BF158" s="4580"/>
      <c r="BG158" s="4580"/>
      <c r="BH158" s="4580"/>
      <c r="BI158" s="4580"/>
      <c r="BJ158" s="4583"/>
      <c r="BK158" s="4583"/>
    </row>
    <row r="159" ht="12" hidden="1" customHeight="1" spans="2:63">
      <c r="B159" s="3315"/>
      <c r="C159" s="3315"/>
      <c r="D159" s="3315"/>
      <c r="E159" s="3315"/>
      <c r="F159" s="3315"/>
      <c r="G159" s="3315"/>
      <c r="H159" s="3315"/>
      <c r="I159" s="3315"/>
      <c r="J159" s="3315"/>
      <c r="K159" s="3315"/>
      <c r="L159" s="3315"/>
      <c r="M159" s="3315"/>
      <c r="N159" s="3315"/>
      <c r="O159" s="3315"/>
      <c r="P159" s="3315"/>
      <c r="Q159" s="3315"/>
      <c r="R159" s="3315"/>
      <c r="S159" s="3315"/>
      <c r="T159" s="3315"/>
      <c r="U159" s="3315"/>
      <c r="V159" s="3315"/>
      <c r="W159" s="3315"/>
      <c r="X159" s="3315"/>
      <c r="Y159" s="3315"/>
      <c r="Z159" s="3315"/>
      <c r="AA159" s="3315"/>
      <c r="AB159" s="4580"/>
      <c r="AC159" s="4580"/>
      <c r="AD159" s="4580"/>
      <c r="AE159" s="4580"/>
      <c r="AF159" s="4580"/>
      <c r="AG159" s="4580"/>
      <c r="AH159" s="4580"/>
      <c r="AI159" s="4581"/>
      <c r="AJ159" s="4581"/>
      <c r="AK159" s="4581"/>
      <c r="AL159" s="4581"/>
      <c r="AM159" s="4581"/>
      <c r="AN159" s="4581"/>
      <c r="AO159" s="4580"/>
      <c r="AP159" s="4581"/>
      <c r="AQ159" s="4581"/>
      <c r="AR159" s="4581"/>
      <c r="AS159" s="4581"/>
      <c r="AT159" s="4581"/>
      <c r="AU159" s="4581"/>
      <c r="AV159" s="4581"/>
      <c r="AW159" s="4580"/>
      <c r="AX159" s="4580"/>
      <c r="AY159" s="4580"/>
      <c r="AZ159" s="4580"/>
      <c r="BA159" s="4580"/>
      <c r="BB159" s="4580"/>
      <c r="BC159" s="4580"/>
      <c r="BD159" s="4580"/>
      <c r="BE159" s="4580"/>
      <c r="BF159" s="4580"/>
      <c r="BG159" s="4580"/>
      <c r="BH159" s="4580"/>
      <c r="BI159" s="4580"/>
      <c r="BJ159" s="4583"/>
      <c r="BK159" s="4583"/>
    </row>
    <row r="160" ht="12" hidden="1" outlineLevel="1" spans="2:63">
      <c r="B160" s="3322" t="s">
        <v>610</v>
      </c>
      <c r="C160" s="3322"/>
      <c r="D160" s="3322"/>
      <c r="E160" s="3322"/>
      <c r="F160" s="3322"/>
      <c r="G160" s="3322"/>
      <c r="H160" s="3322"/>
      <c r="I160" s="3322"/>
      <c r="J160" s="3322"/>
      <c r="K160" s="3322"/>
      <c r="L160" s="3322"/>
      <c r="M160" s="3322"/>
      <c r="N160" s="3322"/>
      <c r="O160" s="3322"/>
      <c r="P160" s="3322"/>
      <c r="Q160" s="3322"/>
      <c r="R160" s="3322"/>
      <c r="S160" s="3322"/>
      <c r="T160" s="3322"/>
      <c r="U160" s="3322"/>
      <c r="V160" s="3322"/>
      <c r="W160" s="3322"/>
      <c r="X160" s="3322"/>
      <c r="Y160" s="3322"/>
      <c r="Z160" s="3322"/>
      <c r="AA160" s="3322"/>
      <c r="AB160">
        <f>+'F2'!U39</f>
        <v>11000000000</v>
      </c>
      <c r="AC160"/>
      <c r="AD160"/>
      <c r="AE160"/>
      <c r="AF160"/>
      <c r="AG160"/>
      <c r="AH160" s="4586"/>
      <c r="AI160">
        <v>0</v>
      </c>
      <c r="AJ160"/>
      <c r="AK160"/>
      <c r="AL160"/>
      <c r="AM160"/>
      <c r="AN160"/>
      <c r="AO160" s="4586"/>
      <c r="AP160">
        <v>0</v>
      </c>
      <c r="AQ160"/>
      <c r="AR160"/>
      <c r="AS160"/>
      <c r="AT160"/>
      <c r="AU160"/>
      <c r="AV160"/>
      <c r="AW160">
        <f>+'F2'!U42+'F2'!U43</f>
        <v>7206337199.31076</v>
      </c>
      <c r="AX160"/>
      <c r="AY160"/>
      <c r="AZ160"/>
      <c r="BA160"/>
      <c r="BB160"/>
      <c r="BC160" s="4586"/>
      <c r="BD160">
        <f>SUM(AB160:BB160)</f>
        <v>18206337199.3108</v>
      </c>
      <c r="BE160"/>
      <c r="BF160"/>
      <c r="BG160"/>
      <c r="BH160"/>
      <c r="BI160"/>
      <c r="BJ160" s="4591"/>
      <c r="BK160" s="4591"/>
    </row>
    <row r="161" ht="12" hidden="1" customHeight="1" outlineLevel="1" spans="2:63">
      <c r="B161" s="3315"/>
      <c r="C161" s="3315"/>
      <c r="D161" s="3315"/>
      <c r="E161" s="3315"/>
      <c r="F161" s="3315"/>
      <c r="G161" s="3315"/>
      <c r="H161" s="3315"/>
      <c r="I161" s="3315"/>
      <c r="J161" s="3315"/>
      <c r="K161" s="3315"/>
      <c r="L161" s="3315"/>
      <c r="M161" s="3315"/>
      <c r="N161" s="3315"/>
      <c r="O161" s="3315"/>
      <c r="P161" s="3315"/>
      <c r="Q161" s="3315"/>
      <c r="R161" s="3315"/>
      <c r="S161" s="3315"/>
      <c r="T161" s="3315"/>
      <c r="U161" s="3315"/>
      <c r="V161" s="3315"/>
      <c r="W161" s="3315"/>
      <c r="X161" s="3315"/>
      <c r="Y161" s="3315"/>
      <c r="Z161" s="3315"/>
      <c r="AA161" s="3315"/>
      <c r="AB161" s="4580"/>
      <c r="AC161" s="4580"/>
      <c r="AD161" s="4580"/>
      <c r="AE161" s="4580"/>
      <c r="AF161" s="4580"/>
      <c r="AG161" s="4580"/>
      <c r="AH161" s="4580"/>
      <c r="AI161" s="4580"/>
      <c r="AJ161" s="4580"/>
      <c r="AK161" s="4580"/>
      <c r="AL161" s="4580"/>
      <c r="AM161" s="4580"/>
      <c r="AN161" s="4580"/>
      <c r="AO161" s="4580"/>
      <c r="AP161" s="4580"/>
      <c r="AQ161" s="4580"/>
      <c r="AR161" s="4580"/>
      <c r="AS161" s="4580"/>
      <c r="AT161" s="4580"/>
      <c r="AU161" s="4580"/>
      <c r="AV161" s="4581"/>
      <c r="AW161" s="4580"/>
      <c r="AX161" s="4580"/>
      <c r="AY161" s="4580"/>
      <c r="AZ161" s="4580"/>
      <c r="BA161" s="4580"/>
      <c r="BB161" s="4580"/>
      <c r="BC161" s="4580"/>
      <c r="BD161" s="4580"/>
      <c r="BE161" s="4580"/>
      <c r="BF161" s="4580"/>
      <c r="BG161" s="4580"/>
      <c r="BH161" s="4580"/>
      <c r="BI161" s="4580"/>
      <c r="BJ161" s="4583"/>
      <c r="BK161" s="4583"/>
    </row>
    <row r="162" hidden="1" outlineLevel="1" spans="2:63">
      <c r="B162" s="5027" t="s">
        <v>609</v>
      </c>
      <c r="C162" s="3339"/>
      <c r="D162" s="3339"/>
      <c r="E162" s="3339"/>
      <c r="F162" s="3339"/>
      <c r="G162" s="3339"/>
      <c r="H162" s="3339"/>
      <c r="I162" s="3339"/>
      <c r="J162" s="3339"/>
      <c r="K162" s="3339"/>
      <c r="L162" s="3339"/>
      <c r="M162" s="3339"/>
      <c r="N162" s="3339"/>
      <c r="O162" s="3339"/>
      <c r="P162" s="3339"/>
      <c r="Q162" s="3339"/>
      <c r="R162" s="3339"/>
      <c r="S162" s="3339"/>
      <c r="T162" s="3339"/>
      <c r="U162" s="3339"/>
      <c r="V162" s="3339"/>
      <c r="W162" s="3339"/>
      <c r="X162" s="3339"/>
      <c r="Y162" s="3339"/>
      <c r="Z162" s="3339"/>
      <c r="AA162" s="3339"/>
      <c r="AB162" s="4580">
        <v>0</v>
      </c>
      <c r="AC162" s="4580"/>
      <c r="AD162" s="4580"/>
      <c r="AE162" s="4580"/>
      <c r="AF162" s="4580"/>
      <c r="AG162" s="4580"/>
      <c r="AH162" s="4580"/>
      <c r="AI162" s="4580">
        <v>0</v>
      </c>
      <c r="AJ162" s="4580"/>
      <c r="AK162" s="4580"/>
      <c r="AL162" s="4580"/>
      <c r="AM162" s="4580"/>
      <c r="AN162" s="4580"/>
      <c r="AO162" s="4580"/>
      <c r="AP162" s="4580">
        <v>0</v>
      </c>
      <c r="AQ162" s="4580"/>
      <c r="AR162" s="4580"/>
      <c r="AS162" s="4580"/>
      <c r="AT162" s="4580"/>
      <c r="AU162" s="4580"/>
      <c r="AV162" s="4581"/>
      <c r="AW162" s="4580">
        <f>+'F2'!T43</f>
        <v>1071309507.625</v>
      </c>
      <c r="AX162" s="4580"/>
      <c r="AY162" s="4580"/>
      <c r="AZ162" s="4580"/>
      <c r="BA162" s="4580"/>
      <c r="BB162" s="4580"/>
      <c r="BC162" s="4580"/>
      <c r="BD162" s="4580">
        <f>SUM(AB162:BB162)</f>
        <v>1071309507.625</v>
      </c>
      <c r="BE162" s="4580"/>
      <c r="BF162" s="4580"/>
      <c r="BG162" s="4580"/>
      <c r="BH162" s="4580"/>
      <c r="BI162" s="4580"/>
      <c r="BJ162" s="4583"/>
      <c r="BK162" s="4583"/>
    </row>
    <row r="163" hidden="1" outlineLevel="1" spans="2:63">
      <c r="B163" s="3315"/>
      <c r="C163" s="3315"/>
      <c r="D163" s="3315"/>
      <c r="E163" s="3315"/>
      <c r="F163" s="3315"/>
      <c r="G163" s="3315"/>
      <c r="H163" s="3315"/>
      <c r="I163" s="3315"/>
      <c r="J163" s="3315"/>
      <c r="K163" s="3315"/>
      <c r="L163" s="3315"/>
      <c r="M163" s="3315"/>
      <c r="N163" s="3315"/>
      <c r="O163" s="3315"/>
      <c r="P163" s="3315"/>
      <c r="Q163" s="3315"/>
      <c r="R163" s="3315"/>
      <c r="S163" s="3315"/>
      <c r="T163" s="3315"/>
      <c r="U163" s="3315"/>
      <c r="V163" s="3315"/>
      <c r="W163" s="3315"/>
      <c r="X163" s="3315"/>
      <c r="Y163" s="3315"/>
      <c r="Z163" s="3315"/>
      <c r="AA163" s="3315"/>
      <c r="AB163" s="4580"/>
      <c r="AC163" s="4580"/>
      <c r="AD163" s="4580"/>
      <c r="AE163" s="4581"/>
      <c r="AF163" s="4581"/>
      <c r="AG163" s="4581"/>
      <c r="AH163" s="4581"/>
      <c r="AI163" s="4580"/>
      <c r="AJ163" s="4580"/>
      <c r="AK163" s="4580"/>
      <c r="AL163" s="4580"/>
      <c r="AM163" s="4580"/>
      <c r="AN163" s="4580"/>
      <c r="AO163" s="4581"/>
      <c r="AP163" s="4580"/>
      <c r="AQ163" s="4580"/>
      <c r="AR163" s="4580"/>
      <c r="AS163" s="4580"/>
      <c r="AT163" s="4580"/>
      <c r="AU163" s="4580"/>
      <c r="AV163" s="4581"/>
      <c r="AW163" s="4580"/>
      <c r="AX163" s="4580"/>
      <c r="AY163" s="4580"/>
      <c r="AZ163" s="4580"/>
      <c r="BA163" s="4580"/>
      <c r="BB163" s="4580"/>
      <c r="BC163" s="4580"/>
      <c r="BD163" s="4580"/>
      <c r="BE163" s="4580"/>
      <c r="BF163" s="4580"/>
      <c r="BG163" s="4580"/>
      <c r="BH163" s="4580"/>
      <c r="BI163" s="4580"/>
      <c r="BJ163" s="4583"/>
      <c r="BK163" s="4583"/>
    </row>
    <row r="164" ht="12.75" hidden="1" outlineLevel="1" spans="2:63">
      <c r="B164" s="5028" t="s">
        <v>613</v>
      </c>
      <c r="C164" s="3322"/>
      <c r="D164" s="3322"/>
      <c r="E164" s="3322"/>
      <c r="F164" s="3322"/>
      <c r="G164" s="3322"/>
      <c r="H164" s="3322"/>
      <c r="I164" s="3322"/>
      <c r="J164" s="3322"/>
      <c r="K164" s="3322"/>
      <c r="L164" s="3322"/>
      <c r="M164" s="3322"/>
      <c r="N164" s="3322"/>
      <c r="O164" s="3322"/>
      <c r="P164" s="3322"/>
      <c r="Q164" s="3322"/>
      <c r="R164" s="3322"/>
      <c r="S164" s="3322"/>
      <c r="T164" s="3322"/>
      <c r="U164" s="3322"/>
      <c r="V164" s="3322"/>
      <c r="W164" s="3322"/>
      <c r="X164" s="3322"/>
      <c r="Y164" s="3322"/>
      <c r="Z164" s="3322"/>
      <c r="AA164" s="3322"/>
      <c r="AB164" s="3558">
        <f>SUM(AB160:AG161)</f>
        <v>11000000000</v>
      </c>
      <c r="AC164" s="3558"/>
      <c r="AD164" s="3558"/>
      <c r="AE164" s="3558"/>
      <c r="AF164" s="3558"/>
      <c r="AG164" s="3558"/>
      <c r="AH164" s="4586"/>
      <c r="AI164" s="3558">
        <f>SUM(AI160:AN163)</f>
        <v>0</v>
      </c>
      <c r="AJ164" s="3558"/>
      <c r="AK164" s="3558"/>
      <c r="AL164" s="3558"/>
      <c r="AM164" s="3558"/>
      <c r="AN164" s="3558"/>
      <c r="AO164" s="4586"/>
      <c r="AP164" s="3558">
        <f>SUM(AP160:AU163)</f>
        <v>0</v>
      </c>
      <c r="AQ164" s="3558"/>
      <c r="AR164" s="3558"/>
      <c r="AS164" s="3558"/>
      <c r="AT164" s="3558"/>
      <c r="AU164" s="3558"/>
      <c r="AV164"/>
      <c r="AW164" s="3558">
        <f>SUM(AW160:BB163)</f>
        <v>8277646706.93576</v>
      </c>
      <c r="AX164" s="3558"/>
      <c r="AY164" s="3558"/>
      <c r="AZ164" s="3558"/>
      <c r="BA164" s="3558"/>
      <c r="BB164" s="3558"/>
      <c r="BC164" s="4586"/>
      <c r="BD164" s="3558">
        <f>SUM(BD160:BI163)</f>
        <v>19277646706.9358</v>
      </c>
      <c r="BE164" s="3558"/>
      <c r="BF164" s="3558"/>
      <c r="BG164" s="3558"/>
      <c r="BH164" s="3558"/>
      <c r="BI164" s="3558"/>
      <c r="BJ164" s="4591"/>
      <c r="BK164" s="4591"/>
    </row>
    <row r="165" ht="12" hidden="1" customHeight="1" outlineLevel="1" spans="2:63">
      <c r="B165" s="3609"/>
      <c r="C165" s="3609"/>
      <c r="D165" s="3609"/>
      <c r="E165" s="3609"/>
      <c r="F165" s="3609"/>
      <c r="G165" s="3609"/>
      <c r="H165" s="3609"/>
      <c r="I165" s="3609"/>
      <c r="J165" s="3609"/>
      <c r="K165" s="3609"/>
      <c r="L165" s="3609"/>
      <c r="M165" s="3609"/>
      <c r="N165" s="3609"/>
      <c r="O165" s="3609"/>
      <c r="P165" s="3609"/>
      <c r="Q165" s="3609"/>
      <c r="R165" s="3609"/>
      <c r="S165" s="3609"/>
      <c r="T165" s="3609"/>
      <c r="U165" s="3609"/>
      <c r="V165" s="3609"/>
      <c r="W165" s="3609"/>
      <c r="X165" s="3609"/>
      <c r="Y165" s="3609"/>
      <c r="Z165" s="3609"/>
      <c r="AA165" s="3609"/>
      <c r="AB165"/>
      <c r="AC165"/>
      <c r="AD165" s="243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s="4156"/>
      <c r="BK165" s="4156"/>
    </row>
    <row r="166" ht="12" hidden="1" customHeight="1" outlineLevel="1" spans="2:63">
      <c r="B166" s="5027" t="s">
        <v>611</v>
      </c>
      <c r="C166" s="3315"/>
      <c r="D166" s="3315"/>
      <c r="E166" s="3315"/>
      <c r="F166" s="3315"/>
      <c r="G166" s="3315"/>
      <c r="H166" s="3315"/>
      <c r="I166" s="3315"/>
      <c r="J166" s="3315"/>
      <c r="K166" s="3315"/>
      <c r="L166" s="3315"/>
      <c r="M166" s="3315"/>
      <c r="N166" s="3315"/>
      <c r="O166" s="3315"/>
      <c r="P166" s="3315"/>
      <c r="Q166" s="3315"/>
      <c r="R166" s="3315"/>
      <c r="S166" s="3315"/>
      <c r="T166" s="3315"/>
      <c r="U166" s="3315"/>
      <c r="V166" s="3315"/>
      <c r="W166" s="3315"/>
      <c r="X166" s="3315"/>
      <c r="Y166" s="3315"/>
      <c r="Z166" s="3315"/>
      <c r="AA166" s="3315"/>
      <c r="AB166" s="2435"/>
      <c r="AC166" s="2435"/>
      <c r="AD166" s="2435"/>
      <c r="AE166"/>
      <c r="AF166"/>
      <c r="AG166"/>
      <c r="AH166"/>
      <c r="AI166"/>
      <c r="AJ166"/>
      <c r="AK166"/>
      <c r="AL166"/>
      <c r="AM166"/>
      <c r="AN166"/>
      <c r="AO166"/>
      <c r="AP166"/>
      <c r="AQ166"/>
      <c r="AR166"/>
      <c r="AS166"/>
      <c r="AT166"/>
      <c r="AU166"/>
      <c r="AV166"/>
      <c r="AW166" s="2435"/>
      <c r="AX166" s="2435"/>
      <c r="AY166" s="2435"/>
      <c r="AZ166" s="2435"/>
      <c r="BA166" s="2435"/>
      <c r="BB166" s="2435"/>
      <c r="BC166" s="2435"/>
      <c r="BD166" s="2435"/>
      <c r="BE166" s="2435"/>
      <c r="BF166" s="2435"/>
      <c r="BG166" s="2435"/>
      <c r="BH166" s="2435"/>
      <c r="BI166" s="2435"/>
      <c r="BJ166" s="4583"/>
      <c r="BK166" s="4583"/>
    </row>
    <row r="167" ht="12" hidden="1" customHeight="1" outlineLevel="1" spans="2:63">
      <c r="B167" s="5027" t="s">
        <v>609</v>
      </c>
      <c r="C167" s="3315"/>
      <c r="D167" s="3315"/>
      <c r="E167" s="3315"/>
      <c r="F167" s="3315"/>
      <c r="G167" s="3315"/>
      <c r="H167" s="3315"/>
      <c r="I167" s="3315"/>
      <c r="J167" s="3315"/>
      <c r="K167" s="3315"/>
      <c r="L167" s="3315"/>
      <c r="M167" s="3315"/>
      <c r="N167" s="3315"/>
      <c r="O167" s="3315"/>
      <c r="P167" s="3315"/>
      <c r="Q167" s="3315"/>
      <c r="R167" s="3315"/>
      <c r="S167" s="3315"/>
      <c r="T167" s="3315"/>
      <c r="U167" s="3315"/>
      <c r="V167" s="3315"/>
      <c r="W167" s="3315"/>
      <c r="X167" s="3315"/>
      <c r="Y167" s="3315"/>
      <c r="Z167" s="3315"/>
      <c r="AA167" s="3315"/>
      <c r="AB167" s="4580">
        <v>0</v>
      </c>
      <c r="AC167" s="4580"/>
      <c r="AD167" s="4580"/>
      <c r="AE167" s="4580"/>
      <c r="AF167" s="4580"/>
      <c r="AG167" s="4580"/>
      <c r="AH167" s="4580"/>
      <c r="AI167">
        <v>0</v>
      </c>
      <c r="AJ167"/>
      <c r="AK167"/>
      <c r="AL167"/>
      <c r="AM167"/>
      <c r="AN167"/>
      <c r="AO167" s="4580"/>
      <c r="AP167" s="4580">
        <v>0</v>
      </c>
      <c r="AQ167" s="4580"/>
      <c r="AR167" s="4580"/>
      <c r="AS167" s="4580"/>
      <c r="AT167" s="4580"/>
      <c r="AU167" s="4580"/>
      <c r="AV167" s="4581"/>
      <c r="AW167" s="4580">
        <f>+'F2'!S43</f>
        <v>763288010.437753</v>
      </c>
      <c r="AX167" s="4580"/>
      <c r="AY167" s="4580"/>
      <c r="AZ167" s="4580"/>
      <c r="BA167" s="4580"/>
      <c r="BB167" s="4580"/>
      <c r="BC167" s="4580"/>
      <c r="BD167" s="4580">
        <f>SUM(AB167:BB167)</f>
        <v>763288010.437753</v>
      </c>
      <c r="BE167" s="4580"/>
      <c r="BF167" s="4580"/>
      <c r="BG167" s="4580"/>
      <c r="BH167" s="4580"/>
      <c r="BI167" s="4580"/>
      <c r="BJ167" s="4583"/>
      <c r="BK167" s="4583"/>
    </row>
    <row r="168" hidden="1" outlineLevel="1" spans="2:63">
      <c r="B168" s="3315"/>
      <c r="C168" s="3609"/>
      <c r="D168" s="3609"/>
      <c r="E168" s="3609"/>
      <c r="F168" s="3609"/>
      <c r="G168" s="3609"/>
      <c r="H168" s="3609"/>
      <c r="I168" s="3609"/>
      <c r="J168" s="3609"/>
      <c r="K168" s="3609"/>
      <c r="L168" s="3609"/>
      <c r="M168" s="3609"/>
      <c r="N168" s="3609"/>
      <c r="O168" s="3609"/>
      <c r="P168" s="3609"/>
      <c r="Q168" s="3609"/>
      <c r="R168" s="3609"/>
      <c r="S168" s="3609"/>
      <c r="T168" s="3609"/>
      <c r="U168" s="3609"/>
      <c r="V168" s="3609"/>
      <c r="W168" s="3609"/>
      <c r="X168" s="3609"/>
      <c r="Y168" s="3609"/>
      <c r="Z168" s="3609"/>
      <c r="AA168" s="3609"/>
      <c r="AB168"/>
      <c r="AC168"/>
      <c r="AD168" s="2435"/>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s="4156"/>
      <c r="BK168" s="4156"/>
    </row>
    <row r="169" ht="12" collapsed="1" spans="2:63">
      <c r="B169" s="5028" t="s">
        <v>614</v>
      </c>
      <c r="C169" s="3322"/>
      <c r="D169" s="3322"/>
      <c r="E169" s="3322"/>
      <c r="F169" s="3322"/>
      <c r="G169" s="3322"/>
      <c r="H169" s="3322"/>
      <c r="I169" s="3322"/>
      <c r="J169" s="3322"/>
      <c r="K169" s="3322"/>
      <c r="L169" s="3322"/>
      <c r="M169" s="3322"/>
      <c r="N169" s="3322"/>
      <c r="O169" s="3322"/>
      <c r="P169" s="3322"/>
      <c r="Q169" s="3322"/>
      <c r="R169" s="3322"/>
      <c r="S169" s="3322"/>
      <c r="T169" s="3322"/>
      <c r="U169" s="3322"/>
      <c r="V169" s="3322"/>
      <c r="W169" s="3322"/>
      <c r="X169" s="3322"/>
      <c r="Y169" s="3322"/>
      <c r="Z169" s="3322"/>
      <c r="AA169" s="3322"/>
      <c r="AB169" s="159">
        <f>SUM(AB164:AG168)</f>
        <v>11000000000</v>
      </c>
      <c r="AC169" s="159"/>
      <c r="AD169" s="159"/>
      <c r="AE169" s="159"/>
      <c r="AF169" s="159"/>
      <c r="AG169" s="159"/>
      <c r="AH169" s="4586"/>
      <c r="AI169" s="3796">
        <f>SUM(AI164:AN168)</f>
        <v>0</v>
      </c>
      <c r="AJ169" s="3796"/>
      <c r="AK169" s="3796"/>
      <c r="AL169" s="3796"/>
      <c r="AM169" s="3796"/>
      <c r="AN169" s="3796"/>
      <c r="AO169" s="4586"/>
      <c r="AP169" s="3445" t="e">
        <f>#REF!</f>
        <v>#REF!</v>
      </c>
      <c r="AQ169" s="3445"/>
      <c r="AR169" s="3445"/>
      <c r="AS169" s="3445"/>
      <c r="AT169" s="3445"/>
      <c r="AU169" s="3445"/>
      <c r="AV169" s="159"/>
      <c r="AW169" s="3445">
        <f>SUM(AW164:BB168)</f>
        <v>9040934717.37351</v>
      </c>
      <c r="AX169" s="3445"/>
      <c r="AY169" s="3445"/>
      <c r="AZ169" s="3445"/>
      <c r="BA169" s="3445"/>
      <c r="BB169" s="3445"/>
      <c r="BC169" s="4586"/>
      <c r="BD169" s="3445">
        <v>16968376950</v>
      </c>
      <c r="BE169" s="3445"/>
      <c r="BF169" s="3445"/>
      <c r="BG169" s="3445"/>
      <c r="BH169" s="3445"/>
      <c r="BI169" s="3445"/>
      <c r="BJ169" s="4591"/>
      <c r="BK169" s="4592"/>
    </row>
    <row r="170" spans="2:63">
      <c r="B170" s="3609"/>
      <c r="C170" s="3315"/>
      <c r="D170" s="3315"/>
      <c r="E170" s="3315"/>
      <c r="F170" s="3609"/>
      <c r="G170" s="3609"/>
      <c r="H170" s="3609"/>
      <c r="I170" s="3609"/>
      <c r="J170" s="3609"/>
      <c r="K170" s="3609"/>
      <c r="L170" s="3609"/>
      <c r="M170" s="3609"/>
      <c r="N170" s="3609"/>
      <c r="O170" s="3609"/>
      <c r="P170" s="3609"/>
      <c r="Q170" s="3609"/>
      <c r="R170" s="3609"/>
      <c r="S170" s="3609"/>
      <c r="T170" s="3609"/>
      <c r="U170" s="3609"/>
      <c r="V170" s="3609"/>
      <c r="W170" s="3609"/>
      <c r="X170" s="3609"/>
      <c r="Y170" s="3609"/>
      <c r="Z170" s="3609"/>
      <c r="AA170" s="3609"/>
      <c r="AB170" s="4582"/>
      <c r="AC170" s="4582"/>
      <c r="AD170" s="2435"/>
      <c r="AE170" s="4190"/>
      <c r="AF170" s="4190"/>
      <c r="AG170" s="4190"/>
      <c r="AH170" s="4190"/>
      <c r="AI170" s="4587"/>
      <c r="AJ170" s="4587"/>
      <c r="AK170" s="4587"/>
      <c r="AL170" s="4587"/>
      <c r="AM170" s="4587"/>
      <c r="AN170" s="4587"/>
      <c r="AO170" s="4190"/>
      <c r="AP170" s="4587"/>
      <c r="AQ170" s="4587"/>
      <c r="AR170" s="4587"/>
      <c r="AS170" s="4587"/>
      <c r="AT170" s="4587"/>
      <c r="AU170" s="4587"/>
      <c r="AV170" s="4588"/>
      <c r="AW170" s="4587"/>
      <c r="AX170" s="4587"/>
      <c r="AY170" s="4587"/>
      <c r="AZ170" s="4587"/>
      <c r="BA170" s="4587"/>
      <c r="BB170" s="4587"/>
      <c r="BC170" s="4587"/>
      <c r="BD170" s="4587"/>
      <c r="BE170" s="4587"/>
      <c r="BF170" s="4587"/>
      <c r="BG170" s="4587"/>
      <c r="BH170" s="4587"/>
      <c r="BI170" s="4587"/>
      <c r="BJ170" s="4156"/>
      <c r="BK170" s="4156"/>
    </row>
    <row r="171" spans="2:63">
      <c r="B171" s="5027" t="s">
        <v>609</v>
      </c>
      <c r="C171" s="3315"/>
      <c r="D171" s="3315"/>
      <c r="E171" s="3315"/>
      <c r="F171" s="3315"/>
      <c r="G171" s="3315"/>
      <c r="H171" s="3315"/>
      <c r="I171" s="3315"/>
      <c r="J171" s="3315"/>
      <c r="K171" s="3315"/>
      <c r="L171" s="3315"/>
      <c r="M171" s="3315"/>
      <c r="N171" s="3315"/>
      <c r="O171" s="3315"/>
      <c r="P171" s="3315"/>
      <c r="Q171" s="3315"/>
      <c r="R171" s="3315"/>
      <c r="S171" s="3315"/>
      <c r="T171" s="3315"/>
      <c r="U171" s="3315"/>
      <c r="V171" s="3315"/>
      <c r="W171" s="3315"/>
      <c r="X171" s="3315"/>
      <c r="Y171" s="3315"/>
      <c r="Z171" s="3315"/>
      <c r="AA171" s="3315"/>
      <c r="AB171" s="4583">
        <v>0</v>
      </c>
      <c r="AC171" s="4583"/>
      <c r="AD171" s="4583"/>
      <c r="AE171" s="4583"/>
      <c r="AF171" s="4583"/>
      <c r="AG171" s="4583"/>
      <c r="AH171" s="4583"/>
      <c r="AI171">
        <v>0</v>
      </c>
      <c r="AJ171"/>
      <c r="AK171"/>
      <c r="AL171"/>
      <c r="AM171"/>
      <c r="AN171"/>
      <c r="AO171" s="4583"/>
      <c r="AP171">
        <v>0</v>
      </c>
      <c r="AQ171"/>
      <c r="AR171"/>
      <c r="AS171"/>
      <c r="AT171"/>
      <c r="AU171"/>
      <c r="AV171" s="4589"/>
      <c r="AW171">
        <f>+'F2'!R43</f>
        <v>824555627.39146</v>
      </c>
      <c r="AX171"/>
      <c r="AY171"/>
      <c r="AZ171"/>
      <c r="BA171"/>
      <c r="BB171"/>
      <c r="BC171" s="4583"/>
      <c r="BD171">
        <f>SUM(AB171:BB171)</f>
        <v>824555627.39146</v>
      </c>
      <c r="BE171"/>
      <c r="BF171"/>
      <c r="BG171"/>
      <c r="BH171"/>
      <c r="BI171"/>
      <c r="BJ171" s="4156"/>
      <c r="BK171" s="4156"/>
    </row>
    <row r="172" ht="12" spans="2:63">
      <c r="B172" s="3315"/>
      <c r="C172" s="3609"/>
      <c r="D172" s="3609"/>
      <c r="E172" s="3609"/>
      <c r="F172" s="3609"/>
      <c r="G172" s="3609"/>
      <c r="H172" s="3609"/>
      <c r="I172" s="3609"/>
      <c r="J172" s="3609"/>
      <c r="K172" s="3609"/>
      <c r="L172" s="3609"/>
      <c r="M172" s="3609"/>
      <c r="N172" s="3609"/>
      <c r="O172" s="3609"/>
      <c r="P172" s="3609"/>
      <c r="Q172" s="3609"/>
      <c r="R172" s="3609"/>
      <c r="S172" s="3609"/>
      <c r="T172" s="3609"/>
      <c r="U172" s="3609"/>
      <c r="V172" s="3609"/>
      <c r="W172" s="3609"/>
      <c r="X172" s="3609"/>
      <c r="Y172" s="3609"/>
      <c r="Z172" s="3609"/>
      <c r="AA172" s="3609"/>
      <c r="AB172" s="3609"/>
      <c r="AC172" s="3609"/>
      <c r="AI172" s="4156"/>
      <c r="AJ172" s="4156"/>
      <c r="AK172" s="4156"/>
      <c r="AL172" s="4156"/>
      <c r="AM172" s="4156"/>
      <c r="AN172" s="4156"/>
      <c r="AP172" s="4156"/>
      <c r="AQ172" s="4156"/>
      <c r="AR172" s="4156"/>
      <c r="AS172" s="4156"/>
      <c r="AT172" s="4156"/>
      <c r="AU172" s="4156"/>
      <c r="AV172" s="4151"/>
      <c r="AW172" s="4156"/>
      <c r="AX172" s="4156"/>
      <c r="AY172" s="4156"/>
      <c r="AZ172" s="4156"/>
      <c r="BA172" s="4156"/>
      <c r="BB172" s="4156"/>
      <c r="BC172" s="4156"/>
      <c r="BD172" s="4156"/>
      <c r="BE172" s="4156"/>
      <c r="BF172" s="4156"/>
      <c r="BG172" s="4156"/>
      <c r="BH172" s="4156"/>
      <c r="BI172" s="4156"/>
      <c r="BJ172" s="4083"/>
      <c r="BK172" s="4083"/>
    </row>
    <row r="173" s="4048" customFormat="1" ht="12.75" spans="2:63">
      <c r="B173" s="5028" t="s">
        <v>617</v>
      </c>
      <c r="C173" s="3322"/>
      <c r="D173" s="3322"/>
      <c r="E173" s="3322"/>
      <c r="F173" s="3322"/>
      <c r="G173" s="3322"/>
      <c r="H173" s="3322"/>
      <c r="I173" s="3322"/>
      <c r="J173" s="3322"/>
      <c r="K173" s="3322"/>
      <c r="L173" s="3322"/>
      <c r="M173" s="3322"/>
      <c r="N173" s="3322"/>
      <c r="O173" s="3322"/>
      <c r="P173" s="3322"/>
      <c r="Q173" s="3322"/>
      <c r="R173" s="3322"/>
      <c r="S173" s="3322"/>
      <c r="T173" s="3322"/>
      <c r="U173" s="3322"/>
      <c r="V173" s="3322"/>
      <c r="W173" s="3322"/>
      <c r="X173" s="3322"/>
      <c r="Y173" s="3322"/>
      <c r="Z173" s="3322"/>
      <c r="AA173" s="3322"/>
      <c r="AB173" s="4584">
        <f>SUM(AB167:AG172)</f>
        <v>11000000000</v>
      </c>
      <c r="AC173" s="4584"/>
      <c r="AD173" s="4584"/>
      <c r="AE173" s="4584"/>
      <c r="AF173" s="4584"/>
      <c r="AG173" s="4584"/>
      <c r="AH173" s="4586"/>
      <c r="AI173" s="3324">
        <f>SUM(AI167:AN172)</f>
        <v>0</v>
      </c>
      <c r="AJ173" s="3324"/>
      <c r="AK173" s="3324"/>
      <c r="AL173" s="3324"/>
      <c r="AM173" s="3324"/>
      <c r="AN173" s="3324"/>
      <c r="AO173" s="4586"/>
      <c r="AP173" s="3324" t="e">
        <f>SUM(AP167:AU172)</f>
        <v>#REF!</v>
      </c>
      <c r="AQ173" s="3324"/>
      <c r="AR173" s="3324"/>
      <c r="AS173" s="3324"/>
      <c r="AT173" s="3324"/>
      <c r="AU173" s="3324"/>
      <c r="AV173" s="4590"/>
      <c r="AW173" s="3324">
        <f>SUM(AW169:BB172)</f>
        <v>9865490344.76497</v>
      </c>
      <c r="AX173" s="3324"/>
      <c r="AY173" s="3324"/>
      <c r="AZ173" s="3324"/>
      <c r="BA173" s="3324"/>
      <c r="BB173" s="3324"/>
      <c r="BC173" s="4591"/>
      <c r="BD173" s="3324">
        <f>SUM(BD169:BI172)</f>
        <v>17792932577.3915</v>
      </c>
      <c r="BE173" s="3324"/>
      <c r="BF173" s="3324"/>
      <c r="BG173" s="3324"/>
      <c r="BH173" s="3324"/>
      <c r="BI173" s="3324"/>
      <c r="BJ173" s="4593"/>
      <c r="BK173" s="4593"/>
    </row>
    <row r="174" ht="12.15" spans="42:63">
      <c r="AP174" s="4060"/>
      <c r="AQ174" s="4060"/>
      <c r="AR174" s="4060"/>
      <c r="AS174" s="4060"/>
      <c r="AT174" s="4060"/>
      <c r="AU174" s="4060"/>
      <c r="AV174" s="4060"/>
      <c r="AW174" s="4081"/>
      <c r="AX174" s="4081"/>
      <c r="AY174" s="4081"/>
      <c r="AZ174" s="4081"/>
      <c r="BA174" s="4081"/>
      <c r="BB174" s="4081"/>
      <c r="BC174" s="4081"/>
      <c r="BD174" s="4081"/>
      <c r="BE174" s="4081"/>
      <c r="BF174" s="4081"/>
      <c r="BG174" s="4081"/>
      <c r="BH174" s="4081"/>
      <c r="BI174" s="4081"/>
      <c r="BJ174" s="4081"/>
      <c r="BK174" s="4081"/>
    </row>
    <row r="175" spans="2:63">
      <c r="B175" s="5027" t="s">
        <v>609</v>
      </c>
      <c r="C175" s="3315"/>
      <c r="D175" s="3315"/>
      <c r="E175" s="3315"/>
      <c r="F175" s="3315"/>
      <c r="G175" s="3315"/>
      <c r="H175" s="3315"/>
      <c r="I175" s="3315"/>
      <c r="J175" s="3315"/>
      <c r="K175" s="3315"/>
      <c r="L175" s="3315"/>
      <c r="M175" s="3315"/>
      <c r="N175" s="3315"/>
      <c r="O175" s="3315"/>
      <c r="P175" s="3315"/>
      <c r="Q175" s="3315"/>
      <c r="R175" s="3315"/>
      <c r="S175" s="3315"/>
      <c r="T175" s="3315"/>
      <c r="U175" s="3315"/>
      <c r="V175" s="3315"/>
      <c r="W175" s="3315"/>
      <c r="X175" s="3315"/>
      <c r="Y175" s="3315"/>
      <c r="Z175" s="3315"/>
      <c r="AA175" s="3315"/>
      <c r="AB175" s="4583">
        <v>0</v>
      </c>
      <c r="AC175" s="4583"/>
      <c r="AD175" s="4583"/>
      <c r="AE175" s="4583"/>
      <c r="AF175" s="4583"/>
      <c r="AG175" s="4583"/>
      <c r="AH175" s="4583"/>
      <c r="AI175">
        <v>0</v>
      </c>
      <c r="AJ175"/>
      <c r="AK175"/>
      <c r="AL175"/>
      <c r="AM175"/>
      <c r="AN175"/>
      <c r="AO175" s="4583"/>
      <c r="AP175">
        <v>0</v>
      </c>
      <c r="AQ175"/>
      <c r="AR175"/>
      <c r="AS175"/>
      <c r="AT175"/>
      <c r="AU175"/>
      <c r="AV175" s="4589"/>
      <c r="AW175">
        <f>+'F2'!Q43</f>
        <v>235252916.249275</v>
      </c>
      <c r="AX175"/>
      <c r="AY175"/>
      <c r="AZ175"/>
      <c r="BA175"/>
      <c r="BB175"/>
      <c r="BC175" s="4583"/>
      <c r="BD175">
        <f>SUM(AB175:BB175)</f>
        <v>235252916.249275</v>
      </c>
      <c r="BE175"/>
      <c r="BF175"/>
      <c r="BG175"/>
      <c r="BH175"/>
      <c r="BI175"/>
      <c r="BJ175" s="4156"/>
      <c r="BK175" s="4081"/>
    </row>
    <row r="176" spans="2:63">
      <c r="B176" s="3315"/>
      <c r="C176" s="3315"/>
      <c r="D176" s="3315"/>
      <c r="E176" s="3315"/>
      <c r="F176" s="3315"/>
      <c r="G176" s="3315"/>
      <c r="H176" s="3315"/>
      <c r="I176" s="3315"/>
      <c r="J176" s="3315"/>
      <c r="K176" s="3315"/>
      <c r="L176" s="3315"/>
      <c r="M176" s="3315"/>
      <c r="N176" s="3315"/>
      <c r="O176" s="3315"/>
      <c r="P176" s="3315"/>
      <c r="Q176" s="3315"/>
      <c r="R176" s="3315"/>
      <c r="S176" s="3315"/>
      <c r="T176" s="3315"/>
      <c r="U176" s="3315"/>
      <c r="V176" s="3315"/>
      <c r="W176" s="3315"/>
      <c r="X176" s="3315"/>
      <c r="Y176" s="3315"/>
      <c r="Z176" s="3315"/>
      <c r="AA176" s="3315"/>
      <c r="AB176" s="4583"/>
      <c r="AC176" s="4583"/>
      <c r="AD176" s="4583"/>
      <c r="AE176" s="4583"/>
      <c r="AF176" s="4583"/>
      <c r="AG176" s="4583"/>
      <c r="AH176" s="4583"/>
      <c r="AI176" s="5"/>
      <c r="AJ176" s="5"/>
      <c r="AK176" s="5"/>
      <c r="AL176" s="5"/>
      <c r="AM176" s="5"/>
      <c r="AN176" s="5"/>
      <c r="AO176" s="4583"/>
      <c r="AP176" s="4583"/>
      <c r="AQ176" s="4583"/>
      <c r="AR176" s="4583"/>
      <c r="AS176" s="4583"/>
      <c r="AT176" s="4583"/>
      <c r="AU176" s="4583"/>
      <c r="AV176" s="4589"/>
      <c r="AW176" s="4583"/>
      <c r="AX176" s="4583"/>
      <c r="AY176" s="4583"/>
      <c r="AZ176" s="4583"/>
      <c r="BA176" s="4583"/>
      <c r="BB176" s="4583"/>
      <c r="BC176" s="4583"/>
      <c r="BD176" s="4583"/>
      <c r="BE176" s="4583"/>
      <c r="BF176" s="4583"/>
      <c r="BG176" s="4583"/>
      <c r="BH176" s="4583"/>
      <c r="BI176" s="4583"/>
      <c r="BJ176" s="4156"/>
      <c r="BK176" s="4081"/>
    </row>
    <row r="177" hidden="1" spans="2:63">
      <c r="B177" s="5027" t="s">
        <v>615</v>
      </c>
      <c r="C177" s="3315"/>
      <c r="D177" s="3315"/>
      <c r="E177" s="3315"/>
      <c r="F177" s="3315"/>
      <c r="G177" s="3315"/>
      <c r="H177" s="3315"/>
      <c r="I177" s="3315"/>
      <c r="J177" s="3315"/>
      <c r="K177" s="3315"/>
      <c r="L177" s="3315"/>
      <c r="M177" s="3315"/>
      <c r="N177" s="3315"/>
      <c r="O177" s="3315"/>
      <c r="P177" s="3315"/>
      <c r="Q177" s="3315"/>
      <c r="R177" s="3315"/>
      <c r="S177" s="3315"/>
      <c r="T177" s="3315"/>
      <c r="U177" s="3315"/>
      <c r="V177" s="3315"/>
      <c r="W177" s="3315"/>
      <c r="X177" s="3315"/>
      <c r="Y177" s="3315"/>
      <c r="Z177" s="3315"/>
      <c r="AA177" s="3315"/>
      <c r="AB177" s="4583">
        <v>0</v>
      </c>
      <c r="AC177" s="4583"/>
      <c r="AD177" s="4583"/>
      <c r="AE177" s="4583"/>
      <c r="AF177" s="4583"/>
      <c r="AG177" s="4583"/>
      <c r="AH177" s="4583"/>
      <c r="AI177">
        <v>0</v>
      </c>
      <c r="AJ177"/>
      <c r="AK177"/>
      <c r="AL177"/>
      <c r="AM177"/>
      <c r="AN177"/>
      <c r="AO177" s="4583"/>
      <c r="AP177">
        <v>0</v>
      </c>
      <c r="AQ177"/>
      <c r="AR177"/>
      <c r="AS177"/>
      <c r="AT177"/>
      <c r="AU177"/>
      <c r="AV177" s="4589"/>
      <c r="AW177">
        <f>'F30'!K44</f>
        <v>0</v>
      </c>
      <c r="AX177"/>
      <c r="AY177"/>
      <c r="AZ177"/>
      <c r="BA177"/>
      <c r="BB177"/>
      <c r="BC177" s="4583"/>
      <c r="BD177">
        <f>SUM(AB177:BB177)</f>
        <v>0</v>
      </c>
      <c r="BE177"/>
      <c r="BF177"/>
      <c r="BG177"/>
      <c r="BH177"/>
      <c r="BI177"/>
      <c r="BJ177" s="4156"/>
      <c r="BK177" s="4081"/>
    </row>
    <row r="178" hidden="1" spans="2:63">
      <c r="B178" s="3315"/>
      <c r="C178" s="3315"/>
      <c r="D178" s="3315"/>
      <c r="E178" s="3315"/>
      <c r="F178" s="3315"/>
      <c r="G178" s="3315"/>
      <c r="H178" s="3315"/>
      <c r="I178" s="3315"/>
      <c r="J178" s="3315"/>
      <c r="K178" s="3315"/>
      <c r="L178" s="3315"/>
      <c r="M178" s="3315"/>
      <c r="N178" s="3315"/>
      <c r="O178" s="3315"/>
      <c r="P178" s="3315"/>
      <c r="Q178" s="3315"/>
      <c r="R178" s="3315"/>
      <c r="S178" s="3315"/>
      <c r="T178" s="3315"/>
      <c r="U178" s="3315"/>
      <c r="V178" s="3315"/>
      <c r="W178" s="3315"/>
      <c r="X178" s="3315"/>
      <c r="Y178" s="3315"/>
      <c r="Z178" s="3315"/>
      <c r="AA178" s="3315"/>
      <c r="AB178" s="4583"/>
      <c r="AC178" s="4583"/>
      <c r="AD178" s="4583"/>
      <c r="AE178" s="4583"/>
      <c r="AF178" s="4583"/>
      <c r="AG178" s="4583"/>
      <c r="AH178" s="4583"/>
      <c r="AI178" s="5"/>
      <c r="AJ178" s="5"/>
      <c r="AK178" s="5"/>
      <c r="AL178" s="5"/>
      <c r="AM178" s="5"/>
      <c r="AN178" s="5"/>
      <c r="AO178" s="4583"/>
      <c r="AP178" s="4583"/>
      <c r="AQ178" s="4583"/>
      <c r="AR178" s="4583"/>
      <c r="AS178" s="4583"/>
      <c r="AT178" s="4583"/>
      <c r="AU178" s="4583"/>
      <c r="AV178" s="4589"/>
      <c r="AW178" s="4583"/>
      <c r="AX178" s="4583"/>
      <c r="AY178" s="4583"/>
      <c r="AZ178" s="4583"/>
      <c r="BA178" s="4583"/>
      <c r="BB178" s="4583"/>
      <c r="BC178" s="4583"/>
      <c r="BD178" s="4583"/>
      <c r="BE178" s="4583"/>
      <c r="BF178" s="4583"/>
      <c r="BG178" s="4583"/>
      <c r="BH178" s="4583"/>
      <c r="BI178" s="4583"/>
      <c r="BJ178" s="4156"/>
      <c r="BK178" s="4081"/>
    </row>
    <row r="179" hidden="1" spans="2:63">
      <c r="B179" s="5027" t="s">
        <v>616</v>
      </c>
      <c r="C179" s="3315"/>
      <c r="D179" s="3315"/>
      <c r="E179" s="3315"/>
      <c r="F179" s="3315"/>
      <c r="G179" s="3315"/>
      <c r="H179" s="3315"/>
      <c r="I179" s="3315"/>
      <c r="J179" s="3315"/>
      <c r="K179" s="3315"/>
      <c r="L179" s="3315"/>
      <c r="M179" s="3315"/>
      <c r="N179" s="3315"/>
      <c r="O179" s="3315"/>
      <c r="P179" s="3315"/>
      <c r="Q179" s="3315"/>
      <c r="R179" s="3315"/>
      <c r="S179" s="3315"/>
      <c r="T179" s="3315"/>
      <c r="U179" s="3315"/>
      <c r="V179" s="3315"/>
      <c r="W179" s="3315"/>
      <c r="X179" s="3315"/>
      <c r="Y179" s="3315"/>
      <c r="Z179" s="3315"/>
      <c r="AA179" s="3315"/>
      <c r="AB179" s="4583">
        <v>0</v>
      </c>
      <c r="AC179" s="4583"/>
      <c r="AD179" s="4583"/>
      <c r="AE179" s="4583"/>
      <c r="AF179" s="4583"/>
      <c r="AG179" s="4583"/>
      <c r="AH179" s="4583"/>
      <c r="AI179">
        <v>0</v>
      </c>
      <c r="AJ179"/>
      <c r="AK179"/>
      <c r="AL179"/>
      <c r="AM179"/>
      <c r="AN179"/>
      <c r="AO179" s="4583"/>
      <c r="AP179">
        <v>0</v>
      </c>
      <c r="AQ179"/>
      <c r="AR179"/>
      <c r="AS179"/>
      <c r="AT179"/>
      <c r="AU179"/>
      <c r="AV179" s="4589"/>
      <c r="AW179">
        <f>'F30'!K46</f>
        <v>0</v>
      </c>
      <c r="AX179"/>
      <c r="AY179"/>
      <c r="AZ179"/>
      <c r="BA179"/>
      <c r="BB179"/>
      <c r="BC179" s="4583"/>
      <c r="BD179">
        <f>SUM(AB179:BB179)</f>
        <v>0</v>
      </c>
      <c r="BE179"/>
      <c r="BF179"/>
      <c r="BG179"/>
      <c r="BH179"/>
      <c r="BI179"/>
      <c r="BJ179" s="4156"/>
      <c r="BK179" s="4081"/>
    </row>
    <row r="180" ht="12.75" spans="2:69">
      <c r="B180" s="5028" t="s">
        <v>619</v>
      </c>
      <c r="C180" s="3322"/>
      <c r="D180" s="3322"/>
      <c r="E180" s="3322"/>
      <c r="F180" s="3322"/>
      <c r="G180" s="3322"/>
      <c r="H180" s="3322"/>
      <c r="I180" s="3322"/>
      <c r="J180" s="3322"/>
      <c r="K180" s="3322"/>
      <c r="L180" s="3322"/>
      <c r="M180" s="3322"/>
      <c r="N180" s="3322"/>
      <c r="O180" s="3322"/>
      <c r="P180" s="3322"/>
      <c r="Q180" s="3322"/>
      <c r="R180" s="3322"/>
      <c r="S180" s="3322"/>
      <c r="T180" s="3322"/>
      <c r="U180" s="3322"/>
      <c r="V180" s="3322"/>
      <c r="W180" s="3322"/>
      <c r="X180" s="3322"/>
      <c r="Y180" s="3322"/>
      <c r="Z180" s="3322"/>
      <c r="AA180" s="3322"/>
      <c r="AB180" s="4584">
        <f>SUM(AB173:AG179)</f>
        <v>11000000000</v>
      </c>
      <c r="AC180" s="4584"/>
      <c r="AD180" s="4584"/>
      <c r="AE180" s="4584"/>
      <c r="AF180" s="4584"/>
      <c r="AG180" s="4584"/>
      <c r="AH180" s="4586"/>
      <c r="AI180" s="3324">
        <f>SUM(AI173:AN179)</f>
        <v>0</v>
      </c>
      <c r="AJ180" s="3324"/>
      <c r="AK180" s="3324"/>
      <c r="AL180" s="3324"/>
      <c r="AM180" s="3324"/>
      <c r="AN180" s="3324"/>
      <c r="AO180" s="4586"/>
      <c r="AP180" s="3324" t="e">
        <f>SUM(AP173:AU179)</f>
        <v>#REF!</v>
      </c>
      <c r="AQ180" s="3324"/>
      <c r="AR180" s="3324"/>
      <c r="AS180" s="3324"/>
      <c r="AT180" s="3324"/>
      <c r="AU180" s="3324"/>
      <c r="AV180" s="4590"/>
      <c r="AW180" s="3324">
        <f>SUM(AW173:BB179)+1</f>
        <v>10100743262.0142</v>
      </c>
      <c r="AX180" s="3324"/>
      <c r="AY180" s="3324"/>
      <c r="AZ180" s="3324"/>
      <c r="BA180" s="3324"/>
      <c r="BB180" s="3324"/>
      <c r="BC180" s="4591"/>
      <c r="BD180" s="3324">
        <f>SUM(BD173:BI179)</f>
        <v>18028185493.6407</v>
      </c>
      <c r="BE180" s="3324"/>
      <c r="BF180" s="3324"/>
      <c r="BG180" s="3324"/>
      <c r="BH180" s="3324"/>
      <c r="BI180" s="3324"/>
      <c r="BJ180" s="4081"/>
      <c r="BK180"/>
      <c r="BL180"/>
      <c r="BM180"/>
      <c r="BN180"/>
      <c r="BO180"/>
      <c r="BP180"/>
      <c r="BQ180"/>
    </row>
    <row r="181" ht="12.15" spans="42:63">
      <c r="AP181" s="4060"/>
      <c r="AQ181" s="4060"/>
      <c r="AR181" s="4060"/>
      <c r="AS181" s="4060"/>
      <c r="AT181" s="4060"/>
      <c r="AU181" s="4060"/>
      <c r="AV181" s="4060"/>
      <c r="AW181" s="4081"/>
      <c r="AX181" s="4081"/>
      <c r="AY181" s="4081"/>
      <c r="AZ181" s="4081"/>
      <c r="BA181" s="4081"/>
      <c r="BB181" s="4081"/>
      <c r="BC181" s="4081"/>
      <c r="BD181" s="4081"/>
      <c r="BE181" s="4081"/>
      <c r="BF181" s="4081"/>
      <c r="BG181" s="4081"/>
      <c r="BH181" s="4081"/>
      <c r="BI181" s="4081"/>
      <c r="BJ181" s="4081"/>
      <c r="BK181" s="4081"/>
    </row>
    <row r="182" spans="42:63">
      <c r="AP182" s="4060"/>
      <c r="AQ182" s="4060"/>
      <c r="AR182" s="4060"/>
      <c r="AS182" s="4060"/>
      <c r="AT182" s="4060"/>
      <c r="AU182" s="4060"/>
      <c r="AV182" s="4060"/>
      <c r="AW182" s="4583"/>
      <c r="AX182" s="4583"/>
      <c r="AY182" s="4583"/>
      <c r="AZ182" s="4583"/>
      <c r="BA182" s="4583"/>
      <c r="BB182" s="4583"/>
      <c r="BC182" s="4081"/>
      <c r="BD182" s="4081"/>
      <c r="BE182" s="4081"/>
      <c r="BF182" s="4081"/>
      <c r="BG182" s="4081"/>
      <c r="BH182" s="4081"/>
      <c r="BI182" s="4081"/>
      <c r="BJ182" s="4081"/>
      <c r="BK182" s="4081"/>
    </row>
    <row r="183" spans="35:63">
      <c r="AI183"/>
      <c r="AJ183"/>
      <c r="AK183"/>
      <c r="AL183"/>
      <c r="AM183"/>
      <c r="AN183"/>
      <c r="AP183" s="4060"/>
      <c r="AQ183" s="4060"/>
      <c r="AR183" s="4060"/>
      <c r="AS183" s="4060"/>
      <c r="AT183" s="4060"/>
      <c r="AU183" s="4060"/>
      <c r="AV183" s="4060"/>
      <c r="AW183" s="4583"/>
      <c r="AX183" s="4583"/>
      <c r="AY183" s="4583"/>
      <c r="AZ183" s="4583"/>
      <c r="BA183" s="4583"/>
      <c r="BB183" s="4583"/>
      <c r="BC183" s="4081"/>
      <c r="BD183" s="4081"/>
      <c r="BE183" s="4081"/>
      <c r="BF183" s="4081"/>
      <c r="BG183" s="4081"/>
      <c r="BH183" s="4081"/>
      <c r="BI183" s="4081"/>
      <c r="BJ183" s="4081"/>
      <c r="BK183" s="4081"/>
    </row>
    <row r="184" spans="42:63">
      <c r="AP184" s="4060"/>
      <c r="AQ184" s="4060"/>
      <c r="AR184" s="4060"/>
      <c r="AS184" s="4060"/>
      <c r="AT184" s="4060"/>
      <c r="AU184" s="4060"/>
      <c r="AV184" s="4060"/>
      <c r="AW184" s="4081"/>
      <c r="AX184" s="4081"/>
      <c r="AY184" s="4081"/>
      <c r="AZ184" s="4081"/>
      <c r="BA184" s="4081"/>
      <c r="BB184" s="4081"/>
      <c r="BC184" s="4081"/>
      <c r="BD184" s="4081"/>
      <c r="BE184" s="4081"/>
      <c r="BF184" s="4081"/>
      <c r="BG184" s="4081"/>
      <c r="BH184" s="4081"/>
      <c r="BI184" s="4081"/>
      <c r="BJ184" s="4081"/>
      <c r="BK184" s="4081"/>
    </row>
    <row r="185" spans="42:63">
      <c r="AP185" s="4060"/>
      <c r="AQ185" s="4060"/>
      <c r="AR185" s="4060"/>
      <c r="AS185" s="4060"/>
      <c r="AT185" s="4060"/>
      <c r="AU185" s="4060"/>
      <c r="AV185" s="4060"/>
      <c r="AW185" s="4081"/>
      <c r="AX185" s="4081"/>
      <c r="AY185" s="4081"/>
      <c r="AZ185" s="4081"/>
      <c r="BA185" s="4081"/>
      <c r="BB185" s="4081"/>
      <c r="BC185" s="4081"/>
      <c r="BD185" s="4081"/>
      <c r="BE185" s="4081"/>
      <c r="BF185" s="4081"/>
      <c r="BG185" s="4081"/>
      <c r="BH185" s="4081"/>
      <c r="BI185" s="4081"/>
      <c r="BJ185" s="4081"/>
      <c r="BK185" s="4081"/>
    </row>
    <row r="186" spans="42:63">
      <c r="AP186" s="4060"/>
      <c r="AQ186" s="4060"/>
      <c r="AR186" s="4060"/>
      <c r="AS186" s="4060"/>
      <c r="AT186" s="4060"/>
      <c r="AU186" s="4060"/>
      <c r="AV186" s="4060"/>
      <c r="AW186" s="4081"/>
      <c r="AX186" s="4081"/>
      <c r="AY186" s="4081"/>
      <c r="AZ186" s="4081"/>
      <c r="BA186" s="4081"/>
      <c r="BB186" s="4081"/>
      <c r="BC186" s="4081"/>
      <c r="BD186" s="4081"/>
      <c r="BE186" s="4081"/>
      <c r="BF186" s="4081"/>
      <c r="BG186" s="4081"/>
      <c r="BH186" s="4081"/>
      <c r="BI186" s="4081"/>
      <c r="BJ186" s="4081"/>
      <c r="BK186" s="4081"/>
    </row>
    <row r="187" ht="12" customHeight="1" spans="63:63">
      <c r="BK187" s="4081"/>
    </row>
    <row r="188" spans="42:63">
      <c r="AP188" s="4060"/>
      <c r="AQ188" s="4060"/>
      <c r="AR188" s="4060"/>
      <c r="AS188" s="4060"/>
      <c r="AT188" s="4060"/>
      <c r="AU188" s="4060"/>
      <c r="AV188" s="4060"/>
      <c r="AW188" s="4081"/>
      <c r="AX188" s="4081"/>
      <c r="AY188" s="4081"/>
      <c r="AZ188" s="4081"/>
      <c r="BA188" s="4081"/>
      <c r="BB188" s="4081"/>
      <c r="BC188" s="4081"/>
      <c r="BD188" s="4081"/>
      <c r="BE188" s="4081"/>
      <c r="BF188" s="4081"/>
      <c r="BG188" s="4081"/>
      <c r="BH188" s="4081"/>
      <c r="BI188" s="4081"/>
      <c r="BJ188" s="4081"/>
      <c r="BK188" s="4081"/>
    </row>
    <row r="189" spans="42:63">
      <c r="AP189" s="4060"/>
      <c r="AQ189" s="4060"/>
      <c r="AR189" s="4060"/>
      <c r="AS189" s="4060"/>
      <c r="AT189" s="4060"/>
      <c r="AU189" s="4060"/>
      <c r="AV189" s="4060"/>
      <c r="AW189" s="4081"/>
      <c r="AX189" s="4081"/>
      <c r="AY189" s="4081"/>
      <c r="AZ189" s="4081"/>
      <c r="BA189" s="4081"/>
      <c r="BB189" s="4081"/>
      <c r="BC189" s="4081"/>
      <c r="BD189" s="4081"/>
      <c r="BE189" s="4081"/>
      <c r="BF189" s="4081"/>
      <c r="BG189" s="4081"/>
      <c r="BH189" s="4081"/>
      <c r="BI189" s="4081"/>
      <c r="BJ189" s="4081"/>
      <c r="BK189" s="4081"/>
    </row>
    <row r="190" spans="42:63">
      <c r="AP190" s="4060"/>
      <c r="AQ190" s="4060"/>
      <c r="AR190" s="4060"/>
      <c r="AS190" s="4060"/>
      <c r="AT190" s="4060"/>
      <c r="AU190" s="4060"/>
      <c r="AV190" s="4060"/>
      <c r="AW190" s="4081"/>
      <c r="AX190" s="4081"/>
      <c r="AY190" s="4081"/>
      <c r="AZ190" s="4081"/>
      <c r="BA190" s="4081"/>
      <c r="BB190" s="4081"/>
      <c r="BC190" s="4081"/>
      <c r="BD190" s="4081"/>
      <c r="BE190" s="4081"/>
      <c r="BF190" s="4081"/>
      <c r="BG190" s="4081"/>
      <c r="BH190" s="4081"/>
      <c r="BI190" s="4081"/>
      <c r="BJ190" s="4081"/>
      <c r="BK190" s="4081"/>
    </row>
    <row r="191" spans="42:63">
      <c r="AP191" s="4060"/>
      <c r="AQ191" s="4060"/>
      <c r="AR191" s="4060"/>
      <c r="AS191" s="4060"/>
      <c r="AT191" s="4060"/>
      <c r="AU191" s="4060"/>
      <c r="AV191" s="4060"/>
      <c r="AW191" s="4081"/>
      <c r="AX191" s="4081"/>
      <c r="AY191" s="4081"/>
      <c r="AZ191" s="4081"/>
      <c r="BA191" s="4081"/>
      <c r="BB191" s="4081"/>
      <c r="BC191" s="4081"/>
      <c r="BD191" s="4081"/>
      <c r="BE191" s="4081"/>
      <c r="BF191" s="4081"/>
      <c r="BG191" s="4081"/>
      <c r="BH191" s="4081"/>
      <c r="BI191" s="4081"/>
      <c r="BJ191" s="4081"/>
      <c r="BK191" s="4081"/>
    </row>
    <row r="192" spans="42:63">
      <c r="AP192" s="4060"/>
      <c r="AQ192" s="4060"/>
      <c r="AR192" s="4060"/>
      <c r="AS192" s="4060"/>
      <c r="AT192" s="4060"/>
      <c r="AU192" s="4060"/>
      <c r="AV192" s="4060"/>
      <c r="AW192" s="4081"/>
      <c r="AX192" s="4081"/>
      <c r="AY192" s="4081"/>
      <c r="AZ192" s="4081"/>
      <c r="BA192" s="4081"/>
      <c r="BB192" s="4081"/>
      <c r="BC192" s="4081"/>
      <c r="BD192" s="4081"/>
      <c r="BE192" s="4081"/>
      <c r="BF192" s="4081"/>
      <c r="BG192" s="4081"/>
      <c r="BH192" s="4081"/>
      <c r="BI192" s="4081"/>
      <c r="BJ192" s="4081"/>
      <c r="BK192" s="4081"/>
    </row>
    <row r="193" spans="42:63">
      <c r="AP193" s="4060"/>
      <c r="AQ193" s="4060"/>
      <c r="AR193" s="4060"/>
      <c r="AS193" s="4060"/>
      <c r="AT193" s="4060"/>
      <c r="AU193" s="4060"/>
      <c r="AV193" s="4060"/>
      <c r="AW193" s="4081"/>
      <c r="AX193" s="4081"/>
      <c r="AY193" s="4081"/>
      <c r="AZ193" s="4081"/>
      <c r="BA193" s="4081"/>
      <c r="BB193" s="4081"/>
      <c r="BC193" s="4081"/>
      <c r="BD193" s="4081"/>
      <c r="BE193" s="4081"/>
      <c r="BF193" s="4081"/>
      <c r="BG193" s="4081"/>
      <c r="BH193" s="4081"/>
      <c r="BI193" s="4081"/>
      <c r="BJ193" s="4081"/>
      <c r="BK193" s="4081"/>
    </row>
    <row r="194" spans="42:63">
      <c r="AP194" s="4060"/>
      <c r="AQ194" s="4060"/>
      <c r="AR194" s="4060"/>
      <c r="AS194" s="4060"/>
      <c r="AT194" s="4060"/>
      <c r="AU194" s="4060"/>
      <c r="AV194" s="4060"/>
      <c r="AW194" s="4081"/>
      <c r="AX194" s="4081"/>
      <c r="AY194" s="4081"/>
      <c r="AZ194" s="4081"/>
      <c r="BA194" s="4081"/>
      <c r="BB194" s="4081"/>
      <c r="BC194" s="4081"/>
      <c r="BD194" s="4081"/>
      <c r="BE194" s="4081"/>
      <c r="BF194" s="4081"/>
      <c r="BG194" s="4081"/>
      <c r="BH194" s="4081"/>
      <c r="BI194" s="4081"/>
      <c r="BJ194" s="4081"/>
      <c r="BK194" s="4081"/>
    </row>
    <row r="195" spans="42:63">
      <c r="AP195" s="4060"/>
      <c r="AQ195" s="4060"/>
      <c r="AR195" s="4060"/>
      <c r="AS195" s="4060"/>
      <c r="AT195" s="4060"/>
      <c r="AU195" s="4060"/>
      <c r="AV195" s="4060"/>
      <c r="AW195" s="4081"/>
      <c r="AX195" s="4081"/>
      <c r="AY195" s="4081"/>
      <c r="AZ195" s="4081"/>
      <c r="BA195" s="4081"/>
      <c r="BB195" s="4081"/>
      <c r="BC195" s="4081"/>
      <c r="BD195" s="4081"/>
      <c r="BE195" s="4081"/>
      <c r="BF195" s="4081"/>
      <c r="BG195" s="4081"/>
      <c r="BH195" s="4081"/>
      <c r="BI195" s="4081"/>
      <c r="BJ195" s="4081"/>
      <c r="BK195" s="4081"/>
    </row>
    <row r="196" spans="42:63">
      <c r="AP196" s="4060"/>
      <c r="AQ196" s="4060"/>
      <c r="AR196" s="4060"/>
      <c r="AS196" s="4060"/>
      <c r="AT196" s="4060"/>
      <c r="AU196" s="4060"/>
      <c r="AV196" s="4060"/>
      <c r="AW196" s="4081"/>
      <c r="AX196" s="4081"/>
      <c r="AY196" s="4081"/>
      <c r="AZ196" s="4081"/>
      <c r="BA196" s="4081"/>
      <c r="BB196" s="4081"/>
      <c r="BC196" s="4081"/>
      <c r="BD196" s="4081"/>
      <c r="BE196" s="4081"/>
      <c r="BF196" s="4081"/>
      <c r="BG196" s="4081"/>
      <c r="BH196" s="4081"/>
      <c r="BI196" s="4081"/>
      <c r="BJ196" s="4081"/>
      <c r="BK196" s="4081"/>
    </row>
    <row r="197" spans="2:63">
      <c r="B197" s="3628" t="s">
        <v>480</v>
      </c>
      <c r="C197" s="3628"/>
      <c r="D197" s="3628"/>
      <c r="E197" s="3628"/>
      <c r="F197" s="3628"/>
      <c r="G197" s="3628"/>
      <c r="H197" s="3628"/>
      <c r="I197" s="3628"/>
      <c r="J197" s="3628"/>
      <c r="K197" s="3628"/>
      <c r="L197" s="3628"/>
      <c r="M197" s="3628"/>
      <c r="N197" s="3628"/>
      <c r="O197" s="3628"/>
      <c r="P197" s="3628"/>
      <c r="Q197" s="3628"/>
      <c r="R197" s="3628"/>
      <c r="S197" s="3628"/>
      <c r="T197" s="3628"/>
      <c r="U197" s="3628"/>
      <c r="V197" s="3628"/>
      <c r="W197" s="3628"/>
      <c r="X197" s="3628"/>
      <c r="Y197" s="3628"/>
      <c r="Z197" s="3628"/>
      <c r="AA197" s="3628"/>
      <c r="AB197" s="3628"/>
      <c r="AC197" s="3628"/>
      <c r="AD197" s="3628"/>
      <c r="AE197" s="3628"/>
      <c r="AF197" s="3628"/>
      <c r="AG197" s="3628"/>
      <c r="AH197" s="3628"/>
      <c r="AI197" s="3628"/>
      <c r="AJ197" s="3628"/>
      <c r="AK197" s="3628"/>
      <c r="AL197" s="3628"/>
      <c r="AM197" s="3628"/>
      <c r="AN197" s="3628"/>
      <c r="AO197" s="3628"/>
      <c r="AP197" s="3628"/>
      <c r="AQ197" s="3628"/>
      <c r="AR197" s="3628"/>
      <c r="AS197" s="3628"/>
      <c r="AT197" s="3628"/>
      <c r="AU197" s="3628"/>
      <c r="AV197" s="3628"/>
      <c r="AW197" s="3628"/>
      <c r="AX197" s="3628"/>
      <c r="AY197" s="3628"/>
      <c r="AZ197" s="3628"/>
      <c r="BA197" s="3628"/>
      <c r="BB197" s="3628"/>
      <c r="BC197" s="3628"/>
      <c r="BD197" s="3628"/>
      <c r="BE197" s="3628"/>
      <c r="BF197" s="3628"/>
      <c r="BG197" s="3628"/>
      <c r="BH197" s="3628"/>
      <c r="BI197" s="3628"/>
      <c r="BJ197" s="3628"/>
      <c r="BK197" s="4081"/>
    </row>
    <row r="198" spans="42:63">
      <c r="AP198" s="4060"/>
      <c r="AQ198" s="4060"/>
      <c r="AR198" s="4060"/>
      <c r="AS198" s="4060"/>
      <c r="AT198" s="4060"/>
      <c r="AU198" s="4060"/>
      <c r="AV198" s="4060"/>
      <c r="AW198" s="4081"/>
      <c r="AX198" s="4081"/>
      <c r="AY198" s="4081"/>
      <c r="AZ198" s="4081"/>
      <c r="BA198" s="4081"/>
      <c r="BB198" s="4081"/>
      <c r="BC198" s="4081"/>
      <c r="BD198" s="4081"/>
      <c r="BE198" s="4081"/>
      <c r="BF198" s="4081"/>
      <c r="BG198" s="4081"/>
      <c r="BH198" s="4081"/>
      <c r="BI198" s="4081"/>
      <c r="BJ198" s="4081"/>
      <c r="BK198" s="4081"/>
    </row>
    <row r="199" spans="42:63">
      <c r="AP199" s="4060"/>
      <c r="AQ199" s="4060"/>
      <c r="AR199" s="4060"/>
      <c r="AS199" s="4060"/>
      <c r="AT199" s="4060"/>
      <c r="AU199" s="4060"/>
      <c r="AV199" s="4060"/>
      <c r="AW199" s="4081"/>
      <c r="AX199" s="4081"/>
      <c r="AY199" s="4081"/>
      <c r="AZ199" s="4081"/>
      <c r="BA199" s="4081"/>
      <c r="BB199" s="4081"/>
      <c r="BC199" s="4081"/>
      <c r="BD199" s="4081"/>
      <c r="BE199" s="4081"/>
      <c r="BF199" s="4081"/>
      <c r="BG199" s="4081"/>
      <c r="BH199" s="4081"/>
      <c r="BI199" s="4081"/>
      <c r="BJ199" s="4081"/>
      <c r="BK199" s="4081"/>
    </row>
    <row r="200" spans="42:63">
      <c r="AP200" s="4060"/>
      <c r="AQ200" s="4060"/>
      <c r="AR200" s="4060"/>
      <c r="AS200" s="4060"/>
      <c r="AT200" s="4060"/>
      <c r="AU200" s="4060"/>
      <c r="AV200" s="4060"/>
      <c r="AW200" s="4081"/>
      <c r="AX200" s="4081"/>
      <c r="AY200" s="4081"/>
      <c r="AZ200" s="4081"/>
      <c r="BA200" s="4081"/>
      <c r="BB200" s="4081"/>
      <c r="BC200" s="4081"/>
      <c r="BD200" s="4081"/>
      <c r="BE200" s="4081"/>
      <c r="BF200" s="4081"/>
      <c r="BG200" s="4081"/>
      <c r="BH200" s="4081"/>
      <c r="BI200" s="4081"/>
      <c r="BJ200" s="4081"/>
      <c r="BK200" s="4081"/>
    </row>
    <row r="201" spans="42:63">
      <c r="AP201" s="4060"/>
      <c r="AQ201" s="4060"/>
      <c r="AR201" s="4060"/>
      <c r="AS201" s="4060"/>
      <c r="AT201" s="4060"/>
      <c r="AU201" s="4060"/>
      <c r="AV201" s="4060"/>
      <c r="AW201" s="4081"/>
      <c r="AX201" s="4081"/>
      <c r="AY201" s="4081"/>
      <c r="AZ201" s="4081"/>
      <c r="BA201" s="4081"/>
      <c r="BB201" s="4081"/>
      <c r="BC201" s="4081"/>
      <c r="BD201" s="4081"/>
      <c r="BE201" s="4081"/>
      <c r="BF201" s="4081"/>
      <c r="BG201" s="4081"/>
      <c r="BH201" s="4081"/>
      <c r="BI201" s="4081"/>
      <c r="BJ201" s="4081"/>
      <c r="BK201" s="4081"/>
    </row>
    <row r="202" spans="42:63">
      <c r="AP202" s="4060"/>
      <c r="AQ202" s="4060"/>
      <c r="AR202" s="4060"/>
      <c r="AS202" s="4060"/>
      <c r="AT202" s="4060"/>
      <c r="AU202" s="4060"/>
      <c r="AV202" s="4060"/>
      <c r="AW202" s="4081"/>
      <c r="AX202" s="4081"/>
      <c r="AY202" s="4081"/>
      <c r="AZ202" s="4081"/>
      <c r="BA202" s="4081"/>
      <c r="BB202" s="4081"/>
      <c r="BC202" s="4081"/>
      <c r="BD202" s="4081"/>
      <c r="BE202" s="4081"/>
      <c r="BF202" s="4081"/>
      <c r="BG202" s="4081"/>
      <c r="BH202" s="4081"/>
      <c r="BI202" s="4081"/>
      <c r="BJ202" s="4081"/>
      <c r="BK202" s="4081"/>
    </row>
    <row r="203" spans="42:63">
      <c r="AP203" s="4060"/>
      <c r="AQ203" s="4060"/>
      <c r="AR203" s="4060"/>
      <c r="AS203" s="4060"/>
      <c r="AT203" s="4060"/>
      <c r="AU203" s="4060"/>
      <c r="AV203" s="4060"/>
      <c r="AW203" s="4081"/>
      <c r="AX203" s="4081"/>
      <c r="AY203" s="4081"/>
      <c r="AZ203" s="4081"/>
      <c r="BA203" s="4081"/>
      <c r="BB203" s="4081"/>
      <c r="BC203" s="4081"/>
      <c r="BD203" s="4081"/>
      <c r="BE203" s="4081"/>
      <c r="BF203" s="4081"/>
      <c r="BG203" s="4081"/>
      <c r="BH203" s="4081"/>
      <c r="BI203" s="4081"/>
      <c r="BJ203" s="4081"/>
      <c r="BK203" s="4081"/>
    </row>
    <row r="204" spans="42:63">
      <c r="AP204" s="4060"/>
      <c r="AQ204" s="4060"/>
      <c r="AR204" s="4060"/>
      <c r="AS204" s="4060"/>
      <c r="AT204" s="4060"/>
      <c r="AU204" s="4060"/>
      <c r="AV204" s="4060"/>
      <c r="AW204" s="4081"/>
      <c r="AX204" s="4081"/>
      <c r="AY204" s="4081"/>
      <c r="AZ204" s="4081"/>
      <c r="BA204" s="4081"/>
      <c r="BB204" s="4081"/>
      <c r="BC204" s="4081"/>
      <c r="BD204" s="4081"/>
      <c r="BE204" s="4081"/>
      <c r="BF204" s="4081"/>
      <c r="BG204" s="4081"/>
      <c r="BH204" s="4081"/>
      <c r="BI204" s="4081"/>
      <c r="BJ204" s="4081"/>
      <c r="BK204" s="4081"/>
    </row>
    <row r="205" spans="2:63">
      <c r="B205" s="3609">
        <f>B130</f>
        <v>0</v>
      </c>
      <c r="AP205" s="4060"/>
      <c r="AQ205" s="4060"/>
      <c r="AR205" s="4060"/>
      <c r="AS205" s="4060"/>
      <c r="AT205" s="4060"/>
      <c r="AU205" s="4060"/>
      <c r="AV205" s="4060"/>
      <c r="AW205" s="4081"/>
      <c r="AX205" s="4081"/>
      <c r="AY205" s="4081"/>
      <c r="AZ205" s="4081"/>
      <c r="BA205" s="4081"/>
      <c r="BB205" s="4081"/>
      <c r="BC205" s="4081"/>
      <c r="BD205" s="4081"/>
      <c r="BE205" s="4081"/>
      <c r="BF205" s="4081"/>
      <c r="BG205" s="4081"/>
      <c r="BH205" s="4081"/>
      <c r="BI205" s="4081"/>
      <c r="BJ205" s="4081"/>
      <c r="BK205" s="4081"/>
    </row>
    <row r="206" spans="2:63">
      <c r="B206" s="3609"/>
      <c r="AP206" s="4060"/>
      <c r="AQ206" s="4060"/>
      <c r="AR206" s="4060"/>
      <c r="AS206" s="4060"/>
      <c r="AT206" s="4060"/>
      <c r="AU206" s="4060"/>
      <c r="AV206" s="4060"/>
      <c r="AW206" s="4081"/>
      <c r="AX206" s="4081"/>
      <c r="AY206" s="4081"/>
      <c r="AZ206" s="4081"/>
      <c r="BA206" s="4081"/>
      <c r="BB206" s="4081"/>
      <c r="BC206" s="4081"/>
      <c r="BD206" s="4081"/>
      <c r="BE206" s="4081"/>
      <c r="BF206" s="4081"/>
      <c r="BG206" s="4081"/>
      <c r="BH206" s="4081"/>
      <c r="BI206" s="4081"/>
      <c r="BJ206" s="4081"/>
      <c r="BK206" s="4081"/>
    </row>
    <row r="207" spans="42:63">
      <c r="AP207" s="4060"/>
      <c r="AQ207" s="4060"/>
      <c r="AR207" s="4060"/>
      <c r="AS207" s="4060"/>
      <c r="AT207" s="4060"/>
      <c r="AU207" s="4060"/>
      <c r="AV207" s="4060"/>
      <c r="AW207" s="4081"/>
      <c r="AX207" s="4081"/>
      <c r="AY207" s="4081"/>
      <c r="AZ207" s="4081"/>
      <c r="BA207" s="4081"/>
      <c r="BB207" s="4081"/>
      <c r="BC207" s="4081"/>
      <c r="BD207" s="4081"/>
      <c r="BE207" s="4081"/>
      <c r="BF207" s="4081"/>
      <c r="BG207" s="4081"/>
      <c r="BH207" s="4081"/>
      <c r="BI207" s="4081"/>
      <c r="BJ207" s="4081"/>
      <c r="BK207" s="4081"/>
    </row>
    <row r="208" spans="42:63">
      <c r="AP208" s="4060"/>
      <c r="AQ208" s="4060"/>
      <c r="AR208" s="4060"/>
      <c r="AS208" s="4060"/>
      <c r="AT208" s="4060"/>
      <c r="AU208" s="4060"/>
      <c r="AV208" s="4060"/>
      <c r="AW208" s="4081"/>
      <c r="AX208" s="4081"/>
      <c r="AY208" s="4081"/>
      <c r="AZ208" s="4081"/>
      <c r="BA208" s="4081"/>
      <c r="BB208" s="4081"/>
      <c r="BC208" s="4081"/>
      <c r="BD208" s="4081"/>
      <c r="BE208" s="4081"/>
      <c r="BF208" s="4081"/>
      <c r="BG208" s="4081"/>
      <c r="BH208" s="4081"/>
      <c r="BI208" s="4081"/>
      <c r="BJ208" s="4081"/>
      <c r="BK208" s="4081"/>
    </row>
    <row r="209" spans="42:63">
      <c r="AP209" s="4060"/>
      <c r="AQ209" s="4060"/>
      <c r="AR209" s="4060"/>
      <c r="AS209" s="4060"/>
      <c r="AT209" s="4060"/>
      <c r="AU209" s="4060"/>
      <c r="AV209" s="4060"/>
      <c r="AW209" s="4081"/>
      <c r="AX209" s="4081"/>
      <c r="AY209" s="4081"/>
      <c r="AZ209" s="4081"/>
      <c r="BA209" s="4081"/>
      <c r="BB209" s="4081"/>
      <c r="BC209" s="4081"/>
      <c r="BD209" s="4081"/>
      <c r="BE209" s="4081"/>
      <c r="BF209" s="4081"/>
      <c r="BG209" s="4081"/>
      <c r="BH209" s="4081"/>
      <c r="BI209" s="4081"/>
      <c r="BJ209" s="4081"/>
      <c r="BK209" s="4081"/>
    </row>
    <row r="210" spans="42:63">
      <c r="AP210" s="4060"/>
      <c r="AQ210" s="4060"/>
      <c r="AR210" s="4060"/>
      <c r="AS210" s="4060"/>
      <c r="AT210" s="4060"/>
      <c r="AU210" s="4060"/>
      <c r="AV210" s="4060"/>
      <c r="AW210" s="4081"/>
      <c r="AX210" s="4081"/>
      <c r="AY210" s="4081"/>
      <c r="AZ210" s="4081"/>
      <c r="BA210" s="4081"/>
      <c r="BB210" s="4081"/>
      <c r="BC210" s="4081"/>
      <c r="BD210" s="4081"/>
      <c r="BE210" s="4081"/>
      <c r="BF210" s="4081"/>
      <c r="BG210" s="4081"/>
      <c r="BH210" s="4081"/>
      <c r="BI210" s="4081"/>
      <c r="BJ210" s="4081"/>
      <c r="BK210" s="4081"/>
    </row>
    <row r="211" spans="2:63">
      <c r="B211" s="3609"/>
      <c r="AP211" s="4060"/>
      <c r="AQ211" s="4060"/>
      <c r="AR211" s="4060"/>
      <c r="AS211" s="4060"/>
      <c r="AT211" s="4060"/>
      <c r="AU211" s="4060"/>
      <c r="AV211" s="4060"/>
      <c r="AW211" s="4081"/>
      <c r="AX211" s="4081"/>
      <c r="AY211" s="4081"/>
      <c r="AZ211" s="4081"/>
      <c r="BA211" s="4081"/>
      <c r="BB211" s="4081"/>
      <c r="BC211" s="4081"/>
      <c r="BD211" s="4081"/>
      <c r="BE211" s="4081"/>
      <c r="BF211" s="4081"/>
      <c r="BG211" s="4081"/>
      <c r="BH211" s="4081"/>
      <c r="BI211" s="4081"/>
      <c r="BJ211" s="4081"/>
      <c r="BK211" s="4081"/>
    </row>
    <row r="212" spans="42:63">
      <c r="AP212" s="4060"/>
      <c r="AQ212" s="4060"/>
      <c r="AR212" s="4060"/>
      <c r="AS212" s="4060"/>
      <c r="AT212" s="4060"/>
      <c r="AU212" s="4060"/>
      <c r="AV212" s="4060"/>
      <c r="AW212" s="4081"/>
      <c r="AX212" s="4081"/>
      <c r="AY212" s="4081"/>
      <c r="AZ212" s="4081"/>
      <c r="BA212" s="4081"/>
      <c r="BB212" s="4081"/>
      <c r="BC212" s="4081"/>
      <c r="BD212" s="4081"/>
      <c r="BE212" s="4081"/>
      <c r="BF212" s="4081"/>
      <c r="BG212" s="4081"/>
      <c r="BH212" s="4081"/>
      <c r="BI212" s="4081"/>
      <c r="BJ212" s="4081"/>
      <c r="BK212" s="4081"/>
    </row>
    <row r="213" spans="42:63">
      <c r="AP213" s="4060"/>
      <c r="AQ213" s="4060"/>
      <c r="AR213" s="4060"/>
      <c r="AS213" s="4060"/>
      <c r="AT213" s="4060"/>
      <c r="AU213" s="4060"/>
      <c r="AV213" s="4060"/>
      <c r="AW213" s="4081"/>
      <c r="AX213" s="4081"/>
      <c r="AY213" s="4081"/>
      <c r="AZ213" s="4081"/>
      <c r="BA213" s="4081"/>
      <c r="BB213" s="4081"/>
      <c r="BC213" s="4081"/>
      <c r="BD213" s="4081"/>
      <c r="BE213" s="4081"/>
      <c r="BF213" s="4081"/>
      <c r="BG213" s="4081"/>
      <c r="BH213" s="4081"/>
      <c r="BI213" s="4081"/>
      <c r="BJ213" s="4081"/>
      <c r="BK213" s="4081"/>
    </row>
    <row r="214" spans="65:65">
      <c r="BM214" s="4595"/>
    </row>
  </sheetData>
  <mergeCells count="263">
    <mergeCell ref="AE8:AG8"/>
    <mergeCell ref="AW8:BB8"/>
    <mergeCell ref="BD8:BI8"/>
    <mergeCell ref="AE12:AG12"/>
    <mergeCell ref="AW12:BB12"/>
    <mergeCell ref="BD12:BI12"/>
    <mergeCell ref="AE13:AG13"/>
    <mergeCell ref="AW13:BB13"/>
    <mergeCell ref="BD13:BI13"/>
    <mergeCell ref="AE14:AG14"/>
    <mergeCell ref="AW14:BB14"/>
    <mergeCell ref="BD14:BI14"/>
    <mergeCell ref="AE15:AG15"/>
    <mergeCell ref="AW15:BB15"/>
    <mergeCell ref="BD15:BI15"/>
    <mergeCell ref="AE16:AG16"/>
    <mergeCell ref="AW16:BB16"/>
    <mergeCell ref="BD16:BI16"/>
    <mergeCell ref="AE17:AG17"/>
    <mergeCell ref="AW17:BB17"/>
    <mergeCell ref="BD17:BI17"/>
    <mergeCell ref="AE18:AG18"/>
    <mergeCell ref="AW18:BB18"/>
    <mergeCell ref="BD18:BI18"/>
    <mergeCell ref="AE19:AG19"/>
    <mergeCell ref="AW19:BB19"/>
    <mergeCell ref="BD19:BI19"/>
    <mergeCell ref="AW20:BB20"/>
    <mergeCell ref="BD20:BI20"/>
    <mergeCell ref="AE26:AG26"/>
    <mergeCell ref="AW26:BB26"/>
    <mergeCell ref="BD26:BI26"/>
    <mergeCell ref="AE27:AG27"/>
    <mergeCell ref="AW27:BB27"/>
    <mergeCell ref="BD27:BI27"/>
    <mergeCell ref="AE28:AG28"/>
    <mergeCell ref="AW28:BB28"/>
    <mergeCell ref="BD28:BI28"/>
    <mergeCell ref="AW29:BB29"/>
    <mergeCell ref="BD29:BI29"/>
    <mergeCell ref="AW30:BB30"/>
    <mergeCell ref="BD30:BI30"/>
    <mergeCell ref="AW32:BB32"/>
    <mergeCell ref="BD32:BI32"/>
    <mergeCell ref="AW33:BB33"/>
    <mergeCell ref="BD33:BI33"/>
    <mergeCell ref="AE37:AG37"/>
    <mergeCell ref="AW37:BB37"/>
    <mergeCell ref="BD37:BI37"/>
    <mergeCell ref="AE38:AG38"/>
    <mergeCell ref="AW38:BB38"/>
    <mergeCell ref="BD38:BI38"/>
    <mergeCell ref="AE39:AG39"/>
    <mergeCell ref="AW39:BB39"/>
    <mergeCell ref="BD39:BI39"/>
    <mergeCell ref="AE40:AG40"/>
    <mergeCell ref="AW40:BB40"/>
    <mergeCell ref="BD40:BI40"/>
    <mergeCell ref="AE41:AG41"/>
    <mergeCell ref="AW41:BB41"/>
    <mergeCell ref="BD41:BI41"/>
    <mergeCell ref="AE42:AG42"/>
    <mergeCell ref="AW42:BB42"/>
    <mergeCell ref="BD42:BI42"/>
    <mergeCell ref="AW43:BB43"/>
    <mergeCell ref="BD43:BI43"/>
    <mergeCell ref="AW44:BB44"/>
    <mergeCell ref="BD44:BI44"/>
    <mergeCell ref="AE47:AG47"/>
    <mergeCell ref="AW47:BB47"/>
    <mergeCell ref="BD47:BI47"/>
    <mergeCell ref="AE48:AG48"/>
    <mergeCell ref="AW48:BB48"/>
    <mergeCell ref="BD48:BI48"/>
    <mergeCell ref="AE49:AG49"/>
    <mergeCell ref="AW49:BB49"/>
    <mergeCell ref="BD49:BI49"/>
    <mergeCell ref="AE50:AG50"/>
    <mergeCell ref="AW50:BB50"/>
    <mergeCell ref="BD50:BI50"/>
    <mergeCell ref="AE51:AG51"/>
    <mergeCell ref="AW51:BB51"/>
    <mergeCell ref="BD51:BI51"/>
    <mergeCell ref="AW53:BB53"/>
    <mergeCell ref="BD53:BI53"/>
    <mergeCell ref="AE56:AG56"/>
    <mergeCell ref="AW56:BB56"/>
    <mergeCell ref="BD56:BI56"/>
    <mergeCell ref="AE57:AG57"/>
    <mergeCell ref="AW57:BB57"/>
    <mergeCell ref="BD57:BI57"/>
    <mergeCell ref="AW58:BB58"/>
    <mergeCell ref="BD58:BI58"/>
    <mergeCell ref="AW59:BB59"/>
    <mergeCell ref="BD59:BI59"/>
    <mergeCell ref="AW60:BB60"/>
    <mergeCell ref="BD60:BI60"/>
    <mergeCell ref="AW62:BB62"/>
    <mergeCell ref="BD62:BI62"/>
    <mergeCell ref="BD81:BI81"/>
    <mergeCell ref="AE82:AG82"/>
    <mergeCell ref="AW82:BB82"/>
    <mergeCell ref="BD82:BI82"/>
    <mergeCell ref="AE84:AG84"/>
    <mergeCell ref="AW84:BB84"/>
    <mergeCell ref="BD84:BI84"/>
    <mergeCell ref="AW85:BB85"/>
    <mergeCell ref="BD85:BI85"/>
    <mergeCell ref="AE86:AG86"/>
    <mergeCell ref="AW86:BB86"/>
    <mergeCell ref="BD86:BI86"/>
    <mergeCell ref="AW87:BB87"/>
    <mergeCell ref="BD87:BI87"/>
    <mergeCell ref="AW88:BB88"/>
    <mergeCell ref="BD88:BI88"/>
    <mergeCell ref="AW89:BB89"/>
    <mergeCell ref="BD89:BI89"/>
    <mergeCell ref="AE90:AG90"/>
    <mergeCell ref="AW90:BB90"/>
    <mergeCell ref="BD90:BI90"/>
    <mergeCell ref="AW91:BB91"/>
    <mergeCell ref="BD91:BI91"/>
    <mergeCell ref="AW92:BB92"/>
    <mergeCell ref="BD92:BI92"/>
    <mergeCell ref="AE94:AG94"/>
    <mergeCell ref="AW95:BB95"/>
    <mergeCell ref="BD95:BI95"/>
    <mergeCell ref="AW96:BB96"/>
    <mergeCell ref="BD96:BI96"/>
    <mergeCell ref="AE97:AG97"/>
    <mergeCell ref="AW97:BB97"/>
    <mergeCell ref="BD97:BI97"/>
    <mergeCell ref="AW98:BB98"/>
    <mergeCell ref="BD98:BI98"/>
    <mergeCell ref="AW100:BB100"/>
    <mergeCell ref="BD100:BI100"/>
    <mergeCell ref="AW101:BB101"/>
    <mergeCell ref="BD101:BI101"/>
    <mergeCell ref="AE102:AG102"/>
    <mergeCell ref="AW102:BB102"/>
    <mergeCell ref="BD102:BI102"/>
    <mergeCell ref="AE103:AG103"/>
    <mergeCell ref="AW103:BB103"/>
    <mergeCell ref="BD103:BI103"/>
    <mergeCell ref="AE104:AG104"/>
    <mergeCell ref="AW104:BB104"/>
    <mergeCell ref="BD104:BI104"/>
    <mergeCell ref="AE105:AG105"/>
    <mergeCell ref="AW105:BB105"/>
    <mergeCell ref="BD105:BI105"/>
    <mergeCell ref="AW106:BB106"/>
    <mergeCell ref="BD106:BI106"/>
    <mergeCell ref="AW107:BB107"/>
    <mergeCell ref="BD107:BI107"/>
    <mergeCell ref="AW108:BB108"/>
    <mergeCell ref="BD108:BI108"/>
    <mergeCell ref="AW109:BB109"/>
    <mergeCell ref="BD109:BI109"/>
    <mergeCell ref="AW110:BB110"/>
    <mergeCell ref="BD110:BI110"/>
    <mergeCell ref="AW111:BB111"/>
    <mergeCell ref="BD111:BI111"/>
    <mergeCell ref="AW112:BB112"/>
    <mergeCell ref="BD112:BI112"/>
    <mergeCell ref="AB153:AG153"/>
    <mergeCell ref="AI153:AN153"/>
    <mergeCell ref="AP153:AU153"/>
    <mergeCell ref="AW153:BB153"/>
    <mergeCell ref="BD153:BI153"/>
    <mergeCell ref="AB154:AG154"/>
    <mergeCell ref="AW154:BB154"/>
    <mergeCell ref="BD154:BI154"/>
    <mergeCell ref="AB155:AG155"/>
    <mergeCell ref="AW155:BB155"/>
    <mergeCell ref="BD155:BI155"/>
    <mergeCell ref="AB156:AG156"/>
    <mergeCell ref="AW156:BB156"/>
    <mergeCell ref="BD156:BI156"/>
    <mergeCell ref="AB157:AG157"/>
    <mergeCell ref="AW157:BB157"/>
    <mergeCell ref="BD157:BI157"/>
    <mergeCell ref="AB158:AG158"/>
    <mergeCell ref="AW158:BB158"/>
    <mergeCell ref="BD158:BI158"/>
    <mergeCell ref="AB159:AG159"/>
    <mergeCell ref="AW159:BB159"/>
    <mergeCell ref="BD159:BI159"/>
    <mergeCell ref="AB160:AG160"/>
    <mergeCell ref="AI160:AN160"/>
    <mergeCell ref="AP160:AU160"/>
    <mergeCell ref="AW160:BB160"/>
    <mergeCell ref="BD160:BI160"/>
    <mergeCell ref="AB161:AG161"/>
    <mergeCell ref="AI161:AN161"/>
    <mergeCell ref="AP161:AU161"/>
    <mergeCell ref="AW161:BB161"/>
    <mergeCell ref="BD161:BI161"/>
    <mergeCell ref="AB162:AG162"/>
    <mergeCell ref="AI162:AN162"/>
    <mergeCell ref="AP162:AU162"/>
    <mergeCell ref="AW162:BB162"/>
    <mergeCell ref="BD162:BI162"/>
    <mergeCell ref="AB164:AG164"/>
    <mergeCell ref="AI164:AN164"/>
    <mergeCell ref="AP164:AU164"/>
    <mergeCell ref="AW164:BB164"/>
    <mergeCell ref="BD164:BI164"/>
    <mergeCell ref="AB167:AG167"/>
    <mergeCell ref="AI167:AN167"/>
    <mergeCell ref="AP167:AU167"/>
    <mergeCell ref="AW167:BB167"/>
    <mergeCell ref="BD167:BI167"/>
    <mergeCell ref="AB169:AG169"/>
    <mergeCell ref="AI169:AN169"/>
    <mergeCell ref="AP169:AU169"/>
    <mergeCell ref="AW169:BB169"/>
    <mergeCell ref="BD169:BI169"/>
    <mergeCell ref="AB171:AG171"/>
    <mergeCell ref="AI171:AN171"/>
    <mergeCell ref="AP171:AU171"/>
    <mergeCell ref="AW171:BB171"/>
    <mergeCell ref="BD171:BI171"/>
    <mergeCell ref="AB173:AG173"/>
    <mergeCell ref="AI173:AN173"/>
    <mergeCell ref="AP173:AU173"/>
    <mergeCell ref="AW173:BB173"/>
    <mergeCell ref="BD173:BI173"/>
    <mergeCell ref="AB175:AG175"/>
    <mergeCell ref="AI175:AN175"/>
    <mergeCell ref="AP175:AU175"/>
    <mergeCell ref="AW175:BB175"/>
    <mergeCell ref="BD175:BI175"/>
    <mergeCell ref="AB177:AG177"/>
    <mergeCell ref="AI177:AN177"/>
    <mergeCell ref="AP177:AU177"/>
    <mergeCell ref="AW177:BB177"/>
    <mergeCell ref="BD177:BI177"/>
    <mergeCell ref="AB179:AG179"/>
    <mergeCell ref="AI179:AN179"/>
    <mergeCell ref="AP179:AU179"/>
    <mergeCell ref="AW179:BB179"/>
    <mergeCell ref="BD179:BI179"/>
    <mergeCell ref="AB180:AG180"/>
    <mergeCell ref="AI180:AN180"/>
    <mergeCell ref="AP180:AU180"/>
    <mergeCell ref="AW180:BB180"/>
    <mergeCell ref="BD180:BI180"/>
    <mergeCell ref="AW182:BB182"/>
    <mergeCell ref="AI183:AN183"/>
    <mergeCell ref="AW183:BB183"/>
    <mergeCell ref="B197:BJ197"/>
    <mergeCell ref="AW1:AX5"/>
    <mergeCell ref="AY1:BE3"/>
    <mergeCell ref="BF1:BI3"/>
    <mergeCell ref="AY4:BE5"/>
    <mergeCell ref="BF4:BI5"/>
    <mergeCell ref="B24:AC26"/>
    <mergeCell ref="BC76:BD79"/>
    <mergeCell ref="BE76:BI77"/>
    <mergeCell ref="BE78:BI79"/>
    <mergeCell ref="BC148:BD151"/>
    <mergeCell ref="BE148:BI149"/>
    <mergeCell ref="BE150:BI151"/>
  </mergeCells>
  <pageMargins left="0.590551181102362" right="0.590551181102362" top="0.78740157480315" bottom="0.590551181102362" header="0.31496062992126" footer="0.31496062992126"/>
  <pageSetup paperSize="9" scale="90" orientation="landscape"/>
  <headerFooter>
    <oddFooter>&amp;CCatatan atas laporan keuangan merupakan
bagian yang tidak terpisahkan dari laporan keuangan secara keseluruhan.
&amp;8 3</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0"/>
  <dimension ref="A2:M71"/>
  <sheetViews>
    <sheetView zoomScale="160" zoomScaleNormal="160" workbookViewId="0">
      <pane xSplit="4" ySplit="8" topLeftCell="E9" activePane="bottomRight" state="frozen"/>
      <selection/>
      <selection pane="topRight"/>
      <selection pane="bottomLeft"/>
      <selection pane="bottomRight" activeCell="D78" sqref="D78"/>
    </sheetView>
  </sheetViews>
  <sheetFormatPr defaultColWidth="9" defaultRowHeight="11.4"/>
  <cols>
    <col min="1" max="1" width="3" customWidth="1"/>
    <col min="2" max="3" width="9.13541666666667" style="64" customWidth="1"/>
    <col min="4" max="4" width="12.1354166666667" style="64" customWidth="1"/>
    <col min="5" max="5" width="22.3229166666667" style="64" customWidth="1"/>
    <col min="6" max="6" width="19.03125" style="64" customWidth="1"/>
    <col min="7" max="7" width="2.39583333333333" style="64" customWidth="1"/>
    <col min="8" max="8" width="19.03125" style="64" customWidth="1"/>
    <col min="9" max="9" width="2.39583333333333" style="64" customWidth="1"/>
    <col min="10" max="10" width="17.53125" style="64" hidden="1" customWidth="1"/>
    <col min="12" max="12" width="18.7291666666667" customWidth="1"/>
  </cols>
  <sheetData>
    <row r="2" ht="12" spans="2:3">
      <c r="B2" s="3607" t="str">
        <f>PM!F4</f>
        <v>PT INTAN GIRI ABADI</v>
      </c>
      <c r="C2" s="3606"/>
    </row>
    <row r="3" ht="12" spans="2:3">
      <c r="B3" s="5010" t="s">
        <v>288</v>
      </c>
      <c r="C3" s="3606"/>
    </row>
    <row r="4" ht="12" spans="2:3">
      <c r="B4" s="5010" t="s">
        <v>620</v>
      </c>
      <c r="C4" s="3606"/>
    </row>
    <row r="5" spans="2:3">
      <c r="B5" s="3609" t="s">
        <v>450</v>
      </c>
      <c r="C5" s="3606"/>
    </row>
    <row r="6" spans="2:10">
      <c r="B6" s="4548"/>
      <c r="C6" s="3611"/>
      <c r="D6" s="2402"/>
      <c r="E6" s="2402"/>
      <c r="F6" s="2402"/>
      <c r="G6" s="2402"/>
      <c r="H6" s="2402"/>
      <c r="I6" s="2402"/>
      <c r="J6" s="2402"/>
    </row>
    <row r="8" ht="15.6" spans="6:10">
      <c r="F8" s="5013" t="s">
        <v>451</v>
      </c>
      <c r="H8" s="5013" t="s">
        <v>452</v>
      </c>
      <c r="I8" s="4565"/>
      <c r="J8" s="5013" t="s">
        <v>453</v>
      </c>
    </row>
    <row r="10" ht="12" spans="2:3">
      <c r="B10" s="4550" t="s">
        <v>454</v>
      </c>
      <c r="C10" s="4551"/>
    </row>
    <row r="11" spans="2:10">
      <c r="B11" s="4551" t="s">
        <v>455</v>
      </c>
      <c r="C11" s="3635"/>
      <c r="F11" s="4552">
        <f>CF21!D15</f>
        <v>6560578278.6661</v>
      </c>
      <c r="H11" s="4552">
        <f>CF21!E15</f>
        <v>5579429625.11854</v>
      </c>
      <c r="I11" s="4556"/>
      <c r="J11" s="4552">
        <f>CF21!F15</f>
        <v>12546535882.1067</v>
      </c>
    </row>
    <row r="12" spans="2:10">
      <c r="B12" s="4553" t="s">
        <v>456</v>
      </c>
      <c r="C12" s="4551"/>
      <c r="F12" s="4552"/>
      <c r="H12" s="4552"/>
      <c r="I12" s="4556"/>
      <c r="J12" s="4552"/>
    </row>
    <row r="13" spans="2:12">
      <c r="B13" s="64" t="s">
        <v>398</v>
      </c>
      <c r="F13" s="64">
        <f>CF21!D29</f>
        <v>-1732597209.79022</v>
      </c>
      <c r="H13" s="64">
        <f>CF21!E29</f>
        <v>-1994850585</v>
      </c>
      <c r="I13" s="4556"/>
      <c r="J13" s="64">
        <f>CF21!F29</f>
        <v>-6720228482.94201</v>
      </c>
      <c r="L13">
        <f>L50</f>
        <v>0.197480201721191</v>
      </c>
    </row>
    <row r="14" spans="2:12">
      <c r="B14" s="64" t="s">
        <v>406</v>
      </c>
      <c r="F14" s="64">
        <f>CF21!D36</f>
        <v>-1008023336</v>
      </c>
      <c r="H14" s="64">
        <f>CF21!E36</f>
        <v>-1017271776.3</v>
      </c>
      <c r="I14" s="4556"/>
      <c r="J14" s="64">
        <f>CF21!F36</f>
        <v>-2366076218.48237</v>
      </c>
      <c r="L14">
        <f>L51</f>
        <v>-0.19326388835907</v>
      </c>
    </row>
    <row r="15" spans="2:10">
      <c r="B15" s="64" t="s">
        <v>457</v>
      </c>
      <c r="F15" s="64">
        <f>CF21!D44</f>
        <v>-138151067.64</v>
      </c>
      <c r="H15" s="64">
        <f>CF21!E44</f>
        <v>-713110863.6</v>
      </c>
      <c r="I15" s="4556"/>
      <c r="J15" s="64">
        <f>CF21!F44</f>
        <v>-633792605</v>
      </c>
    </row>
    <row r="16" customFormat="1" spans="2:10">
      <c r="B16" s="64" t="s">
        <v>458</v>
      </c>
      <c r="C16" s="64"/>
      <c r="D16" s="64"/>
      <c r="E16" s="64"/>
      <c r="F16" s="64">
        <f>+CF21!D50</f>
        <v>-341778163.5352</v>
      </c>
      <c r="G16" s="64"/>
      <c r="H16" s="64">
        <f>+CF21!E50</f>
        <v>-130887501.624398</v>
      </c>
      <c r="I16" s="4556"/>
      <c r="J16" s="64">
        <f>+CF21!F50</f>
        <v>-116843108</v>
      </c>
    </row>
    <row r="17" spans="2:10">
      <c r="B17" s="64" t="s">
        <v>414</v>
      </c>
      <c r="F17" s="64">
        <f>+CF21!D49</f>
        <v>-5261099</v>
      </c>
      <c r="H17" s="64">
        <f>+CF21!E49</f>
        <v>-18908000</v>
      </c>
      <c r="J17" s="64">
        <f>+CF21!F49</f>
        <v>-23958695</v>
      </c>
    </row>
    <row r="18" spans="2:10">
      <c r="B18" s="64" t="s">
        <v>459</v>
      </c>
      <c r="F18" s="64">
        <f>SUM(CF21!D54:D55)</f>
        <v>968019.0607</v>
      </c>
      <c r="H18" s="64">
        <f>SUM(CF21!E54:E55)</f>
        <v>11928441.05</v>
      </c>
      <c r="I18" s="4556"/>
      <c r="J18" s="64">
        <f>SUM(CF21!F54:F55)</f>
        <v>10049050</v>
      </c>
    </row>
    <row r="19" spans="2:10">
      <c r="B19" s="64" t="s">
        <v>423</v>
      </c>
      <c r="F19" s="64">
        <f>+CF21!D61</f>
        <v>-46916405.4861017</v>
      </c>
      <c r="H19" s="64">
        <f>+CF21!E61</f>
        <v>-14378554.5197069</v>
      </c>
      <c r="I19" s="3635"/>
      <c r="J19" s="64">
        <f>+CF21!F61</f>
        <v>244694886.585544</v>
      </c>
    </row>
    <row r="20" spans="6:10">
      <c r="F20" s="3635"/>
      <c r="H20" s="3635"/>
      <c r="I20" s="3635"/>
      <c r="J20" s="3635"/>
    </row>
    <row r="21" ht="12" spans="2:10">
      <c r="B21" s="4550" t="s">
        <v>460</v>
      </c>
      <c r="C21" s="3635"/>
      <c r="F21" s="4554"/>
      <c r="H21" s="4554"/>
      <c r="I21" s="4556"/>
      <c r="J21" s="4554"/>
    </row>
    <row r="22" ht="12" spans="2:10">
      <c r="B22" s="4550" t="s">
        <v>461</v>
      </c>
      <c r="F22" s="4555">
        <f>SUM(F11:F20)</f>
        <v>3288819016.27528</v>
      </c>
      <c r="H22" s="4555">
        <f>SUM(H11:H20)</f>
        <v>1701950785.12444</v>
      </c>
      <c r="I22" s="4556"/>
      <c r="J22" s="4555">
        <f>SUM(J11:J20)</f>
        <v>2940380709.26783</v>
      </c>
    </row>
    <row r="23" spans="2:10">
      <c r="B23" s="4551"/>
      <c r="C23" s="4551"/>
      <c r="F23" s="4556"/>
      <c r="H23" s="4556"/>
      <c r="I23" s="4556"/>
      <c r="J23" s="4557"/>
    </row>
    <row r="24" ht="12" spans="2:10">
      <c r="B24" s="4550" t="s">
        <v>462</v>
      </c>
      <c r="C24" s="4551"/>
      <c r="F24" s="4556"/>
      <c r="H24" s="4556"/>
      <c r="I24" s="4556"/>
      <c r="J24" s="4557"/>
    </row>
    <row r="25" spans="2:10">
      <c r="B25" s="4551" t="str">
        <f>'[69]CF arus kas'!C27</f>
        <v>Pembelian aset tetap</v>
      </c>
      <c r="F25" s="4557">
        <f>-SUM(UV!P13:P19)-SUM(UV!T13:T19)</f>
        <v>-1589217281</v>
      </c>
      <c r="H25" s="4557">
        <f>-Note22!W171</f>
        <v>-3225000</v>
      </c>
      <c r="I25" s="4556"/>
      <c r="J25" s="4557">
        <f>-Note21!W173</f>
        <v>-1600000</v>
      </c>
    </row>
    <row r="26" spans="2:10">
      <c r="B26" s="4551" t="s">
        <v>463</v>
      </c>
      <c r="F26" s="4557">
        <f>+Note22!AD145-Note22!AD153</f>
        <v>208401952.77</v>
      </c>
      <c r="H26" s="4557">
        <f>+Note22!AD171-Note22!AD179</f>
        <v>740840980.5</v>
      </c>
      <c r="I26" s="4556"/>
      <c r="J26" s="4557">
        <f>+Note21!AD173-Note21!AD181</f>
        <v>579236033.375</v>
      </c>
    </row>
    <row r="27" ht="9.2" customHeight="1" spans="2:10">
      <c r="B27" s="4551"/>
      <c r="C27" s="4551"/>
      <c r="F27" s="3635"/>
      <c r="H27" s="3635"/>
      <c r="I27" s="3635"/>
      <c r="J27" s="3635"/>
    </row>
    <row r="28" ht="12" spans="2:10">
      <c r="B28" s="4550" t="s">
        <v>460</v>
      </c>
      <c r="C28" s="4551"/>
      <c r="F28" s="4558"/>
      <c r="H28" s="4558"/>
      <c r="I28" s="4556"/>
      <c r="J28" s="4558"/>
    </row>
    <row r="29" ht="12" spans="2:10">
      <c r="B29" s="4550" t="s">
        <v>464</v>
      </c>
      <c r="F29" s="4559">
        <f>SUM(F25:F28)</f>
        <v>-1380815328.23</v>
      </c>
      <c r="H29" s="4559">
        <f>SUM(H25:H28)</f>
        <v>737615980.5</v>
      </c>
      <c r="I29" s="4556"/>
      <c r="J29" s="4559">
        <f>SUM(J25:J28)</f>
        <v>577636033.375</v>
      </c>
    </row>
    <row r="30" spans="2:10">
      <c r="B30" s="4551"/>
      <c r="C30" s="4551"/>
      <c r="F30" s="4556"/>
      <c r="H30" s="4556"/>
      <c r="I30" s="4556"/>
      <c r="J30" s="4557"/>
    </row>
    <row r="31" ht="12" spans="2:10">
      <c r="B31" s="4550" t="s">
        <v>465</v>
      </c>
      <c r="C31" s="4551"/>
      <c r="F31" s="4556"/>
      <c r="H31" s="4556"/>
      <c r="I31" s="4556"/>
      <c r="J31" s="4557"/>
    </row>
    <row r="32" spans="2:10">
      <c r="B32" s="4551" t="s">
        <v>466</v>
      </c>
      <c r="C32" s="3635"/>
      <c r="F32" s="4557">
        <f>+CF21!D87</f>
        <v>-3625095820</v>
      </c>
      <c r="H32" s="4557">
        <f>+CF21!E87</f>
        <v>-1012519257.16</v>
      </c>
      <c r="I32" s="4556"/>
      <c r="J32" s="4557">
        <f>+CF21!F87</f>
        <v>-798839010.84</v>
      </c>
    </row>
    <row r="33" customFormat="1" spans="2:10">
      <c r="B33" s="4551" t="s">
        <v>467</v>
      </c>
      <c r="C33" s="3635"/>
      <c r="D33" s="64"/>
      <c r="E33" s="64"/>
      <c r="F33" s="4557">
        <f>+CF21!D88</f>
        <v>1865513236</v>
      </c>
      <c r="G33" s="64"/>
      <c r="H33" s="4557">
        <f>+CF21!E88</f>
        <v>-1462647358.84</v>
      </c>
      <c r="I33" s="4556"/>
      <c r="J33" s="4557">
        <f>+CF21!F88</f>
        <v>-388039449.16</v>
      </c>
    </row>
    <row r="34" spans="2:10">
      <c r="B34" s="4551" t="s">
        <v>468</v>
      </c>
      <c r="F34" s="4560">
        <f>+CF21!D84</f>
        <v>-240476791.143902</v>
      </c>
      <c r="G34" s="4561"/>
      <c r="H34" s="4560">
        <f>+CF21!E84</f>
        <v>-418814436.346956</v>
      </c>
      <c r="I34" s="4556"/>
      <c r="J34" s="4557">
        <f>+CF21!F84</f>
        <v>-1922700123.36654</v>
      </c>
    </row>
    <row r="35" spans="2:10">
      <c r="B35" s="4551"/>
      <c r="C35" s="3635"/>
      <c r="F35" s="3635"/>
      <c r="H35" s="3635"/>
      <c r="I35" s="3635"/>
      <c r="J35" s="3635"/>
    </row>
    <row r="36" ht="12" spans="2:10">
      <c r="B36" s="4550" t="s">
        <v>460</v>
      </c>
      <c r="C36" s="4551"/>
      <c r="F36" s="4558"/>
      <c r="H36" s="4558"/>
      <c r="I36" s="4556"/>
      <c r="J36" s="4558"/>
    </row>
    <row r="37" ht="12" spans="2:10">
      <c r="B37" s="4550" t="s">
        <v>469</v>
      </c>
      <c r="F37" s="4559">
        <f>SUM(F32:F35)</f>
        <v>-2000059375.1439</v>
      </c>
      <c r="H37" s="4559">
        <f>SUM(H32:H35)</f>
        <v>-2893981052.34696</v>
      </c>
      <c r="I37" s="4556"/>
      <c r="J37" s="4559">
        <f>SUM(J32:J35)</f>
        <v>-3109578583.36654</v>
      </c>
    </row>
    <row r="38" ht="12" spans="2:10">
      <c r="B38" s="4550"/>
      <c r="C38" s="4551"/>
      <c r="F38" s="4556"/>
      <c r="H38" s="4556"/>
      <c r="I38" s="4556"/>
      <c r="J38" s="4557"/>
    </row>
    <row r="39" spans="2:10">
      <c r="B39" s="4551" t="s">
        <v>470</v>
      </c>
      <c r="C39" s="4551"/>
      <c r="F39" s="4557">
        <f>F22+F29+F37</f>
        <v>-92055687.098619</v>
      </c>
      <c r="H39" s="4557">
        <f>H22+H29+H37</f>
        <v>-454414286.72252</v>
      </c>
      <c r="I39" s="4556"/>
      <c r="J39" s="4557">
        <f>J22+J29+J37</f>
        <v>408438159.276286</v>
      </c>
    </row>
    <row r="40" spans="2:10">
      <c r="B40" s="4551" t="s">
        <v>471</v>
      </c>
      <c r="C40" s="4551"/>
      <c r="F40" s="4562">
        <f>H49</f>
        <v>295686160.08</v>
      </c>
      <c r="H40" s="4562">
        <f>J49</f>
        <v>750100447</v>
      </c>
      <c r="I40" s="4556"/>
      <c r="J40" s="4562">
        <f>+'FS-21'!AO11</f>
        <v>341662287.53045</v>
      </c>
    </row>
    <row r="41" ht="9.2" customHeight="1" spans="2:10">
      <c r="B41" s="4551"/>
      <c r="C41" s="4551"/>
      <c r="F41" s="4558"/>
      <c r="H41" s="4558"/>
      <c r="I41" s="4556"/>
      <c r="J41" s="4558"/>
    </row>
    <row r="42" ht="12.75" spans="2:10">
      <c r="B42" s="4551" t="s">
        <v>472</v>
      </c>
      <c r="C42" s="4551"/>
      <c r="F42" s="4563">
        <f>SUM(F39:F40)</f>
        <v>203630472.981381</v>
      </c>
      <c r="H42" s="4563">
        <f>SUM(H39:H40)</f>
        <v>295686160.27748</v>
      </c>
      <c r="I42" s="4556"/>
      <c r="J42" s="4563">
        <f>SUM(J39:J40)</f>
        <v>750100446.806736</v>
      </c>
    </row>
    <row r="43" ht="12.75" spans="2:10">
      <c r="B43" s="4550"/>
      <c r="C43" s="4551"/>
      <c r="F43" s="4556"/>
      <c r="H43" s="4556"/>
      <c r="I43" s="4556"/>
      <c r="J43" s="4557"/>
    </row>
    <row r="44" ht="12" spans="2:10">
      <c r="B44" s="4550" t="s">
        <v>473</v>
      </c>
      <c r="C44" s="4551"/>
      <c r="F44" s="4556"/>
      <c r="H44" s="4556"/>
      <c r="I44" s="4556"/>
      <c r="J44" s="4559"/>
    </row>
    <row r="45" ht="12" spans="2:10">
      <c r="B45" s="4550" t="s">
        <v>474</v>
      </c>
      <c r="F45" s="4556"/>
      <c r="H45" s="4556"/>
      <c r="I45" s="4556"/>
      <c r="J45" s="4559"/>
    </row>
    <row r="46" spans="2:10">
      <c r="B46" s="4551" t="s">
        <v>475</v>
      </c>
      <c r="F46" s="4552">
        <f>+Note22!AB11</f>
        <v>1635000</v>
      </c>
      <c r="H46" s="4552">
        <f>A!R18</f>
        <v>22220000</v>
      </c>
      <c r="J46" s="4552">
        <f>A!S18</f>
        <v>15205799.85725</v>
      </c>
    </row>
    <row r="47" spans="2:10">
      <c r="B47" s="4551" t="s">
        <v>476</v>
      </c>
      <c r="F47" s="4564">
        <f>SUM(A!L28)</f>
        <v>201995473.005</v>
      </c>
      <c r="H47" s="4564">
        <f>A!R28</f>
        <v>273466160.08</v>
      </c>
      <c r="J47" s="4564">
        <f>A!S28</f>
        <v>734894647.14275</v>
      </c>
    </row>
    <row r="48" ht="9.2" customHeight="1" spans="2:10">
      <c r="B48" s="4551"/>
      <c r="C48" s="4551"/>
      <c r="F48" s="4556"/>
      <c r="H48" s="4556"/>
      <c r="I48" s="4556"/>
      <c r="J48" s="4557"/>
    </row>
    <row r="49" ht="12" spans="2:13">
      <c r="B49" t="s">
        <v>477</v>
      </c>
      <c r="F49" s="756">
        <f>SUM(F46:F47)</f>
        <v>203630473.005</v>
      </c>
      <c r="H49" s="756">
        <f>SUM(H46:H47)</f>
        <v>295686160.08</v>
      </c>
      <c r="I49"/>
      <c r="J49" s="756">
        <f>SUM(J46:J47)</f>
        <v>750100447</v>
      </c>
      <c r="L49">
        <f>F49-F42</f>
        <v>0.0236194729804993</v>
      </c>
      <c r="M49">
        <v>2022</v>
      </c>
    </row>
    <row r="50" ht="13.2" spans="6:13">
      <c r="F50" s="2700">
        <f>+F42-F49</f>
        <v>-0.0236194729804993</v>
      </c>
      <c r="G50" s="2700"/>
      <c r="H50" s="2700">
        <f>+H42-H49</f>
        <v>0.197480201721191</v>
      </c>
      <c r="I50" s="2700">
        <f>+I42-I49</f>
        <v>0</v>
      </c>
      <c r="J50" s="2700">
        <f>+J42-J49</f>
        <v>-0.19326388835907</v>
      </c>
      <c r="L50" s="4566">
        <f>H42-H49</f>
        <v>0.197480201721191</v>
      </c>
      <c r="M50" t="s">
        <v>478</v>
      </c>
    </row>
    <row r="51" ht="13.2" spans="8:13">
      <c r="H51"/>
      <c r="I51"/>
      <c r="J51"/>
      <c r="L51" s="4566">
        <f>J42-J49</f>
        <v>-0.19326388835907</v>
      </c>
      <c r="M51" t="s">
        <v>479</v>
      </c>
    </row>
    <row r="65" spans="1:12">
      <c r="A65" s="2542" t="s">
        <v>480</v>
      </c>
      <c r="B65" s="2542"/>
      <c r="C65" s="2542"/>
      <c r="D65" s="2542"/>
      <c r="E65" s="2542"/>
      <c r="F65" s="2542"/>
      <c r="G65" s="2542"/>
      <c r="H65" s="2542"/>
      <c r="I65" s="2542"/>
      <c r="J65" s="2542"/>
      <c r="K65" s="2623"/>
      <c r="L65" s="2623"/>
    </row>
    <row r="66" spans="1:10">
      <c r="A66" s="2542" t="s">
        <v>480</v>
      </c>
      <c r="B66" s="2542"/>
      <c r="C66" s="2542"/>
      <c r="D66" s="2542"/>
      <c r="E66" s="2542"/>
      <c r="F66" s="2542"/>
      <c r="G66" s="2542"/>
      <c r="H66" s="2542"/>
      <c r="I66" s="2542"/>
      <c r="J66" s="2542"/>
    </row>
    <row r="68" spans="1:12">
      <c r="A68" s="2542" t="s">
        <v>480</v>
      </c>
      <c r="B68" s="2542"/>
      <c r="C68" s="2542"/>
      <c r="D68" s="2542"/>
      <c r="E68" s="2542"/>
      <c r="F68" s="2542"/>
      <c r="G68" s="2542"/>
      <c r="H68" s="2542"/>
      <c r="I68" s="2542"/>
      <c r="J68" s="2542"/>
      <c r="K68" s="2623"/>
      <c r="L68" s="2623"/>
    </row>
    <row r="71" spans="6:10">
      <c r="F71">
        <f>F42-F49</f>
        <v>-0.0236194729804993</v>
      </c>
      <c r="H71">
        <f>H42-H49</f>
        <v>0.197480201721191</v>
      </c>
      <c r="J71">
        <f>J42-J49</f>
        <v>-0.19326388835907</v>
      </c>
    </row>
  </sheetData>
  <mergeCells count="3">
    <mergeCell ref="A65:J65"/>
    <mergeCell ref="A66:J66"/>
    <mergeCell ref="A68:J68"/>
  </mergeCells>
  <pageMargins left="0.78740157480315" right="0.590551181102362" top="0.590551181102362" bottom="0.590551181102362" header="0.31496062992126" footer="0.31496062992126"/>
  <pageSetup paperSize="9" orientation="portrait"/>
  <headerFooter>
    <oddFooter>&amp;CCatatan atas laporan keuangan merupakan
bagian yang tidak terpisahkan dari laporan keuangan secara keseluruhan.
4</oddFooter>
  </headerFooter>
  <ignoredErrors>
    <ignoredError sqref="I8" numberStoredAsText="1"/>
  </ignoredError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rgb="FF00B0F0"/>
    <pageSetUpPr fitToPage="1"/>
  </sheetPr>
  <dimension ref="A1:IV67"/>
  <sheetViews>
    <sheetView showGridLines="0" workbookViewId="0">
      <pane xSplit="5" ySplit="9" topLeftCell="L10" activePane="bottomRight" state="frozen"/>
      <selection/>
      <selection pane="topRight"/>
      <selection pane="bottomLeft"/>
      <selection pane="bottomRight" activeCell="O39" sqref="O39"/>
    </sheetView>
  </sheetViews>
  <sheetFormatPr defaultColWidth="9.13541666666667" defaultRowHeight="13.2"/>
  <cols>
    <col min="1" max="1" width="3" style="101" customWidth="1"/>
    <col min="2" max="2" width="7.64583333333333" style="101" customWidth="1"/>
    <col min="3" max="3" width="4.19791666666667" style="101" customWidth="1"/>
    <col min="4" max="4" width="26.21875" style="101" customWidth="1"/>
    <col min="5" max="5" width="9.13541666666667" style="102" customWidth="1"/>
    <col min="6" max="6" width="17.375" style="102" customWidth="1"/>
    <col min="7" max="7" width="6.4375" style="102" customWidth="1"/>
    <col min="8" max="8" width="14.3854166666667" style="102" customWidth="1"/>
    <col min="9" max="9" width="13.6354166666667" style="102" customWidth="1"/>
    <col min="10" max="10" width="6.4375" style="102" customWidth="1"/>
    <col min="11" max="11" width="16.78125" style="102" customWidth="1"/>
    <col min="12" max="12" width="19.1770833333333" style="101" customWidth="1" outlineLevel="1"/>
    <col min="13" max="13" width="6.73958333333333" customWidth="1" outlineLevel="1"/>
    <col min="14" max="14" width="16.625" style="101" customWidth="1" outlineLevel="1"/>
    <col min="15" max="15" width="14.8333333333333" style="101" customWidth="1" outlineLevel="1"/>
    <col min="16" max="16" width="5.6875" style="101" customWidth="1" outlineLevel="1"/>
    <col min="17" max="21" width="18.7291666666667" style="101" customWidth="1"/>
    <col min="22" max="22" width="18.5833333333333" style="101" customWidth="1"/>
    <col min="23" max="23" width="8.98958333333333" style="101" customWidth="1"/>
    <col min="24" max="24" width="17.53125" style="101" customWidth="1"/>
    <col min="25" max="25" width="11.3854166666667" style="103" customWidth="1"/>
    <col min="26" max="26" width="15.7291666666667" style="101" customWidth="1"/>
    <col min="27" max="27" width="10.1875" style="101" customWidth="1"/>
    <col min="28" max="28" width="16.625" style="101" customWidth="1"/>
    <col min="29" max="29" width="9.73958333333333" style="101" customWidth="1"/>
    <col min="30" max="16384" width="9.13541666666667" style="101"/>
  </cols>
  <sheetData>
    <row r="1" spans="2:17">
      <c r="B1" s="2201"/>
      <c r="Q1" s="110"/>
    </row>
    <row r="2" ht="21" spans="2:25">
      <c r="B2" s="4208" t="str">
        <f>'F1'!B2</f>
        <v>KAP LIASTA NIRWAN SYAFRUDIN &amp; REKAN</v>
      </c>
      <c r="C2" s="4209"/>
      <c r="D2" s="4210"/>
      <c r="E2" s="4210"/>
      <c r="F2" s="4212"/>
      <c r="G2" s="4210"/>
      <c r="H2" s="4210"/>
      <c r="I2" s="4210"/>
      <c r="J2" s="4210"/>
      <c r="K2" s="4210"/>
      <c r="L2" s="4249"/>
      <c r="M2" s="4249"/>
      <c r="N2" s="4249"/>
      <c r="O2" s="4249"/>
      <c r="P2" s="4210"/>
      <c r="Q2" s="4210"/>
      <c r="R2" s="4210"/>
      <c r="S2" s="4210"/>
      <c r="T2" s="4210"/>
      <c r="U2" s="4210"/>
      <c r="V2" s="4212" t="s">
        <v>481</v>
      </c>
      <c r="W2" s="4210"/>
      <c r="X2" s="4269" t="s">
        <v>482</v>
      </c>
      <c r="Y2" s="4270" t="s">
        <v>483</v>
      </c>
    </row>
    <row r="3" ht="15.6" spans="2:25">
      <c r="B3" s="4309"/>
      <c r="C3" s="4310"/>
      <c r="D3" s="4311"/>
      <c r="E3" s="4359"/>
      <c r="F3" s="4360"/>
      <c r="G3" s="4217"/>
      <c r="H3" s="4217"/>
      <c r="I3" s="4217"/>
      <c r="J3" s="4217"/>
      <c r="K3" s="4217"/>
      <c r="L3" s="4334"/>
      <c r="M3" s="4334"/>
      <c r="N3" s="4334"/>
      <c r="O3" s="4334"/>
      <c r="P3" s="4217"/>
      <c r="Q3" s="4217"/>
      <c r="R3" s="4217"/>
      <c r="S3" s="4217"/>
      <c r="T3" s="4217"/>
      <c r="U3" s="4217"/>
      <c r="V3" s="4271"/>
      <c r="W3" s="4272"/>
      <c r="X3" s="4273">
        <v>45162</v>
      </c>
      <c r="Y3" s="4274" t="s">
        <v>621</v>
      </c>
    </row>
    <row r="4" spans="2:25">
      <c r="B4" s="4312" t="s">
        <v>622</v>
      </c>
      <c r="C4" s="4220" t="str">
        <f>+'Audit Isu'!B2</f>
        <v>PT INTAN GIRI ABADI</v>
      </c>
      <c r="D4" s="4313"/>
      <c r="E4" s="4361"/>
      <c r="F4" s="4316"/>
      <c r="G4" s="4313"/>
      <c r="H4" s="4313"/>
      <c r="I4" s="4313"/>
      <c r="J4" s="4313"/>
      <c r="K4" s="4313"/>
      <c r="L4" s="4335"/>
      <c r="M4" s="4335"/>
      <c r="N4" s="4335"/>
      <c r="O4" s="4335"/>
      <c r="P4" s="4313"/>
      <c r="Q4" s="4313"/>
      <c r="R4" s="4313"/>
      <c r="S4" s="4313"/>
      <c r="T4" s="4313"/>
      <c r="U4" s="4313"/>
      <c r="V4" s="4316" t="s">
        <v>487</v>
      </c>
      <c r="W4" s="4217"/>
      <c r="X4" s="4346" t="s">
        <v>482</v>
      </c>
      <c r="Y4" s="4354" t="s">
        <v>488</v>
      </c>
    </row>
    <row r="5" ht="9.6" customHeight="1" spans="2:25">
      <c r="B5" s="4314"/>
      <c r="C5" s="4310"/>
      <c r="D5" s="4315"/>
      <c r="E5" s="4315"/>
      <c r="F5" s="4316"/>
      <c r="G5" s="4313"/>
      <c r="H5" s="4313"/>
      <c r="I5" s="4313"/>
      <c r="J5" s="4313"/>
      <c r="K5" s="4313"/>
      <c r="L5" s="4335"/>
      <c r="M5" s="4335"/>
      <c r="N5" s="4335"/>
      <c r="O5" s="4335"/>
      <c r="P5" s="4313"/>
      <c r="Q5" s="4313"/>
      <c r="R5" s="4313"/>
      <c r="S5" s="4313"/>
      <c r="T5" s="4313"/>
      <c r="U5" s="4313"/>
      <c r="V5" s="4316"/>
      <c r="W5" s="4313"/>
      <c r="X5" s="4277"/>
      <c r="Y5" s="4278"/>
    </row>
    <row r="6" spans="2:25">
      <c r="B6" s="4316"/>
      <c r="C6" s="4214"/>
      <c r="D6" s="4313"/>
      <c r="E6" s="4313"/>
      <c r="F6" s="4316"/>
      <c r="G6" s="4313"/>
      <c r="H6" s="4313"/>
      <c r="I6" s="4313"/>
      <c r="J6" s="4313"/>
      <c r="K6" s="4313"/>
      <c r="L6" s="4335"/>
      <c r="M6" s="4335"/>
      <c r="N6" s="4335"/>
      <c r="O6" s="4335"/>
      <c r="P6" s="4313"/>
      <c r="Q6" s="4313"/>
      <c r="R6" s="4313"/>
      <c r="S6" s="4313"/>
      <c r="T6" s="4313"/>
      <c r="U6" s="4313"/>
      <c r="V6" s="4316"/>
      <c r="W6" s="4313"/>
      <c r="X6" s="4316"/>
      <c r="Y6" s="4355" t="s">
        <v>491</v>
      </c>
    </row>
    <row r="7" spans="2:25">
      <c r="B7" s="4314" t="s">
        <v>623</v>
      </c>
      <c r="C7" s="4317" t="s">
        <v>624</v>
      </c>
      <c r="D7" s="4318"/>
      <c r="E7" s="4315"/>
      <c r="F7" s="4314"/>
      <c r="G7" s="4315"/>
      <c r="H7" s="4315"/>
      <c r="I7" s="4315"/>
      <c r="J7" s="4315"/>
      <c r="K7" s="4315"/>
      <c r="L7" s="4336"/>
      <c r="M7" s="4336"/>
      <c r="N7" s="4336"/>
      <c r="O7" s="4336"/>
      <c r="P7" s="4315"/>
      <c r="Q7" s="4315"/>
      <c r="R7" s="4315"/>
      <c r="S7" s="4315"/>
      <c r="T7" s="4315"/>
      <c r="U7" s="4315"/>
      <c r="V7" s="4314"/>
      <c r="W7" s="4315"/>
      <c r="X7" s="4314"/>
      <c r="Y7" s="4280">
        <v>44926</v>
      </c>
    </row>
    <row r="8" ht="14.25" customHeight="1" spans="12:24">
      <c r="L8" s="4338"/>
      <c r="M8" s="4532"/>
      <c r="N8" s="136"/>
      <c r="O8" s="136"/>
      <c r="P8" s="186"/>
      <c r="Q8" s="4338"/>
      <c r="R8" s="4338"/>
      <c r="S8" s="4338"/>
      <c r="T8" s="4338"/>
      <c r="U8" s="4338"/>
      <c r="V8"/>
      <c r="W8"/>
      <c r="X8" s="4338"/>
    </row>
    <row r="9" spans="1:25">
      <c r="A9" s="137"/>
      <c r="B9" s="1355"/>
      <c r="C9" s="1093"/>
      <c r="D9" s="1093"/>
      <c r="E9" s="173"/>
      <c r="F9" s="4521">
        <v>44926</v>
      </c>
      <c r="G9" s="173"/>
      <c r="H9" s="28" t="s">
        <v>625</v>
      </c>
      <c r="I9" s="28" t="s">
        <v>626</v>
      </c>
      <c r="J9" s="1093"/>
      <c r="K9" s="182">
        <v>44926</v>
      </c>
      <c r="L9" s="4533">
        <v>44561</v>
      </c>
      <c r="M9" s="173"/>
      <c r="N9" s="1093"/>
      <c r="O9" s="1093"/>
      <c r="P9" s="1355"/>
      <c r="Q9" s="4533">
        <v>44561</v>
      </c>
      <c r="R9" s="4533">
        <v>44196</v>
      </c>
      <c r="S9" s="182">
        <f>+R9-366</f>
        <v>43830</v>
      </c>
      <c r="T9" s="182">
        <f>+S9-365</f>
        <v>43465</v>
      </c>
      <c r="U9" s="182">
        <f>+T9-366</f>
        <v>43099</v>
      </c>
      <c r="V9" s="182">
        <v>44926</v>
      </c>
      <c r="W9" s="183"/>
      <c r="X9" s="4521">
        <v>44561</v>
      </c>
      <c r="Y9" s="183"/>
    </row>
    <row r="10" spans="1:25">
      <c r="A10" s="137"/>
      <c r="B10" s="4522" t="s">
        <v>387</v>
      </c>
      <c r="C10" s="3954"/>
      <c r="D10" s="2919"/>
      <c r="E10" s="4523" t="s">
        <v>627</v>
      </c>
      <c r="F10" s="3317" t="s">
        <v>628</v>
      </c>
      <c r="G10" s="4363" t="s">
        <v>629</v>
      </c>
      <c r="H10" s="4364" t="s">
        <v>630</v>
      </c>
      <c r="I10" s="4365"/>
      <c r="J10" s="2660" t="s">
        <v>629</v>
      </c>
      <c r="K10" s="3456" t="s">
        <v>631</v>
      </c>
      <c r="L10" s="4363" t="s">
        <v>628</v>
      </c>
      <c r="M10" s="4363" t="s">
        <v>629</v>
      </c>
      <c r="N10" s="3317" t="s">
        <v>630</v>
      </c>
      <c r="O10" s="3317"/>
      <c r="P10" s="4364" t="s">
        <v>629</v>
      </c>
      <c r="Q10" s="4363" t="s">
        <v>631</v>
      </c>
      <c r="R10" s="4363" t="s">
        <v>628</v>
      </c>
      <c r="S10" s="4363" t="s">
        <v>628</v>
      </c>
      <c r="T10" s="4363" t="s">
        <v>628</v>
      </c>
      <c r="U10" s="4363" t="s">
        <v>631</v>
      </c>
      <c r="V10" s="4540" t="s">
        <v>632</v>
      </c>
      <c r="W10" s="2660" t="s">
        <v>633</v>
      </c>
      <c r="X10" s="2660" t="s">
        <v>632</v>
      </c>
      <c r="Y10" s="2660" t="s">
        <v>633</v>
      </c>
    </row>
    <row r="11" spans="1:25">
      <c r="A11" s="137"/>
      <c r="B11" s="1217"/>
      <c r="C11" s="1224"/>
      <c r="D11" s="1224"/>
      <c r="E11" s="308"/>
      <c r="F11" s="1224"/>
      <c r="G11" s="308"/>
      <c r="H11" s="1217"/>
      <c r="I11" s="308"/>
      <c r="J11" s="308"/>
      <c r="K11" s="1224"/>
      <c r="L11" s="308"/>
      <c r="M11" s="308"/>
      <c r="N11" s="1224"/>
      <c r="O11" s="308"/>
      <c r="P11" s="1224"/>
      <c r="Q11" s="308"/>
      <c r="R11" s="308"/>
      <c r="S11" s="1217"/>
      <c r="T11" s="1217"/>
      <c r="U11" s="1217"/>
      <c r="V11" s="1217"/>
      <c r="W11" s="308"/>
      <c r="X11" s="308"/>
      <c r="Y11" s="173"/>
    </row>
    <row r="12" spans="1:25">
      <c r="A12" s="137"/>
      <c r="B12" s="129"/>
      <c r="C12" s="130"/>
      <c r="D12" s="130"/>
      <c r="E12" s="131"/>
      <c r="F12" s="132"/>
      <c r="G12" s="131"/>
      <c r="H12" s="2205"/>
      <c r="I12" s="140"/>
      <c r="J12" s="131"/>
      <c r="K12" s="132"/>
      <c r="L12" s="335"/>
      <c r="M12" s="3948"/>
      <c r="N12" s="309"/>
      <c r="O12" s="335"/>
      <c r="P12" s="199"/>
      <c r="Q12" s="335"/>
      <c r="R12" s="335"/>
      <c r="S12" s="2344"/>
      <c r="T12" s="2344"/>
      <c r="U12" s="2344"/>
      <c r="V12" s="2344"/>
      <c r="W12" s="4288"/>
      <c r="X12" s="161"/>
      <c r="Y12" s="185"/>
    </row>
    <row r="13" spans="1:25">
      <c r="A13" s="137"/>
      <c r="B13" s="129" t="s">
        <v>393</v>
      </c>
      <c r="C13" s="298"/>
      <c r="D13" s="134"/>
      <c r="E13" s="135">
        <v>10</v>
      </c>
      <c r="F13" s="2202">
        <f>+'[75]P&amp;L22'!$F$9</f>
        <v>7376021851.59131</v>
      </c>
      <c r="G13" s="135"/>
      <c r="H13" s="2205">
        <f>'10'!H64</f>
        <v>0</v>
      </c>
      <c r="I13" s="140">
        <f>'10'!I64</f>
        <v>0</v>
      </c>
      <c r="J13" s="135"/>
      <c r="K13" s="2202">
        <f>F13-H13+I13</f>
        <v>7376021851.59131</v>
      </c>
      <c r="L13" s="2201">
        <f>+'[75]P&amp;L22'!$H$9</f>
        <v>5551498722</v>
      </c>
      <c r="M13" s="140"/>
      <c r="N13" s="2202">
        <v>0</v>
      </c>
      <c r="O13" s="2201">
        <v>0</v>
      </c>
      <c r="P13" s="137">
        <f>M13</f>
        <v>0</v>
      </c>
      <c r="Q13" s="2201">
        <f>L13-N13+O13</f>
        <v>5551498722</v>
      </c>
      <c r="R13" s="2201">
        <f>+'[75]P&amp;L22'!$I$9</f>
        <v>12507006890.5</v>
      </c>
      <c r="S13" s="4342">
        <f>+'[75]P&amp;L22'!J9</f>
        <v>15876744367</v>
      </c>
      <c r="T13" s="4342">
        <f>+'[75]P&amp;L22'!K9</f>
        <v>16194648340</v>
      </c>
      <c r="U13" s="4342">
        <f>+'[75]P&amp;L22'!L9</f>
        <v>14394528943</v>
      </c>
      <c r="V13" s="184">
        <f>F13-Q13</f>
        <v>1824523129.59131</v>
      </c>
      <c r="W13" s="4288">
        <f>IF(Q13=0,IF(Q13=0,1,V13/V13),V13/Q13)</f>
        <v>0.328654156464257</v>
      </c>
      <c r="X13" s="161">
        <f>L13-R13</f>
        <v>-6955508168.5</v>
      </c>
      <c r="Y13" s="4290">
        <f>IF(R13=0,IF(R13=0,1,X13/X13),X13/R13)</f>
        <v>-0.55612891472725</v>
      </c>
    </row>
    <row r="14" spans="1:25">
      <c r="A14" s="137"/>
      <c r="B14" s="184"/>
      <c r="C14" s="208"/>
      <c r="D14" s="134"/>
      <c r="E14" s="135"/>
      <c r="F14" s="136"/>
      <c r="G14" s="135"/>
      <c r="H14" s="2205"/>
      <c r="I14" s="140"/>
      <c r="J14" s="135"/>
      <c r="K14" s="2202"/>
      <c r="L14" s="2201"/>
      <c r="M14" s="161"/>
      <c r="N14" s="2202"/>
      <c r="O14" s="2201"/>
      <c r="P14" s="139"/>
      <c r="Q14" s="2201"/>
      <c r="R14" s="2201"/>
      <c r="S14" s="4342"/>
      <c r="T14" s="4342"/>
      <c r="U14" s="4342"/>
      <c r="V14" s="184"/>
      <c r="W14" s="4288"/>
      <c r="X14" s="156"/>
      <c r="Y14" s="4290"/>
    </row>
    <row r="15" spans="1:25">
      <c r="A15" s="137"/>
      <c r="B15" s="129" t="s">
        <v>634</v>
      </c>
      <c r="C15" s="298"/>
      <c r="D15" s="134"/>
      <c r="E15" s="4368">
        <v>20</v>
      </c>
      <c r="F15" s="2202">
        <f>+'[75]P&amp;L22'!$F$18</f>
        <v>3053000539</v>
      </c>
      <c r="G15" s="135"/>
      <c r="H15" s="2205">
        <f>'20'!H25</f>
        <v>0</v>
      </c>
      <c r="I15" s="140">
        <f>'20'!I25</f>
        <v>0</v>
      </c>
      <c r="J15" s="135"/>
      <c r="K15" s="2202">
        <f>F15+H15-I15</f>
        <v>3053000539</v>
      </c>
      <c r="L15" s="2201">
        <f>+'[75]P&amp;L22'!$H$14</f>
        <v>3061286269</v>
      </c>
      <c r="M15" s="140"/>
      <c r="N15" s="2202">
        <v>0</v>
      </c>
      <c r="O15" s="2201">
        <f>'20'!O25</f>
        <v>0</v>
      </c>
      <c r="P15" s="139"/>
      <c r="Q15" s="2201">
        <f>L15-N15+O15</f>
        <v>3061286269</v>
      </c>
      <c r="R15" s="2201">
        <f>+'[75]P&amp;L22'!$I$14</f>
        <v>9124465383.46196</v>
      </c>
      <c r="S15" s="4342">
        <f>+'[75]P&amp;L22'!J14</f>
        <v>11397279711.2933</v>
      </c>
      <c r="T15" s="4342">
        <f>+'[75]P&amp;L22'!K14</f>
        <v>11797047243</v>
      </c>
      <c r="U15" s="4342">
        <f>+'[75]P&amp;L22'!L14</f>
        <v>10273865106</v>
      </c>
      <c r="V15" s="184">
        <f>F15-Q15</f>
        <v>-8285730</v>
      </c>
      <c r="W15" s="4288">
        <f>IF(Q15=0,IF(Q15=0,1,V15/V15),V15/Q15)</f>
        <v>-0.00270661717719938</v>
      </c>
      <c r="X15" s="161">
        <f>L15-R15</f>
        <v>-6063179114.46196</v>
      </c>
      <c r="Y15" s="4290">
        <f>IF(R15=0,IF(R15=0,1,X15/X15),X15/R15)</f>
        <v>-0.664496916767467</v>
      </c>
    </row>
    <row r="16" customFormat="1" spans="2:25">
      <c r="B16" s="184"/>
      <c r="C16" s="101"/>
      <c r="D16" s="101"/>
      <c r="E16" s="161"/>
      <c r="F16" s="101"/>
      <c r="G16" s="161"/>
      <c r="H16" s="184"/>
      <c r="I16" s="161"/>
      <c r="J16" s="161"/>
      <c r="K16" s="101"/>
      <c r="L16" s="161"/>
      <c r="M16" s="161"/>
      <c r="N16" s="101"/>
      <c r="O16" s="161"/>
      <c r="P16" s="101"/>
      <c r="Q16" s="161"/>
      <c r="R16" s="161"/>
      <c r="S16" s="184"/>
      <c r="T16" s="184"/>
      <c r="U16" s="184"/>
      <c r="V16" s="184"/>
      <c r="W16" s="161"/>
      <c r="X16" s="161"/>
      <c r="Y16" s="191"/>
    </row>
    <row r="17" s="260" customFormat="1" spans="1:256">
      <c r="A17" s="137"/>
      <c r="B17" s="1225"/>
      <c r="C17" s="205" t="s">
        <v>635</v>
      </c>
      <c r="D17" s="205"/>
      <c r="E17" s="206"/>
      <c r="F17" s="4524">
        <f>F13-F15</f>
        <v>4323021312.59131</v>
      </c>
      <c r="G17" s="135"/>
      <c r="H17" s="2205"/>
      <c r="I17" s="140"/>
      <c r="J17" s="135"/>
      <c r="K17" s="4524">
        <f>K13-K15</f>
        <v>4323021312.59131</v>
      </c>
      <c r="L17" s="4379">
        <f>L13-L15</f>
        <v>2490212453</v>
      </c>
      <c r="M17" s="200"/>
      <c r="N17" s="4392">
        <f>SUM(N13:N15)</f>
        <v>0</v>
      </c>
      <c r="O17" s="4379">
        <f>SUM(O13:O15)</f>
        <v>0</v>
      </c>
      <c r="P17" s="199"/>
      <c r="Q17" s="4379">
        <f>Q13-Q15</f>
        <v>2490212453</v>
      </c>
      <c r="R17" s="363">
        <f>R13-R15</f>
        <v>3382541507.03804</v>
      </c>
      <c r="S17" s="363">
        <f>S13-S15</f>
        <v>4479464655.70665</v>
      </c>
      <c r="T17" s="207">
        <f>T13-T15</f>
        <v>4397601097</v>
      </c>
      <c r="U17" s="260">
        <f>U13-U15</f>
        <v>4120663837</v>
      </c>
      <c r="V17" s="207">
        <f>F17-Q17</f>
        <v>1832808859.59131</v>
      </c>
      <c r="W17">
        <f>IF(Q17=0,IF(Q17=0,1,V17/V17),V17/Q17)</f>
        <v>0.736005017316212</v>
      </c>
      <c r="X17" s="207">
        <f>L17-R17</f>
        <v>-892329054.03804</v>
      </c>
      <c r="Y17" s="4290">
        <f>IF(R17=0,IF(R17=0,1,X17/X17),X17/R17)</f>
        <v>-0.26380431760597</v>
      </c>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c r="BB17" s="100"/>
      <c r="BC17" s="100"/>
      <c r="BD17" s="100"/>
      <c r="BE17" s="100"/>
      <c r="BF17" s="100"/>
      <c r="BG17" s="100"/>
      <c r="BH17" s="100"/>
      <c r="BI17" s="100"/>
      <c r="BJ17" s="100"/>
      <c r="BK17" s="100"/>
      <c r="BL17" s="100"/>
      <c r="BM17" s="100"/>
      <c r="BN17" s="100"/>
      <c r="BO17" s="100"/>
      <c r="BP17" s="100"/>
      <c r="BQ17" s="100"/>
      <c r="BR17" s="100"/>
      <c r="BS17" s="100"/>
      <c r="BT17" s="100"/>
      <c r="BU17" s="100"/>
      <c r="BV17" s="100"/>
      <c r="BW17" s="100"/>
      <c r="BX17" s="100"/>
      <c r="BY17" s="100"/>
      <c r="BZ17" s="100"/>
      <c r="CA17" s="100"/>
      <c r="CB17" s="100"/>
      <c r="CC17" s="100"/>
      <c r="CD17" s="100"/>
      <c r="CE17" s="100"/>
      <c r="CF17" s="100"/>
      <c r="CG17" s="100"/>
      <c r="CH17" s="100"/>
      <c r="CI17" s="100"/>
      <c r="CJ17" s="100"/>
      <c r="CK17" s="100"/>
      <c r="CL17" s="100"/>
      <c r="CM17" s="100"/>
      <c r="CN17" s="100"/>
      <c r="CO17" s="100"/>
      <c r="CP17" s="100"/>
      <c r="CQ17" s="100"/>
      <c r="CR17" s="100"/>
      <c r="CS17" s="100"/>
      <c r="CT17" s="100"/>
      <c r="CU17" s="100"/>
      <c r="CV17" s="100"/>
      <c r="CW17" s="100"/>
      <c r="CX17" s="100"/>
      <c r="CY17" s="100"/>
      <c r="CZ17" s="100"/>
      <c r="DA17" s="100"/>
      <c r="DB17" s="100"/>
      <c r="DC17" s="100"/>
      <c r="DD17" s="100"/>
      <c r="DE17" s="100"/>
      <c r="DF17" s="100"/>
      <c r="DG17" s="100"/>
      <c r="DH17" s="100"/>
      <c r="DI17" s="100"/>
      <c r="DJ17" s="100"/>
      <c r="DK17" s="100"/>
      <c r="DL17" s="100"/>
      <c r="DM17" s="100"/>
      <c r="DN17" s="100"/>
      <c r="DO17" s="100"/>
      <c r="DP17" s="100"/>
      <c r="DQ17" s="100"/>
      <c r="DR17" s="100"/>
      <c r="DS17" s="100"/>
      <c r="DT17" s="100"/>
      <c r="DU17" s="100"/>
      <c r="DV17" s="100"/>
      <c r="DW17" s="100"/>
      <c r="DX17" s="100"/>
      <c r="DY17" s="100"/>
      <c r="DZ17" s="100"/>
      <c r="EA17" s="100"/>
      <c r="EB17" s="100"/>
      <c r="EC17" s="100"/>
      <c r="ED17" s="100"/>
      <c r="EE17" s="100"/>
      <c r="EF17" s="100"/>
      <c r="EG17" s="100"/>
      <c r="EH17" s="100"/>
      <c r="EI17" s="100"/>
      <c r="EJ17" s="100"/>
      <c r="EK17" s="100"/>
      <c r="EL17" s="100"/>
      <c r="EM17" s="100"/>
      <c r="EN17" s="100"/>
      <c r="EO17" s="100"/>
      <c r="EP17" s="100"/>
      <c r="EQ17" s="100"/>
      <c r="ER17" s="100"/>
      <c r="ES17" s="100"/>
      <c r="ET17" s="100"/>
      <c r="EU17" s="100"/>
      <c r="EV17" s="100"/>
      <c r="EW17" s="100"/>
      <c r="EX17" s="100"/>
      <c r="EY17" s="100"/>
      <c r="EZ17" s="100"/>
      <c r="FA17" s="100"/>
      <c r="FB17" s="100"/>
      <c r="FC17" s="100"/>
      <c r="FD17" s="100"/>
      <c r="FE17" s="100"/>
      <c r="FF17" s="100"/>
      <c r="FG17" s="100"/>
      <c r="FH17" s="100"/>
      <c r="FI17" s="100"/>
      <c r="FJ17" s="100"/>
      <c r="FK17" s="100"/>
      <c r="FL17" s="100"/>
      <c r="FM17" s="100"/>
      <c r="FN17" s="100"/>
      <c r="FO17" s="100"/>
      <c r="FP17" s="100"/>
      <c r="FQ17" s="100"/>
      <c r="FR17" s="100"/>
      <c r="FS17" s="100"/>
      <c r="FT17" s="100"/>
      <c r="FU17" s="100"/>
      <c r="FV17" s="100"/>
      <c r="FW17" s="100"/>
      <c r="FX17" s="100"/>
      <c r="FY17" s="100"/>
      <c r="FZ17" s="100"/>
      <c r="GA17" s="100"/>
      <c r="GB17" s="100"/>
      <c r="GC17" s="100"/>
      <c r="GD17" s="100"/>
      <c r="GE17" s="100"/>
      <c r="GF17" s="100"/>
      <c r="GG17" s="100"/>
      <c r="GH17" s="100"/>
      <c r="GI17" s="100"/>
      <c r="GJ17" s="100"/>
      <c r="GK17" s="100"/>
      <c r="GL17" s="100"/>
      <c r="GM17" s="100"/>
      <c r="GN17" s="100"/>
      <c r="GO17" s="100"/>
      <c r="GP17" s="100"/>
      <c r="GQ17" s="100"/>
      <c r="GR17" s="100"/>
      <c r="GS17" s="100"/>
      <c r="GT17" s="100"/>
      <c r="GU17" s="100"/>
      <c r="GV17" s="100"/>
      <c r="GW17" s="100"/>
      <c r="GX17" s="100"/>
      <c r="GY17" s="100"/>
      <c r="GZ17" s="100"/>
      <c r="HA17" s="100"/>
      <c r="HB17" s="100"/>
      <c r="HC17" s="100"/>
      <c r="HD17" s="100"/>
      <c r="HE17" s="100"/>
      <c r="HF17" s="100"/>
      <c r="HG17" s="100"/>
      <c r="HH17" s="100"/>
      <c r="HI17" s="100"/>
      <c r="HJ17" s="100"/>
      <c r="HK17" s="100"/>
      <c r="HL17" s="100"/>
      <c r="HM17" s="100"/>
      <c r="HN17" s="100"/>
      <c r="HO17" s="100"/>
      <c r="HP17" s="100"/>
      <c r="HQ17" s="100"/>
      <c r="HR17" s="100"/>
      <c r="HS17" s="100"/>
      <c r="HT17" s="100"/>
      <c r="HU17" s="100"/>
      <c r="HV17" s="100"/>
      <c r="HW17" s="100"/>
      <c r="HX17" s="100"/>
      <c r="HY17" s="100"/>
      <c r="HZ17" s="100"/>
      <c r="IA17" s="100"/>
      <c r="IB17" s="100"/>
      <c r="IC17" s="100"/>
      <c r="ID17" s="100"/>
      <c r="IE17" s="100"/>
      <c r="IF17" s="100"/>
      <c r="IG17" s="100"/>
      <c r="IH17" s="100"/>
      <c r="II17" s="100"/>
      <c r="IJ17" s="100"/>
      <c r="IK17" s="100"/>
      <c r="IL17" s="100"/>
      <c r="IM17" s="100"/>
      <c r="IN17" s="100"/>
      <c r="IO17" s="100"/>
      <c r="IP17" s="100"/>
      <c r="IQ17" s="100"/>
      <c r="IR17" s="100"/>
      <c r="IS17" s="100"/>
      <c r="IT17" s="100"/>
      <c r="IU17" s="100"/>
      <c r="IV17" s="100"/>
    </row>
    <row r="18" customFormat="1" spans="5:24">
      <c r="E18" s="4244"/>
      <c r="G18" s="4244"/>
      <c r="I18" s="4244"/>
      <c r="J18" s="4244"/>
      <c r="K18">
        <f>+K17/$K$13</f>
        <v>0.586091174832767</v>
      </c>
      <c r="L18">
        <f>+L17/$L$13</f>
        <v>0.448565797760441</v>
      </c>
      <c r="M18" s="4244"/>
      <c r="O18" s="4244"/>
      <c r="Q18">
        <f>+Q17/$Q$13</f>
        <v>0.448565797760441</v>
      </c>
      <c r="R18">
        <f>+R17/$R$13</f>
        <v>0.270451718516868</v>
      </c>
      <c r="S18">
        <f>+S17/$R$13</f>
        <v>0.358156407438229</v>
      </c>
      <c r="T18">
        <f>+T17/$R$13</f>
        <v>0.351610991782559</v>
      </c>
      <c r="U18">
        <f>+U17/$R$13</f>
        <v>0.329468423026931</v>
      </c>
      <c r="V18">
        <f>+V17/$V$13</f>
        <v>1.00454131266719</v>
      </c>
      <c r="X18">
        <f>+X17/$X$13</f>
        <v>0.128290993615564</v>
      </c>
    </row>
    <row r="19" spans="1:25">
      <c r="A19" s="137"/>
      <c r="B19" s="129" t="s">
        <v>636</v>
      </c>
      <c r="C19" s="137"/>
      <c r="D19" s="134"/>
      <c r="E19" s="135"/>
      <c r="F19" s="2202">
        <f>+'[75]P&amp;L22'!$F$24</f>
        <v>14200000</v>
      </c>
      <c r="G19" s="135"/>
      <c r="H19" s="2205">
        <f>'40'!H24</f>
        <v>0</v>
      </c>
      <c r="I19" s="140">
        <f>'40'!I24</f>
        <v>0</v>
      </c>
      <c r="J19" s="135"/>
      <c r="K19" s="2202">
        <f>F19+H19-I19</f>
        <v>14200000</v>
      </c>
      <c r="L19" s="2201">
        <v>137331501</v>
      </c>
      <c r="M19" s="140"/>
      <c r="N19" s="4342">
        <f>SUM('40'!N15:N21)</f>
        <v>0</v>
      </c>
      <c r="O19" s="2201">
        <f>SUM('40'!O15:O21)</f>
        <v>0</v>
      </c>
      <c r="P19" s="139"/>
      <c r="Q19" s="2201">
        <f>L19-N19+O19</f>
        <v>137331501</v>
      </c>
      <c r="R19" s="4342">
        <v>270992605</v>
      </c>
      <c r="S19" s="4342">
        <f>+'[75]P&amp;L22'!J24</f>
        <v>505425621</v>
      </c>
      <c r="T19" s="2201">
        <f>+'[75]P&amp;L22'!K24</f>
        <v>447596315</v>
      </c>
      <c r="U19" s="2202">
        <f>+'[75]P&amp;L22'!L24</f>
        <v>480673904</v>
      </c>
      <c r="V19" s="161">
        <f>F19-Q19</f>
        <v>-123131501</v>
      </c>
      <c r="W19">
        <f>IF(Q19=0,IF(Q19=0,1,V19/V19),V19/Q19)</f>
        <v>-0.89660056216818</v>
      </c>
      <c r="X19" s="161">
        <f>L19-R19</f>
        <v>-133661104</v>
      </c>
      <c r="Y19" s="4290">
        <f>IF(R19=0,IF(R19=0,1,X19/X19),X19/R19)</f>
        <v>-0.493227865018678</v>
      </c>
    </row>
    <row r="20" spans="1:25">
      <c r="A20" s="137"/>
      <c r="B20" s="129" t="s">
        <v>637</v>
      </c>
      <c r="C20" s="137"/>
      <c r="D20" s="134"/>
      <c r="E20" s="135">
        <v>40</v>
      </c>
      <c r="F20" s="2202">
        <f>+'[75]P&amp;L22'!$F$25+'[75]P&amp;L22'!$F$26</f>
        <v>1279558550.03395</v>
      </c>
      <c r="G20" s="135"/>
      <c r="H20" s="2205">
        <f>'40'!H37</f>
        <v>0</v>
      </c>
      <c r="I20" s="140">
        <f>'40'!I37</f>
        <v>28200472.36</v>
      </c>
      <c r="J20" s="135"/>
      <c r="K20" s="2202">
        <f>F20+H20-I20</f>
        <v>1251358077.67395</v>
      </c>
      <c r="L20" s="2201">
        <f>598539233+753412610</f>
        <v>1351951843</v>
      </c>
      <c r="M20" s="140"/>
      <c r="N20" s="4342">
        <f>'40'!N39</f>
        <v>0</v>
      </c>
      <c r="O20" s="2201">
        <f>'40'!O39</f>
        <v>0</v>
      </c>
      <c r="P20" s="139"/>
      <c r="Q20" s="2201">
        <f>L20-N20+O20</f>
        <v>1351951843</v>
      </c>
      <c r="R20" s="4342">
        <f>+'[75]P&amp;L22'!$I$25+'[75]P&amp;L22'!$I$26</f>
        <v>1391894223.03805</v>
      </c>
      <c r="S20" s="4342">
        <f>+'[75]P&amp;L22'!J25+'[75]P&amp;L22'!J26</f>
        <v>2628325222.82065</v>
      </c>
      <c r="T20" s="2201">
        <f>+'[75]P&amp;L22'!K25+'[75]P&amp;L22'!K26</f>
        <v>2439145659</v>
      </c>
      <c r="U20" s="2202">
        <f>+'[75]P&amp;L22'!L25+'[75]P&amp;L22'!L26</f>
        <v>2121194018</v>
      </c>
      <c r="V20" s="161">
        <f>F20-Q20</f>
        <v>-72393292.9660521</v>
      </c>
      <c r="W20">
        <f>IF(Q20=0,IF(Q20=0,1,V20/V20),V20/Q20)</f>
        <v>-0.0535472423377229</v>
      </c>
      <c r="X20" s="161">
        <f>L20-R20</f>
        <v>-39942380.0380454</v>
      </c>
      <c r="Y20" s="4290">
        <f>IF(R20=0,IF(R20=0,1,X20/X20),X20/R20)</f>
        <v>-0.0286964191509211</v>
      </c>
    </row>
    <row r="21" ht="6.95" customHeight="1" spans="1:25">
      <c r="A21" s="137"/>
      <c r="B21" s="141"/>
      <c r="C21" s="110"/>
      <c r="D21" s="146"/>
      <c r="E21" s="147"/>
      <c r="F21" s="143"/>
      <c r="G21" s="147"/>
      <c r="H21" s="184"/>
      <c r="I21" s="140"/>
      <c r="J21" s="147"/>
      <c r="K21" s="148"/>
      <c r="L21" s="2204"/>
      <c r="M21" s="161"/>
      <c r="N21" s="4534"/>
      <c r="O21" s="2204"/>
      <c r="Q21" s="2204"/>
      <c r="R21" s="109"/>
      <c r="S21" s="109"/>
      <c r="T21" s="143"/>
      <c r="U21" s="110"/>
      <c r="V21" s="143"/>
      <c r="W21" s="304"/>
      <c r="X21" s="143"/>
      <c r="Y21" s="4290"/>
    </row>
    <row r="22" spans="1:25">
      <c r="A22" s="137"/>
      <c r="B22" s="138"/>
      <c r="C22" s="134"/>
      <c r="D22" s="134" t="s">
        <v>412</v>
      </c>
      <c r="E22" s="161"/>
      <c r="F22" s="137">
        <f>SUM(F19:F20)</f>
        <v>1293758550.03395</v>
      </c>
      <c r="G22" s="161"/>
      <c r="H22" s="231"/>
      <c r="I22" s="174"/>
      <c r="J22" s="161"/>
      <c r="K22" s="137">
        <f>SUM(K19:K20)</f>
        <v>1265558077.67395</v>
      </c>
      <c r="L22" s="161">
        <f>SUM(L19:L20)</f>
        <v>1489283344</v>
      </c>
      <c r="M22" s="140"/>
      <c r="N22" s="184">
        <f>SUM(N19:N20)</f>
        <v>0</v>
      </c>
      <c r="O22" s="161">
        <f>SUM(O19:O20)</f>
        <v>0</v>
      </c>
      <c r="P22" s="139"/>
      <c r="Q22" s="161">
        <f>SUM(Q19:Q20)</f>
        <v>1489283344</v>
      </c>
      <c r="R22" s="184">
        <f>SUM(R19:R20)</f>
        <v>1662886828.03805</v>
      </c>
      <c r="S22" s="184">
        <f>SUM(S19:S20)</f>
        <v>3133750843.82065</v>
      </c>
      <c r="T22" s="161">
        <f>SUM(T19:T20)</f>
        <v>2886741974</v>
      </c>
      <c r="U22" s="137">
        <f>SUM(U19:U20)</f>
        <v>2601867922</v>
      </c>
      <c r="V22" s="161">
        <f>F22-Q22</f>
        <v>-195524793.966052</v>
      </c>
      <c r="W22">
        <f>IF(Q22=0,IF(Q22=0,1,V22/V22),V22/Q22)</f>
        <v>-0.131287840392347</v>
      </c>
      <c r="X22" s="161">
        <f>SUM(X19:X20)</f>
        <v>-173603484.038045</v>
      </c>
      <c r="Y22" s="4288">
        <f>IF(R22=0,IF(R22=0,1,X22/X22),X22/R22)</f>
        <v>-0.104398856922134</v>
      </c>
    </row>
    <row r="23" customFormat="1" spans="5:24">
      <c r="E23" s="4244"/>
      <c r="G23" s="4244"/>
      <c r="I23" s="4244"/>
      <c r="K23">
        <f>+K22/$K$13</f>
        <v>0.171577322184982</v>
      </c>
      <c r="L23">
        <f>+L22/$L$13</f>
        <v>0.268266898467999</v>
      </c>
      <c r="M23" s="4244"/>
      <c r="O23" s="4244"/>
      <c r="Q23">
        <f>+Q22/$Q$13</f>
        <v>0.268266898467999</v>
      </c>
      <c r="R23">
        <f>+R22/$R$13</f>
        <v>0.132956417358427</v>
      </c>
      <c r="S23">
        <f>+S22/$R$13</f>
        <v>0.250559616002208</v>
      </c>
      <c r="T23">
        <f>+T22/$R$13</f>
        <v>0.230809977101132</v>
      </c>
      <c r="U23">
        <f>+U22/$R$13</f>
        <v>0.208032820704393</v>
      </c>
      <c r="V23">
        <f>+V22/$V$13</f>
        <v>-0.107164875465212</v>
      </c>
      <c r="X23">
        <f>+X22/$X$13</f>
        <v>0.024959137396209</v>
      </c>
    </row>
    <row r="24" spans="1:25">
      <c r="A24" s="137"/>
      <c r="B24" s="4246"/>
      <c r="C24" s="2557" t="s">
        <v>638</v>
      </c>
      <c r="D24" s="205"/>
      <c r="E24" s="206"/>
      <c r="F24" s="4524">
        <f>F17-F22</f>
        <v>3029262762.55736</v>
      </c>
      <c r="G24" s="135"/>
      <c r="H24" s="2205"/>
      <c r="I24" s="140"/>
      <c r="J24" s="135"/>
      <c r="K24" s="4524">
        <f>K17-K22</f>
        <v>3057463234.91736</v>
      </c>
      <c r="L24" s="4379">
        <f>L17-L22</f>
        <v>1000929109</v>
      </c>
      <c r="M24" s="140"/>
      <c r="N24" s="4392">
        <f>N17+N22</f>
        <v>0</v>
      </c>
      <c r="O24" s="4379">
        <f>O17+O22</f>
        <v>0</v>
      </c>
      <c r="P24" s="139"/>
      <c r="Q24" s="4379">
        <f>Q17-Q22</f>
        <v>1000929109</v>
      </c>
      <c r="R24" s="363">
        <f>R17-R22</f>
        <v>1719654678.99999</v>
      </c>
      <c r="S24" s="363">
        <f>S17-S22</f>
        <v>1345713811.886</v>
      </c>
      <c r="T24" s="207">
        <f>T17-T22</f>
        <v>1510859123</v>
      </c>
      <c r="U24" s="260">
        <f>U17-U22</f>
        <v>1518795915</v>
      </c>
      <c r="V24" s="1228">
        <f>F24-Q24</f>
        <v>2028333653.55736</v>
      </c>
      <c r="W24">
        <f>IF(Q24=0,IF(Q24=0,1,V24/V24),V24/Q24)</f>
        <v>2.02645085982544</v>
      </c>
      <c r="X24" s="1228">
        <f>L24-R24</f>
        <v>-718725569.999995</v>
      </c>
      <c r="Y24" s="4290">
        <f>IF(R24=0,IF(R24=0,1,X24/X24),X24/R24)</f>
        <v>-0.417947614004659</v>
      </c>
    </row>
    <row r="25" customFormat="1" ht="12.2" customHeight="1" spans="5:24">
      <c r="E25" s="4244"/>
      <c r="G25" s="4244"/>
      <c r="I25" s="4244"/>
      <c r="J25" s="4244"/>
      <c r="K25">
        <f>+K24/$K$13</f>
        <v>0.414513852647785</v>
      </c>
      <c r="L25">
        <f>+L24/$L$13</f>
        <v>0.180298899292442</v>
      </c>
      <c r="M25" s="4244"/>
      <c r="O25" s="4244"/>
      <c r="Q25">
        <f>+Q24/$Q$13</f>
        <v>0.180298899292442</v>
      </c>
      <c r="R25">
        <f>+R24/$R$13</f>
        <v>0.137495301158441</v>
      </c>
      <c r="S25">
        <f>+S24/$R$13</f>
        <v>0.107596791436021</v>
      </c>
      <c r="T25">
        <f>+T24/$R$13</f>
        <v>0.120801014681427</v>
      </c>
      <c r="U25">
        <f>+U24/$R$13</f>
        <v>0.121435602322538</v>
      </c>
      <c r="V25">
        <f>+V24/$V$13</f>
        <v>1.11170618813241</v>
      </c>
      <c r="X25">
        <f>+X24/$X$13</f>
        <v>0.103331856219356</v>
      </c>
    </row>
    <row r="26" spans="1:26">
      <c r="A26" s="137"/>
      <c r="B26" s="129" t="s">
        <v>639</v>
      </c>
      <c r="C26" s="298"/>
      <c r="D26" s="134"/>
      <c r="E26" s="4368">
        <v>50</v>
      </c>
      <c r="F26" s="4525">
        <f>+'[75]P&amp;L22'!$F$36-'[75]P&amp;L22'!$F$46</f>
        <v>-2448237956.91691</v>
      </c>
      <c r="G26" s="135"/>
      <c r="H26" s="2205">
        <f>-'50'!G77</f>
        <v>66242.0249999994</v>
      </c>
      <c r="I26" s="161">
        <f>-'50'!H77</f>
        <v>0</v>
      </c>
      <c r="J26" s="135"/>
      <c r="K26" s="4535">
        <f>F26+H26-I26</f>
        <v>-2448171714.89191</v>
      </c>
      <c r="L26" s="4525">
        <f>11928441-718953564</f>
        <v>-707025123</v>
      </c>
      <c r="M26" s="140"/>
      <c r="N26" s="4342">
        <v>0</v>
      </c>
      <c r="O26" s="2201">
        <f>'F2'!N18</f>
        <v>33663124</v>
      </c>
      <c r="P26" s="139"/>
      <c r="Q26" s="4525">
        <f>L26-N26+O26</f>
        <v>-673361999</v>
      </c>
      <c r="R26" s="4541">
        <f>10049050-687743370</f>
        <v>-677694320</v>
      </c>
      <c r="S26" s="4541">
        <f>+'[75]P&amp;L22'!J36-'[75]P&amp;L22'!J46</f>
        <v>-473384657.1</v>
      </c>
      <c r="T26" s="4525">
        <f>+'[75]P&amp;L22'!K36-'[75]P&amp;L22'!K46</f>
        <v>-286505400</v>
      </c>
      <c r="U26" s="4535">
        <f>+'[75]P&amp;L22'!L36-'[75]P&amp;L22'!L46</f>
        <v>-588839768</v>
      </c>
      <c r="V26" s="161">
        <f>F26-Q26</f>
        <v>-1774875957.91691</v>
      </c>
      <c r="W26">
        <f>IF(Q26=0,IF(Q26=0,1,V26/V26),V26/Q26)</f>
        <v>2.63584217783711</v>
      </c>
      <c r="X26" s="161">
        <f>L26-R26</f>
        <v>-29330803</v>
      </c>
      <c r="Y26" s="4290">
        <f>IF(R26=0,IF(R26=0,1,X26/X26),X26/R26)</f>
        <v>0.0432802845389054</v>
      </c>
      <c r="Z26"/>
    </row>
    <row r="27" spans="1:25">
      <c r="A27" s="137"/>
      <c r="B27" s="138"/>
      <c r="C27" s="298"/>
      <c r="D27" s="134"/>
      <c r="E27" s="135"/>
      <c r="F27" s="137"/>
      <c r="G27" s="135"/>
      <c r="H27" s="2205"/>
      <c r="I27" s="140"/>
      <c r="J27" s="135"/>
      <c r="K27" s="136"/>
      <c r="L27" s="2201"/>
      <c r="M27" s="140"/>
      <c r="N27" s="4342"/>
      <c r="O27" s="2201"/>
      <c r="P27" s="139"/>
      <c r="Q27" s="2201"/>
      <c r="R27" s="184"/>
      <c r="S27" s="184"/>
      <c r="T27" s="161"/>
      <c r="U27" s="137"/>
      <c r="V27" s="143"/>
      <c r="W27"/>
      <c r="X27" s="156"/>
      <c r="Y27" s="4290"/>
    </row>
    <row r="28" spans="1:25">
      <c r="A28" s="137"/>
      <c r="B28" s="4246"/>
      <c r="C28" s="2557" t="s">
        <v>640</v>
      </c>
      <c r="D28" s="2771"/>
      <c r="E28" s="206"/>
      <c r="F28" s="4524">
        <f>F24+F26</f>
        <v>581024805.640456</v>
      </c>
      <c r="G28" s="135"/>
      <c r="H28" s="2205"/>
      <c r="I28" s="140"/>
      <c r="J28" s="135"/>
      <c r="K28" s="4524">
        <f>K24+K26</f>
        <v>609291520.025456</v>
      </c>
      <c r="L28" s="4379">
        <f>L24+L26</f>
        <v>293903986</v>
      </c>
      <c r="M28" s="161"/>
      <c r="N28" s="4392">
        <f>N24+SUM(N26:N27)</f>
        <v>0</v>
      </c>
      <c r="O28" s="4379">
        <f>O24+SUM(O26:O27)</f>
        <v>33663124</v>
      </c>
      <c r="P28" s="137"/>
      <c r="Q28" s="4379">
        <f>Q24+Q26</f>
        <v>327567110</v>
      </c>
      <c r="R28" s="363">
        <f>R24+R26</f>
        <v>1041960358.99999</v>
      </c>
      <c r="S28" s="363">
        <f>S24+S26</f>
        <v>872329154.786004</v>
      </c>
      <c r="T28" s="207">
        <f>T24+T26</f>
        <v>1224353723</v>
      </c>
      <c r="U28" s="260">
        <f>U24+U26</f>
        <v>929956147</v>
      </c>
      <c r="V28" s="1228">
        <f>F28-Q28</f>
        <v>253457695.640456</v>
      </c>
      <c r="W28">
        <f>IF(Q28=0,IF(Q28=0,1,V28/V28),V28/Q28)</f>
        <v>0.773758072476984</v>
      </c>
      <c r="X28" s="1228">
        <f>L28-R28</f>
        <v>-748056372.999995</v>
      </c>
      <c r="Y28" s="4290">
        <f>IF(R28=0,IF(R28=0,1,X28/X28),X28/R28)</f>
        <v>-0.717931701084992</v>
      </c>
    </row>
    <row r="29" customFormat="1" spans="5:24">
      <c r="E29" s="4244"/>
      <c r="G29" s="4244"/>
      <c r="I29" s="4244"/>
      <c r="J29" s="4244"/>
      <c r="K29">
        <f>+K28/$K$13</f>
        <v>0.0826043539843916</v>
      </c>
      <c r="L29">
        <f>+L28/$L$13</f>
        <v>0.0529413768637449</v>
      </c>
      <c r="M29" s="4244"/>
      <c r="O29" s="4244"/>
      <c r="Q29">
        <f>+Q28/$Q$13</f>
        <v>0.0590051671455649</v>
      </c>
      <c r="R29">
        <f>+R28/$R$13</f>
        <v>0.0833101291238147</v>
      </c>
      <c r="S29">
        <f>+S28/$R$13</f>
        <v>0.0697472354835434</v>
      </c>
      <c r="T29">
        <f>+T28/$R$13</f>
        <v>0.0978934235600356</v>
      </c>
      <c r="U29">
        <f>+U28/$R$13</f>
        <v>0.0743548120778898</v>
      </c>
      <c r="V29">
        <f>+V28/$V$13</f>
        <v>0.138917228030554</v>
      </c>
      <c r="X29">
        <f>+X28/$X$13</f>
        <v>0.107548773558743</v>
      </c>
    </row>
    <row r="30" spans="1:25">
      <c r="A30" s="137"/>
      <c r="B30" s="129" t="s">
        <v>641</v>
      </c>
      <c r="C30" s="2558"/>
      <c r="D30" s="134"/>
      <c r="E30" s="135"/>
      <c r="F30" s="137"/>
      <c r="G30" s="135"/>
      <c r="H30" s="2205"/>
      <c r="I30" s="140"/>
      <c r="J30" s="135"/>
      <c r="K30" s="4400"/>
      <c r="L30" s="161"/>
      <c r="M30" s="161"/>
      <c r="N30" s="4342"/>
      <c r="O30" s="2201"/>
      <c r="P30" s="137"/>
      <c r="Q30" s="4538"/>
      <c r="R30" s="4537"/>
      <c r="S30" s="4537"/>
      <c r="T30" s="4538"/>
      <c r="U30" s="4400"/>
      <c r="V30" s="161"/>
      <c r="W30"/>
      <c r="X30" s="156"/>
      <c r="Y30" s="4290"/>
    </row>
    <row r="31" spans="1:25">
      <c r="A31" s="137"/>
      <c r="B31" s="138"/>
      <c r="C31" s="134" t="s">
        <v>594</v>
      </c>
      <c r="D31" s="134"/>
      <c r="E31" s="135">
        <v>60</v>
      </c>
      <c r="F31" s="137">
        <v>72628101</v>
      </c>
      <c r="G31" s="135"/>
      <c r="H31" s="2205">
        <f>'F4'!G19</f>
        <v>0</v>
      </c>
      <c r="I31" s="140"/>
      <c r="J31" s="135"/>
      <c r="K31" s="2202">
        <f>F31+H31-I31</f>
        <v>72628101</v>
      </c>
      <c r="L31" s="161">
        <v>36737998</v>
      </c>
      <c r="M31" s="161"/>
      <c r="N31" s="4342">
        <v>0</v>
      </c>
      <c r="O31" s="2201">
        <v>0</v>
      </c>
      <c r="P31" s="139"/>
      <c r="Q31" s="2201">
        <f>L31-N31+O31</f>
        <v>36737998</v>
      </c>
      <c r="R31" s="184">
        <f>+'[75]P&amp;L22'!$I$50</f>
        <v>130245044.874999</v>
      </c>
      <c r="S31" s="184">
        <f>+'[75]P&amp;L22'!J50</f>
        <v>109041144.34825</v>
      </c>
      <c r="T31" s="161">
        <f>+'[75]P&amp;L22'!K50</f>
        <v>153044215.375</v>
      </c>
      <c r="U31" s="137">
        <f>+'[75]P&amp;L22'!L50</f>
        <v>206545131</v>
      </c>
      <c r="V31" s="161">
        <f>F31-Q31</f>
        <v>35890103</v>
      </c>
      <c r="W31">
        <f>IF(Q31=0,IF(Q31=0,1,V31/V31),V31/Q31)</f>
        <v>0.976920489788257</v>
      </c>
      <c r="X31" s="161">
        <f>L31-R31</f>
        <v>-93507046.8749993</v>
      </c>
      <c r="Y31" s="4290">
        <f>IF(R31=0,IF(R31=0,1,X31/X31),X31/R31)</f>
        <v>-0.71793170300445</v>
      </c>
    </row>
    <row r="32" spans="1:25">
      <c r="A32" s="137"/>
      <c r="B32" s="138"/>
      <c r="C32" s="134" t="s">
        <v>595</v>
      </c>
      <c r="D32" s="134"/>
      <c r="E32" s="299"/>
      <c r="F32" s="1232"/>
      <c r="G32" s="299"/>
      <c r="H32" s="2033"/>
      <c r="I32" s="299"/>
      <c r="J32" s="299"/>
      <c r="K32" s="137">
        <f>F32+H32-I32</f>
        <v>0</v>
      </c>
      <c r="L32" s="2201">
        <v>0</v>
      </c>
      <c r="M32" s="200"/>
      <c r="N32" s="4342"/>
      <c r="O32" s="2201"/>
      <c r="P32" s="199"/>
      <c r="Q32" s="2201">
        <f>L32-N32+O32</f>
        <v>0</v>
      </c>
      <c r="R32" s="184">
        <v>0</v>
      </c>
      <c r="S32" s="184"/>
      <c r="T32" s="161"/>
      <c r="U32" s="137"/>
      <c r="V32" s="161"/>
      <c r="W32"/>
      <c r="X32" s="161">
        <f>L32-R32</f>
        <v>0</v>
      </c>
      <c r="Y32" s="4290">
        <f>IF(R32=0,IF(R32=0,1,X32/X32),X32/R32)</f>
        <v>1</v>
      </c>
    </row>
    <row r="33" spans="1:25">
      <c r="A33" s="137"/>
      <c r="B33" s="141"/>
      <c r="C33" s="2920"/>
      <c r="D33" s="146"/>
      <c r="E33" s="147"/>
      <c r="F33" s="148"/>
      <c r="G33" s="147"/>
      <c r="H33" s="311"/>
      <c r="I33" s="135"/>
      <c r="J33" s="147"/>
      <c r="K33" s="110"/>
      <c r="L33" s="4536"/>
      <c r="M33" s="161"/>
      <c r="N33" s="4534"/>
      <c r="O33" s="2204"/>
      <c r="P33" s="3710"/>
      <c r="Q33" s="143"/>
      <c r="R33" s="184"/>
      <c r="S33" s="184"/>
      <c r="T33" s="161"/>
      <c r="U33" s="137"/>
      <c r="V33" s="143"/>
      <c r="W33"/>
      <c r="X33" s="171"/>
      <c r="Y33" s="4290"/>
    </row>
    <row r="34" spans="1:25">
      <c r="A34" s="137"/>
      <c r="B34" s="129" t="s">
        <v>642</v>
      </c>
      <c r="C34" s="208"/>
      <c r="D34" s="134"/>
      <c r="E34" s="135"/>
      <c r="F34" s="137">
        <f>SUM(F31:F33)</f>
        <v>72628101</v>
      </c>
      <c r="G34" s="135"/>
      <c r="H34" s="135"/>
      <c r="I34" s="135"/>
      <c r="J34" s="135"/>
      <c r="K34" s="137">
        <f>SUM(K31:K33)</f>
        <v>72628101</v>
      </c>
      <c r="L34" s="161">
        <f>SUM(L31:L32)</f>
        <v>36737998</v>
      </c>
      <c r="M34" s="3948"/>
      <c r="N34" s="184">
        <f>SUM(N31:N33)</f>
        <v>0</v>
      </c>
      <c r="O34" s="161">
        <f>SUM(O31:O33)</f>
        <v>0</v>
      </c>
      <c r="P34" s="199"/>
      <c r="Q34" s="161">
        <f>SUM(Q31:Q33)</f>
        <v>36737998</v>
      </c>
      <c r="R34" s="1217">
        <f>SUM(R31:R32)</f>
        <v>130245044.874999</v>
      </c>
      <c r="S34" s="1217">
        <f>SUM(S31:S32)</f>
        <v>109041144.34825</v>
      </c>
      <c r="T34" s="308">
        <f>SUM(T31:T32)</f>
        <v>153044215.375</v>
      </c>
      <c r="U34" s="1224">
        <f>SUM(U31:U32)</f>
        <v>206545131</v>
      </c>
      <c r="V34" s="161">
        <f>F34-Q34</f>
        <v>35890103</v>
      </c>
      <c r="W34">
        <f>IF(Q34=0,IF(Q34=0,1,V34/V34),V34/Q34)</f>
        <v>0.976920489788257</v>
      </c>
      <c r="X34" s="161">
        <f>L34-R34</f>
        <v>-93507046.8749993</v>
      </c>
      <c r="Y34" s="4290">
        <f>IF(R34=0,IF(R34=0,1,X34/X34),X34/R34)</f>
        <v>-0.71793170300445</v>
      </c>
    </row>
    <row r="35" spans="1:25">
      <c r="A35" s="137"/>
      <c r="B35" s="129">
        <v>0</v>
      </c>
      <c r="C35" s="208"/>
      <c r="D35" s="134"/>
      <c r="E35" s="135"/>
      <c r="F35" s="2202"/>
      <c r="G35" s="135"/>
      <c r="H35" s="311"/>
      <c r="I35" s="135"/>
      <c r="J35" s="135"/>
      <c r="K35" s="2202"/>
      <c r="L35" s="2201"/>
      <c r="M35" s="3948"/>
      <c r="N35" s="4534"/>
      <c r="O35" s="2204"/>
      <c r="P35" s="199"/>
      <c r="Q35" s="2201"/>
      <c r="R35" s="4534"/>
      <c r="S35" s="4534"/>
      <c r="T35" s="2204"/>
      <c r="U35" s="4441"/>
      <c r="V35" s="2201"/>
      <c r="W35"/>
      <c r="X35" s="156"/>
      <c r="Y35" s="4290"/>
    </row>
    <row r="36" spans="1:25">
      <c r="A36" s="137"/>
      <c r="B36" s="363" t="s">
        <v>643</v>
      </c>
      <c r="C36" s="2557"/>
      <c r="D36" s="2771"/>
      <c r="E36" s="206"/>
      <c r="F36" s="4524">
        <f>F28-F34</f>
        <v>508396704.640456</v>
      </c>
      <c r="G36" s="135"/>
      <c r="H36" s="311"/>
      <c r="I36" s="135"/>
      <c r="J36" s="135"/>
      <c r="K36" s="4524">
        <f>K28-K34</f>
        <v>536663419.025456</v>
      </c>
      <c r="L36" s="4379">
        <f>L28-L34</f>
        <v>257165988</v>
      </c>
      <c r="M36" s="200"/>
      <c r="N36" s="4392">
        <f>N28+N34</f>
        <v>0</v>
      </c>
      <c r="O36" s="4379">
        <f>O28-O34</f>
        <v>33663124</v>
      </c>
      <c r="P36" s="199"/>
      <c r="Q36" s="4379">
        <f>Q28-Q34</f>
        <v>290829112</v>
      </c>
      <c r="R36" s="4392">
        <f>R28-R34</f>
        <v>911715314.124995</v>
      </c>
      <c r="S36" s="4392">
        <f>S28-S34</f>
        <v>763288010.437753</v>
      </c>
      <c r="T36" s="4379">
        <f>T28-T34</f>
        <v>1071309507.625</v>
      </c>
      <c r="U36" s="4524">
        <f>U28-U34</f>
        <v>723411016</v>
      </c>
      <c r="V36" s="1228">
        <f>F36-Q36</f>
        <v>217567592.640456</v>
      </c>
      <c r="W36">
        <f>IF(Q36=0,IF(Q36=0,1,V36/V36),V36/Q36)</f>
        <v>0.748094271389366</v>
      </c>
      <c r="X36" s="1228">
        <f>L36-R36</f>
        <v>-654549326.124995</v>
      </c>
      <c r="Y36" s="4290">
        <f>IF(R36=0,IF(R36=0,1,X36/X36),X36/R36)</f>
        <v>-0.717931700810783</v>
      </c>
    </row>
    <row r="37" customFormat="1" spans="5:24">
      <c r="E37" s="4244"/>
      <c r="G37" s="4244"/>
      <c r="I37" s="4244"/>
      <c r="J37" s="4244"/>
      <c r="K37">
        <f>+K36/$K$13</f>
        <v>0.0727578401777207</v>
      </c>
      <c r="L37">
        <f>+L36/$L$13</f>
        <v>0.0463237048008096</v>
      </c>
      <c r="M37" s="4244"/>
      <c r="O37" s="4244"/>
      <c r="Q37">
        <f>+Q36/$Q$13</f>
        <v>0.0523874950826297</v>
      </c>
      <c r="R37">
        <f>+R36/$R$13</f>
        <v>0.0728963629833378</v>
      </c>
      <c r="S37">
        <f>+S36/$R$13</f>
        <v>0.0610288310481005</v>
      </c>
      <c r="T37">
        <f>+T36/$R$13</f>
        <v>0.0856567456150311</v>
      </c>
      <c r="U37">
        <f>+U36/$R$13</f>
        <v>0.0578404587391316</v>
      </c>
      <c r="V37">
        <f>+V36/$V$13</f>
        <v>0.119246278170883</v>
      </c>
      <c r="X37">
        <f>+X36/$X$13</f>
        <v>0.0941051768279575</v>
      </c>
    </row>
    <row r="38" spans="1:25">
      <c r="A38" s="137"/>
      <c r="B38" s="129" t="s">
        <v>644</v>
      </c>
      <c r="C38" s="208" t="s">
        <v>644</v>
      </c>
      <c r="D38" s="134"/>
      <c r="E38" s="135"/>
      <c r="F38" s="136"/>
      <c r="G38" s="135"/>
      <c r="H38" s="311"/>
      <c r="I38" s="135"/>
      <c r="J38" s="135"/>
      <c r="K38" s="2202">
        <f>F38+H38-I38</f>
        <v>0</v>
      </c>
      <c r="L38" s="161">
        <v>0</v>
      </c>
      <c r="M38" s="200"/>
      <c r="N38" s="4537"/>
      <c r="O38" s="4538"/>
      <c r="P38" s="4400"/>
      <c r="Q38" s="2201">
        <f>L38+N38-O38</f>
        <v>0</v>
      </c>
      <c r="R38" s="4537">
        <v>0</v>
      </c>
      <c r="S38" s="4537"/>
      <c r="T38" s="4538"/>
      <c r="U38" s="4400"/>
      <c r="V38" s="4538"/>
      <c r="W38"/>
      <c r="X38" s="161">
        <f>L38-R38</f>
        <v>0</v>
      </c>
      <c r="Y38" s="4290">
        <f>IF(R38=0,IF(R38=0,1,X38/X38),X38/R38)</f>
        <v>1</v>
      </c>
    </row>
    <row r="39" spans="1:25">
      <c r="A39" s="137"/>
      <c r="B39" s="129">
        <v>0</v>
      </c>
      <c r="C39" s="208"/>
      <c r="D39" s="134"/>
      <c r="E39" s="135"/>
      <c r="F39" s="137"/>
      <c r="G39" s="135"/>
      <c r="H39" s="311"/>
      <c r="I39" s="135"/>
      <c r="J39" s="135"/>
      <c r="K39" s="4400"/>
      <c r="L39" s="4538"/>
      <c r="M39" s="200"/>
      <c r="N39" s="4537"/>
      <c r="O39" s="4538"/>
      <c r="P39" s="4400"/>
      <c r="Q39" s="161"/>
      <c r="R39" s="184"/>
      <c r="S39" s="184"/>
      <c r="T39" s="161"/>
      <c r="U39" s="137"/>
      <c r="V39" s="143"/>
      <c r="W39"/>
      <c r="X39" s="161"/>
      <c r="Y39" s="4290"/>
    </row>
    <row r="40" spans="1:25">
      <c r="A40" s="137"/>
      <c r="B40" s="363" t="s">
        <v>645</v>
      </c>
      <c r="C40" s="205"/>
      <c r="D40" s="2771"/>
      <c r="E40" s="206"/>
      <c r="F40" s="4524">
        <f>F36-F38</f>
        <v>508396704.640456</v>
      </c>
      <c r="G40" s="135"/>
      <c r="H40" s="311"/>
      <c r="I40" s="135"/>
      <c r="J40" s="135"/>
      <c r="K40" s="4524">
        <f>K36-K38</f>
        <v>536663419.025456</v>
      </c>
      <c r="L40" s="4379">
        <f>L36-L38</f>
        <v>257165988</v>
      </c>
      <c r="M40" s="200"/>
      <c r="N40" s="4392">
        <f>N36-N38</f>
        <v>0</v>
      </c>
      <c r="O40" s="4379">
        <f>O36-O38</f>
        <v>33663124</v>
      </c>
      <c r="P40" s="4400"/>
      <c r="Q40" s="4379">
        <f>Q36-Q38</f>
        <v>290829112</v>
      </c>
      <c r="R40" s="4392">
        <f>R36-R38</f>
        <v>911715314.124995</v>
      </c>
      <c r="S40" s="4392">
        <f>S36-S38</f>
        <v>763288010.437753</v>
      </c>
      <c r="T40" s="4379">
        <f>T36-T38</f>
        <v>1071309507.625</v>
      </c>
      <c r="U40" s="4524">
        <f>U36-U38</f>
        <v>723411016</v>
      </c>
      <c r="V40" s="1228">
        <f>F40-Q40</f>
        <v>217567592.640456</v>
      </c>
      <c r="W40">
        <f>IF(Q40=0,IF(Q40=0,1,V40/V40),V40/Q40)</f>
        <v>0.748094271389366</v>
      </c>
      <c r="X40" s="1228">
        <f>L40-R40</f>
        <v>-654549326.124995</v>
      </c>
      <c r="Y40" s="4290">
        <f>IF(R40=0,IF(R40=0,1,X40/X40),X40/R40)</f>
        <v>-0.717931700810783</v>
      </c>
    </row>
    <row r="41" customFormat="1" spans="2:24">
      <c r="B41">
        <v>0</v>
      </c>
      <c r="G41" s="4244"/>
      <c r="I41" s="4244"/>
      <c r="J41" s="4244"/>
      <c r="K41">
        <f>+K40/$K$13</f>
        <v>0.0727578401777207</v>
      </c>
      <c r="L41" s="4244"/>
      <c r="Q41">
        <f>+Q40/$Q$13</f>
        <v>0.0523874950826297</v>
      </c>
      <c r="R41">
        <f>+R40/$R$13</f>
        <v>0.0728963629833378</v>
      </c>
      <c r="S41">
        <f>+S40/$R$13</f>
        <v>0.0610288310481005</v>
      </c>
      <c r="T41">
        <f>+T40/$R$13</f>
        <v>0.0856567456150311</v>
      </c>
      <c r="U41">
        <f>+U40/$R$13</f>
        <v>0.0578404587391316</v>
      </c>
      <c r="V41">
        <f>+V40/$V$13</f>
        <v>0.119246278170883</v>
      </c>
      <c r="X41">
        <f>+X40/$X$13</f>
        <v>0.0941051768279575</v>
      </c>
    </row>
    <row r="42" spans="1:25">
      <c r="A42" s="137"/>
      <c r="B42" s="129" t="s">
        <v>646</v>
      </c>
      <c r="C42" s="208"/>
      <c r="D42" s="134"/>
      <c r="E42" s="135"/>
      <c r="F42" s="2202">
        <f>+L47</f>
        <v>1932169312.63564</v>
      </c>
      <c r="G42" s="135"/>
      <c r="H42" s="311"/>
      <c r="I42" s="135"/>
      <c r="J42" s="135"/>
      <c r="K42" s="2202">
        <f>Q47</f>
        <v>1965832436.68803</v>
      </c>
      <c r="L42" s="2201">
        <f>+R47</f>
        <v>1675003324.63564</v>
      </c>
      <c r="M42" s="161"/>
      <c r="N42" s="4537"/>
      <c r="O42" s="4538"/>
      <c r="P42" s="4400"/>
      <c r="Q42" s="2201">
        <f>L42+N42-O42</f>
        <v>1675003324.63564</v>
      </c>
      <c r="R42" s="4342">
        <f>+S40</f>
        <v>763288010.437753</v>
      </c>
      <c r="S42" s="4342">
        <f>+T40</f>
        <v>1071309507.625</v>
      </c>
      <c r="T42" s="2201">
        <f>+U40</f>
        <v>723411016</v>
      </c>
      <c r="U42" s="2202">
        <f>+'[76]Lap '!$T$147</f>
        <v>433748767.100521</v>
      </c>
      <c r="V42" s="161">
        <f>F42-Q42</f>
        <v>257165988</v>
      </c>
      <c r="W42">
        <f>IF(Q42=0,IF(Q42=0,1,V42/V42),V42/Q42)</f>
        <v>0.153531628395985</v>
      </c>
      <c r="X42" s="161">
        <f>L42-R42</f>
        <v>911715314.197892</v>
      </c>
      <c r="Y42" s="4290">
        <f>IF(R42=0,IF(R42=0,1,X42/X42),X42/R42)</f>
        <v>1.19445779539366</v>
      </c>
    </row>
    <row r="43" hidden="1" spans="1:25">
      <c r="A43" s="137"/>
      <c r="B43" s="4231">
        <v>0</v>
      </c>
      <c r="C43" s="208"/>
      <c r="D43" s="134"/>
      <c r="E43" s="135"/>
      <c r="F43" s="136"/>
      <c r="G43" s="135"/>
      <c r="H43" s="311"/>
      <c r="I43" s="135"/>
      <c r="J43" s="135"/>
      <c r="K43" s="2202"/>
      <c r="L43" s="2201"/>
      <c r="M43" s="161"/>
      <c r="N43" s="4537"/>
      <c r="O43" s="4538"/>
      <c r="P43" s="4400"/>
      <c r="Q43" s="2201"/>
      <c r="R43" s="4537"/>
      <c r="S43" s="4537"/>
      <c r="T43" s="4538"/>
      <c r="U43"/>
      <c r="V43" s="184"/>
      <c r="W43" s="4288"/>
      <c r="X43" s="161"/>
      <c r="Y43" s="4290"/>
    </row>
    <row r="44" hidden="1" spans="1:25">
      <c r="A44" s="137"/>
      <c r="B44" s="129" t="s">
        <v>647</v>
      </c>
      <c r="C44" s="208" t="s">
        <v>647</v>
      </c>
      <c r="D44" s="134"/>
      <c r="E44" s="135"/>
      <c r="F44" s="136"/>
      <c r="G44" s="135"/>
      <c r="H44" s="311"/>
      <c r="I44" s="135"/>
      <c r="J44" s="135"/>
      <c r="K44" s="2202">
        <v>0</v>
      </c>
      <c r="L44" s="2201"/>
      <c r="M44" s="161"/>
      <c r="N44" s="4537"/>
      <c r="O44" s="4538"/>
      <c r="P44" s="4400"/>
      <c r="Q44" s="2201"/>
      <c r="R44" s="4537">
        <v>0</v>
      </c>
      <c r="S44" s="4537">
        <v>0</v>
      </c>
      <c r="T44" s="4538">
        <v>0</v>
      </c>
      <c r="U44">
        <v>0</v>
      </c>
      <c r="V44" s="4537"/>
      <c r="W44" s="4288"/>
      <c r="X44" s="161"/>
      <c r="Y44" s="4290"/>
    </row>
    <row r="45" spans="1:25">
      <c r="A45" s="137"/>
      <c r="B45" s="129">
        <v>0</v>
      </c>
      <c r="C45" s="208"/>
      <c r="D45" s="134"/>
      <c r="E45" s="135"/>
      <c r="F45" s="136"/>
      <c r="G45" s="135"/>
      <c r="H45" s="3710"/>
      <c r="I45" s="200"/>
      <c r="J45" s="135"/>
      <c r="K45" s="2202"/>
      <c r="L45" s="2201"/>
      <c r="M45" s="161"/>
      <c r="N45" s="4537"/>
      <c r="O45" s="4538"/>
      <c r="P45" s="4400"/>
      <c r="Q45" s="2201"/>
      <c r="R45" s="4537"/>
      <c r="S45" s="4537"/>
      <c r="T45" s="4538"/>
      <c r="U45"/>
      <c r="V45" s="4537"/>
      <c r="W45" s="4288"/>
      <c r="X45" s="161"/>
      <c r="Y45" s="4290"/>
    </row>
    <row r="46" spans="1:25">
      <c r="A46" s="137"/>
      <c r="B46" s="129">
        <v>0</v>
      </c>
      <c r="C46" s="208"/>
      <c r="D46" s="134"/>
      <c r="E46" s="135"/>
      <c r="F46" s="136"/>
      <c r="G46" s="135"/>
      <c r="H46" s="3710"/>
      <c r="I46" s="200"/>
      <c r="J46" s="135"/>
      <c r="K46" s="4400"/>
      <c r="L46" s="4538"/>
      <c r="M46" s="161"/>
      <c r="N46" s="4537"/>
      <c r="O46" s="4538"/>
      <c r="P46" s="4400"/>
      <c r="Q46" s="4538"/>
      <c r="R46" s="143"/>
      <c r="S46" s="143"/>
      <c r="T46" s="143"/>
      <c r="U46" s="143"/>
      <c r="V46" s="4537"/>
      <c r="W46" s="4288"/>
      <c r="X46" s="161"/>
      <c r="Y46" s="4290"/>
    </row>
    <row r="47" spans="1:25">
      <c r="A47" s="137"/>
      <c r="B47" s="363" t="s">
        <v>648</v>
      </c>
      <c r="C47" s="205"/>
      <c r="D47" s="2771"/>
      <c r="E47" s="206"/>
      <c r="F47" s="4524">
        <f>SUM(F40:F46)</f>
        <v>2440566017.2761</v>
      </c>
      <c r="G47" s="135"/>
      <c r="H47" s="3710">
        <f>SUM(H13:H46)</f>
        <v>66242.0249999994</v>
      </c>
      <c r="I47" s="200">
        <f>SUM(I13:I46)</f>
        <v>28200472.36</v>
      </c>
      <c r="J47" s="135"/>
      <c r="K47" s="4524">
        <f>SUM(K40:K46)</f>
        <v>2502495855.78625</v>
      </c>
      <c r="L47" s="4379">
        <f>L40+L42</f>
        <v>1932169312.63564</v>
      </c>
      <c r="M47" s="161"/>
      <c r="N47" s="4392">
        <f>N40</f>
        <v>0</v>
      </c>
      <c r="O47" s="4379">
        <f>O40</f>
        <v>33663124</v>
      </c>
      <c r="P47" s="4400">
        <f>P40</f>
        <v>0</v>
      </c>
      <c r="Q47" s="4379">
        <f>SUM(Q40:Q46)</f>
        <v>1965832436.68803</v>
      </c>
      <c r="R47" s="4379">
        <f>SUM(R40:R46)</f>
        <v>1675003324.63564</v>
      </c>
      <c r="S47" s="4379">
        <f>SUM(S40:S46)</f>
        <v>1834597518.12378</v>
      </c>
      <c r="T47" s="4379">
        <f>SUM(T40:T46)</f>
        <v>1794720523.71066</v>
      </c>
      <c r="U47" s="4379">
        <f>SUM(U40:U46)</f>
        <v>1157159783.15836</v>
      </c>
      <c r="V47" s="1225">
        <f>F47-Q47</f>
        <v>474733580.588069</v>
      </c>
      <c r="W47" s="4288">
        <f>IF(Q47=0,IF(Q47=0,1,V47/V47),V47/Q47)</f>
        <v>0.241492393618188</v>
      </c>
      <c r="X47" s="1228">
        <f>L47-R47</f>
        <v>257165988</v>
      </c>
      <c r="Y47" s="4290">
        <f>IF(R47=0,IF(R47=0,1,X47/X47),X47/R47)</f>
        <v>0.153531628395985</v>
      </c>
    </row>
    <row r="48" spans="1:25">
      <c r="A48" s="137"/>
      <c r="B48" s="133"/>
      <c r="C48" s="134"/>
      <c r="D48" s="134"/>
      <c r="E48" s="135"/>
      <c r="F48" s="4400"/>
      <c r="G48" s="135"/>
      <c r="H48" s="3710"/>
      <c r="I48" s="200"/>
      <c r="J48" s="135"/>
      <c r="K48" s="137"/>
      <c r="L48" s="161"/>
      <c r="M48" s="161"/>
      <c r="N48" s="4537"/>
      <c r="O48" s="4538"/>
      <c r="P48" s="4400"/>
      <c r="Q48" s="4538"/>
      <c r="R48" s="4538"/>
      <c r="S48" s="4537"/>
      <c r="T48" s="4537"/>
      <c r="U48" s="4537"/>
      <c r="V48" s="4537"/>
      <c r="W48" s="4288"/>
      <c r="X48" s="191"/>
      <c r="Y48" s="191"/>
    </row>
    <row r="49" spans="1:25">
      <c r="A49" s="137"/>
      <c r="B49" s="141"/>
      <c r="C49" s="146"/>
      <c r="D49" s="146"/>
      <c r="E49" s="147"/>
      <c r="F49" s="164">
        <v>0</v>
      </c>
      <c r="G49" s="147"/>
      <c r="H49" s="4345"/>
      <c r="I49" s="147"/>
      <c r="J49" s="143"/>
      <c r="K49" s="110"/>
      <c r="L49" s="2180"/>
      <c r="M49" s="2180"/>
      <c r="N49" s="109"/>
      <c r="O49" s="2180">
        <f>O47-N47</f>
        <v>33663124</v>
      </c>
      <c r="P49" s="2203"/>
      <c r="Q49" s="143" t="e">
        <f>Q47-ekin22!AJ179</f>
        <v>#REF!</v>
      </c>
      <c r="R49" s="2180"/>
      <c r="S49" s="3027"/>
      <c r="T49" s="3027"/>
      <c r="U49" s="3027"/>
      <c r="V49" s="3027"/>
      <c r="W49" s="2180"/>
      <c r="X49" s="236"/>
      <c r="Y49" s="251"/>
    </row>
    <row r="50" spans="12:25">
      <c r="L50" s="2423"/>
      <c r="M50" s="2423"/>
      <c r="N50" s="2423"/>
      <c r="O50" s="2423"/>
      <c r="P50" s="2423"/>
      <c r="Q50" s="229"/>
      <c r="R50" s="229"/>
      <c r="S50" s="229"/>
      <c r="T50" s="229"/>
      <c r="U50" s="229"/>
      <c r="V50" s="229"/>
      <c r="W50" s="229"/>
      <c r="X50" s="137"/>
      <c r="Y50"/>
    </row>
    <row r="51" spans="12:23">
      <c r="L51" s="2423"/>
      <c r="M51" s="2542"/>
      <c r="N51" s="2423"/>
      <c r="O51" s="2423"/>
      <c r="P51" s="2423"/>
      <c r="Q51" s="2423"/>
      <c r="R51" s="2423"/>
      <c r="S51" s="2423"/>
      <c r="T51" s="2423"/>
      <c r="U51" s="2423"/>
      <c r="V51" s="2423"/>
      <c r="W51" s="2423"/>
    </row>
    <row r="52" spans="12:23">
      <c r="L52" s="2423"/>
      <c r="M52" s="2542"/>
      <c r="N52" s="2423"/>
      <c r="O52" s="2423"/>
      <c r="P52" s="2423"/>
      <c r="Q52" s="2423"/>
      <c r="R52" s="2423"/>
      <c r="S52" s="2423"/>
      <c r="T52" s="2423"/>
      <c r="U52" s="2423"/>
      <c r="V52" s="2423"/>
      <c r="W52" s="2423"/>
    </row>
    <row r="53" spans="12:17">
      <c r="L53" s="4347"/>
      <c r="M53" s="2542"/>
      <c r="N53" s="4347"/>
      <c r="O53" s="4347"/>
      <c r="P53" s="4347"/>
      <c r="Q53" s="4347"/>
    </row>
    <row r="54" spans="3:17">
      <c r="C54" t="s">
        <v>649</v>
      </c>
      <c r="D54" s="2879" t="str">
        <f>+'F1'!C46</f>
        <v>Sesuai dengan Saldo Buku Besar Periode 31 Desember 2022 &amp; 2021</v>
      </c>
      <c r="L54" s="4347"/>
      <c r="M54" s="2542"/>
      <c r="N54" s="4347"/>
      <c r="O54" s="4347"/>
      <c r="P54" s="4347"/>
      <c r="Q54" s="4347"/>
    </row>
    <row r="55" spans="3:17">
      <c r="C55" t="s">
        <v>650</v>
      </c>
      <c r="D55" s="2879" t="str">
        <f>+'F1'!C47</f>
        <v>Sesuai dengan Saldo Audit Periode Sebelumnya</v>
      </c>
      <c r="L55" s="4347"/>
      <c r="M55" s="2542"/>
      <c r="N55" s="4347"/>
      <c r="O55" s="4347"/>
      <c r="P55" s="4347"/>
      <c r="Q55" s="4347"/>
    </row>
    <row r="56" spans="3:17">
      <c r="C56" t="s">
        <v>187</v>
      </c>
      <c r="D56" s="2879" t="str">
        <f>+'F1'!C48</f>
        <v>Rumus dan Formula Perhitungan telah Diperiksa</v>
      </c>
      <c r="L56" s="4347"/>
      <c r="M56" s="2542"/>
      <c r="N56" s="4347"/>
      <c r="O56" s="4347"/>
      <c r="P56" s="4347"/>
      <c r="Q56" s="4347"/>
    </row>
    <row r="57" spans="3:17">
      <c r="C57" t="s">
        <v>651</v>
      </c>
      <c r="D57" s="2879" t="str">
        <f>+'F1'!C49</f>
        <v>Check to Bank Statements as of December 31, 2022 &amp; 2021</v>
      </c>
      <c r="L57" s="4347"/>
      <c r="M57" s="2542"/>
      <c r="N57" s="4347"/>
      <c r="O57" s="4347"/>
      <c r="P57" s="4347"/>
      <c r="Q57" s="4347"/>
    </row>
    <row r="58" spans="12:17">
      <c r="L58" s="4347"/>
      <c r="M58" s="2542"/>
      <c r="N58" s="4347"/>
      <c r="O58" s="4347"/>
      <c r="P58" s="4347"/>
      <c r="Q58" s="4347"/>
    </row>
    <row r="59" spans="2:25">
      <c r="B59" s="4526"/>
      <c r="C59" s="4527"/>
      <c r="D59" s="4527"/>
      <c r="E59" s="4528"/>
      <c r="F59" s="4528"/>
      <c r="G59" s="4528"/>
      <c r="H59" s="4528"/>
      <c r="I59" s="4528"/>
      <c r="J59" s="4528"/>
      <c r="K59" s="4528"/>
      <c r="L59" s="4539"/>
      <c r="M59" s="2542"/>
      <c r="N59" s="4539"/>
      <c r="O59" s="4539"/>
      <c r="P59" s="4539"/>
      <c r="Q59" s="4539"/>
      <c r="R59" s="4527"/>
      <c r="S59" s="4527"/>
      <c r="T59" s="4527"/>
      <c r="U59" s="4527"/>
      <c r="V59" s="4527"/>
      <c r="W59" s="4527"/>
      <c r="X59" s="4527"/>
      <c r="Y59" s="4542"/>
    </row>
    <row r="60" spans="2:25">
      <c r="B60" s="4529"/>
      <c r="C60" s="4530"/>
      <c r="D60" s="4530"/>
      <c r="E60" s="4531"/>
      <c r="F60" s="4531"/>
      <c r="G60" s="4531"/>
      <c r="H60" s="4531"/>
      <c r="I60" s="4531"/>
      <c r="J60" s="4531"/>
      <c r="K60" s="4531"/>
      <c r="L60" s="4530"/>
      <c r="M60" s="2542"/>
      <c r="N60" s="4530"/>
      <c r="O60" s="4530"/>
      <c r="P60" s="4530"/>
      <c r="Q60" s="4530"/>
      <c r="R60" s="4530"/>
      <c r="S60" s="4530"/>
      <c r="T60" s="4530"/>
      <c r="U60" s="4530"/>
      <c r="V60" s="4530"/>
      <c r="W60" s="4530"/>
      <c r="X60" s="4530"/>
      <c r="Y60" s="4543"/>
    </row>
    <row r="61" spans="2:25">
      <c r="B61" s="4529"/>
      <c r="C61" s="4530"/>
      <c r="D61" s="4530"/>
      <c r="E61" s="4531"/>
      <c r="F61" s="4531"/>
      <c r="G61" s="4531"/>
      <c r="H61" s="4531"/>
      <c r="I61" s="4531"/>
      <c r="J61" s="4531"/>
      <c r="K61" s="4531"/>
      <c r="L61" s="4530"/>
      <c r="M61" s="2542"/>
      <c r="N61" s="4530"/>
      <c r="O61" s="4530"/>
      <c r="P61" s="4530"/>
      <c r="Q61" s="4530"/>
      <c r="R61" s="4530"/>
      <c r="S61" s="4530"/>
      <c r="T61" s="4530"/>
      <c r="U61" s="4530"/>
      <c r="V61" s="4530"/>
      <c r="W61" s="4530"/>
      <c r="X61" s="4530"/>
      <c r="Y61" s="4543"/>
    </row>
    <row r="62" spans="2:25">
      <c r="B62" s="4529"/>
      <c r="C62" s="4530"/>
      <c r="D62" s="4530"/>
      <c r="E62" s="4531"/>
      <c r="F62" s="4531"/>
      <c r="G62" s="4531"/>
      <c r="H62" s="4531"/>
      <c r="I62" s="4531"/>
      <c r="J62" s="4531"/>
      <c r="K62" s="4531"/>
      <c r="L62" s="4530"/>
      <c r="M62" s="2542"/>
      <c r="N62" s="4530"/>
      <c r="O62" s="4530"/>
      <c r="P62" s="4530"/>
      <c r="Q62" s="4530"/>
      <c r="R62" s="4530"/>
      <c r="S62" s="4530"/>
      <c r="T62" s="4530"/>
      <c r="U62" s="4530"/>
      <c r="V62" s="4530"/>
      <c r="W62" s="4530"/>
      <c r="X62" s="4530"/>
      <c r="Y62" s="4543"/>
    </row>
    <row r="63" spans="2:25">
      <c r="B63" s="4529"/>
      <c r="C63" s="4530"/>
      <c r="D63" s="4530"/>
      <c r="E63" s="4531"/>
      <c r="F63" s="4531"/>
      <c r="G63" s="4531"/>
      <c r="H63" s="4531"/>
      <c r="I63" s="4531"/>
      <c r="J63" s="4531"/>
      <c r="K63" s="4531"/>
      <c r="L63" s="4530"/>
      <c r="M63" s="2542"/>
      <c r="N63" s="4530"/>
      <c r="O63" s="4530"/>
      <c r="P63" s="4530"/>
      <c r="Q63" s="4530"/>
      <c r="R63" s="4530"/>
      <c r="S63" s="4530"/>
      <c r="T63" s="4530"/>
      <c r="U63" s="4530"/>
      <c r="V63" s="4530"/>
      <c r="W63" s="4530"/>
      <c r="X63" s="4530"/>
      <c r="Y63" s="4543"/>
    </row>
    <row r="64" spans="2:25">
      <c r="B64" s="4529"/>
      <c r="C64" s="4530"/>
      <c r="D64" s="4530"/>
      <c r="E64" s="4531"/>
      <c r="F64" s="4531"/>
      <c r="G64" s="4531"/>
      <c r="H64" s="4531"/>
      <c r="I64" s="4531"/>
      <c r="J64" s="4531"/>
      <c r="K64" s="4531"/>
      <c r="L64" s="4530"/>
      <c r="M64" s="2542"/>
      <c r="N64" s="4530"/>
      <c r="O64" s="4530"/>
      <c r="P64" s="4530"/>
      <c r="Q64" s="4530"/>
      <c r="R64" s="4530"/>
      <c r="S64" s="4530"/>
      <c r="T64" s="4530"/>
      <c r="U64" s="4530"/>
      <c r="V64" s="4530"/>
      <c r="W64" s="4530"/>
      <c r="X64" s="4530"/>
      <c r="Y64" s="4543"/>
    </row>
    <row r="65" spans="2:25">
      <c r="B65" s="4529"/>
      <c r="C65" s="4530"/>
      <c r="D65" s="4530"/>
      <c r="E65" s="4531"/>
      <c r="F65" s="4531"/>
      <c r="G65" s="4531"/>
      <c r="H65" s="4531"/>
      <c r="I65" s="4531"/>
      <c r="J65" s="4531"/>
      <c r="K65" s="4531"/>
      <c r="L65" s="4530"/>
      <c r="M65" s="2542"/>
      <c r="N65" s="4530"/>
      <c r="O65" s="4530"/>
      <c r="P65" s="4530"/>
      <c r="Q65" s="4530"/>
      <c r="R65" s="4530"/>
      <c r="S65" s="4530"/>
      <c r="T65" s="4530"/>
      <c r="U65" s="4530"/>
      <c r="V65" s="4530"/>
      <c r="W65" s="4530"/>
      <c r="X65" s="4530"/>
      <c r="Y65" s="4543"/>
    </row>
    <row r="66" spans="2:25">
      <c r="B66" s="4529"/>
      <c r="C66" s="4530"/>
      <c r="D66" s="4530"/>
      <c r="E66" s="4531"/>
      <c r="F66" s="4531"/>
      <c r="G66" s="4531"/>
      <c r="H66" s="4531"/>
      <c r="I66" s="4531"/>
      <c r="J66" s="4531"/>
      <c r="K66" s="4531"/>
      <c r="L66" s="4530"/>
      <c r="M66" s="2542"/>
      <c r="N66" s="4530"/>
      <c r="O66" s="4530"/>
      <c r="P66" s="4530"/>
      <c r="Q66" s="4530"/>
      <c r="R66" s="4530"/>
      <c r="S66" s="4530"/>
      <c r="T66" s="4530"/>
      <c r="U66" s="4530"/>
      <c r="V66" s="4530"/>
      <c r="W66" s="4530"/>
      <c r="X66" s="4530"/>
      <c r="Y66" s="4543"/>
    </row>
    <row r="67" spans="2:25">
      <c r="B67" s="4544"/>
      <c r="C67" s="4545"/>
      <c r="D67" s="4545"/>
      <c r="E67" s="4546"/>
      <c r="F67" s="4546"/>
      <c r="G67" s="4546"/>
      <c r="H67" s="4546"/>
      <c r="I67" s="4546"/>
      <c r="J67" s="4546"/>
      <c r="K67" s="4546"/>
      <c r="L67" s="4545"/>
      <c r="M67" s="2542"/>
      <c r="N67" s="4545"/>
      <c r="O67" s="4545"/>
      <c r="P67" s="4545"/>
      <c r="Q67" s="4545"/>
      <c r="R67" s="4545"/>
      <c r="S67" s="4545"/>
      <c r="T67" s="4545"/>
      <c r="U67" s="4545"/>
      <c r="V67" s="4545"/>
      <c r="W67" s="4545"/>
      <c r="X67" s="4545"/>
      <c r="Y67" s="4547"/>
    </row>
  </sheetData>
  <mergeCells count="5">
    <mergeCell ref="N8:O8"/>
    <mergeCell ref="V9:W9"/>
    <mergeCell ref="X9:Y9"/>
    <mergeCell ref="H10:I10"/>
    <mergeCell ref="N10:O10"/>
  </mergeCells>
  <hyperlinks>
    <hyperlink ref="E15" location="'20'!A1" display="20"/>
    <hyperlink ref="E26" location="'50'!A1" display="50"/>
  </hyperlinks>
  <printOptions horizontalCentered="1" gridLines="1"/>
  <pageMargins left="0.511811023622047" right="0.511811023622047" top="0.590551181102362" bottom="0.748031496062992" header="0.511811023622047" footer="0.393700787401575"/>
  <pageSetup paperSize="9" scale="74" orientation="landscape"/>
  <headerFooter alignWithMargins="0">
    <oddFooter>&amp;R&amp;"Arial,Bold"&amp;28F3</oddFooter>
  </headerFooter>
  <drawing r:id="rId1"/>
  <legacyDrawing r:id="rId2"/>
  <oleObjects>
    <mc:AlternateContent xmlns:mc="http://schemas.openxmlformats.org/markup-compatibility/2006">
      <mc:Choice Requires="x14">
        <oleObject shapeId="2080" progId="Word.Picture.8" r:id="rId3">
          <objectPr defaultSize="0" r:id="rId4">
            <anchor moveWithCells="1" sizeWithCells="1">
              <from>
                <xdr:col>16</xdr:col>
                <xdr:colOff>1022350</xdr:colOff>
                <xdr:row>4</xdr:row>
                <xdr:rowOff>0</xdr:rowOff>
              </from>
              <to>
                <xdr:col>18</xdr:col>
                <xdr:colOff>0</xdr:colOff>
                <xdr:row>4</xdr:row>
                <xdr:rowOff>0</xdr:rowOff>
              </to>
            </anchor>
          </objectPr>
        </oleObject>
      </mc:Choice>
      <mc:Fallback>
        <oleObject shapeId="2080" progId="Word.Picture.8" r:id="rId3"/>
      </mc:Fallback>
    </mc:AlternateContent>
    <mc:AlternateContent xmlns:mc="http://schemas.openxmlformats.org/markup-compatibility/2006">
      <mc:Choice Requires="x14">
        <oleObject shapeId="2102" progId="Paint.Picture" r:id="rId5">
          <objectPr defaultSize="0" r:id="rId6">
            <anchor moveWithCells="1">
              <from>
                <xdr:col>16</xdr:col>
                <xdr:colOff>514350</xdr:colOff>
                <xdr:row>10</xdr:row>
                <xdr:rowOff>57150</xdr:rowOff>
              </from>
              <to>
                <xdr:col>16</xdr:col>
                <xdr:colOff>692150</xdr:colOff>
                <xdr:row>11</xdr:row>
                <xdr:rowOff>76200</xdr:rowOff>
              </to>
            </anchor>
          </objectPr>
        </oleObject>
      </mc:Choice>
      <mc:Fallback>
        <oleObject shapeId="2102" progId="Paint.Picture" r:id="rId5"/>
      </mc:Fallback>
    </mc:AlternateContent>
    <mc:AlternateContent xmlns:mc="http://schemas.openxmlformats.org/markup-compatibility/2006">
      <mc:Choice Requires="x14">
        <oleObject shapeId="2033175" progId="Paint.Picture" r:id="rId7">
          <objectPr defaultSize="0" r:id="rId8">
            <anchor moveWithCells="1">
              <from>
                <xdr:col>7</xdr:col>
                <xdr:colOff>673100</xdr:colOff>
                <xdr:row>50</xdr:row>
                <xdr:rowOff>63500</xdr:rowOff>
              </from>
              <to>
                <xdr:col>8</xdr:col>
                <xdr:colOff>0</xdr:colOff>
                <xdr:row>51</xdr:row>
                <xdr:rowOff>114300</xdr:rowOff>
              </to>
            </anchor>
          </objectPr>
        </oleObject>
      </mc:Choice>
      <mc:Fallback>
        <oleObject shapeId="2033175" progId="Paint.Picture" r:id="rId7"/>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tabColor rgb="FFFFC000"/>
    <pageSetUpPr fitToPage="1"/>
  </sheetPr>
  <dimension ref="B2:M53"/>
  <sheetViews>
    <sheetView workbookViewId="0">
      <pane xSplit="5" ySplit="11" topLeftCell="F12" activePane="bottomRight" state="frozen"/>
      <selection/>
      <selection pane="topRight"/>
      <selection pane="bottomLeft"/>
      <selection pane="bottomRight" activeCell="J20" sqref="J20"/>
    </sheetView>
  </sheetViews>
  <sheetFormatPr defaultColWidth="11.2395833333333" defaultRowHeight="13.2"/>
  <cols>
    <col min="1" max="1" width="5.84375" style="101" customWidth="1"/>
    <col min="2" max="2" width="7.1875" style="102" customWidth="1"/>
    <col min="3" max="3" width="11.2395833333333" style="102" customWidth="1"/>
    <col min="4" max="4" width="3.14583333333333" style="101" customWidth="1"/>
    <col min="5" max="5" width="47.6458333333333" style="101" customWidth="1"/>
    <col min="6" max="6" width="8.6875" style="102" customWidth="1"/>
    <col min="7" max="7" width="19.3333333333333" style="2840" customWidth="1"/>
    <col min="8" max="10" width="17.8333333333333" style="2840" customWidth="1"/>
    <col min="11" max="11" width="15.1354166666667" style="102" customWidth="1"/>
    <col min="12" max="12" width="14.2395833333333" style="102" customWidth="1"/>
    <col min="13" max="13" width="22.0208333333333" style="101" customWidth="1"/>
    <col min="14" max="14" width="21.125" style="101" customWidth="1"/>
    <col min="15" max="16" width="13.3333333333333" style="101" customWidth="1"/>
    <col min="17" max="16384" width="11.2395833333333" style="101"/>
  </cols>
  <sheetData>
    <row r="2" ht="21" spans="2:13">
      <c r="B2" s="1499" t="str">
        <f>'F5'!B2</f>
        <v>KAP LIASTA NIRWAN SYAFRUDIN &amp; REKAN</v>
      </c>
      <c r="C2" s="731"/>
      <c r="D2" s="731"/>
      <c r="E2" s="731"/>
      <c r="F2" s="731"/>
      <c r="G2" s="731"/>
      <c r="H2" s="1923"/>
      <c r="I2" s="731"/>
      <c r="J2" s="731"/>
      <c r="K2" s="731" t="s">
        <v>481</v>
      </c>
      <c r="L2" s="765" t="s">
        <v>482</v>
      </c>
      <c r="M2" s="766" t="s">
        <v>483</v>
      </c>
    </row>
    <row r="3" ht="15.6" spans="2:13">
      <c r="B3" s="1500"/>
      <c r="C3" s="1501"/>
      <c r="D3" s="1502"/>
      <c r="E3" s="1504"/>
      <c r="F3" s="1504"/>
      <c r="G3" s="1505"/>
      <c r="H3" s="4512"/>
      <c r="I3" s="4512"/>
      <c r="J3" s="4512"/>
      <c r="K3" s="738" t="s">
        <v>484</v>
      </c>
      <c r="L3" s="767">
        <v>43510</v>
      </c>
      <c r="M3" s="768" t="s">
        <v>652</v>
      </c>
    </row>
    <row r="4" spans="2:13">
      <c r="B4" s="1699"/>
      <c r="C4" s="1548"/>
      <c r="D4" s="1548"/>
      <c r="E4" s="1548"/>
      <c r="F4" s="1548"/>
      <c r="G4" s="1548"/>
      <c r="H4" s="750"/>
      <c r="I4" s="1760"/>
      <c r="J4" s="1760"/>
      <c r="K4" s="742" t="s">
        <v>487</v>
      </c>
      <c r="L4" s="769" t="s">
        <v>482</v>
      </c>
      <c r="M4" s="770" t="s">
        <v>488</v>
      </c>
    </row>
    <row r="5" spans="2:13">
      <c r="B5" s="1546" t="s">
        <v>486</v>
      </c>
      <c r="C5" s="1547" t="str">
        <f>'F5'!C4</f>
        <v>PT INTAN GIRI ABADI</v>
      </c>
      <c r="D5" s="1547"/>
      <c r="E5" s="1547"/>
      <c r="F5" s="1547"/>
      <c r="G5" s="1547"/>
      <c r="H5" s="1925"/>
      <c r="I5" s="1925"/>
      <c r="J5" s="1925"/>
      <c r="K5" s="746"/>
      <c r="L5" s="1473"/>
      <c r="M5" s="1474"/>
    </row>
    <row r="6" spans="2:13">
      <c r="B6" s="775"/>
      <c r="C6" s="753"/>
      <c r="D6" s="753"/>
      <c r="E6" s="753"/>
      <c r="F6" s="753"/>
      <c r="G6" s="753"/>
      <c r="H6" s="1599"/>
      <c r="I6" s="1599"/>
      <c r="J6" s="1599"/>
      <c r="K6" s="1592"/>
      <c r="L6" s="771"/>
      <c r="M6" s="772"/>
    </row>
    <row r="7" spans="2:13">
      <c r="B7" s="773"/>
      <c r="C7" s="742"/>
      <c r="D7" s="742"/>
      <c r="E7" s="742"/>
      <c r="F7" s="742"/>
      <c r="G7" s="742"/>
      <c r="H7" s="770"/>
      <c r="I7" s="1760"/>
      <c r="J7" s="1760"/>
      <c r="K7" s="742"/>
      <c r="L7" s="773"/>
      <c r="M7" s="774" t="s">
        <v>491</v>
      </c>
    </row>
    <row r="8" spans="2:13">
      <c r="B8" s="1549" t="s">
        <v>489</v>
      </c>
      <c r="C8" s="1550" t="s">
        <v>653</v>
      </c>
      <c r="D8" s="753"/>
      <c r="E8" s="753"/>
      <c r="F8" s="753"/>
      <c r="G8" s="753"/>
      <c r="H8" s="1599"/>
      <c r="I8" s="753"/>
      <c r="J8" s="753"/>
      <c r="K8" s="753"/>
      <c r="L8" s="775"/>
      <c r="M8" s="776">
        <v>43465</v>
      </c>
    </row>
    <row r="10" spans="2:13">
      <c r="B10" s="4498"/>
      <c r="C10" s="4499"/>
      <c r="D10" s="4500"/>
      <c r="E10" s="4501"/>
      <c r="F10" s="4502" t="s">
        <v>654</v>
      </c>
      <c r="G10" s="4446">
        <v>2022</v>
      </c>
      <c r="H10" s="4447"/>
      <c r="I10" s="4446">
        <f>+G10-1</f>
        <v>2021</v>
      </c>
      <c r="J10" s="4447"/>
      <c r="K10" s="4499"/>
      <c r="L10" s="4499"/>
      <c r="M10" s="4518"/>
    </row>
    <row r="11" ht="16.5" customHeight="1" spans="2:13">
      <c r="B11" s="4448" t="s">
        <v>655</v>
      </c>
      <c r="C11" s="4449" t="s">
        <v>656</v>
      </c>
      <c r="D11" s="4450" t="s">
        <v>657</v>
      </c>
      <c r="E11" s="4451"/>
      <c r="F11" s="4504" t="s">
        <v>658</v>
      </c>
      <c r="G11" s="4452" t="s">
        <v>659</v>
      </c>
      <c r="H11" s="4453" t="s">
        <v>660</v>
      </c>
      <c r="I11" s="4452" t="s">
        <v>659</v>
      </c>
      <c r="J11" s="4453" t="s">
        <v>660</v>
      </c>
      <c r="K11" s="4443" t="s">
        <v>661</v>
      </c>
      <c r="L11" s="4443" t="s">
        <v>662</v>
      </c>
      <c r="M11" s="4449" t="s">
        <v>663</v>
      </c>
    </row>
    <row r="12" ht="16.5" customHeight="1" spans="2:13">
      <c r="B12" s="4490"/>
      <c r="C12" s="4490"/>
      <c r="D12" s="4513"/>
      <c r="E12" s="1976"/>
      <c r="F12" s="4490"/>
      <c r="G12" s="4514"/>
      <c r="H12" s="4514"/>
      <c r="I12" s="4514"/>
      <c r="J12" s="4514"/>
      <c r="K12" s="4490"/>
      <c r="L12" s="4490"/>
      <c r="M12" s="4519"/>
    </row>
    <row r="13" spans="2:13">
      <c r="B13" s="4478" t="s">
        <v>664</v>
      </c>
      <c r="C13" s="4478" t="s">
        <v>665</v>
      </c>
      <c r="D13" s="4458"/>
      <c r="E13" s="4459" t="s">
        <v>666</v>
      </c>
      <c r="F13" s="4456"/>
      <c r="G13" s="4479">
        <v>66242.0249999994</v>
      </c>
      <c r="H13" s="4479">
        <v>0</v>
      </c>
      <c r="I13" s="4479">
        <v>1669.56435000058</v>
      </c>
      <c r="J13" s="4479">
        <v>0</v>
      </c>
      <c r="K13" s="4478" t="s">
        <v>667</v>
      </c>
      <c r="L13" s="4478" t="s">
        <v>668</v>
      </c>
      <c r="M13" s="4479"/>
    </row>
    <row r="14" spans="2:13">
      <c r="B14" s="4456"/>
      <c r="C14" s="4478"/>
      <c r="D14" s="2840"/>
      <c r="E14" s="4459" t="s">
        <v>669</v>
      </c>
      <c r="F14" s="4456"/>
      <c r="G14" s="4479">
        <v>0</v>
      </c>
      <c r="H14" s="4479">
        <v>66242.0249999994</v>
      </c>
      <c r="I14" s="4479">
        <v>0</v>
      </c>
      <c r="J14" s="4479">
        <v>1669.56435000058</v>
      </c>
      <c r="K14" s="4478"/>
      <c r="L14" s="4478"/>
      <c r="M14" s="4479">
        <f>-H14</f>
        <v>-66242.0249999994</v>
      </c>
    </row>
    <row r="15" spans="2:13">
      <c r="B15" s="4456"/>
      <c r="C15" s="4478"/>
      <c r="D15" s="2840"/>
      <c r="E15" s="4459"/>
      <c r="F15" s="4456"/>
      <c r="G15" s="4479"/>
      <c r="H15" s="4479"/>
      <c r="I15" s="4479"/>
      <c r="J15" s="4479"/>
      <c r="K15" s="4478"/>
      <c r="L15" s="4478"/>
      <c r="M15" s="4479"/>
    </row>
    <row r="16" spans="2:13">
      <c r="B16" s="4456"/>
      <c r="C16" s="4478"/>
      <c r="D16" s="2840"/>
      <c r="E16" s="4461" t="s">
        <v>670</v>
      </c>
      <c r="F16" s="4456"/>
      <c r="G16" s="4479"/>
      <c r="H16" s="4479"/>
      <c r="I16" s="4479"/>
      <c r="J16" s="4479"/>
      <c r="K16" s="4478"/>
      <c r="L16" s="4478"/>
      <c r="M16" s="4479"/>
    </row>
    <row r="17" spans="2:13">
      <c r="B17" s="4456"/>
      <c r="C17" s="4454"/>
      <c r="D17" s="4455"/>
      <c r="E17" s="4459"/>
      <c r="F17" s="4456"/>
      <c r="G17" s="4479"/>
      <c r="H17" s="4479"/>
      <c r="I17" s="4479"/>
      <c r="J17" s="4479"/>
      <c r="K17" s="4478"/>
      <c r="L17" s="4478"/>
      <c r="M17" s="4479"/>
    </row>
    <row r="18" ht="13.95" spans="2:13">
      <c r="B18" s="4456"/>
      <c r="C18" s="4454"/>
      <c r="D18" s="4455"/>
      <c r="E18" s="2840"/>
      <c r="F18" s="4456"/>
      <c r="G18" s="4479"/>
      <c r="H18" s="4479"/>
      <c r="I18" s="4479"/>
      <c r="J18" s="4479"/>
      <c r="K18" s="4478"/>
      <c r="L18" s="4478"/>
      <c r="M18" s="4479"/>
    </row>
    <row r="19" spans="2:13">
      <c r="B19" s="4514"/>
      <c r="C19" s="4510"/>
      <c r="D19" s="4515"/>
      <c r="E19" s="4516"/>
      <c r="F19" s="4514"/>
      <c r="G19" s="4497"/>
      <c r="H19" s="4497"/>
      <c r="I19" s="4497"/>
      <c r="J19" s="4497"/>
      <c r="K19" s="4490"/>
      <c r="L19" s="4490"/>
      <c r="M19" s="4497"/>
    </row>
    <row r="20" spans="2:13">
      <c r="B20" s="4456"/>
      <c r="C20" s="4478" t="s">
        <v>671</v>
      </c>
      <c r="D20" s="4506"/>
      <c r="E20" s="2840" t="s">
        <v>672</v>
      </c>
      <c r="F20" s="4456"/>
      <c r="G20" s="4479">
        <v>0</v>
      </c>
      <c r="H20" s="4479">
        <v>0</v>
      </c>
      <c r="I20" s="4479">
        <f>+Note21!AB337</f>
        <v>33663124</v>
      </c>
      <c r="J20" s="4479">
        <v>0</v>
      </c>
      <c r="K20" s="4478" t="s">
        <v>667</v>
      </c>
      <c r="L20" s="4478" t="s">
        <v>668</v>
      </c>
      <c r="M20" s="4479"/>
    </row>
    <row r="21" spans="2:13">
      <c r="B21" s="4456"/>
      <c r="C21" s="4454"/>
      <c r="D21" s="4455"/>
      <c r="E21" s="2840" t="s">
        <v>673</v>
      </c>
      <c r="F21" s="4456"/>
      <c r="G21" s="4479">
        <v>0</v>
      </c>
      <c r="H21" s="4479">
        <f>G20</f>
        <v>0</v>
      </c>
      <c r="I21" s="4479">
        <v>0</v>
      </c>
      <c r="J21" s="4479">
        <f>+I20</f>
        <v>33663124</v>
      </c>
      <c r="K21" s="4478"/>
      <c r="L21" s="4478"/>
      <c r="M21" s="4479"/>
    </row>
    <row r="22" spans="2:13">
      <c r="B22" s="4456"/>
      <c r="C22" s="4454"/>
      <c r="D22" s="4455"/>
      <c r="E22" s="2840"/>
      <c r="F22" s="4456"/>
      <c r="G22" s="4479"/>
      <c r="H22" s="4479"/>
      <c r="I22" s="4479"/>
      <c r="J22" s="4479"/>
      <c r="K22" s="4478"/>
      <c r="L22" s="4478"/>
      <c r="M22" s="4479"/>
    </row>
    <row r="23" spans="2:13">
      <c r="B23" s="4456"/>
      <c r="C23" s="4454"/>
      <c r="D23" s="4455"/>
      <c r="E23" s="4507" t="s">
        <v>674</v>
      </c>
      <c r="F23" s="4456"/>
      <c r="G23" s="4479"/>
      <c r="H23" s="4479"/>
      <c r="I23" s="4479"/>
      <c r="J23" s="4479"/>
      <c r="K23" s="4478"/>
      <c r="L23" s="4478"/>
      <c r="M23" s="4479"/>
    </row>
    <row r="24" ht="13.95" spans="2:13">
      <c r="B24" s="4471"/>
      <c r="C24" s="4464"/>
      <c r="D24" s="4517"/>
      <c r="E24" s="4466"/>
      <c r="F24" s="4471"/>
      <c r="G24" s="4481"/>
      <c r="H24" s="4481"/>
      <c r="I24" s="4481"/>
      <c r="J24" s="4481"/>
      <c r="K24" s="4480"/>
      <c r="L24" s="4480"/>
      <c r="M24" s="4481"/>
    </row>
    <row r="25" s="374" customFormat="1" spans="2:13">
      <c r="B25" s="4456"/>
      <c r="C25" s="4454"/>
      <c r="D25" s="4506"/>
      <c r="E25" s="2840"/>
      <c r="F25" s="4456"/>
      <c r="G25" s="4479"/>
      <c r="H25" s="4479"/>
      <c r="I25" s="4479"/>
      <c r="J25" s="4479"/>
      <c r="K25" s="4478"/>
      <c r="L25" s="4478"/>
      <c r="M25" s="4479"/>
    </row>
    <row r="26" spans="2:13">
      <c r="B26" s="4478"/>
      <c r="C26" s="4478"/>
      <c r="D26" s="4458"/>
      <c r="E26" s="2840"/>
      <c r="F26" s="4456"/>
      <c r="G26" s="4479"/>
      <c r="H26" s="4479"/>
      <c r="I26" s="4479"/>
      <c r="J26" s="4479"/>
      <c r="K26" s="4478"/>
      <c r="L26" s="4478"/>
      <c r="M26" s="4520"/>
    </row>
    <row r="27" spans="2:13">
      <c r="B27" s="4454"/>
      <c r="C27" s="4478"/>
      <c r="D27" s="4455"/>
      <c r="E27" s="4458"/>
      <c r="F27" s="4456"/>
      <c r="G27" s="4479"/>
      <c r="H27" s="4479"/>
      <c r="I27" s="4479"/>
      <c r="J27" s="4479"/>
      <c r="K27" s="4478"/>
      <c r="L27" s="4478"/>
      <c r="M27" s="288"/>
    </row>
    <row r="28" spans="2:13">
      <c r="B28" s="4454"/>
      <c r="C28" s="4454"/>
      <c r="D28" s="4455"/>
      <c r="E28" s="2840"/>
      <c r="F28" s="4456"/>
      <c r="G28" s="4479"/>
      <c r="H28" s="4479"/>
      <c r="I28" s="4479"/>
      <c r="J28" s="4479"/>
      <c r="K28" s="4478"/>
      <c r="L28" s="4478"/>
      <c r="M28" s="288"/>
    </row>
    <row r="29" s="374" customFormat="1" ht="13.95" spans="2:13">
      <c r="B29" s="4456"/>
      <c r="C29" s="4454"/>
      <c r="D29" s="4506"/>
      <c r="E29" s="2840"/>
      <c r="F29" s="4456"/>
      <c r="G29" s="4479"/>
      <c r="H29" s="4479"/>
      <c r="I29" s="4479"/>
      <c r="J29" s="4479"/>
      <c r="K29" s="4478"/>
      <c r="L29" s="4478"/>
      <c r="M29" s="4479"/>
    </row>
    <row r="30" spans="2:13">
      <c r="B30" s="4490"/>
      <c r="C30" s="4490"/>
      <c r="D30" s="4491"/>
      <c r="E30" s="1976" t="s">
        <v>675</v>
      </c>
      <c r="F30" s="4490"/>
      <c r="G30" s="4510">
        <f>SUM(G12:G29)</f>
        <v>66242.0249999994</v>
      </c>
      <c r="H30" s="4510">
        <f>SUM(H12:H29)</f>
        <v>66242.0249999994</v>
      </c>
      <c r="I30" s="4510"/>
      <c r="J30" s="4510"/>
      <c r="K30" s="4490"/>
      <c r="L30" s="4490"/>
      <c r="M30" s="4510">
        <f>SUM(M12:M29)</f>
        <v>-66242.0249999994</v>
      </c>
    </row>
    <row r="31" ht="13.95" spans="2:13">
      <c r="B31" s="4480"/>
      <c r="C31" s="4480"/>
      <c r="D31" s="4493"/>
      <c r="E31" s="4493"/>
      <c r="F31" s="4480"/>
      <c r="G31" s="4481"/>
      <c r="H31" s="4481">
        <f>G30-H30</f>
        <v>0</v>
      </c>
      <c r="I31" s="4481"/>
      <c r="J31" s="4481"/>
      <c r="K31" s="4480"/>
      <c r="L31" s="4480"/>
      <c r="M31" s="4481"/>
    </row>
    <row r="32" spans="13:13">
      <c r="M32" s="2840"/>
    </row>
    <row r="33" spans="13:13">
      <c r="M33" s="2840"/>
    </row>
    <row r="34" spans="13:13">
      <c r="M34" s="2840"/>
    </row>
    <row r="35" spans="13:13">
      <c r="M35" s="2840"/>
    </row>
    <row r="36" spans="13:13">
      <c r="M36" s="2840"/>
    </row>
    <row r="37" spans="13:13">
      <c r="M37" s="2840"/>
    </row>
    <row r="38" spans="13:13">
      <c r="M38" s="2840"/>
    </row>
    <row r="39" spans="13:13">
      <c r="M39" s="2840"/>
    </row>
    <row r="40" spans="13:13">
      <c r="M40" s="2840"/>
    </row>
    <row r="41" spans="13:13">
      <c r="M41" s="2840"/>
    </row>
    <row r="42" spans="13:13">
      <c r="M42" s="2840"/>
    </row>
    <row r="43" spans="13:13">
      <c r="M43" s="2840"/>
    </row>
    <row r="44" spans="13:13">
      <c r="M44" s="2840"/>
    </row>
    <row r="45" spans="13:13">
      <c r="M45" s="2840"/>
    </row>
    <row r="46" spans="13:13">
      <c r="M46" s="2840"/>
    </row>
    <row r="47" spans="13:13">
      <c r="M47" s="2840"/>
    </row>
    <row r="48" spans="13:13">
      <c r="M48" s="2840"/>
    </row>
    <row r="49" spans="13:13">
      <c r="M49" s="2840"/>
    </row>
    <row r="50" spans="13:13">
      <c r="M50" s="2840"/>
    </row>
    <row r="51" spans="13:13">
      <c r="M51" s="2840"/>
    </row>
    <row r="52" spans="13:13">
      <c r="M52" s="2840"/>
    </row>
    <row r="53" spans="13:13">
      <c r="M53" s="2840"/>
    </row>
  </sheetData>
  <mergeCells count="3">
    <mergeCell ref="G10:H10"/>
    <mergeCell ref="I10:J10"/>
    <mergeCell ref="M5:M6"/>
  </mergeCells>
  <printOptions horizontalCentered="1" gridLines="1"/>
  <pageMargins left="0.5" right="0.5" top="0.5" bottom="0.75" header="0.511811023622047" footer="0.511811023622047"/>
  <pageSetup paperSize="9" scale="17" orientation="landscape"/>
  <headerFooter alignWithMargins="0">
    <oddFooter>&amp;R&amp;"Arial,Bold"&amp;48&amp;A</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rgb="FFFFC000"/>
  </sheetPr>
  <dimension ref="B2:J114"/>
  <sheetViews>
    <sheetView showGridLines="0" workbookViewId="0">
      <pane xSplit="3" ySplit="10" topLeftCell="D11" activePane="bottomRight" state="frozen"/>
      <selection/>
      <selection pane="topRight"/>
      <selection pane="bottomLeft"/>
      <selection pane="bottomRight" activeCell="E35" sqref="E35"/>
    </sheetView>
  </sheetViews>
  <sheetFormatPr defaultColWidth="11.2395833333333" defaultRowHeight="13.2"/>
  <cols>
    <col min="1" max="1" width="3.73958333333333" style="101" customWidth="1"/>
    <col min="2" max="2" width="9.73958333333333" style="102" customWidth="1"/>
    <col min="3" max="3" width="11.2395833333333" style="102" customWidth="1"/>
    <col min="4" max="4" width="3.14583333333333" style="101" customWidth="1"/>
    <col min="5" max="5" width="50.7916666666667" style="101" customWidth="1"/>
    <col min="6" max="6" width="8.6875" style="102" customWidth="1"/>
    <col min="7" max="8" width="17.8333333333333" style="2840" customWidth="1"/>
    <col min="9" max="9" width="15.1354166666667" style="102" customWidth="1"/>
    <col min="10" max="10" width="14.2395833333333" style="102" customWidth="1"/>
    <col min="11" max="16384" width="11.2395833333333" style="101"/>
  </cols>
  <sheetData>
    <row r="2" ht="21" spans="2:10">
      <c r="B2" s="1499" t="str">
        <f>+'F1'!B2</f>
        <v>KAP LIASTA NIRWAN SYAFRUDIN &amp; REKAN</v>
      </c>
      <c r="C2" s="731"/>
      <c r="D2" s="731"/>
      <c r="E2" s="731"/>
      <c r="F2" s="731"/>
      <c r="G2" s="731"/>
      <c r="H2" s="731" t="s">
        <v>481</v>
      </c>
      <c r="I2" s="765" t="s">
        <v>482</v>
      </c>
      <c r="J2" s="766" t="s">
        <v>483</v>
      </c>
    </row>
    <row r="3" ht="15.6" spans="2:10">
      <c r="B3" s="1500"/>
      <c r="C3" s="1501"/>
      <c r="D3" s="1502"/>
      <c r="E3" s="1504"/>
      <c r="F3" s="1504"/>
      <c r="G3" s="1505"/>
      <c r="H3" s="738"/>
      <c r="I3" s="767">
        <v>45213</v>
      </c>
      <c r="J3" s="768" t="s">
        <v>676</v>
      </c>
    </row>
    <row r="4" spans="2:10">
      <c r="B4" s="1546" t="s">
        <v>677</v>
      </c>
      <c r="C4" s="1547" t="str">
        <f>+'F1'!C4</f>
        <v>PT INTAN GIRI ABADI</v>
      </c>
      <c r="D4" s="1547"/>
      <c r="E4" s="1548"/>
      <c r="F4" s="1548"/>
      <c r="G4" s="1548"/>
      <c r="H4" s="742" t="s">
        <v>487</v>
      </c>
      <c r="I4" s="769" t="s">
        <v>482</v>
      </c>
      <c r="J4" s="770" t="s">
        <v>488</v>
      </c>
    </row>
    <row r="5" spans="2:10">
      <c r="B5" s="775"/>
      <c r="C5" s="753"/>
      <c r="D5" s="753"/>
      <c r="E5" s="753"/>
      <c r="F5" s="753"/>
      <c r="G5" s="753"/>
      <c r="H5" s="1592"/>
      <c r="I5" s="771"/>
      <c r="J5" s="772"/>
    </row>
    <row r="6" spans="2:10">
      <c r="B6" s="773"/>
      <c r="C6" s="742"/>
      <c r="D6" s="742"/>
      <c r="E6" s="742"/>
      <c r="F6" s="742"/>
      <c r="G6" s="742"/>
      <c r="H6" s="742"/>
      <c r="I6" s="773"/>
      <c r="J6" s="774" t="s">
        <v>491</v>
      </c>
    </row>
    <row r="7" spans="2:10">
      <c r="B7" s="1549" t="s">
        <v>678</v>
      </c>
      <c r="C7" s="1550"/>
      <c r="D7" s="753"/>
      <c r="E7" s="753"/>
      <c r="F7" s="753"/>
      <c r="G7" s="753"/>
      <c r="H7" s="753"/>
      <c r="I7" s="775"/>
      <c r="J7" s="776">
        <f>+'F1'!X7</f>
        <v>44926</v>
      </c>
    </row>
    <row r="9" spans="2:10">
      <c r="B9" s="4498"/>
      <c r="C9" s="4499"/>
      <c r="D9" s="4500"/>
      <c r="E9" s="4501"/>
      <c r="F9" s="4502" t="s">
        <v>654</v>
      </c>
      <c r="G9" s="4503"/>
      <c r="H9" s="4503"/>
      <c r="I9" s="4499"/>
      <c r="J9" s="4499"/>
    </row>
    <row r="10" ht="16.5" customHeight="1" spans="2:10">
      <c r="B10" s="4448" t="s">
        <v>655</v>
      </c>
      <c r="C10" s="4449" t="s">
        <v>656</v>
      </c>
      <c r="D10" s="4450" t="s">
        <v>657</v>
      </c>
      <c r="E10" s="4451"/>
      <c r="F10" s="4504" t="s">
        <v>658</v>
      </c>
      <c r="G10" s="4505" t="s">
        <v>659</v>
      </c>
      <c r="H10" s="4505" t="s">
        <v>679</v>
      </c>
      <c r="I10" s="4449" t="s">
        <v>661</v>
      </c>
      <c r="J10" s="4449" t="s">
        <v>662</v>
      </c>
    </row>
    <row r="11" spans="2:10">
      <c r="B11" s="4454"/>
      <c r="C11" s="4454"/>
      <c r="D11" s="4455"/>
      <c r="E11" s="2840"/>
      <c r="F11" s="4456"/>
      <c r="G11" s="4479"/>
      <c r="H11" s="4479"/>
      <c r="I11" s="4478"/>
      <c r="J11" s="4478"/>
    </row>
    <row r="12" spans="2:10">
      <c r="B12" s="4456" t="s">
        <v>680</v>
      </c>
      <c r="C12" s="4454"/>
      <c r="D12" s="4506"/>
      <c r="E12" s="2840"/>
      <c r="F12" s="4456"/>
      <c r="G12" s="4479"/>
      <c r="H12" s="4479"/>
      <c r="I12" s="4478" t="s">
        <v>667</v>
      </c>
      <c r="J12" s="4478" t="s">
        <v>681</v>
      </c>
    </row>
    <row r="13" spans="2:10">
      <c r="B13" s="4454"/>
      <c r="C13" s="4454"/>
      <c r="D13" s="4455"/>
      <c r="E13" s="2840"/>
      <c r="F13" s="4456"/>
      <c r="G13" s="4479"/>
      <c r="H13" s="4479"/>
      <c r="I13" s="4478"/>
      <c r="J13" s="4478"/>
    </row>
    <row r="14" spans="2:10">
      <c r="B14" s="4454"/>
      <c r="C14" s="4454"/>
      <c r="D14" s="4455"/>
      <c r="E14" s="2840"/>
      <c r="F14" s="4456"/>
      <c r="G14" s="4479"/>
      <c r="H14" s="4479"/>
      <c r="I14" s="4478"/>
      <c r="J14" s="4478"/>
    </row>
    <row r="15" spans="2:10">
      <c r="B15" s="4454"/>
      <c r="C15" s="4454"/>
      <c r="D15" s="4455"/>
      <c r="E15" s="4507"/>
      <c r="F15" s="4456"/>
      <c r="G15" s="4479"/>
      <c r="H15" s="4479"/>
      <c r="I15" s="4478"/>
      <c r="J15" s="4478"/>
    </row>
    <row r="16" spans="2:10">
      <c r="B16" s="4454"/>
      <c r="C16" s="4454"/>
      <c r="D16" s="4455"/>
      <c r="E16" s="2840"/>
      <c r="F16" s="4456"/>
      <c r="G16" s="4479"/>
      <c r="H16" s="4479"/>
      <c r="I16" s="4478"/>
      <c r="J16" s="4478"/>
    </row>
    <row r="17" spans="2:10">
      <c r="B17" s="4485"/>
      <c r="C17" s="4485"/>
      <c r="D17" s="4486"/>
      <c r="E17" s="4508"/>
      <c r="F17" s="4488"/>
      <c r="G17" s="4496"/>
      <c r="H17" s="4496"/>
      <c r="I17" s="4495"/>
      <c r="J17" s="4495"/>
    </row>
    <row r="18" spans="2:10">
      <c r="B18" s="4454"/>
      <c r="C18" s="4454"/>
      <c r="D18" s="4455"/>
      <c r="E18" s="2840"/>
      <c r="F18" s="4456"/>
      <c r="G18" s="4479"/>
      <c r="H18" s="4479"/>
      <c r="I18" s="4478"/>
      <c r="J18" s="4478"/>
    </row>
    <row r="19" spans="2:10">
      <c r="B19" s="4456" t="s">
        <v>682</v>
      </c>
      <c r="C19" s="4454"/>
      <c r="D19" s="4506"/>
      <c r="E19" s="2840"/>
      <c r="F19" s="4456"/>
      <c r="G19" s="4479"/>
      <c r="H19" s="4479"/>
      <c r="I19" s="4478" t="s">
        <v>667</v>
      </c>
      <c r="J19" s="4478" t="s">
        <v>681</v>
      </c>
    </row>
    <row r="20" spans="2:10">
      <c r="B20" s="4454"/>
      <c r="C20" s="4454"/>
      <c r="D20" s="4455"/>
      <c r="E20" s="2840"/>
      <c r="F20" s="4456"/>
      <c r="G20" s="4479"/>
      <c r="H20" s="4479"/>
      <c r="I20" s="4478"/>
      <c r="J20" s="4478"/>
    </row>
    <row r="21" spans="2:10">
      <c r="B21" s="4454"/>
      <c r="C21" s="4454"/>
      <c r="D21" s="4455"/>
      <c r="E21" s="2840"/>
      <c r="F21" s="4456"/>
      <c r="G21" s="4479"/>
      <c r="H21" s="4479"/>
      <c r="I21" s="4478"/>
      <c r="J21" s="4478"/>
    </row>
    <row r="22" spans="2:10">
      <c r="B22" s="4454"/>
      <c r="C22" s="4454"/>
      <c r="D22" s="4455"/>
      <c r="E22" s="4507"/>
      <c r="F22" s="4456"/>
      <c r="G22" s="4479"/>
      <c r="H22" s="4479"/>
      <c r="I22" s="4478"/>
      <c r="J22" s="4478"/>
    </row>
    <row r="23" spans="2:10">
      <c r="B23" s="4454"/>
      <c r="C23" s="4454"/>
      <c r="D23" s="4455"/>
      <c r="E23" s="2840"/>
      <c r="F23" s="4456"/>
      <c r="G23" s="4479"/>
      <c r="H23" s="4479"/>
      <c r="I23" s="4478"/>
      <c r="J23" s="4478"/>
    </row>
    <row r="24" spans="2:10">
      <c r="B24" s="4454"/>
      <c r="C24" s="4454"/>
      <c r="D24" s="4455"/>
      <c r="E24" s="2840"/>
      <c r="F24" s="4456"/>
      <c r="G24" s="4479"/>
      <c r="H24" s="4479"/>
      <c r="I24" s="4478"/>
      <c r="J24" s="4478"/>
    </row>
    <row r="25" spans="2:10">
      <c r="B25" s="4454"/>
      <c r="C25" s="4454"/>
      <c r="D25" s="4455"/>
      <c r="E25" s="2840"/>
      <c r="F25" s="4456"/>
      <c r="G25" s="4479"/>
      <c r="H25" s="4479"/>
      <c r="I25" s="4478"/>
      <c r="J25" s="4478"/>
    </row>
    <row r="26" spans="2:10">
      <c r="B26" s="4485"/>
      <c r="C26" s="4485"/>
      <c r="D26" s="4486"/>
      <c r="E26" s="4508"/>
      <c r="F26" s="4488"/>
      <c r="G26" s="4496"/>
      <c r="H26" s="4496"/>
      <c r="I26" s="4495"/>
      <c r="J26" s="4495"/>
    </row>
    <row r="27" spans="2:10">
      <c r="B27" s="4454"/>
      <c r="C27" s="4454"/>
      <c r="D27" s="4455"/>
      <c r="E27" s="2840"/>
      <c r="F27" s="4456"/>
      <c r="G27" s="4479"/>
      <c r="H27" s="4479"/>
      <c r="I27" s="4478"/>
      <c r="J27" s="4478"/>
    </row>
    <row r="28" spans="2:10">
      <c r="B28" s="4456"/>
      <c r="C28" s="4454"/>
      <c r="D28" s="4506"/>
      <c r="E28" s="2840"/>
      <c r="F28" s="4456"/>
      <c r="G28" s="4479"/>
      <c r="H28" s="4479"/>
      <c r="I28" s="4478"/>
      <c r="J28" s="4478"/>
    </row>
    <row r="29" spans="2:10">
      <c r="B29" s="4454"/>
      <c r="C29" s="4454"/>
      <c r="D29" s="4455"/>
      <c r="E29" s="2840"/>
      <c r="F29" s="4456"/>
      <c r="G29" s="4479"/>
      <c r="H29" s="4479"/>
      <c r="I29" s="4478"/>
      <c r="J29" s="4478"/>
    </row>
    <row r="30" spans="2:10">
      <c r="B30" s="4454"/>
      <c r="C30" s="4454"/>
      <c r="D30" s="4455"/>
      <c r="E30" s="2840"/>
      <c r="F30" s="4456"/>
      <c r="G30" s="4479"/>
      <c r="H30" s="4479"/>
      <c r="I30" s="4478"/>
      <c r="J30" s="4478"/>
    </row>
    <row r="31" spans="2:10">
      <c r="B31" s="4454"/>
      <c r="C31" s="4454"/>
      <c r="D31" s="4455"/>
      <c r="E31" s="2840"/>
      <c r="F31" s="4456"/>
      <c r="G31" s="4479"/>
      <c r="H31" s="4479"/>
      <c r="I31" s="4478"/>
      <c r="J31" s="4478"/>
    </row>
    <row r="32" spans="2:10">
      <c r="B32" s="4454"/>
      <c r="C32" s="4454"/>
      <c r="D32" s="4455"/>
      <c r="E32" s="2840"/>
      <c r="F32" s="4456"/>
      <c r="G32" s="4479"/>
      <c r="H32" s="4479"/>
      <c r="I32" s="4478"/>
      <c r="J32" s="4478"/>
    </row>
    <row r="33" spans="2:10">
      <c r="B33" s="4454"/>
      <c r="C33" s="4454"/>
      <c r="D33" s="4455"/>
      <c r="E33" s="2840"/>
      <c r="F33" s="4456"/>
      <c r="G33" s="4479"/>
      <c r="H33" s="4479"/>
      <c r="I33" s="4478"/>
      <c r="J33" s="4478"/>
    </row>
    <row r="34" spans="2:10">
      <c r="B34" s="4454"/>
      <c r="C34" s="4454"/>
      <c r="D34" s="4455"/>
      <c r="E34" s="2840"/>
      <c r="F34" s="4456"/>
      <c r="G34" s="4479"/>
      <c r="H34" s="4479"/>
      <c r="I34" s="4478"/>
      <c r="J34" s="4478"/>
    </row>
    <row r="35" spans="2:10">
      <c r="B35" s="4454"/>
      <c r="C35" s="4454"/>
      <c r="D35" s="4455"/>
      <c r="E35" s="2840"/>
      <c r="F35" s="4456"/>
      <c r="G35" s="4479"/>
      <c r="H35" s="4479"/>
      <c r="I35" s="4478"/>
      <c r="J35" s="4478"/>
    </row>
    <row r="36" spans="2:10">
      <c r="B36" s="4454"/>
      <c r="C36" s="4454"/>
      <c r="D36" s="4455"/>
      <c r="E36" s="4507"/>
      <c r="F36" s="4456"/>
      <c r="G36" s="4479"/>
      <c r="H36" s="4479"/>
      <c r="I36" s="4478"/>
      <c r="J36" s="4478"/>
    </row>
    <row r="37" spans="2:10">
      <c r="B37" s="4454"/>
      <c r="C37" s="4454"/>
      <c r="D37" s="4455"/>
      <c r="E37" s="2840"/>
      <c r="F37" s="4456"/>
      <c r="G37" s="4479"/>
      <c r="H37" s="4479"/>
      <c r="I37" s="4478"/>
      <c r="J37" s="4478"/>
    </row>
    <row r="38" spans="2:10">
      <c r="B38" s="4485"/>
      <c r="C38" s="4485"/>
      <c r="D38" s="4486"/>
      <c r="E38" s="4508"/>
      <c r="F38" s="4488"/>
      <c r="G38" s="4496"/>
      <c r="H38" s="4496"/>
      <c r="I38" s="4495"/>
      <c r="J38" s="4495"/>
    </row>
    <row r="39" spans="2:10">
      <c r="B39" s="4454"/>
      <c r="C39" s="4454"/>
      <c r="D39" s="4509"/>
      <c r="E39" s="2199"/>
      <c r="F39" s="4456"/>
      <c r="G39" s="4479"/>
      <c r="H39" s="4479"/>
      <c r="I39" s="4478"/>
      <c r="J39" s="4478"/>
    </row>
    <row r="40" spans="2:10">
      <c r="B40" s="4456" t="s">
        <v>683</v>
      </c>
      <c r="C40" s="4454"/>
      <c r="D40" s="4509"/>
      <c r="E40" s="2199"/>
      <c r="F40" s="4456"/>
      <c r="G40" s="4479"/>
      <c r="H40" s="4479"/>
      <c r="I40" s="4478"/>
      <c r="J40" s="4478"/>
    </row>
    <row r="41" spans="2:10">
      <c r="B41" s="4454"/>
      <c r="C41" s="4454"/>
      <c r="D41" s="4509"/>
      <c r="E41" s="2199"/>
      <c r="F41" s="4456"/>
      <c r="G41" s="4479"/>
      <c r="H41" s="4479"/>
      <c r="I41" s="4478"/>
      <c r="J41" s="4478"/>
    </row>
    <row r="42" spans="2:10">
      <c r="B42" s="4454"/>
      <c r="C42" s="4454"/>
      <c r="D42" s="4509"/>
      <c r="E42" s="4507"/>
      <c r="F42" s="4456"/>
      <c r="G42" s="4479"/>
      <c r="H42" s="4479"/>
      <c r="I42" s="4478"/>
      <c r="J42" s="4478"/>
    </row>
    <row r="43" spans="2:10">
      <c r="B43" s="4454"/>
      <c r="C43" s="4454"/>
      <c r="D43" s="4509"/>
      <c r="E43" s="2199"/>
      <c r="F43" s="4456"/>
      <c r="G43" s="4479"/>
      <c r="H43" s="4479"/>
      <c r="I43" s="4478"/>
      <c r="J43" s="4478"/>
    </row>
    <row r="44" spans="2:10">
      <c r="B44" s="4454"/>
      <c r="C44" s="4454"/>
      <c r="D44" s="4509"/>
      <c r="E44" s="2199"/>
      <c r="F44" s="4456"/>
      <c r="G44"/>
      <c r="H44" s="4479"/>
      <c r="I44" s="4478"/>
      <c r="J44" s="4478"/>
    </row>
    <row r="45" spans="2:10">
      <c r="B45" s="4454"/>
      <c r="C45" s="4454"/>
      <c r="D45" s="4509"/>
      <c r="E45" s="2199"/>
      <c r="F45" s="4456"/>
      <c r="G45" s="4479"/>
      <c r="H45" s="4479"/>
      <c r="I45" s="4478"/>
      <c r="J45" s="4478"/>
    </row>
    <row r="46" spans="2:10">
      <c r="B46" s="4454"/>
      <c r="C46" s="4454"/>
      <c r="D46" s="4509"/>
      <c r="E46" s="4507"/>
      <c r="F46" s="4456"/>
      <c r="G46" s="4479"/>
      <c r="H46" s="4479"/>
      <c r="I46" s="4478"/>
      <c r="J46" s="4478"/>
    </row>
    <row r="47" spans="2:10">
      <c r="B47" s="4485"/>
      <c r="C47" s="4485"/>
      <c r="D47" s="4486"/>
      <c r="E47" s="4508"/>
      <c r="F47" s="4488"/>
      <c r="G47" s="4496"/>
      <c r="H47" s="4496"/>
      <c r="I47" s="4495"/>
      <c r="J47" s="4495"/>
    </row>
    <row r="48" spans="2:10">
      <c r="B48" s="4454"/>
      <c r="C48" s="4454"/>
      <c r="D48" s="4509"/>
      <c r="E48" s="2199"/>
      <c r="F48" s="4456"/>
      <c r="G48" s="4479"/>
      <c r="H48" s="4479"/>
      <c r="I48" s="4478"/>
      <c r="J48" s="4478"/>
    </row>
    <row r="49" spans="2:10">
      <c r="B49" s="4456" t="s">
        <v>684</v>
      </c>
      <c r="C49" s="4454"/>
      <c r="D49" s="4509"/>
      <c r="E49" s="2199"/>
      <c r="F49" s="4456"/>
      <c r="G49" s="4479"/>
      <c r="H49" s="4479"/>
      <c r="I49" s="4478"/>
      <c r="J49" s="4478"/>
    </row>
    <row r="50" spans="2:10">
      <c r="B50" s="4454"/>
      <c r="C50" s="4454"/>
      <c r="D50" s="4509"/>
      <c r="E50" s="2199"/>
      <c r="F50" s="4456"/>
      <c r="G50" s="4479"/>
      <c r="H50" s="4479"/>
      <c r="I50" s="4478"/>
      <c r="J50" s="4478"/>
    </row>
    <row r="51" spans="2:10">
      <c r="B51" s="4454"/>
      <c r="C51" s="4454"/>
      <c r="D51" s="4509"/>
      <c r="E51" s="4507"/>
      <c r="F51" s="4456"/>
      <c r="G51" s="4479"/>
      <c r="H51" s="4479"/>
      <c r="I51" s="4478"/>
      <c r="J51" s="4478"/>
    </row>
    <row r="52" spans="2:10">
      <c r="B52" s="4454"/>
      <c r="C52" s="4454"/>
      <c r="D52" s="4509"/>
      <c r="E52" s="2199"/>
      <c r="F52" s="4456"/>
      <c r="G52" s="4479"/>
      <c r="H52" s="4479"/>
      <c r="I52" s="4478"/>
      <c r="J52" s="4478"/>
    </row>
    <row r="53" spans="2:10">
      <c r="B53" s="4485"/>
      <c r="C53" s="4485"/>
      <c r="D53" s="4486"/>
      <c r="E53" s="4508"/>
      <c r="F53" s="4488"/>
      <c r="G53" s="4496"/>
      <c r="H53" s="4496"/>
      <c r="I53" s="4495"/>
      <c r="J53" s="4495"/>
    </row>
    <row r="54" spans="2:10">
      <c r="B54" s="4454"/>
      <c r="C54" s="4454"/>
      <c r="D54" s="4509"/>
      <c r="E54" s="2199"/>
      <c r="F54" s="4456"/>
      <c r="G54" s="4479"/>
      <c r="H54" s="4479"/>
      <c r="I54" s="4478"/>
      <c r="J54" s="4478"/>
    </row>
    <row r="55" spans="2:10">
      <c r="B55" s="4456" t="s">
        <v>685</v>
      </c>
      <c r="C55" s="4454"/>
      <c r="D55" s="4509"/>
      <c r="E55" s="2199"/>
      <c r="F55" s="4456"/>
      <c r="G55" s="4479"/>
      <c r="H55" s="4479"/>
      <c r="I55" s="4478"/>
      <c r="J55" s="4478"/>
    </row>
    <row r="56" spans="2:10">
      <c r="B56" s="4454"/>
      <c r="C56" s="4454"/>
      <c r="D56" s="4509"/>
      <c r="E56" s="2199"/>
      <c r="F56" s="4456"/>
      <c r="G56" s="4479"/>
      <c r="H56" s="4479"/>
      <c r="I56" s="4478"/>
      <c r="J56" s="4478"/>
    </row>
    <row r="57" spans="2:10">
      <c r="B57" s="4454"/>
      <c r="C57" s="4454"/>
      <c r="D57" s="4509"/>
      <c r="E57" s="4507"/>
      <c r="F57" s="4456"/>
      <c r="G57" s="4479"/>
      <c r="H57" s="4479"/>
      <c r="I57" s="4478"/>
      <c r="J57" s="4478"/>
    </row>
    <row r="58" spans="2:10">
      <c r="B58" s="4485"/>
      <c r="C58" s="4485"/>
      <c r="D58" s="4486"/>
      <c r="E58" s="4508"/>
      <c r="F58" s="4488"/>
      <c r="G58" s="4496"/>
      <c r="H58" s="4496"/>
      <c r="I58" s="4495"/>
      <c r="J58" s="4495"/>
    </row>
    <row r="59" spans="2:10">
      <c r="B59" s="4454"/>
      <c r="C59" s="4454"/>
      <c r="D59" s="4509"/>
      <c r="E59" s="2199"/>
      <c r="F59" s="4456"/>
      <c r="G59" s="4479"/>
      <c r="H59" s="4479"/>
      <c r="I59" s="4478"/>
      <c r="J59" s="4478"/>
    </row>
    <row r="60" spans="2:10">
      <c r="B60" s="4454"/>
      <c r="C60" s="4454"/>
      <c r="D60" s="4509"/>
      <c r="E60" s="4461"/>
      <c r="F60" s="4456"/>
      <c r="G60" s="4479"/>
      <c r="H60" s="4479"/>
      <c r="I60" s="4478"/>
      <c r="J60" s="4478"/>
    </row>
    <row r="61" spans="2:10">
      <c r="B61" s="4454"/>
      <c r="C61" s="4454"/>
      <c r="D61" s="4509"/>
      <c r="E61"/>
      <c r="F61" s="4456"/>
      <c r="G61" s="4479"/>
      <c r="H61" s="4479"/>
      <c r="I61" s="4478"/>
      <c r="J61" s="4478"/>
    </row>
    <row r="62" spans="2:10">
      <c r="B62" s="4454"/>
      <c r="C62" s="4454"/>
      <c r="D62" s="4509"/>
      <c r="E62" s="2199"/>
      <c r="F62" s="4456"/>
      <c r="G62" s="4479"/>
      <c r="H62" s="4479"/>
      <c r="I62" s="4478"/>
      <c r="J62" s="4478"/>
    </row>
    <row r="63" spans="2:10">
      <c r="B63" s="4454"/>
      <c r="C63" s="4454"/>
      <c r="D63" s="4509"/>
      <c r="E63" s="2199"/>
      <c r="F63" s="4456"/>
      <c r="G63" s="4479"/>
      <c r="H63" s="4479"/>
      <c r="I63" s="4478"/>
      <c r="J63" s="4478"/>
    </row>
    <row r="64" spans="2:10">
      <c r="B64" s="4454"/>
      <c r="C64" s="4454"/>
      <c r="D64" s="4509"/>
      <c r="E64" s="2199"/>
      <c r="F64" s="4456"/>
      <c r="G64" s="4479"/>
      <c r="H64" s="4479"/>
      <c r="I64" s="4478"/>
      <c r="J64" s="4478"/>
    </row>
    <row r="65" spans="2:10">
      <c r="B65" s="4454"/>
      <c r="C65" s="4454"/>
      <c r="D65" s="4509"/>
      <c r="E65" s="2199"/>
      <c r="F65" s="4456"/>
      <c r="G65" s="4479"/>
      <c r="H65" s="4479"/>
      <c r="I65" s="4478"/>
      <c r="J65" s="4478"/>
    </row>
    <row r="66" spans="2:10">
      <c r="B66" s="4454"/>
      <c r="C66" s="4454"/>
      <c r="D66" s="4509"/>
      <c r="E66" s="2199"/>
      <c r="F66" s="4456"/>
      <c r="G66" s="4479"/>
      <c r="H66" s="4479"/>
      <c r="I66" s="4478"/>
      <c r="J66" s="4478"/>
    </row>
    <row r="67" spans="2:10">
      <c r="B67" s="4454"/>
      <c r="C67" s="4454"/>
      <c r="D67" s="4509"/>
      <c r="E67" s="2199"/>
      <c r="F67" s="4456"/>
      <c r="G67" s="4479"/>
      <c r="H67" s="4479"/>
      <c r="I67" s="4478"/>
      <c r="J67" s="4478"/>
    </row>
    <row r="68" spans="2:10">
      <c r="B68" s="4454"/>
      <c r="C68" s="4454"/>
      <c r="D68" s="4509"/>
      <c r="E68" s="2199"/>
      <c r="F68" s="4456"/>
      <c r="G68" s="4479"/>
      <c r="H68" s="4479"/>
      <c r="I68" s="4478"/>
      <c r="J68" s="4478"/>
    </row>
    <row r="69" spans="2:10">
      <c r="B69" s="4454"/>
      <c r="C69" s="4454"/>
      <c r="D69" s="4509"/>
      <c r="E69" s="2199"/>
      <c r="F69" s="4456"/>
      <c r="G69" s="4479"/>
      <c r="H69" s="4479"/>
      <c r="I69" s="4478"/>
      <c r="J69" s="4478"/>
    </row>
    <row r="70" spans="2:10">
      <c r="B70" s="4454"/>
      <c r="C70" s="4454"/>
      <c r="D70" s="4509"/>
      <c r="E70" s="4461"/>
      <c r="F70" s="4456"/>
      <c r="G70" s="4454"/>
      <c r="H70" s="4479"/>
      <c r="I70" s="4478"/>
      <c r="J70" s="4478"/>
    </row>
    <row r="71" spans="2:10">
      <c r="B71" s="4454"/>
      <c r="C71" s="4454"/>
      <c r="D71" s="4509"/>
      <c r="E71" s="4461"/>
      <c r="F71" s="4456"/>
      <c r="G71" s="4479"/>
      <c r="H71" s="4479"/>
      <c r="I71" s="4478"/>
      <c r="J71" s="4478"/>
    </row>
    <row r="72" spans="2:10">
      <c r="B72" s="4485"/>
      <c r="C72" s="4485"/>
      <c r="D72" s="4486"/>
      <c r="E72" s="4508"/>
      <c r="F72" s="4488"/>
      <c r="G72" s="4496"/>
      <c r="H72" s="4496"/>
      <c r="I72" s="4495"/>
      <c r="J72" s="4495"/>
    </row>
    <row r="73" spans="2:10">
      <c r="B73" s="4454"/>
      <c r="C73" s="4454"/>
      <c r="D73" s="4509"/>
      <c r="E73" s="2199"/>
      <c r="F73" s="4456"/>
      <c r="G73" s="4479"/>
      <c r="H73" s="4479"/>
      <c r="I73" s="4478"/>
      <c r="J73" s="4478"/>
    </row>
    <row r="74" spans="2:10">
      <c r="B74" s="4454"/>
      <c r="C74" s="4454"/>
      <c r="D74" s="4509"/>
      <c r="E74" s="4461"/>
      <c r="F74" s="4456"/>
      <c r="G74" s="4479"/>
      <c r="H74" s="4479"/>
      <c r="I74" s="4478"/>
      <c r="J74" s="4478"/>
    </row>
    <row r="75" spans="2:10">
      <c r="B75" s="4454"/>
      <c r="C75" s="4454"/>
      <c r="D75" s="4509"/>
      <c r="E75" s="4461"/>
      <c r="F75" s="4456"/>
      <c r="G75" s="4479"/>
      <c r="H75" s="4479"/>
      <c r="I75" s="4478"/>
      <c r="J75" s="4478"/>
    </row>
    <row r="76" spans="2:10">
      <c r="B76" s="4454"/>
      <c r="C76" s="4454"/>
      <c r="D76" s="4509"/>
      <c r="E76"/>
      <c r="F76" s="4456"/>
      <c r="G76" s="4479"/>
      <c r="H76" s="4479"/>
      <c r="I76" s="4478"/>
      <c r="J76" s="4478"/>
    </row>
    <row r="77" spans="2:10">
      <c r="B77" s="4454"/>
      <c r="C77" s="4454"/>
      <c r="D77" s="4509"/>
      <c r="E77" s="2199"/>
      <c r="F77" s="4456"/>
      <c r="G77" s="4479"/>
      <c r="H77" s="4479"/>
      <c r="I77" s="4478"/>
      <c r="J77" s="4478"/>
    </row>
    <row r="78" spans="2:10">
      <c r="B78" s="4454"/>
      <c r="C78" s="4454"/>
      <c r="D78" s="4509"/>
      <c r="E78" s="2199"/>
      <c r="F78" s="4456"/>
      <c r="G78" s="4479"/>
      <c r="H78" s="4479"/>
      <c r="I78" s="4478"/>
      <c r="J78" s="4478"/>
    </row>
    <row r="79" spans="2:10">
      <c r="B79" s="4454"/>
      <c r="C79" s="4454"/>
      <c r="D79" s="4509"/>
      <c r="E79"/>
      <c r="F79" s="4456"/>
      <c r="G79" s="4454"/>
      <c r="H79" s="4479"/>
      <c r="I79" s="4478"/>
      <c r="J79" s="4478"/>
    </row>
    <row r="80" spans="2:10">
      <c r="B80" s="4454"/>
      <c r="C80" s="4454"/>
      <c r="D80" s="4509"/>
      <c r="E80" s="4461"/>
      <c r="F80" s="4456"/>
      <c r="G80" s="4479"/>
      <c r="H80" s="4479"/>
      <c r="I80" s="4478"/>
      <c r="J80" s="4478"/>
    </row>
    <row r="81" spans="2:10">
      <c r="B81" s="4454"/>
      <c r="C81" s="4454"/>
      <c r="D81" s="4509"/>
      <c r="E81" s="4461"/>
      <c r="F81" s="4456"/>
      <c r="G81" s="4479"/>
      <c r="H81" s="4479"/>
      <c r="I81" s="4478"/>
      <c r="J81" s="4478"/>
    </row>
    <row r="82" spans="2:10">
      <c r="B82" s="4454"/>
      <c r="C82" s="4454"/>
      <c r="D82" s="4509"/>
      <c r="E82"/>
      <c r="F82" s="4456"/>
      <c r="G82" s="4479"/>
      <c r="H82" s="4479"/>
      <c r="I82" s="4478"/>
      <c r="J82" s="4478"/>
    </row>
    <row r="83" spans="2:10">
      <c r="B83" s="4454"/>
      <c r="C83" s="4454"/>
      <c r="D83" s="4509"/>
      <c r="E83" s="2199"/>
      <c r="F83" s="4456"/>
      <c r="G83" s="4479"/>
      <c r="H83" s="4479"/>
      <c r="I83" s="4478"/>
      <c r="J83" s="4478"/>
    </row>
    <row r="84" spans="2:10">
      <c r="B84" s="4454"/>
      <c r="C84" s="4454"/>
      <c r="D84" s="4509"/>
      <c r="E84" s="2199"/>
      <c r="F84" s="4456"/>
      <c r="G84" s="4479"/>
      <c r="H84" s="4479"/>
      <c r="I84" s="4478"/>
      <c r="J84" s="4478"/>
    </row>
    <row r="85" spans="2:10">
      <c r="B85" s="4454"/>
      <c r="C85" s="4454"/>
      <c r="D85" s="4509"/>
      <c r="E85" s="2199"/>
      <c r="F85" s="4456"/>
      <c r="G85" s="4479"/>
      <c r="H85" s="4479"/>
      <c r="I85" s="4478"/>
      <c r="J85" s="4478"/>
    </row>
    <row r="86" spans="2:10">
      <c r="B86" s="4454"/>
      <c r="C86" s="4454"/>
      <c r="D86" s="4509"/>
      <c r="E86" s="2199"/>
      <c r="F86" s="4456"/>
      <c r="G86" s="4479"/>
      <c r="H86" s="4479"/>
      <c r="I86" s="4478"/>
      <c r="J86" s="4478"/>
    </row>
    <row r="87" spans="2:10">
      <c r="B87" s="4454"/>
      <c r="C87" s="4454"/>
      <c r="D87" s="4509"/>
      <c r="E87" s="2199"/>
      <c r="F87" s="4456"/>
      <c r="G87" s="4479"/>
      <c r="H87" s="4479"/>
      <c r="I87" s="4478"/>
      <c r="J87" s="4478"/>
    </row>
    <row r="88" spans="2:10">
      <c r="B88" s="4454"/>
      <c r="C88" s="4454"/>
      <c r="D88" s="4509"/>
      <c r="E88" s="2199"/>
      <c r="F88" s="4456"/>
      <c r="G88" s="4479"/>
      <c r="H88" s="4479"/>
      <c r="I88" s="4478"/>
      <c r="J88" s="4478"/>
    </row>
    <row r="89" spans="2:10">
      <c r="B89" s="4454"/>
      <c r="C89" s="4454"/>
      <c r="D89" s="4509"/>
      <c r="E89" s="2199"/>
      <c r="F89" s="4456"/>
      <c r="G89" s="4479"/>
      <c r="H89" s="4479"/>
      <c r="I89" s="4478"/>
      <c r="J89" s="4478"/>
    </row>
    <row r="90" spans="2:10">
      <c r="B90" s="4454"/>
      <c r="C90" s="4454"/>
      <c r="D90" s="4509"/>
      <c r="E90" s="2199"/>
      <c r="F90" s="4456"/>
      <c r="G90" s="4479"/>
      <c r="H90" s="4479"/>
      <c r="I90" s="4478"/>
      <c r="J90" s="4478"/>
    </row>
    <row r="91" spans="2:10">
      <c r="B91" s="4454"/>
      <c r="C91" s="4454"/>
      <c r="D91" s="4509"/>
      <c r="E91" s="2199"/>
      <c r="F91" s="4456"/>
      <c r="G91" s="4479"/>
      <c r="H91" s="4479"/>
      <c r="I91" s="4478"/>
      <c r="J91" s="4478"/>
    </row>
    <row r="92" spans="2:10">
      <c r="B92" s="4454"/>
      <c r="C92" s="4454"/>
      <c r="D92" s="4509"/>
      <c r="E92" s="2199"/>
      <c r="F92" s="4456"/>
      <c r="G92" s="4479"/>
      <c r="H92" s="4479"/>
      <c r="I92" s="4478"/>
      <c r="J92" s="4478"/>
    </row>
    <row r="93" spans="2:10">
      <c r="B93" s="4454"/>
      <c r="C93" s="4454"/>
      <c r="D93" s="4509"/>
      <c r="E93" s="2199"/>
      <c r="F93" s="4456"/>
      <c r="G93" s="4479"/>
      <c r="H93" s="4479"/>
      <c r="I93" s="4478"/>
      <c r="J93" s="4478"/>
    </row>
    <row r="94" spans="2:10">
      <c r="B94" s="4454"/>
      <c r="C94" s="4454"/>
      <c r="D94" s="4509"/>
      <c r="E94" s="2199"/>
      <c r="F94" s="4456"/>
      <c r="G94" s="4479"/>
      <c r="H94" s="4479"/>
      <c r="I94" s="4478"/>
      <c r="J94" s="4478"/>
    </row>
    <row r="95" spans="2:10">
      <c r="B95" s="4454"/>
      <c r="C95" s="4454"/>
      <c r="D95" s="4509"/>
      <c r="E95" s="2199"/>
      <c r="F95" s="4456"/>
      <c r="G95" s="4479"/>
      <c r="H95" s="4479"/>
      <c r="I95" s="4478"/>
      <c r="J95" s="4478"/>
    </row>
    <row r="96" spans="2:10">
      <c r="B96" s="4454"/>
      <c r="C96" s="4454"/>
      <c r="D96" s="4509"/>
      <c r="E96" s="2199"/>
      <c r="F96" s="4456"/>
      <c r="G96" s="4479"/>
      <c r="H96" s="4479"/>
      <c r="I96" s="4478"/>
      <c r="J96" s="4478"/>
    </row>
    <row r="97" spans="2:10">
      <c r="B97" s="4454"/>
      <c r="C97" s="4454"/>
      <c r="D97" s="4509"/>
      <c r="E97" s="2199"/>
      <c r="F97" s="4456"/>
      <c r="G97" s="4479"/>
      <c r="H97" s="4479"/>
      <c r="I97" s="4478"/>
      <c r="J97" s="4478"/>
    </row>
    <row r="98" spans="2:10">
      <c r="B98" s="4454"/>
      <c r="C98" s="4454"/>
      <c r="D98" s="4509"/>
      <c r="E98" s="2199"/>
      <c r="F98" s="4456"/>
      <c r="G98" s="4479"/>
      <c r="H98" s="4479"/>
      <c r="I98" s="4478"/>
      <c r="J98" s="4478"/>
    </row>
    <row r="99" spans="2:10">
      <c r="B99" s="4454"/>
      <c r="C99" s="4454"/>
      <c r="D99" s="4509"/>
      <c r="E99" s="2199"/>
      <c r="F99" s="4456"/>
      <c r="G99" s="4479"/>
      <c r="H99" s="4479"/>
      <c r="I99" s="4478"/>
      <c r="J99" s="4478"/>
    </row>
    <row r="100" spans="2:10">
      <c r="B100" s="4454"/>
      <c r="C100" s="4454"/>
      <c r="D100" s="4509"/>
      <c r="E100" s="2199"/>
      <c r="F100" s="4456"/>
      <c r="G100" s="4479"/>
      <c r="H100" s="4479"/>
      <c r="I100" s="4478"/>
      <c r="J100" s="4478"/>
    </row>
    <row r="101" spans="2:10">
      <c r="B101" s="4454"/>
      <c r="C101" s="4454"/>
      <c r="D101" s="4509"/>
      <c r="E101" s="2199"/>
      <c r="F101" s="4456"/>
      <c r="G101" s="4479"/>
      <c r="H101" s="4479"/>
      <c r="I101" s="4478"/>
      <c r="J101" s="4478"/>
    </row>
    <row r="102" spans="2:10">
      <c r="B102" s="4454"/>
      <c r="C102" s="4454"/>
      <c r="D102" s="4509"/>
      <c r="E102" s="2199"/>
      <c r="F102" s="4456"/>
      <c r="G102" s="4479"/>
      <c r="H102" s="4479"/>
      <c r="I102" s="4478"/>
      <c r="J102" s="4478"/>
    </row>
    <row r="103" spans="2:10">
      <c r="B103" s="4454"/>
      <c r="C103" s="4454"/>
      <c r="D103" s="4509"/>
      <c r="E103" s="2199"/>
      <c r="F103" s="4456"/>
      <c r="G103" s="4479"/>
      <c r="H103" s="4479"/>
      <c r="I103" s="4478"/>
      <c r="J103" s="4478"/>
    </row>
    <row r="104" spans="2:10">
      <c r="B104" s="4454"/>
      <c r="C104" s="4454"/>
      <c r="D104" s="4509"/>
      <c r="E104" s="2199"/>
      <c r="F104" s="4456"/>
      <c r="G104" s="4479"/>
      <c r="H104" s="4479"/>
      <c r="I104" s="4478"/>
      <c r="J104" s="4478"/>
    </row>
    <row r="105" spans="2:10">
      <c r="B105" s="4454"/>
      <c r="C105" s="4454"/>
      <c r="D105" s="4509"/>
      <c r="E105" s="2199"/>
      <c r="F105" s="4456"/>
      <c r="G105" s="4479"/>
      <c r="H105" s="4479"/>
      <c r="I105" s="4478"/>
      <c r="J105" s="4478"/>
    </row>
    <row r="106" spans="2:10">
      <c r="B106" s="4454"/>
      <c r="C106" s="4454"/>
      <c r="D106" s="4509"/>
      <c r="E106" s="2199"/>
      <c r="F106" s="4456"/>
      <c r="G106" s="4479"/>
      <c r="H106" s="4479"/>
      <c r="I106" s="4478"/>
      <c r="J106" s="4478"/>
    </row>
    <row r="107" spans="2:10">
      <c r="B107" s="4454"/>
      <c r="C107" s="4454"/>
      <c r="D107" s="4509"/>
      <c r="E107" s="2199"/>
      <c r="F107" s="4456"/>
      <c r="G107" s="4479"/>
      <c r="H107" s="4479"/>
      <c r="I107" s="4478"/>
      <c r="J107" s="4478"/>
    </row>
    <row r="108" spans="2:10">
      <c r="B108" s="4454"/>
      <c r="C108" s="4454"/>
      <c r="D108" s="4509"/>
      <c r="E108" s="2199"/>
      <c r="F108" s="4456"/>
      <c r="G108" s="4479"/>
      <c r="H108" s="4479"/>
      <c r="I108" s="4478"/>
      <c r="J108" s="4478"/>
    </row>
    <row r="109" spans="2:10">
      <c r="B109" s="4454"/>
      <c r="C109" s="4454"/>
      <c r="D109" s="4509"/>
      <c r="E109" s="2199"/>
      <c r="F109" s="4456"/>
      <c r="G109" s="4479"/>
      <c r="H109" s="4479"/>
      <c r="I109" s="4478"/>
      <c r="J109" s="4478"/>
    </row>
    <row r="110" spans="2:10">
      <c r="B110" s="4454"/>
      <c r="C110" s="4454"/>
      <c r="D110" s="4509"/>
      <c r="E110" s="2199"/>
      <c r="F110" s="4456"/>
      <c r="G110" s="4479"/>
      <c r="H110" s="4479"/>
      <c r="I110" s="4478"/>
      <c r="J110" s="4478"/>
    </row>
    <row r="111" spans="2:10">
      <c r="B111" s="4454"/>
      <c r="C111" s="4454"/>
      <c r="D111" s="4509"/>
      <c r="E111" s="2199"/>
      <c r="F111" s="4456"/>
      <c r="G111" s="4479"/>
      <c r="H111" s="4479"/>
      <c r="I111" s="4478"/>
      <c r="J111" s="4478"/>
    </row>
    <row r="112" ht="13.95" spans="2:10">
      <c r="B112" s="4454"/>
      <c r="C112" s="4454"/>
      <c r="D112" s="4455"/>
      <c r="E112" s="2840"/>
      <c r="F112" s="4456"/>
      <c r="G112" s="4479"/>
      <c r="H112" s="4479"/>
      <c r="I112" s="4478"/>
      <c r="J112" s="4480"/>
    </row>
    <row r="113" spans="2:10">
      <c r="B113" s="4490"/>
      <c r="C113" s="4490"/>
      <c r="D113" s="4491"/>
      <c r="E113" s="1976" t="s">
        <v>675</v>
      </c>
      <c r="F113" s="4490"/>
      <c r="G113" s="4510">
        <f>G12+G13+G19+G20+G28+G29</f>
        <v>0</v>
      </c>
      <c r="H113" s="4510">
        <f>H12+H13+H19+H20+H28+H29</f>
        <v>0</v>
      </c>
      <c r="I113" s="4490"/>
      <c r="J113" s="4490"/>
    </row>
    <row r="114" ht="13.95" spans="2:10">
      <c r="B114" s="4480"/>
      <c r="C114" s="4480"/>
      <c r="D114" s="4493"/>
      <c r="E114" s="4511"/>
      <c r="F114" s="4480"/>
      <c r="G114" s="4481"/>
      <c r="H114" s="4481">
        <f>G113-H113</f>
        <v>0</v>
      </c>
      <c r="I114" s="4480"/>
      <c r="J114" s="4480"/>
    </row>
  </sheetData>
  <printOptions horizontalCentered="1" gridLines="1"/>
  <pageMargins left="0.31496062992126" right="0.31496062992126" top="0.31496062992126" bottom="0.15748031496063" header="0.511811023622047" footer="0.118110236220472"/>
  <pageSetup paperSize="9" scale="65" orientation="portrait"/>
  <headerFooter alignWithMargins="0">
    <oddFooter>&amp;R&amp;"Arial,Bold"&amp;48&amp;A</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3">
    <tabColor rgb="FFFFC000"/>
  </sheetPr>
  <dimension ref="B2:Q182"/>
  <sheetViews>
    <sheetView zoomScale="130" zoomScaleNormal="130" workbookViewId="0">
      <pane xSplit="5" ySplit="10" topLeftCell="F75" activePane="bottomRight" state="frozen"/>
      <selection/>
      <selection pane="topRight"/>
      <selection pane="bottomLeft"/>
      <selection pane="bottomRight" activeCell="E85" sqref="E85"/>
    </sheetView>
  </sheetViews>
  <sheetFormatPr defaultColWidth="11.2395833333333" defaultRowHeight="13.2"/>
  <cols>
    <col min="1" max="1" width="4.04166666666667" customWidth="1"/>
    <col min="2" max="2" width="7.34375" customWidth="1"/>
    <col min="3" max="3" width="12.4375" customWidth="1"/>
    <col min="4" max="4" width="4.19791666666667" customWidth="1"/>
    <col min="5" max="5" width="40.4583333333333" style="101" customWidth="1"/>
    <col min="6" max="6" width="15.1354166666667" customWidth="1"/>
    <col min="7" max="10" width="17.8333333333333" style="1190" customWidth="1"/>
    <col min="11" max="11" width="15.1354166666667" customWidth="1"/>
    <col min="12" max="12" width="14.2395833333333" customWidth="1"/>
    <col min="13" max="13" width="19.78125" customWidth="1"/>
    <col min="15" max="15" width="20.53125" style="137" customWidth="1"/>
    <col min="16" max="16" width="14.8333333333333" style="137" customWidth="1"/>
  </cols>
  <sheetData>
    <row r="2" spans="2:13">
      <c r="B2" s="4433" t="str">
        <f>'F30'!B2</f>
        <v>KAP LIASTA NIRWAN SYAFRUDIN &amp; REKAN</v>
      </c>
      <c r="C2" s="4434"/>
      <c r="D2" s="4434"/>
      <c r="E2" s="4435"/>
      <c r="F2" s="4434"/>
      <c r="G2" s="4434"/>
      <c r="H2" s="4434"/>
      <c r="I2" s="4434"/>
      <c r="J2" s="4434"/>
      <c r="K2" s="4434" t="s">
        <v>481</v>
      </c>
      <c r="L2" s="4434" t="s">
        <v>482</v>
      </c>
      <c r="M2" s="4474" t="s">
        <v>483</v>
      </c>
    </row>
    <row r="3" spans="2:13">
      <c r="B3" s="4436"/>
      <c r="C3" s="4437"/>
      <c r="D3" s="4437"/>
      <c r="E3" s="4438"/>
      <c r="F3" s="4437"/>
      <c r="G3" s="4437"/>
      <c r="H3" s="4437"/>
      <c r="I3" s="4437"/>
      <c r="J3" s="4437"/>
      <c r="K3" s="4437" t="s">
        <v>686</v>
      </c>
      <c r="L3" s="4475">
        <v>44828</v>
      </c>
      <c r="M3" s="4476" t="s">
        <v>687</v>
      </c>
    </row>
    <row r="4" spans="2:13">
      <c r="B4" s="4439" t="s">
        <v>677</v>
      </c>
      <c r="C4" s="3830" t="s">
        <v>688</v>
      </c>
      <c r="D4" s="1548"/>
      <c r="E4" s="4440"/>
      <c r="F4" s="1548"/>
      <c r="G4" s="1548"/>
      <c r="H4" s="1548"/>
      <c r="I4" s="1548"/>
      <c r="J4" s="1548"/>
      <c r="K4" s="774" t="s">
        <v>487</v>
      </c>
      <c r="L4" s="2629" t="s">
        <v>482</v>
      </c>
      <c r="M4" s="774" t="s">
        <v>488</v>
      </c>
    </row>
    <row r="5" spans="2:13">
      <c r="B5" s="775"/>
      <c r="C5" s="753"/>
      <c r="D5" s="753"/>
      <c r="E5" s="2514"/>
      <c r="F5" s="753"/>
      <c r="G5" s="753"/>
      <c r="H5" s="753"/>
      <c r="I5" s="753"/>
      <c r="J5" s="753"/>
      <c r="K5" s="1475"/>
      <c r="L5" s="753"/>
      <c r="M5" s="1475"/>
    </row>
    <row r="6" spans="2:13">
      <c r="B6" s="773"/>
      <c r="C6" s="1760"/>
      <c r="D6" s="1760"/>
      <c r="E6" s="2513"/>
      <c r="F6" s="1760"/>
      <c r="G6" s="1760"/>
      <c r="H6" s="1760"/>
      <c r="I6" s="1760"/>
      <c r="J6" s="1760"/>
      <c r="K6" s="1471"/>
      <c r="L6" s="1760"/>
      <c r="M6" s="1471"/>
    </row>
    <row r="7" spans="2:13">
      <c r="B7" s="1549" t="s">
        <v>689</v>
      </c>
      <c r="C7" s="1550"/>
      <c r="D7" s="1550" t="s">
        <v>690</v>
      </c>
      <c r="E7" s="2514"/>
      <c r="F7" s="753"/>
      <c r="G7" s="753"/>
      <c r="H7" s="753"/>
      <c r="I7" s="753"/>
      <c r="J7" s="753"/>
      <c r="K7" s="1475"/>
      <c r="L7" s="1760"/>
      <c r="M7" s="1475"/>
    </row>
    <row r="8" spans="2:13">
      <c r="B8" s="1086"/>
      <c r="C8" s="164"/>
      <c r="D8" s="164"/>
      <c r="E8" s="110"/>
      <c r="F8" s="164"/>
      <c r="G8" s="4441"/>
      <c r="H8" s="4441"/>
      <c r="I8" s="4441"/>
      <c r="J8" s="4441"/>
      <c r="K8" s="164"/>
      <c r="L8" s="164"/>
      <c r="M8" s="302"/>
    </row>
    <row r="9" spans="2:13">
      <c r="B9" s="4442"/>
      <c r="C9" s="4443"/>
      <c r="D9" s="4444"/>
      <c r="E9" s="4445"/>
      <c r="F9" s="4443" t="s">
        <v>654</v>
      </c>
      <c r="G9" s="4446">
        <v>2022</v>
      </c>
      <c r="H9" s="4447"/>
      <c r="I9" s="4446">
        <f>+G9-1</f>
        <v>2021</v>
      </c>
      <c r="J9" s="4447"/>
      <c r="K9" s="4443"/>
      <c r="L9" s="4443"/>
      <c r="M9" s="4477"/>
    </row>
    <row r="10" ht="16.5" customHeight="1" spans="2:13">
      <c r="B10" s="4448" t="s">
        <v>655</v>
      </c>
      <c r="C10" s="4449" t="s">
        <v>656</v>
      </c>
      <c r="D10" s="4450" t="s">
        <v>657</v>
      </c>
      <c r="E10" s="4451"/>
      <c r="F10" s="4449" t="s">
        <v>658</v>
      </c>
      <c r="G10" s="4452" t="s">
        <v>659</v>
      </c>
      <c r="H10" s="4453" t="s">
        <v>660</v>
      </c>
      <c r="I10" s="4452" t="s">
        <v>659</v>
      </c>
      <c r="J10" s="4453" t="s">
        <v>660</v>
      </c>
      <c r="K10" s="4449" t="s">
        <v>661</v>
      </c>
      <c r="L10" s="4449" t="s">
        <v>662</v>
      </c>
      <c r="M10" s="4449" t="s">
        <v>663</v>
      </c>
    </row>
    <row r="11" spans="2:13">
      <c r="B11" s="4454"/>
      <c r="C11" s="4454"/>
      <c r="D11" s="4455"/>
      <c r="E11" s="2840"/>
      <c r="F11" s="4456"/>
      <c r="G11" s="4457"/>
      <c r="H11" s="4457"/>
      <c r="I11" s="4457"/>
      <c r="J11" s="1139"/>
      <c r="K11" s="4478"/>
      <c r="L11" s="4478"/>
      <c r="M11" s="4479"/>
    </row>
    <row r="12" s="374" customFormat="1" spans="2:16">
      <c r="B12" s="4456" t="s">
        <v>691</v>
      </c>
      <c r="C12" s="4454"/>
      <c r="D12" s="4458"/>
      <c r="E12" s="4459" t="s">
        <v>666</v>
      </c>
      <c r="F12" s="4456"/>
      <c r="G12" s="2423">
        <f>+A!G66</f>
        <v>66242.0249999994</v>
      </c>
      <c r="H12" s="4457">
        <v>0</v>
      </c>
      <c r="I12" s="4457">
        <f>+A!G77</f>
        <v>1669.56435000058</v>
      </c>
      <c r="J12" s="4457"/>
      <c r="K12" s="4478" t="s">
        <v>692</v>
      </c>
      <c r="L12" s="4478" t="s">
        <v>681</v>
      </c>
      <c r="M12" s="4479">
        <f>+G12+I12</f>
        <v>67911.58935</v>
      </c>
      <c r="N12"/>
      <c r="O12" s="2199"/>
      <c r="P12" s="1233"/>
    </row>
    <row r="13" s="374" customFormat="1" spans="2:16">
      <c r="B13" s="4454"/>
      <c r="C13" s="4454"/>
      <c r="D13" s="2840"/>
      <c r="E13" s="4460" t="s">
        <v>669</v>
      </c>
      <c r="F13" s="4456"/>
      <c r="G13" s="2423">
        <v>0</v>
      </c>
      <c r="H13" s="4457">
        <f>+G12</f>
        <v>66242.0249999994</v>
      </c>
      <c r="I13" s="4457"/>
      <c r="J13" s="4457">
        <f>+I12</f>
        <v>1669.56435000058</v>
      </c>
      <c r="K13" s="4478"/>
      <c r="L13" s="4478"/>
      <c r="M13" s="4479">
        <v>0</v>
      </c>
      <c r="N13"/>
      <c r="O13" s="137"/>
      <c r="P13" s="1233"/>
    </row>
    <row r="14" s="374" customFormat="1" spans="2:16">
      <c r="B14" s="4454"/>
      <c r="C14" s="4454"/>
      <c r="D14" s="4455"/>
      <c r="E14" s="4459"/>
      <c r="F14" s="4456"/>
      <c r="G14" s="4457"/>
      <c r="H14" s="4457"/>
      <c r="I14" s="4457"/>
      <c r="J14" s="4457"/>
      <c r="K14" s="4478"/>
      <c r="L14" s="4478"/>
      <c r="M14" s="4479"/>
      <c r="N14"/>
      <c r="O14" s="137"/>
      <c r="P14" s="1233"/>
    </row>
    <row r="15" s="374" customFormat="1" ht="15" spans="2:16">
      <c r="B15" s="4454"/>
      <c r="C15" s="4454"/>
      <c r="D15" s="4455"/>
      <c r="E15" s="4461" t="s">
        <v>670</v>
      </c>
      <c r="F15" s="4462"/>
      <c r="G15" s="4457"/>
      <c r="H15" s="4457"/>
      <c r="I15" s="4457"/>
      <c r="J15" s="4457"/>
      <c r="K15" s="4478"/>
      <c r="L15" s="4478"/>
      <c r="M15" s="4479"/>
      <c r="N15"/>
      <c r="O15" s="137"/>
      <c r="P15" s="1233"/>
    </row>
    <row r="16" s="374" customFormat="1" spans="2:16">
      <c r="B16" s="4454"/>
      <c r="C16" s="4454"/>
      <c r="D16" s="4455"/>
      <c r="E16" s="4461"/>
      <c r="F16" s="4463"/>
      <c r="G16" s="4457"/>
      <c r="H16" s="4457"/>
      <c r="I16" s="4457"/>
      <c r="J16" s="4457"/>
      <c r="K16" s="4478"/>
      <c r="L16" s="4478"/>
      <c r="M16" s="4479"/>
      <c r="N16"/>
      <c r="O16" s="137"/>
      <c r="P16" s="1233"/>
    </row>
    <row r="17" ht="13.95" spans="2:13">
      <c r="B17" s="4464"/>
      <c r="C17" s="4464"/>
      <c r="D17" s="4465"/>
      <c r="E17" s="4466"/>
      <c r="F17" s="4467"/>
      <c r="G17" s="4468"/>
      <c r="H17" s="4468"/>
      <c r="I17" s="4468"/>
      <c r="J17" s="4468"/>
      <c r="K17" s="4480"/>
      <c r="L17" s="4480"/>
      <c r="M17" s="4481"/>
    </row>
    <row r="18" spans="2:13">
      <c r="B18" s="4454"/>
      <c r="C18" s="4454"/>
      <c r="D18" s="4469"/>
      <c r="E18" s="2840"/>
      <c r="F18" s="4456"/>
      <c r="G18" s="4457"/>
      <c r="H18" s="4457"/>
      <c r="I18" s="4457"/>
      <c r="J18" s="4457"/>
      <c r="K18" s="4478"/>
      <c r="L18" s="4478"/>
      <c r="M18" s="4479"/>
    </row>
    <row r="19" ht="15" hidden="1" spans="2:13">
      <c r="B19" s="4456" t="s">
        <v>693</v>
      </c>
      <c r="C19" s="4454"/>
      <c r="D19" s="4458"/>
      <c r="E19" s="4470" t="s">
        <v>694</v>
      </c>
      <c r="F19" s="4456"/>
      <c r="G19" s="4457">
        <f>2800000000*0</f>
        <v>0</v>
      </c>
      <c r="H19" s="2423">
        <v>0</v>
      </c>
      <c r="I19" s="4457">
        <v>0</v>
      </c>
      <c r="J19" s="4457">
        <v>0</v>
      </c>
      <c r="K19" s="4478" t="s">
        <v>692</v>
      </c>
      <c r="L19" s="4478" t="s">
        <v>681</v>
      </c>
      <c r="M19" s="4479">
        <v>0</v>
      </c>
    </row>
    <row r="20" hidden="1" spans="2:13">
      <c r="B20" s="4454"/>
      <c r="C20" s="4454"/>
      <c r="D20" s="2840"/>
      <c r="E20" s="4459" t="s">
        <v>695</v>
      </c>
      <c r="F20" s="4456">
        <f>8876000000-7793760000</f>
        <v>1082240000</v>
      </c>
      <c r="G20" s="2423">
        <v>0</v>
      </c>
      <c r="H20" s="4457">
        <f>+G19</f>
        <v>0</v>
      </c>
      <c r="I20" s="4457">
        <v>0</v>
      </c>
      <c r="J20" s="4457">
        <v>0</v>
      </c>
      <c r="K20" s="4478"/>
      <c r="L20" s="4478"/>
      <c r="M20" s="4479"/>
    </row>
    <row r="21" hidden="1" spans="2:13">
      <c r="B21" s="4454"/>
      <c r="C21" s="4454"/>
      <c r="D21" s="4455"/>
      <c r="E21" s="4461" t="s">
        <v>696</v>
      </c>
      <c r="F21" s="4456">
        <v>7793760000</v>
      </c>
      <c r="G21" s="4457"/>
      <c r="H21" s="4457"/>
      <c r="I21" s="4457"/>
      <c r="J21" s="4457"/>
      <c r="K21" s="4478"/>
      <c r="L21" s="4478"/>
      <c r="M21" s="4479"/>
    </row>
    <row r="22" customFormat="1" hidden="1" spans="2:16">
      <c r="B22" s="4454"/>
      <c r="C22" s="4454"/>
      <c r="D22" s="4455"/>
      <c r="E22" s="4461"/>
      <c r="F22" s="4456"/>
      <c r="G22" s="4457"/>
      <c r="H22" s="4457"/>
      <c r="I22" s="4457"/>
      <c r="J22" s="4457"/>
      <c r="K22" s="4478"/>
      <c r="L22" s="4478"/>
      <c r="M22" s="4479"/>
      <c r="O22" s="137"/>
      <c r="P22" s="137"/>
    </row>
    <row r="23" customFormat="1" hidden="1" spans="2:16">
      <c r="B23" s="4454"/>
      <c r="C23" s="4454"/>
      <c r="D23" s="4455"/>
      <c r="E23" s="4459" t="s">
        <v>694</v>
      </c>
      <c r="F23" s="4456"/>
      <c r="G23" s="4457">
        <f>5200000000*0</f>
        <v>0</v>
      </c>
      <c r="H23" s="2423">
        <v>0</v>
      </c>
      <c r="I23" s="4457">
        <v>0</v>
      </c>
      <c r="J23" s="4457">
        <v>0</v>
      </c>
      <c r="K23" s="4478" t="s">
        <v>692</v>
      </c>
      <c r="L23" s="4478" t="s">
        <v>681</v>
      </c>
      <c r="M23" s="4479">
        <v>0</v>
      </c>
      <c r="O23" s="137"/>
      <c r="P23" s="137"/>
    </row>
    <row r="24" customFormat="1" hidden="1" spans="2:16">
      <c r="B24" s="4454"/>
      <c r="C24" s="4454"/>
      <c r="D24" s="4455"/>
      <c r="E24" s="4459" t="str">
        <f>+D!C22</f>
        <v>Piutang Tidak Lancar - PT Mulya Tara Mandiri</v>
      </c>
      <c r="F24" s="4456"/>
      <c r="G24" s="2423">
        <v>0</v>
      </c>
      <c r="H24" s="4457">
        <f>+G23</f>
        <v>0</v>
      </c>
      <c r="I24" s="4457">
        <v>0</v>
      </c>
      <c r="J24" s="4457">
        <v>0</v>
      </c>
      <c r="K24" s="4478"/>
      <c r="L24" s="4478"/>
      <c r="M24" s="4479"/>
      <c r="O24" s="137"/>
      <c r="P24" s="137"/>
    </row>
    <row r="25" hidden="1" spans="2:13">
      <c r="B25" s="4454"/>
      <c r="C25" s="4454"/>
      <c r="D25" s="4455"/>
      <c r="E25" s="4461" t="s">
        <v>697</v>
      </c>
      <c r="F25" s="4456"/>
      <c r="G25" s="4457"/>
      <c r="H25" s="4457"/>
      <c r="I25" s="4457"/>
      <c r="J25" s="4457"/>
      <c r="K25" s="4478"/>
      <c r="L25" s="4478"/>
      <c r="M25" s="4479"/>
    </row>
    <row r="26" customFormat="1" hidden="1" spans="2:16">
      <c r="B26" s="4454"/>
      <c r="C26" s="4454"/>
      <c r="D26" s="4455"/>
      <c r="E26" s="4461"/>
      <c r="F26" s="4456"/>
      <c r="G26" s="4457"/>
      <c r="H26" s="4457"/>
      <c r="I26" s="4457"/>
      <c r="J26" s="4457"/>
      <c r="K26" s="4478"/>
      <c r="L26" s="4478"/>
      <c r="M26" s="4479"/>
      <c r="O26" s="137"/>
      <c r="P26" s="137"/>
    </row>
    <row r="27" customFormat="1" hidden="1" spans="2:16">
      <c r="B27" s="4454"/>
      <c r="C27" s="4454"/>
      <c r="D27" s="4455" t="s">
        <v>698</v>
      </c>
      <c r="E27" s="4461" t="s">
        <v>699</v>
      </c>
      <c r="F27" s="4456"/>
      <c r="G27" s="4457"/>
      <c r="H27" s="4457"/>
      <c r="I27" s="4457"/>
      <c r="J27" s="4457"/>
      <c r="K27" s="4478"/>
      <c r="L27" s="4478"/>
      <c r="M27" s="4479"/>
      <c r="O27" s="137"/>
      <c r="P27" s="137"/>
    </row>
    <row r="28" customFormat="1" hidden="1" spans="2:16">
      <c r="B28" s="4454"/>
      <c r="C28" s="4454"/>
      <c r="D28" s="4455"/>
      <c r="E28" s="4461" t="s">
        <v>700</v>
      </c>
      <c r="F28" s="4456"/>
      <c r="G28" s="4457"/>
      <c r="H28" s="4457"/>
      <c r="I28" s="4457"/>
      <c r="J28" s="4457"/>
      <c r="K28" s="4478"/>
      <c r="L28" s="4478"/>
      <c r="M28" s="4479"/>
      <c r="O28" s="137"/>
      <c r="P28" s="137"/>
    </row>
    <row r="29" customFormat="1" hidden="1" spans="2:16">
      <c r="B29" s="4454"/>
      <c r="C29" s="4454"/>
      <c r="D29" s="4455"/>
      <c r="E29" s="4461" t="s">
        <v>701</v>
      </c>
      <c r="F29" s="4456"/>
      <c r="G29" s="4457"/>
      <c r="H29" s="4457"/>
      <c r="I29" s="4457"/>
      <c r="J29" s="4457"/>
      <c r="K29" s="4478"/>
      <c r="L29" s="4478"/>
      <c r="M29" s="4479"/>
      <c r="O29" s="137"/>
      <c r="P29" s="137"/>
    </row>
    <row r="30" customFormat="1" spans="2:16">
      <c r="B30" s="4454"/>
      <c r="C30" s="4454"/>
      <c r="D30" s="4455"/>
      <c r="E30" s="4461"/>
      <c r="F30" s="4456"/>
      <c r="G30" s="4457"/>
      <c r="H30" s="4457"/>
      <c r="I30" s="4457"/>
      <c r="J30" s="4457"/>
      <c r="K30" s="4478"/>
      <c r="L30" s="4478"/>
      <c r="M30" s="4479"/>
      <c r="O30" s="137"/>
      <c r="P30" s="137"/>
    </row>
    <row r="31" customFormat="1" spans="2:16">
      <c r="B31" s="4456" t="s">
        <v>693</v>
      </c>
      <c r="C31" s="4454"/>
      <c r="D31" s="4455"/>
      <c r="E31" s="2199" t="str">
        <f>+B!C34</f>
        <v>Piutang Pihak Berelasi - Pratama Energy Mandiri (PEM), PT </v>
      </c>
      <c r="F31" s="4456"/>
      <c r="G31" s="4457">
        <f>+B!F15</f>
        <v>1328060000</v>
      </c>
      <c r="H31" s="4457">
        <v>0</v>
      </c>
      <c r="I31" s="4457"/>
      <c r="J31" s="4457"/>
      <c r="K31" s="4478" t="s">
        <v>692</v>
      </c>
      <c r="L31" s="4478" t="s">
        <v>681</v>
      </c>
      <c r="M31" s="4479"/>
      <c r="O31" s="137"/>
      <c r="P31" s="137"/>
    </row>
    <row r="32" customFormat="1" spans="2:16">
      <c r="B32" s="4454"/>
      <c r="C32" s="4454"/>
      <c r="D32" s="4455"/>
      <c r="E32" s="2199" t="str">
        <f>+B!C15</f>
        <v>Pratama Energy Mandiri (PEM), PT </v>
      </c>
      <c r="F32" s="4456"/>
      <c r="G32" s="4457">
        <v>0</v>
      </c>
      <c r="H32" s="4457">
        <f>+G31</f>
        <v>1328060000</v>
      </c>
      <c r="I32" s="4457"/>
      <c r="J32" s="4457"/>
      <c r="K32" s="4478"/>
      <c r="L32" s="4478"/>
      <c r="M32" s="4479"/>
      <c r="O32" s="137"/>
      <c r="P32" s="137"/>
    </row>
    <row r="33" customFormat="1" spans="2:16">
      <c r="B33" s="4454"/>
      <c r="C33" s="4454"/>
      <c r="D33" s="4455"/>
      <c r="E33" s="4461"/>
      <c r="F33" s="4456"/>
      <c r="G33" s="4457"/>
      <c r="H33" s="4457"/>
      <c r="I33" s="4457"/>
      <c r="J33" s="4457"/>
      <c r="K33" s="4478"/>
      <c r="L33" s="4478"/>
      <c r="M33" s="4479"/>
      <c r="O33" s="137"/>
      <c r="P33" s="137"/>
    </row>
    <row r="34" customFormat="1" spans="2:16">
      <c r="B34" s="4454"/>
      <c r="C34" s="4454"/>
      <c r="D34" s="4455"/>
      <c r="E34" s="4461"/>
      <c r="F34" s="4456"/>
      <c r="G34" s="4457"/>
      <c r="H34" s="4457"/>
      <c r="I34" s="4457"/>
      <c r="J34" s="4457"/>
      <c r="K34" s="4478"/>
      <c r="L34" s="4478"/>
      <c r="M34" s="4479"/>
      <c r="O34" s="137"/>
      <c r="P34" s="137"/>
    </row>
    <row r="35" customFormat="1" spans="2:16">
      <c r="B35" s="4454"/>
      <c r="C35" s="4454"/>
      <c r="D35" s="4455"/>
      <c r="E35" s="4461"/>
      <c r="F35" s="4456"/>
      <c r="G35" s="4457"/>
      <c r="H35" s="4457"/>
      <c r="I35" s="4457"/>
      <c r="J35" s="4457"/>
      <c r="K35" s="4478"/>
      <c r="L35" s="4478"/>
      <c r="M35" s="4479"/>
      <c r="O35" s="137"/>
      <c r="P35" s="137"/>
    </row>
    <row r="36" ht="13.95" spans="2:13">
      <c r="B36" s="4464"/>
      <c r="C36" s="4464"/>
      <c r="D36" s="4465"/>
      <c r="E36" s="4466"/>
      <c r="F36" s="4471"/>
      <c r="G36" s="4468"/>
      <c r="H36" s="4468"/>
      <c r="I36" s="4468"/>
      <c r="J36" s="4468"/>
      <c r="K36" s="4480"/>
      <c r="L36" s="4480"/>
      <c r="M36" s="4481"/>
    </row>
    <row r="37" spans="2:13">
      <c r="B37" s="4454"/>
      <c r="C37" s="4454"/>
      <c r="D37" s="4455"/>
      <c r="E37" s="2840"/>
      <c r="F37" s="4456"/>
      <c r="G37" s="4457"/>
      <c r="H37" s="4457"/>
      <c r="I37" s="4457"/>
      <c r="J37" s="4457"/>
      <c r="K37" s="4478"/>
      <c r="L37" s="4478"/>
      <c r="M37" s="4479"/>
    </row>
    <row r="38" ht="12.95" customHeight="1" spans="2:13">
      <c r="B38" s="4456" t="s">
        <v>702</v>
      </c>
      <c r="C38" s="4454"/>
      <c r="D38" s="4458"/>
      <c r="E38" s="4459" t="str">
        <f>+DD!C14</f>
        <v>Utang Lain2 Jpd - PT Mitra Energi Buana - Kompresor (Investasi)</v>
      </c>
      <c r="F38" s="4456"/>
      <c r="G38" s="2423">
        <f>+H!G167</f>
        <v>2145000000</v>
      </c>
      <c r="H38" s="4457">
        <v>0</v>
      </c>
      <c r="I38" s="4457"/>
      <c r="J38" s="4457"/>
      <c r="K38" s="4478" t="s">
        <v>692</v>
      </c>
      <c r="L38" s="4478"/>
      <c r="M38" s="4479">
        <v>0</v>
      </c>
    </row>
    <row r="39" spans="2:13">
      <c r="B39" s="4454"/>
      <c r="C39" s="4454"/>
      <c r="D39" s="2840"/>
      <c r="E39" s="4460" t="str">
        <f>+DD!C23</f>
        <v>Utang Lain2 Jpj - PT Mitra Energi Buana - Kompresor (Angs BNI)</v>
      </c>
      <c r="F39" s="4456"/>
      <c r="G39" s="2423">
        <f>+H!H172</f>
        <v>2396795200</v>
      </c>
      <c r="H39" s="4457">
        <v>0</v>
      </c>
      <c r="I39" s="4457"/>
      <c r="J39" s="4457"/>
      <c r="K39" s="4479"/>
      <c r="L39" s="4479"/>
      <c r="M39" s="4479"/>
    </row>
    <row r="40" spans="2:13">
      <c r="B40" s="4454"/>
      <c r="C40" s="4454"/>
      <c r="D40" s="4455"/>
      <c r="E40" s="4459" t="str">
        <f>+H!B14</f>
        <v>Investasi PT Mitra Energi Buana - Kompressor Palembang</v>
      </c>
      <c r="F40" s="4456"/>
      <c r="G40" s="4457">
        <v>0</v>
      </c>
      <c r="H40" s="4457">
        <f>SUM(G38:G39)</f>
        <v>4541795200</v>
      </c>
      <c r="I40" s="4457"/>
      <c r="J40" s="4457"/>
      <c r="K40" s="4482"/>
      <c r="L40" s="4478"/>
      <c r="M40" s="4479"/>
    </row>
    <row r="41" spans="2:13">
      <c r="B41" s="4454"/>
      <c r="C41" s="4454"/>
      <c r="D41" s="4455"/>
      <c r="E41" s="4461"/>
      <c r="F41" s="4456"/>
      <c r="G41" s="4457"/>
      <c r="H41" s="4457"/>
      <c r="I41" s="4457"/>
      <c r="J41" s="4457"/>
      <c r="K41" s="4482"/>
      <c r="L41" s="4478"/>
      <c r="M41" s="4479"/>
    </row>
    <row r="42" spans="2:13">
      <c r="B42" s="4454"/>
      <c r="C42" s="4454"/>
      <c r="D42" s="4455"/>
      <c r="E42" s="4461" t="s">
        <v>703</v>
      </c>
      <c r="F42" s="4456"/>
      <c r="G42" s="4457"/>
      <c r="H42" s="4457"/>
      <c r="I42" s="4457"/>
      <c r="J42" s="4457"/>
      <c r="K42" s="4482"/>
      <c r="L42" s="4478"/>
      <c r="M42" s="4479"/>
    </row>
    <row r="43" customFormat="1" spans="2:16">
      <c r="B43" s="4454"/>
      <c r="C43" s="4454"/>
      <c r="D43" s="4455"/>
      <c r="E43" s="4461" t="s">
        <v>704</v>
      </c>
      <c r="F43" s="4456"/>
      <c r="G43" s="4457"/>
      <c r="H43" s="4457"/>
      <c r="I43" s="4457"/>
      <c r="J43" s="4457"/>
      <c r="K43" s="4482"/>
      <c r="L43" s="4478"/>
      <c r="M43" s="4479"/>
      <c r="O43" s="137"/>
      <c r="P43" s="137"/>
    </row>
    <row r="44" ht="13.95" spans="2:13">
      <c r="B44" s="4464"/>
      <c r="C44" s="4464"/>
      <c r="D44" s="4465"/>
      <c r="E44" s="4466"/>
      <c r="F44" s="4471"/>
      <c r="G44" s="4468"/>
      <c r="H44" s="4468"/>
      <c r="I44" s="4468"/>
      <c r="J44" s="4468"/>
      <c r="K44" s="4480"/>
      <c r="L44" s="4480"/>
      <c r="M44" s="4481"/>
    </row>
    <row r="45" spans="2:13">
      <c r="B45" s="4456"/>
      <c r="C45" s="4454"/>
      <c r="D45" s="4455"/>
      <c r="E45" s="4461"/>
      <c r="F45" s="4456"/>
      <c r="G45" s="4457"/>
      <c r="H45" s="4457"/>
      <c r="I45" s="4457"/>
      <c r="J45" s="4457"/>
      <c r="K45" s="4482"/>
      <c r="L45" s="4478"/>
      <c r="M45" s="4479"/>
    </row>
    <row r="46" spans="2:13">
      <c r="B46" s="4456" t="s">
        <v>705</v>
      </c>
      <c r="C46" s="4454"/>
      <c r="D46" s="4455"/>
      <c r="E46" s="4459" t="s">
        <v>706</v>
      </c>
      <c r="F46" s="4456"/>
      <c r="G46" s="4457">
        <v>0</v>
      </c>
      <c r="H46" s="4457">
        <v>0</v>
      </c>
      <c r="I46" s="4457">
        <v>18333332.5200481</v>
      </c>
      <c r="J46" s="4457"/>
      <c r="K46" s="4478"/>
      <c r="L46" s="4478"/>
      <c r="M46" s="4479"/>
    </row>
    <row r="47" spans="2:13">
      <c r="B47" s="4454"/>
      <c r="C47" s="4454"/>
      <c r="D47" s="4455"/>
      <c r="E47" s="4460" t="s">
        <v>147</v>
      </c>
      <c r="F47" s="4456"/>
      <c r="G47" s="4457">
        <v>0</v>
      </c>
      <c r="H47" s="4457">
        <f>+G46</f>
        <v>0</v>
      </c>
      <c r="I47" s="4457"/>
      <c r="J47" s="4457">
        <f>+I46</f>
        <v>18333332.5200481</v>
      </c>
      <c r="K47" s="4478"/>
      <c r="L47" s="4478"/>
      <c r="M47" s="4479"/>
    </row>
    <row r="48" customFormat="1" spans="2:16">
      <c r="B48" s="4454"/>
      <c r="C48" s="4454"/>
      <c r="D48" s="4455"/>
      <c r="E48" s="4459"/>
      <c r="F48" s="4456"/>
      <c r="G48" s="4457"/>
      <c r="H48" s="4457"/>
      <c r="I48" s="4457"/>
      <c r="J48" s="4457"/>
      <c r="K48" s="4478"/>
      <c r="L48" s="4478"/>
      <c r="M48" s="4479"/>
      <c r="O48" s="137"/>
      <c r="P48" s="137"/>
    </row>
    <row r="49" customFormat="1" spans="2:16">
      <c r="B49" s="4454"/>
      <c r="C49" s="4454"/>
      <c r="D49" s="4455"/>
      <c r="E49" s="4472" t="s">
        <v>707</v>
      </c>
      <c r="F49" s="4456"/>
      <c r="G49" s="4457"/>
      <c r="H49" s="4457"/>
      <c r="I49" s="4457"/>
      <c r="J49" s="4457"/>
      <c r="K49" s="4478"/>
      <c r="L49" s="4478"/>
      <c r="M49" s="4479"/>
      <c r="O49" s="137"/>
      <c r="P49" s="137"/>
    </row>
    <row r="50" customFormat="1" spans="2:16">
      <c r="B50" s="4454"/>
      <c r="C50" s="4454"/>
      <c r="D50" s="4455"/>
      <c r="E50" s="4472" t="s">
        <v>708</v>
      </c>
      <c r="F50" s="4456"/>
      <c r="G50" s="4457"/>
      <c r="H50" s="4457"/>
      <c r="I50" s="4457"/>
      <c r="J50" s="4457"/>
      <c r="K50" s="4478"/>
      <c r="L50" s="4478"/>
      <c r="M50" s="4479"/>
      <c r="O50" s="137"/>
      <c r="P50" s="137"/>
    </row>
    <row r="51" spans="2:13">
      <c r="B51" s="4454"/>
      <c r="C51" s="4454"/>
      <c r="D51" s="4455"/>
      <c r="E51" s="4459"/>
      <c r="F51" s="4456"/>
      <c r="G51" s="4457"/>
      <c r="H51" s="4457"/>
      <c r="I51" s="4457"/>
      <c r="J51" s="4457"/>
      <c r="K51" s="4478"/>
      <c r="L51" s="4478"/>
      <c r="M51" s="4479">
        <f>-H51</f>
        <v>0</v>
      </c>
    </row>
    <row r="52" ht="13.95" spans="2:13">
      <c r="B52" s="4464"/>
      <c r="C52" s="4464"/>
      <c r="D52" s="4465"/>
      <c r="E52" s="4466"/>
      <c r="F52" s="4471"/>
      <c r="G52" s="4468"/>
      <c r="H52" s="4468"/>
      <c r="I52" s="4468"/>
      <c r="J52" s="4468"/>
      <c r="K52" s="4480"/>
      <c r="L52" s="4480"/>
      <c r="M52" s="4481"/>
    </row>
    <row r="53" spans="2:13">
      <c r="B53" s="4454"/>
      <c r="C53" s="4454"/>
      <c r="D53" s="4469"/>
      <c r="E53" s="2199"/>
      <c r="F53" s="4456"/>
      <c r="G53" s="4457"/>
      <c r="H53" s="4457"/>
      <c r="I53" s="4457"/>
      <c r="J53" s="4457"/>
      <c r="K53" s="4478"/>
      <c r="L53" s="4478"/>
      <c r="M53" s="4479"/>
    </row>
    <row r="54" outlineLevel="1" spans="2:13">
      <c r="B54" s="4456" t="s">
        <v>709</v>
      </c>
      <c r="C54" s="4454"/>
      <c r="D54" s="4455"/>
      <c r="E54" s="4473" t="str">
        <f>+I!B16</f>
        <v>Aset Lain-lain - BOT-WTP Dharmawangsa</v>
      </c>
      <c r="F54" s="4456"/>
      <c r="G54" s="4457">
        <f>+H56</f>
        <v>1251663380</v>
      </c>
      <c r="H54" s="4457">
        <v>0</v>
      </c>
      <c r="I54" s="4457"/>
      <c r="J54" s="4457"/>
      <c r="K54" s="4478"/>
      <c r="L54" s="4478"/>
      <c r="M54" s="4479"/>
    </row>
    <row r="55" customFormat="1" outlineLevel="1" spans="2:16">
      <c r="B55" s="4454"/>
      <c r="C55" s="4454"/>
      <c r="D55" s="4455"/>
      <c r="E55" s="4473" t="str">
        <f>+I!B23</f>
        <v>Amortisasi - Aset BOT dharmawangsa</v>
      </c>
      <c r="F55" s="4456"/>
      <c r="G55" s="4457"/>
      <c r="H55" s="4457">
        <f>+G57</f>
        <v>1043261427.23</v>
      </c>
      <c r="I55" s="4457"/>
      <c r="J55" s="4457"/>
      <c r="K55" s="4478"/>
      <c r="L55" s="4478"/>
      <c r="M55" s="4479"/>
      <c r="O55" s="137"/>
      <c r="P55" s="137"/>
    </row>
    <row r="56" outlineLevel="1" spans="2:13">
      <c r="B56" s="4454"/>
      <c r="C56" s="4454"/>
      <c r="D56" s="4455"/>
      <c r="E56" s="4473" t="str">
        <f>+UV!C14</f>
        <v>Bangunan</v>
      </c>
      <c r="F56" s="4456">
        <v>0</v>
      </c>
      <c r="G56" s="4457">
        <v>0</v>
      </c>
      <c r="H56" s="4457">
        <f>++'UV2'!I14</f>
        <v>1251663380</v>
      </c>
      <c r="I56" s="4457"/>
      <c r="J56" s="4457"/>
      <c r="K56" s="4478"/>
      <c r="L56" s="4478"/>
      <c r="M56" s="4479"/>
    </row>
    <row r="57" outlineLevel="1" spans="2:13">
      <c r="B57" s="4454"/>
      <c r="C57" s="4454"/>
      <c r="D57" s="4455"/>
      <c r="E57" s="4473" t="str">
        <f>+UV!C26</f>
        <v>Akumulasi Penyusutan Bangunan</v>
      </c>
      <c r="F57" s="4456"/>
      <c r="G57" s="4457">
        <v>1043261427.23</v>
      </c>
      <c r="H57" s="4457">
        <v>0</v>
      </c>
      <c r="I57" s="4457"/>
      <c r="J57" s="4457"/>
      <c r="K57" s="4478"/>
      <c r="L57" s="4478"/>
      <c r="M57" s="4479"/>
    </row>
    <row r="58" outlineLevel="1" spans="2:13">
      <c r="B58" s="4454"/>
      <c r="C58" s="4454"/>
      <c r="D58" s="4455"/>
      <c r="E58" s="4473"/>
      <c r="F58" s="4456"/>
      <c r="G58" s="4457"/>
      <c r="H58" s="4457">
        <v>0</v>
      </c>
      <c r="I58" s="4457"/>
      <c r="J58" s="4457"/>
      <c r="K58" s="4478"/>
      <c r="L58" s="4478"/>
      <c r="M58" s="4479"/>
    </row>
    <row r="59" outlineLevel="1" spans="2:13">
      <c r="B59" s="4454"/>
      <c r="C59" s="4454"/>
      <c r="D59" s="4455"/>
      <c r="E59" s="4461" t="s">
        <v>710</v>
      </c>
      <c r="F59" s="4456"/>
      <c r="G59" s="4457">
        <f>SUM(G54:G58)</f>
        <v>2294924807.23</v>
      </c>
      <c r="H59" s="4457">
        <f>SUM(H54:H58)</f>
        <v>2294924807.23</v>
      </c>
      <c r="I59" s="4457"/>
      <c r="J59" s="4457"/>
      <c r="K59" s="4478"/>
      <c r="L59" s="4478"/>
      <c r="M59" s="4479"/>
    </row>
    <row r="60" spans="2:13">
      <c r="B60" s="4454"/>
      <c r="C60" s="4454"/>
      <c r="D60" s="4455"/>
      <c r="E60"/>
      <c r="F60" s="4456"/>
      <c r="G60" s="4457"/>
      <c r="H60" s="4457"/>
      <c r="I60" s="4457"/>
      <c r="J60" s="4457"/>
      <c r="K60" s="4478"/>
      <c r="L60" s="4478"/>
      <c r="M60" s="4479"/>
    </row>
    <row r="61" ht="13.95" spans="2:13">
      <c r="B61" s="4464"/>
      <c r="C61" s="4464"/>
      <c r="D61" s="4465"/>
      <c r="E61" s="4466"/>
      <c r="F61" s="4471"/>
      <c r="G61" s="4468"/>
      <c r="H61" s="4468"/>
      <c r="I61" s="4468"/>
      <c r="J61" s="4468"/>
      <c r="K61" s="4480"/>
      <c r="L61" s="4480"/>
      <c r="M61" s="4481"/>
    </row>
    <row r="62" spans="2:13">
      <c r="B62" s="4456"/>
      <c r="C62" s="4454"/>
      <c r="D62" s="4455"/>
      <c r="E62" s="4461"/>
      <c r="F62" s="4456"/>
      <c r="G62" s="4457"/>
      <c r="H62" s="4457"/>
      <c r="I62" s="4457"/>
      <c r="J62" s="4457"/>
      <c r="K62" s="4482"/>
      <c r="L62" s="4478"/>
      <c r="M62" s="4479"/>
    </row>
    <row r="63" spans="2:13">
      <c r="B63" s="4456" t="s">
        <v>711</v>
      </c>
      <c r="C63" s="4454"/>
      <c r="D63" s="4455"/>
      <c r="E63" s="4459" t="s">
        <v>712</v>
      </c>
      <c r="F63" s="4456"/>
      <c r="G63" s="4457">
        <v>0</v>
      </c>
      <c r="H63" s="4457">
        <v>0</v>
      </c>
      <c r="I63" s="4457">
        <f>+Note21!AB327</f>
        <v>36095021.3763269</v>
      </c>
      <c r="J63" s="4457">
        <v>0</v>
      </c>
      <c r="K63" s="4478"/>
      <c r="L63" s="4478"/>
      <c r="M63" s="4479">
        <f>G63</f>
        <v>0</v>
      </c>
    </row>
    <row r="64" spans="2:13">
      <c r="B64" s="4454"/>
      <c r="C64" s="4454"/>
      <c r="D64" s="4455"/>
      <c r="E64" s="4473" t="s">
        <v>713</v>
      </c>
      <c r="F64" s="4456"/>
      <c r="G64" s="4457">
        <v>0</v>
      </c>
      <c r="H64" s="4457">
        <f>+G63</f>
        <v>0</v>
      </c>
      <c r="I64" s="4457">
        <v>0</v>
      </c>
      <c r="J64" s="4457">
        <f>+I63</f>
        <v>36095021.3763269</v>
      </c>
      <c r="K64" s="4478"/>
      <c r="L64" s="4478"/>
      <c r="M64" s="4479"/>
    </row>
    <row r="65" spans="2:13">
      <c r="B65" s="4454"/>
      <c r="C65" s="4454"/>
      <c r="D65" s="4455"/>
      <c r="E65" s="4473"/>
      <c r="F65" s="4456"/>
      <c r="G65" s="4457"/>
      <c r="H65" s="4457"/>
      <c r="I65" s="4457"/>
      <c r="J65" s="4457"/>
      <c r="K65" s="4478"/>
      <c r="L65" s="4478"/>
      <c r="M65" s="4479"/>
    </row>
    <row r="66" spans="2:13">
      <c r="B66" s="4454"/>
      <c r="C66" s="4454"/>
      <c r="D66" s="4455"/>
      <c r="E66" s="4483" t="s">
        <v>714</v>
      </c>
      <c r="F66" s="4456"/>
      <c r="G66" s="4457"/>
      <c r="H66" s="4457"/>
      <c r="I66" s="4457"/>
      <c r="J66" s="4457"/>
      <c r="K66" s="4478"/>
      <c r="L66" s="4478"/>
      <c r="M66" s="4479"/>
    </row>
    <row r="67" spans="2:13">
      <c r="B67" s="4454"/>
      <c r="C67" s="4454"/>
      <c r="D67" s="4455"/>
      <c r="E67" s="4484"/>
      <c r="F67" s="4456"/>
      <c r="G67" s="4457"/>
      <c r="H67" s="4457"/>
      <c r="I67" s="4457"/>
      <c r="J67" s="4457"/>
      <c r="K67" s="4478"/>
      <c r="L67" s="4478"/>
      <c r="M67" s="4479"/>
    </row>
    <row r="68" ht="13.95" spans="2:13">
      <c r="B68" s="4464"/>
      <c r="C68" s="4464"/>
      <c r="D68" s="4465"/>
      <c r="E68" s="4466"/>
      <c r="F68" s="4471"/>
      <c r="G68" s="4468"/>
      <c r="H68" s="4468"/>
      <c r="I68" s="4468"/>
      <c r="J68" s="4468"/>
      <c r="K68" s="4480"/>
      <c r="L68" s="4480"/>
      <c r="M68" s="4481"/>
    </row>
    <row r="69" spans="2:13">
      <c r="B69" s="4454"/>
      <c r="C69" s="4454"/>
      <c r="D69" s="4469"/>
      <c r="E69" s="2199"/>
      <c r="F69" s="4456"/>
      <c r="G69" s="4457"/>
      <c r="H69" s="4457"/>
      <c r="I69" s="4457"/>
      <c r="J69" s="4457"/>
      <c r="K69" s="4478"/>
      <c r="L69" s="4478"/>
      <c r="M69" s="4479"/>
    </row>
    <row r="70" spans="2:13">
      <c r="B70" s="4456" t="s">
        <v>715</v>
      </c>
      <c r="C70" s="4454"/>
      <c r="D70" s="4455"/>
      <c r="E70" s="4459" t="s">
        <v>712</v>
      </c>
      <c r="F70" s="4456"/>
      <c r="G70" s="4457">
        <f>+Note22!AB351</f>
        <v>106154843.160568</v>
      </c>
      <c r="H70" s="4457">
        <v>0</v>
      </c>
      <c r="I70" s="4457">
        <f>+Note21!AB334</f>
        <v>0</v>
      </c>
      <c r="J70" s="4457">
        <v>0</v>
      </c>
      <c r="K70" s="4478"/>
      <c r="L70" s="4478"/>
      <c r="M70" s="4479">
        <f>G70</f>
        <v>106154843.160568</v>
      </c>
    </row>
    <row r="71" spans="2:13">
      <c r="B71" s="4456"/>
      <c r="C71" s="4454"/>
      <c r="D71" s="4455"/>
      <c r="E71" s="4459" t="s">
        <v>713</v>
      </c>
      <c r="F71" s="4456"/>
      <c r="G71" s="4457">
        <v>0</v>
      </c>
      <c r="H71" s="4457">
        <f>+Note22!AB363</f>
        <v>77954370.8005685</v>
      </c>
      <c r="I71" s="4457">
        <v>0</v>
      </c>
      <c r="J71" s="4457">
        <f>+I70</f>
        <v>0</v>
      </c>
      <c r="K71" s="4478"/>
      <c r="L71" s="4478"/>
      <c r="M71" s="4479"/>
    </row>
    <row r="72" customFormat="1" spans="2:16">
      <c r="B72" s="4456"/>
      <c r="C72" s="4454"/>
      <c r="D72" s="4455"/>
      <c r="E72" s="4459" t="str">
        <f>+'40'!B35</f>
        <v>BUA - Beban Lain-lain</v>
      </c>
      <c r="F72" s="4456"/>
      <c r="G72" s="4457"/>
      <c r="H72" s="4457">
        <f>+Note22!AB361</f>
        <v>28200472.36</v>
      </c>
      <c r="I72" s="4457"/>
      <c r="J72" s="4457"/>
      <c r="K72" s="4478"/>
      <c r="L72" s="4478"/>
      <c r="M72" s="4479"/>
      <c r="O72" s="137"/>
      <c r="P72" s="137"/>
    </row>
    <row r="73" spans="2:13">
      <c r="B73" s="4454"/>
      <c r="C73" s="4454"/>
      <c r="D73" s="4455"/>
      <c r="E73" s="4473"/>
      <c r="F73" s="4456"/>
      <c r="G73" s="4457"/>
      <c r="H73" s="4457"/>
      <c r="I73" s="4457"/>
      <c r="J73" s="4457"/>
      <c r="K73" s="4478"/>
      <c r="L73" s="4478"/>
      <c r="M73" s="4479"/>
    </row>
    <row r="74" spans="2:13">
      <c r="B74" s="4454"/>
      <c r="C74" s="4454"/>
      <c r="D74" s="4455"/>
      <c r="E74" s="4483" t="s">
        <v>716</v>
      </c>
      <c r="F74" s="4456"/>
      <c r="G74" s="4457">
        <f>SUM(G70:G73)</f>
        <v>106154843.160568</v>
      </c>
      <c r="H74" s="4457">
        <f>SUM(H70:H73)</f>
        <v>106154843.160568</v>
      </c>
      <c r="I74" s="4457"/>
      <c r="J74" s="4457"/>
      <c r="K74" s="4478"/>
      <c r="L74" s="4478"/>
      <c r="M74" s="4479"/>
    </row>
    <row r="75" spans="2:13">
      <c r="B75" s="4454"/>
      <c r="C75" s="4454"/>
      <c r="D75" s="4455"/>
      <c r="E75" s="4473"/>
      <c r="F75" s="4456"/>
      <c r="G75" s="4457"/>
      <c r="H75" s="4457"/>
      <c r="I75" s="4457"/>
      <c r="J75" s="4457"/>
      <c r="K75" s="4478"/>
      <c r="L75" s="4478"/>
      <c r="M75" s="4479"/>
    </row>
    <row r="76" spans="2:13">
      <c r="B76" s="4454"/>
      <c r="C76" s="4454"/>
      <c r="D76" s="4455"/>
      <c r="E76" s="4473"/>
      <c r="F76" s="4456"/>
      <c r="G76" s="4457"/>
      <c r="H76" s="4457"/>
      <c r="I76" s="4457"/>
      <c r="J76" s="4457"/>
      <c r="K76" s="4478"/>
      <c r="L76" s="4478"/>
      <c r="M76" s="4479"/>
    </row>
    <row r="77" ht="13.95" spans="2:13">
      <c r="B77" s="4464"/>
      <c r="C77" s="4464"/>
      <c r="D77" s="4465"/>
      <c r="E77" s="4466"/>
      <c r="F77" s="4471"/>
      <c r="G77" s="4468"/>
      <c r="H77" s="4468"/>
      <c r="I77" s="4468"/>
      <c r="J77" s="4468"/>
      <c r="K77" s="4480"/>
      <c r="L77" s="4480"/>
      <c r="M77" s="4481"/>
    </row>
    <row r="78" outlineLevel="1" spans="2:13">
      <c r="B78" s="4454"/>
      <c r="C78" s="4454"/>
      <c r="D78" s="4469"/>
      <c r="E78" s="2199"/>
      <c r="F78" s="4456"/>
      <c r="G78" s="4457"/>
      <c r="H78" s="4457"/>
      <c r="I78" s="4457"/>
      <c r="J78" s="4457"/>
      <c r="K78" s="4478"/>
      <c r="L78" s="4478"/>
      <c r="M78" s="4479"/>
    </row>
    <row r="79" outlineLevel="1" spans="2:13">
      <c r="B79" s="4456" t="s">
        <v>717</v>
      </c>
      <c r="C79" s="4454"/>
      <c r="D79" s="4455"/>
      <c r="E79" s="4459" t="str">
        <f>+GG!B13</f>
        <v>HUTANG KE BPRS (A/N Suherman Jaminan Tanah Batam)</v>
      </c>
      <c r="F79" s="4456"/>
      <c r="G79" s="296">
        <v>459940000</v>
      </c>
      <c r="H79" s="4457">
        <v>0</v>
      </c>
      <c r="I79" s="296">
        <v>459940000</v>
      </c>
      <c r="J79" s="4457">
        <v>0</v>
      </c>
      <c r="K79" s="4478"/>
      <c r="L79" s="4478"/>
      <c r="M79" s="4479">
        <f>G79</f>
        <v>459940000</v>
      </c>
    </row>
    <row r="80" outlineLevel="1" spans="2:13">
      <c r="B80" s="4454"/>
      <c r="C80" s="4454"/>
      <c r="D80" s="4455"/>
      <c r="E80" s="4459" t="str">
        <f>+GG!B14</f>
        <v>HUTANG KE BPRS (A/N Bambang (BPKB Pajero Yundai Ranger yus, Livina Guna)</v>
      </c>
      <c r="F80" s="4456"/>
      <c r="G80" s="296">
        <v>378657000</v>
      </c>
      <c r="H80" s="4457">
        <v>0</v>
      </c>
      <c r="I80" s="296">
        <v>378657000</v>
      </c>
      <c r="J80" s="4457">
        <v>0</v>
      </c>
      <c r="K80" s="4478"/>
      <c r="L80" s="4478"/>
      <c r="M80" s="4479"/>
    </row>
    <row r="81" outlineLevel="1" spans="2:13">
      <c r="B81" s="4454"/>
      <c r="C81" s="4454"/>
      <c r="D81" s="4455"/>
      <c r="E81" s="4473" t="str">
        <f>+DD!C25</f>
        <v>Utang Lain2 Jpj - HUTANG KE BPRS (A/N Suherman Jaminan Tanah Batam)</v>
      </c>
      <c r="F81" s="4456"/>
      <c r="G81" s="4457">
        <v>0</v>
      </c>
      <c r="H81" s="4457">
        <f>+G79</f>
        <v>459940000</v>
      </c>
      <c r="I81" s="4457">
        <v>0</v>
      </c>
      <c r="J81" s="4457">
        <f>+I79</f>
        <v>459940000</v>
      </c>
      <c r="K81" s="4478"/>
      <c r="L81" s="4478"/>
      <c r="M81" s="4479"/>
    </row>
    <row r="82" outlineLevel="1" spans="2:13">
      <c r="B82" s="4454"/>
      <c r="C82" s="4454"/>
      <c r="D82" s="4455"/>
      <c r="E82" s="4473" t="str">
        <f>+DD!C26</f>
        <v>Utang Lain2 Jpj - HUTANG KE BPRS (A/N Bambang (BPKB Pajero Yundai Ranger yus, Livina Guna)</v>
      </c>
      <c r="F82" s="4456"/>
      <c r="G82" s="4457">
        <v>0</v>
      </c>
      <c r="H82" s="4457">
        <f>+G80</f>
        <v>378657000</v>
      </c>
      <c r="I82" s="4457">
        <v>0</v>
      </c>
      <c r="J82" s="4457">
        <f>+I80</f>
        <v>378657000</v>
      </c>
      <c r="K82" s="4478"/>
      <c r="L82" s="4478"/>
      <c r="M82" s="4479"/>
    </row>
    <row r="83" outlineLevel="1" spans="2:13">
      <c r="B83" s="4454"/>
      <c r="C83" s="4454"/>
      <c r="D83" s="4455"/>
      <c r="E83" s="4461"/>
      <c r="F83" s="4456"/>
      <c r="G83" s="4457"/>
      <c r="H83" s="4457"/>
      <c r="I83" s="4457"/>
      <c r="J83" s="4457"/>
      <c r="K83" s="4478"/>
      <c r="L83" s="4478"/>
      <c r="M83" s="4479"/>
    </row>
    <row r="84" outlineLevel="1" spans="2:13">
      <c r="B84" s="4454"/>
      <c r="C84" s="4454"/>
      <c r="D84" s="4455"/>
      <c r="E84" s="4461" t="s">
        <v>718</v>
      </c>
      <c r="F84" s="4456"/>
      <c r="G84" s="4457"/>
      <c r="H84" s="4457"/>
      <c r="I84" s="4457"/>
      <c r="J84" s="4457"/>
      <c r="K84" s="4478"/>
      <c r="L84" s="4478"/>
      <c r="M84" s="4479"/>
    </row>
    <row r="85" outlineLevel="1" spans="2:13">
      <c r="B85" s="4454"/>
      <c r="C85" s="4454"/>
      <c r="D85" s="4455"/>
      <c r="E85" s="4459"/>
      <c r="F85" s="4456"/>
      <c r="G85" s="4457"/>
      <c r="H85" s="4457"/>
      <c r="I85" s="4457"/>
      <c r="J85" s="4457"/>
      <c r="K85" s="4478"/>
      <c r="L85" s="4478"/>
      <c r="M85" s="4479"/>
    </row>
    <row r="86" outlineLevel="1" spans="2:13">
      <c r="B86" s="4454"/>
      <c r="C86" s="4454"/>
      <c r="D86" s="4455"/>
      <c r="E86" s="4473"/>
      <c r="F86" s="4456"/>
      <c r="G86" s="4457"/>
      <c r="H86" s="4457"/>
      <c r="I86" s="4457"/>
      <c r="J86" s="4457"/>
      <c r="K86" s="4478"/>
      <c r="L86" s="4478"/>
      <c r="M86" s="4479"/>
    </row>
    <row r="87" outlineLevel="1" spans="2:13">
      <c r="B87" s="4454"/>
      <c r="C87" s="4454"/>
      <c r="D87" s="4455"/>
      <c r="E87" s="4461"/>
      <c r="F87" s="4456"/>
      <c r="G87" s="4457"/>
      <c r="H87" s="4457"/>
      <c r="I87" s="4457"/>
      <c r="J87" s="4457"/>
      <c r="K87" s="4478"/>
      <c r="L87" s="4478"/>
      <c r="M87" s="4479"/>
    </row>
    <row r="88" outlineLevel="1" spans="2:13">
      <c r="B88" s="4454"/>
      <c r="C88" s="4454"/>
      <c r="D88" s="4455"/>
      <c r="E88"/>
      <c r="F88" s="4456"/>
      <c r="G88" s="4457"/>
      <c r="H88" s="4457"/>
      <c r="I88" s="4457"/>
      <c r="J88" s="4457"/>
      <c r="K88" s="4478"/>
      <c r="L88" s="4478"/>
      <c r="M88" s="4479"/>
    </row>
    <row r="89" ht="13.95" outlineLevel="1" spans="2:13">
      <c r="B89" s="4464"/>
      <c r="C89" s="4464"/>
      <c r="D89" s="4465"/>
      <c r="E89" s="4466"/>
      <c r="F89" s="4471"/>
      <c r="G89" s="4468"/>
      <c r="H89" s="4468"/>
      <c r="I89" s="4468"/>
      <c r="J89" s="4468"/>
      <c r="K89" s="4480"/>
      <c r="L89" s="4480"/>
      <c r="M89" s="4481"/>
    </row>
    <row r="90" outlineLevel="1" spans="2:13">
      <c r="B90" s="4454"/>
      <c r="C90" s="4454"/>
      <c r="D90" s="4455"/>
      <c r="E90"/>
      <c r="F90" s="4456"/>
      <c r="G90" s="4457"/>
      <c r="H90" s="4457"/>
      <c r="I90" s="4457"/>
      <c r="J90" s="4457"/>
      <c r="K90" s="4478"/>
      <c r="L90" s="4478"/>
      <c r="M90" s="4479"/>
    </row>
    <row r="91" outlineLevel="1" spans="2:13">
      <c r="B91" s="4456" t="s">
        <v>719</v>
      </c>
      <c r="C91" s="4454"/>
      <c r="D91" s="4455"/>
      <c r="E91" s="209"/>
      <c r="F91" s="4456"/>
      <c r="G91"/>
      <c r="H91" s="4457"/>
      <c r="I91" s="4457"/>
      <c r="J91" s="4457"/>
      <c r="K91" s="4482"/>
      <c r="L91" s="4478"/>
      <c r="M91" s="4479"/>
    </row>
    <row r="92" outlineLevel="1" spans="2:13">
      <c r="B92" s="4454"/>
      <c r="C92" s="4454"/>
      <c r="D92" s="4455"/>
      <c r="E92" s="209"/>
      <c r="F92" s="4456"/>
      <c r="G92"/>
      <c r="H92" s="4457"/>
      <c r="I92" s="4457"/>
      <c r="J92" s="4457"/>
      <c r="K92" s="4482"/>
      <c r="L92" s="4478"/>
      <c r="M92" s="4479"/>
    </row>
    <row r="93" outlineLevel="1" spans="2:13">
      <c r="B93" s="4454"/>
      <c r="C93" s="4454"/>
      <c r="D93" s="4455"/>
      <c r="E93" s="209"/>
      <c r="F93" s="4456"/>
      <c r="G93"/>
      <c r="H93" s="4457"/>
      <c r="I93" s="4457"/>
      <c r="J93" s="4457"/>
      <c r="K93" s="4482"/>
      <c r="L93" s="4478"/>
      <c r="M93" s="4479"/>
    </row>
    <row r="94" outlineLevel="1" spans="2:13">
      <c r="B94" s="4454"/>
      <c r="C94" s="4454"/>
      <c r="D94" s="4455"/>
      <c r="E94" s="209"/>
      <c r="F94" s="4456"/>
      <c r="G94"/>
      <c r="H94" s="4457"/>
      <c r="I94" s="4457"/>
      <c r="J94" s="4457"/>
      <c r="K94" s="4482"/>
      <c r="L94" s="4478"/>
      <c r="M94" s="4479"/>
    </row>
    <row r="95" outlineLevel="1" spans="2:13">
      <c r="B95" s="4454"/>
      <c r="C95" s="4454"/>
      <c r="D95" s="4455"/>
      <c r="E95" s="209"/>
      <c r="F95" s="4456"/>
      <c r="G95"/>
      <c r="H95" s="4457"/>
      <c r="I95" s="4457"/>
      <c r="J95" s="4457"/>
      <c r="K95" s="4482"/>
      <c r="L95" s="4478"/>
      <c r="M95" s="4479"/>
    </row>
    <row r="96" outlineLevel="1" spans="2:13">
      <c r="B96" s="4454"/>
      <c r="C96" s="4454"/>
      <c r="D96" s="4455"/>
      <c r="E96" s="209"/>
      <c r="F96" s="4456"/>
      <c r="G96"/>
      <c r="H96" s="4457"/>
      <c r="I96" s="4457"/>
      <c r="J96" s="4457"/>
      <c r="K96" s="4482"/>
      <c r="L96" s="4478"/>
      <c r="M96" s="4479"/>
    </row>
    <row r="97" outlineLevel="1" spans="2:13">
      <c r="B97" s="4454"/>
      <c r="C97" s="4454"/>
      <c r="D97" s="4455"/>
      <c r="E97" s="209"/>
      <c r="F97" s="4456"/>
      <c r="G97"/>
      <c r="H97" s="4457"/>
      <c r="I97" s="4457"/>
      <c r="J97" s="4457"/>
      <c r="K97" s="4482"/>
      <c r="L97" s="4478"/>
      <c r="M97" s="4479"/>
    </row>
    <row r="98" outlineLevel="1" spans="2:13">
      <c r="B98" s="4454"/>
      <c r="C98" s="4454"/>
      <c r="D98" s="4455"/>
      <c r="E98" s="209"/>
      <c r="F98" s="4456"/>
      <c r="G98"/>
      <c r="H98" s="4457"/>
      <c r="I98" s="4457"/>
      <c r="J98" s="4457"/>
      <c r="K98" s="4482"/>
      <c r="L98" s="4478"/>
      <c r="M98" s="4479"/>
    </row>
    <row r="99" outlineLevel="1" spans="2:13">
      <c r="B99" s="4454"/>
      <c r="C99" s="4454"/>
      <c r="D99" s="4455"/>
      <c r="E99" s="209"/>
      <c r="F99" s="4456"/>
      <c r="G99"/>
      <c r="H99" s="4457"/>
      <c r="I99" s="4457"/>
      <c r="J99" s="4457"/>
      <c r="K99" s="4482"/>
      <c r="L99" s="4478"/>
      <c r="M99" s="4479"/>
    </row>
    <row r="100" outlineLevel="1" spans="2:13">
      <c r="B100" s="4454"/>
      <c r="C100" s="4454"/>
      <c r="D100" s="4455"/>
      <c r="E100" s="209"/>
      <c r="F100" s="4456"/>
      <c r="G100"/>
      <c r="H100" s="4457"/>
      <c r="I100" s="4457"/>
      <c r="J100" s="4457"/>
      <c r="K100" s="4482"/>
      <c r="L100" s="4478"/>
      <c r="M100" s="4479"/>
    </row>
    <row r="101" outlineLevel="1" spans="2:13">
      <c r="B101" s="4454"/>
      <c r="C101" s="4454"/>
      <c r="D101" s="4455"/>
      <c r="E101" s="209"/>
      <c r="F101" s="4456"/>
      <c r="G101"/>
      <c r="H101" s="4457"/>
      <c r="I101" s="4457"/>
      <c r="J101" s="4457"/>
      <c r="K101" s="4482"/>
      <c r="L101" s="4478"/>
      <c r="M101" s="4479"/>
    </row>
    <row r="102" outlineLevel="1" spans="2:13">
      <c r="B102" s="4454"/>
      <c r="C102" s="4454"/>
      <c r="D102" s="4455"/>
      <c r="E102" s="209"/>
      <c r="F102" s="4456"/>
      <c r="G102"/>
      <c r="H102" s="4457"/>
      <c r="I102" s="4457"/>
      <c r="J102" s="4457"/>
      <c r="K102" s="4482"/>
      <c r="L102" s="4478"/>
      <c r="M102" s="4479"/>
    </row>
    <row r="103" outlineLevel="1" spans="2:13">
      <c r="B103" s="4454"/>
      <c r="C103" s="4454"/>
      <c r="D103" s="4455"/>
      <c r="E103" s="209"/>
      <c r="F103" s="4456"/>
      <c r="G103"/>
      <c r="H103" s="4457"/>
      <c r="I103" s="4457"/>
      <c r="J103" s="4457"/>
      <c r="K103" s="4482"/>
      <c r="L103" s="4478"/>
      <c r="M103" s="4479"/>
    </row>
    <row r="104" outlineLevel="1" spans="2:13">
      <c r="B104" s="4454"/>
      <c r="C104" s="4454"/>
      <c r="D104" s="4455"/>
      <c r="E104" s="209"/>
      <c r="F104" s="4456"/>
      <c r="G104"/>
      <c r="H104" s="4457"/>
      <c r="I104" s="4457"/>
      <c r="J104" s="4457"/>
      <c r="K104" s="4482"/>
      <c r="L104" s="4478"/>
      <c r="M104" s="4479"/>
    </row>
    <row r="105" outlineLevel="1" spans="2:13">
      <c r="B105" s="4454"/>
      <c r="C105" s="4454"/>
      <c r="D105" s="4455"/>
      <c r="E105" s="209"/>
      <c r="F105" s="4456"/>
      <c r="G105"/>
      <c r="H105" s="4457"/>
      <c r="I105" s="4457"/>
      <c r="J105" s="4457"/>
      <c r="K105" s="4482"/>
      <c r="L105" s="4478"/>
      <c r="M105" s="4479"/>
    </row>
    <row r="106" outlineLevel="1" spans="2:13">
      <c r="B106" s="4485"/>
      <c r="C106" s="4485"/>
      <c r="D106" s="4486"/>
      <c r="E106" s="209"/>
      <c r="F106" s="4456"/>
      <c r="G106"/>
      <c r="H106" s="4457"/>
      <c r="I106" s="4457"/>
      <c r="J106" s="4457"/>
      <c r="K106" s="4482"/>
      <c r="L106" s="4478"/>
      <c r="M106" s="4479"/>
    </row>
    <row r="107" outlineLevel="1" spans="2:13">
      <c r="B107" s="4454"/>
      <c r="C107" s="4454"/>
      <c r="D107" s="4455"/>
      <c r="E107" s="209"/>
      <c r="F107" s="4456"/>
      <c r="G107"/>
      <c r="H107" s="4457"/>
      <c r="I107" s="4457"/>
      <c r="J107" s="4457"/>
      <c r="K107" s="4482"/>
      <c r="L107" s="4478"/>
      <c r="M107" s="4479"/>
    </row>
    <row r="108" outlineLevel="1" spans="2:13">
      <c r="B108" s="4456" t="s">
        <v>720</v>
      </c>
      <c r="C108" s="4479"/>
      <c r="D108" s="4455"/>
      <c r="E108" s="209"/>
      <c r="F108" s="4456"/>
      <c r="G108"/>
      <c r="H108" s="4457"/>
      <c r="I108" s="4457"/>
      <c r="J108" s="4457"/>
      <c r="K108" s="4482"/>
      <c r="L108" s="4478"/>
      <c r="M108" s="4479"/>
    </row>
    <row r="109" outlineLevel="1" spans="2:13">
      <c r="B109" s="4454"/>
      <c r="C109" s="4454"/>
      <c r="D109" s="4455"/>
      <c r="E109" s="209"/>
      <c r="F109" s="4456"/>
      <c r="G109"/>
      <c r="H109" s="4457"/>
      <c r="I109" s="4457"/>
      <c r="J109" s="4457"/>
      <c r="K109" s="4482"/>
      <c r="L109" s="4478"/>
      <c r="M109" s="4479"/>
    </row>
    <row r="110" outlineLevel="1" spans="2:13">
      <c r="B110" s="4454"/>
      <c r="C110" s="4454"/>
      <c r="D110" s="4455"/>
      <c r="E110" s="209"/>
      <c r="F110" s="4456"/>
      <c r="G110"/>
      <c r="H110" s="4457"/>
      <c r="I110" s="4457"/>
      <c r="J110" s="4457"/>
      <c r="K110" s="4482"/>
      <c r="L110" s="4478"/>
      <c r="M110" s="4479"/>
    </row>
    <row r="111" outlineLevel="1" spans="2:13">
      <c r="B111" s="4454"/>
      <c r="C111" s="4454"/>
      <c r="D111" s="4455"/>
      <c r="E111" s="209"/>
      <c r="F111" s="4456"/>
      <c r="G111"/>
      <c r="H111" s="4457"/>
      <c r="I111" s="4457"/>
      <c r="J111" s="4457"/>
      <c r="K111" s="4482"/>
      <c r="L111" s="4478"/>
      <c r="M111" s="4479"/>
    </row>
    <row r="112" outlineLevel="1" spans="2:13">
      <c r="B112" s="4454"/>
      <c r="C112" s="4454"/>
      <c r="D112" s="4455"/>
      <c r="E112" s="209"/>
      <c r="F112" s="4456"/>
      <c r="G112"/>
      <c r="H112" s="4457"/>
      <c r="I112" s="4457"/>
      <c r="J112" s="4457"/>
      <c r="K112" s="4482"/>
      <c r="L112" s="4478"/>
      <c r="M112" s="4479"/>
    </row>
    <row r="113" outlineLevel="1" spans="2:13">
      <c r="B113" s="4454"/>
      <c r="C113" s="4454"/>
      <c r="D113" s="4455"/>
      <c r="E113" s="209"/>
      <c r="F113" s="4456"/>
      <c r="G113"/>
      <c r="H113" s="4457"/>
      <c r="I113" s="4457"/>
      <c r="J113" s="4457"/>
      <c r="K113" s="4482"/>
      <c r="L113" s="4478"/>
      <c r="M113" s="4479"/>
    </row>
    <row r="114" outlineLevel="1" spans="2:13">
      <c r="B114" s="4454"/>
      <c r="C114" s="4454"/>
      <c r="D114" s="4455"/>
      <c r="E114" s="209"/>
      <c r="F114" s="4456"/>
      <c r="G114"/>
      <c r="H114" s="4457"/>
      <c r="I114" s="4457"/>
      <c r="J114" s="4457"/>
      <c r="K114" s="4482"/>
      <c r="L114" s="4478"/>
      <c r="M114" s="4479"/>
    </row>
    <row r="115" outlineLevel="1" spans="2:13">
      <c r="B115" s="4485"/>
      <c r="C115" s="4485"/>
      <c r="D115" s="4486"/>
      <c r="E115" s="209"/>
      <c r="F115" s="4456"/>
      <c r="G115"/>
      <c r="H115" s="4457"/>
      <c r="I115" s="4457"/>
      <c r="J115" s="4457"/>
      <c r="K115" s="4482"/>
      <c r="L115" s="4478"/>
      <c r="M115" s="4479"/>
    </row>
    <row r="116" outlineLevel="1" spans="2:13">
      <c r="B116" s="4454"/>
      <c r="C116" s="4454"/>
      <c r="D116" s="4455"/>
      <c r="E116" s="209"/>
      <c r="F116" s="4456"/>
      <c r="G116"/>
      <c r="H116" s="4457"/>
      <c r="I116" s="4457"/>
      <c r="J116" s="4457"/>
      <c r="K116" s="4482"/>
      <c r="L116" s="4478"/>
      <c r="M116" s="4479"/>
    </row>
    <row r="117" outlineLevel="1" spans="2:13">
      <c r="B117" s="4456" t="s">
        <v>721</v>
      </c>
      <c r="C117" s="4479"/>
      <c r="D117" s="4455"/>
      <c r="E117" s="209"/>
      <c r="F117" s="4456"/>
      <c r="G117"/>
      <c r="H117" s="4457"/>
      <c r="I117" s="4457"/>
      <c r="J117" s="4457"/>
      <c r="K117" s="4482"/>
      <c r="L117" s="4478"/>
      <c r="M117" s="4479"/>
    </row>
    <row r="118" outlineLevel="1" spans="2:13">
      <c r="B118" s="4454"/>
      <c r="C118" s="4454"/>
      <c r="D118" s="4455"/>
      <c r="E118" s="209"/>
      <c r="F118" s="4456"/>
      <c r="G118"/>
      <c r="H118" s="4457"/>
      <c r="I118" s="4457"/>
      <c r="J118" s="4457"/>
      <c r="K118" s="4482"/>
      <c r="L118" s="4478"/>
      <c r="M118" s="4479"/>
    </row>
    <row r="119" outlineLevel="1" spans="2:13">
      <c r="B119" s="4454"/>
      <c r="C119" s="4454"/>
      <c r="D119" s="4455"/>
      <c r="E119" s="209"/>
      <c r="F119" s="4456"/>
      <c r="G119"/>
      <c r="H119" s="4457"/>
      <c r="I119" s="4457"/>
      <c r="J119" s="4457"/>
      <c r="K119" s="4482"/>
      <c r="L119" s="4478"/>
      <c r="M119" s="4479"/>
    </row>
    <row r="120" outlineLevel="1" spans="2:13">
      <c r="B120" s="4454"/>
      <c r="C120" s="4454"/>
      <c r="D120" s="4455"/>
      <c r="E120" s="209"/>
      <c r="F120" s="4456"/>
      <c r="G120"/>
      <c r="H120" s="4457"/>
      <c r="I120" s="4457"/>
      <c r="J120" s="4457"/>
      <c r="K120" s="4482"/>
      <c r="L120" s="4478"/>
      <c r="M120" s="4479"/>
    </row>
    <row r="121" outlineLevel="1" spans="2:13">
      <c r="B121" s="4454"/>
      <c r="C121" s="4454"/>
      <c r="D121" s="4455"/>
      <c r="E121" s="209"/>
      <c r="F121" s="4456"/>
      <c r="G121"/>
      <c r="H121" s="4457"/>
      <c r="I121" s="4457"/>
      <c r="J121" s="4457"/>
      <c r="K121" s="4482"/>
      <c r="L121" s="4478"/>
      <c r="M121" s="4479"/>
    </row>
    <row r="122" outlineLevel="1" spans="2:13">
      <c r="B122" s="4454"/>
      <c r="C122" s="4454"/>
      <c r="D122" s="4455"/>
      <c r="E122" s="209"/>
      <c r="F122" s="4456"/>
      <c r="G122"/>
      <c r="H122" s="4457"/>
      <c r="I122" s="4457"/>
      <c r="J122" s="4457"/>
      <c r="K122" s="4482"/>
      <c r="L122" s="4478"/>
      <c r="M122" s="4479"/>
    </row>
    <row r="123" outlineLevel="1" spans="2:13">
      <c r="B123" s="4454"/>
      <c r="C123" s="4454"/>
      <c r="D123" s="4455"/>
      <c r="E123" s="209"/>
      <c r="F123" s="4456"/>
      <c r="G123"/>
      <c r="H123" s="4457"/>
      <c r="I123" s="4457"/>
      <c r="J123" s="4457"/>
      <c r="K123" s="4482"/>
      <c r="L123" s="4478"/>
      <c r="M123" s="4479"/>
    </row>
    <row r="124" outlineLevel="1" spans="2:13">
      <c r="B124" s="4485"/>
      <c r="C124" s="4485"/>
      <c r="D124" s="4486"/>
      <c r="E124" s="209"/>
      <c r="F124" s="4456"/>
      <c r="G124"/>
      <c r="H124" s="4457"/>
      <c r="I124" s="4457"/>
      <c r="J124" s="4457"/>
      <c r="K124" s="4482"/>
      <c r="L124" s="4478"/>
      <c r="M124" s="4479"/>
    </row>
    <row r="125" outlineLevel="1" spans="2:13">
      <c r="B125" s="4454"/>
      <c r="C125" s="4454"/>
      <c r="D125" s="4455"/>
      <c r="E125" s="209"/>
      <c r="F125" s="4456"/>
      <c r="G125"/>
      <c r="H125" s="4457"/>
      <c r="I125" s="4457"/>
      <c r="J125" s="4457"/>
      <c r="K125" s="4482"/>
      <c r="L125" s="4478"/>
      <c r="M125" s="4479"/>
    </row>
    <row r="126" outlineLevel="1" spans="2:17">
      <c r="B126" s="4456" t="s">
        <v>722</v>
      </c>
      <c r="C126" s="4479"/>
      <c r="D126" s="4455"/>
      <c r="E126" s="209"/>
      <c r="F126" s="4456"/>
      <c r="G126"/>
      <c r="H126" s="4457"/>
      <c r="I126" s="4457"/>
      <c r="J126" s="4457"/>
      <c r="K126" s="4482"/>
      <c r="L126" s="4478"/>
      <c r="M126" s="4479"/>
      <c r="Q126">
        <f>O126-P126</f>
        <v>0</v>
      </c>
    </row>
    <row r="127" outlineLevel="1" spans="2:13">
      <c r="B127" s="4454"/>
      <c r="C127" s="4454"/>
      <c r="D127" s="4455"/>
      <c r="E127" s="209"/>
      <c r="F127" s="4456"/>
      <c r="G127"/>
      <c r="H127" s="4457"/>
      <c r="I127" s="4457"/>
      <c r="J127" s="4457"/>
      <c r="K127" s="4482"/>
      <c r="L127" s="4478"/>
      <c r="M127" s="4479"/>
    </row>
    <row r="128" outlineLevel="1" spans="2:13">
      <c r="B128" s="4454"/>
      <c r="C128" s="4454"/>
      <c r="D128" s="4455"/>
      <c r="E128" s="209"/>
      <c r="F128" s="4456"/>
      <c r="G128"/>
      <c r="H128" s="4457"/>
      <c r="I128" s="4457"/>
      <c r="J128" s="4457"/>
      <c r="K128" s="4482"/>
      <c r="L128" s="4478"/>
      <c r="M128" s="4479"/>
    </row>
    <row r="129" outlineLevel="1" spans="2:13">
      <c r="B129" s="4454"/>
      <c r="C129" s="4454"/>
      <c r="D129" s="4455"/>
      <c r="E129" s="209"/>
      <c r="F129" s="4456"/>
      <c r="G129"/>
      <c r="H129" s="4457"/>
      <c r="I129" s="4457"/>
      <c r="J129" s="4457"/>
      <c r="K129" s="4482"/>
      <c r="L129" s="4478"/>
      <c r="M129" s="4479"/>
    </row>
    <row r="130" outlineLevel="1" spans="2:13">
      <c r="B130" s="4485"/>
      <c r="C130" s="4485"/>
      <c r="D130" s="4486"/>
      <c r="E130" s="209"/>
      <c r="F130" s="4456"/>
      <c r="G130"/>
      <c r="H130" s="4457"/>
      <c r="I130" s="4457"/>
      <c r="J130" s="4457"/>
      <c r="K130" s="4482"/>
      <c r="L130" s="4478"/>
      <c r="M130" s="4479"/>
    </row>
    <row r="131" outlineLevel="1" spans="2:13">
      <c r="B131" s="4454"/>
      <c r="C131" s="4454"/>
      <c r="D131" s="4455"/>
      <c r="E131" s="209"/>
      <c r="F131" s="4456"/>
      <c r="G131"/>
      <c r="H131" s="4457"/>
      <c r="I131" s="4457"/>
      <c r="J131" s="4457"/>
      <c r="K131" s="4482"/>
      <c r="L131" s="4478"/>
      <c r="M131" s="4479"/>
    </row>
    <row r="132" outlineLevel="1" spans="2:17">
      <c r="B132" s="4456" t="s">
        <v>723</v>
      </c>
      <c r="C132" s="4454"/>
      <c r="D132" s="4455"/>
      <c r="E132" s="209"/>
      <c r="F132" s="4456"/>
      <c r="G132"/>
      <c r="H132" s="4457"/>
      <c r="I132" s="4457"/>
      <c r="J132" s="4457"/>
      <c r="K132" s="4482"/>
      <c r="L132" s="4478"/>
      <c r="M132" s="4479"/>
      <c r="Q132">
        <f>O132-P132</f>
        <v>0</v>
      </c>
    </row>
    <row r="133" outlineLevel="1" spans="2:13">
      <c r="B133" s="4454"/>
      <c r="C133" s="4454"/>
      <c r="D133" s="4455"/>
      <c r="E133" s="209"/>
      <c r="F133" s="4456"/>
      <c r="G133"/>
      <c r="H133" s="4457"/>
      <c r="I133" s="4457"/>
      <c r="J133" s="4457"/>
      <c r="K133" s="4482"/>
      <c r="L133" s="4478"/>
      <c r="M133" s="4479"/>
    </row>
    <row r="134" outlineLevel="1" spans="2:13">
      <c r="B134" s="4454"/>
      <c r="C134" s="4454"/>
      <c r="D134" s="4455"/>
      <c r="E134" s="209"/>
      <c r="F134" s="4456"/>
      <c r="G134"/>
      <c r="H134" s="4457"/>
      <c r="I134" s="4457"/>
      <c r="J134" s="4457"/>
      <c r="K134" s="4482"/>
      <c r="L134" s="4478"/>
      <c r="M134" s="4479"/>
    </row>
    <row r="135" outlineLevel="1" spans="2:13">
      <c r="B135" s="4454"/>
      <c r="C135" s="4454"/>
      <c r="D135" s="4455"/>
      <c r="E135" s="209"/>
      <c r="F135" s="4456"/>
      <c r="G135"/>
      <c r="H135" s="4457"/>
      <c r="I135" s="4457"/>
      <c r="J135" s="4457"/>
      <c r="K135" s="4482"/>
      <c r="L135" s="4478"/>
      <c r="M135" s="4479"/>
    </row>
    <row r="136" outlineLevel="1" spans="2:13">
      <c r="B136" s="4485"/>
      <c r="C136" s="4485"/>
      <c r="D136" s="4486"/>
      <c r="E136" s="209"/>
      <c r="F136" s="4456"/>
      <c r="G136"/>
      <c r="H136" s="4457"/>
      <c r="I136" s="4457"/>
      <c r="J136" s="4457"/>
      <c r="K136" s="4482"/>
      <c r="L136" s="4478"/>
      <c r="M136" s="4479"/>
    </row>
    <row r="137" outlineLevel="1" spans="2:13">
      <c r="B137" s="4454"/>
      <c r="C137" s="4454"/>
      <c r="D137" s="4455"/>
      <c r="E137" s="209"/>
      <c r="F137" s="4456"/>
      <c r="G137"/>
      <c r="H137" s="4457"/>
      <c r="I137" s="4457"/>
      <c r="J137" s="4457"/>
      <c r="K137" s="4482"/>
      <c r="L137" s="4478"/>
      <c r="M137" s="4479"/>
    </row>
    <row r="138" outlineLevel="1" spans="2:17">
      <c r="B138" s="4456" t="s">
        <v>724</v>
      </c>
      <c r="C138" s="4454"/>
      <c r="D138" s="4455"/>
      <c r="E138" s="209"/>
      <c r="F138" s="4456"/>
      <c r="G138"/>
      <c r="H138" s="4457"/>
      <c r="I138" s="4457"/>
      <c r="J138" s="4457"/>
      <c r="K138" s="4482"/>
      <c r="L138" s="4478"/>
      <c r="M138" s="4479"/>
      <c r="Q138">
        <f>O138-P138</f>
        <v>0</v>
      </c>
    </row>
    <row r="139" outlineLevel="1" spans="2:13">
      <c r="B139" s="4454"/>
      <c r="C139" s="4454"/>
      <c r="D139" s="4455"/>
      <c r="E139" s="209"/>
      <c r="F139" s="4456"/>
      <c r="G139"/>
      <c r="H139" s="4457"/>
      <c r="I139" s="4457"/>
      <c r="J139" s="4457"/>
      <c r="K139" s="4482"/>
      <c r="L139" s="4478"/>
      <c r="M139" s="4479"/>
    </row>
    <row r="140" outlineLevel="1" spans="2:13">
      <c r="B140" s="4454"/>
      <c r="C140" s="4454"/>
      <c r="D140" s="4455"/>
      <c r="E140" s="209"/>
      <c r="F140" s="4456"/>
      <c r="G140"/>
      <c r="H140" s="4457"/>
      <c r="I140" s="4457"/>
      <c r="J140" s="4457"/>
      <c r="K140" s="4482"/>
      <c r="L140" s="4478"/>
      <c r="M140" s="4479"/>
    </row>
    <row r="141" outlineLevel="1" spans="2:13">
      <c r="B141" s="4454"/>
      <c r="C141" s="4454"/>
      <c r="D141" s="4455"/>
      <c r="E141" s="209"/>
      <c r="F141" s="4456"/>
      <c r="G141"/>
      <c r="H141" s="4457"/>
      <c r="I141" s="4457"/>
      <c r="J141" s="4457"/>
      <c r="K141" s="4482"/>
      <c r="L141" s="4478"/>
      <c r="M141" s="4479"/>
    </row>
    <row r="142" outlineLevel="1" spans="2:13">
      <c r="B142" s="4485"/>
      <c r="C142" s="4485"/>
      <c r="D142" s="4486"/>
      <c r="E142" s="4487"/>
      <c r="F142" s="4488"/>
      <c r="G142" s="4489"/>
      <c r="H142" s="4489"/>
      <c r="I142" s="4489"/>
      <c r="J142" s="4489"/>
      <c r="K142" s="4495"/>
      <c r="L142" s="4495"/>
      <c r="M142" s="4496"/>
    </row>
    <row r="143" outlineLevel="1" spans="2:13">
      <c r="B143" s="4454"/>
      <c r="C143" s="4454"/>
      <c r="D143" s="4455"/>
      <c r="E143" s="4461"/>
      <c r="F143" s="4456"/>
      <c r="G143" s="4457"/>
      <c r="H143" s="4457"/>
      <c r="I143" s="4457"/>
      <c r="J143" s="4457"/>
      <c r="K143" s="4478"/>
      <c r="L143" s="4478"/>
      <c r="M143" s="4479"/>
    </row>
    <row r="144" outlineLevel="1" spans="2:13">
      <c r="B144" s="4456" t="s">
        <v>725</v>
      </c>
      <c r="C144" s="4454"/>
      <c r="D144" s="4455"/>
      <c r="E144" s="2199"/>
      <c r="F144" s="4456"/>
      <c r="G144" s="4457"/>
      <c r="H144" s="4457"/>
      <c r="I144" s="4457"/>
      <c r="J144" s="4457"/>
      <c r="K144" s="4478"/>
      <c r="L144" s="4478"/>
      <c r="M144" s="4479"/>
    </row>
    <row r="145" outlineLevel="1" spans="2:13">
      <c r="B145" s="4454"/>
      <c r="C145" s="4454"/>
      <c r="D145" s="4455"/>
      <c r="E145" s="2199"/>
      <c r="F145" s="4456"/>
      <c r="G145" s="4457"/>
      <c r="H145" s="4457"/>
      <c r="I145" s="4457"/>
      <c r="J145" s="4457"/>
      <c r="K145" s="4478"/>
      <c r="L145" s="4478"/>
      <c r="M145" s="4479">
        <f>-H145</f>
        <v>0</v>
      </c>
    </row>
    <row r="146" outlineLevel="1" spans="2:13">
      <c r="B146" s="4454"/>
      <c r="C146" s="4454"/>
      <c r="D146" s="4455"/>
      <c r="E146" s="2199"/>
      <c r="F146" s="4456"/>
      <c r="G146" s="4457"/>
      <c r="H146" s="4457"/>
      <c r="I146" s="4457"/>
      <c r="J146" s="4457"/>
      <c r="K146" s="4478"/>
      <c r="L146" s="4478"/>
      <c r="M146" s="4479"/>
    </row>
    <row r="147" outlineLevel="1" spans="2:13">
      <c r="B147" s="4454"/>
      <c r="C147" s="4454"/>
      <c r="D147" s="4455"/>
      <c r="E147" s="2199"/>
      <c r="F147" s="4456"/>
      <c r="G147" s="4457"/>
      <c r="H147" s="4457"/>
      <c r="I147" s="4457"/>
      <c r="J147" s="4457"/>
      <c r="K147" s="4478"/>
      <c r="L147" s="4478"/>
      <c r="M147" s="4479"/>
    </row>
    <row r="148" outlineLevel="1" spans="2:13">
      <c r="B148" s="4454"/>
      <c r="C148" s="4454"/>
      <c r="D148" s="4455"/>
      <c r="E148" s="2199"/>
      <c r="F148" s="4456"/>
      <c r="G148" s="4457"/>
      <c r="H148" s="4457"/>
      <c r="I148" s="4457"/>
      <c r="J148" s="4457"/>
      <c r="K148" s="4478"/>
      <c r="L148" s="4478"/>
      <c r="M148" s="4479"/>
    </row>
    <row r="149" outlineLevel="1" spans="2:13">
      <c r="B149" s="4456" t="s">
        <v>724</v>
      </c>
      <c r="C149" s="4454"/>
      <c r="D149" s="4455"/>
      <c r="E149" s="2199"/>
      <c r="F149" s="4456"/>
      <c r="G149" s="4457"/>
      <c r="H149" s="4457"/>
      <c r="I149" s="4457"/>
      <c r="J149" s="4457"/>
      <c r="K149" s="4478"/>
      <c r="L149" s="4478"/>
      <c r="M149" s="4479">
        <f>G149</f>
        <v>0</v>
      </c>
    </row>
    <row r="150" outlineLevel="1" spans="2:13">
      <c r="B150" s="4454"/>
      <c r="C150" s="4454"/>
      <c r="D150" s="4455"/>
      <c r="E150" s="2199"/>
      <c r="F150" s="4456"/>
      <c r="G150" s="4457"/>
      <c r="H150" s="4457"/>
      <c r="I150" s="4457"/>
      <c r="J150" s="4457"/>
      <c r="K150" s="4478"/>
      <c r="L150" s="4478"/>
      <c r="M150" s="4479"/>
    </row>
    <row r="151" outlineLevel="1" spans="2:13">
      <c r="B151" s="4454"/>
      <c r="C151" s="4454"/>
      <c r="D151" s="4455"/>
      <c r="E151" s="2199"/>
      <c r="F151" s="4456"/>
      <c r="G151" s="4457"/>
      <c r="H151" s="4457"/>
      <c r="I151" s="4457"/>
      <c r="J151" s="4457"/>
      <c r="K151" s="4478"/>
      <c r="L151" s="4478"/>
      <c r="M151" s="4479"/>
    </row>
    <row r="152" outlineLevel="1" spans="2:13">
      <c r="B152" s="4454"/>
      <c r="C152" s="4454"/>
      <c r="D152" s="4455"/>
      <c r="E152" s="4461"/>
      <c r="F152" s="4456"/>
      <c r="G152" s="4457"/>
      <c r="H152" s="4457"/>
      <c r="I152" s="4457"/>
      <c r="J152" s="4457"/>
      <c r="K152" s="4478"/>
      <c r="L152" s="4478"/>
      <c r="M152" s="4479"/>
    </row>
    <row r="153" outlineLevel="1" spans="2:13">
      <c r="B153" s="4485"/>
      <c r="C153" s="4485"/>
      <c r="D153" s="4486"/>
      <c r="E153" s="4487"/>
      <c r="F153" s="4488"/>
      <c r="G153" s="4489"/>
      <c r="H153" s="4489"/>
      <c r="I153" s="4489"/>
      <c r="J153" s="4489"/>
      <c r="K153" s="4495"/>
      <c r="L153" s="4495"/>
      <c r="M153" s="4496"/>
    </row>
    <row r="154" outlineLevel="1" spans="2:13">
      <c r="B154" s="4454"/>
      <c r="C154" s="4454"/>
      <c r="D154" s="4455"/>
      <c r="E154" s="4461"/>
      <c r="F154" s="4456"/>
      <c r="G154" s="4457"/>
      <c r="H154" s="4457"/>
      <c r="I154" s="4457"/>
      <c r="J154" s="4457"/>
      <c r="K154" s="4478"/>
      <c r="L154" s="4478"/>
      <c r="M154" s="4479"/>
    </row>
    <row r="155" outlineLevel="1" spans="2:13">
      <c r="B155" s="4454"/>
      <c r="C155" s="4454"/>
      <c r="D155" s="4455"/>
      <c r="E155" s="4461"/>
      <c r="F155" s="4456"/>
      <c r="G155" s="4457"/>
      <c r="H155" s="4457"/>
      <c r="I155" s="4457"/>
      <c r="J155" s="4457"/>
      <c r="K155" s="4478"/>
      <c r="L155" s="4478"/>
      <c r="M155" s="4479"/>
    </row>
    <row r="156" outlineLevel="1" spans="2:13">
      <c r="B156" s="4454"/>
      <c r="C156" s="4454"/>
      <c r="D156" s="4455"/>
      <c r="E156" s="4461"/>
      <c r="F156" s="4456"/>
      <c r="G156" s="4457"/>
      <c r="H156" s="4457"/>
      <c r="I156" s="4457"/>
      <c r="J156" s="4457"/>
      <c r="K156" s="4478"/>
      <c r="L156" s="4478"/>
      <c r="M156" s="4479"/>
    </row>
    <row r="157" outlineLevel="1" spans="2:13">
      <c r="B157" s="4454"/>
      <c r="C157" s="4454"/>
      <c r="D157" s="4455"/>
      <c r="E157" s="4461"/>
      <c r="F157" s="4456"/>
      <c r="G157" s="4457"/>
      <c r="H157" s="4457"/>
      <c r="I157" s="4457"/>
      <c r="J157" s="4457"/>
      <c r="K157" s="4478"/>
      <c r="L157" s="4478"/>
      <c r="M157" s="4479"/>
    </row>
    <row r="158" ht="13.95" spans="2:13">
      <c r="B158" s="4464"/>
      <c r="C158" s="4464"/>
      <c r="D158" s="4465"/>
      <c r="E158" s="4466"/>
      <c r="F158" s="4471"/>
      <c r="G158" s="4468"/>
      <c r="H158" s="4468"/>
      <c r="I158" s="4468"/>
      <c r="J158" s="4468"/>
      <c r="K158" s="4480"/>
      <c r="L158" s="4480"/>
      <c r="M158" s="4481"/>
    </row>
    <row r="159" spans="2:13">
      <c r="B159" s="4490"/>
      <c r="C159" s="4490"/>
      <c r="D159" s="4491"/>
      <c r="E159" s="101" t="s">
        <v>675</v>
      </c>
      <c r="F159" s="4490"/>
      <c r="G159" s="4492">
        <f>SUM(G12:G157)</f>
        <v>11510677742.8061</v>
      </c>
      <c r="H159" s="4492">
        <f>SUM(H12:H157)</f>
        <v>11510677742.8061</v>
      </c>
      <c r="I159" s="4492"/>
      <c r="J159" s="4492"/>
      <c r="K159" s="4490"/>
      <c r="L159" s="4490"/>
      <c r="M159" s="4497">
        <f>SUM(M12:M120)</f>
        <v>566162754.749918</v>
      </c>
    </row>
    <row r="160" ht="13.95" spans="2:13">
      <c r="B160" s="4480"/>
      <c r="C160" s="4480"/>
      <c r="D160" s="4493"/>
      <c r="E160" s="4493"/>
      <c r="F160" s="4480"/>
      <c r="G160" s="4468"/>
      <c r="H160" s="4468">
        <f>G159-H159</f>
        <v>0</v>
      </c>
      <c r="I160" s="4468"/>
      <c r="J160" s="4468"/>
      <c r="K160" s="4480"/>
      <c r="L160" s="4480"/>
      <c r="M160" s="4481"/>
    </row>
    <row r="161" spans="13:13">
      <c r="M161" s="2840"/>
    </row>
    <row r="162" spans="3:13">
      <c r="C162" s="4494"/>
      <c r="M162" s="2840"/>
    </row>
    <row r="163" spans="13:13">
      <c r="M163" s="2840"/>
    </row>
    <row r="164" spans="13:13">
      <c r="M164" s="2840"/>
    </row>
    <row r="165" spans="8:13">
      <c r="H165"/>
      <c r="I165"/>
      <c r="J165"/>
      <c r="M165" s="2840"/>
    </row>
    <row r="166" spans="8:13">
      <c r="H166"/>
      <c r="I166"/>
      <c r="J166"/>
      <c r="M166" s="2840"/>
    </row>
    <row r="167" spans="13:13">
      <c r="M167" s="2840"/>
    </row>
    <row r="168" spans="13:13">
      <c r="M168" s="2840"/>
    </row>
    <row r="169" spans="13:13">
      <c r="M169" s="2840"/>
    </row>
    <row r="170" spans="13:13">
      <c r="M170" s="2840"/>
    </row>
    <row r="171" spans="13:13">
      <c r="M171" s="2840"/>
    </row>
    <row r="172" spans="13:13">
      <c r="M172" s="2840"/>
    </row>
    <row r="173" spans="13:13">
      <c r="M173" s="2840"/>
    </row>
    <row r="174" spans="13:13">
      <c r="M174" s="2840"/>
    </row>
    <row r="175" spans="13:13">
      <c r="M175" s="2840"/>
    </row>
    <row r="176" spans="13:13">
      <c r="M176" s="2840"/>
    </row>
    <row r="177" spans="13:13">
      <c r="M177" s="2840"/>
    </row>
    <row r="178" spans="13:13">
      <c r="M178" s="2840"/>
    </row>
    <row r="179" spans="13:13">
      <c r="M179" s="2840"/>
    </row>
    <row r="180" spans="13:13">
      <c r="M180" s="2840"/>
    </row>
    <row r="181" spans="13:13">
      <c r="M181" s="2840"/>
    </row>
    <row r="182" spans="13:13">
      <c r="M182" s="2840"/>
    </row>
  </sheetData>
  <mergeCells count="2">
    <mergeCell ref="G9:H9"/>
    <mergeCell ref="I9:J9"/>
  </mergeCells>
  <printOptions horizontalCentered="1" gridLines="1"/>
  <pageMargins left="0.31496062992126" right="0.118110236220472" top="0.31496062992126" bottom="0.15748031496063" header="0.511811023622047" footer="0.118110236220472"/>
  <pageSetup paperSize="9" scale="65" orientation="portrait"/>
  <headerFooter alignWithMargins="0">
    <oddFooter>&amp;R&amp;"Arial,Bold"&amp;28F4</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rgb="FF00B0F0"/>
  </sheetPr>
  <dimension ref="A2:Z87"/>
  <sheetViews>
    <sheetView showGridLines="0" zoomScale="115" zoomScaleNormal="115" zoomScaleSheetLayoutView="116" workbookViewId="0">
      <pane xSplit="5" ySplit="11" topLeftCell="F12" activePane="bottomRight" state="frozen"/>
      <selection/>
      <selection pane="topRight"/>
      <selection pane="bottomLeft"/>
      <selection pane="bottomRight" activeCell="J17" sqref="J17"/>
    </sheetView>
  </sheetViews>
  <sheetFormatPr defaultColWidth="9.13541666666667" defaultRowHeight="13.2"/>
  <cols>
    <col min="1" max="1" width="3.73958333333333" style="101" customWidth="1"/>
    <col min="2" max="2" width="6.73958333333333" style="101" customWidth="1"/>
    <col min="3" max="3" width="26.96875" style="101" customWidth="1"/>
    <col min="4" max="4" width="9.13541666666667" style="102" customWidth="1"/>
    <col min="5" max="5" width="16.9270833333333" style="102" customWidth="1" outlineLevel="1"/>
    <col min="6" max="6" width="6.4375" style="102" customWidth="1" outlineLevel="1"/>
    <col min="7" max="7" width="16.1770833333333" style="102" customWidth="1" outlineLevel="1"/>
    <col min="8" max="8" width="16.3333333333333" style="102" customWidth="1" outlineLevel="1"/>
    <col min="9" max="9" width="6.4375" style="102" customWidth="1" outlineLevel="1"/>
    <col min="10" max="10" width="16.9270833333333" style="102" customWidth="1"/>
    <col min="11" max="11" width="16.9270833333333" style="101" customWidth="1" outlineLevel="1"/>
    <col min="12" max="12" width="7.34375" style="101" customWidth="1" outlineLevel="1"/>
    <col min="13" max="13" width="13.6354166666667" style="101" customWidth="1" outlineLevel="1"/>
    <col min="14" max="14" width="15.1354166666667" style="101" customWidth="1" outlineLevel="1"/>
    <col min="15" max="15" width="6.73958333333333" style="101" customWidth="1" outlineLevel="1"/>
    <col min="16" max="16" width="17.53125" style="101" customWidth="1"/>
    <col min="17" max="17" width="20.375" style="101" customWidth="1"/>
    <col min="18" max="20" width="17.53125" style="101" customWidth="1"/>
    <col min="21" max="21" width="16.9270833333333" style="101" customWidth="1"/>
    <col min="22" max="22" width="8.84375" style="364" customWidth="1"/>
    <col min="23" max="23" width="17.2291666666667" style="101" customWidth="1"/>
    <col min="24" max="24" width="10.3333333333333" style="103" customWidth="1"/>
    <col min="25" max="25" width="17.9791666666667" style="101" customWidth="1"/>
    <col min="26" max="26" width="15.1354166666667" style="101" customWidth="1"/>
    <col min="27" max="16384" width="9.13541666666667" style="101"/>
  </cols>
  <sheetData>
    <row r="2" ht="21" spans="2:24">
      <c r="B2" s="4208" t="s">
        <v>726</v>
      </c>
      <c r="C2" s="4209"/>
      <c r="D2" s="4210"/>
      <c r="E2" s="4210"/>
      <c r="F2" s="4212"/>
      <c r="G2" s="4210"/>
      <c r="H2" s="4210"/>
      <c r="I2" s="4210"/>
      <c r="J2" s="4210"/>
      <c r="K2" s="4210"/>
      <c r="L2" s="4249"/>
      <c r="M2" s="4249"/>
      <c r="N2" s="4249"/>
      <c r="O2" s="4249"/>
      <c r="P2" s="4210"/>
      <c r="Q2" s="4210"/>
      <c r="R2" s="4210"/>
      <c r="S2" s="4210"/>
      <c r="T2" s="4210"/>
      <c r="U2" s="4212" t="s">
        <v>481</v>
      </c>
      <c r="V2" s="4210"/>
      <c r="W2" s="4269" t="s">
        <v>482</v>
      </c>
      <c r="X2" s="4270" t="s">
        <v>483</v>
      </c>
    </row>
    <row r="3" ht="15.6" spans="2:24">
      <c r="B3" s="4309"/>
      <c r="C3" s="4310"/>
      <c r="D3" s="4311"/>
      <c r="E3" s="4359"/>
      <c r="F3" s="4360"/>
      <c r="G3" s="4217"/>
      <c r="H3" s="4217"/>
      <c r="I3" s="4217"/>
      <c r="J3" s="4217"/>
      <c r="K3" s="4217"/>
      <c r="L3" s="4334"/>
      <c r="M3" s="4334"/>
      <c r="N3" s="4334"/>
      <c r="O3" s="4334"/>
      <c r="P3" s="4217"/>
      <c r="Q3" s="4217"/>
      <c r="R3" s="4217"/>
      <c r="S3" s="4217"/>
      <c r="T3" s="4217"/>
      <c r="U3" s="4271"/>
      <c r="V3" s="4272"/>
      <c r="W3" s="4273">
        <v>45193</v>
      </c>
      <c r="X3" s="4274" t="s">
        <v>727</v>
      </c>
    </row>
    <row r="4" spans="2:24">
      <c r="B4" s="4312" t="s">
        <v>622</v>
      </c>
      <c r="C4" s="4220" t="str">
        <f>+'Audit Isu'!B2</f>
        <v>PT INTAN GIRI ABADI</v>
      </c>
      <c r="D4" s="4313"/>
      <c r="E4" s="4361"/>
      <c r="F4" s="4316"/>
      <c r="G4" s="4313"/>
      <c r="H4" s="4313"/>
      <c r="I4" s="4313"/>
      <c r="J4" s="4313"/>
      <c r="K4" s="4313"/>
      <c r="L4" s="4335"/>
      <c r="M4" s="4335"/>
      <c r="N4" s="4335"/>
      <c r="O4" s="4335"/>
      <c r="P4" s="4313"/>
      <c r="Q4" s="4313"/>
      <c r="R4" s="4313"/>
      <c r="S4" s="4313"/>
      <c r="T4" s="4313"/>
      <c r="U4" s="4316" t="s">
        <v>487</v>
      </c>
      <c r="V4" s="4217"/>
      <c r="W4" s="4346" t="s">
        <v>482</v>
      </c>
      <c r="X4" s="4354" t="s">
        <v>488</v>
      </c>
    </row>
    <row r="5" ht="9.6" customHeight="1" spans="2:24">
      <c r="B5" s="4314"/>
      <c r="C5" s="4310"/>
      <c r="D5" s="4315"/>
      <c r="E5" s="4315"/>
      <c r="F5" s="4316"/>
      <c r="G5" s="4313"/>
      <c r="H5" s="4313"/>
      <c r="I5" s="4313"/>
      <c r="J5" s="4313"/>
      <c r="K5" s="4313"/>
      <c r="L5" s="4335"/>
      <c r="M5" s="4335"/>
      <c r="N5" s="4335"/>
      <c r="O5" s="4335"/>
      <c r="P5" s="4313"/>
      <c r="Q5" s="4313"/>
      <c r="R5" s="4313"/>
      <c r="S5" s="4313"/>
      <c r="T5" s="4313"/>
      <c r="U5" s="4316"/>
      <c r="V5" s="4313"/>
      <c r="W5" s="4277"/>
      <c r="X5" s="4278"/>
    </row>
    <row r="6" spans="2:24">
      <c r="B6" s="4316"/>
      <c r="C6" s="4214"/>
      <c r="D6" s="4313"/>
      <c r="E6" s="4313"/>
      <c r="F6" s="4316"/>
      <c r="G6" s="4313"/>
      <c r="H6" s="4313"/>
      <c r="I6" s="4313"/>
      <c r="J6" s="4313"/>
      <c r="K6" s="4313"/>
      <c r="L6" s="4335"/>
      <c r="M6" s="4335"/>
      <c r="N6" s="4335"/>
      <c r="O6" s="4335"/>
      <c r="P6" s="4313"/>
      <c r="Q6" s="4313"/>
      <c r="R6" s="4313"/>
      <c r="S6" s="4313"/>
      <c r="T6" s="4313"/>
      <c r="U6" s="4316"/>
      <c r="V6" s="4313"/>
      <c r="W6" s="4316"/>
      <c r="X6" s="4355" t="s">
        <v>491</v>
      </c>
    </row>
    <row r="7" spans="2:24">
      <c r="B7" s="4314" t="s">
        <v>728</v>
      </c>
      <c r="C7" s="4317" t="s">
        <v>729</v>
      </c>
      <c r="D7" s="4318"/>
      <c r="E7" s="4315"/>
      <c r="F7" s="4314"/>
      <c r="G7" s="4315"/>
      <c r="H7" s="4315"/>
      <c r="I7" s="4315"/>
      <c r="J7" s="4315"/>
      <c r="K7" s="4315"/>
      <c r="L7" s="4336"/>
      <c r="M7" s="4336"/>
      <c r="N7" s="4336"/>
      <c r="O7" s="4336"/>
      <c r="P7" s="4315"/>
      <c r="Q7" s="4315"/>
      <c r="R7" s="4315"/>
      <c r="S7" s="4315"/>
      <c r="T7" s="4315"/>
      <c r="U7" s="4314"/>
      <c r="V7" s="4315"/>
      <c r="W7" s="4314"/>
      <c r="X7" s="4280">
        <v>44926</v>
      </c>
    </row>
    <row r="8" spans="11:21">
      <c r="K8" s="4338"/>
      <c r="L8" s="186"/>
      <c r="M8" s="136"/>
      <c r="N8" s="136"/>
      <c r="O8" s="291"/>
      <c r="P8" s="4338"/>
      <c r="Q8" s="4347"/>
      <c r="R8" s="4347"/>
      <c r="S8" s="4347"/>
      <c r="T8" s="4347"/>
      <c r="U8" s="4347"/>
    </row>
    <row r="9" spans="2:24">
      <c r="B9"/>
      <c r="C9"/>
      <c r="D9"/>
      <c r="E9"/>
      <c r="F9"/>
      <c r="G9"/>
      <c r="H9"/>
      <c r="I9"/>
      <c r="J9"/>
      <c r="K9"/>
      <c r="L9"/>
      <c r="M9"/>
      <c r="N9"/>
      <c r="O9"/>
      <c r="P9"/>
      <c r="Q9"/>
      <c r="R9"/>
      <c r="S9"/>
      <c r="T9"/>
      <c r="U9"/>
      <c r="V9"/>
      <c r="W9"/>
      <c r="X9"/>
    </row>
    <row r="10" spans="2:24">
      <c r="B10" s="1217"/>
      <c r="C10" s="4268"/>
      <c r="D10" s="308"/>
      <c r="E10" s="4255">
        <v>44926</v>
      </c>
      <c r="F10" s="1224"/>
      <c r="G10" s="28" t="s">
        <v>625</v>
      </c>
      <c r="H10" s="28" t="s">
        <v>626</v>
      </c>
      <c r="I10" s="1224"/>
      <c r="J10" s="4255">
        <v>44926</v>
      </c>
      <c r="K10" s="4255">
        <v>44561</v>
      </c>
      <c r="L10" s="308"/>
      <c r="M10" s="1224"/>
      <c r="N10" s="1224"/>
      <c r="O10" s="308"/>
      <c r="P10" s="4255">
        <v>44561</v>
      </c>
      <c r="Q10" s="4255">
        <v>44196</v>
      </c>
      <c r="R10" s="4281">
        <f>+Q10-366</f>
        <v>43830</v>
      </c>
      <c r="S10" s="4281">
        <f>+R10-365</f>
        <v>43465</v>
      </c>
      <c r="T10" s="4281">
        <f>+S10-366</f>
        <v>43099</v>
      </c>
      <c r="U10" s="4281">
        <v>44926</v>
      </c>
      <c r="V10" s="4230"/>
      <c r="W10" s="4281">
        <v>44561</v>
      </c>
      <c r="X10" s="4230"/>
    </row>
    <row r="11" s="1195" customFormat="1" spans="2:24">
      <c r="B11" s="129" t="s">
        <v>387</v>
      </c>
      <c r="C11" s="4234"/>
      <c r="D11" s="4362" t="s">
        <v>730</v>
      </c>
      <c r="E11" s="4363" t="s">
        <v>628</v>
      </c>
      <c r="F11" s="3317" t="s">
        <v>629</v>
      </c>
      <c r="G11" s="4364" t="s">
        <v>630</v>
      </c>
      <c r="H11" s="4365"/>
      <c r="I11" s="3317" t="s">
        <v>629</v>
      </c>
      <c r="J11" s="4341" t="s">
        <v>631</v>
      </c>
      <c r="K11" s="3317" t="s">
        <v>628</v>
      </c>
      <c r="L11" s="4363" t="s">
        <v>629</v>
      </c>
      <c r="M11" s="3317" t="s">
        <v>630</v>
      </c>
      <c r="N11" s="3317"/>
      <c r="O11" s="4363" t="s">
        <v>629</v>
      </c>
      <c r="P11" s="4341" t="s">
        <v>631</v>
      </c>
      <c r="Q11" s="4363" t="s">
        <v>628</v>
      </c>
      <c r="R11" s="4363" t="s">
        <v>628</v>
      </c>
      <c r="S11" s="4363" t="s">
        <v>628</v>
      </c>
      <c r="T11" s="4341" t="s">
        <v>631</v>
      </c>
      <c r="U11" s="3317" t="s">
        <v>632</v>
      </c>
      <c r="V11" s="2660" t="s">
        <v>633</v>
      </c>
      <c r="W11" s="3317" t="s">
        <v>632</v>
      </c>
      <c r="X11" s="2660" t="s">
        <v>633</v>
      </c>
    </row>
    <row r="12" spans="2:24">
      <c r="B12" s="129"/>
      <c r="C12" s="153"/>
      <c r="D12" s="131"/>
      <c r="E12" s="131"/>
      <c r="F12" s="131"/>
      <c r="G12" s="137"/>
      <c r="H12" s="308"/>
      <c r="I12" s="131"/>
      <c r="J12" s="131"/>
      <c r="K12" s="131"/>
      <c r="L12" s="132"/>
      <c r="M12" s="131"/>
      <c r="N12" s="131"/>
      <c r="O12" s="132"/>
      <c r="P12" s="4396"/>
      <c r="Q12" s="4413"/>
      <c r="R12" s="4414"/>
      <c r="S12" s="4413"/>
      <c r="T12" s="4414"/>
      <c r="U12" s="4415"/>
      <c r="V12" s="3880"/>
      <c r="W12" s="131"/>
      <c r="X12" s="4416"/>
    </row>
    <row r="13" spans="2:24">
      <c r="B13" s="129"/>
      <c r="C13" s="153"/>
      <c r="D13" s="131"/>
      <c r="E13" s="131"/>
      <c r="F13" s="131"/>
      <c r="G13" s="131"/>
      <c r="H13" s="131"/>
      <c r="I13" s="131"/>
      <c r="J13" s="131"/>
      <c r="K13" s="152"/>
      <c r="L13" s="130"/>
      <c r="M13" s="152"/>
      <c r="N13" s="152"/>
      <c r="O13" s="130"/>
      <c r="P13" s="152"/>
      <c r="Q13" s="130"/>
      <c r="R13" s="152"/>
      <c r="S13" s="130"/>
      <c r="T13" s="152"/>
      <c r="U13" s="153"/>
      <c r="V13" s="354"/>
      <c r="W13" s="161"/>
      <c r="X13" s="4023"/>
    </row>
    <row r="14" spans="2:24">
      <c r="B14" s="5029" t="s">
        <v>540</v>
      </c>
      <c r="C14" s="289"/>
      <c r="D14" s="135"/>
      <c r="E14" s="135"/>
      <c r="F14"/>
      <c r="G14" s="2505"/>
      <c r="H14" s="4366"/>
      <c r="I14" s="135"/>
      <c r="J14" s="135"/>
      <c r="K14" s="296"/>
      <c r="L14" s="4397"/>
      <c r="M14" s="296"/>
      <c r="N14" s="296"/>
      <c r="O14" s="134"/>
      <c r="P14" s="296"/>
      <c r="Q14" s="137"/>
      <c r="R14" s="161"/>
      <c r="S14" s="137"/>
      <c r="T14" s="161"/>
      <c r="U14" s="304"/>
      <c r="V14" s="4350"/>
      <c r="W14" s="296"/>
      <c r="X14" s="4023"/>
    </row>
    <row r="15" spans="2:24">
      <c r="B15" s="138"/>
      <c r="C15" s="290" t="s">
        <v>731</v>
      </c>
      <c r="D15" s="4367" t="s">
        <v>732</v>
      </c>
      <c r="E15" s="161">
        <f>+A!G33</f>
        <v>203696715.03</v>
      </c>
      <c r="F15" s="4368" t="s">
        <v>187</v>
      </c>
      <c r="G15" s="4369">
        <f>+A!I33</f>
        <v>0</v>
      </c>
      <c r="H15" s="4370">
        <f>+A!J33</f>
        <v>66242.0249999994</v>
      </c>
      <c r="I15" s="4368"/>
      <c r="J15" s="161">
        <f>E15+G15-H15</f>
        <v>203630473.005</v>
      </c>
      <c r="K15" s="4398">
        <f>+A!M33</f>
        <v>295687829.64435</v>
      </c>
      <c r="L15" s="139"/>
      <c r="M15" s="1247">
        <f>+A!O33</f>
        <v>0</v>
      </c>
      <c r="N15" s="1247">
        <f>+A!P33</f>
        <v>1669.56435000058</v>
      </c>
      <c r="O15" s="139"/>
      <c r="P15" s="161">
        <f t="shared" ref="P15:P24" si="0">K15+M15-N15</f>
        <v>295686160.08</v>
      </c>
      <c r="Q15" s="137">
        <f>+A!S33</f>
        <v>750100447</v>
      </c>
      <c r="R15" s="161">
        <v>341662287.53045</v>
      </c>
      <c r="S15" s="161">
        <v>733017292.000001</v>
      </c>
      <c r="T15" s="161">
        <v>1024110360.82</v>
      </c>
      <c r="U15" s="330">
        <f>E15-P15</f>
        <v>-91989445.0499995</v>
      </c>
      <c r="V15" s="355">
        <f>IF(J15=0,IF(J15=0,1,U15/U15),U15/J15)</f>
        <v>-0.451746949719754</v>
      </c>
      <c r="W15" s="4348">
        <f>K15-Q15</f>
        <v>-454412617.35565</v>
      </c>
      <c r="X15" s="648">
        <f>IF(Q15=0,IF(Q15=0,1,W15/W15),W15/Q15)</f>
        <v>-0.605802355101983</v>
      </c>
    </row>
    <row r="16" spans="2:24">
      <c r="B16" s="138"/>
      <c r="C16" s="5030" t="s">
        <v>733</v>
      </c>
      <c r="D16" s="135"/>
      <c r="E16" s="4368"/>
      <c r="F16" s="4368"/>
      <c r="G16" s="4369"/>
      <c r="H16" s="4371"/>
      <c r="I16" s="4368"/>
      <c r="J16" s="161"/>
      <c r="K16" s="4398"/>
      <c r="L16" s="139"/>
      <c r="M16" s="1247"/>
      <c r="N16" s="1247"/>
      <c r="O16" s="139"/>
      <c r="P16" s="161"/>
      <c r="Q16" s="137"/>
      <c r="R16" s="161"/>
      <c r="S16" s="161"/>
      <c r="T16" s="161"/>
      <c r="U16" s="304"/>
      <c r="V16" s="4350"/>
      <c r="W16" s="4348"/>
      <c r="X16" s="648"/>
    </row>
    <row r="17" spans="2:24">
      <c r="B17" s="138"/>
      <c r="C17" s="4372" t="s">
        <v>734</v>
      </c>
      <c r="D17" s="4367" t="s">
        <v>735</v>
      </c>
      <c r="E17" s="161">
        <f>+B!F41</f>
        <v>2119615270.2</v>
      </c>
      <c r="F17" s="4368" t="s">
        <v>187</v>
      </c>
      <c r="G17" s="4369">
        <f>+B!H31</f>
        <v>0</v>
      </c>
      <c r="H17" s="4369">
        <f>+B!I31</f>
        <v>1328060000</v>
      </c>
      <c r="I17" s="4368"/>
      <c r="J17" s="161">
        <f>E17+G17-H17</f>
        <v>791555270.2</v>
      </c>
      <c r="K17" s="4398">
        <f>+B!L41</f>
        <v>1205578095.27479</v>
      </c>
      <c r="L17" s="139"/>
      <c r="M17" s="1247">
        <f>+B!N31</f>
        <v>0</v>
      </c>
      <c r="N17" s="1247">
        <f>+B!O31</f>
        <v>0</v>
      </c>
      <c r="O17" s="139"/>
      <c r="P17" s="161">
        <f t="shared" si="0"/>
        <v>1205578095.27479</v>
      </c>
      <c r="Q17" s="137">
        <f>+B!R41</f>
        <v>1233508998.39333</v>
      </c>
      <c r="R17" s="161">
        <v>1273037990</v>
      </c>
      <c r="S17" s="161">
        <v>1365686198</v>
      </c>
      <c r="T17" s="161">
        <v>6370082137</v>
      </c>
      <c r="U17" s="330">
        <f t="shared" ref="U17:U24" si="1">E17-P17</f>
        <v>914037174.92521</v>
      </c>
      <c r="V17" s="355">
        <f>IF(J17=0,IF(J17=0,1,U17/U17),U17/J17)</f>
        <v>1.15473575798979</v>
      </c>
      <c r="W17" s="4348">
        <f t="shared" ref="W17:W24" si="2">K17-Q17</f>
        <v>-27930903.1185412</v>
      </c>
      <c r="X17" s="648">
        <f t="shared" ref="X17:X24" si="3">IF(Q17=0,IF(Q17=0,1,W17/W17),W17/Q17)</f>
        <v>-0.0226434530716207</v>
      </c>
    </row>
    <row r="18" spans="2:24">
      <c r="B18" s="138"/>
      <c r="C18" s="4372" t="s">
        <v>736</v>
      </c>
      <c r="D18" s="4367"/>
      <c r="E18" s="161">
        <v>0</v>
      </c>
      <c r="F18" s="4368"/>
      <c r="G18" s="1247">
        <f>+B!H39</f>
        <v>1328060000</v>
      </c>
      <c r="H18" s="1247">
        <f>+B!I39</f>
        <v>0</v>
      </c>
      <c r="I18" s="4368"/>
      <c r="J18" s="161">
        <f t="shared" ref="J18:J24" si="4">E18+G18-H18</f>
        <v>1328060000</v>
      </c>
      <c r="K18" s="4398">
        <v>0</v>
      </c>
      <c r="L18" s="139"/>
      <c r="M18" s="1247">
        <f>+B!N39</f>
        <v>0</v>
      </c>
      <c r="N18" s="1247">
        <f>+B!O39</f>
        <v>0</v>
      </c>
      <c r="O18" s="139"/>
      <c r="P18" s="161">
        <f t="shared" si="0"/>
        <v>0</v>
      </c>
      <c r="Q18" s="137">
        <v>0</v>
      </c>
      <c r="R18" s="161">
        <v>0</v>
      </c>
      <c r="S18" s="161">
        <v>0</v>
      </c>
      <c r="T18" s="161">
        <v>0</v>
      </c>
      <c r="U18" s="330">
        <f t="shared" si="1"/>
        <v>0</v>
      </c>
      <c r="V18" s="355">
        <f t="shared" ref="V18:V26" si="5">IF(J18=0,IF(J18=0,1,U18/U18),U18/J18)</f>
        <v>0</v>
      </c>
      <c r="W18" s="4348">
        <f t="shared" si="2"/>
        <v>0</v>
      </c>
      <c r="X18" s="648">
        <f t="shared" si="3"/>
        <v>1</v>
      </c>
    </row>
    <row r="19" spans="2:24">
      <c r="B19" s="138"/>
      <c r="C19" s="5030" t="s">
        <v>546</v>
      </c>
      <c r="D19" s="4367" t="s">
        <v>737</v>
      </c>
      <c r="E19" s="161">
        <v>0</v>
      </c>
      <c r="F19" s="4373"/>
      <c r="G19" s="4369">
        <f>'C'!H31</f>
        <v>0</v>
      </c>
      <c r="H19" s="4369">
        <f>'C'!I31</f>
        <v>0</v>
      </c>
      <c r="I19" s="4368"/>
      <c r="J19" s="161">
        <f t="shared" si="4"/>
        <v>0</v>
      </c>
      <c r="K19" s="4398">
        <v>0</v>
      </c>
      <c r="L19" s="199"/>
      <c r="M19" s="1247">
        <v>0</v>
      </c>
      <c r="N19" s="1247">
        <v>0</v>
      </c>
      <c r="O19" s="199"/>
      <c r="P19" s="161">
        <f t="shared" si="0"/>
        <v>0</v>
      </c>
      <c r="Q19" s="137">
        <v>0</v>
      </c>
      <c r="R19" s="161">
        <v>0</v>
      </c>
      <c r="S19" s="161">
        <v>0</v>
      </c>
      <c r="T19" s="161">
        <v>0</v>
      </c>
      <c r="U19" s="330">
        <f t="shared" si="1"/>
        <v>0</v>
      </c>
      <c r="V19" s="648">
        <f t="shared" si="5"/>
        <v>1</v>
      </c>
      <c r="W19" s="4348">
        <f t="shared" si="2"/>
        <v>0</v>
      </c>
      <c r="X19" s="648">
        <f t="shared" si="3"/>
        <v>1</v>
      </c>
    </row>
    <row r="20" spans="2:24">
      <c r="B20" s="138"/>
      <c r="C20" s="5030" t="s">
        <v>738</v>
      </c>
      <c r="D20" s="4367" t="s">
        <v>625</v>
      </c>
      <c r="E20" s="161">
        <f>+D!F14</f>
        <v>2800000000</v>
      </c>
      <c r="F20" s="4368" t="s">
        <v>187</v>
      </c>
      <c r="G20" s="3240">
        <f>SUM(D!H14:H19)</f>
        <v>0</v>
      </c>
      <c r="H20" s="3240">
        <f>SUM(D!I14:I19)</f>
        <v>0</v>
      </c>
      <c r="I20" s="4373"/>
      <c r="J20" s="161">
        <f t="shared" si="4"/>
        <v>2800000000</v>
      </c>
      <c r="K20" s="137">
        <v>4196640000</v>
      </c>
      <c r="L20" s="140"/>
      <c r="M20" s="3240">
        <f>SUM(D!N14:N19)</f>
        <v>0</v>
      </c>
      <c r="N20" s="3240">
        <f>SUM(D!O14:O19)</f>
        <v>0</v>
      </c>
      <c r="O20" s="139"/>
      <c r="P20" s="161">
        <f t="shared" si="0"/>
        <v>4196640000</v>
      </c>
      <c r="Q20" s="137">
        <f>SUM(D!R14:R20)</f>
        <v>3508958185.33</v>
      </c>
      <c r="R20" s="161">
        <v>5006851500</v>
      </c>
      <c r="S20" s="161">
        <v>4216201500</v>
      </c>
      <c r="T20" s="161">
        <v>383786530</v>
      </c>
      <c r="U20" s="330">
        <f t="shared" si="1"/>
        <v>-1396640000</v>
      </c>
      <c r="V20" s="648">
        <f t="shared" si="5"/>
        <v>-0.4988</v>
      </c>
      <c r="W20" s="4348">
        <f t="shared" si="2"/>
        <v>687681814.67</v>
      </c>
      <c r="X20" s="648">
        <f t="shared" si="3"/>
        <v>0.195978914067717</v>
      </c>
    </row>
    <row r="21" spans="2:24">
      <c r="B21" s="184"/>
      <c r="C21" s="5030" t="s">
        <v>739</v>
      </c>
      <c r="D21" s="4367" t="s">
        <v>740</v>
      </c>
      <c r="E21" s="161">
        <f>+E!F17</f>
        <v>13500000</v>
      </c>
      <c r="F21" s="4368" t="s">
        <v>187</v>
      </c>
      <c r="G21" s="3240">
        <f>+E!H17</f>
        <v>0</v>
      </c>
      <c r="H21" s="3240">
        <f>+E!I17</f>
        <v>0</v>
      </c>
      <c r="I21" s="4373"/>
      <c r="J21" s="161">
        <f t="shared" si="4"/>
        <v>13500000</v>
      </c>
      <c r="K21" s="137">
        <f>+E!L17</f>
        <v>23000600</v>
      </c>
      <c r="L21" s="200"/>
      <c r="M21" s="1247">
        <f>+E!N17</f>
        <v>0</v>
      </c>
      <c r="N21" s="1247">
        <f>+E!O17</f>
        <v>0</v>
      </c>
      <c r="O21" s="139"/>
      <c r="P21" s="161">
        <f t="shared" si="0"/>
        <v>23000600</v>
      </c>
      <c r="Q21" s="137">
        <f>+E!R17</f>
        <v>27800000</v>
      </c>
      <c r="R21" s="161">
        <v>4333333.33333333</v>
      </c>
      <c r="S21" s="161">
        <v>27644000</v>
      </c>
      <c r="T21" s="161">
        <v>32583333</v>
      </c>
      <c r="U21" s="330">
        <f t="shared" si="1"/>
        <v>-9500599.99999999</v>
      </c>
      <c r="V21" s="648">
        <f t="shared" si="5"/>
        <v>-0.703748148148148</v>
      </c>
      <c r="W21" s="4348">
        <f t="shared" si="2"/>
        <v>-4799400.00000001</v>
      </c>
      <c r="X21" s="648">
        <f t="shared" si="3"/>
        <v>-0.172640287769784</v>
      </c>
    </row>
    <row r="22" spans="2:24">
      <c r="B22" s="184"/>
      <c r="C22" s="5030" t="s">
        <v>519</v>
      </c>
      <c r="D22" s="4367" t="s">
        <v>741</v>
      </c>
      <c r="E22" s="161">
        <v>0</v>
      </c>
      <c r="F22" s="4374"/>
      <c r="G22" s="3240">
        <f>E!H17</f>
        <v>0</v>
      </c>
      <c r="H22" s="4375">
        <f>E!I17</f>
        <v>0</v>
      </c>
      <c r="I22" s="4373"/>
      <c r="J22" s="161">
        <f t="shared" si="4"/>
        <v>0</v>
      </c>
      <c r="K22" s="137">
        <v>0</v>
      </c>
      <c r="L22" s="200"/>
      <c r="M22" s="1247">
        <v>0</v>
      </c>
      <c r="N22" s="1247">
        <v>0</v>
      </c>
      <c r="O22" s="3710"/>
      <c r="P22" s="161">
        <f t="shared" si="0"/>
        <v>0</v>
      </c>
      <c r="Q22" s="137">
        <v>0</v>
      </c>
      <c r="R22" s="161">
        <v>152658878</v>
      </c>
      <c r="S22" s="161">
        <v>131879900</v>
      </c>
      <c r="T22" s="161">
        <v>0</v>
      </c>
      <c r="U22" s="330">
        <f t="shared" si="1"/>
        <v>0</v>
      </c>
      <c r="V22" s="648">
        <f t="shared" si="5"/>
        <v>1</v>
      </c>
      <c r="W22" s="4348">
        <f t="shared" si="2"/>
        <v>0</v>
      </c>
      <c r="X22" s="648">
        <f t="shared" si="3"/>
        <v>1</v>
      </c>
    </row>
    <row r="23" spans="2:24">
      <c r="B23" s="138"/>
      <c r="C23" s="5030" t="s">
        <v>742</v>
      </c>
      <c r="D23" s="4367" t="s">
        <v>743</v>
      </c>
      <c r="E23" s="161">
        <f>+G!F31</f>
        <v>19775231777.09</v>
      </c>
      <c r="F23" s="4368" t="s">
        <v>187</v>
      </c>
      <c r="G23" s="3240">
        <f>+G!H31</f>
        <v>0</v>
      </c>
      <c r="H23" s="3240">
        <f>+G!I31</f>
        <v>0</v>
      </c>
      <c r="I23" s="4373"/>
      <c r="J23" s="161">
        <f t="shared" si="4"/>
        <v>19775231777.09</v>
      </c>
      <c r="K23" s="137">
        <f>+G!L31</f>
        <v>25643941428.9818</v>
      </c>
      <c r="L23" s="140"/>
      <c r="M23" s="3240">
        <f>+G!N31</f>
        <v>0</v>
      </c>
      <c r="N23" s="3240">
        <f>+G!O31</f>
        <v>33663124</v>
      </c>
      <c r="O23" s="137"/>
      <c r="P23" s="161">
        <f t="shared" si="0"/>
        <v>25610278304.9818</v>
      </c>
      <c r="Q23" s="137">
        <f>+G!R31</f>
        <v>37294524612.7138</v>
      </c>
      <c r="R23" s="161">
        <f>+G!S31</f>
        <v>53403973327.8463</v>
      </c>
      <c r="S23" s="161">
        <f>+G!T31</f>
        <v>53516849580.5363</v>
      </c>
      <c r="T23" s="161">
        <f>+G!U31</f>
        <v>24307139714.0474</v>
      </c>
      <c r="U23" s="330">
        <f t="shared" si="1"/>
        <v>-5835046527.8918</v>
      </c>
      <c r="V23" s="648">
        <f t="shared" si="5"/>
        <v>-0.295068426689786</v>
      </c>
      <c r="W23">
        <f t="shared" si="2"/>
        <v>-11650583183.732</v>
      </c>
      <c r="X23" s="648">
        <f t="shared" si="3"/>
        <v>-0.312393931943573</v>
      </c>
    </row>
    <row r="24" spans="2:24">
      <c r="B24" s="138"/>
      <c r="C24" s="5030" t="s">
        <v>549</v>
      </c>
      <c r="D24" s="4367"/>
      <c r="E24" s="161"/>
      <c r="F24" s="4376"/>
      <c r="G24" s="3240"/>
      <c r="H24" s="4377"/>
      <c r="I24" s="4373"/>
      <c r="J24" s="161">
        <f t="shared" si="4"/>
        <v>0</v>
      </c>
      <c r="K24" s="137">
        <v>0</v>
      </c>
      <c r="L24" s="140"/>
      <c r="M24" s="1247"/>
      <c r="N24" s="1247"/>
      <c r="O24" s="137"/>
      <c r="P24" s="161">
        <f t="shared" si="0"/>
        <v>0</v>
      </c>
      <c r="Q24" s="137">
        <v>0</v>
      </c>
      <c r="R24" s="161"/>
      <c r="S24" s="137"/>
      <c r="T24" s="161"/>
      <c r="U24" s="356">
        <f t="shared" si="1"/>
        <v>0</v>
      </c>
      <c r="V24" s="648"/>
      <c r="W24" s="191">
        <f t="shared" si="2"/>
        <v>0</v>
      </c>
      <c r="X24" s="648">
        <f t="shared" si="3"/>
        <v>1</v>
      </c>
    </row>
    <row r="25" spans="2:24">
      <c r="B25" s="138"/>
      <c r="C25" s="289"/>
      <c r="D25" s="135"/>
      <c r="E25" s="4368"/>
      <c r="F25" s="4376"/>
      <c r="G25" s="3240"/>
      <c r="H25" s="4377"/>
      <c r="I25" s="4368"/>
      <c r="J25" s="137"/>
      <c r="K25" s="161"/>
      <c r="L25" s="140"/>
      <c r="M25" s="1247"/>
      <c r="N25" s="4399"/>
      <c r="O25" s="2205"/>
      <c r="P25" s="161"/>
      <c r="Q25" s="184"/>
      <c r="R25" s="161"/>
      <c r="S25" s="137"/>
      <c r="T25" s="161"/>
      <c r="U25" s="358"/>
      <c r="V25" s="4294"/>
      <c r="W25" s="143"/>
      <c r="X25" s="4023"/>
    </row>
    <row r="26" s="100" customFormat="1" spans="2:24">
      <c r="B26" s="5029" t="s">
        <v>551</v>
      </c>
      <c r="C26" s="4378"/>
      <c r="D26" s="135"/>
      <c r="E26" s="4379">
        <f>SUM(E15:E25)</f>
        <v>24912043762.32</v>
      </c>
      <c r="F26" s="1081"/>
      <c r="G26" s="4380">
        <f>SUM(G15:G25)</f>
        <v>1328060000</v>
      </c>
      <c r="H26" s="4380">
        <f>SUM(H15:H25)</f>
        <v>1328126242.025</v>
      </c>
      <c r="I26" s="161"/>
      <c r="J26" s="4379">
        <f>SUM(J15:J25)</f>
        <v>24911977520.295</v>
      </c>
      <c r="K26" s="4379">
        <f>SUM(K15:K25)</f>
        <v>31364847953.9009</v>
      </c>
      <c r="L26" s="200"/>
      <c r="M26" s="4380">
        <f>SUM(M15:M25)</f>
        <v>0</v>
      </c>
      <c r="N26" s="4380">
        <f>SUM(N15:N25)</f>
        <v>33664793.56435</v>
      </c>
      <c r="O26" s="4400"/>
      <c r="P26" s="4379">
        <f t="shared" ref="P26:U26" si="6">SUM(P15:P25)</f>
        <v>31331183160.3366</v>
      </c>
      <c r="Q26" s="4392">
        <f t="shared" si="6"/>
        <v>42814892243.4371</v>
      </c>
      <c r="R26" s="4392">
        <f t="shared" si="6"/>
        <v>60182517316.7101</v>
      </c>
      <c r="S26" s="4392">
        <f t="shared" si="6"/>
        <v>59991278470.5363</v>
      </c>
      <c r="T26" s="4392">
        <f t="shared" si="6"/>
        <v>32117702074.8674</v>
      </c>
      <c r="U26" s="4392">
        <f t="shared" si="6"/>
        <v>-6419139398.01659</v>
      </c>
      <c r="V26" s="4417">
        <f t="shared" si="5"/>
        <v>-0.25767281592909</v>
      </c>
      <c r="W26" s="4379">
        <f>SUM(W15:W25)</f>
        <v>-11450044289.5362</v>
      </c>
      <c r="X26" s="4418">
        <f>IF(Q26=0,IF(Q26=0,1,W26/W26),W26/Q26)</f>
        <v>-0.267431346654652</v>
      </c>
    </row>
    <row r="27" spans="2:24">
      <c r="B27" s="133" t="s">
        <v>480</v>
      </c>
      <c r="C27" s="289"/>
      <c r="D27" s="135"/>
      <c r="E27" s="311"/>
      <c r="F27" s="311"/>
      <c r="G27" s="3240"/>
      <c r="H27" s="3015"/>
      <c r="I27" s="311"/>
      <c r="J27" s="161"/>
      <c r="K27" s="2202"/>
      <c r="L27" s="140"/>
      <c r="M27" s="1247"/>
      <c r="N27" s="1247"/>
      <c r="O27" s="4400"/>
      <c r="P27" s="161"/>
      <c r="Q27" s="137"/>
      <c r="R27" s="161"/>
      <c r="S27" s="137"/>
      <c r="T27" s="161"/>
      <c r="U27" s="304"/>
      <c r="V27" s="4350"/>
      <c r="W27" s="2201"/>
      <c r="X27" s="4023"/>
    </row>
    <row r="28" spans="2:24">
      <c r="B28" s="5029" t="s">
        <v>552</v>
      </c>
      <c r="C28" s="289"/>
      <c r="D28" s="135"/>
      <c r="E28" s="311"/>
      <c r="F28" s="311"/>
      <c r="G28" s="4381"/>
      <c r="H28" s="4381"/>
      <c r="I28" s="311"/>
      <c r="J28" s="161"/>
      <c r="K28" s="137"/>
      <c r="L28" s="2201"/>
      <c r="M28" s="1247"/>
      <c r="N28" s="1247"/>
      <c r="O28" s="4400"/>
      <c r="P28" s="161"/>
      <c r="Q28" s="137"/>
      <c r="R28" s="161"/>
      <c r="S28" s="137"/>
      <c r="T28" s="161"/>
      <c r="U28" s="304"/>
      <c r="V28" s="4350"/>
      <c r="W28" s="2201"/>
      <c r="X28" s="4023"/>
    </row>
    <row r="29" s="100" customFormat="1" spans="2:26">
      <c r="B29" s="133"/>
      <c r="C29" s="5030" t="s">
        <v>738</v>
      </c>
      <c r="D29" s="4367" t="s">
        <v>625</v>
      </c>
      <c r="E29" s="161">
        <f>+D!F22</f>
        <v>5200000000</v>
      </c>
      <c r="F29" s="4368"/>
      <c r="G29" s="4382">
        <f>SUM(D!H22:H24)</f>
        <v>0</v>
      </c>
      <c r="H29" s="4382">
        <f>SUM(D!I22:I24)</f>
        <v>0</v>
      </c>
      <c r="I29" s="4368"/>
      <c r="J29" s="161">
        <f>E29+G29-H29</f>
        <v>5200000000</v>
      </c>
      <c r="K29" s="4401">
        <v>7793760000</v>
      </c>
      <c r="L29" s="140"/>
      <c r="M29" s="4382">
        <f>SUM(D!N22:N24)</f>
        <v>0</v>
      </c>
      <c r="N29" s="4382">
        <f>SUM(D!O22:O24)</f>
        <v>0</v>
      </c>
      <c r="O29" s="140"/>
      <c r="P29" s="161">
        <f>K29+M29-N29</f>
        <v>7793760000</v>
      </c>
      <c r="Q29" s="137">
        <f>+D!R23</f>
        <v>0</v>
      </c>
      <c r="R29" s="161">
        <v>9298438500</v>
      </c>
      <c r="S29" s="161">
        <v>7830088500</v>
      </c>
      <c r="T29" s="161">
        <v>0</v>
      </c>
      <c r="U29" s="330">
        <f t="shared" ref="U29:U35" si="7">E29-P29</f>
        <v>-2593760000</v>
      </c>
      <c r="V29" s="355">
        <f t="shared" ref="V29:V35" si="8">IF(J29=0,IF(J29=0,1,U29/U29),U29/J29)</f>
        <v>-0.4988</v>
      </c>
      <c r="W29" s="4348">
        <f t="shared" ref="W29:W35" si="9">K29-Q29</f>
        <v>7793760000</v>
      </c>
      <c r="X29" s="361">
        <f>IF(Q29=0,IF(Q29=0,1,W29/W29),W29/Q29)</f>
        <v>1</v>
      </c>
      <c r="Y29" s="101"/>
      <c r="Z29" s="4429"/>
    </row>
    <row r="30" spans="2:24">
      <c r="B30" s="3947"/>
      <c r="C30" s="304" t="s">
        <v>300</v>
      </c>
      <c r="D30" s="4383" t="s">
        <v>744</v>
      </c>
      <c r="E30" s="161">
        <f>+UV!R23</f>
        <v>31160371720.3333</v>
      </c>
      <c r="F30" s="4368" t="s">
        <v>187</v>
      </c>
      <c r="G30" s="4377">
        <f>+UV!T23</f>
        <v>0</v>
      </c>
      <c r="H30" s="3240">
        <f>+UV!U23</f>
        <v>1251663380</v>
      </c>
      <c r="I30" s="4386"/>
      <c r="J30" s="161">
        <f>E30+G30-H30</f>
        <v>29908708340.3333</v>
      </c>
      <c r="K30" s="304">
        <f>+UV!J23</f>
        <v>29571154439.3333</v>
      </c>
      <c r="L30" s="1234"/>
      <c r="M30" s="4402">
        <v>0</v>
      </c>
      <c r="N30" s="4403">
        <v>0</v>
      </c>
      <c r="O30" s="1234"/>
      <c r="P30" s="161">
        <f>K30+M30-N30</f>
        <v>29571154439.3333</v>
      </c>
      <c r="Q30" s="137">
        <f>+UV!G23</f>
        <v>30787726806</v>
      </c>
      <c r="R30" s="161">
        <v>31919904449</v>
      </c>
      <c r="S30" s="161">
        <v>28761032449</v>
      </c>
      <c r="T30" s="161">
        <v>22708508043</v>
      </c>
      <c r="U30" s="330">
        <f t="shared" si="7"/>
        <v>1589217281</v>
      </c>
      <c r="V30" s="355">
        <f t="shared" si="8"/>
        <v>0.0531356039490634</v>
      </c>
      <c r="W30" s="4419">
        <f t="shared" si="9"/>
        <v>-1216572366.66667</v>
      </c>
      <c r="X30" s="361">
        <f>IF(Q30=0,IF(Q30=0,1,W30/W30),W30/Q30)</f>
        <v>-0.0395148487035938</v>
      </c>
    </row>
    <row r="31" ht="12.75" customHeight="1" spans="2:24">
      <c r="B31" s="3947"/>
      <c r="C31" s="304" t="s">
        <v>147</v>
      </c>
      <c r="D31" s="4383"/>
      <c r="E31" s="143">
        <f>-UV!R32</f>
        <v>-15797810649.5971</v>
      </c>
      <c r="F31" s="4368" t="s">
        <v>187</v>
      </c>
      <c r="G31" s="4384">
        <f>+UV!T32</f>
        <v>1043261427.23</v>
      </c>
      <c r="H31" s="4385">
        <f>+UV!U32</f>
        <v>0</v>
      </c>
      <c r="I31" s="4386"/>
      <c r="J31" s="143">
        <f>E31-H31+G31</f>
        <v>-14754549222.3671</v>
      </c>
      <c r="K31" s="358">
        <v>-13578312147</v>
      </c>
      <c r="L31" s="161"/>
      <c r="M31" s="3240">
        <f>+UV!L32</f>
        <v>0</v>
      </c>
      <c r="N31" s="3240">
        <f>+UV!M32+'F4'!J47</f>
        <v>18333332.5200481</v>
      </c>
      <c r="O31" s="161"/>
      <c r="P31" s="143">
        <f>K31+M31-N31</f>
        <v>-13596645479.52</v>
      </c>
      <c r="Q31" s="109">
        <f>-UV!G32</f>
        <v>-11777055302.1528</v>
      </c>
      <c r="R31" s="143">
        <v>-10473295824</v>
      </c>
      <c r="S31" s="143">
        <v>-7949908168.72219</v>
      </c>
      <c r="T31" s="143">
        <v>-5807768486.50924</v>
      </c>
      <c r="U31" s="4420">
        <f t="shared" si="7"/>
        <v>-2201165170.07707</v>
      </c>
      <c r="V31" s="362">
        <f t="shared" si="8"/>
        <v>0.149185524877996</v>
      </c>
      <c r="W31" s="4421">
        <f t="shared" si="9"/>
        <v>-1801256844.84724</v>
      </c>
      <c r="X31" s="361">
        <f>IF(Q31=0,IF(Q31=0,1,W31/W31),W31/Q31)</f>
        <v>0.152946283993248</v>
      </c>
    </row>
    <row r="32" ht="12.75" customHeight="1" spans="2:24">
      <c r="B32" s="3947"/>
      <c r="C32" s="304" t="s">
        <v>745</v>
      </c>
      <c r="D32" s="4386"/>
      <c r="E32" s="137">
        <f>SUM(E30:E31)</f>
        <v>15362561070.7362</v>
      </c>
      <c r="F32" s="4386"/>
      <c r="G32" s="4387"/>
      <c r="H32" s="4385"/>
      <c r="I32" s="4386"/>
      <c r="J32" s="161">
        <f>SUM(J30:J31)</f>
        <v>15154159117.9662</v>
      </c>
      <c r="K32" s="137">
        <f>SUM(K30:K31)</f>
        <v>15992842292.3333</v>
      </c>
      <c r="L32" s="4404"/>
      <c r="M32" s="4405"/>
      <c r="N32" s="4406"/>
      <c r="O32" s="4404"/>
      <c r="P32" s="304">
        <f>SUM(P30:P31)</f>
        <v>15974508959.8133</v>
      </c>
      <c r="Q32" s="137">
        <f>SUM(Q30:Q31)</f>
        <v>19010671503.8472</v>
      </c>
      <c r="R32" s="308">
        <f>SUM(R30:R31)</f>
        <v>21446608625</v>
      </c>
      <c r="S32" s="308">
        <f>SUM(S30:S31)</f>
        <v>20811124280.2778</v>
      </c>
      <c r="T32" s="308">
        <f>SUM(T30:T31)</f>
        <v>16900739556.4908</v>
      </c>
      <c r="U32" s="330">
        <f t="shared" si="7"/>
        <v>-611947889.077066</v>
      </c>
      <c r="V32" s="355">
        <f t="shared" si="8"/>
        <v>-0.0403815140327756</v>
      </c>
      <c r="W32" s="4422">
        <f t="shared" si="9"/>
        <v>-3017829211.5139</v>
      </c>
      <c r="X32" s="361"/>
    </row>
    <row r="33" ht="8.1" customHeight="1" spans="2:24">
      <c r="B33" s="3947"/>
      <c r="C33" s="304"/>
      <c r="D33" s="4386"/>
      <c r="E33" s="137"/>
      <c r="F33" s="4386"/>
      <c r="G33" s="2702"/>
      <c r="H33" s="4385"/>
      <c r="I33" s="4386"/>
      <c r="J33" s="161"/>
      <c r="K33" s="137"/>
      <c r="L33" s="4404"/>
      <c r="M33" s="4405"/>
      <c r="N33" s="2702"/>
      <c r="O33" s="4404"/>
      <c r="P33" s="304"/>
      <c r="Q33" s="137"/>
      <c r="R33" s="161"/>
      <c r="S33" s="161"/>
      <c r="T33" s="161"/>
      <c r="U33" s="330"/>
      <c r="V33" s="355"/>
      <c r="W33" s="4422"/>
      <c r="X33" s="361"/>
    </row>
    <row r="34" spans="2:24">
      <c r="B34" s="3947"/>
      <c r="C34" s="5030" t="s">
        <v>746</v>
      </c>
      <c r="D34" s="4367" t="s">
        <v>747</v>
      </c>
      <c r="E34" s="161">
        <f>+H!E18</f>
        <v>6963508015</v>
      </c>
      <c r="F34" s="4368" t="s">
        <v>187</v>
      </c>
      <c r="G34" s="4382">
        <f>+H!G18</f>
        <v>0</v>
      </c>
      <c r="H34" s="3240">
        <f>+H!H18</f>
        <v>4541795200</v>
      </c>
      <c r="I34" s="135"/>
      <c r="J34" s="161">
        <f>E34+G34-H34</f>
        <v>2421712815</v>
      </c>
      <c r="K34" s="161">
        <f>+H!K18</f>
        <v>10981449215</v>
      </c>
      <c r="L34" s="2201"/>
      <c r="M34" s="3240">
        <f>+H!M18</f>
        <v>0</v>
      </c>
      <c r="N34" s="3240">
        <f>+H!N18</f>
        <v>0</v>
      </c>
      <c r="O34" s="2202"/>
      <c r="P34" s="161">
        <f>K34+M34-N34</f>
        <v>10981449215</v>
      </c>
      <c r="Q34" s="137">
        <f>+H!Q18</f>
        <v>10981449215</v>
      </c>
      <c r="R34" s="161">
        <v>10167154155</v>
      </c>
      <c r="S34" s="161">
        <v>1148245350</v>
      </c>
      <c r="T34" s="161">
        <v>1148245350</v>
      </c>
      <c r="U34" s="330">
        <f>E34-P34</f>
        <v>-4017941200</v>
      </c>
      <c r="V34" s="355">
        <f>IF(J34=0,IF(J34=0,1,U34/U34),U34/J34)</f>
        <v>-1.65913198919088</v>
      </c>
      <c r="W34" s="4419">
        <f>K34-Q34</f>
        <v>0</v>
      </c>
      <c r="X34" s="361">
        <f>IF(Q34=0,IF(Q34=0,1,W34/W34),W34/Q34)</f>
        <v>0</v>
      </c>
    </row>
    <row r="35" s="100" customFormat="1" spans="2:26">
      <c r="B35" s="133"/>
      <c r="C35" s="289" t="s">
        <v>748</v>
      </c>
      <c r="D35" s="4367" t="s">
        <v>749</v>
      </c>
      <c r="E35" s="143">
        <f>SUM(I!E13:E17)</f>
        <v>3988000000</v>
      </c>
      <c r="F35" s="4388" t="s">
        <v>187</v>
      </c>
      <c r="G35" s="4389">
        <f>SUM(I!G25)</f>
        <v>1251663380</v>
      </c>
      <c r="H35" s="4390">
        <f>SUM(I!H25)</f>
        <v>1043261427.23</v>
      </c>
      <c r="I35" s="4388"/>
      <c r="J35" s="143">
        <f>E35+G35-H35</f>
        <v>4196401952.77</v>
      </c>
      <c r="K35" s="4407">
        <f>SUM(I!K13:K17)</f>
        <v>0</v>
      </c>
      <c r="L35" s="2506"/>
      <c r="M35" s="4399">
        <f>SUM(I!M13:M17)</f>
        <v>0</v>
      </c>
      <c r="N35" s="4399">
        <f>SUM(I!N13:N17)</f>
        <v>0</v>
      </c>
      <c r="O35" s="2506"/>
      <c r="P35" s="143">
        <f>K35+M35-N35</f>
        <v>0</v>
      </c>
      <c r="Q35" s="110">
        <f>SUM(I!Q13:Q17)</f>
        <v>0</v>
      </c>
      <c r="R35" s="143">
        <f>+'[75]BS22'!J30</f>
        <v>0</v>
      </c>
      <c r="S35" s="143">
        <f>+'[75]BS22'!K30</f>
        <v>0</v>
      </c>
      <c r="T35" s="143">
        <f>+'[75]BS22'!L30</f>
        <v>0</v>
      </c>
      <c r="U35" s="4420">
        <f t="shared" si="7"/>
        <v>3988000000</v>
      </c>
      <c r="V35" s="362">
        <f t="shared" si="8"/>
        <v>0.950337943048464</v>
      </c>
      <c r="W35" s="4423">
        <f t="shared" si="9"/>
        <v>0</v>
      </c>
      <c r="X35" s="3823">
        <f>IF(Q35=0,IF(Q35=0,1,W35/W35),W35/Q35)</f>
        <v>1</v>
      </c>
      <c r="Y35" s="101"/>
      <c r="Z35" s="4429"/>
    </row>
    <row r="36" s="100" customFormat="1" spans="2:26">
      <c r="B36" s="133"/>
      <c r="C36" s="208" t="s">
        <v>750</v>
      </c>
      <c r="D36" s="4391"/>
      <c r="E36" s="152">
        <f>SUM(E34:E35)</f>
        <v>10951508015</v>
      </c>
      <c r="F36" s="4391"/>
      <c r="G36" s="3015"/>
      <c r="H36" s="2505"/>
      <c r="I36" s="4391"/>
      <c r="J36" s="152">
        <f>SUM(J34:J35)</f>
        <v>6618114767.77</v>
      </c>
      <c r="K36" s="152">
        <f>SUM(K34:K35)</f>
        <v>10981449215</v>
      </c>
      <c r="L36" s="200"/>
      <c r="M36" s="4408"/>
      <c r="N36" s="4409"/>
      <c r="O36" s="200"/>
      <c r="P36" s="152">
        <f>SUM(P34:P35)</f>
        <v>10981449215</v>
      </c>
      <c r="Q36" s="152">
        <f>SUM(Q34:Q35)</f>
        <v>10981449215</v>
      </c>
      <c r="R36" s="152">
        <f t="shared" ref="R36:T36" si="10">SUM(R34:R35)</f>
        <v>10167154155</v>
      </c>
      <c r="S36" s="152">
        <f t="shared" si="10"/>
        <v>1148245350</v>
      </c>
      <c r="T36" s="152">
        <f t="shared" si="10"/>
        <v>1148245350</v>
      </c>
      <c r="U36" s="4424"/>
      <c r="V36" s="4425"/>
      <c r="W36" s="4426"/>
      <c r="X36" s="4427"/>
      <c r="Z36" s="4429"/>
    </row>
    <row r="37" spans="2:24">
      <c r="B37" s="138"/>
      <c r="D37" s="135"/>
      <c r="E37" s="161">
        <v>0</v>
      </c>
      <c r="F37" s="135"/>
      <c r="H37" s="131"/>
      <c r="I37" s="135"/>
      <c r="J37" s="161">
        <v>0</v>
      </c>
      <c r="K37" s="4342"/>
      <c r="L37" s="2201"/>
      <c r="M37" s="4399"/>
      <c r="N37" s="4410"/>
      <c r="O37" s="2201"/>
      <c r="P37" s="161"/>
      <c r="Q37" s="137"/>
      <c r="R37" s="143"/>
      <c r="S37" s="137"/>
      <c r="T37" s="143"/>
      <c r="U37" s="330">
        <f t="shared" ref="U37:U38" si="11">E37-P37</f>
        <v>0</v>
      </c>
      <c r="V37" s="355">
        <f t="shared" ref="V37:V38" si="12">IF(J37=0,IF(J37=0,1,U37/U37),U37/J37)</f>
        <v>1</v>
      </c>
      <c r="W37" s="4348">
        <f t="shared" ref="W37" si="13">K37-Q37</f>
        <v>0</v>
      </c>
      <c r="X37" s="361">
        <f>IF(Q37=0,IF(Q37=0,1,W37/W37),W37/Q37)</f>
        <v>1</v>
      </c>
    </row>
    <row r="38" s="100" customFormat="1" spans="2:24">
      <c r="B38" s="5029" t="s">
        <v>559</v>
      </c>
      <c r="C38" s="4378"/>
      <c r="D38" s="135"/>
      <c r="E38" s="4379">
        <f t="shared" ref="E38:P38" si="14">+E29+E32+E36</f>
        <v>31514069085.7362</v>
      </c>
      <c r="F38" s="4379">
        <f t="shared" si="14"/>
        <v>0</v>
      </c>
      <c r="G38" s="4392">
        <f t="shared" si="14"/>
        <v>0</v>
      </c>
      <c r="H38" s="4379">
        <f t="shared" si="14"/>
        <v>0</v>
      </c>
      <c r="I38" s="4379">
        <f t="shared" si="14"/>
        <v>0</v>
      </c>
      <c r="J38" s="4379">
        <f t="shared" si="14"/>
        <v>26972273885.7362</v>
      </c>
      <c r="K38" s="4379">
        <f t="shared" si="14"/>
        <v>34768051507.3333</v>
      </c>
      <c r="L38" s="4379">
        <f t="shared" si="14"/>
        <v>0</v>
      </c>
      <c r="M38" s="4392">
        <f t="shared" si="14"/>
        <v>0</v>
      </c>
      <c r="N38" s="4379">
        <f t="shared" si="14"/>
        <v>0</v>
      </c>
      <c r="O38" s="4379">
        <f t="shared" si="14"/>
        <v>0</v>
      </c>
      <c r="P38" s="4379">
        <f t="shared" si="14"/>
        <v>34749718174.8133</v>
      </c>
      <c r="Q38" s="4379">
        <f t="shared" ref="Q38:T38" si="15">+Q29+Q32+Q36</f>
        <v>29992120718.8472</v>
      </c>
      <c r="R38" s="4379">
        <f t="shared" si="15"/>
        <v>40912201280</v>
      </c>
      <c r="S38" s="4379">
        <f t="shared" si="15"/>
        <v>29789458130.2778</v>
      </c>
      <c r="T38" s="4379">
        <f t="shared" si="15"/>
        <v>18048984906.4908</v>
      </c>
      <c r="U38" s="4267">
        <f t="shared" si="11"/>
        <v>-3235649089.07707</v>
      </c>
      <c r="V38" s="4417">
        <f t="shared" si="12"/>
        <v>-0.119962043348083</v>
      </c>
      <c r="W38" s="4379">
        <f>SUM(W32:W37)+W34</f>
        <v>-3017829211.5139</v>
      </c>
      <c r="X38" s="4418">
        <f>IF(Q38=0,IF(Q38=0,1,W38/W38),W38/Q38)</f>
        <v>-0.100620734352322</v>
      </c>
    </row>
    <row r="39" spans="1:24">
      <c r="A39" s="137"/>
      <c r="B39" s="138"/>
      <c r="C39" s="289"/>
      <c r="D39" s="329"/>
      <c r="E39" s="159"/>
      <c r="F39" s="135"/>
      <c r="G39" s="2103"/>
      <c r="H39" s="2719"/>
      <c r="I39" s="135"/>
      <c r="J39" s="137"/>
      <c r="K39" s="137"/>
      <c r="L39" s="2201"/>
      <c r="M39" s="4377"/>
      <c r="N39" s="3240"/>
      <c r="O39" s="2201"/>
      <c r="P39" s="29"/>
      <c r="Q39" s="304"/>
      <c r="R39" s="304"/>
      <c r="S39" s="304"/>
      <c r="T39" s="304"/>
      <c r="U39" s="304"/>
      <c r="V39" s="159"/>
      <c r="W39" s="2201"/>
      <c r="X39" s="4023"/>
    </row>
    <row r="40" s="100" customFormat="1" spans="1:24">
      <c r="A40" s="130"/>
      <c r="B40" s="129" t="s">
        <v>560</v>
      </c>
      <c r="C40" s="153"/>
      <c r="D40" s="153"/>
      <c r="E40" s="207">
        <f>E26+E38</f>
        <v>56426112848.0562</v>
      </c>
      <c r="F40" s="152"/>
      <c r="G40" s="4393">
        <f>G26+G38</f>
        <v>1328060000</v>
      </c>
      <c r="H40" s="4394">
        <f>H26+H38</f>
        <v>1328126242.025</v>
      </c>
      <c r="I40" s="152"/>
      <c r="J40" s="207">
        <f>J26+J38</f>
        <v>51884251406.0312</v>
      </c>
      <c r="K40" s="207">
        <f>K26+K38</f>
        <v>66132899461.2343</v>
      </c>
      <c r="L40" s="152"/>
      <c r="M40" s="4394">
        <f>M26+M38</f>
        <v>0</v>
      </c>
      <c r="N40" s="4393">
        <f>N26+N38</f>
        <v>33664793.56435</v>
      </c>
      <c r="O40" s="152"/>
      <c r="P40" s="207">
        <f>P26+P38</f>
        <v>66080901335.1499</v>
      </c>
      <c r="Q40" s="4267">
        <f>Q26+Q38</f>
        <v>72807012962.2844</v>
      </c>
      <c r="R40" s="4267">
        <f>R26+R38</f>
        <v>101094718596.71</v>
      </c>
      <c r="S40" s="4267">
        <f>S26+S38</f>
        <v>89780736600.8141</v>
      </c>
      <c r="T40" s="4267">
        <f>T26+T38</f>
        <v>50166686981.3582</v>
      </c>
      <c r="U40" s="4267">
        <f>E40-P40</f>
        <v>-9654788487.09366</v>
      </c>
      <c r="V40" s="4417">
        <f>IF(J40=0,IF(J40=0,1,U40/U40),U40/J40)</f>
        <v>-0.186083218422832</v>
      </c>
      <c r="W40" s="207">
        <f>W26+W38</f>
        <v>-14467873501.0501</v>
      </c>
      <c r="X40" s="4418">
        <f>IF(Q40=0,IF(Q40=0,1,W40/W40),W40/Q40)</f>
        <v>-0.198715383482973</v>
      </c>
    </row>
    <row r="41" spans="1:24">
      <c r="A41" s="137"/>
      <c r="B41" s="141"/>
      <c r="C41" s="1273"/>
      <c r="D41" s="147"/>
      <c r="E41" s="203">
        <f>+E40-'F2'!F49</f>
        <v>-0.078277587890625</v>
      </c>
      <c r="F41" s="147"/>
      <c r="G41" s="2502"/>
      <c r="H41" s="147"/>
      <c r="I41" s="147"/>
      <c r="J41" s="203">
        <f>+J40-'F2'!K49</f>
        <v>-0.0782699584960937</v>
      </c>
      <c r="K41" s="2180">
        <f>+K40-'F2'!L49</f>
        <v>0.367416381835937</v>
      </c>
      <c r="L41" s="2203"/>
      <c r="M41" s="4411"/>
      <c r="N41" s="4411"/>
      <c r="O41" s="2180"/>
      <c r="P41" s="2180">
        <f>+P40-'F2'!Q49</f>
        <v>0.367416381835937</v>
      </c>
      <c r="Q41" s="4428">
        <f>+Q40-'F2'!R49</f>
        <v>-0.177474975585937</v>
      </c>
      <c r="R41" s="2180">
        <f>+R40-'F2'!S49</f>
        <v>-0.277130126953125</v>
      </c>
      <c r="S41" s="2180">
        <f>+S40-'F2'!T49</f>
        <v>0</v>
      </c>
      <c r="T41" s="2180">
        <f>+T40-'F2'!U49</f>
        <v>0.0474014282226563</v>
      </c>
      <c r="U41" s="2180"/>
      <c r="V41" s="2180"/>
      <c r="W41" s="2180">
        <f>+W40-'F2'!X49</f>
        <v>-7793759999.45511</v>
      </c>
      <c r="X41" s="181"/>
    </row>
    <row r="42" ht="15" spans="5:22">
      <c r="E42" t="s">
        <v>649</v>
      </c>
      <c r="G42" s="4395" t="s">
        <v>751</v>
      </c>
      <c r="K42" s="725" t="s">
        <v>649</v>
      </c>
      <c r="P42" s="725" t="s">
        <v>650</v>
      </c>
      <c r="Q42" s="725" t="s">
        <v>650</v>
      </c>
      <c r="R42" s="725"/>
      <c r="S42" s="725"/>
      <c r="T42" s="725"/>
      <c r="U42" s="725"/>
      <c r="V42" s="725"/>
    </row>
    <row r="43" spans="3:11">
      <c r="C43" s="102"/>
      <c r="K43" s="4412"/>
    </row>
    <row r="44" spans="12:22">
      <c r="L44" s="2840"/>
      <c r="M44" s="2840"/>
      <c r="N44" s="2840"/>
      <c r="O44" s="2840"/>
      <c r="P44" s="2840">
        <f>+UV!J37</f>
        <v>-0.333332061767578</v>
      </c>
      <c r="Q44" s="2840"/>
      <c r="R44" s="2840"/>
      <c r="S44" s="2840"/>
      <c r="T44" s="2840"/>
      <c r="U44" s="2840"/>
      <c r="V44" s="103"/>
    </row>
    <row r="45" spans="11:22">
      <c r="K45" s="2840"/>
      <c r="L45" s="2840"/>
      <c r="M45" s="2840"/>
      <c r="N45" s="2840"/>
      <c r="O45" s="2840"/>
      <c r="P45" s="2840"/>
      <c r="Q45" s="2840"/>
      <c r="R45" s="2840"/>
      <c r="S45" s="2840"/>
      <c r="T45" s="2840"/>
      <c r="U45" s="2840"/>
      <c r="V45" s="103"/>
    </row>
    <row r="46" spans="2:10">
      <c r="B46" t="s">
        <v>649</v>
      </c>
      <c r="C46" s="2879" t="s">
        <v>752</v>
      </c>
      <c r="D46" s="101"/>
      <c r="E46" s="101"/>
      <c r="F46" s="101"/>
      <c r="G46" s="101"/>
      <c r="H46" s="101"/>
      <c r="I46" s="101"/>
      <c r="J46" s="101"/>
    </row>
    <row r="47" ht="14.45" customHeight="1" spans="2:3">
      <c r="B47" t="s">
        <v>650</v>
      </c>
      <c r="C47" s="2879" t="s">
        <v>753</v>
      </c>
    </row>
    <row r="48" spans="2:3">
      <c r="B48" t="s">
        <v>187</v>
      </c>
      <c r="C48" s="2879" t="s">
        <v>754</v>
      </c>
    </row>
    <row r="49" spans="2:3">
      <c r="B49" t="s">
        <v>651</v>
      </c>
      <c r="C49" s="2879" t="s">
        <v>755</v>
      </c>
    </row>
    <row r="51" spans="2:24">
      <c r="B51"/>
      <c r="C51"/>
      <c r="D51"/>
      <c r="E51"/>
      <c r="F51"/>
      <c r="G51"/>
      <c r="H51"/>
      <c r="I51"/>
      <c r="J51"/>
      <c r="K51"/>
      <c r="L51"/>
      <c r="M51"/>
      <c r="N51"/>
      <c r="O51"/>
      <c r="P51"/>
      <c r="Q51"/>
      <c r="R51"/>
      <c r="S51"/>
      <c r="T51"/>
      <c r="U51"/>
      <c r="V51"/>
      <c r="W51"/>
      <c r="X51"/>
    </row>
    <row r="52" spans="2:24">
      <c r="B52"/>
      <c r="C52"/>
      <c r="D52"/>
      <c r="E52"/>
      <c r="F52"/>
      <c r="G52"/>
      <c r="H52"/>
      <c r="I52"/>
      <c r="J52"/>
      <c r="K52"/>
      <c r="L52"/>
      <c r="M52"/>
      <c r="N52"/>
      <c r="O52"/>
      <c r="P52"/>
      <c r="Q52"/>
      <c r="R52"/>
      <c r="S52"/>
      <c r="T52"/>
      <c r="U52"/>
      <c r="V52"/>
      <c r="W52"/>
      <c r="X52"/>
    </row>
    <row r="53" spans="2:24">
      <c r="B53"/>
      <c r="C53" t="s">
        <v>756</v>
      </c>
      <c r="D53"/>
      <c r="E53"/>
      <c r="F53"/>
      <c r="G53"/>
      <c r="H53"/>
      <c r="I53"/>
      <c r="J53"/>
      <c r="K53"/>
      <c r="L53"/>
      <c r="M53"/>
      <c r="N53"/>
      <c r="O53"/>
      <c r="P53"/>
      <c r="Q53"/>
      <c r="R53"/>
      <c r="S53"/>
      <c r="T53"/>
      <c r="U53"/>
      <c r="V53"/>
      <c r="W53"/>
      <c r="X53"/>
    </row>
    <row r="54" spans="2:24">
      <c r="B54"/>
      <c r="C54" t="s">
        <v>757</v>
      </c>
      <c r="D54"/>
      <c r="E54"/>
      <c r="F54"/>
      <c r="G54"/>
      <c r="H54"/>
      <c r="I54"/>
      <c r="J54"/>
      <c r="K54"/>
      <c r="L54"/>
      <c r="M54"/>
      <c r="N54"/>
      <c r="O54"/>
      <c r="P54"/>
      <c r="Q54"/>
      <c r="R54"/>
      <c r="S54"/>
      <c r="T54"/>
      <c r="U54"/>
      <c r="V54"/>
      <c r="W54"/>
      <c r="X54"/>
    </row>
    <row r="55" spans="2:24">
      <c r="B55"/>
      <c r="C55" t="s">
        <v>758</v>
      </c>
      <c r="D55"/>
      <c r="E55"/>
      <c r="F55"/>
      <c r="G55"/>
      <c r="H55"/>
      <c r="I55"/>
      <c r="J55"/>
      <c r="K55"/>
      <c r="L55"/>
      <c r="M55"/>
      <c r="N55"/>
      <c r="O55"/>
      <c r="P55"/>
      <c r="Q55"/>
      <c r="R55"/>
      <c r="S55"/>
      <c r="T55"/>
      <c r="U55"/>
      <c r="V55"/>
      <c r="W55"/>
      <c r="X55"/>
    </row>
    <row r="56" spans="2:24">
      <c r="B56"/>
      <c r="C56" t="s">
        <v>759</v>
      </c>
      <c r="D56"/>
      <c r="E56"/>
      <c r="F56"/>
      <c r="G56"/>
      <c r="H56"/>
      <c r="I56"/>
      <c r="J56"/>
      <c r="K56"/>
      <c r="L56"/>
      <c r="M56"/>
      <c r="N56"/>
      <c r="O56"/>
      <c r="P56"/>
      <c r="Q56"/>
      <c r="R56"/>
      <c r="S56"/>
      <c r="T56"/>
      <c r="U56"/>
      <c r="V56"/>
      <c r="W56"/>
      <c r="X56"/>
    </row>
    <row r="57" spans="2:24">
      <c r="B57"/>
      <c r="C57" t="s">
        <v>760</v>
      </c>
      <c r="D57"/>
      <c r="E57"/>
      <c r="F57"/>
      <c r="G57"/>
      <c r="H57"/>
      <c r="I57"/>
      <c r="J57"/>
      <c r="K57"/>
      <c r="L57"/>
      <c r="M57"/>
      <c r="N57"/>
      <c r="O57"/>
      <c r="P57"/>
      <c r="Q57"/>
      <c r="R57"/>
      <c r="S57"/>
      <c r="T57"/>
      <c r="U57"/>
      <c r="V57"/>
      <c r="W57"/>
      <c r="X57"/>
    </row>
    <row r="58" spans="2:24">
      <c r="B58"/>
      <c r="C58" t="s">
        <v>761</v>
      </c>
      <c r="D58"/>
      <c r="E58"/>
      <c r="F58"/>
      <c r="G58"/>
      <c r="H58"/>
      <c r="I58"/>
      <c r="J58"/>
      <c r="K58"/>
      <c r="L58"/>
      <c r="M58"/>
      <c r="N58"/>
      <c r="O58"/>
      <c r="P58"/>
      <c r="Q58"/>
      <c r="R58"/>
      <c r="S58"/>
      <c r="T58"/>
      <c r="U58"/>
      <c r="V58"/>
      <c r="W58"/>
      <c r="X58"/>
    </row>
    <row r="59" spans="2:24">
      <c r="B59"/>
      <c r="C59" t="s">
        <v>762</v>
      </c>
      <c r="D59"/>
      <c r="E59"/>
      <c r="F59"/>
      <c r="G59"/>
      <c r="H59"/>
      <c r="I59"/>
      <c r="J59"/>
      <c r="K59"/>
      <c r="L59"/>
      <c r="M59"/>
      <c r="N59"/>
      <c r="O59"/>
      <c r="P59"/>
      <c r="Q59"/>
      <c r="R59"/>
      <c r="S59"/>
      <c r="T59"/>
      <c r="U59"/>
      <c r="V59"/>
      <c r="W59"/>
      <c r="X59"/>
    </row>
    <row r="60" spans="2:24">
      <c r="B60"/>
      <c r="C60" t="s">
        <v>763</v>
      </c>
      <c r="D60"/>
      <c r="E60"/>
      <c r="F60"/>
      <c r="G60"/>
      <c r="H60"/>
      <c r="I60"/>
      <c r="J60"/>
      <c r="K60"/>
      <c r="L60"/>
      <c r="M60"/>
      <c r="N60"/>
      <c r="O60"/>
      <c r="P60"/>
      <c r="Q60"/>
      <c r="R60"/>
      <c r="S60"/>
      <c r="T60"/>
      <c r="U60"/>
      <c r="V60"/>
      <c r="W60"/>
      <c r="X60"/>
    </row>
    <row r="61" spans="2:24">
      <c r="B61"/>
      <c r="C61"/>
      <c r="D61"/>
      <c r="E61"/>
      <c r="F61"/>
      <c r="G61"/>
      <c r="H61"/>
      <c r="I61"/>
      <c r="J61"/>
      <c r="K61"/>
      <c r="L61"/>
      <c r="M61"/>
      <c r="N61"/>
      <c r="O61"/>
      <c r="P61"/>
      <c r="Q61"/>
      <c r="R61"/>
      <c r="S61"/>
      <c r="T61"/>
      <c r="U61"/>
      <c r="V61"/>
      <c r="W61"/>
      <c r="X61"/>
    </row>
    <row r="62" spans="2:24">
      <c r="B62"/>
      <c r="C62"/>
      <c r="D62"/>
      <c r="E62"/>
      <c r="F62"/>
      <c r="G62"/>
      <c r="H62"/>
      <c r="I62"/>
      <c r="J62"/>
      <c r="K62"/>
      <c r="L62"/>
      <c r="M62"/>
      <c r="N62"/>
      <c r="O62"/>
      <c r="P62"/>
      <c r="Q62"/>
      <c r="R62"/>
      <c r="S62"/>
      <c r="T62"/>
      <c r="U62"/>
      <c r="V62"/>
      <c r="W62"/>
      <c r="X62"/>
    </row>
    <row r="63" spans="2:24">
      <c r="B63"/>
      <c r="C63"/>
      <c r="D63"/>
      <c r="E63"/>
      <c r="F63"/>
      <c r="G63"/>
      <c r="H63"/>
      <c r="I63"/>
      <c r="J63"/>
      <c r="K63"/>
      <c r="L63"/>
      <c r="M63"/>
      <c r="N63"/>
      <c r="O63"/>
      <c r="P63"/>
      <c r="Q63"/>
      <c r="R63"/>
      <c r="S63"/>
      <c r="T63"/>
      <c r="U63"/>
      <c r="V63"/>
      <c r="W63"/>
      <c r="X63"/>
    </row>
    <row r="64" spans="2:24">
      <c r="B64"/>
      <c r="C64"/>
      <c r="D64"/>
      <c r="E64"/>
      <c r="F64"/>
      <c r="G64"/>
      <c r="H64"/>
      <c r="I64"/>
      <c r="J64"/>
      <c r="K64"/>
      <c r="L64"/>
      <c r="M64"/>
      <c r="N64"/>
      <c r="O64"/>
      <c r="P64"/>
      <c r="Q64"/>
      <c r="R64"/>
      <c r="S64"/>
      <c r="T64"/>
      <c r="U64"/>
      <c r="V64"/>
      <c r="W64"/>
      <c r="X64"/>
    </row>
    <row r="65" spans="2:24">
      <c r="B65"/>
      <c r="C65"/>
      <c r="D65"/>
      <c r="E65"/>
      <c r="F65"/>
      <c r="G65"/>
      <c r="H65"/>
      <c r="I65"/>
      <c r="J65"/>
      <c r="K65"/>
      <c r="L65"/>
      <c r="M65"/>
      <c r="N65"/>
      <c r="O65"/>
      <c r="P65"/>
      <c r="Q65"/>
      <c r="R65"/>
      <c r="S65"/>
      <c r="T65"/>
      <c r="U65"/>
      <c r="V65"/>
      <c r="W65"/>
      <c r="X65"/>
    </row>
    <row r="66" spans="2:24">
      <c r="B66"/>
      <c r="C66"/>
      <c r="D66"/>
      <c r="E66"/>
      <c r="F66"/>
      <c r="G66"/>
      <c r="H66"/>
      <c r="I66"/>
      <c r="J66"/>
      <c r="K66"/>
      <c r="L66"/>
      <c r="M66"/>
      <c r="N66"/>
      <c r="O66"/>
      <c r="P66"/>
      <c r="Q66"/>
      <c r="R66"/>
      <c r="S66"/>
      <c r="T66"/>
      <c r="U66"/>
      <c r="V66"/>
      <c r="W66"/>
      <c r="X66"/>
    </row>
    <row r="67" spans="2:24">
      <c r="B67"/>
      <c r="C67"/>
      <c r="D67"/>
      <c r="E67"/>
      <c r="F67"/>
      <c r="G67"/>
      <c r="H67"/>
      <c r="I67"/>
      <c r="J67"/>
      <c r="K67"/>
      <c r="L67"/>
      <c r="M67"/>
      <c r="N67"/>
      <c r="O67"/>
      <c r="P67"/>
      <c r="Q67"/>
      <c r="R67"/>
      <c r="S67"/>
      <c r="T67"/>
      <c r="U67"/>
      <c r="V67"/>
      <c r="W67"/>
      <c r="X67"/>
    </row>
    <row r="68" spans="2:24">
      <c r="B68"/>
      <c r="C68"/>
      <c r="D68"/>
      <c r="E68"/>
      <c r="F68"/>
      <c r="G68"/>
      <c r="H68"/>
      <c r="I68"/>
      <c r="J68"/>
      <c r="K68"/>
      <c r="L68"/>
      <c r="M68"/>
      <c r="N68"/>
      <c r="O68"/>
      <c r="P68"/>
      <c r="Q68"/>
      <c r="R68"/>
      <c r="S68"/>
      <c r="T68"/>
      <c r="U68"/>
      <c r="V68"/>
      <c r="W68"/>
      <c r="X68"/>
    </row>
    <row r="85" spans="2:3">
      <c r="B85" s="4358" t="s">
        <v>764</v>
      </c>
      <c r="C85" s="4358" t="s">
        <v>765</v>
      </c>
    </row>
    <row r="87" s="4358" customFormat="1" spans="2:24">
      <c r="B87" s="101"/>
      <c r="C87" s="101"/>
      <c r="D87" s="4430"/>
      <c r="E87" s="4430"/>
      <c r="F87" s="4430"/>
      <c r="G87" s="4430"/>
      <c r="H87" s="4430"/>
      <c r="I87" s="4430"/>
      <c r="J87" s="4430"/>
      <c r="V87" s="4431"/>
      <c r="X87" s="4432"/>
    </row>
  </sheetData>
  <mergeCells count="6">
    <mergeCell ref="U10:V10"/>
    <mergeCell ref="W10:X10"/>
    <mergeCell ref="G11:H11"/>
    <mergeCell ref="M11:N11"/>
    <mergeCell ref="C55:K55"/>
    <mergeCell ref="D30:D31"/>
  </mergeCells>
  <hyperlinks>
    <hyperlink ref="D15" location="A!A1" display="A"/>
    <hyperlink ref="D17" location="B!A1" display="B"/>
    <hyperlink ref="D19" location="'B-1'!A1" display="C"/>
    <hyperlink ref="D35" location="I!A1" display="I"/>
    <hyperlink ref="D23" location="G!A1" display="G"/>
    <hyperlink ref="D20" location="D!A1" display="D"/>
    <hyperlink ref="D30" location="UV!A1" display="UV"/>
    <hyperlink ref="D22" location="E!A1" display="F"/>
    <hyperlink ref="D21" location="D!A1" display="E"/>
    <hyperlink ref="D34" location="F!A1" display="H"/>
    <hyperlink ref="D29" location="D!A1" display="D"/>
  </hyperlinks>
  <printOptions horizontalCentered="1" gridLines="1"/>
  <pageMargins left="0" right="0" top="0.393700787401575" bottom="0.511811023622047" header="0.511811023622047" footer="0.236220472440945"/>
  <pageSetup paperSize="9" scale="80" fitToHeight="2" orientation="landscape"/>
  <headerFooter alignWithMargins="0">
    <oddFooter>&amp;R&amp;"Arial,Bold"&amp;28F1</oddFooter>
  </headerFooter>
  <ignoredErrors>
    <ignoredError sqref="P32:Q32" formulaRange="1"/>
  </ignoredErrors>
  <drawing r:id="rId1"/>
  <legacyDrawing r:id="rId2"/>
  <oleObjects>
    <mc:AlternateContent xmlns:mc="http://schemas.openxmlformats.org/markup-compatibility/2006">
      <mc:Choice Requires="x14">
        <oleObject shapeId="15368" progId="Paint.Picture" r:id="rId3">
          <objectPr defaultSize="0" r:id="rId4">
            <anchor moveWithCells="1">
              <from>
                <xdr:col>16</xdr:col>
                <xdr:colOff>488950</xdr:colOff>
                <xdr:row>11</xdr:row>
                <xdr:rowOff>146050</xdr:rowOff>
              </from>
              <to>
                <xdr:col>16</xdr:col>
                <xdr:colOff>660400</xdr:colOff>
                <xdr:row>12</xdr:row>
                <xdr:rowOff>146050</xdr:rowOff>
              </to>
            </anchor>
          </objectPr>
        </oleObject>
      </mc:Choice>
      <mc:Fallback>
        <oleObject shapeId="15368" progId="Paint.Picture" r:id="rId3"/>
      </mc:Fallback>
    </mc:AlternateContent>
    <mc:AlternateContent xmlns:mc="http://schemas.openxmlformats.org/markup-compatibility/2006">
      <mc:Choice Requires="x14">
        <oleObject shapeId="1383228" progId="Paint.Picture" r:id="rId5">
          <objectPr defaultSize="0" r:id="rId6">
            <anchor moveWithCells="1">
              <from>
                <xdr:col>6</xdr:col>
                <xdr:colOff>666750</xdr:colOff>
                <xdr:row>42</xdr:row>
                <xdr:rowOff>19050</xdr:rowOff>
              </from>
              <to>
                <xdr:col>6</xdr:col>
                <xdr:colOff>863600</xdr:colOff>
                <xdr:row>43</xdr:row>
                <xdr:rowOff>31750</xdr:rowOff>
              </to>
            </anchor>
          </objectPr>
        </oleObject>
      </mc:Choice>
      <mc:Fallback>
        <oleObject shapeId="1383228" progId="Paint.Picture" r:id="rId5"/>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rgb="FF00B0F0"/>
    <pageSetUpPr fitToPage="1"/>
  </sheetPr>
  <dimension ref="A2:AB75"/>
  <sheetViews>
    <sheetView showGridLines="0" zoomScale="115" zoomScaleNormal="115" workbookViewId="0">
      <pane xSplit="4" ySplit="11" topLeftCell="I12" activePane="bottomRight" state="frozen"/>
      <selection/>
      <selection pane="topRight"/>
      <selection pane="bottomLeft"/>
      <selection pane="bottomRight" activeCell="K21" sqref="K21"/>
    </sheetView>
  </sheetViews>
  <sheetFormatPr defaultColWidth="9.13541666666667" defaultRowHeight="13.2"/>
  <cols>
    <col min="1" max="1" width="3.14583333333333" style="101" customWidth="1"/>
    <col min="2" max="2" width="7.1875" style="101" customWidth="1"/>
    <col min="3" max="3" width="3.14583333333333" style="101" customWidth="1"/>
    <col min="4" max="4" width="30.2708333333333" style="101" customWidth="1"/>
    <col min="5" max="5" width="8.84375" style="102" customWidth="1"/>
    <col min="6" max="6" width="17.53125" style="102" customWidth="1" outlineLevel="1"/>
    <col min="7" max="7" width="7.64583333333333" style="102" customWidth="1" outlineLevel="1"/>
    <col min="8" max="9" width="15.7291666666667" style="102" customWidth="1" outlineLevel="1"/>
    <col min="10" max="10" width="6.59375" style="102" customWidth="1" outlineLevel="1"/>
    <col min="11" max="11" width="17.2291666666667" style="102" customWidth="1"/>
    <col min="12" max="12" width="17.8333333333333" style="101" customWidth="1" outlineLevel="1"/>
    <col min="13" max="13" width="6.73958333333333" style="101" customWidth="1" outlineLevel="1"/>
    <col min="14" max="14" width="17.2291666666667" style="101" customWidth="1" outlineLevel="1"/>
    <col min="15" max="15" width="16.1770833333333" style="101" customWidth="1" outlineLevel="1"/>
    <col min="16" max="16" width="6.4375" style="101" customWidth="1" outlineLevel="1"/>
    <col min="17" max="21" width="17.2291666666667" style="101" customWidth="1"/>
    <col min="22" max="22" width="16.78125" style="101" customWidth="1"/>
    <col min="23" max="23" width="7.64583333333333" style="101" customWidth="1"/>
    <col min="24" max="24" width="16.03125" style="101" customWidth="1"/>
    <col min="25" max="25" width="9.4375" style="103" customWidth="1"/>
    <col min="26" max="26" width="21.4270833333333" style="101" customWidth="1"/>
    <col min="27" max="27" width="17.6770833333333" style="101" customWidth="1"/>
    <col min="28" max="28" width="16.1770833333333" style="101" customWidth="1"/>
    <col min="29" max="30" width="12.1354166666667" style="101" customWidth="1"/>
    <col min="31" max="16384" width="9.13541666666667" style="101"/>
  </cols>
  <sheetData>
    <row r="2" ht="21" spans="2:25">
      <c r="B2" s="4208" t="str">
        <f>'F1'!B2</f>
        <v>KAP LIASTA NIRWAN SYAFRUDIN &amp; REKAN</v>
      </c>
      <c r="C2" s="4209"/>
      <c r="D2" s="4210"/>
      <c r="E2" s="4210"/>
      <c r="F2" s="4210"/>
      <c r="G2" s="4210"/>
      <c r="H2" s="4210"/>
      <c r="I2" s="4210"/>
      <c r="J2" s="4210"/>
      <c r="K2" s="4210"/>
      <c r="L2" s="4249"/>
      <c r="M2" s="4249"/>
      <c r="N2" s="4249"/>
      <c r="O2" s="4249"/>
      <c r="P2" s="4210"/>
      <c r="Q2" s="4210"/>
      <c r="R2" s="4210"/>
      <c r="S2" s="4210"/>
      <c r="T2" s="4210"/>
      <c r="U2" s="4210"/>
      <c r="V2" s="4212" t="s">
        <v>481</v>
      </c>
      <c r="W2" s="4210"/>
      <c r="X2" s="4269" t="s">
        <v>482</v>
      </c>
      <c r="Y2" s="4270" t="s">
        <v>483</v>
      </c>
    </row>
    <row r="3" ht="15.6" spans="2:25">
      <c r="B3" s="4309"/>
      <c r="C3" s="4310"/>
      <c r="D3" s="4311"/>
      <c r="E3" s="4217"/>
      <c r="F3" s="4217"/>
      <c r="G3" s="4217"/>
      <c r="H3" s="4217"/>
      <c r="I3" s="4217"/>
      <c r="J3" s="4217"/>
      <c r="K3" s="4217"/>
      <c r="L3" s="4334"/>
      <c r="M3" s="4334"/>
      <c r="N3" s="4334"/>
      <c r="O3" s="4334"/>
      <c r="P3" s="4217"/>
      <c r="Q3" s="4217"/>
      <c r="R3" s="4217"/>
      <c r="S3" s="4217"/>
      <c r="T3" s="4217"/>
      <c r="U3" s="4217"/>
      <c r="V3" s="4271"/>
      <c r="W3" s="4272"/>
      <c r="X3" s="4273">
        <f>+'F1'!W3</f>
        <v>45193</v>
      </c>
      <c r="Y3" s="4274" t="s">
        <v>766</v>
      </c>
    </row>
    <row r="4" spans="2:25">
      <c r="B4" s="4312" t="s">
        <v>622</v>
      </c>
      <c r="C4" s="4220" t="str">
        <f>+'Audit Isu'!B2</f>
        <v>PT INTAN GIRI ABADI</v>
      </c>
      <c r="D4" s="4313"/>
      <c r="E4" s="4313"/>
      <c r="F4" s="4313"/>
      <c r="G4" s="4313"/>
      <c r="H4" s="4313"/>
      <c r="I4" s="4313"/>
      <c r="J4" s="4313"/>
      <c r="K4" s="4313"/>
      <c r="L4" s="4335"/>
      <c r="M4" s="4335"/>
      <c r="N4" s="4335"/>
      <c r="O4" s="4335"/>
      <c r="P4" s="4313"/>
      <c r="Q4" s="4313"/>
      <c r="R4" s="4313"/>
      <c r="S4" s="4313"/>
      <c r="T4" s="4313"/>
      <c r="U4" s="4313"/>
      <c r="V4" s="4316" t="s">
        <v>487</v>
      </c>
      <c r="W4" s="4217"/>
      <c r="X4" s="4346" t="s">
        <v>482</v>
      </c>
      <c r="Y4" s="4354" t="s">
        <v>488</v>
      </c>
    </row>
    <row r="5" ht="9.6" customHeight="1" spans="2:25">
      <c r="B5" s="4314"/>
      <c r="C5" s="4310"/>
      <c r="D5" s="4315"/>
      <c r="E5" s="4313"/>
      <c r="F5" s="4313"/>
      <c r="G5" s="4313"/>
      <c r="H5" s="4313"/>
      <c r="I5" s="4313"/>
      <c r="J5" s="4313"/>
      <c r="K5" s="4313"/>
      <c r="L5" s="4335"/>
      <c r="M5" s="4335"/>
      <c r="N5" s="4335"/>
      <c r="O5" s="4335"/>
      <c r="P5" s="4313"/>
      <c r="Q5" s="4313"/>
      <c r="R5" s="4313"/>
      <c r="S5" s="4313"/>
      <c r="T5" s="4313"/>
      <c r="U5" s="4313"/>
      <c r="V5" s="4316"/>
      <c r="W5" s="4313"/>
      <c r="X5" s="4277"/>
      <c r="Y5" s="4278"/>
    </row>
    <row r="6" spans="2:25">
      <c r="B6" s="4316"/>
      <c r="C6" s="4214"/>
      <c r="D6" s="4313"/>
      <c r="E6" s="4313"/>
      <c r="F6" s="4313"/>
      <c r="G6" s="4313"/>
      <c r="H6" s="4313"/>
      <c r="I6" s="4313"/>
      <c r="J6" s="4313"/>
      <c r="K6" s="4313"/>
      <c r="L6" s="4335"/>
      <c r="M6" s="4335"/>
      <c r="N6" s="4335"/>
      <c r="O6" s="4335"/>
      <c r="P6" s="4313"/>
      <c r="Q6" s="4313"/>
      <c r="R6" s="4313"/>
      <c r="S6" s="4313"/>
      <c r="T6" s="4313"/>
      <c r="U6" s="4313"/>
      <c r="V6" s="4316"/>
      <c r="W6" s="4313"/>
      <c r="X6" s="4316"/>
      <c r="Y6" s="4355" t="s">
        <v>491</v>
      </c>
    </row>
    <row r="7" spans="2:25">
      <c r="B7" s="4314" t="s">
        <v>728</v>
      </c>
      <c r="C7" s="4317" t="s">
        <v>729</v>
      </c>
      <c r="D7" s="4318"/>
      <c r="E7" s="4315"/>
      <c r="F7" s="4315"/>
      <c r="G7" s="4315"/>
      <c r="H7" s="4315"/>
      <c r="I7" s="4315"/>
      <c r="J7" s="4315"/>
      <c r="K7" s="4315"/>
      <c r="L7" s="4336"/>
      <c r="M7" s="4336"/>
      <c r="N7" s="4336"/>
      <c r="O7" s="4336"/>
      <c r="P7" s="4315"/>
      <c r="Q7" s="4315"/>
      <c r="R7" s="4315"/>
      <c r="S7" s="4315"/>
      <c r="T7" s="4315"/>
      <c r="U7" s="4315"/>
      <c r="V7" s="4314"/>
      <c r="W7" s="4315"/>
      <c r="X7" s="4314"/>
      <c r="Y7" s="4280">
        <v>44926</v>
      </c>
    </row>
    <row r="8" s="4307" customFormat="1" spans="1:25">
      <c r="A8" s="4319"/>
      <c r="B8" s="4320"/>
      <c r="C8" s="4321"/>
      <c r="D8" s="4322"/>
      <c r="E8"/>
      <c r="F8" s="4320"/>
      <c r="G8" s="4320"/>
      <c r="H8" s="4320"/>
      <c r="I8" s="4320"/>
      <c r="J8" s="4320"/>
      <c r="K8" s="4320"/>
      <c r="L8" s="4337"/>
      <c r="M8" s="4337"/>
      <c r="N8" s="4337"/>
      <c r="O8" s="4337"/>
      <c r="P8" s="4320"/>
      <c r="Q8" s="4320"/>
      <c r="R8" s="4320"/>
      <c r="S8" s="4320"/>
      <c r="T8" s="4320"/>
      <c r="U8" s="4320"/>
      <c r="V8" s="4320"/>
      <c r="W8" s="4320"/>
      <c r="X8" s="4320"/>
      <c r="Y8" s="4356"/>
    </row>
    <row r="9" spans="1:23">
      <c r="A9" s="137"/>
      <c r="L9" s="4338">
        <f>+L50</f>
        <v>-0.367416381835937</v>
      </c>
      <c r="M9" s="186"/>
      <c r="N9"/>
      <c r="O9"/>
      <c r="P9" s="291"/>
      <c r="Q9" s="4347"/>
      <c r="R9" s="4347"/>
      <c r="S9" s="4347"/>
      <c r="T9" s="4347"/>
      <c r="U9" s="4347"/>
      <c r="V9" s="4338"/>
      <c r="W9" s="4338"/>
    </row>
    <row r="10" spans="1:25">
      <c r="A10" s="137"/>
      <c r="B10" s="1217"/>
      <c r="C10" s="1224"/>
      <c r="D10" s="1224"/>
      <c r="E10" s="4323" t="s">
        <v>730</v>
      </c>
      <c r="F10" s="4255">
        <v>44926</v>
      </c>
      <c r="G10" s="1224"/>
      <c r="H10" s="28" t="s">
        <v>625</v>
      </c>
      <c r="I10" s="4339" t="s">
        <v>626</v>
      </c>
      <c r="J10" s="308"/>
      <c r="K10" s="4255">
        <v>44926</v>
      </c>
      <c r="L10" s="4281">
        <v>44561</v>
      </c>
      <c r="M10" s="308"/>
      <c r="N10" s="1224"/>
      <c r="O10" s="1224"/>
      <c r="P10" s="308"/>
      <c r="Q10" s="4230">
        <v>44561</v>
      </c>
      <c r="R10" s="4255">
        <v>44196</v>
      </c>
      <c r="S10" s="4281">
        <f>+R10-366</f>
        <v>43830</v>
      </c>
      <c r="T10" s="4281">
        <f>+S10-365</f>
        <v>43465</v>
      </c>
      <c r="U10" s="4281">
        <f>+T10-366</f>
        <v>43099</v>
      </c>
      <c r="V10" s="4281">
        <v>44926</v>
      </c>
      <c r="W10" s="4230"/>
      <c r="X10" s="4281">
        <v>44561</v>
      </c>
      <c r="Y10" s="4230"/>
    </row>
    <row r="11" s="1195" customFormat="1" spans="2:25">
      <c r="B11" s="204" t="str">
        <f>+'F1'!B11</f>
        <v>KETERANGAN</v>
      </c>
      <c r="C11" s="4260"/>
      <c r="D11" s="4260"/>
      <c r="E11" s="4324"/>
      <c r="F11" s="4325" t="s">
        <v>628</v>
      </c>
      <c r="G11" s="4260" t="s">
        <v>629</v>
      </c>
      <c r="H11" s="4326" t="s">
        <v>630</v>
      </c>
      <c r="I11" s="4260"/>
      <c r="J11" s="4340" t="s">
        <v>629</v>
      </c>
      <c r="K11" s="4341" t="s">
        <v>631</v>
      </c>
      <c r="L11" s="1195" t="s">
        <v>628</v>
      </c>
      <c r="M11" s="4326" t="s">
        <v>629</v>
      </c>
      <c r="N11" s="4326" t="s">
        <v>630</v>
      </c>
      <c r="O11"/>
      <c r="P11" s="4325" t="s">
        <v>629</v>
      </c>
      <c r="Q11" s="4341" t="s">
        <v>631</v>
      </c>
      <c r="R11" s="4325" t="s">
        <v>628</v>
      </c>
      <c r="S11" s="4325" t="s">
        <v>628</v>
      </c>
      <c r="T11" s="4325" t="s">
        <v>628</v>
      </c>
      <c r="U11" s="4341" t="s">
        <v>631</v>
      </c>
      <c r="V11" s="4283" t="s">
        <v>632</v>
      </c>
      <c r="W11" s="4283" t="s">
        <v>633</v>
      </c>
      <c r="X11" s="4260" t="s">
        <v>632</v>
      </c>
      <c r="Y11" s="4283" t="s">
        <v>633</v>
      </c>
    </row>
    <row r="12" spans="2:25">
      <c r="B12" s="129"/>
      <c r="C12" s="130"/>
      <c r="D12" s="130"/>
      <c r="E12" s="4327"/>
      <c r="F12" s="131"/>
      <c r="G12" s="132"/>
      <c r="H12" s="131"/>
      <c r="I12" s="132"/>
      <c r="J12" s="161"/>
      <c r="K12" s="132"/>
      <c r="L12" s="129"/>
      <c r="M12" s="152"/>
      <c r="N12" s="129"/>
      <c r="O12" s="152"/>
      <c r="P12" s="152"/>
      <c r="Q12" s="152"/>
      <c r="R12" s="152"/>
      <c r="S12" s="152"/>
      <c r="T12" s="152"/>
      <c r="U12" s="152"/>
      <c r="V12" s="152"/>
      <c r="W12" s="152"/>
      <c r="X12" s="161"/>
      <c r="Y12" s="304"/>
    </row>
    <row r="13" spans="2:25">
      <c r="B13" s="129" t="s">
        <v>767</v>
      </c>
      <c r="C13" s="130"/>
      <c r="D13" s="130"/>
      <c r="E13" s="4327"/>
      <c r="F13" s="131"/>
      <c r="G13" s="328"/>
      <c r="H13" s="131"/>
      <c r="I13" s="132"/>
      <c r="J13" s="161"/>
      <c r="K13" s="328"/>
      <c r="L13" s="130"/>
      <c r="M13" s="152"/>
      <c r="N13" s="129"/>
      <c r="O13" s="129"/>
      <c r="P13" s="152"/>
      <c r="Q13" s="152"/>
      <c r="R13" s="161"/>
      <c r="S13" s="137"/>
      <c r="T13" s="161"/>
      <c r="U13" s="137"/>
      <c r="V13" s="161"/>
      <c r="W13" s="304"/>
      <c r="X13" s="304"/>
      <c r="Y13" s="185"/>
    </row>
    <row r="14" spans="2:25">
      <c r="B14" s="129"/>
      <c r="C14" s="130"/>
      <c r="D14" s="130"/>
      <c r="E14" s="4327"/>
      <c r="F14" s="131"/>
      <c r="G14" s="328"/>
      <c r="H14" s="131"/>
      <c r="I14" s="132"/>
      <c r="J14" s="161"/>
      <c r="K14" s="131"/>
      <c r="L14" s="152"/>
      <c r="M14" s="129"/>
      <c r="N14" s="129"/>
      <c r="O14" s="129"/>
      <c r="P14" s="152"/>
      <c r="Q14" s="152"/>
      <c r="R14" s="161"/>
      <c r="S14" s="137"/>
      <c r="T14" s="161"/>
      <c r="U14" s="137"/>
      <c r="V14" s="161"/>
      <c r="W14" s="304"/>
      <c r="X14" s="304"/>
      <c r="Y14" s="185"/>
    </row>
    <row r="15" spans="2:25">
      <c r="B15" s="129"/>
      <c r="C15" s="5031" t="s">
        <v>563</v>
      </c>
      <c r="D15" s="130"/>
      <c r="E15" s="2134" t="s">
        <v>768</v>
      </c>
      <c r="F15" s="161">
        <v>7433574955</v>
      </c>
      <c r="G15" s="328"/>
      <c r="H15" s="184">
        <f>+AA!G19</f>
        <v>0</v>
      </c>
      <c r="I15" s="184">
        <f>+AA!H19</f>
        <v>0</v>
      </c>
      <c r="J15" s="161"/>
      <c r="K15" s="161">
        <f>F15-H15+I15</f>
        <v>7433574955</v>
      </c>
      <c r="L15" s="161">
        <v>11058670775</v>
      </c>
      <c r="M15" s="129"/>
      <c r="N15" s="184">
        <f>+AA!M19</f>
        <v>0</v>
      </c>
      <c r="O15" s="184">
        <f>+AA!N19</f>
        <v>0</v>
      </c>
      <c r="P15" s="152"/>
      <c r="Q15" s="174">
        <f>L15-N15+O15</f>
        <v>11058670775</v>
      </c>
      <c r="R15" s="184">
        <f>+AA!Q19</f>
        <v>12071190032.16</v>
      </c>
      <c r="S15" s="161">
        <v>12870029043</v>
      </c>
      <c r="T15" s="161">
        <v>8059333333</v>
      </c>
      <c r="U15" s="161">
        <v>7333333335</v>
      </c>
      <c r="V15" s="4348">
        <f t="shared" ref="V15:V21" si="0">F15-Q15</f>
        <v>-3625095820</v>
      </c>
      <c r="W15" s="4023">
        <f>IF(K15=0,IF(K15=0,1,V15/V15),V15/K15)</f>
        <v>-0.487665200384059</v>
      </c>
      <c r="X15" s="4349">
        <f>L15-R15</f>
        <v>-1012519257.16</v>
      </c>
      <c r="Y15" s="185">
        <f t="shared" ref="Y15:Y43" si="1">IF(R15=0,IF(R15=0,1,X15/X15),X15/R15)</f>
        <v>-0.0838789924160295</v>
      </c>
    </row>
    <row r="16" spans="2:25">
      <c r="B16" s="184"/>
      <c r="C16" s="5031" t="s">
        <v>769</v>
      </c>
      <c r="D16" s="137"/>
      <c r="E16" s="2542" t="s">
        <v>770</v>
      </c>
      <c r="F16" s="161">
        <f>+BB!F61</f>
        <v>111500000</v>
      </c>
      <c r="G16" s="328"/>
      <c r="H16" s="184">
        <f>+BB!H48</f>
        <v>0</v>
      </c>
      <c r="I16" s="184">
        <f>+BB!I48</f>
        <v>0</v>
      </c>
      <c r="J16" s="161"/>
      <c r="K16" s="161">
        <f t="shared" ref="K16:K22" si="2">F16-H16+I16</f>
        <v>111500000</v>
      </c>
      <c r="L16" s="161">
        <v>869165810</v>
      </c>
      <c r="M16" s="231"/>
      <c r="N16" s="231">
        <f>+BB!N48</f>
        <v>0</v>
      </c>
      <c r="O16" s="231">
        <f>+BB!O48</f>
        <v>0</v>
      </c>
      <c r="P16" s="161"/>
      <c r="Q16" s="174">
        <f t="shared" ref="Q16:Q21" si="3">L16-N16+O16</f>
        <v>869165810</v>
      </c>
      <c r="R16" s="184">
        <f>+BB!R61</f>
        <v>1840865220</v>
      </c>
      <c r="S16" s="161">
        <v>1873053071</v>
      </c>
      <c r="T16" s="161">
        <v>8339696208</v>
      </c>
      <c r="U16" s="161">
        <v>14990222523</v>
      </c>
      <c r="V16" s="4348">
        <f t="shared" si="0"/>
        <v>-757665810</v>
      </c>
      <c r="W16" s="4023">
        <f t="shared" ref="W16:W21" si="4">IF(K16=0,IF(K16=0,1,V16/V16),V16/K16)</f>
        <v>-6.79520905829596</v>
      </c>
      <c r="X16" s="4349">
        <f t="shared" ref="X16:X21" si="5">L16-R16</f>
        <v>-971699410</v>
      </c>
      <c r="Y16" s="185">
        <f t="shared" si="1"/>
        <v>-0.527849295778428</v>
      </c>
    </row>
    <row r="17" spans="2:25">
      <c r="B17" s="184"/>
      <c r="C17" s="5031" t="s">
        <v>771</v>
      </c>
      <c r="D17" s="137"/>
      <c r="E17" s="2134" t="s">
        <v>772</v>
      </c>
      <c r="F17" s="184">
        <v>2145000000</v>
      </c>
      <c r="G17" s="131"/>
      <c r="H17" s="231">
        <f>+DD!H19</f>
        <v>2145000000</v>
      </c>
      <c r="I17" s="231">
        <f>+DD!I19</f>
        <v>0</v>
      </c>
      <c r="J17" s="161"/>
      <c r="K17" s="161">
        <f t="shared" si="2"/>
        <v>0</v>
      </c>
      <c r="L17" s="161">
        <v>2145000000</v>
      </c>
      <c r="M17" s="174"/>
      <c r="N17" s="231">
        <f>+DD!N19</f>
        <v>0</v>
      </c>
      <c r="O17" s="231">
        <f>+DD!O19</f>
        <v>0</v>
      </c>
      <c r="P17" s="161"/>
      <c r="Q17" s="174">
        <f t="shared" si="3"/>
        <v>2145000000</v>
      </c>
      <c r="R17" s="184">
        <f>+DD!R19</f>
        <v>2989000000</v>
      </c>
      <c r="S17" s="184">
        <f>+DD!S19</f>
        <v>25370671006.6137</v>
      </c>
      <c r="T17" s="184">
        <f>+DD!T19</f>
        <v>21326133325.5937</v>
      </c>
      <c r="U17" s="161">
        <v>2153400000</v>
      </c>
      <c r="V17" s="4348">
        <f t="shared" si="0"/>
        <v>0</v>
      </c>
      <c r="W17" s="4023">
        <f t="shared" si="4"/>
        <v>1</v>
      </c>
      <c r="X17" s="4349">
        <f t="shared" si="5"/>
        <v>-844000000</v>
      </c>
      <c r="Y17" s="185">
        <f t="shared" si="1"/>
        <v>-0.28236868517899</v>
      </c>
    </row>
    <row r="18" spans="2:27">
      <c r="B18" s="129"/>
      <c r="C18" s="5031" t="s">
        <v>773</v>
      </c>
      <c r="D18" s="137"/>
      <c r="E18" s="4238" t="s">
        <v>774</v>
      </c>
      <c r="F18" s="184">
        <f>+FF!E20</f>
        <v>4182669.44583333</v>
      </c>
      <c r="G18" s="131"/>
      <c r="H18" s="184">
        <f>+FF!G20</f>
        <v>0</v>
      </c>
      <c r="I18" s="184">
        <f>+FF!H20</f>
        <v>77954370.8005685</v>
      </c>
      <c r="J18" s="161"/>
      <c r="K18" s="161">
        <f t="shared" si="2"/>
        <v>82137040.2464018</v>
      </c>
      <c r="L18" s="184">
        <f>+FF!K20</f>
        <v>126621548.356177</v>
      </c>
      <c r="M18" s="200"/>
      <c r="N18" s="4342">
        <f>+FF!M20</f>
        <v>33663124</v>
      </c>
      <c r="O18" s="4342">
        <f>+FF!N20</f>
        <v>36095021.3763269</v>
      </c>
      <c r="P18" s="200"/>
      <c r="Q18" s="174">
        <f t="shared" si="3"/>
        <v>129053445.732503</v>
      </c>
      <c r="R18" s="184">
        <f>+FF!Q20</f>
        <v>143432000.25221</v>
      </c>
      <c r="S18" s="161">
        <v>27929325</v>
      </c>
      <c r="T18" s="161">
        <v>114109108</v>
      </c>
      <c r="U18" s="161">
        <v>417945703</v>
      </c>
      <c r="V18" s="4348">
        <f t="shared" si="0"/>
        <v>-124870776.28667</v>
      </c>
      <c r="W18" s="4023">
        <f t="shared" si="4"/>
        <v>-1.52027362943773</v>
      </c>
      <c r="X18" s="192">
        <f t="shared" si="5"/>
        <v>-16810451.8960339</v>
      </c>
      <c r="Y18" s="361">
        <f t="shared" si="1"/>
        <v>-0.117201544052056</v>
      </c>
      <c r="Z18" s="4357"/>
      <c r="AA18" s="209"/>
    </row>
    <row r="19" spans="2:27">
      <c r="B19" s="129"/>
      <c r="C19" s="4328" t="s">
        <v>775</v>
      </c>
      <c r="D19" s="137"/>
      <c r="E19" s="2134" t="s">
        <v>776</v>
      </c>
      <c r="F19" s="184">
        <v>0</v>
      </c>
      <c r="G19" s="131"/>
      <c r="H19" s="184">
        <f>CC!H21</f>
        <v>0</v>
      </c>
      <c r="I19" s="184">
        <v>0</v>
      </c>
      <c r="J19" s="161"/>
      <c r="K19" s="161">
        <f t="shared" si="2"/>
        <v>0</v>
      </c>
      <c r="L19" s="161">
        <v>0</v>
      </c>
      <c r="M19" s="200"/>
      <c r="N19" s="4342"/>
      <c r="O19" s="4342"/>
      <c r="P19" s="140"/>
      <c r="Q19" s="174">
        <f t="shared" si="3"/>
        <v>0</v>
      </c>
      <c r="R19" s="184">
        <v>0</v>
      </c>
      <c r="S19" s="161"/>
      <c r="T19" s="161"/>
      <c r="U19" s="161">
        <v>0</v>
      </c>
      <c r="V19" s="4348">
        <f t="shared" si="0"/>
        <v>0</v>
      </c>
      <c r="W19" s="4023">
        <f t="shared" si="4"/>
        <v>1</v>
      </c>
      <c r="X19" s="192">
        <f t="shared" si="5"/>
        <v>0</v>
      </c>
      <c r="Y19" s="361">
        <f t="shared" si="1"/>
        <v>1</v>
      </c>
      <c r="Z19" s="4357"/>
      <c r="AA19" s="209"/>
    </row>
    <row r="20" spans="2:27">
      <c r="B20" s="129"/>
      <c r="C20" s="4328" t="s">
        <v>777</v>
      </c>
      <c r="D20" s="137"/>
      <c r="E20" s="4327"/>
      <c r="F20" s="184">
        <v>0</v>
      </c>
      <c r="G20" s="131"/>
      <c r="H20" s="184">
        <v>0</v>
      </c>
      <c r="I20" s="184">
        <v>0</v>
      </c>
      <c r="J20" s="161"/>
      <c r="K20" s="161">
        <f t="shared" si="2"/>
        <v>0</v>
      </c>
      <c r="L20" s="161">
        <v>0</v>
      </c>
      <c r="M20" s="200"/>
      <c r="N20" s="4342"/>
      <c r="O20" s="4342"/>
      <c r="P20" s="140"/>
      <c r="Q20" s="174">
        <f t="shared" si="3"/>
        <v>0</v>
      </c>
      <c r="R20" s="184">
        <v>0</v>
      </c>
      <c r="S20" s="161"/>
      <c r="T20" s="161"/>
      <c r="U20" s="161">
        <v>50000000</v>
      </c>
      <c r="V20" s="4348">
        <f t="shared" si="0"/>
        <v>0</v>
      </c>
      <c r="W20" s="4023">
        <f t="shared" si="4"/>
        <v>1</v>
      </c>
      <c r="X20" s="192">
        <f t="shared" si="5"/>
        <v>0</v>
      </c>
      <c r="Y20" s="361">
        <f t="shared" si="1"/>
        <v>1</v>
      </c>
      <c r="Z20" s="4357"/>
      <c r="AA20" s="209"/>
    </row>
    <row r="21" spans="2:27">
      <c r="B21" s="129"/>
      <c r="C21" s="4328" t="s">
        <v>778</v>
      </c>
      <c r="D21" s="137"/>
      <c r="E21" s="2542" t="s">
        <v>779</v>
      </c>
      <c r="F21" s="184">
        <v>1156341700</v>
      </c>
      <c r="G21" s="131"/>
      <c r="H21" s="184">
        <f>+II!H16</f>
        <v>0</v>
      </c>
      <c r="I21" s="184">
        <f>+II!I16</f>
        <v>0</v>
      </c>
      <c r="J21" s="161"/>
      <c r="K21" s="161">
        <f t="shared" si="2"/>
        <v>1156341700</v>
      </c>
      <c r="L21" s="161">
        <v>778392444</v>
      </c>
      <c r="M21" s="200"/>
      <c r="N21" s="4342">
        <f>+II!N16</f>
        <v>0</v>
      </c>
      <c r="O21" s="4342">
        <f>+II!O16</f>
        <v>0</v>
      </c>
      <c r="P21" s="140"/>
      <c r="Q21" s="174">
        <f t="shared" si="3"/>
        <v>778392444</v>
      </c>
      <c r="R21" s="184">
        <f>+II!R16</f>
        <v>1186161720.57996</v>
      </c>
      <c r="S21" s="161">
        <v>477633205</v>
      </c>
      <c r="T21" s="161">
        <v>462965299.011106</v>
      </c>
      <c r="U21" s="161">
        <v>354967340</v>
      </c>
      <c r="V21" s="4348">
        <f t="shared" si="0"/>
        <v>377949256</v>
      </c>
      <c r="W21" s="4023">
        <f t="shared" si="4"/>
        <v>0.326849110431631</v>
      </c>
      <c r="X21" s="192">
        <f t="shared" si="5"/>
        <v>-407769276.579963</v>
      </c>
      <c r="Y21" s="361">
        <f t="shared" si="1"/>
        <v>-0.343772075514786</v>
      </c>
      <c r="Z21" s="4357"/>
      <c r="AA21" s="209"/>
    </row>
    <row r="22" spans="2:28">
      <c r="B22" s="129"/>
      <c r="C22" s="130"/>
      <c r="D22" s="137"/>
      <c r="E22" s="4327"/>
      <c r="F22" s="137"/>
      <c r="G22" s="131"/>
      <c r="H22" s="184"/>
      <c r="I22" s="184"/>
      <c r="J22" s="161"/>
      <c r="K22" s="161">
        <f t="shared" si="2"/>
        <v>0</v>
      </c>
      <c r="L22" s="174"/>
      <c r="M22" s="335"/>
      <c r="N22" s="2344"/>
      <c r="O22" s="109"/>
      <c r="P22" s="161"/>
      <c r="Q22" s="2180"/>
      <c r="R22" s="137"/>
      <c r="S22" s="161"/>
      <c r="T22" s="161"/>
      <c r="U22" s="137"/>
      <c r="V22" s="161"/>
      <c r="W22" s="4350"/>
      <c r="X22" s="156"/>
      <c r="Y22" s="361">
        <f t="shared" si="1"/>
        <v>1</v>
      </c>
      <c r="Z22" s="4357"/>
      <c r="AA22" s="4357"/>
      <c r="AB22" s="4357"/>
    </row>
    <row r="23" spans="1:26">
      <c r="A23" s="137"/>
      <c r="B23" s="363" t="s">
        <v>780</v>
      </c>
      <c r="C23" s="4329"/>
      <c r="D23" s="1227"/>
      <c r="E23" s="4327"/>
      <c r="F23" s="2183">
        <f>SUM(F15:F22)</f>
        <v>10850599324.4458</v>
      </c>
      <c r="G23" s="132"/>
      <c r="H23" s="2183">
        <f>SUM(H15:H22)</f>
        <v>2145000000</v>
      </c>
      <c r="I23" s="2207">
        <f>SUM(I15:I22)</f>
        <v>77954370.8005685</v>
      </c>
      <c r="J23" s="161"/>
      <c r="K23" s="2183">
        <f>SUM(K15:K22)</f>
        <v>8783553695.2464</v>
      </c>
      <c r="L23" s="2183">
        <f>SUM(L15:L22)</f>
        <v>14977850577.3562</v>
      </c>
      <c r="M23" s="335"/>
      <c r="N23" s="2183">
        <f>SUM(N15:N22)</f>
        <v>33663124</v>
      </c>
      <c r="O23" s="252">
        <f>SUM(O15:O22)</f>
        <v>36095021.3763269</v>
      </c>
      <c r="P23" s="184"/>
      <c r="Q23" s="2183">
        <f t="shared" ref="Q23:V23" si="6">SUM(Q15:Q22)</f>
        <v>14980282474.7325</v>
      </c>
      <c r="R23" s="252">
        <f t="shared" si="6"/>
        <v>18230648972.9922</v>
      </c>
      <c r="S23" s="252">
        <f t="shared" si="6"/>
        <v>40619315650.6137</v>
      </c>
      <c r="T23" s="252">
        <f t="shared" si="6"/>
        <v>38302237273.6048</v>
      </c>
      <c r="U23" s="252">
        <f t="shared" si="6"/>
        <v>25299868901</v>
      </c>
      <c r="V23" s="2183">
        <f t="shared" si="6"/>
        <v>-4129683150.28667</v>
      </c>
      <c r="W23" s="364">
        <f>IF(K23=0,IF(K23=0,1,V23/V23),V23/K23)</f>
        <v>-0.470160858983719</v>
      </c>
      <c r="X23" s="2183">
        <f>SUM(X15:X22)</f>
        <v>-3252798395.636</v>
      </c>
      <c r="Y23" s="361">
        <f t="shared" si="1"/>
        <v>-0.17842471765294</v>
      </c>
      <c r="Z23" s="186"/>
    </row>
    <row r="24" ht="12" customHeight="1" spans="1:26">
      <c r="A24" s="137"/>
      <c r="B24" s="184"/>
      <c r="D24" s="1224"/>
      <c r="E24" s="4327"/>
      <c r="F24" s="161"/>
      <c r="G24" s="132"/>
      <c r="H24" s="161"/>
      <c r="I24" s="137"/>
      <c r="J24" s="161"/>
      <c r="K24" s="131"/>
      <c r="L24" s="309"/>
      <c r="M24" s="335"/>
      <c r="N24" s="335"/>
      <c r="O24" s="309"/>
      <c r="P24" s="184"/>
      <c r="Q24" s="161"/>
      <c r="R24" s="137"/>
      <c r="S24" s="161"/>
      <c r="T24" s="161"/>
      <c r="U24" s="137"/>
      <c r="V24" s="161"/>
      <c r="W24" s="364"/>
      <c r="X24" s="163"/>
      <c r="Y24" s="361"/>
      <c r="Z24" s="186"/>
    </row>
    <row r="25" spans="2:26">
      <c r="B25" s="3781"/>
      <c r="C25" s="4330"/>
      <c r="D25" s="137"/>
      <c r="E25" s="4327"/>
      <c r="F25" s="161"/>
      <c r="G25" s="132"/>
      <c r="H25" s="161"/>
      <c r="I25" s="137"/>
      <c r="J25" s="161"/>
      <c r="K25" s="131"/>
      <c r="L25" s="137"/>
      <c r="M25" s="335"/>
      <c r="N25" s="335"/>
      <c r="O25" s="309"/>
      <c r="P25" s="184"/>
      <c r="Q25" s="161"/>
      <c r="R25" s="137"/>
      <c r="S25" s="161"/>
      <c r="T25" s="161"/>
      <c r="U25" s="137"/>
      <c r="V25" s="161"/>
      <c r="W25" s="364"/>
      <c r="X25" s="163"/>
      <c r="Y25" s="361"/>
      <c r="Z25" s="186"/>
    </row>
    <row r="26" spans="2:26">
      <c r="B26" s="129"/>
      <c r="C26" s="5032" t="s">
        <v>781</v>
      </c>
      <c r="D26" s="137"/>
      <c r="E26" s="4327"/>
      <c r="F26" s="161"/>
      <c r="G26" s="132"/>
      <c r="H26" s="161"/>
      <c r="I26" s="137"/>
      <c r="J26" s="161"/>
      <c r="K26" s="131"/>
      <c r="L26" s="152"/>
      <c r="M26" s="335"/>
      <c r="N26" s="335"/>
      <c r="O26" s="309"/>
      <c r="P26" s="184"/>
      <c r="Q26" s="161"/>
      <c r="R26" s="137"/>
      <c r="S26" s="161"/>
      <c r="T26" s="161"/>
      <c r="U26" s="137"/>
      <c r="V26" s="161"/>
      <c r="W26" s="364"/>
      <c r="X26" s="161"/>
      <c r="Y26" s="361"/>
      <c r="Z26" s="186"/>
    </row>
    <row r="27" spans="2:26">
      <c r="B27" s="129"/>
      <c r="C27" s="5031" t="s">
        <v>567</v>
      </c>
      <c r="D27" s="137"/>
      <c r="E27" s="2134" t="s">
        <v>768</v>
      </c>
      <c r="F27" s="161">
        <v>10563354386</v>
      </c>
      <c r="G27" s="132"/>
      <c r="H27" s="161">
        <f>+AA!G26</f>
        <v>0</v>
      </c>
      <c r="I27" s="161">
        <f>+AA!H26</f>
        <v>0</v>
      </c>
      <c r="J27" s="161"/>
      <c r="K27" s="161">
        <f>F27-H27+I27</f>
        <v>10563354386</v>
      </c>
      <c r="L27" s="161">
        <v>8697841150</v>
      </c>
      <c r="M27" s="335"/>
      <c r="N27" s="230">
        <f>+AA!M26</f>
        <v>0</v>
      </c>
      <c r="O27" s="230">
        <f>+AA!N26</f>
        <v>0</v>
      </c>
      <c r="P27" s="184"/>
      <c r="Q27" s="161">
        <f>L27-N27+O27</f>
        <v>8697841150</v>
      </c>
      <c r="R27" s="184">
        <f>+AA!Q26</f>
        <v>10160488508.84</v>
      </c>
      <c r="S27" s="161">
        <v>10548527958</v>
      </c>
      <c r="T27" s="161">
        <v>1783762223</v>
      </c>
      <c r="U27" s="161">
        <v>1250000000</v>
      </c>
      <c r="V27" s="4348">
        <f>F27-Q27</f>
        <v>1865513236</v>
      </c>
      <c r="W27" s="364">
        <f>IF(K27=0,IF(K27=0,1,V27/V27),V27/K27)</f>
        <v>0.176602352608035</v>
      </c>
      <c r="X27" s="161">
        <f>L27-R27</f>
        <v>-1462647358.84</v>
      </c>
      <c r="Y27" s="361">
        <f t="shared" si="1"/>
        <v>-0.143954432660147</v>
      </c>
      <c r="Z27" s="186"/>
    </row>
    <row r="28" spans="2:26">
      <c r="B28" s="129"/>
      <c r="C28" s="5031" t="s">
        <v>782</v>
      </c>
      <c r="D28" s="137"/>
      <c r="E28" s="4327" t="s">
        <v>779</v>
      </c>
      <c r="F28" s="161">
        <v>1415336759</v>
      </c>
      <c r="G28" s="132"/>
      <c r="H28" s="161">
        <f>+II!H17</f>
        <v>0</v>
      </c>
      <c r="I28" s="161">
        <f>+II!I17</f>
        <v>0</v>
      </c>
      <c r="J28" s="161"/>
      <c r="K28" s="161">
        <f>F28-H28+I28</f>
        <v>1415336759</v>
      </c>
      <c r="L28" s="161">
        <v>423925049</v>
      </c>
      <c r="M28" s="335"/>
      <c r="N28" s="174">
        <f>+II!N17</f>
        <v>0</v>
      </c>
      <c r="O28" s="174">
        <f>+II!O17</f>
        <v>0</v>
      </c>
      <c r="P28" s="184"/>
      <c r="Q28" s="161">
        <f>L28-N28+O28</f>
        <v>423925049</v>
      </c>
      <c r="R28" s="184">
        <f>+II!R17</f>
        <v>1202317492.9388</v>
      </c>
      <c r="S28" s="161">
        <v>1040238403</v>
      </c>
      <c r="T28" s="161">
        <v>1040238403.27359</v>
      </c>
      <c r="U28" s="161">
        <v>617688903</v>
      </c>
      <c r="V28" s="4348">
        <f>F28-Q28</f>
        <v>991411710</v>
      </c>
      <c r="W28" s="364">
        <f>IF(K28=0,IF(K28=0,1,V28/V28),V28/K28)</f>
        <v>0.700477609795479</v>
      </c>
      <c r="X28" s="161">
        <f>L28-R28</f>
        <v>-778392443.938801</v>
      </c>
      <c r="Y28" s="361">
        <f t="shared" si="1"/>
        <v>-0.647410063074265</v>
      </c>
      <c r="Z28" s="186"/>
    </row>
    <row r="29" spans="2:26">
      <c r="B29" s="3781"/>
      <c r="C29" s="4328" t="s">
        <v>783</v>
      </c>
      <c r="D29" s="137"/>
      <c r="E29" s="4331" t="s">
        <v>784</v>
      </c>
      <c r="F29" s="161">
        <f>GG!E18</f>
        <v>838597000</v>
      </c>
      <c r="G29" s="132"/>
      <c r="H29" s="161">
        <f>+GG!G18</f>
        <v>838597000</v>
      </c>
      <c r="I29" s="161">
        <f>+GG!H18</f>
        <v>0</v>
      </c>
      <c r="J29" s="161"/>
      <c r="K29" s="137">
        <f>F29-H29+I29</f>
        <v>0</v>
      </c>
      <c r="L29" s="161">
        <f>+GG!K18</f>
        <v>838597000</v>
      </c>
      <c r="M29" s="2344"/>
      <c r="N29" s="174">
        <f>+GG!M18</f>
        <v>838597000</v>
      </c>
      <c r="O29" s="174">
        <f>+GG!N18</f>
        <v>0</v>
      </c>
      <c r="P29" s="161"/>
      <c r="Q29" s="161">
        <f>L29-N29+O29</f>
        <v>0</v>
      </c>
      <c r="R29" s="184">
        <f>+GG!Q18</f>
        <v>0</v>
      </c>
      <c r="S29" s="161">
        <v>2231105000</v>
      </c>
      <c r="T29" s="161">
        <v>321600000</v>
      </c>
      <c r="U29" s="161">
        <v>3473605348</v>
      </c>
      <c r="V29" s="4348">
        <f>F29-Q29</f>
        <v>838597000</v>
      </c>
      <c r="W29" s="364">
        <f>IF(K29=0,IF(K29=0,1,V29/V29),V29/K29)</f>
        <v>1</v>
      </c>
      <c r="X29" s="161">
        <f>L29-R29</f>
        <v>838597000</v>
      </c>
      <c r="Y29" s="361">
        <f t="shared" si="1"/>
        <v>1</v>
      </c>
      <c r="Z29" s="186"/>
    </row>
    <row r="30" spans="2:26">
      <c r="B30" s="129"/>
      <c r="C30" s="5031" t="s">
        <v>771</v>
      </c>
      <c r="D30" s="137"/>
      <c r="E30" s="2134" t="s">
        <v>772</v>
      </c>
      <c r="F30" s="161">
        <f>+DD!F27</f>
        <v>10872046379</v>
      </c>
      <c r="G30" s="132"/>
      <c r="H30" s="161">
        <f>+DD!H27</f>
        <v>2396795200</v>
      </c>
      <c r="I30" s="161">
        <f>+DD!I27</f>
        <v>838597000</v>
      </c>
      <c r="J30" s="161"/>
      <c r="K30" s="137">
        <f>F30-H30+I30</f>
        <v>9313848179</v>
      </c>
      <c r="L30" s="161">
        <f>+DD!L27</f>
        <v>19929512400.0357</v>
      </c>
      <c r="M30" s="2344"/>
      <c r="N30" s="174">
        <f>+DD!N27</f>
        <v>0</v>
      </c>
      <c r="O30" s="174">
        <f>+DD!O27</f>
        <v>838597000</v>
      </c>
      <c r="P30" s="184"/>
      <c r="Q30" s="161">
        <f>L30-N30+O30</f>
        <v>20768109400.0357</v>
      </c>
      <c r="R30" s="184">
        <f>+DD!R27</f>
        <v>22238067642.9259</v>
      </c>
      <c r="S30" s="184">
        <f>+DD!S27</f>
        <v>26504596868</v>
      </c>
      <c r="T30" s="184">
        <f>+DD!T27</f>
        <v>28945251994</v>
      </c>
      <c r="U30" s="161">
        <v>1209186630</v>
      </c>
      <c r="V30" s="4348">
        <f>F30-Q30</f>
        <v>-9896063021.0357</v>
      </c>
      <c r="W30" s="364">
        <f>IF(K30=0,IF(K30=0,1,V30/V30),V30/K30)</f>
        <v>-1.06251066485585</v>
      </c>
      <c r="X30" s="161">
        <f>L30-R30</f>
        <v>-2308555242.8902</v>
      </c>
      <c r="Y30" s="361">
        <f t="shared" si="1"/>
        <v>-0.10381096415203</v>
      </c>
      <c r="Z30" s="186"/>
    </row>
    <row r="31" spans="2:26">
      <c r="B31" s="129"/>
      <c r="C31" s="4328" t="s">
        <v>785</v>
      </c>
      <c r="D31" s="137"/>
      <c r="E31" s="4327" t="s">
        <v>786</v>
      </c>
      <c r="F31" s="161">
        <v>110000000</v>
      </c>
      <c r="G31" s="132"/>
      <c r="H31" s="161">
        <f>+z!H17</f>
        <v>0</v>
      </c>
      <c r="I31" s="161">
        <f>+z!I17</f>
        <v>0</v>
      </c>
      <c r="J31" s="161"/>
      <c r="K31" s="137">
        <f>F31-H31+I31</f>
        <v>110000000</v>
      </c>
      <c r="L31" s="161">
        <v>110000000</v>
      </c>
      <c r="M31" s="2344"/>
      <c r="N31" s="174">
        <f>+z!N17</f>
        <v>0</v>
      </c>
      <c r="O31" s="174">
        <f>+z!O17</f>
        <v>0</v>
      </c>
      <c r="P31" s="184"/>
      <c r="Q31" s="161">
        <f>L31-N31+O31</f>
        <v>110000000</v>
      </c>
      <c r="R31" s="184">
        <v>110000000</v>
      </c>
      <c r="S31" s="161">
        <v>110000000</v>
      </c>
      <c r="T31" s="161">
        <v>110000000</v>
      </c>
      <c r="U31" s="161">
        <v>110000000</v>
      </c>
      <c r="V31" s="4348">
        <f>F31-Q31</f>
        <v>0</v>
      </c>
      <c r="W31" s="364">
        <f>IF(K31=0,IF(K31=0,1,V31/V31),V31/K31)</f>
        <v>0</v>
      </c>
      <c r="X31" s="161">
        <f>L31-R31</f>
        <v>0</v>
      </c>
      <c r="Y31" s="361">
        <f t="shared" si="1"/>
        <v>0</v>
      </c>
      <c r="Z31" s="186"/>
    </row>
    <row r="32" spans="2:26">
      <c r="B32" s="109"/>
      <c r="C32" s="110"/>
      <c r="D32" s="110"/>
      <c r="E32" s="4327"/>
      <c r="F32" s="143"/>
      <c r="G32" s="132"/>
      <c r="H32" s="143"/>
      <c r="I32" s="143"/>
      <c r="J32" s="143"/>
      <c r="K32" s="143"/>
      <c r="L32" s="143"/>
      <c r="M32" s="143"/>
      <c r="N32" s="143"/>
      <c r="O32" s="143"/>
      <c r="P32" s="143"/>
      <c r="Q32" s="143"/>
      <c r="R32" s="110"/>
      <c r="S32" s="143"/>
      <c r="T32" s="143"/>
      <c r="U32" s="110"/>
      <c r="V32" s="161"/>
      <c r="X32" s="143"/>
      <c r="Y32" s="361">
        <f t="shared" si="1"/>
        <v>1</v>
      </c>
      <c r="Z32" s="186"/>
    </row>
    <row r="33" s="100" customFormat="1" spans="1:26">
      <c r="A33" s="130"/>
      <c r="B33" s="129" t="s">
        <v>787</v>
      </c>
      <c r="C33" s="130"/>
      <c r="D33" s="130"/>
      <c r="E33" s="131"/>
      <c r="F33" s="152">
        <f>SUM(F27:F32)</f>
        <v>23799334524</v>
      </c>
      <c r="G33" s="132"/>
      <c r="H33" s="152">
        <f>SUM(H27:H32)</f>
        <v>3235392200</v>
      </c>
      <c r="I33" s="100">
        <f>SUM(I27:I32)</f>
        <v>838597000</v>
      </c>
      <c r="J33" s="152"/>
      <c r="K33" s="100">
        <f>SUM(K27:K32)</f>
        <v>21402539324</v>
      </c>
      <c r="L33" s="129">
        <f>SUM(L27:L32)</f>
        <v>29999875599.0357</v>
      </c>
      <c r="M33" s="335"/>
      <c r="N33" s="152">
        <f>SUM(N27:N32)</f>
        <v>838597000</v>
      </c>
      <c r="O33" s="100">
        <f>SUM(O27:O32)</f>
        <v>838597000</v>
      </c>
      <c r="P33" s="152"/>
      <c r="Q33" s="129">
        <f>SUM(Q27:Q32)</f>
        <v>29999875599.0357</v>
      </c>
      <c r="R33" s="152">
        <f>SUM(R27:R32)</f>
        <v>33710873644.7047</v>
      </c>
      <c r="S33" s="152">
        <f>SUM(S27:S32)</f>
        <v>40434468229</v>
      </c>
      <c r="T33" s="152">
        <f>SUM(T27:T32)</f>
        <v>32200852620.2736</v>
      </c>
      <c r="U33" s="152">
        <f>SUM(U27:U32)</f>
        <v>6660480881</v>
      </c>
      <c r="V33" s="2518">
        <f>F33-Q33</f>
        <v>-6200541075.0357</v>
      </c>
      <c r="W33" s="364">
        <f>IF(K33=0,IF(K33=0,1,V33/V33),V33/K33)</f>
        <v>-0.289710532996552</v>
      </c>
      <c r="X33" s="152">
        <f>SUM(X27:X32)</f>
        <v>-3710998045.669</v>
      </c>
      <c r="Y33" s="361">
        <f t="shared" si="1"/>
        <v>-0.110083116942652</v>
      </c>
      <c r="Z33" s="248"/>
    </row>
    <row r="34" spans="1:27">
      <c r="A34" s="137"/>
      <c r="B34" s="109"/>
      <c r="C34" s="137"/>
      <c r="D34" s="137"/>
      <c r="E34" s="4327"/>
      <c r="F34" s="143"/>
      <c r="G34" s="132"/>
      <c r="H34" s="161"/>
      <c r="I34" s="161"/>
      <c r="J34" s="161"/>
      <c r="K34" s="309"/>
      <c r="L34" s="335"/>
      <c r="M34" s="335"/>
      <c r="N34" s="335"/>
      <c r="O34" s="335"/>
      <c r="P34" s="304"/>
      <c r="Q34" s="184"/>
      <c r="R34" s="335"/>
      <c r="S34" s="335"/>
      <c r="T34" s="335"/>
      <c r="U34" s="335"/>
      <c r="V34" s="335"/>
      <c r="W34" s="364"/>
      <c r="X34" s="335"/>
      <c r="Y34" s="361"/>
      <c r="Z34" s="186"/>
      <c r="AA34" s="137"/>
    </row>
    <row r="35" s="100" customFormat="1" spans="2:27">
      <c r="B35" s="363" t="s">
        <v>788</v>
      </c>
      <c r="C35" s="4329"/>
      <c r="D35" s="260"/>
      <c r="E35" s="131"/>
      <c r="F35" s="3782">
        <f>F23+F33</f>
        <v>34649933848.4458</v>
      </c>
      <c r="G35" s="132"/>
      <c r="H35" s="152">
        <f>H23+H33</f>
        <v>5380392200</v>
      </c>
      <c r="I35" s="152">
        <f>I23+I33</f>
        <v>916551370.800568</v>
      </c>
      <c r="J35" s="152"/>
      <c r="K35" s="363">
        <f>K23+K33</f>
        <v>30186093019.2464</v>
      </c>
      <c r="L35" s="2183">
        <f>L23+L33</f>
        <v>44977726176.3919</v>
      </c>
      <c r="M35" s="335"/>
      <c r="N35" s="161"/>
      <c r="O35" s="335"/>
      <c r="P35" s="152"/>
      <c r="Q35" s="363">
        <f>Q23+Q33</f>
        <v>44980158073.7682</v>
      </c>
      <c r="R35" s="363">
        <f>R23+R33</f>
        <v>51941522617.6969</v>
      </c>
      <c r="S35" s="363">
        <f>S23+S33</f>
        <v>81053783879.6137</v>
      </c>
      <c r="T35" s="363">
        <f>T23+T33</f>
        <v>70503089893.8784</v>
      </c>
      <c r="U35" s="363">
        <f>U23+U33</f>
        <v>31960349782</v>
      </c>
      <c r="V35" s="207">
        <f>F35-Q35</f>
        <v>-10330224225.3224</v>
      </c>
      <c r="W35" s="364">
        <f>IF(K35=0,IF(K35=0,1,V35/V35),V35/K35)</f>
        <v>-0.342217994847359</v>
      </c>
      <c r="X35" s="2183">
        <f>X23+X33</f>
        <v>-6963796441.305</v>
      </c>
      <c r="Y35" s="361">
        <f t="shared" si="1"/>
        <v>-0.134069932692585</v>
      </c>
      <c r="Z35" s="248"/>
      <c r="AA35" s="4232"/>
    </row>
    <row r="36" s="4308" customFormat="1" spans="2:25">
      <c r="B36" s="1081"/>
      <c r="C36"/>
      <c r="D36" t="s">
        <v>789</v>
      </c>
      <c r="E36" s="299"/>
      <c r="F36" s="161">
        <f>+F35/F47</f>
        <v>1.59118520512443</v>
      </c>
      <c r="G36" s="136"/>
      <c r="H36" s="161"/>
      <c r="I36" s="137"/>
      <c r="J36" s="161"/>
      <c r="K36" s="161">
        <f>+K35/K47</f>
        <v>1.39118225985124</v>
      </c>
      <c r="L36" s="161">
        <f>+L35/L47</f>
        <v>2.12608639842243</v>
      </c>
      <c r="M36" s="335"/>
      <c r="N36" s="161"/>
      <c r="O36" s="335"/>
      <c r="P36" s="152"/>
      <c r="Q36" s="161">
        <f>+Q35/Q47</f>
        <v>2.13168595614703</v>
      </c>
      <c r="R36" s="161">
        <f>+R35/R47</f>
        <v>2.48935068188938</v>
      </c>
      <c r="S36" s="161">
        <f>+S35/S47</f>
        <v>4.04441135219846</v>
      </c>
      <c r="T36" s="161">
        <f>+T35/T47</f>
        <v>3.65724566725837</v>
      </c>
      <c r="U36" s="161">
        <f>+U35/U47</f>
        <v>1.75545193039762</v>
      </c>
      <c r="V36" s="161"/>
      <c r="W36" s="161"/>
      <c r="X36" s="161"/>
      <c r="Y36" s="361"/>
    </row>
    <row r="37" spans="2:25">
      <c r="B37" s="184"/>
      <c r="C37" s="2558"/>
      <c r="D37"/>
      <c r="E37" s="299"/>
      <c r="F37" s="161"/>
      <c r="G37" s="136"/>
      <c r="H37" s="161"/>
      <c r="I37" s="137"/>
      <c r="J37" s="161"/>
      <c r="K37" s="101"/>
      <c r="L37" s="1245"/>
      <c r="M37" s="1245"/>
      <c r="N37" s="1245"/>
      <c r="O37" s="1245"/>
      <c r="P37" s="154"/>
      <c r="Q37" s="184"/>
      <c r="R37" s="2201"/>
      <c r="S37" s="2201"/>
      <c r="T37" s="2201"/>
      <c r="U37" s="2202"/>
      <c r="V37" s="2201"/>
      <c r="W37" s="364"/>
      <c r="X37" s="161"/>
      <c r="Y37" s="361"/>
    </row>
    <row r="38" spans="2:25">
      <c r="B38" s="129" t="s">
        <v>310</v>
      </c>
      <c r="C38" s="208"/>
      <c r="D38" s="134"/>
      <c r="E38" s="299"/>
      <c r="F38" s="161"/>
      <c r="G38" s="136"/>
      <c r="H38" s="161"/>
      <c r="I38" s="137"/>
      <c r="J38" s="161"/>
      <c r="K38" s="136"/>
      <c r="L38" s="161"/>
      <c r="M38" s="1245"/>
      <c r="N38" s="1245"/>
      <c r="O38" s="1245"/>
      <c r="P38" s="4343"/>
      <c r="Q38" s="184"/>
      <c r="R38" s="1245"/>
      <c r="S38" s="1245"/>
      <c r="T38" s="1245"/>
      <c r="U38" s="154"/>
      <c r="V38" s="2201"/>
      <c r="W38" s="364"/>
      <c r="X38" s="1245"/>
      <c r="Y38" s="361"/>
    </row>
    <row r="39" spans="2:25">
      <c r="B39" s="138"/>
      <c r="C39" s="5033" t="s">
        <v>510</v>
      </c>
      <c r="D39" s="298"/>
      <c r="E39" s="299" t="s">
        <v>790</v>
      </c>
      <c r="F39" s="161">
        <v>11000000000</v>
      </c>
      <c r="G39" s="136"/>
      <c r="H39" s="161">
        <f>+SS!G18</f>
        <v>0</v>
      </c>
      <c r="I39" s="161">
        <f>+SS!H18</f>
        <v>0</v>
      </c>
      <c r="J39" s="184"/>
      <c r="K39" s="184">
        <f t="shared" ref="K39:K43" si="7">F39-H39+I39</f>
        <v>11000000000</v>
      </c>
      <c r="L39" s="161">
        <v>11000000000</v>
      </c>
      <c r="M39" s="200"/>
      <c r="N39" s="335">
        <f>+SS!M18</f>
        <v>0</v>
      </c>
      <c r="O39" s="335">
        <f>+SS!N18</f>
        <v>0</v>
      </c>
      <c r="P39" s="2202"/>
      <c r="Q39" s="161">
        <f>L39-N39+O39</f>
        <v>11000000000</v>
      </c>
      <c r="R39" s="137">
        <v>11000000000</v>
      </c>
      <c r="S39" s="161">
        <f>+'[75]BS22'!J61</f>
        <v>11000000000</v>
      </c>
      <c r="T39" s="137">
        <f>+'[75]BS22'!K61</f>
        <v>11000000000</v>
      </c>
      <c r="U39" s="161">
        <v>11000000000</v>
      </c>
      <c r="V39" s="330">
        <f>F39-Q39</f>
        <v>0</v>
      </c>
      <c r="W39" s="364">
        <f>IF(K39=0,IF(K39=0,1,V39/V39),V39/K39)</f>
        <v>0</v>
      </c>
      <c r="X39" s="192">
        <f>L39-R39</f>
        <v>0</v>
      </c>
      <c r="Y39" s="361">
        <f t="shared" si="1"/>
        <v>0</v>
      </c>
    </row>
    <row r="40" hidden="1" spans="2:25">
      <c r="B40" s="138"/>
      <c r="C40" s="5033" t="s">
        <v>791</v>
      </c>
      <c r="D40" s="298"/>
      <c r="E40" s="299" t="s">
        <v>792</v>
      </c>
      <c r="F40" s="161">
        <v>0</v>
      </c>
      <c r="G40" s="136"/>
      <c r="H40" s="161">
        <v>0</v>
      </c>
      <c r="I40" s="137">
        <v>0</v>
      </c>
      <c r="J40" s="184"/>
      <c r="K40" s="184">
        <f t="shared" si="7"/>
        <v>0</v>
      </c>
      <c r="L40" s="161">
        <v>0</v>
      </c>
      <c r="M40" s="2205"/>
      <c r="N40" s="174"/>
      <c r="O40" s="174"/>
      <c r="P40" s="2202"/>
      <c r="Q40" s="161">
        <f>L40-N40+O40</f>
        <v>0</v>
      </c>
      <c r="R40" s="137">
        <v>0</v>
      </c>
      <c r="S40" s="161">
        <v>0</v>
      </c>
      <c r="T40" s="137">
        <v>0</v>
      </c>
      <c r="U40" s="161">
        <v>0</v>
      </c>
      <c r="V40" s="330">
        <f>F40-Q40</f>
        <v>0</v>
      </c>
      <c r="W40" s="364">
        <f>IF(K40=0,IF(K40=0,1,V40/V40),V40/K40)</f>
        <v>1</v>
      </c>
      <c r="X40" s="192">
        <f>L40-R40</f>
        <v>0</v>
      </c>
      <c r="Y40" s="361">
        <f t="shared" si="1"/>
        <v>1</v>
      </c>
    </row>
    <row r="41" hidden="1" spans="2:25">
      <c r="B41" s="138"/>
      <c r="C41" s="5033" t="s">
        <v>571</v>
      </c>
      <c r="D41" s="298"/>
      <c r="E41" s="299"/>
      <c r="F41" s="161">
        <v>0</v>
      </c>
      <c r="G41" s="136"/>
      <c r="H41" s="161">
        <v>0</v>
      </c>
      <c r="I41" s="137">
        <v>0</v>
      </c>
      <c r="J41" s="184"/>
      <c r="K41" s="184">
        <f t="shared" si="7"/>
        <v>0</v>
      </c>
      <c r="L41" s="2201">
        <v>0</v>
      </c>
      <c r="M41" s="3710"/>
      <c r="N41" s="335"/>
      <c r="O41" s="229"/>
      <c r="P41" s="4342"/>
      <c r="Q41" s="161">
        <f>L41-N41+O41</f>
        <v>0</v>
      </c>
      <c r="R41" s="137">
        <v>0</v>
      </c>
      <c r="S41" s="161">
        <v>0</v>
      </c>
      <c r="T41" s="137">
        <v>0</v>
      </c>
      <c r="U41" s="161">
        <v>0</v>
      </c>
      <c r="V41" s="330">
        <f>F41-Q41</f>
        <v>0</v>
      </c>
      <c r="W41" s="364">
        <f>IF(K41=0,IF(K41=0,1,V41/V41),V41/K41)</f>
        <v>1</v>
      </c>
      <c r="X41" s="192">
        <f>L41-R41</f>
        <v>0</v>
      </c>
      <c r="Y41" s="361">
        <f t="shared" si="1"/>
        <v>1</v>
      </c>
    </row>
    <row r="42" spans="2:26">
      <c r="B42" s="138"/>
      <c r="C42" s="134" t="s">
        <v>793</v>
      </c>
      <c r="D42" s="298"/>
      <c r="E42" s="299"/>
      <c r="F42" s="161">
        <f>SUM(Q42:Q43)</f>
        <v>10100743261.0142</v>
      </c>
      <c r="G42" s="136"/>
      <c r="H42" s="161">
        <v>0</v>
      </c>
      <c r="I42" s="137">
        <v>0</v>
      </c>
      <c r="J42" s="184"/>
      <c r="K42" s="184">
        <f t="shared" si="7"/>
        <v>10100743261.0142</v>
      </c>
      <c r="L42" s="174">
        <f>SUM(R42:R43)</f>
        <v>9865490344.76497</v>
      </c>
      <c r="M42" s="4342"/>
      <c r="N42" s="335"/>
      <c r="O42" s="174"/>
      <c r="P42" s="4342"/>
      <c r="Q42" s="161">
        <f>L42-N42+O42</f>
        <v>9865490344.76497</v>
      </c>
      <c r="R42" s="184">
        <f>SUM(S42:S43)</f>
        <v>9040934717.37351</v>
      </c>
      <c r="S42" s="161">
        <f>SUM(T42:T43)</f>
        <v>8277646706.93576</v>
      </c>
      <c r="T42" s="137">
        <f>SUM(U42:U43)</f>
        <v>7206337199.31076</v>
      </c>
      <c r="U42" s="161">
        <v>6482926183.31076</v>
      </c>
      <c r="V42" s="330">
        <f>F42-Q42</f>
        <v>235252916.249275</v>
      </c>
      <c r="W42" s="364">
        <f>IF(K42=0,IF(K42=0,1,V42/V42),V42/K42)</f>
        <v>0.0232906539816014</v>
      </c>
      <c r="X42" s="192">
        <f>L42-R42</f>
        <v>824555627.39146</v>
      </c>
      <c r="Y42" s="361">
        <f t="shared" si="1"/>
        <v>0.0912024755368439</v>
      </c>
      <c r="Z42" s="101">
        <f>SUM(Q42:Q45)</f>
        <v>10100743261.0142</v>
      </c>
    </row>
    <row r="43" spans="2:26">
      <c r="B43" s="138"/>
      <c r="C43" s="134" t="s">
        <v>794</v>
      </c>
      <c r="D43" s="298"/>
      <c r="E43" s="299" t="s">
        <v>621</v>
      </c>
      <c r="F43" s="161">
        <f>+'F3'!F39</f>
        <v>675435738.674405</v>
      </c>
      <c r="G43" s="136"/>
      <c r="H43" s="161">
        <f>'F3'!H44</f>
        <v>106221085.185568</v>
      </c>
      <c r="I43" s="161">
        <f>+'F3'!I44</f>
        <v>28200472.36</v>
      </c>
      <c r="J43" s="184"/>
      <c r="K43" s="184">
        <f t="shared" si="7"/>
        <v>597415125.848837</v>
      </c>
      <c r="L43" s="2201">
        <f>+'F3'!L39</f>
        <v>289682939.71</v>
      </c>
      <c r="M43" s="140"/>
      <c r="N43" s="161">
        <f>-'F3'!N51</f>
        <v>54430023.460725</v>
      </c>
      <c r="O43" s="161">
        <f>-'F3'!O51</f>
        <v>0</v>
      </c>
      <c r="P43" s="2205"/>
      <c r="Q43" s="161">
        <f>L43-N43+O43</f>
        <v>235252916.249275</v>
      </c>
      <c r="R43" s="101">
        <f>+'F3'!R39</f>
        <v>824555627.39146</v>
      </c>
      <c r="S43" s="161">
        <f>+'[75]BS22'!J65</f>
        <v>763288010.437753</v>
      </c>
      <c r="T43" s="161">
        <f>+'[75]BS22'!K65</f>
        <v>1071309507.625</v>
      </c>
      <c r="U43" s="161">
        <v>723411016</v>
      </c>
      <c r="V43" s="4348">
        <f>F43-Q43</f>
        <v>440182822.42513</v>
      </c>
      <c r="W43" s="724">
        <f>IF(K43=0,IF(K43=0,1,V43/V43),V43/K43)</f>
        <v>0.736812315891227</v>
      </c>
      <c r="X43" s="192">
        <f>L43-R43</f>
        <v>-534872687.681461</v>
      </c>
      <c r="Y43" s="361">
        <f t="shared" si="1"/>
        <v>-0.648679931241956</v>
      </c>
      <c r="Z43" s="101" t="e">
        <f>SUM(#REF!)</f>
        <v>#REF!</v>
      </c>
    </row>
    <row r="44" hidden="1" spans="2:26">
      <c r="B44" s="138"/>
      <c r="C44" s="134" t="str">
        <f>+'[77]Table 1'!$E$157</f>
        <v>Deviden</v>
      </c>
      <c r="D44" s="298"/>
      <c r="E44" s="299"/>
      <c r="F44" s="161">
        <v>0</v>
      </c>
      <c r="G44" s="136"/>
      <c r="H44" s="161"/>
      <c r="I44" s="137"/>
      <c r="J44" s="161"/>
      <c r="K44" s="137">
        <f t="shared" ref="K44" si="8">F44-H44+I44</f>
        <v>0</v>
      </c>
      <c r="L44" s="2201"/>
      <c r="M44" s="140"/>
      <c r="N44" s="231"/>
      <c r="O44" s="174"/>
      <c r="P44" s="2205"/>
      <c r="Q44" s="161"/>
      <c r="R44" s="4351"/>
      <c r="S44" s="4348"/>
      <c r="T44" s="4348"/>
      <c r="U44" s="4351"/>
      <c r="V44" s="161"/>
      <c r="W44" s="724"/>
      <c r="X44" s="192"/>
      <c r="Y44" s="361"/>
      <c r="Z44" s="101" t="e">
        <f>Z42-Z43</f>
        <v>#REF!</v>
      </c>
    </row>
    <row r="45" spans="2:25">
      <c r="B45" s="138"/>
      <c r="C45" s="134"/>
      <c r="D45" s="298"/>
      <c r="E45" s="299"/>
      <c r="F45" s="161"/>
      <c r="G45" s="136"/>
      <c r="H45" s="161"/>
      <c r="I45" s="137"/>
      <c r="J45" s="161"/>
      <c r="K45" s="329"/>
      <c r="L45" s="230"/>
      <c r="M45" s="174"/>
      <c r="N45" s="174"/>
      <c r="O45" s="174"/>
      <c r="P45" s="231"/>
      <c r="Q45" s="174"/>
      <c r="R45" s="174"/>
      <c r="S45" s="174"/>
      <c r="T45" s="174"/>
      <c r="U45" s="229"/>
      <c r="V45" s="174"/>
      <c r="W45" s="724"/>
      <c r="X45" s="156"/>
      <c r="Y45" s="361"/>
    </row>
    <row r="46" spans="2:25">
      <c r="B46" s="141"/>
      <c r="C46" s="146"/>
      <c r="D46" s="110"/>
      <c r="E46" s="147"/>
      <c r="F46" s="143"/>
      <c r="G46" s="136"/>
      <c r="H46" s="143"/>
      <c r="I46" s="136"/>
      <c r="J46" s="161"/>
      <c r="K46" s="136"/>
      <c r="L46" s="174"/>
      <c r="M46" s="230"/>
      <c r="N46" s="231"/>
      <c r="O46" s="174"/>
      <c r="P46" s="231"/>
      <c r="Q46" s="161"/>
      <c r="R46" s="229"/>
      <c r="S46" s="174"/>
      <c r="T46" s="174"/>
      <c r="U46" s="229"/>
      <c r="V46" s="174"/>
      <c r="W46"/>
      <c r="X46" s="156"/>
      <c r="Y46" s="361"/>
    </row>
    <row r="47" s="100" customFormat="1" spans="2:25">
      <c r="B47" s="4332" t="s">
        <v>310</v>
      </c>
      <c r="C47" s="4333"/>
      <c r="D47"/>
      <c r="E47" s="3014"/>
      <c r="F47" s="2518">
        <f>SUM(F39:F45)</f>
        <v>21776178999.6887</v>
      </c>
      <c r="H47" s="2518">
        <f>SUM(H39:H45)</f>
        <v>106221085.185568</v>
      </c>
      <c r="I47" s="4344">
        <f>SUM(I39:I45)</f>
        <v>28200472.36</v>
      </c>
      <c r="J47" s="135"/>
      <c r="K47" s="4344">
        <f>SUM(K39:K45)</f>
        <v>21698158386.8631</v>
      </c>
      <c r="L47" s="4344">
        <f>SUM(L39:L45)</f>
        <v>21155173284.475</v>
      </c>
      <c r="M47" s="4344"/>
      <c r="N47" s="4344">
        <f>SUM(N39:N45)</f>
        <v>54430023.460725</v>
      </c>
      <c r="O47" s="4344">
        <f>SUM(O39:O45)</f>
        <v>0</v>
      </c>
      <c r="Q47" s="4344">
        <f>SUM(Q39:Q45)</f>
        <v>21100743261.0143</v>
      </c>
      <c r="R47" s="4344">
        <f>SUM(R39:R45)</f>
        <v>20865490344.765</v>
      </c>
      <c r="S47" s="4344">
        <f>SUM(S39:S45)</f>
        <v>20040934717.3735</v>
      </c>
      <c r="T47" s="4344">
        <f>SUM(T39:T45)</f>
        <v>19277646706.9358</v>
      </c>
      <c r="U47" s="4344">
        <f>SUM(U39:U45)</f>
        <v>18206337199.3108</v>
      </c>
      <c r="V47" s="2518">
        <f>F47-Q47</f>
        <v>675435738.674404</v>
      </c>
      <c r="W47" s="2672">
        <f>IF(K47=0,IF(K47=0,1,V47/V47),V47/K47)</f>
        <v>0.0311287127060211</v>
      </c>
      <c r="X47" s="2518">
        <f>SUM(X39:X45)</f>
        <v>289682939.71</v>
      </c>
      <c r="Y47">
        <f>IF(R47=0,IF(R47=0,1,X47/X47),X47/R47)</f>
        <v>0.0138833516453966</v>
      </c>
    </row>
    <row r="48" spans="2:25">
      <c r="B48" s="141"/>
      <c r="C48" s="146"/>
      <c r="D48" s="146"/>
      <c r="E48" s="147"/>
      <c r="F48" s="2180"/>
      <c r="G48" s="329"/>
      <c r="H48" s="143"/>
      <c r="I48" s="184"/>
      <c r="J48" s="147"/>
      <c r="K48" s="137"/>
      <c r="L48" s="143"/>
      <c r="M48" s="230"/>
      <c r="N48" s="143"/>
      <c r="O48" s="161"/>
      <c r="P48" s="2180"/>
      <c r="Q48" s="191"/>
      <c r="R48" s="191"/>
      <c r="S48" s="191"/>
      <c r="T48" s="191"/>
      <c r="U48" s="191"/>
      <c r="V48" s="2380"/>
      <c r="W48" s="724"/>
      <c r="X48" s="171"/>
      <c r="Y48" s="361"/>
    </row>
    <row r="49" s="100" customFormat="1" spans="2:25">
      <c r="B49" s="363" t="s">
        <v>573</v>
      </c>
      <c r="C49" s="260"/>
      <c r="D49" s="260"/>
      <c r="E49" s="4283"/>
      <c r="F49" s="3782">
        <f>F35+F47</f>
        <v>56426112848.1345</v>
      </c>
      <c r="G49" s="4267"/>
      <c r="H49" s="207">
        <f>H35+H47</f>
        <v>5486613285.18557</v>
      </c>
      <c r="I49" s="363">
        <f>I35+I47</f>
        <v>944751843.160568</v>
      </c>
      <c r="J49" s="207"/>
      <c r="K49" s="4267">
        <f>K35+K47</f>
        <v>51884251406.1095</v>
      </c>
      <c r="L49" s="4267">
        <f>L35+L47</f>
        <v>66132899460.8669</v>
      </c>
      <c r="M49" s="207">
        <f>M35+M47+M23</f>
        <v>0</v>
      </c>
      <c r="N49" s="207">
        <f>N35+N47</f>
        <v>54430023.460725</v>
      </c>
      <c r="O49" s="207">
        <f>O35+O47</f>
        <v>0</v>
      </c>
      <c r="P49" s="260"/>
      <c r="Q49" s="4267">
        <f>Q35+Q47</f>
        <v>66080901334.7825</v>
      </c>
      <c r="R49" s="4267">
        <f>R35+R47</f>
        <v>72807012962.4618</v>
      </c>
      <c r="S49" s="4267">
        <f>S35+S47</f>
        <v>101094718596.987</v>
      </c>
      <c r="T49" s="4267">
        <f>T35+T47</f>
        <v>89780736600.8142</v>
      </c>
      <c r="U49" s="4267">
        <f>U35+U47</f>
        <v>50166686981.3108</v>
      </c>
      <c r="V49" s="4267">
        <f>F49-Q49</f>
        <v>-9654788486.64796</v>
      </c>
      <c r="W49" s="4352">
        <f>IF(K49=0,IF(K49=0,1,V49/V49),V49/K49)</f>
        <v>-0.186083218413962</v>
      </c>
      <c r="X49" s="207">
        <f>X35+X47</f>
        <v>-6674113501.595</v>
      </c>
      <c r="Y49" s="361">
        <f>IF(R49=0,IF(R49=0,1,X49/X49),X49/R49)</f>
        <v>-0.0916685526576412</v>
      </c>
    </row>
    <row r="50" spans="2:25">
      <c r="B50" s="141"/>
      <c r="C50" s="146"/>
      <c r="D50" s="146"/>
      <c r="E50" s="147"/>
      <c r="F50" s="236">
        <f>F49-'F1'!E40</f>
        <v>0.078277587890625</v>
      </c>
      <c r="G50" s="1273"/>
      <c r="H50" s="147"/>
      <c r="I50" s="4345"/>
      <c r="J50" s="147"/>
      <c r="K50" s="201">
        <f>K49-'F1'!J40</f>
        <v>0.0782699584960937</v>
      </c>
      <c r="L50" s="146">
        <f>L49-'F1'!K40</f>
        <v>-0.367416381835937</v>
      </c>
      <c r="M50" s="236"/>
      <c r="N50" s="201"/>
      <c r="O50" s="201"/>
      <c r="P50" s="146"/>
      <c r="Q50" s="142">
        <f>Q49-'F1'!P40</f>
        <v>-0.367416381835937</v>
      </c>
      <c r="R50" s="4353">
        <f>R49-'F1'!Q40</f>
        <v>0.177474975585937</v>
      </c>
      <c r="S50" s="146">
        <f>S49-'F1'!R40</f>
        <v>0.277130126953125</v>
      </c>
      <c r="T50" s="146">
        <f>T49-'F1'!S40</f>
        <v>0</v>
      </c>
      <c r="U50" s="146">
        <f>U49-'F1'!T40</f>
        <v>-0.0474014282226563</v>
      </c>
      <c r="V50" s="236">
        <f>V49-'F1'!U40</f>
        <v>0.445693969726562</v>
      </c>
      <c r="W50" s="1086"/>
      <c r="X50" s="236">
        <f>X49-'F1'!W40</f>
        <v>7793759999.45511</v>
      </c>
      <c r="Y50" s="3823"/>
    </row>
    <row r="51" spans="3:23">
      <c r="C51" s="94"/>
      <c r="D51" t="s">
        <v>795</v>
      </c>
      <c r="F51"/>
      <c r="L51"/>
      <c r="Q51" s="725" t="s">
        <v>650</v>
      </c>
      <c r="R51" s="725" t="s">
        <v>650</v>
      </c>
      <c r="S51" s="725"/>
      <c r="T51" s="725"/>
      <c r="U51" s="725"/>
      <c r="V51"/>
      <c r="W51" s="724"/>
    </row>
    <row r="52" spans="4:24">
      <c r="D52" s="101" t="s">
        <v>796</v>
      </c>
      <c r="L52" s="2423"/>
      <c r="N52" s="186"/>
      <c r="O52" s="186"/>
      <c r="P52" s="186"/>
      <c r="Q52" s="2423"/>
      <c r="X52" s="101">
        <f>+X49-'F1'!W40</f>
        <v>7793759999.45511</v>
      </c>
    </row>
    <row r="53" spans="12:12">
      <c r="L53" s="2840"/>
    </row>
    <row r="54" spans="3:4">
      <c r="C54" t="s">
        <v>649</v>
      </c>
      <c r="D54" s="2879" t="str">
        <f>+'F1'!C46</f>
        <v>Sesuai dengan Saldo Buku Besar Periode 31 Desember 2022 &amp; 2021</v>
      </c>
    </row>
    <row r="55" spans="3:4">
      <c r="C55" t="s">
        <v>650</v>
      </c>
      <c r="D55" s="2879" t="str">
        <f>+'F1'!C47</f>
        <v>Sesuai dengan Saldo Audit Periode Sebelumnya</v>
      </c>
    </row>
    <row r="56" spans="3:4">
      <c r="C56" t="s">
        <v>187</v>
      </c>
      <c r="D56" s="2879" t="str">
        <f>+'F1'!C48</f>
        <v>Rumus dan Formula Perhitungan telah Diperiksa</v>
      </c>
    </row>
    <row r="57" spans="3:4">
      <c r="C57" t="s">
        <v>651</v>
      </c>
      <c r="D57" s="2879" t="str">
        <f>+'F1'!C49</f>
        <v>Check to Bank Statements as of December 31, 2022 &amp; 2021</v>
      </c>
    </row>
    <row r="58" spans="2:25">
      <c r="B58"/>
      <c r="C58"/>
      <c r="D58"/>
      <c r="E58" s="2542"/>
      <c r="F58"/>
      <c r="G58"/>
      <c r="H58"/>
      <c r="I58"/>
      <c r="J58"/>
      <c r="K58"/>
      <c r="L58"/>
      <c r="M58"/>
      <c r="N58"/>
      <c r="O58"/>
      <c r="P58"/>
      <c r="Q58"/>
      <c r="R58"/>
      <c r="S58"/>
      <c r="T58"/>
      <c r="U58"/>
      <c r="V58"/>
      <c r="W58"/>
      <c r="X58"/>
      <c r="Y58"/>
    </row>
    <row r="59" spans="2:25">
      <c r="B59"/>
      <c r="C59"/>
      <c r="D59"/>
      <c r="E59" s="2542"/>
      <c r="F59"/>
      <c r="G59"/>
      <c r="H59"/>
      <c r="I59"/>
      <c r="J59"/>
      <c r="K59"/>
      <c r="L59"/>
      <c r="M59"/>
      <c r="N59"/>
      <c r="O59"/>
      <c r="P59"/>
      <c r="Q59"/>
      <c r="R59"/>
      <c r="S59"/>
      <c r="T59"/>
      <c r="U59"/>
      <c r="V59"/>
      <c r="W59"/>
      <c r="X59"/>
      <c r="Y59"/>
    </row>
    <row r="60" spans="2:25">
      <c r="B60"/>
      <c r="C60"/>
      <c r="D60"/>
      <c r="E60" s="2542"/>
      <c r="F60"/>
      <c r="G60"/>
      <c r="H60"/>
      <c r="I60"/>
      <c r="J60"/>
      <c r="K60"/>
      <c r="L60"/>
      <c r="M60"/>
      <c r="N60"/>
      <c r="O60"/>
      <c r="P60"/>
      <c r="Q60"/>
      <c r="R60"/>
      <c r="S60"/>
      <c r="T60"/>
      <c r="U60"/>
      <c r="V60"/>
      <c r="W60"/>
      <c r="X60"/>
      <c r="Y60"/>
    </row>
    <row r="61" spans="2:25">
      <c r="B61"/>
      <c r="C61"/>
      <c r="D61"/>
      <c r="E61" s="2542"/>
      <c r="F61" t="s">
        <v>797</v>
      </c>
      <c r="G61"/>
      <c r="H61" t="s">
        <v>798</v>
      </c>
      <c r="I61" t="s">
        <v>146</v>
      </c>
      <c r="J61"/>
      <c r="K61"/>
      <c r="L61"/>
      <c r="M61"/>
      <c r="N61"/>
      <c r="O61"/>
      <c r="P61"/>
      <c r="Q61"/>
      <c r="R61"/>
      <c r="S61"/>
      <c r="T61"/>
      <c r="U61"/>
      <c r="V61"/>
      <c r="W61"/>
      <c r="X61"/>
      <c r="Y61"/>
    </row>
    <row r="62" spans="2:25">
      <c r="B62"/>
      <c r="C62"/>
      <c r="D62" s="101" t="s">
        <v>799</v>
      </c>
      <c r="E62" s="2542"/>
      <c r="F62">
        <f>+U42</f>
        <v>6482926183.31076</v>
      </c>
      <c r="G62"/>
      <c r="H62">
        <v>6482926183.31076</v>
      </c>
      <c r="I62">
        <f>+F62-H62</f>
        <v>0</v>
      </c>
      <c r="J62"/>
      <c r="K62"/>
      <c r="L62"/>
      <c r="M62"/>
      <c r="N62"/>
      <c r="O62"/>
      <c r="P62"/>
      <c r="Q62"/>
      <c r="R62"/>
      <c r="S62"/>
      <c r="T62"/>
      <c r="U62"/>
      <c r="V62"/>
      <c r="W62"/>
      <c r="X62"/>
      <c r="Y62"/>
    </row>
    <row r="63" spans="2:25">
      <c r="B63"/>
      <c r="C63"/>
      <c r="D63" s="101" t="s">
        <v>800</v>
      </c>
      <c r="E63" s="2542"/>
      <c r="F63" s="164">
        <f>+U43</f>
        <v>723411016</v>
      </c>
      <c r="G63"/>
      <c r="H63" s="164">
        <v>723411016</v>
      </c>
      <c r="I63">
        <f t="shared" ref="I63:I74" si="9">+F63-H63</f>
        <v>0</v>
      </c>
      <c r="J63"/>
      <c r="K63"/>
      <c r="L63"/>
      <c r="M63"/>
      <c r="N63"/>
      <c r="O63"/>
      <c r="P63"/>
      <c r="Q63"/>
      <c r="R63"/>
      <c r="S63"/>
      <c r="T63"/>
      <c r="U63"/>
      <c r="V63"/>
      <c r="W63"/>
      <c r="X63"/>
      <c r="Y63"/>
    </row>
    <row r="64" spans="2:25">
      <c r="B64"/>
      <c r="C64"/>
      <c r="D64" s="101" t="s">
        <v>801</v>
      </c>
      <c r="E64" s="2542"/>
      <c r="F64">
        <f>SUM(F62:F63)</f>
        <v>7206337199.31076</v>
      </c>
      <c r="G64"/>
      <c r="H64">
        <f>SUM(H62:H63)</f>
        <v>7206337199.31076</v>
      </c>
      <c r="I64">
        <f t="shared" si="9"/>
        <v>0</v>
      </c>
      <c r="J64"/>
      <c r="K64"/>
      <c r="L64"/>
      <c r="M64"/>
      <c r="N64"/>
      <c r="O64"/>
      <c r="P64"/>
      <c r="Q64"/>
      <c r="R64"/>
      <c r="S64"/>
      <c r="T64"/>
      <c r="U64"/>
      <c r="V64"/>
      <c r="W64"/>
      <c r="X64"/>
      <c r="Y64"/>
    </row>
    <row r="65" spans="2:25">
      <c r="B65"/>
      <c r="C65"/>
      <c r="D65" s="101" t="s">
        <v>802</v>
      </c>
      <c r="E65" s="2542"/>
      <c r="F65" s="164">
        <f>+T43</f>
        <v>1071309507.625</v>
      </c>
      <c r="G65"/>
      <c r="H65" s="164">
        <f>+'[75]BS22'!$K$65</f>
        <v>1071309507.625</v>
      </c>
      <c r="I65">
        <f t="shared" si="9"/>
        <v>0</v>
      </c>
      <c r="J65"/>
      <c r="K65"/>
      <c r="L65"/>
      <c r="M65"/>
      <c r="N65"/>
      <c r="O65"/>
      <c r="P65"/>
      <c r="Q65"/>
      <c r="R65"/>
      <c r="S65"/>
      <c r="T65"/>
      <c r="U65"/>
      <c r="V65"/>
      <c r="W65"/>
      <c r="X65"/>
      <c r="Y65"/>
    </row>
    <row r="66" spans="2:25">
      <c r="B66"/>
      <c r="C66"/>
      <c r="D66" s="101" t="s">
        <v>803</v>
      </c>
      <c r="E66" s="2542"/>
      <c r="F66">
        <f>SUM(F64:F65)</f>
        <v>8277646706.93576</v>
      </c>
      <c r="G66"/>
      <c r="H66">
        <f>SUM(H64:H65)</f>
        <v>8277646706.93576</v>
      </c>
      <c r="I66">
        <f t="shared" si="9"/>
        <v>0</v>
      </c>
      <c r="J66"/>
      <c r="K66"/>
      <c r="L66"/>
      <c r="M66"/>
      <c r="N66"/>
      <c r="O66"/>
      <c r="P66"/>
      <c r="Q66"/>
      <c r="R66"/>
      <c r="S66"/>
      <c r="T66"/>
      <c r="U66"/>
      <c r="V66"/>
      <c r="W66"/>
      <c r="X66"/>
      <c r="Y66"/>
    </row>
    <row r="67" spans="2:25">
      <c r="B67"/>
      <c r="C67"/>
      <c r="D67" s="101" t="s">
        <v>804</v>
      </c>
      <c r="E67" s="2542"/>
      <c r="F67" s="164">
        <f>+S43</f>
        <v>763288010.437753</v>
      </c>
      <c r="G67"/>
      <c r="H67" s="164">
        <f>+'[75]BS22'!$J$65</f>
        <v>763288010.437753</v>
      </c>
      <c r="I67">
        <f t="shared" si="9"/>
        <v>0</v>
      </c>
      <c r="J67"/>
      <c r="K67"/>
      <c r="L67"/>
      <c r="M67"/>
      <c r="N67"/>
      <c r="O67"/>
      <c r="P67"/>
      <c r="Q67"/>
      <c r="R67"/>
      <c r="S67"/>
      <c r="T67"/>
      <c r="U67"/>
      <c r="V67"/>
      <c r="W67"/>
      <c r="X67"/>
      <c r="Y67"/>
    </row>
    <row r="68" spans="2:25">
      <c r="B68"/>
      <c r="C68"/>
      <c r="D68" s="101" t="s">
        <v>805</v>
      </c>
      <c r="E68" s="2542"/>
      <c r="F68">
        <f>SUM(F66:F67)</f>
        <v>9040934717.37351</v>
      </c>
      <c r="G68"/>
      <c r="H68">
        <f>SUM(H66:H67)</f>
        <v>9040934717.37351</v>
      </c>
      <c r="I68">
        <f t="shared" si="9"/>
        <v>0</v>
      </c>
      <c r="J68"/>
      <c r="K68"/>
      <c r="L68"/>
      <c r="M68"/>
      <c r="N68"/>
      <c r="O68"/>
      <c r="P68"/>
      <c r="Q68"/>
      <c r="R68"/>
      <c r="S68"/>
      <c r="T68"/>
      <c r="U68"/>
      <c r="V68"/>
      <c r="W68"/>
      <c r="X68"/>
      <c r="Y68"/>
    </row>
    <row r="69" spans="4:9">
      <c r="D69" s="101" t="s">
        <v>806</v>
      </c>
      <c r="F69" s="164">
        <f>+R43</f>
        <v>824555627.39146</v>
      </c>
      <c r="H69" s="164">
        <f>+'[75]BS22'!$I$65</f>
        <v>911715314.124995</v>
      </c>
      <c r="I69">
        <f t="shared" si="9"/>
        <v>-87159686.7335351</v>
      </c>
    </row>
    <row r="70" spans="4:9">
      <c r="D70" s="101" t="s">
        <v>807</v>
      </c>
      <c r="F70">
        <f>SUM(F68:F69)</f>
        <v>9865490344.76497</v>
      </c>
      <c r="H70">
        <f>SUM(H68:H69)</f>
        <v>9952650031.49851</v>
      </c>
      <c r="I70">
        <f t="shared" si="9"/>
        <v>-87159686.7335358</v>
      </c>
    </row>
    <row r="71" spans="4:9">
      <c r="D71" s="101" t="s">
        <v>808</v>
      </c>
      <c r="F71" s="164">
        <f>+L43</f>
        <v>289682939.71</v>
      </c>
      <c r="H71" s="164">
        <f>+'[75]BS22'!$H$65</f>
        <v>257165987.91625</v>
      </c>
      <c r="I71">
        <f t="shared" si="9"/>
        <v>32516951.7937497</v>
      </c>
    </row>
    <row r="72" spans="4:9">
      <c r="D72" s="101" t="s">
        <v>809</v>
      </c>
      <c r="F72">
        <f>SUM(F70:F71)</f>
        <v>10155173284.475</v>
      </c>
      <c r="H72">
        <f>SUM(H70:H71)</f>
        <v>10209816019.4148</v>
      </c>
      <c r="I72">
        <f t="shared" si="9"/>
        <v>-54642734.9397869</v>
      </c>
    </row>
    <row r="73" spans="4:9">
      <c r="D73" s="101" t="s">
        <v>810</v>
      </c>
      <c r="F73" s="164">
        <f>+F43</f>
        <v>675435738.674405</v>
      </c>
      <c r="H73" s="164">
        <f>+'[75]BS22'!$F$65</f>
        <v>508396704.935399</v>
      </c>
      <c r="I73">
        <f t="shared" si="9"/>
        <v>167039033.739006</v>
      </c>
    </row>
    <row r="74" spans="4:9">
      <c r="D74" s="101" t="s">
        <v>811</v>
      </c>
      <c r="F74">
        <f>SUM(F72:F73)</f>
        <v>10830609023.1494</v>
      </c>
      <c r="H74">
        <f>SUM(H72:H73)</f>
        <v>10718212724.3502</v>
      </c>
      <c r="I74">
        <f t="shared" si="9"/>
        <v>112396298.799219</v>
      </c>
    </row>
    <row r="75" spans="6:6">
      <c r="F75"/>
    </row>
  </sheetData>
  <mergeCells count="6">
    <mergeCell ref="N9:O9"/>
    <mergeCell ref="V10:W10"/>
    <mergeCell ref="X10:Y10"/>
    <mergeCell ref="H11:I11"/>
    <mergeCell ref="N11:O11"/>
    <mergeCell ref="E10:E11"/>
  </mergeCells>
  <hyperlinks>
    <hyperlink ref="E16" location="BB!A1" display="BB"/>
    <hyperlink ref="E15" location="AA!A1" display="AA"/>
    <hyperlink ref="E27" location="AA!A1" display="AA"/>
    <hyperlink ref="E19" location="CC!A1" display="CC"/>
    <hyperlink ref="E21" location="II!A1" display="II"/>
    <hyperlink ref="E17" location="DD!A1" display="DD"/>
    <hyperlink ref="E30" location="DD!A1" display="DD"/>
    <hyperlink ref="E18" location="FF!A1" display="FF"/>
    <hyperlink ref="E29" location="GG!A1" display="GG"/>
  </hyperlinks>
  <printOptions horizontalCentered="1" gridLines="1"/>
  <pageMargins left="0.511811023622047" right="0.511811023622047" top="0.590551181102362" bottom="0.590551181102362" header="0.511811023622047" footer="0.31496062992126"/>
  <pageSetup paperSize="9" scale="56" fitToHeight="2" orientation="landscape"/>
  <headerFooter alignWithMargins="0">
    <oddFooter>&amp;R&amp;"Arial,Bold"&amp;28F2</oddFooter>
  </headerFooter>
  <drawing r:id="rId1"/>
  <legacyDrawing r:id="rId2"/>
  <oleObjects>
    <mc:AlternateContent xmlns:mc="http://schemas.openxmlformats.org/markup-compatibility/2006">
      <mc:Choice Requires="x14">
        <oleObject shapeId="16391" progId="Paint.Picture" r:id="rId3">
          <objectPr defaultSize="0" r:id="rId4">
            <anchor moveWithCells="1">
              <from>
                <xdr:col>17</xdr:col>
                <xdr:colOff>476250</xdr:colOff>
                <xdr:row>11</xdr:row>
                <xdr:rowOff>82550</xdr:rowOff>
              </from>
              <to>
                <xdr:col>17</xdr:col>
                <xdr:colOff>660400</xdr:colOff>
                <xdr:row>12</xdr:row>
                <xdr:rowOff>95250</xdr:rowOff>
              </to>
            </anchor>
          </objectPr>
        </oleObject>
      </mc:Choice>
      <mc:Fallback>
        <oleObject shapeId="16391" progId="Paint.Picture" r:id="rId3"/>
      </mc:Fallback>
    </mc:AlternateContent>
    <mc:AlternateContent xmlns:mc="http://schemas.openxmlformats.org/markup-compatibility/2006">
      <mc:Choice Requires="x14">
        <oleObject shapeId="1823575" progId="Paint.Picture" r:id="rId5">
          <objectPr defaultSize="0" r:id="rId6">
            <anchor moveWithCells="1">
              <from>
                <xdr:col>8</xdr:col>
                <xdr:colOff>196850</xdr:colOff>
                <xdr:row>51</xdr:row>
                <xdr:rowOff>12700</xdr:rowOff>
              </from>
              <to>
                <xdr:col>8</xdr:col>
                <xdr:colOff>431800</xdr:colOff>
                <xdr:row>52</xdr:row>
                <xdr:rowOff>38100</xdr:rowOff>
              </to>
            </anchor>
          </objectPr>
        </oleObject>
      </mc:Choice>
      <mc:Fallback>
        <oleObject shapeId="1823575" progId="Paint.Picture" r:id="rId5"/>
      </mc:Fallback>
    </mc:AlternateContent>
  </oleObjec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4">
    <tabColor rgb="FF00B0F0"/>
    <pageSetUpPr fitToPage="1"/>
  </sheetPr>
  <dimension ref="A1:IV87"/>
  <sheetViews>
    <sheetView showGridLines="0" workbookViewId="0">
      <pane xSplit="5" ySplit="9" topLeftCell="F32" activePane="bottomRight" state="frozen"/>
      <selection/>
      <selection pane="topRight"/>
      <selection pane="bottomLeft"/>
      <selection pane="bottomRight" activeCell="F44" sqref="F44"/>
    </sheetView>
  </sheetViews>
  <sheetFormatPr defaultColWidth="9.13541666666667" defaultRowHeight="13.2"/>
  <cols>
    <col min="1" max="1" width="3" style="101" customWidth="1"/>
    <col min="2" max="2" width="7.64583333333333" style="101" customWidth="1"/>
    <col min="3" max="3" width="4.19791666666667" style="101" customWidth="1"/>
    <col min="4" max="4" width="26.21875" style="101" customWidth="1"/>
    <col min="5" max="5" width="9.13541666666667" style="1539" customWidth="1"/>
    <col min="6" max="6" width="17.375" style="102" customWidth="1" outlineLevel="1"/>
    <col min="7" max="7" width="14.2395833333333" style="102" customWidth="1" outlineLevel="1"/>
    <col min="8" max="10" width="15.4270833333333" style="102" customWidth="1" outlineLevel="1"/>
    <col min="11" max="11" width="16.78125" style="102" customWidth="1"/>
    <col min="12" max="12" width="19.1770833333333" style="101" customWidth="1" outlineLevel="1"/>
    <col min="13" max="13" width="6.73958333333333" customWidth="1" outlineLevel="1"/>
    <col min="14" max="14" width="16.625" style="101" customWidth="1" outlineLevel="1"/>
    <col min="15" max="15" width="14.8333333333333" style="101" customWidth="1" outlineLevel="1"/>
    <col min="16" max="16" width="5.6875" style="101" customWidth="1" outlineLevel="1"/>
    <col min="17" max="17" width="17.8333333333333" style="101" customWidth="1"/>
    <col min="18" max="22" width="18.5833333333333" style="101" customWidth="1"/>
    <col min="23" max="23" width="8.98958333333333" style="101" customWidth="1"/>
    <col min="24" max="24" width="17.375" style="101" customWidth="1"/>
    <col min="25" max="25" width="11.3854166666667" style="4206" customWidth="1"/>
    <col min="26" max="26" width="15.7291666666667" style="101" customWidth="1"/>
    <col min="27" max="27" width="10.1875" style="101" customWidth="1"/>
    <col min="28" max="28" width="16.625" style="101" customWidth="1"/>
    <col min="29" max="29" width="9.73958333333333" style="101" customWidth="1"/>
    <col min="30" max="16384" width="9.13541666666667" style="101"/>
  </cols>
  <sheetData>
    <row r="1" spans="2:17">
      <c r="B1" s="4207"/>
      <c r="Q1" s="110"/>
    </row>
    <row r="2" ht="21" spans="2:20">
      <c r="B2" s="4208" t="str">
        <f>+'F2'!B2</f>
        <v>KAP LIASTA NIRWAN SYAFRUDIN &amp; REKAN</v>
      </c>
      <c r="C2" s="4209"/>
      <c r="D2" s="4210"/>
      <c r="E2" s="4211"/>
      <c r="F2" s="4212"/>
      <c r="G2" s="4210"/>
      <c r="H2" s="4210"/>
      <c r="I2" s="4210"/>
      <c r="J2" s="4210"/>
      <c r="K2" s="4210"/>
      <c r="L2" s="4249"/>
      <c r="M2" s="4249"/>
      <c r="N2" s="4249"/>
      <c r="O2" s="4249"/>
      <c r="P2" s="4210"/>
      <c r="Q2" s="4212" t="s">
        <v>481</v>
      </c>
      <c r="R2" s="4210"/>
      <c r="S2" s="4269" t="s">
        <v>482</v>
      </c>
      <c r="T2" s="4270" t="s">
        <v>483</v>
      </c>
    </row>
    <row r="3" ht="15.6" spans="2:20">
      <c r="B3" s="4213"/>
      <c r="C3" s="4214"/>
      <c r="D3" s="4215"/>
      <c r="E3" s="4216"/>
      <c r="F3" s="4217"/>
      <c r="G3" s="4218"/>
      <c r="H3" s="4218"/>
      <c r="I3" s="4218"/>
      <c r="J3" s="4218"/>
      <c r="K3" s="4218"/>
      <c r="L3" s="4250"/>
      <c r="M3" s="4250"/>
      <c r="N3" s="4250"/>
      <c r="O3" s="4250"/>
      <c r="P3" s="4218"/>
      <c r="Q3" s="4271"/>
      <c r="R3" s="4272"/>
      <c r="S3" s="4273">
        <f>+'F1'!W3</f>
        <v>45193</v>
      </c>
      <c r="T3" s="4274" t="s">
        <v>621</v>
      </c>
    </row>
    <row r="4" spans="2:20">
      <c r="B4" s="4219" t="s">
        <v>622</v>
      </c>
      <c r="C4" s="4220" t="str">
        <f>+'F2'!C4</f>
        <v>PT INTAN GIRI ABADI</v>
      </c>
      <c r="D4" s="4221"/>
      <c r="E4" s="4222"/>
      <c r="F4" s="4223"/>
      <c r="G4" s="4221"/>
      <c r="H4" s="4221"/>
      <c r="I4" s="4221"/>
      <c r="J4" s="4221"/>
      <c r="K4" s="4221"/>
      <c r="L4" s="4251"/>
      <c r="M4" s="4251"/>
      <c r="N4" s="4251"/>
      <c r="O4" s="4251"/>
      <c r="P4" s="4221"/>
      <c r="Q4" s="4223" t="s">
        <v>487</v>
      </c>
      <c r="R4" s="4218"/>
      <c r="S4" s="4275" t="s">
        <v>482</v>
      </c>
      <c r="T4" s="4276" t="s">
        <v>488</v>
      </c>
    </row>
    <row r="5" ht="9.6" customHeight="1" spans="2:20">
      <c r="B5" s="4223"/>
      <c r="C5" s="4214"/>
      <c r="D5" s="4221"/>
      <c r="E5" s="4224"/>
      <c r="F5" s="4223"/>
      <c r="G5" s="4221"/>
      <c r="H5" s="4221"/>
      <c r="I5" s="4221"/>
      <c r="J5" s="4221"/>
      <c r="K5" s="4221"/>
      <c r="L5" s="4251"/>
      <c r="M5" s="4251"/>
      <c r="N5" s="4251"/>
      <c r="O5" s="4251"/>
      <c r="P5" s="4221"/>
      <c r="Q5" s="4223"/>
      <c r="R5" s="4221"/>
      <c r="S5" s="4277"/>
      <c r="T5" s="4278"/>
    </row>
    <row r="6" spans="2:20">
      <c r="B6" s="4223"/>
      <c r="C6" s="4225"/>
      <c r="D6" s="4221"/>
      <c r="E6" s="4222"/>
      <c r="F6" s="4223"/>
      <c r="G6" s="4221"/>
      <c r="H6" s="4221"/>
      <c r="I6" s="4221"/>
      <c r="J6" s="4221"/>
      <c r="K6" s="4221"/>
      <c r="L6" s="4251"/>
      <c r="M6" s="4251"/>
      <c r="N6" s="4251"/>
      <c r="O6" s="4251"/>
      <c r="P6" s="4221"/>
      <c r="Q6" s="4223"/>
      <c r="R6" s="4221"/>
      <c r="S6" s="4223"/>
      <c r="T6" s="4279" t="s">
        <v>491</v>
      </c>
    </row>
    <row r="7" spans="2:20">
      <c r="B7" s="4226" t="s">
        <v>623</v>
      </c>
      <c r="C7" s="4227" t="s">
        <v>624</v>
      </c>
      <c r="D7" s="4228"/>
      <c r="E7" s="4224"/>
      <c r="F7" s="4226"/>
      <c r="G7" s="4229"/>
      <c r="H7" s="4229"/>
      <c r="I7" s="4229"/>
      <c r="J7" s="4229"/>
      <c r="K7" s="4229"/>
      <c r="L7" s="4252"/>
      <c r="M7" s="4252"/>
      <c r="N7" s="4252"/>
      <c r="O7" s="4252"/>
      <c r="P7" s="4229"/>
      <c r="Q7" s="4226"/>
      <c r="R7" s="4229"/>
      <c r="S7" s="4226"/>
      <c r="T7" s="4280">
        <v>44926</v>
      </c>
    </row>
    <row r="8" ht="14.25" customHeight="1" spans="12:24">
      <c r="L8" s="4253"/>
      <c r="M8" s="4254"/>
      <c r="N8" s="291"/>
      <c r="O8" s="291"/>
      <c r="P8" s="186"/>
      <c r="Q8" s="4253"/>
      <c r="R8" s="4253"/>
      <c r="S8" s="4253"/>
      <c r="T8" s="4253"/>
      <c r="U8" s="4253"/>
      <c r="X8" s="4253"/>
    </row>
    <row r="9" spans="2:25">
      <c r="B9" s="1217"/>
      <c r="C9" s="1224"/>
      <c r="D9" s="1224"/>
      <c r="E9" s="597"/>
      <c r="F9" s="4230">
        <v>44926</v>
      </c>
      <c r="G9" s="1217"/>
      <c r="H9" s="28" t="s">
        <v>625</v>
      </c>
      <c r="I9" s="28" t="s">
        <v>626</v>
      </c>
      <c r="J9" s="1224"/>
      <c r="K9" s="4255">
        <v>44926</v>
      </c>
      <c r="L9" s="4255">
        <v>44561</v>
      </c>
      <c r="M9" s="308"/>
      <c r="N9" s="28" t="s">
        <v>625</v>
      </c>
      <c r="O9" s="28" t="s">
        <v>626</v>
      </c>
      <c r="P9" s="308"/>
      <c r="Q9" s="4255">
        <v>44561</v>
      </c>
      <c r="R9" s="4255">
        <v>44196</v>
      </c>
      <c r="S9" s="4255">
        <f>+R9-366</f>
        <v>43830</v>
      </c>
      <c r="T9" s="4255">
        <f>+S9-365</f>
        <v>43465</v>
      </c>
      <c r="U9" s="4255">
        <f>+T9-365</f>
        <v>43100</v>
      </c>
      <c r="V9" s="4281">
        <v>44926</v>
      </c>
      <c r="W9" s="4230"/>
      <c r="X9" s="4281">
        <v>44561</v>
      </c>
      <c r="Y9" s="4230"/>
    </row>
    <row r="10" spans="2:25">
      <c r="B10" s="4231" t="s">
        <v>387</v>
      </c>
      <c r="C10" s="3954"/>
      <c r="D10" s="4232"/>
      <c r="E10" s="4233" t="s">
        <v>812</v>
      </c>
      <c r="F10" s="4234" t="s">
        <v>628</v>
      </c>
      <c r="G10" s="4235" t="s">
        <v>629</v>
      </c>
      <c r="H10" s="4236" t="s">
        <v>630</v>
      </c>
      <c r="I10" s="4234"/>
      <c r="J10" s="4256" t="s">
        <v>629</v>
      </c>
      <c r="K10" s="4257" t="s">
        <v>631</v>
      </c>
      <c r="L10" s="4258" t="s">
        <v>628</v>
      </c>
      <c r="M10" s="4259" t="s">
        <v>629</v>
      </c>
      <c r="N10" s="4258" t="s">
        <v>630</v>
      </c>
      <c r="O10" s="4260"/>
      <c r="P10" s="3948" t="s">
        <v>629</v>
      </c>
      <c r="Q10" s="4282" t="s">
        <v>631</v>
      </c>
      <c r="R10" s="4283" t="s">
        <v>628</v>
      </c>
      <c r="S10" s="4283" t="s">
        <v>628</v>
      </c>
      <c r="T10" s="4283" t="s">
        <v>628</v>
      </c>
      <c r="U10" s="4284" t="s">
        <v>631</v>
      </c>
      <c r="V10" s="4283" t="s">
        <v>632</v>
      </c>
      <c r="W10" s="4285" t="s">
        <v>633</v>
      </c>
      <c r="X10" s="4258" t="s">
        <v>632</v>
      </c>
      <c r="Y10" s="4295" t="s">
        <v>633</v>
      </c>
    </row>
    <row r="11" spans="2:25">
      <c r="B11" s="1217"/>
      <c r="C11" s="1224"/>
      <c r="D11" s="1224"/>
      <c r="E11" s="2132"/>
      <c r="F11" s="1224"/>
      <c r="G11" s="1217"/>
      <c r="H11" s="308"/>
      <c r="I11" s="1224"/>
      <c r="J11" s="308"/>
      <c r="K11" s="1224"/>
      <c r="L11" s="308"/>
      <c r="M11" s="1224"/>
      <c r="N11" s="308"/>
      <c r="O11" s="1224"/>
      <c r="P11" s="308"/>
      <c r="Q11" s="308"/>
      <c r="R11" s="4286"/>
      <c r="S11" s="4286"/>
      <c r="T11" s="4286"/>
      <c r="U11" s="4286"/>
      <c r="V11" s="308"/>
      <c r="W11" s="1224"/>
      <c r="X11" s="1217"/>
      <c r="Y11" s="308"/>
    </row>
    <row r="12" spans="2:25">
      <c r="B12" s="129"/>
      <c r="C12" s="130"/>
      <c r="D12" s="130"/>
      <c r="E12" s="2134"/>
      <c r="G12" s="3774"/>
      <c r="H12" s="4237"/>
      <c r="I12" s="4241"/>
      <c r="J12" s="131"/>
      <c r="K12" s="132"/>
      <c r="L12" s="4261"/>
      <c r="M12" s="4256"/>
      <c r="N12" s="4261"/>
      <c r="O12" s="4262"/>
      <c r="P12" s="4263"/>
      <c r="Q12" s="4261"/>
      <c r="R12" s="4286"/>
      <c r="S12" s="4286"/>
      <c r="T12" s="4286"/>
      <c r="U12" s="4286"/>
      <c r="V12" s="4261"/>
      <c r="X12" s="308"/>
      <c r="Y12" s="4296"/>
    </row>
    <row r="13" spans="2:25">
      <c r="B13" s="129" t="s">
        <v>813</v>
      </c>
      <c r="C13" s="298"/>
      <c r="D13" s="134"/>
      <c r="E13" s="4238">
        <v>10</v>
      </c>
      <c r="F13" s="4239">
        <f>+'10'!F64</f>
        <v>7474615453.59131</v>
      </c>
      <c r="G13" s="4240"/>
      <c r="H13" s="4237">
        <f>+'10'!H64</f>
        <v>0</v>
      </c>
      <c r="I13" s="4237">
        <f>+'10'!I64</f>
        <v>0</v>
      </c>
      <c r="J13" s="135"/>
      <c r="K13" s="4239">
        <f>F13-H13+I13</f>
        <v>7474615453.59131</v>
      </c>
      <c r="L13" s="4207">
        <f>+'10'!Q64</f>
        <v>5551498722</v>
      </c>
      <c r="M13" s="4241"/>
      <c r="N13" s="184">
        <f>+'10'!N64</f>
        <v>0</v>
      </c>
      <c r="O13" s="161">
        <f>+'10'!O64</f>
        <v>0</v>
      </c>
      <c r="P13" s="304">
        <f>M13</f>
        <v>0</v>
      </c>
      <c r="Q13" s="4207">
        <f>L13-N13+O13</f>
        <v>5551498722</v>
      </c>
      <c r="R13" s="304">
        <v>12507006890.5</v>
      </c>
      <c r="S13" s="304">
        <v>15876744367</v>
      </c>
      <c r="T13" s="304">
        <v>16194648340</v>
      </c>
      <c r="U13" s="304">
        <v>14394528943</v>
      </c>
      <c r="V13" s="161">
        <f>F13-Q13</f>
        <v>1923116731.59131</v>
      </c>
      <c r="W13" s="4287">
        <f>IF(Q13=0,IF(Q13=0,1,V13/V13),V13/Q13)</f>
        <v>0.346413973576217</v>
      </c>
      <c r="X13" s="161">
        <f>L13-R13</f>
        <v>-6955508168.5</v>
      </c>
      <c r="Y13" s="4297">
        <f>IF(R13=0,IF(R13=0,1,X13/X13),X13/R13)</f>
        <v>-0.55612891472725</v>
      </c>
    </row>
    <row r="14" spans="2:25">
      <c r="B14" s="129" t="s">
        <v>814</v>
      </c>
      <c r="C14" s="298"/>
      <c r="D14" s="134"/>
      <c r="E14" s="2134">
        <v>20</v>
      </c>
      <c r="F14" s="4239">
        <v>3053000539</v>
      </c>
      <c r="G14" s="135"/>
      <c r="H14" s="4237">
        <f>+'20'!H25</f>
        <v>0</v>
      </c>
      <c r="I14" s="4237">
        <f>+'20'!I25</f>
        <v>0</v>
      </c>
      <c r="J14" s="135"/>
      <c r="K14" s="4239">
        <f>F14+H14-I14</f>
        <v>3053000539</v>
      </c>
      <c r="L14" s="4264">
        <f>+'20'!L25</f>
        <v>3061286270</v>
      </c>
      <c r="M14" s="4237"/>
      <c r="N14" s="4239">
        <f>+'20'!N25</f>
        <v>0</v>
      </c>
      <c r="O14" s="4207">
        <f>+'20'!O25</f>
        <v>0</v>
      </c>
      <c r="P14" s="304"/>
      <c r="Q14" s="4207">
        <f>L14-N14+O14</f>
        <v>3061286270</v>
      </c>
      <c r="R14" s="304">
        <v>9124465383.46196</v>
      </c>
      <c r="S14" s="161">
        <v>11397279711.2933</v>
      </c>
      <c r="T14" s="161">
        <v>11797047243</v>
      </c>
      <c r="U14" s="161">
        <v>10273865106</v>
      </c>
      <c r="V14" s="304">
        <f>F14-Q14</f>
        <v>-8285731</v>
      </c>
      <c r="W14" s="4288">
        <f>IF(Q14=0,IF(Q14=0,1,V14/V14),V14/Q14)</f>
        <v>-0.00270661750297531</v>
      </c>
      <c r="X14" s="304">
        <f>L14-R14</f>
        <v>-6063179113.46196</v>
      </c>
      <c r="Y14" s="4288">
        <f>IF(R14=0,IF(R14=0,1,X14/X14),X14/R14)</f>
        <v>-0.664496916657872</v>
      </c>
    </row>
    <row r="15" spans="2:25">
      <c r="B15" s="129"/>
      <c r="C15" s="298"/>
      <c r="D15" s="134"/>
      <c r="E15" s="2134"/>
      <c r="F15" s="4239"/>
      <c r="G15" s="135"/>
      <c r="H15" s="4241"/>
      <c r="I15" s="4237"/>
      <c r="J15" s="136"/>
      <c r="K15" s="4207"/>
      <c r="L15" s="4239"/>
      <c r="M15" s="4237"/>
      <c r="N15" s="4239"/>
      <c r="O15" s="4207"/>
      <c r="P15" s="304"/>
      <c r="Q15" s="4207"/>
      <c r="R15" s="304"/>
      <c r="S15" s="161"/>
      <c r="T15" s="304"/>
      <c r="U15" s="161"/>
      <c r="V15" s="304"/>
      <c r="W15" s="4288"/>
      <c r="X15" s="304"/>
      <c r="Y15" s="4288"/>
    </row>
    <row r="16" s="260" customFormat="1" spans="1:256">
      <c r="A16" s="100"/>
      <c r="B16" s="363"/>
      <c r="C16" s="205" t="s">
        <v>815</v>
      </c>
      <c r="D16" s="205"/>
      <c r="E16" s="191"/>
      <c r="F16" s="260">
        <f>F13-F14</f>
        <v>4421614914.59131</v>
      </c>
      <c r="G16" s="206"/>
      <c r="I16" s="207"/>
      <c r="J16" s="233"/>
      <c r="K16" s="207">
        <f>K13-K14</f>
        <v>4421614914.59131</v>
      </c>
      <c r="L16" s="260">
        <f>L13-L14</f>
        <v>2490212452</v>
      </c>
      <c r="M16" s="207"/>
      <c r="N16" s="260">
        <f>SUM(N13:N14)</f>
        <v>0</v>
      </c>
      <c r="O16" s="207">
        <f>SUM(O13:O14)</f>
        <v>0</v>
      </c>
      <c r="P16" s="207"/>
      <c r="Q16" s="207">
        <f>Q13-Q14</f>
        <v>2490212452</v>
      </c>
      <c r="R16" s="4267">
        <f>R13-R14</f>
        <v>3382541507.03804</v>
      </c>
      <c r="S16" s="207">
        <f>S13-S14</f>
        <v>4479464655.70665</v>
      </c>
      <c r="T16" s="207">
        <f>T13-T14</f>
        <v>4397601097</v>
      </c>
      <c r="U16" s="207">
        <f>U13-U14</f>
        <v>4120663837</v>
      </c>
      <c r="V16" s="4289">
        <f>F16-Q16</f>
        <v>1931402462.59131</v>
      </c>
      <c r="W16" s="4290">
        <f>IF(Q16=0,IF(Q16=0,1,V16/V16),V16/Q16)</f>
        <v>0.775597463999555</v>
      </c>
      <c r="X16" s="4267">
        <f>L16-R16</f>
        <v>-892329055.03804</v>
      </c>
      <c r="Y16" s="4288">
        <f>IF(R16=0,IF(R16=0,1,X16/X16),X16/R16)</f>
        <v>-0.263804317901606</v>
      </c>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100"/>
      <c r="AW16" s="100"/>
      <c r="AX16" s="100"/>
      <c r="AY16" s="100"/>
      <c r="AZ16" s="100"/>
      <c r="BA16" s="100"/>
      <c r="BB16" s="100"/>
      <c r="BC16" s="100"/>
      <c r="BD16" s="100"/>
      <c r="BE16" s="100"/>
      <c r="BF16" s="100"/>
      <c r="BG16" s="100"/>
      <c r="BH16" s="100"/>
      <c r="BI16" s="100"/>
      <c r="BJ16" s="100"/>
      <c r="BK16" s="100"/>
      <c r="BL16" s="100"/>
      <c r="BM16" s="100"/>
      <c r="BN16" s="100"/>
      <c r="BO16" s="100"/>
      <c r="BP16" s="100"/>
      <c r="BQ16" s="100"/>
      <c r="BR16" s="100"/>
      <c r="BS16" s="100"/>
      <c r="BT16" s="100"/>
      <c r="BU16" s="100"/>
      <c r="BV16" s="100"/>
      <c r="BW16" s="100"/>
      <c r="BX16" s="100"/>
      <c r="BY16" s="100"/>
      <c r="BZ16" s="100"/>
      <c r="CA16" s="100"/>
      <c r="CB16" s="100"/>
      <c r="CC16" s="100"/>
      <c r="CD16" s="100"/>
      <c r="CE16" s="100"/>
      <c r="CF16" s="100"/>
      <c r="CG16" s="100"/>
      <c r="CH16" s="100"/>
      <c r="CI16" s="100"/>
      <c r="CJ16" s="100"/>
      <c r="CK16" s="100"/>
      <c r="CL16" s="100"/>
      <c r="CM16" s="100"/>
      <c r="CN16" s="100"/>
      <c r="CO16" s="100"/>
      <c r="CP16" s="100"/>
      <c r="CQ16" s="100"/>
      <c r="CR16" s="100"/>
      <c r="CS16" s="100"/>
      <c r="CT16" s="100"/>
      <c r="CU16" s="100"/>
      <c r="CV16" s="100"/>
      <c r="CW16" s="100"/>
      <c r="CX16" s="100"/>
      <c r="CY16" s="100"/>
      <c r="CZ16" s="100"/>
      <c r="DA16" s="100"/>
      <c r="DB16" s="100"/>
      <c r="DC16" s="100"/>
      <c r="DD16" s="100"/>
      <c r="DE16" s="100"/>
      <c r="DF16" s="100"/>
      <c r="DG16" s="100"/>
      <c r="DH16" s="100"/>
      <c r="DI16" s="100"/>
      <c r="DJ16" s="100"/>
      <c r="DK16" s="100"/>
      <c r="DL16" s="100"/>
      <c r="DM16" s="100"/>
      <c r="DN16" s="100"/>
      <c r="DO16" s="100"/>
      <c r="DP16" s="100"/>
      <c r="DQ16" s="100"/>
      <c r="DR16" s="100"/>
      <c r="DS16" s="100"/>
      <c r="DT16" s="100"/>
      <c r="DU16" s="100"/>
      <c r="DV16" s="100"/>
      <c r="DW16" s="100"/>
      <c r="DX16" s="100"/>
      <c r="DY16" s="100"/>
      <c r="DZ16" s="100"/>
      <c r="EA16" s="100"/>
      <c r="EB16" s="100"/>
      <c r="EC16" s="100"/>
      <c r="ED16" s="100"/>
      <c r="EE16" s="100"/>
      <c r="EF16" s="100"/>
      <c r="EG16" s="100"/>
      <c r="EH16" s="100"/>
      <c r="EI16" s="100"/>
      <c r="EJ16" s="100"/>
      <c r="EK16" s="100"/>
      <c r="EL16" s="100"/>
      <c r="EM16" s="100"/>
      <c r="EN16" s="100"/>
      <c r="EO16" s="100"/>
      <c r="EP16" s="100"/>
      <c r="EQ16" s="100"/>
      <c r="ER16" s="100"/>
      <c r="ES16" s="100"/>
      <c r="ET16" s="100"/>
      <c r="EU16" s="100"/>
      <c r="EV16" s="100"/>
      <c r="EW16" s="100"/>
      <c r="EX16" s="100"/>
      <c r="EY16" s="100"/>
      <c r="EZ16" s="100"/>
      <c r="FA16" s="100"/>
      <c r="FB16" s="100"/>
      <c r="FC16" s="100"/>
      <c r="FD16" s="100"/>
      <c r="FE16" s="100"/>
      <c r="FF16" s="100"/>
      <c r="FG16" s="100"/>
      <c r="FH16" s="100"/>
      <c r="FI16" s="100"/>
      <c r="FJ16" s="100"/>
      <c r="FK16" s="100"/>
      <c r="FL16" s="100"/>
      <c r="FM16" s="100"/>
      <c r="FN16" s="100"/>
      <c r="FO16" s="100"/>
      <c r="FP16" s="100"/>
      <c r="FQ16" s="100"/>
      <c r="FR16" s="100"/>
      <c r="FS16" s="100"/>
      <c r="FT16" s="100"/>
      <c r="FU16" s="100"/>
      <c r="FV16" s="100"/>
      <c r="FW16" s="100"/>
      <c r="FX16" s="100"/>
      <c r="FY16" s="100"/>
      <c r="FZ16" s="100"/>
      <c r="GA16" s="100"/>
      <c r="GB16" s="100"/>
      <c r="GC16" s="100"/>
      <c r="GD16" s="100"/>
      <c r="GE16" s="100"/>
      <c r="GF16" s="100"/>
      <c r="GG16" s="100"/>
      <c r="GH16" s="100"/>
      <c r="GI16" s="100"/>
      <c r="GJ16" s="100"/>
      <c r="GK16" s="100"/>
      <c r="GL16" s="100"/>
      <c r="GM16" s="100"/>
      <c r="GN16" s="100"/>
      <c r="GO16" s="100"/>
      <c r="GP16" s="100"/>
      <c r="GQ16" s="100"/>
      <c r="GR16" s="100"/>
      <c r="GS16" s="100"/>
      <c r="GT16" s="100"/>
      <c r="GU16" s="100"/>
      <c r="GV16" s="100"/>
      <c r="GW16" s="100"/>
      <c r="GX16" s="100"/>
      <c r="GY16" s="100"/>
      <c r="GZ16" s="100"/>
      <c r="HA16" s="100"/>
      <c r="HB16" s="100"/>
      <c r="HC16" s="100"/>
      <c r="HD16" s="100"/>
      <c r="HE16" s="100"/>
      <c r="HF16" s="100"/>
      <c r="HG16" s="100"/>
      <c r="HH16" s="100"/>
      <c r="HI16" s="100"/>
      <c r="HJ16" s="100"/>
      <c r="HK16" s="100"/>
      <c r="HL16" s="100"/>
      <c r="HM16" s="100"/>
      <c r="HN16" s="100"/>
      <c r="HO16" s="100"/>
      <c r="HP16" s="100"/>
      <c r="HQ16" s="100"/>
      <c r="HR16" s="100"/>
      <c r="HS16" s="100"/>
      <c r="HT16" s="100"/>
      <c r="HU16" s="100"/>
      <c r="HV16" s="100"/>
      <c r="HW16" s="100"/>
      <c r="HX16" s="100"/>
      <c r="HY16" s="100"/>
      <c r="HZ16" s="100"/>
      <c r="IA16" s="100"/>
      <c r="IB16" s="100"/>
      <c r="IC16" s="100"/>
      <c r="ID16" s="100"/>
      <c r="IE16" s="100"/>
      <c r="IF16" s="100"/>
      <c r="IG16" s="100"/>
      <c r="IH16" s="100"/>
      <c r="II16" s="100"/>
      <c r="IJ16" s="100"/>
      <c r="IK16" s="100"/>
      <c r="IL16" s="100"/>
      <c r="IM16" s="100"/>
      <c r="IN16" s="100"/>
      <c r="IO16" s="100"/>
      <c r="IP16" s="100"/>
      <c r="IQ16" s="100"/>
      <c r="IR16" s="100"/>
      <c r="IS16" s="100"/>
      <c r="IT16" s="100"/>
      <c r="IU16" s="100"/>
      <c r="IV16" s="100"/>
    </row>
    <row r="17" s="4205" customFormat="1" spans="2:25">
      <c r="B17" s="4242"/>
      <c r="C17" s="4243"/>
      <c r="D17" s="4243" t="s">
        <v>816</v>
      </c>
      <c r="E17" s="2134"/>
      <c r="F17" s="4205">
        <f>+F16/$F$13</f>
        <v>0.591550821850891</v>
      </c>
      <c r="G17" s="4244"/>
      <c r="I17" s="4244"/>
      <c r="K17" s="4244">
        <f>+K16/$K$13</f>
        <v>0.591550821850891</v>
      </c>
      <c r="L17" s="4205">
        <f>+L16/$L$13</f>
        <v>0.44856579758031</v>
      </c>
      <c r="M17" s="191"/>
      <c r="O17" s="4244"/>
      <c r="Q17" s="4244">
        <f>+Q16/$Q$13</f>
        <v>0.44856579758031</v>
      </c>
      <c r="R17" s="4205">
        <f>+R16/$R$13</f>
        <v>0.270451718516868</v>
      </c>
      <c r="S17" s="4244">
        <f>+S16/$S$13</f>
        <v>0.28214000000008</v>
      </c>
      <c r="T17" s="4205">
        <f>+T16/$T$13</f>
        <v>0.271546563078998</v>
      </c>
      <c r="U17" s="4244">
        <f>+U16/$U$13</f>
        <v>0.286265973226158</v>
      </c>
      <c r="W17" s="4291"/>
      <c r="Y17" s="4291"/>
    </row>
    <row r="18" s="100" customFormat="1" spans="1:25">
      <c r="A18" s="101"/>
      <c r="B18" s="184"/>
      <c r="C18" s="208"/>
      <c r="D18" s="208"/>
      <c r="E18" s="2134"/>
      <c r="F18" s="101"/>
      <c r="G18" s="135"/>
      <c r="H18" s="101"/>
      <c r="I18" s="4237"/>
      <c r="J18" s="136"/>
      <c r="K18" s="161"/>
      <c r="L18" s="137"/>
      <c r="M18" s="161"/>
      <c r="N18" s="137"/>
      <c r="O18" s="161"/>
      <c r="P18"/>
      <c r="Q18" s="161"/>
      <c r="R18" s="4205"/>
      <c r="S18" s="152"/>
      <c r="T18" s="153"/>
      <c r="U18" s="152"/>
      <c r="V18" s="153"/>
      <c r="W18" s="4288"/>
      <c r="X18" s="153"/>
      <c r="Y18" s="4288"/>
    </row>
    <row r="19" s="100" customFormat="1" spans="1:25">
      <c r="A19" s="101"/>
      <c r="B19" s="129" t="s">
        <v>411</v>
      </c>
      <c r="C19" s="208"/>
      <c r="D19" s="208"/>
      <c r="E19" s="2134"/>
      <c r="F19" s="101"/>
      <c r="G19" s="135"/>
      <c r="H19" s="101"/>
      <c r="I19" s="4237"/>
      <c r="J19" s="136"/>
      <c r="K19" s="161"/>
      <c r="L19" s="137"/>
      <c r="M19" s="161"/>
      <c r="N19" s="137"/>
      <c r="O19" s="161"/>
      <c r="P19"/>
      <c r="Q19" s="161"/>
      <c r="R19" s="4205"/>
      <c r="S19" s="152"/>
      <c r="T19" s="153"/>
      <c r="U19" s="152"/>
      <c r="V19" s="153"/>
      <c r="W19" s="4288"/>
      <c r="X19" s="153"/>
      <c r="Y19" s="4288"/>
    </row>
    <row r="20" spans="2:25">
      <c r="B20" s="184" t="s">
        <v>636</v>
      </c>
      <c r="C20" s="137"/>
      <c r="D20" s="134"/>
      <c r="E20" s="2134"/>
      <c r="F20" s="4239">
        <f>+'40'!F24</f>
        <v>14200000</v>
      </c>
      <c r="G20" s="135"/>
      <c r="H20" s="4245">
        <f>+'40'!H24</f>
        <v>0</v>
      </c>
      <c r="I20" s="4237">
        <f>+'40'!I24</f>
        <v>0</v>
      </c>
      <c r="J20" s="136"/>
      <c r="K20" s="4207">
        <f>F20+H20-I20</f>
        <v>14200000</v>
      </c>
      <c r="L20" s="137">
        <f>+'40'!L24</f>
        <v>137331501.4</v>
      </c>
      <c r="M20" s="4237"/>
      <c r="N20" s="4239">
        <f>+'40'!N24</f>
        <v>0</v>
      </c>
      <c r="O20" s="4207">
        <f>+'40'!O24</f>
        <v>0</v>
      </c>
      <c r="P20" s="304"/>
      <c r="Q20" s="4207">
        <f>L20-N20+O20</f>
        <v>137331501.4</v>
      </c>
      <c r="R20" s="304">
        <f>+'40'!R24</f>
        <v>270992605</v>
      </c>
      <c r="S20" s="161">
        <v>505425621</v>
      </c>
      <c r="T20" s="304">
        <v>447596315</v>
      </c>
      <c r="U20" s="161">
        <v>480673904</v>
      </c>
      <c r="V20" s="304">
        <f>F20-Q20</f>
        <v>-123131501.4</v>
      </c>
      <c r="W20" s="4288">
        <f>IF(Q20=0,IF(Q20=0,1,V20/V20),V20/Q20)</f>
        <v>-0.896600562469348</v>
      </c>
      <c r="X20" s="304">
        <f>L20-R20</f>
        <v>-133661103.6</v>
      </c>
      <c r="Y20" s="4288">
        <f>IF(R20=0,IF(R20=0,1,X20/X20),X20/R20)</f>
        <v>-0.493227863542623</v>
      </c>
    </row>
    <row r="21" spans="2:25">
      <c r="B21" s="184" t="s">
        <v>637</v>
      </c>
      <c r="C21" s="137"/>
      <c r="D21" s="134"/>
      <c r="E21" s="4238">
        <v>40</v>
      </c>
      <c r="F21" s="4239">
        <f>+'40'!F37</f>
        <v>1283741219</v>
      </c>
      <c r="G21" s="135"/>
      <c r="H21" s="4245">
        <f>+'40'!H37</f>
        <v>0</v>
      </c>
      <c r="I21" s="4237">
        <f>+'40'!I37</f>
        <v>28200472.36</v>
      </c>
      <c r="J21" s="136"/>
      <c r="K21" s="4207">
        <f>F21+H21-I21</f>
        <v>1255540746.64</v>
      </c>
      <c r="L21" s="137">
        <f>+'40'!L37</f>
        <v>1356172888.4</v>
      </c>
      <c r="M21" s="4237"/>
      <c r="N21" s="4239">
        <f>+'40'!N37</f>
        <v>0</v>
      </c>
      <c r="O21" s="4207">
        <f>+'40'!O37</f>
        <v>0</v>
      </c>
      <c r="P21" s="304"/>
      <c r="Q21" s="4207">
        <f>L21-N21+O21</f>
        <v>1356172888.4</v>
      </c>
      <c r="R21" s="304">
        <f>+'40'!R37</f>
        <v>1401711967.03805</v>
      </c>
      <c r="S21" s="161">
        <v>2628325222.82065</v>
      </c>
      <c r="T21" s="304">
        <v>2439145659</v>
      </c>
      <c r="U21" s="161">
        <v>2121194018</v>
      </c>
      <c r="V21" s="304">
        <f>F21-Q21</f>
        <v>-72431669.4000001</v>
      </c>
      <c r="W21" s="4288">
        <f>IF(Q21=0,IF(Q21=0,1,V21/V21),V21/Q21)</f>
        <v>-0.0534088758295812</v>
      </c>
      <c r="X21" s="304">
        <f>L21-R21</f>
        <v>-45539078.6380458</v>
      </c>
      <c r="Y21" s="4288">
        <f>IF(R21=0,IF(R21=0,1,X21/X21),X21/R21)</f>
        <v>-0.0324881856678975</v>
      </c>
    </row>
    <row r="22" ht="6.95" customHeight="1" spans="2:25">
      <c r="B22" s="141"/>
      <c r="C22" s="110"/>
      <c r="D22" s="146"/>
      <c r="E22" s="2134"/>
      <c r="F22" s="110"/>
      <c r="G22" s="147"/>
      <c r="H22" s="110"/>
      <c r="I22" s="143"/>
      <c r="J22" s="1273"/>
      <c r="K22" s="147"/>
      <c r="L22" s="110"/>
      <c r="M22" s="143"/>
      <c r="N22" s="110"/>
      <c r="O22" s="143"/>
      <c r="P22" s="358"/>
      <c r="Q22" s="143"/>
      <c r="R22" s="358"/>
      <c r="S22" s="143"/>
      <c r="T22" s="358"/>
      <c r="U22" s="143"/>
      <c r="V22" s="358"/>
      <c r="W22" s="4288"/>
      <c r="X22" s="358"/>
      <c r="Y22" s="4288"/>
    </row>
    <row r="23" s="100" customFormat="1" spans="2:25">
      <c r="B23" s="133"/>
      <c r="C23" s="208"/>
      <c r="D23" s="208" t="s">
        <v>412</v>
      </c>
      <c r="E23" s="2134"/>
      <c r="F23" s="100">
        <f>SUM(F20:F21)</f>
        <v>1297941219</v>
      </c>
      <c r="G23" s="152"/>
      <c r="H23" s="130"/>
      <c r="I23" s="152"/>
      <c r="J23" s="130"/>
      <c r="K23" s="152">
        <f>SUM(K20:K21)</f>
        <v>1269740746.64</v>
      </c>
      <c r="L23" s="130">
        <f>SUM(L20:L21)</f>
        <v>1493504389.8</v>
      </c>
      <c r="M23" s="161"/>
      <c r="N23" s="130">
        <f>SUM(N20:N21)</f>
        <v>0</v>
      </c>
      <c r="O23" s="152">
        <f>SUM(O20:O21)</f>
        <v>0</v>
      </c>
      <c r="P23"/>
      <c r="Q23" s="152">
        <f>SUM(Q20:Q21)</f>
        <v>1493504389.8</v>
      </c>
      <c r="R23" s="153">
        <f>SUM(R20:R21)</f>
        <v>1672704572.03805</v>
      </c>
      <c r="S23" s="152">
        <f>SUM(S20:S21)</f>
        <v>3133750843.82065</v>
      </c>
      <c r="T23" s="153">
        <f>SUM(T20:T21)</f>
        <v>2886741974</v>
      </c>
      <c r="U23" s="152">
        <f>SUM(U20:U21)</f>
        <v>2601867922</v>
      </c>
      <c r="V23" s="153">
        <f>F23-Q23</f>
        <v>-195563170.8</v>
      </c>
      <c r="W23" s="4288">
        <f>IF(Q23=0,IF(Q23=0,1,V23/V23),V23/Q23)</f>
        <v>-0.130942481411915</v>
      </c>
      <c r="X23" s="153">
        <f>SUM(X20:X21)</f>
        <v>-179200182.238046</v>
      </c>
      <c r="Y23" s="4288">
        <f>IF(R23=0,IF(R23=0,1,X23/X23),X23/R23)</f>
        <v>-0.107131997624485</v>
      </c>
    </row>
    <row r="24" spans="2:25">
      <c r="B24" s="138"/>
      <c r="C24" s="134"/>
      <c r="D24" s="134"/>
      <c r="E24" s="2134"/>
      <c r="F24" s="101"/>
      <c r="G24" s="161"/>
      <c r="H24" s="137"/>
      <c r="I24" s="161"/>
      <c r="J24" s="137"/>
      <c r="K24" s="143"/>
      <c r="L24" s="137"/>
      <c r="M24" s="161"/>
      <c r="N24" s="137"/>
      <c r="O24" s="161"/>
      <c r="P24" s="304"/>
      <c r="Q24" s="143"/>
      <c r="R24" s="304"/>
      <c r="S24" s="161"/>
      <c r="T24" s="304"/>
      <c r="U24" s="161"/>
      <c r="V24" s="304"/>
      <c r="W24" s="4288"/>
      <c r="X24" s="304"/>
      <c r="Y24" s="4288"/>
    </row>
    <row r="25" spans="2:25">
      <c r="B25" s="4246"/>
      <c r="C25" s="2557" t="s">
        <v>817</v>
      </c>
      <c r="D25" s="205"/>
      <c r="E25" s="2134"/>
      <c r="F25" s="1227">
        <f>F16-F23</f>
        <v>3123673695.59131</v>
      </c>
      <c r="G25" s="206"/>
      <c r="H25" s="1227"/>
      <c r="I25" s="1228"/>
      <c r="J25" s="4265"/>
      <c r="K25" s="1228">
        <f>K16-K23</f>
        <v>3151874167.95131</v>
      </c>
      <c r="L25" s="1225">
        <f>L16-L23</f>
        <v>996708062.2</v>
      </c>
      <c r="M25" s="4266"/>
      <c r="N25" s="1227">
        <f>N16+N23</f>
        <v>0</v>
      </c>
      <c r="O25" s="1228">
        <f>O16+O23</f>
        <v>0</v>
      </c>
      <c r="P25" s="3994"/>
      <c r="Q25" s="143">
        <f>Q16-Q23</f>
        <v>996708062.2</v>
      </c>
      <c r="R25" s="4267">
        <f>R16-R23</f>
        <v>1709836934.99999</v>
      </c>
      <c r="S25" s="207">
        <f>S16-S23</f>
        <v>1345713811.886</v>
      </c>
      <c r="T25" s="4267">
        <f>T16-T23</f>
        <v>1510859123</v>
      </c>
      <c r="U25" s="207">
        <f>U16-U23</f>
        <v>1518795915</v>
      </c>
      <c r="V25" s="3994">
        <f>F25-Q25</f>
        <v>2126965633.39131</v>
      </c>
      <c r="W25" s="4288">
        <f>IF(Q25=0,IF(Q25=0,1,V25/V25),V25/Q25)</f>
        <v>2.13399059770474</v>
      </c>
      <c r="X25" s="3994">
        <f>L25-R25</f>
        <v>-713128872.799994</v>
      </c>
      <c r="Y25" s="4298">
        <f>IF(R25=0,IF(R25=0,1,X25/X25),X25/R25)</f>
        <v>-0.417074200587436</v>
      </c>
    </row>
    <row r="26" s="4205" customFormat="1" spans="2:25">
      <c r="B26" s="4242"/>
      <c r="C26" s="4243"/>
      <c r="D26" s="4243" t="s">
        <v>818</v>
      </c>
      <c r="E26" s="2134"/>
      <c r="F26" s="4205">
        <f>+F25/$F$13</f>
        <v>0.417904267448366</v>
      </c>
      <c r="G26" s="4244"/>
      <c r="I26" s="4244"/>
      <c r="K26" s="4244">
        <f>+K25/$K$13</f>
        <v>0.421677099982038</v>
      </c>
      <c r="L26" s="4205">
        <f>+L25/$L$13</f>
        <v>0.179538555642668</v>
      </c>
      <c r="M26" s="4244"/>
      <c r="O26" s="4244"/>
      <c r="Q26" s="4244">
        <f>+Q25/$Q$13</f>
        <v>0.179538555642668</v>
      </c>
      <c r="R26" s="4205">
        <f>+R25/$R$13</f>
        <v>0.136710321659672</v>
      </c>
      <c r="S26" s="4244">
        <f>+S25/$S$13</f>
        <v>0.0847600604241689</v>
      </c>
      <c r="T26" s="4205">
        <f>+T25/$T$13</f>
        <v>0.0932937283527331</v>
      </c>
      <c r="U26" s="4244">
        <f>+U25/$U$13</f>
        <v>0.105512026202051</v>
      </c>
      <c r="W26" s="4291"/>
      <c r="Y26" s="4291"/>
    </row>
    <row r="27" spans="2:25">
      <c r="B27" s="138"/>
      <c r="C27" s="2558"/>
      <c r="D27" s="208"/>
      <c r="E27" s="2134"/>
      <c r="F27" s="101"/>
      <c r="G27" s="135"/>
      <c r="H27" s="101"/>
      <c r="I27" s="4237"/>
      <c r="J27" s="136"/>
      <c r="K27" s="161"/>
      <c r="L27" s="137"/>
      <c r="M27" s="4237"/>
      <c r="N27" s="137"/>
      <c r="O27" s="161"/>
      <c r="P27" s="304"/>
      <c r="Q27" s="161"/>
      <c r="R27" s="304"/>
      <c r="S27" s="161"/>
      <c r="T27" s="304"/>
      <c r="U27" s="161"/>
      <c r="V27" s="304"/>
      <c r="W27" s="4288"/>
      <c r="X27" s="304"/>
      <c r="Y27" s="4288"/>
    </row>
    <row r="28" spans="2:25">
      <c r="B28" s="184" t="s">
        <v>639</v>
      </c>
      <c r="C28" s="137"/>
      <c r="D28" s="137"/>
      <c r="E28" s="2134">
        <v>50</v>
      </c>
      <c r="F28" s="101">
        <v>-2448237956.91691</v>
      </c>
      <c r="G28" s="161"/>
      <c r="H28" s="4237">
        <f>-'50'!G77</f>
        <v>66242.0249999994</v>
      </c>
      <c r="I28" s="4237">
        <f>+'50'!H77</f>
        <v>0</v>
      </c>
      <c r="J28" s="137"/>
      <c r="K28" s="161">
        <f>F28-H28+I28</f>
        <v>-2448304198.94191</v>
      </c>
      <c r="L28" s="137">
        <f>+'50'!K77</f>
        <v>-707025122.49</v>
      </c>
      <c r="M28" s="161"/>
      <c r="N28" s="137">
        <f>+'50'!M77</f>
        <v>-18335002.0843981</v>
      </c>
      <c r="O28" s="161">
        <f>+'50'!N77</f>
        <v>0</v>
      </c>
      <c r="P28" s="304"/>
      <c r="Q28" s="161">
        <f>L28+N28-O28</f>
        <v>-725360124.574398</v>
      </c>
      <c r="R28" s="304">
        <f>+'50'!Q77</f>
        <v>-677694320</v>
      </c>
      <c r="S28" s="161">
        <v>-473384657.1</v>
      </c>
      <c r="T28" s="304">
        <v>-286505400</v>
      </c>
      <c r="U28" s="161">
        <v>-588839768</v>
      </c>
      <c r="V28" s="304">
        <f>F28-Q28</f>
        <v>-1722877832.34251</v>
      </c>
      <c r="W28" s="4288">
        <f>IF(Q28=0,IF(Q28=0,1,V28/V28),V28/Q28)</f>
        <v>2.37520339755842</v>
      </c>
      <c r="X28" s="304">
        <f>L28-R28</f>
        <v>-29330802.49</v>
      </c>
      <c r="Y28" s="4288">
        <f>IF(R28=0,IF(R28=0,1,X28/X28),X28/R28)</f>
        <v>0.0432802837863537</v>
      </c>
    </row>
    <row r="29" spans="2:25">
      <c r="B29" s="138"/>
      <c r="C29" s="298"/>
      <c r="D29" s="134"/>
      <c r="E29" s="2134"/>
      <c r="F29" s="101"/>
      <c r="G29" s="135"/>
      <c r="H29" s="101"/>
      <c r="I29" s="161"/>
      <c r="J29" s="136"/>
      <c r="K29" s="147"/>
      <c r="L29" s="137"/>
      <c r="M29" s="161"/>
      <c r="O29" s="143"/>
      <c r="P29" s="304"/>
      <c r="Q29" s="4207"/>
      <c r="R29" s="304"/>
      <c r="S29" s="161"/>
      <c r="T29" s="304"/>
      <c r="U29" s="161"/>
      <c r="V29" s="304"/>
      <c r="W29" s="4288"/>
      <c r="X29" s="304"/>
      <c r="Y29" s="4288"/>
    </row>
    <row r="30" spans="2:25">
      <c r="B30" s="4246"/>
      <c r="C30" s="2557" t="s">
        <v>640</v>
      </c>
      <c r="D30" s="2771"/>
      <c r="E30" s="2134"/>
      <c r="F30" s="1227">
        <f>F25+F28</f>
        <v>675435738.674405</v>
      </c>
      <c r="G30" s="206"/>
      <c r="H30" s="260"/>
      <c r="I30" s="207"/>
      <c r="J30" s="4265"/>
      <c r="K30" s="207">
        <f>K25+K28</f>
        <v>703569969.009405</v>
      </c>
      <c r="L30" s="363">
        <f>L25+L28</f>
        <v>289682939.71</v>
      </c>
      <c r="M30" s="207"/>
      <c r="N30" s="260">
        <f>N25+SUM(N28:N29)</f>
        <v>-18335002.0843981</v>
      </c>
      <c r="O30" s="207">
        <f>O25+SUM(O28:O29)</f>
        <v>0</v>
      </c>
      <c r="P30" s="4267"/>
      <c r="Q30" s="207">
        <f>Q25+Q28</f>
        <v>271347937.625602</v>
      </c>
      <c r="R30" s="4267">
        <f>R25+R28</f>
        <v>1032142614.99999</v>
      </c>
      <c r="S30" s="207">
        <f>S25+S28</f>
        <v>872329154.786004</v>
      </c>
      <c r="T30" s="4267">
        <f>T25+T28</f>
        <v>1224353723</v>
      </c>
      <c r="U30" s="207">
        <f>U25+U28</f>
        <v>929956147</v>
      </c>
      <c r="V30" s="4267">
        <f>F30-Q30</f>
        <v>404087801.048803</v>
      </c>
      <c r="W30" s="4288">
        <f>IF(Q30=0,IF(Q30=0,1,V30/V30),V30/Q30)</f>
        <v>1.48918692577775</v>
      </c>
      <c r="X30" s="4267">
        <f>L30-R30</f>
        <v>-742459675.289994</v>
      </c>
      <c r="Y30" s="4288">
        <f>IF(R30=0,IF(R30=0,1,X30/X30),X30/R30)</f>
        <v>-0.719338262464823</v>
      </c>
    </row>
    <row r="31" s="4205" customFormat="1" spans="2:25">
      <c r="B31" s="4242"/>
      <c r="C31" s="4243"/>
      <c r="D31" s="4243" t="s">
        <v>819</v>
      </c>
      <c r="E31" s="2134"/>
      <c r="F31" s="4205">
        <f>+F30/$F$13</f>
        <v>0.0903639448568394</v>
      </c>
      <c r="G31" s="4244"/>
      <c r="I31" s="4244"/>
      <c r="K31" s="4244">
        <f>+K30/$K$13</f>
        <v>0.0941279151252339</v>
      </c>
      <c r="L31" s="4205">
        <f>+L30/$L$13</f>
        <v>0.0521810333058381</v>
      </c>
      <c r="M31" s="4244"/>
      <c r="O31" s="4244"/>
      <c r="Q31" s="4244">
        <f>+Q30/$Q$13</f>
        <v>0.0488783211910468</v>
      </c>
      <c r="R31" s="4205">
        <f>+R30/$R$13</f>
        <v>0.082525149625046</v>
      </c>
      <c r="S31" s="4244">
        <f>+S30/$S$13</f>
        <v>0.0549438307137545</v>
      </c>
      <c r="T31" s="4205">
        <f>+T30/$T$13</f>
        <v>0.0756023655034179</v>
      </c>
      <c r="U31" s="4244">
        <f>+U30/$U$13</f>
        <v>0.0646048335921568</v>
      </c>
      <c r="W31" s="4291"/>
      <c r="Y31" s="4291"/>
    </row>
    <row r="32" spans="2:25">
      <c r="B32" s="138"/>
      <c r="C32" s="2558"/>
      <c r="D32" s="134"/>
      <c r="E32" s="2134"/>
      <c r="F32" s="101"/>
      <c r="G32" s="135"/>
      <c r="H32" s="4241"/>
      <c r="I32" s="4237"/>
      <c r="J32" s="136"/>
      <c r="K32" s="161"/>
      <c r="L32" s="137"/>
      <c r="M32" s="161"/>
      <c r="N32" s="137"/>
      <c r="O32" s="161"/>
      <c r="P32" s="304"/>
      <c r="Q32" s="161"/>
      <c r="R32" s="304"/>
      <c r="S32" s="161"/>
      <c r="T32" s="304"/>
      <c r="U32" s="161"/>
      <c r="V32" s="304"/>
      <c r="W32" s="4288"/>
      <c r="X32" s="304"/>
      <c r="Y32" s="4288"/>
    </row>
    <row r="33" spans="2:25">
      <c r="B33" s="129" t="s">
        <v>641</v>
      </c>
      <c r="C33" s="2558"/>
      <c r="D33" s="134"/>
      <c r="E33" s="2134"/>
      <c r="F33" s="101"/>
      <c r="G33" s="135"/>
      <c r="H33" s="4241"/>
      <c r="I33" s="4237"/>
      <c r="J33" s="136"/>
      <c r="K33" s="161"/>
      <c r="L33" s="137"/>
      <c r="M33" s="161"/>
      <c r="N33" s="4239"/>
      <c r="O33" s="4207"/>
      <c r="P33" s="304"/>
      <c r="Q33" s="161"/>
      <c r="R33" s="304"/>
      <c r="S33" s="161"/>
      <c r="T33" s="304"/>
      <c r="U33" s="161"/>
      <c r="V33" s="304"/>
      <c r="W33" s="4288"/>
      <c r="X33" s="304"/>
      <c r="Y33" s="4288"/>
    </row>
    <row r="34" spans="2:25">
      <c r="B34" s="138"/>
      <c r="C34" s="134" t="s">
        <v>712</v>
      </c>
      <c r="D34" s="134"/>
      <c r="E34" s="2134">
        <v>60</v>
      </c>
      <c r="F34" s="101">
        <f>84952301*0</f>
        <v>0</v>
      </c>
      <c r="G34" s="135"/>
      <c r="H34" s="161">
        <f>SUMIF('F4'!$E$12:$E$158,C34,'F4'!$G$12:$G$158)</f>
        <v>106154843.160568</v>
      </c>
      <c r="I34" s="161">
        <f>SUMIF('F4'!$E$12:$E$158,C34,'F4'!$H$12:$H$158)</f>
        <v>0</v>
      </c>
      <c r="J34" s="136"/>
      <c r="K34" s="161">
        <f>+F34+H34-I34</f>
        <v>106154843.160568</v>
      </c>
      <c r="L34" s="137">
        <f>36737998.27375*0</f>
        <v>0</v>
      </c>
      <c r="M34" s="161"/>
      <c r="N34" s="161">
        <f>SUMIF('F4'!$E$12:$E$158,C34,'F4'!$I$12:$I$158)</f>
        <v>36095021.3763269</v>
      </c>
      <c r="O34" s="161">
        <f>SUMIF('F4'!$E$12:$E$158,C34,'F4'!$J$12:$J$158)</f>
        <v>0</v>
      </c>
      <c r="P34" s="304"/>
      <c r="Q34" s="161">
        <f>+L34+N34-O34</f>
        <v>36095021.3763269</v>
      </c>
      <c r="R34" s="304">
        <f>+Note21!AJ331</f>
        <v>207586987.608534</v>
      </c>
      <c r="S34" s="161">
        <v>109041144.34825</v>
      </c>
      <c r="T34" s="304">
        <v>153044215.375</v>
      </c>
      <c r="U34" s="161">
        <v>206545131</v>
      </c>
      <c r="V34" s="304">
        <f>F34-Q34</f>
        <v>-36095021.3763269</v>
      </c>
      <c r="W34" s="4288">
        <f>IF(Q34=0,IF(Q34=0,1,V34/V34),V34/Q34)</f>
        <v>-1</v>
      </c>
      <c r="X34" s="304">
        <f>L34-R34</f>
        <v>-207586987.608534</v>
      </c>
      <c r="Y34" s="4288">
        <f>IF(R34=0,IF(R34=0,1,X34/X34),X34/R34)</f>
        <v>-1</v>
      </c>
    </row>
    <row r="35" spans="2:25">
      <c r="B35" s="138"/>
      <c r="C35" s="134" t="s">
        <v>820</v>
      </c>
      <c r="D35" s="134"/>
      <c r="E35" s="2134"/>
      <c r="F35" s="294"/>
      <c r="G35" s="299"/>
      <c r="H35" s="184">
        <f>SUMIF('F4'!$E$12:$E$158,C35,'F4'!$G$12:$G$158)</f>
        <v>0</v>
      </c>
      <c r="I35" s="161">
        <f>SUMIF('F4'!$E$12:$E$158,C35,'F4'!$H$12:$H$158)</f>
        <v>0</v>
      </c>
      <c r="J35" s="1232"/>
      <c r="K35" s="161">
        <f>F35+H35-I35</f>
        <v>0</v>
      </c>
      <c r="L35" s="137">
        <v>0</v>
      </c>
      <c r="M35" s="161"/>
      <c r="N35" s="161">
        <f>SUMIF('F4'!$E$12:$E$158,C35,'F4'!$I$12:$I$158)</f>
        <v>0</v>
      </c>
      <c r="O35" s="161">
        <f>SUMIF('F4'!$E$12:$E$158,C35,'F4'!$J$12:$J$158)</f>
        <v>0</v>
      </c>
      <c r="P35"/>
      <c r="Q35" s="161">
        <f>L35+N35-O35</f>
        <v>0</v>
      </c>
      <c r="R35" s="304">
        <v>0</v>
      </c>
      <c r="S35" s="161">
        <v>0</v>
      </c>
      <c r="T35" s="304">
        <v>0</v>
      </c>
      <c r="U35" s="161">
        <v>0</v>
      </c>
      <c r="V35" s="304"/>
      <c r="W35" s="4288"/>
      <c r="X35" s="304">
        <f>L35-R35</f>
        <v>0</v>
      </c>
      <c r="Y35" s="4288">
        <f>IF(R35=0,IF(R35=0,1,X35/X35),X35/R35)</f>
        <v>1</v>
      </c>
    </row>
    <row r="36" spans="2:25">
      <c r="B36" s="141"/>
      <c r="C36" s="2920"/>
      <c r="D36" s="146"/>
      <c r="E36" s="2134"/>
      <c r="F36" s="148"/>
      <c r="G36" s="147"/>
      <c r="H36" s="136"/>
      <c r="I36" s="135"/>
      <c r="J36" s="136"/>
      <c r="K36" s="161"/>
      <c r="L36" s="137"/>
      <c r="M36" s="161"/>
      <c r="N36" s="137"/>
      <c r="O36" s="161"/>
      <c r="P36" s="304"/>
      <c r="Q36" s="161"/>
      <c r="R36" s="304"/>
      <c r="S36" s="161"/>
      <c r="T36" s="304"/>
      <c r="U36" s="161"/>
      <c r="V36" s="304"/>
      <c r="W36" s="4288"/>
      <c r="X36" s="304"/>
      <c r="Y36" s="4288"/>
    </row>
    <row r="37" spans="2:25">
      <c r="B37" s="129" t="s">
        <v>642</v>
      </c>
      <c r="C37" s="208"/>
      <c r="D37" s="134"/>
      <c r="E37" s="2134"/>
      <c r="F37" s="137">
        <f>SUM(F34:F36)</f>
        <v>0</v>
      </c>
      <c r="G37" s="135"/>
      <c r="H37" s="1224"/>
      <c r="I37" s="308"/>
      <c r="J37" s="1235"/>
      <c r="K37" s="308">
        <f>SUM(K34:K36)</f>
        <v>106154843.160568</v>
      </c>
      <c r="L37" s="1224">
        <f>SUM(L34:L35)</f>
        <v>0</v>
      </c>
      <c r="M37" s="161"/>
      <c r="N37" s="1224">
        <f>SUM(N34:N36)</f>
        <v>36095021.3763269</v>
      </c>
      <c r="O37" s="308">
        <f>SUM(O34:O36)</f>
        <v>0</v>
      </c>
      <c r="Q37" s="308">
        <f>SUM(Q34:Q36)</f>
        <v>36095021.3763269</v>
      </c>
      <c r="R37" s="4268">
        <f>SUM(R34:R35)</f>
        <v>207586987.608534</v>
      </c>
      <c r="S37" s="308">
        <f>SUM(S34:S35)</f>
        <v>109041144.34825</v>
      </c>
      <c r="T37" s="4268">
        <f>SUM(T34:T35)</f>
        <v>153044215.375</v>
      </c>
      <c r="U37" s="308">
        <f>SUM(U34:U35)</f>
        <v>206545131</v>
      </c>
      <c r="V37" s="4268">
        <f>F37-Q37</f>
        <v>-36095021.3763269</v>
      </c>
      <c r="W37" s="4288">
        <f>IF(Q37=0,IF(Q37=0,1,V37/V37),V37/Q37)</f>
        <v>-1</v>
      </c>
      <c r="X37" s="4268">
        <f>L37-R37</f>
        <v>-207586987.608534</v>
      </c>
      <c r="Y37" s="4288">
        <f>IF(R37=0,IF(R37=0,1,X37/X37),X37/R37)</f>
        <v>-1</v>
      </c>
    </row>
    <row r="38" spans="2:25">
      <c r="B38" s="129"/>
      <c r="C38" s="208"/>
      <c r="D38" s="134"/>
      <c r="E38" s="2134"/>
      <c r="F38" s="4239"/>
      <c r="G38" s="135"/>
      <c r="H38" s="136"/>
      <c r="I38" s="135"/>
      <c r="J38" s="136"/>
      <c r="K38" s="161"/>
      <c r="M38" s="161"/>
      <c r="N38" s="137"/>
      <c r="O38" s="161"/>
      <c r="Q38" s="161"/>
      <c r="R38" s="358"/>
      <c r="S38" s="143"/>
      <c r="T38" s="358"/>
      <c r="U38" s="143"/>
      <c r="V38" s="358"/>
      <c r="W38" s="4292"/>
      <c r="X38" s="358"/>
      <c r="Y38" s="4288"/>
    </row>
    <row r="39" spans="2:25">
      <c r="B39" s="363" t="s">
        <v>643</v>
      </c>
      <c r="C39" s="2557"/>
      <c r="D39" s="2771"/>
      <c r="E39" s="2134"/>
      <c r="F39" s="1227">
        <f>F30-F37</f>
        <v>675435738.674405</v>
      </c>
      <c r="G39" s="206"/>
      <c r="H39" s="260">
        <f>H30-H37</f>
        <v>0</v>
      </c>
      <c r="I39" s="207">
        <f>I30-I37</f>
        <v>0</v>
      </c>
      <c r="J39" s="233"/>
      <c r="K39" s="1228">
        <f>K30-K37</f>
        <v>597415125.848836</v>
      </c>
      <c r="L39" s="260">
        <f>L30-L37</f>
        <v>289682939.71</v>
      </c>
      <c r="M39" s="207"/>
      <c r="N39" s="260">
        <f>N30-N37</f>
        <v>-54430023.460725</v>
      </c>
      <c r="O39" s="207">
        <f>O30-O37</f>
        <v>0</v>
      </c>
      <c r="P39" s="1227"/>
      <c r="Q39" s="207">
        <f>Q30-Q37</f>
        <v>235252916.249275</v>
      </c>
      <c r="R39" s="4293">
        <f>R30-R37</f>
        <v>824555627.39146</v>
      </c>
      <c r="S39" s="3782">
        <f>S30-S37</f>
        <v>763288010.437753</v>
      </c>
      <c r="T39" s="4293">
        <f>T30-T37</f>
        <v>1071309507.625</v>
      </c>
      <c r="U39" s="3782">
        <f>U30-U37</f>
        <v>723411016</v>
      </c>
      <c r="V39" s="4293">
        <f>F39-Q39</f>
        <v>440182822.42513</v>
      </c>
      <c r="W39" s="4288">
        <f>IF(Q39=0,IF(Q39=0,1,V39/V39),V39/Q39)</f>
        <v>1.87110463684417</v>
      </c>
      <c r="X39" s="4293">
        <f>L39-R39</f>
        <v>-534872687.681461</v>
      </c>
      <c r="Y39" s="4288">
        <f>IF(R39=0,IF(R39=0,1,X39/X39),X39/R39)</f>
        <v>-0.648679931241956</v>
      </c>
    </row>
    <row r="40" s="4205" customFormat="1" spans="2:25">
      <c r="B40" s="4242"/>
      <c r="C40" s="4243"/>
      <c r="D40" s="4243" t="s">
        <v>821</v>
      </c>
      <c r="E40" s="2132"/>
      <c r="F40" s="4205">
        <f>+F39/$F$13</f>
        <v>0.0903639448568394</v>
      </c>
      <c r="G40" s="4244"/>
      <c r="I40" s="4244"/>
      <c r="K40" s="4244">
        <f>+K39/$K$13</f>
        <v>0.0799258676995614</v>
      </c>
      <c r="L40" s="4205">
        <f>+L39/$L$13</f>
        <v>0.0521810333058381</v>
      </c>
      <c r="M40" s="4244"/>
      <c r="O40" s="4244"/>
      <c r="Q40" s="4244">
        <f>+Q39/$Q$13</f>
        <v>0.0423764694958845</v>
      </c>
      <c r="R40" s="4205">
        <f>+R39/$R$13</f>
        <v>0.0659274944525514</v>
      </c>
      <c r="S40" s="4244">
        <f>+S39/$S$13</f>
        <v>0.0480758518745352</v>
      </c>
      <c r="T40" s="4205">
        <f>+T39/$T$13</f>
        <v>0.0661520698154907</v>
      </c>
      <c r="U40" s="4244">
        <f>+U39/$U$13</f>
        <v>0.0502559700886768</v>
      </c>
      <c r="W40" s="4291"/>
      <c r="Y40" s="4291"/>
    </row>
    <row r="41" spans="2:25">
      <c r="B41" s="129"/>
      <c r="C41" s="2558"/>
      <c r="D41" s="134"/>
      <c r="E41" s="2132"/>
      <c r="F41" s="101"/>
      <c r="G41" s="135"/>
      <c r="H41" s="136"/>
      <c r="I41" s="135"/>
      <c r="J41" s="136"/>
      <c r="K41" s="161"/>
      <c r="L41" s="137"/>
      <c r="M41" s="161"/>
      <c r="N41" s="137"/>
      <c r="O41" s="161"/>
      <c r="P41"/>
      <c r="Q41" s="161"/>
      <c r="R41" s="304"/>
      <c r="S41" s="161"/>
      <c r="T41" s="304"/>
      <c r="U41" s="161"/>
      <c r="V41" s="304"/>
      <c r="W41" s="4288"/>
      <c r="X41" s="304"/>
      <c r="Y41" s="4288"/>
    </row>
    <row r="42" spans="2:25">
      <c r="B42" s="129"/>
      <c r="C42" s="208" t="s">
        <v>644</v>
      </c>
      <c r="D42" s="134"/>
      <c r="E42" s="2132"/>
      <c r="F42" s="291"/>
      <c r="G42" s="135"/>
      <c r="H42" s="136"/>
      <c r="I42" s="135"/>
      <c r="J42" s="136"/>
      <c r="K42" s="4207">
        <f>F42+H42-I42</f>
        <v>0</v>
      </c>
      <c r="L42" s="137">
        <v>0</v>
      </c>
      <c r="M42" s="161"/>
      <c r="N42" s="137"/>
      <c r="O42" s="161"/>
      <c r="P42" s="304"/>
      <c r="Q42" s="4207">
        <f>L42+N42-O42</f>
        <v>0</v>
      </c>
      <c r="R42" s="304">
        <v>0</v>
      </c>
      <c r="S42" s="161">
        <v>0</v>
      </c>
      <c r="T42" s="304">
        <v>0</v>
      </c>
      <c r="U42" s="161">
        <v>0</v>
      </c>
      <c r="V42" s="304"/>
      <c r="W42" s="4288"/>
      <c r="X42" s="304">
        <f>L42-R42</f>
        <v>0</v>
      </c>
      <c r="Y42" s="4288">
        <f>IF(R42=0,IF(R42=0,1,X42/X42),X42/R42)</f>
        <v>1</v>
      </c>
    </row>
    <row r="43" spans="2:25">
      <c r="B43" s="129"/>
      <c r="C43" s="208"/>
      <c r="D43" s="134"/>
      <c r="E43" s="2132"/>
      <c r="F43" s="101"/>
      <c r="G43" s="135"/>
      <c r="H43" s="136"/>
      <c r="I43" s="135"/>
      <c r="J43" s="136"/>
      <c r="K43" s="161"/>
      <c r="L43" s="137"/>
      <c r="M43" s="161"/>
      <c r="N43" s="137"/>
      <c r="O43" s="161"/>
      <c r="P43" s="304"/>
      <c r="Q43" s="161"/>
      <c r="R43" s="304"/>
      <c r="S43" s="161"/>
      <c r="T43" s="304"/>
      <c r="U43" s="161"/>
      <c r="V43" s="304"/>
      <c r="W43" s="4288"/>
      <c r="X43" s="304"/>
      <c r="Y43" s="4288"/>
    </row>
    <row r="44" spans="2:25">
      <c r="B44" s="363" t="s">
        <v>645</v>
      </c>
      <c r="C44" s="205"/>
      <c r="D44" s="2771"/>
      <c r="E44" s="2036"/>
      <c r="F44" s="1227">
        <f>F39-F42</f>
        <v>675435738.674405</v>
      </c>
      <c r="G44" s="206"/>
      <c r="H44" s="260">
        <f>SUM(H13:H42)</f>
        <v>106221085.185568</v>
      </c>
      <c r="I44" s="207">
        <f>SUM(I13:I42)</f>
        <v>28200472.36</v>
      </c>
      <c r="J44" s="4265"/>
      <c r="K44" s="207">
        <f>K39-K42</f>
        <v>597415125.848836</v>
      </c>
      <c r="L44" s="260">
        <f>L39-L42</f>
        <v>289682939.71</v>
      </c>
      <c r="M44" s="207"/>
      <c r="N44" s="260">
        <f>N39-N42</f>
        <v>-54430023.460725</v>
      </c>
      <c r="O44" s="207">
        <f>O39-O42</f>
        <v>0</v>
      </c>
      <c r="P44" s="4267"/>
      <c r="Q44" s="207">
        <f>Q39-Q42</f>
        <v>235252916.249275</v>
      </c>
      <c r="R44" s="4267">
        <f>R39-R42</f>
        <v>824555627.39146</v>
      </c>
      <c r="S44" s="207">
        <f>S39-S42</f>
        <v>763288010.437753</v>
      </c>
      <c r="T44" s="4267">
        <f>T39-T42</f>
        <v>1071309507.625</v>
      </c>
      <c r="U44" s="207">
        <f>U39-U42</f>
        <v>723411016</v>
      </c>
      <c r="V44" s="4267">
        <f>F44-Q44</f>
        <v>440182822.42513</v>
      </c>
      <c r="W44" s="4288">
        <f>IF(Q44=0,IF(Q44=0,1,V44/V44),V44/Q44)</f>
        <v>1.87110463684417</v>
      </c>
      <c r="X44" s="4267">
        <f>L44-R44</f>
        <v>-534872687.681461</v>
      </c>
      <c r="Y44" s="4288">
        <f>IF(R44=0,IF(R44=0,1,X44/X44),X44/R44)</f>
        <v>-0.648679931241956</v>
      </c>
    </row>
    <row r="45" spans="2:25">
      <c r="B45" s="129"/>
      <c r="C45" s="208"/>
      <c r="D45" s="134"/>
      <c r="E45" s="2132"/>
      <c r="F45" s="101"/>
      <c r="G45" s="161"/>
      <c r="H45" s="137"/>
      <c r="I45" s="161"/>
      <c r="J45" s="4268"/>
      <c r="K45" s="161"/>
      <c r="L45" s="137"/>
      <c r="M45" s="4237"/>
      <c r="N45" s="137"/>
      <c r="O45" s="4207"/>
      <c r="P45" s="304"/>
      <c r="Q45" s="161"/>
      <c r="R45" s="308"/>
      <c r="S45" s="161"/>
      <c r="T45" s="304"/>
      <c r="U45" s="161"/>
      <c r="V45" s="304"/>
      <c r="W45" s="4288"/>
      <c r="X45" s="304"/>
      <c r="Y45" s="4288"/>
    </row>
    <row r="46" hidden="1" spans="2:25">
      <c r="B46" s="129" t="s">
        <v>646</v>
      </c>
      <c r="C46" s="208"/>
      <c r="D46" s="134"/>
      <c r="E46" s="2132"/>
      <c r="F46" s="4239">
        <f>+L51</f>
        <v>3672247101.16421</v>
      </c>
      <c r="G46" s="135"/>
      <c r="H46" s="136"/>
      <c r="I46" s="135"/>
      <c r="J46" s="136"/>
      <c r="K46" s="4207">
        <f>Q51</f>
        <v>3617817077.70349</v>
      </c>
      <c r="L46" s="4239">
        <f>+R51</f>
        <v>3382564161.45421</v>
      </c>
      <c r="M46" s="161"/>
      <c r="N46" s="137"/>
      <c r="O46" s="161"/>
      <c r="P46" s="304"/>
      <c r="Q46" s="4207">
        <f>L46+N46-O46</f>
        <v>3382564161.45421</v>
      </c>
      <c r="R46" s="4207">
        <f>+S51</f>
        <v>2558008534.06275</v>
      </c>
      <c r="S46" s="4239">
        <f>+T51</f>
        <v>1794720523.625</v>
      </c>
      <c r="T46" s="4207">
        <f>+U51</f>
        <v>723411016</v>
      </c>
      <c r="U46" s="4207">
        <v>0</v>
      </c>
      <c r="V46" s="304">
        <f>F46-Q46</f>
        <v>289682939.71</v>
      </c>
      <c r="W46" s="4288">
        <f>IF(Q46=0,IF(Q46=0,1,V46/V46),V46/Q46)</f>
        <v>0.0856400428441424</v>
      </c>
      <c r="X46" s="304">
        <f>L46-R46</f>
        <v>824555627.39146</v>
      </c>
      <c r="Y46" s="4288">
        <f>IF(R46=0,IF(R46=0,1,X46/X46),X46/R46)</f>
        <v>0.322342797692649</v>
      </c>
    </row>
    <row r="47" hidden="1" spans="2:25">
      <c r="B47" s="4231">
        <v>0</v>
      </c>
      <c r="C47" s="208"/>
      <c r="D47" s="134"/>
      <c r="E47" s="2132"/>
      <c r="F47" s="291"/>
      <c r="G47" s="135"/>
      <c r="H47" s="136"/>
      <c r="I47" s="135"/>
      <c r="J47" s="136"/>
      <c r="K47" s="4207"/>
      <c r="L47" s="4239"/>
      <c r="M47" s="161"/>
      <c r="N47" s="137"/>
      <c r="O47" s="161"/>
      <c r="P47" s="304"/>
      <c r="Q47" s="4207"/>
      <c r="R47" s="161"/>
      <c r="T47" s="161"/>
      <c r="V47" s="161"/>
      <c r="W47" s="4287"/>
      <c r="X47" s="161"/>
      <c r="Y47" s="4288"/>
    </row>
    <row r="48" hidden="1" spans="2:25">
      <c r="B48" s="129" t="s">
        <v>647</v>
      </c>
      <c r="C48" s="208" t="s">
        <v>647</v>
      </c>
      <c r="D48" s="134"/>
      <c r="E48" s="2132"/>
      <c r="F48" s="291"/>
      <c r="G48" s="135"/>
      <c r="H48" s="136"/>
      <c r="I48" s="135"/>
      <c r="J48" s="136"/>
      <c r="K48" s="4207">
        <v>0</v>
      </c>
      <c r="L48" s="4239"/>
      <c r="M48" s="161"/>
      <c r="N48" s="137"/>
      <c r="O48" s="161"/>
      <c r="P48" s="304"/>
      <c r="Q48" s="4207"/>
      <c r="R48" s="161">
        <v>0</v>
      </c>
      <c r="S48" s="101">
        <v>0</v>
      </c>
      <c r="T48" s="161">
        <v>0</v>
      </c>
      <c r="U48" s="101">
        <v>0</v>
      </c>
      <c r="V48" s="161"/>
      <c r="W48" s="4287"/>
      <c r="X48" s="161"/>
      <c r="Y48" s="4288"/>
    </row>
    <row r="49" hidden="1" spans="2:25">
      <c r="B49" s="129"/>
      <c r="C49" s="208"/>
      <c r="D49" s="134"/>
      <c r="E49" s="2132"/>
      <c r="F49" s="291"/>
      <c r="G49" s="135"/>
      <c r="H49" s="137"/>
      <c r="I49" s="161"/>
      <c r="J49" s="136"/>
      <c r="K49" s="4207"/>
      <c r="L49" s="4239"/>
      <c r="M49" s="161"/>
      <c r="N49" s="137"/>
      <c r="O49" s="161"/>
      <c r="P49" s="304"/>
      <c r="Q49" s="4207"/>
      <c r="R49" s="161"/>
      <c r="T49" s="161"/>
      <c r="V49" s="161"/>
      <c r="W49" s="4287"/>
      <c r="X49" s="161"/>
      <c r="Y49" s="4288"/>
    </row>
    <row r="50" hidden="1" spans="2:25">
      <c r="B50" s="129"/>
      <c r="C50" s="208"/>
      <c r="D50" s="134"/>
      <c r="E50" s="2132"/>
      <c r="F50" s="291"/>
      <c r="G50" s="135"/>
      <c r="H50" s="137"/>
      <c r="I50" s="161"/>
      <c r="J50" s="136"/>
      <c r="K50" s="161"/>
      <c r="L50" s="137"/>
      <c r="M50" s="161"/>
      <c r="N50" s="137"/>
      <c r="O50" s="161"/>
      <c r="P50" s="304"/>
      <c r="Q50" s="161"/>
      <c r="R50" s="161"/>
      <c r="S50" s="137"/>
      <c r="T50" s="161"/>
      <c r="U50" s="137"/>
      <c r="V50" s="161"/>
      <c r="W50" s="4287"/>
      <c r="X50" s="161"/>
      <c r="Y50" s="4288"/>
    </row>
    <row r="51" hidden="1" spans="2:25">
      <c r="B51" s="363" t="s">
        <v>648</v>
      </c>
      <c r="C51" s="205"/>
      <c r="D51" s="2771"/>
      <c r="E51" s="4247"/>
      <c r="F51" s="1225">
        <f>SUM(F44:F50)</f>
        <v>4347682839.83862</v>
      </c>
      <c r="G51" s="206"/>
      <c r="H51" s="3994">
        <f>SUM(H13:H50)</f>
        <v>212442170.371137</v>
      </c>
      <c r="I51" s="1227">
        <f>SUM(I13:I50)</f>
        <v>56400944.72</v>
      </c>
      <c r="J51" s="3014"/>
      <c r="K51" s="207">
        <f>SUM(K44:K50)</f>
        <v>4215232203.55232</v>
      </c>
      <c r="L51" s="363">
        <f>L44+L46</f>
        <v>3672247101.16421</v>
      </c>
      <c r="M51" s="207"/>
      <c r="N51" s="260">
        <f>N44</f>
        <v>-54430023.460725</v>
      </c>
      <c r="O51" s="207">
        <f>O44</f>
        <v>0</v>
      </c>
      <c r="P51" s="4267">
        <f>P44</f>
        <v>0</v>
      </c>
      <c r="Q51" s="207">
        <f>SUM(Q44:Q50)</f>
        <v>3617817077.70349</v>
      </c>
      <c r="R51" s="2518">
        <f>SUM(R44:R50)</f>
        <v>3382564161.45421</v>
      </c>
      <c r="S51" s="260">
        <f>SUM(S44:S50)</f>
        <v>2558008534.06275</v>
      </c>
      <c r="T51" s="207">
        <f>SUM(T44:T50)</f>
        <v>1794720523.625</v>
      </c>
      <c r="U51" s="2495">
        <f>SUM(U44:U50)</f>
        <v>723411016</v>
      </c>
      <c r="V51" s="207">
        <f>F51-Q51</f>
        <v>729865762.13513</v>
      </c>
      <c r="W51" s="4287">
        <f>IF(Q51=0,IF(Q51=0,1,V51/V51),V51/Q51)</f>
        <v>0.201742030196406</v>
      </c>
      <c r="X51" s="207">
        <f>L51-R51</f>
        <v>289682939.71</v>
      </c>
      <c r="Y51" s="4288">
        <f>IF(R51=0,IF(R51=0,1,X51/X51),X51/R51)</f>
        <v>0.0856400428441424</v>
      </c>
    </row>
    <row r="52" spans="2:25">
      <c r="B52" s="133"/>
      <c r="C52" s="134"/>
      <c r="D52" s="134"/>
      <c r="E52" s="2132"/>
      <c r="F52" s="101"/>
      <c r="G52" s="135"/>
      <c r="H52" s="304"/>
      <c r="J52" s="135"/>
      <c r="K52" s="101">
        <f>+I44+F44+H44</f>
        <v>809857296.219974</v>
      </c>
      <c r="L52" s="184"/>
      <c r="M52" s="161"/>
      <c r="N52" s="137"/>
      <c r="O52" s="161"/>
      <c r="P52" s="304"/>
      <c r="Q52" s="161"/>
      <c r="R52" s="184"/>
      <c r="S52" s="137"/>
      <c r="T52" s="161"/>
      <c r="U52" s="161"/>
      <c r="V52" s="161"/>
      <c r="W52" s="364"/>
      <c r="X52" s="161"/>
      <c r="Y52" s="4299"/>
    </row>
    <row r="53" spans="2:25">
      <c r="B53" s="141"/>
      <c r="C53" s="146"/>
      <c r="D53" s="146"/>
      <c r="E53" s="1086"/>
      <c r="F53" s="110">
        <v>0</v>
      </c>
      <c r="G53" s="147"/>
      <c r="H53" s="147"/>
      <c r="I53" s="148"/>
      <c r="J53" s="143"/>
      <c r="K53" s="110"/>
      <c r="L53" s="109"/>
      <c r="M53" s="143"/>
      <c r="N53" s="110"/>
      <c r="O53" s="143">
        <f>O51-N51</f>
        <v>54430023.460725</v>
      </c>
      <c r="P53" s="358"/>
      <c r="Q53" s="109"/>
      <c r="R53" s="143"/>
      <c r="S53" s="143"/>
      <c r="T53" s="143"/>
      <c r="U53" s="358"/>
      <c r="V53" s="143"/>
      <c r="W53" s="4294"/>
      <c r="X53" s="236"/>
      <c r="Y53" s="4300"/>
    </row>
    <row r="54" spans="13:25">
      <c r="M54" s="101"/>
      <c r="Y54" s="364"/>
    </row>
    <row r="55" spans="13:13">
      <c r="M55" s="2701"/>
    </row>
    <row r="56" spans="13:13">
      <c r="M56" s="2701"/>
    </row>
    <row r="57" spans="3:13">
      <c r="C57" s="101" t="s">
        <v>649</v>
      </c>
      <c r="D57" s="5034" t="str">
        <f>+'F2'!D54</f>
        <v>Sesuai dengan Saldo Buku Besar Periode 31 Desember 2022 &amp; 2021</v>
      </c>
      <c r="M57" s="2701"/>
    </row>
    <row r="58" spans="3:13">
      <c r="C58" s="101" t="s">
        <v>650</v>
      </c>
      <c r="D58" s="5034" t="str">
        <f>+'F2'!D55</f>
        <v>Sesuai dengan Saldo Audit Periode Sebelumnya</v>
      </c>
      <c r="M58" s="2701"/>
    </row>
    <row r="59" spans="3:13">
      <c r="C59" s="101" t="s">
        <v>187</v>
      </c>
      <c r="D59" s="5034" t="str">
        <f>+'F2'!D56</f>
        <v>Rumus dan Formula Perhitungan telah Diperiksa</v>
      </c>
      <c r="M59" s="2701"/>
    </row>
    <row r="60" spans="4:13">
      <c r="D60" s="209"/>
      <c r="M60" s="2701"/>
    </row>
    <row r="61" spans="4:13">
      <c r="D61" s="101">
        <f>'[78]F20'!D58</f>
        <v>0</v>
      </c>
      <c r="E61" s="102"/>
      <c r="M61" s="2701"/>
    </row>
    <row r="62" spans="5:13">
      <c r="E62" s="102"/>
      <c r="M62" s="2701"/>
    </row>
    <row r="63" spans="4:25">
      <c r="D63" s="100" t="s">
        <v>822</v>
      </c>
      <c r="E63" s="2701"/>
      <c r="F63" s="4248">
        <v>2022</v>
      </c>
      <c r="G63" s="4248">
        <f t="shared" ref="G63:L63" si="0">+F63-1</f>
        <v>2021</v>
      </c>
      <c r="H63" s="4248">
        <f t="shared" si="0"/>
        <v>2020</v>
      </c>
      <c r="I63" s="4248">
        <f t="shared" si="0"/>
        <v>2019</v>
      </c>
      <c r="J63" s="4248">
        <f t="shared" si="0"/>
        <v>2018</v>
      </c>
      <c r="K63" s="4248">
        <f t="shared" si="0"/>
        <v>2017</v>
      </c>
      <c r="L63" s="4248">
        <f t="shared" si="0"/>
        <v>2016</v>
      </c>
      <c r="M63" s="101"/>
      <c r="Y63" s="101"/>
    </row>
    <row r="64" spans="5:25">
      <c r="E64" s="2701"/>
      <c r="F64" s="101"/>
      <c r="G64" s="101"/>
      <c r="H64" s="101"/>
      <c r="I64" s="101"/>
      <c r="J64" s="101"/>
      <c r="K64" s="101"/>
      <c r="M64" s="101"/>
      <c r="Y64" s="101"/>
    </row>
    <row r="65" spans="4:25">
      <c r="D65" s="101" t="str">
        <f>+B13</f>
        <v>Pendapatan</v>
      </c>
      <c r="E65" s="2701"/>
      <c r="F65" s="101">
        <f>+F13</f>
        <v>7474615453.59131</v>
      </c>
      <c r="G65" s="101">
        <f>+L13</f>
        <v>5551498722</v>
      </c>
      <c r="H65" s="101">
        <f t="shared" ref="H65:K66" si="1">+R13</f>
        <v>12507006890.5</v>
      </c>
      <c r="I65" s="101">
        <f t="shared" si="1"/>
        <v>15876744367</v>
      </c>
      <c r="J65" s="101">
        <f t="shared" si="1"/>
        <v>16194648340</v>
      </c>
      <c r="K65" s="101">
        <f t="shared" si="1"/>
        <v>14394528943</v>
      </c>
      <c r="L65" s="101">
        <f>+'[79]P&amp;L22'!$P$12</f>
        <v>18209305548</v>
      </c>
      <c r="M65" s="101"/>
      <c r="Y65" s="101"/>
    </row>
    <row r="66" spans="4:25">
      <c r="D66" s="101" t="str">
        <f>+B14</f>
        <v>Harga Pokok Pendapatan</v>
      </c>
      <c r="E66" s="2701"/>
      <c r="F66" s="101">
        <f>+F14</f>
        <v>3053000539</v>
      </c>
      <c r="G66" s="101">
        <f>+L14</f>
        <v>3061286270</v>
      </c>
      <c r="H66" s="101">
        <f t="shared" si="1"/>
        <v>9124465383.46196</v>
      </c>
      <c r="I66" s="101">
        <f t="shared" si="1"/>
        <v>11397279711.2933</v>
      </c>
      <c r="J66" s="101">
        <f t="shared" si="1"/>
        <v>11797047243</v>
      </c>
      <c r="K66" s="101">
        <f t="shared" si="1"/>
        <v>10273865106</v>
      </c>
      <c r="L66" s="101">
        <f>+'[79]P&amp;L22'!$P$18</f>
        <v>14272910612.2578</v>
      </c>
      <c r="M66" s="101"/>
      <c r="Y66" s="101"/>
    </row>
    <row r="67" spans="2:25">
      <c r="B67"/>
      <c r="C67"/>
      <c r="D67" s="101" t="s">
        <v>823</v>
      </c>
      <c r="E67" s="2701"/>
      <c r="F67" s="101">
        <f>+F65-F66</f>
        <v>4421614914.59131</v>
      </c>
      <c r="G67" s="101">
        <f t="shared" ref="G67:L67" si="2">+G65-G66</f>
        <v>2490212452</v>
      </c>
      <c r="H67" s="101">
        <f t="shared" si="2"/>
        <v>3382541507.03804</v>
      </c>
      <c r="I67" s="101">
        <f t="shared" si="2"/>
        <v>4479464655.70665</v>
      </c>
      <c r="J67" s="101">
        <f t="shared" si="2"/>
        <v>4397601097</v>
      </c>
      <c r="K67" s="101">
        <f t="shared" si="2"/>
        <v>4120663837</v>
      </c>
      <c r="L67" s="101">
        <f t="shared" si="2"/>
        <v>3936394935.7422</v>
      </c>
      <c r="N67"/>
      <c r="O67"/>
      <c r="P67"/>
      <c r="Q67"/>
      <c r="R67"/>
      <c r="S67"/>
      <c r="T67"/>
      <c r="U67"/>
      <c r="V67"/>
      <c r="W67"/>
      <c r="X67"/>
      <c r="Y67"/>
    </row>
    <row r="68" spans="2:25">
      <c r="B68"/>
      <c r="C68"/>
      <c r="D68" s="4301" t="s">
        <v>824</v>
      </c>
      <c r="E68" s="2701"/>
      <c r="F68" s="4302">
        <f>+F67/F65</f>
        <v>0.591550821850891</v>
      </c>
      <c r="G68" s="4302">
        <f t="shared" ref="G68:L68" si="3">+G67/G65</f>
        <v>0.44856579758031</v>
      </c>
      <c r="H68" s="4302">
        <f t="shared" si="3"/>
        <v>0.270451718516868</v>
      </c>
      <c r="I68" s="4302">
        <f t="shared" si="3"/>
        <v>0.28214000000008</v>
      </c>
      <c r="J68" s="4302">
        <f t="shared" si="3"/>
        <v>0.271546563078998</v>
      </c>
      <c r="K68" s="4302">
        <f t="shared" si="3"/>
        <v>0.286265973226158</v>
      </c>
      <c r="L68" s="4302">
        <f t="shared" si="3"/>
        <v>0.216174907130083</v>
      </c>
      <c r="N68"/>
      <c r="O68"/>
      <c r="P68"/>
      <c r="Q68"/>
      <c r="R68"/>
      <c r="S68"/>
      <c r="T68"/>
      <c r="U68"/>
      <c r="V68"/>
      <c r="W68"/>
      <c r="X68"/>
      <c r="Y68"/>
    </row>
    <row r="69" spans="2:25">
      <c r="B69"/>
      <c r="C69"/>
      <c r="D69" s="101" t="s">
        <v>411</v>
      </c>
      <c r="E69" s="2701"/>
      <c r="F69" s="101"/>
      <c r="G69" s="101"/>
      <c r="H69" s="101"/>
      <c r="I69" s="101"/>
      <c r="J69" s="101"/>
      <c r="K69" s="101"/>
      <c r="N69"/>
      <c r="O69"/>
      <c r="P69"/>
      <c r="Q69"/>
      <c r="R69"/>
      <c r="S69"/>
      <c r="T69"/>
      <c r="U69"/>
      <c r="V69"/>
      <c r="W69"/>
      <c r="X69"/>
      <c r="Y69"/>
    </row>
    <row r="70" spans="2:25">
      <c r="B70"/>
      <c r="C70"/>
      <c r="D70" s="101" t="str">
        <f>+B20</f>
        <v>Beban penjualan</v>
      </c>
      <c r="E70" s="2701"/>
      <c r="F70" s="101">
        <f>+F20</f>
        <v>14200000</v>
      </c>
      <c r="G70" s="101">
        <f>+L20</f>
        <v>137331501.4</v>
      </c>
      <c r="H70" s="101">
        <f t="shared" ref="H70:K71" si="4">+R20</f>
        <v>270992605</v>
      </c>
      <c r="I70" s="101">
        <f t="shared" si="4"/>
        <v>505425621</v>
      </c>
      <c r="J70" s="101">
        <f t="shared" si="4"/>
        <v>447596315</v>
      </c>
      <c r="K70" s="101">
        <f t="shared" si="4"/>
        <v>480673904</v>
      </c>
      <c r="L70" s="101">
        <f>+'[79]P&amp;L22'!$P$24</f>
        <v>125355168.5</v>
      </c>
      <c r="N70"/>
      <c r="O70"/>
      <c r="P70"/>
      <c r="Q70"/>
      <c r="R70"/>
      <c r="S70"/>
      <c r="T70"/>
      <c r="U70"/>
      <c r="V70"/>
      <c r="W70"/>
      <c r="X70"/>
      <c r="Y70"/>
    </row>
    <row r="71" spans="2:25">
      <c r="B71"/>
      <c r="C71"/>
      <c r="D71" s="101" t="str">
        <f>+B21</f>
        <v>Beban umum dan administrasi</v>
      </c>
      <c r="E71" s="2701"/>
      <c r="F71" s="101">
        <f>+F21</f>
        <v>1283741219</v>
      </c>
      <c r="G71" s="101">
        <f>+L21</f>
        <v>1356172888.4</v>
      </c>
      <c r="H71" s="101">
        <f t="shared" si="4"/>
        <v>1401711967.03805</v>
      </c>
      <c r="I71" s="101">
        <f t="shared" si="4"/>
        <v>2628325222.82065</v>
      </c>
      <c r="J71" s="101">
        <f t="shared" si="4"/>
        <v>2439145659</v>
      </c>
      <c r="K71" s="101">
        <f t="shared" si="4"/>
        <v>2121194018</v>
      </c>
      <c r="L71" s="101">
        <f>+'[79]P&amp;L22'!$P$25+'[79]P&amp;L22'!$P$26</f>
        <v>1828848527.66667</v>
      </c>
      <c r="N71"/>
      <c r="O71"/>
      <c r="P71"/>
      <c r="Q71"/>
      <c r="R71"/>
      <c r="S71"/>
      <c r="T71"/>
      <c r="U71"/>
      <c r="V71"/>
      <c r="W71"/>
      <c r="X71"/>
      <c r="Y71"/>
    </row>
    <row r="72" spans="2:25">
      <c r="B72"/>
      <c r="C72"/>
      <c r="D72" s="101" t="s">
        <v>825</v>
      </c>
      <c r="E72" s="2701"/>
      <c r="F72" s="101">
        <f>SUM(F70:F71)</f>
        <v>1297941219</v>
      </c>
      <c r="G72" s="101">
        <f t="shared" ref="G72:L72" si="5">SUM(G70:G71)</f>
        <v>1493504389.8</v>
      </c>
      <c r="H72" s="101">
        <f t="shared" si="5"/>
        <v>1672704572.03805</v>
      </c>
      <c r="I72" s="101">
        <f t="shared" si="5"/>
        <v>3133750843.82065</v>
      </c>
      <c r="J72" s="101">
        <f t="shared" si="5"/>
        <v>2886741974</v>
      </c>
      <c r="K72" s="101">
        <f t="shared" si="5"/>
        <v>2601867922</v>
      </c>
      <c r="L72" s="101">
        <f t="shared" si="5"/>
        <v>1954203696.16667</v>
      </c>
      <c r="N72"/>
      <c r="O72"/>
      <c r="P72"/>
      <c r="Q72"/>
      <c r="R72"/>
      <c r="S72"/>
      <c r="T72"/>
      <c r="U72"/>
      <c r="V72"/>
      <c r="W72"/>
      <c r="X72"/>
      <c r="Y72"/>
    </row>
    <row r="73" spans="2:25">
      <c r="B73"/>
      <c r="C73"/>
      <c r="D73" s="4301" t="s">
        <v>826</v>
      </c>
      <c r="E73" s="2701"/>
      <c r="F73" s="4302">
        <f t="shared" ref="F73:L73" si="6">+F72/F65</f>
        <v>0.173646554402525</v>
      </c>
      <c r="G73" s="4302">
        <f t="shared" si="6"/>
        <v>0.269027241937641</v>
      </c>
      <c r="H73" s="4302">
        <f t="shared" si="6"/>
        <v>0.133741396857196</v>
      </c>
      <c r="I73" s="4302">
        <f t="shared" si="6"/>
        <v>0.197379939575911</v>
      </c>
      <c r="J73" s="4302">
        <f t="shared" si="6"/>
        <v>0.178252834726265</v>
      </c>
      <c r="K73" s="4302">
        <f t="shared" si="6"/>
        <v>0.180753947024107</v>
      </c>
      <c r="L73" s="4302">
        <f t="shared" si="6"/>
        <v>0.107318957936938</v>
      </c>
      <c r="N73"/>
      <c r="O73"/>
      <c r="P73"/>
      <c r="Q73"/>
      <c r="R73"/>
      <c r="S73"/>
      <c r="T73"/>
      <c r="U73"/>
      <c r="V73"/>
      <c r="W73"/>
      <c r="X73"/>
      <c r="Y73"/>
    </row>
    <row r="74" spans="2:25">
      <c r="B74"/>
      <c r="C74"/>
      <c r="D74" s="101" t="s">
        <v>827</v>
      </c>
      <c r="E74" s="2701"/>
      <c r="F74" s="101">
        <f t="shared" ref="F74:L74" si="7">+F67-F72</f>
        <v>3123673695.59131</v>
      </c>
      <c r="G74" s="101">
        <f t="shared" si="7"/>
        <v>996708062.2</v>
      </c>
      <c r="H74" s="101">
        <f t="shared" si="7"/>
        <v>1709836934.99999</v>
      </c>
      <c r="I74" s="101">
        <f t="shared" si="7"/>
        <v>1345713811.886</v>
      </c>
      <c r="J74" s="101">
        <f t="shared" si="7"/>
        <v>1510859123</v>
      </c>
      <c r="K74" s="101">
        <f t="shared" si="7"/>
        <v>1518795915</v>
      </c>
      <c r="L74" s="101">
        <f t="shared" si="7"/>
        <v>1982191239.57553</v>
      </c>
      <c r="N74"/>
      <c r="O74"/>
      <c r="P74"/>
      <c r="Q74"/>
      <c r="R74"/>
      <c r="S74"/>
      <c r="T74"/>
      <c r="U74"/>
      <c r="V74"/>
      <c r="W74"/>
      <c r="X74"/>
      <c r="Y74"/>
    </row>
    <row r="75" spans="2:25">
      <c r="B75"/>
      <c r="C75"/>
      <c r="D75" s="4301" t="s">
        <v>828</v>
      </c>
      <c r="E75" s="2701"/>
      <c r="F75" s="4302">
        <f>+F74/F65</f>
        <v>0.417904267448366</v>
      </c>
      <c r="G75" s="4302">
        <f t="shared" ref="G75:L75" si="8">+G74/G65</f>
        <v>0.179538555642668</v>
      </c>
      <c r="H75" s="4302">
        <f t="shared" si="8"/>
        <v>0.136710321659672</v>
      </c>
      <c r="I75" s="4302">
        <f t="shared" si="8"/>
        <v>0.0847600604241689</v>
      </c>
      <c r="J75" s="4302">
        <f t="shared" si="8"/>
        <v>0.0932937283527331</v>
      </c>
      <c r="K75" s="4302">
        <f t="shared" si="8"/>
        <v>0.105512026202051</v>
      </c>
      <c r="L75" s="4302">
        <f t="shared" si="8"/>
        <v>0.108855949193144</v>
      </c>
      <c r="N75"/>
      <c r="O75"/>
      <c r="P75"/>
      <c r="Q75"/>
      <c r="R75"/>
      <c r="S75"/>
      <c r="T75"/>
      <c r="U75"/>
      <c r="V75"/>
      <c r="W75"/>
      <c r="X75"/>
      <c r="Y75"/>
    </row>
    <row r="76" spans="2:25">
      <c r="B76"/>
      <c r="C76"/>
      <c r="D76" s="101" t="s">
        <v>829</v>
      </c>
      <c r="E76" s="2701"/>
      <c r="F76" s="101">
        <f>+'F3'!F28</f>
        <v>-2448237956.91691</v>
      </c>
      <c r="G76" s="101">
        <f>+L28</f>
        <v>-707025122.49</v>
      </c>
      <c r="H76" s="101">
        <f>+R28</f>
        <v>-677694320</v>
      </c>
      <c r="I76" s="101">
        <f>+S28</f>
        <v>-473384657.1</v>
      </c>
      <c r="J76" s="101">
        <f>+T28</f>
        <v>-286505400</v>
      </c>
      <c r="K76" s="101">
        <f>+U28</f>
        <v>-588839768</v>
      </c>
      <c r="N76"/>
      <c r="O76"/>
      <c r="P76"/>
      <c r="Q76"/>
      <c r="R76"/>
      <c r="S76"/>
      <c r="T76"/>
      <c r="U76"/>
      <c r="V76"/>
      <c r="W76"/>
      <c r="X76"/>
      <c r="Y76"/>
    </row>
    <row r="77" spans="2:25">
      <c r="B77"/>
      <c r="C77"/>
      <c r="D77" s="101" t="s">
        <v>830</v>
      </c>
      <c r="E77" s="2701"/>
      <c r="F77" s="101">
        <f t="shared" ref="F77:K77" si="9">+F74+F76</f>
        <v>675435738.674405</v>
      </c>
      <c r="G77" s="101">
        <f t="shared" si="9"/>
        <v>289682939.71</v>
      </c>
      <c r="H77" s="101">
        <f t="shared" si="9"/>
        <v>1032142614.99999</v>
      </c>
      <c r="I77" s="101">
        <f t="shared" si="9"/>
        <v>872329154.786004</v>
      </c>
      <c r="J77" s="101">
        <f t="shared" si="9"/>
        <v>1224353723</v>
      </c>
      <c r="K77" s="101">
        <f t="shared" si="9"/>
        <v>929956147</v>
      </c>
      <c r="N77"/>
      <c r="O77"/>
      <c r="P77"/>
      <c r="Q77"/>
      <c r="R77"/>
      <c r="S77"/>
      <c r="T77"/>
      <c r="U77"/>
      <c r="V77"/>
      <c r="W77"/>
      <c r="X77"/>
      <c r="Y77"/>
    </row>
    <row r="78" spans="2:25">
      <c r="B78"/>
      <c r="C78"/>
      <c r="D78" s="4301" t="s">
        <v>831</v>
      </c>
      <c r="E78" s="2636"/>
      <c r="F78" s="4302">
        <f t="shared" ref="F78:K78" si="10">+F77/F65</f>
        <v>0.0903639448568394</v>
      </c>
      <c r="G78" s="4302">
        <f t="shared" si="10"/>
        <v>0.0521810333058381</v>
      </c>
      <c r="H78" s="4302">
        <f t="shared" si="10"/>
        <v>0.082525149625046</v>
      </c>
      <c r="I78" s="4302">
        <f t="shared" si="10"/>
        <v>0.0549438307137545</v>
      </c>
      <c r="J78" s="4302">
        <f t="shared" si="10"/>
        <v>0.0756023655034179</v>
      </c>
      <c r="K78" s="4302">
        <f t="shared" si="10"/>
        <v>0.0646048335921568</v>
      </c>
      <c r="L78"/>
      <c r="N78"/>
      <c r="O78"/>
      <c r="P78"/>
      <c r="Q78"/>
      <c r="R78"/>
      <c r="S78"/>
      <c r="T78"/>
      <c r="U78"/>
      <c r="V78"/>
      <c r="W78"/>
      <c r="X78"/>
      <c r="Y78"/>
    </row>
    <row r="79" spans="4:11">
      <c r="D79" s="101" t="s">
        <v>832</v>
      </c>
      <c r="F79" s="4303">
        <f>+F37</f>
        <v>0</v>
      </c>
      <c r="G79" s="4303">
        <f>+Q37</f>
        <v>36095021.3763269</v>
      </c>
      <c r="H79" s="4303">
        <f>+R37</f>
        <v>207586987.608534</v>
      </c>
      <c r="I79" s="4303">
        <f>+S37</f>
        <v>109041144.34825</v>
      </c>
      <c r="J79" s="4303">
        <f>+T37</f>
        <v>153044215.375</v>
      </c>
      <c r="K79" s="4303">
        <f>+U37</f>
        <v>206545131</v>
      </c>
    </row>
    <row r="80" spans="4:11">
      <c r="D80" s="101" t="s">
        <v>833</v>
      </c>
      <c r="F80" s="4303">
        <f t="shared" ref="F80:K80" si="11">+F77-F79</f>
        <v>675435738.674405</v>
      </c>
      <c r="G80" s="4303">
        <f t="shared" si="11"/>
        <v>253587918.333673</v>
      </c>
      <c r="H80" s="4303">
        <f t="shared" si="11"/>
        <v>824555627.39146</v>
      </c>
      <c r="I80" s="4303">
        <f t="shared" si="11"/>
        <v>763288010.437753</v>
      </c>
      <c r="J80" s="4303">
        <f t="shared" si="11"/>
        <v>1071309507.625</v>
      </c>
      <c r="K80" s="4303">
        <f t="shared" si="11"/>
        <v>723411016</v>
      </c>
    </row>
    <row r="81" spans="4:11">
      <c r="D81" s="4301" t="s">
        <v>834</v>
      </c>
      <c r="F81" s="4302">
        <f t="shared" ref="F81:K81" si="12">+F80/F65</f>
        <v>0.0903639448568394</v>
      </c>
      <c r="G81" s="4302">
        <f t="shared" si="12"/>
        <v>0.0456791816106758</v>
      </c>
      <c r="H81" s="4302">
        <f t="shared" si="12"/>
        <v>0.0659274944525514</v>
      </c>
      <c r="I81" s="4302">
        <f t="shared" si="12"/>
        <v>0.0480758518745352</v>
      </c>
      <c r="J81" s="4302">
        <f t="shared" si="12"/>
        <v>0.0661520698154907</v>
      </c>
      <c r="K81" s="4302">
        <f t="shared" si="12"/>
        <v>0.0502559700886768</v>
      </c>
    </row>
    <row r="83" spans="4:11">
      <c r="D83" s="4304" t="s">
        <v>835</v>
      </c>
      <c r="F83" s="4248">
        <v>2022</v>
      </c>
      <c r="G83" s="4248">
        <f>+F83-1</f>
        <v>2021</v>
      </c>
      <c r="H83" s="4248">
        <f>+G83-1</f>
        <v>2020</v>
      </c>
      <c r="I83" s="4248">
        <f>+H83-1</f>
        <v>2019</v>
      </c>
      <c r="J83" s="4248">
        <f>+I83-1</f>
        <v>2018</v>
      </c>
      <c r="K83" s="4248">
        <f>+J83-1</f>
        <v>2017</v>
      </c>
    </row>
    <row r="84" spans="4:11">
      <c r="D84" s="101" t="str">
        <f>+D65</f>
        <v>Pendapatan</v>
      </c>
      <c r="F84" s="4305">
        <f t="shared" ref="F84:K85" si="13">+(F65-G65)/G65</f>
        <v>0.346413973576217</v>
      </c>
      <c r="G84" s="4305">
        <f t="shared" si="13"/>
        <v>-0.55612891472725</v>
      </c>
      <c r="H84" s="4305">
        <f t="shared" si="13"/>
        <v>-0.21224360603198</v>
      </c>
      <c r="I84" s="4305">
        <f t="shared" si="13"/>
        <v>-0.0196301868571479</v>
      </c>
      <c r="J84" s="4305">
        <f t="shared" si="13"/>
        <v>0.125055804474615</v>
      </c>
      <c r="K84" s="4305">
        <f t="shared" si="13"/>
        <v>-0.209495996151209</v>
      </c>
    </row>
    <row r="85" spans="4:11">
      <c r="D85" s="101" t="s">
        <v>836</v>
      </c>
      <c r="F85" s="4306">
        <f t="shared" si="13"/>
        <v>-0.00270661750297531</v>
      </c>
      <c r="G85" s="4305">
        <f t="shared" si="13"/>
        <v>-0.664496916657872</v>
      </c>
      <c r="H85" s="4305">
        <f t="shared" si="13"/>
        <v>-0.199417263189505</v>
      </c>
      <c r="I85" s="4305">
        <f t="shared" si="13"/>
        <v>-0.0338870840704536</v>
      </c>
      <c r="J85" s="4305">
        <f t="shared" si="13"/>
        <v>0.14825794589326</v>
      </c>
      <c r="K85" s="4305">
        <f t="shared" si="13"/>
        <v>-0.280184302620333</v>
      </c>
    </row>
    <row r="86" ht="8.1" customHeight="1"/>
    <row r="87" spans="4:11">
      <c r="D87" s="101" t="s">
        <v>411</v>
      </c>
      <c r="F87" s="4306">
        <f t="shared" ref="F87:K87" si="14">+(F72-G72)/G72</f>
        <v>-0.130942481411915</v>
      </c>
      <c r="G87" s="4306">
        <f t="shared" si="14"/>
        <v>-0.107131997624485</v>
      </c>
      <c r="H87" s="4306">
        <f t="shared" si="14"/>
        <v>-0.466229239208215</v>
      </c>
      <c r="I87" s="4306">
        <f t="shared" si="14"/>
        <v>0.0855666602853263</v>
      </c>
      <c r="J87" s="4306">
        <f t="shared" si="14"/>
        <v>0.109488283241151</v>
      </c>
      <c r="K87" s="4306">
        <f t="shared" si="14"/>
        <v>0.331421042291434</v>
      </c>
    </row>
  </sheetData>
  <mergeCells count="5">
    <mergeCell ref="N8:O8"/>
    <mergeCell ref="V9:W9"/>
    <mergeCell ref="X9:Y9"/>
    <mergeCell ref="H10:I10"/>
    <mergeCell ref="N10:O10"/>
  </mergeCells>
  <hyperlinks>
    <hyperlink ref="E14" location="'20'!A1" display="20"/>
    <hyperlink ref="E28" location="'50'!A1" display="50"/>
    <hyperlink ref="E13" location="'10'!A1" display="10"/>
    <hyperlink ref="E21" location="'40'!A1" display="40"/>
    <hyperlink ref="C7" location="'50'!A1" display="WORKING PROFIT &amp; LOSS"/>
  </hyperlinks>
  <printOptions horizontalCentered="1" gridLines="1"/>
  <pageMargins left="0.511811023622047" right="0.511811023622047" top="0.590551181102362" bottom="0.748031496062992" header="0.511811023622047" footer="0.393700787401575"/>
  <pageSetup paperSize="9" scale="74" orientation="landscape"/>
  <headerFooter alignWithMargins="0">
    <oddFooter>&amp;R&amp;"Arial,Bold"&amp;28F3</oddFooter>
  </headerFooter>
  <drawing r:id="rId1"/>
  <legacyDrawing r:id="rId2"/>
  <oleObjects>
    <mc:AlternateContent xmlns:mc="http://schemas.openxmlformats.org/markup-compatibility/2006">
      <mc:Choice Requires="x14">
        <oleObject shapeId="6218753" progId="Word.Picture.8" r:id="rId3">
          <objectPr defaultSize="0" r:id="rId4">
            <anchor moveWithCells="1" sizeWithCells="1">
              <from>
                <xdr:col>16</xdr:col>
                <xdr:colOff>1022350</xdr:colOff>
                <xdr:row>4</xdr:row>
                <xdr:rowOff>0</xdr:rowOff>
              </from>
              <to>
                <xdr:col>18</xdr:col>
                <xdr:colOff>0</xdr:colOff>
                <xdr:row>4</xdr:row>
                <xdr:rowOff>0</xdr:rowOff>
              </to>
            </anchor>
          </objectPr>
        </oleObject>
      </mc:Choice>
      <mc:Fallback>
        <oleObject shapeId="6218753" progId="Word.Picture.8" r:id="rId3"/>
      </mc:Fallback>
    </mc:AlternateContent>
    <mc:AlternateContent xmlns:mc="http://schemas.openxmlformats.org/markup-compatibility/2006">
      <mc:Choice Requires="x14">
        <oleObject shapeId="6218757" progId="Paint.Picture" r:id="rId5">
          <objectPr defaultSize="0" r:id="rId6">
            <anchor moveWithCells="1">
              <from>
                <xdr:col>16</xdr:col>
                <xdr:colOff>514350</xdr:colOff>
                <xdr:row>10</xdr:row>
                <xdr:rowOff>57150</xdr:rowOff>
              </from>
              <to>
                <xdr:col>16</xdr:col>
                <xdr:colOff>692150</xdr:colOff>
                <xdr:row>11</xdr:row>
                <xdr:rowOff>76200</xdr:rowOff>
              </to>
            </anchor>
          </objectPr>
        </oleObject>
      </mc:Choice>
      <mc:Fallback>
        <oleObject shapeId="6218757" progId="Paint.Picture" r:id="rId5"/>
      </mc:Fallback>
    </mc:AlternateContent>
    <mc:AlternateContent xmlns:mc="http://schemas.openxmlformats.org/markup-compatibility/2006">
      <mc:Choice Requires="x14">
        <oleObject shapeId="6218758" progId="Paint.Picture" r:id="rId7">
          <objectPr defaultSize="0" r:id="rId8">
            <anchor moveWithCells="1">
              <from>
                <xdr:col>7</xdr:col>
                <xdr:colOff>673100</xdr:colOff>
                <xdr:row>54</xdr:row>
                <xdr:rowOff>63500</xdr:rowOff>
              </from>
              <to>
                <xdr:col>7</xdr:col>
                <xdr:colOff>927100</xdr:colOff>
                <xdr:row>55</xdr:row>
                <xdr:rowOff>114300</xdr:rowOff>
              </to>
            </anchor>
          </objectPr>
        </oleObject>
      </mc:Choice>
      <mc:Fallback>
        <oleObject shapeId="6218758" progId="Paint.Picture" r:id="rId7"/>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399975585192419"/>
  </sheetPr>
  <dimension ref="B1:AX276"/>
  <sheetViews>
    <sheetView showGridLines="0" zoomScale="115" zoomScaleNormal="115" workbookViewId="0">
      <pane xSplit="21" ySplit="7" topLeftCell="V44" activePane="bottomRight" state="frozen"/>
      <selection/>
      <selection pane="topRight"/>
      <selection pane="bottomLeft"/>
      <selection pane="bottomRight" activeCell="K51" sqref="K51"/>
    </sheetView>
  </sheetViews>
  <sheetFormatPr defaultColWidth="9.13541666666667" defaultRowHeight="11.4"/>
  <cols>
    <col min="1" max="1" width="2.69791666666667" style="3606" customWidth="1"/>
    <col min="2" max="8" width="2.25" style="3606" customWidth="1"/>
    <col min="9" max="9" width="3" style="3606" customWidth="1"/>
    <col min="10" max="10" width="4.9375" style="3606" customWidth="1"/>
    <col min="11" max="11" width="3.73958333333333" style="3606" customWidth="1"/>
    <col min="12" max="13" width="3.14583333333333" style="3606" customWidth="1"/>
    <col min="14" max="14" width="3.73958333333333" style="3606" customWidth="1"/>
    <col min="15" max="17" width="3.44791666666667" style="3606" customWidth="1"/>
    <col min="18" max="18" width="3.14583333333333" style="4049" customWidth="1"/>
    <col min="19" max="22" width="2.25" style="4049" customWidth="1"/>
    <col min="23" max="23" width="16.1770833333333" style="4049" hidden="1" customWidth="1"/>
    <col min="24" max="24" width="2.25" style="4049" customWidth="1"/>
    <col min="25" max="28" width="2.25" style="3606" customWidth="1"/>
    <col min="29" max="29" width="2.84375" style="3606" customWidth="1"/>
    <col min="30" max="38" width="2.25" style="3606" customWidth="1"/>
    <col min="39" max="39" width="2.69791666666667" style="3606" customWidth="1"/>
    <col min="40" max="40" width="4.64583333333333" style="3606" customWidth="1"/>
    <col min="41" max="41" width="15.1354166666667" style="3606" customWidth="1"/>
    <col min="42" max="42" width="15.8854166666667" style="3606" customWidth="1"/>
    <col min="43" max="43" width="14.6875" style="3606" customWidth="1"/>
    <col min="44" max="46" width="9.13541666666667" style="3606"/>
    <col min="47" max="47" width="16.3333333333333" style="3606" customWidth="1"/>
    <col min="48" max="16384" width="9.13541666666667" style="3606"/>
  </cols>
  <sheetData>
    <row r="1" ht="12" customHeight="1" spans="2:43">
      <c r="B1" s="3607" t="str">
        <f>PM!F4</f>
        <v>PT INTAN GIRI ABADI</v>
      </c>
      <c r="V1" s="4052"/>
      <c r="W1" s="4053" t="s">
        <v>531</v>
      </c>
      <c r="X1" s="4053"/>
      <c r="Y1" s="4079"/>
      <c r="Z1" s="4079"/>
      <c r="AA1" s="4053" t="s">
        <v>532</v>
      </c>
      <c r="AB1" s="4053"/>
      <c r="AC1" s="4053"/>
      <c r="AD1" s="4053"/>
      <c r="AE1" s="4053"/>
      <c r="AF1" s="4053"/>
      <c r="AG1" s="4053"/>
      <c r="AH1" s="4087"/>
      <c r="AI1" s="4088" t="s">
        <v>533</v>
      </c>
      <c r="AJ1" s="4088"/>
      <c r="AK1" s="4088"/>
      <c r="AL1" s="4088"/>
      <c r="AM1" s="4088"/>
      <c r="AN1" s="4089"/>
      <c r="AO1" s="4089"/>
      <c r="AP1" s="4101"/>
      <c r="AQ1" s="3606" t="s">
        <v>410</v>
      </c>
    </row>
    <row r="2" ht="12" customHeight="1" spans="2:42">
      <c r="B2" s="5010" t="s">
        <v>284</v>
      </c>
      <c r="V2" s="4052"/>
      <c r="W2" s="4053"/>
      <c r="X2" s="4053"/>
      <c r="Y2" s="4079"/>
      <c r="Z2" s="4079"/>
      <c r="AA2" s="4053"/>
      <c r="AB2" s="4053"/>
      <c r="AC2" s="4053"/>
      <c r="AD2" s="4053"/>
      <c r="AE2" s="4053"/>
      <c r="AF2" s="4053"/>
      <c r="AG2" s="4053"/>
      <c r="AH2"/>
      <c r="AI2" s="4088"/>
      <c r="AJ2" s="4088"/>
      <c r="AK2" s="4088"/>
      <c r="AL2" s="4088"/>
      <c r="AM2" s="4088"/>
      <c r="AN2" s="4089"/>
      <c r="AO2" s="4089"/>
      <c r="AP2" s="4101"/>
    </row>
    <row r="3" ht="12" customHeight="1" spans="2:42">
      <c r="B3" s="5010" t="s">
        <v>837</v>
      </c>
      <c r="V3" s="4052"/>
      <c r="W3" s="4053"/>
      <c r="X3" s="4053"/>
      <c r="Y3" s="4079"/>
      <c r="Z3" s="4079"/>
      <c r="AA3" s="4053"/>
      <c r="AB3" s="4053"/>
      <c r="AC3" s="4053"/>
      <c r="AD3" s="4053"/>
      <c r="AE3" s="4053"/>
      <c r="AF3" s="4053"/>
      <c r="AG3" s="4053"/>
      <c r="AH3"/>
      <c r="AI3" s="4088"/>
      <c r="AJ3" s="4088"/>
      <c r="AK3" s="4088"/>
      <c r="AL3" s="4088"/>
      <c r="AM3" s="4088"/>
      <c r="AN3" s="4089"/>
      <c r="AO3" s="4089"/>
      <c r="AP3" s="4101"/>
    </row>
    <row r="4" ht="12" customHeight="1" spans="2:42">
      <c r="B4" s="3609" t="s">
        <v>450</v>
      </c>
      <c r="V4" s="4052"/>
      <c r="W4" s="4053"/>
      <c r="X4" s="4053"/>
      <c r="Y4" s="4079"/>
      <c r="Z4" s="4079"/>
      <c r="AA4" s="4053" t="s">
        <v>535</v>
      </c>
      <c r="AB4" s="4053"/>
      <c r="AC4" s="4053"/>
      <c r="AD4" s="4053"/>
      <c r="AE4" s="4053"/>
      <c r="AF4" s="4053"/>
      <c r="AG4" s="4053"/>
      <c r="AH4"/>
      <c r="AI4" s="4088" t="s">
        <v>275</v>
      </c>
      <c r="AJ4" s="4088"/>
      <c r="AK4" s="4088"/>
      <c r="AL4" s="4088"/>
      <c r="AM4" s="4088"/>
      <c r="AN4" s="4089"/>
      <c r="AO4" s="4089"/>
      <c r="AP4" s="4102"/>
    </row>
    <row r="5" ht="12" customHeight="1" spans="2:43">
      <c r="B5" s="3610"/>
      <c r="C5" s="3611"/>
      <c r="D5" s="3611"/>
      <c r="E5" s="3611"/>
      <c r="F5" s="3611"/>
      <c r="G5" s="3611"/>
      <c r="H5" s="3611"/>
      <c r="I5" s="3611"/>
      <c r="J5" s="3611"/>
      <c r="K5" s="3611"/>
      <c r="L5" s="3611"/>
      <c r="M5" s="3611"/>
      <c r="N5" s="3611"/>
      <c r="O5" s="3611"/>
      <c r="P5" s="3611"/>
      <c r="Q5" s="3611"/>
      <c r="R5" s="4054"/>
      <c r="S5" s="4054"/>
      <c r="T5" s="4054"/>
      <c r="U5" s="4054"/>
      <c r="V5" s="4054"/>
      <c r="W5" s="4054"/>
      <c r="X5" s="4054"/>
      <c r="Y5" s="4054"/>
      <c r="Z5" s="4054"/>
      <c r="AA5" s="4054"/>
      <c r="AB5" s="4054"/>
      <c r="AC5" s="4054"/>
      <c r="AD5" s="4054"/>
      <c r="AE5" s="4054"/>
      <c r="AF5" s="4054"/>
      <c r="AG5" s="4054"/>
      <c r="AH5" s="4054"/>
      <c r="AI5" s="4054"/>
      <c r="AJ5" s="4054"/>
      <c r="AK5" s="4054"/>
      <c r="AL5" s="4054"/>
      <c r="AM5" s="4054"/>
      <c r="AP5" s="4102"/>
      <c r="AQ5" s="4048"/>
    </row>
    <row r="6" ht="12" spans="42:43">
      <c r="AP6" s="2436"/>
      <c r="AQ6" s="4048"/>
    </row>
    <row r="7" ht="15.75" customHeight="1" spans="2:43">
      <c r="B7" s="3606" t="s">
        <v>480</v>
      </c>
      <c r="R7" s="4055" t="s">
        <v>536</v>
      </c>
      <c r="S7" s="4055"/>
      <c r="T7" s="4055"/>
      <c r="U7" s="4055"/>
      <c r="V7" s="4056"/>
      <c r="W7" s="4057">
        <v>2022</v>
      </c>
      <c r="X7" s="4057"/>
      <c r="Y7" s="4057">
        <v>2021</v>
      </c>
      <c r="Z7" s="4057"/>
      <c r="AA7" s="4057"/>
      <c r="AB7" s="4057"/>
      <c r="AC7" s="4057"/>
      <c r="AD7" s="4057"/>
      <c r="AE7" s="4057"/>
      <c r="AG7" s="5022" t="s">
        <v>453</v>
      </c>
      <c r="AH7" s="4090"/>
      <c r="AI7" s="4090"/>
      <c r="AJ7" s="4090"/>
      <c r="AK7" s="4090"/>
      <c r="AL7" s="4090"/>
      <c r="AM7" s="4090"/>
      <c r="AN7" s="2429"/>
      <c r="AO7" s="4196">
        <v>2019</v>
      </c>
      <c r="AP7" s="4103" t="s">
        <v>838</v>
      </c>
      <c r="AQ7" s="4103" t="s">
        <v>839</v>
      </c>
    </row>
    <row r="8" spans="18:42">
      <c r="R8" s="4058"/>
      <c r="S8" s="4058"/>
      <c r="T8" s="4058"/>
      <c r="U8" s="4058"/>
      <c r="V8" s="4059"/>
      <c r="W8" s="4059"/>
      <c r="X8" s="4060"/>
      <c r="Y8" s="4080"/>
      <c r="Z8" s="4080"/>
      <c r="AA8" s="4080"/>
      <c r="AB8" s="4080"/>
      <c r="AC8" s="4080"/>
      <c r="AD8" s="4080"/>
      <c r="AE8" s="4080"/>
      <c r="AF8" s="4081"/>
      <c r="AG8" s="4080"/>
      <c r="AH8" s="4080"/>
      <c r="AI8" s="4080"/>
      <c r="AJ8" s="4080"/>
      <c r="AK8" s="4080"/>
      <c r="AL8" s="4080"/>
      <c r="AM8" s="4080"/>
      <c r="AN8" s="4091"/>
      <c r="AO8" s="4091"/>
      <c r="AP8" s="4091"/>
    </row>
    <row r="9" ht="12" spans="2:42">
      <c r="B9" s="3607" t="s">
        <v>499</v>
      </c>
      <c r="R9" s="4061"/>
      <c r="S9" s="4061"/>
      <c r="T9" s="4061"/>
      <c r="U9" s="4061"/>
      <c r="V9" s="4059"/>
      <c r="W9" s="4061"/>
      <c r="X9" s="4060"/>
      <c r="Y9"/>
      <c r="Z9"/>
      <c r="AA9"/>
      <c r="AB9"/>
      <c r="AC9"/>
      <c r="AD9"/>
      <c r="AE9"/>
      <c r="AF9" s="4081"/>
      <c r="AG9" s="4081"/>
      <c r="AH9" s="4081"/>
      <c r="AI9" s="4081"/>
      <c r="AJ9" s="4081"/>
      <c r="AK9" s="4081"/>
      <c r="AL9" s="4081"/>
      <c r="AM9" s="4081"/>
      <c r="AN9" s="4081"/>
      <c r="AO9" s="4081"/>
      <c r="AP9" s="4091"/>
    </row>
    <row r="10" ht="12" spans="2:42">
      <c r="B10" s="3607" t="s">
        <v>540</v>
      </c>
      <c r="R10" s="4061"/>
      <c r="S10" s="4061"/>
      <c r="T10" s="4061"/>
      <c r="U10" s="4061"/>
      <c r="V10" s="4059"/>
      <c r="W10" s="4061"/>
      <c r="X10" s="4060"/>
      <c r="Y10"/>
      <c r="Z10"/>
      <c r="AA10"/>
      <c r="AB10"/>
      <c r="AC10"/>
      <c r="AD10"/>
      <c r="AE10"/>
      <c r="AF10" s="4081"/>
      <c r="AG10"/>
      <c r="AH10"/>
      <c r="AI10"/>
      <c r="AJ10"/>
      <c r="AK10"/>
      <c r="AL10"/>
      <c r="AM10"/>
      <c r="AN10"/>
      <c r="AO10"/>
      <c r="AP10" s="4091"/>
    </row>
    <row r="11" spans="2:43">
      <c r="B11" s="3606" t="s">
        <v>541</v>
      </c>
      <c r="R11" s="4062">
        <v>3</v>
      </c>
      <c r="S11" s="4062"/>
      <c r="T11" s="4062"/>
      <c r="U11" s="4062"/>
      <c r="V11" s="4061"/>
      <c r="W11" s="2635">
        <f>'F1'!J15</f>
        <v>203630473.005</v>
      </c>
      <c r="X11" s="4060"/>
      <c r="Y11" s="18">
        <f>'F1'!P15</f>
        <v>295686160.08</v>
      </c>
      <c r="Z11" s="18"/>
      <c r="AA11" s="18"/>
      <c r="AB11" s="18"/>
      <c r="AC11" s="18"/>
      <c r="AD11" s="18"/>
      <c r="AE11" s="18"/>
      <c r="AF11" s="4082"/>
      <c r="AG11" s="18">
        <f>+'F1'!Q15</f>
        <v>750100447</v>
      </c>
      <c r="AH11" s="18"/>
      <c r="AI11" s="18"/>
      <c r="AJ11" s="18"/>
      <c r="AK11" s="18"/>
      <c r="AL11" s="18"/>
      <c r="AM11" s="18"/>
      <c r="AN11" s="18"/>
      <c r="AO11" s="18">
        <f>+'F1'!R15</f>
        <v>341662287.53045</v>
      </c>
      <c r="AP11" s="4093">
        <f>Y11-AG11</f>
        <v>-454414286.92</v>
      </c>
      <c r="AQ11" s="3606">
        <f>+AG11-AO11</f>
        <v>408438159.46955</v>
      </c>
    </row>
    <row r="12" spans="2:43">
      <c r="B12" s="3606" t="s">
        <v>733</v>
      </c>
      <c r="R12" s="4063">
        <f>+R11+1</f>
        <v>4</v>
      </c>
      <c r="S12" s="4063"/>
      <c r="T12" s="4063"/>
      <c r="U12" s="4063"/>
      <c r="V12" s="4061"/>
      <c r="W12" s="4061"/>
      <c r="X12" s="4060"/>
      <c r="Y12">
        <f>'F1'!P17</f>
        <v>1205578095.27479</v>
      </c>
      <c r="Z12"/>
      <c r="AA12"/>
      <c r="AB12"/>
      <c r="AC12"/>
      <c r="AD12"/>
      <c r="AE12"/>
      <c r="AF12" s="4082"/>
      <c r="AG12" s="18">
        <f>+'F1'!Q17</f>
        <v>1233508998.39333</v>
      </c>
      <c r="AH12" s="18"/>
      <c r="AI12" s="18"/>
      <c r="AJ12" s="18"/>
      <c r="AK12" s="18"/>
      <c r="AL12" s="18"/>
      <c r="AM12" s="18"/>
      <c r="AN12" s="18"/>
      <c r="AO12" s="18">
        <f>+'F1'!R17</f>
        <v>1273037990</v>
      </c>
      <c r="AP12" s="4093">
        <f>Y12-AG12</f>
        <v>-27930903.1185412</v>
      </c>
      <c r="AQ12" s="3606">
        <f t="shared" ref="AQ12:AQ17" si="0">+AG12-AO12</f>
        <v>-39528991.6066685</v>
      </c>
    </row>
    <row r="13" hidden="1" spans="2:43">
      <c r="B13" s="3606" t="s">
        <v>840</v>
      </c>
      <c r="R13" s="4061" t="s">
        <v>841</v>
      </c>
      <c r="S13" s="4061"/>
      <c r="T13" s="4061"/>
      <c r="U13" s="4061"/>
      <c r="V13" s="4061"/>
      <c r="W13" s="2635">
        <f>'F1'!J19</f>
        <v>0</v>
      </c>
      <c r="X13" s="4060"/>
      <c r="Y13" s="18">
        <f>'F1'!P19</f>
        <v>0</v>
      </c>
      <c r="Z13" s="18"/>
      <c r="AA13" s="18"/>
      <c r="AB13" s="18"/>
      <c r="AC13" s="18"/>
      <c r="AD13" s="18"/>
      <c r="AE13" s="18"/>
      <c r="AF13" s="4082"/>
      <c r="AG13" s="18">
        <v>0</v>
      </c>
      <c r="AH13" s="18"/>
      <c r="AI13" s="18"/>
      <c r="AJ13" s="18"/>
      <c r="AK13" s="18"/>
      <c r="AL13" s="18"/>
      <c r="AM13" s="18"/>
      <c r="AN13" s="18"/>
      <c r="AO13" s="18"/>
      <c r="AP13" s="4093">
        <f t="shared" ref="AP13:AP17" si="1">Y13-AG13</f>
        <v>0</v>
      </c>
      <c r="AQ13" s="3606">
        <f t="shared" si="0"/>
        <v>0</v>
      </c>
    </row>
    <row r="14" spans="2:43">
      <c r="B14" s="3606" t="s">
        <v>738</v>
      </c>
      <c r="R14" s="4064">
        <f>+R12+1</f>
        <v>5</v>
      </c>
      <c r="S14" s="4064"/>
      <c r="T14" s="4064"/>
      <c r="U14" s="4064"/>
      <c r="V14" s="4061"/>
      <c r="W14" s="2635">
        <f>'F1'!J20</f>
        <v>2800000000</v>
      </c>
      <c r="X14" s="4060"/>
      <c r="Y14">
        <f>'F1'!P20</f>
        <v>4196640000</v>
      </c>
      <c r="Z14"/>
      <c r="AA14"/>
      <c r="AB14"/>
      <c r="AC14"/>
      <c r="AD14"/>
      <c r="AE14"/>
      <c r="AF14" s="4082"/>
      <c r="AG14" s="18">
        <f>+'F1'!Q20</f>
        <v>3508958185.33</v>
      </c>
      <c r="AH14" s="18"/>
      <c r="AI14" s="18"/>
      <c r="AJ14" s="18"/>
      <c r="AK14" s="18"/>
      <c r="AL14" s="18"/>
      <c r="AM14" s="18"/>
      <c r="AN14" s="18"/>
      <c r="AO14" s="18">
        <f>+'F1'!R20</f>
        <v>5006851500</v>
      </c>
      <c r="AP14" s="4093">
        <f t="shared" si="1"/>
        <v>687681814.67</v>
      </c>
      <c r="AQ14" s="3606">
        <f t="shared" si="0"/>
        <v>-1497893314.67</v>
      </c>
    </row>
    <row r="15" spans="2:43">
      <c r="B15" s="3606" t="s">
        <v>842</v>
      </c>
      <c r="R15" s="4065">
        <f>+R14+1</f>
        <v>6</v>
      </c>
      <c r="S15" s="4065"/>
      <c r="T15" s="4065"/>
      <c r="U15" s="4065"/>
      <c r="V15" s="4061"/>
      <c r="W15" s="2635">
        <f>'F1'!J21</f>
        <v>13500000</v>
      </c>
      <c r="X15" s="4060"/>
      <c r="Y15" s="18">
        <f>+'F1'!P21</f>
        <v>23000600</v>
      </c>
      <c r="Z15" s="18"/>
      <c r="AA15" s="18"/>
      <c r="AB15" s="18"/>
      <c r="AC15" s="18"/>
      <c r="AD15" s="18"/>
      <c r="AE15" s="18"/>
      <c r="AF15" s="4082"/>
      <c r="AG15" s="18">
        <f>'F1'!Q21</f>
        <v>27800000</v>
      </c>
      <c r="AH15" s="18"/>
      <c r="AI15" s="18"/>
      <c r="AJ15" s="18"/>
      <c r="AK15" s="18"/>
      <c r="AL15" s="18"/>
      <c r="AM15" s="18"/>
      <c r="AN15" s="18"/>
      <c r="AO15" s="18">
        <f>+'F1'!R21+'F1'!R22</f>
        <v>156992211.333333</v>
      </c>
      <c r="AP15" s="4093">
        <f t="shared" si="1"/>
        <v>-4799400.00000001</v>
      </c>
      <c r="AQ15" s="3606">
        <f t="shared" si="0"/>
        <v>-129192211.333333</v>
      </c>
    </row>
    <row r="16" hidden="1" spans="2:43">
      <c r="B16" s="3606" t="str">
        <f>'F1'!C22</f>
        <v>Pajak dibayar dimuka</v>
      </c>
      <c r="R16" s="4061"/>
      <c r="S16" s="4061"/>
      <c r="T16" s="4061"/>
      <c r="U16" s="4061"/>
      <c r="V16" s="4061"/>
      <c r="W16" s="2635">
        <f>'F1'!J22</f>
        <v>0</v>
      </c>
      <c r="X16" s="4060"/>
      <c r="Y16" s="18">
        <f>+'F1'!P22</f>
        <v>0</v>
      </c>
      <c r="Z16" s="18"/>
      <c r="AA16" s="18"/>
      <c r="AB16" s="18"/>
      <c r="AC16" s="18"/>
      <c r="AD16" s="18"/>
      <c r="AE16" s="18"/>
      <c r="AF16" s="4082"/>
      <c r="AG16" s="18">
        <f>+'F1'!Q22</f>
        <v>0</v>
      </c>
      <c r="AH16" s="18"/>
      <c r="AI16" s="18"/>
      <c r="AJ16" s="18"/>
      <c r="AK16" s="18"/>
      <c r="AL16" s="18"/>
      <c r="AM16" s="18"/>
      <c r="AN16" s="18"/>
      <c r="AO16" s="18"/>
      <c r="AP16" s="4093">
        <f t="shared" si="1"/>
        <v>0</v>
      </c>
      <c r="AQ16" s="3606">
        <f t="shared" si="0"/>
        <v>0</v>
      </c>
    </row>
    <row r="17" spans="2:43">
      <c r="B17" s="3606" t="s">
        <v>843</v>
      </c>
      <c r="R17" s="4064">
        <f>+R15+1</f>
        <v>7</v>
      </c>
      <c r="S17" s="4064"/>
      <c r="T17" s="4064"/>
      <c r="U17" s="4064"/>
      <c r="V17" s="4061"/>
      <c r="W17" s="2635">
        <f>'F1'!J23</f>
        <v>19775231777.09</v>
      </c>
      <c r="X17" s="4060"/>
      <c r="Y17" s="18">
        <f>+'F1'!P23</f>
        <v>25610278304.9818</v>
      </c>
      <c r="Z17" s="18"/>
      <c r="AA17" s="18"/>
      <c r="AB17" s="18"/>
      <c r="AC17" s="18"/>
      <c r="AD17" s="18"/>
      <c r="AE17" s="18"/>
      <c r="AF17" s="4082"/>
      <c r="AG17" s="18">
        <f>+'F1'!Q23</f>
        <v>37294524612.7138</v>
      </c>
      <c r="AH17" s="18"/>
      <c r="AI17" s="18"/>
      <c r="AJ17" s="18"/>
      <c r="AK17" s="18"/>
      <c r="AL17" s="18"/>
      <c r="AM17" s="18"/>
      <c r="AN17" s="18"/>
      <c r="AO17" s="18">
        <f>+'F1'!R23</f>
        <v>53403973327.8463</v>
      </c>
      <c r="AP17" s="4093">
        <f t="shared" si="1"/>
        <v>-11684246307.732</v>
      </c>
      <c r="AQ17" s="3606">
        <f t="shared" si="0"/>
        <v>-16109448715.1325</v>
      </c>
    </row>
    <row r="18" ht="6" customHeight="1" spans="18:42">
      <c r="R18" s="4061"/>
      <c r="S18" s="4061"/>
      <c r="T18" s="4061"/>
      <c r="U18" s="4061"/>
      <c r="V18" s="4061"/>
      <c r="W18" s="4066"/>
      <c r="X18" s="4060"/>
      <c r="Y18" s="2098"/>
      <c r="Z18" s="2098"/>
      <c r="AA18" s="2098"/>
      <c r="AB18" s="2098"/>
      <c r="AC18" s="2098"/>
      <c r="AD18" s="2098"/>
      <c r="AE18" s="2098"/>
      <c r="AF18" s="4082"/>
      <c r="AG18" s="2098"/>
      <c r="AH18" s="2098"/>
      <c r="AI18" s="2098"/>
      <c r="AJ18" s="2098"/>
      <c r="AK18" s="2098"/>
      <c r="AL18" s="2098"/>
      <c r="AM18" s="2098"/>
      <c r="AN18" s="2096"/>
      <c r="AO18" s="2096"/>
      <c r="AP18" s="4093"/>
    </row>
    <row r="19" ht="12" spans="2:42">
      <c r="B19" s="3607" t="s">
        <v>551</v>
      </c>
      <c r="R19" s="4067"/>
      <c r="S19" s="4067"/>
      <c r="T19" s="4067"/>
      <c r="U19" s="4067"/>
      <c r="V19" s="4067"/>
      <c r="W19" s="2671">
        <f>SUM(W11:W18)</f>
        <v>22792362250.095</v>
      </c>
      <c r="X19" s="4060"/>
      <c r="Y19" s="94">
        <f>SUM(Y11:AE17)</f>
        <v>31331183160.3366</v>
      </c>
      <c r="Z19" s="94"/>
      <c r="AA19" s="94"/>
      <c r="AB19" s="94"/>
      <c r="AC19" s="94"/>
      <c r="AD19" s="94"/>
      <c r="AE19" s="94"/>
      <c r="AF19" s="4083"/>
      <c r="AG19" s="94">
        <f>SUM(AG11:AM17)</f>
        <v>42814892243.4371</v>
      </c>
      <c r="AH19" s="94"/>
      <c r="AI19" s="94"/>
      <c r="AJ19" s="94"/>
      <c r="AK19" s="94"/>
      <c r="AL19" s="94"/>
      <c r="AM19" s="94"/>
      <c r="AN19"/>
      <c r="AO19"/>
      <c r="AP19" s="4095"/>
    </row>
    <row r="20" ht="12" customHeight="1" spans="18:42">
      <c r="R20" s="4067"/>
      <c r="S20" s="4067"/>
      <c r="T20" s="4067"/>
      <c r="U20" s="4067"/>
      <c r="V20" s="4067"/>
      <c r="X20" s="2671"/>
      <c r="Y20" s="2671"/>
      <c r="Z20" s="2671"/>
      <c r="AA20" s="2671"/>
      <c r="AB20" s="2671"/>
      <c r="AC20" s="4084"/>
      <c r="AD20" s="4084"/>
      <c r="AE20" s="4084"/>
      <c r="AF20" s="4082"/>
      <c r="AG20"/>
      <c r="AH20"/>
      <c r="AI20"/>
      <c r="AJ20"/>
      <c r="AK20"/>
      <c r="AL20"/>
      <c r="AM20"/>
      <c r="AN20"/>
      <c r="AO20"/>
      <c r="AP20"/>
    </row>
    <row r="21" ht="12" spans="2:42">
      <c r="B21" s="3607" t="s">
        <v>552</v>
      </c>
      <c r="X21" s="4060"/>
      <c r="Y21" s="4084"/>
      <c r="Z21" s="4084"/>
      <c r="AA21" s="4084"/>
      <c r="AB21" s="4084"/>
      <c r="AC21" s="4084"/>
      <c r="AD21" s="4084"/>
      <c r="AE21" s="4084"/>
      <c r="AF21" s="4082"/>
      <c r="AG21"/>
      <c r="AH21"/>
      <c r="AI21"/>
      <c r="AJ21"/>
      <c r="AK21"/>
      <c r="AL21"/>
      <c r="AM21"/>
      <c r="AN21"/>
      <c r="AO21"/>
      <c r="AP21"/>
    </row>
    <row r="22" spans="2:43">
      <c r="B22" t="s">
        <v>738</v>
      </c>
      <c r="R22" s="4061">
        <v>5</v>
      </c>
      <c r="S22" s="4061"/>
      <c r="T22" s="4061"/>
      <c r="U22" s="4061"/>
      <c r="X22" s="4060"/>
      <c r="Y22">
        <f>+'F1'!P29</f>
        <v>7793760000</v>
      </c>
      <c r="Z22"/>
      <c r="AA22"/>
      <c r="AB22"/>
      <c r="AC22"/>
      <c r="AD22"/>
      <c r="AE22"/>
      <c r="AF22" s="4082"/>
      <c r="AG22" s="18">
        <f>+'F1'!Q29</f>
        <v>0</v>
      </c>
      <c r="AH22" s="18"/>
      <c r="AI22" s="18"/>
      <c r="AJ22" s="18"/>
      <c r="AK22" s="18"/>
      <c r="AL22" s="18"/>
      <c r="AM22" s="18"/>
      <c r="AN22"/>
      <c r="AO22">
        <f>+'F1'!R29</f>
        <v>9298438500</v>
      </c>
      <c r="AP22" s="4093">
        <f t="shared" ref="AP22:AP28" si="2">Y22-AG22</f>
        <v>7793760000</v>
      </c>
      <c r="AQ22" s="3606">
        <f t="shared" ref="AQ22" si="3">+AG22-AO22</f>
        <v>-9298438500</v>
      </c>
    </row>
    <row r="23" spans="2:42">
      <c r="B23" t="s">
        <v>361</v>
      </c>
      <c r="R23" s="4061" t="s">
        <v>844</v>
      </c>
      <c r="S23" s="4061"/>
      <c r="T23" s="4061"/>
      <c r="U23" s="4061"/>
      <c r="V23" s="4061"/>
      <c r="W23" s="2635">
        <f>'F1'!J34</f>
        <v>2421712815</v>
      </c>
      <c r="X23" s="4060"/>
      <c r="Y23"/>
      <c r="Z23"/>
      <c r="AA23"/>
      <c r="AB23"/>
      <c r="AC23"/>
      <c r="AD23"/>
      <c r="AE23"/>
      <c r="AF23" s="4082"/>
      <c r="AG23" s="18"/>
      <c r="AH23" s="18"/>
      <c r="AI23" s="18"/>
      <c r="AJ23" s="18"/>
      <c r="AK23" s="18"/>
      <c r="AL23" s="18"/>
      <c r="AM23" s="18"/>
      <c r="AN23" s="4092"/>
      <c r="AO23" s="4092"/>
      <c r="AP23" s="4093">
        <f t="shared" si="2"/>
        <v>0</v>
      </c>
    </row>
    <row r="24" spans="2:42">
      <c r="B24" t="s">
        <v>553</v>
      </c>
      <c r="Y24" s="719"/>
      <c r="Z24" s="719"/>
      <c r="AA24" s="719"/>
      <c r="AB24" s="719"/>
      <c r="AC24" s="719"/>
      <c r="AD24" s="719"/>
      <c r="AE24" s="719"/>
      <c r="AG24" s="719"/>
      <c r="AH24" s="719"/>
      <c r="AI24" s="719"/>
      <c r="AJ24" s="719"/>
      <c r="AK24" s="719"/>
      <c r="AL24" s="719"/>
      <c r="AM24" s="719"/>
      <c r="AN24" s="4082"/>
      <c r="AO24" s="4082"/>
      <c r="AP24"/>
    </row>
    <row r="25" spans="2:42">
      <c r="B25" s="3339" t="s">
        <v>845</v>
      </c>
      <c r="C25" s="3339"/>
      <c r="D25" s="3339"/>
      <c r="E25" s="3339"/>
      <c r="F25" s="3339"/>
      <c r="G25" s="3339"/>
      <c r="H25" s="3339"/>
      <c r="I25" s="3339"/>
      <c r="J25" s="3339"/>
      <c r="K25" s="3339"/>
      <c r="L25" s="3339"/>
      <c r="M25" s="3339"/>
      <c r="N25" s="3339"/>
      <c r="O25" s="3339"/>
      <c r="P25" s="3339"/>
      <c r="R25" s="4061"/>
      <c r="S25" s="4061"/>
      <c r="T25" s="4061"/>
      <c r="U25" s="4061"/>
      <c r="V25" s="4061"/>
      <c r="W25" s="4061"/>
      <c r="X25" s="4060"/>
      <c r="Y25" s="18"/>
      <c r="Z25" s="18"/>
      <c r="AA25" s="18"/>
      <c r="AB25" s="18"/>
      <c r="AC25" s="18"/>
      <c r="AD25" s="18"/>
      <c r="AE25" s="18"/>
      <c r="AF25" s="4082"/>
      <c r="AG25" s="18"/>
      <c r="AH25" s="18"/>
      <c r="AI25" s="18"/>
      <c r="AJ25" s="18"/>
      <c r="AK25" s="18"/>
      <c r="AL25" s="18"/>
      <c r="AM25" s="18"/>
      <c r="AN25" s="4082"/>
      <c r="AO25" s="4082"/>
      <c r="AP25" s="4093">
        <f t="shared" si="2"/>
        <v>0</v>
      </c>
    </row>
    <row r="26" spans="2:42">
      <c r="B26" s="3339"/>
      <c r="C26" s="3339"/>
      <c r="D26" s="3339"/>
      <c r="E26" s="3339"/>
      <c r="F26" s="3339"/>
      <c r="G26" s="3339"/>
      <c r="H26" s="3339"/>
      <c r="I26" s="3339"/>
      <c r="J26" s="3339"/>
      <c r="K26" s="3339"/>
      <c r="L26" s="3339"/>
      <c r="M26" s="3339"/>
      <c r="N26" s="3339"/>
      <c r="O26" s="3339"/>
      <c r="P26" s="3339"/>
      <c r="R26" s="4061"/>
      <c r="S26" s="4061"/>
      <c r="T26" s="4061"/>
      <c r="U26" s="4061"/>
      <c r="V26" s="4061"/>
      <c r="W26" s="4061"/>
      <c r="X26" s="4060"/>
      <c r="Y26" s="18"/>
      <c r="Z26" s="18"/>
      <c r="AA26" s="18"/>
      <c r="AB26" s="18"/>
      <c r="AC26" s="18"/>
      <c r="AD26" s="18"/>
      <c r="AE26" s="18"/>
      <c r="AF26" s="4082"/>
      <c r="AG26" s="18"/>
      <c r="AH26" s="18"/>
      <c r="AI26" s="18"/>
      <c r="AJ26" s="18"/>
      <c r="AK26" s="18"/>
      <c r="AL26" s="18"/>
      <c r="AM26" s="18"/>
      <c r="AN26" s="4082"/>
      <c r="AO26" s="4082"/>
      <c r="AP26" s="4093">
        <f t="shared" si="2"/>
        <v>0</v>
      </c>
    </row>
    <row r="27" spans="2:43">
      <c r="B27" s="3339"/>
      <c r="C27" s="3339"/>
      <c r="D27" s="3339"/>
      <c r="E27" s="3339"/>
      <c r="F27" s="3339"/>
      <c r="G27" s="3339"/>
      <c r="H27" s="3339"/>
      <c r="I27" s="3339"/>
      <c r="J27" s="3339"/>
      <c r="K27" s="3339"/>
      <c r="L27" s="3339"/>
      <c r="M27" s="3339"/>
      <c r="N27" s="3339"/>
      <c r="O27" s="3339"/>
      <c r="P27" s="3339"/>
      <c r="R27" s="4068">
        <f>+R17+1</f>
        <v>8</v>
      </c>
      <c r="S27" s="4068"/>
      <c r="T27" s="4068"/>
      <c r="U27" s="4068"/>
      <c r="V27" s="4061"/>
      <c r="W27" s="2635">
        <f>'F1'!J32</f>
        <v>15154159117.9662</v>
      </c>
      <c r="X27" s="4060"/>
      <c r="Y27" s="18">
        <f>+'F1'!P32</f>
        <v>15974508959.8133</v>
      </c>
      <c r="Z27" s="18"/>
      <c r="AA27" s="18"/>
      <c r="AB27" s="18"/>
      <c r="AC27" s="18"/>
      <c r="AD27" s="18"/>
      <c r="AE27" s="18"/>
      <c r="AF27" s="4082"/>
      <c r="AG27" s="18">
        <f>+'F1'!Q32</f>
        <v>19010671503.8472</v>
      </c>
      <c r="AH27" s="18"/>
      <c r="AI27" s="18"/>
      <c r="AJ27" s="18"/>
      <c r="AK27" s="18"/>
      <c r="AL27" s="18"/>
      <c r="AM27" s="18"/>
      <c r="AO27" s="3606">
        <f>+'F1'!R32</f>
        <v>21446608625</v>
      </c>
      <c r="AP27" s="4093">
        <f t="shared" si="2"/>
        <v>-3036162544.03395</v>
      </c>
      <c r="AQ27" s="3606">
        <f t="shared" ref="AQ27:AQ28" si="4">+AG27-AO27</f>
        <v>-2435937121.15276</v>
      </c>
    </row>
    <row r="28" spans="2:43">
      <c r="B28" t="s">
        <v>558</v>
      </c>
      <c r="C28" s="3339"/>
      <c r="D28" s="3339"/>
      <c r="E28" s="3339"/>
      <c r="F28" s="3339"/>
      <c r="G28" s="3339"/>
      <c r="H28" s="3339"/>
      <c r="I28" s="3339"/>
      <c r="J28" s="3339"/>
      <c r="K28" s="3339"/>
      <c r="L28" s="3339"/>
      <c r="M28" s="3339"/>
      <c r="N28" s="3339"/>
      <c r="O28" s="3339"/>
      <c r="P28" s="3339"/>
      <c r="R28" s="4061">
        <f>+R27+1</f>
        <v>9</v>
      </c>
      <c r="S28" s="4061"/>
      <c r="T28" s="4061"/>
      <c r="U28" s="4061"/>
      <c r="V28" s="4061"/>
      <c r="W28" s="2635">
        <f>'F1'!J35</f>
        <v>4196401952.77</v>
      </c>
      <c r="X28" s="4060"/>
      <c r="Y28" s="18">
        <f>+'F1'!P35+'F1'!P34</f>
        <v>10981449215</v>
      </c>
      <c r="Z28" s="18"/>
      <c r="AA28" s="18"/>
      <c r="AB28" s="18"/>
      <c r="AC28" s="18"/>
      <c r="AD28" s="18"/>
      <c r="AE28" s="18"/>
      <c r="AF28" s="4082"/>
      <c r="AG28" s="18">
        <f>+'F1'!Q35+'F1'!Q34</f>
        <v>10981449215</v>
      </c>
      <c r="AH28" s="18"/>
      <c r="AI28" s="18"/>
      <c r="AJ28" s="18"/>
      <c r="AK28" s="18"/>
      <c r="AL28" s="18"/>
      <c r="AM28" s="18"/>
      <c r="AN28" s="4082"/>
      <c r="AO28" s="3606">
        <f>+'F1'!R34</f>
        <v>10167154155</v>
      </c>
      <c r="AP28" s="4093">
        <f t="shared" si="2"/>
        <v>0</v>
      </c>
      <c r="AQ28" s="3606">
        <f t="shared" si="4"/>
        <v>814295060</v>
      </c>
    </row>
    <row r="29" ht="6.6" customHeight="1" spans="3:45">
      <c r="C29"/>
      <c r="R29" s="4061"/>
      <c r="S29" s="4061"/>
      <c r="T29" s="4061"/>
      <c r="U29" s="4061"/>
      <c r="V29" s="4061"/>
      <c r="W29" s="4066"/>
      <c r="X29" s="4060"/>
      <c r="Y29" s="2098"/>
      <c r="Z29" s="2098"/>
      <c r="AA29" s="2098"/>
      <c r="AB29" s="2098"/>
      <c r="AC29" s="2098"/>
      <c r="AD29" s="2098"/>
      <c r="AE29" s="2098"/>
      <c r="AF29" s="4082"/>
      <c r="AG29" s="2098"/>
      <c r="AH29" s="2098"/>
      <c r="AI29" s="2098"/>
      <c r="AJ29" s="2098"/>
      <c r="AK29" s="2098"/>
      <c r="AL29" s="2098"/>
      <c r="AM29" s="2098"/>
      <c r="AN29" s="4093"/>
      <c r="AO29" s="4093"/>
      <c r="AP29" s="4093"/>
      <c r="AQ29" s="4099"/>
      <c r="AR29" s="4099"/>
      <c r="AS29" s="4099"/>
    </row>
    <row r="30" ht="12" customHeight="1" spans="2:45">
      <c r="B30" s="3607" t="s">
        <v>559</v>
      </c>
      <c r="R30" s="4061"/>
      <c r="S30" s="4061"/>
      <c r="T30" s="4061"/>
      <c r="U30" s="4061"/>
      <c r="V30" s="4061"/>
      <c r="W30" s="2671">
        <f>SUM(W23:W29)</f>
        <v>21772273885.7362</v>
      </c>
      <c r="X30" s="4060"/>
      <c r="Y30" s="94">
        <f>SUM(Y22:AE28)</f>
        <v>34749718174.8133</v>
      </c>
      <c r="Z30" s="94"/>
      <c r="AA30" s="94"/>
      <c r="AB30" s="94"/>
      <c r="AC30" s="94"/>
      <c r="AD30" s="94"/>
      <c r="AE30" s="94"/>
      <c r="AF30" s="4082"/>
      <c r="AG30" s="94">
        <f>SUM(AG22:AM29)</f>
        <v>29992120718.8472</v>
      </c>
      <c r="AH30" s="94"/>
      <c r="AI30" s="94"/>
      <c r="AJ30" s="94"/>
      <c r="AK30" s="94"/>
      <c r="AL30" s="94"/>
      <c r="AM30" s="94"/>
      <c r="AN30" s="4094"/>
      <c r="AO30" s="4094"/>
      <c r="AP30"/>
      <c r="AQ30" s="2435"/>
      <c r="AR30" s="2435"/>
      <c r="AS30" s="2435"/>
    </row>
    <row r="31" ht="12" customHeight="1" spans="2:42">
      <c r="B31" s="3607"/>
      <c r="R31" s="4061"/>
      <c r="S31" s="4061"/>
      <c r="T31" s="4061"/>
      <c r="U31" s="4061"/>
      <c r="V31" s="4061"/>
      <c r="W31" s="4061"/>
      <c r="X31" s="4060"/>
      <c r="Y31" s="18"/>
      <c r="Z31" s="18"/>
      <c r="AA31" s="18"/>
      <c r="AB31" s="18"/>
      <c r="AC31" s="18"/>
      <c r="AD31" s="18"/>
      <c r="AE31" s="18"/>
      <c r="AF31" s="4082"/>
      <c r="AG31" s="18"/>
      <c r="AH31" s="18"/>
      <c r="AI31" s="18"/>
      <c r="AJ31" s="18"/>
      <c r="AK31" s="18"/>
      <c r="AL31" s="18"/>
      <c r="AM31" s="18"/>
      <c r="AN31" s="4082"/>
      <c r="AO31" s="4082"/>
      <c r="AP31"/>
    </row>
    <row r="32" ht="12.75" spans="2:43">
      <c r="B32" s="3607" t="s">
        <v>560</v>
      </c>
      <c r="R32" s="4061"/>
      <c r="S32" s="4061"/>
      <c r="T32" s="4061"/>
      <c r="U32" s="4061"/>
      <c r="V32" s="4061"/>
      <c r="W32" s="3378">
        <f>W30+W19</f>
        <v>44564636135.8312</v>
      </c>
      <c r="X32" s="4060"/>
      <c r="Y32" s="3324">
        <f>Y19+Y30</f>
        <v>66080901335.1499</v>
      </c>
      <c r="Z32" s="3324"/>
      <c r="AA32" s="3324"/>
      <c r="AB32" s="3324"/>
      <c r="AC32" s="3324"/>
      <c r="AD32" s="3324"/>
      <c r="AE32" s="3324"/>
      <c r="AF32" s="4082"/>
      <c r="AG32" s="3324">
        <f>AG19+AG30</f>
        <v>72807012962.2844</v>
      </c>
      <c r="AH32" s="3324"/>
      <c r="AI32" s="3324"/>
      <c r="AJ32" s="3324"/>
      <c r="AK32" s="3324"/>
      <c r="AL32" s="3324"/>
      <c r="AM32" s="3324"/>
      <c r="AN32" s="4095"/>
      <c r="AO32" s="4095">
        <f>SUM(AO10:AO30)</f>
        <v>101094718596.71</v>
      </c>
      <c r="AP32" s="4095">
        <f>SUM(AP10:AP30)</f>
        <v>-6726111627.1345</v>
      </c>
      <c r="AQ32" s="4095">
        <f>SUM(AQ10:AQ30)</f>
        <v>-28287705634.4257</v>
      </c>
    </row>
    <row r="33" ht="12.15" spans="18:42">
      <c r="R33" s="4067"/>
      <c r="S33" s="4067"/>
      <c r="T33" s="4067"/>
      <c r="U33" s="4067"/>
      <c r="V33" s="4067"/>
      <c r="W33" s="3805">
        <f>W32-'F1'!J40</f>
        <v>-7319615270.2</v>
      </c>
      <c r="X33" s="4060"/>
      <c r="Y33"/>
      <c r="Z33"/>
      <c r="AA33"/>
      <c r="AB33"/>
      <c r="AC33"/>
      <c r="AD33"/>
      <c r="AE33"/>
      <c r="AF33" s="4086"/>
      <c r="AG33"/>
      <c r="AH33"/>
      <c r="AI33"/>
      <c r="AJ33"/>
      <c r="AK33"/>
      <c r="AL33"/>
      <c r="AM33"/>
      <c r="AN33" s="4096"/>
      <c r="AO33" s="4096"/>
      <c r="AP33" s="4104"/>
    </row>
    <row r="34" spans="18:42">
      <c r="R34" s="4067"/>
      <c r="S34" s="4067"/>
      <c r="T34" s="4067"/>
      <c r="U34" s="4067"/>
      <c r="V34" s="4067"/>
      <c r="W34" s="4067"/>
      <c r="X34" s="4060"/>
      <c r="Y34"/>
      <c r="Z34"/>
      <c r="AA34"/>
      <c r="AB34"/>
      <c r="AC34"/>
      <c r="AD34"/>
      <c r="AE34"/>
      <c r="AF34" s="4086"/>
      <c r="AG34"/>
      <c r="AH34"/>
      <c r="AI34"/>
      <c r="AJ34"/>
      <c r="AK34"/>
      <c r="AL34"/>
      <c r="AM34"/>
      <c r="AN34" s="4081"/>
      <c r="AO34" s="4081"/>
      <c r="AP34" s="4091"/>
    </row>
    <row r="35" ht="12" spans="2:42">
      <c r="B35" s="5010" t="s">
        <v>561</v>
      </c>
      <c r="R35" s="4067"/>
      <c r="S35" s="4067"/>
      <c r="T35" s="4067"/>
      <c r="U35" s="4067"/>
      <c r="V35" s="4067"/>
      <c r="W35" s="4067"/>
      <c r="X35" s="4060"/>
      <c r="Y35"/>
      <c r="Z35"/>
      <c r="AA35"/>
      <c r="AB35"/>
      <c r="AC35"/>
      <c r="AD35"/>
      <c r="AE35"/>
      <c r="AF35" s="4081"/>
      <c r="AG35" s="4081"/>
      <c r="AH35" s="4081"/>
      <c r="AI35" s="4081"/>
      <c r="AJ35" s="4081"/>
      <c r="AK35" s="4081"/>
      <c r="AL35" s="4081"/>
      <c r="AM35" s="4081"/>
      <c r="AN35" s="4081"/>
      <c r="AO35" s="4081"/>
      <c r="AP35" s="4091"/>
    </row>
    <row r="36" ht="12" spans="2:42">
      <c r="B36" s="5010" t="s">
        <v>562</v>
      </c>
      <c r="Y36" s="719"/>
      <c r="Z36" s="719"/>
      <c r="AA36" s="719"/>
      <c r="AB36" s="719"/>
      <c r="AC36" s="719"/>
      <c r="AD36" s="719"/>
      <c r="AE36" s="719"/>
      <c r="AP36" s="4091"/>
    </row>
    <row r="37" ht="11.45" customHeight="1" spans="2:43">
      <c r="B37" t="s">
        <v>769</v>
      </c>
      <c r="M37"/>
      <c r="N37"/>
      <c r="O37"/>
      <c r="P37"/>
      <c r="R37" s="4061">
        <f>+R28+1</f>
        <v>10</v>
      </c>
      <c r="S37" s="4061"/>
      <c r="T37" s="4061"/>
      <c r="U37" s="4061"/>
      <c r="V37" s="4061"/>
      <c r="W37">
        <f>'F2'!K16</f>
        <v>111500000</v>
      </c>
      <c r="X37" s="4060"/>
      <c r="Y37" s="18">
        <f>'F2'!Q16</f>
        <v>869165810</v>
      </c>
      <c r="Z37" s="18"/>
      <c r="AA37" s="18"/>
      <c r="AB37" s="18"/>
      <c r="AC37" s="18"/>
      <c r="AD37" s="18"/>
      <c r="AE37" s="18"/>
      <c r="AF37"/>
      <c r="AG37" s="4081">
        <f>+'F2'!R16</f>
        <v>1840865220</v>
      </c>
      <c r="AH37" s="4081"/>
      <c r="AI37" s="4081"/>
      <c r="AJ37" s="4081"/>
      <c r="AK37" s="4081"/>
      <c r="AL37" s="4081"/>
      <c r="AM37" s="4081"/>
      <c r="AN37" s="4081"/>
      <c r="AO37" s="3606">
        <f>+'F2'!S16</f>
        <v>1873053071</v>
      </c>
      <c r="AP37" s="4093">
        <f>Y37-AG37</f>
        <v>-971699410</v>
      </c>
      <c r="AQ37" s="3606">
        <f t="shared" ref="AQ37:AQ41" si="5">+AG37-AO37</f>
        <v>-32187851</v>
      </c>
    </row>
    <row r="38" spans="2:43">
      <c r="B38" t="s">
        <v>773</v>
      </c>
      <c r="M38"/>
      <c r="N38"/>
      <c r="O38"/>
      <c r="P38"/>
      <c r="R38" s="4075">
        <f>+R37+1</f>
        <v>11</v>
      </c>
      <c r="S38" s="4075"/>
      <c r="T38" s="4075"/>
      <c r="U38" s="4075"/>
      <c r="V38" s="4061"/>
      <c r="W38" s="2635">
        <f>'F2'!K18</f>
        <v>82137040.2464018</v>
      </c>
      <c r="X38" s="4060"/>
      <c r="Y38">
        <f>'F2'!Q18</f>
        <v>129053445.732503</v>
      </c>
      <c r="Z38"/>
      <c r="AA38"/>
      <c r="AB38"/>
      <c r="AC38"/>
      <c r="AD38"/>
      <c r="AE38"/>
      <c r="AF38"/>
      <c r="AG38" s="4082">
        <f>+'F2'!R18</f>
        <v>143432000.25221</v>
      </c>
      <c r="AH38" s="4082"/>
      <c r="AI38" s="4082"/>
      <c r="AJ38" s="4082"/>
      <c r="AK38" s="4082"/>
      <c r="AL38" s="4082"/>
      <c r="AM38" s="4082"/>
      <c r="AN38" s="4082"/>
      <c r="AO38" s="3606">
        <f>+'F2'!S18</f>
        <v>27929325</v>
      </c>
      <c r="AP38" s="4093">
        <f t="shared" ref="AP38:AP41" si="6">Y38-AG38</f>
        <v>-14378554.5197069</v>
      </c>
      <c r="AQ38" s="3606">
        <f t="shared" si="5"/>
        <v>115502675.25221</v>
      </c>
    </row>
    <row r="39" spans="2:43">
      <c r="B39" t="s">
        <v>563</v>
      </c>
      <c r="M39"/>
      <c r="N39"/>
      <c r="O39"/>
      <c r="P39"/>
      <c r="R39" s="4061">
        <f>+R38+1</f>
        <v>12</v>
      </c>
      <c r="S39" s="4061"/>
      <c r="T39" s="4061"/>
      <c r="U39" s="4061"/>
      <c r="V39" s="4061"/>
      <c r="W39" s="2635">
        <f>'F2'!K15</f>
        <v>7433574955</v>
      </c>
      <c r="X39" s="4060"/>
      <c r="Y39" s="18">
        <f>'F2'!Q15</f>
        <v>11058670775</v>
      </c>
      <c r="Z39" s="18"/>
      <c r="AA39" s="18"/>
      <c r="AB39" s="18"/>
      <c r="AC39" s="18"/>
      <c r="AD39" s="18"/>
      <c r="AE39" s="18"/>
      <c r="AF39"/>
      <c r="AG39" s="4082">
        <f>+'F2'!R15</f>
        <v>12071190032.16</v>
      </c>
      <c r="AH39" s="4082"/>
      <c r="AI39" s="4082"/>
      <c r="AJ39" s="4082"/>
      <c r="AK39" s="4082"/>
      <c r="AL39" s="4082"/>
      <c r="AM39" s="4082"/>
      <c r="AN39" s="4082"/>
      <c r="AO39" s="3606">
        <f>+'F2'!S15</f>
        <v>12870029043</v>
      </c>
      <c r="AP39" s="4093">
        <f t="shared" si="6"/>
        <v>-1012519257.16</v>
      </c>
      <c r="AQ39" s="3606">
        <f t="shared" si="5"/>
        <v>-798839010.84</v>
      </c>
    </row>
    <row r="40" spans="2:43">
      <c r="B40" t="s">
        <v>778</v>
      </c>
      <c r="M40" s="2623"/>
      <c r="N40" s="2623"/>
      <c r="O40" s="2623"/>
      <c r="P40" s="2623"/>
      <c r="R40" s="4076">
        <f>+R39+1</f>
        <v>13</v>
      </c>
      <c r="S40" s="4076"/>
      <c r="T40" s="4076"/>
      <c r="U40" s="4076"/>
      <c r="V40" s="4061"/>
      <c r="W40" s="2635">
        <f>'F2'!K21</f>
        <v>1156341700</v>
      </c>
      <c r="X40" s="4060"/>
      <c r="Y40">
        <f>'F2'!Q21</f>
        <v>778392444</v>
      </c>
      <c r="Z40"/>
      <c r="AA40"/>
      <c r="AB40"/>
      <c r="AC40"/>
      <c r="AD40"/>
      <c r="AE40"/>
      <c r="AF40"/>
      <c r="AG40" s="4082">
        <f>+'F2'!R21</f>
        <v>1186161720.57996</v>
      </c>
      <c r="AH40" s="4082"/>
      <c r="AI40" s="4082"/>
      <c r="AJ40" s="4082"/>
      <c r="AK40" s="4082"/>
      <c r="AL40" s="4082"/>
      <c r="AM40" s="4082"/>
      <c r="AN40" s="4082"/>
      <c r="AO40" s="3606">
        <f>+'F2'!S21</f>
        <v>477633205</v>
      </c>
      <c r="AP40" s="4093">
        <f t="shared" si="6"/>
        <v>-407769276.579963</v>
      </c>
      <c r="AQ40" s="3606">
        <f t="shared" si="5"/>
        <v>708528515.579963</v>
      </c>
    </row>
    <row r="41" spans="2:43">
      <c r="B41" t="s">
        <v>771</v>
      </c>
      <c r="M41"/>
      <c r="N41"/>
      <c r="O41"/>
      <c r="P41"/>
      <c r="R41" s="4061">
        <f>R40+1</f>
        <v>14</v>
      </c>
      <c r="S41" s="4061"/>
      <c r="T41" s="4061"/>
      <c r="U41" s="4061"/>
      <c r="V41" s="4061"/>
      <c r="W41" s="2635">
        <f>'F2'!K17</f>
        <v>0</v>
      </c>
      <c r="X41" s="4060"/>
      <c r="Y41" s="18">
        <f>'F2'!Q17</f>
        <v>2145000000</v>
      </c>
      <c r="Z41" s="18"/>
      <c r="AA41" s="18"/>
      <c r="AB41" s="18"/>
      <c r="AC41" s="18"/>
      <c r="AD41" s="18"/>
      <c r="AE41" s="18"/>
      <c r="AF41"/>
      <c r="AG41" s="4082">
        <f>+'F2'!R17</f>
        <v>2989000000</v>
      </c>
      <c r="AH41" s="4082"/>
      <c r="AI41" s="4082"/>
      <c r="AJ41" s="4082"/>
      <c r="AK41" s="4082"/>
      <c r="AL41" s="4082"/>
      <c r="AM41" s="4082"/>
      <c r="AN41" s="4082"/>
      <c r="AO41" s="3606">
        <f>++'F2'!S17</f>
        <v>25370671006.6137</v>
      </c>
      <c r="AP41" s="4093">
        <f t="shared" si="6"/>
        <v>-844000000</v>
      </c>
      <c r="AQ41" s="3606">
        <f t="shared" si="5"/>
        <v>-22381671006.6137</v>
      </c>
    </row>
    <row r="42" ht="8.45" customHeight="1" spans="18:42">
      <c r="R42" s="4067"/>
      <c r="S42" s="4067"/>
      <c r="T42" s="4067"/>
      <c r="U42" s="4067"/>
      <c r="V42" s="4067"/>
      <c r="W42" s="4066"/>
      <c r="X42" s="4060"/>
      <c r="Y42" s="2098"/>
      <c r="Z42" s="2098"/>
      <c r="AA42" s="2098"/>
      <c r="AB42" s="2098"/>
      <c r="AC42" s="2098"/>
      <c r="AD42" s="2098"/>
      <c r="AE42" s="2098"/>
      <c r="AF42"/>
      <c r="AG42" s="4097"/>
      <c r="AH42" s="4097"/>
      <c r="AI42" s="4097"/>
      <c r="AJ42" s="4097"/>
      <c r="AK42" s="4097"/>
      <c r="AL42" s="4097"/>
      <c r="AM42" s="4097"/>
      <c r="AN42" s="4093"/>
      <c r="AO42" s="4093"/>
      <c r="AP42" s="4099"/>
    </row>
    <row r="43" ht="12" spans="2:42">
      <c r="B43" s="5010" t="s">
        <v>565</v>
      </c>
      <c r="M43" s="2623"/>
      <c r="N43" s="2623"/>
      <c r="O43" s="2623"/>
      <c r="P43" s="2623"/>
      <c r="R43" s="4067"/>
      <c r="S43" s="4067"/>
      <c r="T43" s="4067"/>
      <c r="U43" s="4067"/>
      <c r="V43" s="4067"/>
      <c r="W43" s="2671">
        <f>SUM(W37:W42)</f>
        <v>8783553695.2464</v>
      </c>
      <c r="X43" s="4060"/>
      <c r="Y43" s="94">
        <f>SUM(Y37:AE42)</f>
        <v>14980282474.7325</v>
      </c>
      <c r="Z43" s="94"/>
      <c r="AA43" s="94"/>
      <c r="AB43" s="94"/>
      <c r="AC43" s="94"/>
      <c r="AD43" s="94"/>
      <c r="AE43" s="94"/>
      <c r="AF43"/>
      <c r="AG43" s="4083">
        <f>SUM(AG37:AM42)</f>
        <v>18230648972.9922</v>
      </c>
      <c r="AH43" s="4083"/>
      <c r="AI43" s="4083"/>
      <c r="AJ43" s="4083"/>
      <c r="AK43" s="4083"/>
      <c r="AL43" s="4083"/>
      <c r="AM43" s="4083"/>
      <c r="AN43" s="4083"/>
      <c r="AO43" s="4083"/>
      <c r="AP43"/>
    </row>
    <row r="44" ht="12" spans="2:42">
      <c r="B44" s="3608"/>
      <c r="R44" s="4061"/>
      <c r="S44" s="4061"/>
      <c r="T44" s="4061"/>
      <c r="U44" s="4061"/>
      <c r="V44" s="4061"/>
      <c r="W44" s="4061"/>
      <c r="X44" s="4060"/>
      <c r="Y44" s="719"/>
      <c r="Z44" s="719"/>
      <c r="AA44" s="719"/>
      <c r="AB44" s="719"/>
      <c r="AC44" s="719"/>
      <c r="AD44" s="719"/>
      <c r="AE44" s="719"/>
      <c r="AF44"/>
      <c r="AG44" s="4082"/>
      <c r="AH44" s="4082"/>
      <c r="AI44" s="4082"/>
      <c r="AJ44" s="4082"/>
      <c r="AK44" s="4082"/>
      <c r="AL44" s="4082"/>
      <c r="AM44" s="4082"/>
      <c r="AN44" s="4083"/>
      <c r="AO44" s="4083"/>
      <c r="AP44"/>
    </row>
    <row r="45" ht="12" spans="2:42">
      <c r="B45" s="5010" t="s">
        <v>566</v>
      </c>
      <c r="R45" s="4061"/>
      <c r="S45" s="4061"/>
      <c r="T45" s="4061"/>
      <c r="U45" s="4061"/>
      <c r="V45" s="4061"/>
      <c r="W45" s="4061"/>
      <c r="X45" s="4060"/>
      <c r="Y45" s="719"/>
      <c r="Z45" s="719"/>
      <c r="AA45" s="719"/>
      <c r="AB45" s="719"/>
      <c r="AC45" s="719"/>
      <c r="AD45" s="719"/>
      <c r="AE45" s="719"/>
      <c r="AF45"/>
      <c r="AG45" s="4083"/>
      <c r="AH45" s="4083"/>
      <c r="AI45" s="4083"/>
      <c r="AJ45" s="4083"/>
      <c r="AK45" s="4083"/>
      <c r="AL45" s="4083"/>
      <c r="AM45" s="4083"/>
      <c r="AN45" s="4083"/>
      <c r="AO45" s="4083"/>
      <c r="AP45" s="4095"/>
    </row>
    <row r="46" ht="12" spans="2:43">
      <c r="B46" t="s">
        <v>567</v>
      </c>
      <c r="M46" s="2623"/>
      <c r="N46" s="2623"/>
      <c r="O46" s="2623"/>
      <c r="P46" s="2623"/>
      <c r="R46" s="4061">
        <f>R39</f>
        <v>12</v>
      </c>
      <c r="S46" s="4061"/>
      <c r="T46" s="4061"/>
      <c r="U46" s="4061"/>
      <c r="V46" s="4061"/>
      <c r="W46" s="2635">
        <f>'F2'!K27</f>
        <v>10563354386</v>
      </c>
      <c r="X46" s="4060"/>
      <c r="Y46" s="18">
        <f>'F2'!Q27</f>
        <v>8697841150</v>
      </c>
      <c r="Z46" s="18"/>
      <c r="AA46" s="18"/>
      <c r="AB46" s="18"/>
      <c r="AC46" s="18"/>
      <c r="AD46" s="18"/>
      <c r="AE46" s="18"/>
      <c r="AF46"/>
      <c r="AG46" s="4082">
        <f>+'F2'!R27</f>
        <v>10160488508.84</v>
      </c>
      <c r="AH46" s="4082"/>
      <c r="AI46" s="4082"/>
      <c r="AJ46" s="4082"/>
      <c r="AK46" s="4082"/>
      <c r="AL46" s="4082"/>
      <c r="AM46" s="4082"/>
      <c r="AN46" s="4083"/>
      <c r="AO46" s="3606">
        <f>+'F2'!S27</f>
        <v>10548527958</v>
      </c>
      <c r="AP46" s="4093">
        <f>Y46-AG46</f>
        <v>-1462647358.84</v>
      </c>
      <c r="AQ46" s="3606">
        <f t="shared" ref="AQ46:AQ49" si="7">+AG46-AO46</f>
        <v>-388039449.16</v>
      </c>
    </row>
    <row r="47" ht="12" spans="2:43">
      <c r="B47" t="s">
        <v>782</v>
      </c>
      <c r="M47" s="2623"/>
      <c r="N47" s="2623"/>
      <c r="O47" s="2623"/>
      <c r="P47" s="2623"/>
      <c r="R47" s="4076">
        <f>+R46+1</f>
        <v>13</v>
      </c>
      <c r="S47" s="4076"/>
      <c r="T47" s="4076"/>
      <c r="U47" s="4076"/>
      <c r="V47" s="4061"/>
      <c r="W47" s="2635">
        <f>'F2'!K28</f>
        <v>1415336759</v>
      </c>
      <c r="X47" s="4060"/>
      <c r="Y47">
        <f>'F2'!Q28</f>
        <v>423925049</v>
      </c>
      <c r="Z47"/>
      <c r="AA47"/>
      <c r="AB47"/>
      <c r="AC47"/>
      <c r="AD47"/>
      <c r="AE47"/>
      <c r="AF47"/>
      <c r="AG47" s="4082">
        <f>+'F2'!R28</f>
        <v>1202317492.9388</v>
      </c>
      <c r="AH47" s="4082"/>
      <c r="AI47" s="4082"/>
      <c r="AJ47" s="4082"/>
      <c r="AK47" s="4082"/>
      <c r="AL47" s="4082"/>
      <c r="AM47" s="4082"/>
      <c r="AN47" s="4083"/>
      <c r="AO47" s="3606">
        <f>+'F2'!S28</f>
        <v>1040238403</v>
      </c>
      <c r="AP47" s="4093">
        <f>Y47-AG47</f>
        <v>-778392443.938801</v>
      </c>
      <c r="AQ47" s="3606">
        <f t="shared" si="7"/>
        <v>162079089.938801</v>
      </c>
    </row>
    <row r="48" spans="2:43">
      <c r="B48" s="5023" t="s">
        <v>771</v>
      </c>
      <c r="M48" s="2623"/>
      <c r="N48" s="2623"/>
      <c r="O48" s="2623"/>
      <c r="P48" s="2623"/>
      <c r="R48" s="4061">
        <f>R41</f>
        <v>14</v>
      </c>
      <c r="S48" s="4061"/>
      <c r="T48" s="4061"/>
      <c r="U48" s="4061"/>
      <c r="V48" s="4061"/>
      <c r="W48" s="2635">
        <f>'F2'!K30</f>
        <v>9313848179</v>
      </c>
      <c r="X48" s="4060"/>
      <c r="Y48" s="18">
        <f>'F2'!Q30</f>
        <v>20768109400.0357</v>
      </c>
      <c r="Z48" s="18"/>
      <c r="AA48" s="18"/>
      <c r="AB48" s="18"/>
      <c r="AC48" s="18"/>
      <c r="AD48" s="18"/>
      <c r="AE48" s="18"/>
      <c r="AF48"/>
      <c r="AG48" s="4082">
        <f>+'F2'!R30</f>
        <v>22238067642.9259</v>
      </c>
      <c r="AH48" s="4082"/>
      <c r="AI48" s="4082"/>
      <c r="AJ48" s="4082"/>
      <c r="AK48" s="4082"/>
      <c r="AL48" s="4082"/>
      <c r="AM48" s="4082"/>
      <c r="AN48" s="4082"/>
      <c r="AO48" s="3606">
        <f>+'F2'!S30+'F2'!S29</f>
        <v>28735701868</v>
      </c>
      <c r="AP48" s="4093">
        <f>Y48-AG48</f>
        <v>-1469958242.8902</v>
      </c>
      <c r="AQ48" s="3606">
        <f t="shared" si="7"/>
        <v>-6497634225.0741</v>
      </c>
    </row>
    <row r="49" spans="2:43">
      <c r="B49" t="s">
        <v>785</v>
      </c>
      <c r="M49" s="2623"/>
      <c r="N49" s="2623"/>
      <c r="O49" s="2623"/>
      <c r="P49" s="2623"/>
      <c r="R49" s="4077">
        <f>+R48+1</f>
        <v>15</v>
      </c>
      <c r="S49" s="4077"/>
      <c r="T49" s="4077"/>
      <c r="U49" s="4077"/>
      <c r="V49" s="4061"/>
      <c r="W49" s="2635">
        <f>'F2'!K31</f>
        <v>110000000</v>
      </c>
      <c r="X49" s="4060"/>
      <c r="Y49">
        <f>'F2'!Q31</f>
        <v>110000000</v>
      </c>
      <c r="Z49"/>
      <c r="AA49"/>
      <c r="AB49"/>
      <c r="AC49"/>
      <c r="AD49"/>
      <c r="AE49"/>
      <c r="AF49"/>
      <c r="AG49" s="4082">
        <f>+'F2'!R31</f>
        <v>110000000</v>
      </c>
      <c r="AH49" s="4082"/>
      <c r="AI49" s="4082"/>
      <c r="AJ49" s="4082"/>
      <c r="AK49" s="4082"/>
      <c r="AL49" s="4082"/>
      <c r="AM49" s="4082"/>
      <c r="AN49" s="4082"/>
      <c r="AO49" s="3606">
        <f>+'F2'!S31</f>
        <v>110000000</v>
      </c>
      <c r="AP49" s="4093">
        <f>Y49-AG49</f>
        <v>0</v>
      </c>
      <c r="AQ49" s="3606">
        <f t="shared" si="7"/>
        <v>0</v>
      </c>
    </row>
    <row r="50" ht="10.35" customHeight="1" spans="2:42">
      <c r="B50"/>
      <c r="R50" s="4061"/>
      <c r="S50" s="4061"/>
      <c r="T50" s="4061"/>
      <c r="U50" s="4061"/>
      <c r="V50" s="4061"/>
      <c r="W50" s="4066"/>
      <c r="X50" s="4060"/>
      <c r="Y50" s="2098"/>
      <c r="Z50" s="2098"/>
      <c r="AA50" s="2098"/>
      <c r="AB50" s="2098"/>
      <c r="AC50" s="2098"/>
      <c r="AD50" s="2098"/>
      <c r="AE50" s="2098"/>
      <c r="AF50"/>
      <c r="AG50" s="4098"/>
      <c r="AH50" s="4098"/>
      <c r="AI50" s="4098"/>
      <c r="AJ50" s="4098"/>
      <c r="AK50" s="4098"/>
      <c r="AL50" s="4098"/>
      <c r="AM50" s="4098"/>
      <c r="AN50" s="4099"/>
      <c r="AO50" s="4099"/>
      <c r="AP50" s="4099"/>
    </row>
    <row r="51" ht="12" spans="2:42">
      <c r="B51" s="5010" t="s">
        <v>570</v>
      </c>
      <c r="M51" s="2623"/>
      <c r="N51" s="2623"/>
      <c r="O51" s="2623"/>
      <c r="P51" s="2623"/>
      <c r="R51" s="4061"/>
      <c r="S51" s="4061"/>
      <c r="T51" s="4061"/>
      <c r="U51" s="4061"/>
      <c r="V51" s="4061"/>
      <c r="W51" s="2671">
        <f>SUM(W46:W50)</f>
        <v>21402539324</v>
      </c>
      <c r="X51" s="4060"/>
      <c r="Y51" s="94">
        <f>SUM(Y46:AE50)</f>
        <v>29999875599.0357</v>
      </c>
      <c r="Z51" s="94"/>
      <c r="AA51" s="94"/>
      <c r="AB51" s="94"/>
      <c r="AC51" s="94"/>
      <c r="AD51" s="94"/>
      <c r="AE51" s="94"/>
      <c r="AF51"/>
      <c r="AG51" s="4083">
        <f>SUM(AG46:AM50)</f>
        <v>33710873644.7047</v>
      </c>
      <c r="AH51" s="4083"/>
      <c r="AI51" s="4083"/>
      <c r="AJ51" s="4083"/>
      <c r="AK51" s="4083"/>
      <c r="AL51" s="4083"/>
      <c r="AM51" s="4083"/>
      <c r="AN51" s="4083"/>
      <c r="AO51" s="4083"/>
      <c r="AP51" s="4105"/>
    </row>
    <row r="52" spans="13:46">
      <c r="M52" s="2623"/>
      <c r="N52" s="2623"/>
      <c r="O52" s="2623"/>
      <c r="P52" s="2623"/>
      <c r="R52" s="4067"/>
      <c r="S52" s="4067"/>
      <c r="T52" s="4067"/>
      <c r="U52" s="4067"/>
      <c r="V52" s="4067"/>
      <c r="W52" s="4067"/>
      <c r="X52" s="4060"/>
      <c r="Y52" s="4084"/>
      <c r="Z52" s="4084"/>
      <c r="AA52" s="4084"/>
      <c r="AB52" s="4084"/>
      <c r="AC52" s="4084"/>
      <c r="AD52" s="4084"/>
      <c r="AE52" s="4084"/>
      <c r="AF52"/>
      <c r="AO52" s="4092"/>
      <c r="AP52" s="4092"/>
      <c r="AQ52" s="4092"/>
      <c r="AR52" s="4092"/>
      <c r="AS52" s="4092"/>
      <c r="AT52" s="4092"/>
    </row>
    <row r="53" ht="12" spans="2:42">
      <c r="B53" s="5024" t="s">
        <v>310</v>
      </c>
      <c r="R53" s="4067"/>
      <c r="S53" s="4067"/>
      <c r="T53" s="4067"/>
      <c r="U53" s="4067"/>
      <c r="V53" s="4067"/>
      <c r="W53" s="4067"/>
      <c r="X53" s="4060"/>
      <c r="Y53" s="4084"/>
      <c r="Z53" s="4084"/>
      <c r="AA53" s="4084"/>
      <c r="AB53" s="4084"/>
      <c r="AC53" s="4084"/>
      <c r="AD53" s="4084"/>
      <c r="AE53" s="4084"/>
      <c r="AF53"/>
      <c r="AG53" s="4092"/>
      <c r="AH53" s="4092"/>
      <c r="AI53" s="4092"/>
      <c r="AJ53" s="4092"/>
      <c r="AK53" s="4092"/>
      <c r="AL53" s="4092"/>
      <c r="AM53" s="4092"/>
      <c r="AN53" s="4092"/>
      <c r="AO53" s="4092"/>
      <c r="AP53" s="4099"/>
    </row>
    <row r="54" s="3606" customFormat="1" ht="12" customHeight="1" spans="2:43">
      <c r="B54" t="s">
        <v>846</v>
      </c>
      <c r="M54" s="2623"/>
      <c r="N54" s="2623"/>
      <c r="O54" s="2623"/>
      <c r="P54" s="2623"/>
      <c r="R54" s="4061">
        <f>+R49+1</f>
        <v>16</v>
      </c>
      <c r="S54" s="4061"/>
      <c r="T54" s="4061"/>
      <c r="U54" s="4061"/>
      <c r="V54" s="4061"/>
      <c r="W54" s="2635">
        <f>'F2'!K39</f>
        <v>11000000000</v>
      </c>
      <c r="X54" s="4060"/>
      <c r="Y54">
        <f>+'F2'!Q39</f>
        <v>11000000000</v>
      </c>
      <c r="Z54"/>
      <c r="AA54"/>
      <c r="AB54"/>
      <c r="AC54"/>
      <c r="AD54"/>
      <c r="AE54"/>
      <c r="AF54"/>
      <c r="AG54" s="4082">
        <f>+'F2'!R39</f>
        <v>11000000000</v>
      </c>
      <c r="AH54" s="4082"/>
      <c r="AI54" s="4082"/>
      <c r="AJ54" s="4082"/>
      <c r="AK54" s="4082"/>
      <c r="AL54" s="4082"/>
      <c r="AM54" s="4082"/>
      <c r="AN54" s="4082"/>
      <c r="AO54" s="4082">
        <f>+'F2'!S39</f>
        <v>11000000000</v>
      </c>
      <c r="AP54" s="4093">
        <f>Y54-AG54</f>
        <v>0</v>
      </c>
      <c r="AQ54" s="3606">
        <f t="shared" ref="AQ54:AQ58" si="8">+AG54-AO54</f>
        <v>0</v>
      </c>
    </row>
    <row r="55" s="3606" customFormat="1" ht="12" hidden="1" customHeight="1" spans="2:43">
      <c r="B55" t="s">
        <v>616</v>
      </c>
      <c r="M55" s="2623"/>
      <c r="N55" s="2623"/>
      <c r="O55" s="2623"/>
      <c r="P55" s="2623"/>
      <c r="Q55" s="2635"/>
      <c r="R55" s="4061">
        <f>R54+1</f>
        <v>17</v>
      </c>
      <c r="S55" s="4061"/>
      <c r="T55" s="4061"/>
      <c r="U55" s="4061"/>
      <c r="V55" s="4061"/>
      <c r="W55" s="2635">
        <f>'F2'!K40</f>
        <v>0</v>
      </c>
      <c r="X55" s="4060"/>
      <c r="Y55">
        <f>'F2'!Q40</f>
        <v>0</v>
      </c>
      <c r="Z55"/>
      <c r="AA55"/>
      <c r="AB55"/>
      <c r="AC55"/>
      <c r="AD55"/>
      <c r="AE55"/>
      <c r="AF55"/>
      <c r="AG55" s="4082">
        <v>0</v>
      </c>
      <c r="AH55" s="4082"/>
      <c r="AI55" s="4082"/>
      <c r="AJ55" s="4082"/>
      <c r="AK55" s="4082"/>
      <c r="AL55" s="4082"/>
      <c r="AM55" s="4082"/>
      <c r="AN55" s="4082"/>
      <c r="AO55" s="4082">
        <f>W55-Y55</f>
        <v>0</v>
      </c>
      <c r="AP55" s="4093">
        <f>Y55-AG55</f>
        <v>0</v>
      </c>
      <c r="AQ55" s="3606">
        <f t="shared" si="8"/>
        <v>0</v>
      </c>
    </row>
    <row r="56" s="3606" customFormat="1" ht="12" hidden="1" customHeight="1" spans="2:43">
      <c r="B56" t="s">
        <v>847</v>
      </c>
      <c r="M56" s="2623"/>
      <c r="N56" s="2623"/>
      <c r="O56" s="2623"/>
      <c r="P56" s="2623"/>
      <c r="R56" s="4061">
        <f>R55+1</f>
        <v>18</v>
      </c>
      <c r="S56" s="4061"/>
      <c r="T56" s="4061"/>
      <c r="U56" s="4061"/>
      <c r="V56" s="4061"/>
      <c r="W56" s="2635">
        <f>'F2'!K41</f>
        <v>0</v>
      </c>
      <c r="X56" s="4060"/>
      <c r="Y56">
        <f>'F2'!Q41</f>
        <v>0</v>
      </c>
      <c r="Z56"/>
      <c r="AA56"/>
      <c r="AB56"/>
      <c r="AC56"/>
      <c r="AD56"/>
      <c r="AE56"/>
      <c r="AF56"/>
      <c r="AG56" s="4082">
        <v>0</v>
      </c>
      <c r="AH56" s="4082"/>
      <c r="AI56" s="4082"/>
      <c r="AJ56" s="4082"/>
      <c r="AK56" s="4082"/>
      <c r="AL56" s="4082"/>
      <c r="AM56" s="4082"/>
      <c r="AN56" s="4082"/>
      <c r="AO56" s="4082"/>
      <c r="AP56" s="4093">
        <f>Y56-AG56</f>
        <v>0</v>
      </c>
      <c r="AQ56" s="3606">
        <f t="shared" si="8"/>
        <v>0</v>
      </c>
    </row>
    <row r="57" s="3606" customFormat="1" ht="12" customHeight="1" spans="2:43">
      <c r="B57" t="s">
        <v>848</v>
      </c>
      <c r="M57" s="2623"/>
      <c r="N57" s="2623"/>
      <c r="O57" s="2623"/>
      <c r="P57" s="2623"/>
      <c r="R57" s="4067"/>
      <c r="S57" s="4067"/>
      <c r="T57" s="4067"/>
      <c r="U57" s="4067"/>
      <c r="V57" s="4067"/>
      <c r="W57" s="2635">
        <f>'F2'!K42+'F2'!K43</f>
        <v>10698158386.8631</v>
      </c>
      <c r="X57" s="4060"/>
      <c r="Y57">
        <f>+Y275</f>
        <v>10100743261.0142</v>
      </c>
      <c r="Z57"/>
      <c r="AA57"/>
      <c r="AB57"/>
      <c r="AC57"/>
      <c r="AD57"/>
      <c r="AE57"/>
      <c r="AF57"/>
      <c r="AG57">
        <f>+Y271</f>
        <v>9865490344.76497</v>
      </c>
      <c r="AH57"/>
      <c r="AI57"/>
      <c r="AJ57"/>
      <c r="AK57"/>
      <c r="AL57"/>
      <c r="AM57"/>
      <c r="AN57" s="4082"/>
      <c r="AO57" s="4082">
        <f>+'F2'!R42</f>
        <v>9040934717.37351</v>
      </c>
      <c r="AP57" s="4093">
        <f>Y57-AG57</f>
        <v>235252916.249275</v>
      </c>
      <c r="AQ57" s="3606">
        <f t="shared" si="8"/>
        <v>824555627.39146</v>
      </c>
    </row>
    <row r="58" ht="6" customHeight="1" spans="18:43">
      <c r="R58" s="4067"/>
      <c r="S58" s="4067"/>
      <c r="T58" s="4067"/>
      <c r="U58" s="4067"/>
      <c r="V58" s="4067"/>
      <c r="W58" s="4066"/>
      <c r="X58" s="4060"/>
      <c r="Y58" s="2098"/>
      <c r="Z58" s="2098"/>
      <c r="AA58" s="2098"/>
      <c r="AB58" s="2098"/>
      <c r="AC58" s="2098"/>
      <c r="AD58" s="2098"/>
      <c r="AE58" s="2098"/>
      <c r="AF58"/>
      <c r="AG58" s="4097"/>
      <c r="AH58" s="4097"/>
      <c r="AI58" s="4097"/>
      <c r="AJ58" s="4097"/>
      <c r="AK58" s="4097"/>
      <c r="AL58" s="4097"/>
      <c r="AM58" s="4097"/>
      <c r="AN58" s="4093"/>
      <c r="AO58" s="4093"/>
      <c r="AP58" s="4093"/>
      <c r="AQ58" s="3606">
        <f t="shared" si="8"/>
        <v>0</v>
      </c>
    </row>
    <row r="59" ht="12" spans="2:42">
      <c r="B59" s="5024" t="s">
        <v>312</v>
      </c>
      <c r="M59"/>
      <c r="N59"/>
      <c r="O59"/>
      <c r="P59"/>
      <c r="R59" s="4067"/>
      <c r="S59" s="4067"/>
      <c r="T59" s="4067"/>
      <c r="U59" s="4067"/>
      <c r="V59" s="4067"/>
      <c r="W59" s="2671">
        <f>SUM(W54:W58)</f>
        <v>21698158386.8631</v>
      </c>
      <c r="X59" s="4060"/>
      <c r="Y59" s="94">
        <f>SUM(Y54:AE58)</f>
        <v>21100743261.0143</v>
      </c>
      <c r="Z59" s="94"/>
      <c r="AA59" s="94"/>
      <c r="AB59" s="94"/>
      <c r="AC59" s="94"/>
      <c r="AD59" s="94"/>
      <c r="AE59" s="94"/>
      <c r="AF59"/>
      <c r="AG59" s="4094">
        <f>SUM(AG54:AM58)</f>
        <v>20865490344.765</v>
      </c>
      <c r="AH59" s="4094"/>
      <c r="AI59" s="4094"/>
      <c r="AJ59" s="4094"/>
      <c r="AK59" s="4094"/>
      <c r="AL59" s="4094"/>
      <c r="AM59" s="4094"/>
      <c r="AN59" s="4094"/>
      <c r="AO59" s="4094"/>
      <c r="AP59" s="4105"/>
    </row>
    <row r="60" ht="12" spans="13:42">
      <c r="M60"/>
      <c r="N60"/>
      <c r="O60"/>
      <c r="P60"/>
      <c r="R60" s="4067"/>
      <c r="S60" s="4067"/>
      <c r="T60" s="4067"/>
      <c r="U60" s="4067"/>
      <c r="V60" s="4067"/>
      <c r="W60" s="4067"/>
      <c r="X60" s="4060"/>
      <c r="Y60" s="38"/>
      <c r="Z60" s="38"/>
      <c r="AA60" s="38"/>
      <c r="AB60" s="38"/>
      <c r="AC60" s="38"/>
      <c r="AD60" s="38"/>
      <c r="AE60" s="38"/>
      <c r="AF60"/>
      <c r="AG60" s="4092"/>
      <c r="AH60" s="4092"/>
      <c r="AI60" s="4092"/>
      <c r="AJ60" s="4092"/>
      <c r="AK60" s="4092"/>
      <c r="AL60" s="4092"/>
      <c r="AM60" s="4092"/>
      <c r="AN60" s="4082"/>
      <c r="AO60" s="4082"/>
      <c r="AP60" s="4093"/>
    </row>
    <row r="61" ht="12.75" spans="2:43">
      <c r="B61" s="3607" t="s">
        <v>573</v>
      </c>
      <c r="R61" s="4067"/>
      <c r="S61" s="4067"/>
      <c r="T61" s="4067"/>
      <c r="U61" s="4067"/>
      <c r="V61" s="4067"/>
      <c r="W61" s="3378">
        <f>W43+W51+W59</f>
        <v>51884251406.1095</v>
      </c>
      <c r="X61" s="4060"/>
      <c r="Y61" s="3324">
        <f>Y43+Y59+Y51</f>
        <v>66080901334.7825</v>
      </c>
      <c r="Z61" s="3324"/>
      <c r="AA61" s="3324"/>
      <c r="AB61" s="3324"/>
      <c r="AC61" s="3324"/>
      <c r="AD61" s="3324"/>
      <c r="AE61" s="3324"/>
      <c r="AF61"/>
      <c r="AG61" s="4100">
        <f>AG43+AG59+AG51</f>
        <v>72807012962.4619</v>
      </c>
      <c r="AH61" s="4100"/>
      <c r="AI61" s="4100"/>
      <c r="AJ61" s="4100"/>
      <c r="AK61" s="4100"/>
      <c r="AL61" s="4100"/>
      <c r="AM61" s="4100"/>
      <c r="AN61" s="4095"/>
      <c r="AO61" s="4095">
        <f>SUM(AO37:AO59)</f>
        <v>101094718596.987</v>
      </c>
      <c r="AP61" s="4095">
        <f>SUM(AP37:AP59)</f>
        <v>-6726111627.67939</v>
      </c>
      <c r="AQ61" s="4095">
        <f>SUM(AQ37:AQ59)</f>
        <v>-28287705634.5254</v>
      </c>
    </row>
    <row r="62" ht="12.15" spans="18:47">
      <c r="R62" s="4060"/>
      <c r="S62" s="4060"/>
      <c r="T62" s="4060"/>
      <c r="U62" s="4060"/>
      <c r="V62" s="4060"/>
      <c r="W62" s="4060"/>
      <c r="X62" s="4060"/>
      <c r="Y62" s="2700">
        <f>+Y32-Y61</f>
        <v>0.367416381835937</v>
      </c>
      <c r="Z62" s="2700"/>
      <c r="AA62" s="2700"/>
      <c r="AB62" s="2700"/>
      <c r="AC62" s="2700"/>
      <c r="AD62" s="2700"/>
      <c r="AE62" s="2700"/>
      <c r="AF62" s="2700"/>
      <c r="AG62" s="2700">
        <f>+AG32-AG61</f>
        <v>-0.177490234375</v>
      </c>
      <c r="AH62" s="2700"/>
      <c r="AI62" s="2700"/>
      <c r="AJ62" s="2700"/>
      <c r="AK62" s="2700"/>
      <c r="AL62" s="2700"/>
      <c r="AM62" s="2700"/>
      <c r="AO62" s="3606">
        <f>+AO61-AO32</f>
        <v>0.277145385742187</v>
      </c>
      <c r="AP62" s="3606">
        <f t="shared" ref="AP62:AQ62" si="9">+AP61-AP32</f>
        <v>-0.544893264770508</v>
      </c>
      <c r="AQ62" s="3606">
        <f t="shared" si="9"/>
        <v>-0.0996513366699219</v>
      </c>
      <c r="AR62" s="4086"/>
      <c r="AS62" s="4086"/>
      <c r="AT62" s="4086"/>
      <c r="AU62" s="4086"/>
    </row>
    <row r="63" spans="18:46">
      <c r="R63" s="4109"/>
      <c r="S63" s="4109"/>
      <c r="T63" s="4109"/>
      <c r="U63" s="4109"/>
      <c r="V63" s="4109"/>
      <c r="W63" s="4088">
        <f>W32-W61</f>
        <v>-7319615270.27827</v>
      </c>
      <c r="X63" s="4193"/>
      <c r="Y63" s="2700"/>
      <c r="Z63" s="2700"/>
      <c r="AA63" s="2700"/>
      <c r="AB63" s="2700"/>
      <c r="AC63" s="2700"/>
      <c r="AD63" s="2700"/>
      <c r="AE63" s="2700"/>
      <c r="AF63" s="2700"/>
      <c r="AG63" s="4195">
        <f>AG32-AG61</f>
        <v>-0.177490234375</v>
      </c>
      <c r="AH63" s="4195"/>
      <c r="AI63" s="4195"/>
      <c r="AJ63" s="4195"/>
      <c r="AK63" s="4195"/>
      <c r="AL63" s="4195"/>
      <c r="AM63" s="4195"/>
      <c r="AN63" s="4081"/>
      <c r="AO63" s="4197">
        <f>Y61-Y32</f>
        <v>-0.367416381835937</v>
      </c>
      <c r="AP63" s="4198" t="s">
        <v>849</v>
      </c>
      <c r="AQ63" s="4086"/>
      <c r="AR63" s="4086"/>
      <c r="AS63" s="4086"/>
      <c r="AT63" s="4086"/>
    </row>
    <row r="64" spans="18:42">
      <c r="R64" s="4109"/>
      <c r="S64" s="4109"/>
      <c r="T64" s="4109"/>
      <c r="U64" s="4109"/>
      <c r="V64" s="4109"/>
      <c r="W64" s="4194"/>
      <c r="X64" s="4193"/>
      <c r="Y64" s="4096"/>
      <c r="Z64" s="4096"/>
      <c r="AA64" s="4096"/>
      <c r="AB64" s="4096"/>
      <c r="AC64" s="4096"/>
      <c r="AD64" s="4096"/>
      <c r="AE64" s="4096"/>
      <c r="AF64" s="4096"/>
      <c r="AG64" s="4096"/>
      <c r="AH64" s="4096"/>
      <c r="AI64" s="4096"/>
      <c r="AJ64" s="4096"/>
      <c r="AK64" s="4096"/>
      <c r="AL64" s="4096"/>
      <c r="AM64" s="4096"/>
      <c r="AN64" s="4081"/>
      <c r="AO64" s="4133">
        <f>AG61-AG32</f>
        <v>0.177490234375</v>
      </c>
      <c r="AP64" s="4134" t="s">
        <v>850</v>
      </c>
    </row>
    <row r="65" spans="2:41">
      <c r="B65" s="3609"/>
      <c r="R65" s="4109"/>
      <c r="S65" s="4109"/>
      <c r="T65" s="4109"/>
      <c r="U65" s="4109"/>
      <c r="V65" s="4109"/>
      <c r="W65" s="4109"/>
      <c r="X65" s="4060"/>
      <c r="Y65" s="4081"/>
      <c r="Z65" s="4081"/>
      <c r="AA65" s="4081"/>
      <c r="AB65" s="4081"/>
      <c r="AC65" s="4081"/>
      <c r="AD65" s="4081"/>
      <c r="AE65" s="4081"/>
      <c r="AF65" s="4081"/>
      <c r="AG65" s="4081"/>
      <c r="AH65" s="4081"/>
      <c r="AI65" s="4081"/>
      <c r="AJ65" s="4081"/>
      <c r="AK65" s="4081"/>
      <c r="AL65" s="4081"/>
      <c r="AM65" s="4081"/>
      <c r="AN65" s="4081"/>
      <c r="AO65" s="4081"/>
    </row>
    <row r="66" spans="2:42">
      <c r="B66" s="3609"/>
      <c r="R66" s="4109"/>
      <c r="S66" s="4109"/>
      <c r="T66" s="4109"/>
      <c r="U66" s="4109"/>
      <c r="V66" s="4109"/>
      <c r="W66" s="4109"/>
      <c r="X66" s="4060"/>
      <c r="Y66" s="4081"/>
      <c r="Z66" s="4081"/>
      <c r="AA66" s="4081"/>
      <c r="AB66" s="4081"/>
      <c r="AC66" s="4081"/>
      <c r="AD66" s="4081"/>
      <c r="AE66" s="4081"/>
      <c r="AF66" s="4081"/>
      <c r="AG66" s="4081"/>
      <c r="AH66" s="4081"/>
      <c r="AI66" s="4081"/>
      <c r="AJ66" s="4081"/>
      <c r="AK66" s="4081"/>
      <c r="AL66" s="4081"/>
      <c r="AM66" s="4081"/>
      <c r="AN66" s="4081"/>
      <c r="AO66" s="4081"/>
      <c r="AP66" s="4081"/>
    </row>
    <row r="67" s="3606" customFormat="1" spans="2:42">
      <c r="B67" s="3609"/>
      <c r="R67" s="4109"/>
      <c r="S67" s="4109"/>
      <c r="T67" s="4109"/>
      <c r="U67" s="4109"/>
      <c r="V67" s="4109"/>
      <c r="W67" s="4109"/>
      <c r="X67" s="4060"/>
      <c r="Y67" s="4081"/>
      <c r="Z67" s="4081"/>
      <c r="AA67" s="4081"/>
      <c r="AB67" s="4081"/>
      <c r="AC67" s="4081"/>
      <c r="AD67" s="4081"/>
      <c r="AE67" s="4081"/>
      <c r="AF67" s="4081"/>
      <c r="AG67" s="4081"/>
      <c r="AH67" s="4081"/>
      <c r="AI67" s="4081"/>
      <c r="AJ67" s="4081"/>
      <c r="AK67" s="4081"/>
      <c r="AL67" s="4081"/>
      <c r="AM67" s="4081"/>
      <c r="AN67" s="4081"/>
      <c r="AO67" s="4081"/>
      <c r="AP67" s="4081"/>
    </row>
    <row r="68" s="3606" customFormat="1" spans="2:42">
      <c r="B68" s="3609"/>
      <c r="R68" s="4109"/>
      <c r="S68" s="4109"/>
      <c r="T68" s="4109"/>
      <c r="U68" s="4109"/>
      <c r="V68" s="4109"/>
      <c r="W68" s="4109"/>
      <c r="X68" s="4060"/>
      <c r="Y68" s="4081"/>
      <c r="Z68" s="4081"/>
      <c r="AA68" s="4081"/>
      <c r="AB68" s="4081"/>
      <c r="AC68" s="4081"/>
      <c r="AD68" s="4081"/>
      <c r="AE68" s="4081"/>
      <c r="AF68" s="4081"/>
      <c r="AG68" s="4081"/>
      <c r="AH68" s="4081"/>
      <c r="AI68" s="4081"/>
      <c r="AJ68" s="4081"/>
      <c r="AK68" s="4081"/>
      <c r="AL68" s="4081"/>
      <c r="AM68" s="4081"/>
      <c r="AN68" s="4081"/>
      <c r="AO68" s="4081"/>
      <c r="AP68" s="4081"/>
    </row>
    <row r="69" s="3606" customFormat="1" spans="2:42">
      <c r="B69" s="3609"/>
      <c r="R69" s="4109"/>
      <c r="S69" s="4109"/>
      <c r="T69" s="4109"/>
      <c r="U69" s="4109"/>
      <c r="V69" s="4109"/>
      <c r="W69" s="4109"/>
      <c r="X69" s="4060"/>
      <c r="Y69" s="4081"/>
      <c r="Z69" s="4081"/>
      <c r="AA69" s="4081"/>
      <c r="AB69" s="4081"/>
      <c r="AC69" s="4081"/>
      <c r="AD69" s="4081"/>
      <c r="AE69" s="4081"/>
      <c r="AF69" s="4081"/>
      <c r="AG69" s="4081"/>
      <c r="AH69" s="4081"/>
      <c r="AI69" s="4081"/>
      <c r="AJ69" s="4081"/>
      <c r="AK69" s="4081"/>
      <c r="AL69" s="4081"/>
      <c r="AM69" s="4081"/>
      <c r="AN69" s="4081"/>
      <c r="AO69" s="4081"/>
      <c r="AP69" s="4081"/>
    </row>
    <row r="70" s="3606" customFormat="1" spans="2:42">
      <c r="B70" s="3609"/>
      <c r="R70" s="4109"/>
      <c r="S70" s="4109"/>
      <c r="T70" s="4109"/>
      <c r="U70" s="4109"/>
      <c r="V70" s="4109"/>
      <c r="W70" s="4109"/>
      <c r="X70" s="4060"/>
      <c r="Y70" s="4081"/>
      <c r="Z70" s="4081"/>
      <c r="AA70" s="4081"/>
      <c r="AB70" s="4081"/>
      <c r="AC70" s="4081"/>
      <c r="AD70" s="4081"/>
      <c r="AE70" s="4081"/>
      <c r="AF70" s="4081"/>
      <c r="AG70" s="4081"/>
      <c r="AH70" s="4081"/>
      <c r="AI70" s="4081"/>
      <c r="AJ70" s="4081"/>
      <c r="AK70" s="4081"/>
      <c r="AL70" s="4081"/>
      <c r="AM70" s="4081"/>
      <c r="AN70" s="4081"/>
      <c r="AO70" s="4081"/>
      <c r="AP70" s="4081"/>
    </row>
    <row r="71" ht="12" spans="2:42">
      <c r="B71" s="3607" t="str">
        <f>B1</f>
        <v>PT INTAN GIRI ABADI</v>
      </c>
      <c r="R71" s="4109"/>
      <c r="S71" s="4109"/>
      <c r="T71" s="4109"/>
      <c r="U71" s="4109"/>
      <c r="V71" s="4109"/>
      <c r="W71" s="4109"/>
      <c r="X71" s="4060"/>
      <c r="Y71" s="4081"/>
      <c r="Z71" s="4081"/>
      <c r="AA71" s="4081"/>
      <c r="AB71" s="4081"/>
      <c r="AC71" s="4081"/>
      <c r="AD71" s="4081"/>
      <c r="AE71" s="4081"/>
      <c r="AF71" s="4081"/>
      <c r="AG71" s="4081"/>
      <c r="AH71" s="4081"/>
      <c r="AI71" s="4081"/>
      <c r="AJ71" s="4081"/>
      <c r="AK71" s="4081"/>
      <c r="AL71" s="4081"/>
      <c r="AM71" s="4081"/>
      <c r="AN71" s="4081"/>
      <c r="AO71" s="4081"/>
      <c r="AP71" s="4081"/>
    </row>
    <row r="72" ht="12" customHeight="1" spans="2:42">
      <c r="B72" s="5010" t="s">
        <v>574</v>
      </c>
      <c r="AF72" s="3624" t="str">
        <f>W1</f>
        <v>Approval for Print</v>
      </c>
      <c r="AG72" s="3624"/>
      <c r="AH72" s="4102" t="str">
        <f>AI1</f>
        <v>signature</v>
      </c>
      <c r="AI72" s="4102"/>
      <c r="AJ72" s="4102"/>
      <c r="AK72" s="4102"/>
      <c r="AL72" s="4102"/>
      <c r="AM72" s="4102"/>
      <c r="AN72" s="4102"/>
      <c r="AO72" s="4102"/>
      <c r="AP72" s="4102"/>
    </row>
    <row r="73" ht="12" customHeight="1" spans="2:42">
      <c r="B73" s="5010" t="s">
        <v>618</v>
      </c>
      <c r="AF73" s="3624"/>
      <c r="AG73" s="3624"/>
      <c r="AH73" s="4102"/>
      <c r="AI73" s="4102"/>
      <c r="AJ73" s="4102"/>
      <c r="AK73" s="4102"/>
      <c r="AL73" s="4102"/>
      <c r="AM73" s="4102"/>
      <c r="AN73" s="4102"/>
      <c r="AO73" s="4102"/>
      <c r="AP73" s="4102"/>
    </row>
    <row r="74" ht="12" customHeight="1" spans="2:42">
      <c r="B74" s="3609" t="s">
        <v>450</v>
      </c>
      <c r="AF74" s="3624"/>
      <c r="AG74" s="3624"/>
      <c r="AH74" s="4102" t="str">
        <f>AI4</f>
        <v>Date</v>
      </c>
      <c r="AI74" s="4102"/>
      <c r="AJ74" s="4102"/>
      <c r="AK74" s="4102"/>
      <c r="AL74" s="4102"/>
      <c r="AM74" s="4102"/>
      <c r="AN74" s="4102"/>
      <c r="AO74" s="4102"/>
      <c r="AP74" s="4102"/>
    </row>
    <row r="75" ht="12" customHeight="1" spans="2:42">
      <c r="B75" s="3611"/>
      <c r="C75" s="3611"/>
      <c r="D75" s="3611"/>
      <c r="E75" s="3611"/>
      <c r="F75" s="3611"/>
      <c r="G75" s="3611"/>
      <c r="H75" s="3611"/>
      <c r="I75" s="3611"/>
      <c r="J75" s="3611"/>
      <c r="K75" s="3611"/>
      <c r="L75" s="3611"/>
      <c r="M75" s="3611"/>
      <c r="N75" s="3611"/>
      <c r="O75" s="3611"/>
      <c r="P75" s="3611"/>
      <c r="Q75" s="3611"/>
      <c r="R75" s="4054"/>
      <c r="S75" s="4054"/>
      <c r="T75" s="4054"/>
      <c r="U75" s="4054"/>
      <c r="V75" s="4054"/>
      <c r="W75" s="4054"/>
      <c r="X75" s="4054"/>
      <c r="Y75" s="3611"/>
      <c r="Z75" s="3611"/>
      <c r="AA75" s="3611"/>
      <c r="AB75" s="3611"/>
      <c r="AC75" s="3611"/>
      <c r="AD75" s="3611"/>
      <c r="AE75" s="3611"/>
      <c r="AF75" s="3626"/>
      <c r="AG75" s="3626"/>
      <c r="AH75" s="4125"/>
      <c r="AI75" s="4125"/>
      <c r="AJ75" s="4125"/>
      <c r="AK75" s="4125"/>
      <c r="AL75" s="4125"/>
      <c r="AM75" s="4125"/>
      <c r="AN75" s="4102"/>
      <c r="AO75" s="4102"/>
      <c r="AP75" s="4102"/>
    </row>
    <row r="76" ht="12" customHeight="1" spans="32:42">
      <c r="AF76" s="4120"/>
      <c r="AG76" s="4120"/>
      <c r="AH76" s="4126"/>
      <c r="AI76" s="4126"/>
      <c r="AJ76" s="4126"/>
      <c r="AK76" s="4126"/>
      <c r="AL76" s="4126"/>
      <c r="AM76" s="4126"/>
      <c r="AN76" s="4126"/>
      <c r="AO76" s="4126"/>
      <c r="AP76" s="4126"/>
    </row>
    <row r="77" ht="12" spans="18:42">
      <c r="R77" s="4110" t="s">
        <v>536</v>
      </c>
      <c r="S77" s="4110"/>
      <c r="T77" s="4110"/>
      <c r="U77" s="4110"/>
      <c r="V77" s="4111"/>
      <c r="W77" s="5021" t="s">
        <v>453</v>
      </c>
      <c r="Y77" s="4057">
        <f>+Y7</f>
        <v>2021</v>
      </c>
      <c r="Z77" s="4121"/>
      <c r="AA77" s="4121"/>
      <c r="AB77" s="4121"/>
      <c r="AC77" s="4121"/>
      <c r="AD77" s="4121"/>
      <c r="AE77" s="4121"/>
      <c r="AG77" s="5022" t="str">
        <f>AG7</f>
        <v>2020</v>
      </c>
      <c r="AH77" s="4127"/>
      <c r="AI77" s="4127"/>
      <c r="AJ77" s="4127"/>
      <c r="AK77" s="4127"/>
      <c r="AL77" s="4127"/>
      <c r="AM77" s="4127"/>
      <c r="AN77" s="4128"/>
      <c r="AO77" s="4199">
        <v>22</v>
      </c>
      <c r="AP77" s="4200">
        <v>21</v>
      </c>
    </row>
    <row r="78" spans="18:42">
      <c r="R78" s="4112"/>
      <c r="S78" s="4112"/>
      <c r="T78" s="4112"/>
      <c r="U78" s="4112"/>
      <c r="V78" s="4113"/>
      <c r="W78" s="4113"/>
      <c r="X78" s="4060"/>
      <c r="Y78" s="4080"/>
      <c r="Z78" s="4080"/>
      <c r="AA78" s="4080"/>
      <c r="AB78" s="4080"/>
      <c r="AC78" s="4080"/>
      <c r="AD78" s="4080"/>
      <c r="AE78" s="4080"/>
      <c r="AF78" s="4081"/>
      <c r="AG78" s="4080"/>
      <c r="AH78" s="4080"/>
      <c r="AI78" s="4080"/>
      <c r="AJ78" s="4080"/>
      <c r="AK78" s="4080"/>
      <c r="AL78" s="4080"/>
      <c r="AM78" s="4080"/>
      <c r="AN78" s="4091"/>
      <c r="AO78" s="4091"/>
      <c r="AP78" s="4091"/>
    </row>
    <row r="79" ht="12" spans="2:42">
      <c r="B79" s="3607" t="s">
        <v>851</v>
      </c>
      <c r="R79" s="4114">
        <f>+R54+1</f>
        <v>17</v>
      </c>
      <c r="S79" s="4114"/>
      <c r="T79" s="4114"/>
      <c r="U79" s="4114"/>
      <c r="V79" s="4061"/>
      <c r="W79" s="2635">
        <f>'F30'!K13</f>
        <v>7376021851.59131</v>
      </c>
      <c r="X79" s="4060"/>
      <c r="Y79" s="4082">
        <f>'10'!Q64</f>
        <v>5551498722</v>
      </c>
      <c r="Z79" s="4082"/>
      <c r="AA79" s="4082"/>
      <c r="AB79" s="4082"/>
      <c r="AC79" s="4082"/>
      <c r="AD79" s="4082"/>
      <c r="AE79" s="4082"/>
      <c r="AF79" s="4082"/>
      <c r="AG79" s="4082">
        <f>+'F3'!R13</f>
        <v>12507006890.5</v>
      </c>
      <c r="AH79" s="4082"/>
      <c r="AI79" s="4082"/>
      <c r="AJ79" s="4082"/>
      <c r="AK79" s="4082"/>
      <c r="AL79" s="4082"/>
      <c r="AM79" s="4082"/>
      <c r="AN79" s="4082"/>
      <c r="AO79" s="2479">
        <f>+Y79/Y79</f>
        <v>1</v>
      </c>
      <c r="AP79" s="2479">
        <f>+AG79/AG79</f>
        <v>1</v>
      </c>
    </row>
    <row r="80" ht="12" spans="2:42">
      <c r="B80" s="3607"/>
      <c r="R80" s="4061"/>
      <c r="S80" s="4061"/>
      <c r="T80" s="4061"/>
      <c r="U80" s="4061"/>
      <c r="V80" s="4061"/>
      <c r="W80" s="4061"/>
      <c r="X80" s="4060"/>
      <c r="Y80" s="4082"/>
      <c r="Z80" s="4082"/>
      <c r="AA80" s="4082"/>
      <c r="AB80" s="4082"/>
      <c r="AC80" s="4082"/>
      <c r="AD80" s="4082"/>
      <c r="AE80" s="4082"/>
      <c r="AF80" s="4082"/>
      <c r="AG80" s="4082"/>
      <c r="AH80" s="4082"/>
      <c r="AI80" s="4082"/>
      <c r="AJ80" s="4082"/>
      <c r="AK80" s="4082"/>
      <c r="AL80" s="4082"/>
      <c r="AM80" s="4082"/>
      <c r="AN80" s="4082"/>
      <c r="AO80" s="4082"/>
      <c r="AP80" s="724"/>
    </row>
    <row r="81" ht="12" spans="2:42">
      <c r="B81" s="3607" t="s">
        <v>852</v>
      </c>
      <c r="R81" s="4114">
        <f>+R79+1</f>
        <v>18</v>
      </c>
      <c r="S81" s="4114"/>
      <c r="T81" s="4114"/>
      <c r="U81" s="4114"/>
      <c r="V81" s="4061"/>
      <c r="W81" s="2635">
        <f>-'F30'!K15</f>
        <v>-3053000539</v>
      </c>
      <c r="X81" s="4060"/>
      <c r="Y81" s="4082">
        <f>+'F3'!Q14</f>
        <v>3061286270</v>
      </c>
      <c r="Z81" s="4082"/>
      <c r="AA81" s="4082"/>
      <c r="AB81" s="4082"/>
      <c r="AC81" s="4082"/>
      <c r="AD81" s="4082"/>
      <c r="AE81" s="4082"/>
      <c r="AF81" s="4082"/>
      <c r="AG81" s="4082">
        <f>+'F3'!R14</f>
        <v>9124465383.46196</v>
      </c>
      <c r="AH81" s="4082"/>
      <c r="AI81" s="4082"/>
      <c r="AJ81" s="4082"/>
      <c r="AK81" s="4082"/>
      <c r="AL81" s="4082"/>
      <c r="AM81" s="4082"/>
      <c r="AN81" s="4082"/>
      <c r="AO81" s="2479">
        <f>W81/W79</f>
        <v>-0.413908825167233</v>
      </c>
      <c r="AP81" s="724">
        <f>Y81/Y79</f>
        <v>0.55143420241969</v>
      </c>
    </row>
    <row r="82" ht="12" spans="2:42">
      <c r="B82" s="3607"/>
      <c r="R82" s="4067"/>
      <c r="S82" s="4067"/>
      <c r="T82" s="4067"/>
      <c r="U82" s="4067"/>
      <c r="V82" s="4067"/>
      <c r="W82" s="4066"/>
      <c r="X82" s="4060"/>
      <c r="Y82" s="4122"/>
      <c r="Z82" s="4122"/>
      <c r="AA82" s="4122"/>
      <c r="AB82" s="4122"/>
      <c r="AC82" s="4122"/>
      <c r="AD82" s="4122"/>
      <c r="AE82" s="4122"/>
      <c r="AF82" s="4082"/>
      <c r="AG82" s="4122"/>
      <c r="AH82" s="4122"/>
      <c r="AI82" s="4122"/>
      <c r="AJ82" s="4122"/>
      <c r="AK82" s="4122"/>
      <c r="AL82" s="4122"/>
      <c r="AM82" s="4122"/>
      <c r="AN82" s="4105"/>
      <c r="AO82" s="4105"/>
      <c r="AP82" s="724"/>
    </row>
    <row r="83" ht="12" spans="2:42">
      <c r="B83" s="3607" t="s">
        <v>583</v>
      </c>
      <c r="R83" s="4067"/>
      <c r="S83" s="4067"/>
      <c r="T83" s="4067"/>
      <c r="U83" s="4067"/>
      <c r="V83" s="4067"/>
      <c r="W83" s="3499">
        <f>W79+W81</f>
        <v>4323021312.59131</v>
      </c>
      <c r="X83" s="4060"/>
      <c r="Y83" s="4105">
        <f>+Y79-Y81</f>
        <v>2490212452</v>
      </c>
      <c r="Z83" s="4105"/>
      <c r="AA83" s="4105"/>
      <c r="AB83" s="4105"/>
      <c r="AC83" s="4105"/>
      <c r="AD83" s="4105"/>
      <c r="AE83" s="4105"/>
      <c r="AF83" s="4094"/>
      <c r="AG83" s="4094">
        <f>AG79-AG81</f>
        <v>3382541507.03804</v>
      </c>
      <c r="AH83" s="4094"/>
      <c r="AI83" s="4094"/>
      <c r="AJ83" s="4094"/>
      <c r="AK83" s="4094"/>
      <c r="AL83" s="4094"/>
      <c r="AM83" s="4094"/>
      <c r="AN83" s="4094"/>
      <c r="AO83" s="724">
        <f>W83/W79</f>
        <v>0.586091174832767</v>
      </c>
      <c r="AP83" s="724">
        <f>Y83/Y79</f>
        <v>0.44856579758031</v>
      </c>
    </row>
    <row r="84" s="4048" customFormat="1" ht="12" spans="18:44">
      <c r="R84" s="4067"/>
      <c r="S84" s="4067"/>
      <c r="T84" s="4067"/>
      <c r="U84" s="4067"/>
      <c r="V84" s="4067"/>
      <c r="W84" s="4067"/>
      <c r="X84" s="4115"/>
      <c r="Y84" s="4082"/>
      <c r="Z84" s="4082"/>
      <c r="AA84" s="4082"/>
      <c r="AB84" s="4082"/>
      <c r="AC84" s="4082"/>
      <c r="AD84" s="4082"/>
      <c r="AE84" s="4082"/>
      <c r="AF84" s="4082"/>
      <c r="AG84" s="4082"/>
      <c r="AH84" s="4082"/>
      <c r="AI84" s="4082"/>
      <c r="AJ84" s="4082"/>
      <c r="AK84" s="4082"/>
      <c r="AL84" s="4082"/>
      <c r="AM84" s="4082"/>
      <c r="AN84" s="4082"/>
      <c r="AO84" s="4082"/>
      <c r="AP84" s="724"/>
      <c r="AR84"/>
    </row>
    <row r="85" s="4048" customFormat="1" ht="12" spans="2:50">
      <c r="B85" s="5025" t="s">
        <v>584</v>
      </c>
      <c r="R85" s="4114">
        <f>+R81+1</f>
        <v>19</v>
      </c>
      <c r="S85" s="4114"/>
      <c r="T85" s="4114"/>
      <c r="U85" s="4114"/>
      <c r="V85" s="4116"/>
      <c r="X85" s="4115"/>
      <c r="AF85" s="4094"/>
      <c r="AG85" s="4082"/>
      <c r="AH85" s="4082"/>
      <c r="AI85" s="4082"/>
      <c r="AJ85" s="4082"/>
      <c r="AK85" s="4082"/>
      <c r="AL85" s="4082"/>
      <c r="AM85" s="4082"/>
      <c r="AN85" s="4082"/>
      <c r="AO85" s="2479"/>
      <c r="AP85" s="2479"/>
      <c r="AR85"/>
      <c r="AS85"/>
      <c r="AT85"/>
      <c r="AU85"/>
      <c r="AV85"/>
      <c r="AW85"/>
      <c r="AX85"/>
    </row>
    <row r="86" s="4048" customFormat="1" ht="12" spans="2:42">
      <c r="B86" s="5011" t="s">
        <v>853</v>
      </c>
      <c r="R86" s="4116"/>
      <c r="S86" s="4116"/>
      <c r="T86" s="4116"/>
      <c r="U86" s="4116"/>
      <c r="V86" s="4116"/>
      <c r="W86" s="3606" t="e">
        <f>-SUM(#REF!)</f>
        <v>#REF!</v>
      </c>
      <c r="X86" s="4115"/>
      <c r="Y86" s="4082">
        <f>+'40'!Q24</f>
        <v>137331501.4</v>
      </c>
      <c r="Z86" s="4082"/>
      <c r="AA86" s="4082"/>
      <c r="AB86" s="4082"/>
      <c r="AC86" s="4082"/>
      <c r="AD86" s="4082"/>
      <c r="AE86" s="4082"/>
      <c r="AF86" s="4094"/>
      <c r="AG86" s="4082">
        <f>+'40'!R24</f>
        <v>270992605</v>
      </c>
      <c r="AH86" s="4082"/>
      <c r="AI86" s="4082"/>
      <c r="AJ86" s="4082"/>
      <c r="AK86" s="4082"/>
      <c r="AL86" s="4082"/>
      <c r="AM86" s="4082"/>
      <c r="AN86" s="4082"/>
      <c r="AO86" s="2479"/>
      <c r="AP86" s="2479"/>
    </row>
    <row r="87" s="4048" customFormat="1" ht="12" spans="2:42">
      <c r="B87" s="5011" t="s">
        <v>854</v>
      </c>
      <c r="R87" s="4116"/>
      <c r="S87" s="4116"/>
      <c r="T87" s="4116"/>
      <c r="U87" s="4116"/>
      <c r="V87" s="4116"/>
      <c r="W87" s="3606" t="e">
        <f>-SUM(#REF!)</f>
        <v>#REF!</v>
      </c>
      <c r="X87" s="4115"/>
      <c r="Y87" s="4082">
        <f>+'40'!Q37</f>
        <v>1356172888.4</v>
      </c>
      <c r="Z87" s="4082"/>
      <c r="AA87" s="4082"/>
      <c r="AB87" s="4082"/>
      <c r="AC87" s="4082"/>
      <c r="AD87" s="4082"/>
      <c r="AE87" s="4082"/>
      <c r="AF87" s="4094"/>
      <c r="AG87" s="4082">
        <f>+'40'!R37</f>
        <v>1401711967.03805</v>
      </c>
      <c r="AH87" s="4082"/>
      <c r="AI87" s="4082"/>
      <c r="AJ87" s="4082"/>
      <c r="AK87" s="4082"/>
      <c r="AL87" s="4082"/>
      <c r="AM87" s="4082"/>
      <c r="AN87" s="4082"/>
      <c r="AO87" s="2479"/>
      <c r="AP87" s="2479"/>
    </row>
    <row r="88" s="4048" customFormat="1" ht="6" customHeight="1" spans="2:42">
      <c r="B88" s="3629"/>
      <c r="R88" s="4116"/>
      <c r="S88" s="4116"/>
      <c r="T88" s="4116"/>
      <c r="U88" s="4116"/>
      <c r="V88" s="4116"/>
      <c r="W88" s="3606"/>
      <c r="X88" s="4115"/>
      <c r="Y88" s="4122"/>
      <c r="Z88" s="4122"/>
      <c r="AA88" s="4122"/>
      <c r="AB88" s="4122"/>
      <c r="AC88" s="4122"/>
      <c r="AD88" s="4122"/>
      <c r="AE88" s="4122"/>
      <c r="AG88" s="4122"/>
      <c r="AH88" s="4122"/>
      <c r="AI88" s="4122"/>
      <c r="AJ88" s="4122"/>
      <c r="AK88" s="4122"/>
      <c r="AL88" s="4122"/>
      <c r="AM88" s="4122"/>
      <c r="AN88" s="4082"/>
      <c r="AO88" s="2479"/>
      <c r="AP88" s="2479"/>
    </row>
    <row r="89" s="4048" customFormat="1" ht="12" spans="2:42">
      <c r="B89" s="5025" t="s">
        <v>825</v>
      </c>
      <c r="R89" s="4116"/>
      <c r="S89" s="4116"/>
      <c r="T89" s="4116"/>
      <c r="U89" s="4116"/>
      <c r="V89" s="4116"/>
      <c r="W89" t="e">
        <f>SUM(W86:W87)</f>
        <v>#REF!</v>
      </c>
      <c r="X89" s="4115"/>
      <c r="Y89">
        <f>SUM(Y86:AE88)</f>
        <v>1493504389.8</v>
      </c>
      <c r="Z89">
        <f t="shared" ref="Z89:AE89" si="10">SUM(Z86:Z87)</f>
        <v>0</v>
      </c>
      <c r="AA89">
        <f t="shared" si="10"/>
        <v>0</v>
      </c>
      <c r="AB89">
        <f t="shared" si="10"/>
        <v>0</v>
      </c>
      <c r="AC89">
        <f t="shared" si="10"/>
        <v>0</v>
      </c>
      <c r="AD89">
        <f t="shared" si="10"/>
        <v>0</v>
      </c>
      <c r="AE89">
        <f t="shared" si="10"/>
        <v>0</v>
      </c>
      <c r="AF89" s="4094"/>
      <c r="AG89" s="4082">
        <f>SUM(AG86:AM88)</f>
        <v>1672704572.03805</v>
      </c>
      <c r="AH89" s="4082"/>
      <c r="AI89" s="4082"/>
      <c r="AJ89" s="4082"/>
      <c r="AK89" s="4082"/>
      <c r="AL89" s="4082"/>
      <c r="AM89" s="4082"/>
      <c r="AN89" s="4082"/>
      <c r="AO89" s="2479"/>
      <c r="AP89" s="2479"/>
    </row>
    <row r="90" spans="18:42">
      <c r="R90" s="4067" t="s">
        <v>480</v>
      </c>
      <c r="S90" s="4067"/>
      <c r="T90" s="4067"/>
      <c r="U90" s="4067"/>
      <c r="V90" s="4067"/>
      <c r="W90" s="4066"/>
      <c r="X90" s="4060"/>
      <c r="Y90" s="4097"/>
      <c r="Z90" s="4097"/>
      <c r="AA90" s="4097"/>
      <c r="AB90" s="4097"/>
      <c r="AC90" s="4097"/>
      <c r="AD90" s="4097"/>
      <c r="AE90" s="4097"/>
      <c r="AF90" s="4082"/>
      <c r="AG90" s="4097"/>
      <c r="AH90" s="4097"/>
      <c r="AI90" s="4097"/>
      <c r="AJ90" s="4097"/>
      <c r="AK90" s="4097"/>
      <c r="AL90" s="4097"/>
      <c r="AM90" s="4097"/>
      <c r="AN90" s="4093"/>
      <c r="AO90" s="4093"/>
      <c r="AP90"/>
    </row>
    <row r="91" ht="12" spans="2:42">
      <c r="B91" s="4048" t="s">
        <v>855</v>
      </c>
      <c r="R91" s="4061"/>
      <c r="S91" s="4061"/>
      <c r="T91" s="4061"/>
      <c r="U91" s="4061"/>
      <c r="V91" s="4061"/>
      <c r="W91" s="3499" t="e">
        <f>W83+W89</f>
        <v>#REF!</v>
      </c>
      <c r="X91" s="4060"/>
      <c r="Y91" s="4105">
        <f>+Y83-Y89</f>
        <v>996708062.2</v>
      </c>
      <c r="Z91" s="4105"/>
      <c r="AA91" s="4105"/>
      <c r="AB91" s="4105"/>
      <c r="AC91" s="4105"/>
      <c r="AD91" s="4105"/>
      <c r="AE91" s="4105"/>
      <c r="AF91" s="4082"/>
      <c r="AG91" s="4094">
        <f>+AG83-AG89</f>
        <v>1709836934.99999</v>
      </c>
      <c r="AH91" s="4094"/>
      <c r="AI91" s="4094"/>
      <c r="AJ91" s="4094"/>
      <c r="AK91" s="4094"/>
      <c r="AL91" s="4094"/>
      <c r="AM91" s="4094"/>
      <c r="AN91" s="4094"/>
      <c r="AO91" s="724"/>
      <c r="AP91" s="724">
        <f>Y91/Y79</f>
        <v>0.179538555642668</v>
      </c>
    </row>
    <row r="92" spans="18:42">
      <c r="R92" s="4061"/>
      <c r="S92" s="4061"/>
      <c r="T92" s="4061"/>
      <c r="U92" s="4061"/>
      <c r="V92" s="4061"/>
      <c r="W92" s="4061"/>
      <c r="X92" s="4060"/>
      <c r="Y92" s="4092"/>
      <c r="Z92" s="4092"/>
      <c r="AA92" s="4092"/>
      <c r="AB92" s="4092"/>
      <c r="AC92" s="4092"/>
      <c r="AD92" s="4092"/>
      <c r="AE92" s="4092"/>
      <c r="AF92" s="4082"/>
      <c r="AG92" s="4092"/>
      <c r="AH92" s="4092"/>
      <c r="AI92" s="4092"/>
      <c r="AJ92" s="4092"/>
      <c r="AK92" s="4092"/>
      <c r="AL92" s="4092"/>
      <c r="AM92" s="4092"/>
      <c r="AN92" s="4092"/>
      <c r="AO92" s="4092"/>
      <c r="AP92"/>
    </row>
    <row r="93" ht="12" spans="2:42">
      <c r="B93" s="4048" t="s">
        <v>587</v>
      </c>
      <c r="R93" s="4114">
        <f>+R85</f>
        <v>19</v>
      </c>
      <c r="S93" s="4114"/>
      <c r="T93" s="4114"/>
      <c r="U93" s="4114"/>
      <c r="V93" s="4061"/>
      <c r="W93" s="4061"/>
      <c r="X93" s="4060"/>
      <c r="Y93" s="4092"/>
      <c r="Z93" s="4092"/>
      <c r="AA93" s="4092"/>
      <c r="AB93" s="4092"/>
      <c r="AC93" s="4092"/>
      <c r="AD93" s="4092"/>
      <c r="AE93" s="4092"/>
      <c r="AF93" s="4082"/>
      <c r="AG93"/>
      <c r="AH93"/>
      <c r="AI93"/>
      <c r="AJ93"/>
      <c r="AK93"/>
      <c r="AL93"/>
      <c r="AM93"/>
      <c r="AN93" s="4092"/>
      <c r="AO93" s="4092"/>
      <c r="AP93"/>
    </row>
    <row r="94" spans="2:45">
      <c r="B94" t="s">
        <v>589</v>
      </c>
      <c r="R94" s="4117"/>
      <c r="S94" s="4117"/>
      <c r="T94" s="4117"/>
      <c r="U94" s="4117"/>
      <c r="V94" s="4117"/>
      <c r="W94" s="3606" t="e">
        <f>SUM(#REF!)</f>
        <v>#REF!</v>
      </c>
      <c r="X94" s="4060"/>
      <c r="Y94" s="18">
        <f>+'50'!P22+'50'!P35</f>
        <v>11928441.05</v>
      </c>
      <c r="Z94" s="18"/>
      <c r="AA94" s="18"/>
      <c r="AB94" s="18"/>
      <c r="AC94" s="18"/>
      <c r="AD94" s="18"/>
      <c r="AE94" s="18"/>
      <c r="AF94" s="4082"/>
      <c r="AG94" s="18">
        <f>+'50'!Q22+'50'!Q35</f>
        <v>10049050</v>
      </c>
      <c r="AH94" s="18"/>
      <c r="AI94" s="18"/>
      <c r="AJ94" s="18"/>
      <c r="AK94" s="18"/>
      <c r="AL94" s="18"/>
      <c r="AM94" s="18"/>
      <c r="AN94" s="4082"/>
      <c r="AO94" s="4082"/>
      <c r="AP94" s="4092"/>
      <c r="AQ94" s="4092"/>
      <c r="AR94" s="4092"/>
      <c r="AS94" s="4092"/>
    </row>
    <row r="95" spans="2:45">
      <c r="B95" t="s">
        <v>590</v>
      </c>
      <c r="R95" s="4061"/>
      <c r="S95" s="4061"/>
      <c r="T95" s="4061"/>
      <c r="U95" s="4061"/>
      <c r="V95" s="4061"/>
      <c r="W95" s="2635" t="e">
        <f>-SUM(#REF!)</f>
        <v>#REF!</v>
      </c>
      <c r="X95" s="4060"/>
      <c r="Y95" s="4082">
        <f>-'50'!P74</f>
        <v>-737288565.624398</v>
      </c>
      <c r="Z95" s="4082"/>
      <c r="AA95" s="4082"/>
      <c r="AB95" s="4082"/>
      <c r="AC95" s="4082"/>
      <c r="AD95" s="4082"/>
      <c r="AE95" s="4082"/>
      <c r="AF95" s="4082"/>
      <c r="AG95" s="4082">
        <f>-'50'!Q74</f>
        <v>-687743370</v>
      </c>
      <c r="AH95" s="4082"/>
      <c r="AI95" s="4082"/>
      <c r="AJ95" s="4082"/>
      <c r="AK95" s="4082"/>
      <c r="AL95" s="4082"/>
      <c r="AM95" s="4082"/>
      <c r="AN95" s="4082"/>
      <c r="AO95" s="4082"/>
      <c r="AP95" s="4084"/>
      <c r="AQ95" s="4084"/>
      <c r="AR95" s="4084"/>
      <c r="AS95" s="4084"/>
    </row>
    <row r="96" ht="6" customHeight="1" spans="2:42">
      <c r="B96" s="4051"/>
      <c r="R96" s="4061"/>
      <c r="S96" s="4061"/>
      <c r="T96" s="4061"/>
      <c r="U96" s="4061"/>
      <c r="V96" s="4061"/>
      <c r="W96" s="4066"/>
      <c r="X96" s="4060"/>
      <c r="Y96" s="4097"/>
      <c r="Z96" s="4097"/>
      <c r="AA96" s="4097"/>
      <c r="AB96" s="4097"/>
      <c r="AC96" s="4097"/>
      <c r="AD96" s="4097"/>
      <c r="AE96" s="4097"/>
      <c r="AF96" s="4082"/>
      <c r="AG96" s="2098"/>
      <c r="AH96" s="2098"/>
      <c r="AI96" s="2098"/>
      <c r="AJ96" s="2098"/>
      <c r="AK96" s="2098"/>
      <c r="AL96" s="2098"/>
      <c r="AM96" s="2098"/>
      <c r="AN96" s="4093"/>
      <c r="AO96" s="4093"/>
      <c r="AP96" s="4093"/>
    </row>
    <row r="97" ht="12" customHeight="1" spans="2:42">
      <c r="B97" s="5024" t="s">
        <v>856</v>
      </c>
      <c r="R97" s="4061"/>
      <c r="S97" s="4061"/>
      <c r="T97" s="4061"/>
      <c r="U97" s="4061"/>
      <c r="V97" s="4061"/>
      <c r="W97" s="2671" t="e">
        <f>SUM(W94:W95)</f>
        <v>#REF!</v>
      </c>
      <c r="X97" s="4060"/>
      <c r="Y97" s="4094">
        <f>SUM(Y94:AE95)</f>
        <v>-725360124.574398</v>
      </c>
      <c r="Z97" s="4094"/>
      <c r="AA97" s="4094"/>
      <c r="AB97" s="4094"/>
      <c r="AC97" s="4094"/>
      <c r="AD97" s="4094"/>
      <c r="AE97" s="4094"/>
      <c r="AF97" s="4082"/>
      <c r="AG97" s="4094">
        <f>SUM(AG94:AM95)</f>
        <v>-677694320</v>
      </c>
      <c r="AH97" s="4094"/>
      <c r="AI97" s="4094"/>
      <c r="AJ97" s="4094"/>
      <c r="AK97" s="4094"/>
      <c r="AL97" s="4094"/>
      <c r="AM97" s="4094"/>
      <c r="AN97" s="4094"/>
      <c r="AO97" s="4094"/>
      <c r="AP97" s="4094"/>
    </row>
    <row r="98" ht="12" spans="2:42">
      <c r="B98" s="4051"/>
      <c r="R98" s="4061"/>
      <c r="S98" s="4061"/>
      <c r="T98" s="4061"/>
      <c r="U98" s="4061"/>
      <c r="V98" s="4061"/>
      <c r="W98" s="4061"/>
      <c r="X98" s="4060"/>
      <c r="AP98" s="4082"/>
    </row>
    <row r="99" ht="12" spans="2:42">
      <c r="B99" s="5024" t="s">
        <v>857</v>
      </c>
      <c r="R99" s="4067"/>
      <c r="S99" s="4067"/>
      <c r="T99" s="4067"/>
      <c r="U99" s="4067"/>
      <c r="V99" s="4067"/>
      <c r="W99" s="3499" t="e">
        <f>W91+W97</f>
        <v>#REF!</v>
      </c>
      <c r="X99" s="4060"/>
      <c r="Y99" s="4123">
        <f>Y91+Y97</f>
        <v>271347937.625602</v>
      </c>
      <c r="Z99" s="4123"/>
      <c r="AA99" s="4123"/>
      <c r="AB99" s="4123"/>
      <c r="AC99" s="4123"/>
      <c r="AD99" s="4123"/>
      <c r="AE99" s="4123"/>
      <c r="AF99" s="4094"/>
      <c r="AG99" s="4123">
        <f>AG91+AG97</f>
        <v>1032142614.99999</v>
      </c>
      <c r="AH99" s="4123"/>
      <c r="AI99" s="4123"/>
      <c r="AJ99" s="4123"/>
      <c r="AK99" s="4123"/>
      <c r="AL99" s="4123"/>
      <c r="AM99" s="4123"/>
      <c r="AN99" s="4094"/>
      <c r="AO99" s="4094"/>
      <c r="AP99" s="4093"/>
    </row>
    <row r="100" spans="18:42">
      <c r="R100" s="4067"/>
      <c r="S100" s="4067"/>
      <c r="T100" s="4067"/>
      <c r="U100" s="4067"/>
      <c r="V100" s="4067"/>
      <c r="W100" s="4067"/>
      <c r="X100" s="4060"/>
      <c r="Y100" s="4082"/>
      <c r="Z100" s="4082"/>
      <c r="AA100" s="4082"/>
      <c r="AB100" s="4082"/>
      <c r="AC100" s="4082"/>
      <c r="AD100" s="4082"/>
      <c r="AE100" s="4082"/>
      <c r="AF100" s="4082"/>
      <c r="AG100" s="4082"/>
      <c r="AH100" s="4082"/>
      <c r="AI100" s="4082"/>
      <c r="AJ100" s="4082"/>
      <c r="AK100" s="4082"/>
      <c r="AL100" s="4082"/>
      <c r="AM100" s="4082"/>
      <c r="AN100" s="4082"/>
      <c r="AO100" s="4082"/>
      <c r="AP100" s="4082"/>
    </row>
    <row r="101" ht="12" spans="2:42">
      <c r="B101" s="3607" t="s">
        <v>858</v>
      </c>
      <c r="R101" s="4067"/>
      <c r="S101" s="4067"/>
      <c r="T101" s="4067"/>
      <c r="U101" s="4067"/>
      <c r="V101" s="4067"/>
      <c r="W101" s="4067"/>
      <c r="X101" s="4060"/>
      <c r="Y101" s="4082"/>
      <c r="Z101" s="4082"/>
      <c r="AA101" s="4082"/>
      <c r="AB101" s="4082"/>
      <c r="AC101" s="4082"/>
      <c r="AD101" s="4082"/>
      <c r="AE101" s="4082"/>
      <c r="AF101" s="4082"/>
      <c r="AG101" s="4082"/>
      <c r="AH101" s="4082"/>
      <c r="AI101" s="4082"/>
      <c r="AJ101" s="4082"/>
      <c r="AK101" s="4082"/>
      <c r="AL101" s="4082"/>
      <c r="AM101" s="4082"/>
      <c r="AN101" s="4082"/>
      <c r="AO101" s="4082"/>
      <c r="AP101" s="4082"/>
    </row>
    <row r="102" spans="2:42">
      <c r="B102" s="3609" t="s">
        <v>594</v>
      </c>
      <c r="R102" s="4075">
        <f>+R38</f>
        <v>11</v>
      </c>
      <c r="S102" s="4075"/>
      <c r="T102" s="4075"/>
      <c r="U102" s="4075"/>
      <c r="V102" s="4061"/>
      <c r="W102" s="2635" t="e">
        <f>-SUM(#REF!)</f>
        <v>#REF!</v>
      </c>
      <c r="X102" s="4060"/>
      <c r="Y102" s="4082">
        <f>+'F3'!Q34</f>
        <v>36095021.3763269</v>
      </c>
      <c r="Z102" s="4082"/>
      <c r="AA102" s="4082"/>
      <c r="AB102" s="4082"/>
      <c r="AC102" s="4082"/>
      <c r="AD102" s="4082"/>
      <c r="AE102" s="4082"/>
      <c r="AF102" s="4082"/>
      <c r="AG102" s="18">
        <f>+'F3'!R34</f>
        <v>207586987.608534</v>
      </c>
      <c r="AH102" s="18"/>
      <c r="AI102" s="18"/>
      <c r="AJ102" s="18"/>
      <c r="AK102" s="18"/>
      <c r="AL102" s="18"/>
      <c r="AM102" s="18"/>
      <c r="AN102" s="4082"/>
      <c r="AO102" s="4082"/>
      <c r="AP102" s="4082"/>
    </row>
    <row r="103" hidden="1" spans="2:42">
      <c r="B103" s="4107" t="s">
        <v>595</v>
      </c>
      <c r="C103" s="4108"/>
      <c r="D103" s="4108"/>
      <c r="E103" s="4108"/>
      <c r="F103" s="4108"/>
      <c r="G103" s="4108"/>
      <c r="H103" s="4108"/>
      <c r="I103" s="4108"/>
      <c r="J103" s="4108"/>
      <c r="K103" s="4108"/>
      <c r="L103" s="4108"/>
      <c r="M103" s="4108"/>
      <c r="N103" s="4108"/>
      <c r="O103" s="4108"/>
      <c r="P103" s="4108"/>
      <c r="Q103" s="4108"/>
      <c r="R103" s="4118"/>
      <c r="S103" s="4118" t="s">
        <v>859</v>
      </c>
      <c r="T103" s="4118"/>
      <c r="U103" s="4118"/>
      <c r="V103" s="4118"/>
      <c r="W103" s="4118"/>
      <c r="X103" s="4119"/>
      <c r="Y103" s="4124">
        <v>0</v>
      </c>
      <c r="Z103" s="4124"/>
      <c r="AA103" s="4124"/>
      <c r="AB103" s="4124"/>
      <c r="AC103" s="4124"/>
      <c r="AD103" s="4124"/>
      <c r="AE103" s="4124"/>
      <c r="AF103" s="4124"/>
      <c r="AG103" s="4124">
        <v>0</v>
      </c>
      <c r="AH103" s="4124"/>
      <c r="AI103" s="4124"/>
      <c r="AJ103" s="4124"/>
      <c r="AK103" s="4124"/>
      <c r="AL103" s="4124"/>
      <c r="AM103" s="4124"/>
      <c r="AN103" s="4093"/>
      <c r="AO103" s="4093"/>
      <c r="AP103" s="4093"/>
    </row>
    <row r="104" ht="6" customHeight="1" spans="18:42">
      <c r="R104" s="4061"/>
      <c r="S104" s="4061"/>
      <c r="T104" s="4061"/>
      <c r="U104" s="4061"/>
      <c r="V104" s="4061"/>
      <c r="W104" s="4066"/>
      <c r="X104" s="4060"/>
      <c r="Y104" s="4097"/>
      <c r="Z104" s="4097"/>
      <c r="AA104" s="4097"/>
      <c r="AB104" s="4097"/>
      <c r="AC104" s="4097"/>
      <c r="AD104" s="4097"/>
      <c r="AE104" s="4097"/>
      <c r="AF104" s="4093"/>
      <c r="AG104" s="4097"/>
      <c r="AH104" s="4097"/>
      <c r="AI104" s="4097"/>
      <c r="AJ104" s="4097"/>
      <c r="AK104" s="4097"/>
      <c r="AL104" s="4097"/>
      <c r="AM104" s="4097"/>
      <c r="AN104" s="4093"/>
      <c r="AO104" s="4093"/>
      <c r="AP104" s="4093"/>
    </row>
    <row r="105" ht="12" customHeight="1" spans="2:42">
      <c r="B105" s="4048" t="s">
        <v>860</v>
      </c>
      <c r="R105" s="4061"/>
      <c r="S105" s="4061"/>
      <c r="T105" s="4061"/>
      <c r="U105" s="4061"/>
      <c r="V105" s="4061"/>
      <c r="W105" s="2671" t="e">
        <f>SUM(W102:W104)</f>
        <v>#REF!</v>
      </c>
      <c r="X105" s="4060"/>
      <c r="Y105" s="4094">
        <f>SUM(Y102:AE103)</f>
        <v>36095021.3763269</v>
      </c>
      <c r="Z105" s="4094"/>
      <c r="AA105" s="4094"/>
      <c r="AB105" s="4094"/>
      <c r="AC105" s="4094"/>
      <c r="AD105" s="4094"/>
      <c r="AE105" s="4094"/>
      <c r="AF105" s="4082"/>
      <c r="AG105" s="4094">
        <f>SUM(AG102:AM103)</f>
        <v>207586987.608534</v>
      </c>
      <c r="AH105" s="4094"/>
      <c r="AI105" s="4094"/>
      <c r="AJ105" s="4094"/>
      <c r="AK105" s="4094"/>
      <c r="AL105" s="4094"/>
      <c r="AM105" s="4094"/>
      <c r="AN105" s="4094"/>
      <c r="AO105" s="4094"/>
      <c r="AP105" s="4094"/>
    </row>
    <row r="106" ht="12" customHeight="1" spans="18:42">
      <c r="R106" s="4061"/>
      <c r="S106" s="4061"/>
      <c r="T106" s="4061"/>
      <c r="U106" s="4061"/>
      <c r="V106" s="4061"/>
      <c r="W106" s="4066"/>
      <c r="X106" s="4060"/>
      <c r="Y106" s="4097">
        <v>0</v>
      </c>
      <c r="Z106" s="4097"/>
      <c r="AA106" s="4097"/>
      <c r="AB106" s="4097"/>
      <c r="AC106" s="4097"/>
      <c r="AD106" s="4097"/>
      <c r="AE106" s="4097"/>
      <c r="AF106" s="4082"/>
      <c r="AG106" s="4097">
        <v>0</v>
      </c>
      <c r="AH106" s="4097"/>
      <c r="AI106" s="4097"/>
      <c r="AJ106" s="4097"/>
      <c r="AK106" s="4097"/>
      <c r="AL106" s="4097"/>
      <c r="AM106" s="4097"/>
      <c r="AN106" s="4093"/>
      <c r="AO106" s="4093"/>
      <c r="AP106" s="4093"/>
    </row>
    <row r="107" ht="12" spans="2:42">
      <c r="B107" s="5024" t="s">
        <v>861</v>
      </c>
      <c r="R107" s="4067"/>
      <c r="S107" s="4067"/>
      <c r="T107" s="4067"/>
      <c r="U107" s="4067"/>
      <c r="V107" s="4067"/>
      <c r="W107" s="3499" t="e">
        <f>W99+W105</f>
        <v>#REF!</v>
      </c>
      <c r="X107" s="4060"/>
      <c r="Y107" s="4094">
        <f>Y99-Y105</f>
        <v>235252916.249275</v>
      </c>
      <c r="Z107" s="4094"/>
      <c r="AA107" s="4094"/>
      <c r="AB107" s="4094"/>
      <c r="AC107" s="4094"/>
      <c r="AD107" s="4094"/>
      <c r="AE107" s="4094"/>
      <c r="AF107" s="4094"/>
      <c r="AG107" s="4094">
        <f>AG99-AG105</f>
        <v>824555627.39146</v>
      </c>
      <c r="AH107" s="4094"/>
      <c r="AI107" s="4094"/>
      <c r="AJ107" s="4094"/>
      <c r="AK107" s="4094"/>
      <c r="AL107" s="4094"/>
      <c r="AM107" s="4094"/>
      <c r="AN107" s="4094"/>
      <c r="AO107" s="4094"/>
      <c r="AP107" s="4094"/>
    </row>
    <row r="108" spans="18:42">
      <c r="R108" s="4067"/>
      <c r="S108" s="4067"/>
      <c r="T108" s="4067"/>
      <c r="U108" s="4067"/>
      <c r="V108" s="4067"/>
      <c r="W108" s="4067"/>
      <c r="X108" s="4060"/>
      <c r="Y108" s="4082"/>
      <c r="Z108" s="4082"/>
      <c r="AA108" s="4082"/>
      <c r="AB108" s="4082"/>
      <c r="AC108" s="4082"/>
      <c r="AD108" s="4082"/>
      <c r="AE108" s="4082"/>
      <c r="AF108" s="4082"/>
      <c r="AG108" s="4082"/>
      <c r="AH108" s="4082"/>
      <c r="AI108" s="4082"/>
      <c r="AJ108" s="4082"/>
      <c r="AK108" s="4082"/>
      <c r="AL108" s="4082"/>
      <c r="AM108" s="4082"/>
      <c r="AN108" s="4082"/>
      <c r="AO108" s="4082"/>
      <c r="AP108" s="4082"/>
    </row>
    <row r="109" ht="12" spans="2:42">
      <c r="B109" s="5024" t="s">
        <v>598</v>
      </c>
      <c r="R109" s="4067"/>
      <c r="S109" s="4067"/>
      <c r="T109" s="4067"/>
      <c r="U109" s="4067"/>
      <c r="V109" s="4067"/>
      <c r="W109" s="4067">
        <v>0</v>
      </c>
      <c r="X109" s="4060"/>
      <c r="Y109" s="4082">
        <f>'F30'!Q38</f>
        <v>0</v>
      </c>
      <c r="Z109" s="4082"/>
      <c r="AA109" s="4082"/>
      <c r="AB109" s="4082"/>
      <c r="AC109" s="4082"/>
      <c r="AD109" s="4082"/>
      <c r="AE109" s="4082"/>
      <c r="AF109" s="4082"/>
      <c r="AG109" s="4082">
        <f>'F30'!R38</f>
        <v>0</v>
      </c>
      <c r="AH109" s="4082"/>
      <c r="AI109" s="4082"/>
      <c r="AJ109" s="4082"/>
      <c r="AK109" s="4082"/>
      <c r="AL109" s="4082"/>
      <c r="AM109" s="4082"/>
      <c r="AN109" s="4082"/>
      <c r="AO109" s="4082"/>
      <c r="AP109" s="4082"/>
    </row>
    <row r="110" ht="12" customHeight="1" spans="18:42">
      <c r="R110" s="4067"/>
      <c r="S110" s="4067"/>
      <c r="T110" s="4067"/>
      <c r="U110" s="4067"/>
      <c r="V110" s="4067"/>
      <c r="W110" s="4067"/>
      <c r="X110" s="4060"/>
      <c r="Y110" s="4082"/>
      <c r="Z110" s="4082"/>
      <c r="AA110" s="4082"/>
      <c r="AB110" s="4082"/>
      <c r="AC110" s="4082"/>
      <c r="AD110" s="4082"/>
      <c r="AE110" s="4082"/>
      <c r="AF110" s="4082"/>
      <c r="AG110" s="4082"/>
      <c r="AH110" s="4082"/>
      <c r="AI110" s="4082"/>
      <c r="AJ110" s="4082"/>
      <c r="AK110" s="4082"/>
      <c r="AL110" s="4082"/>
      <c r="AM110" s="4082"/>
      <c r="AN110" s="4082"/>
      <c r="AO110" s="4082"/>
      <c r="AP110"/>
    </row>
    <row r="111" ht="12.75" spans="2:42">
      <c r="B111" s="5024" t="s">
        <v>862</v>
      </c>
      <c r="R111" s="4067"/>
      <c r="S111" s="4067"/>
      <c r="T111" s="4067"/>
      <c r="U111" s="4067"/>
      <c r="V111" s="4067"/>
      <c r="W111" s="3378" t="e">
        <f>SUM(W107:W110)</f>
        <v>#REF!</v>
      </c>
      <c r="X111" s="4060"/>
      <c r="Y111" s="4100">
        <f>Y107+Y109</f>
        <v>235252916.249275</v>
      </c>
      <c r="Z111" s="4100"/>
      <c r="AA111" s="4100"/>
      <c r="AB111" s="4100"/>
      <c r="AC111" s="4100"/>
      <c r="AD111" s="4100"/>
      <c r="AE111" s="4100"/>
      <c r="AF111" s="4083"/>
      <c r="AG111" s="4100">
        <f>AG107+AG109</f>
        <v>824555627.39146</v>
      </c>
      <c r="AH111" s="4100"/>
      <c r="AI111" s="4100"/>
      <c r="AJ111" s="4100"/>
      <c r="AK111" s="4100"/>
      <c r="AL111" s="4100"/>
      <c r="AM111" s="4100"/>
      <c r="AN111" s="4095"/>
      <c r="AO111" s="4095"/>
      <c r="AP111">
        <f>Y111/Y79</f>
        <v>0.0423764694958845</v>
      </c>
    </row>
    <row r="112" ht="12.75" spans="2:42">
      <c r="B112" s="3607"/>
      <c r="R112" s="4067"/>
      <c r="S112" s="4067"/>
      <c r="T112" s="4067"/>
      <c r="U112" s="4067"/>
      <c r="V112" s="4067"/>
      <c r="X112"/>
      <c r="AF112"/>
      <c r="AO112"/>
      <c r="AP112" s="724"/>
    </row>
    <row r="113" spans="18:44">
      <c r="R113" s="4067"/>
      <c r="S113" s="4067"/>
      <c r="T113" s="4067"/>
      <c r="U113" s="4067"/>
      <c r="V113" s="4067"/>
      <c r="W113"/>
      <c r="X113"/>
      <c r="Y113"/>
      <c r="Z113"/>
      <c r="AA113"/>
      <c r="AB113"/>
      <c r="AC113"/>
      <c r="AD113"/>
      <c r="AE113"/>
      <c r="AF113"/>
      <c r="AG113"/>
      <c r="AH113"/>
      <c r="AI113"/>
      <c r="AJ113"/>
      <c r="AK113"/>
      <c r="AL113"/>
      <c r="AM113"/>
      <c r="AN113" s="4081"/>
      <c r="AO113" s="2623">
        <f>Y111/Y79</f>
        <v>0.0423764694958845</v>
      </c>
      <c r="AP113" s="2623"/>
      <c r="AQ113" s="2623"/>
      <c r="AR113" s="2623"/>
    </row>
    <row r="114" spans="18:44">
      <c r="R114" s="4061"/>
      <c r="S114" s="4061"/>
      <c r="T114" s="4061"/>
      <c r="U114" s="4061"/>
      <c r="V114" s="4061"/>
      <c r="W114" s="4061"/>
      <c r="X114" s="4060"/>
      <c r="Y114" s="4081"/>
      <c r="Z114" s="4081"/>
      <c r="AA114" s="4081"/>
      <c r="AB114" s="4081"/>
      <c r="AC114" s="4081"/>
      <c r="AD114" s="4081"/>
      <c r="AE114" s="4081"/>
      <c r="AF114" s="4081"/>
      <c r="AG114" s="4081"/>
      <c r="AH114" s="4081"/>
      <c r="AI114" s="4081"/>
      <c r="AJ114" s="4081"/>
      <c r="AK114" s="4081"/>
      <c r="AL114" s="4081"/>
      <c r="AM114" s="4081"/>
      <c r="AN114" s="4081"/>
      <c r="AO114" s="2623">
        <f>AG111/AG79</f>
        <v>0.0659274944525514</v>
      </c>
      <c r="AP114" s="2623"/>
      <c r="AQ114" s="2623"/>
      <c r="AR114" s="2623"/>
    </row>
    <row r="115" spans="18:42">
      <c r="R115" s="4061"/>
      <c r="S115" s="4061"/>
      <c r="T115" s="4061"/>
      <c r="U115" s="4061"/>
      <c r="V115" s="4061"/>
      <c r="W115" s="4061"/>
      <c r="X115" s="4060"/>
      <c r="Y115" s="4081"/>
      <c r="Z115" s="4081"/>
      <c r="AA115" s="4081"/>
      <c r="AB115" s="4081"/>
      <c r="AC115" s="4081"/>
      <c r="AD115" s="4081"/>
      <c r="AE115" s="4081"/>
      <c r="AF115" s="4081"/>
      <c r="AG115" s="4081"/>
      <c r="AH115" s="4081"/>
      <c r="AI115" s="4081"/>
      <c r="AJ115" s="4081"/>
      <c r="AK115" s="4081"/>
      <c r="AL115" s="4081"/>
      <c r="AM115" s="4081"/>
      <c r="AN115" s="4081"/>
      <c r="AO115" s="4081"/>
      <c r="AP115" s="4081"/>
    </row>
    <row r="116" spans="18:42">
      <c r="R116" s="4109"/>
      <c r="S116" s="4109"/>
      <c r="T116" s="4109"/>
      <c r="U116" s="4109"/>
      <c r="V116" s="4109"/>
      <c r="W116" s="4109"/>
      <c r="X116" s="4060"/>
      <c r="Y116" s="4081"/>
      <c r="Z116" s="4081"/>
      <c r="AA116" s="4081"/>
      <c r="AB116" s="4081"/>
      <c r="AC116" s="4081"/>
      <c r="AD116" s="4081"/>
      <c r="AE116" s="4081"/>
      <c r="AF116" s="4081"/>
      <c r="AG116" s="4081"/>
      <c r="AH116" s="4081"/>
      <c r="AI116" s="4081"/>
      <c r="AJ116" s="4081"/>
      <c r="AK116" s="4081"/>
      <c r="AL116" s="4081"/>
      <c r="AM116" s="4081"/>
      <c r="AN116" s="4081"/>
      <c r="AO116" s="4081"/>
      <c r="AP116" s="4081"/>
    </row>
    <row r="117" spans="18:42">
      <c r="R117" s="4109"/>
      <c r="S117" s="4109"/>
      <c r="T117" s="4109"/>
      <c r="U117" s="4109"/>
      <c r="V117" s="4109"/>
      <c r="W117" s="4109"/>
      <c r="X117" s="4060"/>
      <c r="Y117" s="4081"/>
      <c r="Z117" s="4081"/>
      <c r="AA117" s="4081"/>
      <c r="AB117" s="4081"/>
      <c r="AC117" s="4081"/>
      <c r="AD117" s="4081"/>
      <c r="AE117" s="4081"/>
      <c r="AF117" s="4081"/>
      <c r="AG117" s="4081"/>
      <c r="AH117" s="4081"/>
      <c r="AI117" s="4081"/>
      <c r="AJ117" s="4081"/>
      <c r="AK117" s="4081"/>
      <c r="AL117" s="4081"/>
      <c r="AM117" s="4081"/>
      <c r="AN117" s="4081"/>
      <c r="AO117" s="4081"/>
      <c r="AP117" s="4081"/>
    </row>
    <row r="118" spans="18:42">
      <c r="R118" s="4109"/>
      <c r="S118" s="4109"/>
      <c r="T118" s="4109"/>
      <c r="U118" s="4109"/>
      <c r="V118" s="4109"/>
      <c r="W118" s="4109"/>
      <c r="X118" s="4060"/>
      <c r="Y118" s="4081"/>
      <c r="Z118" s="4081"/>
      <c r="AA118" s="4081"/>
      <c r="AB118" s="4081"/>
      <c r="AC118" s="4081"/>
      <c r="AD118" s="4081"/>
      <c r="AE118" s="4081"/>
      <c r="AF118" s="4081"/>
      <c r="AG118" s="4081"/>
      <c r="AH118" s="4081"/>
      <c r="AI118" s="4081"/>
      <c r="AJ118" s="4081"/>
      <c r="AK118" s="4081"/>
      <c r="AL118" s="4081"/>
      <c r="AM118" s="4081"/>
      <c r="AN118" s="4081"/>
      <c r="AO118" s="4081"/>
      <c r="AP118" s="4081"/>
    </row>
    <row r="119" spans="18:42">
      <c r="R119" s="4109"/>
      <c r="S119" s="4109"/>
      <c r="T119" s="4109"/>
      <c r="U119" s="4109"/>
      <c r="V119" s="4109"/>
      <c r="W119" s="4109"/>
      <c r="X119" s="4060"/>
      <c r="Y119" s="4081"/>
      <c r="Z119" s="4081"/>
      <c r="AA119" s="4081"/>
      <c r="AB119" s="4081"/>
      <c r="AC119" s="4081"/>
      <c r="AD119" s="4081"/>
      <c r="AE119" s="4081"/>
      <c r="AF119" s="4081"/>
      <c r="AG119" s="4081"/>
      <c r="AH119" s="4081"/>
      <c r="AI119" s="4081"/>
      <c r="AJ119" s="4081"/>
      <c r="AK119" s="4081"/>
      <c r="AL119" s="4081"/>
      <c r="AM119" s="4081"/>
      <c r="AN119" s="4081"/>
      <c r="AO119" s="4081"/>
      <c r="AP119" s="4081"/>
    </row>
    <row r="120" spans="18:42">
      <c r="R120" s="4109"/>
      <c r="S120" s="4109"/>
      <c r="T120" s="4109"/>
      <c r="U120" s="4109"/>
      <c r="V120" s="4109"/>
      <c r="W120" s="4109"/>
      <c r="X120" s="4060"/>
      <c r="Y120" s="4081"/>
      <c r="Z120" s="4081"/>
      <c r="AA120" s="4081"/>
      <c r="AB120" s="4081"/>
      <c r="AC120" s="4081"/>
      <c r="AD120" s="4081"/>
      <c r="AE120" s="4081"/>
      <c r="AF120" s="4081"/>
      <c r="AG120" s="4081"/>
      <c r="AH120" s="4081"/>
      <c r="AI120" s="4081"/>
      <c r="AJ120" s="4081"/>
      <c r="AK120" s="4081"/>
      <c r="AL120" s="4081"/>
      <c r="AM120" s="4081"/>
      <c r="AN120" s="4081"/>
      <c r="AO120" s="4081"/>
      <c r="AP120" s="4081"/>
    </row>
    <row r="121" spans="18:42">
      <c r="R121" s="4109"/>
      <c r="S121" s="4109"/>
      <c r="T121" s="4109"/>
      <c r="U121" s="4109"/>
      <c r="V121" s="4109"/>
      <c r="W121" s="4109"/>
      <c r="X121" s="4060"/>
      <c r="Y121" s="4081"/>
      <c r="Z121" s="4081"/>
      <c r="AA121" s="4081"/>
      <c r="AB121" s="4081"/>
      <c r="AC121" s="4081"/>
      <c r="AD121" s="4081"/>
      <c r="AE121" s="4081"/>
      <c r="AF121" s="4081"/>
      <c r="AG121" s="4081"/>
      <c r="AH121" s="4081"/>
      <c r="AI121" s="4081"/>
      <c r="AJ121" s="4081"/>
      <c r="AK121" s="4081"/>
      <c r="AL121" s="4081"/>
      <c r="AM121" s="4081"/>
      <c r="AN121" s="4081"/>
      <c r="AO121" s="4081"/>
      <c r="AP121" s="4081"/>
    </row>
    <row r="122" spans="18:42">
      <c r="R122" s="4109"/>
      <c r="S122" s="4109"/>
      <c r="T122" s="4109"/>
      <c r="U122" s="4109"/>
      <c r="V122" s="4109"/>
      <c r="W122" s="4109"/>
      <c r="X122" s="4060"/>
      <c r="Y122" s="4081"/>
      <c r="Z122" s="4081"/>
      <c r="AA122" s="4081"/>
      <c r="AB122" s="4081"/>
      <c r="AC122" s="4081"/>
      <c r="AD122" s="4081"/>
      <c r="AE122" s="4081"/>
      <c r="AF122" s="4081"/>
      <c r="AG122" s="4081"/>
      <c r="AH122" s="4081"/>
      <c r="AI122" s="4081"/>
      <c r="AJ122" s="4081"/>
      <c r="AK122" s="4081"/>
      <c r="AL122" s="4081"/>
      <c r="AM122" s="4081"/>
      <c r="AN122" s="4081"/>
      <c r="AO122" s="4081"/>
      <c r="AP122" s="4081"/>
    </row>
    <row r="123" spans="18:42">
      <c r="R123" s="4109"/>
      <c r="S123" s="4109"/>
      <c r="T123" s="4109"/>
      <c r="U123" s="4109"/>
      <c r="V123" s="4109"/>
      <c r="W123" s="4109"/>
      <c r="X123" s="4060"/>
      <c r="Y123" s="4081"/>
      <c r="Z123" s="4081"/>
      <c r="AA123" s="4081"/>
      <c r="AB123" s="4081"/>
      <c r="AC123" s="4081"/>
      <c r="AD123" s="4081"/>
      <c r="AE123" s="4081"/>
      <c r="AF123" s="4081"/>
      <c r="AG123" s="4081"/>
      <c r="AH123" s="4081"/>
      <c r="AI123" s="4081"/>
      <c r="AJ123" s="4081"/>
      <c r="AK123" s="4081"/>
      <c r="AL123" s="4081"/>
      <c r="AM123" s="4081"/>
      <c r="AN123" s="4081"/>
      <c r="AO123" s="4081"/>
      <c r="AP123" s="4081"/>
    </row>
    <row r="124" spans="18:42">
      <c r="R124" s="4109"/>
      <c r="S124" s="4109"/>
      <c r="T124" s="4109"/>
      <c r="U124" s="4109"/>
      <c r="V124" s="4109"/>
      <c r="W124" s="4109"/>
      <c r="X124" s="4060"/>
      <c r="Y124" s="4081"/>
      <c r="Z124" s="4081"/>
      <c r="AA124" s="4081"/>
      <c r="AB124" s="4081"/>
      <c r="AC124" s="4081"/>
      <c r="AD124" s="4081"/>
      <c r="AE124" s="4081"/>
      <c r="AF124" s="4081"/>
      <c r="AG124" s="4081"/>
      <c r="AH124" s="4081"/>
      <c r="AI124" s="4081"/>
      <c r="AJ124" s="4081"/>
      <c r="AK124" s="4081"/>
      <c r="AL124" s="4081"/>
      <c r="AM124" s="4081"/>
      <c r="AN124" s="4081"/>
      <c r="AO124" s="4081"/>
      <c r="AP124" s="4081"/>
    </row>
    <row r="125" spans="18:42">
      <c r="R125" s="4109"/>
      <c r="S125" s="4109"/>
      <c r="T125" s="4109"/>
      <c r="U125" s="4109"/>
      <c r="V125" s="4109"/>
      <c r="W125" s="4109"/>
      <c r="X125" s="4060"/>
      <c r="Y125" s="4081"/>
      <c r="Z125" s="4081"/>
      <c r="AA125" s="4081"/>
      <c r="AB125" s="4081"/>
      <c r="AC125" s="4081"/>
      <c r="AD125" s="4081"/>
      <c r="AE125" s="4081"/>
      <c r="AF125" s="4081"/>
      <c r="AG125" s="4081"/>
      <c r="AH125" s="4081"/>
      <c r="AI125" s="4081"/>
      <c r="AJ125" s="4081"/>
      <c r="AK125" s="4081"/>
      <c r="AL125" s="4081"/>
      <c r="AM125" s="4081"/>
      <c r="AN125" s="4081"/>
      <c r="AO125" s="4081"/>
      <c r="AP125" s="4081"/>
    </row>
    <row r="126" spans="18:42">
      <c r="R126" s="4109"/>
      <c r="S126" s="4109"/>
      <c r="T126" s="4109"/>
      <c r="U126" s="4109"/>
      <c r="V126" s="4109"/>
      <c r="W126" s="4109"/>
      <c r="X126" s="4060"/>
      <c r="Y126" s="4081"/>
      <c r="Z126" s="4081"/>
      <c r="AA126" s="4081"/>
      <c r="AB126" s="4081"/>
      <c r="AC126" s="4081"/>
      <c r="AD126" s="4081"/>
      <c r="AE126" s="4081"/>
      <c r="AF126" s="4081"/>
      <c r="AG126" s="4081"/>
      <c r="AH126" s="4081"/>
      <c r="AI126" s="4081"/>
      <c r="AJ126" s="4081"/>
      <c r="AK126" s="4081"/>
      <c r="AL126" s="4081"/>
      <c r="AM126" s="4081"/>
      <c r="AN126" s="4081"/>
      <c r="AO126" s="4081"/>
      <c r="AP126" s="4081"/>
    </row>
    <row r="127" spans="18:42">
      <c r="R127" s="4109"/>
      <c r="S127" s="4109"/>
      <c r="T127" s="4109"/>
      <c r="U127" s="4109"/>
      <c r="V127" s="4109"/>
      <c r="W127" s="4109"/>
      <c r="X127" s="4060"/>
      <c r="Y127" s="4081"/>
      <c r="Z127" s="4081"/>
      <c r="AA127" s="4081"/>
      <c r="AB127" s="4081"/>
      <c r="AC127" s="4081"/>
      <c r="AD127" s="4081"/>
      <c r="AE127" s="4081"/>
      <c r="AF127" s="4081"/>
      <c r="AG127" s="4081"/>
      <c r="AH127" s="4081"/>
      <c r="AI127" s="4081"/>
      <c r="AJ127" s="4081"/>
      <c r="AK127" s="4081"/>
      <c r="AL127" s="4081"/>
      <c r="AM127" s="4081"/>
      <c r="AN127" s="4081"/>
      <c r="AO127" s="4081"/>
      <c r="AP127" s="4081"/>
    </row>
    <row r="128" spans="18:42">
      <c r="R128" s="4109"/>
      <c r="S128" s="4109"/>
      <c r="T128" s="4109"/>
      <c r="U128" s="4109"/>
      <c r="V128" s="4109"/>
      <c r="W128" s="4109"/>
      <c r="X128" s="4060"/>
      <c r="Y128" s="4081"/>
      <c r="Z128" s="4081"/>
      <c r="AA128" s="4081"/>
      <c r="AB128" s="4081"/>
      <c r="AC128" s="4081"/>
      <c r="AD128" s="4081"/>
      <c r="AE128" s="4081"/>
      <c r="AF128" s="4081"/>
      <c r="AG128" s="4081"/>
      <c r="AH128" s="4081"/>
      <c r="AI128" s="4081"/>
      <c r="AJ128" s="4081"/>
      <c r="AK128" s="4081"/>
      <c r="AL128" s="4081"/>
      <c r="AM128" s="4081"/>
      <c r="AN128" s="4081"/>
      <c r="AO128" s="4081"/>
      <c r="AP128" s="4081"/>
    </row>
    <row r="129" spans="2:42">
      <c r="B129" s="3609">
        <f>B65</f>
        <v>0</v>
      </c>
      <c r="R129" s="4109"/>
      <c r="S129" s="4109"/>
      <c r="T129" s="4109"/>
      <c r="U129" s="4109"/>
      <c r="V129" s="4109"/>
      <c r="W129" s="4109"/>
      <c r="X129" s="4060"/>
      <c r="Y129" s="4081"/>
      <c r="Z129" s="4081"/>
      <c r="AA129" s="4081"/>
      <c r="AB129" s="4081"/>
      <c r="AC129" s="4081"/>
      <c r="AD129" s="4081"/>
      <c r="AE129" s="4081"/>
      <c r="AF129" s="4081"/>
      <c r="AG129" s="4081"/>
      <c r="AH129" s="4081"/>
      <c r="AI129" s="4081"/>
      <c r="AJ129" s="4081"/>
      <c r="AK129" s="4081"/>
      <c r="AL129" s="4081"/>
      <c r="AM129" s="4081"/>
      <c r="AN129" s="4081"/>
      <c r="AO129" s="4081"/>
      <c r="AP129" s="4081"/>
    </row>
    <row r="130" spans="2:42">
      <c r="B130" s="3609"/>
      <c r="R130" s="4109"/>
      <c r="S130" s="4109"/>
      <c r="T130" s="4109"/>
      <c r="U130" s="4109"/>
      <c r="V130" s="4109"/>
      <c r="W130" s="4109"/>
      <c r="X130" s="4060"/>
      <c r="Y130" s="4081"/>
      <c r="Z130" s="4081"/>
      <c r="AA130" s="4081"/>
      <c r="AB130" s="4081"/>
      <c r="AC130" s="4081"/>
      <c r="AD130" s="4081"/>
      <c r="AE130" s="4081"/>
      <c r="AF130" s="4081"/>
      <c r="AG130" s="4081"/>
      <c r="AH130" s="4081"/>
      <c r="AI130" s="4081"/>
      <c r="AJ130" s="4081"/>
      <c r="AK130" s="4081"/>
      <c r="AL130" s="4081"/>
      <c r="AM130" s="4081"/>
      <c r="AN130" s="4081"/>
      <c r="AO130" s="4081"/>
      <c r="AP130" s="4081"/>
    </row>
    <row r="131" spans="2:42">
      <c r="B131" s="3609"/>
      <c r="R131" s="4109"/>
      <c r="S131" s="4109"/>
      <c r="T131" s="4109"/>
      <c r="U131" s="4109"/>
      <c r="V131" s="4109"/>
      <c r="W131" s="4109"/>
      <c r="X131" s="4060"/>
      <c r="Y131" s="4081"/>
      <c r="Z131" s="4081"/>
      <c r="AA131" s="4081"/>
      <c r="AB131" s="4081"/>
      <c r="AC131" s="4081"/>
      <c r="AD131" s="4081"/>
      <c r="AE131" s="4081"/>
      <c r="AF131" s="4081"/>
      <c r="AG131" s="4081"/>
      <c r="AH131" s="4081"/>
      <c r="AI131" s="4081"/>
      <c r="AJ131" s="4081"/>
      <c r="AK131" s="4081"/>
      <c r="AL131" s="4081"/>
      <c r="AM131" s="4081"/>
      <c r="AN131" s="4081"/>
      <c r="AO131" s="4081"/>
      <c r="AP131" s="4081"/>
    </row>
    <row r="132" spans="2:42">
      <c r="B132" s="3609"/>
      <c r="R132" s="4109"/>
      <c r="S132" s="4109"/>
      <c r="T132" s="4109"/>
      <c r="U132" s="4109"/>
      <c r="V132" s="4109"/>
      <c r="W132" s="4109"/>
      <c r="X132" s="4060"/>
      <c r="Y132" s="4081"/>
      <c r="Z132" s="4081"/>
      <c r="AA132" s="4081"/>
      <c r="AB132" s="4081"/>
      <c r="AC132" s="4081"/>
      <c r="AD132" s="4081"/>
      <c r="AE132" s="4081"/>
      <c r="AF132" s="4081"/>
      <c r="AG132" s="4081"/>
      <c r="AH132" s="4081"/>
      <c r="AI132" s="4081"/>
      <c r="AJ132" s="4081"/>
      <c r="AK132" s="4081"/>
      <c r="AL132" s="4081"/>
      <c r="AM132" s="4081"/>
      <c r="AN132" s="4081"/>
      <c r="AO132" s="4081"/>
      <c r="AP132" s="4081"/>
    </row>
    <row r="133" spans="18:42">
      <c r="R133" s="4109"/>
      <c r="S133" s="4109"/>
      <c r="T133" s="4109"/>
      <c r="U133" s="4109"/>
      <c r="V133" s="4109"/>
      <c r="W133" s="4109"/>
      <c r="X133" s="4060"/>
      <c r="Y133" s="4081"/>
      <c r="Z133" s="4081"/>
      <c r="AA133" s="4081"/>
      <c r="AB133" s="4081"/>
      <c r="AC133" s="4081"/>
      <c r="AD133" s="4081"/>
      <c r="AE133" s="4081"/>
      <c r="AF133" s="4081"/>
      <c r="AG133" s="4081"/>
      <c r="AH133" s="4081"/>
      <c r="AI133" s="4081"/>
      <c r="AJ133" s="4081"/>
      <c r="AK133" s="4081"/>
      <c r="AL133" s="4081"/>
      <c r="AM133" s="4081"/>
      <c r="AN133" s="4081"/>
      <c r="AO133" s="4081"/>
      <c r="AP133" s="4081"/>
    </row>
    <row r="134" s="3606" customFormat="1" spans="18:42">
      <c r="R134" s="4109"/>
      <c r="S134" s="4109"/>
      <c r="T134" s="4109"/>
      <c r="U134" s="4109"/>
      <c r="V134" s="4109"/>
      <c r="W134" s="4109"/>
      <c r="X134" s="4060"/>
      <c r="Y134" s="4081"/>
      <c r="Z134" s="4081"/>
      <c r="AA134" s="4081"/>
      <c r="AB134" s="4081"/>
      <c r="AC134" s="4081"/>
      <c r="AD134" s="4081"/>
      <c r="AE134" s="4081"/>
      <c r="AF134" s="4081"/>
      <c r="AG134" s="4081"/>
      <c r="AH134" s="4081"/>
      <c r="AI134" s="4081"/>
      <c r="AJ134" s="4081"/>
      <c r="AK134" s="4081"/>
      <c r="AL134" s="4081"/>
      <c r="AM134" s="4081"/>
      <c r="AN134" s="4081"/>
      <c r="AO134" s="4081"/>
      <c r="AP134" s="4081"/>
    </row>
    <row r="135" spans="2:42">
      <c r="B135" s="3609"/>
      <c r="R135" s="4109"/>
      <c r="S135" s="4109"/>
      <c r="T135" s="4109"/>
      <c r="U135" s="4109"/>
      <c r="V135" s="4109"/>
      <c r="W135" s="4109"/>
      <c r="X135" s="4060"/>
      <c r="Y135" s="4081"/>
      <c r="Z135" s="4081"/>
      <c r="AA135" s="4081"/>
      <c r="AB135" s="4081"/>
      <c r="AC135" s="4081"/>
      <c r="AD135" s="4081"/>
      <c r="AE135" s="4081"/>
      <c r="AF135" s="4081"/>
      <c r="AG135" s="4081"/>
      <c r="AH135" s="4081"/>
      <c r="AI135" s="4081"/>
      <c r="AJ135" s="4081"/>
      <c r="AK135" s="4081"/>
      <c r="AL135" s="4081"/>
      <c r="AM135" s="4081"/>
      <c r="AN135" s="4081"/>
      <c r="AO135" s="4081"/>
      <c r="AP135" s="4081"/>
    </row>
    <row r="136" spans="18:42">
      <c r="R136" s="4109"/>
      <c r="S136" s="4109"/>
      <c r="T136" s="4109"/>
      <c r="U136" s="4109"/>
      <c r="V136" s="4109"/>
      <c r="W136" s="4109"/>
      <c r="X136" s="4060"/>
      <c r="Y136" s="4081"/>
      <c r="Z136" s="4081"/>
      <c r="AA136" s="4081"/>
      <c r="AB136" s="4081"/>
      <c r="AC136" s="4081"/>
      <c r="AD136" s="4081"/>
      <c r="AE136" s="4081"/>
      <c r="AF136" s="4081"/>
      <c r="AG136" s="4081"/>
      <c r="AH136" s="4081"/>
      <c r="AI136" s="4081"/>
      <c r="AJ136" s="4081"/>
      <c r="AK136" s="4081"/>
      <c r="AL136" s="4081"/>
      <c r="AM136" s="4081"/>
      <c r="AN136" s="4081"/>
      <c r="AO136" s="4081"/>
      <c r="AP136" s="4081"/>
    </row>
    <row r="137" ht="12" spans="2:42">
      <c r="B137" s="3607" t="str">
        <f>+B1</f>
        <v>PT INTAN GIRI ABADI</v>
      </c>
      <c r="R137" s="4109"/>
      <c r="S137" s="4109"/>
      <c r="T137" s="4109"/>
      <c r="U137" s="4109"/>
      <c r="V137" s="4109"/>
      <c r="W137" s="4109"/>
      <c r="X137" s="4060"/>
      <c r="Y137" s="4081"/>
      <c r="Z137" s="4081"/>
      <c r="AA137" s="4081"/>
      <c r="AB137" s="4081"/>
      <c r="AC137" s="4081"/>
      <c r="AD137" s="4081"/>
      <c r="AE137" s="4081"/>
      <c r="AF137" s="4081"/>
      <c r="AG137" s="4081"/>
      <c r="AH137" s="4081"/>
      <c r="AI137" s="4081"/>
      <c r="AJ137" s="4081"/>
      <c r="AK137" s="4081"/>
      <c r="AL137" s="4081"/>
      <c r="AM137" s="4081"/>
      <c r="AN137" s="4081"/>
      <c r="AO137" s="4081"/>
      <c r="AP137" s="4081"/>
    </row>
    <row r="138" ht="12" spans="2:42">
      <c r="B138" s="5010" t="str">
        <f>+ekin21!B148</f>
        <v>Laporan Perubahan Ekuitas</v>
      </c>
      <c r="AF138" s="3624">
        <f>W62</f>
        <v>0</v>
      </c>
      <c r="AG138" s="3624"/>
      <c r="AH138" s="4102">
        <f>AI62</f>
        <v>0</v>
      </c>
      <c r="AI138" s="4102"/>
      <c r="AJ138" s="4102"/>
      <c r="AK138" s="4102"/>
      <c r="AL138" s="4102"/>
      <c r="AM138" s="4102"/>
      <c r="AN138" s="4081"/>
      <c r="AO138" s="4081"/>
      <c r="AP138" s="4081"/>
    </row>
    <row r="139" ht="12" spans="2:42">
      <c r="B139" s="5010" t="s">
        <v>618</v>
      </c>
      <c r="AF139" s="3624"/>
      <c r="AG139" s="3624"/>
      <c r="AH139" s="4102"/>
      <c r="AI139" s="4102"/>
      <c r="AJ139" s="4102"/>
      <c r="AK139" s="4102"/>
      <c r="AL139" s="4102"/>
      <c r="AM139" s="4102"/>
      <c r="AN139" s="4081"/>
      <c r="AO139" s="4081"/>
      <c r="AP139" s="4081"/>
    </row>
    <row r="140" spans="2:42">
      <c r="B140" s="3609" t="s">
        <v>450</v>
      </c>
      <c r="AF140" s="3624"/>
      <c r="AG140" s="3624"/>
      <c r="AH140" s="4102">
        <f>AI65</f>
        <v>0</v>
      </c>
      <c r="AI140" s="4102"/>
      <c r="AJ140" s="4102"/>
      <c r="AK140" s="4102"/>
      <c r="AL140" s="4102"/>
      <c r="AM140" s="4102"/>
      <c r="AN140" s="4081"/>
      <c r="AO140" s="4081"/>
      <c r="AP140" s="4081"/>
    </row>
    <row r="141" hidden="1" spans="2:42">
      <c r="B141" s="3611"/>
      <c r="C141" s="3611"/>
      <c r="D141" s="3611"/>
      <c r="E141" s="3611"/>
      <c r="F141" s="3611"/>
      <c r="G141" s="3611"/>
      <c r="H141" s="3611"/>
      <c r="I141" s="3611"/>
      <c r="J141" s="3611"/>
      <c r="K141" s="3611"/>
      <c r="L141" s="3611"/>
      <c r="M141" s="3611"/>
      <c r="N141" s="3611"/>
      <c r="O141" s="3611"/>
      <c r="P141" s="3611"/>
      <c r="Q141" s="3611"/>
      <c r="R141" s="4054"/>
      <c r="S141" s="4054"/>
      <c r="T141" s="4054"/>
      <c r="U141" s="4054"/>
      <c r="V141" s="4054"/>
      <c r="W141" s="4054"/>
      <c r="X141" s="4054"/>
      <c r="Y141" s="3611"/>
      <c r="Z141" s="3611"/>
      <c r="AA141" s="3611"/>
      <c r="AB141" s="3611"/>
      <c r="AC141" s="3611"/>
      <c r="AD141" s="3611"/>
      <c r="AE141" s="3611"/>
      <c r="AF141" s="3626"/>
      <c r="AG141" s="3626"/>
      <c r="AH141" s="4125"/>
      <c r="AI141" s="4125"/>
      <c r="AJ141" s="4125"/>
      <c r="AK141" s="4125"/>
      <c r="AL141" s="4125"/>
      <c r="AM141" s="4125"/>
      <c r="AN141" s="4081"/>
      <c r="AO141" s="4081"/>
      <c r="AP141" s="4081"/>
    </row>
    <row r="142" ht="12" hidden="1" customHeight="1" spans="2:42">
      <c r="B142" s="5010" t="s">
        <v>287</v>
      </c>
      <c r="AF142" s="3624" t="str">
        <f>AF72</f>
        <v>Approval for Print</v>
      </c>
      <c r="AG142" s="3624"/>
      <c r="AH142" s="4101" t="str">
        <f>AH72</f>
        <v>signature</v>
      </c>
      <c r="AI142" s="4101"/>
      <c r="AJ142" s="4101"/>
      <c r="AK142" s="4101"/>
      <c r="AL142" s="4101"/>
      <c r="AM142" s="4101"/>
      <c r="AN142" s="4101"/>
      <c r="AO142" s="4101"/>
      <c r="AP142" s="4101"/>
    </row>
    <row r="143" ht="12" hidden="1" customHeight="1" spans="2:42">
      <c r="B143" s="5010" t="str">
        <f>B3</f>
        <v>Pada Tanggal 31 Desember 2021 Dan 2020</v>
      </c>
      <c r="AF143" s="3624"/>
      <c r="AG143" s="3624"/>
      <c r="AH143" s="4101"/>
      <c r="AI143" s="4101"/>
      <c r="AJ143" s="4101"/>
      <c r="AK143" s="4101"/>
      <c r="AL143" s="4101"/>
      <c r="AM143" s="4101"/>
      <c r="AN143" s="4101"/>
      <c r="AO143" s="4101"/>
      <c r="AP143" s="4101"/>
    </row>
    <row r="144" ht="12" hidden="1" customHeight="1" spans="2:42">
      <c r="B144" s="3609" t="s">
        <v>450</v>
      </c>
      <c r="AF144" s="3624"/>
      <c r="AG144" s="3624"/>
      <c r="AH144" s="4101" t="str">
        <f>AH74</f>
        <v>Date</v>
      </c>
      <c r="AI144" s="4101"/>
      <c r="AJ144" s="4101"/>
      <c r="AK144" s="4101"/>
      <c r="AL144" s="4101"/>
      <c r="AM144" s="4101"/>
      <c r="AN144" s="4101"/>
      <c r="AO144" s="4101"/>
      <c r="AP144" s="4101"/>
    </row>
    <row r="145" ht="12" hidden="1" customHeight="1" spans="2:42">
      <c r="B145" s="3610"/>
      <c r="C145" s="3611"/>
      <c r="D145" s="3611"/>
      <c r="E145" s="3611"/>
      <c r="F145" s="3611"/>
      <c r="G145" s="3611"/>
      <c r="H145" s="3611"/>
      <c r="I145" s="3611"/>
      <c r="J145" s="3611"/>
      <c r="K145" s="3611"/>
      <c r="L145" s="3611"/>
      <c r="M145" s="3611"/>
      <c r="N145" s="3611"/>
      <c r="O145" s="3611"/>
      <c r="P145" s="3611"/>
      <c r="Q145" s="3611"/>
      <c r="R145" s="4054"/>
      <c r="S145" s="4054"/>
      <c r="T145" s="4054"/>
      <c r="U145" s="4054"/>
      <c r="V145" s="4054"/>
      <c r="W145" s="4054"/>
      <c r="X145" s="4054"/>
      <c r="Y145" s="3611"/>
      <c r="Z145" s="3611"/>
      <c r="AA145" s="3611"/>
      <c r="AB145" s="3611"/>
      <c r="AC145" s="3611"/>
      <c r="AD145" s="3611"/>
      <c r="AE145" s="3611"/>
      <c r="AF145" s="3626"/>
      <c r="AG145" s="3626"/>
      <c r="AH145" s="4157"/>
      <c r="AI145" s="4157"/>
      <c r="AJ145" s="4157"/>
      <c r="AK145" s="4157"/>
      <c r="AL145" s="4157"/>
      <c r="AM145" s="4157"/>
      <c r="AN145" s="4101"/>
      <c r="AO145" s="4101"/>
      <c r="AP145" s="4101"/>
    </row>
    <row r="146" hidden="1"/>
    <row r="147" ht="38.25" hidden="1" customHeight="1" spans="2:42">
      <c r="B147" s="3315"/>
      <c r="C147" s="3315"/>
      <c r="D147" s="3315"/>
      <c r="E147" s="3315"/>
      <c r="F147" s="3315"/>
      <c r="G147" s="3315"/>
      <c r="H147" s="3315"/>
      <c r="I147" s="3315"/>
      <c r="J147" s="3315"/>
      <c r="K147" s="3315"/>
      <c r="L147" s="3315"/>
      <c r="M147" s="3315"/>
      <c r="N147" s="3315"/>
      <c r="O147" s="3315"/>
      <c r="P147" s="4137"/>
      <c r="Q147" s="4137"/>
      <c r="R147" s="4137"/>
      <c r="S147" s="4137"/>
      <c r="T147" s="4137"/>
      <c r="U147" s="4137"/>
      <c r="V147" s="4143"/>
      <c r="W147" s="4143"/>
      <c r="X147" s="4144"/>
      <c r="Y147" s="4137" t="s">
        <v>863</v>
      </c>
      <c r="Z147" s="4137"/>
      <c r="AA147" s="4137"/>
      <c r="AB147" s="4137"/>
      <c r="AC147" s="4137"/>
      <c r="AD147" s="4137"/>
      <c r="AE147" s="4137"/>
      <c r="AF147" s="3315"/>
      <c r="AG147" s="4137" t="s">
        <v>864</v>
      </c>
      <c r="AH147" s="4137"/>
      <c r="AI147" s="4137"/>
      <c r="AJ147" s="4137"/>
      <c r="AK147" s="4137"/>
      <c r="AL147" s="4137"/>
      <c r="AM147" s="4137"/>
      <c r="AN147" s="4158"/>
      <c r="AO147" s="4158"/>
      <c r="AP147" s="4158"/>
    </row>
    <row r="148" hidden="1" spans="2:42">
      <c r="B148" s="3315"/>
      <c r="C148" s="3315"/>
      <c r="D148" s="3315"/>
      <c r="E148" s="3315"/>
      <c r="F148" s="3315"/>
      <c r="G148" s="3315"/>
      <c r="H148" s="3315"/>
      <c r="I148" s="3315"/>
      <c r="J148" s="3315"/>
      <c r="K148" s="3315"/>
      <c r="L148" s="3315"/>
      <c r="M148" s="3315"/>
      <c r="N148" s="3315"/>
      <c r="O148" s="3315"/>
      <c r="P148" s="3"/>
      <c r="Q148" s="3"/>
      <c r="R148" s="3"/>
      <c r="S148" s="3"/>
      <c r="T148" s="3"/>
      <c r="U148" s="3"/>
      <c r="V148" s="3"/>
      <c r="W148" s="3"/>
      <c r="X148" s="4145"/>
      <c r="Y148" s="3"/>
      <c r="Z148" s="3"/>
      <c r="AA148" s="3"/>
      <c r="AB148" s="3"/>
      <c r="AC148" s="3"/>
      <c r="AD148" s="3"/>
      <c r="AE148" s="3"/>
      <c r="AF148" s="3"/>
      <c r="AG148" s="3"/>
      <c r="AH148" s="3"/>
      <c r="AI148" s="3"/>
      <c r="AJ148" s="3"/>
      <c r="AK148" s="3"/>
      <c r="AL148" s="3"/>
      <c r="AM148" s="3"/>
      <c r="AN148" s="3"/>
      <c r="AO148" s="3"/>
      <c r="AP148" s="3"/>
    </row>
    <row r="149" ht="12" hidden="1" customHeight="1" spans="2:42">
      <c r="B149" s="3322" t="s">
        <v>604</v>
      </c>
      <c r="C149" s="3315"/>
      <c r="D149" s="3315"/>
      <c r="E149" s="3315"/>
      <c r="F149" s="3315"/>
      <c r="G149" s="3315"/>
      <c r="H149" s="3315"/>
      <c r="I149" s="3315"/>
      <c r="J149" s="3315"/>
      <c r="K149" s="3315"/>
      <c r="L149" s="3315"/>
      <c r="M149" s="3315"/>
      <c r="N149" s="3315"/>
      <c r="O149" s="3315"/>
      <c r="P149" s="4138"/>
      <c r="Q149" s="4138"/>
      <c r="R149" s="4138"/>
      <c r="S149" s="4138"/>
      <c r="T149" s="4138"/>
      <c r="U149" s="4138"/>
      <c r="V149" s="4138"/>
      <c r="W149" s="4138"/>
      <c r="X149" s="4146"/>
      <c r="Y149" s="4138">
        <f>SUM([80]LapKeu!$AQ$166:$AZ$166)+SUM([80]LapKeu!$AG$170:$AP$170)</f>
        <v>-8143590685</v>
      </c>
      <c r="Z149" s="4138"/>
      <c r="AA149" s="4138"/>
      <c r="AB149" s="4138"/>
      <c r="AC149" s="4138"/>
      <c r="AD149" s="4138"/>
      <c r="AE149" s="4138"/>
      <c r="AF149" s="4138"/>
      <c r="AG149" s="4138" t="e">
        <f>#REF!+Y149</f>
        <v>#REF!</v>
      </c>
      <c r="AH149" s="4138"/>
      <c r="AI149" s="4138"/>
      <c r="AJ149" s="4138"/>
      <c r="AK149" s="4138"/>
      <c r="AL149" s="4138"/>
      <c r="AM149" s="4138"/>
      <c r="AN149" s="4138"/>
      <c r="AO149" s="4138"/>
      <c r="AP149" s="4138"/>
    </row>
    <row r="150" hidden="1" spans="2:42">
      <c r="B150" s="3315"/>
      <c r="C150" s="3315"/>
      <c r="D150" s="3315"/>
      <c r="E150" s="3315"/>
      <c r="F150" s="3315"/>
      <c r="G150" s="3315"/>
      <c r="H150" s="3315"/>
      <c r="I150" s="3315"/>
      <c r="J150" s="3315"/>
      <c r="K150" s="3315"/>
      <c r="L150" s="3315"/>
      <c r="M150" s="3315"/>
      <c r="N150" s="3315"/>
      <c r="O150" s="3315"/>
      <c r="P150" s="4138"/>
      <c r="Q150" s="4138"/>
      <c r="R150" s="4138"/>
      <c r="S150" s="4138"/>
      <c r="T150" s="4138"/>
      <c r="U150" s="4138"/>
      <c r="V150" s="4138"/>
      <c r="W150" s="4138"/>
      <c r="X150" s="4146"/>
      <c r="Y150" s="4138"/>
      <c r="Z150" s="4138"/>
      <c r="AA150" s="4138"/>
      <c r="AB150" s="4138"/>
      <c r="AC150" s="4138"/>
      <c r="AD150" s="4138"/>
      <c r="AE150" s="4138"/>
      <c r="AF150" s="4138"/>
      <c r="AG150" s="4138"/>
      <c r="AH150" s="4138"/>
      <c r="AI150" s="4138"/>
      <c r="AJ150" s="4138"/>
      <c r="AK150" s="4138"/>
      <c r="AL150" s="4138"/>
      <c r="AM150" s="4138"/>
      <c r="AN150" s="4138"/>
      <c r="AO150" s="4138"/>
      <c r="AP150" s="4138"/>
    </row>
    <row r="151" hidden="1" spans="2:42">
      <c r="B151" s="5026" t="s">
        <v>605</v>
      </c>
      <c r="C151" s="3315"/>
      <c r="D151" s="3315"/>
      <c r="E151" s="3315"/>
      <c r="F151" s="3315"/>
      <c r="G151" s="3315"/>
      <c r="H151" s="3315"/>
      <c r="I151" s="3315"/>
      <c r="J151" s="3315"/>
      <c r="K151" s="3315"/>
      <c r="L151" s="3315"/>
      <c r="M151" s="3315"/>
      <c r="N151" s="3315"/>
      <c r="O151" s="3315"/>
      <c r="P151" s="4138"/>
      <c r="Q151" s="4138"/>
      <c r="R151" s="4138"/>
      <c r="S151" s="4138"/>
      <c r="T151" s="4138"/>
      <c r="U151" s="4138"/>
      <c r="V151" s="4138"/>
      <c r="W151" s="4138"/>
      <c r="X151" s="4146"/>
      <c r="Y151" s="4138"/>
      <c r="Z151" s="4138"/>
      <c r="AA151" s="4138"/>
      <c r="AB151" s="4138"/>
      <c r="AC151" s="4138"/>
      <c r="AD151" s="4138"/>
      <c r="AE151" s="4138"/>
      <c r="AF151" s="4138"/>
      <c r="AG151" s="4138"/>
      <c r="AH151" s="4138"/>
      <c r="AI151" s="4138"/>
      <c r="AJ151" s="4138"/>
      <c r="AK151" s="4138"/>
      <c r="AL151" s="4138"/>
      <c r="AM151" s="4138"/>
      <c r="AN151" s="4138"/>
      <c r="AO151" s="4138"/>
      <c r="AP151" s="4138"/>
    </row>
    <row r="152" hidden="1" spans="2:42">
      <c r="B152" s="3315"/>
      <c r="C152" s="3315" t="s">
        <v>606</v>
      </c>
      <c r="D152" s="3315"/>
      <c r="E152" s="3315"/>
      <c r="F152" s="3315"/>
      <c r="G152" s="3315"/>
      <c r="H152" s="3315"/>
      <c r="I152" s="3315"/>
      <c r="J152" s="3315"/>
      <c r="K152" s="3315"/>
      <c r="L152" s="3315"/>
      <c r="M152" s="3315"/>
      <c r="N152" s="3315"/>
      <c r="O152" s="3315"/>
      <c r="P152" s="4138"/>
      <c r="Q152" s="4138"/>
      <c r="R152" s="4138"/>
      <c r="S152" s="4138"/>
      <c r="T152" s="4138"/>
      <c r="U152" s="4138"/>
      <c r="V152" s="4138"/>
      <c r="W152" s="4138"/>
      <c r="X152" s="4146"/>
      <c r="Y152" s="4138" t="e">
        <f>'[81]FS-1'!$X$157:$AD$157</f>
        <v>#REF!</v>
      </c>
      <c r="Z152" s="4138"/>
      <c r="AA152" s="4138"/>
      <c r="AB152" s="4138"/>
      <c r="AC152" s="4138"/>
      <c r="AD152" s="4138"/>
      <c r="AE152" s="4138"/>
      <c r="AF152" s="4138"/>
      <c r="AG152" s="4138" t="e">
        <f>#REF!+Y152</f>
        <v>#REF!</v>
      </c>
      <c r="AH152" s="4138"/>
      <c r="AI152" s="4138"/>
      <c r="AJ152" s="4138"/>
      <c r="AK152" s="4138"/>
      <c r="AL152" s="4138"/>
      <c r="AM152" s="4138"/>
      <c r="AN152" s="4138"/>
      <c r="AO152" s="4138"/>
      <c r="AP152" s="4138"/>
    </row>
    <row r="153" ht="12" hidden="1" customHeight="1" spans="2:42">
      <c r="B153" s="3315"/>
      <c r="C153" s="3315"/>
      <c r="D153" s="3315"/>
      <c r="E153" s="3315"/>
      <c r="F153" s="3315"/>
      <c r="G153" s="3315"/>
      <c r="H153" s="3315"/>
      <c r="I153" s="3315"/>
      <c r="J153" s="3315"/>
      <c r="K153" s="3315"/>
      <c r="L153" s="3315"/>
      <c r="M153" s="3315"/>
      <c r="N153" s="3315"/>
      <c r="O153" s="3315"/>
      <c r="P153" s="4139"/>
      <c r="Q153" s="4139"/>
      <c r="R153" s="4139"/>
      <c r="S153" s="4139"/>
      <c r="T153" s="4139"/>
      <c r="U153" s="4139"/>
      <c r="V153" s="4139"/>
      <c r="W153" s="4139"/>
      <c r="X153" s="4147"/>
      <c r="Y153" s="4139"/>
      <c r="Z153" s="4139"/>
      <c r="AA153" s="4139"/>
      <c r="AB153" s="4139"/>
      <c r="AC153" s="4139"/>
      <c r="AD153" s="4139"/>
      <c r="AE153" s="4139"/>
      <c r="AF153" s="4139"/>
      <c r="AG153" s="4139"/>
      <c r="AH153" s="4139"/>
      <c r="AI153" s="4139"/>
      <c r="AJ153" s="4139"/>
      <c r="AK153" s="4139"/>
      <c r="AL153" s="4139"/>
      <c r="AM153" s="4139"/>
      <c r="AN153" s="4139"/>
      <c r="AO153" s="4139"/>
      <c r="AP153" s="4139"/>
    </row>
    <row r="154" ht="12" hidden="1" spans="2:42">
      <c r="B154" s="3322" t="s">
        <v>607</v>
      </c>
      <c r="C154" s="3322"/>
      <c r="D154" s="3322"/>
      <c r="E154" s="3322"/>
      <c r="F154" s="3322"/>
      <c r="G154" s="3322"/>
      <c r="H154" s="3322"/>
      <c r="I154" s="3322"/>
      <c r="J154" s="3322"/>
      <c r="K154" s="3322"/>
      <c r="L154" s="3322"/>
      <c r="M154" s="3322"/>
      <c r="N154" s="3322"/>
      <c r="O154" s="3322"/>
      <c r="P154" s="4140"/>
      <c r="Q154" s="4140"/>
      <c r="R154" s="4140"/>
      <c r="S154" s="4140"/>
      <c r="T154" s="4140"/>
      <c r="U154" s="4140"/>
      <c r="V154" s="4140"/>
      <c r="W154" s="4140"/>
      <c r="X154" s="4148"/>
      <c r="Y154" s="4140">
        <f>'F2'!R42</f>
        <v>9040934717.37351</v>
      </c>
      <c r="Z154" s="4140"/>
      <c r="AA154" s="4140"/>
      <c r="AB154" s="4140"/>
      <c r="AC154" s="4140"/>
      <c r="AD154" s="4140"/>
      <c r="AE154" s="4140"/>
      <c r="AF154" s="4140"/>
      <c r="AG154" s="4140">
        <f>SUM(P154:AE154)</f>
        <v>9040934717.37351</v>
      </c>
      <c r="AH154" s="4140"/>
      <c r="AI154" s="4140"/>
      <c r="AJ154" s="4140"/>
      <c r="AK154" s="4140"/>
      <c r="AL154" s="4140"/>
      <c r="AM154" s="4140"/>
      <c r="AN154" s="4140"/>
      <c r="AO154" s="4140"/>
      <c r="AP154" s="4140"/>
    </row>
    <row r="155" ht="12" hidden="1" customHeight="1" spans="2:42">
      <c r="B155" s="3315"/>
      <c r="C155" s="3315"/>
      <c r="D155" s="3315"/>
      <c r="E155" s="3315"/>
      <c r="F155" s="3315"/>
      <c r="G155" s="3315"/>
      <c r="H155" s="3315"/>
      <c r="I155" s="3315"/>
      <c r="J155" s="3315"/>
      <c r="K155" s="3315"/>
      <c r="L155" s="3315"/>
      <c r="M155" s="3315"/>
      <c r="N155" s="3315"/>
      <c r="O155" s="3315"/>
      <c r="P155" s="4138"/>
      <c r="Q155" s="4138"/>
      <c r="R155" s="4138"/>
      <c r="S155" s="4138"/>
      <c r="T155" s="4138"/>
      <c r="U155" s="4138"/>
      <c r="V155" s="4138"/>
      <c r="W155" s="4138"/>
      <c r="X155" s="4146"/>
      <c r="Y155" s="4138"/>
      <c r="Z155" s="4138"/>
      <c r="AA155" s="4138"/>
      <c r="AB155" s="4138"/>
      <c r="AC155" s="4138"/>
      <c r="AD155" s="4138"/>
      <c r="AE155" s="4138"/>
      <c r="AF155" s="4138"/>
      <c r="AG155" s="4138"/>
      <c r="AH155" s="4138"/>
      <c r="AI155" s="4138"/>
      <c r="AJ155" s="4138"/>
      <c r="AK155" s="4138"/>
      <c r="AL155" s="4138"/>
      <c r="AM155" s="4138"/>
      <c r="AN155" s="4138"/>
      <c r="AO155" s="4138"/>
      <c r="AP155" s="4138"/>
    </row>
    <row r="156" ht="12" hidden="1" customHeight="1" spans="2:42">
      <c r="B156" s="5035" t="s">
        <v>865</v>
      </c>
      <c r="C156" s="2623"/>
      <c r="D156" s="2623"/>
      <c r="E156" s="2623"/>
      <c r="F156" s="2623"/>
      <c r="G156" s="2623"/>
      <c r="H156" s="2623"/>
      <c r="I156" s="2623"/>
      <c r="J156" s="2623"/>
      <c r="K156" s="2623"/>
      <c r="L156" s="2623"/>
      <c r="M156" s="2623"/>
      <c r="N156" s="2623"/>
      <c r="O156" s="2623"/>
      <c r="P156" s="4138"/>
      <c r="Q156" s="4138"/>
      <c r="R156" s="4138"/>
      <c r="S156" s="4138"/>
      <c r="T156" s="4138"/>
      <c r="U156" s="4138"/>
      <c r="V156" s="4138"/>
      <c r="W156" s="4138"/>
      <c r="X156" s="4146"/>
      <c r="Y156" s="4138">
        <f>AG111</f>
        <v>824555627.39146</v>
      </c>
      <c r="Z156" s="4138"/>
      <c r="AA156" s="4138"/>
      <c r="AB156" s="4138"/>
      <c r="AC156" s="4138"/>
      <c r="AD156" s="4138"/>
      <c r="AE156" s="4138"/>
      <c r="AF156" s="4138"/>
      <c r="AG156" s="4138" t="e">
        <f>#REF!+Y156</f>
        <v>#REF!</v>
      </c>
      <c r="AH156" s="4138"/>
      <c r="AI156" s="4138"/>
      <c r="AJ156" s="4138"/>
      <c r="AK156" s="4138"/>
      <c r="AL156" s="4138"/>
      <c r="AM156" s="4138"/>
      <c r="AN156" s="4138"/>
      <c r="AO156" s="4138"/>
      <c r="AP156" s="4159" t="e">
        <f>#REF!</f>
        <v>#REF!</v>
      </c>
    </row>
    <row r="157" hidden="1" spans="2:42">
      <c r="B157" s="3462"/>
      <c r="C157" s="3339"/>
      <c r="D157" s="3339"/>
      <c r="E157" s="3339"/>
      <c r="F157" s="3339"/>
      <c r="G157" s="3339"/>
      <c r="H157" s="3339"/>
      <c r="I157" s="3339"/>
      <c r="J157" s="3339"/>
      <c r="K157" s="3339"/>
      <c r="L157" s="3339"/>
      <c r="M157" s="3339"/>
      <c r="N157" s="3339"/>
      <c r="O157" s="3339"/>
      <c r="P157" s="4138"/>
      <c r="Q157" s="4138"/>
      <c r="R157" s="4146"/>
      <c r="S157" s="4146"/>
      <c r="T157" s="4146"/>
      <c r="U157" s="4146"/>
      <c r="V157" s="4146"/>
      <c r="W157" s="4146"/>
      <c r="X157" s="4146"/>
      <c r="Y157" s="4138"/>
      <c r="Z157" s="4138"/>
      <c r="AA157" s="4138"/>
      <c r="AB157" s="4138"/>
      <c r="AC157" s="4138"/>
      <c r="AD157" s="4138"/>
      <c r="AE157" s="4138"/>
      <c r="AF157" s="4138"/>
      <c r="AG157" s="4138"/>
      <c r="AH157" s="4138"/>
      <c r="AI157" s="4138"/>
      <c r="AJ157" s="4138"/>
      <c r="AK157" s="4138"/>
      <c r="AL157" s="4138"/>
      <c r="AM157" s="4138"/>
      <c r="AN157" s="4138"/>
      <c r="AO157" s="4138"/>
      <c r="AP157" s="4138"/>
    </row>
    <row r="158" hidden="1" spans="2:42">
      <c r="B158" s="5035" t="s">
        <v>866</v>
      </c>
      <c r="C158" s="3339"/>
      <c r="D158" s="3339"/>
      <c r="E158" s="3339"/>
      <c r="F158" s="3339"/>
      <c r="G158" s="3339"/>
      <c r="H158" s="3339"/>
      <c r="I158" s="3339"/>
      <c r="J158" s="3339"/>
      <c r="K158" s="3339"/>
      <c r="L158" s="3339"/>
      <c r="M158" s="3339"/>
      <c r="N158" s="3339"/>
      <c r="O158" s="3339"/>
      <c r="P158" s="4138"/>
      <c r="Q158" s="4138"/>
      <c r="R158" s="4138"/>
      <c r="S158" s="4138"/>
      <c r="T158" s="4138"/>
      <c r="U158" s="4138"/>
      <c r="V158" s="4138"/>
      <c r="W158" s="4138"/>
      <c r="X158" s="4146"/>
      <c r="Y158" s="4138">
        <v>0</v>
      </c>
      <c r="Z158" s="4138"/>
      <c r="AA158" s="4138"/>
      <c r="AB158" s="4138"/>
      <c r="AC158" s="4138"/>
      <c r="AD158" s="4138"/>
      <c r="AE158" s="4138"/>
      <c r="AF158" s="4138"/>
      <c r="AG158" s="4138">
        <v>250000000</v>
      </c>
      <c r="AH158" s="4138"/>
      <c r="AI158" s="4138"/>
      <c r="AJ158" s="4138"/>
      <c r="AK158" s="4138"/>
      <c r="AL158" s="4138"/>
      <c r="AM158" s="4138"/>
      <c r="AN158" s="4138"/>
      <c r="AO158" s="4138"/>
      <c r="AP158" s="4138"/>
    </row>
    <row r="159" hidden="1" spans="2:42">
      <c r="B159" s="3315"/>
      <c r="C159" s="3315"/>
      <c r="D159" s="3315"/>
      <c r="E159" s="3315"/>
      <c r="F159" s="3315"/>
      <c r="G159" s="3315"/>
      <c r="H159" s="3315"/>
      <c r="I159" s="3315"/>
      <c r="J159" s="3315"/>
      <c r="K159" s="3315"/>
      <c r="L159" s="3315"/>
      <c r="M159" s="3315"/>
      <c r="N159" s="3315"/>
      <c r="O159" s="3315"/>
      <c r="P159" s="4141"/>
      <c r="Q159" s="4141"/>
      <c r="R159" s="4149"/>
      <c r="S159" s="4149"/>
      <c r="T159" s="4149"/>
      <c r="U159" s="4149"/>
      <c r="V159" s="4150"/>
      <c r="W159" s="4150"/>
      <c r="X159" s="4146"/>
      <c r="Y159" s="4141"/>
      <c r="Z159" s="4141"/>
      <c r="AA159" s="4141"/>
      <c r="AB159" s="4141"/>
      <c r="AC159" s="4141"/>
      <c r="AD159" s="4141"/>
      <c r="AE159" s="4141"/>
      <c r="AF159" s="4138"/>
      <c r="AG159" s="4141"/>
      <c r="AH159" s="4141"/>
      <c r="AI159" s="4141"/>
      <c r="AJ159" s="4141"/>
      <c r="AK159" s="4141"/>
      <c r="AL159" s="4141"/>
      <c r="AM159" s="4141"/>
      <c r="AN159" s="4139"/>
      <c r="AO159" s="4139"/>
      <c r="AP159" s="4139">
        <f>AG57</f>
        <v>9865490344.76497</v>
      </c>
    </row>
    <row r="160" ht="12" hidden="1" spans="2:42">
      <c r="B160" s="5028" t="s">
        <v>610</v>
      </c>
      <c r="C160" s="3322"/>
      <c r="D160" s="3322"/>
      <c r="E160" s="3322"/>
      <c r="F160" s="3322"/>
      <c r="G160" s="3322"/>
      <c r="H160" s="3322"/>
      <c r="I160" s="3322"/>
      <c r="J160" s="3322"/>
      <c r="K160" s="3322"/>
      <c r="L160" s="3322"/>
      <c r="M160" s="3322"/>
      <c r="N160" s="3322"/>
      <c r="O160" s="3322"/>
      <c r="P160" s="4140"/>
      <c r="Q160" s="4140"/>
      <c r="R160" s="4140"/>
      <c r="S160" s="4140"/>
      <c r="T160" s="4140"/>
      <c r="U160" s="4140"/>
      <c r="V160" s="4140"/>
      <c r="W160" s="4140"/>
      <c r="X160" s="4148"/>
      <c r="Y160" s="4140">
        <f>SUM(Y154:AE159)</f>
        <v>9865490344.76497</v>
      </c>
      <c r="Z160" s="4140"/>
      <c r="AA160" s="4140"/>
      <c r="AB160" s="4140"/>
      <c r="AC160" s="4140"/>
      <c r="AD160" s="4140"/>
      <c r="AE160" s="4140"/>
      <c r="AF160" s="4140"/>
      <c r="AG160" s="4140" t="e">
        <f>SUM(AG154:AM159)</f>
        <v>#REF!</v>
      </c>
      <c r="AH160" s="4140"/>
      <c r="AI160" s="4140"/>
      <c r="AJ160" s="4140"/>
      <c r="AK160" s="4140"/>
      <c r="AL160" s="4140"/>
      <c r="AM160" s="4140"/>
      <c r="AN160" s="4140"/>
      <c r="AO160" s="4140"/>
      <c r="AP160" s="4140">
        <f>AG59</f>
        <v>20865490344.765</v>
      </c>
    </row>
    <row r="161" ht="12" hidden="1" customHeight="1" spans="2:42">
      <c r="B161" s="3609"/>
      <c r="C161" s="3609"/>
      <c r="D161" s="3609"/>
      <c r="E161" s="3609"/>
      <c r="F161" s="3609"/>
      <c r="G161" s="3609"/>
      <c r="H161" s="3609"/>
      <c r="I161" s="3609"/>
      <c r="J161" s="3609"/>
      <c r="K161" s="3609"/>
      <c r="L161" s="3609"/>
      <c r="M161" s="3609"/>
      <c r="N161" s="3609"/>
      <c r="O161" s="3609"/>
      <c r="P161" s="3609"/>
      <c r="X161" s="4151"/>
      <c r="Y161" s="4156"/>
      <c r="Z161" s="4156"/>
      <c r="AA161" s="4156"/>
      <c r="AB161" s="4156"/>
      <c r="AC161" s="4156"/>
      <c r="AD161" s="4156"/>
      <c r="AE161" s="4156"/>
      <c r="AF161" s="4156"/>
      <c r="AG161" s="4156"/>
      <c r="AH161" s="4156"/>
      <c r="AI161" s="4156"/>
      <c r="AJ161" s="4156"/>
      <c r="AK161" s="4156"/>
      <c r="AL161" s="4156"/>
      <c r="AM161" s="4156"/>
      <c r="AN161" s="4156"/>
      <c r="AO161" s="4156"/>
      <c r="AP161" s="4156"/>
    </row>
    <row r="162" ht="12" hidden="1" customHeight="1" spans="2:42">
      <c r="B162" s="5026" t="s">
        <v>865</v>
      </c>
      <c r="C162" s="3315"/>
      <c r="D162" s="3315"/>
      <c r="E162" s="3315"/>
      <c r="F162" s="3315"/>
      <c r="G162" s="3315"/>
      <c r="H162" s="3315"/>
      <c r="I162" s="3315"/>
      <c r="J162" s="3315"/>
      <c r="K162" s="3315"/>
      <c r="L162" s="3315"/>
      <c r="M162" s="3315"/>
      <c r="N162" s="3315"/>
      <c r="O162" s="3315"/>
      <c r="P162" s="4138"/>
      <c r="Q162" s="4138"/>
      <c r="R162" s="4138"/>
      <c r="S162" s="4138"/>
      <c r="T162" s="4138"/>
      <c r="U162" s="4138"/>
      <c r="V162" s="4138"/>
      <c r="W162" s="4138"/>
      <c r="X162" s="4146"/>
      <c r="Y162" s="4138">
        <f>Y111</f>
        <v>235252916.249275</v>
      </c>
      <c r="Z162" s="4138"/>
      <c r="AA162" s="4138"/>
      <c r="AB162" s="4138"/>
      <c r="AC162" s="4138"/>
      <c r="AD162" s="4138"/>
      <c r="AE162" s="4138"/>
      <c r="AF162" s="4138"/>
      <c r="AG162" s="4138" t="e">
        <f>#REF!+Y162</f>
        <v>#REF!</v>
      </c>
      <c r="AH162" s="4138"/>
      <c r="AI162" s="4138"/>
      <c r="AJ162" s="4138"/>
      <c r="AK162" s="4138"/>
      <c r="AL162" s="4138"/>
      <c r="AM162" s="4138"/>
      <c r="AN162" s="4138"/>
      <c r="AO162" s="4138"/>
      <c r="AP162" s="4138"/>
    </row>
    <row r="163" ht="12" hidden="1" customHeight="1" spans="2:42">
      <c r="B163" s="4135"/>
      <c r="C163" s="3315"/>
      <c r="D163" s="3315"/>
      <c r="E163" s="3315"/>
      <c r="F163" s="3315"/>
      <c r="G163" s="3315"/>
      <c r="H163" s="3315"/>
      <c r="I163" s="3315"/>
      <c r="J163" s="3315"/>
      <c r="K163" s="3315"/>
      <c r="L163" s="3315"/>
      <c r="M163" s="3315"/>
      <c r="N163" s="3315"/>
      <c r="O163" s="3315"/>
      <c r="P163" s="4138"/>
      <c r="Q163" s="4138"/>
      <c r="R163" s="4146"/>
      <c r="S163" s="4146"/>
      <c r="T163" s="4146"/>
      <c r="U163" s="4146"/>
      <c r="V163" s="4146"/>
      <c r="W163" s="4146"/>
      <c r="X163" s="4146"/>
      <c r="Y163" s="4138"/>
      <c r="Z163" s="4138"/>
      <c r="AA163" s="4138"/>
      <c r="AB163" s="4138"/>
      <c r="AC163" s="4138"/>
      <c r="AD163" s="4138"/>
      <c r="AE163" s="4138"/>
      <c r="AF163" s="4138"/>
      <c r="AG163" s="4138"/>
      <c r="AH163" s="4138"/>
      <c r="AI163" s="4138"/>
      <c r="AJ163" s="4138"/>
      <c r="AK163" s="4138"/>
      <c r="AL163" s="4138"/>
      <c r="AM163" s="4138"/>
      <c r="AN163" s="4138"/>
      <c r="AO163" s="4138"/>
      <c r="AP163" s="4138"/>
    </row>
    <row r="164" ht="12" hidden="1" customHeight="1" spans="2:42">
      <c r="B164" s="5035" t="s">
        <v>867</v>
      </c>
      <c r="C164" s="3339"/>
      <c r="D164" s="3339"/>
      <c r="E164" s="3339"/>
      <c r="F164" s="3339"/>
      <c r="G164" s="3339"/>
      <c r="H164" s="3339"/>
      <c r="I164" s="3339"/>
      <c r="J164" s="3339"/>
      <c r="K164" s="3339"/>
      <c r="L164" s="3339"/>
      <c r="M164" s="3339"/>
      <c r="N164" s="3339"/>
      <c r="O164" s="3339"/>
      <c r="P164" s="4138"/>
      <c r="Q164" s="4138"/>
      <c r="R164" s="4138"/>
      <c r="S164" s="4138"/>
      <c r="T164" s="4138"/>
      <c r="U164" s="4138"/>
      <c r="V164" s="4138"/>
      <c r="W164" s="4138"/>
      <c r="X164" s="4146"/>
      <c r="Y164" s="4138" t="e">
        <f>-#REF!</f>
        <v>#REF!</v>
      </c>
      <c r="Z164" s="4138"/>
      <c r="AA164" s="4138"/>
      <c r="AB164" s="4138"/>
      <c r="AC164" s="4138"/>
      <c r="AD164" s="4138"/>
      <c r="AE164" s="4138"/>
      <c r="AF164" s="4138"/>
      <c r="AG164" s="4138" t="e">
        <f>SUM(P164:AE164)</f>
        <v>#REF!</v>
      </c>
      <c r="AH164" s="4138"/>
      <c r="AI164" s="4138"/>
      <c r="AJ164" s="4138"/>
      <c r="AK164" s="4138"/>
      <c r="AL164" s="4138"/>
      <c r="AM164" s="4138"/>
      <c r="AN164" s="4138"/>
      <c r="AO164" s="4138"/>
      <c r="AP164" s="4138"/>
    </row>
    <row r="165" ht="12" hidden="1" customHeight="1" spans="2:42">
      <c r="B165" s="5035" t="s">
        <v>868</v>
      </c>
      <c r="C165" s="3339"/>
      <c r="D165" s="3339"/>
      <c r="E165" s="3339"/>
      <c r="F165" s="3339"/>
      <c r="G165" s="3339"/>
      <c r="H165" s="3339"/>
      <c r="I165" s="3339"/>
      <c r="J165" s="3339"/>
      <c r="K165" s="3339"/>
      <c r="L165" s="3339"/>
      <c r="M165" s="3339"/>
      <c r="N165" s="3339"/>
      <c r="O165" s="3339"/>
      <c r="P165" s="4138"/>
      <c r="Q165" s="4138"/>
      <c r="R165" s="4138"/>
      <c r="S165" s="4138"/>
      <c r="T165" s="4138"/>
      <c r="U165" s="4138"/>
      <c r="V165" s="4138"/>
      <c r="W165" s="4138"/>
      <c r="X165" s="4146"/>
      <c r="Y165" s="4138">
        <f>'F2'!Q45</f>
        <v>0</v>
      </c>
      <c r="Z165" s="4138"/>
      <c r="AA165" s="4138"/>
      <c r="AB165" s="4138"/>
      <c r="AC165" s="4138"/>
      <c r="AD165" s="4138"/>
      <c r="AE165" s="4138"/>
      <c r="AF165" s="4138"/>
      <c r="AG165" s="4138">
        <f>SUM(P165:AE165)</f>
        <v>0</v>
      </c>
      <c r="AH165" s="4138"/>
      <c r="AI165" s="4138"/>
      <c r="AJ165" s="4138"/>
      <c r="AK165" s="4138"/>
      <c r="AL165" s="4138"/>
      <c r="AM165" s="4138"/>
      <c r="AN165" s="4138"/>
      <c r="AO165" s="4138"/>
      <c r="AP165" s="4138"/>
    </row>
    <row r="166" hidden="1" spans="2:42">
      <c r="B166" s="3315"/>
      <c r="C166" s="3609"/>
      <c r="D166" s="3609"/>
      <c r="E166" s="3609"/>
      <c r="F166" s="3609"/>
      <c r="G166" s="3609"/>
      <c r="H166" s="3609"/>
      <c r="I166" s="3609"/>
      <c r="J166" s="3609"/>
      <c r="K166" s="3609"/>
      <c r="L166" s="3609"/>
      <c r="M166" s="3609"/>
      <c r="N166" s="3609"/>
      <c r="O166" s="3609"/>
      <c r="P166" s="3609"/>
      <c r="X166" s="4151"/>
      <c r="Y166" s="4156"/>
      <c r="Z166" s="4156"/>
      <c r="AA166" s="4156"/>
      <c r="AB166" s="4156"/>
      <c r="AC166" s="4156"/>
      <c r="AD166" s="4156"/>
      <c r="AE166" s="4156"/>
      <c r="AF166" s="4156"/>
      <c r="AG166" s="4156"/>
      <c r="AH166" s="4156"/>
      <c r="AI166" s="4156"/>
      <c r="AJ166" s="4156"/>
      <c r="AK166" s="4156"/>
      <c r="AL166" s="4156"/>
      <c r="AM166" s="4156"/>
      <c r="AN166" s="4156"/>
      <c r="AO166" s="4156"/>
      <c r="AP166" s="4156"/>
    </row>
    <row r="167" ht="12.75" hidden="1" spans="2:42">
      <c r="B167" s="5028" t="s">
        <v>613</v>
      </c>
      <c r="C167" s="3322"/>
      <c r="D167" s="3322"/>
      <c r="E167" s="3322"/>
      <c r="F167" s="3322"/>
      <c r="G167" s="3322"/>
      <c r="H167" s="3322"/>
      <c r="I167" s="3322"/>
      <c r="J167" s="3322"/>
      <c r="K167" s="3322"/>
      <c r="L167" s="3322"/>
      <c r="M167" s="3322"/>
      <c r="N167" s="3322"/>
      <c r="O167" s="3322"/>
      <c r="P167" s="4142"/>
      <c r="Q167" s="4142"/>
      <c r="R167" s="4142"/>
      <c r="S167" s="4142"/>
      <c r="T167" s="4142"/>
      <c r="U167" s="4142"/>
      <c r="V167" s="4152"/>
      <c r="W167" s="4152"/>
      <c r="X167" s="4148"/>
      <c r="Y167" s="4142" t="e">
        <f>SUM(Y160:AE166)</f>
        <v>#REF!</v>
      </c>
      <c r="Z167" s="4142"/>
      <c r="AA167" s="4142"/>
      <c r="AB167" s="4142"/>
      <c r="AC167" s="4142"/>
      <c r="AD167" s="4142"/>
      <c r="AE167" s="4142"/>
      <c r="AF167" s="4140"/>
      <c r="AG167" s="4142" t="e">
        <f>SUM(AG160:AM166)</f>
        <v>#REF!</v>
      </c>
      <c r="AH167" s="4142"/>
      <c r="AI167" s="4142"/>
      <c r="AJ167" s="4142"/>
      <c r="AK167" s="4142"/>
      <c r="AL167" s="4142"/>
      <c r="AM167" s="4142"/>
      <c r="AN167" s="4152"/>
      <c r="AO167" s="4152"/>
      <c r="AP167" s="4152"/>
    </row>
    <row r="168" ht="12.15" hidden="1" spans="2:42">
      <c r="B168" s="3609"/>
      <c r="C168" s="3315"/>
      <c r="D168" s="3315"/>
      <c r="E168" s="3315"/>
      <c r="F168" s="3609"/>
      <c r="G168" s="3609"/>
      <c r="H168" s="3609"/>
      <c r="I168" s="3609"/>
      <c r="J168" s="3609"/>
      <c r="K168" s="3609"/>
      <c r="L168" s="3609"/>
      <c r="M168" s="3609"/>
      <c r="N168" s="3609"/>
      <c r="O168" s="3609"/>
      <c r="P168" s="3609"/>
      <c r="X168" s="4151"/>
      <c r="Y168" s="4156"/>
      <c r="Z168" s="4156"/>
      <c r="AA168" s="4156"/>
      <c r="AB168" s="4156"/>
      <c r="AC168" s="4156"/>
      <c r="AD168" s="4156"/>
      <c r="AE168" s="4156"/>
      <c r="AF168" s="4156"/>
      <c r="AG168" s="4156"/>
      <c r="AH168" s="4156"/>
      <c r="AI168" s="4156"/>
      <c r="AJ168" s="4156"/>
      <c r="AK168" s="4156"/>
      <c r="AL168" s="4156"/>
      <c r="AM168" s="4156"/>
      <c r="AN168" s="4156"/>
      <c r="AO168" s="4156"/>
      <c r="AP168" s="4156"/>
    </row>
    <row r="169" hidden="1" spans="2:42">
      <c r="B169" s="3609"/>
      <c r="C169" s="3609"/>
      <c r="D169" s="3609"/>
      <c r="E169" s="3609"/>
      <c r="F169" s="3609"/>
      <c r="G169" s="3609"/>
      <c r="H169" s="3609"/>
      <c r="I169" s="3609"/>
      <c r="J169" s="3609"/>
      <c r="K169" s="3609"/>
      <c r="L169" s="3609"/>
      <c r="M169" s="3609"/>
      <c r="N169" s="3609"/>
      <c r="O169" s="3609"/>
      <c r="P169" s="3609"/>
      <c r="X169" s="4151"/>
      <c r="Y169" s="4156"/>
      <c r="Z169" s="4156"/>
      <c r="AA169" s="4156"/>
      <c r="AB169" s="4156"/>
      <c r="AC169" s="4156"/>
      <c r="AD169" s="4156"/>
      <c r="AE169" s="4156"/>
      <c r="AF169" s="4156"/>
      <c r="AG169" s="4156"/>
      <c r="AH169" s="4156"/>
      <c r="AI169" s="4156"/>
      <c r="AJ169" s="4156"/>
      <c r="AK169" s="4156"/>
      <c r="AL169" s="4156"/>
      <c r="AM169" s="4156"/>
      <c r="AN169" s="4156"/>
      <c r="AO169" s="4156"/>
      <c r="AP169" s="4156"/>
    </row>
    <row r="170" ht="12" hidden="1" spans="2:42">
      <c r="B170" s="3322"/>
      <c r="C170" s="3607"/>
      <c r="D170" s="3607"/>
      <c r="E170" s="3607"/>
      <c r="F170" s="3607"/>
      <c r="G170" s="3607"/>
      <c r="H170" s="3607"/>
      <c r="I170" s="3607"/>
      <c r="J170" s="3607"/>
      <c r="K170" s="3607"/>
      <c r="L170" s="3607"/>
      <c r="M170" s="3607"/>
      <c r="N170" s="3607"/>
      <c r="O170" s="3607"/>
      <c r="P170" s="3607"/>
      <c r="X170" s="4153"/>
      <c r="Y170" s="4083"/>
      <c r="Z170" s="4083"/>
      <c r="AA170" s="4083"/>
      <c r="AB170" s="4083"/>
      <c r="AC170" s="4083"/>
      <c r="AD170" s="4083"/>
      <c r="AE170" s="4083"/>
      <c r="AF170" s="4083"/>
      <c r="AG170" s="4083"/>
      <c r="AH170" s="4083"/>
      <c r="AI170" s="4083"/>
      <c r="AJ170" s="4083"/>
      <c r="AK170" s="4083"/>
      <c r="AL170" s="4083"/>
      <c r="AM170" s="4083"/>
      <c r="AN170" s="4083"/>
      <c r="AO170" s="4083"/>
      <c r="AP170" s="4083"/>
    </row>
    <row r="171" hidden="1" spans="24:42">
      <c r="X171" s="4060"/>
      <c r="Y171" s="4081"/>
      <c r="Z171" s="4081"/>
      <c r="AA171" s="4081"/>
      <c r="AB171" s="4081"/>
      <c r="AC171" s="4081"/>
      <c r="AD171" s="4081"/>
      <c r="AE171" s="4081"/>
      <c r="AF171" s="4081"/>
      <c r="AG171" s="4081"/>
      <c r="AH171" s="4081"/>
      <c r="AI171" s="4081"/>
      <c r="AJ171" s="4081"/>
      <c r="AK171" s="4081"/>
      <c r="AL171" s="4081"/>
      <c r="AM171" s="4081"/>
      <c r="AN171" s="4081"/>
      <c r="AO171" s="4081"/>
      <c r="AP171" s="4081"/>
    </row>
    <row r="172" hidden="1" spans="24:42">
      <c r="X172" s="4060"/>
      <c r="Y172" s="4081"/>
      <c r="Z172" s="4081"/>
      <c r="AA172" s="4081"/>
      <c r="AB172" s="4081"/>
      <c r="AC172" s="4081"/>
      <c r="AD172" s="4081"/>
      <c r="AE172" s="4081"/>
      <c r="AF172" s="4081"/>
      <c r="AG172" s="4081"/>
      <c r="AH172" s="4081"/>
      <c r="AI172" s="4081"/>
      <c r="AJ172" s="4081"/>
      <c r="AK172" s="4081"/>
      <c r="AL172" s="4081"/>
      <c r="AM172" s="4081"/>
      <c r="AN172" s="4081"/>
      <c r="AO172" s="4081"/>
      <c r="AP172" s="4081"/>
    </row>
    <row r="173" hidden="1" spans="24:42">
      <c r="X173" s="4060"/>
      <c r="Y173" s="4081"/>
      <c r="Z173" s="4081"/>
      <c r="AA173" s="4081"/>
      <c r="AB173" s="4081"/>
      <c r="AC173" s="4081"/>
      <c r="AD173" s="4081"/>
      <c r="AE173" s="4081"/>
      <c r="AF173" s="4081"/>
      <c r="AG173" s="4081"/>
      <c r="AH173" s="4081"/>
      <c r="AI173" s="4081"/>
      <c r="AJ173" s="4081"/>
      <c r="AK173" s="4081"/>
      <c r="AL173" s="4081"/>
      <c r="AM173" s="4081"/>
      <c r="AN173" s="4081"/>
      <c r="AO173" s="4081"/>
      <c r="AP173" s="4081"/>
    </row>
    <row r="174" hidden="1" spans="24:42">
      <c r="X174" s="4060"/>
      <c r="Y174" s="4081"/>
      <c r="Z174" s="4081"/>
      <c r="AA174" s="4081"/>
      <c r="AB174" s="4081"/>
      <c r="AC174" s="4081"/>
      <c r="AD174" s="4081"/>
      <c r="AE174" s="4081"/>
      <c r="AF174" s="4081"/>
      <c r="AG174" s="4081"/>
      <c r="AH174" s="4081"/>
      <c r="AI174" s="4081"/>
      <c r="AJ174" s="4081"/>
      <c r="AK174" s="4081"/>
      <c r="AL174" s="4081"/>
      <c r="AM174" s="4081"/>
      <c r="AN174" s="4081"/>
      <c r="AO174" s="4081"/>
      <c r="AP174" s="4081"/>
    </row>
    <row r="175" hidden="1" spans="24:42">
      <c r="X175" s="4060"/>
      <c r="Y175" s="4081"/>
      <c r="Z175" s="4081"/>
      <c r="AA175" s="4081"/>
      <c r="AB175" s="4081"/>
      <c r="AC175" s="4081"/>
      <c r="AD175" s="4081"/>
      <c r="AE175" s="4081"/>
      <c r="AF175" s="4081"/>
      <c r="AG175" s="4081"/>
      <c r="AH175" s="4081"/>
      <c r="AI175" s="4081"/>
      <c r="AJ175" s="4081"/>
      <c r="AK175" s="4081"/>
      <c r="AL175" s="4081"/>
      <c r="AM175" s="4081"/>
      <c r="AN175" s="4081"/>
      <c r="AO175" s="4081"/>
      <c r="AP175" s="4081"/>
    </row>
    <row r="176" hidden="1" spans="24:42">
      <c r="X176" s="4060"/>
      <c r="Y176" s="4081"/>
      <c r="Z176" s="4081"/>
      <c r="AA176" s="4081"/>
      <c r="AB176" s="4081"/>
      <c r="AC176" s="4081"/>
      <c r="AD176" s="4081"/>
      <c r="AE176" s="4081"/>
      <c r="AF176" s="4081"/>
      <c r="AG176" s="4081"/>
      <c r="AH176" s="4081"/>
      <c r="AI176" s="4081"/>
      <c r="AJ176" s="4081"/>
      <c r="AK176" s="4081"/>
      <c r="AL176" s="4081"/>
      <c r="AM176" s="4081"/>
      <c r="AN176" s="4081"/>
      <c r="AO176" s="4081"/>
      <c r="AP176" s="4081"/>
    </row>
    <row r="177" hidden="1" spans="24:42">
      <c r="X177" s="4060"/>
      <c r="Y177" s="4081"/>
      <c r="Z177" s="4081"/>
      <c r="AA177" s="4081"/>
      <c r="AB177" s="4081"/>
      <c r="AC177" s="4081"/>
      <c r="AD177" s="4081"/>
      <c r="AE177" s="4081"/>
      <c r="AF177" s="4081"/>
      <c r="AG177" s="4081"/>
      <c r="AH177" s="4081"/>
      <c r="AI177" s="4081"/>
      <c r="AJ177" s="4081"/>
      <c r="AK177" s="4081"/>
      <c r="AL177" s="4081"/>
      <c r="AM177" s="4081"/>
      <c r="AN177" s="4081"/>
      <c r="AO177" s="4081"/>
      <c r="AP177" s="4081"/>
    </row>
    <row r="178" hidden="1" spans="24:42">
      <c r="X178" s="4060"/>
      <c r="Y178" s="4081"/>
      <c r="Z178" s="4081"/>
      <c r="AA178" s="4081"/>
      <c r="AB178" s="4081"/>
      <c r="AC178" s="4081"/>
      <c r="AD178" s="4081"/>
      <c r="AE178" s="4081"/>
      <c r="AF178" s="4081"/>
      <c r="AG178" s="4081"/>
      <c r="AH178" s="4081"/>
      <c r="AI178" s="4081"/>
      <c r="AJ178" s="4081"/>
      <c r="AK178" s="4081"/>
      <c r="AL178" s="4081"/>
      <c r="AM178" s="4081"/>
      <c r="AN178" s="4081"/>
      <c r="AO178" s="4081"/>
      <c r="AP178" s="4081"/>
    </row>
    <row r="179" hidden="1" spans="24:42">
      <c r="X179" s="4060"/>
      <c r="Y179" s="4081"/>
      <c r="Z179" s="4081"/>
      <c r="AA179" s="4081"/>
      <c r="AB179" s="4081"/>
      <c r="AC179" s="4081"/>
      <c r="AD179" s="4081"/>
      <c r="AE179" s="4081"/>
      <c r="AF179" s="4081"/>
      <c r="AG179" s="4081"/>
      <c r="AH179" s="4081"/>
      <c r="AI179" s="4081"/>
      <c r="AJ179" s="4081"/>
      <c r="AK179" s="4081"/>
      <c r="AL179" s="4081"/>
      <c r="AM179" s="4081"/>
      <c r="AN179" s="4081"/>
      <c r="AO179" s="4081"/>
      <c r="AP179" s="4081"/>
    </row>
    <row r="180" hidden="1" spans="24:42">
      <c r="X180" s="4060"/>
      <c r="Y180" s="4081"/>
      <c r="Z180" s="4081"/>
      <c r="AA180" s="4081"/>
      <c r="AB180" s="4081"/>
      <c r="AC180" s="4081"/>
      <c r="AD180" s="4081"/>
      <c r="AE180" s="4081"/>
      <c r="AF180" s="4081"/>
      <c r="AG180" s="4081"/>
      <c r="AH180" s="4081"/>
      <c r="AI180" s="4081"/>
      <c r="AJ180" s="4081"/>
      <c r="AK180" s="4081"/>
      <c r="AL180" s="4081"/>
      <c r="AM180" s="4081"/>
      <c r="AN180" s="4081"/>
      <c r="AO180" s="4081"/>
      <c r="AP180" s="4081"/>
    </row>
    <row r="181" hidden="1" spans="24:42">
      <c r="X181" s="4060"/>
      <c r="Y181" s="4081"/>
      <c r="Z181" s="4081"/>
      <c r="AA181" s="4081"/>
      <c r="AB181" s="4081"/>
      <c r="AC181" s="4081"/>
      <c r="AD181" s="4081"/>
      <c r="AE181" s="4081"/>
      <c r="AF181" s="4081"/>
      <c r="AG181" s="4081"/>
      <c r="AH181" s="4081"/>
      <c r="AI181" s="4081"/>
      <c r="AJ181" s="4081"/>
      <c r="AK181" s="4081"/>
      <c r="AL181" s="4081"/>
      <c r="AM181" s="4081"/>
      <c r="AN181" s="4081"/>
      <c r="AO181" s="4081"/>
      <c r="AP181" s="4081"/>
    </row>
    <row r="182" hidden="1" spans="24:42">
      <c r="X182" s="4060"/>
      <c r="Y182" s="4081"/>
      <c r="Z182" s="4081"/>
      <c r="AA182" s="4081"/>
      <c r="AB182" s="4081"/>
      <c r="AC182" s="4081"/>
      <c r="AD182" s="4081"/>
      <c r="AE182" s="4081"/>
      <c r="AF182" s="4081"/>
      <c r="AG182" s="4081"/>
      <c r="AH182" s="4081"/>
      <c r="AI182" s="4081"/>
      <c r="AJ182" s="4081"/>
      <c r="AK182" s="4081"/>
      <c r="AL182" s="4081"/>
      <c r="AM182" s="4081"/>
      <c r="AN182" s="4081"/>
      <c r="AO182" s="4081"/>
      <c r="AP182" s="4081"/>
    </row>
    <row r="183" hidden="1" spans="24:42">
      <c r="X183" s="4060"/>
      <c r="Y183" s="4081"/>
      <c r="Z183" s="4081"/>
      <c r="AA183" s="4081"/>
      <c r="AB183" s="4081"/>
      <c r="AC183" s="4081"/>
      <c r="AD183" s="4081"/>
      <c r="AE183" s="4081"/>
      <c r="AF183" s="4081"/>
      <c r="AG183" s="4081"/>
      <c r="AH183" s="4081"/>
      <c r="AI183" s="4081"/>
      <c r="AJ183" s="4081"/>
      <c r="AK183" s="4081"/>
      <c r="AL183" s="4081"/>
      <c r="AM183" s="4081"/>
      <c r="AN183" s="4081"/>
      <c r="AO183" s="4081"/>
      <c r="AP183" s="4081"/>
    </row>
    <row r="184" hidden="1" spans="24:42">
      <c r="X184" s="4060"/>
      <c r="Y184" s="4081"/>
      <c r="Z184" s="4081"/>
      <c r="AA184" s="4081"/>
      <c r="AB184" s="4081"/>
      <c r="AC184" s="4081"/>
      <c r="AD184" s="4081"/>
      <c r="AE184" s="4081"/>
      <c r="AF184" s="4081"/>
      <c r="AG184" s="4081"/>
      <c r="AH184" s="4081"/>
      <c r="AI184" s="4081"/>
      <c r="AJ184" s="4081"/>
      <c r="AK184" s="4081"/>
      <c r="AL184" s="4081"/>
      <c r="AM184" s="4081"/>
      <c r="AN184" s="4081"/>
      <c r="AO184" s="4081"/>
      <c r="AP184" s="4081"/>
    </row>
    <row r="185" hidden="1" spans="24:42">
      <c r="X185" s="4060"/>
      <c r="Y185" s="4081"/>
      <c r="Z185" s="4081"/>
      <c r="AA185" s="4081"/>
      <c r="AB185" s="4081"/>
      <c r="AC185" s="4081"/>
      <c r="AD185" s="4081"/>
      <c r="AE185" s="4081"/>
      <c r="AF185" s="4081"/>
      <c r="AG185" s="4081"/>
      <c r="AH185" s="4081"/>
      <c r="AI185" s="4081"/>
      <c r="AJ185" s="4081"/>
      <c r="AK185" s="4081"/>
      <c r="AL185" s="4081"/>
      <c r="AM185" s="4081"/>
      <c r="AN185" s="4081"/>
      <c r="AO185" s="4081"/>
      <c r="AP185" s="4081"/>
    </row>
    <row r="186" hidden="1" spans="24:42">
      <c r="X186" s="4060"/>
      <c r="Y186" s="4081"/>
      <c r="Z186" s="4081"/>
      <c r="AA186" s="4081"/>
      <c r="AB186" s="4081"/>
      <c r="AC186" s="4081"/>
      <c r="AD186" s="4081"/>
      <c r="AE186" s="4081"/>
      <c r="AF186" s="4081"/>
      <c r="AG186" s="4081"/>
      <c r="AH186" s="4081"/>
      <c r="AI186" s="4081"/>
      <c r="AJ186" s="4081"/>
      <c r="AK186" s="4081"/>
      <c r="AL186" s="4081"/>
      <c r="AM186" s="4081"/>
      <c r="AN186" s="4081"/>
      <c r="AO186" s="4081"/>
      <c r="AP186" s="4081"/>
    </row>
    <row r="187" hidden="1" spans="24:42">
      <c r="X187" s="4060"/>
      <c r="Y187" s="4081"/>
      <c r="Z187" s="4081"/>
      <c r="AA187" s="4081"/>
      <c r="AB187" s="4081"/>
      <c r="AC187" s="4081"/>
      <c r="AD187" s="4081"/>
      <c r="AE187" s="4081"/>
      <c r="AF187" s="4081"/>
      <c r="AG187" s="4081"/>
      <c r="AH187" s="4081"/>
      <c r="AI187" s="4081"/>
      <c r="AJ187" s="4081"/>
      <c r="AK187" s="4081"/>
      <c r="AL187" s="4081"/>
      <c r="AM187" s="4081"/>
      <c r="AN187" s="4081"/>
      <c r="AO187" s="4081"/>
      <c r="AP187" s="4081"/>
    </row>
    <row r="188" hidden="1" spans="24:42">
      <c r="X188" s="4060"/>
      <c r="Y188" s="4081"/>
      <c r="Z188" s="4081"/>
      <c r="AA188" s="4081"/>
      <c r="AB188" s="4081"/>
      <c r="AC188" s="4081"/>
      <c r="AD188" s="4081"/>
      <c r="AE188" s="4081"/>
      <c r="AF188" s="4081"/>
      <c r="AG188" s="4081"/>
      <c r="AH188" s="4081"/>
      <c r="AI188" s="4081"/>
      <c r="AJ188" s="4081"/>
      <c r="AK188" s="4081"/>
      <c r="AL188" s="4081"/>
      <c r="AM188" s="4081"/>
      <c r="AN188" s="4081"/>
      <c r="AO188" s="4081"/>
      <c r="AP188" s="4081"/>
    </row>
    <row r="189" hidden="1" spans="24:42">
      <c r="X189" s="4060"/>
      <c r="Y189" s="4081"/>
      <c r="Z189" s="4081"/>
      <c r="AA189" s="4081"/>
      <c r="AB189" s="4081"/>
      <c r="AC189" s="4081"/>
      <c r="AD189" s="4081"/>
      <c r="AE189" s="4081"/>
      <c r="AF189" s="4081"/>
      <c r="AG189" s="4081"/>
      <c r="AH189" s="4081"/>
      <c r="AI189" s="4081"/>
      <c r="AJ189" s="4081"/>
      <c r="AK189" s="4081"/>
      <c r="AL189" s="4081"/>
      <c r="AM189" s="4081"/>
      <c r="AN189" s="4081"/>
      <c r="AO189" s="4081"/>
      <c r="AP189" s="4081"/>
    </row>
    <row r="190" hidden="1" spans="24:42">
      <c r="X190" s="4060"/>
      <c r="Y190" s="4081"/>
      <c r="Z190" s="4081"/>
      <c r="AA190" s="4081"/>
      <c r="AB190" s="4081"/>
      <c r="AC190" s="4081"/>
      <c r="AD190" s="4081"/>
      <c r="AE190" s="4081"/>
      <c r="AF190" s="4081"/>
      <c r="AG190" s="4081"/>
      <c r="AH190" s="4081"/>
      <c r="AI190" s="4081"/>
      <c r="AJ190" s="4081"/>
      <c r="AK190" s="4081"/>
      <c r="AL190" s="4081"/>
      <c r="AM190" s="4081"/>
      <c r="AN190" s="4081"/>
      <c r="AO190" s="4081"/>
      <c r="AP190" s="4081"/>
    </row>
    <row r="191" hidden="1" spans="24:42">
      <c r="X191" s="4060"/>
      <c r="Y191" s="4081"/>
      <c r="Z191" s="4081"/>
      <c r="AA191" s="4081"/>
      <c r="AB191" s="4081"/>
      <c r="AC191" s="4081"/>
      <c r="AD191" s="4081"/>
      <c r="AE191" s="4081"/>
      <c r="AF191" s="4081"/>
      <c r="AG191" s="4081"/>
      <c r="AH191" s="4081"/>
      <c r="AI191" s="4081"/>
      <c r="AJ191" s="4081"/>
      <c r="AK191" s="4081"/>
      <c r="AL191" s="4081"/>
      <c r="AM191" s="4081"/>
      <c r="AN191" s="4081"/>
      <c r="AO191" s="4081"/>
      <c r="AP191" s="4081"/>
    </row>
    <row r="192" hidden="1" spans="24:42">
      <c r="X192" s="4060"/>
      <c r="Y192" s="4081"/>
      <c r="Z192" s="4081"/>
      <c r="AA192" s="4081"/>
      <c r="AB192" s="4081"/>
      <c r="AC192" s="4081"/>
      <c r="AD192" s="4081"/>
      <c r="AE192" s="4081"/>
      <c r="AF192" s="4081"/>
      <c r="AG192" s="4081"/>
      <c r="AH192" s="4081"/>
      <c r="AI192" s="4081"/>
      <c r="AJ192" s="4081"/>
      <c r="AK192" s="4081"/>
      <c r="AL192" s="4081"/>
      <c r="AM192" s="4081"/>
      <c r="AN192" s="4081"/>
      <c r="AO192" s="4081"/>
      <c r="AP192" s="4081"/>
    </row>
    <row r="193" hidden="1" spans="24:42">
      <c r="X193" s="4060"/>
      <c r="Y193" s="4081"/>
      <c r="Z193" s="4081"/>
      <c r="AA193" s="4081"/>
      <c r="AB193" s="4081"/>
      <c r="AC193" s="4081"/>
      <c r="AD193" s="4081"/>
      <c r="AE193" s="4081"/>
      <c r="AF193" s="4081"/>
      <c r="AG193" s="4081"/>
      <c r="AH193" s="4081"/>
      <c r="AI193" s="4081"/>
      <c r="AJ193" s="4081"/>
      <c r="AK193" s="4081"/>
      <c r="AL193" s="4081"/>
      <c r="AM193" s="4081"/>
      <c r="AN193" s="4081"/>
      <c r="AO193" s="4081"/>
      <c r="AP193" s="4081"/>
    </row>
    <row r="194" hidden="1" spans="24:42">
      <c r="X194" s="4060"/>
      <c r="Y194" s="4081"/>
      <c r="Z194" s="4081"/>
      <c r="AA194" s="4081"/>
      <c r="AB194" s="4081"/>
      <c r="AC194" s="4081"/>
      <c r="AD194" s="4081"/>
      <c r="AE194" s="4081"/>
      <c r="AF194" s="4081"/>
      <c r="AG194" s="4081"/>
      <c r="AH194" s="4081"/>
      <c r="AI194" s="4081"/>
      <c r="AJ194" s="4081"/>
      <c r="AK194" s="4081"/>
      <c r="AL194" s="4081"/>
      <c r="AM194" s="4081"/>
      <c r="AN194" s="4081"/>
      <c r="AO194" s="4081"/>
      <c r="AP194" s="4081"/>
    </row>
    <row r="195" hidden="1" spans="24:42">
      <c r="X195" s="4060"/>
      <c r="Y195" s="4081"/>
      <c r="Z195" s="4081"/>
      <c r="AA195" s="4081"/>
      <c r="AB195" s="4081"/>
      <c r="AC195" s="4081"/>
      <c r="AD195" s="4081"/>
      <c r="AE195" s="4081"/>
      <c r="AF195" s="4081"/>
      <c r="AG195" s="4081"/>
      <c r="AH195" s="4081"/>
      <c r="AI195" s="4081"/>
      <c r="AJ195" s="4081"/>
      <c r="AK195" s="4081"/>
      <c r="AL195" s="4081"/>
      <c r="AM195" s="4081"/>
      <c r="AN195" s="4081"/>
      <c r="AO195" s="4081"/>
      <c r="AP195" s="4081"/>
    </row>
    <row r="196" hidden="1" spans="24:42">
      <c r="X196" s="4060"/>
      <c r="Y196" s="4081"/>
      <c r="Z196" s="4081"/>
      <c r="AA196" s="4081"/>
      <c r="AB196" s="4081"/>
      <c r="AC196" s="4081"/>
      <c r="AD196" s="4081"/>
      <c r="AE196" s="4081"/>
      <c r="AF196" s="4081"/>
      <c r="AG196" s="4081"/>
      <c r="AH196" s="4081"/>
      <c r="AI196" s="4081"/>
      <c r="AJ196" s="4081"/>
      <c r="AK196" s="4081"/>
      <c r="AL196" s="4081"/>
      <c r="AM196" s="4081"/>
      <c r="AN196" s="4081"/>
      <c r="AO196" s="4081"/>
      <c r="AP196" s="4081"/>
    </row>
    <row r="197" hidden="1" spans="24:42">
      <c r="X197" s="4060"/>
      <c r="Y197" s="4081"/>
      <c r="Z197" s="4081"/>
      <c r="AA197" s="4081"/>
      <c r="AB197" s="4081"/>
      <c r="AC197" s="4081"/>
      <c r="AD197" s="4081"/>
      <c r="AE197" s="4081"/>
      <c r="AF197" s="4081"/>
      <c r="AG197" s="4081"/>
      <c r="AH197" s="4081"/>
      <c r="AI197" s="4081"/>
      <c r="AJ197" s="4081"/>
      <c r="AK197" s="4081"/>
      <c r="AL197" s="4081"/>
      <c r="AM197" s="4081"/>
      <c r="AN197" s="4081"/>
      <c r="AO197" s="4081"/>
      <c r="AP197" s="4081"/>
    </row>
    <row r="198" hidden="1" spans="24:42">
      <c r="X198" s="4060"/>
      <c r="Y198" s="4081"/>
      <c r="Z198" s="4081"/>
      <c r="AA198" s="4081"/>
      <c r="AB198" s="4081"/>
      <c r="AC198" s="4081"/>
      <c r="AD198" s="4081"/>
      <c r="AE198" s="4081"/>
      <c r="AF198" s="4081"/>
      <c r="AG198" s="4081"/>
      <c r="AH198" s="4081"/>
      <c r="AI198" s="4081"/>
      <c r="AJ198" s="4081"/>
      <c r="AK198" s="4081"/>
      <c r="AL198" s="4081"/>
      <c r="AM198" s="4081"/>
      <c r="AN198" s="4081"/>
      <c r="AO198" s="4081"/>
      <c r="AP198" s="4081"/>
    </row>
    <row r="199" hidden="1" spans="24:42">
      <c r="X199" s="4060"/>
      <c r="Y199" s="4081"/>
      <c r="Z199" s="4081"/>
      <c r="AA199" s="4081"/>
      <c r="AB199" s="4081"/>
      <c r="AC199" s="4081"/>
      <c r="AD199" s="4081"/>
      <c r="AE199" s="4081"/>
      <c r="AF199" s="4081"/>
      <c r="AG199" s="4081"/>
      <c r="AH199" s="4081"/>
      <c r="AI199" s="4081"/>
      <c r="AJ199" s="4081"/>
      <c r="AK199" s="4081"/>
      <c r="AL199" s="4081"/>
      <c r="AM199" s="4081"/>
      <c r="AN199" s="4081"/>
      <c r="AO199" s="4081"/>
      <c r="AP199" s="4081"/>
    </row>
    <row r="200" hidden="1" spans="2:42">
      <c r="B200" s="3609">
        <f>B129</f>
        <v>0</v>
      </c>
      <c r="X200" s="4060"/>
      <c r="Y200" s="4081"/>
      <c r="Z200" s="4081"/>
      <c r="AA200" s="4081"/>
      <c r="AB200" s="4081"/>
      <c r="AC200" s="4081"/>
      <c r="AD200" s="4081"/>
      <c r="AE200" s="4081"/>
      <c r="AF200" s="4081"/>
      <c r="AG200" s="4081"/>
      <c r="AH200" s="4081"/>
      <c r="AI200" s="4081"/>
      <c r="AJ200" s="4081"/>
      <c r="AK200" s="4081"/>
      <c r="AL200" s="4081"/>
      <c r="AM200" s="4081"/>
      <c r="AN200" s="4081"/>
      <c r="AO200" s="4081"/>
      <c r="AP200" s="4081"/>
    </row>
    <row r="201" hidden="1" spans="2:42">
      <c r="B201" s="3609"/>
      <c r="X201" s="4060"/>
      <c r="Y201" s="4081"/>
      <c r="Z201" s="4081"/>
      <c r="AA201" s="4081"/>
      <c r="AB201" s="4081"/>
      <c r="AC201" s="4081"/>
      <c r="AD201" s="4081"/>
      <c r="AE201" s="4081"/>
      <c r="AF201" s="4081"/>
      <c r="AG201" s="4081"/>
      <c r="AH201" s="4081"/>
      <c r="AI201" s="4081"/>
      <c r="AJ201" s="4081"/>
      <c r="AK201" s="4081"/>
      <c r="AL201" s="4081"/>
      <c r="AM201" s="4081"/>
      <c r="AN201" s="4081"/>
      <c r="AO201" s="4081"/>
      <c r="AP201" s="4081"/>
    </row>
    <row r="202" hidden="1" spans="24:42">
      <c r="X202" s="4060"/>
      <c r="Y202" s="4081"/>
      <c r="Z202" s="4081"/>
      <c r="AA202" s="4081"/>
      <c r="AB202" s="4081"/>
      <c r="AC202" s="4081"/>
      <c r="AD202" s="4081"/>
      <c r="AE202" s="4081"/>
      <c r="AF202" s="4081"/>
      <c r="AG202" s="4081"/>
      <c r="AH202" s="4081"/>
      <c r="AI202" s="4081"/>
      <c r="AJ202" s="4081"/>
      <c r="AK202" s="4081"/>
      <c r="AL202" s="4081"/>
      <c r="AM202" s="4081"/>
      <c r="AN202" s="4081"/>
      <c r="AO202" s="4081"/>
      <c r="AP202" s="4081"/>
    </row>
    <row r="203" hidden="1" spans="24:42">
      <c r="X203" s="4060"/>
      <c r="Y203" s="4081"/>
      <c r="Z203" s="4081"/>
      <c r="AA203" s="4081"/>
      <c r="AB203" s="4081"/>
      <c r="AC203" s="4081"/>
      <c r="AD203" s="4081"/>
      <c r="AE203" s="4081"/>
      <c r="AF203" s="4081"/>
      <c r="AG203" s="4081"/>
      <c r="AH203" s="4081"/>
      <c r="AI203" s="4081"/>
      <c r="AJ203" s="4081"/>
      <c r="AK203" s="4081"/>
      <c r="AL203" s="4081"/>
      <c r="AM203" s="4081"/>
      <c r="AN203" s="4081"/>
      <c r="AO203" s="4081"/>
      <c r="AP203" s="4081"/>
    </row>
    <row r="204" hidden="1" spans="24:42">
      <c r="X204" s="4060"/>
      <c r="Y204" s="4081"/>
      <c r="Z204" s="4081"/>
      <c r="AA204" s="4081"/>
      <c r="AB204" s="4081"/>
      <c r="AC204" s="4081"/>
      <c r="AD204" s="4081"/>
      <c r="AE204" s="4081"/>
      <c r="AF204" s="4081"/>
      <c r="AG204" s="4081"/>
      <c r="AH204" s="4081"/>
      <c r="AI204" s="4081"/>
      <c r="AJ204" s="4081"/>
      <c r="AK204" s="4081"/>
      <c r="AL204" s="4081"/>
      <c r="AM204" s="4081"/>
      <c r="AN204" s="4081"/>
      <c r="AO204" s="4081"/>
      <c r="AP204" s="4081"/>
    </row>
    <row r="205" hidden="1" spans="24:42">
      <c r="X205" s="4060"/>
      <c r="Y205" s="4081"/>
      <c r="Z205" s="4081"/>
      <c r="AA205" s="4081"/>
      <c r="AB205" s="4081"/>
      <c r="AC205" s="4081"/>
      <c r="AD205" s="4081"/>
      <c r="AE205" s="4081"/>
      <c r="AF205" s="4081"/>
      <c r="AG205" s="4081"/>
      <c r="AH205" s="4081"/>
      <c r="AI205" s="4081"/>
      <c r="AJ205" s="4081"/>
      <c r="AK205" s="4081"/>
      <c r="AL205" s="4081"/>
      <c r="AM205" s="4081"/>
      <c r="AN205" s="4081"/>
      <c r="AO205" s="4081"/>
      <c r="AP205" s="4081"/>
    </row>
    <row r="206" hidden="1" spans="2:42">
      <c r="B206" s="3609"/>
      <c r="X206" s="4060"/>
      <c r="Y206" s="4081"/>
      <c r="Z206" s="4081"/>
      <c r="AA206" s="4081"/>
      <c r="AB206" s="4081"/>
      <c r="AC206" s="4081"/>
      <c r="AD206" s="4081"/>
      <c r="AE206" s="4081"/>
      <c r="AF206" s="4081"/>
      <c r="AG206" s="4081"/>
      <c r="AH206" s="4081"/>
      <c r="AI206" s="4081"/>
      <c r="AJ206" s="4081"/>
      <c r="AK206" s="4081"/>
      <c r="AL206" s="4081"/>
      <c r="AM206" s="4081"/>
      <c r="AN206" s="4081"/>
      <c r="AO206" s="4081"/>
      <c r="AP206" s="4081"/>
    </row>
    <row r="207" hidden="1" spans="24:42">
      <c r="X207" s="4060"/>
      <c r="Y207" s="4081"/>
      <c r="Z207" s="4081"/>
      <c r="AA207" s="4081"/>
      <c r="AB207" s="4081"/>
      <c r="AC207" s="4081"/>
      <c r="AD207" s="4081"/>
      <c r="AE207" s="4081"/>
      <c r="AF207" s="4081"/>
      <c r="AG207" s="4081"/>
      <c r="AH207" s="4081"/>
      <c r="AI207" s="4081"/>
      <c r="AJ207" s="4081"/>
      <c r="AK207" s="4081"/>
      <c r="AL207" s="4081"/>
      <c r="AM207" s="4081"/>
      <c r="AN207" s="4081"/>
      <c r="AO207" s="4081"/>
      <c r="AP207" s="4081"/>
    </row>
    <row r="208" hidden="1" spans="24:42">
      <c r="X208" s="4060"/>
      <c r="Y208" s="4081"/>
      <c r="Z208" s="4081"/>
      <c r="AA208" s="4081"/>
      <c r="AB208" s="4081"/>
      <c r="AC208" s="4081"/>
      <c r="AD208" s="4081"/>
      <c r="AE208" s="4081"/>
      <c r="AF208" s="4081"/>
      <c r="AG208" s="4081"/>
      <c r="AH208" s="4081"/>
      <c r="AI208" s="4081"/>
      <c r="AJ208" s="4081"/>
      <c r="AK208" s="4081"/>
      <c r="AL208" s="4081"/>
      <c r="AM208" s="4081"/>
      <c r="AN208" s="4081"/>
      <c r="AO208" s="4081"/>
      <c r="AP208" s="4081"/>
    </row>
    <row r="209" hidden="1" spans="24:42">
      <c r="X209" s="4060"/>
      <c r="Y209" s="4081"/>
      <c r="Z209" s="4081"/>
      <c r="AA209" s="4081"/>
      <c r="AB209" s="4081"/>
      <c r="AC209" s="4081"/>
      <c r="AD209" s="4081"/>
      <c r="AE209" s="4081"/>
      <c r="AF209" s="4081"/>
      <c r="AG209" s="4081"/>
      <c r="AH209" s="4081"/>
      <c r="AI209" s="4081"/>
      <c r="AJ209" s="4081"/>
      <c r="AK209" s="4081"/>
      <c r="AL209" s="4081"/>
      <c r="AM209" s="4081"/>
      <c r="AN209" s="4081"/>
      <c r="AO209" s="4081"/>
      <c r="AP209" s="4081"/>
    </row>
    <row r="210" ht="12" hidden="1" spans="2:42">
      <c r="B210" s="3607">
        <f>B141</f>
        <v>0</v>
      </c>
      <c r="X210" s="4060"/>
      <c r="Y210" s="4081"/>
      <c r="Z210" s="4081"/>
      <c r="AA210" s="4081"/>
      <c r="AB210" s="4081"/>
      <c r="AC210" s="4081"/>
      <c r="AD210" s="4081"/>
      <c r="AE210" s="4081"/>
      <c r="AF210" s="4081"/>
      <c r="AG210" s="4081"/>
      <c r="AH210" s="4081"/>
      <c r="AI210" s="4081"/>
      <c r="AJ210" s="4081"/>
      <c r="AK210" s="4081"/>
      <c r="AL210" s="4081"/>
      <c r="AM210" s="4081"/>
      <c r="AN210" s="4081"/>
      <c r="AO210" s="4081"/>
      <c r="AP210" s="4081"/>
    </row>
    <row r="211" ht="12" hidden="1" customHeight="1" spans="2:42">
      <c r="B211" s="5010" t="s">
        <v>288</v>
      </c>
      <c r="AF211" s="4164" t="str">
        <f>AF142</f>
        <v>Approval for Print</v>
      </c>
      <c r="AG211" s="4164"/>
      <c r="AH211" s="4177" t="s">
        <v>869</v>
      </c>
      <c r="AI211" s="4177"/>
      <c r="AJ211" s="4177"/>
      <c r="AK211" s="4177"/>
      <c r="AL211" s="4177"/>
      <c r="AM211" s="4177"/>
      <c r="AN211" s="4102"/>
      <c r="AO211" s="4102"/>
      <c r="AP211" s="4102"/>
    </row>
    <row r="212" ht="12" hidden="1" customHeight="1" spans="2:42">
      <c r="B212" s="5010" t="s">
        <v>870</v>
      </c>
      <c r="AF212" s="4164"/>
      <c r="AG212" s="4164"/>
      <c r="AH212" s="4177"/>
      <c r="AI212" s="4177"/>
      <c r="AJ212" s="4177"/>
      <c r="AK212" s="4177"/>
      <c r="AL212" s="4177"/>
      <c r="AM212" s="4177"/>
      <c r="AN212" s="4102"/>
      <c r="AO212" s="4102"/>
      <c r="AP212" s="4102"/>
    </row>
    <row r="213" ht="12" hidden="1" customHeight="1" spans="2:42">
      <c r="B213" s="3609" t="s">
        <v>450</v>
      </c>
      <c r="AF213" s="4164"/>
      <c r="AG213" s="4164"/>
      <c r="AH213" s="4177" t="str">
        <f>AH144</f>
        <v>Date</v>
      </c>
      <c r="AI213" s="4177"/>
      <c r="AJ213" s="4177"/>
      <c r="AK213" s="4177"/>
      <c r="AL213" s="4177"/>
      <c r="AM213" s="4177"/>
      <c r="AN213" s="4102"/>
      <c r="AO213" s="4102"/>
      <c r="AP213" s="4102"/>
    </row>
    <row r="214" ht="12" hidden="1" customHeight="1" spans="2:42">
      <c r="B214" s="3610"/>
      <c r="C214" s="3611"/>
      <c r="D214" s="3611"/>
      <c r="E214" s="3611"/>
      <c r="F214" s="3611"/>
      <c r="G214" s="3611"/>
      <c r="H214" s="3611"/>
      <c r="I214" s="3611"/>
      <c r="J214" s="3611"/>
      <c r="K214" s="3611"/>
      <c r="L214" s="3611"/>
      <c r="M214" s="3611"/>
      <c r="N214" s="3611"/>
      <c r="O214" s="3611"/>
      <c r="P214" s="3611"/>
      <c r="Q214" s="3611"/>
      <c r="R214" s="4054"/>
      <c r="S214" s="4054"/>
      <c r="T214" s="4054"/>
      <c r="U214" s="4054"/>
      <c r="V214" s="4054"/>
      <c r="W214" s="4054"/>
      <c r="X214" s="4054"/>
      <c r="Y214" s="3611"/>
      <c r="Z214" s="3611"/>
      <c r="AA214" s="3611"/>
      <c r="AB214" s="3611"/>
      <c r="AC214" s="3611"/>
      <c r="AD214" s="3611"/>
      <c r="AE214" s="3611"/>
      <c r="AF214" s="4165"/>
      <c r="AG214" s="4165"/>
      <c r="AH214" s="4178"/>
      <c r="AI214" s="4178"/>
      <c r="AJ214" s="4178"/>
      <c r="AK214" s="4178"/>
      <c r="AL214" s="4178"/>
      <c r="AM214" s="4178"/>
      <c r="AN214" s="4102"/>
      <c r="AO214" s="4102"/>
      <c r="AP214" s="4102"/>
    </row>
    <row r="215" hidden="1"/>
    <row r="216" hidden="1"/>
    <row r="217" ht="12" hidden="1" spans="18:42">
      <c r="R217" s="4161"/>
      <c r="S217" s="4161"/>
      <c r="T217" s="4161"/>
      <c r="U217" s="4161"/>
      <c r="V217" s="4161"/>
      <c r="W217" s="4161"/>
      <c r="Y217" s="4166">
        <f>+Y77</f>
        <v>2021</v>
      </c>
      <c r="Z217" s="4167"/>
      <c r="AA217" s="4167"/>
      <c r="AB217" s="4167"/>
      <c r="AC217" s="4167"/>
      <c r="AD217" s="4167"/>
      <c r="AE217" s="4167"/>
      <c r="AG217" s="5021" t="str">
        <f>+AG77</f>
        <v>2020</v>
      </c>
      <c r="AH217" s="4167"/>
      <c r="AI217" s="4167"/>
      <c r="AJ217" s="4167"/>
      <c r="AK217" s="4167"/>
      <c r="AL217" s="4167"/>
      <c r="AM217" s="4167"/>
      <c r="AN217" s="4128"/>
      <c r="AO217" s="4128"/>
      <c r="AP217" s="4128"/>
    </row>
    <row r="218" hidden="1" spans="18:42">
      <c r="R218" s="4109"/>
      <c r="S218" s="4109"/>
      <c r="T218" s="4109"/>
      <c r="U218" s="4109"/>
      <c r="V218" s="4109"/>
      <c r="W218" s="4109"/>
      <c r="X218" s="4060"/>
      <c r="Y218" s="4168"/>
      <c r="Z218" s="4168"/>
      <c r="AA218" s="4168"/>
      <c r="AB218" s="4168"/>
      <c r="AC218" s="4168"/>
      <c r="AD218" s="4168"/>
      <c r="AE218" s="4168"/>
      <c r="AG218" s="4168"/>
      <c r="AH218" s="4168"/>
      <c r="AI218" s="4168"/>
      <c r="AJ218" s="4168"/>
      <c r="AK218" s="4168"/>
      <c r="AL218" s="4168"/>
      <c r="AM218" s="4168"/>
      <c r="AN218" s="2435"/>
      <c r="AO218" s="2435"/>
      <c r="AP218" s="2435"/>
    </row>
    <row r="219" ht="12" hidden="1" spans="2:24">
      <c r="B219" s="3322" t="s">
        <v>871</v>
      </c>
      <c r="C219" s="64"/>
      <c r="D219" s="64"/>
      <c r="E219" s="64"/>
      <c r="F219" s="64"/>
      <c r="G219" s="64"/>
      <c r="H219" s="64"/>
      <c r="I219" s="64"/>
      <c r="J219" s="64"/>
      <c r="K219" s="64"/>
      <c r="L219" s="64"/>
      <c r="M219" s="64"/>
      <c r="N219" s="64"/>
      <c r="O219" s="64"/>
      <c r="P219" s="64"/>
      <c r="R219" s="4109"/>
      <c r="S219" s="4109"/>
      <c r="T219" s="4109"/>
      <c r="U219" s="4109"/>
      <c r="V219" s="4109"/>
      <c r="W219" s="4109"/>
      <c r="X219" s="4060"/>
    </row>
    <row r="220" ht="12" hidden="1" customHeight="1" spans="2:42">
      <c r="B220" s="94" t="s">
        <v>872</v>
      </c>
      <c r="C220" s="64"/>
      <c r="D220" s="64"/>
      <c r="E220" s="64"/>
      <c r="F220" s="64"/>
      <c r="G220" s="64"/>
      <c r="H220" s="64"/>
      <c r="I220" s="64"/>
      <c r="J220" s="64"/>
      <c r="K220" s="64"/>
      <c r="L220" s="64"/>
      <c r="M220" s="64"/>
      <c r="N220" s="64"/>
      <c r="O220" s="64"/>
      <c r="P220" s="64"/>
      <c r="R220" s="4109"/>
      <c r="S220" s="4109"/>
      <c r="T220" s="4109"/>
      <c r="U220" s="4109"/>
      <c r="V220" s="4109"/>
      <c r="W220" s="4109"/>
      <c r="X220" s="4060"/>
      <c r="Y220" s="4169">
        <f>+'F7'!D65</f>
        <v>290829112</v>
      </c>
      <c r="Z220" s="4169"/>
      <c r="AA220" s="4169"/>
      <c r="AB220" s="4169"/>
      <c r="AC220" s="4169"/>
      <c r="AD220" s="4169"/>
      <c r="AE220" s="4169"/>
      <c r="AF220" s="4169"/>
      <c r="AG220" s="4169">
        <f>AG111</f>
        <v>824555627.39146</v>
      </c>
      <c r="AH220" s="4169"/>
      <c r="AI220" s="4169"/>
      <c r="AJ220" s="4169"/>
      <c r="AK220" s="4169"/>
      <c r="AL220" s="4169"/>
      <c r="AM220" s="4169"/>
      <c r="AN220" s="4169"/>
      <c r="AO220" s="4169"/>
      <c r="AP220" s="4169"/>
    </row>
    <row r="221" ht="12" hidden="1" customHeight="1" spans="2:42">
      <c r="B221" s="5036" t="s">
        <v>873</v>
      </c>
      <c r="C221" s="3339"/>
      <c r="D221" s="3339"/>
      <c r="E221" s="3339"/>
      <c r="F221" s="3339"/>
      <c r="G221" s="3339"/>
      <c r="H221" s="3339"/>
      <c r="I221" s="3339"/>
      <c r="J221" s="3339"/>
      <c r="K221" s="3339"/>
      <c r="L221" s="3339"/>
      <c r="M221" s="3339"/>
      <c r="N221" s="3339"/>
      <c r="O221" s="3339"/>
      <c r="P221" s="3339"/>
      <c r="Q221" s="3339"/>
      <c r="R221" s="3339"/>
      <c r="S221" s="2623"/>
      <c r="T221" s="2623"/>
      <c r="U221" s="2623"/>
      <c r="V221" s="2623"/>
      <c r="W221" s="2623"/>
      <c r="X221" s="2623"/>
      <c r="Y221" s="2623"/>
      <c r="Z221" s="4169"/>
      <c r="AA221" s="4169"/>
      <c r="AB221" s="4169"/>
      <c r="AC221" s="4169"/>
      <c r="AD221" s="4169"/>
      <c r="AE221" s="4169"/>
      <c r="AF221" s="4169"/>
      <c r="AG221" s="4169"/>
      <c r="AH221" s="4169"/>
      <c r="AI221" s="4169"/>
      <c r="AJ221" s="4169"/>
      <c r="AK221" s="4169"/>
      <c r="AL221" s="4169"/>
      <c r="AM221" s="4169"/>
      <c r="AN221" s="4169"/>
      <c r="AO221" s="4169"/>
      <c r="AP221" s="4169"/>
    </row>
    <row r="222" ht="12" hidden="1" customHeight="1" spans="2:42">
      <c r="B222" s="3339"/>
      <c r="C222" s="3339"/>
      <c r="D222" s="3339"/>
      <c r="E222" s="3339"/>
      <c r="F222" s="3339"/>
      <c r="G222" s="3339"/>
      <c r="H222" s="3339"/>
      <c r="I222" s="3339"/>
      <c r="J222" s="3339"/>
      <c r="K222" s="3339"/>
      <c r="L222" s="3339"/>
      <c r="M222" s="3339"/>
      <c r="N222" s="3339"/>
      <c r="O222" s="3339"/>
      <c r="P222" s="3339"/>
      <c r="Q222" s="3339"/>
      <c r="R222" s="3339"/>
      <c r="S222" s="2623"/>
      <c r="T222" s="2623"/>
      <c r="U222" s="2623"/>
      <c r="V222" s="2623"/>
      <c r="W222" s="2623"/>
      <c r="X222" s="2623"/>
      <c r="Y222" s="2623"/>
      <c r="Z222" s="4169"/>
      <c r="AA222" s="4169"/>
      <c r="AB222" s="4169"/>
      <c r="AC222" s="4169"/>
      <c r="AD222" s="4169"/>
      <c r="AE222" s="4169"/>
      <c r="AF222" s="4169"/>
      <c r="AG222" s="4169"/>
      <c r="AH222" s="4169"/>
      <c r="AI222" s="4169"/>
      <c r="AJ222" s="4169"/>
      <c r="AK222" s="4169"/>
      <c r="AL222" s="4169"/>
      <c r="AM222" s="4169"/>
      <c r="AN222" s="4169"/>
      <c r="AO222" s="4169"/>
      <c r="AP222" s="4169"/>
    </row>
    <row r="223" ht="9.95" hidden="1" customHeight="1" spans="2:42">
      <c r="B223" s="2683"/>
      <c r="C223"/>
      <c r="D223"/>
      <c r="E223"/>
      <c r="F223" s="64"/>
      <c r="G223" s="64"/>
      <c r="H223" s="64"/>
      <c r="I223" s="64"/>
      <c r="J223" s="64"/>
      <c r="K223" s="64"/>
      <c r="L223" s="64"/>
      <c r="M223" s="64"/>
      <c r="N223" s="64"/>
      <c r="O223" s="64"/>
      <c r="P223" s="64"/>
      <c r="R223" s="4109"/>
      <c r="S223" s="4109"/>
      <c r="T223" s="4109"/>
      <c r="U223" s="4109"/>
      <c r="V223" s="4109"/>
      <c r="W223" s="4109"/>
      <c r="X223" s="4060"/>
      <c r="Y223" s="4169"/>
      <c r="Z223" s="4169"/>
      <c r="AA223" s="4169"/>
      <c r="AB223" s="4169"/>
      <c r="AC223" s="4169"/>
      <c r="AD223" s="4169"/>
      <c r="AE223" s="4169"/>
      <c r="AF223" s="4169"/>
      <c r="AG223" s="4169"/>
      <c r="AH223" s="4169"/>
      <c r="AI223" s="4169"/>
      <c r="AJ223" s="4169"/>
      <c r="AK223" s="4169"/>
      <c r="AL223" s="4169"/>
      <c r="AM223" s="4169"/>
      <c r="AN223" s="4169"/>
      <c r="AO223" s="4169"/>
      <c r="AP223" s="4169"/>
    </row>
    <row r="224" ht="12" hidden="1" customHeight="1" spans="2:48">
      <c r="B224" s="64" t="s">
        <v>874</v>
      </c>
      <c r="D224" s="64"/>
      <c r="E224" s="64"/>
      <c r="F224" s="64"/>
      <c r="G224" s="64"/>
      <c r="H224" s="64"/>
      <c r="I224" s="64"/>
      <c r="J224" s="64"/>
      <c r="K224" s="64"/>
      <c r="L224" s="64"/>
      <c r="M224" s="64"/>
      <c r="N224" s="64"/>
      <c r="O224" s="64"/>
      <c r="P224" s="64"/>
      <c r="R224" s="4109"/>
      <c r="S224" s="4109"/>
      <c r="T224" s="4109"/>
      <c r="U224" s="4109"/>
      <c r="V224" s="4109"/>
      <c r="W224" s="4109"/>
      <c r="X224" s="4060"/>
      <c r="Y224" s="4169" t="e">
        <f>#REF!</f>
        <v>#REF!</v>
      </c>
      <c r="Z224" s="4169"/>
      <c r="AA224" s="4169"/>
      <c r="AB224" s="4169"/>
      <c r="AC224" s="4169"/>
      <c r="AD224" s="4169"/>
      <c r="AE224" s="4169"/>
      <c r="AF224" s="4169"/>
      <c r="AG224" s="4169" t="e">
        <f>#REF!</f>
        <v>#REF!</v>
      </c>
      <c r="AH224" s="4169"/>
      <c r="AI224" s="4169"/>
      <c r="AJ224" s="4169"/>
      <c r="AK224" s="4169"/>
      <c r="AL224" s="4169"/>
      <c r="AM224" s="4169"/>
      <c r="AN224" s="4169"/>
      <c r="AO224" s="4169"/>
      <c r="AP224" s="4169"/>
      <c r="AT224" s="85"/>
      <c r="AU224" s="85"/>
      <c r="AV224" s="86"/>
    </row>
    <row r="225" ht="12" hidden="1" customHeight="1" spans="2:48">
      <c r="B225" s="2919" t="s">
        <v>875</v>
      </c>
      <c r="C225" s="3611"/>
      <c r="D225" s="2402"/>
      <c r="E225" s="2402"/>
      <c r="F225" s="2402"/>
      <c r="G225" s="2402"/>
      <c r="H225" s="2402"/>
      <c r="I225" s="2402"/>
      <c r="J225" s="2402"/>
      <c r="K225" s="2402"/>
      <c r="L225" s="2402"/>
      <c r="M225" s="2402"/>
      <c r="N225" s="2402"/>
      <c r="O225" s="2402"/>
      <c r="P225" s="64"/>
      <c r="R225" s="4109"/>
      <c r="S225" s="4109"/>
      <c r="T225" s="4109"/>
      <c r="U225" s="4109"/>
      <c r="V225" s="4109"/>
      <c r="W225" s="4109"/>
      <c r="X225" s="4060"/>
      <c r="Y225" s="4169"/>
      <c r="Z225" s="4169"/>
      <c r="AA225" s="4169"/>
      <c r="AB225" s="4169"/>
      <c r="AC225" s="4169"/>
      <c r="AD225" s="4169"/>
      <c r="AE225" s="4169"/>
      <c r="AF225" s="4169"/>
      <c r="AG225" s="4169"/>
      <c r="AH225" s="4169"/>
      <c r="AI225" s="4169"/>
      <c r="AJ225" s="4169"/>
      <c r="AK225" s="4169"/>
      <c r="AL225" s="4169"/>
      <c r="AM225" s="4169"/>
      <c r="AN225" s="4169"/>
      <c r="AO225" s="4169"/>
      <c r="AP225" s="4169"/>
      <c r="AT225" s="85"/>
      <c r="AU225" s="85"/>
      <c r="AV225" s="86"/>
    </row>
    <row r="226" ht="12" hidden="1" customHeight="1" spans="2:48">
      <c r="B226" s="2683"/>
      <c r="C226" s="1461" t="str">
        <f>+'F7'!C71</f>
        <v>Piutang usaha</v>
      </c>
      <c r="G226" s="64"/>
      <c r="H226" s="64"/>
      <c r="I226" s="64"/>
      <c r="J226" s="64"/>
      <c r="K226" s="64"/>
      <c r="L226" s="64"/>
      <c r="M226" s="64"/>
      <c r="N226" s="64"/>
      <c r="O226" s="64"/>
      <c r="P226" s="64"/>
      <c r="R226" s="4109"/>
      <c r="S226" s="4109"/>
      <c r="T226" s="4109"/>
      <c r="U226" s="4109"/>
      <c r="V226" s="4109"/>
      <c r="W226" s="4109"/>
      <c r="X226" s="4060"/>
      <c r="Y226" s="4169">
        <f>+'F7'!D71</f>
        <v>0</v>
      </c>
      <c r="Z226" s="4169"/>
      <c r="AA226" s="4169"/>
      <c r="AB226" s="4169"/>
      <c r="AC226" s="4169"/>
      <c r="AD226" s="4169"/>
      <c r="AE226" s="4169"/>
      <c r="AF226" s="4169"/>
      <c r="AG226" s="4169">
        <v>0</v>
      </c>
      <c r="AH226" s="4169"/>
      <c r="AI226" s="4169"/>
      <c r="AJ226" s="4169"/>
      <c r="AK226" s="4169"/>
      <c r="AL226" s="4169"/>
      <c r="AM226" s="4169"/>
      <c r="AN226" s="4169"/>
      <c r="AO226" s="4169"/>
      <c r="AP226" s="4169"/>
      <c r="AT226" s="85"/>
      <c r="AU226" s="85"/>
      <c r="AV226" s="86"/>
    </row>
    <row r="227" ht="12" hidden="1" customHeight="1" spans="2:48">
      <c r="B227" s="2683"/>
      <c r="C227" s="1461" t="str">
        <f>+'F7'!C72</f>
        <v>Persediaan</v>
      </c>
      <c r="G227" s="64"/>
      <c r="H227" s="64"/>
      <c r="I227" s="64"/>
      <c r="J227" s="64"/>
      <c r="K227" s="64"/>
      <c r="L227" s="64"/>
      <c r="M227" s="64"/>
      <c r="N227" s="64"/>
      <c r="O227" s="64"/>
      <c r="P227" s="64"/>
      <c r="R227" s="4109"/>
      <c r="S227" s="4109"/>
      <c r="T227" s="4109"/>
      <c r="U227" s="4109"/>
      <c r="V227" s="4109"/>
      <c r="W227" s="4109"/>
      <c r="X227" s="4060"/>
      <c r="Y227" s="4169">
        <f>+'F7'!D72</f>
        <v>0</v>
      </c>
      <c r="Z227" s="4169"/>
      <c r="AA227" s="4169"/>
      <c r="AB227" s="4169"/>
      <c r="AC227" s="4169"/>
      <c r="AD227" s="4169"/>
      <c r="AE227" s="4169"/>
      <c r="AF227" s="4169"/>
      <c r="AG227" s="4169">
        <v>0</v>
      </c>
      <c r="AH227" s="4169"/>
      <c r="AI227" s="4169"/>
      <c r="AJ227" s="4169"/>
      <c r="AK227" s="4169"/>
      <c r="AL227" s="4169"/>
      <c r="AM227" s="4169"/>
      <c r="AN227" s="4169"/>
      <c r="AO227" s="4169"/>
      <c r="AP227" s="4169"/>
      <c r="AT227" s="85"/>
      <c r="AU227" s="85"/>
      <c r="AV227" s="86"/>
    </row>
    <row r="228" ht="12" hidden="1" customHeight="1" spans="2:48">
      <c r="B228" s="2683"/>
      <c r="C228" s="1461" t="str">
        <f>+'F7'!C73</f>
        <v>Biaya dibayar dimuka</v>
      </c>
      <c r="G228" s="64"/>
      <c r="H228" s="64"/>
      <c r="I228" s="64"/>
      <c r="J228" s="64"/>
      <c r="K228" s="64"/>
      <c r="L228" s="64"/>
      <c r="M228" s="64"/>
      <c r="N228" s="64"/>
      <c r="O228" s="64"/>
      <c r="P228" s="64"/>
      <c r="R228" s="4109"/>
      <c r="S228" s="4109"/>
      <c r="T228" s="4109"/>
      <c r="U228" s="4109"/>
      <c r="V228" s="4109"/>
      <c r="W228" s="4109"/>
      <c r="X228" s="4060"/>
      <c r="Y228" s="4169">
        <f>+'F7'!D73</f>
        <v>4799400.00000001</v>
      </c>
      <c r="Z228" s="4169"/>
      <c r="AA228" s="4169"/>
      <c r="AB228" s="4169"/>
      <c r="AC228" s="4169"/>
      <c r="AD228" s="4169"/>
      <c r="AE228" s="4169"/>
      <c r="AF228" s="4169"/>
      <c r="AG228" s="4169">
        <v>0</v>
      </c>
      <c r="AH228" s="4169"/>
      <c r="AI228" s="4169"/>
      <c r="AJ228" s="4169"/>
      <c r="AK228" s="4169"/>
      <c r="AL228" s="4169"/>
      <c r="AM228" s="4169"/>
      <c r="AN228" s="4169"/>
      <c r="AO228" s="4169"/>
      <c r="AP228" s="4169"/>
      <c r="AT228" s="85"/>
      <c r="AU228" s="85"/>
      <c r="AV228" s="86"/>
    </row>
    <row r="229" ht="12" hidden="1" customHeight="1" spans="2:48">
      <c r="B229" s="2683"/>
      <c r="C229" s="1461" t="str">
        <f>+'F7'!C74</f>
        <v>Pajak dibayar dimuka</v>
      </c>
      <c r="G229" s="64"/>
      <c r="H229" s="64"/>
      <c r="I229" s="64"/>
      <c r="J229" s="64"/>
      <c r="K229" s="64"/>
      <c r="L229" s="64"/>
      <c r="M229" s="64"/>
      <c r="N229" s="64"/>
      <c r="O229" s="64"/>
      <c r="P229" s="64"/>
      <c r="R229" s="4109"/>
      <c r="S229" s="4109"/>
      <c r="T229" s="4109"/>
      <c r="U229" s="4109"/>
      <c r="V229" s="4109"/>
      <c r="W229" s="4109"/>
      <c r="X229" s="4060"/>
      <c r="Y229" s="4169">
        <f>+'F7'!D74</f>
        <v>0</v>
      </c>
      <c r="Z229" s="4169"/>
      <c r="AA229" s="4169"/>
      <c r="AB229" s="4169"/>
      <c r="AC229" s="4169"/>
      <c r="AD229" s="4169"/>
      <c r="AE229" s="4169"/>
      <c r="AF229" s="4169"/>
      <c r="AG229" s="4169">
        <v>0</v>
      </c>
      <c r="AH229" s="4169"/>
      <c r="AI229" s="4169"/>
      <c r="AJ229" s="4169"/>
      <c r="AK229" s="4169"/>
      <c r="AL229" s="4169"/>
      <c r="AM229" s="4169"/>
      <c r="AN229" s="4169"/>
      <c r="AO229" s="4169"/>
      <c r="AP229" s="4169"/>
      <c r="AT229" s="85"/>
      <c r="AU229" s="85"/>
      <c r="AV229" s="86"/>
    </row>
    <row r="230" ht="12" hidden="1" customHeight="1" spans="2:48">
      <c r="B230" s="2683"/>
      <c r="C230" s="1461" t="s">
        <v>549</v>
      </c>
      <c r="G230" s="64"/>
      <c r="H230" s="64"/>
      <c r="I230" s="64"/>
      <c r="J230" s="64"/>
      <c r="K230" s="64"/>
      <c r="L230" s="64"/>
      <c r="M230" s="64"/>
      <c r="N230" s="64"/>
      <c r="O230" s="64"/>
      <c r="P230" s="64"/>
      <c r="R230" s="4109"/>
      <c r="S230" s="4109"/>
      <c r="T230" s="4109"/>
      <c r="U230" s="4109"/>
      <c r="V230" s="4109"/>
      <c r="W230" s="4109"/>
      <c r="X230" s="4060"/>
      <c r="Y230" s="4169" t="e">
        <f>#REF!</f>
        <v>#REF!</v>
      </c>
      <c r="Z230" s="4169"/>
      <c r="AA230" s="4169"/>
      <c r="AB230" s="4169"/>
      <c r="AC230" s="4169"/>
      <c r="AD230" s="4169"/>
      <c r="AE230" s="4169"/>
      <c r="AF230" s="4169"/>
      <c r="AG230" s="4169">
        <v>0</v>
      </c>
      <c r="AH230" s="4169"/>
      <c r="AI230" s="4169"/>
      <c r="AJ230" s="4169"/>
      <c r="AK230" s="4169"/>
      <c r="AL230" s="4169"/>
      <c r="AM230" s="4169"/>
      <c r="AN230" s="4169"/>
      <c r="AO230" s="4169"/>
      <c r="AP230" s="4169"/>
      <c r="AT230" s="85"/>
      <c r="AU230" s="85"/>
      <c r="AV230" s="86"/>
    </row>
    <row r="231" ht="12" hidden="1" customHeight="1" spans="2:48">
      <c r="B231" s="2683"/>
      <c r="C231" s="1461" t="str">
        <f>'F2'!C16</f>
        <v>Utang usaha</v>
      </c>
      <c r="G231" s="64"/>
      <c r="H231" s="64"/>
      <c r="I231" s="64"/>
      <c r="J231" s="64"/>
      <c r="K231" s="64"/>
      <c r="L231" s="64"/>
      <c r="M231" s="64"/>
      <c r="N231" s="64"/>
      <c r="O231" s="64"/>
      <c r="P231" s="64"/>
      <c r="R231" s="4109"/>
      <c r="S231" s="4109"/>
      <c r="T231" s="4109"/>
      <c r="U231" s="4109"/>
      <c r="V231" s="4109"/>
      <c r="W231" s="4109"/>
      <c r="X231" s="4060"/>
      <c r="Y231" s="4169">
        <f>+'F7'!D76</f>
        <v>-971699410</v>
      </c>
      <c r="Z231" s="4169"/>
      <c r="AA231" s="4169"/>
      <c r="AB231" s="4169"/>
      <c r="AC231" s="4169"/>
      <c r="AD231" s="4169"/>
      <c r="AE231" s="4169"/>
      <c r="AF231" s="4169"/>
      <c r="AG231" s="4169">
        <v>0</v>
      </c>
      <c r="AH231" s="4169"/>
      <c r="AI231" s="4169"/>
      <c r="AJ231" s="4169"/>
      <c r="AK231" s="4169"/>
      <c r="AL231" s="4169"/>
      <c r="AM231" s="4169"/>
      <c r="AN231" s="4169"/>
      <c r="AO231" s="4169"/>
      <c r="AP231" s="4169"/>
      <c r="AT231" s="85"/>
      <c r="AU231" s="85"/>
      <c r="AV231" s="86"/>
    </row>
    <row r="232" ht="12" hidden="1" customHeight="1" spans="2:42">
      <c r="B232" s="2683"/>
      <c r="C232" s="1461" t="str">
        <f>'F2'!C18</f>
        <v>Utang pajak</v>
      </c>
      <c r="G232" s="64"/>
      <c r="H232" s="64"/>
      <c r="I232" s="64"/>
      <c r="J232" s="64"/>
      <c r="K232" s="64"/>
      <c r="L232" s="64"/>
      <c r="M232" s="64"/>
      <c r="N232" s="64"/>
      <c r="O232" s="64"/>
      <c r="P232" s="64"/>
      <c r="R232" s="4162"/>
      <c r="S232" s="4162"/>
      <c r="T232" s="4162"/>
      <c r="U232" s="4162"/>
      <c r="V232" s="4162"/>
      <c r="W232" s="4162"/>
      <c r="X232" s="4060"/>
      <c r="Y232" s="4169">
        <f>+'F7'!D77</f>
        <v>-14378554.5197069</v>
      </c>
      <c r="Z232" s="4169"/>
      <c r="AA232" s="4169"/>
      <c r="AB232" s="4169"/>
      <c r="AC232" s="4169"/>
      <c r="AD232" s="4169"/>
      <c r="AE232" s="4169"/>
      <c r="AF232" s="4169"/>
      <c r="AG232" s="4169">
        <v>0</v>
      </c>
      <c r="AH232" s="4169"/>
      <c r="AI232" s="4169"/>
      <c r="AJ232" s="4169"/>
      <c r="AK232" s="4169"/>
      <c r="AL232" s="4169"/>
      <c r="AM232" s="4169"/>
      <c r="AN232" s="4169"/>
      <c r="AO232" s="4169"/>
      <c r="AP232" s="4169"/>
    </row>
    <row r="233" ht="12" hidden="1" customHeight="1" spans="2:42">
      <c r="B233" s="2683"/>
      <c r="D233" s="1461" t="str">
        <f>+'F7'!C78</f>
        <v>Biaya yang masih harus dibayar</v>
      </c>
      <c r="R233" s="4109"/>
      <c r="S233" s="4109"/>
      <c r="T233" s="4109"/>
      <c r="U233" s="4109"/>
      <c r="V233" s="4109"/>
      <c r="W233" s="4109"/>
      <c r="X233" s="4060"/>
      <c r="Y233" s="4169">
        <f>+'F7'!D78</f>
        <v>0</v>
      </c>
      <c r="Z233" s="4169"/>
      <c r="AA233" s="4169"/>
      <c r="AB233" s="4169"/>
      <c r="AC233" s="4169"/>
      <c r="AD233" s="4169"/>
      <c r="AE233" s="4169"/>
      <c r="AF233" s="4169"/>
      <c r="AG233" s="4169">
        <f>+'F7'!E78</f>
        <v>0</v>
      </c>
      <c r="AH233" s="4169"/>
      <c r="AI233" s="4169"/>
      <c r="AJ233" s="4169"/>
      <c r="AK233" s="4169"/>
      <c r="AL233" s="4169"/>
      <c r="AM233" s="4169"/>
      <c r="AN233" s="4169"/>
      <c r="AO233" s="4169"/>
      <c r="AP233" s="4169"/>
    </row>
    <row r="234" ht="9.6" hidden="1" customHeight="1" spans="2:42">
      <c r="B234" s="64"/>
      <c r="C234" s="4048"/>
      <c r="D234" s="4048"/>
      <c r="E234" s="4048"/>
      <c r="F234" s="4048"/>
      <c r="G234" s="4048"/>
      <c r="H234" s="4048"/>
      <c r="I234" s="4048"/>
      <c r="J234" s="4048"/>
      <c r="K234" s="4048"/>
      <c r="L234" s="4048"/>
      <c r="M234" s="4048"/>
      <c r="N234" s="4048"/>
      <c r="O234" s="4048"/>
      <c r="P234" s="4048"/>
      <c r="Q234" s="4048"/>
      <c r="R234" s="4163"/>
      <c r="S234" s="4163"/>
      <c r="T234" s="4163"/>
      <c r="U234" s="4163"/>
      <c r="V234" s="4163"/>
      <c r="W234" s="4163"/>
      <c r="X234" s="4115"/>
      <c r="Y234" s="4170"/>
      <c r="Z234" s="4170"/>
      <c r="AA234" s="4170"/>
      <c r="AB234" s="4170"/>
      <c r="AC234" s="4170"/>
      <c r="AD234" s="4170"/>
      <c r="AE234" s="4170"/>
      <c r="AF234" s="4171"/>
      <c r="AG234" s="4170"/>
      <c r="AH234" s="4170"/>
      <c r="AI234" s="4170"/>
      <c r="AJ234" s="4170"/>
      <c r="AK234" s="4170"/>
      <c r="AL234" s="4170"/>
      <c r="AM234" s="4170"/>
      <c r="AN234" s="4179"/>
      <c r="AO234" s="4179"/>
      <c r="AP234" s="4179"/>
    </row>
    <row r="235" s="4048" customFormat="1" ht="12" hidden="1" spans="2:42">
      <c r="B235" s="5037" t="s">
        <v>876</v>
      </c>
      <c r="R235" s="4163"/>
      <c r="S235" s="4163"/>
      <c r="T235" s="4163"/>
      <c r="U235" s="4163"/>
      <c r="V235" s="4163"/>
      <c r="W235" s="4163"/>
      <c r="X235" s="4115"/>
      <c r="Y235" s="4171" t="e">
        <f>SUM(Y220:AE233)</f>
        <v>#REF!</v>
      </c>
      <c r="Z235" s="4171"/>
      <c r="AA235" s="4171"/>
      <c r="AB235" s="4171"/>
      <c r="AC235" s="4171"/>
      <c r="AD235" s="4171"/>
      <c r="AE235" s="4171"/>
      <c r="AF235" s="4171"/>
      <c r="AG235" s="4171" t="e">
        <f>SUM(AG220:AM233)</f>
        <v>#REF!</v>
      </c>
      <c r="AH235" s="4171"/>
      <c r="AI235" s="4171"/>
      <c r="AJ235" s="4171"/>
      <c r="AK235" s="4171"/>
      <c r="AL235" s="4171"/>
      <c r="AM235" s="4171"/>
      <c r="AN235" s="4171"/>
      <c r="AO235" s="4171"/>
      <c r="AP235" s="4171"/>
    </row>
    <row r="236" ht="12" hidden="1" spans="2:42">
      <c r="B236" s="64"/>
      <c r="R236" s="4109"/>
      <c r="S236" s="4109"/>
      <c r="T236" s="4109"/>
      <c r="U236" s="4109"/>
      <c r="V236" s="4109"/>
      <c r="W236" s="4109"/>
      <c r="X236" s="4060"/>
      <c r="Y236" s="4172"/>
      <c r="Z236" s="4172"/>
      <c r="AA236" s="4172"/>
      <c r="AB236" s="4172"/>
      <c r="AC236" s="4172"/>
      <c r="AD236" s="4172"/>
      <c r="AE236" s="4172"/>
      <c r="AF236" s="4172"/>
      <c r="AG236" s="4172"/>
      <c r="AH236" s="4172"/>
      <c r="AI236" s="4172"/>
      <c r="AJ236" s="4172"/>
      <c r="AK236" s="4172"/>
      <c r="AL236" s="4172"/>
      <c r="AM236" s="4172"/>
      <c r="AN236" s="4172"/>
      <c r="AO236" s="4172"/>
      <c r="AP236" s="4172"/>
    </row>
    <row r="237" ht="12" hidden="1" spans="2:42">
      <c r="B237" s="5028" t="s">
        <v>877</v>
      </c>
      <c r="R237" s="4109"/>
      <c r="S237" s="4109"/>
      <c r="T237" s="4109"/>
      <c r="U237" s="4109"/>
      <c r="V237" s="4109"/>
      <c r="W237" s="4109"/>
      <c r="X237" s="4060"/>
      <c r="Y237" s="4169"/>
      <c r="Z237" s="4169"/>
      <c r="AA237" s="4169"/>
      <c r="AB237" s="4169"/>
      <c r="AC237" s="4169"/>
      <c r="AD237" s="4169"/>
      <c r="AE237" s="4169"/>
      <c r="AF237" s="4169"/>
      <c r="AG237" s="4169"/>
      <c r="AH237" s="4169"/>
      <c r="AI237" s="4169"/>
      <c r="AJ237" s="4169"/>
      <c r="AK237" s="4169"/>
      <c r="AL237" s="4169"/>
      <c r="AM237" s="4169"/>
      <c r="AN237" s="4169"/>
      <c r="AO237" s="4169"/>
      <c r="AP237" s="4169"/>
    </row>
    <row r="238" ht="12" hidden="1" customHeight="1" spans="3:42">
      <c r="C238" s="1" t="s">
        <v>428</v>
      </c>
      <c r="J238" s="1"/>
      <c r="R238" s="4109"/>
      <c r="S238" s="4109"/>
      <c r="T238" s="4109"/>
      <c r="U238" s="4109"/>
      <c r="V238" s="4109"/>
      <c r="W238" s="4109"/>
      <c r="X238" s="4060"/>
      <c r="Y238" s="4169" t="e">
        <f>-#REF!</f>
        <v>#REF!</v>
      </c>
      <c r="Z238" s="4169"/>
      <c r="AA238" s="4169"/>
      <c r="AB238" s="4169"/>
      <c r="AC238" s="4169"/>
      <c r="AD238" s="4169"/>
      <c r="AE238" s="4169"/>
      <c r="AF238" s="4169"/>
      <c r="AG238" s="4169">
        <f>SUM([82]Catatan1!$S$1700)</f>
        <v>0</v>
      </c>
      <c r="AH238" s="4169"/>
      <c r="AI238" s="4169"/>
      <c r="AJ238" s="4169"/>
      <c r="AK238" s="4169"/>
      <c r="AL238" s="4169"/>
      <c r="AM238" s="4169"/>
      <c r="AN238" s="4169"/>
      <c r="AO238" s="4169"/>
      <c r="AP238" s="4169"/>
    </row>
    <row r="239" ht="6" hidden="1" customHeight="1" spans="2:42">
      <c r="B239" s="1"/>
      <c r="J239" s="1"/>
      <c r="R239" s="4109"/>
      <c r="S239" s="4109"/>
      <c r="T239" s="4109"/>
      <c r="U239" s="4109"/>
      <c r="V239" s="4109"/>
      <c r="W239" s="4109"/>
      <c r="X239" s="4060"/>
      <c r="Y239" s="4173"/>
      <c r="Z239" s="4173"/>
      <c r="AA239" s="4173"/>
      <c r="AB239" s="4173"/>
      <c r="AC239" s="4173"/>
      <c r="AD239" s="4173"/>
      <c r="AE239" s="4173"/>
      <c r="AF239" s="4172"/>
      <c r="AG239" s="4173"/>
      <c r="AH239" s="4173"/>
      <c r="AI239" s="4173"/>
      <c r="AJ239" s="4173"/>
      <c r="AK239" s="4173"/>
      <c r="AL239" s="4173"/>
      <c r="AM239" s="4173"/>
      <c r="AN239" s="4180"/>
      <c r="AO239" s="4180"/>
      <c r="AP239" s="4180"/>
    </row>
    <row r="240" ht="12" hidden="1" spans="2:42">
      <c r="B240" s="5037" t="s">
        <v>878</v>
      </c>
      <c r="R240" s="4109"/>
      <c r="S240" s="4109"/>
      <c r="T240" s="4109"/>
      <c r="U240" s="4109"/>
      <c r="V240" s="4109"/>
      <c r="W240" s="4109"/>
      <c r="X240" s="4060"/>
      <c r="Y240" s="4172" t="e">
        <f>SUM(Y238:AE239)</f>
        <v>#REF!</v>
      </c>
      <c r="Z240" s="4172"/>
      <c r="AA240" s="4172"/>
      <c r="AB240" s="4172"/>
      <c r="AC240" s="4172"/>
      <c r="AD240" s="4172"/>
      <c r="AE240" s="4172"/>
      <c r="AF240" s="4169"/>
      <c r="AG240" s="4172">
        <f>SUM(AG238:AM239)</f>
        <v>0</v>
      </c>
      <c r="AH240" s="4172"/>
      <c r="AI240" s="4172"/>
      <c r="AJ240" s="4172"/>
      <c r="AK240" s="4172"/>
      <c r="AL240" s="4172"/>
      <c r="AM240" s="4172"/>
      <c r="AN240" s="4172"/>
      <c r="AO240" s="4172"/>
      <c r="AP240" s="4172"/>
    </row>
    <row r="241" ht="12" hidden="1" spans="2:42">
      <c r="B241" s="3340"/>
      <c r="R241" s="4109"/>
      <c r="S241" s="4109"/>
      <c r="T241" s="4109"/>
      <c r="U241" s="4109"/>
      <c r="V241" s="4109"/>
      <c r="W241" s="4109"/>
      <c r="X241" s="4060"/>
      <c r="Y241" s="4169"/>
      <c r="Z241" s="4169"/>
      <c r="AA241" s="4169"/>
      <c r="AB241" s="4169"/>
      <c r="AC241" s="4169"/>
      <c r="AD241" s="4169"/>
      <c r="AE241" s="4169"/>
      <c r="AF241" s="4169"/>
      <c r="AG241" s="4169"/>
      <c r="AH241" s="4169"/>
      <c r="AI241" s="4169"/>
      <c r="AJ241" s="4169"/>
      <c r="AK241" s="4169"/>
      <c r="AL241" s="4169"/>
      <c r="AM241" s="4169"/>
      <c r="AN241" s="4169"/>
      <c r="AO241" s="4169"/>
      <c r="AP241" s="4169"/>
    </row>
    <row r="242" ht="12" hidden="1" spans="2:42">
      <c r="B242" s="5028" t="s">
        <v>879</v>
      </c>
      <c r="R242" s="4109"/>
      <c r="S242" s="4109"/>
      <c r="T242" s="4109"/>
      <c r="U242" s="4109"/>
      <c r="V242" s="4109"/>
      <c r="W242" s="4109"/>
      <c r="X242" s="4060"/>
      <c r="Y242" s="4169"/>
      <c r="Z242" s="4169"/>
      <c r="AA242" s="4169"/>
      <c r="AB242" s="4169"/>
      <c r="AC242" s="4169"/>
      <c r="AD242" s="4169"/>
      <c r="AE242" s="4169"/>
      <c r="AF242" s="4169"/>
      <c r="AG242" s="4169"/>
      <c r="AH242" s="4169"/>
      <c r="AI242" s="4169"/>
      <c r="AJ242" s="4169"/>
      <c r="AK242" s="4169"/>
      <c r="AL242" s="4169"/>
      <c r="AM242" s="4169"/>
      <c r="AN242" s="4169"/>
      <c r="AO242" s="4169"/>
      <c r="AP242" s="4169"/>
    </row>
    <row r="243" ht="12" hidden="1" spans="3:42">
      <c r="C243" s="1" t="s">
        <v>880</v>
      </c>
      <c r="R243" s="4109"/>
      <c r="S243" s="4109"/>
      <c r="T243" s="4109"/>
      <c r="U243" s="4109"/>
      <c r="V243" s="4109"/>
      <c r="W243" s="4109"/>
      <c r="X243" s="4060"/>
      <c r="Y243" s="4174">
        <f>+'F7'!D86</f>
        <v>0</v>
      </c>
      <c r="Z243" s="4174"/>
      <c r="AA243" s="4174"/>
      <c r="AB243" s="4174"/>
      <c r="AC243" s="4174"/>
      <c r="AD243" s="4174"/>
      <c r="AE243" s="4174"/>
      <c r="AF243" s="4172"/>
      <c r="AG243" s="4174">
        <v>0</v>
      </c>
      <c r="AH243" s="4174"/>
      <c r="AI243" s="4174"/>
      <c r="AJ243" s="4174"/>
      <c r="AK243" s="4174"/>
      <c r="AL243" s="4174"/>
      <c r="AM243" s="4174"/>
      <c r="AN243" s="4174"/>
      <c r="AO243" s="4174"/>
      <c r="AP243" s="4174"/>
    </row>
    <row r="244" ht="6" hidden="1" customHeight="1" spans="2:42">
      <c r="B244" s="64"/>
      <c r="R244" s="4109"/>
      <c r="S244" s="4109"/>
      <c r="T244" s="4109"/>
      <c r="U244" s="4109"/>
      <c r="V244" s="4109"/>
      <c r="W244" s="4109"/>
      <c r="X244" s="4060"/>
      <c r="Y244" s="4173"/>
      <c r="Z244" s="4173"/>
      <c r="AA244" s="4173"/>
      <c r="AB244" s="4173"/>
      <c r="AC244" s="4173"/>
      <c r="AD244" s="4173"/>
      <c r="AE244" s="4173"/>
      <c r="AF244" s="4172"/>
      <c r="AG244" s="4173"/>
      <c r="AH244" s="4173"/>
      <c r="AI244" s="4173"/>
      <c r="AJ244" s="4173"/>
      <c r="AK244" s="4173"/>
      <c r="AL244" s="4173"/>
      <c r="AM244" s="4173"/>
      <c r="AN244" s="4180"/>
      <c r="AO244" s="4180"/>
      <c r="AP244" s="4180"/>
    </row>
    <row r="245" ht="12" hidden="1" spans="2:42">
      <c r="B245" s="5037" t="s">
        <v>881</v>
      </c>
      <c r="R245" s="4109"/>
      <c r="S245" s="4109"/>
      <c r="T245" s="4109"/>
      <c r="U245" s="4109"/>
      <c r="V245" s="4109"/>
      <c r="W245" s="4109"/>
      <c r="X245" s="4060"/>
      <c r="Y245" s="4172">
        <f>SUM(Y243:AE244)</f>
        <v>0</v>
      </c>
      <c r="Z245" s="4172"/>
      <c r="AA245" s="4172"/>
      <c r="AB245" s="4172"/>
      <c r="AC245" s="4172"/>
      <c r="AD245" s="4172"/>
      <c r="AE245" s="4172"/>
      <c r="AF245" s="4169"/>
      <c r="AG245" s="4172">
        <f>SUM(AG243:AM244)</f>
        <v>0</v>
      </c>
      <c r="AH245" s="4172"/>
      <c r="AI245" s="4172"/>
      <c r="AJ245" s="4172"/>
      <c r="AK245" s="4172"/>
      <c r="AL245" s="4172"/>
      <c r="AM245" s="4172"/>
      <c r="AN245" s="4172"/>
      <c r="AO245" s="4172"/>
      <c r="AP245" s="4172"/>
    </row>
    <row r="246" ht="12" hidden="1" spans="2:42">
      <c r="B246" s="3340"/>
      <c r="R246" s="4109"/>
      <c r="S246" s="4109"/>
      <c r="T246" s="4109"/>
      <c r="U246" s="4109"/>
      <c r="V246" s="4109"/>
      <c r="W246" s="4109"/>
      <c r="X246" s="4060"/>
      <c r="Y246" s="4175"/>
      <c r="Z246" s="4175"/>
      <c r="AA246" s="4175"/>
      <c r="AB246" s="4175"/>
      <c r="AC246" s="4175"/>
      <c r="AD246" s="4175"/>
      <c r="AE246" s="4175"/>
      <c r="AF246" s="4169"/>
      <c r="AG246" s="4175"/>
      <c r="AH246" s="4175"/>
      <c r="AI246" s="4175"/>
      <c r="AJ246" s="4175"/>
      <c r="AK246" s="4175"/>
      <c r="AL246" s="4175"/>
      <c r="AM246" s="4175"/>
      <c r="AN246" s="4181"/>
      <c r="AO246" s="4181"/>
      <c r="AP246" s="4181"/>
    </row>
    <row r="247" ht="12" hidden="1" spans="2:42">
      <c r="B247" s="5037" t="s">
        <v>882</v>
      </c>
      <c r="R247" s="4109"/>
      <c r="S247" s="4109"/>
      <c r="T247" s="4109"/>
      <c r="U247" s="4109"/>
      <c r="V247" s="4109"/>
      <c r="W247" s="4109"/>
      <c r="X247" s="4060"/>
      <c r="Y247" s="4172" t="e">
        <f>Y235+Y240+Y245</f>
        <v>#REF!</v>
      </c>
      <c r="Z247" s="4172"/>
      <c r="AA247" s="4172"/>
      <c r="AB247" s="4172"/>
      <c r="AC247" s="4172"/>
      <c r="AD247" s="4172"/>
      <c r="AE247" s="4172"/>
      <c r="AF247" s="4169"/>
      <c r="AG247" s="4172" t="e">
        <f>AG235+AG240+AG245</f>
        <v>#REF!</v>
      </c>
      <c r="AH247" s="4172"/>
      <c r="AI247" s="4172"/>
      <c r="AJ247" s="4172"/>
      <c r="AK247" s="4172"/>
      <c r="AL247" s="4172"/>
      <c r="AM247" s="4172"/>
      <c r="AN247" s="4172"/>
      <c r="AO247" s="4172"/>
      <c r="AP247" s="4172"/>
    </row>
    <row r="248" hidden="1" spans="2:42">
      <c r="B248" s="64"/>
      <c r="R248" s="4109"/>
      <c r="S248" s="4109"/>
      <c r="T248" s="4109"/>
      <c r="U248" s="4109"/>
      <c r="V248" s="4109"/>
      <c r="W248" s="4109"/>
      <c r="X248" s="4060"/>
      <c r="Y248" s="4081"/>
      <c r="Z248" s="4081"/>
      <c r="AA248" s="4081"/>
      <c r="AB248" s="4081"/>
      <c r="AC248" s="4081"/>
      <c r="AD248" s="4081"/>
      <c r="AE248" s="4081"/>
      <c r="AF248" s="4081"/>
      <c r="AG248" s="4081"/>
      <c r="AH248" s="4081"/>
      <c r="AI248" s="4081"/>
      <c r="AJ248" s="4081"/>
      <c r="AK248" s="4081"/>
      <c r="AL248" s="4081"/>
      <c r="AM248" s="4081"/>
      <c r="AN248" s="4081"/>
      <c r="AO248" s="4081"/>
      <c r="AP248" s="4081"/>
    </row>
    <row r="249" hidden="1" spans="2:42">
      <c r="B249" s="5038" t="s">
        <v>883</v>
      </c>
      <c r="Y249" s="3606" t="e">
        <f>AG251</f>
        <v>#REF!</v>
      </c>
      <c r="AG249" s="4182">
        <f>SUM([82]LapKeu!$X$12:$AE$12)</f>
        <v>145435279.6</v>
      </c>
      <c r="AH249" s="4182"/>
      <c r="AI249" s="4182"/>
      <c r="AJ249" s="4182"/>
      <c r="AK249" s="4182"/>
      <c r="AL249" s="4182"/>
      <c r="AM249" s="4182"/>
      <c r="AN249" s="4182"/>
      <c r="AO249" s="4182"/>
      <c r="AP249" s="4182"/>
    </row>
    <row r="250" ht="12" hidden="1" customHeight="1" spans="2:42">
      <c r="B250" s="64"/>
      <c r="Y250" s="4169"/>
      <c r="Z250" s="4169"/>
      <c r="AA250" s="4169"/>
      <c r="AB250" s="4169"/>
      <c r="AC250" s="4169"/>
      <c r="AD250" s="4169"/>
      <c r="AE250" s="4169"/>
      <c r="AG250" s="4169"/>
      <c r="AH250" s="4169"/>
      <c r="AI250" s="4169"/>
      <c r="AJ250" s="4169"/>
      <c r="AK250" s="4169"/>
      <c r="AL250" s="4169"/>
      <c r="AM250" s="4169"/>
      <c r="AN250" s="4169"/>
      <c r="AO250" s="4169"/>
      <c r="AP250" s="4169"/>
    </row>
    <row r="251" ht="12.75" hidden="1" spans="2:42">
      <c r="B251" s="5037" t="s">
        <v>884</v>
      </c>
      <c r="Y251" s="4176" t="e">
        <f>Y247+Y249</f>
        <v>#REF!</v>
      </c>
      <c r="Z251" s="4176"/>
      <c r="AA251" s="4176"/>
      <c r="AB251" s="4176"/>
      <c r="AC251" s="4176"/>
      <c r="AD251" s="4176"/>
      <c r="AE251" s="4176"/>
      <c r="AG251" s="4176" t="e">
        <f>AG247+AG249</f>
        <v>#REF!</v>
      </c>
      <c r="AH251" s="4176"/>
      <c r="AI251" s="4176"/>
      <c r="AJ251" s="4176"/>
      <c r="AK251" s="4176"/>
      <c r="AL251" s="4176"/>
      <c r="AM251" s="4176"/>
      <c r="AN251" s="4183"/>
      <c r="AO251" s="4183"/>
      <c r="AP251" s="4183"/>
    </row>
    <row r="252" ht="12.15" hidden="1"/>
    <row r="253" hidden="1"/>
    <row r="254" hidden="1"/>
    <row r="255" hidden="1"/>
    <row r="256" hidden="1"/>
    <row r="257" hidden="1"/>
    <row r="258" hidden="1"/>
    <row r="259" hidden="1"/>
    <row r="260" hidden="1"/>
    <row r="261" hidden="1"/>
    <row r="262" ht="12" spans="2:39">
      <c r="B262" s="3610"/>
      <c r="C262" s="3611"/>
      <c r="D262" s="3611"/>
      <c r="E262" s="3611"/>
      <c r="F262" s="3611"/>
      <c r="G262" s="3611"/>
      <c r="H262" s="3611"/>
      <c r="I262" s="3611"/>
      <c r="J262" s="3611"/>
      <c r="K262" s="3611"/>
      <c r="L262" s="3611"/>
      <c r="M262" s="3611"/>
      <c r="N262" s="3611"/>
      <c r="O262" s="3611"/>
      <c r="P262" s="3611"/>
      <c r="Q262" s="3611"/>
      <c r="R262" s="4054"/>
      <c r="S262" s="4054"/>
      <c r="T262" s="4054"/>
      <c r="U262" s="4054"/>
      <c r="V262" s="4054"/>
      <c r="W262" s="4054"/>
      <c r="X262" s="4054"/>
      <c r="Y262" s="4054"/>
      <c r="Z262" s="4054"/>
      <c r="AA262" s="4054"/>
      <c r="AB262" s="4054"/>
      <c r="AC262" s="4054"/>
      <c r="AD262" s="4054"/>
      <c r="AE262" s="4054"/>
      <c r="AF262" s="4054"/>
      <c r="AG262" s="4054"/>
      <c r="AH262" s="4054"/>
      <c r="AI262" s="4054"/>
      <c r="AJ262" s="4054"/>
      <c r="AK262" s="4054"/>
      <c r="AL262" s="4054"/>
      <c r="AM262" s="4054"/>
    </row>
    <row r="264" spans="20:30">
      <c r="T264" s="2623"/>
      <c r="U264" s="2623"/>
      <c r="V264" s="2623"/>
      <c r="W264" s="2623"/>
      <c r="X264" s="2623"/>
      <c r="Y264" s="2623"/>
      <c r="AD264" s="2623"/>
    </row>
    <row r="265" ht="12" spans="17:39">
      <c r="Q265" s="4201" t="s">
        <v>600</v>
      </c>
      <c r="R265" s="4201"/>
      <c r="S265" s="4201"/>
      <c r="T265" s="4201"/>
      <c r="U265" s="4201"/>
      <c r="V265" s="4201"/>
      <c r="W265" s="4201"/>
      <c r="Y265" s="4201" t="s">
        <v>885</v>
      </c>
      <c r="Z265" s="4201"/>
      <c r="AA265" s="4201"/>
      <c r="AB265" s="4201"/>
      <c r="AC265" s="4201"/>
      <c r="AD265" s="4201"/>
      <c r="AE265" s="4201"/>
      <c r="AF265" s="2623"/>
      <c r="AG265" s="4201" t="s">
        <v>512</v>
      </c>
      <c r="AH265" s="4201"/>
      <c r="AI265" s="4201"/>
      <c r="AJ265" s="4201"/>
      <c r="AK265" s="4201"/>
      <c r="AL265" s="4201"/>
      <c r="AM265" s="4201"/>
    </row>
    <row r="267" ht="12" customHeight="1" spans="2:39">
      <c r="B267" s="5028" t="s">
        <v>614</v>
      </c>
      <c r="C267" s="3322"/>
      <c r="Q267" s="4202">
        <f>+ekin21!AB169</f>
        <v>11000000000</v>
      </c>
      <c r="R267" s="4202"/>
      <c r="S267" s="4202"/>
      <c r="T267" s="4202"/>
      <c r="U267" s="4202"/>
      <c r="V267" s="4202"/>
      <c r="W267" s="4202"/>
      <c r="X267" s="4202"/>
      <c r="Y267" s="4082">
        <f>+ekin21!AW169</f>
        <v>9040934717.37351</v>
      </c>
      <c r="Z267" s="4082"/>
      <c r="AA267" s="4082"/>
      <c r="AB267" s="4082"/>
      <c r="AC267" s="4082"/>
      <c r="AD267" s="4082"/>
      <c r="AE267" s="4082"/>
      <c r="AF267" s="4082"/>
      <c r="AG267" s="4082">
        <f>SUM(Q267:AE267)</f>
        <v>20040934717.3735</v>
      </c>
      <c r="AH267" s="4082"/>
      <c r="AI267" s="4082"/>
      <c r="AJ267" s="4082"/>
      <c r="AK267" s="4082"/>
      <c r="AL267" s="4082"/>
      <c r="AM267" s="4082"/>
    </row>
    <row r="268" spans="2:3">
      <c r="B268" s="3609"/>
      <c r="C268" s="3315"/>
    </row>
    <row r="269" ht="12" customHeight="1" spans="2:39">
      <c r="B269" s="5027" t="s">
        <v>609</v>
      </c>
      <c r="C269" s="3315"/>
      <c r="Q269" s="4202">
        <f>+ekin21!AB171</f>
        <v>0</v>
      </c>
      <c r="R269" s="4202"/>
      <c r="S269" s="4202"/>
      <c r="T269" s="4202"/>
      <c r="U269" s="4202"/>
      <c r="V269" s="4202"/>
      <c r="W269" s="4092"/>
      <c r="X269" s="4092"/>
      <c r="Y269" s="4082">
        <f>+'F3'!R44</f>
        <v>824555627.39146</v>
      </c>
      <c r="Z269" s="4082"/>
      <c r="AA269" s="4082"/>
      <c r="AB269" s="4082"/>
      <c r="AC269" s="4082"/>
      <c r="AD269" s="4082"/>
      <c r="AE269" s="4082"/>
      <c r="AF269" s="4082"/>
      <c r="AG269" s="4082">
        <f>SUM(Q269:AE269)</f>
        <v>824555627.39146</v>
      </c>
      <c r="AH269" s="4082"/>
      <c r="AI269" s="4082"/>
      <c r="AJ269" s="4082"/>
      <c r="AK269" s="4082"/>
      <c r="AL269" s="4082"/>
      <c r="AM269" s="4082"/>
    </row>
    <row r="270" spans="2:39">
      <c r="B270" s="3315"/>
      <c r="C270" s="3315"/>
      <c r="Q270" s="4098"/>
      <c r="R270" s="4098"/>
      <c r="S270" s="4098"/>
      <c r="T270" s="4098"/>
      <c r="U270" s="4098"/>
      <c r="V270" s="4098"/>
      <c r="Y270" s="4097"/>
      <c r="Z270" s="4097"/>
      <c r="AA270" s="4097"/>
      <c r="AB270" s="4097"/>
      <c r="AC270" s="4097"/>
      <c r="AD270" s="4097"/>
      <c r="AE270" s="4097"/>
      <c r="AF270" s="4082"/>
      <c r="AG270" s="4097"/>
      <c r="AH270" s="4097"/>
      <c r="AI270" s="4097"/>
      <c r="AJ270" s="4097"/>
      <c r="AK270" s="4097"/>
      <c r="AL270" s="4097"/>
      <c r="AM270" s="4097"/>
    </row>
    <row r="271" ht="12" spans="2:41">
      <c r="B271" s="5028" t="s">
        <v>617</v>
      </c>
      <c r="C271" s="3322"/>
      <c r="Q271" s="4203">
        <f>+ekin21!AB173</f>
        <v>11000000000</v>
      </c>
      <c r="R271" s="4203"/>
      <c r="S271" s="4203"/>
      <c r="T271" s="4203"/>
      <c r="U271" s="4203"/>
      <c r="V271" s="4203"/>
      <c r="Y271" s="4082">
        <f>SUM(Y267:AE270)</f>
        <v>9865490344.76497</v>
      </c>
      <c r="Z271" s="4082"/>
      <c r="AA271" s="4082"/>
      <c r="AB271" s="4082"/>
      <c r="AC271" s="4082"/>
      <c r="AD271" s="4082"/>
      <c r="AE271" s="4082"/>
      <c r="AF271" s="4082"/>
      <c r="AG271" s="4082">
        <f>SUM(AG267:AM270)</f>
        <v>20865490344.765</v>
      </c>
      <c r="AH271" s="4082"/>
      <c r="AI271" s="4082"/>
      <c r="AJ271" s="4082"/>
      <c r="AK271" s="4082"/>
      <c r="AL271" s="4082"/>
      <c r="AM271" s="4082"/>
      <c r="AO271" s="3606">
        <f>+AG57-Y271</f>
        <v>0</v>
      </c>
    </row>
    <row r="272" spans="17:39">
      <c r="Q272" s="4092"/>
      <c r="R272" s="4092"/>
      <c r="S272" s="4092"/>
      <c r="T272" s="4092"/>
      <c r="U272" s="4092"/>
      <c r="V272" s="4092"/>
      <c r="Y272" s="4082"/>
      <c r="Z272" s="4082"/>
      <c r="AA272" s="4082"/>
      <c r="AB272" s="4082"/>
      <c r="AC272" s="4082"/>
      <c r="AD272" s="4082"/>
      <c r="AE272" s="4082"/>
      <c r="AF272" s="4082"/>
      <c r="AG272" s="4082"/>
      <c r="AH272" s="4082"/>
      <c r="AI272" s="4082"/>
      <c r="AJ272" s="4082"/>
      <c r="AK272" s="4082"/>
      <c r="AL272" s="4082"/>
      <c r="AM272" s="4082"/>
    </row>
    <row r="273" spans="2:39">
      <c r="B273" s="5027" t="s">
        <v>609</v>
      </c>
      <c r="C273" s="3315"/>
      <c r="Q273" s="4202">
        <f>+ekin21!AB175</f>
        <v>0</v>
      </c>
      <c r="R273" s="4202"/>
      <c r="S273" s="4202"/>
      <c r="T273" s="4202"/>
      <c r="U273" s="4202"/>
      <c r="V273" s="4202"/>
      <c r="Y273" s="4082">
        <f>+'F3'!Q44</f>
        <v>235252916.249275</v>
      </c>
      <c r="Z273" s="4082"/>
      <c r="AA273" s="4082"/>
      <c r="AB273" s="4082"/>
      <c r="AC273" s="4082"/>
      <c r="AD273" s="4082"/>
      <c r="AE273" s="4082"/>
      <c r="AF273" s="4082"/>
      <c r="AG273" s="4082">
        <f>SUM(Q273:AE273)</f>
        <v>235252916.249275</v>
      </c>
      <c r="AH273" s="4082"/>
      <c r="AI273" s="4082"/>
      <c r="AJ273" s="4082"/>
      <c r="AK273" s="4082"/>
      <c r="AL273" s="4082"/>
      <c r="AM273" s="4082"/>
    </row>
    <row r="274" spans="2:39">
      <c r="B274" s="3315"/>
      <c r="C274" s="3315"/>
      <c r="Q274" s="4098"/>
      <c r="R274" s="4098"/>
      <c r="S274" s="4098"/>
      <c r="T274" s="4098"/>
      <c r="U274" s="4098"/>
      <c r="V274" s="4098"/>
      <c r="Y274" s="4097"/>
      <c r="Z274" s="4097"/>
      <c r="AA274" s="4097"/>
      <c r="AB274" s="4097"/>
      <c r="AC274" s="4097"/>
      <c r="AD274" s="4097"/>
      <c r="AE274" s="4097"/>
      <c r="AF274" s="4082"/>
      <c r="AG274" s="4097"/>
      <c r="AH274" s="4097"/>
      <c r="AI274" s="4097"/>
      <c r="AJ274" s="4097"/>
      <c r="AK274" s="4097"/>
      <c r="AL274" s="4097"/>
      <c r="AM274" s="4097"/>
    </row>
    <row r="275" ht="12.75" spans="2:41">
      <c r="B275" s="5028" t="s">
        <v>619</v>
      </c>
      <c r="C275" s="3322"/>
      <c r="Q275" s="4204">
        <f>SUM(Q271:V274)</f>
        <v>11000000000</v>
      </c>
      <c r="R275" s="4204"/>
      <c r="S275" s="4204"/>
      <c r="T275" s="4204"/>
      <c r="U275" s="4204"/>
      <c r="V275" s="4204"/>
      <c r="Y275" s="4192">
        <f>SUM(Y271:AE274)</f>
        <v>10100743261.0142</v>
      </c>
      <c r="Z275" s="4192"/>
      <c r="AA275" s="4192"/>
      <c r="AB275" s="4192"/>
      <c r="AC275" s="4192"/>
      <c r="AD275" s="4192"/>
      <c r="AE275" s="4192"/>
      <c r="AF275" s="4082"/>
      <c r="AG275" s="4192">
        <f>SUM(AG271:AM274)</f>
        <v>21100743261.0142</v>
      </c>
      <c r="AH275" s="4192"/>
      <c r="AI275" s="4192"/>
      <c r="AJ275" s="4192"/>
      <c r="AK275" s="4192"/>
      <c r="AL275" s="4192"/>
      <c r="AM275" s="4192"/>
      <c r="AO275" s="3606">
        <f>+Y275-Y57</f>
        <v>0</v>
      </c>
    </row>
    <row r="276" ht="12.15" spans="41:41">
      <c r="AO276" s="3606">
        <f>+AO275/2</f>
        <v>0</v>
      </c>
    </row>
  </sheetData>
  <mergeCells count="340">
    <mergeCell ref="R7:U7"/>
    <mergeCell ref="Y7:AE7"/>
    <mergeCell ref="AG7:AM7"/>
    <mergeCell ref="R8:U8"/>
    <mergeCell ref="Y8:AE8"/>
    <mergeCell ref="AG8:AM8"/>
    <mergeCell ref="R9:U9"/>
    <mergeCell ref="Y9:AE9"/>
    <mergeCell ref="AG9:AM9"/>
    <mergeCell ref="R10:U10"/>
    <mergeCell ref="Y10:AE10"/>
    <mergeCell ref="AG10:AM10"/>
    <mergeCell ref="R11:U11"/>
    <mergeCell ref="Y11:AE11"/>
    <mergeCell ref="AG11:AM11"/>
    <mergeCell ref="R12:U12"/>
    <mergeCell ref="Y12:AE12"/>
    <mergeCell ref="AG12:AM12"/>
    <mergeCell ref="R13:U13"/>
    <mergeCell ref="Y13:AE13"/>
    <mergeCell ref="AG13:AM13"/>
    <mergeCell ref="R14:U14"/>
    <mergeCell ref="Y14:AE14"/>
    <mergeCell ref="AG14:AM14"/>
    <mergeCell ref="R15:U15"/>
    <mergeCell ref="Y15:AE15"/>
    <mergeCell ref="AG15:AM15"/>
    <mergeCell ref="R16:U16"/>
    <mergeCell ref="Y16:AE16"/>
    <mergeCell ref="AG16:AM16"/>
    <mergeCell ref="R17:U17"/>
    <mergeCell ref="Y17:AE17"/>
    <mergeCell ref="AG17:AM17"/>
    <mergeCell ref="R18:U18"/>
    <mergeCell ref="Y18:AE18"/>
    <mergeCell ref="AG18:AM18"/>
    <mergeCell ref="Y19:AE19"/>
    <mergeCell ref="AG19:AM19"/>
    <mergeCell ref="R22:U22"/>
    <mergeCell ref="Y22:AE22"/>
    <mergeCell ref="AG22:AM22"/>
    <mergeCell ref="R23:U23"/>
    <mergeCell ref="Y23:AE23"/>
    <mergeCell ref="AG23:AM23"/>
    <mergeCell ref="R27:U27"/>
    <mergeCell ref="Y27:AE27"/>
    <mergeCell ref="AG27:AM27"/>
    <mergeCell ref="R28:U28"/>
    <mergeCell ref="Y28:AE28"/>
    <mergeCell ref="AG28:AM28"/>
    <mergeCell ref="Y29:AE29"/>
    <mergeCell ref="AG29:AM29"/>
    <mergeCell ref="R30:U30"/>
    <mergeCell ref="Y30:AE30"/>
    <mergeCell ref="AG30:AM30"/>
    <mergeCell ref="R32:U32"/>
    <mergeCell ref="Y32:AE32"/>
    <mergeCell ref="AG32:AM32"/>
    <mergeCell ref="Y33:AE33"/>
    <mergeCell ref="AG33:AM33"/>
    <mergeCell ref="AG34:AM34"/>
    <mergeCell ref="Y35:AE35"/>
    <mergeCell ref="M37:P37"/>
    <mergeCell ref="R37:U37"/>
    <mergeCell ref="Y37:AE37"/>
    <mergeCell ref="AG37:AM37"/>
    <mergeCell ref="M38:P38"/>
    <mergeCell ref="R38:U38"/>
    <mergeCell ref="Y38:AE38"/>
    <mergeCell ref="AG38:AM38"/>
    <mergeCell ref="M39:P39"/>
    <mergeCell ref="R39:U39"/>
    <mergeCell ref="Y39:AE39"/>
    <mergeCell ref="AG39:AM39"/>
    <mergeCell ref="R40:U40"/>
    <mergeCell ref="Y40:AE40"/>
    <mergeCell ref="AG40:AM40"/>
    <mergeCell ref="M41:P41"/>
    <mergeCell ref="R41:U41"/>
    <mergeCell ref="Y41:AE41"/>
    <mergeCell ref="AG41:AM41"/>
    <mergeCell ref="Y42:AE42"/>
    <mergeCell ref="AG42:AM42"/>
    <mergeCell ref="Y43:AE43"/>
    <mergeCell ref="AG43:AM43"/>
    <mergeCell ref="AG44:AM44"/>
    <mergeCell ref="R46:U46"/>
    <mergeCell ref="Y46:AE46"/>
    <mergeCell ref="AG46:AM46"/>
    <mergeCell ref="R47:U47"/>
    <mergeCell ref="Y47:AE47"/>
    <mergeCell ref="AG47:AM47"/>
    <mergeCell ref="R48:U48"/>
    <mergeCell ref="Y48:AE48"/>
    <mergeCell ref="AG48:AM48"/>
    <mergeCell ref="R49:U49"/>
    <mergeCell ref="Y49:AE49"/>
    <mergeCell ref="AG49:AM49"/>
    <mergeCell ref="Y50:AE50"/>
    <mergeCell ref="Y51:AE51"/>
    <mergeCell ref="AG51:AM51"/>
    <mergeCell ref="R54:U54"/>
    <mergeCell ref="Y54:AE54"/>
    <mergeCell ref="AG54:AM54"/>
    <mergeCell ref="R55:U55"/>
    <mergeCell ref="Y55:AE55"/>
    <mergeCell ref="AG55:AM55"/>
    <mergeCell ref="R56:U56"/>
    <mergeCell ref="Y56:AE56"/>
    <mergeCell ref="AG56:AM56"/>
    <mergeCell ref="Y57:AE57"/>
    <mergeCell ref="AG57:AM57"/>
    <mergeCell ref="Y58:AE58"/>
    <mergeCell ref="AG58:AM58"/>
    <mergeCell ref="M59:P59"/>
    <mergeCell ref="Y59:AE59"/>
    <mergeCell ref="AG59:AM59"/>
    <mergeCell ref="M60:P60"/>
    <mergeCell ref="Y61:AE61"/>
    <mergeCell ref="AG61:AM61"/>
    <mergeCell ref="Y62:AE62"/>
    <mergeCell ref="AG62:AM62"/>
    <mergeCell ref="Y63:AE63"/>
    <mergeCell ref="AG63:AM63"/>
    <mergeCell ref="R77:U77"/>
    <mergeCell ref="Y77:AE77"/>
    <mergeCell ref="AG77:AM77"/>
    <mergeCell ref="R79:U79"/>
    <mergeCell ref="Y79:AE79"/>
    <mergeCell ref="AG79:AM79"/>
    <mergeCell ref="Y80:AE80"/>
    <mergeCell ref="AG80:AM80"/>
    <mergeCell ref="R81:U81"/>
    <mergeCell ref="Y81:AE81"/>
    <mergeCell ref="AG81:AM81"/>
    <mergeCell ref="Y82:AE82"/>
    <mergeCell ref="AG82:AM82"/>
    <mergeCell ref="Y83:AE83"/>
    <mergeCell ref="AG83:AM83"/>
    <mergeCell ref="Y84:AE84"/>
    <mergeCell ref="AG84:AM84"/>
    <mergeCell ref="R85:U85"/>
    <mergeCell ref="AG85:AM85"/>
    <mergeCell ref="AR85:AX85"/>
    <mergeCell ref="Y86:AE86"/>
    <mergeCell ref="AG86:AM86"/>
    <mergeCell ref="Y87:AE87"/>
    <mergeCell ref="AG87:AM87"/>
    <mergeCell ref="Y88:AE88"/>
    <mergeCell ref="AG88:AM88"/>
    <mergeCell ref="Y89:AE89"/>
    <mergeCell ref="AG89:AM89"/>
    <mergeCell ref="Y90:AE90"/>
    <mergeCell ref="AG90:AM90"/>
    <mergeCell ref="Y91:AE91"/>
    <mergeCell ref="AG91:AM91"/>
    <mergeCell ref="R93:U93"/>
    <mergeCell ref="Y94:AE94"/>
    <mergeCell ref="AG94:AM94"/>
    <mergeCell ref="Y95:AE95"/>
    <mergeCell ref="AG95:AM95"/>
    <mergeCell ref="R96:U96"/>
    <mergeCell ref="Y96:AE96"/>
    <mergeCell ref="AG96:AM96"/>
    <mergeCell ref="Y97:AE97"/>
    <mergeCell ref="AG97:AM97"/>
    <mergeCell ref="Y99:AE99"/>
    <mergeCell ref="AG99:AM99"/>
    <mergeCell ref="Y100:AE100"/>
    <mergeCell ref="AG100:AM100"/>
    <mergeCell ref="Y101:AE101"/>
    <mergeCell ref="AG101:AM101"/>
    <mergeCell ref="R102:U102"/>
    <mergeCell ref="Y102:AE102"/>
    <mergeCell ref="AG102:AM102"/>
    <mergeCell ref="Y103:AE103"/>
    <mergeCell ref="AG103:AM103"/>
    <mergeCell ref="R104:U104"/>
    <mergeCell ref="Y104:AE104"/>
    <mergeCell ref="AG104:AM104"/>
    <mergeCell ref="Y105:AE105"/>
    <mergeCell ref="AG105:AM105"/>
    <mergeCell ref="Y106:AE106"/>
    <mergeCell ref="AG106:AM106"/>
    <mergeCell ref="Y107:AE107"/>
    <mergeCell ref="AG107:AM107"/>
    <mergeCell ref="Y108:AE108"/>
    <mergeCell ref="AG108:AM108"/>
    <mergeCell ref="Y109:AE109"/>
    <mergeCell ref="AG109:AM109"/>
    <mergeCell ref="Y110:AE110"/>
    <mergeCell ref="AG110:AM110"/>
    <mergeCell ref="Y111:AE111"/>
    <mergeCell ref="AG111:AM111"/>
    <mergeCell ref="P147:U147"/>
    <mergeCell ref="Y147:AE147"/>
    <mergeCell ref="AG147:AM147"/>
    <mergeCell ref="P148:U148"/>
    <mergeCell ref="Y148:AE148"/>
    <mergeCell ref="AG148:AM148"/>
    <mergeCell ref="P149:U149"/>
    <mergeCell ref="Y149:AE149"/>
    <mergeCell ref="AG149:AM149"/>
    <mergeCell ref="P150:U150"/>
    <mergeCell ref="Y150:AE150"/>
    <mergeCell ref="AG150:AM150"/>
    <mergeCell ref="P151:U151"/>
    <mergeCell ref="Y151:AE151"/>
    <mergeCell ref="AG151:AM151"/>
    <mergeCell ref="P152:U152"/>
    <mergeCell ref="Y152:AE152"/>
    <mergeCell ref="AG152:AM152"/>
    <mergeCell ref="P153:U153"/>
    <mergeCell ref="Y153:AE153"/>
    <mergeCell ref="AG153:AM153"/>
    <mergeCell ref="P154:U154"/>
    <mergeCell ref="Y154:AE154"/>
    <mergeCell ref="AG154:AM154"/>
    <mergeCell ref="P155:U155"/>
    <mergeCell ref="Y155:AE155"/>
    <mergeCell ref="AG155:AM155"/>
    <mergeCell ref="P156:U156"/>
    <mergeCell ref="Y156:AE156"/>
    <mergeCell ref="AG156:AM156"/>
    <mergeCell ref="P158:U158"/>
    <mergeCell ref="Y158:AE158"/>
    <mergeCell ref="AG158:AM158"/>
    <mergeCell ref="P160:U160"/>
    <mergeCell ref="Y160:AE160"/>
    <mergeCell ref="AG160:AM160"/>
    <mergeCell ref="P162:U162"/>
    <mergeCell ref="Y162:AE162"/>
    <mergeCell ref="AG162:AM162"/>
    <mergeCell ref="P164:U164"/>
    <mergeCell ref="Y164:AE164"/>
    <mergeCell ref="AG164:AM164"/>
    <mergeCell ref="P165:U165"/>
    <mergeCell ref="Y165:AE165"/>
    <mergeCell ref="AG165:AM165"/>
    <mergeCell ref="P167:U167"/>
    <mergeCell ref="Y167:AE167"/>
    <mergeCell ref="AG167:AM167"/>
    <mergeCell ref="Y217:AE217"/>
    <mergeCell ref="AG217:AM217"/>
    <mergeCell ref="Y218:AE218"/>
    <mergeCell ref="AG218:AM218"/>
    <mergeCell ref="Y219:AE219"/>
    <mergeCell ref="AG219:AM219"/>
    <mergeCell ref="Y220:AE220"/>
    <mergeCell ref="AG220:AM220"/>
    <mergeCell ref="Y224:AE224"/>
    <mergeCell ref="AG224:AM224"/>
    <mergeCell ref="Y226:AE226"/>
    <mergeCell ref="AG226:AM226"/>
    <mergeCell ref="Y227:AE227"/>
    <mergeCell ref="AG227:AM227"/>
    <mergeCell ref="Y228:AE228"/>
    <mergeCell ref="AG228:AM228"/>
    <mergeCell ref="Y229:AE229"/>
    <mergeCell ref="AG229:AM229"/>
    <mergeCell ref="Y230:AE230"/>
    <mergeCell ref="AG230:AM230"/>
    <mergeCell ref="Y231:AE231"/>
    <mergeCell ref="AG231:AM231"/>
    <mergeCell ref="Y232:AE232"/>
    <mergeCell ref="AG232:AM232"/>
    <mergeCell ref="Y233:AE233"/>
    <mergeCell ref="AG233:AM233"/>
    <mergeCell ref="Y234:AE234"/>
    <mergeCell ref="AG234:AM234"/>
    <mergeCell ref="Y235:AE235"/>
    <mergeCell ref="AG235:AM235"/>
    <mergeCell ref="Y236:AE236"/>
    <mergeCell ref="AG236:AM236"/>
    <mergeCell ref="Y237:AE237"/>
    <mergeCell ref="AG237:AM237"/>
    <mergeCell ref="Y238:AE238"/>
    <mergeCell ref="AG238:AM238"/>
    <mergeCell ref="Y239:AE239"/>
    <mergeCell ref="AG239:AM239"/>
    <mergeCell ref="Y240:AE240"/>
    <mergeCell ref="AG240:AM240"/>
    <mergeCell ref="Y242:AE242"/>
    <mergeCell ref="AG242:AM242"/>
    <mergeCell ref="Y243:AE243"/>
    <mergeCell ref="AG243:AM243"/>
    <mergeCell ref="Y244:AE244"/>
    <mergeCell ref="AG244:AM244"/>
    <mergeCell ref="Y245:AE245"/>
    <mergeCell ref="AG245:AM245"/>
    <mergeCell ref="Y246:AE246"/>
    <mergeCell ref="AG246:AM246"/>
    <mergeCell ref="Y247:AE247"/>
    <mergeCell ref="AG247:AM247"/>
    <mergeCell ref="Y248:AE248"/>
    <mergeCell ref="AG248:AM248"/>
    <mergeCell ref="Y249:AE249"/>
    <mergeCell ref="AG249:AM249"/>
    <mergeCell ref="Y250:AE250"/>
    <mergeCell ref="AG250:AM250"/>
    <mergeCell ref="Y251:AE251"/>
    <mergeCell ref="AG251:AM251"/>
    <mergeCell ref="Q265:W265"/>
    <mergeCell ref="Y265:AE265"/>
    <mergeCell ref="AG265:AM265"/>
    <mergeCell ref="Q267:X267"/>
    <mergeCell ref="Y267:AE267"/>
    <mergeCell ref="AG267:AM267"/>
    <mergeCell ref="Q269:V269"/>
    <mergeCell ref="Y269:AE269"/>
    <mergeCell ref="AG269:AM269"/>
    <mergeCell ref="Y270:AE270"/>
    <mergeCell ref="AG270:AM270"/>
    <mergeCell ref="Q271:V271"/>
    <mergeCell ref="Y271:AE271"/>
    <mergeCell ref="AG271:AM271"/>
    <mergeCell ref="Y272:AE272"/>
    <mergeCell ref="AG272:AM272"/>
    <mergeCell ref="Q273:V273"/>
    <mergeCell ref="Y273:AE273"/>
    <mergeCell ref="AG273:AM273"/>
    <mergeCell ref="Y274:AE274"/>
    <mergeCell ref="AG274:AM274"/>
    <mergeCell ref="Q275:V275"/>
    <mergeCell ref="Y275:AE275"/>
    <mergeCell ref="AG275:AM275"/>
    <mergeCell ref="B25:P27"/>
    <mergeCell ref="AF72:AG75"/>
    <mergeCell ref="AH72:AM73"/>
    <mergeCell ref="AH74:AM75"/>
    <mergeCell ref="AF138:AG141"/>
    <mergeCell ref="AH138:AM139"/>
    <mergeCell ref="AH140:AM141"/>
    <mergeCell ref="AF142:AG145"/>
    <mergeCell ref="AH142:AM143"/>
    <mergeCell ref="AH144:AM145"/>
    <mergeCell ref="AF211:AG214"/>
    <mergeCell ref="AH211:AM212"/>
    <mergeCell ref="AH213:AM214"/>
    <mergeCell ref="B221:Y222"/>
  </mergeCells>
  <pageMargins left="0.78740157480315" right="0.590551181102362" top="0.590551181102362" bottom="0.590551181102362" header="0.236220472440945" footer="0.393700787401575"/>
  <pageSetup paperSize="9" orientation="portrait"/>
  <headerFooter>
    <oddFooter>&amp;C&amp;8Catatan atas laporan keuangan merupakan
bagian yang tidak terpisahkan dari laporan keuangan secara keseluruhan.&amp;10
&amp;8&amp;P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399975585192419"/>
  </sheetPr>
  <dimension ref="B1:AX284"/>
  <sheetViews>
    <sheetView showGridLines="0" zoomScale="145" zoomScaleNormal="145" workbookViewId="0">
      <pane xSplit="21" ySplit="7" topLeftCell="V8" activePane="bottomRight" state="frozen"/>
      <selection/>
      <selection pane="topRight"/>
      <selection pane="bottomLeft"/>
      <selection pane="bottomRight" activeCell="AP49" sqref="AP49"/>
    </sheetView>
  </sheetViews>
  <sheetFormatPr defaultColWidth="9.13541666666667" defaultRowHeight="11.4"/>
  <cols>
    <col min="1" max="1" width="2.69791666666667" style="3606" customWidth="1"/>
    <col min="2" max="8" width="2.25" style="3606" customWidth="1"/>
    <col min="9" max="9" width="3" style="3606" customWidth="1"/>
    <col min="10" max="10" width="4.9375" style="3606" customWidth="1"/>
    <col min="11" max="11" width="3.73958333333333" style="3606" customWidth="1"/>
    <col min="12" max="13" width="3.14583333333333" style="3606" customWidth="1"/>
    <col min="14" max="14" width="3.73958333333333" style="3606" customWidth="1"/>
    <col min="15" max="17" width="3.44791666666667" style="3606" customWidth="1"/>
    <col min="18" max="18" width="3.14583333333333" style="4049" customWidth="1"/>
    <col min="19" max="22" width="2.25" style="4049" customWidth="1"/>
    <col min="23" max="23" width="15.5833333333333" style="4049" customWidth="1"/>
    <col min="24" max="24" width="2.25" style="4049" customWidth="1"/>
    <col min="25" max="28" width="2.25" style="3606" customWidth="1"/>
    <col min="29" max="29" width="2.84375" style="3606" customWidth="1"/>
    <col min="30" max="38" width="2.25" style="3606" customWidth="1"/>
    <col min="39" max="39" width="2.69791666666667" style="3606" customWidth="1"/>
    <col min="40" max="40" width="4.64583333333333" style="3606" customWidth="1"/>
    <col min="41" max="41" width="15.1354166666667" style="3606" customWidth="1"/>
    <col min="42" max="42" width="15.8854166666667" style="3606" customWidth="1"/>
    <col min="43" max="46" width="9.13541666666667" style="3606"/>
    <col min="47" max="47" width="16.3333333333333" style="3606" customWidth="1"/>
    <col min="48" max="16384" width="9.13541666666667" style="3606"/>
  </cols>
  <sheetData>
    <row r="1" ht="12" customHeight="1" spans="2:43">
      <c r="B1" s="3607" t="str">
        <f>PM!F4</f>
        <v>PT INTAN GIRI ABADI</v>
      </c>
      <c r="V1" s="4052"/>
      <c r="W1" s="4053" t="s">
        <v>531</v>
      </c>
      <c r="X1" s="4053"/>
      <c r="Y1" s="4079"/>
      <c r="Z1" s="4079"/>
      <c r="AA1" s="4053" t="s">
        <v>532</v>
      </c>
      <c r="AB1" s="4053"/>
      <c r="AC1" s="4053"/>
      <c r="AD1" s="4053"/>
      <c r="AE1" s="4053"/>
      <c r="AF1" s="4053"/>
      <c r="AG1" s="4053"/>
      <c r="AH1" s="4087"/>
      <c r="AI1" s="4088" t="s">
        <v>533</v>
      </c>
      <c r="AJ1" s="4088"/>
      <c r="AK1" s="4088"/>
      <c r="AL1" s="4088"/>
      <c r="AM1" s="4088"/>
      <c r="AN1" s="4089"/>
      <c r="AO1" s="4089"/>
      <c r="AP1" s="4101"/>
      <c r="AQ1" s="3606" t="s">
        <v>410</v>
      </c>
    </row>
    <row r="2" ht="12" customHeight="1" spans="2:42">
      <c r="B2" s="5010" t="s">
        <v>284</v>
      </c>
      <c r="V2" s="4052"/>
      <c r="W2" s="4053"/>
      <c r="X2" s="4053"/>
      <c r="Y2" s="4079"/>
      <c r="Z2" s="4079"/>
      <c r="AA2" s="4053"/>
      <c r="AB2" s="4053"/>
      <c r="AC2" s="4053"/>
      <c r="AD2" s="4053"/>
      <c r="AE2" s="4053"/>
      <c r="AF2" s="4053"/>
      <c r="AG2" s="4053"/>
      <c r="AH2"/>
      <c r="AI2" s="4088"/>
      <c r="AJ2" s="4088"/>
      <c r="AK2" s="4088"/>
      <c r="AL2" s="4088"/>
      <c r="AM2" s="4088"/>
      <c r="AN2" s="4089"/>
      <c r="AO2" s="4089"/>
      <c r="AP2" s="4101"/>
    </row>
    <row r="3" ht="12" customHeight="1" spans="2:42">
      <c r="B3" s="5010" t="s">
        <v>886</v>
      </c>
      <c r="V3" s="4052"/>
      <c r="W3" s="4053"/>
      <c r="X3" s="4053"/>
      <c r="Y3" s="4079"/>
      <c r="Z3" s="4079"/>
      <c r="AA3" s="4053"/>
      <c r="AB3" s="4053"/>
      <c r="AC3" s="4053"/>
      <c r="AD3" s="4053"/>
      <c r="AE3" s="4053"/>
      <c r="AF3" s="4053"/>
      <c r="AG3" s="4053"/>
      <c r="AH3"/>
      <c r="AI3" s="4088"/>
      <c r="AJ3" s="4088"/>
      <c r="AK3" s="4088"/>
      <c r="AL3" s="4088"/>
      <c r="AM3" s="4088"/>
      <c r="AN3" s="4089"/>
      <c r="AO3" s="4089"/>
      <c r="AP3" s="4101"/>
    </row>
    <row r="4" ht="12" customHeight="1" spans="2:42">
      <c r="B4" s="3609" t="s">
        <v>450</v>
      </c>
      <c r="V4" s="4052"/>
      <c r="W4" s="4053"/>
      <c r="X4" s="4053"/>
      <c r="Y4" s="4079"/>
      <c r="Z4" s="4079"/>
      <c r="AA4" s="4053" t="s">
        <v>535</v>
      </c>
      <c r="AB4" s="4053"/>
      <c r="AC4" s="4053"/>
      <c r="AD4" s="4053"/>
      <c r="AE4" s="4053"/>
      <c r="AF4" s="4053"/>
      <c r="AG4" s="4053"/>
      <c r="AH4"/>
      <c r="AI4" s="4088" t="s">
        <v>275</v>
      </c>
      <c r="AJ4" s="4088"/>
      <c r="AK4" s="4088"/>
      <c r="AL4" s="4088"/>
      <c r="AM4" s="4088"/>
      <c r="AN4" s="4089"/>
      <c r="AO4" s="4089"/>
      <c r="AP4" s="4102"/>
    </row>
    <row r="5" ht="12" customHeight="1" spans="2:42">
      <c r="B5" s="3610"/>
      <c r="C5" s="3611"/>
      <c r="D5" s="3611"/>
      <c r="E5" s="3611"/>
      <c r="F5" s="3611"/>
      <c r="G5" s="3611"/>
      <c r="H5" s="3611"/>
      <c r="I5" s="3611"/>
      <c r="J5" s="3611"/>
      <c r="K5" s="3611"/>
      <c r="L5" s="3611"/>
      <c r="M5" s="3611"/>
      <c r="N5" s="3611"/>
      <c r="O5" s="3611"/>
      <c r="P5" s="3611"/>
      <c r="Q5" s="3611"/>
      <c r="R5" s="4054"/>
      <c r="S5" s="4054"/>
      <c r="T5" s="4054"/>
      <c r="U5" s="4054"/>
      <c r="V5" s="4054"/>
      <c r="W5" s="4054"/>
      <c r="X5" s="4054"/>
      <c r="Y5" s="4054"/>
      <c r="Z5" s="4054"/>
      <c r="AA5" s="4054"/>
      <c r="AB5" s="4054"/>
      <c r="AC5" s="4054"/>
      <c r="AD5" s="4054"/>
      <c r="AE5" s="4054"/>
      <c r="AF5" s="4054"/>
      <c r="AG5" s="4054"/>
      <c r="AH5" s="4054"/>
      <c r="AI5" s="4054"/>
      <c r="AJ5" s="4054"/>
      <c r="AK5" s="4054"/>
      <c r="AL5" s="4054"/>
      <c r="AM5" s="4054"/>
      <c r="AP5" s="4102"/>
    </row>
    <row r="6" spans="42:42">
      <c r="AP6" s="2435"/>
    </row>
    <row r="7" ht="15.75" customHeight="1" spans="2:42">
      <c r="B7" s="3606" t="s">
        <v>480</v>
      </c>
      <c r="R7" s="4055" t="s">
        <v>536</v>
      </c>
      <c r="S7" s="4055"/>
      <c r="T7" s="4055"/>
      <c r="U7" s="4055"/>
      <c r="V7" s="4056"/>
      <c r="W7" s="4057">
        <v>2022</v>
      </c>
      <c r="X7" s="4057"/>
      <c r="Y7" s="4057">
        <v>2021</v>
      </c>
      <c r="Z7" s="4057"/>
      <c r="AA7" s="4057"/>
      <c r="AB7" s="4057"/>
      <c r="AC7" s="4057"/>
      <c r="AD7" s="4057"/>
      <c r="AE7" s="4057"/>
      <c r="AG7" s="5022" t="s">
        <v>453</v>
      </c>
      <c r="AH7" s="4090"/>
      <c r="AI7" s="4090"/>
      <c r="AJ7" s="4090"/>
      <c r="AK7" s="4090"/>
      <c r="AL7" s="4090"/>
      <c r="AM7" s="4090"/>
      <c r="AN7" s="2429"/>
      <c r="AO7" s="2429"/>
      <c r="AP7" s="4103" t="s">
        <v>887</v>
      </c>
    </row>
    <row r="8" spans="18:42">
      <c r="R8" s="4058"/>
      <c r="S8" s="4058"/>
      <c r="T8" s="4058"/>
      <c r="U8" s="4058"/>
      <c r="V8" s="4059"/>
      <c r="W8" s="4059"/>
      <c r="X8" s="4060"/>
      <c r="Y8" s="4080"/>
      <c r="Z8" s="4080"/>
      <c r="AA8" s="4080"/>
      <c r="AB8" s="4080"/>
      <c r="AC8" s="4080"/>
      <c r="AD8" s="4080"/>
      <c r="AE8" s="4080"/>
      <c r="AF8" s="4081"/>
      <c r="AG8" s="4080"/>
      <c r="AH8" s="4080"/>
      <c r="AI8" s="4080"/>
      <c r="AJ8" s="4080"/>
      <c r="AK8" s="4080"/>
      <c r="AL8" s="4080"/>
      <c r="AM8" s="4080"/>
      <c r="AN8" s="4091"/>
      <c r="AO8" s="4091"/>
      <c r="AP8" s="4091"/>
    </row>
    <row r="9" ht="12" spans="2:42">
      <c r="B9" s="3607" t="s">
        <v>499</v>
      </c>
      <c r="R9" s="4061"/>
      <c r="S9" s="4061"/>
      <c r="T9" s="4061"/>
      <c r="U9" s="4061"/>
      <c r="V9" s="4059"/>
      <c r="W9" s="4061"/>
      <c r="X9" s="4060"/>
      <c r="Y9"/>
      <c r="Z9"/>
      <c r="AA9"/>
      <c r="AB9"/>
      <c r="AC9"/>
      <c r="AD9"/>
      <c r="AE9"/>
      <c r="AF9" s="4081"/>
      <c r="AG9" s="4081"/>
      <c r="AH9" s="4081"/>
      <c r="AI9" s="4081"/>
      <c r="AJ9" s="4081"/>
      <c r="AK9" s="4081"/>
      <c r="AL9" s="4081"/>
      <c r="AM9" s="4081"/>
      <c r="AN9" s="4081"/>
      <c r="AO9" s="4081"/>
      <c r="AP9" s="4091"/>
    </row>
    <row r="10" ht="12" spans="2:42">
      <c r="B10" s="3607" t="s">
        <v>540</v>
      </c>
      <c r="R10" s="4061"/>
      <c r="S10" s="4061"/>
      <c r="T10" s="4061"/>
      <c r="U10" s="4061"/>
      <c r="V10" s="4059"/>
      <c r="W10" s="4061"/>
      <c r="X10" s="4060"/>
      <c r="Y10"/>
      <c r="Z10"/>
      <c r="AA10"/>
      <c r="AB10"/>
      <c r="AC10"/>
      <c r="AD10"/>
      <c r="AE10"/>
      <c r="AF10" s="4081"/>
      <c r="AG10"/>
      <c r="AH10"/>
      <c r="AI10"/>
      <c r="AJ10"/>
      <c r="AK10"/>
      <c r="AL10"/>
      <c r="AM10"/>
      <c r="AN10"/>
      <c r="AO10"/>
      <c r="AP10" s="4091"/>
    </row>
    <row r="11" spans="2:42">
      <c r="B11" s="3606" t="s">
        <v>541</v>
      </c>
      <c r="R11" s="4062">
        <v>3</v>
      </c>
      <c r="S11" s="4062"/>
      <c r="T11" s="4062"/>
      <c r="U11" s="4062"/>
      <c r="V11" s="4061"/>
      <c r="W11" s="2635">
        <f>'F1'!J15</f>
        <v>203630473.005</v>
      </c>
      <c r="X11" s="4060"/>
      <c r="Y11" s="18">
        <f>'F1'!P15</f>
        <v>295686160.08</v>
      </c>
      <c r="Z11" s="18"/>
      <c r="AA11" s="18"/>
      <c r="AB11" s="18"/>
      <c r="AC11" s="18"/>
      <c r="AD11" s="18"/>
      <c r="AE11" s="18"/>
      <c r="AF11" s="4082"/>
      <c r="AG11" s="18">
        <f>+'F1'!Q15</f>
        <v>750100447</v>
      </c>
      <c r="AH11" s="18"/>
      <c r="AI11" s="18"/>
      <c r="AJ11" s="18"/>
      <c r="AK11" s="18"/>
      <c r="AL11" s="18"/>
      <c r="AM11" s="18"/>
      <c r="AN11" s="18"/>
      <c r="AO11" s="18"/>
      <c r="AP11" s="4093">
        <f>+W11-Y11</f>
        <v>-92055687.0749995</v>
      </c>
    </row>
    <row r="12" spans="2:42">
      <c r="B12" s="3606" t="s">
        <v>733</v>
      </c>
      <c r="R12" s="4063">
        <f>+R11+1</f>
        <v>4</v>
      </c>
      <c r="S12" s="4063"/>
      <c r="T12" s="4063"/>
      <c r="U12" s="4063"/>
      <c r="V12" s="4061"/>
      <c r="W12" s="2635">
        <f>+B!K41</f>
        <v>2119615270.2</v>
      </c>
      <c r="X12" s="4060"/>
      <c r="Y12">
        <f>'F1'!P17</f>
        <v>1205578095.27479</v>
      </c>
      <c r="Z12"/>
      <c r="AA12"/>
      <c r="AB12"/>
      <c r="AC12"/>
      <c r="AD12"/>
      <c r="AE12"/>
      <c r="AF12" s="4082"/>
      <c r="AG12" s="18">
        <f>+'F1'!Q17</f>
        <v>1233508998.39333</v>
      </c>
      <c r="AH12" s="18"/>
      <c r="AI12" s="18"/>
      <c r="AJ12" s="18"/>
      <c r="AK12" s="18"/>
      <c r="AL12" s="18"/>
      <c r="AM12" s="18"/>
      <c r="AN12" s="18"/>
      <c r="AO12" s="18"/>
      <c r="AP12" s="4093">
        <f t="shared" ref="AP12:AP17" si="0">+W12-Y12</f>
        <v>914037174.92521</v>
      </c>
    </row>
    <row r="13" ht="12" hidden="1" customHeight="1" spans="2:42">
      <c r="B13" s="3606" t="s">
        <v>840</v>
      </c>
      <c r="R13" s="4061" t="s">
        <v>841</v>
      </c>
      <c r="S13" s="4061"/>
      <c r="T13" s="4061"/>
      <c r="U13" s="4061"/>
      <c r="V13" s="4061"/>
      <c r="W13" s="2635">
        <f>'F1'!J19</f>
        <v>0</v>
      </c>
      <c r="X13" s="4060"/>
      <c r="Y13" s="18">
        <f>'F1'!P19</f>
        <v>0</v>
      </c>
      <c r="Z13" s="18"/>
      <c r="AA13" s="18"/>
      <c r="AB13" s="18"/>
      <c r="AC13" s="18"/>
      <c r="AD13" s="18"/>
      <c r="AE13" s="18"/>
      <c r="AF13" s="4082"/>
      <c r="AG13" s="18">
        <v>0</v>
      </c>
      <c r="AH13" s="18"/>
      <c r="AI13" s="18"/>
      <c r="AJ13" s="18"/>
      <c r="AK13" s="18"/>
      <c r="AL13" s="18"/>
      <c r="AM13" s="18"/>
      <c r="AN13" s="18"/>
      <c r="AO13" s="18"/>
      <c r="AP13" s="4093">
        <f t="shared" si="0"/>
        <v>0</v>
      </c>
    </row>
    <row r="14" spans="2:42">
      <c r="B14" s="3606" t="s">
        <v>738</v>
      </c>
      <c r="R14" s="4064">
        <f>+R12+1</f>
        <v>5</v>
      </c>
      <c r="S14" s="4064"/>
      <c r="T14" s="4064"/>
      <c r="U14" s="4064"/>
      <c r="V14" s="4061"/>
      <c r="W14" s="2635">
        <f>'F1'!J20</f>
        <v>2800000000</v>
      </c>
      <c r="X14" s="4060"/>
      <c r="Y14">
        <f>'F1'!P20</f>
        <v>4196640000</v>
      </c>
      <c r="Z14"/>
      <c r="AA14"/>
      <c r="AB14"/>
      <c r="AC14"/>
      <c r="AD14"/>
      <c r="AE14"/>
      <c r="AF14" s="4082"/>
      <c r="AG14" s="18">
        <f>+'F1'!Q20</f>
        <v>3508958185.33</v>
      </c>
      <c r="AH14" s="18"/>
      <c r="AI14" s="18"/>
      <c r="AJ14" s="18"/>
      <c r="AK14" s="18"/>
      <c r="AL14" s="18"/>
      <c r="AM14" s="18"/>
      <c r="AN14" s="18"/>
      <c r="AO14" s="18"/>
      <c r="AP14" s="4093">
        <f t="shared" si="0"/>
        <v>-1396640000</v>
      </c>
    </row>
    <row r="15" spans="2:42">
      <c r="B15" s="3606" t="s">
        <v>739</v>
      </c>
      <c r="R15" s="4065">
        <f>+R14+1</f>
        <v>6</v>
      </c>
      <c r="S15" s="4065"/>
      <c r="T15" s="4065"/>
      <c r="U15" s="4065"/>
      <c r="V15" s="4061"/>
      <c r="W15" s="2635">
        <f>'F1'!J21</f>
        <v>13500000</v>
      </c>
      <c r="X15" s="4060"/>
      <c r="Y15" s="18">
        <f>+'F1'!P21</f>
        <v>23000600</v>
      </c>
      <c r="Z15" s="18"/>
      <c r="AA15" s="18"/>
      <c r="AB15" s="18"/>
      <c r="AC15" s="18"/>
      <c r="AD15" s="18"/>
      <c r="AE15" s="18"/>
      <c r="AF15" s="4082"/>
      <c r="AG15" s="18">
        <f>'F1'!Q21</f>
        <v>27800000</v>
      </c>
      <c r="AH15" s="18"/>
      <c r="AI15" s="18"/>
      <c r="AJ15" s="18"/>
      <c r="AK15" s="18"/>
      <c r="AL15" s="18"/>
      <c r="AM15" s="18"/>
      <c r="AN15" s="18"/>
      <c r="AO15" s="18"/>
      <c r="AP15" s="4093">
        <f t="shared" si="0"/>
        <v>-9500599.99999999</v>
      </c>
    </row>
    <row r="16" ht="12" hidden="1" customHeight="1" spans="2:42">
      <c r="B16" s="3606" t="str">
        <f>'F1'!C22</f>
        <v>Pajak dibayar dimuka</v>
      </c>
      <c r="R16" s="4061"/>
      <c r="S16" s="4061"/>
      <c r="T16" s="4061"/>
      <c r="U16" s="4061"/>
      <c r="V16" s="4061"/>
      <c r="W16" s="2635">
        <f>'F1'!J22</f>
        <v>0</v>
      </c>
      <c r="X16" s="4060"/>
      <c r="Y16" s="18">
        <f>+'F1'!P22</f>
        <v>0</v>
      </c>
      <c r="Z16" s="18"/>
      <c r="AA16" s="18"/>
      <c r="AB16" s="18"/>
      <c r="AC16" s="18"/>
      <c r="AD16" s="18"/>
      <c r="AE16" s="18"/>
      <c r="AF16" s="4082"/>
      <c r="AG16" s="18">
        <f>+'F1'!Q22</f>
        <v>0</v>
      </c>
      <c r="AH16" s="18"/>
      <c r="AI16" s="18"/>
      <c r="AJ16" s="18"/>
      <c r="AK16" s="18"/>
      <c r="AL16" s="18"/>
      <c r="AM16" s="18"/>
      <c r="AN16" s="18"/>
      <c r="AO16" s="18"/>
      <c r="AP16" s="4093">
        <f t="shared" si="0"/>
        <v>0</v>
      </c>
    </row>
    <row r="17" spans="2:42">
      <c r="B17" s="3606" t="s">
        <v>888</v>
      </c>
      <c r="R17" s="4064">
        <f>+R15+1</f>
        <v>7</v>
      </c>
      <c r="S17" s="4064"/>
      <c r="T17" s="4064"/>
      <c r="U17" s="4064"/>
      <c r="V17" s="4061"/>
      <c r="W17" s="2635">
        <f>'F1'!J23</f>
        <v>19775231777.09</v>
      </c>
      <c r="X17" s="4060"/>
      <c r="Y17" s="18">
        <f>+'F1'!P23</f>
        <v>25610278304.9818</v>
      </c>
      <c r="Z17" s="18"/>
      <c r="AA17" s="18"/>
      <c r="AB17" s="18"/>
      <c r="AC17" s="18"/>
      <c r="AD17" s="18"/>
      <c r="AE17" s="18"/>
      <c r="AF17" s="4082"/>
      <c r="AG17" s="18">
        <f>+'F1'!Q23</f>
        <v>37294524612.7138</v>
      </c>
      <c r="AH17" s="18"/>
      <c r="AI17" s="18"/>
      <c r="AJ17" s="18"/>
      <c r="AK17" s="18"/>
      <c r="AL17" s="18"/>
      <c r="AM17" s="18"/>
      <c r="AN17" s="18"/>
      <c r="AO17" s="18"/>
      <c r="AP17" s="4093">
        <f t="shared" si="0"/>
        <v>-5835046527.8918</v>
      </c>
    </row>
    <row r="18" ht="6" customHeight="1" spans="18:42">
      <c r="R18" s="4061"/>
      <c r="S18" s="4061"/>
      <c r="T18" s="4061"/>
      <c r="U18" s="4061"/>
      <c r="V18" s="4061"/>
      <c r="W18" s="4066"/>
      <c r="X18" s="4060"/>
      <c r="Y18" s="2098"/>
      <c r="Z18" s="2098"/>
      <c r="AA18" s="2098"/>
      <c r="AB18" s="2098"/>
      <c r="AC18" s="2098"/>
      <c r="AD18" s="2098"/>
      <c r="AE18" s="2098"/>
      <c r="AF18" s="4082"/>
      <c r="AG18" s="2098"/>
      <c r="AH18" s="2098"/>
      <c r="AI18" s="2098"/>
      <c r="AJ18" s="2098"/>
      <c r="AK18" s="2098"/>
      <c r="AL18" s="2098"/>
      <c r="AM18" s="2098"/>
      <c r="AN18" s="2096"/>
      <c r="AO18" s="2096"/>
      <c r="AP18" s="4093"/>
    </row>
    <row r="19" ht="12" spans="2:42">
      <c r="B19" s="3607" t="s">
        <v>551</v>
      </c>
      <c r="R19" s="4067"/>
      <c r="S19" s="4067"/>
      <c r="T19" s="4067"/>
      <c r="U19" s="4067"/>
      <c r="V19" s="4067"/>
      <c r="W19" s="2671">
        <f>SUM(W11:W18)</f>
        <v>24911977520.295</v>
      </c>
      <c r="X19" s="4060"/>
      <c r="Y19" s="94">
        <f>SUM(Y11:AE17)</f>
        <v>31331183160.3366</v>
      </c>
      <c r="Z19" s="94"/>
      <c r="AA19" s="94"/>
      <c r="AB19" s="94"/>
      <c r="AC19" s="94"/>
      <c r="AD19" s="94"/>
      <c r="AE19" s="94"/>
      <c r="AF19" s="4083"/>
      <c r="AG19" s="94">
        <f>SUM(AG11:AM17)</f>
        <v>42814892243.4371</v>
      </c>
      <c r="AH19" s="94"/>
      <c r="AI19" s="94"/>
      <c r="AJ19" s="94"/>
      <c r="AK19" s="94"/>
      <c r="AL19" s="94"/>
      <c r="AM19" s="94"/>
      <c r="AN19"/>
      <c r="AO19"/>
      <c r="AP19" s="4095"/>
    </row>
    <row r="20" ht="12" customHeight="1" spans="18:42">
      <c r="R20" s="4067"/>
      <c r="S20" s="4067"/>
      <c r="T20" s="4067"/>
      <c r="U20" s="4067"/>
      <c r="V20" s="4067"/>
      <c r="X20" s="2671"/>
      <c r="Y20" s="2671"/>
      <c r="Z20" s="2671"/>
      <c r="AA20" s="2671"/>
      <c r="AB20" s="2671"/>
      <c r="AC20" s="4084"/>
      <c r="AD20" s="4084"/>
      <c r="AE20" s="4084"/>
      <c r="AF20" s="4082"/>
      <c r="AG20"/>
      <c r="AH20"/>
      <c r="AI20"/>
      <c r="AJ20"/>
      <c r="AK20"/>
      <c r="AL20"/>
      <c r="AM20"/>
      <c r="AN20"/>
      <c r="AO20"/>
      <c r="AP20"/>
    </row>
    <row r="21" ht="12" spans="2:42">
      <c r="B21" s="3607" t="s">
        <v>552</v>
      </c>
      <c r="X21" s="4060"/>
      <c r="Y21" s="4084"/>
      <c r="Z21" s="4084"/>
      <c r="AA21" s="4084"/>
      <c r="AB21" s="4084"/>
      <c r="AC21" s="4084"/>
      <c r="AD21" s="4084"/>
      <c r="AE21" s="4084"/>
      <c r="AF21" s="4082"/>
      <c r="AG21"/>
      <c r="AH21"/>
      <c r="AI21"/>
      <c r="AJ21"/>
      <c r="AK21"/>
      <c r="AL21"/>
      <c r="AM21"/>
      <c r="AN21"/>
      <c r="AO21"/>
      <c r="AP21"/>
    </row>
    <row r="22" spans="2:42">
      <c r="B22" t="s">
        <v>738</v>
      </c>
      <c r="R22" s="4061">
        <v>5</v>
      </c>
      <c r="S22" s="4061"/>
      <c r="T22" s="4061"/>
      <c r="U22" s="4061"/>
      <c r="W22" s="3606">
        <f>+'F1'!J29</f>
        <v>5200000000</v>
      </c>
      <c r="X22" s="4060"/>
      <c r="Y22">
        <f>+'F1'!P29</f>
        <v>7793760000</v>
      </c>
      <c r="Z22"/>
      <c r="AA22"/>
      <c r="AB22"/>
      <c r="AC22"/>
      <c r="AD22"/>
      <c r="AE22"/>
      <c r="AF22" s="4082"/>
      <c r="AG22" s="18">
        <f>+'F1'!Q29</f>
        <v>0</v>
      </c>
      <c r="AH22" s="18"/>
      <c r="AI22" s="18"/>
      <c r="AJ22" s="18"/>
      <c r="AK22" s="18"/>
      <c r="AL22" s="18"/>
      <c r="AM22" s="18"/>
      <c r="AN22"/>
      <c r="AO22"/>
      <c r="AP22" s="4093">
        <f t="shared" ref="AP22" si="1">+W22-Y22</f>
        <v>-2593760000</v>
      </c>
    </row>
    <row r="23" hidden="1" spans="2:42">
      <c r="B23" t="s">
        <v>361</v>
      </c>
      <c r="R23" s="4061" t="s">
        <v>844</v>
      </c>
      <c r="S23" s="4061"/>
      <c r="T23" s="4061"/>
      <c r="U23" s="4061"/>
      <c r="V23" s="4061"/>
      <c r="W23" s="2635"/>
      <c r="X23" s="4060"/>
      <c r="Y23"/>
      <c r="Z23"/>
      <c r="AA23"/>
      <c r="AB23"/>
      <c r="AC23"/>
      <c r="AD23"/>
      <c r="AE23"/>
      <c r="AF23" s="4082"/>
      <c r="AG23" s="18"/>
      <c r="AH23" s="18"/>
      <c r="AI23" s="18"/>
      <c r="AJ23" s="18"/>
      <c r="AK23" s="18"/>
      <c r="AL23" s="18"/>
      <c r="AM23" s="18"/>
      <c r="AN23" s="4092"/>
      <c r="AO23" s="4092"/>
      <c r="AP23" s="4093">
        <f t="shared" ref="AP23" si="2">Y23-AG23</f>
        <v>0</v>
      </c>
    </row>
    <row r="24" spans="2:42">
      <c r="B24" t="s">
        <v>553</v>
      </c>
      <c r="Y24" s="719"/>
      <c r="Z24" s="719"/>
      <c r="AA24" s="719"/>
      <c r="AB24" s="719"/>
      <c r="AC24" s="719"/>
      <c r="AD24" s="719"/>
      <c r="AE24" s="719"/>
      <c r="AG24" s="719"/>
      <c r="AH24" s="719"/>
      <c r="AI24" s="719"/>
      <c r="AJ24" s="719"/>
      <c r="AK24" s="719"/>
      <c r="AL24" s="719"/>
      <c r="AM24" s="719"/>
      <c r="AN24" s="4082"/>
      <c r="AO24" s="4082"/>
      <c r="AP24"/>
    </row>
    <row r="25" spans="2:42">
      <c r="B25" s="3339" t="s">
        <v>889</v>
      </c>
      <c r="C25" s="3339"/>
      <c r="D25" s="3339"/>
      <c r="E25" s="3339"/>
      <c r="F25" s="3339"/>
      <c r="G25" s="3339"/>
      <c r="H25" s="3339"/>
      <c r="I25" s="3339"/>
      <c r="J25" s="3339"/>
      <c r="K25" s="3339"/>
      <c r="L25" s="3339"/>
      <c r="M25" s="3339"/>
      <c r="N25" s="3339"/>
      <c r="O25" s="3339"/>
      <c r="P25" s="3339"/>
      <c r="R25" s="4061"/>
      <c r="S25" s="4061"/>
      <c r="T25" s="4061"/>
      <c r="U25" s="4061"/>
      <c r="V25" s="4061"/>
      <c r="W25" s="4061"/>
      <c r="X25" s="4060"/>
      <c r="Y25" s="18"/>
      <c r="Z25" s="18"/>
      <c r="AA25" s="18"/>
      <c r="AB25" s="18"/>
      <c r="AC25" s="18"/>
      <c r="AD25" s="18"/>
      <c r="AE25" s="18"/>
      <c r="AF25" s="4082"/>
      <c r="AG25" s="18"/>
      <c r="AH25" s="18"/>
      <c r="AI25" s="18"/>
      <c r="AJ25" s="18"/>
      <c r="AK25" s="18"/>
      <c r="AL25" s="18"/>
      <c r="AM25" s="18"/>
      <c r="AN25" s="4082"/>
      <c r="AO25" s="4082"/>
      <c r="AP25" s="4093"/>
    </row>
    <row r="26" spans="2:42">
      <c r="B26" s="3339"/>
      <c r="C26" s="3339"/>
      <c r="D26" s="3339"/>
      <c r="E26" s="3339"/>
      <c r="F26" s="3339"/>
      <c r="G26" s="3339"/>
      <c r="H26" s="3339"/>
      <c r="I26" s="3339"/>
      <c r="J26" s="3339"/>
      <c r="K26" s="3339"/>
      <c r="L26" s="3339"/>
      <c r="M26" s="3339"/>
      <c r="N26" s="3339"/>
      <c r="O26" s="3339"/>
      <c r="P26" s="3339"/>
      <c r="R26" s="4061"/>
      <c r="S26" s="4061"/>
      <c r="T26" s="4061"/>
      <c r="U26" s="4061"/>
      <c r="V26" s="4061"/>
      <c r="W26" s="4061"/>
      <c r="X26" s="4060"/>
      <c r="Y26" s="18"/>
      <c r="Z26" s="18"/>
      <c r="AA26" s="18"/>
      <c r="AB26" s="18"/>
      <c r="AC26" s="18"/>
      <c r="AD26" s="18"/>
      <c r="AE26" s="18"/>
      <c r="AF26" s="4082"/>
      <c r="AG26" s="18"/>
      <c r="AH26" s="18"/>
      <c r="AI26" s="18"/>
      <c r="AJ26" s="18"/>
      <c r="AK26" s="18"/>
      <c r="AL26" s="18"/>
      <c r="AM26" s="18"/>
      <c r="AN26" s="4082"/>
      <c r="AO26" s="4082"/>
      <c r="AP26" s="4093"/>
    </row>
    <row r="27" spans="2:42">
      <c r="B27" s="3339"/>
      <c r="C27" s="3339"/>
      <c r="D27" s="3339"/>
      <c r="E27" s="3339"/>
      <c r="F27" s="3339"/>
      <c r="G27" s="3339"/>
      <c r="H27" s="3339"/>
      <c r="I27" s="3339"/>
      <c r="J27" s="3339"/>
      <c r="K27" s="3339"/>
      <c r="L27" s="3339"/>
      <c r="M27" s="3339"/>
      <c r="N27" s="3339"/>
      <c r="O27" s="3339"/>
      <c r="P27" s="3339"/>
      <c r="R27" s="4068">
        <f>+R17+1</f>
        <v>8</v>
      </c>
      <c r="S27" s="4068"/>
      <c r="T27" s="4068"/>
      <c r="U27" s="4068"/>
      <c r="V27" s="4061"/>
      <c r="W27" s="4069">
        <f>'F1'!J32</f>
        <v>15154159117.9662</v>
      </c>
      <c r="X27" s="4060"/>
      <c r="Y27" s="18">
        <f>+'F1'!P32</f>
        <v>15974508959.8133</v>
      </c>
      <c r="Z27" s="18"/>
      <c r="AA27" s="18"/>
      <c r="AB27" s="18"/>
      <c r="AC27" s="18"/>
      <c r="AD27" s="18"/>
      <c r="AE27" s="18"/>
      <c r="AF27" s="4082"/>
      <c r="AG27" s="18">
        <f>+'F1'!Q32</f>
        <v>19010671503.8472</v>
      </c>
      <c r="AH27" s="18"/>
      <c r="AI27" s="18"/>
      <c r="AJ27" s="18"/>
      <c r="AK27" s="18"/>
      <c r="AL27" s="18"/>
      <c r="AM27" s="18"/>
      <c r="AP27" s="4093">
        <f t="shared" ref="AP27:AP28" si="3">+W27-Y27</f>
        <v>-820349841.847067</v>
      </c>
    </row>
    <row r="28" spans="2:42">
      <c r="B28" t="s">
        <v>558</v>
      </c>
      <c r="C28" s="3339"/>
      <c r="D28" s="3339"/>
      <c r="E28" s="3339"/>
      <c r="F28" s="3339"/>
      <c r="G28" s="3339"/>
      <c r="H28" s="3339"/>
      <c r="I28" s="3339"/>
      <c r="J28" s="3339"/>
      <c r="K28" s="3339"/>
      <c r="L28" s="3339"/>
      <c r="M28" s="3339"/>
      <c r="N28" s="3339"/>
      <c r="O28" s="3339"/>
      <c r="P28" s="3339"/>
      <c r="R28" s="4061">
        <f>+R27+1</f>
        <v>9</v>
      </c>
      <c r="S28" s="4061"/>
      <c r="T28" s="4061"/>
      <c r="U28" s="4061"/>
      <c r="V28" s="4061"/>
      <c r="W28" s="4069">
        <f>'F1'!J35+'F1'!J34</f>
        <v>6618114767.77</v>
      </c>
      <c r="X28" s="4060"/>
      <c r="Y28" s="18">
        <f>+'F1'!P35+'F1'!P34</f>
        <v>10981449215</v>
      </c>
      <c r="Z28" s="18"/>
      <c r="AA28" s="18"/>
      <c r="AB28" s="18"/>
      <c r="AC28" s="18"/>
      <c r="AD28" s="18"/>
      <c r="AE28" s="18"/>
      <c r="AF28" s="4082"/>
      <c r="AG28" s="18">
        <f>+'F1'!Q35+'F1'!Q34</f>
        <v>10981449215</v>
      </c>
      <c r="AH28" s="18"/>
      <c r="AI28" s="18"/>
      <c r="AJ28" s="18"/>
      <c r="AK28" s="18"/>
      <c r="AL28" s="18"/>
      <c r="AM28" s="18"/>
      <c r="AN28" s="4082"/>
      <c r="AP28" s="4093">
        <f t="shared" si="3"/>
        <v>-4363334447.23</v>
      </c>
    </row>
    <row r="29" ht="6.6" customHeight="1" spans="3:45">
      <c r="C29"/>
      <c r="R29" s="4068"/>
      <c r="S29" s="4068"/>
      <c r="T29" s="4068"/>
      <c r="U29" s="4068"/>
      <c r="V29" s="4061"/>
      <c r="W29" s="4070"/>
      <c r="X29" s="4060"/>
      <c r="Y29" s="2098"/>
      <c r="Z29" s="2098"/>
      <c r="AA29" s="2098"/>
      <c r="AB29" s="2098"/>
      <c r="AC29" s="2098"/>
      <c r="AD29" s="2098"/>
      <c r="AE29" s="2098"/>
      <c r="AF29" s="4082"/>
      <c r="AG29" s="2098"/>
      <c r="AH29" s="2098"/>
      <c r="AI29" s="2098"/>
      <c r="AJ29" s="2098"/>
      <c r="AK29" s="2098"/>
      <c r="AL29" s="2098"/>
      <c r="AM29" s="2098"/>
      <c r="AN29" s="4093"/>
      <c r="AO29" s="4093"/>
      <c r="AP29" s="4093"/>
      <c r="AQ29" s="4099"/>
      <c r="AR29" s="4099"/>
      <c r="AS29" s="4099"/>
    </row>
    <row r="30" ht="12" customHeight="1" spans="2:45">
      <c r="B30" s="3607" t="s">
        <v>559</v>
      </c>
      <c r="R30" s="4061"/>
      <c r="S30" s="4061"/>
      <c r="T30" s="4061"/>
      <c r="U30" s="4061"/>
      <c r="V30" s="4061"/>
      <c r="W30" s="4071">
        <f>SUM(W22:W29)</f>
        <v>26972273885.7362</v>
      </c>
      <c r="X30" s="4060"/>
      <c r="Y30" s="94">
        <f>SUM(Y22:AE28)</f>
        <v>34749718174.8133</v>
      </c>
      <c r="Z30" s="94"/>
      <c r="AA30" s="94"/>
      <c r="AB30" s="94"/>
      <c r="AC30" s="94"/>
      <c r="AD30" s="94"/>
      <c r="AE30" s="94"/>
      <c r="AF30" s="4082"/>
      <c r="AG30" s="94">
        <f>SUM(AG22:AM29)</f>
        <v>29992120718.8472</v>
      </c>
      <c r="AH30" s="94"/>
      <c r="AI30" s="94"/>
      <c r="AJ30" s="94"/>
      <c r="AK30" s="94"/>
      <c r="AL30" s="94"/>
      <c r="AM30" s="94"/>
      <c r="AN30" s="4094"/>
      <c r="AO30" s="4094"/>
      <c r="AP30"/>
      <c r="AQ30" s="2435"/>
      <c r="AR30" s="2435"/>
      <c r="AS30" s="2435"/>
    </row>
    <row r="31" ht="12" customHeight="1" spans="2:42">
      <c r="B31" s="3607"/>
      <c r="R31" s="4061"/>
      <c r="S31" s="4061"/>
      <c r="T31" s="4061"/>
      <c r="U31" s="4061"/>
      <c r="V31" s="4061"/>
      <c r="W31" s="4072"/>
      <c r="X31" s="4060"/>
      <c r="Y31" s="18"/>
      <c r="Z31" s="18"/>
      <c r="AA31" s="18"/>
      <c r="AB31" s="18"/>
      <c r="AC31" s="18"/>
      <c r="AD31" s="18"/>
      <c r="AE31" s="18"/>
      <c r="AF31" s="4082"/>
      <c r="AG31" s="18"/>
      <c r="AH31" s="18"/>
      <c r="AI31" s="18"/>
      <c r="AJ31" s="18"/>
      <c r="AK31" s="18"/>
      <c r="AL31" s="18"/>
      <c r="AM31" s="18"/>
      <c r="AN31" s="4082"/>
      <c r="AO31" s="4082"/>
      <c r="AP31"/>
    </row>
    <row r="32" ht="12.75" spans="2:42">
      <c r="B32" s="3607" t="s">
        <v>560</v>
      </c>
      <c r="R32" s="4061"/>
      <c r="S32" s="4061"/>
      <c r="T32" s="4061"/>
      <c r="U32" s="4061"/>
      <c r="V32" s="4061"/>
      <c r="W32" s="4073">
        <f>W30+W19</f>
        <v>51884251406.0312</v>
      </c>
      <c r="X32" s="4060"/>
      <c r="Y32" s="3324">
        <f>Y19+Y30</f>
        <v>66080901335.1499</v>
      </c>
      <c r="Z32" s="3324"/>
      <c r="AA32" s="3324"/>
      <c r="AB32" s="3324"/>
      <c r="AC32" s="3324"/>
      <c r="AD32" s="3324"/>
      <c r="AE32" s="3324"/>
      <c r="AF32" s="4082"/>
      <c r="AG32" s="3324">
        <f>AG19+AG30</f>
        <v>72807012962.2844</v>
      </c>
      <c r="AH32" s="3324"/>
      <c r="AI32" s="3324"/>
      <c r="AJ32" s="3324"/>
      <c r="AK32" s="3324"/>
      <c r="AL32" s="3324"/>
      <c r="AM32" s="3324"/>
      <c r="AN32" s="4095"/>
      <c r="AO32" s="4095"/>
      <c r="AP32"/>
    </row>
    <row r="33" ht="12.15" spans="18:42">
      <c r="R33" s="4067"/>
      <c r="S33" s="4067"/>
      <c r="T33" s="4067"/>
      <c r="U33" s="4067"/>
      <c r="V33" s="4067"/>
      <c r="W33" s="3805">
        <f>+W32-W64</f>
        <v>-0.0782699584960937</v>
      </c>
      <c r="X33" s="4060"/>
      <c r="Y33" s="2700">
        <f>+'F1'!P40-Y32</f>
        <v>0</v>
      </c>
      <c r="Z33" s="2700"/>
      <c r="AA33" s="2700"/>
      <c r="AB33" s="2700"/>
      <c r="AC33" s="2700"/>
      <c r="AD33" s="2700"/>
      <c r="AE33" s="2700"/>
      <c r="AF33" s="4085"/>
      <c r="AG33" s="2700">
        <f>+'F1'!Q40-AG32</f>
        <v>0</v>
      </c>
      <c r="AH33" s="2700"/>
      <c r="AI33" s="2700"/>
      <c r="AJ33" s="2700"/>
      <c r="AK33" s="2700"/>
      <c r="AL33" s="2700"/>
      <c r="AM33" s="2700"/>
      <c r="AN33" s="4096"/>
      <c r="AO33" s="4096"/>
      <c r="AP33" s="4104"/>
    </row>
    <row r="34" spans="18:42">
      <c r="R34" s="4067"/>
      <c r="S34" s="4067"/>
      <c r="T34" s="4067"/>
      <c r="U34" s="4067"/>
      <c r="V34" s="4067"/>
      <c r="W34" s="4067"/>
      <c r="X34" s="4060"/>
      <c r="Y34"/>
      <c r="Z34"/>
      <c r="AA34"/>
      <c r="AB34"/>
      <c r="AC34"/>
      <c r="AD34"/>
      <c r="AE34"/>
      <c r="AF34" s="4086"/>
      <c r="AG34"/>
      <c r="AH34"/>
      <c r="AI34"/>
      <c r="AJ34"/>
      <c r="AK34"/>
      <c r="AL34"/>
      <c r="AM34"/>
      <c r="AN34" s="4081"/>
      <c r="AO34" s="4081"/>
      <c r="AP34" s="4091"/>
    </row>
    <row r="35" ht="12" spans="2:42">
      <c r="B35" s="5010" t="s">
        <v>561</v>
      </c>
      <c r="R35" s="4067"/>
      <c r="S35" s="4067"/>
      <c r="T35" s="4067"/>
      <c r="U35" s="4067"/>
      <c r="V35" s="4067"/>
      <c r="W35" s="4067"/>
      <c r="X35" s="4060"/>
      <c r="Y35"/>
      <c r="Z35"/>
      <c r="AA35"/>
      <c r="AB35"/>
      <c r="AC35"/>
      <c r="AD35"/>
      <c r="AE35"/>
      <c r="AF35" s="4081"/>
      <c r="AG35" s="4081"/>
      <c r="AH35" s="4081"/>
      <c r="AI35" s="4081"/>
      <c r="AJ35" s="4081"/>
      <c r="AK35" s="4081"/>
      <c r="AL35" s="4081"/>
      <c r="AM35" s="4081"/>
      <c r="AN35" s="4081"/>
      <c r="AO35" s="4081"/>
      <c r="AP35" s="4091"/>
    </row>
    <row r="36" ht="12" spans="2:42">
      <c r="B36" s="5010" t="s">
        <v>562</v>
      </c>
      <c r="Y36" s="719"/>
      <c r="Z36" s="719"/>
      <c r="AA36" s="719"/>
      <c r="AB36" s="719"/>
      <c r="AC36" s="719"/>
      <c r="AD36" s="719"/>
      <c r="AE36" s="719"/>
      <c r="AP36" s="4091"/>
    </row>
    <row r="37" ht="11.45" customHeight="1" spans="2:42">
      <c r="B37" t="s">
        <v>769</v>
      </c>
      <c r="M37"/>
      <c r="N37"/>
      <c r="O37"/>
      <c r="P37"/>
      <c r="R37" s="4061">
        <f>+R28+1</f>
        <v>10</v>
      </c>
      <c r="S37" s="4061"/>
      <c r="T37" s="4061"/>
      <c r="U37" s="4061"/>
      <c r="V37" s="4061"/>
      <c r="W37" s="4074">
        <f>'F2'!K16</f>
        <v>111500000</v>
      </c>
      <c r="X37" s="4060"/>
      <c r="Y37" s="18">
        <f>'F2'!Q16</f>
        <v>869165810</v>
      </c>
      <c r="Z37" s="18"/>
      <c r="AA37" s="18"/>
      <c r="AB37" s="18"/>
      <c r="AC37" s="18"/>
      <c r="AD37" s="18"/>
      <c r="AE37" s="18"/>
      <c r="AF37"/>
      <c r="AG37" s="4081">
        <f>+'F2'!R16</f>
        <v>1840865220</v>
      </c>
      <c r="AH37" s="4081"/>
      <c r="AI37" s="4081"/>
      <c r="AJ37" s="4081"/>
      <c r="AK37" s="4081"/>
      <c r="AL37" s="4081"/>
      <c r="AM37" s="4081"/>
      <c r="AN37" s="4081"/>
      <c r="AO37" s="4081"/>
      <c r="AP37" s="4093">
        <f>+W37-Y37</f>
        <v>-757665810</v>
      </c>
    </row>
    <row r="38" spans="2:42">
      <c r="B38" t="s">
        <v>773</v>
      </c>
      <c r="M38"/>
      <c r="N38"/>
      <c r="O38"/>
      <c r="P38"/>
      <c r="R38" s="4075">
        <f>+R37+1</f>
        <v>11</v>
      </c>
      <c r="S38" s="4075"/>
      <c r="T38" s="4075"/>
      <c r="U38" s="4075"/>
      <c r="V38" s="4061"/>
      <c r="W38" s="4069">
        <f>'F2'!K18</f>
        <v>82137040.2464018</v>
      </c>
      <c r="X38" s="4060"/>
      <c r="Y38">
        <f>'F2'!Q18</f>
        <v>129053445.732503</v>
      </c>
      <c r="Z38"/>
      <c r="AA38"/>
      <c r="AB38"/>
      <c r="AC38"/>
      <c r="AD38"/>
      <c r="AE38"/>
      <c r="AF38"/>
      <c r="AG38" s="4082">
        <f>+'F2'!R18</f>
        <v>143432000.25221</v>
      </c>
      <c r="AH38" s="4082"/>
      <c r="AI38" s="4082"/>
      <c r="AJ38" s="4082"/>
      <c r="AK38" s="4082"/>
      <c r="AL38" s="4082"/>
      <c r="AM38" s="4082"/>
      <c r="AN38" s="4082"/>
      <c r="AO38" s="4082"/>
      <c r="AP38" s="4093">
        <f>+W38-Y38</f>
        <v>-46916405.4861017</v>
      </c>
    </row>
    <row r="39" ht="12" hidden="1" customHeight="1" spans="2:42">
      <c r="B39" t="s">
        <v>890</v>
      </c>
      <c r="M39"/>
      <c r="N39"/>
      <c r="O39"/>
      <c r="P39"/>
      <c r="R39" s="5039" t="s">
        <v>891</v>
      </c>
      <c r="S39" s="4061"/>
      <c r="T39" s="4061"/>
      <c r="U39" s="4061"/>
      <c r="V39" s="4061"/>
      <c r="W39" s="4069">
        <f>'F2'!K19</f>
        <v>0</v>
      </c>
      <c r="X39" s="4060"/>
      <c r="Y39">
        <f>'F2'!Q19</f>
        <v>0</v>
      </c>
      <c r="Z39"/>
      <c r="AA39"/>
      <c r="AB39"/>
      <c r="AC39"/>
      <c r="AD39"/>
      <c r="AE39"/>
      <c r="AF39"/>
      <c r="AG39" s="4082">
        <v>0</v>
      </c>
      <c r="AH39" s="4082"/>
      <c r="AI39" s="4082"/>
      <c r="AJ39" s="4082"/>
      <c r="AK39" s="4082"/>
      <c r="AL39" s="4082"/>
      <c r="AM39" s="4082"/>
      <c r="AN39" s="4082"/>
      <c r="AO39" s="4082">
        <f>W39-Y39</f>
        <v>0</v>
      </c>
      <c r="AP39" s="4093">
        <f t="shared" ref="AP39:AP42" si="4">+W39-Y39</f>
        <v>0</v>
      </c>
    </row>
    <row r="40" spans="2:42">
      <c r="B40" t="s">
        <v>563</v>
      </c>
      <c r="M40"/>
      <c r="N40"/>
      <c r="O40"/>
      <c r="P40"/>
      <c r="R40" s="4061">
        <f>+R38+1</f>
        <v>12</v>
      </c>
      <c r="S40" s="4061"/>
      <c r="T40" s="4061"/>
      <c r="U40" s="4061"/>
      <c r="V40" s="4061"/>
      <c r="W40" s="4069">
        <f>'F2'!K15</f>
        <v>7433574955</v>
      </c>
      <c r="X40" s="4060"/>
      <c r="Y40" s="18">
        <f>'F2'!Q15</f>
        <v>11058670775</v>
      </c>
      <c r="Z40" s="18"/>
      <c r="AA40" s="18"/>
      <c r="AB40" s="18"/>
      <c r="AC40" s="18"/>
      <c r="AD40" s="18"/>
      <c r="AE40" s="18"/>
      <c r="AF40"/>
      <c r="AG40" s="4082">
        <f>+'F2'!R15</f>
        <v>12071190032.16</v>
      </c>
      <c r="AH40" s="4082"/>
      <c r="AI40" s="4082"/>
      <c r="AJ40" s="4082"/>
      <c r="AK40" s="4082"/>
      <c r="AL40" s="4082"/>
      <c r="AM40" s="4082"/>
      <c r="AN40" s="4082"/>
      <c r="AO40" s="4082"/>
      <c r="AP40" s="4093">
        <f t="shared" si="4"/>
        <v>-3625095820</v>
      </c>
    </row>
    <row r="41" spans="2:42">
      <c r="B41" t="s">
        <v>778</v>
      </c>
      <c r="M41" s="2623"/>
      <c r="N41" s="2623"/>
      <c r="O41" s="2623"/>
      <c r="P41" s="2623"/>
      <c r="R41" s="4076">
        <f>+R40+1</f>
        <v>13</v>
      </c>
      <c r="S41" s="4076"/>
      <c r="T41" s="4076"/>
      <c r="U41" s="4076"/>
      <c r="V41" s="4061"/>
      <c r="W41" s="4069">
        <f>'F2'!K21</f>
        <v>1156341700</v>
      </c>
      <c r="X41" s="4060"/>
      <c r="Y41">
        <f>'F2'!Q21</f>
        <v>778392444</v>
      </c>
      <c r="Z41"/>
      <c r="AA41"/>
      <c r="AB41"/>
      <c r="AC41"/>
      <c r="AD41"/>
      <c r="AE41"/>
      <c r="AF41"/>
      <c r="AG41" s="4082">
        <f>+'F2'!R21</f>
        <v>1186161720.57996</v>
      </c>
      <c r="AH41" s="4082"/>
      <c r="AI41" s="4082"/>
      <c r="AJ41" s="4082"/>
      <c r="AK41" s="4082"/>
      <c r="AL41" s="4082"/>
      <c r="AM41" s="4082"/>
      <c r="AN41" s="4082"/>
      <c r="AO41" s="4082"/>
      <c r="AP41" s="4093">
        <f t="shared" si="4"/>
        <v>377949256</v>
      </c>
    </row>
    <row r="42" spans="2:42">
      <c r="B42" t="s">
        <v>771</v>
      </c>
      <c r="M42"/>
      <c r="N42"/>
      <c r="O42"/>
      <c r="P42"/>
      <c r="R42" s="4061">
        <f>R41+1</f>
        <v>14</v>
      </c>
      <c r="S42" s="4061"/>
      <c r="T42" s="4061"/>
      <c r="U42" s="4061"/>
      <c r="V42" s="4061"/>
      <c r="W42" s="4069">
        <f>'F2'!K17</f>
        <v>0</v>
      </c>
      <c r="X42" s="4060"/>
      <c r="Y42" s="18">
        <f>'F2'!Q17</f>
        <v>2145000000</v>
      </c>
      <c r="Z42" s="18"/>
      <c r="AA42" s="18"/>
      <c r="AB42" s="18"/>
      <c r="AC42" s="18"/>
      <c r="AD42" s="18"/>
      <c r="AE42" s="18"/>
      <c r="AF42"/>
      <c r="AG42" s="4082">
        <f>+'F2'!R17</f>
        <v>2989000000</v>
      </c>
      <c r="AH42" s="4082"/>
      <c r="AI42" s="4082"/>
      <c r="AJ42" s="4082"/>
      <c r="AK42" s="4082"/>
      <c r="AL42" s="4082"/>
      <c r="AM42" s="4082"/>
      <c r="AN42" s="4082"/>
      <c r="AO42" s="4082"/>
      <c r="AP42" s="4093">
        <f t="shared" si="4"/>
        <v>-2145000000</v>
      </c>
    </row>
    <row r="43" ht="8.45" customHeight="1" spans="18:42">
      <c r="R43" s="4067"/>
      <c r="S43" s="4067"/>
      <c r="T43" s="4067"/>
      <c r="U43" s="4067"/>
      <c r="V43" s="4067"/>
      <c r="W43" s="4070"/>
      <c r="X43" s="4060"/>
      <c r="Y43" s="2098"/>
      <c r="Z43" s="2098"/>
      <c r="AA43" s="2098"/>
      <c r="AB43" s="2098"/>
      <c r="AC43" s="2098"/>
      <c r="AD43" s="2098"/>
      <c r="AE43" s="2098"/>
      <c r="AF43"/>
      <c r="AG43" s="4097"/>
      <c r="AH43" s="4097"/>
      <c r="AI43" s="4097"/>
      <c r="AJ43" s="4097"/>
      <c r="AK43" s="4097"/>
      <c r="AL43" s="4097"/>
      <c r="AM43" s="4097"/>
      <c r="AN43" s="4093"/>
      <c r="AO43" s="4093"/>
      <c r="AP43" s="4099"/>
    </row>
    <row r="44" ht="12" spans="2:42">
      <c r="B44" s="5010" t="s">
        <v>565</v>
      </c>
      <c r="M44" s="2623"/>
      <c r="N44" s="2623"/>
      <c r="O44" s="2623"/>
      <c r="P44" s="2623"/>
      <c r="R44" s="4067"/>
      <c r="S44" s="4067"/>
      <c r="T44" s="4067"/>
      <c r="U44" s="4067"/>
      <c r="V44" s="4067"/>
      <c r="W44" s="4071">
        <f>SUM(W37:W43)</f>
        <v>8783553695.2464</v>
      </c>
      <c r="X44" s="4060"/>
      <c r="Y44" s="94">
        <f>SUM(Y37:AE43)</f>
        <v>14980282474.7325</v>
      </c>
      <c r="Z44" s="94"/>
      <c r="AA44" s="94"/>
      <c r="AB44" s="94"/>
      <c r="AC44" s="94"/>
      <c r="AD44" s="94"/>
      <c r="AE44" s="94"/>
      <c r="AF44"/>
      <c r="AG44" s="4083">
        <f>SUM(AG37:AM43)</f>
        <v>18230648972.9922</v>
      </c>
      <c r="AH44" s="4083"/>
      <c r="AI44" s="4083"/>
      <c r="AJ44" s="4083"/>
      <c r="AK44" s="4083"/>
      <c r="AL44" s="4083"/>
      <c r="AM44" s="4083"/>
      <c r="AN44" s="4083"/>
      <c r="AO44" s="4083"/>
      <c r="AP44"/>
    </row>
    <row r="45" ht="12" spans="2:42">
      <c r="B45" s="3608"/>
      <c r="R45" s="4061"/>
      <c r="S45" s="4061"/>
      <c r="T45" s="4061"/>
      <c r="U45" s="4061"/>
      <c r="V45" s="4061"/>
      <c r="W45" s="4072"/>
      <c r="X45" s="4060"/>
      <c r="Y45" s="719"/>
      <c r="Z45" s="719"/>
      <c r="AA45" s="719"/>
      <c r="AB45" s="719"/>
      <c r="AC45" s="719"/>
      <c r="AD45" s="719"/>
      <c r="AE45" s="719"/>
      <c r="AF45"/>
      <c r="AG45" s="4082">
        <f>+AG44-'F2'!R23</f>
        <v>0</v>
      </c>
      <c r="AH45" s="4082"/>
      <c r="AI45" s="4082"/>
      <c r="AJ45" s="4082"/>
      <c r="AK45" s="4082"/>
      <c r="AL45" s="4082"/>
      <c r="AM45" s="4082"/>
      <c r="AN45" s="4083"/>
      <c r="AO45" s="4083"/>
      <c r="AP45"/>
    </row>
    <row r="46" ht="12" spans="2:42">
      <c r="B46" s="5010" t="s">
        <v>566</v>
      </c>
      <c r="R46" s="4061"/>
      <c r="S46" s="4061"/>
      <c r="T46" s="4061"/>
      <c r="U46" s="4061"/>
      <c r="V46" s="4061"/>
      <c r="W46" s="4072"/>
      <c r="X46" s="4060"/>
      <c r="Y46" s="719"/>
      <c r="Z46" s="719"/>
      <c r="AA46" s="719"/>
      <c r="AB46" s="719"/>
      <c r="AC46" s="719"/>
      <c r="AD46" s="719"/>
      <c r="AE46" s="719"/>
      <c r="AF46"/>
      <c r="AG46" s="4083"/>
      <c r="AH46" s="4083"/>
      <c r="AI46" s="4083"/>
      <c r="AJ46" s="4083"/>
      <c r="AK46" s="4083"/>
      <c r="AL46" s="4083"/>
      <c r="AM46" s="4083"/>
      <c r="AN46" s="4083"/>
      <c r="AO46" s="4083"/>
      <c r="AP46" s="4095"/>
    </row>
    <row r="47" ht="12" spans="2:42">
      <c r="B47" t="s">
        <v>567</v>
      </c>
      <c r="M47" s="2623"/>
      <c r="N47" s="2623"/>
      <c r="O47" s="2623"/>
      <c r="P47" s="2623"/>
      <c r="R47" s="4061">
        <f>R40</f>
        <v>12</v>
      </c>
      <c r="S47" s="4061"/>
      <c r="T47" s="4061"/>
      <c r="U47" s="4061"/>
      <c r="V47" s="4061"/>
      <c r="W47" s="4069">
        <f>'F2'!K27</f>
        <v>10563354386</v>
      </c>
      <c r="X47" s="4060"/>
      <c r="Y47" s="18">
        <f>'F2'!Q27</f>
        <v>8697841150</v>
      </c>
      <c r="Z47" s="18"/>
      <c r="AA47" s="18"/>
      <c r="AB47" s="18"/>
      <c r="AC47" s="18"/>
      <c r="AD47" s="18"/>
      <c r="AE47" s="18"/>
      <c r="AF47"/>
      <c r="AG47" s="4082">
        <f>+'F2'!R27</f>
        <v>10160488508.84</v>
      </c>
      <c r="AH47" s="4082"/>
      <c r="AI47" s="4082"/>
      <c r="AJ47" s="4082"/>
      <c r="AK47" s="4082"/>
      <c r="AL47" s="4082"/>
      <c r="AM47" s="4082"/>
      <c r="AN47" s="4083"/>
      <c r="AO47" s="4083"/>
      <c r="AP47" s="4093">
        <f>+W47-Y47</f>
        <v>1865513236</v>
      </c>
    </row>
    <row r="48" ht="12" spans="2:42">
      <c r="B48" t="s">
        <v>782</v>
      </c>
      <c r="M48" s="2623"/>
      <c r="N48" s="2623"/>
      <c r="O48" s="2623"/>
      <c r="P48" s="2623"/>
      <c r="R48" s="4076">
        <f>+R47+1</f>
        <v>13</v>
      </c>
      <c r="S48" s="4076"/>
      <c r="T48" s="4076"/>
      <c r="U48" s="4076"/>
      <c r="V48" s="4061"/>
      <c r="W48" s="4069">
        <f>'F2'!K28</f>
        <v>1415336759</v>
      </c>
      <c r="X48" s="4060"/>
      <c r="Y48">
        <f>'F2'!Q28</f>
        <v>423925049</v>
      </c>
      <c r="Z48"/>
      <c r="AA48"/>
      <c r="AB48"/>
      <c r="AC48"/>
      <c r="AD48"/>
      <c r="AE48"/>
      <c r="AF48"/>
      <c r="AG48" s="4082">
        <f>+'F2'!R28</f>
        <v>1202317492.9388</v>
      </c>
      <c r="AH48" s="4082"/>
      <c r="AI48" s="4082"/>
      <c r="AJ48" s="4082"/>
      <c r="AK48" s="4082"/>
      <c r="AL48" s="4082"/>
      <c r="AM48" s="4082"/>
      <c r="AN48" s="4083"/>
      <c r="AO48" s="4083"/>
      <c r="AP48" s="4093">
        <f>+W48-Y48</f>
        <v>991411710</v>
      </c>
    </row>
    <row r="49" ht="12" spans="2:42">
      <c r="B49" s="5023" t="s">
        <v>771</v>
      </c>
      <c r="M49" s="2623"/>
      <c r="N49" s="2623"/>
      <c r="O49" s="2623"/>
      <c r="P49" s="2623"/>
      <c r="R49" s="4061">
        <f>R42</f>
        <v>14</v>
      </c>
      <c r="S49" s="4061"/>
      <c r="T49" s="4061"/>
      <c r="U49" s="4061"/>
      <c r="V49" s="4061"/>
      <c r="W49" s="4069">
        <f>'F2'!K30</f>
        <v>9313848179</v>
      </c>
      <c r="X49" s="4060"/>
      <c r="Y49" s="18">
        <f>'F2'!Q30</f>
        <v>20768109400.0357</v>
      </c>
      <c r="Z49" s="18"/>
      <c r="AA49" s="18"/>
      <c r="AB49" s="18"/>
      <c r="AC49" s="18"/>
      <c r="AD49" s="18"/>
      <c r="AE49" s="18"/>
      <c r="AF49"/>
      <c r="AG49" s="4082">
        <f>+'F2'!R30</f>
        <v>22238067642.9259</v>
      </c>
      <c r="AH49" s="4082"/>
      <c r="AI49" s="4082"/>
      <c r="AJ49" s="4082"/>
      <c r="AK49" s="4082"/>
      <c r="AL49" s="4082"/>
      <c r="AM49" s="4082"/>
      <c r="AN49" s="4082"/>
      <c r="AO49" s="4083"/>
      <c r="AP49" s="4093">
        <f t="shared" ref="AP47:AP50" si="5">+W49-Y49</f>
        <v>-11454261221.0357</v>
      </c>
    </row>
    <row r="50" spans="2:42">
      <c r="B50" t="s">
        <v>785</v>
      </c>
      <c r="M50" s="2623"/>
      <c r="N50" s="2623"/>
      <c r="O50" s="2623"/>
      <c r="P50" s="2623"/>
      <c r="R50" s="4077">
        <f>+R49+1</f>
        <v>15</v>
      </c>
      <c r="S50" s="4077"/>
      <c r="T50" s="4077"/>
      <c r="U50" s="4077"/>
      <c r="V50" s="4061"/>
      <c r="W50" s="4069">
        <f>'F2'!K31</f>
        <v>110000000</v>
      </c>
      <c r="X50" s="4060"/>
      <c r="Y50">
        <f>'F2'!Q31</f>
        <v>110000000</v>
      </c>
      <c r="Z50"/>
      <c r="AA50"/>
      <c r="AB50"/>
      <c r="AC50"/>
      <c r="AD50"/>
      <c r="AE50"/>
      <c r="AF50"/>
      <c r="AG50" s="4082">
        <f>+'F2'!R31</f>
        <v>110000000</v>
      </c>
      <c r="AH50" s="4082"/>
      <c r="AI50" s="4082"/>
      <c r="AJ50" s="4082"/>
      <c r="AK50" s="4082"/>
      <c r="AL50" s="4082"/>
      <c r="AM50" s="4082"/>
      <c r="AN50" s="4082"/>
      <c r="AO50" s="4082"/>
      <c r="AP50" s="4093">
        <f t="shared" si="5"/>
        <v>0</v>
      </c>
    </row>
    <row r="51" hidden="1" spans="2:42">
      <c r="B51" s="5023" t="s">
        <v>783</v>
      </c>
      <c r="M51" s="2623"/>
      <c r="N51" s="2623"/>
      <c r="O51" s="2623"/>
      <c r="P51" s="2623"/>
      <c r="R51" s="4061"/>
      <c r="S51" s="4061"/>
      <c r="T51" s="4061"/>
      <c r="U51" s="4061"/>
      <c r="V51" s="4061"/>
      <c r="W51" s="4069">
        <f>'F2'!K29</f>
        <v>0</v>
      </c>
      <c r="X51" s="4060"/>
      <c r="Y51" s="18">
        <f>'F2'!Q29</f>
        <v>0</v>
      </c>
      <c r="Z51" s="18"/>
      <c r="AA51" s="18"/>
      <c r="AB51" s="18"/>
      <c r="AC51" s="18"/>
      <c r="AD51" s="18"/>
      <c r="AE51" s="18"/>
      <c r="AF51"/>
      <c r="AG51" s="4082">
        <f>+'F2'!R29</f>
        <v>0</v>
      </c>
      <c r="AH51" s="4082"/>
      <c r="AI51" s="4082"/>
      <c r="AJ51" s="4082"/>
      <c r="AK51" s="4082"/>
      <c r="AL51" s="4082"/>
      <c r="AM51" s="4082"/>
      <c r="AN51" s="4082"/>
      <c r="AO51" s="4082">
        <f>W51-Y51</f>
        <v>0</v>
      </c>
      <c r="AP51" s="4093">
        <f t="shared" ref="AP51:AP52" si="6">Y51-AG51</f>
        <v>0</v>
      </c>
    </row>
    <row r="52" ht="12" hidden="1" spans="2:42">
      <c r="B52" t="s">
        <v>892</v>
      </c>
      <c r="M52"/>
      <c r="N52"/>
      <c r="O52"/>
      <c r="P52"/>
      <c r="R52" s="4061"/>
      <c r="S52" s="4061"/>
      <c r="T52" s="4061"/>
      <c r="U52" s="4061"/>
      <c r="V52" s="4061"/>
      <c r="W52" s="4069">
        <f>'F2'!K20</f>
        <v>0</v>
      </c>
      <c r="X52" s="4060"/>
      <c r="Y52">
        <v>0</v>
      </c>
      <c r="Z52"/>
      <c r="AA52"/>
      <c r="AB52"/>
      <c r="AC52"/>
      <c r="AD52"/>
      <c r="AE52"/>
      <c r="AF52"/>
      <c r="AG52" s="4082">
        <v>0</v>
      </c>
      <c r="AH52" s="4082"/>
      <c r="AI52" s="4082"/>
      <c r="AJ52" s="4082"/>
      <c r="AK52" s="4082"/>
      <c r="AL52" s="4082"/>
      <c r="AM52" s="4082"/>
      <c r="AN52" s="4083"/>
      <c r="AO52" s="4083"/>
      <c r="AP52" s="4093">
        <f t="shared" si="6"/>
        <v>0</v>
      </c>
    </row>
    <row r="53" ht="10.35" customHeight="1" spans="2:42">
      <c r="B53"/>
      <c r="R53" s="4061"/>
      <c r="S53" s="4061"/>
      <c r="T53" s="4061"/>
      <c r="U53" s="4061"/>
      <c r="V53" s="4061"/>
      <c r="W53" s="4070"/>
      <c r="X53" s="4060"/>
      <c r="Y53" s="2098"/>
      <c r="Z53" s="2098"/>
      <c r="AA53" s="2098"/>
      <c r="AB53" s="2098"/>
      <c r="AC53" s="2098"/>
      <c r="AD53" s="2098"/>
      <c r="AE53" s="2098"/>
      <c r="AF53"/>
      <c r="AG53" s="4098"/>
      <c r="AH53" s="4098"/>
      <c r="AI53" s="4098"/>
      <c r="AJ53" s="4098"/>
      <c r="AK53" s="4098"/>
      <c r="AL53" s="4098"/>
      <c r="AM53" s="4098"/>
      <c r="AN53" s="4099"/>
      <c r="AO53" s="4099"/>
      <c r="AP53" s="4099"/>
    </row>
    <row r="54" ht="12" spans="2:42">
      <c r="B54" s="5010" t="s">
        <v>570</v>
      </c>
      <c r="M54" s="2623"/>
      <c r="N54" s="2623"/>
      <c r="O54" s="2623"/>
      <c r="P54" s="2623"/>
      <c r="R54" s="4061"/>
      <c r="S54" s="4061"/>
      <c r="T54" s="4061"/>
      <c r="U54" s="4061"/>
      <c r="V54" s="4061"/>
      <c r="W54" s="4071">
        <f>SUM(W47:W53)</f>
        <v>21402539324</v>
      </c>
      <c r="X54" s="4060"/>
      <c r="Y54" s="94">
        <f>SUM(Y47:AE53)</f>
        <v>29999875599.0357</v>
      </c>
      <c r="Z54" s="94"/>
      <c r="AA54" s="94"/>
      <c r="AB54" s="94"/>
      <c r="AC54" s="94"/>
      <c r="AD54" s="94"/>
      <c r="AE54" s="94"/>
      <c r="AF54"/>
      <c r="AG54" s="4083">
        <f>SUM(AG47:AM53)</f>
        <v>33710873644.7047</v>
      </c>
      <c r="AH54" s="4083"/>
      <c r="AI54" s="4083"/>
      <c r="AJ54" s="4083"/>
      <c r="AK54" s="4083"/>
      <c r="AL54" s="4083"/>
      <c r="AM54" s="4083"/>
      <c r="AN54" s="4083"/>
      <c r="AO54" s="4083"/>
      <c r="AP54" s="4105"/>
    </row>
    <row r="55" spans="13:42">
      <c r="M55" s="2623"/>
      <c r="N55" s="2623"/>
      <c r="O55" s="2623"/>
      <c r="P55" s="2623"/>
      <c r="R55" s="4067"/>
      <c r="S55" s="4067"/>
      <c r="T55" s="4067"/>
      <c r="U55" s="4067"/>
      <c r="V55" s="4067"/>
      <c r="W55" s="4078"/>
      <c r="X55" s="4060"/>
      <c r="Y55" s="4084"/>
      <c r="Z55" s="4084"/>
      <c r="AA55" s="4084"/>
      <c r="AB55" s="4084"/>
      <c r="AC55" s="4084"/>
      <c r="AD55" s="4084"/>
      <c r="AE55" s="4084"/>
      <c r="AF55"/>
      <c r="AG55" s="4082">
        <f>+AG54-'F2'!R33</f>
        <v>0</v>
      </c>
      <c r="AH55" s="4082"/>
      <c r="AI55" s="4082"/>
      <c r="AJ55" s="4082"/>
      <c r="AK55" s="4082"/>
      <c r="AL55" s="4082"/>
      <c r="AM55" s="4082"/>
      <c r="AN55" s="4092"/>
      <c r="AO55" s="4092"/>
      <c r="AP55"/>
    </row>
    <row r="56" ht="12" spans="2:42">
      <c r="B56" s="5024" t="s">
        <v>310</v>
      </c>
      <c r="R56" s="4067"/>
      <c r="S56" s="4067"/>
      <c r="T56" s="4067"/>
      <c r="U56" s="4067"/>
      <c r="V56" s="4067"/>
      <c r="W56" s="4078"/>
      <c r="X56" s="4060"/>
      <c r="Y56" s="4084"/>
      <c r="Z56" s="4084"/>
      <c r="AA56" s="4084"/>
      <c r="AB56" s="4084"/>
      <c r="AC56" s="4084"/>
      <c r="AD56" s="4084"/>
      <c r="AE56" s="4084"/>
      <c r="AF56"/>
      <c r="AG56" s="4092"/>
      <c r="AH56" s="4092"/>
      <c r="AI56" s="4092"/>
      <c r="AJ56" s="4092"/>
      <c r="AK56" s="4092"/>
      <c r="AL56" s="4092"/>
      <c r="AM56" s="4092"/>
      <c r="AN56" s="4092"/>
      <c r="AO56" s="4092"/>
      <c r="AP56" s="4099"/>
    </row>
    <row r="57" s="3606" customFormat="1" ht="12" customHeight="1" spans="2:42">
      <c r="B57" t="s">
        <v>846</v>
      </c>
      <c r="M57" s="2623"/>
      <c r="N57" s="2623"/>
      <c r="O57" s="2623"/>
      <c r="P57" s="2623"/>
      <c r="R57" s="4061">
        <f>+R50+1</f>
        <v>16</v>
      </c>
      <c r="S57" s="4061"/>
      <c r="T57" s="4061"/>
      <c r="U57" s="4061"/>
      <c r="V57" s="4061"/>
      <c r="W57" s="4069">
        <f>'F2'!K39</f>
        <v>11000000000</v>
      </c>
      <c r="X57" s="4060"/>
      <c r="Y57">
        <f>+'F2'!Q39</f>
        <v>11000000000</v>
      </c>
      <c r="Z57"/>
      <c r="AA57"/>
      <c r="AB57"/>
      <c r="AC57"/>
      <c r="AD57"/>
      <c r="AE57"/>
      <c r="AF57"/>
      <c r="AG57" s="4082">
        <f>+'F2'!R39</f>
        <v>11000000000</v>
      </c>
      <c r="AH57" s="4082"/>
      <c r="AI57" s="4082"/>
      <c r="AJ57" s="4082"/>
      <c r="AK57" s="4082"/>
      <c r="AL57" s="4082"/>
      <c r="AM57" s="4082"/>
      <c r="AN57" s="4082"/>
      <c r="AO57" s="4082"/>
      <c r="AP57" s="4093">
        <f t="shared" ref="AP57:AP60" si="7">+W57-Y57</f>
        <v>0</v>
      </c>
    </row>
    <row r="58" s="3606" customFormat="1" ht="12" hidden="1" customHeight="1" spans="2:42">
      <c r="B58" t="s">
        <v>616</v>
      </c>
      <c r="M58" s="2623"/>
      <c r="N58" s="2623"/>
      <c r="O58" s="2623"/>
      <c r="P58" s="2623"/>
      <c r="Q58" s="2635"/>
      <c r="R58" s="4061">
        <f>R57+1</f>
        <v>17</v>
      </c>
      <c r="S58" s="4061"/>
      <c r="T58" s="4061"/>
      <c r="U58" s="4061"/>
      <c r="V58" s="4061"/>
      <c r="W58" s="4069">
        <f>'F2'!K40</f>
        <v>0</v>
      </c>
      <c r="X58" s="4060"/>
      <c r="Y58">
        <f>'F2'!Q40</f>
        <v>0</v>
      </c>
      <c r="Z58"/>
      <c r="AA58"/>
      <c r="AB58"/>
      <c r="AC58"/>
      <c r="AD58"/>
      <c r="AE58"/>
      <c r="AF58"/>
      <c r="AG58" s="4082">
        <v>0</v>
      </c>
      <c r="AH58" s="4082"/>
      <c r="AI58" s="4082"/>
      <c r="AJ58" s="4082"/>
      <c r="AK58" s="4082"/>
      <c r="AL58" s="4082"/>
      <c r="AM58" s="4082"/>
      <c r="AN58" s="4082"/>
      <c r="AO58" s="4082">
        <f>W58-Y58</f>
        <v>0</v>
      </c>
      <c r="AP58" s="4093">
        <f t="shared" si="7"/>
        <v>0</v>
      </c>
    </row>
    <row r="59" s="3606" customFormat="1" ht="12" hidden="1" customHeight="1" spans="2:42">
      <c r="B59" t="s">
        <v>847</v>
      </c>
      <c r="M59" s="2623"/>
      <c r="N59" s="2623"/>
      <c r="O59" s="2623"/>
      <c r="P59" s="2623"/>
      <c r="R59" s="4061">
        <f>R58+1</f>
        <v>18</v>
      </c>
      <c r="S59" s="4061"/>
      <c r="T59" s="4061"/>
      <c r="U59" s="4061"/>
      <c r="V59" s="4061"/>
      <c r="W59" s="4069">
        <f>'F2'!K41</f>
        <v>0</v>
      </c>
      <c r="X59" s="4060"/>
      <c r="Y59">
        <f>'F2'!Q41</f>
        <v>0</v>
      </c>
      <c r="Z59"/>
      <c r="AA59"/>
      <c r="AB59"/>
      <c r="AC59"/>
      <c r="AD59"/>
      <c r="AE59"/>
      <c r="AF59"/>
      <c r="AG59" s="4082">
        <v>0</v>
      </c>
      <c r="AH59" s="4082"/>
      <c r="AI59" s="4082"/>
      <c r="AJ59" s="4082"/>
      <c r="AK59" s="4082"/>
      <c r="AL59" s="4082"/>
      <c r="AM59" s="4082"/>
      <c r="AN59" s="4082"/>
      <c r="AO59" s="4082"/>
      <c r="AP59" s="4093">
        <f t="shared" si="7"/>
        <v>0</v>
      </c>
    </row>
    <row r="60" s="3606" customFormat="1" ht="12" customHeight="1" spans="2:42">
      <c r="B60" t="s">
        <v>848</v>
      </c>
      <c r="M60" s="2623"/>
      <c r="N60" s="2623"/>
      <c r="O60" s="2623"/>
      <c r="P60" s="2623"/>
      <c r="R60" s="4067"/>
      <c r="S60" s="4067"/>
      <c r="T60" s="4067"/>
      <c r="U60" s="4067"/>
      <c r="V60" s="4067"/>
      <c r="W60" s="4069">
        <f>+W282</f>
        <v>10698158386.8631</v>
      </c>
      <c r="X60" s="4060"/>
      <c r="Y60">
        <f>+W278</f>
        <v>10100743261.0142</v>
      </c>
      <c r="Z60"/>
      <c r="AA60"/>
      <c r="AB60"/>
      <c r="AC60"/>
      <c r="AD60"/>
      <c r="AE60"/>
      <c r="AF60"/>
      <c r="AG60" s="4082">
        <f>+ekin21!AW173</f>
        <v>9865490344.76497</v>
      </c>
      <c r="AH60" s="4082"/>
      <c r="AI60" s="4082"/>
      <c r="AJ60" s="4082"/>
      <c r="AK60" s="4082"/>
      <c r="AL60" s="4082"/>
      <c r="AM60" s="4082"/>
      <c r="AN60" s="4082"/>
      <c r="AO60" s="4082"/>
      <c r="AP60" s="4093">
        <f t="shared" si="7"/>
        <v>597415125.848837</v>
      </c>
    </row>
    <row r="61" ht="6" customHeight="1" spans="18:42">
      <c r="R61" s="4067"/>
      <c r="S61" s="4067"/>
      <c r="T61" s="4067"/>
      <c r="U61" s="4067"/>
      <c r="V61" s="4067"/>
      <c r="W61" s="4070"/>
      <c r="X61" s="4060"/>
      <c r="Y61" s="2098"/>
      <c r="Z61" s="2098"/>
      <c r="AA61" s="2098"/>
      <c r="AB61" s="2098"/>
      <c r="AC61" s="2098"/>
      <c r="AD61" s="2098"/>
      <c r="AE61" s="2098"/>
      <c r="AF61"/>
      <c r="AG61" s="4097"/>
      <c r="AH61" s="4097"/>
      <c r="AI61" s="4097"/>
      <c r="AJ61" s="4097"/>
      <c r="AK61" s="4097"/>
      <c r="AL61" s="4097"/>
      <c r="AM61" s="4097"/>
      <c r="AN61" s="4093"/>
      <c r="AO61" s="4093"/>
      <c r="AP61" s="4093"/>
    </row>
    <row r="62" ht="12" spans="2:42">
      <c r="B62" s="5024" t="s">
        <v>312</v>
      </c>
      <c r="M62"/>
      <c r="N62"/>
      <c r="O62"/>
      <c r="P62"/>
      <c r="R62" s="4067"/>
      <c r="S62" s="4067"/>
      <c r="T62" s="4067"/>
      <c r="U62" s="4067"/>
      <c r="V62" s="4067"/>
      <c r="W62" s="4071">
        <f>SUM(W57:W61)</f>
        <v>21698158386.8631</v>
      </c>
      <c r="X62" s="4060"/>
      <c r="Y62" s="94">
        <f>SUM(Y57:AE61)</f>
        <v>21100743261.0143</v>
      </c>
      <c r="Z62" s="94"/>
      <c r="AA62" s="94"/>
      <c r="AB62" s="94"/>
      <c r="AC62" s="94"/>
      <c r="AD62" s="94"/>
      <c r="AE62" s="94"/>
      <c r="AF62"/>
      <c r="AG62" s="4094">
        <f>SUM(AG57:AM61)</f>
        <v>20865490344.765</v>
      </c>
      <c r="AH62" s="4094"/>
      <c r="AI62" s="4094"/>
      <c r="AJ62" s="4094"/>
      <c r="AK62" s="4094"/>
      <c r="AL62" s="4094"/>
      <c r="AM62" s="4094"/>
      <c r="AN62" s="4094"/>
      <c r="AO62" s="4094"/>
      <c r="AP62" s="4105"/>
    </row>
    <row r="63" ht="12" spans="13:42">
      <c r="M63"/>
      <c r="N63"/>
      <c r="O63"/>
      <c r="P63"/>
      <c r="R63" s="4067"/>
      <c r="S63" s="4067"/>
      <c r="T63" s="4067"/>
      <c r="U63" s="4067"/>
      <c r="V63" s="4067"/>
      <c r="W63" s="4078"/>
      <c r="X63" s="4060"/>
      <c r="Y63" s="38"/>
      <c r="Z63" s="38"/>
      <c r="AA63" s="38"/>
      <c r="AB63" s="38"/>
      <c r="AC63" s="38"/>
      <c r="AD63" s="38"/>
      <c r="AE63" s="38"/>
      <c r="AF63"/>
      <c r="AG63" s="4092"/>
      <c r="AH63" s="4092"/>
      <c r="AI63" s="4092"/>
      <c r="AJ63" s="4092"/>
      <c r="AK63" s="4092"/>
      <c r="AL63" s="4092"/>
      <c r="AM63" s="4092"/>
      <c r="AN63" s="4082"/>
      <c r="AO63" s="4082"/>
      <c r="AP63" s="4093"/>
    </row>
    <row r="64" ht="12.75" spans="2:42">
      <c r="B64" s="3607" t="s">
        <v>573</v>
      </c>
      <c r="R64" s="4067"/>
      <c r="S64" s="4067"/>
      <c r="T64" s="4067"/>
      <c r="U64" s="4067"/>
      <c r="V64" s="4067"/>
      <c r="W64" s="4073">
        <f>W44+W54+W62</f>
        <v>51884251406.1095</v>
      </c>
      <c r="X64" s="4060"/>
      <c r="Y64" s="3324">
        <f>Y44+Y62+Y54</f>
        <v>66080901334.7825</v>
      </c>
      <c r="Z64" s="3324"/>
      <c r="AA64" s="3324"/>
      <c r="AB64" s="3324"/>
      <c r="AC64" s="3324"/>
      <c r="AD64" s="3324"/>
      <c r="AE64" s="3324"/>
      <c r="AF64"/>
      <c r="AG64" s="4100">
        <f>AG44+AG62+AG54</f>
        <v>72807012962.4619</v>
      </c>
      <c r="AH64" s="4100"/>
      <c r="AI64" s="4100"/>
      <c r="AJ64" s="4100"/>
      <c r="AK64" s="4100"/>
      <c r="AL64" s="4100"/>
      <c r="AM64" s="4100"/>
      <c r="AN64" s="4095"/>
      <c r="AO64" s="4095"/>
      <c r="AP64" s="4105"/>
    </row>
    <row r="65" ht="12.15" spans="18:47">
      <c r="R65" s="4060"/>
      <c r="S65" s="4060"/>
      <c r="T65" s="4060"/>
      <c r="U65" s="4060"/>
      <c r="V65" s="4060"/>
      <c r="W65" s="4060"/>
      <c r="X65" s="4060"/>
      <c r="Y65"/>
      <c r="Z65"/>
      <c r="AA65"/>
      <c r="AB65"/>
      <c r="AC65"/>
      <c r="AD65"/>
      <c r="AE65"/>
      <c r="AF65"/>
      <c r="AG65"/>
      <c r="AH65"/>
      <c r="AI65"/>
      <c r="AJ65"/>
      <c r="AK65"/>
      <c r="AL65"/>
      <c r="AM65"/>
      <c r="AO65" s="4129">
        <f>W64-W32</f>
        <v>0.0782699584960937</v>
      </c>
      <c r="AP65" s="4130">
        <v>2022</v>
      </c>
      <c r="AQ65" s="4086"/>
      <c r="AR65" s="4086"/>
      <c r="AS65" s="4086"/>
      <c r="AT65" s="4086"/>
      <c r="AU65" s="4086"/>
    </row>
    <row r="66" spans="18:46">
      <c r="R66" s="4109"/>
      <c r="S66" s="4109"/>
      <c r="T66" s="4109"/>
      <c r="U66" s="4109"/>
      <c r="V66" s="4109"/>
      <c r="W66" s="2635"/>
      <c r="X66" s="4060"/>
      <c r="Y66" s="64"/>
      <c r="Z66" s="64"/>
      <c r="AA66" s="64"/>
      <c r="AB66" s="64"/>
      <c r="AC66" s="64"/>
      <c r="AD66" s="64"/>
      <c r="AE66" s="64"/>
      <c r="AF66" s="64"/>
      <c r="AG66" s="4082"/>
      <c r="AH66" s="4082"/>
      <c r="AI66" s="4082"/>
      <c r="AJ66" s="4082"/>
      <c r="AK66" s="4082"/>
      <c r="AL66" s="4082"/>
      <c r="AM66" s="4082"/>
      <c r="AN66" s="4081"/>
      <c r="AO66" s="4131">
        <f>Y64-Y32</f>
        <v>-0.367416381835937</v>
      </c>
      <c r="AP66" s="4132">
        <v>2021</v>
      </c>
      <c r="AQ66" s="4086"/>
      <c r="AR66" s="4086"/>
      <c r="AS66" s="4086"/>
      <c r="AT66" s="4086"/>
    </row>
    <row r="67" spans="18:42">
      <c r="R67" s="4109"/>
      <c r="S67" s="4109"/>
      <c r="T67" s="4109"/>
      <c r="U67" s="4109"/>
      <c r="V67" s="4109"/>
      <c r="W67" s="4109"/>
      <c r="X67" s="4060"/>
      <c r="Y67" s="4081"/>
      <c r="Z67" s="4081"/>
      <c r="AA67" s="4081"/>
      <c r="AB67" s="4081"/>
      <c r="AC67" s="4081"/>
      <c r="AD67" s="4081"/>
      <c r="AE67" s="4081"/>
      <c r="AF67" s="4081"/>
      <c r="AG67" s="4081"/>
      <c r="AH67" s="4081"/>
      <c r="AI67" s="4081"/>
      <c r="AJ67" s="4081"/>
      <c r="AK67" s="4081"/>
      <c r="AL67" s="4081"/>
      <c r="AM67" s="4081"/>
      <c r="AN67" s="4081"/>
      <c r="AO67" s="4133">
        <f>AG64-AG32</f>
        <v>0.177490234375</v>
      </c>
      <c r="AP67" s="4134">
        <v>2020</v>
      </c>
    </row>
    <row r="68" spans="2:41">
      <c r="B68" s="3609"/>
      <c r="R68" s="4109"/>
      <c r="S68" s="4109"/>
      <c r="T68" s="4109"/>
      <c r="U68" s="4109"/>
      <c r="V68" s="4109"/>
      <c r="W68" s="4109"/>
      <c r="X68" s="4060"/>
      <c r="Y68" s="4081"/>
      <c r="Z68" s="4081"/>
      <c r="AA68" s="4081"/>
      <c r="AB68" s="4081"/>
      <c r="AC68" s="4081"/>
      <c r="AD68" s="4081"/>
      <c r="AE68" s="4081"/>
      <c r="AF68" s="4081"/>
      <c r="AG68" s="4081"/>
      <c r="AH68" s="4081"/>
      <c r="AI68" s="4081"/>
      <c r="AJ68" s="4081"/>
      <c r="AK68" s="4081"/>
      <c r="AL68" s="4081"/>
      <c r="AM68" s="4081"/>
      <c r="AN68" s="4081"/>
      <c r="AO68" s="4081"/>
    </row>
    <row r="69" spans="2:42">
      <c r="B69" s="3609"/>
      <c r="R69" s="4109"/>
      <c r="S69" s="4109"/>
      <c r="T69" s="4109"/>
      <c r="U69" s="4109"/>
      <c r="V69" s="4109"/>
      <c r="W69" s="4109"/>
      <c r="X69" s="4060"/>
      <c r="Y69" s="4081"/>
      <c r="Z69" s="4081"/>
      <c r="AA69" s="4081"/>
      <c r="AB69" s="4081"/>
      <c r="AC69" s="4081"/>
      <c r="AD69" s="4081"/>
      <c r="AE69" s="4081"/>
      <c r="AF69" s="4081"/>
      <c r="AG69" s="4081"/>
      <c r="AH69" s="4081"/>
      <c r="AI69" s="4081"/>
      <c r="AJ69" s="4081"/>
      <c r="AK69" s="4081"/>
      <c r="AL69" s="4081"/>
      <c r="AM69" s="4081"/>
      <c r="AN69" s="4081"/>
      <c r="AO69" s="4081"/>
      <c r="AP69" s="4081"/>
    </row>
    <row r="70" s="3606" customFormat="1" spans="2:42">
      <c r="B70" s="3609"/>
      <c r="R70" s="4109"/>
      <c r="S70" s="4109"/>
      <c r="T70" s="4109"/>
      <c r="U70" s="4109"/>
      <c r="V70" s="4109"/>
      <c r="W70" s="4109"/>
      <c r="X70" s="4060"/>
      <c r="Y70" s="4081"/>
      <c r="Z70" s="4081"/>
      <c r="AA70" s="4081"/>
      <c r="AB70" s="4081"/>
      <c r="AC70" s="4081"/>
      <c r="AD70" s="4081"/>
      <c r="AE70" s="4081"/>
      <c r="AF70" s="4081"/>
      <c r="AG70" s="4081"/>
      <c r="AH70" s="4081"/>
      <c r="AI70" s="4081"/>
      <c r="AJ70" s="4081"/>
      <c r="AK70" s="4081"/>
      <c r="AL70" s="4081"/>
      <c r="AM70" s="4081"/>
      <c r="AN70" s="4081"/>
      <c r="AO70" s="4081"/>
      <c r="AP70" s="4081"/>
    </row>
    <row r="71" spans="2:42">
      <c r="B71" s="3609"/>
      <c r="R71" s="4109"/>
      <c r="S71" s="4109"/>
      <c r="T71" s="4109"/>
      <c r="U71" s="4109"/>
      <c r="V71" s="4109"/>
      <c r="W71" s="4109"/>
      <c r="X71" s="4060"/>
      <c r="Y71" s="4081"/>
      <c r="Z71" s="4081"/>
      <c r="AA71" s="4081"/>
      <c r="AB71" s="4081"/>
      <c r="AC71" s="4081"/>
      <c r="AD71" s="4081"/>
      <c r="AE71" s="4081"/>
      <c r="AF71" s="4081"/>
      <c r="AG71" s="4081"/>
      <c r="AH71" s="4081"/>
      <c r="AI71" s="4081"/>
      <c r="AJ71" s="4081"/>
      <c r="AK71" s="4081"/>
      <c r="AL71" s="4081"/>
      <c r="AM71" s="4081"/>
      <c r="AN71" s="4081"/>
      <c r="AO71" s="4081"/>
      <c r="AP71" s="4081"/>
    </row>
    <row r="72" spans="2:42">
      <c r="B72" s="3609"/>
      <c r="R72" s="4109"/>
      <c r="S72" s="4109"/>
      <c r="T72" s="4109"/>
      <c r="U72" s="4109"/>
      <c r="V72" s="4109"/>
      <c r="W72" s="4109"/>
      <c r="X72" s="4060"/>
      <c r="Y72" s="4081"/>
      <c r="Z72" s="4081"/>
      <c r="AA72" s="4081"/>
      <c r="AB72" s="4081"/>
      <c r="AC72" s="4081"/>
      <c r="AD72" s="4081"/>
      <c r="AE72" s="4081"/>
      <c r="AF72" s="4081"/>
      <c r="AG72" s="4081"/>
      <c r="AH72" s="4081"/>
      <c r="AI72" s="4081"/>
      <c r="AJ72" s="4081"/>
      <c r="AK72" s="4081"/>
      <c r="AL72" s="4081"/>
      <c r="AM72" s="4081"/>
      <c r="AN72" s="4081"/>
      <c r="AO72" s="4081"/>
      <c r="AP72" s="4081"/>
    </row>
    <row r="73" spans="2:42">
      <c r="B73" s="3609"/>
      <c r="R73" s="4109"/>
      <c r="S73" s="4109"/>
      <c r="T73" s="4109"/>
      <c r="U73" s="4109"/>
      <c r="V73" s="4109"/>
      <c r="W73" s="4109"/>
      <c r="X73" s="4060"/>
      <c r="Y73" s="4081"/>
      <c r="Z73" s="4081"/>
      <c r="AA73" s="4081"/>
      <c r="AB73" s="4081"/>
      <c r="AC73" s="4081"/>
      <c r="AD73" s="4081"/>
      <c r="AE73" s="4081"/>
      <c r="AF73" s="4081"/>
      <c r="AG73" s="4081"/>
      <c r="AH73" s="4081"/>
      <c r="AI73" s="4081"/>
      <c r="AJ73" s="4081"/>
      <c r="AK73" s="4081"/>
      <c r="AL73" s="4081"/>
      <c r="AM73" s="4081"/>
      <c r="AN73" s="4081"/>
      <c r="AO73" s="4081"/>
      <c r="AP73" s="4081"/>
    </row>
    <row r="74" ht="12" spans="2:42">
      <c r="B74" s="3607" t="str">
        <f>B1</f>
        <v>PT INTAN GIRI ABADI</v>
      </c>
      <c r="R74" s="4109"/>
      <c r="S74" s="4109"/>
      <c r="T74" s="4109"/>
      <c r="U74" s="4109"/>
      <c r="V74" s="4109"/>
      <c r="W74" s="4109"/>
      <c r="X74" s="4060"/>
      <c r="Y74" s="4081"/>
      <c r="Z74" s="4081"/>
      <c r="AA74" s="4081"/>
      <c r="AB74" s="4081"/>
      <c r="AC74" s="4081"/>
      <c r="AD74" s="4081"/>
      <c r="AE74" s="4081"/>
      <c r="AF74" s="4081"/>
      <c r="AG74" s="4081"/>
      <c r="AH74" s="4081"/>
      <c r="AI74" s="4081"/>
      <c r="AJ74" s="4081"/>
      <c r="AK74" s="4081"/>
      <c r="AL74" s="4081"/>
      <c r="AM74" s="4081"/>
      <c r="AN74" s="4081"/>
      <c r="AO74" s="4081"/>
      <c r="AP74" s="4081"/>
    </row>
    <row r="75" ht="12" customHeight="1" spans="2:42">
      <c r="B75" s="5010" t="s">
        <v>574</v>
      </c>
      <c r="AF75" s="3624" t="str">
        <f>W1</f>
        <v>Approval for Print</v>
      </c>
      <c r="AG75" s="3624"/>
      <c r="AH75" s="4102" t="str">
        <f>AI1</f>
        <v>signature</v>
      </c>
      <c r="AI75" s="4102"/>
      <c r="AJ75" s="4102"/>
      <c r="AK75" s="4102"/>
      <c r="AL75" s="4102"/>
      <c r="AM75" s="4102"/>
      <c r="AN75" s="4102"/>
      <c r="AO75" s="4102"/>
      <c r="AP75" s="4102"/>
    </row>
    <row r="76" ht="12" customHeight="1" spans="2:42">
      <c r="B76" s="5010" t="s">
        <v>893</v>
      </c>
      <c r="AF76" s="3624"/>
      <c r="AG76" s="3624"/>
      <c r="AH76" s="4102"/>
      <c r="AI76" s="4102"/>
      <c r="AJ76" s="4102"/>
      <c r="AK76" s="4102"/>
      <c r="AL76" s="4102"/>
      <c r="AM76" s="4102"/>
      <c r="AN76" s="4102"/>
      <c r="AO76" s="4102"/>
      <c r="AP76" s="4102"/>
    </row>
    <row r="77" ht="12" customHeight="1" spans="2:42">
      <c r="B77" s="3609" t="s">
        <v>450</v>
      </c>
      <c r="AF77" s="3624"/>
      <c r="AG77" s="3624"/>
      <c r="AH77" s="4102" t="str">
        <f>AI4</f>
        <v>Date</v>
      </c>
      <c r="AI77" s="4102"/>
      <c r="AJ77" s="4102"/>
      <c r="AK77" s="4102"/>
      <c r="AL77" s="4102"/>
      <c r="AM77" s="4102"/>
      <c r="AN77" s="4102"/>
      <c r="AO77" s="4102"/>
      <c r="AP77" s="4102"/>
    </row>
    <row r="78" ht="12" customHeight="1" spans="2:42">
      <c r="B78" s="3611"/>
      <c r="C78" s="3611"/>
      <c r="D78" s="3611"/>
      <c r="E78" s="3611"/>
      <c r="F78" s="3611"/>
      <c r="G78" s="3611"/>
      <c r="H78" s="3611"/>
      <c r="I78" s="3611"/>
      <c r="J78" s="3611"/>
      <c r="K78" s="3611"/>
      <c r="L78" s="3611"/>
      <c r="M78" s="3611"/>
      <c r="N78" s="3611"/>
      <c r="O78" s="3611"/>
      <c r="P78" s="3611"/>
      <c r="Q78" s="3611"/>
      <c r="R78" s="4054"/>
      <c r="S78" s="4054"/>
      <c r="T78" s="4054"/>
      <c r="U78" s="4054"/>
      <c r="V78" s="4054"/>
      <c r="W78" s="4054"/>
      <c r="X78" s="4054"/>
      <c r="Y78" s="3611"/>
      <c r="Z78" s="3611"/>
      <c r="AA78" s="3611"/>
      <c r="AB78" s="3611"/>
      <c r="AC78" s="3611"/>
      <c r="AD78" s="3611"/>
      <c r="AE78" s="3611"/>
      <c r="AF78" s="3626"/>
      <c r="AG78" s="3626"/>
      <c r="AH78" s="4125"/>
      <c r="AI78" s="4125"/>
      <c r="AJ78" s="4125"/>
      <c r="AK78" s="4125"/>
      <c r="AL78" s="4125"/>
      <c r="AM78" s="4125"/>
      <c r="AN78" s="4102"/>
      <c r="AO78" s="4102"/>
      <c r="AP78" s="4102"/>
    </row>
    <row r="79" ht="12" customHeight="1" spans="32:42">
      <c r="AF79" s="4120"/>
      <c r="AG79" s="4120"/>
      <c r="AH79" s="4126"/>
      <c r="AI79" s="4126"/>
      <c r="AJ79" s="4126"/>
      <c r="AK79" s="4126"/>
      <c r="AL79" s="4126"/>
      <c r="AM79" s="4126"/>
      <c r="AN79" s="4126"/>
      <c r="AO79" s="4126"/>
      <c r="AP79" s="4126"/>
    </row>
    <row r="80" ht="12" spans="18:42">
      <c r="R80" s="4110" t="s">
        <v>536</v>
      </c>
      <c r="S80" s="4110"/>
      <c r="T80" s="4110"/>
      <c r="U80" s="4110"/>
      <c r="V80" s="4111"/>
      <c r="W80" s="4057">
        <f>+W7</f>
        <v>2022</v>
      </c>
      <c r="Y80" s="4057">
        <f>+Y7</f>
        <v>2021</v>
      </c>
      <c r="Z80" s="4121"/>
      <c r="AA80" s="4121"/>
      <c r="AB80" s="4121"/>
      <c r="AC80" s="4121"/>
      <c r="AD80" s="4121"/>
      <c r="AE80" s="4121"/>
      <c r="AG80" s="5022" t="str">
        <f>AG7</f>
        <v>2020</v>
      </c>
      <c r="AH80" s="4127"/>
      <c r="AI80" s="4127"/>
      <c r="AJ80" s="4127"/>
      <c r="AK80" s="4127"/>
      <c r="AL80" s="4127"/>
      <c r="AM80" s="4127"/>
      <c r="AN80" s="4128"/>
      <c r="AO80" s="4128"/>
      <c r="AP80" s="5022" t="s">
        <v>894</v>
      </c>
    </row>
    <row r="81" spans="18:42">
      <c r="R81" s="4112"/>
      <c r="S81" s="4112"/>
      <c r="T81" s="4112"/>
      <c r="U81" s="4112"/>
      <c r="V81" s="4113"/>
      <c r="W81" s="4113"/>
      <c r="X81" s="4060"/>
      <c r="Y81" s="4080"/>
      <c r="Z81" s="4080"/>
      <c r="AA81" s="4080"/>
      <c r="AB81" s="4080"/>
      <c r="AC81" s="4080"/>
      <c r="AD81" s="4080"/>
      <c r="AE81" s="4080"/>
      <c r="AF81" s="4081"/>
      <c r="AG81" s="4080"/>
      <c r="AH81" s="4080"/>
      <c r="AI81" s="4080"/>
      <c r="AJ81" s="4080"/>
      <c r="AK81" s="4080"/>
      <c r="AL81" s="4080"/>
      <c r="AM81" s="4080"/>
      <c r="AN81" s="4091"/>
      <c r="AO81" s="4091"/>
      <c r="AP81" s="4091"/>
    </row>
    <row r="82" ht="12" spans="2:42">
      <c r="B82" s="3607" t="s">
        <v>851</v>
      </c>
      <c r="R82" s="4114">
        <f>+R57+1</f>
        <v>17</v>
      </c>
      <c r="S82" s="4114"/>
      <c r="T82" s="4114"/>
      <c r="U82" s="4114"/>
      <c r="V82" s="4061"/>
      <c r="W82" s="2635">
        <f>+'F3'!K13</f>
        <v>7474615453.59131</v>
      </c>
      <c r="X82" s="4060"/>
      <c r="Y82" s="4082">
        <f>'10'!Q64</f>
        <v>5551498722</v>
      </c>
      <c r="Z82" s="4082"/>
      <c r="AA82" s="4082"/>
      <c r="AB82" s="4082"/>
      <c r="AC82" s="4082"/>
      <c r="AD82" s="4082"/>
      <c r="AE82" s="4082"/>
      <c r="AF82" s="4082"/>
      <c r="AG82" s="4082">
        <f>'F30'!R13</f>
        <v>12507006890.5</v>
      </c>
      <c r="AH82" s="4082"/>
      <c r="AI82" s="4082"/>
      <c r="AJ82" s="4082"/>
      <c r="AK82" s="4082"/>
      <c r="AL82" s="4082"/>
      <c r="AM82" s="4082"/>
      <c r="AN82" s="4082"/>
      <c r="AO82" s="2479">
        <f>+Y82/Y82</f>
        <v>1</v>
      </c>
      <c r="AP82" s="2479">
        <f>+AG82/AG82</f>
        <v>1</v>
      </c>
    </row>
    <row r="83" ht="12" spans="2:42">
      <c r="B83" s="3607"/>
      <c r="R83" s="4061"/>
      <c r="S83" s="4061"/>
      <c r="T83" s="4061"/>
      <c r="U83" s="4061"/>
      <c r="V83" s="4061"/>
      <c r="W83" s="4061"/>
      <c r="X83" s="4060"/>
      <c r="Y83" s="4082"/>
      <c r="Z83" s="4082"/>
      <c r="AA83" s="4082"/>
      <c r="AB83" s="4082"/>
      <c r="AC83" s="4082"/>
      <c r="AD83" s="4082"/>
      <c r="AE83" s="4082"/>
      <c r="AF83" s="4082"/>
      <c r="AG83" s="4082"/>
      <c r="AH83" s="4082"/>
      <c r="AI83" s="4082"/>
      <c r="AJ83" s="4082"/>
      <c r="AK83" s="4082"/>
      <c r="AL83" s="4082"/>
      <c r="AM83" s="4082"/>
      <c r="AN83" s="4082"/>
      <c r="AO83" s="4082"/>
      <c r="AP83" s="724"/>
    </row>
    <row r="84" ht="12" spans="2:42">
      <c r="B84" s="3607" t="s">
        <v>852</v>
      </c>
      <c r="R84" s="4114">
        <f>+R82+1</f>
        <v>18</v>
      </c>
      <c r="S84" s="4114"/>
      <c r="T84" s="4114"/>
      <c r="U84" s="4114"/>
      <c r="V84" s="4061"/>
      <c r="W84" s="2635">
        <f>+'F3'!K14</f>
        <v>3053000539</v>
      </c>
      <c r="X84" s="4060"/>
      <c r="Y84" s="4082">
        <f>'F30'!Q15</f>
        <v>3061286269</v>
      </c>
      <c r="Z84" s="4082"/>
      <c r="AA84" s="4082"/>
      <c r="AB84" s="4082"/>
      <c r="AC84" s="4082"/>
      <c r="AD84" s="4082"/>
      <c r="AE84" s="4082"/>
      <c r="AF84" s="4082"/>
      <c r="AG84" s="4082">
        <f>'F30'!R15</f>
        <v>9124465383.46196</v>
      </c>
      <c r="AH84" s="4082"/>
      <c r="AI84" s="4082"/>
      <c r="AJ84" s="4082"/>
      <c r="AK84" s="4082"/>
      <c r="AL84" s="4082"/>
      <c r="AM84" s="4082"/>
      <c r="AN84" s="4082"/>
      <c r="AO84" s="2479">
        <f>W84/W82</f>
        <v>0.408449178149109</v>
      </c>
      <c r="AP84" s="724">
        <f>Y84/Y82</f>
        <v>0.551434202239559</v>
      </c>
    </row>
    <row r="85" ht="12" spans="2:42">
      <c r="B85" s="3607"/>
      <c r="R85" s="4067"/>
      <c r="S85" s="4067"/>
      <c r="T85" s="4067"/>
      <c r="U85" s="4067"/>
      <c r="V85" s="4067"/>
      <c r="W85" s="4066"/>
      <c r="X85" s="4060"/>
      <c r="Y85" s="4122"/>
      <c r="Z85" s="4122"/>
      <c r="AA85" s="4122"/>
      <c r="AB85" s="4122"/>
      <c r="AC85" s="4122"/>
      <c r="AD85" s="4122"/>
      <c r="AE85" s="4122"/>
      <c r="AF85" s="4082"/>
      <c r="AG85" s="4122"/>
      <c r="AH85" s="4122"/>
      <c r="AI85" s="4122"/>
      <c r="AJ85" s="4122"/>
      <c r="AK85" s="4122"/>
      <c r="AL85" s="4122"/>
      <c r="AM85" s="4122"/>
      <c r="AN85" s="4105"/>
      <c r="AO85" s="4105"/>
      <c r="AP85" s="724"/>
    </row>
    <row r="86" ht="12" spans="2:42">
      <c r="B86" s="3607" t="s">
        <v>583</v>
      </c>
      <c r="R86" s="4067"/>
      <c r="S86" s="4067"/>
      <c r="T86" s="4067"/>
      <c r="U86" s="4067"/>
      <c r="V86" s="4067"/>
      <c r="W86" s="3499">
        <f>W82-W84</f>
        <v>4421614914.59131</v>
      </c>
      <c r="X86" s="4060"/>
      <c r="Y86" s="4105">
        <f>+Y82-Y84</f>
        <v>2490212453</v>
      </c>
      <c r="Z86" s="4105"/>
      <c r="AA86" s="4105"/>
      <c r="AB86" s="4105"/>
      <c r="AC86" s="4105"/>
      <c r="AD86" s="4105"/>
      <c r="AE86" s="4105"/>
      <c r="AF86" s="4094"/>
      <c r="AG86" s="4094">
        <f>AG82-AG84</f>
        <v>3382541507.03804</v>
      </c>
      <c r="AH86" s="4094"/>
      <c r="AI86" s="4094"/>
      <c r="AJ86" s="4094"/>
      <c r="AK86" s="4094"/>
      <c r="AL86" s="4094"/>
      <c r="AM86" s="4094"/>
      <c r="AN86" s="4094"/>
      <c r="AO86" s="724">
        <f>W86/W82</f>
        <v>0.591550821850891</v>
      </c>
      <c r="AP86" s="724">
        <f>Y86/Y82</f>
        <v>0.448565797760441</v>
      </c>
    </row>
    <row r="87" s="4048" customFormat="1" ht="12" spans="18:44">
      <c r="R87" s="4067"/>
      <c r="S87" s="4067"/>
      <c r="T87" s="4067"/>
      <c r="U87" s="4067"/>
      <c r="V87" s="4067"/>
      <c r="W87" s="4067"/>
      <c r="X87" s="4115"/>
      <c r="Y87" s="4082"/>
      <c r="Z87" s="4082"/>
      <c r="AA87" s="4082"/>
      <c r="AB87" s="4082"/>
      <c r="AC87" s="4082"/>
      <c r="AD87" s="4082"/>
      <c r="AE87" s="4082"/>
      <c r="AF87" s="4082"/>
      <c r="AG87" s="4082"/>
      <c r="AH87" s="4082"/>
      <c r="AI87" s="4082"/>
      <c r="AJ87" s="4082"/>
      <c r="AK87" s="4082"/>
      <c r="AL87" s="4082"/>
      <c r="AM87" s="4082"/>
      <c r="AN87" s="4082"/>
      <c r="AO87" s="4082"/>
      <c r="AP87" s="724"/>
      <c r="AR87"/>
    </row>
    <row r="88" s="4048" customFormat="1" ht="12" spans="2:50">
      <c r="B88" s="5025" t="s">
        <v>584</v>
      </c>
      <c r="R88" s="4114">
        <f>+R84+1</f>
        <v>19</v>
      </c>
      <c r="S88" s="4114"/>
      <c r="T88" s="4114"/>
      <c r="U88" s="4114"/>
      <c r="V88" s="4116"/>
      <c r="X88" s="4115"/>
      <c r="AF88" s="4094"/>
      <c r="AG88" s="4082"/>
      <c r="AH88" s="4082"/>
      <c r="AI88" s="4082"/>
      <c r="AJ88" s="4082"/>
      <c r="AK88" s="4082"/>
      <c r="AL88" s="4082"/>
      <c r="AM88" s="4082"/>
      <c r="AN88" s="4082"/>
      <c r="AO88" s="2479"/>
      <c r="AP88" s="2479"/>
      <c r="AR88"/>
      <c r="AS88"/>
      <c r="AT88"/>
      <c r="AU88"/>
      <c r="AV88"/>
      <c r="AW88"/>
      <c r="AX88"/>
    </row>
    <row r="89" s="4048" customFormat="1" ht="12" spans="2:42">
      <c r="B89" s="5011" t="s">
        <v>853</v>
      </c>
      <c r="R89" s="4116"/>
      <c r="S89" s="4116"/>
      <c r="T89" s="4116"/>
      <c r="U89" s="4116"/>
      <c r="V89" s="4116"/>
      <c r="W89" s="3606">
        <f>+'40'!K24</f>
        <v>14200000</v>
      </c>
      <c r="X89" s="4115"/>
      <c r="Y89" s="4082">
        <f>+'40'!Q24</f>
        <v>137331501.4</v>
      </c>
      <c r="Z89" s="4082"/>
      <c r="AA89" s="4082"/>
      <c r="AB89" s="4082"/>
      <c r="AC89" s="4082"/>
      <c r="AD89" s="4082"/>
      <c r="AE89" s="4082"/>
      <c r="AF89" s="4094"/>
      <c r="AG89" s="4082">
        <f>+'40'!R24</f>
        <v>270992605</v>
      </c>
      <c r="AH89" s="4082"/>
      <c r="AI89" s="4082"/>
      <c r="AJ89" s="4082"/>
      <c r="AK89" s="4082"/>
      <c r="AL89" s="4082"/>
      <c r="AM89" s="4082"/>
      <c r="AN89" s="4082"/>
      <c r="AO89" s="2479"/>
      <c r="AP89" s="2479"/>
    </row>
    <row r="90" s="4048" customFormat="1" ht="12" spans="2:42">
      <c r="B90" s="5011" t="s">
        <v>854</v>
      </c>
      <c r="R90" s="4116"/>
      <c r="S90" s="4116"/>
      <c r="T90" s="4116"/>
      <c r="U90" s="4116"/>
      <c r="V90" s="4116"/>
      <c r="W90" s="3606">
        <f>+'40'!K37</f>
        <v>1255540746.64</v>
      </c>
      <c r="X90" s="4115"/>
      <c r="Y90" s="4082">
        <f>+'40'!Q37</f>
        <v>1356172888.4</v>
      </c>
      <c r="Z90" s="4082"/>
      <c r="AA90" s="4082"/>
      <c r="AB90" s="4082"/>
      <c r="AC90" s="4082"/>
      <c r="AD90" s="4082"/>
      <c r="AE90" s="4082"/>
      <c r="AF90" s="4094"/>
      <c r="AG90" s="4082">
        <f>+'40'!R37</f>
        <v>1401711967.03805</v>
      </c>
      <c r="AH90" s="4082"/>
      <c r="AI90" s="4082"/>
      <c r="AJ90" s="4082"/>
      <c r="AK90" s="4082"/>
      <c r="AL90" s="4082"/>
      <c r="AM90" s="4082"/>
      <c r="AN90" s="4082"/>
      <c r="AO90" s="2479"/>
      <c r="AP90" s="2479"/>
    </row>
    <row r="91" s="4048" customFormat="1" ht="6" customHeight="1" spans="2:42">
      <c r="B91" s="3629"/>
      <c r="R91" s="4116"/>
      <c r="S91" s="4116"/>
      <c r="T91" s="4116"/>
      <c r="U91" s="4116"/>
      <c r="V91" s="4116"/>
      <c r="W91" s="3611"/>
      <c r="X91" s="4115"/>
      <c r="Y91" s="4122"/>
      <c r="Z91" s="4122"/>
      <c r="AA91" s="4122"/>
      <c r="AB91" s="4122"/>
      <c r="AC91" s="4122"/>
      <c r="AD91" s="4122"/>
      <c r="AE91" s="4122"/>
      <c r="AG91" s="4122"/>
      <c r="AH91" s="4122"/>
      <c r="AI91" s="4122"/>
      <c r="AJ91" s="4122"/>
      <c r="AK91" s="4122"/>
      <c r="AL91" s="4122"/>
      <c r="AM91" s="4122"/>
      <c r="AN91" s="4082"/>
      <c r="AO91" s="2479"/>
      <c r="AP91" s="2479"/>
    </row>
    <row r="92" s="4048" customFormat="1" ht="12" spans="2:42">
      <c r="B92" s="5025" t="s">
        <v>825</v>
      </c>
      <c r="R92" s="4116"/>
      <c r="S92" s="4116"/>
      <c r="T92" s="4116"/>
      <c r="U92" s="4116"/>
      <c r="V92" s="4116"/>
      <c r="W92">
        <f>SUM(W89:W90)</f>
        <v>1269740746.64</v>
      </c>
      <c r="X92" s="4115"/>
      <c r="Y92">
        <f>SUM(Y89:AE91)</f>
        <v>1493504389.8</v>
      </c>
      <c r="Z92">
        <f t="shared" ref="Z92:AE92" si="8">SUM(Z89:Z90)</f>
        <v>0</v>
      </c>
      <c r="AA92">
        <f t="shared" si="8"/>
        <v>0</v>
      </c>
      <c r="AB92">
        <f t="shared" si="8"/>
        <v>0</v>
      </c>
      <c r="AC92">
        <f t="shared" si="8"/>
        <v>0</v>
      </c>
      <c r="AD92">
        <f t="shared" si="8"/>
        <v>0</v>
      </c>
      <c r="AE92">
        <f t="shared" si="8"/>
        <v>0</v>
      </c>
      <c r="AF92" s="4094"/>
      <c r="AG92" s="4082">
        <f>SUM(AG89:AM91)</f>
        <v>1672704572.03805</v>
      </c>
      <c r="AH92" s="4082"/>
      <c r="AI92" s="4082"/>
      <c r="AJ92" s="4082"/>
      <c r="AK92" s="4082"/>
      <c r="AL92" s="4082"/>
      <c r="AM92" s="4082"/>
      <c r="AN92" s="4082"/>
      <c r="AO92" s="2479"/>
      <c r="AP92" s="2479"/>
    </row>
    <row r="93" spans="18:42">
      <c r="R93" s="4067" t="s">
        <v>480</v>
      </c>
      <c r="S93" s="4067"/>
      <c r="T93" s="4067"/>
      <c r="U93" s="4067"/>
      <c r="V93" s="4067"/>
      <c r="W93" s="4066"/>
      <c r="X93" s="4060"/>
      <c r="Y93" s="4097"/>
      <c r="Z93" s="4097"/>
      <c r="AA93" s="4097"/>
      <c r="AB93" s="4097"/>
      <c r="AC93" s="4097"/>
      <c r="AD93" s="4097"/>
      <c r="AE93" s="4097"/>
      <c r="AF93" s="4082"/>
      <c r="AG93" s="4097"/>
      <c r="AH93" s="4097"/>
      <c r="AI93" s="4097"/>
      <c r="AJ93" s="4097"/>
      <c r="AK93" s="4097"/>
      <c r="AL93" s="4097"/>
      <c r="AM93" s="4097"/>
      <c r="AN93" s="4093"/>
      <c r="AO93" s="4093"/>
      <c r="AP93"/>
    </row>
    <row r="94" ht="12" spans="2:42">
      <c r="B94" s="4048" t="s">
        <v>855</v>
      </c>
      <c r="R94" s="4061"/>
      <c r="S94" s="4061"/>
      <c r="T94" s="4061"/>
      <c r="U94" s="4061"/>
      <c r="V94" s="4061"/>
      <c r="W94" s="2433">
        <f>W86-W92</f>
        <v>3151874167.95131</v>
      </c>
      <c r="X94" s="4060"/>
      <c r="Y94" s="4105">
        <f>+Y86-Y92</f>
        <v>996708063.2</v>
      </c>
      <c r="Z94" s="4105"/>
      <c r="AA94" s="4105"/>
      <c r="AB94" s="4105"/>
      <c r="AC94" s="4105"/>
      <c r="AD94" s="4105"/>
      <c r="AE94" s="4105"/>
      <c r="AF94" s="4082"/>
      <c r="AG94" s="4094">
        <f>+AG86-AG92</f>
        <v>1709836934.99999</v>
      </c>
      <c r="AH94" s="4094"/>
      <c r="AI94" s="4094"/>
      <c r="AJ94" s="4094"/>
      <c r="AK94" s="4094"/>
      <c r="AL94" s="4094"/>
      <c r="AM94" s="4094"/>
      <c r="AN94" s="4094"/>
      <c r="AO94" s="724">
        <f>W94/W82</f>
        <v>0.421677099982038</v>
      </c>
      <c r="AP94" s="724">
        <f>Y94/Y82</f>
        <v>0.1795385558228</v>
      </c>
    </row>
    <row r="95" spans="18:42">
      <c r="R95" s="4061"/>
      <c r="S95" s="4061"/>
      <c r="T95" s="4061"/>
      <c r="U95" s="4061"/>
      <c r="V95" s="4061"/>
      <c r="W95" s="4061"/>
      <c r="X95" s="4060"/>
      <c r="Y95" s="4092"/>
      <c r="Z95" s="4092"/>
      <c r="AA95" s="4092"/>
      <c r="AB95" s="4092"/>
      <c r="AC95" s="4092"/>
      <c r="AD95" s="4092"/>
      <c r="AE95" s="4092"/>
      <c r="AF95" s="4082"/>
      <c r="AG95" s="4092"/>
      <c r="AH95" s="4092"/>
      <c r="AI95" s="4092"/>
      <c r="AJ95" s="4092"/>
      <c r="AK95" s="4092"/>
      <c r="AL95" s="4092"/>
      <c r="AM95" s="4092"/>
      <c r="AN95" s="4092"/>
      <c r="AO95" s="4092"/>
      <c r="AP95"/>
    </row>
    <row r="96" ht="12" spans="2:42">
      <c r="B96" s="4048" t="s">
        <v>587</v>
      </c>
      <c r="R96" s="4114">
        <f>+R88</f>
        <v>19</v>
      </c>
      <c r="S96" s="4114"/>
      <c r="T96" s="4114"/>
      <c r="U96" s="4114"/>
      <c r="V96" s="4061"/>
      <c r="W96" s="4061"/>
      <c r="X96" s="4060"/>
      <c r="Y96" s="4092"/>
      <c r="Z96" s="4092"/>
      <c r="AA96" s="4092"/>
      <c r="AB96" s="4092"/>
      <c r="AC96" s="4092"/>
      <c r="AD96" s="4092"/>
      <c r="AE96" s="4092"/>
      <c r="AF96" s="4082"/>
      <c r="AG96"/>
      <c r="AH96"/>
      <c r="AI96"/>
      <c r="AJ96"/>
      <c r="AK96"/>
      <c r="AL96"/>
      <c r="AM96"/>
      <c r="AN96" s="4092"/>
      <c r="AO96" s="4092"/>
      <c r="AP96"/>
    </row>
    <row r="97" spans="2:45">
      <c r="B97" t="s">
        <v>589</v>
      </c>
      <c r="R97" s="4117"/>
      <c r="S97" s="4117"/>
      <c r="T97" s="4117"/>
      <c r="U97" s="4117"/>
      <c r="V97" s="4117"/>
      <c r="W97" s="3606">
        <f>+'50'!J36</f>
        <v>968019.0607</v>
      </c>
      <c r="X97" s="4060"/>
      <c r="Y97" s="18">
        <f>+'50'!P22+'50'!P35</f>
        <v>11928441.05</v>
      </c>
      <c r="Z97" s="18"/>
      <c r="AA97" s="18"/>
      <c r="AB97" s="18"/>
      <c r="AC97" s="18"/>
      <c r="AD97" s="18"/>
      <c r="AE97" s="18"/>
      <c r="AF97" s="4082"/>
      <c r="AG97" s="18">
        <f>+'50'!Q22+'50'!Q35</f>
        <v>10049050</v>
      </c>
      <c r="AH97" s="18"/>
      <c r="AI97" s="18"/>
      <c r="AJ97" s="18"/>
      <c r="AK97" s="18"/>
      <c r="AL97" s="18"/>
      <c r="AM97" s="18"/>
      <c r="AN97" s="4082"/>
      <c r="AO97" s="4082"/>
      <c r="AP97" s="4092"/>
      <c r="AQ97" s="4092"/>
      <c r="AR97" s="4092"/>
      <c r="AS97" s="4092"/>
    </row>
    <row r="98" spans="2:45">
      <c r="B98" t="s">
        <v>590</v>
      </c>
      <c r="R98" s="4061"/>
      <c r="S98" s="4061"/>
      <c r="T98" s="4061"/>
      <c r="U98" s="4061"/>
      <c r="V98" s="4061"/>
      <c r="W98" s="2635">
        <f>-'50'!J74</f>
        <v>-2449272217.5352</v>
      </c>
      <c r="X98" s="4060"/>
      <c r="Y98" s="4082">
        <f>-'50'!P74</f>
        <v>-737288565.624398</v>
      </c>
      <c r="Z98" s="4082"/>
      <c r="AA98" s="4082"/>
      <c r="AB98" s="4082"/>
      <c r="AC98" s="4082"/>
      <c r="AD98" s="4082"/>
      <c r="AE98" s="4082"/>
      <c r="AF98" s="4082"/>
      <c r="AG98" s="4082">
        <f>-'50'!Q74</f>
        <v>-687743370</v>
      </c>
      <c r="AH98" s="4082"/>
      <c r="AI98" s="4082"/>
      <c r="AJ98" s="4082"/>
      <c r="AK98" s="4082"/>
      <c r="AL98" s="4082"/>
      <c r="AM98" s="4082"/>
      <c r="AN98" s="4082"/>
      <c r="AO98" s="4082"/>
      <c r="AP98" s="4084"/>
      <c r="AQ98" s="4084"/>
      <c r="AR98" s="4084"/>
      <c r="AS98" s="4084"/>
    </row>
    <row r="99" ht="6" customHeight="1" spans="2:42">
      <c r="B99" s="4051"/>
      <c r="R99" s="4061"/>
      <c r="S99" s="4061"/>
      <c r="T99" s="4061"/>
      <c r="U99" s="4061"/>
      <c r="V99" s="4061"/>
      <c r="W99" s="4066"/>
      <c r="X99" s="4060"/>
      <c r="Y99" s="4097"/>
      <c r="Z99" s="4097"/>
      <c r="AA99" s="4097"/>
      <c r="AB99" s="4097"/>
      <c r="AC99" s="4097"/>
      <c r="AD99" s="4097"/>
      <c r="AE99" s="4097"/>
      <c r="AF99" s="4082"/>
      <c r="AG99" s="2098"/>
      <c r="AH99" s="2098"/>
      <c r="AI99" s="2098"/>
      <c r="AJ99" s="2098"/>
      <c r="AK99" s="2098"/>
      <c r="AL99" s="2098"/>
      <c r="AM99" s="2098"/>
      <c r="AN99" s="4093"/>
      <c r="AO99" s="4093"/>
      <c r="AP99" s="4093"/>
    </row>
    <row r="100" ht="12" customHeight="1" spans="2:42">
      <c r="B100" s="5024" t="s">
        <v>856</v>
      </c>
      <c r="R100" s="4061"/>
      <c r="S100" s="4061"/>
      <c r="T100" s="4061"/>
      <c r="U100" s="4061"/>
      <c r="V100" s="4061"/>
      <c r="W100" s="2671">
        <f>SUM(W97:W98)</f>
        <v>-2448304198.4745</v>
      </c>
      <c r="X100" s="4060"/>
      <c r="Y100" s="4094">
        <f>SUM(Y97:AE98)</f>
        <v>-725360124.574398</v>
      </c>
      <c r="Z100" s="4094"/>
      <c r="AA100" s="4094"/>
      <c r="AB100" s="4094"/>
      <c r="AC100" s="4094"/>
      <c r="AD100" s="4094"/>
      <c r="AE100" s="4094"/>
      <c r="AF100" s="4082"/>
      <c r="AG100" s="4094">
        <f>SUM(AG97:AM98)</f>
        <v>-677694320</v>
      </c>
      <c r="AH100" s="4094"/>
      <c r="AI100" s="4094"/>
      <c r="AJ100" s="4094"/>
      <c r="AK100" s="4094"/>
      <c r="AL100" s="4094"/>
      <c r="AM100" s="4094"/>
      <c r="AN100" s="4094"/>
      <c r="AO100" s="4094"/>
      <c r="AP100" s="4094"/>
    </row>
    <row r="101" ht="12" spans="2:42">
      <c r="B101" s="4051"/>
      <c r="R101" s="4061"/>
      <c r="S101" s="4061"/>
      <c r="T101" s="4061"/>
      <c r="U101" s="4061"/>
      <c r="V101" s="4061"/>
      <c r="W101" s="4061"/>
      <c r="X101" s="4060"/>
      <c r="AP101" s="4082"/>
    </row>
    <row r="102" ht="12" spans="2:42">
      <c r="B102" s="5024" t="s">
        <v>857</v>
      </c>
      <c r="R102" s="4067"/>
      <c r="S102" s="4067"/>
      <c r="T102" s="4067"/>
      <c r="U102" s="4067"/>
      <c r="V102" s="4067"/>
      <c r="W102" s="3499">
        <f>W94+W100</f>
        <v>703569969.476812</v>
      </c>
      <c r="X102" s="4060"/>
      <c r="Y102" s="4123">
        <f>Y94+Y100</f>
        <v>271347938.625602</v>
      </c>
      <c r="Z102" s="4123"/>
      <c r="AA102" s="4123"/>
      <c r="AB102" s="4123"/>
      <c r="AC102" s="4123"/>
      <c r="AD102" s="4123"/>
      <c r="AE102" s="4123"/>
      <c r="AF102" s="4094"/>
      <c r="AG102" s="4123">
        <f>AG94+AG100</f>
        <v>1032142614.99999</v>
      </c>
      <c r="AH102" s="4123"/>
      <c r="AI102" s="4123"/>
      <c r="AJ102" s="4123"/>
      <c r="AK102" s="4123"/>
      <c r="AL102" s="4123"/>
      <c r="AM102" s="4123"/>
      <c r="AN102" s="4094"/>
      <c r="AO102" s="4094"/>
      <c r="AP102" s="4093"/>
    </row>
    <row r="103" spans="18:42">
      <c r="R103" s="4067"/>
      <c r="S103" s="4067"/>
      <c r="T103" s="4067"/>
      <c r="U103" s="4067"/>
      <c r="V103" s="4067"/>
      <c r="W103" s="4067"/>
      <c r="X103" s="4060"/>
      <c r="Y103" s="4082"/>
      <c r="Z103" s="4082"/>
      <c r="AA103" s="4082"/>
      <c r="AB103" s="4082"/>
      <c r="AC103" s="4082"/>
      <c r="AD103" s="4082"/>
      <c r="AE103" s="4082"/>
      <c r="AF103" s="4082"/>
      <c r="AG103" s="4082"/>
      <c r="AH103" s="4082"/>
      <c r="AI103" s="4082"/>
      <c r="AJ103" s="4082"/>
      <c r="AK103" s="4082"/>
      <c r="AL103" s="4082"/>
      <c r="AM103" s="4082"/>
      <c r="AN103" s="4082"/>
      <c r="AO103" s="4082"/>
      <c r="AP103" s="4082"/>
    </row>
    <row r="104" ht="12" spans="2:42">
      <c r="B104" s="3607" t="s">
        <v>858</v>
      </c>
      <c r="R104" s="4067"/>
      <c r="S104" s="4067"/>
      <c r="T104" s="4067"/>
      <c r="U104" s="4067"/>
      <c r="V104" s="4067"/>
      <c r="W104" s="4067"/>
      <c r="X104" s="4060"/>
      <c r="Y104" s="4082"/>
      <c r="Z104" s="4082"/>
      <c r="AA104" s="4082"/>
      <c r="AB104" s="4082"/>
      <c r="AC104" s="4082"/>
      <c r="AD104" s="4082"/>
      <c r="AE104" s="4082"/>
      <c r="AF104" s="4082"/>
      <c r="AG104" s="4082"/>
      <c r="AH104" s="4082"/>
      <c r="AI104" s="4082"/>
      <c r="AJ104" s="4082"/>
      <c r="AK104" s="4082"/>
      <c r="AL104" s="4082"/>
      <c r="AM104" s="4082"/>
      <c r="AN104" s="4082"/>
      <c r="AO104" s="4082"/>
      <c r="AP104" s="4082"/>
    </row>
    <row r="105" spans="2:42">
      <c r="B105" s="3609" t="s">
        <v>594</v>
      </c>
      <c r="R105" s="4061">
        <f>+R38</f>
        <v>11</v>
      </c>
      <c r="S105" s="4061"/>
      <c r="T105" s="4061"/>
      <c r="U105" s="4061"/>
      <c r="V105" s="4061"/>
      <c r="W105" s="2635">
        <f>+'F3'!K37</f>
        <v>106154843.160568</v>
      </c>
      <c r="X105" s="4060"/>
      <c r="Y105" s="4082">
        <f>+'F3'!Q34</f>
        <v>36095021.3763269</v>
      </c>
      <c r="Z105" s="4082"/>
      <c r="AA105" s="4082"/>
      <c r="AB105" s="4082"/>
      <c r="AC105" s="4082"/>
      <c r="AD105" s="4082"/>
      <c r="AE105" s="4082"/>
      <c r="AF105" s="4082"/>
      <c r="AG105" s="18">
        <f>+'F3'!R34</f>
        <v>207586987.608534</v>
      </c>
      <c r="AH105" s="18"/>
      <c r="AI105" s="18"/>
      <c r="AJ105" s="18"/>
      <c r="AK105" s="18"/>
      <c r="AL105" s="18"/>
      <c r="AM105" s="18"/>
      <c r="AN105" s="4082"/>
      <c r="AO105" s="4082"/>
      <c r="AP105" s="4082"/>
    </row>
    <row r="106" hidden="1" spans="2:42">
      <c r="B106" s="4107" t="s">
        <v>595</v>
      </c>
      <c r="C106" s="4108"/>
      <c r="D106" s="4108"/>
      <c r="E106" s="4108"/>
      <c r="F106" s="4108"/>
      <c r="G106" s="4108"/>
      <c r="H106" s="4108"/>
      <c r="I106" s="4108"/>
      <c r="J106" s="4108"/>
      <c r="K106" s="4108"/>
      <c r="L106" s="4108"/>
      <c r="M106" s="4108"/>
      <c r="N106" s="4108"/>
      <c r="O106" s="4108"/>
      <c r="P106" s="4108"/>
      <c r="Q106" s="4108"/>
      <c r="R106" s="4118"/>
      <c r="S106" s="4118" t="s">
        <v>859</v>
      </c>
      <c r="T106" s="4118"/>
      <c r="U106" s="4118"/>
      <c r="V106" s="4118"/>
      <c r="W106" s="4118"/>
      <c r="X106" s="4119"/>
      <c r="Y106" s="4124">
        <v>0</v>
      </c>
      <c r="Z106" s="4124"/>
      <c r="AA106" s="4124"/>
      <c r="AB106" s="4124"/>
      <c r="AC106" s="4124"/>
      <c r="AD106" s="4124"/>
      <c r="AE106" s="4124"/>
      <c r="AF106" s="4124"/>
      <c r="AG106" s="4124">
        <v>0</v>
      </c>
      <c r="AH106" s="4124"/>
      <c r="AI106" s="4124"/>
      <c r="AJ106" s="4124"/>
      <c r="AK106" s="4124"/>
      <c r="AL106" s="4124"/>
      <c r="AM106" s="4124"/>
      <c r="AN106" s="4093"/>
      <c r="AO106" s="4093"/>
      <c r="AP106" s="4093"/>
    </row>
    <row r="107" ht="6" customHeight="1" spans="18:42">
      <c r="R107" s="4061"/>
      <c r="S107" s="4061"/>
      <c r="T107" s="4061"/>
      <c r="U107" s="4061"/>
      <c r="V107" s="4061"/>
      <c r="W107" s="4066"/>
      <c r="X107" s="4060"/>
      <c r="Y107" s="4097"/>
      <c r="Z107" s="4097"/>
      <c r="AA107" s="4097"/>
      <c r="AB107" s="4097"/>
      <c r="AC107" s="4097"/>
      <c r="AD107" s="4097"/>
      <c r="AE107" s="4097"/>
      <c r="AF107" s="4093"/>
      <c r="AG107" s="4097"/>
      <c r="AH107" s="4097"/>
      <c r="AI107" s="4097"/>
      <c r="AJ107" s="4097"/>
      <c r="AK107" s="4097"/>
      <c r="AL107" s="4097"/>
      <c r="AM107" s="4097"/>
      <c r="AN107" s="4093"/>
      <c r="AO107" s="4093"/>
      <c r="AP107" s="4093"/>
    </row>
    <row r="108" ht="12" customHeight="1" spans="2:42">
      <c r="B108" s="4048" t="s">
        <v>860</v>
      </c>
      <c r="R108" s="4061"/>
      <c r="S108" s="4061"/>
      <c r="T108" s="4061"/>
      <c r="U108" s="4061"/>
      <c r="V108" s="4061"/>
      <c r="W108" s="2671">
        <f>SUM(W105:W107)</f>
        <v>106154843.160568</v>
      </c>
      <c r="X108" s="4060"/>
      <c r="Y108" s="4094">
        <f>SUM(Y105:AE106)</f>
        <v>36095021.3763269</v>
      </c>
      <c r="Z108" s="4094"/>
      <c r="AA108" s="4094"/>
      <c r="AB108" s="4094"/>
      <c r="AC108" s="4094"/>
      <c r="AD108" s="4094"/>
      <c r="AE108" s="4094"/>
      <c r="AF108" s="4082"/>
      <c r="AG108" s="4094">
        <f>SUM(AG105:AM106)</f>
        <v>207586987.608534</v>
      </c>
      <c r="AH108" s="4094"/>
      <c r="AI108" s="4094"/>
      <c r="AJ108" s="4094"/>
      <c r="AK108" s="4094"/>
      <c r="AL108" s="4094"/>
      <c r="AM108" s="4094"/>
      <c r="AN108" s="4094"/>
      <c r="AO108" s="4094"/>
      <c r="AP108" s="4094"/>
    </row>
    <row r="109" ht="12" customHeight="1" spans="18:42">
      <c r="R109" s="4061"/>
      <c r="S109" s="4061"/>
      <c r="T109" s="4061"/>
      <c r="U109" s="4061"/>
      <c r="V109" s="4061"/>
      <c r="W109" s="4066"/>
      <c r="X109" s="4060"/>
      <c r="Y109" s="4097">
        <v>0</v>
      </c>
      <c r="Z109" s="4097"/>
      <c r="AA109" s="4097"/>
      <c r="AB109" s="4097"/>
      <c r="AC109" s="4097"/>
      <c r="AD109" s="4097"/>
      <c r="AE109" s="4097"/>
      <c r="AF109" s="4082"/>
      <c r="AG109" s="4097">
        <v>0</v>
      </c>
      <c r="AH109" s="4097"/>
      <c r="AI109" s="4097"/>
      <c r="AJ109" s="4097"/>
      <c r="AK109" s="4097"/>
      <c r="AL109" s="4097"/>
      <c r="AM109" s="4097"/>
      <c r="AN109" s="4093"/>
      <c r="AO109" s="4093"/>
      <c r="AP109" s="4093"/>
    </row>
    <row r="110" ht="12" spans="2:42">
      <c r="B110" s="5024" t="s">
        <v>861</v>
      </c>
      <c r="R110" s="4067"/>
      <c r="S110" s="4067"/>
      <c r="T110" s="4067"/>
      <c r="U110" s="4067"/>
      <c r="V110" s="4067"/>
      <c r="W110" s="3499">
        <f>W102-W108</f>
        <v>597415126.316243</v>
      </c>
      <c r="X110" s="4060"/>
      <c r="Y110" s="4123">
        <f>Y102-Y108</f>
        <v>235252917.249275</v>
      </c>
      <c r="Z110" s="4123"/>
      <c r="AA110" s="4123"/>
      <c r="AB110" s="4123"/>
      <c r="AC110" s="4123"/>
      <c r="AD110" s="4123"/>
      <c r="AE110" s="4123"/>
      <c r="AF110" s="4094"/>
      <c r="AG110" s="4123">
        <f>AG102-AG108</f>
        <v>824555627.39146</v>
      </c>
      <c r="AH110" s="4123"/>
      <c r="AI110" s="4123"/>
      <c r="AJ110" s="4123"/>
      <c r="AK110" s="4123"/>
      <c r="AL110" s="4123"/>
      <c r="AM110" s="4123"/>
      <c r="AN110" s="4094"/>
      <c r="AO110" s="4094"/>
      <c r="AP110" s="4094"/>
    </row>
    <row r="111" spans="18:42">
      <c r="R111" s="4067"/>
      <c r="S111" s="4067"/>
      <c r="T111" s="4067"/>
      <c r="U111" s="4067"/>
      <c r="V111" s="4067"/>
      <c r="W111" s="4067"/>
      <c r="X111" s="4060"/>
      <c r="Y111" s="4082"/>
      <c r="Z111" s="4082"/>
      <c r="AA111" s="4082"/>
      <c r="AB111" s="4082"/>
      <c r="AC111" s="4082"/>
      <c r="AD111" s="4082"/>
      <c r="AE111" s="4082"/>
      <c r="AF111" s="4082"/>
      <c r="AG111" s="4082"/>
      <c r="AH111" s="4082"/>
      <c r="AI111" s="4082"/>
      <c r="AJ111" s="4082"/>
      <c r="AK111" s="4082"/>
      <c r="AL111" s="4082"/>
      <c r="AM111" s="4082"/>
      <c r="AN111" s="4082"/>
      <c r="AO111" s="4082"/>
      <c r="AP111" s="4082"/>
    </row>
    <row r="112" ht="12" spans="2:42">
      <c r="B112" s="5024" t="s">
        <v>598</v>
      </c>
      <c r="R112" s="4067"/>
      <c r="S112" s="4067"/>
      <c r="T112" s="4067"/>
      <c r="U112" s="4067"/>
      <c r="V112" s="4067"/>
      <c r="W112" s="4067">
        <v>0</v>
      </c>
      <c r="X112" s="4060"/>
      <c r="Y112" s="4082">
        <f>'F30'!Q38</f>
        <v>0</v>
      </c>
      <c r="Z112" s="4082"/>
      <c r="AA112" s="4082"/>
      <c r="AB112" s="4082"/>
      <c r="AC112" s="4082"/>
      <c r="AD112" s="4082"/>
      <c r="AE112" s="4082"/>
      <c r="AF112" s="4082"/>
      <c r="AG112" s="4082">
        <f>'F30'!R38</f>
        <v>0</v>
      </c>
      <c r="AH112" s="4082"/>
      <c r="AI112" s="4082"/>
      <c r="AJ112" s="4082"/>
      <c r="AK112" s="4082"/>
      <c r="AL112" s="4082"/>
      <c r="AM112" s="4082"/>
      <c r="AN112" s="4082"/>
      <c r="AO112" s="4082"/>
      <c r="AP112" s="4082"/>
    </row>
    <row r="113" ht="12" customHeight="1" spans="18:42">
      <c r="R113" s="4067"/>
      <c r="S113" s="4067"/>
      <c r="T113" s="4067"/>
      <c r="U113" s="4067"/>
      <c r="V113" s="4067"/>
      <c r="W113" s="4067"/>
      <c r="X113" s="4060"/>
      <c r="Y113" s="4082"/>
      <c r="Z113" s="4082"/>
      <c r="AA113" s="4082"/>
      <c r="AB113" s="4082"/>
      <c r="AC113" s="4082"/>
      <c r="AD113" s="4082"/>
      <c r="AE113" s="4082"/>
      <c r="AF113" s="4082"/>
      <c r="AG113" s="4082"/>
      <c r="AH113" s="4082"/>
      <c r="AI113" s="4082"/>
      <c r="AJ113" s="4082"/>
      <c r="AK113" s="4082"/>
      <c r="AL113" s="4082"/>
      <c r="AM113" s="4082"/>
      <c r="AN113" s="4082"/>
      <c r="AO113" s="4082"/>
      <c r="AP113"/>
    </row>
    <row r="114" ht="12.75" spans="2:42">
      <c r="B114" s="5024" t="s">
        <v>862</v>
      </c>
      <c r="R114" s="4067"/>
      <c r="S114" s="4067"/>
      <c r="T114" s="4067"/>
      <c r="U114" s="4067"/>
      <c r="V114" s="4067"/>
      <c r="W114" s="3378">
        <f>SUM(W110:W113)</f>
        <v>597415126.316243</v>
      </c>
      <c r="X114" s="4060"/>
      <c r="Y114" s="4100">
        <f>Y110+Y112</f>
        <v>235252917.249275</v>
      </c>
      <c r="Z114" s="4100"/>
      <c r="AA114" s="4100"/>
      <c r="AB114" s="4100"/>
      <c r="AC114" s="4100"/>
      <c r="AD114" s="4100"/>
      <c r="AE114" s="4100"/>
      <c r="AF114" s="4083"/>
      <c r="AG114" s="4100">
        <f>AG110+AG112</f>
        <v>824555627.39146</v>
      </c>
      <c r="AH114" s="4100"/>
      <c r="AI114" s="4100"/>
      <c r="AJ114" s="4100"/>
      <c r="AK114" s="4100"/>
      <c r="AL114" s="4100"/>
      <c r="AM114" s="4100"/>
      <c r="AN114" s="4095"/>
      <c r="AO114" s="4095"/>
      <c r="AP114">
        <f>Y114/Y82</f>
        <v>0.042376469676016</v>
      </c>
    </row>
    <row r="115" ht="12.75" spans="2:42">
      <c r="B115" s="3607"/>
      <c r="R115" s="4067"/>
      <c r="S115" s="4067"/>
      <c r="T115" s="4067"/>
      <c r="U115" s="4067"/>
      <c r="V115" s="4067"/>
      <c r="X115"/>
      <c r="AF115"/>
      <c r="AO115">
        <f>W114/W82</f>
        <v>0.079925867762094</v>
      </c>
      <c r="AP115" s="724"/>
    </row>
    <row r="116" spans="18:44">
      <c r="R116" s="4067"/>
      <c r="S116" s="4067"/>
      <c r="T116" s="4067"/>
      <c r="U116" s="4067"/>
      <c r="V116" s="4067"/>
      <c r="W116"/>
      <c r="X116"/>
      <c r="Y116"/>
      <c r="Z116"/>
      <c r="AA116"/>
      <c r="AB116"/>
      <c r="AC116"/>
      <c r="AD116"/>
      <c r="AE116"/>
      <c r="AF116"/>
      <c r="AG116"/>
      <c r="AH116"/>
      <c r="AI116"/>
      <c r="AJ116"/>
      <c r="AK116"/>
      <c r="AL116"/>
      <c r="AM116"/>
      <c r="AN116" s="4081"/>
      <c r="AO116" s="2623">
        <f>Y114/Y82</f>
        <v>0.042376469676016</v>
      </c>
      <c r="AP116" s="2623"/>
      <c r="AQ116" s="2623"/>
      <c r="AR116" s="2623"/>
    </row>
    <row r="117" spans="18:44">
      <c r="R117" s="4061"/>
      <c r="S117" s="4061"/>
      <c r="T117" s="4061"/>
      <c r="U117" s="4061"/>
      <c r="V117" s="4061"/>
      <c r="W117" s="4061"/>
      <c r="X117" s="4060"/>
      <c r="Y117" s="4081"/>
      <c r="Z117" s="4081"/>
      <c r="AA117" s="4081"/>
      <c r="AB117" s="4081"/>
      <c r="AC117" s="4081"/>
      <c r="AD117" s="4081"/>
      <c r="AE117" s="4081"/>
      <c r="AF117" s="4081"/>
      <c r="AG117" s="4081"/>
      <c r="AH117" s="4081"/>
      <c r="AI117" s="4081"/>
      <c r="AJ117" s="4081"/>
      <c r="AK117" s="4081"/>
      <c r="AL117" s="4081"/>
      <c r="AM117" s="4081"/>
      <c r="AN117" s="4081"/>
      <c r="AO117" s="2623">
        <f>AG114/AG82</f>
        <v>0.0659274944525514</v>
      </c>
      <c r="AP117" s="2623"/>
      <c r="AQ117" s="2623"/>
      <c r="AR117" s="2623"/>
    </row>
    <row r="118" spans="18:42">
      <c r="R118" s="4061"/>
      <c r="S118" s="4061"/>
      <c r="T118" s="4061"/>
      <c r="U118" s="4061"/>
      <c r="V118" s="4061"/>
      <c r="W118" s="4061"/>
      <c r="X118" s="4060"/>
      <c r="Y118" s="4081"/>
      <c r="Z118" s="4081"/>
      <c r="AA118" s="4081"/>
      <c r="AB118" s="4081"/>
      <c r="AC118" s="4081"/>
      <c r="AD118" s="4081"/>
      <c r="AE118" s="4081"/>
      <c r="AF118" s="4081"/>
      <c r="AG118" s="4081"/>
      <c r="AH118" s="4081"/>
      <c r="AI118" s="4081"/>
      <c r="AJ118" s="4081"/>
      <c r="AK118" s="4081"/>
      <c r="AL118" s="4081"/>
      <c r="AM118" s="4081"/>
      <c r="AN118" s="4081"/>
      <c r="AO118" s="4081"/>
      <c r="AP118" s="4081"/>
    </row>
    <row r="119" spans="18:42">
      <c r="R119" s="4109"/>
      <c r="S119" s="4109"/>
      <c r="T119" s="4109"/>
      <c r="U119" s="4109"/>
      <c r="V119" s="4109"/>
      <c r="W119" s="4109"/>
      <c r="X119" s="4060"/>
      <c r="Y119" s="4081"/>
      <c r="Z119" s="4081"/>
      <c r="AA119" s="4081"/>
      <c r="AB119" s="4081"/>
      <c r="AC119" s="4081"/>
      <c r="AD119" s="4081"/>
      <c r="AE119" s="4081"/>
      <c r="AF119" s="4081"/>
      <c r="AG119" s="4081"/>
      <c r="AH119" s="4081"/>
      <c r="AI119" s="4081"/>
      <c r="AJ119" s="4081"/>
      <c r="AK119" s="4081"/>
      <c r="AL119" s="4081"/>
      <c r="AM119" s="4081"/>
      <c r="AN119" s="4081"/>
      <c r="AO119" s="4081"/>
      <c r="AP119" s="4081"/>
    </row>
    <row r="120" spans="18:42">
      <c r="R120" s="4109"/>
      <c r="S120" s="4109"/>
      <c r="T120" s="4109"/>
      <c r="U120" s="4109"/>
      <c r="V120" s="4109"/>
      <c r="W120" s="4109"/>
      <c r="X120" s="4060"/>
      <c r="Y120" s="4081"/>
      <c r="Z120" s="4081"/>
      <c r="AA120" s="4081"/>
      <c r="AB120" s="4081"/>
      <c r="AC120" s="4081"/>
      <c r="AD120" s="4081"/>
      <c r="AE120" s="4081"/>
      <c r="AF120" s="4081"/>
      <c r="AG120" s="4081"/>
      <c r="AH120" s="4081"/>
      <c r="AI120" s="4081"/>
      <c r="AJ120" s="4081"/>
      <c r="AK120" s="4081"/>
      <c r="AL120" s="4081"/>
      <c r="AM120" s="4081"/>
      <c r="AN120" s="4081"/>
      <c r="AO120" s="4081"/>
      <c r="AP120" s="4081"/>
    </row>
    <row r="121" spans="18:42">
      <c r="R121" s="4109"/>
      <c r="S121" s="4109"/>
      <c r="T121" s="4109"/>
      <c r="U121" s="4109"/>
      <c r="V121" s="4109"/>
      <c r="W121" s="4109"/>
      <c r="X121" s="4060"/>
      <c r="Y121" s="4081"/>
      <c r="Z121" s="4081"/>
      <c r="AA121" s="4081"/>
      <c r="AB121" s="4081"/>
      <c r="AC121" s="4081"/>
      <c r="AD121" s="4081"/>
      <c r="AE121" s="4081"/>
      <c r="AF121" s="4081"/>
      <c r="AG121" s="4081"/>
      <c r="AH121" s="4081"/>
      <c r="AI121" s="4081"/>
      <c r="AJ121" s="4081"/>
      <c r="AK121" s="4081"/>
      <c r="AL121" s="4081"/>
      <c r="AM121" s="4081"/>
      <c r="AN121" s="4081"/>
      <c r="AO121" s="4081"/>
      <c r="AP121" s="4081"/>
    </row>
    <row r="122" spans="18:42">
      <c r="R122" s="4109"/>
      <c r="S122" s="4109"/>
      <c r="T122" s="4109"/>
      <c r="U122" s="4109"/>
      <c r="V122" s="4109"/>
      <c r="W122" s="4109"/>
      <c r="X122" s="4060"/>
      <c r="Y122" s="4081"/>
      <c r="Z122" s="4081"/>
      <c r="AA122" s="4081"/>
      <c r="AB122" s="4081"/>
      <c r="AC122" s="4081"/>
      <c r="AD122" s="4081"/>
      <c r="AE122" s="4081"/>
      <c r="AF122" s="4081"/>
      <c r="AG122" s="4081"/>
      <c r="AH122" s="4081"/>
      <c r="AI122" s="4081"/>
      <c r="AJ122" s="4081"/>
      <c r="AK122" s="4081"/>
      <c r="AL122" s="4081"/>
      <c r="AM122" s="4081"/>
      <c r="AN122" s="4081"/>
      <c r="AO122" s="4081"/>
      <c r="AP122" s="4081"/>
    </row>
    <row r="123" spans="18:42">
      <c r="R123" s="4109"/>
      <c r="S123" s="4109"/>
      <c r="T123" s="4109"/>
      <c r="U123" s="4109"/>
      <c r="V123" s="4109"/>
      <c r="W123" s="4109"/>
      <c r="X123" s="4060"/>
      <c r="Y123" s="4081"/>
      <c r="Z123" s="4081"/>
      <c r="AA123" s="4081"/>
      <c r="AB123" s="4081"/>
      <c r="AC123" s="4081"/>
      <c r="AD123" s="4081"/>
      <c r="AE123" s="4081"/>
      <c r="AF123" s="4081"/>
      <c r="AG123" s="4081"/>
      <c r="AH123" s="4081"/>
      <c r="AI123" s="4081"/>
      <c r="AJ123" s="4081"/>
      <c r="AK123" s="4081"/>
      <c r="AL123" s="4081"/>
      <c r="AM123" s="4081"/>
      <c r="AN123" s="4081"/>
      <c r="AO123" s="4081"/>
      <c r="AP123" s="4081"/>
    </row>
    <row r="124" spans="18:42">
      <c r="R124" s="4109"/>
      <c r="S124" s="4109"/>
      <c r="T124" s="4109"/>
      <c r="U124" s="4109"/>
      <c r="V124" s="4109"/>
      <c r="W124" s="4109"/>
      <c r="X124" s="4060"/>
      <c r="Y124" s="4081"/>
      <c r="Z124" s="4081"/>
      <c r="AA124" s="4081"/>
      <c r="AB124" s="4081"/>
      <c r="AC124" s="4081"/>
      <c r="AD124" s="4081"/>
      <c r="AE124" s="4081"/>
      <c r="AF124" s="4081"/>
      <c r="AG124" s="4081"/>
      <c r="AH124" s="4081"/>
      <c r="AI124" s="4081"/>
      <c r="AJ124" s="4081"/>
      <c r="AK124" s="4081"/>
      <c r="AL124" s="4081"/>
      <c r="AM124" s="4081"/>
      <c r="AN124" s="4081"/>
      <c r="AO124" s="4081"/>
      <c r="AP124" s="4081"/>
    </row>
    <row r="125" spans="18:42">
      <c r="R125" s="4109"/>
      <c r="S125" s="4109"/>
      <c r="T125" s="4109"/>
      <c r="U125" s="4109"/>
      <c r="V125" s="4109"/>
      <c r="W125" s="4109"/>
      <c r="X125" s="4060"/>
      <c r="Y125" s="4081"/>
      <c r="Z125" s="4081"/>
      <c r="AA125" s="4081"/>
      <c r="AB125" s="4081"/>
      <c r="AC125" s="4081"/>
      <c r="AD125" s="4081"/>
      <c r="AE125" s="4081"/>
      <c r="AF125" s="4081"/>
      <c r="AG125" s="4081"/>
      <c r="AH125" s="4081"/>
      <c r="AI125" s="4081"/>
      <c r="AJ125" s="4081"/>
      <c r="AK125" s="4081"/>
      <c r="AL125" s="4081"/>
      <c r="AM125" s="4081"/>
      <c r="AN125" s="4081"/>
      <c r="AO125" s="4081"/>
      <c r="AP125" s="4081"/>
    </row>
    <row r="126" spans="18:42">
      <c r="R126" s="4109"/>
      <c r="S126" s="4109"/>
      <c r="T126" s="4109"/>
      <c r="U126" s="4109"/>
      <c r="V126" s="4109"/>
      <c r="W126" s="4109"/>
      <c r="X126" s="4060"/>
      <c r="Y126" s="4081"/>
      <c r="Z126" s="4081"/>
      <c r="AA126" s="4081"/>
      <c r="AB126" s="4081"/>
      <c r="AC126" s="4081"/>
      <c r="AD126" s="4081"/>
      <c r="AE126" s="4081"/>
      <c r="AF126" s="4081"/>
      <c r="AG126" s="4081"/>
      <c r="AH126" s="4081"/>
      <c r="AI126" s="4081"/>
      <c r="AJ126" s="4081"/>
      <c r="AK126" s="4081"/>
      <c r="AL126" s="4081"/>
      <c r="AM126" s="4081"/>
      <c r="AN126" s="4081"/>
      <c r="AO126" s="4081"/>
      <c r="AP126" s="4081"/>
    </row>
    <row r="127" spans="18:42">
      <c r="R127" s="4109"/>
      <c r="S127" s="4109"/>
      <c r="T127" s="4109"/>
      <c r="U127" s="4109"/>
      <c r="V127" s="4109"/>
      <c r="W127" s="4109"/>
      <c r="X127" s="4060"/>
      <c r="Y127" s="4081"/>
      <c r="Z127" s="4081"/>
      <c r="AA127" s="4081"/>
      <c r="AB127" s="4081"/>
      <c r="AC127" s="4081"/>
      <c r="AD127" s="4081"/>
      <c r="AE127" s="4081"/>
      <c r="AF127" s="4081"/>
      <c r="AG127" s="4081"/>
      <c r="AH127" s="4081"/>
      <c r="AI127" s="4081"/>
      <c r="AJ127" s="4081"/>
      <c r="AK127" s="4081"/>
      <c r="AL127" s="4081"/>
      <c r="AM127" s="4081"/>
      <c r="AN127" s="4081"/>
      <c r="AO127" s="4081"/>
      <c r="AP127" s="4081"/>
    </row>
    <row r="128" spans="18:42">
      <c r="R128" s="4109"/>
      <c r="S128" s="4109"/>
      <c r="T128" s="4109"/>
      <c r="U128" s="4109"/>
      <c r="V128" s="4109"/>
      <c r="W128" s="4109"/>
      <c r="X128" s="4060"/>
      <c r="Y128" s="4081"/>
      <c r="Z128" s="4081"/>
      <c r="AA128" s="4081"/>
      <c r="AB128" s="4081"/>
      <c r="AC128" s="4081"/>
      <c r="AD128" s="4081"/>
      <c r="AE128" s="4081"/>
      <c r="AF128" s="4081"/>
      <c r="AG128" s="4081"/>
      <c r="AH128" s="4081"/>
      <c r="AI128" s="4081"/>
      <c r="AJ128" s="4081"/>
      <c r="AK128" s="4081"/>
      <c r="AL128" s="4081"/>
      <c r="AM128" s="4081"/>
      <c r="AN128" s="4081"/>
      <c r="AO128" s="4081"/>
      <c r="AP128" s="4081"/>
    </row>
    <row r="129" spans="18:42">
      <c r="R129" s="4109"/>
      <c r="S129" s="4109"/>
      <c r="T129" s="4109"/>
      <c r="U129" s="4109"/>
      <c r="V129" s="4109"/>
      <c r="W129" s="4109"/>
      <c r="X129" s="4060"/>
      <c r="Y129" s="4081"/>
      <c r="Z129" s="4081"/>
      <c r="AA129" s="4081"/>
      <c r="AB129" s="4081"/>
      <c r="AC129" s="4081"/>
      <c r="AD129" s="4081"/>
      <c r="AE129" s="4081"/>
      <c r="AF129" s="4081"/>
      <c r="AG129" s="4081"/>
      <c r="AH129" s="4081"/>
      <c r="AI129" s="4081"/>
      <c r="AJ129" s="4081"/>
      <c r="AK129" s="4081"/>
      <c r="AL129" s="4081"/>
      <c r="AM129" s="4081"/>
      <c r="AN129" s="4081"/>
      <c r="AO129" s="4081"/>
      <c r="AP129" s="4081"/>
    </row>
    <row r="130" spans="18:42">
      <c r="R130" s="4109"/>
      <c r="S130" s="4109"/>
      <c r="T130" s="4109"/>
      <c r="U130" s="4109"/>
      <c r="V130" s="4109"/>
      <c r="W130" s="4109"/>
      <c r="X130" s="4060"/>
      <c r="Y130" s="4081"/>
      <c r="Z130" s="4081"/>
      <c r="AA130" s="4081"/>
      <c r="AB130" s="4081"/>
      <c r="AC130" s="4081"/>
      <c r="AD130" s="4081"/>
      <c r="AE130" s="4081"/>
      <c r="AF130" s="4081"/>
      <c r="AG130" s="4081"/>
      <c r="AH130" s="4081"/>
      <c r="AI130" s="4081"/>
      <c r="AJ130" s="4081"/>
      <c r="AK130" s="4081"/>
      <c r="AL130" s="4081"/>
      <c r="AM130" s="4081"/>
      <c r="AN130" s="4081"/>
      <c r="AO130" s="4081"/>
      <c r="AP130" s="4081"/>
    </row>
    <row r="131" spans="18:42">
      <c r="R131" s="4109"/>
      <c r="S131" s="4109"/>
      <c r="T131" s="4109"/>
      <c r="U131" s="4109"/>
      <c r="V131" s="4109"/>
      <c r="W131" s="4109"/>
      <c r="X131" s="4060"/>
      <c r="Y131" s="4081"/>
      <c r="Z131" s="4081"/>
      <c r="AA131" s="4081"/>
      <c r="AB131" s="4081"/>
      <c r="AC131" s="4081"/>
      <c r="AD131" s="4081"/>
      <c r="AE131" s="4081"/>
      <c r="AF131" s="4081"/>
      <c r="AG131" s="4081"/>
      <c r="AH131" s="4081"/>
      <c r="AI131" s="4081"/>
      <c r="AJ131" s="4081"/>
      <c r="AK131" s="4081"/>
      <c r="AL131" s="4081"/>
      <c r="AM131" s="4081"/>
      <c r="AN131" s="4081"/>
      <c r="AO131" s="4081"/>
      <c r="AP131" s="4081"/>
    </row>
    <row r="132" spans="2:42">
      <c r="B132" s="3609">
        <f>B68</f>
        <v>0</v>
      </c>
      <c r="R132" s="4109"/>
      <c r="S132" s="4109"/>
      <c r="T132" s="4109"/>
      <c r="U132" s="4109"/>
      <c r="V132" s="4109"/>
      <c r="W132" s="4109"/>
      <c r="X132" s="4060"/>
      <c r="Y132" s="4081"/>
      <c r="Z132" s="4081"/>
      <c r="AA132" s="4081"/>
      <c r="AB132" s="4081"/>
      <c r="AC132" s="4081"/>
      <c r="AD132" s="4081"/>
      <c r="AE132" s="4081"/>
      <c r="AF132" s="4081"/>
      <c r="AG132" s="4081"/>
      <c r="AH132" s="4081"/>
      <c r="AI132" s="4081"/>
      <c r="AJ132" s="4081"/>
      <c r="AK132" s="4081"/>
      <c r="AL132" s="4081"/>
      <c r="AM132" s="4081"/>
      <c r="AN132" s="4081"/>
      <c r="AO132" s="4081"/>
      <c r="AP132" s="4081"/>
    </row>
    <row r="133" spans="2:42">
      <c r="B133" s="3609"/>
      <c r="R133" s="4109"/>
      <c r="S133" s="4109"/>
      <c r="T133" s="4109"/>
      <c r="U133" s="4109"/>
      <c r="V133" s="4109"/>
      <c r="W133" s="4109"/>
      <c r="X133" s="4060"/>
      <c r="Y133" s="4081"/>
      <c r="Z133" s="4081"/>
      <c r="AA133" s="4081"/>
      <c r="AB133" s="4081"/>
      <c r="AC133" s="4081"/>
      <c r="AD133" s="4081"/>
      <c r="AE133" s="4081"/>
      <c r="AF133" s="4081"/>
      <c r="AG133" s="4081"/>
      <c r="AH133" s="4081"/>
      <c r="AI133" s="4081"/>
      <c r="AJ133" s="4081"/>
      <c r="AK133" s="4081"/>
      <c r="AL133" s="4081"/>
      <c r="AM133" s="4081"/>
      <c r="AN133" s="4081"/>
      <c r="AO133" s="4081"/>
      <c r="AP133" s="4081"/>
    </row>
    <row r="134" spans="2:42">
      <c r="B134" s="3609"/>
      <c r="R134" s="4109"/>
      <c r="S134" s="4109"/>
      <c r="T134" s="4109"/>
      <c r="U134" s="4109"/>
      <c r="V134" s="4109"/>
      <c r="W134" s="4109"/>
      <c r="X134" s="4060"/>
      <c r="Y134" s="4081"/>
      <c r="Z134" s="4081"/>
      <c r="AA134" s="4081"/>
      <c r="AB134" s="4081"/>
      <c r="AC134" s="4081"/>
      <c r="AD134" s="4081"/>
      <c r="AE134" s="4081"/>
      <c r="AF134" s="4081"/>
      <c r="AG134" s="4081"/>
      <c r="AH134" s="4081"/>
      <c r="AI134" s="4081"/>
      <c r="AJ134" s="4081"/>
      <c r="AK134" s="4081"/>
      <c r="AL134" s="4081"/>
      <c r="AM134" s="4081"/>
      <c r="AN134" s="4081"/>
      <c r="AO134" s="4081"/>
      <c r="AP134" s="4081"/>
    </row>
    <row r="135" spans="2:42">
      <c r="B135" s="3609"/>
      <c r="R135" s="4109"/>
      <c r="S135" s="4109"/>
      <c r="T135" s="4109"/>
      <c r="U135" s="4109"/>
      <c r="V135" s="4109"/>
      <c r="W135" s="4109"/>
      <c r="X135" s="4060"/>
      <c r="Y135" s="4081"/>
      <c r="Z135" s="4081"/>
      <c r="AA135" s="4081"/>
      <c r="AB135" s="4081"/>
      <c r="AC135" s="4081"/>
      <c r="AD135" s="4081"/>
      <c r="AE135" s="4081"/>
      <c r="AF135" s="4081"/>
      <c r="AG135" s="4081"/>
      <c r="AH135" s="4081"/>
      <c r="AI135" s="4081"/>
      <c r="AJ135" s="4081"/>
      <c r="AK135" s="4081"/>
      <c r="AL135" s="4081"/>
      <c r="AM135" s="4081"/>
      <c r="AN135" s="4081"/>
      <c r="AO135" s="4081"/>
      <c r="AP135" s="4081"/>
    </row>
    <row r="136" spans="18:42">
      <c r="R136" s="4109"/>
      <c r="S136" s="4109"/>
      <c r="T136" s="4109"/>
      <c r="U136" s="4109"/>
      <c r="V136" s="4109"/>
      <c r="W136" s="4109"/>
      <c r="X136" s="4060"/>
      <c r="Y136" s="4081"/>
      <c r="Z136" s="4081"/>
      <c r="AA136" s="4081"/>
      <c r="AB136" s="4081"/>
      <c r="AC136" s="4081"/>
      <c r="AD136" s="4081"/>
      <c r="AE136" s="4081"/>
      <c r="AF136" s="4081"/>
      <c r="AG136" s="4081"/>
      <c r="AH136" s="4081"/>
      <c r="AI136" s="4081"/>
      <c r="AJ136" s="4081"/>
      <c r="AK136" s="4081"/>
      <c r="AL136" s="4081"/>
      <c r="AM136" s="4081"/>
      <c r="AN136" s="4081"/>
      <c r="AO136" s="4081"/>
      <c r="AP136" s="4081"/>
    </row>
    <row r="137" spans="18:42">
      <c r="R137" s="4109"/>
      <c r="S137" s="4109"/>
      <c r="T137" s="4109"/>
      <c r="U137" s="4109"/>
      <c r="V137" s="4109"/>
      <c r="W137" s="4109"/>
      <c r="X137" s="4060"/>
      <c r="Y137" s="4081"/>
      <c r="Z137" s="4081"/>
      <c r="AA137" s="4081"/>
      <c r="AB137" s="4081"/>
      <c r="AC137" s="4081"/>
      <c r="AD137" s="4081"/>
      <c r="AE137" s="4081"/>
      <c r="AF137" s="4081"/>
      <c r="AG137" s="4081"/>
      <c r="AH137" s="4081"/>
      <c r="AI137" s="4081"/>
      <c r="AJ137" s="4081"/>
      <c r="AK137" s="4081"/>
      <c r="AL137" s="4081"/>
      <c r="AM137" s="4081"/>
      <c r="AN137" s="4081"/>
      <c r="AO137" s="4081"/>
      <c r="AP137" s="4081"/>
    </row>
    <row r="138" spans="2:42">
      <c r="B138" s="3609"/>
      <c r="R138" s="4109"/>
      <c r="S138" s="4109"/>
      <c r="T138" s="4109"/>
      <c r="U138" s="4109"/>
      <c r="V138" s="4109"/>
      <c r="W138" s="4109"/>
      <c r="X138" s="4060"/>
      <c r="Y138" s="4081"/>
      <c r="Z138" s="4081"/>
      <c r="AA138" s="4081"/>
      <c r="AB138" s="4081"/>
      <c r="AC138" s="4081"/>
      <c r="AD138" s="4081"/>
      <c r="AE138" s="4081"/>
      <c r="AF138" s="4081"/>
      <c r="AG138" s="4081"/>
      <c r="AH138" s="4081"/>
      <c r="AI138" s="4081"/>
      <c r="AJ138" s="4081"/>
      <c r="AK138" s="4081"/>
      <c r="AL138" s="4081"/>
      <c r="AM138" s="4081"/>
      <c r="AN138" s="4081"/>
      <c r="AO138" s="4081"/>
      <c r="AP138" s="4081"/>
    </row>
    <row r="139" spans="18:42">
      <c r="R139" s="4109"/>
      <c r="S139" s="4109"/>
      <c r="T139" s="4109"/>
      <c r="U139" s="4109"/>
      <c r="V139" s="4109"/>
      <c r="W139" s="4109"/>
      <c r="X139" s="4060"/>
      <c r="Y139" s="4081"/>
      <c r="Z139" s="4081"/>
      <c r="AA139" s="4081"/>
      <c r="AB139" s="4081"/>
      <c r="AC139" s="4081"/>
      <c r="AD139" s="4081"/>
      <c r="AE139" s="4081"/>
      <c r="AF139" s="4081"/>
      <c r="AG139" s="4081"/>
      <c r="AH139" s="4081"/>
      <c r="AI139" s="4081"/>
      <c r="AJ139" s="4081"/>
      <c r="AK139" s="4081"/>
      <c r="AL139" s="4081"/>
      <c r="AM139" s="4081"/>
      <c r="AN139" s="4081"/>
      <c r="AO139" s="4081"/>
      <c r="AP139" s="4081"/>
    </row>
    <row r="140" ht="12" spans="2:42">
      <c r="B140" s="3607" t="str">
        <f>+B1</f>
        <v>PT INTAN GIRI ABADI</v>
      </c>
      <c r="R140" s="4109"/>
      <c r="S140" s="4109"/>
      <c r="T140" s="4109"/>
      <c r="U140" s="4109"/>
      <c r="V140" s="4109"/>
      <c r="W140" s="4109"/>
      <c r="X140" s="4060"/>
      <c r="Y140" s="4081"/>
      <c r="Z140" s="4081"/>
      <c r="AA140" s="4081"/>
      <c r="AB140" s="4081"/>
      <c r="AC140" s="4081"/>
      <c r="AD140" s="4081"/>
      <c r="AE140" s="4081"/>
      <c r="AF140" s="4081"/>
      <c r="AG140" s="4081"/>
      <c r="AH140" s="4081"/>
      <c r="AI140" s="4081"/>
      <c r="AJ140" s="4081"/>
      <c r="AK140" s="4081"/>
      <c r="AL140" s="4081"/>
      <c r="AM140" s="4081"/>
      <c r="AN140" s="4081"/>
      <c r="AO140" s="4081"/>
      <c r="AP140" s="4081"/>
    </row>
    <row r="141" ht="12" spans="2:42">
      <c r="B141" s="5010" t="str">
        <f>+ekin21!B148</f>
        <v>Laporan Perubahan Ekuitas</v>
      </c>
      <c r="AF141" s="4154"/>
      <c r="AG141" s="4154"/>
      <c r="AH141" s="4102">
        <f>AI65</f>
        <v>0</v>
      </c>
      <c r="AI141" s="4102"/>
      <c r="AJ141" s="4102"/>
      <c r="AK141" s="4102"/>
      <c r="AL141" s="4102"/>
      <c r="AM141" s="4102"/>
      <c r="AN141" s="4081"/>
      <c r="AO141" s="4081"/>
      <c r="AP141" s="4081"/>
    </row>
    <row r="142" ht="12" spans="2:42">
      <c r="B142" s="5010" t="str">
        <f>+B76</f>
        <v>Untuk Tahun yang Berakhir 31 Desember 2022 dan 2021</v>
      </c>
      <c r="AF142" s="4154"/>
      <c r="AG142" s="4154"/>
      <c r="AH142" s="4102"/>
      <c r="AI142" s="4102"/>
      <c r="AJ142" s="4102"/>
      <c r="AK142" s="4102"/>
      <c r="AL142" s="4102"/>
      <c r="AM142" s="4102"/>
      <c r="AN142" s="4081"/>
      <c r="AO142" s="4081"/>
      <c r="AP142" s="4081"/>
    </row>
    <row r="143" spans="2:42">
      <c r="B143" s="3609" t="s">
        <v>450</v>
      </c>
      <c r="AF143" s="4154"/>
      <c r="AG143" s="4154"/>
      <c r="AH143" s="4102">
        <f>AI68</f>
        <v>0</v>
      </c>
      <c r="AI143" s="4102"/>
      <c r="AJ143" s="4102"/>
      <c r="AK143" s="4102"/>
      <c r="AL143" s="4102"/>
      <c r="AM143" s="4102"/>
      <c r="AN143" s="4081"/>
      <c r="AO143" s="4081"/>
      <c r="AP143" s="4081"/>
    </row>
    <row r="144" ht="12" hidden="1" customHeight="1" spans="2:42">
      <c r="B144" s="3611"/>
      <c r="C144" s="3611"/>
      <c r="D144" s="3611"/>
      <c r="E144" s="3611"/>
      <c r="F144" s="3611"/>
      <c r="G144" s="3611"/>
      <c r="H144" s="3611"/>
      <c r="I144" s="3611"/>
      <c r="J144" s="3611"/>
      <c r="K144" s="3611"/>
      <c r="L144" s="3611"/>
      <c r="M144" s="3611"/>
      <c r="N144" s="3611"/>
      <c r="O144" s="3611"/>
      <c r="P144" s="3611"/>
      <c r="Q144" s="3611"/>
      <c r="R144" s="4054"/>
      <c r="S144" s="4054"/>
      <c r="T144" s="4054"/>
      <c r="U144" s="4054"/>
      <c r="V144" s="4054"/>
      <c r="W144" s="4054"/>
      <c r="X144" s="4054"/>
      <c r="Y144" s="3611"/>
      <c r="Z144" s="3611"/>
      <c r="AA144" s="3611"/>
      <c r="AB144" s="3611"/>
      <c r="AC144" s="3611"/>
      <c r="AD144" s="3611"/>
      <c r="AE144" s="3611"/>
      <c r="AF144" s="4155"/>
      <c r="AG144" s="4155"/>
      <c r="AH144" s="4125"/>
      <c r="AI144" s="4125"/>
      <c r="AJ144" s="4125"/>
      <c r="AK144" s="4125"/>
      <c r="AL144" s="4125"/>
      <c r="AM144" s="4125"/>
      <c r="AN144" s="4081"/>
      <c r="AO144" s="4081"/>
      <c r="AP144" s="4081"/>
    </row>
    <row r="145" ht="12" hidden="1" customHeight="1" spans="2:42">
      <c r="B145" s="5010" t="s">
        <v>287</v>
      </c>
      <c r="AF145" s="3624" t="str">
        <f>AF75</f>
        <v>Approval for Print</v>
      </c>
      <c r="AG145" s="3624"/>
      <c r="AH145" s="4101" t="str">
        <f>AH75</f>
        <v>signature</v>
      </c>
      <c r="AI145" s="4101"/>
      <c r="AJ145" s="4101"/>
      <c r="AK145" s="4101"/>
      <c r="AL145" s="4101"/>
      <c r="AM145" s="4101"/>
      <c r="AN145" s="4101"/>
      <c r="AO145" s="4101"/>
      <c r="AP145" s="4101"/>
    </row>
    <row r="146" ht="12" hidden="1" customHeight="1" spans="2:42">
      <c r="B146" s="5010" t="str">
        <f>B3</f>
        <v>Pada Tanggal 31 Desember 2022 Dan 2021</v>
      </c>
      <c r="AF146" s="3624"/>
      <c r="AG146" s="3624"/>
      <c r="AH146" s="4101"/>
      <c r="AI146" s="4101"/>
      <c r="AJ146" s="4101"/>
      <c r="AK146" s="4101"/>
      <c r="AL146" s="4101"/>
      <c r="AM146" s="4101"/>
      <c r="AN146" s="4101"/>
      <c r="AO146" s="4101"/>
      <c r="AP146" s="4101"/>
    </row>
    <row r="147" ht="12" hidden="1" customHeight="1" spans="2:42">
      <c r="B147" s="3609" t="s">
        <v>450</v>
      </c>
      <c r="AF147" s="3624"/>
      <c r="AG147" s="3624"/>
      <c r="AH147" s="4101" t="str">
        <f>AH77</f>
        <v>Date</v>
      </c>
      <c r="AI147" s="4101"/>
      <c r="AJ147" s="4101"/>
      <c r="AK147" s="4101"/>
      <c r="AL147" s="4101"/>
      <c r="AM147" s="4101"/>
      <c r="AN147" s="4101"/>
      <c r="AO147" s="4101"/>
      <c r="AP147" s="4101"/>
    </row>
    <row r="148" ht="12" hidden="1" customHeight="1" spans="2:42">
      <c r="B148" s="3610"/>
      <c r="C148" s="3611"/>
      <c r="D148" s="3611"/>
      <c r="E148" s="3611"/>
      <c r="F148" s="3611"/>
      <c r="G148" s="3611"/>
      <c r="H148" s="3611"/>
      <c r="I148" s="3611"/>
      <c r="J148" s="3611"/>
      <c r="K148" s="3611"/>
      <c r="L148" s="3611"/>
      <c r="M148" s="3611"/>
      <c r="N148" s="3611"/>
      <c r="O148" s="3611"/>
      <c r="P148" s="3611"/>
      <c r="Q148" s="3611"/>
      <c r="R148" s="4054"/>
      <c r="S148" s="4054"/>
      <c r="T148" s="4054"/>
      <c r="U148" s="4054"/>
      <c r="V148" s="4054"/>
      <c r="W148" s="4054"/>
      <c r="X148" s="4054"/>
      <c r="Y148" s="3611"/>
      <c r="Z148" s="3611"/>
      <c r="AA148" s="3611"/>
      <c r="AB148" s="3611"/>
      <c r="AC148" s="3611"/>
      <c r="AD148" s="3611"/>
      <c r="AE148" s="3611"/>
      <c r="AF148" s="3626"/>
      <c r="AG148" s="3626"/>
      <c r="AH148" s="4157"/>
      <c r="AI148" s="4157"/>
      <c r="AJ148" s="4157"/>
      <c r="AK148" s="4157"/>
      <c r="AL148" s="4157"/>
      <c r="AM148" s="4157"/>
      <c r="AN148" s="4101"/>
      <c r="AO148" s="4101"/>
      <c r="AP148" s="4101"/>
    </row>
    <row r="149" hidden="1"/>
    <row r="150" ht="38.25" hidden="1" customHeight="1" spans="2:42">
      <c r="B150" s="3315"/>
      <c r="C150" s="3315"/>
      <c r="D150" s="3315"/>
      <c r="E150" s="3315"/>
      <c r="F150" s="3315"/>
      <c r="G150" s="3315"/>
      <c r="H150" s="3315"/>
      <c r="I150" s="3315"/>
      <c r="J150" s="3315"/>
      <c r="K150" s="3315"/>
      <c r="L150" s="3315"/>
      <c r="M150" s="3315"/>
      <c r="N150" s="3315"/>
      <c r="O150" s="3315"/>
      <c r="P150" s="4137"/>
      <c r="Q150" s="4137"/>
      <c r="R150" s="4137"/>
      <c r="S150" s="4137"/>
      <c r="T150" s="4137"/>
      <c r="U150" s="4137"/>
      <c r="V150" s="4143"/>
      <c r="W150" s="4143"/>
      <c r="X150" s="4144"/>
      <c r="Y150" s="4137" t="s">
        <v>863</v>
      </c>
      <c r="Z150" s="4137"/>
      <c r="AA150" s="4137"/>
      <c r="AB150" s="4137"/>
      <c r="AC150" s="4137"/>
      <c r="AD150" s="4137"/>
      <c r="AE150" s="4137"/>
      <c r="AF150" s="3315"/>
      <c r="AG150" s="4137" t="s">
        <v>864</v>
      </c>
      <c r="AH150" s="4137"/>
      <c r="AI150" s="4137"/>
      <c r="AJ150" s="4137"/>
      <c r="AK150" s="4137"/>
      <c r="AL150" s="4137"/>
      <c r="AM150" s="4137"/>
      <c r="AN150" s="4158"/>
      <c r="AO150" s="4158"/>
      <c r="AP150" s="4158"/>
    </row>
    <row r="151" hidden="1" spans="2:42">
      <c r="B151" s="3315"/>
      <c r="C151" s="3315"/>
      <c r="D151" s="3315"/>
      <c r="E151" s="3315"/>
      <c r="F151" s="3315"/>
      <c r="G151" s="3315"/>
      <c r="H151" s="3315"/>
      <c r="I151" s="3315"/>
      <c r="J151" s="3315"/>
      <c r="K151" s="3315"/>
      <c r="L151" s="3315"/>
      <c r="M151" s="3315"/>
      <c r="N151" s="3315"/>
      <c r="O151" s="3315"/>
      <c r="P151" s="3"/>
      <c r="Q151" s="3"/>
      <c r="R151" s="3"/>
      <c r="S151" s="3"/>
      <c r="T151" s="3"/>
      <c r="U151" s="3"/>
      <c r="V151" s="3"/>
      <c r="W151" s="3"/>
      <c r="X151" s="4145"/>
      <c r="Y151" s="3"/>
      <c r="Z151" s="3"/>
      <c r="AA151" s="3"/>
      <c r="AB151" s="3"/>
      <c r="AC151" s="3"/>
      <c r="AD151" s="3"/>
      <c r="AE151" s="3"/>
      <c r="AF151" s="3"/>
      <c r="AG151" s="3"/>
      <c r="AH151" s="3"/>
      <c r="AI151" s="3"/>
      <c r="AJ151" s="3"/>
      <c r="AK151" s="3"/>
      <c r="AL151" s="3"/>
      <c r="AM151" s="3"/>
      <c r="AN151" s="3"/>
      <c r="AO151" s="3"/>
      <c r="AP151" s="3"/>
    </row>
    <row r="152" ht="12" hidden="1" customHeight="1" spans="2:42">
      <c r="B152" s="3322" t="s">
        <v>604</v>
      </c>
      <c r="C152" s="3315"/>
      <c r="D152" s="3315"/>
      <c r="E152" s="3315"/>
      <c r="F152" s="3315"/>
      <c r="G152" s="3315"/>
      <c r="H152" s="3315"/>
      <c r="I152" s="3315"/>
      <c r="J152" s="3315"/>
      <c r="K152" s="3315"/>
      <c r="L152" s="3315"/>
      <c r="M152" s="3315"/>
      <c r="N152" s="3315"/>
      <c r="O152" s="3315"/>
      <c r="P152" s="4138"/>
      <c r="Q152" s="4138"/>
      <c r="R152" s="4138"/>
      <c r="S152" s="4138"/>
      <c r="T152" s="4138"/>
      <c r="U152" s="4138"/>
      <c r="V152" s="4138"/>
      <c r="W152" s="4138"/>
      <c r="X152" s="4146"/>
      <c r="Y152" s="4138">
        <f>SUM([80]LapKeu!$AQ$166:$AZ$166)+SUM([80]LapKeu!$AG$170:$AP$170)</f>
        <v>-8143590685</v>
      </c>
      <c r="Z152" s="4138"/>
      <c r="AA152" s="4138"/>
      <c r="AB152" s="4138"/>
      <c r="AC152" s="4138"/>
      <c r="AD152" s="4138"/>
      <c r="AE152" s="4138"/>
      <c r="AF152" s="4138"/>
      <c r="AG152" s="4138" t="e">
        <f>#REF!+Y152</f>
        <v>#REF!</v>
      </c>
      <c r="AH152" s="4138"/>
      <c r="AI152" s="4138"/>
      <c r="AJ152" s="4138"/>
      <c r="AK152" s="4138"/>
      <c r="AL152" s="4138"/>
      <c r="AM152" s="4138"/>
      <c r="AN152" s="4138"/>
      <c r="AO152" s="4138"/>
      <c r="AP152" s="4138"/>
    </row>
    <row r="153" hidden="1" spans="2:42">
      <c r="B153" s="3315"/>
      <c r="C153" s="3315"/>
      <c r="D153" s="3315"/>
      <c r="E153" s="3315"/>
      <c r="F153" s="3315"/>
      <c r="G153" s="3315"/>
      <c r="H153" s="3315"/>
      <c r="I153" s="3315"/>
      <c r="J153" s="3315"/>
      <c r="K153" s="3315"/>
      <c r="L153" s="3315"/>
      <c r="M153" s="3315"/>
      <c r="N153" s="3315"/>
      <c r="O153" s="3315"/>
      <c r="P153" s="4138"/>
      <c r="Q153" s="4138"/>
      <c r="R153" s="4138"/>
      <c r="S153" s="4138"/>
      <c r="T153" s="4138"/>
      <c r="U153" s="4138"/>
      <c r="V153" s="4138"/>
      <c r="W153" s="4138"/>
      <c r="X153" s="4146"/>
      <c r="Y153" s="4138"/>
      <c r="Z153" s="4138"/>
      <c r="AA153" s="4138"/>
      <c r="AB153" s="4138"/>
      <c r="AC153" s="4138"/>
      <c r="AD153" s="4138"/>
      <c r="AE153" s="4138"/>
      <c r="AF153" s="4138"/>
      <c r="AG153" s="4138"/>
      <c r="AH153" s="4138"/>
      <c r="AI153" s="4138"/>
      <c r="AJ153" s="4138"/>
      <c r="AK153" s="4138"/>
      <c r="AL153" s="4138"/>
      <c r="AM153" s="4138"/>
      <c r="AN153" s="4138"/>
      <c r="AO153" s="4138"/>
      <c r="AP153" s="4138"/>
    </row>
    <row r="154" hidden="1" spans="2:42">
      <c r="B154" s="5026" t="s">
        <v>605</v>
      </c>
      <c r="C154" s="3315"/>
      <c r="D154" s="3315"/>
      <c r="E154" s="3315"/>
      <c r="F154" s="3315"/>
      <c r="G154" s="3315"/>
      <c r="H154" s="3315"/>
      <c r="I154" s="3315"/>
      <c r="J154" s="3315"/>
      <c r="K154" s="3315"/>
      <c r="L154" s="3315"/>
      <c r="M154" s="3315"/>
      <c r="N154" s="3315"/>
      <c r="O154" s="3315"/>
      <c r="P154" s="4138"/>
      <c r="Q154" s="4138"/>
      <c r="R154" s="4138"/>
      <c r="S154" s="4138"/>
      <c r="T154" s="4138"/>
      <c r="U154" s="4138"/>
      <c r="V154" s="4138"/>
      <c r="W154" s="4138"/>
      <c r="X154" s="4146"/>
      <c r="Y154" s="4138"/>
      <c r="Z154" s="4138"/>
      <c r="AA154" s="4138"/>
      <c r="AB154" s="4138"/>
      <c r="AC154" s="4138"/>
      <c r="AD154" s="4138"/>
      <c r="AE154" s="4138"/>
      <c r="AF154" s="4138"/>
      <c r="AG154" s="4138"/>
      <c r="AH154" s="4138"/>
      <c r="AI154" s="4138"/>
      <c r="AJ154" s="4138"/>
      <c r="AK154" s="4138"/>
      <c r="AL154" s="4138"/>
      <c r="AM154" s="4138"/>
      <c r="AN154" s="4138"/>
      <c r="AO154" s="4138"/>
      <c r="AP154" s="4138"/>
    </row>
    <row r="155" hidden="1" spans="2:42">
      <c r="B155" s="3315"/>
      <c r="C155" s="3315" t="s">
        <v>606</v>
      </c>
      <c r="D155" s="3315"/>
      <c r="E155" s="3315"/>
      <c r="F155" s="3315"/>
      <c r="G155" s="3315"/>
      <c r="H155" s="3315"/>
      <c r="I155" s="3315"/>
      <c r="J155" s="3315"/>
      <c r="K155" s="3315"/>
      <c r="L155" s="3315"/>
      <c r="M155" s="3315"/>
      <c r="N155" s="3315"/>
      <c r="O155" s="3315"/>
      <c r="P155" s="4138"/>
      <c r="Q155" s="4138"/>
      <c r="R155" s="4138"/>
      <c r="S155" s="4138"/>
      <c r="T155" s="4138"/>
      <c r="U155" s="4138"/>
      <c r="V155" s="4138"/>
      <c r="W155" s="4138"/>
      <c r="X155" s="4146"/>
      <c r="Y155" s="4138" t="e">
        <f>'[81]FS-1'!$X$157:$AD$157</f>
        <v>#REF!</v>
      </c>
      <c r="Z155" s="4138"/>
      <c r="AA155" s="4138"/>
      <c r="AB155" s="4138"/>
      <c r="AC155" s="4138"/>
      <c r="AD155" s="4138"/>
      <c r="AE155" s="4138"/>
      <c r="AF155" s="4138"/>
      <c r="AG155" s="4138" t="e">
        <f>#REF!+Y155</f>
        <v>#REF!</v>
      </c>
      <c r="AH155" s="4138"/>
      <c r="AI155" s="4138"/>
      <c r="AJ155" s="4138"/>
      <c r="AK155" s="4138"/>
      <c r="AL155" s="4138"/>
      <c r="AM155" s="4138"/>
      <c r="AN155" s="4138"/>
      <c r="AO155" s="4138"/>
      <c r="AP155" s="4138"/>
    </row>
    <row r="156" ht="12" hidden="1" customHeight="1" spans="2:42">
      <c r="B156" s="3315"/>
      <c r="C156" s="3315"/>
      <c r="D156" s="3315"/>
      <c r="E156" s="3315"/>
      <c r="F156" s="3315"/>
      <c r="G156" s="3315"/>
      <c r="H156" s="3315"/>
      <c r="I156" s="3315"/>
      <c r="J156" s="3315"/>
      <c r="K156" s="3315"/>
      <c r="L156" s="3315"/>
      <c r="M156" s="3315"/>
      <c r="N156" s="3315"/>
      <c r="O156" s="3315"/>
      <c r="P156" s="4139"/>
      <c r="Q156" s="4139"/>
      <c r="R156" s="4139"/>
      <c r="S156" s="4139"/>
      <c r="T156" s="4139"/>
      <c r="U156" s="4139"/>
      <c r="V156" s="4139"/>
      <c r="W156" s="4139"/>
      <c r="X156" s="4147"/>
      <c r="Y156" s="4139"/>
      <c r="Z156" s="4139"/>
      <c r="AA156" s="4139"/>
      <c r="AB156" s="4139"/>
      <c r="AC156" s="4139"/>
      <c r="AD156" s="4139"/>
      <c r="AE156" s="4139"/>
      <c r="AF156" s="4139"/>
      <c r="AG156" s="4139"/>
      <c r="AH156" s="4139"/>
      <c r="AI156" s="4139"/>
      <c r="AJ156" s="4139"/>
      <c r="AK156" s="4139"/>
      <c r="AL156" s="4139"/>
      <c r="AM156" s="4139"/>
      <c r="AN156" s="4139"/>
      <c r="AO156" s="4139"/>
      <c r="AP156" s="4139"/>
    </row>
    <row r="157" ht="12" hidden="1" spans="2:42">
      <c r="B157" s="3322" t="s">
        <v>607</v>
      </c>
      <c r="C157" s="3322"/>
      <c r="D157" s="3322"/>
      <c r="E157" s="3322"/>
      <c r="F157" s="3322"/>
      <c r="G157" s="3322"/>
      <c r="H157" s="3322"/>
      <c r="I157" s="3322"/>
      <c r="J157" s="3322"/>
      <c r="K157" s="3322"/>
      <c r="L157" s="3322"/>
      <c r="M157" s="3322"/>
      <c r="N157" s="3322"/>
      <c r="O157" s="3322"/>
      <c r="P157" s="4140"/>
      <c r="Q157" s="4140"/>
      <c r="R157" s="4140"/>
      <c r="S157" s="4140"/>
      <c r="T157" s="4140"/>
      <c r="U157" s="4140"/>
      <c r="V157" s="4140"/>
      <c r="W157" s="4140"/>
      <c r="X157" s="4148"/>
      <c r="Y157" s="4140">
        <f>'F2'!R42</f>
        <v>9040934717.37351</v>
      </c>
      <c r="Z157" s="4140"/>
      <c r="AA157" s="4140"/>
      <c r="AB157" s="4140"/>
      <c r="AC157" s="4140"/>
      <c r="AD157" s="4140"/>
      <c r="AE157" s="4140"/>
      <c r="AF157" s="4140"/>
      <c r="AG157" s="4140">
        <f>SUM(P157:AE157)</f>
        <v>9040934717.37351</v>
      </c>
      <c r="AH157" s="4140"/>
      <c r="AI157" s="4140"/>
      <c r="AJ157" s="4140"/>
      <c r="AK157" s="4140"/>
      <c r="AL157" s="4140"/>
      <c r="AM157" s="4140"/>
      <c r="AN157" s="4140"/>
      <c r="AO157" s="4140"/>
      <c r="AP157" s="4140"/>
    </row>
    <row r="158" ht="12" hidden="1" customHeight="1" spans="2:42">
      <c r="B158" s="3315"/>
      <c r="C158" s="3315"/>
      <c r="D158" s="3315"/>
      <c r="E158" s="3315"/>
      <c r="F158" s="3315"/>
      <c r="G158" s="3315"/>
      <c r="H158" s="3315"/>
      <c r="I158" s="3315"/>
      <c r="J158" s="3315"/>
      <c r="K158" s="3315"/>
      <c r="L158" s="3315"/>
      <c r="M158" s="3315"/>
      <c r="N158" s="3315"/>
      <c r="O158" s="3315"/>
      <c r="P158" s="4138"/>
      <c r="Q158" s="4138"/>
      <c r="R158" s="4138"/>
      <c r="S158" s="4138"/>
      <c r="T158" s="4138"/>
      <c r="U158" s="4138"/>
      <c r="V158" s="4138"/>
      <c r="W158" s="4138"/>
      <c r="X158" s="4146"/>
      <c r="Y158" s="4138"/>
      <c r="Z158" s="4138"/>
      <c r="AA158" s="4138"/>
      <c r="AB158" s="4138"/>
      <c r="AC158" s="4138"/>
      <c r="AD158" s="4138"/>
      <c r="AE158" s="4138"/>
      <c r="AF158" s="4138"/>
      <c r="AG158" s="4138"/>
      <c r="AH158" s="4138"/>
      <c r="AI158" s="4138"/>
      <c r="AJ158" s="4138"/>
      <c r="AK158" s="4138"/>
      <c r="AL158" s="4138"/>
      <c r="AM158" s="4138"/>
      <c r="AN158" s="4138"/>
      <c r="AO158" s="4138"/>
      <c r="AP158" s="4138"/>
    </row>
    <row r="159" ht="12" hidden="1" customHeight="1" spans="2:42">
      <c r="B159" s="5035" t="s">
        <v>865</v>
      </c>
      <c r="C159" s="2623"/>
      <c r="D159" s="2623"/>
      <c r="E159" s="2623"/>
      <c r="F159" s="2623"/>
      <c r="G159" s="2623"/>
      <c r="H159" s="2623"/>
      <c r="I159" s="2623"/>
      <c r="J159" s="2623"/>
      <c r="K159" s="2623"/>
      <c r="L159" s="2623"/>
      <c r="M159" s="2623"/>
      <c r="N159" s="2623"/>
      <c r="O159" s="2623"/>
      <c r="P159" s="4138"/>
      <c r="Q159" s="4138"/>
      <c r="R159" s="4138"/>
      <c r="S159" s="4138"/>
      <c r="T159" s="4138"/>
      <c r="U159" s="4138"/>
      <c r="V159" s="4138"/>
      <c r="W159" s="4138"/>
      <c r="X159" s="4146"/>
      <c r="Y159" s="4138">
        <f>AG114</f>
        <v>824555627.39146</v>
      </c>
      <c r="Z159" s="4138"/>
      <c r="AA159" s="4138"/>
      <c r="AB159" s="4138"/>
      <c r="AC159" s="4138"/>
      <c r="AD159" s="4138"/>
      <c r="AE159" s="4138"/>
      <c r="AF159" s="4138"/>
      <c r="AG159" s="4138" t="e">
        <f>#REF!+Y159</f>
        <v>#REF!</v>
      </c>
      <c r="AH159" s="4138"/>
      <c r="AI159" s="4138"/>
      <c r="AJ159" s="4138"/>
      <c r="AK159" s="4138"/>
      <c r="AL159" s="4138"/>
      <c r="AM159" s="4138"/>
      <c r="AN159" s="4138"/>
      <c r="AO159" s="4138"/>
      <c r="AP159" s="4159" t="e">
        <f>#REF!</f>
        <v>#REF!</v>
      </c>
    </row>
    <row r="160" hidden="1" spans="2:42">
      <c r="B160" s="3462"/>
      <c r="C160" s="3339"/>
      <c r="D160" s="3339"/>
      <c r="E160" s="3339"/>
      <c r="F160" s="3339"/>
      <c r="G160" s="3339"/>
      <c r="H160" s="3339"/>
      <c r="I160" s="3339"/>
      <c r="J160" s="3339"/>
      <c r="K160" s="3339"/>
      <c r="L160" s="3339"/>
      <c r="M160" s="3339"/>
      <c r="N160" s="3339"/>
      <c r="O160" s="3339"/>
      <c r="P160" s="4138"/>
      <c r="Q160" s="4138"/>
      <c r="R160" s="4146"/>
      <c r="S160" s="4146"/>
      <c r="T160" s="4146"/>
      <c r="U160" s="4146"/>
      <c r="V160" s="4146"/>
      <c r="W160" s="4146"/>
      <c r="X160" s="4146"/>
      <c r="Y160" s="4138"/>
      <c r="Z160" s="4138"/>
      <c r="AA160" s="4138"/>
      <c r="AB160" s="4138"/>
      <c r="AC160" s="4138"/>
      <c r="AD160" s="4138"/>
      <c r="AE160" s="4138"/>
      <c r="AF160" s="4138"/>
      <c r="AG160" s="4138"/>
      <c r="AH160" s="4138"/>
      <c r="AI160" s="4138"/>
      <c r="AJ160" s="4138"/>
      <c r="AK160" s="4138"/>
      <c r="AL160" s="4138"/>
      <c r="AM160" s="4138"/>
      <c r="AN160" s="4138"/>
      <c r="AO160" s="4138"/>
      <c r="AP160" s="4138"/>
    </row>
    <row r="161" hidden="1" spans="2:42">
      <c r="B161" s="5035" t="s">
        <v>866</v>
      </c>
      <c r="C161" s="3339"/>
      <c r="D161" s="3339"/>
      <c r="E161" s="3339"/>
      <c r="F161" s="3339"/>
      <c r="G161" s="3339"/>
      <c r="H161" s="3339"/>
      <c r="I161" s="3339"/>
      <c r="J161" s="3339"/>
      <c r="K161" s="3339"/>
      <c r="L161" s="3339"/>
      <c r="M161" s="3339"/>
      <c r="N161" s="3339"/>
      <c r="O161" s="3339"/>
      <c r="P161" s="4138"/>
      <c r="Q161" s="4138"/>
      <c r="R161" s="4138"/>
      <c r="S161" s="4138"/>
      <c r="T161" s="4138"/>
      <c r="U161" s="4138"/>
      <c r="V161" s="4138"/>
      <c r="W161" s="4138"/>
      <c r="X161" s="4146"/>
      <c r="Y161" s="4138">
        <v>0</v>
      </c>
      <c r="Z161" s="4138"/>
      <c r="AA161" s="4138"/>
      <c r="AB161" s="4138"/>
      <c r="AC161" s="4138"/>
      <c r="AD161" s="4138"/>
      <c r="AE161" s="4138"/>
      <c r="AF161" s="4138"/>
      <c r="AG161" s="4138">
        <v>250000000</v>
      </c>
      <c r="AH161" s="4138"/>
      <c r="AI161" s="4138"/>
      <c r="AJ161" s="4138"/>
      <c r="AK161" s="4138"/>
      <c r="AL161" s="4138"/>
      <c r="AM161" s="4138"/>
      <c r="AN161" s="4138"/>
      <c r="AO161" s="4138"/>
      <c r="AP161" s="4138"/>
    </row>
    <row r="162" hidden="1" spans="2:42">
      <c r="B162" s="3315"/>
      <c r="C162" s="3315"/>
      <c r="D162" s="3315"/>
      <c r="E162" s="3315"/>
      <c r="F162" s="3315"/>
      <c r="G162" s="3315"/>
      <c r="H162" s="3315"/>
      <c r="I162" s="3315"/>
      <c r="J162" s="3315"/>
      <c r="K162" s="3315"/>
      <c r="L162" s="3315"/>
      <c r="M162" s="3315"/>
      <c r="N162" s="3315"/>
      <c r="O162" s="3315"/>
      <c r="P162" s="4141"/>
      <c r="Q162" s="4141"/>
      <c r="R162" s="4149"/>
      <c r="S162" s="4149"/>
      <c r="T162" s="4149"/>
      <c r="U162" s="4149"/>
      <c r="V162" s="4150"/>
      <c r="W162" s="4150"/>
      <c r="X162" s="4146"/>
      <c r="Y162" s="4141"/>
      <c r="Z162" s="4141"/>
      <c r="AA162" s="4141"/>
      <c r="AB162" s="4141"/>
      <c r="AC162" s="4141"/>
      <c r="AD162" s="4141"/>
      <c r="AE162" s="4141"/>
      <c r="AF162" s="4138"/>
      <c r="AG162" s="4141"/>
      <c r="AH162" s="4141"/>
      <c r="AI162" s="4141"/>
      <c r="AJ162" s="4141"/>
      <c r="AK162" s="4141"/>
      <c r="AL162" s="4141"/>
      <c r="AM162" s="4141"/>
      <c r="AN162" s="4139"/>
      <c r="AO162" s="4139"/>
      <c r="AP162" s="4139">
        <f>AG60</f>
        <v>9865490344.76497</v>
      </c>
    </row>
    <row r="163" ht="12" hidden="1" spans="2:42">
      <c r="B163" s="5028" t="s">
        <v>610</v>
      </c>
      <c r="C163" s="3322"/>
      <c r="D163" s="3322"/>
      <c r="E163" s="3322"/>
      <c r="F163" s="3322"/>
      <c r="G163" s="3322"/>
      <c r="H163" s="3322"/>
      <c r="I163" s="3322"/>
      <c r="J163" s="3322"/>
      <c r="K163" s="3322"/>
      <c r="L163" s="3322"/>
      <c r="M163" s="3322"/>
      <c r="N163" s="3322"/>
      <c r="O163" s="3322"/>
      <c r="P163" s="4140"/>
      <c r="Q163" s="4140"/>
      <c r="R163" s="4140"/>
      <c r="S163" s="4140"/>
      <c r="T163" s="4140"/>
      <c r="U163" s="4140"/>
      <c r="V163" s="4140"/>
      <c r="W163" s="4140"/>
      <c r="X163" s="4148"/>
      <c r="Y163" s="4140">
        <f>SUM(Y157:AE162)</f>
        <v>9865490344.76497</v>
      </c>
      <c r="Z163" s="4140"/>
      <c r="AA163" s="4140"/>
      <c r="AB163" s="4140"/>
      <c r="AC163" s="4140"/>
      <c r="AD163" s="4140"/>
      <c r="AE163" s="4140"/>
      <c r="AF163" s="4140"/>
      <c r="AG163" s="4140" t="e">
        <f>SUM(AG157:AM162)</f>
        <v>#REF!</v>
      </c>
      <c r="AH163" s="4140"/>
      <c r="AI163" s="4140"/>
      <c r="AJ163" s="4140"/>
      <c r="AK163" s="4140"/>
      <c r="AL163" s="4140"/>
      <c r="AM163" s="4140"/>
      <c r="AN163" s="4140"/>
      <c r="AO163" s="4140"/>
      <c r="AP163" s="4140">
        <f>AG62</f>
        <v>20865490344.765</v>
      </c>
    </row>
    <row r="164" ht="12" hidden="1" customHeight="1" spans="2:42">
      <c r="B164" s="3609"/>
      <c r="C164" s="3609"/>
      <c r="D164" s="3609"/>
      <c r="E164" s="3609"/>
      <c r="F164" s="3609"/>
      <c r="G164" s="3609"/>
      <c r="H164" s="3609"/>
      <c r="I164" s="3609"/>
      <c r="J164" s="3609"/>
      <c r="K164" s="3609"/>
      <c r="L164" s="3609"/>
      <c r="M164" s="3609"/>
      <c r="N164" s="3609"/>
      <c r="O164" s="3609"/>
      <c r="P164" s="3609"/>
      <c r="X164" s="4151"/>
      <c r="Y164" s="4156"/>
      <c r="Z164" s="4156"/>
      <c r="AA164" s="4156"/>
      <c r="AB164" s="4156"/>
      <c r="AC164" s="4156"/>
      <c r="AD164" s="4156"/>
      <c r="AE164" s="4156"/>
      <c r="AF164" s="4156"/>
      <c r="AG164" s="4156"/>
      <c r="AH164" s="4156"/>
      <c r="AI164" s="4156"/>
      <c r="AJ164" s="4156"/>
      <c r="AK164" s="4156"/>
      <c r="AL164" s="4156"/>
      <c r="AM164" s="4156"/>
      <c r="AN164" s="4156"/>
      <c r="AO164" s="4156"/>
      <c r="AP164" s="4156"/>
    </row>
    <row r="165" ht="12" hidden="1" customHeight="1" spans="2:42">
      <c r="B165" s="5026" t="s">
        <v>865</v>
      </c>
      <c r="C165" s="3315"/>
      <c r="D165" s="3315"/>
      <c r="E165" s="3315"/>
      <c r="F165" s="3315"/>
      <c r="G165" s="3315"/>
      <c r="H165" s="3315"/>
      <c r="I165" s="3315"/>
      <c r="J165" s="3315"/>
      <c r="K165" s="3315"/>
      <c r="L165" s="3315"/>
      <c r="M165" s="3315"/>
      <c r="N165" s="3315"/>
      <c r="O165" s="3315"/>
      <c r="P165" s="4138"/>
      <c r="Q165" s="4138"/>
      <c r="R165" s="4138"/>
      <c r="S165" s="4138"/>
      <c r="T165" s="4138"/>
      <c r="U165" s="4138"/>
      <c r="V165" s="4138"/>
      <c r="W165" s="4138"/>
      <c r="X165" s="4146"/>
      <c r="Y165" s="4138">
        <f>Y114</f>
        <v>235252917.249275</v>
      </c>
      <c r="Z165" s="4138"/>
      <c r="AA165" s="4138"/>
      <c r="AB165" s="4138"/>
      <c r="AC165" s="4138"/>
      <c r="AD165" s="4138"/>
      <c r="AE165" s="4138"/>
      <c r="AF165" s="4138"/>
      <c r="AG165" s="4138" t="e">
        <f>#REF!+Y165</f>
        <v>#REF!</v>
      </c>
      <c r="AH165" s="4138"/>
      <c r="AI165" s="4138"/>
      <c r="AJ165" s="4138"/>
      <c r="AK165" s="4138"/>
      <c r="AL165" s="4138"/>
      <c r="AM165" s="4138"/>
      <c r="AN165" s="4138"/>
      <c r="AO165" s="4138"/>
      <c r="AP165" s="4138"/>
    </row>
    <row r="166" ht="12" hidden="1" customHeight="1" spans="2:42">
      <c r="B166" s="4135"/>
      <c r="C166" s="3315"/>
      <c r="D166" s="3315"/>
      <c r="E166" s="3315"/>
      <c r="F166" s="3315"/>
      <c r="G166" s="3315"/>
      <c r="H166" s="3315"/>
      <c r="I166" s="3315"/>
      <c r="J166" s="3315"/>
      <c r="K166" s="3315"/>
      <c r="L166" s="3315"/>
      <c r="M166" s="3315"/>
      <c r="N166" s="3315"/>
      <c r="O166" s="3315"/>
      <c r="P166" s="4138"/>
      <c r="Q166" s="4138"/>
      <c r="R166" s="4146"/>
      <c r="S166" s="4146"/>
      <c r="T166" s="4146"/>
      <c r="U166" s="4146"/>
      <c r="V166" s="4146"/>
      <c r="W166" s="4146"/>
      <c r="X166" s="4146"/>
      <c r="Y166" s="4138"/>
      <c r="Z166" s="4138"/>
      <c r="AA166" s="4138"/>
      <c r="AB166" s="4138"/>
      <c r="AC166" s="4138"/>
      <c r="AD166" s="4138"/>
      <c r="AE166" s="4138"/>
      <c r="AF166" s="4138"/>
      <c r="AG166" s="4138"/>
      <c r="AH166" s="4138"/>
      <c r="AI166" s="4138"/>
      <c r="AJ166" s="4138"/>
      <c r="AK166" s="4138"/>
      <c r="AL166" s="4138"/>
      <c r="AM166" s="4138"/>
      <c r="AN166" s="4138"/>
      <c r="AO166" s="4138"/>
      <c r="AP166" s="4138"/>
    </row>
    <row r="167" ht="12" hidden="1" customHeight="1" spans="2:42">
      <c r="B167" s="5035" t="s">
        <v>867</v>
      </c>
      <c r="C167" s="3339"/>
      <c r="D167" s="3339"/>
      <c r="E167" s="3339"/>
      <c r="F167" s="3339"/>
      <c r="G167" s="3339"/>
      <c r="H167" s="3339"/>
      <c r="I167" s="3339"/>
      <c r="J167" s="3339"/>
      <c r="K167" s="3339"/>
      <c r="L167" s="3339"/>
      <c r="M167" s="3339"/>
      <c r="N167" s="3339"/>
      <c r="O167" s="3339"/>
      <c r="P167" s="4138"/>
      <c r="Q167" s="4138"/>
      <c r="R167" s="4138"/>
      <c r="S167" s="4138"/>
      <c r="T167" s="4138"/>
      <c r="U167" s="4138"/>
      <c r="V167" s="4138"/>
      <c r="W167" s="4138"/>
      <c r="X167" s="4146"/>
      <c r="Y167" s="4138" t="e">
        <f>-#REF!</f>
        <v>#REF!</v>
      </c>
      <c r="Z167" s="4138"/>
      <c r="AA167" s="4138"/>
      <c r="AB167" s="4138"/>
      <c r="AC167" s="4138"/>
      <c r="AD167" s="4138"/>
      <c r="AE167" s="4138"/>
      <c r="AF167" s="4138"/>
      <c r="AG167" s="4138" t="e">
        <f>SUM(P167:AE167)</f>
        <v>#REF!</v>
      </c>
      <c r="AH167" s="4138"/>
      <c r="AI167" s="4138"/>
      <c r="AJ167" s="4138"/>
      <c r="AK167" s="4138"/>
      <c r="AL167" s="4138"/>
      <c r="AM167" s="4138"/>
      <c r="AN167" s="4138"/>
      <c r="AO167" s="4138"/>
      <c r="AP167" s="4138"/>
    </row>
    <row r="168" ht="12" hidden="1" customHeight="1" spans="2:42">
      <c r="B168" s="5035" t="s">
        <v>868</v>
      </c>
      <c r="C168" s="3339"/>
      <c r="D168" s="3339"/>
      <c r="E168" s="3339"/>
      <c r="F168" s="3339"/>
      <c r="G168" s="3339"/>
      <c r="H168" s="3339"/>
      <c r="I168" s="3339"/>
      <c r="J168" s="3339"/>
      <c r="K168" s="3339"/>
      <c r="L168" s="3339"/>
      <c r="M168" s="3339"/>
      <c r="N168" s="3339"/>
      <c r="O168" s="3339"/>
      <c r="P168" s="4138"/>
      <c r="Q168" s="4138"/>
      <c r="R168" s="4138"/>
      <c r="S168" s="4138"/>
      <c r="T168" s="4138"/>
      <c r="U168" s="4138"/>
      <c r="V168" s="4138"/>
      <c r="W168" s="4138"/>
      <c r="X168" s="4146"/>
      <c r="Y168" s="4138">
        <f>'F2'!Q45</f>
        <v>0</v>
      </c>
      <c r="Z168" s="4138"/>
      <c r="AA168" s="4138"/>
      <c r="AB168" s="4138"/>
      <c r="AC168" s="4138"/>
      <c r="AD168" s="4138"/>
      <c r="AE168" s="4138"/>
      <c r="AF168" s="4138"/>
      <c r="AG168" s="4138">
        <f>SUM(P168:AE168)</f>
        <v>0</v>
      </c>
      <c r="AH168" s="4138"/>
      <c r="AI168" s="4138"/>
      <c r="AJ168" s="4138"/>
      <c r="AK168" s="4138"/>
      <c r="AL168" s="4138"/>
      <c r="AM168" s="4138"/>
      <c r="AN168" s="4138"/>
      <c r="AO168" s="4138"/>
      <c r="AP168" s="4138"/>
    </row>
    <row r="169" hidden="1" spans="2:42">
      <c r="B169" s="3315"/>
      <c r="C169" s="3609"/>
      <c r="D169" s="3609"/>
      <c r="E169" s="3609"/>
      <c r="F169" s="3609"/>
      <c r="G169" s="3609"/>
      <c r="H169" s="3609"/>
      <c r="I169" s="3609"/>
      <c r="J169" s="3609"/>
      <c r="K169" s="3609"/>
      <c r="L169" s="3609"/>
      <c r="M169" s="3609"/>
      <c r="N169" s="3609"/>
      <c r="O169" s="3609"/>
      <c r="P169" s="3609"/>
      <c r="X169" s="4151"/>
      <c r="Y169" s="4156"/>
      <c r="Z169" s="4156"/>
      <c r="AA169" s="4156"/>
      <c r="AB169" s="4156"/>
      <c r="AC169" s="4156"/>
      <c r="AD169" s="4156"/>
      <c r="AE169" s="4156"/>
      <c r="AF169" s="4156"/>
      <c r="AG169" s="4156"/>
      <c r="AH169" s="4156"/>
      <c r="AI169" s="4156"/>
      <c r="AJ169" s="4156"/>
      <c r="AK169" s="4156"/>
      <c r="AL169" s="4156"/>
      <c r="AM169" s="4156"/>
      <c r="AN169" s="4156"/>
      <c r="AO169" s="4156"/>
      <c r="AP169" s="4156"/>
    </row>
    <row r="170" ht="12.75" hidden="1" spans="2:42">
      <c r="B170" s="5028" t="s">
        <v>613</v>
      </c>
      <c r="C170" s="3322"/>
      <c r="D170" s="3322"/>
      <c r="E170" s="3322"/>
      <c r="F170" s="3322"/>
      <c r="G170" s="3322"/>
      <c r="H170" s="3322"/>
      <c r="I170" s="3322"/>
      <c r="J170" s="3322"/>
      <c r="K170" s="3322"/>
      <c r="L170" s="3322"/>
      <c r="M170" s="3322"/>
      <c r="N170" s="3322"/>
      <c r="O170" s="3322"/>
      <c r="P170" s="4142"/>
      <c r="Q170" s="4142"/>
      <c r="R170" s="4142"/>
      <c r="S170" s="4142"/>
      <c r="T170" s="4142"/>
      <c r="U170" s="4142"/>
      <c r="V170" s="4152"/>
      <c r="W170" s="4152"/>
      <c r="X170" s="4148"/>
      <c r="Y170" s="4142" t="e">
        <f>SUM(Y163:AE169)</f>
        <v>#REF!</v>
      </c>
      <c r="Z170" s="4142"/>
      <c r="AA170" s="4142"/>
      <c r="AB170" s="4142"/>
      <c r="AC170" s="4142"/>
      <c r="AD170" s="4142"/>
      <c r="AE170" s="4142"/>
      <c r="AF170" s="4140"/>
      <c r="AG170" s="4142" t="e">
        <f>SUM(AG163:AM169)</f>
        <v>#REF!</v>
      </c>
      <c r="AH170" s="4142"/>
      <c r="AI170" s="4142"/>
      <c r="AJ170" s="4142"/>
      <c r="AK170" s="4142"/>
      <c r="AL170" s="4142"/>
      <c r="AM170" s="4142"/>
      <c r="AN170" s="4152"/>
      <c r="AO170" s="4152"/>
      <c r="AP170" s="4152"/>
    </row>
    <row r="171" ht="12.15" hidden="1" spans="2:42">
      <c r="B171" s="3609"/>
      <c r="C171" s="3315"/>
      <c r="D171" s="3315"/>
      <c r="E171" s="3315"/>
      <c r="F171" s="3609"/>
      <c r="G171" s="3609"/>
      <c r="H171" s="3609"/>
      <c r="I171" s="3609"/>
      <c r="J171" s="3609"/>
      <c r="K171" s="3609"/>
      <c r="L171" s="3609"/>
      <c r="M171" s="3609"/>
      <c r="N171" s="3609"/>
      <c r="O171" s="3609"/>
      <c r="P171" s="3609"/>
      <c r="X171" s="4151"/>
      <c r="Y171" s="4156"/>
      <c r="Z171" s="4156"/>
      <c r="AA171" s="4156"/>
      <c r="AB171" s="4156"/>
      <c r="AC171" s="4156"/>
      <c r="AD171" s="4156"/>
      <c r="AE171" s="4156"/>
      <c r="AF171" s="4156"/>
      <c r="AG171" s="4156"/>
      <c r="AH171" s="4156"/>
      <c r="AI171" s="4156"/>
      <c r="AJ171" s="4156"/>
      <c r="AK171" s="4156"/>
      <c r="AL171" s="4156"/>
      <c r="AM171" s="4156"/>
      <c r="AN171" s="4156"/>
      <c r="AO171" s="4156"/>
      <c r="AP171" s="4156"/>
    </row>
    <row r="172" hidden="1" spans="2:42">
      <c r="B172" s="3609"/>
      <c r="C172" s="3609"/>
      <c r="D172" s="3609"/>
      <c r="E172" s="3609"/>
      <c r="F172" s="3609"/>
      <c r="G172" s="3609"/>
      <c r="H172" s="3609"/>
      <c r="I172" s="3609"/>
      <c r="J172" s="3609"/>
      <c r="K172" s="3609"/>
      <c r="L172" s="3609"/>
      <c r="M172" s="3609"/>
      <c r="N172" s="3609"/>
      <c r="O172" s="3609"/>
      <c r="P172" s="3609"/>
      <c r="X172" s="4151"/>
      <c r="Y172" s="4156"/>
      <c r="Z172" s="4156"/>
      <c r="AA172" s="4156"/>
      <c r="AB172" s="4156"/>
      <c r="AC172" s="4156"/>
      <c r="AD172" s="4156"/>
      <c r="AE172" s="4156"/>
      <c r="AF172" s="4156"/>
      <c r="AG172" s="4156"/>
      <c r="AH172" s="4156"/>
      <c r="AI172" s="4156"/>
      <c r="AJ172" s="4156"/>
      <c r="AK172" s="4156"/>
      <c r="AL172" s="4156"/>
      <c r="AM172" s="4156"/>
      <c r="AN172" s="4156"/>
      <c r="AO172" s="4156"/>
      <c r="AP172" s="4156"/>
    </row>
    <row r="173" ht="12" hidden="1" spans="2:42">
      <c r="B173" s="3322"/>
      <c r="C173" s="3607"/>
      <c r="D173" s="3607"/>
      <c r="E173" s="3607"/>
      <c r="F173" s="3607"/>
      <c r="G173" s="3607"/>
      <c r="H173" s="3607"/>
      <c r="I173" s="3607"/>
      <c r="J173" s="3607"/>
      <c r="K173" s="3607"/>
      <c r="L173" s="3607"/>
      <c r="M173" s="3607"/>
      <c r="N173" s="3607"/>
      <c r="O173" s="3607"/>
      <c r="P173" s="3607"/>
      <c r="X173" s="4153"/>
      <c r="Y173" s="4083"/>
      <c r="Z173" s="4083"/>
      <c r="AA173" s="4083"/>
      <c r="AB173" s="4083"/>
      <c r="AC173" s="4083"/>
      <c r="AD173" s="4083"/>
      <c r="AE173" s="4083"/>
      <c r="AF173" s="4083"/>
      <c r="AG173" s="4083"/>
      <c r="AH173" s="4083"/>
      <c r="AI173" s="4083"/>
      <c r="AJ173" s="4083"/>
      <c r="AK173" s="4083"/>
      <c r="AL173" s="4083"/>
      <c r="AM173" s="4083"/>
      <c r="AN173" s="4083"/>
      <c r="AO173" s="4083"/>
      <c r="AP173" s="4083"/>
    </row>
    <row r="174" hidden="1" spans="24:42">
      <c r="X174" s="4060"/>
      <c r="Y174" s="4081"/>
      <c r="Z174" s="4081"/>
      <c r="AA174" s="4081"/>
      <c r="AB174" s="4081"/>
      <c r="AC174" s="4081"/>
      <c r="AD174" s="4081"/>
      <c r="AE174" s="4081"/>
      <c r="AF174" s="4081"/>
      <c r="AG174" s="4081"/>
      <c r="AH174" s="4081"/>
      <c r="AI174" s="4081"/>
      <c r="AJ174" s="4081"/>
      <c r="AK174" s="4081"/>
      <c r="AL174" s="4081"/>
      <c r="AM174" s="4081"/>
      <c r="AN174" s="4081"/>
      <c r="AO174" s="4081"/>
      <c r="AP174" s="4081"/>
    </row>
    <row r="175" hidden="1" spans="24:42">
      <c r="X175" s="4060"/>
      <c r="Y175" s="4081"/>
      <c r="Z175" s="4081"/>
      <c r="AA175" s="4081"/>
      <c r="AB175" s="4081"/>
      <c r="AC175" s="4081"/>
      <c r="AD175" s="4081"/>
      <c r="AE175" s="4081"/>
      <c r="AF175" s="4081"/>
      <c r="AG175" s="4081"/>
      <c r="AH175" s="4081"/>
      <c r="AI175" s="4081"/>
      <c r="AJ175" s="4081"/>
      <c r="AK175" s="4081"/>
      <c r="AL175" s="4081"/>
      <c r="AM175" s="4081"/>
      <c r="AN175" s="4081"/>
      <c r="AO175" s="4081"/>
      <c r="AP175" s="4081"/>
    </row>
    <row r="176" hidden="1" spans="24:42">
      <c r="X176" s="4060"/>
      <c r="Y176" s="4081"/>
      <c r="Z176" s="4081"/>
      <c r="AA176" s="4081"/>
      <c r="AB176" s="4081"/>
      <c r="AC176" s="4081"/>
      <c r="AD176" s="4081"/>
      <c r="AE176" s="4081"/>
      <c r="AF176" s="4081"/>
      <c r="AG176" s="4081"/>
      <c r="AH176" s="4081"/>
      <c r="AI176" s="4081"/>
      <c r="AJ176" s="4081"/>
      <c r="AK176" s="4081"/>
      <c r="AL176" s="4081"/>
      <c r="AM176" s="4081"/>
      <c r="AN176" s="4081"/>
      <c r="AO176" s="4081"/>
      <c r="AP176" s="4081"/>
    </row>
    <row r="177" hidden="1" spans="24:42">
      <c r="X177" s="4060"/>
      <c r="Y177" s="4081"/>
      <c r="Z177" s="4081"/>
      <c r="AA177" s="4081"/>
      <c r="AB177" s="4081"/>
      <c r="AC177" s="4081"/>
      <c r="AD177" s="4081"/>
      <c r="AE177" s="4081"/>
      <c r="AF177" s="4081"/>
      <c r="AG177" s="4081"/>
      <c r="AH177" s="4081"/>
      <c r="AI177" s="4081"/>
      <c r="AJ177" s="4081"/>
      <c r="AK177" s="4081"/>
      <c r="AL177" s="4081"/>
      <c r="AM177" s="4081"/>
      <c r="AN177" s="4081"/>
      <c r="AO177" s="4081"/>
      <c r="AP177" s="4081"/>
    </row>
    <row r="178" hidden="1" spans="24:42">
      <c r="X178" s="4060"/>
      <c r="Y178" s="4081"/>
      <c r="Z178" s="4081"/>
      <c r="AA178" s="4081"/>
      <c r="AB178" s="4081"/>
      <c r="AC178" s="4081"/>
      <c r="AD178" s="4081"/>
      <c r="AE178" s="4081"/>
      <c r="AF178" s="4081"/>
      <c r="AG178" s="4081"/>
      <c r="AH178" s="4081"/>
      <c r="AI178" s="4081"/>
      <c r="AJ178" s="4081"/>
      <c r="AK178" s="4081"/>
      <c r="AL178" s="4081"/>
      <c r="AM178" s="4081"/>
      <c r="AN178" s="4081"/>
      <c r="AO178" s="4081"/>
      <c r="AP178" s="4081"/>
    </row>
    <row r="179" hidden="1" spans="24:42">
      <c r="X179" s="4060"/>
      <c r="Y179" s="4081"/>
      <c r="Z179" s="4081"/>
      <c r="AA179" s="4081"/>
      <c r="AB179" s="4081"/>
      <c r="AC179" s="4081"/>
      <c r="AD179" s="4081"/>
      <c r="AE179" s="4081"/>
      <c r="AF179" s="4081"/>
      <c r="AG179" s="4081"/>
      <c r="AH179" s="4081"/>
      <c r="AI179" s="4081"/>
      <c r="AJ179" s="4081"/>
      <c r="AK179" s="4081"/>
      <c r="AL179" s="4081"/>
      <c r="AM179" s="4081"/>
      <c r="AN179" s="4081"/>
      <c r="AO179" s="4081"/>
      <c r="AP179" s="4081"/>
    </row>
    <row r="180" hidden="1" spans="24:42">
      <c r="X180" s="4060"/>
      <c r="Y180" s="4081"/>
      <c r="Z180" s="4081"/>
      <c r="AA180" s="4081"/>
      <c r="AB180" s="4081"/>
      <c r="AC180" s="4081"/>
      <c r="AD180" s="4081"/>
      <c r="AE180" s="4081"/>
      <c r="AF180" s="4081"/>
      <c r="AG180" s="4081"/>
      <c r="AH180" s="4081"/>
      <c r="AI180" s="4081"/>
      <c r="AJ180" s="4081"/>
      <c r="AK180" s="4081"/>
      <c r="AL180" s="4081"/>
      <c r="AM180" s="4081"/>
      <c r="AN180" s="4081"/>
      <c r="AO180" s="4081"/>
      <c r="AP180" s="4081"/>
    </row>
    <row r="181" hidden="1" spans="24:42">
      <c r="X181" s="4060"/>
      <c r="Y181" s="4081"/>
      <c r="Z181" s="4081"/>
      <c r="AA181" s="4081"/>
      <c r="AB181" s="4081"/>
      <c r="AC181" s="4081"/>
      <c r="AD181" s="4081"/>
      <c r="AE181" s="4081"/>
      <c r="AF181" s="4081"/>
      <c r="AG181" s="4081"/>
      <c r="AH181" s="4081"/>
      <c r="AI181" s="4081"/>
      <c r="AJ181" s="4081"/>
      <c r="AK181" s="4081"/>
      <c r="AL181" s="4081"/>
      <c r="AM181" s="4081"/>
      <c r="AN181" s="4081"/>
      <c r="AO181" s="4081"/>
      <c r="AP181" s="4081"/>
    </row>
    <row r="182" hidden="1" spans="24:42">
      <c r="X182" s="4060"/>
      <c r="Y182" s="4081"/>
      <c r="Z182" s="4081"/>
      <c r="AA182" s="4081"/>
      <c r="AB182" s="4081"/>
      <c r="AC182" s="4081"/>
      <c r="AD182" s="4081"/>
      <c r="AE182" s="4081"/>
      <c r="AF182" s="4081"/>
      <c r="AG182" s="4081"/>
      <c r="AH182" s="4081"/>
      <c r="AI182" s="4081"/>
      <c r="AJ182" s="4081"/>
      <c r="AK182" s="4081"/>
      <c r="AL182" s="4081"/>
      <c r="AM182" s="4081"/>
      <c r="AN182" s="4081"/>
      <c r="AO182" s="4081"/>
      <c r="AP182" s="4081"/>
    </row>
    <row r="183" hidden="1" spans="24:42">
      <c r="X183" s="4060"/>
      <c r="Y183" s="4081"/>
      <c r="Z183" s="4081"/>
      <c r="AA183" s="4081"/>
      <c r="AB183" s="4081"/>
      <c r="AC183" s="4081"/>
      <c r="AD183" s="4081"/>
      <c r="AE183" s="4081"/>
      <c r="AF183" s="4081"/>
      <c r="AG183" s="4081"/>
      <c r="AH183" s="4081"/>
      <c r="AI183" s="4081"/>
      <c r="AJ183" s="4081"/>
      <c r="AK183" s="4081"/>
      <c r="AL183" s="4081"/>
      <c r="AM183" s="4081"/>
      <c r="AN183" s="4081"/>
      <c r="AO183" s="4081"/>
      <c r="AP183" s="4081"/>
    </row>
    <row r="184" hidden="1" spans="24:42">
      <c r="X184" s="4060"/>
      <c r="Y184" s="4081"/>
      <c r="Z184" s="4081"/>
      <c r="AA184" s="4081"/>
      <c r="AB184" s="4081"/>
      <c r="AC184" s="4081"/>
      <c r="AD184" s="4081"/>
      <c r="AE184" s="4081"/>
      <c r="AF184" s="4081"/>
      <c r="AG184" s="4081"/>
      <c r="AH184" s="4081"/>
      <c r="AI184" s="4081"/>
      <c r="AJ184" s="4081"/>
      <c r="AK184" s="4081"/>
      <c r="AL184" s="4081"/>
      <c r="AM184" s="4081"/>
      <c r="AN184" s="4081"/>
      <c r="AO184" s="4081"/>
      <c r="AP184" s="4081"/>
    </row>
    <row r="185" hidden="1" spans="24:42">
      <c r="X185" s="4060"/>
      <c r="Y185" s="4081"/>
      <c r="Z185" s="4081"/>
      <c r="AA185" s="4081"/>
      <c r="AB185" s="4081"/>
      <c r="AC185" s="4081"/>
      <c r="AD185" s="4081"/>
      <c r="AE185" s="4081"/>
      <c r="AF185" s="4081"/>
      <c r="AG185" s="4081"/>
      <c r="AH185" s="4081"/>
      <c r="AI185" s="4081"/>
      <c r="AJ185" s="4081"/>
      <c r="AK185" s="4081"/>
      <c r="AL185" s="4081"/>
      <c r="AM185" s="4081"/>
      <c r="AN185" s="4081"/>
      <c r="AO185" s="4081"/>
      <c r="AP185" s="4081"/>
    </row>
    <row r="186" hidden="1" spans="24:42">
      <c r="X186" s="4060"/>
      <c r="Y186" s="4081"/>
      <c r="Z186" s="4081"/>
      <c r="AA186" s="4081"/>
      <c r="AB186" s="4081"/>
      <c r="AC186" s="4081"/>
      <c r="AD186" s="4081"/>
      <c r="AE186" s="4081"/>
      <c r="AF186" s="4081"/>
      <c r="AG186" s="4081"/>
      <c r="AH186" s="4081"/>
      <c r="AI186" s="4081"/>
      <c r="AJ186" s="4081"/>
      <c r="AK186" s="4081"/>
      <c r="AL186" s="4081"/>
      <c r="AM186" s="4081"/>
      <c r="AN186" s="4081"/>
      <c r="AO186" s="4081"/>
      <c r="AP186" s="4081"/>
    </row>
    <row r="187" hidden="1" spans="24:42">
      <c r="X187" s="4060"/>
      <c r="Y187" s="4081"/>
      <c r="Z187" s="4081"/>
      <c r="AA187" s="4081"/>
      <c r="AB187" s="4081"/>
      <c r="AC187" s="4081"/>
      <c r="AD187" s="4081"/>
      <c r="AE187" s="4081"/>
      <c r="AF187" s="4081"/>
      <c r="AG187" s="4081"/>
      <c r="AH187" s="4081"/>
      <c r="AI187" s="4081"/>
      <c r="AJ187" s="4081"/>
      <c r="AK187" s="4081"/>
      <c r="AL187" s="4081"/>
      <c r="AM187" s="4081"/>
      <c r="AN187" s="4081"/>
      <c r="AO187" s="4081"/>
      <c r="AP187" s="4081"/>
    </row>
    <row r="188" hidden="1" spans="24:42">
      <c r="X188" s="4060"/>
      <c r="Y188" s="4081"/>
      <c r="Z188" s="4081"/>
      <c r="AA188" s="4081"/>
      <c r="AB188" s="4081"/>
      <c r="AC188" s="4081"/>
      <c r="AD188" s="4081"/>
      <c r="AE188" s="4081"/>
      <c r="AF188" s="4081"/>
      <c r="AG188" s="4081"/>
      <c r="AH188" s="4081"/>
      <c r="AI188" s="4081"/>
      <c r="AJ188" s="4081"/>
      <c r="AK188" s="4081"/>
      <c r="AL188" s="4081"/>
      <c r="AM188" s="4081"/>
      <c r="AN188" s="4081"/>
      <c r="AO188" s="4081"/>
      <c r="AP188" s="4081"/>
    </row>
    <row r="189" hidden="1" spans="24:42">
      <c r="X189" s="4060"/>
      <c r="Y189" s="4081"/>
      <c r="Z189" s="4081"/>
      <c r="AA189" s="4081"/>
      <c r="AB189" s="4081"/>
      <c r="AC189" s="4081"/>
      <c r="AD189" s="4081"/>
      <c r="AE189" s="4081"/>
      <c r="AF189" s="4081"/>
      <c r="AG189" s="4081"/>
      <c r="AH189" s="4081"/>
      <c r="AI189" s="4081"/>
      <c r="AJ189" s="4081"/>
      <c r="AK189" s="4081"/>
      <c r="AL189" s="4081"/>
      <c r="AM189" s="4081"/>
      <c r="AN189" s="4081"/>
      <c r="AO189" s="4081"/>
      <c r="AP189" s="4081"/>
    </row>
    <row r="190" hidden="1" spans="24:42">
      <c r="X190" s="4060"/>
      <c r="Y190" s="4081"/>
      <c r="Z190" s="4081"/>
      <c r="AA190" s="4081"/>
      <c r="AB190" s="4081"/>
      <c r="AC190" s="4081"/>
      <c r="AD190" s="4081"/>
      <c r="AE190" s="4081"/>
      <c r="AF190" s="4081"/>
      <c r="AG190" s="4081"/>
      <c r="AH190" s="4081"/>
      <c r="AI190" s="4081"/>
      <c r="AJ190" s="4081"/>
      <c r="AK190" s="4081"/>
      <c r="AL190" s="4081"/>
      <c r="AM190" s="4081"/>
      <c r="AN190" s="4081"/>
      <c r="AO190" s="4081"/>
      <c r="AP190" s="4081"/>
    </row>
    <row r="191" hidden="1" spans="24:42">
      <c r="X191" s="4060"/>
      <c r="Y191" s="4081"/>
      <c r="Z191" s="4081"/>
      <c r="AA191" s="4081"/>
      <c r="AB191" s="4081"/>
      <c r="AC191" s="4081"/>
      <c r="AD191" s="4081"/>
      <c r="AE191" s="4081"/>
      <c r="AF191" s="4081"/>
      <c r="AG191" s="4081"/>
      <c r="AH191" s="4081"/>
      <c r="AI191" s="4081"/>
      <c r="AJ191" s="4081"/>
      <c r="AK191" s="4081"/>
      <c r="AL191" s="4081"/>
      <c r="AM191" s="4081"/>
      <c r="AN191" s="4081"/>
      <c r="AO191" s="4081"/>
      <c r="AP191" s="4081"/>
    </row>
    <row r="192" hidden="1" spans="24:42">
      <c r="X192" s="4060"/>
      <c r="Y192" s="4081"/>
      <c r="Z192" s="4081"/>
      <c r="AA192" s="4081"/>
      <c r="AB192" s="4081"/>
      <c r="AC192" s="4081"/>
      <c r="AD192" s="4081"/>
      <c r="AE192" s="4081"/>
      <c r="AF192" s="4081"/>
      <c r="AG192" s="4081"/>
      <c r="AH192" s="4081"/>
      <c r="AI192" s="4081"/>
      <c r="AJ192" s="4081"/>
      <c r="AK192" s="4081"/>
      <c r="AL192" s="4081"/>
      <c r="AM192" s="4081"/>
      <c r="AN192" s="4081"/>
      <c r="AO192" s="4081"/>
      <c r="AP192" s="4081"/>
    </row>
    <row r="193" hidden="1" spans="24:42">
      <c r="X193" s="4060"/>
      <c r="Y193" s="4081"/>
      <c r="Z193" s="4081"/>
      <c r="AA193" s="4081"/>
      <c r="AB193" s="4081"/>
      <c r="AC193" s="4081"/>
      <c r="AD193" s="4081"/>
      <c r="AE193" s="4081"/>
      <c r="AF193" s="4081"/>
      <c r="AG193" s="4081"/>
      <c r="AH193" s="4081"/>
      <c r="AI193" s="4081"/>
      <c r="AJ193" s="4081"/>
      <c r="AK193" s="4081"/>
      <c r="AL193" s="4081"/>
      <c r="AM193" s="4081"/>
      <c r="AN193" s="4081"/>
      <c r="AO193" s="4081"/>
      <c r="AP193" s="4081"/>
    </row>
    <row r="194" hidden="1" spans="24:42">
      <c r="X194" s="4060"/>
      <c r="Y194" s="4081"/>
      <c r="Z194" s="4081"/>
      <c r="AA194" s="4081"/>
      <c r="AB194" s="4081"/>
      <c r="AC194" s="4081"/>
      <c r="AD194" s="4081"/>
      <c r="AE194" s="4081"/>
      <c r="AF194" s="4081"/>
      <c r="AG194" s="4081"/>
      <c r="AH194" s="4081"/>
      <c r="AI194" s="4081"/>
      <c r="AJ194" s="4081"/>
      <c r="AK194" s="4081"/>
      <c r="AL194" s="4081"/>
      <c r="AM194" s="4081"/>
      <c r="AN194" s="4081"/>
      <c r="AO194" s="4081"/>
      <c r="AP194" s="4081"/>
    </row>
    <row r="195" hidden="1" spans="24:42">
      <c r="X195" s="4060"/>
      <c r="Y195" s="4081"/>
      <c r="Z195" s="4081"/>
      <c r="AA195" s="4081"/>
      <c r="AB195" s="4081"/>
      <c r="AC195" s="4081"/>
      <c r="AD195" s="4081"/>
      <c r="AE195" s="4081"/>
      <c r="AF195" s="4081"/>
      <c r="AG195" s="4081"/>
      <c r="AH195" s="4081"/>
      <c r="AI195" s="4081"/>
      <c r="AJ195" s="4081"/>
      <c r="AK195" s="4081"/>
      <c r="AL195" s="4081"/>
      <c r="AM195" s="4081"/>
      <c r="AN195" s="4081"/>
      <c r="AO195" s="4081"/>
      <c r="AP195" s="4081"/>
    </row>
    <row r="196" hidden="1" spans="24:42">
      <c r="X196" s="4060"/>
      <c r="Y196" s="4081"/>
      <c r="Z196" s="4081"/>
      <c r="AA196" s="4081"/>
      <c r="AB196" s="4081"/>
      <c r="AC196" s="4081"/>
      <c r="AD196" s="4081"/>
      <c r="AE196" s="4081"/>
      <c r="AF196" s="4081"/>
      <c r="AG196" s="4081"/>
      <c r="AH196" s="4081"/>
      <c r="AI196" s="4081"/>
      <c r="AJ196" s="4081"/>
      <c r="AK196" s="4081"/>
      <c r="AL196" s="4081"/>
      <c r="AM196" s="4081"/>
      <c r="AN196" s="4081"/>
      <c r="AO196" s="4081"/>
      <c r="AP196" s="4081"/>
    </row>
    <row r="197" hidden="1" spans="24:42">
      <c r="X197" s="4060"/>
      <c r="Y197" s="4081"/>
      <c r="Z197" s="4081"/>
      <c r="AA197" s="4081"/>
      <c r="AB197" s="4081"/>
      <c r="AC197" s="4081"/>
      <c r="AD197" s="4081"/>
      <c r="AE197" s="4081"/>
      <c r="AF197" s="4081"/>
      <c r="AG197" s="4081"/>
      <c r="AH197" s="4081"/>
      <c r="AI197" s="4081"/>
      <c r="AJ197" s="4081"/>
      <c r="AK197" s="4081"/>
      <c r="AL197" s="4081"/>
      <c r="AM197" s="4081"/>
      <c r="AN197" s="4081"/>
      <c r="AO197" s="4081"/>
      <c r="AP197" s="4081"/>
    </row>
    <row r="198" hidden="1" spans="24:42">
      <c r="X198" s="4060"/>
      <c r="Y198" s="4081"/>
      <c r="Z198" s="4081"/>
      <c r="AA198" s="4081"/>
      <c r="AB198" s="4081"/>
      <c r="AC198" s="4081"/>
      <c r="AD198" s="4081"/>
      <c r="AE198" s="4081"/>
      <c r="AF198" s="4081"/>
      <c r="AG198" s="4081"/>
      <c r="AH198" s="4081"/>
      <c r="AI198" s="4081"/>
      <c r="AJ198" s="4081"/>
      <c r="AK198" s="4081"/>
      <c r="AL198" s="4081"/>
      <c r="AM198" s="4081"/>
      <c r="AN198" s="4081"/>
      <c r="AO198" s="4081"/>
      <c r="AP198" s="4081"/>
    </row>
    <row r="199" hidden="1" spans="24:42">
      <c r="X199" s="4060"/>
      <c r="Y199" s="4081"/>
      <c r="Z199" s="4081"/>
      <c r="AA199" s="4081"/>
      <c r="AB199" s="4081"/>
      <c r="AC199" s="4081"/>
      <c r="AD199" s="4081"/>
      <c r="AE199" s="4081"/>
      <c r="AF199" s="4081"/>
      <c r="AG199" s="4081"/>
      <c r="AH199" s="4081"/>
      <c r="AI199" s="4081"/>
      <c r="AJ199" s="4081"/>
      <c r="AK199" s="4081"/>
      <c r="AL199" s="4081"/>
      <c r="AM199" s="4081"/>
      <c r="AN199" s="4081"/>
      <c r="AO199" s="4081"/>
      <c r="AP199" s="4081"/>
    </row>
    <row r="200" hidden="1" spans="24:42">
      <c r="X200" s="4060"/>
      <c r="Y200" s="4081"/>
      <c r="Z200" s="4081"/>
      <c r="AA200" s="4081"/>
      <c r="AB200" s="4081"/>
      <c r="AC200" s="4081"/>
      <c r="AD200" s="4081"/>
      <c r="AE200" s="4081"/>
      <c r="AF200" s="4081"/>
      <c r="AG200" s="4081"/>
      <c r="AH200" s="4081"/>
      <c r="AI200" s="4081"/>
      <c r="AJ200" s="4081"/>
      <c r="AK200" s="4081"/>
      <c r="AL200" s="4081"/>
      <c r="AM200" s="4081"/>
      <c r="AN200" s="4081"/>
      <c r="AO200" s="4081"/>
      <c r="AP200" s="4081"/>
    </row>
    <row r="201" hidden="1" spans="24:42">
      <c r="X201" s="4060"/>
      <c r="Y201" s="4081"/>
      <c r="Z201" s="4081"/>
      <c r="AA201" s="4081"/>
      <c r="AB201" s="4081"/>
      <c r="AC201" s="4081"/>
      <c r="AD201" s="4081"/>
      <c r="AE201" s="4081"/>
      <c r="AF201" s="4081"/>
      <c r="AG201" s="4081"/>
      <c r="AH201" s="4081"/>
      <c r="AI201" s="4081"/>
      <c r="AJ201" s="4081"/>
      <c r="AK201" s="4081"/>
      <c r="AL201" s="4081"/>
      <c r="AM201" s="4081"/>
      <c r="AN201" s="4081"/>
      <c r="AO201" s="4081"/>
      <c r="AP201" s="4081"/>
    </row>
    <row r="202" hidden="1" spans="24:42">
      <c r="X202" s="4060"/>
      <c r="Y202" s="4081"/>
      <c r="Z202" s="4081"/>
      <c r="AA202" s="4081"/>
      <c r="AB202" s="4081"/>
      <c r="AC202" s="4081"/>
      <c r="AD202" s="4081"/>
      <c r="AE202" s="4081"/>
      <c r="AF202" s="4081"/>
      <c r="AG202" s="4081"/>
      <c r="AH202" s="4081"/>
      <c r="AI202" s="4081"/>
      <c r="AJ202" s="4081"/>
      <c r="AK202" s="4081"/>
      <c r="AL202" s="4081"/>
      <c r="AM202" s="4081"/>
      <c r="AN202" s="4081"/>
      <c r="AO202" s="4081"/>
      <c r="AP202" s="4081"/>
    </row>
    <row r="203" hidden="1" spans="2:42">
      <c r="B203" s="3609">
        <f>B132</f>
        <v>0</v>
      </c>
      <c r="X203" s="4060"/>
      <c r="Y203" s="4081"/>
      <c r="Z203" s="4081"/>
      <c r="AA203" s="4081"/>
      <c r="AB203" s="4081"/>
      <c r="AC203" s="4081"/>
      <c r="AD203" s="4081"/>
      <c r="AE203" s="4081"/>
      <c r="AF203" s="4081"/>
      <c r="AG203" s="4081"/>
      <c r="AH203" s="4081"/>
      <c r="AI203" s="4081"/>
      <c r="AJ203" s="4081"/>
      <c r="AK203" s="4081"/>
      <c r="AL203" s="4081"/>
      <c r="AM203" s="4081"/>
      <c r="AN203" s="4081"/>
      <c r="AO203" s="4081"/>
      <c r="AP203" s="4081"/>
    </row>
    <row r="204" hidden="1" spans="2:42">
      <c r="B204" s="3609"/>
      <c r="X204" s="4060"/>
      <c r="Y204" s="4081"/>
      <c r="Z204" s="4081"/>
      <c r="AA204" s="4081"/>
      <c r="AB204" s="4081"/>
      <c r="AC204" s="4081"/>
      <c r="AD204" s="4081"/>
      <c r="AE204" s="4081"/>
      <c r="AF204" s="4081"/>
      <c r="AG204" s="4081"/>
      <c r="AH204" s="4081"/>
      <c r="AI204" s="4081"/>
      <c r="AJ204" s="4081"/>
      <c r="AK204" s="4081"/>
      <c r="AL204" s="4081"/>
      <c r="AM204" s="4081"/>
      <c r="AN204" s="4081"/>
      <c r="AO204" s="4081"/>
      <c r="AP204" s="4081"/>
    </row>
    <row r="205" hidden="1" spans="24:42">
      <c r="X205" s="4060"/>
      <c r="Y205" s="4081"/>
      <c r="Z205" s="4081"/>
      <c r="AA205" s="4081"/>
      <c r="AB205" s="4081"/>
      <c r="AC205" s="4081"/>
      <c r="AD205" s="4081"/>
      <c r="AE205" s="4081"/>
      <c r="AF205" s="4081"/>
      <c r="AG205" s="4081"/>
      <c r="AH205" s="4081"/>
      <c r="AI205" s="4081"/>
      <c r="AJ205" s="4081"/>
      <c r="AK205" s="4081"/>
      <c r="AL205" s="4081"/>
      <c r="AM205" s="4081"/>
      <c r="AN205" s="4081"/>
      <c r="AO205" s="4081"/>
      <c r="AP205" s="4081"/>
    </row>
    <row r="206" hidden="1" spans="24:42">
      <c r="X206" s="4060"/>
      <c r="Y206" s="4081"/>
      <c r="Z206" s="4081"/>
      <c r="AA206" s="4081"/>
      <c r="AB206" s="4081"/>
      <c r="AC206" s="4081"/>
      <c r="AD206" s="4081"/>
      <c r="AE206" s="4081"/>
      <c r="AF206" s="4081"/>
      <c r="AG206" s="4081"/>
      <c r="AH206" s="4081"/>
      <c r="AI206" s="4081"/>
      <c r="AJ206" s="4081"/>
      <c r="AK206" s="4081"/>
      <c r="AL206" s="4081"/>
      <c r="AM206" s="4081"/>
      <c r="AN206" s="4081"/>
      <c r="AO206" s="4081"/>
      <c r="AP206" s="4081"/>
    </row>
    <row r="207" hidden="1" spans="24:42">
      <c r="X207" s="4060"/>
      <c r="Y207" s="4081"/>
      <c r="Z207" s="4081"/>
      <c r="AA207" s="4081"/>
      <c r="AB207" s="4081"/>
      <c r="AC207" s="4081"/>
      <c r="AD207" s="4081"/>
      <c r="AE207" s="4081"/>
      <c r="AF207" s="4081"/>
      <c r="AG207" s="4081"/>
      <c r="AH207" s="4081"/>
      <c r="AI207" s="4081"/>
      <c r="AJ207" s="4081"/>
      <c r="AK207" s="4081"/>
      <c r="AL207" s="4081"/>
      <c r="AM207" s="4081"/>
      <c r="AN207" s="4081"/>
      <c r="AO207" s="4081"/>
      <c r="AP207" s="4081"/>
    </row>
    <row r="208" hidden="1" spans="24:42">
      <c r="X208" s="4060"/>
      <c r="Y208" s="4081"/>
      <c r="Z208" s="4081"/>
      <c r="AA208" s="4081"/>
      <c r="AB208" s="4081"/>
      <c r="AC208" s="4081"/>
      <c r="AD208" s="4081"/>
      <c r="AE208" s="4081"/>
      <c r="AF208" s="4081"/>
      <c r="AG208" s="4081"/>
      <c r="AH208" s="4081"/>
      <c r="AI208" s="4081"/>
      <c r="AJ208" s="4081"/>
      <c r="AK208" s="4081"/>
      <c r="AL208" s="4081"/>
      <c r="AM208" s="4081"/>
      <c r="AN208" s="4081"/>
      <c r="AO208" s="4081"/>
      <c r="AP208" s="4081"/>
    </row>
    <row r="209" hidden="1" spans="2:42">
      <c r="B209" s="3609"/>
      <c r="X209" s="4060"/>
      <c r="Y209" s="4081"/>
      <c r="Z209" s="4081"/>
      <c r="AA209" s="4081"/>
      <c r="AB209" s="4081"/>
      <c r="AC209" s="4081"/>
      <c r="AD209" s="4081"/>
      <c r="AE209" s="4081"/>
      <c r="AF209" s="4081"/>
      <c r="AG209" s="4081"/>
      <c r="AH209" s="4081"/>
      <c r="AI209" s="4081"/>
      <c r="AJ209" s="4081"/>
      <c r="AK209" s="4081"/>
      <c r="AL209" s="4081"/>
      <c r="AM209" s="4081"/>
      <c r="AN209" s="4081"/>
      <c r="AO209" s="4081"/>
      <c r="AP209" s="4081"/>
    </row>
    <row r="210" hidden="1" spans="24:42">
      <c r="X210" s="4060"/>
      <c r="Y210" s="4081"/>
      <c r="Z210" s="4081"/>
      <c r="AA210" s="4081"/>
      <c r="AB210" s="4081"/>
      <c r="AC210" s="4081"/>
      <c r="AD210" s="4081"/>
      <c r="AE210" s="4081"/>
      <c r="AF210" s="4081"/>
      <c r="AG210" s="4081"/>
      <c r="AH210" s="4081"/>
      <c r="AI210" s="4081"/>
      <c r="AJ210" s="4081"/>
      <c r="AK210" s="4081"/>
      <c r="AL210" s="4081"/>
      <c r="AM210" s="4081"/>
      <c r="AN210" s="4081"/>
      <c r="AO210" s="4081"/>
      <c r="AP210" s="4081"/>
    </row>
    <row r="211" hidden="1" spans="24:42">
      <c r="X211" s="4060"/>
      <c r="Y211" s="4081"/>
      <c r="Z211" s="4081"/>
      <c r="AA211" s="4081"/>
      <c r="AB211" s="4081"/>
      <c r="AC211" s="4081"/>
      <c r="AD211" s="4081"/>
      <c r="AE211" s="4081"/>
      <c r="AF211" s="4081"/>
      <c r="AG211" s="4081"/>
      <c r="AH211" s="4081"/>
      <c r="AI211" s="4081"/>
      <c r="AJ211" s="4081"/>
      <c r="AK211" s="4081"/>
      <c r="AL211" s="4081"/>
      <c r="AM211" s="4081"/>
      <c r="AN211" s="4081"/>
      <c r="AO211" s="4081"/>
      <c r="AP211" s="4081"/>
    </row>
    <row r="212" hidden="1" spans="24:42">
      <c r="X212" s="4060"/>
      <c r="Y212" s="4081"/>
      <c r="Z212" s="4081"/>
      <c r="AA212" s="4081"/>
      <c r="AB212" s="4081"/>
      <c r="AC212" s="4081"/>
      <c r="AD212" s="4081"/>
      <c r="AE212" s="4081"/>
      <c r="AF212" s="4081"/>
      <c r="AG212" s="4081"/>
      <c r="AH212" s="4081"/>
      <c r="AI212" s="4081"/>
      <c r="AJ212" s="4081"/>
      <c r="AK212" s="4081"/>
      <c r="AL212" s="4081"/>
      <c r="AM212" s="4081"/>
      <c r="AN212" s="4081"/>
      <c r="AO212" s="4081"/>
      <c r="AP212" s="4081"/>
    </row>
    <row r="213" ht="12" hidden="1" spans="2:42">
      <c r="B213" s="3607">
        <f>B144</f>
        <v>0</v>
      </c>
      <c r="X213" s="4060"/>
      <c r="Y213" s="4081"/>
      <c r="Z213" s="4081"/>
      <c r="AA213" s="4081"/>
      <c r="AB213" s="4081"/>
      <c r="AC213" s="4081"/>
      <c r="AD213" s="4081"/>
      <c r="AE213" s="4081"/>
      <c r="AF213" s="4081"/>
      <c r="AG213" s="4081"/>
      <c r="AH213" s="4081"/>
      <c r="AI213" s="4081"/>
      <c r="AJ213" s="4081"/>
      <c r="AK213" s="4081"/>
      <c r="AL213" s="4081"/>
      <c r="AM213" s="4081"/>
      <c r="AN213" s="4081"/>
      <c r="AO213" s="4081"/>
      <c r="AP213" s="4081"/>
    </row>
    <row r="214" ht="12" hidden="1" customHeight="1" spans="2:42">
      <c r="B214" s="5010" t="s">
        <v>288</v>
      </c>
      <c r="AF214" s="4164" t="str">
        <f>AF145</f>
        <v>Approval for Print</v>
      </c>
      <c r="AG214" s="4164"/>
      <c r="AH214" s="4177" t="s">
        <v>869</v>
      </c>
      <c r="AI214" s="4177"/>
      <c r="AJ214" s="4177"/>
      <c r="AK214" s="4177"/>
      <c r="AL214" s="4177"/>
      <c r="AM214" s="4177"/>
      <c r="AN214" s="4102"/>
      <c r="AO214" s="4102"/>
      <c r="AP214" s="4102"/>
    </row>
    <row r="215" ht="12" hidden="1" customHeight="1" spans="2:42">
      <c r="B215" s="5010" t="s">
        <v>870</v>
      </c>
      <c r="AF215" s="4164"/>
      <c r="AG215" s="4164"/>
      <c r="AH215" s="4177"/>
      <c r="AI215" s="4177"/>
      <c r="AJ215" s="4177"/>
      <c r="AK215" s="4177"/>
      <c r="AL215" s="4177"/>
      <c r="AM215" s="4177"/>
      <c r="AN215" s="4102"/>
      <c r="AO215" s="4102"/>
      <c r="AP215" s="4102"/>
    </row>
    <row r="216" ht="12" hidden="1" customHeight="1" spans="2:42">
      <c r="B216" s="3609" t="s">
        <v>450</v>
      </c>
      <c r="AF216" s="4164"/>
      <c r="AG216" s="4164"/>
      <c r="AH216" s="4177" t="str">
        <f>AH147</f>
        <v>Date</v>
      </c>
      <c r="AI216" s="4177"/>
      <c r="AJ216" s="4177"/>
      <c r="AK216" s="4177"/>
      <c r="AL216" s="4177"/>
      <c r="AM216" s="4177"/>
      <c r="AN216" s="4102"/>
      <c r="AO216" s="4102"/>
      <c r="AP216" s="4102"/>
    </row>
    <row r="217" ht="12" hidden="1" customHeight="1" spans="2:42">
      <c r="B217" s="3610"/>
      <c r="C217" s="3611"/>
      <c r="D217" s="3611"/>
      <c r="E217" s="3611"/>
      <c r="F217" s="3611"/>
      <c r="G217" s="3611"/>
      <c r="H217" s="3611"/>
      <c r="I217" s="3611"/>
      <c r="J217" s="3611"/>
      <c r="K217" s="3611"/>
      <c r="L217" s="3611"/>
      <c r="M217" s="3611"/>
      <c r="N217" s="3611"/>
      <c r="O217" s="3611"/>
      <c r="P217" s="3611"/>
      <c r="Q217" s="3611"/>
      <c r="R217" s="4054"/>
      <c r="S217" s="4054"/>
      <c r="T217" s="4054"/>
      <c r="U217" s="4054"/>
      <c r="V217" s="4054"/>
      <c r="W217" s="4054"/>
      <c r="X217" s="4054"/>
      <c r="Y217" s="3611"/>
      <c r="Z217" s="3611"/>
      <c r="AA217" s="3611"/>
      <c r="AB217" s="3611"/>
      <c r="AC217" s="3611"/>
      <c r="AD217" s="3611"/>
      <c r="AE217" s="3611"/>
      <c r="AF217" s="4165"/>
      <c r="AG217" s="4165"/>
      <c r="AH217" s="4178"/>
      <c r="AI217" s="4178"/>
      <c r="AJ217" s="4178"/>
      <c r="AK217" s="4178"/>
      <c r="AL217" s="4178"/>
      <c r="AM217" s="4178"/>
      <c r="AN217" s="4102"/>
      <c r="AO217" s="4102"/>
      <c r="AP217" s="4102"/>
    </row>
    <row r="218" hidden="1"/>
    <row r="219" hidden="1"/>
    <row r="220" ht="12" hidden="1" spans="18:42">
      <c r="R220" s="4161"/>
      <c r="S220" s="4161"/>
      <c r="T220" s="4161"/>
      <c r="U220" s="4161"/>
      <c r="V220" s="4161"/>
      <c r="W220" s="4161"/>
      <c r="Y220" s="4166">
        <f>+Y80</f>
        <v>2021</v>
      </c>
      <c r="Z220" s="4167"/>
      <c r="AA220" s="4167"/>
      <c r="AB220" s="4167"/>
      <c r="AC220" s="4167"/>
      <c r="AD220" s="4167"/>
      <c r="AE220" s="4167"/>
      <c r="AG220" s="5021" t="str">
        <f>+AG80</f>
        <v>2020</v>
      </c>
      <c r="AH220" s="4167"/>
      <c r="AI220" s="4167"/>
      <c r="AJ220" s="4167"/>
      <c r="AK220" s="4167"/>
      <c r="AL220" s="4167"/>
      <c r="AM220" s="4167"/>
      <c r="AN220" s="4128"/>
      <c r="AO220" s="4128"/>
      <c r="AP220" s="4128"/>
    </row>
    <row r="221" hidden="1" spans="18:42">
      <c r="R221" s="4109"/>
      <c r="S221" s="4109"/>
      <c r="T221" s="4109"/>
      <c r="U221" s="4109"/>
      <c r="V221" s="4109"/>
      <c r="W221" s="4109"/>
      <c r="X221" s="4060"/>
      <c r="Y221" s="4168"/>
      <c r="Z221" s="4168"/>
      <c r="AA221" s="4168"/>
      <c r="AB221" s="4168"/>
      <c r="AC221" s="4168"/>
      <c r="AD221" s="4168"/>
      <c r="AE221" s="4168"/>
      <c r="AG221" s="4168"/>
      <c r="AH221" s="4168"/>
      <c r="AI221" s="4168"/>
      <c r="AJ221" s="4168"/>
      <c r="AK221" s="4168"/>
      <c r="AL221" s="4168"/>
      <c r="AM221" s="4168"/>
      <c r="AN221" s="2435"/>
      <c r="AO221" s="2435"/>
      <c r="AP221" s="2435"/>
    </row>
    <row r="222" ht="12" hidden="1" spans="2:24">
      <c r="B222" s="3322" t="s">
        <v>871</v>
      </c>
      <c r="C222" s="64"/>
      <c r="D222" s="64"/>
      <c r="E222" s="64"/>
      <c r="F222" s="64"/>
      <c r="G222" s="64"/>
      <c r="H222" s="64"/>
      <c r="I222" s="64"/>
      <c r="J222" s="64"/>
      <c r="K222" s="64"/>
      <c r="L222" s="64"/>
      <c r="M222" s="64"/>
      <c r="N222" s="64"/>
      <c r="O222" s="64"/>
      <c r="P222" s="64"/>
      <c r="R222" s="4109"/>
      <c r="S222" s="4109"/>
      <c r="T222" s="4109"/>
      <c r="U222" s="4109"/>
      <c r="V222" s="4109"/>
      <c r="W222" s="4109"/>
      <c r="X222" s="4060"/>
    </row>
    <row r="223" ht="12" hidden="1" customHeight="1" spans="2:42">
      <c r="B223" s="94" t="s">
        <v>872</v>
      </c>
      <c r="C223" s="64"/>
      <c r="D223" s="64"/>
      <c r="E223" s="64"/>
      <c r="F223" s="64"/>
      <c r="G223" s="64"/>
      <c r="H223" s="64"/>
      <c r="I223" s="64"/>
      <c r="J223" s="64"/>
      <c r="K223" s="64"/>
      <c r="L223" s="64"/>
      <c r="M223" s="64"/>
      <c r="N223" s="64"/>
      <c r="O223" s="64"/>
      <c r="P223" s="64"/>
      <c r="R223" s="4109"/>
      <c r="S223" s="4109"/>
      <c r="T223" s="4109"/>
      <c r="U223" s="4109"/>
      <c r="V223" s="4109"/>
      <c r="W223" s="4109"/>
      <c r="X223" s="4060"/>
      <c r="Y223" s="4169">
        <f>+'F7'!D65</f>
        <v>290829112</v>
      </c>
      <c r="Z223" s="4169"/>
      <c r="AA223" s="4169"/>
      <c r="AB223" s="4169"/>
      <c r="AC223" s="4169"/>
      <c r="AD223" s="4169"/>
      <c r="AE223" s="4169"/>
      <c r="AF223" s="4169"/>
      <c r="AG223" s="4169">
        <f>AG114</f>
        <v>824555627.39146</v>
      </c>
      <c r="AH223" s="4169"/>
      <c r="AI223" s="4169"/>
      <c r="AJ223" s="4169"/>
      <c r="AK223" s="4169"/>
      <c r="AL223" s="4169"/>
      <c r="AM223" s="4169"/>
      <c r="AN223" s="4169"/>
      <c r="AO223" s="4169"/>
      <c r="AP223" s="4169"/>
    </row>
    <row r="224" ht="12" hidden="1" customHeight="1" spans="2:42">
      <c r="B224" s="5036" t="s">
        <v>873</v>
      </c>
      <c r="C224" s="3339"/>
      <c r="D224" s="3339"/>
      <c r="E224" s="3339"/>
      <c r="F224" s="3339"/>
      <c r="G224" s="3339"/>
      <c r="H224" s="3339"/>
      <c r="I224" s="3339"/>
      <c r="J224" s="3339"/>
      <c r="K224" s="3339"/>
      <c r="L224" s="3339"/>
      <c r="M224" s="3339"/>
      <c r="N224" s="3339"/>
      <c r="O224" s="3339"/>
      <c r="P224" s="3339"/>
      <c r="Q224" s="3339"/>
      <c r="R224" s="3339"/>
      <c r="S224" s="2623"/>
      <c r="T224" s="2623"/>
      <c r="U224" s="2623"/>
      <c r="V224" s="2623"/>
      <c r="W224" s="2623"/>
      <c r="X224" s="2623"/>
      <c r="Y224" s="2623"/>
      <c r="Z224" s="4169"/>
      <c r="AA224" s="4169"/>
      <c r="AB224" s="4169"/>
      <c r="AC224" s="4169"/>
      <c r="AD224" s="4169"/>
      <c r="AE224" s="4169"/>
      <c r="AF224" s="4169"/>
      <c r="AG224" s="4169"/>
      <c r="AH224" s="4169"/>
      <c r="AI224" s="4169"/>
      <c r="AJ224" s="4169"/>
      <c r="AK224" s="4169"/>
      <c r="AL224" s="4169"/>
      <c r="AM224" s="4169"/>
      <c r="AN224" s="4169"/>
      <c r="AO224" s="4169"/>
      <c r="AP224" s="4169"/>
    </row>
    <row r="225" ht="12" hidden="1" customHeight="1" spans="2:42">
      <c r="B225" s="3339"/>
      <c r="C225" s="3339"/>
      <c r="D225" s="3339"/>
      <c r="E225" s="3339"/>
      <c r="F225" s="3339"/>
      <c r="G225" s="3339"/>
      <c r="H225" s="3339"/>
      <c r="I225" s="3339"/>
      <c r="J225" s="3339"/>
      <c r="K225" s="3339"/>
      <c r="L225" s="3339"/>
      <c r="M225" s="3339"/>
      <c r="N225" s="3339"/>
      <c r="O225" s="3339"/>
      <c r="P225" s="3339"/>
      <c r="Q225" s="3339"/>
      <c r="R225" s="3339"/>
      <c r="S225" s="2623"/>
      <c r="T225" s="2623"/>
      <c r="U225" s="2623"/>
      <c r="V225" s="2623"/>
      <c r="W225" s="2623"/>
      <c r="X225" s="2623"/>
      <c r="Y225" s="2623"/>
      <c r="Z225" s="4169"/>
      <c r="AA225" s="4169"/>
      <c r="AB225" s="4169"/>
      <c r="AC225" s="4169"/>
      <c r="AD225" s="4169"/>
      <c r="AE225" s="4169"/>
      <c r="AF225" s="4169"/>
      <c r="AG225" s="4169"/>
      <c r="AH225" s="4169"/>
      <c r="AI225" s="4169"/>
      <c r="AJ225" s="4169"/>
      <c r="AK225" s="4169"/>
      <c r="AL225" s="4169"/>
      <c r="AM225" s="4169"/>
      <c r="AN225" s="4169"/>
      <c r="AO225" s="4169"/>
      <c r="AP225" s="4169"/>
    </row>
    <row r="226" ht="9.95" hidden="1" customHeight="1" spans="2:42">
      <c r="B226" s="2683"/>
      <c r="C226"/>
      <c r="D226"/>
      <c r="E226"/>
      <c r="F226" s="64"/>
      <c r="G226" s="64"/>
      <c r="H226" s="64"/>
      <c r="I226" s="64"/>
      <c r="J226" s="64"/>
      <c r="K226" s="64"/>
      <c r="L226" s="64"/>
      <c r="M226" s="64"/>
      <c r="N226" s="64"/>
      <c r="O226" s="64"/>
      <c r="P226" s="64"/>
      <c r="R226" s="4109"/>
      <c r="S226" s="4109"/>
      <c r="T226" s="4109"/>
      <c r="U226" s="4109"/>
      <c r="V226" s="4109"/>
      <c r="W226" s="4109"/>
      <c r="X226" s="4060"/>
      <c r="Y226" s="4169"/>
      <c r="Z226" s="4169"/>
      <c r="AA226" s="4169"/>
      <c r="AB226" s="4169"/>
      <c r="AC226" s="4169"/>
      <c r="AD226" s="4169"/>
      <c r="AE226" s="4169"/>
      <c r="AF226" s="4169"/>
      <c r="AG226" s="4169"/>
      <c r="AH226" s="4169"/>
      <c r="AI226" s="4169"/>
      <c r="AJ226" s="4169"/>
      <c r="AK226" s="4169"/>
      <c r="AL226" s="4169"/>
      <c r="AM226" s="4169"/>
      <c r="AN226" s="4169"/>
      <c r="AO226" s="4169"/>
      <c r="AP226" s="4169"/>
    </row>
    <row r="227" ht="12" hidden="1" customHeight="1" spans="2:48">
      <c r="B227" s="64" t="s">
        <v>874</v>
      </c>
      <c r="D227" s="64"/>
      <c r="E227" s="64"/>
      <c r="F227" s="64"/>
      <c r="G227" s="64"/>
      <c r="H227" s="64"/>
      <c r="I227" s="64"/>
      <c r="J227" s="64"/>
      <c r="K227" s="64"/>
      <c r="L227" s="64"/>
      <c r="M227" s="64"/>
      <c r="N227" s="64"/>
      <c r="O227" s="64"/>
      <c r="P227" s="64"/>
      <c r="R227" s="4109"/>
      <c r="S227" s="4109"/>
      <c r="T227" s="4109"/>
      <c r="U227" s="4109"/>
      <c r="V227" s="4109"/>
      <c r="W227" s="4109"/>
      <c r="X227" s="4060"/>
      <c r="Y227" s="4169" t="e">
        <f>#REF!</f>
        <v>#REF!</v>
      </c>
      <c r="Z227" s="4169"/>
      <c r="AA227" s="4169"/>
      <c r="AB227" s="4169"/>
      <c r="AC227" s="4169"/>
      <c r="AD227" s="4169"/>
      <c r="AE227" s="4169"/>
      <c r="AF227" s="4169"/>
      <c r="AG227" s="4169" t="e">
        <f>#REF!</f>
        <v>#REF!</v>
      </c>
      <c r="AH227" s="4169"/>
      <c r="AI227" s="4169"/>
      <c r="AJ227" s="4169"/>
      <c r="AK227" s="4169"/>
      <c r="AL227" s="4169"/>
      <c r="AM227" s="4169"/>
      <c r="AN227" s="4169"/>
      <c r="AO227" s="4169"/>
      <c r="AP227" s="4169"/>
      <c r="AT227" s="85"/>
      <c r="AU227" s="85"/>
      <c r="AV227" s="86"/>
    </row>
    <row r="228" ht="12" hidden="1" customHeight="1" spans="2:48">
      <c r="B228" s="2919" t="s">
        <v>875</v>
      </c>
      <c r="C228" s="3611"/>
      <c r="D228" s="2402"/>
      <c r="E228" s="2402"/>
      <c r="F228" s="2402"/>
      <c r="G228" s="2402"/>
      <c r="H228" s="2402"/>
      <c r="I228" s="2402"/>
      <c r="J228" s="2402"/>
      <c r="K228" s="2402"/>
      <c r="L228" s="2402"/>
      <c r="M228" s="2402"/>
      <c r="N228" s="2402"/>
      <c r="O228" s="2402"/>
      <c r="P228" s="64"/>
      <c r="R228" s="4109"/>
      <c r="S228" s="4109"/>
      <c r="T228" s="4109"/>
      <c r="U228" s="4109"/>
      <c r="V228" s="4109"/>
      <c r="W228" s="4109"/>
      <c r="X228" s="4060"/>
      <c r="Y228" s="4169"/>
      <c r="Z228" s="4169"/>
      <c r="AA228" s="4169"/>
      <c r="AB228" s="4169"/>
      <c r="AC228" s="4169"/>
      <c r="AD228" s="4169"/>
      <c r="AE228" s="4169"/>
      <c r="AF228" s="4169"/>
      <c r="AG228" s="4169"/>
      <c r="AH228" s="4169"/>
      <c r="AI228" s="4169"/>
      <c r="AJ228" s="4169"/>
      <c r="AK228" s="4169"/>
      <c r="AL228" s="4169"/>
      <c r="AM228" s="4169"/>
      <c r="AN228" s="4169"/>
      <c r="AO228" s="4169"/>
      <c r="AP228" s="4169"/>
      <c r="AT228" s="85"/>
      <c r="AU228" s="85"/>
      <c r="AV228" s="86"/>
    </row>
    <row r="229" ht="12" hidden="1" customHeight="1" spans="2:48">
      <c r="B229" s="2683"/>
      <c r="C229" s="1461" t="str">
        <f>+'F7'!C71</f>
        <v>Piutang usaha</v>
      </c>
      <c r="G229" s="64"/>
      <c r="H229" s="64"/>
      <c r="I229" s="64"/>
      <c r="J229" s="64"/>
      <c r="K229" s="64"/>
      <c r="L229" s="64"/>
      <c r="M229" s="64"/>
      <c r="N229" s="64"/>
      <c r="O229" s="64"/>
      <c r="P229" s="64"/>
      <c r="R229" s="4109"/>
      <c r="S229" s="4109"/>
      <c r="T229" s="4109"/>
      <c r="U229" s="4109"/>
      <c r="V229" s="4109"/>
      <c r="W229" s="4109"/>
      <c r="X229" s="4060"/>
      <c r="Y229" s="4169">
        <f>+'F7'!D71</f>
        <v>0</v>
      </c>
      <c r="Z229" s="4169"/>
      <c r="AA229" s="4169"/>
      <c r="AB229" s="4169"/>
      <c r="AC229" s="4169"/>
      <c r="AD229" s="4169"/>
      <c r="AE229" s="4169"/>
      <c r="AF229" s="4169"/>
      <c r="AG229" s="4169">
        <v>0</v>
      </c>
      <c r="AH229" s="4169"/>
      <c r="AI229" s="4169"/>
      <c r="AJ229" s="4169"/>
      <c r="AK229" s="4169"/>
      <c r="AL229" s="4169"/>
      <c r="AM229" s="4169"/>
      <c r="AN229" s="4169"/>
      <c r="AO229" s="4169"/>
      <c r="AP229" s="4169"/>
      <c r="AT229" s="85"/>
      <c r="AU229" s="85"/>
      <c r="AV229" s="86"/>
    </row>
    <row r="230" ht="12" hidden="1" customHeight="1" spans="2:48">
      <c r="B230" s="2683"/>
      <c r="C230" s="1461" t="str">
        <f>+'F7'!C72</f>
        <v>Persediaan</v>
      </c>
      <c r="G230" s="64"/>
      <c r="H230" s="64"/>
      <c r="I230" s="64"/>
      <c r="J230" s="64"/>
      <c r="K230" s="64"/>
      <c r="L230" s="64"/>
      <c r="M230" s="64"/>
      <c r="N230" s="64"/>
      <c r="O230" s="64"/>
      <c r="P230" s="64"/>
      <c r="R230" s="4109"/>
      <c r="S230" s="4109"/>
      <c r="T230" s="4109"/>
      <c r="U230" s="4109"/>
      <c r="V230" s="4109"/>
      <c r="W230" s="4109"/>
      <c r="X230" s="4060"/>
      <c r="Y230" s="4169">
        <f>+'F7'!D72</f>
        <v>0</v>
      </c>
      <c r="Z230" s="4169"/>
      <c r="AA230" s="4169"/>
      <c r="AB230" s="4169"/>
      <c r="AC230" s="4169"/>
      <c r="AD230" s="4169"/>
      <c r="AE230" s="4169"/>
      <c r="AF230" s="4169"/>
      <c r="AG230" s="4169">
        <v>0</v>
      </c>
      <c r="AH230" s="4169"/>
      <c r="AI230" s="4169"/>
      <c r="AJ230" s="4169"/>
      <c r="AK230" s="4169"/>
      <c r="AL230" s="4169"/>
      <c r="AM230" s="4169"/>
      <c r="AN230" s="4169"/>
      <c r="AO230" s="4169"/>
      <c r="AP230" s="4169"/>
      <c r="AT230" s="85"/>
      <c r="AU230" s="85"/>
      <c r="AV230" s="86"/>
    </row>
    <row r="231" ht="12" hidden="1" customHeight="1" spans="2:48">
      <c r="B231" s="2683"/>
      <c r="C231" s="1461" t="str">
        <f>+'F7'!C73</f>
        <v>Biaya dibayar dimuka</v>
      </c>
      <c r="G231" s="64"/>
      <c r="H231" s="64"/>
      <c r="I231" s="64"/>
      <c r="J231" s="64"/>
      <c r="K231" s="64"/>
      <c r="L231" s="64"/>
      <c r="M231" s="64"/>
      <c r="N231" s="64"/>
      <c r="O231" s="64"/>
      <c r="P231" s="64"/>
      <c r="R231" s="4109"/>
      <c r="S231" s="4109"/>
      <c r="T231" s="4109"/>
      <c r="U231" s="4109"/>
      <c r="V231" s="4109"/>
      <c r="W231" s="4109"/>
      <c r="X231" s="4060"/>
      <c r="Y231" s="4169">
        <f>+'F7'!D73</f>
        <v>4799400.00000001</v>
      </c>
      <c r="Z231" s="4169"/>
      <c r="AA231" s="4169"/>
      <c r="AB231" s="4169"/>
      <c r="AC231" s="4169"/>
      <c r="AD231" s="4169"/>
      <c r="AE231" s="4169"/>
      <c r="AF231" s="4169"/>
      <c r="AG231" s="4169">
        <v>0</v>
      </c>
      <c r="AH231" s="4169"/>
      <c r="AI231" s="4169"/>
      <c r="AJ231" s="4169"/>
      <c r="AK231" s="4169"/>
      <c r="AL231" s="4169"/>
      <c r="AM231" s="4169"/>
      <c r="AN231" s="4169"/>
      <c r="AO231" s="4169"/>
      <c r="AP231" s="4169"/>
      <c r="AT231" s="85"/>
      <c r="AU231" s="85"/>
      <c r="AV231" s="86"/>
    </row>
    <row r="232" ht="12" hidden="1" customHeight="1" spans="2:48">
      <c r="B232" s="2683"/>
      <c r="C232" s="1461" t="str">
        <f>+'F7'!C74</f>
        <v>Pajak dibayar dimuka</v>
      </c>
      <c r="G232" s="64"/>
      <c r="H232" s="64"/>
      <c r="I232" s="64"/>
      <c r="J232" s="64"/>
      <c r="K232" s="64"/>
      <c r="L232" s="64"/>
      <c r="M232" s="64"/>
      <c r="N232" s="64"/>
      <c r="O232" s="64"/>
      <c r="P232" s="64"/>
      <c r="R232" s="4109"/>
      <c r="S232" s="4109"/>
      <c r="T232" s="4109"/>
      <c r="U232" s="4109"/>
      <c r="V232" s="4109"/>
      <c r="W232" s="4109"/>
      <c r="X232" s="4060"/>
      <c r="Y232" s="4169">
        <f>+'F7'!D74</f>
        <v>0</v>
      </c>
      <c r="Z232" s="4169"/>
      <c r="AA232" s="4169"/>
      <c r="AB232" s="4169"/>
      <c r="AC232" s="4169"/>
      <c r="AD232" s="4169"/>
      <c r="AE232" s="4169"/>
      <c r="AF232" s="4169"/>
      <c r="AG232" s="4169">
        <v>0</v>
      </c>
      <c r="AH232" s="4169"/>
      <c r="AI232" s="4169"/>
      <c r="AJ232" s="4169"/>
      <c r="AK232" s="4169"/>
      <c r="AL232" s="4169"/>
      <c r="AM232" s="4169"/>
      <c r="AN232" s="4169"/>
      <c r="AO232" s="4169"/>
      <c r="AP232" s="4169"/>
      <c r="AT232" s="85"/>
      <c r="AU232" s="85"/>
      <c r="AV232" s="86"/>
    </row>
    <row r="233" ht="12" hidden="1" customHeight="1" spans="2:48">
      <c r="B233" s="2683"/>
      <c r="C233" s="1461" t="s">
        <v>549</v>
      </c>
      <c r="G233" s="64"/>
      <c r="H233" s="64"/>
      <c r="I233" s="64"/>
      <c r="J233" s="64"/>
      <c r="K233" s="64"/>
      <c r="L233" s="64"/>
      <c r="M233" s="64"/>
      <c r="N233" s="64"/>
      <c r="O233" s="64"/>
      <c r="P233" s="64"/>
      <c r="R233" s="4109"/>
      <c r="S233" s="4109"/>
      <c r="T233" s="4109"/>
      <c r="U233" s="4109"/>
      <c r="V233" s="4109"/>
      <c r="W233" s="4109"/>
      <c r="X233" s="4060"/>
      <c r="Y233" s="4169" t="e">
        <f>#REF!</f>
        <v>#REF!</v>
      </c>
      <c r="Z233" s="4169"/>
      <c r="AA233" s="4169"/>
      <c r="AB233" s="4169"/>
      <c r="AC233" s="4169"/>
      <c r="AD233" s="4169"/>
      <c r="AE233" s="4169"/>
      <c r="AF233" s="4169"/>
      <c r="AG233" s="4169">
        <v>0</v>
      </c>
      <c r="AH233" s="4169"/>
      <c r="AI233" s="4169"/>
      <c r="AJ233" s="4169"/>
      <c r="AK233" s="4169"/>
      <c r="AL233" s="4169"/>
      <c r="AM233" s="4169"/>
      <c r="AN233" s="4169"/>
      <c r="AO233" s="4169"/>
      <c r="AP233" s="4169"/>
      <c r="AT233" s="85"/>
      <c r="AU233" s="85"/>
      <c r="AV233" s="86"/>
    </row>
    <row r="234" ht="12" hidden="1" customHeight="1" spans="2:48">
      <c r="B234" s="2683"/>
      <c r="C234" s="1461" t="str">
        <f>'F2'!C16</f>
        <v>Utang usaha</v>
      </c>
      <c r="G234" s="64"/>
      <c r="H234" s="64"/>
      <c r="I234" s="64"/>
      <c r="J234" s="64"/>
      <c r="K234" s="64"/>
      <c r="L234" s="64"/>
      <c r="M234" s="64"/>
      <c r="N234" s="64"/>
      <c r="O234" s="64"/>
      <c r="P234" s="64"/>
      <c r="R234" s="4109"/>
      <c r="S234" s="4109"/>
      <c r="T234" s="4109"/>
      <c r="U234" s="4109"/>
      <c r="V234" s="4109"/>
      <c r="W234" s="4109"/>
      <c r="X234" s="4060"/>
      <c r="Y234" s="4169">
        <f>+'F7'!D76</f>
        <v>-971699410</v>
      </c>
      <c r="Z234" s="4169"/>
      <c r="AA234" s="4169"/>
      <c r="AB234" s="4169"/>
      <c r="AC234" s="4169"/>
      <c r="AD234" s="4169"/>
      <c r="AE234" s="4169"/>
      <c r="AF234" s="4169"/>
      <c r="AG234" s="4169">
        <v>0</v>
      </c>
      <c r="AH234" s="4169"/>
      <c r="AI234" s="4169"/>
      <c r="AJ234" s="4169"/>
      <c r="AK234" s="4169"/>
      <c r="AL234" s="4169"/>
      <c r="AM234" s="4169"/>
      <c r="AN234" s="4169"/>
      <c r="AO234" s="4169"/>
      <c r="AP234" s="4169"/>
      <c r="AT234" s="85"/>
      <c r="AU234" s="85"/>
      <c r="AV234" s="86"/>
    </row>
    <row r="235" ht="12" hidden="1" customHeight="1" spans="2:42">
      <c r="B235" s="2683"/>
      <c r="C235" s="1461" t="str">
        <f>'F2'!C18</f>
        <v>Utang pajak</v>
      </c>
      <c r="G235" s="64"/>
      <c r="H235" s="64"/>
      <c r="I235" s="64"/>
      <c r="J235" s="64"/>
      <c r="K235" s="64"/>
      <c r="L235" s="64"/>
      <c r="M235" s="64"/>
      <c r="N235" s="64"/>
      <c r="O235" s="64"/>
      <c r="P235" s="64"/>
      <c r="R235" s="4162"/>
      <c r="S235" s="4162"/>
      <c r="T235" s="4162"/>
      <c r="U235" s="4162"/>
      <c r="V235" s="4162"/>
      <c r="W235" s="4162"/>
      <c r="X235" s="4060"/>
      <c r="Y235" s="4169">
        <f>+'F7'!D77</f>
        <v>-14378554.5197069</v>
      </c>
      <c r="Z235" s="4169"/>
      <c r="AA235" s="4169"/>
      <c r="AB235" s="4169"/>
      <c r="AC235" s="4169"/>
      <c r="AD235" s="4169"/>
      <c r="AE235" s="4169"/>
      <c r="AF235" s="4169"/>
      <c r="AG235" s="4169">
        <v>0</v>
      </c>
      <c r="AH235" s="4169"/>
      <c r="AI235" s="4169"/>
      <c r="AJ235" s="4169"/>
      <c r="AK235" s="4169"/>
      <c r="AL235" s="4169"/>
      <c r="AM235" s="4169"/>
      <c r="AN235" s="4169"/>
      <c r="AO235" s="4169"/>
      <c r="AP235" s="4169"/>
    </row>
    <row r="236" ht="12" hidden="1" customHeight="1" spans="2:42">
      <c r="B236" s="2683"/>
      <c r="D236" s="1461" t="str">
        <f>+'F7'!C78</f>
        <v>Biaya yang masih harus dibayar</v>
      </c>
      <c r="R236" s="4109"/>
      <c r="S236" s="4109"/>
      <c r="T236" s="4109"/>
      <c r="U236" s="4109"/>
      <c r="V236" s="4109"/>
      <c r="W236" s="4109"/>
      <c r="X236" s="4060"/>
      <c r="Y236" s="4169">
        <f>+'F7'!D78</f>
        <v>0</v>
      </c>
      <c r="Z236" s="4169"/>
      <c r="AA236" s="4169"/>
      <c r="AB236" s="4169"/>
      <c r="AC236" s="4169"/>
      <c r="AD236" s="4169"/>
      <c r="AE236" s="4169"/>
      <c r="AF236" s="4169"/>
      <c r="AG236" s="4169">
        <f>+'F7'!E78</f>
        <v>0</v>
      </c>
      <c r="AH236" s="4169"/>
      <c r="AI236" s="4169"/>
      <c r="AJ236" s="4169"/>
      <c r="AK236" s="4169"/>
      <c r="AL236" s="4169"/>
      <c r="AM236" s="4169"/>
      <c r="AN236" s="4169"/>
      <c r="AO236" s="4169"/>
      <c r="AP236" s="4169"/>
    </row>
    <row r="237" ht="9.6" hidden="1" customHeight="1" spans="2:42">
      <c r="B237" s="64"/>
      <c r="C237" s="4048"/>
      <c r="D237" s="4048"/>
      <c r="E237" s="4048"/>
      <c r="F237" s="4048"/>
      <c r="G237" s="4048"/>
      <c r="H237" s="4048"/>
      <c r="I237" s="4048"/>
      <c r="J237" s="4048"/>
      <c r="K237" s="4048"/>
      <c r="L237" s="4048"/>
      <c r="M237" s="4048"/>
      <c r="N237" s="4048"/>
      <c r="O237" s="4048"/>
      <c r="P237" s="4048"/>
      <c r="Q237" s="4048"/>
      <c r="R237" s="4163"/>
      <c r="S237" s="4163"/>
      <c r="T237" s="4163"/>
      <c r="U237" s="4163"/>
      <c r="V237" s="4163"/>
      <c r="W237" s="4163"/>
      <c r="X237" s="4115"/>
      <c r="Y237" s="4170"/>
      <c r="Z237" s="4170"/>
      <c r="AA237" s="4170"/>
      <c r="AB237" s="4170"/>
      <c r="AC237" s="4170"/>
      <c r="AD237" s="4170"/>
      <c r="AE237" s="4170"/>
      <c r="AF237" s="4171"/>
      <c r="AG237" s="4170"/>
      <c r="AH237" s="4170"/>
      <c r="AI237" s="4170"/>
      <c r="AJ237" s="4170"/>
      <c r="AK237" s="4170"/>
      <c r="AL237" s="4170"/>
      <c r="AM237" s="4170"/>
      <c r="AN237" s="4179"/>
      <c r="AO237" s="4179"/>
      <c r="AP237" s="4179"/>
    </row>
    <row r="238" s="4048" customFormat="1" ht="12" hidden="1" spans="2:42">
      <c r="B238" s="5037" t="s">
        <v>876</v>
      </c>
      <c r="R238" s="4163"/>
      <c r="S238" s="4163"/>
      <c r="T238" s="4163"/>
      <c r="U238" s="4163"/>
      <c r="V238" s="4163"/>
      <c r="W238" s="4163"/>
      <c r="X238" s="4115"/>
      <c r="Y238" s="4171" t="e">
        <f>SUM(Y223:AE236)</f>
        <v>#REF!</v>
      </c>
      <c r="Z238" s="4171"/>
      <c r="AA238" s="4171"/>
      <c r="AB238" s="4171"/>
      <c r="AC238" s="4171"/>
      <c r="AD238" s="4171"/>
      <c r="AE238" s="4171"/>
      <c r="AF238" s="4171"/>
      <c r="AG238" s="4171" t="e">
        <f>SUM(AG223:AM236)</f>
        <v>#REF!</v>
      </c>
      <c r="AH238" s="4171"/>
      <c r="AI238" s="4171"/>
      <c r="AJ238" s="4171"/>
      <c r="AK238" s="4171"/>
      <c r="AL238" s="4171"/>
      <c r="AM238" s="4171"/>
      <c r="AN238" s="4171"/>
      <c r="AO238" s="4171"/>
      <c r="AP238" s="4171"/>
    </row>
    <row r="239" ht="12" hidden="1" spans="2:42">
      <c r="B239" s="64"/>
      <c r="R239" s="4109"/>
      <c r="S239" s="4109"/>
      <c r="T239" s="4109"/>
      <c r="U239" s="4109"/>
      <c r="V239" s="4109"/>
      <c r="W239" s="4109"/>
      <c r="X239" s="4060"/>
      <c r="Y239" s="4172"/>
      <c r="Z239" s="4172"/>
      <c r="AA239" s="4172"/>
      <c r="AB239" s="4172"/>
      <c r="AC239" s="4172"/>
      <c r="AD239" s="4172"/>
      <c r="AE239" s="4172"/>
      <c r="AF239" s="4172"/>
      <c r="AG239" s="4172"/>
      <c r="AH239" s="4172"/>
      <c r="AI239" s="4172"/>
      <c r="AJ239" s="4172"/>
      <c r="AK239" s="4172"/>
      <c r="AL239" s="4172"/>
      <c r="AM239" s="4172"/>
      <c r="AN239" s="4172"/>
      <c r="AO239" s="4172"/>
      <c r="AP239" s="4172"/>
    </row>
    <row r="240" ht="12" hidden="1" spans="2:42">
      <c r="B240" s="5028" t="s">
        <v>877</v>
      </c>
      <c r="R240" s="4109"/>
      <c r="S240" s="4109"/>
      <c r="T240" s="4109"/>
      <c r="U240" s="4109"/>
      <c r="V240" s="4109"/>
      <c r="W240" s="4109"/>
      <c r="X240" s="4060"/>
      <c r="Y240" s="4169"/>
      <c r="Z240" s="4169"/>
      <c r="AA240" s="4169"/>
      <c r="AB240" s="4169"/>
      <c r="AC240" s="4169"/>
      <c r="AD240" s="4169"/>
      <c r="AE240" s="4169"/>
      <c r="AF240" s="4169"/>
      <c r="AG240" s="4169"/>
      <c r="AH240" s="4169"/>
      <c r="AI240" s="4169"/>
      <c r="AJ240" s="4169"/>
      <c r="AK240" s="4169"/>
      <c r="AL240" s="4169"/>
      <c r="AM240" s="4169"/>
      <c r="AN240" s="4169"/>
      <c r="AO240" s="4169"/>
      <c r="AP240" s="4169"/>
    </row>
    <row r="241" ht="12" hidden="1" customHeight="1" spans="3:42">
      <c r="C241" s="1" t="s">
        <v>428</v>
      </c>
      <c r="J241" s="1"/>
      <c r="R241" s="4109"/>
      <c r="S241" s="4109"/>
      <c r="T241" s="4109"/>
      <c r="U241" s="4109"/>
      <c r="V241" s="4109"/>
      <c r="W241" s="4109"/>
      <c r="X241" s="4060"/>
      <c r="Y241" s="4169" t="e">
        <f>-#REF!</f>
        <v>#REF!</v>
      </c>
      <c r="Z241" s="4169"/>
      <c r="AA241" s="4169"/>
      <c r="AB241" s="4169"/>
      <c r="AC241" s="4169"/>
      <c r="AD241" s="4169"/>
      <c r="AE241" s="4169"/>
      <c r="AF241" s="4169"/>
      <c r="AG241" s="4169">
        <f>SUM([82]Catatan1!$S$1700)</f>
        <v>0</v>
      </c>
      <c r="AH241" s="4169"/>
      <c r="AI241" s="4169"/>
      <c r="AJ241" s="4169"/>
      <c r="AK241" s="4169"/>
      <c r="AL241" s="4169"/>
      <c r="AM241" s="4169"/>
      <c r="AN241" s="4169"/>
      <c r="AO241" s="4169"/>
      <c r="AP241" s="4169"/>
    </row>
    <row r="242" ht="6" hidden="1" customHeight="1" spans="2:42">
      <c r="B242" s="1"/>
      <c r="J242" s="1"/>
      <c r="R242" s="4109"/>
      <c r="S242" s="4109"/>
      <c r="T242" s="4109"/>
      <c r="U242" s="4109"/>
      <c r="V242" s="4109"/>
      <c r="W242" s="4109"/>
      <c r="X242" s="4060"/>
      <c r="Y242" s="4173"/>
      <c r="Z242" s="4173"/>
      <c r="AA242" s="4173"/>
      <c r="AB242" s="4173"/>
      <c r="AC242" s="4173"/>
      <c r="AD242" s="4173"/>
      <c r="AE242" s="4173"/>
      <c r="AF242" s="4172"/>
      <c r="AG242" s="4173"/>
      <c r="AH242" s="4173"/>
      <c r="AI242" s="4173"/>
      <c r="AJ242" s="4173"/>
      <c r="AK242" s="4173"/>
      <c r="AL242" s="4173"/>
      <c r="AM242" s="4173"/>
      <c r="AN242" s="4180"/>
      <c r="AO242" s="4180"/>
      <c r="AP242" s="4180"/>
    </row>
    <row r="243" ht="12" hidden="1" spans="2:42">
      <c r="B243" s="5037" t="s">
        <v>878</v>
      </c>
      <c r="R243" s="4109"/>
      <c r="S243" s="4109"/>
      <c r="T243" s="4109"/>
      <c r="U243" s="4109"/>
      <c r="V243" s="4109"/>
      <c r="W243" s="4109"/>
      <c r="X243" s="4060"/>
      <c r="Y243" s="4172" t="e">
        <f>SUM(Y241:AE242)</f>
        <v>#REF!</v>
      </c>
      <c r="Z243" s="4172"/>
      <c r="AA243" s="4172"/>
      <c r="AB243" s="4172"/>
      <c r="AC243" s="4172"/>
      <c r="AD243" s="4172"/>
      <c r="AE243" s="4172"/>
      <c r="AF243" s="4169"/>
      <c r="AG243" s="4172">
        <f>SUM(AG241:AM242)</f>
        <v>0</v>
      </c>
      <c r="AH243" s="4172"/>
      <c r="AI243" s="4172"/>
      <c r="AJ243" s="4172"/>
      <c r="AK243" s="4172"/>
      <c r="AL243" s="4172"/>
      <c r="AM243" s="4172"/>
      <c r="AN243" s="4172"/>
      <c r="AO243" s="4172"/>
      <c r="AP243" s="4172"/>
    </row>
    <row r="244" ht="12" hidden="1" spans="2:42">
      <c r="B244" s="3340"/>
      <c r="R244" s="4109"/>
      <c r="S244" s="4109"/>
      <c r="T244" s="4109"/>
      <c r="U244" s="4109"/>
      <c r="V244" s="4109"/>
      <c r="W244" s="4109"/>
      <c r="X244" s="4060"/>
      <c r="Y244" s="4169"/>
      <c r="Z244" s="4169"/>
      <c r="AA244" s="4169"/>
      <c r="AB244" s="4169"/>
      <c r="AC244" s="4169"/>
      <c r="AD244" s="4169"/>
      <c r="AE244" s="4169"/>
      <c r="AF244" s="4169"/>
      <c r="AG244" s="4169"/>
      <c r="AH244" s="4169"/>
      <c r="AI244" s="4169"/>
      <c r="AJ244" s="4169"/>
      <c r="AK244" s="4169"/>
      <c r="AL244" s="4169"/>
      <c r="AM244" s="4169"/>
      <c r="AN244" s="4169"/>
      <c r="AO244" s="4169"/>
      <c r="AP244" s="4169"/>
    </row>
    <row r="245" ht="12" hidden="1" spans="2:42">
      <c r="B245" s="5028" t="s">
        <v>879</v>
      </c>
      <c r="R245" s="4109"/>
      <c r="S245" s="4109"/>
      <c r="T245" s="4109"/>
      <c r="U245" s="4109"/>
      <c r="V245" s="4109"/>
      <c r="W245" s="4109"/>
      <c r="X245" s="4060"/>
      <c r="Y245" s="4169"/>
      <c r="Z245" s="4169"/>
      <c r="AA245" s="4169"/>
      <c r="AB245" s="4169"/>
      <c r="AC245" s="4169"/>
      <c r="AD245" s="4169"/>
      <c r="AE245" s="4169"/>
      <c r="AF245" s="4169"/>
      <c r="AG245" s="4169"/>
      <c r="AH245" s="4169"/>
      <c r="AI245" s="4169"/>
      <c r="AJ245" s="4169"/>
      <c r="AK245" s="4169"/>
      <c r="AL245" s="4169"/>
      <c r="AM245" s="4169"/>
      <c r="AN245" s="4169"/>
      <c r="AO245" s="4169"/>
      <c r="AP245" s="4169"/>
    </row>
    <row r="246" ht="12" hidden="1" spans="3:42">
      <c r="C246" s="1" t="s">
        <v>880</v>
      </c>
      <c r="R246" s="4109"/>
      <c r="S246" s="4109"/>
      <c r="T246" s="4109"/>
      <c r="U246" s="4109"/>
      <c r="V246" s="4109"/>
      <c r="W246" s="4109"/>
      <c r="X246" s="4060"/>
      <c r="Y246" s="4174">
        <f>+'F7'!D86</f>
        <v>0</v>
      </c>
      <c r="Z246" s="4174"/>
      <c r="AA246" s="4174"/>
      <c r="AB246" s="4174"/>
      <c r="AC246" s="4174"/>
      <c r="AD246" s="4174"/>
      <c r="AE246" s="4174"/>
      <c r="AF246" s="4172"/>
      <c r="AG246" s="4174">
        <v>0</v>
      </c>
      <c r="AH246" s="4174"/>
      <c r="AI246" s="4174"/>
      <c r="AJ246" s="4174"/>
      <c r="AK246" s="4174"/>
      <c r="AL246" s="4174"/>
      <c r="AM246" s="4174"/>
      <c r="AN246" s="4174"/>
      <c r="AO246" s="4174"/>
      <c r="AP246" s="4174"/>
    </row>
    <row r="247" ht="6" hidden="1" customHeight="1" spans="2:42">
      <c r="B247" s="64"/>
      <c r="R247" s="4109"/>
      <c r="S247" s="4109"/>
      <c r="T247" s="4109"/>
      <c r="U247" s="4109"/>
      <c r="V247" s="4109"/>
      <c r="W247" s="4109"/>
      <c r="X247" s="4060"/>
      <c r="Y247" s="4173"/>
      <c r="Z247" s="4173"/>
      <c r="AA247" s="4173"/>
      <c r="AB247" s="4173"/>
      <c r="AC247" s="4173"/>
      <c r="AD247" s="4173"/>
      <c r="AE247" s="4173"/>
      <c r="AF247" s="4172"/>
      <c r="AG247" s="4173"/>
      <c r="AH247" s="4173"/>
      <c r="AI247" s="4173"/>
      <c r="AJ247" s="4173"/>
      <c r="AK247" s="4173"/>
      <c r="AL247" s="4173"/>
      <c r="AM247" s="4173"/>
      <c r="AN247" s="4180"/>
      <c r="AO247" s="4180"/>
      <c r="AP247" s="4180"/>
    </row>
    <row r="248" ht="12" hidden="1" spans="2:42">
      <c r="B248" s="5037" t="s">
        <v>881</v>
      </c>
      <c r="R248" s="4109"/>
      <c r="S248" s="4109"/>
      <c r="T248" s="4109"/>
      <c r="U248" s="4109"/>
      <c r="V248" s="4109"/>
      <c r="W248" s="4109"/>
      <c r="X248" s="4060"/>
      <c r="Y248" s="4172">
        <f>SUM(Y246:AE247)</f>
        <v>0</v>
      </c>
      <c r="Z248" s="4172"/>
      <c r="AA248" s="4172"/>
      <c r="AB248" s="4172"/>
      <c r="AC248" s="4172"/>
      <c r="AD248" s="4172"/>
      <c r="AE248" s="4172"/>
      <c r="AF248" s="4169"/>
      <c r="AG248" s="4172">
        <f>SUM(AG246:AM247)</f>
        <v>0</v>
      </c>
      <c r="AH248" s="4172"/>
      <c r="AI248" s="4172"/>
      <c r="AJ248" s="4172"/>
      <c r="AK248" s="4172"/>
      <c r="AL248" s="4172"/>
      <c r="AM248" s="4172"/>
      <c r="AN248" s="4172"/>
      <c r="AO248" s="4172"/>
      <c r="AP248" s="4172"/>
    </row>
    <row r="249" ht="12" hidden="1" spans="2:42">
      <c r="B249" s="3340"/>
      <c r="R249" s="4109"/>
      <c r="S249" s="4109"/>
      <c r="T249" s="4109"/>
      <c r="U249" s="4109"/>
      <c r="V249" s="4109"/>
      <c r="W249" s="4109"/>
      <c r="X249" s="4060"/>
      <c r="Y249" s="4175"/>
      <c r="Z249" s="4175"/>
      <c r="AA249" s="4175"/>
      <c r="AB249" s="4175"/>
      <c r="AC249" s="4175"/>
      <c r="AD249" s="4175"/>
      <c r="AE249" s="4175"/>
      <c r="AF249" s="4169"/>
      <c r="AG249" s="4175"/>
      <c r="AH249" s="4175"/>
      <c r="AI249" s="4175"/>
      <c r="AJ249" s="4175"/>
      <c r="AK249" s="4175"/>
      <c r="AL249" s="4175"/>
      <c r="AM249" s="4175"/>
      <c r="AN249" s="4181"/>
      <c r="AO249" s="4181"/>
      <c r="AP249" s="4181"/>
    </row>
    <row r="250" ht="12" hidden="1" spans="2:42">
      <c r="B250" s="5037" t="s">
        <v>882</v>
      </c>
      <c r="R250" s="4109"/>
      <c r="S250" s="4109"/>
      <c r="T250" s="4109"/>
      <c r="U250" s="4109"/>
      <c r="V250" s="4109"/>
      <c r="W250" s="4109"/>
      <c r="X250" s="4060"/>
      <c r="Y250" s="4172" t="e">
        <f>Y238+Y243+Y248</f>
        <v>#REF!</v>
      </c>
      <c r="Z250" s="4172"/>
      <c r="AA250" s="4172"/>
      <c r="AB250" s="4172"/>
      <c r="AC250" s="4172"/>
      <c r="AD250" s="4172"/>
      <c r="AE250" s="4172"/>
      <c r="AF250" s="4169"/>
      <c r="AG250" s="4172" t="e">
        <f>AG238+AG243+AG248</f>
        <v>#REF!</v>
      </c>
      <c r="AH250" s="4172"/>
      <c r="AI250" s="4172"/>
      <c r="AJ250" s="4172"/>
      <c r="AK250" s="4172"/>
      <c r="AL250" s="4172"/>
      <c r="AM250" s="4172"/>
      <c r="AN250" s="4172"/>
      <c r="AO250" s="4172"/>
      <c r="AP250" s="4172"/>
    </row>
    <row r="251" hidden="1" spans="2:42">
      <c r="B251" s="64"/>
      <c r="R251" s="4109"/>
      <c r="S251" s="4109"/>
      <c r="T251" s="4109"/>
      <c r="U251" s="4109"/>
      <c r="V251" s="4109"/>
      <c r="W251" s="4109"/>
      <c r="X251" s="4060"/>
      <c r="Y251" s="4081"/>
      <c r="Z251" s="4081"/>
      <c r="AA251" s="4081"/>
      <c r="AB251" s="4081"/>
      <c r="AC251" s="4081"/>
      <c r="AD251" s="4081"/>
      <c r="AE251" s="4081"/>
      <c r="AF251" s="4081"/>
      <c r="AG251" s="4081"/>
      <c r="AH251" s="4081"/>
      <c r="AI251" s="4081"/>
      <c r="AJ251" s="4081"/>
      <c r="AK251" s="4081"/>
      <c r="AL251" s="4081"/>
      <c r="AM251" s="4081"/>
      <c r="AN251" s="4081"/>
      <c r="AO251" s="4081"/>
      <c r="AP251" s="4081"/>
    </row>
    <row r="252" hidden="1" spans="2:42">
      <c r="B252" s="5038" t="s">
        <v>883</v>
      </c>
      <c r="Y252" s="3606" t="e">
        <f>AG254</f>
        <v>#REF!</v>
      </c>
      <c r="AG252" s="4182">
        <f>SUM([82]LapKeu!$X$12:$AE$12)</f>
        <v>145435279.6</v>
      </c>
      <c r="AH252" s="4182"/>
      <c r="AI252" s="4182"/>
      <c r="AJ252" s="4182"/>
      <c r="AK252" s="4182"/>
      <c r="AL252" s="4182"/>
      <c r="AM252" s="4182"/>
      <c r="AN252" s="4182"/>
      <c r="AO252" s="4182"/>
      <c r="AP252" s="4182"/>
    </row>
    <row r="253" ht="12" hidden="1" customHeight="1" spans="2:42">
      <c r="B253" s="64"/>
      <c r="Y253" s="4169"/>
      <c r="Z253" s="4169"/>
      <c r="AA253" s="4169"/>
      <c r="AB253" s="4169"/>
      <c r="AC253" s="4169"/>
      <c r="AD253" s="4169"/>
      <c r="AE253" s="4169"/>
      <c r="AG253" s="4169"/>
      <c r="AH253" s="4169"/>
      <c r="AI253" s="4169"/>
      <c r="AJ253" s="4169"/>
      <c r="AK253" s="4169"/>
      <c r="AL253" s="4169"/>
      <c r="AM253" s="4169"/>
      <c r="AN253" s="4169"/>
      <c r="AO253" s="4169"/>
      <c r="AP253" s="4169"/>
    </row>
    <row r="254" ht="12.75" hidden="1" spans="2:42">
      <c r="B254" s="5037" t="s">
        <v>884</v>
      </c>
      <c r="Y254" s="4176" t="e">
        <f>Y250+Y252</f>
        <v>#REF!</v>
      </c>
      <c r="Z254" s="4176"/>
      <c r="AA254" s="4176"/>
      <c r="AB254" s="4176"/>
      <c r="AC254" s="4176"/>
      <c r="AD254" s="4176"/>
      <c r="AE254" s="4176"/>
      <c r="AG254" s="4176" t="e">
        <f>AG250+AG252</f>
        <v>#REF!</v>
      </c>
      <c r="AH254" s="4176"/>
      <c r="AI254" s="4176"/>
      <c r="AJ254" s="4176"/>
      <c r="AK254" s="4176"/>
      <c r="AL254" s="4176"/>
      <c r="AM254" s="4176"/>
      <c r="AN254" s="4183"/>
      <c r="AO254" s="4183"/>
      <c r="AP254" s="4183"/>
    </row>
    <row r="255" ht="12.15" hidden="1"/>
    <row r="256" hidden="1"/>
    <row r="257" hidden="1"/>
    <row r="258" hidden="1"/>
    <row r="259" hidden="1"/>
    <row r="260" hidden="1"/>
    <row r="261" hidden="1"/>
    <row r="262" hidden="1"/>
    <row r="263" hidden="1"/>
    <row r="264" hidden="1"/>
    <row r="265" ht="12" spans="2:40">
      <c r="B265" s="3610"/>
      <c r="C265" s="3611"/>
      <c r="D265" s="3611"/>
      <c r="E265" s="3611"/>
      <c r="F265" s="3611"/>
      <c r="G265" s="3611"/>
      <c r="H265" s="3611"/>
      <c r="I265" s="3611"/>
      <c r="J265" s="3611"/>
      <c r="K265" s="3611"/>
      <c r="L265" s="3611"/>
      <c r="M265" s="3611"/>
      <c r="N265" s="3611"/>
      <c r="O265" s="3611"/>
      <c r="P265" s="3611"/>
      <c r="Q265" s="3611"/>
      <c r="R265" s="4054"/>
      <c r="S265" s="4054"/>
      <c r="T265" s="4054"/>
      <c r="U265" s="4054"/>
      <c r="V265" s="4054"/>
      <c r="W265" s="4054"/>
      <c r="X265" s="4054"/>
      <c r="Y265" s="4054"/>
      <c r="Z265" s="4054"/>
      <c r="AA265" s="4054"/>
      <c r="AB265" s="4054"/>
      <c r="AC265" s="4054"/>
      <c r="AD265" s="4054"/>
      <c r="AE265" s="4054"/>
      <c r="AF265" s="4054"/>
      <c r="AG265" s="4154"/>
      <c r="AH265" s="4102">
        <f>AI190</f>
        <v>0</v>
      </c>
      <c r="AI265" s="4102"/>
      <c r="AJ265" s="4102"/>
      <c r="AK265" s="4102"/>
      <c r="AL265" s="4102"/>
      <c r="AM265" s="4102"/>
      <c r="AN265" s="2435"/>
    </row>
    <row r="266" spans="33:40">
      <c r="AG266" s="4154"/>
      <c r="AH266" s="4102"/>
      <c r="AI266" s="4102"/>
      <c r="AJ266" s="4102"/>
      <c r="AK266" s="4102"/>
      <c r="AL266" s="4102"/>
      <c r="AM266" s="4102"/>
      <c r="AN266" s="2435"/>
    </row>
    <row r="267" spans="20:40">
      <c r="T267" s="2623"/>
      <c r="U267" s="2623"/>
      <c r="V267" s="2623"/>
      <c r="W267" s="2623"/>
      <c r="X267" s="2623"/>
      <c r="Y267" s="2623"/>
      <c r="AG267" s="2435"/>
      <c r="AH267" s="2435"/>
      <c r="AI267" s="2435"/>
      <c r="AJ267" s="2435"/>
      <c r="AK267" s="2435"/>
      <c r="AL267" s="2435"/>
      <c r="AM267" s="2435"/>
      <c r="AN267" s="2435"/>
    </row>
    <row r="268" spans="16:40">
      <c r="P268" s="4184" t="s">
        <v>600</v>
      </c>
      <c r="Q268" s="4184"/>
      <c r="R268" s="4184"/>
      <c r="S268" s="4184"/>
      <c r="T268" s="4184"/>
      <c r="U268" s="4184"/>
      <c r="W268" s="4189" t="s">
        <v>885</v>
      </c>
      <c r="Z268" s="4184" t="s">
        <v>512</v>
      </c>
      <c r="AA268" s="4184"/>
      <c r="AB268" s="4184"/>
      <c r="AC268" s="4184"/>
      <c r="AD268" s="4184"/>
      <c r="AE268" s="4184"/>
      <c r="AF268" s="4184"/>
      <c r="AG268" s="2435"/>
      <c r="AH268" s="2435"/>
      <c r="AI268" s="2435"/>
      <c r="AJ268" s="2435"/>
      <c r="AK268" s="2435"/>
      <c r="AL268" s="2435"/>
      <c r="AM268" s="2435"/>
      <c r="AN268" s="2435"/>
    </row>
    <row r="269" spans="15:41">
      <c r="O269" s="4049"/>
      <c r="T269" s="2623"/>
      <c r="U269" s="2623"/>
      <c r="AG269" s="2435"/>
      <c r="AH269" s="2435"/>
      <c r="AI269" s="2435"/>
      <c r="AJ269" s="2435"/>
      <c r="AK269" s="2435"/>
      <c r="AL269" s="2435"/>
      <c r="AM269" s="2435"/>
      <c r="AN269" s="2435"/>
      <c r="AO269" s="2435"/>
    </row>
    <row r="270" ht="12" hidden="1" customHeight="1" spans="2:41">
      <c r="B270" s="5028" t="s">
        <v>614</v>
      </c>
      <c r="C270" s="3322"/>
      <c r="P270" s="4185">
        <f>+ekin21!AB169</f>
        <v>11000000000</v>
      </c>
      <c r="Q270" s="4185"/>
      <c r="R270" s="4185"/>
      <c r="S270" s="4185"/>
      <c r="T270" s="4185"/>
      <c r="U270" s="4185"/>
      <c r="W270" s="3606">
        <f>+ekin21!AW169</f>
        <v>9040934717.37351</v>
      </c>
      <c r="X270" s="4092"/>
      <c r="Z270" s="4082">
        <f>SUM(P270:W270)</f>
        <v>20040934717.3735</v>
      </c>
      <c r="AA270" s="4082"/>
      <c r="AB270" s="4082"/>
      <c r="AC270" s="4082"/>
      <c r="AD270" s="4082"/>
      <c r="AE270" s="4082"/>
      <c r="AF270" s="4082"/>
      <c r="AG270" s="4093"/>
      <c r="AH270" s="4093"/>
      <c r="AI270" s="4093"/>
      <c r="AJ270" s="4093"/>
      <c r="AK270" s="4093"/>
      <c r="AL270" s="4093"/>
      <c r="AM270" s="4093"/>
      <c r="AN270" s="2435"/>
      <c r="AO270" s="2435"/>
    </row>
    <row r="271" hidden="1" spans="2:41">
      <c r="B271" s="3609"/>
      <c r="C271" s="3315"/>
      <c r="R271" s="3606"/>
      <c r="S271" s="3606"/>
      <c r="T271" s="2635"/>
      <c r="U271" s="2635"/>
      <c r="W271" s="3606"/>
      <c r="AG271" s="2435"/>
      <c r="AH271" s="2435"/>
      <c r="AI271" s="2435"/>
      <c r="AJ271" s="2435"/>
      <c r="AK271" s="2435"/>
      <c r="AL271" s="2435"/>
      <c r="AM271" s="2435"/>
      <c r="AN271" s="2435"/>
      <c r="AO271" s="2435"/>
    </row>
    <row r="272" ht="12" hidden="1" customHeight="1" spans="2:41">
      <c r="B272" s="5027" t="s">
        <v>609</v>
      </c>
      <c r="C272" s="3315"/>
      <c r="N272" s="4099"/>
      <c r="O272" s="4099"/>
      <c r="P272" s="4185">
        <f>+ekin21!AB171</f>
        <v>0</v>
      </c>
      <c r="Q272" s="4185"/>
      <c r="R272" s="4185"/>
      <c r="S272" s="4185"/>
      <c r="T272" s="4185"/>
      <c r="U272" s="4185"/>
      <c r="W272" s="3606">
        <f>+'F3'!R44</f>
        <v>824555627.39146</v>
      </c>
      <c r="X272" s="4092"/>
      <c r="Z272" s="4082">
        <f>SUM(P272:W272)</f>
        <v>824555627.39146</v>
      </c>
      <c r="AA272" s="4082"/>
      <c r="AB272" s="4082"/>
      <c r="AC272" s="4082"/>
      <c r="AD272" s="4082"/>
      <c r="AE272" s="4082"/>
      <c r="AF272" s="4082"/>
      <c r="AG272" s="4093"/>
      <c r="AH272" s="4093"/>
      <c r="AI272" s="4093"/>
      <c r="AJ272" s="4093"/>
      <c r="AK272" s="4093"/>
      <c r="AL272" s="4093"/>
      <c r="AM272" s="4093"/>
      <c r="AN272" s="2435"/>
      <c r="AO272" s="2435"/>
    </row>
    <row r="273" hidden="1" spans="2:41">
      <c r="B273" s="3315"/>
      <c r="C273" s="3315"/>
      <c r="N273" s="4186"/>
      <c r="O273" s="4186"/>
      <c r="P273" s="4187"/>
      <c r="Q273" s="4187"/>
      <c r="R273" s="4187"/>
      <c r="S273" s="4187"/>
      <c r="T273" s="4187"/>
      <c r="U273" s="4187"/>
      <c r="V273" s="4190"/>
      <c r="W273" s="2435"/>
      <c r="X273" s="4190"/>
      <c r="Y273" s="2435"/>
      <c r="Z273" s="4093"/>
      <c r="AA273" s="4093"/>
      <c r="AB273" s="4093"/>
      <c r="AC273" s="4093"/>
      <c r="AD273" s="4093"/>
      <c r="AE273" s="4093"/>
      <c r="AF273" s="4093"/>
      <c r="AG273" s="4093"/>
      <c r="AH273" s="4093"/>
      <c r="AI273" s="4093"/>
      <c r="AJ273" s="4093"/>
      <c r="AK273" s="4093"/>
      <c r="AL273" s="4093"/>
      <c r="AM273" s="4093"/>
      <c r="AN273" s="2435"/>
      <c r="AO273" s="2435"/>
    </row>
    <row r="274" ht="12" spans="2:41">
      <c r="B274" s="5028" t="s">
        <v>617</v>
      </c>
      <c r="C274" s="3322"/>
      <c r="N274" s="4186"/>
      <c r="O274" s="4186"/>
      <c r="P274" s="4187">
        <f>+ekin21!AB173</f>
        <v>11000000000</v>
      </c>
      <c r="Q274" s="4187"/>
      <c r="R274" s="4187"/>
      <c r="S274" s="4187"/>
      <c r="T274" s="4187"/>
      <c r="U274" s="4187"/>
      <c r="V274" s="4190"/>
      <c r="W274" s="2435">
        <f>SUM(W270:W273)</f>
        <v>9865490344.76497</v>
      </c>
      <c r="X274" s="4190"/>
      <c r="Y274" s="2435"/>
      <c r="Z274" s="4093">
        <f>SUM(Z270:AF273)</f>
        <v>20865490344.765</v>
      </c>
      <c r="AA274" s="4093"/>
      <c r="AB274" s="4093"/>
      <c r="AC274" s="4093"/>
      <c r="AD274" s="4093"/>
      <c r="AE274" s="4093"/>
      <c r="AF274" s="4093"/>
      <c r="AG274" s="4093"/>
      <c r="AH274" s="4093"/>
      <c r="AI274" s="4093"/>
      <c r="AJ274" s="4093"/>
      <c r="AK274" s="4093"/>
      <c r="AL274" s="4093"/>
      <c r="AM274" s="4093"/>
      <c r="AN274" s="2435"/>
      <c r="AO274" s="2435"/>
    </row>
    <row r="275" spans="14:41">
      <c r="N275" s="4099"/>
      <c r="O275" s="2435"/>
      <c r="R275" s="3606"/>
      <c r="S275" s="3606"/>
      <c r="T275" s="2635"/>
      <c r="U275" s="2635"/>
      <c r="W275" s="3606"/>
      <c r="Y275" s="4092"/>
      <c r="Z275" s="4092"/>
      <c r="AA275" s="4092"/>
      <c r="AB275" s="4092"/>
      <c r="AC275" s="4092"/>
      <c r="AD275" s="4092"/>
      <c r="AE275" s="4092"/>
      <c r="AF275" s="4082"/>
      <c r="AG275" s="4093"/>
      <c r="AH275" s="4093"/>
      <c r="AI275" s="4093"/>
      <c r="AJ275" s="4093"/>
      <c r="AK275" s="4093"/>
      <c r="AL275" s="4093"/>
      <c r="AM275" s="4093"/>
      <c r="AN275" s="2435"/>
      <c r="AO275" s="2435"/>
    </row>
    <row r="276" spans="2:41">
      <c r="B276" s="5027" t="s">
        <v>609</v>
      </c>
      <c r="C276" s="3315"/>
      <c r="N276" s="4099"/>
      <c r="O276" s="2435"/>
      <c r="P276" s="4185">
        <f>+ekin21!AB175</f>
        <v>0</v>
      </c>
      <c r="Q276" s="4185"/>
      <c r="R276" s="4185"/>
      <c r="S276" s="4185"/>
      <c r="T276" s="4185"/>
      <c r="U276" s="4185"/>
      <c r="W276" s="3606">
        <f>+'F3'!Q44</f>
        <v>235252916.249275</v>
      </c>
      <c r="Z276" s="4082">
        <f>SUM(P276:W276)</f>
        <v>235252916.249275</v>
      </c>
      <c r="AA276" s="4082"/>
      <c r="AB276" s="4082"/>
      <c r="AC276" s="4082"/>
      <c r="AD276" s="4082"/>
      <c r="AE276" s="4082"/>
      <c r="AF276" s="4082"/>
      <c r="AG276" s="4093"/>
      <c r="AH276" s="4093"/>
      <c r="AI276" s="4093"/>
      <c r="AJ276" s="4093"/>
      <c r="AK276" s="4093"/>
      <c r="AL276" s="4093"/>
      <c r="AM276" s="4093"/>
      <c r="AN276" s="2435"/>
      <c r="AO276" s="2435"/>
    </row>
    <row r="277" spans="2:41">
      <c r="B277" s="3315"/>
      <c r="C277" s="3315"/>
      <c r="N277" s="4099"/>
      <c r="O277" s="2435"/>
      <c r="R277" s="3606"/>
      <c r="S277" s="3606"/>
      <c r="T277" s="2635"/>
      <c r="U277" s="2635"/>
      <c r="W277" s="3606"/>
      <c r="Y277" s="4099"/>
      <c r="Z277" s="4098"/>
      <c r="AA277" s="4098"/>
      <c r="AB277" s="4098"/>
      <c r="AC277" s="4098"/>
      <c r="AD277" s="4098"/>
      <c r="AE277" s="4098"/>
      <c r="AF277" s="4082"/>
      <c r="AG277" s="4093"/>
      <c r="AH277" s="4093"/>
      <c r="AI277" s="4093"/>
      <c r="AJ277" s="4093"/>
      <c r="AK277" s="4093"/>
      <c r="AL277" s="4093"/>
      <c r="AM277" s="4093"/>
      <c r="AN277" s="2435"/>
      <c r="AO277" s="2435"/>
    </row>
    <row r="278" ht="12.75" spans="2:41">
      <c r="B278" s="5028" t="s">
        <v>619</v>
      </c>
      <c r="C278" s="3322"/>
      <c r="N278" s="4186"/>
      <c r="O278" s="4186"/>
      <c r="P278" s="4188">
        <f>SUM(P274:U277)</f>
        <v>11000000000</v>
      </c>
      <c r="Q278" s="4188"/>
      <c r="R278" s="4188"/>
      <c r="S278" s="4188"/>
      <c r="T278" s="4188"/>
      <c r="U278" s="4188"/>
      <c r="W278" s="4191">
        <f>SUM(W274:W277)</f>
        <v>10100743261.0142</v>
      </c>
      <c r="Y278" s="2435"/>
      <c r="Z278" s="4192">
        <f>SUM(Y274:AE277)</f>
        <v>21100743261.0142</v>
      </c>
      <c r="AA278" s="4192"/>
      <c r="AB278" s="4192"/>
      <c r="AC278" s="4192"/>
      <c r="AD278" s="4192"/>
      <c r="AE278" s="4192"/>
      <c r="AF278" s="4192"/>
      <c r="AG278" s="4093">
        <f>+Y60</f>
        <v>10100743261.0142</v>
      </c>
      <c r="AH278" s="4093"/>
      <c r="AI278" s="4093"/>
      <c r="AJ278" s="4093"/>
      <c r="AK278" s="4093"/>
      <c r="AL278" s="4093"/>
      <c r="AM278" s="4093"/>
      <c r="AN278" s="2435"/>
      <c r="AO278" s="2435"/>
    </row>
    <row r="279" ht="12.15" spans="18:41">
      <c r="R279" s="3606"/>
      <c r="S279" s="3606"/>
      <c r="T279" s="2635"/>
      <c r="U279" s="2635"/>
      <c r="V279" s="3606"/>
      <c r="W279" s="3606"/>
      <c r="AG279" s="2435"/>
      <c r="AH279" s="2435"/>
      <c r="AI279" s="2435"/>
      <c r="AJ279" s="2435"/>
      <c r="AK279" s="2435"/>
      <c r="AL279" s="2435"/>
      <c r="AM279" s="2435"/>
      <c r="AN279" s="2435"/>
      <c r="AO279" s="2435"/>
    </row>
    <row r="280" spans="2:41">
      <c r="B280" s="5027" t="s">
        <v>609</v>
      </c>
      <c r="C280" s="3315"/>
      <c r="N280" s="4099"/>
      <c r="O280" s="2435"/>
      <c r="P280" s="4185">
        <f>+ekin21!AB179</f>
        <v>0</v>
      </c>
      <c r="Q280" s="4185"/>
      <c r="R280" s="4185"/>
      <c r="S280" s="4185"/>
      <c r="T280" s="4185"/>
      <c r="U280" s="4185"/>
      <c r="W280" s="3606">
        <f>+'F3'!K44</f>
        <v>597415125.848836</v>
      </c>
      <c r="Z280" s="4082">
        <f>SUM(P280:W280)</f>
        <v>597415125.848836</v>
      </c>
      <c r="AA280" s="4082"/>
      <c r="AB280" s="4082"/>
      <c r="AC280" s="4082"/>
      <c r="AD280" s="4082"/>
      <c r="AE280" s="4082"/>
      <c r="AF280" s="4082"/>
      <c r="AG280" s="2435"/>
      <c r="AH280" s="2435"/>
      <c r="AI280" s="2435"/>
      <c r="AJ280" s="2435"/>
      <c r="AK280" s="2435"/>
      <c r="AL280" s="2435"/>
      <c r="AM280" s="2435"/>
      <c r="AN280" s="2435"/>
      <c r="AO280" s="2435"/>
    </row>
    <row r="281" s="3606" customFormat="1" spans="2:41">
      <c r="B281" s="3315"/>
      <c r="C281" s="3315"/>
      <c r="N281" s="4099"/>
      <c r="O281" s="2435"/>
      <c r="P281" s="4185"/>
      <c r="Q281" s="4185"/>
      <c r="R281" s="4185"/>
      <c r="S281" s="4185"/>
      <c r="T281" s="4185"/>
      <c r="U281" s="4185"/>
      <c r="V281" s="4049"/>
      <c r="X281" s="4049"/>
      <c r="Z281" s="4082"/>
      <c r="AA281" s="4082"/>
      <c r="AB281" s="4082"/>
      <c r="AC281" s="4082"/>
      <c r="AD281" s="4082"/>
      <c r="AE281" s="4082"/>
      <c r="AF281" s="4082"/>
      <c r="AG281" s="2435"/>
      <c r="AH281" s="2435"/>
      <c r="AI281" s="2435"/>
      <c r="AJ281" s="2435"/>
      <c r="AK281" s="2435"/>
      <c r="AL281" s="2435"/>
      <c r="AM281" s="2435"/>
      <c r="AN281" s="2435"/>
      <c r="AO281" s="2435"/>
    </row>
    <row r="282" ht="12.75" spans="2:41">
      <c r="B282" s="5028" t="s">
        <v>895</v>
      </c>
      <c r="C282" s="3322"/>
      <c r="N282" s="4186"/>
      <c r="O282" s="4186"/>
      <c r="P282" s="4188">
        <f>SUM(P278:U281)</f>
        <v>11000000000</v>
      </c>
      <c r="Q282" s="4188"/>
      <c r="R282" s="4188"/>
      <c r="S282" s="4188"/>
      <c r="T282" s="4188"/>
      <c r="U282" s="4188"/>
      <c r="W282" s="4191">
        <f>SUM(W278:W281)</f>
        <v>10698158386.8631</v>
      </c>
      <c r="Y282" s="2435"/>
      <c r="Z282" s="4192">
        <f>SUM(Y278:AE281)</f>
        <v>21698158386.8631</v>
      </c>
      <c r="AA282" s="4192"/>
      <c r="AB282" s="4192"/>
      <c r="AC282" s="4192"/>
      <c r="AD282" s="4192"/>
      <c r="AE282" s="4192"/>
      <c r="AF282" s="4192"/>
      <c r="AG282" s="4093">
        <f>+W60</f>
        <v>10698158386.8631</v>
      </c>
      <c r="AH282" s="4093"/>
      <c r="AI282" s="4093"/>
      <c r="AJ282" s="4093"/>
      <c r="AK282" s="4093"/>
      <c r="AL282" s="4093"/>
      <c r="AM282" s="4093"/>
      <c r="AN282" s="2435"/>
      <c r="AO282" s="2435"/>
    </row>
    <row r="283" ht="12.15" spans="20:39">
      <c r="T283" s="2623"/>
      <c r="U283" s="2623"/>
      <c r="AG283" s="4093">
        <f>+AG282-W282</f>
        <v>0</v>
      </c>
      <c r="AH283" s="4093"/>
      <c r="AI283" s="4093"/>
      <c r="AJ283" s="4093"/>
      <c r="AK283" s="4093"/>
      <c r="AL283" s="4093"/>
      <c r="AM283" s="4093"/>
    </row>
    <row r="284" spans="20:21">
      <c r="T284" s="2623"/>
      <c r="U284" s="2623"/>
    </row>
  </sheetData>
  <mergeCells count="360">
    <mergeCell ref="R7:U7"/>
    <mergeCell ref="Y7:AE7"/>
    <mergeCell ref="AG7:AM7"/>
    <mergeCell ref="R8:U8"/>
    <mergeCell ref="Y8:AE8"/>
    <mergeCell ref="AG8:AM8"/>
    <mergeCell ref="R9:U9"/>
    <mergeCell ref="Y9:AE9"/>
    <mergeCell ref="AG9:AM9"/>
    <mergeCell ref="R10:U10"/>
    <mergeCell ref="Y10:AE10"/>
    <mergeCell ref="AG10:AM10"/>
    <mergeCell ref="R11:U11"/>
    <mergeCell ref="Y11:AE11"/>
    <mergeCell ref="AG11:AM11"/>
    <mergeCell ref="R12:U12"/>
    <mergeCell ref="Y12:AE12"/>
    <mergeCell ref="AG12:AM12"/>
    <mergeCell ref="R13:U13"/>
    <mergeCell ref="Y13:AE13"/>
    <mergeCell ref="AG13:AM13"/>
    <mergeCell ref="R14:U14"/>
    <mergeCell ref="Y14:AE14"/>
    <mergeCell ref="AG14:AM14"/>
    <mergeCell ref="R15:U15"/>
    <mergeCell ref="Y15:AE15"/>
    <mergeCell ref="AG15:AM15"/>
    <mergeCell ref="R16:U16"/>
    <mergeCell ref="Y16:AE16"/>
    <mergeCell ref="AG16:AM16"/>
    <mergeCell ref="R17:U17"/>
    <mergeCell ref="Y17:AE17"/>
    <mergeCell ref="AG17:AM17"/>
    <mergeCell ref="R18:U18"/>
    <mergeCell ref="Y18:AE18"/>
    <mergeCell ref="AG18:AM18"/>
    <mergeCell ref="Y19:AE19"/>
    <mergeCell ref="AG19:AM19"/>
    <mergeCell ref="R22:U22"/>
    <mergeCell ref="Y22:AE22"/>
    <mergeCell ref="AG22:AM22"/>
    <mergeCell ref="R23:U23"/>
    <mergeCell ref="Y23:AE23"/>
    <mergeCell ref="AG23:AM23"/>
    <mergeCell ref="R27:U27"/>
    <mergeCell ref="Y27:AE27"/>
    <mergeCell ref="AG27:AM27"/>
    <mergeCell ref="R28:U28"/>
    <mergeCell ref="Y28:AE28"/>
    <mergeCell ref="AG28:AM28"/>
    <mergeCell ref="R29:U29"/>
    <mergeCell ref="Y29:AE29"/>
    <mergeCell ref="AG29:AM29"/>
    <mergeCell ref="R30:U30"/>
    <mergeCell ref="Y30:AE30"/>
    <mergeCell ref="AG30:AM30"/>
    <mergeCell ref="R32:U32"/>
    <mergeCell ref="Y32:AE32"/>
    <mergeCell ref="AG32:AM32"/>
    <mergeCell ref="Y33:AE33"/>
    <mergeCell ref="AG33:AM33"/>
    <mergeCell ref="AG34:AM34"/>
    <mergeCell ref="Y35:AE35"/>
    <mergeCell ref="M37:P37"/>
    <mergeCell ref="R37:U37"/>
    <mergeCell ref="Y37:AE37"/>
    <mergeCell ref="AG37:AM37"/>
    <mergeCell ref="M38:P38"/>
    <mergeCell ref="R38:U38"/>
    <mergeCell ref="Y38:AE38"/>
    <mergeCell ref="AG38:AM38"/>
    <mergeCell ref="M39:P39"/>
    <mergeCell ref="R39:U39"/>
    <mergeCell ref="Y39:AE39"/>
    <mergeCell ref="AG39:AM39"/>
    <mergeCell ref="M40:P40"/>
    <mergeCell ref="R40:U40"/>
    <mergeCell ref="Y40:AE40"/>
    <mergeCell ref="AG40:AM40"/>
    <mergeCell ref="R41:U41"/>
    <mergeCell ref="Y41:AE41"/>
    <mergeCell ref="AG41:AM41"/>
    <mergeCell ref="M42:P42"/>
    <mergeCell ref="R42:U42"/>
    <mergeCell ref="Y42:AE42"/>
    <mergeCell ref="AG42:AM42"/>
    <mergeCell ref="Y43:AE43"/>
    <mergeCell ref="AG43:AM43"/>
    <mergeCell ref="Y44:AE44"/>
    <mergeCell ref="AG44:AM44"/>
    <mergeCell ref="AG45:AM45"/>
    <mergeCell ref="R47:U47"/>
    <mergeCell ref="Y47:AE47"/>
    <mergeCell ref="AG47:AM47"/>
    <mergeCell ref="R48:U48"/>
    <mergeCell ref="Y48:AE48"/>
    <mergeCell ref="AG48:AM48"/>
    <mergeCell ref="R49:U49"/>
    <mergeCell ref="Y49:AE49"/>
    <mergeCell ref="AG49:AM49"/>
    <mergeCell ref="R50:U50"/>
    <mergeCell ref="Y50:AE50"/>
    <mergeCell ref="AG50:AM50"/>
    <mergeCell ref="R51:U51"/>
    <mergeCell ref="Y51:AE51"/>
    <mergeCell ref="AG51:AM51"/>
    <mergeCell ref="R52:U52"/>
    <mergeCell ref="Y52:AE52"/>
    <mergeCell ref="AG52:AM52"/>
    <mergeCell ref="Y53:AE53"/>
    <mergeCell ref="Y54:AE54"/>
    <mergeCell ref="AG54:AM54"/>
    <mergeCell ref="AG55:AM55"/>
    <mergeCell ref="R57:U57"/>
    <mergeCell ref="Y57:AE57"/>
    <mergeCell ref="AG57:AM57"/>
    <mergeCell ref="R58:U58"/>
    <mergeCell ref="Y58:AE58"/>
    <mergeCell ref="AG58:AM58"/>
    <mergeCell ref="R59:U59"/>
    <mergeCell ref="Y59:AE59"/>
    <mergeCell ref="AG59:AM59"/>
    <mergeCell ref="Y60:AE60"/>
    <mergeCell ref="AG60:AM60"/>
    <mergeCell ref="Y61:AE61"/>
    <mergeCell ref="AG61:AM61"/>
    <mergeCell ref="M62:P62"/>
    <mergeCell ref="Y62:AE62"/>
    <mergeCell ref="AG62:AM62"/>
    <mergeCell ref="M63:P63"/>
    <mergeCell ref="Y64:AE64"/>
    <mergeCell ref="AG64:AM64"/>
    <mergeCell ref="Y65:AE65"/>
    <mergeCell ref="AG65:AM65"/>
    <mergeCell ref="Y66:AE66"/>
    <mergeCell ref="AG66:AM66"/>
    <mergeCell ref="R80:U80"/>
    <mergeCell ref="Y80:AE80"/>
    <mergeCell ref="AG80:AM80"/>
    <mergeCell ref="R82:U82"/>
    <mergeCell ref="Y82:AE82"/>
    <mergeCell ref="AG82:AM82"/>
    <mergeCell ref="Y83:AE83"/>
    <mergeCell ref="AG83:AM83"/>
    <mergeCell ref="R84:U84"/>
    <mergeCell ref="Y84:AE84"/>
    <mergeCell ref="AG84:AM84"/>
    <mergeCell ref="Y85:AE85"/>
    <mergeCell ref="AG85:AM85"/>
    <mergeCell ref="Y86:AE86"/>
    <mergeCell ref="AG86:AM86"/>
    <mergeCell ref="Y87:AE87"/>
    <mergeCell ref="AG87:AM87"/>
    <mergeCell ref="R88:U88"/>
    <mergeCell ref="AG88:AM88"/>
    <mergeCell ref="AR88:AX88"/>
    <mergeCell ref="Y89:AE89"/>
    <mergeCell ref="AG89:AM89"/>
    <mergeCell ref="Y90:AE90"/>
    <mergeCell ref="AG90:AM90"/>
    <mergeCell ref="Y91:AE91"/>
    <mergeCell ref="AG91:AM91"/>
    <mergeCell ref="Y92:AE92"/>
    <mergeCell ref="AG92:AM92"/>
    <mergeCell ref="Y93:AE93"/>
    <mergeCell ref="AG93:AM93"/>
    <mergeCell ref="Y94:AE94"/>
    <mergeCell ref="AG94:AM94"/>
    <mergeCell ref="R96:U96"/>
    <mergeCell ref="Y97:AE97"/>
    <mergeCell ref="AG97:AM97"/>
    <mergeCell ref="Y98:AE98"/>
    <mergeCell ref="AG98:AM98"/>
    <mergeCell ref="R99:U99"/>
    <mergeCell ref="Y99:AE99"/>
    <mergeCell ref="AG99:AM99"/>
    <mergeCell ref="Y100:AE100"/>
    <mergeCell ref="AG100:AM100"/>
    <mergeCell ref="Y102:AE102"/>
    <mergeCell ref="AG102:AM102"/>
    <mergeCell ref="Y103:AE103"/>
    <mergeCell ref="AG103:AM103"/>
    <mergeCell ref="Y104:AE104"/>
    <mergeCell ref="AG104:AM104"/>
    <mergeCell ref="R105:U105"/>
    <mergeCell ref="Y105:AE105"/>
    <mergeCell ref="AG105:AM105"/>
    <mergeCell ref="Y106:AE106"/>
    <mergeCell ref="AG106:AM106"/>
    <mergeCell ref="R107:U107"/>
    <mergeCell ref="Y107:AE107"/>
    <mergeCell ref="AG107:AM107"/>
    <mergeCell ref="Y108:AE108"/>
    <mergeCell ref="AG108:AM108"/>
    <mergeCell ref="Y109:AE109"/>
    <mergeCell ref="AG109:AM109"/>
    <mergeCell ref="Y110:AE110"/>
    <mergeCell ref="AG110:AM110"/>
    <mergeCell ref="Y111:AE111"/>
    <mergeCell ref="AG111:AM111"/>
    <mergeCell ref="Y112:AE112"/>
    <mergeCell ref="AG112:AM112"/>
    <mergeCell ref="Y113:AE113"/>
    <mergeCell ref="AG113:AM113"/>
    <mergeCell ref="Y114:AE114"/>
    <mergeCell ref="AG114:AM114"/>
    <mergeCell ref="P150:U150"/>
    <mergeCell ref="Y150:AE150"/>
    <mergeCell ref="AG150:AM150"/>
    <mergeCell ref="P151:U151"/>
    <mergeCell ref="Y151:AE151"/>
    <mergeCell ref="AG151:AM151"/>
    <mergeCell ref="P152:U152"/>
    <mergeCell ref="Y152:AE152"/>
    <mergeCell ref="AG152:AM152"/>
    <mergeCell ref="P153:U153"/>
    <mergeCell ref="Y153:AE153"/>
    <mergeCell ref="AG153:AM153"/>
    <mergeCell ref="P154:U154"/>
    <mergeCell ref="Y154:AE154"/>
    <mergeCell ref="AG154:AM154"/>
    <mergeCell ref="P155:U155"/>
    <mergeCell ref="Y155:AE155"/>
    <mergeCell ref="AG155:AM155"/>
    <mergeCell ref="P156:U156"/>
    <mergeCell ref="Y156:AE156"/>
    <mergeCell ref="AG156:AM156"/>
    <mergeCell ref="P157:U157"/>
    <mergeCell ref="Y157:AE157"/>
    <mergeCell ref="AG157:AM157"/>
    <mergeCell ref="P158:U158"/>
    <mergeCell ref="Y158:AE158"/>
    <mergeCell ref="AG158:AM158"/>
    <mergeCell ref="P159:U159"/>
    <mergeCell ref="Y159:AE159"/>
    <mergeCell ref="AG159:AM159"/>
    <mergeCell ref="P161:U161"/>
    <mergeCell ref="Y161:AE161"/>
    <mergeCell ref="AG161:AM161"/>
    <mergeCell ref="P163:U163"/>
    <mergeCell ref="Y163:AE163"/>
    <mergeCell ref="AG163:AM163"/>
    <mergeCell ref="P165:U165"/>
    <mergeCell ref="Y165:AE165"/>
    <mergeCell ref="AG165:AM165"/>
    <mergeCell ref="P167:U167"/>
    <mergeCell ref="Y167:AE167"/>
    <mergeCell ref="AG167:AM167"/>
    <mergeCell ref="P168:U168"/>
    <mergeCell ref="Y168:AE168"/>
    <mergeCell ref="AG168:AM168"/>
    <mergeCell ref="P170:U170"/>
    <mergeCell ref="Y170:AE170"/>
    <mergeCell ref="AG170:AM170"/>
    <mergeCell ref="Y220:AE220"/>
    <mergeCell ref="AG220:AM220"/>
    <mergeCell ref="Y221:AE221"/>
    <mergeCell ref="AG221:AM221"/>
    <mergeCell ref="Y222:AE222"/>
    <mergeCell ref="AG222:AM222"/>
    <mergeCell ref="Y223:AE223"/>
    <mergeCell ref="AG223:AM223"/>
    <mergeCell ref="Y227:AE227"/>
    <mergeCell ref="AG227:AM227"/>
    <mergeCell ref="Y229:AE229"/>
    <mergeCell ref="AG229:AM229"/>
    <mergeCell ref="Y230:AE230"/>
    <mergeCell ref="AG230:AM230"/>
    <mergeCell ref="Y231:AE231"/>
    <mergeCell ref="AG231:AM231"/>
    <mergeCell ref="Y232:AE232"/>
    <mergeCell ref="AG232:AM232"/>
    <mergeCell ref="Y233:AE233"/>
    <mergeCell ref="AG233:AM233"/>
    <mergeCell ref="Y234:AE234"/>
    <mergeCell ref="AG234:AM234"/>
    <mergeCell ref="Y235:AE235"/>
    <mergeCell ref="AG235:AM235"/>
    <mergeCell ref="Y236:AE236"/>
    <mergeCell ref="AG236:AM236"/>
    <mergeCell ref="Y237:AE237"/>
    <mergeCell ref="AG237:AM237"/>
    <mergeCell ref="Y238:AE238"/>
    <mergeCell ref="AG238:AM238"/>
    <mergeCell ref="Y239:AE239"/>
    <mergeCell ref="AG239:AM239"/>
    <mergeCell ref="Y240:AE240"/>
    <mergeCell ref="AG240:AM240"/>
    <mergeCell ref="Y241:AE241"/>
    <mergeCell ref="AG241:AM241"/>
    <mergeCell ref="Y242:AE242"/>
    <mergeCell ref="AG242:AM242"/>
    <mergeCell ref="Y243:AE243"/>
    <mergeCell ref="AG243:AM243"/>
    <mergeCell ref="Y245:AE245"/>
    <mergeCell ref="AG245:AM245"/>
    <mergeCell ref="Y246:AE246"/>
    <mergeCell ref="AG246:AM246"/>
    <mergeCell ref="Y247:AE247"/>
    <mergeCell ref="AG247:AM247"/>
    <mergeCell ref="Y248:AE248"/>
    <mergeCell ref="AG248:AM248"/>
    <mergeCell ref="Y249:AE249"/>
    <mergeCell ref="AG249:AM249"/>
    <mergeCell ref="Y250:AE250"/>
    <mergeCell ref="AG250:AM250"/>
    <mergeCell ref="Y251:AE251"/>
    <mergeCell ref="AG251:AM251"/>
    <mergeCell ref="Y252:AE252"/>
    <mergeCell ref="AG252:AM252"/>
    <mergeCell ref="Y253:AE253"/>
    <mergeCell ref="AG253:AM253"/>
    <mergeCell ref="Y254:AE254"/>
    <mergeCell ref="AG254:AM254"/>
    <mergeCell ref="P268:U268"/>
    <mergeCell ref="Z268:AF268"/>
    <mergeCell ref="P270:U270"/>
    <mergeCell ref="Z270:AF270"/>
    <mergeCell ref="AG270:AM270"/>
    <mergeCell ref="P272:U272"/>
    <mergeCell ref="Z272:AF272"/>
    <mergeCell ref="AG272:AM272"/>
    <mergeCell ref="N273:O273"/>
    <mergeCell ref="P273:U273"/>
    <mergeCell ref="Z273:AF273"/>
    <mergeCell ref="AG273:AM273"/>
    <mergeCell ref="N274:O274"/>
    <mergeCell ref="P274:U274"/>
    <mergeCell ref="Z274:AF274"/>
    <mergeCell ref="AG274:AM274"/>
    <mergeCell ref="AG275:AM275"/>
    <mergeCell ref="P276:U276"/>
    <mergeCell ref="Z276:AF276"/>
    <mergeCell ref="AG276:AM276"/>
    <mergeCell ref="AG277:AM277"/>
    <mergeCell ref="N278:O278"/>
    <mergeCell ref="P278:U278"/>
    <mergeCell ref="Z278:AF278"/>
    <mergeCell ref="AG278:AM278"/>
    <mergeCell ref="P280:U280"/>
    <mergeCell ref="Z280:AF280"/>
    <mergeCell ref="N282:O282"/>
    <mergeCell ref="P282:U282"/>
    <mergeCell ref="Z282:AF282"/>
    <mergeCell ref="AG282:AM282"/>
    <mergeCell ref="AG283:AM283"/>
    <mergeCell ref="AH265:AM266"/>
    <mergeCell ref="B224:Y225"/>
    <mergeCell ref="AF214:AG217"/>
    <mergeCell ref="AH214:AM215"/>
    <mergeCell ref="AH216:AM217"/>
    <mergeCell ref="AF145:AG148"/>
    <mergeCell ref="AH145:AM146"/>
    <mergeCell ref="AH147:AM148"/>
    <mergeCell ref="AH141:AM142"/>
    <mergeCell ref="AH143:AM144"/>
    <mergeCell ref="AF75:AG78"/>
    <mergeCell ref="AH75:AM76"/>
    <mergeCell ref="AH77:AM78"/>
    <mergeCell ref="B25:P27"/>
  </mergeCells>
  <pageMargins left="0.78740157480315" right="0.590551181102362" top="0.590551181102362" bottom="0.590551181102362" header="0.236220472440945" footer="0.393700787401575"/>
  <pageSetup paperSize="9" orientation="portrait"/>
  <headerFooter>
    <oddFooter>&amp;C&amp;8Catatan atas laporan keuangan merupakan
bagian yang tidak terpisahkan dari laporan keuangan secara keseluruhan.&amp;10
&amp;8&amp;P</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6" tint="-0.249977111117893"/>
  </sheetPr>
  <dimension ref="A1:AG100"/>
  <sheetViews>
    <sheetView showGridLines="0" zoomScale="115" zoomScaleNormal="115" workbookViewId="0">
      <pane xSplit="5" ySplit="11" topLeftCell="F12" activePane="bottomRight" state="frozen"/>
      <selection/>
      <selection pane="topRight"/>
      <selection pane="bottomLeft"/>
      <selection pane="bottomRight" activeCell="L21" sqref="L21"/>
    </sheetView>
  </sheetViews>
  <sheetFormatPr defaultColWidth="9.13541666666667" defaultRowHeight="13.2"/>
  <cols>
    <col min="1" max="1" width="0.75" style="101" customWidth="1"/>
    <col min="2" max="2" width="3.14583333333333" style="101" customWidth="1"/>
    <col min="3" max="3" width="4.9375" style="101" customWidth="1"/>
    <col min="4" max="4" width="35.3645833333333" style="101" customWidth="1"/>
    <col min="5" max="5" width="9.13541666666667" style="102" customWidth="1"/>
    <col min="6" max="6" width="4.79166666666667" style="102" customWidth="1"/>
    <col min="7" max="7" width="15.1354166666667" style="102" hidden="1" customWidth="1" outlineLevel="1"/>
    <col min="8" max="8" width="7.9375" style="102" hidden="1" customWidth="1" outlineLevel="1"/>
    <col min="9" max="9" width="16.1770833333333" style="102" hidden="1" customWidth="1" outlineLevel="1"/>
    <col min="10" max="10" width="12.7395833333333" style="102" hidden="1" customWidth="1" outlineLevel="1"/>
    <col min="11" max="11" width="6.73958333333333" style="102" hidden="1" customWidth="1" outlineLevel="1"/>
    <col min="12" max="12" width="15.1354166666667" style="102" customWidth="1" collapsed="1"/>
    <col min="13" max="13" width="16.03125" style="101" hidden="1" customWidth="1" outlineLevel="1"/>
    <col min="14" max="14" width="7.79166666666667" style="101" hidden="1" customWidth="1" outlineLevel="1"/>
    <col min="15" max="15" width="15.4270833333333" style="101" hidden="1" customWidth="1" outlineLevel="1"/>
    <col min="16" max="16" width="13.1875" style="101" hidden="1" customWidth="1" outlineLevel="1"/>
    <col min="17" max="17" width="7.34375" style="101" hidden="1" customWidth="1" outlineLevel="1"/>
    <col min="18" max="18" width="16.03125" style="101" customWidth="1" collapsed="1"/>
    <col min="19" max="19" width="16.03125" style="101" customWidth="1"/>
    <col min="20" max="20" width="16.625" style="101" customWidth="1"/>
    <col min="21" max="21" width="9.4375" style="101" customWidth="1"/>
    <col min="22" max="22" width="16.9270833333333" style="101" customWidth="1"/>
    <col min="23" max="23" width="8.39583333333333" style="103" customWidth="1"/>
    <col min="24" max="24" width="5.39583333333333" style="101" customWidth="1"/>
    <col min="25" max="25" width="13.78125" style="101" customWidth="1"/>
    <col min="26" max="26" width="9.13541666666667" style="101"/>
    <col min="27" max="27" width="9.4375" style="101" customWidth="1"/>
    <col min="28" max="28" width="11.2395833333333" style="101" customWidth="1"/>
    <col min="29" max="16384" width="9.13541666666667" style="101"/>
  </cols>
  <sheetData>
    <row r="1" spans="17:17">
      <c r="Q1" s="137"/>
    </row>
    <row r="2" ht="15.6" spans="2:23">
      <c r="B2" s="3929" t="str">
        <f>'F1'!B2</f>
        <v>KAP LIASTA NIRWAN SYAFRUDIN &amp; REKAN</v>
      </c>
      <c r="C2" s="3930"/>
      <c r="D2" s="3930"/>
      <c r="E2" s="3930"/>
      <c r="F2" s="3930"/>
      <c r="G2" s="3930"/>
      <c r="H2" s="3930"/>
      <c r="I2" s="3930"/>
      <c r="J2" s="3930"/>
      <c r="K2" s="3930"/>
      <c r="L2" s="3930"/>
      <c r="M2" s="3930"/>
      <c r="N2" s="3930"/>
      <c r="O2" s="3930"/>
      <c r="P2" s="3930"/>
      <c r="Q2" s="3930"/>
      <c r="R2" s="3930"/>
      <c r="S2" s="3930" t="s">
        <v>896</v>
      </c>
      <c r="T2" s="3930" t="s">
        <v>482</v>
      </c>
      <c r="U2" s="3930"/>
      <c r="V2" s="4018" t="s">
        <v>483</v>
      </c>
      <c r="W2" s="1236"/>
    </row>
    <row r="3" spans="2:23">
      <c r="B3" s="1199"/>
      <c r="C3" s="3931"/>
      <c r="D3" s="3931"/>
      <c r="E3" s="3931"/>
      <c r="F3" s="3931"/>
      <c r="G3" s="3931"/>
      <c r="H3" s="3931"/>
      <c r="I3" s="3931"/>
      <c r="J3" s="3931"/>
      <c r="K3" s="3931"/>
      <c r="L3" s="3931"/>
      <c r="M3" s="3931"/>
      <c r="N3" s="3931"/>
      <c r="O3" s="3931"/>
      <c r="P3" s="3931"/>
      <c r="Q3" s="3931"/>
      <c r="R3" s="3931"/>
      <c r="S3" s="3931" t="s">
        <v>897</v>
      </c>
      <c r="T3" s="3931">
        <v>45173</v>
      </c>
      <c r="U3" s="3931"/>
      <c r="V3" s="3020" t="s">
        <v>732</v>
      </c>
      <c r="W3" s="1237"/>
    </row>
    <row r="4" spans="2:23">
      <c r="B4" s="1199" t="s">
        <v>622</v>
      </c>
      <c r="C4" s="3931"/>
      <c r="D4" s="3932" t="str">
        <f>'F1'!C4</f>
        <v>PT INTAN GIRI ABADI</v>
      </c>
      <c r="E4" s="3931"/>
      <c r="F4" s="3931"/>
      <c r="G4" s="3931"/>
      <c r="H4" s="3931"/>
      <c r="I4" s="3931"/>
      <c r="J4" s="3931"/>
      <c r="K4" s="3931"/>
      <c r="L4" s="3931"/>
      <c r="M4" s="3931"/>
      <c r="N4" s="3931"/>
      <c r="O4" s="3931"/>
      <c r="P4" s="3931"/>
      <c r="Q4" s="3931"/>
      <c r="R4" s="3931"/>
      <c r="S4" s="3931" t="s">
        <v>898</v>
      </c>
      <c r="T4" s="3931" t="s">
        <v>482</v>
      </c>
      <c r="U4" s="3931"/>
      <c r="V4" s="3020" t="s">
        <v>488</v>
      </c>
      <c r="W4" s="1237"/>
    </row>
    <row r="5" spans="2:23">
      <c r="B5" s="1199"/>
      <c r="C5" s="3931"/>
      <c r="D5" s="3932"/>
      <c r="E5" s="3931"/>
      <c r="F5" s="3931"/>
      <c r="G5" s="3931"/>
      <c r="H5" s="3931"/>
      <c r="I5" s="3931"/>
      <c r="J5" s="3931"/>
      <c r="K5" s="3931"/>
      <c r="L5" s="3931"/>
      <c r="M5" s="3931"/>
      <c r="N5" s="3931"/>
      <c r="O5" s="3931"/>
      <c r="P5" s="3931"/>
      <c r="Q5" s="3931"/>
      <c r="R5" s="3931"/>
      <c r="S5" s="3931" t="s">
        <v>899</v>
      </c>
      <c r="T5" s="3931">
        <f>+T3+2</f>
        <v>45175</v>
      </c>
      <c r="U5" s="3931"/>
      <c r="V5" s="3020">
        <v>1</v>
      </c>
      <c r="W5" s="1237"/>
    </row>
    <row r="6" spans="2:23">
      <c r="B6" s="1199"/>
      <c r="C6" s="3931"/>
      <c r="D6" s="3932"/>
      <c r="E6" s="3931"/>
      <c r="F6" s="3931"/>
      <c r="G6" s="3931"/>
      <c r="H6" s="3931"/>
      <c r="I6" s="3931"/>
      <c r="J6" s="3931"/>
      <c r="K6" s="3931"/>
      <c r="L6" s="3931"/>
      <c r="M6" s="3931"/>
      <c r="N6" s="3931"/>
      <c r="O6" s="3931"/>
      <c r="P6" s="3931"/>
      <c r="Q6" s="3931"/>
      <c r="R6" s="3931"/>
      <c r="S6" s="3931"/>
      <c r="T6" s="3931"/>
      <c r="U6" s="3931"/>
      <c r="V6" s="3020" t="s">
        <v>491</v>
      </c>
      <c r="W6" s="1237"/>
    </row>
    <row r="7" spans="2:23">
      <c r="B7" s="1201" t="s">
        <v>900</v>
      </c>
      <c r="C7" s="3933"/>
      <c r="D7" s="3934" t="s">
        <v>901</v>
      </c>
      <c r="E7" s="3933"/>
      <c r="F7" s="3933"/>
      <c r="G7" s="3933"/>
      <c r="H7" s="3933"/>
      <c r="I7" s="3933"/>
      <c r="J7" s="3933"/>
      <c r="K7" s="3933"/>
      <c r="L7" s="3933"/>
      <c r="M7" s="3933"/>
      <c r="N7" s="3933"/>
      <c r="O7" s="3933"/>
      <c r="P7" s="3933"/>
      <c r="Q7" s="3933"/>
      <c r="R7" s="3933"/>
      <c r="S7" s="3933"/>
      <c r="T7" s="3933"/>
      <c r="U7" s="3933"/>
      <c r="V7" s="3748">
        <v>44926</v>
      </c>
      <c r="W7" s="1240"/>
    </row>
    <row r="8" ht="10.5" customHeight="1" spans="2:23">
      <c r="B8"/>
      <c r="C8"/>
      <c r="D8" s="94"/>
      <c r="E8"/>
      <c r="F8"/>
      <c r="G8"/>
      <c r="H8"/>
      <c r="I8"/>
      <c r="J8"/>
      <c r="K8"/>
      <c r="L8"/>
      <c r="M8"/>
      <c r="N8"/>
      <c r="O8"/>
      <c r="P8"/>
      <c r="Q8"/>
      <c r="R8"/>
      <c r="S8"/>
      <c r="T8"/>
      <c r="U8"/>
      <c r="V8"/>
      <c r="W8"/>
    </row>
    <row r="9" s="2375" customFormat="1" ht="15.75" customHeight="1" spans="2:23">
      <c r="B9" s="1262"/>
      <c r="C9" s="1262"/>
      <c r="D9" s="1262"/>
      <c r="E9" s="1262"/>
      <c r="F9" s="3935"/>
      <c r="G9" s="3936"/>
      <c r="H9" s="1262"/>
      <c r="I9" s="3981"/>
      <c r="J9" s="3981"/>
      <c r="K9" s="1262"/>
      <c r="L9" s="3936"/>
      <c r="M9" s="3936"/>
      <c r="N9" s="1262"/>
      <c r="O9" s="1262"/>
      <c r="P9" s="1262"/>
      <c r="Q9" s="1262"/>
      <c r="R9" s="3936"/>
      <c r="S9" s="3936"/>
      <c r="T9" s="3981"/>
      <c r="U9" s="3981"/>
      <c r="V9" s="3981"/>
      <c r="W9" s="3981"/>
    </row>
    <row r="10" spans="2:23">
      <c r="B10" s="3937"/>
      <c r="C10" s="3938"/>
      <c r="D10" s="3938"/>
      <c r="E10" s="3939"/>
      <c r="F10" s="3938"/>
      <c r="G10" s="3940">
        <v>44926</v>
      </c>
      <c r="H10" s="3937"/>
      <c r="I10" s="3982" t="s">
        <v>630</v>
      </c>
      <c r="J10" s="3983"/>
      <c r="K10" s="3984"/>
      <c r="L10" s="3940">
        <v>44926</v>
      </c>
      <c r="M10" s="3940">
        <v>44561</v>
      </c>
      <c r="N10" s="3939"/>
      <c r="O10" s="3985" t="s">
        <v>630</v>
      </c>
      <c r="P10" s="3986"/>
      <c r="Q10" s="3939"/>
      <c r="R10" s="3940">
        <v>44561</v>
      </c>
      <c r="S10" s="3940">
        <v>44196</v>
      </c>
      <c r="T10" s="4019">
        <v>44926</v>
      </c>
      <c r="U10" s="4020"/>
      <c r="V10" s="4019">
        <v>44926</v>
      </c>
      <c r="W10" s="4020"/>
    </row>
    <row r="11" spans="2:23">
      <c r="B11" s="3941" t="s">
        <v>387</v>
      </c>
      <c r="C11" s="3942"/>
      <c r="D11" s="3943"/>
      <c r="E11" s="3944" t="s">
        <v>654</v>
      </c>
      <c r="F11" s="3945"/>
      <c r="G11" s="3944" t="s">
        <v>628</v>
      </c>
      <c r="H11" s="3946" t="s">
        <v>629</v>
      </c>
      <c r="I11" s="3987" t="s">
        <v>625</v>
      </c>
      <c r="J11" s="3987" t="s">
        <v>626</v>
      </c>
      <c r="K11" s="3988" t="s">
        <v>629</v>
      </c>
      <c r="L11" s="3944" t="s">
        <v>631</v>
      </c>
      <c r="M11" s="3989" t="s">
        <v>628</v>
      </c>
      <c r="N11" s="3944" t="s">
        <v>629</v>
      </c>
      <c r="O11" s="3987" t="s">
        <v>625</v>
      </c>
      <c r="P11" s="3987" t="s">
        <v>626</v>
      </c>
      <c r="Q11" s="3944" t="s">
        <v>629</v>
      </c>
      <c r="R11" s="3944" t="s">
        <v>631</v>
      </c>
      <c r="S11" s="4021" t="s">
        <v>628</v>
      </c>
      <c r="T11" s="4021" t="s">
        <v>632</v>
      </c>
      <c r="U11" s="4022" t="s">
        <v>633</v>
      </c>
      <c r="V11" s="3989" t="s">
        <v>632</v>
      </c>
      <c r="W11" s="4021" t="s">
        <v>633</v>
      </c>
    </row>
    <row r="12" spans="2:23">
      <c r="B12" s="129" t="s">
        <v>480</v>
      </c>
      <c r="C12" s="130"/>
      <c r="D12" s="130"/>
      <c r="E12" s="131"/>
      <c r="F12" s="132"/>
      <c r="G12" s="131"/>
      <c r="H12" s="328"/>
      <c r="I12" s="328"/>
      <c r="J12" s="328"/>
      <c r="K12" s="328"/>
      <c r="L12" s="2496"/>
      <c r="M12" s="153"/>
      <c r="N12" s="153"/>
      <c r="O12" s="152"/>
      <c r="P12" s="153"/>
      <c r="Q12" s="152"/>
      <c r="R12" s="130"/>
      <c r="S12" s="152"/>
      <c r="T12" s="153"/>
      <c r="U12" s="152"/>
      <c r="V12" s="161"/>
      <c r="W12" s="4023"/>
    </row>
    <row r="13" spans="2:23">
      <c r="B13" s="133"/>
      <c r="C13" s="208"/>
      <c r="D13" s="134"/>
      <c r="E13" s="135"/>
      <c r="F13" s="136"/>
      <c r="G13" s="135"/>
      <c r="H13" s="329"/>
      <c r="I13" s="329"/>
      <c r="J13" s="329"/>
      <c r="K13" s="329"/>
      <c r="L13" s="135"/>
      <c r="M13" s="289"/>
      <c r="N13" s="134"/>
      <c r="O13" s="296"/>
      <c r="P13" s="289"/>
      <c r="Q13" s="296"/>
      <c r="R13" s="134"/>
      <c r="S13" s="296"/>
      <c r="T13" s="289"/>
      <c r="U13" s="296"/>
      <c r="V13" s="296"/>
      <c r="W13" s="4023"/>
    </row>
    <row r="14" spans="2:27">
      <c r="B14" s="3947" t="s">
        <v>475</v>
      </c>
      <c r="C14" s="208"/>
      <c r="D14" s="134"/>
      <c r="E14" s="299" t="s">
        <v>142</v>
      </c>
      <c r="F14" s="136"/>
      <c r="G14" s="135"/>
      <c r="H14" s="329"/>
      <c r="I14" s="135"/>
      <c r="J14" s="329"/>
      <c r="K14" s="329"/>
      <c r="L14" s="135"/>
      <c r="M14" s="3990"/>
      <c r="N14" s="134"/>
      <c r="O14" s="3991"/>
      <c r="P14" s="289"/>
      <c r="Q14" s="296"/>
      <c r="R14" s="296"/>
      <c r="S14" s="296"/>
      <c r="T14" s="289"/>
      <c r="U14" s="134"/>
      <c r="V14" s="296"/>
      <c r="W14" s="4023"/>
      <c r="AA14" s="365"/>
    </row>
    <row r="15" spans="2:25">
      <c r="B15" s="3947"/>
      <c r="C15" s="137" t="s">
        <v>902</v>
      </c>
      <c r="D15" s="137"/>
      <c r="E15" s="3948"/>
      <c r="F15" s="139"/>
      <c r="G15" s="161">
        <v>1635000</v>
      </c>
      <c r="H15" s="161"/>
      <c r="I15" s="161">
        <f>SUMIF('F4'!$E$12:$E$158,A!C15,'F4'!$G$12:$G$158)</f>
        <v>0</v>
      </c>
      <c r="J15" s="161">
        <f>SUMIF('F4'!$E$12:$E$158,A!C15,'F4'!$H$12:$H$158)</f>
        <v>0</v>
      </c>
      <c r="K15" s="137"/>
      <c r="L15" s="158">
        <f>G15+I15-J15</f>
        <v>1635000</v>
      </c>
      <c r="M15" s="2206">
        <v>1820000</v>
      </c>
      <c r="N15" s="162"/>
      <c r="O15" s="161">
        <f>SUMIF('F4'!$E$12:$E$158,A!C15,'F4'!$I$12:$I$158)</f>
        <v>0</v>
      </c>
      <c r="P15" s="161">
        <f>SUMIF('F4'!$E$12:$E$158,A!C15,'F4'!$J$12:$J$158)</f>
        <v>0</v>
      </c>
      <c r="Q15" s="156"/>
      <c r="R15" s="158">
        <f>M15+O15-P15</f>
        <v>1820000</v>
      </c>
      <c r="S15" s="161">
        <f>+'[75]Kas bank'!$I$11</f>
        <v>1250500</v>
      </c>
      <c r="T15" s="161">
        <f>G15-R15</f>
        <v>-185000</v>
      </c>
      <c r="U15" s="4024">
        <f>IF(L15=0,IF(L15=0,1,T15/T15),T15/L15)</f>
        <v>-0.113149847094801</v>
      </c>
      <c r="V15" s="184">
        <f>G15-M15</f>
        <v>-185000</v>
      </c>
      <c r="W15" s="4025">
        <f>IF(M15=0,IF(S15=0,1,V15/V15),V15/S15)</f>
        <v>-0.147940823670532</v>
      </c>
      <c r="Y15" s="364"/>
    </row>
    <row r="16" spans="2:23">
      <c r="B16" s="3947"/>
      <c r="C16" s="137" t="s">
        <v>903</v>
      </c>
      <c r="D16" s="137"/>
      <c r="E16" s="299" t="s">
        <v>904</v>
      </c>
      <c r="F16" s="139"/>
      <c r="G16" s="161">
        <v>0</v>
      </c>
      <c r="H16" s="161"/>
      <c r="I16" s="161">
        <f>SUMIF('F4'!$E$12:$E$158,A!C16,'F4'!$G$12:$G$158)</f>
        <v>0</v>
      </c>
      <c r="J16" s="161">
        <f>SUMIF('F4'!$E$12:$E$158,A!C16,'F4'!$H$12:$H$158)</f>
        <v>0</v>
      </c>
      <c r="K16" s="137"/>
      <c r="L16" s="158">
        <f>G16+I16-J16</f>
        <v>0</v>
      </c>
      <c r="M16" s="230">
        <v>20400000</v>
      </c>
      <c r="N16" s="162"/>
      <c r="O16" s="161">
        <f>SUMIF('F4'!$E$12:$E$158,A!C16,'F4'!$I$12:$I$158)</f>
        <v>0</v>
      </c>
      <c r="P16" s="161">
        <f>SUMIF('F4'!$E$12:$E$158,A!C16,'F4'!$J$12:$J$158)</f>
        <v>0</v>
      </c>
      <c r="Q16" s="156"/>
      <c r="R16" s="158">
        <f>M16+O16-P16</f>
        <v>20400000</v>
      </c>
      <c r="S16" s="230">
        <f>+'[75]Kas bank'!$I$13</f>
        <v>13955299.85725</v>
      </c>
      <c r="T16" s="161">
        <f>G16-R16</f>
        <v>-20400000</v>
      </c>
      <c r="U16" s="4024">
        <f>IF(L16=0,IF(L16=0,1,T16/T16),T16/L16)</f>
        <v>1</v>
      </c>
      <c r="V16" s="184">
        <f>G16-M16</f>
        <v>-20400000</v>
      </c>
      <c r="W16" s="4025">
        <f>IF(M16=0,IF(S16=0,1,V16/V16),V16/S16)</f>
        <v>-1.46181022326094</v>
      </c>
    </row>
    <row r="17" spans="2:23">
      <c r="B17" s="3949"/>
      <c r="C17" s="110"/>
      <c r="D17" s="110"/>
      <c r="E17" s="147"/>
      <c r="F17" s="3950"/>
      <c r="G17" s="143"/>
      <c r="H17" s="143"/>
      <c r="I17" s="143"/>
      <c r="J17" s="358"/>
      <c r="K17" s="110"/>
      <c r="L17" s="165"/>
      <c r="M17" s="3992"/>
      <c r="N17" s="176"/>
      <c r="O17" s="171"/>
      <c r="P17" s="3993"/>
      <c r="Q17" s="171"/>
      <c r="R17" s="165"/>
      <c r="S17" s="143"/>
      <c r="T17" s="143"/>
      <c r="U17" s="109"/>
      <c r="V17" s="109"/>
      <c r="W17" s="4026"/>
    </row>
    <row r="18" spans="2:23">
      <c r="B18" s="3949"/>
      <c r="C18" s="110"/>
      <c r="D18" s="110" t="s">
        <v>905</v>
      </c>
      <c r="E18" s="147"/>
      <c r="F18" s="148"/>
      <c r="G18" s="3951">
        <f>SUM(G15:G17)</f>
        <v>1635000</v>
      </c>
      <c r="H18" s="1228"/>
      <c r="I18" s="1228"/>
      <c r="J18" s="3994"/>
      <c r="K18" s="1228"/>
      <c r="L18" s="207">
        <f>SUM(L15:L17)</f>
        <v>1635000</v>
      </c>
      <c r="M18" s="207">
        <f>SUM(M15:M17)</f>
        <v>22220000</v>
      </c>
      <c r="N18" s="1227"/>
      <c r="O18" s="1228"/>
      <c r="P18" s="1227"/>
      <c r="Q18" s="1228"/>
      <c r="R18" s="1227">
        <f>SUM(R15:R17)</f>
        <v>22220000</v>
      </c>
      <c r="S18" s="1228">
        <f>SUM(S15:S17)</f>
        <v>15205799.85725</v>
      </c>
      <c r="T18" s="1227">
        <f>SUM(T15:T17)</f>
        <v>-20585000</v>
      </c>
      <c r="U18" s="1228">
        <f>IF(L18=0,IF(L18=0,1,T18/T18),T18/L18)</f>
        <v>-12.5902140672783</v>
      </c>
      <c r="V18" s="1225">
        <f>G18-M18</f>
        <v>-20585000</v>
      </c>
      <c r="W18" s="4025">
        <f>IF(M18=0,IF(S18=0,1,V18/V18),V18/S18)</f>
        <v>-1.35375976227816</v>
      </c>
    </row>
    <row r="19" spans="1:27">
      <c r="A19" s="137"/>
      <c r="B19" s="184"/>
      <c r="C19" s="2558"/>
      <c r="D19" s="3952"/>
      <c r="E19" s="161"/>
      <c r="F19" s="136"/>
      <c r="G19" s="135"/>
      <c r="H19" s="135"/>
      <c r="I19" s="135"/>
      <c r="J19" s="329"/>
      <c r="K19" s="329"/>
      <c r="L19" s="135"/>
      <c r="M19" s="158"/>
      <c r="N19" s="162"/>
      <c r="O19" s="156"/>
      <c r="P19" s="157"/>
      <c r="Q19" s="156"/>
      <c r="R19" s="158"/>
      <c r="S19" s="161"/>
      <c r="T19" s="161"/>
      <c r="U19" s="137"/>
      <c r="V19" s="156"/>
      <c r="W19" s="4025"/>
      <c r="Z19" s="365"/>
      <c r="AA19" s="365"/>
    </row>
    <row r="20" spans="2:23">
      <c r="B20" s="3947" t="s">
        <v>906</v>
      </c>
      <c r="C20" s="137"/>
      <c r="D20" s="137"/>
      <c r="E20" s="3948" t="s">
        <v>148</v>
      </c>
      <c r="F20" s="136"/>
      <c r="G20" s="135"/>
      <c r="H20" s="161"/>
      <c r="I20" s="329"/>
      <c r="J20" s="304"/>
      <c r="K20" s="136"/>
      <c r="L20" s="135"/>
      <c r="M20" s="161"/>
      <c r="N20" s="137"/>
      <c r="O20" s="161"/>
      <c r="P20" s="137"/>
      <c r="Q20" s="156"/>
      <c r="R20" s="158"/>
      <c r="S20" s="137"/>
      <c r="T20" s="161"/>
      <c r="U20" s="137"/>
      <c r="V20" s="156"/>
      <c r="W20" s="4023"/>
    </row>
    <row r="21" spans="2:23">
      <c r="B21" s="3947"/>
      <c r="C21" s="137" t="s">
        <v>669</v>
      </c>
      <c r="D21" s="137"/>
      <c r="E21" s="3948" t="s">
        <v>907</v>
      </c>
      <c r="F21" s="137"/>
      <c r="G21" s="161">
        <v>6373414.65</v>
      </c>
      <c r="H21" s="137"/>
      <c r="I21" s="161">
        <f>SUMIF('F4'!$E$12:$E$158,A!C21,'F4'!$G$12:$G$158)</f>
        <v>0</v>
      </c>
      <c r="J21" s="161">
        <f>SUMIF('F4'!$E$12:$E$158,A!C21,'F4'!$H$12:$H$158)</f>
        <v>66242.0249999994</v>
      </c>
      <c r="K21" s="161"/>
      <c r="L21" s="158">
        <f t="shared" ref="L21:L26" si="0">G21+I21-J21</f>
        <v>6307172.625</v>
      </c>
      <c r="M21" s="161">
        <v>5948320.11435</v>
      </c>
      <c r="N21" s="137"/>
      <c r="O21" s="161">
        <f>SUMIF('F4'!$E$12:$E$158,A!C21,'F4'!$I$12:$I$158)</f>
        <v>0</v>
      </c>
      <c r="P21" s="161">
        <f>SUMIF('F4'!$E$12:$E$158,A!C21,'F4'!$J$12:$J$158)</f>
        <v>1669.56435000058</v>
      </c>
      <c r="Q21" s="156"/>
      <c r="R21" s="158">
        <f>M21+O21-P21</f>
        <v>5946650.55</v>
      </c>
      <c r="S21" s="161">
        <f>+'[75]Kas bank'!$I$4</f>
        <v>6044699.89275</v>
      </c>
      <c r="T21" s="137">
        <f t="shared" ref="T21:T26" si="1">G21-R21</f>
        <v>426764.1</v>
      </c>
      <c r="U21" s="185">
        <f t="shared" ref="U21:U28" si="2">IF(L21=0,IF(L21=0,1,T21/T21),T21/L21)</f>
        <v>0.0676632978632006</v>
      </c>
      <c r="V21" s="184">
        <f t="shared" ref="V21:V26" si="3">G21-M21</f>
        <v>425094.535649999</v>
      </c>
      <c r="W21" s="4025">
        <f t="shared" ref="W21:W26" si="4">IF(M21=0,IF(S21=0,1,V21/V21),V21/S21)</f>
        <v>0.0703251680302369</v>
      </c>
    </row>
    <row r="22" spans="2:23">
      <c r="B22" s="3947"/>
      <c r="C22" s="137" t="s">
        <v>908</v>
      </c>
      <c r="D22" s="137"/>
      <c r="E22" s="3953" t="s">
        <v>909</v>
      </c>
      <c r="F22" s="137"/>
      <c r="G22" s="161">
        <v>1484994.14999997</v>
      </c>
      <c r="H22" s="137"/>
      <c r="I22" s="161">
        <f>SUMIF('F4'!$E$12:$E$158,A!C22,'F4'!$G$12:$G$158)</f>
        <v>0</v>
      </c>
      <c r="J22" s="161">
        <f>SUMIF('F4'!$E$12:$E$158,A!C22,'F4'!$H$12:$H$158)</f>
        <v>0</v>
      </c>
      <c r="K22" s="161"/>
      <c r="L22" s="158">
        <f t="shared" si="0"/>
        <v>1484994.14999997</v>
      </c>
      <c r="M22" s="161">
        <v>2237674.80000002</v>
      </c>
      <c r="N22" s="137"/>
      <c r="O22" s="161">
        <f>SUMIF('F4'!$E$12:$E$158,A!C22,'F4'!$I$12:$I$158)</f>
        <v>0</v>
      </c>
      <c r="P22" s="161">
        <f>SUMIF('F4'!$E$12:$E$158,A!C22,'F4'!$J$12:$J$158)</f>
        <v>0</v>
      </c>
      <c r="Q22" s="156"/>
      <c r="R22" s="158">
        <f t="shared" ref="R22:R26" si="5">M22+O22-P22</f>
        <v>2237674.80000002</v>
      </c>
      <c r="S22" s="161">
        <f>+'[75]Kas bank'!$I$3</f>
        <v>332136.52</v>
      </c>
      <c r="T22" s="137">
        <f t="shared" si="1"/>
        <v>-752680.650000053</v>
      </c>
      <c r="U22" s="185">
        <f t="shared" si="2"/>
        <v>-0.506857653277671</v>
      </c>
      <c r="V22" s="184">
        <f t="shared" si="3"/>
        <v>-752680.650000053</v>
      </c>
      <c r="W22" s="4025">
        <f t="shared" si="4"/>
        <v>-2.26617852803435</v>
      </c>
    </row>
    <row r="23" spans="2:23">
      <c r="B23" s="3947"/>
      <c r="C23" s="137" t="s">
        <v>910</v>
      </c>
      <c r="D23" s="137"/>
      <c r="E23" s="3948" t="s">
        <v>911</v>
      </c>
      <c r="F23" s="137"/>
      <c r="G23" s="161">
        <v>186734445.23</v>
      </c>
      <c r="H23" s="137"/>
      <c r="I23" s="161">
        <f>SUMIF('F4'!$E$12:$E$158,A!C23,'F4'!$G$12:$G$158)</f>
        <v>0</v>
      </c>
      <c r="J23" s="161">
        <f>SUMIF('F4'!$E$12:$E$158,A!C23,'F4'!$H$12:$H$158)</f>
        <v>0</v>
      </c>
      <c r="K23" s="161"/>
      <c r="L23" s="158">
        <f t="shared" si="0"/>
        <v>186734445.23</v>
      </c>
      <c r="M23" s="161">
        <v>88855543.7299999</v>
      </c>
      <c r="N23" s="137"/>
      <c r="O23" s="161">
        <f>SUMIF('F4'!$E$12:$E$158,A!C23,'F4'!$I$12:$I$158)</f>
        <v>0</v>
      </c>
      <c r="P23" s="161">
        <f>SUMIF('F4'!$E$12:$E$158,A!C23,'F4'!$J$12:$J$158)</f>
        <v>0</v>
      </c>
      <c r="Q23" s="156"/>
      <c r="R23" s="158">
        <f t="shared" si="5"/>
        <v>88855543.7299999</v>
      </c>
      <c r="S23" s="161">
        <f>+'[75]Kas bank'!$I$5</f>
        <v>336861273.53</v>
      </c>
      <c r="T23" s="137">
        <f t="shared" si="1"/>
        <v>97878901.5000006</v>
      </c>
      <c r="U23" s="185">
        <f t="shared" si="2"/>
        <v>0.5241609354902</v>
      </c>
      <c r="V23" s="184">
        <f t="shared" si="3"/>
        <v>97878901.5000006</v>
      </c>
      <c r="W23" s="4025">
        <f t="shared" si="4"/>
        <v>0.290561454198396</v>
      </c>
    </row>
    <row r="24" spans="2:23">
      <c r="B24" s="3947"/>
      <c r="C24" s="137" t="s">
        <v>912</v>
      </c>
      <c r="D24" s="137"/>
      <c r="E24" s="3948" t="s">
        <v>913</v>
      </c>
      <c r="F24" s="137"/>
      <c r="G24" s="161">
        <v>0</v>
      </c>
      <c r="H24" s="137"/>
      <c r="I24" s="161">
        <f>SUMIF('F4'!$E$12:$E$158,A!C24,'F4'!$G$12:$G$158)</f>
        <v>0</v>
      </c>
      <c r="J24" s="161">
        <f>SUMIF('F4'!$E$12:$E$158,A!C24,'F4'!$H$12:$H$158)</f>
        <v>0</v>
      </c>
      <c r="K24" s="161"/>
      <c r="L24" s="158">
        <f t="shared" si="0"/>
        <v>0</v>
      </c>
      <c r="M24" s="161">
        <v>0</v>
      </c>
      <c r="N24" s="137"/>
      <c r="O24" s="161">
        <f>SUMIF('F4'!$E$12:$E$158,A!C24,'F4'!$I$12:$I$158)</f>
        <v>0</v>
      </c>
      <c r="P24" s="161">
        <f>SUMIF('F4'!$E$12:$E$158,A!C24,'F4'!$J$12:$J$158)</f>
        <v>0</v>
      </c>
      <c r="Q24" s="177"/>
      <c r="R24" s="158">
        <f t="shared" si="5"/>
        <v>0</v>
      </c>
      <c r="S24" s="161">
        <v>0</v>
      </c>
      <c r="T24" s="137">
        <f t="shared" si="1"/>
        <v>0</v>
      </c>
      <c r="U24" s="185">
        <f t="shared" si="2"/>
        <v>1</v>
      </c>
      <c r="V24" s="184">
        <f t="shared" si="3"/>
        <v>0</v>
      </c>
      <c r="W24" s="4025">
        <f t="shared" si="4"/>
        <v>1</v>
      </c>
    </row>
    <row r="25" spans="2:23">
      <c r="B25" s="3947"/>
      <c r="C25" s="137" t="s">
        <v>914</v>
      </c>
      <c r="D25" s="137"/>
      <c r="E25" s="3948" t="s">
        <v>913</v>
      </c>
      <c r="F25" s="137"/>
      <c r="G25" s="161">
        <v>1605698</v>
      </c>
      <c r="H25" s="137"/>
      <c r="I25" s="161">
        <f>SUMIF('F4'!$E$12:$E$158,A!C25,'F4'!$G$12:$G$158)</f>
        <v>0</v>
      </c>
      <c r="J25" s="161">
        <f>SUMIF('F4'!$E$12:$E$158,A!C25,'F4'!$H$12:$H$158)</f>
        <v>0</v>
      </c>
      <c r="K25" s="161"/>
      <c r="L25" s="158">
        <f t="shared" si="0"/>
        <v>1605698</v>
      </c>
      <c r="M25" s="161">
        <v>167272838</v>
      </c>
      <c r="N25" s="137"/>
      <c r="O25" s="161">
        <f>SUMIF('F4'!$E$12:$E$158,A!C25,'F4'!$I$12:$I$158)</f>
        <v>0</v>
      </c>
      <c r="P25" s="161">
        <f>SUMIF('F4'!$E$12:$E$158,A!C25,'F4'!$J$12:$J$158)</f>
        <v>0</v>
      </c>
      <c r="Q25" s="177"/>
      <c r="R25" s="158">
        <f t="shared" si="5"/>
        <v>167272838</v>
      </c>
      <c r="S25" s="161">
        <f>+'[75]Kas bank'!$I$8</f>
        <v>252561678</v>
      </c>
      <c r="T25" s="137">
        <f t="shared" si="1"/>
        <v>-165667140</v>
      </c>
      <c r="U25" s="185">
        <f t="shared" si="2"/>
        <v>-103.174532197213</v>
      </c>
      <c r="V25" s="184">
        <f t="shared" si="3"/>
        <v>-165667140</v>
      </c>
      <c r="W25" s="4025">
        <f t="shared" si="4"/>
        <v>-0.655947257366575</v>
      </c>
    </row>
    <row r="26" spans="2:23">
      <c r="B26" s="3947"/>
      <c r="C26" s="137" t="s">
        <v>915</v>
      </c>
      <c r="D26" s="137"/>
      <c r="E26" s="3948" t="s">
        <v>916</v>
      </c>
      <c r="F26" s="137"/>
      <c r="G26" s="161">
        <v>5863163</v>
      </c>
      <c r="H26" s="137"/>
      <c r="I26" s="161">
        <f>SUMIF('F4'!$E$12:$E$158,A!C26,'F4'!$G$12:$G$158)</f>
        <v>0</v>
      </c>
      <c r="J26" s="161">
        <f>SUMIF('F4'!$E$12:$E$158,A!C26,'F4'!$H$12:$H$158)</f>
        <v>0</v>
      </c>
      <c r="K26" s="161"/>
      <c r="L26" s="161">
        <f t="shared" si="0"/>
        <v>5863163</v>
      </c>
      <c r="M26" s="161">
        <v>9153453</v>
      </c>
      <c r="N26" s="137"/>
      <c r="O26" s="161">
        <f>SUMIF('F4'!$E$12:$E$158,A!C26,'F4'!$I$12:$I$158)</f>
        <v>0</v>
      </c>
      <c r="P26" s="161">
        <f>SUMIF('F4'!$E$12:$E$158,A!C26,'F4'!$J$12:$J$158)</f>
        <v>0</v>
      </c>
      <c r="Q26" s="177"/>
      <c r="R26" s="158">
        <f t="shared" si="5"/>
        <v>9153453</v>
      </c>
      <c r="S26" s="161">
        <f>+'[75]Kas bank'!$I$10</f>
        <v>139094859.2</v>
      </c>
      <c r="T26" s="137">
        <f t="shared" si="1"/>
        <v>-3290290</v>
      </c>
      <c r="U26" s="185">
        <f t="shared" si="2"/>
        <v>-0.561180032006615</v>
      </c>
      <c r="V26" s="184">
        <f t="shared" si="3"/>
        <v>-3290290</v>
      </c>
      <c r="W26" s="4025">
        <f t="shared" si="4"/>
        <v>-0.023655007948705</v>
      </c>
    </row>
    <row r="27" spans="2:23">
      <c r="B27" s="3949"/>
      <c r="C27" s="3954"/>
      <c r="D27" s="110"/>
      <c r="E27" s="143"/>
      <c r="F27" s="3955"/>
      <c r="G27" s="143"/>
      <c r="H27" s="143"/>
      <c r="I27" s="143"/>
      <c r="J27" s="358"/>
      <c r="K27" s="143"/>
      <c r="L27" s="143"/>
      <c r="M27" s="143"/>
      <c r="N27" s="110"/>
      <c r="O27" s="171"/>
      <c r="P27" s="143"/>
      <c r="Q27" s="167"/>
      <c r="R27" s="143"/>
      <c r="S27" s="110"/>
      <c r="T27" s="143"/>
      <c r="U27" s="110"/>
      <c r="V27" s="194"/>
      <c r="W27" s="181"/>
    </row>
    <row r="28" s="100" customFormat="1" spans="2:33">
      <c r="B28" s="3947"/>
      <c r="C28" s="130"/>
      <c r="D28" s="130" t="s">
        <v>917</v>
      </c>
      <c r="E28" s="152"/>
      <c r="F28" s="135"/>
      <c r="G28" s="152">
        <f>SUM(G21:G27)</f>
        <v>202061715.03</v>
      </c>
      <c r="H28" s="152"/>
      <c r="I28" s="152"/>
      <c r="J28" s="153"/>
      <c r="K28" s="152"/>
      <c r="L28" s="152">
        <f>SUM(L21:L27)</f>
        <v>201995473.005</v>
      </c>
      <c r="M28" s="152">
        <f>SUM(M21:M27)</f>
        <v>273467829.64435</v>
      </c>
      <c r="N28" s="130"/>
      <c r="O28" s="152"/>
      <c r="P28" s="152"/>
      <c r="Q28" s="130"/>
      <c r="R28" s="152">
        <f>SUM(R21:R27)</f>
        <v>273466160.08</v>
      </c>
      <c r="S28" s="130">
        <f>SUM(S21:S27)</f>
        <v>734894647.14275</v>
      </c>
      <c r="T28" s="152">
        <f>SUM(T21:T27)</f>
        <v>-71404445.0499995</v>
      </c>
      <c r="U28" s="189">
        <f t="shared" si="2"/>
        <v>-0.353495273868003</v>
      </c>
      <c r="V28" s="184">
        <f t="shared" ref="V28" si="6">G28-M28</f>
        <v>-71406114.6143495</v>
      </c>
      <c r="W28" s="4025">
        <f t="shared" ref="W28" si="7">IF(M28=0,IF(S28=0,1,V28/V28),V28/S28)</f>
        <v>-0.097165103721975</v>
      </c>
      <c r="AF28" s="4038"/>
      <c r="AG28" s="100" t="s">
        <v>918</v>
      </c>
    </row>
    <row r="29" spans="2:32">
      <c r="B29" s="3947"/>
      <c r="C29" s="137"/>
      <c r="D29" s="137"/>
      <c r="E29" s="161"/>
      <c r="F29" s="137"/>
      <c r="G29" s="161"/>
      <c r="H29" s="161"/>
      <c r="I29" s="161"/>
      <c r="J29" s="304"/>
      <c r="K29" s="161"/>
      <c r="L29" s="161"/>
      <c r="M29" s="161"/>
      <c r="N29" s="137"/>
      <c r="O29" s="156"/>
      <c r="P29" s="156"/>
      <c r="Q29" s="177"/>
      <c r="R29" s="161"/>
      <c r="S29" s="137"/>
      <c r="T29" s="161"/>
      <c r="U29" s="137"/>
      <c r="V29" s="161"/>
      <c r="W29" s="4023"/>
      <c r="AF29" s="2423"/>
    </row>
    <row r="30" hidden="1" spans="2:32">
      <c r="B30" s="3947"/>
      <c r="C30" s="130" t="s">
        <v>919</v>
      </c>
      <c r="D30" s="137"/>
      <c r="E30" s="161"/>
      <c r="F30" s="137"/>
      <c r="G30" s="161"/>
      <c r="H30" s="161"/>
      <c r="I30" s="161"/>
      <c r="J30" s="304"/>
      <c r="K30" s="161"/>
      <c r="L30" s="161"/>
      <c r="M30" s="161"/>
      <c r="N30" s="137"/>
      <c r="O30" s="156"/>
      <c r="P30" s="157"/>
      <c r="Q30" s="177"/>
      <c r="R30" s="161"/>
      <c r="S30" s="137"/>
      <c r="T30" s="161"/>
      <c r="U30" s="137"/>
      <c r="V30" s="161"/>
      <c r="W30" s="4023"/>
      <c r="AF30" s="2423"/>
    </row>
    <row r="31" hidden="1" spans="2:32">
      <c r="B31" s="3947"/>
      <c r="C31" s="137"/>
      <c r="D31" s="137"/>
      <c r="E31" s="161"/>
      <c r="F31" s="137"/>
      <c r="G31" s="161">
        <v>0</v>
      </c>
      <c r="H31" s="161"/>
      <c r="I31" s="161"/>
      <c r="J31" s="304"/>
      <c r="K31" s="161"/>
      <c r="L31" s="161">
        <f>G31+I31-J31</f>
        <v>0</v>
      </c>
      <c r="M31" s="161">
        <v>0</v>
      </c>
      <c r="N31" s="137"/>
      <c r="O31" s="156"/>
      <c r="P31" s="157"/>
      <c r="Q31" s="156"/>
      <c r="R31" s="158">
        <f>M31+O31-P31</f>
        <v>0</v>
      </c>
      <c r="S31" s="137">
        <v>0</v>
      </c>
      <c r="T31" s="161">
        <f>G31-R31</f>
        <v>0</v>
      </c>
      <c r="U31" s="185">
        <f>IF(L31=0,IF(L31=0,1,T31/T31),T31/L31)</f>
        <v>1</v>
      </c>
      <c r="V31" s="184">
        <f t="shared" ref="V31" si="8">G31-M31</f>
        <v>0</v>
      </c>
      <c r="W31" s="4025">
        <f t="shared" ref="W31" si="9">IF(M31=0,IF(S31=0,1,V31/V31),V31/S31)</f>
        <v>1</v>
      </c>
      <c r="AF31" s="2423"/>
    </row>
    <row r="32" spans="1:23">
      <c r="A32" s="137"/>
      <c r="B32" s="141"/>
      <c r="C32" s="146"/>
      <c r="D32" s="146"/>
      <c r="E32" s="147"/>
      <c r="F32" s="148"/>
      <c r="G32" s="147"/>
      <c r="H32" s="161"/>
      <c r="I32" s="161"/>
      <c r="J32" s="304"/>
      <c r="K32" s="143"/>
      <c r="L32" s="143"/>
      <c r="M32" s="143"/>
      <c r="N32" s="289"/>
      <c r="O32" s="156"/>
      <c r="P32" s="289"/>
      <c r="Q32" s="296"/>
      <c r="R32" s="143"/>
      <c r="S32" s="137"/>
      <c r="T32" s="143"/>
      <c r="U32" s="137"/>
      <c r="V32" s="143"/>
      <c r="W32" s="4023"/>
    </row>
    <row r="33" spans="1:23">
      <c r="A33" s="137"/>
      <c r="B33" s="363" t="s">
        <v>920</v>
      </c>
      <c r="C33" s="1227"/>
      <c r="D33" s="1227"/>
      <c r="E33" s="1228"/>
      <c r="F33" s="1228"/>
      <c r="G33" s="336">
        <f>G18+G28+G31</f>
        <v>203696715.03</v>
      </c>
      <c r="H33" s="1228"/>
      <c r="I33" s="252">
        <f>SUM(I15:I32)</f>
        <v>0</v>
      </c>
      <c r="J33" s="252">
        <f>SUM(J15:J32)</f>
        <v>66242.0249999994</v>
      </c>
      <c r="K33" s="1228"/>
      <c r="L33" s="336">
        <f>L18+L28+L31</f>
        <v>203630473.005</v>
      </c>
      <c r="M33" s="336">
        <f>M18+M28+M31</f>
        <v>295687829.64435</v>
      </c>
      <c r="N33" s="336"/>
      <c r="O33" s="3223">
        <f>SUM(O15:O32)</f>
        <v>0</v>
      </c>
      <c r="P33" s="252">
        <f>SUM(P15:P32)</f>
        <v>1669.56435000058</v>
      </c>
      <c r="Q33" s="336"/>
      <c r="R33" s="336">
        <f>R18+R28+R31</f>
        <v>295686160.08</v>
      </c>
      <c r="S33" s="336">
        <f>S18+S28+S31</f>
        <v>750100447</v>
      </c>
      <c r="T33" s="336">
        <f>T18+T28+T31</f>
        <v>-91989445.0499995</v>
      </c>
      <c r="U33" s="4027">
        <f>IF(L33=0,IF(L33=0,1,T33/T33),T33/L33)</f>
        <v>-0.451746949719753</v>
      </c>
      <c r="V33" s="1225">
        <f t="shared" ref="V33" si="10">G33-M33</f>
        <v>-91991114.6143495</v>
      </c>
      <c r="W33" s="4025">
        <f t="shared" ref="W33" si="11">IF(M33=0,IF(S33=0,1,V33/V33),V33/S33)</f>
        <v>-0.122638394607369</v>
      </c>
    </row>
    <row r="34" s="374" customFormat="1" spans="2:23">
      <c r="B34" s="3956"/>
      <c r="C34" s="3957"/>
      <c r="D34" s="3957" t="s">
        <v>146</v>
      </c>
      <c r="E34" s="3958"/>
      <c r="F34" s="3958"/>
      <c r="G34" s="3959">
        <f>+'F1'!E15-G33</f>
        <v>0</v>
      </c>
      <c r="H34" s="3958"/>
      <c r="I34" s="3958"/>
      <c r="J34" s="3958"/>
      <c r="K34" s="3958"/>
      <c r="L34" s="3959">
        <f>+'F1'!J15-L33</f>
        <v>0</v>
      </c>
      <c r="M34" s="3995">
        <f>+'F1'!K15-M33</f>
        <v>0</v>
      </c>
      <c r="N34" s="3995"/>
      <c r="O34" s="3996"/>
      <c r="P34" s="3997"/>
      <c r="Q34" s="3995"/>
      <c r="R34" s="3995">
        <f>+'F1'!P15-R33</f>
        <v>0</v>
      </c>
      <c r="S34" s="3995">
        <f>+'F1'!Q15-S33</f>
        <v>0</v>
      </c>
      <c r="T34" s="3959">
        <f>+'F1'!U15-T33</f>
        <v>0</v>
      </c>
      <c r="U34" s="3959"/>
      <c r="V34" s="4028"/>
      <c r="W34" s="4029"/>
    </row>
    <row r="35" spans="2:23">
      <c r="B35"/>
      <c r="C35"/>
      <c r="D35"/>
      <c r="E35" s="1539"/>
      <c r="F35" s="1539"/>
      <c r="G35" t="s">
        <v>649</v>
      </c>
      <c r="H35" s="1539"/>
      <c r="I35" s="1539"/>
      <c r="J35" s="1539"/>
      <c r="K35" s="1539"/>
      <c r="L35" t="s">
        <v>649</v>
      </c>
      <c r="M35" s="725" t="s">
        <v>649</v>
      </c>
      <c r="N35"/>
      <c r="O35"/>
      <c r="P35"/>
      <c r="Q35"/>
      <c r="R35" t="s">
        <v>650</v>
      </c>
      <c r="S35" t="s">
        <v>650</v>
      </c>
      <c r="T35"/>
      <c r="U35"/>
      <c r="V35"/>
      <c r="W35" s="2479"/>
    </row>
    <row r="39" spans="3:10">
      <c r="C39" t="s">
        <v>649</v>
      </c>
      <c r="D39" s="2879" t="str">
        <f>'F1'!C46</f>
        <v>Sesuai dengan Saldo Buku Besar Periode 31 Desember 2022 &amp; 2021</v>
      </c>
      <c r="H39" s="2700" t="s">
        <v>921</v>
      </c>
      <c r="I39" s="3998"/>
      <c r="J39" s="3999" t="s">
        <v>922</v>
      </c>
    </row>
    <row r="40" ht="10.7" customHeight="1" spans="3:10">
      <c r="C40" t="s">
        <v>650</v>
      </c>
      <c r="D40" s="2879" t="str">
        <f>'F1'!C47</f>
        <v>Sesuai dengan Saldo Audit Periode Sebelumnya</v>
      </c>
      <c r="H40" s="2700" t="s">
        <v>923</v>
      </c>
      <c r="I40" s="3998"/>
      <c r="J40" s="4000"/>
    </row>
    <row r="41" spans="3:10">
      <c r="C41" t="s">
        <v>187</v>
      </c>
      <c r="D41" s="2879" t="str">
        <f>'F1'!C48</f>
        <v>Rumus dan Formula Perhitungan telah Diperiksa</v>
      </c>
      <c r="H41" s="2700" t="s">
        <v>924</v>
      </c>
      <c r="I41" s="3998"/>
      <c r="J41" s="3999" t="s">
        <v>925</v>
      </c>
    </row>
    <row r="42" ht="10.5" customHeight="1" spans="3:10">
      <c r="C42" t="s">
        <v>651</v>
      </c>
      <c r="D42" s="2879" t="str">
        <f>'F1'!C49</f>
        <v>Check to Bank Statements as of December 31, 2022 &amp; 2021</v>
      </c>
      <c r="H42" s="2700" t="s">
        <v>926</v>
      </c>
      <c r="I42" s="3998"/>
      <c r="J42" s="3999" t="s">
        <v>927</v>
      </c>
    </row>
    <row r="43" spans="3:9">
      <c r="C43"/>
      <c r="H43"/>
      <c r="I43" s="246"/>
    </row>
    <row r="44" ht="16.5" customHeight="1"/>
    <row r="45" ht="13.95" spans="4:4">
      <c r="D45" s="3960"/>
    </row>
    <row r="46" spans="2:23">
      <c r="B46" s="3961"/>
      <c r="C46" s="3962"/>
      <c r="D46" s="3963"/>
      <c r="E46" s="3964"/>
      <c r="F46" s="3964"/>
      <c r="G46" s="3964"/>
      <c r="H46" s="3964"/>
      <c r="I46" s="3964"/>
      <c r="J46" s="3964"/>
      <c r="K46" s="3964"/>
      <c r="L46" s="3964"/>
      <c r="M46" s="4001"/>
      <c r="N46" s="4001"/>
      <c r="O46" s="4002"/>
      <c r="P46" s="4002"/>
      <c r="Q46" s="4002"/>
      <c r="R46" s="4002"/>
      <c r="S46" s="4002"/>
      <c r="T46" s="4002"/>
      <c r="U46" s="4002"/>
      <c r="V46" s="4002"/>
      <c r="W46" s="4030"/>
    </row>
    <row r="47" spans="2:23">
      <c r="B47" s="3965"/>
      <c r="C47" s="3966" t="s">
        <v>928</v>
      </c>
      <c r="D47" s="3967" t="s">
        <v>929</v>
      </c>
      <c r="E47" s="3966"/>
      <c r="F47" s="3966"/>
      <c r="G47" s="3966"/>
      <c r="H47" s="3966"/>
      <c r="I47" s="3966"/>
      <c r="J47" s="3966"/>
      <c r="K47" s="3966"/>
      <c r="L47" s="3966"/>
      <c r="M47" s="3966"/>
      <c r="N47" s="3966"/>
      <c r="O47" s="3966"/>
      <c r="P47" s="3966"/>
      <c r="Q47" s="3966"/>
      <c r="R47" s="3966"/>
      <c r="S47" s="3966"/>
      <c r="T47" s="3966"/>
      <c r="U47" s="3966"/>
      <c r="V47" s="3966"/>
      <c r="W47" s="4031"/>
    </row>
    <row r="48" spans="2:23">
      <c r="B48" s="3965"/>
      <c r="C48" s="3966"/>
      <c r="D48" s="3966"/>
      <c r="E48" s="3966"/>
      <c r="F48" s="3966"/>
      <c r="G48" s="3966"/>
      <c r="H48" s="3966"/>
      <c r="I48" s="3966"/>
      <c r="J48" s="3966"/>
      <c r="K48" s="3966"/>
      <c r="L48" s="3966"/>
      <c r="M48" s="3966"/>
      <c r="N48" s="3966"/>
      <c r="O48" s="3966"/>
      <c r="P48" s="3966"/>
      <c r="Q48" s="3966"/>
      <c r="R48" s="3966"/>
      <c r="S48" s="3966"/>
      <c r="T48" s="3966"/>
      <c r="U48" s="3966"/>
      <c r="V48" s="3966"/>
      <c r="W48" s="4031"/>
    </row>
    <row r="49" spans="2:23">
      <c r="B49" s="3965"/>
      <c r="C49" s="3968"/>
      <c r="D49" s="3966" t="str">
        <f>+C21</f>
        <v>USD - Mandiri # 1270006446437</v>
      </c>
      <c r="E49" s="3969"/>
      <c r="F49" s="3970" t="s">
        <v>930</v>
      </c>
      <c r="G49" s="3970"/>
      <c r="H49" s="3970"/>
      <c r="I49" s="3970"/>
      <c r="J49" s="3970"/>
      <c r="K49" s="3970"/>
      <c r="L49" s="3970"/>
      <c r="M49" s="3966"/>
      <c r="N49" s="3966"/>
      <c r="O49" s="3966"/>
      <c r="P49" s="3978"/>
      <c r="Q49" s="3966"/>
      <c r="R49" s="3966"/>
      <c r="S49" s="3165"/>
      <c r="T49" s="3165"/>
      <c r="U49" s="3165"/>
      <c r="V49" s="3165"/>
      <c r="W49" s="4032"/>
    </row>
    <row r="50" spans="2:23">
      <c r="B50" s="3965"/>
      <c r="C50" s="3966"/>
      <c r="D50" s="3966"/>
      <c r="E50" s="3969"/>
      <c r="F50" s="3970"/>
      <c r="G50" s="3970"/>
      <c r="H50" s="3970"/>
      <c r="I50" s="3970"/>
      <c r="J50" s="3970"/>
      <c r="K50" s="3970"/>
      <c r="L50" s="3970"/>
      <c r="M50" s="3966"/>
      <c r="N50" s="3966"/>
      <c r="O50" s="3966"/>
      <c r="P50" s="3966"/>
      <c r="Q50" s="3966"/>
      <c r="R50" s="3966"/>
      <c r="S50" s="3165"/>
      <c r="T50" s="3165"/>
      <c r="U50" s="3165"/>
      <c r="V50" s="3165"/>
      <c r="W50" s="4032"/>
    </row>
    <row r="51" spans="2:23">
      <c r="B51" s="3965"/>
      <c r="C51" s="3966"/>
      <c r="D51" s="3966" t="str">
        <f>+C22</f>
        <v>IDR - Mandiri # 1270006361602</v>
      </c>
      <c r="E51" s="3969"/>
      <c r="F51" s="3970" t="s">
        <v>931</v>
      </c>
      <c r="G51" s="3969"/>
      <c r="H51" s="3969"/>
      <c r="I51" s="3969"/>
      <c r="J51" s="3969"/>
      <c r="K51" s="3969"/>
      <c r="L51" s="3969"/>
      <c r="M51" s="3966"/>
      <c r="N51" s="3966"/>
      <c r="O51" s="3966"/>
      <c r="P51" s="3966"/>
      <c r="Q51" s="3966"/>
      <c r="R51" s="3966"/>
      <c r="S51" s="3165"/>
      <c r="T51" s="3165"/>
      <c r="U51" s="3165"/>
      <c r="V51" s="3165"/>
      <c r="W51" s="4032"/>
    </row>
    <row r="52" spans="2:23">
      <c r="B52" s="3965"/>
      <c r="C52" s="3966"/>
      <c r="D52" s="3966" t="str">
        <f>+C23</f>
        <v>IDR - Mandiri Giro # 127000630778</v>
      </c>
      <c r="E52" s="3969"/>
      <c r="F52" s="3970" t="s">
        <v>932</v>
      </c>
      <c r="G52" s="3969"/>
      <c r="H52" s="3969"/>
      <c r="I52" s="3969"/>
      <c r="J52" s="3969"/>
      <c r="K52" s="3969"/>
      <c r="L52" s="3969"/>
      <c r="M52" s="3966"/>
      <c r="N52" s="3966"/>
      <c r="O52" s="3966"/>
      <c r="P52" s="3966"/>
      <c r="Q52" s="3966"/>
      <c r="R52" s="3966"/>
      <c r="S52" s="3165"/>
      <c r="T52" s="3165"/>
      <c r="U52" s="3165"/>
      <c r="V52" s="3165"/>
      <c r="W52" s="4032"/>
    </row>
    <row r="53" spans="2:23">
      <c r="B53" s="3965"/>
      <c r="C53" s="3966"/>
      <c r="D53" s="3966" t="str">
        <f>+C24</f>
        <v>IDR - Mandiri Esc # 1270011831268</v>
      </c>
      <c r="E53" s="3969"/>
      <c r="F53" s="3970" t="s">
        <v>933</v>
      </c>
      <c r="G53" s="3969"/>
      <c r="H53" s="3969"/>
      <c r="I53" s="3969"/>
      <c r="J53" s="3969"/>
      <c r="K53" s="3969"/>
      <c r="L53" s="3969"/>
      <c r="M53" s="3966"/>
      <c r="N53" s="3966"/>
      <c r="O53" s="3966"/>
      <c r="P53" s="3966"/>
      <c r="Q53" s="3966"/>
      <c r="R53" s="3966"/>
      <c r="S53" s="3165"/>
      <c r="T53" s="3165"/>
      <c r="U53" s="3165"/>
      <c r="V53" s="3165"/>
      <c r="W53" s="4032"/>
    </row>
    <row r="54" spans="2:23">
      <c r="B54" s="3965"/>
      <c r="C54" s="3966"/>
      <c r="D54" s="3966" t="str">
        <f>+C25</f>
        <v>IDR - BNI # 8338445199</v>
      </c>
      <c r="E54" s="3969"/>
      <c r="F54" s="3970" t="s">
        <v>934</v>
      </c>
      <c r="G54" s="3969"/>
      <c r="H54" s="3969"/>
      <c r="I54" s="3969"/>
      <c r="J54" s="3969"/>
      <c r="K54" s="3969"/>
      <c r="L54" s="3969"/>
      <c r="M54" s="3966"/>
      <c r="N54" s="3966"/>
      <c r="O54" s="3966"/>
      <c r="P54" s="3966"/>
      <c r="Q54" s="3966"/>
      <c r="R54" s="3966"/>
      <c r="S54" s="3165"/>
      <c r="T54" s="3165"/>
      <c r="U54" s="3165"/>
      <c r="V54" s="3165"/>
      <c r="W54" s="4032"/>
    </row>
    <row r="55" spans="2:23">
      <c r="B55" s="3965"/>
      <c r="C55" s="3966"/>
      <c r="D55" s="3966" t="str">
        <f>+C26</f>
        <v>IDR - BRI # 042501000903309</v>
      </c>
      <c r="E55" s="3969"/>
      <c r="F55" s="3970" t="s">
        <v>935</v>
      </c>
      <c r="G55" s="3969"/>
      <c r="H55" s="3969"/>
      <c r="I55" s="3969"/>
      <c r="J55" s="3969"/>
      <c r="K55" s="3969"/>
      <c r="L55" s="3969"/>
      <c r="M55" s="3966"/>
      <c r="N55" s="3966"/>
      <c r="O55" s="3966"/>
      <c r="P55" s="3966"/>
      <c r="Q55" s="3966"/>
      <c r="R55" s="3966"/>
      <c r="S55" s="3165"/>
      <c r="T55" s="3165"/>
      <c r="U55" s="3165"/>
      <c r="V55" s="3165"/>
      <c r="W55" s="4032"/>
    </row>
    <row r="56" spans="2:23">
      <c r="B56" s="3965"/>
      <c r="C56" s="3966"/>
      <c r="D56" s="3966"/>
      <c r="E56" s="3969"/>
      <c r="F56" s="3970"/>
      <c r="G56" s="3969"/>
      <c r="H56" s="3969"/>
      <c r="I56" s="3969"/>
      <c r="J56" s="3969"/>
      <c r="K56" s="3969"/>
      <c r="L56" s="3969"/>
      <c r="M56" s="3966"/>
      <c r="N56" s="3966"/>
      <c r="O56" s="3966"/>
      <c r="P56" s="3966"/>
      <c r="Q56" s="3966"/>
      <c r="R56" s="3966"/>
      <c r="S56" s="3165"/>
      <c r="T56" s="3165"/>
      <c r="U56" s="3165"/>
      <c r="V56" s="3165"/>
      <c r="W56" s="4032"/>
    </row>
    <row r="57" spans="2:23">
      <c r="B57" s="3965"/>
      <c r="C57" s="3966"/>
      <c r="D57" s="3966"/>
      <c r="E57" s="3969"/>
      <c r="F57" s="3969"/>
      <c r="G57" s="3969"/>
      <c r="H57" s="3969"/>
      <c r="I57" s="3969"/>
      <c r="J57" s="3969"/>
      <c r="K57" s="3969"/>
      <c r="L57" s="3969"/>
      <c r="M57" s="3966"/>
      <c r="N57" s="3966"/>
      <c r="O57" s="3966"/>
      <c r="P57" s="3966"/>
      <c r="Q57" s="3966"/>
      <c r="R57" s="3966"/>
      <c r="S57" s="3165"/>
      <c r="T57" s="3165"/>
      <c r="U57" s="3165"/>
      <c r="V57" s="3165"/>
      <c r="W57" s="4032"/>
    </row>
    <row r="58" spans="2:23">
      <c r="B58" s="3965"/>
      <c r="C58" s="3966" t="s">
        <v>182</v>
      </c>
      <c r="D58" s="3971" t="s">
        <v>936</v>
      </c>
      <c r="E58" s="3972"/>
      <c r="F58" s="3972"/>
      <c r="G58" s="3972"/>
      <c r="H58" s="3972"/>
      <c r="I58" s="3972"/>
      <c r="J58" s="3972"/>
      <c r="K58" s="3972"/>
      <c r="L58" s="3972"/>
      <c r="M58" s="3972"/>
      <c r="N58" s="3972"/>
      <c r="O58" s="3972"/>
      <c r="P58" s="3972"/>
      <c r="Q58" s="3972"/>
      <c r="R58" s="3972"/>
      <c r="S58" s="3972"/>
      <c r="T58" s="4033"/>
      <c r="U58" s="3165"/>
      <c r="V58" s="3165"/>
      <c r="W58" s="4032"/>
    </row>
    <row r="59" ht="55.9" customHeight="1" spans="2:23">
      <c r="B59" s="3965"/>
      <c r="C59" s="3966"/>
      <c r="D59" s="3973" t="s">
        <v>937</v>
      </c>
      <c r="E59" s="3974"/>
      <c r="F59" s="3974"/>
      <c r="G59" s="3974"/>
      <c r="H59" s="3974"/>
      <c r="I59" s="4003" t="s">
        <v>938</v>
      </c>
      <c r="J59" s="4004" t="s">
        <v>939</v>
      </c>
      <c r="K59" s="4005"/>
      <c r="L59" s="4005" t="s">
        <v>940</v>
      </c>
      <c r="M59" s="4006"/>
      <c r="N59" s="4006"/>
      <c r="O59" s="4006"/>
      <c r="P59" s="4006"/>
      <c r="Q59" s="4006"/>
      <c r="R59" s="4003" t="s">
        <v>941</v>
      </c>
      <c r="S59" s="4006" t="s">
        <v>942</v>
      </c>
      <c r="T59" s="4003" t="s">
        <v>943</v>
      </c>
      <c r="U59" s="3165"/>
      <c r="V59" s="3165"/>
      <c r="W59" s="4032"/>
    </row>
    <row r="60" spans="2:23">
      <c r="B60" s="3965"/>
      <c r="C60" s="3966"/>
      <c r="D60" s="3975"/>
      <c r="E60" s="3976"/>
      <c r="F60" s="3976"/>
      <c r="G60" s="3976"/>
      <c r="H60" s="3976"/>
      <c r="I60" s="3975">
        <v>1</v>
      </c>
      <c r="J60" s="4007">
        <v>2</v>
      </c>
      <c r="K60" s="4008"/>
      <c r="L60" s="4009" t="s">
        <v>944</v>
      </c>
      <c r="M60" s="3976"/>
      <c r="N60" s="3976"/>
      <c r="O60" s="3976"/>
      <c r="P60" s="3976"/>
      <c r="Q60" s="3976"/>
      <c r="R60" s="4007">
        <v>4</v>
      </c>
      <c r="S60" s="4007" t="s">
        <v>945</v>
      </c>
      <c r="T60" s="4007" t="s">
        <v>946</v>
      </c>
      <c r="U60" s="3165"/>
      <c r="V60" s="3165"/>
      <c r="W60" s="4032"/>
    </row>
    <row r="61" spans="2:23">
      <c r="B61" s="3965"/>
      <c r="C61" s="3966"/>
      <c r="D61" s="3971" t="str">
        <f>+D49</f>
        <v>USD - Mandiri # 1270006446437</v>
      </c>
      <c r="E61" s="3972"/>
      <c r="F61" s="3972"/>
      <c r="G61" s="3972"/>
      <c r="H61" s="3972"/>
      <c r="I61" s="3971">
        <f>+G21</f>
        <v>6373414.65</v>
      </c>
      <c r="J61" s="4010">
        <f>+'a2'!H9</f>
        <v>15567.5</v>
      </c>
      <c r="K61" s="4011">
        <f>+I61/J61</f>
        <v>409.405148546652</v>
      </c>
      <c r="L61" s="4012"/>
      <c r="M61" s="4013"/>
      <c r="N61" s="4013"/>
      <c r="O61" s="4013"/>
      <c r="P61" s="4013"/>
      <c r="Q61" s="4013"/>
      <c r="R61" s="4034">
        <v>0</v>
      </c>
      <c r="S61" s="4034">
        <v>0</v>
      </c>
      <c r="T61" s="4035">
        <f>+S61*J61</f>
        <v>0</v>
      </c>
      <c r="U61" s="3165"/>
      <c r="V61" s="3165"/>
      <c r="W61" s="4032"/>
    </row>
    <row r="62" spans="2:23">
      <c r="B62" s="3965"/>
      <c r="C62" s="3966"/>
      <c r="D62" s="3975"/>
      <c r="E62" s="3976"/>
      <c r="F62" s="3976"/>
      <c r="G62" s="3976"/>
      <c r="H62" s="3976"/>
      <c r="I62" s="3975">
        <f>+J62*R62</f>
        <v>6307172.625</v>
      </c>
      <c r="J62" s="4014">
        <v>15567.5</v>
      </c>
      <c r="K62" s="4015"/>
      <c r="L62" s="4016"/>
      <c r="M62" s="4017"/>
      <c r="N62" s="4017"/>
      <c r="O62" s="4017"/>
      <c r="P62" s="4017"/>
      <c r="Q62" s="4017"/>
      <c r="R62" s="4036">
        <v>405.15</v>
      </c>
      <c r="S62" s="4036">
        <f>+K61-R62</f>
        <v>4.25514854665164</v>
      </c>
      <c r="T62" s="4014">
        <f>+J62*S62</f>
        <v>66242.0249999994</v>
      </c>
      <c r="U62" s="3165"/>
      <c r="V62" s="3165"/>
      <c r="W62" s="4032"/>
    </row>
    <row r="63" spans="2:23">
      <c r="B63" s="3977"/>
      <c r="C63" s="3978"/>
      <c r="D63" s="3975" t="s">
        <v>947</v>
      </c>
      <c r="E63" s="3976"/>
      <c r="F63" s="3976"/>
      <c r="G63" s="3976"/>
      <c r="H63" s="3976"/>
      <c r="I63" s="3975">
        <f>+I61-I62</f>
        <v>66242.0249999994</v>
      </c>
      <c r="J63" s="4014"/>
      <c r="K63" s="4015">
        <f>SUM(K61:L62)</f>
        <v>409.405148546652</v>
      </c>
      <c r="L63" s="4016"/>
      <c r="M63" s="4017"/>
      <c r="N63" s="4017"/>
      <c r="O63" s="4017"/>
      <c r="P63" s="4017"/>
      <c r="Q63" s="4017"/>
      <c r="R63" s="4036">
        <f>SUM(R61:R62)</f>
        <v>405.15</v>
      </c>
      <c r="S63" s="4036">
        <f>SUM(S62:S62)</f>
        <v>4.25514854665164</v>
      </c>
      <c r="T63" s="4007">
        <f>SUM(T62:T62)</f>
        <v>66242.0249999994</v>
      </c>
      <c r="U63" s="3165"/>
      <c r="V63" s="3165"/>
      <c r="W63" s="4032"/>
    </row>
    <row r="64" spans="2:23">
      <c r="B64" s="3965"/>
      <c r="C64" s="3966"/>
      <c r="D64" s="3979" t="s">
        <v>948</v>
      </c>
      <c r="E64" s="3980"/>
      <c r="F64" s="3980"/>
      <c r="G64" s="3980"/>
      <c r="H64" s="3980"/>
      <c r="I64" s="3980"/>
      <c r="J64" s="3980"/>
      <c r="K64" s="3980"/>
      <c r="L64" s="3980"/>
      <c r="M64" s="3980"/>
      <c r="N64" s="3980"/>
      <c r="O64" s="3980"/>
      <c r="P64" s="3980"/>
      <c r="Q64" s="3980"/>
      <c r="R64" s="3980"/>
      <c r="S64" s="3980"/>
      <c r="T64" s="4037"/>
      <c r="U64" s="3165"/>
      <c r="V64" s="3165"/>
      <c r="W64" s="4032"/>
    </row>
    <row r="65" spans="2:23">
      <c r="B65" s="3965"/>
      <c r="C65" s="3966"/>
      <c r="D65" s="3979"/>
      <c r="E65" s="3980"/>
      <c r="F65" s="3980"/>
      <c r="G65" s="3980"/>
      <c r="H65" s="3980"/>
      <c r="I65" s="3980"/>
      <c r="J65" s="3980"/>
      <c r="K65" s="3980"/>
      <c r="L65" s="3980"/>
      <c r="M65" s="3980"/>
      <c r="N65" s="3980"/>
      <c r="O65" s="3980"/>
      <c r="P65" s="3980"/>
      <c r="Q65" s="3980"/>
      <c r="R65" s="3980"/>
      <c r="S65" s="3980"/>
      <c r="T65" s="4037"/>
      <c r="U65" s="3165"/>
      <c r="V65" s="3165"/>
      <c r="W65" s="4032"/>
    </row>
    <row r="66" spans="2:23">
      <c r="B66" s="3965"/>
      <c r="C66" s="3966"/>
      <c r="D66" s="3979" t="s">
        <v>949</v>
      </c>
      <c r="E66" s="3980"/>
      <c r="F66" s="3980"/>
      <c r="G66" s="3980">
        <f>+I63</f>
        <v>66242.0249999994</v>
      </c>
      <c r="H66" s="3980"/>
      <c r="I66" s="3980"/>
      <c r="J66" s="3980"/>
      <c r="K66" s="3980"/>
      <c r="L66" s="3980"/>
      <c r="M66" s="3980"/>
      <c r="N66" s="3980"/>
      <c r="O66" s="3980"/>
      <c r="P66" s="3980"/>
      <c r="Q66" s="3980"/>
      <c r="R66" s="3980"/>
      <c r="S66" s="3980"/>
      <c r="T66" s="4037"/>
      <c r="U66" s="3165"/>
      <c r="V66" s="3165"/>
      <c r="W66" s="4032"/>
    </row>
    <row r="67" spans="2:23">
      <c r="B67" s="3965"/>
      <c r="C67" s="3966"/>
      <c r="D67" s="3979" t="s">
        <v>950</v>
      </c>
      <c r="E67" s="3980"/>
      <c r="F67" s="3980"/>
      <c r="G67" s="3980"/>
      <c r="H67" s="3980">
        <f>+G66</f>
        <v>66242.0249999994</v>
      </c>
      <c r="I67" s="3980"/>
      <c r="J67" s="3980"/>
      <c r="K67" s="3980"/>
      <c r="L67" s="3980"/>
      <c r="M67" s="3980"/>
      <c r="N67" s="3980"/>
      <c r="O67" s="3980"/>
      <c r="P67" s="3980"/>
      <c r="Q67" s="3980"/>
      <c r="R67" s="3980"/>
      <c r="S67" s="3980"/>
      <c r="T67" s="4037"/>
      <c r="U67" s="3165"/>
      <c r="V67" s="3165"/>
      <c r="W67" s="4032"/>
    </row>
    <row r="68" spans="2:23">
      <c r="B68" s="3965"/>
      <c r="C68" s="3966"/>
      <c r="D68" s="3979"/>
      <c r="E68" s="3980"/>
      <c r="F68" s="3980"/>
      <c r="G68" s="3980"/>
      <c r="H68" s="3980"/>
      <c r="I68" s="3980"/>
      <c r="J68" s="3980"/>
      <c r="K68" s="3980"/>
      <c r="L68" s="3980"/>
      <c r="M68" s="3980"/>
      <c r="N68" s="3980"/>
      <c r="O68" s="3980"/>
      <c r="P68" s="3980"/>
      <c r="Q68" s="3980"/>
      <c r="R68" s="3980"/>
      <c r="S68" s="3980"/>
      <c r="T68" s="4037"/>
      <c r="U68" s="3165"/>
      <c r="V68" s="3165"/>
      <c r="W68" s="4032"/>
    </row>
    <row r="69" spans="2:23">
      <c r="B69" s="3965"/>
      <c r="C69" s="3966"/>
      <c r="D69" s="3979"/>
      <c r="E69" s="3980"/>
      <c r="F69" s="3980"/>
      <c r="G69" s="3980"/>
      <c r="H69" s="3980"/>
      <c r="I69" s="3980"/>
      <c r="J69" s="3980"/>
      <c r="K69" s="3980"/>
      <c r="L69" s="3980"/>
      <c r="M69" s="3980"/>
      <c r="N69" s="3980"/>
      <c r="O69" s="3980"/>
      <c r="P69" s="3980"/>
      <c r="Q69" s="3980"/>
      <c r="R69" s="3980"/>
      <c r="S69" s="3980"/>
      <c r="T69" s="4037"/>
      <c r="U69" s="3165"/>
      <c r="V69" s="3165"/>
      <c r="W69" s="4032"/>
    </row>
    <row r="70" ht="50.1" customHeight="1" spans="2:23">
      <c r="B70" s="3965"/>
      <c r="C70" s="3966"/>
      <c r="D70" s="3973" t="s">
        <v>937</v>
      </c>
      <c r="E70" s="3974"/>
      <c r="F70" s="3974"/>
      <c r="G70" s="3974"/>
      <c r="H70" s="3974"/>
      <c r="I70" s="4003" t="s">
        <v>938</v>
      </c>
      <c r="J70" s="4004" t="s">
        <v>951</v>
      </c>
      <c r="K70" s="4005"/>
      <c r="L70" s="4005" t="s">
        <v>940</v>
      </c>
      <c r="M70" s="4006"/>
      <c r="N70" s="4006"/>
      <c r="O70" s="4006"/>
      <c r="P70" s="4006"/>
      <c r="Q70" s="4006"/>
      <c r="R70" s="4003" t="s">
        <v>941</v>
      </c>
      <c r="S70" s="4006" t="s">
        <v>942</v>
      </c>
      <c r="T70" s="4003" t="s">
        <v>943</v>
      </c>
      <c r="U70" s="3165"/>
      <c r="V70" s="3165"/>
      <c r="W70" s="4032"/>
    </row>
    <row r="71" spans="2:23">
      <c r="B71" s="3965"/>
      <c r="C71" s="3966"/>
      <c r="D71" s="3975"/>
      <c r="E71" s="3976"/>
      <c r="F71" s="3976"/>
      <c r="G71" s="3976"/>
      <c r="H71" s="3976"/>
      <c r="I71" s="3975">
        <v>1</v>
      </c>
      <c r="J71" s="4007">
        <v>2</v>
      </c>
      <c r="K71" s="4008"/>
      <c r="L71" s="4009" t="s">
        <v>944</v>
      </c>
      <c r="M71" s="3976"/>
      <c r="N71" s="3976"/>
      <c r="O71" s="3976"/>
      <c r="P71" s="3976"/>
      <c r="Q71" s="3976"/>
      <c r="R71" s="4007">
        <v>4</v>
      </c>
      <c r="S71" s="4007" t="s">
        <v>945</v>
      </c>
      <c r="T71" s="4007" t="s">
        <v>946</v>
      </c>
      <c r="U71" s="3165"/>
      <c r="V71" s="3165"/>
      <c r="W71" s="4032"/>
    </row>
    <row r="72" spans="2:23">
      <c r="B72" s="3965"/>
      <c r="C72" s="3966"/>
      <c r="D72" s="3971">
        <f>+D56</f>
        <v>0</v>
      </c>
      <c r="E72" s="3972"/>
      <c r="F72" s="3972"/>
      <c r="G72" s="3972"/>
      <c r="H72" s="3972"/>
      <c r="I72" s="3971">
        <v>5948320.11435</v>
      </c>
      <c r="J72" s="4010">
        <v>14265</v>
      </c>
      <c r="K72" s="4011">
        <f>+I72/J72</f>
        <v>416.987039211356</v>
      </c>
      <c r="L72" s="4012"/>
      <c r="M72" s="4013"/>
      <c r="N72" s="4013"/>
      <c r="O72" s="4013"/>
      <c r="P72" s="4013"/>
      <c r="Q72" s="4013"/>
      <c r="R72" s="4034">
        <v>0</v>
      </c>
      <c r="S72" s="4034">
        <v>0</v>
      </c>
      <c r="T72" s="4035">
        <f>+S72*J72</f>
        <v>0</v>
      </c>
      <c r="U72" s="3165"/>
      <c r="V72" s="3165"/>
      <c r="W72" s="4032"/>
    </row>
    <row r="73" spans="2:23">
      <c r="B73" s="3965"/>
      <c r="C73" s="3966"/>
      <c r="D73" s="3975"/>
      <c r="E73" s="3976"/>
      <c r="F73" s="3976"/>
      <c r="G73" s="3976"/>
      <c r="H73" s="3976"/>
      <c r="I73" s="3975">
        <f>+J73*R73</f>
        <v>5946650.55</v>
      </c>
      <c r="J73" s="4014">
        <f>+J72</f>
        <v>14265</v>
      </c>
      <c r="K73" s="4015"/>
      <c r="L73" s="4016"/>
      <c r="M73" s="4017"/>
      <c r="N73" s="4017"/>
      <c r="O73" s="4017"/>
      <c r="P73" s="4017"/>
      <c r="Q73" s="4017"/>
      <c r="R73" s="4036">
        <v>416.87</v>
      </c>
      <c r="S73" s="4036">
        <f>+K72-R73</f>
        <v>0.117039211356484</v>
      </c>
      <c r="T73" s="4014">
        <f>+J73*S73</f>
        <v>1669.56435000025</v>
      </c>
      <c r="U73" s="3165"/>
      <c r="V73" s="3165"/>
      <c r="W73" s="4032"/>
    </row>
    <row r="74" spans="2:23">
      <c r="B74" s="3965"/>
      <c r="C74" s="3966"/>
      <c r="D74" s="3975" t="s">
        <v>947</v>
      </c>
      <c r="E74" s="3976"/>
      <c r="F74" s="3976"/>
      <c r="G74" s="3976"/>
      <c r="H74" s="3976"/>
      <c r="I74" s="3975">
        <f>+I72-I73</f>
        <v>1669.56435000058</v>
      </c>
      <c r="J74" s="4014"/>
      <c r="K74" s="4015">
        <f>SUM(K72:L73)</f>
        <v>416.987039211356</v>
      </c>
      <c r="L74" s="4016"/>
      <c r="M74" s="4017"/>
      <c r="N74" s="4017"/>
      <c r="O74" s="4017"/>
      <c r="P74" s="4017"/>
      <c r="Q74" s="4017"/>
      <c r="R74" s="4036">
        <f>SUM(R73:R73)</f>
        <v>416.87</v>
      </c>
      <c r="S74" s="4036">
        <f>+K74-R74</f>
        <v>0.117039211356484</v>
      </c>
      <c r="T74" s="4014">
        <f>SUM(T73:T73)</f>
        <v>1669.56435000025</v>
      </c>
      <c r="U74" s="3165"/>
      <c r="V74" s="3165"/>
      <c r="W74" s="4032"/>
    </row>
    <row r="75" spans="2:23">
      <c r="B75" s="3965"/>
      <c r="C75" s="3966"/>
      <c r="D75" s="3979"/>
      <c r="E75" s="3980"/>
      <c r="F75" s="3980"/>
      <c r="G75" s="3980"/>
      <c r="H75" s="3980"/>
      <c r="I75" s="3980"/>
      <c r="J75" s="3980"/>
      <c r="K75" s="3980"/>
      <c r="L75" s="3980"/>
      <c r="M75" s="3980"/>
      <c r="N75" s="3980"/>
      <c r="O75" s="3980"/>
      <c r="P75" s="3980"/>
      <c r="Q75" s="3980"/>
      <c r="R75" s="3980"/>
      <c r="S75" s="3980"/>
      <c r="T75" s="3980"/>
      <c r="U75" s="3165"/>
      <c r="V75" s="3165"/>
      <c r="W75" s="4032"/>
    </row>
    <row r="76" spans="2:23">
      <c r="B76" s="3965"/>
      <c r="C76" s="3966"/>
      <c r="D76" s="3979"/>
      <c r="E76" s="3980"/>
      <c r="F76" s="3980"/>
      <c r="G76" s="3980"/>
      <c r="H76" s="3980"/>
      <c r="I76" s="3980"/>
      <c r="J76" s="3980"/>
      <c r="K76" s="3980"/>
      <c r="L76" s="3980"/>
      <c r="M76" s="3980"/>
      <c r="N76" s="3980"/>
      <c r="O76" s="3980"/>
      <c r="P76" s="3980"/>
      <c r="Q76" s="3980"/>
      <c r="R76" s="3980"/>
      <c r="S76" s="3980"/>
      <c r="T76" s="3980"/>
      <c r="U76" s="3165"/>
      <c r="V76" s="3165"/>
      <c r="W76" s="4032"/>
    </row>
    <row r="77" spans="2:23">
      <c r="B77" s="3965"/>
      <c r="C77" s="3966"/>
      <c r="D77" s="3979" t="s">
        <v>949</v>
      </c>
      <c r="E77" s="3980"/>
      <c r="F77" s="3980"/>
      <c r="G77" s="3980">
        <f>+I74</f>
        <v>1669.56435000058</v>
      </c>
      <c r="H77" s="3980"/>
      <c r="I77" s="3980"/>
      <c r="J77" s="3980"/>
      <c r="K77" s="3980"/>
      <c r="L77" s="3980"/>
      <c r="M77" s="3980"/>
      <c r="N77" s="3980"/>
      <c r="O77" s="3980"/>
      <c r="P77" s="3980"/>
      <c r="Q77" s="3980"/>
      <c r="R77" s="3980"/>
      <c r="S77" s="3980"/>
      <c r="T77" s="3980"/>
      <c r="U77" s="3165"/>
      <c r="V77" s="3165"/>
      <c r="W77" s="4032"/>
    </row>
    <row r="78" spans="2:23">
      <c r="B78" s="3965"/>
      <c r="C78" s="3966"/>
      <c r="D78" s="3979" t="s">
        <v>950</v>
      </c>
      <c r="E78" s="3980"/>
      <c r="F78" s="3980"/>
      <c r="G78" s="3980"/>
      <c r="H78" s="3980">
        <f>+G77</f>
        <v>1669.56435000058</v>
      </c>
      <c r="I78" s="3980"/>
      <c r="J78" s="3980"/>
      <c r="K78" s="3980"/>
      <c r="L78" s="3980"/>
      <c r="M78" s="3980"/>
      <c r="N78" s="3980"/>
      <c r="O78" s="3980"/>
      <c r="P78" s="3980"/>
      <c r="Q78" s="3980"/>
      <c r="R78" s="3980"/>
      <c r="S78" s="3980"/>
      <c r="T78" s="3980"/>
      <c r="U78" s="3165"/>
      <c r="V78" s="3165"/>
      <c r="W78" s="4032"/>
    </row>
    <row r="79" spans="2:23">
      <c r="B79" s="3965"/>
      <c r="C79" s="3966"/>
      <c r="D79" s="3979"/>
      <c r="E79" s="3980"/>
      <c r="F79" s="3980"/>
      <c r="G79" s="3980"/>
      <c r="H79" s="3980"/>
      <c r="I79" s="3980"/>
      <c r="J79" s="3980"/>
      <c r="K79" s="3980"/>
      <c r="L79" s="3980"/>
      <c r="M79" s="3980"/>
      <c r="N79" s="3980"/>
      <c r="O79" s="3980"/>
      <c r="P79" s="3980"/>
      <c r="Q79" s="3980"/>
      <c r="R79" s="3980"/>
      <c r="S79" s="3980"/>
      <c r="T79" s="3980"/>
      <c r="U79" s="3165"/>
      <c r="V79" s="3165"/>
      <c r="W79" s="4032"/>
    </row>
    <row r="80" spans="2:23">
      <c r="B80" s="3965"/>
      <c r="C80" s="3966"/>
      <c r="D80" s="4039"/>
      <c r="E80" s="4040"/>
      <c r="F80" s="4040"/>
      <c r="G80" s="4040"/>
      <c r="H80" s="4040"/>
      <c r="I80" s="4040"/>
      <c r="J80" s="4040"/>
      <c r="K80" s="4040"/>
      <c r="L80" s="4040"/>
      <c r="M80" s="4040"/>
      <c r="N80" s="4040"/>
      <c r="O80" s="4040"/>
      <c r="P80" s="4040"/>
      <c r="Q80" s="4040"/>
      <c r="R80" s="4040"/>
      <c r="S80" s="4040"/>
      <c r="T80" s="4040"/>
      <c r="U80" s="3165"/>
      <c r="V80" s="3165"/>
      <c r="W80" s="4032"/>
    </row>
    <row r="81" spans="2:23">
      <c r="B81" s="3965"/>
      <c r="C81" s="3966"/>
      <c r="D81" s="3966"/>
      <c r="E81" s="3969"/>
      <c r="F81" s="3969"/>
      <c r="G81" s="3969"/>
      <c r="H81" s="3969"/>
      <c r="I81" s="3969"/>
      <c r="J81" s="3969"/>
      <c r="K81" s="3969"/>
      <c r="L81" s="3969"/>
      <c r="M81" s="3966"/>
      <c r="N81" s="3966"/>
      <c r="O81" s="3966"/>
      <c r="P81" s="3966"/>
      <c r="Q81" s="3966"/>
      <c r="R81" s="3966"/>
      <c r="S81" s="3165"/>
      <c r="T81" s="3165"/>
      <c r="U81" s="3165"/>
      <c r="V81" s="3165"/>
      <c r="W81" s="4032"/>
    </row>
    <row r="82" spans="2:23">
      <c r="B82" s="3965"/>
      <c r="C82" s="3966"/>
      <c r="D82" s="3966"/>
      <c r="E82" s="3969"/>
      <c r="F82" s="3969"/>
      <c r="G82" s="3969"/>
      <c r="H82" s="3969"/>
      <c r="I82" s="3969"/>
      <c r="J82" s="3969"/>
      <c r="K82" s="3969"/>
      <c r="L82" s="3969"/>
      <c r="M82" s="3966"/>
      <c r="N82" s="3966"/>
      <c r="O82" s="3966"/>
      <c r="P82" s="3966"/>
      <c r="Q82" s="3966"/>
      <c r="R82" s="3966"/>
      <c r="S82" s="3165"/>
      <c r="T82" s="3165"/>
      <c r="U82" s="3165"/>
      <c r="V82" s="3165"/>
      <c r="W82" s="4032"/>
    </row>
    <row r="83" spans="2:23">
      <c r="B83" s="3965"/>
      <c r="C83" s="3966"/>
      <c r="D83" s="3966"/>
      <c r="E83" s="3969"/>
      <c r="F83" s="3969"/>
      <c r="G83" s="3969"/>
      <c r="H83" s="3969"/>
      <c r="I83" s="3969"/>
      <c r="J83" s="3969"/>
      <c r="K83" s="3969"/>
      <c r="L83" s="3969"/>
      <c r="M83" s="3966"/>
      <c r="N83" s="3966"/>
      <c r="O83" s="3966"/>
      <c r="P83" s="3966"/>
      <c r="Q83" s="3966"/>
      <c r="R83" s="3966"/>
      <c r="S83" s="3165"/>
      <c r="T83" s="3165"/>
      <c r="U83" s="3165"/>
      <c r="V83" s="3165"/>
      <c r="W83" s="4032"/>
    </row>
    <row r="84" spans="2:23">
      <c r="B84" s="3965"/>
      <c r="C84" s="3966"/>
      <c r="D84" s="3966"/>
      <c r="E84" s="3969"/>
      <c r="F84" s="3969"/>
      <c r="G84" s="3969"/>
      <c r="H84" s="3969"/>
      <c r="I84" s="3969"/>
      <c r="J84" s="3969"/>
      <c r="K84" s="3969"/>
      <c r="L84" s="3969"/>
      <c r="M84" s="3966"/>
      <c r="N84" s="3966"/>
      <c r="O84" s="3966"/>
      <c r="P84" s="3966"/>
      <c r="Q84" s="3966"/>
      <c r="R84" s="3966"/>
      <c r="S84" s="3165"/>
      <c r="T84" s="3165"/>
      <c r="U84" s="3165"/>
      <c r="V84" s="3165"/>
      <c r="W84" s="4032"/>
    </row>
    <row r="85" spans="2:23">
      <c r="B85" s="3965"/>
      <c r="C85" s="3966"/>
      <c r="D85" s="3966"/>
      <c r="E85" s="3969"/>
      <c r="F85" s="3969"/>
      <c r="G85" s="3969"/>
      <c r="H85" s="3969"/>
      <c r="I85" s="3969"/>
      <c r="J85" s="3969"/>
      <c r="K85" s="3969"/>
      <c r="L85" s="3969"/>
      <c r="M85" s="3966"/>
      <c r="N85" s="3966"/>
      <c r="O85" s="3966"/>
      <c r="P85" s="3966"/>
      <c r="Q85" s="3966"/>
      <c r="R85" s="3966"/>
      <c r="S85" s="3165"/>
      <c r="T85" s="3165"/>
      <c r="U85" s="3165"/>
      <c r="V85" s="3165"/>
      <c r="W85" s="4032"/>
    </row>
    <row r="86" spans="2:23">
      <c r="B86" s="3965"/>
      <c r="C86" s="3966"/>
      <c r="D86" s="3966"/>
      <c r="E86" s="3969"/>
      <c r="F86" s="3969"/>
      <c r="G86" s="3969"/>
      <c r="H86" s="3969"/>
      <c r="I86" s="3969"/>
      <c r="J86" s="3969"/>
      <c r="K86" s="3969"/>
      <c r="L86" s="3969"/>
      <c r="M86" s="3966"/>
      <c r="N86" s="3966"/>
      <c r="O86" s="3966"/>
      <c r="P86" s="3966"/>
      <c r="Q86" s="3966"/>
      <c r="R86" s="3966"/>
      <c r="S86" s="3165"/>
      <c r="T86" s="3165"/>
      <c r="U86" s="3165"/>
      <c r="V86" s="3165"/>
      <c r="W86" s="4032"/>
    </row>
    <row r="87" spans="2:23">
      <c r="B87" s="3965"/>
      <c r="C87" s="3966"/>
      <c r="D87" s="3966"/>
      <c r="E87" s="3969"/>
      <c r="F87" s="3969"/>
      <c r="G87" s="3969"/>
      <c r="H87" s="3969"/>
      <c r="I87" s="3969"/>
      <c r="J87" s="3969"/>
      <c r="K87" s="3969"/>
      <c r="L87" s="3969"/>
      <c r="M87" s="3966"/>
      <c r="N87" s="3966"/>
      <c r="O87" s="3966"/>
      <c r="P87" s="3966"/>
      <c r="Q87" s="3966"/>
      <c r="R87" s="3966"/>
      <c r="S87" s="3165"/>
      <c r="T87" s="3165"/>
      <c r="U87" s="3165"/>
      <c r="V87" s="3165"/>
      <c r="W87" s="4032"/>
    </row>
    <row r="88" spans="2:23">
      <c r="B88" s="3965"/>
      <c r="C88" s="3966"/>
      <c r="D88" s="3966"/>
      <c r="E88" s="3969"/>
      <c r="F88" s="3969"/>
      <c r="G88" s="3969"/>
      <c r="H88" s="3969"/>
      <c r="I88" s="3969"/>
      <c r="J88" s="3969"/>
      <c r="K88" s="3969"/>
      <c r="L88" s="3969"/>
      <c r="M88" s="3966"/>
      <c r="N88" s="3966"/>
      <c r="O88" s="3966"/>
      <c r="P88" s="3966"/>
      <c r="Q88" s="3966"/>
      <c r="R88" s="3966"/>
      <c r="S88" s="3165"/>
      <c r="T88" s="3165"/>
      <c r="U88" s="3165"/>
      <c r="V88" s="3165"/>
      <c r="W88" s="4032"/>
    </row>
    <row r="89" spans="2:23">
      <c r="B89" s="3965"/>
      <c r="C89" s="3966"/>
      <c r="D89" s="3966"/>
      <c r="E89" s="3969"/>
      <c r="F89" s="3969"/>
      <c r="G89" s="3969"/>
      <c r="H89" s="3969"/>
      <c r="I89" s="3969"/>
      <c r="J89" s="3969"/>
      <c r="K89" s="3969"/>
      <c r="L89" s="3969"/>
      <c r="M89" s="3966"/>
      <c r="N89" s="3966"/>
      <c r="O89" s="3966"/>
      <c r="P89" s="3966"/>
      <c r="Q89" s="3966"/>
      <c r="R89" s="3966"/>
      <c r="S89" s="3165"/>
      <c r="T89" s="3165"/>
      <c r="U89" s="3165"/>
      <c r="V89" s="3165"/>
      <c r="W89" s="4032"/>
    </row>
    <row r="90" spans="2:23">
      <c r="B90" s="3965"/>
      <c r="C90" s="3966"/>
      <c r="D90" s="3966"/>
      <c r="E90" s="3969"/>
      <c r="F90" s="3969"/>
      <c r="G90" s="3969"/>
      <c r="H90" s="3969"/>
      <c r="I90" s="3969"/>
      <c r="J90" s="3969"/>
      <c r="K90" s="3969"/>
      <c r="L90" s="3969"/>
      <c r="M90" s="3966"/>
      <c r="N90" s="3966"/>
      <c r="O90" s="3966"/>
      <c r="P90" s="3966"/>
      <c r="Q90" s="3966"/>
      <c r="R90" s="3966"/>
      <c r="S90" s="3165"/>
      <c r="T90" s="3165"/>
      <c r="U90" s="3165"/>
      <c r="V90" s="3165"/>
      <c r="W90" s="4032"/>
    </row>
    <row r="91" spans="2:23">
      <c r="B91" s="3965"/>
      <c r="C91" s="3966"/>
      <c r="D91" s="3966"/>
      <c r="E91" s="3969"/>
      <c r="F91" s="3969"/>
      <c r="G91" s="3969"/>
      <c r="H91" s="3969"/>
      <c r="I91" s="3969"/>
      <c r="J91" s="3969"/>
      <c r="K91" s="3969"/>
      <c r="L91" s="3969"/>
      <c r="M91" s="3966"/>
      <c r="N91" s="3966"/>
      <c r="O91" s="3966"/>
      <c r="P91" s="3966"/>
      <c r="Q91" s="3966"/>
      <c r="R91" s="3966"/>
      <c r="S91" s="3165"/>
      <c r="T91" s="3165"/>
      <c r="U91" s="3165"/>
      <c r="V91" s="3165"/>
      <c r="W91" s="4032"/>
    </row>
    <row r="92" spans="2:23">
      <c r="B92" s="3965"/>
      <c r="C92" s="3966"/>
      <c r="D92" s="3966"/>
      <c r="E92" s="3969"/>
      <c r="F92" s="3969"/>
      <c r="G92" s="3969"/>
      <c r="H92" s="3969"/>
      <c r="I92" s="3969"/>
      <c r="J92" s="3969"/>
      <c r="K92" s="3969"/>
      <c r="L92" s="3969"/>
      <c r="M92" s="3966"/>
      <c r="N92" s="3966"/>
      <c r="O92" s="3966"/>
      <c r="P92" s="3966"/>
      <c r="Q92" s="3966"/>
      <c r="R92" s="3966"/>
      <c r="S92" s="3165"/>
      <c r="T92" s="3165"/>
      <c r="U92" s="3165"/>
      <c r="V92" s="3165"/>
      <c r="W92" s="4032"/>
    </row>
    <row r="93" spans="2:23">
      <c r="B93" s="3965"/>
      <c r="C93" s="3966"/>
      <c r="D93" s="3966"/>
      <c r="E93" s="3969"/>
      <c r="F93" s="3969"/>
      <c r="G93" s="3969"/>
      <c r="H93" s="3969"/>
      <c r="I93" s="3969"/>
      <c r="J93" s="3969"/>
      <c r="K93" s="3969"/>
      <c r="L93" s="3969"/>
      <c r="M93" s="3966"/>
      <c r="N93" s="3966"/>
      <c r="O93" s="3966"/>
      <c r="P93" s="3966"/>
      <c r="Q93" s="3966"/>
      <c r="R93" s="3966"/>
      <c r="S93" s="3165"/>
      <c r="T93" s="3165"/>
      <c r="U93" s="3165"/>
      <c r="V93" s="3165"/>
      <c r="W93" s="4032"/>
    </row>
    <row r="94" spans="2:23">
      <c r="B94" s="3965"/>
      <c r="C94" s="3968"/>
      <c r="D94" s="3966"/>
      <c r="E94" s="3969"/>
      <c r="F94" s="3969"/>
      <c r="G94" s="3969"/>
      <c r="H94" s="3969"/>
      <c r="I94" s="3969"/>
      <c r="J94" s="3969"/>
      <c r="K94" s="3969"/>
      <c r="L94" s="3969"/>
      <c r="M94" s="3966"/>
      <c r="N94" s="3966"/>
      <c r="O94" s="3966"/>
      <c r="P94" s="3966"/>
      <c r="Q94" s="3966"/>
      <c r="R94" s="3966"/>
      <c r="S94" s="3165"/>
      <c r="T94" s="3165"/>
      <c r="U94" s="3165"/>
      <c r="V94" s="3165"/>
      <c r="W94" s="4032"/>
    </row>
    <row r="95" spans="2:23">
      <c r="B95" s="4041" t="s">
        <v>952</v>
      </c>
      <c r="C95" s="4042"/>
      <c r="D95" s="4043"/>
      <c r="E95" s="3969"/>
      <c r="F95" s="3261" t="s">
        <v>953</v>
      </c>
      <c r="G95" s="3262" t="s">
        <v>954</v>
      </c>
      <c r="H95" s="3261"/>
      <c r="I95" s="3262" t="s">
        <v>955</v>
      </c>
      <c r="J95" s="3969"/>
      <c r="K95" s="3969"/>
      <c r="L95" s="3969"/>
      <c r="M95" s="3966"/>
      <c r="N95" s="3966"/>
      <c r="O95" s="3966"/>
      <c r="P95" s="3966"/>
      <c r="Q95" s="3966"/>
      <c r="R95" s="3966"/>
      <c r="S95" s="3165"/>
      <c r="T95" s="3165"/>
      <c r="U95" s="3165"/>
      <c r="V95" s="3165"/>
      <c r="W95" s="4032"/>
    </row>
    <row r="96" spans="2:23">
      <c r="B96" s="4041"/>
      <c r="C96" s="4042"/>
      <c r="D96" s="4043"/>
      <c r="E96" s="3174"/>
      <c r="F96" s="3174"/>
      <c r="G96" s="3174"/>
      <c r="H96" s="3174"/>
      <c r="I96" s="3969"/>
      <c r="J96" s="3969"/>
      <c r="K96" s="3969"/>
      <c r="L96" s="3969"/>
      <c r="M96" s="3966"/>
      <c r="N96" s="3966"/>
      <c r="O96" s="3966"/>
      <c r="P96" s="3966"/>
      <c r="Q96" s="3966"/>
      <c r="R96" s="3966"/>
      <c r="S96" s="3165"/>
      <c r="T96" s="3165"/>
      <c r="U96" s="3165"/>
      <c r="V96" s="3165"/>
      <c r="W96" s="4032"/>
    </row>
    <row r="97" spans="2:23">
      <c r="B97" s="4041"/>
      <c r="C97" s="4042"/>
      <c r="D97" s="4043"/>
      <c r="E97" s="3174"/>
      <c r="F97" s="3174" t="s">
        <v>956</v>
      </c>
      <c r="G97" s="3174"/>
      <c r="H97" s="3174"/>
      <c r="I97" s="3969"/>
      <c r="J97" s="3969"/>
      <c r="K97" s="3969"/>
      <c r="L97" s="3969"/>
      <c r="M97" s="3966"/>
      <c r="N97" s="3966"/>
      <c r="O97" s="3966"/>
      <c r="P97" s="3966"/>
      <c r="Q97" s="3966"/>
      <c r="R97" s="3966"/>
      <c r="S97" s="3165"/>
      <c r="T97" s="3165"/>
      <c r="U97" s="3165"/>
      <c r="V97" s="3165"/>
      <c r="W97" s="4032"/>
    </row>
    <row r="98" spans="2:23">
      <c r="B98" s="3965"/>
      <c r="C98" s="4042"/>
      <c r="D98" s="3966"/>
      <c r="E98" s="3969"/>
      <c r="F98" s="3969"/>
      <c r="G98" s="3969"/>
      <c r="H98" s="3969"/>
      <c r="I98" s="3969"/>
      <c r="J98" s="3969"/>
      <c r="K98" s="3969"/>
      <c r="L98" s="3969"/>
      <c r="M98" s="3966"/>
      <c r="N98" s="3966"/>
      <c r="O98" s="3966"/>
      <c r="P98" s="3966"/>
      <c r="Q98" s="3966"/>
      <c r="R98" s="3966"/>
      <c r="S98" s="3165"/>
      <c r="T98" s="3165"/>
      <c r="U98" s="3165"/>
      <c r="V98" s="3165"/>
      <c r="W98" s="4032"/>
    </row>
    <row r="99" spans="2:23">
      <c r="B99" s="3965"/>
      <c r="C99" s="3968" t="s">
        <v>957</v>
      </c>
      <c r="D99" s="3966"/>
      <c r="E99" s="3969"/>
      <c r="F99" s="3969"/>
      <c r="G99" s="3969"/>
      <c r="H99" s="3969"/>
      <c r="I99" s="3969"/>
      <c r="J99" s="3969"/>
      <c r="K99" s="3969"/>
      <c r="L99" s="3969"/>
      <c r="M99" s="3966"/>
      <c r="N99" s="3966"/>
      <c r="O99" s="3966"/>
      <c r="P99" s="3966"/>
      <c r="Q99" s="3966"/>
      <c r="R99" s="3966"/>
      <c r="S99" s="3165"/>
      <c r="T99" s="3165"/>
      <c r="U99" s="3165"/>
      <c r="V99" s="3165"/>
      <c r="W99" s="4032"/>
    </row>
    <row r="100" ht="13.95" spans="2:23">
      <c r="B100" s="4044"/>
      <c r="C100" s="4045"/>
      <c r="D100" s="4045"/>
      <c r="E100" s="4046"/>
      <c r="F100" s="4046"/>
      <c r="G100" s="4046"/>
      <c r="H100" s="4046"/>
      <c r="I100" s="4046"/>
      <c r="J100" s="4046"/>
      <c r="K100" s="4046"/>
      <c r="L100" s="4046"/>
      <c r="M100" s="4045"/>
      <c r="N100" s="4045"/>
      <c r="O100" s="4045"/>
      <c r="P100" s="4045"/>
      <c r="Q100" s="4045"/>
      <c r="R100" s="4045"/>
      <c r="S100" s="4045"/>
      <c r="T100" s="4045"/>
      <c r="U100" s="4045"/>
      <c r="V100" s="4045"/>
      <c r="W100" s="4047"/>
    </row>
  </sheetData>
  <mergeCells count="8">
    <mergeCell ref="T9:U9"/>
    <mergeCell ref="V9:W9"/>
    <mergeCell ref="I10:J10"/>
    <mergeCell ref="O10:P10"/>
    <mergeCell ref="K61:L61"/>
    <mergeCell ref="K63:L63"/>
    <mergeCell ref="K72:L72"/>
    <mergeCell ref="K74:L74"/>
  </mergeCells>
  <printOptions horizontalCentered="1"/>
  <pageMargins left="0.393700787401575" right="0.118110236220472" top="0.708661417322835" bottom="0.551181102362205" header="0.511811023622047" footer="0.511811023622047"/>
  <pageSetup paperSize="9" scale="60" orientation="portrait"/>
  <headerFooter alignWithMargins="0">
    <oddFooter>&amp;R&amp;"Arial,Bold"&amp;36&amp;A</oddFooter>
  </headerFooter>
  <drawing r:id="rId2"/>
  <legacyDrawing r:id="rId3"/>
  <oleObjects>
    <mc:AlternateContent xmlns:mc="http://schemas.openxmlformats.org/markup-compatibility/2006">
      <mc:Choice Requires="x14">
        <oleObject shapeId="20486" progId="Paint.Picture" r:id="rId4">
          <objectPr defaultSize="0" r:id="rId5">
            <anchor moveWithCells="1">
              <from>
                <xdr:col>18</xdr:col>
                <xdr:colOff>374650</xdr:colOff>
                <xdr:row>11</xdr:row>
                <xdr:rowOff>19050</xdr:rowOff>
              </from>
              <to>
                <xdr:col>18</xdr:col>
                <xdr:colOff>558800</xdr:colOff>
                <xdr:row>12</xdr:row>
                <xdr:rowOff>44450</xdr:rowOff>
              </to>
            </anchor>
          </objectPr>
        </oleObject>
      </mc:Choice>
      <mc:Fallback>
        <oleObject shapeId="20486" progId="Paint.Picture" r:id="rId4"/>
      </mc:Fallback>
    </mc:AlternateContent>
    <mc:AlternateContent xmlns:mc="http://schemas.openxmlformats.org/markup-compatibility/2006">
      <mc:Choice Requires="x14">
        <oleObject shapeId="20491" progId="Paint.Picture" r:id="rId6">
          <objectPr defaultSize="0" r:id="rId7">
            <anchor moveWithCells="1">
              <from>
                <xdr:col>8</xdr:col>
                <xdr:colOff>298450</xdr:colOff>
                <xdr:row>35</xdr:row>
                <xdr:rowOff>44450</xdr:rowOff>
              </from>
              <to>
                <xdr:col>11</xdr:col>
                <xdr:colOff>228600</xdr:colOff>
                <xdr:row>36</xdr:row>
                <xdr:rowOff>63500</xdr:rowOff>
              </to>
            </anchor>
          </objectPr>
        </oleObject>
      </mc:Choice>
      <mc:Fallback>
        <oleObject shapeId="20491" progId="Paint.Picture" r:id="rId6"/>
      </mc:Fallback>
    </mc:AlternateContent>
    <mc:AlternateContent xmlns:mc="http://schemas.openxmlformats.org/markup-compatibility/2006">
      <mc:Choice Requires="x14">
        <oleObject shapeId="3696183" progId="Paint.Picture" r:id="rId8">
          <objectPr defaultSize="0" r:id="rId5">
            <anchor moveWithCells="1">
              <from>
                <xdr:col>17</xdr:col>
                <xdr:colOff>393700</xdr:colOff>
                <xdr:row>11</xdr:row>
                <xdr:rowOff>38100</xdr:rowOff>
              </from>
              <to>
                <xdr:col>17</xdr:col>
                <xdr:colOff>577850</xdr:colOff>
                <xdr:row>12</xdr:row>
                <xdr:rowOff>44450</xdr:rowOff>
              </to>
            </anchor>
          </objectPr>
        </oleObject>
      </mc:Choice>
      <mc:Fallback>
        <oleObject shapeId="3696183" progId="Paint.Picture" r:id="rId8"/>
      </mc:Fallback>
    </mc:AlternateContent>
  </oleObjec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74"/>
  <sheetViews>
    <sheetView zoomScaleSheetLayoutView="89" workbookViewId="0">
      <selection activeCell="F35" sqref="F35"/>
    </sheetView>
  </sheetViews>
  <sheetFormatPr defaultColWidth="10.0416666666667" defaultRowHeight="13.2"/>
  <cols>
    <col min="1" max="1" width="10.0416666666667" style="3881"/>
    <col min="2" max="2" width="18.4270833333333" style="3881" customWidth="1"/>
    <col min="3" max="3" width="18.4270833333333" style="3881" hidden="1" customWidth="1"/>
    <col min="4" max="4" width="16.9270833333333" style="3881" hidden="1" customWidth="1"/>
    <col min="5" max="5" width="30.2708333333333" style="3881" customWidth="1"/>
    <col min="6" max="6" width="18.125" style="3881" customWidth="1"/>
    <col min="7" max="7" width="17.375" style="3881" customWidth="1"/>
    <col min="8" max="9" width="17.8333333333333" style="3881" customWidth="1"/>
    <col min="10" max="10" width="18.7291666666667" style="3881" customWidth="1"/>
    <col min="11" max="11" width="10.0416666666667" style="3881"/>
    <col min="12" max="12" width="13.4895833333333" style="3881" customWidth="1"/>
    <col min="13" max="16384" width="10.0416666666667" style="3881"/>
  </cols>
  <sheetData>
    <row r="2" spans="2:9">
      <c r="B2" s="3882" t="s">
        <v>688</v>
      </c>
      <c r="C2" s="3883"/>
      <c r="D2" s="3883"/>
      <c r="E2" s="3883"/>
      <c r="F2" s="3884" t="s">
        <v>896</v>
      </c>
      <c r="G2" s="3885" t="s">
        <v>958</v>
      </c>
      <c r="H2" s="3885"/>
      <c r="I2" s="3915" t="s">
        <v>959</v>
      </c>
    </row>
    <row r="3" spans="2:9">
      <c r="B3" s="3883" t="s">
        <v>960</v>
      </c>
      <c r="C3" s="3883"/>
      <c r="D3" s="3883"/>
      <c r="E3" s="3883"/>
      <c r="F3" s="3886" t="s">
        <v>275</v>
      </c>
      <c r="G3" s="3887">
        <v>45227</v>
      </c>
      <c r="H3" s="3888"/>
      <c r="I3" s="3916" t="s">
        <v>961</v>
      </c>
    </row>
    <row r="4" spans="2:9">
      <c r="B4" s="3889" t="s">
        <v>962</v>
      </c>
      <c r="C4" s="3889"/>
      <c r="D4" s="3889"/>
      <c r="E4" s="3889"/>
      <c r="F4" s="3886" t="s">
        <v>963</v>
      </c>
      <c r="G4" s="3888" t="s">
        <v>964</v>
      </c>
      <c r="H4" s="3888"/>
      <c r="I4" s="3917"/>
    </row>
    <row r="5" ht="13.95" spans="2:9">
      <c r="B5" s="3883"/>
      <c r="C5" s="3883"/>
      <c r="D5" s="3883"/>
      <c r="E5" s="3883"/>
      <c r="F5" s="3890" t="s">
        <v>275</v>
      </c>
      <c r="G5" s="3891">
        <f>+G3</f>
        <v>45227</v>
      </c>
      <c r="H5" s="3892"/>
      <c r="I5" s="3918"/>
    </row>
    <row r="7" spans="2:7">
      <c r="B7" s="3893" t="s">
        <v>965</v>
      </c>
      <c r="C7" s="3893"/>
      <c r="D7" s="3893"/>
      <c r="E7" s="3893"/>
      <c r="F7" s="3883"/>
      <c r="G7" s="3883"/>
    </row>
    <row r="8" spans="2:9">
      <c r="B8" s="3893"/>
      <c r="C8" s="3893"/>
      <c r="D8" s="3893"/>
      <c r="E8" s="3893"/>
      <c r="F8" s="3894" t="s">
        <v>966</v>
      </c>
      <c r="G8" s="3894">
        <v>2022</v>
      </c>
      <c r="H8" s="3894">
        <v>2021</v>
      </c>
      <c r="I8" s="3919">
        <v>2020</v>
      </c>
    </row>
    <row r="9" spans="6:9">
      <c r="F9" s="3894" t="s">
        <v>967</v>
      </c>
      <c r="G9" s="3895"/>
      <c r="H9" s="3895"/>
      <c r="I9" s="3920"/>
    </row>
    <row r="10" spans="2:9">
      <c r="B10" s="3883" t="s">
        <v>968</v>
      </c>
      <c r="C10" s="3883"/>
      <c r="I10" s="3881">
        <v>1000</v>
      </c>
    </row>
    <row r="11" spans="2:10">
      <c r="B11" s="3881" t="s">
        <v>969</v>
      </c>
      <c r="H11" s="3896"/>
      <c r="I11" s="3896"/>
      <c r="J11" s="3921" t="s">
        <v>970</v>
      </c>
    </row>
    <row r="12" spans="2:8">
      <c r="B12" s="3883" t="s">
        <v>971</v>
      </c>
      <c r="C12" s="3883"/>
      <c r="D12" s="3883"/>
      <c r="E12" s="3883" t="s">
        <v>972</v>
      </c>
      <c r="H12" s="3896"/>
    </row>
    <row r="13" spans="2:10">
      <c r="B13" s="3897" t="s">
        <v>973</v>
      </c>
      <c r="C13" s="3898"/>
      <c r="D13" s="3899"/>
      <c r="E13" s="3900" t="str">
        <f>"Pengeluaran - "&amp;B13</f>
        <v>Pengeluaran - JAN</v>
      </c>
      <c r="F13" s="3901"/>
      <c r="G13" s="3902">
        <v>0</v>
      </c>
      <c r="H13" s="3902">
        <v>0</v>
      </c>
      <c r="I13" s="3912">
        <f>H13</f>
        <v>0</v>
      </c>
      <c r="J13" s="3922" t="s">
        <v>974</v>
      </c>
    </row>
    <row r="14" spans="2:10">
      <c r="B14" s="3897" t="s">
        <v>975</v>
      </c>
      <c r="C14" s="3898"/>
      <c r="D14" s="3899"/>
      <c r="E14" s="3900" t="str">
        <f t="shared" ref="E14:E22" si="0">"Pengeluaran - "&amp;B14</f>
        <v>Pengeluaran - FEB</v>
      </c>
      <c r="F14" s="3901"/>
      <c r="G14" s="3902">
        <v>0</v>
      </c>
      <c r="H14" s="3902">
        <v>0</v>
      </c>
      <c r="I14" s="3912">
        <f t="shared" ref="I14:I22" si="1">H14</f>
        <v>0</v>
      </c>
      <c r="J14" s="3922" t="s">
        <v>974</v>
      </c>
    </row>
    <row r="15" spans="2:10">
      <c r="B15" s="3897" t="s">
        <v>976</v>
      </c>
      <c r="C15" s="3898"/>
      <c r="D15" s="3899"/>
      <c r="E15" s="3900" t="str">
        <f t="shared" si="0"/>
        <v>Pengeluaran - MAR</v>
      </c>
      <c r="F15" s="3901"/>
      <c r="G15" s="3902">
        <v>0</v>
      </c>
      <c r="H15" s="3902">
        <v>0</v>
      </c>
      <c r="I15" s="3912">
        <f t="shared" si="1"/>
        <v>0</v>
      </c>
      <c r="J15" s="3922" t="s">
        <v>974</v>
      </c>
    </row>
    <row r="16" spans="2:10">
      <c r="B16" s="3897" t="s">
        <v>977</v>
      </c>
      <c r="C16" s="3898"/>
      <c r="D16" s="3899"/>
      <c r="E16" s="3900" t="str">
        <f t="shared" si="0"/>
        <v>Pengeluaran - APR</v>
      </c>
      <c r="F16" s="3901"/>
      <c r="G16" s="3902">
        <v>0</v>
      </c>
      <c r="H16" s="3902">
        <v>0</v>
      </c>
      <c r="I16" s="3912">
        <f t="shared" si="1"/>
        <v>0</v>
      </c>
      <c r="J16" s="3922" t="s">
        <v>974</v>
      </c>
    </row>
    <row r="17" spans="2:10">
      <c r="B17" s="3897" t="s">
        <v>978</v>
      </c>
      <c r="C17" s="3898"/>
      <c r="D17" s="3899"/>
      <c r="E17" s="3900" t="str">
        <f t="shared" si="0"/>
        <v>Pengeluaran - MAY</v>
      </c>
      <c r="F17" s="3901"/>
      <c r="G17" s="3902">
        <v>0</v>
      </c>
      <c r="H17" s="3902">
        <v>0</v>
      </c>
      <c r="I17" s="3912">
        <f t="shared" si="1"/>
        <v>0</v>
      </c>
      <c r="J17" s="3922" t="s">
        <v>974</v>
      </c>
    </row>
    <row r="18" spans="2:10">
      <c r="B18" s="3897" t="s">
        <v>979</v>
      </c>
      <c r="C18" s="3898"/>
      <c r="D18" s="3899"/>
      <c r="E18" s="3900" t="str">
        <f t="shared" si="0"/>
        <v>Pengeluaran - JUN</v>
      </c>
      <c r="F18" s="3901"/>
      <c r="G18" s="3902">
        <v>0</v>
      </c>
      <c r="H18" s="3902">
        <v>0</v>
      </c>
      <c r="I18" s="3912">
        <f t="shared" si="1"/>
        <v>0</v>
      </c>
      <c r="J18" s="3922"/>
    </row>
    <row r="19" spans="2:10">
      <c r="B19" s="3897" t="s">
        <v>980</v>
      </c>
      <c r="C19" s="3898"/>
      <c r="D19" s="3899"/>
      <c r="E19" s="3900" t="str">
        <f t="shared" si="0"/>
        <v>Pengeluaran - JUL</v>
      </c>
      <c r="F19" s="3901"/>
      <c r="G19" s="3902">
        <v>0</v>
      </c>
      <c r="H19" s="3902">
        <v>0</v>
      </c>
      <c r="I19" s="3912">
        <f t="shared" si="1"/>
        <v>0</v>
      </c>
      <c r="J19" s="3922"/>
    </row>
    <row r="20" spans="2:10">
      <c r="B20" s="3897" t="s">
        <v>981</v>
      </c>
      <c r="C20" s="3898"/>
      <c r="D20" s="3899"/>
      <c r="E20" s="3900" t="str">
        <f t="shared" si="0"/>
        <v>Pengeluaran - AUG</v>
      </c>
      <c r="F20" s="3901"/>
      <c r="G20" s="3902">
        <v>0</v>
      </c>
      <c r="H20" s="3902">
        <v>0</v>
      </c>
      <c r="I20" s="3912">
        <f t="shared" si="1"/>
        <v>0</v>
      </c>
      <c r="J20" s="3922"/>
    </row>
    <row r="21" spans="2:10">
      <c r="B21" s="3897" t="s">
        <v>982</v>
      </c>
      <c r="C21" s="3898"/>
      <c r="D21" s="3899"/>
      <c r="E21" s="3900" t="str">
        <f t="shared" si="0"/>
        <v>Pengeluaran - SEP</v>
      </c>
      <c r="F21" s="3901"/>
      <c r="G21" s="3902">
        <v>0</v>
      </c>
      <c r="H21" s="3902">
        <v>0</v>
      </c>
      <c r="I21" s="3912">
        <f t="shared" si="1"/>
        <v>0</v>
      </c>
      <c r="J21" s="3922"/>
    </row>
    <row r="22" spans="2:10">
      <c r="B22" s="3897" t="s">
        <v>983</v>
      </c>
      <c r="C22" s="3898"/>
      <c r="D22" s="3899"/>
      <c r="E22" s="3900" t="str">
        <f t="shared" si="0"/>
        <v>Pengeluaran - OCT</v>
      </c>
      <c r="F22" s="3901"/>
      <c r="G22" s="3902">
        <v>0</v>
      </c>
      <c r="H22" s="3902">
        <v>0</v>
      </c>
      <c r="I22" s="3912">
        <f t="shared" si="1"/>
        <v>0</v>
      </c>
      <c r="J22" s="3922"/>
    </row>
    <row r="23" spans="2:10">
      <c r="B23" s="3897"/>
      <c r="C23" s="3898"/>
      <c r="D23" s="3899"/>
      <c r="E23" s="3900"/>
      <c r="F23" s="3901"/>
      <c r="G23" s="3903"/>
      <c r="H23" s="3904"/>
      <c r="I23" s="3923"/>
      <c r="J23" s="3924"/>
    </row>
    <row r="24" spans="2:10">
      <c r="B24" s="3898" t="s">
        <v>984</v>
      </c>
      <c r="C24" s="3898"/>
      <c r="D24" s="3898"/>
      <c r="F24" s="3901"/>
      <c r="G24" s="3905">
        <f t="shared" ref="G24:I24" si="2">SUM(G11:G23)</f>
        <v>0</v>
      </c>
      <c r="H24" s="3905">
        <f t="shared" si="2"/>
        <v>0</v>
      </c>
      <c r="I24" s="3905">
        <f t="shared" si="2"/>
        <v>0</v>
      </c>
      <c r="J24" s="3925"/>
    </row>
    <row r="25" spans="2:10">
      <c r="B25" s="3898"/>
      <c r="C25" s="3898"/>
      <c r="D25" s="3898"/>
      <c r="F25" s="3901"/>
      <c r="H25" s="3906"/>
      <c r="I25" s="3912"/>
      <c r="J25" s="3925"/>
    </row>
    <row r="26" spans="2:10">
      <c r="B26" s="3907" t="s">
        <v>985</v>
      </c>
      <c r="C26" s="3907"/>
      <c r="F26" s="3901"/>
      <c r="H26" s="3906"/>
      <c r="J26" s="3925"/>
    </row>
    <row r="27" spans="2:10">
      <c r="B27" s="3897" t="s">
        <v>973</v>
      </c>
      <c r="C27" s="3907"/>
      <c r="E27" s="3900" t="str">
        <f>"Penerimaan - "&amp;B27</f>
        <v>Penerimaan - JAN</v>
      </c>
      <c r="F27" s="3901"/>
      <c r="G27" s="3902">
        <v>0</v>
      </c>
      <c r="H27" s="3902">
        <v>0</v>
      </c>
      <c r="I27" s="3912">
        <f>H27</f>
        <v>0</v>
      </c>
      <c r="J27" s="3922" t="s">
        <v>974</v>
      </c>
    </row>
    <row r="28" spans="2:10">
      <c r="B28" s="3897" t="s">
        <v>975</v>
      </c>
      <c r="C28" s="3907"/>
      <c r="E28" s="3900" t="str">
        <f t="shared" ref="E28:E36" si="3">"Penerimaan - "&amp;B28</f>
        <v>Penerimaan - FEB</v>
      </c>
      <c r="F28" s="3901"/>
      <c r="G28" s="3902">
        <v>0</v>
      </c>
      <c r="H28" s="3902">
        <v>0</v>
      </c>
      <c r="I28" s="3912">
        <f t="shared" ref="I28:I36" si="4">H28</f>
        <v>0</v>
      </c>
      <c r="J28" s="3922" t="s">
        <v>974</v>
      </c>
    </row>
    <row r="29" spans="2:10">
      <c r="B29" s="3897" t="s">
        <v>976</v>
      </c>
      <c r="C29" s="3907"/>
      <c r="E29" s="3900" t="str">
        <f t="shared" si="3"/>
        <v>Penerimaan - MAR</v>
      </c>
      <c r="F29" s="3901"/>
      <c r="G29" s="3902">
        <v>0</v>
      </c>
      <c r="H29" s="3902">
        <v>0</v>
      </c>
      <c r="I29" s="3912">
        <f t="shared" si="4"/>
        <v>0</v>
      </c>
      <c r="J29" s="3922" t="s">
        <v>974</v>
      </c>
    </row>
    <row r="30" spans="2:10">
      <c r="B30" s="3897" t="s">
        <v>977</v>
      </c>
      <c r="C30" s="3907"/>
      <c r="E30" s="3900" t="str">
        <f t="shared" si="3"/>
        <v>Penerimaan - APR</v>
      </c>
      <c r="F30" s="3901"/>
      <c r="G30" s="3902">
        <v>0</v>
      </c>
      <c r="H30" s="3902">
        <v>0</v>
      </c>
      <c r="I30" s="3912">
        <f t="shared" si="4"/>
        <v>0</v>
      </c>
      <c r="J30" s="3922" t="s">
        <v>974</v>
      </c>
    </row>
    <row r="31" spans="2:10">
      <c r="B31" s="3897" t="s">
        <v>978</v>
      </c>
      <c r="C31" s="3907"/>
      <c r="E31" s="3900" t="str">
        <f t="shared" si="3"/>
        <v>Penerimaan - MAY</v>
      </c>
      <c r="F31" s="3901"/>
      <c r="G31" s="3902">
        <v>0</v>
      </c>
      <c r="H31" s="3902">
        <v>0</v>
      </c>
      <c r="I31" s="3912">
        <f t="shared" si="4"/>
        <v>0</v>
      </c>
      <c r="J31" s="3922" t="s">
        <v>974</v>
      </c>
    </row>
    <row r="32" spans="2:10">
      <c r="B32" s="3897" t="s">
        <v>979</v>
      </c>
      <c r="C32" s="3907"/>
      <c r="E32" s="3900" t="str">
        <f t="shared" si="3"/>
        <v>Penerimaan - JUN</v>
      </c>
      <c r="F32" s="3901"/>
      <c r="G32" s="3902">
        <v>0</v>
      </c>
      <c r="H32" s="3902">
        <v>0</v>
      </c>
      <c r="I32" s="3912">
        <f t="shared" si="4"/>
        <v>0</v>
      </c>
      <c r="J32" s="3922"/>
    </row>
    <row r="33" spans="2:10">
      <c r="B33" s="3897" t="s">
        <v>980</v>
      </c>
      <c r="C33" s="3907"/>
      <c r="E33" s="3900" t="str">
        <f t="shared" si="3"/>
        <v>Penerimaan - JUL</v>
      </c>
      <c r="F33" s="3901"/>
      <c r="G33" s="3902">
        <v>0</v>
      </c>
      <c r="H33" s="3902">
        <v>0</v>
      </c>
      <c r="I33" s="3912">
        <f t="shared" si="4"/>
        <v>0</v>
      </c>
      <c r="J33" s="3922"/>
    </row>
    <row r="34" spans="2:10">
      <c r="B34" s="3897" t="s">
        <v>981</v>
      </c>
      <c r="C34" s="3907"/>
      <c r="E34" s="3900" t="str">
        <f t="shared" si="3"/>
        <v>Penerimaan - AUG</v>
      </c>
      <c r="F34" s="3901"/>
      <c r="G34" s="3902">
        <v>0</v>
      </c>
      <c r="H34" s="3902">
        <v>0</v>
      </c>
      <c r="I34" s="3912">
        <f t="shared" si="4"/>
        <v>0</v>
      </c>
      <c r="J34" s="3922"/>
    </row>
    <row r="35" spans="2:10">
      <c r="B35" s="3897" t="s">
        <v>982</v>
      </c>
      <c r="C35" s="3907"/>
      <c r="E35" s="3900" t="str">
        <f t="shared" si="3"/>
        <v>Penerimaan - SEP</v>
      </c>
      <c r="F35" s="3901"/>
      <c r="G35" s="3902">
        <v>0</v>
      </c>
      <c r="H35" s="3902">
        <v>0</v>
      </c>
      <c r="I35" s="3912">
        <f t="shared" si="4"/>
        <v>0</v>
      </c>
      <c r="J35" s="3922"/>
    </row>
    <row r="36" spans="2:10">
      <c r="B36" s="3897" t="s">
        <v>983</v>
      </c>
      <c r="C36" s="3907"/>
      <c r="E36" s="3900" t="str">
        <f t="shared" si="3"/>
        <v>Penerimaan - OCT</v>
      </c>
      <c r="F36" s="3901"/>
      <c r="G36" s="3902">
        <v>0</v>
      </c>
      <c r="H36" s="3902">
        <v>0</v>
      </c>
      <c r="I36" s="3912">
        <f t="shared" si="4"/>
        <v>0</v>
      </c>
      <c r="J36" s="3922"/>
    </row>
    <row r="37" spans="2:10">
      <c r="B37" s="3908"/>
      <c r="C37" s="3907"/>
      <c r="E37" s="3900"/>
      <c r="F37" s="3901"/>
      <c r="G37" s="3903"/>
      <c r="H37" s="3904"/>
      <c r="I37" s="3923"/>
      <c r="J37" s="3922"/>
    </row>
    <row r="38" spans="2:9">
      <c r="B38" s="3898" t="s">
        <v>986</v>
      </c>
      <c r="C38" s="3898"/>
      <c r="D38" s="3898"/>
      <c r="F38" s="3901"/>
      <c r="G38" s="3905">
        <f t="shared" ref="G38" si="5">SUM(G25:G37)</f>
        <v>0</v>
      </c>
      <c r="H38" s="3905">
        <f t="shared" ref="H38:I38" si="6">SUM(H25:H37)</f>
        <v>0</v>
      </c>
      <c r="I38" s="3905">
        <f t="shared" si="6"/>
        <v>0</v>
      </c>
    </row>
    <row r="39" spans="2:9">
      <c r="B39" s="3898"/>
      <c r="C39" s="3898"/>
      <c r="D39" s="3898"/>
      <c r="F39" s="3901"/>
      <c r="G39" s="3896"/>
      <c r="I39" s="3912"/>
    </row>
    <row r="40" spans="2:12">
      <c r="B40" s="3909" t="s">
        <v>987</v>
      </c>
      <c r="C40" s="3909"/>
      <c r="D40" s="3898"/>
      <c r="E40" s="3901"/>
      <c r="F40" s="3901"/>
      <c r="G40" s="3896"/>
      <c r="H40" s="3906"/>
      <c r="L40" s="3906"/>
    </row>
    <row r="41" spans="2:8">
      <c r="B41" s="3909" t="s">
        <v>988</v>
      </c>
      <c r="C41" s="3909"/>
      <c r="D41" s="3898"/>
      <c r="E41" s="3901"/>
      <c r="F41" s="3901"/>
      <c r="G41" s="3896"/>
      <c r="H41" s="3906"/>
    </row>
    <row r="42" spans="2:9">
      <c r="B42" s="3909"/>
      <c r="C42" s="3909"/>
      <c r="D42" s="3898"/>
      <c r="E42" s="3901"/>
      <c r="F42" s="3901"/>
      <c r="G42" s="3896"/>
      <c r="H42" s="3906"/>
      <c r="I42" s="3905"/>
    </row>
    <row r="43" ht="13.95" spans="2:11">
      <c r="B43" s="3883" t="s">
        <v>989</v>
      </c>
      <c r="C43" s="3883"/>
      <c r="D43" s="3898"/>
      <c r="E43" s="3901"/>
      <c r="F43" s="3901"/>
      <c r="G43" s="3910">
        <f t="shared" ref="G43:I43" si="7">G10+G24+G38+G41</f>
        <v>0</v>
      </c>
      <c r="H43" s="3910">
        <f t="shared" si="7"/>
        <v>0</v>
      </c>
      <c r="I43" s="3910">
        <f t="shared" si="7"/>
        <v>1000</v>
      </c>
      <c r="J43" s="3926"/>
      <c r="K43" s="3927" t="s">
        <v>990</v>
      </c>
    </row>
    <row r="44" ht="13.95" spans="2:10">
      <c r="B44" s="3909"/>
      <c r="C44" s="3909"/>
      <c r="D44" s="3898"/>
      <c r="E44" s="3901"/>
      <c r="F44" s="3901"/>
      <c r="G44" s="3896">
        <f>+A!L18</f>
        <v>1635000</v>
      </c>
      <c r="H44" s="3906">
        <f>+A!R18</f>
        <v>22220000</v>
      </c>
      <c r="I44" s="3912">
        <f>+A!S18</f>
        <v>15205799.85725</v>
      </c>
      <c r="J44" s="3928"/>
    </row>
    <row r="45" spans="2:10">
      <c r="B45" s="3907" t="s">
        <v>991</v>
      </c>
      <c r="C45" s="3907"/>
      <c r="J45" s="3928"/>
    </row>
    <row r="46" spans="2:3">
      <c r="B46" s="3907"/>
      <c r="C46" s="3907"/>
    </row>
    <row r="47" spans="2:5">
      <c r="B47" s="3911" t="s">
        <v>992</v>
      </c>
      <c r="C47" s="3907"/>
      <c r="E47" s="3912"/>
    </row>
    <row r="48" spans="2:5">
      <c r="B48" s="3911" t="s">
        <v>993</v>
      </c>
      <c r="C48" s="3907"/>
      <c r="E48" s="3912"/>
    </row>
    <row r="49" spans="2:5">
      <c r="B49" s="3911"/>
      <c r="C49" s="3907"/>
      <c r="E49" s="3912"/>
    </row>
    <row r="50" spans="2:5">
      <c r="B50" s="3911"/>
      <c r="C50" s="3907"/>
      <c r="E50" s="3912"/>
    </row>
    <row r="51" spans="2:5">
      <c r="B51" s="3911"/>
      <c r="C51" s="3907"/>
      <c r="E51" s="3912"/>
    </row>
    <row r="52" spans="2:5">
      <c r="B52" s="3911"/>
      <c r="C52" s="3907"/>
      <c r="E52" s="3912"/>
    </row>
    <row r="53" spans="2:3">
      <c r="B53" s="3907"/>
      <c r="C53" s="3907"/>
    </row>
    <row r="54" spans="2:3">
      <c r="B54" s="3907"/>
      <c r="C54" s="3907"/>
    </row>
    <row r="55" spans="6:7">
      <c r="F55" s="3913"/>
      <c r="G55" s="3896"/>
    </row>
    <row r="56" spans="6:7">
      <c r="F56" s="3913"/>
      <c r="G56" s="3896"/>
    </row>
    <row r="57" spans="6:7">
      <c r="F57" s="3913"/>
      <c r="G57" s="3896"/>
    </row>
    <row r="58" spans="6:6">
      <c r="F58" s="3914"/>
    </row>
    <row r="59" spans="6:6">
      <c r="F59" s="3914"/>
    </row>
    <row r="60" spans="6:6">
      <c r="F60" s="3914"/>
    </row>
    <row r="61" spans="6:6">
      <c r="F61" s="3914"/>
    </row>
    <row r="62" spans="6:6">
      <c r="F62" s="3914"/>
    </row>
    <row r="63" spans="6:6">
      <c r="F63" s="3914"/>
    </row>
    <row r="64" spans="6:6">
      <c r="F64" s="3914"/>
    </row>
    <row r="65" spans="6:6">
      <c r="F65" s="3914"/>
    </row>
    <row r="66" spans="6:6">
      <c r="F66" s="3914"/>
    </row>
    <row r="67" spans="6:6">
      <c r="F67" s="3914"/>
    </row>
    <row r="68" spans="6:6">
      <c r="F68" s="3914"/>
    </row>
    <row r="69" spans="6:6">
      <c r="F69" s="3914"/>
    </row>
    <row r="70" spans="6:6">
      <c r="F70" s="3914"/>
    </row>
    <row r="71" spans="6:6">
      <c r="F71" s="3914"/>
    </row>
    <row r="72" spans="6:6">
      <c r="F72" s="3914"/>
    </row>
    <row r="73" spans="6:6">
      <c r="F73" s="3914"/>
    </row>
    <row r="74" spans="6:6">
      <c r="F74" s="3914"/>
    </row>
  </sheetData>
  <mergeCells count="2">
    <mergeCell ref="B24:D24"/>
    <mergeCell ref="B38:D38"/>
  </mergeCells>
  <printOptions horizontalCentered="1"/>
  <pageMargins left="0.5" right="0.5" top="1" bottom="0.75" header="0.5" footer="0.5"/>
  <pageSetup paperSize="9" scale="80" orientation="landscape"/>
  <headerFooter alignWithMargins="0"/>
  <rowBreaks count="1" manualBreakCount="1">
    <brk id="44" max="16383" man="1"/>
  </rowBreak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2:R95"/>
  <sheetViews>
    <sheetView zoomScale="115" zoomScaleNormal="115" workbookViewId="0">
      <pane xSplit="3" ySplit="10" topLeftCell="D11" activePane="bottomRight" state="frozen"/>
      <selection/>
      <selection pane="topRight"/>
      <selection pane="bottomLeft"/>
      <selection pane="bottomRight" activeCell="E37" sqref="E37"/>
    </sheetView>
  </sheetViews>
  <sheetFormatPr defaultColWidth="9.13541666666667" defaultRowHeight="13.2"/>
  <cols>
    <col min="1" max="1" width="2.84375" style="101" customWidth="1"/>
    <col min="2" max="2" width="8.39583333333333" style="100" customWidth="1"/>
    <col min="3" max="3" width="32.3645833333333" style="101" customWidth="1"/>
    <col min="4" max="4" width="5.6875" style="102" customWidth="1"/>
    <col min="5" max="5" width="9.73958333333333" style="3827" customWidth="1"/>
    <col min="6" max="6" width="15.1354166666667" style="3827" customWidth="1"/>
    <col min="7" max="7" width="17.8333333333333" style="101" customWidth="1"/>
    <col min="8" max="8" width="9.13541666666667" style="101" customWidth="1"/>
    <col min="9" max="9" width="16.3333333333333" style="101" customWidth="1"/>
    <col min="10" max="11" width="16.78125" style="1806" customWidth="1"/>
    <col min="12" max="12" width="15.4270833333333" style="101" customWidth="1"/>
    <col min="13" max="13" width="15.1354166666667" style="101" customWidth="1"/>
    <col min="14" max="14" width="9.73958333333333" style="102" customWidth="1"/>
    <col min="15" max="15" width="13.9375" style="101" customWidth="1"/>
    <col min="16" max="16" width="15.7291666666667" style="101" customWidth="1"/>
    <col min="17" max="16384" width="9.13541666666667" style="101"/>
  </cols>
  <sheetData>
    <row r="2" ht="21" spans="2:16">
      <c r="B2" s="1499" t="str">
        <f>'F2'!B2</f>
        <v>KAP LIASTA NIRWAN SYAFRUDIN &amp; REKAN</v>
      </c>
      <c r="C2" s="731"/>
      <c r="D2" s="731"/>
      <c r="E2" s="731"/>
      <c r="F2" s="731"/>
      <c r="G2" s="731"/>
      <c r="H2" s="731"/>
      <c r="I2" s="731"/>
      <c r="J2" s="731"/>
      <c r="K2" s="731"/>
      <c r="L2" s="731"/>
      <c r="M2" s="731" t="s">
        <v>481</v>
      </c>
      <c r="N2" s="1923"/>
      <c r="O2" s="765" t="s">
        <v>482</v>
      </c>
      <c r="P2" s="766" t="s">
        <v>483</v>
      </c>
    </row>
    <row r="3" ht="15.6" spans="2:16">
      <c r="B3" s="1500"/>
      <c r="C3" s="1501"/>
      <c r="D3" s="1502"/>
      <c r="E3" s="3828"/>
      <c r="F3" s="3828"/>
      <c r="G3" s="2630"/>
      <c r="H3" s="2630"/>
      <c r="I3" s="2630"/>
      <c r="J3" s="2630"/>
      <c r="K3" s="2630"/>
      <c r="L3" s="2630"/>
      <c r="M3" s="2630"/>
      <c r="N3" s="738"/>
      <c r="O3" s="767"/>
      <c r="P3" s="768" t="s">
        <v>994</v>
      </c>
    </row>
    <row r="4" spans="2:16">
      <c r="B4" s="3829" t="s">
        <v>622</v>
      </c>
      <c r="C4" s="3830" t="str">
        <f>'F1'!C4</f>
        <v>PT INTAN GIRI ABADI</v>
      </c>
      <c r="D4" s="1548"/>
      <c r="E4" s="1548"/>
      <c r="F4" s="1548"/>
      <c r="G4" s="1548"/>
      <c r="H4" s="1548"/>
      <c r="I4" s="1548"/>
      <c r="J4" s="1548"/>
      <c r="K4" s="1548"/>
      <c r="L4" s="1548"/>
      <c r="M4" s="742" t="s">
        <v>487</v>
      </c>
      <c r="N4" s="742"/>
      <c r="O4" s="769" t="s">
        <v>482</v>
      </c>
      <c r="P4" s="770" t="s">
        <v>488</v>
      </c>
    </row>
    <row r="5" spans="2:16">
      <c r="B5" s="775"/>
      <c r="C5" s="753"/>
      <c r="D5" s="753"/>
      <c r="E5" s="753"/>
      <c r="F5" s="753"/>
      <c r="G5" s="753"/>
      <c r="H5" s="753"/>
      <c r="I5" s="753"/>
      <c r="J5" s="753"/>
      <c r="K5" s="753"/>
      <c r="L5" s="753"/>
      <c r="M5" s="753"/>
      <c r="N5" s="1592"/>
      <c r="O5" s="771"/>
      <c r="P5" s="771"/>
    </row>
    <row r="6" spans="2:16">
      <c r="B6" s="773"/>
      <c r="C6" s="742"/>
      <c r="D6" s="742"/>
      <c r="E6" s="742"/>
      <c r="F6" s="742"/>
      <c r="G6" s="742"/>
      <c r="H6" s="742"/>
      <c r="I6" s="742"/>
      <c r="J6" s="742"/>
      <c r="K6" s="742"/>
      <c r="L6" s="742"/>
      <c r="M6" s="742"/>
      <c r="N6" s="742"/>
      <c r="O6" s="773"/>
      <c r="P6" s="774" t="s">
        <v>491</v>
      </c>
    </row>
    <row r="7" spans="2:16">
      <c r="B7" s="1549" t="s">
        <v>623</v>
      </c>
      <c r="C7" s="1550" t="s">
        <v>995</v>
      </c>
      <c r="D7" s="753"/>
      <c r="E7" s="753"/>
      <c r="F7" s="753"/>
      <c r="G7" s="753"/>
      <c r="H7" s="753"/>
      <c r="I7" s="753"/>
      <c r="J7" s="753"/>
      <c r="K7" s="753"/>
      <c r="L7" s="753"/>
      <c r="M7" s="753"/>
      <c r="N7" s="753"/>
      <c r="O7" s="775"/>
      <c r="P7" s="776">
        <f>+'F1'!X7</f>
        <v>44926</v>
      </c>
    </row>
    <row r="9" s="100" customFormat="1" ht="12.95" customHeight="1" spans="2:18">
      <c r="B9" s="3831" t="s">
        <v>492</v>
      </c>
      <c r="C9" s="3832"/>
      <c r="D9" s="2017" t="s">
        <v>654</v>
      </c>
      <c r="E9" s="5040" t="s">
        <v>996</v>
      </c>
      <c r="F9" s="3834"/>
      <c r="G9" s="3835"/>
      <c r="H9" s="3833" t="s">
        <v>997</v>
      </c>
      <c r="I9" s="3834"/>
      <c r="J9" s="3835"/>
      <c r="K9" s="5041" t="s">
        <v>998</v>
      </c>
      <c r="L9" s="3853"/>
      <c r="M9" s="3854" t="s">
        <v>492</v>
      </c>
      <c r="N9" s="3854" t="s">
        <v>999</v>
      </c>
      <c r="O9" s="3854" t="s">
        <v>1000</v>
      </c>
      <c r="P9" s="3855" t="s">
        <v>1001</v>
      </c>
      <c r="R9" s="3854" t="s">
        <v>1002</v>
      </c>
    </row>
    <row r="10" s="100" customFormat="1" ht="13.95" spans="2:18">
      <c r="B10" s="3836"/>
      <c r="C10" s="3837"/>
      <c r="D10" s="1972" t="s">
        <v>812</v>
      </c>
      <c r="E10" s="3838"/>
      <c r="F10" s="5042" t="s">
        <v>451</v>
      </c>
      <c r="G10" s="5043" t="s">
        <v>452</v>
      </c>
      <c r="H10" s="3840"/>
      <c r="I10" s="5042" t="s">
        <v>451</v>
      </c>
      <c r="J10" s="5043" t="s">
        <v>452</v>
      </c>
      <c r="K10" s="5042" t="s">
        <v>451</v>
      </c>
      <c r="L10" s="5043" t="s">
        <v>452</v>
      </c>
      <c r="M10" s="3856"/>
      <c r="N10" s="3857"/>
      <c r="O10" s="3857"/>
      <c r="P10" s="3858"/>
      <c r="R10" s="3857"/>
    </row>
    <row r="11" spans="2:16">
      <c r="B11" s="3775"/>
      <c r="D11" s="131"/>
      <c r="E11" s="2205"/>
      <c r="F11" s="2205"/>
      <c r="G11" s="3841"/>
      <c r="H11" s="3842"/>
      <c r="I11" s="3859"/>
      <c r="J11" s="140"/>
      <c r="K11" s="139"/>
      <c r="L11" s="2201"/>
      <c r="M11" s="3860"/>
      <c r="N11" s="131"/>
      <c r="O11" s="3861"/>
      <c r="P11" s="2233"/>
    </row>
    <row r="12" spans="2:16">
      <c r="B12" s="3775" t="s">
        <v>1003</v>
      </c>
      <c r="D12" s="131"/>
      <c r="E12" s="2205"/>
      <c r="F12" s="2205"/>
      <c r="G12" s="3842"/>
      <c r="H12" s="3843"/>
      <c r="I12" s="3842"/>
      <c r="J12" s="140"/>
      <c r="K12" s="139"/>
      <c r="L12" s="2201"/>
      <c r="M12" s="3862"/>
      <c r="N12" s="131"/>
      <c r="O12" s="3861"/>
      <c r="P12" s="191"/>
    </row>
    <row r="13" spans="2:16">
      <c r="B13" s="3775"/>
      <c r="C13" s="101" t="str">
        <f>+A!C21</f>
        <v>USD - Mandiri # 1270006446437</v>
      </c>
      <c r="D13" s="131"/>
      <c r="E13" s="2205"/>
      <c r="F13" s="3844">
        <f>+A!G21</f>
        <v>6373414.65</v>
      </c>
      <c r="G13" s="140">
        <f>+A!M21</f>
        <v>5948320.11435</v>
      </c>
      <c r="H13" s="3843"/>
      <c r="I13" s="140">
        <f>+'a2'!I9</f>
        <v>6307172.625</v>
      </c>
      <c r="J13" s="297">
        <f>+'a2'!I30</f>
        <v>5946650.55</v>
      </c>
      <c r="K13" s="140">
        <f t="shared" ref="K13:L15" si="0">F13-I13</f>
        <v>66242.0249999994</v>
      </c>
      <c r="L13" s="140">
        <f t="shared" si="0"/>
        <v>1669.56435000058</v>
      </c>
      <c r="M13" s="3862"/>
      <c r="N13" s="131" t="s">
        <v>1004</v>
      </c>
      <c r="O13" s="3861">
        <v>45199</v>
      </c>
      <c r="P13" s="3861">
        <f>+O13+12</f>
        <v>45211</v>
      </c>
    </row>
    <row r="14" spans="2:16">
      <c r="B14" s="3775"/>
      <c r="C14" s="101" t="str">
        <f>+A!C22</f>
        <v>IDR - Mandiri # 1270006361602</v>
      </c>
      <c r="D14" s="131"/>
      <c r="E14" s="2205"/>
      <c r="F14" s="2205">
        <f>+A!G22</f>
        <v>1484994.14999997</v>
      </c>
      <c r="G14" s="140">
        <f>+A!M22</f>
        <v>2237674.80000002</v>
      </c>
      <c r="H14" s="3843"/>
      <c r="I14" s="140">
        <v>1484994.14999997</v>
      </c>
      <c r="J14" s="297">
        <v>2237674.80000002</v>
      </c>
      <c r="K14" s="140">
        <f t="shared" si="0"/>
        <v>0</v>
      </c>
      <c r="L14" s="140">
        <f t="shared" si="0"/>
        <v>0</v>
      </c>
      <c r="M14" s="3862"/>
      <c r="N14" s="131" t="s">
        <v>1005</v>
      </c>
      <c r="O14" s="3861">
        <v>45199</v>
      </c>
      <c r="P14" s="3861">
        <f>+O14+12</f>
        <v>45211</v>
      </c>
    </row>
    <row r="15" spans="2:16">
      <c r="B15" s="3775"/>
      <c r="C15" s="101" t="str">
        <f>+A!C23</f>
        <v>IDR - Mandiri Giro # 127000630778</v>
      </c>
      <c r="D15" s="131"/>
      <c r="E15" s="2205"/>
      <c r="F15" s="2205">
        <f>+A!G23</f>
        <v>186734445.23</v>
      </c>
      <c r="G15" s="140">
        <f>+A!M23</f>
        <v>88855543.7299999</v>
      </c>
      <c r="H15" s="3843"/>
      <c r="I15" s="140">
        <v>186734445.23</v>
      </c>
      <c r="J15" s="297">
        <v>88855543.7299999</v>
      </c>
      <c r="K15" s="140">
        <f t="shared" si="0"/>
        <v>0</v>
      </c>
      <c r="L15" s="140">
        <f t="shared" si="0"/>
        <v>0</v>
      </c>
      <c r="M15" s="3862"/>
      <c r="N15" s="131" t="s">
        <v>1006</v>
      </c>
      <c r="O15" s="3861">
        <v>45199</v>
      </c>
      <c r="P15" s="3861">
        <f>+O15+12</f>
        <v>45211</v>
      </c>
    </row>
    <row r="16" hidden="1" spans="2:16">
      <c r="B16" s="3775"/>
      <c r="C16" s="101" t="str">
        <f>+A!C24</f>
        <v>IDR - Mandiri Esc # 1270011831268</v>
      </c>
      <c r="D16" s="131"/>
      <c r="E16" s="2205"/>
      <c r="F16" s="2205"/>
      <c r="G16" s="140"/>
      <c r="H16" s="3843"/>
      <c r="I16" s="140"/>
      <c r="J16" s="297"/>
      <c r="K16" s="140"/>
      <c r="L16" s="140"/>
      <c r="M16" s="3862"/>
      <c r="N16" s="131"/>
      <c r="O16" s="3861"/>
      <c r="P16" s="3861"/>
    </row>
    <row r="17" spans="2:16">
      <c r="B17" s="3775"/>
      <c r="C17" s="101" t="str">
        <f>+A!C25</f>
        <v>IDR - BNI # 8338445199</v>
      </c>
      <c r="D17" s="131"/>
      <c r="E17" s="2205"/>
      <c r="F17" s="2205">
        <f>+A!G25</f>
        <v>1605698</v>
      </c>
      <c r="G17" s="140">
        <f>+A!M25</f>
        <v>167272838</v>
      </c>
      <c r="H17" s="3843"/>
      <c r="I17" s="140">
        <v>1605698</v>
      </c>
      <c r="J17" s="297">
        <v>167272838</v>
      </c>
      <c r="K17" s="140">
        <f>F17-I17</f>
        <v>0</v>
      </c>
      <c r="L17" s="140">
        <f>G17-J17</f>
        <v>0</v>
      </c>
      <c r="M17" s="3862"/>
      <c r="N17" s="131" t="s">
        <v>1007</v>
      </c>
      <c r="O17" s="3861">
        <v>45199</v>
      </c>
      <c r="P17" s="3861">
        <f>+O17+12</f>
        <v>45211</v>
      </c>
    </row>
    <row r="18" spans="2:16">
      <c r="B18" s="3775"/>
      <c r="C18" s="101" t="str">
        <f>+A!C26</f>
        <v>IDR - BRI # 042501000903309</v>
      </c>
      <c r="D18" s="131"/>
      <c r="E18" s="2205"/>
      <c r="F18" s="2205">
        <f>+A!G26</f>
        <v>5863163</v>
      </c>
      <c r="G18" s="140">
        <f>+A!M26</f>
        <v>9153453</v>
      </c>
      <c r="H18" s="3843"/>
      <c r="I18" s="140">
        <v>5863163</v>
      </c>
      <c r="J18" s="297">
        <v>9153453</v>
      </c>
      <c r="K18" s="140">
        <f>F18-I18</f>
        <v>0</v>
      </c>
      <c r="L18" s="140">
        <f>G18-J18</f>
        <v>0</v>
      </c>
      <c r="M18" s="3862"/>
      <c r="N18" s="131" t="s">
        <v>1008</v>
      </c>
      <c r="O18" s="3861">
        <v>45199</v>
      </c>
      <c r="P18" s="3861">
        <f>+O18+12</f>
        <v>45211</v>
      </c>
    </row>
    <row r="19" spans="2:16">
      <c r="B19" s="3775"/>
      <c r="D19" s="131"/>
      <c r="E19" s="2205"/>
      <c r="F19" s="2205"/>
      <c r="G19" s="3842"/>
      <c r="H19" s="3843"/>
      <c r="I19" s="140"/>
      <c r="J19" s="140"/>
      <c r="K19" s="139"/>
      <c r="L19" s="2201"/>
      <c r="M19" s="3862"/>
      <c r="N19" s="131"/>
      <c r="O19" s="3861"/>
      <c r="P19" s="3861"/>
    </row>
    <row r="20" spans="2:16">
      <c r="B20" s="3775"/>
      <c r="D20" s="131"/>
      <c r="E20" s="2205"/>
      <c r="F20" s="2205"/>
      <c r="G20" s="3842"/>
      <c r="H20" s="3843"/>
      <c r="I20" s="140"/>
      <c r="J20" s="140"/>
      <c r="K20" s="139"/>
      <c r="L20" s="2201"/>
      <c r="M20" s="3862"/>
      <c r="N20" s="131"/>
      <c r="O20" s="3861"/>
      <c r="P20" s="3861"/>
    </row>
    <row r="21" ht="13.95" spans="2:16">
      <c r="B21" s="3775" t="s">
        <v>1009</v>
      </c>
      <c r="D21" s="131"/>
      <c r="E21" s="3838"/>
      <c r="F21" s="5042" t="s">
        <v>451</v>
      </c>
      <c r="G21" s="5043" t="s">
        <v>452</v>
      </c>
      <c r="H21" s="3843"/>
      <c r="I21" s="5042" t="s">
        <v>451</v>
      </c>
      <c r="J21" s="5043" t="s">
        <v>452</v>
      </c>
      <c r="K21" s="2201"/>
      <c r="L21" s="2201"/>
      <c r="M21" s="3862"/>
      <c r="N21" s="131"/>
      <c r="O21" s="3861"/>
      <c r="P21" s="3861"/>
    </row>
    <row r="22" spans="2:16">
      <c r="B22" s="3845">
        <v>1</v>
      </c>
      <c r="C22" t="str">
        <f>+B!C15</f>
        <v>Pratama Energy Mandiri (PEM), PT </v>
      </c>
      <c r="D22" s="131"/>
      <c r="E22" s="131"/>
      <c r="F22" s="2205">
        <f>+B!F15</f>
        <v>1328060000</v>
      </c>
      <c r="G22" s="2205">
        <f>+B!L15</f>
        <v>0</v>
      </c>
      <c r="H22" s="131"/>
      <c r="I22" s="140">
        <v>1328060000</v>
      </c>
      <c r="J22" s="131">
        <v>0</v>
      </c>
      <c r="K22" s="140">
        <f t="shared" ref="K22:L26" si="1">F22-I22</f>
        <v>0</v>
      </c>
      <c r="L22" s="140">
        <f t="shared" si="1"/>
        <v>0</v>
      </c>
      <c r="M22" s="3862"/>
      <c r="N22" s="132"/>
      <c r="O22" s="3861"/>
      <c r="P22" s="3861"/>
    </row>
    <row r="23" spans="2:16">
      <c r="B23" s="3845">
        <f>+B22+1</f>
        <v>2</v>
      </c>
      <c r="C23" t="str">
        <f>+B!C17</f>
        <v>Patra Logistic PT. </v>
      </c>
      <c r="D23" s="131"/>
      <c r="E23" s="139"/>
      <c r="F23" s="2205">
        <f>+B!F17</f>
        <v>292120000</v>
      </c>
      <c r="G23" s="2205">
        <f>+B!L17</f>
        <v>874768500</v>
      </c>
      <c r="H23" s="3843"/>
      <c r="I23" s="140">
        <v>292120000</v>
      </c>
      <c r="J23" s="140">
        <v>874768500</v>
      </c>
      <c r="K23" s="140">
        <f t="shared" si="1"/>
        <v>0</v>
      </c>
      <c r="L23" s="140">
        <f t="shared" si="1"/>
        <v>0</v>
      </c>
      <c r="M23" s="3862"/>
      <c r="N23" s="3863"/>
      <c r="O23" s="3861">
        <f>+O13</f>
        <v>45199</v>
      </c>
      <c r="P23" s="3861">
        <f>+O23+5</f>
        <v>45204</v>
      </c>
    </row>
    <row r="24" spans="2:16">
      <c r="B24" s="3845">
        <f>+B23+1</f>
        <v>3</v>
      </c>
      <c r="C24" t="str">
        <f>+B!C18</f>
        <v>Global Multiteknik Sejahtera PT</v>
      </c>
      <c r="D24" s="131"/>
      <c r="E24" s="139"/>
      <c r="F24" s="2205">
        <f>+B!F18</f>
        <v>54000000</v>
      </c>
      <c r="G24" s="2205">
        <f>+B!L18</f>
        <v>127000000</v>
      </c>
      <c r="H24" s="3843"/>
      <c r="I24" s="140">
        <v>54000000</v>
      </c>
      <c r="J24" s="140">
        <v>127000000</v>
      </c>
      <c r="K24" s="140">
        <f t="shared" si="1"/>
        <v>0</v>
      </c>
      <c r="L24" s="140">
        <f t="shared" si="1"/>
        <v>0</v>
      </c>
      <c r="M24" s="3862"/>
      <c r="N24" s="3863"/>
      <c r="O24" s="3861">
        <f>+O23</f>
        <v>45199</v>
      </c>
      <c r="P24" s="3861">
        <f>+O24+5</f>
        <v>45204</v>
      </c>
    </row>
    <row r="25" spans="2:16">
      <c r="B25" s="3845">
        <f t="shared" ref="B25:B35" si="2">+B24+1</f>
        <v>4</v>
      </c>
      <c r="C25" t="str">
        <f>+B!C21</f>
        <v>Dharmawangsa Raya Hotel</v>
      </c>
      <c r="D25" s="131"/>
      <c r="E25" s="139"/>
      <c r="F25" s="2205">
        <f>+B!F21</f>
        <v>0</v>
      </c>
      <c r="G25" s="2205">
        <f>+B!L21</f>
        <v>85499964</v>
      </c>
      <c r="H25" s="3843"/>
      <c r="I25" s="140">
        <v>0</v>
      </c>
      <c r="J25" s="140">
        <v>85499964</v>
      </c>
      <c r="K25" s="140">
        <f t="shared" si="1"/>
        <v>0</v>
      </c>
      <c r="L25" s="140">
        <f t="shared" si="1"/>
        <v>0</v>
      </c>
      <c r="M25" s="3862"/>
      <c r="N25" s="131"/>
      <c r="O25" s="3861">
        <f t="shared" ref="O25:O33" si="3">+O24</f>
        <v>45199</v>
      </c>
      <c r="P25" s="3861">
        <f>+O25+5</f>
        <v>45204</v>
      </c>
    </row>
    <row r="26" spans="2:16">
      <c r="B26" s="3845">
        <f t="shared" si="2"/>
        <v>5</v>
      </c>
      <c r="C26" t="e">
        <f>+B!#REF!</f>
        <v>#REF!</v>
      </c>
      <c r="D26" s="131"/>
      <c r="E26" s="139"/>
      <c r="F26" s="2205">
        <f>+B!F22</f>
        <v>0</v>
      </c>
      <c r="G26" s="2205">
        <f>+B!L22</f>
        <v>61121056.7747904</v>
      </c>
      <c r="H26" s="3843"/>
      <c r="I26" s="140">
        <v>0</v>
      </c>
      <c r="J26" s="140">
        <v>61121056.7747904</v>
      </c>
      <c r="K26" s="140">
        <f t="shared" si="1"/>
        <v>0</v>
      </c>
      <c r="L26" s="140">
        <f t="shared" si="1"/>
        <v>0</v>
      </c>
      <c r="M26" s="3862"/>
      <c r="N26" s="135"/>
      <c r="O26" s="3861">
        <f t="shared" si="3"/>
        <v>45199</v>
      </c>
      <c r="P26" s="3861">
        <f>+O26+5</f>
        <v>45204</v>
      </c>
    </row>
    <row r="27" spans="2:16">
      <c r="B27" s="3845">
        <f t="shared" si="2"/>
        <v>6</v>
      </c>
      <c r="C27" t="str">
        <f>+B!C20</f>
        <v>Grahaniaga Tatautama PT</v>
      </c>
      <c r="D27" s="131"/>
      <c r="E27" s="139"/>
      <c r="F27" s="2205">
        <f>+B!F20</f>
        <v>48164820</v>
      </c>
      <c r="G27" s="2205">
        <f>+B!L20</f>
        <v>48335950</v>
      </c>
      <c r="H27" s="2205"/>
      <c r="I27" s="140">
        <v>48164820</v>
      </c>
      <c r="J27" s="140">
        <v>48335950</v>
      </c>
      <c r="K27" s="140">
        <f t="shared" ref="K27:L35" si="4">F27-I27</f>
        <v>0</v>
      </c>
      <c r="L27" s="140">
        <f t="shared" si="4"/>
        <v>0</v>
      </c>
      <c r="M27" s="3862"/>
      <c r="N27" s="135"/>
      <c r="O27" s="3861">
        <f t="shared" si="3"/>
        <v>45199</v>
      </c>
      <c r="P27" s="3861">
        <f t="shared" ref="P27:P33" si="5">+O27+5</f>
        <v>45204</v>
      </c>
    </row>
    <row r="28" spans="2:16">
      <c r="B28" s="3845">
        <f t="shared" si="2"/>
        <v>7</v>
      </c>
      <c r="C28" t="str">
        <f>+B!C23</f>
        <v>Para Amartha Gasindo PT</v>
      </c>
      <c r="D28" s="131"/>
      <c r="E28" s="139"/>
      <c r="F28" s="2205">
        <f>+B!F23</f>
        <v>0</v>
      </c>
      <c r="G28" s="2205">
        <f>+B!L23</f>
        <v>8852624.5</v>
      </c>
      <c r="H28" s="2205"/>
      <c r="I28" s="140">
        <v>0</v>
      </c>
      <c r="J28" s="140">
        <v>8852624.5</v>
      </c>
      <c r="K28" s="140">
        <f t="shared" si="4"/>
        <v>0</v>
      </c>
      <c r="L28" s="140">
        <f t="shared" si="4"/>
        <v>0</v>
      </c>
      <c r="M28" s="3862"/>
      <c r="N28" s="135"/>
      <c r="O28" s="3861">
        <f t="shared" si="3"/>
        <v>45199</v>
      </c>
      <c r="P28" s="3861">
        <f t="shared" si="5"/>
        <v>45204</v>
      </c>
    </row>
    <row r="29" spans="2:16">
      <c r="B29" s="3845">
        <f t="shared" si="2"/>
        <v>8</v>
      </c>
      <c r="C29" t="str">
        <f>+B!C24</f>
        <v>Mitra Energi Buana PT </v>
      </c>
      <c r="D29" s="131"/>
      <c r="E29" s="139"/>
      <c r="F29" s="2205">
        <f>+B!F24</f>
        <v>0</v>
      </c>
      <c r="G29" s="2205">
        <f>+B!L24</f>
        <v>0</v>
      </c>
      <c r="H29" s="2205"/>
      <c r="I29" s="140">
        <v>0</v>
      </c>
      <c r="J29" s="140">
        <v>0</v>
      </c>
      <c r="K29" s="140">
        <f t="shared" si="4"/>
        <v>0</v>
      </c>
      <c r="L29" s="140">
        <f t="shared" si="4"/>
        <v>0</v>
      </c>
      <c r="M29" s="3862"/>
      <c r="N29" s="135"/>
      <c r="O29" s="3861">
        <f t="shared" si="3"/>
        <v>45199</v>
      </c>
      <c r="P29" s="3861">
        <f t="shared" si="5"/>
        <v>45204</v>
      </c>
    </row>
    <row r="30" spans="2:16">
      <c r="B30" s="3845">
        <f t="shared" si="2"/>
        <v>9</v>
      </c>
      <c r="C30" t="str">
        <f>+B!C25</f>
        <v>Jakarta International Hotels &amp; Development</v>
      </c>
      <c r="D30" s="131"/>
      <c r="E30" s="139"/>
      <c r="F30" s="2205">
        <f>+B!F25</f>
        <v>0</v>
      </c>
      <c r="G30" s="2205">
        <f>+B!L25</f>
        <v>0</v>
      </c>
      <c r="H30" s="2205"/>
      <c r="I30" s="140">
        <v>0</v>
      </c>
      <c r="J30" s="140">
        <v>0</v>
      </c>
      <c r="K30" s="140">
        <f t="shared" si="4"/>
        <v>0</v>
      </c>
      <c r="L30" s="140">
        <f t="shared" si="4"/>
        <v>0</v>
      </c>
      <c r="M30" s="3862"/>
      <c r="N30" s="135"/>
      <c r="O30" s="3861">
        <f t="shared" si="3"/>
        <v>45199</v>
      </c>
      <c r="P30" s="3861">
        <f t="shared" si="5"/>
        <v>45204</v>
      </c>
    </row>
    <row r="31" spans="2:16">
      <c r="B31" s="3845">
        <f t="shared" si="2"/>
        <v>10</v>
      </c>
      <c r="C31" t="str">
        <f>+B!C16</f>
        <v>Central Motor wheel Indonesia PT </v>
      </c>
      <c r="D31" s="131"/>
      <c r="E31" s="139"/>
      <c r="F31" s="2205">
        <f>+B!F16</f>
        <v>346533204.6</v>
      </c>
      <c r="G31" s="2205">
        <f>+B!L16</f>
        <v>0</v>
      </c>
      <c r="H31" s="2205"/>
      <c r="I31" s="140">
        <v>346533204.6</v>
      </c>
      <c r="J31" s="140">
        <v>0</v>
      </c>
      <c r="K31" s="140">
        <f t="shared" si="4"/>
        <v>0</v>
      </c>
      <c r="L31" s="140">
        <f t="shared" si="4"/>
        <v>0</v>
      </c>
      <c r="M31" s="3862"/>
      <c r="N31" s="135"/>
      <c r="O31" s="3861">
        <f t="shared" si="3"/>
        <v>45199</v>
      </c>
      <c r="P31" s="3861">
        <f t="shared" si="5"/>
        <v>45204</v>
      </c>
    </row>
    <row r="32" spans="2:16">
      <c r="B32" s="3845">
        <f t="shared" si="2"/>
        <v>11</v>
      </c>
      <c r="C32" t="str">
        <f>+B!C26</f>
        <v>Dharma Pratama Sejati PT</v>
      </c>
      <c r="D32" s="131"/>
      <c r="E32" s="139"/>
      <c r="F32" s="2205">
        <f>+B!F26</f>
        <v>0</v>
      </c>
      <c r="G32" s="2205">
        <f>+B!L26</f>
        <v>0</v>
      </c>
      <c r="H32" s="2205"/>
      <c r="I32" s="140">
        <v>0</v>
      </c>
      <c r="J32" s="140">
        <v>0</v>
      </c>
      <c r="K32" s="140">
        <f t="shared" si="4"/>
        <v>0</v>
      </c>
      <c r="L32" s="140">
        <f t="shared" si="4"/>
        <v>0</v>
      </c>
      <c r="M32" s="3862"/>
      <c r="N32" s="311"/>
      <c r="O32" s="3861">
        <f t="shared" si="3"/>
        <v>45199</v>
      </c>
      <c r="P32" s="3861">
        <f t="shared" si="5"/>
        <v>45204</v>
      </c>
    </row>
    <row r="33" spans="2:16">
      <c r="B33" s="3845">
        <f t="shared" si="2"/>
        <v>12</v>
      </c>
      <c r="C33" t="str">
        <f>+B!C27</f>
        <v>Surya Gilang Perkasa PT. </v>
      </c>
      <c r="D33" s="131"/>
      <c r="E33" s="139"/>
      <c r="F33" s="2205">
        <f>+B!F27</f>
        <v>0</v>
      </c>
      <c r="G33" s="2205">
        <f>+B!L27</f>
        <v>0</v>
      </c>
      <c r="H33" s="2205"/>
      <c r="I33" s="140">
        <v>0</v>
      </c>
      <c r="J33" s="140">
        <v>0</v>
      </c>
      <c r="K33" s="140">
        <f t="shared" si="4"/>
        <v>0</v>
      </c>
      <c r="L33" s="140">
        <f t="shared" si="4"/>
        <v>0</v>
      </c>
      <c r="M33" s="3862"/>
      <c r="N33" s="311"/>
      <c r="O33" s="3861">
        <f t="shared" si="3"/>
        <v>45199</v>
      </c>
      <c r="P33" s="3861">
        <f t="shared" si="5"/>
        <v>45204</v>
      </c>
    </row>
    <row r="34" spans="2:16">
      <c r="B34" s="3845">
        <f t="shared" si="2"/>
        <v>13</v>
      </c>
      <c r="C34" t="str">
        <f>+B!C28</f>
        <v>Hotel Brobudur</v>
      </c>
      <c r="D34" s="131"/>
      <c r="E34" s="139"/>
      <c r="F34" s="2205">
        <f>+B!F28</f>
        <v>0</v>
      </c>
      <c r="G34" s="2205"/>
      <c r="H34" s="2205"/>
      <c r="I34" s="140">
        <v>0</v>
      </c>
      <c r="J34" s="140">
        <v>0</v>
      </c>
      <c r="K34" s="140">
        <f t="shared" si="4"/>
        <v>0</v>
      </c>
      <c r="L34" s="140">
        <f t="shared" si="4"/>
        <v>0</v>
      </c>
      <c r="M34" s="3862"/>
      <c r="N34" s="136"/>
      <c r="O34" s="3861"/>
      <c r="P34" s="3861"/>
    </row>
    <row r="35" spans="2:16">
      <c r="B35" s="3845">
        <f t="shared" si="2"/>
        <v>14</v>
      </c>
      <c r="C35" t="str">
        <f>+B!C19</f>
        <v>Sari Pan Facipik</v>
      </c>
      <c r="D35" s="131"/>
      <c r="E35" s="139"/>
      <c r="F35" s="2205">
        <f>+B!F19</f>
        <v>50737245.6</v>
      </c>
      <c r="G35" s="2205"/>
      <c r="H35" s="2205"/>
      <c r="I35" s="140">
        <v>50737245.6</v>
      </c>
      <c r="J35" s="140">
        <v>0</v>
      </c>
      <c r="K35" s="140">
        <f t="shared" si="4"/>
        <v>0</v>
      </c>
      <c r="L35" s="140">
        <f t="shared" si="4"/>
        <v>0</v>
      </c>
      <c r="M35" s="3862"/>
      <c r="N35" s="136"/>
      <c r="O35" s="3861"/>
      <c r="P35" s="3861"/>
    </row>
    <row r="36" spans="2:16">
      <c r="B36" s="3845"/>
      <c r="C36"/>
      <c r="D36" s="131"/>
      <c r="E36" s="139"/>
      <c r="F36" s="2205"/>
      <c r="G36" s="2205"/>
      <c r="H36" s="2205"/>
      <c r="I36" s="140"/>
      <c r="J36" s="297"/>
      <c r="K36" s="139"/>
      <c r="L36" s="140"/>
      <c r="M36" s="3862"/>
      <c r="N36" s="136"/>
      <c r="O36" s="3861"/>
      <c r="P36" s="3861"/>
    </row>
    <row r="37" spans="2:16">
      <c r="B37" s="3845"/>
      <c r="C37" s="101" t="s">
        <v>151</v>
      </c>
      <c r="D37" s="131"/>
      <c r="E37" s="3846"/>
      <c r="F37" s="3710">
        <f>SUM(F22:F36)</f>
        <v>2119615270.2</v>
      </c>
      <c r="G37" s="3710">
        <f>SUM(G22:G36)</f>
        <v>1205578095.27479</v>
      </c>
      <c r="H37" s="140"/>
      <c r="I37" s="3710">
        <f>SUM(I22:I36)</f>
        <v>2119615270.2</v>
      </c>
      <c r="J37" s="3710">
        <f>SUM(J22:J36)</f>
        <v>1205578095.27479</v>
      </c>
      <c r="K37" s="3710">
        <f>SUM(K22:K36)</f>
        <v>0</v>
      </c>
      <c r="L37" s="3710">
        <f>SUM(L22:L36)</f>
        <v>0</v>
      </c>
      <c r="M37" s="3862"/>
      <c r="N37" s="3864"/>
      <c r="O37" s="3865"/>
      <c r="P37" s="3866"/>
    </row>
    <row r="38" spans="2:16">
      <c r="B38" s="3847"/>
      <c r="C38" s="101" t="s">
        <v>1010</v>
      </c>
      <c r="D38" s="131"/>
      <c r="E38" s="2205"/>
      <c r="F38" s="2205">
        <f>+B!F41</f>
        <v>2119615270.2</v>
      </c>
      <c r="G38" s="1247">
        <f>+B!Q41</f>
        <v>1205578095.27479</v>
      </c>
      <c r="H38" s="140"/>
      <c r="I38" s="295"/>
      <c r="J38" s="140"/>
      <c r="K38" s="139"/>
      <c r="L38" s="2201"/>
      <c r="M38" s="3862"/>
      <c r="N38" s="3774"/>
      <c r="O38" s="3866"/>
      <c r="P38" s="3866"/>
    </row>
    <row r="39" spans="2:16">
      <c r="B39" s="3847"/>
      <c r="C39" s="101" t="s">
        <v>1011</v>
      </c>
      <c r="D39" s="131"/>
      <c r="E39" s="2205"/>
      <c r="F39" s="185">
        <f>F37/F38</f>
        <v>1</v>
      </c>
      <c r="G39" s="185"/>
      <c r="H39" s="140"/>
      <c r="I39" s="295"/>
      <c r="J39" s="140"/>
      <c r="K39" s="139"/>
      <c r="L39" s="2201"/>
      <c r="M39" s="3862"/>
      <c r="N39" s="131"/>
      <c r="O39" s="3866"/>
      <c r="P39" s="3866"/>
    </row>
    <row r="40" spans="2:16">
      <c r="B40" s="3847"/>
      <c r="D40" s="131"/>
      <c r="E40" s="2205"/>
      <c r="F40" s="2205"/>
      <c r="G40" s="140"/>
      <c r="H40" s="140"/>
      <c r="I40" s="295"/>
      <c r="J40" s="2205"/>
      <c r="K40" s="140"/>
      <c r="L40" s="2201"/>
      <c r="M40" s="3862"/>
      <c r="N40" s="131"/>
      <c r="O40" s="3866"/>
      <c r="P40" s="3866"/>
    </row>
    <row r="41" ht="13.95" spans="2:16">
      <c r="B41" s="3775" t="s">
        <v>1012</v>
      </c>
      <c r="C41" s="209"/>
      <c r="D41" s="131"/>
      <c r="E41" s="3838"/>
      <c r="F41" s="5042" t="s">
        <v>451</v>
      </c>
      <c r="G41" s="5043" t="s">
        <v>452</v>
      </c>
      <c r="H41" s="3843"/>
      <c r="I41" s="5042" t="s">
        <v>451</v>
      </c>
      <c r="J41" s="5043" t="s">
        <v>452</v>
      </c>
      <c r="K41" s="140"/>
      <c r="L41" s="1245"/>
      <c r="M41" s="3862"/>
      <c r="N41" s="3863"/>
      <c r="O41" s="3867"/>
      <c r="P41" s="3866"/>
    </row>
    <row r="42" spans="2:16">
      <c r="B42" s="3775"/>
      <c r="C42" s="209"/>
      <c r="D42" s="131"/>
      <c r="E42" s="131"/>
      <c r="F42" s="131"/>
      <c r="G42" s="131"/>
      <c r="H42" s="131"/>
      <c r="I42" s="131"/>
      <c r="J42" s="3774"/>
      <c r="K42" s="131"/>
      <c r="L42" s="1245"/>
      <c r="M42" s="3862"/>
      <c r="N42" s="3863"/>
      <c r="O42" s="3867"/>
      <c r="P42" s="3866"/>
    </row>
    <row r="43" spans="2:16">
      <c r="B43" s="3845"/>
      <c r="C43" s="101" t="str">
        <f>+BB!C14</f>
        <v>Ridha Wira, CV</v>
      </c>
      <c r="D43" s="131"/>
      <c r="E43" s="2205"/>
      <c r="F43" s="2205">
        <f>+BB!F14</f>
        <v>40000000</v>
      </c>
      <c r="G43" s="140">
        <f>+BB!Q14</f>
        <v>0</v>
      </c>
      <c r="H43" s="140"/>
      <c r="I43" s="2205">
        <v>40000000</v>
      </c>
      <c r="J43" s="140">
        <v>0</v>
      </c>
      <c r="K43" s="140">
        <f t="shared" ref="K43:K56" si="6">F43-I43</f>
        <v>0</v>
      </c>
      <c r="L43" s="140">
        <f t="shared" ref="L43:L56" si="7">G43-J43</f>
        <v>0</v>
      </c>
      <c r="M43" s="3862"/>
      <c r="N43" s="3863"/>
      <c r="O43" s="3866">
        <f>+O33</f>
        <v>45199</v>
      </c>
      <c r="P43" s="3866"/>
    </row>
    <row r="44" spans="2:16">
      <c r="B44" s="3845"/>
      <c r="C44" s="101" t="str">
        <f>+BB!C15</f>
        <v>Kirana Energi Bersama PT </v>
      </c>
      <c r="D44" s="131"/>
      <c r="E44" s="2205"/>
      <c r="F44" s="2205">
        <f>+BB!F15</f>
        <v>37500000</v>
      </c>
      <c r="G44" s="140">
        <f>+BB!Q15</f>
        <v>0</v>
      </c>
      <c r="H44" s="140"/>
      <c r="I44" s="2205">
        <v>37500000</v>
      </c>
      <c r="J44" s="140">
        <v>0</v>
      </c>
      <c r="K44" s="140">
        <f t="shared" si="6"/>
        <v>0</v>
      </c>
      <c r="L44" s="140">
        <f t="shared" si="7"/>
        <v>0</v>
      </c>
      <c r="M44" s="3862"/>
      <c r="N44" s="131"/>
      <c r="O44" s="3866">
        <f t="shared" ref="O44:O49" si="8">+O43</f>
        <v>45199</v>
      </c>
      <c r="P44" s="3866"/>
    </row>
    <row r="45" spans="2:16">
      <c r="B45" s="3845"/>
      <c r="C45" s="101" t="str">
        <f>+BB!C16</f>
        <v>Kea Berkah Makmur PT</v>
      </c>
      <c r="D45" s="131"/>
      <c r="E45" s="2205"/>
      <c r="F45" s="2205">
        <f>+BB!F16</f>
        <v>19000000</v>
      </c>
      <c r="G45" s="140">
        <f>+BB!Q16</f>
        <v>0</v>
      </c>
      <c r="H45" s="2205"/>
      <c r="I45" s="2205">
        <v>19000000</v>
      </c>
      <c r="J45" s="140">
        <v>0</v>
      </c>
      <c r="K45" s="140">
        <f t="shared" si="6"/>
        <v>0</v>
      </c>
      <c r="L45" s="140">
        <f t="shared" si="7"/>
        <v>0</v>
      </c>
      <c r="M45" s="3862"/>
      <c r="N45" s="131"/>
      <c r="O45" s="3866">
        <f t="shared" si="8"/>
        <v>45199</v>
      </c>
      <c r="P45" s="3866"/>
    </row>
    <row r="46" spans="2:16">
      <c r="B46" s="3845"/>
      <c r="C46" s="101" t="str">
        <f>+BB!C17</f>
        <v>Tomis Berkah Abadi, CV </v>
      </c>
      <c r="D46" s="131"/>
      <c r="E46" s="2205"/>
      <c r="F46" s="2205">
        <f>+BB!F17</f>
        <v>15000000</v>
      </c>
      <c r="G46" s="140">
        <f>+BB!Q17</f>
        <v>0</v>
      </c>
      <c r="H46" s="2205"/>
      <c r="I46" s="2205">
        <v>15000000</v>
      </c>
      <c r="J46" s="140">
        <v>0</v>
      </c>
      <c r="K46" s="140">
        <f t="shared" si="6"/>
        <v>0</v>
      </c>
      <c r="L46" s="140">
        <f t="shared" si="7"/>
        <v>0</v>
      </c>
      <c r="M46" s="3862"/>
      <c r="N46" s="3863"/>
      <c r="O46" s="3866">
        <f t="shared" si="8"/>
        <v>45199</v>
      </c>
      <c r="P46" s="3866"/>
    </row>
    <row r="47" spans="2:16">
      <c r="B47" s="3845"/>
      <c r="C47" s="101" t="str">
        <f>+BB!C18</f>
        <v>Wahyu Delta Pharma PT</v>
      </c>
      <c r="D47" s="131"/>
      <c r="E47" s="2205"/>
      <c r="F47" s="2205">
        <f>+BB!F18</f>
        <v>0</v>
      </c>
      <c r="G47" s="140">
        <f>+BB!Q18</f>
        <v>232800000</v>
      </c>
      <c r="H47" s="2205"/>
      <c r="I47" s="2205">
        <v>0</v>
      </c>
      <c r="J47" s="140">
        <v>232800000</v>
      </c>
      <c r="K47" s="140">
        <f t="shared" si="6"/>
        <v>0</v>
      </c>
      <c r="L47" s="140">
        <f t="shared" si="7"/>
        <v>0</v>
      </c>
      <c r="M47" s="3862"/>
      <c r="N47" s="3863"/>
      <c r="O47" s="3866">
        <f t="shared" si="8"/>
        <v>45199</v>
      </c>
      <c r="P47" s="3866"/>
    </row>
    <row r="48" spans="2:16">
      <c r="B48" s="3845"/>
      <c r="C48" s="101" t="str">
        <f>+BB!C19</f>
        <v>Profluid PT</v>
      </c>
      <c r="D48" s="131"/>
      <c r="E48" s="2205"/>
      <c r="F48" s="2205">
        <f>+BB!F19</f>
        <v>0</v>
      </c>
      <c r="G48" s="140">
        <f>+BB!Q19</f>
        <v>214658130</v>
      </c>
      <c r="H48" s="2205"/>
      <c r="I48" s="2205">
        <v>0</v>
      </c>
      <c r="J48" s="140">
        <v>214658130</v>
      </c>
      <c r="K48" s="140">
        <f t="shared" si="6"/>
        <v>0</v>
      </c>
      <c r="L48" s="140">
        <f t="shared" si="7"/>
        <v>0</v>
      </c>
      <c r="M48" s="3862"/>
      <c r="N48" s="3863"/>
      <c r="O48" s="3866">
        <f t="shared" si="8"/>
        <v>45199</v>
      </c>
      <c r="P48" s="3866"/>
    </row>
    <row r="49" spans="2:16">
      <c r="B49" s="286"/>
      <c r="C49" s="101" t="str">
        <f>+BB!C20</f>
        <v>Schneider Indonesia PT </v>
      </c>
      <c r="D49" s="131"/>
      <c r="E49" s="2205"/>
      <c r="F49" s="2205">
        <f>+BB!F20</f>
        <v>0</v>
      </c>
      <c r="G49" s="140">
        <f>+BB!Q20</f>
        <v>148500000</v>
      </c>
      <c r="H49" s="2205"/>
      <c r="I49" s="2205">
        <v>0</v>
      </c>
      <c r="J49" s="140">
        <v>148500000</v>
      </c>
      <c r="K49" s="140">
        <f t="shared" si="6"/>
        <v>0</v>
      </c>
      <c r="L49" s="140">
        <f t="shared" si="7"/>
        <v>0</v>
      </c>
      <c r="M49" s="3862" t="s">
        <v>1013</v>
      </c>
      <c r="N49" s="131"/>
      <c r="O49" s="3866">
        <f t="shared" si="8"/>
        <v>45199</v>
      </c>
      <c r="P49" s="3866"/>
    </row>
    <row r="50" spans="2:16">
      <c r="B50" s="286"/>
      <c r="C50" s="101" t="str">
        <f>+BB!C21</f>
        <v>Bawean Vendor Gabungan</v>
      </c>
      <c r="D50" s="131"/>
      <c r="E50" s="2205"/>
      <c r="F50" s="2205">
        <f>+BB!F21</f>
        <v>0</v>
      </c>
      <c r="G50" s="140">
        <f>+BB!Q21</f>
        <v>129207680</v>
      </c>
      <c r="H50" s="2205"/>
      <c r="I50" s="2205">
        <v>0</v>
      </c>
      <c r="J50" s="140">
        <v>129207680</v>
      </c>
      <c r="K50" s="140">
        <f t="shared" si="6"/>
        <v>0</v>
      </c>
      <c r="L50" s="140">
        <f t="shared" si="7"/>
        <v>0</v>
      </c>
      <c r="M50" s="3862"/>
      <c r="N50" s="131"/>
      <c r="O50" s="3866"/>
      <c r="P50" s="3866"/>
    </row>
    <row r="51" spans="2:16">
      <c r="B51" s="286"/>
      <c r="C51" s="101" t="str">
        <f>+BB!C22</f>
        <v>Guna Mandiri Teknikon PT</v>
      </c>
      <c r="D51" s="131"/>
      <c r="E51" s="2205"/>
      <c r="F51" s="2205">
        <f>+BB!F22</f>
        <v>0</v>
      </c>
      <c r="G51" s="140">
        <f>+BB!Q22</f>
        <v>80000000</v>
      </c>
      <c r="H51" s="2205"/>
      <c r="I51" s="2205">
        <v>0</v>
      </c>
      <c r="J51" s="140">
        <v>80000000</v>
      </c>
      <c r="K51" s="140">
        <f t="shared" si="6"/>
        <v>0</v>
      </c>
      <c r="L51" s="140">
        <f t="shared" si="7"/>
        <v>0</v>
      </c>
      <c r="M51" s="3862"/>
      <c r="N51" s="131"/>
      <c r="O51" s="3866"/>
      <c r="P51" s="3866"/>
    </row>
    <row r="52" spans="2:16">
      <c r="B52" s="286"/>
      <c r="C52" s="101" t="str">
        <f>+BB!C23</f>
        <v>Yudistira Karya Teknik PT</v>
      </c>
      <c r="D52" s="131"/>
      <c r="E52" s="2205"/>
      <c r="F52" s="2205">
        <f>+BB!F23</f>
        <v>0</v>
      </c>
      <c r="G52" s="140">
        <f>+BB!Q23</f>
        <v>64000000</v>
      </c>
      <c r="H52" s="2205"/>
      <c r="I52" s="2205">
        <v>0</v>
      </c>
      <c r="J52" s="140">
        <v>64000000</v>
      </c>
      <c r="K52" s="140">
        <f t="shared" si="6"/>
        <v>0</v>
      </c>
      <c r="L52" s="140">
        <f t="shared" si="7"/>
        <v>0</v>
      </c>
      <c r="M52" s="3862"/>
      <c r="N52" s="131"/>
      <c r="O52" s="3866"/>
      <c r="P52" s="3866"/>
    </row>
    <row r="53" spans="2:16">
      <c r="B53" s="286"/>
      <c r="C53" s="101" t="str">
        <f>+BB!C24</f>
        <v>Brenmark Energi Nusantara PT</v>
      </c>
      <c r="D53" s="131"/>
      <c r="E53" s="2205"/>
      <c r="F53" s="2205">
        <f>+BB!F24</f>
        <v>0</v>
      </c>
      <c r="G53" s="140">
        <f>+BB!Q24</f>
        <v>0</v>
      </c>
      <c r="H53" s="2205"/>
      <c r="I53" s="2205">
        <v>0</v>
      </c>
      <c r="J53" s="140">
        <v>0</v>
      </c>
      <c r="K53" s="140">
        <f t="shared" si="6"/>
        <v>0</v>
      </c>
      <c r="L53" s="140">
        <f t="shared" si="7"/>
        <v>0</v>
      </c>
      <c r="M53" s="3862"/>
      <c r="N53" s="131"/>
      <c r="O53" s="3866"/>
      <c r="P53" s="3866"/>
    </row>
    <row r="54" spans="2:16">
      <c r="B54" s="286"/>
      <c r="C54" s="101" t="str">
        <f>+BB!C25</f>
        <v>Perdana Gas Nusantara</v>
      </c>
      <c r="D54" s="131"/>
      <c r="E54" s="2205"/>
      <c r="F54" s="2205">
        <f>+BB!F25</f>
        <v>0</v>
      </c>
      <c r="G54" s="140">
        <f>+BB!Q25</f>
        <v>0</v>
      </c>
      <c r="H54" s="2205"/>
      <c r="I54" s="2205">
        <v>0</v>
      </c>
      <c r="J54" s="140">
        <v>0</v>
      </c>
      <c r="K54" s="140">
        <f t="shared" si="6"/>
        <v>0</v>
      </c>
      <c r="L54" s="140">
        <f t="shared" si="7"/>
        <v>0</v>
      </c>
      <c r="M54" s="3862"/>
      <c r="N54" s="131"/>
      <c r="O54" s="3866"/>
      <c r="P54" s="3866"/>
    </row>
    <row r="55" spans="2:16">
      <c r="B55" s="286"/>
      <c r="C55" s="101" t="str">
        <f>+BB!C26</f>
        <v>Lusi Tour Travel</v>
      </c>
      <c r="D55" s="131"/>
      <c r="E55" s="2205"/>
      <c r="F55" s="2205">
        <f>+BB!F26</f>
        <v>0</v>
      </c>
      <c r="G55" s="140">
        <f>+BB!Q26</f>
        <v>0</v>
      </c>
      <c r="H55" s="2205"/>
      <c r="I55" s="2205">
        <v>0</v>
      </c>
      <c r="J55" s="140">
        <v>0</v>
      </c>
      <c r="K55" s="140">
        <f t="shared" si="6"/>
        <v>0</v>
      </c>
      <c r="L55" s="140">
        <f t="shared" si="7"/>
        <v>0</v>
      </c>
      <c r="M55" s="3862"/>
      <c r="N55" s="131"/>
      <c r="O55" s="3866"/>
      <c r="P55" s="3866"/>
    </row>
    <row r="56" spans="2:16">
      <c r="B56" s="286"/>
      <c r="C56" s="101" t="str">
        <f>+BB!C27</f>
        <v>Biotech PT</v>
      </c>
      <c r="D56" s="131"/>
      <c r="E56" s="2205"/>
      <c r="F56" s="2205">
        <f>+BB!F27</f>
        <v>0</v>
      </c>
      <c r="G56" s="140">
        <f>+BB!Q27</f>
        <v>0</v>
      </c>
      <c r="H56" s="2205"/>
      <c r="I56" s="2205">
        <v>0</v>
      </c>
      <c r="J56" s="140">
        <v>0</v>
      </c>
      <c r="K56" s="140">
        <f t="shared" si="6"/>
        <v>0</v>
      </c>
      <c r="L56" s="140">
        <f t="shared" si="7"/>
        <v>0</v>
      </c>
      <c r="M56" s="3862"/>
      <c r="N56" s="131"/>
      <c r="O56" s="3866"/>
      <c r="P56" s="3866"/>
    </row>
    <row r="57" spans="2:16">
      <c r="B57" s="286"/>
      <c r="D57" s="131"/>
      <c r="E57" s="2205"/>
      <c r="F57" s="2205"/>
      <c r="G57" s="140"/>
      <c r="H57" s="2205"/>
      <c r="I57" s="2205"/>
      <c r="J57" s="140"/>
      <c r="K57" s="139"/>
      <c r="L57" s="2201"/>
      <c r="M57" s="3862"/>
      <c r="N57" s="131"/>
      <c r="O57" s="3861"/>
      <c r="P57" s="3861"/>
    </row>
    <row r="58" spans="2:16">
      <c r="B58" s="286"/>
      <c r="D58" s="131"/>
      <c r="E58" s="2205"/>
      <c r="F58" s="200">
        <f>SUM(F43:F57)</f>
        <v>111500000</v>
      </c>
      <c r="G58" s="200">
        <f>SUM(G43:G57)</f>
        <v>869165810</v>
      </c>
      <c r="H58" s="2205"/>
      <c r="I58" s="200">
        <f>SUM(I43:I57)</f>
        <v>111500000</v>
      </c>
      <c r="J58" s="200">
        <f>SUM(J43:J57)</f>
        <v>869165810</v>
      </c>
      <c r="K58" s="200">
        <f>SUM(K43:K57)</f>
        <v>0</v>
      </c>
      <c r="L58" s="200">
        <f>SUM(L43:L57)</f>
        <v>0</v>
      </c>
      <c r="M58" s="3862"/>
      <c r="N58" s="131"/>
      <c r="O58" s="3861"/>
      <c r="P58" s="3861"/>
    </row>
    <row r="59" spans="2:16">
      <c r="B59" s="286"/>
      <c r="D59" s="131"/>
      <c r="E59" s="2205"/>
      <c r="F59" s="200"/>
      <c r="G59" s="200"/>
      <c r="H59" s="2205"/>
      <c r="I59" s="200"/>
      <c r="J59" s="200"/>
      <c r="K59" s="199"/>
      <c r="L59" s="200"/>
      <c r="M59" s="3862"/>
      <c r="N59" s="131"/>
      <c r="O59" s="3861"/>
      <c r="P59" s="3861"/>
    </row>
    <row r="60" spans="2:16">
      <c r="B60" s="286"/>
      <c r="D60" s="131"/>
      <c r="E60" s="2205"/>
      <c r="F60" s="200"/>
      <c r="G60" s="200"/>
      <c r="H60" s="2205"/>
      <c r="I60" s="200"/>
      <c r="J60" s="200"/>
      <c r="K60" s="199"/>
      <c r="L60" s="200"/>
      <c r="M60" s="3862"/>
      <c r="N60" s="131"/>
      <c r="O60" s="3861"/>
      <c r="P60" s="3861"/>
    </row>
    <row r="61" spans="2:16">
      <c r="B61" s="286"/>
      <c r="D61" s="131"/>
      <c r="E61" s="2205"/>
      <c r="F61" s="200"/>
      <c r="G61" s="200"/>
      <c r="H61" s="2205"/>
      <c r="I61" s="200"/>
      <c r="J61" s="200"/>
      <c r="K61" s="199"/>
      <c r="L61" s="200"/>
      <c r="M61" s="3862"/>
      <c r="N61" s="131"/>
      <c r="O61" s="3861"/>
      <c r="P61" s="3861"/>
    </row>
    <row r="62" ht="13.95" spans="2:16">
      <c r="B62" s="3848"/>
      <c r="C62" s="3849"/>
      <c r="D62" s="3850"/>
      <c r="E62" s="3851"/>
      <c r="F62" s="3851"/>
      <c r="G62" s="3851"/>
      <c r="H62" s="3851"/>
      <c r="I62" s="3851"/>
      <c r="J62" s="3868"/>
      <c r="K62" s="3869"/>
      <c r="L62" s="3870"/>
      <c r="M62" s="3871"/>
      <c r="N62" s="3850"/>
      <c r="O62" s="3872"/>
      <c r="P62" s="3872"/>
    </row>
    <row r="63" spans="7:13">
      <c r="G63" s="1190"/>
      <c r="H63" s="1190"/>
      <c r="I63" s="1190"/>
      <c r="J63" s="1190"/>
      <c r="K63" s="1190"/>
      <c r="L63" s="1190"/>
      <c r="M63" s="1190"/>
    </row>
    <row r="64" ht="13.95" spans="7:13">
      <c r="G64" s="1190"/>
      <c r="H64" s="1190"/>
      <c r="I64" s="1190"/>
      <c r="J64" s="1190"/>
      <c r="K64" s="1190"/>
      <c r="L64" s="1190"/>
      <c r="M64" s="1190"/>
    </row>
    <row r="65" spans="2:13">
      <c r="B65" s="3873" t="s">
        <v>1014</v>
      </c>
      <c r="C65" s="3874"/>
      <c r="G65" s="1190"/>
      <c r="H65" s="1190"/>
      <c r="I65" s="1190"/>
      <c r="J65" s="1190"/>
      <c r="K65" s="1190"/>
      <c r="L65" s="1190"/>
      <c r="M65" s="1190"/>
    </row>
    <row r="66" spans="2:13">
      <c r="B66" s="3875" t="s">
        <v>1015</v>
      </c>
      <c r="C66" s="3876" t="s">
        <v>1016</v>
      </c>
      <c r="G66" s="1190" t="s">
        <v>1017</v>
      </c>
      <c r="H66" s="1190"/>
      <c r="I66" s="1190"/>
      <c r="J66" s="1190"/>
      <c r="K66" s="1190"/>
      <c r="L66" s="1190"/>
      <c r="M66" s="1190"/>
    </row>
    <row r="67" ht="13.95" spans="2:13">
      <c r="B67" s="3877" t="s">
        <v>1018</v>
      </c>
      <c r="C67" s="3878" t="s">
        <v>146</v>
      </c>
      <c r="G67" s="1190"/>
      <c r="H67" s="1190"/>
      <c r="I67" s="1190"/>
      <c r="J67" s="1190"/>
      <c r="K67" s="1190"/>
      <c r="L67" s="1190"/>
      <c r="M67" s="1190"/>
    </row>
    <row r="68" spans="7:13">
      <c r="G68" s="1190"/>
      <c r="H68" s="1190"/>
      <c r="I68" s="1190"/>
      <c r="J68" s="1190"/>
      <c r="K68" s="1190"/>
      <c r="L68" s="1190"/>
      <c r="M68" s="1190"/>
    </row>
    <row r="69" spans="7:13">
      <c r="G69" s="1190"/>
      <c r="H69" s="1190"/>
      <c r="I69" s="1190"/>
      <c r="J69" s="1190"/>
      <c r="K69" s="1190"/>
      <c r="L69" s="1190"/>
      <c r="M69" s="1190"/>
    </row>
    <row r="70" spans="3:13">
      <c r="C70" s="137"/>
      <c r="D70" s="132"/>
      <c r="E70"/>
      <c r="F70"/>
      <c r="G70" s="2202"/>
      <c r="H70" s="1190"/>
      <c r="I70" s="1190"/>
      <c r="J70" s="1190"/>
      <c r="K70" s="1190"/>
      <c r="L70" s="1190"/>
      <c r="M70" s="1190"/>
    </row>
    <row r="71" spans="3:13">
      <c r="C71" s="137"/>
      <c r="D71" s="132"/>
      <c r="E71"/>
      <c r="F71"/>
      <c r="G71" s="2202"/>
      <c r="H71" s="1190"/>
      <c r="I71" s="1190"/>
      <c r="J71" s="1190"/>
      <c r="K71" s="1190"/>
      <c r="L71" s="1190"/>
      <c r="M71" s="1190"/>
    </row>
    <row r="72" spans="3:13">
      <c r="C72"/>
      <c r="D72" s="132"/>
      <c r="E72"/>
      <c r="F72"/>
      <c r="G72" s="2202"/>
      <c r="H72" s="1190"/>
      <c r="I72" s="1190"/>
      <c r="J72" s="1190"/>
      <c r="K72" s="1190"/>
      <c r="L72" s="1190"/>
      <c r="M72" s="1190"/>
    </row>
    <row r="73" spans="3:13">
      <c r="C73" s="137"/>
      <c r="D73" s="132"/>
      <c r="E73"/>
      <c r="F73"/>
      <c r="G73" s="2202"/>
      <c r="H73" s="1190"/>
      <c r="I73" s="1190"/>
      <c r="J73" s="1190"/>
      <c r="K73" s="1190"/>
      <c r="L73" s="1190"/>
      <c r="M73" s="1190"/>
    </row>
    <row r="74" spans="3:13">
      <c r="C74" s="137"/>
      <c r="D74" s="132"/>
      <c r="E74"/>
      <c r="F74"/>
      <c r="G74" s="2202"/>
      <c r="H74" s="1190"/>
      <c r="I74" s="1190"/>
      <c r="J74" s="1190"/>
      <c r="K74" s="1190"/>
      <c r="L74" s="1190"/>
      <c r="M74" s="1190"/>
    </row>
    <row r="75" spans="3:13">
      <c r="C75" s="137"/>
      <c r="D75" s="132"/>
      <c r="E75"/>
      <c r="F75"/>
      <c r="G75" s="2202"/>
      <c r="H75" s="1190"/>
      <c r="I75" s="1190"/>
      <c r="J75" s="1190"/>
      <c r="K75" s="1190"/>
      <c r="L75" s="1190"/>
      <c r="M75" s="1190"/>
    </row>
    <row r="76" spans="3:9">
      <c r="C76" s="137"/>
      <c r="D76" s="132"/>
      <c r="E76"/>
      <c r="F76"/>
      <c r="G76"/>
      <c r="H76" s="3879"/>
      <c r="I76" s="3879"/>
    </row>
    <row r="77" spans="3:9">
      <c r="C77" s="137"/>
      <c r="D77" s="132"/>
      <c r="E77"/>
      <c r="F77"/>
      <c r="G77"/>
      <c r="H77" s="3879"/>
      <c r="I77" s="3879"/>
    </row>
    <row r="78" spans="3:9">
      <c r="C78" s="137"/>
      <c r="D78" s="3880"/>
      <c r="E78"/>
      <c r="F78"/>
      <c r="G78"/>
      <c r="H78" s="3879"/>
      <c r="I78" s="3879"/>
    </row>
    <row r="79" spans="3:9">
      <c r="C79" s="137"/>
      <c r="D79" s="132"/>
      <c r="E79"/>
      <c r="F79"/>
      <c r="G79"/>
      <c r="H79" s="3879"/>
      <c r="I79" s="3879"/>
    </row>
    <row r="80" spans="3:9">
      <c r="C80" s="137"/>
      <c r="D80" s="132"/>
      <c r="E80"/>
      <c r="F80"/>
      <c r="G80"/>
      <c r="H80" s="3879"/>
      <c r="I80" s="3879"/>
    </row>
    <row r="81" spans="3:7">
      <c r="C81" s="137"/>
      <c r="D81" s="132"/>
      <c r="E81" s="199"/>
      <c r="F81" s="199"/>
      <c r="G81" s="137"/>
    </row>
    <row r="82" spans="3:9">
      <c r="C82" s="137"/>
      <c r="D82" s="132"/>
      <c r="E82"/>
      <c r="F82"/>
      <c r="G82"/>
      <c r="H82" s="3879"/>
      <c r="I82" s="3879"/>
    </row>
    <row r="83" spans="3:7">
      <c r="C83" s="137"/>
      <c r="D83" s="132"/>
      <c r="E83"/>
      <c r="F83"/>
      <c r="G83" s="137"/>
    </row>
    <row r="84" spans="3:7">
      <c r="C84" s="137"/>
      <c r="D84" s="132"/>
      <c r="E84"/>
      <c r="F84"/>
      <c r="G84" s="137"/>
    </row>
    <row r="85" spans="3:9">
      <c r="C85" s="137"/>
      <c r="D85" s="132"/>
      <c r="E85"/>
      <c r="F85"/>
      <c r="G85"/>
      <c r="H85" s="3879"/>
      <c r="I85" s="3879"/>
    </row>
    <row r="86" spans="3:9">
      <c r="C86" s="137"/>
      <c r="D86" s="132"/>
      <c r="E86"/>
      <c r="F86"/>
      <c r="G86"/>
      <c r="H86" s="3879"/>
      <c r="I86" s="3879"/>
    </row>
    <row r="87" spans="3:7">
      <c r="C87" s="137"/>
      <c r="D87" s="132"/>
      <c r="E87"/>
      <c r="F87"/>
      <c r="G87" s="137"/>
    </row>
    <row r="92" spans="7:9">
      <c r="G92" s="3879"/>
      <c r="H92" s="3879"/>
      <c r="I92" s="3879"/>
    </row>
    <row r="93" spans="7:9">
      <c r="G93" s="3879"/>
      <c r="H93" s="3879"/>
      <c r="I93" s="3879"/>
    </row>
    <row r="94" spans="7:9">
      <c r="G94" s="3879"/>
      <c r="H94" s="3879"/>
      <c r="I94" s="3879"/>
    </row>
    <row r="95" spans="7:9">
      <c r="G95" s="3879"/>
      <c r="H95" s="3879"/>
      <c r="I95" s="3879"/>
    </row>
  </sheetData>
  <mergeCells count="8">
    <mergeCell ref="E9:G9"/>
    <mergeCell ref="H9:J9"/>
    <mergeCell ref="K9:L9"/>
    <mergeCell ref="M9:M10"/>
    <mergeCell ref="N9:N10"/>
    <mergeCell ref="O9:O10"/>
    <mergeCell ref="P9:P10"/>
    <mergeCell ref="R9:R10"/>
  </mergeCells>
  <printOptions horizontalCentered="1"/>
  <pageMargins left="0.511811023622047" right="0.511811023622047" top="0.78740157480315" bottom="0.590551181102362" header="0.511811023622047" footer="0.511811023622047"/>
  <pageSetup paperSize="9" scale="65" orientation="landscape"/>
  <headerFooter alignWithMargins="0">
    <oddFooter>&amp;R&amp;"Arial,Bold"&amp;36JJ</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4"/>
  <dimension ref="B2:AB48"/>
  <sheetViews>
    <sheetView showGridLines="0" zoomScale="160" zoomScaleNormal="160" workbookViewId="0">
      <pane xSplit="2" ySplit="6" topLeftCell="C7" activePane="bottomRight" state="frozen"/>
      <selection/>
      <selection pane="topRight"/>
      <selection pane="bottomLeft"/>
      <selection pane="bottomRight" activeCell="D11" sqref="D11"/>
    </sheetView>
  </sheetViews>
  <sheetFormatPr defaultColWidth="8.84375" defaultRowHeight="11.4"/>
  <cols>
    <col min="1" max="1" width="8.84375" style="64"/>
    <col min="2" max="2" width="9.29166666666667" style="64" customWidth="1"/>
    <col min="3" max="3" width="11.6875" style="64" customWidth="1"/>
    <col min="4" max="4" width="13.6354166666667" style="64" customWidth="1"/>
    <col min="5" max="5" width="13.3333333333333" style="64" customWidth="1"/>
    <col min="6" max="6" width="14.9791666666667" style="64" customWidth="1"/>
    <col min="7" max="7" width="13.6354166666667" style="64" customWidth="1"/>
    <col min="8" max="8" width="11.9895833333333" style="64" customWidth="1"/>
    <col min="9" max="9" width="11.53125" style="64" customWidth="1"/>
    <col min="10" max="12" width="8.84375" style="64"/>
    <col min="13" max="14" width="11.53125" style="64" customWidth="1"/>
    <col min="15" max="15" width="7.04166666666667" style="64" customWidth="1"/>
    <col min="16" max="16" width="11.53125" style="64" customWidth="1"/>
    <col min="17" max="18" width="8.84375" style="64"/>
    <col min="19" max="19" width="8.98958333333333" style="64" customWidth="1"/>
    <col min="20" max="20" width="12.1354166666667" style="64" customWidth="1"/>
    <col min="21" max="21" width="11.53125" style="64" customWidth="1"/>
    <col min="22" max="22" width="8.84375" style="64"/>
    <col min="23" max="23" width="9.13541666666667" style="64" customWidth="1"/>
    <col min="24" max="26" width="8.84375" style="64"/>
    <col min="27" max="27" width="11.9895833333333" style="64" customWidth="1"/>
    <col min="28" max="28" width="12.1354166666667" style="64" customWidth="1"/>
    <col min="29" max="16384" width="8.84375" style="64"/>
  </cols>
  <sheetData>
    <row r="2" ht="12" spans="2:2">
      <c r="B2" s="94" t="str">
        <f>+A!D4</f>
        <v>PT INTAN GIRI ABADI</v>
      </c>
    </row>
    <row r="3" spans="2:2">
      <c r="B3" s="64" t="s">
        <v>1019</v>
      </c>
    </row>
    <row r="4" spans="2:2">
      <c r="B4" s="64" t="s">
        <v>1020</v>
      </c>
    </row>
    <row r="6" spans="2:8">
      <c r="B6" t="s">
        <v>1021</v>
      </c>
      <c r="C6" t="s">
        <v>492</v>
      </c>
      <c r="D6"/>
      <c r="E6"/>
      <c r="F6"/>
      <c r="G6"/>
      <c r="H6"/>
    </row>
    <row r="7" spans="9:28">
      <c r="I7" s="1355" t="s">
        <v>1022</v>
      </c>
      <c r="J7" s="1093"/>
      <c r="K7" s="1093"/>
      <c r="L7" s="1093"/>
      <c r="M7" s="1093"/>
      <c r="N7" s="1094"/>
      <c r="P7" s="3820" t="s">
        <v>1022</v>
      </c>
      <c r="Q7" s="3824"/>
      <c r="R7" s="3824"/>
      <c r="S7" s="3824"/>
      <c r="T7" s="3824"/>
      <c r="U7" s="3825"/>
      <c r="W7" s="3820" t="s">
        <v>1022</v>
      </c>
      <c r="X7" s="3824"/>
      <c r="Y7" s="3824"/>
      <c r="Z7" s="3824"/>
      <c r="AA7" s="3824"/>
      <c r="AB7" s="3825"/>
    </row>
    <row r="8" ht="12" spans="2:28">
      <c r="B8" s="2636" t="s">
        <v>732</v>
      </c>
      <c r="C8" t="s">
        <v>1023</v>
      </c>
      <c r="H8" s="94"/>
      <c r="I8" s="2027" t="s">
        <v>1024</v>
      </c>
      <c r="J8" s="1350"/>
      <c r="K8" s="1350"/>
      <c r="L8" s="1350"/>
      <c r="M8" s="1350"/>
      <c r="N8" s="1978"/>
      <c r="P8" s="2027" t="s">
        <v>1024</v>
      </c>
      <c r="Q8" s="1350"/>
      <c r="R8" s="1350"/>
      <c r="S8" s="1350"/>
      <c r="T8" s="1350"/>
      <c r="U8" s="1978"/>
      <c r="W8" s="2027" t="s">
        <v>1024</v>
      </c>
      <c r="X8" s="1350"/>
      <c r="Y8" s="1350"/>
      <c r="Z8" s="1350"/>
      <c r="AA8" s="1350"/>
      <c r="AB8" s="1978"/>
    </row>
    <row r="9" ht="12" spans="2:28">
      <c r="B9" s="2636"/>
      <c r="C9"/>
      <c r="H9" s="94"/>
      <c r="I9" s="2027" t="s">
        <v>1025</v>
      </c>
      <c r="J9" s="1350"/>
      <c r="K9" s="1350"/>
      <c r="L9" s="1350"/>
      <c r="M9" s="1350"/>
      <c r="N9" s="1978"/>
      <c r="P9" s="2027" t="s">
        <v>1026</v>
      </c>
      <c r="Q9" s="1350"/>
      <c r="R9" s="1350"/>
      <c r="S9" s="1350"/>
      <c r="T9" s="1350"/>
      <c r="U9" s="1978"/>
      <c r="W9" s="2027" t="s">
        <v>1027</v>
      </c>
      <c r="X9" s="1350"/>
      <c r="Y9" s="1350"/>
      <c r="Z9" s="1350"/>
      <c r="AA9" s="1350"/>
      <c r="AB9" s="1978"/>
    </row>
    <row r="10" ht="12" spans="2:28">
      <c r="B10" s="2636"/>
      <c r="C10" s="94"/>
      <c r="D10" s="1540" t="s">
        <v>1028</v>
      </c>
      <c r="E10" s="1540" t="s">
        <v>1029</v>
      </c>
      <c r="F10" s="1540" t="s">
        <v>660</v>
      </c>
      <c r="G10" s="1540" t="s">
        <v>1030</v>
      </c>
      <c r="I10" s="204" t="s">
        <v>1031</v>
      </c>
      <c r="J10" s="3456" t="s">
        <v>1032</v>
      </c>
      <c r="K10" s="1350"/>
      <c r="L10" s="1350"/>
      <c r="M10" s="1350" t="s">
        <v>1033</v>
      </c>
      <c r="N10" s="1978" t="s">
        <v>1034</v>
      </c>
      <c r="P10" s="204" t="s">
        <v>1031</v>
      </c>
      <c r="Q10" s="3456" t="s">
        <v>1032</v>
      </c>
      <c r="R10" s="1350"/>
      <c r="S10" s="1350"/>
      <c r="T10" s="1350" t="s">
        <v>1033</v>
      </c>
      <c r="U10" s="1978" t="s">
        <v>1034</v>
      </c>
      <c r="W10" s="204" t="s">
        <v>1031</v>
      </c>
      <c r="X10" s="3456" t="s">
        <v>1032</v>
      </c>
      <c r="Y10" s="1350"/>
      <c r="Z10" s="1350"/>
      <c r="AA10" s="1350" t="s">
        <v>1033</v>
      </c>
      <c r="AB10" s="1978" t="s">
        <v>1034</v>
      </c>
    </row>
    <row r="11" spans="2:28">
      <c r="B11" s="2636"/>
      <c r="C11" s="64" t="s">
        <v>1025</v>
      </c>
      <c r="D11" s="64">
        <v>336861273.53</v>
      </c>
      <c r="E11">
        <v>276084827.99</v>
      </c>
      <c r="F11" s="64">
        <v>597129064.4</v>
      </c>
      <c r="G11" s="64">
        <f>+D11+E11-F11</f>
        <v>15817037.12</v>
      </c>
      <c r="I11" s="2127">
        <v>44586</v>
      </c>
      <c r="J11" s="159" t="s">
        <v>1035</v>
      </c>
      <c r="K11" s="1350"/>
      <c r="L11" s="1350">
        <v>0</v>
      </c>
      <c r="M11" s="1350">
        <v>116630000</v>
      </c>
      <c r="N11" s="1978">
        <v>0</v>
      </c>
      <c r="P11" s="2127">
        <v>44593</v>
      </c>
      <c r="Q11" s="2430" t="s">
        <v>1036</v>
      </c>
      <c r="R11" s="1350"/>
      <c r="S11" s="1350">
        <v>0</v>
      </c>
      <c r="T11" s="1350">
        <v>50000000</v>
      </c>
      <c r="U11" s="1978">
        <v>0</v>
      </c>
      <c r="W11" s="2127">
        <v>44621</v>
      </c>
      <c r="X11" s="2430" t="s">
        <v>1036</v>
      </c>
      <c r="Y11" s="1350"/>
      <c r="Z11" s="1350">
        <v>0</v>
      </c>
      <c r="AA11" s="1350">
        <v>0</v>
      </c>
      <c r="AB11" s="1978">
        <v>0</v>
      </c>
    </row>
    <row r="12" spans="2:28">
      <c r="B12" s="2636"/>
      <c r="C12" s="64" t="s">
        <v>1026</v>
      </c>
      <c r="D12" s="64">
        <f>+G11</f>
        <v>15817037.12</v>
      </c>
      <c r="E12">
        <v>1072754801.21</v>
      </c>
      <c r="F12" s="64">
        <v>914354982.64</v>
      </c>
      <c r="G12" s="64">
        <f>+D12+E12-F12</f>
        <v>174216855.69</v>
      </c>
      <c r="I12" s="2127">
        <v>44581</v>
      </c>
      <c r="J12" s="159" t="s">
        <v>1035</v>
      </c>
      <c r="K12" s="1350"/>
      <c r="L12" s="1350">
        <v>0</v>
      </c>
      <c r="M12" s="1350">
        <v>52436901</v>
      </c>
      <c r="N12" s="1978">
        <v>0</v>
      </c>
      <c r="O12" s="64" t="s">
        <v>1037</v>
      </c>
      <c r="P12" s="2127">
        <v>44593</v>
      </c>
      <c r="Q12" s="2430" t="s">
        <v>1038</v>
      </c>
      <c r="R12" s="1350"/>
      <c r="S12" s="1350"/>
      <c r="T12" s="1350">
        <v>42749982</v>
      </c>
      <c r="U12" s="1978">
        <v>0</v>
      </c>
      <c r="W12" s="2127">
        <v>44621</v>
      </c>
      <c r="X12" s="1350" t="s">
        <v>1039</v>
      </c>
      <c r="Y12" s="1350"/>
      <c r="Z12" s="1350"/>
      <c r="AA12" s="1350">
        <v>0</v>
      </c>
      <c r="AB12" s="1978">
        <v>6766998</v>
      </c>
    </row>
    <row r="13" spans="2:28">
      <c r="B13" s="2636"/>
      <c r="C13" s="64" t="s">
        <v>1027</v>
      </c>
      <c r="D13" s="64">
        <f t="shared" ref="D13:D22" si="0">+G12</f>
        <v>174216855.69</v>
      </c>
      <c r="E13" s="64">
        <v>1511950038.67</v>
      </c>
      <c r="F13">
        <v>1095881655.33</v>
      </c>
      <c r="G13" s="64">
        <f t="shared" ref="G13:G22" si="1">+D13+E13-F13</f>
        <v>590285239.03</v>
      </c>
      <c r="I13" s="2127">
        <v>44564</v>
      </c>
      <c r="J13" s="1350" t="s">
        <v>1040</v>
      </c>
      <c r="K13" s="1350"/>
      <c r="L13" s="1350"/>
      <c r="M13" s="1350">
        <v>0</v>
      </c>
      <c r="N13" s="1978">
        <v>8050770</v>
      </c>
      <c r="P13" s="2127">
        <v>44593</v>
      </c>
      <c r="Q13" s="1350" t="s">
        <v>1041</v>
      </c>
      <c r="R13" s="1350"/>
      <c r="S13" s="1350"/>
      <c r="T13" s="1350">
        <v>16200000</v>
      </c>
      <c r="U13" s="1978">
        <v>0</v>
      </c>
      <c r="W13" s="2127">
        <v>44621</v>
      </c>
      <c r="X13" s="1350" t="s">
        <v>1042</v>
      </c>
      <c r="Y13" s="1350"/>
      <c r="Z13" s="1350"/>
      <c r="AA13" s="1350">
        <v>0</v>
      </c>
      <c r="AB13" s="1978">
        <v>1750000</v>
      </c>
    </row>
    <row r="14" spans="2:28">
      <c r="B14" s="2636"/>
      <c r="C14" s="64" t="s">
        <v>1043</v>
      </c>
      <c r="D14" s="64">
        <f t="shared" si="0"/>
        <v>590285239.03</v>
      </c>
      <c r="E14" s="64">
        <v>522977838.17</v>
      </c>
      <c r="F14">
        <v>724752959.03</v>
      </c>
      <c r="G14" s="64">
        <f t="shared" si="1"/>
        <v>388510118.17</v>
      </c>
      <c r="I14" s="2127">
        <v>44564</v>
      </c>
      <c r="J14" s="1350" t="s">
        <v>1044</v>
      </c>
      <c r="K14" s="1350"/>
      <c r="L14" s="1350"/>
      <c r="M14" s="1350">
        <v>0</v>
      </c>
      <c r="N14" s="1978">
        <v>12215580</v>
      </c>
      <c r="P14" s="2127">
        <f>+P13+3</f>
        <v>44596</v>
      </c>
      <c r="Q14" s="1350" t="s">
        <v>1045</v>
      </c>
      <c r="R14" s="1350"/>
      <c r="S14" s="1350"/>
      <c r="T14" s="1350">
        <v>500000000</v>
      </c>
      <c r="U14" s="1978">
        <v>0</v>
      </c>
      <c r="W14" s="2127">
        <v>44624</v>
      </c>
      <c r="X14" s="1350" t="s">
        <v>1045</v>
      </c>
      <c r="Y14" s="1350"/>
      <c r="Z14" s="1350"/>
      <c r="AA14" s="1350">
        <v>0</v>
      </c>
      <c r="AB14" s="1978">
        <v>0</v>
      </c>
    </row>
    <row r="15" spans="2:28">
      <c r="B15" s="2636"/>
      <c r="C15" s="64" t="s">
        <v>1046</v>
      </c>
      <c r="D15" s="64">
        <f t="shared" si="0"/>
        <v>388510118.17</v>
      </c>
      <c r="E15" s="64">
        <v>955970522.26</v>
      </c>
      <c r="F15" s="64">
        <v>1322276858.25</v>
      </c>
      <c r="G15" s="64">
        <f t="shared" si="1"/>
        <v>22203782.1800003</v>
      </c>
      <c r="I15" s="2127">
        <v>44564</v>
      </c>
      <c r="J15" s="1350" t="s">
        <v>1047</v>
      </c>
      <c r="K15" s="1350"/>
      <c r="L15" s="1350"/>
      <c r="M15" s="1350">
        <v>0</v>
      </c>
      <c r="N15" s="356">
        <v>5484210</v>
      </c>
      <c r="P15" s="2127">
        <f>+P14</f>
        <v>44596</v>
      </c>
      <c r="Q15" s="1350" t="s">
        <v>1048</v>
      </c>
      <c r="R15" s="1350"/>
      <c r="S15" s="1350"/>
      <c r="T15" s="1350">
        <v>162000000</v>
      </c>
      <c r="U15" s="1978">
        <v>0</v>
      </c>
      <c r="W15" s="2127">
        <v>44625</v>
      </c>
      <c r="X15" s="2430" t="s">
        <v>1049</v>
      </c>
      <c r="Y15" s="1350"/>
      <c r="Z15" s="1350"/>
      <c r="AA15" s="1350">
        <v>68956974</v>
      </c>
      <c r="AB15" s="1978"/>
    </row>
    <row r="16" spans="2:28">
      <c r="B16" s="2636"/>
      <c r="C16" s="64" t="s">
        <v>1050</v>
      </c>
      <c r="D16" s="64">
        <f t="shared" si="0"/>
        <v>22203782.1800003</v>
      </c>
      <c r="E16">
        <v>1348477362.25</v>
      </c>
      <c r="F16" s="64">
        <v>1012069318.45</v>
      </c>
      <c r="G16" s="64">
        <f t="shared" si="1"/>
        <v>358611825.98</v>
      </c>
      <c r="I16" s="2127">
        <v>44564</v>
      </c>
      <c r="J16" s="1350" t="s">
        <v>1051</v>
      </c>
      <c r="K16" s="1350"/>
      <c r="L16" s="1350"/>
      <c r="M16" s="1350">
        <v>0</v>
      </c>
      <c r="N16" s="1978">
        <v>8460440</v>
      </c>
      <c r="P16" s="2127">
        <f>+P15</f>
        <v>44596</v>
      </c>
      <c r="Q16" s="1350" t="s">
        <v>1048</v>
      </c>
      <c r="R16" s="1350"/>
      <c r="S16" s="1350"/>
      <c r="T16" s="1350">
        <v>50112000</v>
      </c>
      <c r="U16" s="1978">
        <v>0</v>
      </c>
      <c r="W16" s="2127">
        <v>44626</v>
      </c>
      <c r="X16" s="1350" t="s">
        <v>1048</v>
      </c>
      <c r="Y16" s="1350"/>
      <c r="Z16" s="1350"/>
      <c r="AA16" s="1350">
        <v>0</v>
      </c>
      <c r="AB16" s="1978"/>
    </row>
    <row r="17" spans="2:28">
      <c r="B17" s="2636"/>
      <c r="C17" s="64" t="s">
        <v>1052</v>
      </c>
      <c r="D17" s="64">
        <f t="shared" si="0"/>
        <v>358611825.98</v>
      </c>
      <c r="E17">
        <v>894825761.56</v>
      </c>
      <c r="F17" s="64">
        <v>611622914.11</v>
      </c>
      <c r="G17" s="64">
        <f t="shared" si="1"/>
        <v>641814673.43</v>
      </c>
      <c r="I17" s="2127">
        <v>44564</v>
      </c>
      <c r="J17" s="1350" t="s">
        <v>1053</v>
      </c>
      <c r="K17" s="1350"/>
      <c r="L17" s="1350"/>
      <c r="M17" s="1350">
        <v>0</v>
      </c>
      <c r="N17" s="1978">
        <v>2946338</v>
      </c>
      <c r="P17" s="2127">
        <f>+P16</f>
        <v>44596</v>
      </c>
      <c r="Q17" s="1350" t="s">
        <v>1048</v>
      </c>
      <c r="R17" s="1350"/>
      <c r="S17" s="1350"/>
      <c r="T17" s="1350">
        <v>14040000</v>
      </c>
      <c r="U17" s="1978">
        <v>0</v>
      </c>
      <c r="W17" s="2127">
        <v>44627</v>
      </c>
      <c r="X17" s="1350" t="s">
        <v>1048</v>
      </c>
      <c r="Y17" s="1350"/>
      <c r="Z17" s="1350"/>
      <c r="AA17" s="1350">
        <v>0</v>
      </c>
      <c r="AB17" s="1978"/>
    </row>
    <row r="18" spans="2:28">
      <c r="B18" s="2636"/>
      <c r="C18" s="64" t="s">
        <v>1054</v>
      </c>
      <c r="D18" s="64">
        <f t="shared" si="0"/>
        <v>641814673.43</v>
      </c>
      <c r="E18">
        <v>629834735.47</v>
      </c>
      <c r="F18" s="64">
        <v>1070798505.09</v>
      </c>
      <c r="G18" s="64">
        <f t="shared" si="1"/>
        <v>200850903.81</v>
      </c>
      <c r="I18" s="2127">
        <v>44566</v>
      </c>
      <c r="J18" s="3821" t="s">
        <v>1055</v>
      </c>
      <c r="K18" s="1350"/>
      <c r="L18" s="1350"/>
      <c r="M18" s="1350">
        <v>0</v>
      </c>
      <c r="N18" s="3822">
        <v>10847000</v>
      </c>
      <c r="P18" s="2127">
        <f>+P13+1</f>
        <v>44594</v>
      </c>
      <c r="Q18" s="1350" t="s">
        <v>1056</v>
      </c>
      <c r="R18" s="1350"/>
      <c r="S18" s="1350"/>
      <c r="T18" s="1350">
        <v>0</v>
      </c>
      <c r="U18" s="1978">
        <v>1750000</v>
      </c>
      <c r="W18" s="2127">
        <v>44628</v>
      </c>
      <c r="X18" s="1350" t="s">
        <v>1056</v>
      </c>
      <c r="Y18" s="1350"/>
      <c r="Z18" s="1350"/>
      <c r="AA18" s="1350">
        <v>0</v>
      </c>
      <c r="AB18" s="1978">
        <v>0</v>
      </c>
    </row>
    <row r="19" spans="2:28">
      <c r="B19" s="2636"/>
      <c r="C19" s="64" t="s">
        <v>1057</v>
      </c>
      <c r="D19" s="64">
        <f t="shared" si="0"/>
        <v>200850903.81</v>
      </c>
      <c r="E19">
        <v>485447195.28</v>
      </c>
      <c r="F19" s="64">
        <v>624989992.86</v>
      </c>
      <c r="G19" s="64">
        <f t="shared" si="1"/>
        <v>61308106.23</v>
      </c>
      <c r="I19" s="2127">
        <v>44566</v>
      </c>
      <c r="J19" s="1350" t="s">
        <v>1058</v>
      </c>
      <c r="K19" s="1350"/>
      <c r="L19" s="1350"/>
      <c r="M19" s="1350">
        <v>0</v>
      </c>
      <c r="N19" s="1978">
        <v>50000000</v>
      </c>
      <c r="P19" s="2127">
        <f>+P18+2</f>
        <v>44596</v>
      </c>
      <c r="Q19" s="1350" t="s">
        <v>1059</v>
      </c>
      <c r="R19" s="1350"/>
      <c r="S19" s="1350"/>
      <c r="T19" s="1350">
        <v>0</v>
      </c>
      <c r="U19" s="1978">
        <v>9000000</v>
      </c>
      <c r="W19" s="2127">
        <v>44629</v>
      </c>
      <c r="X19" s="1350" t="s">
        <v>1059</v>
      </c>
      <c r="Y19" s="1350"/>
      <c r="Z19" s="1350"/>
      <c r="AA19" s="1350">
        <v>0</v>
      </c>
      <c r="AB19" s="1978">
        <v>0</v>
      </c>
    </row>
    <row r="20" ht="12" spans="2:28">
      <c r="B20" s="1540"/>
      <c r="C20" s="64" t="s">
        <v>1060</v>
      </c>
      <c r="D20" s="64">
        <f t="shared" si="0"/>
        <v>61308106.23</v>
      </c>
      <c r="E20">
        <v>685140508.06</v>
      </c>
      <c r="F20" s="64">
        <v>692521660.81</v>
      </c>
      <c r="G20" s="64">
        <f t="shared" si="1"/>
        <v>53926953.48</v>
      </c>
      <c r="I20" s="2127">
        <v>44567</v>
      </c>
      <c r="J20" s="1350" t="s">
        <v>1061</v>
      </c>
      <c r="K20" s="1350"/>
      <c r="L20" s="1350"/>
      <c r="M20" s="1350">
        <v>0</v>
      </c>
      <c r="N20" s="1978">
        <v>23520000</v>
      </c>
      <c r="P20" s="2127">
        <f t="shared" ref="P20:P26" si="2">+P19</f>
        <v>44596</v>
      </c>
      <c r="Q20" s="1350" t="s">
        <v>1062</v>
      </c>
      <c r="R20" s="1350"/>
      <c r="S20" s="1350"/>
      <c r="T20" s="1350">
        <v>0</v>
      </c>
      <c r="U20" s="1978">
        <v>3194000</v>
      </c>
      <c r="W20" s="2127">
        <v>44630</v>
      </c>
      <c r="X20" s="1350" t="s">
        <v>1062</v>
      </c>
      <c r="Y20" s="1350"/>
      <c r="Z20" s="1350"/>
      <c r="AA20" s="1350"/>
      <c r="AB20" s="1978">
        <v>0</v>
      </c>
    </row>
    <row r="21" spans="2:28">
      <c r="B21" s="2636"/>
      <c r="C21" s="64" t="s">
        <v>1063</v>
      </c>
      <c r="D21" s="64">
        <f t="shared" si="0"/>
        <v>53926953.48</v>
      </c>
      <c r="E21" s="64">
        <v>706087644.22</v>
      </c>
      <c r="F21" s="64">
        <v>746701237.44</v>
      </c>
      <c r="G21" s="64">
        <f t="shared" si="1"/>
        <v>13313360.26</v>
      </c>
      <c r="I21" s="2127">
        <v>44567</v>
      </c>
      <c r="J21" s="1350" t="s">
        <v>1064</v>
      </c>
      <c r="K21" s="1350"/>
      <c r="L21" s="1350"/>
      <c r="M21" s="1350">
        <v>0</v>
      </c>
      <c r="N21" s="1978">
        <v>9800000</v>
      </c>
      <c r="P21" s="2127">
        <f t="shared" si="2"/>
        <v>44596</v>
      </c>
      <c r="Q21" s="1350" t="s">
        <v>1065</v>
      </c>
      <c r="R21" s="1350"/>
      <c r="S21" s="1350"/>
      <c r="T21" s="1350">
        <v>0</v>
      </c>
      <c r="U21" s="1978">
        <v>1326400</v>
      </c>
      <c r="W21" s="2127">
        <v>44631</v>
      </c>
      <c r="X21" s="1350" t="s">
        <v>1065</v>
      </c>
      <c r="Y21" s="1350"/>
      <c r="Z21" s="1350"/>
      <c r="AA21" s="1350"/>
      <c r="AB21" s="1978">
        <v>0</v>
      </c>
    </row>
    <row r="22" spans="2:28">
      <c r="B22" s="2636"/>
      <c r="C22" s="64" t="s">
        <v>1066</v>
      </c>
      <c r="D22" s="64">
        <f t="shared" si="0"/>
        <v>13313360.26</v>
      </c>
      <c r="E22" s="64">
        <v>766091012.52</v>
      </c>
      <c r="F22" s="64">
        <v>690548828.9</v>
      </c>
      <c r="G22" s="64">
        <f t="shared" si="1"/>
        <v>88855543.88</v>
      </c>
      <c r="I22" s="2127">
        <v>44567</v>
      </c>
      <c r="J22" s="1350" t="s">
        <v>1067</v>
      </c>
      <c r="K22" s="1350"/>
      <c r="L22" s="1350"/>
      <c r="M22" s="1350">
        <v>0</v>
      </c>
      <c r="N22" s="1978">
        <v>50000000</v>
      </c>
      <c r="P22" s="2127">
        <f t="shared" si="2"/>
        <v>44596</v>
      </c>
      <c r="Q22" s="1350" t="s">
        <v>1040</v>
      </c>
      <c r="R22" s="1350"/>
      <c r="S22" s="1350"/>
      <c r="T22" s="1350">
        <v>0</v>
      </c>
      <c r="U22" s="1978">
        <v>8050770</v>
      </c>
      <c r="W22" s="2127">
        <v>44632</v>
      </c>
      <c r="X22" s="1350" t="s">
        <v>1040</v>
      </c>
      <c r="Y22" s="1350"/>
      <c r="Z22" s="1350"/>
      <c r="AA22" s="1350">
        <v>0</v>
      </c>
      <c r="AB22" s="1978">
        <v>0</v>
      </c>
    </row>
    <row r="23" spans="2:28">
      <c r="B23" s="2636"/>
      <c r="C23"/>
      <c r="F23"/>
      <c r="I23" s="2127">
        <v>44569</v>
      </c>
      <c r="J23" s="3821" t="s">
        <v>1068</v>
      </c>
      <c r="K23" s="1350"/>
      <c r="L23" s="1350"/>
      <c r="M23" s="1350">
        <v>0</v>
      </c>
      <c r="N23" s="3822">
        <v>11000000</v>
      </c>
      <c r="P23" s="2127">
        <f t="shared" si="2"/>
        <v>44596</v>
      </c>
      <c r="Q23" s="1350" t="s">
        <v>1044</v>
      </c>
      <c r="R23" s="1350"/>
      <c r="S23" s="1350"/>
      <c r="T23" s="1350">
        <v>0</v>
      </c>
      <c r="U23" s="1978">
        <v>12215580</v>
      </c>
      <c r="W23" s="2127">
        <v>44633</v>
      </c>
      <c r="X23" s="1350" t="s">
        <v>1044</v>
      </c>
      <c r="Y23" s="1350"/>
      <c r="Z23" s="1350"/>
      <c r="AA23" s="1350">
        <v>0</v>
      </c>
      <c r="AB23" s="1978">
        <v>0</v>
      </c>
    </row>
    <row r="24" spans="2:28">
      <c r="B24" s="2636"/>
      <c r="C24"/>
      <c r="F24"/>
      <c r="I24" s="2127">
        <v>44569</v>
      </c>
      <c r="J24" s="1350" t="s">
        <v>1069</v>
      </c>
      <c r="K24" s="1350"/>
      <c r="L24" s="1350"/>
      <c r="M24" s="1350">
        <v>0</v>
      </c>
      <c r="N24" s="1978">
        <v>6408000</v>
      </c>
      <c r="P24" s="2127">
        <f t="shared" si="2"/>
        <v>44596</v>
      </c>
      <c r="Q24" s="1350" t="s">
        <v>1047</v>
      </c>
      <c r="R24" s="1350"/>
      <c r="S24" s="1350"/>
      <c r="T24" s="1350">
        <v>0</v>
      </c>
      <c r="U24" s="356">
        <v>5484210</v>
      </c>
      <c r="W24" s="2127">
        <v>44634</v>
      </c>
      <c r="X24" s="1350" t="s">
        <v>1047</v>
      </c>
      <c r="Y24" s="1350"/>
      <c r="Z24" s="1350"/>
      <c r="AA24" s="1350">
        <v>0</v>
      </c>
      <c r="AB24" s="1978">
        <v>0</v>
      </c>
    </row>
    <row r="25" spans="2:28">
      <c r="B25" s="2636"/>
      <c r="C25"/>
      <c r="F25"/>
      <c r="I25" s="2127">
        <v>44569</v>
      </c>
      <c r="J25" s="1350" t="s">
        <v>1070</v>
      </c>
      <c r="K25" s="1350"/>
      <c r="L25" s="1350"/>
      <c r="M25" s="1350">
        <v>0</v>
      </c>
      <c r="N25" s="1978">
        <v>8778000</v>
      </c>
      <c r="P25" s="2127">
        <f t="shared" si="2"/>
        <v>44596</v>
      </c>
      <c r="Q25" s="1350" t="s">
        <v>1051</v>
      </c>
      <c r="R25" s="1350"/>
      <c r="S25" s="1350"/>
      <c r="T25" s="1350">
        <v>0</v>
      </c>
      <c r="U25" s="1978">
        <v>8460440</v>
      </c>
      <c r="W25" s="2127">
        <v>44635</v>
      </c>
      <c r="X25" s="1350" t="s">
        <v>1051</v>
      </c>
      <c r="Y25" s="1350"/>
      <c r="Z25" s="1350"/>
      <c r="AA25" s="1350">
        <v>0</v>
      </c>
      <c r="AB25" s="1978">
        <v>0</v>
      </c>
    </row>
    <row r="26" spans="2:28">
      <c r="B26" s="2636" t="s">
        <v>735</v>
      </c>
      <c r="C26" t="s">
        <v>1071</v>
      </c>
      <c r="I26" s="2127">
        <v>44569</v>
      </c>
      <c r="J26" s="1350" t="s">
        <v>1059</v>
      </c>
      <c r="K26" s="1350"/>
      <c r="L26" s="1350"/>
      <c r="M26" s="1350">
        <v>0</v>
      </c>
      <c r="N26" s="1978">
        <v>9000000</v>
      </c>
      <c r="P26" s="2127">
        <f t="shared" si="2"/>
        <v>44596</v>
      </c>
      <c r="Q26" s="3826" t="s">
        <v>1072</v>
      </c>
      <c r="R26" s="1350"/>
      <c r="S26" s="1350"/>
      <c r="T26" s="1350">
        <v>0</v>
      </c>
      <c r="U26" s="3822">
        <v>10847000</v>
      </c>
      <c r="W26" s="2127">
        <v>44636</v>
      </c>
      <c r="X26" s="2430" t="s">
        <v>1072</v>
      </c>
      <c r="Y26" s="1350"/>
      <c r="Z26" s="1350"/>
      <c r="AA26" s="1350">
        <v>0</v>
      </c>
      <c r="AB26" s="1978">
        <v>0</v>
      </c>
    </row>
    <row r="27" spans="2:28">
      <c r="B27" s="2636"/>
      <c r="C27"/>
      <c r="I27" s="2127">
        <v>44573</v>
      </c>
      <c r="J27" s="1350" t="s">
        <v>1073</v>
      </c>
      <c r="K27" s="1350"/>
      <c r="L27" s="1350"/>
      <c r="M27" s="1350">
        <v>0</v>
      </c>
      <c r="N27" s="1978">
        <v>4441472</v>
      </c>
      <c r="P27" s="2127">
        <f>+P26+1</f>
        <v>44597</v>
      </c>
      <c r="Q27" s="2430" t="s">
        <v>1074</v>
      </c>
      <c r="R27" s="1350"/>
      <c r="S27" s="1350"/>
      <c r="T27" s="1350">
        <v>0</v>
      </c>
      <c r="U27" s="356">
        <v>50000000</v>
      </c>
      <c r="W27" s="2127">
        <v>44637</v>
      </c>
      <c r="X27" s="2430" t="s">
        <v>1074</v>
      </c>
      <c r="Y27" s="1350"/>
      <c r="Z27" s="1350"/>
      <c r="AA27" s="1350">
        <v>0</v>
      </c>
      <c r="AB27" s="1978">
        <v>0</v>
      </c>
    </row>
    <row r="28" ht="12" spans="2:28">
      <c r="B28" s="2636"/>
      <c r="C28" s="94"/>
      <c r="D28" s="1540" t="s">
        <v>1028</v>
      </c>
      <c r="E28" s="1540" t="s">
        <v>1029</v>
      </c>
      <c r="F28" s="1540" t="s">
        <v>660</v>
      </c>
      <c r="G28" s="1540" t="s">
        <v>1030</v>
      </c>
      <c r="I28" s="2127">
        <v>44583</v>
      </c>
      <c r="J28" s="159" t="s">
        <v>1075</v>
      </c>
      <c r="K28" s="1350"/>
      <c r="L28" s="1350">
        <v>0</v>
      </c>
      <c r="M28" s="1350">
        <v>0</v>
      </c>
      <c r="N28" s="1978">
        <v>43500000</v>
      </c>
      <c r="P28" s="2127">
        <v>44600</v>
      </c>
      <c r="Q28" s="2430" t="s">
        <v>1076</v>
      </c>
      <c r="R28" s="1350"/>
      <c r="S28" s="1350"/>
      <c r="T28" s="1350">
        <v>0</v>
      </c>
      <c r="U28" s="356">
        <v>500000000</v>
      </c>
      <c r="W28" s="2127">
        <v>44638</v>
      </c>
      <c r="X28" s="2430" t="s">
        <v>1076</v>
      </c>
      <c r="Y28" s="1350"/>
      <c r="Z28" s="1350"/>
      <c r="AA28" s="1350">
        <v>0</v>
      </c>
      <c r="AB28" s="1978">
        <v>0</v>
      </c>
    </row>
    <row r="29" spans="2:28">
      <c r="B29" s="2636"/>
      <c r="C29" s="64" t="s">
        <v>1025</v>
      </c>
      <c r="D29" s="64">
        <v>167272838</v>
      </c>
      <c r="E29">
        <v>310772297</v>
      </c>
      <c r="F29">
        <v>477078716</v>
      </c>
      <c r="G29" s="64">
        <f>+D29+E29-F29</f>
        <v>966419</v>
      </c>
      <c r="I29" s="2127">
        <v>44587</v>
      </c>
      <c r="J29" s="1350" t="s">
        <v>1077</v>
      </c>
      <c r="K29" s="1350"/>
      <c r="L29" s="1350"/>
      <c r="M29" s="1350">
        <v>0</v>
      </c>
      <c r="N29" s="1978">
        <v>45000000</v>
      </c>
      <c r="P29" s="2127">
        <v>44603</v>
      </c>
      <c r="Q29" s="3826" t="s">
        <v>1078</v>
      </c>
      <c r="R29" s="1350"/>
      <c r="S29" s="1350"/>
      <c r="T29" s="1350">
        <v>0</v>
      </c>
      <c r="U29" s="3209">
        <v>6014000</v>
      </c>
      <c r="W29" s="2127">
        <v>44639</v>
      </c>
      <c r="X29" s="2430" t="s">
        <v>1078</v>
      </c>
      <c r="Y29" s="1350"/>
      <c r="Z29" s="1350"/>
      <c r="AA29" s="1350"/>
      <c r="AB29" s="1978">
        <v>0</v>
      </c>
    </row>
    <row r="30" spans="2:28">
      <c r="B30" s="2636"/>
      <c r="C30" s="64" t="s">
        <v>1026</v>
      </c>
      <c r="D30" s="64">
        <f>+G29</f>
        <v>966419</v>
      </c>
      <c r="E30">
        <v>214850866</v>
      </c>
      <c r="F30" s="64">
        <v>211115711</v>
      </c>
      <c r="G30" s="64">
        <f>+D30+E30-F30</f>
        <v>4701574</v>
      </c>
      <c r="I30" s="2127">
        <v>44588</v>
      </c>
      <c r="J30" s="1350" t="s">
        <v>1079</v>
      </c>
      <c r="K30" s="1350"/>
      <c r="L30" s="1350"/>
      <c r="M30" s="1350">
        <v>0</v>
      </c>
      <c r="N30" s="1978">
        <v>15000000</v>
      </c>
      <c r="P30" s="2127">
        <v>44605</v>
      </c>
      <c r="Q30" s="2430" t="s">
        <v>1080</v>
      </c>
      <c r="R30" s="1350"/>
      <c r="S30" s="1350"/>
      <c r="T30" s="1350">
        <v>0</v>
      </c>
      <c r="U30" s="356">
        <v>10000000</v>
      </c>
      <c r="W30" s="2127">
        <v>44640</v>
      </c>
      <c r="X30" s="2430" t="s">
        <v>1080</v>
      </c>
      <c r="Y30" s="1350"/>
      <c r="Z30" s="1350"/>
      <c r="AA30" s="1350"/>
      <c r="AB30" s="1978">
        <v>0</v>
      </c>
    </row>
    <row r="31" spans="2:28">
      <c r="B31" s="2636"/>
      <c r="C31" s="64" t="s">
        <v>1027</v>
      </c>
      <c r="D31" s="64">
        <f t="shared" ref="D31:D40" si="3">+G30</f>
        <v>4701574</v>
      </c>
      <c r="E31">
        <v>7373494176</v>
      </c>
      <c r="F31" s="64">
        <v>6675244853</v>
      </c>
      <c r="G31" s="64">
        <f t="shared" ref="G31:G40" si="4">+D31+E31-F31</f>
        <v>702950897</v>
      </c>
      <c r="I31" s="2127">
        <v>44588</v>
      </c>
      <c r="J31" s="1350" t="s">
        <v>1081</v>
      </c>
      <c r="K31" s="1350"/>
      <c r="L31" s="1350"/>
      <c r="M31" s="1350">
        <v>0</v>
      </c>
      <c r="N31" s="1978">
        <v>5243000</v>
      </c>
      <c r="P31" s="2127">
        <v>44605</v>
      </c>
      <c r="Q31" s="1350" t="s">
        <v>1064</v>
      </c>
      <c r="R31" s="1350"/>
      <c r="S31" s="1350"/>
      <c r="T31" s="1350">
        <v>0</v>
      </c>
      <c r="U31" s="1978">
        <v>9800000</v>
      </c>
      <c r="W31" s="2127">
        <v>44641</v>
      </c>
      <c r="X31" s="1350" t="s">
        <v>1064</v>
      </c>
      <c r="Y31" s="1350"/>
      <c r="Z31" s="1350"/>
      <c r="AA31" s="1350">
        <v>0</v>
      </c>
      <c r="AB31" s="1978">
        <v>0</v>
      </c>
    </row>
    <row r="32" spans="2:28">
      <c r="B32" s="2636"/>
      <c r="C32" s="64" t="s">
        <v>1043</v>
      </c>
      <c r="D32" s="64">
        <f t="shared" si="3"/>
        <v>702950897</v>
      </c>
      <c r="E32">
        <v>300987005</v>
      </c>
      <c r="F32" s="64">
        <v>1003699823</v>
      </c>
      <c r="G32" s="64">
        <f t="shared" si="4"/>
        <v>238079</v>
      </c>
      <c r="I32" s="2127">
        <v>44588</v>
      </c>
      <c r="J32" s="159" t="s">
        <v>1082</v>
      </c>
      <c r="K32" s="1350"/>
      <c r="L32" s="1350"/>
      <c r="M32" s="1350">
        <v>0</v>
      </c>
      <c r="N32" s="1978">
        <v>18000000</v>
      </c>
      <c r="O32" s="64" t="s">
        <v>1083</v>
      </c>
      <c r="P32" s="2127">
        <v>44605</v>
      </c>
      <c r="Q32" s="2430" t="s">
        <v>1059</v>
      </c>
      <c r="R32" s="1350"/>
      <c r="S32" s="1350"/>
      <c r="T32" s="1350">
        <v>0</v>
      </c>
      <c r="U32" s="1978">
        <v>9000000</v>
      </c>
      <c r="W32" s="2127">
        <v>44642</v>
      </c>
      <c r="X32" s="2430" t="s">
        <v>1059</v>
      </c>
      <c r="Y32" s="1350"/>
      <c r="Z32" s="1350"/>
      <c r="AA32" s="1350"/>
      <c r="AB32" s="1978">
        <v>0</v>
      </c>
    </row>
    <row r="33" spans="2:28">
      <c r="B33" s="2636"/>
      <c r="C33" s="64" t="s">
        <v>1046</v>
      </c>
      <c r="D33" s="64">
        <f t="shared" si="3"/>
        <v>238079</v>
      </c>
      <c r="E33">
        <v>540771567</v>
      </c>
      <c r="F33" s="64">
        <v>540347226</v>
      </c>
      <c r="G33" s="64">
        <f t="shared" si="4"/>
        <v>662420</v>
      </c>
      <c r="I33" s="2127">
        <v>44589</v>
      </c>
      <c r="J33" s="1350" t="s">
        <v>1056</v>
      </c>
      <c r="K33" s="1350"/>
      <c r="L33" s="1350"/>
      <c r="M33" s="1350">
        <v>0</v>
      </c>
      <c r="N33" s="1978">
        <v>1750000</v>
      </c>
      <c r="P33" s="2127">
        <v>44611</v>
      </c>
      <c r="Q33" s="1350" t="s">
        <v>1081</v>
      </c>
      <c r="R33" s="1350"/>
      <c r="S33" s="1350"/>
      <c r="T33" s="1350">
        <v>0</v>
      </c>
      <c r="U33" s="1978">
        <v>5243000</v>
      </c>
      <c r="W33" s="2127">
        <v>44643</v>
      </c>
      <c r="X33" s="1350" t="s">
        <v>1081</v>
      </c>
      <c r="Y33" s="1350"/>
      <c r="Z33" s="1350"/>
      <c r="AA33" s="1350">
        <v>0</v>
      </c>
      <c r="AB33" s="1978">
        <v>0</v>
      </c>
    </row>
    <row r="34" spans="2:28">
      <c r="B34" s="2636"/>
      <c r="C34" s="64" t="s">
        <v>1050</v>
      </c>
      <c r="D34" s="64">
        <f t="shared" si="3"/>
        <v>662420</v>
      </c>
      <c r="E34">
        <v>183324600</v>
      </c>
      <c r="F34" s="64">
        <v>182645204</v>
      </c>
      <c r="G34" s="64">
        <f t="shared" si="4"/>
        <v>1341816</v>
      </c>
      <c r="I34" s="2127">
        <v>44589</v>
      </c>
      <c r="J34" s="159" t="s">
        <v>1059</v>
      </c>
      <c r="K34" s="1350"/>
      <c r="L34" s="1350"/>
      <c r="M34" s="1350"/>
      <c r="N34" s="1978">
        <v>6000000</v>
      </c>
      <c r="P34" s="2127">
        <v>44611</v>
      </c>
      <c r="Q34" s="1350" t="s">
        <v>1077</v>
      </c>
      <c r="R34" s="1350"/>
      <c r="S34" s="1350"/>
      <c r="T34" s="1350">
        <v>0</v>
      </c>
      <c r="U34" s="1978">
        <v>45000000</v>
      </c>
      <c r="W34" s="2127">
        <v>44644</v>
      </c>
      <c r="X34" s="1350" t="s">
        <v>1077</v>
      </c>
      <c r="Y34" s="1350"/>
      <c r="Z34" s="1350"/>
      <c r="AA34" s="1350">
        <v>0</v>
      </c>
      <c r="AB34" s="1978">
        <v>0</v>
      </c>
    </row>
    <row r="35" spans="2:28">
      <c r="B35" s="2636"/>
      <c r="C35" s="64" t="s">
        <v>1052</v>
      </c>
      <c r="D35" s="64">
        <f t="shared" si="3"/>
        <v>1341816</v>
      </c>
      <c r="E35">
        <v>166580473</v>
      </c>
      <c r="F35" s="64">
        <v>158391454</v>
      </c>
      <c r="G35" s="64">
        <f t="shared" si="4"/>
        <v>9530835</v>
      </c>
      <c r="I35" s="1081"/>
      <c r="J35" s="159"/>
      <c r="K35" s="1350"/>
      <c r="L35" s="1350"/>
      <c r="M35" s="1350"/>
      <c r="N35" s="1978"/>
      <c r="P35" s="2127">
        <v>44614</v>
      </c>
      <c r="Q35" s="1350" t="s">
        <v>1084</v>
      </c>
      <c r="R35" s="1350"/>
      <c r="S35" s="1350"/>
      <c r="T35" s="1350">
        <v>0</v>
      </c>
      <c r="U35" s="1978">
        <v>4441472</v>
      </c>
      <c r="W35" s="2127">
        <v>44645</v>
      </c>
      <c r="X35" s="1350" t="s">
        <v>1039</v>
      </c>
      <c r="Y35" s="1350"/>
      <c r="Z35" s="1350"/>
      <c r="AA35" s="1350">
        <v>0</v>
      </c>
      <c r="AB35" s="1978">
        <v>0</v>
      </c>
    </row>
    <row r="36" spans="2:28">
      <c r="B36" s="2636"/>
      <c r="C36" s="64" t="s">
        <v>1054</v>
      </c>
      <c r="D36" s="64">
        <f t="shared" si="3"/>
        <v>9530835</v>
      </c>
      <c r="E36">
        <v>255797747</v>
      </c>
      <c r="F36" s="64">
        <v>252811633</v>
      </c>
      <c r="G36" s="64">
        <f t="shared" si="4"/>
        <v>12516949</v>
      </c>
      <c r="I36" s="1081"/>
      <c r="J36" s="159" t="s">
        <v>151</v>
      </c>
      <c r="K36" s="1350"/>
      <c r="L36" s="1350"/>
      <c r="M36" s="1350">
        <f>SUM(M11:M35)</f>
        <v>169066901</v>
      </c>
      <c r="N36" s="1978">
        <f>SUM(N11:N35)</f>
        <v>355444810</v>
      </c>
      <c r="P36" s="2127">
        <v>44615</v>
      </c>
      <c r="Q36" s="2430" t="s">
        <v>1059</v>
      </c>
      <c r="R36" s="1350"/>
      <c r="S36" s="1350"/>
      <c r="T36" s="1350">
        <v>0</v>
      </c>
      <c r="U36" s="1978">
        <v>9000000</v>
      </c>
      <c r="W36" s="2127">
        <v>44646</v>
      </c>
      <c r="X36" s="2430" t="s">
        <v>1036</v>
      </c>
      <c r="Y36" s="1350"/>
      <c r="Z36" s="1350"/>
      <c r="AA36" s="1350"/>
      <c r="AB36" s="1978">
        <v>0</v>
      </c>
    </row>
    <row r="37" spans="2:28">
      <c r="B37" s="2636"/>
      <c r="C37" s="64" t="s">
        <v>1057</v>
      </c>
      <c r="D37" s="64">
        <f t="shared" si="3"/>
        <v>12516949</v>
      </c>
      <c r="E37">
        <v>180036901</v>
      </c>
      <c r="F37" s="64">
        <v>166969010</v>
      </c>
      <c r="G37" s="64">
        <f t="shared" si="4"/>
        <v>25584840</v>
      </c>
      <c r="I37" s="1086"/>
      <c r="J37" s="2402" t="s">
        <v>894</v>
      </c>
      <c r="K37" s="2402"/>
      <c r="L37" s="2402"/>
      <c r="M37" s="362">
        <f>+M36/E11</f>
        <v>0.612373024011749</v>
      </c>
      <c r="N37" s="3823">
        <f>+N36/F11</f>
        <v>0.595256253950984</v>
      </c>
      <c r="P37" s="2127">
        <v>44616</v>
      </c>
      <c r="Q37" s="1350" t="s">
        <v>1085</v>
      </c>
      <c r="R37" s="1350"/>
      <c r="S37" s="1350"/>
      <c r="T37" s="1350">
        <v>0</v>
      </c>
      <c r="U37" s="1978">
        <v>1750000</v>
      </c>
      <c r="W37" s="2127">
        <v>44647</v>
      </c>
      <c r="X37" s="1350" t="s">
        <v>1085</v>
      </c>
      <c r="Y37" s="1350"/>
      <c r="Z37" s="1350"/>
      <c r="AA37" s="1350">
        <v>0</v>
      </c>
      <c r="AB37" s="1978">
        <v>0</v>
      </c>
    </row>
    <row r="38" ht="12" spans="2:28">
      <c r="B38" s="1540"/>
      <c r="C38" s="64" t="s">
        <v>1060</v>
      </c>
      <c r="D38" s="64">
        <f t="shared" si="3"/>
        <v>25584840</v>
      </c>
      <c r="E38">
        <v>178133896</v>
      </c>
      <c r="F38" s="64">
        <v>203711300</v>
      </c>
      <c r="G38" s="64">
        <f t="shared" si="4"/>
        <v>7436</v>
      </c>
      <c r="I38"/>
      <c r="P38" s="2127">
        <v>44617</v>
      </c>
      <c r="Q38" s="1350" t="s">
        <v>1086</v>
      </c>
      <c r="R38" s="1350"/>
      <c r="S38" s="1350"/>
      <c r="T38" s="1350">
        <v>0</v>
      </c>
      <c r="U38" s="356">
        <v>2775000</v>
      </c>
      <c r="W38" s="2127">
        <v>44648</v>
      </c>
      <c r="X38" s="1350" t="s">
        <v>1086</v>
      </c>
      <c r="Y38" s="1350"/>
      <c r="Z38" s="1350"/>
      <c r="AA38" s="1350"/>
      <c r="AB38" s="1978">
        <v>0</v>
      </c>
    </row>
    <row r="39" spans="2:28">
      <c r="B39" s="2636"/>
      <c r="C39" s="64" t="s">
        <v>1063</v>
      </c>
      <c r="D39" s="64">
        <f t="shared" si="3"/>
        <v>7436</v>
      </c>
      <c r="E39">
        <v>186324600</v>
      </c>
      <c r="F39" s="64">
        <v>183425972</v>
      </c>
      <c r="G39" s="64">
        <f t="shared" si="4"/>
        <v>2906064</v>
      </c>
      <c r="I39"/>
      <c r="J39" s="64" t="s">
        <v>1087</v>
      </c>
      <c r="P39" s="2127">
        <v>44617</v>
      </c>
      <c r="Q39" s="1350" t="s">
        <v>1040</v>
      </c>
      <c r="R39" s="1350"/>
      <c r="S39" s="1350"/>
      <c r="T39" s="1350">
        <v>0</v>
      </c>
      <c r="U39" s="1978">
        <v>8050770</v>
      </c>
      <c r="W39" s="2127">
        <v>44649</v>
      </c>
      <c r="X39" s="1350" t="s">
        <v>1040</v>
      </c>
      <c r="Y39" s="1350"/>
      <c r="Z39" s="1350"/>
      <c r="AA39" s="1350">
        <v>0</v>
      </c>
      <c r="AB39" s="1978">
        <v>0</v>
      </c>
    </row>
    <row r="40" spans="2:28">
      <c r="B40" s="2636"/>
      <c r="C40" s="64" t="s">
        <v>1066</v>
      </c>
      <c r="D40" s="64">
        <f t="shared" si="3"/>
        <v>2906064</v>
      </c>
      <c r="E40">
        <v>8926227137</v>
      </c>
      <c r="F40" s="64">
        <v>8927527503</v>
      </c>
      <c r="G40" s="64">
        <f t="shared" si="4"/>
        <v>1605698</v>
      </c>
      <c r="J40" s="64" t="s">
        <v>1088</v>
      </c>
      <c r="P40" s="2127">
        <v>44617</v>
      </c>
      <c r="Q40" s="1350" t="s">
        <v>1044</v>
      </c>
      <c r="R40" s="1350"/>
      <c r="S40" s="1350"/>
      <c r="T40" s="1350">
        <v>0</v>
      </c>
      <c r="U40" s="1978">
        <v>12215580</v>
      </c>
      <c r="W40" s="2127">
        <v>44650</v>
      </c>
      <c r="X40" s="1350" t="s">
        <v>1044</v>
      </c>
      <c r="Y40" s="1350"/>
      <c r="Z40" s="1350"/>
      <c r="AA40" s="1350">
        <v>0</v>
      </c>
      <c r="AB40" s="1978">
        <v>0</v>
      </c>
    </row>
    <row r="41" spans="2:28">
      <c r="B41" s="2636"/>
      <c r="C41"/>
      <c r="F41"/>
      <c r="J41" s="64" t="s">
        <v>1089</v>
      </c>
      <c r="P41" s="2127">
        <v>44617</v>
      </c>
      <c r="Q41" s="1350" t="s">
        <v>1047</v>
      </c>
      <c r="R41" s="1350"/>
      <c r="S41" s="1350"/>
      <c r="T41" s="1350">
        <v>0</v>
      </c>
      <c r="U41" s="356">
        <v>5484210</v>
      </c>
      <c r="W41" s="2127">
        <v>44651</v>
      </c>
      <c r="X41" s="1350" t="s">
        <v>1047</v>
      </c>
      <c r="Y41" s="1350"/>
      <c r="Z41" s="1350"/>
      <c r="AA41" s="1350">
        <v>0</v>
      </c>
      <c r="AB41" s="1978">
        <v>0</v>
      </c>
    </row>
    <row r="42" spans="2:28">
      <c r="B42" s="2636"/>
      <c r="C42"/>
      <c r="F42"/>
      <c r="J42" s="64" t="s">
        <v>1090</v>
      </c>
      <c r="P42" s="2127">
        <v>44617</v>
      </c>
      <c r="Q42" s="1350" t="s">
        <v>1051</v>
      </c>
      <c r="R42" s="1350"/>
      <c r="S42" s="1350"/>
      <c r="T42" s="1350">
        <v>0</v>
      </c>
      <c r="U42" s="1978">
        <v>8460440</v>
      </c>
      <c r="W42" s="2127">
        <v>44652</v>
      </c>
      <c r="X42" s="1350" t="s">
        <v>1051</v>
      </c>
      <c r="Y42" s="1350"/>
      <c r="Z42" s="1350"/>
      <c r="AA42" s="1350">
        <v>0</v>
      </c>
      <c r="AB42" s="1978">
        <v>0</v>
      </c>
    </row>
    <row r="43" spans="2:28">
      <c r="B43" s="2636"/>
      <c r="C43"/>
      <c r="F43"/>
      <c r="P43" s="2027"/>
      <c r="Q43" s="2430"/>
      <c r="R43" s="1350"/>
      <c r="S43" s="1350"/>
      <c r="T43" s="1350"/>
      <c r="U43" s="1978"/>
      <c r="W43" s="2027"/>
      <c r="X43" s="2430"/>
      <c r="Y43" s="1350"/>
      <c r="Z43" s="1350"/>
      <c r="AA43" s="1350"/>
      <c r="AB43" s="1978"/>
    </row>
    <row r="44" spans="2:28">
      <c r="B44" s="2636"/>
      <c r="C44"/>
      <c r="F44"/>
      <c r="P44" s="2027"/>
      <c r="Q44" s="1350"/>
      <c r="R44" s="1350"/>
      <c r="S44" s="1350"/>
      <c r="T44" s="1350">
        <f>SUM(T11:T43)</f>
        <v>835101982</v>
      </c>
      <c r="U44" s="1978">
        <f>SUM(U11:U43)</f>
        <v>747562872</v>
      </c>
      <c r="W44" s="2027"/>
      <c r="X44" s="1350"/>
      <c r="Y44" s="1350"/>
      <c r="Z44" s="1350"/>
      <c r="AA44" s="1350">
        <f>SUM(AA11:AA43)</f>
        <v>68956974</v>
      </c>
      <c r="AB44" s="1978">
        <f>SUM(AB11:AB43)</f>
        <v>8516998</v>
      </c>
    </row>
    <row r="45" spans="2:28">
      <c r="B45" s="2636"/>
      <c r="C45" t="s">
        <v>1091</v>
      </c>
      <c r="F45"/>
      <c r="P45" s="1086"/>
      <c r="Q45" s="2402"/>
      <c r="R45" s="2402"/>
      <c r="S45" s="2402"/>
      <c r="T45" s="362">
        <f>+T44/E12</f>
        <v>0.778464921394952</v>
      </c>
      <c r="U45" s="3823">
        <f>+U44/F12</f>
        <v>0.817584949164465</v>
      </c>
      <c r="W45" s="1086"/>
      <c r="X45" s="2402"/>
      <c r="Y45" s="2402"/>
      <c r="Z45" s="2402"/>
      <c r="AA45" s="362">
        <f>+AA44/E13</f>
        <v>0.0456079713193821</v>
      </c>
      <c r="AB45" s="3823">
        <f>+AB44/F13</f>
        <v>0.00777182276806641</v>
      </c>
    </row>
    <row r="46" spans="2:7">
      <c r="B46" s="2636"/>
      <c r="C46"/>
      <c r="F46" t="s">
        <v>1092</v>
      </c>
      <c r="G46" s="64" t="s">
        <v>1034</v>
      </c>
    </row>
    <row r="47" spans="2:6">
      <c r="B47" s="2127">
        <v>44917</v>
      </c>
      <c r="C47" s="2623" t="s">
        <v>1093</v>
      </c>
      <c r="F47">
        <v>3000000000</v>
      </c>
    </row>
    <row r="48" spans="2:9">
      <c r="B48" s="2127">
        <v>44917</v>
      </c>
      <c r="C48" t="s">
        <v>1094</v>
      </c>
      <c r="F48"/>
      <c r="G48" s="64">
        <v>1500000000</v>
      </c>
      <c r="H48" s="64" t="s">
        <v>1095</v>
      </c>
      <c r="I48" s="64" t="s">
        <v>1096</v>
      </c>
    </row>
  </sheetData>
  <pageMargins left="0.7" right="0.7" top="0.75" bottom="0.75" header="0.3" footer="0.3"/>
  <pageSetup paperSize="1"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5"/>
  <dimension ref="B3:P45"/>
  <sheetViews>
    <sheetView showGridLines="0" zoomScale="130" zoomScaleNormal="130" workbookViewId="0">
      <pane xSplit="3" ySplit="6" topLeftCell="D7" activePane="bottomRight" state="frozen"/>
      <selection/>
      <selection pane="topRight"/>
      <selection pane="bottomLeft"/>
      <selection pane="bottomRight" activeCell="H10" sqref="H10"/>
    </sheetView>
  </sheetViews>
  <sheetFormatPr defaultColWidth="9" defaultRowHeight="11.4"/>
  <cols>
    <col min="1" max="1" width="2.25" customWidth="1"/>
    <col min="2" max="2" width="6.4375" customWidth="1"/>
    <col min="3" max="3" width="12.1354166666667" customWidth="1"/>
    <col min="4" max="4" width="19.03125" customWidth="1"/>
    <col min="6" max="6" width="7.9375" customWidth="1"/>
    <col min="7" max="7" width="11.3854166666667" customWidth="1"/>
    <col min="8" max="8" width="10.3333333333333" customWidth="1"/>
    <col min="9" max="9" width="13.9375" customWidth="1"/>
    <col min="10" max="10" width="14.3854166666667" customWidth="1"/>
    <col min="11" max="11" width="16.9270833333333" customWidth="1"/>
    <col min="14" max="14" width="6.89583333333333" customWidth="1"/>
    <col min="15" max="15" width="24.125" customWidth="1"/>
  </cols>
  <sheetData>
    <row r="3" ht="12" spans="2:5">
      <c r="B3" s="94" t="s">
        <v>1097</v>
      </c>
      <c r="E3" s="2542"/>
    </row>
    <row r="4" spans="2:5">
      <c r="B4" t="s">
        <v>1098</v>
      </c>
      <c r="E4" s="2542"/>
    </row>
    <row r="5" spans="5:5">
      <c r="E5" s="2542"/>
    </row>
    <row r="6" s="94" customFormat="1" ht="30" customHeight="1" spans="2:16">
      <c r="B6" s="754" t="s">
        <v>1021</v>
      </c>
      <c r="C6" s="756" t="s">
        <v>1099</v>
      </c>
      <c r="D6" s="754" t="s">
        <v>1100</v>
      </c>
      <c r="E6" s="2660" t="s">
        <v>999</v>
      </c>
      <c r="F6" s="3798" t="s">
        <v>1101</v>
      </c>
      <c r="G6" s="3799" t="s">
        <v>1102</v>
      </c>
      <c r="H6" s="3798" t="s">
        <v>1103</v>
      </c>
      <c r="I6" s="3799" t="s">
        <v>1104</v>
      </c>
      <c r="J6" s="3798" t="s">
        <v>1105</v>
      </c>
      <c r="K6" s="2101" t="s">
        <v>146</v>
      </c>
      <c r="L6" s="3799" t="s">
        <v>1106</v>
      </c>
      <c r="M6" s="3799" t="s">
        <v>1107</v>
      </c>
      <c r="N6" s="757" t="s">
        <v>661</v>
      </c>
      <c r="O6" s="757" t="s">
        <v>1108</v>
      </c>
      <c r="P6" t="s">
        <v>1109</v>
      </c>
    </row>
    <row r="7" spans="2:15">
      <c r="B7" s="191"/>
      <c r="C7" s="159"/>
      <c r="D7" s="191">
        <v>0</v>
      </c>
      <c r="E7" s="191"/>
      <c r="F7" s="191"/>
      <c r="G7" s="159"/>
      <c r="H7" s="191"/>
      <c r="J7" s="173"/>
      <c r="L7" s="191"/>
      <c r="M7" s="191"/>
      <c r="O7" s="191"/>
    </row>
    <row r="8" ht="12" spans="2:15">
      <c r="B8" s="191"/>
      <c r="C8" s="94" t="s">
        <v>1110</v>
      </c>
      <c r="D8" s="191"/>
      <c r="E8" s="191"/>
      <c r="F8" s="3800"/>
      <c r="H8" s="191"/>
      <c r="I8" s="3811"/>
      <c r="J8" s="191"/>
      <c r="K8" s="159"/>
      <c r="L8" s="3812"/>
      <c r="M8" s="191"/>
      <c r="N8" s="159"/>
      <c r="O8" s="191"/>
    </row>
    <row r="9" spans="2:15">
      <c r="B9" s="2134">
        <v>1</v>
      </c>
      <c r="C9" t="s">
        <v>1111</v>
      </c>
      <c r="D9" s="3801">
        <v>1270006446437</v>
      </c>
      <c r="E9" s="2134" t="str">
        <f>+A!E21</f>
        <v>β/b1</v>
      </c>
      <c r="F9" s="3802">
        <f>+J9/H9</f>
        <v>409.405148546652</v>
      </c>
      <c r="G9" s="3803">
        <f>+I9/H9</f>
        <v>405.15</v>
      </c>
      <c r="H9" s="2016">
        <v>15567.5</v>
      </c>
      <c r="I9" s="3811">
        <v>6307172.625</v>
      </c>
      <c r="J9" s="191">
        <f>405.15*15731</f>
        <v>6373414.65</v>
      </c>
      <c r="K9" s="356">
        <f>+I9-J9</f>
        <v>-66242.0249999994</v>
      </c>
      <c r="L9" s="3813"/>
      <c r="M9" s="191"/>
      <c r="N9" s="159" t="s">
        <v>1112</v>
      </c>
      <c r="O9" s="191"/>
    </row>
    <row r="10" spans="2:15">
      <c r="B10" s="2134"/>
      <c r="E10" s="191"/>
      <c r="F10" s="3802"/>
      <c r="G10" s="191"/>
      <c r="I10" s="1086"/>
      <c r="J10" s="142"/>
      <c r="K10" s="302"/>
      <c r="L10" s="3813"/>
      <c r="M10" s="2134"/>
      <c r="O10" s="191"/>
    </row>
    <row r="11" spans="2:15">
      <c r="B11" s="191"/>
      <c r="D11" s="3801" t="s">
        <v>1113</v>
      </c>
      <c r="E11" s="2134">
        <f>+A!E18</f>
        <v>0</v>
      </c>
      <c r="G11" s="3803"/>
      <c r="I11" s="3814">
        <f>SUM(I9:I9)</f>
        <v>6307172.625</v>
      </c>
      <c r="J11" s="356">
        <f>SUM(J9:J9)</f>
        <v>6373414.65</v>
      </c>
      <c r="K11" s="356">
        <f>SUM(K9:K9)</f>
        <v>-66242.0249999994</v>
      </c>
      <c r="L11" s="3813"/>
      <c r="M11" s="191"/>
      <c r="N11" s="159"/>
      <c r="O11" s="191"/>
    </row>
    <row r="12" ht="12" spans="2:15">
      <c r="B12" s="191"/>
      <c r="C12" s="94" t="s">
        <v>1114</v>
      </c>
      <c r="D12" s="3801"/>
      <c r="E12" s="191"/>
      <c r="F12" s="356"/>
      <c r="G12" s="191"/>
      <c r="H12" s="356"/>
      <c r="I12" s="3815"/>
      <c r="J12" s="356"/>
      <c r="K12" s="356"/>
      <c r="L12" s="3813"/>
      <c r="M12" s="191"/>
      <c r="N12" s="159"/>
      <c r="O12" s="191"/>
    </row>
    <row r="13" spans="2:15">
      <c r="B13" s="191"/>
      <c r="C13" t="s">
        <v>1115</v>
      </c>
      <c r="D13" s="3801">
        <v>1270006361602</v>
      </c>
      <c r="E13" s="191"/>
      <c r="F13" s="191"/>
      <c r="H13" s="191"/>
      <c r="I13" s="3815">
        <v>1484994</v>
      </c>
      <c r="J13" s="356">
        <f>+'[75]Kas bank'!$F$3</f>
        <v>1484994.14999997</v>
      </c>
      <c r="K13" s="356">
        <f>+I13-J13</f>
        <v>-0.149999967776239</v>
      </c>
      <c r="L13" s="3813"/>
      <c r="M13" s="191"/>
      <c r="N13" s="159" t="s">
        <v>1112</v>
      </c>
      <c r="O13" s="191"/>
    </row>
    <row r="14" spans="2:15">
      <c r="B14" s="191"/>
      <c r="C14" t="s">
        <v>1116</v>
      </c>
      <c r="D14" s="3801">
        <v>127000630778</v>
      </c>
      <c r="E14" s="191"/>
      <c r="F14" s="191"/>
      <c r="H14" s="191"/>
      <c r="I14" s="3815">
        <v>186734445</v>
      </c>
      <c r="J14" s="356">
        <f>+A!G23</f>
        <v>186734445.23</v>
      </c>
      <c r="K14" s="356">
        <f>+I14-J14</f>
        <v>-0.230000436306</v>
      </c>
      <c r="L14" s="3813"/>
      <c r="M14" s="191"/>
      <c r="N14" s="159" t="s">
        <v>1112</v>
      </c>
      <c r="O14" s="191"/>
    </row>
    <row r="15" spans="2:15">
      <c r="B15" s="191"/>
      <c r="C15" t="s">
        <v>1117</v>
      </c>
      <c r="D15" s="3801">
        <v>8338445199</v>
      </c>
      <c r="E15" s="191"/>
      <c r="F15" s="191"/>
      <c r="H15" s="191"/>
      <c r="I15" s="3815">
        <v>1630698</v>
      </c>
      <c r="J15" s="356">
        <f>+'[75]Kas bank'!$F$8</f>
        <v>1605698</v>
      </c>
      <c r="K15" s="356">
        <f>+I15-J15</f>
        <v>25000</v>
      </c>
      <c r="L15" s="3813"/>
      <c r="M15" s="191"/>
      <c r="N15" s="159" t="s">
        <v>1112</v>
      </c>
      <c r="O15" s="191"/>
    </row>
    <row r="16" spans="2:15">
      <c r="B16" s="191"/>
      <c r="C16" t="s">
        <v>1118</v>
      </c>
      <c r="D16" s="3801" t="s">
        <v>1119</v>
      </c>
      <c r="E16" s="191"/>
      <c r="F16" s="191"/>
      <c r="H16" s="191"/>
      <c r="I16" s="3815">
        <f>+J16</f>
        <v>5863163</v>
      </c>
      <c r="J16" s="356">
        <f>+'[75]Kas bank'!$F$10</f>
        <v>5863163</v>
      </c>
      <c r="K16" s="356">
        <f>+I16-J16</f>
        <v>0</v>
      </c>
      <c r="L16" s="3813"/>
      <c r="M16" s="191"/>
      <c r="N16" s="159" t="s">
        <v>1112</v>
      </c>
      <c r="O16" s="191"/>
    </row>
    <row r="17" spans="2:15">
      <c r="B17" s="191"/>
      <c r="C17" s="142"/>
      <c r="D17" s="142"/>
      <c r="E17" s="191"/>
      <c r="F17" s="191"/>
      <c r="G17" s="159"/>
      <c r="H17" s="191"/>
      <c r="I17" s="3816"/>
      <c r="J17" s="356"/>
      <c r="K17" s="356"/>
      <c r="M17" s="191"/>
      <c r="N17" s="159"/>
      <c r="O17" s="191"/>
    </row>
    <row r="18" spans="2:15">
      <c r="B18" s="142"/>
      <c r="C18" s="1086"/>
      <c r="D18" s="142" t="s">
        <v>1120</v>
      </c>
      <c r="E18" s="29"/>
      <c r="F18" s="29"/>
      <c r="G18" s="762"/>
      <c r="H18" s="29"/>
      <c r="I18" s="597">
        <f>SUM(I13:I17)</f>
        <v>195713300</v>
      </c>
      <c r="J18" s="29">
        <f>SUM(J13:J17)</f>
        <v>195688300.38</v>
      </c>
      <c r="K18" s="253">
        <f>SUM(K13:K17)</f>
        <v>24999.6199995959</v>
      </c>
      <c r="L18" s="762"/>
      <c r="M18" s="29"/>
      <c r="N18" s="253"/>
      <c r="O18" s="142"/>
    </row>
    <row r="19" spans="2:15">
      <c r="B19" s="142"/>
      <c r="C19" s="1086"/>
      <c r="D19" s="142" t="s">
        <v>1121</v>
      </c>
      <c r="E19" s="29"/>
      <c r="F19" s="29"/>
      <c r="G19" s="253"/>
      <c r="H19" s="29"/>
      <c r="I19" s="1086">
        <f>+I18+I11</f>
        <v>202020472.625</v>
      </c>
      <c r="J19" s="142">
        <f>+J18+J11</f>
        <v>202061715.03</v>
      </c>
      <c r="K19" s="302">
        <f>+K18+K11</f>
        <v>-41242.4050004035</v>
      </c>
      <c r="L19" s="762"/>
      <c r="M19" s="762"/>
      <c r="N19" s="253"/>
      <c r="O19" s="29"/>
    </row>
    <row r="20" spans="2:15">
      <c r="B20" s="159"/>
      <c r="C20" s="3804" t="s">
        <v>1122</v>
      </c>
      <c r="D20" s="159"/>
      <c r="E20" s="159"/>
      <c r="F20" s="159"/>
      <c r="G20" s="159"/>
      <c r="H20" s="159"/>
      <c r="I20" s="159">
        <f>+I19-A!L28</f>
        <v>24999.6199995875</v>
      </c>
      <c r="J20" s="3817">
        <f>+J19-A!L28</f>
        <v>66242.025000006</v>
      </c>
      <c r="L20" s="159"/>
      <c r="M20" s="159"/>
      <c r="N20" s="159"/>
      <c r="O20" s="159"/>
    </row>
    <row r="21" spans="4:7">
      <c r="D21" s="3805">
        <v>15405.65</v>
      </c>
      <c r="E21" s="3805">
        <v>15252.35</v>
      </c>
      <c r="F21" s="3805">
        <f>SUM(D21:E21)</f>
        <v>30658</v>
      </c>
      <c r="G21" s="3805"/>
    </row>
    <row r="22" spans="9:9">
      <c r="I22" t="s">
        <v>1123</v>
      </c>
    </row>
    <row r="24" ht="12" spans="2:5">
      <c r="B24" s="94" t="s">
        <v>1097</v>
      </c>
      <c r="E24" s="2542"/>
    </row>
    <row r="25" spans="2:5">
      <c r="B25" t="s">
        <v>1124</v>
      </c>
      <c r="E25" s="2542"/>
    </row>
    <row r="26" spans="5:5">
      <c r="E26" s="2542"/>
    </row>
    <row r="27" ht="36" spans="2:15">
      <c r="B27" s="3799" t="s">
        <v>1021</v>
      </c>
      <c r="C27" s="3806" t="s">
        <v>1099</v>
      </c>
      <c r="D27" s="3807" t="s">
        <v>1100</v>
      </c>
      <c r="E27" s="3798" t="s">
        <v>999</v>
      </c>
      <c r="F27" s="3798" t="s">
        <v>1101</v>
      </c>
      <c r="G27" s="3799" t="s">
        <v>1102</v>
      </c>
      <c r="H27" s="3798" t="s">
        <v>1103</v>
      </c>
      <c r="I27" s="3799" t="s">
        <v>1104</v>
      </c>
      <c r="J27" s="3818" t="s">
        <v>1125</v>
      </c>
      <c r="K27" s="2660" t="s">
        <v>146</v>
      </c>
      <c r="L27" s="3799" t="s">
        <v>1106</v>
      </c>
      <c r="M27" s="3799" t="s">
        <v>1107</v>
      </c>
      <c r="N27" s="3819" t="s">
        <v>661</v>
      </c>
      <c r="O27" s="3819" t="s">
        <v>1108</v>
      </c>
    </row>
    <row r="28" spans="2:15">
      <c r="B28" s="191"/>
      <c r="C28" s="159"/>
      <c r="D28" s="1081">
        <v>0</v>
      </c>
      <c r="E28" s="191"/>
      <c r="F28" s="1094"/>
      <c r="G28" s="159"/>
      <c r="H28" s="1081"/>
      <c r="I28" s="191"/>
      <c r="K28" s="191"/>
      <c r="M28" s="191"/>
      <c r="O28" s="191"/>
    </row>
    <row r="29" ht="12" spans="2:15">
      <c r="B29" s="191"/>
      <c r="C29" s="94" t="s">
        <v>1110</v>
      </c>
      <c r="D29" s="1081"/>
      <c r="E29" s="191"/>
      <c r="F29" s="3808"/>
      <c r="G29" s="3803"/>
      <c r="H29" s="159"/>
      <c r="I29" s="191"/>
      <c r="K29" s="191"/>
      <c r="L29" s="3813"/>
      <c r="M29" s="191"/>
      <c r="N29" s="159"/>
      <c r="O29" s="191"/>
    </row>
    <row r="30" spans="2:15">
      <c r="B30" s="2134">
        <v>1</v>
      </c>
      <c r="C30" t="s">
        <v>1111</v>
      </c>
      <c r="D30" s="3809">
        <v>1270006446437</v>
      </c>
      <c r="E30" s="2134" t="str">
        <f>+E9</f>
        <v>β/b1</v>
      </c>
      <c r="F30" s="2016">
        <f>+J30/H30</f>
        <v>416.987039211356</v>
      </c>
      <c r="G30" s="191">
        <f>+I30/H30</f>
        <v>416.87</v>
      </c>
      <c r="H30" s="3802">
        <v>14265</v>
      </c>
      <c r="I30" s="191">
        <f>+A!I73</f>
        <v>5946650.55</v>
      </c>
      <c r="J30">
        <f>+A!M21</f>
        <v>5948320.11435</v>
      </c>
      <c r="K30" s="191">
        <f>+I30-J30</f>
        <v>-1669.56435000058</v>
      </c>
      <c r="L30" s="3813"/>
      <c r="M30" s="191"/>
      <c r="N30" s="159" t="s">
        <v>1112</v>
      </c>
      <c r="O30" s="191"/>
    </row>
    <row r="31" spans="2:15">
      <c r="B31" s="2134"/>
      <c r="D31" s="2542"/>
      <c r="E31" s="191"/>
      <c r="G31" s="191"/>
      <c r="H31" s="3802"/>
      <c r="I31" s="142"/>
      <c r="J31" s="164"/>
      <c r="K31" s="142"/>
      <c r="L31" s="3813"/>
      <c r="M31" s="2134"/>
      <c r="O31" s="191"/>
    </row>
    <row r="32" spans="2:15">
      <c r="B32" s="191"/>
      <c r="D32" s="3801" t="s">
        <v>1113</v>
      </c>
      <c r="E32" s="191">
        <f>+A!E36</f>
        <v>0</v>
      </c>
      <c r="G32" s="3803"/>
      <c r="I32" s="173">
        <f>SUM(I30:I30)</f>
        <v>5946650.55</v>
      </c>
      <c r="J32">
        <f>SUM(J30:J30)</f>
        <v>5948320.11435</v>
      </c>
      <c r="K32" s="191">
        <f>SUM(K30:K30)</f>
        <v>-1669.56435000058</v>
      </c>
      <c r="L32" s="3813"/>
      <c r="M32" s="191"/>
      <c r="N32" s="159"/>
      <c r="O32" s="191"/>
    </row>
    <row r="33" ht="12" spans="2:15">
      <c r="B33" s="191"/>
      <c r="C33" s="94" t="s">
        <v>1114</v>
      </c>
      <c r="D33" s="3801"/>
      <c r="E33" s="191"/>
      <c r="F33" s="159"/>
      <c r="G33" s="191"/>
      <c r="H33" s="159"/>
      <c r="I33" s="191"/>
      <c r="K33" s="191"/>
      <c r="L33" s="3813"/>
      <c r="M33" s="191"/>
      <c r="N33" s="159"/>
      <c r="O33" s="191"/>
    </row>
    <row r="34" spans="2:15">
      <c r="B34" s="191"/>
      <c r="C34" t="s">
        <v>1115</v>
      </c>
      <c r="D34" s="3801">
        <v>1270006361602</v>
      </c>
      <c r="E34" s="191"/>
      <c r="F34" s="159"/>
      <c r="G34" s="191"/>
      <c r="H34" s="159"/>
      <c r="I34" s="3815">
        <v>2237674.8</v>
      </c>
      <c r="J34">
        <v>2237674.80000002</v>
      </c>
      <c r="K34" s="191">
        <f>+I34-J34</f>
        <v>-2.09547579288483e-8</v>
      </c>
      <c r="L34" s="3813"/>
      <c r="M34" s="191"/>
      <c r="N34" s="159" t="s">
        <v>1112</v>
      </c>
      <c r="O34" s="191"/>
    </row>
    <row r="35" spans="2:15">
      <c r="B35" s="191"/>
      <c r="C35" t="s">
        <v>1116</v>
      </c>
      <c r="D35" s="3801">
        <v>127000630778</v>
      </c>
      <c r="E35" s="191"/>
      <c r="F35" s="191"/>
      <c r="H35" s="1081"/>
      <c r="I35" s="3815">
        <v>88855543.88</v>
      </c>
      <c r="J35">
        <v>88855543.7299999</v>
      </c>
      <c r="K35" s="191">
        <f>+I35-J35</f>
        <v>0.150000110268593</v>
      </c>
      <c r="L35" s="3813"/>
      <c r="M35" s="191"/>
      <c r="N35" s="159" t="s">
        <v>1112</v>
      </c>
      <c r="O35" s="191"/>
    </row>
    <row r="36" spans="2:15">
      <c r="B36" s="191"/>
      <c r="C36" t="s">
        <v>1117</v>
      </c>
      <c r="D36" s="3801">
        <v>8338445199</v>
      </c>
      <c r="E36" s="191"/>
      <c r="F36" s="191"/>
      <c r="H36" s="1081"/>
      <c r="I36" s="3815">
        <v>167272838</v>
      </c>
      <c r="J36" s="1066">
        <v>167272838</v>
      </c>
      <c r="K36" s="191">
        <f>+I36-J36</f>
        <v>0</v>
      </c>
      <c r="L36" s="3813"/>
      <c r="M36" s="191"/>
      <c r="N36" s="159" t="s">
        <v>1112</v>
      </c>
      <c r="O36" s="191"/>
    </row>
    <row r="37" spans="2:15">
      <c r="B37" s="191"/>
      <c r="C37" t="s">
        <v>1118</v>
      </c>
      <c r="D37" s="3801" t="s">
        <v>1119</v>
      </c>
      <c r="E37" s="191"/>
      <c r="F37" s="191"/>
      <c r="H37" s="1081"/>
      <c r="I37" s="3815">
        <f>+J37</f>
        <v>9153453</v>
      </c>
      <c r="J37">
        <v>9153453</v>
      </c>
      <c r="K37" s="191">
        <f>+I37-J37</f>
        <v>0</v>
      </c>
      <c r="L37" s="3813"/>
      <c r="M37" s="191"/>
      <c r="N37" s="159" t="s">
        <v>1112</v>
      </c>
      <c r="O37" s="191"/>
    </row>
    <row r="38" spans="2:15">
      <c r="B38" s="191"/>
      <c r="C38" s="142"/>
      <c r="D38" s="3810"/>
      <c r="E38" s="191"/>
      <c r="F38" s="191"/>
      <c r="G38" s="159"/>
      <c r="H38" s="1081"/>
      <c r="I38" s="142"/>
      <c r="K38" s="191"/>
      <c r="M38" s="191"/>
      <c r="N38" s="159"/>
      <c r="O38" s="191"/>
    </row>
    <row r="39" spans="2:15">
      <c r="B39" s="142"/>
      <c r="C39" s="1086"/>
      <c r="D39" s="142" t="s">
        <v>1120</v>
      </c>
      <c r="E39" s="29"/>
      <c r="F39" s="29"/>
      <c r="G39" s="762"/>
      <c r="H39" s="597"/>
      <c r="I39" s="29">
        <f>SUM(I34:I38)</f>
        <v>267519509.68</v>
      </c>
      <c r="J39" s="762">
        <f>SUM(J34:J38)</f>
        <v>267519509.53</v>
      </c>
      <c r="K39" s="29">
        <f>SUM(K34:K38)</f>
        <v>0.150000089313835</v>
      </c>
      <c r="L39" s="762"/>
      <c r="M39" s="29"/>
      <c r="N39" s="253"/>
      <c r="O39" s="142"/>
    </row>
    <row r="40" spans="2:15">
      <c r="B40" s="142"/>
      <c r="C40" s="1086"/>
      <c r="D40" s="142" t="s">
        <v>1121</v>
      </c>
      <c r="E40" s="29"/>
      <c r="F40" s="29"/>
      <c r="G40" s="762"/>
      <c r="H40" s="597"/>
      <c r="I40" s="29">
        <f>+I39+I32</f>
        <v>273466160.23</v>
      </c>
      <c r="J40" s="762">
        <f>+J39+J32</f>
        <v>273467829.64435</v>
      </c>
      <c r="K40" s="29">
        <f>+K39+K32</f>
        <v>-1669.41434991127</v>
      </c>
      <c r="L40" s="762"/>
      <c r="M40" s="762"/>
      <c r="N40" s="762"/>
      <c r="O40" s="29"/>
    </row>
    <row r="41" spans="2:15">
      <c r="B41" s="159"/>
      <c r="C41" s="3804" t="s">
        <v>1122</v>
      </c>
      <c r="D41" s="159"/>
      <c r="E41" s="159"/>
      <c r="F41" s="159"/>
      <c r="G41" s="159"/>
      <c r="H41" s="159"/>
      <c r="J41" s="159">
        <f>+J40-A!R28</f>
        <v>1669.56435000896</v>
      </c>
      <c r="L41" s="159"/>
      <c r="M41" s="159"/>
      <c r="N41" s="159"/>
      <c r="O41" s="159"/>
    </row>
    <row r="45" ht="12" spans="3:8">
      <c r="C45" t="s">
        <v>1126</v>
      </c>
      <c r="H45" s="94">
        <f>+F21/2</f>
        <v>15329</v>
      </c>
    </row>
  </sheetData>
  <pageMargins left="0.7" right="0.7" top="0.75" bottom="0.75" header="0.3" footer="0.3"/>
  <pageSetup paperSize="1"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3"/>
  <dimension ref="B2:M62"/>
  <sheetViews>
    <sheetView showGridLines="0" zoomScale="145" zoomScaleNormal="145" workbookViewId="0">
      <pane xSplit="3" ySplit="6" topLeftCell="D7" activePane="bottomRight" state="frozen"/>
      <selection/>
      <selection pane="topRight"/>
      <selection pane="bottomLeft"/>
      <selection pane="bottomRight" activeCell="D24" sqref="D24"/>
    </sheetView>
  </sheetViews>
  <sheetFormatPr defaultColWidth="9" defaultRowHeight="11.4"/>
  <cols>
    <col min="2" max="2" width="3.73958333333333" customWidth="1"/>
    <col min="3" max="3" width="34.15625" customWidth="1"/>
    <col min="4" max="4" width="34.15625" customWidth="1"/>
    <col min="5" max="5" width="2.84375" customWidth="1"/>
    <col min="6" max="6" width="9.13541666666667" customWidth="1"/>
    <col min="7" max="7" width="22.3229166666667" customWidth="1"/>
    <col min="8" max="8" width="15.1354166666667" customWidth="1"/>
    <col min="9" max="9" width="14.3854166666667" customWidth="1"/>
    <col min="11" max="11" width="14.3854166666667" customWidth="1"/>
    <col min="12" max="12" width="13.3333333333333" customWidth="1"/>
  </cols>
  <sheetData>
    <row r="2" ht="12" spans="2:2">
      <c r="B2" s="94" t="str">
        <f>Monetery!B1</f>
        <v>PT INTAN GIRI ABADI</v>
      </c>
    </row>
    <row r="3" spans="2:2">
      <c r="B3" t="s">
        <v>1127</v>
      </c>
    </row>
    <row r="4" spans="2:2">
      <c r="B4" t="s">
        <v>1128</v>
      </c>
    </row>
    <row r="6" s="94" customFormat="1" ht="12" spans="2:13">
      <c r="B6" t="s">
        <v>26</v>
      </c>
      <c r="C6" t="s">
        <v>1129</v>
      </c>
      <c r="D6"/>
      <c r="E6"/>
      <c r="F6" s="2542" t="s">
        <v>1130</v>
      </c>
      <c r="G6" s="2542" t="s">
        <v>1131</v>
      </c>
      <c r="H6" t="s">
        <v>1132</v>
      </c>
      <c r="I6" t="s">
        <v>661</v>
      </c>
      <c r="J6"/>
      <c r="K6" t="s">
        <v>1133</v>
      </c>
      <c r="L6" t="s">
        <v>1134</v>
      </c>
      <c r="M6" t="s">
        <v>894</v>
      </c>
    </row>
    <row r="7" spans="3:11">
      <c r="C7" s="159"/>
      <c r="D7" s="159"/>
      <c r="E7" s="159"/>
      <c r="F7" s="159"/>
      <c r="G7" s="159"/>
      <c r="H7" s="159"/>
      <c r="I7" s="159"/>
      <c r="J7" s="159"/>
      <c r="K7" s="159"/>
    </row>
    <row r="8" spans="2:11">
      <c r="B8">
        <v>1</v>
      </c>
      <c r="C8" s="1" t="s">
        <v>1135</v>
      </c>
      <c r="D8" s="1"/>
      <c r="E8" s="1"/>
      <c r="F8" s="159"/>
      <c r="G8" s="159"/>
      <c r="H8" s="159"/>
      <c r="I8" s="159"/>
      <c r="J8" s="159"/>
      <c r="K8" s="159"/>
    </row>
    <row r="9" ht="13.2" spans="2:11">
      <c r="B9">
        <v>2</v>
      </c>
      <c r="C9" s="1806" t="s">
        <v>1136</v>
      </c>
      <c r="D9" s="1806"/>
      <c r="E9" s="1806"/>
      <c r="F9" s="159"/>
      <c r="G9" s="159"/>
      <c r="H9" s="159"/>
      <c r="I9" s="159"/>
      <c r="J9" s="159"/>
      <c r="K9" s="159"/>
    </row>
    <row r="10" ht="13.2" spans="2:11">
      <c r="B10">
        <v>3</v>
      </c>
      <c r="C10" s="1806" t="s">
        <v>1137</v>
      </c>
      <c r="D10" s="1806"/>
      <c r="E10" s="1806"/>
      <c r="F10" s="159"/>
      <c r="G10" s="159"/>
      <c r="H10" s="159"/>
      <c r="I10" s="159"/>
      <c r="J10" s="159"/>
      <c r="K10" s="159"/>
    </row>
    <row r="11" ht="13.2" spans="2:11">
      <c r="B11">
        <v>4</v>
      </c>
      <c r="C11" s="1806" t="s">
        <v>1138</v>
      </c>
      <c r="D11" s="1806"/>
      <c r="E11" s="1806"/>
      <c r="F11" s="159"/>
      <c r="G11" s="159"/>
      <c r="H11" s="159"/>
      <c r="I11" s="159"/>
      <c r="J11" s="159"/>
      <c r="K11" s="159"/>
    </row>
    <row r="12" ht="13.2" spans="3:11">
      <c r="C12" s="1806" t="s">
        <v>1139</v>
      </c>
      <c r="D12" s="1806"/>
      <c r="E12" s="1806"/>
      <c r="F12" s="159"/>
      <c r="G12" s="159"/>
      <c r="H12" s="159"/>
      <c r="I12" s="159"/>
      <c r="J12" s="159"/>
      <c r="K12" s="159"/>
    </row>
    <row r="13" ht="13.2" spans="3:11">
      <c r="C13" s="1806" t="s">
        <v>1140</v>
      </c>
      <c r="D13" s="1806"/>
      <c r="E13" s="1806"/>
      <c r="F13" s="159"/>
      <c r="G13" s="159"/>
      <c r="H13" s="159"/>
      <c r="I13" s="159"/>
      <c r="J13" s="159"/>
      <c r="K13" s="159"/>
    </row>
    <row r="14" ht="13.2" spans="3:11">
      <c r="C14" s="1806" t="s">
        <v>1141</v>
      </c>
      <c r="D14" s="1806"/>
      <c r="E14" s="1806"/>
      <c r="F14" s="159"/>
      <c r="G14" s="159"/>
      <c r="H14" s="159"/>
      <c r="I14" s="159"/>
      <c r="J14" s="159"/>
      <c r="K14" s="159"/>
    </row>
    <row r="15" ht="13.2" spans="3:11">
      <c r="C15" s="1806" t="s">
        <v>1142</v>
      </c>
      <c r="D15" s="1806"/>
      <c r="E15" s="1806"/>
      <c r="F15" s="159"/>
      <c r="G15" s="159"/>
      <c r="H15" s="159"/>
      <c r="I15" s="159"/>
      <c r="J15" s="159"/>
      <c r="K15" s="159"/>
    </row>
    <row r="16" ht="13.2" spans="2:11">
      <c r="B16">
        <v>6</v>
      </c>
      <c r="C16" s="1806" t="s">
        <v>1143</v>
      </c>
      <c r="D16" s="1806"/>
      <c r="E16" s="1806"/>
      <c r="F16" s="159"/>
      <c r="G16" s="159"/>
      <c r="H16" s="159"/>
      <c r="I16" s="159"/>
      <c r="J16" s="159"/>
      <c r="K16" s="159"/>
    </row>
    <row r="17" ht="13.2" spans="2:11">
      <c r="B17">
        <v>7</v>
      </c>
      <c r="C17" s="209" t="s">
        <v>1144</v>
      </c>
      <c r="D17" s="209"/>
      <c r="E17" s="209"/>
      <c r="F17" s="159"/>
      <c r="G17" s="159"/>
      <c r="H17" s="159"/>
      <c r="I17" s="159"/>
      <c r="J17" s="159"/>
      <c r="K17" s="159"/>
    </row>
    <row r="18" ht="13.2" spans="2:11">
      <c r="B18">
        <v>8</v>
      </c>
      <c r="C18" s="3794" t="s">
        <v>1145</v>
      </c>
      <c r="D18" s="3794"/>
      <c r="E18" s="3794"/>
      <c r="F18" s="159"/>
      <c r="G18" s="159"/>
      <c r="H18" s="159"/>
      <c r="I18" s="159"/>
      <c r="J18" s="159"/>
      <c r="K18" s="159"/>
    </row>
    <row r="19" ht="13.2" spans="2:11">
      <c r="B19">
        <v>9</v>
      </c>
      <c r="C19" s="3795" t="s">
        <v>1146</v>
      </c>
      <c r="D19" s="3795"/>
      <c r="E19" s="3795"/>
      <c r="F19" s="159"/>
      <c r="G19" s="159"/>
      <c r="I19" s="159"/>
      <c r="J19" s="159"/>
      <c r="K19" s="159"/>
    </row>
    <row r="20" ht="13.2" spans="2:11">
      <c r="B20">
        <v>10</v>
      </c>
      <c r="C20" s="3795" t="s">
        <v>1147</v>
      </c>
      <c r="D20" s="159"/>
      <c r="E20" s="159"/>
      <c r="F20" s="159"/>
      <c r="G20" s="159"/>
      <c r="H20" s="159"/>
      <c r="I20" s="159"/>
      <c r="J20" s="159"/>
      <c r="K20" s="159"/>
    </row>
    <row r="21" spans="2:11">
      <c r="B21">
        <v>11</v>
      </c>
      <c r="C21" s="159"/>
      <c r="D21" s="159"/>
      <c r="E21" s="159"/>
      <c r="F21" s="3796"/>
      <c r="G21" s="159"/>
      <c r="H21" s="159"/>
      <c r="I21" s="159"/>
      <c r="J21" s="159"/>
      <c r="K21" s="159"/>
    </row>
    <row r="22" spans="2:11">
      <c r="B22">
        <v>12</v>
      </c>
      <c r="C22" s="159"/>
      <c r="D22" s="159"/>
      <c r="E22" s="159"/>
      <c r="F22" s="3796"/>
      <c r="G22" s="159"/>
      <c r="H22" s="159"/>
      <c r="I22" s="159"/>
      <c r="J22" s="159"/>
      <c r="K22" s="159"/>
    </row>
    <row r="23" spans="2:11">
      <c r="B23">
        <v>13</v>
      </c>
      <c r="C23" t="s">
        <v>1148</v>
      </c>
      <c r="F23" s="2542"/>
      <c r="G23" s="159"/>
      <c r="H23" s="159"/>
      <c r="I23" s="159"/>
      <c r="J23" s="159"/>
      <c r="K23" s="159"/>
    </row>
    <row r="24" spans="2:11">
      <c r="B24">
        <v>14</v>
      </c>
      <c r="F24" s="2542"/>
      <c r="G24" s="159"/>
      <c r="H24" s="159"/>
      <c r="I24" s="159"/>
      <c r="J24" s="159"/>
      <c r="K24" s="159"/>
    </row>
    <row r="25" spans="2:11">
      <c r="B25">
        <v>15</v>
      </c>
      <c r="C25" t="s">
        <v>1149</v>
      </c>
      <c r="F25" s="2542"/>
      <c r="G25" s="159"/>
      <c r="H25" s="159"/>
      <c r="I25" s="159"/>
      <c r="J25" s="159"/>
      <c r="K25" s="159"/>
    </row>
    <row r="26" ht="12" spans="2:11">
      <c r="B26">
        <v>16</v>
      </c>
      <c r="F26" s="2542"/>
      <c r="G26" s="159"/>
      <c r="H26" s="1364"/>
      <c r="J26" s="159"/>
      <c r="K26" s="159"/>
    </row>
    <row r="27" spans="2:11">
      <c r="B27">
        <v>17</v>
      </c>
      <c r="F27" s="2542"/>
      <c r="G27" s="159"/>
      <c r="H27" s="159"/>
      <c r="I27" s="159"/>
      <c r="J27" s="159"/>
      <c r="K27" s="159"/>
    </row>
    <row r="28" spans="2:11">
      <c r="B28">
        <v>18</v>
      </c>
      <c r="F28" s="2542"/>
      <c r="G28" s="159"/>
      <c r="H28" s="159"/>
      <c r="I28" s="159"/>
      <c r="J28" s="159"/>
      <c r="K28" s="159"/>
    </row>
    <row r="29" ht="12" spans="2:11">
      <c r="B29">
        <v>19</v>
      </c>
      <c r="F29" s="2542"/>
      <c r="G29" s="159"/>
      <c r="H29" s="1364"/>
      <c r="J29" s="159"/>
      <c r="K29" s="159"/>
    </row>
    <row r="30" ht="12" spans="2:11">
      <c r="B30">
        <v>20</v>
      </c>
      <c r="G30" s="159"/>
      <c r="H30" s="1364"/>
      <c r="J30" s="159"/>
      <c r="K30" s="159"/>
    </row>
    <row r="31" ht="12" spans="2:11">
      <c r="B31">
        <v>21</v>
      </c>
      <c r="C31" s="159"/>
      <c r="D31" s="159"/>
      <c r="E31" s="159"/>
      <c r="F31" s="159"/>
      <c r="G31" s="159"/>
      <c r="H31" s="1364"/>
      <c r="J31" s="159"/>
      <c r="K31" s="159"/>
    </row>
    <row r="32" spans="2:11">
      <c r="B32">
        <v>22</v>
      </c>
      <c r="F32" s="159"/>
      <c r="G32" s="159"/>
      <c r="H32" s="159"/>
      <c r="I32" s="159"/>
      <c r="J32" s="159"/>
      <c r="K32" s="159"/>
    </row>
    <row r="33" spans="2:11">
      <c r="B33">
        <v>23</v>
      </c>
      <c r="F33" s="159"/>
      <c r="G33" s="159"/>
      <c r="H33" s="159"/>
      <c r="I33" s="159"/>
      <c r="J33" s="159"/>
      <c r="K33" s="159"/>
    </row>
    <row r="34" spans="2:11">
      <c r="B34">
        <v>24</v>
      </c>
      <c r="F34" s="159"/>
      <c r="G34" s="159"/>
      <c r="H34" s="159"/>
      <c r="I34" s="159"/>
      <c r="J34" s="159"/>
      <c r="K34" s="159"/>
    </row>
    <row r="35" spans="2:11">
      <c r="B35">
        <v>25</v>
      </c>
      <c r="F35" s="159"/>
      <c r="G35" s="159"/>
      <c r="H35" s="159"/>
      <c r="I35" s="159"/>
      <c r="J35" s="159"/>
      <c r="K35" s="159"/>
    </row>
    <row r="36" spans="2:11">
      <c r="B36">
        <v>26</v>
      </c>
      <c r="C36" s="159"/>
      <c r="D36" s="159"/>
      <c r="E36" s="159"/>
      <c r="F36" s="159"/>
      <c r="G36" s="159"/>
      <c r="H36" s="159"/>
      <c r="I36" s="159"/>
      <c r="J36" s="159"/>
      <c r="K36" s="159"/>
    </row>
    <row r="37" spans="2:11">
      <c r="B37">
        <v>27</v>
      </c>
      <c r="C37" s="159"/>
      <c r="D37" s="159"/>
      <c r="E37" s="159"/>
      <c r="F37" s="159"/>
      <c r="G37" s="159"/>
      <c r="H37" s="159"/>
      <c r="I37" s="159"/>
      <c r="J37" s="159"/>
      <c r="K37" s="159"/>
    </row>
    <row r="38" spans="2:11">
      <c r="B38">
        <v>28</v>
      </c>
      <c r="C38" s="159"/>
      <c r="D38" s="159"/>
      <c r="E38" s="159"/>
      <c r="F38" s="159"/>
      <c r="G38" s="159"/>
      <c r="H38" s="159"/>
      <c r="I38" s="159"/>
      <c r="J38" s="159"/>
      <c r="K38" s="159"/>
    </row>
    <row r="39" spans="2:11">
      <c r="B39">
        <v>29</v>
      </c>
      <c r="C39" s="159"/>
      <c r="D39" s="159"/>
      <c r="E39" s="159"/>
      <c r="F39" s="159"/>
      <c r="G39" s="159"/>
      <c r="H39" s="159"/>
      <c r="I39" s="159"/>
      <c r="J39" s="159"/>
      <c r="K39" s="159"/>
    </row>
    <row r="40" spans="2:11">
      <c r="B40">
        <v>30</v>
      </c>
      <c r="C40" s="159"/>
      <c r="D40" s="159"/>
      <c r="E40" s="159"/>
      <c r="F40" s="159"/>
      <c r="G40" s="159"/>
      <c r="H40" s="159"/>
      <c r="I40" s="159"/>
      <c r="J40" s="159"/>
      <c r="K40" s="159"/>
    </row>
    <row r="41" spans="2:11">
      <c r="B41">
        <v>31</v>
      </c>
      <c r="C41" s="159"/>
      <c r="D41" s="159"/>
      <c r="E41" s="159"/>
      <c r="F41" s="159"/>
      <c r="G41" s="159"/>
      <c r="H41" s="159"/>
      <c r="I41" s="159"/>
      <c r="J41" s="159"/>
      <c r="K41" s="159"/>
    </row>
    <row r="42" spans="2:11">
      <c r="B42">
        <v>32</v>
      </c>
      <c r="C42" s="159"/>
      <c r="D42" s="159"/>
      <c r="E42" s="159"/>
      <c r="F42" s="159"/>
      <c r="G42" s="159"/>
      <c r="H42" s="159"/>
      <c r="I42" s="159"/>
      <c r="J42" s="159"/>
      <c r="K42" s="159"/>
    </row>
    <row r="43" spans="2:11">
      <c r="B43">
        <v>33</v>
      </c>
      <c r="C43" s="159"/>
      <c r="D43" s="159"/>
      <c r="E43" s="159"/>
      <c r="F43" s="159"/>
      <c r="G43" s="159"/>
      <c r="H43" s="159"/>
      <c r="I43" s="159"/>
      <c r="J43" s="159"/>
      <c r="K43" s="159"/>
    </row>
    <row r="44" spans="2:11">
      <c r="B44">
        <v>34</v>
      </c>
      <c r="C44" s="159"/>
      <c r="D44" s="159"/>
      <c r="E44" s="159"/>
      <c r="F44" s="159"/>
      <c r="G44" s="159"/>
      <c r="H44" s="159"/>
      <c r="I44" s="159"/>
      <c r="J44" s="159"/>
      <c r="K44" s="159"/>
    </row>
    <row r="45" spans="2:11">
      <c r="B45">
        <v>35</v>
      </c>
      <c r="I45" s="159"/>
      <c r="J45" s="159"/>
      <c r="K45" s="159"/>
    </row>
    <row r="46" spans="2:11">
      <c r="B46">
        <v>36</v>
      </c>
      <c r="I46" s="159"/>
      <c r="J46" s="159"/>
      <c r="K46" s="159"/>
    </row>
    <row r="47" spans="9:11">
      <c r="I47" s="159"/>
      <c r="J47" s="159"/>
      <c r="K47" s="159"/>
    </row>
    <row r="48" spans="3:11">
      <c r="C48" s="159"/>
      <c r="D48" s="159"/>
      <c r="E48" s="159"/>
      <c r="F48" s="159"/>
      <c r="G48" s="159"/>
      <c r="H48" s="159"/>
      <c r="I48" s="159"/>
      <c r="J48" s="159"/>
      <c r="K48" s="159"/>
    </row>
    <row r="49" spans="3:11">
      <c r="C49" s="159"/>
      <c r="D49" s="159"/>
      <c r="E49" s="159"/>
      <c r="F49" s="159"/>
      <c r="G49" s="159"/>
      <c r="H49" s="159"/>
      <c r="I49" s="159"/>
      <c r="J49" s="159"/>
      <c r="K49" s="159"/>
    </row>
    <row r="50" ht="12.15" spans="3:11">
      <c r="C50" s="3797"/>
      <c r="D50" s="3797"/>
      <c r="E50" s="3797"/>
      <c r="F50" s="3797"/>
      <c r="G50" s="3797"/>
      <c r="H50" s="3797"/>
      <c r="I50" s="3797"/>
      <c r="J50" s="3797"/>
      <c r="K50" s="3797"/>
    </row>
    <row r="62" spans="2:2">
      <c r="B62">
        <v>6</v>
      </c>
    </row>
  </sheetData>
  <pageMargins left="0.7" right="0.7" top="0.75" bottom="0.75" header="0.3" footer="0.3"/>
  <pageSetup paperSize="9" orientation="portrait"/>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5"/>
  <dimension ref="B2:AB80"/>
  <sheetViews>
    <sheetView showGridLines="0" zoomScale="115" zoomScaleNormal="115" workbookViewId="0">
      <pane xSplit="3" ySplit="7" topLeftCell="D50" activePane="bottomRight" state="frozen"/>
      <selection/>
      <selection pane="topRight"/>
      <selection pane="bottomLeft"/>
      <selection pane="bottomRight" activeCell="A80" sqref="A80"/>
    </sheetView>
  </sheetViews>
  <sheetFormatPr defaultColWidth="9" defaultRowHeight="11.4"/>
  <cols>
    <col min="1" max="1" width="1.64583333333333" customWidth="1"/>
    <col min="2" max="2" width="3.14583333333333" customWidth="1"/>
    <col min="7" max="8" width="9.29166666666667" customWidth="1"/>
    <col min="16" max="16" width="3.59375" style="2542" customWidth="1"/>
    <col min="19" max="19" width="8.6875" customWidth="1"/>
    <col min="20" max="20" width="9.88541666666667" customWidth="1"/>
    <col min="21" max="21" width="13.9375" customWidth="1"/>
    <col min="22" max="22" width="11.8333333333333" customWidth="1"/>
    <col min="23" max="27" width="11.3854166666667" customWidth="1"/>
    <col min="28" max="28" width="12.8854166666667" customWidth="1"/>
  </cols>
  <sheetData>
    <row r="2" ht="12" spans="3:3">
      <c r="C2" s="94" t="s">
        <v>1150</v>
      </c>
    </row>
    <row r="3" spans="3:3">
      <c r="C3" t="s">
        <v>1151</v>
      </c>
    </row>
    <row r="7" ht="12" spans="3:25">
      <c r="C7" s="755" t="s">
        <v>1021</v>
      </c>
      <c r="D7" s="756" t="s">
        <v>1152</v>
      </c>
      <c r="E7" s="756"/>
      <c r="F7" s="756"/>
      <c r="G7" s="756" t="s">
        <v>1031</v>
      </c>
      <c r="H7" s="756"/>
      <c r="I7" s="756" t="s">
        <v>1153</v>
      </c>
      <c r="J7" s="756"/>
      <c r="K7" s="756"/>
      <c r="L7" s="756" t="s">
        <v>1154</v>
      </c>
      <c r="M7" s="756"/>
      <c r="N7" s="756"/>
      <c r="O7" s="756"/>
      <c r="P7" s="2101"/>
      <c r="Q7" s="756" t="s">
        <v>1155</v>
      </c>
      <c r="R7" s="762"/>
      <c r="S7" s="762"/>
      <c r="T7" s="762"/>
      <c r="U7" s="762"/>
      <c r="V7" s="762"/>
      <c r="W7" s="762"/>
      <c r="X7" s="762"/>
      <c r="Y7" s="253"/>
    </row>
    <row r="8" spans="2:3">
      <c r="B8" s="2542"/>
      <c r="C8" s="2542"/>
    </row>
    <row r="9" ht="12" spans="2:17">
      <c r="B9" s="2542"/>
      <c r="C9" s="2542">
        <v>1</v>
      </c>
      <c r="D9" t="s">
        <v>1156</v>
      </c>
      <c r="G9" s="42">
        <v>43717</v>
      </c>
      <c r="H9" s="42"/>
      <c r="I9" s="94" t="s">
        <v>1157</v>
      </c>
      <c r="L9" t="s">
        <v>1158</v>
      </c>
      <c r="P9" s="2542" t="s">
        <v>142</v>
      </c>
      <c r="Q9" t="s">
        <v>1159</v>
      </c>
    </row>
    <row r="10" ht="12" spans="2:17">
      <c r="B10" s="2542"/>
      <c r="C10" s="2542"/>
      <c r="I10" s="94"/>
      <c r="P10" s="2542" t="s">
        <v>148</v>
      </c>
      <c r="Q10" t="s">
        <v>1160</v>
      </c>
    </row>
    <row r="11" ht="12" spans="2:17">
      <c r="B11" s="2542"/>
      <c r="C11" s="2542"/>
      <c r="I11" s="94"/>
      <c r="P11" s="2542" t="s">
        <v>410</v>
      </c>
      <c r="Q11" t="s">
        <v>1161</v>
      </c>
    </row>
    <row r="12" ht="12" spans="2:17">
      <c r="B12" s="2542"/>
      <c r="C12" s="2542"/>
      <c r="I12" s="94"/>
      <c r="P12" s="2542" t="s">
        <v>413</v>
      </c>
      <c r="Q12" t="s">
        <v>1162</v>
      </c>
    </row>
    <row r="13" ht="12" spans="2:17">
      <c r="B13" s="2542"/>
      <c r="C13" s="2542"/>
      <c r="I13" s="94"/>
      <c r="P13" s="2542" t="s">
        <v>418</v>
      </c>
      <c r="Q13" t="s">
        <v>1163</v>
      </c>
    </row>
    <row r="14" ht="12" spans="2:17">
      <c r="B14" s="2542"/>
      <c r="C14" s="2542"/>
      <c r="I14" s="94"/>
      <c r="P14" s="2542" t="s">
        <v>422</v>
      </c>
      <c r="Q14" t="s">
        <v>1164</v>
      </c>
    </row>
    <row r="15" ht="12" spans="2:17">
      <c r="B15" s="2542"/>
      <c r="C15" s="2542"/>
      <c r="I15" s="94"/>
      <c r="P15" s="2542" t="s">
        <v>426</v>
      </c>
      <c r="Q15" t="s">
        <v>1165</v>
      </c>
    </row>
    <row r="16" ht="12" spans="2:9">
      <c r="B16" s="2542"/>
      <c r="C16" s="2542"/>
      <c r="I16" s="94"/>
    </row>
    <row r="17" ht="12" spans="2:17">
      <c r="B17" s="2542"/>
      <c r="C17" s="2542"/>
      <c r="I17" s="94"/>
      <c r="Q17" t="s">
        <v>1166</v>
      </c>
    </row>
    <row r="18" ht="13.2" spans="2:20">
      <c r="B18" s="2542"/>
      <c r="C18" s="2542"/>
      <c r="I18" s="94"/>
      <c r="Q18" s="2332" t="s">
        <v>1167</v>
      </c>
      <c r="R18" s="2332" t="s">
        <v>1168</v>
      </c>
      <c r="S18" s="2674" t="s">
        <v>1169</v>
      </c>
      <c r="T18" s="2674" t="s">
        <v>151</v>
      </c>
    </row>
    <row r="19" ht="12" spans="2:20">
      <c r="B19" s="2542"/>
      <c r="C19" s="2542"/>
      <c r="I19" s="94"/>
      <c r="Q19" t="s">
        <v>1170</v>
      </c>
      <c r="R19">
        <v>9000</v>
      </c>
      <c r="S19">
        <f>+R19*11%</f>
        <v>990</v>
      </c>
      <c r="T19">
        <f>+R19+S19</f>
        <v>9990</v>
      </c>
    </row>
    <row r="20" ht="12" spans="2:20">
      <c r="B20" s="2542"/>
      <c r="C20" s="2542"/>
      <c r="I20" s="94"/>
      <c r="Q20" t="s">
        <v>1171</v>
      </c>
      <c r="R20">
        <v>8750</v>
      </c>
      <c r="S20">
        <f>+R20*11%</f>
        <v>962.5</v>
      </c>
      <c r="T20">
        <f>+R20+S20</f>
        <v>9712.5</v>
      </c>
    </row>
    <row r="21" ht="12" spans="2:20">
      <c r="B21" s="2542"/>
      <c r="C21" s="2542"/>
      <c r="I21" s="94"/>
      <c r="Q21" t="s">
        <v>1172</v>
      </c>
      <c r="R21">
        <v>8500</v>
      </c>
      <c r="S21">
        <f>+R21*11%</f>
        <v>935</v>
      </c>
      <c r="T21">
        <f>+R21+S21</f>
        <v>9435</v>
      </c>
    </row>
    <row r="22" ht="12" spans="2:20">
      <c r="B22" s="2542"/>
      <c r="C22" s="2542"/>
      <c r="I22" s="94"/>
      <c r="Q22" t="s">
        <v>1173</v>
      </c>
      <c r="R22">
        <v>8000</v>
      </c>
      <c r="S22">
        <f>+R22*11%</f>
        <v>880</v>
      </c>
      <c r="T22">
        <f>+R22+S22</f>
        <v>8880</v>
      </c>
    </row>
    <row r="23" ht="12" spans="2:20">
      <c r="B23" s="2542"/>
      <c r="C23" s="2542"/>
      <c r="I23" s="94"/>
      <c r="Q23" t="s">
        <v>1174</v>
      </c>
      <c r="R23">
        <v>7500</v>
      </c>
      <c r="S23">
        <f>+R23*11%</f>
        <v>825</v>
      </c>
      <c r="T23">
        <f>+R23+S23</f>
        <v>8325</v>
      </c>
    </row>
    <row r="24" ht="12" spans="2:9">
      <c r="B24" s="2542"/>
      <c r="C24" s="2542"/>
      <c r="I24" s="94"/>
    </row>
    <row r="25" ht="12" spans="2:9">
      <c r="B25" s="2542"/>
      <c r="C25" s="2542"/>
      <c r="I25" s="94"/>
    </row>
    <row r="26" ht="12" spans="2:9">
      <c r="B26" s="2542"/>
      <c r="C26" s="2542"/>
      <c r="I26" s="94"/>
    </row>
    <row r="27" ht="12" spans="2:17">
      <c r="B27" s="2542"/>
      <c r="C27" s="2542">
        <v>2</v>
      </c>
      <c r="D27" t="s">
        <v>1175</v>
      </c>
      <c r="G27" s="42">
        <v>43322</v>
      </c>
      <c r="I27" s="94" t="s">
        <v>1176</v>
      </c>
      <c r="L27" t="s">
        <v>1177</v>
      </c>
      <c r="Q27" t="s">
        <v>1178</v>
      </c>
    </row>
    <row r="28" spans="2:17">
      <c r="B28" s="2542"/>
      <c r="C28" s="2542"/>
      <c r="L28" t="s">
        <v>1179</v>
      </c>
      <c r="Q28" t="s">
        <v>1180</v>
      </c>
    </row>
    <row r="29" spans="2:17">
      <c r="B29" s="2542"/>
      <c r="C29" s="2542"/>
      <c r="I29" t="s">
        <v>1181</v>
      </c>
      <c r="Q29" s="5044" t="s">
        <v>1182</v>
      </c>
    </row>
    <row r="30" spans="2:17">
      <c r="B30" s="2542"/>
      <c r="C30" s="2542"/>
      <c r="I30" t="s">
        <v>1183</v>
      </c>
      <c r="Q30" t="s">
        <v>1184</v>
      </c>
    </row>
    <row r="31" spans="2:17">
      <c r="B31" s="2542"/>
      <c r="C31" s="2542"/>
      <c r="I31" s="64" t="s">
        <v>1185</v>
      </c>
      <c r="P31" s="2542">
        <v>1</v>
      </c>
      <c r="Q31" t="s">
        <v>1186</v>
      </c>
    </row>
    <row r="32" spans="2:17">
      <c r="B32" s="2542"/>
      <c r="C32" s="2542"/>
      <c r="P32" s="2542">
        <v>2</v>
      </c>
      <c r="Q32" t="s">
        <v>1187</v>
      </c>
    </row>
    <row r="33" spans="2:17">
      <c r="B33" s="2542"/>
      <c r="C33" s="2542"/>
      <c r="P33" s="2542">
        <v>3</v>
      </c>
      <c r="Q33" t="s">
        <v>1188</v>
      </c>
    </row>
    <row r="34" spans="2:17">
      <c r="B34" s="2542"/>
      <c r="C34" s="2542"/>
      <c r="P34" s="2542">
        <v>4</v>
      </c>
      <c r="Q34" t="s">
        <v>1189</v>
      </c>
    </row>
    <row r="35" spans="2:17">
      <c r="B35" s="2542"/>
      <c r="C35" s="2542"/>
      <c r="P35" s="2542">
        <v>5</v>
      </c>
      <c r="Q35" t="s">
        <v>1190</v>
      </c>
    </row>
    <row r="36" spans="2:17">
      <c r="B36" s="2542"/>
      <c r="C36" s="2542"/>
      <c r="P36" s="2542">
        <v>6</v>
      </c>
      <c r="Q36" t="s">
        <v>1191</v>
      </c>
    </row>
    <row r="37" spans="2:17">
      <c r="B37" s="2542"/>
      <c r="C37" s="2542"/>
      <c r="P37" s="2542">
        <v>7</v>
      </c>
      <c r="Q37" t="s">
        <v>1192</v>
      </c>
    </row>
    <row r="38" spans="2:17">
      <c r="B38" s="2542"/>
      <c r="C38" s="2542"/>
      <c r="P38" s="2542">
        <v>8</v>
      </c>
      <c r="Q38" t="s">
        <v>1193</v>
      </c>
    </row>
    <row r="39" spans="2:17">
      <c r="B39" s="2542"/>
      <c r="C39" s="2542"/>
      <c r="P39" s="2542">
        <v>9</v>
      </c>
      <c r="Q39" t="s">
        <v>1194</v>
      </c>
    </row>
    <row r="40" spans="2:17">
      <c r="B40" s="2542"/>
      <c r="C40" s="2542"/>
      <c r="P40" s="2542">
        <v>10</v>
      </c>
      <c r="Q40" t="s">
        <v>1195</v>
      </c>
    </row>
    <row r="41" spans="2:17">
      <c r="B41" s="2542"/>
      <c r="C41" s="2542"/>
      <c r="P41" s="2542">
        <v>11</v>
      </c>
      <c r="Q41" t="s">
        <v>1196</v>
      </c>
    </row>
    <row r="42" spans="2:17">
      <c r="B42" s="2542"/>
      <c r="C42" s="2542"/>
      <c r="Q42" t="s">
        <v>1197</v>
      </c>
    </row>
    <row r="43" spans="2:17">
      <c r="B43" s="2542"/>
      <c r="C43" s="2542"/>
      <c r="Q43" t="s">
        <v>1198</v>
      </c>
    </row>
    <row r="44" spans="2:17">
      <c r="B44" s="2542"/>
      <c r="C44" s="2542"/>
      <c r="P44" s="2542">
        <v>12</v>
      </c>
      <c r="Q44" t="s">
        <v>1199</v>
      </c>
    </row>
    <row r="45" spans="2:3">
      <c r="B45" s="2542"/>
      <c r="C45" s="2542"/>
    </row>
    <row r="46" spans="2:17">
      <c r="B46" s="2542"/>
      <c r="C46" s="2542"/>
      <c r="Q46" t="s">
        <v>1200</v>
      </c>
    </row>
    <row r="47" spans="2:21">
      <c r="B47" s="2542"/>
      <c r="C47" s="2542"/>
      <c r="U47" t="s">
        <v>1201</v>
      </c>
    </row>
    <row r="48" spans="2:28">
      <c r="B48" s="2542"/>
      <c r="C48" s="2542"/>
      <c r="Q48" t="s">
        <v>1202</v>
      </c>
      <c r="R48" t="s">
        <v>1203</v>
      </c>
      <c r="S48" t="s">
        <v>1204</v>
      </c>
      <c r="U48" t="s">
        <v>1205</v>
      </c>
      <c r="V48">
        <v>1</v>
      </c>
      <c r="W48">
        <v>2</v>
      </c>
      <c r="X48">
        <v>3</v>
      </c>
      <c r="Y48">
        <v>4</v>
      </c>
      <c r="Z48">
        <v>5</v>
      </c>
      <c r="AA48" t="s">
        <v>1206</v>
      </c>
      <c r="AB48" t="s">
        <v>151</v>
      </c>
    </row>
    <row r="49" spans="2:28">
      <c r="B49" s="2542"/>
      <c r="C49" s="2542"/>
      <c r="Q49" s="3793"/>
      <c r="R49" s="3793"/>
      <c r="S49" s="3793"/>
      <c r="T49" s="3793"/>
      <c r="U49" s="724">
        <v>0.2</v>
      </c>
      <c r="V49" s="724">
        <f>75%/5</f>
        <v>0.15</v>
      </c>
      <c r="W49" s="724">
        <f>75%/5</f>
        <v>0.15</v>
      </c>
      <c r="X49" s="724">
        <f>75%/5</f>
        <v>0.15</v>
      </c>
      <c r="Y49" s="724">
        <f>75%/5</f>
        <v>0.15</v>
      </c>
      <c r="Z49" s="724">
        <f>75%/5</f>
        <v>0.15</v>
      </c>
      <c r="AA49" s="724">
        <v>0.05</v>
      </c>
      <c r="AB49" s="724">
        <f>SUM(U49:AA49)</f>
        <v>1</v>
      </c>
    </row>
    <row r="50" spans="2:28">
      <c r="B50" s="2542"/>
      <c r="C50" s="2542"/>
      <c r="Q50" s="29" t="s">
        <v>1207</v>
      </c>
      <c r="R50" s="29"/>
      <c r="S50" s="29">
        <f>3100000000/1.1</f>
        <v>2818181818.18182</v>
      </c>
      <c r="T50" s="29"/>
      <c r="U50" s="29">
        <f>+$S$50*U49</f>
        <v>563636363.636364</v>
      </c>
      <c r="V50" s="29">
        <f t="shared" ref="V50:AA50" si="0">+$S$50*V49</f>
        <v>422727272.727273</v>
      </c>
      <c r="W50" s="29">
        <f t="shared" si="0"/>
        <v>422727272.727273</v>
      </c>
      <c r="X50" s="29">
        <f t="shared" si="0"/>
        <v>422727272.727273</v>
      </c>
      <c r="Y50" s="29">
        <f t="shared" si="0"/>
        <v>422727272.727273</v>
      </c>
      <c r="Z50" s="29">
        <f t="shared" si="0"/>
        <v>422727272.727273</v>
      </c>
      <c r="AA50" s="29">
        <f t="shared" si="0"/>
        <v>140909090.909091</v>
      </c>
      <c r="AB50" s="29">
        <f>SUM(U50:AA50)</f>
        <v>2818181818.18182</v>
      </c>
    </row>
    <row r="51" spans="2:28">
      <c r="B51" s="2542"/>
      <c r="C51" s="2542"/>
      <c r="Q51" s="29" t="s">
        <v>1169</v>
      </c>
      <c r="R51" s="29">
        <v>0.11</v>
      </c>
      <c r="S51" s="29">
        <f>+S50*R51</f>
        <v>310000000</v>
      </c>
      <c r="T51" s="29"/>
      <c r="U51" s="29">
        <f>+U50*$R$51</f>
        <v>62000000</v>
      </c>
      <c r="V51" s="29">
        <f t="shared" ref="V51:AA51" si="1">+V50*$R$51</f>
        <v>46500000</v>
      </c>
      <c r="W51" s="29">
        <f t="shared" si="1"/>
        <v>46500000</v>
      </c>
      <c r="X51" s="29">
        <f t="shared" si="1"/>
        <v>46500000</v>
      </c>
      <c r="Y51" s="29">
        <f t="shared" si="1"/>
        <v>46500000</v>
      </c>
      <c r="Z51" s="29">
        <f t="shared" si="1"/>
        <v>46500000</v>
      </c>
      <c r="AA51" s="29">
        <f t="shared" si="1"/>
        <v>15500000</v>
      </c>
      <c r="AB51" s="29">
        <f>SUM(U51:AA51)</f>
        <v>310000000</v>
      </c>
    </row>
    <row r="52" spans="2:28">
      <c r="B52" s="2542"/>
      <c r="C52" s="2542"/>
      <c r="Q52" s="29" t="s">
        <v>1208</v>
      </c>
      <c r="R52" s="29">
        <v>0.02</v>
      </c>
      <c r="S52" s="29">
        <f>+$S$50*R52</f>
        <v>56363636.3636364</v>
      </c>
      <c r="T52" s="29"/>
      <c r="U52" s="29">
        <f>+U50*$R$52</f>
        <v>11272727.2727273</v>
      </c>
      <c r="V52" s="29">
        <f t="shared" ref="V52:AA52" si="2">+V50*$R$52</f>
        <v>8454545.45454545</v>
      </c>
      <c r="W52" s="29">
        <f t="shared" si="2"/>
        <v>8454545.45454545</v>
      </c>
      <c r="X52" s="29">
        <f t="shared" si="2"/>
        <v>8454545.45454545</v>
      </c>
      <c r="Y52" s="29">
        <f t="shared" si="2"/>
        <v>8454545.45454545</v>
      </c>
      <c r="Z52" s="29">
        <f t="shared" si="2"/>
        <v>8454545.45454545</v>
      </c>
      <c r="AA52" s="29">
        <f t="shared" si="2"/>
        <v>2818181.81818182</v>
      </c>
      <c r="AB52" s="29">
        <f>SUM(U52:AA52)</f>
        <v>56363636.3636364</v>
      </c>
    </row>
    <row r="53" spans="2:28">
      <c r="B53" s="2542"/>
      <c r="C53" s="2542"/>
      <c r="Q53" s="29" t="s">
        <v>151</v>
      </c>
      <c r="R53" s="29"/>
      <c r="S53" s="29">
        <f>+S50+S51-S52</f>
        <v>3071818181.81818</v>
      </c>
      <c r="T53" s="29"/>
      <c r="U53" s="29">
        <f>+U50+U51-U52</f>
        <v>614363636.363636</v>
      </c>
      <c r="V53" s="29">
        <f t="shared" ref="V53:AA53" si="3">+V50+V51-V52</f>
        <v>460772727.272727</v>
      </c>
      <c r="W53" s="29">
        <f t="shared" si="3"/>
        <v>460772727.272727</v>
      </c>
      <c r="X53" s="29">
        <f t="shared" si="3"/>
        <v>460772727.272727</v>
      </c>
      <c r="Y53" s="29">
        <f t="shared" si="3"/>
        <v>460772727.272727</v>
      </c>
      <c r="Z53" s="29">
        <f t="shared" si="3"/>
        <v>460772727.272727</v>
      </c>
      <c r="AA53" s="29">
        <f t="shared" si="3"/>
        <v>153590909.090909</v>
      </c>
      <c r="AB53" s="29">
        <f>SUM(U53:AA53)</f>
        <v>3071818181.81818</v>
      </c>
    </row>
    <row r="54" customFormat="1" spans="2:28">
      <c r="B54" s="2542"/>
      <c r="C54" s="2542"/>
      <c r="P54" s="2542"/>
      <c r="Q54" s="159"/>
      <c r="R54" s="159"/>
      <c r="S54" s="159"/>
      <c r="T54" s="159"/>
      <c r="U54" s="159"/>
      <c r="V54" s="159"/>
      <c r="W54" s="159"/>
      <c r="X54" s="159"/>
      <c r="Y54" s="159"/>
      <c r="Z54" s="159"/>
      <c r="AA54" s="159"/>
      <c r="AB54" s="159"/>
    </row>
    <row r="55" spans="2:3">
      <c r="B55" s="2542"/>
      <c r="C55" s="2542"/>
    </row>
    <row r="56" spans="2:17">
      <c r="B56" s="2542"/>
      <c r="C56" s="2542"/>
      <c r="D56" t="s">
        <v>1209</v>
      </c>
      <c r="G56" s="42">
        <v>43315</v>
      </c>
      <c r="Q56" t="s">
        <v>1210</v>
      </c>
    </row>
    <row r="57" spans="2:17">
      <c r="B57" s="2542"/>
      <c r="C57" s="2542"/>
      <c r="Q57" s="1262" t="s">
        <v>1211</v>
      </c>
    </row>
    <row r="58" customFormat="1" spans="2:16">
      <c r="B58" s="2542"/>
      <c r="C58" s="2542"/>
      <c r="P58" s="2542"/>
    </row>
    <row r="59" customFormat="1" spans="2:16">
      <c r="B59" s="2542"/>
      <c r="C59" s="2542"/>
      <c r="P59" s="2542"/>
    </row>
    <row r="60" customFormat="1" spans="2:16">
      <c r="B60" s="2542"/>
      <c r="C60" s="2542"/>
      <c r="P60" s="2542"/>
    </row>
    <row r="61" customFormat="1" spans="2:16">
      <c r="B61" s="2542"/>
      <c r="C61" s="2542"/>
      <c r="P61" s="2542"/>
    </row>
    <row r="62" customFormat="1" spans="2:16">
      <c r="B62" s="2542"/>
      <c r="C62" s="2542"/>
      <c r="P62" s="2542"/>
    </row>
    <row r="64" ht="12" spans="3:17">
      <c r="C64" s="2542">
        <v>3</v>
      </c>
      <c r="D64" t="s">
        <v>1212</v>
      </c>
      <c r="G64" s="42">
        <v>43530</v>
      </c>
      <c r="I64" s="94" t="s">
        <v>1176</v>
      </c>
      <c r="L64" t="s">
        <v>1177</v>
      </c>
      <c r="Q64" t="s">
        <v>1213</v>
      </c>
    </row>
    <row r="65" spans="3:12">
      <c r="C65" s="2542"/>
      <c r="L65" t="s">
        <v>1179</v>
      </c>
    </row>
    <row r="66" spans="3:3">
      <c r="C66" s="2542"/>
    </row>
    <row r="67" spans="3:17">
      <c r="C67" s="2542"/>
      <c r="P67" s="2542">
        <v>1</v>
      </c>
      <c r="Q67" t="s">
        <v>1214</v>
      </c>
    </row>
    <row r="68" spans="3:17">
      <c r="C68" s="2542"/>
      <c r="P68" s="2542">
        <v>2</v>
      </c>
      <c r="Q68" t="s">
        <v>1215</v>
      </c>
    </row>
    <row r="69" spans="16:17">
      <c r="P69" s="2542">
        <v>3</v>
      </c>
      <c r="Q69" t="s">
        <v>1216</v>
      </c>
    </row>
    <row r="70" spans="17:17">
      <c r="Q70" s="5044" t="s">
        <v>1217</v>
      </c>
    </row>
    <row r="71" spans="17:17">
      <c r="Q71" t="s">
        <v>1218</v>
      </c>
    </row>
    <row r="72" spans="17:17">
      <c r="Q72" t="s">
        <v>1219</v>
      </c>
    </row>
    <row r="73" spans="17:17">
      <c r="Q73" t="s">
        <v>1220</v>
      </c>
    </row>
    <row r="74" spans="17:17">
      <c r="Q74" t="s">
        <v>1221</v>
      </c>
    </row>
    <row r="76" ht="13.2" spans="17:20">
      <c r="Q76" s="2332" t="s">
        <v>1222</v>
      </c>
      <c r="R76" s="2332" t="s">
        <v>1223</v>
      </c>
      <c r="S76" s="2332" t="s">
        <v>1204</v>
      </c>
      <c r="T76" s="2332" t="s">
        <v>1224</v>
      </c>
    </row>
    <row r="77" spans="17:22">
      <c r="Q77" s="2016">
        <v>1.9</v>
      </c>
      <c r="R77">
        <v>14500</v>
      </c>
      <c r="S77">
        <f>+Q77*R77</f>
        <v>27550</v>
      </c>
      <c r="T77">
        <f>0.5*38000</f>
        <v>19000</v>
      </c>
      <c r="U77">
        <f>+S77*T77</f>
        <v>523450000</v>
      </c>
      <c r="V77">
        <v>500000000</v>
      </c>
    </row>
    <row r="79" ht="13.2" spans="17:17">
      <c r="Q79" s="2332" t="s">
        <v>1225</v>
      </c>
    </row>
    <row r="80" spans="16:17">
      <c r="P80" s="2542" t="s">
        <v>142</v>
      </c>
      <c r="Q80" t="s">
        <v>1226</v>
      </c>
    </row>
  </sheetData>
  <mergeCells count="7">
    <mergeCell ref="U47:AA47"/>
    <mergeCell ref="S48:T48"/>
    <mergeCell ref="S49:T49"/>
    <mergeCell ref="S50:T50"/>
    <mergeCell ref="S51:T51"/>
    <mergeCell ref="S52:T52"/>
    <mergeCell ref="S53:T53"/>
  </mergeCells>
  <pageMargins left="0.7" right="0.7" top="0.75" bottom="0.75" header="0.3" footer="0.3"/>
  <pageSetup paperSize="1"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tabColor theme="6" tint="-0.249977111117893"/>
  </sheetPr>
  <dimension ref="A1:U65453"/>
  <sheetViews>
    <sheetView showGridLines="0" workbookViewId="0">
      <pane xSplit="4" ySplit="11" topLeftCell="E12" activePane="bottomRight" state="frozen"/>
      <selection/>
      <selection pane="topRight"/>
      <selection pane="bottomLeft"/>
      <selection pane="bottomRight" activeCell="H22" sqref="$A1:$XFD1048576"/>
    </sheetView>
  </sheetViews>
  <sheetFormatPr defaultColWidth="9.13541666666667" defaultRowHeight="13.2"/>
  <cols>
    <col min="1" max="1" width="3" style="101" customWidth="1"/>
    <col min="2" max="2" width="2.69791666666667" style="101" customWidth="1"/>
    <col min="3" max="3" width="7.34375" style="101" customWidth="1"/>
    <col min="4" max="4" width="29.8125" style="101" customWidth="1"/>
    <col min="5" max="5" width="5.23958333333333" style="101" customWidth="1"/>
    <col min="6" max="6" width="17.0833333333333" style="101" customWidth="1"/>
    <col min="7" max="7" width="4.64583333333333" style="101" customWidth="1"/>
    <col min="8" max="9" width="15.1354166666667" style="101" customWidth="1"/>
    <col min="10" max="10" width="6.89583333333333" style="101" customWidth="1"/>
    <col min="11" max="11" width="16.3333333333333" style="101" customWidth="1"/>
    <col min="12" max="12" width="17.375" style="101" customWidth="1" outlineLevel="1"/>
    <col min="13" max="13" width="6.59375" style="101" customWidth="1" outlineLevel="1"/>
    <col min="14" max="14" width="17.8333333333333" style="101" customWidth="1" outlineLevel="1"/>
    <col min="15" max="15" width="17.375" style="101" customWidth="1" outlineLevel="1"/>
    <col min="16" max="16" width="6.73958333333333" style="101" customWidth="1" outlineLevel="1"/>
    <col min="17" max="17" width="17.6770833333333" style="101" customWidth="1"/>
    <col min="18" max="18" width="19.625" style="101" customWidth="1"/>
    <col min="19" max="19" width="16.9270833333333" style="101" customWidth="1"/>
    <col min="20" max="20" width="9.29166666666667" style="101" customWidth="1"/>
    <col min="21" max="21" width="9.13541666666667" style="101"/>
    <col min="22" max="22" width="15.4270833333333" style="101" customWidth="1"/>
    <col min="23" max="16384" width="9.13541666666667" style="101"/>
  </cols>
  <sheetData>
    <row r="1" spans="2:16">
      <c r="B1" s="110"/>
      <c r="P1" s="137"/>
    </row>
    <row r="2" ht="15.6" spans="2:20">
      <c r="B2" s="3686" t="str">
        <f>'F1'!B2</f>
        <v>KAP LIASTA NIRWAN SYAFRUDIN &amp; REKAN</v>
      </c>
      <c r="C2" s="1198"/>
      <c r="D2" s="1198"/>
      <c r="E2" s="1198"/>
      <c r="F2" s="1198"/>
      <c r="G2" s="1198"/>
      <c r="H2" s="1198"/>
      <c r="I2" s="1198"/>
      <c r="J2" s="1198"/>
      <c r="K2" s="1198"/>
      <c r="L2" s="1198"/>
      <c r="M2" s="1198"/>
      <c r="N2" s="1198"/>
      <c r="O2" s="1198"/>
      <c r="P2" s="1198"/>
      <c r="Q2" s="1198"/>
      <c r="R2" s="1198" t="s">
        <v>481</v>
      </c>
      <c r="S2" s="1198" t="s">
        <v>482</v>
      </c>
      <c r="T2" s="3019" t="s">
        <v>483</v>
      </c>
    </row>
    <row r="3" spans="2:20">
      <c r="B3" s="1199"/>
      <c r="C3" s="1200"/>
      <c r="D3" s="1200"/>
      <c r="E3" s="1200"/>
      <c r="F3" s="1200"/>
      <c r="G3" s="1200"/>
      <c r="H3" s="1200"/>
      <c r="I3" s="1200"/>
      <c r="J3" s="1200"/>
      <c r="K3" s="1200"/>
      <c r="L3" s="1200"/>
      <c r="M3" s="1200"/>
      <c r="N3" s="1200"/>
      <c r="O3" s="1200"/>
      <c r="P3" s="1200"/>
      <c r="Q3" s="1200"/>
      <c r="R3" s="1200"/>
      <c r="S3" s="1238">
        <v>45173</v>
      </c>
      <c r="T3" s="3020" t="s">
        <v>735</v>
      </c>
    </row>
    <row r="4" spans="2:20">
      <c r="B4" s="1199" t="s">
        <v>1227</v>
      </c>
      <c r="C4" s="1200"/>
      <c r="D4" s="2472" t="str">
        <f>A!D4</f>
        <v>PT INTAN GIRI ABADI</v>
      </c>
      <c r="E4" s="1200"/>
      <c r="F4" s="1200"/>
      <c r="G4" s="1200"/>
      <c r="H4" s="1200"/>
      <c r="I4" s="1200"/>
      <c r="J4" s="1200"/>
      <c r="K4" s="1200"/>
      <c r="L4" s="1200"/>
      <c r="M4" s="1200"/>
      <c r="N4" s="1200"/>
      <c r="O4" s="1200"/>
      <c r="P4" s="1200"/>
      <c r="Q4" s="1200"/>
      <c r="R4" s="1200" t="s">
        <v>487</v>
      </c>
      <c r="S4" s="1200" t="s">
        <v>482</v>
      </c>
      <c r="T4" s="3020" t="s">
        <v>488</v>
      </c>
    </row>
    <row r="5" ht="9.6" customHeight="1" spans="2:20">
      <c r="B5" s="1199"/>
      <c r="C5" s="1200"/>
      <c r="D5" s="1200"/>
      <c r="E5" s="1200"/>
      <c r="F5" s="1200"/>
      <c r="G5" s="1200"/>
      <c r="H5" s="1200"/>
      <c r="I5" s="1200"/>
      <c r="J5" s="1200"/>
      <c r="K5" s="1200"/>
      <c r="L5" s="1200"/>
      <c r="M5" s="1200"/>
      <c r="N5" s="1200"/>
      <c r="O5" s="1200"/>
      <c r="P5" s="1200"/>
      <c r="Q5" s="1200"/>
      <c r="R5" s="1200"/>
      <c r="S5" s="1200"/>
      <c r="T5" s="3020"/>
    </row>
    <row r="6" spans="2:20">
      <c r="B6" s="1199"/>
      <c r="C6" s="1200"/>
      <c r="D6" s="1200"/>
      <c r="E6" s="1200"/>
      <c r="F6" s="1200"/>
      <c r="G6" s="1200"/>
      <c r="H6" s="1200"/>
      <c r="I6" s="1200"/>
      <c r="J6" s="1200"/>
      <c r="K6" s="1200"/>
      <c r="L6" s="1200"/>
      <c r="M6" s="1200"/>
      <c r="N6" s="1200"/>
      <c r="O6" s="1200"/>
      <c r="P6" s="1200"/>
      <c r="Q6" s="1200"/>
      <c r="R6" s="1200"/>
      <c r="S6" s="1200"/>
      <c r="T6" s="3020" t="s">
        <v>491</v>
      </c>
    </row>
    <row r="7" spans="2:20">
      <c r="B7" s="1201" t="s">
        <v>900</v>
      </c>
      <c r="C7" s="1202"/>
      <c r="D7" s="3687" t="s">
        <v>390</v>
      </c>
      <c r="E7" s="1202"/>
      <c r="F7" s="1202"/>
      <c r="G7" s="1202"/>
      <c r="H7" s="1202"/>
      <c r="I7" s="1202"/>
      <c r="J7" s="1202"/>
      <c r="K7" s="1202"/>
      <c r="L7" s="1202"/>
      <c r="M7" s="1202"/>
      <c r="N7" s="1202"/>
      <c r="O7" s="1202"/>
      <c r="P7" s="1202"/>
      <c r="Q7" s="1202"/>
      <c r="R7" s="1202"/>
      <c r="S7" s="1202"/>
      <c r="T7" s="3748">
        <f>+K11</f>
        <v>44926</v>
      </c>
    </row>
    <row r="9" spans="2:20">
      <c r="B9" s="3688" t="s">
        <v>492</v>
      </c>
      <c r="C9" s="3689"/>
      <c r="D9" s="3690"/>
      <c r="E9" s="3691"/>
      <c r="F9" s="3692"/>
      <c r="G9" s="3691"/>
      <c r="H9" s="3693" t="s">
        <v>1228</v>
      </c>
      <c r="I9" s="3728"/>
      <c r="J9" s="3692"/>
      <c r="K9" s="3692"/>
      <c r="L9" s="3692"/>
      <c r="M9" s="3729"/>
      <c r="N9" s="3693" t="s">
        <v>1228</v>
      </c>
      <c r="O9" s="3728"/>
      <c r="P9" s="3692"/>
      <c r="Q9" s="3691"/>
      <c r="R9" s="3692"/>
      <c r="S9" s="3749">
        <f>+K11</f>
        <v>44926</v>
      </c>
      <c r="T9" s="3750"/>
    </row>
    <row r="10" spans="2:20">
      <c r="B10" s="3694"/>
      <c r="C10" s="3695"/>
      <c r="D10" s="3696"/>
      <c r="E10" s="3158" t="s">
        <v>654</v>
      </c>
      <c r="F10" s="3697" t="s">
        <v>1229</v>
      </c>
      <c r="G10" s="3698" t="s">
        <v>1230</v>
      </c>
      <c r="H10" s="3699" t="s">
        <v>1231</v>
      </c>
      <c r="I10" s="3731" t="s">
        <v>1232</v>
      </c>
      <c r="J10" s="3698" t="s">
        <v>1230</v>
      </c>
      <c r="K10" s="3697" t="s">
        <v>1233</v>
      </c>
      <c r="L10" s="3697" t="str">
        <f>+F10</f>
        <v>Saldo Inhouse</v>
      </c>
      <c r="M10" s="3698" t="s">
        <v>1230</v>
      </c>
      <c r="N10" s="3699" t="s">
        <v>1231</v>
      </c>
      <c r="O10" s="3731" t="s">
        <v>1232</v>
      </c>
      <c r="P10" s="3698" t="s">
        <v>1230</v>
      </c>
      <c r="Q10" s="3158" t="s">
        <v>1233</v>
      </c>
      <c r="R10" s="3697" t="s">
        <v>1233</v>
      </c>
      <c r="S10" s="3751" t="s">
        <v>1234</v>
      </c>
      <c r="T10" s="3752"/>
    </row>
    <row r="11" ht="13.95" spans="2:20">
      <c r="B11" s="3700"/>
      <c r="C11" s="3701"/>
      <c r="D11" s="3702"/>
      <c r="E11" s="3703" t="s">
        <v>812</v>
      </c>
      <c r="F11" s="3704">
        <v>44926</v>
      </c>
      <c r="G11" s="3705" t="s">
        <v>1235</v>
      </c>
      <c r="H11" s="3706"/>
      <c r="I11" s="3733"/>
      <c r="J11" s="3704" t="s">
        <v>1235</v>
      </c>
      <c r="K11" s="3704">
        <f>F11</f>
        <v>44926</v>
      </c>
      <c r="L11" s="3704">
        <f>+Q11</f>
        <v>44561</v>
      </c>
      <c r="M11" s="3704" t="s">
        <v>1235</v>
      </c>
      <c r="N11" s="3706"/>
      <c r="O11" s="3733"/>
      <c r="P11" s="3704" t="s">
        <v>1235</v>
      </c>
      <c r="Q11" s="3705">
        <f>+K11-365</f>
        <v>44561</v>
      </c>
      <c r="R11" s="3704">
        <f>+Q11-365</f>
        <v>44196</v>
      </c>
      <c r="S11" s="3753" t="s">
        <v>151</v>
      </c>
      <c r="T11" s="3754" t="s">
        <v>1236</v>
      </c>
    </row>
    <row r="12" spans="1:20">
      <c r="A12" s="3707"/>
      <c r="B12" s="100"/>
      <c r="C12" s="100"/>
      <c r="D12" s="153"/>
      <c r="E12" s="102"/>
      <c r="F12" s="131"/>
      <c r="G12" s="102"/>
      <c r="H12" s="131"/>
      <c r="I12" s="102"/>
      <c r="J12" s="131"/>
      <c r="K12" s="131"/>
      <c r="L12" s="2063"/>
      <c r="M12" s="153"/>
      <c r="N12" s="152"/>
      <c r="O12" s="153"/>
      <c r="P12" s="152"/>
      <c r="Q12" s="153"/>
      <c r="R12" s="153"/>
      <c r="S12" s="161"/>
      <c r="T12" s="2067"/>
    </row>
    <row r="13" spans="1:20">
      <c r="A13" s="3707"/>
      <c r="C13" s="100" t="s">
        <v>390</v>
      </c>
      <c r="D13" s="130"/>
      <c r="E13" s="131"/>
      <c r="F13" s="131"/>
      <c r="G13" s="132"/>
      <c r="H13" s="131"/>
      <c r="I13" s="132"/>
      <c r="J13" s="3774"/>
      <c r="K13" s="131"/>
      <c r="L13" s="304"/>
      <c r="M13" s="153"/>
      <c r="N13" s="152"/>
      <c r="O13" s="153"/>
      <c r="P13" s="152"/>
      <c r="Q13" s="153"/>
      <c r="R13" s="152"/>
      <c r="S13" s="304"/>
      <c r="T13" s="3787"/>
    </row>
    <row r="14" spans="1:20">
      <c r="A14" s="3707"/>
      <c r="C14" s="100" t="s">
        <v>1237</v>
      </c>
      <c r="D14" s="130"/>
      <c r="E14" s="131"/>
      <c r="F14" s="3710"/>
      <c r="G14" s="3774"/>
      <c r="H14" s="3774"/>
      <c r="I14" s="3774"/>
      <c r="J14" s="3774"/>
      <c r="K14" s="131"/>
      <c r="L14" s="137"/>
      <c r="M14" s="152"/>
      <c r="N14" s="152"/>
      <c r="O14" s="153"/>
      <c r="P14" s="152"/>
      <c r="Q14" s="130"/>
      <c r="R14" s="152"/>
      <c r="S14" s="161"/>
      <c r="T14" s="3787"/>
    </row>
    <row r="15" spans="1:20">
      <c r="A15" s="3707"/>
      <c r="C15" s="101" t="s">
        <v>1238</v>
      </c>
      <c r="D15" s="130"/>
      <c r="E15" s="131"/>
      <c r="F15" s="2205">
        <v>1328060000</v>
      </c>
      <c r="G15" s="3774"/>
      <c r="H15" s="161">
        <f>SUMIF('F4'!$E$12:$E$158,C15,'F4'!$G$12:$G$158)</f>
        <v>0</v>
      </c>
      <c r="I15" s="161">
        <f>+H34</f>
        <v>1328060000</v>
      </c>
      <c r="J15" s="3774"/>
      <c r="K15" s="161">
        <f>F15+H15-I15</f>
        <v>0</v>
      </c>
      <c r="L15" s="137"/>
      <c r="M15" s="152"/>
      <c r="N15" s="161">
        <f>SUMIF('F4'!$E$12:$E$158,C15,'F4'!$I$12:$I$158)</f>
        <v>0</v>
      </c>
      <c r="O15" s="161">
        <f>SUMIF('F4'!$E$12:$E$158,C15,'F4'!$J$12:$J$158)</f>
        <v>0</v>
      </c>
      <c r="P15" s="152"/>
      <c r="Q15" s="101">
        <f t="shared" ref="Q15:Q29" si="0">L15+N15-O15</f>
        <v>0</v>
      </c>
      <c r="R15" s="161">
        <v>0</v>
      </c>
      <c r="S15" s="192">
        <f>F15-L15</f>
        <v>1328060000</v>
      </c>
      <c r="T15" s="3788">
        <f>IF(Q15=0,IF(Q15=0,1,S15/S15),S15/Q15)</f>
        <v>1</v>
      </c>
    </row>
    <row r="16" spans="2:20">
      <c r="B16" s="3775"/>
      <c r="C16" s="101" t="s">
        <v>1239</v>
      </c>
      <c r="D16" s="130"/>
      <c r="E16" s="161"/>
      <c r="F16" s="2205">
        <v>346533204.6</v>
      </c>
      <c r="G16" s="3774"/>
      <c r="H16" s="161">
        <f>SUMIF('F4'!$E$12:$E$158,C16,'F4'!$G$12:$G$158)</f>
        <v>0</v>
      </c>
      <c r="I16" s="161">
        <f>SUMIF('F4'!$E$12:$E$158,C16,'F4'!$H$12:$H$158)</f>
        <v>0</v>
      </c>
      <c r="J16" s="3774"/>
      <c r="K16" s="161">
        <f>F16+H16-I16</f>
        <v>346533204.6</v>
      </c>
      <c r="L16" s="101">
        <v>0</v>
      </c>
      <c r="M16" s="152"/>
      <c r="N16" s="161">
        <f>SUMIF('F4'!$E$12:$E$158,C16,'F4'!$I$12:$I$158)</f>
        <v>0</v>
      </c>
      <c r="O16" s="161">
        <f>SUMIF('F4'!$E$12:$E$158,C16,'F4'!$J$12:$J$158)</f>
        <v>0</v>
      </c>
      <c r="P16" s="152"/>
      <c r="Q16" s="101">
        <f t="shared" si="0"/>
        <v>0</v>
      </c>
      <c r="R16" s="161">
        <v>0</v>
      </c>
      <c r="S16" s="192">
        <f t="shared" ref="S16:S31" si="1">F16-L16</f>
        <v>346533204.6</v>
      </c>
      <c r="T16" s="3788">
        <f t="shared" ref="T16:T31" si="2">IF(Q16=0,IF(Q16=0,1,S16/S16),S16/Q16)</f>
        <v>1</v>
      </c>
    </row>
    <row r="17" spans="1:20">
      <c r="A17" s="3707"/>
      <c r="C17" s="101" t="s">
        <v>1240</v>
      </c>
      <c r="E17" s="161"/>
      <c r="F17" s="2205">
        <v>292120000</v>
      </c>
      <c r="G17" s="3776"/>
      <c r="H17" s="161">
        <f>SUMIF('F4'!$E$12:$E$158,C17,'F4'!$G$12:$G$158)</f>
        <v>0</v>
      </c>
      <c r="I17" s="161">
        <f>SUMIF('F4'!$E$12:$E$158,C17,'F4'!$H$12:$H$158)</f>
        <v>0</v>
      </c>
      <c r="J17" s="3776"/>
      <c r="K17" s="161">
        <f t="shared" ref="K17:K29" si="3">F17+H17-I17</f>
        <v>292120000</v>
      </c>
      <c r="L17" s="101">
        <v>874768500</v>
      </c>
      <c r="M17" s="152"/>
      <c r="N17" s="161">
        <f>SUMIF('F4'!$E$12:$E$158,C17,'F4'!$I$12:$I$158)</f>
        <v>0</v>
      </c>
      <c r="O17" s="161">
        <f>SUMIF('F4'!$E$12:$E$158,C17,'F4'!$J$12:$J$158)</f>
        <v>0</v>
      </c>
      <c r="P17" s="152"/>
      <c r="Q17" s="101">
        <f t="shared" si="0"/>
        <v>874768500</v>
      </c>
      <c r="R17" s="161">
        <v>746140500</v>
      </c>
      <c r="S17" s="192">
        <f t="shared" si="1"/>
        <v>-582648500</v>
      </c>
      <c r="T17" s="3788">
        <f t="shared" si="2"/>
        <v>-0.666060220504053</v>
      </c>
    </row>
    <row r="18" spans="1:20">
      <c r="A18" s="3707"/>
      <c r="C18" s="101" t="s">
        <v>1241</v>
      </c>
      <c r="E18" s="161"/>
      <c r="F18" s="2205">
        <v>54000000</v>
      </c>
      <c r="G18" s="3776"/>
      <c r="H18" s="161">
        <f>SUMIF('F4'!$E$12:$E$158,C18,'F4'!$G$12:$G$158)</f>
        <v>0</v>
      </c>
      <c r="I18" s="161">
        <f>SUMIF('F4'!$E$12:$E$158,C18,'F4'!$H$12:$H$158)</f>
        <v>0</v>
      </c>
      <c r="J18" s="3776"/>
      <c r="K18" s="161">
        <f t="shared" si="3"/>
        <v>54000000</v>
      </c>
      <c r="L18" s="101">
        <v>127000000</v>
      </c>
      <c r="M18" s="152"/>
      <c r="N18" s="161">
        <f>SUMIF('F4'!$E$12:$E$158,C18,'F4'!$I$12:$I$158)</f>
        <v>0</v>
      </c>
      <c r="O18" s="161">
        <f>SUMIF('F4'!$E$12:$E$158,C18,'F4'!$J$12:$J$158)</f>
        <v>0</v>
      </c>
      <c r="P18" s="152"/>
      <c r="Q18" s="101">
        <f t="shared" si="0"/>
        <v>127000000</v>
      </c>
      <c r="R18" s="161">
        <v>0</v>
      </c>
      <c r="S18" s="192">
        <f t="shared" si="1"/>
        <v>-73000000</v>
      </c>
      <c r="T18" s="3788">
        <f t="shared" si="2"/>
        <v>-0.574803149606299</v>
      </c>
    </row>
    <row r="19" spans="2:20">
      <c r="B19" s="3775"/>
      <c r="C19" s="101" t="s">
        <v>1242</v>
      </c>
      <c r="E19" s="161"/>
      <c r="F19" s="2205">
        <v>50737245.6</v>
      </c>
      <c r="G19" s="3776"/>
      <c r="H19" s="161">
        <f>SUMIF('F4'!$E$12:$E$158,C19,'F4'!$G$12:$G$158)</f>
        <v>0</v>
      </c>
      <c r="I19" s="161">
        <f>SUMIF('F4'!$E$12:$E$158,C19,'F4'!$H$12:$H$158)</f>
        <v>0</v>
      </c>
      <c r="J19" s="3776"/>
      <c r="K19" s="161">
        <f t="shared" si="3"/>
        <v>50737245.6</v>
      </c>
      <c r="L19" s="101">
        <v>0</v>
      </c>
      <c r="M19" s="152"/>
      <c r="N19" s="161">
        <f>SUMIF('F4'!$E$12:$E$158,C19,'F4'!$I$12:$I$158)</f>
        <v>0</v>
      </c>
      <c r="O19" s="161">
        <f>SUMIF('F4'!$E$12:$E$158,C19,'F4'!$J$12:$J$158)</f>
        <v>0</v>
      </c>
      <c r="P19" s="152"/>
      <c r="Q19" s="101">
        <f t="shared" si="0"/>
        <v>0</v>
      </c>
      <c r="R19" s="161">
        <v>0</v>
      </c>
      <c r="S19" s="192">
        <f t="shared" si="1"/>
        <v>50737245.6</v>
      </c>
      <c r="T19" s="3788">
        <f t="shared" si="2"/>
        <v>1</v>
      </c>
    </row>
    <row r="20" spans="1:20">
      <c r="A20" s="3707"/>
      <c r="B20" s="3777"/>
      <c r="C20" s="101" t="s">
        <v>1243</v>
      </c>
      <c r="E20" s="161"/>
      <c r="F20" s="2205">
        <v>48164820</v>
      </c>
      <c r="G20" s="3776"/>
      <c r="H20" s="161">
        <f>SUMIF('F4'!$E$12:$E$158,C20,'F4'!$G$12:$G$158)</f>
        <v>0</v>
      </c>
      <c r="I20" s="161">
        <f>SUMIF('F4'!$E$12:$E$158,C20,'F4'!$H$12:$H$158)</f>
        <v>0</v>
      </c>
      <c r="J20" s="3776"/>
      <c r="K20" s="161">
        <f t="shared" si="3"/>
        <v>48164820</v>
      </c>
      <c r="L20" s="101">
        <v>48335950</v>
      </c>
      <c r="M20" s="152"/>
      <c r="N20" s="161">
        <f>SUMIF('F4'!$E$12:$E$158,C20,'F4'!$I$12:$I$158)</f>
        <v>0</v>
      </c>
      <c r="O20" s="161">
        <f>SUMIF('F4'!$E$12:$E$158,C20,'F4'!$J$12:$J$158)</f>
        <v>0</v>
      </c>
      <c r="P20" s="152"/>
      <c r="Q20" s="101">
        <f t="shared" si="0"/>
        <v>48335950</v>
      </c>
      <c r="R20" s="161">
        <v>0</v>
      </c>
      <c r="S20" s="192">
        <f t="shared" si="1"/>
        <v>-171130</v>
      </c>
      <c r="T20" s="3788">
        <f t="shared" si="2"/>
        <v>-0.00354042901815316</v>
      </c>
    </row>
    <row r="21" spans="1:20">
      <c r="A21" s="3707"/>
      <c r="C21" s="101" t="s">
        <v>1244</v>
      </c>
      <c r="E21" s="161"/>
      <c r="F21" s="2205">
        <v>0</v>
      </c>
      <c r="G21" s="3776"/>
      <c r="H21" s="161">
        <f>SUMIF('F4'!$E$12:$E$158,C21,'F4'!$G$12:$G$158)</f>
        <v>0</v>
      </c>
      <c r="I21" s="161">
        <f>SUMIF('F4'!$E$12:$E$158,C21,'F4'!$H$12:$H$158)</f>
        <v>0</v>
      </c>
      <c r="J21" s="3776"/>
      <c r="K21" s="161">
        <f t="shared" si="3"/>
        <v>0</v>
      </c>
      <c r="L21" s="101">
        <v>85499964</v>
      </c>
      <c r="M21" s="152"/>
      <c r="N21" s="161">
        <f>SUMIF('F4'!$E$12:$E$158,C21,'F4'!$I$12:$I$158)</f>
        <v>0</v>
      </c>
      <c r="O21" s="161">
        <f>SUMIF('F4'!$E$12:$E$158,C21,'F4'!$J$12:$J$158)</f>
        <v>0</v>
      </c>
      <c r="P21" s="152"/>
      <c r="Q21" s="101">
        <f t="shared" si="0"/>
        <v>85499964</v>
      </c>
      <c r="R21" s="161">
        <v>128249946</v>
      </c>
      <c r="S21" s="192">
        <f t="shared" si="1"/>
        <v>-85499964</v>
      </c>
      <c r="T21" s="3788">
        <f t="shared" si="2"/>
        <v>-1</v>
      </c>
    </row>
    <row r="22" spans="1:20">
      <c r="A22" s="3707"/>
      <c r="C22" s="137" t="s">
        <v>1245</v>
      </c>
      <c r="E22" s="161"/>
      <c r="F22" s="2205">
        <v>0</v>
      </c>
      <c r="G22" s="3774"/>
      <c r="H22" s="161">
        <f>SUMIF('F4'!$E$12:$E$158,#REF!,'F4'!$G$12:$G$158)</f>
        <v>0</v>
      </c>
      <c r="I22" s="161">
        <f>SUMIF('F4'!$E$12:$E$158,#REF!,'F4'!$H$12:$H$158)</f>
        <v>0</v>
      </c>
      <c r="J22" s="3774"/>
      <c r="K22" s="161">
        <f t="shared" si="3"/>
        <v>0</v>
      </c>
      <c r="L22" s="101">
        <v>61121056.7747904</v>
      </c>
      <c r="M22" s="152"/>
      <c r="N22" s="161">
        <f>SUMIF('F4'!$E$12:$E$158,#REF!,'F4'!$I$12:$I$158)</f>
        <v>0</v>
      </c>
      <c r="O22" s="161">
        <f>SUMIF('F4'!$E$12:$E$158,#REF!,'F4'!$J$12:$J$158)</f>
        <v>0</v>
      </c>
      <c r="P22" s="152"/>
      <c r="Q22" s="101">
        <f t="shared" si="0"/>
        <v>61121056.7747904</v>
      </c>
      <c r="R22" s="161">
        <v>103572452.713332</v>
      </c>
      <c r="S22" s="192">
        <f t="shared" si="1"/>
        <v>-61121056.7747904</v>
      </c>
      <c r="T22" s="3788">
        <f t="shared" si="2"/>
        <v>-1</v>
      </c>
    </row>
    <row r="23" spans="2:20">
      <c r="B23" s="3775"/>
      <c r="C23" s="101" t="s">
        <v>1246</v>
      </c>
      <c r="E23" s="161"/>
      <c r="F23" s="2205">
        <v>0</v>
      </c>
      <c r="G23" s="3776"/>
      <c r="H23" s="161">
        <f>SUMIF('F4'!$E$12:$E$158,C23,'F4'!$G$12:$G$158)</f>
        <v>0</v>
      </c>
      <c r="I23" s="161">
        <f>SUMIF('F4'!$E$12:$E$158,C23,'F4'!$H$12:$H$158)</f>
        <v>0</v>
      </c>
      <c r="J23" s="3776"/>
      <c r="K23" s="161">
        <f t="shared" si="3"/>
        <v>0</v>
      </c>
      <c r="L23" s="101">
        <v>8852624.5</v>
      </c>
      <c r="M23" s="152"/>
      <c r="N23" s="161">
        <f>SUMIF('F4'!$E$12:$E$158,C23,'F4'!$I$12:$I$158)</f>
        <v>0</v>
      </c>
      <c r="O23" s="161">
        <f>SUMIF('F4'!$E$12:$E$158,C23,'F4'!$J$12:$J$158)</f>
        <v>0</v>
      </c>
      <c r="P23" s="152"/>
      <c r="Q23" s="101">
        <f t="shared" si="0"/>
        <v>8852624.5</v>
      </c>
      <c r="R23" s="161">
        <v>0</v>
      </c>
      <c r="S23" s="192">
        <f t="shared" si="1"/>
        <v>-8852624.5</v>
      </c>
      <c r="T23" s="3788">
        <f t="shared" si="2"/>
        <v>-1</v>
      </c>
    </row>
    <row r="24" spans="2:20">
      <c r="B24" s="3775"/>
      <c r="C24" s="101" t="s">
        <v>1247</v>
      </c>
      <c r="E24" s="161"/>
      <c r="F24" s="2205">
        <v>0</v>
      </c>
      <c r="G24" s="3776"/>
      <c r="H24" s="161">
        <f>SUMIF('F4'!$E$12:$E$158,C24,'F4'!$G$12:$G$158)</f>
        <v>0</v>
      </c>
      <c r="I24" s="161">
        <f>SUMIF('F4'!$E$12:$E$158,C24,'F4'!$H$12:$H$158)</f>
        <v>0</v>
      </c>
      <c r="J24" s="3776"/>
      <c r="K24" s="161">
        <f t="shared" si="3"/>
        <v>0</v>
      </c>
      <c r="L24" s="101">
        <v>0</v>
      </c>
      <c r="M24" s="152"/>
      <c r="N24" s="161">
        <f>SUMIF('F4'!$E$12:$E$158,C24,'F4'!$I$12:$I$158)</f>
        <v>0</v>
      </c>
      <c r="O24" s="161">
        <f>SUMIF('F4'!$E$12:$E$158,C24,'F4'!$J$12:$J$158)</f>
        <v>0</v>
      </c>
      <c r="P24" s="152"/>
      <c r="Q24" s="101">
        <f t="shared" si="0"/>
        <v>0</v>
      </c>
      <c r="R24" s="161">
        <v>244775999.68</v>
      </c>
      <c r="S24" s="192">
        <f t="shared" si="1"/>
        <v>0</v>
      </c>
      <c r="T24" s="3788">
        <f t="shared" si="2"/>
        <v>1</v>
      </c>
    </row>
    <row r="25" spans="2:20">
      <c r="B25" s="3775"/>
      <c r="C25" s="101" t="s">
        <v>1248</v>
      </c>
      <c r="E25" s="161"/>
      <c r="F25" s="2205">
        <v>0</v>
      </c>
      <c r="G25" s="3776"/>
      <c r="H25" s="161">
        <f>SUMIF('F4'!$E$12:$E$158,C25,'F4'!$G$12:$G$158)</f>
        <v>0</v>
      </c>
      <c r="I25" s="161">
        <f>SUMIF('F4'!$E$12:$E$158,C25,'F4'!$H$12:$H$158)</f>
        <v>0</v>
      </c>
      <c r="J25" s="3776"/>
      <c r="K25" s="161">
        <f t="shared" si="3"/>
        <v>0</v>
      </c>
      <c r="L25" s="101">
        <v>0</v>
      </c>
      <c r="M25" s="152"/>
      <c r="N25" s="161">
        <f>SUMIF('F4'!$E$12:$E$158,C25,'F4'!$I$12:$I$158)</f>
        <v>0</v>
      </c>
      <c r="O25" s="161">
        <f>SUMIF('F4'!$E$12:$E$158,C25,'F4'!$J$12:$J$158)</f>
        <v>0</v>
      </c>
      <c r="P25" s="152"/>
      <c r="Q25" s="101">
        <f t="shared" si="0"/>
        <v>0</v>
      </c>
      <c r="R25" s="161">
        <v>10770100</v>
      </c>
      <c r="S25" s="192">
        <f t="shared" si="1"/>
        <v>0</v>
      </c>
      <c r="T25" s="3788">
        <f t="shared" si="2"/>
        <v>1</v>
      </c>
    </row>
    <row r="26" hidden="1" spans="2:20">
      <c r="B26" s="3775"/>
      <c r="C26" s="101" t="s">
        <v>1249</v>
      </c>
      <c r="D26" s="130"/>
      <c r="E26" s="161"/>
      <c r="F26" s="2205">
        <v>0</v>
      </c>
      <c r="G26" s="3774"/>
      <c r="H26" s="161">
        <f>SUMIF('F4'!$E$12:$E$158,C26,'F4'!$G$12:$G$158)</f>
        <v>0</v>
      </c>
      <c r="I26" s="161">
        <f>SUMIF('F4'!$E$12:$E$158,C26,'F4'!$H$12:$H$158)</f>
        <v>0</v>
      </c>
      <c r="J26" s="3774"/>
      <c r="K26" s="161">
        <f t="shared" si="3"/>
        <v>0</v>
      </c>
      <c r="L26" s="101">
        <v>0</v>
      </c>
      <c r="M26" s="152"/>
      <c r="N26" s="161">
        <f>SUMIF('F4'!$E$12:$E$158,C26,'F4'!$I$12:$I$158)</f>
        <v>0</v>
      </c>
      <c r="O26" s="161">
        <f>SUMIF('F4'!$E$12:$E$158,C26,'F4'!$J$12:$J$158)</f>
        <v>0</v>
      </c>
      <c r="P26" s="152"/>
      <c r="Q26" s="101">
        <f t="shared" si="0"/>
        <v>0</v>
      </c>
      <c r="R26" s="161">
        <v>0</v>
      </c>
      <c r="S26" s="192">
        <f t="shared" si="1"/>
        <v>0</v>
      </c>
      <c r="T26" s="3788">
        <f t="shared" si="2"/>
        <v>1</v>
      </c>
    </row>
    <row r="27" hidden="1" spans="2:20">
      <c r="B27" s="3775"/>
      <c r="C27" s="101" t="s">
        <v>1250</v>
      </c>
      <c r="E27" s="161"/>
      <c r="F27" s="2205">
        <v>0</v>
      </c>
      <c r="G27" s="3776"/>
      <c r="H27" s="161">
        <f>SUMIF('F4'!$E$12:$E$158,C27,'F4'!$G$12:$G$158)</f>
        <v>0</v>
      </c>
      <c r="I27" s="161">
        <f>SUMIF('F4'!$E$12:$E$158,C27,'F4'!$H$12:$H$158)</f>
        <v>0</v>
      </c>
      <c r="J27" s="3776"/>
      <c r="K27" s="161">
        <f t="shared" si="3"/>
        <v>0</v>
      </c>
      <c r="L27" s="101">
        <v>0</v>
      </c>
      <c r="M27" s="152"/>
      <c r="N27" s="161">
        <f>SUMIF('F4'!$E$12:$E$158,C27,'F4'!$I$12:$I$158)</f>
        <v>0</v>
      </c>
      <c r="O27" s="161">
        <f>SUMIF('F4'!$E$12:$E$158,C27,'F4'!$J$12:$J$158)</f>
        <v>0</v>
      </c>
      <c r="P27" s="152"/>
      <c r="Q27" s="101">
        <f t="shared" si="0"/>
        <v>0</v>
      </c>
      <c r="R27" s="161">
        <v>0</v>
      </c>
      <c r="S27" s="192">
        <f t="shared" si="1"/>
        <v>0</v>
      </c>
      <c r="T27" s="3788">
        <f t="shared" si="2"/>
        <v>1</v>
      </c>
    </row>
    <row r="28" hidden="1" spans="2:20">
      <c r="B28" s="3775"/>
      <c r="C28" s="101" t="s">
        <v>1251</v>
      </c>
      <c r="E28" s="161"/>
      <c r="F28" s="2205">
        <v>0</v>
      </c>
      <c r="G28" s="3776"/>
      <c r="H28" s="161">
        <f>SUMIF('F4'!$E$12:$E$158,C28,'F4'!$G$12:$G$158)</f>
        <v>0</v>
      </c>
      <c r="I28" s="161">
        <f>SUMIF('F4'!$E$12:$E$158,C28,'F4'!$H$12:$H$158)</f>
        <v>0</v>
      </c>
      <c r="J28" s="3776"/>
      <c r="K28" s="161">
        <f t="shared" si="3"/>
        <v>0</v>
      </c>
      <c r="L28" s="101">
        <v>0</v>
      </c>
      <c r="M28" s="152"/>
      <c r="N28" s="161">
        <f>SUMIF('F4'!$E$12:$E$158,C28,'F4'!$I$12:$I$158)</f>
        <v>0</v>
      </c>
      <c r="O28" s="161">
        <f>SUMIF('F4'!$E$12:$E$158,C28,'F4'!$J$12:$J$158)</f>
        <v>0</v>
      </c>
      <c r="P28" s="152"/>
      <c r="Q28" s="101">
        <f t="shared" si="0"/>
        <v>0</v>
      </c>
      <c r="R28" s="161"/>
      <c r="S28" s="192">
        <f t="shared" si="1"/>
        <v>0</v>
      </c>
      <c r="T28" s="3788">
        <f t="shared" si="2"/>
        <v>1</v>
      </c>
    </row>
    <row r="29" hidden="1" spans="2:20">
      <c r="B29" s="3775"/>
      <c r="C29" s="137" t="s">
        <v>1252</v>
      </c>
      <c r="E29" s="161"/>
      <c r="F29" s="2205">
        <v>0</v>
      </c>
      <c r="G29" s="3776"/>
      <c r="H29" s="161">
        <f>SUMIF('F4'!$E$12:$E$158,C29,'F4'!$G$12:$G$158)</f>
        <v>0</v>
      </c>
      <c r="I29" s="161">
        <f>SUMIF('F4'!$E$12:$E$158,C29,'F4'!$H$12:$H$158)</f>
        <v>0</v>
      </c>
      <c r="J29" s="3776"/>
      <c r="K29" s="161">
        <f t="shared" si="3"/>
        <v>0</v>
      </c>
      <c r="L29" s="101">
        <v>0</v>
      </c>
      <c r="M29" s="152"/>
      <c r="N29" s="161">
        <f>SUMIF('F4'!$E$12:$E$158,C29,'F4'!$I$12:$I$158)</f>
        <v>0</v>
      </c>
      <c r="O29" s="161">
        <f>SUMIF('F4'!$E$12:$E$158,C29,'F4'!$J$12:$J$158)</f>
        <v>0</v>
      </c>
      <c r="P29" s="152"/>
      <c r="Q29" s="101">
        <f t="shared" si="0"/>
        <v>0</v>
      </c>
      <c r="R29" s="161">
        <v>0</v>
      </c>
      <c r="S29" s="192">
        <f t="shared" si="1"/>
        <v>0</v>
      </c>
      <c r="T29" s="3788">
        <f t="shared" si="2"/>
        <v>1</v>
      </c>
    </row>
    <row r="30" spans="2:20">
      <c r="B30" s="3775"/>
      <c r="E30" s="3778"/>
      <c r="F30" s="3779"/>
      <c r="G30" s="3780"/>
      <c r="H30" s="3780"/>
      <c r="I30" s="3780"/>
      <c r="J30" s="3780"/>
      <c r="K30" s="143"/>
      <c r="L30" s="110"/>
      <c r="M30" s="3782"/>
      <c r="N30" s="3783"/>
      <c r="O30" s="3784"/>
      <c r="P30" s="3782"/>
      <c r="Q30" s="110"/>
      <c r="R30" s="143"/>
      <c r="S30" s="3789"/>
      <c r="T30" s="3790"/>
    </row>
    <row r="31" s="100" customFormat="1" spans="2:20">
      <c r="B31" s="3775"/>
      <c r="D31" s="100" t="s">
        <v>1253</v>
      </c>
      <c r="E31" s="3781"/>
      <c r="F31" s="3710">
        <f>SUM(F15:F30)</f>
        <v>2119615270.2</v>
      </c>
      <c r="G31" s="3774"/>
      <c r="H31" s="3710">
        <f>SUM(H15:H30)</f>
        <v>0</v>
      </c>
      <c r="I31" s="3710">
        <f>SUM(I15:I30)</f>
        <v>1328060000</v>
      </c>
      <c r="J31" s="3774"/>
      <c r="K31" s="3710">
        <f>SUM(K15:K30)</f>
        <v>791555270.2</v>
      </c>
      <c r="L31" s="3710">
        <f t="shared" ref="L31:R31" si="4">SUM(L15:L30)</f>
        <v>1205578095.27479</v>
      </c>
      <c r="M31" s="3710">
        <f t="shared" si="4"/>
        <v>0</v>
      </c>
      <c r="N31" s="3710">
        <f t="shared" si="4"/>
        <v>0</v>
      </c>
      <c r="O31" s="3710">
        <f t="shared" si="4"/>
        <v>0</v>
      </c>
      <c r="P31" s="3710">
        <f t="shared" si="4"/>
        <v>0</v>
      </c>
      <c r="Q31" s="3710">
        <f t="shared" si="4"/>
        <v>1205578095.27479</v>
      </c>
      <c r="R31" s="3710">
        <f t="shared" si="4"/>
        <v>1233508998.39333</v>
      </c>
      <c r="S31" s="192">
        <f t="shared" si="1"/>
        <v>914037174.92521</v>
      </c>
      <c r="T31" s="3788">
        <f t="shared" si="2"/>
        <v>0.758173343151918</v>
      </c>
    </row>
    <row r="32" spans="2:20">
      <c r="B32" s="3775"/>
      <c r="E32" s="3778"/>
      <c r="F32" s="2205"/>
      <c r="G32" s="3776"/>
      <c r="H32" s="3776"/>
      <c r="I32" s="3776"/>
      <c r="J32" s="3776"/>
      <c r="K32" s="161"/>
      <c r="M32" s="152"/>
      <c r="N32" s="3785"/>
      <c r="O32" s="3786"/>
      <c r="P32" s="152"/>
      <c r="R32" s="161"/>
      <c r="S32" s="360"/>
      <c r="T32" s="3791"/>
    </row>
    <row r="33" spans="2:20">
      <c r="B33" s="3775"/>
      <c r="C33" s="100" t="s">
        <v>1254</v>
      </c>
      <c r="E33" s="3774"/>
      <c r="F33" s="3776"/>
      <c r="G33" s="3776"/>
      <c r="H33" s="3776"/>
      <c r="I33" s="3776"/>
      <c r="J33" s="3776"/>
      <c r="K33" s="161"/>
      <c r="M33" s="152"/>
      <c r="N33" s="3785"/>
      <c r="O33" s="3786"/>
      <c r="P33" s="152"/>
      <c r="R33" s="161"/>
      <c r="S33" s="360"/>
      <c r="T33" s="3791"/>
    </row>
    <row r="34" spans="2:20">
      <c r="B34" s="3775"/>
      <c r="C34" s="101" t="s">
        <v>1255</v>
      </c>
      <c r="E34" s="3774"/>
      <c r="F34" s="2205">
        <v>0</v>
      </c>
      <c r="G34" s="3776"/>
      <c r="H34" s="161">
        <f>SUMIF('F4'!$E$12:$E$158,C34,'F4'!$G$12:$G$158)</f>
        <v>1328060000</v>
      </c>
      <c r="I34" s="161">
        <f>SUMIF('F4'!$E$12:$E$158,C34,'F4'!$H$12:$H$158)</f>
        <v>0</v>
      </c>
      <c r="J34" s="3776"/>
      <c r="K34" s="161">
        <f>F34+H34-I34</f>
        <v>1328060000</v>
      </c>
      <c r="L34" s="101">
        <v>0</v>
      </c>
      <c r="M34" s="152"/>
      <c r="N34" s="161">
        <f>SUMIF('F4'!$E$12:$E$158,C34,'F4'!$I$12:$I$158)</f>
        <v>0</v>
      </c>
      <c r="O34" s="161">
        <f>SUMIF('F4'!$E$12:$E$158,C34,'F4'!$J$12:$J$158)</f>
        <v>0</v>
      </c>
      <c r="P34" s="161"/>
      <c r="Q34" s="101">
        <f t="shared" ref="Q34:Q37" si="5">L34+N34-O34</f>
        <v>0</v>
      </c>
      <c r="R34" s="161">
        <v>0</v>
      </c>
      <c r="S34" s="192">
        <f t="shared" ref="S34:S39" si="6">F34-L34</f>
        <v>0</v>
      </c>
      <c r="T34" s="3788">
        <f t="shared" ref="T34:T39" si="7">IF(Q34=0,IF(Q34=0,1,S34/S34),S34/Q34)</f>
        <v>1</v>
      </c>
    </row>
    <row r="35" hidden="1" spans="2:20">
      <c r="B35" s="3775"/>
      <c r="E35" s="3774"/>
      <c r="F35" s="2205">
        <v>0</v>
      </c>
      <c r="G35" s="3776"/>
      <c r="H35" s="161">
        <f>SUMIF('F4'!$E$12:$E$158,C35,'F4'!$G$12:$G$158)</f>
        <v>0</v>
      </c>
      <c r="I35" s="161">
        <f>SUMIF('F4'!$E$12:$E$158,C35,'F4'!$H$12:$H$158)</f>
        <v>0</v>
      </c>
      <c r="J35" s="3776"/>
      <c r="K35" s="161">
        <f>F35+H35-I35</f>
        <v>0</v>
      </c>
      <c r="L35" s="101">
        <v>0</v>
      </c>
      <c r="M35" s="152"/>
      <c r="N35" s="161">
        <f>SUMIF('F4'!$E$12:$E$158,C35,'F4'!$I$12:$I$158)</f>
        <v>0</v>
      </c>
      <c r="O35" s="161">
        <f>SUMIF('F4'!$E$12:$E$158,C35,'F4'!$J$12:$J$158)</f>
        <v>0</v>
      </c>
      <c r="P35" s="152"/>
      <c r="Q35" s="101">
        <f t="shared" si="5"/>
        <v>0</v>
      </c>
      <c r="R35" s="161">
        <v>0</v>
      </c>
      <c r="S35" s="192">
        <f t="shared" si="6"/>
        <v>0</v>
      </c>
      <c r="T35" s="3788">
        <f t="shared" si="7"/>
        <v>1</v>
      </c>
    </row>
    <row r="36" hidden="1" spans="2:20">
      <c r="B36" s="3775"/>
      <c r="E36" s="3774"/>
      <c r="F36" s="2205">
        <v>0</v>
      </c>
      <c r="G36" s="3776"/>
      <c r="H36" s="161">
        <f>SUMIF('F4'!$E$12:$E$158,C36,'F4'!$G$12:$G$158)</f>
        <v>0</v>
      </c>
      <c r="I36" s="161">
        <f>SUMIF('F4'!$E$12:$E$158,C36,'F4'!$H$12:$H$158)</f>
        <v>0</v>
      </c>
      <c r="J36" s="3776"/>
      <c r="K36" s="161">
        <f>F36+H36-I36</f>
        <v>0</v>
      </c>
      <c r="L36" s="101">
        <v>0</v>
      </c>
      <c r="M36" s="152"/>
      <c r="N36" s="161">
        <f>SUMIF('F4'!$E$12:$E$158,C36,'F4'!$I$12:$I$158)</f>
        <v>0</v>
      </c>
      <c r="O36" s="161">
        <f>SUMIF('F4'!$E$12:$E$158,C36,'F4'!$J$12:$J$158)</f>
        <v>0</v>
      </c>
      <c r="P36" s="152"/>
      <c r="Q36" s="101">
        <f t="shared" si="5"/>
        <v>0</v>
      </c>
      <c r="R36" s="161">
        <v>0</v>
      </c>
      <c r="S36" s="192">
        <f t="shared" si="6"/>
        <v>0</v>
      </c>
      <c r="T36" s="3788">
        <f t="shared" si="7"/>
        <v>1</v>
      </c>
    </row>
    <row r="37" hidden="1" spans="2:20">
      <c r="B37" s="3775"/>
      <c r="E37" s="3776"/>
      <c r="F37" s="2205">
        <v>0</v>
      </c>
      <c r="G37" s="3776"/>
      <c r="H37" s="161">
        <f>SUMIF('F4'!$E$12:$E$158,C37,'F4'!$G$12:$G$158)</f>
        <v>0</v>
      </c>
      <c r="I37" s="161">
        <f>SUMIF('F4'!$E$12:$E$158,C37,'F4'!$H$12:$H$158)</f>
        <v>0</v>
      </c>
      <c r="J37" s="3776"/>
      <c r="K37" s="161">
        <f>F37+H37-I37</f>
        <v>0</v>
      </c>
      <c r="L37" s="101">
        <v>0</v>
      </c>
      <c r="M37" s="152"/>
      <c r="N37" s="161">
        <f>SUMIF('F4'!$E$12:$E$158,C37,'F4'!$I$12:$I$158)</f>
        <v>0</v>
      </c>
      <c r="O37" s="161">
        <f>SUMIF('F4'!$E$12:$E$158,C37,'F4'!$J$12:$J$158)</f>
        <v>0</v>
      </c>
      <c r="P37" s="152"/>
      <c r="Q37" s="101">
        <f t="shared" si="5"/>
        <v>0</v>
      </c>
      <c r="R37" s="161">
        <v>0</v>
      </c>
      <c r="S37" s="192">
        <f t="shared" si="6"/>
        <v>0</v>
      </c>
      <c r="T37" s="3788">
        <f t="shared" si="7"/>
        <v>1</v>
      </c>
    </row>
    <row r="38" spans="2:20">
      <c r="B38" s="3775"/>
      <c r="E38" s="3776"/>
      <c r="F38" s="3779"/>
      <c r="G38" s="3780"/>
      <c r="H38" s="3780"/>
      <c r="I38" s="3780"/>
      <c r="J38" s="3780"/>
      <c r="K38" s="143"/>
      <c r="L38" s="110"/>
      <c r="M38" s="3782"/>
      <c r="N38" s="3783"/>
      <c r="O38" s="3784"/>
      <c r="P38" s="3782"/>
      <c r="Q38" s="110"/>
      <c r="R38" s="143"/>
      <c r="S38" s="194"/>
      <c r="T38" s="3792"/>
    </row>
    <row r="39" s="100" customFormat="1" spans="2:20">
      <c r="B39" s="3775"/>
      <c r="D39" s="100" t="s">
        <v>1256</v>
      </c>
      <c r="E39" s="3774"/>
      <c r="F39" s="3710">
        <f>SUM(F34:F38)</f>
        <v>0</v>
      </c>
      <c r="G39" s="3774"/>
      <c r="H39" s="3710">
        <f>SUM(H34:H38)</f>
        <v>1328060000</v>
      </c>
      <c r="I39" s="3710">
        <f>SUM(I34:I38)</f>
        <v>0</v>
      </c>
      <c r="J39" s="3774"/>
      <c r="K39" s="3710">
        <f>SUM(K34:K38)</f>
        <v>1328060000</v>
      </c>
      <c r="L39" s="3710">
        <f>SUM(L34:L38)</f>
        <v>0</v>
      </c>
      <c r="M39" s="152"/>
      <c r="N39" s="3710">
        <f>SUM(N34:N38)</f>
        <v>0</v>
      </c>
      <c r="O39" s="3710">
        <f>SUM(O34:O38)</f>
        <v>0</v>
      </c>
      <c r="P39" s="152"/>
      <c r="Q39" s="3710">
        <f>SUM(Q34:Q38)</f>
        <v>0</v>
      </c>
      <c r="R39" s="200">
        <f>SUM(R34:R38)</f>
        <v>0</v>
      </c>
      <c r="S39" s="192">
        <f t="shared" si="6"/>
        <v>0</v>
      </c>
      <c r="T39" s="3788">
        <f t="shared" si="7"/>
        <v>1</v>
      </c>
    </row>
    <row r="40" spans="2:20">
      <c r="B40" s="2497"/>
      <c r="C40" s="186"/>
      <c r="D40" s="289"/>
      <c r="E40" s="311"/>
      <c r="F40" s="3710"/>
      <c r="G40" s="311"/>
      <c r="H40" s="3710"/>
      <c r="I40" s="3710"/>
      <c r="J40" s="311"/>
      <c r="K40" s="143"/>
      <c r="L40" s="137"/>
      <c r="M40" s="147"/>
      <c r="N40" s="174"/>
      <c r="O40" s="230"/>
      <c r="P40" s="296"/>
      <c r="Q40" s="304"/>
      <c r="R40"/>
      <c r="S40" s="296"/>
      <c r="T40" s="2067"/>
    </row>
    <row r="41" spans="2:21">
      <c r="B41" s="3711"/>
      <c r="C41" s="205" t="s">
        <v>151</v>
      </c>
      <c r="D41" s="205"/>
      <c r="E41" s="3712" t="s">
        <v>171</v>
      </c>
      <c r="F41" s="3713">
        <f>+F31+F39</f>
        <v>2119615270.2</v>
      </c>
      <c r="G41" s="3713"/>
      <c r="H41" s="3714">
        <f>+H31+H39</f>
        <v>1328060000</v>
      </c>
      <c r="I41" s="3714">
        <f>+I31+I39</f>
        <v>1328060000</v>
      </c>
      <c r="J41" s="3712"/>
      <c r="K41" s="3713">
        <f>+K31+K39</f>
        <v>2119615270.2</v>
      </c>
      <c r="L41" s="3713">
        <f>+L31+L39</f>
        <v>1205578095.27479</v>
      </c>
      <c r="M41" s="3713"/>
      <c r="N41" s="3714">
        <f>+N31+N39</f>
        <v>0</v>
      </c>
      <c r="O41" s="3714">
        <f>+O31+O39</f>
        <v>0</v>
      </c>
      <c r="P41" s="3755"/>
      <c r="Q41" s="3713">
        <f>+Q31+Q39</f>
        <v>1205578095.27479</v>
      </c>
      <c r="R41" s="3713">
        <f>+R31+R39</f>
        <v>1233508998.39333</v>
      </c>
      <c r="S41" s="3713">
        <f>+S31+S39</f>
        <v>914037174.92521</v>
      </c>
      <c r="T41" s="3756">
        <f>IF(R41=0,IF(R41=0,1,S41/S41),S41/R41)</f>
        <v>0.741005680636104</v>
      </c>
      <c r="U41" s="100"/>
    </row>
    <row r="42" spans="5:20">
      <c r="E42" s="132"/>
      <c r="F42" s="139">
        <f>+F41-'F1'!E17</f>
        <v>0</v>
      </c>
      <c r="G42" s="132"/>
      <c r="H42" s="199"/>
      <c r="I42" s="199"/>
      <c r="J42" s="132"/>
      <c r="K42" s="139">
        <f>+K41-'F1'!J17-'F1'!J18</f>
        <v>0</v>
      </c>
      <c r="L42" s="137">
        <f>L41-'F1'!K17-'F1'!K18</f>
        <v>0</v>
      </c>
      <c r="M42" s="137"/>
      <c r="N42" s="229"/>
      <c r="O42" s="229"/>
      <c r="P42" s="137"/>
      <c r="Q42" s="139">
        <f>+Q41-'F1'!P17</f>
        <v>0</v>
      </c>
      <c r="R42">
        <f>SUM('F1'!Q17:Q18)-R41</f>
        <v>0</v>
      </c>
      <c r="T42" s="103"/>
    </row>
    <row r="43" spans="6:18">
      <c r="F43" s="2423"/>
      <c r="L43" s="101" t="s">
        <v>649</v>
      </c>
      <c r="P43"/>
      <c r="Q43"/>
      <c r="R43" s="3156" t="s">
        <v>650</v>
      </c>
    </row>
    <row r="44" spans="6:21">
      <c r="F44" s="2423"/>
      <c r="U44" s="103"/>
    </row>
    <row r="45" spans="3:21">
      <c r="C45" t="s">
        <v>649</v>
      </c>
      <c r="D45" s="2879" t="str">
        <f>+'F1'!C46</f>
        <v>Sesuai dengan Saldo Buku Besar Periode 31 Desember 2022 &amp; 2021</v>
      </c>
      <c r="F45" s="2423"/>
      <c r="U45" s="103"/>
    </row>
    <row r="46" spans="3:21">
      <c r="C46" t="s">
        <v>650</v>
      </c>
      <c r="D46" s="2879" t="str">
        <f>+'F1'!C47</f>
        <v>Sesuai dengan Saldo Audit Periode Sebelumnya</v>
      </c>
      <c r="F46" s="2423"/>
      <c r="U46" s="103"/>
    </row>
    <row r="47" spans="3:21">
      <c r="C47" t="s">
        <v>187</v>
      </c>
      <c r="D47" s="2879" t="str">
        <f>+'F1'!C48</f>
        <v>Rumus dan Formula Perhitungan telah Diperiksa</v>
      </c>
      <c r="F47" s="2423"/>
      <c r="U47" s="103"/>
    </row>
    <row r="48" spans="3:21">
      <c r="C48" t="s">
        <v>651</v>
      </c>
      <c r="D48" s="2879" t="str">
        <f>+'F1'!C49</f>
        <v>Check to Bank Statements as of December 31, 2022 &amp; 2021</v>
      </c>
      <c r="F48" s="2423"/>
      <c r="T48" s="100"/>
      <c r="U48" s="103"/>
    </row>
    <row r="49" spans="4:12">
      <c r="D49"/>
      <c r="F49" s="2423"/>
      <c r="L49" s="137"/>
    </row>
    <row r="50" spans="1:20">
      <c r="A50" s="137"/>
      <c r="B50"/>
      <c r="C50"/>
      <c r="D50"/>
      <c r="E50"/>
      <c r="F50"/>
      <c r="G50"/>
      <c r="H50"/>
      <c r="I50"/>
      <c r="J50"/>
      <c r="K50"/>
      <c r="L50"/>
      <c r="M50"/>
      <c r="N50"/>
      <c r="O50"/>
      <c r="P50"/>
      <c r="Q50"/>
      <c r="R50"/>
      <c r="S50"/>
      <c r="T50"/>
    </row>
    <row r="51" spans="1:20">
      <c r="A51" s="137"/>
      <c r="B51" s="3715" t="s">
        <v>1257</v>
      </c>
      <c r="C51" s="3716"/>
      <c r="D51" s="3716"/>
      <c r="E51" s="3716"/>
      <c r="F51" s="3716"/>
      <c r="G51" s="3716"/>
      <c r="H51" s="3716"/>
      <c r="I51" s="3716"/>
      <c r="J51" s="3716"/>
      <c r="K51" s="3716"/>
      <c r="L51" s="3716"/>
      <c r="M51" s="3716"/>
      <c r="N51" s="3716"/>
      <c r="O51" s="3716"/>
      <c r="P51" s="3716"/>
      <c r="Q51" s="3716"/>
      <c r="R51" s="3716"/>
      <c r="S51" s="3716"/>
      <c r="T51" s="3759"/>
    </row>
    <row r="52" spans="1:20">
      <c r="A52" s="137"/>
      <c r="B52" s="3717"/>
      <c r="C52" s="3718" t="s">
        <v>142</v>
      </c>
      <c r="D52" s="3718" t="s">
        <v>1258</v>
      </c>
      <c r="E52" s="3718"/>
      <c r="F52" s="3718"/>
      <c r="G52" s="3718"/>
      <c r="H52" s="3718"/>
      <c r="I52" s="3718"/>
      <c r="J52" s="3718"/>
      <c r="K52" s="3718"/>
      <c r="L52" s="3718"/>
      <c r="M52" s="3718"/>
      <c r="N52" s="3718"/>
      <c r="O52" s="3718"/>
      <c r="P52" s="3718"/>
      <c r="Q52" s="3718"/>
      <c r="R52" s="3718"/>
      <c r="S52" s="3718"/>
      <c r="T52" s="3760"/>
    </row>
    <row r="53" spans="1:20">
      <c r="A53" s="137"/>
      <c r="B53" s="3717"/>
      <c r="C53" s="3718"/>
      <c r="D53" s="3718"/>
      <c r="E53" s="3718"/>
      <c r="F53" s="3718"/>
      <c r="G53" s="3718"/>
      <c r="H53" s="3718"/>
      <c r="I53" s="3718"/>
      <c r="J53" s="3718"/>
      <c r="K53" s="3718"/>
      <c r="L53" s="3718"/>
      <c r="M53" s="3718"/>
      <c r="N53" s="3718"/>
      <c r="O53" s="3718"/>
      <c r="P53" s="3718"/>
      <c r="Q53" s="3718"/>
      <c r="R53" s="3718"/>
      <c r="S53" s="3718"/>
      <c r="T53" s="3760"/>
    </row>
    <row r="54" spans="1:20">
      <c r="A54" s="137"/>
      <c r="B54" s="3717" t="s">
        <v>1259</v>
      </c>
      <c r="C54" s="3718"/>
      <c r="D54" s="3718"/>
      <c r="E54" s="3718"/>
      <c r="F54" s="3718"/>
      <c r="G54" s="3718"/>
      <c r="H54" s="3718"/>
      <c r="I54" s="3718"/>
      <c r="J54" s="5045" t="s">
        <v>451</v>
      </c>
      <c r="K54" s="3718"/>
      <c r="L54" s="5045" t="s">
        <v>452</v>
      </c>
      <c r="M54" s="3718"/>
      <c r="N54" s="3718"/>
      <c r="O54" s="3718"/>
      <c r="P54" s="3718"/>
      <c r="Q54" s="3718"/>
      <c r="R54" s="3718"/>
      <c r="S54" s="3718"/>
      <c r="T54" s="3760"/>
    </row>
    <row r="55" spans="2:20">
      <c r="B55" s="3717"/>
      <c r="C55" s="3718"/>
      <c r="D55" s="3718"/>
      <c r="E55" s="3718"/>
      <c r="F55" s="3718"/>
      <c r="G55" s="3718"/>
      <c r="H55" s="3719">
        <f>F11</f>
        <v>44926</v>
      </c>
      <c r="I55" s="3719">
        <f>L11</f>
        <v>44561</v>
      </c>
      <c r="J55" s="3738" t="s">
        <v>1236</v>
      </c>
      <c r="K55" s="3739">
        <f>+R11</f>
        <v>44196</v>
      </c>
      <c r="L55" s="3738" t="s">
        <v>1236</v>
      </c>
      <c r="M55" s="3718"/>
      <c r="N55" s="3718"/>
      <c r="O55" s="3718"/>
      <c r="P55" s="3718"/>
      <c r="Q55" s="3718"/>
      <c r="R55" s="3718"/>
      <c r="S55" s="3718"/>
      <c r="T55" s="3760"/>
    </row>
    <row r="56" ht="9.6" customHeight="1" spans="2:20">
      <c r="B56" s="3717"/>
      <c r="C56" s="3718"/>
      <c r="D56" s="3718"/>
      <c r="E56" s="3718"/>
      <c r="F56" s="3718"/>
      <c r="G56" s="3718"/>
      <c r="H56" s="3718"/>
      <c r="I56" s="3718"/>
      <c r="J56" s="3716"/>
      <c r="K56" s="3716"/>
      <c r="L56" s="3716"/>
      <c r="M56" s="3718"/>
      <c r="N56" s="3718"/>
      <c r="O56" s="3718"/>
      <c r="P56" s="3718"/>
      <c r="Q56" s="3718"/>
      <c r="R56" s="3718"/>
      <c r="S56" s="3718"/>
      <c r="T56" s="3760"/>
    </row>
    <row r="57" spans="2:20">
      <c r="B57" s="3717"/>
      <c r="C57" s="3718" t="s">
        <v>1260</v>
      </c>
      <c r="D57" s="3718"/>
      <c r="E57" s="3718"/>
      <c r="F57" s="3718"/>
      <c r="G57" s="3718"/>
      <c r="H57" s="3718">
        <f>+'F1'!E17</f>
        <v>2119615270.2</v>
      </c>
      <c r="I57" s="3718">
        <f>+'[75]BS22'!$I$17</f>
        <v>487368498.393332</v>
      </c>
      <c r="J57" s="3740">
        <f>(H57-I57)/I57</f>
        <v>3.34910191608109</v>
      </c>
      <c r="K57" s="3718">
        <f>+[75]ARAPWIP!$G$38</f>
        <v>759421490</v>
      </c>
      <c r="L57" s="3740">
        <f>(I57-K57)/K57</f>
        <v>-0.358237151817587</v>
      </c>
      <c r="M57" s="3718"/>
      <c r="N57" s="3718"/>
      <c r="O57" s="3718"/>
      <c r="P57" s="3718"/>
      <c r="Q57" s="3718"/>
      <c r="R57" s="3718"/>
      <c r="S57" s="3718"/>
      <c r="T57" s="3760"/>
    </row>
    <row r="58" spans="2:20">
      <c r="B58" s="3717"/>
      <c r="C58" s="3718" t="s">
        <v>1261</v>
      </c>
      <c r="D58" s="3718"/>
      <c r="E58" s="3718"/>
      <c r="F58" s="3718"/>
      <c r="G58" s="3718"/>
      <c r="H58" s="3720">
        <f>I57</f>
        <v>487368498.393332</v>
      </c>
      <c r="I58" s="3720">
        <f>+Q41</f>
        <v>1205578095.27479</v>
      </c>
      <c r="J58" s="3740">
        <f>(H58-I58)/I58</f>
        <v>-0.595738757776414</v>
      </c>
      <c r="K58" s="3720">
        <f>+[75]ARAPWIP!$F$38</f>
        <v>487368498.393332</v>
      </c>
      <c r="L58" s="3740">
        <f>(I58-K58)/K58</f>
        <v>1.47364796709086</v>
      </c>
      <c r="M58" s="3718"/>
      <c r="N58" s="3718"/>
      <c r="O58" s="3718"/>
      <c r="P58" s="3718"/>
      <c r="Q58" s="3718"/>
      <c r="R58" s="3718"/>
      <c r="S58" s="3718"/>
      <c r="T58" s="3760"/>
    </row>
    <row r="59" spans="2:20">
      <c r="B59" s="3717"/>
      <c r="C59" s="3718" t="s">
        <v>1262</v>
      </c>
      <c r="D59" s="3718"/>
      <c r="E59" s="3718"/>
      <c r="F59" s="3718"/>
      <c r="G59" s="3718"/>
      <c r="H59" s="3718">
        <f>(H57+H58)/2</f>
        <v>1303491884.29667</v>
      </c>
      <c r="I59" s="3718">
        <f>(I57+I58)/2</f>
        <v>846473296.834061</v>
      </c>
      <c r="J59" s="3740">
        <f>(H59-I59)/I59</f>
        <v>0.539909042815555</v>
      </c>
      <c r="K59" s="3718">
        <f>(K57+K58)/2</f>
        <v>623394994.196666</v>
      </c>
      <c r="L59" s="3740">
        <f>(I59-K59)/K59</f>
        <v>0.357844231529102</v>
      </c>
      <c r="M59" s="3718"/>
      <c r="N59" s="3718"/>
      <c r="O59" s="3718"/>
      <c r="P59" s="3718"/>
      <c r="Q59" s="3718"/>
      <c r="R59" s="3718"/>
      <c r="S59" s="3718"/>
      <c r="T59" s="3760"/>
    </row>
    <row r="60" spans="2:20">
      <c r="B60" s="3717"/>
      <c r="C60" s="3718" t="s">
        <v>393</v>
      </c>
      <c r="D60" s="3718"/>
      <c r="E60" s="3718"/>
      <c r="F60" s="3718"/>
      <c r="G60" s="3718"/>
      <c r="H60" s="3718">
        <f>+'F3'!K13</f>
        <v>7474615453.59131</v>
      </c>
      <c r="I60" s="3718">
        <f>+'F3'!L13</f>
        <v>5551498722</v>
      </c>
      <c r="J60" s="3740">
        <f>(H60-I60)/I60</f>
        <v>0.346413973576217</v>
      </c>
      <c r="K60" s="3718">
        <f>'F30'!R13</f>
        <v>12507006890.5</v>
      </c>
      <c r="L60" s="3740">
        <f>(I60-K60)/K60</f>
        <v>-0.55612891472725</v>
      </c>
      <c r="M60" s="3718"/>
      <c r="N60" s="3718"/>
      <c r="O60" s="3718"/>
      <c r="P60" s="3718"/>
      <c r="Q60" s="3718"/>
      <c r="R60" s="3718"/>
      <c r="S60" s="3718"/>
      <c r="T60" s="3760"/>
    </row>
    <row r="61" spans="2:20">
      <c r="B61" s="3717"/>
      <c r="C61" s="3718"/>
      <c r="D61" s="3718"/>
      <c r="E61" s="3718"/>
      <c r="F61" s="3718"/>
      <c r="G61" s="3718"/>
      <c r="H61" s="3718"/>
      <c r="I61" s="3718"/>
      <c r="J61" s="3740"/>
      <c r="K61" s="3718"/>
      <c r="L61" s="3740"/>
      <c r="M61" s="3718"/>
      <c r="N61" s="3718"/>
      <c r="O61" s="3718"/>
      <c r="P61" s="3718"/>
      <c r="Q61" s="3718"/>
      <c r="R61" s="3718"/>
      <c r="S61" s="3718"/>
      <c r="T61" s="3760"/>
    </row>
    <row r="62" spans="2:20">
      <c r="B62" s="3717"/>
      <c r="C62" s="3718"/>
      <c r="D62" s="3718"/>
      <c r="E62" s="3718"/>
      <c r="F62" s="3718"/>
      <c r="G62" s="3718"/>
      <c r="H62" s="3718"/>
      <c r="I62" s="3718"/>
      <c r="J62" s="3740"/>
      <c r="K62" s="3718"/>
      <c r="L62" s="3740"/>
      <c r="M62" s="3718"/>
      <c r="N62" s="3718"/>
      <c r="O62" s="3718"/>
      <c r="P62" s="3718"/>
      <c r="Q62" s="3718"/>
      <c r="R62" s="3718"/>
      <c r="S62" s="3718"/>
      <c r="T62" s="3760"/>
    </row>
    <row r="63" spans="2:20">
      <c r="B63" s="3717"/>
      <c r="C63" s="3721" t="s">
        <v>1263</v>
      </c>
      <c r="D63" s="3720"/>
      <c r="E63" s="3718"/>
      <c r="F63" s="3718"/>
      <c r="G63" s="3718"/>
      <c r="H63" s="3718"/>
      <c r="I63" s="3718"/>
      <c r="J63" s="3740"/>
      <c r="K63" s="3718"/>
      <c r="L63" s="3740"/>
      <c r="M63" s="3718"/>
      <c r="N63" s="3718"/>
      <c r="O63" s="3718"/>
      <c r="P63" s="3718"/>
      <c r="Q63" s="3718"/>
      <c r="R63" s="3718"/>
      <c r="S63" s="3718"/>
      <c r="T63" s="3760"/>
    </row>
    <row r="64" spans="2:20">
      <c r="B64" s="3717"/>
      <c r="C64" s="3718"/>
      <c r="D64" s="3718"/>
      <c r="E64" s="3718"/>
      <c r="F64" s="3718"/>
      <c r="G64" s="3718"/>
      <c r="H64" s="3718"/>
      <c r="I64" s="3718"/>
      <c r="J64" s="3740"/>
      <c r="K64" s="3718"/>
      <c r="L64" s="3740"/>
      <c r="M64" s="3718"/>
      <c r="N64" s="3718"/>
      <c r="O64" s="3718"/>
      <c r="P64" s="3718"/>
      <c r="Q64" s="3718"/>
      <c r="R64" s="3718"/>
      <c r="S64" s="3718"/>
      <c r="T64" s="3760"/>
    </row>
    <row r="65" spans="2:20">
      <c r="B65" s="3717"/>
      <c r="C65" s="3718" t="s">
        <v>1264</v>
      </c>
      <c r="D65" s="3718"/>
      <c r="E65" s="3718" t="s">
        <v>210</v>
      </c>
      <c r="F65" s="3718" t="s">
        <v>393</v>
      </c>
      <c r="G65" s="3718"/>
      <c r="H65" s="3720">
        <f>H60</f>
        <v>7474615453.59131</v>
      </c>
      <c r="I65" s="3720">
        <f>I60</f>
        <v>5551498722</v>
      </c>
      <c r="J65" s="3740">
        <f>(H65-I65)/I65</f>
        <v>0.346413973576217</v>
      </c>
      <c r="K65" s="3720">
        <f>K60</f>
        <v>12507006890.5</v>
      </c>
      <c r="L65" s="3740">
        <f>(I65-K65)/K65</f>
        <v>-0.55612891472725</v>
      </c>
      <c r="M65" s="3718"/>
      <c r="N65" s="3718"/>
      <c r="O65" s="3718"/>
      <c r="P65" s="3718"/>
      <c r="Q65" s="3718"/>
      <c r="R65" s="3718"/>
      <c r="S65" s="3718"/>
      <c r="T65" s="3760"/>
    </row>
    <row r="66" spans="2:20">
      <c r="B66" s="3717"/>
      <c r="C66" s="3718"/>
      <c r="D66" s="3718"/>
      <c r="E66" s="3718"/>
      <c r="F66" s="3718" t="s">
        <v>1265</v>
      </c>
      <c r="G66" s="3718"/>
      <c r="H66" s="3718">
        <f>H59</f>
        <v>1303491884.29667</v>
      </c>
      <c r="I66" s="3718">
        <f>I59</f>
        <v>846473296.834061</v>
      </c>
      <c r="J66" s="3740"/>
      <c r="K66" s="3718">
        <f>K59</f>
        <v>623394994.196666</v>
      </c>
      <c r="L66" s="3740"/>
      <c r="M66" s="3718"/>
      <c r="N66" s="3718"/>
      <c r="O66" s="3718"/>
      <c r="P66" s="3718"/>
      <c r="Q66" s="3718"/>
      <c r="R66" s="3718"/>
      <c r="S66" s="3718"/>
      <c r="T66" s="3760"/>
    </row>
    <row r="67" spans="2:20">
      <c r="B67" s="3717"/>
      <c r="C67" s="3718"/>
      <c r="D67" s="3718"/>
      <c r="E67" s="3718"/>
      <c r="F67" s="3718"/>
      <c r="G67" s="3718"/>
      <c r="H67" s="3718"/>
      <c r="I67" s="3718"/>
      <c r="J67" s="3740"/>
      <c r="K67" s="3718"/>
      <c r="L67" s="3740"/>
      <c r="M67" s="3718"/>
      <c r="N67" s="3718"/>
      <c r="O67" s="3718"/>
      <c r="P67" s="3718"/>
      <c r="Q67" s="3718"/>
      <c r="R67" s="3718"/>
      <c r="S67" s="3718"/>
      <c r="T67" s="3760"/>
    </row>
    <row r="68" spans="2:20">
      <c r="B68" s="3717"/>
      <c r="C68" s="3718"/>
      <c r="D68" s="3718"/>
      <c r="E68" s="3718" t="s">
        <v>210</v>
      </c>
      <c r="F68" s="3718"/>
      <c r="G68" s="3718"/>
      <c r="H68" s="3718">
        <f>H65/H66</f>
        <v>5.73430148943692</v>
      </c>
      <c r="I68" s="3718">
        <f>I65/I66</f>
        <v>6.55838612129107</v>
      </c>
      <c r="J68" s="3740"/>
      <c r="K68" s="3718">
        <f>K65/K66</f>
        <v>20.0627323076552</v>
      </c>
      <c r="L68" s="3740"/>
      <c r="M68" s="3718"/>
      <c r="N68" s="3718"/>
      <c r="O68" s="3718"/>
      <c r="P68" s="3718"/>
      <c r="Q68" s="3718"/>
      <c r="R68" s="3718"/>
      <c r="S68" s="3718"/>
      <c r="T68" s="3760"/>
    </row>
    <row r="69" spans="2:20">
      <c r="B69" s="3717"/>
      <c r="C69" s="3718"/>
      <c r="D69" s="3718"/>
      <c r="E69" s="3718"/>
      <c r="F69" s="3718"/>
      <c r="G69" s="3718"/>
      <c r="H69" s="3718"/>
      <c r="I69" s="3718"/>
      <c r="J69" s="3740"/>
      <c r="K69" s="3718"/>
      <c r="L69" s="3740"/>
      <c r="M69" s="3718"/>
      <c r="N69" s="3718"/>
      <c r="O69" s="3718"/>
      <c r="P69" s="3718"/>
      <c r="Q69" s="3718"/>
      <c r="R69" s="3718"/>
      <c r="S69" s="3718"/>
      <c r="T69" s="3760"/>
    </row>
    <row r="70" spans="2:20">
      <c r="B70" s="3717"/>
      <c r="C70" s="3718" t="s">
        <v>1266</v>
      </c>
      <c r="D70" s="3718"/>
      <c r="E70" s="3718" t="s">
        <v>210</v>
      </c>
      <c r="F70" s="3718"/>
      <c r="G70" s="3718"/>
      <c r="H70" s="3720">
        <v>360</v>
      </c>
      <c r="I70" s="3720">
        <v>360</v>
      </c>
      <c r="J70" s="3740"/>
      <c r="K70" s="3720">
        <v>360</v>
      </c>
      <c r="L70" s="3740"/>
      <c r="M70" s="3718"/>
      <c r="N70" s="3718"/>
      <c r="O70" s="3718"/>
      <c r="P70" s="3718"/>
      <c r="Q70" s="3718"/>
      <c r="R70" s="3718"/>
      <c r="S70" s="3718"/>
      <c r="T70" s="3760"/>
    </row>
    <row r="71" spans="2:20">
      <c r="B71" s="3717"/>
      <c r="C71" s="3718"/>
      <c r="D71" s="3718"/>
      <c r="E71" s="3718"/>
      <c r="F71" s="3718"/>
      <c r="G71" s="3718"/>
      <c r="H71" s="3718">
        <f>H68</f>
        <v>5.73430148943692</v>
      </c>
      <c r="I71" s="3718">
        <f>I68</f>
        <v>6.55838612129107</v>
      </c>
      <c r="J71" s="3740"/>
      <c r="K71" s="3718">
        <f>K68</f>
        <v>20.0627323076552</v>
      </c>
      <c r="L71" s="3740"/>
      <c r="M71" s="3718"/>
      <c r="N71" s="3718"/>
      <c r="O71" s="3718"/>
      <c r="P71" s="3718"/>
      <c r="Q71" s="3718"/>
      <c r="R71" s="3718"/>
      <c r="S71" s="3718"/>
      <c r="T71" s="3760"/>
    </row>
    <row r="72" spans="2:20">
      <c r="B72" s="3717"/>
      <c r="C72" s="3718"/>
      <c r="D72" s="3718"/>
      <c r="E72" s="3718"/>
      <c r="F72" s="3718"/>
      <c r="G72" s="3718"/>
      <c r="H72" s="3718"/>
      <c r="I72" s="3718"/>
      <c r="J72" s="3718"/>
      <c r="K72" s="3718"/>
      <c r="L72" s="3718"/>
      <c r="M72" s="3718"/>
      <c r="N72" s="3718"/>
      <c r="O72" s="3718"/>
      <c r="P72" s="3718"/>
      <c r="Q72" s="3718"/>
      <c r="R72" s="3718"/>
      <c r="S72" s="3718"/>
      <c r="T72" s="3760"/>
    </row>
    <row r="73" spans="2:20">
      <c r="B73" s="3717"/>
      <c r="C73" s="3718" t="s">
        <v>1267</v>
      </c>
      <c r="D73" s="3718"/>
      <c r="E73" s="3718" t="s">
        <v>210</v>
      </c>
      <c r="F73" s="3718"/>
      <c r="G73" s="3718"/>
      <c r="H73" s="3722">
        <f>H70/H71</f>
        <v>62.7800963488144</v>
      </c>
      <c r="I73" s="3722">
        <f>I70/I71</f>
        <v>54.89155309586</v>
      </c>
      <c r="J73" s="3741" t="s">
        <v>1268</v>
      </c>
      <c r="K73" s="3722">
        <f>K70/K71</f>
        <v>17.9437174597917</v>
      </c>
      <c r="L73" s="3741" t="s">
        <v>1268</v>
      </c>
      <c r="M73" s="3718"/>
      <c r="N73" s="3718"/>
      <c r="O73" s="3718"/>
      <c r="P73" s="3718"/>
      <c r="Q73" s="3718"/>
      <c r="R73" s="3718"/>
      <c r="S73" s="3718"/>
      <c r="T73" s="3760"/>
    </row>
    <row r="74" spans="2:20">
      <c r="B74" s="3717"/>
      <c r="C74" s="3718"/>
      <c r="D74" s="3718"/>
      <c r="E74" s="3718"/>
      <c r="F74" s="3718"/>
      <c r="G74" s="3718"/>
      <c r="H74" s="3723"/>
      <c r="I74" s="3723"/>
      <c r="J74" s="3723"/>
      <c r="K74" s="3718"/>
      <c r="L74" s="3718"/>
      <c r="M74" s="3718"/>
      <c r="N74" s="3723"/>
      <c r="O74" s="3718"/>
      <c r="P74" s="3718"/>
      <c r="Q74" s="3718"/>
      <c r="R74" s="3718"/>
      <c r="S74" s="3718"/>
      <c r="T74" s="3760"/>
    </row>
    <row r="75" spans="2:20">
      <c r="B75" s="3717"/>
      <c r="C75" s="3718"/>
      <c r="D75" s="3718" t="s">
        <v>1269</v>
      </c>
      <c r="E75" s="3718"/>
      <c r="F75" s="3718"/>
      <c r="G75" s="3718"/>
      <c r="H75" s="3718"/>
      <c r="I75" s="3718"/>
      <c r="J75" s="3718"/>
      <c r="K75" s="3723"/>
      <c r="L75" s="3723"/>
      <c r="M75" s="3723"/>
      <c r="N75" s="3723"/>
      <c r="O75" s="3723"/>
      <c r="P75" s="3723"/>
      <c r="Q75" s="3723"/>
      <c r="R75" s="3723"/>
      <c r="S75" s="3718"/>
      <c r="T75" s="3760"/>
    </row>
    <row r="76" spans="2:20">
      <c r="B76" s="3717"/>
      <c r="C76" s="3718"/>
      <c r="D76" s="3718" t="s">
        <v>1270</v>
      </c>
      <c r="E76" s="3718"/>
      <c r="F76" s="3718"/>
      <c r="G76" s="3718"/>
      <c r="H76" s="3718"/>
      <c r="I76" s="3718"/>
      <c r="J76" s="3718"/>
      <c r="K76" s="3718"/>
      <c r="L76" s="3718"/>
      <c r="M76" s="3718"/>
      <c r="N76" s="3718"/>
      <c r="O76" s="3718"/>
      <c r="P76" s="3718"/>
      <c r="Q76" s="3718"/>
      <c r="R76" s="3718"/>
      <c r="S76" s="3718"/>
      <c r="T76" s="3760"/>
    </row>
    <row r="77" spans="2:20">
      <c r="B77" s="3717"/>
      <c r="C77" s="3718"/>
      <c r="D77" s="3718"/>
      <c r="E77" s="3718"/>
      <c r="F77" s="3718"/>
      <c r="G77" s="3718"/>
      <c r="H77" s="3718"/>
      <c r="I77" s="3718"/>
      <c r="J77" s="3718"/>
      <c r="K77" s="3718"/>
      <c r="L77" s="3718"/>
      <c r="M77" s="3718"/>
      <c r="N77" s="3718"/>
      <c r="O77" s="3718"/>
      <c r="P77" s="3718"/>
      <c r="Q77" s="3718"/>
      <c r="R77" s="3718"/>
      <c r="S77" s="3718"/>
      <c r="T77" s="3760"/>
    </row>
    <row r="78" ht="15.6" spans="2:20">
      <c r="B78" s="3717"/>
      <c r="C78" s="3718"/>
      <c r="D78" s="3724" t="s">
        <v>1202</v>
      </c>
      <c r="E78" s="3718"/>
      <c r="F78" s="3718"/>
      <c r="G78" s="3718"/>
      <c r="H78" s="3725">
        <v>45199</v>
      </c>
      <c r="I78" s="3745">
        <v>2022</v>
      </c>
      <c r="J78" s="3746"/>
      <c r="K78" s="3745">
        <v>2021</v>
      </c>
      <c r="L78" s="3745">
        <f>+K78-1</f>
        <v>2020</v>
      </c>
      <c r="M78" s="3738"/>
      <c r="N78" s="3738"/>
      <c r="O78" s="3738"/>
      <c r="P78" s="3738"/>
      <c r="Q78" s="3738"/>
      <c r="R78" s="3718"/>
      <c r="S78" s="3718"/>
      <c r="T78" s="3760"/>
    </row>
    <row r="79" spans="2:20">
      <c r="B79" s="3717"/>
      <c r="C79" s="3718"/>
      <c r="D79" s="3718" t="str">
        <f>+C15</f>
        <v>Pratama Energy Mandiri (PEM), PT </v>
      </c>
      <c r="E79" s="3718"/>
      <c r="F79" s="3718"/>
      <c r="G79" s="3718"/>
      <c r="H79" s="3718">
        <v>0</v>
      </c>
      <c r="I79" s="3718">
        <f t="shared" ref="I79:I91" si="8">+K15</f>
        <v>0</v>
      </c>
      <c r="J79" s="3718"/>
      <c r="K79" s="3718">
        <f>+Q17</f>
        <v>874768500</v>
      </c>
      <c r="L79" s="3718">
        <f>+R17</f>
        <v>746140500</v>
      </c>
      <c r="M79" s="3738"/>
      <c r="N79" s="3738"/>
      <c r="O79" s="3738"/>
      <c r="P79" s="3738"/>
      <c r="Q79" s="3738"/>
      <c r="R79" s="3718"/>
      <c r="S79" s="3718"/>
      <c r="T79" s="3760"/>
    </row>
    <row r="80" spans="2:20">
      <c r="B80" s="3717"/>
      <c r="C80" s="3718"/>
      <c r="D80" s="3718" t="str">
        <f>+C26</f>
        <v>Dharma Pratama Sejati PT</v>
      </c>
      <c r="E80" s="3718"/>
      <c r="F80" s="3718"/>
      <c r="G80" s="3718"/>
      <c r="H80" s="3718">
        <v>0</v>
      </c>
      <c r="I80" s="3718">
        <f t="shared" si="8"/>
        <v>346533204.6</v>
      </c>
      <c r="J80" s="3718"/>
      <c r="K80" s="3718">
        <f>+Q26</f>
        <v>0</v>
      </c>
      <c r="L80" s="3718">
        <f>+R26</f>
        <v>0</v>
      </c>
      <c r="M80" s="3738"/>
      <c r="N80" s="3738"/>
      <c r="O80" s="3738"/>
      <c r="P80" s="3738"/>
      <c r="Q80" s="3738"/>
      <c r="R80" s="3718"/>
      <c r="S80" s="3718"/>
      <c r="T80" s="3760"/>
    </row>
    <row r="81" spans="2:20">
      <c r="B81" s="3717"/>
      <c r="C81" s="3718"/>
      <c r="D81" s="3718" t="str">
        <f>+C18</f>
        <v>Global Multiteknik Sejahtera PT</v>
      </c>
      <c r="E81" s="3718"/>
      <c r="F81" s="3718"/>
      <c r="G81" s="3718"/>
      <c r="H81" s="3718">
        <v>0</v>
      </c>
      <c r="I81" s="3718">
        <f t="shared" si="8"/>
        <v>292120000</v>
      </c>
      <c r="J81" s="3718"/>
      <c r="K81" s="3718">
        <f>+Q18</f>
        <v>127000000</v>
      </c>
      <c r="L81" s="3718">
        <f>+R18</f>
        <v>0</v>
      </c>
      <c r="M81" s="3738"/>
      <c r="N81" s="3738"/>
      <c r="O81" s="3738"/>
      <c r="P81" s="3738"/>
      <c r="Q81" s="3738"/>
      <c r="R81" s="3718"/>
      <c r="S81" s="3718"/>
      <c r="T81" s="3760"/>
    </row>
    <row r="82" spans="2:20">
      <c r="B82" s="3717"/>
      <c r="C82" s="3718"/>
      <c r="D82" s="3718" t="str">
        <f>+C21</f>
        <v>Dharmawangsa Raya Hotel</v>
      </c>
      <c r="E82" s="3718"/>
      <c r="F82" s="3718"/>
      <c r="G82" s="3718"/>
      <c r="H82" s="3718">
        <v>0</v>
      </c>
      <c r="I82" s="3718">
        <f t="shared" si="8"/>
        <v>54000000</v>
      </c>
      <c r="J82" s="3718"/>
      <c r="K82" s="3718">
        <f>+Q21</f>
        <v>85499964</v>
      </c>
      <c r="L82" s="3718">
        <f>+R21</f>
        <v>128249946</v>
      </c>
      <c r="M82" s="3738"/>
      <c r="N82" s="3738"/>
      <c r="O82" s="3738"/>
      <c r="P82" s="3738"/>
      <c r="Q82" s="3738"/>
      <c r="R82" s="3718"/>
      <c r="S82" s="3718"/>
      <c r="T82" s="3760"/>
    </row>
    <row r="83" spans="2:20">
      <c r="B83" s="3717"/>
      <c r="C83" s="3718"/>
      <c r="D83" s="3718" t="str">
        <f>+C19</f>
        <v>Sari Pan Facipik</v>
      </c>
      <c r="E83" s="3718"/>
      <c r="F83" s="3726" t="s">
        <v>1271</v>
      </c>
      <c r="G83" s="3718"/>
      <c r="H83" s="3718">
        <v>0</v>
      </c>
      <c r="I83" s="3718">
        <f t="shared" si="8"/>
        <v>50737245.6</v>
      </c>
      <c r="J83" s="3718"/>
      <c r="K83" s="3718">
        <f>+Q19</f>
        <v>0</v>
      </c>
      <c r="L83" s="3718">
        <f>+R19</f>
        <v>0</v>
      </c>
      <c r="M83" s="3738"/>
      <c r="N83" s="3738"/>
      <c r="O83" s="3738"/>
      <c r="P83" s="3738"/>
      <c r="Q83" s="3738"/>
      <c r="R83" s="3718"/>
      <c r="S83" s="3718"/>
      <c r="T83" s="3760"/>
    </row>
    <row r="84" spans="2:20">
      <c r="B84" s="3717"/>
      <c r="C84" s="3718"/>
      <c r="D84" s="3718" t="str">
        <f>+C23</f>
        <v>Para Amartha Gasindo PT</v>
      </c>
      <c r="E84" s="3718"/>
      <c r="F84" s="3718"/>
      <c r="G84" s="3718"/>
      <c r="H84" s="3718">
        <v>0</v>
      </c>
      <c r="I84" s="3718">
        <f t="shared" si="8"/>
        <v>48164820</v>
      </c>
      <c r="J84" s="3718"/>
      <c r="K84" s="3718">
        <f>+Q23</f>
        <v>8852624.5</v>
      </c>
      <c r="L84" s="3718">
        <f>+R23</f>
        <v>0</v>
      </c>
      <c r="M84" s="3738"/>
      <c r="N84" s="3738"/>
      <c r="O84" s="3738"/>
      <c r="P84" s="3738"/>
      <c r="Q84" s="3738"/>
      <c r="R84" s="3718"/>
      <c r="S84" s="3718"/>
      <c r="T84" s="3760"/>
    </row>
    <row r="85" spans="2:20">
      <c r="B85" s="3717"/>
      <c r="C85" s="3718"/>
      <c r="D85" s="3718" t="e">
        <f>+#REF!</f>
        <v>#REF!</v>
      </c>
      <c r="E85" s="3718"/>
      <c r="F85" s="3718"/>
      <c r="G85" s="3718"/>
      <c r="H85" s="3718">
        <v>0</v>
      </c>
      <c r="I85" s="3718">
        <f t="shared" si="8"/>
        <v>0</v>
      </c>
      <c r="J85" s="3718"/>
      <c r="K85" s="3718">
        <f>+Q22</f>
        <v>61121056.7747904</v>
      </c>
      <c r="L85" s="3718">
        <f>+R22</f>
        <v>103572452.713332</v>
      </c>
      <c r="M85" s="3738"/>
      <c r="N85" s="3738"/>
      <c r="O85" s="3738"/>
      <c r="P85" s="3738"/>
      <c r="Q85" s="3738"/>
      <c r="R85" s="3718"/>
      <c r="S85" s="3718"/>
      <c r="T85" s="3760"/>
    </row>
    <row r="86" spans="2:20">
      <c r="B86" s="3717"/>
      <c r="C86" s="3718"/>
      <c r="D86" s="3718" t="str">
        <f>+C20</f>
        <v>Grahaniaga Tatautama PT</v>
      </c>
      <c r="E86" s="3718"/>
      <c r="F86" s="3718"/>
      <c r="G86" s="3718"/>
      <c r="H86" s="3718">
        <v>0</v>
      </c>
      <c r="I86" s="3718">
        <f t="shared" si="8"/>
        <v>0</v>
      </c>
      <c r="J86" s="3718"/>
      <c r="K86" s="3718">
        <f>+Q20</f>
        <v>48335950</v>
      </c>
      <c r="L86" s="3718">
        <f>+R20</f>
        <v>0</v>
      </c>
      <c r="M86" s="3738"/>
      <c r="N86" s="3738"/>
      <c r="O86" s="3738"/>
      <c r="P86" s="3738"/>
      <c r="Q86" s="3738"/>
      <c r="R86" s="3718"/>
      <c r="S86" s="3718"/>
      <c r="T86" s="3760"/>
    </row>
    <row r="87" spans="2:20">
      <c r="B87" s="3717"/>
      <c r="C87" s="3718"/>
      <c r="D87" s="3718" t="str">
        <f>+C24</f>
        <v>Mitra Energi Buana PT </v>
      </c>
      <c r="E87" s="3718"/>
      <c r="F87" s="3718"/>
      <c r="G87" s="3718"/>
      <c r="H87" s="3718">
        <v>0</v>
      </c>
      <c r="I87" s="3718">
        <f t="shared" si="8"/>
        <v>0</v>
      </c>
      <c r="J87" s="3718"/>
      <c r="K87" s="3718">
        <f>+Q24</f>
        <v>0</v>
      </c>
      <c r="L87" s="3718">
        <f>+R24</f>
        <v>244775999.68</v>
      </c>
      <c r="M87" s="3738"/>
      <c r="N87" s="3738"/>
      <c r="O87" s="3738"/>
      <c r="P87" s="3738"/>
      <c r="Q87" s="3738"/>
      <c r="R87" s="3718"/>
      <c r="S87" s="3718"/>
      <c r="T87" s="3760"/>
    </row>
    <row r="88" spans="2:20">
      <c r="B88" s="3717"/>
      <c r="C88" s="3718"/>
      <c r="D88" s="3718" t="str">
        <f>+C25</f>
        <v>Jakarta International Hotels &amp; Development</v>
      </c>
      <c r="E88" s="3718"/>
      <c r="F88" s="3718"/>
      <c r="G88" s="3718"/>
      <c r="H88" s="3718">
        <v>0</v>
      </c>
      <c r="I88" s="3718">
        <f t="shared" si="8"/>
        <v>0</v>
      </c>
      <c r="J88" s="3718"/>
      <c r="K88" s="3718">
        <f>+Q25</f>
        <v>0</v>
      </c>
      <c r="L88" s="3718">
        <f>+R25</f>
        <v>10770100</v>
      </c>
      <c r="M88" s="3738"/>
      <c r="N88" s="3738"/>
      <c r="O88" s="3738"/>
      <c r="P88" s="3738"/>
      <c r="Q88" s="3738"/>
      <c r="R88" s="3718"/>
      <c r="S88" s="3718"/>
      <c r="T88" s="3760"/>
    </row>
    <row r="89" spans="2:20">
      <c r="B89" s="3717"/>
      <c r="C89" s="3718"/>
      <c r="D89" s="3718" t="str">
        <f>+C16</f>
        <v>Central Motor wheel Indonesia PT </v>
      </c>
      <c r="E89" s="3718"/>
      <c r="F89" s="3718"/>
      <c r="G89" s="3718"/>
      <c r="H89" s="3718">
        <v>0</v>
      </c>
      <c r="I89" s="3718">
        <f t="shared" si="8"/>
        <v>0</v>
      </c>
      <c r="J89" s="3718"/>
      <c r="K89" s="3718">
        <f>+Q16</f>
        <v>0</v>
      </c>
      <c r="L89" s="3718">
        <f>+R16</f>
        <v>0</v>
      </c>
      <c r="M89" s="3738"/>
      <c r="N89" s="3738"/>
      <c r="O89" s="3738"/>
      <c r="P89" s="3738"/>
      <c r="Q89" s="3738"/>
      <c r="R89" s="3718"/>
      <c r="S89" s="3718"/>
      <c r="T89" s="3760"/>
    </row>
    <row r="90" spans="2:20">
      <c r="B90" s="3717"/>
      <c r="C90" s="3718"/>
      <c r="D90" s="3718" t="str">
        <f>+C27</f>
        <v>Surya Gilang Perkasa PT. </v>
      </c>
      <c r="E90" s="3718"/>
      <c r="F90" s="3718"/>
      <c r="G90" s="3718"/>
      <c r="H90" s="3718">
        <v>0</v>
      </c>
      <c r="I90" s="3718">
        <f t="shared" si="8"/>
        <v>0</v>
      </c>
      <c r="J90" s="3718"/>
      <c r="K90" s="3718">
        <f t="shared" ref="K90:L92" si="9">+Q27</f>
        <v>0</v>
      </c>
      <c r="L90" s="3718">
        <f t="shared" si="9"/>
        <v>0</v>
      </c>
      <c r="M90" s="3738"/>
      <c r="N90" s="3738"/>
      <c r="O90" s="3738"/>
      <c r="P90" s="3738"/>
      <c r="Q90" s="3738"/>
      <c r="R90" s="3718"/>
      <c r="S90" s="3718"/>
      <c r="T90" s="3760"/>
    </row>
    <row r="91" spans="2:20">
      <c r="B91" s="3717"/>
      <c r="C91" s="3718"/>
      <c r="D91" s="3718" t="str">
        <f>+C28</f>
        <v>Hotel Brobudur</v>
      </c>
      <c r="E91" s="3718"/>
      <c r="F91" s="3718"/>
      <c r="G91" s="3718"/>
      <c r="H91" s="3718">
        <v>0</v>
      </c>
      <c r="I91" s="3718">
        <f t="shared" si="8"/>
        <v>0</v>
      </c>
      <c r="J91" s="3718"/>
      <c r="K91" s="3718">
        <f t="shared" si="9"/>
        <v>0</v>
      </c>
      <c r="L91" s="3718">
        <f t="shared" si="9"/>
        <v>0</v>
      </c>
      <c r="M91" s="3738"/>
      <c r="N91" s="3738"/>
      <c r="O91" s="3738"/>
      <c r="P91" s="3738"/>
      <c r="Q91" s="3738"/>
      <c r="R91" s="3718"/>
      <c r="S91" s="3718"/>
      <c r="T91" s="3760"/>
    </row>
    <row r="92" spans="2:20">
      <c r="B92" s="3717"/>
      <c r="C92" s="3718"/>
      <c r="D92" s="3718" t="str">
        <f>+C29</f>
        <v>Kurang Dari Saldo Rp 50.000.000</v>
      </c>
      <c r="E92" s="3718"/>
      <c r="F92" s="3718"/>
      <c r="G92" s="3718"/>
      <c r="H92" s="3718">
        <v>0</v>
      </c>
      <c r="I92" s="3718">
        <v>0</v>
      </c>
      <c r="J92" s="3718"/>
      <c r="K92" s="3718">
        <f t="shared" si="9"/>
        <v>0</v>
      </c>
      <c r="L92" s="3718">
        <f t="shared" si="9"/>
        <v>0</v>
      </c>
      <c r="M92" s="3738"/>
      <c r="N92" s="3738"/>
      <c r="O92" s="3738"/>
      <c r="P92" s="3738"/>
      <c r="Q92" s="3738"/>
      <c r="R92" s="3718"/>
      <c r="S92" s="3718"/>
      <c r="T92" s="3760"/>
    </row>
    <row r="93" spans="2:20">
      <c r="B93" s="3717"/>
      <c r="C93" s="3718"/>
      <c r="D93" s="3718"/>
      <c r="E93" s="3718"/>
      <c r="F93" s="3718"/>
      <c r="G93" s="3718"/>
      <c r="H93" s="3720"/>
      <c r="I93" s="3720"/>
      <c r="J93" s="3720"/>
      <c r="K93" s="3720"/>
      <c r="L93" s="3720"/>
      <c r="M93" s="3738"/>
      <c r="N93" s="3738"/>
      <c r="O93" s="3738"/>
      <c r="P93" s="3738"/>
      <c r="Q93" s="3738"/>
      <c r="R93" s="3718"/>
      <c r="S93" s="3718"/>
      <c r="T93" s="3760"/>
    </row>
    <row r="94" spans="2:20">
      <c r="B94" s="3717"/>
      <c r="C94" s="3718"/>
      <c r="D94" s="3718" t="s">
        <v>151</v>
      </c>
      <c r="E94" s="3718"/>
      <c r="F94" s="3718"/>
      <c r="G94" s="3718"/>
      <c r="H94" s="3718">
        <f t="shared" ref="H94:L94" si="10">SUM(H79:H93)</f>
        <v>0</v>
      </c>
      <c r="I94" s="3718">
        <f t="shared" si="10"/>
        <v>791555270.2</v>
      </c>
      <c r="J94" s="3718">
        <f t="shared" si="10"/>
        <v>0</v>
      </c>
      <c r="K94" s="3718">
        <f t="shared" si="10"/>
        <v>1205578095.27479</v>
      </c>
      <c r="L94" s="3718">
        <f t="shared" si="10"/>
        <v>1233508998.39333</v>
      </c>
      <c r="M94" s="3738"/>
      <c r="N94" s="3738"/>
      <c r="O94" s="3738"/>
      <c r="P94" s="3738"/>
      <c r="Q94" s="3738"/>
      <c r="R94" s="3718"/>
      <c r="S94" s="3718"/>
      <c r="T94" s="3760"/>
    </row>
    <row r="95" spans="2:20">
      <c r="B95" s="3717"/>
      <c r="C95" s="3718"/>
      <c r="D95" s="3737"/>
      <c r="E95" s="3737"/>
      <c r="F95" s="3737"/>
      <c r="G95" s="3737"/>
      <c r="H95" s="3737"/>
      <c r="I95" s="3737"/>
      <c r="J95" s="3718"/>
      <c r="K95" s="3718"/>
      <c r="L95" s="3718"/>
      <c r="M95" s="3738"/>
      <c r="N95" s="3738"/>
      <c r="O95" s="3738"/>
      <c r="P95" s="3738"/>
      <c r="Q95" s="3738"/>
      <c r="R95" s="3718"/>
      <c r="S95" s="3718"/>
      <c r="T95" s="3760"/>
    </row>
    <row r="96" spans="2:20">
      <c r="B96" s="3717"/>
      <c r="C96" s="3718"/>
      <c r="D96" s="3737" t="s">
        <v>1272</v>
      </c>
      <c r="E96" s="3737"/>
      <c r="F96" s="3769">
        <v>2022</v>
      </c>
      <c r="G96" s="3769"/>
      <c r="H96" s="3769">
        <v>2021</v>
      </c>
      <c r="I96" s="3737"/>
      <c r="J96" s="3718"/>
      <c r="K96" s="3718"/>
      <c r="L96" s="3718"/>
      <c r="M96" s="3718"/>
      <c r="N96" s="3718"/>
      <c r="O96" s="3718"/>
      <c r="P96" s="3718"/>
      <c r="Q96" s="3718"/>
      <c r="R96" s="3718"/>
      <c r="S96" s="3718"/>
      <c r="T96" s="3760"/>
    </row>
    <row r="97" spans="2:20">
      <c r="B97" s="3717"/>
      <c r="C97" s="3718"/>
      <c r="D97" s="3718" t="s">
        <v>1273</v>
      </c>
      <c r="E97" s="3718"/>
      <c r="F97" s="3718"/>
      <c r="G97" s="3718"/>
      <c r="H97" s="3718"/>
      <c r="I97" s="3718"/>
      <c r="J97" s="3718"/>
      <c r="K97" s="3718"/>
      <c r="L97" s="3718"/>
      <c r="M97" s="3718"/>
      <c r="N97" s="3718"/>
      <c r="O97" s="3718"/>
      <c r="P97" s="3718"/>
      <c r="Q97" s="3718"/>
      <c r="R97" s="3718"/>
      <c r="S97" s="3718"/>
      <c r="T97" s="3760"/>
    </row>
    <row r="98" spans="2:20">
      <c r="B98" s="3717"/>
      <c r="C98" s="3718"/>
      <c r="D98" s="3718" t="s">
        <v>1274</v>
      </c>
      <c r="E98" s="3718"/>
      <c r="F98" s="3718"/>
      <c r="G98" s="3718"/>
      <c r="H98" s="3718"/>
      <c r="I98" s="3718"/>
      <c r="J98" s="3718"/>
      <c r="K98" s="3718"/>
      <c r="L98" s="3718"/>
      <c r="M98" s="3718"/>
      <c r="N98" s="3718"/>
      <c r="O98" s="3718"/>
      <c r="P98" s="3718"/>
      <c r="Q98" s="3718"/>
      <c r="R98" s="3718"/>
      <c r="S98" s="3718"/>
      <c r="T98" s="3760"/>
    </row>
    <row r="99" spans="2:20">
      <c r="B99" s="3717"/>
      <c r="C99" s="3718"/>
      <c r="D99" s="3718" t="s">
        <v>1275</v>
      </c>
      <c r="E99" s="3718"/>
      <c r="F99" s="3718"/>
      <c r="G99" s="3718"/>
      <c r="H99" s="3718"/>
      <c r="I99" s="3718"/>
      <c r="J99" s="3718"/>
      <c r="K99" s="3718"/>
      <c r="L99" s="3718"/>
      <c r="M99" s="3718"/>
      <c r="N99" s="3718"/>
      <c r="O99" s="3718"/>
      <c r="P99" s="3718"/>
      <c r="Q99" s="3718"/>
      <c r="R99" s="3718"/>
      <c r="S99" s="3718"/>
      <c r="T99" s="3760"/>
    </row>
    <row r="100" spans="2:20">
      <c r="B100" s="3717"/>
      <c r="C100" s="3718"/>
      <c r="D100" s="3718" t="s">
        <v>1276</v>
      </c>
      <c r="E100" s="3718"/>
      <c r="F100" s="3718"/>
      <c r="G100" s="3718"/>
      <c r="H100" s="3718"/>
      <c r="I100" s="3718"/>
      <c r="J100" s="3718"/>
      <c r="K100" s="3718"/>
      <c r="L100" s="3718"/>
      <c r="M100" s="3718"/>
      <c r="N100" s="3718"/>
      <c r="O100" s="3718"/>
      <c r="P100" s="3718"/>
      <c r="Q100" s="3718"/>
      <c r="R100" s="3718"/>
      <c r="S100" s="3718"/>
      <c r="T100" s="3760"/>
    </row>
    <row r="101" spans="2:20">
      <c r="B101" s="3717"/>
      <c r="C101" s="3718"/>
      <c r="D101" s="3718" t="s">
        <v>1277</v>
      </c>
      <c r="E101" s="3718"/>
      <c r="F101" s="3718"/>
      <c r="G101" s="3718"/>
      <c r="H101" s="3718"/>
      <c r="I101" s="3718"/>
      <c r="J101" s="3718"/>
      <c r="K101" s="3718"/>
      <c r="L101" s="3718"/>
      <c r="M101" s="3718"/>
      <c r="N101" s="3718"/>
      <c r="O101" s="3718"/>
      <c r="P101" s="3718"/>
      <c r="Q101" s="3718"/>
      <c r="R101" s="3718"/>
      <c r="S101" s="3718"/>
      <c r="T101" s="3760"/>
    </row>
    <row r="102" spans="2:20">
      <c r="B102" s="3717"/>
      <c r="C102" s="3718"/>
      <c r="D102" s="3718" t="s">
        <v>1278</v>
      </c>
      <c r="E102" s="3718"/>
      <c r="F102" s="3718"/>
      <c r="G102" s="3718"/>
      <c r="H102" s="3718"/>
      <c r="I102" s="3718"/>
      <c r="J102" s="3718"/>
      <c r="K102" s="3718"/>
      <c r="L102" s="3718"/>
      <c r="M102" s="3718"/>
      <c r="N102" s="3718"/>
      <c r="O102" s="3718"/>
      <c r="P102" s="3718"/>
      <c r="Q102" s="3718"/>
      <c r="R102" s="3718"/>
      <c r="S102" s="3718"/>
      <c r="T102" s="3760"/>
    </row>
    <row r="103" spans="2:20">
      <c r="B103" s="3717"/>
      <c r="C103" s="3718"/>
      <c r="D103" s="3718"/>
      <c r="E103" s="3718"/>
      <c r="F103" s="3718"/>
      <c r="G103" s="3718"/>
      <c r="H103" s="3718"/>
      <c r="I103" s="3718"/>
      <c r="J103" s="3718"/>
      <c r="K103" s="3718"/>
      <c r="L103" s="3718"/>
      <c r="M103" s="3718"/>
      <c r="N103" s="3718"/>
      <c r="O103" s="3718"/>
      <c r="P103" s="3718"/>
      <c r="Q103" s="3718"/>
      <c r="R103" s="3718"/>
      <c r="S103" s="3718"/>
      <c r="T103" s="3760"/>
    </row>
    <row r="104" spans="2:20">
      <c r="B104" s="3717" t="s">
        <v>1279</v>
      </c>
      <c r="C104" s="3718" t="s">
        <v>1280</v>
      </c>
      <c r="D104" s="3718"/>
      <c r="E104" s="3718"/>
      <c r="F104" s="3718"/>
      <c r="G104" s="3718"/>
      <c r="H104" s="3718"/>
      <c r="I104" s="3718"/>
      <c r="J104" s="3718"/>
      <c r="K104" s="3718"/>
      <c r="L104" s="3718"/>
      <c r="M104" s="3718"/>
      <c r="N104" s="3718"/>
      <c r="O104" s="3718"/>
      <c r="P104" s="3718"/>
      <c r="Q104" s="3718"/>
      <c r="R104" s="3718"/>
      <c r="S104" s="3718"/>
      <c r="T104" s="3760"/>
    </row>
    <row r="105" spans="2:20">
      <c r="B105" s="3717"/>
      <c r="C105" s="3718"/>
      <c r="D105" s="3718"/>
      <c r="E105" s="3718"/>
      <c r="F105" s="3718"/>
      <c r="G105" s="3718"/>
      <c r="H105" s="3718"/>
      <c r="I105" s="3718"/>
      <c r="J105" s="3718"/>
      <c r="K105" s="3718"/>
      <c r="L105" s="3718"/>
      <c r="M105" s="3718"/>
      <c r="N105" s="3718"/>
      <c r="O105" s="3718"/>
      <c r="P105" s="3718"/>
      <c r="Q105" s="3718"/>
      <c r="R105" s="3718"/>
      <c r="S105" s="3718"/>
      <c r="T105" s="3760"/>
    </row>
    <row r="106" spans="2:20">
      <c r="B106" s="3770" t="s">
        <v>952</v>
      </c>
      <c r="C106" s="3718"/>
      <c r="D106" s="3718"/>
      <c r="E106" s="3771" t="s">
        <v>953</v>
      </c>
      <c r="F106" s="3718" t="s">
        <v>954</v>
      </c>
      <c r="G106" s="3771"/>
      <c r="H106" s="3718" t="s">
        <v>955</v>
      </c>
      <c r="I106" s="3718"/>
      <c r="J106" s="3718"/>
      <c r="K106" s="3718"/>
      <c r="L106" s="3718"/>
      <c r="M106" s="3718"/>
      <c r="N106" s="3718"/>
      <c r="O106" s="3718"/>
      <c r="P106" s="3718"/>
      <c r="Q106" s="3718"/>
      <c r="R106" s="3718"/>
      <c r="S106" s="3718"/>
      <c r="T106" s="3760"/>
    </row>
    <row r="107" ht="9.6" customHeight="1" spans="2:20">
      <c r="B107" s="3717"/>
      <c r="C107" s="3718"/>
      <c r="D107" s="3718"/>
      <c r="E107" s="3718"/>
      <c r="F107" s="3718"/>
      <c r="G107" s="3718"/>
      <c r="H107" s="3718"/>
      <c r="I107" s="3718"/>
      <c r="J107" s="3718"/>
      <c r="K107" s="3718"/>
      <c r="L107" s="3718"/>
      <c r="M107" s="3718"/>
      <c r="N107" s="3718"/>
      <c r="O107" s="3718"/>
      <c r="P107" s="3718"/>
      <c r="Q107" s="3718"/>
      <c r="R107" s="3718"/>
      <c r="S107" s="3718"/>
      <c r="T107" s="3760"/>
    </row>
    <row r="108" spans="2:20">
      <c r="B108" s="3717"/>
      <c r="C108" s="3718"/>
      <c r="D108" s="3718"/>
      <c r="E108" s="3718" t="s">
        <v>1281</v>
      </c>
      <c r="F108" s="3718"/>
      <c r="G108" s="3718"/>
      <c r="H108" s="3718"/>
      <c r="I108" s="3718"/>
      <c r="J108" s="3718"/>
      <c r="K108" s="3718"/>
      <c r="L108" s="3718"/>
      <c r="M108" s="3718"/>
      <c r="N108" s="3718"/>
      <c r="O108" s="3718"/>
      <c r="P108" s="3718"/>
      <c r="Q108" s="3718"/>
      <c r="R108" s="3718"/>
      <c r="S108" s="3718"/>
      <c r="T108" s="3760"/>
    </row>
    <row r="109" spans="2:20">
      <c r="B109" s="3717"/>
      <c r="C109" s="3718"/>
      <c r="D109" s="3718"/>
      <c r="E109" s="3718"/>
      <c r="F109" s="3718"/>
      <c r="G109" s="3718"/>
      <c r="H109" s="3718"/>
      <c r="I109" s="3718"/>
      <c r="J109" s="3718"/>
      <c r="K109" s="3718"/>
      <c r="L109" s="3718"/>
      <c r="M109" s="3718"/>
      <c r="N109" s="3718"/>
      <c r="O109" s="3718"/>
      <c r="P109" s="3718"/>
      <c r="Q109" s="3718"/>
      <c r="R109" s="3718"/>
      <c r="S109" s="3718"/>
      <c r="T109" s="3760"/>
    </row>
    <row r="110" spans="2:20">
      <c r="B110" s="3717"/>
      <c r="C110" s="3718"/>
      <c r="D110" s="3718"/>
      <c r="E110" s="3718"/>
      <c r="F110" s="3718"/>
      <c r="G110" s="3718"/>
      <c r="H110" s="3718"/>
      <c r="I110" s="3718"/>
      <c r="J110" s="3718"/>
      <c r="K110" s="3718"/>
      <c r="L110" s="3718"/>
      <c r="M110" s="3718"/>
      <c r="N110" s="3718"/>
      <c r="O110" s="3718"/>
      <c r="P110" s="3718"/>
      <c r="Q110" s="3718"/>
      <c r="R110" s="3718"/>
      <c r="S110" s="3718"/>
      <c r="T110" s="3760"/>
    </row>
    <row r="111" spans="1:20">
      <c r="A111" s="137"/>
      <c r="B111" s="3717" t="s">
        <v>1282</v>
      </c>
      <c r="C111" s="3718"/>
      <c r="D111" s="3718"/>
      <c r="E111" s="3718"/>
      <c r="F111" s="3718"/>
      <c r="G111" s="3718"/>
      <c r="H111" s="3718"/>
      <c r="I111" s="3718"/>
      <c r="J111" s="3718"/>
      <c r="K111" s="3718"/>
      <c r="L111" s="3718"/>
      <c r="M111" s="3718"/>
      <c r="N111" s="3718"/>
      <c r="O111" s="3718"/>
      <c r="P111" s="3718"/>
      <c r="Q111" s="3718"/>
      <c r="R111" s="3718"/>
      <c r="S111" s="3718"/>
      <c r="T111" s="3760"/>
    </row>
    <row r="112" spans="1:20">
      <c r="A112" s="137"/>
      <c r="B112" s="3772"/>
      <c r="C112" s="3720"/>
      <c r="D112" s="3720"/>
      <c r="E112" s="3720"/>
      <c r="F112" s="3720"/>
      <c r="G112" s="3720"/>
      <c r="H112" s="3720"/>
      <c r="I112" s="3720"/>
      <c r="J112" s="3720"/>
      <c r="K112" s="3720"/>
      <c r="L112" s="3720"/>
      <c r="M112" s="3720"/>
      <c r="N112" s="3720"/>
      <c r="O112" s="3720"/>
      <c r="P112" s="3720"/>
      <c r="Q112" s="3720"/>
      <c r="R112" s="3720"/>
      <c r="S112" s="3720"/>
      <c r="T112" s="3773"/>
    </row>
    <row r="113" spans="1:20">
      <c r="A113" s="137"/>
      <c r="B113"/>
      <c r="C113"/>
      <c r="D113"/>
      <c r="E113"/>
      <c r="F113"/>
      <c r="G113"/>
      <c r="H113"/>
      <c r="I113"/>
      <c r="J113"/>
      <c r="K113"/>
      <c r="L113"/>
      <c r="M113"/>
      <c r="N113"/>
      <c r="O113"/>
      <c r="P113"/>
      <c r="Q113"/>
      <c r="R113"/>
      <c r="S113"/>
      <c r="T113"/>
    </row>
    <row r="114" spans="2:20">
      <c r="B114"/>
      <c r="C114"/>
      <c r="D114"/>
      <c r="E114"/>
      <c r="F114"/>
      <c r="G114"/>
      <c r="H114"/>
      <c r="I114"/>
      <c r="J114"/>
      <c r="K114"/>
      <c r="L114"/>
      <c r="M114"/>
      <c r="N114"/>
      <c r="O114"/>
      <c r="P114"/>
      <c r="Q114"/>
      <c r="R114"/>
      <c r="S114"/>
      <c r="T114"/>
    </row>
    <row r="115" spans="6:6">
      <c r="F115" s="2423"/>
    </row>
    <row r="116" spans="6:6">
      <c r="F116" s="2423"/>
    </row>
    <row r="117" spans="6:6">
      <c r="F117" s="2423"/>
    </row>
    <row r="118" spans="6:6">
      <c r="F118" s="2423"/>
    </row>
    <row r="119" spans="6:6">
      <c r="F119" s="2423"/>
    </row>
    <row r="120" spans="6:6">
      <c r="F120" s="2423"/>
    </row>
    <row r="121" spans="6:6">
      <c r="F121" s="2423"/>
    </row>
    <row r="122" spans="6:6">
      <c r="F122" s="2423"/>
    </row>
    <row r="123" spans="6:6">
      <c r="F123" s="2423"/>
    </row>
    <row r="124" spans="6:6">
      <c r="F124" s="2423"/>
    </row>
    <row r="125" spans="6:6">
      <c r="F125" s="2423"/>
    </row>
    <row r="126" spans="6:6">
      <c r="F126" s="2423"/>
    </row>
    <row r="127" spans="6:6">
      <c r="F127" s="2423"/>
    </row>
    <row r="128" spans="6:6">
      <c r="F128" s="2423"/>
    </row>
    <row r="129" spans="6:6">
      <c r="F129" s="2423"/>
    </row>
    <row r="130" spans="6:6">
      <c r="F130" s="2423"/>
    </row>
    <row r="131" spans="6:6">
      <c r="F131" s="2423"/>
    </row>
    <row r="132" spans="6:6">
      <c r="F132" s="2423"/>
    </row>
    <row r="133" spans="6:6">
      <c r="F133" s="2423"/>
    </row>
    <row r="134" spans="6:6">
      <c r="F134" s="2423"/>
    </row>
    <row r="135" spans="6:6">
      <c r="F135" s="2423"/>
    </row>
    <row r="136" spans="6:6">
      <c r="F136" s="2423"/>
    </row>
    <row r="137" spans="6:6">
      <c r="F137" s="2423"/>
    </row>
    <row r="138" spans="6:6">
      <c r="F138" s="2423"/>
    </row>
    <row r="139" spans="6:6">
      <c r="F139" s="2423"/>
    </row>
    <row r="140" spans="6:6">
      <c r="F140" s="2423"/>
    </row>
    <row r="141" spans="6:6">
      <c r="F141" s="2423"/>
    </row>
    <row r="142" spans="6:6">
      <c r="F142" s="2423"/>
    </row>
    <row r="143" spans="6:6">
      <c r="F143" s="2423"/>
    </row>
    <row r="144" spans="6:6">
      <c r="F144" s="2423"/>
    </row>
    <row r="145" spans="6:6">
      <c r="F145" s="2423"/>
    </row>
    <row r="146" spans="6:6">
      <c r="F146" s="2423"/>
    </row>
    <row r="147" spans="6:6">
      <c r="F147" s="2423"/>
    </row>
    <row r="148" spans="6:6">
      <c r="F148" s="2423"/>
    </row>
    <row r="149" spans="6:6">
      <c r="F149" s="2423"/>
    </row>
    <row r="150" spans="6:6">
      <c r="F150" s="2423"/>
    </row>
    <row r="151" spans="6:6">
      <c r="F151" s="2423"/>
    </row>
    <row r="152" spans="6:6">
      <c r="F152" s="2423"/>
    </row>
    <row r="153" spans="6:6">
      <c r="F153" s="2423"/>
    </row>
    <row r="154" spans="6:6">
      <c r="F154" s="2423"/>
    </row>
    <row r="155" spans="6:6">
      <c r="F155" s="2423"/>
    </row>
    <row r="156" spans="6:6">
      <c r="F156" s="2423"/>
    </row>
    <row r="157" spans="6:6">
      <c r="F157" s="2423"/>
    </row>
    <row r="158" spans="6:6">
      <c r="F158" s="2423"/>
    </row>
    <row r="159" spans="6:6">
      <c r="F159" s="2423"/>
    </row>
    <row r="160" spans="6:6">
      <c r="F160" s="2423"/>
    </row>
    <row r="161" spans="6:6">
      <c r="F161" s="2423"/>
    </row>
    <row r="162" spans="6:6">
      <c r="F162" s="2423"/>
    </row>
    <row r="163" spans="6:6">
      <c r="F163" s="2423"/>
    </row>
    <row r="164" spans="6:6">
      <c r="F164" s="2423"/>
    </row>
    <row r="165" spans="6:6">
      <c r="F165" s="2423"/>
    </row>
    <row r="166" spans="6:6">
      <c r="F166" s="2423"/>
    </row>
    <row r="167" spans="6:6">
      <c r="F167" s="2423"/>
    </row>
    <row r="168" spans="6:6">
      <c r="F168" s="2423"/>
    </row>
    <row r="169" spans="6:6">
      <c r="F169" s="2423"/>
    </row>
    <row r="170" spans="6:6">
      <c r="F170" s="2423"/>
    </row>
    <row r="171" spans="6:6">
      <c r="F171" s="2423"/>
    </row>
    <row r="172" spans="6:6">
      <c r="F172" s="2423"/>
    </row>
    <row r="173" spans="6:6">
      <c r="F173" s="2423"/>
    </row>
    <row r="174" spans="6:6">
      <c r="F174" s="2423"/>
    </row>
    <row r="175" spans="6:6">
      <c r="F175" s="2423"/>
    </row>
    <row r="176" spans="6:6">
      <c r="F176" s="2423"/>
    </row>
    <row r="177" spans="6:6">
      <c r="F177" s="2423"/>
    </row>
    <row r="178" spans="6:6">
      <c r="F178" s="2423"/>
    </row>
    <row r="179" spans="6:6">
      <c r="F179" s="2423"/>
    </row>
    <row r="180" spans="6:6">
      <c r="F180" s="2423"/>
    </row>
    <row r="181" spans="6:6">
      <c r="F181" s="2423"/>
    </row>
    <row r="182" spans="6:6">
      <c r="F182" s="2423"/>
    </row>
    <row r="183" spans="6:6">
      <c r="F183" s="2423"/>
    </row>
    <row r="184" spans="6:6">
      <c r="F184" s="2423"/>
    </row>
    <row r="185" spans="6:6">
      <c r="F185" s="2423"/>
    </row>
    <row r="186" spans="6:6">
      <c r="F186" s="2423"/>
    </row>
    <row r="187" spans="6:6">
      <c r="F187" s="2423"/>
    </row>
    <row r="188" spans="6:6">
      <c r="F188" s="2423"/>
    </row>
    <row r="189" spans="6:6">
      <c r="F189" s="2423"/>
    </row>
    <row r="190" spans="6:6">
      <c r="F190" s="2423"/>
    </row>
    <row r="191" spans="6:6">
      <c r="F191" s="2423"/>
    </row>
    <row r="192" spans="6:6">
      <c r="F192" s="2423"/>
    </row>
    <row r="193" spans="6:6">
      <c r="F193" s="2423"/>
    </row>
    <row r="194" spans="6:6">
      <c r="F194" s="2423"/>
    </row>
    <row r="195" spans="6:6">
      <c r="F195" s="2423"/>
    </row>
    <row r="196" spans="6:6">
      <c r="F196" s="2423"/>
    </row>
    <row r="197" spans="6:6">
      <c r="F197" s="2423"/>
    </row>
    <row r="198" spans="6:6">
      <c r="F198" s="2423"/>
    </row>
    <row r="199" spans="6:6">
      <c r="F199" s="2423"/>
    </row>
    <row r="200" spans="6:6">
      <c r="F200" s="2423"/>
    </row>
    <row r="201" spans="6:6">
      <c r="F201" s="2423"/>
    </row>
    <row r="202" spans="6:6">
      <c r="F202" s="2423"/>
    </row>
    <row r="203" spans="6:6">
      <c r="F203" s="2423"/>
    </row>
    <row r="204" spans="6:6">
      <c r="F204" s="2423"/>
    </row>
    <row r="205" spans="6:6">
      <c r="F205" s="2423"/>
    </row>
    <row r="206" spans="6:6">
      <c r="F206" s="2423"/>
    </row>
    <row r="207" spans="6:6">
      <c r="F207" s="2423"/>
    </row>
    <row r="208" spans="6:6">
      <c r="F208" s="2423"/>
    </row>
    <row r="209" spans="6:6">
      <c r="F209" s="2423"/>
    </row>
    <row r="210" spans="6:6">
      <c r="F210" s="2423"/>
    </row>
    <row r="211" spans="6:6">
      <c r="F211" s="2423"/>
    </row>
    <row r="212" spans="6:6">
      <c r="F212" s="2423"/>
    </row>
    <row r="213" spans="6:6">
      <c r="F213" s="2423"/>
    </row>
    <row r="214" spans="6:6">
      <c r="F214" s="2423"/>
    </row>
    <row r="215" spans="6:6">
      <c r="F215" s="2423"/>
    </row>
    <row r="216" spans="6:6">
      <c r="F216" s="2423"/>
    </row>
    <row r="217" spans="6:6">
      <c r="F217" s="2423"/>
    </row>
    <row r="218" spans="6:6">
      <c r="F218" s="2423"/>
    </row>
    <row r="219" spans="6:6">
      <c r="F219" s="2423"/>
    </row>
    <row r="220" spans="6:6">
      <c r="F220" s="2423"/>
    </row>
    <row r="221" spans="6:6">
      <c r="F221" s="2423"/>
    </row>
    <row r="222" spans="6:6">
      <c r="F222" s="2423"/>
    </row>
    <row r="223" spans="6:6">
      <c r="F223" s="2423"/>
    </row>
    <row r="224" spans="6:6">
      <c r="F224" s="2423"/>
    </row>
    <row r="225" spans="6:6">
      <c r="F225" s="2423"/>
    </row>
    <row r="226" spans="6:6">
      <c r="F226" s="2423"/>
    </row>
    <row r="227" spans="6:6">
      <c r="F227" s="2423"/>
    </row>
    <row r="228" spans="6:6">
      <c r="F228" s="2423"/>
    </row>
    <row r="229" spans="6:6">
      <c r="F229" s="2423"/>
    </row>
    <row r="230" spans="6:6">
      <c r="F230" s="2423"/>
    </row>
    <row r="231" spans="6:6">
      <c r="F231" s="2423"/>
    </row>
    <row r="232" spans="6:6">
      <c r="F232" s="2423"/>
    </row>
    <row r="233" spans="6:6">
      <c r="F233" s="2423"/>
    </row>
    <row r="234" spans="6:6">
      <c r="F234" s="2423"/>
    </row>
    <row r="235" spans="6:6">
      <c r="F235" s="2423"/>
    </row>
    <row r="236" spans="6:6">
      <c r="F236" s="2423"/>
    </row>
    <row r="237" spans="6:6">
      <c r="F237" s="2423"/>
    </row>
    <row r="238" spans="6:6">
      <c r="F238" s="2423"/>
    </row>
    <row r="239" spans="6:6">
      <c r="F239" s="2423"/>
    </row>
    <row r="240" spans="6:6">
      <c r="F240" s="2423"/>
    </row>
    <row r="241" spans="6:6">
      <c r="F241" s="2423"/>
    </row>
    <row r="242" spans="6:6">
      <c r="F242" s="2423"/>
    </row>
    <row r="243" spans="6:6">
      <c r="F243" s="2423"/>
    </row>
    <row r="244" spans="6:6">
      <c r="F244" s="2423"/>
    </row>
    <row r="245" spans="6:6">
      <c r="F245" s="2423"/>
    </row>
    <row r="246" spans="6:6">
      <c r="F246" s="2423"/>
    </row>
    <row r="247" spans="6:6">
      <c r="F247" s="2423"/>
    </row>
    <row r="248" spans="6:6">
      <c r="F248" s="2423"/>
    </row>
    <row r="249" spans="6:6">
      <c r="F249" s="2423"/>
    </row>
    <row r="250" spans="6:6">
      <c r="F250" s="2423"/>
    </row>
    <row r="251" spans="6:6">
      <c r="F251" s="2423"/>
    </row>
    <row r="252" spans="6:6">
      <c r="F252" s="2423"/>
    </row>
    <row r="253" spans="6:6">
      <c r="F253" s="2423"/>
    </row>
    <row r="254" spans="6:6">
      <c r="F254" s="2423"/>
    </row>
    <row r="255" spans="6:6">
      <c r="F255" s="2423"/>
    </row>
    <row r="256" spans="6:6">
      <c r="F256" s="2423"/>
    </row>
    <row r="257" spans="6:6">
      <c r="F257" s="2423"/>
    </row>
    <row r="258" spans="6:6">
      <c r="F258" s="2423"/>
    </row>
    <row r="259" spans="6:6">
      <c r="F259" s="2423"/>
    </row>
    <row r="260" spans="6:6">
      <c r="F260" s="2423"/>
    </row>
    <row r="261" spans="6:6">
      <c r="F261" s="2423"/>
    </row>
    <row r="262" spans="6:6">
      <c r="F262" s="2423"/>
    </row>
    <row r="263" spans="6:6">
      <c r="F263" s="2423"/>
    </row>
    <row r="264" spans="6:6">
      <c r="F264" s="2423"/>
    </row>
    <row r="265" spans="6:6">
      <c r="F265" s="2423"/>
    </row>
    <row r="266" spans="6:6">
      <c r="F266" s="2423"/>
    </row>
    <row r="267" spans="6:6">
      <c r="F267" s="2423"/>
    </row>
    <row r="268" spans="6:6">
      <c r="F268" s="2423"/>
    </row>
    <row r="269" spans="6:6">
      <c r="F269" s="2423"/>
    </row>
    <row r="270" spans="6:6">
      <c r="F270" s="2423"/>
    </row>
    <row r="271" spans="6:6">
      <c r="F271" s="2423"/>
    </row>
    <row r="272" spans="6:6">
      <c r="F272" s="2423"/>
    </row>
    <row r="273" spans="6:6">
      <c r="F273" s="2423"/>
    </row>
    <row r="274" spans="6:6">
      <c r="F274" s="2423"/>
    </row>
    <row r="275" spans="6:6">
      <c r="F275" s="2423"/>
    </row>
    <row r="276" spans="6:6">
      <c r="F276" s="2423"/>
    </row>
    <row r="277" spans="6:6">
      <c r="F277" s="2423"/>
    </row>
    <row r="278" spans="6:6">
      <c r="F278" s="2423"/>
    </row>
    <row r="279" spans="6:6">
      <c r="F279" s="2423"/>
    </row>
    <row r="280" spans="6:6">
      <c r="F280" s="2423"/>
    </row>
    <row r="281" spans="6:6">
      <c r="F281" s="2423"/>
    </row>
    <row r="282" spans="6:6">
      <c r="F282" s="2423"/>
    </row>
    <row r="283" spans="6:6">
      <c r="F283" s="2423"/>
    </row>
    <row r="284" spans="6:6">
      <c r="F284" s="2423"/>
    </row>
    <row r="285" spans="6:6">
      <c r="F285" s="2423"/>
    </row>
    <row r="286" spans="6:6">
      <c r="F286" s="2423"/>
    </row>
    <row r="287" spans="6:6">
      <c r="F287" s="2423"/>
    </row>
    <row r="288" spans="6:6">
      <c r="F288" s="2423"/>
    </row>
    <row r="289" spans="6:6">
      <c r="F289" s="2423"/>
    </row>
    <row r="290" spans="6:6">
      <c r="F290" s="2423"/>
    </row>
    <row r="291" spans="6:6">
      <c r="F291" s="2423"/>
    </row>
    <row r="292" spans="6:6">
      <c r="F292" s="2423"/>
    </row>
    <row r="293" spans="6:6">
      <c r="F293" s="2423"/>
    </row>
    <row r="294" spans="6:6">
      <c r="F294" s="2423"/>
    </row>
    <row r="295" spans="6:6">
      <c r="F295" s="2423"/>
    </row>
    <row r="296" spans="6:6">
      <c r="F296" s="2423"/>
    </row>
    <row r="297" spans="6:6">
      <c r="F297" s="2423"/>
    </row>
    <row r="298" spans="6:6">
      <c r="F298" s="2423"/>
    </row>
    <row r="299" spans="6:6">
      <c r="F299" s="2423"/>
    </row>
    <row r="300" spans="6:6">
      <c r="F300" s="2423"/>
    </row>
    <row r="301" spans="6:6">
      <c r="F301" s="2423"/>
    </row>
    <row r="302" spans="6:6">
      <c r="F302" s="2423"/>
    </row>
    <row r="303" spans="6:6">
      <c r="F303" s="2423"/>
    </row>
    <row r="304" spans="6:6">
      <c r="F304" s="2423"/>
    </row>
    <row r="305" spans="6:6">
      <c r="F305" s="2423"/>
    </row>
    <row r="306" spans="6:6">
      <c r="F306" s="2423"/>
    </row>
    <row r="307" spans="6:6">
      <c r="F307" s="2423"/>
    </row>
    <row r="308" spans="6:6">
      <c r="F308" s="2423"/>
    </row>
    <row r="309" spans="6:6">
      <c r="F309" s="2423"/>
    </row>
    <row r="310" spans="6:6">
      <c r="F310" s="2423"/>
    </row>
    <row r="311" spans="6:6">
      <c r="F311" s="2423"/>
    </row>
    <row r="312" spans="6:6">
      <c r="F312" s="2423"/>
    </row>
    <row r="313" spans="6:6">
      <c r="F313" s="2423"/>
    </row>
    <row r="314" spans="6:6">
      <c r="F314" s="2423"/>
    </row>
    <row r="315" spans="6:6">
      <c r="F315" s="2423"/>
    </row>
    <row r="316" spans="6:6">
      <c r="F316" s="2423"/>
    </row>
    <row r="317" spans="6:6">
      <c r="F317" s="2423"/>
    </row>
    <row r="318" spans="6:6">
      <c r="F318" s="2423"/>
    </row>
    <row r="319" spans="6:6">
      <c r="F319" s="2423"/>
    </row>
    <row r="320" spans="6:6">
      <c r="F320" s="2423"/>
    </row>
    <row r="321" spans="6:6">
      <c r="F321" s="2423"/>
    </row>
    <row r="322" spans="6:6">
      <c r="F322" s="2423"/>
    </row>
    <row r="323" spans="6:6">
      <c r="F323" s="2423"/>
    </row>
    <row r="324" spans="6:6">
      <c r="F324" s="2423"/>
    </row>
    <row r="325" spans="6:6">
      <c r="F325" s="2423"/>
    </row>
    <row r="326" spans="6:6">
      <c r="F326" s="2423"/>
    </row>
    <row r="327" spans="6:6">
      <c r="F327" s="2423"/>
    </row>
    <row r="328" spans="6:6">
      <c r="F328" s="2423"/>
    </row>
    <row r="329" spans="6:6">
      <c r="F329" s="2423"/>
    </row>
    <row r="330" spans="6:6">
      <c r="F330" s="2423"/>
    </row>
    <row r="331" spans="6:6">
      <c r="F331" s="2423"/>
    </row>
    <row r="332" spans="6:6">
      <c r="F332" s="2423"/>
    </row>
    <row r="333" spans="6:6">
      <c r="F333" s="2423"/>
    </row>
    <row r="334" spans="6:6">
      <c r="F334" s="2423"/>
    </row>
    <row r="335" spans="6:6">
      <c r="F335" s="2423"/>
    </row>
    <row r="336" spans="6:6">
      <c r="F336" s="2423"/>
    </row>
    <row r="337" spans="6:6">
      <c r="F337" s="2423"/>
    </row>
    <row r="338" spans="6:6">
      <c r="F338" s="2423"/>
    </row>
    <row r="339" spans="6:6">
      <c r="F339" s="2423"/>
    </row>
    <row r="340" spans="6:6">
      <c r="F340" s="2423"/>
    </row>
    <row r="341" spans="6:6">
      <c r="F341" s="2423"/>
    </row>
    <row r="342" spans="6:6">
      <c r="F342" s="2423"/>
    </row>
    <row r="343" spans="6:6">
      <c r="F343" s="2423"/>
    </row>
    <row r="344" spans="6:6">
      <c r="F344" s="2423"/>
    </row>
    <row r="345" spans="6:6">
      <c r="F345" s="2423"/>
    </row>
    <row r="346" spans="6:6">
      <c r="F346" s="2423"/>
    </row>
    <row r="347" spans="6:6">
      <c r="F347" s="2423"/>
    </row>
    <row r="348" spans="6:6">
      <c r="F348" s="2423"/>
    </row>
    <row r="349" spans="6:6">
      <c r="F349" s="2423"/>
    </row>
    <row r="350" spans="6:6">
      <c r="F350" s="2423"/>
    </row>
    <row r="351" spans="6:6">
      <c r="F351" s="2423"/>
    </row>
    <row r="352" spans="6:6">
      <c r="F352" s="2423"/>
    </row>
    <row r="353" spans="6:6">
      <c r="F353" s="2423"/>
    </row>
    <row r="354" spans="6:6">
      <c r="F354" s="2423"/>
    </row>
    <row r="355" spans="6:6">
      <c r="F355" s="2423"/>
    </row>
    <row r="356" spans="6:6">
      <c r="F356" s="2423"/>
    </row>
    <row r="357" spans="6:6">
      <c r="F357" s="2423"/>
    </row>
    <row r="358" spans="6:6">
      <c r="F358" s="2423"/>
    </row>
    <row r="359" spans="6:6">
      <c r="F359" s="2423"/>
    </row>
    <row r="360" spans="6:6">
      <c r="F360" s="2423"/>
    </row>
    <row r="361" spans="6:6">
      <c r="F361" s="2423"/>
    </row>
    <row r="362" spans="6:6">
      <c r="F362" s="2423"/>
    </row>
    <row r="363" spans="6:6">
      <c r="F363" s="2423"/>
    </row>
    <row r="364" spans="6:6">
      <c r="F364" s="2423"/>
    </row>
    <row r="365" spans="6:6">
      <c r="F365" s="2423"/>
    </row>
    <row r="366" spans="6:6">
      <c r="F366" s="2423"/>
    </row>
    <row r="367" spans="6:6">
      <c r="F367" s="2423"/>
    </row>
    <row r="368" spans="6:6">
      <c r="F368" s="2423"/>
    </row>
    <row r="369" spans="6:6">
      <c r="F369" s="2423"/>
    </row>
    <row r="370" spans="6:6">
      <c r="F370" s="2423"/>
    </row>
    <row r="371" spans="6:6">
      <c r="F371" s="2423"/>
    </row>
    <row r="372" spans="6:6">
      <c r="F372" s="2423"/>
    </row>
    <row r="373" spans="6:6">
      <c r="F373" s="2423"/>
    </row>
    <row r="374" spans="6:6">
      <c r="F374" s="2423"/>
    </row>
    <row r="375" spans="6:6">
      <c r="F375" s="2423"/>
    </row>
    <row r="376" spans="6:6">
      <c r="F376" s="2423"/>
    </row>
    <row r="377" spans="6:6">
      <c r="F377" s="2423"/>
    </row>
    <row r="378" spans="6:6">
      <c r="F378" s="2423"/>
    </row>
    <row r="379" spans="6:6">
      <c r="F379" s="2423"/>
    </row>
    <row r="380" spans="6:6">
      <c r="F380" s="2423"/>
    </row>
    <row r="381" spans="6:6">
      <c r="F381" s="2423"/>
    </row>
    <row r="382" spans="6:6">
      <c r="F382" s="2423"/>
    </row>
    <row r="383" spans="6:6">
      <c r="F383" s="2423"/>
    </row>
    <row r="384" spans="6:6">
      <c r="F384" s="2423"/>
    </row>
    <row r="385" spans="6:6">
      <c r="F385" s="2423"/>
    </row>
    <row r="386" spans="6:6">
      <c r="F386" s="2423"/>
    </row>
    <row r="387" spans="6:6">
      <c r="F387" s="2423"/>
    </row>
    <row r="388" spans="6:6">
      <c r="F388" s="2423"/>
    </row>
    <row r="389" spans="6:6">
      <c r="F389" s="2423"/>
    </row>
    <row r="390" spans="6:6">
      <c r="F390" s="2423"/>
    </row>
    <row r="391" spans="6:6">
      <c r="F391" s="2423"/>
    </row>
    <row r="392" spans="6:6">
      <c r="F392" s="2423"/>
    </row>
    <row r="393" spans="6:6">
      <c r="F393" s="2423"/>
    </row>
    <row r="394" spans="6:6">
      <c r="F394" s="2423"/>
    </row>
    <row r="395" spans="6:6">
      <c r="F395" s="2423"/>
    </row>
    <row r="396" spans="6:6">
      <c r="F396" s="2423"/>
    </row>
    <row r="397" spans="6:6">
      <c r="F397" s="2423"/>
    </row>
    <row r="398" spans="6:6">
      <c r="F398" s="2423"/>
    </row>
    <row r="399" spans="6:6">
      <c r="F399" s="2423"/>
    </row>
    <row r="400" spans="6:6">
      <c r="F400" s="2423"/>
    </row>
    <row r="401" spans="6:6">
      <c r="F401" s="2423"/>
    </row>
    <row r="402" spans="6:6">
      <c r="F402" s="2423"/>
    </row>
    <row r="403" spans="6:6">
      <c r="F403" s="2423"/>
    </row>
    <row r="404" spans="6:6">
      <c r="F404" s="2423"/>
    </row>
    <row r="405" spans="6:6">
      <c r="F405" s="2423"/>
    </row>
    <row r="406" spans="6:6">
      <c r="F406" s="2423"/>
    </row>
    <row r="407" spans="6:6">
      <c r="F407" s="2423"/>
    </row>
    <row r="408" spans="6:6">
      <c r="F408" s="2423"/>
    </row>
    <row r="409" spans="6:6">
      <c r="F409" s="2423"/>
    </row>
    <row r="410" spans="6:6">
      <c r="F410" s="2423"/>
    </row>
    <row r="411" spans="6:6">
      <c r="F411" s="2423"/>
    </row>
    <row r="412" spans="6:6">
      <c r="F412" s="2423"/>
    </row>
    <row r="413" spans="6:6">
      <c r="F413" s="2423"/>
    </row>
    <row r="414" spans="6:6">
      <c r="F414" s="2423"/>
    </row>
    <row r="415" spans="6:6">
      <c r="F415" s="2423"/>
    </row>
    <row r="416" spans="6:6">
      <c r="F416" s="2423"/>
    </row>
    <row r="417" spans="6:6">
      <c r="F417" s="2423"/>
    </row>
    <row r="418" spans="6:6">
      <c r="F418" s="2423"/>
    </row>
    <row r="419" spans="6:6">
      <c r="F419" s="2423"/>
    </row>
    <row r="420" spans="6:6">
      <c r="F420" s="2423"/>
    </row>
    <row r="421" spans="6:6">
      <c r="F421" s="2423"/>
    </row>
    <row r="422" spans="6:6">
      <c r="F422" s="2423"/>
    </row>
    <row r="423" spans="6:6">
      <c r="F423" s="2423"/>
    </row>
    <row r="424" spans="6:6">
      <c r="F424" s="2423"/>
    </row>
    <row r="425" spans="6:6">
      <c r="F425" s="2423"/>
    </row>
    <row r="426" spans="6:6">
      <c r="F426" s="2423"/>
    </row>
    <row r="427" spans="6:6">
      <c r="F427" s="2423"/>
    </row>
    <row r="428" spans="6:6">
      <c r="F428" s="2423"/>
    </row>
    <row r="429" spans="6:6">
      <c r="F429" s="2423"/>
    </row>
    <row r="430" spans="6:6">
      <c r="F430" s="2423"/>
    </row>
    <row r="431" spans="6:6">
      <c r="F431" s="2423"/>
    </row>
    <row r="432" spans="6:6">
      <c r="F432" s="2423"/>
    </row>
    <row r="433" spans="6:6">
      <c r="F433" s="2423"/>
    </row>
    <row r="434" spans="6:6">
      <c r="F434" s="2423"/>
    </row>
    <row r="435" spans="6:6">
      <c r="F435" s="2423"/>
    </row>
    <row r="436" spans="6:6">
      <c r="F436" s="2423"/>
    </row>
    <row r="437" spans="6:6">
      <c r="F437" s="2423"/>
    </row>
    <row r="438" spans="6:6">
      <c r="F438" s="2423"/>
    </row>
    <row r="439" spans="6:6">
      <c r="F439" s="2423"/>
    </row>
    <row r="440" spans="6:6">
      <c r="F440" s="2423"/>
    </row>
    <row r="441" spans="6:6">
      <c r="F441" s="2423"/>
    </row>
    <row r="442" spans="6:6">
      <c r="F442" s="2423"/>
    </row>
    <row r="443" spans="6:6">
      <c r="F443" s="2423"/>
    </row>
    <row r="444" spans="6:6">
      <c r="F444" s="2423"/>
    </row>
    <row r="445" spans="6:6">
      <c r="F445" s="2423"/>
    </row>
    <row r="446" spans="6:6">
      <c r="F446" s="2423"/>
    </row>
    <row r="447" spans="6:6">
      <c r="F447" s="2423"/>
    </row>
    <row r="448" spans="6:6">
      <c r="F448" s="2423"/>
    </row>
    <row r="449" spans="6:6">
      <c r="F449" s="2423"/>
    </row>
    <row r="450" spans="6:6">
      <c r="F450" s="2423"/>
    </row>
    <row r="451" spans="6:6">
      <c r="F451" s="2423"/>
    </row>
    <row r="452" spans="6:6">
      <c r="F452" s="2423"/>
    </row>
    <row r="453" spans="6:6">
      <c r="F453" s="2423"/>
    </row>
    <row r="454" spans="6:6">
      <c r="F454" s="2423"/>
    </row>
    <row r="455" spans="6:6">
      <c r="F455" s="2423"/>
    </row>
    <row r="456" spans="6:6">
      <c r="F456" s="2423"/>
    </row>
    <row r="457" spans="6:6">
      <c r="F457" s="2423"/>
    </row>
    <row r="458" spans="6:6">
      <c r="F458" s="2423"/>
    </row>
    <row r="459" spans="6:6">
      <c r="F459" s="2423"/>
    </row>
    <row r="460" spans="6:6">
      <c r="F460" s="2423"/>
    </row>
    <row r="461" spans="6:6">
      <c r="F461" s="2423"/>
    </row>
    <row r="462" spans="6:6">
      <c r="F462" s="2423"/>
    </row>
    <row r="463" spans="6:6">
      <c r="F463" s="2423"/>
    </row>
    <row r="464" spans="6:6">
      <c r="F464" s="2423"/>
    </row>
    <row r="465" spans="6:6">
      <c r="F465" s="2423"/>
    </row>
    <row r="466" spans="6:6">
      <c r="F466" s="2423"/>
    </row>
    <row r="467" spans="6:6">
      <c r="F467" s="2423"/>
    </row>
    <row r="468" spans="6:6">
      <c r="F468" s="2423"/>
    </row>
    <row r="469" spans="6:6">
      <c r="F469" s="2423"/>
    </row>
    <row r="470" spans="6:6">
      <c r="F470" s="2423"/>
    </row>
    <row r="471" spans="6:6">
      <c r="F471" s="2423"/>
    </row>
    <row r="472" spans="6:6">
      <c r="F472" s="2423"/>
    </row>
    <row r="473" spans="6:6">
      <c r="F473" s="2423"/>
    </row>
    <row r="474" spans="6:6">
      <c r="F474" s="2423"/>
    </row>
    <row r="475" spans="6:6">
      <c r="F475" s="2423"/>
    </row>
    <row r="476" spans="6:6">
      <c r="F476" s="2423"/>
    </row>
    <row r="477" spans="6:6">
      <c r="F477" s="2423"/>
    </row>
    <row r="478" spans="6:6">
      <c r="F478" s="2423"/>
    </row>
    <row r="479" spans="6:6">
      <c r="F479" s="2423"/>
    </row>
    <row r="480" spans="6:6">
      <c r="F480" s="2423"/>
    </row>
    <row r="481" spans="6:6">
      <c r="F481" s="2423"/>
    </row>
    <row r="482" spans="6:6">
      <c r="F482" s="2423"/>
    </row>
    <row r="483" spans="6:6">
      <c r="F483" s="2423"/>
    </row>
    <row r="484" spans="6:6">
      <c r="F484" s="2423"/>
    </row>
    <row r="485" spans="6:6">
      <c r="F485" s="2423"/>
    </row>
    <row r="486" spans="6:6">
      <c r="F486" s="2423"/>
    </row>
    <row r="487" spans="6:6">
      <c r="F487" s="2423"/>
    </row>
    <row r="488" spans="6:6">
      <c r="F488" s="2423"/>
    </row>
    <row r="489" spans="6:6">
      <c r="F489" s="2423"/>
    </row>
    <row r="490" spans="6:6">
      <c r="F490" s="2423"/>
    </row>
    <row r="491" spans="6:6">
      <c r="F491" s="2423"/>
    </row>
    <row r="492" spans="6:6">
      <c r="F492" s="2423"/>
    </row>
    <row r="493" spans="6:6">
      <c r="F493" s="2423"/>
    </row>
    <row r="494" spans="6:6">
      <c r="F494" s="2423"/>
    </row>
    <row r="495" spans="6:6">
      <c r="F495" s="2423"/>
    </row>
    <row r="496" spans="6:6">
      <c r="F496" s="2423"/>
    </row>
    <row r="497" spans="6:6">
      <c r="F497" s="2423"/>
    </row>
    <row r="498" spans="6:6">
      <c r="F498" s="2423"/>
    </row>
    <row r="499" spans="6:6">
      <c r="F499" s="2423"/>
    </row>
    <row r="500" spans="6:6">
      <c r="F500" s="2423"/>
    </row>
    <row r="501" spans="6:6">
      <c r="F501" s="2423"/>
    </row>
    <row r="502" spans="6:6">
      <c r="F502" s="2423"/>
    </row>
    <row r="503" spans="6:6">
      <c r="F503" s="2423"/>
    </row>
    <row r="504" spans="6:6">
      <c r="F504" s="2423"/>
    </row>
    <row r="505" spans="6:6">
      <c r="F505" s="2423"/>
    </row>
    <row r="506" spans="6:6">
      <c r="F506" s="2423"/>
    </row>
    <row r="507" spans="6:6">
      <c r="F507" s="2423"/>
    </row>
    <row r="508" spans="6:6">
      <c r="F508" s="2423"/>
    </row>
    <row r="509" spans="6:6">
      <c r="F509" s="2423"/>
    </row>
    <row r="510" spans="6:6">
      <c r="F510" s="2423"/>
    </row>
    <row r="511" spans="6:6">
      <c r="F511" s="2423"/>
    </row>
    <row r="512" spans="6:6">
      <c r="F512" s="2423"/>
    </row>
    <row r="513" spans="6:6">
      <c r="F513" s="2423"/>
    </row>
    <row r="514" spans="6:6">
      <c r="F514" s="2423"/>
    </row>
    <row r="515" spans="6:6">
      <c r="F515" s="2423"/>
    </row>
    <row r="516" spans="6:6">
      <c r="F516" s="2423"/>
    </row>
    <row r="517" spans="6:6">
      <c r="F517" s="2423"/>
    </row>
    <row r="518" spans="6:6">
      <c r="F518" s="2423"/>
    </row>
    <row r="519" spans="6:6">
      <c r="F519" s="2423"/>
    </row>
    <row r="520" spans="6:6">
      <c r="F520" s="2423"/>
    </row>
    <row r="521" spans="6:6">
      <c r="F521" s="2423"/>
    </row>
    <row r="522" spans="6:6">
      <c r="F522" s="2423"/>
    </row>
    <row r="523" spans="6:6">
      <c r="F523" s="2423"/>
    </row>
    <row r="524" spans="6:6">
      <c r="F524" s="2423"/>
    </row>
    <row r="525" spans="6:6">
      <c r="F525" s="2423"/>
    </row>
    <row r="526" spans="6:6">
      <c r="F526" s="2423"/>
    </row>
    <row r="527" spans="6:6">
      <c r="F527" s="2423"/>
    </row>
    <row r="528" spans="6:6">
      <c r="F528" s="2423"/>
    </row>
    <row r="529" spans="6:6">
      <c r="F529" s="2423"/>
    </row>
    <row r="530" spans="6:6">
      <c r="F530" s="2423"/>
    </row>
    <row r="531" spans="6:6">
      <c r="F531" s="2423"/>
    </row>
    <row r="532" spans="6:6">
      <c r="F532" s="2423"/>
    </row>
    <row r="533" spans="6:6">
      <c r="F533" s="2423"/>
    </row>
    <row r="534" spans="6:6">
      <c r="F534" s="2423"/>
    </row>
    <row r="535" spans="6:6">
      <c r="F535" s="2423"/>
    </row>
    <row r="536" spans="6:6">
      <c r="F536" s="2423"/>
    </row>
    <row r="537" spans="6:6">
      <c r="F537" s="2423"/>
    </row>
    <row r="538" spans="6:6">
      <c r="F538" s="2423"/>
    </row>
    <row r="539" spans="6:6">
      <c r="F539" s="2423"/>
    </row>
    <row r="540" spans="6:6">
      <c r="F540" s="2423"/>
    </row>
    <row r="541" spans="6:6">
      <c r="F541" s="2423"/>
    </row>
    <row r="542" spans="6:6">
      <c r="F542" s="2423"/>
    </row>
    <row r="543" spans="6:6">
      <c r="F543" s="2423"/>
    </row>
    <row r="544" spans="6:6">
      <c r="F544" s="2423"/>
    </row>
    <row r="545" spans="6:6">
      <c r="F545" s="2423"/>
    </row>
    <row r="546" spans="6:6">
      <c r="F546" s="2423"/>
    </row>
    <row r="547" spans="6:6">
      <c r="F547" s="2423"/>
    </row>
    <row r="548" spans="6:6">
      <c r="F548" s="2423"/>
    </row>
    <row r="549" spans="6:6">
      <c r="F549" s="2423"/>
    </row>
    <row r="550" spans="6:6">
      <c r="F550" s="2423"/>
    </row>
    <row r="551" spans="6:6">
      <c r="F551" s="2423"/>
    </row>
    <row r="552" spans="6:6">
      <c r="F552" s="2423"/>
    </row>
    <row r="553" spans="6:6">
      <c r="F553" s="2423"/>
    </row>
    <row r="554" spans="6:6">
      <c r="F554" s="2423"/>
    </row>
    <row r="555" spans="6:6">
      <c r="F555" s="2423"/>
    </row>
    <row r="556" spans="6:6">
      <c r="F556" s="2423"/>
    </row>
    <row r="557" spans="6:6">
      <c r="F557" s="2423"/>
    </row>
    <row r="558" spans="6:6">
      <c r="F558" s="2423"/>
    </row>
    <row r="559" spans="6:6">
      <c r="F559" s="2423"/>
    </row>
    <row r="560" spans="6:6">
      <c r="F560" s="2423"/>
    </row>
    <row r="561" spans="6:6">
      <c r="F561" s="2423"/>
    </row>
    <row r="562" spans="6:6">
      <c r="F562" s="2423"/>
    </row>
    <row r="563" spans="6:6">
      <c r="F563" s="2423"/>
    </row>
    <row r="564" spans="6:6">
      <c r="F564" s="2423"/>
    </row>
    <row r="565" spans="6:6">
      <c r="F565" s="2423"/>
    </row>
    <row r="566" spans="6:6">
      <c r="F566" s="2423"/>
    </row>
    <row r="567" spans="6:6">
      <c r="F567" s="2423"/>
    </row>
    <row r="568" spans="6:6">
      <c r="F568" s="2423"/>
    </row>
    <row r="569" spans="6:6">
      <c r="F569" s="2423"/>
    </row>
    <row r="570" spans="6:6">
      <c r="F570" s="2423"/>
    </row>
    <row r="571" spans="6:6">
      <c r="F571" s="2423"/>
    </row>
    <row r="572" spans="6:6">
      <c r="F572" s="2423"/>
    </row>
    <row r="573" spans="6:6">
      <c r="F573" s="2423"/>
    </row>
    <row r="574" spans="6:6">
      <c r="F574" s="2423"/>
    </row>
    <row r="575" spans="6:6">
      <c r="F575" s="2423"/>
    </row>
    <row r="576" spans="6:6">
      <c r="F576" s="2423"/>
    </row>
    <row r="577" spans="6:6">
      <c r="F577" s="2423"/>
    </row>
    <row r="578" spans="6:6">
      <c r="F578" s="2423"/>
    </row>
    <row r="579" spans="6:6">
      <c r="F579" s="2423"/>
    </row>
    <row r="580" spans="6:6">
      <c r="F580" s="2423"/>
    </row>
    <row r="581" spans="6:6">
      <c r="F581" s="2423"/>
    </row>
    <row r="582" spans="6:6">
      <c r="F582" s="2423"/>
    </row>
    <row r="583" spans="6:6">
      <c r="F583" s="2423"/>
    </row>
    <row r="584" spans="6:6">
      <c r="F584" s="2423"/>
    </row>
    <row r="585" spans="6:6">
      <c r="F585" s="2423"/>
    </row>
    <row r="586" spans="6:6">
      <c r="F586" s="2423"/>
    </row>
    <row r="587" spans="6:6">
      <c r="F587" s="2423"/>
    </row>
    <row r="588" spans="6:6">
      <c r="F588" s="2423"/>
    </row>
    <row r="589" spans="6:6">
      <c r="F589" s="2423"/>
    </row>
    <row r="590" spans="6:6">
      <c r="F590" s="2423"/>
    </row>
    <row r="591" spans="6:6">
      <c r="F591" s="2423"/>
    </row>
    <row r="592" spans="6:6">
      <c r="F592" s="2423"/>
    </row>
    <row r="593" spans="6:6">
      <c r="F593" s="2423"/>
    </row>
    <row r="594" spans="6:6">
      <c r="F594" s="2423"/>
    </row>
    <row r="595" spans="6:6">
      <c r="F595" s="2423"/>
    </row>
    <row r="596" spans="6:6">
      <c r="F596" s="2423"/>
    </row>
    <row r="597" spans="6:6">
      <c r="F597" s="2423"/>
    </row>
    <row r="598" spans="6:6">
      <c r="F598" s="2423"/>
    </row>
    <row r="599" spans="6:6">
      <c r="F599" s="2423"/>
    </row>
    <row r="600" spans="6:6">
      <c r="F600" s="2423"/>
    </row>
    <row r="601" spans="6:6">
      <c r="F601" s="2423"/>
    </row>
    <row r="602" spans="6:6">
      <c r="F602" s="2423"/>
    </row>
    <row r="603" spans="6:6">
      <c r="F603" s="2423"/>
    </row>
    <row r="604" spans="6:6">
      <c r="F604" s="2423"/>
    </row>
    <row r="605" spans="6:6">
      <c r="F605" s="2423"/>
    </row>
    <row r="606" spans="6:6">
      <c r="F606" s="2423"/>
    </row>
    <row r="607" spans="6:6">
      <c r="F607" s="2423"/>
    </row>
    <row r="608" spans="6:6">
      <c r="F608" s="2423"/>
    </row>
    <row r="609" spans="6:6">
      <c r="F609" s="2423"/>
    </row>
    <row r="610" spans="6:6">
      <c r="F610" s="2423"/>
    </row>
    <row r="611" spans="6:6">
      <c r="F611" s="2423"/>
    </row>
    <row r="612" spans="6:6">
      <c r="F612" s="2423"/>
    </row>
    <row r="613" spans="6:6">
      <c r="F613" s="2423"/>
    </row>
    <row r="614" spans="6:6">
      <c r="F614" s="2423"/>
    </row>
    <row r="615" spans="6:6">
      <c r="F615" s="2423"/>
    </row>
    <row r="616" spans="6:6">
      <c r="F616" s="2423"/>
    </row>
    <row r="617" spans="6:6">
      <c r="F617" s="2423"/>
    </row>
    <row r="618" spans="6:6">
      <c r="F618" s="2423"/>
    </row>
    <row r="619" spans="6:6">
      <c r="F619" s="2423"/>
    </row>
    <row r="620" spans="6:6">
      <c r="F620" s="2423"/>
    </row>
    <row r="621" spans="6:6">
      <c r="F621" s="2423"/>
    </row>
    <row r="622" spans="6:6">
      <c r="F622" s="2423"/>
    </row>
    <row r="623" spans="6:6">
      <c r="F623" s="2423"/>
    </row>
    <row r="624" spans="6:6">
      <c r="F624" s="2423"/>
    </row>
    <row r="625" spans="6:6">
      <c r="F625" s="2423"/>
    </row>
    <row r="626" spans="6:6">
      <c r="F626" s="2423"/>
    </row>
    <row r="627" spans="6:6">
      <c r="F627" s="2423"/>
    </row>
    <row r="628" spans="6:6">
      <c r="F628" s="2423"/>
    </row>
    <row r="629" spans="6:6">
      <c r="F629" s="2423"/>
    </row>
    <row r="630" spans="6:6">
      <c r="F630" s="2423"/>
    </row>
    <row r="631" spans="6:6">
      <c r="F631" s="2423"/>
    </row>
    <row r="632" spans="6:6">
      <c r="F632" s="2423"/>
    </row>
    <row r="633" spans="6:6">
      <c r="F633" s="2423"/>
    </row>
    <row r="634" spans="6:6">
      <c r="F634" s="2423"/>
    </row>
    <row r="635" spans="6:6">
      <c r="F635" s="2423"/>
    </row>
    <row r="636" spans="6:6">
      <c r="F636" s="2423"/>
    </row>
    <row r="637" spans="6:6">
      <c r="F637" s="2423"/>
    </row>
    <row r="638" spans="6:6">
      <c r="F638" s="2423"/>
    </row>
    <row r="639" spans="6:6">
      <c r="F639" s="2423"/>
    </row>
    <row r="640" spans="6:6">
      <c r="F640" s="2423"/>
    </row>
    <row r="641" spans="6:6">
      <c r="F641" s="2423"/>
    </row>
    <row r="642" spans="6:6">
      <c r="F642" s="2423"/>
    </row>
    <row r="643" spans="6:6">
      <c r="F643" s="2423"/>
    </row>
    <row r="644" spans="6:6">
      <c r="F644" s="2423"/>
    </row>
    <row r="645" spans="6:6">
      <c r="F645" s="2423"/>
    </row>
    <row r="646" spans="6:6">
      <c r="F646" s="2423"/>
    </row>
    <row r="647" spans="6:6">
      <c r="F647" s="2423"/>
    </row>
    <row r="648" spans="6:6">
      <c r="F648" s="2423"/>
    </row>
    <row r="649" spans="6:6">
      <c r="F649" s="2423"/>
    </row>
    <row r="650" spans="6:6">
      <c r="F650" s="2423"/>
    </row>
    <row r="651" spans="6:6">
      <c r="F651" s="2423"/>
    </row>
    <row r="652" spans="6:6">
      <c r="F652" s="2423"/>
    </row>
    <row r="653" spans="6:6">
      <c r="F653" s="2423"/>
    </row>
    <row r="654" spans="6:6">
      <c r="F654" s="2423"/>
    </row>
    <row r="655" spans="6:6">
      <c r="F655" s="2423"/>
    </row>
    <row r="656" spans="6:6">
      <c r="F656" s="2423"/>
    </row>
    <row r="657" spans="6:6">
      <c r="F657" s="2423"/>
    </row>
    <row r="658" spans="6:6">
      <c r="F658" s="2423"/>
    </row>
    <row r="659" spans="6:6">
      <c r="F659" s="2423"/>
    </row>
    <row r="660" spans="6:6">
      <c r="F660" s="2423"/>
    </row>
    <row r="661" spans="6:6">
      <c r="F661" s="2423"/>
    </row>
    <row r="662" spans="6:6">
      <c r="F662" s="2423"/>
    </row>
    <row r="663" spans="6:6">
      <c r="F663" s="2423"/>
    </row>
    <row r="664" spans="6:6">
      <c r="F664" s="2423"/>
    </row>
    <row r="665" spans="6:6">
      <c r="F665" s="2423"/>
    </row>
    <row r="666" spans="6:6">
      <c r="F666" s="2423"/>
    </row>
    <row r="667" spans="6:6">
      <c r="F667" s="2423"/>
    </row>
    <row r="668" spans="6:6">
      <c r="F668" s="2423"/>
    </row>
    <row r="669" spans="6:6">
      <c r="F669" s="2423"/>
    </row>
    <row r="670" spans="6:6">
      <c r="F670" s="2423"/>
    </row>
    <row r="671" spans="6:6">
      <c r="F671" s="2423"/>
    </row>
    <row r="672" spans="6:6">
      <c r="F672" s="2423"/>
    </row>
    <row r="673" spans="6:6">
      <c r="F673" s="2423"/>
    </row>
    <row r="674" spans="6:6">
      <c r="F674" s="2423"/>
    </row>
    <row r="675" spans="6:6">
      <c r="F675" s="2423"/>
    </row>
    <row r="676" spans="6:6">
      <c r="F676" s="2423"/>
    </row>
    <row r="677" spans="6:6">
      <c r="F677" s="2423"/>
    </row>
    <row r="678" spans="6:6">
      <c r="F678" s="2423"/>
    </row>
    <row r="679" spans="6:6">
      <c r="F679" s="2423"/>
    </row>
    <row r="680" spans="6:6">
      <c r="F680" s="2423"/>
    </row>
    <row r="681" spans="6:6">
      <c r="F681" s="2423"/>
    </row>
    <row r="682" spans="6:6">
      <c r="F682" s="2423"/>
    </row>
    <row r="683" spans="6:6">
      <c r="F683" s="2423"/>
    </row>
    <row r="684" spans="6:6">
      <c r="F684" s="2423"/>
    </row>
    <row r="685" spans="6:6">
      <c r="F685" s="2423"/>
    </row>
    <row r="686" spans="6:6">
      <c r="F686" s="2423"/>
    </row>
    <row r="687" spans="6:6">
      <c r="F687" s="2423"/>
    </row>
    <row r="688" spans="6:6">
      <c r="F688" s="2423"/>
    </row>
    <row r="689" spans="6:6">
      <c r="F689" s="2423"/>
    </row>
    <row r="690" spans="6:6">
      <c r="F690" s="2423"/>
    </row>
    <row r="691" spans="6:6">
      <c r="F691" s="2423"/>
    </row>
    <row r="692" spans="6:6">
      <c r="F692" s="2423"/>
    </row>
    <row r="693" spans="6:6">
      <c r="F693" s="2423"/>
    </row>
    <row r="694" spans="6:6">
      <c r="F694" s="2423"/>
    </row>
    <row r="695" spans="6:6">
      <c r="F695" s="2423"/>
    </row>
    <row r="696" spans="6:6">
      <c r="F696" s="2423"/>
    </row>
    <row r="697" spans="6:6">
      <c r="F697" s="2423"/>
    </row>
    <row r="698" spans="6:6">
      <c r="F698" s="2423"/>
    </row>
    <row r="699" spans="6:6">
      <c r="F699" s="2423"/>
    </row>
    <row r="700" spans="6:6">
      <c r="F700" s="2423"/>
    </row>
    <row r="701" spans="6:6">
      <c r="F701" s="2423"/>
    </row>
    <row r="702" spans="6:6">
      <c r="F702" s="2423"/>
    </row>
    <row r="703" spans="6:6">
      <c r="F703" s="2423"/>
    </row>
    <row r="704" spans="6:6">
      <c r="F704" s="2423"/>
    </row>
    <row r="705" spans="6:6">
      <c r="F705" s="2423"/>
    </row>
    <row r="706" spans="6:6">
      <c r="F706" s="2423"/>
    </row>
    <row r="707" spans="6:6">
      <c r="F707" s="2423"/>
    </row>
    <row r="708" spans="6:6">
      <c r="F708" s="2423"/>
    </row>
    <row r="709" spans="6:6">
      <c r="F709" s="2423"/>
    </row>
    <row r="710" spans="6:6">
      <c r="F710" s="2423"/>
    </row>
    <row r="711" spans="6:6">
      <c r="F711" s="2423"/>
    </row>
    <row r="712" spans="6:6">
      <c r="F712" s="2423"/>
    </row>
    <row r="713" spans="6:6">
      <c r="F713" s="2423"/>
    </row>
    <row r="714" spans="6:6">
      <c r="F714" s="2423"/>
    </row>
    <row r="715" spans="6:6">
      <c r="F715" s="2423"/>
    </row>
    <row r="716" spans="6:6">
      <c r="F716" s="2423"/>
    </row>
    <row r="717" spans="6:6">
      <c r="F717" s="2423"/>
    </row>
    <row r="718" spans="6:6">
      <c r="F718" s="2423"/>
    </row>
    <row r="719" spans="6:6">
      <c r="F719" s="2423"/>
    </row>
    <row r="720" spans="6:6">
      <c r="F720" s="2423"/>
    </row>
    <row r="721" spans="6:6">
      <c r="F721" s="2423"/>
    </row>
    <row r="722" spans="6:6">
      <c r="F722" s="2423"/>
    </row>
    <row r="723" spans="6:6">
      <c r="F723" s="2423"/>
    </row>
    <row r="724" spans="6:6">
      <c r="F724" s="2423"/>
    </row>
    <row r="725" spans="6:6">
      <c r="F725" s="2423"/>
    </row>
    <row r="726" spans="6:6">
      <c r="F726" s="2423"/>
    </row>
    <row r="727" spans="6:6">
      <c r="F727" s="2423"/>
    </row>
    <row r="728" spans="6:6">
      <c r="F728" s="2423"/>
    </row>
    <row r="729" spans="6:6">
      <c r="F729" s="2423"/>
    </row>
    <row r="730" spans="6:6">
      <c r="F730" s="2423"/>
    </row>
    <row r="731" spans="6:6">
      <c r="F731" s="2423"/>
    </row>
    <row r="732" spans="6:6">
      <c r="F732" s="2423"/>
    </row>
    <row r="733" spans="6:6">
      <c r="F733" s="2423"/>
    </row>
    <row r="734" spans="6:6">
      <c r="F734" s="2423"/>
    </row>
    <row r="735" spans="6:6">
      <c r="F735" s="2423"/>
    </row>
    <row r="736" spans="6:6">
      <c r="F736" s="2423"/>
    </row>
    <row r="737" spans="6:6">
      <c r="F737" s="2423"/>
    </row>
    <row r="738" spans="6:6">
      <c r="F738" s="2423"/>
    </row>
    <row r="739" spans="6:6">
      <c r="F739" s="2423"/>
    </row>
    <row r="740" spans="6:6">
      <c r="F740" s="2423"/>
    </row>
    <row r="741" spans="6:6">
      <c r="F741" s="2423"/>
    </row>
    <row r="742" spans="6:6">
      <c r="F742" s="2423"/>
    </row>
    <row r="743" spans="6:6">
      <c r="F743" s="2423"/>
    </row>
    <row r="744" spans="6:6">
      <c r="F744" s="2423"/>
    </row>
    <row r="745" spans="6:6">
      <c r="F745" s="2423"/>
    </row>
    <row r="746" spans="6:6">
      <c r="F746" s="2423"/>
    </row>
    <row r="747" spans="6:6">
      <c r="F747" s="2423"/>
    </row>
    <row r="748" spans="6:6">
      <c r="F748" s="2423"/>
    </row>
    <row r="749" spans="6:6">
      <c r="F749" s="2423"/>
    </row>
    <row r="750" spans="6:6">
      <c r="F750" s="2423"/>
    </row>
    <row r="751" spans="6:6">
      <c r="F751" s="2423"/>
    </row>
    <row r="752" spans="6:6">
      <c r="F752" s="2423"/>
    </row>
    <row r="753" spans="6:6">
      <c r="F753" s="2423"/>
    </row>
    <row r="754" spans="6:6">
      <c r="F754" s="2423"/>
    </row>
    <row r="755" spans="6:6">
      <c r="F755" s="2423"/>
    </row>
    <row r="756" spans="6:6">
      <c r="F756" s="2423"/>
    </row>
    <row r="757" spans="6:6">
      <c r="F757" s="2423"/>
    </row>
    <row r="758" spans="6:6">
      <c r="F758" s="2423"/>
    </row>
    <row r="759" spans="6:6">
      <c r="F759" s="2423"/>
    </row>
    <row r="760" spans="6:6">
      <c r="F760" s="2423"/>
    </row>
    <row r="761" spans="6:6">
      <c r="F761" s="2423"/>
    </row>
    <row r="762" spans="6:6">
      <c r="F762" s="2423"/>
    </row>
    <row r="763" spans="6:6">
      <c r="F763" s="2423"/>
    </row>
    <row r="764" spans="6:6">
      <c r="F764" s="2423"/>
    </row>
    <row r="765" spans="6:6">
      <c r="F765" s="2423"/>
    </row>
    <row r="766" spans="6:6">
      <c r="F766" s="2423"/>
    </row>
    <row r="767" spans="6:6">
      <c r="F767" s="2423"/>
    </row>
    <row r="768" spans="6:6">
      <c r="F768" s="2423"/>
    </row>
    <row r="769" spans="6:6">
      <c r="F769" s="2423"/>
    </row>
    <row r="770" spans="6:6">
      <c r="F770" s="2423"/>
    </row>
    <row r="771" spans="6:6">
      <c r="F771" s="2423"/>
    </row>
    <row r="772" spans="6:6">
      <c r="F772" s="2423"/>
    </row>
    <row r="773" spans="6:6">
      <c r="F773" s="2423"/>
    </row>
    <row r="774" spans="6:6">
      <c r="F774" s="2423"/>
    </row>
    <row r="775" spans="6:6">
      <c r="F775" s="2423"/>
    </row>
    <row r="776" spans="6:6">
      <c r="F776" s="2423"/>
    </row>
    <row r="777" spans="6:6">
      <c r="F777" s="2423"/>
    </row>
    <row r="778" spans="6:6">
      <c r="F778" s="2423"/>
    </row>
    <row r="779" spans="6:6">
      <c r="F779" s="2423"/>
    </row>
    <row r="780" spans="6:6">
      <c r="F780" s="2423"/>
    </row>
    <row r="781" spans="6:6">
      <c r="F781" s="2423"/>
    </row>
    <row r="782" spans="6:6">
      <c r="F782" s="2423"/>
    </row>
    <row r="783" spans="6:6">
      <c r="F783" s="2423"/>
    </row>
    <row r="784" spans="6:6">
      <c r="F784" s="2423"/>
    </row>
    <row r="785" spans="6:6">
      <c r="F785" s="2423"/>
    </row>
    <row r="786" spans="6:6">
      <c r="F786" s="2423"/>
    </row>
    <row r="787" spans="6:6">
      <c r="F787" s="2423"/>
    </row>
    <row r="788" spans="6:6">
      <c r="F788" s="2423"/>
    </row>
    <row r="789" spans="6:6">
      <c r="F789" s="2423"/>
    </row>
    <row r="790" spans="6:6">
      <c r="F790" s="2423"/>
    </row>
    <row r="791" spans="6:6">
      <c r="F791" s="2423"/>
    </row>
    <row r="792" spans="6:6">
      <c r="F792" s="2423"/>
    </row>
    <row r="793" spans="6:6">
      <c r="F793" s="2423"/>
    </row>
    <row r="794" spans="6:6">
      <c r="F794" s="2423"/>
    </row>
    <row r="795" spans="6:6">
      <c r="F795" s="2423"/>
    </row>
    <row r="796" spans="6:6">
      <c r="F796" s="2423"/>
    </row>
    <row r="797" spans="6:6">
      <c r="F797" s="2423"/>
    </row>
    <row r="798" spans="6:6">
      <c r="F798" s="2423"/>
    </row>
    <row r="799" spans="6:6">
      <c r="F799" s="2423"/>
    </row>
    <row r="800" spans="6:6">
      <c r="F800" s="2423"/>
    </row>
    <row r="801" spans="6:6">
      <c r="F801" s="2423"/>
    </row>
    <row r="802" spans="6:6">
      <c r="F802" s="2423"/>
    </row>
    <row r="803" spans="6:6">
      <c r="F803" s="2423"/>
    </row>
    <row r="804" spans="6:6">
      <c r="F804" s="2423"/>
    </row>
    <row r="805" spans="6:6">
      <c r="F805" s="2423"/>
    </row>
    <row r="806" spans="6:6">
      <c r="F806" s="2423"/>
    </row>
    <row r="807" spans="6:6">
      <c r="F807" s="2423"/>
    </row>
    <row r="808" spans="6:6">
      <c r="F808" s="2423"/>
    </row>
    <row r="809" spans="6:6">
      <c r="F809" s="2423"/>
    </row>
    <row r="810" spans="6:6">
      <c r="F810" s="2423"/>
    </row>
    <row r="811" spans="6:6">
      <c r="F811" s="2423"/>
    </row>
    <row r="812" spans="6:6">
      <c r="F812" s="2423"/>
    </row>
    <row r="813" spans="6:6">
      <c r="F813" s="2423"/>
    </row>
    <row r="814" spans="6:6">
      <c r="F814" s="2423"/>
    </row>
    <row r="815" spans="6:6">
      <c r="F815" s="2423"/>
    </row>
    <row r="816" spans="6:6">
      <c r="F816" s="2423"/>
    </row>
    <row r="817" spans="6:6">
      <c r="F817" s="2423"/>
    </row>
    <row r="818" spans="6:6">
      <c r="F818" s="2423"/>
    </row>
    <row r="819" spans="6:6">
      <c r="F819" s="2423"/>
    </row>
    <row r="820" spans="6:6">
      <c r="F820" s="2423"/>
    </row>
    <row r="821" spans="6:6">
      <c r="F821" s="2423"/>
    </row>
    <row r="822" spans="6:6">
      <c r="F822" s="2423"/>
    </row>
    <row r="823" spans="6:6">
      <c r="F823" s="2423"/>
    </row>
    <row r="824" spans="6:6">
      <c r="F824" s="2423"/>
    </row>
    <row r="825" spans="6:6">
      <c r="F825" s="2423"/>
    </row>
    <row r="826" spans="6:6">
      <c r="F826" s="2423"/>
    </row>
    <row r="827" spans="6:6">
      <c r="F827" s="2423"/>
    </row>
    <row r="828" spans="6:6">
      <c r="F828" s="2423"/>
    </row>
    <row r="829" spans="6:6">
      <c r="F829" s="2423"/>
    </row>
    <row r="830" spans="6:6">
      <c r="F830" s="2423"/>
    </row>
    <row r="831" spans="6:6">
      <c r="F831" s="2423"/>
    </row>
    <row r="832" spans="6:6">
      <c r="F832" s="2423"/>
    </row>
    <row r="833" spans="6:6">
      <c r="F833" s="2423"/>
    </row>
    <row r="834" spans="6:6">
      <c r="F834" s="2423"/>
    </row>
    <row r="835" spans="6:6">
      <c r="F835" s="2423"/>
    </row>
    <row r="836" spans="6:6">
      <c r="F836" s="2423"/>
    </row>
    <row r="837" spans="6:6">
      <c r="F837" s="2423"/>
    </row>
    <row r="838" spans="6:6">
      <c r="F838" s="2423"/>
    </row>
    <row r="839" spans="6:6">
      <c r="F839" s="2423"/>
    </row>
    <row r="840" spans="6:6">
      <c r="F840" s="2423"/>
    </row>
    <row r="841" spans="6:6">
      <c r="F841" s="2423"/>
    </row>
    <row r="842" spans="6:6">
      <c r="F842" s="2423"/>
    </row>
    <row r="843" spans="6:6">
      <c r="F843" s="2423"/>
    </row>
    <row r="844" spans="6:6">
      <c r="F844" s="2423"/>
    </row>
    <row r="845" spans="6:6">
      <c r="F845" s="2423"/>
    </row>
    <row r="846" spans="6:6">
      <c r="F846" s="2423"/>
    </row>
    <row r="847" spans="6:6">
      <c r="F847" s="2423"/>
    </row>
    <row r="848" spans="6:6">
      <c r="F848" s="2423"/>
    </row>
    <row r="849" spans="6:6">
      <c r="F849" s="2423"/>
    </row>
    <row r="850" spans="6:6">
      <c r="F850" s="2423"/>
    </row>
    <row r="851" spans="6:6">
      <c r="F851" s="2423"/>
    </row>
    <row r="852" spans="6:6">
      <c r="F852" s="2423"/>
    </row>
    <row r="853" spans="6:6">
      <c r="F853" s="2423"/>
    </row>
    <row r="854" spans="6:6">
      <c r="F854" s="2423"/>
    </row>
    <row r="855" spans="6:6">
      <c r="F855" s="2423"/>
    </row>
    <row r="856" spans="6:6">
      <c r="F856" s="2423"/>
    </row>
    <row r="857" spans="6:6">
      <c r="F857" s="2423"/>
    </row>
    <row r="858" spans="6:6">
      <c r="F858" s="2423"/>
    </row>
    <row r="859" spans="6:6">
      <c r="F859" s="2423"/>
    </row>
    <row r="860" spans="6:6">
      <c r="F860" s="2423"/>
    </row>
    <row r="861" spans="6:6">
      <c r="F861" s="2423"/>
    </row>
    <row r="862" spans="6:6">
      <c r="F862" s="2423"/>
    </row>
    <row r="863" spans="6:6">
      <c r="F863" s="2423"/>
    </row>
    <row r="864" spans="6:6">
      <c r="F864" s="2423"/>
    </row>
    <row r="865" spans="6:6">
      <c r="F865" s="2423"/>
    </row>
    <row r="866" spans="6:6">
      <c r="F866" s="2423"/>
    </row>
    <row r="867" spans="6:6">
      <c r="F867" s="2423"/>
    </row>
    <row r="868" spans="6:6">
      <c r="F868" s="2423"/>
    </row>
    <row r="869" spans="6:6">
      <c r="F869" s="2423"/>
    </row>
    <row r="870" spans="6:6">
      <c r="F870" s="2423"/>
    </row>
    <row r="871" spans="6:6">
      <c r="F871" s="2423"/>
    </row>
    <row r="872" spans="6:6">
      <c r="F872" s="2423"/>
    </row>
    <row r="873" spans="6:6">
      <c r="F873" s="2423"/>
    </row>
    <row r="874" spans="6:6">
      <c r="F874" s="2423"/>
    </row>
    <row r="875" spans="6:6">
      <c r="F875" s="2423"/>
    </row>
    <row r="876" spans="6:6">
      <c r="F876" s="2423"/>
    </row>
    <row r="877" spans="6:6">
      <c r="F877" s="2423"/>
    </row>
    <row r="878" spans="6:6">
      <c r="F878" s="2423"/>
    </row>
    <row r="879" spans="6:6">
      <c r="F879" s="2423"/>
    </row>
    <row r="880" spans="6:6">
      <c r="F880" s="2423"/>
    </row>
    <row r="881" spans="6:6">
      <c r="F881" s="2423"/>
    </row>
    <row r="882" spans="6:6">
      <c r="F882" s="2423"/>
    </row>
    <row r="883" spans="6:6">
      <c r="F883" s="2423"/>
    </row>
    <row r="884" spans="6:6">
      <c r="F884" s="2423"/>
    </row>
    <row r="885" spans="6:6">
      <c r="F885" s="2423"/>
    </row>
    <row r="886" spans="6:6">
      <c r="F886" s="2423"/>
    </row>
    <row r="887" spans="6:6">
      <c r="F887" s="2423"/>
    </row>
    <row r="888" spans="6:6">
      <c r="F888" s="2423"/>
    </row>
    <row r="889" spans="6:6">
      <c r="F889" s="2423"/>
    </row>
    <row r="890" spans="6:6">
      <c r="F890" s="2423"/>
    </row>
    <row r="891" spans="6:6">
      <c r="F891" s="2423"/>
    </row>
    <row r="892" spans="6:6">
      <c r="F892" s="2423"/>
    </row>
    <row r="893" spans="6:6">
      <c r="F893" s="2423"/>
    </row>
    <row r="894" spans="6:6">
      <c r="F894" s="2423"/>
    </row>
    <row r="895" spans="6:6">
      <c r="F895" s="2423"/>
    </row>
    <row r="896" spans="6:6">
      <c r="F896" s="2423"/>
    </row>
    <row r="897" spans="6:6">
      <c r="F897" s="2423"/>
    </row>
    <row r="898" spans="6:6">
      <c r="F898" s="2423"/>
    </row>
    <row r="899" spans="6:6">
      <c r="F899" s="2423"/>
    </row>
    <row r="900" spans="6:6">
      <c r="F900" s="2423"/>
    </row>
    <row r="901" spans="6:6">
      <c r="F901" s="2423"/>
    </row>
    <row r="902" spans="6:6">
      <c r="F902" s="2423"/>
    </row>
    <row r="903" spans="6:6">
      <c r="F903" s="2423"/>
    </row>
    <row r="904" spans="6:6">
      <c r="F904" s="2423"/>
    </row>
    <row r="905" spans="6:6">
      <c r="F905" s="2423"/>
    </row>
    <row r="906" spans="6:6">
      <c r="F906" s="2423"/>
    </row>
    <row r="907" spans="6:6">
      <c r="F907" s="2423"/>
    </row>
    <row r="908" spans="6:6">
      <c r="F908" s="2423"/>
    </row>
    <row r="909" spans="6:6">
      <c r="F909" s="2423"/>
    </row>
    <row r="910" spans="6:6">
      <c r="F910" s="2423"/>
    </row>
    <row r="911" spans="6:6">
      <c r="F911" s="2423"/>
    </row>
    <row r="912" spans="6:6">
      <c r="F912" s="2423"/>
    </row>
    <row r="913" spans="6:6">
      <c r="F913" s="2423"/>
    </row>
    <row r="914" spans="6:6">
      <c r="F914" s="2423"/>
    </row>
    <row r="915" spans="6:6">
      <c r="F915" s="2423"/>
    </row>
    <row r="916" spans="6:6">
      <c r="F916" s="2423"/>
    </row>
    <row r="917" spans="6:6">
      <c r="F917" s="2423"/>
    </row>
    <row r="918" spans="6:6">
      <c r="F918" s="2423"/>
    </row>
    <row r="919" spans="6:6">
      <c r="F919" s="2423"/>
    </row>
    <row r="920" spans="6:6">
      <c r="F920" s="2423"/>
    </row>
    <row r="921" spans="6:6">
      <c r="F921" s="2423"/>
    </row>
    <row r="922" spans="6:6">
      <c r="F922" s="2423"/>
    </row>
    <row r="923" spans="6:6">
      <c r="F923" s="2423"/>
    </row>
    <row r="924" spans="6:6">
      <c r="F924" s="2423"/>
    </row>
    <row r="925" spans="6:6">
      <c r="F925" s="2423"/>
    </row>
    <row r="926" spans="6:6">
      <c r="F926" s="2423"/>
    </row>
    <row r="927" spans="6:6">
      <c r="F927" s="2423"/>
    </row>
    <row r="928" spans="6:6">
      <c r="F928" s="2423"/>
    </row>
    <row r="929" spans="6:6">
      <c r="F929" s="2423"/>
    </row>
    <row r="930" spans="6:6">
      <c r="F930" s="2423"/>
    </row>
    <row r="931" spans="6:6">
      <c r="F931" s="2423"/>
    </row>
    <row r="932" spans="6:6">
      <c r="F932" s="2423"/>
    </row>
    <row r="933" spans="6:6">
      <c r="F933" s="2423"/>
    </row>
    <row r="934" spans="6:6">
      <c r="F934" s="2423"/>
    </row>
    <row r="935" spans="6:6">
      <c r="F935" s="2423"/>
    </row>
    <row r="936" spans="6:6">
      <c r="F936" s="2423"/>
    </row>
    <row r="937" spans="6:6">
      <c r="F937" s="2423"/>
    </row>
    <row r="938" spans="6:6">
      <c r="F938" s="2423"/>
    </row>
    <row r="939" spans="6:6">
      <c r="F939" s="2423"/>
    </row>
    <row r="940" spans="6:6">
      <c r="F940" s="2423"/>
    </row>
    <row r="941" spans="6:6">
      <c r="F941" s="2423"/>
    </row>
    <row r="942" spans="6:6">
      <c r="F942" s="2423"/>
    </row>
    <row r="943" spans="6:6">
      <c r="F943" s="2423"/>
    </row>
    <row r="944" spans="6:6">
      <c r="F944" s="2423"/>
    </row>
    <row r="945" spans="6:6">
      <c r="F945" s="2423"/>
    </row>
    <row r="946" spans="6:6">
      <c r="F946" s="2423"/>
    </row>
    <row r="947" spans="6:6">
      <c r="F947" s="2423"/>
    </row>
    <row r="948" spans="6:6">
      <c r="F948" s="2423"/>
    </row>
    <row r="949" spans="6:6">
      <c r="F949" s="2423"/>
    </row>
    <row r="950" spans="6:6">
      <c r="F950" s="2423"/>
    </row>
    <row r="951" spans="6:6">
      <c r="F951" s="2423"/>
    </row>
    <row r="952" spans="6:6">
      <c r="F952" s="2423"/>
    </row>
    <row r="953" spans="6:6">
      <c r="F953" s="2423"/>
    </row>
    <row r="954" spans="6:6">
      <c r="F954" s="2423"/>
    </row>
    <row r="955" spans="6:6">
      <c r="F955" s="2423"/>
    </row>
    <row r="956" spans="6:6">
      <c r="F956" s="2423"/>
    </row>
    <row r="957" spans="6:6">
      <c r="F957" s="2423"/>
    </row>
    <row r="958" spans="6:6">
      <c r="F958" s="2423"/>
    </row>
    <row r="959" spans="6:6">
      <c r="F959" s="2423"/>
    </row>
    <row r="960" spans="6:6">
      <c r="F960" s="2423"/>
    </row>
    <row r="961" spans="6:6">
      <c r="F961" s="2423"/>
    </row>
    <row r="962" spans="6:6">
      <c r="F962" s="2423"/>
    </row>
    <row r="963" spans="6:6">
      <c r="F963" s="2423"/>
    </row>
    <row r="964" spans="6:6">
      <c r="F964" s="2423"/>
    </row>
    <row r="965" spans="6:6">
      <c r="F965" s="2423"/>
    </row>
    <row r="966" spans="6:6">
      <c r="F966" s="2423"/>
    </row>
    <row r="967" spans="6:6">
      <c r="F967" s="2423"/>
    </row>
    <row r="968" spans="6:6">
      <c r="F968" s="2423"/>
    </row>
    <row r="969" spans="6:6">
      <c r="F969" s="2423"/>
    </row>
    <row r="970" spans="6:6">
      <c r="F970" s="2423"/>
    </row>
    <row r="971" spans="6:6">
      <c r="F971" s="2423"/>
    </row>
    <row r="972" spans="6:6">
      <c r="F972" s="2423"/>
    </row>
    <row r="973" spans="6:6">
      <c r="F973" s="2423"/>
    </row>
    <row r="974" spans="6:6">
      <c r="F974" s="2423"/>
    </row>
    <row r="975" spans="6:6">
      <c r="F975" s="2423"/>
    </row>
    <row r="976" spans="6:6">
      <c r="F976" s="2423"/>
    </row>
    <row r="977" spans="6:6">
      <c r="F977" s="2423"/>
    </row>
    <row r="978" spans="6:6">
      <c r="F978" s="2423"/>
    </row>
    <row r="979" spans="6:6">
      <c r="F979" s="2423"/>
    </row>
    <row r="980" spans="6:6">
      <c r="F980" s="2423"/>
    </row>
    <row r="981" spans="6:6">
      <c r="F981" s="2423"/>
    </row>
    <row r="982" spans="6:6">
      <c r="F982" s="2423"/>
    </row>
    <row r="983" spans="6:6">
      <c r="F983" s="2423"/>
    </row>
    <row r="984" spans="6:6">
      <c r="F984" s="2423"/>
    </row>
    <row r="985" spans="6:6">
      <c r="F985" s="2423"/>
    </row>
    <row r="986" spans="6:6">
      <c r="F986" s="2423"/>
    </row>
    <row r="987" spans="6:6">
      <c r="F987" s="2423"/>
    </row>
    <row r="988" spans="6:6">
      <c r="F988" s="2423"/>
    </row>
    <row r="989" spans="6:6">
      <c r="F989" s="2423"/>
    </row>
    <row r="990" spans="6:6">
      <c r="F990" s="2423"/>
    </row>
    <row r="991" spans="6:6">
      <c r="F991" s="2423"/>
    </row>
    <row r="992" spans="6:6">
      <c r="F992" s="2423"/>
    </row>
    <row r="993" spans="6:6">
      <c r="F993" s="2423"/>
    </row>
    <row r="994" spans="6:6">
      <c r="F994" s="2423"/>
    </row>
    <row r="995" spans="6:6">
      <c r="F995" s="2423"/>
    </row>
    <row r="996" spans="6:6">
      <c r="F996" s="2423"/>
    </row>
    <row r="997" spans="6:6">
      <c r="F997" s="2423"/>
    </row>
    <row r="998" spans="6:6">
      <c r="F998" s="2423"/>
    </row>
    <row r="999" spans="6:6">
      <c r="F999" s="2423"/>
    </row>
    <row r="1000" spans="6:6">
      <c r="F1000" s="2423"/>
    </row>
    <row r="1001" spans="6:6">
      <c r="F1001" s="2423"/>
    </row>
    <row r="1002" spans="6:6">
      <c r="F1002" s="2423"/>
    </row>
    <row r="1003" spans="6:6">
      <c r="F1003" s="2423"/>
    </row>
    <row r="1004" spans="6:6">
      <c r="F1004" s="2423"/>
    </row>
    <row r="1005" spans="6:6">
      <c r="F1005" s="2423"/>
    </row>
    <row r="1006" spans="6:6">
      <c r="F1006" s="2423"/>
    </row>
    <row r="1007" spans="6:6">
      <c r="F1007" s="2423"/>
    </row>
    <row r="1008" spans="6:6">
      <c r="F1008" s="2423"/>
    </row>
    <row r="1009" spans="6:6">
      <c r="F1009" s="2423"/>
    </row>
    <row r="1010" spans="6:6">
      <c r="F1010" s="2423"/>
    </row>
    <row r="1011" spans="6:6">
      <c r="F1011" s="2423"/>
    </row>
    <row r="1012" spans="6:6">
      <c r="F1012" s="2423"/>
    </row>
    <row r="1013" spans="6:6">
      <c r="F1013" s="2423"/>
    </row>
    <row r="1014" spans="6:6">
      <c r="F1014" s="2423"/>
    </row>
    <row r="1015" spans="6:6">
      <c r="F1015" s="2423"/>
    </row>
    <row r="1016" spans="6:6">
      <c r="F1016" s="2423"/>
    </row>
    <row r="1017" spans="6:6">
      <c r="F1017" s="2423"/>
    </row>
    <row r="1018" spans="6:6">
      <c r="F1018" s="2423"/>
    </row>
    <row r="1019" spans="6:6">
      <c r="F1019" s="2423"/>
    </row>
    <row r="1020" spans="6:6">
      <c r="F1020" s="2423"/>
    </row>
    <row r="1021" spans="6:6">
      <c r="F1021" s="2423"/>
    </row>
    <row r="1022" spans="6:6">
      <c r="F1022" s="2423"/>
    </row>
    <row r="1023" spans="6:6">
      <c r="F1023" s="2423"/>
    </row>
    <row r="1024" spans="6:6">
      <c r="F1024" s="2423"/>
    </row>
    <row r="1025" spans="6:6">
      <c r="F1025" s="2423"/>
    </row>
    <row r="1026" spans="6:6">
      <c r="F1026" s="2423"/>
    </row>
    <row r="1027" spans="6:6">
      <c r="F1027" s="2423"/>
    </row>
    <row r="1028" spans="6:6">
      <c r="F1028" s="2423"/>
    </row>
    <row r="1029" spans="6:6">
      <c r="F1029" s="2423"/>
    </row>
    <row r="1030" spans="6:6">
      <c r="F1030" s="2423"/>
    </row>
    <row r="1031" spans="6:6">
      <c r="F1031" s="2423"/>
    </row>
    <row r="1032" spans="6:6">
      <c r="F1032" s="2423"/>
    </row>
    <row r="1033" spans="6:6">
      <c r="F1033" s="2423"/>
    </row>
    <row r="1034" spans="6:6">
      <c r="F1034" s="2423"/>
    </row>
    <row r="1035" spans="6:6">
      <c r="F1035" s="2423"/>
    </row>
    <row r="1036" spans="6:6">
      <c r="F1036" s="2423"/>
    </row>
    <row r="1037" spans="6:6">
      <c r="F1037" s="2423"/>
    </row>
    <row r="1038" spans="6:6">
      <c r="F1038" s="2423"/>
    </row>
    <row r="1039" spans="6:6">
      <c r="F1039" s="2423"/>
    </row>
    <row r="1040" spans="6:6">
      <c r="F1040" s="2423"/>
    </row>
    <row r="1041" spans="6:6">
      <c r="F1041" s="2423"/>
    </row>
    <row r="1042" spans="6:6">
      <c r="F1042" s="2423"/>
    </row>
    <row r="1043" spans="6:6">
      <c r="F1043" s="2423"/>
    </row>
    <row r="1044" spans="6:6">
      <c r="F1044" s="2423"/>
    </row>
    <row r="1045" spans="6:6">
      <c r="F1045" s="2423"/>
    </row>
    <row r="1046" spans="6:6">
      <c r="F1046" s="2423"/>
    </row>
    <row r="1047" spans="6:6">
      <c r="F1047" s="2423"/>
    </row>
    <row r="1048" spans="6:6">
      <c r="F1048" s="2423"/>
    </row>
    <row r="1049" spans="6:6">
      <c r="F1049" s="2423"/>
    </row>
    <row r="1050" spans="6:6">
      <c r="F1050" s="2423"/>
    </row>
    <row r="1051" spans="6:6">
      <c r="F1051" s="2423"/>
    </row>
    <row r="1052" spans="6:6">
      <c r="F1052" s="2423"/>
    </row>
    <row r="1053" spans="6:6">
      <c r="F1053" s="2423"/>
    </row>
    <row r="1054" spans="6:6">
      <c r="F1054" s="2423"/>
    </row>
    <row r="1055" spans="6:6">
      <c r="F1055" s="2423"/>
    </row>
    <row r="1056" spans="6:6">
      <c r="F1056" s="2423"/>
    </row>
    <row r="1057" spans="6:6">
      <c r="F1057" s="2423"/>
    </row>
    <row r="1058" spans="6:6">
      <c r="F1058" s="2423"/>
    </row>
    <row r="1059" spans="6:6">
      <c r="F1059" s="2423"/>
    </row>
    <row r="1060" spans="6:6">
      <c r="F1060" s="2423"/>
    </row>
    <row r="1061" spans="6:6">
      <c r="F1061" s="2423"/>
    </row>
    <row r="1062" spans="6:6">
      <c r="F1062" s="2423"/>
    </row>
    <row r="1063" spans="6:6">
      <c r="F1063" s="2423"/>
    </row>
    <row r="1064" spans="6:6">
      <c r="F1064" s="2423"/>
    </row>
    <row r="1065" spans="6:6">
      <c r="F1065" s="2423"/>
    </row>
    <row r="1066" spans="6:6">
      <c r="F1066" s="2423"/>
    </row>
    <row r="1067" spans="6:6">
      <c r="F1067" s="2423"/>
    </row>
    <row r="1068" spans="6:6">
      <c r="F1068" s="2423"/>
    </row>
    <row r="1069" spans="6:6">
      <c r="F1069" s="2423"/>
    </row>
    <row r="1070" spans="6:6">
      <c r="F1070" s="2423"/>
    </row>
    <row r="1071" spans="6:6">
      <c r="F1071" s="2423"/>
    </row>
    <row r="1072" spans="6:6">
      <c r="F1072" s="2423"/>
    </row>
    <row r="1073" spans="6:6">
      <c r="F1073" s="2423"/>
    </row>
    <row r="1074" spans="6:6">
      <c r="F1074" s="2423"/>
    </row>
    <row r="1075" spans="6:6">
      <c r="F1075" s="2423"/>
    </row>
    <row r="1076" spans="6:6">
      <c r="F1076" s="2423"/>
    </row>
    <row r="1077" spans="6:6">
      <c r="F1077" s="2423"/>
    </row>
    <row r="1078" spans="6:6">
      <c r="F1078" s="2423"/>
    </row>
    <row r="1079" spans="6:6">
      <c r="F1079" s="2423"/>
    </row>
    <row r="1080" spans="6:6">
      <c r="F1080" s="2423"/>
    </row>
    <row r="1081" spans="6:6">
      <c r="F1081" s="2423"/>
    </row>
    <row r="1082" spans="6:6">
      <c r="F1082" s="2423"/>
    </row>
    <row r="1083" spans="6:6">
      <c r="F1083" s="2423"/>
    </row>
    <row r="1084" spans="6:6">
      <c r="F1084" s="2423"/>
    </row>
    <row r="1085" spans="6:6">
      <c r="F1085" s="2423"/>
    </row>
    <row r="1086" spans="6:6">
      <c r="F1086" s="2423"/>
    </row>
    <row r="1087" spans="6:6">
      <c r="F1087" s="2423"/>
    </row>
    <row r="1088" spans="6:6">
      <c r="F1088" s="2423"/>
    </row>
    <row r="1089" spans="6:6">
      <c r="F1089" s="2423"/>
    </row>
    <row r="1090" spans="6:6">
      <c r="F1090" s="2423"/>
    </row>
    <row r="1091" spans="6:6">
      <c r="F1091" s="2423"/>
    </row>
    <row r="1092" spans="6:6">
      <c r="F1092" s="2423"/>
    </row>
    <row r="1093" spans="6:6">
      <c r="F1093" s="2423"/>
    </row>
    <row r="1094" spans="6:6">
      <c r="F1094" s="2423"/>
    </row>
    <row r="1095" spans="6:6">
      <c r="F1095" s="2423"/>
    </row>
    <row r="1096" spans="6:6">
      <c r="F1096" s="2423"/>
    </row>
    <row r="1097" spans="6:6">
      <c r="F1097" s="2423"/>
    </row>
    <row r="1098" spans="6:6">
      <c r="F1098" s="2423"/>
    </row>
    <row r="1099" spans="6:6">
      <c r="F1099" s="2423"/>
    </row>
    <row r="1100" spans="6:6">
      <c r="F1100" s="2423"/>
    </row>
    <row r="1101" spans="6:6">
      <c r="F1101" s="2423"/>
    </row>
    <row r="1102" spans="6:6">
      <c r="F1102" s="2423"/>
    </row>
    <row r="1103" spans="6:6">
      <c r="F1103" s="2423"/>
    </row>
    <row r="1104" spans="6:6">
      <c r="F1104" s="2423"/>
    </row>
    <row r="1105" spans="6:6">
      <c r="F1105" s="2423"/>
    </row>
    <row r="1106" spans="6:6">
      <c r="F1106" s="2423"/>
    </row>
    <row r="1107" spans="6:6">
      <c r="F1107" s="2423"/>
    </row>
    <row r="1108" spans="6:6">
      <c r="F1108" s="2423"/>
    </row>
    <row r="1109" spans="6:6">
      <c r="F1109" s="2423"/>
    </row>
    <row r="1110" spans="6:6">
      <c r="F1110" s="2423"/>
    </row>
    <row r="1111" spans="6:6">
      <c r="F1111" s="2423"/>
    </row>
    <row r="1112" spans="6:6">
      <c r="F1112" s="2423"/>
    </row>
    <row r="1113" spans="6:6">
      <c r="F1113" s="2423"/>
    </row>
    <row r="1114" spans="6:6">
      <c r="F1114" s="2423"/>
    </row>
    <row r="1115" spans="6:6">
      <c r="F1115" s="2423"/>
    </row>
    <row r="1116" spans="6:6">
      <c r="F1116" s="2423"/>
    </row>
    <row r="1117" spans="6:6">
      <c r="F1117" s="2423"/>
    </row>
    <row r="1118" spans="6:6">
      <c r="F1118" s="2423"/>
    </row>
    <row r="1119" spans="6:6">
      <c r="F1119" s="2423"/>
    </row>
    <row r="1120" spans="6:6">
      <c r="F1120" s="2423"/>
    </row>
    <row r="1121" spans="6:6">
      <c r="F1121" s="2423"/>
    </row>
    <row r="1122" spans="6:6">
      <c r="F1122" s="2423"/>
    </row>
    <row r="1123" spans="6:6">
      <c r="F1123" s="2423"/>
    </row>
    <row r="1124" spans="6:6">
      <c r="F1124" s="2423"/>
    </row>
    <row r="1125" spans="6:6">
      <c r="F1125" s="2423"/>
    </row>
    <row r="1126" spans="6:6">
      <c r="F1126" s="2423"/>
    </row>
    <row r="1127" spans="6:6">
      <c r="F1127" s="2423"/>
    </row>
    <row r="1128" spans="6:6">
      <c r="F1128" s="2423"/>
    </row>
    <row r="1129" spans="6:6">
      <c r="F1129" s="2423"/>
    </row>
    <row r="1130" spans="6:6">
      <c r="F1130" s="2423"/>
    </row>
    <row r="1131" spans="6:6">
      <c r="F1131" s="2423"/>
    </row>
    <row r="1132" spans="6:6">
      <c r="F1132" s="2423"/>
    </row>
    <row r="1133" spans="6:6">
      <c r="F1133" s="2423"/>
    </row>
    <row r="1134" spans="6:6">
      <c r="F1134" s="2423"/>
    </row>
    <row r="1135" spans="6:6">
      <c r="F1135" s="2423"/>
    </row>
    <row r="1136" spans="6:6">
      <c r="F1136" s="2423"/>
    </row>
    <row r="1137" spans="6:6">
      <c r="F1137" s="2423"/>
    </row>
    <row r="1138" spans="6:6">
      <c r="F1138" s="2423"/>
    </row>
    <row r="1139" spans="6:6">
      <c r="F1139" s="2423"/>
    </row>
    <row r="1140" spans="6:6">
      <c r="F1140" s="2423"/>
    </row>
    <row r="1141" spans="6:6">
      <c r="F1141" s="2423"/>
    </row>
    <row r="1142" spans="6:6">
      <c r="F1142" s="2423"/>
    </row>
    <row r="1143" spans="6:6">
      <c r="F1143" s="2423"/>
    </row>
    <row r="1144" spans="6:6">
      <c r="F1144" s="2423"/>
    </row>
    <row r="1145" spans="6:6">
      <c r="F1145" s="2423"/>
    </row>
    <row r="1146" spans="6:6">
      <c r="F1146" s="2423"/>
    </row>
    <row r="1147" spans="6:6">
      <c r="F1147" s="2423"/>
    </row>
    <row r="1148" spans="6:6">
      <c r="F1148" s="2423"/>
    </row>
    <row r="1149" spans="6:6">
      <c r="F1149" s="2423"/>
    </row>
    <row r="1150" spans="6:6">
      <c r="F1150" s="2423"/>
    </row>
    <row r="1151" spans="6:6">
      <c r="F1151" s="2423"/>
    </row>
    <row r="1152" spans="6:6">
      <c r="F1152" s="2423"/>
    </row>
    <row r="1153" spans="6:6">
      <c r="F1153" s="2423"/>
    </row>
    <row r="1154" spans="6:6">
      <c r="F1154" s="2423"/>
    </row>
    <row r="1155" spans="6:6">
      <c r="F1155" s="2423"/>
    </row>
    <row r="1156" spans="6:6">
      <c r="F1156" s="2423"/>
    </row>
    <row r="1157" spans="6:6">
      <c r="F1157" s="2423"/>
    </row>
    <row r="1158" spans="6:6">
      <c r="F1158" s="2423"/>
    </row>
    <row r="1159" spans="6:6">
      <c r="F1159" s="2423"/>
    </row>
    <row r="1160" spans="6:6">
      <c r="F1160" s="2423"/>
    </row>
    <row r="1161" spans="6:6">
      <c r="F1161" s="2423"/>
    </row>
    <row r="1162" spans="6:6">
      <c r="F1162" s="2423"/>
    </row>
    <row r="1163" spans="6:6">
      <c r="F1163" s="2423"/>
    </row>
    <row r="1164" spans="6:6">
      <c r="F1164" s="2423"/>
    </row>
    <row r="1165" spans="6:6">
      <c r="F1165" s="2423"/>
    </row>
    <row r="1166" spans="6:6">
      <c r="F1166" s="2423"/>
    </row>
    <row r="1167" spans="6:6">
      <c r="F1167" s="2423"/>
    </row>
    <row r="1168" spans="6:6">
      <c r="F1168" s="2423"/>
    </row>
    <row r="1169" spans="6:6">
      <c r="F1169" s="2423"/>
    </row>
    <row r="1170" spans="6:6">
      <c r="F1170" s="2423"/>
    </row>
    <row r="1171" spans="6:6">
      <c r="F1171" s="2423"/>
    </row>
    <row r="1172" spans="6:6">
      <c r="F1172" s="2423"/>
    </row>
    <row r="1173" spans="6:6">
      <c r="F1173" s="2423"/>
    </row>
    <row r="1174" spans="6:6">
      <c r="F1174" s="2423"/>
    </row>
    <row r="1175" spans="6:6">
      <c r="F1175" s="2423"/>
    </row>
    <row r="1176" spans="6:6">
      <c r="F1176" s="2423"/>
    </row>
    <row r="1177" spans="6:6">
      <c r="F1177" s="2423"/>
    </row>
    <row r="1178" spans="6:6">
      <c r="F1178" s="2423"/>
    </row>
    <row r="1179" spans="6:6">
      <c r="F1179" s="2423"/>
    </row>
    <row r="1180" spans="6:6">
      <c r="F1180" s="2423"/>
    </row>
    <row r="1181" spans="6:6">
      <c r="F1181" s="2423"/>
    </row>
    <row r="1182" spans="6:6">
      <c r="F1182" s="2423"/>
    </row>
    <row r="1183" spans="6:6">
      <c r="F1183" s="2423"/>
    </row>
    <row r="1184" spans="6:6">
      <c r="F1184" s="2423"/>
    </row>
    <row r="1185" spans="6:6">
      <c r="F1185" s="2423"/>
    </row>
    <row r="1186" spans="6:6">
      <c r="F1186" s="2423"/>
    </row>
    <row r="1187" spans="6:6">
      <c r="F1187" s="2423"/>
    </row>
    <row r="1188" spans="6:6">
      <c r="F1188" s="2423"/>
    </row>
    <row r="1189" spans="6:6">
      <c r="F1189" s="2423"/>
    </row>
    <row r="1190" spans="6:6">
      <c r="F1190" s="2423"/>
    </row>
    <row r="1191" spans="6:6">
      <c r="F1191" s="2423"/>
    </row>
    <row r="1192" spans="6:6">
      <c r="F1192" s="2423"/>
    </row>
    <row r="1193" spans="6:6">
      <c r="F1193" s="2423"/>
    </row>
    <row r="1194" spans="6:6">
      <c r="F1194" s="2423"/>
    </row>
    <row r="1195" spans="6:6">
      <c r="F1195" s="2423"/>
    </row>
    <row r="1196" spans="6:6">
      <c r="F1196" s="2423"/>
    </row>
    <row r="1197" spans="6:6">
      <c r="F1197" s="2423"/>
    </row>
    <row r="1198" spans="6:6">
      <c r="F1198" s="2423"/>
    </row>
    <row r="1199" spans="6:6">
      <c r="F1199" s="2423"/>
    </row>
    <row r="1200" spans="6:6">
      <c r="F1200" s="2423"/>
    </row>
    <row r="1201" spans="6:6">
      <c r="F1201" s="2423"/>
    </row>
    <row r="1202" spans="6:6">
      <c r="F1202" s="2423"/>
    </row>
    <row r="1203" spans="6:6">
      <c r="F1203" s="2423"/>
    </row>
    <row r="1204" spans="6:6">
      <c r="F1204" s="2423"/>
    </row>
    <row r="1205" spans="6:6">
      <c r="F1205" s="2423"/>
    </row>
    <row r="1206" spans="6:6">
      <c r="F1206" s="2423"/>
    </row>
    <row r="1207" spans="6:6">
      <c r="F1207" s="2423"/>
    </row>
    <row r="1208" spans="6:6">
      <c r="F1208" s="2423"/>
    </row>
    <row r="1209" spans="6:6">
      <c r="F1209" s="2423"/>
    </row>
    <row r="1210" spans="6:6">
      <c r="F1210" s="2423"/>
    </row>
    <row r="1211" spans="6:6">
      <c r="F1211" s="2423"/>
    </row>
    <row r="1212" spans="6:6">
      <c r="F1212" s="2423"/>
    </row>
    <row r="1213" spans="6:6">
      <c r="F1213" s="2423"/>
    </row>
    <row r="1214" spans="6:6">
      <c r="F1214" s="2423"/>
    </row>
    <row r="1215" spans="6:6">
      <c r="F1215" s="2423"/>
    </row>
    <row r="1216" spans="6:6">
      <c r="F1216" s="2423"/>
    </row>
    <row r="1217" spans="6:6">
      <c r="F1217" s="2423"/>
    </row>
    <row r="1218" spans="6:6">
      <c r="F1218" s="2423"/>
    </row>
    <row r="1219" spans="6:6">
      <c r="F1219" s="2423"/>
    </row>
    <row r="1220" spans="6:6">
      <c r="F1220" s="2423"/>
    </row>
    <row r="1221" spans="6:6">
      <c r="F1221" s="2423"/>
    </row>
    <row r="1222" spans="6:6">
      <c r="F1222" s="2423"/>
    </row>
    <row r="1223" spans="6:6">
      <c r="F1223" s="2423"/>
    </row>
    <row r="1224" spans="6:6">
      <c r="F1224" s="2423"/>
    </row>
    <row r="1225" spans="6:6">
      <c r="F1225" s="2423"/>
    </row>
    <row r="1226" spans="6:6">
      <c r="F1226" s="2423"/>
    </row>
    <row r="1227" spans="6:6">
      <c r="F1227" s="2423"/>
    </row>
    <row r="1228" spans="6:6">
      <c r="F1228" s="2423"/>
    </row>
    <row r="1229" spans="6:6">
      <c r="F1229" s="2423"/>
    </row>
    <row r="1230" spans="6:6">
      <c r="F1230" s="2423"/>
    </row>
    <row r="1231" spans="6:6">
      <c r="F1231" s="2423"/>
    </row>
    <row r="1232" spans="6:6">
      <c r="F1232" s="2423"/>
    </row>
    <row r="1233" spans="6:6">
      <c r="F1233" s="2423"/>
    </row>
    <row r="1234" spans="6:6">
      <c r="F1234" s="2423"/>
    </row>
    <row r="1235" spans="6:6">
      <c r="F1235" s="2423"/>
    </row>
    <row r="1236" spans="6:6">
      <c r="F1236" s="2423"/>
    </row>
    <row r="1237" spans="6:6">
      <c r="F1237" s="2423"/>
    </row>
    <row r="1238" spans="6:6">
      <c r="F1238" s="2423"/>
    </row>
    <row r="1239" spans="6:6">
      <c r="F1239" s="2423"/>
    </row>
    <row r="1240" spans="6:6">
      <c r="F1240" s="2423"/>
    </row>
    <row r="1241" spans="6:6">
      <c r="F1241" s="2423"/>
    </row>
    <row r="1242" spans="6:6">
      <c r="F1242" s="2423"/>
    </row>
    <row r="1243" spans="6:6">
      <c r="F1243" s="2423"/>
    </row>
    <row r="1244" spans="6:6">
      <c r="F1244" s="2423"/>
    </row>
    <row r="1245" spans="6:6">
      <c r="F1245" s="2423"/>
    </row>
    <row r="1246" spans="6:6">
      <c r="F1246" s="2423"/>
    </row>
    <row r="1247" spans="6:6">
      <c r="F1247" s="2423"/>
    </row>
    <row r="1248" spans="6:6">
      <c r="F1248" s="2423"/>
    </row>
    <row r="1249" spans="6:6">
      <c r="F1249" s="2423"/>
    </row>
    <row r="1250" spans="6:6">
      <c r="F1250" s="2423"/>
    </row>
    <row r="1251" spans="6:6">
      <c r="F1251" s="2423"/>
    </row>
    <row r="1252" spans="6:6">
      <c r="F1252" s="2423"/>
    </row>
    <row r="1253" spans="6:6">
      <c r="F1253" s="2423"/>
    </row>
    <row r="1254" spans="6:6">
      <c r="F1254" s="2423"/>
    </row>
    <row r="1255" spans="6:6">
      <c r="F1255" s="2423"/>
    </row>
    <row r="1256" spans="6:6">
      <c r="F1256" s="2423"/>
    </row>
    <row r="1257" spans="6:6">
      <c r="F1257" s="2423"/>
    </row>
    <row r="1258" spans="6:6">
      <c r="F1258" s="2423"/>
    </row>
    <row r="1259" spans="6:6">
      <c r="F1259" s="2423"/>
    </row>
    <row r="1260" spans="6:6">
      <c r="F1260" s="2423"/>
    </row>
    <row r="1261" spans="6:6">
      <c r="F1261" s="2423"/>
    </row>
    <row r="1262" spans="6:6">
      <c r="F1262" s="2423"/>
    </row>
    <row r="1263" spans="6:6">
      <c r="F1263" s="2423"/>
    </row>
    <row r="1264" spans="6:6">
      <c r="F1264" s="2423"/>
    </row>
    <row r="1265" spans="6:6">
      <c r="F1265" s="2423"/>
    </row>
    <row r="1266" spans="6:6">
      <c r="F1266" s="2423"/>
    </row>
    <row r="1267" spans="6:6">
      <c r="F1267" s="2423"/>
    </row>
    <row r="1268" spans="6:6">
      <c r="F1268" s="2423"/>
    </row>
    <row r="1269" spans="6:6">
      <c r="F1269" s="2423"/>
    </row>
    <row r="1270" spans="6:6">
      <c r="F1270" s="2423"/>
    </row>
    <row r="1271" spans="6:6">
      <c r="F1271" s="2423"/>
    </row>
    <row r="1272" spans="6:6">
      <c r="F1272" s="2423"/>
    </row>
    <row r="1273" spans="6:6">
      <c r="F1273" s="2423"/>
    </row>
    <row r="1274" spans="6:6">
      <c r="F1274" s="2423"/>
    </row>
    <row r="1275" spans="6:6">
      <c r="F1275" s="2423"/>
    </row>
    <row r="1276" spans="6:6">
      <c r="F1276" s="2423"/>
    </row>
    <row r="1277" spans="6:6">
      <c r="F1277" s="2423"/>
    </row>
    <row r="1278" spans="6:6">
      <c r="F1278" s="2423"/>
    </row>
    <row r="1279" spans="6:6">
      <c r="F1279" s="2423"/>
    </row>
    <row r="1280" spans="6:6">
      <c r="F1280" s="2423"/>
    </row>
    <row r="1281" spans="6:6">
      <c r="F1281" s="2423"/>
    </row>
    <row r="1282" spans="6:6">
      <c r="F1282" s="2423"/>
    </row>
    <row r="1283" spans="6:6">
      <c r="F1283" s="2423"/>
    </row>
    <row r="1284" spans="6:6">
      <c r="F1284" s="2423"/>
    </row>
    <row r="1285" spans="6:6">
      <c r="F1285" s="2423"/>
    </row>
    <row r="1286" spans="6:6">
      <c r="F1286" s="2423"/>
    </row>
    <row r="1287" spans="6:6">
      <c r="F1287" s="2423"/>
    </row>
    <row r="1288" spans="6:6">
      <c r="F1288" s="2423"/>
    </row>
    <row r="1289" spans="6:6">
      <c r="F1289" s="2423"/>
    </row>
    <row r="1290" spans="6:6">
      <c r="F1290" s="2423"/>
    </row>
    <row r="1291" spans="6:6">
      <c r="F1291" s="2423"/>
    </row>
    <row r="1292" spans="6:6">
      <c r="F1292" s="2423"/>
    </row>
    <row r="1293" spans="6:6">
      <c r="F1293" s="2423"/>
    </row>
    <row r="1294" spans="6:6">
      <c r="F1294" s="2423"/>
    </row>
    <row r="1295" spans="6:6">
      <c r="F1295" s="2423"/>
    </row>
    <row r="1296" spans="6:6">
      <c r="F1296" s="2423"/>
    </row>
    <row r="1297" spans="6:6">
      <c r="F1297" s="2423"/>
    </row>
    <row r="1298" spans="6:6">
      <c r="F1298" s="2423"/>
    </row>
    <row r="1299" spans="6:6">
      <c r="F1299" s="2423"/>
    </row>
    <row r="1300" spans="6:6">
      <c r="F1300" s="2423"/>
    </row>
    <row r="1301" spans="6:6">
      <c r="F1301" s="2423"/>
    </row>
    <row r="1302" spans="6:6">
      <c r="F1302" s="2423"/>
    </row>
    <row r="1303" spans="6:6">
      <c r="F1303" s="2423"/>
    </row>
    <row r="1304" spans="6:6">
      <c r="F1304" s="2423"/>
    </row>
    <row r="1305" spans="6:6">
      <c r="F1305" s="2423"/>
    </row>
    <row r="1306" spans="6:6">
      <c r="F1306" s="2423"/>
    </row>
    <row r="1307" spans="6:6">
      <c r="F1307" s="2423"/>
    </row>
    <row r="1308" spans="6:6">
      <c r="F1308" s="2423"/>
    </row>
    <row r="1309" spans="6:6">
      <c r="F1309" s="2423"/>
    </row>
    <row r="1310" spans="6:6">
      <c r="F1310" s="2423"/>
    </row>
    <row r="1311" spans="6:6">
      <c r="F1311" s="2423"/>
    </row>
    <row r="1312" spans="6:6">
      <c r="F1312" s="2423"/>
    </row>
    <row r="1313" spans="6:6">
      <c r="F1313" s="2423"/>
    </row>
    <row r="1314" spans="6:6">
      <c r="F1314" s="2423"/>
    </row>
    <row r="1315" spans="6:6">
      <c r="F1315" s="2423"/>
    </row>
    <row r="1316" spans="6:6">
      <c r="F1316" s="2423"/>
    </row>
    <row r="1317" spans="6:6">
      <c r="F1317" s="2423"/>
    </row>
    <row r="1318" spans="6:6">
      <c r="F1318" s="2423"/>
    </row>
    <row r="1319" spans="6:6">
      <c r="F1319" s="2423"/>
    </row>
    <row r="1320" spans="6:6">
      <c r="F1320" s="2423"/>
    </row>
    <row r="1321" spans="6:6">
      <c r="F1321" s="2423"/>
    </row>
    <row r="1322" spans="6:6">
      <c r="F1322" s="2423"/>
    </row>
    <row r="1323" spans="6:6">
      <c r="F1323" s="2423"/>
    </row>
    <row r="1324" spans="6:6">
      <c r="F1324" s="2423"/>
    </row>
    <row r="1325" spans="6:6">
      <c r="F1325" s="2423"/>
    </row>
    <row r="1326" spans="6:6">
      <c r="F1326" s="2423"/>
    </row>
    <row r="1327" spans="6:6">
      <c r="F1327" s="2423"/>
    </row>
    <row r="1328" spans="6:6">
      <c r="F1328" s="2423"/>
    </row>
    <row r="1329" spans="6:6">
      <c r="F1329" s="2423"/>
    </row>
    <row r="1330" spans="6:6">
      <c r="F1330" s="2423"/>
    </row>
    <row r="1331" spans="6:6">
      <c r="F1331" s="2423"/>
    </row>
    <row r="1332" spans="6:6">
      <c r="F1332" s="2423"/>
    </row>
    <row r="1333" spans="6:6">
      <c r="F1333" s="2423"/>
    </row>
    <row r="1334" spans="6:6">
      <c r="F1334" s="2423"/>
    </row>
    <row r="1335" spans="6:6">
      <c r="F1335" s="2423"/>
    </row>
    <row r="1336" spans="6:6">
      <c r="F1336" s="2423"/>
    </row>
    <row r="1337" spans="6:6">
      <c r="F1337" s="2423"/>
    </row>
    <row r="1338" spans="6:6">
      <c r="F1338" s="2423"/>
    </row>
    <row r="1339" spans="6:6">
      <c r="F1339" s="2423"/>
    </row>
    <row r="1340" spans="6:6">
      <c r="F1340" s="2423"/>
    </row>
    <row r="1341" spans="6:6">
      <c r="F1341" s="2423"/>
    </row>
    <row r="1342" spans="6:6">
      <c r="F1342" s="2423"/>
    </row>
    <row r="1343" spans="6:6">
      <c r="F1343" s="2423"/>
    </row>
    <row r="1344" spans="6:6">
      <c r="F1344" s="2423"/>
    </row>
    <row r="1345" spans="6:6">
      <c r="F1345" s="2423"/>
    </row>
    <row r="1346" spans="6:6">
      <c r="F1346" s="2423"/>
    </row>
    <row r="1347" spans="6:6">
      <c r="F1347" s="2423"/>
    </row>
    <row r="1348" spans="6:6">
      <c r="F1348" s="2423"/>
    </row>
    <row r="1349" spans="6:6">
      <c r="F1349" s="2423"/>
    </row>
    <row r="1350" spans="6:6">
      <c r="F1350" s="2423"/>
    </row>
    <row r="1351" spans="6:6">
      <c r="F1351" s="2423"/>
    </row>
    <row r="1352" spans="6:6">
      <c r="F1352" s="2423"/>
    </row>
    <row r="1353" spans="6:6">
      <c r="F1353" s="2423"/>
    </row>
    <row r="1354" spans="6:6">
      <c r="F1354" s="2423"/>
    </row>
    <row r="1355" spans="6:6">
      <c r="F1355" s="2423"/>
    </row>
    <row r="1356" spans="6:6">
      <c r="F1356" s="2423"/>
    </row>
    <row r="1357" spans="6:6">
      <c r="F1357" s="2423"/>
    </row>
    <row r="1358" spans="6:6">
      <c r="F1358" s="2423"/>
    </row>
    <row r="1359" spans="6:6">
      <c r="F1359" s="2423"/>
    </row>
    <row r="1360" spans="6:6">
      <c r="F1360" s="2423"/>
    </row>
    <row r="1361" spans="6:6">
      <c r="F1361" s="2423"/>
    </row>
    <row r="1362" spans="6:6">
      <c r="F1362" s="2423"/>
    </row>
    <row r="1363" spans="6:6">
      <c r="F1363" s="2423"/>
    </row>
    <row r="1364" spans="6:6">
      <c r="F1364" s="2423"/>
    </row>
    <row r="1365" spans="6:6">
      <c r="F1365" s="2423"/>
    </row>
    <row r="1366" spans="6:6">
      <c r="F1366" s="2423"/>
    </row>
    <row r="1367" spans="6:6">
      <c r="F1367" s="2423"/>
    </row>
    <row r="1368" spans="6:6">
      <c r="F1368" s="2423"/>
    </row>
    <row r="1369" spans="6:6">
      <c r="F1369" s="2423"/>
    </row>
    <row r="1370" spans="6:6">
      <c r="F1370" s="2423"/>
    </row>
    <row r="1371" spans="6:6">
      <c r="F1371" s="2423"/>
    </row>
    <row r="1372" spans="6:6">
      <c r="F1372" s="2423"/>
    </row>
    <row r="1373" spans="6:6">
      <c r="F1373" s="2423"/>
    </row>
    <row r="1374" spans="6:6">
      <c r="F1374" s="2423"/>
    </row>
    <row r="1375" spans="6:6">
      <c r="F1375" s="2423"/>
    </row>
    <row r="1376" spans="6:6">
      <c r="F1376" s="2423"/>
    </row>
    <row r="1377" spans="6:6">
      <c r="F1377" s="2423"/>
    </row>
    <row r="1378" spans="6:6">
      <c r="F1378" s="2423"/>
    </row>
    <row r="1379" spans="6:6">
      <c r="F1379" s="2423"/>
    </row>
    <row r="1380" spans="6:6">
      <c r="F1380" s="2423"/>
    </row>
    <row r="1381" spans="6:6">
      <c r="F1381" s="2423"/>
    </row>
    <row r="1382" spans="6:6">
      <c r="F1382" s="2423"/>
    </row>
    <row r="1383" spans="6:6">
      <c r="F1383" s="2423"/>
    </row>
    <row r="1384" spans="6:6">
      <c r="F1384" s="2423"/>
    </row>
    <row r="1385" spans="6:6">
      <c r="F1385" s="2423"/>
    </row>
    <row r="1386" spans="6:6">
      <c r="F1386" s="2423"/>
    </row>
    <row r="1387" spans="6:6">
      <c r="F1387" s="2423"/>
    </row>
    <row r="1388" spans="6:6">
      <c r="F1388" s="2423"/>
    </row>
    <row r="1389" spans="6:6">
      <c r="F1389" s="2423"/>
    </row>
    <row r="1390" spans="6:6">
      <c r="F1390" s="2423"/>
    </row>
    <row r="1391" spans="6:6">
      <c r="F1391" s="2423"/>
    </row>
    <row r="1392" spans="6:6">
      <c r="F1392" s="2423"/>
    </row>
    <row r="1393" spans="6:6">
      <c r="F1393" s="2423"/>
    </row>
    <row r="1394" spans="6:6">
      <c r="F1394" s="2423"/>
    </row>
    <row r="1395" spans="6:6">
      <c r="F1395" s="2423"/>
    </row>
    <row r="1396" spans="6:6">
      <c r="F1396" s="2423"/>
    </row>
    <row r="1397" spans="6:6">
      <c r="F1397" s="2423"/>
    </row>
    <row r="1398" spans="6:6">
      <c r="F1398" s="2423"/>
    </row>
    <row r="1399" spans="6:6">
      <c r="F1399" s="2423"/>
    </row>
    <row r="1400" spans="6:6">
      <c r="F1400" s="2423"/>
    </row>
    <row r="1401" spans="6:6">
      <c r="F1401" s="2423"/>
    </row>
    <row r="1402" spans="6:6">
      <c r="F1402" s="2423"/>
    </row>
    <row r="1403" spans="6:6">
      <c r="F1403" s="2423"/>
    </row>
    <row r="1404" spans="6:6">
      <c r="F1404" s="2423"/>
    </row>
    <row r="1405" spans="6:6">
      <c r="F1405" s="2423"/>
    </row>
    <row r="1406" spans="6:6">
      <c r="F1406" s="2423"/>
    </row>
    <row r="1407" spans="6:6">
      <c r="F1407" s="2423"/>
    </row>
    <row r="1408" spans="6:6">
      <c r="F1408" s="2423"/>
    </row>
    <row r="1409" spans="6:6">
      <c r="F1409" s="2423"/>
    </row>
    <row r="1410" spans="6:6">
      <c r="F1410" s="2423"/>
    </row>
    <row r="1411" spans="6:6">
      <c r="F1411" s="2423"/>
    </row>
    <row r="1412" spans="6:6">
      <c r="F1412" s="2423"/>
    </row>
    <row r="1413" spans="6:6">
      <c r="F1413" s="2423"/>
    </row>
    <row r="1414" spans="6:6">
      <c r="F1414" s="2423"/>
    </row>
    <row r="1415" spans="6:6">
      <c r="F1415" s="2423"/>
    </row>
    <row r="1416" spans="6:6">
      <c r="F1416" s="2423"/>
    </row>
    <row r="1417" spans="6:6">
      <c r="F1417" s="2423"/>
    </row>
    <row r="1418" spans="6:6">
      <c r="F1418" s="2423"/>
    </row>
    <row r="1419" spans="6:6">
      <c r="F1419" s="2423"/>
    </row>
    <row r="1420" spans="6:6">
      <c r="F1420" s="2423"/>
    </row>
    <row r="1421" spans="6:6">
      <c r="F1421" s="2423"/>
    </row>
    <row r="1422" spans="6:6">
      <c r="F1422" s="2423"/>
    </row>
    <row r="1423" spans="6:6">
      <c r="F1423" s="2423"/>
    </row>
    <row r="1424" spans="6:6">
      <c r="F1424" s="2423"/>
    </row>
    <row r="1425" spans="6:6">
      <c r="F1425" s="2423"/>
    </row>
    <row r="1426" spans="6:6">
      <c r="F1426" s="2423"/>
    </row>
    <row r="1427" spans="6:6">
      <c r="F1427" s="2423"/>
    </row>
    <row r="1428" spans="6:6">
      <c r="F1428" s="2423"/>
    </row>
    <row r="1429" spans="6:6">
      <c r="F1429" s="2423"/>
    </row>
    <row r="1430" spans="6:6">
      <c r="F1430" s="2423"/>
    </row>
    <row r="1431" spans="6:6">
      <c r="F1431" s="2423"/>
    </row>
    <row r="1432" spans="6:6">
      <c r="F1432" s="2423"/>
    </row>
    <row r="1433" spans="6:6">
      <c r="F1433" s="2423"/>
    </row>
    <row r="1434" spans="6:6">
      <c r="F1434" s="2423"/>
    </row>
    <row r="1435" spans="6:6">
      <c r="F1435" s="2423"/>
    </row>
    <row r="1436" spans="6:6">
      <c r="F1436" s="2423"/>
    </row>
    <row r="1437" spans="6:6">
      <c r="F1437" s="2423"/>
    </row>
    <row r="1438" spans="6:6">
      <c r="F1438" s="2423"/>
    </row>
    <row r="1439" spans="6:6">
      <c r="F1439" s="2423"/>
    </row>
    <row r="1440" spans="6:6">
      <c r="F1440" s="2423"/>
    </row>
    <row r="1441" spans="6:6">
      <c r="F1441" s="2423"/>
    </row>
    <row r="1442" spans="6:6">
      <c r="F1442" s="2423"/>
    </row>
    <row r="1443" spans="6:6">
      <c r="F1443" s="2423"/>
    </row>
    <row r="1444" spans="6:6">
      <c r="F1444" s="2423"/>
    </row>
    <row r="1445" spans="6:6">
      <c r="F1445" s="2423"/>
    </row>
    <row r="1446" spans="6:6">
      <c r="F1446" s="2423"/>
    </row>
    <row r="1447" spans="6:6">
      <c r="F1447" s="2423"/>
    </row>
    <row r="1448" spans="6:6">
      <c r="F1448" s="2423"/>
    </row>
    <row r="1449" spans="6:6">
      <c r="F1449" s="2423"/>
    </row>
    <row r="1450" spans="6:6">
      <c r="F1450" s="2423"/>
    </row>
    <row r="1451" spans="6:6">
      <c r="F1451" s="2423"/>
    </row>
    <row r="1452" spans="6:6">
      <c r="F1452" s="2423"/>
    </row>
    <row r="1453" spans="6:6">
      <c r="F1453" s="2423"/>
    </row>
    <row r="1454" spans="6:6">
      <c r="F1454" s="2423"/>
    </row>
    <row r="1455" spans="6:6">
      <c r="F1455" s="2423"/>
    </row>
    <row r="1456" spans="6:6">
      <c r="F1456" s="2423"/>
    </row>
    <row r="1457" spans="6:6">
      <c r="F1457" s="2423"/>
    </row>
    <row r="1458" spans="6:6">
      <c r="F1458" s="2423"/>
    </row>
    <row r="1459" spans="6:6">
      <c r="F1459" s="2423"/>
    </row>
    <row r="1460" spans="6:6">
      <c r="F1460" s="2423"/>
    </row>
    <row r="1461" spans="6:6">
      <c r="F1461" s="2423"/>
    </row>
    <row r="1462" spans="6:6">
      <c r="F1462" s="2423"/>
    </row>
    <row r="1463" spans="6:6">
      <c r="F1463" s="2423"/>
    </row>
    <row r="1464" spans="6:6">
      <c r="F1464" s="2423"/>
    </row>
    <row r="1465" spans="6:6">
      <c r="F1465" s="2423"/>
    </row>
    <row r="1466" spans="6:6">
      <c r="F1466" s="2423"/>
    </row>
    <row r="1467" spans="6:6">
      <c r="F1467" s="2423"/>
    </row>
    <row r="1468" spans="6:6">
      <c r="F1468" s="2423"/>
    </row>
    <row r="1469" spans="6:6">
      <c r="F1469" s="2423"/>
    </row>
    <row r="1470" spans="6:6">
      <c r="F1470" s="2423"/>
    </row>
    <row r="1471" spans="6:6">
      <c r="F1471" s="2423"/>
    </row>
    <row r="1472" spans="6:6">
      <c r="F1472" s="2423"/>
    </row>
    <row r="1473" spans="6:6">
      <c r="F1473" s="2423"/>
    </row>
    <row r="1474" spans="6:6">
      <c r="F1474" s="2423"/>
    </row>
    <row r="1475" spans="6:6">
      <c r="F1475" s="2423"/>
    </row>
    <row r="1476" spans="6:6">
      <c r="F1476" s="2423"/>
    </row>
    <row r="1477" spans="6:6">
      <c r="F1477" s="2423"/>
    </row>
    <row r="1478" spans="6:6">
      <c r="F1478" s="2423"/>
    </row>
    <row r="1479" spans="6:6">
      <c r="F1479" s="2423"/>
    </row>
    <row r="1480" spans="6:6">
      <c r="F1480" s="2423"/>
    </row>
    <row r="1481" spans="6:6">
      <c r="F1481" s="2423"/>
    </row>
    <row r="1482" spans="6:6">
      <c r="F1482" s="2423"/>
    </row>
    <row r="1483" spans="6:6">
      <c r="F1483" s="2423"/>
    </row>
    <row r="1484" spans="6:6">
      <c r="F1484" s="2423"/>
    </row>
    <row r="1485" spans="6:6">
      <c r="F1485" s="2423"/>
    </row>
    <row r="1486" spans="6:6">
      <c r="F1486" s="2423"/>
    </row>
    <row r="1487" spans="6:6">
      <c r="F1487" s="2423"/>
    </row>
    <row r="1488" spans="6:6">
      <c r="F1488" s="2423"/>
    </row>
    <row r="1489" spans="6:6">
      <c r="F1489" s="2423"/>
    </row>
    <row r="1490" spans="6:6">
      <c r="F1490" s="2423"/>
    </row>
    <row r="1491" spans="6:6">
      <c r="F1491" s="2423"/>
    </row>
    <row r="1492" spans="6:6">
      <c r="F1492" s="2423"/>
    </row>
    <row r="1493" spans="6:6">
      <c r="F1493" s="2423"/>
    </row>
    <row r="1494" spans="6:6">
      <c r="F1494" s="2423"/>
    </row>
    <row r="1495" spans="6:6">
      <c r="F1495" s="2423"/>
    </row>
    <row r="1496" spans="6:6">
      <c r="F1496" s="2423"/>
    </row>
    <row r="1497" spans="6:6">
      <c r="F1497" s="2423"/>
    </row>
    <row r="1498" spans="6:6">
      <c r="F1498" s="2423"/>
    </row>
    <row r="1499" spans="6:6">
      <c r="F1499" s="2423"/>
    </row>
    <row r="1500" spans="6:6">
      <c r="F1500" s="2423"/>
    </row>
    <row r="1501" spans="6:6">
      <c r="F1501" s="2423"/>
    </row>
    <row r="1502" spans="6:6">
      <c r="F1502" s="2423"/>
    </row>
    <row r="1503" spans="6:6">
      <c r="F1503" s="2423"/>
    </row>
    <row r="1504" spans="6:6">
      <c r="F1504" s="2423"/>
    </row>
    <row r="1505" spans="6:6">
      <c r="F1505" s="2423"/>
    </row>
    <row r="1506" spans="6:6">
      <c r="F1506" s="2423"/>
    </row>
    <row r="1507" spans="6:6">
      <c r="F1507" s="2423"/>
    </row>
    <row r="1508" spans="6:6">
      <c r="F1508" s="2423"/>
    </row>
    <row r="1509" spans="6:6">
      <c r="F1509" s="2423"/>
    </row>
    <row r="1510" spans="6:6">
      <c r="F1510" s="2423"/>
    </row>
    <row r="1511" spans="6:6">
      <c r="F1511" s="2423"/>
    </row>
    <row r="1512" spans="6:6">
      <c r="F1512" s="2423"/>
    </row>
    <row r="1513" spans="6:6">
      <c r="F1513" s="2423"/>
    </row>
    <row r="1514" spans="6:6">
      <c r="F1514" s="2423"/>
    </row>
    <row r="1515" spans="6:6">
      <c r="F1515" s="2423"/>
    </row>
    <row r="1516" spans="6:6">
      <c r="F1516" s="2423"/>
    </row>
    <row r="1517" spans="6:6">
      <c r="F1517" s="2423"/>
    </row>
    <row r="1518" spans="6:6">
      <c r="F1518" s="2423"/>
    </row>
    <row r="1519" spans="6:6">
      <c r="F1519" s="2423"/>
    </row>
    <row r="1520" spans="6:6">
      <c r="F1520" s="2423"/>
    </row>
    <row r="1521" spans="6:6">
      <c r="F1521" s="2423"/>
    </row>
    <row r="1522" spans="6:6">
      <c r="F1522" s="2423"/>
    </row>
    <row r="1523" spans="6:6">
      <c r="F1523" s="2423"/>
    </row>
    <row r="1524" spans="6:6">
      <c r="F1524" s="2423"/>
    </row>
    <row r="1525" spans="6:6">
      <c r="F1525" s="2423"/>
    </row>
    <row r="1526" spans="6:6">
      <c r="F1526" s="2423"/>
    </row>
    <row r="1527" spans="6:6">
      <c r="F1527" s="2423"/>
    </row>
    <row r="1528" spans="6:6">
      <c r="F1528" s="2423"/>
    </row>
    <row r="1529" spans="6:6">
      <c r="F1529" s="2423"/>
    </row>
    <row r="1530" spans="6:6">
      <c r="F1530" s="2423"/>
    </row>
    <row r="1531" spans="6:6">
      <c r="F1531" s="2423"/>
    </row>
    <row r="1532" spans="6:6">
      <c r="F1532" s="2423"/>
    </row>
    <row r="1533" spans="6:6">
      <c r="F1533" s="2423"/>
    </row>
    <row r="1534" spans="6:6">
      <c r="F1534" s="2423"/>
    </row>
    <row r="1535" spans="6:6">
      <c r="F1535" s="2423"/>
    </row>
    <row r="1536" spans="6:6">
      <c r="F1536" s="2423"/>
    </row>
    <row r="1537" spans="6:6">
      <c r="F1537" s="2423"/>
    </row>
    <row r="1538" spans="6:6">
      <c r="F1538" s="2423"/>
    </row>
    <row r="1539" spans="6:6">
      <c r="F1539" s="2423"/>
    </row>
    <row r="1540" spans="6:6">
      <c r="F1540" s="2423"/>
    </row>
    <row r="1541" spans="6:6">
      <c r="F1541" s="2423"/>
    </row>
    <row r="1542" spans="6:6">
      <c r="F1542" s="2423"/>
    </row>
    <row r="1543" spans="6:6">
      <c r="F1543" s="2423"/>
    </row>
    <row r="1544" spans="6:6">
      <c r="F1544" s="2423"/>
    </row>
    <row r="1545" spans="6:6">
      <c r="F1545" s="2423"/>
    </row>
    <row r="1546" spans="6:6">
      <c r="F1546" s="2423"/>
    </row>
    <row r="1547" spans="6:6">
      <c r="F1547" s="2423"/>
    </row>
    <row r="1548" spans="6:6">
      <c r="F1548" s="2423"/>
    </row>
    <row r="1549" spans="6:6">
      <c r="F1549" s="2423"/>
    </row>
    <row r="1550" spans="6:6">
      <c r="F1550" s="2423"/>
    </row>
    <row r="1551" spans="6:6">
      <c r="F1551" s="2423"/>
    </row>
    <row r="1552" spans="6:6">
      <c r="F1552" s="2423"/>
    </row>
    <row r="1553" spans="6:6">
      <c r="F1553" s="2423"/>
    </row>
    <row r="1554" spans="6:6">
      <c r="F1554" s="2423"/>
    </row>
    <row r="1555" spans="6:6">
      <c r="F1555" s="2423"/>
    </row>
    <row r="1556" spans="6:6">
      <c r="F1556" s="2423"/>
    </row>
    <row r="1557" spans="6:6">
      <c r="F1557" s="2423"/>
    </row>
    <row r="1558" spans="6:6">
      <c r="F1558" s="2423"/>
    </row>
    <row r="1559" spans="6:6">
      <c r="F1559" s="2423"/>
    </row>
    <row r="1560" spans="6:6">
      <c r="F1560" s="2423"/>
    </row>
    <row r="1561" spans="6:6">
      <c r="F1561" s="2423"/>
    </row>
    <row r="1562" spans="6:6">
      <c r="F1562" s="2423"/>
    </row>
    <row r="1563" spans="6:6">
      <c r="F1563" s="2423"/>
    </row>
    <row r="1564" spans="6:6">
      <c r="F1564" s="2423"/>
    </row>
    <row r="1565" spans="6:6">
      <c r="F1565" s="2423"/>
    </row>
    <row r="1566" spans="6:6">
      <c r="F1566" s="2423"/>
    </row>
    <row r="1567" spans="6:6">
      <c r="F1567" s="2423"/>
    </row>
    <row r="1568" spans="6:6">
      <c r="F1568" s="2423"/>
    </row>
    <row r="1569" spans="6:6">
      <c r="F1569" s="2423"/>
    </row>
    <row r="1570" spans="6:6">
      <c r="F1570" s="2423"/>
    </row>
    <row r="1571" spans="6:6">
      <c r="F1571" s="2423"/>
    </row>
    <row r="1572" spans="6:6">
      <c r="F1572" s="2423"/>
    </row>
    <row r="1573" spans="6:6">
      <c r="F1573" s="2423"/>
    </row>
    <row r="1574" spans="6:6">
      <c r="F1574" s="2423"/>
    </row>
    <row r="1575" spans="6:6">
      <c r="F1575" s="2423"/>
    </row>
    <row r="1576" spans="6:6">
      <c r="F1576" s="2423"/>
    </row>
    <row r="1577" spans="6:6">
      <c r="F1577" s="2423"/>
    </row>
    <row r="1578" spans="6:6">
      <c r="F1578" s="2423"/>
    </row>
    <row r="1579" spans="6:6">
      <c r="F1579" s="2423"/>
    </row>
    <row r="1580" spans="6:6">
      <c r="F1580" s="2423"/>
    </row>
    <row r="1581" spans="6:6">
      <c r="F1581" s="2423"/>
    </row>
    <row r="1582" spans="6:6">
      <c r="F1582" s="2423"/>
    </row>
    <row r="1583" spans="6:6">
      <c r="F1583" s="2423"/>
    </row>
    <row r="1584" spans="6:6">
      <c r="F1584" s="2423"/>
    </row>
    <row r="1585" spans="6:6">
      <c r="F1585" s="2423"/>
    </row>
    <row r="1586" spans="6:6">
      <c r="F1586" s="2423"/>
    </row>
    <row r="1587" spans="6:6">
      <c r="F1587" s="2423"/>
    </row>
    <row r="1588" spans="6:6">
      <c r="F1588" s="2423"/>
    </row>
    <row r="1589" spans="6:6">
      <c r="F1589" s="2423"/>
    </row>
    <row r="1590" spans="6:6">
      <c r="F1590" s="2423"/>
    </row>
    <row r="1591" spans="6:6">
      <c r="F1591" s="2423"/>
    </row>
    <row r="1592" spans="6:6">
      <c r="F1592" s="2423"/>
    </row>
    <row r="1593" spans="6:6">
      <c r="F1593" s="2423"/>
    </row>
    <row r="1594" spans="6:6">
      <c r="F1594" s="2423"/>
    </row>
    <row r="1595" spans="6:6">
      <c r="F1595" s="2423"/>
    </row>
    <row r="1596" spans="6:6">
      <c r="F1596" s="2423"/>
    </row>
    <row r="1597" spans="6:6">
      <c r="F1597" s="2423"/>
    </row>
    <row r="1598" spans="6:6">
      <c r="F1598" s="2423"/>
    </row>
    <row r="1599" spans="6:6">
      <c r="F1599" s="2423"/>
    </row>
    <row r="1600" spans="6:6">
      <c r="F1600" s="2423"/>
    </row>
    <row r="1601" spans="6:6">
      <c r="F1601" s="2423"/>
    </row>
    <row r="1602" spans="6:6">
      <c r="F1602" s="2423"/>
    </row>
    <row r="1603" spans="6:6">
      <c r="F1603" s="2423"/>
    </row>
    <row r="1604" spans="6:6">
      <c r="F1604" s="2423"/>
    </row>
    <row r="1605" spans="6:6">
      <c r="F1605" s="2423"/>
    </row>
    <row r="1606" spans="6:6">
      <c r="F1606" s="2423"/>
    </row>
    <row r="1607" spans="6:6">
      <c r="F1607" s="2423"/>
    </row>
    <row r="1608" spans="6:6">
      <c r="F1608" s="2423"/>
    </row>
    <row r="1609" spans="6:6">
      <c r="F1609" s="2423"/>
    </row>
    <row r="1610" spans="6:6">
      <c r="F1610" s="2423"/>
    </row>
    <row r="1611" spans="6:6">
      <c r="F1611" s="2423"/>
    </row>
    <row r="1612" spans="6:6">
      <c r="F1612" s="2423"/>
    </row>
    <row r="1613" spans="6:6">
      <c r="F1613" s="2423"/>
    </row>
    <row r="1614" spans="6:6">
      <c r="F1614" s="2423"/>
    </row>
    <row r="1615" spans="6:6">
      <c r="F1615" s="2423"/>
    </row>
    <row r="1616" spans="6:6">
      <c r="F1616" s="2423"/>
    </row>
    <row r="1617" spans="6:6">
      <c r="F1617" s="2423"/>
    </row>
    <row r="1618" spans="6:6">
      <c r="F1618" s="2423"/>
    </row>
    <row r="1619" spans="6:6">
      <c r="F1619" s="2423"/>
    </row>
    <row r="1620" spans="6:6">
      <c r="F1620" s="2423"/>
    </row>
    <row r="1621" spans="6:6">
      <c r="F1621" s="2423"/>
    </row>
    <row r="1622" spans="6:6">
      <c r="F1622" s="2423"/>
    </row>
    <row r="1623" spans="6:6">
      <c r="F1623" s="2423"/>
    </row>
    <row r="1624" spans="6:6">
      <c r="F1624" s="2423"/>
    </row>
    <row r="1625" spans="6:6">
      <c r="F1625" s="2423"/>
    </row>
    <row r="1626" spans="6:6">
      <c r="F1626" s="2423"/>
    </row>
    <row r="1627" spans="6:6">
      <c r="F1627" s="2423"/>
    </row>
    <row r="1628" spans="6:6">
      <c r="F1628" s="2423"/>
    </row>
    <row r="1629" spans="6:6">
      <c r="F1629" s="2423"/>
    </row>
    <row r="1630" spans="6:6">
      <c r="F1630" s="2423"/>
    </row>
    <row r="1631" spans="6:6">
      <c r="F1631" s="2423"/>
    </row>
    <row r="1632" spans="6:6">
      <c r="F1632" s="2423"/>
    </row>
    <row r="1633" spans="6:6">
      <c r="F1633" s="2423"/>
    </row>
    <row r="1634" spans="6:6">
      <c r="F1634" s="2423"/>
    </row>
    <row r="1635" spans="6:6">
      <c r="F1635" s="2423"/>
    </row>
    <row r="1636" spans="6:6">
      <c r="F1636" s="2423"/>
    </row>
    <row r="1637" spans="6:6">
      <c r="F1637" s="2423"/>
    </row>
    <row r="1638" spans="6:6">
      <c r="F1638" s="2423"/>
    </row>
    <row r="1639" spans="6:6">
      <c r="F1639" s="2423"/>
    </row>
    <row r="1640" spans="6:6">
      <c r="F1640" s="2423"/>
    </row>
    <row r="1641" spans="6:6">
      <c r="F1641" s="2423"/>
    </row>
    <row r="1642" spans="6:6">
      <c r="F1642" s="2423"/>
    </row>
    <row r="1643" spans="6:6">
      <c r="F1643" s="2423"/>
    </row>
    <row r="1644" spans="6:6">
      <c r="F1644" s="2423"/>
    </row>
    <row r="1645" spans="6:6">
      <c r="F1645" s="2423"/>
    </row>
    <row r="1646" spans="6:6">
      <c r="F1646" s="2423"/>
    </row>
    <row r="1647" spans="6:6">
      <c r="F1647" s="2423"/>
    </row>
    <row r="1648" spans="6:6">
      <c r="F1648" s="2423"/>
    </row>
    <row r="1649" spans="6:6">
      <c r="F1649" s="2423"/>
    </row>
    <row r="1650" spans="6:6">
      <c r="F1650" s="2423"/>
    </row>
    <row r="1651" spans="6:6">
      <c r="F1651" s="2423"/>
    </row>
    <row r="1652" spans="6:6">
      <c r="F1652" s="2423"/>
    </row>
    <row r="1653" spans="6:6">
      <c r="F1653" s="2423"/>
    </row>
    <row r="1654" spans="6:6">
      <c r="F1654" s="2423"/>
    </row>
    <row r="1655" spans="6:6">
      <c r="F1655" s="2423"/>
    </row>
    <row r="1656" spans="6:6">
      <c r="F1656" s="2423"/>
    </row>
    <row r="1657" spans="6:6">
      <c r="F1657" s="2423"/>
    </row>
    <row r="1658" spans="6:6">
      <c r="F1658" s="2423"/>
    </row>
    <row r="1659" spans="6:6">
      <c r="F1659" s="2423"/>
    </row>
    <row r="1660" spans="6:6">
      <c r="F1660" s="2423"/>
    </row>
    <row r="1661" spans="6:6">
      <c r="F1661" s="2423"/>
    </row>
    <row r="1662" spans="6:6">
      <c r="F1662" s="2423"/>
    </row>
    <row r="1663" spans="6:6">
      <c r="F1663" s="2423"/>
    </row>
    <row r="1664" spans="6:6">
      <c r="F1664" s="2423"/>
    </row>
    <row r="1665" spans="6:6">
      <c r="F1665" s="2423"/>
    </row>
    <row r="1666" spans="6:6">
      <c r="F1666" s="2423"/>
    </row>
    <row r="1667" spans="6:6">
      <c r="F1667" s="2423"/>
    </row>
    <row r="1668" spans="6:6">
      <c r="F1668" s="2423"/>
    </row>
    <row r="1669" spans="6:6">
      <c r="F1669" s="2423"/>
    </row>
    <row r="1670" spans="6:6">
      <c r="F1670" s="2423"/>
    </row>
    <row r="1671" spans="6:6">
      <c r="F1671" s="2423"/>
    </row>
    <row r="1672" spans="6:6">
      <c r="F1672" s="2423"/>
    </row>
    <row r="1673" spans="6:6">
      <c r="F1673" s="2423"/>
    </row>
    <row r="1674" spans="6:6">
      <c r="F1674" s="2423"/>
    </row>
    <row r="1675" spans="6:6">
      <c r="F1675" s="2423"/>
    </row>
    <row r="1676" spans="6:6">
      <c r="F1676" s="2423"/>
    </row>
    <row r="1677" spans="6:6">
      <c r="F1677" s="2423"/>
    </row>
    <row r="1678" spans="6:6">
      <c r="F1678" s="2423"/>
    </row>
    <row r="1679" spans="6:6">
      <c r="F1679" s="2423"/>
    </row>
    <row r="1680" spans="6:6">
      <c r="F1680" s="2423"/>
    </row>
    <row r="1681" spans="6:6">
      <c r="F1681" s="2423"/>
    </row>
    <row r="1682" spans="6:6">
      <c r="F1682" s="2423"/>
    </row>
    <row r="1683" spans="6:6">
      <c r="F1683" s="2423"/>
    </row>
    <row r="1684" spans="6:6">
      <c r="F1684" s="2423"/>
    </row>
    <row r="1685" spans="6:6">
      <c r="F1685" s="2423"/>
    </row>
    <row r="1686" spans="6:6">
      <c r="F1686" s="2423"/>
    </row>
    <row r="1687" spans="6:6">
      <c r="F1687" s="2423"/>
    </row>
    <row r="1688" spans="6:6">
      <c r="F1688" s="2423"/>
    </row>
    <row r="1689" spans="6:6">
      <c r="F1689" s="2423"/>
    </row>
    <row r="1690" spans="6:6">
      <c r="F1690" s="2423"/>
    </row>
    <row r="1691" spans="6:6">
      <c r="F1691" s="2423"/>
    </row>
    <row r="1692" spans="6:6">
      <c r="F1692" s="2423"/>
    </row>
    <row r="1693" spans="6:6">
      <c r="F1693" s="2423"/>
    </row>
    <row r="1694" spans="6:6">
      <c r="F1694" s="2423"/>
    </row>
    <row r="1695" spans="6:6">
      <c r="F1695" s="2423"/>
    </row>
    <row r="1696" spans="6:6">
      <c r="F1696" s="2423"/>
    </row>
    <row r="1697" spans="6:6">
      <c r="F1697" s="2423"/>
    </row>
    <row r="1698" spans="6:6">
      <c r="F1698" s="2423"/>
    </row>
    <row r="1699" spans="6:6">
      <c r="F1699" s="2423"/>
    </row>
    <row r="1700" spans="6:6">
      <c r="F1700" s="2423"/>
    </row>
    <row r="1701" spans="6:6">
      <c r="F1701" s="2423"/>
    </row>
    <row r="1702" spans="6:6">
      <c r="F1702" s="2423"/>
    </row>
    <row r="1703" spans="6:6">
      <c r="F1703" s="2423"/>
    </row>
    <row r="1704" spans="6:6">
      <c r="F1704" s="2423"/>
    </row>
    <row r="1705" spans="6:6">
      <c r="F1705" s="2423"/>
    </row>
    <row r="1706" spans="6:6">
      <c r="F1706" s="2423"/>
    </row>
    <row r="1707" spans="6:6">
      <c r="F1707" s="2423"/>
    </row>
    <row r="1708" spans="6:6">
      <c r="F1708" s="2423"/>
    </row>
    <row r="1709" spans="6:6">
      <c r="F1709" s="2423"/>
    </row>
    <row r="1710" spans="6:6">
      <c r="F1710" s="2423"/>
    </row>
    <row r="1711" spans="6:6">
      <c r="F1711" s="2423"/>
    </row>
    <row r="1712" spans="6:6">
      <c r="F1712" s="2423"/>
    </row>
    <row r="1713" spans="6:6">
      <c r="F1713" s="2423"/>
    </row>
    <row r="1714" spans="6:6">
      <c r="F1714" s="2423"/>
    </row>
    <row r="1715" spans="6:6">
      <c r="F1715" s="2423"/>
    </row>
    <row r="1716" spans="6:6">
      <c r="F1716" s="2423"/>
    </row>
    <row r="1717" spans="6:6">
      <c r="F1717" s="2423"/>
    </row>
    <row r="1718" spans="6:6">
      <c r="F1718" s="2423"/>
    </row>
    <row r="1719" spans="6:6">
      <c r="F1719" s="2423"/>
    </row>
    <row r="1720" spans="6:6">
      <c r="F1720" s="2423"/>
    </row>
    <row r="1721" spans="6:6">
      <c r="F1721" s="2423"/>
    </row>
    <row r="1722" spans="6:6">
      <c r="F1722" s="2423"/>
    </row>
    <row r="1723" spans="6:6">
      <c r="F1723" s="2423"/>
    </row>
    <row r="1724" spans="6:6">
      <c r="F1724" s="2423"/>
    </row>
    <row r="1725" spans="6:6">
      <c r="F1725" s="2423"/>
    </row>
    <row r="1726" spans="6:6">
      <c r="F1726" s="2423"/>
    </row>
    <row r="1727" spans="6:6">
      <c r="F1727" s="2423"/>
    </row>
    <row r="1728" spans="6:6">
      <c r="F1728" s="2423"/>
    </row>
    <row r="1729" spans="6:6">
      <c r="F1729" s="2423"/>
    </row>
    <row r="1730" spans="6:6">
      <c r="F1730" s="2423"/>
    </row>
    <row r="1731" spans="6:6">
      <c r="F1731" s="2423"/>
    </row>
    <row r="1732" spans="6:6">
      <c r="F1732" s="2423"/>
    </row>
    <row r="1733" spans="6:6">
      <c r="F1733" s="2423"/>
    </row>
    <row r="1734" spans="6:6">
      <c r="F1734" s="2423"/>
    </row>
    <row r="1735" spans="6:6">
      <c r="F1735" s="2423"/>
    </row>
    <row r="1736" spans="6:6">
      <c r="F1736" s="2423"/>
    </row>
    <row r="1737" spans="6:6">
      <c r="F1737" s="2423"/>
    </row>
    <row r="1738" spans="6:6">
      <c r="F1738" s="2423"/>
    </row>
    <row r="1739" spans="6:6">
      <c r="F1739" s="2423"/>
    </row>
    <row r="1740" spans="6:6">
      <c r="F1740" s="2423"/>
    </row>
    <row r="1741" spans="6:6">
      <c r="F1741" s="2423"/>
    </row>
    <row r="1742" spans="6:6">
      <c r="F1742" s="2423"/>
    </row>
    <row r="1743" spans="6:6">
      <c r="F1743" s="2423"/>
    </row>
    <row r="1744" spans="6:6">
      <c r="F1744" s="2423"/>
    </row>
    <row r="1745" spans="6:6">
      <c r="F1745" s="2423"/>
    </row>
    <row r="1746" spans="6:6">
      <c r="F1746" s="2423"/>
    </row>
    <row r="1747" spans="6:6">
      <c r="F1747" s="2423"/>
    </row>
    <row r="1748" spans="6:6">
      <c r="F1748" s="2423"/>
    </row>
    <row r="1749" spans="6:6">
      <c r="F1749" s="2423"/>
    </row>
    <row r="1750" spans="6:6">
      <c r="F1750" s="2423"/>
    </row>
    <row r="1751" spans="6:6">
      <c r="F1751" s="2423"/>
    </row>
    <row r="1752" spans="6:6">
      <c r="F1752" s="2423"/>
    </row>
    <row r="1753" spans="6:6">
      <c r="F1753" s="2423"/>
    </row>
    <row r="1754" spans="6:6">
      <c r="F1754" s="2423"/>
    </row>
    <row r="1755" spans="6:6">
      <c r="F1755" s="2423"/>
    </row>
    <row r="1756" spans="6:6">
      <c r="F1756" s="2423"/>
    </row>
    <row r="1757" spans="6:6">
      <c r="F1757" s="2423"/>
    </row>
    <row r="1758" spans="6:6">
      <c r="F1758" s="2423"/>
    </row>
    <row r="1759" spans="6:6">
      <c r="F1759" s="2423"/>
    </row>
    <row r="1760" spans="6:6">
      <c r="F1760" s="2423"/>
    </row>
    <row r="1761" spans="6:6">
      <c r="F1761" s="2423"/>
    </row>
    <row r="1762" spans="6:6">
      <c r="F1762" s="2423"/>
    </row>
    <row r="1763" spans="6:6">
      <c r="F1763" s="2423"/>
    </row>
    <row r="1764" spans="6:6">
      <c r="F1764" s="2423"/>
    </row>
    <row r="1765" spans="6:6">
      <c r="F1765" s="2423"/>
    </row>
    <row r="1766" spans="6:6">
      <c r="F1766" s="2423"/>
    </row>
    <row r="1767" spans="6:6">
      <c r="F1767" s="2423"/>
    </row>
    <row r="1768" spans="6:6">
      <c r="F1768" s="2423"/>
    </row>
    <row r="1769" spans="6:6">
      <c r="F1769" s="2423"/>
    </row>
    <row r="1770" spans="6:6">
      <c r="F1770" s="2423"/>
    </row>
    <row r="1771" spans="6:6">
      <c r="F1771" s="2423"/>
    </row>
    <row r="1772" spans="6:6">
      <c r="F1772" s="2423"/>
    </row>
    <row r="1773" spans="6:6">
      <c r="F1773" s="2423"/>
    </row>
    <row r="1774" spans="6:6">
      <c r="F1774" s="2423"/>
    </row>
    <row r="1775" spans="6:6">
      <c r="F1775" s="2423"/>
    </row>
    <row r="1776" spans="6:6">
      <c r="F1776" s="2423"/>
    </row>
    <row r="1777" spans="6:6">
      <c r="F1777" s="2423"/>
    </row>
    <row r="1778" spans="6:6">
      <c r="F1778" s="2423"/>
    </row>
    <row r="1779" spans="6:6">
      <c r="F1779" s="2423"/>
    </row>
    <row r="1780" spans="6:6">
      <c r="F1780" s="2423"/>
    </row>
    <row r="1781" spans="6:6">
      <c r="F1781" s="2423"/>
    </row>
    <row r="1782" spans="6:6">
      <c r="F1782" s="2423"/>
    </row>
    <row r="1783" spans="6:6">
      <c r="F1783" s="2423"/>
    </row>
    <row r="1784" spans="6:6">
      <c r="F1784" s="2423"/>
    </row>
    <row r="1785" spans="6:6">
      <c r="F1785" s="2423"/>
    </row>
    <row r="1786" spans="6:6">
      <c r="F1786" s="2423"/>
    </row>
    <row r="1787" spans="6:6">
      <c r="F1787" s="2423"/>
    </row>
    <row r="1788" spans="6:6">
      <c r="F1788" s="2423"/>
    </row>
    <row r="1789" spans="6:6">
      <c r="F1789" s="2423"/>
    </row>
    <row r="1790" spans="6:6">
      <c r="F1790" s="2423"/>
    </row>
    <row r="1791" spans="6:6">
      <c r="F1791" s="2423"/>
    </row>
    <row r="1792" spans="6:6">
      <c r="F1792" s="2423"/>
    </row>
    <row r="1793" spans="6:6">
      <c r="F1793" s="2423"/>
    </row>
    <row r="1794" spans="6:6">
      <c r="F1794" s="2423"/>
    </row>
    <row r="1795" spans="6:6">
      <c r="F1795" s="2423"/>
    </row>
    <row r="1796" spans="6:6">
      <c r="F1796" s="2423"/>
    </row>
    <row r="1797" spans="6:6">
      <c r="F1797" s="2423"/>
    </row>
    <row r="1798" spans="6:6">
      <c r="F1798" s="2423"/>
    </row>
    <row r="1799" spans="6:6">
      <c r="F1799" s="2423"/>
    </row>
    <row r="1800" spans="6:6">
      <c r="F1800" s="2423"/>
    </row>
    <row r="1801" spans="6:6">
      <c r="F1801" s="2423"/>
    </row>
    <row r="1802" spans="6:6">
      <c r="F1802" s="2423"/>
    </row>
    <row r="1803" spans="6:6">
      <c r="F1803" s="2423"/>
    </row>
    <row r="1804" spans="6:6">
      <c r="F1804" s="2423"/>
    </row>
    <row r="1805" spans="6:6">
      <c r="F1805" s="2423"/>
    </row>
    <row r="1806" spans="6:6">
      <c r="F1806" s="2423"/>
    </row>
    <row r="1807" spans="6:6">
      <c r="F1807" s="2423"/>
    </row>
    <row r="1808" spans="6:6">
      <c r="F1808" s="2423"/>
    </row>
    <row r="1809" spans="6:6">
      <c r="F1809" s="2423"/>
    </row>
    <row r="1810" spans="6:6">
      <c r="F1810" s="2423"/>
    </row>
    <row r="1811" spans="6:6">
      <c r="F1811" s="2423"/>
    </row>
    <row r="1812" spans="6:6">
      <c r="F1812" s="2423"/>
    </row>
    <row r="1813" spans="6:6">
      <c r="F1813" s="2423"/>
    </row>
    <row r="1814" spans="6:6">
      <c r="F1814" s="2423"/>
    </row>
    <row r="1815" spans="6:6">
      <c r="F1815" s="2423"/>
    </row>
    <row r="1816" spans="6:6">
      <c r="F1816" s="2423"/>
    </row>
    <row r="1817" spans="6:6">
      <c r="F1817" s="2423"/>
    </row>
    <row r="1818" spans="6:6">
      <c r="F1818" s="2423"/>
    </row>
    <row r="1819" spans="6:6">
      <c r="F1819" s="2423"/>
    </row>
    <row r="1820" spans="6:6">
      <c r="F1820" s="2423"/>
    </row>
    <row r="1821" spans="6:6">
      <c r="F1821" s="2423"/>
    </row>
    <row r="1822" spans="6:6">
      <c r="F1822" s="2423"/>
    </row>
    <row r="1823" spans="6:6">
      <c r="F1823" s="2423"/>
    </row>
    <row r="1824" spans="6:6">
      <c r="F1824" s="2423"/>
    </row>
    <row r="1825" spans="6:6">
      <c r="F1825" s="2423"/>
    </row>
    <row r="1826" spans="6:6">
      <c r="F1826" s="2423"/>
    </row>
    <row r="1827" spans="6:6">
      <c r="F1827" s="2423"/>
    </row>
    <row r="1828" spans="6:6">
      <c r="F1828" s="2423"/>
    </row>
    <row r="1829" spans="6:6">
      <c r="F1829" s="2423"/>
    </row>
    <row r="1830" spans="6:6">
      <c r="F1830" s="2423"/>
    </row>
    <row r="1831" spans="6:6">
      <c r="F1831" s="2423"/>
    </row>
    <row r="1832" spans="6:6">
      <c r="F1832" s="2423"/>
    </row>
    <row r="1833" spans="6:6">
      <c r="F1833" s="2423"/>
    </row>
    <row r="1834" spans="6:6">
      <c r="F1834" s="2423"/>
    </row>
    <row r="1835" spans="6:6">
      <c r="F1835" s="2423"/>
    </row>
    <row r="1836" spans="6:6">
      <c r="F1836" s="2423"/>
    </row>
    <row r="1837" spans="6:6">
      <c r="F1837" s="2423"/>
    </row>
    <row r="1838" spans="6:6">
      <c r="F1838" s="2423"/>
    </row>
    <row r="1839" spans="6:6">
      <c r="F1839" s="2423"/>
    </row>
    <row r="1840" spans="6:6">
      <c r="F1840" s="2423"/>
    </row>
    <row r="1841" spans="6:6">
      <c r="F1841" s="2423"/>
    </row>
    <row r="1842" spans="6:6">
      <c r="F1842" s="2423"/>
    </row>
    <row r="1843" spans="6:6">
      <c r="F1843" s="2423"/>
    </row>
    <row r="1844" spans="6:6">
      <c r="F1844" s="2423"/>
    </row>
    <row r="1845" spans="6:6">
      <c r="F1845" s="2423"/>
    </row>
    <row r="1846" spans="6:6">
      <c r="F1846" s="2423"/>
    </row>
    <row r="1847" spans="6:6">
      <c r="F1847" s="2423"/>
    </row>
    <row r="1848" spans="6:6">
      <c r="F1848" s="2423"/>
    </row>
    <row r="1849" spans="6:6">
      <c r="F1849" s="2423"/>
    </row>
    <row r="1850" spans="6:6">
      <c r="F1850" s="2423"/>
    </row>
    <row r="1851" spans="6:6">
      <c r="F1851" s="2423"/>
    </row>
    <row r="1852" spans="6:6">
      <c r="F1852" s="2423"/>
    </row>
    <row r="1853" spans="6:6">
      <c r="F1853" s="2423"/>
    </row>
    <row r="1854" spans="6:6">
      <c r="F1854" s="2423"/>
    </row>
    <row r="1855" spans="6:6">
      <c r="F1855" s="2423"/>
    </row>
    <row r="1856" spans="6:6">
      <c r="F1856" s="2423"/>
    </row>
    <row r="1857" spans="6:6">
      <c r="F1857" s="2423"/>
    </row>
    <row r="1858" spans="6:6">
      <c r="F1858" s="2423"/>
    </row>
    <row r="1859" spans="6:6">
      <c r="F1859" s="2423"/>
    </row>
    <row r="1860" spans="6:6">
      <c r="F1860" s="2423"/>
    </row>
    <row r="1861" spans="6:6">
      <c r="F1861" s="2423"/>
    </row>
    <row r="1862" spans="6:6">
      <c r="F1862" s="2423"/>
    </row>
    <row r="1863" spans="6:6">
      <c r="F1863" s="2423"/>
    </row>
    <row r="1864" spans="6:6">
      <c r="F1864" s="2423"/>
    </row>
    <row r="1865" spans="6:6">
      <c r="F1865" s="2423"/>
    </row>
    <row r="1866" spans="6:6">
      <c r="F1866" s="2423"/>
    </row>
    <row r="1867" spans="6:6">
      <c r="F1867" s="2423"/>
    </row>
    <row r="1868" spans="6:6">
      <c r="F1868" s="2423"/>
    </row>
    <row r="1869" spans="6:6">
      <c r="F1869" s="2423"/>
    </row>
    <row r="1870" spans="6:6">
      <c r="F1870" s="2423"/>
    </row>
    <row r="1871" spans="6:6">
      <c r="F1871" s="2423"/>
    </row>
    <row r="1872" spans="6:6">
      <c r="F1872" s="2423"/>
    </row>
    <row r="1873" spans="6:6">
      <c r="F1873" s="2423"/>
    </row>
    <row r="1874" spans="6:6">
      <c r="F1874" s="2423"/>
    </row>
    <row r="1875" spans="6:6">
      <c r="F1875" s="2423"/>
    </row>
    <row r="1876" spans="6:6">
      <c r="F1876" s="2423"/>
    </row>
    <row r="1877" spans="6:6">
      <c r="F1877" s="2423"/>
    </row>
    <row r="1878" spans="6:6">
      <c r="F1878" s="2423"/>
    </row>
    <row r="1879" spans="6:6">
      <c r="F1879" s="2423"/>
    </row>
    <row r="1880" spans="6:6">
      <c r="F1880" s="2423"/>
    </row>
    <row r="1881" spans="6:6">
      <c r="F1881" s="2423"/>
    </row>
    <row r="1882" spans="6:6">
      <c r="F1882" s="2423"/>
    </row>
    <row r="1883" spans="6:6">
      <c r="F1883" s="2423"/>
    </row>
    <row r="1884" spans="6:6">
      <c r="F1884" s="2423"/>
    </row>
    <row r="1885" spans="6:6">
      <c r="F1885" s="2423"/>
    </row>
    <row r="1886" spans="6:6">
      <c r="F1886" s="2423"/>
    </row>
    <row r="1887" spans="6:6">
      <c r="F1887" s="2423"/>
    </row>
    <row r="1888" spans="6:6">
      <c r="F1888" s="2423"/>
    </row>
    <row r="1889" spans="6:6">
      <c r="F1889" s="2423"/>
    </row>
    <row r="1890" spans="6:6">
      <c r="F1890" s="2423"/>
    </row>
    <row r="1891" spans="6:6">
      <c r="F1891" s="2423"/>
    </row>
    <row r="1892" spans="6:6">
      <c r="F1892" s="2423"/>
    </row>
    <row r="1893" spans="6:6">
      <c r="F1893" s="2423"/>
    </row>
    <row r="1894" spans="6:6">
      <c r="F1894" s="2423"/>
    </row>
    <row r="1895" spans="6:6">
      <c r="F1895" s="2423"/>
    </row>
    <row r="1896" spans="6:6">
      <c r="F1896" s="2423"/>
    </row>
    <row r="1897" spans="6:6">
      <c r="F1897" s="2423"/>
    </row>
    <row r="1898" spans="6:6">
      <c r="F1898" s="2423"/>
    </row>
    <row r="1899" spans="6:6">
      <c r="F1899" s="2423"/>
    </row>
    <row r="1900" spans="6:6">
      <c r="F1900" s="2423"/>
    </row>
    <row r="1901" spans="6:6">
      <c r="F1901" s="2423"/>
    </row>
    <row r="1902" spans="6:6">
      <c r="F1902" s="2423"/>
    </row>
    <row r="1903" spans="6:6">
      <c r="F1903" s="2423"/>
    </row>
    <row r="1904" spans="6:6">
      <c r="F1904" s="2423"/>
    </row>
    <row r="1905" spans="6:6">
      <c r="F1905" s="2423"/>
    </row>
    <row r="1906" spans="6:6">
      <c r="F1906" s="2423"/>
    </row>
    <row r="1907" spans="6:6">
      <c r="F1907" s="2423"/>
    </row>
    <row r="1908" spans="6:6">
      <c r="F1908" s="2423"/>
    </row>
    <row r="1909" spans="6:6">
      <c r="F1909" s="2423"/>
    </row>
    <row r="1910" spans="6:6">
      <c r="F1910" s="2423"/>
    </row>
    <row r="1911" spans="6:6">
      <c r="F1911" s="2423"/>
    </row>
    <row r="1912" spans="6:6">
      <c r="F1912" s="2423"/>
    </row>
    <row r="1913" spans="6:6">
      <c r="F1913" s="2423"/>
    </row>
    <row r="1914" spans="6:6">
      <c r="F1914" s="2423"/>
    </row>
    <row r="1915" spans="6:6">
      <c r="F1915" s="2423"/>
    </row>
    <row r="1916" spans="6:6">
      <c r="F1916" s="2423"/>
    </row>
    <row r="1917" spans="6:6">
      <c r="F1917" s="2423"/>
    </row>
    <row r="1918" spans="6:6">
      <c r="F1918" s="2423"/>
    </row>
    <row r="1919" spans="6:6">
      <c r="F1919" s="2423"/>
    </row>
    <row r="1920" spans="6:6">
      <c r="F1920" s="2423"/>
    </row>
    <row r="1921" spans="6:6">
      <c r="F1921" s="2423"/>
    </row>
    <row r="1922" spans="6:6">
      <c r="F1922" s="2423"/>
    </row>
    <row r="1923" spans="6:6">
      <c r="F1923" s="2423"/>
    </row>
    <row r="1924" spans="6:6">
      <c r="F1924" s="2423"/>
    </row>
    <row r="1925" spans="6:6">
      <c r="F1925" s="2423"/>
    </row>
    <row r="1926" spans="6:6">
      <c r="F1926" s="2423"/>
    </row>
    <row r="1927" spans="6:6">
      <c r="F1927" s="2423"/>
    </row>
    <row r="1928" spans="6:6">
      <c r="F1928" s="2423"/>
    </row>
    <row r="1929" spans="6:6">
      <c r="F1929" s="2423"/>
    </row>
    <row r="1930" spans="6:6">
      <c r="F1930" s="2423"/>
    </row>
    <row r="1931" spans="6:6">
      <c r="F1931" s="2423"/>
    </row>
    <row r="1932" spans="6:6">
      <c r="F1932" s="2423"/>
    </row>
    <row r="1933" spans="6:6">
      <c r="F1933" s="2423"/>
    </row>
    <row r="1934" spans="6:6">
      <c r="F1934" s="2423"/>
    </row>
    <row r="1935" spans="6:6">
      <c r="F1935" s="2423"/>
    </row>
    <row r="1936" spans="6:6">
      <c r="F1936" s="2423"/>
    </row>
    <row r="1937" spans="6:6">
      <c r="F1937" s="2423"/>
    </row>
    <row r="1938" spans="6:6">
      <c r="F1938" s="2423"/>
    </row>
    <row r="1939" spans="6:6">
      <c r="F1939" s="2423"/>
    </row>
    <row r="1940" spans="6:6">
      <c r="F1940" s="2423"/>
    </row>
    <row r="1941" spans="6:6">
      <c r="F1941" s="2423"/>
    </row>
    <row r="1942" spans="6:6">
      <c r="F1942" s="2423"/>
    </row>
    <row r="1943" spans="6:6">
      <c r="F1943" s="2423"/>
    </row>
    <row r="1944" spans="6:6">
      <c r="F1944" s="2423"/>
    </row>
    <row r="1945" spans="6:6">
      <c r="F1945" s="2423"/>
    </row>
    <row r="1946" spans="6:6">
      <c r="F1946" s="2423"/>
    </row>
    <row r="1947" spans="6:6">
      <c r="F1947" s="2423"/>
    </row>
    <row r="1948" spans="6:6">
      <c r="F1948" s="2423"/>
    </row>
    <row r="1949" spans="6:6">
      <c r="F1949" s="2423"/>
    </row>
    <row r="1950" spans="6:6">
      <c r="F1950" s="2423"/>
    </row>
    <row r="1951" spans="6:6">
      <c r="F1951" s="2423"/>
    </row>
    <row r="1952" spans="6:6">
      <c r="F1952" s="2423"/>
    </row>
    <row r="1953" spans="6:6">
      <c r="F1953" s="2423"/>
    </row>
    <row r="1954" spans="6:6">
      <c r="F1954" s="2423"/>
    </row>
    <row r="1955" spans="6:6">
      <c r="F1955" s="2423"/>
    </row>
    <row r="1956" spans="6:6">
      <c r="F1956" s="2423"/>
    </row>
    <row r="1957" spans="6:6">
      <c r="F1957" s="2423"/>
    </row>
    <row r="1958" spans="6:6">
      <c r="F1958" s="2423"/>
    </row>
    <row r="1959" spans="6:6">
      <c r="F1959" s="2423"/>
    </row>
    <row r="1960" spans="6:6">
      <c r="F1960" s="2423"/>
    </row>
    <row r="1961" spans="6:6">
      <c r="F1961" s="2423"/>
    </row>
    <row r="1962" spans="6:6">
      <c r="F1962" s="2423"/>
    </row>
    <row r="1963" spans="6:6">
      <c r="F1963" s="2423"/>
    </row>
    <row r="1964" spans="6:6">
      <c r="F1964" s="2423"/>
    </row>
    <row r="1965" spans="6:6">
      <c r="F1965" s="2423"/>
    </row>
    <row r="1966" spans="6:6">
      <c r="F1966" s="2423"/>
    </row>
    <row r="1967" spans="6:6">
      <c r="F1967" s="2423"/>
    </row>
    <row r="1968" spans="6:6">
      <c r="F1968" s="2423"/>
    </row>
    <row r="1969" spans="6:6">
      <c r="F1969" s="2423"/>
    </row>
    <row r="1970" spans="6:6">
      <c r="F1970" s="2423"/>
    </row>
    <row r="1971" spans="6:6">
      <c r="F1971" s="2423"/>
    </row>
    <row r="1972" spans="6:6">
      <c r="F1972" s="2423"/>
    </row>
    <row r="1973" spans="6:6">
      <c r="F1973" s="2423"/>
    </row>
    <row r="1974" spans="6:6">
      <c r="F1974" s="2423"/>
    </row>
    <row r="1975" spans="6:6">
      <c r="F1975" s="2423"/>
    </row>
    <row r="1976" spans="6:6">
      <c r="F1976" s="2423"/>
    </row>
    <row r="1977" spans="6:6">
      <c r="F1977" s="2423"/>
    </row>
    <row r="1978" spans="6:6">
      <c r="F1978" s="2423"/>
    </row>
    <row r="1979" spans="6:6">
      <c r="F1979" s="2423"/>
    </row>
    <row r="1980" spans="6:6">
      <c r="F1980" s="2423"/>
    </row>
    <row r="1981" spans="6:6">
      <c r="F1981" s="2423"/>
    </row>
    <row r="1982" spans="6:6">
      <c r="F1982" s="2423"/>
    </row>
    <row r="1983" spans="6:6">
      <c r="F1983" s="2423"/>
    </row>
    <row r="1984" spans="6:6">
      <c r="F1984" s="2423"/>
    </row>
    <row r="1985" spans="6:6">
      <c r="F1985" s="2423"/>
    </row>
    <row r="1986" spans="6:6">
      <c r="F1986" s="2423"/>
    </row>
    <row r="1987" spans="6:6">
      <c r="F1987" s="2423"/>
    </row>
    <row r="1988" spans="6:6">
      <c r="F1988" s="2423"/>
    </row>
    <row r="1989" spans="6:6">
      <c r="F1989" s="2423"/>
    </row>
    <row r="1990" spans="6:6">
      <c r="F1990" s="2423"/>
    </row>
    <row r="1991" spans="6:6">
      <c r="F1991" s="2423"/>
    </row>
    <row r="1992" spans="6:6">
      <c r="F1992" s="2423"/>
    </row>
    <row r="1993" spans="6:6">
      <c r="F1993" s="2423"/>
    </row>
    <row r="1994" spans="6:6">
      <c r="F1994" s="2423"/>
    </row>
    <row r="1995" spans="6:6">
      <c r="F1995" s="2423"/>
    </row>
    <row r="1996" spans="6:6">
      <c r="F1996" s="2423"/>
    </row>
    <row r="1997" spans="6:6">
      <c r="F1997" s="2423"/>
    </row>
    <row r="1998" spans="6:6">
      <c r="F1998" s="2423"/>
    </row>
    <row r="1999" spans="6:6">
      <c r="F1999" s="2423"/>
    </row>
    <row r="2000" spans="6:6">
      <c r="F2000" s="2423"/>
    </row>
    <row r="2001" spans="6:6">
      <c r="F2001" s="2423"/>
    </row>
    <row r="2002" spans="6:6">
      <c r="F2002" s="2423"/>
    </row>
    <row r="2003" spans="6:6">
      <c r="F2003" s="2423"/>
    </row>
    <row r="2004" spans="6:6">
      <c r="F2004" s="2423"/>
    </row>
    <row r="2005" spans="6:6">
      <c r="F2005" s="2423"/>
    </row>
    <row r="2006" spans="6:6">
      <c r="F2006" s="2423"/>
    </row>
    <row r="2007" spans="6:6">
      <c r="F2007" s="2423"/>
    </row>
    <row r="2008" spans="6:6">
      <c r="F2008" s="2423"/>
    </row>
    <row r="2009" spans="6:6">
      <c r="F2009" s="2423"/>
    </row>
    <row r="2010" spans="6:6">
      <c r="F2010" s="2423"/>
    </row>
    <row r="2011" spans="6:6">
      <c r="F2011" s="2423"/>
    </row>
    <row r="2012" spans="6:6">
      <c r="F2012" s="2423"/>
    </row>
    <row r="2013" spans="6:6">
      <c r="F2013" s="2423"/>
    </row>
    <row r="2014" spans="6:6">
      <c r="F2014" s="2423"/>
    </row>
    <row r="2015" spans="6:6">
      <c r="F2015" s="2423"/>
    </row>
    <row r="2016" spans="6:6">
      <c r="F2016" s="2423"/>
    </row>
    <row r="2017" spans="6:6">
      <c r="F2017" s="2423"/>
    </row>
    <row r="2018" spans="6:6">
      <c r="F2018" s="2423"/>
    </row>
    <row r="2019" spans="6:6">
      <c r="F2019" s="2423"/>
    </row>
    <row r="2020" spans="6:6">
      <c r="F2020" s="2423"/>
    </row>
    <row r="2021" spans="6:6">
      <c r="F2021" s="2423"/>
    </row>
    <row r="2022" spans="6:6">
      <c r="F2022" s="2423"/>
    </row>
    <row r="2023" spans="6:6">
      <c r="F2023" s="2423"/>
    </row>
    <row r="2024" spans="6:6">
      <c r="F2024" s="2423"/>
    </row>
    <row r="2025" spans="6:6">
      <c r="F2025" s="2423"/>
    </row>
    <row r="2026" spans="6:6">
      <c r="F2026" s="2423"/>
    </row>
    <row r="2027" spans="6:6">
      <c r="F2027" s="2423"/>
    </row>
    <row r="2028" spans="6:6">
      <c r="F2028" s="2423"/>
    </row>
    <row r="2029" spans="6:6">
      <c r="F2029" s="2423"/>
    </row>
    <row r="2030" spans="6:6">
      <c r="F2030" s="2423"/>
    </row>
    <row r="2031" spans="6:6">
      <c r="F2031" s="2423"/>
    </row>
    <row r="2032" spans="6:6">
      <c r="F2032" s="2423"/>
    </row>
    <row r="2033" spans="6:6">
      <c r="F2033" s="2423"/>
    </row>
    <row r="2034" spans="6:6">
      <c r="F2034" s="2423"/>
    </row>
    <row r="2035" spans="6:6">
      <c r="F2035" s="2423"/>
    </row>
    <row r="2036" spans="6:6">
      <c r="F2036" s="2423"/>
    </row>
    <row r="2037" spans="6:6">
      <c r="F2037" s="2423"/>
    </row>
    <row r="2038" spans="6:6">
      <c r="F2038" s="2423"/>
    </row>
    <row r="2039" spans="6:6">
      <c r="F2039" s="2423"/>
    </row>
    <row r="2040" spans="6:6">
      <c r="F2040" s="2423"/>
    </row>
    <row r="2041" spans="6:6">
      <c r="F2041" s="2423"/>
    </row>
    <row r="2042" spans="6:6">
      <c r="F2042" s="2423"/>
    </row>
    <row r="2043" spans="6:6">
      <c r="F2043" s="2423"/>
    </row>
    <row r="2044" spans="6:6">
      <c r="F2044" s="2423"/>
    </row>
    <row r="2045" spans="6:6">
      <c r="F2045" s="2423"/>
    </row>
    <row r="2046" spans="6:6">
      <c r="F2046" s="2423"/>
    </row>
    <row r="2047" spans="6:6">
      <c r="F2047" s="2423"/>
    </row>
    <row r="2048" spans="6:6">
      <c r="F2048" s="2423"/>
    </row>
    <row r="2049" spans="6:6">
      <c r="F2049" s="2423"/>
    </row>
    <row r="2050" spans="6:6">
      <c r="F2050" s="2423"/>
    </row>
    <row r="2051" spans="6:6">
      <c r="F2051" s="2423"/>
    </row>
    <row r="2052" spans="6:6">
      <c r="F2052" s="2423"/>
    </row>
    <row r="2053" spans="6:6">
      <c r="F2053" s="2423"/>
    </row>
    <row r="2054" spans="6:6">
      <c r="F2054" s="2423"/>
    </row>
    <row r="2055" spans="6:6">
      <c r="F2055" s="2423"/>
    </row>
    <row r="2056" spans="6:6">
      <c r="F2056" s="2423"/>
    </row>
    <row r="2057" spans="6:6">
      <c r="F2057" s="2423"/>
    </row>
    <row r="2058" spans="6:6">
      <c r="F2058" s="2423"/>
    </row>
    <row r="2059" spans="6:6">
      <c r="F2059" s="2423"/>
    </row>
    <row r="2060" spans="6:6">
      <c r="F2060" s="2423"/>
    </row>
    <row r="2061" spans="6:6">
      <c r="F2061" s="2423"/>
    </row>
    <row r="2062" spans="6:6">
      <c r="F2062" s="2423"/>
    </row>
    <row r="2063" spans="6:6">
      <c r="F2063" s="2423"/>
    </row>
    <row r="2064" spans="6:6">
      <c r="F2064" s="2423"/>
    </row>
    <row r="2065" spans="6:6">
      <c r="F2065" s="2423"/>
    </row>
    <row r="2066" spans="6:6">
      <c r="F2066" s="2423"/>
    </row>
    <row r="2067" spans="6:6">
      <c r="F2067" s="2423"/>
    </row>
    <row r="2068" spans="6:6">
      <c r="F2068" s="2423"/>
    </row>
    <row r="2069" spans="6:6">
      <c r="F2069" s="2423"/>
    </row>
    <row r="2070" spans="6:6">
      <c r="F2070" s="2423"/>
    </row>
    <row r="2071" spans="6:6">
      <c r="F2071" s="2423"/>
    </row>
    <row r="2072" spans="6:6">
      <c r="F2072" s="2423"/>
    </row>
    <row r="2073" spans="6:6">
      <c r="F2073" s="2423"/>
    </row>
    <row r="2074" spans="6:6">
      <c r="F2074" s="2423"/>
    </row>
    <row r="2075" spans="6:6">
      <c r="F2075" s="2423"/>
    </row>
    <row r="2076" spans="6:6">
      <c r="F2076" s="2423"/>
    </row>
    <row r="2077" spans="6:6">
      <c r="F2077" s="2423"/>
    </row>
    <row r="2078" spans="6:6">
      <c r="F2078" s="2423"/>
    </row>
    <row r="2079" spans="6:6">
      <c r="F2079" s="2423"/>
    </row>
    <row r="2080" spans="6:6">
      <c r="F2080" s="2423"/>
    </row>
    <row r="2081" spans="6:6">
      <c r="F2081" s="2423"/>
    </row>
    <row r="2082" spans="6:6">
      <c r="F2082" s="2423"/>
    </row>
    <row r="2083" spans="6:6">
      <c r="F2083" s="2423"/>
    </row>
    <row r="2084" spans="6:6">
      <c r="F2084" s="2423"/>
    </row>
    <row r="2085" spans="6:6">
      <c r="F2085" s="2423"/>
    </row>
    <row r="2086" spans="6:6">
      <c r="F2086" s="2423"/>
    </row>
    <row r="2087" spans="6:6">
      <c r="F2087" s="2423"/>
    </row>
    <row r="2088" spans="6:6">
      <c r="F2088" s="2423"/>
    </row>
    <row r="2089" spans="6:6">
      <c r="F2089" s="2423"/>
    </row>
    <row r="2090" spans="6:6">
      <c r="F2090" s="2423"/>
    </row>
    <row r="2091" spans="6:6">
      <c r="F2091" s="2423"/>
    </row>
    <row r="2092" spans="6:6">
      <c r="F2092" s="2423"/>
    </row>
    <row r="2093" spans="6:6">
      <c r="F2093" s="2423"/>
    </row>
    <row r="2094" spans="6:6">
      <c r="F2094" s="2423"/>
    </row>
    <row r="2095" spans="6:6">
      <c r="F2095" s="2423"/>
    </row>
    <row r="2096" spans="6:6">
      <c r="F2096" s="2423"/>
    </row>
    <row r="2097" spans="6:6">
      <c r="F2097" s="2423"/>
    </row>
    <row r="2098" spans="6:6">
      <c r="F2098" s="2423"/>
    </row>
    <row r="2099" spans="6:6">
      <c r="F2099" s="2423"/>
    </row>
    <row r="2100" spans="6:6">
      <c r="F2100" s="2423"/>
    </row>
    <row r="2101" spans="6:6">
      <c r="F2101" s="2423"/>
    </row>
    <row r="2102" spans="6:6">
      <c r="F2102" s="2423"/>
    </row>
    <row r="2103" spans="6:6">
      <c r="F2103" s="2423"/>
    </row>
    <row r="2104" spans="6:6">
      <c r="F2104" s="2423"/>
    </row>
    <row r="2105" spans="6:6">
      <c r="F2105" s="2423"/>
    </row>
    <row r="2106" spans="6:6">
      <c r="F2106" s="2423"/>
    </row>
    <row r="2107" spans="6:6">
      <c r="F2107" s="2423"/>
    </row>
    <row r="2108" spans="6:6">
      <c r="F2108" s="2423"/>
    </row>
    <row r="2109" spans="6:6">
      <c r="F2109" s="2423"/>
    </row>
    <row r="2110" spans="6:6">
      <c r="F2110" s="2423"/>
    </row>
    <row r="2111" spans="6:6">
      <c r="F2111" s="2423"/>
    </row>
    <row r="2112" spans="6:6">
      <c r="F2112" s="2423"/>
    </row>
    <row r="2113" spans="6:6">
      <c r="F2113" s="2423"/>
    </row>
    <row r="2114" spans="6:6">
      <c r="F2114" s="2423"/>
    </row>
    <row r="2115" spans="6:6">
      <c r="F2115" s="2423"/>
    </row>
    <row r="2116" spans="6:6">
      <c r="F2116" s="2423"/>
    </row>
    <row r="2117" spans="6:6">
      <c r="F2117" s="2423"/>
    </row>
    <row r="2118" spans="6:6">
      <c r="F2118" s="2423"/>
    </row>
    <row r="2119" spans="6:6">
      <c r="F2119" s="2423"/>
    </row>
    <row r="2120" spans="6:6">
      <c r="F2120" s="2423"/>
    </row>
    <row r="2121" spans="6:6">
      <c r="F2121" s="2423"/>
    </row>
    <row r="2122" spans="6:6">
      <c r="F2122" s="2423"/>
    </row>
    <row r="2123" spans="6:6">
      <c r="F2123" s="2423"/>
    </row>
    <row r="2124" spans="6:6">
      <c r="F2124" s="2423"/>
    </row>
    <row r="2125" spans="6:6">
      <c r="F2125" s="2423"/>
    </row>
    <row r="2126" spans="6:6">
      <c r="F2126" s="2423"/>
    </row>
    <row r="2127" spans="6:6">
      <c r="F2127" s="2423"/>
    </row>
    <row r="2128" spans="6:6">
      <c r="F2128" s="2423"/>
    </row>
    <row r="2129" spans="6:6">
      <c r="F2129" s="2423"/>
    </row>
    <row r="2130" spans="6:6">
      <c r="F2130" s="2423"/>
    </row>
    <row r="2131" spans="6:6">
      <c r="F2131" s="2423"/>
    </row>
    <row r="2132" spans="6:6">
      <c r="F2132" s="2423"/>
    </row>
    <row r="2133" spans="6:6">
      <c r="F2133" s="2423"/>
    </row>
    <row r="2134" spans="6:6">
      <c r="F2134" s="2423"/>
    </row>
    <row r="2135" spans="6:6">
      <c r="F2135" s="2423"/>
    </row>
    <row r="2136" spans="6:6">
      <c r="F2136" s="2423"/>
    </row>
    <row r="2137" spans="6:6">
      <c r="F2137" s="2423"/>
    </row>
    <row r="2138" spans="6:6">
      <c r="F2138" s="2423"/>
    </row>
    <row r="2139" spans="6:6">
      <c r="F2139" s="2423"/>
    </row>
    <row r="2140" spans="6:6">
      <c r="F2140" s="2423"/>
    </row>
    <row r="2141" spans="6:6">
      <c r="F2141" s="2423"/>
    </row>
    <row r="2142" spans="6:6">
      <c r="F2142" s="2423"/>
    </row>
    <row r="2143" spans="6:6">
      <c r="F2143" s="2423"/>
    </row>
    <row r="2144" spans="6:6">
      <c r="F2144" s="2423"/>
    </row>
    <row r="2145" spans="6:6">
      <c r="F2145" s="2423"/>
    </row>
    <row r="2146" spans="6:6">
      <c r="F2146" s="2423"/>
    </row>
    <row r="2147" spans="6:6">
      <c r="F2147" s="2423"/>
    </row>
    <row r="2148" spans="6:6">
      <c r="F2148" s="2423"/>
    </row>
    <row r="2149" spans="6:6">
      <c r="F2149" s="2423"/>
    </row>
    <row r="2150" spans="6:6">
      <c r="F2150" s="2423"/>
    </row>
    <row r="2151" spans="6:6">
      <c r="F2151" s="2423"/>
    </row>
    <row r="2152" spans="6:6">
      <c r="F2152" s="2423"/>
    </row>
    <row r="2153" spans="6:6">
      <c r="F2153" s="2423"/>
    </row>
    <row r="2154" spans="6:6">
      <c r="F2154" s="2423"/>
    </row>
    <row r="2155" spans="6:6">
      <c r="F2155" s="2423"/>
    </row>
    <row r="2156" spans="6:6">
      <c r="F2156" s="2423"/>
    </row>
    <row r="2157" spans="6:6">
      <c r="F2157" s="2423"/>
    </row>
    <row r="2158" spans="6:6">
      <c r="F2158" s="2423"/>
    </row>
    <row r="2159" spans="6:6">
      <c r="F2159" s="2423"/>
    </row>
    <row r="2160" spans="6:6">
      <c r="F2160" s="2423"/>
    </row>
    <row r="2161" spans="6:6">
      <c r="F2161" s="2423"/>
    </row>
    <row r="2162" spans="6:6">
      <c r="F2162" s="2423"/>
    </row>
    <row r="2163" spans="6:6">
      <c r="F2163" s="2423"/>
    </row>
    <row r="2164" spans="6:6">
      <c r="F2164" s="2423"/>
    </row>
    <row r="2165" spans="6:6">
      <c r="F2165" s="2423"/>
    </row>
    <row r="2166" spans="6:6">
      <c r="F2166" s="2423"/>
    </row>
    <row r="2167" spans="6:6">
      <c r="F2167" s="2423"/>
    </row>
    <row r="2168" spans="6:6">
      <c r="F2168" s="2423"/>
    </row>
    <row r="2169" spans="6:6">
      <c r="F2169" s="2423"/>
    </row>
    <row r="2170" spans="6:6">
      <c r="F2170" s="2423"/>
    </row>
    <row r="2171" spans="6:6">
      <c r="F2171" s="2423"/>
    </row>
    <row r="2172" spans="6:6">
      <c r="F2172" s="2423"/>
    </row>
    <row r="2173" spans="6:6">
      <c r="F2173" s="2423"/>
    </row>
    <row r="2174" spans="6:6">
      <c r="F2174" s="2423"/>
    </row>
    <row r="2175" spans="6:6">
      <c r="F2175" s="2423"/>
    </row>
    <row r="2176" spans="6:6">
      <c r="F2176" s="2423"/>
    </row>
    <row r="2177" spans="6:6">
      <c r="F2177" s="2423"/>
    </row>
    <row r="2178" spans="6:6">
      <c r="F2178" s="2423"/>
    </row>
    <row r="2179" spans="6:6">
      <c r="F2179" s="2423"/>
    </row>
    <row r="2180" spans="6:6">
      <c r="F2180" s="2423"/>
    </row>
    <row r="2181" spans="6:6">
      <c r="F2181" s="2423"/>
    </row>
    <row r="2182" spans="6:6">
      <c r="F2182" s="2423"/>
    </row>
    <row r="2183" spans="6:6">
      <c r="F2183" s="2423"/>
    </row>
    <row r="2184" spans="6:6">
      <c r="F2184" s="2423"/>
    </row>
    <row r="2185" spans="6:6">
      <c r="F2185" s="2423"/>
    </row>
    <row r="2186" spans="6:6">
      <c r="F2186" s="2423"/>
    </row>
    <row r="2187" spans="6:6">
      <c r="F2187" s="2423"/>
    </row>
    <row r="2188" spans="6:6">
      <c r="F2188" s="2423"/>
    </row>
    <row r="2189" spans="6:6">
      <c r="F2189" s="2423"/>
    </row>
    <row r="2190" spans="6:6">
      <c r="F2190" s="2423"/>
    </row>
    <row r="2191" spans="6:6">
      <c r="F2191" s="2423"/>
    </row>
    <row r="2192" spans="6:6">
      <c r="F2192" s="2423"/>
    </row>
    <row r="2193" spans="6:6">
      <c r="F2193" s="2423"/>
    </row>
    <row r="2194" spans="6:6">
      <c r="F2194" s="2423"/>
    </row>
    <row r="2195" spans="6:6">
      <c r="F2195" s="2423"/>
    </row>
    <row r="2196" spans="6:6">
      <c r="F2196" s="2423"/>
    </row>
    <row r="2197" spans="6:6">
      <c r="F2197" s="2423"/>
    </row>
    <row r="2198" spans="6:6">
      <c r="F2198" s="2423"/>
    </row>
    <row r="2199" spans="6:6">
      <c r="F2199" s="2423"/>
    </row>
    <row r="2200" spans="6:6">
      <c r="F2200" s="2423"/>
    </row>
    <row r="2201" spans="6:6">
      <c r="F2201" s="2423"/>
    </row>
    <row r="2202" spans="6:6">
      <c r="F2202" s="2423"/>
    </row>
    <row r="2203" spans="6:6">
      <c r="F2203" s="2423"/>
    </row>
    <row r="2204" spans="6:6">
      <c r="F2204" s="2423"/>
    </row>
    <row r="2205" spans="6:6">
      <c r="F2205" s="2423"/>
    </row>
    <row r="2206" spans="6:6">
      <c r="F2206" s="2423"/>
    </row>
    <row r="2207" spans="6:6">
      <c r="F2207" s="2423"/>
    </row>
    <row r="2208" spans="6:6">
      <c r="F2208" s="2423"/>
    </row>
    <row r="2209" spans="6:6">
      <c r="F2209" s="2423"/>
    </row>
    <row r="2210" spans="6:6">
      <c r="F2210" s="2423"/>
    </row>
    <row r="2211" spans="6:6">
      <c r="F2211" s="2423"/>
    </row>
    <row r="2212" spans="6:6">
      <c r="F2212" s="2423"/>
    </row>
    <row r="2213" spans="6:6">
      <c r="F2213" s="2423"/>
    </row>
    <row r="2214" spans="6:6">
      <c r="F2214" s="2423"/>
    </row>
    <row r="2215" spans="6:6">
      <c r="F2215" s="2423"/>
    </row>
    <row r="2216" spans="6:6">
      <c r="F2216" s="2423"/>
    </row>
    <row r="2217" spans="6:6">
      <c r="F2217" s="2423"/>
    </row>
    <row r="2218" spans="6:6">
      <c r="F2218" s="2423"/>
    </row>
    <row r="2219" spans="6:6">
      <c r="F2219" s="2423"/>
    </row>
    <row r="2220" spans="6:6">
      <c r="F2220" s="2423"/>
    </row>
    <row r="2221" spans="6:6">
      <c r="F2221" s="2423"/>
    </row>
    <row r="2222" spans="6:6">
      <c r="F2222" s="2423"/>
    </row>
    <row r="2223" spans="6:6">
      <c r="F2223" s="2423"/>
    </row>
    <row r="2224" spans="6:6">
      <c r="F2224" s="2423"/>
    </row>
    <row r="2225" spans="6:6">
      <c r="F2225" s="2423"/>
    </row>
    <row r="2226" spans="6:6">
      <c r="F2226" s="2423"/>
    </row>
    <row r="2227" spans="6:6">
      <c r="F2227" s="2423"/>
    </row>
    <row r="2228" spans="6:6">
      <c r="F2228" s="2423"/>
    </row>
    <row r="2229" spans="6:6">
      <c r="F2229" s="2423"/>
    </row>
    <row r="2230" spans="6:6">
      <c r="F2230" s="2423"/>
    </row>
    <row r="2231" spans="6:6">
      <c r="F2231" s="2423"/>
    </row>
    <row r="2232" spans="6:6">
      <c r="F2232" s="2423"/>
    </row>
    <row r="2233" spans="6:6">
      <c r="F2233" s="2423"/>
    </row>
    <row r="2234" spans="6:6">
      <c r="F2234" s="2423"/>
    </row>
    <row r="2235" spans="6:6">
      <c r="F2235" s="2423"/>
    </row>
    <row r="2236" spans="6:6">
      <c r="F2236" s="2423"/>
    </row>
    <row r="2237" spans="6:6">
      <c r="F2237" s="2423"/>
    </row>
    <row r="2238" spans="6:6">
      <c r="F2238" s="2423"/>
    </row>
    <row r="2239" spans="6:6">
      <c r="F2239" s="2423"/>
    </row>
    <row r="2240" spans="6:6">
      <c r="F2240" s="2423"/>
    </row>
    <row r="2241" spans="6:6">
      <c r="F2241" s="2423"/>
    </row>
    <row r="2242" spans="6:6">
      <c r="F2242" s="2423"/>
    </row>
    <row r="2243" spans="6:6">
      <c r="F2243" s="2423"/>
    </row>
    <row r="2244" spans="6:6">
      <c r="F2244" s="2423"/>
    </row>
    <row r="2245" spans="6:6">
      <c r="F2245" s="2423"/>
    </row>
    <row r="2246" spans="6:6">
      <c r="F2246" s="2423"/>
    </row>
    <row r="2247" spans="6:6">
      <c r="F2247" s="2423"/>
    </row>
    <row r="2248" spans="6:6">
      <c r="F2248" s="2423"/>
    </row>
    <row r="2249" spans="6:6">
      <c r="F2249" s="2423"/>
    </row>
    <row r="2250" spans="6:6">
      <c r="F2250" s="2423"/>
    </row>
    <row r="2251" spans="6:6">
      <c r="F2251" s="2423"/>
    </row>
    <row r="2252" spans="6:6">
      <c r="F2252" s="2423"/>
    </row>
    <row r="2253" spans="6:6">
      <c r="F2253" s="2423"/>
    </row>
    <row r="2254" spans="6:6">
      <c r="F2254" s="2423"/>
    </row>
    <row r="2255" spans="6:6">
      <c r="F2255" s="2423"/>
    </row>
    <row r="2256" spans="6:6">
      <c r="F2256" s="2423"/>
    </row>
    <row r="2257" spans="6:6">
      <c r="F2257" s="2423"/>
    </row>
    <row r="2258" spans="6:6">
      <c r="F2258" s="2423"/>
    </row>
    <row r="2259" spans="6:6">
      <c r="F2259" s="2423"/>
    </row>
    <row r="2260" spans="6:6">
      <c r="F2260" s="2423"/>
    </row>
    <row r="2261" spans="6:6">
      <c r="F2261" s="2423"/>
    </row>
    <row r="2262" spans="6:6">
      <c r="F2262" s="2423"/>
    </row>
    <row r="2263" spans="6:6">
      <c r="F2263" s="2423"/>
    </row>
    <row r="2264" spans="6:6">
      <c r="F2264" s="2423"/>
    </row>
    <row r="2265" spans="6:6">
      <c r="F2265" s="2423"/>
    </row>
    <row r="2266" spans="6:6">
      <c r="F2266" s="2423"/>
    </row>
    <row r="2267" spans="6:6">
      <c r="F2267" s="2423"/>
    </row>
    <row r="2268" spans="6:6">
      <c r="F2268" s="2423"/>
    </row>
    <row r="2269" spans="6:6">
      <c r="F2269" s="2423"/>
    </row>
    <row r="2270" spans="6:6">
      <c r="F2270" s="2423"/>
    </row>
    <row r="2271" spans="6:6">
      <c r="F2271" s="2423"/>
    </row>
    <row r="2272" spans="6:6">
      <c r="F2272" s="2423"/>
    </row>
    <row r="2273" spans="6:6">
      <c r="F2273" s="2423"/>
    </row>
    <row r="2274" spans="6:6">
      <c r="F2274" s="2423"/>
    </row>
    <row r="2275" spans="6:6">
      <c r="F2275" s="2423"/>
    </row>
    <row r="2276" spans="6:6">
      <c r="F2276" s="2423"/>
    </row>
    <row r="2277" spans="6:6">
      <c r="F2277" s="2423"/>
    </row>
    <row r="2278" spans="6:6">
      <c r="F2278" s="2423"/>
    </row>
    <row r="2279" spans="6:6">
      <c r="F2279" s="2423"/>
    </row>
    <row r="2280" spans="6:6">
      <c r="F2280" s="2423"/>
    </row>
    <row r="2281" spans="6:6">
      <c r="F2281" s="2423"/>
    </row>
    <row r="2282" spans="6:6">
      <c r="F2282" s="2423"/>
    </row>
    <row r="2283" spans="6:6">
      <c r="F2283" s="2423"/>
    </row>
    <row r="2284" spans="6:6">
      <c r="F2284" s="2423"/>
    </row>
    <row r="2285" spans="6:6">
      <c r="F2285" s="2423"/>
    </row>
    <row r="2286" spans="6:6">
      <c r="F2286" s="2423"/>
    </row>
    <row r="2287" spans="6:6">
      <c r="F2287" s="2423"/>
    </row>
    <row r="2288" spans="6:6">
      <c r="F2288" s="2423"/>
    </row>
    <row r="2289" spans="6:6">
      <c r="F2289" s="2423"/>
    </row>
    <row r="2290" spans="6:6">
      <c r="F2290" s="2423"/>
    </row>
    <row r="2291" spans="6:6">
      <c r="F2291" s="2423"/>
    </row>
    <row r="2292" spans="6:6">
      <c r="F2292" s="2423"/>
    </row>
    <row r="2293" spans="6:6">
      <c r="F2293" s="2423"/>
    </row>
    <row r="2294" spans="6:6">
      <c r="F2294" s="2423"/>
    </row>
    <row r="2295" spans="6:6">
      <c r="F2295" s="2423"/>
    </row>
    <row r="2296" spans="6:6">
      <c r="F2296" s="2423"/>
    </row>
    <row r="2297" spans="6:6">
      <c r="F2297" s="2423"/>
    </row>
    <row r="2298" spans="6:6">
      <c r="F2298" s="2423"/>
    </row>
    <row r="2299" spans="6:6">
      <c r="F2299" s="2423"/>
    </row>
    <row r="2300" spans="6:6">
      <c r="F2300" s="2423"/>
    </row>
    <row r="2301" spans="6:6">
      <c r="F2301" s="2423"/>
    </row>
    <row r="2302" spans="6:6">
      <c r="F2302" s="2423"/>
    </row>
    <row r="2303" spans="6:6">
      <c r="F2303" s="2423"/>
    </row>
    <row r="2304" spans="6:6">
      <c r="F2304" s="2423"/>
    </row>
    <row r="2305" spans="6:6">
      <c r="F2305" s="2423"/>
    </row>
    <row r="2306" spans="6:6">
      <c r="F2306" s="2423"/>
    </row>
    <row r="2307" spans="6:6">
      <c r="F2307" s="2423"/>
    </row>
    <row r="2308" spans="6:6">
      <c r="F2308" s="2423"/>
    </row>
    <row r="2309" spans="6:6">
      <c r="F2309" s="2423"/>
    </row>
    <row r="2310" spans="6:6">
      <c r="F2310" s="2423"/>
    </row>
    <row r="2311" spans="6:6">
      <c r="F2311" s="2423"/>
    </row>
    <row r="2312" spans="6:6">
      <c r="F2312" s="2423"/>
    </row>
    <row r="2313" spans="6:6">
      <c r="F2313" s="2423"/>
    </row>
    <row r="2314" spans="6:6">
      <c r="F2314" s="2423"/>
    </row>
    <row r="2315" spans="6:6">
      <c r="F2315" s="2423"/>
    </row>
    <row r="2316" spans="6:6">
      <c r="F2316" s="2423"/>
    </row>
    <row r="2317" spans="6:6">
      <c r="F2317" s="2423"/>
    </row>
    <row r="2318" spans="6:6">
      <c r="F2318" s="2423"/>
    </row>
    <row r="2319" spans="6:6">
      <c r="F2319" s="2423"/>
    </row>
    <row r="2320" spans="6:6">
      <c r="F2320" s="2423"/>
    </row>
    <row r="2321" spans="6:6">
      <c r="F2321" s="2423"/>
    </row>
    <row r="2322" spans="6:6">
      <c r="F2322" s="2423"/>
    </row>
    <row r="2323" spans="6:6">
      <c r="F2323" s="2423"/>
    </row>
    <row r="2324" spans="6:6">
      <c r="F2324" s="2423"/>
    </row>
    <row r="2325" spans="6:6">
      <c r="F2325" s="2423"/>
    </row>
    <row r="2326" spans="6:6">
      <c r="F2326" s="2423"/>
    </row>
    <row r="2327" spans="6:6">
      <c r="F2327" s="2423"/>
    </row>
    <row r="2328" spans="6:6">
      <c r="F2328" s="2423"/>
    </row>
    <row r="2329" spans="6:6">
      <c r="F2329" s="2423"/>
    </row>
    <row r="2330" spans="6:6">
      <c r="F2330" s="2423"/>
    </row>
    <row r="2331" spans="6:6">
      <c r="F2331" s="2423"/>
    </row>
    <row r="2332" spans="6:6">
      <c r="F2332" s="2423"/>
    </row>
    <row r="2333" spans="6:6">
      <c r="F2333" s="2423"/>
    </row>
    <row r="2334" spans="6:6">
      <c r="F2334" s="2423"/>
    </row>
    <row r="2335" spans="6:6">
      <c r="F2335" s="2423"/>
    </row>
    <row r="2336" spans="6:6">
      <c r="F2336" s="2423"/>
    </row>
    <row r="2337" spans="6:6">
      <c r="F2337" s="2423"/>
    </row>
    <row r="2338" spans="6:6">
      <c r="F2338" s="2423"/>
    </row>
    <row r="2339" spans="6:6">
      <c r="F2339" s="2423"/>
    </row>
    <row r="2340" spans="6:6">
      <c r="F2340" s="2423"/>
    </row>
    <row r="2341" spans="6:6">
      <c r="F2341" s="2423"/>
    </row>
    <row r="2342" spans="6:6">
      <c r="F2342" s="2423"/>
    </row>
    <row r="2343" spans="6:6">
      <c r="F2343" s="2423"/>
    </row>
    <row r="2344" spans="6:6">
      <c r="F2344" s="2423"/>
    </row>
    <row r="2345" spans="6:6">
      <c r="F2345" s="2423"/>
    </row>
    <row r="2346" spans="6:6">
      <c r="F2346" s="2423"/>
    </row>
    <row r="2347" spans="6:6">
      <c r="F2347" s="2423"/>
    </row>
    <row r="2348" spans="6:6">
      <c r="F2348" s="2423"/>
    </row>
    <row r="2349" spans="6:6">
      <c r="F2349" s="2423"/>
    </row>
    <row r="2350" spans="6:6">
      <c r="F2350" s="2423"/>
    </row>
    <row r="2351" spans="6:6">
      <c r="F2351" s="2423"/>
    </row>
    <row r="2352" spans="6:6">
      <c r="F2352" s="2423"/>
    </row>
    <row r="2353" spans="6:6">
      <c r="F2353" s="2423"/>
    </row>
    <row r="2354" spans="6:6">
      <c r="F2354" s="2423"/>
    </row>
    <row r="2355" spans="6:6">
      <c r="F2355" s="2423"/>
    </row>
    <row r="2356" spans="6:6">
      <c r="F2356" s="2423"/>
    </row>
    <row r="2357" spans="6:6">
      <c r="F2357" s="2423"/>
    </row>
    <row r="2358" spans="6:6">
      <c r="F2358" s="2423"/>
    </row>
    <row r="2359" spans="6:6">
      <c r="F2359" s="2423"/>
    </row>
    <row r="2360" spans="6:6">
      <c r="F2360" s="2423"/>
    </row>
    <row r="2361" spans="6:6">
      <c r="F2361" s="2423"/>
    </row>
    <row r="2362" spans="6:6">
      <c r="F2362" s="2423"/>
    </row>
    <row r="2363" spans="6:6">
      <c r="F2363" s="2423"/>
    </row>
    <row r="2364" spans="6:6">
      <c r="F2364" s="2423"/>
    </row>
    <row r="2365" spans="6:6">
      <c r="F2365" s="2423"/>
    </row>
    <row r="2366" spans="6:6">
      <c r="F2366" s="2423"/>
    </row>
    <row r="2367" spans="6:6">
      <c r="F2367" s="2423"/>
    </row>
    <row r="2368" spans="6:6">
      <c r="F2368" s="2423"/>
    </row>
    <row r="2369" spans="6:6">
      <c r="F2369" s="2423"/>
    </row>
    <row r="2370" spans="6:6">
      <c r="F2370" s="2423"/>
    </row>
    <row r="2371" spans="6:6">
      <c r="F2371" s="2423"/>
    </row>
    <row r="2372" spans="6:6">
      <c r="F2372" s="2423"/>
    </row>
    <row r="2373" spans="6:6">
      <c r="F2373" s="2423"/>
    </row>
    <row r="2374" spans="6:6">
      <c r="F2374" s="2423"/>
    </row>
    <row r="2375" spans="6:6">
      <c r="F2375" s="2423"/>
    </row>
    <row r="2376" spans="6:6">
      <c r="F2376" s="2423"/>
    </row>
    <row r="2377" spans="6:6">
      <c r="F2377" s="2423"/>
    </row>
    <row r="2378" spans="6:6">
      <c r="F2378" s="2423"/>
    </row>
    <row r="2379" spans="6:6">
      <c r="F2379" s="2423"/>
    </row>
    <row r="2380" spans="6:6">
      <c r="F2380" s="2423"/>
    </row>
    <row r="2381" spans="6:6">
      <c r="F2381" s="2423"/>
    </row>
    <row r="2382" spans="6:6">
      <c r="F2382" s="2423"/>
    </row>
    <row r="2383" spans="6:6">
      <c r="F2383" s="2423"/>
    </row>
    <row r="2384" spans="6:6">
      <c r="F2384" s="2423"/>
    </row>
    <row r="2385" spans="6:6">
      <c r="F2385" s="2423"/>
    </row>
    <row r="2386" spans="6:6">
      <c r="F2386" s="2423"/>
    </row>
    <row r="2387" spans="6:6">
      <c r="F2387" s="2423"/>
    </row>
    <row r="2388" spans="6:6">
      <c r="F2388" s="2423"/>
    </row>
    <row r="2389" spans="6:6">
      <c r="F2389" s="2423"/>
    </row>
    <row r="2390" spans="6:6">
      <c r="F2390" s="2423"/>
    </row>
    <row r="2391" spans="6:6">
      <c r="F2391" s="2423"/>
    </row>
    <row r="2392" spans="6:6">
      <c r="F2392" s="2423"/>
    </row>
    <row r="2393" spans="6:6">
      <c r="F2393" s="2423"/>
    </row>
    <row r="2394" spans="6:6">
      <c r="F2394" s="2423"/>
    </row>
    <row r="2395" spans="6:6">
      <c r="F2395" s="2423"/>
    </row>
    <row r="2396" spans="6:6">
      <c r="F2396" s="2423"/>
    </row>
    <row r="2397" spans="6:6">
      <c r="F2397" s="2423"/>
    </row>
    <row r="2398" spans="6:6">
      <c r="F2398" s="2423"/>
    </row>
    <row r="2399" spans="6:6">
      <c r="F2399" s="2423"/>
    </row>
    <row r="2400" spans="6:6">
      <c r="F2400" s="2423"/>
    </row>
    <row r="2401" spans="6:6">
      <c r="F2401" s="2423"/>
    </row>
    <row r="2402" spans="6:6">
      <c r="F2402" s="2423"/>
    </row>
    <row r="2403" spans="6:6">
      <c r="F2403" s="2423"/>
    </row>
    <row r="2404" spans="6:6">
      <c r="F2404" s="2423"/>
    </row>
    <row r="2405" spans="6:6">
      <c r="F2405" s="2423"/>
    </row>
    <row r="2406" spans="6:6">
      <c r="F2406" s="2423"/>
    </row>
    <row r="2407" spans="6:6">
      <c r="F2407" s="2423"/>
    </row>
    <row r="2408" spans="6:6">
      <c r="F2408" s="2423"/>
    </row>
    <row r="2409" spans="6:6">
      <c r="F2409" s="2423"/>
    </row>
    <row r="2410" spans="6:6">
      <c r="F2410" s="2423"/>
    </row>
    <row r="2411" spans="6:6">
      <c r="F2411" s="2423"/>
    </row>
    <row r="2412" spans="6:6">
      <c r="F2412" s="2423"/>
    </row>
    <row r="2413" spans="6:6">
      <c r="F2413" s="2423"/>
    </row>
    <row r="2414" spans="6:6">
      <c r="F2414" s="2423"/>
    </row>
    <row r="2415" spans="6:6">
      <c r="F2415" s="2423"/>
    </row>
    <row r="2416" spans="6:6">
      <c r="F2416" s="2423"/>
    </row>
    <row r="2417" spans="6:6">
      <c r="F2417" s="2423"/>
    </row>
    <row r="2418" spans="6:6">
      <c r="F2418" s="2423"/>
    </row>
    <row r="2419" spans="6:6">
      <c r="F2419" s="2423"/>
    </row>
    <row r="2420" spans="6:6">
      <c r="F2420" s="2423"/>
    </row>
    <row r="2421" spans="6:6">
      <c r="F2421" s="2423"/>
    </row>
    <row r="2422" spans="6:6">
      <c r="F2422" s="2423"/>
    </row>
    <row r="2423" spans="6:6">
      <c r="F2423" s="2423"/>
    </row>
    <row r="2424" spans="6:6">
      <c r="F2424" s="2423"/>
    </row>
    <row r="2425" spans="6:6">
      <c r="F2425" s="2423"/>
    </row>
    <row r="2426" spans="6:6">
      <c r="F2426" s="2423"/>
    </row>
    <row r="2427" spans="6:6">
      <c r="F2427" s="2423"/>
    </row>
    <row r="2428" spans="6:6">
      <c r="F2428" s="2423"/>
    </row>
    <row r="2429" spans="6:6">
      <c r="F2429" s="2423"/>
    </row>
    <row r="2430" spans="6:6">
      <c r="F2430" s="2423"/>
    </row>
    <row r="2431" spans="6:6">
      <c r="F2431" s="2423"/>
    </row>
    <row r="2432" spans="6:6">
      <c r="F2432" s="2423"/>
    </row>
    <row r="2433" spans="6:6">
      <c r="F2433" s="2423"/>
    </row>
    <row r="2434" spans="6:6">
      <c r="F2434" s="2423"/>
    </row>
    <row r="2435" spans="6:6">
      <c r="F2435" s="2423"/>
    </row>
    <row r="2436" spans="6:6">
      <c r="F2436" s="2423"/>
    </row>
    <row r="2437" spans="6:6">
      <c r="F2437" s="2423"/>
    </row>
    <row r="2438" spans="6:6">
      <c r="F2438" s="2423"/>
    </row>
    <row r="2439" spans="6:6">
      <c r="F2439" s="2423"/>
    </row>
    <row r="2440" spans="6:6">
      <c r="F2440" s="2423"/>
    </row>
    <row r="2441" spans="6:6">
      <c r="F2441" s="2423"/>
    </row>
    <row r="2442" spans="6:6">
      <c r="F2442" s="2423"/>
    </row>
    <row r="2443" spans="6:6">
      <c r="F2443" s="2423"/>
    </row>
    <row r="2444" spans="6:6">
      <c r="F2444" s="2423"/>
    </row>
    <row r="2445" spans="6:6">
      <c r="F2445" s="2423"/>
    </row>
    <row r="2446" spans="6:6">
      <c r="F2446" s="2423"/>
    </row>
    <row r="2447" spans="6:6">
      <c r="F2447" s="2423"/>
    </row>
    <row r="2448" spans="6:6">
      <c r="F2448" s="2423"/>
    </row>
    <row r="2449" spans="6:6">
      <c r="F2449" s="2423"/>
    </row>
    <row r="2450" spans="6:6">
      <c r="F2450" s="2423"/>
    </row>
    <row r="2451" spans="6:6">
      <c r="F2451" s="2423"/>
    </row>
    <row r="2452" spans="6:6">
      <c r="F2452" s="2423"/>
    </row>
    <row r="2453" spans="6:6">
      <c r="F2453" s="2423"/>
    </row>
    <row r="2454" spans="6:6">
      <c r="F2454" s="2423"/>
    </row>
    <row r="2455" spans="6:6">
      <c r="F2455" s="2423"/>
    </row>
    <row r="2456" spans="6:6">
      <c r="F2456" s="2423"/>
    </row>
    <row r="2457" spans="6:6">
      <c r="F2457" s="2423"/>
    </row>
    <row r="2458" spans="6:6">
      <c r="F2458" s="2423"/>
    </row>
    <row r="2459" spans="6:6">
      <c r="F2459" s="2423"/>
    </row>
    <row r="2460" spans="6:6">
      <c r="F2460" s="2423"/>
    </row>
    <row r="2461" spans="6:6">
      <c r="F2461" s="2423"/>
    </row>
    <row r="2462" spans="6:6">
      <c r="F2462" s="2423"/>
    </row>
    <row r="2463" spans="6:6">
      <c r="F2463" s="2423"/>
    </row>
    <row r="2464" spans="6:6">
      <c r="F2464" s="2423"/>
    </row>
    <row r="2465" spans="6:6">
      <c r="F2465" s="2423"/>
    </row>
    <row r="2466" spans="6:6">
      <c r="F2466" s="2423"/>
    </row>
    <row r="2467" spans="6:6">
      <c r="F2467" s="2423"/>
    </row>
    <row r="2468" spans="6:6">
      <c r="F2468" s="2423"/>
    </row>
    <row r="2469" spans="6:6">
      <c r="F2469" s="2423"/>
    </row>
    <row r="2470" spans="6:6">
      <c r="F2470" s="2423"/>
    </row>
    <row r="2471" spans="6:6">
      <c r="F2471" s="2423"/>
    </row>
    <row r="2472" spans="6:6">
      <c r="F2472" s="2423"/>
    </row>
    <row r="2473" spans="6:6">
      <c r="F2473" s="2423"/>
    </row>
    <row r="2474" spans="6:6">
      <c r="F2474" s="2423"/>
    </row>
    <row r="2475" spans="6:6">
      <c r="F2475" s="2423"/>
    </row>
    <row r="2476" spans="6:6">
      <c r="F2476" s="2423"/>
    </row>
    <row r="2477" spans="6:6">
      <c r="F2477" s="2423"/>
    </row>
    <row r="2478" spans="6:6">
      <c r="F2478" s="2423"/>
    </row>
    <row r="2479" spans="6:6">
      <c r="F2479" s="2423"/>
    </row>
    <row r="2480" spans="6:6">
      <c r="F2480" s="2423"/>
    </row>
    <row r="2481" spans="6:6">
      <c r="F2481" s="2423"/>
    </row>
    <row r="2482" spans="6:6">
      <c r="F2482" s="2423"/>
    </row>
    <row r="2483" spans="6:6">
      <c r="F2483" s="2423"/>
    </row>
    <row r="2484" spans="6:6">
      <c r="F2484" s="2423"/>
    </row>
    <row r="2485" spans="6:6">
      <c r="F2485" s="2423"/>
    </row>
    <row r="2486" spans="6:6">
      <c r="F2486" s="2423"/>
    </row>
    <row r="2487" spans="6:6">
      <c r="F2487" s="2423"/>
    </row>
    <row r="2488" spans="6:6">
      <c r="F2488" s="2423"/>
    </row>
    <row r="2489" spans="6:6">
      <c r="F2489" s="2423"/>
    </row>
    <row r="2490" spans="6:6">
      <c r="F2490" s="2423"/>
    </row>
    <row r="2491" spans="6:6">
      <c r="F2491" s="2423"/>
    </row>
    <row r="2492" spans="6:6">
      <c r="F2492" s="2423"/>
    </row>
    <row r="2493" spans="6:6">
      <c r="F2493" s="2423"/>
    </row>
    <row r="2494" spans="6:6">
      <c r="F2494" s="2423"/>
    </row>
    <row r="2495" spans="6:6">
      <c r="F2495" s="2423"/>
    </row>
    <row r="2496" spans="6:6">
      <c r="F2496" s="2423"/>
    </row>
    <row r="2497" spans="6:6">
      <c r="F2497" s="2423"/>
    </row>
    <row r="2498" spans="6:6">
      <c r="F2498" s="2423"/>
    </row>
    <row r="2499" spans="6:6">
      <c r="F2499" s="2423"/>
    </row>
    <row r="2500" spans="6:6">
      <c r="F2500" s="2423"/>
    </row>
    <row r="2501" spans="6:6">
      <c r="F2501" s="2423"/>
    </row>
    <row r="2502" spans="6:6">
      <c r="F2502" s="2423"/>
    </row>
    <row r="2503" spans="6:6">
      <c r="F2503" s="2423"/>
    </row>
    <row r="2504" spans="6:6">
      <c r="F2504" s="2423"/>
    </row>
    <row r="2505" spans="6:6">
      <c r="F2505" s="2423"/>
    </row>
    <row r="2506" spans="6:6">
      <c r="F2506" s="2423"/>
    </row>
    <row r="2507" spans="6:6">
      <c r="F2507" s="2423"/>
    </row>
    <row r="2508" spans="6:6">
      <c r="F2508" s="2423"/>
    </row>
    <row r="2509" spans="6:6">
      <c r="F2509" s="2423"/>
    </row>
    <row r="2510" spans="6:6">
      <c r="F2510" s="2423"/>
    </row>
    <row r="2511" spans="6:6">
      <c r="F2511" s="2423"/>
    </row>
    <row r="2512" spans="6:6">
      <c r="F2512" s="2423"/>
    </row>
    <row r="2513" spans="6:6">
      <c r="F2513" s="2423"/>
    </row>
    <row r="2514" spans="6:6">
      <c r="F2514" s="2423"/>
    </row>
    <row r="2515" spans="6:6">
      <c r="F2515" s="2423"/>
    </row>
    <row r="2516" spans="6:6">
      <c r="F2516" s="2423"/>
    </row>
    <row r="2517" spans="6:6">
      <c r="F2517" s="2423"/>
    </row>
    <row r="2518" spans="6:6">
      <c r="F2518" s="2423"/>
    </row>
    <row r="2519" spans="6:6">
      <c r="F2519" s="2423"/>
    </row>
    <row r="2520" spans="6:6">
      <c r="F2520" s="2423"/>
    </row>
    <row r="2521" spans="6:6">
      <c r="F2521" s="2423"/>
    </row>
    <row r="2522" spans="6:6">
      <c r="F2522" s="2423"/>
    </row>
    <row r="2523" spans="6:6">
      <c r="F2523" s="2423"/>
    </row>
    <row r="2524" spans="6:6">
      <c r="F2524" s="2423"/>
    </row>
    <row r="2525" spans="6:6">
      <c r="F2525" s="2423"/>
    </row>
    <row r="2526" spans="6:6">
      <c r="F2526" s="2423"/>
    </row>
    <row r="2527" spans="6:6">
      <c r="F2527" s="2423"/>
    </row>
    <row r="2528" spans="6:6">
      <c r="F2528" s="2423"/>
    </row>
    <row r="2529" spans="6:6">
      <c r="F2529" s="2423"/>
    </row>
    <row r="2530" spans="6:6">
      <c r="F2530" s="2423"/>
    </row>
    <row r="2531" spans="6:6">
      <c r="F2531" s="2423"/>
    </row>
    <row r="2532" spans="6:6">
      <c r="F2532" s="2423"/>
    </row>
    <row r="2533" spans="6:6">
      <c r="F2533" s="2423"/>
    </row>
    <row r="2534" spans="6:6">
      <c r="F2534" s="2423"/>
    </row>
    <row r="2535" spans="6:6">
      <c r="F2535" s="2423"/>
    </row>
    <row r="2536" spans="6:6">
      <c r="F2536" s="2423"/>
    </row>
    <row r="2537" spans="6:6">
      <c r="F2537" s="2423"/>
    </row>
    <row r="2538" spans="6:6">
      <c r="F2538" s="2423"/>
    </row>
    <row r="2539" spans="6:6">
      <c r="F2539" s="2423"/>
    </row>
    <row r="2540" spans="6:6">
      <c r="F2540" s="2423"/>
    </row>
    <row r="2541" spans="6:6">
      <c r="F2541" s="2423"/>
    </row>
    <row r="2542" spans="6:6">
      <c r="F2542" s="2423"/>
    </row>
    <row r="2543" spans="6:6">
      <c r="F2543" s="2423"/>
    </row>
    <row r="2544" spans="6:6">
      <c r="F2544" s="2423"/>
    </row>
    <row r="2545" spans="6:6">
      <c r="F2545" s="2423"/>
    </row>
    <row r="2546" spans="6:6">
      <c r="F2546" s="2423"/>
    </row>
    <row r="2547" spans="6:6">
      <c r="F2547" s="2423"/>
    </row>
    <row r="2548" spans="6:6">
      <c r="F2548" s="2423"/>
    </row>
    <row r="2549" spans="6:6">
      <c r="F2549" s="2423"/>
    </row>
    <row r="2550" spans="6:6">
      <c r="F2550" s="2423"/>
    </row>
    <row r="2551" spans="6:6">
      <c r="F2551" s="2423"/>
    </row>
    <row r="2552" spans="6:6">
      <c r="F2552" s="2423"/>
    </row>
    <row r="2553" spans="6:6">
      <c r="F2553" s="2423"/>
    </row>
    <row r="2554" spans="6:6">
      <c r="F2554" s="2423"/>
    </row>
    <row r="2555" spans="6:6">
      <c r="F2555" s="2423"/>
    </row>
    <row r="2556" spans="6:6">
      <c r="F2556" s="2423"/>
    </row>
    <row r="2557" spans="6:6">
      <c r="F2557" s="2423"/>
    </row>
    <row r="2558" spans="6:6">
      <c r="F2558" s="2423"/>
    </row>
    <row r="2559" spans="6:6">
      <c r="F2559" s="2423"/>
    </row>
    <row r="2560" spans="6:6">
      <c r="F2560" s="2423"/>
    </row>
    <row r="2561" spans="6:6">
      <c r="F2561" s="2423"/>
    </row>
    <row r="2562" spans="6:6">
      <c r="F2562" s="2423"/>
    </row>
    <row r="2563" spans="6:6">
      <c r="F2563" s="2423"/>
    </row>
    <row r="2564" spans="6:6">
      <c r="F2564" s="2423"/>
    </row>
    <row r="2565" spans="6:6">
      <c r="F2565" s="2423"/>
    </row>
    <row r="2566" spans="6:6">
      <c r="F2566" s="2423"/>
    </row>
    <row r="2567" spans="6:6">
      <c r="F2567" s="2423"/>
    </row>
    <row r="2568" spans="6:6">
      <c r="F2568" s="2423"/>
    </row>
    <row r="2569" spans="6:6">
      <c r="F2569" s="2423"/>
    </row>
    <row r="2570" spans="6:6">
      <c r="F2570" s="2423"/>
    </row>
    <row r="2571" spans="6:6">
      <c r="F2571" s="2423"/>
    </row>
    <row r="2572" spans="6:6">
      <c r="F2572" s="2423"/>
    </row>
    <row r="2573" spans="6:6">
      <c r="F2573" s="2423"/>
    </row>
    <row r="2574" spans="6:6">
      <c r="F2574" s="2423"/>
    </row>
    <row r="2575" spans="6:6">
      <c r="F2575" s="2423"/>
    </row>
    <row r="2576" spans="6:6">
      <c r="F2576" s="2423"/>
    </row>
    <row r="2577" spans="6:6">
      <c r="F2577" s="2423"/>
    </row>
    <row r="2578" spans="6:6">
      <c r="F2578" s="2423"/>
    </row>
    <row r="2579" spans="6:6">
      <c r="F2579" s="2423"/>
    </row>
    <row r="2580" spans="6:6">
      <c r="F2580" s="2423"/>
    </row>
    <row r="2581" spans="6:6">
      <c r="F2581" s="2423"/>
    </row>
    <row r="2582" spans="6:6">
      <c r="F2582" s="2423"/>
    </row>
    <row r="2583" spans="6:6">
      <c r="F2583" s="2423"/>
    </row>
    <row r="2584" spans="6:6">
      <c r="F2584" s="2423"/>
    </row>
    <row r="2585" spans="6:6">
      <c r="F2585" s="2423"/>
    </row>
    <row r="2586" spans="6:6">
      <c r="F2586" s="2423"/>
    </row>
    <row r="2587" spans="6:6">
      <c r="F2587" s="2423"/>
    </row>
    <row r="2588" spans="6:6">
      <c r="F2588" s="2423"/>
    </row>
    <row r="2589" spans="6:6">
      <c r="F2589" s="2423"/>
    </row>
    <row r="2590" spans="6:6">
      <c r="F2590" s="2423"/>
    </row>
    <row r="2591" spans="6:6">
      <c r="F2591" s="2423"/>
    </row>
    <row r="2592" spans="6:6">
      <c r="F2592" s="2423"/>
    </row>
    <row r="2593" spans="6:6">
      <c r="F2593" s="2423"/>
    </row>
    <row r="2594" spans="6:6">
      <c r="F2594" s="2423"/>
    </row>
    <row r="2595" spans="6:6">
      <c r="F2595" s="2423"/>
    </row>
    <row r="2596" spans="6:6">
      <c r="F2596" s="2423"/>
    </row>
    <row r="2597" spans="6:6">
      <c r="F2597" s="2423"/>
    </row>
    <row r="2598" spans="6:6">
      <c r="F2598" s="2423"/>
    </row>
    <row r="2599" spans="6:6">
      <c r="F2599" s="2423"/>
    </row>
    <row r="2600" spans="6:6">
      <c r="F2600" s="2423"/>
    </row>
    <row r="2601" spans="6:6">
      <c r="F2601" s="2423"/>
    </row>
    <row r="2602" spans="6:6">
      <c r="F2602" s="2423"/>
    </row>
    <row r="2603" spans="6:6">
      <c r="F2603" s="2423"/>
    </row>
    <row r="2604" spans="6:6">
      <c r="F2604" s="2423"/>
    </row>
    <row r="2605" spans="6:6">
      <c r="F2605" s="2423"/>
    </row>
    <row r="2606" spans="6:6">
      <c r="F2606" s="2423"/>
    </row>
    <row r="2607" spans="6:6">
      <c r="F2607" s="2423"/>
    </row>
    <row r="2608" spans="6:6">
      <c r="F2608" s="2423"/>
    </row>
    <row r="2609" spans="6:6">
      <c r="F2609" s="2423"/>
    </row>
    <row r="2610" spans="6:6">
      <c r="F2610" s="2423"/>
    </row>
    <row r="2611" spans="6:6">
      <c r="F2611" s="2423"/>
    </row>
    <row r="2612" spans="6:6">
      <c r="F2612" s="2423"/>
    </row>
    <row r="2613" spans="6:6">
      <c r="F2613" s="2423"/>
    </row>
    <row r="2614" spans="6:6">
      <c r="F2614" s="2423"/>
    </row>
    <row r="2615" spans="6:6">
      <c r="F2615" s="2423"/>
    </row>
    <row r="2616" spans="6:6">
      <c r="F2616" s="2423"/>
    </row>
    <row r="2617" spans="6:6">
      <c r="F2617" s="2423"/>
    </row>
    <row r="2618" spans="6:6">
      <c r="F2618" s="2423"/>
    </row>
    <row r="2619" spans="6:6">
      <c r="F2619" s="2423"/>
    </row>
    <row r="2620" spans="6:6">
      <c r="F2620" s="2423"/>
    </row>
    <row r="2621" spans="6:6">
      <c r="F2621" s="2423"/>
    </row>
    <row r="2622" spans="6:6">
      <c r="F2622" s="2423"/>
    </row>
    <row r="2623" spans="6:6">
      <c r="F2623" s="2423"/>
    </row>
    <row r="2624" spans="6:6">
      <c r="F2624" s="2423"/>
    </row>
    <row r="2625" spans="6:6">
      <c r="F2625" s="2423"/>
    </row>
    <row r="2626" spans="6:6">
      <c r="F2626" s="2423"/>
    </row>
    <row r="2627" spans="6:6">
      <c r="F2627" s="2423"/>
    </row>
    <row r="2628" spans="6:6">
      <c r="F2628" s="2423"/>
    </row>
    <row r="2629" spans="6:6">
      <c r="F2629" s="2423"/>
    </row>
    <row r="2630" spans="6:6">
      <c r="F2630" s="2423"/>
    </row>
    <row r="2631" spans="6:6">
      <c r="F2631" s="2423"/>
    </row>
    <row r="2632" spans="6:6">
      <c r="F2632" s="2423"/>
    </row>
    <row r="2633" spans="6:6">
      <c r="F2633" s="2423"/>
    </row>
    <row r="2634" spans="6:6">
      <c r="F2634" s="2423"/>
    </row>
    <row r="2635" spans="6:6">
      <c r="F2635" s="2423"/>
    </row>
    <row r="2636" spans="6:6">
      <c r="F2636" s="2423"/>
    </row>
    <row r="2637" spans="6:6">
      <c r="F2637" s="2423"/>
    </row>
    <row r="2638" spans="6:6">
      <c r="F2638" s="2423"/>
    </row>
    <row r="2639" spans="6:6">
      <c r="F2639" s="2423"/>
    </row>
    <row r="2640" spans="6:6">
      <c r="F2640" s="2423"/>
    </row>
    <row r="2641" spans="6:6">
      <c r="F2641" s="2423"/>
    </row>
    <row r="2642" spans="6:6">
      <c r="F2642" s="2423"/>
    </row>
    <row r="2643" spans="6:6">
      <c r="F2643" s="2423"/>
    </row>
    <row r="2644" spans="6:6">
      <c r="F2644" s="2423"/>
    </row>
    <row r="2645" spans="6:6">
      <c r="F2645" s="2423"/>
    </row>
    <row r="2646" spans="6:6">
      <c r="F2646" s="2423"/>
    </row>
    <row r="2647" spans="6:6">
      <c r="F2647" s="2423"/>
    </row>
    <row r="2648" spans="6:6">
      <c r="F2648" s="2423"/>
    </row>
    <row r="2649" spans="6:6">
      <c r="F2649" s="2423"/>
    </row>
    <row r="2650" spans="6:6">
      <c r="F2650" s="2423"/>
    </row>
    <row r="2651" spans="6:6">
      <c r="F2651" s="2423"/>
    </row>
    <row r="2652" spans="6:6">
      <c r="F2652" s="2423"/>
    </row>
    <row r="2653" spans="6:6">
      <c r="F2653" s="2423"/>
    </row>
    <row r="2654" spans="6:6">
      <c r="F2654" s="2423"/>
    </row>
    <row r="2655" spans="6:6">
      <c r="F2655" s="2423"/>
    </row>
    <row r="2656" spans="6:6">
      <c r="F2656" s="2423"/>
    </row>
    <row r="2657" spans="6:6">
      <c r="F2657" s="2423"/>
    </row>
    <row r="2658" spans="6:6">
      <c r="F2658" s="2423"/>
    </row>
    <row r="2659" spans="6:6">
      <c r="F2659" s="2423"/>
    </row>
    <row r="2660" spans="6:6">
      <c r="F2660" s="2423"/>
    </row>
    <row r="2661" spans="6:6">
      <c r="F2661" s="2423"/>
    </row>
    <row r="2662" spans="6:6">
      <c r="F2662" s="2423"/>
    </row>
    <row r="2663" spans="6:6">
      <c r="F2663" s="2423"/>
    </row>
    <row r="2664" spans="6:6">
      <c r="F2664" s="2423"/>
    </row>
    <row r="2665" spans="6:6">
      <c r="F2665" s="2423"/>
    </row>
    <row r="2666" spans="6:6">
      <c r="F2666" s="2423"/>
    </row>
    <row r="2667" spans="6:6">
      <c r="F2667" s="2423"/>
    </row>
    <row r="2668" spans="6:6">
      <c r="F2668" s="2423"/>
    </row>
    <row r="2669" spans="6:6">
      <c r="F2669" s="2423"/>
    </row>
    <row r="2670" spans="6:6">
      <c r="F2670" s="2423"/>
    </row>
    <row r="2671" spans="6:6">
      <c r="F2671" s="2423"/>
    </row>
    <row r="2672" spans="6:6">
      <c r="F2672" s="2423"/>
    </row>
    <row r="2673" spans="6:6">
      <c r="F2673" s="2423"/>
    </row>
    <row r="2674" spans="6:6">
      <c r="F2674" s="2423"/>
    </row>
    <row r="2675" spans="6:6">
      <c r="F2675" s="2423"/>
    </row>
    <row r="2676" spans="6:6">
      <c r="F2676" s="2423"/>
    </row>
    <row r="2677" spans="6:6">
      <c r="F2677" s="2423"/>
    </row>
    <row r="2678" spans="6:6">
      <c r="F2678" s="2423"/>
    </row>
    <row r="2679" spans="6:6">
      <c r="F2679" s="2423"/>
    </row>
    <row r="2680" spans="6:6">
      <c r="F2680" s="2423"/>
    </row>
    <row r="2681" spans="6:6">
      <c r="F2681" s="2423"/>
    </row>
    <row r="2682" spans="6:6">
      <c r="F2682" s="2423"/>
    </row>
    <row r="2683" spans="6:6">
      <c r="F2683" s="2423"/>
    </row>
    <row r="2684" spans="6:6">
      <c r="F2684" s="2423"/>
    </row>
    <row r="2685" spans="6:6">
      <c r="F2685" s="2423"/>
    </row>
    <row r="2686" spans="6:6">
      <c r="F2686" s="2423"/>
    </row>
    <row r="2687" spans="6:6">
      <c r="F2687" s="2423"/>
    </row>
    <row r="2688" spans="6:6">
      <c r="F2688" s="2423"/>
    </row>
    <row r="2689" spans="6:6">
      <c r="F2689" s="2423"/>
    </row>
    <row r="2690" spans="6:6">
      <c r="F2690" s="2423"/>
    </row>
    <row r="2691" spans="6:6">
      <c r="F2691" s="2423"/>
    </row>
    <row r="2692" spans="6:6">
      <c r="F2692" s="2423"/>
    </row>
    <row r="2693" spans="6:6">
      <c r="F2693" s="2423"/>
    </row>
    <row r="2694" spans="6:6">
      <c r="F2694" s="2423"/>
    </row>
    <row r="2695" spans="6:6">
      <c r="F2695" s="2423"/>
    </row>
    <row r="2696" spans="6:6">
      <c r="F2696" s="2423"/>
    </row>
    <row r="2697" spans="6:6">
      <c r="F2697" s="2423"/>
    </row>
    <row r="2698" spans="6:6">
      <c r="F2698" s="2423"/>
    </row>
    <row r="2699" spans="6:6">
      <c r="F2699" s="2423"/>
    </row>
    <row r="2700" spans="6:6">
      <c r="F2700" s="2423"/>
    </row>
    <row r="2701" spans="6:6">
      <c r="F2701" s="2423"/>
    </row>
    <row r="2702" spans="6:6">
      <c r="F2702" s="2423"/>
    </row>
    <row r="2703" spans="6:6">
      <c r="F2703" s="2423"/>
    </row>
    <row r="2704" spans="6:6">
      <c r="F2704" s="2423"/>
    </row>
    <row r="2705" spans="6:6">
      <c r="F2705" s="2423"/>
    </row>
    <row r="2706" spans="6:6">
      <c r="F2706" s="2423"/>
    </row>
    <row r="2707" spans="6:6">
      <c r="F2707" s="2423"/>
    </row>
    <row r="2708" spans="6:6">
      <c r="F2708" s="2423"/>
    </row>
    <row r="2709" spans="6:6">
      <c r="F2709" s="2423"/>
    </row>
    <row r="2710" spans="6:6">
      <c r="F2710" s="2423"/>
    </row>
    <row r="2711" spans="6:6">
      <c r="F2711" s="2423"/>
    </row>
    <row r="2712" spans="6:6">
      <c r="F2712" s="2423"/>
    </row>
    <row r="2713" spans="6:6">
      <c r="F2713" s="2423"/>
    </row>
    <row r="2714" spans="6:6">
      <c r="F2714" s="2423"/>
    </row>
    <row r="2715" spans="6:6">
      <c r="F2715" s="2423"/>
    </row>
    <row r="2716" spans="6:6">
      <c r="F2716" s="2423"/>
    </row>
    <row r="2717" spans="6:6">
      <c r="F2717" s="2423"/>
    </row>
    <row r="2718" spans="6:6">
      <c r="F2718" s="2423"/>
    </row>
    <row r="2719" spans="6:6">
      <c r="F2719" s="2423"/>
    </row>
    <row r="2720" spans="6:6">
      <c r="F2720" s="2423"/>
    </row>
    <row r="2721" spans="6:6">
      <c r="F2721" s="2423"/>
    </row>
    <row r="2722" spans="6:6">
      <c r="F2722" s="2423"/>
    </row>
    <row r="2723" spans="6:6">
      <c r="F2723" s="2423"/>
    </row>
    <row r="2724" spans="6:6">
      <c r="F2724" s="2423"/>
    </row>
    <row r="2725" spans="6:6">
      <c r="F2725" s="2423"/>
    </row>
    <row r="2726" spans="6:6">
      <c r="F2726" s="2423"/>
    </row>
    <row r="2727" spans="6:6">
      <c r="F2727" s="2423"/>
    </row>
    <row r="2728" spans="6:6">
      <c r="F2728" s="2423"/>
    </row>
    <row r="2729" spans="6:6">
      <c r="F2729" s="2423"/>
    </row>
    <row r="2730" spans="6:6">
      <c r="F2730" s="2423"/>
    </row>
    <row r="2731" spans="6:6">
      <c r="F2731" s="2423"/>
    </row>
    <row r="2732" spans="6:6">
      <c r="F2732" s="2423"/>
    </row>
    <row r="2733" spans="6:6">
      <c r="F2733" s="2423"/>
    </row>
    <row r="2734" spans="6:6">
      <c r="F2734" s="2423"/>
    </row>
    <row r="2735" spans="6:6">
      <c r="F2735" s="2423"/>
    </row>
    <row r="2736" spans="6:6">
      <c r="F2736" s="2423"/>
    </row>
    <row r="2737" spans="6:6">
      <c r="F2737" s="2423"/>
    </row>
    <row r="2738" spans="6:6">
      <c r="F2738" s="2423"/>
    </row>
    <row r="2739" spans="6:6">
      <c r="F2739" s="2423"/>
    </row>
    <row r="2740" spans="6:6">
      <c r="F2740" s="2423"/>
    </row>
    <row r="2741" spans="6:6">
      <c r="F2741" s="2423"/>
    </row>
    <row r="2742" spans="6:6">
      <c r="F2742" s="2423"/>
    </row>
    <row r="2743" spans="6:6">
      <c r="F2743" s="2423"/>
    </row>
    <row r="2744" spans="6:6">
      <c r="F2744" s="2423"/>
    </row>
    <row r="2745" spans="6:6">
      <c r="F2745" s="2423"/>
    </row>
    <row r="2746" spans="6:6">
      <c r="F2746" s="2423"/>
    </row>
    <row r="2747" spans="6:6">
      <c r="F2747" s="2423"/>
    </row>
    <row r="2748" spans="6:6">
      <c r="F2748" s="2423"/>
    </row>
    <row r="2749" spans="6:6">
      <c r="F2749" s="2423"/>
    </row>
    <row r="2750" spans="6:6">
      <c r="F2750" s="2423"/>
    </row>
    <row r="2751" spans="6:6">
      <c r="F2751" s="2423"/>
    </row>
    <row r="2752" spans="6:6">
      <c r="F2752" s="2423"/>
    </row>
    <row r="2753" spans="6:6">
      <c r="F2753" s="2423"/>
    </row>
    <row r="2754" spans="6:6">
      <c r="F2754" s="2423"/>
    </row>
    <row r="2755" spans="6:6">
      <c r="F2755" s="2423"/>
    </row>
    <row r="2756" spans="6:6">
      <c r="F2756" s="2423"/>
    </row>
    <row r="2757" spans="6:6">
      <c r="F2757" s="2423"/>
    </row>
    <row r="2758" spans="6:6">
      <c r="F2758" s="2423"/>
    </row>
    <row r="2759" spans="6:6">
      <c r="F2759" s="2423"/>
    </row>
    <row r="2760" spans="6:6">
      <c r="F2760" s="2423"/>
    </row>
    <row r="2761" spans="6:6">
      <c r="F2761" s="2423"/>
    </row>
    <row r="2762" spans="6:6">
      <c r="F2762" s="2423"/>
    </row>
    <row r="2763" spans="6:6">
      <c r="F2763" s="2423"/>
    </row>
    <row r="2764" spans="6:6">
      <c r="F2764" s="2423"/>
    </row>
    <row r="2765" spans="6:6">
      <c r="F2765" s="2423"/>
    </row>
    <row r="2766" spans="6:6">
      <c r="F2766" s="2423"/>
    </row>
    <row r="2767" spans="6:6">
      <c r="F2767" s="2423"/>
    </row>
    <row r="2768" spans="6:6">
      <c r="F2768" s="2423"/>
    </row>
    <row r="2769" spans="6:6">
      <c r="F2769" s="2423"/>
    </row>
    <row r="2770" spans="6:6">
      <c r="F2770" s="2423"/>
    </row>
    <row r="2771" spans="6:6">
      <c r="F2771" s="2423"/>
    </row>
    <row r="2772" spans="6:6">
      <c r="F2772" s="2423"/>
    </row>
    <row r="2773" spans="6:6">
      <c r="F2773" s="2423"/>
    </row>
    <row r="2774" spans="6:6">
      <c r="F2774" s="2423"/>
    </row>
    <row r="2775" spans="6:6">
      <c r="F2775" s="2423"/>
    </row>
    <row r="2776" spans="6:6">
      <c r="F2776" s="2423"/>
    </row>
    <row r="2777" spans="6:6">
      <c r="F2777" s="2423"/>
    </row>
    <row r="2778" spans="6:6">
      <c r="F2778" s="2423"/>
    </row>
    <row r="2779" spans="6:6">
      <c r="F2779" s="2423"/>
    </row>
    <row r="2780" spans="6:6">
      <c r="F2780" s="2423"/>
    </row>
    <row r="2781" spans="6:6">
      <c r="F2781" s="2423"/>
    </row>
    <row r="2782" spans="6:6">
      <c r="F2782" s="2423"/>
    </row>
    <row r="2783" spans="6:6">
      <c r="F2783" s="2423"/>
    </row>
    <row r="2784" spans="6:6">
      <c r="F2784" s="2423"/>
    </row>
    <row r="2785" spans="6:6">
      <c r="F2785" s="2423"/>
    </row>
    <row r="2786" spans="6:6">
      <c r="F2786" s="2423"/>
    </row>
    <row r="2787" spans="6:6">
      <c r="F2787" s="2423"/>
    </row>
    <row r="2788" spans="6:6">
      <c r="F2788" s="2423"/>
    </row>
    <row r="2789" spans="6:6">
      <c r="F2789" s="2423"/>
    </row>
    <row r="2790" spans="6:6">
      <c r="F2790" s="2423"/>
    </row>
    <row r="2791" spans="6:6">
      <c r="F2791" s="2423"/>
    </row>
    <row r="2792" spans="6:6">
      <c r="F2792" s="2423"/>
    </row>
    <row r="2793" spans="6:6">
      <c r="F2793" s="2423"/>
    </row>
    <row r="2794" spans="6:6">
      <c r="F2794" s="2423"/>
    </row>
    <row r="2795" spans="6:6">
      <c r="F2795" s="2423"/>
    </row>
    <row r="2796" spans="6:6">
      <c r="F2796" s="2423"/>
    </row>
    <row r="2797" spans="6:6">
      <c r="F2797" s="2423"/>
    </row>
    <row r="2798" spans="6:6">
      <c r="F2798" s="2423"/>
    </row>
    <row r="2799" spans="6:6">
      <c r="F2799" s="2423"/>
    </row>
    <row r="2800" spans="6:6">
      <c r="F2800" s="2423"/>
    </row>
    <row r="2801" spans="6:6">
      <c r="F2801" s="2423"/>
    </row>
    <row r="2802" spans="6:6">
      <c r="F2802" s="2423"/>
    </row>
    <row r="2803" spans="6:6">
      <c r="F2803" s="2423"/>
    </row>
    <row r="2804" spans="6:6">
      <c r="F2804" s="2423"/>
    </row>
    <row r="2805" spans="6:6">
      <c r="F2805" s="2423"/>
    </row>
    <row r="2806" spans="6:6">
      <c r="F2806" s="2423"/>
    </row>
    <row r="2807" spans="6:6">
      <c r="F2807" s="2423"/>
    </row>
    <row r="2808" spans="6:6">
      <c r="F2808" s="2423"/>
    </row>
    <row r="2809" spans="6:6">
      <c r="F2809" s="2423"/>
    </row>
    <row r="2810" spans="6:6">
      <c r="F2810" s="2423"/>
    </row>
    <row r="2811" spans="6:6">
      <c r="F2811" s="2423"/>
    </row>
    <row r="2812" spans="6:6">
      <c r="F2812" s="2423"/>
    </row>
    <row r="2813" spans="6:6">
      <c r="F2813" s="2423"/>
    </row>
    <row r="2814" spans="6:6">
      <c r="F2814" s="2423"/>
    </row>
    <row r="2815" spans="6:6">
      <c r="F2815" s="2423"/>
    </row>
    <row r="2816" spans="6:6">
      <c r="F2816" s="2423"/>
    </row>
    <row r="2817" spans="6:6">
      <c r="F2817" s="2423"/>
    </row>
    <row r="2818" spans="6:6">
      <c r="F2818" s="2423"/>
    </row>
    <row r="2819" spans="6:6">
      <c r="F2819" s="2423"/>
    </row>
    <row r="2820" spans="6:6">
      <c r="F2820" s="2423"/>
    </row>
    <row r="2821" spans="6:6">
      <c r="F2821" s="2423"/>
    </row>
    <row r="2822" spans="6:6">
      <c r="F2822" s="2423"/>
    </row>
    <row r="2823" spans="6:6">
      <c r="F2823" s="2423"/>
    </row>
    <row r="2824" spans="6:6">
      <c r="F2824" s="2423"/>
    </row>
    <row r="2825" spans="6:6">
      <c r="F2825" s="2423"/>
    </row>
    <row r="2826" spans="6:6">
      <c r="F2826" s="2423"/>
    </row>
    <row r="2827" spans="6:6">
      <c r="F2827" s="2423"/>
    </row>
    <row r="2828" spans="6:6">
      <c r="F2828" s="2423"/>
    </row>
    <row r="2829" spans="6:6">
      <c r="F2829" s="2423"/>
    </row>
    <row r="2830" spans="6:6">
      <c r="F2830" s="2423"/>
    </row>
    <row r="2831" spans="6:6">
      <c r="F2831" s="2423"/>
    </row>
    <row r="2832" spans="6:6">
      <c r="F2832" s="2423"/>
    </row>
    <row r="2833" spans="6:6">
      <c r="F2833" s="2423"/>
    </row>
    <row r="2834" spans="6:6">
      <c r="F2834" s="2423"/>
    </row>
    <row r="2835" spans="6:6">
      <c r="F2835" s="2423"/>
    </row>
    <row r="2836" spans="6:6">
      <c r="F2836" s="2423"/>
    </row>
    <row r="2837" spans="6:6">
      <c r="F2837" s="2423"/>
    </row>
    <row r="2838" spans="6:6">
      <c r="F2838" s="2423"/>
    </row>
    <row r="2839" spans="6:6">
      <c r="F2839" s="2423"/>
    </row>
    <row r="2840" spans="6:6">
      <c r="F2840" s="2423"/>
    </row>
    <row r="2841" spans="6:6">
      <c r="F2841" s="2423"/>
    </row>
    <row r="2842" spans="6:6">
      <c r="F2842" s="2423"/>
    </row>
    <row r="2843" spans="6:6">
      <c r="F2843" s="2423"/>
    </row>
    <row r="2844" spans="6:6">
      <c r="F2844" s="2423"/>
    </row>
    <row r="2845" spans="6:6">
      <c r="F2845" s="2423"/>
    </row>
    <row r="2846" spans="6:6">
      <c r="F2846" s="2423"/>
    </row>
    <row r="2847" spans="6:6">
      <c r="F2847" s="2423"/>
    </row>
    <row r="2848" spans="6:6">
      <c r="F2848" s="2423"/>
    </row>
    <row r="2849" spans="6:6">
      <c r="F2849" s="2423"/>
    </row>
    <row r="2850" spans="6:6">
      <c r="F2850" s="2423"/>
    </row>
    <row r="2851" spans="6:6">
      <c r="F2851" s="2423"/>
    </row>
    <row r="2852" spans="6:6">
      <c r="F2852" s="2423"/>
    </row>
    <row r="2853" spans="6:6">
      <c r="F2853" s="2423"/>
    </row>
    <row r="2854" spans="6:6">
      <c r="F2854" s="2423"/>
    </row>
    <row r="2855" spans="6:6">
      <c r="F2855" s="2423"/>
    </row>
    <row r="2856" spans="6:6">
      <c r="F2856" s="2423"/>
    </row>
    <row r="2857" spans="6:6">
      <c r="F2857" s="2423"/>
    </row>
    <row r="2858" spans="6:6">
      <c r="F2858" s="2423"/>
    </row>
    <row r="2859" spans="6:6">
      <c r="F2859" s="2423"/>
    </row>
    <row r="2860" spans="6:6">
      <c r="F2860" s="2423"/>
    </row>
    <row r="2861" spans="6:6">
      <c r="F2861" s="2423"/>
    </row>
    <row r="2862" spans="6:6">
      <c r="F2862" s="2423"/>
    </row>
    <row r="2863" spans="6:6">
      <c r="F2863" s="2423"/>
    </row>
    <row r="2864" spans="6:6">
      <c r="F2864" s="2423"/>
    </row>
    <row r="2865" spans="6:6">
      <c r="F2865" s="2423"/>
    </row>
    <row r="2866" spans="6:6">
      <c r="F2866" s="2423"/>
    </row>
    <row r="2867" spans="6:6">
      <c r="F2867" s="2423"/>
    </row>
    <row r="2868" spans="6:6">
      <c r="F2868" s="2423"/>
    </row>
    <row r="2869" spans="6:6">
      <c r="F2869" s="2423"/>
    </row>
    <row r="2870" spans="6:6">
      <c r="F2870" s="2423"/>
    </row>
    <row r="2871" spans="6:6">
      <c r="F2871" s="2423"/>
    </row>
    <row r="2872" spans="6:6">
      <c r="F2872" s="2423"/>
    </row>
    <row r="2873" spans="6:6">
      <c r="F2873" s="2423"/>
    </row>
    <row r="2874" spans="6:6">
      <c r="F2874" s="2423"/>
    </row>
    <row r="2875" spans="6:6">
      <c r="F2875" s="2423"/>
    </row>
    <row r="2876" spans="6:6">
      <c r="F2876" s="2423"/>
    </row>
    <row r="2877" spans="6:6">
      <c r="F2877" s="2423"/>
    </row>
    <row r="2878" spans="6:6">
      <c r="F2878" s="2423"/>
    </row>
    <row r="2879" spans="6:6">
      <c r="F2879" s="2423"/>
    </row>
    <row r="2880" spans="6:6">
      <c r="F2880" s="2423"/>
    </row>
    <row r="2881" spans="6:6">
      <c r="F2881" s="2423"/>
    </row>
    <row r="2882" spans="6:6">
      <c r="F2882" s="2423"/>
    </row>
    <row r="2883" spans="6:6">
      <c r="F2883" s="2423"/>
    </row>
    <row r="2884" spans="6:6">
      <c r="F2884" s="2423"/>
    </row>
    <row r="2885" spans="6:6">
      <c r="F2885" s="2423"/>
    </row>
    <row r="2886" spans="6:6">
      <c r="F2886" s="2423"/>
    </row>
    <row r="2887" spans="6:6">
      <c r="F2887" s="2423"/>
    </row>
    <row r="2888" spans="6:6">
      <c r="F2888" s="2423"/>
    </row>
    <row r="2889" spans="6:6">
      <c r="F2889" s="2423"/>
    </row>
    <row r="2890" spans="6:6">
      <c r="F2890" s="2423"/>
    </row>
    <row r="2891" spans="6:6">
      <c r="F2891" s="2423"/>
    </row>
    <row r="2892" spans="6:6">
      <c r="F2892" s="2423"/>
    </row>
    <row r="2893" spans="6:6">
      <c r="F2893" s="2423"/>
    </row>
    <row r="2894" spans="6:6">
      <c r="F2894" s="2423"/>
    </row>
    <row r="2895" spans="6:6">
      <c r="F2895" s="2423"/>
    </row>
    <row r="2896" spans="6:6">
      <c r="F2896" s="2423"/>
    </row>
    <row r="2897" spans="6:6">
      <c r="F2897" s="2423"/>
    </row>
    <row r="2898" spans="6:6">
      <c r="F2898" s="2423"/>
    </row>
    <row r="2899" spans="6:6">
      <c r="F2899" s="2423"/>
    </row>
    <row r="2900" spans="6:6">
      <c r="F2900" s="2423"/>
    </row>
    <row r="2901" spans="6:6">
      <c r="F2901" s="2423"/>
    </row>
    <row r="2902" spans="6:6">
      <c r="F2902" s="2423"/>
    </row>
    <row r="2903" spans="6:6">
      <c r="F2903" s="2423"/>
    </row>
    <row r="2904" spans="6:6">
      <c r="F2904" s="2423"/>
    </row>
    <row r="2905" spans="6:6">
      <c r="F2905" s="2423"/>
    </row>
    <row r="2906" spans="6:6">
      <c r="F2906" s="2423"/>
    </row>
    <row r="2907" spans="6:6">
      <c r="F2907" s="2423"/>
    </row>
    <row r="2908" spans="6:6">
      <c r="F2908" s="2423"/>
    </row>
    <row r="2909" spans="6:6">
      <c r="F2909" s="2423"/>
    </row>
    <row r="2910" spans="6:6">
      <c r="F2910" s="2423"/>
    </row>
    <row r="2911" spans="6:6">
      <c r="F2911" s="2423"/>
    </row>
    <row r="2912" spans="6:6">
      <c r="F2912" s="2423"/>
    </row>
    <row r="2913" spans="6:6">
      <c r="F2913" s="2423"/>
    </row>
    <row r="2914" spans="6:6">
      <c r="F2914" s="2423"/>
    </row>
    <row r="2915" spans="6:6">
      <c r="F2915" s="2423"/>
    </row>
    <row r="2916" spans="6:6">
      <c r="F2916" s="2423"/>
    </row>
    <row r="2917" spans="6:6">
      <c r="F2917" s="2423"/>
    </row>
    <row r="2918" spans="6:6">
      <c r="F2918" s="2423"/>
    </row>
    <row r="2919" spans="6:6">
      <c r="F2919" s="2423"/>
    </row>
    <row r="2920" spans="6:6">
      <c r="F2920" s="2423"/>
    </row>
    <row r="2921" spans="6:6">
      <c r="F2921" s="2423"/>
    </row>
    <row r="2922" spans="6:6">
      <c r="F2922" s="2423"/>
    </row>
    <row r="2923" spans="6:6">
      <c r="F2923" s="2423"/>
    </row>
    <row r="2924" spans="6:6">
      <c r="F2924" s="2423"/>
    </row>
    <row r="2925" spans="6:6">
      <c r="F2925" s="2423"/>
    </row>
    <row r="2926" spans="6:6">
      <c r="F2926" s="2423"/>
    </row>
    <row r="2927" spans="6:6">
      <c r="F2927" s="2423"/>
    </row>
    <row r="2928" spans="6:6">
      <c r="F2928" s="2423"/>
    </row>
    <row r="2929" spans="6:6">
      <c r="F2929" s="2423"/>
    </row>
    <row r="2930" spans="6:6">
      <c r="F2930" s="2423"/>
    </row>
    <row r="2931" spans="6:6">
      <c r="F2931" s="2423"/>
    </row>
    <row r="2932" spans="6:6">
      <c r="F2932" s="2423"/>
    </row>
    <row r="2933" spans="6:6">
      <c r="F2933" s="2423"/>
    </row>
    <row r="2934" spans="6:6">
      <c r="F2934" s="2423"/>
    </row>
    <row r="2935" spans="6:6">
      <c r="F2935" s="2423"/>
    </row>
    <row r="2936" spans="6:6">
      <c r="F2936" s="2423"/>
    </row>
    <row r="2937" spans="6:6">
      <c r="F2937" s="2423"/>
    </row>
    <row r="2938" spans="6:6">
      <c r="F2938" s="2423"/>
    </row>
    <row r="2939" spans="6:6">
      <c r="F2939" s="2423"/>
    </row>
    <row r="2940" spans="6:6">
      <c r="F2940" s="2423"/>
    </row>
    <row r="2941" spans="6:6">
      <c r="F2941" s="2423"/>
    </row>
    <row r="2942" spans="6:6">
      <c r="F2942" s="2423"/>
    </row>
    <row r="2943" spans="6:6">
      <c r="F2943" s="2423"/>
    </row>
    <row r="2944" spans="6:6">
      <c r="F2944" s="2423"/>
    </row>
    <row r="2945" spans="6:6">
      <c r="F2945" s="2423"/>
    </row>
    <row r="2946" spans="6:6">
      <c r="F2946" s="2423"/>
    </row>
    <row r="2947" spans="6:6">
      <c r="F2947" s="2423"/>
    </row>
    <row r="2948" spans="6:6">
      <c r="F2948" s="2423"/>
    </row>
    <row r="2949" spans="6:6">
      <c r="F2949" s="2423"/>
    </row>
    <row r="2950" spans="6:6">
      <c r="F2950" s="2423"/>
    </row>
    <row r="2951" spans="6:6">
      <c r="F2951" s="2423"/>
    </row>
    <row r="2952" spans="6:6">
      <c r="F2952" s="2423"/>
    </row>
    <row r="2953" spans="6:6">
      <c r="F2953" s="2423"/>
    </row>
    <row r="2954" spans="6:6">
      <c r="F2954" s="2423"/>
    </row>
    <row r="2955" spans="6:6">
      <c r="F2955" s="2423"/>
    </row>
    <row r="2956" spans="6:6">
      <c r="F2956" s="2423"/>
    </row>
    <row r="2957" spans="6:6">
      <c r="F2957" s="2423"/>
    </row>
    <row r="2958" spans="6:6">
      <c r="F2958" s="2423"/>
    </row>
    <row r="2959" spans="6:6">
      <c r="F2959" s="2423"/>
    </row>
    <row r="2960" spans="6:6">
      <c r="F2960" s="2423"/>
    </row>
    <row r="2961" spans="6:6">
      <c r="F2961" s="2423"/>
    </row>
    <row r="2962" spans="6:6">
      <c r="F2962" s="2423"/>
    </row>
    <row r="2963" spans="6:6">
      <c r="F2963" s="2423"/>
    </row>
    <row r="2964" spans="6:6">
      <c r="F2964" s="2423"/>
    </row>
    <row r="2965" spans="6:6">
      <c r="F2965" s="2423"/>
    </row>
    <row r="2966" spans="6:6">
      <c r="F2966" s="2423"/>
    </row>
    <row r="2967" spans="6:6">
      <c r="F2967" s="2423"/>
    </row>
    <row r="2968" spans="6:6">
      <c r="F2968" s="2423"/>
    </row>
    <row r="2969" spans="6:6">
      <c r="F2969" s="2423"/>
    </row>
    <row r="2970" spans="6:6">
      <c r="F2970" s="2423"/>
    </row>
    <row r="2971" spans="6:6">
      <c r="F2971" s="2423"/>
    </row>
    <row r="2972" spans="6:6">
      <c r="F2972" s="2423"/>
    </row>
    <row r="2973" spans="6:6">
      <c r="F2973" s="2423"/>
    </row>
    <row r="2974" spans="6:6">
      <c r="F2974" s="2423"/>
    </row>
    <row r="2975" spans="6:6">
      <c r="F2975" s="2423"/>
    </row>
    <row r="2976" spans="6:6">
      <c r="F2976" s="2423"/>
    </row>
    <row r="2977" spans="6:6">
      <c r="F2977" s="2423"/>
    </row>
    <row r="2978" spans="6:6">
      <c r="F2978" s="2423"/>
    </row>
    <row r="2979" spans="6:6">
      <c r="F2979" s="2423"/>
    </row>
    <row r="2980" spans="6:6">
      <c r="F2980" s="2423"/>
    </row>
    <row r="2981" spans="6:6">
      <c r="F2981" s="2423"/>
    </row>
    <row r="2982" spans="6:6">
      <c r="F2982" s="2423"/>
    </row>
    <row r="2983" spans="6:6">
      <c r="F2983" s="2423"/>
    </row>
    <row r="2984" spans="6:6">
      <c r="F2984" s="2423"/>
    </row>
    <row r="2985" spans="6:6">
      <c r="F2985" s="2423"/>
    </row>
    <row r="2986" spans="6:6">
      <c r="F2986" s="2423"/>
    </row>
    <row r="2987" spans="6:6">
      <c r="F2987" s="2423"/>
    </row>
    <row r="2988" spans="6:6">
      <c r="F2988" s="2423"/>
    </row>
    <row r="2989" spans="6:6">
      <c r="F2989" s="2423"/>
    </row>
    <row r="2990" spans="6:6">
      <c r="F2990" s="2423"/>
    </row>
    <row r="2991" spans="6:6">
      <c r="F2991" s="2423"/>
    </row>
    <row r="2992" spans="6:6">
      <c r="F2992" s="2423"/>
    </row>
    <row r="2993" spans="6:6">
      <c r="F2993" s="2423"/>
    </row>
    <row r="2994" spans="6:6">
      <c r="F2994" s="2423"/>
    </row>
    <row r="2995" spans="6:6">
      <c r="F2995" s="2423"/>
    </row>
    <row r="2996" spans="6:6">
      <c r="F2996" s="2423"/>
    </row>
    <row r="2997" spans="6:6">
      <c r="F2997" s="2423"/>
    </row>
    <row r="2998" spans="6:6">
      <c r="F2998" s="2423"/>
    </row>
    <row r="2999" spans="6:6">
      <c r="F2999" s="2423"/>
    </row>
    <row r="3000" spans="6:6">
      <c r="F3000" s="2423"/>
    </row>
    <row r="3001" spans="6:6">
      <c r="F3001" s="2423"/>
    </row>
    <row r="3002" spans="6:6">
      <c r="F3002" s="2423"/>
    </row>
    <row r="3003" spans="6:6">
      <c r="F3003" s="2423"/>
    </row>
    <row r="3004" spans="6:6">
      <c r="F3004" s="2423"/>
    </row>
    <row r="3005" spans="6:6">
      <c r="F3005" s="2423"/>
    </row>
    <row r="3006" spans="6:6">
      <c r="F3006" s="2423"/>
    </row>
    <row r="3007" spans="6:6">
      <c r="F3007" s="2423"/>
    </row>
    <row r="3008" spans="6:6">
      <c r="F3008" s="2423"/>
    </row>
    <row r="3009" spans="6:6">
      <c r="F3009" s="2423"/>
    </row>
    <row r="3010" spans="6:6">
      <c r="F3010" s="2423"/>
    </row>
    <row r="3011" spans="6:6">
      <c r="F3011" s="2423"/>
    </row>
    <row r="3012" spans="6:6">
      <c r="F3012" s="2423"/>
    </row>
    <row r="3013" spans="6:6">
      <c r="F3013" s="2423"/>
    </row>
    <row r="3014" spans="6:6">
      <c r="F3014" s="2423"/>
    </row>
    <row r="3015" spans="6:6">
      <c r="F3015" s="2423"/>
    </row>
    <row r="3016" spans="6:6">
      <c r="F3016" s="2423"/>
    </row>
    <row r="3017" spans="6:6">
      <c r="F3017" s="2423"/>
    </row>
    <row r="3018" spans="6:6">
      <c r="F3018" s="2423"/>
    </row>
    <row r="3019" spans="6:6">
      <c r="F3019" s="2423"/>
    </row>
    <row r="3020" spans="6:6">
      <c r="F3020" s="2423"/>
    </row>
    <row r="3021" spans="6:6">
      <c r="F3021" s="2423"/>
    </row>
    <row r="3022" spans="6:6">
      <c r="F3022" s="2423"/>
    </row>
    <row r="3023" spans="6:6">
      <c r="F3023" s="2423"/>
    </row>
    <row r="3024" spans="6:6">
      <c r="F3024" s="2423"/>
    </row>
    <row r="3025" spans="6:6">
      <c r="F3025" s="2423"/>
    </row>
    <row r="3026" spans="6:6">
      <c r="F3026" s="2423"/>
    </row>
    <row r="3027" spans="6:6">
      <c r="F3027" s="2423"/>
    </row>
    <row r="3028" spans="6:6">
      <c r="F3028" s="2423"/>
    </row>
    <row r="3029" spans="6:6">
      <c r="F3029" s="2423"/>
    </row>
    <row r="3030" spans="6:6">
      <c r="F3030" s="2423"/>
    </row>
    <row r="3031" spans="6:6">
      <c r="F3031" s="2423"/>
    </row>
    <row r="3032" spans="6:6">
      <c r="F3032" s="2423"/>
    </row>
    <row r="3033" spans="6:6">
      <c r="F3033" s="2423"/>
    </row>
    <row r="3034" spans="6:6">
      <c r="F3034" s="2423"/>
    </row>
    <row r="3035" spans="6:6">
      <c r="F3035" s="2423"/>
    </row>
    <row r="3036" spans="6:6">
      <c r="F3036" s="2423"/>
    </row>
    <row r="3037" spans="6:6">
      <c r="F3037" s="2423"/>
    </row>
    <row r="3038" spans="6:6">
      <c r="F3038" s="2423"/>
    </row>
    <row r="3039" spans="6:6">
      <c r="F3039" s="2423"/>
    </row>
    <row r="3040" spans="6:6">
      <c r="F3040" s="2423"/>
    </row>
    <row r="3041" spans="6:6">
      <c r="F3041" s="2423"/>
    </row>
    <row r="3042" spans="6:6">
      <c r="F3042" s="2423"/>
    </row>
    <row r="3043" spans="6:6">
      <c r="F3043" s="2423"/>
    </row>
    <row r="3044" spans="6:6">
      <c r="F3044" s="2423"/>
    </row>
    <row r="3045" spans="6:6">
      <c r="F3045" s="2423"/>
    </row>
    <row r="3046" spans="6:6">
      <c r="F3046" s="2423"/>
    </row>
    <row r="3047" spans="6:6">
      <c r="F3047" s="2423"/>
    </row>
    <row r="3048" spans="6:6">
      <c r="F3048" s="2423"/>
    </row>
    <row r="3049" spans="6:6">
      <c r="F3049" s="2423"/>
    </row>
    <row r="3050" spans="6:6">
      <c r="F3050" s="2423"/>
    </row>
    <row r="3051" spans="6:6">
      <c r="F3051" s="2423"/>
    </row>
    <row r="3052" spans="6:6">
      <c r="F3052" s="2423"/>
    </row>
    <row r="3053" spans="6:6">
      <c r="F3053" s="2423"/>
    </row>
    <row r="3054" spans="6:6">
      <c r="F3054" s="2423"/>
    </row>
    <row r="3055" spans="6:6">
      <c r="F3055" s="2423"/>
    </row>
    <row r="3056" spans="6:6">
      <c r="F3056" s="2423"/>
    </row>
    <row r="3057" spans="6:6">
      <c r="F3057" s="2423"/>
    </row>
    <row r="3058" spans="6:6">
      <c r="F3058" s="2423"/>
    </row>
    <row r="3059" spans="6:6">
      <c r="F3059" s="2423"/>
    </row>
    <row r="3060" spans="6:6">
      <c r="F3060" s="2423"/>
    </row>
    <row r="3061" spans="6:6">
      <c r="F3061" s="2423"/>
    </row>
    <row r="3062" spans="6:6">
      <c r="F3062" s="2423"/>
    </row>
    <row r="3063" spans="6:6">
      <c r="F3063" s="2423"/>
    </row>
    <row r="3064" spans="6:6">
      <c r="F3064" s="2423"/>
    </row>
    <row r="3065" spans="6:6">
      <c r="F3065" s="2423"/>
    </row>
    <row r="3066" spans="6:6">
      <c r="F3066" s="2423"/>
    </row>
    <row r="3067" spans="6:6">
      <c r="F3067" s="2423"/>
    </row>
    <row r="3068" spans="6:6">
      <c r="F3068" s="2423"/>
    </row>
    <row r="3069" spans="6:6">
      <c r="F3069" s="2423"/>
    </row>
    <row r="3070" spans="6:6">
      <c r="F3070" s="2423"/>
    </row>
    <row r="3071" spans="6:6">
      <c r="F3071" s="2423"/>
    </row>
    <row r="3072" spans="6:6">
      <c r="F3072" s="2423"/>
    </row>
    <row r="3073" spans="6:6">
      <c r="F3073" s="2423"/>
    </row>
    <row r="3074" spans="6:6">
      <c r="F3074" s="2423"/>
    </row>
    <row r="3075" spans="6:6">
      <c r="F3075" s="2423"/>
    </row>
    <row r="3076" spans="6:6">
      <c r="F3076" s="2423"/>
    </row>
    <row r="3077" spans="6:6">
      <c r="F3077" s="2423"/>
    </row>
    <row r="3078" spans="6:6">
      <c r="F3078" s="2423"/>
    </row>
    <row r="3079" spans="6:6">
      <c r="F3079" s="2423"/>
    </row>
    <row r="3080" spans="6:6">
      <c r="F3080" s="2423"/>
    </row>
    <row r="3081" spans="6:6">
      <c r="F3081" s="2423"/>
    </row>
    <row r="3082" spans="6:6">
      <c r="F3082" s="2423"/>
    </row>
    <row r="3083" spans="6:6">
      <c r="F3083" s="2423"/>
    </row>
    <row r="3084" spans="6:6">
      <c r="F3084" s="2423"/>
    </row>
    <row r="3085" spans="6:6">
      <c r="F3085" s="2423"/>
    </row>
    <row r="3086" spans="6:6">
      <c r="F3086" s="2423"/>
    </row>
    <row r="3087" spans="6:6">
      <c r="F3087" s="2423"/>
    </row>
    <row r="3088" spans="6:6">
      <c r="F3088" s="2423"/>
    </row>
    <row r="3089" spans="6:6">
      <c r="F3089" s="2423"/>
    </row>
    <row r="3090" spans="6:6">
      <c r="F3090" s="2423"/>
    </row>
    <row r="3091" spans="6:6">
      <c r="F3091" s="2423"/>
    </row>
    <row r="3092" spans="6:6">
      <c r="F3092" s="2423"/>
    </row>
    <row r="3093" spans="6:6">
      <c r="F3093" s="2423"/>
    </row>
    <row r="3094" spans="6:6">
      <c r="F3094" s="2423"/>
    </row>
    <row r="3095" spans="6:6">
      <c r="F3095" s="2423"/>
    </row>
    <row r="3096" spans="6:6">
      <c r="F3096" s="2423"/>
    </row>
    <row r="3097" spans="6:6">
      <c r="F3097" s="2423"/>
    </row>
    <row r="3098" spans="6:6">
      <c r="F3098" s="2423"/>
    </row>
    <row r="3099" spans="6:6">
      <c r="F3099" s="2423"/>
    </row>
    <row r="3100" spans="6:6">
      <c r="F3100" s="2423"/>
    </row>
    <row r="3101" spans="6:6">
      <c r="F3101" s="2423"/>
    </row>
    <row r="3102" spans="6:6">
      <c r="F3102" s="2423"/>
    </row>
    <row r="3103" spans="6:6">
      <c r="F3103" s="2423"/>
    </row>
    <row r="3104" spans="6:6">
      <c r="F3104" s="2423"/>
    </row>
    <row r="3105" spans="6:6">
      <c r="F3105" s="2423"/>
    </row>
    <row r="3106" spans="6:6">
      <c r="F3106" s="2423"/>
    </row>
    <row r="3107" spans="6:6">
      <c r="F3107" s="2423"/>
    </row>
    <row r="3108" spans="6:6">
      <c r="F3108" s="2423"/>
    </row>
    <row r="3109" spans="6:6">
      <c r="F3109" s="2423"/>
    </row>
    <row r="3110" spans="6:6">
      <c r="F3110" s="2423"/>
    </row>
    <row r="3111" spans="6:6">
      <c r="F3111" s="2423"/>
    </row>
    <row r="3112" spans="6:6">
      <c r="F3112" s="2423"/>
    </row>
    <row r="3113" spans="6:6">
      <c r="F3113" s="2423"/>
    </row>
    <row r="3114" spans="6:6">
      <c r="F3114" s="2423"/>
    </row>
    <row r="3115" spans="6:6">
      <c r="F3115" s="2423"/>
    </row>
    <row r="3116" spans="6:6">
      <c r="F3116" s="2423"/>
    </row>
    <row r="3117" spans="6:6">
      <c r="F3117" s="2423"/>
    </row>
    <row r="3118" spans="6:6">
      <c r="F3118" s="2423"/>
    </row>
    <row r="3119" spans="6:6">
      <c r="F3119" s="2423"/>
    </row>
    <row r="3120" spans="6:6">
      <c r="F3120" s="2423"/>
    </row>
    <row r="3121" spans="6:6">
      <c r="F3121" s="2423"/>
    </row>
    <row r="3122" spans="6:6">
      <c r="F3122" s="2423"/>
    </row>
    <row r="3123" spans="6:6">
      <c r="F3123" s="2423"/>
    </row>
    <row r="3124" spans="6:6">
      <c r="F3124" s="2423"/>
    </row>
    <row r="3125" spans="6:6">
      <c r="F3125" s="2423"/>
    </row>
    <row r="3126" spans="6:6">
      <c r="F3126" s="2423"/>
    </row>
    <row r="3127" spans="6:6">
      <c r="F3127" s="2423"/>
    </row>
    <row r="3128" spans="6:6">
      <c r="F3128" s="2423"/>
    </row>
    <row r="3129" spans="6:6">
      <c r="F3129" s="2423"/>
    </row>
    <row r="3130" spans="6:6">
      <c r="F3130" s="2423"/>
    </row>
    <row r="3131" spans="6:6">
      <c r="F3131" s="2423"/>
    </row>
    <row r="3132" spans="6:6">
      <c r="F3132" s="2423"/>
    </row>
    <row r="3133" spans="6:6">
      <c r="F3133" s="2423"/>
    </row>
    <row r="3134" spans="6:6">
      <c r="F3134" s="2423"/>
    </row>
    <row r="3135" spans="6:6">
      <c r="F3135" s="2423"/>
    </row>
    <row r="3136" spans="6:6">
      <c r="F3136" s="2423"/>
    </row>
    <row r="3137" spans="6:6">
      <c r="F3137" s="2423"/>
    </row>
    <row r="3138" spans="6:6">
      <c r="F3138" s="2423"/>
    </row>
    <row r="3139" spans="6:6">
      <c r="F3139" s="2423"/>
    </row>
    <row r="3140" spans="6:6">
      <c r="F3140" s="2423"/>
    </row>
    <row r="3141" spans="6:6">
      <c r="F3141" s="2423"/>
    </row>
    <row r="3142" spans="6:6">
      <c r="F3142" s="2423"/>
    </row>
    <row r="3143" spans="6:6">
      <c r="F3143" s="2423"/>
    </row>
    <row r="3144" spans="6:6">
      <c r="F3144" s="2423"/>
    </row>
    <row r="3145" spans="6:6">
      <c r="F3145" s="2423"/>
    </row>
    <row r="3146" spans="6:6">
      <c r="F3146" s="2423"/>
    </row>
    <row r="3147" spans="6:6">
      <c r="F3147" s="2423"/>
    </row>
    <row r="3148" spans="6:6">
      <c r="F3148" s="2423"/>
    </row>
    <row r="3149" spans="6:6">
      <c r="F3149" s="2423"/>
    </row>
    <row r="3150" spans="6:6">
      <c r="F3150" s="2423"/>
    </row>
    <row r="3151" spans="6:6">
      <c r="F3151" s="2423"/>
    </row>
    <row r="3152" spans="6:6">
      <c r="F3152" s="2423"/>
    </row>
    <row r="3153" spans="6:6">
      <c r="F3153" s="2423"/>
    </row>
    <row r="3154" spans="6:6">
      <c r="F3154" s="2423"/>
    </row>
    <row r="3155" spans="6:6">
      <c r="F3155" s="2423"/>
    </row>
    <row r="3156" spans="6:6">
      <c r="F3156" s="2423"/>
    </row>
    <row r="3157" spans="6:6">
      <c r="F3157" s="2423"/>
    </row>
    <row r="3158" spans="6:6">
      <c r="F3158" s="2423"/>
    </row>
    <row r="3159" spans="6:6">
      <c r="F3159" s="2423"/>
    </row>
    <row r="3160" spans="6:6">
      <c r="F3160" s="2423"/>
    </row>
    <row r="3161" spans="6:6">
      <c r="F3161" s="2423"/>
    </row>
    <row r="3162" spans="6:6">
      <c r="F3162" s="2423"/>
    </row>
    <row r="3163" spans="6:6">
      <c r="F3163" s="2423"/>
    </row>
    <row r="3164" spans="6:6">
      <c r="F3164" s="2423"/>
    </row>
    <row r="3165" spans="6:6">
      <c r="F3165" s="2423"/>
    </row>
    <row r="3166" spans="6:6">
      <c r="F3166" s="2423"/>
    </row>
    <row r="3167" spans="6:6">
      <c r="F3167" s="2423"/>
    </row>
    <row r="3168" spans="6:6">
      <c r="F3168" s="2423"/>
    </row>
    <row r="3169" spans="6:6">
      <c r="F3169" s="2423"/>
    </row>
    <row r="3170" spans="6:6">
      <c r="F3170" s="2423"/>
    </row>
    <row r="3171" spans="6:6">
      <c r="F3171" s="2423"/>
    </row>
    <row r="3172" spans="6:6">
      <c r="F3172" s="2423"/>
    </row>
    <row r="3173" spans="6:6">
      <c r="F3173" s="2423"/>
    </row>
    <row r="3174" spans="6:6">
      <c r="F3174" s="2423"/>
    </row>
    <row r="3175" spans="6:6">
      <c r="F3175" s="2423"/>
    </row>
    <row r="3176" spans="6:6">
      <c r="F3176" s="2423"/>
    </row>
    <row r="3177" spans="6:6">
      <c r="F3177" s="2423"/>
    </row>
    <row r="3178" spans="6:6">
      <c r="F3178" s="2423"/>
    </row>
    <row r="3179" spans="6:6">
      <c r="F3179" s="2423"/>
    </row>
    <row r="3180" spans="6:6">
      <c r="F3180" s="2423"/>
    </row>
    <row r="3181" spans="6:6">
      <c r="F3181" s="2423"/>
    </row>
    <row r="3182" spans="6:6">
      <c r="F3182" s="2423"/>
    </row>
    <row r="3183" spans="6:6">
      <c r="F3183" s="2423"/>
    </row>
    <row r="3184" spans="6:6">
      <c r="F3184" s="2423"/>
    </row>
    <row r="3185" spans="6:6">
      <c r="F3185" s="2423"/>
    </row>
    <row r="3186" spans="6:6">
      <c r="F3186" s="2423"/>
    </row>
    <row r="3187" spans="6:6">
      <c r="F3187" s="2423"/>
    </row>
    <row r="3188" spans="6:6">
      <c r="F3188" s="2423"/>
    </row>
    <row r="3189" spans="6:6">
      <c r="F3189" s="2423"/>
    </row>
    <row r="3190" spans="6:6">
      <c r="F3190" s="2423"/>
    </row>
    <row r="3191" spans="6:6">
      <c r="F3191" s="2423"/>
    </row>
    <row r="3192" spans="6:6">
      <c r="F3192" s="2423"/>
    </row>
    <row r="3193" spans="6:6">
      <c r="F3193" s="2423"/>
    </row>
    <row r="3194" spans="6:6">
      <c r="F3194" s="2423"/>
    </row>
    <row r="3195" spans="6:6">
      <c r="F3195" s="2423"/>
    </row>
    <row r="3196" spans="6:6">
      <c r="F3196" s="2423"/>
    </row>
    <row r="3197" spans="6:6">
      <c r="F3197" s="2423"/>
    </row>
    <row r="3198" spans="6:6">
      <c r="F3198" s="2423"/>
    </row>
    <row r="3199" spans="6:6">
      <c r="F3199" s="2423"/>
    </row>
    <row r="3200" spans="6:6">
      <c r="F3200" s="2423"/>
    </row>
    <row r="3201" spans="6:6">
      <c r="F3201" s="2423"/>
    </row>
    <row r="3202" spans="6:6">
      <c r="F3202" s="2423"/>
    </row>
    <row r="3203" spans="6:6">
      <c r="F3203" s="2423"/>
    </row>
    <row r="3204" spans="6:6">
      <c r="F3204" s="2423"/>
    </row>
    <row r="3205" spans="6:6">
      <c r="F3205" s="2423"/>
    </row>
    <row r="3206" spans="6:6">
      <c r="F3206" s="2423"/>
    </row>
    <row r="3207" spans="6:6">
      <c r="F3207" s="2423"/>
    </row>
    <row r="3208" spans="6:6">
      <c r="F3208" s="2423"/>
    </row>
    <row r="3209" spans="6:6">
      <c r="F3209" s="2423"/>
    </row>
    <row r="3210" spans="6:6">
      <c r="F3210" s="2423"/>
    </row>
    <row r="3211" spans="6:6">
      <c r="F3211" s="2423"/>
    </row>
    <row r="3212" spans="6:6">
      <c r="F3212" s="2423"/>
    </row>
    <row r="3213" spans="6:6">
      <c r="F3213" s="2423"/>
    </row>
    <row r="3214" spans="6:6">
      <c r="F3214" s="2423"/>
    </row>
    <row r="3215" spans="6:6">
      <c r="F3215" s="2423"/>
    </row>
    <row r="3216" spans="6:6">
      <c r="F3216" s="2423"/>
    </row>
    <row r="3217" spans="6:6">
      <c r="F3217" s="2423"/>
    </row>
    <row r="3218" spans="6:6">
      <c r="F3218" s="2423"/>
    </row>
    <row r="3219" spans="6:6">
      <c r="F3219" s="2423"/>
    </row>
    <row r="3220" spans="6:6">
      <c r="F3220" s="2423"/>
    </row>
    <row r="3221" spans="6:6">
      <c r="F3221" s="2423"/>
    </row>
    <row r="3222" spans="6:6">
      <c r="F3222" s="2423"/>
    </row>
    <row r="3223" spans="6:6">
      <c r="F3223" s="2423"/>
    </row>
    <row r="3224" spans="6:6">
      <c r="F3224" s="2423"/>
    </row>
    <row r="3225" spans="6:6">
      <c r="F3225" s="2423"/>
    </row>
    <row r="3226" spans="6:6">
      <c r="F3226" s="2423"/>
    </row>
    <row r="3227" spans="6:6">
      <c r="F3227" s="2423"/>
    </row>
    <row r="3228" spans="6:6">
      <c r="F3228" s="2423"/>
    </row>
    <row r="3229" spans="6:6">
      <c r="F3229" s="2423"/>
    </row>
    <row r="3230" spans="6:6">
      <c r="F3230" s="2423"/>
    </row>
    <row r="3231" spans="6:6">
      <c r="F3231" s="2423"/>
    </row>
    <row r="3232" spans="6:6">
      <c r="F3232" s="2423"/>
    </row>
    <row r="3233" spans="6:6">
      <c r="F3233" s="2423"/>
    </row>
    <row r="3234" spans="6:6">
      <c r="F3234" s="2423"/>
    </row>
    <row r="3235" spans="6:6">
      <c r="F3235" s="2423"/>
    </row>
    <row r="3236" spans="6:6">
      <c r="F3236" s="2423"/>
    </row>
    <row r="3237" spans="6:6">
      <c r="F3237" s="2423"/>
    </row>
    <row r="3238" spans="6:6">
      <c r="F3238" s="2423"/>
    </row>
    <row r="3239" spans="6:6">
      <c r="F3239" s="2423"/>
    </row>
    <row r="3240" spans="6:6">
      <c r="F3240" s="2423"/>
    </row>
    <row r="3241" spans="6:6">
      <c r="F3241" s="2423"/>
    </row>
    <row r="3242" spans="6:6">
      <c r="F3242" s="2423"/>
    </row>
    <row r="3243" spans="6:6">
      <c r="F3243" s="2423"/>
    </row>
    <row r="3244" spans="6:6">
      <c r="F3244" s="2423"/>
    </row>
    <row r="3245" spans="6:6">
      <c r="F3245" s="2423"/>
    </row>
    <row r="3246" spans="6:6">
      <c r="F3246" s="2423"/>
    </row>
    <row r="3247" spans="6:6">
      <c r="F3247" s="2423"/>
    </row>
    <row r="3248" spans="6:6">
      <c r="F3248" s="2423"/>
    </row>
    <row r="3249" spans="6:6">
      <c r="F3249" s="2423"/>
    </row>
    <row r="3250" spans="6:6">
      <c r="F3250" s="2423"/>
    </row>
    <row r="3251" spans="6:6">
      <c r="F3251" s="2423"/>
    </row>
    <row r="3252" spans="6:6">
      <c r="F3252" s="2423"/>
    </row>
    <row r="3253" spans="6:6">
      <c r="F3253" s="2423"/>
    </row>
    <row r="3254" spans="6:6">
      <c r="F3254" s="2423"/>
    </row>
    <row r="3255" spans="6:6">
      <c r="F3255" s="2423"/>
    </row>
    <row r="3256" spans="6:6">
      <c r="F3256" s="2423"/>
    </row>
    <row r="3257" spans="6:6">
      <c r="F3257" s="2423"/>
    </row>
    <row r="3258" spans="6:6">
      <c r="F3258" s="2423"/>
    </row>
    <row r="3259" spans="6:6">
      <c r="F3259" s="2423"/>
    </row>
    <row r="3260" spans="6:6">
      <c r="F3260" s="2423"/>
    </row>
    <row r="3261" spans="6:6">
      <c r="F3261" s="2423"/>
    </row>
    <row r="3262" spans="6:6">
      <c r="F3262" s="2423"/>
    </row>
    <row r="3263" spans="6:6">
      <c r="F3263" s="2423"/>
    </row>
    <row r="3264" spans="6:6">
      <c r="F3264" s="2423"/>
    </row>
    <row r="3265" spans="6:6">
      <c r="F3265" s="2423"/>
    </row>
    <row r="3266" spans="6:6">
      <c r="F3266" s="2423"/>
    </row>
    <row r="3267" spans="6:6">
      <c r="F3267" s="2423"/>
    </row>
    <row r="3268" spans="6:6">
      <c r="F3268" s="2423"/>
    </row>
    <row r="3269" spans="6:6">
      <c r="F3269" s="2423"/>
    </row>
    <row r="3270" spans="6:6">
      <c r="F3270" s="2423"/>
    </row>
    <row r="3271" spans="6:6">
      <c r="F3271" s="2423"/>
    </row>
    <row r="3272" spans="6:6">
      <c r="F3272" s="2423"/>
    </row>
    <row r="3273" spans="6:6">
      <c r="F3273" s="2423"/>
    </row>
    <row r="3274" spans="6:6">
      <c r="F3274" s="2423"/>
    </row>
    <row r="3275" spans="6:6">
      <c r="F3275" s="2423"/>
    </row>
    <row r="3276" spans="6:6">
      <c r="F3276" s="2423"/>
    </row>
    <row r="3277" spans="6:6">
      <c r="F3277" s="2423"/>
    </row>
    <row r="3278" spans="6:6">
      <c r="F3278" s="2423"/>
    </row>
    <row r="3279" spans="6:6">
      <c r="F3279" s="2423"/>
    </row>
    <row r="3280" spans="6:6">
      <c r="F3280" s="2423"/>
    </row>
    <row r="3281" spans="6:6">
      <c r="F3281" s="2423"/>
    </row>
    <row r="3282" spans="6:6">
      <c r="F3282" s="2423"/>
    </row>
    <row r="3283" spans="6:6">
      <c r="F3283" s="2423"/>
    </row>
    <row r="3284" spans="6:6">
      <c r="F3284" s="2423"/>
    </row>
    <row r="3285" spans="6:6">
      <c r="F3285" s="2423"/>
    </row>
    <row r="3286" spans="6:6">
      <c r="F3286" s="2423"/>
    </row>
    <row r="3287" spans="6:6">
      <c r="F3287" s="2423"/>
    </row>
    <row r="3288" spans="6:6">
      <c r="F3288" s="2423"/>
    </row>
    <row r="3289" spans="6:6">
      <c r="F3289" s="2423"/>
    </row>
    <row r="3290" spans="6:6">
      <c r="F3290" s="2423"/>
    </row>
    <row r="3291" spans="6:6">
      <c r="F3291" s="2423"/>
    </row>
    <row r="3292" spans="6:6">
      <c r="F3292" s="2423"/>
    </row>
    <row r="3293" spans="6:6">
      <c r="F3293" s="2423"/>
    </row>
    <row r="3294" spans="6:6">
      <c r="F3294" s="2423"/>
    </row>
    <row r="3295" spans="6:6">
      <c r="F3295" s="2423"/>
    </row>
    <row r="3296" spans="6:6">
      <c r="F3296" s="2423"/>
    </row>
    <row r="3297" spans="6:6">
      <c r="F3297" s="2423"/>
    </row>
    <row r="3298" spans="6:6">
      <c r="F3298" s="2423"/>
    </row>
    <row r="3299" spans="6:6">
      <c r="F3299" s="2423"/>
    </row>
    <row r="3300" spans="6:6">
      <c r="F3300" s="2423"/>
    </row>
    <row r="3301" spans="6:6">
      <c r="F3301" s="2423"/>
    </row>
    <row r="3302" spans="6:6">
      <c r="F3302" s="2423"/>
    </row>
    <row r="3303" spans="6:6">
      <c r="F3303" s="2423"/>
    </row>
    <row r="3304" spans="6:6">
      <c r="F3304" s="2423"/>
    </row>
    <row r="3305" spans="6:6">
      <c r="F3305" s="2423"/>
    </row>
    <row r="3306" spans="6:6">
      <c r="F3306" s="2423"/>
    </row>
    <row r="3307" spans="6:6">
      <c r="F3307" s="2423"/>
    </row>
    <row r="3308" spans="6:6">
      <c r="F3308" s="2423"/>
    </row>
    <row r="3309" spans="6:6">
      <c r="F3309" s="2423"/>
    </row>
    <row r="3310" spans="6:6">
      <c r="F3310" s="2423"/>
    </row>
    <row r="3311" spans="6:6">
      <c r="F3311" s="2423"/>
    </row>
    <row r="3312" spans="6:6">
      <c r="F3312" s="2423"/>
    </row>
    <row r="3313" spans="6:6">
      <c r="F3313" s="2423"/>
    </row>
    <row r="3314" spans="6:6">
      <c r="F3314" s="2423"/>
    </row>
    <row r="3315" spans="6:6">
      <c r="F3315" s="2423"/>
    </row>
    <row r="3316" spans="6:6">
      <c r="F3316" s="2423"/>
    </row>
    <row r="3317" spans="6:6">
      <c r="F3317" s="2423"/>
    </row>
    <row r="3318" spans="6:6">
      <c r="F3318" s="2423"/>
    </row>
    <row r="3319" spans="6:6">
      <c r="F3319" s="2423"/>
    </row>
    <row r="3320" spans="6:6">
      <c r="F3320" s="2423"/>
    </row>
    <row r="3321" spans="6:6">
      <c r="F3321" s="2423"/>
    </row>
    <row r="3322" spans="6:6">
      <c r="F3322" s="2423"/>
    </row>
    <row r="3323" spans="6:6">
      <c r="F3323" s="2423"/>
    </row>
    <row r="3324" spans="6:6">
      <c r="F3324" s="2423"/>
    </row>
    <row r="3325" spans="6:6">
      <c r="F3325" s="2423"/>
    </row>
    <row r="3326" spans="6:6">
      <c r="F3326" s="2423"/>
    </row>
    <row r="3327" spans="6:6">
      <c r="F3327" s="2423"/>
    </row>
    <row r="3328" spans="6:6">
      <c r="F3328" s="2423"/>
    </row>
    <row r="3329" spans="6:6">
      <c r="F3329" s="2423"/>
    </row>
    <row r="3330" spans="6:6">
      <c r="F3330" s="2423"/>
    </row>
    <row r="3331" spans="6:6">
      <c r="F3331" s="2423"/>
    </row>
    <row r="3332" spans="6:6">
      <c r="F3332" s="2423"/>
    </row>
    <row r="3333" spans="6:6">
      <c r="F3333" s="2423"/>
    </row>
    <row r="3334" spans="6:6">
      <c r="F3334" s="2423"/>
    </row>
    <row r="3335" spans="6:6">
      <c r="F3335" s="2423"/>
    </row>
    <row r="3336" spans="6:6">
      <c r="F3336" s="2423"/>
    </row>
    <row r="3337" spans="6:6">
      <c r="F3337" s="2423"/>
    </row>
    <row r="3338" spans="6:6">
      <c r="F3338" s="2423"/>
    </row>
    <row r="3339" spans="6:6">
      <c r="F3339" s="2423"/>
    </row>
    <row r="3340" spans="6:6">
      <c r="F3340" s="2423"/>
    </row>
    <row r="3341" spans="6:6">
      <c r="F3341" s="2423"/>
    </row>
    <row r="3342" spans="6:6">
      <c r="F3342" s="2423"/>
    </row>
    <row r="3343" spans="6:6">
      <c r="F3343" s="2423"/>
    </row>
    <row r="3344" spans="6:6">
      <c r="F3344" s="2423"/>
    </row>
    <row r="3345" spans="6:6">
      <c r="F3345" s="2423"/>
    </row>
    <row r="3346" spans="6:6">
      <c r="F3346" s="2423"/>
    </row>
    <row r="3347" spans="6:6">
      <c r="F3347" s="2423"/>
    </row>
    <row r="3348" spans="6:6">
      <c r="F3348" s="2423"/>
    </row>
    <row r="3349" spans="6:6">
      <c r="F3349" s="2423"/>
    </row>
    <row r="3350" spans="6:6">
      <c r="F3350" s="2423"/>
    </row>
    <row r="3351" spans="6:6">
      <c r="F3351" s="2423"/>
    </row>
    <row r="3352" spans="6:6">
      <c r="F3352" s="2423"/>
    </row>
    <row r="3353" spans="6:6">
      <c r="F3353" s="2423"/>
    </row>
    <row r="3354" spans="6:6">
      <c r="F3354" s="2423"/>
    </row>
    <row r="3355" spans="6:6">
      <c r="F3355" s="2423"/>
    </row>
    <row r="3356" spans="6:6">
      <c r="F3356" s="2423"/>
    </row>
    <row r="3357" spans="6:6">
      <c r="F3357" s="2423"/>
    </row>
    <row r="3358" spans="6:6">
      <c r="F3358" s="2423"/>
    </row>
    <row r="3359" spans="6:6">
      <c r="F3359" s="2423"/>
    </row>
    <row r="3360" spans="6:6">
      <c r="F3360" s="2423"/>
    </row>
    <row r="3361" spans="6:6">
      <c r="F3361" s="2423"/>
    </row>
    <row r="3362" spans="6:6">
      <c r="F3362" s="2423"/>
    </row>
    <row r="3363" spans="6:6">
      <c r="F3363" s="2423"/>
    </row>
    <row r="3364" spans="6:6">
      <c r="F3364" s="2423"/>
    </row>
    <row r="3365" spans="6:6">
      <c r="F3365" s="2423"/>
    </row>
    <row r="3366" spans="6:6">
      <c r="F3366" s="2423"/>
    </row>
    <row r="3367" spans="6:6">
      <c r="F3367" s="2423"/>
    </row>
    <row r="3368" spans="6:6">
      <c r="F3368" s="2423"/>
    </row>
    <row r="3369" spans="6:6">
      <c r="F3369" s="2423"/>
    </row>
    <row r="3370" spans="6:6">
      <c r="F3370" s="2423"/>
    </row>
    <row r="3371" spans="6:6">
      <c r="F3371" s="2423"/>
    </row>
    <row r="3372" spans="6:6">
      <c r="F3372" s="2423"/>
    </row>
    <row r="3373" spans="6:6">
      <c r="F3373" s="2423"/>
    </row>
    <row r="3374" spans="6:6">
      <c r="F3374" s="2423"/>
    </row>
    <row r="3375" spans="6:6">
      <c r="F3375" s="2423"/>
    </row>
    <row r="3376" spans="6:6">
      <c r="F3376" s="2423"/>
    </row>
    <row r="3377" spans="6:6">
      <c r="F3377" s="2423"/>
    </row>
    <row r="3378" spans="6:6">
      <c r="F3378" s="2423"/>
    </row>
    <row r="3379" spans="6:6">
      <c r="F3379" s="2423"/>
    </row>
    <row r="3380" spans="6:6">
      <c r="F3380" s="2423"/>
    </row>
    <row r="3381" spans="6:6">
      <c r="F3381" s="2423"/>
    </row>
    <row r="3382" spans="6:6">
      <c r="F3382" s="2423"/>
    </row>
    <row r="3383" spans="6:6">
      <c r="F3383" s="2423"/>
    </row>
    <row r="3384" spans="6:6">
      <c r="F3384" s="2423"/>
    </row>
    <row r="3385" spans="6:6">
      <c r="F3385" s="2423"/>
    </row>
    <row r="3386" spans="6:6">
      <c r="F3386" s="2423"/>
    </row>
    <row r="3387" spans="6:6">
      <c r="F3387" s="2423"/>
    </row>
    <row r="3388" spans="6:6">
      <c r="F3388" s="2423"/>
    </row>
    <row r="3389" spans="6:6">
      <c r="F3389" s="2423"/>
    </row>
    <row r="3390" spans="6:6">
      <c r="F3390" s="2423"/>
    </row>
    <row r="3391" spans="6:6">
      <c r="F3391" s="2423"/>
    </row>
    <row r="3392" spans="6:6">
      <c r="F3392" s="2423"/>
    </row>
    <row r="3393" spans="6:6">
      <c r="F3393" s="2423"/>
    </row>
    <row r="3394" spans="6:6">
      <c r="F3394" s="2423"/>
    </row>
    <row r="3395" spans="6:6">
      <c r="F3395" s="2423"/>
    </row>
    <row r="3396" spans="6:6">
      <c r="F3396" s="2423"/>
    </row>
    <row r="3397" spans="6:6">
      <c r="F3397" s="2423"/>
    </row>
    <row r="3398" spans="6:6">
      <c r="F3398" s="2423"/>
    </row>
    <row r="3399" spans="6:6">
      <c r="F3399" s="2423"/>
    </row>
    <row r="3400" spans="6:6">
      <c r="F3400" s="2423"/>
    </row>
    <row r="3401" spans="6:6">
      <c r="F3401" s="2423"/>
    </row>
    <row r="3402" spans="6:6">
      <c r="F3402" s="2423"/>
    </row>
    <row r="3403" spans="6:6">
      <c r="F3403" s="2423"/>
    </row>
    <row r="3404" spans="6:6">
      <c r="F3404" s="2423"/>
    </row>
    <row r="3405" spans="6:6">
      <c r="F3405" s="2423"/>
    </row>
    <row r="3406" spans="6:6">
      <c r="F3406" s="2423"/>
    </row>
    <row r="3407" spans="6:6">
      <c r="F3407" s="2423"/>
    </row>
    <row r="3408" spans="6:6">
      <c r="F3408" s="2423"/>
    </row>
    <row r="3409" spans="6:6">
      <c r="F3409" s="2423"/>
    </row>
    <row r="3410" spans="6:6">
      <c r="F3410" s="2423"/>
    </row>
    <row r="3411" spans="6:6">
      <c r="F3411" s="2423"/>
    </row>
    <row r="3412" spans="6:6">
      <c r="F3412" s="2423"/>
    </row>
    <row r="3413" spans="6:6">
      <c r="F3413" s="2423"/>
    </row>
    <row r="3414" spans="6:6">
      <c r="F3414" s="2423"/>
    </row>
    <row r="3415" spans="6:6">
      <c r="F3415" s="2423"/>
    </row>
    <row r="3416" spans="6:6">
      <c r="F3416" s="2423"/>
    </row>
    <row r="3417" spans="6:6">
      <c r="F3417" s="2423"/>
    </row>
    <row r="3418" spans="6:6">
      <c r="F3418" s="2423"/>
    </row>
    <row r="3419" spans="6:6">
      <c r="F3419" s="2423"/>
    </row>
    <row r="3420" spans="6:6">
      <c r="F3420" s="2423"/>
    </row>
    <row r="3421" spans="6:6">
      <c r="F3421" s="2423"/>
    </row>
    <row r="3422" spans="6:6">
      <c r="F3422" s="2423"/>
    </row>
    <row r="3423" spans="6:6">
      <c r="F3423" s="2423"/>
    </row>
    <row r="3424" spans="6:6">
      <c r="F3424" s="2423"/>
    </row>
    <row r="3425" spans="6:6">
      <c r="F3425" s="2423"/>
    </row>
    <row r="3426" spans="6:6">
      <c r="F3426" s="2423"/>
    </row>
    <row r="3427" spans="6:6">
      <c r="F3427" s="2423"/>
    </row>
    <row r="3428" spans="6:6">
      <c r="F3428" s="2423"/>
    </row>
    <row r="3429" spans="6:6">
      <c r="F3429" s="2423"/>
    </row>
    <row r="3430" spans="6:6">
      <c r="F3430" s="2423"/>
    </row>
    <row r="3431" spans="6:6">
      <c r="F3431" s="2423"/>
    </row>
    <row r="3432" spans="6:6">
      <c r="F3432" s="2423"/>
    </row>
    <row r="3433" spans="6:6">
      <c r="F3433" s="2423"/>
    </row>
    <row r="3434" spans="6:6">
      <c r="F3434" s="2423"/>
    </row>
    <row r="3435" spans="6:6">
      <c r="F3435" s="2423"/>
    </row>
    <row r="3436" spans="6:6">
      <c r="F3436" s="2423"/>
    </row>
    <row r="3437" spans="6:6">
      <c r="F3437" s="2423"/>
    </row>
    <row r="3438" spans="6:6">
      <c r="F3438" s="2423"/>
    </row>
    <row r="3439" spans="6:6">
      <c r="F3439" s="2423"/>
    </row>
    <row r="3440" spans="6:6">
      <c r="F3440" s="2423"/>
    </row>
    <row r="3441" spans="6:6">
      <c r="F3441" s="2423"/>
    </row>
    <row r="3442" spans="6:6">
      <c r="F3442" s="2423"/>
    </row>
    <row r="3443" spans="6:6">
      <c r="F3443" s="2423"/>
    </row>
    <row r="3444" spans="6:6">
      <c r="F3444" s="2423"/>
    </row>
    <row r="3445" spans="6:6">
      <c r="F3445" s="2423"/>
    </row>
    <row r="3446" spans="6:6">
      <c r="F3446" s="2423"/>
    </row>
    <row r="3447" spans="6:6">
      <c r="F3447" s="2423"/>
    </row>
    <row r="3448" spans="6:6">
      <c r="F3448" s="2423"/>
    </row>
    <row r="3449" spans="6:6">
      <c r="F3449" s="2423"/>
    </row>
    <row r="3450" spans="6:6">
      <c r="F3450" s="2423"/>
    </row>
    <row r="3451" spans="6:6">
      <c r="F3451" s="2423"/>
    </row>
    <row r="3452" spans="6:6">
      <c r="F3452" s="2423"/>
    </row>
    <row r="3453" spans="6:6">
      <c r="F3453" s="2423"/>
    </row>
    <row r="3454" spans="6:6">
      <c r="F3454" s="2423"/>
    </row>
    <row r="3455" spans="6:6">
      <c r="F3455" s="2423"/>
    </row>
    <row r="3456" spans="6:6">
      <c r="F3456" s="2423"/>
    </row>
    <row r="3457" spans="6:6">
      <c r="F3457" s="2423"/>
    </row>
    <row r="3458" spans="6:6">
      <c r="F3458" s="2423"/>
    </row>
    <row r="3459" spans="6:6">
      <c r="F3459" s="2423"/>
    </row>
    <row r="3460" spans="6:6">
      <c r="F3460" s="2423"/>
    </row>
    <row r="3461" spans="6:6">
      <c r="F3461" s="2423"/>
    </row>
    <row r="3462" spans="6:6">
      <c r="F3462" s="2423"/>
    </row>
    <row r="3463" spans="6:6">
      <c r="F3463" s="2423"/>
    </row>
    <row r="3464" spans="6:6">
      <c r="F3464" s="2423"/>
    </row>
    <row r="3465" spans="6:6">
      <c r="F3465" s="2423"/>
    </row>
    <row r="3466" spans="6:6">
      <c r="F3466" s="2423"/>
    </row>
    <row r="3467" spans="6:6">
      <c r="F3467" s="2423"/>
    </row>
    <row r="3468" spans="6:6">
      <c r="F3468" s="2423"/>
    </row>
    <row r="3469" spans="6:6">
      <c r="F3469" s="2423"/>
    </row>
    <row r="3470" spans="6:6">
      <c r="F3470" s="2423"/>
    </row>
    <row r="3471" spans="6:6">
      <c r="F3471" s="2423"/>
    </row>
    <row r="3472" spans="6:6">
      <c r="F3472" s="2423"/>
    </row>
    <row r="3473" spans="6:6">
      <c r="F3473" s="2423"/>
    </row>
    <row r="3474" spans="6:6">
      <c r="F3474" s="2423"/>
    </row>
    <row r="3475" spans="6:6">
      <c r="F3475" s="2423"/>
    </row>
    <row r="3476" spans="6:6">
      <c r="F3476" s="2423"/>
    </row>
    <row r="3477" spans="6:6">
      <c r="F3477" s="2423"/>
    </row>
    <row r="3478" spans="6:6">
      <c r="F3478" s="2423"/>
    </row>
    <row r="3479" spans="6:6">
      <c r="F3479" s="2423"/>
    </row>
    <row r="3480" spans="6:6">
      <c r="F3480" s="2423"/>
    </row>
    <row r="3481" spans="6:6">
      <c r="F3481" s="2423"/>
    </row>
    <row r="3482" spans="6:6">
      <c r="F3482" s="2423"/>
    </row>
    <row r="3483" spans="6:6">
      <c r="F3483" s="2423"/>
    </row>
    <row r="3484" spans="6:6">
      <c r="F3484" s="2423"/>
    </row>
    <row r="3485" spans="6:6">
      <c r="F3485" s="2423"/>
    </row>
    <row r="3486" spans="6:6">
      <c r="F3486" s="2423"/>
    </row>
    <row r="3487" spans="6:6">
      <c r="F3487" s="2423"/>
    </row>
    <row r="3488" spans="6:6">
      <c r="F3488" s="2423"/>
    </row>
    <row r="3489" spans="6:6">
      <c r="F3489" s="2423"/>
    </row>
    <row r="3490" spans="6:6">
      <c r="F3490" s="2423"/>
    </row>
    <row r="3491" spans="6:6">
      <c r="F3491" s="2423"/>
    </row>
    <row r="3492" spans="6:6">
      <c r="F3492" s="2423"/>
    </row>
    <row r="3493" spans="6:6">
      <c r="F3493" s="2423"/>
    </row>
    <row r="3494" spans="6:6">
      <c r="F3494" s="2423"/>
    </row>
    <row r="3495" spans="6:6">
      <c r="F3495" s="2423"/>
    </row>
    <row r="3496" spans="6:6">
      <c r="F3496" s="2423"/>
    </row>
    <row r="3497" spans="6:6">
      <c r="F3497" s="2423"/>
    </row>
    <row r="3498" spans="6:6">
      <c r="F3498" s="2423"/>
    </row>
    <row r="3499" spans="6:6">
      <c r="F3499" s="2423"/>
    </row>
    <row r="3500" spans="6:6">
      <c r="F3500" s="2423"/>
    </row>
    <row r="3501" spans="6:6">
      <c r="F3501" s="2423"/>
    </row>
    <row r="3502" spans="6:6">
      <c r="F3502" s="2423"/>
    </row>
    <row r="3503" spans="6:6">
      <c r="F3503" s="2423"/>
    </row>
    <row r="3504" spans="6:6">
      <c r="F3504" s="2423"/>
    </row>
    <row r="3505" spans="6:6">
      <c r="F3505" s="2423"/>
    </row>
    <row r="3506" spans="6:6">
      <c r="F3506" s="2423"/>
    </row>
    <row r="3507" spans="6:6">
      <c r="F3507" s="2423"/>
    </row>
    <row r="3508" spans="6:6">
      <c r="F3508" s="2423"/>
    </row>
    <row r="3509" spans="6:6">
      <c r="F3509" s="2423"/>
    </row>
    <row r="3510" spans="6:6">
      <c r="F3510" s="2423"/>
    </row>
    <row r="3511" spans="6:6">
      <c r="F3511" s="2423"/>
    </row>
    <row r="3512" spans="6:6">
      <c r="F3512" s="2423"/>
    </row>
    <row r="3513" spans="6:6">
      <c r="F3513" s="2423"/>
    </row>
    <row r="3514" spans="6:6">
      <c r="F3514" s="2423"/>
    </row>
    <row r="3515" spans="6:6">
      <c r="F3515" s="2423"/>
    </row>
    <row r="3516" spans="6:6">
      <c r="F3516" s="2423"/>
    </row>
    <row r="3517" spans="6:6">
      <c r="F3517" s="2423"/>
    </row>
    <row r="3518" spans="6:6">
      <c r="F3518" s="2423"/>
    </row>
    <row r="3519" spans="6:6">
      <c r="F3519" s="2423"/>
    </row>
    <row r="3520" spans="6:6">
      <c r="F3520" s="2423"/>
    </row>
    <row r="3521" spans="6:6">
      <c r="F3521" s="2423"/>
    </row>
    <row r="3522" spans="6:6">
      <c r="F3522" s="2423"/>
    </row>
    <row r="3523" spans="6:6">
      <c r="F3523" s="2423"/>
    </row>
    <row r="3524" spans="6:6">
      <c r="F3524" s="2423"/>
    </row>
    <row r="3525" spans="6:6">
      <c r="F3525" s="2423"/>
    </row>
    <row r="3526" spans="6:6">
      <c r="F3526" s="2423"/>
    </row>
    <row r="3527" spans="6:6">
      <c r="F3527" s="2423"/>
    </row>
    <row r="3528" spans="6:6">
      <c r="F3528" s="2423"/>
    </row>
    <row r="3529" spans="6:6">
      <c r="F3529" s="2423"/>
    </row>
    <row r="3530" spans="6:6">
      <c r="F3530" s="2423"/>
    </row>
    <row r="3531" spans="6:6">
      <c r="F3531" s="2423"/>
    </row>
    <row r="3532" spans="6:6">
      <c r="F3532" s="2423"/>
    </row>
    <row r="3533" spans="6:6">
      <c r="F3533" s="2423"/>
    </row>
    <row r="3534" spans="6:6">
      <c r="F3534" s="2423"/>
    </row>
    <row r="3535" spans="6:6">
      <c r="F3535" s="2423"/>
    </row>
    <row r="3536" spans="6:6">
      <c r="F3536" s="2423"/>
    </row>
    <row r="3537" spans="6:6">
      <c r="F3537" s="2423"/>
    </row>
    <row r="3538" spans="6:6">
      <c r="F3538" s="2423"/>
    </row>
    <row r="3539" spans="6:6">
      <c r="F3539" s="2423"/>
    </row>
    <row r="3540" spans="6:6">
      <c r="F3540" s="2423"/>
    </row>
    <row r="3541" spans="6:6">
      <c r="F3541" s="2423"/>
    </row>
    <row r="3542" spans="6:6">
      <c r="F3542" s="2423"/>
    </row>
    <row r="3543" spans="6:6">
      <c r="F3543" s="2423"/>
    </row>
    <row r="3544" spans="6:6">
      <c r="F3544" s="2423"/>
    </row>
    <row r="3545" spans="6:6">
      <c r="F3545" s="2423"/>
    </row>
    <row r="3546" spans="6:6">
      <c r="F3546" s="2423"/>
    </row>
    <row r="3547" spans="6:6">
      <c r="F3547" s="2423"/>
    </row>
    <row r="3548" spans="6:6">
      <c r="F3548" s="2423"/>
    </row>
    <row r="3549" spans="6:6">
      <c r="F3549" s="2423"/>
    </row>
    <row r="3550" spans="6:6">
      <c r="F3550" s="2423"/>
    </row>
    <row r="3551" spans="6:6">
      <c r="F3551" s="2423"/>
    </row>
    <row r="3552" spans="6:6">
      <c r="F3552" s="2423"/>
    </row>
    <row r="3553" spans="6:6">
      <c r="F3553" s="2423"/>
    </row>
    <row r="3554" spans="6:6">
      <c r="F3554" s="2423"/>
    </row>
    <row r="3555" spans="6:6">
      <c r="F3555" s="2423"/>
    </row>
    <row r="3556" spans="6:6">
      <c r="F3556" s="2423"/>
    </row>
    <row r="3557" spans="6:6">
      <c r="F3557" s="2423"/>
    </row>
    <row r="3558" spans="6:6">
      <c r="F3558" s="2423"/>
    </row>
    <row r="3559" spans="6:6">
      <c r="F3559" s="2423"/>
    </row>
    <row r="3560" spans="6:6">
      <c r="F3560" s="2423"/>
    </row>
    <row r="3561" spans="6:6">
      <c r="F3561" s="2423"/>
    </row>
    <row r="3562" spans="6:6">
      <c r="F3562" s="2423"/>
    </row>
    <row r="3563" spans="6:6">
      <c r="F3563" s="2423"/>
    </row>
    <row r="3564" spans="6:6">
      <c r="F3564" s="2423"/>
    </row>
    <row r="3565" spans="6:6">
      <c r="F3565" s="2423"/>
    </row>
    <row r="3566" spans="6:6">
      <c r="F3566" s="2423"/>
    </row>
    <row r="3567" spans="6:6">
      <c r="F3567" s="2423"/>
    </row>
    <row r="3568" spans="6:6">
      <c r="F3568" s="2423"/>
    </row>
    <row r="3569" spans="6:6">
      <c r="F3569" s="2423"/>
    </row>
    <row r="3570" spans="6:6">
      <c r="F3570" s="2423"/>
    </row>
    <row r="3571" spans="6:6">
      <c r="F3571" s="2423"/>
    </row>
    <row r="3572" spans="6:6">
      <c r="F3572" s="2423"/>
    </row>
    <row r="3573" spans="6:6">
      <c r="F3573" s="2423"/>
    </row>
    <row r="3574" spans="6:6">
      <c r="F3574" s="2423"/>
    </row>
    <row r="3575" spans="6:6">
      <c r="F3575" s="2423"/>
    </row>
    <row r="3576" spans="6:6">
      <c r="F3576" s="2423"/>
    </row>
    <row r="3577" spans="6:6">
      <c r="F3577" s="2423"/>
    </row>
    <row r="3578" spans="6:6">
      <c r="F3578" s="2423"/>
    </row>
    <row r="3579" spans="6:6">
      <c r="F3579" s="2423"/>
    </row>
    <row r="3580" spans="6:6">
      <c r="F3580" s="2423"/>
    </row>
    <row r="3581" spans="6:6">
      <c r="F3581" s="2423"/>
    </row>
    <row r="3582" spans="6:6">
      <c r="F3582" s="2423"/>
    </row>
    <row r="3583" spans="6:6">
      <c r="F3583" s="2423"/>
    </row>
    <row r="3584" spans="6:6">
      <c r="F3584" s="2423"/>
    </row>
    <row r="3585" spans="6:6">
      <c r="F3585" s="2423"/>
    </row>
    <row r="3586" spans="6:6">
      <c r="F3586" s="2423"/>
    </row>
    <row r="3587" spans="6:6">
      <c r="F3587" s="2423"/>
    </row>
    <row r="3588" spans="6:6">
      <c r="F3588" s="2423"/>
    </row>
    <row r="3589" spans="6:6">
      <c r="F3589" s="2423"/>
    </row>
    <row r="3590" spans="6:6">
      <c r="F3590" s="2423"/>
    </row>
    <row r="3591" spans="6:6">
      <c r="F3591" s="2423"/>
    </row>
    <row r="3592" spans="6:6">
      <c r="F3592" s="2423"/>
    </row>
    <row r="3593" spans="6:6">
      <c r="F3593" s="2423"/>
    </row>
    <row r="3594" spans="6:6">
      <c r="F3594" s="2423"/>
    </row>
    <row r="3595" spans="6:6">
      <c r="F3595" s="2423"/>
    </row>
    <row r="3596" spans="6:6">
      <c r="F3596" s="2423"/>
    </row>
    <row r="3597" spans="6:6">
      <c r="F3597" s="2423"/>
    </row>
    <row r="3598" spans="6:6">
      <c r="F3598" s="2423"/>
    </row>
    <row r="3599" spans="6:6">
      <c r="F3599" s="2423"/>
    </row>
    <row r="3600" spans="6:6">
      <c r="F3600" s="2423"/>
    </row>
    <row r="3601" spans="6:6">
      <c r="F3601" s="2423"/>
    </row>
    <row r="3602" spans="6:6">
      <c r="F3602" s="2423"/>
    </row>
    <row r="3603" spans="6:6">
      <c r="F3603" s="2423"/>
    </row>
    <row r="3604" spans="6:6">
      <c r="F3604" s="2423"/>
    </row>
    <row r="3605" spans="6:6">
      <c r="F3605" s="2423"/>
    </row>
    <row r="3606" spans="6:6">
      <c r="F3606" s="2423"/>
    </row>
    <row r="3607" spans="6:6">
      <c r="F3607" s="2423"/>
    </row>
    <row r="3608" spans="6:6">
      <c r="F3608" s="2423"/>
    </row>
    <row r="3609" spans="6:6">
      <c r="F3609" s="2423"/>
    </row>
    <row r="3610" spans="6:6">
      <c r="F3610" s="2423"/>
    </row>
    <row r="3611" spans="6:6">
      <c r="F3611" s="2423"/>
    </row>
    <row r="3612" spans="6:6">
      <c r="F3612" s="2423"/>
    </row>
    <row r="3613" spans="6:6">
      <c r="F3613" s="2423"/>
    </row>
    <row r="3614" spans="6:6">
      <c r="F3614" s="2423"/>
    </row>
    <row r="3615" spans="6:6">
      <c r="F3615" s="2423"/>
    </row>
    <row r="3616" spans="6:6">
      <c r="F3616" s="2423"/>
    </row>
    <row r="3617" spans="6:6">
      <c r="F3617" s="2423"/>
    </row>
    <row r="3618" spans="6:6">
      <c r="F3618" s="2423"/>
    </row>
    <row r="3619" spans="6:6">
      <c r="F3619" s="2423"/>
    </row>
    <row r="3620" spans="6:6">
      <c r="F3620" s="2423"/>
    </row>
    <row r="3621" spans="6:6">
      <c r="F3621" s="2423"/>
    </row>
    <row r="3622" spans="6:6">
      <c r="F3622" s="2423"/>
    </row>
    <row r="3623" spans="6:6">
      <c r="F3623" s="2423"/>
    </row>
    <row r="3624" spans="6:6">
      <c r="F3624" s="2423"/>
    </row>
    <row r="3625" spans="6:6">
      <c r="F3625" s="2423"/>
    </row>
    <row r="3626" spans="6:6">
      <c r="F3626" s="2423"/>
    </row>
    <row r="3627" spans="6:6">
      <c r="F3627" s="2423"/>
    </row>
    <row r="3628" spans="6:6">
      <c r="F3628" s="2423"/>
    </row>
    <row r="3629" spans="6:6">
      <c r="F3629" s="2423"/>
    </row>
    <row r="3630" spans="6:6">
      <c r="F3630" s="2423"/>
    </row>
    <row r="3631" spans="6:6">
      <c r="F3631" s="2423"/>
    </row>
    <row r="3632" spans="6:6">
      <c r="F3632" s="2423"/>
    </row>
    <row r="3633" spans="6:6">
      <c r="F3633" s="2423"/>
    </row>
    <row r="3634" spans="6:6">
      <c r="F3634" s="2423"/>
    </row>
    <row r="3635" spans="6:6">
      <c r="F3635" s="2423"/>
    </row>
    <row r="3636" spans="6:6">
      <c r="F3636" s="2423"/>
    </row>
    <row r="3637" spans="6:6">
      <c r="F3637" s="2423"/>
    </row>
    <row r="3638" spans="6:6">
      <c r="F3638" s="2423"/>
    </row>
    <row r="3639" spans="6:6">
      <c r="F3639" s="2423"/>
    </row>
    <row r="3640" spans="6:6">
      <c r="F3640" s="2423"/>
    </row>
    <row r="3641" spans="6:6">
      <c r="F3641" s="2423"/>
    </row>
    <row r="3642" spans="6:6">
      <c r="F3642" s="2423"/>
    </row>
    <row r="3643" spans="6:6">
      <c r="F3643" s="2423"/>
    </row>
    <row r="3644" spans="6:6">
      <c r="F3644" s="2423"/>
    </row>
    <row r="3645" spans="6:6">
      <c r="F3645" s="2423"/>
    </row>
    <row r="3646" spans="6:6">
      <c r="F3646" s="2423"/>
    </row>
    <row r="3647" spans="6:6">
      <c r="F3647" s="2423"/>
    </row>
    <row r="3648" spans="6:6">
      <c r="F3648" s="2423"/>
    </row>
    <row r="3649" spans="6:6">
      <c r="F3649" s="2423"/>
    </row>
    <row r="3650" spans="6:6">
      <c r="F3650" s="2423"/>
    </row>
    <row r="3651" spans="6:6">
      <c r="F3651" s="2423"/>
    </row>
    <row r="3652" spans="6:6">
      <c r="F3652" s="2423"/>
    </row>
    <row r="3653" spans="6:6">
      <c r="F3653" s="2423"/>
    </row>
    <row r="3654" spans="6:6">
      <c r="F3654" s="2423"/>
    </row>
    <row r="3655" spans="6:6">
      <c r="F3655" s="2423"/>
    </row>
    <row r="3656" spans="6:6">
      <c r="F3656" s="2423"/>
    </row>
    <row r="3657" spans="6:6">
      <c r="F3657" s="2423"/>
    </row>
    <row r="3658" spans="6:6">
      <c r="F3658" s="2423"/>
    </row>
    <row r="3659" spans="6:6">
      <c r="F3659" s="2423"/>
    </row>
    <row r="3660" spans="6:6">
      <c r="F3660" s="2423"/>
    </row>
    <row r="3661" spans="6:6">
      <c r="F3661" s="2423"/>
    </row>
    <row r="3662" spans="6:6">
      <c r="F3662" s="2423"/>
    </row>
    <row r="3663" spans="6:6">
      <c r="F3663" s="2423"/>
    </row>
    <row r="3664" spans="6:6">
      <c r="F3664" s="2423"/>
    </row>
    <row r="3665" spans="6:6">
      <c r="F3665" s="2423"/>
    </row>
    <row r="3666" spans="6:6">
      <c r="F3666" s="2423"/>
    </row>
    <row r="3667" spans="6:6">
      <c r="F3667" s="2423"/>
    </row>
    <row r="3668" spans="6:6">
      <c r="F3668" s="2423"/>
    </row>
    <row r="3669" spans="6:6">
      <c r="F3669" s="2423"/>
    </row>
    <row r="3670" spans="6:6">
      <c r="F3670" s="2423"/>
    </row>
    <row r="3671" spans="6:6">
      <c r="F3671" s="2423"/>
    </row>
    <row r="3672" spans="6:6">
      <c r="F3672" s="2423"/>
    </row>
    <row r="3673" spans="6:6">
      <c r="F3673" s="2423"/>
    </row>
    <row r="3674" spans="6:6">
      <c r="F3674" s="2423"/>
    </row>
    <row r="3675" spans="6:6">
      <c r="F3675" s="2423"/>
    </row>
    <row r="3676" spans="6:6">
      <c r="F3676" s="2423"/>
    </row>
    <row r="3677" spans="6:6">
      <c r="F3677" s="2423"/>
    </row>
    <row r="3678" spans="6:6">
      <c r="F3678" s="2423"/>
    </row>
    <row r="3679" spans="6:6">
      <c r="F3679" s="2423"/>
    </row>
    <row r="3680" spans="6:6">
      <c r="F3680" s="2423"/>
    </row>
    <row r="3681" spans="6:6">
      <c r="F3681" s="2423"/>
    </row>
    <row r="3682" spans="6:6">
      <c r="F3682" s="2423"/>
    </row>
    <row r="3683" spans="6:6">
      <c r="F3683" s="2423"/>
    </row>
    <row r="3684" spans="6:6">
      <c r="F3684" s="2423"/>
    </row>
    <row r="3685" spans="6:6">
      <c r="F3685" s="2423"/>
    </row>
    <row r="3686" spans="6:6">
      <c r="F3686" s="2423"/>
    </row>
    <row r="3687" spans="6:6">
      <c r="F3687" s="2423"/>
    </row>
    <row r="3688" spans="6:6">
      <c r="F3688" s="2423"/>
    </row>
    <row r="3689" spans="6:6">
      <c r="F3689" s="2423"/>
    </row>
    <row r="3690" spans="6:6">
      <c r="F3690" s="2423"/>
    </row>
    <row r="3691" spans="6:6">
      <c r="F3691" s="2423"/>
    </row>
    <row r="3692" spans="6:6">
      <c r="F3692" s="2423"/>
    </row>
    <row r="3693" spans="6:6">
      <c r="F3693" s="2423"/>
    </row>
    <row r="3694" spans="6:6">
      <c r="F3694" s="2423"/>
    </row>
    <row r="3695" spans="6:6">
      <c r="F3695" s="2423"/>
    </row>
    <row r="3696" spans="6:6">
      <c r="F3696" s="2423"/>
    </row>
    <row r="3697" spans="6:6">
      <c r="F3697" s="2423"/>
    </row>
    <row r="3698" spans="6:6">
      <c r="F3698" s="2423"/>
    </row>
    <row r="3699" spans="6:6">
      <c r="F3699" s="2423"/>
    </row>
    <row r="3700" spans="6:6">
      <c r="F3700" s="2423"/>
    </row>
    <row r="3701" spans="6:6">
      <c r="F3701" s="2423"/>
    </row>
    <row r="3702" spans="6:6">
      <c r="F3702" s="2423"/>
    </row>
    <row r="3703" spans="6:6">
      <c r="F3703" s="2423"/>
    </row>
    <row r="3704" spans="6:6">
      <c r="F3704" s="2423"/>
    </row>
    <row r="3705" spans="6:6">
      <c r="F3705" s="2423"/>
    </row>
    <row r="3706" spans="6:6">
      <c r="F3706" s="2423"/>
    </row>
    <row r="3707" spans="6:6">
      <c r="F3707" s="2423"/>
    </row>
    <row r="3708" spans="6:6">
      <c r="F3708" s="2423"/>
    </row>
    <row r="3709" spans="6:6">
      <c r="F3709" s="2423"/>
    </row>
    <row r="3710" spans="6:6">
      <c r="F3710" s="2423"/>
    </row>
    <row r="3711" spans="6:6">
      <c r="F3711" s="2423"/>
    </row>
    <row r="3712" spans="6:6">
      <c r="F3712" s="2423"/>
    </row>
    <row r="3713" spans="6:6">
      <c r="F3713" s="2423"/>
    </row>
    <row r="3714" spans="6:6">
      <c r="F3714" s="2423"/>
    </row>
    <row r="3715" spans="6:6">
      <c r="F3715" s="2423"/>
    </row>
    <row r="3716" spans="6:6">
      <c r="F3716" s="2423"/>
    </row>
    <row r="3717" spans="6:6">
      <c r="F3717" s="2423"/>
    </row>
    <row r="3718" spans="6:6">
      <c r="F3718" s="2423"/>
    </row>
    <row r="3719" spans="6:6">
      <c r="F3719" s="2423"/>
    </row>
    <row r="3720" spans="6:6">
      <c r="F3720" s="2423"/>
    </row>
    <row r="3721" spans="6:6">
      <c r="F3721" s="2423"/>
    </row>
    <row r="3722" spans="6:6">
      <c r="F3722" s="2423"/>
    </row>
    <row r="3723" spans="6:6">
      <c r="F3723" s="2423"/>
    </row>
    <row r="3724" spans="6:6">
      <c r="F3724" s="2423"/>
    </row>
    <row r="3725" spans="6:6">
      <c r="F3725" s="2423"/>
    </row>
    <row r="3726" spans="6:6">
      <c r="F3726" s="2423"/>
    </row>
    <row r="3727" spans="6:6">
      <c r="F3727" s="2423"/>
    </row>
    <row r="3728" spans="6:6">
      <c r="F3728" s="2423"/>
    </row>
    <row r="3729" spans="6:6">
      <c r="F3729" s="2423"/>
    </row>
    <row r="3730" spans="6:6">
      <c r="F3730" s="2423"/>
    </row>
    <row r="3731" spans="6:6">
      <c r="F3731" s="2423"/>
    </row>
    <row r="3732" spans="6:6">
      <c r="F3732" s="2423"/>
    </row>
    <row r="3733" spans="6:6">
      <c r="F3733" s="2423"/>
    </row>
    <row r="3734" spans="6:6">
      <c r="F3734" s="2423"/>
    </row>
    <row r="3735" spans="6:6">
      <c r="F3735" s="2423"/>
    </row>
    <row r="3736" spans="6:6">
      <c r="F3736" s="2423"/>
    </row>
    <row r="3737" spans="6:6">
      <c r="F3737" s="2423"/>
    </row>
    <row r="3738" spans="6:6">
      <c r="F3738" s="2423"/>
    </row>
    <row r="3739" spans="6:6">
      <c r="F3739" s="2423"/>
    </row>
    <row r="3740" spans="6:6">
      <c r="F3740" s="2423"/>
    </row>
    <row r="3741" spans="6:6">
      <c r="F3741" s="2423"/>
    </row>
    <row r="3742" spans="6:6">
      <c r="F3742" s="2423"/>
    </row>
    <row r="3743" spans="6:6">
      <c r="F3743" s="2423"/>
    </row>
    <row r="3744" spans="6:6">
      <c r="F3744" s="2423"/>
    </row>
    <row r="3745" spans="6:6">
      <c r="F3745" s="2423"/>
    </row>
    <row r="3746" spans="6:6">
      <c r="F3746" s="2423"/>
    </row>
    <row r="3747" spans="6:6">
      <c r="F3747" s="2423"/>
    </row>
    <row r="3748" spans="6:6">
      <c r="F3748" s="2423"/>
    </row>
    <row r="3749" spans="6:6">
      <c r="F3749" s="2423"/>
    </row>
    <row r="3750" spans="6:6">
      <c r="F3750" s="2423"/>
    </row>
    <row r="3751" spans="6:6">
      <c r="F3751" s="2423"/>
    </row>
    <row r="3752" spans="6:6">
      <c r="F3752" s="2423"/>
    </row>
    <row r="3753" spans="6:6">
      <c r="F3753" s="2423"/>
    </row>
    <row r="3754" spans="6:6">
      <c r="F3754" s="2423"/>
    </row>
    <row r="3755" spans="6:6">
      <c r="F3755" s="2423"/>
    </row>
    <row r="3756" spans="6:6">
      <c r="F3756" s="2423"/>
    </row>
    <row r="3757" spans="6:6">
      <c r="F3757" s="2423"/>
    </row>
    <row r="3758" spans="6:6">
      <c r="F3758" s="2423"/>
    </row>
    <row r="3759" spans="6:6">
      <c r="F3759" s="2423"/>
    </row>
    <row r="3760" spans="6:6">
      <c r="F3760" s="2423"/>
    </row>
    <row r="3761" spans="6:6">
      <c r="F3761" s="2423"/>
    </row>
    <row r="3762" spans="6:6">
      <c r="F3762" s="2423"/>
    </row>
    <row r="3763" spans="6:6">
      <c r="F3763" s="2423"/>
    </row>
    <row r="3764" spans="6:6">
      <c r="F3764" s="2423"/>
    </row>
    <row r="3765" spans="6:6">
      <c r="F3765" s="2423"/>
    </row>
    <row r="3766" spans="6:6">
      <c r="F3766" s="2423"/>
    </row>
    <row r="3767" spans="6:6">
      <c r="F3767" s="2423"/>
    </row>
    <row r="3768" spans="6:6">
      <c r="F3768" s="2423"/>
    </row>
    <row r="3769" spans="6:6">
      <c r="F3769" s="2423"/>
    </row>
    <row r="3770" spans="6:6">
      <c r="F3770" s="2423"/>
    </row>
    <row r="3771" spans="6:6">
      <c r="F3771" s="2423"/>
    </row>
    <row r="3772" spans="6:6">
      <c r="F3772" s="2423"/>
    </row>
    <row r="3773" spans="6:6">
      <c r="F3773" s="2423"/>
    </row>
    <row r="3774" spans="6:6">
      <c r="F3774" s="2423"/>
    </row>
    <row r="3775" spans="6:6">
      <c r="F3775" s="2423"/>
    </row>
    <row r="3776" spans="6:6">
      <c r="F3776" s="2423"/>
    </row>
    <row r="3777" spans="6:6">
      <c r="F3777" s="2423"/>
    </row>
    <row r="3778" spans="6:6">
      <c r="F3778" s="2423"/>
    </row>
    <row r="3779" spans="6:6">
      <c r="F3779" s="2423"/>
    </row>
    <row r="3780" spans="6:6">
      <c r="F3780" s="2423"/>
    </row>
    <row r="3781" spans="6:6">
      <c r="F3781" s="2423"/>
    </row>
    <row r="3782" spans="6:6">
      <c r="F3782" s="2423"/>
    </row>
    <row r="3783" spans="6:6">
      <c r="F3783" s="2423"/>
    </row>
    <row r="3784" spans="6:6">
      <c r="F3784" s="2423"/>
    </row>
    <row r="3785" spans="6:6">
      <c r="F3785" s="2423"/>
    </row>
    <row r="3786" spans="6:6">
      <c r="F3786" s="2423"/>
    </row>
    <row r="3787" spans="6:6">
      <c r="F3787" s="2423"/>
    </row>
    <row r="3788" spans="6:6">
      <c r="F3788" s="2423"/>
    </row>
    <row r="3789" spans="6:6">
      <c r="F3789" s="2423"/>
    </row>
    <row r="3790" spans="6:6">
      <c r="F3790" s="2423"/>
    </row>
    <row r="3791" spans="6:6">
      <c r="F3791" s="2423"/>
    </row>
    <row r="3792" spans="6:6">
      <c r="F3792" s="2423"/>
    </row>
    <row r="3793" spans="6:6">
      <c r="F3793" s="2423"/>
    </row>
    <row r="3794" spans="6:6">
      <c r="F3794" s="2423"/>
    </row>
    <row r="3795" spans="6:6">
      <c r="F3795" s="2423"/>
    </row>
    <row r="3796" spans="6:6">
      <c r="F3796" s="2423"/>
    </row>
    <row r="3797" spans="6:6">
      <c r="F3797" s="2423"/>
    </row>
    <row r="3798" spans="6:6">
      <c r="F3798" s="2423"/>
    </row>
    <row r="3799" spans="6:6">
      <c r="F3799" s="2423"/>
    </row>
    <row r="3800" spans="6:6">
      <c r="F3800" s="2423"/>
    </row>
    <row r="3801" spans="6:6">
      <c r="F3801" s="2423"/>
    </row>
    <row r="3802" spans="6:6">
      <c r="F3802" s="2423"/>
    </row>
    <row r="3803" spans="6:6">
      <c r="F3803" s="2423"/>
    </row>
    <row r="3804" spans="6:6">
      <c r="F3804" s="2423"/>
    </row>
    <row r="3805" spans="6:6">
      <c r="F3805" s="2423"/>
    </row>
    <row r="3806" spans="6:6">
      <c r="F3806" s="2423"/>
    </row>
    <row r="3807" spans="6:6">
      <c r="F3807" s="2423"/>
    </row>
    <row r="3808" spans="6:6">
      <c r="F3808" s="2423"/>
    </row>
    <row r="3809" spans="6:6">
      <c r="F3809" s="2423"/>
    </row>
    <row r="3810" spans="6:6">
      <c r="F3810" s="2423"/>
    </row>
    <row r="3811" spans="6:6">
      <c r="F3811" s="2423"/>
    </row>
    <row r="3812" spans="6:6">
      <c r="F3812" s="2423"/>
    </row>
    <row r="3813" spans="6:6">
      <c r="F3813" s="2423"/>
    </row>
    <row r="3814" spans="6:6">
      <c r="F3814" s="2423"/>
    </row>
    <row r="3815" spans="6:6">
      <c r="F3815" s="2423"/>
    </row>
    <row r="3816" spans="6:6">
      <c r="F3816" s="2423"/>
    </row>
    <row r="3817" spans="6:6">
      <c r="F3817" s="2423"/>
    </row>
    <row r="3818" spans="6:6">
      <c r="F3818" s="2423"/>
    </row>
    <row r="3819" spans="6:6">
      <c r="F3819" s="2423"/>
    </row>
    <row r="3820" spans="6:6">
      <c r="F3820" s="2423"/>
    </row>
    <row r="3821" spans="6:6">
      <c r="F3821" s="2423"/>
    </row>
    <row r="3822" spans="6:6">
      <c r="F3822" s="2423"/>
    </row>
    <row r="3823" spans="6:6">
      <c r="F3823" s="2423"/>
    </row>
    <row r="3824" spans="6:6">
      <c r="F3824" s="2423"/>
    </row>
    <row r="3825" spans="6:6">
      <c r="F3825" s="2423"/>
    </row>
    <row r="3826" spans="6:6">
      <c r="F3826" s="2423"/>
    </row>
    <row r="3827" spans="6:6">
      <c r="F3827" s="2423"/>
    </row>
    <row r="3828" spans="6:6">
      <c r="F3828" s="2423"/>
    </row>
    <row r="3829" spans="6:6">
      <c r="F3829" s="2423"/>
    </row>
    <row r="3830" spans="6:6">
      <c r="F3830" s="2423"/>
    </row>
    <row r="3831" spans="6:6">
      <c r="F3831" s="2423"/>
    </row>
    <row r="3832" spans="6:6">
      <c r="F3832" s="2423"/>
    </row>
    <row r="3833" spans="6:6">
      <c r="F3833" s="2423"/>
    </row>
    <row r="3834" spans="6:6">
      <c r="F3834" s="2423"/>
    </row>
    <row r="3835" spans="6:6">
      <c r="F3835" s="2423"/>
    </row>
    <row r="3836" spans="6:6">
      <c r="F3836" s="2423"/>
    </row>
    <row r="3837" spans="6:6">
      <c r="F3837" s="2423"/>
    </row>
    <row r="3838" spans="6:6">
      <c r="F3838" s="2423"/>
    </row>
    <row r="3839" spans="6:6">
      <c r="F3839" s="2423"/>
    </row>
    <row r="3840" spans="6:6">
      <c r="F3840" s="2423"/>
    </row>
    <row r="3841" spans="6:6">
      <c r="F3841" s="2423"/>
    </row>
    <row r="3842" spans="6:6">
      <c r="F3842" s="2423"/>
    </row>
    <row r="3843" spans="6:6">
      <c r="F3843" s="2423"/>
    </row>
    <row r="3844" spans="6:6">
      <c r="F3844" s="2423"/>
    </row>
    <row r="3845" spans="6:6">
      <c r="F3845" s="2423"/>
    </row>
    <row r="3846" spans="6:6">
      <c r="F3846" s="2423"/>
    </row>
    <row r="3847" spans="6:6">
      <c r="F3847" s="2423"/>
    </row>
    <row r="3848" spans="6:6">
      <c r="F3848" s="2423"/>
    </row>
    <row r="3849" spans="6:6">
      <c r="F3849" s="2423"/>
    </row>
    <row r="3850" spans="6:6">
      <c r="F3850" s="2423"/>
    </row>
    <row r="3851" spans="6:6">
      <c r="F3851" s="2423"/>
    </row>
    <row r="3852" spans="6:6">
      <c r="F3852" s="2423"/>
    </row>
    <row r="3853" spans="6:6">
      <c r="F3853" s="2423"/>
    </row>
    <row r="3854" spans="6:6">
      <c r="F3854" s="2423"/>
    </row>
    <row r="3855" spans="6:6">
      <c r="F3855" s="2423"/>
    </row>
    <row r="3856" spans="6:6">
      <c r="F3856" s="2423"/>
    </row>
    <row r="3857" spans="6:6">
      <c r="F3857" s="2423"/>
    </row>
    <row r="3858" spans="6:6">
      <c r="F3858" s="2423"/>
    </row>
    <row r="3859" spans="6:6">
      <c r="F3859" s="2423"/>
    </row>
    <row r="3860" spans="6:6">
      <c r="F3860" s="2423"/>
    </row>
    <row r="3861" spans="6:6">
      <c r="F3861" s="2423"/>
    </row>
    <row r="3862" spans="6:6">
      <c r="F3862" s="2423"/>
    </row>
    <row r="3863" spans="6:6">
      <c r="F3863" s="2423"/>
    </row>
    <row r="3864" spans="6:6">
      <c r="F3864" s="2423"/>
    </row>
    <row r="3865" spans="6:6">
      <c r="F3865" s="2423"/>
    </row>
    <row r="3866" spans="6:6">
      <c r="F3866" s="2423"/>
    </row>
    <row r="3867" spans="6:6">
      <c r="F3867" s="2423"/>
    </row>
    <row r="3868" spans="6:6">
      <c r="F3868" s="2423"/>
    </row>
    <row r="3869" spans="6:6">
      <c r="F3869" s="2423"/>
    </row>
    <row r="3870" spans="6:6">
      <c r="F3870" s="2423"/>
    </row>
    <row r="3871" spans="6:6">
      <c r="F3871" s="2423"/>
    </row>
    <row r="3872" spans="6:6">
      <c r="F3872" s="2423"/>
    </row>
    <row r="3873" spans="6:6">
      <c r="F3873" s="2423"/>
    </row>
    <row r="3874" spans="6:6">
      <c r="F3874" s="2423"/>
    </row>
    <row r="3875" spans="6:6">
      <c r="F3875" s="2423"/>
    </row>
    <row r="3876" spans="6:6">
      <c r="F3876" s="2423"/>
    </row>
    <row r="3877" spans="6:6">
      <c r="F3877" s="2423"/>
    </row>
    <row r="3878" spans="6:6">
      <c r="F3878" s="2423"/>
    </row>
    <row r="3879" spans="6:6">
      <c r="F3879" s="2423"/>
    </row>
    <row r="3880" spans="6:6">
      <c r="F3880" s="2423"/>
    </row>
    <row r="3881" spans="6:6">
      <c r="F3881" s="2423"/>
    </row>
    <row r="3882" spans="6:6">
      <c r="F3882" s="2423"/>
    </row>
    <row r="3883" spans="6:6">
      <c r="F3883" s="2423"/>
    </row>
    <row r="3884" spans="6:6">
      <c r="F3884" s="2423"/>
    </row>
    <row r="3885" spans="6:6">
      <c r="F3885" s="2423"/>
    </row>
    <row r="3886" spans="6:6">
      <c r="F3886" s="2423"/>
    </row>
    <row r="3887" spans="6:6">
      <c r="F3887" s="2423"/>
    </row>
    <row r="3888" spans="6:6">
      <c r="F3888" s="2423"/>
    </row>
    <row r="3889" spans="6:6">
      <c r="F3889" s="2423"/>
    </row>
    <row r="3890" spans="6:6">
      <c r="F3890" s="2423"/>
    </row>
    <row r="3891" spans="6:6">
      <c r="F3891" s="2423"/>
    </row>
    <row r="3892" spans="6:6">
      <c r="F3892" s="2423"/>
    </row>
    <row r="3893" spans="6:6">
      <c r="F3893" s="2423"/>
    </row>
    <row r="3894" spans="6:6">
      <c r="F3894" s="2423"/>
    </row>
    <row r="3895" spans="6:6">
      <c r="F3895" s="2423"/>
    </row>
    <row r="3896" spans="6:6">
      <c r="F3896" s="2423"/>
    </row>
    <row r="3897" spans="6:6">
      <c r="F3897" s="2423"/>
    </row>
    <row r="3898" spans="6:6">
      <c r="F3898" s="2423"/>
    </row>
    <row r="3899" spans="6:6">
      <c r="F3899" s="2423"/>
    </row>
    <row r="3900" spans="6:6">
      <c r="F3900" s="2423"/>
    </row>
    <row r="3901" spans="6:6">
      <c r="F3901" s="2423"/>
    </row>
    <row r="3902" spans="6:6">
      <c r="F3902" s="2423"/>
    </row>
    <row r="3903" spans="6:6">
      <c r="F3903" s="2423"/>
    </row>
    <row r="3904" spans="6:6">
      <c r="F3904" s="2423"/>
    </row>
    <row r="3905" spans="6:6">
      <c r="F3905" s="2423"/>
    </row>
    <row r="3906" spans="6:6">
      <c r="F3906" s="2423"/>
    </row>
    <row r="3907" spans="6:6">
      <c r="F3907" s="2423"/>
    </row>
    <row r="3908" spans="6:6">
      <c r="F3908" s="2423"/>
    </row>
    <row r="3909" spans="6:6">
      <c r="F3909" s="2423"/>
    </row>
    <row r="3910" spans="6:6">
      <c r="F3910" s="2423"/>
    </row>
    <row r="3911" spans="6:6">
      <c r="F3911" s="2423"/>
    </row>
    <row r="3912" spans="6:6">
      <c r="F3912" s="2423"/>
    </row>
    <row r="3913" spans="6:6">
      <c r="F3913" s="2423"/>
    </row>
    <row r="3914" spans="6:6">
      <c r="F3914" s="2423"/>
    </row>
    <row r="3915" spans="6:6">
      <c r="F3915" s="2423"/>
    </row>
    <row r="3916" spans="6:6">
      <c r="F3916" s="2423"/>
    </row>
    <row r="3917" spans="6:6">
      <c r="F3917" s="2423"/>
    </row>
    <row r="3918" spans="6:6">
      <c r="F3918" s="2423"/>
    </row>
    <row r="3919" spans="6:6">
      <c r="F3919" s="2423"/>
    </row>
    <row r="3920" spans="6:6">
      <c r="F3920" s="2423"/>
    </row>
    <row r="3921" spans="6:6">
      <c r="F3921" s="2423"/>
    </row>
    <row r="3922" spans="6:6">
      <c r="F3922" s="2423"/>
    </row>
    <row r="3923" spans="6:6">
      <c r="F3923" s="2423"/>
    </row>
    <row r="3924" spans="6:6">
      <c r="F3924" s="2423"/>
    </row>
    <row r="3925" spans="6:6">
      <c r="F3925" s="2423"/>
    </row>
    <row r="3926" spans="6:6">
      <c r="F3926" s="2423"/>
    </row>
    <row r="3927" spans="6:6">
      <c r="F3927" s="2423"/>
    </row>
    <row r="3928" spans="6:6">
      <c r="F3928" s="2423"/>
    </row>
    <row r="3929" spans="6:6">
      <c r="F3929" s="2423"/>
    </row>
    <row r="3930" spans="6:6">
      <c r="F3930" s="2423"/>
    </row>
    <row r="3931" spans="6:6">
      <c r="F3931" s="2423"/>
    </row>
    <row r="3932" spans="6:6">
      <c r="F3932" s="2423"/>
    </row>
    <row r="3933" spans="6:6">
      <c r="F3933" s="2423"/>
    </row>
    <row r="3934" spans="6:6">
      <c r="F3934" s="2423"/>
    </row>
    <row r="3935" spans="6:6">
      <c r="F3935" s="2423"/>
    </row>
    <row r="3936" spans="6:6">
      <c r="F3936" s="2423"/>
    </row>
    <row r="3937" spans="6:6">
      <c r="F3937" s="2423"/>
    </row>
    <row r="3938" spans="6:6">
      <c r="F3938" s="2423"/>
    </row>
    <row r="3939" spans="6:6">
      <c r="F3939" s="2423"/>
    </row>
    <row r="3940" spans="6:6">
      <c r="F3940" s="2423"/>
    </row>
    <row r="3941" spans="6:6">
      <c r="F3941" s="2423"/>
    </row>
    <row r="3942" spans="6:6">
      <c r="F3942" s="2423"/>
    </row>
    <row r="3943" spans="6:6">
      <c r="F3943" s="2423"/>
    </row>
    <row r="3944" spans="6:6">
      <c r="F3944" s="2423"/>
    </row>
    <row r="3945" spans="6:6">
      <c r="F3945" s="2423"/>
    </row>
    <row r="3946" spans="6:6">
      <c r="F3946" s="2423"/>
    </row>
    <row r="3947" spans="6:6">
      <c r="F3947" s="2423"/>
    </row>
    <row r="3948" spans="6:6">
      <c r="F3948" s="2423"/>
    </row>
    <row r="3949" spans="6:6">
      <c r="F3949" s="2423"/>
    </row>
    <row r="3950" spans="6:6">
      <c r="F3950" s="2423"/>
    </row>
    <row r="3951" spans="6:6">
      <c r="F3951" s="2423"/>
    </row>
    <row r="3952" spans="6:6">
      <c r="F3952" s="2423"/>
    </row>
    <row r="3953" spans="6:6">
      <c r="F3953" s="2423"/>
    </row>
    <row r="3954" spans="6:6">
      <c r="F3954" s="2423"/>
    </row>
    <row r="3955" spans="6:6">
      <c r="F3955" s="2423"/>
    </row>
    <row r="3956" spans="6:6">
      <c r="F3956" s="2423"/>
    </row>
    <row r="3957" spans="6:6">
      <c r="F3957" s="2423"/>
    </row>
    <row r="3958" spans="6:6">
      <c r="F3958" s="2423"/>
    </row>
    <row r="3959" spans="6:6">
      <c r="F3959" s="2423"/>
    </row>
    <row r="3960" spans="6:6">
      <c r="F3960" s="2423"/>
    </row>
    <row r="3961" spans="6:6">
      <c r="F3961" s="2423"/>
    </row>
    <row r="3962" spans="6:6">
      <c r="F3962" s="2423"/>
    </row>
    <row r="3963" spans="6:6">
      <c r="F3963" s="2423"/>
    </row>
    <row r="3964" spans="6:6">
      <c r="F3964" s="2423"/>
    </row>
    <row r="3965" spans="6:6">
      <c r="F3965" s="2423"/>
    </row>
    <row r="3966" spans="6:6">
      <c r="F3966" s="2423"/>
    </row>
    <row r="3967" spans="6:6">
      <c r="F3967" s="2423"/>
    </row>
    <row r="3968" spans="6:6">
      <c r="F3968" s="2423"/>
    </row>
    <row r="3969" spans="6:6">
      <c r="F3969" s="2423"/>
    </row>
    <row r="3970" spans="6:6">
      <c r="F3970" s="2423"/>
    </row>
    <row r="3971" spans="6:6">
      <c r="F3971" s="2423"/>
    </row>
    <row r="3972" spans="6:6">
      <c r="F3972" s="2423"/>
    </row>
    <row r="3973" spans="6:6">
      <c r="F3973" s="2423"/>
    </row>
    <row r="3974" spans="6:6">
      <c r="F3974" s="2423"/>
    </row>
    <row r="3975" spans="6:6">
      <c r="F3975" s="2423"/>
    </row>
    <row r="3976" spans="6:6">
      <c r="F3976" s="2423"/>
    </row>
    <row r="3977" spans="6:6">
      <c r="F3977" s="2423"/>
    </row>
    <row r="3978" spans="6:6">
      <c r="F3978" s="2423"/>
    </row>
    <row r="3979" spans="6:6">
      <c r="F3979" s="2423"/>
    </row>
    <row r="3980" spans="6:6">
      <c r="F3980" s="2423"/>
    </row>
    <row r="3981" spans="6:6">
      <c r="F3981" s="2423"/>
    </row>
    <row r="3982" spans="6:6">
      <c r="F3982" s="2423"/>
    </row>
    <row r="3983" spans="6:6">
      <c r="F3983" s="2423"/>
    </row>
    <row r="3984" spans="6:6">
      <c r="F3984" s="2423"/>
    </row>
    <row r="3985" spans="6:6">
      <c r="F3985" s="2423"/>
    </row>
    <row r="3986" spans="6:6">
      <c r="F3986" s="2423"/>
    </row>
    <row r="3987" spans="6:6">
      <c r="F3987" s="2423"/>
    </row>
    <row r="3988" spans="6:6">
      <c r="F3988" s="2423"/>
    </row>
    <row r="3989" spans="6:6">
      <c r="F3989" s="2423"/>
    </row>
    <row r="3990" spans="6:6">
      <c r="F3990" s="2423"/>
    </row>
    <row r="3991" spans="6:6">
      <c r="F3991" s="2423"/>
    </row>
    <row r="3992" spans="6:6">
      <c r="F3992" s="2423"/>
    </row>
    <row r="3993" spans="6:6">
      <c r="F3993" s="2423"/>
    </row>
    <row r="3994" spans="6:6">
      <c r="F3994" s="2423"/>
    </row>
    <row r="3995" spans="6:6">
      <c r="F3995" s="2423"/>
    </row>
    <row r="3996" spans="6:6">
      <c r="F3996" s="2423"/>
    </row>
    <row r="3997" spans="6:6">
      <c r="F3997" s="2423"/>
    </row>
    <row r="3998" spans="6:6">
      <c r="F3998" s="2423"/>
    </row>
    <row r="3999" spans="6:6">
      <c r="F3999" s="2423"/>
    </row>
    <row r="4000" spans="6:6">
      <c r="F4000" s="2423"/>
    </row>
    <row r="4001" spans="6:6">
      <c r="F4001" s="2423"/>
    </row>
    <row r="4002" spans="6:6">
      <c r="F4002" s="2423"/>
    </row>
    <row r="4003" spans="6:6">
      <c r="F4003" s="2423"/>
    </row>
    <row r="4004" spans="6:6">
      <c r="F4004" s="2423"/>
    </row>
    <row r="4005" spans="6:6">
      <c r="F4005" s="2423"/>
    </row>
    <row r="4006" spans="6:6">
      <c r="F4006" s="2423"/>
    </row>
    <row r="4007" spans="6:6">
      <c r="F4007" s="2423"/>
    </row>
    <row r="4008" spans="6:6">
      <c r="F4008" s="2423"/>
    </row>
    <row r="4009" spans="6:6">
      <c r="F4009" s="2423"/>
    </row>
    <row r="4010" spans="6:6">
      <c r="F4010" s="2423"/>
    </row>
    <row r="4011" spans="6:6">
      <c r="F4011" s="2423"/>
    </row>
    <row r="4012" spans="6:6">
      <c r="F4012" s="2423"/>
    </row>
    <row r="4013" spans="6:6">
      <c r="F4013" s="2423"/>
    </row>
    <row r="4014" spans="6:6">
      <c r="F4014" s="2423"/>
    </row>
    <row r="4015" spans="6:6">
      <c r="F4015" s="2423"/>
    </row>
    <row r="4016" spans="6:6">
      <c r="F4016" s="2423"/>
    </row>
    <row r="4017" spans="6:6">
      <c r="F4017" s="2423"/>
    </row>
    <row r="4018" spans="6:6">
      <c r="F4018" s="2423"/>
    </row>
    <row r="4019" spans="6:6">
      <c r="F4019" s="2423"/>
    </row>
    <row r="4020" spans="6:6">
      <c r="F4020" s="2423"/>
    </row>
    <row r="4021" spans="6:6">
      <c r="F4021" s="2423"/>
    </row>
    <row r="4022" spans="6:6">
      <c r="F4022" s="2423"/>
    </row>
    <row r="4023" spans="6:6">
      <c r="F4023" s="2423"/>
    </row>
    <row r="4024" spans="6:6">
      <c r="F4024" s="2423"/>
    </row>
    <row r="4025" spans="6:6">
      <c r="F4025" s="2423"/>
    </row>
    <row r="4026" spans="6:6">
      <c r="F4026" s="2423"/>
    </row>
    <row r="4027" spans="6:6">
      <c r="F4027" s="2423"/>
    </row>
    <row r="4028" spans="6:6">
      <c r="F4028" s="2423"/>
    </row>
    <row r="4029" spans="6:6">
      <c r="F4029" s="2423"/>
    </row>
    <row r="4030" spans="6:6">
      <c r="F4030" s="2423"/>
    </row>
    <row r="4031" spans="6:6">
      <c r="F4031" s="2423"/>
    </row>
    <row r="4032" spans="6:6">
      <c r="F4032" s="2423"/>
    </row>
    <row r="4033" spans="6:6">
      <c r="F4033" s="2423"/>
    </row>
    <row r="4034" spans="6:6">
      <c r="F4034" s="2423"/>
    </row>
    <row r="4035" spans="6:6">
      <c r="F4035" s="2423"/>
    </row>
    <row r="4036" spans="6:6">
      <c r="F4036" s="2423"/>
    </row>
    <row r="4037" spans="6:6">
      <c r="F4037" s="2423"/>
    </row>
    <row r="4038" spans="6:6">
      <c r="F4038" s="2423"/>
    </row>
    <row r="4039" spans="6:6">
      <c r="F4039" s="2423"/>
    </row>
    <row r="4040" spans="6:6">
      <c r="F4040" s="2423"/>
    </row>
    <row r="4041" spans="6:6">
      <c r="F4041" s="2423"/>
    </row>
    <row r="4042" spans="6:6">
      <c r="F4042" s="2423"/>
    </row>
    <row r="4043" spans="6:6">
      <c r="F4043" s="2423"/>
    </row>
    <row r="4044" spans="6:6">
      <c r="F4044" s="2423"/>
    </row>
    <row r="4045" spans="6:6">
      <c r="F4045" s="2423"/>
    </row>
    <row r="4046" spans="6:6">
      <c r="F4046" s="2423"/>
    </row>
    <row r="4047" spans="6:6">
      <c r="F4047" s="2423"/>
    </row>
    <row r="4048" spans="6:6">
      <c r="F4048" s="2423"/>
    </row>
    <row r="4049" spans="6:6">
      <c r="F4049" s="2423"/>
    </row>
    <row r="4050" spans="6:6">
      <c r="F4050" s="2423"/>
    </row>
    <row r="4051" spans="6:6">
      <c r="F4051" s="2423"/>
    </row>
    <row r="4052" spans="6:6">
      <c r="F4052" s="2423"/>
    </row>
    <row r="4053" spans="6:6">
      <c r="F4053" s="2423"/>
    </row>
    <row r="4054" spans="6:6">
      <c r="F4054" s="2423"/>
    </row>
    <row r="4055" spans="6:6">
      <c r="F4055" s="2423"/>
    </row>
    <row r="4056" spans="6:6">
      <c r="F4056" s="2423"/>
    </row>
    <row r="4057" spans="6:6">
      <c r="F4057" s="2423"/>
    </row>
    <row r="4058" spans="6:6">
      <c r="F4058" s="2423"/>
    </row>
    <row r="4059" spans="6:6">
      <c r="F4059" s="2423"/>
    </row>
    <row r="4060" spans="6:6">
      <c r="F4060" s="2423"/>
    </row>
    <row r="4061" spans="6:6">
      <c r="F4061" s="2423"/>
    </row>
    <row r="4062" spans="6:6">
      <c r="F4062" s="2423"/>
    </row>
    <row r="4063" spans="6:6">
      <c r="F4063" s="2423"/>
    </row>
    <row r="4064" spans="6:6">
      <c r="F4064" s="2423"/>
    </row>
    <row r="4065" spans="6:6">
      <c r="F4065" s="2423"/>
    </row>
    <row r="4066" spans="6:6">
      <c r="F4066" s="2423"/>
    </row>
    <row r="4067" spans="6:6">
      <c r="F4067" s="2423"/>
    </row>
    <row r="4068" spans="6:6">
      <c r="F4068" s="2423"/>
    </row>
    <row r="4069" spans="6:6">
      <c r="F4069" s="2423"/>
    </row>
    <row r="4070" spans="6:6">
      <c r="F4070" s="2423"/>
    </row>
    <row r="4071" spans="6:6">
      <c r="F4071" s="2423"/>
    </row>
    <row r="4072" spans="6:6">
      <c r="F4072" s="2423"/>
    </row>
    <row r="4073" spans="6:6">
      <c r="F4073" s="2423"/>
    </row>
    <row r="4074" spans="6:6">
      <c r="F4074" s="2423"/>
    </row>
    <row r="4075" spans="6:6">
      <c r="F4075" s="2423"/>
    </row>
    <row r="4076" spans="6:6">
      <c r="F4076" s="2423"/>
    </row>
    <row r="4077" spans="6:6">
      <c r="F4077" s="2423"/>
    </row>
    <row r="4078" spans="6:6">
      <c r="F4078" s="2423"/>
    </row>
    <row r="4079" spans="6:6">
      <c r="F4079" s="2423"/>
    </row>
    <row r="4080" spans="6:6">
      <c r="F4080" s="2423"/>
    </row>
    <row r="4081" spans="6:6">
      <c r="F4081" s="2423"/>
    </row>
    <row r="4082" spans="6:6">
      <c r="F4082" s="2423"/>
    </row>
    <row r="4083" spans="6:6">
      <c r="F4083" s="2423"/>
    </row>
    <row r="4084" spans="6:6">
      <c r="F4084" s="2423"/>
    </row>
    <row r="4085" spans="6:6">
      <c r="F4085" s="2423"/>
    </row>
    <row r="4086" spans="6:6">
      <c r="F4086" s="2423"/>
    </row>
    <row r="4087" spans="6:6">
      <c r="F4087" s="2423"/>
    </row>
    <row r="4088" spans="6:6">
      <c r="F4088" s="2423"/>
    </row>
    <row r="4089" spans="6:6">
      <c r="F4089" s="2423"/>
    </row>
    <row r="4090" spans="6:6">
      <c r="F4090" s="2423"/>
    </row>
    <row r="4091" spans="6:6">
      <c r="F4091" s="2423"/>
    </row>
    <row r="4092" spans="6:6">
      <c r="F4092" s="2423"/>
    </row>
    <row r="4093" spans="6:6">
      <c r="F4093" s="2423"/>
    </row>
    <row r="4094" spans="6:6">
      <c r="F4094" s="2423"/>
    </row>
    <row r="4095" spans="6:6">
      <c r="F4095" s="2423"/>
    </row>
    <row r="4096" spans="6:6">
      <c r="F4096" s="2423"/>
    </row>
    <row r="4097" spans="6:6">
      <c r="F4097" s="2423"/>
    </row>
    <row r="4098" spans="6:6">
      <c r="F4098" s="2423"/>
    </row>
    <row r="4099" spans="6:6">
      <c r="F4099" s="2423"/>
    </row>
    <row r="4100" spans="6:6">
      <c r="F4100" s="2423"/>
    </row>
    <row r="4101" spans="6:6">
      <c r="F4101" s="2423"/>
    </row>
    <row r="4102" spans="6:6">
      <c r="F4102" s="2423"/>
    </row>
    <row r="4103" spans="6:6">
      <c r="F4103" s="2423"/>
    </row>
    <row r="4104" spans="6:6">
      <c r="F4104" s="2423"/>
    </row>
    <row r="4105" spans="6:6">
      <c r="F4105" s="2423"/>
    </row>
    <row r="4106" spans="6:6">
      <c r="F4106" s="2423"/>
    </row>
    <row r="4107" spans="6:6">
      <c r="F4107" s="2423"/>
    </row>
    <row r="4108" spans="6:6">
      <c r="F4108" s="2423"/>
    </row>
    <row r="4109" spans="6:6">
      <c r="F4109" s="2423"/>
    </row>
    <row r="4110" spans="6:6">
      <c r="F4110" s="2423"/>
    </row>
    <row r="4111" spans="6:6">
      <c r="F4111" s="2423"/>
    </row>
    <row r="4112" spans="6:6">
      <c r="F4112" s="2423"/>
    </row>
    <row r="4113" spans="6:6">
      <c r="F4113" s="2423"/>
    </row>
    <row r="4114" spans="6:6">
      <c r="F4114" s="2423"/>
    </row>
    <row r="4115" spans="6:6">
      <c r="F4115" s="2423"/>
    </row>
    <row r="4116" spans="6:6">
      <c r="F4116" s="2423"/>
    </row>
    <row r="4117" spans="6:6">
      <c r="F4117" s="2423"/>
    </row>
    <row r="4118" spans="6:6">
      <c r="F4118" s="2423"/>
    </row>
    <row r="4119" spans="6:6">
      <c r="F4119" s="2423"/>
    </row>
    <row r="4120" spans="6:6">
      <c r="F4120" s="2423"/>
    </row>
    <row r="4121" spans="6:6">
      <c r="F4121" s="2423"/>
    </row>
    <row r="4122" spans="6:6">
      <c r="F4122" s="2423"/>
    </row>
    <row r="4123" spans="6:6">
      <c r="F4123" s="2423"/>
    </row>
    <row r="4124" spans="6:6">
      <c r="F4124" s="2423"/>
    </row>
    <row r="4125" spans="6:6">
      <c r="F4125" s="2423"/>
    </row>
    <row r="4126" spans="6:6">
      <c r="F4126" s="2423"/>
    </row>
    <row r="4127" spans="6:6">
      <c r="F4127" s="2423"/>
    </row>
    <row r="4128" spans="6:6">
      <c r="F4128" s="2423"/>
    </row>
    <row r="4129" spans="6:6">
      <c r="F4129" s="2423"/>
    </row>
    <row r="4130" spans="6:6">
      <c r="F4130" s="2423"/>
    </row>
    <row r="4131" spans="6:6">
      <c r="F4131" s="2423"/>
    </row>
    <row r="4132" spans="6:6">
      <c r="F4132" s="2423"/>
    </row>
    <row r="4133" spans="6:6">
      <c r="F4133" s="2423"/>
    </row>
    <row r="4134" spans="6:6">
      <c r="F4134" s="2423"/>
    </row>
    <row r="4135" spans="6:6">
      <c r="F4135" s="2423"/>
    </row>
    <row r="4136" spans="6:6">
      <c r="F4136" s="2423"/>
    </row>
    <row r="4137" spans="6:6">
      <c r="F4137" s="2423"/>
    </row>
    <row r="4138" spans="6:6">
      <c r="F4138" s="2423"/>
    </row>
    <row r="4139" spans="6:6">
      <c r="F4139" s="2423"/>
    </row>
    <row r="4140" spans="6:6">
      <c r="F4140" s="2423"/>
    </row>
    <row r="4141" spans="6:6">
      <c r="F4141" s="2423"/>
    </row>
    <row r="4142" spans="6:6">
      <c r="F4142" s="2423"/>
    </row>
    <row r="4143" spans="6:6">
      <c r="F4143" s="2423"/>
    </row>
    <row r="4144" spans="6:6">
      <c r="F4144" s="2423"/>
    </row>
    <row r="4145" spans="6:6">
      <c r="F4145" s="2423"/>
    </row>
    <row r="4146" spans="6:6">
      <c r="F4146" s="2423"/>
    </row>
    <row r="4147" spans="6:6">
      <c r="F4147" s="2423"/>
    </row>
    <row r="4148" spans="6:6">
      <c r="F4148" s="2423"/>
    </row>
    <row r="4149" spans="6:6">
      <c r="F4149" s="2423"/>
    </row>
    <row r="4150" spans="6:6">
      <c r="F4150" s="2423"/>
    </row>
    <row r="4151" spans="6:6">
      <c r="F4151" s="2423"/>
    </row>
    <row r="4152" spans="6:6">
      <c r="F4152" s="2423"/>
    </row>
    <row r="4153" spans="6:6">
      <c r="F4153" s="2423"/>
    </row>
    <row r="4154" spans="6:6">
      <c r="F4154" s="2423"/>
    </row>
    <row r="4155" spans="6:6">
      <c r="F4155" s="2423"/>
    </row>
    <row r="4156" spans="6:6">
      <c r="F4156" s="2423"/>
    </row>
    <row r="4157" spans="6:6">
      <c r="F4157" s="2423"/>
    </row>
    <row r="4158" spans="6:6">
      <c r="F4158" s="2423"/>
    </row>
    <row r="4159" spans="6:6">
      <c r="F4159" s="2423"/>
    </row>
    <row r="4160" spans="6:6">
      <c r="F4160" s="2423"/>
    </row>
    <row r="4161" spans="6:6">
      <c r="F4161" s="2423"/>
    </row>
    <row r="4162" spans="6:6">
      <c r="F4162" s="2423"/>
    </row>
    <row r="4163" spans="6:6">
      <c r="F4163" s="2423"/>
    </row>
    <row r="4164" spans="6:6">
      <c r="F4164" s="2423"/>
    </row>
    <row r="4165" spans="6:6">
      <c r="F4165" s="2423"/>
    </row>
    <row r="4166" spans="6:6">
      <c r="F4166" s="2423"/>
    </row>
    <row r="4167" spans="6:6">
      <c r="F4167" s="2423"/>
    </row>
    <row r="4168" spans="6:6">
      <c r="F4168" s="2423"/>
    </row>
    <row r="4169" spans="6:6">
      <c r="F4169" s="2423"/>
    </row>
    <row r="4170" spans="6:6">
      <c r="F4170" s="2423"/>
    </row>
    <row r="4171" spans="6:6">
      <c r="F4171" s="2423"/>
    </row>
    <row r="4172" spans="6:6">
      <c r="F4172" s="2423"/>
    </row>
    <row r="4173" spans="6:6">
      <c r="F4173" s="2423"/>
    </row>
    <row r="4174" spans="6:6">
      <c r="F4174" s="2423"/>
    </row>
    <row r="4175" spans="6:6">
      <c r="F4175" s="2423"/>
    </row>
    <row r="4176" spans="6:6">
      <c r="F4176" s="2423"/>
    </row>
    <row r="4177" spans="6:6">
      <c r="F4177" s="2423"/>
    </row>
    <row r="4178" spans="6:6">
      <c r="F4178" s="2423"/>
    </row>
    <row r="4179" spans="6:6">
      <c r="F4179" s="2423"/>
    </row>
    <row r="4180" spans="6:6">
      <c r="F4180" s="2423"/>
    </row>
    <row r="4181" spans="6:6">
      <c r="F4181" s="2423"/>
    </row>
    <row r="4182" spans="6:6">
      <c r="F4182" s="2423"/>
    </row>
    <row r="4183" spans="6:6">
      <c r="F4183" s="2423"/>
    </row>
    <row r="4184" spans="6:6">
      <c r="F4184" s="2423"/>
    </row>
    <row r="4185" spans="6:6">
      <c r="F4185" s="2423"/>
    </row>
    <row r="4186" spans="6:6">
      <c r="F4186" s="2423"/>
    </row>
    <row r="4187" spans="6:6">
      <c r="F4187" s="2423"/>
    </row>
    <row r="4188" spans="6:6">
      <c r="F4188" s="2423"/>
    </row>
    <row r="4189" spans="6:6">
      <c r="F4189" s="2423"/>
    </row>
    <row r="4190" spans="6:6">
      <c r="F4190" s="2423"/>
    </row>
    <row r="4191" spans="6:6">
      <c r="F4191" s="2423"/>
    </row>
    <row r="4192" spans="6:6">
      <c r="F4192" s="2423"/>
    </row>
    <row r="4193" spans="6:6">
      <c r="F4193" s="2423"/>
    </row>
    <row r="4194" spans="6:6">
      <c r="F4194" s="2423"/>
    </row>
    <row r="4195" spans="6:6">
      <c r="F4195" s="2423"/>
    </row>
    <row r="4196" spans="6:6">
      <c r="F4196" s="2423"/>
    </row>
    <row r="4197" spans="6:6">
      <c r="F4197" s="2423"/>
    </row>
    <row r="4198" spans="6:6">
      <c r="F4198" s="2423"/>
    </row>
    <row r="4199" spans="6:6">
      <c r="F4199" s="2423"/>
    </row>
    <row r="4200" spans="6:6">
      <c r="F4200" s="2423"/>
    </row>
    <row r="4201" spans="6:6">
      <c r="F4201" s="2423"/>
    </row>
    <row r="4202" spans="6:6">
      <c r="F4202" s="2423"/>
    </row>
    <row r="4203" spans="6:6">
      <c r="F4203" s="2423"/>
    </row>
    <row r="4204" spans="6:6">
      <c r="F4204" s="2423"/>
    </row>
    <row r="4205" spans="6:6">
      <c r="F4205" s="2423"/>
    </row>
    <row r="4206" spans="6:6">
      <c r="F4206" s="2423"/>
    </row>
    <row r="4207" spans="6:6">
      <c r="F4207" s="2423"/>
    </row>
    <row r="4208" spans="6:6">
      <c r="F4208" s="2423"/>
    </row>
    <row r="4209" spans="6:6">
      <c r="F4209" s="2423"/>
    </row>
    <row r="4210" spans="6:6">
      <c r="F4210" s="2423"/>
    </row>
    <row r="4211" spans="6:6">
      <c r="F4211" s="2423"/>
    </row>
    <row r="4212" spans="6:6">
      <c r="F4212" s="2423"/>
    </row>
    <row r="4213" spans="6:6">
      <c r="F4213" s="2423"/>
    </row>
    <row r="4214" spans="6:6">
      <c r="F4214" s="2423"/>
    </row>
    <row r="4215" spans="6:6">
      <c r="F4215" s="2423"/>
    </row>
    <row r="4216" spans="6:6">
      <c r="F4216" s="2423"/>
    </row>
    <row r="4217" spans="6:6">
      <c r="F4217" s="2423"/>
    </row>
    <row r="4218" spans="6:6">
      <c r="F4218" s="2423"/>
    </row>
    <row r="4219" spans="6:6">
      <c r="F4219" s="2423"/>
    </row>
    <row r="4220" spans="6:6">
      <c r="F4220" s="2423"/>
    </row>
    <row r="4221" spans="6:6">
      <c r="F4221" s="2423"/>
    </row>
    <row r="4222" spans="6:6">
      <c r="F4222" s="2423"/>
    </row>
    <row r="4223" spans="6:6">
      <c r="F4223" s="2423"/>
    </row>
    <row r="4224" spans="6:6">
      <c r="F4224" s="2423"/>
    </row>
    <row r="4225" spans="6:6">
      <c r="F4225" s="2423"/>
    </row>
    <row r="4226" spans="6:6">
      <c r="F4226" s="2423"/>
    </row>
    <row r="4227" spans="6:6">
      <c r="F4227" s="2423"/>
    </row>
    <row r="4228" spans="6:6">
      <c r="F4228" s="2423"/>
    </row>
    <row r="4229" spans="6:6">
      <c r="F4229" s="2423"/>
    </row>
    <row r="4230" spans="6:6">
      <c r="F4230" s="2423"/>
    </row>
    <row r="4231" spans="6:6">
      <c r="F4231" s="2423"/>
    </row>
    <row r="4232" spans="6:6">
      <c r="F4232" s="2423"/>
    </row>
    <row r="4233" spans="6:6">
      <c r="F4233" s="2423"/>
    </row>
    <row r="4234" spans="6:6">
      <c r="F4234" s="2423"/>
    </row>
    <row r="4235" spans="6:6">
      <c r="F4235" s="2423"/>
    </row>
    <row r="4236" spans="6:6">
      <c r="F4236" s="2423"/>
    </row>
    <row r="4237" spans="6:6">
      <c r="F4237" s="2423"/>
    </row>
    <row r="4238" spans="6:6">
      <c r="F4238" s="2423"/>
    </row>
    <row r="4239" spans="6:6">
      <c r="F4239" s="2423"/>
    </row>
    <row r="4240" spans="6:6">
      <c r="F4240" s="2423"/>
    </row>
    <row r="4241" spans="6:6">
      <c r="F4241" s="2423"/>
    </row>
    <row r="4242" spans="6:6">
      <c r="F4242" s="2423"/>
    </row>
    <row r="4243" spans="6:6">
      <c r="F4243" s="2423"/>
    </row>
    <row r="4244" spans="6:6">
      <c r="F4244" s="2423"/>
    </row>
    <row r="4245" spans="6:6">
      <c r="F4245" s="2423"/>
    </row>
    <row r="4246" spans="6:6">
      <c r="F4246" s="2423"/>
    </row>
    <row r="4247" spans="6:6">
      <c r="F4247" s="2423"/>
    </row>
    <row r="4248" spans="6:6">
      <c r="F4248" s="2423"/>
    </row>
    <row r="4249" spans="6:6">
      <c r="F4249" s="2423"/>
    </row>
    <row r="4250" spans="6:6">
      <c r="F4250" s="2423"/>
    </row>
    <row r="4251" spans="6:6">
      <c r="F4251" s="2423"/>
    </row>
    <row r="4252" spans="6:6">
      <c r="F4252" s="2423"/>
    </row>
    <row r="4253" spans="6:6">
      <c r="F4253" s="2423"/>
    </row>
    <row r="4254" spans="6:6">
      <c r="F4254" s="2423"/>
    </row>
    <row r="4255" spans="6:6">
      <c r="F4255" s="2423"/>
    </row>
    <row r="4256" spans="6:6">
      <c r="F4256" s="2423"/>
    </row>
    <row r="4257" spans="6:6">
      <c r="F4257" s="2423"/>
    </row>
    <row r="4258" spans="6:6">
      <c r="F4258" s="2423"/>
    </row>
    <row r="4259" spans="6:6">
      <c r="F4259" s="2423"/>
    </row>
    <row r="4260" spans="6:6">
      <c r="F4260" s="2423"/>
    </row>
    <row r="4261" spans="6:6">
      <c r="F4261" s="2423"/>
    </row>
    <row r="4262" spans="6:6">
      <c r="F4262" s="2423"/>
    </row>
    <row r="4263" spans="6:6">
      <c r="F4263" s="2423"/>
    </row>
    <row r="4264" spans="6:6">
      <c r="F4264" s="2423"/>
    </row>
    <row r="4265" spans="6:6">
      <c r="F4265" s="2423"/>
    </row>
    <row r="4266" spans="6:6">
      <c r="F4266" s="2423"/>
    </row>
    <row r="4267" spans="6:6">
      <c r="F4267" s="2423"/>
    </row>
    <row r="4268" spans="6:6">
      <c r="F4268" s="2423"/>
    </row>
    <row r="4269" spans="6:6">
      <c r="F4269" s="2423"/>
    </row>
    <row r="4270" spans="6:6">
      <c r="F4270" s="2423"/>
    </row>
    <row r="4271" spans="6:6">
      <c r="F4271" s="2423"/>
    </row>
    <row r="4272" spans="6:6">
      <c r="F4272" s="2423"/>
    </row>
    <row r="4273" spans="6:6">
      <c r="F4273" s="2423"/>
    </row>
    <row r="4274" spans="6:6">
      <c r="F4274" s="2423"/>
    </row>
    <row r="4275" spans="6:6">
      <c r="F4275" s="2423"/>
    </row>
    <row r="4276" spans="6:6">
      <c r="F4276" s="2423"/>
    </row>
    <row r="4277" spans="6:6">
      <c r="F4277" s="2423"/>
    </row>
    <row r="4278" spans="6:6">
      <c r="F4278" s="2423"/>
    </row>
    <row r="4279" spans="6:6">
      <c r="F4279" s="2423"/>
    </row>
    <row r="4280" spans="6:6">
      <c r="F4280" s="2423"/>
    </row>
    <row r="4281" spans="6:6">
      <c r="F4281" s="2423"/>
    </row>
    <row r="4282" spans="6:6">
      <c r="F4282" s="2423"/>
    </row>
    <row r="4283" spans="6:6">
      <c r="F4283" s="2423"/>
    </row>
    <row r="4284" spans="6:6">
      <c r="F4284" s="2423"/>
    </row>
    <row r="4285" spans="6:6">
      <c r="F4285" s="2423"/>
    </row>
    <row r="4286" spans="6:6">
      <c r="F4286" s="2423"/>
    </row>
    <row r="4287" spans="6:6">
      <c r="F4287" s="2423"/>
    </row>
    <row r="4288" spans="6:6">
      <c r="F4288" s="2423"/>
    </row>
    <row r="4289" spans="6:6">
      <c r="F4289" s="2423"/>
    </row>
    <row r="4290" spans="6:6">
      <c r="F4290" s="2423"/>
    </row>
    <row r="4291" spans="6:6">
      <c r="F4291" s="2423"/>
    </row>
    <row r="4292" spans="6:6">
      <c r="F4292" s="2423"/>
    </row>
    <row r="4293" spans="6:6">
      <c r="F4293" s="2423"/>
    </row>
    <row r="4294" spans="6:6">
      <c r="F4294" s="2423"/>
    </row>
    <row r="4295" spans="6:6">
      <c r="F4295" s="2423"/>
    </row>
    <row r="4296" spans="6:6">
      <c r="F4296" s="2423"/>
    </row>
    <row r="4297" spans="6:6">
      <c r="F4297" s="2423"/>
    </row>
    <row r="4298" spans="6:6">
      <c r="F4298" s="2423"/>
    </row>
    <row r="4299" spans="6:6">
      <c r="F4299" s="2423"/>
    </row>
    <row r="4300" spans="6:6">
      <c r="F4300" s="2423"/>
    </row>
    <row r="4301" spans="6:6">
      <c r="F4301" s="2423"/>
    </row>
    <row r="4302" spans="6:6">
      <c r="F4302" s="2423"/>
    </row>
    <row r="4303" spans="6:6">
      <c r="F4303" s="2423"/>
    </row>
    <row r="4304" spans="6:6">
      <c r="F4304" s="2423"/>
    </row>
    <row r="4305" spans="6:6">
      <c r="F4305" s="2423"/>
    </row>
    <row r="4306" spans="6:6">
      <c r="F4306" s="2423"/>
    </row>
    <row r="4307" spans="6:6">
      <c r="F4307" s="2423"/>
    </row>
    <row r="4308" spans="6:6">
      <c r="F4308" s="2423"/>
    </row>
    <row r="4309" spans="6:6">
      <c r="F4309" s="2423"/>
    </row>
    <row r="4310" spans="6:6">
      <c r="F4310" s="2423"/>
    </row>
    <row r="4311" spans="6:6">
      <c r="F4311" s="2423"/>
    </row>
    <row r="4312" spans="6:6">
      <c r="F4312" s="2423"/>
    </row>
    <row r="4313" spans="6:6">
      <c r="F4313" s="2423"/>
    </row>
    <row r="4314" spans="6:6">
      <c r="F4314" s="2423"/>
    </row>
    <row r="4315" spans="6:6">
      <c r="F4315" s="2423"/>
    </row>
    <row r="4316" spans="6:6">
      <c r="F4316" s="2423"/>
    </row>
    <row r="4317" spans="6:6">
      <c r="F4317" s="2423"/>
    </row>
    <row r="4318" spans="6:6">
      <c r="F4318" s="2423"/>
    </row>
    <row r="4319" spans="6:6">
      <c r="F4319" s="2423"/>
    </row>
    <row r="4320" spans="6:6">
      <c r="F4320" s="2423"/>
    </row>
    <row r="4321" spans="6:6">
      <c r="F4321" s="2423"/>
    </row>
    <row r="4322" spans="6:6">
      <c r="F4322" s="2423"/>
    </row>
    <row r="4323" spans="6:6">
      <c r="F4323" s="2423"/>
    </row>
    <row r="4324" spans="6:6">
      <c r="F4324" s="2423"/>
    </row>
    <row r="4325" spans="6:6">
      <c r="F4325" s="2423"/>
    </row>
    <row r="4326" spans="6:6">
      <c r="F4326" s="2423"/>
    </row>
    <row r="4327" spans="6:6">
      <c r="F4327" s="2423"/>
    </row>
    <row r="4328" spans="6:6">
      <c r="F4328" s="2423"/>
    </row>
    <row r="4329" spans="6:6">
      <c r="F4329" s="2423"/>
    </row>
    <row r="4330" spans="6:6">
      <c r="F4330" s="2423"/>
    </row>
    <row r="4331" spans="6:6">
      <c r="F4331" s="2423"/>
    </row>
    <row r="4332" spans="6:6">
      <c r="F4332" s="2423"/>
    </row>
    <row r="4333" spans="6:6">
      <c r="F4333" s="2423"/>
    </row>
    <row r="4334" spans="6:6">
      <c r="F4334" s="2423"/>
    </row>
    <row r="4335" spans="6:6">
      <c r="F4335" s="2423"/>
    </row>
    <row r="4336" spans="6:6">
      <c r="F4336" s="2423"/>
    </row>
    <row r="4337" spans="6:6">
      <c r="F4337" s="2423"/>
    </row>
    <row r="4338" spans="6:6">
      <c r="F4338" s="2423"/>
    </row>
    <row r="4339" spans="6:6">
      <c r="F4339" s="2423"/>
    </row>
    <row r="4340" spans="6:6">
      <c r="F4340" s="2423"/>
    </row>
    <row r="4341" spans="6:6">
      <c r="F4341" s="2423"/>
    </row>
    <row r="4342" spans="6:6">
      <c r="F4342" s="2423"/>
    </row>
    <row r="4343" spans="6:6">
      <c r="F4343" s="2423"/>
    </row>
    <row r="4344" spans="6:6">
      <c r="F4344" s="2423"/>
    </row>
    <row r="4345" spans="6:6">
      <c r="F4345" s="2423"/>
    </row>
    <row r="4346" spans="6:6">
      <c r="F4346" s="2423"/>
    </row>
    <row r="4347" spans="6:6">
      <c r="F4347" s="2423"/>
    </row>
    <row r="4348" spans="6:6">
      <c r="F4348" s="2423"/>
    </row>
    <row r="4349" spans="6:6">
      <c r="F4349" s="2423"/>
    </row>
    <row r="4350" spans="6:6">
      <c r="F4350" s="2423"/>
    </row>
    <row r="4351" spans="6:6">
      <c r="F4351" s="2423"/>
    </row>
    <row r="4352" spans="6:6">
      <c r="F4352" s="2423"/>
    </row>
    <row r="4353" spans="6:6">
      <c r="F4353" s="2423"/>
    </row>
    <row r="4354" spans="6:6">
      <c r="F4354" s="2423"/>
    </row>
    <row r="4355" spans="6:6">
      <c r="F4355" s="2423"/>
    </row>
    <row r="4356" spans="6:6">
      <c r="F4356" s="2423"/>
    </row>
    <row r="4357" spans="6:6">
      <c r="F4357" s="2423"/>
    </row>
    <row r="4358" spans="6:6">
      <c r="F4358" s="2423"/>
    </row>
    <row r="4359" spans="6:6">
      <c r="F4359" s="2423"/>
    </row>
    <row r="4360" spans="6:6">
      <c r="F4360" s="2423"/>
    </row>
    <row r="4361" spans="6:6">
      <c r="F4361" s="2423"/>
    </row>
    <row r="4362" spans="6:6">
      <c r="F4362" s="2423"/>
    </row>
    <row r="4363" spans="6:6">
      <c r="F4363" s="2423"/>
    </row>
    <row r="4364" spans="6:6">
      <c r="F4364" s="2423"/>
    </row>
    <row r="4365" spans="6:6">
      <c r="F4365" s="2423"/>
    </row>
    <row r="4366" spans="6:6">
      <c r="F4366" s="2423"/>
    </row>
    <row r="4367" spans="6:6">
      <c r="F4367" s="2423"/>
    </row>
    <row r="4368" spans="6:6">
      <c r="F4368" s="2423"/>
    </row>
    <row r="4369" spans="6:6">
      <c r="F4369" s="2423"/>
    </row>
    <row r="4370" spans="6:6">
      <c r="F4370" s="2423"/>
    </row>
    <row r="4371" spans="6:6">
      <c r="F4371" s="2423"/>
    </row>
    <row r="4372" spans="6:6">
      <c r="F4372" s="2423"/>
    </row>
    <row r="4373" spans="6:6">
      <c r="F4373" s="2423"/>
    </row>
    <row r="4374" spans="6:6">
      <c r="F4374" s="2423"/>
    </row>
    <row r="4375" spans="6:6">
      <c r="F4375" s="2423"/>
    </row>
    <row r="4376" spans="6:6">
      <c r="F4376" s="2423"/>
    </row>
    <row r="4377" spans="6:6">
      <c r="F4377" s="2423"/>
    </row>
    <row r="4378" spans="6:6">
      <c r="F4378" s="2423"/>
    </row>
    <row r="4379" spans="6:6">
      <c r="F4379" s="2423"/>
    </row>
    <row r="4380" spans="6:6">
      <c r="F4380" s="2423"/>
    </row>
    <row r="4381" spans="6:6">
      <c r="F4381" s="2423"/>
    </row>
    <row r="4382" spans="6:6">
      <c r="F4382" s="2423"/>
    </row>
    <row r="4383" spans="6:6">
      <c r="F4383" s="2423"/>
    </row>
    <row r="4384" spans="6:6">
      <c r="F4384" s="2423"/>
    </row>
    <row r="4385" spans="6:6">
      <c r="F4385" s="2423"/>
    </row>
    <row r="4386" spans="6:6">
      <c r="F4386" s="2423"/>
    </row>
    <row r="4387" spans="6:6">
      <c r="F4387" s="2423"/>
    </row>
    <row r="4388" spans="6:6">
      <c r="F4388" s="2423"/>
    </row>
    <row r="4389" spans="6:6">
      <c r="F4389" s="2423"/>
    </row>
    <row r="4390" spans="6:6">
      <c r="F4390" s="2423"/>
    </row>
    <row r="4391" spans="6:6">
      <c r="F4391" s="2423"/>
    </row>
    <row r="4392" spans="6:6">
      <c r="F4392" s="2423"/>
    </row>
    <row r="4393" spans="6:6">
      <c r="F4393" s="2423"/>
    </row>
    <row r="4394" spans="6:6">
      <c r="F4394" s="2423"/>
    </row>
    <row r="4395" spans="6:6">
      <c r="F4395" s="2423"/>
    </row>
    <row r="4396" spans="6:6">
      <c r="F4396" s="2423"/>
    </row>
    <row r="4397" spans="6:6">
      <c r="F4397" s="2423"/>
    </row>
    <row r="4398" spans="6:6">
      <c r="F4398" s="2423"/>
    </row>
    <row r="4399" spans="6:6">
      <c r="F4399" s="2423"/>
    </row>
    <row r="4400" spans="6:6">
      <c r="F4400" s="2423"/>
    </row>
    <row r="4401" spans="6:6">
      <c r="F4401" s="2423"/>
    </row>
    <row r="4402" spans="6:6">
      <c r="F4402" s="2423"/>
    </row>
    <row r="4403" spans="6:6">
      <c r="F4403" s="2423"/>
    </row>
    <row r="4404" spans="6:6">
      <c r="F4404" s="2423"/>
    </row>
    <row r="4405" spans="6:6">
      <c r="F4405" s="2423"/>
    </row>
    <row r="4406" spans="6:6">
      <c r="F4406" s="2423"/>
    </row>
    <row r="4407" spans="6:6">
      <c r="F4407" s="2423"/>
    </row>
    <row r="4408" spans="6:6">
      <c r="F4408" s="2423"/>
    </row>
    <row r="4409" spans="6:6">
      <c r="F4409" s="2423"/>
    </row>
    <row r="4410" spans="6:6">
      <c r="F4410" s="2423"/>
    </row>
    <row r="4411" spans="6:6">
      <c r="F4411" s="2423"/>
    </row>
    <row r="4412" spans="6:6">
      <c r="F4412" s="2423"/>
    </row>
    <row r="4413" spans="6:6">
      <c r="F4413" s="2423"/>
    </row>
    <row r="4414" spans="6:6">
      <c r="F4414" s="2423"/>
    </row>
    <row r="4415" spans="6:6">
      <c r="F4415" s="2423"/>
    </row>
    <row r="4416" spans="6:6">
      <c r="F4416" s="2423"/>
    </row>
    <row r="4417" spans="6:6">
      <c r="F4417" s="2423"/>
    </row>
    <row r="4418" spans="6:6">
      <c r="F4418" s="2423"/>
    </row>
    <row r="4419" spans="6:6">
      <c r="F4419" s="2423"/>
    </row>
    <row r="4420" spans="6:6">
      <c r="F4420" s="2423"/>
    </row>
    <row r="4421" spans="6:6">
      <c r="F4421" s="2423"/>
    </row>
    <row r="4422" spans="6:6">
      <c r="F4422" s="2423"/>
    </row>
    <row r="4423" spans="6:6">
      <c r="F4423" s="2423"/>
    </row>
    <row r="4424" spans="6:6">
      <c r="F4424" s="2423"/>
    </row>
    <row r="4425" spans="6:6">
      <c r="F4425" s="2423"/>
    </row>
    <row r="4426" spans="6:6">
      <c r="F4426" s="2423"/>
    </row>
    <row r="4427" spans="6:6">
      <c r="F4427" s="2423"/>
    </row>
    <row r="4428" spans="6:6">
      <c r="F4428" s="2423"/>
    </row>
    <row r="4429" spans="6:6">
      <c r="F4429" s="2423"/>
    </row>
    <row r="4430" spans="6:6">
      <c r="F4430" s="2423"/>
    </row>
    <row r="4431" spans="6:6">
      <c r="F4431" s="2423"/>
    </row>
    <row r="4432" spans="6:6">
      <c r="F4432" s="2423"/>
    </row>
    <row r="4433" spans="6:6">
      <c r="F4433" s="2423"/>
    </row>
    <row r="4434" spans="6:6">
      <c r="F4434" s="2423"/>
    </row>
    <row r="4435" spans="6:6">
      <c r="F4435" s="2423"/>
    </row>
    <row r="4436" spans="6:6">
      <c r="F4436" s="2423"/>
    </row>
    <row r="4437" spans="6:6">
      <c r="F4437" s="2423"/>
    </row>
    <row r="4438" spans="6:6">
      <c r="F4438" s="2423"/>
    </row>
    <row r="4439" spans="6:6">
      <c r="F4439" s="2423"/>
    </row>
    <row r="4440" spans="6:6">
      <c r="F4440" s="2423"/>
    </row>
    <row r="4441" spans="6:6">
      <c r="F4441" s="2423"/>
    </row>
    <row r="4442" spans="6:6">
      <c r="F4442" s="2423"/>
    </row>
    <row r="4443" spans="6:6">
      <c r="F4443" s="2423"/>
    </row>
    <row r="4444" spans="6:6">
      <c r="F4444" s="2423"/>
    </row>
    <row r="4445" spans="6:6">
      <c r="F4445" s="2423"/>
    </row>
    <row r="4446" spans="6:6">
      <c r="F4446" s="2423"/>
    </row>
    <row r="4447" spans="6:6">
      <c r="F4447" s="2423"/>
    </row>
    <row r="4448" spans="6:6">
      <c r="F4448" s="2423"/>
    </row>
    <row r="4449" spans="6:6">
      <c r="F4449" s="2423"/>
    </row>
    <row r="4450" spans="6:6">
      <c r="F4450" s="2423"/>
    </row>
    <row r="4451" spans="6:6">
      <c r="F4451" s="2423"/>
    </row>
    <row r="4452" spans="6:6">
      <c r="F4452" s="2423"/>
    </row>
    <row r="4453" spans="6:6">
      <c r="F4453" s="2423"/>
    </row>
    <row r="4454" spans="6:6">
      <c r="F4454" s="2423"/>
    </row>
    <row r="4455" spans="6:6">
      <c r="F4455" s="2423"/>
    </row>
    <row r="4456" spans="6:6">
      <c r="F4456" s="2423"/>
    </row>
    <row r="4457" spans="6:6">
      <c r="F4457" s="2423"/>
    </row>
    <row r="4458" spans="6:6">
      <c r="F4458" s="2423"/>
    </row>
    <row r="4459" spans="6:6">
      <c r="F4459" s="2423"/>
    </row>
    <row r="4460" spans="6:6">
      <c r="F4460" s="2423"/>
    </row>
    <row r="4461" spans="6:6">
      <c r="F4461" s="2423"/>
    </row>
    <row r="4462" spans="6:6">
      <c r="F4462" s="2423"/>
    </row>
    <row r="4463" spans="6:6">
      <c r="F4463" s="2423"/>
    </row>
    <row r="4464" spans="6:6">
      <c r="F4464" s="2423"/>
    </row>
    <row r="4465" spans="6:6">
      <c r="F4465" s="2423"/>
    </row>
    <row r="4466" spans="6:6">
      <c r="F4466" s="2423"/>
    </row>
    <row r="4467" spans="6:6">
      <c r="F4467" s="2423"/>
    </row>
    <row r="4468" spans="6:6">
      <c r="F4468" s="2423"/>
    </row>
    <row r="4469" spans="6:6">
      <c r="F4469" s="2423"/>
    </row>
    <row r="4470" spans="6:6">
      <c r="F4470" s="2423"/>
    </row>
    <row r="4471" spans="6:6">
      <c r="F4471" s="2423"/>
    </row>
    <row r="4472" spans="6:6">
      <c r="F4472" s="2423"/>
    </row>
    <row r="4473" spans="6:6">
      <c r="F4473" s="2423"/>
    </row>
    <row r="4474" spans="6:6">
      <c r="F4474" s="2423"/>
    </row>
    <row r="4475" spans="6:6">
      <c r="F4475" s="2423"/>
    </row>
    <row r="4476" spans="6:6">
      <c r="F4476" s="2423"/>
    </row>
    <row r="4477" spans="6:6">
      <c r="F4477" s="2423"/>
    </row>
    <row r="4478" spans="6:6">
      <c r="F4478" s="2423"/>
    </row>
    <row r="4479" spans="6:6">
      <c r="F4479" s="2423"/>
    </row>
    <row r="4480" spans="6:6">
      <c r="F4480" s="2423"/>
    </row>
    <row r="4481" spans="6:6">
      <c r="F4481" s="2423"/>
    </row>
    <row r="4482" spans="6:6">
      <c r="F4482" s="2423"/>
    </row>
    <row r="4483" spans="6:6">
      <c r="F4483" s="2423"/>
    </row>
    <row r="4484" spans="6:6">
      <c r="F4484" s="2423"/>
    </row>
    <row r="4485" spans="6:6">
      <c r="F4485" s="2423"/>
    </row>
    <row r="4486" spans="6:6">
      <c r="F4486" s="2423"/>
    </row>
    <row r="4487" spans="6:6">
      <c r="F4487" s="2423"/>
    </row>
    <row r="4488" spans="6:6">
      <c r="F4488" s="2423"/>
    </row>
    <row r="4489" spans="6:6">
      <c r="F4489" s="2423"/>
    </row>
    <row r="4490" spans="6:6">
      <c r="F4490" s="2423"/>
    </row>
    <row r="4491" spans="6:6">
      <c r="F4491" s="2423"/>
    </row>
    <row r="4492" spans="6:6">
      <c r="F4492" s="2423"/>
    </row>
    <row r="4493" spans="6:6">
      <c r="F4493" s="2423"/>
    </row>
    <row r="4494" spans="6:6">
      <c r="F4494" s="2423"/>
    </row>
    <row r="4495" spans="6:6">
      <c r="F4495" s="2423"/>
    </row>
    <row r="4496" spans="6:6">
      <c r="F4496" s="2423"/>
    </row>
    <row r="4497" spans="6:6">
      <c r="F4497" s="2423"/>
    </row>
    <row r="4498" spans="6:6">
      <c r="F4498" s="2423"/>
    </row>
    <row r="4499" spans="6:6">
      <c r="F4499" s="2423"/>
    </row>
    <row r="4500" spans="6:6">
      <c r="F4500" s="2423"/>
    </row>
    <row r="4501" spans="6:6">
      <c r="F4501" s="2423"/>
    </row>
    <row r="4502" spans="6:6">
      <c r="F4502" s="2423"/>
    </row>
    <row r="4503" spans="6:6">
      <c r="F4503" s="2423"/>
    </row>
    <row r="4504" spans="6:6">
      <c r="F4504" s="2423"/>
    </row>
    <row r="4505" spans="6:6">
      <c r="F4505" s="2423"/>
    </row>
    <row r="4506" spans="6:6">
      <c r="F4506" s="2423"/>
    </row>
    <row r="4507" spans="6:6">
      <c r="F4507" s="2423"/>
    </row>
    <row r="4508" spans="6:6">
      <c r="F4508" s="2423"/>
    </row>
    <row r="4509" spans="6:6">
      <c r="F4509" s="2423"/>
    </row>
    <row r="4510" spans="6:6">
      <c r="F4510" s="2423"/>
    </row>
    <row r="4511" spans="6:6">
      <c r="F4511" s="2423"/>
    </row>
    <row r="4512" spans="6:6">
      <c r="F4512" s="2423"/>
    </row>
    <row r="4513" spans="6:6">
      <c r="F4513" s="2423"/>
    </row>
    <row r="4514" spans="6:6">
      <c r="F4514" s="2423"/>
    </row>
    <row r="4515" spans="6:6">
      <c r="F4515" s="2423"/>
    </row>
    <row r="4516" spans="6:6">
      <c r="F4516" s="2423"/>
    </row>
    <row r="4517" spans="6:6">
      <c r="F4517" s="2423"/>
    </row>
    <row r="4518" spans="6:6">
      <c r="F4518" s="2423"/>
    </row>
    <row r="4519" spans="6:6">
      <c r="F4519" s="2423"/>
    </row>
    <row r="4520" spans="6:6">
      <c r="F4520" s="2423"/>
    </row>
    <row r="4521" spans="6:6">
      <c r="F4521" s="2423"/>
    </row>
    <row r="4522" spans="6:6">
      <c r="F4522" s="2423"/>
    </row>
    <row r="4523" spans="6:6">
      <c r="F4523" s="2423"/>
    </row>
    <row r="4524" spans="6:6">
      <c r="F4524" s="2423"/>
    </row>
    <row r="4525" spans="6:6">
      <c r="F4525" s="2423"/>
    </row>
    <row r="4526" spans="6:6">
      <c r="F4526" s="2423"/>
    </row>
    <row r="4527" spans="6:6">
      <c r="F4527" s="2423"/>
    </row>
    <row r="4528" spans="6:6">
      <c r="F4528" s="2423"/>
    </row>
    <row r="4529" spans="6:6">
      <c r="F4529" s="2423"/>
    </row>
    <row r="4530" spans="6:6">
      <c r="F4530" s="2423"/>
    </row>
    <row r="4531" spans="6:6">
      <c r="F4531" s="2423"/>
    </row>
    <row r="4532" spans="6:6">
      <c r="F4532" s="2423"/>
    </row>
    <row r="4533" spans="6:6">
      <c r="F4533" s="2423"/>
    </row>
    <row r="4534" spans="6:6">
      <c r="F4534" s="2423"/>
    </row>
    <row r="4535" spans="6:6">
      <c r="F4535" s="2423"/>
    </row>
    <row r="4536" spans="6:6">
      <c r="F4536" s="2423"/>
    </row>
    <row r="4537" spans="6:6">
      <c r="F4537" s="2423"/>
    </row>
    <row r="4538" spans="6:6">
      <c r="F4538" s="2423"/>
    </row>
    <row r="4539" spans="6:6">
      <c r="F4539" s="2423"/>
    </row>
    <row r="4540" spans="6:6">
      <c r="F4540" s="2423"/>
    </row>
    <row r="4541" spans="6:6">
      <c r="F4541" s="2423"/>
    </row>
    <row r="4542" spans="6:6">
      <c r="F4542" s="2423"/>
    </row>
    <row r="4543" spans="6:6">
      <c r="F4543" s="2423"/>
    </row>
    <row r="4544" spans="6:6">
      <c r="F4544" s="2423"/>
    </row>
    <row r="4545" spans="6:6">
      <c r="F4545" s="2423"/>
    </row>
    <row r="4546" spans="6:6">
      <c r="F4546" s="2423"/>
    </row>
    <row r="4547" spans="6:6">
      <c r="F4547" s="2423"/>
    </row>
    <row r="4548" spans="6:6">
      <c r="F4548" s="2423"/>
    </row>
    <row r="4549" spans="6:6">
      <c r="F4549" s="2423"/>
    </row>
    <row r="4550" spans="6:6">
      <c r="F4550" s="2423"/>
    </row>
    <row r="4551" spans="6:6">
      <c r="F4551" s="2423"/>
    </row>
    <row r="4552" spans="6:6">
      <c r="F4552" s="2423"/>
    </row>
    <row r="4553" spans="6:6">
      <c r="F4553" s="2423"/>
    </row>
    <row r="4554" spans="6:6">
      <c r="F4554" s="2423"/>
    </row>
    <row r="4555" spans="6:6">
      <c r="F4555" s="2423"/>
    </row>
    <row r="4556" spans="6:6">
      <c r="F4556" s="2423"/>
    </row>
    <row r="4557" spans="6:6">
      <c r="F4557" s="2423"/>
    </row>
    <row r="4558" spans="6:6">
      <c r="F4558" s="2423"/>
    </row>
    <row r="4559" spans="6:6">
      <c r="F4559" s="2423"/>
    </row>
    <row r="4560" spans="6:6">
      <c r="F4560" s="2423"/>
    </row>
    <row r="4561" spans="6:6">
      <c r="F4561" s="2423"/>
    </row>
    <row r="4562" spans="6:6">
      <c r="F4562" s="2423"/>
    </row>
    <row r="4563" spans="6:6">
      <c r="F4563" s="2423"/>
    </row>
    <row r="4564" spans="6:6">
      <c r="F4564" s="2423"/>
    </row>
    <row r="4565" spans="6:6">
      <c r="F4565" s="2423"/>
    </row>
    <row r="4566" spans="6:6">
      <c r="F4566" s="2423"/>
    </row>
    <row r="4567" spans="6:6">
      <c r="F4567" s="2423"/>
    </row>
    <row r="4568" spans="6:6">
      <c r="F4568" s="2423"/>
    </row>
    <row r="4569" spans="6:6">
      <c r="F4569" s="2423"/>
    </row>
    <row r="4570" spans="6:6">
      <c r="F4570" s="2423"/>
    </row>
    <row r="4571" spans="6:6">
      <c r="F4571" s="2423"/>
    </row>
    <row r="4572" spans="6:6">
      <c r="F4572" s="2423"/>
    </row>
    <row r="4573" spans="6:6">
      <c r="F4573" s="2423"/>
    </row>
    <row r="4574" spans="6:6">
      <c r="F4574" s="2423"/>
    </row>
    <row r="4575" spans="6:6">
      <c r="F4575" s="2423"/>
    </row>
    <row r="4576" spans="6:6">
      <c r="F4576" s="2423"/>
    </row>
    <row r="4577" spans="6:6">
      <c r="F4577" s="2423"/>
    </row>
    <row r="4578" spans="6:6">
      <c r="F4578" s="2423"/>
    </row>
    <row r="4579" spans="6:6">
      <c r="F4579" s="2423"/>
    </row>
    <row r="4580" spans="6:6">
      <c r="F4580" s="2423"/>
    </row>
    <row r="4581" spans="6:6">
      <c r="F4581" s="2423"/>
    </row>
    <row r="4582" spans="6:6">
      <c r="F4582" s="2423"/>
    </row>
    <row r="4583" spans="6:6">
      <c r="F4583" s="2423"/>
    </row>
    <row r="4584" spans="6:6">
      <c r="F4584" s="2423"/>
    </row>
    <row r="4585" spans="6:6">
      <c r="F4585" s="2423"/>
    </row>
    <row r="4586" spans="6:6">
      <c r="F4586" s="2423"/>
    </row>
    <row r="4587" spans="6:6">
      <c r="F4587" s="2423"/>
    </row>
    <row r="4588" spans="6:6">
      <c r="F4588" s="2423"/>
    </row>
    <row r="4589" spans="6:6">
      <c r="F4589" s="2423"/>
    </row>
    <row r="4590" spans="6:6">
      <c r="F4590" s="2423"/>
    </row>
    <row r="4591" spans="6:6">
      <c r="F4591" s="2423"/>
    </row>
    <row r="4592" spans="6:6">
      <c r="F4592" s="2423"/>
    </row>
    <row r="4593" spans="6:6">
      <c r="F4593" s="2423"/>
    </row>
    <row r="4594" spans="6:6">
      <c r="F4594" s="2423"/>
    </row>
    <row r="4595" spans="6:6">
      <c r="F4595" s="2423"/>
    </row>
    <row r="4596" spans="6:6">
      <c r="F4596" s="2423"/>
    </row>
    <row r="4597" spans="6:6">
      <c r="F4597" s="2423"/>
    </row>
    <row r="4598" spans="6:6">
      <c r="F4598" s="2423"/>
    </row>
    <row r="4599" spans="6:6">
      <c r="F4599" s="2423"/>
    </row>
    <row r="4600" spans="6:6">
      <c r="F4600" s="2423"/>
    </row>
    <row r="4601" spans="6:6">
      <c r="F4601" s="2423"/>
    </row>
    <row r="4602" spans="6:6">
      <c r="F4602" s="2423"/>
    </row>
    <row r="4603" spans="6:6">
      <c r="F4603" s="2423"/>
    </row>
    <row r="4604" spans="6:6">
      <c r="F4604" s="2423"/>
    </row>
    <row r="4605" spans="6:6">
      <c r="F4605" s="2423"/>
    </row>
    <row r="4606" spans="6:6">
      <c r="F4606" s="2423"/>
    </row>
    <row r="4607" spans="6:6">
      <c r="F4607" s="2423"/>
    </row>
    <row r="4608" spans="6:6">
      <c r="F4608" s="2423"/>
    </row>
    <row r="4609" spans="6:6">
      <c r="F4609" s="2423"/>
    </row>
    <row r="4610" spans="6:6">
      <c r="F4610" s="2423"/>
    </row>
    <row r="4611" spans="6:6">
      <c r="F4611" s="2423"/>
    </row>
    <row r="4612" spans="6:6">
      <c r="F4612" s="2423"/>
    </row>
    <row r="4613" spans="6:6">
      <c r="F4613" s="2423"/>
    </row>
    <row r="4614" spans="6:6">
      <c r="F4614" s="2423"/>
    </row>
    <row r="4615" spans="6:6">
      <c r="F4615" s="2423"/>
    </row>
    <row r="4616" spans="6:6">
      <c r="F4616" s="2423"/>
    </row>
    <row r="4617" spans="6:6">
      <c r="F4617" s="2423"/>
    </row>
    <row r="4618" spans="6:6">
      <c r="F4618" s="2423"/>
    </row>
    <row r="4619" spans="6:6">
      <c r="F4619" s="2423"/>
    </row>
    <row r="4620" spans="6:6">
      <c r="F4620" s="2423"/>
    </row>
    <row r="4621" spans="6:6">
      <c r="F4621" s="2423"/>
    </row>
    <row r="4622" spans="6:6">
      <c r="F4622" s="2423"/>
    </row>
    <row r="4623" spans="6:6">
      <c r="F4623" s="2423"/>
    </row>
    <row r="4624" spans="6:6">
      <c r="F4624" s="2423"/>
    </row>
    <row r="4625" spans="6:6">
      <c r="F4625" s="2423"/>
    </row>
    <row r="4626" spans="6:6">
      <c r="F4626" s="2423"/>
    </row>
    <row r="4627" spans="6:6">
      <c r="F4627" s="2423"/>
    </row>
    <row r="4628" spans="6:6">
      <c r="F4628" s="2423"/>
    </row>
    <row r="4629" spans="6:6">
      <c r="F4629" s="2423"/>
    </row>
    <row r="4630" spans="6:6">
      <c r="F4630" s="2423"/>
    </row>
    <row r="4631" spans="6:6">
      <c r="F4631" s="2423"/>
    </row>
    <row r="4632" spans="6:6">
      <c r="F4632" s="2423"/>
    </row>
    <row r="4633" spans="6:6">
      <c r="F4633" s="2423"/>
    </row>
    <row r="4634" spans="6:6">
      <c r="F4634" s="2423"/>
    </row>
    <row r="4635" spans="6:6">
      <c r="F4635" s="2423"/>
    </row>
    <row r="4636" spans="6:6">
      <c r="F4636" s="2423"/>
    </row>
    <row r="4637" spans="6:6">
      <c r="F4637" s="2423"/>
    </row>
    <row r="4638" spans="6:6">
      <c r="F4638" s="2423"/>
    </row>
    <row r="4639" spans="6:6">
      <c r="F4639" s="2423"/>
    </row>
    <row r="4640" spans="6:6">
      <c r="F4640" s="2423"/>
    </row>
    <row r="4641" spans="6:6">
      <c r="F4641" s="2423"/>
    </row>
    <row r="4642" spans="6:6">
      <c r="F4642" s="2423"/>
    </row>
    <row r="4643" spans="6:6">
      <c r="F4643" s="2423"/>
    </row>
    <row r="4644" spans="6:6">
      <c r="F4644" s="2423"/>
    </row>
    <row r="4645" spans="6:6">
      <c r="F4645" s="2423"/>
    </row>
    <row r="4646" spans="6:6">
      <c r="F4646" s="2423"/>
    </row>
    <row r="4647" spans="6:6">
      <c r="F4647" s="2423"/>
    </row>
    <row r="4648" spans="6:6">
      <c r="F4648" s="2423"/>
    </row>
    <row r="4649" spans="6:6">
      <c r="F4649" s="2423"/>
    </row>
    <row r="4650" spans="6:6">
      <c r="F4650" s="2423"/>
    </row>
    <row r="4651" spans="6:6">
      <c r="F4651" s="2423"/>
    </row>
    <row r="4652" spans="6:6">
      <c r="F4652" s="2423"/>
    </row>
    <row r="4653" spans="6:6">
      <c r="F4653" s="2423"/>
    </row>
    <row r="4654" spans="6:6">
      <c r="F4654" s="2423"/>
    </row>
    <row r="4655" spans="6:6">
      <c r="F4655" s="2423"/>
    </row>
    <row r="4656" spans="6:6">
      <c r="F4656" s="2423"/>
    </row>
    <row r="4657" spans="6:6">
      <c r="F4657" s="2423"/>
    </row>
    <row r="4658" spans="6:6">
      <c r="F4658" s="2423"/>
    </row>
    <row r="4659" spans="6:6">
      <c r="F4659" s="2423"/>
    </row>
    <row r="4660" spans="6:6">
      <c r="F4660" s="2423"/>
    </row>
    <row r="4661" spans="6:6">
      <c r="F4661" s="2423"/>
    </row>
    <row r="4662" spans="6:6">
      <c r="F4662" s="2423"/>
    </row>
    <row r="4663" spans="6:6">
      <c r="F4663" s="2423"/>
    </row>
    <row r="4664" spans="6:6">
      <c r="F4664" s="2423"/>
    </row>
    <row r="4665" spans="6:6">
      <c r="F4665" s="2423"/>
    </row>
    <row r="4666" spans="6:6">
      <c r="F4666" s="2423"/>
    </row>
    <row r="4667" spans="6:6">
      <c r="F4667" s="2423"/>
    </row>
    <row r="4668" spans="6:6">
      <c r="F4668" s="2423"/>
    </row>
    <row r="4669" spans="6:6">
      <c r="F4669" s="2423"/>
    </row>
    <row r="4670" spans="6:6">
      <c r="F4670" s="2423"/>
    </row>
    <row r="4671" spans="6:6">
      <c r="F4671" s="2423"/>
    </row>
    <row r="4672" spans="6:6">
      <c r="F4672" s="2423"/>
    </row>
    <row r="4673" spans="6:6">
      <c r="F4673" s="2423"/>
    </row>
    <row r="4674" spans="6:6">
      <c r="F4674" s="2423"/>
    </row>
    <row r="4675" spans="6:6">
      <c r="F4675" s="2423"/>
    </row>
    <row r="4676" spans="6:6">
      <c r="F4676" s="2423"/>
    </row>
    <row r="4677" spans="6:6">
      <c r="F4677" s="2423"/>
    </row>
    <row r="4678" spans="6:6">
      <c r="F4678" s="2423"/>
    </row>
    <row r="4679" spans="6:6">
      <c r="F4679" s="2423"/>
    </row>
    <row r="4680" spans="6:6">
      <c r="F4680" s="2423"/>
    </row>
    <row r="4681" spans="6:6">
      <c r="F4681" s="2423"/>
    </row>
    <row r="4682" spans="6:6">
      <c r="F4682" s="2423"/>
    </row>
    <row r="4683" spans="6:6">
      <c r="F4683" s="2423"/>
    </row>
    <row r="4684" spans="6:6">
      <c r="F4684" s="2423"/>
    </row>
    <row r="4685" spans="6:6">
      <c r="F4685" s="2423"/>
    </row>
    <row r="4686" spans="6:6">
      <c r="F4686" s="2423"/>
    </row>
    <row r="4687" spans="6:6">
      <c r="F4687" s="2423"/>
    </row>
    <row r="4688" spans="6:6">
      <c r="F4688" s="2423"/>
    </row>
    <row r="4689" spans="6:6">
      <c r="F4689" s="2423"/>
    </row>
    <row r="4690" spans="6:6">
      <c r="F4690" s="2423"/>
    </row>
    <row r="4691" spans="6:6">
      <c r="F4691" s="2423"/>
    </row>
    <row r="4692" spans="6:6">
      <c r="F4692" s="2423"/>
    </row>
    <row r="4693" spans="6:6">
      <c r="F4693" s="2423"/>
    </row>
    <row r="4694" spans="6:6">
      <c r="F4694" s="2423"/>
    </row>
    <row r="4695" spans="6:6">
      <c r="F4695" s="2423"/>
    </row>
    <row r="4696" spans="6:6">
      <c r="F4696" s="2423"/>
    </row>
    <row r="4697" spans="6:6">
      <c r="F4697" s="2423"/>
    </row>
    <row r="4698" spans="6:6">
      <c r="F4698" s="2423"/>
    </row>
    <row r="4699" spans="6:6">
      <c r="F4699" s="2423"/>
    </row>
    <row r="4700" spans="6:6">
      <c r="F4700" s="2423"/>
    </row>
    <row r="4701" spans="6:6">
      <c r="F4701" s="2423"/>
    </row>
    <row r="4702" spans="6:6">
      <c r="F4702" s="2423"/>
    </row>
    <row r="4703" spans="6:6">
      <c r="F4703" s="2423"/>
    </row>
    <row r="4704" spans="6:6">
      <c r="F4704" s="2423"/>
    </row>
    <row r="4705" spans="6:6">
      <c r="F4705" s="2423"/>
    </row>
    <row r="4706" spans="6:6">
      <c r="F4706" s="2423"/>
    </row>
    <row r="4707" spans="6:6">
      <c r="F4707" s="2423"/>
    </row>
    <row r="4708" spans="6:6">
      <c r="F4708" s="2423"/>
    </row>
    <row r="4709" spans="6:6">
      <c r="F4709" s="2423"/>
    </row>
    <row r="4710" spans="6:6">
      <c r="F4710" s="2423"/>
    </row>
    <row r="4711" spans="6:6">
      <c r="F4711" s="2423"/>
    </row>
    <row r="4712" spans="6:6">
      <c r="F4712" s="2423"/>
    </row>
    <row r="4713" spans="6:6">
      <c r="F4713" s="2423"/>
    </row>
    <row r="4714" spans="6:6">
      <c r="F4714" s="2423"/>
    </row>
    <row r="4715" spans="6:6">
      <c r="F4715" s="2423"/>
    </row>
    <row r="4716" spans="6:6">
      <c r="F4716" s="2423"/>
    </row>
    <row r="4717" spans="6:6">
      <c r="F4717" s="2423"/>
    </row>
    <row r="4718" spans="6:6">
      <c r="F4718" s="2423"/>
    </row>
    <row r="4719" spans="6:6">
      <c r="F4719" s="2423"/>
    </row>
    <row r="4720" spans="6:6">
      <c r="F4720" s="2423"/>
    </row>
    <row r="4721" spans="6:6">
      <c r="F4721" s="2423"/>
    </row>
    <row r="4722" spans="6:6">
      <c r="F4722" s="2423"/>
    </row>
    <row r="4723" spans="6:6">
      <c r="F4723" s="2423"/>
    </row>
    <row r="4724" spans="6:6">
      <c r="F4724" s="2423"/>
    </row>
    <row r="4725" spans="6:6">
      <c r="F4725" s="2423"/>
    </row>
    <row r="4726" spans="6:6">
      <c r="F4726" s="2423"/>
    </row>
    <row r="4727" spans="6:6">
      <c r="F4727" s="2423"/>
    </row>
    <row r="4728" spans="6:6">
      <c r="F4728" s="2423"/>
    </row>
    <row r="4729" spans="6:6">
      <c r="F4729" s="2423"/>
    </row>
    <row r="4730" spans="6:6">
      <c r="F4730" s="2423"/>
    </row>
    <row r="4731" spans="6:6">
      <c r="F4731" s="2423"/>
    </row>
    <row r="4732" spans="6:6">
      <c r="F4732" s="2423"/>
    </row>
    <row r="4733" spans="6:6">
      <c r="F4733" s="2423"/>
    </row>
    <row r="4734" spans="6:6">
      <c r="F4734" s="2423"/>
    </row>
    <row r="4735" spans="6:6">
      <c r="F4735" s="2423"/>
    </row>
    <row r="4736" spans="6:6">
      <c r="F4736" s="2423"/>
    </row>
    <row r="4737" spans="6:6">
      <c r="F4737" s="2423"/>
    </row>
    <row r="4738" spans="6:6">
      <c r="F4738" s="2423"/>
    </row>
    <row r="4739" spans="6:6">
      <c r="F4739" s="2423"/>
    </row>
    <row r="4740" spans="6:6">
      <c r="F4740" s="2423"/>
    </row>
    <row r="4741" spans="6:6">
      <c r="F4741" s="2423"/>
    </row>
    <row r="4742" spans="6:6">
      <c r="F4742" s="2423"/>
    </row>
    <row r="4743" spans="6:6">
      <c r="F4743" s="2423"/>
    </row>
    <row r="4744" spans="6:6">
      <c r="F4744" s="2423"/>
    </row>
    <row r="4745" spans="6:6">
      <c r="F4745" s="2423"/>
    </row>
    <row r="4746" spans="6:6">
      <c r="F4746" s="2423"/>
    </row>
    <row r="4747" spans="6:6">
      <c r="F4747" s="2423"/>
    </row>
    <row r="4748" spans="6:6">
      <c r="F4748" s="2423"/>
    </row>
    <row r="4749" spans="6:6">
      <c r="F4749" s="2423"/>
    </row>
    <row r="4750" spans="6:6">
      <c r="F4750" s="2423"/>
    </row>
    <row r="4751" spans="6:6">
      <c r="F4751" s="2423"/>
    </row>
    <row r="4752" spans="6:6">
      <c r="F4752" s="2423"/>
    </row>
    <row r="4753" spans="6:6">
      <c r="F4753" s="2423"/>
    </row>
    <row r="4754" spans="6:6">
      <c r="F4754" s="2423"/>
    </row>
    <row r="4755" spans="6:6">
      <c r="F4755" s="2423"/>
    </row>
    <row r="4756" spans="6:6">
      <c r="F4756" s="2423"/>
    </row>
    <row r="4757" spans="6:6">
      <c r="F4757" s="2423"/>
    </row>
    <row r="4758" spans="6:6">
      <c r="F4758" s="2423"/>
    </row>
    <row r="4759" spans="6:6">
      <c r="F4759" s="2423"/>
    </row>
    <row r="4760" spans="6:6">
      <c r="F4760" s="2423"/>
    </row>
    <row r="4761" spans="6:6">
      <c r="F4761" s="2423"/>
    </row>
    <row r="4762" spans="6:6">
      <c r="F4762" s="2423"/>
    </row>
    <row r="4763" spans="6:6">
      <c r="F4763" s="2423"/>
    </row>
    <row r="4764" spans="6:6">
      <c r="F4764" s="2423"/>
    </row>
    <row r="4765" spans="6:6">
      <c r="F4765" s="2423"/>
    </row>
    <row r="4766" spans="6:6">
      <c r="F4766" s="2423"/>
    </row>
    <row r="4767" spans="6:6">
      <c r="F4767" s="2423"/>
    </row>
    <row r="4768" spans="6:6">
      <c r="F4768" s="2423"/>
    </row>
    <row r="4769" spans="6:6">
      <c r="F4769" s="2423"/>
    </row>
    <row r="4770" spans="6:6">
      <c r="F4770" s="2423"/>
    </row>
    <row r="4771" spans="6:6">
      <c r="F4771" s="2423"/>
    </row>
    <row r="4772" spans="6:6">
      <c r="F4772" s="2423"/>
    </row>
    <row r="4773" spans="6:6">
      <c r="F4773" s="2423"/>
    </row>
    <row r="4774" spans="6:6">
      <c r="F4774" s="2423"/>
    </row>
    <row r="4775" spans="6:6">
      <c r="F4775" s="2423"/>
    </row>
    <row r="4776" spans="6:6">
      <c r="F4776" s="2423"/>
    </row>
    <row r="4777" spans="6:6">
      <c r="F4777" s="2423"/>
    </row>
    <row r="4778" spans="6:6">
      <c r="F4778" s="2423"/>
    </row>
    <row r="4779" spans="6:6">
      <c r="F4779" s="2423"/>
    </row>
    <row r="4780" spans="6:6">
      <c r="F4780" s="2423"/>
    </row>
    <row r="4781" spans="6:6">
      <c r="F4781" s="2423"/>
    </row>
    <row r="4782" spans="6:6">
      <c r="F4782" s="2423"/>
    </row>
    <row r="4783" spans="6:6">
      <c r="F4783" s="2423"/>
    </row>
    <row r="4784" spans="6:6">
      <c r="F4784" s="2423"/>
    </row>
    <row r="4785" spans="6:6">
      <c r="F4785" s="2423"/>
    </row>
    <row r="4786" spans="6:6">
      <c r="F4786" s="2423"/>
    </row>
    <row r="4787" spans="6:6">
      <c r="F4787" s="2423"/>
    </row>
    <row r="4788" spans="6:6">
      <c r="F4788" s="2423"/>
    </row>
    <row r="4789" spans="6:6">
      <c r="F4789" s="2423"/>
    </row>
    <row r="4790" spans="6:6">
      <c r="F4790" s="2423"/>
    </row>
    <row r="4791" spans="6:6">
      <c r="F4791" s="2423"/>
    </row>
    <row r="4792" spans="6:6">
      <c r="F4792" s="2423"/>
    </row>
    <row r="4793" spans="6:6">
      <c r="F4793" s="2423"/>
    </row>
    <row r="4794" spans="6:6">
      <c r="F4794" s="2423"/>
    </row>
    <row r="4795" spans="6:6">
      <c r="F4795" s="2423"/>
    </row>
    <row r="4796" spans="6:6">
      <c r="F4796" s="2423"/>
    </row>
    <row r="4797" spans="6:6">
      <c r="F4797" s="2423"/>
    </row>
    <row r="4798" spans="6:6">
      <c r="F4798" s="2423"/>
    </row>
    <row r="4799" spans="6:6">
      <c r="F4799" s="2423"/>
    </row>
    <row r="4800" spans="6:6">
      <c r="F4800" s="2423"/>
    </row>
    <row r="4801" spans="6:6">
      <c r="F4801" s="2423"/>
    </row>
    <row r="4802" spans="6:6">
      <c r="F4802" s="2423"/>
    </row>
    <row r="4803" spans="6:6">
      <c r="F4803" s="2423"/>
    </row>
    <row r="4804" spans="6:6">
      <c r="F4804" s="2423"/>
    </row>
    <row r="4805" spans="6:6">
      <c r="F4805" s="2423"/>
    </row>
    <row r="4806" spans="6:6">
      <c r="F4806" s="2423"/>
    </row>
    <row r="4807" spans="6:6">
      <c r="F4807" s="2423"/>
    </row>
    <row r="4808" spans="6:6">
      <c r="F4808" s="2423"/>
    </row>
    <row r="4809" spans="6:6">
      <c r="F4809" s="2423"/>
    </row>
    <row r="4810" spans="6:6">
      <c r="F4810" s="2423"/>
    </row>
    <row r="4811" spans="6:6">
      <c r="F4811" s="2423"/>
    </row>
    <row r="4812" spans="6:6">
      <c r="F4812" s="2423"/>
    </row>
    <row r="4813" spans="6:6">
      <c r="F4813" s="2423"/>
    </row>
    <row r="4814" spans="6:6">
      <c r="F4814" s="2423"/>
    </row>
    <row r="4815" spans="6:6">
      <c r="F4815" s="2423"/>
    </row>
    <row r="4816" spans="6:6">
      <c r="F4816" s="2423"/>
    </row>
    <row r="4817" spans="6:6">
      <c r="F4817" s="2423"/>
    </row>
    <row r="4818" spans="6:6">
      <c r="F4818" s="2423"/>
    </row>
    <row r="4819" spans="6:6">
      <c r="F4819" s="2423"/>
    </row>
    <row r="4820" spans="6:6">
      <c r="F4820" s="2423"/>
    </row>
    <row r="4821" spans="6:6">
      <c r="F4821" s="2423"/>
    </row>
    <row r="4822" spans="6:6">
      <c r="F4822" s="2423"/>
    </row>
    <row r="4823" spans="6:6">
      <c r="F4823" s="2423"/>
    </row>
    <row r="4824" spans="6:6">
      <c r="F4824" s="2423"/>
    </row>
    <row r="4825" spans="6:6">
      <c r="F4825" s="2423"/>
    </row>
    <row r="4826" spans="6:6">
      <c r="F4826" s="2423"/>
    </row>
    <row r="4827" spans="6:6">
      <c r="F4827" s="2423"/>
    </row>
    <row r="4828" spans="6:6">
      <c r="F4828" s="2423"/>
    </row>
    <row r="4829" spans="6:6">
      <c r="F4829" s="2423"/>
    </row>
    <row r="4830" spans="6:6">
      <c r="F4830" s="2423"/>
    </row>
    <row r="4831" spans="6:6">
      <c r="F4831" s="2423"/>
    </row>
    <row r="4832" spans="6:6">
      <c r="F4832" s="2423"/>
    </row>
    <row r="4833" spans="6:6">
      <c r="F4833" s="2423"/>
    </row>
    <row r="4834" spans="6:6">
      <c r="F4834" s="2423"/>
    </row>
    <row r="4835" spans="6:6">
      <c r="F4835" s="2423"/>
    </row>
    <row r="4836" spans="6:6">
      <c r="F4836" s="2423"/>
    </row>
    <row r="4837" spans="6:6">
      <c r="F4837" s="2423"/>
    </row>
    <row r="4838" spans="6:6">
      <c r="F4838" s="2423"/>
    </row>
    <row r="4839" spans="6:6">
      <c r="F4839" s="2423"/>
    </row>
    <row r="4840" spans="6:6">
      <c r="F4840" s="2423"/>
    </row>
    <row r="4841" spans="6:6">
      <c r="F4841" s="2423"/>
    </row>
    <row r="4842" spans="6:6">
      <c r="F4842" s="2423"/>
    </row>
    <row r="4843" spans="6:6">
      <c r="F4843" s="2423"/>
    </row>
    <row r="4844" spans="6:6">
      <c r="F4844" s="2423"/>
    </row>
    <row r="4845" spans="6:6">
      <c r="F4845" s="2423"/>
    </row>
    <row r="4846" spans="6:6">
      <c r="F4846" s="2423"/>
    </row>
    <row r="4847" spans="6:6">
      <c r="F4847" s="2423"/>
    </row>
    <row r="4848" spans="6:6">
      <c r="F4848" s="2423"/>
    </row>
    <row r="4849" spans="6:6">
      <c r="F4849" s="2423"/>
    </row>
    <row r="4850" spans="6:6">
      <c r="F4850" s="2423"/>
    </row>
    <row r="4851" spans="6:6">
      <c r="F4851" s="2423"/>
    </row>
    <row r="4852" spans="6:6">
      <c r="F4852" s="2423"/>
    </row>
    <row r="4853" spans="6:6">
      <c r="F4853" s="2423"/>
    </row>
    <row r="4854" spans="6:6">
      <c r="F4854" s="2423"/>
    </row>
    <row r="4855" spans="6:6">
      <c r="F4855" s="2423"/>
    </row>
    <row r="4856" spans="6:6">
      <c r="F4856" s="2423"/>
    </row>
    <row r="4857" spans="6:6">
      <c r="F4857" s="2423"/>
    </row>
    <row r="4858" spans="6:6">
      <c r="F4858" s="2423"/>
    </row>
    <row r="4859" spans="6:6">
      <c r="F4859" s="2423"/>
    </row>
    <row r="4860" spans="6:6">
      <c r="F4860" s="2423"/>
    </row>
    <row r="4861" spans="6:6">
      <c r="F4861" s="2423"/>
    </row>
    <row r="4862" spans="6:6">
      <c r="F4862" s="2423"/>
    </row>
    <row r="4863" spans="6:6">
      <c r="F4863" s="2423"/>
    </row>
    <row r="4864" spans="6:6">
      <c r="F4864" s="2423"/>
    </row>
    <row r="4865" spans="6:6">
      <c r="F4865" s="2423"/>
    </row>
    <row r="4866" spans="6:6">
      <c r="F4866" s="2423"/>
    </row>
    <row r="4867" spans="6:6">
      <c r="F4867" s="2423"/>
    </row>
    <row r="4868" spans="6:6">
      <c r="F4868" s="2423"/>
    </row>
    <row r="4869" spans="6:6">
      <c r="F4869" s="2423"/>
    </row>
    <row r="4870" spans="6:6">
      <c r="F4870" s="2423"/>
    </row>
    <row r="4871" spans="6:6">
      <c r="F4871" s="2423"/>
    </row>
    <row r="4872" spans="6:6">
      <c r="F4872" s="2423"/>
    </row>
    <row r="4873" spans="6:6">
      <c r="F4873" s="2423"/>
    </row>
    <row r="4874" spans="6:6">
      <c r="F4874" s="2423"/>
    </row>
    <row r="4875" spans="6:6">
      <c r="F4875" s="2423"/>
    </row>
    <row r="4876" spans="6:6">
      <c r="F4876" s="2423"/>
    </row>
    <row r="4877" spans="6:6">
      <c r="F4877" s="2423"/>
    </row>
    <row r="4878" spans="6:6">
      <c r="F4878" s="2423"/>
    </row>
    <row r="4879" spans="6:6">
      <c r="F4879" s="2423"/>
    </row>
    <row r="4880" spans="6:6">
      <c r="F4880" s="2423"/>
    </row>
    <row r="4881" spans="6:6">
      <c r="F4881" s="2423"/>
    </row>
    <row r="4882" spans="6:6">
      <c r="F4882" s="2423"/>
    </row>
    <row r="4883" spans="6:6">
      <c r="F4883" s="2423"/>
    </row>
    <row r="4884" spans="6:6">
      <c r="F4884" s="2423"/>
    </row>
    <row r="4885" spans="6:6">
      <c r="F4885" s="2423"/>
    </row>
    <row r="4886" spans="6:6">
      <c r="F4886" s="2423"/>
    </row>
    <row r="4887" spans="6:6">
      <c r="F4887" s="2423"/>
    </row>
    <row r="4888" spans="6:6">
      <c r="F4888" s="2423"/>
    </row>
    <row r="4889" spans="6:6">
      <c r="F4889" s="2423"/>
    </row>
    <row r="4890" spans="6:6">
      <c r="F4890" s="2423"/>
    </row>
    <row r="4891" spans="6:6">
      <c r="F4891" s="2423"/>
    </row>
    <row r="4892" spans="6:6">
      <c r="F4892" s="2423"/>
    </row>
    <row r="4893" spans="6:6">
      <c r="F4893" s="2423"/>
    </row>
    <row r="4894" spans="6:6">
      <c r="F4894" s="2423"/>
    </row>
    <row r="4895" spans="6:6">
      <c r="F4895" s="2423"/>
    </row>
    <row r="4896" spans="6:6">
      <c r="F4896" s="2423"/>
    </row>
    <row r="4897" spans="6:6">
      <c r="F4897" s="2423"/>
    </row>
    <row r="4898" spans="6:6">
      <c r="F4898" s="2423"/>
    </row>
    <row r="4899" spans="6:6">
      <c r="F4899" s="2423"/>
    </row>
    <row r="4900" spans="6:6">
      <c r="F4900" s="2423"/>
    </row>
    <row r="4901" spans="6:6">
      <c r="F4901" s="2423"/>
    </row>
    <row r="4902" spans="6:6">
      <c r="F4902" s="2423"/>
    </row>
    <row r="4903" spans="6:6">
      <c r="F4903" s="2423"/>
    </row>
    <row r="4904" spans="6:6">
      <c r="F4904" s="2423"/>
    </row>
    <row r="4905" spans="6:6">
      <c r="F4905" s="2423"/>
    </row>
    <row r="4906" spans="6:6">
      <c r="F4906" s="2423"/>
    </row>
    <row r="4907" spans="6:6">
      <c r="F4907" s="2423"/>
    </row>
    <row r="4908" spans="6:6">
      <c r="F4908" s="2423"/>
    </row>
    <row r="4909" spans="6:6">
      <c r="F4909" s="2423"/>
    </row>
    <row r="4910" spans="6:6">
      <c r="F4910" s="2423"/>
    </row>
    <row r="4911" spans="6:6">
      <c r="F4911" s="2423"/>
    </row>
    <row r="4912" spans="6:6">
      <c r="F4912" s="2423"/>
    </row>
    <row r="4913" spans="6:6">
      <c r="F4913" s="2423"/>
    </row>
    <row r="4914" spans="6:6">
      <c r="F4914" s="2423"/>
    </row>
    <row r="4915" spans="6:6">
      <c r="F4915" s="2423"/>
    </row>
    <row r="4916" spans="6:6">
      <c r="F4916" s="2423"/>
    </row>
    <row r="4917" spans="6:6">
      <c r="F4917" s="2423"/>
    </row>
    <row r="4918" spans="6:6">
      <c r="F4918" s="2423"/>
    </row>
    <row r="4919" spans="6:6">
      <c r="F4919" s="2423"/>
    </row>
    <row r="4920" spans="6:6">
      <c r="F4920" s="2423"/>
    </row>
    <row r="4921" spans="6:6">
      <c r="F4921" s="2423"/>
    </row>
    <row r="4922" spans="6:6">
      <c r="F4922" s="2423"/>
    </row>
    <row r="4923" spans="6:6">
      <c r="F4923" s="2423"/>
    </row>
    <row r="4924" spans="6:6">
      <c r="F4924" s="2423"/>
    </row>
    <row r="4925" spans="6:6">
      <c r="F4925" s="2423"/>
    </row>
    <row r="4926" spans="6:6">
      <c r="F4926" s="2423"/>
    </row>
    <row r="4927" spans="6:6">
      <c r="F4927" s="2423"/>
    </row>
    <row r="4928" spans="6:6">
      <c r="F4928" s="2423"/>
    </row>
    <row r="4929" spans="6:6">
      <c r="F4929" s="2423"/>
    </row>
    <row r="4930" spans="6:6">
      <c r="F4930" s="2423"/>
    </row>
    <row r="4931" spans="6:6">
      <c r="F4931" s="2423"/>
    </row>
    <row r="4932" spans="6:6">
      <c r="F4932" s="2423"/>
    </row>
    <row r="4933" spans="6:6">
      <c r="F4933" s="2423"/>
    </row>
    <row r="4934" spans="6:6">
      <c r="F4934" s="2423"/>
    </row>
    <row r="4935" spans="6:6">
      <c r="F4935" s="2423"/>
    </row>
    <row r="4936" spans="6:6">
      <c r="F4936" s="2423"/>
    </row>
    <row r="4937" spans="6:6">
      <c r="F4937" s="2423"/>
    </row>
    <row r="4938" spans="6:6">
      <c r="F4938" s="2423"/>
    </row>
    <row r="4939" spans="6:6">
      <c r="F4939" s="2423"/>
    </row>
    <row r="4940" spans="6:6">
      <c r="F4940" s="2423"/>
    </row>
    <row r="4941" spans="6:6">
      <c r="F4941" s="2423"/>
    </row>
    <row r="4942" spans="6:6">
      <c r="F4942" s="2423"/>
    </row>
    <row r="4943" spans="6:6">
      <c r="F4943" s="2423"/>
    </row>
    <row r="4944" spans="6:6">
      <c r="F4944" s="2423"/>
    </row>
    <row r="4945" spans="6:6">
      <c r="F4945" s="2423"/>
    </row>
    <row r="4946" spans="6:6">
      <c r="F4946" s="2423"/>
    </row>
    <row r="4947" spans="6:6">
      <c r="F4947" s="2423"/>
    </row>
    <row r="4948" spans="6:6">
      <c r="F4948" s="2423"/>
    </row>
    <row r="4949" spans="6:6">
      <c r="F4949" s="2423"/>
    </row>
    <row r="4950" spans="6:6">
      <c r="F4950" s="2423"/>
    </row>
    <row r="4951" spans="6:6">
      <c r="F4951" s="2423"/>
    </row>
    <row r="4952" spans="6:6">
      <c r="F4952" s="2423"/>
    </row>
    <row r="4953" spans="6:6">
      <c r="F4953" s="2423"/>
    </row>
    <row r="4954" spans="6:6">
      <c r="F4954" s="2423"/>
    </row>
    <row r="4955" spans="6:6">
      <c r="F4955" s="2423"/>
    </row>
    <row r="4956" spans="6:6">
      <c r="F4956" s="2423"/>
    </row>
    <row r="4957" spans="6:6">
      <c r="F4957" s="2423"/>
    </row>
    <row r="4958" spans="6:6">
      <c r="F4958" s="2423"/>
    </row>
    <row r="4959" spans="6:6">
      <c r="F4959" s="2423"/>
    </row>
    <row r="4960" spans="6:6">
      <c r="F4960" s="2423"/>
    </row>
    <row r="4961" spans="6:6">
      <c r="F4961" s="2423"/>
    </row>
    <row r="4962" spans="6:6">
      <c r="F4962" s="2423"/>
    </row>
    <row r="4963" spans="6:6">
      <c r="F4963" s="2423"/>
    </row>
    <row r="4964" spans="6:6">
      <c r="F4964" s="2423"/>
    </row>
    <row r="4965" spans="6:6">
      <c r="F4965" s="2423"/>
    </row>
    <row r="4966" spans="6:6">
      <c r="F4966" s="2423"/>
    </row>
    <row r="4967" spans="6:6">
      <c r="F4967" s="2423"/>
    </row>
    <row r="4968" spans="6:6">
      <c r="F4968" s="2423"/>
    </row>
    <row r="4969" spans="6:6">
      <c r="F4969" s="2423"/>
    </row>
    <row r="4970" spans="6:6">
      <c r="F4970" s="2423"/>
    </row>
    <row r="4971" spans="6:6">
      <c r="F4971" s="2423"/>
    </row>
    <row r="4972" spans="6:6">
      <c r="F4972" s="2423"/>
    </row>
    <row r="4973" spans="6:6">
      <c r="F4973" s="2423"/>
    </row>
    <row r="4974" spans="6:6">
      <c r="F4974" s="2423"/>
    </row>
    <row r="4975" spans="6:6">
      <c r="F4975" s="2423"/>
    </row>
    <row r="4976" spans="6:6">
      <c r="F4976" s="2423"/>
    </row>
    <row r="4977" spans="6:6">
      <c r="F4977" s="2423"/>
    </row>
    <row r="4978" spans="6:6">
      <c r="F4978" s="2423"/>
    </row>
    <row r="4979" spans="6:6">
      <c r="F4979" s="2423"/>
    </row>
    <row r="4980" spans="6:6">
      <c r="F4980" s="2423"/>
    </row>
    <row r="4981" spans="6:6">
      <c r="F4981" s="2423"/>
    </row>
    <row r="4982" spans="6:6">
      <c r="F4982" s="2423"/>
    </row>
    <row r="4983" spans="6:6">
      <c r="F4983" s="2423"/>
    </row>
    <row r="4984" spans="6:6">
      <c r="F4984" s="2423"/>
    </row>
    <row r="4985" spans="6:6">
      <c r="F4985" s="2423"/>
    </row>
    <row r="4986" spans="6:6">
      <c r="F4986" s="2423"/>
    </row>
    <row r="4987" spans="6:6">
      <c r="F4987" s="2423"/>
    </row>
    <row r="4988" spans="6:6">
      <c r="F4988" s="2423"/>
    </row>
    <row r="4989" spans="6:6">
      <c r="F4989" s="2423"/>
    </row>
    <row r="4990" spans="6:6">
      <c r="F4990" s="2423"/>
    </row>
    <row r="4991" spans="6:6">
      <c r="F4991" s="2423"/>
    </row>
    <row r="4992" spans="6:6">
      <c r="F4992" s="2423"/>
    </row>
    <row r="4993" spans="6:6">
      <c r="F4993" s="2423"/>
    </row>
    <row r="4994" spans="6:6">
      <c r="F4994" s="2423"/>
    </row>
    <row r="4995" spans="6:6">
      <c r="F4995" s="2423"/>
    </row>
    <row r="4996" spans="6:6">
      <c r="F4996" s="2423"/>
    </row>
    <row r="4997" spans="6:6">
      <c r="F4997" s="2423"/>
    </row>
    <row r="4998" spans="6:6">
      <c r="F4998" s="2423"/>
    </row>
    <row r="4999" spans="6:6">
      <c r="F4999" s="2423"/>
    </row>
    <row r="5000" spans="6:6">
      <c r="F5000" s="2423"/>
    </row>
    <row r="5001" spans="6:6">
      <c r="F5001" s="2423"/>
    </row>
    <row r="5002" spans="6:6">
      <c r="F5002" s="2423"/>
    </row>
    <row r="5003" spans="6:6">
      <c r="F5003" s="2423"/>
    </row>
    <row r="5004" spans="6:6">
      <c r="F5004" s="2423"/>
    </row>
    <row r="5005" spans="6:6">
      <c r="F5005" s="2423"/>
    </row>
    <row r="5006" spans="6:6">
      <c r="F5006" s="2423"/>
    </row>
    <row r="5007" spans="6:6">
      <c r="F5007" s="2423"/>
    </row>
    <row r="5008" spans="6:6">
      <c r="F5008" s="2423"/>
    </row>
    <row r="5009" spans="6:6">
      <c r="F5009" s="2423"/>
    </row>
    <row r="5010" spans="6:6">
      <c r="F5010" s="2423"/>
    </row>
    <row r="5011" spans="6:6">
      <c r="F5011" s="2423"/>
    </row>
    <row r="5012" spans="6:6">
      <c r="F5012" s="2423"/>
    </row>
    <row r="5013" spans="6:6">
      <c r="F5013" s="2423"/>
    </row>
    <row r="5014" spans="6:6">
      <c r="F5014" s="2423"/>
    </row>
    <row r="5015" spans="6:6">
      <c r="F5015" s="2423"/>
    </row>
    <row r="5016" spans="6:6">
      <c r="F5016" s="2423"/>
    </row>
    <row r="5017" spans="6:6">
      <c r="F5017" s="2423"/>
    </row>
    <row r="5018" spans="6:6">
      <c r="F5018" s="2423"/>
    </row>
    <row r="5019" spans="6:6">
      <c r="F5019" s="2423"/>
    </row>
    <row r="5020" spans="6:6">
      <c r="F5020" s="2423"/>
    </row>
    <row r="5021" spans="6:6">
      <c r="F5021" s="2423"/>
    </row>
    <row r="5022" spans="6:6">
      <c r="F5022" s="2423"/>
    </row>
    <row r="5023" spans="6:6">
      <c r="F5023" s="2423"/>
    </row>
    <row r="5024" spans="6:6">
      <c r="F5024" s="2423"/>
    </row>
    <row r="5025" spans="6:6">
      <c r="F5025" s="2423"/>
    </row>
    <row r="5026" spans="6:6">
      <c r="F5026" s="2423"/>
    </row>
    <row r="5027" spans="6:6">
      <c r="F5027" s="2423"/>
    </row>
    <row r="5028" spans="6:6">
      <c r="F5028" s="2423"/>
    </row>
    <row r="5029" spans="6:6">
      <c r="F5029" s="2423"/>
    </row>
    <row r="5030" spans="6:6">
      <c r="F5030" s="2423"/>
    </row>
    <row r="5031" spans="6:6">
      <c r="F5031" s="2423"/>
    </row>
    <row r="5032" spans="6:6">
      <c r="F5032" s="2423"/>
    </row>
    <row r="5033" spans="6:6">
      <c r="F5033" s="2423"/>
    </row>
    <row r="5034" spans="6:6">
      <c r="F5034" s="2423"/>
    </row>
    <row r="5035" spans="6:6">
      <c r="F5035" s="2423"/>
    </row>
    <row r="5036" spans="6:6">
      <c r="F5036" s="2423"/>
    </row>
    <row r="5037" spans="6:6">
      <c r="F5037" s="2423"/>
    </row>
    <row r="5038" spans="6:6">
      <c r="F5038" s="2423"/>
    </row>
    <row r="5039" spans="6:6">
      <c r="F5039" s="2423"/>
    </row>
    <row r="5040" spans="6:6">
      <c r="F5040" s="2423"/>
    </row>
    <row r="5041" spans="6:6">
      <c r="F5041" s="2423"/>
    </row>
    <row r="5042" spans="6:6">
      <c r="F5042" s="2423"/>
    </row>
    <row r="5043" spans="6:6">
      <c r="F5043" s="2423"/>
    </row>
    <row r="5044" spans="6:6">
      <c r="F5044" s="2423"/>
    </row>
    <row r="5045" spans="6:6">
      <c r="F5045" s="2423"/>
    </row>
    <row r="5046" spans="6:6">
      <c r="F5046" s="2423"/>
    </row>
    <row r="5047" spans="6:6">
      <c r="F5047" s="2423"/>
    </row>
    <row r="5048" spans="6:6">
      <c r="F5048" s="2423"/>
    </row>
    <row r="5049" spans="6:6">
      <c r="F5049" s="2423"/>
    </row>
    <row r="5050" spans="6:6">
      <c r="F5050" s="2423"/>
    </row>
    <row r="5051" spans="6:6">
      <c r="F5051" s="2423"/>
    </row>
    <row r="5052" spans="6:6">
      <c r="F5052" s="2423"/>
    </row>
    <row r="5053" spans="6:6">
      <c r="F5053" s="2423"/>
    </row>
    <row r="5054" spans="6:6">
      <c r="F5054" s="2423"/>
    </row>
    <row r="5055" spans="6:6">
      <c r="F5055" s="2423"/>
    </row>
    <row r="5056" spans="6:6">
      <c r="F5056" s="2423"/>
    </row>
    <row r="5057" spans="6:6">
      <c r="F5057" s="2423"/>
    </row>
    <row r="5058" spans="6:6">
      <c r="F5058" s="2423"/>
    </row>
    <row r="5059" spans="6:6">
      <c r="F5059" s="2423"/>
    </row>
    <row r="5060" spans="6:6">
      <c r="F5060" s="2423"/>
    </row>
    <row r="5061" spans="6:6">
      <c r="F5061" s="2423"/>
    </row>
    <row r="5062" spans="6:6">
      <c r="F5062" s="2423"/>
    </row>
    <row r="5063" spans="6:6">
      <c r="F5063" s="2423"/>
    </row>
    <row r="5064" spans="6:6">
      <c r="F5064" s="2423"/>
    </row>
    <row r="5065" spans="6:6">
      <c r="F5065" s="2423"/>
    </row>
    <row r="5066" spans="6:6">
      <c r="F5066" s="2423"/>
    </row>
    <row r="5067" spans="6:6">
      <c r="F5067" s="2423"/>
    </row>
    <row r="5068" spans="6:6">
      <c r="F5068" s="2423"/>
    </row>
    <row r="5069" spans="6:6">
      <c r="F5069" s="2423"/>
    </row>
    <row r="5070" spans="6:6">
      <c r="F5070" s="2423"/>
    </row>
    <row r="5071" spans="6:6">
      <c r="F5071" s="2423"/>
    </row>
    <row r="5072" spans="6:6">
      <c r="F5072" s="2423"/>
    </row>
    <row r="5073" spans="6:6">
      <c r="F5073" s="2423"/>
    </row>
    <row r="5074" spans="6:6">
      <c r="F5074" s="2423"/>
    </row>
    <row r="5075" spans="6:6">
      <c r="F5075" s="2423"/>
    </row>
    <row r="5076" spans="6:6">
      <c r="F5076" s="2423"/>
    </row>
    <row r="5077" spans="6:6">
      <c r="F5077" s="2423"/>
    </row>
    <row r="5078" spans="6:6">
      <c r="F5078" s="2423"/>
    </row>
    <row r="5079" spans="6:6">
      <c r="F5079" s="2423"/>
    </row>
    <row r="5080" spans="6:6">
      <c r="F5080" s="2423"/>
    </row>
    <row r="5081" spans="6:6">
      <c r="F5081" s="2423"/>
    </row>
    <row r="5082" spans="6:6">
      <c r="F5082" s="2423"/>
    </row>
    <row r="5083" spans="6:6">
      <c r="F5083" s="2423"/>
    </row>
    <row r="5084" spans="6:6">
      <c r="F5084" s="2423"/>
    </row>
    <row r="5085" spans="6:6">
      <c r="F5085" s="2423"/>
    </row>
    <row r="5086" spans="6:6">
      <c r="F5086" s="2423"/>
    </row>
    <row r="5087" spans="6:6">
      <c r="F5087" s="2423"/>
    </row>
    <row r="5088" spans="6:6">
      <c r="F5088" s="2423"/>
    </row>
    <row r="5089" spans="6:6">
      <c r="F5089" s="2423"/>
    </row>
    <row r="5090" spans="6:6">
      <c r="F5090" s="2423"/>
    </row>
    <row r="5091" spans="6:6">
      <c r="F5091" s="2423"/>
    </row>
    <row r="5092" spans="6:6">
      <c r="F5092" s="2423"/>
    </row>
    <row r="5093" spans="6:6">
      <c r="F5093" s="2423"/>
    </row>
    <row r="5094" spans="6:6">
      <c r="F5094" s="2423"/>
    </row>
    <row r="5095" spans="6:6">
      <c r="F5095" s="2423"/>
    </row>
    <row r="5096" spans="6:6">
      <c r="F5096" s="2423"/>
    </row>
    <row r="5097" spans="6:6">
      <c r="F5097" s="2423"/>
    </row>
    <row r="5098" spans="6:6">
      <c r="F5098" s="2423"/>
    </row>
    <row r="5099" spans="6:6">
      <c r="F5099" s="2423"/>
    </row>
    <row r="5100" spans="6:6">
      <c r="F5100" s="2423"/>
    </row>
    <row r="5101" spans="6:6">
      <c r="F5101" s="2423"/>
    </row>
    <row r="5102" spans="6:6">
      <c r="F5102" s="2423"/>
    </row>
    <row r="5103" spans="6:6">
      <c r="F5103" s="2423"/>
    </row>
    <row r="5104" spans="6:6">
      <c r="F5104" s="2423"/>
    </row>
    <row r="5105" spans="6:6">
      <c r="F5105" s="2423"/>
    </row>
    <row r="5106" spans="6:6">
      <c r="F5106" s="2423"/>
    </row>
    <row r="5107" spans="6:6">
      <c r="F5107" s="2423"/>
    </row>
    <row r="5108" spans="6:6">
      <c r="F5108" s="2423"/>
    </row>
    <row r="5109" spans="6:6">
      <c r="F5109" s="2423"/>
    </row>
    <row r="5110" spans="6:6">
      <c r="F5110" s="2423"/>
    </row>
    <row r="5111" spans="6:6">
      <c r="F5111" s="2423"/>
    </row>
    <row r="5112" spans="6:6">
      <c r="F5112" s="2423"/>
    </row>
    <row r="5113" spans="6:6">
      <c r="F5113" s="2423"/>
    </row>
    <row r="5114" spans="6:6">
      <c r="F5114" s="2423"/>
    </row>
    <row r="5115" spans="6:6">
      <c r="F5115" s="2423"/>
    </row>
    <row r="5116" spans="6:6">
      <c r="F5116" s="2423"/>
    </row>
    <row r="5117" spans="6:6">
      <c r="F5117" s="2423"/>
    </row>
    <row r="5118" spans="6:6">
      <c r="F5118" s="2423"/>
    </row>
    <row r="5119" spans="6:6">
      <c r="F5119" s="2423"/>
    </row>
    <row r="5120" spans="6:6">
      <c r="F5120" s="2423"/>
    </row>
    <row r="5121" spans="6:6">
      <c r="F5121" s="2423"/>
    </row>
    <row r="5122" spans="6:6">
      <c r="F5122" s="2423"/>
    </row>
    <row r="5123" spans="6:6">
      <c r="F5123" s="2423"/>
    </row>
    <row r="5124" spans="6:6">
      <c r="F5124" s="2423"/>
    </row>
    <row r="5125" spans="6:6">
      <c r="F5125" s="2423"/>
    </row>
    <row r="5126" spans="6:6">
      <c r="F5126" s="2423"/>
    </row>
    <row r="5127" spans="6:6">
      <c r="F5127" s="2423"/>
    </row>
    <row r="5128" spans="6:6">
      <c r="F5128" s="2423"/>
    </row>
    <row r="5129" spans="6:6">
      <c r="F5129" s="2423"/>
    </row>
    <row r="5130" spans="6:6">
      <c r="F5130" s="2423"/>
    </row>
    <row r="5131" spans="6:6">
      <c r="F5131" s="2423"/>
    </row>
    <row r="5132" spans="6:6">
      <c r="F5132" s="2423"/>
    </row>
    <row r="5133" spans="6:6">
      <c r="F5133" s="2423"/>
    </row>
    <row r="5134" spans="6:6">
      <c r="F5134" s="2423"/>
    </row>
    <row r="5135" spans="6:6">
      <c r="F5135" s="2423"/>
    </row>
    <row r="5136" spans="6:6">
      <c r="F5136" s="2423"/>
    </row>
    <row r="5137" spans="6:6">
      <c r="F5137" s="2423"/>
    </row>
    <row r="5138" spans="6:6">
      <c r="F5138" s="2423"/>
    </row>
    <row r="5139" spans="6:6">
      <c r="F5139" s="2423"/>
    </row>
    <row r="5140" spans="6:6">
      <c r="F5140" s="2423"/>
    </row>
    <row r="5141" spans="6:6">
      <c r="F5141" s="2423"/>
    </row>
    <row r="5142" spans="6:6">
      <c r="F5142" s="2423"/>
    </row>
    <row r="5143" spans="6:6">
      <c r="F5143" s="2423"/>
    </row>
    <row r="5144" spans="6:6">
      <c r="F5144" s="2423"/>
    </row>
    <row r="5145" spans="6:6">
      <c r="F5145" s="2423"/>
    </row>
    <row r="5146" spans="6:6">
      <c r="F5146" s="2423"/>
    </row>
    <row r="5147" spans="6:6">
      <c r="F5147" s="2423"/>
    </row>
    <row r="5148" spans="6:6">
      <c r="F5148" s="2423"/>
    </row>
    <row r="5149" spans="6:6">
      <c r="F5149" s="2423"/>
    </row>
    <row r="5150" spans="6:6">
      <c r="F5150" s="2423"/>
    </row>
    <row r="5151" spans="6:6">
      <c r="F5151" s="2423"/>
    </row>
    <row r="5152" spans="6:6">
      <c r="F5152" s="2423"/>
    </row>
    <row r="5153" spans="6:6">
      <c r="F5153" s="2423"/>
    </row>
    <row r="5154" spans="6:6">
      <c r="F5154" s="2423"/>
    </row>
    <row r="5155" spans="6:6">
      <c r="F5155" s="2423"/>
    </row>
    <row r="5156" spans="6:6">
      <c r="F5156" s="2423"/>
    </row>
    <row r="5157" spans="6:6">
      <c r="F5157" s="2423"/>
    </row>
    <row r="5158" spans="6:6">
      <c r="F5158" s="2423"/>
    </row>
    <row r="5159" spans="6:6">
      <c r="F5159" s="2423"/>
    </row>
    <row r="5160" spans="6:6">
      <c r="F5160" s="2423"/>
    </row>
    <row r="5161" spans="6:6">
      <c r="F5161" s="2423"/>
    </row>
    <row r="5162" spans="6:6">
      <c r="F5162" s="2423"/>
    </row>
    <row r="5163" spans="6:6">
      <c r="F5163" s="2423"/>
    </row>
    <row r="5164" spans="6:6">
      <c r="F5164" s="2423"/>
    </row>
    <row r="5165" spans="6:6">
      <c r="F5165" s="2423"/>
    </row>
    <row r="5166" spans="6:6">
      <c r="F5166" s="2423"/>
    </row>
    <row r="5167" spans="6:6">
      <c r="F5167" s="2423"/>
    </row>
    <row r="5168" spans="6:6">
      <c r="F5168" s="2423"/>
    </row>
    <row r="5169" spans="6:6">
      <c r="F5169" s="2423"/>
    </row>
    <row r="5170" spans="6:6">
      <c r="F5170" s="2423"/>
    </row>
    <row r="5171" spans="6:6">
      <c r="F5171" s="2423"/>
    </row>
    <row r="5172" spans="6:6">
      <c r="F5172" s="2423"/>
    </row>
    <row r="5173" spans="6:6">
      <c r="F5173" s="2423"/>
    </row>
    <row r="5174" spans="6:6">
      <c r="F5174" s="2423"/>
    </row>
    <row r="5175" spans="6:6">
      <c r="F5175" s="2423"/>
    </row>
    <row r="5176" spans="6:6">
      <c r="F5176" s="2423"/>
    </row>
    <row r="5177" spans="6:6">
      <c r="F5177" s="2423"/>
    </row>
    <row r="5178" spans="6:6">
      <c r="F5178" s="2423"/>
    </row>
    <row r="5179" spans="6:6">
      <c r="F5179" s="2423"/>
    </row>
    <row r="5180" spans="6:6">
      <c r="F5180" s="2423"/>
    </row>
    <row r="5181" spans="6:6">
      <c r="F5181" s="2423"/>
    </row>
    <row r="5182" spans="6:6">
      <c r="F5182" s="2423"/>
    </row>
    <row r="5183" spans="6:6">
      <c r="F5183" s="2423"/>
    </row>
    <row r="5184" spans="6:6">
      <c r="F5184" s="2423"/>
    </row>
    <row r="5185" spans="6:6">
      <c r="F5185" s="2423"/>
    </row>
    <row r="5186" spans="6:6">
      <c r="F5186" s="2423"/>
    </row>
    <row r="5187" spans="6:6">
      <c r="F5187" s="2423"/>
    </row>
    <row r="5188" spans="6:6">
      <c r="F5188" s="2423"/>
    </row>
    <row r="5189" spans="6:6">
      <c r="F5189" s="2423"/>
    </row>
    <row r="5190" spans="6:6">
      <c r="F5190" s="2423"/>
    </row>
    <row r="5191" spans="6:6">
      <c r="F5191" s="2423"/>
    </row>
    <row r="5192" spans="6:6">
      <c r="F5192" s="2423"/>
    </row>
    <row r="5193" spans="6:6">
      <c r="F5193" s="2423"/>
    </row>
    <row r="5194" spans="6:6">
      <c r="F5194" s="2423"/>
    </row>
    <row r="5195" spans="6:6">
      <c r="F5195" s="2423"/>
    </row>
    <row r="5196" spans="6:6">
      <c r="F5196" s="2423"/>
    </row>
    <row r="5197" spans="6:6">
      <c r="F5197" s="2423"/>
    </row>
    <row r="5198" spans="6:6">
      <c r="F5198" s="2423"/>
    </row>
    <row r="5199" spans="6:6">
      <c r="F5199" s="2423"/>
    </row>
    <row r="5200" spans="6:6">
      <c r="F5200" s="2423"/>
    </row>
    <row r="5201" spans="6:6">
      <c r="F5201" s="2423"/>
    </row>
    <row r="5202" spans="6:6">
      <c r="F5202" s="2423"/>
    </row>
    <row r="5203" spans="6:6">
      <c r="F5203" s="2423"/>
    </row>
    <row r="5204" spans="6:6">
      <c r="F5204" s="2423"/>
    </row>
    <row r="5205" spans="6:6">
      <c r="F5205" s="2423"/>
    </row>
    <row r="5206" spans="6:6">
      <c r="F5206" s="2423"/>
    </row>
    <row r="5207" spans="6:6">
      <c r="F5207" s="2423"/>
    </row>
    <row r="5208" spans="6:6">
      <c r="F5208" s="2423"/>
    </row>
    <row r="5209" spans="6:6">
      <c r="F5209" s="2423"/>
    </row>
    <row r="5210" spans="6:6">
      <c r="F5210" s="2423"/>
    </row>
    <row r="5211" spans="6:6">
      <c r="F5211" s="2423"/>
    </row>
    <row r="5212" spans="6:6">
      <c r="F5212" s="2423"/>
    </row>
    <row r="5213" spans="6:6">
      <c r="F5213" s="2423"/>
    </row>
    <row r="5214" spans="6:6">
      <c r="F5214" s="2423"/>
    </row>
    <row r="5215" spans="6:6">
      <c r="F5215" s="2423"/>
    </row>
    <row r="5216" spans="6:6">
      <c r="F5216" s="2423"/>
    </row>
    <row r="5217" spans="6:6">
      <c r="F5217" s="2423"/>
    </row>
    <row r="5218" spans="6:6">
      <c r="F5218" s="2423"/>
    </row>
    <row r="5219" spans="6:6">
      <c r="F5219" s="2423"/>
    </row>
    <row r="5220" spans="6:6">
      <c r="F5220" s="2423"/>
    </row>
    <row r="5221" spans="6:6">
      <c r="F5221" s="2423"/>
    </row>
    <row r="5222" spans="6:6">
      <c r="F5222" s="2423"/>
    </row>
    <row r="5223" spans="6:6">
      <c r="F5223" s="2423"/>
    </row>
    <row r="5224" spans="6:6">
      <c r="F5224" s="2423"/>
    </row>
    <row r="5225" spans="6:6">
      <c r="F5225" s="2423"/>
    </row>
    <row r="5226" spans="6:6">
      <c r="F5226" s="2423"/>
    </row>
    <row r="5227" spans="6:6">
      <c r="F5227" s="2423"/>
    </row>
    <row r="5228" spans="6:6">
      <c r="F5228" s="2423"/>
    </row>
    <row r="5229" spans="6:6">
      <c r="F5229" s="2423"/>
    </row>
    <row r="5230" spans="6:6">
      <c r="F5230" s="2423"/>
    </row>
    <row r="5231" spans="6:6">
      <c r="F5231" s="2423"/>
    </row>
    <row r="5232" spans="6:6">
      <c r="F5232" s="2423"/>
    </row>
    <row r="5233" spans="6:6">
      <c r="F5233" s="2423"/>
    </row>
    <row r="5234" spans="6:6">
      <c r="F5234" s="2423"/>
    </row>
    <row r="5235" spans="6:6">
      <c r="F5235" s="2423"/>
    </row>
    <row r="5236" spans="6:6">
      <c r="F5236" s="2423"/>
    </row>
    <row r="5237" spans="6:6">
      <c r="F5237" s="2423"/>
    </row>
    <row r="5238" spans="6:6">
      <c r="F5238" s="2423"/>
    </row>
    <row r="5239" spans="6:6">
      <c r="F5239" s="2423"/>
    </row>
    <row r="5240" spans="6:6">
      <c r="F5240" s="2423"/>
    </row>
    <row r="5241" spans="6:6">
      <c r="F5241" s="2423"/>
    </row>
    <row r="5242" spans="6:6">
      <c r="F5242" s="2423"/>
    </row>
    <row r="5243" spans="6:6">
      <c r="F5243" s="2423"/>
    </row>
    <row r="5244" spans="6:6">
      <c r="F5244" s="2423"/>
    </row>
    <row r="5245" spans="6:6">
      <c r="F5245" s="2423"/>
    </row>
    <row r="5246" spans="6:6">
      <c r="F5246" s="2423"/>
    </row>
    <row r="5247" spans="6:6">
      <c r="F5247" s="2423"/>
    </row>
    <row r="5248" spans="6:6">
      <c r="F5248" s="2423"/>
    </row>
    <row r="5249" spans="6:6">
      <c r="F5249" s="2423"/>
    </row>
    <row r="5250" spans="6:6">
      <c r="F5250" s="2423"/>
    </row>
    <row r="5251" spans="6:6">
      <c r="F5251" s="2423"/>
    </row>
    <row r="5252" spans="6:6">
      <c r="F5252" s="2423"/>
    </row>
    <row r="5253" spans="6:6">
      <c r="F5253" s="2423"/>
    </row>
    <row r="5254" spans="6:6">
      <c r="F5254" s="2423"/>
    </row>
    <row r="5255" spans="6:6">
      <c r="F5255" s="2423"/>
    </row>
    <row r="5256" spans="6:6">
      <c r="F5256" s="2423"/>
    </row>
    <row r="5257" spans="6:6">
      <c r="F5257" s="2423"/>
    </row>
    <row r="5258" spans="6:6">
      <c r="F5258" s="2423"/>
    </row>
    <row r="5259" spans="6:6">
      <c r="F5259" s="2423"/>
    </row>
    <row r="5260" spans="6:6">
      <c r="F5260" s="2423"/>
    </row>
    <row r="5261" spans="6:6">
      <c r="F5261" s="2423"/>
    </row>
    <row r="5262" spans="6:6">
      <c r="F5262" s="2423"/>
    </row>
    <row r="5263" spans="6:6">
      <c r="F5263" s="2423"/>
    </row>
    <row r="5264" spans="6:6">
      <c r="F5264" s="2423"/>
    </row>
    <row r="5265" spans="6:6">
      <c r="F5265" s="2423"/>
    </row>
    <row r="5266" spans="6:6">
      <c r="F5266" s="2423"/>
    </row>
    <row r="5267" spans="6:6">
      <c r="F5267" s="2423"/>
    </row>
    <row r="5268" spans="6:6">
      <c r="F5268" s="2423"/>
    </row>
    <row r="5269" spans="6:6">
      <c r="F5269" s="2423"/>
    </row>
    <row r="5270" spans="6:6">
      <c r="F5270" s="2423"/>
    </row>
    <row r="5271" spans="6:6">
      <c r="F5271" s="2423"/>
    </row>
    <row r="5272" spans="6:6">
      <c r="F5272" s="2423"/>
    </row>
    <row r="5273" spans="6:6">
      <c r="F5273" s="2423"/>
    </row>
    <row r="5274" spans="6:6">
      <c r="F5274" s="2423"/>
    </row>
    <row r="5275" spans="6:6">
      <c r="F5275" s="2423"/>
    </row>
    <row r="5276" spans="6:6">
      <c r="F5276" s="2423"/>
    </row>
    <row r="5277" spans="6:6">
      <c r="F5277" s="2423"/>
    </row>
    <row r="5278" spans="6:6">
      <c r="F5278" s="2423"/>
    </row>
    <row r="5279" spans="6:6">
      <c r="F5279" s="2423"/>
    </row>
    <row r="5280" spans="6:6">
      <c r="F5280" s="2423"/>
    </row>
    <row r="5281" spans="6:6">
      <c r="F5281" s="2423"/>
    </row>
    <row r="5282" spans="6:6">
      <c r="F5282" s="2423"/>
    </row>
    <row r="5283" spans="6:6">
      <c r="F5283" s="2423"/>
    </row>
    <row r="5284" spans="6:6">
      <c r="F5284" s="2423"/>
    </row>
    <row r="5285" spans="6:6">
      <c r="F5285" s="2423"/>
    </row>
    <row r="5286" spans="6:6">
      <c r="F5286" s="2423"/>
    </row>
    <row r="5287" spans="6:6">
      <c r="F5287" s="2423"/>
    </row>
    <row r="5288" spans="6:6">
      <c r="F5288" s="2423"/>
    </row>
    <row r="5289" spans="6:6">
      <c r="F5289" s="2423"/>
    </row>
    <row r="5290" spans="6:6">
      <c r="F5290" s="2423"/>
    </row>
    <row r="5291" spans="6:6">
      <c r="F5291" s="2423"/>
    </row>
    <row r="5292" spans="6:6">
      <c r="F5292" s="2423"/>
    </row>
    <row r="5293" spans="6:6">
      <c r="F5293" s="2423"/>
    </row>
    <row r="5294" spans="6:6">
      <c r="F5294" s="2423"/>
    </row>
    <row r="5295" spans="6:6">
      <c r="F5295" s="2423"/>
    </row>
    <row r="5296" spans="6:6">
      <c r="F5296" s="2423"/>
    </row>
    <row r="5297" spans="6:6">
      <c r="F5297" s="2423"/>
    </row>
    <row r="5298" spans="6:6">
      <c r="F5298" s="2423"/>
    </row>
    <row r="5299" spans="6:6">
      <c r="F5299" s="2423"/>
    </row>
    <row r="5300" spans="6:6">
      <c r="F5300" s="2423"/>
    </row>
    <row r="5301" spans="6:6">
      <c r="F5301" s="2423"/>
    </row>
    <row r="5302" spans="6:6">
      <c r="F5302" s="2423"/>
    </row>
    <row r="5303" spans="6:6">
      <c r="F5303" s="2423"/>
    </row>
    <row r="5304" spans="6:6">
      <c r="F5304" s="2423"/>
    </row>
    <row r="5305" spans="6:6">
      <c r="F5305" s="2423"/>
    </row>
    <row r="5306" spans="6:6">
      <c r="F5306" s="2423"/>
    </row>
    <row r="5307" spans="6:6">
      <c r="F5307" s="2423"/>
    </row>
    <row r="5308" spans="6:6">
      <c r="F5308" s="2423"/>
    </row>
    <row r="5309" spans="6:6">
      <c r="F5309" s="2423"/>
    </row>
    <row r="5310" spans="6:6">
      <c r="F5310" s="2423"/>
    </row>
    <row r="5311" spans="6:6">
      <c r="F5311" s="2423"/>
    </row>
    <row r="5312" spans="6:6">
      <c r="F5312" s="2423"/>
    </row>
    <row r="5313" spans="6:6">
      <c r="F5313" s="2423"/>
    </row>
    <row r="5314" spans="6:6">
      <c r="F5314" s="2423"/>
    </row>
    <row r="5315" spans="6:6">
      <c r="F5315" s="2423"/>
    </row>
    <row r="5316" spans="6:6">
      <c r="F5316" s="2423"/>
    </row>
    <row r="5317" spans="6:6">
      <c r="F5317" s="2423"/>
    </row>
    <row r="5318" spans="6:6">
      <c r="F5318" s="2423"/>
    </row>
    <row r="5319" spans="6:6">
      <c r="F5319" s="2423"/>
    </row>
    <row r="5320" spans="6:6">
      <c r="F5320" s="2423"/>
    </row>
    <row r="5321" spans="6:6">
      <c r="F5321" s="2423"/>
    </row>
    <row r="5322" spans="6:6">
      <c r="F5322" s="2423"/>
    </row>
    <row r="5323" spans="6:6">
      <c r="F5323" s="2423"/>
    </row>
    <row r="5324" spans="6:6">
      <c r="F5324" s="2423"/>
    </row>
    <row r="5325" spans="6:6">
      <c r="F5325" s="2423"/>
    </row>
    <row r="5326" spans="6:6">
      <c r="F5326" s="2423"/>
    </row>
    <row r="5327" spans="6:6">
      <c r="F5327" s="2423"/>
    </row>
    <row r="5328" spans="6:6">
      <c r="F5328" s="2423"/>
    </row>
    <row r="5329" spans="6:6">
      <c r="F5329" s="2423"/>
    </row>
    <row r="5330" spans="6:6">
      <c r="F5330" s="2423"/>
    </row>
    <row r="5331" spans="6:6">
      <c r="F5331" s="2423"/>
    </row>
    <row r="5332" spans="6:6">
      <c r="F5332" s="2423"/>
    </row>
    <row r="5333" spans="6:6">
      <c r="F5333" s="2423"/>
    </row>
    <row r="5334" spans="6:6">
      <c r="F5334" s="2423"/>
    </row>
    <row r="5335" spans="6:6">
      <c r="F5335" s="2423"/>
    </row>
    <row r="5336" spans="6:6">
      <c r="F5336" s="2423"/>
    </row>
    <row r="5337" spans="6:6">
      <c r="F5337" s="2423"/>
    </row>
    <row r="5338" spans="6:6">
      <c r="F5338" s="2423"/>
    </row>
    <row r="5339" spans="6:6">
      <c r="F5339" s="2423"/>
    </row>
    <row r="5340" spans="6:6">
      <c r="F5340" s="2423"/>
    </row>
    <row r="5341" spans="6:6">
      <c r="F5341" s="2423"/>
    </row>
    <row r="5342" spans="6:6">
      <c r="F5342" s="2423"/>
    </row>
    <row r="5343" spans="6:6">
      <c r="F5343" s="2423"/>
    </row>
    <row r="5344" spans="6:6">
      <c r="F5344" s="2423"/>
    </row>
    <row r="5345" spans="6:6">
      <c r="F5345" s="2423"/>
    </row>
    <row r="5346" spans="6:6">
      <c r="F5346" s="2423"/>
    </row>
    <row r="5347" spans="6:6">
      <c r="F5347" s="2423"/>
    </row>
    <row r="5348" spans="6:6">
      <c r="F5348" s="2423"/>
    </row>
    <row r="5349" spans="6:6">
      <c r="F5349" s="2423"/>
    </row>
    <row r="5350" spans="6:6">
      <c r="F5350" s="2423"/>
    </row>
    <row r="5351" spans="6:6">
      <c r="F5351" s="2423"/>
    </row>
    <row r="5352" spans="6:6">
      <c r="F5352" s="2423"/>
    </row>
    <row r="5353" spans="6:6">
      <c r="F5353" s="2423"/>
    </row>
    <row r="5354" spans="6:6">
      <c r="F5354" s="2423"/>
    </row>
    <row r="5355" spans="6:6">
      <c r="F5355" s="2423"/>
    </row>
    <row r="5356" spans="6:6">
      <c r="F5356" s="2423"/>
    </row>
    <row r="5357" spans="6:6">
      <c r="F5357" s="2423"/>
    </row>
    <row r="5358" spans="6:6">
      <c r="F5358" s="2423"/>
    </row>
    <row r="5359" spans="6:6">
      <c r="F5359" s="2423"/>
    </row>
    <row r="5360" spans="6:6">
      <c r="F5360" s="2423"/>
    </row>
    <row r="5361" spans="6:6">
      <c r="F5361" s="2423"/>
    </row>
    <row r="5362" spans="6:6">
      <c r="F5362" s="2423"/>
    </row>
    <row r="5363" spans="6:6">
      <c r="F5363" s="2423"/>
    </row>
    <row r="5364" spans="6:6">
      <c r="F5364" s="2423"/>
    </row>
    <row r="5365" spans="6:6">
      <c r="F5365" s="2423"/>
    </row>
    <row r="5366" spans="6:6">
      <c r="F5366" s="2423"/>
    </row>
    <row r="5367" spans="6:6">
      <c r="F5367" s="2423"/>
    </row>
    <row r="5368" spans="6:6">
      <c r="F5368" s="2423"/>
    </row>
    <row r="5369" spans="6:6">
      <c r="F5369" s="2423"/>
    </row>
    <row r="5370" spans="6:6">
      <c r="F5370" s="2423"/>
    </row>
    <row r="5371" spans="6:6">
      <c r="F5371" s="2423"/>
    </row>
    <row r="5372" spans="6:6">
      <c r="F5372" s="2423"/>
    </row>
    <row r="5373" spans="6:6">
      <c r="F5373" s="2423"/>
    </row>
    <row r="5374" spans="6:6">
      <c r="F5374" s="2423"/>
    </row>
    <row r="5375" spans="6:6">
      <c r="F5375" s="2423"/>
    </row>
    <row r="5376" spans="6:6">
      <c r="F5376" s="2423"/>
    </row>
    <row r="5377" spans="6:6">
      <c r="F5377" s="2423"/>
    </row>
    <row r="5378" spans="6:6">
      <c r="F5378" s="2423"/>
    </row>
    <row r="5379" spans="6:6">
      <c r="F5379" s="2423"/>
    </row>
    <row r="5380" spans="6:6">
      <c r="F5380" s="2423"/>
    </row>
    <row r="5381" spans="6:6">
      <c r="F5381" s="2423"/>
    </row>
    <row r="5382" spans="6:6">
      <c r="F5382" s="2423"/>
    </row>
    <row r="5383" spans="6:6">
      <c r="F5383" s="2423"/>
    </row>
    <row r="5384" spans="6:6">
      <c r="F5384" s="2423"/>
    </row>
    <row r="5385" spans="6:6">
      <c r="F5385" s="2423"/>
    </row>
    <row r="5386" spans="6:6">
      <c r="F5386" s="2423"/>
    </row>
    <row r="5387" spans="6:6">
      <c r="F5387" s="2423"/>
    </row>
    <row r="5388" spans="6:6">
      <c r="F5388" s="2423"/>
    </row>
    <row r="5389" spans="6:6">
      <c r="F5389" s="2423"/>
    </row>
    <row r="5390" spans="6:6">
      <c r="F5390" s="2423"/>
    </row>
    <row r="5391" spans="6:6">
      <c r="F5391" s="2423"/>
    </row>
    <row r="5392" spans="6:6">
      <c r="F5392" s="2423"/>
    </row>
    <row r="5393" spans="6:6">
      <c r="F5393" s="2423"/>
    </row>
    <row r="5394" spans="6:6">
      <c r="F5394" s="2423"/>
    </row>
    <row r="5395" spans="6:6">
      <c r="F5395" s="2423"/>
    </row>
    <row r="5396" spans="6:6">
      <c r="F5396" s="2423"/>
    </row>
    <row r="5397" spans="6:6">
      <c r="F5397" s="2423"/>
    </row>
    <row r="5398" spans="6:6">
      <c r="F5398" s="2423"/>
    </row>
    <row r="5399" spans="6:6">
      <c r="F5399" s="2423"/>
    </row>
    <row r="5400" spans="6:6">
      <c r="F5400" s="2423"/>
    </row>
    <row r="5401" spans="6:6">
      <c r="F5401" s="2423"/>
    </row>
    <row r="5402" spans="6:6">
      <c r="F5402" s="2423"/>
    </row>
    <row r="5403" spans="6:6">
      <c r="F5403" s="2423"/>
    </row>
    <row r="5404" spans="6:6">
      <c r="F5404" s="2423"/>
    </row>
    <row r="5405" spans="6:6">
      <c r="F5405" s="2423"/>
    </row>
    <row r="5406" spans="6:6">
      <c r="F5406" s="2423"/>
    </row>
    <row r="5407" spans="6:6">
      <c r="F5407" s="2423"/>
    </row>
    <row r="5408" spans="6:6">
      <c r="F5408" s="2423"/>
    </row>
    <row r="5409" spans="6:6">
      <c r="F5409" s="2423"/>
    </row>
    <row r="5410" spans="6:6">
      <c r="F5410" s="2423"/>
    </row>
    <row r="5411" spans="6:6">
      <c r="F5411" s="2423"/>
    </row>
    <row r="5412" spans="6:6">
      <c r="F5412" s="2423"/>
    </row>
    <row r="5413" spans="6:6">
      <c r="F5413" s="2423"/>
    </row>
    <row r="5414" spans="6:6">
      <c r="F5414" s="2423"/>
    </row>
    <row r="5415" spans="6:6">
      <c r="F5415" s="2423"/>
    </row>
    <row r="5416" spans="6:6">
      <c r="F5416" s="2423"/>
    </row>
    <row r="5417" spans="6:6">
      <c r="F5417" s="2423"/>
    </row>
    <row r="5418" spans="6:6">
      <c r="F5418" s="2423"/>
    </row>
    <row r="5419" spans="6:6">
      <c r="F5419" s="2423"/>
    </row>
    <row r="5420" spans="6:6">
      <c r="F5420" s="2423"/>
    </row>
    <row r="5421" spans="6:6">
      <c r="F5421" s="2423"/>
    </row>
    <row r="5422" spans="6:6">
      <c r="F5422" s="2423"/>
    </row>
    <row r="5423" spans="6:6">
      <c r="F5423" s="2423"/>
    </row>
    <row r="5424" spans="6:6">
      <c r="F5424" s="2423"/>
    </row>
    <row r="5425" spans="6:6">
      <c r="F5425" s="2423"/>
    </row>
    <row r="5426" spans="6:6">
      <c r="F5426" s="2423"/>
    </row>
    <row r="5427" spans="6:6">
      <c r="F5427" s="2423"/>
    </row>
    <row r="5428" spans="6:6">
      <c r="F5428" s="2423"/>
    </row>
    <row r="5429" spans="6:6">
      <c r="F5429" s="2423"/>
    </row>
    <row r="5430" spans="6:6">
      <c r="F5430" s="2423"/>
    </row>
    <row r="5431" spans="6:6">
      <c r="F5431" s="2423"/>
    </row>
    <row r="5432" spans="6:6">
      <c r="F5432" s="2423"/>
    </row>
    <row r="5433" spans="6:6">
      <c r="F5433" s="2423"/>
    </row>
    <row r="5434" spans="6:6">
      <c r="F5434" s="2423"/>
    </row>
    <row r="5435" spans="6:6">
      <c r="F5435" s="2423"/>
    </row>
    <row r="5436" spans="6:6">
      <c r="F5436" s="2423"/>
    </row>
    <row r="5437" spans="6:6">
      <c r="F5437" s="2423"/>
    </row>
    <row r="5438" spans="6:6">
      <c r="F5438" s="2423"/>
    </row>
    <row r="5439" spans="6:6">
      <c r="F5439" s="2423"/>
    </row>
    <row r="5440" spans="6:6">
      <c r="F5440" s="2423"/>
    </row>
    <row r="5441" spans="6:6">
      <c r="F5441" s="2423"/>
    </row>
    <row r="5442" spans="6:6">
      <c r="F5442" s="2423"/>
    </row>
    <row r="5443" spans="6:6">
      <c r="F5443" s="2423"/>
    </row>
    <row r="5444" spans="6:6">
      <c r="F5444" s="2423"/>
    </row>
    <row r="5445" spans="6:6">
      <c r="F5445" s="2423"/>
    </row>
    <row r="5446" spans="6:6">
      <c r="F5446" s="2423"/>
    </row>
    <row r="5447" spans="6:6">
      <c r="F5447" s="2423"/>
    </row>
    <row r="5448" spans="6:6">
      <c r="F5448" s="2423"/>
    </row>
    <row r="5449" spans="6:6">
      <c r="F5449" s="2423"/>
    </row>
    <row r="5450" spans="6:6">
      <c r="F5450" s="2423"/>
    </row>
    <row r="5451" spans="6:6">
      <c r="F5451" s="2423"/>
    </row>
    <row r="5452" spans="6:6">
      <c r="F5452" s="2423"/>
    </row>
    <row r="5453" spans="6:6">
      <c r="F5453" s="2423"/>
    </row>
    <row r="5454" spans="6:6">
      <c r="F5454" s="2423"/>
    </row>
    <row r="5455" spans="6:6">
      <c r="F5455" s="2423"/>
    </row>
    <row r="5456" spans="6:6">
      <c r="F5456" s="2423"/>
    </row>
    <row r="5457" spans="6:6">
      <c r="F5457" s="2423"/>
    </row>
    <row r="5458" spans="6:6">
      <c r="F5458" s="2423"/>
    </row>
    <row r="5459" spans="6:6">
      <c r="F5459" s="2423"/>
    </row>
    <row r="5460" spans="6:6">
      <c r="F5460" s="2423"/>
    </row>
    <row r="5461" spans="6:6">
      <c r="F5461" s="2423"/>
    </row>
    <row r="5462" spans="6:6">
      <c r="F5462" s="2423"/>
    </row>
    <row r="5463" spans="6:6">
      <c r="F5463" s="2423"/>
    </row>
    <row r="5464" spans="6:6">
      <c r="F5464" s="2423"/>
    </row>
    <row r="5465" spans="6:6">
      <c r="F5465" s="2423"/>
    </row>
    <row r="5466" spans="6:6">
      <c r="F5466" s="2423"/>
    </row>
    <row r="5467" spans="6:6">
      <c r="F5467" s="2423"/>
    </row>
    <row r="5468" spans="6:6">
      <c r="F5468" s="2423"/>
    </row>
    <row r="5469" spans="6:6">
      <c r="F5469" s="2423"/>
    </row>
    <row r="5470" spans="6:6">
      <c r="F5470" s="2423"/>
    </row>
    <row r="5471" spans="6:6">
      <c r="F5471" s="2423"/>
    </row>
    <row r="5472" spans="6:6">
      <c r="F5472" s="2423"/>
    </row>
    <row r="5473" spans="6:6">
      <c r="F5473" s="2423"/>
    </row>
    <row r="5474" spans="6:6">
      <c r="F5474" s="2423"/>
    </row>
    <row r="5475" spans="6:6">
      <c r="F5475" s="2423"/>
    </row>
    <row r="5476" spans="6:6">
      <c r="F5476" s="2423"/>
    </row>
    <row r="5477" spans="6:6">
      <c r="F5477" s="2423"/>
    </row>
    <row r="5478" spans="6:6">
      <c r="F5478" s="2423"/>
    </row>
    <row r="5479" spans="6:6">
      <c r="F5479" s="2423"/>
    </row>
    <row r="5480" spans="6:6">
      <c r="F5480" s="2423"/>
    </row>
    <row r="5481" spans="6:6">
      <c r="F5481" s="2423"/>
    </row>
    <row r="5482" spans="6:6">
      <c r="F5482" s="2423"/>
    </row>
    <row r="5483" spans="6:6">
      <c r="F5483" s="2423"/>
    </row>
    <row r="5484" spans="6:6">
      <c r="F5484" s="2423"/>
    </row>
    <row r="5485" spans="6:6">
      <c r="F5485" s="2423"/>
    </row>
    <row r="5486" spans="6:6">
      <c r="F5486" s="2423"/>
    </row>
    <row r="5487" spans="6:6">
      <c r="F5487" s="2423"/>
    </row>
    <row r="5488" spans="6:6">
      <c r="F5488" s="2423"/>
    </row>
    <row r="5489" spans="6:6">
      <c r="F5489" s="2423"/>
    </row>
    <row r="5490" spans="6:6">
      <c r="F5490" s="2423"/>
    </row>
    <row r="5491" spans="6:6">
      <c r="F5491" s="2423"/>
    </row>
    <row r="5492" spans="6:6">
      <c r="F5492" s="2423"/>
    </row>
    <row r="5493" spans="6:6">
      <c r="F5493" s="2423"/>
    </row>
    <row r="5494" spans="6:6">
      <c r="F5494" s="2423"/>
    </row>
    <row r="5495" spans="6:6">
      <c r="F5495" s="2423"/>
    </row>
    <row r="5496" spans="6:6">
      <c r="F5496" s="2423"/>
    </row>
    <row r="5497" spans="6:6">
      <c r="F5497" s="2423"/>
    </row>
    <row r="5498" spans="6:6">
      <c r="F5498" s="2423"/>
    </row>
    <row r="5499" spans="6:6">
      <c r="F5499" s="2423"/>
    </row>
    <row r="5500" spans="6:6">
      <c r="F5500" s="2423"/>
    </row>
    <row r="5501" spans="6:6">
      <c r="F5501" s="2423"/>
    </row>
    <row r="5502" spans="6:6">
      <c r="F5502" s="2423"/>
    </row>
    <row r="5503" spans="6:6">
      <c r="F5503" s="2423"/>
    </row>
    <row r="5504" spans="6:6">
      <c r="F5504" s="2423"/>
    </row>
    <row r="5505" spans="6:6">
      <c r="F5505" s="2423"/>
    </row>
    <row r="5506" spans="6:6">
      <c r="F5506" s="2423"/>
    </row>
    <row r="5507" spans="6:6">
      <c r="F5507" s="2423"/>
    </row>
    <row r="5508" spans="6:6">
      <c r="F5508" s="2423"/>
    </row>
    <row r="5509" spans="6:6">
      <c r="F5509" s="2423"/>
    </row>
    <row r="5510" spans="6:6">
      <c r="F5510" s="2423"/>
    </row>
    <row r="5511" spans="6:6">
      <c r="F5511" s="2423"/>
    </row>
    <row r="5512" spans="6:6">
      <c r="F5512" s="2423"/>
    </row>
    <row r="5513" spans="6:6">
      <c r="F5513" s="2423"/>
    </row>
    <row r="5514" spans="6:6">
      <c r="F5514" s="2423"/>
    </row>
    <row r="5515" spans="6:6">
      <c r="F5515" s="2423"/>
    </row>
    <row r="5516" spans="6:6">
      <c r="F5516" s="2423"/>
    </row>
    <row r="5517" spans="6:6">
      <c r="F5517" s="2423"/>
    </row>
    <row r="5518" spans="6:6">
      <c r="F5518" s="2423"/>
    </row>
    <row r="5519" spans="6:6">
      <c r="F5519" s="2423"/>
    </row>
    <row r="5520" spans="6:6">
      <c r="F5520" s="2423"/>
    </row>
    <row r="5521" spans="6:6">
      <c r="F5521" s="2423"/>
    </row>
    <row r="5522" spans="6:6">
      <c r="F5522" s="2423"/>
    </row>
    <row r="5523" spans="6:6">
      <c r="F5523" s="2423"/>
    </row>
    <row r="5524" spans="6:6">
      <c r="F5524" s="2423"/>
    </row>
    <row r="5525" spans="6:6">
      <c r="F5525" s="2423"/>
    </row>
    <row r="5526" spans="6:6">
      <c r="F5526" s="2423"/>
    </row>
    <row r="5527" spans="6:6">
      <c r="F5527" s="2423"/>
    </row>
    <row r="5528" spans="6:6">
      <c r="F5528" s="2423"/>
    </row>
    <row r="5529" spans="6:6">
      <c r="F5529" s="2423"/>
    </row>
    <row r="5530" spans="6:6">
      <c r="F5530" s="2423"/>
    </row>
    <row r="5531" spans="6:6">
      <c r="F5531" s="2423"/>
    </row>
    <row r="5532" spans="6:6">
      <c r="F5532" s="2423"/>
    </row>
    <row r="5533" spans="6:6">
      <c r="F5533" s="2423"/>
    </row>
    <row r="5534" spans="6:6">
      <c r="F5534" s="2423"/>
    </row>
    <row r="5535" spans="6:6">
      <c r="F5535" s="2423"/>
    </row>
    <row r="5536" spans="6:6">
      <c r="F5536" s="2423"/>
    </row>
    <row r="5537" spans="6:6">
      <c r="F5537" s="2423"/>
    </row>
    <row r="5538" spans="6:6">
      <c r="F5538" s="2423"/>
    </row>
    <row r="5539" spans="6:6">
      <c r="F5539" s="2423"/>
    </row>
    <row r="5540" spans="6:6">
      <c r="F5540" s="2423"/>
    </row>
    <row r="5541" spans="6:6">
      <c r="F5541" s="2423"/>
    </row>
    <row r="5542" spans="6:6">
      <c r="F5542" s="2423"/>
    </row>
    <row r="5543" spans="6:6">
      <c r="F5543" s="2423"/>
    </row>
    <row r="5544" spans="6:6">
      <c r="F5544" s="2423"/>
    </row>
    <row r="5545" spans="6:6">
      <c r="F5545" s="2423"/>
    </row>
    <row r="5546" spans="6:6">
      <c r="F5546" s="2423"/>
    </row>
    <row r="5547" spans="6:6">
      <c r="F5547" s="2423"/>
    </row>
    <row r="5548" spans="6:6">
      <c r="F5548" s="2423"/>
    </row>
    <row r="5549" spans="6:6">
      <c r="F5549" s="2423"/>
    </row>
    <row r="5550" spans="6:6">
      <c r="F5550" s="2423"/>
    </row>
    <row r="5551" spans="6:6">
      <c r="F5551" s="2423"/>
    </row>
    <row r="5552" spans="6:6">
      <c r="F5552" s="2423"/>
    </row>
    <row r="5553" spans="6:6">
      <c r="F5553" s="2423"/>
    </row>
    <row r="5554" spans="6:6">
      <c r="F5554" s="2423"/>
    </row>
    <row r="5555" spans="6:6">
      <c r="F5555" s="2423"/>
    </row>
    <row r="5556" spans="6:6">
      <c r="F5556" s="2423"/>
    </row>
    <row r="5557" spans="6:6">
      <c r="F5557" s="2423"/>
    </row>
    <row r="5558" spans="6:6">
      <c r="F5558" s="2423"/>
    </row>
    <row r="5559" spans="6:6">
      <c r="F5559" s="2423"/>
    </row>
    <row r="5560" spans="6:6">
      <c r="F5560" s="2423"/>
    </row>
    <row r="5561" spans="6:6">
      <c r="F5561" s="2423"/>
    </row>
    <row r="5562" spans="6:6">
      <c r="F5562" s="2423"/>
    </row>
    <row r="5563" spans="6:6">
      <c r="F5563" s="2423"/>
    </row>
    <row r="5564" spans="6:6">
      <c r="F5564" s="2423"/>
    </row>
    <row r="5565" spans="6:6">
      <c r="F5565" s="2423"/>
    </row>
    <row r="5566" spans="6:6">
      <c r="F5566" s="2423"/>
    </row>
    <row r="5567" spans="6:6">
      <c r="F5567" s="2423"/>
    </row>
    <row r="5568" spans="6:6">
      <c r="F5568" s="2423"/>
    </row>
    <row r="5569" spans="6:6">
      <c r="F5569" s="2423"/>
    </row>
    <row r="5570" spans="6:6">
      <c r="F5570" s="2423"/>
    </row>
    <row r="5571" spans="6:6">
      <c r="F5571" s="2423"/>
    </row>
    <row r="5572" spans="6:6">
      <c r="F5572" s="2423"/>
    </row>
    <row r="5573" spans="6:6">
      <c r="F5573" s="2423"/>
    </row>
    <row r="5574" spans="6:6">
      <c r="F5574" s="2423"/>
    </row>
    <row r="5575" spans="6:6">
      <c r="F5575" s="2423"/>
    </row>
    <row r="5576" spans="6:6">
      <c r="F5576" s="2423"/>
    </row>
    <row r="5577" spans="6:6">
      <c r="F5577" s="2423"/>
    </row>
    <row r="5578" spans="6:6">
      <c r="F5578" s="2423"/>
    </row>
    <row r="5579" spans="6:6">
      <c r="F5579" s="2423"/>
    </row>
    <row r="5580" spans="6:6">
      <c r="F5580" s="2423"/>
    </row>
    <row r="5581" spans="6:6">
      <c r="F5581" s="2423"/>
    </row>
    <row r="5582" spans="6:6">
      <c r="F5582" s="2423"/>
    </row>
    <row r="5583" spans="6:6">
      <c r="F5583" s="2423"/>
    </row>
    <row r="5584" spans="6:6">
      <c r="F5584" s="2423"/>
    </row>
    <row r="5585" spans="6:6">
      <c r="F5585" s="2423"/>
    </row>
    <row r="5586" spans="6:6">
      <c r="F5586" s="2423"/>
    </row>
    <row r="5587" spans="6:6">
      <c r="F5587" s="2423"/>
    </row>
    <row r="5588" spans="6:6">
      <c r="F5588" s="2423"/>
    </row>
    <row r="5589" spans="6:6">
      <c r="F5589" s="2423"/>
    </row>
    <row r="5590" spans="6:6">
      <c r="F5590" s="2423"/>
    </row>
    <row r="5591" spans="6:6">
      <c r="F5591" s="2423"/>
    </row>
    <row r="5592" spans="6:6">
      <c r="F5592" s="2423"/>
    </row>
    <row r="5593" spans="6:6">
      <c r="F5593" s="2423"/>
    </row>
    <row r="5594" spans="6:6">
      <c r="F5594" s="2423"/>
    </row>
    <row r="5595" spans="6:6">
      <c r="F5595" s="2423"/>
    </row>
    <row r="5596" spans="6:6">
      <c r="F5596" s="2423"/>
    </row>
    <row r="5597" spans="6:6">
      <c r="F5597" s="2423"/>
    </row>
    <row r="5598" spans="6:6">
      <c r="F5598" s="2423"/>
    </row>
    <row r="5599" spans="6:6">
      <c r="F5599" s="2423"/>
    </row>
    <row r="5600" spans="6:6">
      <c r="F5600" s="2423"/>
    </row>
    <row r="5601" spans="6:6">
      <c r="F5601" s="2423"/>
    </row>
    <row r="5602" spans="6:6">
      <c r="F5602" s="2423"/>
    </row>
    <row r="5603" spans="6:6">
      <c r="F5603" s="2423"/>
    </row>
    <row r="5604" spans="6:6">
      <c r="F5604" s="2423"/>
    </row>
    <row r="5605" spans="6:6">
      <c r="F5605" s="2423"/>
    </row>
    <row r="5606" spans="6:6">
      <c r="F5606" s="2423"/>
    </row>
    <row r="5607" spans="6:6">
      <c r="F5607" s="2423"/>
    </row>
    <row r="5608" spans="6:6">
      <c r="F5608" s="2423"/>
    </row>
    <row r="5609" spans="6:6">
      <c r="F5609" s="2423"/>
    </row>
    <row r="5610" spans="6:6">
      <c r="F5610" s="2423"/>
    </row>
    <row r="5611" spans="6:6">
      <c r="F5611" s="2423"/>
    </row>
    <row r="5612" spans="6:6">
      <c r="F5612" s="2423"/>
    </row>
    <row r="5613" spans="6:6">
      <c r="F5613" s="2423"/>
    </row>
    <row r="5614" spans="6:6">
      <c r="F5614" s="2423"/>
    </row>
    <row r="5615" spans="6:6">
      <c r="F5615" s="2423"/>
    </row>
    <row r="5616" spans="6:6">
      <c r="F5616" s="2423"/>
    </row>
    <row r="5617" spans="6:6">
      <c r="F5617" s="2423"/>
    </row>
    <row r="5618" spans="6:6">
      <c r="F5618" s="2423"/>
    </row>
    <row r="5619" spans="6:6">
      <c r="F5619" s="2423"/>
    </row>
    <row r="5620" spans="6:6">
      <c r="F5620" s="2423"/>
    </row>
    <row r="5621" spans="6:6">
      <c r="F5621" s="2423"/>
    </row>
    <row r="5622" spans="6:6">
      <c r="F5622" s="2423"/>
    </row>
    <row r="5623" spans="6:6">
      <c r="F5623" s="2423"/>
    </row>
    <row r="5624" spans="6:6">
      <c r="F5624" s="2423"/>
    </row>
    <row r="5625" spans="6:6">
      <c r="F5625" s="2423"/>
    </row>
    <row r="5626" spans="6:6">
      <c r="F5626" s="2423"/>
    </row>
    <row r="5627" spans="6:6">
      <c r="F5627" s="2423"/>
    </row>
    <row r="5628" spans="6:6">
      <c r="F5628" s="2423"/>
    </row>
    <row r="5629" spans="6:6">
      <c r="F5629" s="2423"/>
    </row>
    <row r="5630" spans="6:6">
      <c r="F5630" s="2423"/>
    </row>
    <row r="5631" spans="6:6">
      <c r="F5631" s="2423"/>
    </row>
    <row r="5632" spans="6:6">
      <c r="F5632" s="2423"/>
    </row>
    <row r="5633" spans="6:6">
      <c r="F5633" s="2423"/>
    </row>
    <row r="5634" spans="6:6">
      <c r="F5634" s="2423"/>
    </row>
    <row r="5635" spans="6:6">
      <c r="F5635" s="2423"/>
    </row>
    <row r="5636" spans="6:6">
      <c r="F5636" s="2423"/>
    </row>
    <row r="5637" spans="6:6">
      <c r="F5637" s="2423"/>
    </row>
    <row r="5638" spans="6:6">
      <c r="F5638" s="2423"/>
    </row>
    <row r="5639" spans="6:6">
      <c r="F5639" s="2423"/>
    </row>
    <row r="5640" spans="6:6">
      <c r="F5640" s="2423"/>
    </row>
    <row r="5641" spans="6:6">
      <c r="F5641" s="2423"/>
    </row>
    <row r="5642" spans="6:6">
      <c r="F5642" s="2423"/>
    </row>
    <row r="5643" spans="6:6">
      <c r="F5643" s="2423"/>
    </row>
    <row r="5644" spans="6:6">
      <c r="F5644" s="2423"/>
    </row>
    <row r="5645" spans="6:6">
      <c r="F5645" s="2423"/>
    </row>
    <row r="5646" spans="6:6">
      <c r="F5646" s="2423"/>
    </row>
    <row r="5647" spans="6:6">
      <c r="F5647" s="2423"/>
    </row>
    <row r="5648" spans="6:6">
      <c r="F5648" s="2423"/>
    </row>
    <row r="5649" spans="6:6">
      <c r="F5649" s="2423"/>
    </row>
    <row r="5650" spans="6:6">
      <c r="F5650" s="2423"/>
    </row>
    <row r="5651" spans="6:6">
      <c r="F5651" s="2423"/>
    </row>
    <row r="5652" spans="6:6">
      <c r="F5652" s="2423"/>
    </row>
    <row r="5653" spans="6:6">
      <c r="F5653" s="2423"/>
    </row>
    <row r="5654" spans="6:6">
      <c r="F5654" s="2423"/>
    </row>
    <row r="5655" spans="6:6">
      <c r="F5655" s="2423"/>
    </row>
    <row r="5656" spans="6:6">
      <c r="F5656" s="2423"/>
    </row>
    <row r="5657" spans="6:6">
      <c r="F5657" s="2423"/>
    </row>
    <row r="5658" spans="6:6">
      <c r="F5658" s="2423"/>
    </row>
    <row r="5659" spans="6:6">
      <c r="F5659" s="2423"/>
    </row>
    <row r="5660" spans="6:6">
      <c r="F5660" s="2423"/>
    </row>
    <row r="5661" spans="6:6">
      <c r="F5661" s="2423"/>
    </row>
    <row r="5662" spans="6:6">
      <c r="F5662" s="2423"/>
    </row>
    <row r="5663" spans="6:6">
      <c r="F5663" s="2423"/>
    </row>
    <row r="5664" spans="6:6">
      <c r="F5664" s="2423"/>
    </row>
    <row r="5665" spans="6:6">
      <c r="F5665" s="2423"/>
    </row>
    <row r="5666" spans="6:6">
      <c r="F5666" s="2423"/>
    </row>
    <row r="5667" spans="6:6">
      <c r="F5667" s="2423"/>
    </row>
    <row r="5668" spans="6:6">
      <c r="F5668" s="2423"/>
    </row>
    <row r="5669" spans="6:6">
      <c r="F5669" s="2423"/>
    </row>
    <row r="5670" spans="6:6">
      <c r="F5670" s="2423"/>
    </row>
    <row r="5671" spans="6:6">
      <c r="F5671" s="2423"/>
    </row>
    <row r="5672" spans="6:6">
      <c r="F5672" s="2423"/>
    </row>
    <row r="5673" spans="6:6">
      <c r="F5673" s="2423"/>
    </row>
    <row r="5674" spans="6:6">
      <c r="F5674" s="2423"/>
    </row>
    <row r="5675" spans="6:6">
      <c r="F5675" s="2423"/>
    </row>
    <row r="5676" spans="6:6">
      <c r="F5676" s="2423"/>
    </row>
    <row r="5677" spans="6:6">
      <c r="F5677" s="2423"/>
    </row>
    <row r="5678" spans="6:6">
      <c r="F5678" s="2423"/>
    </row>
    <row r="5679" spans="6:6">
      <c r="F5679" s="2423"/>
    </row>
    <row r="5680" spans="6:6">
      <c r="F5680" s="2423"/>
    </row>
    <row r="5681" spans="6:6">
      <c r="F5681" s="2423"/>
    </row>
    <row r="5682" spans="6:6">
      <c r="F5682" s="2423"/>
    </row>
    <row r="5683" spans="6:6">
      <c r="F5683" s="2423"/>
    </row>
    <row r="5684" spans="6:6">
      <c r="F5684" s="2423"/>
    </row>
    <row r="5685" spans="6:6">
      <c r="F5685" s="2423"/>
    </row>
    <row r="5686" spans="6:6">
      <c r="F5686" s="2423"/>
    </row>
    <row r="5687" spans="6:6">
      <c r="F5687" s="2423"/>
    </row>
    <row r="5688" spans="6:6">
      <c r="F5688" s="2423"/>
    </row>
    <row r="5689" spans="6:6">
      <c r="F5689" s="2423"/>
    </row>
    <row r="5690" spans="6:6">
      <c r="F5690" s="2423"/>
    </row>
    <row r="5691" spans="6:6">
      <c r="F5691" s="2423"/>
    </row>
    <row r="5692" spans="6:6">
      <c r="F5692" s="2423"/>
    </row>
    <row r="5693" spans="6:6">
      <c r="F5693" s="2423"/>
    </row>
    <row r="5694" spans="6:6">
      <c r="F5694" s="2423"/>
    </row>
    <row r="5695" spans="6:6">
      <c r="F5695" s="2423"/>
    </row>
    <row r="5696" spans="6:6">
      <c r="F5696" s="2423"/>
    </row>
    <row r="5697" spans="6:6">
      <c r="F5697" s="2423"/>
    </row>
    <row r="5698" spans="6:6">
      <c r="F5698" s="2423"/>
    </row>
    <row r="5699" spans="6:6">
      <c r="F5699" s="2423"/>
    </row>
    <row r="5700" spans="6:6">
      <c r="F5700" s="2423"/>
    </row>
    <row r="5701" spans="6:6">
      <c r="F5701" s="2423"/>
    </row>
    <row r="5702" spans="6:6">
      <c r="F5702" s="2423"/>
    </row>
    <row r="5703" spans="6:6">
      <c r="F5703" s="2423"/>
    </row>
    <row r="5704" spans="6:6">
      <c r="F5704" s="2423"/>
    </row>
    <row r="5705" spans="6:6">
      <c r="F5705" s="2423"/>
    </row>
    <row r="5706" spans="6:6">
      <c r="F5706" s="2423"/>
    </row>
    <row r="5707" spans="6:6">
      <c r="F5707" s="2423"/>
    </row>
    <row r="5708" spans="6:6">
      <c r="F5708" s="2423"/>
    </row>
    <row r="5709" spans="6:6">
      <c r="F5709" s="2423"/>
    </row>
    <row r="5710" spans="6:6">
      <c r="F5710" s="2423"/>
    </row>
    <row r="5711" spans="6:6">
      <c r="F5711" s="2423"/>
    </row>
    <row r="5712" spans="6:6">
      <c r="F5712" s="2423"/>
    </row>
    <row r="5713" spans="6:6">
      <c r="F5713" s="2423"/>
    </row>
    <row r="5714" spans="6:6">
      <c r="F5714" s="2423"/>
    </row>
    <row r="5715" spans="6:6">
      <c r="F5715" s="2423"/>
    </row>
    <row r="5716" spans="6:6">
      <c r="F5716" s="2423"/>
    </row>
    <row r="5717" spans="6:6">
      <c r="F5717" s="2423"/>
    </row>
    <row r="5718" spans="6:6">
      <c r="F5718" s="2423"/>
    </row>
    <row r="5719" spans="6:6">
      <c r="F5719" s="2423"/>
    </row>
    <row r="5720" spans="6:6">
      <c r="F5720" s="2423"/>
    </row>
    <row r="5721" spans="6:6">
      <c r="F5721" s="2423"/>
    </row>
    <row r="5722" spans="6:6">
      <c r="F5722" s="2423"/>
    </row>
    <row r="5723" spans="6:6">
      <c r="F5723" s="2423"/>
    </row>
    <row r="5724" spans="6:6">
      <c r="F5724" s="2423"/>
    </row>
    <row r="5725" spans="6:6">
      <c r="F5725" s="2423"/>
    </row>
    <row r="5726" spans="6:6">
      <c r="F5726" s="2423"/>
    </row>
    <row r="5727" spans="6:6">
      <c r="F5727" s="2423"/>
    </row>
    <row r="5728" spans="6:6">
      <c r="F5728" s="2423"/>
    </row>
    <row r="5729" spans="6:6">
      <c r="F5729" s="2423"/>
    </row>
    <row r="5730" spans="6:6">
      <c r="F5730" s="2423"/>
    </row>
    <row r="5731" spans="6:6">
      <c r="F5731" s="2423"/>
    </row>
    <row r="5732" spans="6:6">
      <c r="F5732" s="2423"/>
    </row>
    <row r="5733" spans="6:6">
      <c r="F5733" s="2423"/>
    </row>
    <row r="5734" spans="6:6">
      <c r="F5734" s="2423"/>
    </row>
    <row r="5735" spans="6:6">
      <c r="F5735" s="2423"/>
    </row>
    <row r="5736" spans="6:6">
      <c r="F5736" s="2423"/>
    </row>
    <row r="5737" spans="6:6">
      <c r="F5737" s="2423"/>
    </row>
    <row r="5738" spans="6:6">
      <c r="F5738" s="2423"/>
    </row>
    <row r="5739" spans="6:6">
      <c r="F5739" s="2423"/>
    </row>
    <row r="5740" spans="6:6">
      <c r="F5740" s="2423"/>
    </row>
    <row r="5741" spans="6:6">
      <c r="F5741" s="2423"/>
    </row>
    <row r="5742" spans="6:6">
      <c r="F5742" s="2423"/>
    </row>
    <row r="5743" spans="6:6">
      <c r="F5743" s="2423"/>
    </row>
    <row r="5744" spans="6:6">
      <c r="F5744" s="2423"/>
    </row>
    <row r="5745" spans="6:6">
      <c r="F5745" s="2423"/>
    </row>
    <row r="5746" spans="6:6">
      <c r="F5746" s="2423"/>
    </row>
    <row r="5747" spans="6:6">
      <c r="F5747" s="2423"/>
    </row>
    <row r="5748" spans="6:6">
      <c r="F5748" s="2423"/>
    </row>
    <row r="5749" spans="6:6">
      <c r="F5749" s="2423"/>
    </row>
    <row r="5750" spans="6:6">
      <c r="F5750" s="2423"/>
    </row>
    <row r="5751" spans="6:6">
      <c r="F5751" s="2423"/>
    </row>
    <row r="5752" spans="6:6">
      <c r="F5752" s="2423"/>
    </row>
    <row r="5753" spans="6:6">
      <c r="F5753" s="2423"/>
    </row>
    <row r="5754" spans="6:6">
      <c r="F5754" s="2423"/>
    </row>
    <row r="5755" spans="6:6">
      <c r="F5755" s="2423"/>
    </row>
    <row r="5756" spans="6:6">
      <c r="F5756" s="2423"/>
    </row>
    <row r="5757" spans="6:6">
      <c r="F5757" s="2423"/>
    </row>
    <row r="5758" spans="6:6">
      <c r="F5758" s="2423"/>
    </row>
    <row r="5759" spans="6:6">
      <c r="F5759" s="2423"/>
    </row>
    <row r="5760" spans="6:6">
      <c r="F5760" s="2423"/>
    </row>
    <row r="5761" spans="6:6">
      <c r="F5761" s="2423"/>
    </row>
    <row r="5762" spans="6:6">
      <c r="F5762" s="2423"/>
    </row>
    <row r="5763" spans="6:6">
      <c r="F5763" s="2423"/>
    </row>
    <row r="5764" spans="6:6">
      <c r="F5764" s="2423"/>
    </row>
    <row r="5765" spans="6:6">
      <c r="F5765" s="2423"/>
    </row>
    <row r="5766" spans="6:6">
      <c r="F5766" s="2423"/>
    </row>
    <row r="5767" spans="6:6">
      <c r="F5767" s="2423"/>
    </row>
    <row r="5768" spans="6:6">
      <c r="F5768" s="2423"/>
    </row>
    <row r="5769" spans="6:6">
      <c r="F5769" s="2423"/>
    </row>
    <row r="5770" spans="6:6">
      <c r="F5770" s="2423"/>
    </row>
    <row r="5771" spans="6:6">
      <c r="F5771" s="2423"/>
    </row>
    <row r="5772" spans="6:6">
      <c r="F5772" s="2423"/>
    </row>
    <row r="5773" spans="6:6">
      <c r="F5773" s="2423"/>
    </row>
    <row r="5774" spans="6:6">
      <c r="F5774" s="2423"/>
    </row>
    <row r="5775" spans="6:6">
      <c r="F5775" s="2423"/>
    </row>
    <row r="5776" spans="6:6">
      <c r="F5776" s="2423"/>
    </row>
    <row r="5777" spans="6:6">
      <c r="F5777" s="2423"/>
    </row>
    <row r="5778" spans="6:6">
      <c r="F5778" s="2423"/>
    </row>
    <row r="5779" spans="6:6">
      <c r="F5779" s="2423"/>
    </row>
    <row r="5780" spans="6:6">
      <c r="F5780" s="2423"/>
    </row>
    <row r="5781" spans="6:6">
      <c r="F5781" s="2423"/>
    </row>
    <row r="5782" spans="6:6">
      <c r="F5782" s="2423"/>
    </row>
    <row r="5783" spans="6:6">
      <c r="F5783" s="2423"/>
    </row>
    <row r="5784" spans="6:6">
      <c r="F5784" s="2423"/>
    </row>
    <row r="5785" spans="6:6">
      <c r="F5785" s="2423"/>
    </row>
    <row r="5786" spans="6:6">
      <c r="F5786" s="2423"/>
    </row>
    <row r="5787" spans="6:6">
      <c r="F5787" s="2423"/>
    </row>
    <row r="5788" spans="6:6">
      <c r="F5788" s="2423"/>
    </row>
    <row r="5789" spans="6:6">
      <c r="F5789" s="2423"/>
    </row>
    <row r="5790" spans="6:6">
      <c r="F5790" s="2423"/>
    </row>
    <row r="5791" spans="6:6">
      <c r="F5791" s="2423"/>
    </row>
    <row r="5792" spans="6:6">
      <c r="F5792" s="2423"/>
    </row>
    <row r="5793" spans="6:6">
      <c r="F5793" s="2423"/>
    </row>
    <row r="5794" spans="6:6">
      <c r="F5794" s="2423"/>
    </row>
    <row r="5795" spans="6:6">
      <c r="F5795" s="2423"/>
    </row>
    <row r="5796" spans="6:6">
      <c r="F5796" s="2423"/>
    </row>
    <row r="5797" spans="6:6">
      <c r="F5797" s="2423"/>
    </row>
    <row r="5798" spans="6:6">
      <c r="F5798" s="2423"/>
    </row>
    <row r="5799" spans="6:6">
      <c r="F5799" s="2423"/>
    </row>
    <row r="5800" spans="6:6">
      <c r="F5800" s="2423"/>
    </row>
    <row r="5801" spans="6:6">
      <c r="F5801" s="2423"/>
    </row>
    <row r="5802" spans="6:6">
      <c r="F5802" s="2423"/>
    </row>
    <row r="5803" spans="6:6">
      <c r="F5803" s="2423"/>
    </row>
    <row r="5804" spans="6:6">
      <c r="F5804" s="2423"/>
    </row>
    <row r="5805" spans="6:6">
      <c r="F5805" s="2423"/>
    </row>
    <row r="5806" spans="6:6">
      <c r="F5806" s="2423"/>
    </row>
    <row r="5807" spans="6:6">
      <c r="F5807" s="2423"/>
    </row>
    <row r="5808" spans="6:6">
      <c r="F5808" s="2423"/>
    </row>
    <row r="5809" spans="6:6">
      <c r="F5809" s="2423"/>
    </row>
    <row r="5810" spans="6:6">
      <c r="F5810" s="2423"/>
    </row>
    <row r="5811" spans="6:6">
      <c r="F5811" s="2423"/>
    </row>
    <row r="5812" spans="6:6">
      <c r="F5812" s="2423"/>
    </row>
    <row r="5813" spans="6:6">
      <c r="F5813" s="2423"/>
    </row>
    <row r="5814" spans="6:6">
      <c r="F5814" s="2423"/>
    </row>
    <row r="5815" spans="6:6">
      <c r="F5815" s="2423"/>
    </row>
    <row r="5816" spans="6:6">
      <c r="F5816" s="2423"/>
    </row>
    <row r="5817" spans="6:6">
      <c r="F5817" s="2423"/>
    </row>
    <row r="5818" spans="6:6">
      <c r="F5818" s="2423"/>
    </row>
    <row r="5819" spans="6:6">
      <c r="F5819" s="2423"/>
    </row>
    <row r="5820" spans="6:6">
      <c r="F5820" s="2423"/>
    </row>
    <row r="5821" spans="6:6">
      <c r="F5821" s="2423"/>
    </row>
    <row r="5822" spans="6:6">
      <c r="F5822" s="2423"/>
    </row>
    <row r="5823" spans="6:6">
      <c r="F5823" s="2423"/>
    </row>
    <row r="5824" spans="6:6">
      <c r="F5824" s="2423"/>
    </row>
    <row r="5825" spans="6:6">
      <c r="F5825" s="2423"/>
    </row>
    <row r="5826" spans="6:6">
      <c r="F5826" s="2423"/>
    </row>
    <row r="5827" spans="6:6">
      <c r="F5827" s="2423"/>
    </row>
    <row r="5828" spans="6:6">
      <c r="F5828" s="2423"/>
    </row>
    <row r="5829" spans="6:6">
      <c r="F5829" s="2423"/>
    </row>
    <row r="5830" spans="6:6">
      <c r="F5830" s="2423"/>
    </row>
    <row r="5831" spans="6:6">
      <c r="F5831" s="2423"/>
    </row>
    <row r="5832" spans="6:6">
      <c r="F5832" s="2423"/>
    </row>
    <row r="5833" spans="6:6">
      <c r="F5833" s="2423"/>
    </row>
    <row r="5834" spans="6:6">
      <c r="F5834" s="2423"/>
    </row>
    <row r="5835" spans="6:6">
      <c r="F5835" s="2423"/>
    </row>
    <row r="5836" spans="6:6">
      <c r="F5836" s="2423"/>
    </row>
    <row r="5837" spans="6:6">
      <c r="F5837" s="2423"/>
    </row>
    <row r="5838" spans="6:6">
      <c r="F5838" s="2423"/>
    </row>
    <row r="5839" spans="6:6">
      <c r="F5839" s="2423"/>
    </row>
    <row r="5840" spans="6:6">
      <c r="F5840" s="2423"/>
    </row>
    <row r="5841" spans="6:6">
      <c r="F5841" s="2423"/>
    </row>
    <row r="5842" spans="6:6">
      <c r="F5842" s="2423"/>
    </row>
    <row r="5843" spans="6:6">
      <c r="F5843" s="2423"/>
    </row>
    <row r="5844" spans="6:6">
      <c r="F5844" s="2423"/>
    </row>
    <row r="5845" spans="6:6">
      <c r="F5845" s="2423"/>
    </row>
    <row r="5846" spans="6:6">
      <c r="F5846" s="2423"/>
    </row>
    <row r="5847" spans="6:6">
      <c r="F5847" s="2423"/>
    </row>
    <row r="5848" spans="6:6">
      <c r="F5848" s="2423"/>
    </row>
    <row r="5849" spans="6:6">
      <c r="F5849" s="2423"/>
    </row>
    <row r="5850" spans="6:6">
      <c r="F5850" s="2423"/>
    </row>
    <row r="5851" spans="6:6">
      <c r="F5851" s="2423"/>
    </row>
    <row r="5852" spans="6:6">
      <c r="F5852" s="2423"/>
    </row>
    <row r="5853" spans="6:6">
      <c r="F5853" s="2423"/>
    </row>
    <row r="5854" spans="6:6">
      <c r="F5854" s="2423"/>
    </row>
    <row r="5855" spans="6:6">
      <c r="F5855" s="2423"/>
    </row>
    <row r="5856" spans="6:6">
      <c r="F5856" s="2423"/>
    </row>
    <row r="5857" spans="6:6">
      <c r="F5857" s="2423"/>
    </row>
    <row r="5858" spans="6:6">
      <c r="F5858" s="2423"/>
    </row>
    <row r="5859" spans="6:6">
      <c r="F5859" s="2423"/>
    </row>
    <row r="5860" spans="6:6">
      <c r="F5860" s="2423"/>
    </row>
    <row r="5861" spans="6:6">
      <c r="F5861" s="2423"/>
    </row>
    <row r="5862" spans="6:6">
      <c r="F5862" s="2423"/>
    </row>
    <row r="5863" spans="6:6">
      <c r="F5863" s="2423"/>
    </row>
    <row r="5864" spans="6:6">
      <c r="F5864" s="2423"/>
    </row>
    <row r="5865" spans="6:6">
      <c r="F5865" s="2423"/>
    </row>
    <row r="5866" spans="6:6">
      <c r="F5866" s="2423"/>
    </row>
    <row r="5867" spans="6:6">
      <c r="F5867" s="2423"/>
    </row>
    <row r="5868" spans="6:6">
      <c r="F5868" s="2423"/>
    </row>
    <row r="5869" spans="6:6">
      <c r="F5869" s="2423"/>
    </row>
    <row r="5870" spans="6:6">
      <c r="F5870" s="2423"/>
    </row>
    <row r="5871" spans="6:6">
      <c r="F5871" s="2423"/>
    </row>
    <row r="5872" spans="6:6">
      <c r="F5872" s="2423"/>
    </row>
    <row r="5873" spans="6:6">
      <c r="F5873" s="2423"/>
    </row>
    <row r="5874" spans="6:6">
      <c r="F5874" s="2423"/>
    </row>
    <row r="5875" spans="6:6">
      <c r="F5875" s="2423"/>
    </row>
    <row r="5876" spans="6:6">
      <c r="F5876" s="2423"/>
    </row>
    <row r="5877" spans="6:6">
      <c r="F5877" s="2423"/>
    </row>
    <row r="5878" spans="6:6">
      <c r="F5878" s="2423"/>
    </row>
    <row r="5879" spans="6:6">
      <c r="F5879" s="2423"/>
    </row>
    <row r="5880" spans="6:6">
      <c r="F5880" s="2423"/>
    </row>
    <row r="5881" spans="6:6">
      <c r="F5881" s="2423"/>
    </row>
    <row r="5882" spans="6:6">
      <c r="F5882" s="2423"/>
    </row>
    <row r="5883" spans="6:6">
      <c r="F5883" s="2423"/>
    </row>
    <row r="5884" spans="6:6">
      <c r="F5884" s="2423"/>
    </row>
    <row r="5885" spans="6:6">
      <c r="F5885" s="2423"/>
    </row>
    <row r="5886" spans="6:6">
      <c r="F5886" s="2423"/>
    </row>
    <row r="5887" spans="6:6">
      <c r="F5887" s="2423"/>
    </row>
    <row r="5888" spans="6:6">
      <c r="F5888" s="2423"/>
    </row>
    <row r="5889" spans="6:6">
      <c r="F5889" s="2423"/>
    </row>
    <row r="5890" spans="6:6">
      <c r="F5890" s="2423"/>
    </row>
    <row r="5891" spans="6:6">
      <c r="F5891" s="2423"/>
    </row>
    <row r="5892" spans="6:6">
      <c r="F5892" s="2423"/>
    </row>
    <row r="5893" spans="6:6">
      <c r="F5893" s="2423"/>
    </row>
    <row r="5894" spans="6:6">
      <c r="F5894" s="2423"/>
    </row>
    <row r="5895" spans="6:6">
      <c r="F5895" s="2423"/>
    </row>
    <row r="5896" spans="6:6">
      <c r="F5896" s="2423"/>
    </row>
    <row r="5897" spans="6:6">
      <c r="F5897" s="2423"/>
    </row>
    <row r="5898" spans="6:6">
      <c r="F5898" s="2423"/>
    </row>
    <row r="5899" spans="6:6">
      <c r="F5899" s="2423"/>
    </row>
    <row r="5900" spans="6:6">
      <c r="F5900" s="2423"/>
    </row>
    <row r="5901" spans="6:6">
      <c r="F5901" s="2423"/>
    </row>
    <row r="5902" spans="6:6">
      <c r="F5902" s="2423"/>
    </row>
    <row r="5903" spans="6:6">
      <c r="F5903" s="2423"/>
    </row>
    <row r="5904" spans="6:6">
      <c r="F5904" s="2423"/>
    </row>
    <row r="5905" spans="6:6">
      <c r="F5905" s="2423"/>
    </row>
    <row r="5906" spans="6:6">
      <c r="F5906" s="2423"/>
    </row>
    <row r="5907" spans="6:6">
      <c r="F5907" s="2423"/>
    </row>
    <row r="5908" spans="6:6">
      <c r="F5908" s="2423"/>
    </row>
    <row r="5909" spans="6:6">
      <c r="F5909" s="2423"/>
    </row>
    <row r="5910" spans="6:6">
      <c r="F5910" s="2423"/>
    </row>
    <row r="5911" spans="6:6">
      <c r="F5911" s="2423"/>
    </row>
    <row r="5912" spans="6:6">
      <c r="F5912" s="2423"/>
    </row>
    <row r="5913" spans="6:6">
      <c r="F5913" s="2423"/>
    </row>
    <row r="5914" spans="6:6">
      <c r="F5914" s="2423"/>
    </row>
    <row r="5915" spans="6:6">
      <c r="F5915" s="2423"/>
    </row>
    <row r="5916" spans="6:6">
      <c r="F5916" s="2423"/>
    </row>
    <row r="5917" spans="6:6">
      <c r="F5917" s="2423"/>
    </row>
    <row r="5918" spans="6:6">
      <c r="F5918" s="2423"/>
    </row>
    <row r="5919" spans="6:6">
      <c r="F5919" s="2423"/>
    </row>
    <row r="5920" spans="6:6">
      <c r="F5920" s="2423"/>
    </row>
    <row r="5921" spans="6:6">
      <c r="F5921" s="2423"/>
    </row>
    <row r="5922" spans="6:6">
      <c r="F5922" s="2423"/>
    </row>
    <row r="5923" spans="6:6">
      <c r="F5923" s="2423"/>
    </row>
    <row r="5924" spans="6:6">
      <c r="F5924" s="2423"/>
    </row>
    <row r="5925" spans="6:6">
      <c r="F5925" s="2423"/>
    </row>
    <row r="5926" spans="6:6">
      <c r="F5926" s="2423"/>
    </row>
    <row r="5927" spans="6:6">
      <c r="F5927" s="2423"/>
    </row>
    <row r="5928" spans="6:6">
      <c r="F5928" s="2423"/>
    </row>
    <row r="5929" spans="6:6">
      <c r="F5929" s="2423"/>
    </row>
    <row r="5930" spans="6:6">
      <c r="F5930" s="2423"/>
    </row>
    <row r="5931" spans="6:6">
      <c r="F5931" s="2423"/>
    </row>
    <row r="5932" spans="6:6">
      <c r="F5932" s="2423"/>
    </row>
    <row r="5933" spans="6:6">
      <c r="F5933" s="2423"/>
    </row>
    <row r="5934" spans="6:6">
      <c r="F5934" s="2423"/>
    </row>
    <row r="5935" spans="6:6">
      <c r="F5935" s="2423"/>
    </row>
    <row r="5936" spans="6:6">
      <c r="F5936" s="2423"/>
    </row>
    <row r="5937" spans="6:6">
      <c r="F5937" s="2423"/>
    </row>
    <row r="5938" spans="6:6">
      <c r="F5938" s="2423"/>
    </row>
    <row r="5939" spans="6:6">
      <c r="F5939" s="2423"/>
    </row>
    <row r="5940" spans="6:6">
      <c r="F5940" s="2423"/>
    </row>
    <row r="5941" spans="6:6">
      <c r="F5941" s="2423"/>
    </row>
    <row r="5942" spans="6:6">
      <c r="F5942" s="2423"/>
    </row>
    <row r="5943" spans="6:6">
      <c r="F5943" s="2423"/>
    </row>
    <row r="5944" spans="6:6">
      <c r="F5944" s="2423"/>
    </row>
    <row r="5945" spans="6:6">
      <c r="F5945" s="2423"/>
    </row>
    <row r="5946" spans="6:6">
      <c r="F5946" s="2423"/>
    </row>
    <row r="5947" spans="6:6">
      <c r="F5947" s="2423"/>
    </row>
    <row r="5948" spans="6:6">
      <c r="F5948" s="2423"/>
    </row>
    <row r="5949" spans="6:6">
      <c r="F5949" s="2423"/>
    </row>
    <row r="5950" spans="6:6">
      <c r="F5950" s="2423"/>
    </row>
    <row r="5951" spans="6:6">
      <c r="F5951" s="2423"/>
    </row>
    <row r="5952" spans="6:6">
      <c r="F5952" s="2423"/>
    </row>
    <row r="5953" spans="6:6">
      <c r="F5953" s="2423"/>
    </row>
    <row r="5954" spans="6:6">
      <c r="F5954" s="2423"/>
    </row>
    <row r="5955" spans="6:6">
      <c r="F5955" s="2423"/>
    </row>
    <row r="5956" spans="6:6">
      <c r="F5956" s="2423"/>
    </row>
    <row r="5957" spans="6:6">
      <c r="F5957" s="2423"/>
    </row>
    <row r="5958" spans="6:6">
      <c r="F5958" s="2423"/>
    </row>
    <row r="5959" spans="6:6">
      <c r="F5959" s="2423"/>
    </row>
    <row r="5960" spans="6:6">
      <c r="F5960" s="2423"/>
    </row>
    <row r="5961" spans="6:6">
      <c r="F5961" s="2423"/>
    </row>
    <row r="5962" spans="6:6">
      <c r="F5962" s="2423"/>
    </row>
    <row r="5963" spans="6:6">
      <c r="F5963" s="2423"/>
    </row>
    <row r="5964" spans="6:6">
      <c r="F5964" s="2423"/>
    </row>
    <row r="5965" spans="6:6">
      <c r="F5965" s="2423"/>
    </row>
    <row r="5966" spans="6:6">
      <c r="F5966" s="2423"/>
    </row>
    <row r="5967" spans="6:6">
      <c r="F5967" s="2423"/>
    </row>
    <row r="5968" spans="6:6">
      <c r="F5968" s="2423"/>
    </row>
    <row r="5969" spans="6:6">
      <c r="F5969" s="2423"/>
    </row>
    <row r="5970" spans="6:6">
      <c r="F5970" s="2423"/>
    </row>
    <row r="5971" spans="6:6">
      <c r="F5971" s="2423"/>
    </row>
    <row r="5972" spans="6:6">
      <c r="F5972" s="2423"/>
    </row>
    <row r="5973" spans="6:6">
      <c r="F5973" s="2423"/>
    </row>
    <row r="5974" spans="6:6">
      <c r="F5974" s="2423"/>
    </row>
    <row r="5975" spans="6:6">
      <c r="F5975" s="2423"/>
    </row>
    <row r="5976" spans="6:6">
      <c r="F5976" s="2423"/>
    </row>
    <row r="5977" spans="6:6">
      <c r="F5977" s="2423"/>
    </row>
    <row r="5978" spans="6:6">
      <c r="F5978" s="2423"/>
    </row>
    <row r="5979" spans="6:6">
      <c r="F5979" s="2423"/>
    </row>
    <row r="5980" spans="6:6">
      <c r="F5980" s="2423"/>
    </row>
    <row r="5981" spans="6:6">
      <c r="F5981" s="2423"/>
    </row>
    <row r="5982" spans="6:6">
      <c r="F5982" s="2423"/>
    </row>
    <row r="5983" spans="6:6">
      <c r="F5983" s="2423"/>
    </row>
    <row r="5984" spans="6:6">
      <c r="F5984" s="2423"/>
    </row>
    <row r="5985" spans="6:6">
      <c r="F5985" s="2423"/>
    </row>
    <row r="5986" spans="6:6">
      <c r="F5986" s="2423"/>
    </row>
    <row r="5987" spans="6:6">
      <c r="F5987" s="2423"/>
    </row>
    <row r="5988" spans="6:6">
      <c r="F5988" s="2423"/>
    </row>
    <row r="5989" spans="6:6">
      <c r="F5989" s="2423"/>
    </row>
    <row r="5990" spans="6:6">
      <c r="F5990" s="2423"/>
    </row>
    <row r="5991" spans="6:6">
      <c r="F5991" s="2423"/>
    </row>
    <row r="5992" spans="6:6">
      <c r="F5992" s="2423"/>
    </row>
    <row r="5993" spans="6:6">
      <c r="F5993" s="2423"/>
    </row>
    <row r="5994" spans="6:6">
      <c r="F5994" s="2423"/>
    </row>
    <row r="5995" spans="6:6">
      <c r="F5995" s="2423"/>
    </row>
    <row r="5996" spans="6:6">
      <c r="F5996" s="2423"/>
    </row>
    <row r="5997" spans="6:6">
      <c r="F5997" s="2423"/>
    </row>
    <row r="5998" spans="6:6">
      <c r="F5998" s="2423"/>
    </row>
    <row r="5999" spans="6:6">
      <c r="F5999" s="2423"/>
    </row>
    <row r="6000" spans="6:6">
      <c r="F6000" s="2423"/>
    </row>
    <row r="6001" spans="6:6">
      <c r="F6001" s="2423"/>
    </row>
    <row r="6002" spans="6:6">
      <c r="F6002" s="2423"/>
    </row>
    <row r="6003" spans="6:6">
      <c r="F6003" s="2423"/>
    </row>
    <row r="6004" spans="6:6">
      <c r="F6004" s="2423"/>
    </row>
    <row r="6005" spans="6:6">
      <c r="F6005" s="2423"/>
    </row>
    <row r="6006" spans="6:6">
      <c r="F6006" s="2423"/>
    </row>
    <row r="6007" spans="6:6">
      <c r="F6007" s="2423"/>
    </row>
    <row r="6008" spans="6:6">
      <c r="F6008" s="2423"/>
    </row>
    <row r="6009" spans="6:6">
      <c r="F6009" s="2423"/>
    </row>
    <row r="6010" spans="6:6">
      <c r="F6010" s="2423"/>
    </row>
    <row r="6011" spans="6:6">
      <c r="F6011" s="2423"/>
    </row>
    <row r="6012" spans="6:6">
      <c r="F6012" s="2423"/>
    </row>
    <row r="6013" spans="6:6">
      <c r="F6013" s="2423"/>
    </row>
    <row r="6014" spans="6:6">
      <c r="F6014" s="2423"/>
    </row>
    <row r="6015" spans="6:6">
      <c r="F6015" s="2423"/>
    </row>
    <row r="6016" spans="6:6">
      <c r="F6016" s="2423"/>
    </row>
    <row r="6017" spans="6:6">
      <c r="F6017" s="2423"/>
    </row>
    <row r="6018" spans="6:6">
      <c r="F6018" s="2423"/>
    </row>
    <row r="6019" spans="6:6">
      <c r="F6019" s="2423"/>
    </row>
    <row r="6020" spans="6:6">
      <c r="F6020" s="2423"/>
    </row>
    <row r="6021" spans="6:6">
      <c r="F6021" s="2423"/>
    </row>
    <row r="6022" spans="6:6">
      <c r="F6022" s="2423"/>
    </row>
    <row r="6023" spans="6:6">
      <c r="F6023" s="2423"/>
    </row>
    <row r="6024" spans="6:6">
      <c r="F6024" s="2423"/>
    </row>
    <row r="6025" spans="6:6">
      <c r="F6025" s="2423"/>
    </row>
    <row r="6026" spans="6:6">
      <c r="F6026" s="2423"/>
    </row>
    <row r="6027" spans="6:6">
      <c r="F6027" s="2423"/>
    </row>
    <row r="6028" spans="6:6">
      <c r="F6028" s="2423"/>
    </row>
    <row r="6029" spans="6:6">
      <c r="F6029" s="2423"/>
    </row>
    <row r="6030" spans="6:6">
      <c r="F6030" s="2423"/>
    </row>
    <row r="6031" spans="6:6">
      <c r="F6031" s="2423"/>
    </row>
    <row r="6032" spans="6:6">
      <c r="F6032" s="2423"/>
    </row>
    <row r="6033" spans="6:6">
      <c r="F6033" s="2423"/>
    </row>
    <row r="6034" spans="6:6">
      <c r="F6034" s="2423"/>
    </row>
    <row r="6035" spans="6:6">
      <c r="F6035" s="2423"/>
    </row>
    <row r="6036" spans="6:6">
      <c r="F6036" s="2423"/>
    </row>
    <row r="6037" spans="6:6">
      <c r="F6037" s="2423"/>
    </row>
    <row r="6038" spans="6:6">
      <c r="F6038" s="2423"/>
    </row>
    <row r="6039" spans="6:6">
      <c r="F6039" s="2423"/>
    </row>
    <row r="6040" spans="6:6">
      <c r="F6040" s="2423"/>
    </row>
    <row r="6041" spans="6:6">
      <c r="F6041" s="2423"/>
    </row>
    <row r="6042" spans="6:6">
      <c r="F6042" s="2423"/>
    </row>
    <row r="6043" spans="6:6">
      <c r="F6043" s="2423"/>
    </row>
    <row r="6044" spans="6:6">
      <c r="F6044" s="2423"/>
    </row>
    <row r="6045" spans="6:6">
      <c r="F6045" s="2423"/>
    </row>
    <row r="6046" spans="6:6">
      <c r="F6046" s="2423"/>
    </row>
    <row r="6047" spans="6:6">
      <c r="F6047" s="2423"/>
    </row>
    <row r="6048" spans="6:6">
      <c r="F6048" s="2423"/>
    </row>
    <row r="6049" spans="6:6">
      <c r="F6049" s="2423"/>
    </row>
    <row r="6050" spans="6:6">
      <c r="F6050" s="2423"/>
    </row>
    <row r="6051" spans="6:6">
      <c r="F6051" s="2423"/>
    </row>
    <row r="6052" spans="6:6">
      <c r="F6052" s="2423"/>
    </row>
    <row r="6053" spans="6:6">
      <c r="F6053" s="2423"/>
    </row>
    <row r="6054" spans="6:6">
      <c r="F6054" s="2423"/>
    </row>
    <row r="6055" spans="6:6">
      <c r="F6055" s="2423"/>
    </row>
    <row r="6056" spans="6:6">
      <c r="F6056" s="2423"/>
    </row>
    <row r="6057" spans="6:6">
      <c r="F6057" s="2423"/>
    </row>
    <row r="6058" spans="6:6">
      <c r="F6058" s="2423"/>
    </row>
    <row r="6059" spans="6:6">
      <c r="F6059" s="2423"/>
    </row>
    <row r="6060" spans="6:6">
      <c r="F6060" s="2423"/>
    </row>
    <row r="6061" spans="6:6">
      <c r="F6061" s="2423"/>
    </row>
    <row r="6062" spans="6:6">
      <c r="F6062" s="2423"/>
    </row>
    <row r="6063" spans="6:6">
      <c r="F6063" s="2423"/>
    </row>
    <row r="6064" spans="6:6">
      <c r="F6064" s="2423"/>
    </row>
    <row r="6065" spans="6:6">
      <c r="F6065" s="2423"/>
    </row>
    <row r="6066" spans="6:6">
      <c r="F6066" s="2423"/>
    </row>
    <row r="6067" spans="6:6">
      <c r="F6067" s="2423"/>
    </row>
    <row r="6068" spans="6:6">
      <c r="F6068" s="2423"/>
    </row>
    <row r="6069" spans="6:6">
      <c r="F6069" s="2423"/>
    </row>
    <row r="6070" spans="6:6">
      <c r="F6070" s="2423"/>
    </row>
    <row r="6071" spans="6:6">
      <c r="F6071" s="2423"/>
    </row>
    <row r="6072" spans="6:6">
      <c r="F6072" s="2423"/>
    </row>
    <row r="6073" spans="6:6">
      <c r="F6073" s="2423"/>
    </row>
    <row r="6074" spans="6:6">
      <c r="F6074" s="2423"/>
    </row>
    <row r="6075" spans="6:6">
      <c r="F6075" s="2423"/>
    </row>
    <row r="6076" spans="6:6">
      <c r="F6076" s="2423"/>
    </row>
    <row r="6077" spans="6:6">
      <c r="F6077" s="2423"/>
    </row>
    <row r="6078" spans="6:6">
      <c r="F6078" s="2423"/>
    </row>
    <row r="6079" spans="6:6">
      <c r="F6079" s="2423"/>
    </row>
    <row r="6080" spans="6:6">
      <c r="F6080" s="2423"/>
    </row>
    <row r="6081" spans="6:6">
      <c r="F6081" s="2423"/>
    </row>
    <row r="6082" spans="6:6">
      <c r="F6082" s="2423"/>
    </row>
    <row r="6083" spans="6:6">
      <c r="F6083" s="2423"/>
    </row>
    <row r="6084" spans="6:6">
      <c r="F6084" s="2423"/>
    </row>
    <row r="6085" spans="6:6">
      <c r="F6085" s="2423"/>
    </row>
    <row r="6086" spans="6:6">
      <c r="F6086" s="2423"/>
    </row>
    <row r="6087" spans="6:6">
      <c r="F6087" s="2423"/>
    </row>
    <row r="6088" spans="6:6">
      <c r="F6088" s="2423"/>
    </row>
    <row r="6089" spans="6:6">
      <c r="F6089" s="2423"/>
    </row>
    <row r="6090" spans="6:6">
      <c r="F6090" s="2423"/>
    </row>
    <row r="6091" spans="6:6">
      <c r="F6091" s="2423"/>
    </row>
    <row r="6092" spans="6:6">
      <c r="F6092" s="2423"/>
    </row>
    <row r="6093" spans="6:6">
      <c r="F6093" s="2423"/>
    </row>
    <row r="6094" spans="6:6">
      <c r="F6094" s="2423"/>
    </row>
    <row r="6095" spans="6:6">
      <c r="F6095" s="2423"/>
    </row>
    <row r="6096" spans="6:6">
      <c r="F6096" s="2423"/>
    </row>
    <row r="6097" spans="6:6">
      <c r="F6097" s="2423"/>
    </row>
    <row r="6098" spans="6:6">
      <c r="F6098" s="2423"/>
    </row>
    <row r="6099" spans="6:6">
      <c r="F6099" s="2423"/>
    </row>
    <row r="6100" spans="6:6">
      <c r="F6100" s="2423"/>
    </row>
    <row r="6101" spans="6:6">
      <c r="F6101" s="2423"/>
    </row>
    <row r="6102" spans="6:6">
      <c r="F6102" s="2423"/>
    </row>
    <row r="6103" spans="6:6">
      <c r="F6103" s="2423"/>
    </row>
    <row r="6104" spans="6:6">
      <c r="F6104" s="2423"/>
    </row>
    <row r="6105" spans="6:6">
      <c r="F6105" s="2423"/>
    </row>
    <row r="6106" spans="6:6">
      <c r="F6106" s="2423"/>
    </row>
    <row r="6107" spans="6:6">
      <c r="F6107" s="2423"/>
    </row>
    <row r="6108" spans="6:6">
      <c r="F6108" s="2423"/>
    </row>
    <row r="6109" spans="6:6">
      <c r="F6109" s="2423"/>
    </row>
    <row r="6110" spans="6:6">
      <c r="F6110" s="2423"/>
    </row>
    <row r="6111" spans="6:6">
      <c r="F6111" s="2423"/>
    </row>
    <row r="6112" spans="6:6">
      <c r="F6112" s="2423"/>
    </row>
    <row r="6113" spans="6:6">
      <c r="F6113" s="2423"/>
    </row>
    <row r="6114" spans="6:6">
      <c r="F6114" s="2423"/>
    </row>
    <row r="6115" spans="6:6">
      <c r="F6115" s="2423"/>
    </row>
    <row r="6116" spans="6:6">
      <c r="F6116" s="2423"/>
    </row>
    <row r="6117" spans="6:6">
      <c r="F6117" s="2423"/>
    </row>
    <row r="6118" spans="6:6">
      <c r="F6118" s="2423"/>
    </row>
    <row r="6119" spans="6:6">
      <c r="F6119" s="2423"/>
    </row>
    <row r="6120" spans="6:6">
      <c r="F6120" s="2423"/>
    </row>
    <row r="6121" spans="6:6">
      <c r="F6121" s="2423"/>
    </row>
    <row r="6122" spans="6:6">
      <c r="F6122" s="2423"/>
    </row>
    <row r="6123" spans="6:6">
      <c r="F6123" s="2423"/>
    </row>
    <row r="6124" spans="6:6">
      <c r="F6124" s="2423"/>
    </row>
    <row r="6125" spans="6:6">
      <c r="F6125" s="2423"/>
    </row>
    <row r="6126" spans="6:6">
      <c r="F6126" s="2423"/>
    </row>
    <row r="6127" spans="6:6">
      <c r="F6127" s="2423"/>
    </row>
    <row r="6128" spans="6:6">
      <c r="F6128" s="2423"/>
    </row>
    <row r="6129" spans="6:6">
      <c r="F6129" s="2423"/>
    </row>
    <row r="6130" spans="6:6">
      <c r="F6130" s="2423"/>
    </row>
    <row r="6131" spans="6:6">
      <c r="F6131" s="2423"/>
    </row>
    <row r="6132" spans="6:6">
      <c r="F6132" s="2423"/>
    </row>
    <row r="6133" spans="6:6">
      <c r="F6133" s="2423"/>
    </row>
    <row r="6134" spans="6:6">
      <c r="F6134" s="2423"/>
    </row>
    <row r="6135" spans="6:6">
      <c r="F6135" s="2423"/>
    </row>
    <row r="6136" spans="6:6">
      <c r="F6136" s="2423"/>
    </row>
    <row r="6137" spans="6:6">
      <c r="F6137" s="2423"/>
    </row>
    <row r="6138" spans="6:6">
      <c r="F6138" s="2423"/>
    </row>
    <row r="6139" spans="6:6">
      <c r="F6139" s="2423"/>
    </row>
    <row r="6140" spans="6:6">
      <c r="F6140" s="2423"/>
    </row>
    <row r="6141" spans="6:6">
      <c r="F6141" s="2423"/>
    </row>
    <row r="6142" spans="6:6">
      <c r="F6142" s="2423"/>
    </row>
    <row r="6143" spans="6:6">
      <c r="F6143" s="2423"/>
    </row>
    <row r="6144" spans="6:6">
      <c r="F6144" s="2423"/>
    </row>
    <row r="6145" spans="6:6">
      <c r="F6145" s="2423"/>
    </row>
    <row r="6146" spans="6:6">
      <c r="F6146" s="2423"/>
    </row>
    <row r="6147" spans="6:6">
      <c r="F6147" s="2423"/>
    </row>
    <row r="6148" spans="6:6">
      <c r="F6148" s="2423"/>
    </row>
    <row r="6149" spans="6:6">
      <c r="F6149" s="2423"/>
    </row>
    <row r="6150" spans="6:6">
      <c r="F6150" s="2423"/>
    </row>
    <row r="6151" spans="6:6">
      <c r="F6151" s="2423"/>
    </row>
    <row r="6152" spans="6:6">
      <c r="F6152" s="2423"/>
    </row>
    <row r="6153" spans="6:6">
      <c r="F6153" s="2423"/>
    </row>
    <row r="6154" spans="6:6">
      <c r="F6154" s="2423"/>
    </row>
    <row r="6155" spans="6:6">
      <c r="F6155" s="2423"/>
    </row>
    <row r="6156" spans="6:6">
      <c r="F6156" s="2423"/>
    </row>
    <row r="6157" spans="6:6">
      <c r="F6157" s="2423"/>
    </row>
    <row r="6158" spans="6:6">
      <c r="F6158" s="2423"/>
    </row>
    <row r="6159" spans="6:6">
      <c r="F6159" s="2423"/>
    </row>
    <row r="6160" spans="6:6">
      <c r="F6160" s="2423"/>
    </row>
    <row r="6161" spans="6:6">
      <c r="F6161" s="2423"/>
    </row>
    <row r="6162" spans="6:6">
      <c r="F6162" s="2423"/>
    </row>
    <row r="6163" spans="6:6">
      <c r="F6163" s="2423"/>
    </row>
    <row r="6164" spans="6:6">
      <c r="F6164" s="2423"/>
    </row>
    <row r="6165" spans="6:6">
      <c r="F6165" s="2423"/>
    </row>
    <row r="6166" spans="6:6">
      <c r="F6166" s="2423"/>
    </row>
    <row r="6167" spans="6:6">
      <c r="F6167" s="2423"/>
    </row>
    <row r="6168" spans="6:6">
      <c r="F6168" s="2423"/>
    </row>
    <row r="6169" spans="6:6">
      <c r="F6169" s="2423"/>
    </row>
    <row r="6170" spans="6:6">
      <c r="F6170" s="2423"/>
    </row>
    <row r="6171" spans="6:6">
      <c r="F6171" s="2423"/>
    </row>
    <row r="6172" spans="6:6">
      <c r="F6172" s="2423"/>
    </row>
    <row r="6173" spans="6:6">
      <c r="F6173" s="2423"/>
    </row>
    <row r="6174" spans="6:6">
      <c r="F6174" s="2423"/>
    </row>
    <row r="6175" spans="6:6">
      <c r="F6175" s="2423"/>
    </row>
    <row r="6176" spans="6:6">
      <c r="F6176" s="2423"/>
    </row>
    <row r="6177" spans="6:6">
      <c r="F6177" s="2423"/>
    </row>
    <row r="6178" spans="6:6">
      <c r="F6178" s="2423"/>
    </row>
    <row r="6179" spans="6:6">
      <c r="F6179" s="2423"/>
    </row>
    <row r="6180" spans="6:6">
      <c r="F6180" s="2423"/>
    </row>
    <row r="6181" spans="6:6">
      <c r="F6181" s="2423"/>
    </row>
    <row r="6182" spans="6:6">
      <c r="F6182" s="2423"/>
    </row>
    <row r="6183" spans="6:6">
      <c r="F6183" s="2423"/>
    </row>
    <row r="6184" spans="6:6">
      <c r="F6184" s="2423"/>
    </row>
    <row r="6185" spans="6:6">
      <c r="F6185" s="2423"/>
    </row>
    <row r="6186" spans="6:6">
      <c r="F6186" s="2423"/>
    </row>
    <row r="6187" spans="6:6">
      <c r="F6187" s="2423"/>
    </row>
    <row r="6188" spans="6:6">
      <c r="F6188" s="2423"/>
    </row>
    <row r="6189" spans="6:6">
      <c r="F6189" s="2423"/>
    </row>
    <row r="6190" spans="6:6">
      <c r="F6190" s="2423"/>
    </row>
    <row r="6191" spans="6:6">
      <c r="F6191" s="2423"/>
    </row>
    <row r="6192" spans="6:6">
      <c r="F6192" s="2423"/>
    </row>
    <row r="6193" spans="6:6">
      <c r="F6193" s="2423"/>
    </row>
    <row r="6194" spans="6:6">
      <c r="F6194" s="2423"/>
    </row>
    <row r="6195" spans="6:6">
      <c r="F6195" s="2423"/>
    </row>
    <row r="6196" spans="6:6">
      <c r="F6196" s="2423"/>
    </row>
    <row r="6197" spans="6:6">
      <c r="F6197" s="2423"/>
    </row>
    <row r="6198" spans="6:6">
      <c r="F6198" s="2423"/>
    </row>
    <row r="6199" spans="6:6">
      <c r="F6199" s="2423"/>
    </row>
    <row r="6200" spans="6:6">
      <c r="F6200" s="2423"/>
    </row>
    <row r="6201" spans="6:6">
      <c r="F6201" s="2423"/>
    </row>
    <row r="6202" spans="6:6">
      <c r="F6202" s="2423"/>
    </row>
    <row r="6203" spans="6:6">
      <c r="F6203" s="2423"/>
    </row>
    <row r="6204" spans="6:6">
      <c r="F6204" s="2423"/>
    </row>
    <row r="6205" spans="6:6">
      <c r="F6205" s="2423"/>
    </row>
    <row r="6206" spans="6:6">
      <c r="F6206" s="2423"/>
    </row>
    <row r="6207" spans="6:6">
      <c r="F6207" s="2423"/>
    </row>
    <row r="6208" spans="6:6">
      <c r="F6208" s="2423"/>
    </row>
    <row r="6209" spans="6:6">
      <c r="F6209" s="2423"/>
    </row>
    <row r="6210" spans="6:6">
      <c r="F6210" s="2423"/>
    </row>
    <row r="6211" spans="6:6">
      <c r="F6211" s="2423"/>
    </row>
    <row r="6212" spans="6:6">
      <c r="F6212" s="2423"/>
    </row>
    <row r="6213" spans="6:6">
      <c r="F6213" s="2423"/>
    </row>
    <row r="6214" spans="6:6">
      <c r="F6214" s="2423"/>
    </row>
    <row r="6215" spans="6:6">
      <c r="F6215" s="2423"/>
    </row>
    <row r="6216" spans="6:6">
      <c r="F6216" s="2423"/>
    </row>
    <row r="6217" spans="6:6">
      <c r="F6217" s="2423"/>
    </row>
    <row r="6218" spans="6:6">
      <c r="F6218" s="2423"/>
    </row>
    <row r="6219" spans="6:6">
      <c r="F6219" s="2423"/>
    </row>
    <row r="6220" spans="6:6">
      <c r="F6220" s="2423"/>
    </row>
    <row r="6221" spans="6:6">
      <c r="F6221" s="2423"/>
    </row>
    <row r="6222" spans="6:6">
      <c r="F6222" s="2423"/>
    </row>
    <row r="6223" spans="6:6">
      <c r="F6223" s="2423"/>
    </row>
    <row r="6224" spans="6:6">
      <c r="F6224" s="2423"/>
    </row>
    <row r="6225" spans="6:6">
      <c r="F6225" s="2423"/>
    </row>
    <row r="6226" spans="6:6">
      <c r="F6226" s="2423"/>
    </row>
    <row r="6227" spans="6:6">
      <c r="F6227" s="2423"/>
    </row>
    <row r="6228" spans="6:6">
      <c r="F6228" s="2423"/>
    </row>
    <row r="6229" spans="6:6">
      <c r="F6229" s="2423"/>
    </row>
    <row r="6230" spans="6:6">
      <c r="F6230" s="2423"/>
    </row>
    <row r="6231" spans="6:6">
      <c r="F6231" s="2423"/>
    </row>
    <row r="6232" spans="6:6">
      <c r="F6232" s="2423"/>
    </row>
    <row r="6233" spans="6:6">
      <c r="F6233" s="2423"/>
    </row>
    <row r="6234" spans="6:6">
      <c r="F6234" s="2423"/>
    </row>
    <row r="6235" spans="6:6">
      <c r="F6235" s="2423"/>
    </row>
    <row r="6236" spans="6:6">
      <c r="F6236" s="2423"/>
    </row>
    <row r="6237" spans="6:6">
      <c r="F6237" s="2423"/>
    </row>
    <row r="6238" spans="6:6">
      <c r="F6238" s="2423"/>
    </row>
    <row r="6239" spans="6:6">
      <c r="F6239" s="2423"/>
    </row>
    <row r="6240" spans="6:6">
      <c r="F6240" s="2423"/>
    </row>
    <row r="6241" spans="6:6">
      <c r="F6241" s="2423"/>
    </row>
    <row r="6242" spans="6:6">
      <c r="F6242" s="2423"/>
    </row>
    <row r="6243" spans="6:6">
      <c r="F6243" s="2423"/>
    </row>
    <row r="6244" spans="6:6">
      <c r="F6244" s="2423"/>
    </row>
    <row r="6245" spans="6:6">
      <c r="F6245" s="2423"/>
    </row>
    <row r="6246" spans="6:6">
      <c r="F6246" s="2423"/>
    </row>
    <row r="6247" spans="6:6">
      <c r="F6247" s="2423"/>
    </row>
    <row r="6248" spans="6:6">
      <c r="F6248" s="2423"/>
    </row>
    <row r="6249" spans="6:6">
      <c r="F6249" s="2423"/>
    </row>
    <row r="6250" spans="6:6">
      <c r="F6250" s="2423"/>
    </row>
    <row r="6251" spans="6:6">
      <c r="F6251" s="2423"/>
    </row>
    <row r="6252" spans="6:6">
      <c r="F6252" s="2423"/>
    </row>
    <row r="6253" spans="6:6">
      <c r="F6253" s="2423"/>
    </row>
    <row r="6254" spans="6:6">
      <c r="F6254" s="2423"/>
    </row>
    <row r="6255" spans="6:6">
      <c r="F6255" s="2423"/>
    </row>
    <row r="6256" spans="6:6">
      <c r="F6256" s="2423"/>
    </row>
    <row r="6257" spans="6:6">
      <c r="F6257" s="2423"/>
    </row>
    <row r="6258" spans="6:6">
      <c r="F6258" s="2423"/>
    </row>
    <row r="6259" spans="6:6">
      <c r="F6259" s="2423"/>
    </row>
    <row r="6260" spans="6:6">
      <c r="F6260" s="2423"/>
    </row>
    <row r="6261" spans="6:6">
      <c r="F6261" s="2423"/>
    </row>
    <row r="6262" spans="6:6">
      <c r="F6262" s="2423"/>
    </row>
    <row r="6263" spans="6:6">
      <c r="F6263" s="2423"/>
    </row>
    <row r="6264" spans="6:6">
      <c r="F6264" s="2423"/>
    </row>
    <row r="6265" spans="6:6">
      <c r="F6265" s="2423"/>
    </row>
    <row r="6266" spans="6:6">
      <c r="F6266" s="2423"/>
    </row>
    <row r="6267" spans="6:6">
      <c r="F6267" s="2423"/>
    </row>
    <row r="6268" spans="6:6">
      <c r="F6268" s="2423"/>
    </row>
    <row r="6269" spans="6:6">
      <c r="F6269" s="2423"/>
    </row>
    <row r="6270" spans="6:6">
      <c r="F6270" s="2423"/>
    </row>
    <row r="6271" spans="6:6">
      <c r="F6271" s="2423"/>
    </row>
    <row r="6272" spans="6:6">
      <c r="F6272" s="2423"/>
    </row>
    <row r="6273" spans="6:6">
      <c r="F6273" s="2423"/>
    </row>
    <row r="6274" spans="6:6">
      <c r="F6274" s="2423"/>
    </row>
    <row r="6275" spans="6:6">
      <c r="F6275" s="2423"/>
    </row>
    <row r="6276" spans="6:6">
      <c r="F6276" s="2423"/>
    </row>
    <row r="6277" spans="6:6">
      <c r="F6277" s="2423"/>
    </row>
    <row r="6278" spans="6:6">
      <c r="F6278" s="2423"/>
    </row>
    <row r="6279" spans="6:6">
      <c r="F6279" s="2423"/>
    </row>
    <row r="6280" spans="6:6">
      <c r="F6280" s="2423"/>
    </row>
    <row r="6281" spans="6:6">
      <c r="F6281" s="2423"/>
    </row>
    <row r="6282" spans="6:6">
      <c r="F6282" s="2423"/>
    </row>
    <row r="6283" spans="6:6">
      <c r="F6283" s="2423"/>
    </row>
    <row r="6284" spans="6:6">
      <c r="F6284" s="2423"/>
    </row>
    <row r="6285" spans="6:6">
      <c r="F6285" s="2423"/>
    </row>
    <row r="6286" spans="6:6">
      <c r="F6286" s="2423"/>
    </row>
    <row r="6287" spans="6:6">
      <c r="F6287" s="2423"/>
    </row>
    <row r="6288" spans="6:6">
      <c r="F6288" s="2423"/>
    </row>
    <row r="6289" spans="6:6">
      <c r="F6289" s="2423"/>
    </row>
    <row r="6290" spans="6:6">
      <c r="F6290" s="2423"/>
    </row>
    <row r="6291" spans="6:6">
      <c r="F6291" s="2423"/>
    </row>
    <row r="6292" spans="6:6">
      <c r="F6292" s="2423"/>
    </row>
    <row r="6293" spans="6:6">
      <c r="F6293" s="2423"/>
    </row>
    <row r="6294" spans="6:6">
      <c r="F6294" s="2423"/>
    </row>
    <row r="6295" spans="6:6">
      <c r="F6295" s="2423"/>
    </row>
    <row r="6296" spans="6:6">
      <c r="F6296" s="2423"/>
    </row>
    <row r="6297" spans="6:6">
      <c r="F6297" s="2423"/>
    </row>
    <row r="6298" spans="6:6">
      <c r="F6298" s="2423"/>
    </row>
    <row r="6299" spans="6:6">
      <c r="F6299" s="2423"/>
    </row>
    <row r="6300" spans="6:6">
      <c r="F6300" s="2423"/>
    </row>
    <row r="6301" spans="6:6">
      <c r="F6301" s="2423"/>
    </row>
    <row r="6302" spans="6:6">
      <c r="F6302" s="2423"/>
    </row>
    <row r="6303" spans="6:6">
      <c r="F6303" s="2423"/>
    </row>
    <row r="6304" spans="6:6">
      <c r="F6304" s="2423"/>
    </row>
    <row r="6305" spans="6:6">
      <c r="F6305" s="2423"/>
    </row>
    <row r="6306" spans="6:6">
      <c r="F6306" s="2423"/>
    </row>
    <row r="6307" spans="6:6">
      <c r="F6307" s="2423"/>
    </row>
    <row r="6308" spans="6:6">
      <c r="F6308" s="2423"/>
    </row>
    <row r="6309" spans="6:6">
      <c r="F6309" s="2423"/>
    </row>
    <row r="6310" spans="6:6">
      <c r="F6310" s="2423"/>
    </row>
    <row r="6311" spans="6:6">
      <c r="F6311" s="2423"/>
    </row>
    <row r="6312" spans="6:6">
      <c r="F6312" s="2423"/>
    </row>
    <row r="6313" spans="6:6">
      <c r="F6313" s="2423"/>
    </row>
    <row r="6314" spans="6:6">
      <c r="F6314" s="2423"/>
    </row>
    <row r="6315" spans="6:6">
      <c r="F6315" s="2423"/>
    </row>
    <row r="6316" spans="6:6">
      <c r="F6316" s="2423"/>
    </row>
    <row r="6317" spans="6:6">
      <c r="F6317" s="2423"/>
    </row>
    <row r="6318" spans="6:6">
      <c r="F6318" s="2423"/>
    </row>
    <row r="6319" spans="6:6">
      <c r="F6319" s="2423"/>
    </row>
    <row r="6320" spans="6:6">
      <c r="F6320" s="2423"/>
    </row>
    <row r="6321" spans="6:6">
      <c r="F6321" s="2423"/>
    </row>
    <row r="6322" spans="6:6">
      <c r="F6322" s="2423"/>
    </row>
    <row r="6323" spans="6:6">
      <c r="F6323" s="2423"/>
    </row>
    <row r="6324" spans="6:6">
      <c r="F6324" s="2423"/>
    </row>
    <row r="6325" spans="6:6">
      <c r="F6325" s="2423"/>
    </row>
    <row r="6326" spans="6:6">
      <c r="F6326" s="2423"/>
    </row>
    <row r="6327" spans="6:6">
      <c r="F6327" s="2423"/>
    </row>
    <row r="6328" spans="6:6">
      <c r="F6328" s="2423"/>
    </row>
    <row r="6329" spans="6:6">
      <c r="F6329" s="2423"/>
    </row>
    <row r="6330" spans="6:6">
      <c r="F6330" s="2423"/>
    </row>
    <row r="6331" spans="6:6">
      <c r="F6331" s="2423"/>
    </row>
    <row r="6332" spans="6:6">
      <c r="F6332" s="2423"/>
    </row>
    <row r="6333" spans="6:6">
      <c r="F6333" s="2423"/>
    </row>
    <row r="6334" spans="6:6">
      <c r="F6334" s="2423"/>
    </row>
    <row r="6335" spans="6:6">
      <c r="F6335" s="2423"/>
    </row>
    <row r="6336" spans="6:6">
      <c r="F6336" s="2423"/>
    </row>
    <row r="6337" spans="6:6">
      <c r="F6337" s="2423"/>
    </row>
    <row r="6338" spans="6:6">
      <c r="F6338" s="2423"/>
    </row>
    <row r="6339" spans="6:6">
      <c r="F6339" s="2423"/>
    </row>
    <row r="6340" spans="6:6">
      <c r="F6340" s="2423"/>
    </row>
    <row r="6341" spans="6:6">
      <c r="F6341" s="2423"/>
    </row>
    <row r="6342" spans="6:6">
      <c r="F6342" s="2423"/>
    </row>
    <row r="6343" spans="6:6">
      <c r="F6343" s="2423"/>
    </row>
    <row r="6344" spans="6:6">
      <c r="F6344" s="2423"/>
    </row>
    <row r="6345" spans="6:6">
      <c r="F6345" s="2423"/>
    </row>
    <row r="6346" spans="6:6">
      <c r="F6346" s="2423"/>
    </row>
    <row r="6347" spans="6:6">
      <c r="F6347" s="2423"/>
    </row>
    <row r="6348" spans="6:6">
      <c r="F6348" s="2423"/>
    </row>
    <row r="6349" spans="6:6">
      <c r="F6349" s="2423"/>
    </row>
    <row r="6350" spans="6:6">
      <c r="F6350" s="2423"/>
    </row>
    <row r="6351" spans="6:6">
      <c r="F6351" s="2423"/>
    </row>
    <row r="6352" spans="6:6">
      <c r="F6352" s="2423"/>
    </row>
    <row r="6353" spans="6:6">
      <c r="F6353" s="2423"/>
    </row>
    <row r="6354" spans="6:6">
      <c r="F6354" s="2423"/>
    </row>
    <row r="6355" spans="6:6">
      <c r="F6355" s="2423"/>
    </row>
    <row r="6356" spans="6:6">
      <c r="F6356" s="2423"/>
    </row>
    <row r="6357" spans="6:6">
      <c r="F6357" s="2423"/>
    </row>
    <row r="6358" spans="6:6">
      <c r="F6358" s="2423"/>
    </row>
    <row r="6359" spans="6:6">
      <c r="F6359" s="2423"/>
    </row>
    <row r="6360" spans="6:6">
      <c r="F6360" s="2423"/>
    </row>
    <row r="6361" spans="6:6">
      <c r="F6361" s="2423"/>
    </row>
    <row r="6362" spans="6:6">
      <c r="F6362" s="2423"/>
    </row>
    <row r="6363" spans="6:6">
      <c r="F6363" s="2423"/>
    </row>
    <row r="6364" spans="6:6">
      <c r="F6364" s="2423"/>
    </row>
    <row r="6365" spans="6:6">
      <c r="F6365" s="2423"/>
    </row>
    <row r="6366" spans="6:6">
      <c r="F6366" s="2423"/>
    </row>
    <row r="6367" spans="6:6">
      <c r="F6367" s="2423"/>
    </row>
    <row r="6368" spans="6:6">
      <c r="F6368" s="2423"/>
    </row>
    <row r="6369" spans="6:6">
      <c r="F6369" s="2423"/>
    </row>
    <row r="6370" spans="6:6">
      <c r="F6370" s="2423"/>
    </row>
    <row r="6371" spans="6:6">
      <c r="F6371" s="2423"/>
    </row>
    <row r="6372" spans="6:6">
      <c r="F6372" s="2423"/>
    </row>
    <row r="6373" spans="6:6">
      <c r="F6373" s="2423"/>
    </row>
    <row r="6374" spans="6:6">
      <c r="F6374" s="2423"/>
    </row>
    <row r="6375" spans="6:6">
      <c r="F6375" s="2423"/>
    </row>
    <row r="6376" spans="6:6">
      <c r="F6376" s="2423"/>
    </row>
    <row r="6377" spans="6:6">
      <c r="F6377" s="2423"/>
    </row>
    <row r="6378" spans="6:6">
      <c r="F6378" s="2423"/>
    </row>
    <row r="6379" spans="6:6">
      <c r="F6379" s="2423"/>
    </row>
    <row r="6380" spans="6:6">
      <c r="F6380" s="2423"/>
    </row>
    <row r="6381" spans="6:6">
      <c r="F6381" s="2423"/>
    </row>
    <row r="6382" spans="6:6">
      <c r="F6382" s="2423"/>
    </row>
    <row r="6383" spans="6:6">
      <c r="F6383" s="2423"/>
    </row>
    <row r="6384" spans="6:6">
      <c r="F6384" s="2423"/>
    </row>
    <row r="6385" spans="6:6">
      <c r="F6385" s="2423"/>
    </row>
    <row r="6386" spans="6:6">
      <c r="F6386" s="2423"/>
    </row>
    <row r="6387" spans="6:6">
      <c r="F6387" s="2423"/>
    </row>
    <row r="6388" spans="6:6">
      <c r="F6388" s="2423"/>
    </row>
    <row r="6389" spans="6:6">
      <c r="F6389" s="2423"/>
    </row>
    <row r="6390" spans="6:6">
      <c r="F6390" s="2423"/>
    </row>
    <row r="6391" spans="6:6">
      <c r="F6391" s="2423"/>
    </row>
    <row r="6392" spans="6:6">
      <c r="F6392" s="2423"/>
    </row>
    <row r="6393" spans="6:6">
      <c r="F6393" s="2423"/>
    </row>
    <row r="6394" spans="6:6">
      <c r="F6394" s="2423"/>
    </row>
    <row r="6395" spans="6:6">
      <c r="F6395" s="2423"/>
    </row>
    <row r="6396" spans="6:6">
      <c r="F6396" s="2423"/>
    </row>
    <row r="6397" spans="6:6">
      <c r="F6397" s="2423"/>
    </row>
    <row r="6398" spans="6:6">
      <c r="F6398" s="2423"/>
    </row>
    <row r="6399" spans="6:6">
      <c r="F6399" s="2423"/>
    </row>
    <row r="6400" spans="6:6">
      <c r="F6400" s="2423"/>
    </row>
    <row r="6401" spans="6:6">
      <c r="F6401" s="2423"/>
    </row>
    <row r="6402" spans="6:6">
      <c r="F6402" s="2423"/>
    </row>
    <row r="6403" spans="6:6">
      <c r="F6403" s="2423"/>
    </row>
    <row r="6404" spans="6:6">
      <c r="F6404" s="2423"/>
    </row>
    <row r="6405" spans="6:6">
      <c r="F6405" s="2423"/>
    </row>
    <row r="6406" spans="6:6">
      <c r="F6406" s="2423"/>
    </row>
    <row r="6407" spans="6:6">
      <c r="F6407" s="2423"/>
    </row>
    <row r="6408" spans="6:6">
      <c r="F6408" s="2423"/>
    </row>
    <row r="6409" spans="6:6">
      <c r="F6409" s="2423"/>
    </row>
    <row r="6410" spans="6:6">
      <c r="F6410" s="2423"/>
    </row>
    <row r="6411" spans="6:6">
      <c r="F6411" s="2423"/>
    </row>
    <row r="6412" spans="6:6">
      <c r="F6412" s="2423"/>
    </row>
    <row r="6413" spans="6:6">
      <c r="F6413" s="2423"/>
    </row>
    <row r="6414" spans="6:6">
      <c r="F6414" s="2423"/>
    </row>
    <row r="6415" spans="6:6">
      <c r="F6415" s="2423"/>
    </row>
    <row r="6416" spans="6:6">
      <c r="F6416" s="2423"/>
    </row>
    <row r="6417" spans="6:6">
      <c r="F6417" s="2423"/>
    </row>
    <row r="6418" spans="6:6">
      <c r="F6418" s="2423"/>
    </row>
    <row r="6419" spans="6:6">
      <c r="F6419" s="2423"/>
    </row>
    <row r="6420" spans="6:6">
      <c r="F6420" s="2423"/>
    </row>
    <row r="6421" spans="6:6">
      <c r="F6421" s="2423"/>
    </row>
    <row r="6422" spans="6:6">
      <c r="F6422" s="2423"/>
    </row>
    <row r="6423" spans="6:6">
      <c r="F6423" s="2423"/>
    </row>
    <row r="6424" spans="6:6">
      <c r="F6424" s="2423"/>
    </row>
    <row r="6425" spans="6:6">
      <c r="F6425" s="2423"/>
    </row>
    <row r="6426" spans="6:6">
      <c r="F6426" s="2423"/>
    </row>
    <row r="6427" spans="6:6">
      <c r="F6427" s="2423"/>
    </row>
    <row r="6428" spans="6:6">
      <c r="F6428" s="2423"/>
    </row>
    <row r="6429" spans="6:6">
      <c r="F6429" s="2423"/>
    </row>
    <row r="6430" spans="6:6">
      <c r="F6430" s="2423"/>
    </row>
    <row r="6431" spans="6:6">
      <c r="F6431" s="2423"/>
    </row>
    <row r="6432" spans="6:6">
      <c r="F6432" s="2423"/>
    </row>
    <row r="6433" spans="6:6">
      <c r="F6433" s="2423"/>
    </row>
    <row r="6434" spans="6:6">
      <c r="F6434" s="2423"/>
    </row>
    <row r="6435" spans="6:6">
      <c r="F6435" s="2423"/>
    </row>
    <row r="6436" spans="6:6">
      <c r="F6436" s="2423"/>
    </row>
    <row r="6437" spans="6:6">
      <c r="F6437" s="2423"/>
    </row>
    <row r="6438" spans="6:6">
      <c r="F6438" s="2423"/>
    </row>
    <row r="6439" spans="6:6">
      <c r="F6439" s="2423"/>
    </row>
    <row r="6440" spans="6:6">
      <c r="F6440" s="2423"/>
    </row>
    <row r="6441" spans="6:6">
      <c r="F6441" s="2423"/>
    </row>
    <row r="6442" spans="6:6">
      <c r="F6442" s="2423"/>
    </row>
    <row r="6443" spans="6:6">
      <c r="F6443" s="2423"/>
    </row>
    <row r="6444" spans="6:6">
      <c r="F6444" s="2423"/>
    </row>
    <row r="6445" spans="6:6">
      <c r="F6445" s="2423"/>
    </row>
    <row r="6446" spans="6:6">
      <c r="F6446" s="2423"/>
    </row>
    <row r="6447" spans="6:6">
      <c r="F6447" s="2423"/>
    </row>
    <row r="6448" spans="6:6">
      <c r="F6448" s="2423"/>
    </row>
    <row r="6449" spans="6:6">
      <c r="F6449" s="2423"/>
    </row>
    <row r="6450" spans="6:6">
      <c r="F6450" s="2423"/>
    </row>
    <row r="6451" spans="6:6">
      <c r="F6451" s="2423"/>
    </row>
    <row r="6452" spans="6:6">
      <c r="F6452" s="2423"/>
    </row>
    <row r="6453" spans="6:6">
      <c r="F6453" s="2423"/>
    </row>
    <row r="6454" spans="6:6">
      <c r="F6454" s="2423"/>
    </row>
    <row r="6455" spans="6:6">
      <c r="F6455" s="2423"/>
    </row>
    <row r="6456" spans="6:6">
      <c r="F6456" s="2423"/>
    </row>
    <row r="6457" spans="6:6">
      <c r="F6457" s="2423"/>
    </row>
    <row r="6458" spans="6:6">
      <c r="F6458" s="2423"/>
    </row>
    <row r="6459" spans="6:6">
      <c r="F6459" s="2423"/>
    </row>
    <row r="6460" spans="6:6">
      <c r="F6460" s="2423"/>
    </row>
    <row r="6461" spans="6:6">
      <c r="F6461" s="2423"/>
    </row>
    <row r="6462" spans="6:6">
      <c r="F6462" s="2423"/>
    </row>
    <row r="6463" spans="6:6">
      <c r="F6463" s="2423"/>
    </row>
    <row r="6464" spans="6:6">
      <c r="F6464" s="2423"/>
    </row>
    <row r="6465" spans="6:6">
      <c r="F6465" s="2423"/>
    </row>
    <row r="6466" spans="6:6">
      <c r="F6466" s="2423"/>
    </row>
    <row r="6467" spans="6:6">
      <c r="F6467" s="2423"/>
    </row>
    <row r="6468" spans="6:6">
      <c r="F6468" s="2423"/>
    </row>
    <row r="6469" spans="6:6">
      <c r="F6469" s="2423"/>
    </row>
    <row r="6470" spans="6:6">
      <c r="F6470" s="2423"/>
    </row>
    <row r="6471" spans="6:6">
      <c r="F6471" s="2423"/>
    </row>
    <row r="6472" spans="6:6">
      <c r="F6472" s="2423"/>
    </row>
    <row r="6473" spans="6:6">
      <c r="F6473" s="2423"/>
    </row>
    <row r="6474" spans="6:6">
      <c r="F6474" s="2423"/>
    </row>
    <row r="6475" spans="6:6">
      <c r="F6475" s="2423"/>
    </row>
    <row r="6476" spans="6:6">
      <c r="F6476" s="2423"/>
    </row>
    <row r="6477" spans="6:6">
      <c r="F6477" s="2423"/>
    </row>
    <row r="6478" spans="6:6">
      <c r="F6478" s="2423"/>
    </row>
    <row r="6479" spans="6:6">
      <c r="F6479" s="2423"/>
    </row>
    <row r="6480" spans="6:6">
      <c r="F6480" s="2423"/>
    </row>
    <row r="6481" spans="6:6">
      <c r="F6481" s="2423"/>
    </row>
    <row r="6482" spans="6:6">
      <c r="F6482" s="2423"/>
    </row>
    <row r="6483" spans="6:6">
      <c r="F6483" s="2423"/>
    </row>
    <row r="6484" spans="6:6">
      <c r="F6484" s="2423"/>
    </row>
    <row r="6485" spans="6:6">
      <c r="F6485" s="2423"/>
    </row>
    <row r="6486" spans="6:6">
      <c r="F6486" s="2423"/>
    </row>
    <row r="6487" spans="6:6">
      <c r="F6487" s="2423"/>
    </row>
    <row r="6488" spans="6:6">
      <c r="F6488" s="2423"/>
    </row>
    <row r="6489" spans="6:6">
      <c r="F6489" s="2423"/>
    </row>
    <row r="6490" spans="6:6">
      <c r="F6490" s="2423"/>
    </row>
    <row r="6491" spans="6:6">
      <c r="F6491" s="2423"/>
    </row>
    <row r="6492" spans="6:6">
      <c r="F6492" s="2423"/>
    </row>
    <row r="6493" spans="6:6">
      <c r="F6493" s="2423"/>
    </row>
    <row r="6494" spans="6:6">
      <c r="F6494" s="2423"/>
    </row>
    <row r="6495" spans="6:6">
      <c r="F6495" s="2423"/>
    </row>
    <row r="6496" spans="6:6">
      <c r="F6496" s="2423"/>
    </row>
    <row r="6497" spans="6:6">
      <c r="F6497" s="2423"/>
    </row>
    <row r="6498" spans="6:6">
      <c r="F6498" s="2423"/>
    </row>
    <row r="6499" spans="6:6">
      <c r="F6499" s="2423"/>
    </row>
    <row r="6500" spans="6:6">
      <c r="F6500" s="2423"/>
    </row>
    <row r="6501" spans="6:6">
      <c r="F6501" s="2423"/>
    </row>
    <row r="6502" spans="6:6">
      <c r="F6502" s="2423"/>
    </row>
    <row r="6503" spans="6:6">
      <c r="F6503" s="2423"/>
    </row>
    <row r="6504" spans="6:6">
      <c r="F6504" s="2423"/>
    </row>
    <row r="6505" spans="6:6">
      <c r="F6505" s="2423"/>
    </row>
    <row r="6506" spans="6:6">
      <c r="F6506" s="2423"/>
    </row>
    <row r="6507" spans="6:6">
      <c r="F6507" s="2423"/>
    </row>
    <row r="6508" spans="6:6">
      <c r="F6508" s="2423"/>
    </row>
    <row r="6509" spans="6:6">
      <c r="F6509" s="2423"/>
    </row>
    <row r="6510" spans="6:6">
      <c r="F6510" s="2423"/>
    </row>
    <row r="6511" spans="6:6">
      <c r="F6511" s="2423"/>
    </row>
    <row r="6512" spans="6:6">
      <c r="F6512" s="2423"/>
    </row>
    <row r="6513" spans="6:6">
      <c r="F6513" s="2423"/>
    </row>
    <row r="6514" spans="6:6">
      <c r="F6514" s="2423"/>
    </row>
    <row r="6515" spans="6:6">
      <c r="F6515" s="2423"/>
    </row>
    <row r="6516" spans="6:6">
      <c r="F6516" s="2423"/>
    </row>
    <row r="6517" spans="6:6">
      <c r="F6517" s="2423"/>
    </row>
    <row r="6518" spans="6:6">
      <c r="F6518" s="2423"/>
    </row>
    <row r="6519" spans="6:6">
      <c r="F6519" s="2423"/>
    </row>
    <row r="6520" spans="6:6">
      <c r="F6520" s="2423"/>
    </row>
    <row r="6521" spans="6:6">
      <c r="F6521" s="2423"/>
    </row>
    <row r="6522" spans="6:6">
      <c r="F6522" s="2423"/>
    </row>
    <row r="6523" spans="6:6">
      <c r="F6523" s="2423"/>
    </row>
    <row r="6524" spans="6:6">
      <c r="F6524" s="2423"/>
    </row>
    <row r="6525" spans="6:6">
      <c r="F6525" s="2423"/>
    </row>
    <row r="6526" spans="6:6">
      <c r="F6526" s="2423"/>
    </row>
    <row r="6527" spans="6:6">
      <c r="F6527" s="2423"/>
    </row>
    <row r="6528" spans="6:6">
      <c r="F6528" s="2423"/>
    </row>
    <row r="6529" spans="6:6">
      <c r="F6529" s="2423"/>
    </row>
    <row r="6530" spans="6:6">
      <c r="F6530" s="2423"/>
    </row>
    <row r="6531" spans="6:6">
      <c r="F6531" s="2423"/>
    </row>
    <row r="6532" spans="6:6">
      <c r="F6532" s="2423"/>
    </row>
    <row r="6533" spans="6:6">
      <c r="F6533" s="2423"/>
    </row>
    <row r="6534" spans="6:6">
      <c r="F6534" s="2423"/>
    </row>
    <row r="6535" spans="6:6">
      <c r="F6535" s="2423"/>
    </row>
    <row r="6536" spans="6:6">
      <c r="F6536" s="2423"/>
    </row>
    <row r="6537" spans="6:6">
      <c r="F6537" s="2423"/>
    </row>
    <row r="6538" spans="6:6">
      <c r="F6538" s="2423"/>
    </row>
    <row r="6539" spans="6:6">
      <c r="F6539" s="2423"/>
    </row>
    <row r="6540" spans="6:6">
      <c r="F6540" s="2423"/>
    </row>
    <row r="6541" spans="6:6">
      <c r="F6541" s="2423"/>
    </row>
    <row r="6542" spans="6:6">
      <c r="F6542" s="2423"/>
    </row>
    <row r="6543" spans="6:6">
      <c r="F6543" s="2423"/>
    </row>
    <row r="6544" spans="6:6">
      <c r="F6544" s="2423"/>
    </row>
    <row r="6545" spans="6:6">
      <c r="F6545" s="2423"/>
    </row>
    <row r="6546" spans="6:6">
      <c r="F6546" s="2423"/>
    </row>
    <row r="6547" spans="6:6">
      <c r="F6547" s="2423"/>
    </row>
    <row r="6548" spans="6:6">
      <c r="F6548" s="2423"/>
    </row>
    <row r="6549" spans="6:6">
      <c r="F6549" s="2423"/>
    </row>
    <row r="6550" spans="6:6">
      <c r="F6550" s="2423"/>
    </row>
    <row r="6551" spans="6:6">
      <c r="F6551" s="2423"/>
    </row>
    <row r="6552" spans="6:6">
      <c r="F6552" s="2423"/>
    </row>
    <row r="6553" spans="6:6">
      <c r="F6553" s="2423"/>
    </row>
    <row r="6554" spans="6:6">
      <c r="F6554" s="2423"/>
    </row>
    <row r="6555" spans="6:6">
      <c r="F6555" s="2423"/>
    </row>
    <row r="6556" spans="6:6">
      <c r="F6556" s="2423"/>
    </row>
    <row r="6557" spans="6:6">
      <c r="F6557" s="2423"/>
    </row>
    <row r="6558" spans="6:6">
      <c r="F6558" s="2423"/>
    </row>
    <row r="6559" spans="6:6">
      <c r="F6559" s="2423"/>
    </row>
    <row r="6560" spans="6:6">
      <c r="F6560" s="2423"/>
    </row>
    <row r="6561" spans="6:6">
      <c r="F6561" s="2423"/>
    </row>
    <row r="6562" spans="6:6">
      <c r="F6562" s="2423"/>
    </row>
    <row r="6563" spans="6:6">
      <c r="F6563" s="2423"/>
    </row>
    <row r="6564" spans="6:6">
      <c r="F6564" s="2423"/>
    </row>
    <row r="6565" spans="6:6">
      <c r="F6565" s="2423"/>
    </row>
    <row r="6566" spans="6:6">
      <c r="F6566" s="2423"/>
    </row>
    <row r="6567" spans="6:6">
      <c r="F6567" s="2423"/>
    </row>
    <row r="6568" spans="6:6">
      <c r="F6568" s="2423"/>
    </row>
    <row r="6569" spans="6:6">
      <c r="F6569" s="2423"/>
    </row>
    <row r="6570" spans="6:6">
      <c r="F6570" s="2423"/>
    </row>
    <row r="6571" spans="6:6">
      <c r="F6571" s="2423"/>
    </row>
    <row r="6572" spans="6:6">
      <c r="F6572" s="2423"/>
    </row>
    <row r="6573" spans="6:6">
      <c r="F6573" s="2423"/>
    </row>
    <row r="6574" spans="6:6">
      <c r="F6574" s="2423"/>
    </row>
    <row r="6575" spans="6:6">
      <c r="F6575" s="2423"/>
    </row>
    <row r="6576" spans="6:6">
      <c r="F6576" s="2423"/>
    </row>
    <row r="6577" spans="6:6">
      <c r="F6577" s="2423"/>
    </row>
    <row r="6578" spans="6:6">
      <c r="F6578" s="2423"/>
    </row>
    <row r="6579" spans="6:6">
      <c r="F6579" s="2423"/>
    </row>
    <row r="6580" spans="6:6">
      <c r="F6580" s="2423"/>
    </row>
    <row r="6581" spans="6:6">
      <c r="F6581" s="2423"/>
    </row>
    <row r="6582" spans="6:6">
      <c r="F6582" s="2423"/>
    </row>
    <row r="6583" spans="6:6">
      <c r="F6583" s="2423"/>
    </row>
    <row r="6584" spans="6:6">
      <c r="F6584" s="2423"/>
    </row>
    <row r="6585" spans="6:6">
      <c r="F6585" s="2423"/>
    </row>
    <row r="6586" spans="6:6">
      <c r="F6586" s="2423"/>
    </row>
    <row r="6587" spans="6:6">
      <c r="F6587" s="2423"/>
    </row>
    <row r="6588" spans="6:6">
      <c r="F6588" s="2423"/>
    </row>
    <row r="6589" spans="6:6">
      <c r="F6589" s="2423"/>
    </row>
    <row r="6590" spans="6:6">
      <c r="F6590" s="2423"/>
    </row>
    <row r="6591" spans="6:6">
      <c r="F6591" s="2423"/>
    </row>
    <row r="6592" spans="6:6">
      <c r="F6592" s="2423"/>
    </row>
    <row r="6593" spans="6:6">
      <c r="F6593" s="2423"/>
    </row>
    <row r="6594" spans="6:6">
      <c r="F6594" s="2423"/>
    </row>
    <row r="6595" spans="6:6">
      <c r="F6595" s="2423"/>
    </row>
    <row r="6596" spans="6:6">
      <c r="F6596" s="2423"/>
    </row>
    <row r="6597" spans="6:6">
      <c r="F6597" s="2423"/>
    </row>
    <row r="6598" spans="6:6">
      <c r="F6598" s="2423"/>
    </row>
    <row r="6599" spans="6:6">
      <c r="F6599" s="2423"/>
    </row>
    <row r="6600" spans="6:6">
      <c r="F6600" s="2423"/>
    </row>
    <row r="6601" spans="6:6">
      <c r="F6601" s="2423"/>
    </row>
    <row r="6602" spans="6:6">
      <c r="F6602" s="2423"/>
    </row>
    <row r="6603" spans="6:6">
      <c r="F6603" s="2423"/>
    </row>
    <row r="6604" spans="6:6">
      <c r="F6604" s="2423"/>
    </row>
    <row r="6605" spans="6:6">
      <c r="F6605" s="2423"/>
    </row>
    <row r="6606" spans="6:6">
      <c r="F6606" s="2423"/>
    </row>
    <row r="6607" spans="6:6">
      <c r="F6607" s="2423"/>
    </row>
    <row r="6608" spans="6:6">
      <c r="F6608" s="2423"/>
    </row>
    <row r="6609" spans="6:6">
      <c r="F6609" s="2423"/>
    </row>
    <row r="6610" spans="6:6">
      <c r="F6610" s="2423"/>
    </row>
    <row r="6611" spans="6:6">
      <c r="F6611" s="2423"/>
    </row>
    <row r="6612" spans="6:6">
      <c r="F6612" s="2423"/>
    </row>
    <row r="6613" spans="6:6">
      <c r="F6613" s="2423"/>
    </row>
    <row r="6614" spans="6:6">
      <c r="F6614" s="2423"/>
    </row>
    <row r="6615" spans="6:6">
      <c r="F6615" s="2423"/>
    </row>
    <row r="6616" spans="6:6">
      <c r="F6616" s="2423"/>
    </row>
    <row r="6617" spans="6:6">
      <c r="F6617" s="2423"/>
    </row>
    <row r="6618" spans="6:6">
      <c r="F6618" s="2423"/>
    </row>
    <row r="6619" spans="6:6">
      <c r="F6619" s="2423"/>
    </row>
    <row r="6620" spans="6:6">
      <c r="F6620" s="2423"/>
    </row>
    <row r="6621" spans="6:6">
      <c r="F6621" s="2423"/>
    </row>
    <row r="6622" spans="6:6">
      <c r="F6622" s="2423"/>
    </row>
    <row r="6623" spans="6:6">
      <c r="F6623" s="2423"/>
    </row>
    <row r="6624" spans="6:6">
      <c r="F6624" s="2423"/>
    </row>
    <row r="6625" spans="6:6">
      <c r="F6625" s="2423"/>
    </row>
    <row r="6626" spans="6:6">
      <c r="F6626" s="2423"/>
    </row>
    <row r="6627" spans="6:6">
      <c r="F6627" s="2423"/>
    </row>
    <row r="6628" spans="6:6">
      <c r="F6628" s="2423"/>
    </row>
    <row r="6629" spans="6:6">
      <c r="F6629" s="2423"/>
    </row>
    <row r="6630" spans="6:6">
      <c r="F6630" s="2423"/>
    </row>
    <row r="6631" spans="6:6">
      <c r="F6631" s="2423"/>
    </row>
    <row r="6632" spans="6:6">
      <c r="F6632" s="2423"/>
    </row>
    <row r="6633" spans="6:6">
      <c r="F6633" s="2423"/>
    </row>
    <row r="6634" spans="6:6">
      <c r="F6634" s="2423"/>
    </row>
    <row r="6635" spans="6:6">
      <c r="F6635" s="2423"/>
    </row>
    <row r="6636" spans="6:6">
      <c r="F6636" s="2423"/>
    </row>
    <row r="6637" spans="6:6">
      <c r="F6637" s="2423"/>
    </row>
    <row r="6638" spans="6:6">
      <c r="F6638" s="2423"/>
    </row>
    <row r="6639" spans="6:6">
      <c r="F6639" s="2423"/>
    </row>
    <row r="6640" spans="6:6">
      <c r="F6640" s="2423"/>
    </row>
    <row r="6641" spans="6:6">
      <c r="F6641" s="2423"/>
    </row>
    <row r="6642" spans="6:6">
      <c r="F6642" s="2423"/>
    </row>
    <row r="6643" spans="6:6">
      <c r="F6643" s="2423"/>
    </row>
    <row r="6644" spans="6:6">
      <c r="F6644" s="2423"/>
    </row>
    <row r="6645" spans="6:6">
      <c r="F6645" s="2423"/>
    </row>
    <row r="6646" spans="6:6">
      <c r="F6646" s="2423"/>
    </row>
    <row r="6647" spans="6:6">
      <c r="F6647" s="2423"/>
    </row>
    <row r="6648" spans="6:6">
      <c r="F6648" s="2423"/>
    </row>
    <row r="6649" spans="6:6">
      <c r="F6649" s="2423"/>
    </row>
    <row r="6650" spans="6:6">
      <c r="F6650" s="2423"/>
    </row>
    <row r="6651" spans="6:6">
      <c r="F6651" s="2423"/>
    </row>
    <row r="6652" spans="6:6">
      <c r="F6652" s="2423"/>
    </row>
    <row r="6653" spans="6:6">
      <c r="F6653" s="2423"/>
    </row>
    <row r="6654" spans="6:6">
      <c r="F6654" s="2423"/>
    </row>
    <row r="6655" spans="6:6">
      <c r="F6655" s="2423"/>
    </row>
    <row r="6656" spans="6:6">
      <c r="F6656" s="2423"/>
    </row>
    <row r="6657" spans="6:6">
      <c r="F6657" s="2423"/>
    </row>
    <row r="6658" spans="6:6">
      <c r="F6658" s="2423"/>
    </row>
    <row r="6659" spans="6:6">
      <c r="F6659" s="2423"/>
    </row>
    <row r="6660" spans="6:6">
      <c r="F6660" s="2423"/>
    </row>
    <row r="6661" spans="6:6">
      <c r="F6661" s="2423"/>
    </row>
    <row r="6662" spans="6:6">
      <c r="F6662" s="2423"/>
    </row>
    <row r="6663" spans="6:6">
      <c r="F6663" s="2423"/>
    </row>
    <row r="6664" spans="6:6">
      <c r="F6664" s="2423"/>
    </row>
    <row r="6665" spans="6:6">
      <c r="F6665" s="2423"/>
    </row>
    <row r="6666" spans="6:6">
      <c r="F6666" s="2423"/>
    </row>
    <row r="6667" spans="6:6">
      <c r="F6667" s="2423"/>
    </row>
    <row r="6668" spans="6:6">
      <c r="F6668" s="2423"/>
    </row>
    <row r="6669" spans="6:6">
      <c r="F6669" s="2423"/>
    </row>
    <row r="6670" spans="6:6">
      <c r="F6670" s="2423"/>
    </row>
    <row r="6671" spans="6:6">
      <c r="F6671" s="2423"/>
    </row>
    <row r="6672" spans="6:6">
      <c r="F6672" s="2423"/>
    </row>
    <row r="6673" spans="6:6">
      <c r="F6673" s="2423"/>
    </row>
    <row r="6674" spans="6:6">
      <c r="F6674" s="2423"/>
    </row>
    <row r="6675" spans="6:6">
      <c r="F6675" s="2423"/>
    </row>
    <row r="6676" spans="6:6">
      <c r="F6676" s="2423"/>
    </row>
    <row r="6677" spans="6:6">
      <c r="F6677" s="2423"/>
    </row>
    <row r="6678" spans="6:6">
      <c r="F6678" s="2423"/>
    </row>
    <row r="6679" spans="6:6">
      <c r="F6679" s="2423"/>
    </row>
    <row r="6680" spans="6:6">
      <c r="F6680" s="2423"/>
    </row>
    <row r="6681" spans="6:6">
      <c r="F6681" s="2423"/>
    </row>
    <row r="6682" spans="6:6">
      <c r="F6682" s="2423"/>
    </row>
    <row r="6683" spans="6:6">
      <c r="F6683" s="2423"/>
    </row>
    <row r="6684" spans="6:6">
      <c r="F6684" s="2423"/>
    </row>
    <row r="6685" spans="6:6">
      <c r="F6685" s="2423"/>
    </row>
    <row r="6686" spans="6:6">
      <c r="F6686" s="2423"/>
    </row>
    <row r="6687" spans="6:6">
      <c r="F6687" s="2423"/>
    </row>
    <row r="6688" spans="6:6">
      <c r="F6688" s="2423"/>
    </row>
    <row r="6689" spans="6:6">
      <c r="F6689" s="2423"/>
    </row>
    <row r="6690" spans="6:6">
      <c r="F6690" s="2423"/>
    </row>
    <row r="6691" spans="6:6">
      <c r="F6691" s="2423"/>
    </row>
    <row r="6692" spans="6:6">
      <c r="F6692" s="2423"/>
    </row>
    <row r="6693" spans="6:6">
      <c r="F6693" s="2423"/>
    </row>
    <row r="6694" spans="6:6">
      <c r="F6694" s="2423"/>
    </row>
    <row r="6695" spans="6:6">
      <c r="F6695" s="2423"/>
    </row>
    <row r="6696" spans="6:6">
      <c r="F6696" s="2423"/>
    </row>
    <row r="6697" spans="6:6">
      <c r="F6697" s="2423"/>
    </row>
    <row r="6698" spans="6:6">
      <c r="F6698" s="2423"/>
    </row>
    <row r="6699" spans="6:6">
      <c r="F6699" s="2423"/>
    </row>
    <row r="6700" spans="6:6">
      <c r="F6700" s="2423"/>
    </row>
    <row r="6701" spans="6:6">
      <c r="F6701" s="2423"/>
    </row>
    <row r="6702" spans="6:6">
      <c r="F6702" s="2423"/>
    </row>
    <row r="6703" spans="6:6">
      <c r="F6703" s="2423"/>
    </row>
    <row r="6704" spans="6:6">
      <c r="F6704" s="2423"/>
    </row>
    <row r="6705" spans="6:6">
      <c r="F6705" s="2423"/>
    </row>
    <row r="6706" spans="6:6">
      <c r="F6706" s="2423"/>
    </row>
    <row r="6707" spans="6:6">
      <c r="F6707" s="2423"/>
    </row>
    <row r="6708" spans="6:6">
      <c r="F6708" s="2423"/>
    </row>
    <row r="6709" spans="6:6">
      <c r="F6709" s="2423"/>
    </row>
    <row r="6710" spans="6:6">
      <c r="F6710" s="2423"/>
    </row>
    <row r="6711" spans="6:6">
      <c r="F6711" s="2423"/>
    </row>
    <row r="6712" spans="6:6">
      <c r="F6712" s="2423"/>
    </row>
    <row r="6713" spans="6:6">
      <c r="F6713" s="2423"/>
    </row>
    <row r="6714" spans="6:6">
      <c r="F6714" s="2423"/>
    </row>
    <row r="6715" spans="6:6">
      <c r="F6715" s="2423"/>
    </row>
    <row r="6716" spans="6:6">
      <c r="F6716" s="2423"/>
    </row>
    <row r="6717" spans="6:6">
      <c r="F6717" s="2423"/>
    </row>
    <row r="6718" spans="6:6">
      <c r="F6718" s="2423"/>
    </row>
    <row r="6719" spans="6:6">
      <c r="F6719" s="2423"/>
    </row>
    <row r="6720" spans="6:6">
      <c r="F6720" s="2423"/>
    </row>
    <row r="6721" spans="6:6">
      <c r="F6721" s="2423"/>
    </row>
    <row r="6722" spans="6:6">
      <c r="F6722" s="2423"/>
    </row>
    <row r="6723" spans="6:6">
      <c r="F6723" s="2423"/>
    </row>
    <row r="6724" spans="6:6">
      <c r="F6724" s="2423"/>
    </row>
    <row r="6725" spans="6:6">
      <c r="F6725" s="2423"/>
    </row>
    <row r="6726" spans="6:6">
      <c r="F6726" s="2423"/>
    </row>
    <row r="6727" spans="6:6">
      <c r="F6727" s="2423"/>
    </row>
    <row r="6728" spans="6:6">
      <c r="F6728" s="2423"/>
    </row>
    <row r="6729" spans="6:6">
      <c r="F6729" s="2423"/>
    </row>
    <row r="6730" spans="6:6">
      <c r="F6730" s="2423"/>
    </row>
    <row r="6731" spans="6:6">
      <c r="F6731" s="2423"/>
    </row>
    <row r="6732" spans="6:6">
      <c r="F6732" s="2423"/>
    </row>
    <row r="6733" spans="6:6">
      <c r="F6733" s="2423"/>
    </row>
    <row r="6734" spans="6:6">
      <c r="F6734" s="2423"/>
    </row>
    <row r="6735" spans="6:6">
      <c r="F6735" s="2423"/>
    </row>
    <row r="6736" spans="6:6">
      <c r="F6736" s="2423"/>
    </row>
    <row r="6737" spans="6:6">
      <c r="F6737" s="2423"/>
    </row>
    <row r="6738" spans="6:6">
      <c r="F6738" s="2423"/>
    </row>
    <row r="6739" spans="6:6">
      <c r="F6739" s="2423"/>
    </row>
    <row r="6740" spans="6:6">
      <c r="F6740" s="2423"/>
    </row>
    <row r="6741" spans="6:6">
      <c r="F6741" s="2423"/>
    </row>
    <row r="6742" spans="6:6">
      <c r="F6742" s="2423"/>
    </row>
    <row r="6743" spans="6:6">
      <c r="F6743" s="2423"/>
    </row>
    <row r="6744" spans="6:6">
      <c r="F6744" s="2423"/>
    </row>
    <row r="6745" spans="6:6">
      <c r="F6745" s="2423"/>
    </row>
    <row r="6746" spans="6:6">
      <c r="F6746" s="2423"/>
    </row>
    <row r="6747" spans="6:6">
      <c r="F6747" s="2423"/>
    </row>
    <row r="6748" spans="6:6">
      <c r="F6748" s="2423"/>
    </row>
    <row r="6749" spans="6:6">
      <c r="F6749" s="2423"/>
    </row>
    <row r="6750" spans="6:6">
      <c r="F6750" s="2423"/>
    </row>
    <row r="6751" spans="6:6">
      <c r="F6751" s="2423"/>
    </row>
    <row r="6752" spans="6:6">
      <c r="F6752" s="2423"/>
    </row>
    <row r="6753" spans="6:6">
      <c r="F6753" s="2423"/>
    </row>
    <row r="6754" spans="6:6">
      <c r="F6754" s="2423"/>
    </row>
    <row r="6755" spans="6:6">
      <c r="F6755" s="2423"/>
    </row>
    <row r="6756" spans="6:6">
      <c r="F6756" s="2423"/>
    </row>
    <row r="6757" spans="6:6">
      <c r="F6757" s="2423"/>
    </row>
    <row r="6758" spans="6:6">
      <c r="F6758" s="2423"/>
    </row>
    <row r="6759" spans="6:6">
      <c r="F6759" s="2423"/>
    </row>
    <row r="6760" spans="6:6">
      <c r="F6760" s="2423"/>
    </row>
    <row r="6761" spans="6:6">
      <c r="F6761" s="2423"/>
    </row>
    <row r="6762" spans="6:6">
      <c r="F6762" s="2423"/>
    </row>
    <row r="6763" spans="6:6">
      <c r="F6763" s="2423"/>
    </row>
    <row r="6764" spans="6:6">
      <c r="F6764" s="2423"/>
    </row>
    <row r="6765" spans="6:6">
      <c r="F6765" s="2423"/>
    </row>
    <row r="6766" spans="6:6">
      <c r="F6766" s="2423"/>
    </row>
    <row r="6767" spans="6:6">
      <c r="F6767" s="2423"/>
    </row>
    <row r="6768" spans="6:6">
      <c r="F6768" s="2423"/>
    </row>
    <row r="6769" spans="6:6">
      <c r="F6769" s="2423"/>
    </row>
    <row r="6770" spans="6:6">
      <c r="F6770" s="2423"/>
    </row>
    <row r="6771" spans="6:6">
      <c r="F6771" s="2423"/>
    </row>
    <row r="6772" spans="6:6">
      <c r="F6772" s="2423"/>
    </row>
    <row r="6773" spans="6:6">
      <c r="F6773" s="2423"/>
    </row>
    <row r="6774" spans="6:6">
      <c r="F6774" s="2423"/>
    </row>
    <row r="6775" spans="6:6">
      <c r="F6775" s="2423"/>
    </row>
    <row r="6776" spans="6:6">
      <c r="F6776" s="2423"/>
    </row>
    <row r="6777" spans="6:6">
      <c r="F6777" s="2423"/>
    </row>
    <row r="6778" spans="6:6">
      <c r="F6778" s="2423"/>
    </row>
    <row r="6779" spans="6:6">
      <c r="F6779" s="2423"/>
    </row>
    <row r="6780" spans="6:6">
      <c r="F6780" s="2423"/>
    </row>
    <row r="6781" spans="6:6">
      <c r="F6781" s="2423"/>
    </row>
    <row r="6782" spans="6:6">
      <c r="F6782" s="2423"/>
    </row>
    <row r="6783" spans="6:6">
      <c r="F6783" s="2423"/>
    </row>
    <row r="6784" spans="6:6">
      <c r="F6784" s="2423"/>
    </row>
    <row r="6785" spans="6:6">
      <c r="F6785" s="2423"/>
    </row>
    <row r="6786" spans="6:6">
      <c r="F6786" s="2423"/>
    </row>
    <row r="6787" spans="6:6">
      <c r="F6787" s="2423"/>
    </row>
    <row r="6788" spans="6:6">
      <c r="F6788" s="2423"/>
    </row>
    <row r="6789" spans="6:6">
      <c r="F6789" s="2423"/>
    </row>
    <row r="6790" spans="6:6">
      <c r="F6790" s="2423"/>
    </row>
    <row r="6791" spans="6:6">
      <c r="F6791" s="2423"/>
    </row>
    <row r="6792" spans="6:6">
      <c r="F6792" s="2423"/>
    </row>
    <row r="6793" spans="6:6">
      <c r="F6793" s="2423"/>
    </row>
    <row r="6794" spans="6:6">
      <c r="F6794" s="2423"/>
    </row>
    <row r="6795" spans="6:6">
      <c r="F6795" s="2423"/>
    </row>
    <row r="6796" spans="6:6">
      <c r="F6796" s="2423"/>
    </row>
    <row r="6797" spans="6:6">
      <c r="F6797" s="2423"/>
    </row>
    <row r="6798" spans="6:6">
      <c r="F6798" s="2423"/>
    </row>
    <row r="6799" spans="6:6">
      <c r="F6799" s="2423"/>
    </row>
    <row r="6800" spans="6:6">
      <c r="F6800" s="2423"/>
    </row>
    <row r="6801" spans="6:6">
      <c r="F6801" s="2423"/>
    </row>
    <row r="6802" spans="6:6">
      <c r="F6802" s="2423"/>
    </row>
    <row r="6803" spans="6:6">
      <c r="F6803" s="2423"/>
    </row>
    <row r="6804" spans="6:6">
      <c r="F6804" s="2423"/>
    </row>
    <row r="6805" spans="6:6">
      <c r="F6805" s="2423"/>
    </row>
    <row r="6806" spans="6:6">
      <c r="F6806" s="2423"/>
    </row>
    <row r="6807" spans="6:6">
      <c r="F6807" s="2423"/>
    </row>
    <row r="6808" spans="6:6">
      <c r="F6808" s="2423"/>
    </row>
    <row r="6809" spans="6:6">
      <c r="F6809" s="2423"/>
    </row>
    <row r="6810" spans="6:6">
      <c r="F6810" s="2423"/>
    </row>
    <row r="6811" spans="6:6">
      <c r="F6811" s="2423"/>
    </row>
    <row r="6812" spans="6:6">
      <c r="F6812" s="2423"/>
    </row>
    <row r="6813" spans="6:6">
      <c r="F6813" s="2423"/>
    </row>
    <row r="6814" spans="6:6">
      <c r="F6814" s="2423"/>
    </row>
    <row r="6815" spans="6:6">
      <c r="F6815" s="2423"/>
    </row>
    <row r="6816" spans="6:6">
      <c r="F6816" s="2423"/>
    </row>
    <row r="6817" spans="6:6">
      <c r="F6817" s="2423"/>
    </row>
    <row r="6818" spans="6:6">
      <c r="F6818" s="2423"/>
    </row>
    <row r="6819" spans="6:6">
      <c r="F6819" s="2423"/>
    </row>
    <row r="6820" spans="6:6">
      <c r="F6820" s="2423"/>
    </row>
    <row r="6821" spans="6:6">
      <c r="F6821" s="2423"/>
    </row>
    <row r="6822" spans="6:6">
      <c r="F6822" s="2423"/>
    </row>
    <row r="6823" spans="6:6">
      <c r="F6823" s="2423"/>
    </row>
    <row r="6824" spans="6:6">
      <c r="F6824" s="2423"/>
    </row>
    <row r="6825" spans="6:6">
      <c r="F6825" s="2423"/>
    </row>
    <row r="6826" spans="6:6">
      <c r="F6826" s="2423"/>
    </row>
    <row r="6827" spans="6:6">
      <c r="F6827" s="2423"/>
    </row>
    <row r="6828" spans="6:6">
      <c r="F6828" s="2423"/>
    </row>
    <row r="6829" spans="6:6">
      <c r="F6829" s="2423"/>
    </row>
    <row r="6830" spans="6:6">
      <c r="F6830" s="2423"/>
    </row>
    <row r="6831" spans="6:6">
      <c r="F6831" s="2423"/>
    </row>
    <row r="6832" spans="6:6">
      <c r="F6832" s="2423"/>
    </row>
    <row r="6833" spans="6:6">
      <c r="F6833" s="2423"/>
    </row>
    <row r="6834" spans="6:6">
      <c r="F6834" s="2423"/>
    </row>
    <row r="6835" spans="6:6">
      <c r="F6835" s="2423"/>
    </row>
    <row r="6836" spans="6:6">
      <c r="F6836" s="2423"/>
    </row>
    <row r="6837" spans="6:6">
      <c r="F6837" s="2423"/>
    </row>
    <row r="6838" spans="6:6">
      <c r="F6838" s="2423"/>
    </row>
    <row r="6839" spans="6:6">
      <c r="F6839" s="2423"/>
    </row>
    <row r="6840" spans="6:6">
      <c r="F6840" s="2423"/>
    </row>
    <row r="6841" spans="6:6">
      <c r="F6841" s="2423"/>
    </row>
    <row r="6842" spans="6:6">
      <c r="F6842" s="2423"/>
    </row>
    <row r="6843" spans="6:6">
      <c r="F6843" s="2423"/>
    </row>
    <row r="6844" spans="6:6">
      <c r="F6844" s="2423"/>
    </row>
    <row r="6845" spans="6:6">
      <c r="F6845" s="2423"/>
    </row>
    <row r="6846" spans="6:6">
      <c r="F6846" s="2423"/>
    </row>
    <row r="6847" spans="6:6">
      <c r="F6847" s="2423"/>
    </row>
    <row r="6848" spans="6:6">
      <c r="F6848" s="2423"/>
    </row>
    <row r="6849" spans="6:6">
      <c r="F6849" s="2423"/>
    </row>
    <row r="6850" spans="6:6">
      <c r="F6850" s="2423"/>
    </row>
    <row r="6851" spans="6:6">
      <c r="F6851" s="2423"/>
    </row>
    <row r="6852" spans="6:6">
      <c r="F6852" s="2423"/>
    </row>
    <row r="6853" spans="6:6">
      <c r="F6853" s="2423"/>
    </row>
    <row r="6854" spans="6:6">
      <c r="F6854" s="2423"/>
    </row>
    <row r="6855" spans="6:6">
      <c r="F6855" s="2423"/>
    </row>
    <row r="6856" spans="6:6">
      <c r="F6856" s="2423"/>
    </row>
    <row r="6857" spans="6:6">
      <c r="F6857" s="2423"/>
    </row>
    <row r="6858" spans="6:6">
      <c r="F6858" s="2423"/>
    </row>
    <row r="6859" spans="6:6">
      <c r="F6859" s="2423"/>
    </row>
    <row r="6860" spans="6:6">
      <c r="F6860" s="2423"/>
    </row>
    <row r="6861" spans="6:6">
      <c r="F6861" s="2423"/>
    </row>
    <row r="6862" spans="6:6">
      <c r="F6862" s="2423"/>
    </row>
    <row r="6863" spans="6:6">
      <c r="F6863" s="2423"/>
    </row>
    <row r="6864" spans="6:6">
      <c r="F6864" s="2423"/>
    </row>
    <row r="6865" spans="6:6">
      <c r="F6865" s="2423"/>
    </row>
    <row r="6866" spans="6:6">
      <c r="F6866" s="2423"/>
    </row>
    <row r="6867" spans="6:6">
      <c r="F6867" s="2423"/>
    </row>
    <row r="6868" spans="6:6">
      <c r="F6868" s="2423"/>
    </row>
    <row r="6869" spans="6:6">
      <c r="F6869" s="2423"/>
    </row>
    <row r="6870" spans="6:6">
      <c r="F6870" s="2423"/>
    </row>
    <row r="6871" spans="6:6">
      <c r="F6871" s="2423"/>
    </row>
    <row r="6872" spans="6:6">
      <c r="F6872" s="2423"/>
    </row>
    <row r="6873" spans="6:6">
      <c r="F6873" s="2423"/>
    </row>
    <row r="6874" spans="6:6">
      <c r="F6874" s="2423"/>
    </row>
    <row r="6875" spans="6:6">
      <c r="F6875" s="2423"/>
    </row>
    <row r="6876" spans="6:6">
      <c r="F6876" s="2423"/>
    </row>
    <row r="6877" spans="6:6">
      <c r="F6877" s="2423"/>
    </row>
    <row r="6878" spans="6:6">
      <c r="F6878" s="2423"/>
    </row>
    <row r="6879" spans="6:6">
      <c r="F6879" s="2423"/>
    </row>
    <row r="6880" spans="6:6">
      <c r="F6880" s="2423"/>
    </row>
    <row r="6881" spans="6:6">
      <c r="F6881" s="2423"/>
    </row>
    <row r="6882" spans="6:6">
      <c r="F6882" s="2423"/>
    </row>
    <row r="6883" spans="6:6">
      <c r="F6883" s="2423"/>
    </row>
    <row r="6884" spans="6:6">
      <c r="F6884" s="2423"/>
    </row>
    <row r="6885" spans="6:6">
      <c r="F6885" s="2423"/>
    </row>
    <row r="6886" spans="6:6">
      <c r="F6886" s="2423"/>
    </row>
    <row r="6887" spans="6:6">
      <c r="F6887" s="2423"/>
    </row>
    <row r="6888" spans="6:6">
      <c r="F6888" s="2423"/>
    </row>
    <row r="6889" spans="6:6">
      <c r="F6889" s="2423"/>
    </row>
    <row r="6890" spans="6:6">
      <c r="F6890" s="2423"/>
    </row>
    <row r="6891" spans="6:6">
      <c r="F6891" s="2423"/>
    </row>
    <row r="6892" spans="6:6">
      <c r="F6892" s="2423"/>
    </row>
    <row r="6893" spans="6:6">
      <c r="F6893" s="2423"/>
    </row>
    <row r="6894" spans="6:6">
      <c r="F6894" s="2423"/>
    </row>
    <row r="6895" spans="6:6">
      <c r="F6895" s="2423"/>
    </row>
    <row r="6896" spans="6:6">
      <c r="F6896" s="2423"/>
    </row>
    <row r="6897" spans="6:6">
      <c r="F6897" s="2423"/>
    </row>
    <row r="6898" spans="6:6">
      <c r="F6898" s="2423"/>
    </row>
    <row r="6899" spans="6:6">
      <c r="F6899" s="2423"/>
    </row>
    <row r="6900" spans="6:6">
      <c r="F6900" s="2423"/>
    </row>
    <row r="6901" spans="6:6">
      <c r="F6901" s="2423"/>
    </row>
    <row r="6902" spans="6:6">
      <c r="F6902" s="2423"/>
    </row>
    <row r="6903" spans="6:6">
      <c r="F6903" s="2423"/>
    </row>
    <row r="6904" spans="6:6">
      <c r="F6904" s="2423"/>
    </row>
    <row r="6905" spans="6:6">
      <c r="F6905" s="2423"/>
    </row>
    <row r="6906" spans="6:6">
      <c r="F6906" s="2423"/>
    </row>
    <row r="6907" spans="6:6">
      <c r="F6907" s="2423"/>
    </row>
    <row r="6908" spans="6:6">
      <c r="F6908" s="2423"/>
    </row>
    <row r="6909" spans="6:6">
      <c r="F6909" s="2423"/>
    </row>
    <row r="6910" spans="6:6">
      <c r="F6910" s="2423"/>
    </row>
    <row r="6911" spans="6:6">
      <c r="F6911" s="2423"/>
    </row>
    <row r="6912" spans="6:6">
      <c r="F6912" s="2423"/>
    </row>
    <row r="6913" spans="6:6">
      <c r="F6913" s="2423"/>
    </row>
    <row r="6914" spans="6:6">
      <c r="F6914" s="2423"/>
    </row>
    <row r="6915" spans="6:6">
      <c r="F6915" s="2423"/>
    </row>
    <row r="6916" spans="6:6">
      <c r="F6916" s="2423"/>
    </row>
    <row r="6917" spans="6:6">
      <c r="F6917" s="2423"/>
    </row>
    <row r="6918" spans="6:6">
      <c r="F6918" s="2423"/>
    </row>
    <row r="6919" spans="6:6">
      <c r="F6919" s="2423"/>
    </row>
    <row r="6920" spans="6:6">
      <c r="F6920" s="2423"/>
    </row>
    <row r="6921" spans="6:6">
      <c r="F6921" s="2423"/>
    </row>
    <row r="6922" spans="6:6">
      <c r="F6922" s="2423"/>
    </row>
    <row r="6923" spans="6:6">
      <c r="F6923" s="2423"/>
    </row>
    <row r="6924" spans="6:6">
      <c r="F6924" s="2423"/>
    </row>
    <row r="6925" spans="6:6">
      <c r="F6925" s="2423"/>
    </row>
    <row r="6926" spans="6:6">
      <c r="F6926" s="2423"/>
    </row>
    <row r="6927" spans="6:6">
      <c r="F6927" s="2423"/>
    </row>
    <row r="6928" spans="6:6">
      <c r="F6928" s="2423"/>
    </row>
    <row r="6929" spans="6:6">
      <c r="F6929" s="2423"/>
    </row>
    <row r="6930" spans="6:6">
      <c r="F6930" s="2423"/>
    </row>
    <row r="6931" spans="6:6">
      <c r="F6931" s="2423"/>
    </row>
    <row r="6932" spans="6:6">
      <c r="F6932" s="2423"/>
    </row>
    <row r="6933" spans="6:6">
      <c r="F6933" s="2423"/>
    </row>
    <row r="6934" spans="6:6">
      <c r="F6934" s="2423"/>
    </row>
    <row r="6935" spans="6:6">
      <c r="F6935" s="2423"/>
    </row>
    <row r="6936" spans="6:6">
      <c r="F6936" s="2423"/>
    </row>
    <row r="6937" spans="6:6">
      <c r="F6937" s="2423"/>
    </row>
    <row r="6938" spans="6:6">
      <c r="F6938" s="2423"/>
    </row>
    <row r="6939" spans="6:6">
      <c r="F6939" s="2423"/>
    </row>
    <row r="6940" spans="6:6">
      <c r="F6940" s="2423"/>
    </row>
    <row r="6941" spans="6:6">
      <c r="F6941" s="2423"/>
    </row>
    <row r="6942" spans="6:6">
      <c r="F6942" s="2423"/>
    </row>
    <row r="6943" spans="6:6">
      <c r="F6943" s="2423"/>
    </row>
    <row r="6944" spans="6:6">
      <c r="F6944" s="2423"/>
    </row>
    <row r="6945" spans="6:6">
      <c r="F6945" s="2423"/>
    </row>
    <row r="6946" spans="6:6">
      <c r="F6946" s="2423"/>
    </row>
    <row r="6947" spans="6:6">
      <c r="F6947" s="2423"/>
    </row>
    <row r="6948" spans="6:6">
      <c r="F6948" s="2423"/>
    </row>
    <row r="6949" spans="6:6">
      <c r="F6949" s="2423"/>
    </row>
    <row r="6950" spans="6:6">
      <c r="F6950" s="2423"/>
    </row>
    <row r="6951" spans="6:6">
      <c r="F6951" s="2423"/>
    </row>
    <row r="6952" spans="6:6">
      <c r="F6952" s="2423"/>
    </row>
    <row r="6953" spans="6:6">
      <c r="F6953" s="2423"/>
    </row>
    <row r="6954" spans="6:6">
      <c r="F6954" s="2423"/>
    </row>
    <row r="6955" spans="6:6">
      <c r="F6955" s="2423"/>
    </row>
    <row r="6956" spans="6:6">
      <c r="F6956" s="2423"/>
    </row>
    <row r="6957" spans="6:6">
      <c r="F6957" s="2423"/>
    </row>
    <row r="6958" spans="6:6">
      <c r="F6958" s="2423"/>
    </row>
    <row r="6959" spans="6:6">
      <c r="F6959" s="2423"/>
    </row>
    <row r="6960" spans="6:6">
      <c r="F6960" s="2423"/>
    </row>
    <row r="6961" spans="6:6">
      <c r="F6961" s="2423"/>
    </row>
    <row r="6962" spans="6:6">
      <c r="F6962" s="2423"/>
    </row>
    <row r="6963" spans="6:6">
      <c r="F6963" s="2423"/>
    </row>
    <row r="6964" spans="6:6">
      <c r="F6964" s="2423"/>
    </row>
    <row r="6965" spans="6:6">
      <c r="F6965" s="2423"/>
    </row>
    <row r="6966" spans="6:6">
      <c r="F6966" s="2423"/>
    </row>
    <row r="6967" spans="6:6">
      <c r="F6967" s="2423"/>
    </row>
    <row r="6968" spans="6:6">
      <c r="F6968" s="2423"/>
    </row>
    <row r="6969" spans="6:6">
      <c r="F6969" s="2423"/>
    </row>
    <row r="6970" spans="6:6">
      <c r="F6970" s="2423"/>
    </row>
    <row r="6971" spans="6:6">
      <c r="F6971" s="2423"/>
    </row>
    <row r="6972" spans="6:6">
      <c r="F6972" s="2423"/>
    </row>
    <row r="6973" spans="6:6">
      <c r="F6973" s="2423"/>
    </row>
    <row r="6974" spans="6:6">
      <c r="F6974" s="2423"/>
    </row>
    <row r="6975" spans="6:6">
      <c r="F6975" s="2423"/>
    </row>
    <row r="6976" spans="6:6">
      <c r="F6976" s="2423"/>
    </row>
    <row r="6977" spans="6:6">
      <c r="F6977" s="2423"/>
    </row>
    <row r="6978" spans="6:6">
      <c r="F6978" s="2423"/>
    </row>
    <row r="6979" spans="6:6">
      <c r="F6979" s="2423"/>
    </row>
    <row r="6980" spans="6:6">
      <c r="F6980" s="2423"/>
    </row>
    <row r="6981" spans="6:6">
      <c r="F6981" s="2423"/>
    </row>
    <row r="6982" spans="6:6">
      <c r="F6982" s="2423"/>
    </row>
    <row r="6983" spans="6:6">
      <c r="F6983" s="2423"/>
    </row>
    <row r="6984" spans="6:6">
      <c r="F6984" s="2423"/>
    </row>
    <row r="6985" spans="6:6">
      <c r="F6985" s="2423"/>
    </row>
    <row r="6986" spans="6:6">
      <c r="F6986" s="2423"/>
    </row>
    <row r="6987" spans="6:6">
      <c r="F6987" s="2423"/>
    </row>
    <row r="6988" spans="6:6">
      <c r="F6988" s="2423"/>
    </row>
    <row r="6989" spans="6:6">
      <c r="F6989" s="2423"/>
    </row>
    <row r="6990" spans="6:6">
      <c r="F6990" s="2423"/>
    </row>
    <row r="6991" spans="6:6">
      <c r="F6991" s="2423"/>
    </row>
    <row r="6992" spans="6:6">
      <c r="F6992" s="2423"/>
    </row>
    <row r="6993" spans="6:6">
      <c r="F6993" s="2423"/>
    </row>
    <row r="6994" spans="6:6">
      <c r="F6994" s="2423"/>
    </row>
    <row r="6995" spans="6:6">
      <c r="F6995" s="2423"/>
    </row>
    <row r="6996" spans="6:6">
      <c r="F6996" s="2423"/>
    </row>
    <row r="6997" spans="6:6">
      <c r="F6997" s="2423"/>
    </row>
    <row r="6998" spans="6:6">
      <c r="F6998" s="2423"/>
    </row>
    <row r="6999" spans="6:6">
      <c r="F6999" s="2423"/>
    </row>
    <row r="7000" spans="6:6">
      <c r="F7000" s="2423"/>
    </row>
    <row r="7001" spans="6:6">
      <c r="F7001" s="2423"/>
    </row>
    <row r="7002" spans="6:6">
      <c r="F7002" s="2423"/>
    </row>
    <row r="7003" spans="6:6">
      <c r="F7003" s="2423"/>
    </row>
    <row r="7004" spans="6:6">
      <c r="F7004" s="2423"/>
    </row>
    <row r="7005" spans="6:6">
      <c r="F7005" s="2423"/>
    </row>
    <row r="7006" spans="6:6">
      <c r="F7006" s="2423"/>
    </row>
    <row r="7007" spans="6:6">
      <c r="F7007" s="2423"/>
    </row>
    <row r="7008" spans="6:6">
      <c r="F7008" s="2423"/>
    </row>
    <row r="7009" spans="6:6">
      <c r="F7009" s="2423"/>
    </row>
    <row r="7010" spans="6:6">
      <c r="F7010" s="2423"/>
    </row>
    <row r="7011" spans="6:6">
      <c r="F7011" s="2423"/>
    </row>
    <row r="7012" spans="6:6">
      <c r="F7012" s="2423"/>
    </row>
    <row r="7013" spans="6:6">
      <c r="F7013" s="2423"/>
    </row>
    <row r="7014" spans="6:6">
      <c r="F7014" s="2423"/>
    </row>
    <row r="7015" spans="6:6">
      <c r="F7015" s="2423"/>
    </row>
    <row r="7016" spans="6:6">
      <c r="F7016" s="2423"/>
    </row>
    <row r="7017" spans="6:6">
      <c r="F7017" s="2423"/>
    </row>
    <row r="7018" spans="6:6">
      <c r="F7018" s="2423"/>
    </row>
    <row r="7019" spans="6:6">
      <c r="F7019" s="2423"/>
    </row>
    <row r="7020" spans="6:6">
      <c r="F7020" s="2423"/>
    </row>
    <row r="7021" spans="6:6">
      <c r="F7021" s="2423"/>
    </row>
    <row r="7022" spans="6:6">
      <c r="F7022" s="2423"/>
    </row>
    <row r="7023" spans="6:6">
      <c r="F7023" s="2423"/>
    </row>
    <row r="7024" spans="6:6">
      <c r="F7024" s="2423"/>
    </row>
    <row r="7025" spans="6:6">
      <c r="F7025" s="2423"/>
    </row>
    <row r="7026" spans="6:6">
      <c r="F7026" s="2423"/>
    </row>
    <row r="7027" spans="6:6">
      <c r="F7027" s="2423"/>
    </row>
    <row r="7028" spans="6:6">
      <c r="F7028" s="2423"/>
    </row>
    <row r="7029" spans="6:6">
      <c r="F7029" s="2423"/>
    </row>
    <row r="7030" spans="6:6">
      <c r="F7030" s="2423"/>
    </row>
    <row r="7031" spans="6:6">
      <c r="F7031" s="2423"/>
    </row>
    <row r="7032" spans="6:6">
      <c r="F7032" s="2423"/>
    </row>
    <row r="7033" spans="6:6">
      <c r="F7033" s="2423"/>
    </row>
    <row r="7034" spans="6:6">
      <c r="F7034" s="2423"/>
    </row>
    <row r="7035" spans="6:6">
      <c r="F7035" s="2423"/>
    </row>
    <row r="7036" spans="6:6">
      <c r="F7036" s="2423"/>
    </row>
    <row r="7037" spans="6:6">
      <c r="F7037" s="2423"/>
    </row>
    <row r="7038" spans="6:6">
      <c r="F7038" s="2423"/>
    </row>
    <row r="7039" spans="6:6">
      <c r="F7039" s="2423"/>
    </row>
    <row r="7040" spans="6:6">
      <c r="F7040" s="2423"/>
    </row>
    <row r="7041" spans="6:6">
      <c r="F7041" s="2423"/>
    </row>
    <row r="7042" spans="6:6">
      <c r="F7042" s="2423"/>
    </row>
    <row r="7043" spans="6:6">
      <c r="F7043" s="2423"/>
    </row>
    <row r="7044" spans="6:6">
      <c r="F7044" s="2423"/>
    </row>
    <row r="7045" spans="6:6">
      <c r="F7045" s="2423"/>
    </row>
    <row r="7046" spans="6:6">
      <c r="F7046" s="2423"/>
    </row>
    <row r="7047" spans="6:6">
      <c r="F7047" s="2423"/>
    </row>
    <row r="7048" spans="6:6">
      <c r="F7048" s="2423"/>
    </row>
    <row r="7049" spans="6:6">
      <c r="F7049" s="2423"/>
    </row>
    <row r="7050" spans="6:6">
      <c r="F7050" s="2423"/>
    </row>
    <row r="7051" spans="6:6">
      <c r="F7051" s="2423"/>
    </row>
    <row r="7052" spans="6:6">
      <c r="F7052" s="2423"/>
    </row>
    <row r="7053" spans="6:6">
      <c r="F7053" s="2423"/>
    </row>
    <row r="7054" spans="6:6">
      <c r="F7054" s="2423"/>
    </row>
    <row r="7055" spans="6:6">
      <c r="F7055" s="2423"/>
    </row>
    <row r="7056" spans="6:6">
      <c r="F7056" s="2423"/>
    </row>
    <row r="7057" spans="6:6">
      <c r="F7057" s="2423"/>
    </row>
    <row r="7058" spans="6:6">
      <c r="F7058" s="2423"/>
    </row>
    <row r="7059" spans="6:6">
      <c r="F7059" s="2423"/>
    </row>
    <row r="7060" spans="6:6">
      <c r="F7060" s="2423"/>
    </row>
    <row r="7061" spans="6:6">
      <c r="F7061" s="2423"/>
    </row>
    <row r="7062" spans="6:6">
      <c r="F7062" s="2423"/>
    </row>
    <row r="7063" spans="6:6">
      <c r="F7063" s="2423"/>
    </row>
    <row r="7064" spans="6:6">
      <c r="F7064" s="2423"/>
    </row>
    <row r="7065" spans="6:6">
      <c r="F7065" s="2423"/>
    </row>
    <row r="7066" spans="6:6">
      <c r="F7066" s="2423"/>
    </row>
    <row r="7067" spans="6:6">
      <c r="F7067" s="2423"/>
    </row>
    <row r="7068" spans="6:6">
      <c r="F7068" s="2423"/>
    </row>
    <row r="7069" spans="6:6">
      <c r="F7069" s="2423"/>
    </row>
    <row r="7070" spans="6:6">
      <c r="F7070" s="2423"/>
    </row>
    <row r="7071" spans="6:6">
      <c r="F7071" s="2423"/>
    </row>
    <row r="7072" spans="6:6">
      <c r="F7072" s="2423"/>
    </row>
    <row r="7073" spans="6:6">
      <c r="F7073" s="2423"/>
    </row>
    <row r="7074" spans="6:6">
      <c r="F7074" s="2423"/>
    </row>
    <row r="7075" spans="6:6">
      <c r="F7075" s="2423"/>
    </row>
    <row r="7076" spans="6:6">
      <c r="F7076" s="2423"/>
    </row>
    <row r="7077" spans="6:6">
      <c r="F7077" s="2423"/>
    </row>
    <row r="7078" spans="6:6">
      <c r="F7078" s="2423"/>
    </row>
    <row r="7079" spans="6:6">
      <c r="F7079" s="2423"/>
    </row>
    <row r="7080" spans="6:6">
      <c r="F7080" s="2423"/>
    </row>
    <row r="7081" spans="6:6">
      <c r="F7081" s="2423"/>
    </row>
    <row r="7082" spans="6:6">
      <c r="F7082" s="2423"/>
    </row>
    <row r="7083" spans="6:6">
      <c r="F7083" s="2423"/>
    </row>
    <row r="7084" spans="6:6">
      <c r="F7084" s="2423"/>
    </row>
    <row r="7085" spans="6:6">
      <c r="F7085" s="2423"/>
    </row>
    <row r="7086" spans="6:6">
      <c r="F7086" s="2423"/>
    </row>
    <row r="7087" spans="6:6">
      <c r="F7087" s="2423"/>
    </row>
    <row r="7088" spans="6:6">
      <c r="F7088" s="2423"/>
    </row>
    <row r="7089" spans="6:6">
      <c r="F7089" s="2423"/>
    </row>
    <row r="7090" spans="6:6">
      <c r="F7090" s="2423"/>
    </row>
    <row r="7091" spans="6:6">
      <c r="F7091" s="2423"/>
    </row>
    <row r="7092" spans="6:6">
      <c r="F7092" s="2423"/>
    </row>
    <row r="7093" spans="6:6">
      <c r="F7093" s="2423"/>
    </row>
    <row r="7094" spans="6:6">
      <c r="F7094" s="2423"/>
    </row>
    <row r="7095" spans="6:6">
      <c r="F7095" s="2423"/>
    </row>
    <row r="7096" spans="6:6">
      <c r="F7096" s="2423"/>
    </row>
    <row r="7097" spans="6:6">
      <c r="F7097" s="2423"/>
    </row>
    <row r="7098" spans="6:6">
      <c r="F7098" s="2423"/>
    </row>
    <row r="7099" spans="6:6">
      <c r="F7099" s="2423"/>
    </row>
    <row r="7100" spans="6:6">
      <c r="F7100" s="2423"/>
    </row>
    <row r="7101" spans="6:6">
      <c r="F7101" s="2423"/>
    </row>
    <row r="7102" spans="6:6">
      <c r="F7102" s="2423"/>
    </row>
    <row r="7103" spans="6:6">
      <c r="F7103" s="2423"/>
    </row>
    <row r="7104" spans="6:6">
      <c r="F7104" s="2423"/>
    </row>
    <row r="7105" spans="6:6">
      <c r="F7105" s="2423"/>
    </row>
    <row r="7106" spans="6:6">
      <c r="F7106" s="2423"/>
    </row>
    <row r="7107" spans="6:6">
      <c r="F7107" s="2423"/>
    </row>
    <row r="7108" spans="6:6">
      <c r="F7108" s="2423"/>
    </row>
    <row r="7109" spans="6:6">
      <c r="F7109" s="2423"/>
    </row>
    <row r="7110" spans="6:6">
      <c r="F7110" s="2423"/>
    </row>
    <row r="7111" spans="6:6">
      <c r="F7111" s="2423"/>
    </row>
    <row r="7112" spans="6:6">
      <c r="F7112" s="2423"/>
    </row>
    <row r="7113" spans="6:6">
      <c r="F7113" s="2423"/>
    </row>
    <row r="7114" spans="6:6">
      <c r="F7114" s="2423"/>
    </row>
    <row r="7115" spans="6:6">
      <c r="F7115" s="2423"/>
    </row>
    <row r="7116" spans="6:6">
      <c r="F7116" s="2423"/>
    </row>
    <row r="7117" spans="6:6">
      <c r="F7117" s="2423"/>
    </row>
    <row r="7118" spans="6:6">
      <c r="F7118" s="2423"/>
    </row>
    <row r="7119" spans="6:6">
      <c r="F7119" s="2423"/>
    </row>
    <row r="7120" spans="6:6">
      <c r="F7120" s="2423"/>
    </row>
    <row r="7121" spans="6:6">
      <c r="F7121" s="2423"/>
    </row>
    <row r="7122" spans="6:6">
      <c r="F7122" s="2423"/>
    </row>
    <row r="7123" spans="6:6">
      <c r="F7123" s="2423"/>
    </row>
    <row r="7124" spans="6:6">
      <c r="F7124" s="2423"/>
    </row>
    <row r="7125" spans="6:6">
      <c r="F7125" s="2423"/>
    </row>
    <row r="7126" spans="6:6">
      <c r="F7126" s="2423"/>
    </row>
    <row r="7127" spans="6:6">
      <c r="F7127" s="2423"/>
    </row>
    <row r="7128" spans="6:6">
      <c r="F7128" s="2423"/>
    </row>
    <row r="7129" spans="6:6">
      <c r="F7129" s="2423"/>
    </row>
    <row r="7130" spans="6:6">
      <c r="F7130" s="2423"/>
    </row>
    <row r="7131" spans="6:6">
      <c r="F7131" s="2423"/>
    </row>
    <row r="7132" spans="6:6">
      <c r="F7132" s="2423"/>
    </row>
    <row r="7133" spans="6:6">
      <c r="F7133" s="2423"/>
    </row>
    <row r="7134" spans="6:6">
      <c r="F7134" s="2423"/>
    </row>
    <row r="7135" spans="6:6">
      <c r="F7135" s="2423"/>
    </row>
    <row r="7136" spans="6:6">
      <c r="F7136" s="2423"/>
    </row>
    <row r="7137" spans="6:6">
      <c r="F7137" s="2423"/>
    </row>
    <row r="7138" spans="6:6">
      <c r="F7138" s="2423"/>
    </row>
    <row r="7139" spans="6:6">
      <c r="F7139" s="2423"/>
    </row>
    <row r="7140" spans="6:6">
      <c r="F7140" s="2423"/>
    </row>
    <row r="7141" spans="6:6">
      <c r="F7141" s="2423"/>
    </row>
    <row r="7142" spans="6:6">
      <c r="F7142" s="2423"/>
    </row>
    <row r="7143" spans="6:6">
      <c r="F7143" s="2423"/>
    </row>
    <row r="7144" spans="6:6">
      <c r="F7144" s="2423"/>
    </row>
    <row r="7145" spans="6:6">
      <c r="F7145" s="2423"/>
    </row>
    <row r="7146" spans="6:6">
      <c r="F7146" s="2423"/>
    </row>
    <row r="7147" spans="6:6">
      <c r="F7147" s="2423"/>
    </row>
    <row r="7148" spans="6:6">
      <c r="F7148" s="2423"/>
    </row>
    <row r="7149" spans="6:6">
      <c r="F7149" s="2423"/>
    </row>
    <row r="7150" spans="6:6">
      <c r="F7150" s="2423"/>
    </row>
    <row r="7151" spans="6:6">
      <c r="F7151" s="2423"/>
    </row>
    <row r="7152" spans="6:6">
      <c r="F7152" s="2423"/>
    </row>
    <row r="7153" spans="6:6">
      <c r="F7153" s="2423"/>
    </row>
    <row r="7154" spans="6:6">
      <c r="F7154" s="2423"/>
    </row>
    <row r="7155" spans="6:6">
      <c r="F7155" s="2423"/>
    </row>
    <row r="7156" spans="6:6">
      <c r="F7156" s="2423"/>
    </row>
    <row r="7157" spans="6:6">
      <c r="F7157" s="2423"/>
    </row>
    <row r="7158" spans="6:6">
      <c r="F7158" s="2423"/>
    </row>
    <row r="7159" spans="6:6">
      <c r="F7159" s="2423"/>
    </row>
    <row r="7160" spans="6:6">
      <c r="F7160" s="2423"/>
    </row>
    <row r="7161" spans="6:6">
      <c r="F7161" s="2423"/>
    </row>
    <row r="7162" spans="6:6">
      <c r="F7162" s="2423"/>
    </row>
    <row r="7163" spans="6:6">
      <c r="F7163" s="2423"/>
    </row>
    <row r="7164" spans="6:6">
      <c r="F7164" s="2423"/>
    </row>
    <row r="7165" spans="6:6">
      <c r="F7165" s="2423"/>
    </row>
    <row r="7166" spans="6:6">
      <c r="F7166" s="2423"/>
    </row>
    <row r="7167" spans="6:6">
      <c r="F7167" s="2423"/>
    </row>
    <row r="7168" spans="6:6">
      <c r="F7168" s="2423"/>
    </row>
    <row r="7169" spans="6:6">
      <c r="F7169" s="2423"/>
    </row>
    <row r="7170" spans="6:6">
      <c r="F7170" s="2423"/>
    </row>
    <row r="7171" spans="6:6">
      <c r="F7171" s="2423"/>
    </row>
    <row r="7172" spans="6:6">
      <c r="F7172" s="2423"/>
    </row>
    <row r="7173" spans="6:6">
      <c r="F7173" s="2423"/>
    </row>
    <row r="7174" spans="6:6">
      <c r="F7174" s="2423"/>
    </row>
    <row r="7175" spans="6:6">
      <c r="F7175" s="2423"/>
    </row>
    <row r="7176" spans="6:6">
      <c r="F7176" s="2423"/>
    </row>
    <row r="7177" spans="6:6">
      <c r="F7177" s="2423"/>
    </row>
    <row r="7178" spans="6:6">
      <c r="F7178" s="2423"/>
    </row>
    <row r="7179" spans="6:6">
      <c r="F7179" s="2423"/>
    </row>
    <row r="7180" spans="6:6">
      <c r="F7180" s="2423"/>
    </row>
    <row r="7181" spans="6:6">
      <c r="F7181" s="2423"/>
    </row>
    <row r="7182" spans="6:6">
      <c r="F7182" s="2423"/>
    </row>
    <row r="7183" spans="6:6">
      <c r="F7183" s="2423"/>
    </row>
    <row r="7184" spans="6:6">
      <c r="F7184" s="2423"/>
    </row>
    <row r="7185" spans="6:6">
      <c r="F7185" s="2423"/>
    </row>
    <row r="7186" spans="6:6">
      <c r="F7186" s="2423"/>
    </row>
    <row r="7187" spans="6:6">
      <c r="F7187" s="2423"/>
    </row>
    <row r="7188" spans="6:6">
      <c r="F7188" s="2423"/>
    </row>
    <row r="7189" spans="6:6">
      <c r="F7189" s="2423"/>
    </row>
    <row r="7190" spans="6:6">
      <c r="F7190" s="2423"/>
    </row>
    <row r="7191" spans="6:6">
      <c r="F7191" s="2423"/>
    </row>
    <row r="7192" spans="6:6">
      <c r="F7192" s="2423"/>
    </row>
    <row r="7193" spans="6:6">
      <c r="F7193" s="2423"/>
    </row>
    <row r="7194" spans="6:6">
      <c r="F7194" s="2423"/>
    </row>
    <row r="7195" spans="6:6">
      <c r="F7195" s="2423"/>
    </row>
    <row r="7196" spans="6:6">
      <c r="F7196" s="2423"/>
    </row>
    <row r="7197" spans="6:6">
      <c r="F7197" s="2423"/>
    </row>
    <row r="7198" spans="6:6">
      <c r="F7198" s="2423"/>
    </row>
    <row r="7199" spans="6:6">
      <c r="F7199" s="2423"/>
    </row>
    <row r="7200" spans="6:6">
      <c r="F7200" s="2423"/>
    </row>
    <row r="7201" spans="6:6">
      <c r="F7201" s="2423"/>
    </row>
    <row r="7202" spans="6:6">
      <c r="F7202" s="2423"/>
    </row>
    <row r="7203" spans="6:6">
      <c r="F7203" s="2423"/>
    </row>
    <row r="7204" spans="6:6">
      <c r="F7204" s="2423"/>
    </row>
    <row r="7205" spans="6:6">
      <c r="F7205" s="2423"/>
    </row>
    <row r="7206" spans="6:6">
      <c r="F7206" s="2423"/>
    </row>
    <row r="7207" spans="6:6">
      <c r="F7207" s="2423"/>
    </row>
    <row r="7208" spans="6:6">
      <c r="F7208" s="2423"/>
    </row>
    <row r="7209" spans="6:6">
      <c r="F7209" s="2423"/>
    </row>
    <row r="7210" spans="6:6">
      <c r="F7210" s="2423"/>
    </row>
    <row r="7211" spans="6:6">
      <c r="F7211" s="2423"/>
    </row>
    <row r="7212" spans="6:6">
      <c r="F7212" s="2423"/>
    </row>
    <row r="7213" spans="6:6">
      <c r="F7213" s="2423"/>
    </row>
    <row r="7214" spans="6:6">
      <c r="F7214" s="2423"/>
    </row>
    <row r="7215" spans="6:6">
      <c r="F7215" s="2423"/>
    </row>
    <row r="7216" spans="6:6">
      <c r="F7216" s="2423"/>
    </row>
    <row r="7217" spans="6:6">
      <c r="F7217" s="2423"/>
    </row>
    <row r="7218" spans="6:6">
      <c r="F7218" s="2423"/>
    </row>
    <row r="7219" spans="6:6">
      <c r="F7219" s="2423"/>
    </row>
    <row r="7220" spans="6:6">
      <c r="F7220" s="2423"/>
    </row>
    <row r="7221" spans="6:6">
      <c r="F7221" s="2423"/>
    </row>
    <row r="7222" spans="6:6">
      <c r="F7222" s="2423"/>
    </row>
    <row r="7223" spans="6:6">
      <c r="F7223" s="2423"/>
    </row>
    <row r="7224" spans="6:6">
      <c r="F7224" s="2423"/>
    </row>
    <row r="7225" spans="6:6">
      <c r="F7225" s="2423"/>
    </row>
    <row r="7226" spans="6:6">
      <c r="F7226" s="2423"/>
    </row>
    <row r="7227" spans="6:6">
      <c r="F7227" s="2423"/>
    </row>
    <row r="7228" spans="6:6">
      <c r="F7228" s="2423"/>
    </row>
    <row r="7229" spans="6:6">
      <c r="F7229" s="2423"/>
    </row>
    <row r="7230" spans="6:6">
      <c r="F7230" s="2423"/>
    </row>
    <row r="7231" spans="6:6">
      <c r="F7231" s="2423"/>
    </row>
    <row r="7232" spans="6:6">
      <c r="F7232" s="2423"/>
    </row>
    <row r="7233" spans="6:6">
      <c r="F7233" s="2423"/>
    </row>
    <row r="7234" spans="6:6">
      <c r="F7234" s="2423"/>
    </row>
    <row r="7235" spans="6:6">
      <c r="F7235" s="2423"/>
    </row>
    <row r="7236" spans="6:6">
      <c r="F7236" s="2423"/>
    </row>
    <row r="7237" spans="6:6">
      <c r="F7237" s="2423"/>
    </row>
    <row r="7238" spans="6:6">
      <c r="F7238" s="2423"/>
    </row>
    <row r="7239" spans="6:6">
      <c r="F7239" s="2423"/>
    </row>
    <row r="7240" spans="6:6">
      <c r="F7240" s="2423"/>
    </row>
    <row r="7241" spans="6:6">
      <c r="F7241" s="2423"/>
    </row>
    <row r="7242" spans="6:6">
      <c r="F7242" s="2423"/>
    </row>
    <row r="7243" spans="6:6">
      <c r="F7243" s="2423"/>
    </row>
    <row r="7244" spans="6:6">
      <c r="F7244" s="2423"/>
    </row>
    <row r="7245" spans="6:6">
      <c r="F7245" s="2423"/>
    </row>
    <row r="7246" spans="6:6">
      <c r="F7246" s="2423"/>
    </row>
    <row r="7247" spans="6:6">
      <c r="F7247" s="2423"/>
    </row>
    <row r="7248" spans="6:6">
      <c r="F7248" s="2423"/>
    </row>
    <row r="7249" spans="6:6">
      <c r="F7249" s="2423"/>
    </row>
    <row r="7250" spans="6:6">
      <c r="F7250" s="2423"/>
    </row>
    <row r="7251" spans="6:6">
      <c r="F7251" s="2423"/>
    </row>
    <row r="7252" spans="6:6">
      <c r="F7252" s="2423"/>
    </row>
    <row r="7253" spans="6:6">
      <c r="F7253" s="2423"/>
    </row>
    <row r="7254" spans="6:6">
      <c r="F7254" s="2423"/>
    </row>
    <row r="7255" spans="6:6">
      <c r="F7255" s="2423"/>
    </row>
    <row r="7256" spans="6:6">
      <c r="F7256" s="2423"/>
    </row>
    <row r="7257" spans="6:6">
      <c r="F7257" s="2423"/>
    </row>
    <row r="7258" spans="6:6">
      <c r="F7258" s="2423"/>
    </row>
    <row r="7259" spans="6:6">
      <c r="F7259" s="2423"/>
    </row>
    <row r="7260" spans="6:6">
      <c r="F7260" s="2423"/>
    </row>
    <row r="7261" spans="6:6">
      <c r="F7261" s="2423"/>
    </row>
    <row r="7262" spans="6:6">
      <c r="F7262" s="2423"/>
    </row>
    <row r="7263" spans="6:6">
      <c r="F7263" s="2423"/>
    </row>
    <row r="7264" spans="6:6">
      <c r="F7264" s="2423"/>
    </row>
    <row r="7265" spans="6:6">
      <c r="F7265" s="2423"/>
    </row>
    <row r="7266" spans="6:6">
      <c r="F7266" s="2423"/>
    </row>
    <row r="7267" spans="6:6">
      <c r="F7267" s="2423"/>
    </row>
    <row r="7268" spans="6:6">
      <c r="F7268" s="2423"/>
    </row>
    <row r="7269" spans="6:6">
      <c r="F7269" s="2423"/>
    </row>
    <row r="7270" spans="6:6">
      <c r="F7270" s="2423"/>
    </row>
    <row r="7271" spans="6:6">
      <c r="F7271" s="2423"/>
    </row>
    <row r="7272" spans="6:6">
      <c r="F7272" s="2423"/>
    </row>
    <row r="7273" spans="6:6">
      <c r="F7273" s="2423"/>
    </row>
    <row r="7274" spans="6:6">
      <c r="F7274" s="2423"/>
    </row>
    <row r="7275" spans="6:6">
      <c r="F7275" s="2423"/>
    </row>
    <row r="7276" spans="6:6">
      <c r="F7276" s="2423"/>
    </row>
    <row r="7277" spans="6:6">
      <c r="F7277" s="2423"/>
    </row>
    <row r="7278" spans="6:6">
      <c r="F7278" s="2423"/>
    </row>
    <row r="7279" spans="6:6">
      <c r="F7279" s="2423"/>
    </row>
    <row r="7280" spans="6:6">
      <c r="F7280" s="2423"/>
    </row>
    <row r="7281" spans="6:6">
      <c r="F7281" s="2423"/>
    </row>
    <row r="7282" spans="6:6">
      <c r="F7282" s="2423"/>
    </row>
    <row r="7283" spans="6:6">
      <c r="F7283" s="2423"/>
    </row>
    <row r="7284" spans="6:6">
      <c r="F7284" s="2423"/>
    </row>
    <row r="7285" spans="6:6">
      <c r="F7285" s="2423"/>
    </row>
    <row r="7286" spans="6:6">
      <c r="F7286" s="2423"/>
    </row>
    <row r="7287" spans="6:6">
      <c r="F7287" s="2423"/>
    </row>
    <row r="7288" spans="6:6">
      <c r="F7288" s="2423"/>
    </row>
    <row r="7289" spans="6:6">
      <c r="F7289" s="2423"/>
    </row>
    <row r="7290" spans="6:6">
      <c r="F7290" s="2423"/>
    </row>
    <row r="7291" spans="6:6">
      <c r="F7291" s="2423"/>
    </row>
    <row r="7292" spans="6:6">
      <c r="F7292" s="2423"/>
    </row>
    <row r="7293" spans="6:6">
      <c r="F7293" s="2423"/>
    </row>
    <row r="7294" spans="6:6">
      <c r="F7294" s="2423"/>
    </row>
    <row r="7295" spans="6:6">
      <c r="F7295" s="2423"/>
    </row>
    <row r="7296" spans="6:6">
      <c r="F7296" s="2423"/>
    </row>
    <row r="7297" spans="6:6">
      <c r="F7297" s="2423"/>
    </row>
    <row r="7298" spans="6:6">
      <c r="F7298" s="2423"/>
    </row>
    <row r="7299" spans="6:6">
      <c r="F7299" s="2423"/>
    </row>
    <row r="7300" spans="6:6">
      <c r="F7300" s="2423"/>
    </row>
    <row r="7301" spans="6:6">
      <c r="F7301" s="2423"/>
    </row>
    <row r="7302" spans="6:6">
      <c r="F7302" s="2423"/>
    </row>
    <row r="7303" spans="6:6">
      <c r="F7303" s="2423"/>
    </row>
    <row r="7304" spans="6:6">
      <c r="F7304" s="2423"/>
    </row>
    <row r="7305" spans="6:6">
      <c r="F7305" s="2423"/>
    </row>
    <row r="7306" spans="6:6">
      <c r="F7306" s="2423"/>
    </row>
    <row r="7307" spans="6:6">
      <c r="F7307" s="2423"/>
    </row>
    <row r="7308" spans="6:6">
      <c r="F7308" s="2423"/>
    </row>
    <row r="7309" spans="6:6">
      <c r="F7309" s="2423"/>
    </row>
    <row r="7310" spans="6:6">
      <c r="F7310" s="2423"/>
    </row>
    <row r="7311" spans="6:6">
      <c r="F7311" s="2423"/>
    </row>
    <row r="7312" spans="6:6">
      <c r="F7312" s="2423"/>
    </row>
    <row r="7313" spans="6:6">
      <c r="F7313" s="2423"/>
    </row>
    <row r="7314" spans="6:6">
      <c r="F7314" s="2423"/>
    </row>
    <row r="7315" spans="6:6">
      <c r="F7315" s="2423"/>
    </row>
    <row r="7316" spans="6:6">
      <c r="F7316" s="2423"/>
    </row>
    <row r="7317" spans="6:6">
      <c r="F7317" s="2423"/>
    </row>
    <row r="7318" spans="6:6">
      <c r="F7318" s="2423"/>
    </row>
    <row r="7319" spans="6:6">
      <c r="F7319" s="2423"/>
    </row>
    <row r="7320" spans="6:6">
      <c r="F7320" s="2423"/>
    </row>
    <row r="7321" spans="6:6">
      <c r="F7321" s="2423"/>
    </row>
    <row r="7322" spans="6:6">
      <c r="F7322" s="2423"/>
    </row>
    <row r="7323" spans="6:6">
      <c r="F7323" s="2423"/>
    </row>
    <row r="7324" spans="6:6">
      <c r="F7324" s="2423"/>
    </row>
    <row r="7325" spans="6:6">
      <c r="F7325" s="2423"/>
    </row>
    <row r="7326" spans="6:6">
      <c r="F7326" s="2423"/>
    </row>
    <row r="7327" spans="6:6">
      <c r="F7327" s="2423"/>
    </row>
    <row r="7328" spans="6:6">
      <c r="F7328" s="2423"/>
    </row>
    <row r="7329" spans="6:6">
      <c r="F7329" s="2423"/>
    </row>
    <row r="7330" spans="6:6">
      <c r="F7330" s="2423"/>
    </row>
    <row r="7331" spans="6:6">
      <c r="F7331" s="2423"/>
    </row>
    <row r="7332" spans="6:6">
      <c r="F7332" s="2423"/>
    </row>
    <row r="7333" spans="6:6">
      <c r="F7333" s="2423"/>
    </row>
    <row r="7334" spans="6:6">
      <c r="F7334" s="2423"/>
    </row>
    <row r="7335" spans="6:6">
      <c r="F7335" s="2423"/>
    </row>
    <row r="7336" spans="6:6">
      <c r="F7336" s="2423"/>
    </row>
    <row r="7337" spans="6:6">
      <c r="F7337" s="2423"/>
    </row>
    <row r="7338" spans="6:6">
      <c r="F7338" s="2423"/>
    </row>
    <row r="7339" spans="6:6">
      <c r="F7339" s="2423"/>
    </row>
    <row r="7340" spans="6:6">
      <c r="F7340" s="2423"/>
    </row>
    <row r="7341" spans="6:6">
      <c r="F7341" s="2423"/>
    </row>
    <row r="7342" spans="6:6">
      <c r="F7342" s="2423"/>
    </row>
    <row r="7343" spans="6:6">
      <c r="F7343" s="2423"/>
    </row>
    <row r="7344" spans="6:6">
      <c r="F7344" s="2423"/>
    </row>
    <row r="7345" spans="6:6">
      <c r="F7345" s="2423"/>
    </row>
    <row r="7346" spans="6:6">
      <c r="F7346" s="2423"/>
    </row>
    <row r="7347" spans="6:6">
      <c r="F7347" s="2423"/>
    </row>
    <row r="7348" spans="6:6">
      <c r="F7348" s="2423"/>
    </row>
    <row r="7349" spans="6:6">
      <c r="F7349" s="2423"/>
    </row>
    <row r="7350" spans="6:6">
      <c r="F7350" s="2423"/>
    </row>
    <row r="7351" spans="6:6">
      <c r="F7351" s="2423"/>
    </row>
    <row r="7352" spans="6:6">
      <c r="F7352" s="2423"/>
    </row>
    <row r="7353" spans="6:6">
      <c r="F7353" s="2423"/>
    </row>
    <row r="7354" spans="6:6">
      <c r="F7354" s="2423"/>
    </row>
    <row r="7355" spans="6:6">
      <c r="F7355" s="2423"/>
    </row>
    <row r="7356" spans="6:6">
      <c r="F7356" s="2423"/>
    </row>
    <row r="7357" spans="6:6">
      <c r="F7357" s="2423"/>
    </row>
    <row r="7358" spans="6:6">
      <c r="F7358" s="2423"/>
    </row>
    <row r="7359" spans="6:6">
      <c r="F7359" s="2423"/>
    </row>
    <row r="7360" spans="6:6">
      <c r="F7360" s="2423"/>
    </row>
    <row r="7361" spans="6:6">
      <c r="F7361" s="2423"/>
    </row>
    <row r="7362" spans="6:6">
      <c r="F7362" s="2423"/>
    </row>
    <row r="7363" spans="6:6">
      <c r="F7363" s="2423"/>
    </row>
    <row r="7364" spans="6:6">
      <c r="F7364" s="2423"/>
    </row>
    <row r="7365" spans="6:6">
      <c r="F7365" s="2423"/>
    </row>
    <row r="7366" spans="6:6">
      <c r="F7366" s="2423"/>
    </row>
    <row r="7367" spans="6:6">
      <c r="F7367" s="2423"/>
    </row>
    <row r="7368" spans="6:6">
      <c r="F7368" s="2423"/>
    </row>
    <row r="7369" spans="6:6">
      <c r="F7369" s="2423"/>
    </row>
    <row r="7370" spans="6:6">
      <c r="F7370" s="2423"/>
    </row>
    <row r="7371" spans="6:6">
      <c r="F7371" s="2423"/>
    </row>
    <row r="7372" spans="6:6">
      <c r="F7372" s="2423"/>
    </row>
    <row r="7373" spans="6:6">
      <c r="F7373" s="2423"/>
    </row>
    <row r="7374" spans="6:6">
      <c r="F7374" s="2423"/>
    </row>
    <row r="7375" spans="6:6">
      <c r="F7375" s="2423"/>
    </row>
    <row r="7376" spans="6:6">
      <c r="F7376" s="2423"/>
    </row>
    <row r="7377" spans="6:6">
      <c r="F7377" s="2423"/>
    </row>
    <row r="7378" spans="6:6">
      <c r="F7378" s="2423"/>
    </row>
    <row r="7379" spans="6:6">
      <c r="F7379" s="2423"/>
    </row>
    <row r="7380" spans="6:6">
      <c r="F7380" s="2423"/>
    </row>
    <row r="7381" spans="6:6">
      <c r="F7381" s="2423"/>
    </row>
    <row r="7382" spans="6:6">
      <c r="F7382" s="2423"/>
    </row>
    <row r="7383" spans="6:6">
      <c r="F7383" s="2423"/>
    </row>
    <row r="7384" spans="6:6">
      <c r="F7384" s="2423"/>
    </row>
    <row r="7385" spans="6:6">
      <c r="F7385" s="2423"/>
    </row>
    <row r="7386" spans="6:6">
      <c r="F7386" s="2423"/>
    </row>
    <row r="7387" spans="6:6">
      <c r="F7387" s="2423"/>
    </row>
    <row r="7388" spans="6:6">
      <c r="F7388" s="2423"/>
    </row>
    <row r="7389" spans="6:6">
      <c r="F7389" s="2423"/>
    </row>
    <row r="7390" spans="6:6">
      <c r="F7390" s="2423"/>
    </row>
    <row r="7391" spans="6:6">
      <c r="F7391" s="2423"/>
    </row>
    <row r="7392" spans="6:6">
      <c r="F7392" s="2423"/>
    </row>
    <row r="7393" spans="6:6">
      <c r="F7393" s="2423"/>
    </row>
    <row r="7394" spans="6:6">
      <c r="F7394" s="2423"/>
    </row>
    <row r="7395" spans="6:6">
      <c r="F7395" s="2423"/>
    </row>
    <row r="7396" spans="6:6">
      <c r="F7396" s="2423"/>
    </row>
    <row r="7397" spans="6:6">
      <c r="F7397" s="2423"/>
    </row>
    <row r="7398" spans="6:6">
      <c r="F7398" s="2423"/>
    </row>
    <row r="7399" spans="6:6">
      <c r="F7399" s="2423"/>
    </row>
    <row r="7400" spans="6:6">
      <c r="F7400" s="2423"/>
    </row>
    <row r="7401" spans="6:6">
      <c r="F7401" s="2423"/>
    </row>
    <row r="7402" spans="6:6">
      <c r="F7402" s="2423"/>
    </row>
    <row r="7403" spans="6:6">
      <c r="F7403" s="2423"/>
    </row>
    <row r="7404" spans="6:6">
      <c r="F7404" s="2423"/>
    </row>
    <row r="7405" spans="6:6">
      <c r="F7405" s="2423"/>
    </row>
    <row r="7406" spans="6:6">
      <c r="F7406" s="2423"/>
    </row>
    <row r="7407" spans="6:6">
      <c r="F7407" s="2423"/>
    </row>
    <row r="7408" spans="6:6">
      <c r="F7408" s="2423"/>
    </row>
    <row r="7409" spans="6:6">
      <c r="F7409" s="2423"/>
    </row>
    <row r="7410" spans="6:6">
      <c r="F7410" s="2423"/>
    </row>
    <row r="7411" spans="6:6">
      <c r="F7411" s="2423"/>
    </row>
    <row r="7412" spans="6:6">
      <c r="F7412" s="2423"/>
    </row>
    <row r="7413" spans="6:6">
      <c r="F7413" s="2423"/>
    </row>
    <row r="7414" spans="6:6">
      <c r="F7414" s="2423"/>
    </row>
    <row r="7415" spans="6:6">
      <c r="F7415" s="2423"/>
    </row>
    <row r="7416" spans="6:6">
      <c r="F7416" s="2423"/>
    </row>
    <row r="7417" spans="6:6">
      <c r="F7417" s="2423"/>
    </row>
    <row r="7418" spans="6:6">
      <c r="F7418" s="2423"/>
    </row>
    <row r="7419" spans="6:6">
      <c r="F7419" s="2423"/>
    </row>
    <row r="7420" spans="6:6">
      <c r="F7420" s="2423"/>
    </row>
    <row r="7421" spans="6:6">
      <c r="F7421" s="2423"/>
    </row>
    <row r="7422" spans="6:6">
      <c r="F7422" s="2423"/>
    </row>
    <row r="7423" spans="6:6">
      <c r="F7423" s="2423"/>
    </row>
    <row r="7424" spans="6:6">
      <c r="F7424" s="2423"/>
    </row>
    <row r="7425" spans="6:6">
      <c r="F7425" s="2423"/>
    </row>
    <row r="7426" spans="6:6">
      <c r="F7426" s="2423"/>
    </row>
    <row r="7427" spans="6:6">
      <c r="F7427" s="2423"/>
    </row>
    <row r="7428" spans="6:6">
      <c r="F7428" s="2423"/>
    </row>
    <row r="7429" spans="6:6">
      <c r="F7429" s="2423"/>
    </row>
    <row r="7430" spans="6:6">
      <c r="F7430" s="2423"/>
    </row>
    <row r="7431" spans="6:6">
      <c r="F7431" s="2423"/>
    </row>
    <row r="7432" spans="6:6">
      <c r="F7432" s="2423"/>
    </row>
    <row r="7433" spans="6:6">
      <c r="F7433" s="2423"/>
    </row>
    <row r="7434" spans="6:6">
      <c r="F7434" s="2423"/>
    </row>
    <row r="7435" spans="6:6">
      <c r="F7435" s="2423"/>
    </row>
    <row r="7436" spans="6:6">
      <c r="F7436" s="2423"/>
    </row>
    <row r="7437" spans="6:6">
      <c r="F7437" s="2423"/>
    </row>
    <row r="7438" spans="6:6">
      <c r="F7438" s="2423"/>
    </row>
    <row r="7439" spans="6:6">
      <c r="F7439" s="2423"/>
    </row>
    <row r="7440" spans="6:6">
      <c r="F7440" s="2423"/>
    </row>
    <row r="7441" spans="6:6">
      <c r="F7441" s="2423"/>
    </row>
    <row r="7442" spans="6:6">
      <c r="F7442" s="2423"/>
    </row>
    <row r="7443" spans="6:6">
      <c r="F7443" s="2423"/>
    </row>
    <row r="7444" spans="6:6">
      <c r="F7444" s="2423"/>
    </row>
    <row r="7445" spans="6:6">
      <c r="F7445" s="2423"/>
    </row>
    <row r="7446" spans="6:6">
      <c r="F7446" s="2423"/>
    </row>
    <row r="7447" spans="6:6">
      <c r="F7447" s="2423"/>
    </row>
    <row r="7448" spans="6:6">
      <c r="F7448" s="2423"/>
    </row>
    <row r="7449" spans="6:6">
      <c r="F7449" s="2423"/>
    </row>
    <row r="7450" spans="6:6">
      <c r="F7450" s="2423"/>
    </row>
    <row r="7451" spans="6:6">
      <c r="F7451" s="2423"/>
    </row>
    <row r="7452" spans="6:6">
      <c r="F7452" s="2423"/>
    </row>
    <row r="7453" spans="6:6">
      <c r="F7453" s="2423"/>
    </row>
    <row r="7454" spans="6:6">
      <c r="F7454" s="2423"/>
    </row>
    <row r="7455" spans="6:6">
      <c r="F7455" s="2423"/>
    </row>
    <row r="7456" spans="6:6">
      <c r="F7456" s="2423"/>
    </row>
    <row r="7457" spans="6:6">
      <c r="F7457" s="2423"/>
    </row>
    <row r="7458" spans="6:6">
      <c r="F7458" s="2423"/>
    </row>
    <row r="7459" spans="6:6">
      <c r="F7459" s="2423"/>
    </row>
    <row r="7460" spans="6:6">
      <c r="F7460" s="2423"/>
    </row>
    <row r="7461" spans="6:6">
      <c r="F7461" s="2423"/>
    </row>
    <row r="7462" spans="6:6">
      <c r="F7462" s="2423"/>
    </row>
    <row r="7463" spans="6:6">
      <c r="F7463" s="2423"/>
    </row>
    <row r="7464" spans="6:6">
      <c r="F7464" s="2423"/>
    </row>
    <row r="7465" spans="6:6">
      <c r="F7465" s="2423"/>
    </row>
    <row r="7466" spans="6:6">
      <c r="F7466" s="2423"/>
    </row>
    <row r="7467" spans="6:6">
      <c r="F7467" s="2423"/>
    </row>
    <row r="7468" spans="6:6">
      <c r="F7468" s="2423"/>
    </row>
    <row r="7469" spans="6:6">
      <c r="F7469" s="2423"/>
    </row>
    <row r="7470" spans="6:6">
      <c r="F7470" s="2423"/>
    </row>
    <row r="7471" spans="6:6">
      <c r="F7471" s="2423"/>
    </row>
    <row r="7472" spans="6:6">
      <c r="F7472" s="2423"/>
    </row>
    <row r="7473" spans="6:6">
      <c r="F7473" s="2423"/>
    </row>
    <row r="7474" spans="6:6">
      <c r="F7474" s="2423"/>
    </row>
    <row r="7475" spans="6:6">
      <c r="F7475" s="2423"/>
    </row>
    <row r="7476" spans="6:6">
      <c r="F7476" s="2423"/>
    </row>
    <row r="7477" spans="6:6">
      <c r="F7477" s="2423"/>
    </row>
    <row r="7478" spans="6:6">
      <c r="F7478" s="2423"/>
    </row>
    <row r="7479" spans="6:6">
      <c r="F7479" s="2423"/>
    </row>
    <row r="7480" spans="6:6">
      <c r="F7480" s="2423"/>
    </row>
    <row r="7481" spans="6:6">
      <c r="F7481" s="2423"/>
    </row>
    <row r="7482" spans="6:6">
      <c r="F7482" s="2423"/>
    </row>
    <row r="7483" spans="6:6">
      <c r="F7483" s="2423"/>
    </row>
    <row r="7484" spans="6:6">
      <c r="F7484" s="2423"/>
    </row>
    <row r="7485" spans="6:6">
      <c r="F7485" s="2423"/>
    </row>
    <row r="7486" spans="6:6">
      <c r="F7486" s="2423"/>
    </row>
    <row r="7487" spans="6:6">
      <c r="F7487" s="2423"/>
    </row>
    <row r="7488" spans="6:6">
      <c r="F7488" s="2423"/>
    </row>
    <row r="7489" spans="6:6">
      <c r="F7489" s="2423"/>
    </row>
    <row r="7490" spans="6:6">
      <c r="F7490" s="2423"/>
    </row>
    <row r="7491" spans="6:6">
      <c r="F7491" s="2423"/>
    </row>
    <row r="7492" spans="6:6">
      <c r="F7492" s="2423"/>
    </row>
    <row r="7493" spans="6:6">
      <c r="F7493" s="2423"/>
    </row>
    <row r="7494" spans="6:6">
      <c r="F7494" s="2423"/>
    </row>
    <row r="7495" spans="6:6">
      <c r="F7495" s="2423"/>
    </row>
    <row r="7496" spans="6:6">
      <c r="F7496" s="2423"/>
    </row>
    <row r="7497" spans="6:6">
      <c r="F7497" s="2423"/>
    </row>
    <row r="7498" spans="6:6">
      <c r="F7498" s="2423"/>
    </row>
    <row r="7499" spans="6:6">
      <c r="F7499" s="2423"/>
    </row>
    <row r="7500" spans="6:6">
      <c r="F7500" s="2423"/>
    </row>
    <row r="7501" spans="6:6">
      <c r="F7501" s="2423"/>
    </row>
    <row r="7502" spans="6:6">
      <c r="F7502" s="2423"/>
    </row>
    <row r="7503" spans="6:6">
      <c r="F7503" s="2423"/>
    </row>
    <row r="7504" spans="6:6">
      <c r="F7504" s="2423"/>
    </row>
    <row r="7505" spans="6:6">
      <c r="F7505" s="2423"/>
    </row>
    <row r="7506" spans="6:6">
      <c r="F7506" s="2423"/>
    </row>
    <row r="7507" spans="6:6">
      <c r="F7507" s="2423"/>
    </row>
    <row r="7508" spans="6:6">
      <c r="F7508" s="2423"/>
    </row>
    <row r="7509" spans="6:6">
      <c r="F7509" s="2423"/>
    </row>
    <row r="7510" spans="6:6">
      <c r="F7510" s="2423"/>
    </row>
    <row r="7511" spans="6:6">
      <c r="F7511" s="2423"/>
    </row>
    <row r="7512" spans="6:6">
      <c r="F7512" s="2423"/>
    </row>
    <row r="7513" spans="6:6">
      <c r="F7513" s="2423"/>
    </row>
    <row r="7514" spans="6:6">
      <c r="F7514" s="2423"/>
    </row>
    <row r="7515" spans="6:6">
      <c r="F7515" s="2423"/>
    </row>
    <row r="7516" spans="6:6">
      <c r="F7516" s="2423"/>
    </row>
    <row r="7517" spans="6:6">
      <c r="F7517" s="2423"/>
    </row>
    <row r="7518" spans="6:6">
      <c r="F7518" s="2423"/>
    </row>
    <row r="7519" spans="6:6">
      <c r="F7519" s="2423"/>
    </row>
    <row r="7520" spans="6:6">
      <c r="F7520" s="2423"/>
    </row>
    <row r="7521" spans="6:6">
      <c r="F7521" s="2423"/>
    </row>
    <row r="7522" spans="6:6">
      <c r="F7522" s="2423"/>
    </row>
    <row r="7523" spans="6:6">
      <c r="F7523" s="2423"/>
    </row>
    <row r="7524" spans="6:6">
      <c r="F7524" s="2423"/>
    </row>
    <row r="7525" spans="6:6">
      <c r="F7525" s="2423"/>
    </row>
    <row r="7526" spans="6:6">
      <c r="F7526" s="2423"/>
    </row>
    <row r="7527" spans="6:6">
      <c r="F7527" s="2423"/>
    </row>
    <row r="7528" spans="6:6">
      <c r="F7528" s="2423"/>
    </row>
    <row r="7529" spans="6:6">
      <c r="F7529" s="2423"/>
    </row>
    <row r="7530" spans="6:6">
      <c r="F7530" s="2423"/>
    </row>
    <row r="7531" spans="6:6">
      <c r="F7531" s="2423"/>
    </row>
    <row r="7532" spans="6:6">
      <c r="F7532" s="2423"/>
    </row>
    <row r="7533" spans="6:6">
      <c r="F7533" s="2423"/>
    </row>
    <row r="7534" spans="6:6">
      <c r="F7534" s="2423"/>
    </row>
    <row r="7535" spans="6:6">
      <c r="F7535" s="2423"/>
    </row>
    <row r="7536" spans="6:6">
      <c r="F7536" s="2423"/>
    </row>
    <row r="7537" spans="6:6">
      <c r="F7537" s="2423"/>
    </row>
    <row r="7538" spans="6:6">
      <c r="F7538" s="2423"/>
    </row>
    <row r="7539" spans="6:6">
      <c r="F7539" s="2423"/>
    </row>
    <row r="7540" spans="6:6">
      <c r="F7540" s="2423"/>
    </row>
    <row r="7541" spans="6:6">
      <c r="F7541" s="2423"/>
    </row>
    <row r="7542" spans="6:6">
      <c r="F7542" s="2423"/>
    </row>
    <row r="7543" spans="6:6">
      <c r="F7543" s="2423"/>
    </row>
    <row r="7544" spans="6:6">
      <c r="F7544" s="2423"/>
    </row>
    <row r="7545" spans="6:6">
      <c r="F7545" s="2423"/>
    </row>
    <row r="7546" spans="6:6">
      <c r="F7546" s="2423"/>
    </row>
    <row r="7547" spans="6:6">
      <c r="F7547" s="2423"/>
    </row>
    <row r="7548" spans="6:6">
      <c r="F7548" s="2423"/>
    </row>
    <row r="7549" spans="6:6">
      <c r="F7549" s="2423"/>
    </row>
    <row r="7550" spans="6:6">
      <c r="F7550" s="2423"/>
    </row>
    <row r="7551" spans="6:6">
      <c r="F7551" s="2423"/>
    </row>
    <row r="7552" spans="6:6">
      <c r="F7552" s="2423"/>
    </row>
    <row r="7553" spans="6:6">
      <c r="F7553" s="2423"/>
    </row>
    <row r="7554" spans="6:6">
      <c r="F7554" s="2423"/>
    </row>
    <row r="7555" spans="6:6">
      <c r="F7555" s="2423"/>
    </row>
    <row r="7556" spans="6:6">
      <c r="F7556" s="2423"/>
    </row>
    <row r="7557" spans="6:6">
      <c r="F7557" s="2423"/>
    </row>
    <row r="7558" spans="6:6">
      <c r="F7558" s="2423"/>
    </row>
    <row r="7559" spans="6:6">
      <c r="F7559" s="2423"/>
    </row>
    <row r="7560" spans="6:6">
      <c r="F7560" s="2423"/>
    </row>
    <row r="7561" spans="6:6">
      <c r="F7561" s="2423"/>
    </row>
    <row r="7562" spans="6:6">
      <c r="F7562" s="2423"/>
    </row>
    <row r="7563" spans="6:6">
      <c r="F7563" s="2423"/>
    </row>
    <row r="7564" spans="6:6">
      <c r="F7564" s="2423"/>
    </row>
    <row r="7565" spans="6:6">
      <c r="F7565" s="2423"/>
    </row>
    <row r="7566" spans="6:6">
      <c r="F7566" s="2423"/>
    </row>
    <row r="7567" spans="6:6">
      <c r="F7567" s="2423"/>
    </row>
    <row r="7568" spans="6:6">
      <c r="F7568" s="2423"/>
    </row>
    <row r="7569" spans="6:6">
      <c r="F7569" s="2423"/>
    </row>
    <row r="7570" spans="6:6">
      <c r="F7570" s="2423"/>
    </row>
    <row r="7571" spans="6:6">
      <c r="F7571" s="2423"/>
    </row>
    <row r="7572" spans="6:6">
      <c r="F7572" s="2423"/>
    </row>
    <row r="7573" spans="6:6">
      <c r="F7573" s="2423"/>
    </row>
    <row r="7574" spans="6:6">
      <c r="F7574" s="2423"/>
    </row>
    <row r="7575" spans="6:6">
      <c r="F7575" s="2423"/>
    </row>
    <row r="7576" spans="6:6">
      <c r="F7576" s="2423"/>
    </row>
    <row r="7577" spans="6:6">
      <c r="F7577" s="2423"/>
    </row>
    <row r="7578" spans="6:6">
      <c r="F7578" s="2423"/>
    </row>
    <row r="7579" spans="6:6">
      <c r="F7579" s="2423"/>
    </row>
    <row r="7580" spans="6:6">
      <c r="F7580" s="2423"/>
    </row>
    <row r="7581" spans="6:6">
      <c r="F7581" s="2423"/>
    </row>
    <row r="7582" spans="6:6">
      <c r="F7582" s="2423"/>
    </row>
    <row r="7583" spans="6:6">
      <c r="F7583" s="2423"/>
    </row>
    <row r="7584" spans="6:6">
      <c r="F7584" s="2423"/>
    </row>
    <row r="7585" spans="6:6">
      <c r="F7585" s="2423"/>
    </row>
    <row r="7586" spans="6:6">
      <c r="F7586" s="2423"/>
    </row>
    <row r="7587" spans="6:6">
      <c r="F7587" s="2423"/>
    </row>
    <row r="7588" spans="6:6">
      <c r="F7588" s="2423"/>
    </row>
    <row r="7589" spans="6:6">
      <c r="F7589" s="2423"/>
    </row>
    <row r="7590" spans="6:6">
      <c r="F7590" s="2423"/>
    </row>
    <row r="7591" spans="6:6">
      <c r="F7591" s="2423"/>
    </row>
    <row r="7592" spans="6:6">
      <c r="F7592" s="2423"/>
    </row>
    <row r="7593" spans="6:6">
      <c r="F7593" s="2423"/>
    </row>
    <row r="7594" spans="6:6">
      <c r="F7594" s="2423"/>
    </row>
    <row r="7595" spans="6:6">
      <c r="F7595" s="2423"/>
    </row>
    <row r="7596" spans="6:6">
      <c r="F7596" s="2423"/>
    </row>
    <row r="7597" spans="6:6">
      <c r="F7597" s="2423"/>
    </row>
    <row r="7598" spans="6:6">
      <c r="F7598" s="2423"/>
    </row>
    <row r="7599" spans="6:6">
      <c r="F7599" s="2423"/>
    </row>
    <row r="7600" spans="6:6">
      <c r="F7600" s="2423"/>
    </row>
    <row r="7601" spans="6:6">
      <c r="F7601" s="2423"/>
    </row>
    <row r="7602" spans="6:6">
      <c r="F7602" s="2423"/>
    </row>
    <row r="7603" spans="6:6">
      <c r="F7603" s="2423"/>
    </row>
    <row r="7604" spans="6:6">
      <c r="F7604" s="2423"/>
    </row>
    <row r="7605" spans="6:6">
      <c r="F7605" s="2423"/>
    </row>
    <row r="7606" spans="6:6">
      <c r="F7606" s="2423"/>
    </row>
    <row r="7607" spans="6:6">
      <c r="F7607" s="2423"/>
    </row>
    <row r="7608" spans="6:6">
      <c r="F7608" s="2423"/>
    </row>
    <row r="7609" spans="6:6">
      <c r="F7609" s="2423"/>
    </row>
    <row r="7610" spans="6:6">
      <c r="F7610" s="2423"/>
    </row>
    <row r="7611" spans="6:6">
      <c r="F7611" s="2423"/>
    </row>
    <row r="7612" spans="6:6">
      <c r="F7612" s="2423"/>
    </row>
    <row r="7613" spans="6:6">
      <c r="F7613" s="2423"/>
    </row>
    <row r="7614" spans="6:6">
      <c r="F7614" s="2423"/>
    </row>
    <row r="7615" spans="6:6">
      <c r="F7615" s="2423"/>
    </row>
    <row r="7616" spans="6:6">
      <c r="F7616" s="2423"/>
    </row>
    <row r="7617" spans="6:6">
      <c r="F7617" s="2423"/>
    </row>
    <row r="7618" spans="6:6">
      <c r="F7618" s="2423"/>
    </row>
    <row r="7619" spans="6:6">
      <c r="F7619" s="2423"/>
    </row>
    <row r="7620" spans="6:6">
      <c r="F7620" s="2423"/>
    </row>
    <row r="7621" spans="6:6">
      <c r="F7621" s="2423"/>
    </row>
    <row r="7622" spans="6:6">
      <c r="F7622" s="2423"/>
    </row>
    <row r="7623" spans="6:6">
      <c r="F7623" s="2423"/>
    </row>
    <row r="7624" spans="6:6">
      <c r="F7624" s="2423"/>
    </row>
    <row r="7625" spans="6:6">
      <c r="F7625" s="2423"/>
    </row>
    <row r="7626" spans="6:6">
      <c r="F7626" s="2423"/>
    </row>
    <row r="7627" spans="6:6">
      <c r="F7627" s="2423"/>
    </row>
    <row r="7628" spans="6:6">
      <c r="F7628" s="2423"/>
    </row>
    <row r="7629" spans="6:6">
      <c r="F7629" s="2423"/>
    </row>
    <row r="7630" spans="6:6">
      <c r="F7630" s="2423"/>
    </row>
    <row r="7631" spans="6:6">
      <c r="F7631" s="2423"/>
    </row>
    <row r="7632" spans="6:6">
      <c r="F7632" s="2423"/>
    </row>
    <row r="7633" spans="6:6">
      <c r="F7633" s="2423"/>
    </row>
    <row r="7634" spans="6:6">
      <c r="F7634" s="2423"/>
    </row>
    <row r="7635" spans="6:6">
      <c r="F7635" s="2423"/>
    </row>
    <row r="7636" spans="6:6">
      <c r="F7636" s="2423"/>
    </row>
    <row r="7637" spans="6:6">
      <c r="F7637" s="2423"/>
    </row>
    <row r="7638" spans="6:6">
      <c r="F7638" s="2423"/>
    </row>
    <row r="7639" spans="6:6">
      <c r="F7639" s="2423"/>
    </row>
    <row r="7640" spans="6:6">
      <c r="F7640" s="2423"/>
    </row>
    <row r="7641" spans="6:6">
      <c r="F7641" s="2423"/>
    </row>
    <row r="7642" spans="6:6">
      <c r="F7642" s="2423"/>
    </row>
    <row r="7643" spans="6:6">
      <c r="F7643" s="2423"/>
    </row>
    <row r="7644" spans="6:6">
      <c r="F7644" s="2423"/>
    </row>
    <row r="7645" spans="6:6">
      <c r="F7645" s="2423"/>
    </row>
    <row r="7646" spans="6:6">
      <c r="F7646" s="2423"/>
    </row>
    <row r="7647" spans="6:6">
      <c r="F7647" s="2423"/>
    </row>
    <row r="7648" spans="6:6">
      <c r="F7648" s="2423"/>
    </row>
    <row r="7649" spans="6:6">
      <c r="F7649" s="2423"/>
    </row>
    <row r="7650" spans="6:6">
      <c r="F7650" s="2423"/>
    </row>
    <row r="7651" spans="6:6">
      <c r="F7651" s="2423"/>
    </row>
    <row r="7652" spans="6:6">
      <c r="F7652" s="2423"/>
    </row>
    <row r="7653" spans="6:6">
      <c r="F7653" s="2423"/>
    </row>
    <row r="7654" spans="6:6">
      <c r="F7654" s="2423"/>
    </row>
    <row r="7655" spans="6:6">
      <c r="F7655" s="2423"/>
    </row>
    <row r="7656" spans="6:6">
      <c r="F7656" s="2423"/>
    </row>
    <row r="7657" spans="6:6">
      <c r="F7657" s="2423"/>
    </row>
    <row r="7658" spans="6:6">
      <c r="F7658" s="2423"/>
    </row>
    <row r="7659" spans="6:6">
      <c r="F7659" s="2423"/>
    </row>
    <row r="7660" spans="6:6">
      <c r="F7660" s="2423"/>
    </row>
    <row r="7661" spans="6:6">
      <c r="F7661" s="2423"/>
    </row>
    <row r="7662" spans="6:6">
      <c r="F7662" s="2423"/>
    </row>
    <row r="7663" spans="6:6">
      <c r="F7663" s="2423"/>
    </row>
    <row r="7664" spans="6:6">
      <c r="F7664" s="2423"/>
    </row>
    <row r="7665" spans="6:6">
      <c r="F7665" s="2423"/>
    </row>
    <row r="7666" spans="6:6">
      <c r="F7666" s="2423"/>
    </row>
    <row r="7667" spans="6:6">
      <c r="F7667" s="2423"/>
    </row>
    <row r="7668" spans="6:6">
      <c r="F7668" s="2423"/>
    </row>
    <row r="7669" spans="6:6">
      <c r="F7669" s="2423"/>
    </row>
    <row r="7670" spans="6:6">
      <c r="F7670" s="2423"/>
    </row>
    <row r="7671" spans="6:6">
      <c r="F7671" s="2423"/>
    </row>
    <row r="7672" spans="6:6">
      <c r="F7672" s="2423"/>
    </row>
    <row r="7673" spans="6:6">
      <c r="F7673" s="2423"/>
    </row>
    <row r="7674" spans="6:6">
      <c r="F7674" s="2423"/>
    </row>
    <row r="7675" spans="6:6">
      <c r="F7675" s="2423"/>
    </row>
    <row r="7676" spans="6:6">
      <c r="F7676" s="2423"/>
    </row>
    <row r="7677" spans="6:6">
      <c r="F7677" s="2423"/>
    </row>
    <row r="7678" spans="6:6">
      <c r="F7678" s="2423"/>
    </row>
    <row r="7679" spans="6:6">
      <c r="F7679" s="2423"/>
    </row>
    <row r="7680" spans="6:6">
      <c r="F7680" s="2423"/>
    </row>
    <row r="7681" spans="6:6">
      <c r="F7681" s="2423"/>
    </row>
    <row r="7682" spans="6:6">
      <c r="F7682" s="2423"/>
    </row>
    <row r="7683" spans="6:6">
      <c r="F7683" s="2423"/>
    </row>
    <row r="7684" spans="6:6">
      <c r="F7684" s="2423"/>
    </row>
    <row r="7685" spans="6:6">
      <c r="F7685" s="2423"/>
    </row>
    <row r="7686" spans="6:6">
      <c r="F7686" s="2423"/>
    </row>
    <row r="7687" spans="6:6">
      <c r="F7687" s="2423"/>
    </row>
    <row r="7688" spans="6:6">
      <c r="F7688" s="2423"/>
    </row>
    <row r="7689" spans="6:6">
      <c r="F7689" s="2423"/>
    </row>
    <row r="7690" spans="6:6">
      <c r="F7690" s="2423"/>
    </row>
    <row r="7691" spans="6:6">
      <c r="F7691" s="2423"/>
    </row>
    <row r="7692" spans="6:6">
      <c r="F7692" s="2423"/>
    </row>
    <row r="7693" spans="6:6">
      <c r="F7693" s="2423"/>
    </row>
    <row r="7694" spans="6:6">
      <c r="F7694" s="2423"/>
    </row>
    <row r="7695" spans="6:6">
      <c r="F7695" s="2423"/>
    </row>
    <row r="7696" spans="6:6">
      <c r="F7696" s="2423"/>
    </row>
    <row r="7697" spans="6:6">
      <c r="F7697" s="2423"/>
    </row>
    <row r="7698" spans="6:6">
      <c r="F7698" s="2423"/>
    </row>
    <row r="7699" spans="6:6">
      <c r="F7699" s="2423"/>
    </row>
    <row r="7700" spans="6:6">
      <c r="F7700" s="2423"/>
    </row>
    <row r="7701" spans="6:6">
      <c r="F7701" s="2423"/>
    </row>
    <row r="7702" spans="6:6">
      <c r="F7702" s="2423"/>
    </row>
    <row r="7703" spans="6:6">
      <c r="F7703" s="2423"/>
    </row>
    <row r="7704" spans="6:6">
      <c r="F7704" s="2423"/>
    </row>
    <row r="7705" spans="6:6">
      <c r="F7705" s="2423"/>
    </row>
    <row r="7706" spans="6:6">
      <c r="F7706" s="2423"/>
    </row>
    <row r="7707" spans="6:6">
      <c r="F7707" s="2423"/>
    </row>
    <row r="7708" spans="6:6">
      <c r="F7708" s="2423"/>
    </row>
    <row r="7709" spans="6:6">
      <c r="F7709" s="2423"/>
    </row>
    <row r="7710" spans="6:6">
      <c r="F7710" s="2423"/>
    </row>
    <row r="7711" spans="6:6">
      <c r="F7711" s="2423"/>
    </row>
    <row r="7712" spans="6:6">
      <c r="F7712" s="2423"/>
    </row>
    <row r="7713" spans="6:6">
      <c r="F7713" s="2423"/>
    </row>
    <row r="7714" spans="6:6">
      <c r="F7714" s="2423"/>
    </row>
    <row r="7715" spans="6:6">
      <c r="F7715" s="2423"/>
    </row>
    <row r="7716" spans="6:6">
      <c r="F7716" s="2423"/>
    </row>
    <row r="7717" spans="6:6">
      <c r="F7717" s="2423"/>
    </row>
    <row r="7718" spans="6:6">
      <c r="F7718" s="2423"/>
    </row>
    <row r="7719" spans="6:6">
      <c r="F7719" s="2423"/>
    </row>
    <row r="7720" spans="6:6">
      <c r="F7720" s="2423"/>
    </row>
    <row r="7721" spans="6:6">
      <c r="F7721" s="2423"/>
    </row>
    <row r="7722" spans="6:6">
      <c r="F7722" s="2423"/>
    </row>
    <row r="7723" spans="6:6">
      <c r="F7723" s="2423"/>
    </row>
    <row r="7724" spans="6:6">
      <c r="F7724" s="2423"/>
    </row>
    <row r="7725" spans="6:6">
      <c r="F7725" s="2423"/>
    </row>
    <row r="7726" spans="6:6">
      <c r="F7726" s="2423"/>
    </row>
    <row r="7727" spans="6:6">
      <c r="F7727" s="2423"/>
    </row>
    <row r="7728" spans="6:6">
      <c r="F7728" s="2423"/>
    </row>
    <row r="7729" spans="6:6">
      <c r="F7729" s="2423"/>
    </row>
    <row r="7730" spans="6:6">
      <c r="F7730" s="2423"/>
    </row>
    <row r="7731" spans="6:6">
      <c r="F7731" s="2423"/>
    </row>
    <row r="7732" spans="6:6">
      <c r="F7732" s="2423"/>
    </row>
    <row r="7733" spans="6:6">
      <c r="F7733" s="2423"/>
    </row>
    <row r="7734" spans="6:6">
      <c r="F7734" s="2423"/>
    </row>
    <row r="7735" spans="6:6">
      <c r="F7735" s="2423"/>
    </row>
    <row r="7736" spans="6:6">
      <c r="F7736" s="2423"/>
    </row>
    <row r="7737" spans="6:6">
      <c r="F7737" s="2423"/>
    </row>
    <row r="7738" spans="6:6">
      <c r="F7738" s="2423"/>
    </row>
    <row r="7739" spans="6:6">
      <c r="F7739" s="2423"/>
    </row>
    <row r="7740" spans="6:6">
      <c r="F7740" s="2423"/>
    </row>
    <row r="7741" spans="6:6">
      <c r="F7741" s="2423"/>
    </row>
    <row r="7742" spans="6:6">
      <c r="F7742" s="2423"/>
    </row>
    <row r="7743" spans="6:6">
      <c r="F7743" s="2423"/>
    </row>
    <row r="7744" spans="6:6">
      <c r="F7744" s="2423"/>
    </row>
    <row r="7745" spans="6:6">
      <c r="F7745" s="2423"/>
    </row>
    <row r="7746" spans="6:6">
      <c r="F7746" s="2423"/>
    </row>
    <row r="7747" spans="6:6">
      <c r="F7747" s="2423"/>
    </row>
    <row r="7748" spans="6:6">
      <c r="F7748" s="2423"/>
    </row>
    <row r="7749" spans="6:6">
      <c r="F7749" s="2423"/>
    </row>
    <row r="7750" spans="6:6">
      <c r="F7750" s="2423"/>
    </row>
    <row r="7751" spans="6:6">
      <c r="F7751" s="2423"/>
    </row>
    <row r="7752" spans="6:6">
      <c r="F7752" s="2423"/>
    </row>
    <row r="7753" spans="6:6">
      <c r="F7753" s="2423"/>
    </row>
    <row r="7754" spans="6:6">
      <c r="F7754" s="2423"/>
    </row>
    <row r="7755" spans="6:6">
      <c r="F7755" s="2423"/>
    </row>
    <row r="7756" spans="6:6">
      <c r="F7756" s="2423"/>
    </row>
    <row r="7757" spans="6:6">
      <c r="F7757" s="2423"/>
    </row>
    <row r="7758" spans="6:6">
      <c r="F7758" s="2423"/>
    </row>
    <row r="7759" spans="6:6">
      <c r="F7759" s="2423"/>
    </row>
    <row r="7760" spans="6:6">
      <c r="F7760" s="2423"/>
    </row>
    <row r="7761" spans="6:6">
      <c r="F7761" s="2423"/>
    </row>
    <row r="7762" spans="6:6">
      <c r="F7762" s="2423"/>
    </row>
    <row r="7763" spans="6:6">
      <c r="F7763" s="2423"/>
    </row>
    <row r="7764" spans="6:6">
      <c r="F7764" s="2423"/>
    </row>
    <row r="7765" spans="6:6">
      <c r="F7765" s="2423"/>
    </row>
    <row r="7766" spans="6:6">
      <c r="F7766" s="2423"/>
    </row>
    <row r="7767" spans="6:6">
      <c r="F7767" s="2423"/>
    </row>
    <row r="7768" spans="6:6">
      <c r="F7768" s="2423"/>
    </row>
    <row r="7769" spans="6:6">
      <c r="F7769" s="2423"/>
    </row>
    <row r="7770" spans="6:6">
      <c r="F7770" s="2423"/>
    </row>
    <row r="7771" spans="6:6">
      <c r="F7771" s="2423"/>
    </row>
    <row r="7772" spans="6:6">
      <c r="F7772" s="2423"/>
    </row>
    <row r="7773" spans="6:6">
      <c r="F7773" s="2423"/>
    </row>
    <row r="7774" spans="6:6">
      <c r="F7774" s="2423"/>
    </row>
    <row r="7775" spans="6:6">
      <c r="F7775" s="2423"/>
    </row>
    <row r="7776" spans="6:6">
      <c r="F7776" s="2423"/>
    </row>
    <row r="7777" spans="6:6">
      <c r="F7777" s="2423"/>
    </row>
    <row r="7778" spans="6:6">
      <c r="F7778" s="2423"/>
    </row>
    <row r="7779" spans="6:6">
      <c r="F7779" s="2423"/>
    </row>
    <row r="7780" spans="6:6">
      <c r="F7780" s="2423"/>
    </row>
    <row r="7781" spans="6:6">
      <c r="F7781" s="2423"/>
    </row>
    <row r="7782" spans="6:6">
      <c r="F7782" s="2423"/>
    </row>
    <row r="7783" spans="6:6">
      <c r="F7783" s="2423"/>
    </row>
    <row r="7784" spans="6:6">
      <c r="F7784" s="2423"/>
    </row>
    <row r="7785" spans="6:6">
      <c r="F7785" s="2423"/>
    </row>
    <row r="7786" spans="6:6">
      <c r="F7786" s="2423"/>
    </row>
    <row r="7787" spans="6:6">
      <c r="F7787" s="2423"/>
    </row>
    <row r="7788" spans="6:6">
      <c r="F7788" s="2423"/>
    </row>
    <row r="7789" spans="6:6">
      <c r="F7789" s="2423"/>
    </row>
    <row r="7790" spans="6:6">
      <c r="F7790" s="2423"/>
    </row>
    <row r="7791" spans="6:6">
      <c r="F7791" s="2423"/>
    </row>
    <row r="7792" spans="6:6">
      <c r="F7792" s="2423"/>
    </row>
    <row r="7793" spans="6:6">
      <c r="F7793" s="2423"/>
    </row>
    <row r="7794" spans="6:6">
      <c r="F7794" s="2423"/>
    </row>
    <row r="7795" spans="6:6">
      <c r="F7795" s="2423"/>
    </row>
    <row r="7796" spans="6:6">
      <c r="F7796" s="2423"/>
    </row>
    <row r="7797" spans="6:6">
      <c r="F7797" s="2423"/>
    </row>
    <row r="7798" spans="6:6">
      <c r="F7798" s="2423"/>
    </row>
    <row r="7799" spans="6:6">
      <c r="F7799" s="2423"/>
    </row>
    <row r="7800" spans="6:6">
      <c r="F7800" s="2423"/>
    </row>
    <row r="7801" spans="6:6">
      <c r="F7801" s="2423"/>
    </row>
    <row r="7802" spans="6:6">
      <c r="F7802" s="2423"/>
    </row>
    <row r="7803" spans="6:6">
      <c r="F7803" s="2423"/>
    </row>
    <row r="7804" spans="6:6">
      <c r="F7804" s="2423"/>
    </row>
    <row r="7805" spans="6:6">
      <c r="F7805" s="2423"/>
    </row>
    <row r="7806" spans="6:6">
      <c r="F7806" s="2423"/>
    </row>
    <row r="7807" spans="6:6">
      <c r="F7807" s="2423"/>
    </row>
    <row r="7808" spans="6:6">
      <c r="F7808" s="2423"/>
    </row>
    <row r="7809" spans="6:6">
      <c r="F7809" s="2423"/>
    </row>
    <row r="7810" spans="6:6">
      <c r="F7810" s="2423"/>
    </row>
    <row r="7811" spans="6:6">
      <c r="F7811" s="2423"/>
    </row>
    <row r="7812" spans="6:6">
      <c r="F7812" s="2423"/>
    </row>
    <row r="7813" spans="6:6">
      <c r="F7813" s="2423"/>
    </row>
    <row r="7814" spans="6:6">
      <c r="F7814" s="2423"/>
    </row>
    <row r="7815" spans="6:6">
      <c r="F7815" s="2423"/>
    </row>
    <row r="7816" spans="6:6">
      <c r="F7816" s="2423"/>
    </row>
    <row r="7817" spans="6:6">
      <c r="F7817" s="2423"/>
    </row>
    <row r="7818" spans="6:6">
      <c r="F7818" s="2423"/>
    </row>
    <row r="7819" spans="6:6">
      <c r="F7819" s="2423"/>
    </row>
    <row r="7820" spans="6:6">
      <c r="F7820" s="2423"/>
    </row>
    <row r="7821" spans="6:6">
      <c r="F7821" s="2423"/>
    </row>
    <row r="7822" spans="6:6">
      <c r="F7822" s="2423"/>
    </row>
    <row r="7823" spans="6:6">
      <c r="F7823" s="2423"/>
    </row>
    <row r="7824" spans="6:6">
      <c r="F7824" s="2423"/>
    </row>
    <row r="7825" spans="6:6">
      <c r="F7825" s="2423"/>
    </row>
    <row r="7826" spans="6:6">
      <c r="F7826" s="2423"/>
    </row>
    <row r="7827" spans="6:6">
      <c r="F7827" s="2423"/>
    </row>
    <row r="7828" spans="6:6">
      <c r="F7828" s="2423"/>
    </row>
    <row r="7829" spans="6:6">
      <c r="F7829" s="2423"/>
    </row>
    <row r="7830" spans="6:6">
      <c r="F7830" s="2423"/>
    </row>
    <row r="7831" spans="6:6">
      <c r="F7831" s="2423"/>
    </row>
    <row r="7832" spans="6:6">
      <c r="F7832" s="2423"/>
    </row>
    <row r="7833" spans="6:6">
      <c r="F7833" s="2423"/>
    </row>
    <row r="7834" spans="6:6">
      <c r="F7834" s="2423"/>
    </row>
    <row r="7835" spans="6:6">
      <c r="F7835" s="2423"/>
    </row>
    <row r="7836" spans="6:6">
      <c r="F7836" s="2423"/>
    </row>
    <row r="7837" spans="6:6">
      <c r="F7837" s="2423"/>
    </row>
    <row r="7838" spans="6:6">
      <c r="F7838" s="2423"/>
    </row>
    <row r="7839" spans="6:6">
      <c r="F7839" s="2423"/>
    </row>
    <row r="7840" spans="6:6">
      <c r="F7840" s="2423"/>
    </row>
    <row r="7841" spans="6:6">
      <c r="F7841" s="2423"/>
    </row>
    <row r="7842" spans="6:6">
      <c r="F7842" s="2423"/>
    </row>
    <row r="7843" spans="6:6">
      <c r="F7843" s="2423"/>
    </row>
    <row r="7844" spans="6:6">
      <c r="F7844" s="2423"/>
    </row>
    <row r="7845" spans="6:6">
      <c r="F7845" s="2423"/>
    </row>
    <row r="7846" spans="6:6">
      <c r="F7846" s="2423"/>
    </row>
    <row r="7847" spans="6:6">
      <c r="F7847" s="2423"/>
    </row>
    <row r="7848" spans="6:6">
      <c r="F7848" s="2423"/>
    </row>
    <row r="7849" spans="6:6">
      <c r="F7849" s="2423"/>
    </row>
    <row r="7850" spans="6:6">
      <c r="F7850" s="2423"/>
    </row>
    <row r="7851" spans="6:6">
      <c r="F7851" s="2423"/>
    </row>
    <row r="7852" spans="6:6">
      <c r="F7852" s="2423"/>
    </row>
    <row r="7853" spans="6:6">
      <c r="F7853" s="2423"/>
    </row>
    <row r="7854" spans="6:6">
      <c r="F7854" s="2423"/>
    </row>
    <row r="7855" spans="6:6">
      <c r="F7855" s="2423"/>
    </row>
    <row r="7856" spans="6:6">
      <c r="F7856" s="2423"/>
    </row>
    <row r="7857" spans="6:6">
      <c r="F7857" s="2423"/>
    </row>
    <row r="7858" spans="6:6">
      <c r="F7858" s="2423"/>
    </row>
    <row r="7859" spans="6:6">
      <c r="F7859" s="2423"/>
    </row>
    <row r="7860" spans="6:6">
      <c r="F7860" s="2423"/>
    </row>
    <row r="7861" spans="6:6">
      <c r="F7861" s="2423"/>
    </row>
    <row r="7862" spans="6:6">
      <c r="F7862" s="2423"/>
    </row>
    <row r="7863" spans="6:6">
      <c r="F7863" s="2423"/>
    </row>
    <row r="7864" spans="6:6">
      <c r="F7864" s="2423"/>
    </row>
    <row r="7865" spans="6:6">
      <c r="F7865" s="2423"/>
    </row>
    <row r="7866" spans="6:6">
      <c r="F7866" s="2423"/>
    </row>
    <row r="7867" spans="6:6">
      <c r="F7867" s="2423"/>
    </row>
    <row r="7868" spans="6:6">
      <c r="F7868" s="2423"/>
    </row>
    <row r="7869" spans="6:6">
      <c r="F7869" s="2423"/>
    </row>
    <row r="7870" spans="6:6">
      <c r="F7870" s="2423"/>
    </row>
    <row r="7871" spans="6:6">
      <c r="F7871" s="2423"/>
    </row>
    <row r="7872" spans="6:6">
      <c r="F7872" s="2423"/>
    </row>
    <row r="7873" spans="6:6">
      <c r="F7873" s="2423"/>
    </row>
    <row r="7874" spans="6:6">
      <c r="F7874" s="2423"/>
    </row>
    <row r="7875" spans="6:6">
      <c r="F7875" s="2423"/>
    </row>
    <row r="7876" spans="6:6">
      <c r="F7876" s="2423"/>
    </row>
    <row r="7877" spans="6:6">
      <c r="F7877" s="2423"/>
    </row>
    <row r="7878" spans="6:6">
      <c r="F7878" s="2423"/>
    </row>
    <row r="7879" spans="6:6">
      <c r="F7879" s="2423"/>
    </row>
    <row r="7880" spans="6:6">
      <c r="F7880" s="2423"/>
    </row>
    <row r="7881" spans="6:6">
      <c r="F7881" s="2423"/>
    </row>
    <row r="7882" spans="6:6">
      <c r="F7882" s="2423"/>
    </row>
    <row r="7883" spans="6:6">
      <c r="F7883" s="2423"/>
    </row>
    <row r="7884" spans="6:6">
      <c r="F7884" s="2423"/>
    </row>
    <row r="7885" spans="6:6">
      <c r="F7885" s="2423"/>
    </row>
    <row r="7886" spans="6:6">
      <c r="F7886" s="2423"/>
    </row>
    <row r="7887" spans="6:6">
      <c r="F7887" s="2423"/>
    </row>
    <row r="7888" spans="6:6">
      <c r="F7888" s="2423"/>
    </row>
    <row r="7889" spans="6:6">
      <c r="F7889" s="2423"/>
    </row>
    <row r="7890" spans="6:6">
      <c r="F7890" s="2423"/>
    </row>
    <row r="7891" spans="6:6">
      <c r="F7891" s="2423"/>
    </row>
    <row r="7892" spans="6:6">
      <c r="F7892" s="2423"/>
    </row>
    <row r="7893" spans="6:6">
      <c r="F7893" s="2423"/>
    </row>
    <row r="7894" spans="6:6">
      <c r="F7894" s="2423"/>
    </row>
    <row r="7895" spans="6:6">
      <c r="F7895" s="2423"/>
    </row>
    <row r="7896" spans="6:6">
      <c r="F7896" s="2423"/>
    </row>
    <row r="7897" spans="6:6">
      <c r="F7897" s="2423"/>
    </row>
    <row r="7898" spans="6:6">
      <c r="F7898" s="2423"/>
    </row>
    <row r="7899" spans="6:6">
      <c r="F7899" s="2423"/>
    </row>
    <row r="7900" spans="6:6">
      <c r="F7900" s="2423"/>
    </row>
    <row r="7901" spans="6:6">
      <c r="F7901" s="2423"/>
    </row>
    <row r="7902" spans="6:6">
      <c r="F7902" s="2423"/>
    </row>
    <row r="7903" spans="6:6">
      <c r="F7903" s="2423"/>
    </row>
    <row r="7904" spans="6:6">
      <c r="F7904" s="2423"/>
    </row>
    <row r="7905" spans="6:6">
      <c r="F7905" s="2423"/>
    </row>
    <row r="7906" spans="6:6">
      <c r="F7906" s="2423"/>
    </row>
    <row r="7907" spans="6:6">
      <c r="F7907" s="2423"/>
    </row>
    <row r="7908" spans="6:6">
      <c r="F7908" s="2423"/>
    </row>
    <row r="7909" spans="6:6">
      <c r="F7909" s="2423"/>
    </row>
    <row r="7910" spans="6:6">
      <c r="F7910" s="2423"/>
    </row>
    <row r="7911" spans="6:6">
      <c r="F7911" s="2423"/>
    </row>
    <row r="7912" spans="6:6">
      <c r="F7912" s="2423"/>
    </row>
    <row r="7913" spans="6:6">
      <c r="F7913" s="2423"/>
    </row>
    <row r="7914" spans="6:6">
      <c r="F7914" s="2423"/>
    </row>
    <row r="7915" spans="6:6">
      <c r="F7915" s="2423"/>
    </row>
    <row r="7916" spans="6:6">
      <c r="F7916" s="2423"/>
    </row>
    <row r="7917" spans="6:6">
      <c r="F7917" s="2423"/>
    </row>
    <row r="7918" spans="6:6">
      <c r="F7918" s="2423"/>
    </row>
    <row r="7919" spans="6:6">
      <c r="F7919" s="2423"/>
    </row>
    <row r="7920" spans="6:6">
      <c r="F7920" s="2423"/>
    </row>
    <row r="7921" spans="6:6">
      <c r="F7921" s="2423"/>
    </row>
    <row r="7922" spans="6:6">
      <c r="F7922" s="2423"/>
    </row>
    <row r="7923" spans="6:6">
      <c r="F7923" s="2423"/>
    </row>
    <row r="7924" spans="6:6">
      <c r="F7924" s="2423"/>
    </row>
    <row r="7925" spans="6:6">
      <c r="F7925" s="2423"/>
    </row>
    <row r="7926" spans="6:6">
      <c r="F7926" s="2423"/>
    </row>
    <row r="7927" spans="6:6">
      <c r="F7927" s="2423"/>
    </row>
    <row r="7928" spans="6:6">
      <c r="F7928" s="2423"/>
    </row>
    <row r="7929" spans="6:6">
      <c r="F7929" s="2423"/>
    </row>
    <row r="7930" spans="6:6">
      <c r="F7930" s="2423"/>
    </row>
    <row r="7931" spans="6:6">
      <c r="F7931" s="2423"/>
    </row>
    <row r="7932" spans="6:6">
      <c r="F7932" s="2423"/>
    </row>
    <row r="7933" spans="6:6">
      <c r="F7933" s="2423"/>
    </row>
    <row r="7934" spans="6:6">
      <c r="F7934" s="2423"/>
    </row>
    <row r="7935" spans="6:6">
      <c r="F7935" s="2423"/>
    </row>
    <row r="7936" spans="6:6">
      <c r="F7936" s="2423"/>
    </row>
    <row r="7937" spans="6:6">
      <c r="F7937" s="2423"/>
    </row>
    <row r="7938" spans="6:6">
      <c r="F7938" s="2423"/>
    </row>
    <row r="7939" spans="6:6">
      <c r="F7939" s="2423"/>
    </row>
    <row r="7940" spans="6:6">
      <c r="F7940" s="2423"/>
    </row>
    <row r="7941" spans="6:6">
      <c r="F7941" s="2423"/>
    </row>
    <row r="7942" spans="6:6">
      <c r="F7942" s="2423"/>
    </row>
    <row r="7943" spans="6:6">
      <c r="F7943" s="2423"/>
    </row>
    <row r="7944" spans="6:6">
      <c r="F7944" s="2423"/>
    </row>
    <row r="7945" spans="6:6">
      <c r="F7945" s="2423"/>
    </row>
    <row r="7946" spans="6:6">
      <c r="F7946" s="2423"/>
    </row>
    <row r="7947" spans="6:6">
      <c r="F7947" s="2423"/>
    </row>
    <row r="7948" spans="6:6">
      <c r="F7948" s="2423"/>
    </row>
    <row r="7949" spans="6:6">
      <c r="F7949" s="2423"/>
    </row>
    <row r="7950" spans="6:6">
      <c r="F7950" s="2423"/>
    </row>
    <row r="7951" spans="6:6">
      <c r="F7951" s="2423"/>
    </row>
    <row r="7952" spans="6:6">
      <c r="F7952" s="2423"/>
    </row>
    <row r="7953" spans="6:6">
      <c r="F7953" s="2423"/>
    </row>
    <row r="7954" spans="6:6">
      <c r="F7954" s="2423"/>
    </row>
    <row r="7955" spans="6:6">
      <c r="F7955" s="2423"/>
    </row>
    <row r="7956" spans="6:6">
      <c r="F7956" s="2423"/>
    </row>
    <row r="7957" spans="6:6">
      <c r="F7957" s="2423"/>
    </row>
    <row r="7958" spans="6:6">
      <c r="F7958" s="2423"/>
    </row>
    <row r="7959" spans="6:6">
      <c r="F7959" s="2423"/>
    </row>
    <row r="7960" spans="6:6">
      <c r="F7960" s="2423"/>
    </row>
    <row r="7961" spans="6:6">
      <c r="F7961" s="2423"/>
    </row>
    <row r="7962" spans="6:6">
      <c r="F7962" s="2423"/>
    </row>
    <row r="7963" spans="6:6">
      <c r="F7963" s="2423"/>
    </row>
    <row r="7964" spans="6:6">
      <c r="F7964" s="2423"/>
    </row>
    <row r="7965" spans="6:6">
      <c r="F7965" s="2423"/>
    </row>
    <row r="7966" spans="6:6">
      <c r="F7966" s="2423"/>
    </row>
    <row r="7967" spans="6:6">
      <c r="F7967" s="2423"/>
    </row>
    <row r="7968" spans="6:6">
      <c r="F7968" s="2423"/>
    </row>
    <row r="7969" spans="6:6">
      <c r="F7969" s="2423"/>
    </row>
    <row r="7970" spans="6:6">
      <c r="F7970" s="2423"/>
    </row>
    <row r="7971" spans="6:6">
      <c r="F7971" s="2423"/>
    </row>
    <row r="7972" spans="6:6">
      <c r="F7972" s="2423"/>
    </row>
    <row r="7973" spans="6:6">
      <c r="F7973" s="2423"/>
    </row>
    <row r="7974" spans="6:6">
      <c r="F7974" s="2423"/>
    </row>
    <row r="7975" spans="6:6">
      <c r="F7975" s="2423"/>
    </row>
    <row r="7976" spans="6:6">
      <c r="F7976" s="2423"/>
    </row>
    <row r="7977" spans="6:6">
      <c r="F7977" s="2423"/>
    </row>
    <row r="7978" spans="6:6">
      <c r="F7978" s="2423"/>
    </row>
    <row r="7979" spans="6:6">
      <c r="F7979" s="2423"/>
    </row>
    <row r="7980" spans="6:6">
      <c r="F7980" s="2423"/>
    </row>
    <row r="7981" spans="6:6">
      <c r="F7981" s="2423"/>
    </row>
    <row r="7982" spans="6:6">
      <c r="F7982" s="2423"/>
    </row>
    <row r="7983" spans="6:6">
      <c r="F7983" s="2423"/>
    </row>
    <row r="7984" spans="6:6">
      <c r="F7984" s="2423"/>
    </row>
    <row r="7985" spans="6:6">
      <c r="F7985" s="2423"/>
    </row>
    <row r="7986" spans="6:6">
      <c r="F7986" s="2423"/>
    </row>
    <row r="7987" spans="6:6">
      <c r="F7987" s="2423"/>
    </row>
    <row r="7988" spans="6:6">
      <c r="F7988" s="2423"/>
    </row>
    <row r="7989" spans="6:6">
      <c r="F7989" s="2423"/>
    </row>
    <row r="7990" spans="6:6">
      <c r="F7990" s="2423"/>
    </row>
    <row r="7991" spans="6:6">
      <c r="F7991" s="2423"/>
    </row>
    <row r="7992" spans="6:6">
      <c r="F7992" s="2423"/>
    </row>
    <row r="7993" spans="6:6">
      <c r="F7993" s="2423"/>
    </row>
    <row r="7994" spans="6:6">
      <c r="F7994" s="2423"/>
    </row>
    <row r="7995" spans="6:6">
      <c r="F7995" s="2423"/>
    </row>
    <row r="7996" spans="6:6">
      <c r="F7996" s="2423"/>
    </row>
    <row r="7997" spans="6:6">
      <c r="F7997" s="2423"/>
    </row>
    <row r="7998" spans="6:6">
      <c r="F7998" s="2423"/>
    </row>
    <row r="7999" spans="6:6">
      <c r="F7999" s="2423"/>
    </row>
    <row r="8000" spans="6:6">
      <c r="F8000" s="2423"/>
    </row>
    <row r="8001" spans="6:6">
      <c r="F8001" s="2423"/>
    </row>
    <row r="8002" spans="6:6">
      <c r="F8002" s="2423"/>
    </row>
    <row r="8003" spans="6:6">
      <c r="F8003" s="2423"/>
    </row>
    <row r="8004" spans="6:6">
      <c r="F8004" s="2423"/>
    </row>
    <row r="8005" spans="6:6">
      <c r="F8005" s="2423"/>
    </row>
    <row r="8006" spans="6:6">
      <c r="F8006" s="2423"/>
    </row>
    <row r="8007" spans="6:6">
      <c r="F8007" s="2423"/>
    </row>
    <row r="8008" spans="6:6">
      <c r="F8008" s="2423"/>
    </row>
    <row r="8009" spans="6:6">
      <c r="F8009" s="2423"/>
    </row>
    <row r="8010" spans="6:6">
      <c r="F8010" s="2423"/>
    </row>
    <row r="8011" spans="6:6">
      <c r="F8011" s="2423"/>
    </row>
    <row r="8012" spans="6:6">
      <c r="F8012" s="2423"/>
    </row>
    <row r="8013" spans="6:6">
      <c r="F8013" s="2423"/>
    </row>
    <row r="8014" spans="6:6">
      <c r="F8014" s="2423"/>
    </row>
    <row r="8015" spans="6:6">
      <c r="F8015" s="2423"/>
    </row>
    <row r="8016" spans="6:6">
      <c r="F8016" s="2423"/>
    </row>
    <row r="8017" spans="6:6">
      <c r="F8017" s="2423"/>
    </row>
    <row r="8018" spans="6:6">
      <c r="F8018" s="2423"/>
    </row>
    <row r="8019" spans="6:6">
      <c r="F8019" s="2423"/>
    </row>
    <row r="8020" spans="6:6">
      <c r="F8020" s="2423"/>
    </row>
    <row r="8021" spans="6:6">
      <c r="F8021" s="2423"/>
    </row>
    <row r="8022" spans="6:6">
      <c r="F8022" s="2423"/>
    </row>
    <row r="8023" spans="6:6">
      <c r="F8023" s="2423"/>
    </row>
    <row r="8024" spans="6:6">
      <c r="F8024" s="2423"/>
    </row>
    <row r="8025" spans="6:6">
      <c r="F8025" s="2423"/>
    </row>
    <row r="8026" spans="6:6">
      <c r="F8026" s="2423"/>
    </row>
    <row r="8027" spans="6:6">
      <c r="F8027" s="2423"/>
    </row>
    <row r="8028" spans="6:6">
      <c r="F8028" s="2423"/>
    </row>
    <row r="8029" spans="6:6">
      <c r="F8029" s="2423"/>
    </row>
    <row r="8030" spans="6:6">
      <c r="F8030" s="2423"/>
    </row>
    <row r="8031" spans="6:6">
      <c r="F8031" s="2423"/>
    </row>
    <row r="8032" spans="6:6">
      <c r="F8032" s="2423"/>
    </row>
    <row r="8033" spans="6:6">
      <c r="F8033" s="2423"/>
    </row>
    <row r="8034" spans="6:6">
      <c r="F8034" s="2423"/>
    </row>
    <row r="8035" spans="6:6">
      <c r="F8035" s="2423"/>
    </row>
    <row r="8036" spans="6:6">
      <c r="F8036" s="2423"/>
    </row>
    <row r="8037" spans="6:6">
      <c r="F8037" s="2423"/>
    </row>
    <row r="8038" spans="6:6">
      <c r="F8038" s="2423"/>
    </row>
    <row r="8039" spans="6:6">
      <c r="F8039" s="2423"/>
    </row>
    <row r="8040" spans="6:6">
      <c r="F8040" s="2423"/>
    </row>
    <row r="8041" spans="6:6">
      <c r="F8041" s="2423"/>
    </row>
    <row r="8042" spans="6:6">
      <c r="F8042" s="2423"/>
    </row>
    <row r="8043" spans="6:6">
      <c r="F8043" s="2423"/>
    </row>
    <row r="8044" spans="6:6">
      <c r="F8044" s="2423"/>
    </row>
    <row r="8045" spans="6:6">
      <c r="F8045" s="2423"/>
    </row>
    <row r="8046" spans="6:6">
      <c r="F8046" s="2423"/>
    </row>
    <row r="8047" spans="6:6">
      <c r="F8047" s="2423"/>
    </row>
    <row r="8048" spans="6:6">
      <c r="F8048" s="2423"/>
    </row>
    <row r="8049" spans="6:6">
      <c r="F8049" s="2423"/>
    </row>
    <row r="8050" spans="6:6">
      <c r="F8050" s="2423"/>
    </row>
    <row r="8051" spans="6:6">
      <c r="F8051" s="2423"/>
    </row>
    <row r="8052" spans="6:6">
      <c r="F8052" s="2423"/>
    </row>
    <row r="8053" spans="6:6">
      <c r="F8053" s="2423"/>
    </row>
    <row r="8054" spans="6:6">
      <c r="F8054" s="2423"/>
    </row>
    <row r="8055" spans="6:6">
      <c r="F8055" s="2423"/>
    </row>
    <row r="8056" spans="6:6">
      <c r="F8056" s="2423"/>
    </row>
    <row r="8057" spans="6:6">
      <c r="F8057" s="2423"/>
    </row>
    <row r="8058" spans="6:6">
      <c r="F8058" s="2423"/>
    </row>
    <row r="8059" spans="6:6">
      <c r="F8059" s="2423"/>
    </row>
    <row r="8060" spans="6:6">
      <c r="F8060" s="2423"/>
    </row>
    <row r="8061" spans="6:6">
      <c r="F8061" s="2423"/>
    </row>
    <row r="8062" spans="6:6">
      <c r="F8062" s="2423"/>
    </row>
    <row r="8063" spans="6:6">
      <c r="F8063" s="2423"/>
    </row>
    <row r="8064" spans="6:6">
      <c r="F8064" s="2423"/>
    </row>
    <row r="8065" spans="6:6">
      <c r="F8065" s="2423"/>
    </row>
    <row r="8066" spans="6:6">
      <c r="F8066" s="2423"/>
    </row>
    <row r="8067" spans="6:6">
      <c r="F8067" s="2423"/>
    </row>
    <row r="8068" spans="6:6">
      <c r="F8068" s="2423"/>
    </row>
    <row r="8069" spans="6:6">
      <c r="F8069" s="2423"/>
    </row>
    <row r="8070" spans="6:6">
      <c r="F8070" s="2423"/>
    </row>
    <row r="8071" spans="6:6">
      <c r="F8071" s="2423"/>
    </row>
    <row r="8072" spans="6:6">
      <c r="F8072" s="2423"/>
    </row>
    <row r="8073" spans="6:6">
      <c r="F8073" s="2423"/>
    </row>
    <row r="8074" spans="6:6">
      <c r="F8074" s="2423"/>
    </row>
    <row r="8075" spans="6:6">
      <c r="F8075" s="2423"/>
    </row>
    <row r="8076" spans="6:6">
      <c r="F8076" s="2423"/>
    </row>
    <row r="8077" spans="6:6">
      <c r="F8077" s="2423"/>
    </row>
    <row r="8078" spans="6:6">
      <c r="F8078" s="2423"/>
    </row>
    <row r="8079" spans="6:6">
      <c r="F8079" s="2423"/>
    </row>
    <row r="8080" spans="6:6">
      <c r="F8080" s="2423"/>
    </row>
    <row r="8081" spans="6:6">
      <c r="F8081" s="2423"/>
    </row>
    <row r="8082" spans="6:6">
      <c r="F8082" s="2423"/>
    </row>
    <row r="8083" spans="6:6">
      <c r="F8083" s="2423"/>
    </row>
    <row r="8084" spans="6:6">
      <c r="F8084" s="2423"/>
    </row>
    <row r="8085" spans="6:6">
      <c r="F8085" s="2423"/>
    </row>
    <row r="8086" spans="6:6">
      <c r="F8086" s="2423"/>
    </row>
    <row r="8087" spans="6:6">
      <c r="F8087" s="2423"/>
    </row>
    <row r="8088" spans="6:6">
      <c r="F8088" s="2423"/>
    </row>
    <row r="8089" spans="6:6">
      <c r="F8089" s="2423"/>
    </row>
    <row r="8090" spans="6:6">
      <c r="F8090" s="2423"/>
    </row>
    <row r="8091" spans="6:6">
      <c r="F8091" s="2423"/>
    </row>
    <row r="8092" spans="6:6">
      <c r="F8092" s="2423"/>
    </row>
    <row r="8093" spans="6:6">
      <c r="F8093" s="2423"/>
    </row>
    <row r="8094" spans="6:6">
      <c r="F8094" s="2423"/>
    </row>
    <row r="8095" spans="6:6">
      <c r="F8095" s="2423"/>
    </row>
    <row r="8096" spans="6:6">
      <c r="F8096" s="2423"/>
    </row>
    <row r="8097" spans="6:6">
      <c r="F8097" s="2423"/>
    </row>
    <row r="8098" spans="6:6">
      <c r="F8098" s="2423"/>
    </row>
    <row r="8099" spans="6:6">
      <c r="F8099" s="2423"/>
    </row>
    <row r="8100" spans="6:6">
      <c r="F8100" s="2423"/>
    </row>
    <row r="8101" spans="6:6">
      <c r="F8101" s="2423"/>
    </row>
    <row r="8102" spans="6:6">
      <c r="F8102" s="2423"/>
    </row>
    <row r="8103" spans="6:6">
      <c r="F8103" s="2423"/>
    </row>
    <row r="8104" spans="6:6">
      <c r="F8104" s="2423"/>
    </row>
    <row r="8105" spans="6:6">
      <c r="F8105" s="2423"/>
    </row>
    <row r="8106" spans="6:6">
      <c r="F8106" s="2423"/>
    </row>
    <row r="8107" spans="6:6">
      <c r="F8107" s="2423"/>
    </row>
    <row r="8108" spans="6:6">
      <c r="F8108" s="2423"/>
    </row>
    <row r="8109" spans="6:6">
      <c r="F8109" s="2423"/>
    </row>
    <row r="8110" spans="6:6">
      <c r="F8110" s="2423"/>
    </row>
    <row r="8111" spans="6:6">
      <c r="F8111" s="2423"/>
    </row>
    <row r="8112" spans="6:6">
      <c r="F8112" s="2423"/>
    </row>
    <row r="8113" spans="6:6">
      <c r="F8113" s="2423"/>
    </row>
    <row r="8114" spans="6:6">
      <c r="F8114" s="2423"/>
    </row>
    <row r="8115" spans="6:6">
      <c r="F8115" s="2423"/>
    </row>
    <row r="8116" spans="6:6">
      <c r="F8116" s="2423"/>
    </row>
    <row r="8117" spans="6:6">
      <c r="F8117" s="2423"/>
    </row>
    <row r="8118" spans="6:6">
      <c r="F8118" s="2423"/>
    </row>
    <row r="8119" spans="6:6">
      <c r="F8119" s="2423"/>
    </row>
    <row r="8120" spans="6:6">
      <c r="F8120" s="2423"/>
    </row>
    <row r="8121" spans="6:6">
      <c r="F8121" s="2423"/>
    </row>
    <row r="8122" spans="6:6">
      <c r="F8122" s="2423"/>
    </row>
    <row r="8123" spans="6:6">
      <c r="F8123" s="2423"/>
    </row>
    <row r="8124" spans="6:6">
      <c r="F8124" s="2423"/>
    </row>
    <row r="8125" spans="6:6">
      <c r="F8125" s="2423"/>
    </row>
    <row r="8126" spans="6:6">
      <c r="F8126" s="2423"/>
    </row>
    <row r="8127" spans="6:6">
      <c r="F8127" s="2423"/>
    </row>
    <row r="8128" spans="6:6">
      <c r="F8128" s="2423"/>
    </row>
    <row r="8129" spans="6:6">
      <c r="F8129" s="2423"/>
    </row>
    <row r="8130" spans="6:6">
      <c r="F8130" s="2423"/>
    </row>
    <row r="8131" spans="6:6">
      <c r="F8131" s="2423"/>
    </row>
    <row r="8132" spans="6:6">
      <c r="F8132" s="2423"/>
    </row>
    <row r="8133" spans="6:6">
      <c r="F8133" s="2423"/>
    </row>
    <row r="8134" spans="6:6">
      <c r="F8134" s="2423"/>
    </row>
    <row r="8135" spans="6:6">
      <c r="F8135" s="2423"/>
    </row>
    <row r="8136" spans="6:6">
      <c r="F8136" s="2423"/>
    </row>
    <row r="8137" spans="6:6">
      <c r="F8137" s="2423"/>
    </row>
    <row r="8138" spans="6:6">
      <c r="F8138" s="2423"/>
    </row>
    <row r="8139" spans="6:6">
      <c r="F8139" s="2423"/>
    </row>
    <row r="8140" spans="6:6">
      <c r="F8140" s="2423"/>
    </row>
    <row r="8141" spans="6:6">
      <c r="F8141" s="2423"/>
    </row>
    <row r="8142" spans="6:6">
      <c r="F8142" s="2423"/>
    </row>
    <row r="8143" spans="6:6">
      <c r="F8143" s="2423"/>
    </row>
    <row r="8144" spans="6:6">
      <c r="F8144" s="2423"/>
    </row>
    <row r="8145" spans="6:6">
      <c r="F8145" s="2423"/>
    </row>
    <row r="8146" spans="6:6">
      <c r="F8146" s="2423"/>
    </row>
    <row r="8147" spans="6:6">
      <c r="F8147" s="2423"/>
    </row>
    <row r="8148" spans="6:6">
      <c r="F8148" s="2423"/>
    </row>
    <row r="8149" spans="6:6">
      <c r="F8149" s="2423"/>
    </row>
    <row r="8150" spans="6:6">
      <c r="F8150" s="2423"/>
    </row>
    <row r="8151" spans="6:6">
      <c r="F8151" s="2423"/>
    </row>
    <row r="8152" spans="6:6">
      <c r="F8152" s="2423"/>
    </row>
    <row r="8153" spans="6:6">
      <c r="F8153" s="2423"/>
    </row>
    <row r="8154" spans="6:6">
      <c r="F8154" s="2423"/>
    </row>
    <row r="8155" spans="6:6">
      <c r="F8155" s="2423"/>
    </row>
    <row r="8156" spans="6:6">
      <c r="F8156" s="2423"/>
    </row>
    <row r="8157" spans="6:6">
      <c r="F8157" s="2423"/>
    </row>
    <row r="8158" spans="6:6">
      <c r="F8158" s="2423"/>
    </row>
    <row r="8159" spans="6:6">
      <c r="F8159" s="2423"/>
    </row>
    <row r="8160" spans="6:6">
      <c r="F8160" s="2423"/>
    </row>
    <row r="8161" spans="6:6">
      <c r="F8161" s="2423"/>
    </row>
    <row r="8162" spans="6:6">
      <c r="F8162" s="2423"/>
    </row>
    <row r="8163" spans="6:6">
      <c r="F8163" s="2423"/>
    </row>
    <row r="8164" spans="6:6">
      <c r="F8164" s="2423"/>
    </row>
    <row r="8165" spans="6:6">
      <c r="F8165" s="2423"/>
    </row>
    <row r="8166" spans="6:6">
      <c r="F8166" s="2423"/>
    </row>
    <row r="8167" spans="6:6">
      <c r="F8167" s="2423"/>
    </row>
    <row r="8168" spans="6:6">
      <c r="F8168" s="2423"/>
    </row>
    <row r="8169" spans="6:6">
      <c r="F8169" s="2423"/>
    </row>
    <row r="8170" spans="6:6">
      <c r="F8170" s="2423"/>
    </row>
    <row r="8171" spans="6:6">
      <c r="F8171" s="2423"/>
    </row>
    <row r="8172" spans="6:6">
      <c r="F8172" s="2423"/>
    </row>
    <row r="8173" spans="6:6">
      <c r="F8173" s="2423"/>
    </row>
    <row r="8174" spans="6:6">
      <c r="F8174" s="2423"/>
    </row>
    <row r="8175" spans="6:6">
      <c r="F8175" s="2423"/>
    </row>
    <row r="8176" spans="6:6">
      <c r="F8176" s="2423"/>
    </row>
    <row r="8177" spans="6:6">
      <c r="F8177" s="2423"/>
    </row>
    <row r="8178" spans="6:6">
      <c r="F8178" s="2423"/>
    </row>
    <row r="8179" spans="6:6">
      <c r="F8179" s="2423"/>
    </row>
    <row r="8180" spans="6:6">
      <c r="F8180" s="2423"/>
    </row>
    <row r="8181" spans="6:6">
      <c r="F8181" s="2423"/>
    </row>
    <row r="8182" spans="6:6">
      <c r="F8182" s="2423"/>
    </row>
    <row r="8183" spans="6:6">
      <c r="F8183" s="2423"/>
    </row>
    <row r="8184" spans="6:6">
      <c r="F8184" s="2423"/>
    </row>
    <row r="8185" spans="6:6">
      <c r="F8185" s="2423"/>
    </row>
    <row r="8186" spans="6:6">
      <c r="F8186" s="2423"/>
    </row>
    <row r="8187" spans="6:6">
      <c r="F8187" s="2423"/>
    </row>
    <row r="8188" spans="6:6">
      <c r="F8188" s="2423"/>
    </row>
    <row r="8189" spans="6:6">
      <c r="F8189" s="2423"/>
    </row>
    <row r="8190" spans="6:6">
      <c r="F8190" s="2423"/>
    </row>
    <row r="8191" spans="6:6">
      <c r="F8191" s="2423"/>
    </row>
    <row r="8192" spans="6:6">
      <c r="F8192" s="2423"/>
    </row>
    <row r="8193" spans="6:6">
      <c r="F8193" s="2423"/>
    </row>
    <row r="8194" spans="6:6">
      <c r="F8194" s="2423"/>
    </row>
    <row r="8195" spans="6:6">
      <c r="F8195" s="2423"/>
    </row>
    <row r="8196" spans="6:6">
      <c r="F8196" s="2423"/>
    </row>
    <row r="8197" spans="6:6">
      <c r="F8197" s="2423"/>
    </row>
    <row r="8198" spans="6:6">
      <c r="F8198" s="2423"/>
    </row>
    <row r="8199" spans="6:6">
      <c r="F8199" s="2423"/>
    </row>
    <row r="8200" spans="6:6">
      <c r="F8200" s="2423"/>
    </row>
    <row r="8201" spans="6:6">
      <c r="F8201" s="2423"/>
    </row>
    <row r="8202" spans="6:6">
      <c r="F8202" s="2423"/>
    </row>
    <row r="8203" spans="6:6">
      <c r="F8203" s="2423"/>
    </row>
    <row r="8204" spans="6:6">
      <c r="F8204" s="2423"/>
    </row>
    <row r="8205" spans="6:6">
      <c r="F8205" s="2423"/>
    </row>
    <row r="8206" spans="6:6">
      <c r="F8206" s="2423"/>
    </row>
    <row r="8207" spans="6:6">
      <c r="F8207" s="2423"/>
    </row>
    <row r="8208" spans="6:6">
      <c r="F8208" s="2423"/>
    </row>
    <row r="8209" spans="6:6">
      <c r="F8209" s="2423"/>
    </row>
    <row r="8210" spans="6:6">
      <c r="F8210" s="2423"/>
    </row>
    <row r="8211" spans="6:6">
      <c r="F8211" s="2423"/>
    </row>
    <row r="8212" spans="6:6">
      <c r="F8212" s="2423"/>
    </row>
    <row r="8213" spans="6:6">
      <c r="F8213" s="2423"/>
    </row>
    <row r="8214" spans="6:6">
      <c r="F8214" s="2423"/>
    </row>
    <row r="8215" spans="6:6">
      <c r="F8215" s="2423"/>
    </row>
    <row r="8216" spans="6:6">
      <c r="F8216" s="2423"/>
    </row>
    <row r="8217" spans="6:6">
      <c r="F8217" s="2423"/>
    </row>
    <row r="8218" spans="6:6">
      <c r="F8218" s="2423"/>
    </row>
    <row r="8219" spans="6:6">
      <c r="F8219" s="2423"/>
    </row>
    <row r="8220" spans="6:6">
      <c r="F8220" s="2423"/>
    </row>
    <row r="8221" spans="6:6">
      <c r="F8221" s="2423"/>
    </row>
    <row r="8222" spans="6:6">
      <c r="F8222" s="2423"/>
    </row>
    <row r="8223" spans="6:6">
      <c r="F8223" s="2423"/>
    </row>
    <row r="8224" spans="6:6">
      <c r="F8224" s="2423"/>
    </row>
    <row r="8225" spans="6:6">
      <c r="F8225" s="2423"/>
    </row>
    <row r="8226" spans="6:6">
      <c r="F8226" s="2423"/>
    </row>
    <row r="8227" spans="6:6">
      <c r="F8227" s="2423"/>
    </row>
    <row r="8228" spans="6:6">
      <c r="F8228" s="2423"/>
    </row>
    <row r="8229" spans="6:6">
      <c r="F8229" s="2423"/>
    </row>
    <row r="8230" spans="6:6">
      <c r="F8230" s="2423"/>
    </row>
    <row r="8231" spans="6:6">
      <c r="F8231" s="2423"/>
    </row>
    <row r="8232" spans="6:6">
      <c r="F8232" s="2423"/>
    </row>
    <row r="8233" spans="6:6">
      <c r="F8233" s="2423"/>
    </row>
    <row r="8234" spans="6:6">
      <c r="F8234" s="2423"/>
    </row>
    <row r="8235" spans="6:6">
      <c r="F8235" s="2423"/>
    </row>
    <row r="8236" spans="6:6">
      <c r="F8236" s="2423"/>
    </row>
    <row r="8237" spans="6:6">
      <c r="F8237" s="2423"/>
    </row>
    <row r="8238" spans="6:6">
      <c r="F8238" s="2423"/>
    </row>
    <row r="8239" spans="6:6">
      <c r="F8239" s="2423"/>
    </row>
    <row r="8240" spans="6:6">
      <c r="F8240" s="2423"/>
    </row>
    <row r="8241" spans="6:6">
      <c r="F8241" s="2423"/>
    </row>
    <row r="8242" spans="6:6">
      <c r="F8242" s="2423"/>
    </row>
    <row r="8243" spans="6:6">
      <c r="F8243" s="2423"/>
    </row>
    <row r="8244" spans="6:6">
      <c r="F8244" s="2423"/>
    </row>
    <row r="8245" spans="6:6">
      <c r="F8245" s="2423"/>
    </row>
    <row r="8246" spans="6:6">
      <c r="F8246" s="2423"/>
    </row>
    <row r="8247" spans="6:6">
      <c r="F8247" s="2423"/>
    </row>
    <row r="8248" spans="6:6">
      <c r="F8248" s="2423"/>
    </row>
    <row r="8249" spans="6:6">
      <c r="F8249" s="2423"/>
    </row>
    <row r="8250" spans="6:6">
      <c r="F8250" s="2423"/>
    </row>
    <row r="8251" spans="6:6">
      <c r="F8251" s="2423"/>
    </row>
    <row r="8252" spans="6:6">
      <c r="F8252" s="2423"/>
    </row>
    <row r="8253" spans="6:6">
      <c r="F8253" s="2423"/>
    </row>
    <row r="8254" spans="6:6">
      <c r="F8254" s="2423"/>
    </row>
    <row r="8255" spans="6:6">
      <c r="F8255" s="2423"/>
    </row>
    <row r="8256" spans="6:6">
      <c r="F8256" s="2423"/>
    </row>
    <row r="8257" spans="6:6">
      <c r="F8257" s="2423"/>
    </row>
    <row r="8258" spans="6:6">
      <c r="F8258" s="2423"/>
    </row>
    <row r="8259" spans="6:6">
      <c r="F8259" s="2423"/>
    </row>
    <row r="8260" spans="6:6">
      <c r="F8260" s="2423"/>
    </row>
    <row r="8261" spans="6:6">
      <c r="F8261" s="2423"/>
    </row>
    <row r="8262" spans="6:6">
      <c r="F8262" s="2423"/>
    </row>
    <row r="8263" spans="6:6">
      <c r="F8263" s="2423"/>
    </row>
    <row r="8264" spans="6:6">
      <c r="F8264" s="2423"/>
    </row>
    <row r="8265" spans="6:6">
      <c r="F8265" s="2423"/>
    </row>
    <row r="8266" spans="6:6">
      <c r="F8266" s="2423"/>
    </row>
    <row r="8267" spans="6:6">
      <c r="F8267" s="2423"/>
    </row>
    <row r="8268" spans="6:6">
      <c r="F8268" s="2423"/>
    </row>
    <row r="8269" spans="6:6">
      <c r="F8269" s="2423"/>
    </row>
    <row r="8270" spans="6:6">
      <c r="F8270" s="2423"/>
    </row>
    <row r="8271" spans="6:6">
      <c r="F8271" s="2423"/>
    </row>
    <row r="8272" spans="6:6">
      <c r="F8272" s="2423"/>
    </row>
    <row r="8273" spans="6:6">
      <c r="F8273" s="2423"/>
    </row>
    <row r="8274" spans="6:6">
      <c r="F8274" s="2423"/>
    </row>
    <row r="8275" spans="6:6">
      <c r="F8275" s="2423"/>
    </row>
    <row r="8276" spans="6:6">
      <c r="F8276" s="2423"/>
    </row>
    <row r="8277" spans="6:6">
      <c r="F8277" s="2423"/>
    </row>
    <row r="8278" spans="6:6">
      <c r="F8278" s="2423"/>
    </row>
    <row r="8279" spans="6:6">
      <c r="F8279" s="2423"/>
    </row>
    <row r="8280" spans="6:6">
      <c r="F8280" s="2423"/>
    </row>
    <row r="8281" spans="6:6">
      <c r="F8281" s="2423"/>
    </row>
    <row r="8282" spans="6:6">
      <c r="F8282" s="2423"/>
    </row>
    <row r="8283" spans="6:6">
      <c r="F8283" s="2423"/>
    </row>
    <row r="8284" spans="6:6">
      <c r="F8284" s="2423"/>
    </row>
    <row r="8285" spans="6:6">
      <c r="F8285" s="2423"/>
    </row>
    <row r="8286" spans="6:6">
      <c r="F8286" s="2423"/>
    </row>
    <row r="8287" spans="6:6">
      <c r="F8287" s="2423"/>
    </row>
    <row r="8288" spans="6:6">
      <c r="F8288" s="2423"/>
    </row>
    <row r="8289" spans="6:6">
      <c r="F8289" s="2423"/>
    </row>
    <row r="8290" spans="6:6">
      <c r="F8290" s="2423"/>
    </row>
    <row r="8291" spans="6:6">
      <c r="F8291" s="2423"/>
    </row>
    <row r="8292" spans="6:6">
      <c r="F8292" s="2423"/>
    </row>
    <row r="8293" spans="6:6">
      <c r="F8293" s="2423"/>
    </row>
    <row r="8294" spans="6:6">
      <c r="F8294" s="2423"/>
    </row>
    <row r="8295" spans="6:6">
      <c r="F8295" s="2423"/>
    </row>
    <row r="8296" spans="6:6">
      <c r="F8296" s="2423"/>
    </row>
    <row r="8297" spans="6:6">
      <c r="F8297" s="2423"/>
    </row>
    <row r="8298" spans="6:6">
      <c r="F8298" s="2423"/>
    </row>
    <row r="8299" spans="6:6">
      <c r="F8299" s="2423"/>
    </row>
    <row r="8300" spans="6:6">
      <c r="F8300" s="2423"/>
    </row>
    <row r="8301" spans="6:6">
      <c r="F8301" s="2423"/>
    </row>
    <row r="8302" spans="6:6">
      <c r="F8302" s="2423"/>
    </row>
    <row r="8303" spans="6:6">
      <c r="F8303" s="2423"/>
    </row>
    <row r="8304" spans="6:6">
      <c r="F8304" s="2423"/>
    </row>
    <row r="8305" spans="6:6">
      <c r="F8305" s="2423"/>
    </row>
    <row r="8306" spans="6:6">
      <c r="F8306" s="2423"/>
    </row>
    <row r="8307" spans="6:6">
      <c r="F8307" s="2423"/>
    </row>
    <row r="8308" spans="6:6">
      <c r="F8308" s="2423"/>
    </row>
    <row r="8309" spans="6:6">
      <c r="F8309" s="2423"/>
    </row>
    <row r="8310" spans="6:6">
      <c r="F8310" s="2423"/>
    </row>
    <row r="8311" spans="6:6">
      <c r="F8311" s="2423"/>
    </row>
    <row r="8312" spans="6:6">
      <c r="F8312" s="2423"/>
    </row>
    <row r="8313" spans="6:6">
      <c r="F8313" s="2423"/>
    </row>
    <row r="8314" spans="6:6">
      <c r="F8314" s="2423"/>
    </row>
    <row r="8315" spans="6:6">
      <c r="F8315" s="2423"/>
    </row>
    <row r="8316" spans="6:6">
      <c r="F8316" s="2423"/>
    </row>
    <row r="8317" spans="6:6">
      <c r="F8317" s="2423"/>
    </row>
    <row r="8318" spans="6:6">
      <c r="F8318" s="2423"/>
    </row>
    <row r="8319" spans="6:6">
      <c r="F8319" s="2423"/>
    </row>
    <row r="8320" spans="6:6">
      <c r="F8320" s="2423"/>
    </row>
    <row r="8321" spans="6:6">
      <c r="F8321" s="2423"/>
    </row>
    <row r="8322" spans="6:6">
      <c r="F8322" s="2423"/>
    </row>
    <row r="8323" spans="6:6">
      <c r="F8323" s="2423"/>
    </row>
    <row r="8324" spans="6:6">
      <c r="F8324" s="2423"/>
    </row>
    <row r="8325" spans="6:6">
      <c r="F8325" s="2423"/>
    </row>
    <row r="8326" spans="6:6">
      <c r="F8326" s="2423"/>
    </row>
    <row r="8327" spans="6:6">
      <c r="F8327" s="2423"/>
    </row>
    <row r="8328" spans="6:6">
      <c r="F8328" s="2423"/>
    </row>
    <row r="8329" spans="6:6">
      <c r="F8329" s="2423"/>
    </row>
    <row r="8330" spans="6:6">
      <c r="F8330" s="2423"/>
    </row>
    <row r="8331" spans="6:6">
      <c r="F8331" s="2423"/>
    </row>
    <row r="8332" spans="6:6">
      <c r="F8332" s="2423"/>
    </row>
    <row r="8333" spans="6:6">
      <c r="F8333" s="2423"/>
    </row>
    <row r="8334" spans="6:6">
      <c r="F8334" s="2423"/>
    </row>
    <row r="8335" spans="6:6">
      <c r="F8335" s="2423"/>
    </row>
    <row r="8336" spans="6:6">
      <c r="F8336" s="2423"/>
    </row>
    <row r="8337" spans="6:6">
      <c r="F8337" s="2423"/>
    </row>
    <row r="8338" spans="6:6">
      <c r="F8338" s="2423"/>
    </row>
    <row r="8339" spans="6:6">
      <c r="F8339" s="2423"/>
    </row>
    <row r="8340" spans="6:6">
      <c r="F8340" s="2423"/>
    </row>
    <row r="8341" spans="6:6">
      <c r="F8341" s="2423"/>
    </row>
    <row r="8342" spans="6:6">
      <c r="F8342" s="2423"/>
    </row>
    <row r="8343" spans="6:6">
      <c r="F8343" s="2423"/>
    </row>
    <row r="8344" spans="6:6">
      <c r="F8344" s="2423"/>
    </row>
    <row r="8345" spans="6:6">
      <c r="F8345" s="2423"/>
    </row>
    <row r="8346" spans="6:6">
      <c r="F8346" s="2423"/>
    </row>
    <row r="8347" spans="6:6">
      <c r="F8347" s="2423"/>
    </row>
    <row r="8348" spans="6:6">
      <c r="F8348" s="2423"/>
    </row>
    <row r="8349" spans="6:6">
      <c r="F8349" s="2423"/>
    </row>
    <row r="8350" spans="6:6">
      <c r="F8350" s="2423"/>
    </row>
    <row r="8351" spans="6:6">
      <c r="F8351" s="2423"/>
    </row>
    <row r="8352" spans="6:6">
      <c r="F8352" s="2423"/>
    </row>
    <row r="8353" spans="6:6">
      <c r="F8353" s="2423"/>
    </row>
    <row r="8354" spans="6:6">
      <c r="F8354" s="2423"/>
    </row>
    <row r="8355" spans="6:6">
      <c r="F8355" s="2423"/>
    </row>
    <row r="8356" spans="6:6">
      <c r="F8356" s="2423"/>
    </row>
    <row r="8357" spans="6:6">
      <c r="F8357" s="2423"/>
    </row>
    <row r="8358" spans="6:6">
      <c r="F8358" s="2423"/>
    </row>
    <row r="8359" spans="6:6">
      <c r="F8359" s="2423"/>
    </row>
    <row r="8360" spans="6:6">
      <c r="F8360" s="2423"/>
    </row>
    <row r="8361" spans="6:6">
      <c r="F8361" s="2423"/>
    </row>
    <row r="8362" spans="6:6">
      <c r="F8362" s="2423"/>
    </row>
    <row r="8363" spans="6:6">
      <c r="F8363" s="2423"/>
    </row>
    <row r="8364" spans="6:6">
      <c r="F8364" s="2423"/>
    </row>
    <row r="8365" spans="6:6">
      <c r="F8365" s="2423"/>
    </row>
    <row r="8366" spans="6:6">
      <c r="F8366" s="2423"/>
    </row>
    <row r="8367" spans="6:6">
      <c r="F8367" s="2423"/>
    </row>
    <row r="8368" spans="6:6">
      <c r="F8368" s="2423"/>
    </row>
    <row r="8369" spans="6:6">
      <c r="F8369" s="2423"/>
    </row>
    <row r="8370" spans="6:6">
      <c r="F8370" s="2423"/>
    </row>
    <row r="8371" spans="6:6">
      <c r="F8371" s="2423"/>
    </row>
    <row r="8372" spans="6:6">
      <c r="F8372" s="2423"/>
    </row>
    <row r="8373" spans="6:6">
      <c r="F8373" s="2423"/>
    </row>
    <row r="8374" spans="6:6">
      <c r="F8374" s="2423"/>
    </row>
    <row r="8375" spans="6:6">
      <c r="F8375" s="2423"/>
    </row>
    <row r="8376" spans="6:6">
      <c r="F8376" s="2423"/>
    </row>
    <row r="8377" spans="6:6">
      <c r="F8377" s="2423"/>
    </row>
    <row r="8378" spans="6:6">
      <c r="F8378" s="2423"/>
    </row>
    <row r="8379" spans="6:6">
      <c r="F8379" s="2423"/>
    </row>
    <row r="8380" spans="6:6">
      <c r="F8380" s="2423"/>
    </row>
    <row r="8381" spans="6:6">
      <c r="F8381" s="2423"/>
    </row>
    <row r="8382" spans="6:6">
      <c r="F8382" s="2423"/>
    </row>
    <row r="8383" spans="6:6">
      <c r="F8383" s="2423"/>
    </row>
    <row r="8384" spans="6:6">
      <c r="F8384" s="2423"/>
    </row>
    <row r="8385" spans="6:6">
      <c r="F8385" s="2423"/>
    </row>
    <row r="8386" spans="6:6">
      <c r="F8386" s="2423"/>
    </row>
    <row r="8387" spans="6:6">
      <c r="F8387" s="2423"/>
    </row>
    <row r="8388" spans="6:6">
      <c r="F8388" s="2423"/>
    </row>
    <row r="8389" spans="6:6">
      <c r="F8389" s="2423"/>
    </row>
    <row r="8390" spans="6:6">
      <c r="F8390" s="2423"/>
    </row>
    <row r="8391" spans="6:6">
      <c r="F8391" s="2423"/>
    </row>
    <row r="8392" spans="6:6">
      <c r="F8392" s="2423"/>
    </row>
    <row r="8393" spans="6:6">
      <c r="F8393" s="2423"/>
    </row>
    <row r="8394" spans="6:6">
      <c r="F8394" s="2423"/>
    </row>
    <row r="8395" spans="6:6">
      <c r="F8395" s="2423"/>
    </row>
    <row r="8396" spans="6:6">
      <c r="F8396" s="2423"/>
    </row>
    <row r="8397" spans="6:6">
      <c r="F8397" s="2423"/>
    </row>
    <row r="8398" spans="6:6">
      <c r="F8398" s="2423"/>
    </row>
    <row r="8399" spans="6:6">
      <c r="F8399" s="2423"/>
    </row>
    <row r="8400" spans="6:6">
      <c r="F8400" s="2423"/>
    </row>
    <row r="8401" spans="6:6">
      <c r="F8401" s="2423"/>
    </row>
    <row r="8402" spans="6:6">
      <c r="F8402" s="2423"/>
    </row>
    <row r="8403" spans="6:6">
      <c r="F8403" s="2423"/>
    </row>
    <row r="8404" spans="6:6">
      <c r="F8404" s="2423"/>
    </row>
    <row r="8405" spans="6:6">
      <c r="F8405" s="2423"/>
    </row>
    <row r="8406" spans="6:6">
      <c r="F8406" s="2423"/>
    </row>
    <row r="8407" spans="6:6">
      <c r="F8407" s="2423"/>
    </row>
    <row r="8408" spans="6:6">
      <c r="F8408" s="2423"/>
    </row>
    <row r="8409" spans="6:6">
      <c r="F8409" s="2423"/>
    </row>
    <row r="8410" spans="6:6">
      <c r="F8410" s="2423"/>
    </row>
    <row r="8411" spans="6:6">
      <c r="F8411" s="2423"/>
    </row>
    <row r="8412" spans="6:6">
      <c r="F8412" s="2423"/>
    </row>
    <row r="8413" spans="6:6">
      <c r="F8413" s="2423"/>
    </row>
    <row r="8414" spans="6:6">
      <c r="F8414" s="2423"/>
    </row>
    <row r="8415" spans="6:6">
      <c r="F8415" s="2423"/>
    </row>
    <row r="8416" spans="6:6">
      <c r="F8416" s="2423"/>
    </row>
    <row r="8417" spans="6:6">
      <c r="F8417" s="2423"/>
    </row>
    <row r="8418" spans="6:6">
      <c r="F8418" s="2423"/>
    </row>
    <row r="8419" spans="6:6">
      <c r="F8419" s="2423"/>
    </row>
    <row r="8420" spans="6:6">
      <c r="F8420" s="2423"/>
    </row>
    <row r="8421" spans="6:6">
      <c r="F8421" s="2423"/>
    </row>
    <row r="8422" spans="6:6">
      <c r="F8422" s="2423"/>
    </row>
    <row r="8423" spans="6:6">
      <c r="F8423" s="2423"/>
    </row>
    <row r="8424" spans="6:6">
      <c r="F8424" s="2423"/>
    </row>
    <row r="8425" spans="6:6">
      <c r="F8425" s="2423"/>
    </row>
    <row r="8426" spans="6:6">
      <c r="F8426" s="2423"/>
    </row>
    <row r="8427" spans="6:6">
      <c r="F8427" s="2423"/>
    </row>
    <row r="8428" spans="6:6">
      <c r="F8428" s="2423"/>
    </row>
    <row r="8429" spans="6:6">
      <c r="F8429" s="2423"/>
    </row>
    <row r="8430" spans="6:6">
      <c r="F8430" s="2423"/>
    </row>
    <row r="8431" spans="6:6">
      <c r="F8431" s="2423"/>
    </row>
    <row r="8432" spans="6:6">
      <c r="F8432" s="2423"/>
    </row>
    <row r="8433" spans="6:6">
      <c r="F8433" s="2423"/>
    </row>
    <row r="8434" spans="6:6">
      <c r="F8434" s="2423"/>
    </row>
    <row r="8435" spans="6:6">
      <c r="F8435" s="2423"/>
    </row>
    <row r="8436" spans="6:6">
      <c r="F8436" s="2423"/>
    </row>
    <row r="8437" spans="6:6">
      <c r="F8437" s="2423"/>
    </row>
    <row r="8438" spans="6:6">
      <c r="F8438" s="2423"/>
    </row>
    <row r="8439" spans="6:6">
      <c r="F8439" s="2423"/>
    </row>
    <row r="8440" spans="6:6">
      <c r="F8440" s="2423"/>
    </row>
    <row r="8441" spans="6:6">
      <c r="F8441" s="2423"/>
    </row>
    <row r="8442" spans="6:6">
      <c r="F8442" s="2423"/>
    </row>
    <row r="8443" spans="6:6">
      <c r="F8443" s="2423"/>
    </row>
    <row r="8444" spans="6:6">
      <c r="F8444" s="2423"/>
    </row>
    <row r="8445" spans="6:6">
      <c r="F8445" s="2423"/>
    </row>
    <row r="8446" spans="6:6">
      <c r="F8446" s="2423"/>
    </row>
    <row r="8447" spans="6:6">
      <c r="F8447" s="2423"/>
    </row>
    <row r="8448" spans="6:6">
      <c r="F8448" s="2423"/>
    </row>
    <row r="8449" spans="6:6">
      <c r="F8449" s="2423"/>
    </row>
    <row r="8450" spans="6:6">
      <c r="F8450" s="2423"/>
    </row>
    <row r="8451" spans="6:6">
      <c r="F8451" s="2423"/>
    </row>
    <row r="8452" spans="6:6">
      <c r="F8452" s="2423"/>
    </row>
    <row r="8453" spans="6:6">
      <c r="F8453" s="2423"/>
    </row>
    <row r="8454" spans="6:6">
      <c r="F8454" s="2423"/>
    </row>
    <row r="8455" spans="6:6">
      <c r="F8455" s="2423"/>
    </row>
    <row r="8456" spans="6:6">
      <c r="F8456" s="2423"/>
    </row>
    <row r="8457" spans="6:6">
      <c r="F8457" s="2423"/>
    </row>
    <row r="8458" spans="6:6">
      <c r="F8458" s="2423"/>
    </row>
    <row r="8459" spans="6:6">
      <c r="F8459" s="2423"/>
    </row>
    <row r="8460" spans="6:6">
      <c r="F8460" s="2423"/>
    </row>
    <row r="8461" spans="6:6">
      <c r="F8461" s="2423"/>
    </row>
    <row r="8462" spans="6:6">
      <c r="F8462" s="2423"/>
    </row>
    <row r="8463" spans="6:6">
      <c r="F8463" s="2423"/>
    </row>
    <row r="8464" spans="6:6">
      <c r="F8464" s="2423"/>
    </row>
    <row r="8465" spans="6:6">
      <c r="F8465" s="2423"/>
    </row>
    <row r="8466" spans="6:6">
      <c r="F8466" s="2423"/>
    </row>
    <row r="8467" spans="6:6">
      <c r="F8467" s="2423"/>
    </row>
    <row r="8468" spans="6:6">
      <c r="F8468" s="2423"/>
    </row>
    <row r="8469" spans="6:6">
      <c r="F8469" s="2423"/>
    </row>
    <row r="8470" spans="6:6">
      <c r="F8470" s="2423"/>
    </row>
    <row r="8471" spans="6:6">
      <c r="F8471" s="2423"/>
    </row>
    <row r="8472" spans="6:6">
      <c r="F8472" s="2423"/>
    </row>
    <row r="8473" spans="6:6">
      <c r="F8473" s="2423"/>
    </row>
    <row r="8474" spans="6:6">
      <c r="F8474" s="2423"/>
    </row>
    <row r="8475" spans="6:6">
      <c r="F8475" s="2423"/>
    </row>
    <row r="8476" spans="6:6">
      <c r="F8476" s="2423"/>
    </row>
    <row r="8477" spans="6:6">
      <c r="F8477" s="2423"/>
    </row>
    <row r="8478" spans="6:6">
      <c r="F8478" s="2423"/>
    </row>
    <row r="8479" spans="6:6">
      <c r="F8479" s="2423"/>
    </row>
    <row r="8480" spans="6:6">
      <c r="F8480" s="2423"/>
    </row>
    <row r="8481" spans="6:6">
      <c r="F8481" s="2423"/>
    </row>
    <row r="8482" spans="6:6">
      <c r="F8482" s="2423"/>
    </row>
    <row r="8483" spans="6:6">
      <c r="F8483" s="2423"/>
    </row>
    <row r="8484" spans="6:6">
      <c r="F8484" s="2423"/>
    </row>
    <row r="8485" spans="6:6">
      <c r="F8485" s="2423"/>
    </row>
    <row r="8486" spans="6:6">
      <c r="F8486" s="2423"/>
    </row>
    <row r="8487" spans="6:6">
      <c r="F8487" s="2423"/>
    </row>
    <row r="8488" spans="6:6">
      <c r="F8488" s="2423"/>
    </row>
    <row r="8489" spans="6:6">
      <c r="F8489" s="2423"/>
    </row>
    <row r="8490" spans="6:6">
      <c r="F8490" s="2423"/>
    </row>
    <row r="8491" spans="6:6">
      <c r="F8491" s="2423"/>
    </row>
    <row r="8492" spans="6:6">
      <c r="F8492" s="2423"/>
    </row>
    <row r="8493" spans="6:6">
      <c r="F8493" s="2423"/>
    </row>
    <row r="8494" spans="6:6">
      <c r="F8494" s="2423"/>
    </row>
    <row r="8495" spans="6:6">
      <c r="F8495" s="2423"/>
    </row>
    <row r="8496" spans="6:6">
      <c r="F8496" s="2423"/>
    </row>
    <row r="8497" spans="6:6">
      <c r="F8497" s="2423"/>
    </row>
    <row r="8498" spans="6:6">
      <c r="F8498" s="2423"/>
    </row>
    <row r="8499" spans="6:6">
      <c r="F8499" s="2423"/>
    </row>
    <row r="8500" spans="6:6">
      <c r="F8500" s="2423"/>
    </row>
    <row r="8501" spans="6:6">
      <c r="F8501" s="2423"/>
    </row>
    <row r="8502" spans="6:6">
      <c r="F8502" s="2423"/>
    </row>
    <row r="8503" spans="6:6">
      <c r="F8503" s="2423"/>
    </row>
    <row r="8504" spans="6:6">
      <c r="F8504" s="2423"/>
    </row>
    <row r="8505" spans="6:6">
      <c r="F8505" s="2423"/>
    </row>
    <row r="8506" spans="6:6">
      <c r="F8506" s="2423"/>
    </row>
    <row r="8507" spans="6:6">
      <c r="F8507" s="2423"/>
    </row>
    <row r="8508" spans="6:6">
      <c r="F8508" s="2423"/>
    </row>
    <row r="8509" spans="6:6">
      <c r="F8509" s="2423"/>
    </row>
    <row r="8510" spans="6:6">
      <c r="F8510" s="2423"/>
    </row>
    <row r="8511" spans="6:6">
      <c r="F8511" s="2423"/>
    </row>
    <row r="8512" spans="6:6">
      <c r="F8512" s="2423"/>
    </row>
    <row r="8513" spans="6:6">
      <c r="F8513" s="2423"/>
    </row>
    <row r="8514" spans="6:6">
      <c r="F8514" s="2423"/>
    </row>
    <row r="8515" spans="6:6">
      <c r="F8515" s="2423"/>
    </row>
    <row r="8516" spans="6:6">
      <c r="F8516" s="2423"/>
    </row>
    <row r="8517" spans="6:6">
      <c r="F8517" s="2423"/>
    </row>
    <row r="8518" spans="6:6">
      <c r="F8518" s="2423"/>
    </row>
    <row r="8519" spans="6:6">
      <c r="F8519" s="2423"/>
    </row>
    <row r="8520" spans="6:6">
      <c r="F8520" s="2423"/>
    </row>
    <row r="8521" spans="6:6">
      <c r="F8521" s="2423"/>
    </row>
    <row r="8522" spans="6:6">
      <c r="F8522" s="2423"/>
    </row>
    <row r="8523" spans="6:6">
      <c r="F8523" s="2423"/>
    </row>
    <row r="8524" spans="6:6">
      <c r="F8524" s="2423"/>
    </row>
    <row r="8525" spans="6:6">
      <c r="F8525" s="2423"/>
    </row>
    <row r="8526" spans="6:6">
      <c r="F8526" s="2423"/>
    </row>
    <row r="8527" spans="6:6">
      <c r="F8527" s="2423"/>
    </row>
    <row r="8528" spans="6:6">
      <c r="F8528" s="2423"/>
    </row>
    <row r="8529" spans="6:6">
      <c r="F8529" s="2423"/>
    </row>
    <row r="8530" spans="6:6">
      <c r="F8530" s="2423"/>
    </row>
    <row r="8531" spans="6:6">
      <c r="F8531" s="2423"/>
    </row>
    <row r="8532" spans="6:6">
      <c r="F8532" s="2423"/>
    </row>
    <row r="8533" spans="6:6">
      <c r="F8533" s="2423"/>
    </row>
    <row r="8534" spans="6:6">
      <c r="F8534" s="2423"/>
    </row>
    <row r="8535" spans="6:6">
      <c r="F8535" s="2423"/>
    </row>
    <row r="8536" spans="6:6">
      <c r="F8536" s="2423"/>
    </row>
    <row r="8537" spans="6:6">
      <c r="F8537" s="2423"/>
    </row>
    <row r="8538" spans="6:6">
      <c r="F8538" s="2423"/>
    </row>
    <row r="8539" spans="6:6">
      <c r="F8539" s="2423"/>
    </row>
    <row r="8540" spans="6:6">
      <c r="F8540" s="2423"/>
    </row>
    <row r="8541" spans="6:6">
      <c r="F8541" s="2423"/>
    </row>
    <row r="8542" spans="6:6">
      <c r="F8542" s="2423"/>
    </row>
    <row r="8543" spans="6:6">
      <c r="F8543" s="2423"/>
    </row>
    <row r="8544" spans="6:6">
      <c r="F8544" s="2423"/>
    </row>
    <row r="8545" spans="6:6">
      <c r="F8545" s="2423"/>
    </row>
    <row r="8546" spans="6:6">
      <c r="F8546" s="2423"/>
    </row>
    <row r="8547" spans="6:6">
      <c r="F8547" s="2423"/>
    </row>
    <row r="8548" spans="6:6">
      <c r="F8548" s="2423"/>
    </row>
    <row r="8549" spans="6:6">
      <c r="F8549" s="2423"/>
    </row>
    <row r="8550" spans="6:6">
      <c r="F8550" s="2423"/>
    </row>
    <row r="8551" spans="6:6">
      <c r="F8551" s="2423"/>
    </row>
    <row r="8552" spans="6:6">
      <c r="F8552" s="2423"/>
    </row>
    <row r="8553" spans="6:6">
      <c r="F8553" s="2423"/>
    </row>
    <row r="8554" spans="6:6">
      <c r="F8554" s="2423"/>
    </row>
    <row r="8555" spans="6:6">
      <c r="F8555" s="2423"/>
    </row>
    <row r="8556" spans="6:6">
      <c r="F8556" s="2423"/>
    </row>
    <row r="8557" spans="6:6">
      <c r="F8557" s="2423"/>
    </row>
    <row r="8558" spans="6:6">
      <c r="F8558" s="2423"/>
    </row>
    <row r="8559" spans="6:6">
      <c r="F8559" s="2423"/>
    </row>
    <row r="8560" spans="6:6">
      <c r="F8560" s="2423"/>
    </row>
    <row r="8561" spans="6:6">
      <c r="F8561" s="2423"/>
    </row>
    <row r="8562" spans="6:6">
      <c r="F8562" s="2423"/>
    </row>
    <row r="8563" spans="6:6">
      <c r="F8563" s="2423"/>
    </row>
    <row r="8564" spans="6:6">
      <c r="F8564" s="2423"/>
    </row>
    <row r="8565" spans="6:6">
      <c r="F8565" s="2423"/>
    </row>
    <row r="8566" spans="6:6">
      <c r="F8566" s="2423"/>
    </row>
    <row r="8567" spans="6:6">
      <c r="F8567" s="2423"/>
    </row>
    <row r="8568" spans="6:6">
      <c r="F8568" s="2423"/>
    </row>
    <row r="8569" spans="6:6">
      <c r="F8569" s="2423"/>
    </row>
    <row r="8570" spans="6:6">
      <c r="F8570" s="2423"/>
    </row>
    <row r="8571" spans="6:6">
      <c r="F8571" s="2423"/>
    </row>
    <row r="8572" spans="6:6">
      <c r="F8572" s="2423"/>
    </row>
    <row r="8573" spans="6:6">
      <c r="F8573" s="2423"/>
    </row>
    <row r="8574" spans="6:6">
      <c r="F8574" s="2423"/>
    </row>
    <row r="8575" spans="6:6">
      <c r="F8575" s="2423"/>
    </row>
    <row r="8576" spans="6:6">
      <c r="F8576" s="2423"/>
    </row>
    <row r="8577" spans="6:6">
      <c r="F8577" s="2423"/>
    </row>
    <row r="8578" spans="6:6">
      <c r="F8578" s="2423"/>
    </row>
    <row r="8579" spans="6:6">
      <c r="F8579" s="2423"/>
    </row>
    <row r="8580" spans="6:6">
      <c r="F8580" s="2423"/>
    </row>
    <row r="8581" spans="6:6">
      <c r="F8581" s="2423"/>
    </row>
    <row r="8582" spans="6:6">
      <c r="F8582" s="2423"/>
    </row>
    <row r="8583" spans="6:6">
      <c r="F8583" s="2423"/>
    </row>
    <row r="8584" spans="6:6">
      <c r="F8584" s="2423"/>
    </row>
    <row r="8585" spans="6:6">
      <c r="F8585" s="2423"/>
    </row>
    <row r="8586" spans="6:6">
      <c r="F8586" s="2423"/>
    </row>
    <row r="8587" spans="6:6">
      <c r="F8587" s="2423"/>
    </row>
    <row r="8588" spans="6:6">
      <c r="F8588" s="2423"/>
    </row>
    <row r="8589" spans="6:6">
      <c r="F8589" s="2423"/>
    </row>
    <row r="8590" spans="6:6">
      <c r="F8590" s="2423"/>
    </row>
    <row r="8591" spans="6:6">
      <c r="F8591" s="2423"/>
    </row>
    <row r="8592" spans="6:6">
      <c r="F8592" s="2423"/>
    </row>
    <row r="8593" spans="6:6">
      <c r="F8593" s="2423"/>
    </row>
    <row r="8594" spans="6:6">
      <c r="F8594" s="2423"/>
    </row>
    <row r="8595" spans="6:6">
      <c r="F8595" s="2423"/>
    </row>
    <row r="8596" spans="6:6">
      <c r="F8596" s="2423"/>
    </row>
    <row r="8597" spans="6:6">
      <c r="F8597" s="2423"/>
    </row>
    <row r="8598" spans="6:6">
      <c r="F8598" s="2423"/>
    </row>
    <row r="8599" spans="6:6">
      <c r="F8599" s="2423"/>
    </row>
    <row r="8600" spans="6:6">
      <c r="F8600" s="2423"/>
    </row>
    <row r="8601" spans="6:6">
      <c r="F8601" s="2423"/>
    </row>
    <row r="8602" spans="6:6">
      <c r="F8602" s="2423"/>
    </row>
    <row r="8603" spans="6:6">
      <c r="F8603" s="2423"/>
    </row>
    <row r="8604" spans="6:6">
      <c r="F8604" s="2423"/>
    </row>
    <row r="8605" spans="6:6">
      <c r="F8605" s="2423"/>
    </row>
    <row r="8606" spans="6:6">
      <c r="F8606" s="2423"/>
    </row>
    <row r="8607" spans="6:6">
      <c r="F8607" s="2423"/>
    </row>
    <row r="8608" spans="6:6">
      <c r="F8608" s="2423"/>
    </row>
    <row r="8609" spans="6:6">
      <c r="F8609" s="2423"/>
    </row>
    <row r="8610" spans="6:6">
      <c r="F8610" s="2423"/>
    </row>
    <row r="8611" spans="6:6">
      <c r="F8611" s="2423"/>
    </row>
    <row r="8612" spans="6:6">
      <c r="F8612" s="2423"/>
    </row>
    <row r="8613" spans="6:6">
      <c r="F8613" s="2423"/>
    </row>
    <row r="8614" spans="6:6">
      <c r="F8614" s="2423"/>
    </row>
    <row r="8615" spans="6:6">
      <c r="F8615" s="2423"/>
    </row>
    <row r="8616" spans="6:6">
      <c r="F8616" s="2423"/>
    </row>
    <row r="8617" spans="6:6">
      <c r="F8617" s="2423"/>
    </row>
    <row r="8618" spans="6:6">
      <c r="F8618" s="2423"/>
    </row>
    <row r="8619" spans="6:6">
      <c r="F8619" s="2423"/>
    </row>
    <row r="8620" spans="6:6">
      <c r="F8620" s="2423"/>
    </row>
    <row r="8621" spans="6:6">
      <c r="F8621" s="2423"/>
    </row>
    <row r="8622" spans="6:6">
      <c r="F8622" s="2423"/>
    </row>
    <row r="8623" spans="6:6">
      <c r="F8623" s="2423"/>
    </row>
    <row r="8624" spans="6:6">
      <c r="F8624" s="2423"/>
    </row>
    <row r="8625" spans="6:6">
      <c r="F8625" s="2423"/>
    </row>
    <row r="8626" spans="6:6">
      <c r="F8626" s="2423"/>
    </row>
    <row r="8627" spans="6:6">
      <c r="F8627" s="2423"/>
    </row>
    <row r="8628" spans="6:6">
      <c r="F8628" s="2423"/>
    </row>
    <row r="8629" spans="6:6">
      <c r="F8629" s="2423"/>
    </row>
    <row r="8630" spans="6:6">
      <c r="F8630" s="2423"/>
    </row>
    <row r="8631" spans="6:6">
      <c r="F8631" s="2423"/>
    </row>
    <row r="8632" spans="6:6">
      <c r="F8632" s="2423"/>
    </row>
    <row r="8633" spans="6:6">
      <c r="F8633" s="2423"/>
    </row>
    <row r="8634" spans="6:6">
      <c r="F8634" s="2423"/>
    </row>
    <row r="8635" spans="6:6">
      <c r="F8635" s="2423"/>
    </row>
    <row r="8636" spans="6:6">
      <c r="F8636" s="2423"/>
    </row>
    <row r="8637" spans="6:6">
      <c r="F8637" s="2423"/>
    </row>
    <row r="8638" spans="6:6">
      <c r="F8638" s="2423"/>
    </row>
    <row r="8639" spans="6:6">
      <c r="F8639" s="2423"/>
    </row>
    <row r="8640" spans="6:6">
      <c r="F8640" s="2423"/>
    </row>
    <row r="8641" spans="6:6">
      <c r="F8641" s="2423"/>
    </row>
    <row r="8642" spans="6:6">
      <c r="F8642" s="2423"/>
    </row>
    <row r="8643" spans="6:6">
      <c r="F8643" s="2423"/>
    </row>
    <row r="8644" spans="6:6">
      <c r="F8644" s="2423"/>
    </row>
    <row r="8645" spans="6:6">
      <c r="F8645" s="2423"/>
    </row>
    <row r="8646" spans="6:6">
      <c r="F8646" s="2423"/>
    </row>
    <row r="8647" spans="6:6">
      <c r="F8647" s="2423"/>
    </row>
    <row r="8648" spans="6:6">
      <c r="F8648" s="2423"/>
    </row>
    <row r="8649" spans="6:6">
      <c r="F8649" s="2423"/>
    </row>
    <row r="8650" spans="6:6">
      <c r="F8650" s="2423"/>
    </row>
    <row r="8651" spans="6:6">
      <c r="F8651" s="2423"/>
    </row>
    <row r="8652" spans="6:6">
      <c r="F8652" s="2423"/>
    </row>
    <row r="8653" spans="6:6">
      <c r="F8653" s="2423"/>
    </row>
    <row r="8654" spans="6:6">
      <c r="F8654" s="2423"/>
    </row>
    <row r="8655" spans="6:6">
      <c r="F8655" s="2423"/>
    </row>
    <row r="8656" spans="6:6">
      <c r="F8656" s="2423"/>
    </row>
    <row r="8657" spans="6:6">
      <c r="F8657" s="2423"/>
    </row>
    <row r="8658" spans="6:6">
      <c r="F8658" s="2423"/>
    </row>
    <row r="8659" spans="6:6">
      <c r="F8659" s="2423"/>
    </row>
    <row r="8660" spans="6:6">
      <c r="F8660" s="2423"/>
    </row>
    <row r="8661" spans="6:6">
      <c r="F8661" s="2423"/>
    </row>
    <row r="8662" spans="6:6">
      <c r="F8662" s="2423"/>
    </row>
    <row r="8663" spans="6:6">
      <c r="F8663" s="2423"/>
    </row>
    <row r="8664" spans="6:6">
      <c r="F8664" s="2423"/>
    </row>
    <row r="8665" spans="6:6">
      <c r="F8665" s="2423"/>
    </row>
    <row r="8666" spans="6:6">
      <c r="F8666" s="2423"/>
    </row>
    <row r="8667" spans="6:6">
      <c r="F8667" s="2423"/>
    </row>
    <row r="8668" spans="6:6">
      <c r="F8668" s="2423"/>
    </row>
    <row r="8669" spans="6:6">
      <c r="F8669" s="2423"/>
    </row>
    <row r="8670" spans="6:6">
      <c r="F8670" s="2423"/>
    </row>
    <row r="8671" spans="6:6">
      <c r="F8671" s="2423"/>
    </row>
    <row r="8672" spans="6:6">
      <c r="F8672" s="2423"/>
    </row>
    <row r="8673" spans="6:6">
      <c r="F8673" s="2423"/>
    </row>
    <row r="8674" spans="6:6">
      <c r="F8674" s="2423"/>
    </row>
    <row r="8675" spans="6:6">
      <c r="F8675" s="2423"/>
    </row>
    <row r="8676" spans="6:6">
      <c r="F8676" s="2423"/>
    </row>
    <row r="8677" spans="6:6">
      <c r="F8677" s="2423"/>
    </row>
    <row r="8678" spans="6:6">
      <c r="F8678" s="2423"/>
    </row>
    <row r="8679" spans="6:6">
      <c r="F8679" s="2423"/>
    </row>
    <row r="8680" spans="6:6">
      <c r="F8680" s="2423"/>
    </row>
    <row r="8681" spans="6:6">
      <c r="F8681" s="2423"/>
    </row>
    <row r="8682" spans="6:6">
      <c r="F8682" s="2423"/>
    </row>
    <row r="8683" spans="6:6">
      <c r="F8683" s="2423"/>
    </row>
    <row r="8684" spans="6:6">
      <c r="F8684" s="2423"/>
    </row>
    <row r="8685" spans="6:6">
      <c r="F8685" s="2423"/>
    </row>
    <row r="8686" spans="6:6">
      <c r="F8686" s="2423"/>
    </row>
    <row r="8687" spans="6:6">
      <c r="F8687" s="2423"/>
    </row>
    <row r="8688" spans="6:6">
      <c r="F8688" s="2423"/>
    </row>
    <row r="8689" spans="6:6">
      <c r="F8689" s="2423"/>
    </row>
    <row r="8690" spans="6:6">
      <c r="F8690" s="2423"/>
    </row>
    <row r="8691" spans="6:6">
      <c r="F8691" s="2423"/>
    </row>
    <row r="8692" spans="6:6">
      <c r="F8692" s="2423"/>
    </row>
    <row r="8693" spans="6:6">
      <c r="F8693" s="2423"/>
    </row>
    <row r="8694" spans="6:6">
      <c r="F8694" s="2423"/>
    </row>
    <row r="8695" spans="6:6">
      <c r="F8695" s="2423"/>
    </row>
    <row r="8696" spans="6:6">
      <c r="F8696" s="2423"/>
    </row>
    <row r="8697" spans="6:6">
      <c r="F8697" s="2423"/>
    </row>
    <row r="8698" spans="6:6">
      <c r="F8698" s="2423"/>
    </row>
    <row r="8699" spans="6:6">
      <c r="F8699" s="2423"/>
    </row>
    <row r="8700" spans="6:6">
      <c r="F8700" s="2423"/>
    </row>
    <row r="8701" spans="6:6">
      <c r="F8701" s="2423"/>
    </row>
    <row r="8702" spans="6:6">
      <c r="F8702" s="2423"/>
    </row>
    <row r="8703" spans="6:6">
      <c r="F8703" s="2423"/>
    </row>
    <row r="8704" spans="6:6">
      <c r="F8704" s="2423"/>
    </row>
    <row r="8705" spans="6:6">
      <c r="F8705" s="2423"/>
    </row>
    <row r="8706" spans="6:6">
      <c r="F8706" s="2423"/>
    </row>
    <row r="8707" spans="6:6">
      <c r="F8707" s="2423"/>
    </row>
    <row r="8708" spans="6:6">
      <c r="F8708" s="2423"/>
    </row>
    <row r="8709" spans="6:6">
      <c r="F8709" s="2423"/>
    </row>
    <row r="8710" spans="6:6">
      <c r="F8710" s="2423"/>
    </row>
    <row r="8711" spans="6:6">
      <c r="F8711" s="2423"/>
    </row>
    <row r="8712" spans="6:6">
      <c r="F8712" s="2423"/>
    </row>
    <row r="8713" spans="6:6">
      <c r="F8713" s="2423"/>
    </row>
    <row r="8714" spans="6:6">
      <c r="F8714" s="2423"/>
    </row>
    <row r="8715" spans="6:6">
      <c r="F8715" s="2423"/>
    </row>
    <row r="8716" spans="6:6">
      <c r="F8716" s="2423"/>
    </row>
    <row r="8717" spans="6:6">
      <c r="F8717" s="2423"/>
    </row>
    <row r="8718" spans="6:6">
      <c r="F8718" s="2423"/>
    </row>
    <row r="8719" spans="6:6">
      <c r="F8719" s="2423"/>
    </row>
    <row r="8720" spans="6:6">
      <c r="F8720" s="2423"/>
    </row>
    <row r="8721" spans="6:6">
      <c r="F8721" s="2423"/>
    </row>
    <row r="8722" spans="6:6">
      <c r="F8722" s="2423"/>
    </row>
    <row r="8723" spans="6:6">
      <c r="F8723" s="2423"/>
    </row>
    <row r="8724" spans="6:6">
      <c r="F8724" s="2423"/>
    </row>
    <row r="8725" spans="6:6">
      <c r="F8725" s="2423"/>
    </row>
    <row r="8726" spans="6:6">
      <c r="F8726" s="2423"/>
    </row>
    <row r="8727" spans="6:6">
      <c r="F8727" s="2423"/>
    </row>
    <row r="8728" spans="6:6">
      <c r="F8728" s="2423"/>
    </row>
    <row r="8729" spans="6:6">
      <c r="F8729" s="2423"/>
    </row>
    <row r="8730" spans="6:6">
      <c r="F8730" s="2423"/>
    </row>
    <row r="8731" spans="6:6">
      <c r="F8731" s="2423"/>
    </row>
    <row r="8732" spans="6:6">
      <c r="F8732" s="2423"/>
    </row>
    <row r="8733" spans="6:6">
      <c r="F8733" s="2423"/>
    </row>
    <row r="8734" spans="6:6">
      <c r="F8734" s="2423"/>
    </row>
    <row r="8735" spans="6:6">
      <c r="F8735" s="2423"/>
    </row>
    <row r="8736" spans="6:6">
      <c r="F8736" s="2423"/>
    </row>
    <row r="8737" spans="6:6">
      <c r="F8737" s="2423"/>
    </row>
    <row r="8738" spans="6:6">
      <c r="F8738" s="2423"/>
    </row>
    <row r="8739" spans="6:6">
      <c r="F8739" s="2423"/>
    </row>
    <row r="8740" spans="6:6">
      <c r="F8740" s="2423"/>
    </row>
    <row r="8741" spans="6:6">
      <c r="F8741" s="2423"/>
    </row>
    <row r="8742" spans="6:6">
      <c r="F8742" s="2423"/>
    </row>
    <row r="8743" spans="6:6">
      <c r="F8743" s="2423"/>
    </row>
    <row r="8744" spans="6:6">
      <c r="F8744" s="2423"/>
    </row>
    <row r="8745" spans="6:6">
      <c r="F8745" s="2423"/>
    </row>
    <row r="8746" spans="6:6">
      <c r="F8746" s="2423"/>
    </row>
    <row r="8747" spans="6:6">
      <c r="F8747" s="2423"/>
    </row>
    <row r="8748" spans="6:6">
      <c r="F8748" s="2423"/>
    </row>
    <row r="8749" spans="6:6">
      <c r="F8749" s="2423"/>
    </row>
    <row r="8750" spans="6:6">
      <c r="F8750" s="2423"/>
    </row>
    <row r="8751" spans="6:6">
      <c r="F8751" s="2423"/>
    </row>
    <row r="8752" spans="6:6">
      <c r="F8752" s="2423"/>
    </row>
    <row r="8753" spans="6:6">
      <c r="F8753" s="2423"/>
    </row>
    <row r="8754" spans="6:6">
      <c r="F8754" s="2423"/>
    </row>
    <row r="8755" spans="6:6">
      <c r="F8755" s="2423"/>
    </row>
    <row r="8756" spans="6:6">
      <c r="F8756" s="2423"/>
    </row>
    <row r="8757" spans="6:6">
      <c r="F8757" s="2423"/>
    </row>
    <row r="8758" spans="6:6">
      <c r="F8758" s="2423"/>
    </row>
    <row r="8759" spans="6:6">
      <c r="F8759" s="2423"/>
    </row>
    <row r="8760" spans="6:6">
      <c r="F8760" s="2423"/>
    </row>
    <row r="8761" spans="6:6">
      <c r="F8761" s="2423"/>
    </row>
    <row r="8762" spans="6:6">
      <c r="F8762" s="2423"/>
    </row>
    <row r="8763" spans="6:6">
      <c r="F8763" s="2423"/>
    </row>
    <row r="8764" spans="6:6">
      <c r="F8764" s="2423"/>
    </row>
    <row r="8765" spans="6:6">
      <c r="F8765" s="2423"/>
    </row>
    <row r="8766" spans="6:6">
      <c r="F8766" s="2423"/>
    </row>
    <row r="8767" spans="6:6">
      <c r="F8767" s="2423"/>
    </row>
    <row r="8768" spans="6:6">
      <c r="F8768" s="2423"/>
    </row>
    <row r="8769" spans="6:6">
      <c r="F8769" s="2423"/>
    </row>
    <row r="8770" spans="6:6">
      <c r="F8770" s="2423"/>
    </row>
    <row r="8771" spans="6:6">
      <c r="F8771" s="2423"/>
    </row>
    <row r="8772" spans="6:6">
      <c r="F8772" s="2423"/>
    </row>
    <row r="8773" spans="6:6">
      <c r="F8773" s="2423"/>
    </row>
    <row r="8774" spans="6:6">
      <c r="F8774" s="2423"/>
    </row>
    <row r="8775" spans="6:6">
      <c r="F8775" s="2423"/>
    </row>
    <row r="8776" spans="6:6">
      <c r="F8776" s="2423"/>
    </row>
    <row r="8777" spans="6:6">
      <c r="F8777" s="2423"/>
    </row>
    <row r="8778" spans="6:6">
      <c r="F8778" s="2423"/>
    </row>
    <row r="8779" spans="6:6">
      <c r="F8779" s="2423"/>
    </row>
    <row r="8780" spans="6:6">
      <c r="F8780" s="2423"/>
    </row>
    <row r="8781" spans="6:6">
      <c r="F8781" s="2423"/>
    </row>
    <row r="8782" spans="6:6">
      <c r="F8782" s="2423"/>
    </row>
    <row r="8783" spans="6:6">
      <c r="F8783" s="2423"/>
    </row>
    <row r="8784" spans="6:6">
      <c r="F8784" s="2423"/>
    </row>
    <row r="8785" spans="6:6">
      <c r="F8785" s="2423"/>
    </row>
    <row r="8786" spans="6:6">
      <c r="F8786" s="2423"/>
    </row>
    <row r="8787" spans="6:6">
      <c r="F8787" s="2423"/>
    </row>
    <row r="8788" spans="6:6">
      <c r="F8788" s="2423"/>
    </row>
    <row r="8789" spans="6:6">
      <c r="F8789" s="2423"/>
    </row>
    <row r="8790" spans="6:6">
      <c r="F8790" s="2423"/>
    </row>
    <row r="8791" spans="6:6">
      <c r="F8791" s="2423"/>
    </row>
    <row r="8792" spans="6:6">
      <c r="F8792" s="2423"/>
    </row>
    <row r="8793" spans="6:6">
      <c r="F8793" s="2423"/>
    </row>
    <row r="8794" spans="6:6">
      <c r="F8794" s="2423"/>
    </row>
    <row r="8795" spans="6:6">
      <c r="F8795" s="2423"/>
    </row>
    <row r="8796" spans="6:6">
      <c r="F8796" s="2423"/>
    </row>
    <row r="8797" spans="6:6">
      <c r="F8797" s="2423"/>
    </row>
    <row r="8798" spans="6:6">
      <c r="F8798" s="2423"/>
    </row>
    <row r="8799" spans="6:6">
      <c r="F8799" s="2423"/>
    </row>
    <row r="8800" spans="6:6">
      <c r="F8800" s="2423"/>
    </row>
    <row r="8801" spans="6:6">
      <c r="F8801" s="2423"/>
    </row>
    <row r="8802" spans="6:6">
      <c r="F8802" s="2423"/>
    </row>
    <row r="8803" spans="6:6">
      <c r="F8803" s="2423"/>
    </row>
    <row r="8804" spans="6:6">
      <c r="F8804" s="2423"/>
    </row>
    <row r="8805" spans="6:6">
      <c r="F8805" s="2423"/>
    </row>
    <row r="8806" spans="6:6">
      <c r="F8806" s="2423"/>
    </row>
    <row r="8807" spans="6:6">
      <c r="F8807" s="2423"/>
    </row>
    <row r="8808" spans="6:6">
      <c r="F8808" s="2423"/>
    </row>
    <row r="8809" spans="6:6">
      <c r="F8809" s="2423"/>
    </row>
    <row r="8810" spans="6:6">
      <c r="F8810" s="2423"/>
    </row>
    <row r="8811" spans="6:6">
      <c r="F8811" s="2423"/>
    </row>
    <row r="8812" spans="6:6">
      <c r="F8812" s="2423"/>
    </row>
    <row r="8813" spans="6:6">
      <c r="F8813" s="2423"/>
    </row>
    <row r="8814" spans="6:6">
      <c r="F8814" s="2423"/>
    </row>
    <row r="8815" spans="6:6">
      <c r="F8815" s="2423"/>
    </row>
    <row r="8816" spans="6:6">
      <c r="F8816" s="2423"/>
    </row>
    <row r="8817" spans="6:6">
      <c r="F8817" s="2423"/>
    </row>
    <row r="8818" spans="6:6">
      <c r="F8818" s="2423"/>
    </row>
    <row r="8819" spans="6:6">
      <c r="F8819" s="2423"/>
    </row>
    <row r="8820" spans="6:6">
      <c r="F8820" s="2423"/>
    </row>
    <row r="8821" spans="6:6">
      <c r="F8821" s="2423"/>
    </row>
    <row r="8822" spans="6:6">
      <c r="F8822" s="2423"/>
    </row>
    <row r="8823" spans="6:6">
      <c r="F8823" s="2423"/>
    </row>
    <row r="8824" spans="6:6">
      <c r="F8824" s="2423"/>
    </row>
    <row r="8825" spans="6:6">
      <c r="F8825" s="2423"/>
    </row>
    <row r="8826" spans="6:6">
      <c r="F8826" s="2423"/>
    </row>
    <row r="8827" spans="6:6">
      <c r="F8827" s="2423"/>
    </row>
    <row r="8828" spans="6:6">
      <c r="F8828" s="2423"/>
    </row>
    <row r="8829" spans="6:6">
      <c r="F8829" s="2423"/>
    </row>
    <row r="8830" spans="6:6">
      <c r="F8830" s="2423"/>
    </row>
    <row r="8831" spans="6:6">
      <c r="F8831" s="2423"/>
    </row>
    <row r="8832" spans="6:6">
      <c r="F8832" s="2423"/>
    </row>
    <row r="8833" spans="6:6">
      <c r="F8833" s="2423"/>
    </row>
    <row r="8834" spans="6:6">
      <c r="F8834" s="2423"/>
    </row>
    <row r="8835" spans="6:6">
      <c r="F8835" s="2423"/>
    </row>
    <row r="8836" spans="6:6">
      <c r="F8836" s="2423"/>
    </row>
    <row r="8837" spans="6:6">
      <c r="F8837" s="2423"/>
    </row>
    <row r="8838" spans="6:6">
      <c r="F8838" s="2423"/>
    </row>
    <row r="8839" spans="6:6">
      <c r="F8839" s="2423"/>
    </row>
    <row r="8840" spans="6:6">
      <c r="F8840" s="2423"/>
    </row>
    <row r="8841" spans="6:6">
      <c r="F8841" s="2423"/>
    </row>
    <row r="8842" spans="6:6">
      <c r="F8842" s="2423"/>
    </row>
    <row r="8843" spans="6:6">
      <c r="F8843" s="2423"/>
    </row>
    <row r="8844" spans="6:6">
      <c r="F8844" s="2423"/>
    </row>
    <row r="8845" spans="6:6">
      <c r="F8845" s="2423"/>
    </row>
    <row r="8846" spans="6:6">
      <c r="F8846" s="2423"/>
    </row>
    <row r="8847" spans="6:6">
      <c r="F8847" s="2423"/>
    </row>
    <row r="8848" spans="6:6">
      <c r="F8848" s="2423"/>
    </row>
    <row r="8849" spans="6:6">
      <c r="F8849" s="2423"/>
    </row>
    <row r="8850" spans="6:6">
      <c r="F8850" s="2423"/>
    </row>
    <row r="8851" spans="6:6">
      <c r="F8851" s="2423"/>
    </row>
    <row r="8852" spans="6:6">
      <c r="F8852" s="2423"/>
    </row>
    <row r="8853" spans="6:6">
      <c r="F8853" s="2423"/>
    </row>
    <row r="8854" spans="6:6">
      <c r="F8854" s="2423"/>
    </row>
    <row r="8855" spans="6:6">
      <c r="F8855" s="2423"/>
    </row>
    <row r="8856" spans="6:6">
      <c r="F8856" s="2423"/>
    </row>
    <row r="8857" spans="6:6">
      <c r="F8857" s="2423"/>
    </row>
    <row r="8858" spans="6:6">
      <c r="F8858" s="2423"/>
    </row>
    <row r="8859" spans="6:6">
      <c r="F8859" s="2423"/>
    </row>
    <row r="8860" spans="6:6">
      <c r="F8860" s="2423"/>
    </row>
    <row r="8861" spans="6:6">
      <c r="F8861" s="2423"/>
    </row>
    <row r="8862" spans="6:6">
      <c r="F8862" s="2423"/>
    </row>
    <row r="8863" spans="6:6">
      <c r="F8863" s="2423"/>
    </row>
    <row r="8864" spans="6:6">
      <c r="F8864" s="2423"/>
    </row>
    <row r="8865" spans="6:6">
      <c r="F8865" s="2423"/>
    </row>
    <row r="8866" spans="6:6">
      <c r="F8866" s="2423"/>
    </row>
    <row r="8867" spans="6:6">
      <c r="F8867" s="2423"/>
    </row>
    <row r="8868" spans="6:6">
      <c r="F8868" s="2423"/>
    </row>
    <row r="8869" spans="6:6">
      <c r="F8869" s="2423"/>
    </row>
    <row r="8870" spans="6:6">
      <c r="F8870" s="2423"/>
    </row>
    <row r="8871" spans="6:6">
      <c r="F8871" s="2423"/>
    </row>
    <row r="8872" spans="6:6">
      <c r="F8872" s="2423"/>
    </row>
    <row r="8873" spans="6:6">
      <c r="F8873" s="2423"/>
    </row>
    <row r="8874" spans="6:6">
      <c r="F8874" s="2423"/>
    </row>
    <row r="8875" spans="6:6">
      <c r="F8875" s="2423"/>
    </row>
    <row r="8876" spans="6:6">
      <c r="F8876" s="2423"/>
    </row>
    <row r="8877" spans="6:6">
      <c r="F8877" s="2423"/>
    </row>
    <row r="8878" spans="6:6">
      <c r="F8878" s="2423"/>
    </row>
    <row r="8879" spans="6:6">
      <c r="F8879" s="2423"/>
    </row>
    <row r="8880" spans="6:6">
      <c r="F8880" s="2423"/>
    </row>
    <row r="8881" spans="6:6">
      <c r="F8881" s="2423"/>
    </row>
    <row r="8882" spans="6:6">
      <c r="F8882" s="2423"/>
    </row>
    <row r="8883" spans="6:6">
      <c r="F8883" s="2423"/>
    </row>
    <row r="8884" spans="6:6">
      <c r="F8884" s="2423"/>
    </row>
    <row r="8885" spans="6:6">
      <c r="F8885" s="2423"/>
    </row>
    <row r="8886" spans="6:6">
      <c r="F8886" s="2423"/>
    </row>
    <row r="8887" spans="6:6">
      <c r="F8887" s="2423"/>
    </row>
    <row r="8888" spans="6:6">
      <c r="F8888" s="2423"/>
    </row>
    <row r="8889" spans="6:6">
      <c r="F8889" s="2423"/>
    </row>
    <row r="8890" spans="6:6">
      <c r="F8890" s="2423"/>
    </row>
    <row r="8891" spans="6:6">
      <c r="F8891" s="2423"/>
    </row>
    <row r="8892" spans="6:6">
      <c r="F8892" s="2423"/>
    </row>
    <row r="8893" spans="6:6">
      <c r="F8893" s="2423"/>
    </row>
    <row r="8894" spans="6:6">
      <c r="F8894" s="2423"/>
    </row>
    <row r="8895" spans="6:6">
      <c r="F8895" s="2423"/>
    </row>
    <row r="8896" spans="6:6">
      <c r="F8896" s="2423"/>
    </row>
    <row r="8897" spans="6:6">
      <c r="F8897" s="2423"/>
    </row>
    <row r="8898" spans="6:6">
      <c r="F8898" s="2423"/>
    </row>
    <row r="8899" spans="6:6">
      <c r="F8899" s="2423"/>
    </row>
    <row r="8900" spans="6:6">
      <c r="F8900" s="2423"/>
    </row>
    <row r="8901" spans="6:6">
      <c r="F8901" s="2423"/>
    </row>
    <row r="8902" spans="6:6">
      <c r="F8902" s="2423"/>
    </row>
    <row r="8903" spans="6:6">
      <c r="F8903" s="2423"/>
    </row>
    <row r="8904" spans="6:6">
      <c r="F8904" s="2423"/>
    </row>
    <row r="8905" spans="6:6">
      <c r="F8905" s="2423"/>
    </row>
    <row r="8906" spans="6:6">
      <c r="F8906" s="2423"/>
    </row>
    <row r="8907" spans="6:6">
      <c r="F8907" s="2423"/>
    </row>
    <row r="8908" spans="6:6">
      <c r="F8908" s="2423"/>
    </row>
    <row r="8909" spans="6:6">
      <c r="F8909" s="2423"/>
    </row>
    <row r="8910" spans="6:6">
      <c r="F8910" s="2423"/>
    </row>
    <row r="8911" spans="6:6">
      <c r="F8911" s="2423"/>
    </row>
    <row r="8912" spans="6:6">
      <c r="F8912" s="2423"/>
    </row>
    <row r="8913" spans="6:6">
      <c r="F8913" s="2423"/>
    </row>
    <row r="8914" spans="6:6">
      <c r="F8914" s="2423"/>
    </row>
    <row r="8915" spans="6:6">
      <c r="F8915" s="2423"/>
    </row>
    <row r="8916" spans="6:6">
      <c r="F8916" s="2423"/>
    </row>
    <row r="8917" spans="6:6">
      <c r="F8917" s="2423"/>
    </row>
    <row r="8918" spans="6:6">
      <c r="F8918" s="2423"/>
    </row>
    <row r="8919" spans="6:6">
      <c r="F8919" s="2423"/>
    </row>
    <row r="8920" spans="6:6">
      <c r="F8920" s="2423"/>
    </row>
    <row r="8921" spans="6:6">
      <c r="F8921" s="2423"/>
    </row>
    <row r="8922" spans="6:6">
      <c r="F8922" s="2423"/>
    </row>
    <row r="8923" spans="6:6">
      <c r="F8923" s="2423"/>
    </row>
    <row r="8924" spans="6:6">
      <c r="F8924" s="2423"/>
    </row>
    <row r="8925" spans="6:6">
      <c r="F8925" s="2423"/>
    </row>
    <row r="8926" spans="6:6">
      <c r="F8926" s="2423"/>
    </row>
    <row r="8927" spans="6:6">
      <c r="F8927" s="2423"/>
    </row>
    <row r="8928" spans="6:6">
      <c r="F8928" s="2423"/>
    </row>
    <row r="8929" spans="6:6">
      <c r="F8929" s="2423"/>
    </row>
    <row r="8930" spans="6:6">
      <c r="F8930" s="2423"/>
    </row>
    <row r="8931" spans="6:6">
      <c r="F8931" s="2423"/>
    </row>
    <row r="8932" spans="6:6">
      <c r="F8932" s="2423"/>
    </row>
    <row r="8933" spans="6:6">
      <c r="F8933" s="2423"/>
    </row>
    <row r="8934" spans="6:6">
      <c r="F8934" s="2423"/>
    </row>
    <row r="8935" spans="6:6">
      <c r="F8935" s="2423"/>
    </row>
    <row r="8936" spans="6:6">
      <c r="F8936" s="2423"/>
    </row>
    <row r="8937" spans="6:6">
      <c r="F8937" s="2423"/>
    </row>
    <row r="8938" spans="6:6">
      <c r="F8938" s="2423"/>
    </row>
    <row r="8939" spans="6:6">
      <c r="F8939" s="2423"/>
    </row>
    <row r="8940" spans="6:6">
      <c r="F8940" s="2423"/>
    </row>
    <row r="8941" spans="6:6">
      <c r="F8941" s="2423"/>
    </row>
    <row r="8942" spans="6:6">
      <c r="F8942" s="2423"/>
    </row>
    <row r="8943" spans="6:6">
      <c r="F8943" s="2423"/>
    </row>
    <row r="8944" spans="6:6">
      <c r="F8944" s="2423"/>
    </row>
    <row r="8945" spans="6:6">
      <c r="F8945" s="2423"/>
    </row>
    <row r="8946" spans="6:6">
      <c r="F8946" s="2423"/>
    </row>
    <row r="8947" spans="6:6">
      <c r="F8947" s="2423"/>
    </row>
    <row r="8948" spans="6:6">
      <c r="F8948" s="2423"/>
    </row>
    <row r="8949" spans="6:6">
      <c r="F8949" s="2423"/>
    </row>
    <row r="8950" spans="6:6">
      <c r="F8950" s="2423"/>
    </row>
    <row r="8951" spans="6:6">
      <c r="F8951" s="2423"/>
    </row>
    <row r="8952" spans="6:6">
      <c r="F8952" s="2423"/>
    </row>
    <row r="8953" spans="6:6">
      <c r="F8953" s="2423"/>
    </row>
    <row r="8954" spans="6:6">
      <c r="F8954" s="2423"/>
    </row>
    <row r="8955" spans="6:6">
      <c r="F8955" s="2423"/>
    </row>
    <row r="8956" spans="6:6">
      <c r="F8956" s="2423"/>
    </row>
    <row r="8957" spans="6:6">
      <c r="F8957" s="2423"/>
    </row>
    <row r="8958" spans="6:6">
      <c r="F8958" s="2423"/>
    </row>
    <row r="8959" spans="6:6">
      <c r="F8959" s="2423"/>
    </row>
    <row r="8960" spans="6:6">
      <c r="F8960" s="2423"/>
    </row>
    <row r="8961" spans="6:6">
      <c r="F8961" s="2423"/>
    </row>
    <row r="8962" spans="6:6">
      <c r="F8962" s="2423"/>
    </row>
    <row r="8963" spans="6:6">
      <c r="F8963" s="2423"/>
    </row>
    <row r="8964" spans="6:6">
      <c r="F8964" s="2423"/>
    </row>
    <row r="8965" spans="6:6">
      <c r="F8965" s="2423"/>
    </row>
    <row r="8966" spans="6:6">
      <c r="F8966" s="2423"/>
    </row>
    <row r="8967" spans="6:6">
      <c r="F8967" s="2423"/>
    </row>
    <row r="8968" spans="6:6">
      <c r="F8968" s="2423"/>
    </row>
    <row r="8969" spans="6:6">
      <c r="F8969" s="2423"/>
    </row>
    <row r="8970" spans="6:6">
      <c r="F8970" s="2423"/>
    </row>
    <row r="8971" spans="6:6">
      <c r="F8971" s="2423"/>
    </row>
    <row r="8972" spans="6:6">
      <c r="F8972" s="2423"/>
    </row>
    <row r="8973" spans="6:6">
      <c r="F8973" s="2423"/>
    </row>
    <row r="8974" spans="6:6">
      <c r="F8974" s="2423"/>
    </row>
    <row r="8975" spans="6:6">
      <c r="F8975" s="2423"/>
    </row>
    <row r="8976" spans="6:6">
      <c r="F8976" s="2423"/>
    </row>
    <row r="8977" spans="6:6">
      <c r="F8977" s="2423"/>
    </row>
    <row r="8978" spans="6:6">
      <c r="F8978" s="2423"/>
    </row>
    <row r="8979" spans="6:6">
      <c r="F8979" s="2423"/>
    </row>
    <row r="8980" spans="6:6">
      <c r="F8980" s="2423"/>
    </row>
    <row r="8981" spans="6:6">
      <c r="F8981" s="2423"/>
    </row>
    <row r="8982" spans="6:6">
      <c r="F8982" s="2423"/>
    </row>
    <row r="8983" spans="6:6">
      <c r="F8983" s="2423"/>
    </row>
    <row r="8984" spans="6:6">
      <c r="F8984" s="2423"/>
    </row>
    <row r="8985" spans="6:6">
      <c r="F8985" s="2423"/>
    </row>
    <row r="8986" spans="6:6">
      <c r="F8986" s="2423"/>
    </row>
    <row r="8987" spans="6:6">
      <c r="F8987" s="2423"/>
    </row>
    <row r="8988" spans="6:6">
      <c r="F8988" s="2423"/>
    </row>
    <row r="8989" spans="6:6">
      <c r="F8989" s="2423"/>
    </row>
    <row r="8990" spans="6:6">
      <c r="F8990" s="2423"/>
    </row>
    <row r="8991" spans="6:6">
      <c r="F8991" s="2423"/>
    </row>
    <row r="8992" spans="6:6">
      <c r="F8992" s="2423"/>
    </row>
    <row r="8993" spans="6:6">
      <c r="F8993" s="2423"/>
    </row>
    <row r="8994" spans="6:6">
      <c r="F8994" s="2423"/>
    </row>
    <row r="8995" spans="6:6">
      <c r="F8995" s="2423"/>
    </row>
    <row r="8996" spans="6:6">
      <c r="F8996" s="2423"/>
    </row>
    <row r="8997" spans="6:6">
      <c r="F8997" s="2423"/>
    </row>
    <row r="8998" spans="6:6">
      <c r="F8998" s="2423"/>
    </row>
    <row r="8999" spans="6:6">
      <c r="F8999" s="2423"/>
    </row>
    <row r="9000" spans="6:6">
      <c r="F9000" s="2423"/>
    </row>
    <row r="9001" spans="6:6">
      <c r="F9001" s="2423"/>
    </row>
    <row r="9002" spans="6:6">
      <c r="F9002" s="2423"/>
    </row>
    <row r="9003" spans="6:6">
      <c r="F9003" s="2423"/>
    </row>
    <row r="9004" spans="6:6">
      <c r="F9004" s="2423"/>
    </row>
    <row r="9005" spans="6:6">
      <c r="F9005" s="2423"/>
    </row>
    <row r="9006" spans="6:6">
      <c r="F9006" s="2423"/>
    </row>
    <row r="9007" spans="6:6">
      <c r="F9007" s="2423"/>
    </row>
    <row r="9008" spans="6:6">
      <c r="F9008" s="2423"/>
    </row>
    <row r="9009" spans="6:6">
      <c r="F9009" s="2423"/>
    </row>
    <row r="9010" spans="6:6">
      <c r="F9010" s="2423"/>
    </row>
    <row r="9011" spans="6:6">
      <c r="F9011" s="2423"/>
    </row>
    <row r="9012" spans="6:6">
      <c r="F9012" s="2423"/>
    </row>
    <row r="9013" spans="6:6">
      <c r="F9013" s="2423"/>
    </row>
    <row r="9014" spans="6:6">
      <c r="F9014" s="2423"/>
    </row>
    <row r="9015" spans="6:6">
      <c r="F9015" s="2423"/>
    </row>
    <row r="9016" spans="6:6">
      <c r="F9016" s="2423"/>
    </row>
    <row r="9017" spans="6:6">
      <c r="F9017" s="2423"/>
    </row>
    <row r="9018" spans="6:6">
      <c r="F9018" s="2423"/>
    </row>
    <row r="9019" spans="6:6">
      <c r="F9019" s="2423"/>
    </row>
    <row r="9020" spans="6:6">
      <c r="F9020" s="2423"/>
    </row>
    <row r="9021" spans="6:6">
      <c r="F9021" s="2423"/>
    </row>
    <row r="9022" spans="6:6">
      <c r="F9022" s="2423"/>
    </row>
    <row r="9023" spans="6:6">
      <c r="F9023" s="2423"/>
    </row>
    <row r="9024" spans="6:6">
      <c r="F9024" s="2423"/>
    </row>
    <row r="9025" spans="6:6">
      <c r="F9025" s="2423"/>
    </row>
    <row r="9026" spans="6:6">
      <c r="F9026" s="2423"/>
    </row>
    <row r="9027" spans="6:6">
      <c r="F9027" s="2423"/>
    </row>
    <row r="9028" spans="6:6">
      <c r="F9028" s="2423"/>
    </row>
    <row r="9029" spans="6:6">
      <c r="F9029" s="2423"/>
    </row>
    <row r="9030" spans="6:6">
      <c r="F9030" s="2423"/>
    </row>
    <row r="9031" spans="6:6">
      <c r="F9031" s="2423"/>
    </row>
    <row r="9032" spans="6:6">
      <c r="F9032" s="2423"/>
    </row>
    <row r="9033" spans="6:6">
      <c r="F9033" s="2423"/>
    </row>
    <row r="9034" spans="6:6">
      <c r="F9034" s="2423"/>
    </row>
    <row r="9035" spans="6:6">
      <c r="F9035" s="2423"/>
    </row>
    <row r="9036" spans="6:6">
      <c r="F9036" s="2423"/>
    </row>
    <row r="9037" spans="6:6">
      <c r="F9037" s="2423"/>
    </row>
    <row r="9038" spans="6:6">
      <c r="F9038" s="2423"/>
    </row>
    <row r="9039" spans="6:6">
      <c r="F9039" s="2423"/>
    </row>
    <row r="9040" spans="6:6">
      <c r="F9040" s="2423"/>
    </row>
    <row r="9041" spans="6:6">
      <c r="F9041" s="2423"/>
    </row>
    <row r="9042" spans="6:6">
      <c r="F9042" s="2423"/>
    </row>
    <row r="9043" spans="6:6">
      <c r="F9043" s="2423"/>
    </row>
    <row r="9044" spans="6:6">
      <c r="F9044" s="2423"/>
    </row>
    <row r="9045" spans="6:6">
      <c r="F9045" s="2423"/>
    </row>
    <row r="9046" spans="6:6">
      <c r="F9046" s="2423"/>
    </row>
    <row r="9047" spans="6:6">
      <c r="F9047" s="2423"/>
    </row>
    <row r="9048" spans="6:6">
      <c r="F9048" s="2423"/>
    </row>
    <row r="9049" spans="6:6">
      <c r="F9049" s="2423"/>
    </row>
    <row r="9050" spans="6:6">
      <c r="F9050" s="2423"/>
    </row>
    <row r="9051" spans="6:6">
      <c r="F9051" s="2423"/>
    </row>
    <row r="9052" spans="6:6">
      <c r="F9052" s="2423"/>
    </row>
    <row r="9053" spans="6:6">
      <c r="F9053" s="2423"/>
    </row>
    <row r="9054" spans="6:6">
      <c r="F9054" s="2423"/>
    </row>
    <row r="9055" spans="6:6">
      <c r="F9055" s="2423"/>
    </row>
    <row r="9056" spans="6:6">
      <c r="F9056" s="2423"/>
    </row>
    <row r="9057" spans="6:6">
      <c r="F9057" s="2423"/>
    </row>
    <row r="9058" spans="6:6">
      <c r="F9058" s="2423"/>
    </row>
    <row r="9059" spans="6:6">
      <c r="F9059" s="2423"/>
    </row>
    <row r="9060" spans="6:6">
      <c r="F9060" s="2423"/>
    </row>
    <row r="9061" spans="6:6">
      <c r="F9061" s="2423"/>
    </row>
    <row r="9062" spans="6:6">
      <c r="F9062" s="2423"/>
    </row>
    <row r="9063" spans="6:6">
      <c r="F9063" s="2423"/>
    </row>
    <row r="9064" spans="6:6">
      <c r="F9064" s="2423"/>
    </row>
    <row r="9065" spans="6:6">
      <c r="F9065" s="2423"/>
    </row>
    <row r="9066" spans="6:6">
      <c r="F9066" s="2423"/>
    </row>
    <row r="9067" spans="6:6">
      <c r="F9067" s="2423"/>
    </row>
    <row r="9068" spans="6:6">
      <c r="F9068" s="2423"/>
    </row>
    <row r="9069" spans="6:6">
      <c r="F9069" s="2423"/>
    </row>
    <row r="9070" spans="6:6">
      <c r="F9070" s="2423"/>
    </row>
    <row r="9071" spans="6:6">
      <c r="F9071" s="2423"/>
    </row>
    <row r="9072" spans="6:6">
      <c r="F9072" s="2423"/>
    </row>
    <row r="9073" spans="6:6">
      <c r="F9073" s="2423"/>
    </row>
    <row r="9074" spans="6:6">
      <c r="F9074" s="2423"/>
    </row>
    <row r="9075" spans="6:6">
      <c r="F9075" s="2423"/>
    </row>
    <row r="9076" spans="6:6">
      <c r="F9076" s="2423"/>
    </row>
    <row r="9077" spans="6:6">
      <c r="F9077" s="2423"/>
    </row>
    <row r="9078" spans="6:6">
      <c r="F9078" s="2423"/>
    </row>
    <row r="9079" spans="6:6">
      <c r="F9079" s="2423"/>
    </row>
    <row r="9080" spans="6:6">
      <c r="F9080" s="2423"/>
    </row>
    <row r="9081" spans="6:6">
      <c r="F9081" s="2423"/>
    </row>
    <row r="9082" spans="6:6">
      <c r="F9082" s="2423"/>
    </row>
    <row r="9083" spans="6:6">
      <c r="F9083" s="2423"/>
    </row>
    <row r="9084" spans="6:6">
      <c r="F9084" s="2423"/>
    </row>
    <row r="9085" spans="6:6">
      <c r="F9085" s="2423"/>
    </row>
    <row r="9086" spans="6:6">
      <c r="F9086" s="2423"/>
    </row>
    <row r="9087" spans="6:6">
      <c r="F9087" s="2423"/>
    </row>
    <row r="9088" spans="6:6">
      <c r="F9088" s="2423"/>
    </row>
    <row r="9089" spans="6:6">
      <c r="F9089" s="2423"/>
    </row>
    <row r="9090" spans="6:6">
      <c r="F9090" s="2423"/>
    </row>
    <row r="9091" spans="6:6">
      <c r="F9091" s="2423"/>
    </row>
    <row r="9092" spans="6:6">
      <c r="F9092" s="2423"/>
    </row>
    <row r="9093" spans="6:6">
      <c r="F9093" s="2423"/>
    </row>
    <row r="9094" spans="6:6">
      <c r="F9094" s="2423"/>
    </row>
    <row r="9095" spans="6:6">
      <c r="F9095" s="2423"/>
    </row>
    <row r="9096" spans="6:6">
      <c r="F9096" s="2423"/>
    </row>
    <row r="9097" spans="6:6">
      <c r="F9097" s="2423"/>
    </row>
    <row r="9098" spans="6:6">
      <c r="F9098" s="2423"/>
    </row>
    <row r="9099" spans="6:6">
      <c r="F9099" s="2423"/>
    </row>
    <row r="9100" spans="6:6">
      <c r="F9100" s="2423"/>
    </row>
    <row r="9101" spans="6:6">
      <c r="F9101" s="2423"/>
    </row>
    <row r="9102" spans="6:6">
      <c r="F9102" s="2423"/>
    </row>
    <row r="9103" spans="6:6">
      <c r="F9103" s="2423"/>
    </row>
    <row r="9104" spans="6:6">
      <c r="F9104" s="2423"/>
    </row>
    <row r="9105" spans="6:6">
      <c r="F9105" s="2423"/>
    </row>
    <row r="9106" spans="6:6">
      <c r="F9106" s="2423"/>
    </row>
    <row r="9107" spans="6:6">
      <c r="F9107" s="2423"/>
    </row>
    <row r="9108" spans="6:6">
      <c r="F9108" s="2423"/>
    </row>
    <row r="9109" spans="6:6">
      <c r="F9109" s="2423"/>
    </row>
    <row r="9110" spans="6:6">
      <c r="F9110" s="2423"/>
    </row>
    <row r="9111" spans="6:6">
      <c r="F9111" s="2423"/>
    </row>
    <row r="9112" spans="6:6">
      <c r="F9112" s="2423"/>
    </row>
    <row r="9113" spans="6:6">
      <c r="F9113" s="2423"/>
    </row>
    <row r="9114" spans="6:6">
      <c r="F9114" s="2423"/>
    </row>
    <row r="9115" spans="6:6">
      <c r="F9115" s="2423"/>
    </row>
    <row r="9116" spans="6:6">
      <c r="F9116" s="2423"/>
    </row>
    <row r="9117" spans="6:6">
      <c r="F9117" s="2423"/>
    </row>
    <row r="9118" spans="6:6">
      <c r="F9118" s="2423"/>
    </row>
    <row r="9119" spans="6:6">
      <c r="F9119" s="2423"/>
    </row>
    <row r="9120" spans="6:6">
      <c r="F9120" s="2423"/>
    </row>
    <row r="9121" spans="6:6">
      <c r="F9121" s="2423"/>
    </row>
    <row r="9122" spans="6:6">
      <c r="F9122" s="2423"/>
    </row>
    <row r="9123" spans="6:6">
      <c r="F9123" s="2423"/>
    </row>
    <row r="9124" spans="6:6">
      <c r="F9124" s="2423"/>
    </row>
    <row r="9125" spans="6:6">
      <c r="F9125" s="2423"/>
    </row>
    <row r="9126" spans="6:6">
      <c r="F9126" s="2423"/>
    </row>
    <row r="9127" spans="6:6">
      <c r="F9127" s="2423"/>
    </row>
    <row r="9128" spans="6:6">
      <c r="F9128" s="2423"/>
    </row>
    <row r="9129" spans="6:6">
      <c r="F9129" s="2423"/>
    </row>
    <row r="9130" spans="6:6">
      <c r="F9130" s="2423"/>
    </row>
    <row r="9131" spans="6:6">
      <c r="F9131" s="2423"/>
    </row>
    <row r="9132" spans="6:6">
      <c r="F9132" s="2423"/>
    </row>
    <row r="9133" spans="6:6">
      <c r="F9133" s="2423"/>
    </row>
    <row r="9134" spans="6:6">
      <c r="F9134" s="2423"/>
    </row>
    <row r="9135" spans="6:6">
      <c r="F9135" s="2423"/>
    </row>
    <row r="9136" spans="6:6">
      <c r="F9136" s="2423"/>
    </row>
    <row r="9137" spans="6:6">
      <c r="F9137" s="2423"/>
    </row>
    <row r="9138" spans="6:6">
      <c r="F9138" s="2423"/>
    </row>
    <row r="9139" spans="6:6">
      <c r="F9139" s="2423"/>
    </row>
    <row r="9140" spans="6:6">
      <c r="F9140" s="2423"/>
    </row>
    <row r="9141" spans="6:6">
      <c r="F9141" s="2423"/>
    </row>
    <row r="9142" spans="6:6">
      <c r="F9142" s="2423"/>
    </row>
    <row r="9143" spans="6:6">
      <c r="F9143" s="2423"/>
    </row>
    <row r="9144" spans="6:6">
      <c r="F9144" s="2423"/>
    </row>
    <row r="9145" spans="6:6">
      <c r="F9145" s="2423"/>
    </row>
    <row r="9146" spans="6:6">
      <c r="F9146" s="2423"/>
    </row>
    <row r="9147" spans="6:6">
      <c r="F9147" s="2423"/>
    </row>
    <row r="9148" spans="6:6">
      <c r="F9148" s="2423"/>
    </row>
    <row r="9149" spans="6:6">
      <c r="F9149" s="2423"/>
    </row>
    <row r="9150" spans="6:6">
      <c r="F9150" s="2423"/>
    </row>
    <row r="9151" spans="6:6">
      <c r="F9151" s="2423"/>
    </row>
    <row r="9152" spans="6:6">
      <c r="F9152" s="2423"/>
    </row>
    <row r="9153" spans="6:6">
      <c r="F9153" s="2423"/>
    </row>
    <row r="9154" spans="6:6">
      <c r="F9154" s="2423"/>
    </row>
    <row r="9155" spans="6:6">
      <c r="F9155" s="2423"/>
    </row>
    <row r="9156" spans="6:6">
      <c r="F9156" s="2423"/>
    </row>
    <row r="9157" spans="6:6">
      <c r="F9157" s="2423"/>
    </row>
    <row r="9158" spans="6:6">
      <c r="F9158" s="2423"/>
    </row>
    <row r="9159" spans="6:6">
      <c r="F9159" s="2423"/>
    </row>
    <row r="9160" spans="6:6">
      <c r="F9160" s="2423"/>
    </row>
    <row r="9161" spans="6:6">
      <c r="F9161" s="2423"/>
    </row>
    <row r="9162" spans="6:6">
      <c r="F9162" s="2423"/>
    </row>
    <row r="9163" spans="6:6">
      <c r="F9163" s="2423"/>
    </row>
    <row r="9164" spans="6:6">
      <c r="F9164" s="2423"/>
    </row>
    <row r="9165" spans="6:6">
      <c r="F9165" s="2423"/>
    </row>
    <row r="9166" spans="6:6">
      <c r="F9166" s="2423"/>
    </row>
    <row r="9167" spans="6:6">
      <c r="F9167" s="2423"/>
    </row>
    <row r="9168" spans="6:6">
      <c r="F9168" s="2423"/>
    </row>
    <row r="9169" spans="6:6">
      <c r="F9169" s="2423"/>
    </row>
    <row r="9170" spans="6:6">
      <c r="F9170" s="2423"/>
    </row>
    <row r="9171" spans="6:6">
      <c r="F9171" s="2423"/>
    </row>
    <row r="9172" spans="6:6">
      <c r="F9172" s="2423"/>
    </row>
    <row r="9173" spans="6:6">
      <c r="F9173" s="2423"/>
    </row>
    <row r="9174" spans="6:6">
      <c r="F9174" s="2423"/>
    </row>
    <row r="9175" spans="6:6">
      <c r="F9175" s="2423"/>
    </row>
    <row r="9176" spans="6:6">
      <c r="F9176" s="2423"/>
    </row>
    <row r="9177" spans="6:6">
      <c r="F9177" s="2423"/>
    </row>
    <row r="9178" spans="6:6">
      <c r="F9178" s="2423"/>
    </row>
    <row r="9179" spans="6:6">
      <c r="F9179" s="2423"/>
    </row>
    <row r="9180" spans="6:6">
      <c r="F9180" s="2423"/>
    </row>
    <row r="9181" spans="6:6">
      <c r="F9181" s="2423"/>
    </row>
    <row r="9182" spans="6:6">
      <c r="F9182" s="2423"/>
    </row>
    <row r="9183" spans="6:6">
      <c r="F9183" s="2423"/>
    </row>
    <row r="9184" spans="6:6">
      <c r="F9184" s="2423"/>
    </row>
    <row r="9185" spans="6:6">
      <c r="F9185" s="2423"/>
    </row>
    <row r="9186" spans="6:6">
      <c r="F9186" s="2423"/>
    </row>
    <row r="9187" spans="6:6">
      <c r="F9187" s="2423"/>
    </row>
    <row r="9188" spans="6:6">
      <c r="F9188" s="2423"/>
    </row>
    <row r="9189" spans="6:6">
      <c r="F9189" s="2423"/>
    </row>
    <row r="9190" spans="6:6">
      <c r="F9190" s="2423"/>
    </row>
    <row r="9191" spans="6:6">
      <c r="F9191" s="2423"/>
    </row>
    <row r="9192" spans="6:6">
      <c r="F9192" s="2423"/>
    </row>
    <row r="9193" spans="6:6">
      <c r="F9193" s="2423"/>
    </row>
    <row r="9194" spans="6:6">
      <c r="F9194" s="2423"/>
    </row>
    <row r="9195" spans="6:6">
      <c r="F9195" s="2423"/>
    </row>
    <row r="9196" spans="6:6">
      <c r="F9196" s="2423"/>
    </row>
    <row r="9197" spans="6:6">
      <c r="F9197" s="2423"/>
    </row>
    <row r="9198" spans="6:6">
      <c r="F9198" s="2423"/>
    </row>
    <row r="9199" spans="6:6">
      <c r="F9199" s="2423"/>
    </row>
    <row r="9200" spans="6:6">
      <c r="F9200" s="2423"/>
    </row>
    <row r="9201" spans="6:6">
      <c r="F9201" s="2423"/>
    </row>
    <row r="9202" spans="6:6">
      <c r="F9202" s="2423"/>
    </row>
    <row r="9203" spans="6:6">
      <c r="F9203" s="2423"/>
    </row>
    <row r="9204" spans="6:6">
      <c r="F9204" s="2423"/>
    </row>
    <row r="9205" spans="6:6">
      <c r="F9205" s="2423"/>
    </row>
    <row r="9206" spans="6:6">
      <c r="F9206" s="2423"/>
    </row>
    <row r="9207" spans="6:6">
      <c r="F9207" s="2423"/>
    </row>
    <row r="9208" spans="6:6">
      <c r="F9208" s="2423"/>
    </row>
    <row r="9209" spans="6:6">
      <c r="F9209" s="2423"/>
    </row>
    <row r="9210" spans="6:6">
      <c r="F9210" s="2423"/>
    </row>
    <row r="9211" spans="6:6">
      <c r="F9211" s="2423"/>
    </row>
    <row r="9212" spans="6:6">
      <c r="F9212" s="2423"/>
    </row>
    <row r="9213" spans="6:6">
      <c r="F9213" s="2423"/>
    </row>
    <row r="9214" spans="6:6">
      <c r="F9214" s="2423"/>
    </row>
    <row r="9215" spans="6:6">
      <c r="F9215" s="2423"/>
    </row>
    <row r="9216" spans="6:6">
      <c r="F9216" s="2423"/>
    </row>
    <row r="9217" spans="6:6">
      <c r="F9217" s="2423"/>
    </row>
    <row r="9218" spans="6:6">
      <c r="F9218" s="2423"/>
    </row>
    <row r="9219" spans="6:6">
      <c r="F9219" s="2423"/>
    </row>
    <row r="9220" spans="6:6">
      <c r="F9220" s="2423"/>
    </row>
    <row r="9221" spans="6:6">
      <c r="F9221" s="2423"/>
    </row>
    <row r="9222" spans="6:6">
      <c r="F9222" s="2423"/>
    </row>
    <row r="9223" spans="6:6">
      <c r="F9223" s="2423"/>
    </row>
    <row r="9224" spans="6:6">
      <c r="F9224" s="2423"/>
    </row>
    <row r="9225" spans="6:6">
      <c r="F9225" s="2423"/>
    </row>
    <row r="9226" spans="6:6">
      <c r="F9226" s="2423"/>
    </row>
    <row r="9227" spans="6:6">
      <c r="F9227" s="2423"/>
    </row>
    <row r="9228" spans="6:6">
      <c r="F9228" s="2423"/>
    </row>
    <row r="9229" spans="6:6">
      <c r="F9229" s="2423"/>
    </row>
    <row r="9230" spans="6:6">
      <c r="F9230" s="2423"/>
    </row>
    <row r="9231" spans="6:6">
      <c r="F9231" s="2423"/>
    </row>
    <row r="9232" spans="6:6">
      <c r="F9232" s="2423"/>
    </row>
    <row r="9233" spans="6:6">
      <c r="F9233" s="2423"/>
    </row>
    <row r="9234" spans="6:6">
      <c r="F9234" s="2423"/>
    </row>
    <row r="9235" spans="6:6">
      <c r="F9235" s="2423"/>
    </row>
    <row r="9236" spans="6:6">
      <c r="F9236" s="2423"/>
    </row>
    <row r="9237" spans="6:6">
      <c r="F9237" s="2423"/>
    </row>
    <row r="9238" spans="6:6">
      <c r="F9238" s="2423"/>
    </row>
    <row r="9239" spans="6:6">
      <c r="F9239" s="2423"/>
    </row>
    <row r="9240" spans="6:6">
      <c r="F9240" s="2423"/>
    </row>
    <row r="9241" spans="6:6">
      <c r="F9241" s="2423"/>
    </row>
    <row r="9242" spans="6:6">
      <c r="F9242" s="2423"/>
    </row>
    <row r="9243" spans="6:6">
      <c r="F9243" s="2423"/>
    </row>
    <row r="9244" spans="6:6">
      <c r="F9244" s="2423"/>
    </row>
    <row r="9245" spans="6:6">
      <c r="F9245" s="2423"/>
    </row>
    <row r="9246" spans="6:6">
      <c r="F9246" s="2423"/>
    </row>
    <row r="9247" spans="6:6">
      <c r="F9247" s="2423"/>
    </row>
    <row r="9248" spans="6:6">
      <c r="F9248" s="2423"/>
    </row>
    <row r="9249" spans="6:6">
      <c r="F9249" s="2423"/>
    </row>
    <row r="9250" spans="6:6">
      <c r="F9250" s="2423"/>
    </row>
    <row r="9251" spans="6:6">
      <c r="F9251" s="2423"/>
    </row>
    <row r="9252" spans="6:6">
      <c r="F9252" s="2423"/>
    </row>
    <row r="9253" spans="6:6">
      <c r="F9253" s="2423"/>
    </row>
    <row r="9254" spans="6:6">
      <c r="F9254" s="2423"/>
    </row>
    <row r="9255" spans="6:6">
      <c r="F9255" s="2423"/>
    </row>
    <row r="9256" spans="6:6">
      <c r="F9256" s="2423"/>
    </row>
    <row r="9257" spans="6:6">
      <c r="F9257" s="2423"/>
    </row>
    <row r="9258" spans="6:6">
      <c r="F9258" s="2423"/>
    </row>
    <row r="9259" spans="6:6">
      <c r="F9259" s="2423"/>
    </row>
    <row r="9260" spans="6:6">
      <c r="F9260" s="2423"/>
    </row>
    <row r="9261" spans="6:6">
      <c r="F9261" s="2423"/>
    </row>
    <row r="9262" spans="6:6">
      <c r="F9262" s="2423"/>
    </row>
    <row r="9263" spans="6:6">
      <c r="F9263" s="2423"/>
    </row>
    <row r="9264" spans="6:6">
      <c r="F9264" s="2423"/>
    </row>
    <row r="9265" spans="6:6">
      <c r="F9265" s="2423"/>
    </row>
    <row r="9266" spans="6:6">
      <c r="F9266" s="2423"/>
    </row>
    <row r="9267" spans="6:6">
      <c r="F9267" s="2423"/>
    </row>
    <row r="9268" spans="6:6">
      <c r="F9268" s="2423"/>
    </row>
    <row r="9269" spans="6:6">
      <c r="F9269" s="2423"/>
    </row>
    <row r="9270" spans="6:6">
      <c r="F9270" s="2423"/>
    </row>
    <row r="9271" spans="6:6">
      <c r="F9271" s="2423"/>
    </row>
    <row r="9272" spans="6:6">
      <c r="F9272" s="2423"/>
    </row>
    <row r="9273" spans="6:6">
      <c r="F9273" s="2423"/>
    </row>
    <row r="9274" spans="6:6">
      <c r="F9274" s="2423"/>
    </row>
    <row r="9275" spans="6:6">
      <c r="F9275" s="2423"/>
    </row>
    <row r="9276" spans="6:6">
      <c r="F9276" s="2423"/>
    </row>
    <row r="9277" spans="6:6">
      <c r="F9277" s="2423"/>
    </row>
    <row r="9278" spans="6:6">
      <c r="F9278" s="2423"/>
    </row>
    <row r="9279" spans="6:6">
      <c r="F9279" s="2423"/>
    </row>
    <row r="9280" spans="6:6">
      <c r="F9280" s="2423"/>
    </row>
    <row r="9281" spans="6:6">
      <c r="F9281" s="2423"/>
    </row>
    <row r="9282" spans="6:6">
      <c r="F9282" s="2423"/>
    </row>
    <row r="9283" spans="6:6">
      <c r="F9283" s="2423"/>
    </row>
    <row r="9284" spans="6:6">
      <c r="F9284" s="2423"/>
    </row>
    <row r="9285" spans="6:6">
      <c r="F9285" s="2423"/>
    </row>
    <row r="9286" spans="6:6">
      <c r="F9286" s="2423"/>
    </row>
    <row r="9287" spans="6:6">
      <c r="F9287" s="2423"/>
    </row>
    <row r="9288" spans="6:6">
      <c r="F9288" s="2423"/>
    </row>
    <row r="9289" spans="6:6">
      <c r="F9289" s="2423"/>
    </row>
    <row r="9290" spans="6:6">
      <c r="F9290" s="2423"/>
    </row>
    <row r="9291" spans="6:6">
      <c r="F9291" s="2423"/>
    </row>
    <row r="9292" spans="6:6">
      <c r="F9292" s="2423"/>
    </row>
    <row r="9293" spans="6:6">
      <c r="F9293" s="2423"/>
    </row>
    <row r="9294" spans="6:6">
      <c r="F9294" s="2423"/>
    </row>
    <row r="9295" spans="6:6">
      <c r="F9295" s="2423"/>
    </row>
    <row r="9296" spans="6:6">
      <c r="F9296" s="2423"/>
    </row>
    <row r="9297" spans="6:6">
      <c r="F9297" s="2423"/>
    </row>
    <row r="9298" spans="6:6">
      <c r="F9298" s="2423"/>
    </row>
    <row r="9299" spans="6:6">
      <c r="F9299" s="2423"/>
    </row>
    <row r="9300" spans="6:6">
      <c r="F9300" s="2423"/>
    </row>
    <row r="9301" spans="6:6">
      <c r="F9301" s="2423"/>
    </row>
    <row r="9302" spans="6:6">
      <c r="F9302" s="2423"/>
    </row>
    <row r="9303" spans="6:6">
      <c r="F9303" s="2423"/>
    </row>
    <row r="9304" spans="6:6">
      <c r="F9304" s="2423"/>
    </row>
    <row r="9305" spans="6:6">
      <c r="F9305" s="2423"/>
    </row>
    <row r="9306" spans="6:6">
      <c r="F9306" s="2423"/>
    </row>
    <row r="9307" spans="6:6">
      <c r="F9307" s="2423"/>
    </row>
    <row r="9308" spans="6:6">
      <c r="F9308" s="2423"/>
    </row>
    <row r="9309" spans="6:6">
      <c r="F9309" s="2423"/>
    </row>
    <row r="9310" spans="6:6">
      <c r="F9310" s="2423"/>
    </row>
    <row r="9311" spans="6:6">
      <c r="F9311" s="2423"/>
    </row>
    <row r="9312" spans="6:6">
      <c r="F9312" s="2423"/>
    </row>
    <row r="9313" spans="6:6">
      <c r="F9313" s="2423"/>
    </row>
    <row r="9314" spans="6:6">
      <c r="F9314" s="2423"/>
    </row>
    <row r="9315" spans="6:6">
      <c r="F9315" s="2423"/>
    </row>
    <row r="9316" spans="6:6">
      <c r="F9316" s="2423"/>
    </row>
    <row r="9317" spans="6:6">
      <c r="F9317" s="2423"/>
    </row>
    <row r="9318" spans="6:6">
      <c r="F9318" s="2423"/>
    </row>
    <row r="9319" spans="6:6">
      <c r="F9319" s="2423"/>
    </row>
    <row r="9320" spans="6:6">
      <c r="F9320" s="2423"/>
    </row>
    <row r="9321" spans="6:6">
      <c r="F9321" s="2423"/>
    </row>
    <row r="9322" spans="6:6">
      <c r="F9322" s="2423"/>
    </row>
    <row r="9323" spans="6:6">
      <c r="F9323" s="2423"/>
    </row>
    <row r="9324" spans="6:6">
      <c r="F9324" s="2423"/>
    </row>
    <row r="9325" spans="6:6">
      <c r="F9325" s="2423"/>
    </row>
    <row r="9326" spans="6:6">
      <c r="F9326" s="2423"/>
    </row>
    <row r="9327" spans="6:6">
      <c r="F9327" s="2423"/>
    </row>
    <row r="9328" spans="6:6">
      <c r="F9328" s="2423"/>
    </row>
    <row r="9329" spans="6:6">
      <c r="F9329" s="2423"/>
    </row>
    <row r="9330" spans="6:6">
      <c r="F9330" s="2423"/>
    </row>
    <row r="9331" spans="6:6">
      <c r="F9331" s="2423"/>
    </row>
    <row r="9332" spans="6:6">
      <c r="F9332" s="2423"/>
    </row>
    <row r="9333" spans="6:6">
      <c r="F9333" s="2423"/>
    </row>
    <row r="9334" spans="6:6">
      <c r="F9334" s="2423"/>
    </row>
    <row r="9335" spans="6:6">
      <c r="F9335" s="2423"/>
    </row>
    <row r="9336" spans="6:6">
      <c r="F9336" s="2423"/>
    </row>
    <row r="9337" spans="6:6">
      <c r="F9337" s="2423"/>
    </row>
    <row r="9338" spans="6:6">
      <c r="F9338" s="2423"/>
    </row>
    <row r="9339" spans="6:6">
      <c r="F9339" s="2423"/>
    </row>
    <row r="9340" spans="6:6">
      <c r="F9340" s="2423"/>
    </row>
    <row r="9341" spans="6:6">
      <c r="F9341" s="2423"/>
    </row>
    <row r="9342" spans="6:6">
      <c r="F9342" s="2423"/>
    </row>
    <row r="9343" spans="6:6">
      <c r="F9343" s="2423"/>
    </row>
    <row r="9344" spans="6:6">
      <c r="F9344" s="2423"/>
    </row>
    <row r="9345" spans="6:6">
      <c r="F9345" s="2423"/>
    </row>
    <row r="9346" spans="6:6">
      <c r="F9346" s="2423"/>
    </row>
    <row r="9347" spans="6:6">
      <c r="F9347" s="2423"/>
    </row>
    <row r="9348" spans="6:6">
      <c r="F9348" s="2423"/>
    </row>
    <row r="9349" spans="6:6">
      <c r="F9349" s="2423"/>
    </row>
    <row r="9350" spans="6:6">
      <c r="F9350" s="2423"/>
    </row>
    <row r="9351" spans="6:6">
      <c r="F9351" s="2423"/>
    </row>
    <row r="9352" spans="6:6">
      <c r="F9352" s="2423"/>
    </row>
    <row r="9353" spans="6:6">
      <c r="F9353" s="2423"/>
    </row>
    <row r="9354" spans="6:6">
      <c r="F9354" s="2423"/>
    </row>
    <row r="9355" spans="6:6">
      <c r="F9355" s="2423"/>
    </row>
    <row r="9356" spans="6:6">
      <c r="F9356" s="2423"/>
    </row>
    <row r="9357" spans="6:6">
      <c r="F9357" s="2423"/>
    </row>
    <row r="9358" spans="6:6">
      <c r="F9358" s="2423"/>
    </row>
    <row r="9359" spans="6:6">
      <c r="F9359" s="2423"/>
    </row>
    <row r="9360" spans="6:6">
      <c r="F9360" s="2423"/>
    </row>
    <row r="9361" spans="6:6">
      <c r="F9361" s="2423"/>
    </row>
    <row r="9362" spans="6:6">
      <c r="F9362" s="2423"/>
    </row>
    <row r="9363" spans="6:6">
      <c r="F9363" s="2423"/>
    </row>
    <row r="9364" spans="6:6">
      <c r="F9364" s="2423"/>
    </row>
    <row r="9365" spans="6:6">
      <c r="F9365" s="2423"/>
    </row>
    <row r="9366" spans="6:6">
      <c r="F9366" s="2423"/>
    </row>
    <row r="9367" spans="6:6">
      <c r="F9367" s="2423"/>
    </row>
    <row r="9368" spans="6:6">
      <c r="F9368" s="2423"/>
    </row>
    <row r="9369" spans="6:6">
      <c r="F9369" s="2423"/>
    </row>
    <row r="9370" spans="6:6">
      <c r="F9370" s="2423"/>
    </row>
    <row r="9371" spans="6:6">
      <c r="F9371" s="2423"/>
    </row>
    <row r="9372" spans="6:6">
      <c r="F9372" s="2423"/>
    </row>
    <row r="9373" spans="6:6">
      <c r="F9373" s="2423"/>
    </row>
    <row r="9374" spans="6:6">
      <c r="F9374" s="2423"/>
    </row>
    <row r="9375" spans="6:6">
      <c r="F9375" s="2423"/>
    </row>
    <row r="9376" spans="6:6">
      <c r="F9376" s="2423"/>
    </row>
    <row r="9377" spans="6:6">
      <c r="F9377" s="2423"/>
    </row>
    <row r="9378" spans="6:6">
      <c r="F9378" s="2423"/>
    </row>
    <row r="9379" spans="6:6">
      <c r="F9379" s="2423"/>
    </row>
    <row r="9380" spans="6:6">
      <c r="F9380" s="2423"/>
    </row>
    <row r="9381" spans="6:6">
      <c r="F9381" s="2423"/>
    </row>
    <row r="9382" spans="6:6">
      <c r="F9382" s="2423"/>
    </row>
    <row r="9383" spans="6:6">
      <c r="F9383" s="2423"/>
    </row>
    <row r="9384" spans="6:6">
      <c r="F9384" s="2423"/>
    </row>
    <row r="9385" spans="6:6">
      <c r="F9385" s="2423"/>
    </row>
    <row r="9386" spans="6:6">
      <c r="F9386" s="2423"/>
    </row>
    <row r="9387" spans="6:6">
      <c r="F9387" s="2423"/>
    </row>
    <row r="9388" spans="6:6">
      <c r="F9388" s="2423"/>
    </row>
    <row r="9389" spans="6:6">
      <c r="F9389" s="2423"/>
    </row>
    <row r="9390" spans="6:6">
      <c r="F9390" s="2423"/>
    </row>
    <row r="9391" spans="6:6">
      <c r="F9391" s="2423"/>
    </row>
    <row r="9392" spans="6:6">
      <c r="F9392" s="2423"/>
    </row>
    <row r="9393" spans="6:6">
      <c r="F9393" s="2423"/>
    </row>
    <row r="9394" spans="6:6">
      <c r="F9394" s="2423"/>
    </row>
    <row r="9395" spans="6:6">
      <c r="F9395" s="2423"/>
    </row>
    <row r="9396" spans="6:6">
      <c r="F9396" s="2423"/>
    </row>
    <row r="9397" spans="6:6">
      <c r="F9397" s="2423"/>
    </row>
    <row r="9398" spans="6:6">
      <c r="F9398" s="2423"/>
    </row>
    <row r="9399" spans="6:6">
      <c r="F9399" s="2423"/>
    </row>
    <row r="9400" spans="6:6">
      <c r="F9400" s="2423"/>
    </row>
    <row r="9401" spans="6:6">
      <c r="F9401" s="2423"/>
    </row>
    <row r="9402" spans="6:6">
      <c r="F9402" s="2423"/>
    </row>
    <row r="9403" spans="6:6">
      <c r="F9403" s="2423"/>
    </row>
    <row r="9404" spans="6:6">
      <c r="F9404" s="2423"/>
    </row>
    <row r="9405" spans="6:6">
      <c r="F9405" s="2423"/>
    </row>
    <row r="9406" spans="6:6">
      <c r="F9406" s="2423"/>
    </row>
    <row r="9407" spans="6:6">
      <c r="F9407" s="2423"/>
    </row>
    <row r="9408" spans="6:6">
      <c r="F9408" s="2423"/>
    </row>
    <row r="9409" spans="6:6">
      <c r="F9409" s="2423"/>
    </row>
    <row r="9410" spans="6:6">
      <c r="F9410" s="2423"/>
    </row>
    <row r="9411" spans="6:6">
      <c r="F9411" s="2423"/>
    </row>
    <row r="9412" spans="6:6">
      <c r="F9412" s="2423"/>
    </row>
    <row r="9413" spans="6:6">
      <c r="F9413" s="2423"/>
    </row>
    <row r="9414" spans="6:6">
      <c r="F9414" s="2423"/>
    </row>
    <row r="9415" spans="6:6">
      <c r="F9415" s="2423"/>
    </row>
    <row r="9416" spans="6:6">
      <c r="F9416" s="2423"/>
    </row>
    <row r="9417" spans="6:6">
      <c r="F9417" s="2423"/>
    </row>
    <row r="9418" spans="6:6">
      <c r="F9418" s="2423"/>
    </row>
    <row r="9419" spans="6:6">
      <c r="F9419" s="2423"/>
    </row>
    <row r="9420" spans="6:6">
      <c r="F9420" s="2423"/>
    </row>
    <row r="9421" spans="6:6">
      <c r="F9421" s="2423"/>
    </row>
    <row r="9422" spans="6:6">
      <c r="F9422" s="2423"/>
    </row>
    <row r="9423" spans="6:6">
      <c r="F9423" s="2423"/>
    </row>
    <row r="9424" spans="6:6">
      <c r="F9424" s="2423"/>
    </row>
    <row r="9425" spans="6:6">
      <c r="F9425" s="2423"/>
    </row>
    <row r="9426" spans="6:6">
      <c r="F9426" s="2423"/>
    </row>
    <row r="9427" spans="6:6">
      <c r="F9427" s="2423"/>
    </row>
    <row r="9428" spans="6:6">
      <c r="F9428" s="2423"/>
    </row>
    <row r="9429" spans="6:6">
      <c r="F9429" s="2423"/>
    </row>
    <row r="9430" spans="6:6">
      <c r="F9430" s="2423"/>
    </row>
    <row r="9431" spans="6:6">
      <c r="F9431" s="2423"/>
    </row>
    <row r="9432" spans="6:6">
      <c r="F9432" s="2423"/>
    </row>
    <row r="9433" spans="6:6">
      <c r="F9433" s="2423"/>
    </row>
    <row r="9434" spans="6:6">
      <c r="F9434" s="2423"/>
    </row>
    <row r="9435" spans="6:6">
      <c r="F9435" s="2423"/>
    </row>
    <row r="9436" spans="6:6">
      <c r="F9436" s="2423"/>
    </row>
    <row r="9437" spans="6:6">
      <c r="F9437" s="2423"/>
    </row>
    <row r="9438" spans="6:6">
      <c r="F9438" s="2423"/>
    </row>
    <row r="9439" spans="6:6">
      <c r="F9439" s="2423"/>
    </row>
    <row r="9440" spans="6:6">
      <c r="F9440" s="2423"/>
    </row>
    <row r="9441" spans="6:6">
      <c r="F9441" s="2423"/>
    </row>
    <row r="9442" spans="6:6">
      <c r="F9442" s="2423"/>
    </row>
    <row r="9443" spans="6:6">
      <c r="F9443" s="2423"/>
    </row>
    <row r="9444" spans="6:6">
      <c r="F9444" s="2423"/>
    </row>
    <row r="9445" spans="6:6">
      <c r="F9445" s="2423"/>
    </row>
    <row r="9446" spans="6:6">
      <c r="F9446" s="2423"/>
    </row>
    <row r="9447" spans="6:6">
      <c r="F9447" s="2423"/>
    </row>
    <row r="9448" spans="6:6">
      <c r="F9448" s="2423"/>
    </row>
    <row r="9449" spans="6:6">
      <c r="F9449" s="2423"/>
    </row>
    <row r="9450" spans="6:6">
      <c r="F9450" s="2423"/>
    </row>
    <row r="9451" spans="6:6">
      <c r="F9451" s="2423"/>
    </row>
    <row r="9452" spans="6:6">
      <c r="F9452" s="2423"/>
    </row>
    <row r="9453" spans="6:6">
      <c r="F9453" s="2423"/>
    </row>
    <row r="9454" spans="6:6">
      <c r="F9454" s="2423"/>
    </row>
    <row r="9455" spans="6:6">
      <c r="F9455" s="2423"/>
    </row>
    <row r="9456" spans="6:6">
      <c r="F9456" s="2423"/>
    </row>
    <row r="9457" spans="6:6">
      <c r="F9457" s="2423"/>
    </row>
    <row r="9458" spans="6:6">
      <c r="F9458" s="2423"/>
    </row>
    <row r="9459" spans="6:6">
      <c r="F9459" s="2423"/>
    </row>
    <row r="9460" spans="6:6">
      <c r="F9460" s="2423"/>
    </row>
    <row r="9461" spans="6:6">
      <c r="F9461" s="2423"/>
    </row>
    <row r="9462" spans="6:6">
      <c r="F9462" s="2423"/>
    </row>
    <row r="9463" spans="6:6">
      <c r="F9463" s="2423"/>
    </row>
    <row r="9464" spans="6:6">
      <c r="F9464" s="2423"/>
    </row>
    <row r="9465" spans="6:6">
      <c r="F9465" s="2423"/>
    </row>
    <row r="9466" spans="6:6">
      <c r="F9466" s="2423"/>
    </row>
    <row r="9467" spans="6:6">
      <c r="F9467" s="2423"/>
    </row>
    <row r="9468" spans="6:6">
      <c r="F9468" s="2423"/>
    </row>
    <row r="9469" spans="6:6">
      <c r="F9469" s="2423"/>
    </row>
    <row r="9470" spans="6:6">
      <c r="F9470" s="2423"/>
    </row>
    <row r="9471" spans="6:6">
      <c r="F9471" s="2423"/>
    </row>
    <row r="9472" spans="6:6">
      <c r="F9472" s="2423"/>
    </row>
    <row r="9473" spans="6:6">
      <c r="F9473" s="2423"/>
    </row>
    <row r="9474" spans="6:6">
      <c r="F9474" s="2423"/>
    </row>
    <row r="9475" spans="6:6">
      <c r="F9475" s="2423"/>
    </row>
    <row r="9476" spans="6:6">
      <c r="F9476" s="2423"/>
    </row>
    <row r="9477" spans="6:6">
      <c r="F9477" s="2423"/>
    </row>
    <row r="9478" spans="6:6">
      <c r="F9478" s="2423"/>
    </row>
    <row r="9479" spans="6:6">
      <c r="F9479" s="2423"/>
    </row>
    <row r="9480" spans="6:6">
      <c r="F9480" s="2423"/>
    </row>
    <row r="9481" spans="6:6">
      <c r="F9481" s="2423"/>
    </row>
    <row r="9482" spans="6:6">
      <c r="F9482" s="2423"/>
    </row>
    <row r="9483" spans="6:6">
      <c r="F9483" s="2423"/>
    </row>
    <row r="9484" spans="6:6">
      <c r="F9484" s="2423"/>
    </row>
    <row r="9485" spans="6:6">
      <c r="F9485" s="2423"/>
    </row>
    <row r="9486" spans="6:6">
      <c r="F9486" s="2423"/>
    </row>
    <row r="9487" spans="6:6">
      <c r="F9487" s="2423"/>
    </row>
    <row r="9488" spans="6:6">
      <c r="F9488" s="2423"/>
    </row>
    <row r="9489" spans="6:6">
      <c r="F9489" s="2423"/>
    </row>
    <row r="9490" spans="6:6">
      <c r="F9490" s="2423"/>
    </row>
    <row r="9491" spans="6:6">
      <c r="F9491" s="2423"/>
    </row>
    <row r="9492" spans="6:6">
      <c r="F9492" s="2423"/>
    </row>
    <row r="9493" spans="6:6">
      <c r="F9493" s="2423"/>
    </row>
    <row r="9494" spans="6:6">
      <c r="F9494" s="2423"/>
    </row>
    <row r="9495" spans="6:6">
      <c r="F9495" s="2423"/>
    </row>
    <row r="9496" spans="6:6">
      <c r="F9496" s="2423"/>
    </row>
    <row r="9497" spans="6:6">
      <c r="F9497" s="2423"/>
    </row>
    <row r="9498" spans="6:6">
      <c r="F9498" s="2423"/>
    </row>
    <row r="9499" spans="6:6">
      <c r="F9499" s="2423"/>
    </row>
    <row r="9500" spans="6:6">
      <c r="F9500" s="2423"/>
    </row>
    <row r="9501" spans="6:6">
      <c r="F9501" s="2423"/>
    </row>
    <row r="9502" spans="6:6">
      <c r="F9502" s="2423"/>
    </row>
    <row r="9503" spans="6:6">
      <c r="F9503" s="2423"/>
    </row>
    <row r="9504" spans="6:6">
      <c r="F9504" s="2423"/>
    </row>
    <row r="9505" spans="6:6">
      <c r="F9505" s="2423"/>
    </row>
    <row r="9506" spans="6:6">
      <c r="F9506" s="2423"/>
    </row>
    <row r="9507" spans="6:6">
      <c r="F9507" s="2423"/>
    </row>
    <row r="9508" spans="6:6">
      <c r="F9508" s="2423"/>
    </row>
    <row r="9509" spans="6:6">
      <c r="F9509" s="2423"/>
    </row>
    <row r="9510" spans="6:6">
      <c r="F9510" s="2423"/>
    </row>
    <row r="9511" spans="6:6">
      <c r="F9511" s="2423"/>
    </row>
    <row r="9512" spans="6:6">
      <c r="F9512" s="2423"/>
    </row>
    <row r="9513" spans="6:6">
      <c r="F9513" s="2423"/>
    </row>
    <row r="9514" spans="6:6">
      <c r="F9514" s="2423"/>
    </row>
    <row r="9515" spans="6:6">
      <c r="F9515" s="2423"/>
    </row>
    <row r="9516" spans="6:6">
      <c r="F9516" s="2423"/>
    </row>
    <row r="9517" spans="6:6">
      <c r="F9517" s="2423"/>
    </row>
    <row r="9518" spans="6:6">
      <c r="F9518" s="2423"/>
    </row>
    <row r="9519" spans="6:6">
      <c r="F9519" s="2423"/>
    </row>
    <row r="9520" spans="6:6">
      <c r="F9520" s="2423"/>
    </row>
    <row r="9521" spans="6:6">
      <c r="F9521" s="2423"/>
    </row>
    <row r="9522" spans="6:6">
      <c r="F9522" s="2423"/>
    </row>
    <row r="9523" spans="6:6">
      <c r="F9523" s="2423"/>
    </row>
    <row r="9524" spans="6:6">
      <c r="F9524" s="2423"/>
    </row>
    <row r="9525" spans="6:6">
      <c r="F9525" s="2423"/>
    </row>
    <row r="9526" spans="6:6">
      <c r="F9526" s="2423"/>
    </row>
    <row r="9527" spans="6:6">
      <c r="F9527" s="2423"/>
    </row>
    <row r="9528" spans="6:6">
      <c r="F9528" s="2423"/>
    </row>
    <row r="9529" spans="6:6">
      <c r="F9529" s="2423"/>
    </row>
    <row r="9530" spans="6:6">
      <c r="F9530" s="2423"/>
    </row>
    <row r="9531" spans="6:6">
      <c r="F9531" s="2423"/>
    </row>
    <row r="9532" spans="6:6">
      <c r="F9532" s="2423"/>
    </row>
    <row r="9533" spans="6:6">
      <c r="F9533" s="2423"/>
    </row>
    <row r="9534" spans="6:6">
      <c r="F9534" s="2423"/>
    </row>
    <row r="9535" spans="6:6">
      <c r="F9535" s="2423"/>
    </row>
    <row r="9536" spans="6:6">
      <c r="F9536" s="2423"/>
    </row>
    <row r="9537" spans="6:6">
      <c r="F9537" s="2423"/>
    </row>
    <row r="9538" spans="6:6">
      <c r="F9538" s="2423"/>
    </row>
    <row r="9539" spans="6:6">
      <c r="F9539" s="2423"/>
    </row>
    <row r="9540" spans="6:6">
      <c r="F9540" s="2423"/>
    </row>
    <row r="9541" spans="6:6">
      <c r="F9541" s="2423"/>
    </row>
    <row r="9542" spans="6:6">
      <c r="F9542" s="2423"/>
    </row>
    <row r="9543" spans="6:6">
      <c r="F9543" s="2423"/>
    </row>
    <row r="9544" spans="6:6">
      <c r="F9544" s="2423"/>
    </row>
    <row r="9545" spans="6:6">
      <c r="F9545" s="2423"/>
    </row>
    <row r="9546" spans="6:6">
      <c r="F9546" s="2423"/>
    </row>
    <row r="9547" spans="6:6">
      <c r="F9547" s="2423"/>
    </row>
    <row r="9548" spans="6:6">
      <c r="F9548" s="2423"/>
    </row>
    <row r="9549" spans="6:6">
      <c r="F9549" s="2423"/>
    </row>
    <row r="9550" spans="6:6">
      <c r="F9550" s="2423"/>
    </row>
    <row r="9551" spans="6:6">
      <c r="F9551" s="2423"/>
    </row>
    <row r="9552" spans="6:6">
      <c r="F9552" s="2423"/>
    </row>
    <row r="9553" spans="6:6">
      <c r="F9553" s="2423"/>
    </row>
    <row r="9554" spans="6:6">
      <c r="F9554" s="2423"/>
    </row>
    <row r="9555" spans="6:6">
      <c r="F9555" s="2423"/>
    </row>
    <row r="9556" spans="6:6">
      <c r="F9556" s="2423"/>
    </row>
    <row r="9557" spans="6:6">
      <c r="F9557" s="2423"/>
    </row>
    <row r="9558" spans="6:6">
      <c r="F9558" s="2423"/>
    </row>
    <row r="9559" spans="6:6">
      <c r="F9559" s="2423"/>
    </row>
    <row r="9560" spans="6:6">
      <c r="F9560" s="2423"/>
    </row>
    <row r="9561" spans="6:6">
      <c r="F9561" s="2423"/>
    </row>
    <row r="9562" spans="6:6">
      <c r="F9562" s="2423"/>
    </row>
    <row r="9563" spans="6:6">
      <c r="F9563" s="2423"/>
    </row>
    <row r="9564" spans="6:6">
      <c r="F9564" s="2423"/>
    </row>
    <row r="9565" spans="6:6">
      <c r="F9565" s="2423"/>
    </row>
    <row r="9566" spans="6:6">
      <c r="F9566" s="2423"/>
    </row>
    <row r="9567" spans="6:6">
      <c r="F9567" s="2423"/>
    </row>
    <row r="9568" spans="6:6">
      <c r="F9568" s="2423"/>
    </row>
    <row r="9569" spans="6:6">
      <c r="F9569" s="2423"/>
    </row>
    <row r="9570" spans="6:6">
      <c r="F9570" s="2423"/>
    </row>
    <row r="9571" spans="6:6">
      <c r="F9571" s="2423"/>
    </row>
    <row r="9572" spans="6:6">
      <c r="F9572" s="2423"/>
    </row>
    <row r="9573" spans="6:6">
      <c r="F9573" s="2423"/>
    </row>
    <row r="9574" spans="6:6">
      <c r="F9574" s="2423"/>
    </row>
    <row r="9575" spans="6:6">
      <c r="F9575" s="2423"/>
    </row>
    <row r="9576" spans="6:6">
      <c r="F9576" s="2423"/>
    </row>
    <row r="9577" spans="6:6">
      <c r="F9577" s="2423"/>
    </row>
    <row r="9578" spans="6:6">
      <c r="F9578" s="2423"/>
    </row>
    <row r="9579" spans="6:6">
      <c r="F9579" s="2423"/>
    </row>
    <row r="9580" spans="6:6">
      <c r="F9580" s="2423"/>
    </row>
    <row r="9581" spans="6:6">
      <c r="F9581" s="2423"/>
    </row>
    <row r="9582" spans="6:6">
      <c r="F9582" s="2423"/>
    </row>
    <row r="9583" spans="6:6">
      <c r="F9583" s="2423"/>
    </row>
    <row r="9584" spans="6:6">
      <c r="F9584" s="2423"/>
    </row>
    <row r="9585" spans="6:6">
      <c r="F9585" s="2423"/>
    </row>
    <row r="9586" spans="6:6">
      <c r="F9586" s="2423"/>
    </row>
    <row r="9587" spans="6:6">
      <c r="F9587" s="2423"/>
    </row>
    <row r="9588" spans="6:6">
      <c r="F9588" s="2423"/>
    </row>
    <row r="9589" spans="6:6">
      <c r="F9589" s="2423"/>
    </row>
    <row r="9590" spans="6:6">
      <c r="F9590" s="2423"/>
    </row>
    <row r="9591" spans="6:6">
      <c r="F9591" s="2423"/>
    </row>
    <row r="9592" spans="6:6">
      <c r="F9592" s="2423"/>
    </row>
    <row r="9593" spans="6:6">
      <c r="F9593" s="2423"/>
    </row>
    <row r="9594" spans="6:6">
      <c r="F9594" s="2423"/>
    </row>
    <row r="9595" spans="6:6">
      <c r="F9595" s="2423"/>
    </row>
    <row r="9596" spans="6:6">
      <c r="F9596" s="2423"/>
    </row>
    <row r="9597" spans="6:6">
      <c r="F9597" s="2423"/>
    </row>
    <row r="9598" spans="6:6">
      <c r="F9598" s="2423"/>
    </row>
    <row r="9599" spans="6:6">
      <c r="F9599" s="2423"/>
    </row>
    <row r="9600" spans="6:6">
      <c r="F9600" s="2423"/>
    </row>
    <row r="9601" spans="6:6">
      <c r="F9601" s="2423"/>
    </row>
    <row r="9602" spans="6:6">
      <c r="F9602" s="2423"/>
    </row>
    <row r="9603" spans="6:6">
      <c r="F9603" s="2423"/>
    </row>
    <row r="9604" spans="6:6">
      <c r="F9604" s="2423"/>
    </row>
    <row r="9605" spans="6:6">
      <c r="F9605" s="2423"/>
    </row>
    <row r="9606" spans="6:6">
      <c r="F9606" s="2423"/>
    </row>
    <row r="9607" spans="6:6">
      <c r="F9607" s="2423"/>
    </row>
    <row r="9608" spans="6:6">
      <c r="F9608" s="2423"/>
    </row>
    <row r="9609" spans="6:6">
      <c r="F9609" s="2423"/>
    </row>
    <row r="9610" spans="6:6">
      <c r="F9610" s="2423"/>
    </row>
    <row r="9611" spans="6:6">
      <c r="F9611" s="2423"/>
    </row>
    <row r="9612" spans="6:6">
      <c r="F9612" s="2423"/>
    </row>
    <row r="9613" spans="6:6">
      <c r="F9613" s="2423"/>
    </row>
    <row r="9614" spans="6:6">
      <c r="F9614" s="2423"/>
    </row>
    <row r="9615" spans="6:6">
      <c r="F9615" s="2423"/>
    </row>
    <row r="9616" spans="6:6">
      <c r="F9616" s="2423"/>
    </row>
    <row r="9617" spans="6:6">
      <c r="F9617" s="2423"/>
    </row>
    <row r="9618" spans="6:6">
      <c r="F9618" s="2423"/>
    </row>
    <row r="9619" spans="6:6">
      <c r="F9619" s="2423"/>
    </row>
    <row r="9620" spans="6:6">
      <c r="F9620" s="2423"/>
    </row>
    <row r="9621" spans="6:6">
      <c r="F9621" s="2423"/>
    </row>
    <row r="9622" spans="6:6">
      <c r="F9622" s="2423"/>
    </row>
    <row r="9623" spans="6:6">
      <c r="F9623" s="2423"/>
    </row>
    <row r="9624" spans="6:6">
      <c r="F9624" s="2423"/>
    </row>
    <row r="9625" spans="6:6">
      <c r="F9625" s="2423"/>
    </row>
    <row r="9626" spans="6:6">
      <c r="F9626" s="2423"/>
    </row>
    <row r="9627" spans="6:6">
      <c r="F9627" s="2423"/>
    </row>
    <row r="9628" spans="6:6">
      <c r="F9628" s="2423"/>
    </row>
    <row r="9629" spans="6:6">
      <c r="F9629" s="2423"/>
    </row>
    <row r="9630" spans="6:6">
      <c r="F9630" s="2423"/>
    </row>
    <row r="9631" spans="6:6">
      <c r="F9631" s="2423"/>
    </row>
    <row r="9632" spans="6:6">
      <c r="F9632" s="2423"/>
    </row>
    <row r="9633" spans="6:6">
      <c r="F9633" s="2423"/>
    </row>
    <row r="9634" spans="6:6">
      <c r="F9634" s="2423"/>
    </row>
    <row r="9635" spans="6:6">
      <c r="F9635" s="2423"/>
    </row>
    <row r="9636" spans="6:6">
      <c r="F9636" s="2423"/>
    </row>
    <row r="9637" spans="6:6">
      <c r="F9637" s="2423"/>
    </row>
    <row r="9638" spans="6:6">
      <c r="F9638" s="2423"/>
    </row>
    <row r="9639" spans="6:6">
      <c r="F9639" s="2423"/>
    </row>
    <row r="9640" spans="6:6">
      <c r="F9640" s="2423"/>
    </row>
    <row r="9641" spans="6:6">
      <c r="F9641" s="2423"/>
    </row>
    <row r="9642" spans="6:6">
      <c r="F9642" s="2423"/>
    </row>
    <row r="9643" spans="6:6">
      <c r="F9643" s="2423"/>
    </row>
    <row r="9644" spans="6:6">
      <c r="F9644" s="2423"/>
    </row>
    <row r="9645" spans="6:6">
      <c r="F9645" s="2423"/>
    </row>
    <row r="9646" spans="6:6">
      <c r="F9646" s="2423"/>
    </row>
    <row r="9647" spans="6:6">
      <c r="F9647" s="2423"/>
    </row>
    <row r="9648" spans="6:6">
      <c r="F9648" s="2423"/>
    </row>
    <row r="9649" spans="6:6">
      <c r="F9649" s="2423"/>
    </row>
    <row r="9650" spans="6:6">
      <c r="F9650" s="2423"/>
    </row>
    <row r="9651" spans="6:6">
      <c r="F9651" s="2423"/>
    </row>
    <row r="9652" spans="6:6">
      <c r="F9652" s="2423"/>
    </row>
    <row r="9653" spans="6:6">
      <c r="F9653" s="2423"/>
    </row>
    <row r="9654" spans="6:6">
      <c r="F9654" s="2423"/>
    </row>
    <row r="9655" spans="6:6">
      <c r="F9655" s="2423"/>
    </row>
    <row r="9656" spans="6:6">
      <c r="F9656" s="2423"/>
    </row>
    <row r="9657" spans="6:6">
      <c r="F9657" s="2423"/>
    </row>
    <row r="9658" spans="6:6">
      <c r="F9658" s="2423"/>
    </row>
    <row r="9659" spans="6:6">
      <c r="F9659" s="2423"/>
    </row>
    <row r="9660" spans="6:6">
      <c r="F9660" s="2423"/>
    </row>
    <row r="9661" spans="6:6">
      <c r="F9661" s="2423"/>
    </row>
    <row r="9662" spans="6:6">
      <c r="F9662" s="2423"/>
    </row>
    <row r="9663" spans="6:6">
      <c r="F9663" s="2423"/>
    </row>
    <row r="9664" spans="6:6">
      <c r="F9664" s="2423"/>
    </row>
    <row r="9665" spans="6:6">
      <c r="F9665" s="2423"/>
    </row>
    <row r="9666" spans="6:6">
      <c r="F9666" s="2423"/>
    </row>
    <row r="9667" spans="6:6">
      <c r="F9667" s="2423"/>
    </row>
    <row r="9668" spans="6:6">
      <c r="F9668" s="2423"/>
    </row>
    <row r="9669" spans="6:6">
      <c r="F9669" s="2423"/>
    </row>
    <row r="9670" spans="6:6">
      <c r="F9670" s="2423"/>
    </row>
    <row r="9671" spans="6:6">
      <c r="F9671" s="2423"/>
    </row>
    <row r="9672" spans="6:6">
      <c r="F9672" s="2423"/>
    </row>
    <row r="9673" spans="6:6">
      <c r="F9673" s="2423"/>
    </row>
    <row r="9674" spans="6:6">
      <c r="F9674" s="2423"/>
    </row>
    <row r="9675" spans="6:6">
      <c r="F9675" s="2423"/>
    </row>
    <row r="9676" spans="6:6">
      <c r="F9676" s="2423"/>
    </row>
    <row r="9677" spans="6:6">
      <c r="F9677" s="2423"/>
    </row>
    <row r="9678" spans="6:6">
      <c r="F9678" s="2423"/>
    </row>
    <row r="9679" spans="6:6">
      <c r="F9679" s="2423"/>
    </row>
    <row r="9680" spans="6:6">
      <c r="F9680" s="2423"/>
    </row>
    <row r="9681" spans="6:6">
      <c r="F9681" s="2423"/>
    </row>
    <row r="9682" spans="6:6">
      <c r="F9682" s="2423"/>
    </row>
    <row r="9683" spans="6:6">
      <c r="F9683" s="2423"/>
    </row>
    <row r="9684" spans="6:6">
      <c r="F9684" s="2423"/>
    </row>
    <row r="9685" spans="6:6">
      <c r="F9685" s="2423"/>
    </row>
    <row r="9686" spans="6:6">
      <c r="F9686" s="2423"/>
    </row>
    <row r="9687" spans="6:6">
      <c r="F9687" s="2423"/>
    </row>
    <row r="9688" spans="6:6">
      <c r="F9688" s="2423"/>
    </row>
    <row r="9689" spans="6:6">
      <c r="F9689" s="2423"/>
    </row>
    <row r="9690" spans="6:6">
      <c r="F9690" s="2423"/>
    </row>
    <row r="9691" spans="6:6">
      <c r="F9691" s="2423"/>
    </row>
    <row r="9692" spans="6:6">
      <c r="F9692" s="2423"/>
    </row>
    <row r="9693" spans="6:6">
      <c r="F9693" s="2423"/>
    </row>
    <row r="9694" spans="6:6">
      <c r="F9694" s="2423"/>
    </row>
    <row r="9695" spans="6:6">
      <c r="F9695" s="2423"/>
    </row>
    <row r="9696" spans="6:6">
      <c r="F9696" s="2423"/>
    </row>
    <row r="9697" spans="6:6">
      <c r="F9697" s="2423"/>
    </row>
    <row r="9698" spans="6:6">
      <c r="F9698" s="2423"/>
    </row>
    <row r="9699" spans="6:6">
      <c r="F9699" s="2423"/>
    </row>
    <row r="9700" spans="6:6">
      <c r="F9700" s="2423"/>
    </row>
    <row r="9701" spans="6:6">
      <c r="F9701" s="2423"/>
    </row>
    <row r="9702" spans="6:6">
      <c r="F9702" s="2423"/>
    </row>
    <row r="9703" spans="6:6">
      <c r="F9703" s="2423"/>
    </row>
    <row r="9704" spans="6:6">
      <c r="F9704" s="2423"/>
    </row>
    <row r="9705" spans="6:6">
      <c r="F9705" s="2423"/>
    </row>
    <row r="9706" spans="6:6">
      <c r="F9706" s="2423"/>
    </row>
    <row r="9707" spans="6:6">
      <c r="F9707" s="2423"/>
    </row>
    <row r="9708" spans="6:6">
      <c r="F9708" s="2423"/>
    </row>
    <row r="9709" spans="6:6">
      <c r="F9709" s="2423"/>
    </row>
    <row r="9710" spans="6:6">
      <c r="F9710" s="2423"/>
    </row>
    <row r="9711" spans="6:6">
      <c r="F9711" s="2423"/>
    </row>
    <row r="9712" spans="6:6">
      <c r="F9712" s="2423"/>
    </row>
    <row r="9713" spans="6:6">
      <c r="F9713" s="2423"/>
    </row>
    <row r="9714" spans="6:6">
      <c r="F9714" s="2423"/>
    </row>
    <row r="9715" spans="6:6">
      <c r="F9715" s="2423"/>
    </row>
    <row r="9716" spans="6:6">
      <c r="F9716" s="2423"/>
    </row>
    <row r="9717" spans="6:6">
      <c r="F9717" s="2423"/>
    </row>
    <row r="9718" spans="6:6">
      <c r="F9718" s="2423"/>
    </row>
    <row r="9719" spans="6:6">
      <c r="F9719" s="2423"/>
    </row>
    <row r="9720" spans="6:6">
      <c r="F9720" s="2423"/>
    </row>
    <row r="9721" spans="6:6">
      <c r="F9721" s="2423"/>
    </row>
    <row r="9722" spans="6:6">
      <c r="F9722" s="2423"/>
    </row>
    <row r="9723" spans="6:6">
      <c r="F9723" s="2423"/>
    </row>
    <row r="9724" spans="6:6">
      <c r="F9724" s="2423"/>
    </row>
    <row r="9725" spans="6:6">
      <c r="F9725" s="2423"/>
    </row>
    <row r="9726" spans="6:6">
      <c r="F9726" s="2423"/>
    </row>
    <row r="9727" spans="6:6">
      <c r="F9727" s="2423"/>
    </row>
    <row r="9728" spans="6:6">
      <c r="F9728" s="2423"/>
    </row>
    <row r="9729" spans="6:6">
      <c r="F9729" s="2423"/>
    </row>
    <row r="9730" spans="6:6">
      <c r="F9730" s="2423"/>
    </row>
    <row r="9731" spans="6:6">
      <c r="F9731" s="2423"/>
    </row>
    <row r="9732" spans="6:6">
      <c r="F9732" s="2423"/>
    </row>
    <row r="9733" spans="6:6">
      <c r="F9733" s="2423"/>
    </row>
    <row r="9734" spans="6:6">
      <c r="F9734" s="2423"/>
    </row>
    <row r="9735" spans="6:6">
      <c r="F9735" s="2423"/>
    </row>
    <row r="9736" spans="6:6">
      <c r="F9736" s="2423"/>
    </row>
    <row r="9737" spans="6:6">
      <c r="F9737" s="2423"/>
    </row>
    <row r="9738" spans="6:6">
      <c r="F9738" s="2423"/>
    </row>
    <row r="9739" spans="6:6">
      <c r="F9739" s="2423"/>
    </row>
    <row r="9740" spans="6:6">
      <c r="F9740" s="2423"/>
    </row>
    <row r="9741" spans="6:6">
      <c r="F9741" s="2423"/>
    </row>
    <row r="9742" spans="6:6">
      <c r="F9742" s="2423"/>
    </row>
    <row r="9743" spans="6:6">
      <c r="F9743" s="2423"/>
    </row>
    <row r="9744" spans="6:6">
      <c r="F9744" s="2423"/>
    </row>
    <row r="9745" spans="6:6">
      <c r="F9745" s="2423"/>
    </row>
    <row r="9746" spans="6:6">
      <c r="F9746" s="2423"/>
    </row>
    <row r="9747" spans="6:6">
      <c r="F9747" s="2423"/>
    </row>
    <row r="9748" spans="6:6">
      <c r="F9748" s="2423"/>
    </row>
    <row r="9749" spans="6:6">
      <c r="F9749" s="2423"/>
    </row>
    <row r="9750" spans="6:6">
      <c r="F9750" s="2423"/>
    </row>
    <row r="9751" spans="6:6">
      <c r="F9751" s="2423"/>
    </row>
    <row r="9752" spans="6:6">
      <c r="F9752" s="2423"/>
    </row>
    <row r="9753" spans="6:6">
      <c r="F9753" s="2423"/>
    </row>
    <row r="9754" spans="6:6">
      <c r="F9754" s="2423"/>
    </row>
    <row r="9755" spans="6:6">
      <c r="F9755" s="2423"/>
    </row>
    <row r="9756" spans="6:6">
      <c r="F9756" s="2423"/>
    </row>
    <row r="9757" spans="6:6">
      <c r="F9757" s="2423"/>
    </row>
    <row r="9758" spans="6:6">
      <c r="F9758" s="2423"/>
    </row>
    <row r="9759" spans="6:6">
      <c r="F9759" s="2423"/>
    </row>
    <row r="9760" spans="6:6">
      <c r="F9760" s="2423"/>
    </row>
    <row r="9761" spans="6:6">
      <c r="F9761" s="2423"/>
    </row>
    <row r="9762" spans="6:6">
      <c r="F9762" s="2423"/>
    </row>
    <row r="9763" spans="6:6">
      <c r="F9763" s="2423"/>
    </row>
    <row r="9764" spans="6:6">
      <c r="F9764" s="2423"/>
    </row>
    <row r="9765" spans="6:6">
      <c r="F9765" s="2423"/>
    </row>
    <row r="9766" spans="6:6">
      <c r="F9766" s="2423"/>
    </row>
    <row r="9767" spans="6:6">
      <c r="F9767" s="2423"/>
    </row>
    <row r="9768" spans="6:6">
      <c r="F9768" s="2423"/>
    </row>
    <row r="9769" spans="6:6">
      <c r="F9769" s="2423"/>
    </row>
    <row r="9770" spans="6:6">
      <c r="F9770" s="2423"/>
    </row>
    <row r="9771" spans="6:6">
      <c r="F9771" s="2423"/>
    </row>
    <row r="9772" spans="6:6">
      <c r="F9772" s="2423"/>
    </row>
    <row r="9773" spans="6:6">
      <c r="F9773" s="2423"/>
    </row>
    <row r="9774" spans="6:6">
      <c r="F9774" s="2423"/>
    </row>
    <row r="9775" spans="6:6">
      <c r="F9775" s="2423"/>
    </row>
    <row r="9776" spans="6:6">
      <c r="F9776" s="2423"/>
    </row>
    <row r="9777" spans="6:6">
      <c r="F9777" s="2423"/>
    </row>
    <row r="9778" spans="6:6">
      <c r="F9778" s="2423"/>
    </row>
    <row r="9779" spans="6:6">
      <c r="F9779" s="2423"/>
    </row>
    <row r="9780" spans="6:6">
      <c r="F9780" s="2423"/>
    </row>
    <row r="9781" spans="6:6">
      <c r="F9781" s="2423"/>
    </row>
    <row r="9782" spans="6:6">
      <c r="F9782" s="2423"/>
    </row>
    <row r="9783" spans="6:6">
      <c r="F9783" s="2423"/>
    </row>
    <row r="9784" spans="6:6">
      <c r="F9784" s="2423"/>
    </row>
    <row r="9785" spans="6:6">
      <c r="F9785" s="2423"/>
    </row>
    <row r="9786" spans="6:6">
      <c r="F9786" s="2423"/>
    </row>
    <row r="9787" spans="6:6">
      <c r="F9787" s="2423"/>
    </row>
    <row r="9788" spans="6:6">
      <c r="F9788" s="2423"/>
    </row>
    <row r="9789" spans="6:6">
      <c r="F9789" s="2423"/>
    </row>
    <row r="9790" spans="6:6">
      <c r="F9790" s="2423"/>
    </row>
    <row r="9791" spans="6:6">
      <c r="F9791" s="2423"/>
    </row>
    <row r="9792" spans="6:6">
      <c r="F9792" s="2423"/>
    </row>
    <row r="9793" spans="6:6">
      <c r="F9793" s="2423"/>
    </row>
    <row r="9794" spans="6:6">
      <c r="F9794" s="2423"/>
    </row>
    <row r="9795" spans="6:6">
      <c r="F9795" s="2423"/>
    </row>
    <row r="9796" spans="6:6">
      <c r="F9796" s="2423"/>
    </row>
    <row r="9797" spans="6:6">
      <c r="F9797" s="2423"/>
    </row>
    <row r="9798" spans="6:6">
      <c r="F9798" s="2423"/>
    </row>
    <row r="9799" spans="6:6">
      <c r="F9799" s="2423"/>
    </row>
    <row r="9800" spans="6:6">
      <c r="F9800" s="2423"/>
    </row>
    <row r="9801" spans="6:6">
      <c r="F9801" s="2423"/>
    </row>
    <row r="9802" spans="6:6">
      <c r="F9802" s="2423"/>
    </row>
    <row r="9803" spans="6:6">
      <c r="F9803" s="2423"/>
    </row>
    <row r="9804" spans="6:6">
      <c r="F9804" s="2423"/>
    </row>
    <row r="9805" spans="6:6">
      <c r="F9805" s="2423"/>
    </row>
    <row r="9806" spans="6:6">
      <c r="F9806" s="2423"/>
    </row>
    <row r="9807" spans="6:6">
      <c r="F9807" s="2423"/>
    </row>
    <row r="9808" spans="6:6">
      <c r="F9808" s="2423"/>
    </row>
    <row r="9809" spans="6:6">
      <c r="F9809" s="2423"/>
    </row>
    <row r="9810" spans="6:6">
      <c r="F9810" s="2423"/>
    </row>
    <row r="9811" spans="6:6">
      <c r="F9811" s="2423"/>
    </row>
    <row r="9812" spans="6:6">
      <c r="F9812" s="2423"/>
    </row>
    <row r="9813" spans="6:6">
      <c r="F9813" s="2423"/>
    </row>
    <row r="9814" spans="6:6">
      <c r="F9814" s="2423"/>
    </row>
    <row r="9815" spans="6:6">
      <c r="F9815" s="2423"/>
    </row>
    <row r="9816" spans="6:6">
      <c r="F9816" s="2423"/>
    </row>
    <row r="9817" spans="6:6">
      <c r="F9817" s="2423"/>
    </row>
    <row r="9818" spans="6:6">
      <c r="F9818" s="2423"/>
    </row>
    <row r="9819" spans="6:6">
      <c r="F9819" s="2423"/>
    </row>
    <row r="9820" spans="6:6">
      <c r="F9820" s="2423"/>
    </row>
    <row r="9821" spans="6:6">
      <c r="F9821" s="2423"/>
    </row>
    <row r="9822" spans="6:6">
      <c r="F9822" s="2423"/>
    </row>
    <row r="9823" spans="6:6">
      <c r="F9823" s="2423"/>
    </row>
    <row r="9824" spans="6:6">
      <c r="F9824" s="2423"/>
    </row>
    <row r="9825" spans="6:6">
      <c r="F9825" s="2423"/>
    </row>
    <row r="9826" spans="6:6">
      <c r="F9826" s="2423"/>
    </row>
    <row r="9827" spans="6:6">
      <c r="F9827" s="2423"/>
    </row>
    <row r="9828" spans="6:6">
      <c r="F9828" s="2423"/>
    </row>
    <row r="9829" spans="6:6">
      <c r="F9829" s="2423"/>
    </row>
    <row r="9830" spans="6:6">
      <c r="F9830" s="2423"/>
    </row>
    <row r="9831" spans="6:6">
      <c r="F9831" s="2423"/>
    </row>
    <row r="9832" spans="6:6">
      <c r="F9832" s="2423"/>
    </row>
    <row r="9833" spans="6:6">
      <c r="F9833" s="2423"/>
    </row>
    <row r="9834" spans="6:6">
      <c r="F9834" s="2423"/>
    </row>
    <row r="9835" spans="6:6">
      <c r="F9835" s="2423"/>
    </row>
    <row r="9836" spans="6:6">
      <c r="F9836" s="2423"/>
    </row>
    <row r="9837" spans="6:6">
      <c r="F9837" s="2423"/>
    </row>
    <row r="9838" spans="6:6">
      <c r="F9838" s="2423"/>
    </row>
    <row r="9839" spans="6:6">
      <c r="F9839" s="2423"/>
    </row>
    <row r="9840" spans="6:6">
      <c r="F9840" s="2423"/>
    </row>
    <row r="9841" spans="6:6">
      <c r="F9841" s="2423"/>
    </row>
    <row r="9842" spans="6:6">
      <c r="F9842" s="2423"/>
    </row>
    <row r="9843" spans="6:6">
      <c r="F9843" s="2423"/>
    </row>
    <row r="9844" spans="6:6">
      <c r="F9844" s="2423"/>
    </row>
    <row r="9845" spans="6:6">
      <c r="F9845" s="2423"/>
    </row>
    <row r="9846" spans="6:6">
      <c r="F9846" s="2423"/>
    </row>
    <row r="9847" spans="6:6">
      <c r="F9847" s="2423"/>
    </row>
    <row r="9848" spans="6:6">
      <c r="F9848" s="2423"/>
    </row>
    <row r="9849" spans="6:6">
      <c r="F9849" s="2423"/>
    </row>
    <row r="9850" spans="6:6">
      <c r="F9850" s="2423"/>
    </row>
    <row r="9851" spans="6:6">
      <c r="F9851" s="2423"/>
    </row>
    <row r="9852" spans="6:6">
      <c r="F9852" s="2423"/>
    </row>
    <row r="9853" spans="6:6">
      <c r="F9853" s="2423"/>
    </row>
    <row r="9854" spans="6:6">
      <c r="F9854" s="2423"/>
    </row>
    <row r="9855" spans="6:6">
      <c r="F9855" s="2423"/>
    </row>
    <row r="9856" spans="6:6">
      <c r="F9856" s="2423"/>
    </row>
    <row r="9857" spans="6:6">
      <c r="F9857" s="2423"/>
    </row>
    <row r="9858" spans="6:6">
      <c r="F9858" s="2423"/>
    </row>
    <row r="9859" spans="6:6">
      <c r="F9859" s="2423"/>
    </row>
    <row r="9860" spans="6:6">
      <c r="F9860" s="2423"/>
    </row>
    <row r="9861" spans="6:6">
      <c r="F9861" s="2423"/>
    </row>
    <row r="9862" spans="6:6">
      <c r="F9862" s="2423"/>
    </row>
    <row r="9863" spans="6:6">
      <c r="F9863" s="2423"/>
    </row>
    <row r="9864" spans="6:6">
      <c r="F9864" s="2423"/>
    </row>
    <row r="9865" spans="6:6">
      <c r="F9865" s="2423"/>
    </row>
    <row r="9866" spans="6:6">
      <c r="F9866" s="2423"/>
    </row>
    <row r="9867" spans="6:6">
      <c r="F9867" s="2423"/>
    </row>
    <row r="9868" spans="6:6">
      <c r="F9868" s="2423"/>
    </row>
    <row r="9869" spans="6:6">
      <c r="F9869" s="2423"/>
    </row>
    <row r="9870" spans="6:6">
      <c r="F9870" s="2423"/>
    </row>
    <row r="9871" spans="6:6">
      <c r="F9871" s="2423"/>
    </row>
    <row r="9872" spans="6:6">
      <c r="F9872" s="2423"/>
    </row>
    <row r="9873" spans="6:6">
      <c r="F9873" s="2423"/>
    </row>
    <row r="9874" spans="6:6">
      <c r="F9874" s="2423"/>
    </row>
    <row r="9875" spans="6:6">
      <c r="F9875" s="2423"/>
    </row>
    <row r="9876" spans="6:6">
      <c r="F9876" s="2423"/>
    </row>
    <row r="9877" spans="6:6">
      <c r="F9877" s="2423"/>
    </row>
    <row r="9878" spans="6:6">
      <c r="F9878" s="2423"/>
    </row>
    <row r="9879" spans="6:6">
      <c r="F9879" s="2423"/>
    </row>
    <row r="9880" spans="6:6">
      <c r="F9880" s="2423"/>
    </row>
    <row r="9881" spans="6:6">
      <c r="F9881" s="2423"/>
    </row>
    <row r="9882" spans="6:6">
      <c r="F9882" s="2423"/>
    </row>
    <row r="9883" spans="6:6">
      <c r="F9883" s="2423"/>
    </row>
    <row r="9884" spans="6:6">
      <c r="F9884" s="2423"/>
    </row>
    <row r="9885" spans="6:6">
      <c r="F9885" s="2423"/>
    </row>
    <row r="9886" spans="6:6">
      <c r="F9886" s="2423"/>
    </row>
    <row r="9887" spans="6:6">
      <c r="F9887" s="2423"/>
    </row>
    <row r="9888" spans="6:6">
      <c r="F9888" s="2423"/>
    </row>
    <row r="9889" spans="6:6">
      <c r="F9889" s="2423"/>
    </row>
    <row r="9890" spans="6:6">
      <c r="F9890" s="2423"/>
    </row>
    <row r="9891" spans="6:6">
      <c r="F9891" s="2423"/>
    </row>
    <row r="9892" spans="6:6">
      <c r="F9892" s="2423"/>
    </row>
    <row r="9893" spans="6:6">
      <c r="F9893" s="2423"/>
    </row>
    <row r="9894" spans="6:6">
      <c r="F9894" s="2423"/>
    </row>
    <row r="9895" spans="6:6">
      <c r="F9895" s="2423"/>
    </row>
    <row r="9896" spans="6:6">
      <c r="F9896" s="2423"/>
    </row>
    <row r="9897" spans="6:6">
      <c r="F9897" s="2423"/>
    </row>
    <row r="9898" spans="6:6">
      <c r="F9898" s="2423"/>
    </row>
    <row r="9899" spans="6:6">
      <c r="F9899" s="2423"/>
    </row>
    <row r="9900" spans="6:6">
      <c r="F9900" s="2423"/>
    </row>
    <row r="9901" spans="6:6">
      <c r="F9901" s="2423"/>
    </row>
    <row r="9902" spans="6:6">
      <c r="F9902" s="2423"/>
    </row>
    <row r="9903" spans="6:6">
      <c r="F9903" s="2423"/>
    </row>
    <row r="9904" spans="6:6">
      <c r="F9904" s="2423"/>
    </row>
    <row r="9905" spans="6:6">
      <c r="F9905" s="2423"/>
    </row>
    <row r="9906" spans="6:6">
      <c r="F9906" s="2423"/>
    </row>
    <row r="9907" spans="6:6">
      <c r="F9907" s="2423"/>
    </row>
    <row r="9908" spans="6:6">
      <c r="F9908" s="2423"/>
    </row>
    <row r="9909" spans="6:6">
      <c r="F9909" s="2423"/>
    </row>
    <row r="9910" spans="6:6">
      <c r="F9910" s="2423"/>
    </row>
    <row r="9911" spans="6:6">
      <c r="F9911" s="2423"/>
    </row>
    <row r="9912" spans="6:6">
      <c r="F9912" s="2423"/>
    </row>
    <row r="9913" spans="6:6">
      <c r="F9913" s="2423"/>
    </row>
    <row r="9914" spans="6:6">
      <c r="F9914" s="2423"/>
    </row>
    <row r="9915" spans="6:6">
      <c r="F9915" s="2423"/>
    </row>
    <row r="9916" spans="6:6">
      <c r="F9916" s="2423"/>
    </row>
    <row r="9917" spans="6:6">
      <c r="F9917" s="2423"/>
    </row>
    <row r="9918" spans="6:6">
      <c r="F9918" s="2423"/>
    </row>
    <row r="9919" spans="6:6">
      <c r="F9919" s="2423"/>
    </row>
    <row r="9920" spans="6:6">
      <c r="F9920" s="2423"/>
    </row>
    <row r="9921" spans="6:6">
      <c r="F9921" s="2423"/>
    </row>
    <row r="9922" spans="6:6">
      <c r="F9922" s="2423"/>
    </row>
    <row r="9923" spans="6:6">
      <c r="F9923" s="2423"/>
    </row>
    <row r="9924" spans="6:6">
      <c r="F9924" s="2423"/>
    </row>
    <row r="9925" spans="6:6">
      <c r="F9925" s="2423"/>
    </row>
    <row r="9926" spans="6:6">
      <c r="F9926" s="2423"/>
    </row>
    <row r="9927" spans="6:6">
      <c r="F9927" s="2423"/>
    </row>
    <row r="9928" spans="6:6">
      <c r="F9928" s="2423"/>
    </row>
    <row r="9929" spans="6:6">
      <c r="F9929" s="2423"/>
    </row>
    <row r="9930" spans="6:6">
      <c r="F9930" s="2423"/>
    </row>
    <row r="9931" spans="6:6">
      <c r="F9931" s="2423"/>
    </row>
    <row r="9932" spans="6:6">
      <c r="F9932" s="2423"/>
    </row>
    <row r="9933" spans="6:6">
      <c r="F9933" s="2423"/>
    </row>
    <row r="9934" spans="6:6">
      <c r="F9934" s="2423"/>
    </row>
    <row r="9935" spans="6:6">
      <c r="F9935" s="2423"/>
    </row>
    <row r="9936" spans="6:6">
      <c r="F9936" s="2423"/>
    </row>
    <row r="9937" spans="6:6">
      <c r="F9937" s="2423"/>
    </row>
    <row r="9938" spans="6:6">
      <c r="F9938" s="2423"/>
    </row>
    <row r="9939" spans="6:6">
      <c r="F9939" s="2423"/>
    </row>
    <row r="9940" spans="6:6">
      <c r="F9940" s="2423"/>
    </row>
    <row r="9941" spans="6:6">
      <c r="F9941" s="2423"/>
    </row>
    <row r="9942" spans="6:6">
      <c r="F9942" s="2423"/>
    </row>
    <row r="9943" spans="6:6">
      <c r="F9943" s="2423"/>
    </row>
    <row r="9944" spans="6:6">
      <c r="F9944" s="2423"/>
    </row>
    <row r="9945" spans="6:6">
      <c r="F9945" s="2423"/>
    </row>
    <row r="9946" spans="6:6">
      <c r="F9946" s="2423"/>
    </row>
    <row r="9947" spans="6:6">
      <c r="F9947" s="2423"/>
    </row>
    <row r="9948" spans="6:6">
      <c r="F9948" s="2423"/>
    </row>
    <row r="9949" spans="6:6">
      <c r="F9949" s="2423"/>
    </row>
    <row r="9950" spans="6:6">
      <c r="F9950" s="2423"/>
    </row>
    <row r="9951" spans="6:6">
      <c r="F9951" s="2423"/>
    </row>
    <row r="9952" spans="6:6">
      <c r="F9952" s="2423"/>
    </row>
    <row r="9953" spans="6:6">
      <c r="F9953" s="2423"/>
    </row>
    <row r="9954" spans="6:6">
      <c r="F9954" s="2423"/>
    </row>
    <row r="9955" spans="6:6">
      <c r="F9955" s="2423"/>
    </row>
    <row r="9956" spans="6:6">
      <c r="F9956" s="2423"/>
    </row>
    <row r="9957" spans="6:6">
      <c r="F9957" s="2423"/>
    </row>
    <row r="9958" spans="6:6">
      <c r="F9958" s="2423"/>
    </row>
    <row r="9959" spans="6:6">
      <c r="F9959" s="2423"/>
    </row>
    <row r="9960" spans="6:6">
      <c r="F9960" s="2423"/>
    </row>
    <row r="9961" spans="6:6">
      <c r="F9961" s="2423"/>
    </row>
    <row r="9962" spans="6:6">
      <c r="F9962" s="2423"/>
    </row>
    <row r="9963" spans="6:6">
      <c r="F9963" s="2423"/>
    </row>
    <row r="9964" spans="6:6">
      <c r="F9964" s="2423"/>
    </row>
    <row r="9965" spans="6:6">
      <c r="F9965" s="2423"/>
    </row>
    <row r="9966" spans="6:6">
      <c r="F9966" s="2423"/>
    </row>
    <row r="9967" spans="6:6">
      <c r="F9967" s="2423"/>
    </row>
    <row r="9968" spans="6:6">
      <c r="F9968" s="2423"/>
    </row>
    <row r="9969" spans="6:6">
      <c r="F9969" s="2423"/>
    </row>
    <row r="9970" spans="6:6">
      <c r="F9970" s="2423"/>
    </row>
    <row r="9971" spans="6:6">
      <c r="F9971" s="2423"/>
    </row>
    <row r="9972" spans="6:6">
      <c r="F9972" s="2423"/>
    </row>
    <row r="9973" spans="6:6">
      <c r="F9973" s="2423"/>
    </row>
    <row r="9974" spans="6:6">
      <c r="F9974" s="2423"/>
    </row>
    <row r="9975" spans="6:6">
      <c r="F9975" s="2423"/>
    </row>
    <row r="9976" spans="6:6">
      <c r="F9976" s="2423"/>
    </row>
    <row r="9977" spans="6:6">
      <c r="F9977" s="2423"/>
    </row>
    <row r="9978" spans="6:6">
      <c r="F9978" s="2423"/>
    </row>
    <row r="9979" spans="6:6">
      <c r="F9979" s="2423"/>
    </row>
    <row r="9980" spans="6:6">
      <c r="F9980" s="2423"/>
    </row>
    <row r="9981" spans="6:6">
      <c r="F9981" s="2423"/>
    </row>
    <row r="9982" spans="6:6">
      <c r="F9982" s="2423"/>
    </row>
    <row r="9983" spans="6:6">
      <c r="F9983" s="2423"/>
    </row>
    <row r="9984" spans="6:6">
      <c r="F9984" s="2423"/>
    </row>
    <row r="9985" spans="6:6">
      <c r="F9985" s="2423"/>
    </row>
    <row r="9986" spans="6:6">
      <c r="F9986" s="2423"/>
    </row>
    <row r="9987" spans="6:6">
      <c r="F9987" s="2423"/>
    </row>
    <row r="9988" spans="6:6">
      <c r="F9988" s="2423"/>
    </row>
    <row r="9989" spans="6:6">
      <c r="F9989" s="2423"/>
    </row>
    <row r="9990" spans="6:6">
      <c r="F9990" s="2423"/>
    </row>
    <row r="9991" spans="6:6">
      <c r="F9991" s="2423"/>
    </row>
    <row r="9992" spans="6:6">
      <c r="F9992" s="2423"/>
    </row>
    <row r="9993" spans="6:6">
      <c r="F9993" s="2423"/>
    </row>
    <row r="9994" spans="6:6">
      <c r="F9994" s="2423"/>
    </row>
    <row r="9995" spans="6:6">
      <c r="F9995" s="2423"/>
    </row>
    <row r="9996" spans="6:6">
      <c r="F9996" s="2423"/>
    </row>
    <row r="9997" spans="6:6">
      <c r="F9997" s="2423"/>
    </row>
    <row r="9998" spans="6:6">
      <c r="F9998" s="2423"/>
    </row>
    <row r="9999" spans="6:6">
      <c r="F9999" s="2423"/>
    </row>
    <row r="10000" spans="6:6">
      <c r="F10000" s="2423"/>
    </row>
    <row r="10001" spans="6:6">
      <c r="F10001" s="2423"/>
    </row>
    <row r="10002" spans="6:6">
      <c r="F10002" s="2423"/>
    </row>
    <row r="10003" spans="6:6">
      <c r="F10003" s="2423"/>
    </row>
    <row r="10004" spans="6:6">
      <c r="F10004" s="2423"/>
    </row>
    <row r="10005" spans="6:6">
      <c r="F10005" s="2423"/>
    </row>
    <row r="10006" spans="6:6">
      <c r="F10006" s="2423"/>
    </row>
    <row r="10007" spans="6:6">
      <c r="F10007" s="2423"/>
    </row>
    <row r="10008" spans="6:6">
      <c r="F10008" s="2423"/>
    </row>
    <row r="10009" spans="6:6">
      <c r="F10009" s="2423"/>
    </row>
    <row r="10010" spans="6:6">
      <c r="F10010" s="2423"/>
    </row>
    <row r="10011" spans="6:6">
      <c r="F10011" s="2423"/>
    </row>
    <row r="10012" spans="6:6">
      <c r="F10012" s="2423"/>
    </row>
    <row r="10013" spans="6:6">
      <c r="F10013" s="2423"/>
    </row>
    <row r="10014" spans="6:6">
      <c r="F10014" s="2423"/>
    </row>
    <row r="10015" spans="6:6">
      <c r="F10015" s="2423"/>
    </row>
    <row r="10016" spans="6:6">
      <c r="F10016" s="2423"/>
    </row>
    <row r="10017" spans="6:6">
      <c r="F10017" s="2423"/>
    </row>
    <row r="10018" spans="6:6">
      <c r="F10018" s="2423"/>
    </row>
    <row r="10019" spans="6:6">
      <c r="F10019" s="2423"/>
    </row>
    <row r="10020" spans="6:6">
      <c r="F10020" s="2423"/>
    </row>
    <row r="10021" spans="6:6">
      <c r="F10021" s="2423"/>
    </row>
    <row r="10022" spans="6:6">
      <c r="F10022" s="2423"/>
    </row>
    <row r="10023" spans="6:6">
      <c r="F10023" s="2423"/>
    </row>
    <row r="10024" spans="6:6">
      <c r="F10024" s="2423"/>
    </row>
    <row r="10025" spans="6:6">
      <c r="F10025" s="2423"/>
    </row>
    <row r="10026" spans="6:6">
      <c r="F10026" s="2423"/>
    </row>
    <row r="10027" spans="6:6">
      <c r="F10027" s="2423"/>
    </row>
    <row r="10028" spans="6:6">
      <c r="F10028" s="2423"/>
    </row>
    <row r="10029" spans="6:6">
      <c r="F10029" s="2423"/>
    </row>
    <row r="10030" spans="6:6">
      <c r="F10030" s="2423"/>
    </row>
    <row r="10031" spans="6:6">
      <c r="F10031" s="2423"/>
    </row>
    <row r="10032" spans="6:6">
      <c r="F10032" s="2423"/>
    </row>
    <row r="10033" spans="6:6">
      <c r="F10033" s="2423"/>
    </row>
    <row r="10034" spans="6:6">
      <c r="F10034" s="2423"/>
    </row>
    <row r="10035" spans="6:6">
      <c r="F10035" s="2423"/>
    </row>
    <row r="10036" spans="6:6">
      <c r="F10036" s="2423"/>
    </row>
    <row r="10037" spans="6:6">
      <c r="F10037" s="2423"/>
    </row>
    <row r="10038" spans="6:6">
      <c r="F10038" s="2423"/>
    </row>
    <row r="10039" spans="6:6">
      <c r="F10039" s="2423"/>
    </row>
    <row r="10040" spans="6:6">
      <c r="F10040" s="2423"/>
    </row>
    <row r="10041" spans="6:6">
      <c r="F10041" s="2423"/>
    </row>
    <row r="10042" spans="6:6">
      <c r="F10042" s="2423"/>
    </row>
    <row r="10043" spans="6:6">
      <c r="F10043" s="2423"/>
    </row>
    <row r="10044" spans="6:6">
      <c r="F10044" s="2423"/>
    </row>
    <row r="10045" spans="6:6">
      <c r="F10045" s="2423"/>
    </row>
    <row r="10046" spans="6:6">
      <c r="F10046" s="2423"/>
    </row>
    <row r="10047" spans="6:6">
      <c r="F10047" s="2423"/>
    </row>
    <row r="10048" spans="6:6">
      <c r="F10048" s="2423"/>
    </row>
    <row r="10049" spans="6:6">
      <c r="F10049" s="2423"/>
    </row>
    <row r="10050" spans="6:6">
      <c r="F10050" s="2423"/>
    </row>
    <row r="10051" spans="6:6">
      <c r="F10051" s="2423"/>
    </row>
    <row r="10052" spans="6:6">
      <c r="F10052" s="2423"/>
    </row>
    <row r="10053" spans="6:6">
      <c r="F10053" s="2423"/>
    </row>
    <row r="10054" spans="6:6">
      <c r="F10054" s="2423"/>
    </row>
    <row r="10055" spans="6:6">
      <c r="F10055" s="2423"/>
    </row>
    <row r="10056" spans="6:6">
      <c r="F10056" s="2423"/>
    </row>
    <row r="10057" spans="6:6">
      <c r="F10057" s="2423"/>
    </row>
    <row r="10058" spans="6:6">
      <c r="F10058" s="2423"/>
    </row>
    <row r="10059" spans="6:6">
      <c r="F10059" s="2423"/>
    </row>
    <row r="10060" spans="6:6">
      <c r="F10060" s="2423"/>
    </row>
    <row r="10061" spans="6:6">
      <c r="F10061" s="2423"/>
    </row>
    <row r="10062" spans="6:6">
      <c r="F10062" s="2423"/>
    </row>
    <row r="10063" spans="6:6">
      <c r="F10063" s="2423"/>
    </row>
    <row r="10064" spans="6:6">
      <c r="F10064" s="2423"/>
    </row>
    <row r="10065" spans="6:6">
      <c r="F10065" s="2423"/>
    </row>
    <row r="10066" spans="6:6">
      <c r="F10066" s="2423"/>
    </row>
    <row r="10067" spans="6:6">
      <c r="F10067" s="2423"/>
    </row>
    <row r="10068" spans="6:6">
      <c r="F10068" s="2423"/>
    </row>
    <row r="10069" spans="6:6">
      <c r="F10069" s="2423"/>
    </row>
    <row r="10070" spans="6:6">
      <c r="F10070" s="2423"/>
    </row>
    <row r="10071" spans="6:6">
      <c r="F10071" s="2423"/>
    </row>
    <row r="10072" spans="6:6">
      <c r="F10072" s="2423"/>
    </row>
    <row r="10073" spans="6:6">
      <c r="F10073" s="2423"/>
    </row>
    <row r="10074" spans="6:6">
      <c r="F10074" s="2423"/>
    </row>
    <row r="10075" spans="6:6">
      <c r="F10075" s="2423"/>
    </row>
    <row r="10076" spans="6:6">
      <c r="F10076" s="2423"/>
    </row>
    <row r="10077" spans="6:6">
      <c r="F10077" s="2423"/>
    </row>
    <row r="10078" spans="6:6">
      <c r="F10078" s="2423"/>
    </row>
    <row r="10079" spans="6:6">
      <c r="F10079" s="2423"/>
    </row>
    <row r="10080" spans="6:6">
      <c r="F10080" s="2423"/>
    </row>
    <row r="10081" spans="6:6">
      <c r="F10081" s="2423"/>
    </row>
    <row r="10082" spans="6:6">
      <c r="F10082" s="2423"/>
    </row>
    <row r="10083" spans="6:6">
      <c r="F10083" s="2423"/>
    </row>
    <row r="10084" spans="6:6">
      <c r="F10084" s="2423"/>
    </row>
    <row r="10085" spans="6:6">
      <c r="F10085" s="2423"/>
    </row>
    <row r="10086" spans="6:6">
      <c r="F10086" s="2423"/>
    </row>
    <row r="10087" spans="6:6">
      <c r="F10087" s="2423"/>
    </row>
    <row r="10088" spans="6:6">
      <c r="F10088" s="2423"/>
    </row>
    <row r="10089" spans="6:6">
      <c r="F10089" s="2423"/>
    </row>
    <row r="10090" spans="6:6">
      <c r="F10090" s="2423"/>
    </row>
    <row r="10091" spans="6:6">
      <c r="F10091" s="2423"/>
    </row>
    <row r="10092" spans="6:6">
      <c r="F10092" s="2423"/>
    </row>
    <row r="10093" spans="6:6">
      <c r="F10093" s="2423"/>
    </row>
    <row r="10094" spans="6:6">
      <c r="F10094" s="2423"/>
    </row>
    <row r="10095" spans="6:6">
      <c r="F10095" s="2423"/>
    </row>
    <row r="10096" spans="6:6">
      <c r="F10096" s="2423"/>
    </row>
    <row r="10097" spans="6:6">
      <c r="F10097" s="2423"/>
    </row>
    <row r="10098" spans="6:6">
      <c r="F10098" s="2423"/>
    </row>
    <row r="10099" spans="6:6">
      <c r="F10099" s="2423"/>
    </row>
    <row r="10100" spans="6:6">
      <c r="F10100" s="2423"/>
    </row>
    <row r="10101" spans="6:6">
      <c r="F10101" s="2423"/>
    </row>
    <row r="10102" spans="6:6">
      <c r="F10102" s="2423"/>
    </row>
    <row r="10103" spans="6:6">
      <c r="F10103" s="2423"/>
    </row>
    <row r="10104" spans="6:6">
      <c r="F10104" s="2423"/>
    </row>
    <row r="10105" spans="6:6">
      <c r="F10105" s="2423"/>
    </row>
    <row r="10106" spans="6:6">
      <c r="F10106" s="2423"/>
    </row>
    <row r="10107" spans="6:6">
      <c r="F10107" s="2423"/>
    </row>
    <row r="10108" spans="6:6">
      <c r="F10108" s="2423"/>
    </row>
    <row r="10109" spans="6:6">
      <c r="F10109" s="2423"/>
    </row>
    <row r="10110" spans="6:6">
      <c r="F10110" s="2423"/>
    </row>
    <row r="10111" spans="6:6">
      <c r="F10111" s="2423"/>
    </row>
    <row r="10112" spans="6:6">
      <c r="F10112" s="2423"/>
    </row>
    <row r="10113" spans="6:6">
      <c r="F10113" s="2423"/>
    </row>
    <row r="10114" spans="6:6">
      <c r="F10114" s="2423"/>
    </row>
    <row r="10115" spans="6:6">
      <c r="F10115" s="2423"/>
    </row>
    <row r="10116" spans="6:6">
      <c r="F10116" s="2423"/>
    </row>
    <row r="10117" spans="6:6">
      <c r="F10117" s="2423"/>
    </row>
    <row r="10118" spans="6:6">
      <c r="F10118" s="2423"/>
    </row>
    <row r="10119" spans="6:6">
      <c r="F10119" s="2423"/>
    </row>
    <row r="10120" spans="6:6">
      <c r="F10120" s="2423"/>
    </row>
    <row r="10121" spans="6:6">
      <c r="F10121" s="2423"/>
    </row>
    <row r="10122" spans="6:6">
      <c r="F10122" s="2423"/>
    </row>
    <row r="10123" spans="6:6">
      <c r="F10123" s="2423"/>
    </row>
    <row r="10124" spans="6:6">
      <c r="F10124" s="2423"/>
    </row>
    <row r="10125" spans="6:6">
      <c r="F10125" s="2423"/>
    </row>
    <row r="10126" spans="6:6">
      <c r="F10126" s="2423"/>
    </row>
    <row r="10127" spans="6:6">
      <c r="F10127" s="2423"/>
    </row>
    <row r="10128" spans="6:6">
      <c r="F10128" s="2423"/>
    </row>
    <row r="10129" spans="6:6">
      <c r="F10129" s="2423"/>
    </row>
    <row r="10130" spans="6:6">
      <c r="F10130" s="2423"/>
    </row>
    <row r="10131" spans="6:6">
      <c r="F10131" s="2423"/>
    </row>
    <row r="10132" spans="6:6">
      <c r="F10132" s="2423"/>
    </row>
    <row r="10133" spans="6:6">
      <c r="F10133" s="2423"/>
    </row>
    <row r="10134" spans="6:6">
      <c r="F10134" s="2423"/>
    </row>
    <row r="10135" spans="6:6">
      <c r="F10135" s="2423"/>
    </row>
    <row r="10136" spans="6:6">
      <c r="F10136" s="2423"/>
    </row>
    <row r="10137" spans="6:6">
      <c r="F10137" s="2423"/>
    </row>
    <row r="10138" spans="6:6">
      <c r="F10138" s="2423"/>
    </row>
    <row r="10139" spans="6:6">
      <c r="F10139" s="2423"/>
    </row>
    <row r="10140" spans="6:6">
      <c r="F10140" s="2423"/>
    </row>
    <row r="10141" spans="6:6">
      <c r="F10141" s="2423"/>
    </row>
    <row r="10142" spans="6:6">
      <c r="F10142" s="2423"/>
    </row>
    <row r="10143" spans="6:6">
      <c r="F10143" s="2423"/>
    </row>
    <row r="10144" spans="6:6">
      <c r="F10144" s="2423"/>
    </row>
    <row r="10145" spans="6:6">
      <c r="F10145" s="2423"/>
    </row>
    <row r="10146" spans="6:6">
      <c r="F10146" s="2423"/>
    </row>
    <row r="10147" spans="6:6">
      <c r="F10147" s="2423"/>
    </row>
    <row r="10148" spans="6:6">
      <c r="F10148" s="2423"/>
    </row>
    <row r="10149" spans="6:6">
      <c r="F10149" s="2423"/>
    </row>
    <row r="10150" spans="6:6">
      <c r="F10150" s="2423"/>
    </row>
    <row r="10151" spans="6:6">
      <c r="F10151" s="2423"/>
    </row>
    <row r="10152" spans="6:6">
      <c r="F10152" s="2423"/>
    </row>
    <row r="10153" spans="6:6">
      <c r="F10153" s="2423"/>
    </row>
    <row r="10154" spans="6:6">
      <c r="F10154" s="2423"/>
    </row>
    <row r="10155" spans="6:6">
      <c r="F10155" s="2423"/>
    </row>
    <row r="10156" spans="6:6">
      <c r="F10156" s="2423"/>
    </row>
    <row r="10157" spans="6:6">
      <c r="F10157" s="2423"/>
    </row>
    <row r="10158" spans="6:6">
      <c r="F10158" s="2423"/>
    </row>
    <row r="10159" spans="6:6">
      <c r="F10159" s="2423"/>
    </row>
    <row r="10160" spans="6:6">
      <c r="F10160" s="2423"/>
    </row>
    <row r="10161" spans="6:6">
      <c r="F10161" s="2423"/>
    </row>
    <row r="10162" spans="6:6">
      <c r="F10162" s="2423"/>
    </row>
    <row r="10163" spans="6:6">
      <c r="F10163" s="2423"/>
    </row>
    <row r="10164" spans="6:6">
      <c r="F10164" s="2423"/>
    </row>
    <row r="10165" spans="6:6">
      <c r="F10165" s="2423"/>
    </row>
    <row r="10166" spans="6:6">
      <c r="F10166" s="2423"/>
    </row>
    <row r="10167" spans="6:6">
      <c r="F10167" s="2423"/>
    </row>
    <row r="10168" spans="6:6">
      <c r="F10168" s="2423"/>
    </row>
    <row r="10169" spans="6:6">
      <c r="F10169" s="2423"/>
    </row>
    <row r="10170" spans="6:6">
      <c r="F10170" s="2423"/>
    </row>
    <row r="10171" spans="6:6">
      <c r="F10171" s="2423"/>
    </row>
    <row r="10172" spans="6:6">
      <c r="F10172" s="2423"/>
    </row>
    <row r="10173" spans="6:6">
      <c r="F10173" s="2423"/>
    </row>
    <row r="10174" spans="6:6">
      <c r="F10174" s="2423"/>
    </row>
    <row r="10175" spans="6:6">
      <c r="F10175" s="2423"/>
    </row>
    <row r="10176" spans="6:6">
      <c r="F10176" s="2423"/>
    </row>
    <row r="10177" spans="6:6">
      <c r="F10177" s="2423"/>
    </row>
    <row r="10178" spans="6:6">
      <c r="F10178" s="2423"/>
    </row>
    <row r="10179" spans="6:6">
      <c r="F10179" s="2423"/>
    </row>
    <row r="10180" spans="6:6">
      <c r="F10180" s="2423"/>
    </row>
    <row r="10181" spans="6:6">
      <c r="F10181" s="2423"/>
    </row>
    <row r="10182" spans="6:6">
      <c r="F10182" s="2423"/>
    </row>
    <row r="10183" spans="6:6">
      <c r="F10183" s="2423"/>
    </row>
    <row r="10184" spans="6:6">
      <c r="F10184" s="2423"/>
    </row>
    <row r="10185" spans="6:6">
      <c r="F10185" s="2423"/>
    </row>
    <row r="10186" spans="6:6">
      <c r="F10186" s="2423"/>
    </row>
    <row r="10187" spans="6:6">
      <c r="F10187" s="2423"/>
    </row>
    <row r="10188" spans="6:6">
      <c r="F10188" s="2423"/>
    </row>
    <row r="10189" spans="6:6">
      <c r="F10189" s="2423"/>
    </row>
    <row r="10190" spans="6:6">
      <c r="F10190" s="2423"/>
    </row>
    <row r="10191" spans="6:6">
      <c r="F10191" s="2423"/>
    </row>
    <row r="10192" spans="6:6">
      <c r="F10192" s="2423"/>
    </row>
    <row r="10193" spans="6:6">
      <c r="F10193" s="2423"/>
    </row>
    <row r="10194" spans="6:6">
      <c r="F10194" s="2423"/>
    </row>
    <row r="10195" spans="6:6">
      <c r="F10195" s="2423"/>
    </row>
    <row r="10196" spans="6:6">
      <c r="F10196" s="2423"/>
    </row>
    <row r="10197" spans="6:6">
      <c r="F10197" s="2423"/>
    </row>
    <row r="10198" spans="6:6">
      <c r="F10198" s="2423"/>
    </row>
    <row r="10199" spans="6:6">
      <c r="F10199" s="2423"/>
    </row>
    <row r="10200" spans="6:6">
      <c r="F10200" s="2423"/>
    </row>
    <row r="10201" spans="6:6">
      <c r="F10201" s="2423"/>
    </row>
    <row r="10202" spans="6:6">
      <c r="F10202" s="2423"/>
    </row>
    <row r="10203" spans="6:6">
      <c r="F10203" s="2423"/>
    </row>
    <row r="10204" spans="6:6">
      <c r="F10204" s="2423"/>
    </row>
    <row r="10205" spans="6:6">
      <c r="F10205" s="2423"/>
    </row>
    <row r="10206" spans="6:6">
      <c r="F10206" s="2423"/>
    </row>
    <row r="10207" spans="6:6">
      <c r="F10207" s="2423"/>
    </row>
    <row r="10208" spans="6:6">
      <c r="F10208" s="2423"/>
    </row>
    <row r="10209" spans="6:6">
      <c r="F10209" s="2423"/>
    </row>
    <row r="10210" spans="6:6">
      <c r="F10210" s="2423"/>
    </row>
    <row r="10211" spans="6:6">
      <c r="F10211" s="2423"/>
    </row>
    <row r="10212" spans="6:6">
      <c r="F10212" s="2423"/>
    </row>
    <row r="10213" spans="6:6">
      <c r="F10213" s="2423"/>
    </row>
    <row r="10214" spans="6:6">
      <c r="F10214" s="2423"/>
    </row>
    <row r="10215" spans="6:6">
      <c r="F10215" s="2423"/>
    </row>
    <row r="10216" spans="6:6">
      <c r="F10216" s="2423"/>
    </row>
    <row r="10217" spans="6:6">
      <c r="F10217" s="2423"/>
    </row>
    <row r="10218" spans="6:6">
      <c r="F10218" s="2423"/>
    </row>
    <row r="10219" spans="6:6">
      <c r="F10219" s="2423"/>
    </row>
    <row r="10220" spans="6:6">
      <c r="F10220" s="2423"/>
    </row>
    <row r="10221" spans="6:6">
      <c r="F10221" s="2423"/>
    </row>
    <row r="10222" spans="6:6">
      <c r="F10222" s="2423"/>
    </row>
    <row r="10223" spans="6:6">
      <c r="F10223" s="2423"/>
    </row>
    <row r="10224" spans="6:6">
      <c r="F10224" s="2423"/>
    </row>
    <row r="10225" spans="6:6">
      <c r="F10225" s="2423"/>
    </row>
    <row r="10226" spans="6:6">
      <c r="F10226" s="2423"/>
    </row>
    <row r="10227" spans="6:6">
      <c r="F10227" s="2423"/>
    </row>
    <row r="10228" spans="6:6">
      <c r="F10228" s="2423"/>
    </row>
    <row r="10229" spans="6:6">
      <c r="F10229" s="2423"/>
    </row>
    <row r="10230" spans="6:6">
      <c r="F10230" s="2423"/>
    </row>
    <row r="10231" spans="6:6">
      <c r="F10231" s="2423"/>
    </row>
    <row r="10232" spans="6:6">
      <c r="F10232" s="2423"/>
    </row>
    <row r="10233" spans="6:6">
      <c r="F10233" s="2423"/>
    </row>
    <row r="10234" spans="6:6">
      <c r="F10234" s="2423"/>
    </row>
    <row r="10235" spans="6:6">
      <c r="F10235" s="2423"/>
    </row>
    <row r="10236" spans="6:6">
      <c r="F10236" s="2423"/>
    </row>
    <row r="10237" spans="6:6">
      <c r="F10237" s="2423"/>
    </row>
    <row r="10238" spans="6:6">
      <c r="F10238" s="2423"/>
    </row>
    <row r="10239" spans="6:6">
      <c r="F10239" s="2423"/>
    </row>
    <row r="10240" spans="6:6">
      <c r="F10240" s="2423"/>
    </row>
    <row r="10241" spans="6:6">
      <c r="F10241" s="2423"/>
    </row>
    <row r="10242" spans="6:6">
      <c r="F10242" s="2423"/>
    </row>
    <row r="10243" spans="6:6">
      <c r="F10243" s="2423"/>
    </row>
    <row r="10244" spans="6:6">
      <c r="F10244" s="2423"/>
    </row>
    <row r="10245" spans="6:6">
      <c r="F10245" s="2423"/>
    </row>
    <row r="10246" spans="6:6">
      <c r="F10246" s="2423"/>
    </row>
    <row r="10247" spans="6:6">
      <c r="F10247" s="2423"/>
    </row>
    <row r="10248" spans="6:6">
      <c r="F10248" s="2423"/>
    </row>
    <row r="10249" spans="6:6">
      <c r="F10249" s="2423"/>
    </row>
    <row r="10250" spans="6:6">
      <c r="F10250" s="2423"/>
    </row>
    <row r="10251" spans="6:6">
      <c r="F10251" s="2423"/>
    </row>
    <row r="10252" spans="6:6">
      <c r="F10252" s="2423"/>
    </row>
    <row r="10253" spans="6:6">
      <c r="F10253" s="2423"/>
    </row>
    <row r="10254" spans="6:6">
      <c r="F10254" s="2423"/>
    </row>
    <row r="10255" spans="6:6">
      <c r="F10255" s="2423"/>
    </row>
    <row r="10256" spans="6:6">
      <c r="F10256" s="2423"/>
    </row>
    <row r="10257" spans="6:6">
      <c r="F10257" s="2423"/>
    </row>
    <row r="10258" spans="6:6">
      <c r="F10258" s="2423"/>
    </row>
    <row r="10259" spans="6:6">
      <c r="F10259" s="2423"/>
    </row>
    <row r="10260" spans="6:6">
      <c r="F10260" s="2423"/>
    </row>
    <row r="10261" spans="6:6">
      <c r="F10261" s="2423"/>
    </row>
    <row r="10262" spans="6:6">
      <c r="F10262" s="2423"/>
    </row>
    <row r="10263" spans="6:6">
      <c r="F10263" s="2423"/>
    </row>
    <row r="10264" spans="6:6">
      <c r="F10264" s="2423"/>
    </row>
    <row r="10265" spans="6:6">
      <c r="F10265" s="2423"/>
    </row>
    <row r="10266" spans="6:6">
      <c r="F10266" s="2423"/>
    </row>
    <row r="10267" spans="6:6">
      <c r="F10267" s="2423"/>
    </row>
    <row r="10268" spans="6:6">
      <c r="F10268" s="2423"/>
    </row>
    <row r="10269" spans="6:6">
      <c r="F10269" s="2423"/>
    </row>
    <row r="10270" spans="6:6">
      <c r="F10270" s="2423"/>
    </row>
    <row r="10271" spans="6:6">
      <c r="F10271" s="2423"/>
    </row>
    <row r="10272" spans="6:6">
      <c r="F10272" s="2423"/>
    </row>
    <row r="10273" spans="6:6">
      <c r="F10273" s="2423"/>
    </row>
    <row r="10274" spans="6:6">
      <c r="F10274" s="2423"/>
    </row>
    <row r="10275" spans="6:6">
      <c r="F10275" s="2423"/>
    </row>
    <row r="10276" spans="6:6">
      <c r="F10276" s="2423"/>
    </row>
    <row r="10277" spans="6:6">
      <c r="F10277" s="2423"/>
    </row>
    <row r="10278" spans="6:6">
      <c r="F10278" s="2423"/>
    </row>
    <row r="10279" spans="6:6">
      <c r="F10279" s="2423"/>
    </row>
    <row r="10280" spans="6:6">
      <c r="F10280" s="2423"/>
    </row>
    <row r="10281" spans="6:6">
      <c r="F10281" s="2423"/>
    </row>
    <row r="10282" spans="6:6">
      <c r="F10282" s="2423"/>
    </row>
    <row r="10283" spans="6:6">
      <c r="F10283" s="2423"/>
    </row>
    <row r="10284" spans="6:6">
      <c r="F10284" s="2423"/>
    </row>
    <row r="10285" spans="6:6">
      <c r="F10285" s="2423"/>
    </row>
    <row r="10286" spans="6:6">
      <c r="F10286" s="2423"/>
    </row>
    <row r="10287" spans="6:6">
      <c r="F10287" s="2423"/>
    </row>
    <row r="10288" spans="6:6">
      <c r="F10288" s="2423"/>
    </row>
    <row r="10289" spans="6:6">
      <c r="F10289" s="2423"/>
    </row>
    <row r="10290" spans="6:6">
      <c r="F10290" s="2423"/>
    </row>
    <row r="10291" spans="6:6">
      <c r="F10291" s="2423"/>
    </row>
    <row r="10292" spans="6:6">
      <c r="F10292" s="2423"/>
    </row>
    <row r="10293" spans="6:6">
      <c r="F10293" s="2423"/>
    </row>
    <row r="10294" spans="6:6">
      <c r="F10294" s="2423"/>
    </row>
    <row r="10295" spans="6:6">
      <c r="F10295" s="2423"/>
    </row>
    <row r="10296" spans="6:6">
      <c r="F10296" s="2423"/>
    </row>
    <row r="10297" spans="6:6">
      <c r="F10297" s="2423"/>
    </row>
    <row r="10298" spans="6:6">
      <c r="F10298" s="2423"/>
    </row>
    <row r="10299" spans="6:6">
      <c r="F10299" s="2423"/>
    </row>
    <row r="10300" spans="6:6">
      <c r="F10300" s="2423"/>
    </row>
    <row r="10301" spans="6:6">
      <c r="F10301" s="2423"/>
    </row>
    <row r="10302" spans="6:6">
      <c r="F10302" s="2423"/>
    </row>
    <row r="10303" spans="6:6">
      <c r="F10303" s="2423"/>
    </row>
    <row r="10304" spans="6:6">
      <c r="F10304" s="2423"/>
    </row>
    <row r="10305" spans="6:6">
      <c r="F10305" s="2423"/>
    </row>
    <row r="10306" spans="6:6">
      <c r="F10306" s="2423"/>
    </row>
    <row r="10307" spans="6:6">
      <c r="F10307" s="2423"/>
    </row>
    <row r="10308" spans="6:6">
      <c r="F10308" s="2423"/>
    </row>
    <row r="10309" spans="6:6">
      <c r="F10309" s="2423"/>
    </row>
    <row r="10310" spans="6:6">
      <c r="F10310" s="2423"/>
    </row>
    <row r="10311" spans="6:6">
      <c r="F10311" s="2423"/>
    </row>
    <row r="10312" spans="6:6">
      <c r="F10312" s="2423"/>
    </row>
    <row r="10313" spans="6:6">
      <c r="F10313" s="2423"/>
    </row>
    <row r="10314" spans="6:6">
      <c r="F10314" s="2423"/>
    </row>
    <row r="10315" spans="6:6">
      <c r="F10315" s="2423"/>
    </row>
    <row r="10316" spans="6:6">
      <c r="F10316" s="2423"/>
    </row>
    <row r="10317" spans="6:6">
      <c r="F10317" s="2423"/>
    </row>
    <row r="10318" spans="6:6">
      <c r="F10318" s="2423"/>
    </row>
    <row r="10319" spans="6:6">
      <c r="F10319" s="2423"/>
    </row>
    <row r="10320" spans="6:6">
      <c r="F10320" s="2423"/>
    </row>
    <row r="10321" spans="6:6">
      <c r="F10321" s="2423"/>
    </row>
    <row r="10322" spans="6:6">
      <c r="F10322" s="2423"/>
    </row>
    <row r="10323" spans="6:6">
      <c r="F10323" s="2423"/>
    </row>
    <row r="10324" spans="6:6">
      <c r="F10324" s="2423"/>
    </row>
    <row r="10325" spans="6:6">
      <c r="F10325" s="2423"/>
    </row>
    <row r="10326" spans="6:6">
      <c r="F10326" s="2423"/>
    </row>
    <row r="10327" spans="6:6">
      <c r="F10327" s="2423"/>
    </row>
    <row r="10328" spans="6:6">
      <c r="F10328" s="2423"/>
    </row>
    <row r="10329" spans="6:6">
      <c r="F10329" s="2423"/>
    </row>
    <row r="10330" spans="6:6">
      <c r="F10330" s="2423"/>
    </row>
    <row r="10331" spans="6:6">
      <c r="F10331" s="2423"/>
    </row>
    <row r="10332" spans="6:6">
      <c r="F10332" s="2423"/>
    </row>
    <row r="10333" spans="6:6">
      <c r="F10333" s="2423"/>
    </row>
    <row r="10334" spans="6:6">
      <c r="F10334" s="2423"/>
    </row>
    <row r="10335" spans="6:6">
      <c r="F10335" s="2423"/>
    </row>
    <row r="10336" spans="6:6">
      <c r="F10336" s="2423"/>
    </row>
    <row r="10337" spans="6:6">
      <c r="F10337" s="2423"/>
    </row>
    <row r="10338" spans="6:6">
      <c r="F10338" s="2423"/>
    </row>
    <row r="10339" spans="6:6">
      <c r="F10339" s="2423"/>
    </row>
    <row r="10340" spans="6:6">
      <c r="F10340" s="2423"/>
    </row>
    <row r="10341" spans="6:6">
      <c r="F10341" s="2423"/>
    </row>
    <row r="10342" spans="6:6">
      <c r="F10342" s="2423"/>
    </row>
    <row r="10343" spans="6:6">
      <c r="F10343" s="2423"/>
    </row>
    <row r="10344" spans="6:6">
      <c r="F10344" s="2423"/>
    </row>
    <row r="10345" spans="6:6">
      <c r="F10345" s="2423"/>
    </row>
    <row r="10346" spans="6:6">
      <c r="F10346" s="2423"/>
    </row>
    <row r="10347" spans="6:6">
      <c r="F10347" s="2423"/>
    </row>
    <row r="10348" spans="6:6">
      <c r="F10348" s="2423"/>
    </row>
    <row r="10349" spans="6:6">
      <c r="F10349" s="2423"/>
    </row>
    <row r="10350" spans="6:6">
      <c r="F10350" s="2423"/>
    </row>
    <row r="10351" spans="6:6">
      <c r="F10351" s="2423"/>
    </row>
    <row r="10352" spans="6:6">
      <c r="F10352" s="2423"/>
    </row>
    <row r="10353" spans="6:6">
      <c r="F10353" s="2423"/>
    </row>
    <row r="10354" spans="6:6">
      <c r="F10354" s="2423"/>
    </row>
    <row r="10355" spans="6:6">
      <c r="F10355" s="2423"/>
    </row>
    <row r="10356" spans="6:6">
      <c r="F10356" s="2423"/>
    </row>
    <row r="10357" spans="6:6">
      <c r="F10357" s="2423"/>
    </row>
    <row r="10358" spans="6:6">
      <c r="F10358" s="2423"/>
    </row>
    <row r="10359" spans="6:6">
      <c r="F10359" s="2423"/>
    </row>
    <row r="10360" spans="6:6">
      <c r="F10360" s="2423"/>
    </row>
    <row r="10361" spans="6:6">
      <c r="F10361" s="2423"/>
    </row>
    <row r="10362" spans="6:6">
      <c r="F10362" s="2423"/>
    </row>
    <row r="10363" spans="6:6">
      <c r="F10363" s="2423"/>
    </row>
    <row r="10364" spans="6:6">
      <c r="F10364" s="2423"/>
    </row>
    <row r="10365" spans="6:6">
      <c r="F10365" s="2423"/>
    </row>
    <row r="10366" spans="6:6">
      <c r="F10366" s="2423"/>
    </row>
    <row r="10367" spans="6:6">
      <c r="F10367" s="2423"/>
    </row>
    <row r="10368" spans="6:6">
      <c r="F10368" s="2423"/>
    </row>
    <row r="10369" spans="6:6">
      <c r="F10369" s="2423"/>
    </row>
    <row r="10370" spans="6:6">
      <c r="F10370" s="2423"/>
    </row>
    <row r="10371" spans="6:6">
      <c r="F10371" s="2423"/>
    </row>
    <row r="10372" spans="6:6">
      <c r="F10372" s="2423"/>
    </row>
    <row r="10373" spans="6:6">
      <c r="F10373" s="2423"/>
    </row>
    <row r="10374" spans="6:6">
      <c r="F10374" s="2423"/>
    </row>
    <row r="10375" spans="6:6">
      <c r="F10375" s="2423"/>
    </row>
    <row r="10376" spans="6:6">
      <c r="F10376" s="2423"/>
    </row>
    <row r="10377" spans="6:6">
      <c r="F10377" s="2423"/>
    </row>
    <row r="10378" spans="6:6">
      <c r="F10378" s="2423"/>
    </row>
    <row r="10379" spans="6:6">
      <c r="F10379" s="2423"/>
    </row>
    <row r="10380" spans="6:6">
      <c r="F10380" s="2423"/>
    </row>
    <row r="10381" spans="6:6">
      <c r="F10381" s="2423"/>
    </row>
    <row r="10382" spans="6:6">
      <c r="F10382" s="2423"/>
    </row>
    <row r="10383" spans="6:6">
      <c r="F10383" s="2423"/>
    </row>
    <row r="10384" spans="6:6">
      <c r="F10384" s="2423"/>
    </row>
    <row r="10385" spans="6:6">
      <c r="F10385" s="2423"/>
    </row>
    <row r="10386" spans="6:6">
      <c r="F10386" s="2423"/>
    </row>
    <row r="10387" spans="6:6">
      <c r="F10387" s="2423"/>
    </row>
    <row r="10388" spans="6:6">
      <c r="F10388" s="2423"/>
    </row>
    <row r="10389" spans="6:6">
      <c r="F10389" s="2423"/>
    </row>
    <row r="10390" spans="6:6">
      <c r="F10390" s="2423"/>
    </row>
    <row r="10391" spans="6:6">
      <c r="F10391" s="2423"/>
    </row>
    <row r="10392" spans="6:6">
      <c r="F10392" s="2423"/>
    </row>
    <row r="10393" spans="6:6">
      <c r="F10393" s="2423"/>
    </row>
    <row r="10394" spans="6:6">
      <c r="F10394" s="2423"/>
    </row>
    <row r="10395" spans="6:6">
      <c r="F10395" s="2423"/>
    </row>
    <row r="10396" spans="6:6">
      <c r="F10396" s="2423"/>
    </row>
    <row r="10397" spans="6:6">
      <c r="F10397" s="2423"/>
    </row>
    <row r="10398" spans="6:6">
      <c r="F10398" s="2423"/>
    </row>
    <row r="10399" spans="6:6">
      <c r="F10399" s="2423"/>
    </row>
    <row r="10400" spans="6:6">
      <c r="F10400" s="2423"/>
    </row>
    <row r="10401" spans="6:6">
      <c r="F10401" s="2423"/>
    </row>
    <row r="10402" spans="6:6">
      <c r="F10402" s="2423"/>
    </row>
    <row r="10403" spans="6:6">
      <c r="F10403" s="2423"/>
    </row>
    <row r="10404" spans="6:6">
      <c r="F10404" s="2423"/>
    </row>
    <row r="10405" spans="6:6">
      <c r="F10405" s="2423"/>
    </row>
    <row r="10406" spans="6:6">
      <c r="F10406" s="2423"/>
    </row>
    <row r="10407" spans="6:6">
      <c r="F10407" s="2423"/>
    </row>
    <row r="10408" spans="6:6">
      <c r="F10408" s="2423"/>
    </row>
    <row r="10409" spans="6:6">
      <c r="F10409" s="2423"/>
    </row>
    <row r="10410" spans="6:6">
      <c r="F10410" s="2423"/>
    </row>
    <row r="10411" spans="6:6">
      <c r="F10411" s="2423"/>
    </row>
    <row r="10412" spans="6:6">
      <c r="F10412" s="2423"/>
    </row>
    <row r="10413" spans="6:6">
      <c r="F10413" s="2423"/>
    </row>
    <row r="10414" spans="6:6">
      <c r="F10414" s="2423"/>
    </row>
    <row r="10415" spans="6:6">
      <c r="F10415" s="2423"/>
    </row>
    <row r="10416" spans="6:6">
      <c r="F10416" s="2423"/>
    </row>
    <row r="10417" spans="6:6">
      <c r="F10417" s="2423"/>
    </row>
    <row r="10418" spans="6:6">
      <c r="F10418" s="2423"/>
    </row>
    <row r="10419" spans="6:6">
      <c r="F10419" s="2423"/>
    </row>
    <row r="10420" spans="6:6">
      <c r="F10420" s="2423"/>
    </row>
    <row r="10421" spans="6:6">
      <c r="F10421" s="2423"/>
    </row>
    <row r="10422" spans="6:6">
      <c r="F10422" s="2423"/>
    </row>
    <row r="10423" spans="6:6">
      <c r="F10423" s="2423"/>
    </row>
    <row r="10424" spans="6:6">
      <c r="F10424" s="2423"/>
    </row>
    <row r="10425" spans="6:6">
      <c r="F10425" s="2423"/>
    </row>
    <row r="10426" spans="6:6">
      <c r="F10426" s="2423"/>
    </row>
    <row r="10427" spans="6:6">
      <c r="F10427" s="2423"/>
    </row>
    <row r="10428" spans="6:6">
      <c r="F10428" s="2423"/>
    </row>
    <row r="10429" spans="6:6">
      <c r="F10429" s="2423"/>
    </row>
    <row r="10430" spans="6:6">
      <c r="F10430" s="2423"/>
    </row>
    <row r="10431" spans="6:6">
      <c r="F10431" s="2423"/>
    </row>
    <row r="10432" spans="6:6">
      <c r="F10432" s="2423"/>
    </row>
    <row r="10433" spans="6:6">
      <c r="F10433" s="2423"/>
    </row>
    <row r="10434" spans="6:6">
      <c r="F10434" s="2423"/>
    </row>
    <row r="10435" spans="6:6">
      <c r="F10435" s="2423"/>
    </row>
    <row r="10436" spans="6:6">
      <c r="F10436" s="2423"/>
    </row>
    <row r="10437" spans="6:6">
      <c r="F10437" s="2423"/>
    </row>
    <row r="10438" spans="6:6">
      <c r="F10438" s="2423"/>
    </row>
    <row r="10439" spans="6:6">
      <c r="F10439" s="2423"/>
    </row>
    <row r="10440" spans="6:6">
      <c r="F10440" s="2423"/>
    </row>
    <row r="10441" spans="6:6">
      <c r="F10441" s="2423"/>
    </row>
    <row r="10442" spans="6:6">
      <c r="F10442" s="2423"/>
    </row>
    <row r="10443" spans="6:6">
      <c r="F10443" s="2423"/>
    </row>
    <row r="10444" spans="6:6">
      <c r="F10444" s="2423"/>
    </row>
    <row r="10445" spans="6:6">
      <c r="F10445" s="2423"/>
    </row>
    <row r="10446" spans="6:6">
      <c r="F10446" s="2423"/>
    </row>
    <row r="10447" spans="6:6">
      <c r="F10447" s="2423"/>
    </row>
    <row r="10448" spans="6:6">
      <c r="F10448" s="2423"/>
    </row>
    <row r="10449" spans="6:6">
      <c r="F10449" s="2423"/>
    </row>
    <row r="10450" spans="6:6">
      <c r="F10450" s="2423"/>
    </row>
    <row r="10451" spans="6:6">
      <c r="F10451" s="2423"/>
    </row>
    <row r="10452" spans="6:6">
      <c r="F10452" s="2423"/>
    </row>
    <row r="10453" spans="6:6">
      <c r="F10453" s="2423"/>
    </row>
    <row r="10454" spans="6:6">
      <c r="F10454" s="2423"/>
    </row>
    <row r="10455" spans="6:6">
      <c r="F10455" s="2423"/>
    </row>
    <row r="10456" spans="6:6">
      <c r="F10456" s="2423"/>
    </row>
    <row r="10457" spans="6:6">
      <c r="F10457" s="2423"/>
    </row>
    <row r="10458" spans="6:6">
      <c r="F10458" s="2423"/>
    </row>
    <row r="10459" spans="6:6">
      <c r="F10459" s="2423"/>
    </row>
    <row r="10460" spans="6:6">
      <c r="F10460" s="2423"/>
    </row>
    <row r="10461" spans="6:6">
      <c r="F10461" s="2423"/>
    </row>
    <row r="10462" spans="6:6">
      <c r="F10462" s="2423"/>
    </row>
    <row r="10463" spans="6:6">
      <c r="F10463" s="2423"/>
    </row>
    <row r="10464" spans="6:6">
      <c r="F10464" s="2423"/>
    </row>
    <row r="10465" spans="6:6">
      <c r="F10465" s="2423"/>
    </row>
    <row r="10466" spans="6:6">
      <c r="F10466" s="2423"/>
    </row>
    <row r="10467" spans="6:6">
      <c r="F10467" s="2423"/>
    </row>
    <row r="10468" spans="6:6">
      <c r="F10468" s="2423"/>
    </row>
    <row r="10469" spans="6:6">
      <c r="F10469" s="2423"/>
    </row>
    <row r="10470" spans="6:6">
      <c r="F10470" s="2423"/>
    </row>
    <row r="10471" spans="6:6">
      <c r="F10471" s="2423"/>
    </row>
    <row r="10472" spans="6:6">
      <c r="F10472" s="2423"/>
    </row>
    <row r="10473" spans="6:6">
      <c r="F10473" s="2423"/>
    </row>
    <row r="10474" spans="6:6">
      <c r="F10474" s="2423"/>
    </row>
    <row r="10475" spans="6:6">
      <c r="F10475" s="2423"/>
    </row>
    <row r="10476" spans="6:6">
      <c r="F10476" s="2423"/>
    </row>
    <row r="10477" spans="6:6">
      <c r="F10477" s="2423"/>
    </row>
    <row r="10478" spans="6:6">
      <c r="F10478" s="2423"/>
    </row>
    <row r="10479" spans="6:6">
      <c r="F10479" s="2423"/>
    </row>
    <row r="10480" spans="6:6">
      <c r="F10480" s="2423"/>
    </row>
    <row r="10481" spans="6:6">
      <c r="F10481" s="2423"/>
    </row>
    <row r="10482" spans="6:6">
      <c r="F10482" s="2423"/>
    </row>
    <row r="10483" spans="6:6">
      <c r="F10483" s="2423"/>
    </row>
    <row r="10484" spans="6:6">
      <c r="F10484" s="2423"/>
    </row>
    <row r="10485" spans="6:6">
      <c r="F10485" s="2423"/>
    </row>
    <row r="10486" spans="6:6">
      <c r="F10486" s="2423"/>
    </row>
    <row r="10487" spans="6:6">
      <c r="F10487" s="2423"/>
    </row>
    <row r="10488" spans="6:6">
      <c r="F10488" s="2423"/>
    </row>
    <row r="10489" spans="6:6">
      <c r="F10489" s="2423"/>
    </row>
    <row r="10490" spans="6:6">
      <c r="F10490" s="2423"/>
    </row>
    <row r="10491" spans="6:6">
      <c r="F10491" s="2423"/>
    </row>
    <row r="10492" spans="6:6">
      <c r="F10492" s="2423"/>
    </row>
    <row r="10493" spans="6:6">
      <c r="F10493" s="2423"/>
    </row>
    <row r="10494" spans="6:6">
      <c r="F10494" s="2423"/>
    </row>
    <row r="10495" spans="6:6">
      <c r="F10495" s="2423"/>
    </row>
    <row r="10496" spans="6:6">
      <c r="F10496" s="2423"/>
    </row>
    <row r="10497" spans="6:6">
      <c r="F10497" s="2423"/>
    </row>
    <row r="10498" spans="6:6">
      <c r="F10498" s="2423"/>
    </row>
    <row r="10499" spans="6:6">
      <c r="F10499" s="2423"/>
    </row>
    <row r="10500" spans="6:6">
      <c r="F10500" s="2423"/>
    </row>
    <row r="10501" spans="6:6">
      <c r="F10501" s="2423"/>
    </row>
    <row r="10502" spans="6:6">
      <c r="F10502" s="2423"/>
    </row>
    <row r="10503" spans="6:6">
      <c r="F10503" s="2423"/>
    </row>
    <row r="10504" spans="6:6">
      <c r="F10504" s="2423"/>
    </row>
    <row r="10505" spans="6:6">
      <c r="F10505" s="2423"/>
    </row>
    <row r="10506" spans="6:6">
      <c r="F10506" s="2423"/>
    </row>
    <row r="10507" spans="6:6">
      <c r="F10507" s="2423"/>
    </row>
    <row r="10508" spans="6:6">
      <c r="F10508" s="2423"/>
    </row>
    <row r="10509" spans="6:6">
      <c r="F10509" s="2423"/>
    </row>
    <row r="10510" spans="6:6">
      <c r="F10510" s="2423"/>
    </row>
    <row r="10511" spans="6:6">
      <c r="F10511" s="2423"/>
    </row>
    <row r="10512" spans="6:6">
      <c r="F10512" s="2423"/>
    </row>
    <row r="10513" spans="6:6">
      <c r="F10513" s="2423"/>
    </row>
    <row r="10514" spans="6:6">
      <c r="F10514" s="2423"/>
    </row>
    <row r="10515" spans="6:6">
      <c r="F10515" s="2423"/>
    </row>
    <row r="10516" spans="6:6">
      <c r="F10516" s="2423"/>
    </row>
    <row r="10517" spans="6:6">
      <c r="F10517" s="2423"/>
    </row>
    <row r="10518" spans="6:6">
      <c r="F10518" s="2423"/>
    </row>
    <row r="10519" spans="6:6">
      <c r="F10519" s="2423"/>
    </row>
    <row r="10520" spans="6:6">
      <c r="F10520" s="2423"/>
    </row>
    <row r="10521" spans="6:6">
      <c r="F10521" s="2423"/>
    </row>
    <row r="10522" spans="6:6">
      <c r="F10522" s="2423"/>
    </row>
    <row r="10523" spans="6:6">
      <c r="F10523" s="2423"/>
    </row>
    <row r="10524" spans="6:6">
      <c r="F10524" s="2423"/>
    </row>
    <row r="10525" spans="6:6">
      <c r="F10525" s="2423"/>
    </row>
    <row r="10526" spans="6:6">
      <c r="F10526" s="2423"/>
    </row>
    <row r="10527" spans="6:6">
      <c r="F10527" s="2423"/>
    </row>
    <row r="10528" spans="6:6">
      <c r="F10528" s="2423"/>
    </row>
    <row r="10529" spans="6:6">
      <c r="F10529" s="2423"/>
    </row>
    <row r="10530" spans="6:6">
      <c r="F10530" s="2423"/>
    </row>
    <row r="10531" spans="6:6">
      <c r="F10531" s="2423"/>
    </row>
    <row r="10532" spans="6:6">
      <c r="F10532" s="2423"/>
    </row>
    <row r="10533" spans="6:6">
      <c r="F10533" s="2423"/>
    </row>
    <row r="10534" spans="6:6">
      <c r="F10534" s="2423"/>
    </row>
    <row r="10535" spans="6:6">
      <c r="F10535" s="2423"/>
    </row>
    <row r="10536" spans="6:6">
      <c r="F10536" s="2423"/>
    </row>
    <row r="10537" spans="6:6">
      <c r="F10537" s="2423"/>
    </row>
    <row r="10538" spans="6:6">
      <c r="F10538" s="2423"/>
    </row>
    <row r="10539" spans="6:6">
      <c r="F10539" s="2423"/>
    </row>
    <row r="10540" spans="6:6">
      <c r="F10540" s="2423"/>
    </row>
    <row r="10541" spans="6:6">
      <c r="F10541" s="2423"/>
    </row>
    <row r="10542" spans="6:6">
      <c r="F10542" s="2423"/>
    </row>
    <row r="10543" spans="6:6">
      <c r="F10543" s="2423"/>
    </row>
    <row r="10544" spans="6:6">
      <c r="F10544" s="2423"/>
    </row>
    <row r="10545" spans="6:6">
      <c r="F10545" s="2423"/>
    </row>
    <row r="10546" spans="6:6">
      <c r="F10546" s="2423"/>
    </row>
    <row r="10547" spans="6:6">
      <c r="F10547" s="2423"/>
    </row>
    <row r="10548" spans="6:6">
      <c r="F10548" s="2423"/>
    </row>
    <row r="10549" spans="6:6">
      <c r="F10549" s="2423"/>
    </row>
    <row r="10550" spans="6:6">
      <c r="F10550" s="2423"/>
    </row>
    <row r="10551" spans="6:6">
      <c r="F10551" s="2423"/>
    </row>
    <row r="10552" spans="6:6">
      <c r="F10552" s="2423"/>
    </row>
    <row r="10553" spans="6:6">
      <c r="F10553" s="2423"/>
    </row>
    <row r="10554" spans="6:6">
      <c r="F10554" s="2423"/>
    </row>
    <row r="10555" spans="6:6">
      <c r="F10555" s="2423"/>
    </row>
    <row r="10556" spans="6:6">
      <c r="F10556" s="2423"/>
    </row>
    <row r="10557" spans="6:6">
      <c r="F10557" s="2423"/>
    </row>
    <row r="10558" spans="6:6">
      <c r="F10558" s="2423"/>
    </row>
    <row r="10559" spans="6:6">
      <c r="F10559" s="2423"/>
    </row>
    <row r="10560" spans="6:6">
      <c r="F10560" s="2423"/>
    </row>
    <row r="10561" spans="6:6">
      <c r="F10561" s="2423"/>
    </row>
    <row r="10562" spans="6:6">
      <c r="F10562" s="2423"/>
    </row>
    <row r="10563" spans="6:6">
      <c r="F10563" s="2423"/>
    </row>
    <row r="10564" spans="6:6">
      <c r="F10564" s="2423"/>
    </row>
    <row r="10565" spans="6:6">
      <c r="F10565" s="2423"/>
    </row>
    <row r="10566" spans="6:6">
      <c r="F10566" s="2423"/>
    </row>
    <row r="10567" spans="6:6">
      <c r="F10567" s="2423"/>
    </row>
    <row r="10568" spans="6:6">
      <c r="F10568" s="2423"/>
    </row>
    <row r="10569" spans="6:6">
      <c r="F10569" s="2423"/>
    </row>
    <row r="10570" spans="6:6">
      <c r="F10570" s="2423"/>
    </row>
    <row r="10571" spans="6:6">
      <c r="F10571" s="2423"/>
    </row>
    <row r="10572" spans="6:6">
      <c r="F10572" s="2423"/>
    </row>
    <row r="10573" spans="6:6">
      <c r="F10573" s="2423"/>
    </row>
    <row r="10574" spans="6:6">
      <c r="F10574" s="2423"/>
    </row>
    <row r="10575" spans="6:6">
      <c r="F10575" s="2423"/>
    </row>
    <row r="10576" spans="6:6">
      <c r="F10576" s="2423"/>
    </row>
    <row r="10577" spans="6:6">
      <c r="F10577" s="2423"/>
    </row>
    <row r="10578" spans="6:6">
      <c r="F10578" s="2423"/>
    </row>
    <row r="10579" spans="6:6">
      <c r="F10579" s="2423"/>
    </row>
    <row r="10580" spans="6:6">
      <c r="F10580" s="2423"/>
    </row>
    <row r="10581" spans="6:6">
      <c r="F10581" s="2423"/>
    </row>
    <row r="10582" spans="6:6">
      <c r="F10582" s="2423"/>
    </row>
    <row r="10583" spans="6:6">
      <c r="F10583" s="2423"/>
    </row>
    <row r="10584" spans="6:6">
      <c r="F10584" s="2423"/>
    </row>
    <row r="10585" spans="6:6">
      <c r="F10585" s="2423"/>
    </row>
    <row r="10586" spans="6:6">
      <c r="F10586" s="2423"/>
    </row>
    <row r="10587" spans="6:6">
      <c r="F10587" s="2423"/>
    </row>
    <row r="10588" spans="6:6">
      <c r="F10588" s="2423"/>
    </row>
    <row r="10589" spans="6:6">
      <c r="F10589" s="2423"/>
    </row>
    <row r="10590" spans="6:6">
      <c r="F10590" s="2423"/>
    </row>
    <row r="10591" spans="6:6">
      <c r="F10591" s="2423"/>
    </row>
    <row r="10592" spans="6:6">
      <c r="F10592" s="2423"/>
    </row>
    <row r="10593" spans="6:6">
      <c r="F10593" s="2423"/>
    </row>
    <row r="10594" spans="6:6">
      <c r="F10594" s="2423"/>
    </row>
    <row r="10595" spans="6:6">
      <c r="F10595" s="2423"/>
    </row>
    <row r="10596" spans="6:6">
      <c r="F10596" s="2423"/>
    </row>
    <row r="10597" spans="6:6">
      <c r="F10597" s="2423"/>
    </row>
    <row r="10598" spans="6:6">
      <c r="F10598" s="2423"/>
    </row>
    <row r="10599" spans="6:6">
      <c r="F10599" s="2423"/>
    </row>
    <row r="10600" spans="6:6">
      <c r="F10600" s="2423"/>
    </row>
    <row r="10601" spans="6:6">
      <c r="F10601" s="2423"/>
    </row>
    <row r="10602" spans="6:6">
      <c r="F10602" s="2423"/>
    </row>
    <row r="10603" spans="6:6">
      <c r="F10603" s="2423"/>
    </row>
    <row r="10604" spans="6:6">
      <c r="F10604" s="2423"/>
    </row>
    <row r="10605" spans="6:6">
      <c r="F10605" s="2423"/>
    </row>
    <row r="10606" spans="6:6">
      <c r="F10606" s="2423"/>
    </row>
    <row r="10607" spans="6:6">
      <c r="F10607" s="2423"/>
    </row>
    <row r="10608" spans="6:6">
      <c r="F10608" s="2423"/>
    </row>
    <row r="10609" spans="6:6">
      <c r="F10609" s="2423"/>
    </row>
    <row r="10610" spans="6:6">
      <c r="F10610" s="2423"/>
    </row>
    <row r="10611" spans="6:6">
      <c r="F10611" s="2423"/>
    </row>
    <row r="10612" spans="6:6">
      <c r="F10612" s="2423"/>
    </row>
    <row r="10613" spans="6:6">
      <c r="F10613" s="2423"/>
    </row>
    <row r="10614" spans="6:6">
      <c r="F10614" s="2423"/>
    </row>
    <row r="10615" spans="6:6">
      <c r="F10615" s="2423"/>
    </row>
    <row r="10616" spans="6:6">
      <c r="F10616" s="2423"/>
    </row>
    <row r="10617" spans="6:6">
      <c r="F10617" s="2423"/>
    </row>
    <row r="10618" spans="6:6">
      <c r="F10618" s="2423"/>
    </row>
    <row r="10619" spans="6:6">
      <c r="F10619" s="2423"/>
    </row>
    <row r="10620" spans="6:6">
      <c r="F10620" s="2423"/>
    </row>
    <row r="10621" spans="6:6">
      <c r="F10621" s="2423"/>
    </row>
    <row r="10622" spans="6:6">
      <c r="F10622" s="2423"/>
    </row>
    <row r="10623" spans="6:6">
      <c r="F10623" s="2423"/>
    </row>
    <row r="10624" spans="6:6">
      <c r="F10624" s="2423"/>
    </row>
    <row r="10625" spans="6:6">
      <c r="F10625" s="2423"/>
    </row>
    <row r="10626" spans="6:6">
      <c r="F10626" s="2423"/>
    </row>
    <row r="10627" spans="6:6">
      <c r="F10627" s="2423"/>
    </row>
    <row r="10628" spans="6:6">
      <c r="F10628" s="2423"/>
    </row>
    <row r="10629" spans="6:6">
      <c r="F10629" s="2423"/>
    </row>
    <row r="10630" spans="6:6">
      <c r="F10630" s="2423"/>
    </row>
    <row r="10631" spans="6:6">
      <c r="F10631" s="2423"/>
    </row>
    <row r="10632" spans="6:6">
      <c r="F10632" s="2423"/>
    </row>
    <row r="10633" spans="6:6">
      <c r="F10633" s="2423"/>
    </row>
    <row r="10634" spans="6:6">
      <c r="F10634" s="2423"/>
    </row>
    <row r="10635" spans="6:6">
      <c r="F10635" s="2423"/>
    </row>
    <row r="10636" spans="6:6">
      <c r="F10636" s="2423"/>
    </row>
    <row r="10637" spans="6:6">
      <c r="F10637" s="2423"/>
    </row>
    <row r="10638" spans="6:6">
      <c r="F10638" s="2423"/>
    </row>
    <row r="10639" spans="6:6">
      <c r="F10639" s="2423"/>
    </row>
    <row r="10640" spans="6:6">
      <c r="F10640" s="2423"/>
    </row>
    <row r="10641" spans="6:6">
      <c r="F10641" s="2423"/>
    </row>
    <row r="10642" spans="6:6">
      <c r="F10642" s="2423"/>
    </row>
    <row r="10643" spans="6:6">
      <c r="F10643" s="2423"/>
    </row>
    <row r="10644" spans="6:6">
      <c r="F10644" s="2423"/>
    </row>
    <row r="10645" spans="6:6">
      <c r="F10645" s="2423"/>
    </row>
    <row r="10646" spans="6:6">
      <c r="F10646" s="2423"/>
    </row>
    <row r="10647" spans="6:6">
      <c r="F10647" s="2423"/>
    </row>
    <row r="10648" spans="6:6">
      <c r="F10648" s="2423"/>
    </row>
    <row r="10649" spans="6:6">
      <c r="F10649" s="2423"/>
    </row>
    <row r="10650" spans="6:6">
      <c r="F10650" s="2423"/>
    </row>
    <row r="10651" spans="6:6">
      <c r="F10651" s="2423"/>
    </row>
    <row r="10652" spans="6:6">
      <c r="F10652" s="2423"/>
    </row>
    <row r="10653" spans="6:6">
      <c r="F10653" s="2423"/>
    </row>
    <row r="10654" spans="6:6">
      <c r="F10654" s="2423"/>
    </row>
    <row r="10655" spans="6:6">
      <c r="F10655" s="2423"/>
    </row>
    <row r="10656" spans="6:6">
      <c r="F10656" s="2423"/>
    </row>
    <row r="10657" spans="6:6">
      <c r="F10657" s="2423"/>
    </row>
    <row r="10658" spans="6:6">
      <c r="F10658" s="2423"/>
    </row>
    <row r="10659" spans="6:6">
      <c r="F10659" s="2423"/>
    </row>
    <row r="10660" spans="6:6">
      <c r="F10660" s="2423"/>
    </row>
    <row r="10661" spans="6:6">
      <c r="F10661" s="2423"/>
    </row>
    <row r="10662" spans="6:6">
      <c r="F10662" s="2423"/>
    </row>
    <row r="10663" spans="6:6">
      <c r="F10663" s="2423"/>
    </row>
    <row r="10664" spans="6:6">
      <c r="F10664" s="2423"/>
    </row>
    <row r="10665" spans="6:6">
      <c r="F10665" s="2423"/>
    </row>
    <row r="10666" spans="6:6">
      <c r="F10666" s="2423"/>
    </row>
    <row r="10667" spans="6:6">
      <c r="F10667" s="2423"/>
    </row>
    <row r="10668" spans="6:6">
      <c r="F10668" s="2423"/>
    </row>
    <row r="10669" spans="6:6">
      <c r="F10669" s="2423"/>
    </row>
    <row r="10670" spans="6:6">
      <c r="F10670" s="2423"/>
    </row>
    <row r="10671" spans="6:6">
      <c r="F10671" s="2423"/>
    </row>
    <row r="10672" spans="6:6">
      <c r="F10672" s="2423"/>
    </row>
    <row r="10673" spans="6:6">
      <c r="F10673" s="2423"/>
    </row>
    <row r="10674" spans="6:6">
      <c r="F10674" s="2423"/>
    </row>
    <row r="10675" spans="6:6">
      <c r="F10675" s="2423"/>
    </row>
    <row r="10676" spans="6:6">
      <c r="F10676" s="2423"/>
    </row>
    <row r="10677" spans="6:6">
      <c r="F10677" s="2423"/>
    </row>
    <row r="10678" spans="6:6">
      <c r="F10678" s="2423"/>
    </row>
    <row r="10679" spans="6:6">
      <c r="F10679" s="2423"/>
    </row>
    <row r="10680" spans="6:6">
      <c r="F10680" s="2423"/>
    </row>
    <row r="10681" spans="6:6">
      <c r="F10681" s="2423"/>
    </row>
    <row r="10682" spans="6:6">
      <c r="F10682" s="2423"/>
    </row>
    <row r="10683" spans="6:6">
      <c r="F10683" s="2423"/>
    </row>
    <row r="10684" spans="6:6">
      <c r="F10684" s="2423"/>
    </row>
    <row r="10685" spans="6:6">
      <c r="F10685" s="2423"/>
    </row>
    <row r="10686" spans="6:6">
      <c r="F10686" s="2423"/>
    </row>
    <row r="10687" spans="6:6">
      <c r="F10687" s="2423"/>
    </row>
    <row r="10688" spans="6:6">
      <c r="F10688" s="2423"/>
    </row>
    <row r="10689" spans="6:6">
      <c r="F10689" s="2423"/>
    </row>
    <row r="10690" spans="6:6">
      <c r="F10690" s="2423"/>
    </row>
    <row r="10691" spans="6:6">
      <c r="F10691" s="2423"/>
    </row>
    <row r="10692" spans="6:6">
      <c r="F10692" s="2423"/>
    </row>
    <row r="10693" spans="6:6">
      <c r="F10693" s="2423"/>
    </row>
    <row r="10694" spans="6:6">
      <c r="F10694" s="2423"/>
    </row>
    <row r="10695" spans="6:6">
      <c r="F10695" s="2423"/>
    </row>
    <row r="10696" spans="6:6">
      <c r="F10696" s="2423"/>
    </row>
    <row r="10697" spans="6:6">
      <c r="F10697" s="2423"/>
    </row>
    <row r="10698" spans="6:6">
      <c r="F10698" s="2423"/>
    </row>
    <row r="10699" spans="6:6">
      <c r="F10699" s="2423"/>
    </row>
    <row r="10700" spans="6:6">
      <c r="F10700" s="2423"/>
    </row>
    <row r="10701" spans="6:6">
      <c r="F10701" s="2423"/>
    </row>
    <row r="10702" spans="6:6">
      <c r="F10702" s="2423"/>
    </row>
    <row r="10703" spans="6:6">
      <c r="F10703" s="2423"/>
    </row>
    <row r="10704" spans="6:6">
      <c r="F10704" s="2423"/>
    </row>
    <row r="10705" spans="6:6">
      <c r="F10705" s="2423"/>
    </row>
    <row r="10706" spans="6:6">
      <c r="F10706" s="2423"/>
    </row>
    <row r="10707" spans="6:6">
      <c r="F10707" s="2423"/>
    </row>
    <row r="10708" spans="6:6">
      <c r="F10708" s="2423"/>
    </row>
    <row r="10709" spans="6:6">
      <c r="F10709" s="2423"/>
    </row>
    <row r="10710" spans="6:6">
      <c r="F10710" s="2423"/>
    </row>
    <row r="10711" spans="6:6">
      <c r="F10711" s="2423"/>
    </row>
    <row r="10712" spans="6:6">
      <c r="F10712" s="2423"/>
    </row>
    <row r="10713" spans="6:6">
      <c r="F10713" s="2423"/>
    </row>
    <row r="10714" spans="6:6">
      <c r="F10714" s="2423"/>
    </row>
    <row r="10715" spans="6:6">
      <c r="F10715" s="2423"/>
    </row>
    <row r="10716" spans="6:6">
      <c r="F10716" s="2423"/>
    </row>
    <row r="10717" spans="6:6">
      <c r="F10717" s="2423"/>
    </row>
    <row r="10718" spans="6:6">
      <c r="F10718" s="2423"/>
    </row>
    <row r="10719" spans="6:6">
      <c r="F10719" s="2423"/>
    </row>
    <row r="10720" spans="6:6">
      <c r="F10720" s="2423"/>
    </row>
    <row r="10721" spans="6:6">
      <c r="F10721" s="2423"/>
    </row>
    <row r="10722" spans="6:6">
      <c r="F10722" s="2423"/>
    </row>
    <row r="10723" spans="6:6">
      <c r="F10723" s="2423"/>
    </row>
    <row r="10724" spans="6:6">
      <c r="F10724" s="2423"/>
    </row>
    <row r="10725" spans="6:6">
      <c r="F10725" s="2423"/>
    </row>
    <row r="10726" spans="6:6">
      <c r="F10726" s="2423"/>
    </row>
    <row r="10727" spans="6:6">
      <c r="F10727" s="2423"/>
    </row>
    <row r="10728" spans="6:6">
      <c r="F10728" s="2423"/>
    </row>
    <row r="10729" spans="6:6">
      <c r="F10729" s="2423"/>
    </row>
    <row r="10730" spans="6:6">
      <c r="F10730" s="2423"/>
    </row>
    <row r="10731" spans="6:6">
      <c r="F10731" s="2423"/>
    </row>
    <row r="10732" spans="6:6">
      <c r="F10732" s="2423"/>
    </row>
    <row r="10733" spans="6:6">
      <c r="F10733" s="2423"/>
    </row>
    <row r="10734" spans="6:6">
      <c r="F10734" s="2423"/>
    </row>
    <row r="10735" spans="6:6">
      <c r="F10735" s="2423"/>
    </row>
    <row r="10736" spans="6:6">
      <c r="F10736" s="2423"/>
    </row>
    <row r="10737" spans="6:6">
      <c r="F10737" s="2423"/>
    </row>
    <row r="10738" spans="6:6">
      <c r="F10738" s="2423"/>
    </row>
    <row r="10739" spans="6:6">
      <c r="F10739" s="2423"/>
    </row>
    <row r="10740" spans="6:6">
      <c r="F10740" s="2423"/>
    </row>
    <row r="10741" spans="6:6">
      <c r="F10741" s="2423"/>
    </row>
    <row r="10742" spans="6:6">
      <c r="F10742" s="2423"/>
    </row>
    <row r="10743" spans="6:6">
      <c r="F10743" s="2423"/>
    </row>
    <row r="10744" spans="6:6">
      <c r="F10744" s="2423"/>
    </row>
    <row r="10745" spans="6:6">
      <c r="F10745" s="2423"/>
    </row>
    <row r="10746" spans="6:6">
      <c r="F10746" s="2423"/>
    </row>
    <row r="10747" spans="6:6">
      <c r="F10747" s="2423"/>
    </row>
    <row r="10748" spans="6:6">
      <c r="F10748" s="2423"/>
    </row>
    <row r="10749" spans="6:6">
      <c r="F10749" s="2423"/>
    </row>
    <row r="10750" spans="6:6">
      <c r="F10750" s="2423"/>
    </row>
    <row r="10751" spans="6:6">
      <c r="F10751" s="2423"/>
    </row>
    <row r="10752" spans="6:6">
      <c r="F10752" s="2423"/>
    </row>
    <row r="10753" spans="6:6">
      <c r="F10753" s="2423"/>
    </row>
    <row r="10754" spans="6:6">
      <c r="F10754" s="2423"/>
    </row>
    <row r="10755" spans="6:6">
      <c r="F10755" s="2423"/>
    </row>
    <row r="10756" spans="6:6">
      <c r="F10756" s="2423"/>
    </row>
    <row r="10757" spans="6:6">
      <c r="F10757" s="2423"/>
    </row>
    <row r="10758" spans="6:6">
      <c r="F10758" s="2423"/>
    </row>
    <row r="10759" spans="6:6">
      <c r="F10759" s="2423"/>
    </row>
    <row r="10760" spans="6:6">
      <c r="F10760" s="2423"/>
    </row>
    <row r="10761" spans="6:6">
      <c r="F10761" s="2423"/>
    </row>
    <row r="10762" spans="6:6">
      <c r="F10762" s="2423"/>
    </row>
    <row r="10763" spans="6:6">
      <c r="F10763" s="2423"/>
    </row>
    <row r="10764" spans="6:6">
      <c r="F10764" s="2423"/>
    </row>
    <row r="10765" spans="6:6">
      <c r="F10765" s="2423"/>
    </row>
    <row r="10766" spans="6:6">
      <c r="F10766" s="2423"/>
    </row>
    <row r="10767" spans="6:6">
      <c r="F10767" s="2423"/>
    </row>
    <row r="10768" spans="6:6">
      <c r="F10768" s="2423"/>
    </row>
    <row r="10769" spans="6:6">
      <c r="F10769" s="2423"/>
    </row>
    <row r="10770" spans="6:6">
      <c r="F10770" s="2423"/>
    </row>
    <row r="10771" spans="6:6">
      <c r="F10771" s="2423"/>
    </row>
    <row r="10772" spans="6:6">
      <c r="F10772" s="2423"/>
    </row>
    <row r="10773" spans="6:6">
      <c r="F10773" s="2423"/>
    </row>
    <row r="10774" spans="6:6">
      <c r="F10774" s="2423"/>
    </row>
    <row r="10775" spans="6:6">
      <c r="F10775" s="2423"/>
    </row>
    <row r="10776" spans="6:6">
      <c r="F10776" s="2423"/>
    </row>
    <row r="10777" spans="6:6">
      <c r="F10777" s="2423"/>
    </row>
    <row r="10778" spans="6:6">
      <c r="F10778" s="2423"/>
    </row>
    <row r="10779" spans="6:6">
      <c r="F10779" s="2423"/>
    </row>
    <row r="10780" spans="6:6">
      <c r="F10780" s="2423"/>
    </row>
    <row r="10781" spans="6:6">
      <c r="F10781" s="2423"/>
    </row>
    <row r="10782" spans="6:6">
      <c r="F10782" s="2423"/>
    </row>
    <row r="10783" spans="6:6">
      <c r="F10783" s="2423"/>
    </row>
    <row r="10784" spans="6:6">
      <c r="F10784" s="2423"/>
    </row>
    <row r="10785" spans="6:6">
      <c r="F10785" s="2423"/>
    </row>
    <row r="10786" spans="6:6">
      <c r="F10786" s="2423"/>
    </row>
    <row r="10787" spans="6:6">
      <c r="F10787" s="2423"/>
    </row>
    <row r="10788" spans="6:6">
      <c r="F10788" s="2423"/>
    </row>
    <row r="10789" spans="6:6">
      <c r="F10789" s="2423"/>
    </row>
    <row r="10790" spans="6:6">
      <c r="F10790" s="2423"/>
    </row>
    <row r="10791" spans="6:6">
      <c r="F10791" s="2423"/>
    </row>
    <row r="10792" spans="6:6">
      <c r="F10792" s="2423"/>
    </row>
    <row r="10793" spans="6:6">
      <c r="F10793" s="2423"/>
    </row>
    <row r="10794" spans="6:6">
      <c r="F10794" s="2423"/>
    </row>
    <row r="10795" spans="6:6">
      <c r="F10795" s="2423"/>
    </row>
    <row r="10796" spans="6:6">
      <c r="F10796" s="2423"/>
    </row>
    <row r="10797" spans="6:6">
      <c r="F10797" s="2423"/>
    </row>
    <row r="10798" spans="6:6">
      <c r="F10798" s="2423"/>
    </row>
    <row r="10799" spans="6:6">
      <c r="F10799" s="2423"/>
    </row>
    <row r="10800" spans="6:6">
      <c r="F10800" s="2423"/>
    </row>
    <row r="10801" spans="6:6">
      <c r="F10801" s="2423"/>
    </row>
    <row r="10802" spans="6:6">
      <c r="F10802" s="2423"/>
    </row>
    <row r="10803" spans="6:6">
      <c r="F10803" s="2423"/>
    </row>
    <row r="10804" spans="6:6">
      <c r="F10804" s="2423"/>
    </row>
    <row r="10805" spans="6:6">
      <c r="F10805" s="2423"/>
    </row>
    <row r="10806" spans="6:6">
      <c r="F10806" s="2423"/>
    </row>
    <row r="10807" spans="6:6">
      <c r="F10807" s="2423"/>
    </row>
    <row r="10808" spans="6:6">
      <c r="F10808" s="2423"/>
    </row>
    <row r="10809" spans="6:6">
      <c r="F10809" s="2423"/>
    </row>
    <row r="10810" spans="6:6">
      <c r="F10810" s="2423"/>
    </row>
    <row r="10811" spans="6:6">
      <c r="F10811" s="2423"/>
    </row>
    <row r="10812" spans="6:6">
      <c r="F10812" s="2423"/>
    </row>
    <row r="10813" spans="6:6">
      <c r="F10813" s="2423"/>
    </row>
    <row r="10814" spans="6:6">
      <c r="F10814" s="2423"/>
    </row>
    <row r="10815" spans="6:6">
      <c r="F10815" s="2423"/>
    </row>
    <row r="10816" spans="6:6">
      <c r="F10816" s="2423"/>
    </row>
    <row r="10817" spans="6:6">
      <c r="F10817" s="2423"/>
    </row>
    <row r="10818" spans="6:6">
      <c r="F10818" s="2423"/>
    </row>
    <row r="10819" spans="6:6">
      <c r="F10819" s="2423"/>
    </row>
    <row r="10820" spans="6:6">
      <c r="F10820" s="2423"/>
    </row>
    <row r="10821" spans="6:6">
      <c r="F10821" s="2423"/>
    </row>
    <row r="10822" spans="6:6">
      <c r="F10822" s="2423"/>
    </row>
    <row r="10823" spans="6:6">
      <c r="F10823" s="2423"/>
    </row>
    <row r="10824" spans="6:6">
      <c r="F10824" s="2423"/>
    </row>
    <row r="10825" spans="6:6">
      <c r="F10825" s="2423"/>
    </row>
    <row r="10826" spans="6:6">
      <c r="F10826" s="2423"/>
    </row>
    <row r="10827" spans="6:6">
      <c r="F10827" s="2423"/>
    </row>
    <row r="10828" spans="6:6">
      <c r="F10828" s="2423"/>
    </row>
    <row r="10829" spans="6:6">
      <c r="F10829" s="2423"/>
    </row>
    <row r="10830" spans="6:6">
      <c r="F10830" s="2423"/>
    </row>
    <row r="10831" spans="6:6">
      <c r="F10831" s="2423"/>
    </row>
    <row r="10832" spans="6:6">
      <c r="F10832" s="2423"/>
    </row>
    <row r="10833" spans="6:6">
      <c r="F10833" s="2423"/>
    </row>
    <row r="10834" spans="6:6">
      <c r="F10834" s="2423"/>
    </row>
    <row r="10835" spans="6:6">
      <c r="F10835" s="2423"/>
    </row>
    <row r="10836" spans="6:6">
      <c r="F10836" s="2423"/>
    </row>
    <row r="10837" spans="6:6">
      <c r="F10837" s="2423"/>
    </row>
    <row r="10838" spans="6:6">
      <c r="F10838" s="2423"/>
    </row>
    <row r="10839" spans="6:6">
      <c r="F10839" s="2423"/>
    </row>
    <row r="10840" spans="6:6">
      <c r="F10840" s="2423"/>
    </row>
    <row r="10841" spans="6:6">
      <c r="F10841" s="2423"/>
    </row>
    <row r="10842" spans="6:6">
      <c r="F10842" s="2423"/>
    </row>
    <row r="10843" spans="6:6">
      <c r="F10843" s="2423"/>
    </row>
    <row r="10844" spans="6:6">
      <c r="F10844" s="2423"/>
    </row>
    <row r="10845" spans="6:6">
      <c r="F10845" s="2423"/>
    </row>
    <row r="10846" spans="6:6">
      <c r="F10846" s="2423"/>
    </row>
    <row r="10847" spans="6:6">
      <c r="F10847" s="2423"/>
    </row>
    <row r="10848" spans="6:6">
      <c r="F10848" s="2423"/>
    </row>
    <row r="10849" spans="6:6">
      <c r="F10849" s="2423"/>
    </row>
    <row r="10850" spans="6:6">
      <c r="F10850" s="2423"/>
    </row>
    <row r="10851" spans="6:6">
      <c r="F10851" s="2423"/>
    </row>
    <row r="10852" spans="6:6">
      <c r="F10852" s="2423"/>
    </row>
    <row r="10853" spans="6:6">
      <c r="F10853" s="2423"/>
    </row>
    <row r="10854" spans="6:6">
      <c r="F10854" s="2423"/>
    </row>
    <row r="10855" spans="6:6">
      <c r="F10855" s="2423"/>
    </row>
    <row r="10856" spans="6:6">
      <c r="F10856" s="2423"/>
    </row>
    <row r="10857" spans="6:6">
      <c r="F10857" s="2423"/>
    </row>
    <row r="10858" spans="6:6">
      <c r="F10858" s="2423"/>
    </row>
    <row r="10859" spans="6:6">
      <c r="F10859" s="2423"/>
    </row>
    <row r="10860" spans="6:6">
      <c r="F10860" s="2423"/>
    </row>
    <row r="10861" spans="6:6">
      <c r="F10861" s="2423"/>
    </row>
    <row r="10862" spans="6:6">
      <c r="F10862" s="2423"/>
    </row>
    <row r="10863" spans="6:6">
      <c r="F10863" s="2423"/>
    </row>
    <row r="10864" spans="6:6">
      <c r="F10864" s="2423"/>
    </row>
    <row r="10865" spans="6:6">
      <c r="F10865" s="2423"/>
    </row>
    <row r="10866" spans="6:6">
      <c r="F10866" s="2423"/>
    </row>
    <row r="10867" spans="6:6">
      <c r="F10867" s="2423"/>
    </row>
    <row r="10868" spans="6:6">
      <c r="F10868" s="2423"/>
    </row>
    <row r="10869" spans="6:6">
      <c r="F10869" s="2423"/>
    </row>
    <row r="10870" spans="6:6">
      <c r="F10870" s="2423"/>
    </row>
    <row r="10871" spans="6:6">
      <c r="F10871" s="2423"/>
    </row>
    <row r="10872" spans="6:6">
      <c r="F10872" s="2423"/>
    </row>
    <row r="10873" spans="6:6">
      <c r="F10873" s="2423"/>
    </row>
    <row r="10874" spans="6:6">
      <c r="F10874" s="2423"/>
    </row>
    <row r="10875" spans="6:6">
      <c r="F10875" s="2423"/>
    </row>
    <row r="10876" spans="6:6">
      <c r="F10876" s="2423"/>
    </row>
    <row r="10877" spans="6:6">
      <c r="F10877" s="2423"/>
    </row>
    <row r="10878" spans="6:6">
      <c r="F10878" s="2423"/>
    </row>
    <row r="10879" spans="6:6">
      <c r="F10879" s="2423"/>
    </row>
    <row r="10880" spans="6:6">
      <c r="F10880" s="2423"/>
    </row>
    <row r="10881" spans="6:6">
      <c r="F10881" s="2423"/>
    </row>
    <row r="10882" spans="6:6">
      <c r="F10882" s="2423"/>
    </row>
    <row r="10883" spans="6:6">
      <c r="F10883" s="2423"/>
    </row>
    <row r="10884" spans="6:6">
      <c r="F10884" s="2423"/>
    </row>
    <row r="10885" spans="6:6">
      <c r="F10885" s="2423"/>
    </row>
    <row r="10886" spans="6:6">
      <c r="F10886" s="2423"/>
    </row>
    <row r="10887" spans="6:6">
      <c r="F10887" s="2423"/>
    </row>
    <row r="10888" spans="6:6">
      <c r="F10888" s="2423"/>
    </row>
    <row r="10889" spans="6:6">
      <c r="F10889" s="2423"/>
    </row>
    <row r="10890" spans="6:6">
      <c r="F10890" s="2423"/>
    </row>
    <row r="10891" spans="6:6">
      <c r="F10891" s="2423"/>
    </row>
    <row r="10892" spans="6:6">
      <c r="F10892" s="2423"/>
    </row>
    <row r="10893" spans="6:6">
      <c r="F10893" s="2423"/>
    </row>
    <row r="10894" spans="6:6">
      <c r="F10894" s="2423"/>
    </row>
    <row r="10895" spans="6:6">
      <c r="F10895" s="2423"/>
    </row>
    <row r="10896" spans="6:6">
      <c r="F10896" s="2423"/>
    </row>
    <row r="10897" spans="6:6">
      <c r="F10897" s="2423"/>
    </row>
    <row r="10898" spans="6:6">
      <c r="F10898" s="2423"/>
    </row>
    <row r="10899" spans="6:6">
      <c r="F10899" s="2423"/>
    </row>
    <row r="10900" spans="6:6">
      <c r="F10900" s="2423"/>
    </row>
    <row r="10901" spans="6:6">
      <c r="F10901" s="2423"/>
    </row>
    <row r="10902" spans="6:6">
      <c r="F10902" s="2423"/>
    </row>
    <row r="10903" spans="6:6">
      <c r="F10903" s="2423"/>
    </row>
    <row r="10904" spans="6:6">
      <c r="F10904" s="2423"/>
    </row>
    <row r="10905" spans="6:6">
      <c r="F10905" s="2423"/>
    </row>
    <row r="10906" spans="6:6">
      <c r="F10906" s="2423"/>
    </row>
    <row r="10907" spans="6:6">
      <c r="F10907" s="2423"/>
    </row>
    <row r="10908" spans="6:6">
      <c r="F10908" s="2423"/>
    </row>
    <row r="10909" spans="6:6">
      <c r="F10909" s="2423"/>
    </row>
    <row r="10910" spans="6:6">
      <c r="F10910" s="2423"/>
    </row>
    <row r="10911" spans="6:6">
      <c r="F10911" s="2423"/>
    </row>
    <row r="10912" spans="6:6">
      <c r="F10912" s="2423"/>
    </row>
    <row r="10913" spans="6:6">
      <c r="F10913" s="2423"/>
    </row>
    <row r="10914" spans="6:6">
      <c r="F10914" s="2423"/>
    </row>
    <row r="10915" spans="6:6">
      <c r="F10915" s="2423"/>
    </row>
    <row r="10916" spans="6:6">
      <c r="F10916" s="2423"/>
    </row>
    <row r="10917" spans="6:6">
      <c r="F10917" s="2423"/>
    </row>
    <row r="10918" spans="6:6">
      <c r="F10918" s="2423"/>
    </row>
    <row r="10919" spans="6:6">
      <c r="F10919" s="2423"/>
    </row>
    <row r="10920" spans="6:6">
      <c r="F10920" s="2423"/>
    </row>
    <row r="10921" spans="6:6">
      <c r="F10921" s="2423"/>
    </row>
    <row r="10922" spans="6:6">
      <c r="F10922" s="2423"/>
    </row>
    <row r="10923" spans="6:6">
      <c r="F10923" s="2423"/>
    </row>
    <row r="10924" spans="6:6">
      <c r="F10924" s="2423"/>
    </row>
    <row r="10925" spans="6:6">
      <c r="F10925" s="2423"/>
    </row>
    <row r="10926" spans="6:6">
      <c r="F10926" s="2423"/>
    </row>
    <row r="10927" spans="6:6">
      <c r="F10927" s="2423"/>
    </row>
    <row r="10928" spans="6:6">
      <c r="F10928" s="2423"/>
    </row>
    <row r="10929" spans="6:6">
      <c r="F10929" s="2423"/>
    </row>
    <row r="10930" spans="6:6">
      <c r="F10930" s="2423"/>
    </row>
    <row r="10931" spans="6:6">
      <c r="F10931" s="2423"/>
    </row>
    <row r="10932" spans="6:6">
      <c r="F10932" s="2423"/>
    </row>
    <row r="10933" spans="6:6">
      <c r="F10933" s="2423"/>
    </row>
    <row r="10934" spans="6:6">
      <c r="F10934" s="2423"/>
    </row>
    <row r="10935" spans="6:6">
      <c r="F10935" s="2423"/>
    </row>
    <row r="10936" spans="6:6">
      <c r="F10936" s="2423"/>
    </row>
    <row r="10937" spans="6:6">
      <c r="F10937" s="2423"/>
    </row>
    <row r="10938" spans="6:6">
      <c r="F10938" s="2423"/>
    </row>
    <row r="10939" spans="6:6">
      <c r="F10939" s="2423"/>
    </row>
    <row r="10940" spans="6:6">
      <c r="F10940" s="2423"/>
    </row>
    <row r="10941" spans="6:6">
      <c r="F10941" s="2423"/>
    </row>
    <row r="10942" spans="6:6">
      <c r="F10942" s="2423"/>
    </row>
    <row r="10943" spans="6:6">
      <c r="F10943" s="2423"/>
    </row>
    <row r="10944" spans="6:6">
      <c r="F10944" s="2423"/>
    </row>
    <row r="10945" spans="6:6">
      <c r="F10945" s="2423"/>
    </row>
    <row r="10946" spans="6:6">
      <c r="F10946" s="2423"/>
    </row>
    <row r="10947" spans="6:6">
      <c r="F10947" s="2423"/>
    </row>
    <row r="10948" spans="6:6">
      <c r="F10948" s="2423"/>
    </row>
    <row r="10949" spans="6:6">
      <c r="F10949" s="2423"/>
    </row>
    <row r="10950" spans="6:6">
      <c r="F10950" s="2423"/>
    </row>
    <row r="10951" spans="6:6">
      <c r="F10951" s="2423"/>
    </row>
    <row r="10952" spans="6:6">
      <c r="F10952" s="2423"/>
    </row>
    <row r="10953" spans="6:6">
      <c r="F10953" s="2423"/>
    </row>
    <row r="10954" spans="6:6">
      <c r="F10954" s="2423"/>
    </row>
    <row r="10955" spans="6:6">
      <c r="F10955" s="2423"/>
    </row>
    <row r="10956" spans="6:6">
      <c r="F10956" s="2423"/>
    </row>
    <row r="10957" spans="6:6">
      <c r="F10957" s="2423"/>
    </row>
    <row r="10958" spans="6:6">
      <c r="F10958" s="2423"/>
    </row>
    <row r="10959" spans="6:6">
      <c r="F10959" s="2423"/>
    </row>
    <row r="10960" spans="6:6">
      <c r="F10960" s="2423"/>
    </row>
    <row r="10961" spans="6:6">
      <c r="F10961" s="2423"/>
    </row>
    <row r="10962" spans="6:6">
      <c r="F10962" s="2423"/>
    </row>
    <row r="10963" spans="6:6">
      <c r="F10963" s="2423"/>
    </row>
    <row r="10964" spans="6:6">
      <c r="F10964" s="2423"/>
    </row>
    <row r="10965" spans="6:6">
      <c r="F10965" s="2423"/>
    </row>
    <row r="10966" spans="6:6">
      <c r="F10966" s="2423"/>
    </row>
    <row r="10967" spans="6:6">
      <c r="F10967" s="2423"/>
    </row>
    <row r="10968" spans="6:6">
      <c r="F10968" s="2423"/>
    </row>
    <row r="10969" spans="6:6">
      <c r="F10969" s="2423"/>
    </row>
    <row r="10970" spans="6:6">
      <c r="F10970" s="2423"/>
    </row>
    <row r="10971" spans="6:6">
      <c r="F10971" s="2423"/>
    </row>
    <row r="10972" spans="6:6">
      <c r="F10972" s="2423"/>
    </row>
    <row r="10973" spans="6:6">
      <c r="F10973" s="2423"/>
    </row>
    <row r="10974" spans="6:6">
      <c r="F10974" s="2423"/>
    </row>
    <row r="10975" spans="6:6">
      <c r="F10975" s="2423"/>
    </row>
    <row r="10976" spans="6:6">
      <c r="F10976" s="2423"/>
    </row>
    <row r="10977" spans="6:6">
      <c r="F10977" s="2423"/>
    </row>
    <row r="10978" spans="6:6">
      <c r="F10978" s="2423"/>
    </row>
    <row r="10979" spans="6:6">
      <c r="F10979" s="2423"/>
    </row>
    <row r="10980" spans="6:6">
      <c r="F10980" s="2423"/>
    </row>
    <row r="10981" spans="6:6">
      <c r="F10981" s="2423"/>
    </row>
    <row r="10982" spans="6:6">
      <c r="F10982" s="2423"/>
    </row>
    <row r="10983" spans="6:6">
      <c r="F10983" s="2423"/>
    </row>
    <row r="10984" spans="6:6">
      <c r="F10984" s="2423"/>
    </row>
    <row r="10985" spans="6:6">
      <c r="F10985" s="2423"/>
    </row>
    <row r="10986" spans="6:6">
      <c r="F10986" s="2423"/>
    </row>
    <row r="10987" spans="6:6">
      <c r="F10987" s="2423"/>
    </row>
    <row r="10988" spans="6:6">
      <c r="F10988" s="2423"/>
    </row>
    <row r="10989" spans="6:6">
      <c r="F10989" s="2423"/>
    </row>
    <row r="10990" spans="6:6">
      <c r="F10990" s="2423"/>
    </row>
    <row r="10991" spans="6:6">
      <c r="F10991" s="2423"/>
    </row>
    <row r="10992" spans="6:6">
      <c r="F10992" s="2423"/>
    </row>
    <row r="10993" spans="6:6">
      <c r="F10993" s="2423"/>
    </row>
    <row r="10994" spans="6:6">
      <c r="F10994" s="2423"/>
    </row>
    <row r="10995" spans="6:6">
      <c r="F10995" s="2423"/>
    </row>
    <row r="10996" spans="6:6">
      <c r="F10996" s="2423"/>
    </row>
    <row r="10997" spans="6:6">
      <c r="F10997" s="2423"/>
    </row>
    <row r="10998" spans="6:6">
      <c r="F10998" s="2423"/>
    </row>
    <row r="10999" spans="6:6">
      <c r="F10999" s="2423"/>
    </row>
    <row r="11000" spans="6:6">
      <c r="F11000" s="2423"/>
    </row>
    <row r="11001" spans="6:6">
      <c r="F11001" s="2423"/>
    </row>
    <row r="11002" spans="6:6">
      <c r="F11002" s="2423"/>
    </row>
    <row r="11003" spans="6:6">
      <c r="F11003" s="2423"/>
    </row>
    <row r="11004" spans="6:6">
      <c r="F11004" s="2423"/>
    </row>
    <row r="11005" spans="6:6">
      <c r="F11005" s="2423"/>
    </row>
    <row r="11006" spans="6:6">
      <c r="F11006" s="2423"/>
    </row>
    <row r="11007" spans="6:6">
      <c r="F11007" s="2423"/>
    </row>
    <row r="11008" spans="6:6">
      <c r="F11008" s="2423"/>
    </row>
    <row r="11009" spans="6:6">
      <c r="F11009" s="2423"/>
    </row>
    <row r="11010" spans="6:6">
      <c r="F11010" s="2423"/>
    </row>
    <row r="11011" spans="6:6">
      <c r="F11011" s="2423"/>
    </row>
    <row r="11012" spans="6:6">
      <c r="F11012" s="2423"/>
    </row>
    <row r="11013" spans="6:6">
      <c r="F11013" s="2423"/>
    </row>
    <row r="11014" spans="6:6">
      <c r="F11014" s="2423"/>
    </row>
    <row r="11015" spans="6:6">
      <c r="F11015" s="2423"/>
    </row>
    <row r="11016" spans="6:6">
      <c r="F11016" s="2423"/>
    </row>
    <row r="11017" spans="6:6">
      <c r="F11017" s="2423"/>
    </row>
    <row r="11018" spans="6:6">
      <c r="F11018" s="2423"/>
    </row>
    <row r="11019" spans="6:6">
      <c r="F11019" s="2423"/>
    </row>
    <row r="11020" spans="6:6">
      <c r="F11020" s="2423"/>
    </row>
    <row r="11021" spans="6:6">
      <c r="F11021" s="2423"/>
    </row>
    <row r="11022" spans="6:6">
      <c r="F11022" s="2423"/>
    </row>
    <row r="11023" spans="6:6">
      <c r="F11023" s="2423"/>
    </row>
    <row r="11024" spans="6:6">
      <c r="F11024" s="2423"/>
    </row>
    <row r="11025" spans="6:6">
      <c r="F11025" s="2423"/>
    </row>
    <row r="11026" spans="6:6">
      <c r="F11026" s="2423"/>
    </row>
    <row r="11027" spans="6:6">
      <c r="F11027" s="2423"/>
    </row>
    <row r="11028" spans="6:6">
      <c r="F11028" s="2423"/>
    </row>
    <row r="11029" spans="6:6">
      <c r="F11029" s="2423"/>
    </row>
    <row r="11030" spans="6:6">
      <c r="F11030" s="2423"/>
    </row>
    <row r="11031" spans="6:6">
      <c r="F11031" s="2423"/>
    </row>
    <row r="11032" spans="6:6">
      <c r="F11032" s="2423"/>
    </row>
    <row r="11033" spans="6:6">
      <c r="F11033" s="2423"/>
    </row>
    <row r="11034" spans="6:6">
      <c r="F11034" s="2423"/>
    </row>
    <row r="11035" spans="6:6">
      <c r="F11035" s="2423"/>
    </row>
    <row r="11036" spans="6:6">
      <c r="F11036" s="2423"/>
    </row>
    <row r="11037" spans="6:6">
      <c r="F11037" s="2423"/>
    </row>
    <row r="11038" spans="6:6">
      <c r="F11038" s="2423"/>
    </row>
    <row r="11039" spans="6:6">
      <c r="F11039" s="2423"/>
    </row>
    <row r="11040" spans="6:6">
      <c r="F11040" s="2423"/>
    </row>
    <row r="11041" spans="6:6">
      <c r="F11041" s="2423"/>
    </row>
    <row r="11042" spans="6:6">
      <c r="F11042" s="2423"/>
    </row>
    <row r="11043" spans="6:6">
      <c r="F11043" s="2423"/>
    </row>
    <row r="11044" spans="6:6">
      <c r="F11044" s="2423"/>
    </row>
    <row r="11045" spans="6:6">
      <c r="F11045" s="2423"/>
    </row>
    <row r="11046" spans="6:6">
      <c r="F11046" s="2423"/>
    </row>
    <row r="11047" spans="6:6">
      <c r="F11047" s="2423"/>
    </row>
    <row r="11048" spans="6:6">
      <c r="F11048" s="2423"/>
    </row>
    <row r="11049" spans="6:6">
      <c r="F11049" s="2423"/>
    </row>
    <row r="11050" spans="6:6">
      <c r="F11050" s="2423"/>
    </row>
    <row r="11051" spans="6:6">
      <c r="F11051" s="2423"/>
    </row>
    <row r="11052" spans="6:6">
      <c r="F11052" s="2423"/>
    </row>
    <row r="11053" spans="6:6">
      <c r="F11053" s="2423"/>
    </row>
    <row r="11054" spans="6:6">
      <c r="F11054" s="2423"/>
    </row>
    <row r="11055" spans="6:6">
      <c r="F11055" s="2423"/>
    </row>
    <row r="11056" spans="6:6">
      <c r="F11056" s="2423"/>
    </row>
    <row r="11057" spans="6:6">
      <c r="F11057" s="2423"/>
    </row>
    <row r="11058" spans="6:6">
      <c r="F11058" s="2423"/>
    </row>
    <row r="11059" spans="6:6">
      <c r="F11059" s="2423"/>
    </row>
    <row r="11060" spans="6:6">
      <c r="F11060" s="2423"/>
    </row>
    <row r="11061" spans="6:6">
      <c r="F11061" s="2423"/>
    </row>
    <row r="11062" spans="6:6">
      <c r="F11062" s="2423"/>
    </row>
    <row r="11063" spans="6:6">
      <c r="F11063" s="2423"/>
    </row>
    <row r="11064" spans="6:6">
      <c r="F11064" s="2423"/>
    </row>
    <row r="11065" spans="6:6">
      <c r="F11065" s="2423"/>
    </row>
    <row r="11066" spans="6:6">
      <c r="F11066" s="2423"/>
    </row>
    <row r="11067" spans="6:6">
      <c r="F11067" s="2423"/>
    </row>
    <row r="11068" spans="6:6">
      <c r="F11068" s="2423"/>
    </row>
    <row r="11069" spans="6:6">
      <c r="F11069" s="2423"/>
    </row>
    <row r="11070" spans="6:6">
      <c r="F11070" s="2423"/>
    </row>
    <row r="11071" spans="6:6">
      <c r="F11071" s="2423"/>
    </row>
    <row r="11072" spans="6:6">
      <c r="F11072" s="2423"/>
    </row>
    <row r="11073" spans="6:6">
      <c r="F11073" s="2423"/>
    </row>
    <row r="11074" spans="6:6">
      <c r="F11074" s="2423"/>
    </row>
    <row r="11075" spans="6:6">
      <c r="F11075" s="2423"/>
    </row>
    <row r="11076" spans="6:6">
      <c r="F11076" s="2423"/>
    </row>
    <row r="11077" spans="6:6">
      <c r="F11077" s="2423"/>
    </row>
    <row r="11078" spans="6:6">
      <c r="F11078" s="2423"/>
    </row>
    <row r="11079" spans="6:6">
      <c r="F11079" s="2423"/>
    </row>
    <row r="11080" spans="6:6">
      <c r="F11080" s="2423"/>
    </row>
    <row r="11081" spans="6:6">
      <c r="F11081" s="2423"/>
    </row>
    <row r="11082" spans="6:6">
      <c r="F11082" s="2423"/>
    </row>
    <row r="11083" spans="6:6">
      <c r="F11083" s="2423"/>
    </row>
    <row r="11084" spans="6:6">
      <c r="F11084" s="2423"/>
    </row>
    <row r="11085" spans="6:6">
      <c r="F11085" s="2423"/>
    </row>
    <row r="11086" spans="6:6">
      <c r="F11086" s="2423"/>
    </row>
    <row r="11087" spans="6:6">
      <c r="F11087" s="2423"/>
    </row>
    <row r="11088" spans="6:6">
      <c r="F11088" s="2423"/>
    </row>
    <row r="11089" spans="6:6">
      <c r="F11089" s="2423"/>
    </row>
    <row r="11090" spans="6:6">
      <c r="F11090" s="2423"/>
    </row>
    <row r="11091" spans="6:6">
      <c r="F11091" s="2423"/>
    </row>
    <row r="11092" spans="6:6">
      <c r="F11092" s="2423"/>
    </row>
    <row r="11093" spans="6:6">
      <c r="F11093" s="2423"/>
    </row>
    <row r="11094" spans="6:6">
      <c r="F11094" s="2423"/>
    </row>
    <row r="11095" spans="6:6">
      <c r="F11095" s="2423"/>
    </row>
    <row r="11096" spans="6:6">
      <c r="F11096" s="2423"/>
    </row>
    <row r="11097" spans="6:6">
      <c r="F11097" s="2423"/>
    </row>
    <row r="11098" spans="6:6">
      <c r="F11098" s="2423"/>
    </row>
    <row r="11099" spans="6:6">
      <c r="F11099" s="2423"/>
    </row>
    <row r="11100" spans="6:6">
      <c r="F11100" s="2423"/>
    </row>
    <row r="11101" spans="6:6">
      <c r="F11101" s="2423"/>
    </row>
    <row r="11102" spans="6:6">
      <c r="F11102" s="2423"/>
    </row>
    <row r="11103" spans="6:6">
      <c r="F11103" s="2423"/>
    </row>
    <row r="11104" spans="6:6">
      <c r="F11104" s="2423"/>
    </row>
    <row r="11105" spans="6:6">
      <c r="F11105" s="2423"/>
    </row>
    <row r="11106" spans="6:6">
      <c r="F11106" s="2423"/>
    </row>
    <row r="11107" spans="6:6">
      <c r="F11107" s="2423"/>
    </row>
    <row r="11108" spans="6:6">
      <c r="F11108" s="2423"/>
    </row>
    <row r="11109" spans="6:6">
      <c r="F11109" s="2423"/>
    </row>
    <row r="11110" spans="6:6">
      <c r="F11110" s="2423"/>
    </row>
    <row r="11111" spans="6:6">
      <c r="F11111" s="2423"/>
    </row>
    <row r="11112" spans="6:6">
      <c r="F11112" s="2423"/>
    </row>
    <row r="11113" spans="6:6">
      <c r="F11113" s="2423"/>
    </row>
    <row r="11114" spans="6:6">
      <c r="F11114" s="2423"/>
    </row>
    <row r="11115" spans="6:6">
      <c r="F11115" s="2423"/>
    </row>
    <row r="11116" spans="6:6">
      <c r="F11116" s="2423"/>
    </row>
    <row r="11117" spans="6:6">
      <c r="F11117" s="2423"/>
    </row>
    <row r="11118" spans="6:6">
      <c r="F11118" s="2423"/>
    </row>
    <row r="11119" spans="6:6">
      <c r="F11119" s="2423"/>
    </row>
    <row r="11120" spans="6:6">
      <c r="F11120" s="2423"/>
    </row>
    <row r="11121" spans="6:6">
      <c r="F11121" s="2423"/>
    </row>
    <row r="11122" spans="6:6">
      <c r="F11122" s="2423"/>
    </row>
    <row r="11123" spans="6:6">
      <c r="F11123" s="2423"/>
    </row>
    <row r="11124" spans="6:6">
      <c r="F11124" s="2423"/>
    </row>
    <row r="11125" spans="6:6">
      <c r="F11125" s="2423"/>
    </row>
    <row r="11126" spans="6:6">
      <c r="F11126" s="2423"/>
    </row>
    <row r="11127" spans="6:6">
      <c r="F11127" s="2423"/>
    </row>
    <row r="11128" spans="6:6">
      <c r="F11128" s="2423"/>
    </row>
    <row r="11129" spans="6:6">
      <c r="F11129" s="2423"/>
    </row>
    <row r="11130" spans="6:6">
      <c r="F11130" s="2423"/>
    </row>
    <row r="11131" spans="6:6">
      <c r="F11131" s="2423"/>
    </row>
    <row r="11132" spans="6:6">
      <c r="F11132" s="2423"/>
    </row>
    <row r="11133" spans="6:6">
      <c r="F11133" s="2423"/>
    </row>
    <row r="11134" spans="6:6">
      <c r="F11134" s="2423"/>
    </row>
    <row r="11135" spans="6:6">
      <c r="F11135" s="2423"/>
    </row>
    <row r="11136" spans="6:6">
      <c r="F11136" s="2423"/>
    </row>
    <row r="11137" spans="6:6">
      <c r="F11137" s="2423"/>
    </row>
    <row r="11138" spans="6:6">
      <c r="F11138" s="2423"/>
    </row>
    <row r="11139" spans="6:6">
      <c r="F11139" s="2423"/>
    </row>
    <row r="11140" spans="6:6">
      <c r="F11140" s="2423"/>
    </row>
    <row r="11141" spans="6:6">
      <c r="F11141" s="2423"/>
    </row>
    <row r="11142" spans="6:6">
      <c r="F11142" s="2423"/>
    </row>
    <row r="11143" spans="6:6">
      <c r="F11143" s="2423"/>
    </row>
    <row r="11144" spans="6:6">
      <c r="F11144" s="2423"/>
    </row>
    <row r="11145" spans="6:6">
      <c r="F11145" s="2423"/>
    </row>
    <row r="11146" spans="6:6">
      <c r="F11146" s="2423"/>
    </row>
    <row r="11147" spans="6:6">
      <c r="F11147" s="2423"/>
    </row>
    <row r="11148" spans="6:6">
      <c r="F11148" s="2423"/>
    </row>
    <row r="11149" spans="6:6">
      <c r="F11149" s="2423"/>
    </row>
    <row r="11150" spans="6:6">
      <c r="F11150" s="2423"/>
    </row>
    <row r="11151" spans="6:6">
      <c r="F11151" s="2423"/>
    </row>
    <row r="11152" spans="6:6">
      <c r="F11152" s="2423"/>
    </row>
    <row r="11153" spans="6:6">
      <c r="F11153" s="2423"/>
    </row>
    <row r="11154" spans="6:6">
      <c r="F11154" s="2423"/>
    </row>
    <row r="11155" spans="6:6">
      <c r="F11155" s="2423"/>
    </row>
    <row r="11156" spans="6:6">
      <c r="F11156" s="2423"/>
    </row>
    <row r="11157" spans="6:6">
      <c r="F11157" s="2423"/>
    </row>
    <row r="11158" spans="6:6">
      <c r="F11158" s="2423"/>
    </row>
    <row r="11159" spans="6:6">
      <c r="F11159" s="2423"/>
    </row>
    <row r="11160" spans="6:6">
      <c r="F11160" s="2423"/>
    </row>
    <row r="11161" spans="6:6">
      <c r="F11161" s="2423"/>
    </row>
    <row r="11162" spans="6:6">
      <c r="F11162" s="2423"/>
    </row>
    <row r="11163" spans="6:6">
      <c r="F11163" s="2423"/>
    </row>
    <row r="11164" spans="6:6">
      <c r="F11164" s="2423"/>
    </row>
    <row r="11165" spans="6:6">
      <c r="F11165" s="2423"/>
    </row>
    <row r="11166" spans="6:6">
      <c r="F11166" s="2423"/>
    </row>
    <row r="11167" spans="6:6">
      <c r="F11167" s="2423"/>
    </row>
    <row r="11168" spans="6:6">
      <c r="F11168" s="2423"/>
    </row>
    <row r="11169" spans="6:6">
      <c r="F11169" s="2423"/>
    </row>
    <row r="11170" spans="6:6">
      <c r="F11170" s="2423"/>
    </row>
    <row r="11171" spans="6:6">
      <c r="F11171" s="2423"/>
    </row>
    <row r="11172" spans="6:6">
      <c r="F11172" s="2423"/>
    </row>
    <row r="11173" spans="6:6">
      <c r="F11173" s="2423"/>
    </row>
    <row r="11174" spans="6:6">
      <c r="F11174" s="2423"/>
    </row>
    <row r="11175" spans="6:6">
      <c r="F11175" s="2423"/>
    </row>
    <row r="11176" spans="6:6">
      <c r="F11176" s="2423"/>
    </row>
    <row r="11177" spans="6:6">
      <c r="F11177" s="2423"/>
    </row>
    <row r="11178" spans="6:6">
      <c r="F11178" s="2423"/>
    </row>
    <row r="11179" spans="6:6">
      <c r="F11179" s="2423"/>
    </row>
    <row r="11180" spans="6:6">
      <c r="F11180" s="2423"/>
    </row>
    <row r="11181" spans="6:6">
      <c r="F11181" s="2423"/>
    </row>
    <row r="11182" spans="6:6">
      <c r="F11182" s="2423"/>
    </row>
    <row r="11183" spans="6:6">
      <c r="F11183" s="2423"/>
    </row>
    <row r="11184" spans="6:6">
      <c r="F11184" s="2423"/>
    </row>
    <row r="11185" spans="6:6">
      <c r="F11185" s="2423"/>
    </row>
    <row r="11186" spans="6:6">
      <c r="F11186" s="2423"/>
    </row>
    <row r="11187" spans="6:6">
      <c r="F11187" s="2423"/>
    </row>
    <row r="11188" spans="6:6">
      <c r="F11188" s="2423"/>
    </row>
    <row r="11189" spans="6:6">
      <c r="F11189" s="2423"/>
    </row>
    <row r="11190" spans="6:6">
      <c r="F11190" s="2423"/>
    </row>
    <row r="11191" spans="6:6">
      <c r="F11191" s="2423"/>
    </row>
    <row r="11192" spans="6:6">
      <c r="F11192" s="2423"/>
    </row>
    <row r="11193" spans="6:6">
      <c r="F11193" s="2423"/>
    </row>
    <row r="11194" spans="6:6">
      <c r="F11194" s="2423"/>
    </row>
    <row r="11195" spans="6:6">
      <c r="F11195" s="2423"/>
    </row>
    <row r="11196" spans="6:6">
      <c r="F11196" s="2423"/>
    </row>
    <row r="11197" spans="6:6">
      <c r="F11197" s="2423"/>
    </row>
    <row r="11198" spans="6:6">
      <c r="F11198" s="2423"/>
    </row>
    <row r="11199" spans="6:6">
      <c r="F11199" s="2423"/>
    </row>
    <row r="11200" spans="6:6">
      <c r="F11200" s="2423"/>
    </row>
    <row r="11201" spans="6:6">
      <c r="F11201" s="2423"/>
    </row>
    <row r="11202" spans="6:6">
      <c r="F11202" s="2423"/>
    </row>
    <row r="11203" spans="6:6">
      <c r="F11203" s="2423"/>
    </row>
    <row r="11204" spans="6:6">
      <c r="F11204" s="2423"/>
    </row>
    <row r="11205" spans="6:6">
      <c r="F11205" s="2423"/>
    </row>
    <row r="11206" spans="6:6">
      <c r="F11206" s="2423"/>
    </row>
    <row r="11207" spans="6:6">
      <c r="F11207" s="2423"/>
    </row>
    <row r="11208" spans="6:6">
      <c r="F11208" s="2423"/>
    </row>
    <row r="11209" spans="6:6">
      <c r="F11209" s="2423"/>
    </row>
    <row r="11210" spans="6:6">
      <c r="F11210" s="2423"/>
    </row>
    <row r="11211" spans="6:6">
      <c r="F11211" s="2423"/>
    </row>
    <row r="11212" spans="6:6">
      <c r="F11212" s="2423"/>
    </row>
    <row r="11213" spans="6:6">
      <c r="F11213" s="2423"/>
    </row>
    <row r="11214" spans="6:6">
      <c r="F11214" s="2423"/>
    </row>
    <row r="11215" spans="6:6">
      <c r="F11215" s="2423"/>
    </row>
    <row r="11216" spans="6:6">
      <c r="F11216" s="2423"/>
    </row>
    <row r="11217" spans="6:6">
      <c r="F11217" s="2423"/>
    </row>
    <row r="11218" spans="6:6">
      <c r="F11218" s="2423"/>
    </row>
    <row r="11219" spans="6:6">
      <c r="F11219" s="2423"/>
    </row>
    <row r="11220" spans="6:6">
      <c r="F11220" s="2423"/>
    </row>
    <row r="11221" spans="6:6">
      <c r="F11221" s="2423"/>
    </row>
    <row r="11222" spans="6:6">
      <c r="F11222" s="2423"/>
    </row>
    <row r="11223" spans="6:6">
      <c r="F11223" s="2423"/>
    </row>
    <row r="11224" spans="6:6">
      <c r="F11224" s="2423"/>
    </row>
    <row r="11225" spans="6:6">
      <c r="F11225" s="2423"/>
    </row>
    <row r="11226" spans="6:6">
      <c r="F11226" s="2423"/>
    </row>
    <row r="11227" spans="6:6">
      <c r="F11227" s="2423"/>
    </row>
    <row r="11228" spans="6:6">
      <c r="F11228" s="2423"/>
    </row>
    <row r="11229" spans="6:6">
      <c r="F11229" s="2423"/>
    </row>
    <row r="11230" spans="6:6">
      <c r="F11230" s="2423"/>
    </row>
    <row r="11231" spans="6:6">
      <c r="F11231" s="2423"/>
    </row>
    <row r="11232" spans="6:6">
      <c r="F11232" s="2423"/>
    </row>
    <row r="11233" spans="6:6">
      <c r="F11233" s="2423"/>
    </row>
    <row r="11234" spans="6:6">
      <c r="F11234" s="2423"/>
    </row>
    <row r="11235" spans="6:6">
      <c r="F11235" s="2423"/>
    </row>
    <row r="11236" spans="6:6">
      <c r="F11236" s="2423"/>
    </row>
    <row r="11237" spans="6:6">
      <c r="F11237" s="2423"/>
    </row>
    <row r="11238" spans="6:6">
      <c r="F11238" s="2423"/>
    </row>
    <row r="11239" spans="6:6">
      <c r="F11239" s="2423"/>
    </row>
    <row r="11240" spans="6:6">
      <c r="F11240" s="2423"/>
    </row>
    <row r="11241" spans="6:6">
      <c r="F11241" s="2423"/>
    </row>
    <row r="11242" spans="6:6">
      <c r="F11242" s="2423"/>
    </row>
    <row r="11243" spans="6:6">
      <c r="F11243" s="2423"/>
    </row>
    <row r="11244" spans="6:6">
      <c r="F11244" s="2423"/>
    </row>
    <row r="11245" spans="6:6">
      <c r="F11245" s="2423"/>
    </row>
    <row r="11246" spans="6:6">
      <c r="F11246" s="2423"/>
    </row>
    <row r="11247" spans="6:6">
      <c r="F11247" s="2423"/>
    </row>
    <row r="11248" spans="6:6">
      <c r="F11248" s="2423"/>
    </row>
    <row r="11249" spans="6:6">
      <c r="F11249" s="2423"/>
    </row>
    <row r="11250" spans="6:6">
      <c r="F11250" s="2423"/>
    </row>
    <row r="11251" spans="6:6">
      <c r="F11251" s="2423"/>
    </row>
    <row r="11252" spans="6:6">
      <c r="F11252" s="2423"/>
    </row>
    <row r="11253" spans="6:6">
      <c r="F11253" s="2423"/>
    </row>
    <row r="11254" spans="6:6">
      <c r="F11254" s="2423"/>
    </row>
    <row r="11255" spans="6:6">
      <c r="F11255" s="2423"/>
    </row>
    <row r="11256" spans="6:6">
      <c r="F11256" s="2423"/>
    </row>
    <row r="11257" spans="6:6">
      <c r="F11257" s="2423"/>
    </row>
    <row r="11258" spans="6:6">
      <c r="F11258" s="2423"/>
    </row>
    <row r="11259" spans="6:6">
      <c r="F11259" s="2423"/>
    </row>
    <row r="11260" spans="6:6">
      <c r="F11260" s="2423"/>
    </row>
    <row r="11261" spans="6:6">
      <c r="F11261" s="2423"/>
    </row>
    <row r="11262" spans="6:6">
      <c r="F11262" s="2423"/>
    </row>
    <row r="11263" spans="6:6">
      <c r="F11263" s="2423"/>
    </row>
    <row r="11264" spans="6:6">
      <c r="F11264" s="2423"/>
    </row>
    <row r="11265" spans="6:6">
      <c r="F11265" s="2423"/>
    </row>
    <row r="11266" spans="6:6">
      <c r="F11266" s="2423"/>
    </row>
    <row r="11267" spans="6:6">
      <c r="F11267" s="2423"/>
    </row>
    <row r="11268" spans="6:6">
      <c r="F11268" s="2423"/>
    </row>
    <row r="11269" spans="6:6">
      <c r="F11269" s="2423"/>
    </row>
    <row r="11270" spans="6:6">
      <c r="F11270" s="2423"/>
    </row>
    <row r="11271" spans="6:6">
      <c r="F11271" s="2423"/>
    </row>
    <row r="11272" spans="6:6">
      <c r="F11272" s="2423"/>
    </row>
    <row r="11273" spans="6:6">
      <c r="F11273" s="2423"/>
    </row>
    <row r="11274" spans="6:6">
      <c r="F11274" s="2423"/>
    </row>
    <row r="11275" spans="6:6">
      <c r="F11275" s="2423"/>
    </row>
    <row r="11276" spans="6:6">
      <c r="F11276" s="2423"/>
    </row>
    <row r="11277" spans="6:6">
      <c r="F11277" s="2423"/>
    </row>
    <row r="11278" spans="6:6">
      <c r="F11278" s="2423"/>
    </row>
    <row r="11279" spans="6:6">
      <c r="F11279" s="2423"/>
    </row>
    <row r="11280" spans="6:6">
      <c r="F11280" s="2423"/>
    </row>
    <row r="11281" spans="6:6">
      <c r="F11281" s="2423"/>
    </row>
    <row r="11282" spans="6:6">
      <c r="F11282" s="2423"/>
    </row>
    <row r="11283" spans="6:6">
      <c r="F11283" s="2423"/>
    </row>
    <row r="11284" spans="6:6">
      <c r="F11284" s="2423"/>
    </row>
    <row r="11285" spans="6:6">
      <c r="F11285" s="2423"/>
    </row>
    <row r="11286" spans="6:6">
      <c r="F11286" s="2423"/>
    </row>
    <row r="11287" spans="6:6">
      <c r="F11287" s="2423"/>
    </row>
    <row r="11288" spans="6:6">
      <c r="F11288" s="2423"/>
    </row>
    <row r="11289" spans="6:6">
      <c r="F11289" s="2423"/>
    </row>
    <row r="11290" spans="6:6">
      <c r="F11290" s="2423"/>
    </row>
    <row r="11291" spans="6:6">
      <c r="F11291" s="2423"/>
    </row>
    <row r="11292" spans="6:6">
      <c r="F11292" s="2423"/>
    </row>
    <row r="11293" spans="6:6">
      <c r="F11293" s="2423"/>
    </row>
    <row r="11294" spans="6:6">
      <c r="F11294" s="2423"/>
    </row>
    <row r="11295" spans="6:6">
      <c r="F11295" s="2423"/>
    </row>
    <row r="11296" spans="6:6">
      <c r="F11296" s="2423"/>
    </row>
    <row r="11297" spans="6:6">
      <c r="F11297" s="2423"/>
    </row>
    <row r="11298" spans="6:6">
      <c r="F11298" s="2423"/>
    </row>
    <row r="11299" spans="6:6">
      <c r="F11299" s="2423"/>
    </row>
    <row r="11300" spans="6:6">
      <c r="F11300" s="2423"/>
    </row>
    <row r="11301" spans="6:6">
      <c r="F11301" s="2423"/>
    </row>
    <row r="11302" spans="6:6">
      <c r="F11302" s="2423"/>
    </row>
    <row r="11303" spans="6:6">
      <c r="F11303" s="2423"/>
    </row>
    <row r="11304" spans="6:6">
      <c r="F11304" s="2423"/>
    </row>
    <row r="11305" spans="6:6">
      <c r="F11305" s="2423"/>
    </row>
    <row r="11306" spans="6:6">
      <c r="F11306" s="2423"/>
    </row>
    <row r="11307" spans="6:6">
      <c r="F11307" s="2423"/>
    </row>
    <row r="11308" spans="6:6">
      <c r="F11308" s="2423"/>
    </row>
    <row r="11309" spans="6:6">
      <c r="F11309" s="2423"/>
    </row>
    <row r="11310" spans="6:6">
      <c r="F11310" s="2423"/>
    </row>
    <row r="11311" spans="6:6">
      <c r="F11311" s="2423"/>
    </row>
    <row r="11312" spans="6:6">
      <c r="F11312" s="2423"/>
    </row>
    <row r="11313" spans="6:6">
      <c r="F11313" s="2423"/>
    </row>
    <row r="11314" spans="6:6">
      <c r="F11314" s="2423"/>
    </row>
    <row r="11315" spans="6:6">
      <c r="F11315" s="2423"/>
    </row>
    <row r="11316" spans="6:6">
      <c r="F11316" s="2423"/>
    </row>
    <row r="11317" spans="6:6">
      <c r="F11317" s="2423"/>
    </row>
    <row r="11318" spans="6:6">
      <c r="F11318" s="2423"/>
    </row>
    <row r="11319" spans="6:6">
      <c r="F11319" s="2423"/>
    </row>
    <row r="11320" spans="6:6">
      <c r="F11320" s="2423"/>
    </row>
    <row r="11321" spans="6:6">
      <c r="F11321" s="2423"/>
    </row>
    <row r="11322" spans="6:6">
      <c r="F11322" s="2423"/>
    </row>
    <row r="11323" spans="6:6">
      <c r="F11323" s="2423"/>
    </row>
    <row r="11324" spans="6:6">
      <c r="F11324" s="2423"/>
    </row>
    <row r="11325" spans="6:6">
      <c r="F11325" s="2423"/>
    </row>
    <row r="11326" spans="6:6">
      <c r="F11326" s="2423"/>
    </row>
    <row r="11327" spans="6:6">
      <c r="F11327" s="2423"/>
    </row>
    <row r="11328" spans="6:6">
      <c r="F11328" s="2423"/>
    </row>
    <row r="11329" spans="6:6">
      <c r="F11329" s="2423"/>
    </row>
    <row r="11330" spans="6:6">
      <c r="F11330" s="2423"/>
    </row>
    <row r="11331" spans="6:6">
      <c r="F11331" s="2423"/>
    </row>
    <row r="11332" spans="6:6">
      <c r="F11332" s="2423"/>
    </row>
    <row r="11333" spans="6:6">
      <c r="F11333" s="2423"/>
    </row>
    <row r="11334" spans="6:6">
      <c r="F11334" s="2423"/>
    </row>
    <row r="11335" spans="6:6">
      <c r="F11335" s="2423"/>
    </row>
    <row r="11336" spans="6:6">
      <c r="F11336" s="2423"/>
    </row>
    <row r="11337" spans="6:6">
      <c r="F11337" s="2423"/>
    </row>
    <row r="11338" spans="6:6">
      <c r="F11338" s="2423"/>
    </row>
    <row r="11339" spans="6:6">
      <c r="F11339" s="2423"/>
    </row>
    <row r="11340" spans="6:6">
      <c r="F11340" s="2423"/>
    </row>
    <row r="11341" spans="6:6">
      <c r="F11341" s="2423"/>
    </row>
    <row r="11342" spans="6:6">
      <c r="F11342" s="2423"/>
    </row>
    <row r="11343" spans="6:6">
      <c r="F11343" s="2423"/>
    </row>
    <row r="11344" spans="6:6">
      <c r="F11344" s="2423"/>
    </row>
    <row r="11345" spans="6:6">
      <c r="F11345" s="2423"/>
    </row>
    <row r="11346" spans="6:6">
      <c r="F11346" s="2423"/>
    </row>
    <row r="11347" spans="6:6">
      <c r="F11347" s="2423"/>
    </row>
    <row r="11348" spans="6:6">
      <c r="F11348" s="2423"/>
    </row>
    <row r="11349" spans="6:6">
      <c r="F11349" s="2423"/>
    </row>
    <row r="11350" spans="6:6">
      <c r="F11350" s="2423"/>
    </row>
    <row r="11351" spans="6:6">
      <c r="F11351" s="2423"/>
    </row>
    <row r="11352" spans="6:6">
      <c r="F11352" s="2423"/>
    </row>
    <row r="11353" spans="6:6">
      <c r="F11353" s="2423"/>
    </row>
    <row r="11354" spans="6:6">
      <c r="F11354" s="2423"/>
    </row>
    <row r="11355" spans="6:6">
      <c r="F11355" s="2423"/>
    </row>
    <row r="11356" spans="6:6">
      <c r="F11356" s="2423"/>
    </row>
    <row r="11357" spans="6:6">
      <c r="F11357" s="2423"/>
    </row>
    <row r="11358" spans="6:6">
      <c r="F11358" s="2423"/>
    </row>
    <row r="11359" spans="6:6">
      <c r="F11359" s="2423"/>
    </row>
    <row r="11360" spans="6:6">
      <c r="F11360" s="2423"/>
    </row>
    <row r="11361" spans="6:6">
      <c r="F11361" s="2423"/>
    </row>
    <row r="11362" spans="6:6">
      <c r="F11362" s="2423"/>
    </row>
    <row r="11363" spans="6:6">
      <c r="F11363" s="2423"/>
    </row>
    <row r="11364" spans="6:6">
      <c r="F11364" s="2423"/>
    </row>
    <row r="11365" spans="6:6">
      <c r="F11365" s="2423"/>
    </row>
    <row r="11366" spans="6:6">
      <c r="F11366" s="2423"/>
    </row>
    <row r="11367" spans="6:6">
      <c r="F11367" s="2423"/>
    </row>
    <row r="11368" spans="6:6">
      <c r="F11368" s="2423"/>
    </row>
    <row r="11369" spans="6:6">
      <c r="F11369" s="2423"/>
    </row>
    <row r="11370" spans="6:6">
      <c r="F11370" s="2423"/>
    </row>
    <row r="11371" spans="6:6">
      <c r="F11371" s="2423"/>
    </row>
    <row r="11372" spans="6:6">
      <c r="F11372" s="2423"/>
    </row>
    <row r="11373" spans="6:6">
      <c r="F11373" s="2423"/>
    </row>
    <row r="11374" spans="6:6">
      <c r="F11374" s="2423"/>
    </row>
    <row r="11375" spans="6:6">
      <c r="F11375" s="2423"/>
    </row>
    <row r="11376" spans="6:6">
      <c r="F11376" s="2423"/>
    </row>
    <row r="11377" spans="6:6">
      <c r="F11377" s="2423"/>
    </row>
    <row r="11378" spans="6:6">
      <c r="F11378" s="2423"/>
    </row>
    <row r="11379" spans="6:6">
      <c r="F11379" s="2423"/>
    </row>
    <row r="11380" spans="6:6">
      <c r="F11380" s="2423"/>
    </row>
    <row r="11381" spans="6:6">
      <c r="F11381" s="2423"/>
    </row>
    <row r="11382" spans="6:6">
      <c r="F11382" s="2423"/>
    </row>
    <row r="11383" spans="6:6">
      <c r="F11383" s="2423"/>
    </row>
    <row r="11384" spans="6:6">
      <c r="F11384" s="2423"/>
    </row>
    <row r="11385" spans="6:6">
      <c r="F11385" s="2423"/>
    </row>
    <row r="11386" spans="6:6">
      <c r="F11386" s="2423"/>
    </row>
    <row r="11387" spans="6:6">
      <c r="F11387" s="2423"/>
    </row>
    <row r="11388" spans="6:6">
      <c r="F11388" s="2423"/>
    </row>
    <row r="11389" spans="6:6">
      <c r="F11389" s="2423"/>
    </row>
    <row r="11390" spans="6:6">
      <c r="F11390" s="2423"/>
    </row>
    <row r="11391" spans="6:6">
      <c r="F11391" s="2423"/>
    </row>
    <row r="11392" spans="6:6">
      <c r="F11392" s="2423"/>
    </row>
    <row r="11393" spans="6:6">
      <c r="F11393" s="2423"/>
    </row>
    <row r="11394" spans="6:6">
      <c r="F11394" s="2423"/>
    </row>
    <row r="11395" spans="6:6">
      <c r="F11395" s="2423"/>
    </row>
    <row r="11396" spans="6:6">
      <c r="F11396" s="2423"/>
    </row>
    <row r="11397" spans="6:6">
      <c r="F11397" s="2423"/>
    </row>
    <row r="11398" spans="6:6">
      <c r="F11398" s="2423"/>
    </row>
    <row r="11399" spans="6:6">
      <c r="F11399" s="2423"/>
    </row>
    <row r="11400" spans="6:6">
      <c r="F11400" s="2423"/>
    </row>
    <row r="11401" spans="6:6">
      <c r="F11401" s="2423"/>
    </row>
    <row r="11402" spans="6:6">
      <c r="F11402" s="2423"/>
    </row>
    <row r="11403" spans="6:6">
      <c r="F11403" s="2423"/>
    </row>
    <row r="11404" spans="6:6">
      <c r="F11404" s="2423"/>
    </row>
    <row r="11405" spans="6:6">
      <c r="F11405" s="2423"/>
    </row>
    <row r="11406" spans="6:6">
      <c r="F11406" s="2423"/>
    </row>
    <row r="11407" spans="6:6">
      <c r="F11407" s="2423"/>
    </row>
    <row r="11408" spans="6:6">
      <c r="F11408" s="2423"/>
    </row>
    <row r="11409" spans="6:6">
      <c r="F11409" s="2423"/>
    </row>
    <row r="11410" spans="6:6">
      <c r="F11410" s="2423"/>
    </row>
    <row r="11411" spans="6:6">
      <c r="F11411" s="2423"/>
    </row>
    <row r="11412" spans="6:6">
      <c r="F11412" s="2423"/>
    </row>
    <row r="11413" spans="6:6">
      <c r="F11413" s="2423"/>
    </row>
    <row r="11414" spans="6:6">
      <c r="F11414" s="2423"/>
    </row>
    <row r="11415" spans="6:6">
      <c r="F11415" s="2423"/>
    </row>
    <row r="11416" spans="6:6">
      <c r="F11416" s="2423"/>
    </row>
    <row r="11417" spans="6:6">
      <c r="F11417" s="2423"/>
    </row>
    <row r="11418" spans="6:6">
      <c r="F11418" s="2423"/>
    </row>
    <row r="11419" spans="6:6">
      <c r="F11419" s="2423"/>
    </row>
    <row r="11420" spans="6:6">
      <c r="F11420" s="2423"/>
    </row>
    <row r="11421" spans="6:6">
      <c r="F11421" s="2423"/>
    </row>
    <row r="11422" spans="6:6">
      <c r="F11422" s="2423"/>
    </row>
    <row r="11423" spans="6:6">
      <c r="F11423" s="2423"/>
    </row>
    <row r="11424" spans="6:6">
      <c r="F11424" s="2423"/>
    </row>
    <row r="11425" spans="6:6">
      <c r="F11425" s="2423"/>
    </row>
    <row r="11426" spans="6:6">
      <c r="F11426" s="2423"/>
    </row>
    <row r="11427" spans="6:6">
      <c r="F11427" s="2423"/>
    </row>
    <row r="11428" spans="6:6">
      <c r="F11428" s="2423"/>
    </row>
    <row r="11429" spans="6:6">
      <c r="F11429" s="2423"/>
    </row>
    <row r="11430" spans="6:6">
      <c r="F11430" s="2423"/>
    </row>
    <row r="11431" spans="6:6">
      <c r="F11431" s="2423"/>
    </row>
    <row r="11432" spans="6:6">
      <c r="F11432" s="2423"/>
    </row>
    <row r="11433" spans="6:6">
      <c r="F11433" s="2423"/>
    </row>
    <row r="11434" spans="6:6">
      <c r="F11434" s="2423"/>
    </row>
    <row r="11435" spans="6:6">
      <c r="F11435" s="2423"/>
    </row>
    <row r="11436" spans="6:6">
      <c r="F11436" s="2423"/>
    </row>
    <row r="11437" spans="6:6">
      <c r="F11437" s="2423"/>
    </row>
    <row r="11438" spans="6:6">
      <c r="F11438" s="2423"/>
    </row>
    <row r="11439" spans="6:6">
      <c r="F11439" s="2423"/>
    </row>
    <row r="11440" spans="6:6">
      <c r="F11440" s="2423"/>
    </row>
    <row r="11441" spans="6:6">
      <c r="F11441" s="2423"/>
    </row>
    <row r="11442" spans="6:6">
      <c r="F11442" s="2423"/>
    </row>
    <row r="11443" spans="6:6">
      <c r="F11443" s="2423"/>
    </row>
    <row r="11444" spans="6:6">
      <c r="F11444" s="2423"/>
    </row>
    <row r="11445" spans="6:6">
      <c r="F11445" s="2423"/>
    </row>
    <row r="11446" spans="6:6">
      <c r="F11446" s="2423"/>
    </row>
    <row r="11447" spans="6:6">
      <c r="F11447" s="2423"/>
    </row>
    <row r="11448" spans="6:6">
      <c r="F11448" s="2423"/>
    </row>
    <row r="11449" spans="6:6">
      <c r="F11449" s="2423"/>
    </row>
    <row r="11450" spans="6:6">
      <c r="F11450" s="2423"/>
    </row>
    <row r="11451" spans="6:6">
      <c r="F11451" s="2423"/>
    </row>
    <row r="11452" spans="6:6">
      <c r="F11452" s="2423"/>
    </row>
    <row r="11453" spans="6:6">
      <c r="F11453" s="2423"/>
    </row>
    <row r="11454" spans="6:6">
      <c r="F11454" s="2423"/>
    </row>
    <row r="11455" spans="6:6">
      <c r="F11455" s="2423"/>
    </row>
    <row r="11456" spans="6:6">
      <c r="F11456" s="2423"/>
    </row>
    <row r="11457" spans="6:6">
      <c r="F11457" s="2423"/>
    </row>
    <row r="11458" spans="6:6">
      <c r="F11458" s="2423"/>
    </row>
    <row r="11459" spans="6:6">
      <c r="F11459" s="2423"/>
    </row>
    <row r="11460" spans="6:6">
      <c r="F11460" s="2423"/>
    </row>
    <row r="11461" spans="6:6">
      <c r="F11461" s="2423"/>
    </row>
    <row r="11462" spans="6:6">
      <c r="F11462" s="2423"/>
    </row>
    <row r="11463" spans="6:6">
      <c r="F11463" s="2423"/>
    </row>
    <row r="11464" spans="6:6">
      <c r="F11464" s="2423"/>
    </row>
    <row r="11465" spans="6:6">
      <c r="F11465" s="2423"/>
    </row>
    <row r="11466" spans="6:6">
      <c r="F11466" s="2423"/>
    </row>
    <row r="11467" spans="6:6">
      <c r="F11467" s="2423"/>
    </row>
    <row r="11468" spans="6:6">
      <c r="F11468" s="2423"/>
    </row>
    <row r="11469" spans="6:6">
      <c r="F11469" s="2423"/>
    </row>
    <row r="11470" spans="6:6">
      <c r="F11470" s="2423"/>
    </row>
    <row r="11471" spans="6:6">
      <c r="F11471" s="2423"/>
    </row>
    <row r="11472" spans="6:6">
      <c r="F11472" s="2423"/>
    </row>
    <row r="11473" spans="6:6">
      <c r="F11473" s="2423"/>
    </row>
    <row r="11474" spans="6:6">
      <c r="F11474" s="2423"/>
    </row>
    <row r="11475" spans="6:6">
      <c r="F11475" s="2423"/>
    </row>
    <row r="11476" spans="6:6">
      <c r="F11476" s="2423"/>
    </row>
    <row r="11477" spans="6:6">
      <c r="F11477" s="2423"/>
    </row>
    <row r="11478" spans="6:6">
      <c r="F11478" s="2423"/>
    </row>
    <row r="11479" spans="6:6">
      <c r="F11479" s="2423"/>
    </row>
    <row r="11480" spans="6:6">
      <c r="F11480" s="2423"/>
    </row>
    <row r="11481" spans="6:6">
      <c r="F11481" s="2423"/>
    </row>
    <row r="11482" spans="6:6">
      <c r="F11482" s="2423"/>
    </row>
    <row r="11483" spans="6:6">
      <c r="F11483" s="2423"/>
    </row>
    <row r="11484" spans="6:6">
      <c r="F11484" s="2423"/>
    </row>
    <row r="11485" spans="6:6">
      <c r="F11485" s="2423"/>
    </row>
    <row r="11486" spans="6:6">
      <c r="F11486" s="2423"/>
    </row>
    <row r="11487" spans="6:6">
      <c r="F11487" s="2423"/>
    </row>
    <row r="11488" spans="6:6">
      <c r="F11488" s="2423"/>
    </row>
    <row r="11489" spans="6:6">
      <c r="F11489" s="2423"/>
    </row>
    <row r="11490" spans="6:6">
      <c r="F11490" s="2423"/>
    </row>
    <row r="11491" spans="6:6">
      <c r="F11491" s="2423"/>
    </row>
    <row r="11492" spans="6:6">
      <c r="F11492" s="2423"/>
    </row>
    <row r="11493" spans="6:6">
      <c r="F11493" s="2423"/>
    </row>
    <row r="11494" spans="6:6">
      <c r="F11494" s="2423"/>
    </row>
    <row r="11495" spans="6:6">
      <c r="F11495" s="2423"/>
    </row>
    <row r="11496" spans="6:6">
      <c r="F11496" s="2423"/>
    </row>
    <row r="11497" spans="6:6">
      <c r="F11497" s="2423"/>
    </row>
    <row r="11498" spans="6:6">
      <c r="F11498" s="2423"/>
    </row>
    <row r="11499" spans="6:6">
      <c r="F11499" s="2423"/>
    </row>
    <row r="11500" spans="6:6">
      <c r="F11500" s="2423"/>
    </row>
    <row r="11501" spans="6:6">
      <c r="F11501" s="2423"/>
    </row>
    <row r="11502" spans="6:6">
      <c r="F11502" s="2423"/>
    </row>
    <row r="11503" spans="6:6">
      <c r="F11503" s="2423"/>
    </row>
    <row r="11504" spans="6:6">
      <c r="F11504" s="2423"/>
    </row>
    <row r="11505" spans="6:6">
      <c r="F11505" s="2423"/>
    </row>
    <row r="11506" spans="6:6">
      <c r="F11506" s="2423"/>
    </row>
    <row r="11507" spans="6:6">
      <c r="F11507" s="2423"/>
    </row>
    <row r="11508" spans="6:6">
      <c r="F11508" s="2423"/>
    </row>
    <row r="11509" spans="6:6">
      <c r="F11509" s="2423"/>
    </row>
    <row r="11510" spans="6:6">
      <c r="F11510" s="2423"/>
    </row>
    <row r="11511" spans="6:6">
      <c r="F11511" s="2423"/>
    </row>
    <row r="11512" spans="6:6">
      <c r="F11512" s="2423"/>
    </row>
    <row r="11513" spans="6:6">
      <c r="F11513" s="2423"/>
    </row>
    <row r="11514" spans="6:6">
      <c r="F11514" s="2423"/>
    </row>
    <row r="11515" spans="6:6">
      <c r="F11515" s="2423"/>
    </row>
    <row r="11516" spans="6:6">
      <c r="F11516" s="2423"/>
    </row>
    <row r="11517" spans="6:6">
      <c r="F11517" s="2423"/>
    </row>
    <row r="11518" spans="6:6">
      <c r="F11518" s="2423"/>
    </row>
    <row r="11519" spans="6:6">
      <c r="F11519" s="2423"/>
    </row>
    <row r="11520" spans="6:6">
      <c r="F11520" s="2423"/>
    </row>
    <row r="11521" spans="6:6">
      <c r="F11521" s="2423"/>
    </row>
    <row r="11522" spans="6:6">
      <c r="F11522" s="2423"/>
    </row>
    <row r="11523" spans="6:6">
      <c r="F11523" s="2423"/>
    </row>
    <row r="11524" spans="6:6">
      <c r="F11524" s="2423"/>
    </row>
    <row r="11525" spans="6:6">
      <c r="F11525" s="2423"/>
    </row>
    <row r="11526" spans="6:6">
      <c r="F11526" s="2423"/>
    </row>
    <row r="11527" spans="6:6">
      <c r="F11527" s="2423"/>
    </row>
    <row r="11528" spans="6:6">
      <c r="F11528" s="2423"/>
    </row>
    <row r="11529" spans="6:6">
      <c r="F11529" s="2423"/>
    </row>
    <row r="11530" spans="6:6">
      <c r="F11530" s="2423"/>
    </row>
    <row r="11531" spans="6:6">
      <c r="F11531" s="2423"/>
    </row>
    <row r="11532" spans="6:6">
      <c r="F11532" s="2423"/>
    </row>
    <row r="11533" spans="6:6">
      <c r="F11533" s="2423"/>
    </row>
    <row r="11534" spans="6:6">
      <c r="F11534" s="2423"/>
    </row>
    <row r="11535" spans="6:6">
      <c r="F11535" s="2423"/>
    </row>
    <row r="11536" spans="6:6">
      <c r="F11536" s="2423"/>
    </row>
    <row r="11537" spans="6:6">
      <c r="F11537" s="2423"/>
    </row>
    <row r="11538" spans="6:6">
      <c r="F11538" s="2423"/>
    </row>
    <row r="11539" spans="6:6">
      <c r="F11539" s="2423"/>
    </row>
    <row r="11540" spans="6:6">
      <c r="F11540" s="2423"/>
    </row>
    <row r="11541" spans="6:6">
      <c r="F11541" s="2423"/>
    </row>
    <row r="11542" spans="6:6">
      <c r="F11542" s="2423"/>
    </row>
    <row r="11543" spans="6:6">
      <c r="F11543" s="2423"/>
    </row>
    <row r="11544" spans="6:6">
      <c r="F11544" s="2423"/>
    </row>
    <row r="11545" spans="6:6">
      <c r="F11545" s="2423"/>
    </row>
    <row r="11546" spans="6:6">
      <c r="F11546" s="2423"/>
    </row>
    <row r="11547" spans="6:6">
      <c r="F11547" s="2423"/>
    </row>
    <row r="11548" spans="6:6">
      <c r="F11548" s="2423"/>
    </row>
    <row r="11549" spans="6:6">
      <c r="F11549" s="2423"/>
    </row>
    <row r="11550" spans="6:6">
      <c r="F11550" s="2423"/>
    </row>
    <row r="11551" spans="6:6">
      <c r="F11551" s="2423"/>
    </row>
    <row r="11552" spans="6:6">
      <c r="F11552" s="2423"/>
    </row>
    <row r="11553" spans="6:6">
      <c r="F11553" s="2423"/>
    </row>
    <row r="11554" spans="6:6">
      <c r="F11554" s="2423"/>
    </row>
    <row r="11555" spans="6:6">
      <c r="F11555" s="2423"/>
    </row>
    <row r="11556" spans="6:6">
      <c r="F11556" s="2423"/>
    </row>
    <row r="11557" spans="6:6">
      <c r="F11557" s="2423"/>
    </row>
    <row r="11558" spans="6:6">
      <c r="F11558" s="2423"/>
    </row>
    <row r="11559" spans="6:6">
      <c r="F11559" s="2423"/>
    </row>
    <row r="11560" spans="6:6">
      <c r="F11560" s="2423"/>
    </row>
    <row r="11561" spans="6:6">
      <c r="F11561" s="2423"/>
    </row>
    <row r="11562" spans="6:6">
      <c r="F11562" s="2423"/>
    </row>
    <row r="11563" spans="6:6">
      <c r="F11563" s="2423"/>
    </row>
    <row r="11564" spans="6:6">
      <c r="F11564" s="2423"/>
    </row>
    <row r="11565" spans="6:6">
      <c r="F11565" s="2423"/>
    </row>
    <row r="11566" spans="6:6">
      <c r="F11566" s="2423"/>
    </row>
    <row r="11567" spans="6:6">
      <c r="F11567" s="2423"/>
    </row>
    <row r="11568" spans="6:6">
      <c r="F11568" s="2423"/>
    </row>
    <row r="11569" spans="6:6">
      <c r="F11569" s="2423"/>
    </row>
    <row r="11570" spans="6:6">
      <c r="F11570" s="2423"/>
    </row>
    <row r="11571" spans="6:6">
      <c r="F11571" s="2423"/>
    </row>
    <row r="11572" spans="6:6">
      <c r="F11572" s="2423"/>
    </row>
    <row r="11573" spans="6:6">
      <c r="F11573" s="2423"/>
    </row>
    <row r="11574" spans="6:6">
      <c r="F11574" s="2423"/>
    </row>
    <row r="11575" spans="6:6">
      <c r="F11575" s="2423"/>
    </row>
    <row r="11576" spans="6:6">
      <c r="F11576" s="2423"/>
    </row>
    <row r="11577" spans="6:6">
      <c r="F11577" s="2423"/>
    </row>
    <row r="11578" spans="6:6">
      <c r="F11578" s="2423"/>
    </row>
    <row r="11579" spans="6:6">
      <c r="F11579" s="2423"/>
    </row>
    <row r="11580" spans="6:6">
      <c r="F11580" s="2423"/>
    </row>
    <row r="11581" spans="6:6">
      <c r="F11581" s="2423"/>
    </row>
    <row r="11582" spans="6:6">
      <c r="F11582" s="2423"/>
    </row>
    <row r="11583" spans="6:6">
      <c r="F11583" s="2423"/>
    </row>
    <row r="11584" spans="6:6">
      <c r="F11584" s="2423"/>
    </row>
    <row r="11585" spans="6:6">
      <c r="F11585" s="2423"/>
    </row>
    <row r="11586" spans="6:6">
      <c r="F11586" s="2423"/>
    </row>
    <row r="11587" spans="6:6">
      <c r="F11587" s="2423"/>
    </row>
    <row r="11588" spans="6:6">
      <c r="F11588" s="2423"/>
    </row>
    <row r="11589" spans="6:6">
      <c r="F11589" s="2423"/>
    </row>
    <row r="11590" spans="6:6">
      <c r="F11590" s="2423"/>
    </row>
    <row r="11591" spans="6:6">
      <c r="F11591" s="2423"/>
    </row>
    <row r="11592" spans="6:6">
      <c r="F11592" s="2423"/>
    </row>
    <row r="11593" spans="6:6">
      <c r="F11593" s="2423"/>
    </row>
    <row r="11594" spans="6:6">
      <c r="F11594" s="2423"/>
    </row>
    <row r="11595" spans="6:6">
      <c r="F11595" s="2423"/>
    </row>
    <row r="11596" spans="6:6">
      <c r="F11596" s="2423"/>
    </row>
    <row r="11597" spans="6:6">
      <c r="F11597" s="2423"/>
    </row>
    <row r="11598" spans="6:6">
      <c r="F11598" s="2423"/>
    </row>
    <row r="11599" spans="6:6">
      <c r="F11599" s="2423"/>
    </row>
    <row r="11600" spans="6:6">
      <c r="F11600" s="2423"/>
    </row>
    <row r="11601" spans="6:6">
      <c r="F11601" s="2423"/>
    </row>
    <row r="11602" spans="6:6">
      <c r="F11602" s="2423"/>
    </row>
    <row r="11603" spans="6:6">
      <c r="F11603" s="2423"/>
    </row>
    <row r="11604" spans="6:6">
      <c r="F11604" s="2423"/>
    </row>
    <row r="11605" spans="6:6">
      <c r="F11605" s="2423"/>
    </row>
    <row r="11606" spans="6:6">
      <c r="F11606" s="2423"/>
    </row>
    <row r="11607" spans="6:6">
      <c r="F11607" s="2423"/>
    </row>
    <row r="11608" spans="6:6">
      <c r="F11608" s="2423"/>
    </row>
    <row r="11609" spans="6:6">
      <c r="F11609" s="2423"/>
    </row>
    <row r="11610" spans="6:6">
      <c r="F11610" s="2423"/>
    </row>
    <row r="11611" spans="6:6">
      <c r="F11611" s="2423"/>
    </row>
    <row r="11612" spans="6:6">
      <c r="F11612" s="2423"/>
    </row>
    <row r="11613" spans="6:6">
      <c r="F11613" s="2423"/>
    </row>
    <row r="11614" spans="6:6">
      <c r="F11614" s="2423"/>
    </row>
    <row r="11615" spans="6:6">
      <c r="F11615" s="2423"/>
    </row>
    <row r="11616" spans="6:6">
      <c r="F11616" s="2423"/>
    </row>
    <row r="11617" spans="6:6">
      <c r="F11617" s="2423"/>
    </row>
    <row r="11618" spans="6:6">
      <c r="F11618" s="2423"/>
    </row>
    <row r="11619" spans="6:6">
      <c r="F11619" s="2423"/>
    </row>
    <row r="11620" spans="6:6">
      <c r="F11620" s="2423"/>
    </row>
    <row r="11621" spans="6:6">
      <c r="F11621" s="2423"/>
    </row>
    <row r="11622" spans="6:6">
      <c r="F11622" s="2423"/>
    </row>
    <row r="11623" spans="6:6">
      <c r="F11623" s="2423"/>
    </row>
    <row r="11624" spans="6:6">
      <c r="F11624" s="2423"/>
    </row>
    <row r="11625" spans="6:6">
      <c r="F11625" s="2423"/>
    </row>
    <row r="11626" spans="6:6">
      <c r="F11626" s="2423"/>
    </row>
    <row r="11627" spans="6:6">
      <c r="F11627" s="2423"/>
    </row>
    <row r="11628" spans="6:6">
      <c r="F11628" s="2423"/>
    </row>
    <row r="11629" spans="6:6">
      <c r="F11629" s="2423"/>
    </row>
    <row r="11630" spans="6:6">
      <c r="F11630" s="2423"/>
    </row>
    <row r="11631" spans="6:6">
      <c r="F11631" s="2423"/>
    </row>
    <row r="11632" spans="6:6">
      <c r="F11632" s="2423"/>
    </row>
    <row r="11633" spans="6:6">
      <c r="F11633" s="2423"/>
    </row>
    <row r="11634" spans="6:6">
      <c r="F11634" s="2423"/>
    </row>
    <row r="11635" spans="6:6">
      <c r="F11635" s="2423"/>
    </row>
    <row r="11636" spans="6:6">
      <c r="F11636" s="2423"/>
    </row>
    <row r="11637" spans="6:6">
      <c r="F11637" s="2423"/>
    </row>
    <row r="11638" spans="6:6">
      <c r="F11638" s="2423"/>
    </row>
    <row r="11639" spans="6:6">
      <c r="F11639" s="2423"/>
    </row>
    <row r="11640" spans="6:6">
      <c r="F11640" s="2423"/>
    </row>
    <row r="11641" spans="6:6">
      <c r="F11641" s="2423"/>
    </row>
    <row r="11642" spans="6:6">
      <c r="F11642" s="2423"/>
    </row>
    <row r="11643" spans="6:6">
      <c r="F11643" s="2423"/>
    </row>
    <row r="11644" spans="6:6">
      <c r="F11644" s="2423"/>
    </row>
    <row r="11645" spans="6:6">
      <c r="F11645" s="2423"/>
    </row>
    <row r="11646" spans="6:6">
      <c r="F11646" s="2423"/>
    </row>
    <row r="11647" spans="6:6">
      <c r="F11647" s="2423"/>
    </row>
    <row r="11648" spans="6:6">
      <c r="F11648" s="2423"/>
    </row>
    <row r="11649" spans="6:6">
      <c r="F11649" s="2423"/>
    </row>
    <row r="11650" spans="6:6">
      <c r="F11650" s="2423"/>
    </row>
    <row r="11651" spans="6:6">
      <c r="F11651" s="2423"/>
    </row>
    <row r="11652" spans="6:6">
      <c r="F11652" s="2423"/>
    </row>
    <row r="11653" spans="6:6">
      <c r="F11653" s="2423"/>
    </row>
    <row r="11654" spans="6:6">
      <c r="F11654" s="2423"/>
    </row>
    <row r="11655" spans="6:6">
      <c r="F11655" s="2423"/>
    </row>
    <row r="11656" spans="6:6">
      <c r="F11656" s="2423"/>
    </row>
    <row r="11657" spans="6:6">
      <c r="F11657" s="2423"/>
    </row>
    <row r="11658" spans="6:6">
      <c r="F11658" s="2423"/>
    </row>
    <row r="11659" spans="6:6">
      <c r="F11659" s="2423"/>
    </row>
    <row r="11660" spans="6:6">
      <c r="F11660" s="2423"/>
    </row>
    <row r="11661" spans="6:6">
      <c r="F11661" s="2423"/>
    </row>
    <row r="11662" spans="6:6">
      <c r="F11662" s="2423"/>
    </row>
    <row r="11663" spans="6:6">
      <c r="F11663" s="2423"/>
    </row>
    <row r="11664" spans="6:6">
      <c r="F11664" s="2423"/>
    </row>
    <row r="11665" spans="6:6">
      <c r="F11665" s="2423"/>
    </row>
    <row r="11666" spans="6:6">
      <c r="F11666" s="2423"/>
    </row>
    <row r="11667" spans="6:6">
      <c r="F11667" s="2423"/>
    </row>
    <row r="11668" spans="6:6">
      <c r="F11668" s="2423"/>
    </row>
    <row r="11669" spans="6:6">
      <c r="F11669" s="2423"/>
    </row>
    <row r="11670" spans="6:6">
      <c r="F11670" s="2423"/>
    </row>
    <row r="11671" spans="6:6">
      <c r="F11671" s="2423"/>
    </row>
    <row r="11672" spans="6:6">
      <c r="F11672" s="2423"/>
    </row>
    <row r="11673" spans="6:6">
      <c r="F11673" s="2423"/>
    </row>
    <row r="11674" spans="6:6">
      <c r="F11674" s="2423"/>
    </row>
    <row r="11675" spans="6:6">
      <c r="F11675" s="2423"/>
    </row>
    <row r="11676" spans="6:6">
      <c r="F11676" s="2423"/>
    </row>
    <row r="11677" spans="6:6">
      <c r="F11677" s="2423"/>
    </row>
    <row r="11678" spans="6:6">
      <c r="F11678" s="2423"/>
    </row>
    <row r="11679" spans="6:6">
      <c r="F11679" s="2423"/>
    </row>
    <row r="11680" spans="6:6">
      <c r="F11680" s="2423"/>
    </row>
    <row r="11681" spans="6:6">
      <c r="F11681" s="2423"/>
    </row>
    <row r="11682" spans="6:6">
      <c r="F11682" s="2423"/>
    </row>
    <row r="11683" spans="6:6">
      <c r="F11683" s="2423"/>
    </row>
    <row r="11684" spans="6:6">
      <c r="F11684" s="2423"/>
    </row>
    <row r="11685" spans="6:6">
      <c r="F11685" s="2423"/>
    </row>
    <row r="11686" spans="6:6">
      <c r="F11686" s="2423"/>
    </row>
    <row r="11687" spans="6:6">
      <c r="F11687" s="2423"/>
    </row>
    <row r="11688" spans="6:6">
      <c r="F11688" s="2423"/>
    </row>
    <row r="11689" spans="6:6">
      <c r="F11689" s="2423"/>
    </row>
    <row r="11690" spans="6:6">
      <c r="F11690" s="2423"/>
    </row>
    <row r="11691" spans="6:6">
      <c r="F11691" s="2423"/>
    </row>
    <row r="11692" spans="6:6">
      <c r="F11692" s="2423"/>
    </row>
    <row r="11693" spans="6:6">
      <c r="F11693" s="2423"/>
    </row>
    <row r="11694" spans="6:6">
      <c r="F11694" s="2423"/>
    </row>
    <row r="11695" spans="6:6">
      <c r="F11695" s="2423"/>
    </row>
    <row r="11696" spans="6:6">
      <c r="F11696" s="2423"/>
    </row>
    <row r="11697" spans="6:6">
      <c r="F11697" s="2423"/>
    </row>
    <row r="11698" spans="6:6">
      <c r="F11698" s="2423"/>
    </row>
    <row r="11699" spans="6:6">
      <c r="F11699" s="2423"/>
    </row>
    <row r="11700" spans="6:6">
      <c r="F11700" s="2423"/>
    </row>
    <row r="11701" spans="6:6">
      <c r="F11701" s="2423"/>
    </row>
    <row r="11702" spans="6:6">
      <c r="F11702" s="2423"/>
    </row>
    <row r="11703" spans="6:6">
      <c r="F11703" s="2423"/>
    </row>
    <row r="11704" spans="6:6">
      <c r="F11704" s="2423"/>
    </row>
    <row r="11705" spans="6:6">
      <c r="F11705" s="2423"/>
    </row>
    <row r="11706" spans="6:6">
      <c r="F11706" s="2423"/>
    </row>
    <row r="11707" spans="6:6">
      <c r="F11707" s="2423"/>
    </row>
    <row r="11708" spans="6:6">
      <c r="F11708" s="2423"/>
    </row>
    <row r="11709" spans="6:6">
      <c r="F11709" s="2423"/>
    </row>
    <row r="11710" spans="6:6">
      <c r="F11710" s="2423"/>
    </row>
    <row r="11711" spans="6:6">
      <c r="F11711" s="2423"/>
    </row>
    <row r="11712" spans="6:6">
      <c r="F11712" s="2423"/>
    </row>
    <row r="11713" spans="6:6">
      <c r="F11713" s="2423"/>
    </row>
    <row r="11714" spans="6:6">
      <c r="F11714" s="2423"/>
    </row>
    <row r="11715" spans="6:6">
      <c r="F11715" s="2423"/>
    </row>
    <row r="11716" spans="6:6">
      <c r="F11716" s="2423"/>
    </row>
    <row r="11717" spans="6:6">
      <c r="F11717" s="2423"/>
    </row>
    <row r="11718" spans="6:6">
      <c r="F11718" s="2423"/>
    </row>
    <row r="11719" spans="6:6">
      <c r="F11719" s="2423"/>
    </row>
    <row r="11720" spans="6:6">
      <c r="F11720" s="2423"/>
    </row>
    <row r="11721" spans="6:6">
      <c r="F11721" s="2423"/>
    </row>
    <row r="11722" spans="6:6">
      <c r="F11722" s="2423"/>
    </row>
    <row r="11723" spans="6:6">
      <c r="F11723" s="2423"/>
    </row>
    <row r="11724" spans="6:6">
      <c r="F11724" s="2423"/>
    </row>
    <row r="11725" spans="6:6">
      <c r="F11725" s="2423"/>
    </row>
    <row r="11726" spans="6:6">
      <c r="F11726" s="2423"/>
    </row>
    <row r="11727" spans="6:6">
      <c r="F11727" s="2423"/>
    </row>
    <row r="11728" spans="6:6">
      <c r="F11728" s="2423"/>
    </row>
    <row r="11729" spans="6:6">
      <c r="F11729" s="2423"/>
    </row>
    <row r="11730" spans="6:6">
      <c r="F11730" s="2423"/>
    </row>
    <row r="11731" spans="6:6">
      <c r="F11731" s="2423"/>
    </row>
    <row r="11732" spans="6:6">
      <c r="F11732" s="2423"/>
    </row>
    <row r="11733" spans="6:6">
      <c r="F11733" s="2423"/>
    </row>
    <row r="11734" spans="6:6">
      <c r="F11734" s="2423"/>
    </row>
    <row r="11735" spans="6:6">
      <c r="F11735" s="2423"/>
    </row>
    <row r="11736" spans="6:6">
      <c r="F11736" s="2423"/>
    </row>
    <row r="11737" spans="6:6">
      <c r="F11737" s="2423"/>
    </row>
    <row r="11738" spans="6:6">
      <c r="F11738" s="2423"/>
    </row>
    <row r="11739" spans="6:6">
      <c r="F11739" s="2423"/>
    </row>
    <row r="11740" spans="6:6">
      <c r="F11740" s="2423"/>
    </row>
    <row r="11741" spans="6:6">
      <c r="F11741" s="2423"/>
    </row>
    <row r="11742" spans="6:6">
      <c r="F11742" s="2423"/>
    </row>
    <row r="11743" spans="6:6">
      <c r="F11743" s="2423"/>
    </row>
    <row r="11744" spans="6:6">
      <c r="F11744" s="2423"/>
    </row>
    <row r="11745" spans="6:6">
      <c r="F11745" s="2423"/>
    </row>
    <row r="11746" spans="6:6">
      <c r="F11746" s="2423"/>
    </row>
    <row r="11747" spans="6:6">
      <c r="F11747" s="2423"/>
    </row>
    <row r="11748" spans="6:6">
      <c r="F11748" s="2423"/>
    </row>
    <row r="11749" spans="6:6">
      <c r="F11749" s="2423"/>
    </row>
    <row r="11750" spans="6:6">
      <c r="F11750" s="2423"/>
    </row>
    <row r="11751" spans="6:6">
      <c r="F11751" s="2423"/>
    </row>
    <row r="11752" spans="6:6">
      <c r="F11752" s="2423"/>
    </row>
    <row r="11753" spans="6:6">
      <c r="F11753" s="2423"/>
    </row>
    <row r="11754" spans="6:6">
      <c r="F11754" s="2423"/>
    </row>
    <row r="11755" spans="6:6">
      <c r="F11755" s="2423"/>
    </row>
    <row r="11756" spans="6:6">
      <c r="F11756" s="2423"/>
    </row>
    <row r="11757" spans="6:6">
      <c r="F11757" s="2423"/>
    </row>
    <row r="11758" spans="6:6">
      <c r="F11758" s="2423"/>
    </row>
    <row r="11759" spans="6:6">
      <c r="F11759" s="2423"/>
    </row>
    <row r="11760" spans="6:6">
      <c r="F11760" s="2423"/>
    </row>
    <row r="11761" spans="6:6">
      <c r="F11761" s="2423"/>
    </row>
    <row r="11762" spans="6:6">
      <c r="F11762" s="2423"/>
    </row>
    <row r="11763" spans="6:6">
      <c r="F11763" s="2423"/>
    </row>
    <row r="11764" spans="6:6">
      <c r="F11764" s="2423"/>
    </row>
    <row r="11765" spans="6:6">
      <c r="F11765" s="2423"/>
    </row>
    <row r="11766" spans="6:6">
      <c r="F11766" s="2423"/>
    </row>
    <row r="11767" spans="6:6">
      <c r="F11767" s="2423"/>
    </row>
    <row r="11768" spans="6:6">
      <c r="F11768" s="2423"/>
    </row>
    <row r="11769" spans="6:6">
      <c r="F11769" s="2423"/>
    </row>
    <row r="11770" spans="6:6">
      <c r="F11770" s="2423"/>
    </row>
    <row r="11771" spans="6:6">
      <c r="F11771" s="2423"/>
    </row>
    <row r="11772" spans="6:6">
      <c r="F11772" s="2423"/>
    </row>
    <row r="11773" spans="6:6">
      <c r="F11773" s="2423"/>
    </row>
    <row r="11774" spans="6:6">
      <c r="F11774" s="2423"/>
    </row>
    <row r="11775" spans="6:6">
      <c r="F11775" s="2423"/>
    </row>
    <row r="11776" spans="6:6">
      <c r="F11776" s="2423"/>
    </row>
    <row r="11777" spans="6:6">
      <c r="F11777" s="2423"/>
    </row>
    <row r="11778" spans="6:6">
      <c r="F11778" s="2423"/>
    </row>
    <row r="11779" spans="6:6">
      <c r="F11779" s="2423"/>
    </row>
    <row r="11780" spans="6:6">
      <c r="F11780" s="2423"/>
    </row>
    <row r="11781" spans="6:6">
      <c r="F11781" s="2423"/>
    </row>
    <row r="11782" spans="6:6">
      <c r="F11782" s="2423"/>
    </row>
    <row r="11783" spans="6:6">
      <c r="F11783" s="2423"/>
    </row>
    <row r="11784" spans="6:6">
      <c r="F11784" s="2423"/>
    </row>
    <row r="11785" spans="6:6">
      <c r="F11785" s="2423"/>
    </row>
    <row r="11786" spans="6:6">
      <c r="F11786" s="2423"/>
    </row>
    <row r="11787" spans="6:6">
      <c r="F11787" s="2423"/>
    </row>
    <row r="11788" spans="6:6">
      <c r="F11788" s="2423"/>
    </row>
    <row r="11789" spans="6:6">
      <c r="F11789" s="2423"/>
    </row>
    <row r="11790" spans="6:6">
      <c r="F11790" s="2423"/>
    </row>
    <row r="11791" spans="6:6">
      <c r="F11791" s="2423"/>
    </row>
    <row r="11792" spans="6:6">
      <c r="F11792" s="2423"/>
    </row>
    <row r="11793" spans="6:6">
      <c r="F11793" s="2423"/>
    </row>
    <row r="11794" spans="6:6">
      <c r="F11794" s="2423"/>
    </row>
    <row r="11795" spans="6:6">
      <c r="F11795" s="2423"/>
    </row>
    <row r="11796" spans="6:6">
      <c r="F11796" s="2423"/>
    </row>
    <row r="11797" spans="6:6">
      <c r="F11797" s="2423"/>
    </row>
    <row r="11798" spans="6:6">
      <c r="F11798" s="2423"/>
    </row>
    <row r="11799" spans="6:6">
      <c r="F11799" s="2423"/>
    </row>
    <row r="11800" spans="6:6">
      <c r="F11800" s="2423"/>
    </row>
    <row r="11801" spans="6:6">
      <c r="F11801" s="2423"/>
    </row>
    <row r="11802" spans="6:6">
      <c r="F11802" s="2423"/>
    </row>
    <row r="11803" spans="6:6">
      <c r="F11803" s="2423"/>
    </row>
    <row r="11804" spans="6:6">
      <c r="F11804" s="2423"/>
    </row>
    <row r="11805" spans="6:6">
      <c r="F11805" s="2423"/>
    </row>
    <row r="11806" spans="6:6">
      <c r="F11806" s="2423"/>
    </row>
    <row r="11807" spans="6:6">
      <c r="F11807" s="2423"/>
    </row>
    <row r="11808" spans="6:6">
      <c r="F11808" s="2423"/>
    </row>
    <row r="11809" spans="6:6">
      <c r="F11809" s="2423"/>
    </row>
    <row r="11810" spans="6:6">
      <c r="F11810" s="2423"/>
    </row>
    <row r="11811" spans="6:6">
      <c r="F11811" s="2423"/>
    </row>
    <row r="11812" spans="6:6">
      <c r="F11812" s="2423"/>
    </row>
    <row r="11813" spans="6:6">
      <c r="F11813" s="2423"/>
    </row>
    <row r="11814" spans="6:6">
      <c r="F11814" s="2423"/>
    </row>
    <row r="11815" spans="6:6">
      <c r="F11815" s="2423"/>
    </row>
    <row r="11816" spans="6:6">
      <c r="F11816" s="2423"/>
    </row>
    <row r="11817" spans="6:6">
      <c r="F11817" s="2423"/>
    </row>
    <row r="11818" spans="6:6">
      <c r="F11818" s="2423"/>
    </row>
    <row r="11819" spans="6:6">
      <c r="F11819" s="2423"/>
    </row>
    <row r="11820" spans="6:6">
      <c r="F11820" s="2423"/>
    </row>
    <row r="11821" spans="6:6">
      <c r="F11821" s="2423"/>
    </row>
    <row r="11822" spans="6:6">
      <c r="F11822" s="2423"/>
    </row>
    <row r="11823" spans="6:6">
      <c r="F11823" s="2423"/>
    </row>
    <row r="11824" spans="6:6">
      <c r="F11824" s="2423"/>
    </row>
    <row r="11825" spans="6:6">
      <c r="F11825" s="2423"/>
    </row>
    <row r="11826" spans="6:6">
      <c r="F11826" s="2423"/>
    </row>
    <row r="11827" spans="6:6">
      <c r="F11827" s="2423"/>
    </row>
    <row r="11828" spans="6:6">
      <c r="F11828" s="2423"/>
    </row>
    <row r="11829" spans="6:6">
      <c r="F11829" s="2423"/>
    </row>
    <row r="11830" spans="6:6">
      <c r="F11830" s="2423"/>
    </row>
    <row r="11831" spans="6:6">
      <c r="F11831" s="2423"/>
    </row>
    <row r="11832" spans="6:6">
      <c r="F11832" s="2423"/>
    </row>
    <row r="11833" spans="6:6">
      <c r="F11833" s="2423"/>
    </row>
    <row r="11834" spans="6:6">
      <c r="F11834" s="2423"/>
    </row>
    <row r="11835" spans="6:6">
      <c r="F11835" s="2423"/>
    </row>
    <row r="11836" spans="6:6">
      <c r="F11836" s="2423"/>
    </row>
    <row r="11837" spans="6:6">
      <c r="F11837" s="2423"/>
    </row>
    <row r="11838" spans="6:6">
      <c r="F11838" s="2423"/>
    </row>
    <row r="11839" spans="6:6">
      <c r="F11839" s="2423"/>
    </row>
    <row r="11840" spans="6:6">
      <c r="F11840" s="2423"/>
    </row>
    <row r="11841" spans="6:6">
      <c r="F11841" s="2423"/>
    </row>
    <row r="11842" spans="6:6">
      <c r="F11842" s="2423"/>
    </row>
    <row r="11843" spans="6:6">
      <c r="F11843" s="2423"/>
    </row>
    <row r="11844" spans="6:6">
      <c r="F11844" s="2423"/>
    </row>
    <row r="11845" spans="6:6">
      <c r="F11845" s="2423"/>
    </row>
    <row r="11846" spans="6:6">
      <c r="F11846" s="2423"/>
    </row>
    <row r="11847" spans="6:6">
      <c r="F11847" s="2423"/>
    </row>
    <row r="11848" spans="6:6">
      <c r="F11848" s="2423"/>
    </row>
    <row r="11849" spans="6:6">
      <c r="F11849" s="2423"/>
    </row>
    <row r="11850" spans="6:6">
      <c r="F11850" s="2423"/>
    </row>
    <row r="11851" spans="6:6">
      <c r="F11851" s="2423"/>
    </row>
    <row r="11852" spans="6:6">
      <c r="F11852" s="2423"/>
    </row>
    <row r="11853" spans="6:6">
      <c r="F11853" s="2423"/>
    </row>
    <row r="11854" spans="6:6">
      <c r="F11854" s="2423"/>
    </row>
    <row r="11855" spans="6:6">
      <c r="F11855" s="2423"/>
    </row>
    <row r="11856" spans="6:6">
      <c r="F11856" s="2423"/>
    </row>
    <row r="11857" spans="6:6">
      <c r="F11857" s="2423"/>
    </row>
    <row r="11858" spans="6:6">
      <c r="F11858" s="2423"/>
    </row>
    <row r="11859" spans="6:6">
      <c r="F11859" s="2423"/>
    </row>
    <row r="11860" spans="6:6">
      <c r="F11860" s="2423"/>
    </row>
    <row r="11861" spans="6:6">
      <c r="F11861" s="2423"/>
    </row>
    <row r="11862" spans="6:6">
      <c r="F11862" s="2423"/>
    </row>
    <row r="11863" spans="6:6">
      <c r="F11863" s="2423"/>
    </row>
    <row r="11864" spans="6:6">
      <c r="F11864" s="2423"/>
    </row>
    <row r="11865" spans="6:6">
      <c r="F11865" s="2423"/>
    </row>
    <row r="11866" spans="6:6">
      <c r="F11866" s="2423"/>
    </row>
    <row r="11867" spans="6:6">
      <c r="F11867" s="2423"/>
    </row>
    <row r="11868" spans="6:6">
      <c r="F11868" s="2423"/>
    </row>
    <row r="11869" spans="6:6">
      <c r="F11869" s="2423"/>
    </row>
    <row r="11870" spans="6:6">
      <c r="F11870" s="2423"/>
    </row>
    <row r="11871" spans="6:6">
      <c r="F11871" s="2423"/>
    </row>
    <row r="11872" spans="6:6">
      <c r="F11872" s="2423"/>
    </row>
    <row r="11873" spans="6:6">
      <c r="F11873" s="2423"/>
    </row>
    <row r="11874" spans="6:6">
      <c r="F11874" s="2423"/>
    </row>
    <row r="11875" spans="6:6">
      <c r="F11875" s="2423"/>
    </row>
    <row r="11876" spans="6:6">
      <c r="F11876" s="2423"/>
    </row>
    <row r="11877" spans="6:6">
      <c r="F11877" s="2423"/>
    </row>
    <row r="11878" spans="6:6">
      <c r="F11878" s="2423"/>
    </row>
    <row r="11879" spans="6:6">
      <c r="F11879" s="2423"/>
    </row>
    <row r="11880" spans="6:6">
      <c r="F11880" s="2423"/>
    </row>
    <row r="11881" spans="6:6">
      <c r="F11881" s="2423"/>
    </row>
    <row r="11882" spans="6:6">
      <c r="F11882" s="2423"/>
    </row>
    <row r="11883" spans="6:6">
      <c r="F11883" s="2423"/>
    </row>
    <row r="11884" spans="6:6">
      <c r="F11884" s="2423"/>
    </row>
    <row r="11885" spans="6:6">
      <c r="F11885" s="2423"/>
    </row>
    <row r="11886" spans="6:6">
      <c r="F11886" s="2423"/>
    </row>
    <row r="11887" spans="6:6">
      <c r="F11887" s="2423"/>
    </row>
    <row r="11888" spans="6:6">
      <c r="F11888" s="2423"/>
    </row>
    <row r="11889" spans="6:6">
      <c r="F11889" s="2423"/>
    </row>
    <row r="11890" spans="6:6">
      <c r="F11890" s="2423"/>
    </row>
    <row r="11891" spans="6:6">
      <c r="F11891" s="2423"/>
    </row>
    <row r="11892" spans="6:6">
      <c r="F11892" s="2423"/>
    </row>
    <row r="11893" spans="6:6">
      <c r="F11893" s="2423"/>
    </row>
    <row r="11894" spans="6:6">
      <c r="F11894" s="2423"/>
    </row>
    <row r="11895" spans="6:6">
      <c r="F11895" s="2423"/>
    </row>
    <row r="11896" spans="6:6">
      <c r="F11896" s="2423"/>
    </row>
    <row r="11897" spans="6:6">
      <c r="F11897" s="2423"/>
    </row>
    <row r="11898" spans="6:6">
      <c r="F11898" s="2423"/>
    </row>
    <row r="11899" spans="6:6">
      <c r="F11899" s="2423"/>
    </row>
    <row r="11900" spans="6:6">
      <c r="F11900" s="2423"/>
    </row>
    <row r="11901" spans="6:6">
      <c r="F11901" s="2423"/>
    </row>
    <row r="11902" spans="6:6">
      <c r="F11902" s="2423"/>
    </row>
    <row r="11903" spans="6:6">
      <c r="F11903" s="2423"/>
    </row>
    <row r="11904" spans="6:6">
      <c r="F11904" s="2423"/>
    </row>
    <row r="11905" spans="6:6">
      <c r="F11905" s="2423"/>
    </row>
    <row r="11906" spans="6:6">
      <c r="F11906" s="2423"/>
    </row>
    <row r="11907" spans="6:6">
      <c r="F11907" s="2423"/>
    </row>
    <row r="11908" spans="6:6">
      <c r="F11908" s="2423"/>
    </row>
    <row r="11909" spans="6:6">
      <c r="F11909" s="2423"/>
    </row>
    <row r="11910" spans="6:6">
      <c r="F11910" s="2423"/>
    </row>
    <row r="11911" spans="6:6">
      <c r="F11911" s="2423"/>
    </row>
    <row r="11912" spans="6:6">
      <c r="F11912" s="2423"/>
    </row>
    <row r="11913" spans="6:6">
      <c r="F11913" s="2423"/>
    </row>
    <row r="11914" spans="6:6">
      <c r="F11914" s="2423"/>
    </row>
    <row r="11915" spans="6:6">
      <c r="F11915" s="2423"/>
    </row>
    <row r="11916" spans="6:6">
      <c r="F11916" s="2423"/>
    </row>
    <row r="11917" spans="6:6">
      <c r="F11917" s="2423"/>
    </row>
    <row r="11918" spans="6:6">
      <c r="F11918" s="2423"/>
    </row>
    <row r="11919" spans="6:6">
      <c r="F11919" s="2423"/>
    </row>
    <row r="11920" spans="6:6">
      <c r="F11920" s="2423"/>
    </row>
    <row r="11921" spans="6:6">
      <c r="F11921" s="2423"/>
    </row>
    <row r="11922" spans="6:6">
      <c r="F11922" s="2423"/>
    </row>
    <row r="11923" spans="6:6">
      <c r="F11923" s="2423"/>
    </row>
    <row r="11924" spans="6:6">
      <c r="F11924" s="2423"/>
    </row>
    <row r="11925" spans="6:6">
      <c r="F11925" s="2423"/>
    </row>
    <row r="11926" spans="6:6">
      <c r="F11926" s="2423"/>
    </row>
    <row r="11927" spans="6:6">
      <c r="F11927" s="2423"/>
    </row>
    <row r="11928" spans="6:6">
      <c r="F11928" s="2423"/>
    </row>
    <row r="11929" spans="6:6">
      <c r="F11929" s="2423"/>
    </row>
    <row r="11930" spans="6:6">
      <c r="F11930" s="2423"/>
    </row>
    <row r="11931" spans="6:6">
      <c r="F11931" s="2423"/>
    </row>
    <row r="11932" spans="6:6">
      <c r="F11932" s="2423"/>
    </row>
    <row r="11933" spans="6:6">
      <c r="F11933" s="2423"/>
    </row>
    <row r="11934" spans="6:6">
      <c r="F11934" s="2423"/>
    </row>
    <row r="11935" spans="6:6">
      <c r="F11935" s="2423"/>
    </row>
    <row r="11936" spans="6:6">
      <c r="F11936" s="2423"/>
    </row>
    <row r="11937" spans="6:6">
      <c r="F11937" s="2423"/>
    </row>
    <row r="11938" spans="6:6">
      <c r="F11938" s="2423"/>
    </row>
    <row r="11939" spans="6:6">
      <c r="F11939" s="2423"/>
    </row>
    <row r="11940" spans="6:6">
      <c r="F11940" s="2423"/>
    </row>
    <row r="11941" spans="6:6">
      <c r="F11941" s="2423"/>
    </row>
    <row r="11942" spans="6:6">
      <c r="F11942" s="2423"/>
    </row>
    <row r="11943" spans="6:6">
      <c r="F11943" s="2423"/>
    </row>
    <row r="11944" spans="6:6">
      <c r="F11944" s="2423"/>
    </row>
    <row r="11945" spans="6:6">
      <c r="F11945" s="2423"/>
    </row>
    <row r="11946" spans="6:6">
      <c r="F11946" s="2423"/>
    </row>
    <row r="11947" spans="6:6">
      <c r="F11947" s="2423"/>
    </row>
    <row r="11948" spans="6:6">
      <c r="F11948" s="2423"/>
    </row>
    <row r="11949" spans="6:6">
      <c r="F11949" s="2423"/>
    </row>
    <row r="11950" spans="6:6">
      <c r="F11950" s="2423"/>
    </row>
    <row r="11951" spans="6:6">
      <c r="F11951" s="2423"/>
    </row>
    <row r="11952" spans="6:6">
      <c r="F11952" s="2423"/>
    </row>
    <row r="11953" spans="6:6">
      <c r="F11953" s="2423"/>
    </row>
    <row r="11954" spans="6:6">
      <c r="F11954" s="2423"/>
    </row>
    <row r="11955" spans="6:6">
      <c r="F11955" s="2423"/>
    </row>
    <row r="11956" spans="6:6">
      <c r="F11956" s="2423"/>
    </row>
    <row r="11957" spans="6:6">
      <c r="F11957" s="2423"/>
    </row>
    <row r="11958" spans="6:6">
      <c r="F11958" s="2423"/>
    </row>
    <row r="11959" spans="6:6">
      <c r="F11959" s="2423"/>
    </row>
    <row r="11960" spans="6:6">
      <c r="F11960" s="2423"/>
    </row>
    <row r="11961" spans="6:6">
      <c r="F11961" s="2423"/>
    </row>
    <row r="11962" spans="6:6">
      <c r="F11962" s="2423"/>
    </row>
    <row r="11963" spans="6:6">
      <c r="F11963" s="2423"/>
    </row>
    <row r="11964" spans="6:6">
      <c r="F11964" s="2423"/>
    </row>
    <row r="11965" spans="6:6">
      <c r="F11965" s="2423"/>
    </row>
    <row r="11966" spans="6:6">
      <c r="F11966" s="2423"/>
    </row>
    <row r="11967" spans="6:6">
      <c r="F11967" s="2423"/>
    </row>
    <row r="11968" spans="6:6">
      <c r="F11968" s="2423"/>
    </row>
    <row r="11969" spans="6:6">
      <c r="F11969" s="2423"/>
    </row>
    <row r="11970" spans="6:6">
      <c r="F11970" s="2423"/>
    </row>
    <row r="11971" spans="6:6">
      <c r="F11971" s="2423"/>
    </row>
    <row r="11972" spans="6:6">
      <c r="F11972" s="2423"/>
    </row>
    <row r="11973" spans="6:6">
      <c r="F11973" s="2423"/>
    </row>
    <row r="11974" spans="6:6">
      <c r="F11974" s="2423"/>
    </row>
    <row r="11975" spans="6:6">
      <c r="F11975" s="2423"/>
    </row>
    <row r="11976" spans="6:6">
      <c r="F11976" s="2423"/>
    </row>
    <row r="11977" spans="6:6">
      <c r="F11977" s="2423"/>
    </row>
    <row r="11978" spans="6:6">
      <c r="F11978" s="2423"/>
    </row>
    <row r="11979" spans="6:6">
      <c r="F11979" s="2423"/>
    </row>
    <row r="11980" spans="6:6">
      <c r="F11980" s="2423"/>
    </row>
    <row r="11981" spans="6:6">
      <c r="F11981" s="2423"/>
    </row>
    <row r="11982" spans="6:6">
      <c r="F11982" s="2423"/>
    </row>
    <row r="11983" spans="6:6">
      <c r="F11983" s="2423"/>
    </row>
    <row r="11984" spans="6:6">
      <c r="F11984" s="2423"/>
    </row>
    <row r="11985" spans="6:6">
      <c r="F11985" s="2423"/>
    </row>
    <row r="11986" spans="6:6">
      <c r="F11986" s="2423"/>
    </row>
    <row r="11987" spans="6:6">
      <c r="F11987" s="2423"/>
    </row>
    <row r="11988" spans="6:6">
      <c r="F11988" s="2423"/>
    </row>
    <row r="11989" spans="6:6">
      <c r="F11989" s="2423"/>
    </row>
    <row r="11990" spans="6:6">
      <c r="F11990" s="2423"/>
    </row>
    <row r="11991" spans="6:6">
      <c r="F11991" s="2423"/>
    </row>
    <row r="11992" spans="6:6">
      <c r="F11992" s="2423"/>
    </row>
    <row r="11993" spans="6:6">
      <c r="F11993" s="2423"/>
    </row>
    <row r="11994" spans="6:6">
      <c r="F11994" s="2423"/>
    </row>
    <row r="11995" spans="6:6">
      <c r="F11995" s="2423"/>
    </row>
    <row r="11996" spans="6:6">
      <c r="F11996" s="2423"/>
    </row>
    <row r="11997" spans="6:6">
      <c r="F11997" s="2423"/>
    </row>
    <row r="11998" spans="6:6">
      <c r="F11998" s="2423"/>
    </row>
    <row r="11999" spans="6:6">
      <c r="F11999" s="2423"/>
    </row>
    <row r="12000" spans="6:6">
      <c r="F12000" s="2423"/>
    </row>
    <row r="12001" spans="6:6">
      <c r="F12001" s="2423"/>
    </row>
    <row r="12002" spans="6:6">
      <c r="F12002" s="2423"/>
    </row>
    <row r="12003" spans="6:6">
      <c r="F12003" s="2423"/>
    </row>
    <row r="12004" spans="6:6">
      <c r="F12004" s="2423"/>
    </row>
    <row r="12005" spans="6:6">
      <c r="F12005" s="2423"/>
    </row>
    <row r="12006" spans="6:6">
      <c r="F12006" s="2423"/>
    </row>
    <row r="12007" spans="6:6">
      <c r="F12007" s="2423"/>
    </row>
    <row r="12008" spans="6:6">
      <c r="F12008" s="2423"/>
    </row>
    <row r="12009" spans="6:6">
      <c r="F12009" s="2423"/>
    </row>
    <row r="12010" spans="6:6">
      <c r="F12010" s="2423"/>
    </row>
    <row r="12011" spans="6:6">
      <c r="F12011" s="2423"/>
    </row>
    <row r="12012" spans="6:6">
      <c r="F12012" s="2423"/>
    </row>
    <row r="12013" spans="6:6">
      <c r="F12013" s="2423"/>
    </row>
    <row r="12014" spans="6:6">
      <c r="F12014" s="2423"/>
    </row>
    <row r="12015" spans="6:6">
      <c r="F12015" s="2423"/>
    </row>
    <row r="12016" spans="6:6">
      <c r="F12016" s="2423"/>
    </row>
    <row r="12017" spans="6:6">
      <c r="F12017" s="2423"/>
    </row>
    <row r="12018" spans="6:6">
      <c r="F12018" s="2423"/>
    </row>
    <row r="12019" spans="6:6">
      <c r="F12019" s="2423"/>
    </row>
    <row r="12020" spans="6:6">
      <c r="F12020" s="2423"/>
    </row>
    <row r="12021" spans="6:6">
      <c r="F12021" s="2423"/>
    </row>
    <row r="12022" spans="6:6">
      <c r="F12022" s="2423"/>
    </row>
    <row r="12023" spans="6:6">
      <c r="F12023" s="2423"/>
    </row>
    <row r="12024" spans="6:6">
      <c r="F12024" s="2423"/>
    </row>
    <row r="12025" spans="6:6">
      <c r="F12025" s="2423"/>
    </row>
    <row r="12026" spans="6:6">
      <c r="F12026" s="2423"/>
    </row>
    <row r="12027" spans="6:6">
      <c r="F12027" s="2423"/>
    </row>
    <row r="12028" spans="6:6">
      <c r="F12028" s="2423"/>
    </row>
    <row r="12029" spans="6:6">
      <c r="F12029" s="2423"/>
    </row>
    <row r="12030" spans="6:6">
      <c r="F12030" s="2423"/>
    </row>
    <row r="12031" spans="6:6">
      <c r="F12031" s="2423"/>
    </row>
    <row r="12032" spans="6:6">
      <c r="F12032" s="2423"/>
    </row>
    <row r="12033" spans="6:6">
      <c r="F12033" s="2423"/>
    </row>
    <row r="12034" spans="6:6">
      <c r="F12034" s="2423"/>
    </row>
    <row r="12035" spans="6:6">
      <c r="F12035" s="2423"/>
    </row>
    <row r="12036" spans="6:6">
      <c r="F12036" s="2423"/>
    </row>
    <row r="12037" spans="6:6">
      <c r="F12037" s="2423"/>
    </row>
    <row r="12038" spans="6:6">
      <c r="F12038" s="2423"/>
    </row>
    <row r="12039" spans="6:6">
      <c r="F12039" s="2423"/>
    </row>
    <row r="12040" spans="6:6">
      <c r="F12040" s="2423"/>
    </row>
    <row r="12041" spans="6:6">
      <c r="F12041" s="2423"/>
    </row>
    <row r="12042" spans="6:6">
      <c r="F12042" s="2423"/>
    </row>
    <row r="12043" spans="6:6">
      <c r="F12043" s="2423"/>
    </row>
    <row r="12044" spans="6:6">
      <c r="F12044" s="2423"/>
    </row>
    <row r="12045" spans="6:6">
      <c r="F12045" s="2423"/>
    </row>
    <row r="12046" spans="6:6">
      <c r="F12046" s="2423"/>
    </row>
    <row r="12047" spans="6:6">
      <c r="F12047" s="2423"/>
    </row>
    <row r="12048" spans="6:6">
      <c r="F12048" s="2423"/>
    </row>
    <row r="12049" spans="6:6">
      <c r="F12049" s="2423"/>
    </row>
    <row r="12050" spans="6:6">
      <c r="F12050" s="2423"/>
    </row>
    <row r="12051" spans="6:6">
      <c r="F12051" s="2423"/>
    </row>
    <row r="12052" spans="6:6">
      <c r="F12052" s="2423"/>
    </row>
    <row r="12053" spans="6:6">
      <c r="F12053" s="2423"/>
    </row>
    <row r="12054" spans="6:6">
      <c r="F12054" s="2423"/>
    </row>
    <row r="12055" spans="6:6">
      <c r="F12055" s="2423"/>
    </row>
    <row r="12056" spans="6:6">
      <c r="F12056" s="2423"/>
    </row>
    <row r="12057" spans="6:6">
      <c r="F12057" s="2423"/>
    </row>
    <row r="12058" spans="6:6">
      <c r="F12058" s="2423"/>
    </row>
    <row r="12059" spans="6:6">
      <c r="F12059" s="2423"/>
    </row>
    <row r="12060" spans="6:6">
      <c r="F12060" s="2423"/>
    </row>
    <row r="12061" spans="6:6">
      <c r="F12061" s="2423"/>
    </row>
    <row r="12062" spans="6:6">
      <c r="F12062" s="2423"/>
    </row>
    <row r="12063" spans="6:6">
      <c r="F12063" s="2423"/>
    </row>
    <row r="12064" spans="6:6">
      <c r="F12064" s="2423"/>
    </row>
    <row r="12065" spans="6:6">
      <c r="F12065" s="2423"/>
    </row>
    <row r="12066" spans="6:6">
      <c r="F12066" s="2423"/>
    </row>
    <row r="12067" spans="6:6">
      <c r="F12067" s="2423"/>
    </row>
    <row r="12068" spans="6:6">
      <c r="F12068" s="2423"/>
    </row>
    <row r="12069" spans="6:6">
      <c r="F12069" s="2423"/>
    </row>
    <row r="12070" spans="6:6">
      <c r="F12070" s="2423"/>
    </row>
    <row r="12071" spans="6:6">
      <c r="F12071" s="2423"/>
    </row>
    <row r="12072" spans="6:6">
      <c r="F12072" s="2423"/>
    </row>
    <row r="12073" spans="6:6">
      <c r="F12073" s="2423"/>
    </row>
    <row r="12074" spans="6:6">
      <c r="F12074" s="2423"/>
    </row>
    <row r="12075" spans="6:6">
      <c r="F12075" s="2423"/>
    </row>
    <row r="12076" spans="6:6">
      <c r="F12076" s="2423"/>
    </row>
    <row r="12077" spans="6:6">
      <c r="F12077" s="2423"/>
    </row>
    <row r="12078" spans="6:6">
      <c r="F12078" s="2423"/>
    </row>
    <row r="12079" spans="6:6">
      <c r="F12079" s="2423"/>
    </row>
    <row r="12080" spans="6:6">
      <c r="F12080" s="2423"/>
    </row>
    <row r="12081" spans="6:6">
      <c r="F12081" s="2423"/>
    </row>
    <row r="12082" spans="6:6">
      <c r="F12082" s="2423"/>
    </row>
    <row r="12083" spans="6:6">
      <c r="F12083" s="2423"/>
    </row>
    <row r="12084" spans="6:6">
      <c r="F12084" s="2423"/>
    </row>
    <row r="12085" spans="6:6">
      <c r="F12085" s="2423"/>
    </row>
    <row r="12086" spans="6:6">
      <c r="F12086" s="2423"/>
    </row>
    <row r="12087" spans="6:6">
      <c r="F12087" s="2423"/>
    </row>
    <row r="12088" spans="6:6">
      <c r="F12088" s="2423"/>
    </row>
    <row r="12089" spans="6:6">
      <c r="F12089" s="2423"/>
    </row>
    <row r="12090" spans="6:6">
      <c r="F12090" s="2423"/>
    </row>
    <row r="12091" spans="6:6">
      <c r="F12091" s="2423"/>
    </row>
    <row r="12092" spans="6:6">
      <c r="F12092" s="2423"/>
    </row>
    <row r="12093" spans="6:6">
      <c r="F12093" s="2423"/>
    </row>
    <row r="12094" spans="6:6">
      <c r="F12094" s="2423"/>
    </row>
    <row r="12095" spans="6:6">
      <c r="F12095" s="2423"/>
    </row>
    <row r="12096" spans="6:6">
      <c r="F12096" s="2423"/>
    </row>
    <row r="12097" spans="6:6">
      <c r="F12097" s="2423"/>
    </row>
    <row r="12098" spans="6:6">
      <c r="F12098" s="2423"/>
    </row>
    <row r="12099" spans="6:6">
      <c r="F12099" s="2423"/>
    </row>
    <row r="12100" spans="6:6">
      <c r="F12100" s="2423"/>
    </row>
    <row r="12101" spans="6:6">
      <c r="F12101" s="2423"/>
    </row>
    <row r="12102" spans="6:6">
      <c r="F12102" s="2423"/>
    </row>
    <row r="12103" spans="6:6">
      <c r="F12103" s="2423"/>
    </row>
    <row r="12104" spans="6:6">
      <c r="F12104" s="2423"/>
    </row>
    <row r="12105" spans="6:6">
      <c r="F12105" s="2423"/>
    </row>
    <row r="12106" spans="6:6">
      <c r="F12106" s="2423"/>
    </row>
    <row r="12107" spans="6:6">
      <c r="F12107" s="2423"/>
    </row>
    <row r="12108" spans="6:6">
      <c r="F12108" s="2423"/>
    </row>
    <row r="12109" spans="6:6">
      <c r="F12109" s="2423"/>
    </row>
    <row r="12110" spans="6:6">
      <c r="F12110" s="2423"/>
    </row>
    <row r="12111" spans="6:6">
      <c r="F12111" s="2423"/>
    </row>
    <row r="12112" spans="6:6">
      <c r="F12112" s="2423"/>
    </row>
    <row r="12113" spans="6:6">
      <c r="F12113" s="2423"/>
    </row>
    <row r="12114" spans="6:6">
      <c r="F12114" s="2423"/>
    </row>
    <row r="12115" spans="6:6">
      <c r="F12115" s="2423"/>
    </row>
    <row r="12116" spans="6:6">
      <c r="F12116" s="2423"/>
    </row>
    <row r="12117" spans="6:6">
      <c r="F12117" s="2423"/>
    </row>
    <row r="12118" spans="6:6">
      <c r="F12118" s="2423"/>
    </row>
    <row r="12119" spans="6:6">
      <c r="F12119" s="2423"/>
    </row>
    <row r="12120" spans="6:6">
      <c r="F12120" s="2423"/>
    </row>
    <row r="12121" spans="6:6">
      <c r="F12121" s="2423"/>
    </row>
    <row r="12122" spans="6:6">
      <c r="F12122" s="2423"/>
    </row>
    <row r="12123" spans="6:6">
      <c r="F12123" s="2423"/>
    </row>
    <row r="12124" spans="6:6">
      <c r="F12124" s="2423"/>
    </row>
    <row r="12125" spans="6:6">
      <c r="F12125" s="2423"/>
    </row>
    <row r="12126" spans="6:6">
      <c r="F12126" s="2423"/>
    </row>
    <row r="12127" spans="6:6">
      <c r="F12127" s="2423"/>
    </row>
    <row r="12128" spans="6:6">
      <c r="F12128" s="2423"/>
    </row>
    <row r="12129" spans="6:6">
      <c r="F12129" s="2423"/>
    </row>
    <row r="12130" spans="6:6">
      <c r="F12130" s="2423"/>
    </row>
    <row r="12131" spans="6:6">
      <c r="F12131" s="2423"/>
    </row>
    <row r="12132" spans="6:6">
      <c r="F12132" s="2423"/>
    </row>
    <row r="12133" spans="6:6">
      <c r="F12133" s="2423"/>
    </row>
    <row r="12134" spans="6:6">
      <c r="F12134" s="2423"/>
    </row>
    <row r="12135" spans="6:6">
      <c r="F12135" s="2423"/>
    </row>
    <row r="12136" spans="6:6">
      <c r="F12136" s="2423"/>
    </row>
    <row r="12137" spans="6:6">
      <c r="F12137" s="2423"/>
    </row>
    <row r="12138" spans="6:6">
      <c r="F12138" s="2423"/>
    </row>
    <row r="12139" spans="6:6">
      <c r="F12139" s="2423"/>
    </row>
    <row r="12140" spans="6:6">
      <c r="F12140" s="2423"/>
    </row>
    <row r="12141" spans="6:6">
      <c r="F12141" s="2423"/>
    </row>
    <row r="12142" spans="6:6">
      <c r="F12142" s="2423"/>
    </row>
    <row r="12143" spans="6:6">
      <c r="F12143" s="2423"/>
    </row>
    <row r="12144" spans="6:6">
      <c r="F12144" s="2423"/>
    </row>
    <row r="12145" spans="6:6">
      <c r="F12145" s="2423"/>
    </row>
    <row r="12146" spans="6:6">
      <c r="F12146" s="2423"/>
    </row>
    <row r="12147" spans="6:6">
      <c r="F12147" s="2423"/>
    </row>
    <row r="12148" spans="6:6">
      <c r="F12148" s="2423"/>
    </row>
    <row r="12149" spans="6:6">
      <c r="F12149" s="2423"/>
    </row>
    <row r="12150" spans="6:6">
      <c r="F12150" s="2423"/>
    </row>
    <row r="12151" spans="6:6">
      <c r="F12151" s="2423"/>
    </row>
    <row r="12152" spans="6:6">
      <c r="F12152" s="2423"/>
    </row>
    <row r="12153" spans="6:6">
      <c r="F12153" s="2423"/>
    </row>
    <row r="12154" spans="6:6">
      <c r="F12154" s="2423"/>
    </row>
    <row r="12155" spans="6:6">
      <c r="F12155" s="2423"/>
    </row>
    <row r="12156" spans="6:6">
      <c r="F12156" s="2423"/>
    </row>
    <row r="12157" spans="6:6">
      <c r="F12157" s="2423"/>
    </row>
    <row r="12158" spans="6:6">
      <c r="F12158" s="2423"/>
    </row>
    <row r="12159" spans="6:6">
      <c r="F12159" s="2423"/>
    </row>
    <row r="12160" spans="6:6">
      <c r="F12160" s="2423"/>
    </row>
    <row r="12161" spans="6:6">
      <c r="F12161" s="2423"/>
    </row>
    <row r="12162" spans="6:6">
      <c r="F12162" s="2423"/>
    </row>
    <row r="12163" spans="6:6">
      <c r="F12163" s="2423"/>
    </row>
    <row r="12164" spans="6:6">
      <c r="F12164" s="2423"/>
    </row>
    <row r="12165" spans="6:6">
      <c r="F12165" s="2423"/>
    </row>
    <row r="12166" spans="6:6">
      <c r="F12166" s="2423"/>
    </row>
    <row r="12167" spans="6:6">
      <c r="F12167" s="2423"/>
    </row>
    <row r="12168" spans="6:6">
      <c r="F12168" s="2423"/>
    </row>
    <row r="12169" spans="6:6">
      <c r="F12169" s="2423"/>
    </row>
    <row r="12170" spans="6:6">
      <c r="F12170" s="2423"/>
    </row>
    <row r="12171" spans="6:6">
      <c r="F12171" s="2423"/>
    </row>
    <row r="12172" spans="6:6">
      <c r="F12172" s="2423"/>
    </row>
    <row r="12173" spans="6:6">
      <c r="F12173" s="2423"/>
    </row>
    <row r="12174" spans="6:6">
      <c r="F12174" s="2423"/>
    </row>
    <row r="12175" spans="6:6">
      <c r="F12175" s="2423"/>
    </row>
    <row r="12176" spans="6:6">
      <c r="F12176" s="2423"/>
    </row>
    <row r="12177" spans="6:6">
      <c r="F12177" s="2423"/>
    </row>
    <row r="12178" spans="6:6">
      <c r="F12178" s="2423"/>
    </row>
    <row r="12179" spans="6:6">
      <c r="F12179" s="2423"/>
    </row>
    <row r="12180" spans="6:6">
      <c r="F12180" s="2423"/>
    </row>
    <row r="12181" spans="6:6">
      <c r="F12181" s="2423"/>
    </row>
    <row r="12182" spans="6:6">
      <c r="F12182" s="2423"/>
    </row>
    <row r="12183" spans="6:6">
      <c r="F12183" s="2423"/>
    </row>
    <row r="12184" spans="6:6">
      <c r="F12184" s="2423"/>
    </row>
    <row r="12185" spans="6:6">
      <c r="F12185" s="2423"/>
    </row>
    <row r="12186" spans="6:6">
      <c r="F12186" s="2423"/>
    </row>
    <row r="12187" spans="6:6">
      <c r="F12187" s="2423"/>
    </row>
    <row r="12188" spans="6:6">
      <c r="F12188" s="2423"/>
    </row>
    <row r="12189" spans="6:6">
      <c r="F12189" s="2423"/>
    </row>
    <row r="12190" spans="6:6">
      <c r="F12190" s="2423"/>
    </row>
    <row r="12191" spans="6:6">
      <c r="F12191" s="2423"/>
    </row>
    <row r="12192" spans="6:6">
      <c r="F12192" s="2423"/>
    </row>
    <row r="12193" spans="6:6">
      <c r="F12193" s="2423"/>
    </row>
    <row r="12194" spans="6:6">
      <c r="F12194" s="2423"/>
    </row>
    <row r="12195" spans="6:6">
      <c r="F12195" s="2423"/>
    </row>
    <row r="12196" spans="6:6">
      <c r="F12196" s="2423"/>
    </row>
    <row r="12197" spans="6:6">
      <c r="F12197" s="2423"/>
    </row>
    <row r="12198" spans="6:6">
      <c r="F12198" s="2423"/>
    </row>
    <row r="12199" spans="6:6">
      <c r="F12199" s="2423"/>
    </row>
    <row r="12200" spans="6:6">
      <c r="F12200" s="2423"/>
    </row>
    <row r="12201" spans="6:6">
      <c r="F12201" s="2423"/>
    </row>
    <row r="12202" spans="6:6">
      <c r="F12202" s="2423"/>
    </row>
    <row r="12203" spans="6:6">
      <c r="F12203" s="2423"/>
    </row>
    <row r="12204" spans="6:6">
      <c r="F12204" s="2423"/>
    </row>
    <row r="12205" spans="6:6">
      <c r="F12205" s="2423"/>
    </row>
    <row r="12206" spans="6:6">
      <c r="F12206" s="2423"/>
    </row>
    <row r="12207" spans="6:6">
      <c r="F12207" s="2423"/>
    </row>
    <row r="12208" spans="6:6">
      <c r="F12208" s="2423"/>
    </row>
    <row r="12209" spans="6:6">
      <c r="F12209" s="2423"/>
    </row>
    <row r="12210" spans="6:6">
      <c r="F12210" s="2423"/>
    </row>
    <row r="12211" spans="6:6">
      <c r="F12211" s="2423"/>
    </row>
    <row r="12212" spans="6:6">
      <c r="F12212" s="2423"/>
    </row>
    <row r="12213" spans="6:6">
      <c r="F12213" s="2423"/>
    </row>
    <row r="12214" spans="6:6">
      <c r="F12214" s="2423"/>
    </row>
    <row r="12215" spans="6:6">
      <c r="F12215" s="2423"/>
    </row>
    <row r="12216" spans="6:6">
      <c r="F12216" s="2423"/>
    </row>
    <row r="12217" spans="6:6">
      <c r="F12217" s="2423"/>
    </row>
    <row r="12218" spans="6:6">
      <c r="F12218" s="2423"/>
    </row>
    <row r="12219" spans="6:6">
      <c r="F12219" s="2423"/>
    </row>
    <row r="12220" spans="6:6">
      <c r="F12220" s="2423"/>
    </row>
    <row r="12221" spans="6:6">
      <c r="F12221" s="2423"/>
    </row>
    <row r="12222" spans="6:6">
      <c r="F12222" s="2423"/>
    </row>
    <row r="12223" spans="6:6">
      <c r="F12223" s="2423"/>
    </row>
    <row r="12224" spans="6:6">
      <c r="F12224" s="2423"/>
    </row>
    <row r="12225" spans="6:6">
      <c r="F12225" s="2423"/>
    </row>
    <row r="12226" spans="6:6">
      <c r="F12226" s="2423"/>
    </row>
    <row r="12227" spans="6:6">
      <c r="F12227" s="2423"/>
    </row>
    <row r="12228" spans="6:6">
      <c r="F12228" s="2423"/>
    </row>
    <row r="12229" spans="6:6">
      <c r="F12229" s="2423"/>
    </row>
    <row r="12230" spans="6:6">
      <c r="F12230" s="2423"/>
    </row>
    <row r="12231" spans="6:6">
      <c r="F12231" s="2423"/>
    </row>
    <row r="12232" spans="6:6">
      <c r="F12232" s="2423"/>
    </row>
    <row r="12233" spans="6:6">
      <c r="F12233" s="2423"/>
    </row>
    <row r="12234" spans="6:6">
      <c r="F12234" s="2423"/>
    </row>
    <row r="12235" spans="6:6">
      <c r="F12235" s="2423"/>
    </row>
    <row r="12236" spans="6:6">
      <c r="F12236" s="2423"/>
    </row>
    <row r="12237" spans="6:6">
      <c r="F12237" s="2423"/>
    </row>
    <row r="12238" spans="6:6">
      <c r="F12238" s="2423"/>
    </row>
    <row r="12239" spans="6:6">
      <c r="F12239" s="2423"/>
    </row>
    <row r="12240" spans="6:6">
      <c r="F12240" s="2423"/>
    </row>
    <row r="12241" spans="6:6">
      <c r="F12241" s="2423"/>
    </row>
    <row r="12242" spans="6:6">
      <c r="F12242" s="2423"/>
    </row>
    <row r="12243" spans="6:6">
      <c r="F12243" s="2423"/>
    </row>
    <row r="12244" spans="6:6">
      <c r="F12244" s="2423"/>
    </row>
    <row r="12245" spans="6:6">
      <c r="F12245" s="2423"/>
    </row>
    <row r="12246" spans="6:6">
      <c r="F12246" s="2423"/>
    </row>
    <row r="12247" spans="6:6">
      <c r="F12247" s="2423"/>
    </row>
    <row r="12248" spans="6:6">
      <c r="F12248" s="2423"/>
    </row>
    <row r="12249" spans="6:6">
      <c r="F12249" s="2423"/>
    </row>
    <row r="12250" spans="6:6">
      <c r="F12250" s="2423"/>
    </row>
    <row r="12251" spans="6:6">
      <c r="F12251" s="2423"/>
    </row>
    <row r="12252" spans="6:6">
      <c r="F12252" s="2423"/>
    </row>
    <row r="12253" spans="6:6">
      <c r="F12253" s="2423"/>
    </row>
    <row r="12254" spans="6:6">
      <c r="F12254" s="2423"/>
    </row>
    <row r="12255" spans="6:6">
      <c r="F12255" s="2423"/>
    </row>
    <row r="12256" spans="6:6">
      <c r="F12256" s="2423"/>
    </row>
    <row r="12257" spans="6:6">
      <c r="F12257" s="2423"/>
    </row>
    <row r="12258" spans="6:6">
      <c r="F12258" s="2423"/>
    </row>
    <row r="12259" spans="6:6">
      <c r="F12259" s="2423"/>
    </row>
    <row r="12260" spans="6:6">
      <c r="F12260" s="2423"/>
    </row>
    <row r="12261" spans="6:6">
      <c r="F12261" s="2423"/>
    </row>
    <row r="12262" spans="6:6">
      <c r="F12262" s="2423"/>
    </row>
    <row r="12263" spans="6:6">
      <c r="F12263" s="2423"/>
    </row>
    <row r="12264" spans="6:6">
      <c r="F12264" s="2423"/>
    </row>
    <row r="12265" spans="6:6">
      <c r="F12265" s="2423"/>
    </row>
    <row r="12266" spans="6:6">
      <c r="F12266" s="2423"/>
    </row>
    <row r="12267" spans="6:6">
      <c r="F12267" s="2423"/>
    </row>
    <row r="12268" spans="6:6">
      <c r="F12268" s="2423"/>
    </row>
    <row r="12269" spans="6:6">
      <c r="F12269" s="2423"/>
    </row>
    <row r="12270" spans="6:6">
      <c r="F12270" s="2423"/>
    </row>
    <row r="12271" spans="6:6">
      <c r="F12271" s="2423"/>
    </row>
    <row r="12272" spans="6:6">
      <c r="F12272" s="2423"/>
    </row>
    <row r="12273" spans="6:6">
      <c r="F12273" s="2423"/>
    </row>
    <row r="12274" spans="6:6">
      <c r="F12274" s="2423"/>
    </row>
    <row r="12275" spans="6:6">
      <c r="F12275" s="2423"/>
    </row>
    <row r="12276" spans="6:6">
      <c r="F12276" s="2423"/>
    </row>
    <row r="12277" spans="6:6">
      <c r="F12277" s="2423"/>
    </row>
    <row r="12278" spans="6:6">
      <c r="F12278" s="2423"/>
    </row>
    <row r="12279" spans="6:6">
      <c r="F12279" s="2423"/>
    </row>
    <row r="12280" spans="6:6">
      <c r="F12280" s="2423"/>
    </row>
    <row r="12281" spans="6:6">
      <c r="F12281" s="2423"/>
    </row>
    <row r="12282" spans="6:6">
      <c r="F12282" s="2423"/>
    </row>
    <row r="12283" spans="6:6">
      <c r="F12283" s="2423"/>
    </row>
    <row r="12284" spans="6:6">
      <c r="F12284" s="2423"/>
    </row>
    <row r="12285" spans="6:6">
      <c r="F12285" s="2423"/>
    </row>
    <row r="12286" spans="6:6">
      <c r="F12286" s="2423"/>
    </row>
    <row r="12287" spans="6:6">
      <c r="F12287" s="2423"/>
    </row>
    <row r="12288" spans="6:6">
      <c r="F12288" s="2423"/>
    </row>
    <row r="12289" spans="6:6">
      <c r="F12289" s="2423"/>
    </row>
    <row r="12290" spans="6:6">
      <c r="F12290" s="2423"/>
    </row>
    <row r="12291" spans="6:6">
      <c r="F12291" s="2423"/>
    </row>
    <row r="12292" spans="6:6">
      <c r="F12292" s="2423"/>
    </row>
    <row r="12293" spans="6:6">
      <c r="F12293" s="2423"/>
    </row>
    <row r="12294" spans="6:6">
      <c r="F12294" s="2423"/>
    </row>
    <row r="12295" spans="6:6">
      <c r="F12295" s="2423"/>
    </row>
    <row r="12296" spans="6:6">
      <c r="F12296" s="2423"/>
    </row>
    <row r="12297" spans="6:6">
      <c r="F12297" s="2423"/>
    </row>
    <row r="12298" spans="6:6">
      <c r="F12298" s="2423"/>
    </row>
    <row r="12299" spans="6:6">
      <c r="F12299" s="2423"/>
    </row>
    <row r="12300" spans="6:6">
      <c r="F12300" s="2423"/>
    </row>
    <row r="12301" spans="6:6">
      <c r="F12301" s="2423"/>
    </row>
    <row r="12302" spans="6:6">
      <c r="F12302" s="2423"/>
    </row>
    <row r="12303" spans="6:6">
      <c r="F12303" s="2423"/>
    </row>
    <row r="12304" spans="6:6">
      <c r="F12304" s="2423"/>
    </row>
    <row r="12305" spans="6:6">
      <c r="F12305" s="2423"/>
    </row>
    <row r="12306" spans="6:6">
      <c r="F12306" s="2423"/>
    </row>
    <row r="12307" spans="6:6">
      <c r="F12307" s="2423"/>
    </row>
    <row r="12308" spans="6:6">
      <c r="F12308" s="2423"/>
    </row>
    <row r="12309" spans="6:6">
      <c r="F12309" s="2423"/>
    </row>
    <row r="12310" spans="6:6">
      <c r="F12310" s="2423"/>
    </row>
    <row r="12311" spans="6:6">
      <c r="F12311" s="2423"/>
    </row>
    <row r="12312" spans="6:6">
      <c r="F12312" s="2423"/>
    </row>
    <row r="12313" spans="6:6">
      <c r="F12313" s="2423"/>
    </row>
    <row r="12314" spans="6:6">
      <c r="F12314" s="2423"/>
    </row>
    <row r="12315" spans="6:6">
      <c r="F12315" s="2423"/>
    </row>
    <row r="12316" spans="6:6">
      <c r="F12316" s="2423"/>
    </row>
    <row r="12317" spans="6:6">
      <c r="F12317" s="2423"/>
    </row>
    <row r="12318" spans="6:6">
      <c r="F12318" s="2423"/>
    </row>
    <row r="12319" spans="6:6">
      <c r="F12319" s="2423"/>
    </row>
    <row r="12320" spans="6:6">
      <c r="F12320" s="2423"/>
    </row>
    <row r="12321" spans="6:6">
      <c r="F12321" s="2423"/>
    </row>
    <row r="12322" spans="6:6">
      <c r="F12322" s="2423"/>
    </row>
    <row r="12323" spans="6:6">
      <c r="F12323" s="2423"/>
    </row>
    <row r="12324" spans="6:6">
      <c r="F12324" s="2423"/>
    </row>
    <row r="12325" spans="6:6">
      <c r="F12325" s="2423"/>
    </row>
    <row r="12326" spans="6:6">
      <c r="F12326" s="2423"/>
    </row>
    <row r="12327" spans="6:6">
      <c r="F12327" s="2423"/>
    </row>
    <row r="12328" spans="6:6">
      <c r="F12328" s="2423"/>
    </row>
    <row r="12329" spans="6:6">
      <c r="F12329" s="2423"/>
    </row>
    <row r="12330" spans="6:6">
      <c r="F12330" s="2423"/>
    </row>
    <row r="12331" spans="6:6">
      <c r="F12331" s="2423"/>
    </row>
    <row r="12332" spans="6:6">
      <c r="F12332" s="2423"/>
    </row>
    <row r="12333" spans="6:6">
      <c r="F12333" s="2423"/>
    </row>
    <row r="12334" spans="6:6">
      <c r="F12334" s="2423"/>
    </row>
    <row r="12335" spans="6:6">
      <c r="F12335" s="2423"/>
    </row>
    <row r="12336" spans="6:6">
      <c r="F12336" s="2423"/>
    </row>
    <row r="12337" spans="6:6">
      <c r="F12337" s="2423"/>
    </row>
    <row r="12338" spans="6:6">
      <c r="F12338" s="2423"/>
    </row>
    <row r="12339" spans="6:6">
      <c r="F12339" s="2423"/>
    </row>
    <row r="12340" spans="6:6">
      <c r="F12340" s="2423"/>
    </row>
    <row r="12341" spans="6:6">
      <c r="F12341" s="2423"/>
    </row>
    <row r="12342" spans="6:6">
      <c r="F12342" s="2423"/>
    </row>
    <row r="12343" spans="6:6">
      <c r="F12343" s="2423"/>
    </row>
    <row r="12344" spans="6:6">
      <c r="F12344" s="2423"/>
    </row>
    <row r="12345" spans="6:6">
      <c r="F12345" s="2423"/>
    </row>
    <row r="12346" spans="6:6">
      <c r="F12346" s="2423"/>
    </row>
    <row r="12347" spans="6:6">
      <c r="F12347" s="2423"/>
    </row>
    <row r="12348" spans="6:6">
      <c r="F12348" s="2423"/>
    </row>
    <row r="12349" spans="6:6">
      <c r="F12349" s="2423"/>
    </row>
    <row r="12350" spans="6:6">
      <c r="F12350" s="2423"/>
    </row>
    <row r="12351" spans="6:6">
      <c r="F12351" s="2423"/>
    </row>
    <row r="12352" spans="6:6">
      <c r="F12352" s="2423"/>
    </row>
    <row r="12353" spans="6:6">
      <c r="F12353" s="2423"/>
    </row>
    <row r="12354" spans="6:6">
      <c r="F12354" s="2423"/>
    </row>
    <row r="12355" spans="6:6">
      <c r="F12355" s="2423"/>
    </row>
    <row r="12356" spans="6:6">
      <c r="F12356" s="2423"/>
    </row>
    <row r="12357" spans="6:6">
      <c r="F12357" s="2423"/>
    </row>
    <row r="12358" spans="6:6">
      <c r="F12358" s="2423"/>
    </row>
    <row r="12359" spans="6:6">
      <c r="F12359" s="2423"/>
    </row>
    <row r="12360" spans="6:6">
      <c r="F12360" s="2423"/>
    </row>
    <row r="12361" spans="6:6">
      <c r="F12361" s="2423"/>
    </row>
    <row r="12362" spans="6:6">
      <c r="F12362" s="2423"/>
    </row>
    <row r="12363" spans="6:6">
      <c r="F12363" s="2423"/>
    </row>
    <row r="12364" spans="6:6">
      <c r="F12364" s="2423"/>
    </row>
    <row r="12365" spans="6:6">
      <c r="F12365" s="2423"/>
    </row>
    <row r="12366" spans="6:6">
      <c r="F12366" s="2423"/>
    </row>
    <row r="12367" spans="6:6">
      <c r="F12367" s="2423"/>
    </row>
    <row r="12368" spans="6:6">
      <c r="F12368" s="2423"/>
    </row>
    <row r="12369" spans="6:6">
      <c r="F12369" s="2423"/>
    </row>
    <row r="12370" spans="6:6">
      <c r="F12370" s="2423"/>
    </row>
    <row r="12371" spans="6:6">
      <c r="F12371" s="2423"/>
    </row>
    <row r="12372" spans="6:6">
      <c r="F12372" s="2423"/>
    </row>
    <row r="12373" spans="6:6">
      <c r="F12373" s="2423"/>
    </row>
    <row r="12374" spans="6:6">
      <c r="F12374" s="2423"/>
    </row>
    <row r="12375" spans="6:6">
      <c r="F12375" s="2423"/>
    </row>
    <row r="12376" spans="6:6">
      <c r="F12376" s="2423"/>
    </row>
    <row r="12377" spans="6:6">
      <c r="F12377" s="2423"/>
    </row>
    <row r="12378" spans="6:6">
      <c r="F12378" s="2423"/>
    </row>
    <row r="12379" spans="6:6">
      <c r="F12379" s="2423"/>
    </row>
    <row r="12380" spans="6:6">
      <c r="F12380" s="2423"/>
    </row>
    <row r="12381" spans="6:6">
      <c r="F12381" s="2423"/>
    </row>
    <row r="12382" spans="6:6">
      <c r="F12382" s="2423"/>
    </row>
    <row r="12383" spans="6:6">
      <c r="F12383" s="2423"/>
    </row>
    <row r="12384" spans="6:6">
      <c r="F12384" s="2423"/>
    </row>
    <row r="12385" spans="6:6">
      <c r="F12385" s="2423"/>
    </row>
    <row r="12386" spans="6:6">
      <c r="F12386" s="2423"/>
    </row>
    <row r="12387" spans="6:6">
      <c r="F12387" s="2423"/>
    </row>
    <row r="12388" spans="6:6">
      <c r="F12388" s="2423"/>
    </row>
    <row r="12389" spans="6:6">
      <c r="F12389" s="2423"/>
    </row>
    <row r="12390" spans="6:6">
      <c r="F12390" s="2423"/>
    </row>
    <row r="12391" spans="6:6">
      <c r="F12391" s="2423"/>
    </row>
    <row r="12392" spans="6:6">
      <c r="F12392" s="2423"/>
    </row>
    <row r="12393" spans="6:6">
      <c r="F12393" s="2423"/>
    </row>
    <row r="12394" spans="6:6">
      <c r="F12394" s="2423"/>
    </row>
    <row r="12395" spans="6:6">
      <c r="F12395" s="2423"/>
    </row>
    <row r="12396" spans="6:6">
      <c r="F12396" s="2423"/>
    </row>
    <row r="12397" spans="6:6">
      <c r="F12397" s="2423"/>
    </row>
    <row r="12398" spans="6:6">
      <c r="F12398" s="2423"/>
    </row>
    <row r="12399" spans="6:6">
      <c r="F12399" s="2423"/>
    </row>
    <row r="12400" spans="6:6">
      <c r="F12400" s="2423"/>
    </row>
    <row r="12401" spans="6:6">
      <c r="F12401" s="2423"/>
    </row>
    <row r="12402" spans="6:6">
      <c r="F12402" s="2423"/>
    </row>
    <row r="12403" spans="6:6">
      <c r="F12403" s="2423"/>
    </row>
    <row r="12404" spans="6:6">
      <c r="F12404" s="2423"/>
    </row>
    <row r="12405" spans="6:6">
      <c r="F12405" s="2423"/>
    </row>
    <row r="12406" spans="6:6">
      <c r="F12406" s="2423"/>
    </row>
    <row r="12407" spans="6:6">
      <c r="F12407" s="2423"/>
    </row>
    <row r="12408" spans="6:6">
      <c r="F12408" s="2423"/>
    </row>
    <row r="12409" spans="6:6">
      <c r="F12409" s="2423"/>
    </row>
    <row r="12410" spans="6:6">
      <c r="F12410" s="2423"/>
    </row>
    <row r="12411" spans="6:6">
      <c r="F12411" s="2423"/>
    </row>
    <row r="12412" spans="6:6">
      <c r="F12412" s="2423"/>
    </row>
    <row r="12413" spans="6:6">
      <c r="F12413" s="2423"/>
    </row>
    <row r="12414" spans="6:6">
      <c r="F12414" s="2423"/>
    </row>
    <row r="12415" spans="6:6">
      <c r="F12415" s="2423"/>
    </row>
    <row r="12416" spans="6:6">
      <c r="F12416" s="2423"/>
    </row>
    <row r="12417" spans="6:6">
      <c r="F12417" s="2423"/>
    </row>
    <row r="12418" spans="6:6">
      <c r="F12418" s="2423"/>
    </row>
    <row r="12419" spans="6:6">
      <c r="F12419" s="2423"/>
    </row>
    <row r="12420" spans="6:6">
      <c r="F12420" s="2423"/>
    </row>
    <row r="12421" spans="6:6">
      <c r="F12421" s="2423"/>
    </row>
    <row r="12422" spans="6:6">
      <c r="F12422" s="2423"/>
    </row>
    <row r="12423" spans="6:6">
      <c r="F12423" s="2423"/>
    </row>
    <row r="12424" spans="6:6">
      <c r="F12424" s="2423"/>
    </row>
    <row r="12425" spans="6:6">
      <c r="F12425" s="2423"/>
    </row>
    <row r="12426" spans="6:6">
      <c r="F12426" s="2423"/>
    </row>
    <row r="12427" spans="6:6">
      <c r="F12427" s="2423"/>
    </row>
    <row r="12428" spans="6:6">
      <c r="F12428" s="2423"/>
    </row>
    <row r="12429" spans="6:6">
      <c r="F12429" s="2423"/>
    </row>
    <row r="12430" spans="6:6">
      <c r="F12430" s="2423"/>
    </row>
    <row r="12431" spans="6:6">
      <c r="F12431" s="2423"/>
    </row>
    <row r="12432" spans="6:6">
      <c r="F12432" s="2423"/>
    </row>
    <row r="12433" spans="6:6">
      <c r="F12433" s="2423"/>
    </row>
    <row r="12434" spans="6:6">
      <c r="F12434" s="2423"/>
    </row>
    <row r="12435" spans="6:6">
      <c r="F12435" s="2423"/>
    </row>
    <row r="12436" spans="6:6">
      <c r="F12436" s="2423"/>
    </row>
    <row r="12437" spans="6:6">
      <c r="F12437" s="2423"/>
    </row>
    <row r="12438" spans="6:6">
      <c r="F12438" s="2423"/>
    </row>
    <row r="12439" spans="6:6">
      <c r="F12439" s="2423"/>
    </row>
    <row r="12440" spans="6:6">
      <c r="F12440" s="2423"/>
    </row>
    <row r="12441" spans="6:6">
      <c r="F12441" s="2423"/>
    </row>
    <row r="12442" spans="6:6">
      <c r="F12442" s="2423"/>
    </row>
    <row r="12443" spans="6:6">
      <c r="F12443" s="2423"/>
    </row>
    <row r="12444" spans="6:6">
      <c r="F12444" s="2423"/>
    </row>
    <row r="12445" spans="6:6">
      <c r="F12445" s="2423"/>
    </row>
    <row r="12446" spans="6:6">
      <c r="F12446" s="2423"/>
    </row>
    <row r="12447" spans="6:6">
      <c r="F12447" s="2423"/>
    </row>
    <row r="12448" spans="6:6">
      <c r="F12448" s="2423"/>
    </row>
    <row r="12449" spans="6:6">
      <c r="F12449" s="2423"/>
    </row>
    <row r="12450" spans="6:6">
      <c r="F12450" s="2423"/>
    </row>
    <row r="12451" spans="6:6">
      <c r="F12451" s="2423"/>
    </row>
    <row r="12452" spans="6:6">
      <c r="F12452" s="2423"/>
    </row>
    <row r="12453" spans="6:6">
      <c r="F12453" s="2423"/>
    </row>
    <row r="12454" spans="6:6">
      <c r="F12454" s="2423"/>
    </row>
    <row r="12455" spans="6:6">
      <c r="F12455" s="2423"/>
    </row>
    <row r="12456" spans="6:6">
      <c r="F12456" s="2423"/>
    </row>
    <row r="12457" spans="6:6">
      <c r="F12457" s="2423"/>
    </row>
    <row r="12458" spans="6:6">
      <c r="F12458" s="2423"/>
    </row>
    <row r="12459" spans="6:6">
      <c r="F12459" s="2423"/>
    </row>
    <row r="12460" spans="6:6">
      <c r="F12460" s="2423"/>
    </row>
    <row r="12461" spans="6:6">
      <c r="F12461" s="2423"/>
    </row>
    <row r="12462" spans="6:6">
      <c r="F12462" s="2423"/>
    </row>
    <row r="12463" spans="6:6">
      <c r="F12463" s="2423"/>
    </row>
    <row r="12464" spans="6:6">
      <c r="F12464" s="2423"/>
    </row>
    <row r="12465" spans="6:6">
      <c r="F12465" s="2423"/>
    </row>
    <row r="12466" spans="6:6">
      <c r="F12466" s="2423"/>
    </row>
    <row r="12467" spans="6:6">
      <c r="F12467" s="2423"/>
    </row>
    <row r="12468" spans="6:6">
      <c r="F12468" s="2423"/>
    </row>
    <row r="12469" spans="6:6">
      <c r="F12469" s="2423"/>
    </row>
    <row r="12470" spans="6:6">
      <c r="F12470" s="2423"/>
    </row>
    <row r="12471" spans="6:6">
      <c r="F12471" s="2423"/>
    </row>
    <row r="12472" spans="6:6">
      <c r="F12472" s="2423"/>
    </row>
    <row r="12473" spans="6:6">
      <c r="F12473" s="2423"/>
    </row>
    <row r="12474" spans="6:6">
      <c r="F12474" s="2423"/>
    </row>
    <row r="12475" spans="6:6">
      <c r="F12475" s="2423"/>
    </row>
    <row r="12476" spans="6:6">
      <c r="F12476" s="2423"/>
    </row>
    <row r="12477" spans="6:6">
      <c r="F12477" s="2423"/>
    </row>
    <row r="12478" spans="6:6">
      <c r="F12478" s="2423"/>
    </row>
    <row r="12479" spans="6:6">
      <c r="F12479" s="2423"/>
    </row>
    <row r="12480" spans="6:6">
      <c r="F12480" s="2423"/>
    </row>
    <row r="12481" spans="6:6">
      <c r="F12481" s="2423"/>
    </row>
    <row r="12482" spans="6:6">
      <c r="F12482" s="2423"/>
    </row>
    <row r="12483" spans="6:6">
      <c r="F12483" s="2423"/>
    </row>
    <row r="12484" spans="6:6">
      <c r="F12484" s="2423"/>
    </row>
    <row r="12485" spans="6:6">
      <c r="F12485" s="2423"/>
    </row>
    <row r="12486" spans="6:6">
      <c r="F12486" s="2423"/>
    </row>
    <row r="12487" spans="6:6">
      <c r="F12487" s="2423"/>
    </row>
    <row r="12488" spans="6:6">
      <c r="F12488" s="2423"/>
    </row>
    <row r="12489" spans="6:6">
      <c r="F12489" s="2423"/>
    </row>
    <row r="12490" spans="6:6">
      <c r="F12490" s="2423"/>
    </row>
    <row r="12491" spans="6:6">
      <c r="F12491" s="2423"/>
    </row>
    <row r="12492" spans="6:6">
      <c r="F12492" s="2423"/>
    </row>
    <row r="12493" spans="6:6">
      <c r="F12493" s="2423"/>
    </row>
    <row r="12494" spans="6:6">
      <c r="F12494" s="2423"/>
    </row>
    <row r="12495" spans="6:6">
      <c r="F12495" s="2423"/>
    </row>
    <row r="12496" spans="6:6">
      <c r="F12496" s="2423"/>
    </row>
    <row r="12497" spans="6:6">
      <c r="F12497" s="2423"/>
    </row>
    <row r="12498" spans="6:6">
      <c r="F12498" s="2423"/>
    </row>
    <row r="12499" spans="6:6">
      <c r="F12499" s="2423"/>
    </row>
    <row r="12500" spans="6:6">
      <c r="F12500" s="2423"/>
    </row>
    <row r="12501" spans="6:6">
      <c r="F12501" s="2423"/>
    </row>
    <row r="12502" spans="6:6">
      <c r="F12502" s="2423"/>
    </row>
    <row r="12503" spans="6:6">
      <c r="F12503" s="2423"/>
    </row>
    <row r="12504" spans="6:6">
      <c r="F12504" s="2423"/>
    </row>
    <row r="12505" spans="6:6">
      <c r="F12505" s="2423"/>
    </row>
    <row r="12506" spans="6:6">
      <c r="F12506" s="2423"/>
    </row>
    <row r="12507" spans="6:6">
      <c r="F12507" s="2423"/>
    </row>
    <row r="12508" spans="6:6">
      <c r="F12508" s="2423"/>
    </row>
    <row r="12509" spans="6:6">
      <c r="F12509" s="2423"/>
    </row>
    <row r="12510" spans="6:6">
      <c r="F12510" s="2423"/>
    </row>
    <row r="12511" spans="6:6">
      <c r="F12511" s="2423"/>
    </row>
    <row r="12512" spans="6:6">
      <c r="F12512" s="2423"/>
    </row>
    <row r="12513" spans="6:6">
      <c r="F12513" s="2423"/>
    </row>
    <row r="12514" spans="6:6">
      <c r="F12514" s="2423"/>
    </row>
    <row r="12515" spans="6:6">
      <c r="F12515" s="2423"/>
    </row>
    <row r="12516" spans="6:6">
      <c r="F12516" s="2423"/>
    </row>
    <row r="12517" spans="6:6">
      <c r="F12517" s="2423"/>
    </row>
    <row r="12518" spans="6:6">
      <c r="F12518" s="2423"/>
    </row>
    <row r="12519" spans="6:6">
      <c r="F12519" s="2423"/>
    </row>
    <row r="12520" spans="6:6">
      <c r="F12520" s="2423"/>
    </row>
    <row r="12521" spans="6:6">
      <c r="F12521" s="2423"/>
    </row>
    <row r="12522" spans="6:6">
      <c r="F12522" s="2423"/>
    </row>
    <row r="12523" spans="6:6">
      <c r="F12523" s="2423"/>
    </row>
    <row r="12524" spans="6:6">
      <c r="F12524" s="2423"/>
    </row>
    <row r="12525" spans="6:6">
      <c r="F12525" s="2423"/>
    </row>
    <row r="12526" spans="6:6">
      <c r="F12526" s="2423"/>
    </row>
    <row r="12527" spans="6:6">
      <c r="F12527" s="2423"/>
    </row>
    <row r="12528" spans="6:6">
      <c r="F12528" s="2423"/>
    </row>
    <row r="12529" spans="6:6">
      <c r="F12529" s="2423"/>
    </row>
    <row r="12530" spans="6:6">
      <c r="F12530" s="2423"/>
    </row>
    <row r="12531" spans="6:6">
      <c r="F12531" s="2423"/>
    </row>
    <row r="12532" spans="6:6">
      <c r="F12532" s="2423"/>
    </row>
    <row r="12533" spans="6:6">
      <c r="F12533" s="2423"/>
    </row>
    <row r="12534" spans="6:6">
      <c r="F12534" s="2423"/>
    </row>
    <row r="12535" spans="6:6">
      <c r="F12535" s="2423"/>
    </row>
    <row r="12536" spans="6:6">
      <c r="F12536" s="2423"/>
    </row>
    <row r="12537" spans="6:6">
      <c r="F12537" s="2423"/>
    </row>
    <row r="12538" spans="6:6">
      <c r="F12538" s="2423"/>
    </row>
    <row r="12539" spans="6:6">
      <c r="F12539" s="2423"/>
    </row>
    <row r="12540" spans="6:6">
      <c r="F12540" s="2423"/>
    </row>
    <row r="12541" spans="6:6">
      <c r="F12541" s="2423"/>
    </row>
    <row r="12542" spans="6:6">
      <c r="F12542" s="2423"/>
    </row>
    <row r="12543" spans="6:6">
      <c r="F12543" s="2423"/>
    </row>
    <row r="12544" spans="6:6">
      <c r="F12544" s="2423"/>
    </row>
    <row r="12545" spans="6:6">
      <c r="F12545" s="2423"/>
    </row>
    <row r="12546" spans="6:6">
      <c r="F12546" s="2423"/>
    </row>
    <row r="12547" spans="6:6">
      <c r="F12547" s="2423"/>
    </row>
    <row r="12548" spans="6:6">
      <c r="F12548" s="2423"/>
    </row>
    <row r="12549" spans="6:6">
      <c r="F12549" s="2423"/>
    </row>
    <row r="12550" spans="6:6">
      <c r="F12550" s="2423"/>
    </row>
    <row r="12551" spans="6:6">
      <c r="F12551" s="2423"/>
    </row>
    <row r="12552" spans="6:6">
      <c r="F12552" s="2423"/>
    </row>
    <row r="12553" spans="6:6">
      <c r="F12553" s="2423"/>
    </row>
    <row r="12554" spans="6:6">
      <c r="F12554" s="2423"/>
    </row>
    <row r="12555" spans="6:6">
      <c r="F12555" s="2423"/>
    </row>
    <row r="12556" spans="6:6">
      <c r="F12556" s="2423"/>
    </row>
    <row r="12557" spans="6:6">
      <c r="F12557" s="2423"/>
    </row>
    <row r="12558" spans="6:6">
      <c r="F12558" s="2423"/>
    </row>
    <row r="12559" spans="6:6">
      <c r="F12559" s="2423"/>
    </row>
    <row r="12560" spans="6:6">
      <c r="F12560" s="2423"/>
    </row>
    <row r="12561" spans="6:6">
      <c r="F12561" s="2423"/>
    </row>
    <row r="12562" spans="6:6">
      <c r="F12562" s="2423"/>
    </row>
    <row r="12563" spans="6:6">
      <c r="F12563" s="2423"/>
    </row>
    <row r="12564" spans="6:6">
      <c r="F12564" s="2423"/>
    </row>
    <row r="12565" spans="6:6">
      <c r="F12565" s="2423"/>
    </row>
    <row r="12566" spans="6:6">
      <c r="F12566" s="2423"/>
    </row>
    <row r="12567" spans="6:6">
      <c r="F12567" s="2423"/>
    </row>
    <row r="12568" spans="6:6">
      <c r="F12568" s="2423"/>
    </row>
    <row r="12569" spans="6:6">
      <c r="F12569" s="2423"/>
    </row>
    <row r="12570" spans="6:6">
      <c r="F12570" s="2423"/>
    </row>
    <row r="12571" spans="6:6">
      <c r="F12571" s="2423"/>
    </row>
    <row r="12572" spans="6:6">
      <c r="F12572" s="2423"/>
    </row>
    <row r="12573" spans="6:6">
      <c r="F12573" s="2423"/>
    </row>
    <row r="12574" spans="6:6">
      <c r="F12574" s="2423"/>
    </row>
    <row r="12575" spans="6:6">
      <c r="F12575" s="2423"/>
    </row>
    <row r="12576" spans="6:6">
      <c r="F12576" s="2423"/>
    </row>
    <row r="12577" spans="6:6">
      <c r="F12577" s="2423"/>
    </row>
    <row r="12578" spans="6:6">
      <c r="F12578" s="2423"/>
    </row>
    <row r="12579" spans="6:6">
      <c r="F12579" s="2423"/>
    </row>
    <row r="12580" spans="6:6">
      <c r="F12580" s="2423"/>
    </row>
    <row r="12581" spans="6:6">
      <c r="F12581" s="2423"/>
    </row>
    <row r="12582" spans="6:6">
      <c r="F12582" s="2423"/>
    </row>
    <row r="12583" spans="6:6">
      <c r="F12583" s="2423"/>
    </row>
    <row r="12584" spans="6:6">
      <c r="F12584" s="2423"/>
    </row>
    <row r="12585" spans="6:6">
      <c r="F12585" s="2423"/>
    </row>
    <row r="12586" spans="6:6">
      <c r="F12586" s="2423"/>
    </row>
    <row r="12587" spans="6:6">
      <c r="F12587" s="2423"/>
    </row>
    <row r="12588" spans="6:6">
      <c r="F12588" s="2423"/>
    </row>
    <row r="12589" spans="6:6">
      <c r="F12589" s="2423"/>
    </row>
    <row r="12590" spans="6:6">
      <c r="F12590" s="2423"/>
    </row>
    <row r="12591" spans="6:6">
      <c r="F12591" s="2423"/>
    </row>
    <row r="12592" spans="6:6">
      <c r="F12592" s="2423"/>
    </row>
    <row r="12593" spans="6:6">
      <c r="F12593" s="2423"/>
    </row>
    <row r="12594" spans="6:6">
      <c r="F12594" s="2423"/>
    </row>
    <row r="12595" spans="6:6">
      <c r="F12595" s="2423"/>
    </row>
    <row r="12596" spans="6:6">
      <c r="F12596" s="2423"/>
    </row>
    <row r="12597" spans="6:6">
      <c r="F12597" s="2423"/>
    </row>
    <row r="12598" spans="6:6">
      <c r="F12598" s="2423"/>
    </row>
    <row r="12599" spans="6:6">
      <c r="F12599" s="2423"/>
    </row>
    <row r="12600" spans="6:6">
      <c r="F12600" s="2423"/>
    </row>
    <row r="12601" spans="6:6">
      <c r="F12601" s="2423"/>
    </row>
    <row r="12602" spans="6:6">
      <c r="F12602" s="2423"/>
    </row>
    <row r="12603" spans="6:6">
      <c r="F12603" s="2423"/>
    </row>
    <row r="12604" spans="6:6">
      <c r="F12604" s="2423"/>
    </row>
    <row r="12605" spans="6:6">
      <c r="F12605" s="2423"/>
    </row>
    <row r="12606" spans="6:6">
      <c r="F12606" s="2423"/>
    </row>
    <row r="12607" spans="6:6">
      <c r="F12607" s="2423"/>
    </row>
    <row r="12608" spans="6:6">
      <c r="F12608" s="2423"/>
    </row>
    <row r="12609" spans="6:6">
      <c r="F12609" s="2423"/>
    </row>
    <row r="12610" spans="6:6">
      <c r="F12610" s="2423"/>
    </row>
    <row r="12611" spans="6:6">
      <c r="F12611" s="2423"/>
    </row>
    <row r="12612" spans="6:6">
      <c r="F12612" s="2423"/>
    </row>
    <row r="12613" spans="6:6">
      <c r="F12613" s="2423"/>
    </row>
    <row r="12614" spans="6:6">
      <c r="F12614" s="2423"/>
    </row>
    <row r="12615" spans="6:6">
      <c r="F12615" s="2423"/>
    </row>
    <row r="12616" spans="6:6">
      <c r="F12616" s="2423"/>
    </row>
    <row r="12617" spans="6:6">
      <c r="F12617" s="2423"/>
    </row>
    <row r="12618" spans="6:6">
      <c r="F12618" s="2423"/>
    </row>
    <row r="12619" spans="6:6">
      <c r="F12619" s="2423"/>
    </row>
    <row r="12620" spans="6:6">
      <c r="F12620" s="2423"/>
    </row>
    <row r="12621" spans="6:6">
      <c r="F12621" s="2423"/>
    </row>
    <row r="12622" spans="6:6">
      <c r="F12622" s="2423"/>
    </row>
    <row r="12623" spans="6:6">
      <c r="F12623" s="2423"/>
    </row>
    <row r="12624" spans="6:6">
      <c r="F12624" s="2423"/>
    </row>
    <row r="12625" spans="6:6">
      <c r="F12625" s="2423"/>
    </row>
    <row r="12626" spans="6:6">
      <c r="F12626" s="2423"/>
    </row>
    <row r="12627" spans="6:6">
      <c r="F12627" s="2423"/>
    </row>
    <row r="12628" spans="6:6">
      <c r="F12628" s="2423"/>
    </row>
    <row r="12629" spans="6:6">
      <c r="F12629" s="2423"/>
    </row>
    <row r="12630" spans="6:6">
      <c r="F12630" s="2423"/>
    </row>
    <row r="12631" spans="6:6">
      <c r="F12631" s="2423"/>
    </row>
    <row r="12632" spans="6:6">
      <c r="F12632" s="2423"/>
    </row>
    <row r="12633" spans="6:6">
      <c r="F12633" s="2423"/>
    </row>
    <row r="12634" spans="6:6">
      <c r="F12634" s="2423"/>
    </row>
    <row r="12635" spans="6:6">
      <c r="F12635" s="2423"/>
    </row>
    <row r="12636" spans="6:6">
      <c r="F12636" s="2423"/>
    </row>
    <row r="12637" spans="6:6">
      <c r="F12637" s="2423"/>
    </row>
    <row r="12638" spans="6:6">
      <c r="F12638" s="2423"/>
    </row>
    <row r="12639" spans="6:6">
      <c r="F12639" s="2423"/>
    </row>
    <row r="12640" spans="6:6">
      <c r="F12640" s="2423"/>
    </row>
    <row r="12641" spans="6:6">
      <c r="F12641" s="2423"/>
    </row>
    <row r="12642" spans="6:6">
      <c r="F12642" s="2423"/>
    </row>
    <row r="12643" spans="6:6">
      <c r="F12643" s="2423"/>
    </row>
    <row r="12644" spans="6:6">
      <c r="F12644" s="2423"/>
    </row>
    <row r="12645" spans="6:6">
      <c r="F12645" s="2423"/>
    </row>
    <row r="12646" spans="6:6">
      <c r="F12646" s="2423"/>
    </row>
    <row r="12647" spans="6:6">
      <c r="F12647" s="2423"/>
    </row>
    <row r="12648" spans="6:6">
      <c r="F12648" s="2423"/>
    </row>
    <row r="12649" spans="6:6">
      <c r="F12649" s="2423"/>
    </row>
    <row r="12650" spans="6:6">
      <c r="F12650" s="2423"/>
    </row>
    <row r="12651" spans="6:6">
      <c r="F12651" s="2423"/>
    </row>
    <row r="12652" spans="6:6">
      <c r="F12652" s="2423"/>
    </row>
    <row r="12653" spans="6:6">
      <c r="F12653" s="2423"/>
    </row>
    <row r="12654" spans="6:6">
      <c r="F12654" s="2423"/>
    </row>
    <row r="12655" spans="6:6">
      <c r="F12655" s="2423"/>
    </row>
    <row r="12656" spans="6:6">
      <c r="F12656" s="2423"/>
    </row>
    <row r="12657" spans="6:6">
      <c r="F12657" s="2423"/>
    </row>
    <row r="12658" spans="6:6">
      <c r="F12658" s="2423"/>
    </row>
    <row r="12659" spans="6:6">
      <c r="F12659" s="2423"/>
    </row>
    <row r="12660" spans="6:6">
      <c r="F12660" s="2423"/>
    </row>
    <row r="12661" spans="6:6">
      <c r="F12661" s="2423"/>
    </row>
    <row r="12662" spans="6:6">
      <c r="F12662" s="2423"/>
    </row>
    <row r="12663" spans="6:6">
      <c r="F12663" s="2423"/>
    </row>
    <row r="12664" spans="6:6">
      <c r="F12664" s="2423"/>
    </row>
    <row r="12665" spans="6:6">
      <c r="F12665" s="2423"/>
    </row>
    <row r="12666" spans="6:6">
      <c r="F12666" s="2423"/>
    </row>
    <row r="12667" spans="6:6">
      <c r="F12667" s="2423"/>
    </row>
    <row r="12668" spans="6:6">
      <c r="F12668" s="2423"/>
    </row>
    <row r="12669" spans="6:6">
      <c r="F12669" s="2423"/>
    </row>
    <row r="12670" spans="6:6">
      <c r="F12670" s="2423"/>
    </row>
    <row r="12671" spans="6:6">
      <c r="F12671" s="2423"/>
    </row>
    <row r="12672" spans="6:6">
      <c r="F12672" s="2423"/>
    </row>
    <row r="12673" spans="6:6">
      <c r="F12673" s="2423"/>
    </row>
    <row r="12674" spans="6:6">
      <c r="F12674" s="2423"/>
    </row>
    <row r="12675" spans="6:6">
      <c r="F12675" s="2423"/>
    </row>
    <row r="12676" spans="6:6">
      <c r="F12676" s="2423"/>
    </row>
    <row r="12677" spans="6:6">
      <c r="F12677" s="2423"/>
    </row>
    <row r="12678" spans="6:6">
      <c r="F12678" s="2423"/>
    </row>
    <row r="12679" spans="6:6">
      <c r="F12679" s="2423"/>
    </row>
    <row r="12680" spans="6:6">
      <c r="F12680" s="2423"/>
    </row>
    <row r="12681" spans="6:6">
      <c r="F12681" s="2423"/>
    </row>
    <row r="12682" spans="6:6">
      <c r="F12682" s="2423"/>
    </row>
    <row r="12683" spans="6:6">
      <c r="F12683" s="2423"/>
    </row>
    <row r="12684" spans="6:6">
      <c r="F12684" s="2423"/>
    </row>
    <row r="12685" spans="6:6">
      <c r="F12685" s="2423"/>
    </row>
    <row r="12686" spans="6:6">
      <c r="F12686" s="2423"/>
    </row>
    <row r="12687" spans="6:6">
      <c r="F12687" s="2423"/>
    </row>
    <row r="12688" spans="6:6">
      <c r="F12688" s="2423"/>
    </row>
    <row r="12689" spans="6:6">
      <c r="F12689" s="2423"/>
    </row>
    <row r="12690" spans="6:6">
      <c r="F12690" s="2423"/>
    </row>
    <row r="12691" spans="6:6">
      <c r="F12691" s="2423"/>
    </row>
    <row r="12692" spans="6:6">
      <c r="F12692" s="2423"/>
    </row>
    <row r="12693" spans="6:6">
      <c r="F12693" s="2423"/>
    </row>
    <row r="12694" spans="6:6">
      <c r="F12694" s="2423"/>
    </row>
    <row r="12695" spans="6:6">
      <c r="F12695" s="2423"/>
    </row>
    <row r="12696" spans="6:6">
      <c r="F12696" s="2423"/>
    </row>
    <row r="12697" spans="6:6">
      <c r="F12697" s="2423"/>
    </row>
    <row r="12698" spans="6:6">
      <c r="F12698" s="2423"/>
    </row>
    <row r="12699" spans="6:6">
      <c r="F12699" s="2423"/>
    </row>
    <row r="12700" spans="6:6">
      <c r="F12700" s="2423"/>
    </row>
    <row r="12701" spans="6:6">
      <c r="F12701" s="2423"/>
    </row>
    <row r="12702" spans="6:6">
      <c r="F12702" s="2423"/>
    </row>
    <row r="12703" spans="6:6">
      <c r="F12703" s="2423"/>
    </row>
    <row r="12704" spans="6:6">
      <c r="F12704" s="2423"/>
    </row>
    <row r="12705" spans="6:6">
      <c r="F12705" s="2423"/>
    </row>
    <row r="12706" spans="6:6">
      <c r="F12706" s="2423"/>
    </row>
    <row r="12707" spans="6:6">
      <c r="F12707" s="2423"/>
    </row>
    <row r="12708" spans="6:6">
      <c r="F12708" s="2423"/>
    </row>
    <row r="12709" spans="6:6">
      <c r="F12709" s="2423"/>
    </row>
    <row r="12710" spans="6:6">
      <c r="F12710" s="2423"/>
    </row>
    <row r="12711" spans="6:6">
      <c r="F12711" s="2423"/>
    </row>
    <row r="12712" spans="6:6">
      <c r="F12712" s="2423"/>
    </row>
    <row r="12713" spans="6:6">
      <c r="F12713" s="2423"/>
    </row>
    <row r="12714" spans="6:6">
      <c r="F12714" s="2423"/>
    </row>
    <row r="12715" spans="6:6">
      <c r="F12715" s="2423"/>
    </row>
    <row r="12716" spans="6:6">
      <c r="F12716" s="2423"/>
    </row>
    <row r="12717" spans="6:6">
      <c r="F12717" s="2423"/>
    </row>
    <row r="12718" spans="6:6">
      <c r="F12718" s="2423"/>
    </row>
    <row r="12719" spans="6:6">
      <c r="F12719" s="2423"/>
    </row>
    <row r="12720" spans="6:6">
      <c r="F12720" s="2423"/>
    </row>
    <row r="12721" spans="6:6">
      <c r="F12721" s="2423"/>
    </row>
    <row r="12722" spans="6:6">
      <c r="F12722" s="2423"/>
    </row>
    <row r="12723" spans="6:6">
      <c r="F12723" s="2423"/>
    </row>
    <row r="12724" spans="6:6">
      <c r="F12724" s="2423"/>
    </row>
    <row r="12725" spans="6:6">
      <c r="F12725" s="2423"/>
    </row>
    <row r="12726" spans="6:6">
      <c r="F12726" s="2423"/>
    </row>
    <row r="12727" spans="6:6">
      <c r="F12727" s="2423"/>
    </row>
    <row r="12728" spans="6:6">
      <c r="F12728" s="2423"/>
    </row>
    <row r="12729" spans="6:6">
      <c r="F12729" s="2423"/>
    </row>
    <row r="12730" spans="6:6">
      <c r="F12730" s="2423"/>
    </row>
    <row r="12731" spans="6:6">
      <c r="F12731" s="2423"/>
    </row>
    <row r="12732" spans="6:6">
      <c r="F12732" s="2423"/>
    </row>
    <row r="12733" spans="6:6">
      <c r="F12733" s="2423"/>
    </row>
    <row r="12734" spans="6:6">
      <c r="F12734" s="2423"/>
    </row>
    <row r="12735" spans="6:6">
      <c r="F12735" s="2423"/>
    </row>
    <row r="12736" spans="6:6">
      <c r="F12736" s="2423"/>
    </row>
    <row r="12737" spans="6:6">
      <c r="F12737" s="2423"/>
    </row>
    <row r="12738" spans="6:6">
      <c r="F12738" s="2423"/>
    </row>
    <row r="12739" spans="6:6">
      <c r="F12739" s="2423"/>
    </row>
    <row r="12740" spans="6:6">
      <c r="F12740" s="2423"/>
    </row>
    <row r="12741" spans="6:6">
      <c r="F12741" s="2423"/>
    </row>
    <row r="12742" spans="6:6">
      <c r="F12742" s="2423"/>
    </row>
    <row r="12743" spans="6:6">
      <c r="F12743" s="2423"/>
    </row>
    <row r="12744" spans="6:6">
      <c r="F12744" s="2423"/>
    </row>
    <row r="12745" spans="6:6">
      <c r="F12745" s="2423"/>
    </row>
    <row r="12746" spans="6:6">
      <c r="F12746" s="2423"/>
    </row>
    <row r="12747" spans="6:6">
      <c r="F12747" s="2423"/>
    </row>
    <row r="12748" spans="6:6">
      <c r="F12748" s="2423"/>
    </row>
    <row r="12749" spans="6:6">
      <c r="F12749" s="2423"/>
    </row>
    <row r="12750" spans="6:6">
      <c r="F12750" s="2423"/>
    </row>
    <row r="12751" spans="6:6">
      <c r="F12751" s="2423"/>
    </row>
    <row r="12752" spans="6:6">
      <c r="F12752" s="2423"/>
    </row>
    <row r="12753" spans="6:6">
      <c r="F12753" s="2423"/>
    </row>
    <row r="12754" spans="6:6">
      <c r="F12754" s="2423"/>
    </row>
    <row r="12755" spans="6:6">
      <c r="F12755" s="2423"/>
    </row>
    <row r="12756" spans="6:6">
      <c r="F12756" s="2423"/>
    </row>
    <row r="12757" spans="6:6">
      <c r="F12757" s="2423"/>
    </row>
    <row r="12758" spans="6:6">
      <c r="F12758" s="2423"/>
    </row>
    <row r="12759" spans="6:6">
      <c r="F12759" s="2423"/>
    </row>
    <row r="12760" spans="6:6">
      <c r="F12760" s="2423"/>
    </row>
    <row r="12761" spans="6:6">
      <c r="F12761" s="2423"/>
    </row>
    <row r="12762" spans="6:6">
      <c r="F12762" s="2423"/>
    </row>
    <row r="12763" spans="6:6">
      <c r="F12763" s="2423"/>
    </row>
    <row r="12764" spans="6:6">
      <c r="F12764" s="2423"/>
    </row>
    <row r="12765" spans="6:6">
      <c r="F12765" s="2423"/>
    </row>
    <row r="12766" spans="6:6">
      <c r="F12766" s="2423"/>
    </row>
    <row r="12767" spans="6:6">
      <c r="F12767" s="2423"/>
    </row>
    <row r="12768" spans="6:6">
      <c r="F12768" s="2423"/>
    </row>
    <row r="12769" spans="6:6">
      <c r="F12769" s="2423"/>
    </row>
    <row r="12770" spans="6:6">
      <c r="F12770" s="2423"/>
    </row>
    <row r="12771" spans="6:6">
      <c r="F12771" s="2423"/>
    </row>
    <row r="12772" spans="6:6">
      <c r="F12772" s="2423"/>
    </row>
    <row r="12773" spans="6:6">
      <c r="F12773" s="2423"/>
    </row>
    <row r="12774" spans="6:6">
      <c r="F12774" s="2423"/>
    </row>
    <row r="12775" spans="6:6">
      <c r="F12775" s="2423"/>
    </row>
    <row r="12776" spans="6:6">
      <c r="F12776" s="2423"/>
    </row>
    <row r="12777" spans="6:6">
      <c r="F12777" s="2423"/>
    </row>
    <row r="12778" spans="6:6">
      <c r="F12778" s="2423"/>
    </row>
    <row r="12779" spans="6:6">
      <c r="F12779" s="2423"/>
    </row>
    <row r="12780" spans="6:6">
      <c r="F12780" s="2423"/>
    </row>
    <row r="12781" spans="6:6">
      <c r="F12781" s="2423"/>
    </row>
    <row r="12782" spans="6:6">
      <c r="F12782" s="2423"/>
    </row>
    <row r="12783" spans="6:6">
      <c r="F12783" s="2423"/>
    </row>
    <row r="12784" spans="6:6">
      <c r="F12784" s="2423"/>
    </row>
    <row r="12785" spans="6:6">
      <c r="F12785" s="2423"/>
    </row>
    <row r="12786" spans="6:6">
      <c r="F12786" s="2423"/>
    </row>
    <row r="12787" spans="6:6">
      <c r="F12787" s="2423"/>
    </row>
    <row r="12788" spans="6:6">
      <c r="F12788" s="2423"/>
    </row>
    <row r="12789" spans="6:6">
      <c r="F12789" s="2423"/>
    </row>
    <row r="12790" spans="6:6">
      <c r="F12790" s="2423"/>
    </row>
    <row r="12791" spans="6:6">
      <c r="F12791" s="2423"/>
    </row>
    <row r="12792" spans="6:6">
      <c r="F12792" s="2423"/>
    </row>
    <row r="12793" spans="6:6">
      <c r="F12793" s="2423"/>
    </row>
    <row r="12794" spans="6:6">
      <c r="F12794" s="2423"/>
    </row>
    <row r="12795" spans="6:6">
      <c r="F12795" s="2423"/>
    </row>
    <row r="12796" spans="6:6">
      <c r="F12796" s="2423"/>
    </row>
    <row r="12797" spans="6:6">
      <c r="F12797" s="2423"/>
    </row>
    <row r="12798" spans="6:6">
      <c r="F12798" s="2423"/>
    </row>
    <row r="12799" spans="6:6">
      <c r="F12799" s="2423"/>
    </row>
    <row r="12800" spans="6:6">
      <c r="F12800" s="2423"/>
    </row>
    <row r="12801" spans="6:6">
      <c r="F12801" s="2423"/>
    </row>
    <row r="12802" spans="6:6">
      <c r="F12802" s="2423"/>
    </row>
    <row r="12803" spans="6:6">
      <c r="F12803" s="2423"/>
    </row>
    <row r="12804" spans="6:6">
      <c r="F12804" s="2423"/>
    </row>
    <row r="12805" spans="6:6">
      <c r="F12805" s="2423"/>
    </row>
    <row r="12806" spans="6:6">
      <c r="F12806" s="2423"/>
    </row>
    <row r="12807" spans="6:6">
      <c r="F12807" s="2423"/>
    </row>
    <row r="12808" spans="6:6">
      <c r="F12808" s="2423"/>
    </row>
    <row r="12809" spans="6:6">
      <c r="F12809" s="2423"/>
    </row>
    <row r="12810" spans="6:6">
      <c r="F12810" s="2423"/>
    </row>
    <row r="12811" spans="6:6">
      <c r="F12811" s="2423"/>
    </row>
    <row r="12812" spans="6:6">
      <c r="F12812" s="2423"/>
    </row>
    <row r="12813" spans="6:6">
      <c r="F12813" s="2423"/>
    </row>
    <row r="12814" spans="6:6">
      <c r="F12814" s="2423"/>
    </row>
    <row r="12815" spans="6:6">
      <c r="F12815" s="2423"/>
    </row>
    <row r="12816" spans="6:6">
      <c r="F12816" s="2423"/>
    </row>
    <row r="12817" spans="6:6">
      <c r="F12817" s="2423"/>
    </row>
    <row r="12818" spans="6:6">
      <c r="F12818" s="2423"/>
    </row>
    <row r="12819" spans="6:6">
      <c r="F12819" s="2423"/>
    </row>
    <row r="12820" spans="6:6">
      <c r="F12820" s="2423"/>
    </row>
    <row r="12821" spans="6:6">
      <c r="F12821" s="2423"/>
    </row>
    <row r="12822" spans="6:6">
      <c r="F12822" s="2423"/>
    </row>
    <row r="12823" spans="6:6">
      <c r="F12823" s="2423"/>
    </row>
    <row r="12824" spans="6:6">
      <c r="F12824" s="2423"/>
    </row>
    <row r="12825" spans="6:6">
      <c r="F12825" s="2423"/>
    </row>
    <row r="12826" spans="6:6">
      <c r="F12826" s="2423"/>
    </row>
    <row r="12827" spans="6:6">
      <c r="F12827" s="2423"/>
    </row>
    <row r="12828" spans="6:6">
      <c r="F12828" s="2423"/>
    </row>
    <row r="12829" spans="6:6">
      <c r="F12829" s="2423"/>
    </row>
    <row r="12830" spans="6:6">
      <c r="F12830" s="2423"/>
    </row>
    <row r="12831" spans="6:6">
      <c r="F12831" s="2423"/>
    </row>
    <row r="12832" spans="6:6">
      <c r="F12832" s="2423"/>
    </row>
    <row r="12833" spans="6:6">
      <c r="F12833" s="2423"/>
    </row>
    <row r="12834" spans="6:6">
      <c r="F12834" s="2423"/>
    </row>
    <row r="12835" spans="6:6">
      <c r="F12835" s="2423"/>
    </row>
    <row r="12836" spans="6:6">
      <c r="F12836" s="2423"/>
    </row>
    <row r="12837" spans="6:6">
      <c r="F12837" s="2423"/>
    </row>
    <row r="12838" spans="6:6">
      <c r="F12838" s="2423"/>
    </row>
    <row r="12839" spans="6:6">
      <c r="F12839" s="2423"/>
    </row>
    <row r="12840" spans="6:6">
      <c r="F12840" s="2423"/>
    </row>
    <row r="12841" spans="6:6">
      <c r="F12841" s="2423"/>
    </row>
    <row r="12842" spans="6:6">
      <c r="F12842" s="2423"/>
    </row>
    <row r="12843" spans="6:6">
      <c r="F12843" s="2423"/>
    </row>
    <row r="12844" spans="6:6">
      <c r="F12844" s="2423"/>
    </row>
    <row r="12845" spans="6:6">
      <c r="F12845" s="2423"/>
    </row>
    <row r="12846" spans="6:6">
      <c r="F12846" s="2423"/>
    </row>
    <row r="12847" spans="6:6">
      <c r="F12847" s="2423"/>
    </row>
    <row r="12848" spans="6:6">
      <c r="F12848" s="2423"/>
    </row>
    <row r="12849" spans="6:6">
      <c r="F12849" s="2423"/>
    </row>
    <row r="12850" spans="6:6">
      <c r="F12850" s="2423"/>
    </row>
    <row r="12851" spans="6:6">
      <c r="F12851" s="2423"/>
    </row>
    <row r="12852" spans="6:6">
      <c r="F12852" s="2423"/>
    </row>
    <row r="12853" spans="6:6">
      <c r="F12853" s="2423"/>
    </row>
    <row r="12854" spans="6:6">
      <c r="F12854" s="2423"/>
    </row>
    <row r="12855" spans="6:6">
      <c r="F12855" s="2423"/>
    </row>
    <row r="12856" spans="6:6">
      <c r="F12856" s="2423"/>
    </row>
    <row r="12857" spans="6:6">
      <c r="F12857" s="2423"/>
    </row>
    <row r="12858" spans="6:6">
      <c r="F12858" s="2423"/>
    </row>
    <row r="12859" spans="6:6">
      <c r="F12859" s="2423"/>
    </row>
    <row r="12860" spans="6:6">
      <c r="F12860" s="2423"/>
    </row>
    <row r="12861" spans="6:6">
      <c r="F12861" s="2423"/>
    </row>
    <row r="12862" spans="6:6">
      <c r="F12862" s="2423"/>
    </row>
    <row r="12863" spans="6:6">
      <c r="F12863" s="2423"/>
    </row>
    <row r="12864" spans="6:6">
      <c r="F12864" s="2423"/>
    </row>
    <row r="12865" spans="6:6">
      <c r="F12865" s="2423"/>
    </row>
    <row r="12866" spans="6:6">
      <c r="F12866" s="2423"/>
    </row>
    <row r="12867" spans="6:6">
      <c r="F12867" s="2423"/>
    </row>
    <row r="12868" spans="6:6">
      <c r="F12868" s="2423"/>
    </row>
    <row r="12869" spans="6:6">
      <c r="F12869" s="2423"/>
    </row>
    <row r="12870" spans="6:6">
      <c r="F12870" s="2423"/>
    </row>
    <row r="12871" spans="6:6">
      <c r="F12871" s="2423"/>
    </row>
    <row r="12872" spans="6:6">
      <c r="F12872" s="2423"/>
    </row>
    <row r="12873" spans="6:6">
      <c r="F12873" s="2423"/>
    </row>
    <row r="12874" spans="6:6">
      <c r="F12874" s="2423"/>
    </row>
    <row r="12875" spans="6:6">
      <c r="F12875" s="2423"/>
    </row>
    <row r="12876" spans="6:6">
      <c r="F12876" s="2423"/>
    </row>
    <row r="12877" spans="6:6">
      <c r="F12877" s="2423"/>
    </row>
    <row r="12878" spans="6:6">
      <c r="F12878" s="2423"/>
    </row>
    <row r="12879" spans="6:6">
      <c r="F12879" s="2423"/>
    </row>
    <row r="12880" spans="6:6">
      <c r="F12880" s="2423"/>
    </row>
    <row r="12881" spans="6:6">
      <c r="F12881" s="2423"/>
    </row>
    <row r="12882" spans="6:6">
      <c r="F12882" s="2423"/>
    </row>
    <row r="12883" spans="6:6">
      <c r="F12883" s="2423"/>
    </row>
    <row r="12884" spans="6:6">
      <c r="F12884" s="2423"/>
    </row>
    <row r="12885" spans="6:6">
      <c r="F12885" s="2423"/>
    </row>
    <row r="12886" spans="6:6">
      <c r="F12886" s="2423"/>
    </row>
    <row r="12887" spans="6:6">
      <c r="F12887" s="2423"/>
    </row>
    <row r="12888" spans="6:6">
      <c r="F12888" s="2423"/>
    </row>
    <row r="12889" spans="6:6">
      <c r="F12889" s="2423"/>
    </row>
    <row r="12890" spans="6:6">
      <c r="F12890" s="2423"/>
    </row>
    <row r="12891" spans="6:6">
      <c r="F12891" s="2423"/>
    </row>
    <row r="12892" spans="6:6">
      <c r="F12892" s="2423"/>
    </row>
    <row r="12893" spans="6:6">
      <c r="F12893" s="2423"/>
    </row>
    <row r="12894" spans="6:6">
      <c r="F12894" s="2423"/>
    </row>
    <row r="12895" spans="6:6">
      <c r="F12895" s="2423"/>
    </row>
    <row r="12896" spans="6:6">
      <c r="F12896" s="2423"/>
    </row>
    <row r="12897" spans="6:6">
      <c r="F12897" s="2423"/>
    </row>
    <row r="12898" spans="6:6">
      <c r="F12898" s="2423"/>
    </row>
    <row r="12899" spans="6:6">
      <c r="F12899" s="2423"/>
    </row>
    <row r="12900" spans="6:6">
      <c r="F12900" s="2423"/>
    </row>
    <row r="12901" spans="6:6">
      <c r="F12901" s="2423"/>
    </row>
    <row r="12902" spans="6:6">
      <c r="F12902" s="2423"/>
    </row>
    <row r="12903" spans="6:6">
      <c r="F12903" s="2423"/>
    </row>
    <row r="12904" spans="6:6">
      <c r="F12904" s="2423"/>
    </row>
    <row r="12905" spans="6:6">
      <c r="F12905" s="2423"/>
    </row>
    <row r="12906" spans="6:6">
      <c r="F12906" s="2423"/>
    </row>
    <row r="12907" spans="6:6">
      <c r="F12907" s="2423"/>
    </row>
    <row r="12908" spans="6:6">
      <c r="F12908" s="2423"/>
    </row>
    <row r="12909" spans="6:6">
      <c r="F12909" s="2423"/>
    </row>
    <row r="12910" spans="6:6">
      <c r="F12910" s="2423"/>
    </row>
    <row r="12911" spans="6:6">
      <c r="F12911" s="2423"/>
    </row>
    <row r="12912" spans="6:6">
      <c r="F12912" s="2423"/>
    </row>
    <row r="12913" spans="6:6">
      <c r="F12913" s="2423"/>
    </row>
    <row r="12914" spans="6:6">
      <c r="F12914" s="2423"/>
    </row>
    <row r="12915" spans="6:6">
      <c r="F12915" s="2423"/>
    </row>
    <row r="12916" spans="6:6">
      <c r="F12916" s="2423"/>
    </row>
    <row r="12917" spans="6:6">
      <c r="F12917" s="2423"/>
    </row>
    <row r="12918" spans="6:6">
      <c r="F12918" s="2423"/>
    </row>
    <row r="12919" spans="6:6">
      <c r="F12919" s="2423"/>
    </row>
    <row r="12920" spans="6:6">
      <c r="F12920" s="2423"/>
    </row>
    <row r="12921" spans="6:6">
      <c r="F12921" s="2423"/>
    </row>
    <row r="12922" spans="6:6">
      <c r="F12922" s="2423"/>
    </row>
    <row r="12923" spans="6:6">
      <c r="F12923" s="2423"/>
    </row>
    <row r="12924" spans="6:6">
      <c r="F12924" s="2423"/>
    </row>
    <row r="12925" spans="6:6">
      <c r="F12925" s="2423"/>
    </row>
    <row r="12926" spans="6:6">
      <c r="F12926" s="2423"/>
    </row>
    <row r="12927" spans="6:6">
      <c r="F12927" s="2423"/>
    </row>
    <row r="12928" spans="6:6">
      <c r="F12928" s="2423"/>
    </row>
    <row r="12929" spans="6:6">
      <c r="F12929" s="2423"/>
    </row>
    <row r="12930" spans="6:6">
      <c r="F12930" s="2423"/>
    </row>
    <row r="12931" spans="6:6">
      <c r="F12931" s="2423"/>
    </row>
    <row r="12932" spans="6:6">
      <c r="F12932" s="2423"/>
    </row>
    <row r="12933" spans="6:6">
      <c r="F12933" s="2423"/>
    </row>
    <row r="12934" spans="6:6">
      <c r="F12934" s="2423"/>
    </row>
    <row r="12935" spans="6:6">
      <c r="F12935" s="2423"/>
    </row>
    <row r="12936" spans="6:6">
      <c r="F12936" s="2423"/>
    </row>
    <row r="12937" spans="6:6">
      <c r="F12937" s="2423"/>
    </row>
    <row r="12938" spans="6:6">
      <c r="F12938" s="2423"/>
    </row>
    <row r="12939" spans="6:6">
      <c r="F12939" s="2423"/>
    </row>
    <row r="12940" spans="6:6">
      <c r="F12940" s="2423"/>
    </row>
    <row r="12941" spans="6:6">
      <c r="F12941" s="2423"/>
    </row>
    <row r="12942" spans="6:6">
      <c r="F12942" s="2423"/>
    </row>
    <row r="12943" spans="6:6">
      <c r="F12943" s="2423"/>
    </row>
    <row r="12944" spans="6:6">
      <c r="F12944" s="2423"/>
    </row>
    <row r="12945" spans="6:6">
      <c r="F12945" s="2423"/>
    </row>
    <row r="12946" spans="6:6">
      <c r="F12946" s="2423"/>
    </row>
    <row r="12947" spans="6:6">
      <c r="F12947" s="2423"/>
    </row>
    <row r="12948" spans="6:6">
      <c r="F12948" s="2423"/>
    </row>
    <row r="12949" spans="6:6">
      <c r="F12949" s="2423"/>
    </row>
    <row r="12950" spans="6:6">
      <c r="F12950" s="2423"/>
    </row>
    <row r="12951" spans="6:6">
      <c r="F12951" s="2423"/>
    </row>
    <row r="12952" spans="6:6">
      <c r="F12952" s="2423"/>
    </row>
    <row r="12953" spans="6:6">
      <c r="F12953" s="2423"/>
    </row>
    <row r="12954" spans="6:6">
      <c r="F12954" s="2423"/>
    </row>
    <row r="12955" spans="6:6">
      <c r="F12955" s="2423"/>
    </row>
    <row r="12956" spans="6:6">
      <c r="F12956" s="2423"/>
    </row>
    <row r="12957" spans="6:6">
      <c r="F12957" s="2423"/>
    </row>
    <row r="12958" spans="6:6">
      <c r="F12958" s="2423"/>
    </row>
    <row r="12959" spans="6:6">
      <c r="F12959" s="2423"/>
    </row>
    <row r="12960" spans="6:6">
      <c r="F12960" s="2423"/>
    </row>
    <row r="12961" spans="6:6">
      <c r="F12961" s="2423"/>
    </row>
    <row r="12962" spans="6:6">
      <c r="F12962" s="2423"/>
    </row>
    <row r="12963" spans="6:6">
      <c r="F12963" s="2423"/>
    </row>
    <row r="12964" spans="6:6">
      <c r="F12964" s="2423"/>
    </row>
    <row r="12965" spans="6:6">
      <c r="F12965" s="2423"/>
    </row>
    <row r="12966" spans="6:6">
      <c r="F12966" s="2423"/>
    </row>
    <row r="12967" spans="6:6">
      <c r="F12967" s="2423"/>
    </row>
    <row r="12968" spans="6:6">
      <c r="F12968" s="2423"/>
    </row>
    <row r="12969" spans="6:6">
      <c r="F12969" s="2423"/>
    </row>
    <row r="12970" spans="6:6">
      <c r="F12970" s="2423"/>
    </row>
    <row r="12971" spans="6:6">
      <c r="F12971" s="2423"/>
    </row>
    <row r="12972" spans="6:6">
      <c r="F12972" s="2423"/>
    </row>
    <row r="12973" spans="6:6">
      <c r="F12973" s="2423"/>
    </row>
    <row r="12974" spans="6:6">
      <c r="F12974" s="2423"/>
    </row>
    <row r="12975" spans="6:6">
      <c r="F12975" s="2423"/>
    </row>
    <row r="12976" spans="6:6">
      <c r="F12976" s="2423"/>
    </row>
    <row r="12977" spans="6:6">
      <c r="F12977" s="2423"/>
    </row>
    <row r="12978" spans="6:6">
      <c r="F12978" s="2423"/>
    </row>
    <row r="12979" spans="6:6">
      <c r="F12979" s="2423"/>
    </row>
    <row r="12980" spans="6:6">
      <c r="F12980" s="2423"/>
    </row>
    <row r="12981" spans="6:6">
      <c r="F12981" s="2423"/>
    </row>
    <row r="12982" spans="6:6">
      <c r="F12982" s="2423"/>
    </row>
    <row r="12983" spans="6:6">
      <c r="F12983" s="2423"/>
    </row>
    <row r="12984" spans="6:6">
      <c r="F12984" s="2423"/>
    </row>
    <row r="12985" spans="6:6">
      <c r="F12985" s="2423"/>
    </row>
    <row r="12986" spans="6:6">
      <c r="F12986" s="2423"/>
    </row>
    <row r="12987" spans="6:6">
      <c r="F12987" s="2423"/>
    </row>
    <row r="12988" spans="6:6">
      <c r="F12988" s="2423"/>
    </row>
    <row r="12989" spans="6:6">
      <c r="F12989" s="2423"/>
    </row>
    <row r="12990" spans="6:6">
      <c r="F12990" s="2423"/>
    </row>
    <row r="12991" spans="6:6">
      <c r="F12991" s="2423"/>
    </row>
    <row r="12992" spans="6:6">
      <c r="F12992" s="2423"/>
    </row>
    <row r="12993" spans="6:6">
      <c r="F12993" s="2423"/>
    </row>
    <row r="12994" spans="6:6">
      <c r="F12994" s="2423"/>
    </row>
    <row r="12995" spans="6:6">
      <c r="F12995" s="2423"/>
    </row>
    <row r="12996" spans="6:6">
      <c r="F12996" s="2423"/>
    </row>
    <row r="12997" spans="6:6">
      <c r="F12997" s="2423"/>
    </row>
    <row r="12998" spans="6:6">
      <c r="F12998" s="2423"/>
    </row>
    <row r="12999" spans="6:6">
      <c r="F12999" s="2423"/>
    </row>
    <row r="13000" spans="6:6">
      <c r="F13000" s="2423"/>
    </row>
    <row r="13001" spans="6:6">
      <c r="F13001" s="2423"/>
    </row>
    <row r="13002" spans="6:6">
      <c r="F13002" s="2423"/>
    </row>
    <row r="13003" spans="6:6">
      <c r="F13003" s="2423"/>
    </row>
    <row r="13004" spans="6:6">
      <c r="F13004" s="2423"/>
    </row>
    <row r="13005" spans="6:6">
      <c r="F13005" s="2423"/>
    </row>
    <row r="13006" spans="6:6">
      <c r="F13006" s="2423"/>
    </row>
    <row r="13007" spans="6:6">
      <c r="F13007" s="2423"/>
    </row>
    <row r="13008" spans="6:6">
      <c r="F13008" s="2423"/>
    </row>
    <row r="13009" spans="6:6">
      <c r="F13009" s="2423"/>
    </row>
    <row r="13010" spans="6:6">
      <c r="F13010" s="2423"/>
    </row>
    <row r="13011" spans="6:6">
      <c r="F13011" s="2423"/>
    </row>
    <row r="13012" spans="6:6">
      <c r="F13012" s="2423"/>
    </row>
    <row r="13013" spans="6:6">
      <c r="F13013" s="2423"/>
    </row>
    <row r="13014" spans="6:6">
      <c r="F13014" s="2423"/>
    </row>
    <row r="13015" spans="6:6">
      <c r="F13015" s="2423"/>
    </row>
    <row r="13016" spans="6:6">
      <c r="F13016" s="2423"/>
    </row>
    <row r="13017" spans="6:6">
      <c r="F13017" s="2423"/>
    </row>
    <row r="13018" spans="6:6">
      <c r="F13018" s="2423"/>
    </row>
    <row r="13019" spans="6:6">
      <c r="F13019" s="2423"/>
    </row>
    <row r="13020" spans="6:6">
      <c r="F13020" s="2423"/>
    </row>
    <row r="13021" spans="6:6">
      <c r="F13021" s="2423"/>
    </row>
    <row r="13022" spans="6:6">
      <c r="F13022" s="2423"/>
    </row>
    <row r="13023" spans="6:6">
      <c r="F13023" s="2423"/>
    </row>
    <row r="13024" spans="6:6">
      <c r="F13024" s="2423"/>
    </row>
    <row r="13025" spans="6:6">
      <c r="F13025" s="2423"/>
    </row>
    <row r="13026" spans="6:6">
      <c r="F13026" s="2423"/>
    </row>
    <row r="13027" spans="6:6">
      <c r="F13027" s="2423"/>
    </row>
    <row r="13028" spans="6:6">
      <c r="F13028" s="2423"/>
    </row>
    <row r="13029" spans="6:6">
      <c r="F13029" s="2423"/>
    </row>
    <row r="13030" spans="6:6">
      <c r="F13030" s="2423"/>
    </row>
    <row r="13031" spans="6:6">
      <c r="F13031" s="2423"/>
    </row>
    <row r="13032" spans="6:6">
      <c r="F13032" s="2423"/>
    </row>
    <row r="13033" spans="6:6">
      <c r="F13033" s="2423"/>
    </row>
    <row r="13034" spans="6:6">
      <c r="F13034" s="2423"/>
    </row>
    <row r="13035" spans="6:6">
      <c r="F13035" s="2423"/>
    </row>
    <row r="13036" spans="6:6">
      <c r="F13036" s="2423"/>
    </row>
    <row r="13037" spans="6:6">
      <c r="F13037" s="2423"/>
    </row>
    <row r="13038" spans="6:6">
      <c r="F13038" s="2423"/>
    </row>
    <row r="13039" spans="6:6">
      <c r="F13039" s="2423"/>
    </row>
    <row r="13040" spans="6:6">
      <c r="F13040" s="2423"/>
    </row>
    <row r="13041" spans="6:6">
      <c r="F13041" s="2423"/>
    </row>
    <row r="13042" spans="6:6">
      <c r="F13042" s="2423"/>
    </row>
    <row r="13043" spans="6:6">
      <c r="F13043" s="2423"/>
    </row>
    <row r="13044" spans="6:6">
      <c r="F13044" s="2423"/>
    </row>
    <row r="13045" spans="6:6">
      <c r="F13045" s="2423"/>
    </row>
    <row r="13046" spans="6:6">
      <c r="F13046" s="2423"/>
    </row>
    <row r="13047" spans="6:6">
      <c r="F13047" s="2423"/>
    </row>
    <row r="13048" spans="6:6">
      <c r="F13048" s="2423"/>
    </row>
    <row r="13049" spans="6:6">
      <c r="F13049" s="2423"/>
    </row>
    <row r="13050" spans="6:6">
      <c r="F13050" s="2423"/>
    </row>
    <row r="13051" spans="6:6">
      <c r="F13051" s="2423"/>
    </row>
    <row r="13052" spans="6:6">
      <c r="F13052" s="2423"/>
    </row>
    <row r="13053" spans="6:6">
      <c r="F13053" s="2423"/>
    </row>
    <row r="13054" spans="6:6">
      <c r="F13054" s="2423"/>
    </row>
    <row r="13055" spans="6:6">
      <c r="F13055" s="2423"/>
    </row>
    <row r="13056" spans="6:6">
      <c r="F13056" s="2423"/>
    </row>
    <row r="13057" spans="6:6">
      <c r="F13057" s="2423"/>
    </row>
    <row r="13058" spans="6:6">
      <c r="F13058" s="2423"/>
    </row>
    <row r="13059" spans="6:6">
      <c r="F13059" s="2423"/>
    </row>
    <row r="13060" spans="6:6">
      <c r="F13060" s="2423"/>
    </row>
    <row r="13061" spans="6:6">
      <c r="F13061" s="2423"/>
    </row>
    <row r="13062" spans="6:6">
      <c r="F13062" s="2423"/>
    </row>
    <row r="13063" spans="6:6">
      <c r="F13063" s="2423"/>
    </row>
    <row r="13064" spans="6:6">
      <c r="F13064" s="2423"/>
    </row>
    <row r="13065" spans="6:6">
      <c r="F13065" s="2423"/>
    </row>
    <row r="13066" spans="6:6">
      <c r="F13066" s="2423"/>
    </row>
    <row r="13067" spans="6:6">
      <c r="F13067" s="2423"/>
    </row>
    <row r="13068" spans="6:6">
      <c r="F13068" s="2423"/>
    </row>
    <row r="13069" spans="6:6">
      <c r="F13069" s="2423"/>
    </row>
    <row r="13070" spans="6:6">
      <c r="F13070" s="2423"/>
    </row>
    <row r="13071" spans="6:6">
      <c r="F13071" s="2423"/>
    </row>
    <row r="13072" spans="6:6">
      <c r="F13072" s="2423"/>
    </row>
    <row r="13073" spans="6:6">
      <c r="F13073" s="2423"/>
    </row>
    <row r="13074" spans="6:6">
      <c r="F13074" s="2423"/>
    </row>
    <row r="13075" spans="6:6">
      <c r="F13075" s="2423"/>
    </row>
    <row r="13076" spans="6:6">
      <c r="F13076" s="2423"/>
    </row>
    <row r="13077" spans="6:6">
      <c r="F13077" s="2423"/>
    </row>
    <row r="13078" spans="6:6">
      <c r="F13078" s="2423"/>
    </row>
    <row r="13079" spans="6:6">
      <c r="F13079" s="2423"/>
    </row>
    <row r="13080" spans="6:6">
      <c r="F13080" s="2423"/>
    </row>
    <row r="13081" spans="6:6">
      <c r="F13081" s="2423"/>
    </row>
    <row r="13082" spans="6:6">
      <c r="F13082" s="2423"/>
    </row>
    <row r="13083" spans="6:6">
      <c r="F13083" s="2423"/>
    </row>
    <row r="13084" spans="6:6">
      <c r="F13084" s="2423"/>
    </row>
    <row r="13085" spans="6:6">
      <c r="F13085" s="2423"/>
    </row>
    <row r="13086" spans="6:6">
      <c r="F13086" s="2423"/>
    </row>
    <row r="13087" spans="6:6">
      <c r="F13087" s="2423"/>
    </row>
    <row r="13088" spans="6:6">
      <c r="F13088" s="2423"/>
    </row>
    <row r="13089" spans="6:6">
      <c r="F13089" s="2423"/>
    </row>
    <row r="13090" spans="6:6">
      <c r="F13090" s="2423"/>
    </row>
    <row r="13091" spans="6:6">
      <c r="F13091" s="2423"/>
    </row>
    <row r="13092" spans="6:6">
      <c r="F13092" s="2423"/>
    </row>
    <row r="13093" spans="6:6">
      <c r="F13093" s="2423"/>
    </row>
    <row r="13094" spans="6:6">
      <c r="F13094" s="2423"/>
    </row>
    <row r="13095" spans="6:6">
      <c r="F13095" s="2423"/>
    </row>
    <row r="13096" spans="6:6">
      <c r="F13096" s="2423"/>
    </row>
    <row r="13097" spans="6:6">
      <c r="F13097" s="2423"/>
    </row>
    <row r="13098" spans="6:6">
      <c r="F13098" s="2423"/>
    </row>
    <row r="13099" spans="6:6">
      <c r="F13099" s="2423"/>
    </row>
    <row r="13100" spans="6:6">
      <c r="F13100" s="2423"/>
    </row>
    <row r="13101" spans="6:6">
      <c r="F13101" s="2423"/>
    </row>
    <row r="13102" spans="6:6">
      <c r="F13102" s="2423"/>
    </row>
    <row r="13103" spans="6:6">
      <c r="F13103" s="2423"/>
    </row>
    <row r="13104" spans="6:6">
      <c r="F13104" s="2423"/>
    </row>
    <row r="13105" spans="6:6">
      <c r="F13105" s="2423"/>
    </row>
    <row r="13106" spans="6:6">
      <c r="F13106" s="2423"/>
    </row>
    <row r="13107" spans="6:6">
      <c r="F13107" s="2423"/>
    </row>
    <row r="13108" spans="6:6">
      <c r="F13108" s="2423"/>
    </row>
    <row r="13109" spans="6:6">
      <c r="F13109" s="2423"/>
    </row>
    <row r="13110" spans="6:6">
      <c r="F13110" s="2423"/>
    </row>
    <row r="13111" spans="6:6">
      <c r="F13111" s="2423"/>
    </row>
    <row r="13112" spans="6:6">
      <c r="F13112" s="2423"/>
    </row>
    <row r="13113" spans="6:6">
      <c r="F13113" s="2423"/>
    </row>
    <row r="13114" spans="6:6">
      <c r="F13114" s="2423"/>
    </row>
    <row r="13115" spans="6:6">
      <c r="F13115" s="2423"/>
    </row>
    <row r="13116" spans="6:6">
      <c r="F13116" s="2423"/>
    </row>
    <row r="13117" spans="6:6">
      <c r="F13117" s="2423"/>
    </row>
    <row r="13118" spans="6:6">
      <c r="F13118" s="2423"/>
    </row>
    <row r="13119" spans="6:6">
      <c r="F13119" s="2423"/>
    </row>
    <row r="13120" spans="6:6">
      <c r="F13120" s="2423"/>
    </row>
    <row r="13121" spans="6:6">
      <c r="F13121" s="2423"/>
    </row>
    <row r="13122" spans="6:6">
      <c r="F13122" s="2423"/>
    </row>
    <row r="13123" spans="6:6">
      <c r="F13123" s="2423"/>
    </row>
    <row r="13124" spans="6:6">
      <c r="F13124" s="2423"/>
    </row>
    <row r="13125" spans="6:6">
      <c r="F13125" s="2423"/>
    </row>
    <row r="13126" spans="6:6">
      <c r="F13126" s="2423"/>
    </row>
    <row r="13127" spans="6:6">
      <c r="F13127" s="2423"/>
    </row>
    <row r="13128" spans="6:6">
      <c r="F13128" s="2423"/>
    </row>
    <row r="13129" spans="6:6">
      <c r="F13129" s="2423"/>
    </row>
    <row r="13130" spans="6:6">
      <c r="F13130" s="2423"/>
    </row>
    <row r="13131" spans="6:6">
      <c r="F13131" s="2423"/>
    </row>
    <row r="13132" spans="6:6">
      <c r="F13132" s="2423"/>
    </row>
    <row r="13133" spans="6:6">
      <c r="F13133" s="2423"/>
    </row>
    <row r="13134" spans="6:6">
      <c r="F13134" s="2423"/>
    </row>
    <row r="13135" spans="6:6">
      <c r="F13135" s="2423"/>
    </row>
    <row r="13136" spans="6:6">
      <c r="F13136" s="2423"/>
    </row>
    <row r="13137" spans="6:6">
      <c r="F13137" s="2423"/>
    </row>
    <row r="13138" spans="6:6">
      <c r="F13138" s="2423"/>
    </row>
    <row r="13139" spans="6:6">
      <c r="F13139" s="2423"/>
    </row>
    <row r="13140" spans="6:6">
      <c r="F13140" s="2423"/>
    </row>
    <row r="13141" spans="6:6">
      <c r="F13141" s="2423"/>
    </row>
    <row r="13142" spans="6:6">
      <c r="F13142" s="2423"/>
    </row>
    <row r="13143" spans="6:6">
      <c r="F13143" s="2423"/>
    </row>
    <row r="13144" spans="6:6">
      <c r="F13144" s="2423"/>
    </row>
    <row r="13145" spans="6:6">
      <c r="F13145" s="2423"/>
    </row>
    <row r="13146" spans="6:6">
      <c r="F13146" s="2423"/>
    </row>
    <row r="13147" spans="6:6">
      <c r="F13147" s="2423"/>
    </row>
    <row r="13148" spans="6:6">
      <c r="F13148" s="2423"/>
    </row>
    <row r="13149" spans="6:6">
      <c r="F13149" s="2423"/>
    </row>
    <row r="13150" spans="6:6">
      <c r="F13150" s="2423"/>
    </row>
    <row r="13151" spans="6:6">
      <c r="F13151" s="2423"/>
    </row>
    <row r="13152" spans="6:6">
      <c r="F13152" s="2423"/>
    </row>
    <row r="13153" spans="6:6">
      <c r="F13153" s="2423"/>
    </row>
    <row r="13154" spans="6:6">
      <c r="F13154" s="2423"/>
    </row>
    <row r="13155" spans="6:6">
      <c r="F13155" s="2423"/>
    </row>
    <row r="13156" spans="6:6">
      <c r="F13156" s="2423"/>
    </row>
    <row r="13157" spans="6:6">
      <c r="F13157" s="2423"/>
    </row>
    <row r="13158" spans="6:6">
      <c r="F13158" s="2423"/>
    </row>
    <row r="13159" spans="6:6">
      <c r="F13159" s="2423"/>
    </row>
    <row r="13160" spans="6:6">
      <c r="F13160" s="2423"/>
    </row>
    <row r="13161" spans="6:6">
      <c r="F13161" s="2423"/>
    </row>
    <row r="13162" spans="6:6">
      <c r="F13162" s="2423"/>
    </row>
    <row r="13163" spans="6:6">
      <c r="F13163" s="2423"/>
    </row>
    <row r="13164" spans="6:6">
      <c r="F13164" s="2423"/>
    </row>
    <row r="13165" spans="6:6">
      <c r="F13165" s="2423"/>
    </row>
    <row r="13166" spans="6:6">
      <c r="F13166" s="2423"/>
    </row>
    <row r="13167" spans="6:6">
      <c r="F13167" s="2423"/>
    </row>
    <row r="13168" spans="6:6">
      <c r="F13168" s="2423"/>
    </row>
    <row r="13169" spans="6:6">
      <c r="F13169" s="2423"/>
    </row>
    <row r="13170" spans="6:6">
      <c r="F13170" s="2423"/>
    </row>
    <row r="13171" spans="6:6">
      <c r="F13171" s="2423"/>
    </row>
    <row r="13172" spans="6:6">
      <c r="F13172" s="2423"/>
    </row>
    <row r="13173" spans="6:6">
      <c r="F13173" s="2423"/>
    </row>
    <row r="13174" spans="6:6">
      <c r="F13174" s="2423"/>
    </row>
    <row r="13175" spans="6:6">
      <c r="F13175" s="2423"/>
    </row>
    <row r="13176" spans="6:6">
      <c r="F13176" s="2423"/>
    </row>
    <row r="13177" spans="6:6">
      <c r="F13177" s="2423"/>
    </row>
    <row r="13178" spans="6:6">
      <c r="F13178" s="2423"/>
    </row>
    <row r="13179" spans="6:6">
      <c r="F13179" s="2423"/>
    </row>
    <row r="13180" spans="6:6">
      <c r="F13180" s="2423"/>
    </row>
    <row r="13181" spans="6:6">
      <c r="F13181" s="2423"/>
    </row>
    <row r="13182" spans="6:6">
      <c r="F13182" s="2423"/>
    </row>
    <row r="13183" spans="6:6">
      <c r="F13183" s="2423"/>
    </row>
    <row r="13184" spans="6:6">
      <c r="F13184" s="2423"/>
    </row>
    <row r="13185" spans="6:6">
      <c r="F13185" s="2423"/>
    </row>
    <row r="13186" spans="6:6">
      <c r="F13186" s="2423"/>
    </row>
    <row r="13187" spans="6:6">
      <c r="F13187" s="2423"/>
    </row>
    <row r="13188" spans="6:6">
      <c r="F13188" s="2423"/>
    </row>
    <row r="13189" spans="6:6">
      <c r="F13189" s="2423"/>
    </row>
    <row r="13190" spans="6:6">
      <c r="F13190" s="2423"/>
    </row>
    <row r="13191" spans="6:6">
      <c r="F13191" s="2423"/>
    </row>
    <row r="13192" spans="6:6">
      <c r="F13192" s="2423"/>
    </row>
    <row r="13193" spans="6:6">
      <c r="F13193" s="2423"/>
    </row>
    <row r="13194" spans="6:6">
      <c r="F13194" s="2423"/>
    </row>
    <row r="13195" spans="6:6">
      <c r="F13195" s="2423"/>
    </row>
    <row r="13196" spans="6:6">
      <c r="F13196" s="2423"/>
    </row>
    <row r="13197" spans="6:6">
      <c r="F13197" s="2423"/>
    </row>
    <row r="13198" spans="6:6">
      <c r="F13198" s="2423"/>
    </row>
    <row r="13199" spans="6:6">
      <c r="F13199" s="2423"/>
    </row>
    <row r="13200" spans="6:6">
      <c r="F13200" s="2423"/>
    </row>
    <row r="13201" spans="6:6">
      <c r="F13201" s="2423"/>
    </row>
    <row r="13202" spans="6:6">
      <c r="F13202" s="2423"/>
    </row>
    <row r="13203" spans="6:6">
      <c r="F13203" s="2423"/>
    </row>
    <row r="13204" spans="6:6">
      <c r="F13204" s="2423"/>
    </row>
    <row r="13205" spans="6:6">
      <c r="F13205" s="2423"/>
    </row>
    <row r="13206" spans="6:6">
      <c r="F13206" s="2423"/>
    </row>
    <row r="13207" spans="6:6">
      <c r="F13207" s="2423"/>
    </row>
    <row r="13208" spans="6:6">
      <c r="F13208" s="2423"/>
    </row>
    <row r="13209" spans="6:6">
      <c r="F13209" s="2423"/>
    </row>
    <row r="13210" spans="6:6">
      <c r="F13210" s="2423"/>
    </row>
    <row r="13211" spans="6:6">
      <c r="F13211" s="2423"/>
    </row>
    <row r="13212" spans="6:6">
      <c r="F13212" s="2423"/>
    </row>
    <row r="13213" spans="6:6">
      <c r="F13213" s="2423"/>
    </row>
    <row r="13214" spans="6:6">
      <c r="F13214" s="2423"/>
    </row>
    <row r="13215" spans="6:6">
      <c r="F13215" s="2423"/>
    </row>
    <row r="13216" spans="6:6">
      <c r="F13216" s="2423"/>
    </row>
    <row r="13217" spans="6:6">
      <c r="F13217" s="2423"/>
    </row>
    <row r="13218" spans="6:6">
      <c r="F13218" s="2423"/>
    </row>
    <row r="13219" spans="6:6">
      <c r="F13219" s="2423"/>
    </row>
    <row r="13220" spans="6:6">
      <c r="F13220" s="2423"/>
    </row>
    <row r="13221" spans="6:6">
      <c r="F13221" s="2423"/>
    </row>
    <row r="13222" spans="6:6">
      <c r="F13222" s="2423"/>
    </row>
    <row r="13223" spans="6:6">
      <c r="F13223" s="2423"/>
    </row>
    <row r="13224" spans="6:6">
      <c r="F13224" s="2423"/>
    </row>
    <row r="13225" spans="6:6">
      <c r="F13225" s="2423"/>
    </row>
    <row r="13226" spans="6:6">
      <c r="F13226" s="2423"/>
    </row>
    <row r="13227" spans="6:6">
      <c r="F13227" s="2423"/>
    </row>
    <row r="13228" spans="6:6">
      <c r="F13228" s="2423"/>
    </row>
    <row r="13229" spans="6:6">
      <c r="F13229" s="2423"/>
    </row>
    <row r="13230" spans="6:6">
      <c r="F13230" s="2423"/>
    </row>
    <row r="13231" spans="6:6">
      <c r="F13231" s="2423"/>
    </row>
    <row r="13232" spans="6:6">
      <c r="F13232" s="2423"/>
    </row>
    <row r="13233" spans="6:6">
      <c r="F13233" s="2423"/>
    </row>
    <row r="13234" spans="6:6">
      <c r="F13234" s="2423"/>
    </row>
    <row r="13235" spans="6:6">
      <c r="F13235" s="2423"/>
    </row>
    <row r="13236" spans="6:6">
      <c r="F13236" s="2423"/>
    </row>
    <row r="13237" spans="6:6">
      <c r="F13237" s="2423"/>
    </row>
    <row r="13238" spans="6:6">
      <c r="F13238" s="2423"/>
    </row>
    <row r="13239" spans="6:6">
      <c r="F13239" s="2423"/>
    </row>
    <row r="13240" spans="6:6">
      <c r="F13240" s="2423"/>
    </row>
    <row r="13241" spans="6:6">
      <c r="F13241" s="2423"/>
    </row>
    <row r="13242" spans="6:6">
      <c r="F13242" s="2423"/>
    </row>
    <row r="13243" spans="6:6">
      <c r="F13243" s="2423"/>
    </row>
    <row r="13244" spans="6:6">
      <c r="F13244" s="2423"/>
    </row>
    <row r="13245" spans="6:6">
      <c r="F13245" s="2423"/>
    </row>
    <row r="13246" spans="6:6">
      <c r="F13246" s="2423"/>
    </row>
    <row r="13247" spans="6:6">
      <c r="F13247" s="2423"/>
    </row>
    <row r="13248" spans="6:6">
      <c r="F13248" s="2423"/>
    </row>
    <row r="13249" spans="6:6">
      <c r="F13249" s="2423"/>
    </row>
    <row r="13250" spans="6:6">
      <c r="F13250" s="2423"/>
    </row>
    <row r="13251" spans="6:6">
      <c r="F13251" s="2423"/>
    </row>
    <row r="13252" spans="6:6">
      <c r="F13252" s="2423"/>
    </row>
    <row r="13253" spans="6:6">
      <c r="F13253" s="2423"/>
    </row>
    <row r="13254" spans="6:6">
      <c r="F13254" s="2423"/>
    </row>
    <row r="13255" spans="6:6">
      <c r="F13255" s="2423"/>
    </row>
    <row r="13256" spans="6:6">
      <c r="F13256" s="2423"/>
    </row>
    <row r="13257" spans="6:6">
      <c r="F13257" s="2423"/>
    </row>
    <row r="13258" spans="6:6">
      <c r="F13258" s="2423"/>
    </row>
    <row r="13259" spans="6:6">
      <c r="F13259" s="2423"/>
    </row>
    <row r="13260" spans="6:6">
      <c r="F13260" s="2423"/>
    </row>
    <row r="13261" spans="6:6">
      <c r="F13261" s="2423"/>
    </row>
    <row r="13262" spans="6:6">
      <c r="F13262" s="2423"/>
    </row>
    <row r="13263" spans="6:6">
      <c r="F13263" s="2423"/>
    </row>
    <row r="13264" spans="6:6">
      <c r="F13264" s="2423"/>
    </row>
    <row r="13265" spans="6:6">
      <c r="F13265" s="2423"/>
    </row>
    <row r="13266" spans="6:6">
      <c r="F13266" s="2423"/>
    </row>
    <row r="13267" spans="6:6">
      <c r="F13267" s="2423"/>
    </row>
    <row r="13268" spans="6:6">
      <c r="F13268" s="2423"/>
    </row>
    <row r="13269" spans="6:6">
      <c r="F13269" s="2423"/>
    </row>
    <row r="13270" spans="6:6">
      <c r="F13270" s="2423"/>
    </row>
    <row r="13271" spans="6:6">
      <c r="F13271" s="2423"/>
    </row>
    <row r="13272" spans="6:6">
      <c r="F13272" s="2423"/>
    </row>
    <row r="13273" spans="6:6">
      <c r="F13273" s="2423"/>
    </row>
    <row r="13274" spans="6:6">
      <c r="F13274" s="2423"/>
    </row>
    <row r="13275" spans="6:6">
      <c r="F13275" s="2423"/>
    </row>
    <row r="13276" spans="6:6">
      <c r="F13276" s="2423"/>
    </row>
    <row r="13277" spans="6:6">
      <c r="F13277" s="2423"/>
    </row>
    <row r="13278" spans="6:6">
      <c r="F13278" s="2423"/>
    </row>
    <row r="13279" spans="6:6">
      <c r="F13279" s="2423"/>
    </row>
    <row r="13280" spans="6:6">
      <c r="F13280" s="2423"/>
    </row>
    <row r="13281" spans="6:6">
      <c r="F13281" s="2423"/>
    </row>
    <row r="13282" spans="6:6">
      <c r="F13282" s="2423"/>
    </row>
    <row r="13283" spans="6:6">
      <c r="F13283" s="2423"/>
    </row>
    <row r="13284" spans="6:6">
      <c r="F13284" s="2423"/>
    </row>
    <row r="13285" spans="6:6">
      <c r="F13285" s="2423"/>
    </row>
    <row r="13286" spans="6:6">
      <c r="F13286" s="2423"/>
    </row>
    <row r="13287" spans="6:6">
      <c r="F13287" s="2423"/>
    </row>
    <row r="13288" spans="6:6">
      <c r="F13288" s="2423"/>
    </row>
    <row r="13289" spans="6:6">
      <c r="F13289" s="2423"/>
    </row>
    <row r="13290" spans="6:6">
      <c r="F13290" s="2423"/>
    </row>
    <row r="13291" spans="6:6">
      <c r="F13291" s="2423"/>
    </row>
    <row r="13292" spans="6:6">
      <c r="F13292" s="2423"/>
    </row>
    <row r="13293" spans="6:6">
      <c r="F13293" s="2423"/>
    </row>
    <row r="13294" spans="6:6">
      <c r="F13294" s="2423"/>
    </row>
    <row r="13295" spans="6:6">
      <c r="F13295" s="2423"/>
    </row>
    <row r="13296" spans="6:6">
      <c r="F13296" s="2423"/>
    </row>
    <row r="13297" spans="6:6">
      <c r="F13297" s="2423"/>
    </row>
    <row r="13298" spans="6:6">
      <c r="F13298" s="2423"/>
    </row>
    <row r="13299" spans="6:6">
      <c r="F13299" s="2423"/>
    </row>
    <row r="13300" spans="6:6">
      <c r="F13300" s="2423"/>
    </row>
    <row r="13301" spans="6:6">
      <c r="F13301" s="2423"/>
    </row>
    <row r="13302" spans="6:6">
      <c r="F13302" s="2423"/>
    </row>
    <row r="13303" spans="6:6">
      <c r="F13303" s="2423"/>
    </row>
    <row r="13304" spans="6:6">
      <c r="F13304" s="2423"/>
    </row>
    <row r="13305" spans="6:6">
      <c r="F13305" s="2423"/>
    </row>
    <row r="13306" spans="6:6">
      <c r="F13306" s="2423"/>
    </row>
    <row r="13307" spans="6:6">
      <c r="F13307" s="2423"/>
    </row>
    <row r="13308" spans="6:6">
      <c r="F13308" s="2423"/>
    </row>
    <row r="13309" spans="6:6">
      <c r="F13309" s="2423"/>
    </row>
    <row r="13310" spans="6:6">
      <c r="F13310" s="2423"/>
    </row>
    <row r="13311" spans="6:6">
      <c r="F13311" s="2423"/>
    </row>
    <row r="13312" spans="6:6">
      <c r="F13312" s="2423"/>
    </row>
    <row r="13313" spans="6:6">
      <c r="F13313" s="2423"/>
    </row>
    <row r="13314" spans="6:6">
      <c r="F13314" s="2423"/>
    </row>
    <row r="13315" spans="6:6">
      <c r="F13315" s="2423"/>
    </row>
    <row r="13316" spans="6:6">
      <c r="F13316" s="2423"/>
    </row>
    <row r="13317" spans="6:6">
      <c r="F13317" s="2423"/>
    </row>
    <row r="13318" spans="6:6">
      <c r="F13318" s="2423"/>
    </row>
    <row r="13319" spans="6:6">
      <c r="F13319" s="2423"/>
    </row>
    <row r="13320" spans="6:6">
      <c r="F13320" s="2423"/>
    </row>
    <row r="13321" spans="6:6">
      <c r="F13321" s="2423"/>
    </row>
    <row r="13322" spans="6:6">
      <c r="F13322" s="2423"/>
    </row>
    <row r="13323" spans="6:6">
      <c r="F13323" s="2423"/>
    </row>
    <row r="13324" spans="6:6">
      <c r="F13324" s="2423"/>
    </row>
    <row r="13325" spans="6:6">
      <c r="F13325" s="2423"/>
    </row>
    <row r="13326" spans="6:6">
      <c r="F13326" s="2423"/>
    </row>
    <row r="13327" spans="6:6">
      <c r="F13327" s="2423"/>
    </row>
    <row r="13328" spans="6:6">
      <c r="F13328" s="2423"/>
    </row>
    <row r="13329" spans="6:6">
      <c r="F13329" s="2423"/>
    </row>
    <row r="13330" spans="6:6">
      <c r="F13330" s="2423"/>
    </row>
    <row r="13331" spans="6:6">
      <c r="F13331" s="2423"/>
    </row>
    <row r="13332" spans="6:6">
      <c r="F13332" s="2423"/>
    </row>
    <row r="13333" spans="6:6">
      <c r="F13333" s="2423"/>
    </row>
    <row r="13334" spans="6:6">
      <c r="F13334" s="2423"/>
    </row>
    <row r="13335" spans="6:6">
      <c r="F13335" s="2423"/>
    </row>
    <row r="13336" spans="6:6">
      <c r="F13336" s="2423"/>
    </row>
    <row r="13337" spans="6:6">
      <c r="F13337" s="2423"/>
    </row>
    <row r="13338" spans="6:6">
      <c r="F13338" s="2423"/>
    </row>
    <row r="13339" spans="6:6">
      <c r="F13339" s="2423"/>
    </row>
    <row r="13340" spans="6:6">
      <c r="F13340" s="2423"/>
    </row>
    <row r="13341" spans="6:6">
      <c r="F13341" s="2423"/>
    </row>
    <row r="13342" spans="6:6">
      <c r="F13342" s="2423"/>
    </row>
    <row r="13343" spans="6:6">
      <c r="F13343" s="2423"/>
    </row>
    <row r="13344" spans="6:6">
      <c r="F13344" s="2423"/>
    </row>
    <row r="13345" spans="6:6">
      <c r="F13345" s="2423"/>
    </row>
    <row r="13346" spans="6:6">
      <c r="F13346" s="2423"/>
    </row>
    <row r="13347" spans="6:6">
      <c r="F13347" s="2423"/>
    </row>
    <row r="13348" spans="6:6">
      <c r="F13348" s="2423"/>
    </row>
    <row r="13349" spans="6:6">
      <c r="F13349" s="2423"/>
    </row>
    <row r="13350" spans="6:6">
      <c r="F13350" s="2423"/>
    </row>
    <row r="13351" spans="6:6">
      <c r="F13351" s="2423"/>
    </row>
    <row r="13352" spans="6:6">
      <c r="F13352" s="2423"/>
    </row>
    <row r="13353" spans="6:6">
      <c r="F13353" s="2423"/>
    </row>
    <row r="13354" spans="6:6">
      <c r="F13354" s="2423"/>
    </row>
    <row r="13355" spans="6:6">
      <c r="F13355" s="2423"/>
    </row>
    <row r="13356" spans="6:6">
      <c r="F13356" s="2423"/>
    </row>
    <row r="13357" spans="6:6">
      <c r="F13357" s="2423"/>
    </row>
    <row r="13358" spans="6:6">
      <c r="F13358" s="2423"/>
    </row>
    <row r="13359" spans="6:6">
      <c r="F13359" s="2423"/>
    </row>
    <row r="13360" spans="6:6">
      <c r="F13360" s="2423"/>
    </row>
    <row r="13361" spans="6:6">
      <c r="F13361" s="2423"/>
    </row>
    <row r="13362" spans="6:6">
      <c r="F13362" s="2423"/>
    </row>
    <row r="13363" spans="6:6">
      <c r="F13363" s="2423"/>
    </row>
    <row r="13364" spans="6:6">
      <c r="F13364" s="2423"/>
    </row>
    <row r="13365" spans="6:6">
      <c r="F13365" s="2423"/>
    </row>
    <row r="13366" spans="6:6">
      <c r="F13366" s="2423"/>
    </row>
    <row r="13367" spans="6:6">
      <c r="F13367" s="2423"/>
    </row>
    <row r="13368" spans="6:6">
      <c r="F13368" s="2423"/>
    </row>
    <row r="13369" spans="6:6">
      <c r="F13369" s="2423"/>
    </row>
    <row r="13370" spans="6:6">
      <c r="F13370" s="2423"/>
    </row>
    <row r="13371" spans="6:6">
      <c r="F13371" s="2423"/>
    </row>
    <row r="13372" spans="6:6">
      <c r="F13372" s="2423"/>
    </row>
    <row r="13373" spans="6:6">
      <c r="F13373" s="2423"/>
    </row>
    <row r="13374" spans="6:6">
      <c r="F13374" s="2423"/>
    </row>
    <row r="13375" spans="6:6">
      <c r="F13375" s="2423"/>
    </row>
    <row r="13376" spans="6:6">
      <c r="F13376" s="2423"/>
    </row>
    <row r="13377" spans="6:6">
      <c r="F13377" s="2423"/>
    </row>
    <row r="13378" spans="6:6">
      <c r="F13378" s="2423"/>
    </row>
    <row r="13379" spans="6:6">
      <c r="F13379" s="2423"/>
    </row>
    <row r="13380" spans="6:6">
      <c r="F13380" s="2423"/>
    </row>
    <row r="13381" spans="6:6">
      <c r="F13381" s="2423"/>
    </row>
    <row r="13382" spans="6:6">
      <c r="F13382" s="2423"/>
    </row>
    <row r="13383" spans="6:6">
      <c r="F13383" s="2423"/>
    </row>
    <row r="13384" spans="6:6">
      <c r="F13384" s="2423"/>
    </row>
    <row r="13385" spans="6:6">
      <c r="F13385" s="2423"/>
    </row>
    <row r="13386" spans="6:6">
      <c r="F13386" s="2423"/>
    </row>
    <row r="13387" spans="6:6">
      <c r="F13387" s="2423"/>
    </row>
    <row r="13388" spans="6:6">
      <c r="F13388" s="2423"/>
    </row>
    <row r="13389" spans="6:6">
      <c r="F13389" s="2423"/>
    </row>
    <row r="13390" spans="6:6">
      <c r="F13390" s="2423"/>
    </row>
    <row r="13391" spans="6:6">
      <c r="F13391" s="2423"/>
    </row>
    <row r="13392" spans="6:6">
      <c r="F13392" s="2423"/>
    </row>
    <row r="13393" spans="6:6">
      <c r="F13393" s="2423"/>
    </row>
    <row r="13394" spans="6:6">
      <c r="F13394" s="2423"/>
    </row>
    <row r="13395" spans="6:6">
      <c r="F13395" s="2423"/>
    </row>
    <row r="13396" spans="6:6">
      <c r="F13396" s="2423"/>
    </row>
    <row r="13397" spans="6:6">
      <c r="F13397" s="2423"/>
    </row>
    <row r="13398" spans="6:6">
      <c r="F13398" s="2423"/>
    </row>
    <row r="13399" spans="6:6">
      <c r="F13399" s="2423"/>
    </row>
    <row r="13400" spans="6:6">
      <c r="F13400" s="2423"/>
    </row>
    <row r="13401" spans="6:6">
      <c r="F13401" s="2423"/>
    </row>
    <row r="13402" spans="6:6">
      <c r="F13402" s="2423"/>
    </row>
    <row r="13403" spans="6:6">
      <c r="F13403" s="2423"/>
    </row>
    <row r="13404" spans="6:6">
      <c r="F13404" s="2423"/>
    </row>
    <row r="13405" spans="6:6">
      <c r="F13405" s="2423"/>
    </row>
    <row r="13406" spans="6:6">
      <c r="F13406" s="2423"/>
    </row>
    <row r="13407" spans="6:6">
      <c r="F13407" s="2423"/>
    </row>
    <row r="13408" spans="6:6">
      <c r="F13408" s="2423"/>
    </row>
    <row r="13409" spans="6:6">
      <c r="F13409" s="2423"/>
    </row>
    <row r="13410" spans="6:6">
      <c r="F13410" s="2423"/>
    </row>
    <row r="13411" spans="6:6">
      <c r="F13411" s="2423"/>
    </row>
    <row r="13412" spans="6:6">
      <c r="F13412" s="2423"/>
    </row>
    <row r="13413" spans="6:6">
      <c r="F13413" s="2423"/>
    </row>
    <row r="13414" spans="6:6">
      <c r="F13414" s="2423"/>
    </row>
    <row r="13415" spans="6:6">
      <c r="F13415" s="2423"/>
    </row>
    <row r="13416" spans="6:6">
      <c r="F13416" s="2423"/>
    </row>
    <row r="13417" spans="6:6">
      <c r="F13417" s="2423"/>
    </row>
    <row r="13418" spans="6:6">
      <c r="F13418" s="2423"/>
    </row>
    <row r="13419" spans="6:6">
      <c r="F13419" s="2423"/>
    </row>
    <row r="13420" spans="6:6">
      <c r="F13420" s="2423"/>
    </row>
    <row r="13421" spans="6:6">
      <c r="F13421" s="2423"/>
    </row>
    <row r="13422" spans="6:6">
      <c r="F13422" s="2423"/>
    </row>
    <row r="13423" spans="6:6">
      <c r="F13423" s="2423"/>
    </row>
    <row r="13424" spans="6:6">
      <c r="F13424" s="2423"/>
    </row>
    <row r="13425" spans="6:6">
      <c r="F13425" s="2423"/>
    </row>
    <row r="13426" spans="6:6">
      <c r="F13426" s="2423"/>
    </row>
    <row r="13427" spans="6:6">
      <c r="F13427" s="2423"/>
    </row>
    <row r="13428" spans="6:6">
      <c r="F13428" s="2423"/>
    </row>
    <row r="13429" spans="6:6">
      <c r="F13429" s="2423"/>
    </row>
    <row r="13430" spans="6:6">
      <c r="F13430" s="2423"/>
    </row>
    <row r="13431" spans="6:6">
      <c r="F13431" s="2423"/>
    </row>
    <row r="13432" spans="6:6">
      <c r="F13432" s="2423"/>
    </row>
    <row r="13433" spans="6:6">
      <c r="F13433" s="2423"/>
    </row>
    <row r="13434" spans="6:6">
      <c r="F13434" s="2423"/>
    </row>
    <row r="13435" spans="6:6">
      <c r="F13435" s="2423"/>
    </row>
    <row r="13436" spans="6:6">
      <c r="F13436" s="2423"/>
    </row>
    <row r="13437" spans="6:6">
      <c r="F13437" s="2423"/>
    </row>
    <row r="13438" spans="6:6">
      <c r="F13438" s="2423"/>
    </row>
    <row r="13439" spans="6:6">
      <c r="F13439" s="2423"/>
    </row>
    <row r="13440" spans="6:6">
      <c r="F13440" s="2423"/>
    </row>
    <row r="13441" spans="6:6">
      <c r="F13441" s="2423"/>
    </row>
    <row r="13442" spans="6:6">
      <c r="F13442" s="2423"/>
    </row>
    <row r="13443" spans="6:6">
      <c r="F13443" s="2423"/>
    </row>
    <row r="13444" spans="6:6">
      <c r="F13444" s="2423"/>
    </row>
    <row r="13445" spans="6:6">
      <c r="F13445" s="2423"/>
    </row>
    <row r="13446" spans="6:6">
      <c r="F13446" s="2423"/>
    </row>
    <row r="13447" spans="6:6">
      <c r="F13447" s="2423"/>
    </row>
    <row r="13448" spans="6:6">
      <c r="F13448" s="2423"/>
    </row>
    <row r="13449" spans="6:6">
      <c r="F13449" s="2423"/>
    </row>
    <row r="13450" spans="6:6">
      <c r="F13450" s="2423"/>
    </row>
    <row r="13451" spans="6:6">
      <c r="F13451" s="2423"/>
    </row>
    <row r="13452" spans="6:6">
      <c r="F13452" s="2423"/>
    </row>
    <row r="13453" spans="6:6">
      <c r="F13453" s="2423"/>
    </row>
    <row r="13454" spans="6:6">
      <c r="F13454" s="2423"/>
    </row>
    <row r="13455" spans="6:6">
      <c r="F13455" s="2423"/>
    </row>
    <row r="13456" spans="6:6">
      <c r="F13456" s="2423"/>
    </row>
    <row r="13457" spans="6:6">
      <c r="F13457" s="2423"/>
    </row>
    <row r="13458" spans="6:6">
      <c r="F13458" s="2423"/>
    </row>
    <row r="13459" spans="6:6">
      <c r="F13459" s="2423"/>
    </row>
    <row r="13460" spans="6:6">
      <c r="F13460" s="2423"/>
    </row>
    <row r="13461" spans="6:6">
      <c r="F13461" s="2423"/>
    </row>
    <row r="13462" spans="6:6">
      <c r="F13462" s="2423"/>
    </row>
    <row r="13463" spans="6:6">
      <c r="F13463" s="2423"/>
    </row>
    <row r="13464" spans="6:6">
      <c r="F13464" s="2423"/>
    </row>
    <row r="13465" spans="6:6">
      <c r="F13465" s="2423"/>
    </row>
    <row r="13466" spans="6:6">
      <c r="F13466" s="2423"/>
    </row>
    <row r="13467" spans="6:6">
      <c r="F13467" s="2423"/>
    </row>
    <row r="13468" spans="6:6">
      <c r="F13468" s="2423"/>
    </row>
    <row r="13469" spans="6:6">
      <c r="F13469" s="2423"/>
    </row>
    <row r="13470" spans="6:6">
      <c r="F13470" s="2423"/>
    </row>
    <row r="13471" spans="6:6">
      <c r="F13471" s="2423"/>
    </row>
    <row r="13472" spans="6:6">
      <c r="F13472" s="2423"/>
    </row>
    <row r="13473" spans="6:6">
      <c r="F13473" s="2423"/>
    </row>
    <row r="13474" spans="6:6">
      <c r="F13474" s="2423"/>
    </row>
    <row r="13475" spans="6:6">
      <c r="F13475" s="2423"/>
    </row>
    <row r="13476" spans="6:6">
      <c r="F13476" s="2423"/>
    </row>
    <row r="13477" spans="6:6">
      <c r="F13477" s="2423"/>
    </row>
    <row r="13478" spans="6:6">
      <c r="F13478" s="2423"/>
    </row>
    <row r="13479" spans="6:6">
      <c r="F13479" s="2423"/>
    </row>
    <row r="13480" spans="6:6">
      <c r="F13480" s="2423"/>
    </row>
    <row r="13481" spans="6:6">
      <c r="F13481" s="2423"/>
    </row>
    <row r="13482" spans="6:6">
      <c r="F13482" s="2423"/>
    </row>
    <row r="13483" spans="6:6">
      <c r="F13483" s="2423"/>
    </row>
    <row r="13484" spans="6:6">
      <c r="F13484" s="2423"/>
    </row>
    <row r="13485" spans="6:6">
      <c r="F13485" s="2423"/>
    </row>
    <row r="13486" spans="6:6">
      <c r="F13486" s="2423"/>
    </row>
    <row r="13487" spans="6:6">
      <c r="F13487" s="2423"/>
    </row>
    <row r="13488" spans="6:6">
      <c r="F13488" s="2423"/>
    </row>
    <row r="13489" spans="6:6">
      <c r="F13489" s="2423"/>
    </row>
    <row r="13490" spans="6:6">
      <c r="F13490" s="2423"/>
    </row>
    <row r="13491" spans="6:6">
      <c r="F13491" s="2423"/>
    </row>
    <row r="13492" spans="6:6">
      <c r="F13492" s="2423"/>
    </row>
    <row r="13493" spans="6:6">
      <c r="F13493" s="2423"/>
    </row>
    <row r="13494" spans="6:6">
      <c r="F13494" s="2423"/>
    </row>
    <row r="13495" spans="6:6">
      <c r="F13495" s="2423"/>
    </row>
    <row r="13496" spans="6:6">
      <c r="F13496" s="2423"/>
    </row>
    <row r="13497" spans="6:6">
      <c r="F13497" s="2423"/>
    </row>
    <row r="13498" spans="6:6">
      <c r="F13498" s="2423"/>
    </row>
    <row r="13499" spans="6:6">
      <c r="F13499" s="2423"/>
    </row>
    <row r="13500" spans="6:6">
      <c r="F13500" s="2423"/>
    </row>
    <row r="13501" spans="6:6">
      <c r="F13501" s="2423"/>
    </row>
    <row r="13502" spans="6:6">
      <c r="F13502" s="2423"/>
    </row>
    <row r="13503" spans="6:6">
      <c r="F13503" s="2423"/>
    </row>
    <row r="13504" spans="6:6">
      <c r="F13504" s="2423"/>
    </row>
    <row r="13505" spans="6:6">
      <c r="F13505" s="2423"/>
    </row>
    <row r="13506" spans="6:6">
      <c r="F13506" s="2423"/>
    </row>
    <row r="13507" spans="6:6">
      <c r="F13507" s="2423"/>
    </row>
    <row r="13508" spans="6:6">
      <c r="F13508" s="2423"/>
    </row>
    <row r="13509" spans="6:6">
      <c r="F13509" s="2423"/>
    </row>
    <row r="13510" spans="6:6">
      <c r="F13510" s="2423"/>
    </row>
    <row r="13511" spans="6:6">
      <c r="F13511" s="2423"/>
    </row>
    <row r="13512" spans="6:6">
      <c r="F13512" s="2423"/>
    </row>
    <row r="13513" spans="6:6">
      <c r="F13513" s="2423"/>
    </row>
    <row r="13514" spans="6:6">
      <c r="F13514" s="2423"/>
    </row>
    <row r="13515" spans="6:6">
      <c r="F13515" s="2423"/>
    </row>
    <row r="13516" spans="6:6">
      <c r="F13516" s="2423"/>
    </row>
    <row r="13517" spans="6:6">
      <c r="F13517" s="2423"/>
    </row>
    <row r="13518" spans="6:6">
      <c r="F13518" s="2423"/>
    </row>
    <row r="13519" spans="6:6">
      <c r="F13519" s="2423"/>
    </row>
    <row r="13520" spans="6:6">
      <c r="F13520" s="2423"/>
    </row>
    <row r="13521" spans="6:6">
      <c r="F13521" s="2423"/>
    </row>
    <row r="13522" spans="6:6">
      <c r="F13522" s="2423"/>
    </row>
    <row r="13523" spans="6:6">
      <c r="F13523" s="2423"/>
    </row>
    <row r="13524" spans="6:6">
      <c r="F13524" s="2423"/>
    </row>
    <row r="13525" spans="6:6">
      <c r="F13525" s="2423"/>
    </row>
    <row r="13526" spans="6:6">
      <c r="F13526" s="2423"/>
    </row>
    <row r="13527" spans="6:6">
      <c r="F13527" s="2423"/>
    </row>
    <row r="13528" spans="6:6">
      <c r="F13528" s="2423"/>
    </row>
    <row r="13529" spans="6:6">
      <c r="F13529" s="2423"/>
    </row>
    <row r="13530" spans="6:6">
      <c r="F13530" s="2423"/>
    </row>
    <row r="13531" spans="6:6">
      <c r="F13531" s="2423"/>
    </row>
    <row r="13532" spans="6:6">
      <c r="F13532" s="2423"/>
    </row>
    <row r="13533" spans="6:6">
      <c r="F13533" s="2423"/>
    </row>
    <row r="13534" spans="6:6">
      <c r="F13534" s="2423"/>
    </row>
    <row r="13535" spans="6:6">
      <c r="F13535" s="2423"/>
    </row>
    <row r="13536" spans="6:6">
      <c r="F13536" s="2423"/>
    </row>
    <row r="13537" spans="6:6">
      <c r="F13537" s="2423"/>
    </row>
    <row r="13538" spans="6:6">
      <c r="F13538" s="2423"/>
    </row>
    <row r="13539" spans="6:6">
      <c r="F13539" s="2423"/>
    </row>
    <row r="13540" spans="6:6">
      <c r="F13540" s="2423"/>
    </row>
    <row r="13541" spans="6:6">
      <c r="F13541" s="2423"/>
    </row>
    <row r="13542" spans="6:6">
      <c r="F13542" s="2423"/>
    </row>
    <row r="13543" spans="6:6">
      <c r="F13543" s="2423"/>
    </row>
    <row r="13544" spans="6:6">
      <c r="F13544" s="2423"/>
    </row>
    <row r="13545" spans="6:6">
      <c r="F13545" s="2423"/>
    </row>
    <row r="13546" spans="6:6">
      <c r="F13546" s="2423"/>
    </row>
    <row r="13547" spans="6:6">
      <c r="F13547" s="2423"/>
    </row>
    <row r="13548" spans="6:6">
      <c r="F13548" s="2423"/>
    </row>
    <row r="13549" spans="6:6">
      <c r="F13549" s="2423"/>
    </row>
    <row r="13550" spans="6:6">
      <c r="F13550" s="2423"/>
    </row>
    <row r="13551" spans="6:6">
      <c r="F13551" s="2423"/>
    </row>
    <row r="13552" spans="6:6">
      <c r="F13552" s="2423"/>
    </row>
    <row r="13553" spans="6:6">
      <c r="F13553" s="2423"/>
    </row>
    <row r="13554" spans="6:6">
      <c r="F13554" s="2423"/>
    </row>
    <row r="13555" spans="6:6">
      <c r="F13555" s="2423"/>
    </row>
    <row r="13556" spans="6:6">
      <c r="F13556" s="2423"/>
    </row>
    <row r="13557" spans="6:6">
      <c r="F13557" s="2423"/>
    </row>
    <row r="13558" spans="6:6">
      <c r="F13558" s="2423"/>
    </row>
    <row r="13559" spans="6:6">
      <c r="F13559" s="2423"/>
    </row>
    <row r="13560" spans="6:6">
      <c r="F13560" s="2423"/>
    </row>
    <row r="13561" spans="6:6">
      <c r="F13561" s="2423"/>
    </row>
    <row r="13562" spans="6:6">
      <c r="F13562" s="2423"/>
    </row>
    <row r="13563" spans="6:6">
      <c r="F13563" s="2423"/>
    </row>
    <row r="13564" spans="6:6">
      <c r="F13564" s="2423"/>
    </row>
    <row r="13565" spans="6:6">
      <c r="F13565" s="2423"/>
    </row>
    <row r="13566" spans="6:6">
      <c r="F13566" s="2423"/>
    </row>
    <row r="13567" spans="6:6">
      <c r="F13567" s="2423"/>
    </row>
    <row r="13568" spans="6:6">
      <c r="F13568" s="2423"/>
    </row>
    <row r="13569" spans="6:6">
      <c r="F13569" s="2423"/>
    </row>
    <row r="13570" spans="6:6">
      <c r="F13570" s="2423"/>
    </row>
    <row r="13571" spans="6:6">
      <c r="F13571" s="2423"/>
    </row>
    <row r="13572" spans="6:6">
      <c r="F13572" s="2423"/>
    </row>
    <row r="13573" spans="6:6">
      <c r="F13573" s="2423"/>
    </row>
    <row r="13574" spans="6:6">
      <c r="F13574" s="2423"/>
    </row>
    <row r="13575" spans="6:6">
      <c r="F13575" s="2423"/>
    </row>
    <row r="13576" spans="6:6">
      <c r="F13576" s="2423"/>
    </row>
    <row r="13577" spans="6:6">
      <c r="F13577" s="2423"/>
    </row>
    <row r="13578" spans="6:6">
      <c r="F13578" s="2423"/>
    </row>
    <row r="13579" spans="6:6">
      <c r="F13579" s="2423"/>
    </row>
    <row r="13580" spans="6:6">
      <c r="F13580" s="2423"/>
    </row>
    <row r="13581" spans="6:6">
      <c r="F13581" s="2423"/>
    </row>
    <row r="13582" spans="6:6">
      <c r="F13582" s="2423"/>
    </row>
    <row r="13583" spans="6:6">
      <c r="F13583" s="2423"/>
    </row>
    <row r="13584" spans="6:6">
      <c r="F13584" s="2423"/>
    </row>
    <row r="13585" spans="6:6">
      <c r="F13585" s="2423"/>
    </row>
    <row r="13586" spans="6:6">
      <c r="F13586" s="2423"/>
    </row>
    <row r="13587" spans="6:6">
      <c r="F13587" s="2423"/>
    </row>
    <row r="13588" spans="6:6">
      <c r="F13588" s="2423"/>
    </row>
    <row r="13589" spans="6:6">
      <c r="F13589" s="2423"/>
    </row>
    <row r="13590" spans="6:6">
      <c r="F13590" s="2423"/>
    </row>
    <row r="13591" spans="6:6">
      <c r="F13591" s="2423"/>
    </row>
    <row r="13592" spans="6:6">
      <c r="F13592" s="2423"/>
    </row>
    <row r="13593" spans="6:6">
      <c r="F13593" s="2423"/>
    </row>
    <row r="13594" spans="6:6">
      <c r="F13594" s="2423"/>
    </row>
    <row r="13595" spans="6:6">
      <c r="F13595" s="2423"/>
    </row>
    <row r="13596" spans="6:6">
      <c r="F13596" s="2423"/>
    </row>
    <row r="13597" spans="6:6">
      <c r="F13597" s="2423"/>
    </row>
    <row r="13598" spans="6:6">
      <c r="F13598" s="2423"/>
    </row>
    <row r="13599" spans="6:6">
      <c r="F13599" s="2423"/>
    </row>
    <row r="13600" spans="6:6">
      <c r="F13600" s="2423"/>
    </row>
    <row r="13601" spans="6:6">
      <c r="F13601" s="2423"/>
    </row>
    <row r="13602" spans="6:6">
      <c r="F13602" s="2423"/>
    </row>
    <row r="13603" spans="6:6">
      <c r="F13603" s="2423"/>
    </row>
    <row r="13604" spans="6:6">
      <c r="F13604" s="2423"/>
    </row>
    <row r="13605" spans="6:6">
      <c r="F13605" s="2423"/>
    </row>
    <row r="13606" spans="6:6">
      <c r="F13606" s="2423"/>
    </row>
    <row r="13607" spans="6:6">
      <c r="F13607" s="2423"/>
    </row>
    <row r="13608" spans="6:6">
      <c r="F13608" s="2423"/>
    </row>
    <row r="13609" spans="6:6">
      <c r="F13609" s="2423"/>
    </row>
    <row r="13610" spans="6:6">
      <c r="F13610" s="2423"/>
    </row>
    <row r="13611" spans="6:6">
      <c r="F13611" s="2423"/>
    </row>
    <row r="13612" spans="6:6">
      <c r="F13612" s="2423"/>
    </row>
    <row r="13613" spans="6:6">
      <c r="F13613" s="2423"/>
    </row>
    <row r="13614" spans="6:6">
      <c r="F13614" s="2423"/>
    </row>
    <row r="13615" spans="6:6">
      <c r="F13615" s="2423"/>
    </row>
    <row r="13616" spans="6:6">
      <c r="F13616" s="2423"/>
    </row>
    <row r="13617" spans="6:6">
      <c r="F13617" s="2423"/>
    </row>
    <row r="13618" spans="6:6">
      <c r="F13618" s="2423"/>
    </row>
    <row r="13619" spans="6:6">
      <c r="F13619" s="2423"/>
    </row>
    <row r="13620" spans="6:6">
      <c r="F13620" s="2423"/>
    </row>
    <row r="13621" spans="6:6">
      <c r="F13621" s="2423"/>
    </row>
    <row r="13622" spans="6:6">
      <c r="F13622" s="2423"/>
    </row>
    <row r="13623" spans="6:6">
      <c r="F13623" s="2423"/>
    </row>
    <row r="13624" spans="6:6">
      <c r="F13624" s="2423"/>
    </row>
    <row r="13625" spans="6:6">
      <c r="F13625" s="2423"/>
    </row>
    <row r="13626" spans="6:6">
      <c r="F13626" s="2423"/>
    </row>
    <row r="13627" spans="6:6">
      <c r="F13627" s="2423"/>
    </row>
    <row r="13628" spans="6:6">
      <c r="F13628" s="2423"/>
    </row>
    <row r="13629" spans="6:6">
      <c r="F13629" s="2423"/>
    </row>
    <row r="13630" spans="6:6">
      <c r="F13630" s="2423"/>
    </row>
    <row r="13631" spans="6:6">
      <c r="F13631" s="2423"/>
    </row>
    <row r="13632" spans="6:6">
      <c r="F13632" s="2423"/>
    </row>
    <row r="13633" spans="6:6">
      <c r="F13633" s="2423"/>
    </row>
    <row r="13634" spans="6:6">
      <c r="F13634" s="2423"/>
    </row>
    <row r="13635" spans="6:6">
      <c r="F13635" s="2423"/>
    </row>
    <row r="13636" spans="6:6">
      <c r="F13636" s="2423"/>
    </row>
    <row r="13637" spans="6:6">
      <c r="F13637" s="2423"/>
    </row>
    <row r="13638" spans="6:6">
      <c r="F13638" s="2423"/>
    </row>
    <row r="13639" spans="6:6">
      <c r="F13639" s="2423"/>
    </row>
    <row r="13640" spans="6:6">
      <c r="F13640" s="2423"/>
    </row>
    <row r="13641" spans="6:6">
      <c r="F13641" s="2423"/>
    </row>
    <row r="13642" spans="6:6">
      <c r="F13642" s="2423"/>
    </row>
    <row r="13643" spans="6:6">
      <c r="F13643" s="2423"/>
    </row>
    <row r="13644" spans="6:6">
      <c r="F13644" s="2423"/>
    </row>
    <row r="13645" spans="6:6">
      <c r="F13645" s="2423"/>
    </row>
    <row r="13646" spans="6:6">
      <c r="F13646" s="2423"/>
    </row>
    <row r="13647" spans="6:6">
      <c r="F13647" s="2423"/>
    </row>
    <row r="13648" spans="6:6">
      <c r="F13648" s="2423"/>
    </row>
    <row r="13649" spans="6:6">
      <c r="F13649" s="2423"/>
    </row>
    <row r="13650" spans="6:6">
      <c r="F13650" s="2423"/>
    </row>
    <row r="13651" spans="6:6">
      <c r="F13651" s="2423"/>
    </row>
    <row r="13652" spans="6:6">
      <c r="F13652" s="2423"/>
    </row>
    <row r="13653" spans="6:6">
      <c r="F13653" s="2423"/>
    </row>
    <row r="13654" spans="6:6">
      <c r="F13654" s="2423"/>
    </row>
    <row r="13655" spans="6:6">
      <c r="F13655" s="2423"/>
    </row>
    <row r="13656" spans="6:6">
      <c r="F13656" s="2423"/>
    </row>
    <row r="13657" spans="6:6">
      <c r="F13657" s="2423"/>
    </row>
    <row r="13658" spans="6:6">
      <c r="F13658" s="2423"/>
    </row>
    <row r="13659" spans="6:6">
      <c r="F13659" s="2423"/>
    </row>
    <row r="13660" spans="6:6">
      <c r="F13660" s="2423"/>
    </row>
    <row r="13661" spans="6:6">
      <c r="F13661" s="2423"/>
    </row>
    <row r="13662" spans="6:6">
      <c r="F13662" s="2423"/>
    </row>
    <row r="13663" spans="6:6">
      <c r="F13663" s="2423"/>
    </row>
    <row r="13664" spans="6:6">
      <c r="F13664" s="2423"/>
    </row>
    <row r="13665" spans="6:6">
      <c r="F13665" s="2423"/>
    </row>
    <row r="13666" spans="6:6">
      <c r="F13666" s="2423"/>
    </row>
    <row r="13667" spans="6:6">
      <c r="F13667" s="2423"/>
    </row>
    <row r="13668" spans="6:6">
      <c r="F13668" s="2423"/>
    </row>
    <row r="13669" spans="6:6">
      <c r="F13669" s="2423"/>
    </row>
    <row r="13670" spans="6:6">
      <c r="F13670" s="2423"/>
    </row>
    <row r="13671" spans="6:6">
      <c r="F13671" s="2423"/>
    </row>
    <row r="13672" spans="6:6">
      <c r="F13672" s="2423"/>
    </row>
    <row r="13673" spans="6:6">
      <c r="F13673" s="2423"/>
    </row>
    <row r="13674" spans="6:6">
      <c r="F13674" s="2423"/>
    </row>
    <row r="13675" spans="6:6">
      <c r="F13675" s="2423"/>
    </row>
    <row r="13676" spans="6:6">
      <c r="F13676" s="2423"/>
    </row>
    <row r="13677" spans="6:6">
      <c r="F13677" s="2423"/>
    </row>
    <row r="13678" spans="6:6">
      <c r="F13678" s="2423"/>
    </row>
    <row r="13679" spans="6:6">
      <c r="F13679" s="2423"/>
    </row>
    <row r="13680" spans="6:6">
      <c r="F13680" s="2423"/>
    </row>
    <row r="13681" spans="6:6">
      <c r="F13681" s="2423"/>
    </row>
    <row r="13682" spans="6:6">
      <c r="F13682" s="2423"/>
    </row>
    <row r="13683" spans="6:6">
      <c r="F13683" s="2423"/>
    </row>
    <row r="13684" spans="6:6">
      <c r="F13684" s="2423"/>
    </row>
    <row r="13685" spans="6:6">
      <c r="F13685" s="2423"/>
    </row>
    <row r="13686" spans="6:6">
      <c r="F13686" s="2423"/>
    </row>
    <row r="13687" spans="6:6">
      <c r="F13687" s="2423"/>
    </row>
    <row r="13688" spans="6:6">
      <c r="F13688" s="2423"/>
    </row>
    <row r="13689" spans="6:6">
      <c r="F13689" s="2423"/>
    </row>
    <row r="13690" spans="6:6">
      <c r="F13690" s="2423"/>
    </row>
    <row r="13691" spans="6:6">
      <c r="F13691" s="2423"/>
    </row>
    <row r="13692" spans="6:6">
      <c r="F13692" s="2423"/>
    </row>
    <row r="13693" spans="6:6">
      <c r="F13693" s="2423"/>
    </row>
    <row r="13694" spans="6:6">
      <c r="F13694" s="2423"/>
    </row>
    <row r="13695" spans="6:6">
      <c r="F13695" s="2423"/>
    </row>
    <row r="13696" spans="6:6">
      <c r="F13696" s="2423"/>
    </row>
    <row r="13697" spans="6:6">
      <c r="F13697" s="2423"/>
    </row>
    <row r="13698" spans="6:6">
      <c r="F13698" s="2423"/>
    </row>
    <row r="13699" spans="6:6">
      <c r="F13699" s="2423"/>
    </row>
    <row r="13700" spans="6:6">
      <c r="F13700" s="2423"/>
    </row>
    <row r="13701" spans="6:6">
      <c r="F13701" s="2423"/>
    </row>
    <row r="13702" spans="6:6">
      <c r="F13702" s="2423"/>
    </row>
    <row r="13703" spans="6:6">
      <c r="F13703" s="2423"/>
    </row>
    <row r="13704" spans="6:6">
      <c r="F13704" s="2423"/>
    </row>
    <row r="13705" spans="6:6">
      <c r="F13705" s="2423"/>
    </row>
    <row r="13706" spans="6:6">
      <c r="F13706" s="2423"/>
    </row>
    <row r="13707" spans="6:6">
      <c r="F13707" s="2423"/>
    </row>
    <row r="13708" spans="6:6">
      <c r="F13708" s="2423"/>
    </row>
    <row r="13709" spans="6:6">
      <c r="F13709" s="2423"/>
    </row>
    <row r="13710" spans="6:6">
      <c r="F13710" s="2423"/>
    </row>
    <row r="13711" spans="6:6">
      <c r="F13711" s="2423"/>
    </row>
    <row r="13712" spans="6:6">
      <c r="F13712" s="2423"/>
    </row>
    <row r="13713" spans="6:6">
      <c r="F13713" s="2423"/>
    </row>
    <row r="13714" spans="6:6">
      <c r="F13714" s="2423"/>
    </row>
    <row r="13715" spans="6:6">
      <c r="F13715" s="2423"/>
    </row>
    <row r="13716" spans="6:6">
      <c r="F13716" s="2423"/>
    </row>
    <row r="13717" spans="6:6">
      <c r="F13717" s="2423"/>
    </row>
    <row r="13718" spans="6:6">
      <c r="F13718" s="2423"/>
    </row>
    <row r="13719" spans="6:6">
      <c r="F13719" s="2423"/>
    </row>
    <row r="13720" spans="6:6">
      <c r="F13720" s="2423"/>
    </row>
    <row r="13721" spans="6:6">
      <c r="F13721" s="2423"/>
    </row>
    <row r="13722" spans="6:6">
      <c r="F13722" s="2423"/>
    </row>
    <row r="13723" spans="6:6">
      <c r="F13723" s="2423"/>
    </row>
    <row r="13724" spans="6:6">
      <c r="F13724" s="2423"/>
    </row>
    <row r="13725" spans="6:6">
      <c r="F13725" s="2423"/>
    </row>
    <row r="13726" spans="6:6">
      <c r="F13726" s="2423"/>
    </row>
    <row r="13727" spans="6:6">
      <c r="F13727" s="2423"/>
    </row>
    <row r="13728" spans="6:6">
      <c r="F13728" s="2423"/>
    </row>
    <row r="13729" spans="6:6">
      <c r="F13729" s="2423"/>
    </row>
    <row r="13730" spans="6:6">
      <c r="F13730" s="2423"/>
    </row>
    <row r="13731" spans="6:6">
      <c r="F13731" s="2423"/>
    </row>
    <row r="13732" spans="6:6">
      <c r="F13732" s="2423"/>
    </row>
    <row r="13733" spans="6:6">
      <c r="F13733" s="2423"/>
    </row>
    <row r="13734" spans="6:6">
      <c r="F13734" s="2423"/>
    </row>
    <row r="13735" spans="6:6">
      <c r="F13735" s="2423"/>
    </row>
    <row r="13736" spans="6:6">
      <c r="F13736" s="2423"/>
    </row>
    <row r="13737" spans="6:6">
      <c r="F13737" s="2423"/>
    </row>
    <row r="13738" spans="6:6">
      <c r="F13738" s="2423"/>
    </row>
    <row r="13739" spans="6:6">
      <c r="F13739" s="2423"/>
    </row>
    <row r="13740" spans="6:6">
      <c r="F13740" s="2423"/>
    </row>
    <row r="13741" spans="6:6">
      <c r="F13741" s="2423"/>
    </row>
    <row r="13742" spans="6:6">
      <c r="F13742" s="2423"/>
    </row>
    <row r="13743" spans="6:6">
      <c r="F13743" s="2423"/>
    </row>
    <row r="13744" spans="6:6">
      <c r="F13744" s="2423"/>
    </row>
    <row r="13745" spans="6:6">
      <c r="F13745" s="2423"/>
    </row>
    <row r="13746" spans="6:6">
      <c r="F13746" s="2423"/>
    </row>
    <row r="13747" spans="6:6">
      <c r="F13747" s="2423"/>
    </row>
    <row r="13748" spans="6:6">
      <c r="F13748" s="2423"/>
    </row>
    <row r="13749" spans="6:6">
      <c r="F13749" s="2423"/>
    </row>
    <row r="13750" spans="6:6">
      <c r="F13750" s="2423"/>
    </row>
    <row r="13751" spans="6:6">
      <c r="F13751" s="2423"/>
    </row>
    <row r="13752" spans="6:6">
      <c r="F13752" s="2423"/>
    </row>
    <row r="13753" spans="6:6">
      <c r="F13753" s="2423"/>
    </row>
    <row r="13754" spans="6:6">
      <c r="F13754" s="2423"/>
    </row>
    <row r="13755" spans="6:6">
      <c r="F13755" s="2423"/>
    </row>
    <row r="13756" spans="6:6">
      <c r="F13756" s="2423"/>
    </row>
    <row r="13757" spans="6:6">
      <c r="F13757" s="2423"/>
    </row>
    <row r="13758" spans="6:6">
      <c r="F13758" s="2423"/>
    </row>
    <row r="13759" spans="6:6">
      <c r="F13759" s="2423"/>
    </row>
    <row r="13760" spans="6:6">
      <c r="F13760" s="2423"/>
    </row>
    <row r="13761" spans="6:6">
      <c r="F13761" s="2423"/>
    </row>
    <row r="13762" spans="6:6">
      <c r="F13762" s="2423"/>
    </row>
    <row r="13763" spans="6:6">
      <c r="F13763" s="2423"/>
    </row>
    <row r="13764" spans="6:6">
      <c r="F13764" s="2423"/>
    </row>
    <row r="13765" spans="6:6">
      <c r="F13765" s="2423"/>
    </row>
    <row r="13766" spans="6:6">
      <c r="F13766" s="2423"/>
    </row>
    <row r="13767" spans="6:6">
      <c r="F13767" s="2423"/>
    </row>
    <row r="13768" spans="6:6">
      <c r="F13768" s="2423"/>
    </row>
    <row r="13769" spans="6:6">
      <c r="F13769" s="2423"/>
    </row>
    <row r="13770" spans="6:6">
      <c r="F13770" s="2423"/>
    </row>
    <row r="13771" spans="6:6">
      <c r="F13771" s="2423"/>
    </row>
    <row r="13772" spans="6:6">
      <c r="F13772" s="2423"/>
    </row>
    <row r="13773" spans="6:6">
      <c r="F13773" s="2423"/>
    </row>
    <row r="13774" spans="6:6">
      <c r="F13774" s="2423"/>
    </row>
    <row r="13775" spans="6:6">
      <c r="F13775" s="2423"/>
    </row>
    <row r="13776" spans="6:6">
      <c r="F13776" s="2423"/>
    </row>
    <row r="13777" spans="6:6">
      <c r="F13777" s="2423"/>
    </row>
    <row r="13778" spans="6:6">
      <c r="F13778" s="2423"/>
    </row>
    <row r="13779" spans="6:6">
      <c r="F13779" s="2423"/>
    </row>
    <row r="13780" spans="6:6">
      <c r="F13780" s="2423"/>
    </row>
    <row r="13781" spans="6:6">
      <c r="F13781" s="2423"/>
    </row>
    <row r="13782" spans="6:6">
      <c r="F13782" s="2423"/>
    </row>
    <row r="13783" spans="6:6">
      <c r="F13783" s="2423"/>
    </row>
    <row r="13784" spans="6:6">
      <c r="F13784" s="2423"/>
    </row>
    <row r="13785" spans="6:6">
      <c r="F13785" s="2423"/>
    </row>
    <row r="13786" spans="6:6">
      <c r="F13786" s="2423"/>
    </row>
    <row r="13787" spans="6:6">
      <c r="F13787" s="2423"/>
    </row>
    <row r="13788" spans="6:6">
      <c r="F13788" s="2423"/>
    </row>
    <row r="13789" spans="6:6">
      <c r="F13789" s="2423"/>
    </row>
    <row r="13790" spans="6:6">
      <c r="F13790" s="2423"/>
    </row>
    <row r="13791" spans="6:6">
      <c r="F13791" s="2423"/>
    </row>
    <row r="13792" spans="6:6">
      <c r="F13792" s="2423"/>
    </row>
    <row r="13793" spans="6:6">
      <c r="F13793" s="2423"/>
    </row>
    <row r="13794" spans="6:6">
      <c r="F13794" s="2423"/>
    </row>
    <row r="13795" spans="6:6">
      <c r="F13795" s="2423"/>
    </row>
    <row r="13796" spans="6:6">
      <c r="F13796" s="2423"/>
    </row>
    <row r="13797" spans="6:6">
      <c r="F13797" s="2423"/>
    </row>
    <row r="13798" spans="6:6">
      <c r="F13798" s="2423"/>
    </row>
    <row r="13799" spans="6:6">
      <c r="F13799" s="2423"/>
    </row>
    <row r="13800" spans="6:6">
      <c r="F13800" s="2423"/>
    </row>
    <row r="13801" spans="6:6">
      <c r="F13801" s="2423"/>
    </row>
    <row r="13802" spans="6:6">
      <c r="F13802" s="2423"/>
    </row>
    <row r="13803" spans="6:6">
      <c r="F13803" s="2423"/>
    </row>
    <row r="13804" spans="6:6">
      <c r="F13804" s="2423"/>
    </row>
    <row r="13805" spans="6:6">
      <c r="F13805" s="2423"/>
    </row>
    <row r="13806" spans="6:6">
      <c r="F13806" s="2423"/>
    </row>
    <row r="13807" spans="6:6">
      <c r="F13807" s="2423"/>
    </row>
    <row r="13808" spans="6:6">
      <c r="F13808" s="2423"/>
    </row>
    <row r="13809" spans="6:6">
      <c r="F13809" s="2423"/>
    </row>
    <row r="13810" spans="6:6">
      <c r="F13810" s="2423"/>
    </row>
    <row r="13811" spans="6:6">
      <c r="F13811" s="2423"/>
    </row>
    <row r="13812" spans="6:6">
      <c r="F13812" s="2423"/>
    </row>
    <row r="13813" spans="6:6">
      <c r="F13813" s="2423"/>
    </row>
    <row r="13814" spans="6:6">
      <c r="F13814" s="2423"/>
    </row>
    <row r="13815" spans="6:6">
      <c r="F13815" s="2423"/>
    </row>
    <row r="13816" spans="6:6">
      <c r="F13816" s="2423"/>
    </row>
    <row r="13817" spans="6:6">
      <c r="F13817" s="2423"/>
    </row>
    <row r="13818" spans="6:6">
      <c r="F13818" s="2423"/>
    </row>
    <row r="13819" spans="6:6">
      <c r="F13819" s="2423"/>
    </row>
    <row r="13820" spans="6:6">
      <c r="F13820" s="2423"/>
    </row>
    <row r="13821" spans="6:6">
      <c r="F13821" s="2423"/>
    </row>
    <row r="13822" spans="6:6">
      <c r="F13822" s="2423"/>
    </row>
    <row r="13823" spans="6:6">
      <c r="F13823" s="2423"/>
    </row>
    <row r="13824" spans="6:6">
      <c r="F13824" s="2423"/>
    </row>
    <row r="13825" spans="6:6">
      <c r="F13825" s="2423"/>
    </row>
    <row r="13826" spans="6:6">
      <c r="F13826" s="2423"/>
    </row>
    <row r="13827" spans="6:6">
      <c r="F13827" s="2423"/>
    </row>
    <row r="13828" spans="6:6">
      <c r="F13828" s="2423"/>
    </row>
    <row r="13829" spans="6:6">
      <c r="F13829" s="2423"/>
    </row>
    <row r="13830" spans="6:6">
      <c r="F13830" s="2423"/>
    </row>
    <row r="13831" spans="6:6">
      <c r="F13831" s="2423"/>
    </row>
    <row r="13832" spans="6:6">
      <c r="F13832" s="2423"/>
    </row>
    <row r="13833" spans="6:6">
      <c r="F13833" s="2423"/>
    </row>
    <row r="13834" spans="6:6">
      <c r="F13834" s="2423"/>
    </row>
    <row r="13835" spans="6:6">
      <c r="F13835" s="2423"/>
    </row>
    <row r="13836" spans="6:6">
      <c r="F13836" s="2423"/>
    </row>
    <row r="13837" spans="6:6">
      <c r="F13837" s="2423"/>
    </row>
    <row r="13838" spans="6:6">
      <c r="F13838" s="2423"/>
    </row>
    <row r="13839" spans="6:6">
      <c r="F13839" s="2423"/>
    </row>
    <row r="13840" spans="6:6">
      <c r="F13840" s="2423"/>
    </row>
    <row r="13841" spans="6:6">
      <c r="F13841" s="2423"/>
    </row>
    <row r="13842" spans="6:6">
      <c r="F13842" s="2423"/>
    </row>
    <row r="13843" spans="6:6">
      <c r="F13843" s="2423"/>
    </row>
    <row r="13844" spans="6:6">
      <c r="F13844" s="2423"/>
    </row>
    <row r="13845" spans="6:6">
      <c r="F13845" s="2423"/>
    </row>
    <row r="13846" spans="6:6">
      <c r="F13846" s="2423"/>
    </row>
    <row r="13847" spans="6:6">
      <c r="F13847" s="2423"/>
    </row>
    <row r="13848" spans="6:6">
      <c r="F13848" s="2423"/>
    </row>
    <row r="13849" spans="6:6">
      <c r="F13849" s="2423"/>
    </row>
    <row r="13850" spans="6:6">
      <c r="F13850" s="2423"/>
    </row>
    <row r="13851" spans="6:6">
      <c r="F13851" s="2423"/>
    </row>
    <row r="13852" spans="6:6">
      <c r="F13852" s="2423"/>
    </row>
    <row r="13853" spans="6:6">
      <c r="F13853" s="2423"/>
    </row>
    <row r="13854" spans="6:6">
      <c r="F13854" s="2423"/>
    </row>
    <row r="13855" spans="6:6">
      <c r="F13855" s="2423"/>
    </row>
    <row r="13856" spans="6:6">
      <c r="F13856" s="2423"/>
    </row>
    <row r="13857" spans="6:6">
      <c r="F13857" s="2423"/>
    </row>
    <row r="13858" spans="6:6">
      <c r="F13858" s="2423"/>
    </row>
    <row r="13859" spans="6:6">
      <c r="F13859" s="2423"/>
    </row>
    <row r="13860" spans="6:6">
      <c r="F13860" s="2423"/>
    </row>
    <row r="13861" spans="6:6">
      <c r="F13861" s="2423"/>
    </row>
    <row r="13862" spans="6:6">
      <c r="F13862" s="2423"/>
    </row>
    <row r="13863" spans="6:6">
      <c r="F13863" s="2423"/>
    </row>
    <row r="13864" spans="6:6">
      <c r="F13864" s="2423"/>
    </row>
    <row r="13865" spans="6:6">
      <c r="F13865" s="2423"/>
    </row>
    <row r="13866" spans="6:6">
      <c r="F13866" s="2423"/>
    </row>
    <row r="13867" spans="6:6">
      <c r="F13867" s="2423"/>
    </row>
    <row r="13868" spans="6:6">
      <c r="F13868" s="2423"/>
    </row>
    <row r="13869" spans="6:6">
      <c r="F13869" s="2423"/>
    </row>
    <row r="13870" spans="6:6">
      <c r="F13870" s="2423"/>
    </row>
    <row r="13871" spans="6:6">
      <c r="F13871" s="2423"/>
    </row>
    <row r="13872" spans="6:6">
      <c r="F13872" s="2423"/>
    </row>
    <row r="13873" spans="6:6">
      <c r="F13873" s="2423"/>
    </row>
    <row r="13874" spans="6:6">
      <c r="F13874" s="2423"/>
    </row>
    <row r="13875" spans="6:6">
      <c r="F13875" s="2423"/>
    </row>
    <row r="13876" spans="6:6">
      <c r="F13876" s="2423"/>
    </row>
    <row r="13877" spans="6:6">
      <c r="F13877" s="2423"/>
    </row>
    <row r="13878" spans="6:6">
      <c r="F13878" s="2423"/>
    </row>
    <row r="13879" spans="6:6">
      <c r="F13879" s="2423"/>
    </row>
    <row r="13880" spans="6:6">
      <c r="F13880" s="2423"/>
    </row>
    <row r="13881" spans="6:6">
      <c r="F13881" s="2423"/>
    </row>
    <row r="13882" spans="6:6">
      <c r="F13882" s="2423"/>
    </row>
    <row r="13883" spans="6:6">
      <c r="F13883" s="2423"/>
    </row>
    <row r="13884" spans="6:6">
      <c r="F13884" s="2423"/>
    </row>
    <row r="13885" spans="6:6">
      <c r="F13885" s="2423"/>
    </row>
    <row r="13886" spans="6:6">
      <c r="F13886" s="2423"/>
    </row>
    <row r="13887" spans="6:6">
      <c r="F13887" s="2423"/>
    </row>
    <row r="13888" spans="6:6">
      <c r="F13888" s="2423"/>
    </row>
    <row r="13889" spans="6:6">
      <c r="F13889" s="2423"/>
    </row>
    <row r="13890" spans="6:6">
      <c r="F13890" s="2423"/>
    </row>
    <row r="13891" spans="6:6">
      <c r="F13891" s="2423"/>
    </row>
    <row r="13892" spans="6:6">
      <c r="F13892" s="2423"/>
    </row>
    <row r="13893" spans="6:6">
      <c r="F13893" s="2423"/>
    </row>
    <row r="13894" spans="6:6">
      <c r="F13894" s="2423"/>
    </row>
    <row r="13895" spans="6:6">
      <c r="F13895" s="2423"/>
    </row>
    <row r="13896" spans="6:6">
      <c r="F13896" s="2423"/>
    </row>
    <row r="13897" spans="6:6">
      <c r="F13897" s="2423"/>
    </row>
    <row r="13898" spans="6:6">
      <c r="F13898" s="2423"/>
    </row>
    <row r="13899" spans="6:6">
      <c r="F13899" s="2423"/>
    </row>
    <row r="13900" spans="6:6">
      <c r="F13900" s="2423"/>
    </row>
    <row r="13901" spans="6:6">
      <c r="F13901" s="2423"/>
    </row>
    <row r="13902" spans="6:6">
      <c r="F13902" s="2423"/>
    </row>
    <row r="13903" spans="6:6">
      <c r="F13903" s="2423"/>
    </row>
    <row r="13904" spans="6:6">
      <c r="F13904" s="2423"/>
    </row>
    <row r="13905" spans="6:6">
      <c r="F13905" s="2423"/>
    </row>
    <row r="13906" spans="6:6">
      <c r="F13906" s="2423"/>
    </row>
    <row r="13907" spans="6:6">
      <c r="F13907" s="2423"/>
    </row>
    <row r="13908" spans="6:6">
      <c r="F13908" s="2423"/>
    </row>
    <row r="13909" spans="6:6">
      <c r="F13909" s="2423"/>
    </row>
    <row r="13910" spans="6:6">
      <c r="F13910" s="2423"/>
    </row>
    <row r="13911" spans="6:6">
      <c r="F13911" s="2423"/>
    </row>
    <row r="13912" spans="6:6">
      <c r="F13912" s="2423"/>
    </row>
    <row r="13913" spans="6:6">
      <c r="F13913" s="2423"/>
    </row>
    <row r="13914" spans="6:6">
      <c r="F13914" s="2423"/>
    </row>
    <row r="13915" spans="6:6">
      <c r="F13915" s="2423"/>
    </row>
    <row r="13916" spans="6:6">
      <c r="F13916" s="2423"/>
    </row>
    <row r="13917" spans="6:6">
      <c r="F13917" s="2423"/>
    </row>
    <row r="13918" spans="6:6">
      <c r="F13918" s="2423"/>
    </row>
    <row r="13919" spans="6:6">
      <c r="F13919" s="2423"/>
    </row>
    <row r="13920" spans="6:6">
      <c r="F13920" s="2423"/>
    </row>
    <row r="13921" spans="6:6">
      <c r="F13921" s="2423"/>
    </row>
    <row r="13922" spans="6:6">
      <c r="F13922" s="2423"/>
    </row>
    <row r="13923" spans="6:6">
      <c r="F13923" s="2423"/>
    </row>
    <row r="13924" spans="6:6">
      <c r="F13924" s="2423"/>
    </row>
    <row r="13925" spans="6:6">
      <c r="F13925" s="2423"/>
    </row>
    <row r="13926" spans="6:6">
      <c r="F13926" s="2423"/>
    </row>
    <row r="13927" spans="6:6">
      <c r="F13927" s="2423"/>
    </row>
    <row r="13928" spans="6:6">
      <c r="F13928" s="2423"/>
    </row>
    <row r="13929" spans="6:6">
      <c r="F13929" s="2423"/>
    </row>
    <row r="13930" spans="6:6">
      <c r="F13930" s="2423"/>
    </row>
    <row r="13931" spans="6:6">
      <c r="F13931" s="2423"/>
    </row>
    <row r="13932" spans="6:6">
      <c r="F13932" s="2423"/>
    </row>
    <row r="13933" spans="6:6">
      <c r="F13933" s="2423"/>
    </row>
    <row r="13934" spans="6:6">
      <c r="F13934" s="2423"/>
    </row>
    <row r="13935" spans="6:6">
      <c r="F13935" s="2423"/>
    </row>
    <row r="13936" spans="6:6">
      <c r="F13936" s="2423"/>
    </row>
    <row r="13937" spans="6:6">
      <c r="F13937" s="2423"/>
    </row>
    <row r="13938" spans="6:6">
      <c r="F13938" s="2423"/>
    </row>
    <row r="13939" spans="6:6">
      <c r="F13939" s="2423"/>
    </row>
    <row r="13940" spans="6:6">
      <c r="F13940" s="2423"/>
    </row>
    <row r="13941" spans="6:6">
      <c r="F13941" s="2423"/>
    </row>
    <row r="13942" spans="6:6">
      <c r="F13942" s="2423"/>
    </row>
    <row r="13943" spans="6:6">
      <c r="F13943" s="2423"/>
    </row>
    <row r="13944" spans="6:6">
      <c r="F13944" s="2423"/>
    </row>
    <row r="13945" spans="6:6">
      <c r="F13945" s="2423"/>
    </row>
    <row r="13946" spans="6:6">
      <c r="F13946" s="2423"/>
    </row>
    <row r="13947" spans="6:6">
      <c r="F13947" s="2423"/>
    </row>
    <row r="13948" spans="6:6">
      <c r="F13948" s="2423"/>
    </row>
    <row r="13949" spans="6:6">
      <c r="F13949" s="2423"/>
    </row>
    <row r="13950" spans="6:6">
      <c r="F13950" s="2423"/>
    </row>
    <row r="13951" spans="6:6">
      <c r="F13951" s="2423"/>
    </row>
    <row r="13952" spans="6:6">
      <c r="F13952" s="2423"/>
    </row>
    <row r="13953" spans="6:6">
      <c r="F13953" s="2423"/>
    </row>
    <row r="13954" spans="6:6">
      <c r="F13954" s="2423"/>
    </row>
    <row r="13955" spans="6:6">
      <c r="F13955" s="2423"/>
    </row>
    <row r="13956" spans="6:6">
      <c r="F13956" s="2423"/>
    </row>
    <row r="13957" spans="6:6">
      <c r="F13957" s="2423"/>
    </row>
    <row r="13958" spans="6:6">
      <c r="F13958" s="2423"/>
    </row>
    <row r="13959" spans="6:6">
      <c r="F13959" s="2423"/>
    </row>
    <row r="13960" spans="6:6">
      <c r="F13960" s="2423"/>
    </row>
    <row r="13961" spans="6:6">
      <c r="F13961" s="2423"/>
    </row>
    <row r="13962" spans="6:6">
      <c r="F13962" s="2423"/>
    </row>
    <row r="13963" spans="6:6">
      <c r="F13963" s="2423"/>
    </row>
    <row r="13964" spans="6:6">
      <c r="F13964" s="2423"/>
    </row>
    <row r="13965" spans="6:6">
      <c r="F13965" s="2423"/>
    </row>
    <row r="13966" spans="6:6">
      <c r="F13966" s="2423"/>
    </row>
    <row r="13967" spans="6:6">
      <c r="F13967" s="2423"/>
    </row>
    <row r="13968" spans="6:6">
      <c r="F13968" s="2423"/>
    </row>
    <row r="13969" spans="6:6">
      <c r="F13969" s="2423"/>
    </row>
    <row r="13970" spans="6:6">
      <c r="F13970" s="2423"/>
    </row>
    <row r="13971" spans="6:6">
      <c r="F13971" s="2423"/>
    </row>
    <row r="13972" spans="6:6">
      <c r="F13972" s="2423"/>
    </row>
    <row r="13973" spans="6:6">
      <c r="F13973" s="2423"/>
    </row>
    <row r="13974" spans="6:6">
      <c r="F13974" s="2423"/>
    </row>
    <row r="13975" spans="6:6">
      <c r="F13975" s="2423"/>
    </row>
    <row r="13976" spans="6:6">
      <c r="F13976" s="2423"/>
    </row>
    <row r="13977" spans="6:6">
      <c r="F13977" s="2423"/>
    </row>
    <row r="13978" spans="6:6">
      <c r="F13978" s="2423"/>
    </row>
    <row r="13979" spans="6:6">
      <c r="F13979" s="2423"/>
    </row>
    <row r="13980" spans="6:6">
      <c r="F13980" s="2423"/>
    </row>
    <row r="13981" spans="6:6">
      <c r="F13981" s="2423"/>
    </row>
    <row r="13982" spans="6:6">
      <c r="F13982" s="2423"/>
    </row>
    <row r="13983" spans="6:6">
      <c r="F13983" s="2423"/>
    </row>
    <row r="13984" spans="6:6">
      <c r="F13984" s="2423"/>
    </row>
    <row r="13985" spans="6:6">
      <c r="F13985" s="2423"/>
    </row>
    <row r="13986" spans="6:6">
      <c r="F13986" s="2423"/>
    </row>
    <row r="13987" spans="6:6">
      <c r="F13987" s="2423"/>
    </row>
    <row r="13988" spans="6:6">
      <c r="F13988" s="2423"/>
    </row>
    <row r="13989" spans="6:6">
      <c r="F13989" s="2423"/>
    </row>
    <row r="13990" spans="6:6">
      <c r="F13990" s="2423"/>
    </row>
    <row r="13991" spans="6:6">
      <c r="F13991" s="2423"/>
    </row>
    <row r="13992" spans="6:6">
      <c r="F13992" s="2423"/>
    </row>
    <row r="13993" spans="6:6">
      <c r="F13993" s="2423"/>
    </row>
    <row r="13994" spans="6:6">
      <c r="F13994" s="2423"/>
    </row>
    <row r="13995" spans="6:6">
      <c r="F13995" s="2423"/>
    </row>
    <row r="13996" spans="6:6">
      <c r="F13996" s="2423"/>
    </row>
    <row r="13997" spans="6:6">
      <c r="F13997" s="2423"/>
    </row>
    <row r="13998" spans="6:6">
      <c r="F13998" s="2423"/>
    </row>
    <row r="13999" spans="6:6">
      <c r="F13999" s="2423"/>
    </row>
    <row r="14000" spans="6:6">
      <c r="F14000" s="2423"/>
    </row>
    <row r="14001" spans="6:6">
      <c r="F14001" s="2423"/>
    </row>
    <row r="14002" spans="6:6">
      <c r="F14002" s="2423"/>
    </row>
    <row r="14003" spans="6:6">
      <c r="F14003" s="2423"/>
    </row>
    <row r="14004" spans="6:6">
      <c r="F14004" s="2423"/>
    </row>
    <row r="14005" spans="6:6">
      <c r="F14005" s="2423"/>
    </row>
    <row r="14006" spans="6:6">
      <c r="F14006" s="2423"/>
    </row>
    <row r="14007" spans="6:6">
      <c r="F14007" s="2423"/>
    </row>
    <row r="14008" spans="6:6">
      <c r="F14008" s="2423"/>
    </row>
    <row r="14009" spans="6:6">
      <c r="F14009" s="2423"/>
    </row>
    <row r="14010" spans="6:6">
      <c r="F14010" s="2423"/>
    </row>
    <row r="14011" spans="6:6">
      <c r="F14011" s="2423"/>
    </row>
    <row r="14012" spans="6:6">
      <c r="F14012" s="2423"/>
    </row>
    <row r="14013" spans="6:6">
      <c r="F14013" s="2423"/>
    </row>
    <row r="14014" spans="6:6">
      <c r="F14014" s="2423"/>
    </row>
    <row r="14015" spans="6:6">
      <c r="F14015" s="2423"/>
    </row>
    <row r="14016" spans="6:6">
      <c r="F14016" s="2423"/>
    </row>
    <row r="14017" spans="6:6">
      <c r="F14017" s="2423"/>
    </row>
    <row r="14018" spans="6:6">
      <c r="F14018" s="2423"/>
    </row>
    <row r="14019" spans="6:6">
      <c r="F14019" s="2423"/>
    </row>
    <row r="14020" spans="6:6">
      <c r="F14020" s="2423"/>
    </row>
    <row r="14021" spans="6:6">
      <c r="F14021" s="2423"/>
    </row>
    <row r="14022" spans="6:6">
      <c r="F14022" s="2423"/>
    </row>
    <row r="14023" spans="6:6">
      <c r="F14023" s="2423"/>
    </row>
    <row r="14024" spans="6:6">
      <c r="F14024" s="2423"/>
    </row>
    <row r="14025" spans="6:6">
      <c r="F14025" s="2423"/>
    </row>
    <row r="14026" spans="6:6">
      <c r="F14026" s="2423"/>
    </row>
    <row r="14027" spans="6:6">
      <c r="F14027" s="2423"/>
    </row>
    <row r="14028" spans="6:6">
      <c r="F14028" s="2423"/>
    </row>
    <row r="14029" spans="6:6">
      <c r="F14029" s="2423"/>
    </row>
    <row r="14030" spans="6:6">
      <c r="F14030" s="2423"/>
    </row>
    <row r="14031" spans="6:6">
      <c r="F14031" s="2423"/>
    </row>
    <row r="14032" spans="6:6">
      <c r="F14032" s="2423"/>
    </row>
    <row r="14033" spans="6:6">
      <c r="F14033" s="2423"/>
    </row>
    <row r="14034" spans="6:6">
      <c r="F14034" s="2423"/>
    </row>
    <row r="14035" spans="6:6">
      <c r="F14035" s="2423"/>
    </row>
    <row r="14036" spans="6:6">
      <c r="F14036" s="2423"/>
    </row>
    <row r="14037" spans="6:6">
      <c r="F14037" s="2423"/>
    </row>
    <row r="14038" spans="6:6">
      <c r="F14038" s="2423"/>
    </row>
    <row r="14039" spans="6:6">
      <c r="F14039" s="2423"/>
    </row>
    <row r="14040" spans="6:6">
      <c r="F14040" s="2423"/>
    </row>
    <row r="14041" spans="6:6">
      <c r="F14041" s="2423"/>
    </row>
    <row r="14042" spans="6:6">
      <c r="F14042" s="2423"/>
    </row>
    <row r="14043" spans="6:6">
      <c r="F14043" s="2423"/>
    </row>
    <row r="14044" spans="6:6">
      <c r="F14044" s="2423"/>
    </row>
    <row r="14045" spans="6:6">
      <c r="F14045" s="2423"/>
    </row>
    <row r="14046" spans="6:6">
      <c r="F14046" s="2423"/>
    </row>
    <row r="14047" spans="6:6">
      <c r="F14047" s="2423"/>
    </row>
    <row r="14048" spans="6:6">
      <c r="F14048" s="2423"/>
    </row>
    <row r="14049" spans="6:6">
      <c r="F14049" s="2423"/>
    </row>
    <row r="14050" spans="6:6">
      <c r="F14050" s="2423"/>
    </row>
    <row r="14051" spans="6:6">
      <c r="F14051" s="2423"/>
    </row>
    <row r="14052" spans="6:6">
      <c r="F14052" s="2423"/>
    </row>
    <row r="14053" spans="6:6">
      <c r="F14053" s="2423"/>
    </row>
    <row r="14054" spans="6:6">
      <c r="F14054" s="2423"/>
    </row>
    <row r="14055" spans="6:6">
      <c r="F14055" s="2423"/>
    </row>
    <row r="14056" spans="6:6">
      <c r="F14056" s="2423"/>
    </row>
    <row r="14057" spans="6:6">
      <c r="F14057" s="2423"/>
    </row>
    <row r="14058" spans="6:6">
      <c r="F14058" s="2423"/>
    </row>
    <row r="14059" spans="6:6">
      <c r="F14059" s="2423"/>
    </row>
    <row r="14060" spans="6:6">
      <c r="F14060" s="2423"/>
    </row>
    <row r="14061" spans="6:6">
      <c r="F14061" s="2423"/>
    </row>
    <row r="14062" spans="6:6">
      <c r="F14062" s="2423"/>
    </row>
    <row r="14063" spans="6:6">
      <c r="F14063" s="2423"/>
    </row>
    <row r="14064" spans="6:6">
      <c r="F14064" s="2423"/>
    </row>
    <row r="14065" spans="6:6">
      <c r="F14065" s="2423"/>
    </row>
    <row r="14066" spans="6:6">
      <c r="F14066" s="2423"/>
    </row>
    <row r="14067" spans="6:6">
      <c r="F14067" s="2423"/>
    </row>
    <row r="14068" spans="6:6">
      <c r="F14068" s="2423"/>
    </row>
    <row r="14069" spans="6:6">
      <c r="F14069" s="2423"/>
    </row>
    <row r="14070" spans="6:6">
      <c r="F14070" s="2423"/>
    </row>
    <row r="14071" spans="6:6">
      <c r="F14071" s="2423"/>
    </row>
    <row r="14072" spans="6:6">
      <c r="F14072" s="2423"/>
    </row>
    <row r="14073" spans="6:6">
      <c r="F14073" s="2423"/>
    </row>
    <row r="14074" spans="6:6">
      <c r="F14074" s="2423"/>
    </row>
    <row r="14075" spans="6:6">
      <c r="F14075" s="2423"/>
    </row>
    <row r="14076" spans="6:6">
      <c r="F14076" s="2423"/>
    </row>
    <row r="14077" spans="6:6">
      <c r="F14077" s="2423"/>
    </row>
    <row r="14078" spans="6:6">
      <c r="F14078" s="2423"/>
    </row>
    <row r="14079" spans="6:6">
      <c r="F14079" s="2423"/>
    </row>
    <row r="14080" spans="6:6">
      <c r="F14080" s="2423"/>
    </row>
    <row r="14081" spans="6:6">
      <c r="F14081" s="2423"/>
    </row>
    <row r="14082" spans="6:6">
      <c r="F14082" s="2423"/>
    </row>
    <row r="14083" spans="6:6">
      <c r="F14083" s="2423"/>
    </row>
    <row r="14084" spans="6:6">
      <c r="F14084" s="2423"/>
    </row>
    <row r="14085" spans="6:6">
      <c r="F14085" s="2423"/>
    </row>
    <row r="14086" spans="6:6">
      <c r="F14086" s="2423"/>
    </row>
    <row r="14087" spans="6:6">
      <c r="F14087" s="2423"/>
    </row>
    <row r="14088" spans="6:6">
      <c r="F14088" s="2423"/>
    </row>
    <row r="14089" spans="6:6">
      <c r="F14089" s="2423"/>
    </row>
    <row r="14090" spans="6:6">
      <c r="F14090" s="2423"/>
    </row>
    <row r="14091" spans="6:6">
      <c r="F14091" s="2423"/>
    </row>
    <row r="14092" spans="6:6">
      <c r="F14092" s="2423"/>
    </row>
    <row r="14093" spans="6:6">
      <c r="F14093" s="2423"/>
    </row>
    <row r="14094" spans="6:6">
      <c r="F14094" s="2423"/>
    </row>
    <row r="14095" spans="6:6">
      <c r="F14095" s="2423"/>
    </row>
    <row r="14096" spans="6:6">
      <c r="F14096" s="2423"/>
    </row>
    <row r="14097" spans="6:6">
      <c r="F14097" s="2423"/>
    </row>
    <row r="14098" spans="6:6">
      <c r="F14098" s="2423"/>
    </row>
    <row r="14099" spans="6:6">
      <c r="F14099" s="2423"/>
    </row>
    <row r="14100" spans="6:6">
      <c r="F14100" s="2423"/>
    </row>
    <row r="14101" spans="6:6">
      <c r="F14101" s="2423"/>
    </row>
    <row r="14102" spans="6:6">
      <c r="F14102" s="2423"/>
    </row>
    <row r="14103" spans="6:6">
      <c r="F14103" s="2423"/>
    </row>
    <row r="14104" spans="6:6">
      <c r="F14104" s="2423"/>
    </row>
    <row r="14105" spans="6:6">
      <c r="F14105" s="2423"/>
    </row>
    <row r="14106" spans="6:6">
      <c r="F14106" s="2423"/>
    </row>
    <row r="14107" spans="6:6">
      <c r="F14107" s="2423"/>
    </row>
    <row r="14108" spans="6:6">
      <c r="F14108" s="2423"/>
    </row>
    <row r="14109" spans="6:6">
      <c r="F14109" s="2423"/>
    </row>
    <row r="14110" spans="6:6">
      <c r="F14110" s="2423"/>
    </row>
    <row r="14111" spans="6:6">
      <c r="F14111" s="2423"/>
    </row>
    <row r="14112" spans="6:6">
      <c r="F14112" s="2423"/>
    </row>
    <row r="14113" spans="6:6">
      <c r="F14113" s="2423"/>
    </row>
    <row r="14114" spans="6:6">
      <c r="F14114" s="2423"/>
    </row>
    <row r="14115" spans="6:6">
      <c r="F14115" s="2423"/>
    </row>
    <row r="14116" spans="6:6">
      <c r="F14116" s="2423"/>
    </row>
    <row r="14117" spans="6:6">
      <c r="F14117" s="2423"/>
    </row>
    <row r="14118" spans="6:6">
      <c r="F14118" s="2423"/>
    </row>
    <row r="14119" spans="6:6">
      <c r="F14119" s="2423"/>
    </row>
    <row r="14120" spans="6:6">
      <c r="F14120" s="2423"/>
    </row>
    <row r="14121" spans="6:6">
      <c r="F14121" s="2423"/>
    </row>
    <row r="14122" spans="6:6">
      <c r="F14122" s="2423"/>
    </row>
    <row r="14123" spans="6:6">
      <c r="F14123" s="2423"/>
    </row>
    <row r="14124" spans="6:6">
      <c r="F14124" s="2423"/>
    </row>
    <row r="14125" spans="6:6">
      <c r="F14125" s="2423"/>
    </row>
    <row r="14126" spans="6:6">
      <c r="F14126" s="2423"/>
    </row>
    <row r="14127" spans="6:6">
      <c r="F14127" s="2423"/>
    </row>
    <row r="14128" spans="6:6">
      <c r="F14128" s="2423"/>
    </row>
    <row r="14129" spans="6:6">
      <c r="F14129" s="2423"/>
    </row>
    <row r="14130" spans="6:6">
      <c r="F14130" s="2423"/>
    </row>
    <row r="14131" spans="6:6">
      <c r="F14131" s="2423"/>
    </row>
    <row r="14132" spans="6:6">
      <c r="F14132" s="2423"/>
    </row>
    <row r="14133" spans="6:6">
      <c r="F14133" s="2423"/>
    </row>
    <row r="14134" spans="6:6">
      <c r="F14134" s="2423"/>
    </row>
    <row r="14135" spans="6:6">
      <c r="F14135" s="2423"/>
    </row>
    <row r="14136" spans="6:6">
      <c r="F14136" s="2423"/>
    </row>
    <row r="14137" spans="6:6">
      <c r="F14137" s="2423"/>
    </row>
    <row r="14138" spans="6:6">
      <c r="F14138" s="2423"/>
    </row>
    <row r="14139" spans="6:6">
      <c r="F14139" s="2423"/>
    </row>
    <row r="14140" spans="6:6">
      <c r="F14140" s="2423"/>
    </row>
    <row r="14141" spans="6:6">
      <c r="F14141" s="2423"/>
    </row>
    <row r="14142" spans="6:6">
      <c r="F14142" s="2423"/>
    </row>
    <row r="14143" spans="6:6">
      <c r="F14143" s="2423"/>
    </row>
    <row r="14144" spans="6:6">
      <c r="F14144" s="2423"/>
    </row>
    <row r="14145" spans="6:6">
      <c r="F14145" s="2423"/>
    </row>
    <row r="14146" spans="6:6">
      <c r="F14146" s="2423"/>
    </row>
    <row r="14147" spans="6:6">
      <c r="F14147" s="2423"/>
    </row>
    <row r="14148" spans="6:6">
      <c r="F14148" s="2423"/>
    </row>
    <row r="14149" spans="6:6">
      <c r="F14149" s="2423"/>
    </row>
    <row r="14150" spans="6:6">
      <c r="F14150" s="2423"/>
    </row>
    <row r="14151" spans="6:6">
      <c r="F14151" s="2423"/>
    </row>
    <row r="14152" spans="6:6">
      <c r="F14152" s="2423"/>
    </row>
    <row r="14153" spans="6:6">
      <c r="F14153" s="2423"/>
    </row>
    <row r="14154" spans="6:6">
      <c r="F14154" s="2423"/>
    </row>
    <row r="14155" spans="6:6">
      <c r="F14155" s="2423"/>
    </row>
    <row r="14156" spans="6:6">
      <c r="F14156" s="2423"/>
    </row>
    <row r="14157" spans="6:6">
      <c r="F14157" s="2423"/>
    </row>
    <row r="14158" spans="6:6">
      <c r="F14158" s="2423"/>
    </row>
    <row r="14159" spans="6:6">
      <c r="F14159" s="2423"/>
    </row>
    <row r="14160" spans="6:6">
      <c r="F14160" s="2423"/>
    </row>
    <row r="14161" spans="6:6">
      <c r="F14161" s="2423"/>
    </row>
    <row r="14162" spans="6:6">
      <c r="F14162" s="2423"/>
    </row>
    <row r="14163" spans="6:6">
      <c r="F14163" s="2423"/>
    </row>
    <row r="14164" spans="6:6">
      <c r="F14164" s="2423"/>
    </row>
    <row r="14165" spans="6:6">
      <c r="F14165" s="2423"/>
    </row>
    <row r="14166" spans="6:6">
      <c r="F14166" s="2423"/>
    </row>
    <row r="14167" spans="6:6">
      <c r="F14167" s="2423"/>
    </row>
    <row r="14168" spans="6:6">
      <c r="F14168" s="2423"/>
    </row>
    <row r="14169" spans="6:6">
      <c r="F14169" s="2423"/>
    </row>
    <row r="14170" spans="6:6">
      <c r="F14170" s="2423"/>
    </row>
    <row r="14171" spans="6:6">
      <c r="F14171" s="2423"/>
    </row>
    <row r="14172" spans="6:6">
      <c r="F14172" s="2423"/>
    </row>
    <row r="14173" spans="6:6">
      <c r="F14173" s="2423"/>
    </row>
    <row r="14174" spans="6:6">
      <c r="F14174" s="2423"/>
    </row>
    <row r="14175" spans="6:6">
      <c r="F14175" s="2423"/>
    </row>
    <row r="14176" spans="6:6">
      <c r="F14176" s="2423"/>
    </row>
    <row r="14177" spans="6:6">
      <c r="F14177" s="2423"/>
    </row>
    <row r="14178" spans="6:6">
      <c r="F14178" s="2423"/>
    </row>
    <row r="14179" spans="6:6">
      <c r="F14179" s="2423"/>
    </row>
    <row r="14180" spans="6:6">
      <c r="F14180" s="2423"/>
    </row>
    <row r="14181" spans="6:6">
      <c r="F14181" s="2423"/>
    </row>
    <row r="14182" spans="6:6">
      <c r="F14182" s="2423"/>
    </row>
    <row r="14183" spans="6:6">
      <c r="F14183" s="2423"/>
    </row>
    <row r="14184" spans="6:6">
      <c r="F14184" s="2423"/>
    </row>
    <row r="14185" spans="6:6">
      <c r="F14185" s="2423"/>
    </row>
    <row r="14186" spans="6:6">
      <c r="F14186" s="2423"/>
    </row>
    <row r="14187" spans="6:6">
      <c r="F14187" s="2423"/>
    </row>
    <row r="14188" spans="6:6">
      <c r="F14188" s="2423"/>
    </row>
    <row r="14189" spans="6:6">
      <c r="F14189" s="2423"/>
    </row>
    <row r="14190" spans="6:6">
      <c r="F14190" s="2423"/>
    </row>
    <row r="14191" spans="6:6">
      <c r="F14191" s="2423"/>
    </row>
    <row r="14192" spans="6:6">
      <c r="F14192" s="2423"/>
    </row>
    <row r="14193" spans="6:6">
      <c r="F14193" s="2423"/>
    </row>
    <row r="14194" spans="6:6">
      <c r="F14194" s="2423"/>
    </row>
    <row r="14195" spans="6:6">
      <c r="F14195" s="2423"/>
    </row>
    <row r="14196" spans="6:6">
      <c r="F14196" s="2423"/>
    </row>
    <row r="14197" spans="6:6">
      <c r="F14197" s="2423"/>
    </row>
    <row r="14198" spans="6:6">
      <c r="F14198" s="2423"/>
    </row>
    <row r="14199" spans="6:6">
      <c r="F14199" s="2423"/>
    </row>
    <row r="14200" spans="6:6">
      <c r="F14200" s="2423"/>
    </row>
    <row r="14201" spans="6:6">
      <c r="F14201" s="2423"/>
    </row>
    <row r="14202" spans="6:6">
      <c r="F14202" s="2423"/>
    </row>
    <row r="14203" spans="6:6">
      <c r="F14203" s="2423"/>
    </row>
    <row r="14204" spans="6:6">
      <c r="F14204" s="2423"/>
    </row>
    <row r="14205" spans="6:6">
      <c r="F14205" s="2423"/>
    </row>
    <row r="14206" spans="6:6">
      <c r="F14206" s="2423"/>
    </row>
    <row r="14207" spans="6:6">
      <c r="F14207" s="2423"/>
    </row>
    <row r="14208" spans="6:6">
      <c r="F14208" s="2423"/>
    </row>
    <row r="14209" spans="6:6">
      <c r="F14209" s="2423"/>
    </row>
    <row r="14210" spans="6:6">
      <c r="F14210" s="2423"/>
    </row>
    <row r="14211" spans="6:6">
      <c r="F14211" s="2423"/>
    </row>
    <row r="14212" spans="6:6">
      <c r="F14212" s="2423"/>
    </row>
    <row r="14213" spans="6:6">
      <c r="F14213" s="2423"/>
    </row>
    <row r="14214" spans="6:6">
      <c r="F14214" s="2423"/>
    </row>
    <row r="14215" spans="6:6">
      <c r="F14215" s="2423"/>
    </row>
    <row r="14216" spans="6:6">
      <c r="F14216" s="2423"/>
    </row>
    <row r="14217" spans="6:6">
      <c r="F14217" s="2423"/>
    </row>
    <row r="14218" spans="6:6">
      <c r="F14218" s="2423"/>
    </row>
    <row r="14219" spans="6:6">
      <c r="F14219" s="2423"/>
    </row>
    <row r="14220" spans="6:6">
      <c r="F14220" s="2423"/>
    </row>
    <row r="14221" spans="6:6">
      <c r="F14221" s="2423"/>
    </row>
    <row r="14222" spans="6:6">
      <c r="F14222" s="2423"/>
    </row>
    <row r="14223" spans="6:6">
      <c r="F14223" s="2423"/>
    </row>
    <row r="14224" spans="6:6">
      <c r="F14224" s="2423"/>
    </row>
    <row r="14225" spans="6:6">
      <c r="F14225" s="2423"/>
    </row>
    <row r="14226" spans="6:6">
      <c r="F14226" s="2423"/>
    </row>
    <row r="14227" spans="6:6">
      <c r="F14227" s="2423"/>
    </row>
    <row r="14228" spans="6:6">
      <c r="F14228" s="2423"/>
    </row>
    <row r="14229" spans="6:6">
      <c r="F14229" s="2423"/>
    </row>
    <row r="14230" spans="6:6">
      <c r="F14230" s="2423"/>
    </row>
    <row r="14231" spans="6:6">
      <c r="F14231" s="2423"/>
    </row>
    <row r="14232" spans="6:6">
      <c r="F14232" s="2423"/>
    </row>
    <row r="14233" spans="6:6">
      <c r="F14233" s="2423"/>
    </row>
    <row r="14234" spans="6:6">
      <c r="F14234" s="2423"/>
    </row>
    <row r="14235" spans="6:6">
      <c r="F14235" s="2423"/>
    </row>
    <row r="14236" spans="6:6">
      <c r="F14236" s="2423"/>
    </row>
    <row r="14237" spans="6:6">
      <c r="F14237" s="2423"/>
    </row>
    <row r="14238" spans="6:6">
      <c r="F14238" s="2423"/>
    </row>
    <row r="14239" spans="6:6">
      <c r="F14239" s="2423"/>
    </row>
    <row r="14240" spans="6:6">
      <c r="F14240" s="2423"/>
    </row>
    <row r="14241" spans="6:6">
      <c r="F14241" s="2423"/>
    </row>
    <row r="14242" spans="6:6">
      <c r="F14242" s="2423"/>
    </row>
    <row r="14243" spans="6:6">
      <c r="F14243" s="2423"/>
    </row>
    <row r="14244" spans="6:6">
      <c r="F14244" s="2423"/>
    </row>
    <row r="14245" spans="6:6">
      <c r="F14245" s="2423"/>
    </row>
    <row r="14246" spans="6:6">
      <c r="F14246" s="2423"/>
    </row>
    <row r="14247" spans="6:6">
      <c r="F14247" s="2423"/>
    </row>
    <row r="14248" spans="6:6">
      <c r="F14248" s="2423"/>
    </row>
    <row r="14249" spans="6:6">
      <c r="F14249" s="2423"/>
    </row>
    <row r="14250" spans="6:6">
      <c r="F14250" s="2423"/>
    </row>
    <row r="14251" spans="6:6">
      <c r="F14251" s="2423"/>
    </row>
    <row r="14252" spans="6:6">
      <c r="F14252" s="2423"/>
    </row>
    <row r="14253" spans="6:6">
      <c r="F14253" s="2423"/>
    </row>
    <row r="14254" spans="6:6">
      <c r="F14254" s="2423"/>
    </row>
    <row r="14255" spans="6:6">
      <c r="F14255" s="2423"/>
    </row>
    <row r="14256" spans="6:6">
      <c r="F14256" s="2423"/>
    </row>
    <row r="14257" spans="6:6">
      <c r="F14257" s="2423"/>
    </row>
    <row r="14258" spans="6:6">
      <c r="F14258" s="2423"/>
    </row>
    <row r="14259" spans="6:6">
      <c r="F14259" s="2423"/>
    </row>
    <row r="14260" spans="6:6">
      <c r="F14260" s="2423"/>
    </row>
    <row r="14261" spans="6:6">
      <c r="F14261" s="2423"/>
    </row>
    <row r="14262" spans="6:6">
      <c r="F14262" s="2423"/>
    </row>
    <row r="14263" spans="6:6">
      <c r="F14263" s="2423"/>
    </row>
    <row r="14264" spans="6:6">
      <c r="F14264" s="2423"/>
    </row>
    <row r="14265" spans="6:6">
      <c r="F14265" s="2423"/>
    </row>
    <row r="14266" spans="6:6">
      <c r="F14266" s="2423"/>
    </row>
    <row r="14267" spans="6:6">
      <c r="F14267" s="2423"/>
    </row>
    <row r="14268" spans="6:6">
      <c r="F14268" s="2423"/>
    </row>
    <row r="14269" spans="6:6">
      <c r="F14269" s="2423"/>
    </row>
    <row r="14270" spans="6:6">
      <c r="F14270" s="2423"/>
    </row>
    <row r="14271" spans="6:6">
      <c r="F14271" s="2423"/>
    </row>
    <row r="14272" spans="6:6">
      <c r="F14272" s="2423"/>
    </row>
    <row r="14273" spans="6:6">
      <c r="F14273" s="2423"/>
    </row>
    <row r="14274" spans="6:6">
      <c r="F14274" s="2423"/>
    </row>
    <row r="14275" spans="6:6">
      <c r="F14275" s="2423"/>
    </row>
    <row r="14276" spans="6:6">
      <c r="F14276" s="2423"/>
    </row>
    <row r="14277" spans="6:6">
      <c r="F14277" s="2423"/>
    </row>
    <row r="14278" spans="6:6">
      <c r="F14278" s="2423"/>
    </row>
    <row r="14279" spans="6:6">
      <c r="F14279" s="2423"/>
    </row>
    <row r="14280" spans="6:6">
      <c r="F14280" s="2423"/>
    </row>
    <row r="14281" spans="6:6">
      <c r="F14281" s="2423"/>
    </row>
    <row r="14282" spans="6:6">
      <c r="F14282" s="2423"/>
    </row>
    <row r="14283" spans="6:6">
      <c r="F14283" s="2423"/>
    </row>
    <row r="14284" spans="6:6">
      <c r="F14284" s="2423"/>
    </row>
    <row r="14285" spans="6:6">
      <c r="F14285" s="2423"/>
    </row>
    <row r="14286" spans="6:6">
      <c r="F14286" s="2423"/>
    </row>
    <row r="14287" spans="6:6">
      <c r="F14287" s="2423"/>
    </row>
    <row r="14288" spans="6:6">
      <c r="F14288" s="2423"/>
    </row>
    <row r="14289" spans="6:6">
      <c r="F14289" s="2423"/>
    </row>
    <row r="14290" spans="6:6">
      <c r="F14290" s="2423"/>
    </row>
    <row r="14291" spans="6:6">
      <c r="F14291" s="2423"/>
    </row>
    <row r="14292" spans="6:6">
      <c r="F14292" s="2423"/>
    </row>
    <row r="14293" spans="6:6">
      <c r="F14293" s="2423"/>
    </row>
    <row r="14294" spans="6:6">
      <c r="F14294" s="2423"/>
    </row>
    <row r="14295" spans="6:6">
      <c r="F14295" s="2423"/>
    </row>
    <row r="14296" spans="6:6">
      <c r="F14296" s="2423"/>
    </row>
    <row r="14297" spans="6:6">
      <c r="F14297" s="2423"/>
    </row>
    <row r="14298" spans="6:6">
      <c r="F14298" s="2423"/>
    </row>
    <row r="14299" spans="6:6">
      <c r="F14299" s="2423"/>
    </row>
    <row r="14300" spans="6:6">
      <c r="F14300" s="2423"/>
    </row>
    <row r="14301" spans="6:6">
      <c r="F14301" s="2423"/>
    </row>
    <row r="14302" spans="6:6">
      <c r="F14302" s="2423"/>
    </row>
    <row r="14303" spans="6:6">
      <c r="F14303" s="2423"/>
    </row>
    <row r="14304" spans="6:6">
      <c r="F14304" s="2423"/>
    </row>
    <row r="14305" spans="6:6">
      <c r="F14305" s="2423"/>
    </row>
    <row r="14306" spans="6:6">
      <c r="F14306" s="2423"/>
    </row>
    <row r="14307" spans="6:6">
      <c r="F14307" s="2423"/>
    </row>
    <row r="14308" spans="6:6">
      <c r="F14308" s="2423"/>
    </row>
    <row r="14309" spans="6:6">
      <c r="F14309" s="2423"/>
    </row>
    <row r="14310" spans="6:6">
      <c r="F14310" s="2423"/>
    </row>
    <row r="14311" spans="6:6">
      <c r="F14311" s="2423"/>
    </row>
    <row r="14312" spans="6:6">
      <c r="F14312" s="2423"/>
    </row>
    <row r="14313" spans="6:6">
      <c r="F14313" s="2423"/>
    </row>
    <row r="14314" spans="6:6">
      <c r="F14314" s="2423"/>
    </row>
    <row r="14315" spans="6:6">
      <c r="F14315" s="2423"/>
    </row>
    <row r="14316" spans="6:6">
      <c r="F14316" s="2423"/>
    </row>
    <row r="14317" spans="6:6">
      <c r="F14317" s="2423"/>
    </row>
    <row r="14318" spans="6:6">
      <c r="F14318" s="2423"/>
    </row>
    <row r="14319" spans="6:6">
      <c r="F14319" s="2423"/>
    </row>
    <row r="14320" spans="6:6">
      <c r="F14320" s="2423"/>
    </row>
    <row r="14321" spans="6:6">
      <c r="F14321" s="2423"/>
    </row>
    <row r="14322" spans="6:6">
      <c r="F14322" s="2423"/>
    </row>
    <row r="14323" spans="6:6">
      <c r="F14323" s="2423"/>
    </row>
    <row r="14324" spans="6:6">
      <c r="F14324" s="2423"/>
    </row>
    <row r="14325" spans="6:6">
      <c r="F14325" s="2423"/>
    </row>
    <row r="14326" spans="6:6">
      <c r="F14326" s="2423"/>
    </row>
    <row r="14327" spans="6:6">
      <c r="F14327" s="2423"/>
    </row>
    <row r="14328" spans="6:6">
      <c r="F14328" s="2423"/>
    </row>
    <row r="14329" spans="6:6">
      <c r="F14329" s="2423"/>
    </row>
    <row r="14330" spans="6:6">
      <c r="F14330" s="2423"/>
    </row>
    <row r="14331" spans="6:6">
      <c r="F14331" s="2423"/>
    </row>
    <row r="14332" spans="6:6">
      <c r="F14332" s="2423"/>
    </row>
    <row r="14333" spans="6:6">
      <c r="F14333" s="2423"/>
    </row>
    <row r="14334" spans="6:6">
      <c r="F14334" s="2423"/>
    </row>
    <row r="14335" spans="6:6">
      <c r="F14335" s="2423"/>
    </row>
    <row r="14336" spans="6:6">
      <c r="F14336" s="2423"/>
    </row>
    <row r="14337" spans="6:6">
      <c r="F14337" s="2423"/>
    </row>
    <row r="14338" spans="6:6">
      <c r="F14338" s="2423"/>
    </row>
    <row r="14339" spans="6:6">
      <c r="F14339" s="2423"/>
    </row>
    <row r="14340" spans="6:6">
      <c r="F14340" s="2423"/>
    </row>
    <row r="14341" spans="6:6">
      <c r="F14341" s="2423"/>
    </row>
    <row r="14342" spans="6:6">
      <c r="F14342" s="2423"/>
    </row>
    <row r="14343" spans="6:6">
      <c r="F14343" s="2423"/>
    </row>
    <row r="14344" spans="6:6">
      <c r="F14344" s="2423"/>
    </row>
    <row r="14345" spans="6:6">
      <c r="F14345" s="2423"/>
    </row>
    <row r="14346" spans="6:6">
      <c r="F14346" s="2423"/>
    </row>
    <row r="14347" spans="6:6">
      <c r="F14347" s="2423"/>
    </row>
    <row r="14348" spans="6:6">
      <c r="F14348" s="2423"/>
    </row>
    <row r="14349" spans="6:6">
      <c r="F14349" s="2423"/>
    </row>
    <row r="14350" spans="6:6">
      <c r="F14350" s="2423"/>
    </row>
    <row r="14351" spans="6:6">
      <c r="F14351" s="2423"/>
    </row>
    <row r="14352" spans="6:6">
      <c r="F14352" s="2423"/>
    </row>
    <row r="14353" spans="6:6">
      <c r="F14353" s="2423"/>
    </row>
    <row r="14354" spans="6:6">
      <c r="F14354" s="2423"/>
    </row>
    <row r="14355" spans="6:6">
      <c r="F14355" s="2423"/>
    </row>
    <row r="14356" spans="6:6">
      <c r="F14356" s="2423"/>
    </row>
    <row r="14357" spans="6:6">
      <c r="F14357" s="2423"/>
    </row>
    <row r="14358" spans="6:6">
      <c r="F14358" s="2423"/>
    </row>
    <row r="14359" spans="6:6">
      <c r="F14359" s="2423"/>
    </row>
    <row r="14360" spans="6:6">
      <c r="F14360" s="2423"/>
    </row>
    <row r="14361" spans="6:6">
      <c r="F14361" s="2423"/>
    </row>
    <row r="14362" spans="6:6">
      <c r="F14362" s="2423"/>
    </row>
    <row r="14363" spans="6:6">
      <c r="F14363" s="2423"/>
    </row>
    <row r="14364" spans="6:6">
      <c r="F14364" s="2423"/>
    </row>
    <row r="14365" spans="6:6">
      <c r="F14365" s="2423"/>
    </row>
    <row r="14366" spans="6:6">
      <c r="F14366" s="2423"/>
    </row>
    <row r="14367" spans="6:6">
      <c r="F14367" s="2423"/>
    </row>
    <row r="14368" spans="6:6">
      <c r="F14368" s="2423"/>
    </row>
    <row r="14369" spans="6:6">
      <c r="F14369" s="2423"/>
    </row>
    <row r="14370" spans="6:6">
      <c r="F14370" s="2423"/>
    </row>
    <row r="14371" spans="6:6">
      <c r="F14371" s="2423"/>
    </row>
    <row r="14372" spans="6:6">
      <c r="F14372" s="2423"/>
    </row>
    <row r="14373" spans="6:6">
      <c r="F14373" s="2423"/>
    </row>
    <row r="14374" spans="6:6">
      <c r="F14374" s="2423"/>
    </row>
    <row r="14375" spans="6:6">
      <c r="F14375" s="2423"/>
    </row>
    <row r="14376" spans="6:6">
      <c r="F14376" s="2423"/>
    </row>
    <row r="14377" spans="6:6">
      <c r="F14377" s="2423"/>
    </row>
    <row r="14378" spans="6:6">
      <c r="F14378" s="2423"/>
    </row>
    <row r="14379" spans="6:6">
      <c r="F14379" s="2423"/>
    </row>
    <row r="14380" spans="6:6">
      <c r="F14380" s="2423"/>
    </row>
    <row r="14381" spans="6:6">
      <c r="F14381" s="2423"/>
    </row>
    <row r="14382" spans="6:6">
      <c r="F14382" s="2423"/>
    </row>
    <row r="14383" spans="6:6">
      <c r="F14383" s="2423"/>
    </row>
    <row r="14384" spans="6:6">
      <c r="F14384" s="2423"/>
    </row>
    <row r="14385" spans="6:6">
      <c r="F14385" s="2423"/>
    </row>
    <row r="14386" spans="6:6">
      <c r="F14386" s="2423"/>
    </row>
    <row r="14387" spans="6:6">
      <c r="F14387" s="2423"/>
    </row>
    <row r="14388" spans="6:6">
      <c r="F14388" s="2423"/>
    </row>
    <row r="14389" spans="6:6">
      <c r="F14389" s="2423"/>
    </row>
    <row r="14390" spans="6:6">
      <c r="F14390" s="2423"/>
    </row>
    <row r="14391" spans="6:6">
      <c r="F14391" s="2423"/>
    </row>
    <row r="14392" spans="6:6">
      <c r="F14392" s="2423"/>
    </row>
    <row r="14393" spans="6:6">
      <c r="F14393" s="2423"/>
    </row>
    <row r="14394" spans="6:6">
      <c r="F14394" s="2423"/>
    </row>
    <row r="14395" spans="6:6">
      <c r="F14395" s="2423"/>
    </row>
    <row r="14396" spans="6:6">
      <c r="F14396" s="2423"/>
    </row>
    <row r="14397" spans="6:6">
      <c r="F14397" s="2423"/>
    </row>
    <row r="14398" spans="6:6">
      <c r="F14398" s="2423"/>
    </row>
    <row r="14399" spans="6:6">
      <c r="F14399" s="2423"/>
    </row>
    <row r="14400" spans="6:6">
      <c r="F14400" s="2423"/>
    </row>
    <row r="14401" spans="6:6">
      <c r="F14401" s="2423"/>
    </row>
    <row r="14402" spans="6:6">
      <c r="F14402" s="2423"/>
    </row>
    <row r="14403" spans="6:6">
      <c r="F14403" s="2423"/>
    </row>
    <row r="14404" spans="6:6">
      <c r="F14404" s="2423"/>
    </row>
    <row r="14405" spans="6:6">
      <c r="F14405" s="2423"/>
    </row>
    <row r="14406" spans="6:6">
      <c r="F14406" s="2423"/>
    </row>
    <row r="14407" spans="6:6">
      <c r="F14407" s="2423"/>
    </row>
    <row r="14408" spans="6:6">
      <c r="F14408" s="2423"/>
    </row>
    <row r="14409" spans="6:6">
      <c r="F14409" s="2423"/>
    </row>
    <row r="14410" spans="6:6">
      <c r="F14410" s="2423"/>
    </row>
    <row r="14411" spans="6:6">
      <c r="F14411" s="2423"/>
    </row>
    <row r="14412" spans="6:6">
      <c r="F14412" s="2423"/>
    </row>
    <row r="14413" spans="6:6">
      <c r="F14413" s="2423"/>
    </row>
    <row r="14414" spans="6:6">
      <c r="F14414" s="2423"/>
    </row>
    <row r="14415" spans="6:6">
      <c r="F14415" s="2423"/>
    </row>
    <row r="14416" spans="6:6">
      <c r="F14416" s="2423"/>
    </row>
    <row r="14417" spans="6:6">
      <c r="F14417" s="2423"/>
    </row>
    <row r="14418" spans="6:6">
      <c r="F14418" s="2423"/>
    </row>
    <row r="14419" spans="6:6">
      <c r="F14419" s="2423"/>
    </row>
    <row r="14420" spans="6:6">
      <c r="F14420" s="2423"/>
    </row>
    <row r="14421" spans="6:6">
      <c r="F14421" s="2423"/>
    </row>
    <row r="14422" spans="6:6">
      <c r="F14422" s="2423"/>
    </row>
    <row r="14423" spans="6:6">
      <c r="F14423" s="2423"/>
    </row>
    <row r="14424" spans="6:6">
      <c r="F14424" s="2423"/>
    </row>
    <row r="14425" spans="6:6">
      <c r="F14425" s="2423"/>
    </row>
    <row r="14426" spans="6:6">
      <c r="F14426" s="2423"/>
    </row>
    <row r="14427" spans="6:6">
      <c r="F14427" s="2423"/>
    </row>
    <row r="14428" spans="6:6">
      <c r="F14428" s="2423"/>
    </row>
    <row r="14429" spans="6:6">
      <c r="F14429" s="2423"/>
    </row>
    <row r="14430" spans="6:6">
      <c r="F14430" s="2423"/>
    </row>
    <row r="14431" spans="6:6">
      <c r="F14431" s="2423"/>
    </row>
    <row r="14432" spans="6:6">
      <c r="F14432" s="2423"/>
    </row>
    <row r="14433" spans="6:6">
      <c r="F14433" s="2423"/>
    </row>
    <row r="14434" spans="6:6">
      <c r="F14434" s="2423"/>
    </row>
    <row r="14435" spans="6:6">
      <c r="F14435" s="2423"/>
    </row>
    <row r="14436" spans="6:6">
      <c r="F14436" s="2423"/>
    </row>
    <row r="14437" spans="6:6">
      <c r="F14437" s="2423"/>
    </row>
    <row r="14438" spans="6:6">
      <c r="F14438" s="2423"/>
    </row>
    <row r="14439" spans="6:6">
      <c r="F14439" s="2423"/>
    </row>
    <row r="14440" spans="6:6">
      <c r="F14440" s="2423"/>
    </row>
    <row r="14441" spans="6:6">
      <c r="F14441" s="2423"/>
    </row>
    <row r="14442" spans="6:6">
      <c r="F14442" s="2423"/>
    </row>
    <row r="14443" spans="6:6">
      <c r="F14443" s="2423"/>
    </row>
    <row r="14444" spans="6:6">
      <c r="F14444" s="2423"/>
    </row>
    <row r="14445" spans="6:6">
      <c r="F14445" s="2423"/>
    </row>
    <row r="14446" spans="6:6">
      <c r="F14446" s="2423"/>
    </row>
    <row r="14447" spans="6:6">
      <c r="F14447" s="2423"/>
    </row>
    <row r="14448" spans="6:6">
      <c r="F14448" s="2423"/>
    </row>
    <row r="14449" spans="6:6">
      <c r="F14449" s="2423"/>
    </row>
    <row r="14450" spans="6:6">
      <c r="F14450" s="2423"/>
    </row>
    <row r="14451" spans="6:6">
      <c r="F14451" s="2423"/>
    </row>
    <row r="14452" spans="6:6">
      <c r="F14452" s="2423"/>
    </row>
    <row r="14453" spans="6:6">
      <c r="F14453" s="2423"/>
    </row>
    <row r="14454" spans="6:6">
      <c r="F14454" s="2423"/>
    </row>
    <row r="14455" spans="6:6">
      <c r="F14455" s="2423"/>
    </row>
    <row r="14456" spans="6:6">
      <c r="F14456" s="2423"/>
    </row>
    <row r="14457" spans="6:6">
      <c r="F14457" s="2423"/>
    </row>
    <row r="14458" spans="6:6">
      <c r="F14458" s="2423"/>
    </row>
    <row r="14459" spans="6:6">
      <c r="F14459" s="2423"/>
    </row>
    <row r="14460" spans="6:6">
      <c r="F14460" s="2423"/>
    </row>
    <row r="14461" spans="6:6">
      <c r="F14461" s="2423"/>
    </row>
    <row r="14462" spans="6:6">
      <c r="F14462" s="2423"/>
    </row>
    <row r="14463" spans="6:6">
      <c r="F14463" s="2423"/>
    </row>
    <row r="14464" spans="6:6">
      <c r="F14464" s="2423"/>
    </row>
    <row r="14465" spans="6:6">
      <c r="F14465" s="2423"/>
    </row>
    <row r="14466" spans="6:6">
      <c r="F14466" s="2423"/>
    </row>
    <row r="14467" spans="6:6">
      <c r="F14467" s="2423"/>
    </row>
    <row r="14468" spans="6:6">
      <c r="F14468" s="2423"/>
    </row>
    <row r="14469" spans="6:6">
      <c r="F14469" s="2423"/>
    </row>
    <row r="14470" spans="6:6">
      <c r="F14470" s="2423"/>
    </row>
    <row r="14471" spans="6:6">
      <c r="F14471" s="2423"/>
    </row>
    <row r="14472" spans="6:6">
      <c r="F14472" s="2423"/>
    </row>
    <row r="14473" spans="6:6">
      <c r="F14473" s="2423"/>
    </row>
    <row r="14474" spans="6:6">
      <c r="F14474" s="2423"/>
    </row>
    <row r="14475" spans="6:6">
      <c r="F14475" s="2423"/>
    </row>
    <row r="14476" spans="6:6">
      <c r="F14476" s="2423"/>
    </row>
    <row r="14477" spans="6:6">
      <c r="F14477" s="2423"/>
    </row>
    <row r="14478" spans="6:6">
      <c r="F14478" s="2423"/>
    </row>
    <row r="14479" spans="6:6">
      <c r="F14479" s="2423"/>
    </row>
    <row r="14480" spans="6:6">
      <c r="F14480" s="2423"/>
    </row>
    <row r="14481" spans="6:6">
      <c r="F14481" s="2423"/>
    </row>
    <row r="14482" spans="6:6">
      <c r="F14482" s="2423"/>
    </row>
    <row r="14483" spans="6:6">
      <c r="F14483" s="2423"/>
    </row>
    <row r="14484" spans="6:6">
      <c r="F14484" s="2423"/>
    </row>
    <row r="14485" spans="6:6">
      <c r="F14485" s="2423"/>
    </row>
    <row r="14486" spans="6:6">
      <c r="F14486" s="2423"/>
    </row>
    <row r="14487" spans="6:6">
      <c r="F14487" s="2423"/>
    </row>
    <row r="14488" spans="6:6">
      <c r="F14488" s="2423"/>
    </row>
    <row r="14489" spans="6:6">
      <c r="F14489" s="2423"/>
    </row>
    <row r="14490" spans="6:6">
      <c r="F14490" s="2423"/>
    </row>
    <row r="14491" spans="6:6">
      <c r="F14491" s="2423"/>
    </row>
    <row r="14492" spans="6:6">
      <c r="F14492" s="2423"/>
    </row>
    <row r="14493" spans="6:6">
      <c r="F14493" s="2423"/>
    </row>
    <row r="14494" spans="6:6">
      <c r="F14494" s="2423"/>
    </row>
    <row r="14495" spans="6:6">
      <c r="F14495" s="2423"/>
    </row>
    <row r="14496" spans="6:6">
      <c r="F14496" s="2423"/>
    </row>
    <row r="14497" spans="6:6">
      <c r="F14497" s="2423"/>
    </row>
    <row r="14498" spans="6:6">
      <c r="F14498" s="2423"/>
    </row>
    <row r="14499" spans="6:6">
      <c r="F14499" s="2423"/>
    </row>
    <row r="14500" spans="6:6">
      <c r="F14500" s="2423"/>
    </row>
    <row r="14501" spans="6:6">
      <c r="F14501" s="2423"/>
    </row>
    <row r="14502" spans="6:6">
      <c r="F14502" s="2423"/>
    </row>
    <row r="14503" spans="6:6">
      <c r="F14503" s="2423"/>
    </row>
    <row r="14504" spans="6:6">
      <c r="F14504" s="2423"/>
    </row>
    <row r="14505" spans="6:6">
      <c r="F14505" s="2423"/>
    </row>
    <row r="14506" spans="6:6">
      <c r="F14506" s="2423"/>
    </row>
    <row r="14507" spans="6:6">
      <c r="F14507" s="2423"/>
    </row>
    <row r="14508" spans="6:6">
      <c r="F14508" s="2423"/>
    </row>
    <row r="14509" spans="6:6">
      <c r="F14509" s="2423"/>
    </row>
    <row r="14510" spans="6:6">
      <c r="F14510" s="2423"/>
    </row>
    <row r="14511" spans="6:6">
      <c r="F14511" s="2423"/>
    </row>
    <row r="14512" spans="6:6">
      <c r="F14512" s="2423"/>
    </row>
    <row r="14513" spans="6:6">
      <c r="F14513" s="2423"/>
    </row>
    <row r="14514" spans="6:6">
      <c r="F14514" s="2423"/>
    </row>
    <row r="14515" spans="6:6">
      <c r="F14515" s="2423"/>
    </row>
    <row r="14516" spans="6:6">
      <c r="F14516" s="2423"/>
    </row>
    <row r="14517" spans="6:6">
      <c r="F14517" s="2423"/>
    </row>
    <row r="14518" spans="6:6">
      <c r="F14518" s="2423"/>
    </row>
    <row r="14519" spans="6:6">
      <c r="F14519" s="2423"/>
    </row>
    <row r="14520" spans="6:6">
      <c r="F14520" s="2423"/>
    </row>
    <row r="14521" spans="6:6">
      <c r="F14521" s="2423"/>
    </row>
    <row r="14522" spans="6:6">
      <c r="F14522" s="2423"/>
    </row>
    <row r="14523" spans="6:6">
      <c r="F14523" s="2423"/>
    </row>
    <row r="14524" spans="6:6">
      <c r="F14524" s="2423"/>
    </row>
    <row r="14525" spans="6:6">
      <c r="F14525" s="2423"/>
    </row>
    <row r="14526" spans="6:6">
      <c r="F14526" s="2423"/>
    </row>
    <row r="14527" spans="6:6">
      <c r="F14527" s="2423"/>
    </row>
    <row r="14528" spans="6:6">
      <c r="F14528" s="2423"/>
    </row>
    <row r="14529" spans="6:6">
      <c r="F14529" s="2423"/>
    </row>
    <row r="14530" spans="6:6">
      <c r="F14530" s="2423"/>
    </row>
    <row r="14531" spans="6:6">
      <c r="F14531" s="2423"/>
    </row>
    <row r="14532" spans="6:6">
      <c r="F14532" s="2423"/>
    </row>
    <row r="14533" spans="6:6">
      <c r="F14533" s="2423"/>
    </row>
    <row r="14534" spans="6:6">
      <c r="F14534" s="2423"/>
    </row>
    <row r="14535" spans="6:6">
      <c r="F14535" s="2423"/>
    </row>
    <row r="14536" spans="6:6">
      <c r="F14536" s="2423"/>
    </row>
    <row r="14537" spans="6:6">
      <c r="F14537" s="2423"/>
    </row>
    <row r="14538" spans="6:6">
      <c r="F14538" s="2423"/>
    </row>
    <row r="14539" spans="6:6">
      <c r="F14539" s="2423"/>
    </row>
    <row r="14540" spans="6:6">
      <c r="F14540" s="2423"/>
    </row>
    <row r="14541" spans="6:6">
      <c r="F14541" s="2423"/>
    </row>
    <row r="14542" spans="6:6">
      <c r="F14542" s="2423"/>
    </row>
    <row r="14543" spans="6:6">
      <c r="F14543" s="2423"/>
    </row>
    <row r="14544" spans="6:6">
      <c r="F14544" s="2423"/>
    </row>
    <row r="14545" spans="6:6">
      <c r="F14545" s="2423"/>
    </row>
    <row r="14546" spans="6:6">
      <c r="F14546" s="2423"/>
    </row>
    <row r="14547" spans="6:6">
      <c r="F14547" s="2423"/>
    </row>
    <row r="14548" spans="6:6">
      <c r="F14548" s="2423"/>
    </row>
    <row r="14549" spans="6:6">
      <c r="F14549" s="2423"/>
    </row>
    <row r="14550" spans="6:6">
      <c r="F14550" s="2423"/>
    </row>
    <row r="14551" spans="6:6">
      <c r="F14551" s="2423"/>
    </row>
    <row r="14552" spans="6:6">
      <c r="F14552" s="2423"/>
    </row>
    <row r="14553" spans="6:6">
      <c r="F14553" s="2423"/>
    </row>
    <row r="14554" spans="6:6">
      <c r="F14554" s="2423"/>
    </row>
    <row r="14555" spans="6:6">
      <c r="F14555" s="2423"/>
    </row>
    <row r="14556" spans="6:6">
      <c r="F14556" s="2423"/>
    </row>
    <row r="14557" spans="6:6">
      <c r="F14557" s="2423"/>
    </row>
    <row r="14558" spans="6:6">
      <c r="F14558" s="2423"/>
    </row>
    <row r="14559" spans="6:6">
      <c r="F14559" s="2423"/>
    </row>
    <row r="14560" spans="6:6">
      <c r="F14560" s="2423"/>
    </row>
    <row r="14561" spans="6:6">
      <c r="F14561" s="2423"/>
    </row>
    <row r="14562" spans="6:6">
      <c r="F14562" s="2423"/>
    </row>
    <row r="14563" spans="6:6">
      <c r="F14563" s="2423"/>
    </row>
    <row r="14564" spans="6:6">
      <c r="F14564" s="2423"/>
    </row>
    <row r="14565" spans="6:6">
      <c r="F14565" s="2423"/>
    </row>
    <row r="14566" spans="6:6">
      <c r="F14566" s="2423"/>
    </row>
    <row r="14567" spans="6:6">
      <c r="F14567" s="2423"/>
    </row>
    <row r="14568" spans="6:6">
      <c r="F14568" s="2423"/>
    </row>
    <row r="14569" spans="6:6">
      <c r="F14569" s="2423"/>
    </row>
    <row r="14570" spans="6:6">
      <c r="F14570" s="2423"/>
    </row>
    <row r="14571" spans="6:6">
      <c r="F14571" s="2423"/>
    </row>
    <row r="14572" spans="6:6">
      <c r="F14572" s="2423"/>
    </row>
    <row r="14573" spans="6:6">
      <c r="F14573" s="2423"/>
    </row>
    <row r="14574" spans="6:6">
      <c r="F14574" s="2423"/>
    </row>
    <row r="14575" spans="6:6">
      <c r="F14575" s="2423"/>
    </row>
    <row r="14576" spans="6:6">
      <c r="F14576" s="2423"/>
    </row>
    <row r="14577" spans="6:6">
      <c r="F14577" s="2423"/>
    </row>
    <row r="14578" spans="6:6">
      <c r="F14578" s="2423"/>
    </row>
    <row r="14579" spans="6:6">
      <c r="F14579" s="2423"/>
    </row>
    <row r="14580" spans="6:6">
      <c r="F14580" s="2423"/>
    </row>
    <row r="14581" spans="6:6">
      <c r="F14581" s="2423"/>
    </row>
    <row r="14582" spans="6:6">
      <c r="F14582" s="2423"/>
    </row>
    <row r="14583" spans="6:6">
      <c r="F14583" s="2423"/>
    </row>
    <row r="14584" spans="6:6">
      <c r="F14584" s="2423"/>
    </row>
    <row r="14585" spans="6:6">
      <c r="F14585" s="2423"/>
    </row>
    <row r="14586" spans="6:6">
      <c r="F14586" s="2423"/>
    </row>
    <row r="14587" spans="6:6">
      <c r="F14587" s="2423"/>
    </row>
    <row r="14588" spans="6:6">
      <c r="F14588" s="2423"/>
    </row>
    <row r="14589" spans="6:6">
      <c r="F14589" s="2423"/>
    </row>
    <row r="14590" spans="6:6">
      <c r="F14590" s="2423"/>
    </row>
    <row r="14591" spans="6:6">
      <c r="F14591" s="2423"/>
    </row>
    <row r="14592" spans="6:6">
      <c r="F14592" s="2423"/>
    </row>
    <row r="14593" spans="6:6">
      <c r="F14593" s="2423"/>
    </row>
    <row r="14594" spans="6:6">
      <c r="F14594" s="2423"/>
    </row>
    <row r="14595" spans="6:6">
      <c r="F14595" s="2423"/>
    </row>
    <row r="14596" spans="6:6">
      <c r="F14596" s="2423"/>
    </row>
    <row r="14597" spans="6:6">
      <c r="F14597" s="2423"/>
    </row>
    <row r="14598" spans="6:6">
      <c r="F14598" s="2423"/>
    </row>
    <row r="14599" spans="6:6">
      <c r="F14599" s="2423"/>
    </row>
    <row r="14600" spans="6:6">
      <c r="F14600" s="2423"/>
    </row>
    <row r="14601" spans="6:6">
      <c r="F14601" s="2423"/>
    </row>
    <row r="14602" spans="6:6">
      <c r="F14602" s="2423"/>
    </row>
    <row r="14603" spans="6:6">
      <c r="F14603" s="2423"/>
    </row>
    <row r="14604" spans="6:6">
      <c r="F14604" s="2423"/>
    </row>
    <row r="14605" spans="6:6">
      <c r="F14605" s="2423"/>
    </row>
    <row r="14606" spans="6:6">
      <c r="F14606" s="2423"/>
    </row>
    <row r="14607" spans="6:6">
      <c r="F14607" s="2423"/>
    </row>
    <row r="14608" spans="6:6">
      <c r="F14608" s="2423"/>
    </row>
    <row r="14609" spans="6:6">
      <c r="F14609" s="2423"/>
    </row>
    <row r="14610" spans="6:6">
      <c r="F14610" s="2423"/>
    </row>
    <row r="14611" spans="6:6">
      <c r="F14611" s="2423"/>
    </row>
    <row r="14612" spans="6:6">
      <c r="F14612" s="2423"/>
    </row>
    <row r="14613" spans="6:6">
      <c r="F14613" s="2423"/>
    </row>
    <row r="14614" spans="6:6">
      <c r="F14614" s="2423"/>
    </row>
    <row r="14615" spans="6:6">
      <c r="F14615" s="2423"/>
    </row>
    <row r="14616" spans="6:6">
      <c r="F14616" s="2423"/>
    </row>
    <row r="14617" spans="6:6">
      <c r="F14617" s="2423"/>
    </row>
    <row r="14618" spans="6:6">
      <c r="F14618" s="2423"/>
    </row>
    <row r="14619" spans="6:6">
      <c r="F14619" s="2423"/>
    </row>
    <row r="14620" spans="6:6">
      <c r="F14620" s="2423"/>
    </row>
    <row r="14621" spans="6:6">
      <c r="F14621" s="2423"/>
    </row>
    <row r="14622" spans="6:6">
      <c r="F14622" s="2423"/>
    </row>
    <row r="14623" spans="6:6">
      <c r="F14623" s="2423"/>
    </row>
    <row r="14624" spans="6:6">
      <c r="F14624" s="2423"/>
    </row>
    <row r="14625" spans="6:6">
      <c r="F14625" s="2423"/>
    </row>
    <row r="14626" spans="6:6">
      <c r="F14626" s="2423"/>
    </row>
    <row r="14627" spans="6:6">
      <c r="F14627" s="2423"/>
    </row>
    <row r="14628" spans="6:6">
      <c r="F14628" s="2423"/>
    </row>
    <row r="14629" spans="6:6">
      <c r="F14629" s="2423"/>
    </row>
    <row r="14630" spans="6:6">
      <c r="F14630" s="2423"/>
    </row>
    <row r="14631" spans="6:6">
      <c r="F14631" s="2423"/>
    </row>
    <row r="14632" spans="6:6">
      <c r="F14632" s="2423"/>
    </row>
    <row r="14633" spans="6:6">
      <c r="F14633" s="2423"/>
    </row>
    <row r="14634" spans="6:6">
      <c r="F14634" s="2423"/>
    </row>
    <row r="14635" spans="6:6">
      <c r="F14635" s="2423"/>
    </row>
    <row r="14636" spans="6:6">
      <c r="F14636" s="2423"/>
    </row>
    <row r="14637" spans="6:6">
      <c r="F14637" s="2423"/>
    </row>
    <row r="14638" spans="6:6">
      <c r="F14638" s="2423"/>
    </row>
    <row r="14639" spans="6:6">
      <c r="F14639" s="2423"/>
    </row>
    <row r="14640" spans="6:6">
      <c r="F14640" s="2423"/>
    </row>
    <row r="14641" spans="6:6">
      <c r="F14641" s="2423"/>
    </row>
    <row r="14642" spans="6:6">
      <c r="F14642" s="2423"/>
    </row>
    <row r="14643" spans="6:6">
      <c r="F14643" s="2423"/>
    </row>
    <row r="14644" spans="6:6">
      <c r="F14644" s="2423"/>
    </row>
    <row r="14645" spans="6:6">
      <c r="F14645" s="2423"/>
    </row>
    <row r="14646" spans="6:6">
      <c r="F14646" s="2423"/>
    </row>
    <row r="14647" spans="6:6">
      <c r="F14647" s="2423"/>
    </row>
    <row r="14648" spans="6:6">
      <c r="F14648" s="2423"/>
    </row>
    <row r="14649" spans="6:6">
      <c r="F14649" s="2423"/>
    </row>
    <row r="14650" spans="6:6">
      <c r="F14650" s="2423"/>
    </row>
    <row r="14651" spans="6:6">
      <c r="F14651" s="2423"/>
    </row>
    <row r="14652" spans="6:6">
      <c r="F14652" s="2423"/>
    </row>
    <row r="14653" spans="6:6">
      <c r="F14653" s="2423"/>
    </row>
    <row r="14654" spans="6:6">
      <c r="F14654" s="2423"/>
    </row>
    <row r="14655" spans="6:6">
      <c r="F14655" s="2423"/>
    </row>
    <row r="14656" spans="6:6">
      <c r="F14656" s="2423"/>
    </row>
    <row r="14657" spans="6:6">
      <c r="F14657" s="2423"/>
    </row>
    <row r="14658" spans="6:6">
      <c r="F14658" s="2423"/>
    </row>
    <row r="14659" spans="6:6">
      <c r="F14659" s="2423"/>
    </row>
    <row r="14660" spans="6:6">
      <c r="F14660" s="2423"/>
    </row>
    <row r="14661" spans="6:6">
      <c r="F14661" s="2423"/>
    </row>
    <row r="14662" spans="6:6">
      <c r="F14662" s="2423"/>
    </row>
    <row r="14663" spans="6:6">
      <c r="F14663" s="2423"/>
    </row>
    <row r="14664" spans="6:6">
      <c r="F14664" s="2423"/>
    </row>
    <row r="14665" spans="6:6">
      <c r="F14665" s="2423"/>
    </row>
    <row r="14666" spans="6:6">
      <c r="F14666" s="2423"/>
    </row>
    <row r="14667" spans="6:6">
      <c r="F14667" s="2423"/>
    </row>
    <row r="14668" spans="6:6">
      <c r="F14668" s="2423"/>
    </row>
    <row r="14669" spans="6:6">
      <c r="F14669" s="2423"/>
    </row>
    <row r="14670" spans="6:6">
      <c r="F14670" s="2423"/>
    </row>
    <row r="14671" spans="6:6">
      <c r="F14671" s="2423"/>
    </row>
    <row r="14672" spans="6:6">
      <c r="F14672" s="2423"/>
    </row>
    <row r="14673" spans="6:6">
      <c r="F14673" s="2423"/>
    </row>
    <row r="14674" spans="6:6">
      <c r="F14674" s="2423"/>
    </row>
    <row r="14675" spans="6:6">
      <c r="F14675" s="2423"/>
    </row>
    <row r="14676" spans="6:6">
      <c r="F14676" s="2423"/>
    </row>
    <row r="14677" spans="6:6">
      <c r="F14677" s="2423"/>
    </row>
    <row r="14678" spans="6:6">
      <c r="F14678" s="2423"/>
    </row>
    <row r="14679" spans="6:6">
      <c r="F14679" s="2423"/>
    </row>
    <row r="14680" spans="6:6">
      <c r="F14680" s="2423"/>
    </row>
    <row r="14681" spans="6:6">
      <c r="F14681" s="2423"/>
    </row>
    <row r="14682" spans="6:6">
      <c r="F14682" s="2423"/>
    </row>
    <row r="14683" spans="6:6">
      <c r="F14683" s="2423"/>
    </row>
    <row r="14684" spans="6:6">
      <c r="F14684" s="2423"/>
    </row>
    <row r="14685" spans="6:6">
      <c r="F14685" s="2423"/>
    </row>
    <row r="14686" spans="6:6">
      <c r="F14686" s="2423"/>
    </row>
    <row r="14687" spans="6:6">
      <c r="F14687" s="2423"/>
    </row>
    <row r="14688" spans="6:6">
      <c r="F14688" s="2423"/>
    </row>
    <row r="14689" spans="6:6">
      <c r="F14689" s="2423"/>
    </row>
    <row r="14690" spans="6:6">
      <c r="F14690" s="2423"/>
    </row>
    <row r="14691" spans="6:6">
      <c r="F14691" s="2423"/>
    </row>
    <row r="14692" spans="6:6">
      <c r="F14692" s="2423"/>
    </row>
    <row r="14693" spans="6:6">
      <c r="F14693" s="2423"/>
    </row>
    <row r="14694" spans="6:6">
      <c r="F14694" s="2423"/>
    </row>
    <row r="14695" spans="6:6">
      <c r="F14695" s="2423"/>
    </row>
    <row r="14696" spans="6:6">
      <c r="F14696" s="2423"/>
    </row>
    <row r="14697" spans="6:6">
      <c r="F14697" s="2423"/>
    </row>
    <row r="14698" spans="6:6">
      <c r="F14698" s="2423"/>
    </row>
    <row r="14699" spans="6:6">
      <c r="F14699" s="2423"/>
    </row>
    <row r="14700" spans="6:6">
      <c r="F14700" s="2423"/>
    </row>
    <row r="14701" spans="6:6">
      <c r="F14701" s="2423"/>
    </row>
    <row r="14702" spans="6:6">
      <c r="F14702" s="2423"/>
    </row>
    <row r="14703" spans="6:6">
      <c r="F14703" s="2423"/>
    </row>
    <row r="14704" spans="6:6">
      <c r="F14704" s="2423"/>
    </row>
    <row r="14705" spans="6:6">
      <c r="F14705" s="2423"/>
    </row>
    <row r="14706" spans="6:6">
      <c r="F14706" s="2423"/>
    </row>
    <row r="14707" spans="6:6">
      <c r="F14707" s="2423"/>
    </row>
    <row r="14708" spans="6:6">
      <c r="F14708" s="2423"/>
    </row>
    <row r="14709" spans="6:6">
      <c r="F14709" s="2423"/>
    </row>
    <row r="14710" spans="6:6">
      <c r="F14710" s="2423"/>
    </row>
    <row r="14711" spans="6:6">
      <c r="F14711" s="2423"/>
    </row>
    <row r="14712" spans="6:6">
      <c r="F14712" s="2423"/>
    </row>
    <row r="14713" spans="6:6">
      <c r="F14713" s="2423"/>
    </row>
    <row r="14714" spans="6:6">
      <c r="F14714" s="2423"/>
    </row>
    <row r="14715" spans="6:6">
      <c r="F14715" s="2423"/>
    </row>
    <row r="14716" spans="6:6">
      <c r="F14716" s="2423"/>
    </row>
    <row r="14717" spans="6:6">
      <c r="F14717" s="2423"/>
    </row>
    <row r="14718" spans="6:6">
      <c r="F14718" s="2423"/>
    </row>
    <row r="14719" spans="6:6">
      <c r="F14719" s="2423"/>
    </row>
    <row r="14720" spans="6:6">
      <c r="F14720" s="2423"/>
    </row>
    <row r="14721" spans="6:6">
      <c r="F14721" s="2423"/>
    </row>
    <row r="14722" spans="6:6">
      <c r="F14722" s="2423"/>
    </row>
    <row r="14723" spans="6:6">
      <c r="F14723" s="2423"/>
    </row>
    <row r="14724" spans="6:6">
      <c r="F14724" s="2423"/>
    </row>
    <row r="14725" spans="6:6">
      <c r="F14725" s="2423"/>
    </row>
    <row r="14726" spans="6:6">
      <c r="F14726" s="2423"/>
    </row>
    <row r="14727" spans="6:6">
      <c r="F14727" s="2423"/>
    </row>
    <row r="14728" spans="6:6">
      <c r="F14728" s="2423"/>
    </row>
    <row r="14729" spans="6:6">
      <c r="F14729" s="2423"/>
    </row>
    <row r="14730" spans="6:6">
      <c r="F14730" s="2423"/>
    </row>
    <row r="14731" spans="6:6">
      <c r="F14731" s="2423"/>
    </row>
    <row r="14732" spans="6:6">
      <c r="F14732" s="2423"/>
    </row>
    <row r="14733" spans="6:6">
      <c r="F14733" s="2423"/>
    </row>
    <row r="14734" spans="6:6">
      <c r="F14734" s="2423"/>
    </row>
    <row r="14735" spans="6:6">
      <c r="F14735" s="2423"/>
    </row>
    <row r="14736" spans="6:6">
      <c r="F14736" s="2423"/>
    </row>
    <row r="14737" spans="6:6">
      <c r="F14737" s="2423"/>
    </row>
    <row r="14738" spans="6:6">
      <c r="F14738" s="2423"/>
    </row>
    <row r="14739" spans="6:6">
      <c r="F14739" s="2423"/>
    </row>
    <row r="14740" spans="6:6">
      <c r="F14740" s="2423"/>
    </row>
    <row r="14741" spans="6:6">
      <c r="F14741" s="2423"/>
    </row>
    <row r="14742" spans="6:6">
      <c r="F14742" s="2423"/>
    </row>
    <row r="14743" spans="6:6">
      <c r="F14743" s="2423"/>
    </row>
    <row r="14744" spans="6:6">
      <c r="F14744" s="2423"/>
    </row>
    <row r="14745" spans="6:6">
      <c r="F14745" s="2423"/>
    </row>
    <row r="14746" spans="6:6">
      <c r="F14746" s="2423"/>
    </row>
    <row r="14747" spans="6:6">
      <c r="F14747" s="2423"/>
    </row>
    <row r="14748" spans="6:6">
      <c r="F14748" s="2423"/>
    </row>
    <row r="14749" spans="6:6">
      <c r="F14749" s="2423"/>
    </row>
    <row r="14750" spans="6:6">
      <c r="F14750" s="2423"/>
    </row>
    <row r="14751" spans="6:6">
      <c r="F14751" s="2423"/>
    </row>
    <row r="14752" spans="6:6">
      <c r="F14752" s="2423"/>
    </row>
    <row r="14753" spans="6:6">
      <c r="F14753" s="2423"/>
    </row>
    <row r="14754" spans="6:6">
      <c r="F14754" s="2423"/>
    </row>
    <row r="14755" spans="6:6">
      <c r="F14755" s="2423"/>
    </row>
    <row r="14756" spans="6:6">
      <c r="F14756" s="2423"/>
    </row>
    <row r="14757" spans="6:6">
      <c r="F14757" s="2423"/>
    </row>
    <row r="14758" spans="6:6">
      <c r="F14758" s="2423"/>
    </row>
    <row r="14759" spans="6:6">
      <c r="F14759" s="2423"/>
    </row>
    <row r="14760" spans="6:6">
      <c r="F14760" s="2423"/>
    </row>
    <row r="14761" spans="6:6">
      <c r="F14761" s="2423"/>
    </row>
    <row r="14762" spans="6:6">
      <c r="F14762" s="2423"/>
    </row>
    <row r="14763" spans="6:6">
      <c r="F14763" s="2423"/>
    </row>
    <row r="14764" spans="6:6">
      <c r="F14764" s="2423"/>
    </row>
    <row r="14765" spans="6:6">
      <c r="F14765" s="2423"/>
    </row>
    <row r="14766" spans="6:6">
      <c r="F14766" s="2423"/>
    </row>
    <row r="14767" spans="6:6">
      <c r="F14767" s="2423"/>
    </row>
    <row r="14768" spans="6:6">
      <c r="F14768" s="2423"/>
    </row>
    <row r="14769" spans="6:6">
      <c r="F14769" s="2423"/>
    </row>
    <row r="14770" spans="6:6">
      <c r="F14770" s="2423"/>
    </row>
    <row r="14771" spans="6:6">
      <c r="F14771" s="2423"/>
    </row>
    <row r="14772" spans="6:6">
      <c r="F14772" s="2423"/>
    </row>
    <row r="14773" spans="6:6">
      <c r="F14773" s="2423"/>
    </row>
    <row r="14774" spans="6:6">
      <c r="F14774" s="2423"/>
    </row>
    <row r="14775" spans="6:6">
      <c r="F14775" s="2423"/>
    </row>
    <row r="14776" spans="6:6">
      <c r="F14776" s="2423"/>
    </row>
    <row r="14777" spans="6:6">
      <c r="F14777" s="2423"/>
    </row>
    <row r="14778" spans="6:6">
      <c r="F14778" s="2423"/>
    </row>
    <row r="14779" spans="6:6">
      <c r="F14779" s="2423"/>
    </row>
    <row r="14780" spans="6:6">
      <c r="F14780" s="2423"/>
    </row>
    <row r="14781" spans="6:6">
      <c r="F14781" s="2423"/>
    </row>
    <row r="14782" spans="6:6">
      <c r="F14782" s="2423"/>
    </row>
    <row r="14783" spans="6:6">
      <c r="F14783" s="2423"/>
    </row>
    <row r="14784" spans="6:6">
      <c r="F14784" s="2423"/>
    </row>
    <row r="14785" spans="6:6">
      <c r="F14785" s="2423"/>
    </row>
    <row r="14786" spans="6:6">
      <c r="F14786" s="2423"/>
    </row>
    <row r="14787" spans="6:6">
      <c r="F14787" s="2423"/>
    </row>
    <row r="14788" spans="6:6">
      <c r="F14788" s="2423"/>
    </row>
    <row r="14789" spans="6:6">
      <c r="F14789" s="2423"/>
    </row>
    <row r="14790" spans="6:6">
      <c r="F14790" s="2423"/>
    </row>
    <row r="14791" spans="6:6">
      <c r="F14791" s="2423"/>
    </row>
    <row r="14792" spans="6:6">
      <c r="F14792" s="2423"/>
    </row>
    <row r="14793" spans="6:6">
      <c r="F14793" s="2423"/>
    </row>
    <row r="14794" spans="6:6">
      <c r="F14794" s="2423"/>
    </row>
    <row r="14795" spans="6:6">
      <c r="F14795" s="2423"/>
    </row>
    <row r="14796" spans="6:6">
      <c r="F14796" s="2423"/>
    </row>
    <row r="14797" spans="6:6">
      <c r="F14797" s="2423"/>
    </row>
    <row r="14798" spans="6:6">
      <c r="F14798" s="2423"/>
    </row>
    <row r="14799" spans="6:6">
      <c r="F14799" s="2423"/>
    </row>
    <row r="14800" spans="6:6">
      <c r="F14800" s="2423"/>
    </row>
    <row r="14801" spans="6:6">
      <c r="F14801" s="2423"/>
    </row>
    <row r="14802" spans="6:6">
      <c r="F14802" s="2423"/>
    </row>
    <row r="14803" spans="6:6">
      <c r="F14803" s="2423"/>
    </row>
    <row r="14804" spans="6:6">
      <c r="F14804" s="2423"/>
    </row>
    <row r="14805" spans="6:6">
      <c r="F14805" s="2423"/>
    </row>
    <row r="14806" spans="6:6">
      <c r="F14806" s="2423"/>
    </row>
    <row r="14807" spans="6:6">
      <c r="F14807" s="2423"/>
    </row>
    <row r="14808" spans="6:6">
      <c r="F14808" s="2423"/>
    </row>
    <row r="14809" spans="6:6">
      <c r="F14809" s="2423"/>
    </row>
    <row r="14810" spans="6:6">
      <c r="F14810" s="2423"/>
    </row>
    <row r="14811" spans="6:6">
      <c r="F14811" s="2423"/>
    </row>
    <row r="14812" spans="6:6">
      <c r="F14812" s="2423"/>
    </row>
    <row r="14813" spans="6:6">
      <c r="F14813" s="2423"/>
    </row>
    <row r="14814" spans="6:6">
      <c r="F14814" s="2423"/>
    </row>
    <row r="14815" spans="6:6">
      <c r="F14815" s="2423"/>
    </row>
    <row r="14816" spans="6:6">
      <c r="F14816" s="2423"/>
    </row>
    <row r="14817" spans="6:6">
      <c r="F14817" s="2423"/>
    </row>
    <row r="14818" spans="6:6">
      <c r="F14818" s="2423"/>
    </row>
    <row r="14819" spans="6:6">
      <c r="F14819" s="2423"/>
    </row>
    <row r="14820" spans="6:6">
      <c r="F14820" s="2423"/>
    </row>
    <row r="14821" spans="6:6">
      <c r="F14821" s="2423"/>
    </row>
    <row r="14822" spans="6:6">
      <c r="F14822" s="2423"/>
    </row>
    <row r="14823" spans="6:6">
      <c r="F14823" s="2423"/>
    </row>
    <row r="14824" spans="6:6">
      <c r="F14824" s="2423"/>
    </row>
    <row r="14825" spans="6:6">
      <c r="F14825" s="2423"/>
    </row>
    <row r="14826" spans="6:6">
      <c r="F14826" s="2423"/>
    </row>
    <row r="14827" spans="6:6">
      <c r="F14827" s="2423"/>
    </row>
    <row r="14828" spans="6:6">
      <c r="F14828" s="2423"/>
    </row>
    <row r="14829" spans="6:6">
      <c r="F14829" s="2423"/>
    </row>
    <row r="14830" spans="6:6">
      <c r="F14830" s="2423"/>
    </row>
    <row r="14831" spans="6:6">
      <c r="F14831" s="2423"/>
    </row>
    <row r="14832" spans="6:6">
      <c r="F14832" s="2423"/>
    </row>
    <row r="14833" spans="6:6">
      <c r="F14833" s="2423"/>
    </row>
    <row r="14834" spans="6:6">
      <c r="F14834" s="2423"/>
    </row>
    <row r="14835" spans="6:6">
      <c r="F14835" s="2423"/>
    </row>
    <row r="14836" spans="6:6">
      <c r="F14836" s="2423"/>
    </row>
    <row r="14837" spans="6:6">
      <c r="F14837" s="2423"/>
    </row>
    <row r="14838" spans="6:6">
      <c r="F14838" s="2423"/>
    </row>
    <row r="14839" spans="6:6">
      <c r="F14839" s="2423"/>
    </row>
    <row r="14840" spans="6:6">
      <c r="F14840" s="2423"/>
    </row>
    <row r="14841" spans="6:6">
      <c r="F14841" s="2423"/>
    </row>
    <row r="14842" spans="6:6">
      <c r="F14842" s="2423"/>
    </row>
    <row r="14843" spans="6:6">
      <c r="F14843" s="2423"/>
    </row>
    <row r="14844" spans="6:6">
      <c r="F14844" s="2423"/>
    </row>
    <row r="14845" spans="6:6">
      <c r="F14845" s="2423"/>
    </row>
    <row r="14846" spans="6:6">
      <c r="F14846" s="2423"/>
    </row>
    <row r="14847" spans="6:6">
      <c r="F14847" s="2423"/>
    </row>
    <row r="14848" spans="6:6">
      <c r="F14848" s="2423"/>
    </row>
    <row r="14849" spans="6:6">
      <c r="F14849" s="2423"/>
    </row>
    <row r="14850" spans="6:6">
      <c r="F14850" s="2423"/>
    </row>
    <row r="14851" spans="6:6">
      <c r="F14851" s="2423"/>
    </row>
    <row r="14852" spans="6:6">
      <c r="F14852" s="2423"/>
    </row>
    <row r="14853" spans="6:6">
      <c r="F14853" s="2423"/>
    </row>
    <row r="14854" spans="6:6">
      <c r="F14854" s="2423"/>
    </row>
    <row r="14855" spans="6:6">
      <c r="F14855" s="2423"/>
    </row>
    <row r="14856" spans="6:6">
      <c r="F14856" s="2423"/>
    </row>
    <row r="14857" spans="6:6">
      <c r="F14857" s="2423"/>
    </row>
    <row r="14858" spans="6:6">
      <c r="F14858" s="2423"/>
    </row>
    <row r="14859" spans="6:6">
      <c r="F14859" s="2423"/>
    </row>
    <row r="14860" spans="6:6">
      <c r="F14860" s="2423"/>
    </row>
    <row r="14861" spans="6:6">
      <c r="F14861" s="2423"/>
    </row>
    <row r="14862" spans="6:6">
      <c r="F14862" s="2423"/>
    </row>
    <row r="14863" spans="6:6">
      <c r="F14863" s="2423"/>
    </row>
    <row r="14864" spans="6:6">
      <c r="F14864" s="2423"/>
    </row>
    <row r="14865" spans="6:6">
      <c r="F14865" s="2423"/>
    </row>
    <row r="14866" spans="6:6">
      <c r="F14866" s="2423"/>
    </row>
    <row r="14867" spans="6:6">
      <c r="F14867" s="2423"/>
    </row>
    <row r="14868" spans="6:6">
      <c r="F14868" s="2423"/>
    </row>
    <row r="14869" spans="6:6">
      <c r="F14869" s="2423"/>
    </row>
    <row r="14870" spans="6:6">
      <c r="F14870" s="2423"/>
    </row>
    <row r="14871" spans="6:6">
      <c r="F14871" s="2423"/>
    </row>
    <row r="14872" spans="6:6">
      <c r="F14872" s="2423"/>
    </row>
    <row r="14873" spans="6:6">
      <c r="F14873" s="2423"/>
    </row>
    <row r="14874" spans="6:6">
      <c r="F14874" s="2423"/>
    </row>
    <row r="14875" spans="6:6">
      <c r="F14875" s="2423"/>
    </row>
    <row r="14876" spans="6:6">
      <c r="F14876" s="2423"/>
    </row>
    <row r="14877" spans="6:6">
      <c r="F14877" s="2423"/>
    </row>
    <row r="14878" spans="6:6">
      <c r="F14878" s="2423"/>
    </row>
    <row r="14879" spans="6:6">
      <c r="F14879" s="2423"/>
    </row>
    <row r="14880" spans="6:6">
      <c r="F14880" s="2423"/>
    </row>
    <row r="14881" spans="6:6">
      <c r="F14881" s="2423"/>
    </row>
    <row r="14882" spans="6:6">
      <c r="F14882" s="2423"/>
    </row>
    <row r="14883" spans="6:6">
      <c r="F14883" s="2423"/>
    </row>
    <row r="14884" spans="6:6">
      <c r="F14884" s="2423"/>
    </row>
    <row r="14885" spans="6:6">
      <c r="F14885" s="2423"/>
    </row>
    <row r="14886" spans="6:6">
      <c r="F14886" s="2423"/>
    </row>
    <row r="14887" spans="6:6">
      <c r="F14887" s="2423"/>
    </row>
    <row r="14888" spans="6:6">
      <c r="F14888" s="2423"/>
    </row>
    <row r="14889" spans="6:6">
      <c r="F14889" s="2423"/>
    </row>
    <row r="14890" spans="6:6">
      <c r="F14890" s="2423"/>
    </row>
    <row r="14891" spans="6:6">
      <c r="F14891" s="2423"/>
    </row>
    <row r="14892" spans="6:6">
      <c r="F14892" s="2423"/>
    </row>
    <row r="14893" spans="6:6">
      <c r="F14893" s="2423"/>
    </row>
    <row r="14894" spans="6:6">
      <c r="F14894" s="2423"/>
    </row>
    <row r="14895" spans="6:6">
      <c r="F14895" s="2423"/>
    </row>
    <row r="14896" spans="6:6">
      <c r="F14896" s="2423"/>
    </row>
    <row r="14897" spans="6:6">
      <c r="F14897" s="2423"/>
    </row>
    <row r="14898" spans="6:6">
      <c r="F14898" s="2423"/>
    </row>
    <row r="14899" spans="6:6">
      <c r="F14899" s="2423"/>
    </row>
    <row r="14900" spans="6:6">
      <c r="F14900" s="2423"/>
    </row>
    <row r="14901" spans="6:6">
      <c r="F14901" s="2423"/>
    </row>
    <row r="14902" spans="6:6">
      <c r="F14902" s="2423"/>
    </row>
    <row r="14903" spans="6:6">
      <c r="F14903" s="2423"/>
    </row>
    <row r="14904" spans="6:6">
      <c r="F14904" s="2423"/>
    </row>
    <row r="14905" spans="6:6">
      <c r="F14905" s="2423"/>
    </row>
    <row r="14906" spans="6:6">
      <c r="F14906" s="2423"/>
    </row>
    <row r="14907" spans="6:6">
      <c r="F14907" s="2423"/>
    </row>
    <row r="14908" spans="6:6">
      <c r="F14908" s="2423"/>
    </row>
    <row r="14909" spans="6:6">
      <c r="F14909" s="2423"/>
    </row>
    <row r="14910" spans="6:6">
      <c r="F14910" s="2423"/>
    </row>
    <row r="14911" spans="6:6">
      <c r="F14911" s="2423"/>
    </row>
    <row r="14912" spans="6:6">
      <c r="F14912" s="2423"/>
    </row>
    <row r="14913" spans="6:6">
      <c r="F14913" s="2423"/>
    </row>
    <row r="14914" spans="6:6">
      <c r="F14914" s="2423"/>
    </row>
    <row r="14915" spans="6:6">
      <c r="F14915" s="2423"/>
    </row>
    <row r="14916" spans="6:6">
      <c r="F14916" s="2423"/>
    </row>
    <row r="14917" spans="6:6">
      <c r="F14917" s="2423"/>
    </row>
    <row r="14918" spans="6:6">
      <c r="F14918" s="2423"/>
    </row>
    <row r="14919" spans="6:6">
      <c r="F14919" s="2423"/>
    </row>
    <row r="14920" spans="6:6">
      <c r="F14920" s="2423"/>
    </row>
    <row r="14921" spans="6:6">
      <c r="F14921" s="2423"/>
    </row>
    <row r="14922" spans="6:6">
      <c r="F14922" s="2423"/>
    </row>
    <row r="14923" spans="6:6">
      <c r="F14923" s="2423"/>
    </row>
    <row r="14924" spans="6:6">
      <c r="F14924" s="2423"/>
    </row>
    <row r="14925" spans="6:6">
      <c r="F14925" s="2423"/>
    </row>
    <row r="14926" spans="6:6">
      <c r="F14926" s="2423"/>
    </row>
    <row r="14927" spans="6:6">
      <c r="F14927" s="2423"/>
    </row>
    <row r="14928" spans="6:6">
      <c r="F14928" s="2423"/>
    </row>
    <row r="14929" spans="6:6">
      <c r="F14929" s="2423"/>
    </row>
    <row r="14930" spans="6:6">
      <c r="F14930" s="2423"/>
    </row>
    <row r="14931" spans="6:6">
      <c r="F14931" s="2423"/>
    </row>
    <row r="14932" spans="6:6">
      <c r="F14932" s="2423"/>
    </row>
    <row r="14933" spans="6:6">
      <c r="F14933" s="2423"/>
    </row>
    <row r="14934" spans="6:6">
      <c r="F14934" s="2423"/>
    </row>
    <row r="14935" spans="6:6">
      <c r="F14935" s="2423"/>
    </row>
    <row r="14936" spans="6:6">
      <c r="F14936" s="2423"/>
    </row>
    <row r="14937" spans="6:6">
      <c r="F14937" s="2423"/>
    </row>
    <row r="14938" spans="6:6">
      <c r="F14938" s="2423"/>
    </row>
    <row r="14939" spans="6:6">
      <c r="F14939" s="2423"/>
    </row>
    <row r="14940" spans="6:6">
      <c r="F14940" s="2423"/>
    </row>
    <row r="14941" spans="6:6">
      <c r="F14941" s="2423"/>
    </row>
    <row r="14942" spans="6:6">
      <c r="F14942" s="2423"/>
    </row>
    <row r="14943" spans="6:6">
      <c r="F14943" s="2423"/>
    </row>
    <row r="14944" spans="6:6">
      <c r="F14944" s="2423"/>
    </row>
    <row r="14945" spans="6:6">
      <c r="F14945" s="2423"/>
    </row>
    <row r="14946" spans="6:6">
      <c r="F14946" s="2423"/>
    </row>
    <row r="14947" spans="6:6">
      <c r="F14947" s="2423"/>
    </row>
    <row r="14948" spans="6:6">
      <c r="F14948" s="2423"/>
    </row>
    <row r="14949" spans="6:6">
      <c r="F14949" s="2423"/>
    </row>
    <row r="14950" spans="6:6">
      <c r="F14950" s="2423"/>
    </row>
    <row r="14951" spans="6:6">
      <c r="F14951" s="2423"/>
    </row>
    <row r="14952" spans="6:6">
      <c r="F14952" s="2423"/>
    </row>
    <row r="14953" spans="6:6">
      <c r="F14953" s="2423"/>
    </row>
    <row r="14954" spans="6:6">
      <c r="F14954" s="2423"/>
    </row>
    <row r="14955" spans="6:6">
      <c r="F14955" s="2423"/>
    </row>
    <row r="14956" spans="6:6">
      <c r="F14956" s="2423"/>
    </row>
    <row r="14957" spans="6:6">
      <c r="F14957" s="2423"/>
    </row>
    <row r="14958" spans="6:6">
      <c r="F14958" s="2423"/>
    </row>
    <row r="14959" spans="6:6">
      <c r="F14959" s="2423"/>
    </row>
    <row r="14960" spans="6:6">
      <c r="F14960" s="2423"/>
    </row>
    <row r="14961" spans="6:6">
      <c r="F14961" s="2423"/>
    </row>
    <row r="14962" spans="6:6">
      <c r="F14962" s="2423"/>
    </row>
    <row r="14963" spans="6:6">
      <c r="F14963" s="2423"/>
    </row>
    <row r="14964" spans="6:6">
      <c r="F14964" s="2423"/>
    </row>
    <row r="14965" spans="6:6">
      <c r="F14965" s="2423"/>
    </row>
    <row r="14966" spans="6:6">
      <c r="F14966" s="2423"/>
    </row>
    <row r="14967" spans="6:6">
      <c r="F14967" s="2423"/>
    </row>
    <row r="14968" spans="6:6">
      <c r="F14968" s="2423"/>
    </row>
    <row r="14969" spans="6:6">
      <c r="F14969" s="2423"/>
    </row>
    <row r="14970" spans="6:6">
      <c r="F14970" s="2423"/>
    </row>
    <row r="14971" spans="6:6">
      <c r="F14971" s="2423"/>
    </row>
    <row r="14972" spans="6:6">
      <c r="F14972" s="2423"/>
    </row>
    <row r="14973" spans="6:6">
      <c r="F14973" s="2423"/>
    </row>
    <row r="14974" spans="6:6">
      <c r="F14974" s="2423"/>
    </row>
    <row r="14975" spans="6:6">
      <c r="F14975" s="2423"/>
    </row>
    <row r="14976" spans="6:6">
      <c r="F14976" s="2423"/>
    </row>
    <row r="14977" spans="6:6">
      <c r="F14977" s="2423"/>
    </row>
    <row r="14978" spans="6:6">
      <c r="F14978" s="2423"/>
    </row>
    <row r="14979" spans="6:6">
      <c r="F14979" s="2423"/>
    </row>
    <row r="14980" spans="6:6">
      <c r="F14980" s="2423"/>
    </row>
    <row r="14981" spans="6:6">
      <c r="F14981" s="2423"/>
    </row>
    <row r="14982" spans="6:6">
      <c r="F14982" s="2423"/>
    </row>
    <row r="14983" spans="6:6">
      <c r="F14983" s="2423"/>
    </row>
    <row r="14984" spans="6:6">
      <c r="F14984" s="2423"/>
    </row>
    <row r="14985" spans="6:6">
      <c r="F14985" s="2423"/>
    </row>
    <row r="14986" spans="6:6">
      <c r="F14986" s="2423"/>
    </row>
    <row r="14987" spans="6:6">
      <c r="F14987" s="2423"/>
    </row>
    <row r="14988" spans="6:6">
      <c r="F14988" s="2423"/>
    </row>
    <row r="14989" spans="6:6">
      <c r="F14989" s="2423"/>
    </row>
    <row r="14990" spans="6:6">
      <c r="F14990" s="2423"/>
    </row>
    <row r="14991" spans="6:6">
      <c r="F14991" s="2423"/>
    </row>
    <row r="14992" spans="6:6">
      <c r="F14992" s="2423"/>
    </row>
    <row r="14993" spans="6:6">
      <c r="F14993" s="2423"/>
    </row>
    <row r="14994" spans="6:6">
      <c r="F14994" s="2423"/>
    </row>
    <row r="14995" spans="6:6">
      <c r="F14995" s="2423"/>
    </row>
    <row r="14996" spans="6:6">
      <c r="F14996" s="2423"/>
    </row>
    <row r="14997" spans="6:6">
      <c r="F14997" s="2423"/>
    </row>
    <row r="14998" spans="6:6">
      <c r="F14998" s="2423"/>
    </row>
    <row r="14999" spans="6:6">
      <c r="F14999" s="2423"/>
    </row>
    <row r="15000" spans="6:6">
      <c r="F15000" s="2423"/>
    </row>
    <row r="15001" spans="6:6">
      <c r="F15001" s="2423"/>
    </row>
    <row r="15002" spans="6:6">
      <c r="F15002" s="2423"/>
    </row>
    <row r="15003" spans="6:6">
      <c r="F15003" s="2423"/>
    </row>
    <row r="15004" spans="6:6">
      <c r="F15004" s="2423"/>
    </row>
    <row r="15005" spans="6:6">
      <c r="F15005" s="2423"/>
    </row>
    <row r="15006" spans="6:6">
      <c r="F15006" s="2423"/>
    </row>
    <row r="15007" spans="6:6">
      <c r="F15007" s="2423"/>
    </row>
    <row r="15008" spans="6:6">
      <c r="F15008" s="2423"/>
    </row>
    <row r="15009" spans="6:6">
      <c r="F15009" s="2423"/>
    </row>
    <row r="15010" spans="6:6">
      <c r="F15010" s="2423"/>
    </row>
    <row r="15011" spans="6:6">
      <c r="F15011" s="2423"/>
    </row>
    <row r="15012" spans="6:6">
      <c r="F15012" s="2423"/>
    </row>
    <row r="15013" spans="6:6">
      <c r="F15013" s="2423"/>
    </row>
    <row r="15014" spans="6:6">
      <c r="F15014" s="2423"/>
    </row>
    <row r="15015" spans="6:6">
      <c r="F15015" s="2423"/>
    </row>
    <row r="15016" spans="6:6">
      <c r="F15016" s="2423"/>
    </row>
    <row r="15017" spans="6:6">
      <c r="F15017" s="2423"/>
    </row>
    <row r="15018" spans="6:6">
      <c r="F15018" s="2423"/>
    </row>
    <row r="15019" spans="6:6">
      <c r="F15019" s="2423"/>
    </row>
    <row r="15020" spans="6:6">
      <c r="F15020" s="2423"/>
    </row>
    <row r="15021" spans="6:6">
      <c r="F15021" s="2423"/>
    </row>
    <row r="15022" spans="6:6">
      <c r="F15022" s="2423"/>
    </row>
    <row r="15023" spans="6:6">
      <c r="F15023" s="2423"/>
    </row>
    <row r="15024" spans="6:6">
      <c r="F15024" s="2423"/>
    </row>
    <row r="15025" spans="6:6">
      <c r="F15025" s="2423"/>
    </row>
    <row r="15026" spans="6:6">
      <c r="F15026" s="2423"/>
    </row>
    <row r="15027" spans="6:6">
      <c r="F15027" s="2423"/>
    </row>
    <row r="15028" spans="6:6">
      <c r="F15028" s="2423"/>
    </row>
    <row r="15029" spans="6:6">
      <c r="F15029" s="2423"/>
    </row>
    <row r="15030" spans="6:6">
      <c r="F15030" s="2423"/>
    </row>
    <row r="15031" spans="6:6">
      <c r="F15031" s="2423"/>
    </row>
    <row r="15032" spans="6:6">
      <c r="F15032" s="2423"/>
    </row>
    <row r="15033" spans="6:6">
      <c r="F15033" s="2423"/>
    </row>
    <row r="15034" spans="6:6">
      <c r="F15034" s="2423"/>
    </row>
    <row r="15035" spans="6:6">
      <c r="F15035" s="2423"/>
    </row>
    <row r="15036" spans="6:6">
      <c r="F15036" s="2423"/>
    </row>
    <row r="15037" spans="6:6">
      <c r="F15037" s="2423"/>
    </row>
    <row r="15038" spans="6:6">
      <c r="F15038" s="2423"/>
    </row>
    <row r="15039" spans="6:6">
      <c r="F15039" s="2423"/>
    </row>
    <row r="15040" spans="6:6">
      <c r="F15040" s="2423"/>
    </row>
    <row r="15041" spans="6:6">
      <c r="F15041" s="2423"/>
    </row>
    <row r="15042" spans="6:6">
      <c r="F15042" s="2423"/>
    </row>
    <row r="15043" spans="6:6">
      <c r="F15043" s="2423"/>
    </row>
    <row r="15044" spans="6:6">
      <c r="F15044" s="2423"/>
    </row>
    <row r="15045" spans="6:6">
      <c r="F15045" s="2423"/>
    </row>
    <row r="15046" spans="6:6">
      <c r="F15046" s="2423"/>
    </row>
    <row r="15047" spans="6:6">
      <c r="F15047" s="2423"/>
    </row>
    <row r="15048" spans="6:6">
      <c r="F15048" s="2423"/>
    </row>
    <row r="15049" spans="6:6">
      <c r="F15049" s="2423"/>
    </row>
    <row r="15050" spans="6:6">
      <c r="F15050" s="2423"/>
    </row>
    <row r="15051" spans="6:6">
      <c r="F15051" s="2423"/>
    </row>
    <row r="15052" spans="6:6">
      <c r="F15052" s="2423"/>
    </row>
    <row r="15053" spans="6:6">
      <c r="F15053" s="2423"/>
    </row>
    <row r="15054" spans="6:6">
      <c r="F15054" s="2423"/>
    </row>
    <row r="15055" spans="6:6">
      <c r="F15055" s="2423"/>
    </row>
    <row r="15056" spans="6:6">
      <c r="F15056" s="2423"/>
    </row>
    <row r="15057" spans="6:6">
      <c r="F15057" s="2423"/>
    </row>
    <row r="15058" spans="6:6">
      <c r="F15058" s="2423"/>
    </row>
    <row r="15059" spans="6:6">
      <c r="F15059" s="2423"/>
    </row>
    <row r="15060" spans="6:6">
      <c r="F15060" s="2423"/>
    </row>
    <row r="15061" spans="6:6">
      <c r="F15061" s="2423"/>
    </row>
    <row r="15062" spans="6:6">
      <c r="F15062" s="2423"/>
    </row>
    <row r="15063" spans="6:6">
      <c r="F15063" s="2423"/>
    </row>
    <row r="15064" spans="6:6">
      <c r="F15064" s="2423"/>
    </row>
    <row r="15065" spans="6:6">
      <c r="F15065" s="2423"/>
    </row>
    <row r="15066" spans="6:6">
      <c r="F15066" s="2423"/>
    </row>
    <row r="15067" spans="6:6">
      <c r="F15067" s="2423"/>
    </row>
    <row r="15068" spans="6:6">
      <c r="F15068" s="2423"/>
    </row>
    <row r="15069" spans="6:6">
      <c r="F15069" s="2423"/>
    </row>
    <row r="15070" spans="6:6">
      <c r="F15070" s="2423"/>
    </row>
    <row r="15071" spans="6:6">
      <c r="F15071" s="2423"/>
    </row>
    <row r="15072" spans="6:6">
      <c r="F15072" s="2423"/>
    </row>
    <row r="15073" spans="6:6">
      <c r="F15073" s="2423"/>
    </row>
    <row r="15074" spans="6:6">
      <c r="F15074" s="2423"/>
    </row>
    <row r="15075" spans="6:6">
      <c r="F15075" s="2423"/>
    </row>
    <row r="15076" spans="6:6">
      <c r="F15076" s="2423"/>
    </row>
    <row r="15077" spans="6:6">
      <c r="F15077" s="2423"/>
    </row>
    <row r="15078" spans="6:6">
      <c r="F15078" s="2423"/>
    </row>
    <row r="15079" spans="6:6">
      <c r="F15079" s="2423"/>
    </row>
    <row r="15080" spans="6:6">
      <c r="F15080" s="2423"/>
    </row>
    <row r="15081" spans="6:6">
      <c r="F15081" s="2423"/>
    </row>
    <row r="15082" spans="6:6">
      <c r="F15082" s="2423"/>
    </row>
    <row r="15083" spans="6:6">
      <c r="F15083" s="2423"/>
    </row>
    <row r="15084" spans="6:6">
      <c r="F15084" s="2423"/>
    </row>
    <row r="15085" spans="6:6">
      <c r="F15085" s="2423"/>
    </row>
    <row r="15086" spans="6:6">
      <c r="F15086" s="2423"/>
    </row>
    <row r="15087" spans="6:6">
      <c r="F15087" s="2423"/>
    </row>
    <row r="15088" spans="6:6">
      <c r="F15088" s="2423"/>
    </row>
    <row r="15089" spans="6:6">
      <c r="F15089" s="2423"/>
    </row>
    <row r="15090" spans="6:6">
      <c r="F15090" s="2423"/>
    </row>
    <row r="15091" spans="6:6">
      <c r="F15091" s="2423"/>
    </row>
    <row r="15092" spans="6:6">
      <c r="F15092" s="2423"/>
    </row>
    <row r="15093" spans="6:6">
      <c r="F15093" s="2423"/>
    </row>
    <row r="15094" spans="6:6">
      <c r="F15094" s="2423"/>
    </row>
    <row r="15095" spans="6:6">
      <c r="F15095" s="2423"/>
    </row>
    <row r="15096" spans="6:6">
      <c r="F15096" s="2423"/>
    </row>
    <row r="15097" spans="6:6">
      <c r="F15097" s="2423"/>
    </row>
    <row r="15098" spans="6:6">
      <c r="F15098" s="2423"/>
    </row>
    <row r="15099" spans="6:6">
      <c r="F15099" s="2423"/>
    </row>
    <row r="15100" spans="6:6">
      <c r="F15100" s="2423"/>
    </row>
    <row r="15101" spans="6:6">
      <c r="F15101" s="2423"/>
    </row>
    <row r="15102" spans="6:6">
      <c r="F15102" s="2423"/>
    </row>
    <row r="15103" spans="6:6">
      <c r="F15103" s="2423"/>
    </row>
    <row r="15104" spans="6:6">
      <c r="F15104" s="2423"/>
    </row>
    <row r="15105" spans="6:6">
      <c r="F15105" s="2423"/>
    </row>
    <row r="15106" spans="6:6">
      <c r="F15106" s="2423"/>
    </row>
    <row r="15107" spans="6:6">
      <c r="F15107" s="2423"/>
    </row>
    <row r="15108" spans="6:6">
      <c r="F15108" s="2423"/>
    </row>
    <row r="15109" spans="6:6">
      <c r="F15109" s="2423"/>
    </row>
    <row r="15110" spans="6:6">
      <c r="F15110" s="2423"/>
    </row>
    <row r="15111" spans="6:6">
      <c r="F15111" s="2423"/>
    </row>
    <row r="15112" spans="6:6">
      <c r="F15112" s="2423"/>
    </row>
    <row r="15113" spans="6:6">
      <c r="F15113" s="2423"/>
    </row>
    <row r="15114" spans="6:6">
      <c r="F15114" s="2423"/>
    </row>
    <row r="15115" spans="6:6">
      <c r="F15115" s="2423"/>
    </row>
    <row r="15116" spans="6:6">
      <c r="F15116" s="2423"/>
    </row>
    <row r="15117" spans="6:6">
      <c r="F15117" s="2423"/>
    </row>
    <row r="15118" spans="6:6">
      <c r="F15118" s="2423"/>
    </row>
    <row r="15119" spans="6:6">
      <c r="F15119" s="2423"/>
    </row>
    <row r="15120" spans="6:6">
      <c r="F15120" s="2423"/>
    </row>
    <row r="15121" spans="6:6">
      <c r="F15121" s="2423"/>
    </row>
    <row r="15122" spans="6:6">
      <c r="F15122" s="2423"/>
    </row>
    <row r="15123" spans="6:6">
      <c r="F15123" s="2423"/>
    </row>
    <row r="15124" spans="6:6">
      <c r="F15124" s="2423"/>
    </row>
    <row r="15125" spans="6:6">
      <c r="F15125" s="2423"/>
    </row>
    <row r="15126" spans="6:6">
      <c r="F15126" s="2423"/>
    </row>
    <row r="15127" spans="6:6">
      <c r="F15127" s="2423"/>
    </row>
    <row r="15128" spans="6:6">
      <c r="F15128" s="2423"/>
    </row>
    <row r="15129" spans="6:6">
      <c r="F15129" s="2423"/>
    </row>
    <row r="15130" spans="6:6">
      <c r="F15130" s="2423"/>
    </row>
    <row r="15131" spans="6:6">
      <c r="F15131" s="2423"/>
    </row>
    <row r="15132" spans="6:6">
      <c r="F15132" s="2423"/>
    </row>
    <row r="15133" spans="6:6">
      <c r="F15133" s="2423"/>
    </row>
    <row r="15134" spans="6:6">
      <c r="F15134" s="2423"/>
    </row>
    <row r="15135" spans="6:6">
      <c r="F15135" s="2423"/>
    </row>
    <row r="15136" spans="6:6">
      <c r="F15136" s="2423"/>
    </row>
    <row r="15137" spans="6:6">
      <c r="F15137" s="2423"/>
    </row>
    <row r="15138" spans="6:6">
      <c r="F15138" s="2423"/>
    </row>
    <row r="15139" spans="6:6">
      <c r="F15139" s="2423"/>
    </row>
    <row r="15140" spans="6:6">
      <c r="F15140" s="2423"/>
    </row>
    <row r="15141" spans="6:6">
      <c r="F15141" s="2423"/>
    </row>
    <row r="15142" spans="6:6">
      <c r="F15142" s="2423"/>
    </row>
    <row r="15143" spans="6:6">
      <c r="F15143" s="2423"/>
    </row>
    <row r="15144" spans="6:6">
      <c r="F15144" s="2423"/>
    </row>
    <row r="15145" spans="6:6">
      <c r="F15145" s="2423"/>
    </row>
    <row r="15146" spans="6:6">
      <c r="F15146" s="2423"/>
    </row>
    <row r="15147" spans="6:6">
      <c r="F15147" s="2423"/>
    </row>
    <row r="15148" spans="6:6">
      <c r="F15148" s="2423"/>
    </row>
    <row r="15149" spans="6:6">
      <c r="F15149" s="2423"/>
    </row>
    <row r="15150" spans="6:6">
      <c r="F15150" s="2423"/>
    </row>
    <row r="15151" spans="6:6">
      <c r="F15151" s="2423"/>
    </row>
    <row r="15152" spans="6:6">
      <c r="F15152" s="2423"/>
    </row>
    <row r="15153" spans="6:6">
      <c r="F15153" s="2423"/>
    </row>
    <row r="15154" spans="6:6">
      <c r="F15154" s="2423"/>
    </row>
    <row r="15155" spans="6:6">
      <c r="F15155" s="2423"/>
    </row>
    <row r="15156" spans="6:6">
      <c r="F15156" s="2423"/>
    </row>
    <row r="15157" spans="6:6">
      <c r="F15157" s="2423"/>
    </row>
    <row r="15158" spans="6:6">
      <c r="F15158" s="2423"/>
    </row>
    <row r="15159" spans="6:6">
      <c r="F15159" s="2423"/>
    </row>
    <row r="15160" spans="6:6">
      <c r="F15160" s="2423"/>
    </row>
    <row r="15161" spans="6:6">
      <c r="F15161" s="2423"/>
    </row>
    <row r="15162" spans="6:6">
      <c r="F15162" s="2423"/>
    </row>
    <row r="15163" spans="6:6">
      <c r="F15163" s="2423"/>
    </row>
    <row r="15164" spans="6:6">
      <c r="F15164" s="2423"/>
    </row>
    <row r="15165" spans="6:6">
      <c r="F15165" s="2423"/>
    </row>
    <row r="15166" spans="6:6">
      <c r="F15166" s="2423"/>
    </row>
    <row r="15167" spans="6:6">
      <c r="F15167" s="2423"/>
    </row>
    <row r="15168" spans="6:6">
      <c r="F15168" s="2423"/>
    </row>
    <row r="15169" spans="6:6">
      <c r="F15169" s="2423"/>
    </row>
    <row r="15170" spans="6:6">
      <c r="F15170" s="2423"/>
    </row>
    <row r="15171" spans="6:6">
      <c r="F15171" s="2423"/>
    </row>
    <row r="15172" spans="6:6">
      <c r="F15172" s="2423"/>
    </row>
    <row r="15173" spans="6:6">
      <c r="F15173" s="2423"/>
    </row>
    <row r="15174" spans="6:6">
      <c r="F15174" s="2423"/>
    </row>
    <row r="15175" spans="6:6">
      <c r="F15175" s="2423"/>
    </row>
    <row r="15176" spans="6:6">
      <c r="F15176" s="2423"/>
    </row>
    <row r="15177" spans="6:6">
      <c r="F15177" s="2423"/>
    </row>
    <row r="15178" spans="6:6">
      <c r="F15178" s="2423"/>
    </row>
    <row r="15179" spans="6:6">
      <c r="F15179" s="2423"/>
    </row>
    <row r="15180" spans="6:6">
      <c r="F15180" s="2423"/>
    </row>
    <row r="15181" spans="6:6">
      <c r="F15181" s="2423"/>
    </row>
    <row r="15182" spans="6:6">
      <c r="F15182" s="2423"/>
    </row>
    <row r="15183" spans="6:6">
      <c r="F15183" s="2423"/>
    </row>
    <row r="15184" spans="6:6">
      <c r="F15184" s="2423"/>
    </row>
    <row r="15185" spans="6:6">
      <c r="F15185" s="2423"/>
    </row>
    <row r="15186" spans="6:6">
      <c r="F15186" s="2423"/>
    </row>
    <row r="15187" spans="6:6">
      <c r="F15187" s="2423"/>
    </row>
    <row r="15188" spans="6:6">
      <c r="F15188" s="2423"/>
    </row>
    <row r="15189" spans="6:6">
      <c r="F15189" s="2423"/>
    </row>
    <row r="15190" spans="6:6">
      <c r="F15190" s="2423"/>
    </row>
    <row r="15191" spans="6:6">
      <c r="F15191" s="2423"/>
    </row>
    <row r="15192" spans="6:6">
      <c r="F15192" s="2423"/>
    </row>
    <row r="15193" spans="6:6">
      <c r="F15193" s="2423"/>
    </row>
    <row r="15194" spans="6:6">
      <c r="F15194" s="2423"/>
    </row>
    <row r="15195" spans="6:6">
      <c r="F15195" s="2423"/>
    </row>
    <row r="15196" spans="6:6">
      <c r="F15196" s="2423"/>
    </row>
    <row r="15197" spans="6:6">
      <c r="F15197" s="2423"/>
    </row>
    <row r="15198" spans="6:6">
      <c r="F15198" s="2423"/>
    </row>
    <row r="15199" spans="6:6">
      <c r="F15199" s="2423"/>
    </row>
    <row r="15200" spans="6:6">
      <c r="F15200" s="2423"/>
    </row>
    <row r="15201" spans="6:6">
      <c r="F15201" s="2423"/>
    </row>
    <row r="15202" spans="6:6">
      <c r="F15202" s="2423"/>
    </row>
    <row r="15203" spans="6:6">
      <c r="F15203" s="2423"/>
    </row>
    <row r="15204" spans="6:6">
      <c r="F15204" s="2423"/>
    </row>
    <row r="15205" spans="6:6">
      <c r="F15205" s="2423"/>
    </row>
    <row r="15206" spans="6:6">
      <c r="F15206" s="2423"/>
    </row>
    <row r="15207" spans="6:6">
      <c r="F15207" s="2423"/>
    </row>
    <row r="15208" spans="6:6">
      <c r="F15208" s="2423"/>
    </row>
    <row r="15209" spans="6:6">
      <c r="F15209" s="2423"/>
    </row>
    <row r="15210" spans="6:6">
      <c r="F15210" s="2423"/>
    </row>
    <row r="15211" spans="6:6">
      <c r="F15211" s="2423"/>
    </row>
    <row r="15212" spans="6:6">
      <c r="F15212" s="2423"/>
    </row>
    <row r="15213" spans="6:6">
      <c r="F15213" s="2423"/>
    </row>
    <row r="15214" spans="6:6">
      <c r="F15214" s="2423"/>
    </row>
    <row r="15215" spans="6:6">
      <c r="F15215" s="2423"/>
    </row>
    <row r="15216" spans="6:6">
      <c r="F15216" s="2423"/>
    </row>
    <row r="15217" spans="6:6">
      <c r="F15217" s="2423"/>
    </row>
    <row r="15218" spans="6:6">
      <c r="F15218" s="2423"/>
    </row>
    <row r="15219" spans="6:6">
      <c r="F15219" s="2423"/>
    </row>
    <row r="15220" spans="6:6">
      <c r="F15220" s="2423"/>
    </row>
    <row r="15221" spans="6:6">
      <c r="F15221" s="2423"/>
    </row>
    <row r="15222" spans="6:6">
      <c r="F15222" s="2423"/>
    </row>
    <row r="15223" spans="6:6">
      <c r="F15223" s="2423"/>
    </row>
    <row r="15224" spans="6:6">
      <c r="F15224" s="2423"/>
    </row>
    <row r="15225" spans="6:6">
      <c r="F15225" s="2423"/>
    </row>
    <row r="15226" spans="6:6">
      <c r="F15226" s="2423"/>
    </row>
    <row r="15227" spans="6:6">
      <c r="F15227" s="2423"/>
    </row>
    <row r="15228" spans="6:6">
      <c r="F15228" s="2423"/>
    </row>
    <row r="15229" spans="6:6">
      <c r="F15229" s="2423"/>
    </row>
    <row r="15230" spans="6:6">
      <c r="F15230" s="2423"/>
    </row>
    <row r="15231" spans="6:6">
      <c r="F15231" s="2423"/>
    </row>
    <row r="15232" spans="6:6">
      <c r="F15232" s="2423"/>
    </row>
    <row r="15233" spans="6:6">
      <c r="F15233" s="2423"/>
    </row>
    <row r="15234" spans="6:6">
      <c r="F15234" s="2423"/>
    </row>
    <row r="15235" spans="6:6">
      <c r="F15235" s="2423"/>
    </row>
    <row r="15236" spans="6:6">
      <c r="F15236" s="2423"/>
    </row>
    <row r="15237" spans="6:6">
      <c r="F15237" s="2423"/>
    </row>
    <row r="15238" spans="6:6">
      <c r="F15238" s="2423"/>
    </row>
    <row r="15239" spans="6:6">
      <c r="F15239" s="2423"/>
    </row>
    <row r="15240" spans="6:6">
      <c r="F15240" s="2423"/>
    </row>
    <row r="15241" spans="6:6">
      <c r="F15241" s="2423"/>
    </row>
    <row r="15242" spans="6:6">
      <c r="F15242" s="2423"/>
    </row>
    <row r="15243" spans="6:6">
      <c r="F15243" s="2423"/>
    </row>
    <row r="15244" spans="6:6">
      <c r="F15244" s="2423"/>
    </row>
    <row r="15245" spans="6:6">
      <c r="F15245" s="2423"/>
    </row>
    <row r="15246" spans="6:6">
      <c r="F15246" s="2423"/>
    </row>
    <row r="15247" spans="6:6">
      <c r="F15247" s="2423"/>
    </row>
    <row r="15248" spans="6:6">
      <c r="F15248" s="2423"/>
    </row>
    <row r="15249" spans="6:6">
      <c r="F15249" s="2423"/>
    </row>
    <row r="15250" spans="6:6">
      <c r="F15250" s="2423"/>
    </row>
    <row r="15251" spans="6:6">
      <c r="F15251" s="2423"/>
    </row>
    <row r="15252" spans="6:6">
      <c r="F15252" s="2423"/>
    </row>
    <row r="15253" spans="6:6">
      <c r="F15253" s="2423"/>
    </row>
    <row r="15254" spans="6:6">
      <c r="F15254" s="2423"/>
    </row>
    <row r="15255" spans="6:6">
      <c r="F15255" s="2423"/>
    </row>
    <row r="15256" spans="6:6">
      <c r="F15256" s="2423"/>
    </row>
    <row r="15257" spans="6:6">
      <c r="F15257" s="2423"/>
    </row>
    <row r="15258" spans="6:6">
      <c r="F15258" s="2423"/>
    </row>
    <row r="15259" spans="6:6">
      <c r="F15259" s="2423"/>
    </row>
    <row r="15260" spans="6:6">
      <c r="F15260" s="2423"/>
    </row>
    <row r="15261" spans="6:6">
      <c r="F15261" s="2423"/>
    </row>
    <row r="15262" spans="6:6">
      <c r="F15262" s="2423"/>
    </row>
    <row r="15263" spans="6:6">
      <c r="F15263" s="2423"/>
    </row>
    <row r="15264" spans="6:6">
      <c r="F15264" s="2423"/>
    </row>
    <row r="15265" spans="6:6">
      <c r="F15265" s="2423"/>
    </row>
    <row r="15266" spans="6:6">
      <c r="F15266" s="2423"/>
    </row>
    <row r="15267" spans="6:6">
      <c r="F15267" s="2423"/>
    </row>
    <row r="15268" spans="6:6">
      <c r="F15268" s="2423"/>
    </row>
    <row r="15269" spans="6:6">
      <c r="F15269" s="2423"/>
    </row>
    <row r="15270" spans="6:6">
      <c r="F15270" s="2423"/>
    </row>
    <row r="15271" spans="6:6">
      <c r="F15271" s="2423"/>
    </row>
    <row r="15272" spans="6:6">
      <c r="F15272" s="2423"/>
    </row>
    <row r="15273" spans="6:6">
      <c r="F15273" s="2423"/>
    </row>
    <row r="15274" spans="6:6">
      <c r="F15274" s="2423"/>
    </row>
    <row r="15275" spans="6:6">
      <c r="F15275" s="2423"/>
    </row>
    <row r="15276" spans="6:6">
      <c r="F15276" s="2423"/>
    </row>
    <row r="15277" spans="6:6">
      <c r="F15277" s="2423"/>
    </row>
    <row r="15278" spans="6:6">
      <c r="F15278" s="2423"/>
    </row>
    <row r="15279" spans="6:6">
      <c r="F15279" s="2423"/>
    </row>
    <row r="15280" spans="6:6">
      <c r="F15280" s="2423"/>
    </row>
    <row r="15281" spans="6:6">
      <c r="F15281" s="2423"/>
    </row>
    <row r="15282" spans="6:6">
      <c r="F15282" s="2423"/>
    </row>
    <row r="15283" spans="6:6">
      <c r="F15283" s="2423"/>
    </row>
    <row r="15284" spans="6:6">
      <c r="F15284" s="2423"/>
    </row>
    <row r="15285" spans="6:6">
      <c r="F15285" s="2423"/>
    </row>
    <row r="15286" spans="6:6">
      <c r="F15286" s="2423"/>
    </row>
    <row r="15287" spans="6:6">
      <c r="F15287" s="2423"/>
    </row>
    <row r="15288" spans="6:6">
      <c r="F15288" s="2423"/>
    </row>
    <row r="15289" spans="6:6">
      <c r="F15289" s="2423"/>
    </row>
    <row r="15290" spans="6:6">
      <c r="F15290" s="2423"/>
    </row>
    <row r="15291" spans="6:6">
      <c r="F15291" s="2423"/>
    </row>
    <row r="15292" spans="6:6">
      <c r="F15292" s="2423"/>
    </row>
    <row r="15293" spans="6:6">
      <c r="F15293" s="2423"/>
    </row>
    <row r="15294" spans="6:6">
      <c r="F15294" s="2423"/>
    </row>
    <row r="15295" spans="6:6">
      <c r="F15295" s="2423"/>
    </row>
    <row r="15296" spans="6:6">
      <c r="F15296" s="2423"/>
    </row>
    <row r="15297" spans="6:6">
      <c r="F15297" s="2423"/>
    </row>
    <row r="15298" spans="6:6">
      <c r="F15298" s="2423"/>
    </row>
    <row r="15299" spans="6:6">
      <c r="F15299" s="2423"/>
    </row>
    <row r="15300" spans="6:6">
      <c r="F15300" s="2423"/>
    </row>
    <row r="15301" spans="6:6">
      <c r="F15301" s="2423"/>
    </row>
    <row r="15302" spans="6:6">
      <c r="F15302" s="2423"/>
    </row>
    <row r="15303" spans="6:6">
      <c r="F15303" s="2423"/>
    </row>
    <row r="15304" spans="6:6">
      <c r="F15304" s="2423"/>
    </row>
    <row r="15305" spans="6:6">
      <c r="F15305" s="2423"/>
    </row>
    <row r="15306" spans="6:6">
      <c r="F15306" s="2423"/>
    </row>
    <row r="15307" spans="6:6">
      <c r="F15307" s="2423"/>
    </row>
    <row r="15308" spans="6:6">
      <c r="F15308" s="2423"/>
    </row>
    <row r="15309" spans="6:6">
      <c r="F15309" s="2423"/>
    </row>
    <row r="15310" spans="6:6">
      <c r="F15310" s="2423"/>
    </row>
    <row r="15311" spans="6:6">
      <c r="F15311" s="2423"/>
    </row>
    <row r="15312" spans="6:6">
      <c r="F15312" s="2423"/>
    </row>
    <row r="15313" spans="6:6">
      <c r="F15313" s="2423"/>
    </row>
    <row r="15314" spans="6:6">
      <c r="F15314" s="2423"/>
    </row>
    <row r="15315" spans="6:6">
      <c r="F15315" s="2423"/>
    </row>
    <row r="15316" spans="6:6">
      <c r="F15316" s="2423"/>
    </row>
    <row r="15317" spans="6:6">
      <c r="F15317" s="2423"/>
    </row>
    <row r="15318" spans="6:6">
      <c r="F15318" s="2423"/>
    </row>
    <row r="15319" spans="6:6">
      <c r="F15319" s="2423"/>
    </row>
    <row r="15320" spans="6:6">
      <c r="F15320" s="2423"/>
    </row>
    <row r="15321" spans="6:6">
      <c r="F15321" s="2423"/>
    </row>
    <row r="15322" spans="6:6">
      <c r="F15322" s="2423"/>
    </row>
    <row r="15323" spans="6:6">
      <c r="F15323" s="2423"/>
    </row>
    <row r="15324" spans="6:6">
      <c r="F15324" s="2423"/>
    </row>
    <row r="15325" spans="6:6">
      <c r="F15325" s="2423"/>
    </row>
    <row r="15326" spans="6:6">
      <c r="F15326" s="2423"/>
    </row>
    <row r="15327" spans="6:6">
      <c r="F15327" s="2423"/>
    </row>
    <row r="15328" spans="6:6">
      <c r="F15328" s="2423"/>
    </row>
    <row r="15329" spans="6:6">
      <c r="F15329" s="2423"/>
    </row>
    <row r="15330" spans="6:6">
      <c r="F15330" s="2423"/>
    </row>
    <row r="15331" spans="6:6">
      <c r="F15331" s="2423"/>
    </row>
    <row r="15332" spans="6:6">
      <c r="F15332" s="2423"/>
    </row>
    <row r="15333" spans="6:6">
      <c r="F15333" s="2423"/>
    </row>
    <row r="15334" spans="6:6">
      <c r="F15334" s="2423"/>
    </row>
    <row r="15335" spans="6:6">
      <c r="F15335" s="2423"/>
    </row>
    <row r="15336" spans="6:6">
      <c r="F15336" s="2423"/>
    </row>
    <row r="15337" spans="6:6">
      <c r="F15337" s="2423"/>
    </row>
    <row r="15338" spans="6:6">
      <c r="F15338" s="2423"/>
    </row>
    <row r="15339" spans="6:6">
      <c r="F15339" s="2423"/>
    </row>
    <row r="15340" spans="6:6">
      <c r="F15340" s="2423"/>
    </row>
    <row r="15341" spans="6:6">
      <c r="F15341" s="2423"/>
    </row>
    <row r="15342" spans="6:6">
      <c r="F15342" s="2423"/>
    </row>
    <row r="15343" spans="6:6">
      <c r="F15343" s="2423"/>
    </row>
    <row r="15344" spans="6:6">
      <c r="F15344" s="2423"/>
    </row>
    <row r="15345" spans="6:6">
      <c r="F15345" s="2423"/>
    </row>
    <row r="15346" spans="6:6">
      <c r="F15346" s="2423"/>
    </row>
    <row r="15347" spans="6:6">
      <c r="F15347" s="2423"/>
    </row>
    <row r="15348" spans="6:6">
      <c r="F15348" s="2423"/>
    </row>
    <row r="15349" spans="6:6">
      <c r="F15349" s="2423"/>
    </row>
    <row r="15350" spans="6:6">
      <c r="F15350" s="2423"/>
    </row>
    <row r="15351" spans="6:6">
      <c r="F15351" s="2423"/>
    </row>
    <row r="15352" spans="6:6">
      <c r="F15352" s="2423"/>
    </row>
    <row r="15353" spans="6:6">
      <c r="F15353" s="2423"/>
    </row>
    <row r="15354" spans="6:6">
      <c r="F15354" s="2423"/>
    </row>
    <row r="15355" spans="6:6">
      <c r="F15355" s="2423"/>
    </row>
    <row r="15356" spans="6:6">
      <c r="F15356" s="2423"/>
    </row>
    <row r="15357" spans="6:6">
      <c r="F15357" s="2423"/>
    </row>
    <row r="15358" spans="6:6">
      <c r="F15358" s="2423"/>
    </row>
    <row r="15359" spans="6:6">
      <c r="F15359" s="2423"/>
    </row>
    <row r="15360" spans="6:6">
      <c r="F15360" s="2423"/>
    </row>
    <row r="15361" spans="6:6">
      <c r="F15361" s="2423"/>
    </row>
    <row r="15362" spans="6:6">
      <c r="F15362" s="2423"/>
    </row>
    <row r="15363" spans="6:6">
      <c r="F15363" s="2423"/>
    </row>
    <row r="15364" spans="6:6">
      <c r="F15364" s="2423"/>
    </row>
    <row r="15365" spans="6:6">
      <c r="F15365" s="2423"/>
    </row>
    <row r="15366" spans="6:6">
      <c r="F15366" s="2423"/>
    </row>
    <row r="15367" spans="6:6">
      <c r="F15367" s="2423"/>
    </row>
    <row r="15368" spans="6:6">
      <c r="F15368" s="2423"/>
    </row>
    <row r="15369" spans="6:6">
      <c r="F15369" s="2423"/>
    </row>
    <row r="15370" spans="6:6">
      <c r="F15370" s="2423"/>
    </row>
    <row r="15371" spans="6:6">
      <c r="F15371" s="2423"/>
    </row>
    <row r="15372" spans="6:6">
      <c r="F15372" s="2423"/>
    </row>
    <row r="15373" spans="6:6">
      <c r="F15373" s="2423"/>
    </row>
    <row r="15374" spans="6:6">
      <c r="F15374" s="2423"/>
    </row>
    <row r="15375" spans="6:6">
      <c r="F15375" s="2423"/>
    </row>
    <row r="15376" spans="6:6">
      <c r="F15376" s="2423"/>
    </row>
    <row r="15377" spans="6:6">
      <c r="F15377" s="2423"/>
    </row>
    <row r="15378" spans="6:6">
      <c r="F15378" s="2423"/>
    </row>
    <row r="15379" spans="6:6">
      <c r="F15379" s="2423"/>
    </row>
    <row r="15380" spans="6:6">
      <c r="F15380" s="2423"/>
    </row>
    <row r="15381" spans="6:6">
      <c r="F15381" s="2423"/>
    </row>
    <row r="15382" spans="6:6">
      <c r="F15382" s="2423"/>
    </row>
    <row r="15383" spans="6:6">
      <c r="F15383" s="2423"/>
    </row>
    <row r="15384" spans="6:6">
      <c r="F15384" s="2423"/>
    </row>
    <row r="15385" spans="6:6">
      <c r="F15385" s="2423"/>
    </row>
    <row r="15386" spans="6:6">
      <c r="F15386" s="2423"/>
    </row>
    <row r="15387" spans="6:6">
      <c r="F15387" s="2423"/>
    </row>
    <row r="15388" spans="6:6">
      <c r="F15388" s="2423"/>
    </row>
    <row r="15389" spans="6:6">
      <c r="F15389" s="2423"/>
    </row>
    <row r="15390" spans="6:6">
      <c r="F15390" s="2423"/>
    </row>
    <row r="15391" spans="6:6">
      <c r="F15391" s="2423"/>
    </row>
    <row r="15392" spans="6:6">
      <c r="F15392" s="2423"/>
    </row>
    <row r="15393" spans="6:6">
      <c r="F15393" s="2423"/>
    </row>
    <row r="15394" spans="6:6">
      <c r="F15394" s="2423"/>
    </row>
    <row r="15395" spans="6:6">
      <c r="F15395" s="2423"/>
    </row>
    <row r="15396" spans="6:6">
      <c r="F15396" s="2423"/>
    </row>
    <row r="15397" spans="6:6">
      <c r="F15397" s="2423"/>
    </row>
    <row r="15398" spans="6:6">
      <c r="F15398" s="2423"/>
    </row>
    <row r="15399" spans="6:6">
      <c r="F15399" s="2423"/>
    </row>
    <row r="15400" spans="6:6">
      <c r="F15400" s="2423"/>
    </row>
    <row r="15401" spans="6:6">
      <c r="F15401" s="2423"/>
    </row>
    <row r="15402" spans="6:6">
      <c r="F15402" s="2423"/>
    </row>
    <row r="15403" spans="6:6">
      <c r="F15403" s="2423"/>
    </row>
    <row r="15404" spans="6:6">
      <c r="F15404" s="2423"/>
    </row>
    <row r="15405" spans="6:6">
      <c r="F15405" s="2423"/>
    </row>
    <row r="15406" spans="6:6">
      <c r="F15406" s="2423"/>
    </row>
    <row r="15407" spans="6:6">
      <c r="F15407" s="2423"/>
    </row>
    <row r="15408" spans="6:6">
      <c r="F15408" s="2423"/>
    </row>
    <row r="15409" spans="6:6">
      <c r="F15409" s="2423"/>
    </row>
    <row r="15410" spans="6:6">
      <c r="F15410" s="2423"/>
    </row>
    <row r="15411" spans="6:6">
      <c r="F15411" s="2423"/>
    </row>
    <row r="15412" spans="6:6">
      <c r="F15412" s="2423"/>
    </row>
    <row r="15413" spans="6:6">
      <c r="F15413" s="2423"/>
    </row>
    <row r="15414" spans="6:6">
      <c r="F15414" s="2423"/>
    </row>
    <row r="15415" spans="6:6">
      <c r="F15415" s="2423"/>
    </row>
    <row r="15416" spans="6:6">
      <c r="F15416" s="2423"/>
    </row>
    <row r="15417" spans="6:6">
      <c r="F15417" s="2423"/>
    </row>
    <row r="15418" spans="6:6">
      <c r="F15418" s="2423"/>
    </row>
    <row r="15419" spans="6:6">
      <c r="F15419" s="2423"/>
    </row>
    <row r="15420" spans="6:6">
      <c r="F15420" s="2423"/>
    </row>
    <row r="15421" spans="6:6">
      <c r="F15421" s="2423"/>
    </row>
    <row r="15422" spans="6:6">
      <c r="F15422" s="2423"/>
    </row>
    <row r="15423" spans="6:6">
      <c r="F15423" s="2423"/>
    </row>
    <row r="15424" spans="6:6">
      <c r="F15424" s="2423"/>
    </row>
    <row r="15425" spans="6:6">
      <c r="F15425" s="2423"/>
    </row>
    <row r="15426" spans="6:6">
      <c r="F15426" s="2423"/>
    </row>
    <row r="15427" spans="6:6">
      <c r="F15427" s="2423"/>
    </row>
    <row r="15428" spans="6:6">
      <c r="F15428" s="2423"/>
    </row>
    <row r="15429" spans="6:6">
      <c r="F15429" s="2423"/>
    </row>
    <row r="15430" spans="6:6">
      <c r="F15430" s="2423"/>
    </row>
    <row r="15431" spans="6:6">
      <c r="F15431" s="2423"/>
    </row>
    <row r="15432" spans="6:6">
      <c r="F15432" s="2423"/>
    </row>
    <row r="15433" spans="6:6">
      <c r="F15433" s="2423"/>
    </row>
    <row r="15434" spans="6:6">
      <c r="F15434" s="2423"/>
    </row>
    <row r="15435" spans="6:6">
      <c r="F15435" s="2423"/>
    </row>
    <row r="15436" spans="6:6">
      <c r="F15436" s="2423"/>
    </row>
    <row r="15437" spans="6:6">
      <c r="F15437" s="2423"/>
    </row>
    <row r="15438" spans="6:6">
      <c r="F15438" s="2423"/>
    </row>
    <row r="15439" spans="6:6">
      <c r="F15439" s="2423"/>
    </row>
    <row r="15440" spans="6:6">
      <c r="F15440" s="2423"/>
    </row>
    <row r="15441" spans="6:6">
      <c r="F15441" s="2423"/>
    </row>
    <row r="15442" spans="6:6">
      <c r="F15442" s="2423"/>
    </row>
    <row r="15443" spans="6:6">
      <c r="F15443" s="2423"/>
    </row>
    <row r="15444" spans="6:6">
      <c r="F15444" s="2423"/>
    </row>
    <row r="15445" spans="6:6">
      <c r="F15445" s="2423"/>
    </row>
    <row r="15446" spans="6:6">
      <c r="F15446" s="2423"/>
    </row>
    <row r="15447" spans="6:6">
      <c r="F15447" s="2423"/>
    </row>
    <row r="15448" spans="6:6">
      <c r="F15448" s="2423"/>
    </row>
    <row r="15449" spans="6:6">
      <c r="F15449" s="2423"/>
    </row>
    <row r="15450" spans="6:6">
      <c r="F15450" s="2423"/>
    </row>
    <row r="15451" spans="6:6">
      <c r="F15451" s="2423"/>
    </row>
    <row r="15452" spans="6:6">
      <c r="F15452" s="2423"/>
    </row>
    <row r="15453" spans="6:6">
      <c r="F15453" s="2423"/>
    </row>
    <row r="15454" spans="6:6">
      <c r="F15454" s="2423"/>
    </row>
    <row r="15455" spans="6:6">
      <c r="F15455" s="2423"/>
    </row>
    <row r="15456" spans="6:6">
      <c r="F15456" s="2423"/>
    </row>
    <row r="15457" spans="6:6">
      <c r="F15457" s="2423"/>
    </row>
    <row r="15458" spans="6:6">
      <c r="F15458" s="2423"/>
    </row>
    <row r="15459" spans="6:6">
      <c r="F15459" s="2423"/>
    </row>
    <row r="15460" spans="6:6">
      <c r="F15460" s="2423"/>
    </row>
    <row r="15461" spans="6:6">
      <c r="F15461" s="2423"/>
    </row>
    <row r="15462" spans="6:6">
      <c r="F15462" s="2423"/>
    </row>
    <row r="15463" spans="6:6">
      <c r="F15463" s="2423"/>
    </row>
    <row r="15464" spans="6:6">
      <c r="F15464" s="2423"/>
    </row>
    <row r="15465" spans="6:6">
      <c r="F15465" s="2423"/>
    </row>
    <row r="15466" spans="6:6">
      <c r="F15466" s="2423"/>
    </row>
    <row r="15467" spans="6:6">
      <c r="F15467" s="2423"/>
    </row>
    <row r="15468" spans="6:6">
      <c r="F15468" s="2423"/>
    </row>
    <row r="15469" spans="6:6">
      <c r="F15469" s="2423"/>
    </row>
    <row r="15470" spans="6:6">
      <c r="F15470" s="2423"/>
    </row>
    <row r="15471" spans="6:6">
      <c r="F15471" s="2423"/>
    </row>
    <row r="15472" spans="6:6">
      <c r="F15472" s="2423"/>
    </row>
    <row r="15473" spans="6:6">
      <c r="F15473" s="2423"/>
    </row>
    <row r="15474" spans="6:6">
      <c r="F15474" s="2423"/>
    </row>
    <row r="15475" spans="6:6">
      <c r="F15475" s="2423"/>
    </row>
    <row r="15476" spans="6:6">
      <c r="F15476" s="2423"/>
    </row>
    <row r="15477" spans="6:6">
      <c r="F15477" s="2423"/>
    </row>
    <row r="15478" spans="6:6">
      <c r="F15478" s="2423"/>
    </row>
    <row r="15479" spans="6:6">
      <c r="F15479" s="2423"/>
    </row>
    <row r="15480" spans="6:6">
      <c r="F15480" s="2423"/>
    </row>
    <row r="15481" spans="6:6">
      <c r="F15481" s="2423"/>
    </row>
    <row r="15482" spans="6:6">
      <c r="F15482" s="2423"/>
    </row>
    <row r="15483" spans="6:6">
      <c r="F15483" s="2423"/>
    </row>
    <row r="15484" spans="6:6">
      <c r="F15484" s="2423"/>
    </row>
    <row r="15485" spans="6:6">
      <c r="F15485" s="2423"/>
    </row>
    <row r="15486" spans="6:6">
      <c r="F15486" s="2423"/>
    </row>
    <row r="15487" spans="6:6">
      <c r="F15487" s="2423"/>
    </row>
    <row r="15488" spans="6:6">
      <c r="F15488" s="2423"/>
    </row>
    <row r="15489" spans="6:6">
      <c r="F15489" s="2423"/>
    </row>
    <row r="15490" spans="6:6">
      <c r="F15490" s="2423"/>
    </row>
    <row r="15491" spans="6:6">
      <c r="F15491" s="2423"/>
    </row>
    <row r="15492" spans="6:6">
      <c r="F15492" s="2423"/>
    </row>
    <row r="15493" spans="6:6">
      <c r="F15493" s="2423"/>
    </row>
    <row r="15494" spans="6:6">
      <c r="F15494" s="2423"/>
    </row>
    <row r="15495" spans="6:6">
      <c r="F15495" s="2423"/>
    </row>
    <row r="15496" spans="6:6">
      <c r="F15496" s="2423"/>
    </row>
    <row r="15497" spans="6:6">
      <c r="F15497" s="2423"/>
    </row>
    <row r="15498" spans="6:6">
      <c r="F15498" s="2423"/>
    </row>
    <row r="15499" spans="6:6">
      <c r="F15499" s="2423"/>
    </row>
    <row r="15500" spans="6:6">
      <c r="F15500" s="2423"/>
    </row>
    <row r="15501" spans="6:6">
      <c r="F15501" s="2423"/>
    </row>
    <row r="15502" spans="6:6">
      <c r="F15502" s="2423"/>
    </row>
    <row r="15503" spans="6:6">
      <c r="F15503" s="2423"/>
    </row>
    <row r="15504" spans="6:6">
      <c r="F15504" s="2423"/>
    </row>
    <row r="15505" spans="6:6">
      <c r="F15505" s="2423"/>
    </row>
    <row r="15506" spans="6:6">
      <c r="F15506" s="2423"/>
    </row>
    <row r="15507" spans="6:6">
      <c r="F15507" s="2423"/>
    </row>
    <row r="15508" spans="6:6">
      <c r="F15508" s="2423"/>
    </row>
    <row r="15509" spans="6:6">
      <c r="F15509" s="2423"/>
    </row>
    <row r="15510" spans="6:6">
      <c r="F15510" s="2423"/>
    </row>
    <row r="15511" spans="6:6">
      <c r="F15511" s="2423"/>
    </row>
    <row r="15512" spans="6:6">
      <c r="F15512" s="2423"/>
    </row>
    <row r="15513" spans="6:6">
      <c r="F15513" s="2423"/>
    </row>
    <row r="15514" spans="6:6">
      <c r="F15514" s="2423"/>
    </row>
    <row r="15515" spans="6:6">
      <c r="F15515" s="2423"/>
    </row>
    <row r="15516" spans="6:6">
      <c r="F15516" s="2423"/>
    </row>
    <row r="15517" spans="6:6">
      <c r="F15517" s="2423"/>
    </row>
    <row r="15518" spans="6:6">
      <c r="F15518" s="2423"/>
    </row>
    <row r="15519" spans="6:6">
      <c r="F15519" s="2423"/>
    </row>
    <row r="15520" spans="6:6">
      <c r="F15520" s="2423"/>
    </row>
    <row r="15521" spans="6:6">
      <c r="F15521" s="2423"/>
    </row>
    <row r="15522" spans="6:6">
      <c r="F15522" s="2423"/>
    </row>
    <row r="15523" spans="6:6">
      <c r="F15523" s="2423"/>
    </row>
    <row r="15524" spans="6:6">
      <c r="F15524" s="2423"/>
    </row>
    <row r="15525" spans="6:6">
      <c r="F15525" s="2423"/>
    </row>
    <row r="15526" spans="6:6">
      <c r="F15526" s="2423"/>
    </row>
    <row r="15527" spans="6:6">
      <c r="F15527" s="2423"/>
    </row>
    <row r="15528" spans="6:6">
      <c r="F15528" s="2423"/>
    </row>
    <row r="15529" spans="6:6">
      <c r="F15529" s="2423"/>
    </row>
    <row r="15530" spans="6:6">
      <c r="F15530" s="2423"/>
    </row>
    <row r="15531" spans="6:6">
      <c r="F15531" s="2423"/>
    </row>
    <row r="15532" spans="6:6">
      <c r="F15532" s="2423"/>
    </row>
    <row r="15533" spans="6:6">
      <c r="F15533" s="2423"/>
    </row>
    <row r="15534" spans="6:6">
      <c r="F15534" s="2423"/>
    </row>
    <row r="15535" spans="6:6">
      <c r="F15535" s="2423"/>
    </row>
    <row r="15536" spans="6:6">
      <c r="F15536" s="2423"/>
    </row>
    <row r="15537" spans="6:6">
      <c r="F15537" s="2423"/>
    </row>
    <row r="15538" spans="6:6">
      <c r="F15538" s="2423"/>
    </row>
    <row r="15539" spans="6:6">
      <c r="F15539" s="2423"/>
    </row>
    <row r="15540" spans="6:6">
      <c r="F15540" s="2423"/>
    </row>
    <row r="15541" spans="6:6">
      <c r="F15541" s="2423"/>
    </row>
    <row r="15542" spans="6:6">
      <c r="F15542" s="2423"/>
    </row>
    <row r="15543" spans="6:6">
      <c r="F15543" s="2423"/>
    </row>
    <row r="15544" spans="6:6">
      <c r="F15544" s="2423"/>
    </row>
    <row r="15545" spans="6:6">
      <c r="F15545" s="2423"/>
    </row>
    <row r="15546" spans="6:6">
      <c r="F15546" s="2423"/>
    </row>
    <row r="15547" spans="6:6">
      <c r="F15547" s="2423"/>
    </row>
    <row r="15548" spans="6:6">
      <c r="F15548" s="2423"/>
    </row>
    <row r="15549" spans="6:6">
      <c r="F15549" s="2423"/>
    </row>
    <row r="15550" spans="6:6">
      <c r="F15550" s="2423"/>
    </row>
    <row r="15551" spans="6:6">
      <c r="F15551" s="2423"/>
    </row>
    <row r="15552" spans="6:6">
      <c r="F15552" s="2423"/>
    </row>
    <row r="15553" spans="6:6">
      <c r="F15553" s="2423"/>
    </row>
    <row r="15554" spans="6:6">
      <c r="F15554" s="2423"/>
    </row>
    <row r="15555" spans="6:6">
      <c r="F15555" s="2423"/>
    </row>
    <row r="15556" spans="6:6">
      <c r="F15556" s="2423"/>
    </row>
    <row r="15557" spans="6:6">
      <c r="F15557" s="2423"/>
    </row>
    <row r="15558" spans="6:6">
      <c r="F15558" s="2423"/>
    </row>
    <row r="15559" spans="6:6">
      <c r="F15559" s="2423"/>
    </row>
    <row r="15560" spans="6:6">
      <c r="F15560" s="2423"/>
    </row>
    <row r="15561" spans="6:6">
      <c r="F15561" s="2423"/>
    </row>
    <row r="15562" spans="6:6">
      <c r="F15562" s="2423"/>
    </row>
    <row r="15563" spans="6:6">
      <c r="F15563" s="2423"/>
    </row>
    <row r="15564" spans="6:6">
      <c r="F15564" s="2423"/>
    </row>
    <row r="15565" spans="6:6">
      <c r="F15565" s="2423"/>
    </row>
    <row r="15566" spans="6:6">
      <c r="F15566" s="2423"/>
    </row>
    <row r="15567" spans="6:6">
      <c r="F15567" s="2423"/>
    </row>
    <row r="15568" spans="6:6">
      <c r="F15568" s="2423"/>
    </row>
    <row r="15569" spans="6:6">
      <c r="F15569" s="2423"/>
    </row>
    <row r="15570" spans="6:6">
      <c r="F15570" s="2423"/>
    </row>
    <row r="15571" spans="6:6">
      <c r="F15571" s="2423"/>
    </row>
    <row r="15572" spans="6:6">
      <c r="F15572" s="2423"/>
    </row>
    <row r="15573" spans="6:6">
      <c r="F15573" s="2423"/>
    </row>
    <row r="15574" spans="6:6">
      <c r="F15574" s="2423"/>
    </row>
    <row r="15575" spans="6:6">
      <c r="F15575" s="2423"/>
    </row>
    <row r="15576" spans="6:6">
      <c r="F15576" s="2423"/>
    </row>
    <row r="15577" spans="6:6">
      <c r="F15577" s="2423"/>
    </row>
    <row r="15578" spans="6:6">
      <c r="F15578" s="2423"/>
    </row>
    <row r="15579" spans="6:6">
      <c r="F15579" s="2423"/>
    </row>
    <row r="15580" spans="6:6">
      <c r="F15580" s="2423"/>
    </row>
    <row r="15581" spans="6:6">
      <c r="F15581" s="2423"/>
    </row>
    <row r="15582" spans="6:6">
      <c r="F15582" s="2423"/>
    </row>
    <row r="15583" spans="6:6">
      <c r="F15583" s="2423"/>
    </row>
    <row r="15584" spans="6:6">
      <c r="F15584" s="2423"/>
    </row>
    <row r="15585" spans="6:6">
      <c r="F15585" s="2423"/>
    </row>
    <row r="15586" spans="6:6">
      <c r="F15586" s="2423"/>
    </row>
    <row r="15587" spans="6:6">
      <c r="F15587" s="2423"/>
    </row>
    <row r="15588" spans="6:6">
      <c r="F15588" s="2423"/>
    </row>
    <row r="15589" spans="6:6">
      <c r="F15589" s="2423"/>
    </row>
    <row r="15590" spans="6:6">
      <c r="F15590" s="2423"/>
    </row>
    <row r="15591" spans="6:6">
      <c r="F15591" s="2423"/>
    </row>
    <row r="15592" spans="6:6">
      <c r="F15592" s="2423"/>
    </row>
    <row r="15593" spans="6:6">
      <c r="F15593" s="2423"/>
    </row>
    <row r="15594" spans="6:6">
      <c r="F15594" s="2423"/>
    </row>
    <row r="15595" spans="6:6">
      <c r="F15595" s="2423"/>
    </row>
    <row r="15596" spans="6:6">
      <c r="F15596" s="2423"/>
    </row>
    <row r="15597" spans="6:6">
      <c r="F15597" s="2423"/>
    </row>
    <row r="15598" spans="6:6">
      <c r="F15598" s="2423"/>
    </row>
    <row r="15599" spans="6:6">
      <c r="F15599" s="2423"/>
    </row>
    <row r="15600" spans="6:6">
      <c r="F15600" s="2423"/>
    </row>
    <row r="15601" spans="6:6">
      <c r="F15601" s="2423"/>
    </row>
    <row r="15602" spans="6:6">
      <c r="F15602" s="2423"/>
    </row>
    <row r="15603" spans="6:6">
      <c r="F15603" s="2423"/>
    </row>
    <row r="15604" spans="6:6">
      <c r="F15604" s="2423"/>
    </row>
    <row r="15605" spans="6:6">
      <c r="F15605" s="2423"/>
    </row>
    <row r="15606" spans="6:6">
      <c r="F15606" s="2423"/>
    </row>
    <row r="15607" spans="6:6">
      <c r="F15607" s="2423"/>
    </row>
    <row r="15608" spans="6:6">
      <c r="F15608" s="2423"/>
    </row>
    <row r="15609" spans="6:6">
      <c r="F15609" s="2423"/>
    </row>
    <row r="15610" spans="6:6">
      <c r="F15610" s="2423"/>
    </row>
    <row r="15611" spans="6:6">
      <c r="F15611" s="2423"/>
    </row>
    <row r="15612" spans="6:6">
      <c r="F15612" s="2423"/>
    </row>
    <row r="15613" spans="6:6">
      <c r="F15613" s="2423"/>
    </row>
    <row r="15614" spans="6:6">
      <c r="F15614" s="2423"/>
    </row>
    <row r="15615" spans="6:6">
      <c r="F15615" s="2423"/>
    </row>
    <row r="15616" spans="6:6">
      <c r="F15616" s="2423"/>
    </row>
    <row r="15617" spans="6:6">
      <c r="F15617" s="2423"/>
    </row>
    <row r="15618" spans="6:6">
      <c r="F15618" s="2423"/>
    </row>
    <row r="15619" spans="6:6">
      <c r="F15619" s="2423"/>
    </row>
    <row r="15620" spans="6:6">
      <c r="F15620" s="2423"/>
    </row>
    <row r="15621" spans="6:6">
      <c r="F15621" s="2423"/>
    </row>
    <row r="15622" spans="6:6">
      <c r="F15622" s="2423"/>
    </row>
    <row r="15623" spans="6:6">
      <c r="F15623" s="2423"/>
    </row>
    <row r="15624" spans="6:6">
      <c r="F15624" s="2423"/>
    </row>
    <row r="15625" spans="6:6">
      <c r="F15625" s="2423"/>
    </row>
    <row r="15626" spans="6:6">
      <c r="F15626" s="2423"/>
    </row>
    <row r="15627" spans="6:6">
      <c r="F15627" s="2423"/>
    </row>
    <row r="15628" spans="6:6">
      <c r="F15628" s="2423"/>
    </row>
    <row r="15629" spans="6:6">
      <c r="F15629" s="2423"/>
    </row>
    <row r="15630" spans="6:6">
      <c r="F15630" s="2423"/>
    </row>
    <row r="15631" spans="6:6">
      <c r="F15631" s="2423"/>
    </row>
    <row r="15632" spans="6:6">
      <c r="F15632" s="2423"/>
    </row>
    <row r="15633" spans="6:6">
      <c r="F15633" s="2423"/>
    </row>
    <row r="15634" spans="6:6">
      <c r="F15634" s="2423"/>
    </row>
    <row r="15635" spans="6:6">
      <c r="F15635" s="2423"/>
    </row>
    <row r="15636" spans="6:6">
      <c r="F15636" s="2423"/>
    </row>
    <row r="15637" spans="6:6">
      <c r="F15637" s="2423"/>
    </row>
    <row r="15638" spans="6:6">
      <c r="F15638" s="2423"/>
    </row>
    <row r="15639" spans="6:6">
      <c r="F15639" s="2423"/>
    </row>
    <row r="15640" spans="6:6">
      <c r="F15640" s="2423"/>
    </row>
    <row r="15641" spans="6:6">
      <c r="F15641" s="2423"/>
    </row>
    <row r="15642" spans="6:6">
      <c r="F15642" s="2423"/>
    </row>
    <row r="15643" spans="6:6">
      <c r="F15643" s="2423"/>
    </row>
    <row r="15644" spans="6:6">
      <c r="F15644" s="2423"/>
    </row>
    <row r="15645" spans="6:6">
      <c r="F15645" s="2423"/>
    </row>
    <row r="15646" spans="6:6">
      <c r="F15646" s="2423"/>
    </row>
    <row r="15647" spans="6:6">
      <c r="F15647" s="2423"/>
    </row>
    <row r="15648" spans="6:6">
      <c r="F15648" s="2423"/>
    </row>
    <row r="15649" spans="6:6">
      <c r="F15649" s="2423"/>
    </row>
    <row r="15650" spans="6:6">
      <c r="F15650" s="2423"/>
    </row>
    <row r="15651" spans="6:6">
      <c r="F15651" s="2423"/>
    </row>
    <row r="15652" spans="6:6">
      <c r="F15652" s="2423"/>
    </row>
    <row r="15653" spans="6:6">
      <c r="F15653" s="2423"/>
    </row>
    <row r="15654" spans="6:6">
      <c r="F15654" s="2423"/>
    </row>
    <row r="15655" spans="6:6">
      <c r="F15655" s="2423"/>
    </row>
    <row r="15656" spans="6:6">
      <c r="F15656" s="2423"/>
    </row>
    <row r="15657" spans="6:6">
      <c r="F15657" s="2423"/>
    </row>
    <row r="15658" spans="6:6">
      <c r="F15658" s="2423"/>
    </row>
    <row r="15659" spans="6:6">
      <c r="F15659" s="2423"/>
    </row>
    <row r="15660" spans="6:6">
      <c r="F15660" s="2423"/>
    </row>
    <row r="15661" spans="6:6">
      <c r="F15661" s="2423"/>
    </row>
    <row r="15662" spans="6:6">
      <c r="F15662" s="2423"/>
    </row>
    <row r="15663" spans="6:6">
      <c r="F15663" s="2423"/>
    </row>
    <row r="15664" spans="6:6">
      <c r="F15664" s="2423"/>
    </row>
    <row r="15665" spans="6:6">
      <c r="F15665" s="2423"/>
    </row>
    <row r="15666" spans="6:6">
      <c r="F15666" s="2423"/>
    </row>
    <row r="15667" spans="6:6">
      <c r="F15667" s="2423"/>
    </row>
    <row r="15668" spans="6:6">
      <c r="F15668" s="2423"/>
    </row>
    <row r="15669" spans="6:6">
      <c r="F15669" s="2423"/>
    </row>
    <row r="15670" spans="6:6">
      <c r="F15670" s="2423"/>
    </row>
    <row r="15671" spans="6:6">
      <c r="F15671" s="2423"/>
    </row>
    <row r="15672" spans="6:6">
      <c r="F15672" s="2423"/>
    </row>
    <row r="15673" spans="6:6">
      <c r="F15673" s="2423"/>
    </row>
    <row r="15674" spans="6:6">
      <c r="F15674" s="2423"/>
    </row>
    <row r="15675" spans="6:6">
      <c r="F15675" s="2423"/>
    </row>
    <row r="15676" spans="6:6">
      <c r="F15676" s="2423"/>
    </row>
    <row r="15677" spans="6:6">
      <c r="F15677" s="2423"/>
    </row>
    <row r="15678" spans="6:6">
      <c r="F15678" s="2423"/>
    </row>
    <row r="15679" spans="6:6">
      <c r="F15679" s="2423"/>
    </row>
    <row r="15680" spans="6:6">
      <c r="F15680" s="2423"/>
    </row>
    <row r="15681" spans="6:6">
      <c r="F15681" s="2423"/>
    </row>
    <row r="15682" spans="6:6">
      <c r="F15682" s="2423"/>
    </row>
    <row r="15683" spans="6:6">
      <c r="F15683" s="2423"/>
    </row>
    <row r="15684" spans="6:6">
      <c r="F15684" s="2423"/>
    </row>
    <row r="15685" spans="6:6">
      <c r="F15685" s="2423"/>
    </row>
    <row r="15686" spans="6:6">
      <c r="F15686" s="2423"/>
    </row>
    <row r="15687" spans="6:6">
      <c r="F15687" s="2423"/>
    </row>
    <row r="15688" spans="6:6">
      <c r="F15688" s="2423"/>
    </row>
    <row r="15689" spans="6:6">
      <c r="F15689" s="2423"/>
    </row>
    <row r="15690" spans="6:6">
      <c r="F15690" s="2423"/>
    </row>
    <row r="15691" spans="6:6">
      <c r="F15691" s="2423"/>
    </row>
    <row r="15692" spans="6:6">
      <c r="F15692" s="2423"/>
    </row>
    <row r="15693" spans="6:6">
      <c r="F15693" s="2423"/>
    </row>
    <row r="15694" spans="6:6">
      <c r="F15694" s="2423"/>
    </row>
    <row r="15695" spans="6:6">
      <c r="F15695" s="2423"/>
    </row>
    <row r="15696" spans="6:6">
      <c r="F15696" s="2423"/>
    </row>
    <row r="15697" spans="6:6">
      <c r="F15697" s="2423"/>
    </row>
    <row r="15698" spans="6:6">
      <c r="F15698" s="2423"/>
    </row>
    <row r="15699" spans="6:6">
      <c r="F15699" s="2423"/>
    </row>
    <row r="15700" spans="6:6">
      <c r="F15700" s="2423"/>
    </row>
    <row r="15701" spans="6:6">
      <c r="F15701" s="2423"/>
    </row>
    <row r="15702" spans="6:6">
      <c r="F15702" s="2423"/>
    </row>
    <row r="15703" spans="6:6">
      <c r="F15703" s="2423"/>
    </row>
    <row r="15704" spans="6:6">
      <c r="F15704" s="2423"/>
    </row>
    <row r="15705" spans="6:6">
      <c r="F15705" s="2423"/>
    </row>
    <row r="15706" spans="6:6">
      <c r="F15706" s="2423"/>
    </row>
    <row r="15707" spans="6:6">
      <c r="F15707" s="2423"/>
    </row>
    <row r="15708" spans="6:6">
      <c r="F15708" s="2423"/>
    </row>
    <row r="15709" spans="6:6">
      <c r="F15709" s="2423"/>
    </row>
    <row r="15710" spans="6:6">
      <c r="F15710" s="2423"/>
    </row>
    <row r="15711" spans="6:6">
      <c r="F15711" s="2423"/>
    </row>
    <row r="15712" spans="6:6">
      <c r="F15712" s="2423"/>
    </row>
    <row r="15713" spans="6:6">
      <c r="F15713" s="2423"/>
    </row>
    <row r="15714" spans="6:6">
      <c r="F15714" s="2423"/>
    </row>
    <row r="15715" spans="6:6">
      <c r="F15715" s="2423"/>
    </row>
    <row r="15716" spans="6:6">
      <c r="F15716" s="2423"/>
    </row>
    <row r="15717" spans="6:6">
      <c r="F15717" s="2423"/>
    </row>
    <row r="15718" spans="6:6">
      <c r="F15718" s="2423"/>
    </row>
    <row r="15719" spans="6:6">
      <c r="F15719" s="2423"/>
    </row>
    <row r="15720" spans="6:6">
      <c r="F15720" s="2423"/>
    </row>
    <row r="15721" spans="6:6">
      <c r="F15721" s="2423"/>
    </row>
    <row r="15722" spans="6:6">
      <c r="F15722" s="2423"/>
    </row>
    <row r="15723" spans="6:6">
      <c r="F15723" s="2423"/>
    </row>
    <row r="15724" spans="6:6">
      <c r="F15724" s="2423"/>
    </row>
    <row r="15725" spans="6:6">
      <c r="F15725" s="2423"/>
    </row>
    <row r="15726" spans="6:6">
      <c r="F15726" s="2423"/>
    </row>
    <row r="15727" spans="6:6">
      <c r="F15727" s="2423"/>
    </row>
    <row r="15728" spans="6:6">
      <c r="F15728" s="2423"/>
    </row>
    <row r="15729" spans="6:6">
      <c r="F15729" s="2423"/>
    </row>
    <row r="15730" spans="6:6">
      <c r="F15730" s="2423"/>
    </row>
    <row r="15731" spans="6:6">
      <c r="F15731" s="2423"/>
    </row>
    <row r="15732" spans="6:6">
      <c r="F15732" s="2423"/>
    </row>
    <row r="15733" spans="6:6">
      <c r="F15733" s="2423"/>
    </row>
    <row r="15734" spans="6:6">
      <c r="F15734" s="2423"/>
    </row>
    <row r="15735" spans="6:6">
      <c r="F15735" s="2423"/>
    </row>
    <row r="15736" spans="6:6">
      <c r="F15736" s="2423"/>
    </row>
    <row r="15737" spans="6:6">
      <c r="F15737" s="2423"/>
    </row>
    <row r="15738" spans="6:6">
      <c r="F15738" s="2423"/>
    </row>
    <row r="15739" spans="6:6">
      <c r="F15739" s="2423"/>
    </row>
    <row r="15740" spans="6:6">
      <c r="F15740" s="2423"/>
    </row>
    <row r="15741" spans="6:6">
      <c r="F15741" s="2423"/>
    </row>
    <row r="15742" spans="6:6">
      <c r="F15742" s="2423"/>
    </row>
    <row r="15743" spans="6:6">
      <c r="F15743" s="2423"/>
    </row>
    <row r="15744" spans="6:6">
      <c r="F15744" s="2423"/>
    </row>
    <row r="15745" spans="6:6">
      <c r="F15745" s="2423"/>
    </row>
    <row r="15746" spans="6:6">
      <c r="F15746" s="2423"/>
    </row>
    <row r="15747" spans="6:6">
      <c r="F15747" s="2423"/>
    </row>
    <row r="15748" spans="6:6">
      <c r="F15748" s="2423"/>
    </row>
    <row r="15749" spans="6:6">
      <c r="F15749" s="2423"/>
    </row>
    <row r="15750" spans="6:6">
      <c r="F15750" s="2423"/>
    </row>
    <row r="15751" spans="6:6">
      <c r="F15751" s="2423"/>
    </row>
    <row r="15752" spans="6:6">
      <c r="F15752" s="2423"/>
    </row>
    <row r="15753" spans="6:6">
      <c r="F15753" s="2423"/>
    </row>
    <row r="15754" spans="6:6">
      <c r="F15754" s="2423"/>
    </row>
    <row r="15755" spans="6:6">
      <c r="F15755" s="2423"/>
    </row>
    <row r="15756" spans="6:6">
      <c r="F15756" s="2423"/>
    </row>
    <row r="15757" spans="6:6">
      <c r="F15757" s="2423"/>
    </row>
    <row r="15758" spans="6:6">
      <c r="F15758" s="2423"/>
    </row>
    <row r="15759" spans="6:6">
      <c r="F15759" s="2423"/>
    </row>
    <row r="15760" spans="6:6">
      <c r="F15760" s="2423"/>
    </row>
    <row r="15761" spans="6:6">
      <c r="F15761" s="2423"/>
    </row>
    <row r="15762" spans="6:6">
      <c r="F15762" s="2423"/>
    </row>
    <row r="15763" spans="6:6">
      <c r="F15763" s="2423"/>
    </row>
    <row r="15764" spans="6:6">
      <c r="F15764" s="2423"/>
    </row>
    <row r="15765" spans="6:6">
      <c r="F15765" s="2423"/>
    </row>
    <row r="15766" spans="6:6">
      <c r="F15766" s="2423"/>
    </row>
    <row r="15767" spans="6:6">
      <c r="F15767" s="2423"/>
    </row>
    <row r="15768" spans="6:6">
      <c r="F15768" s="2423"/>
    </row>
    <row r="15769" spans="6:6">
      <c r="F15769" s="2423"/>
    </row>
    <row r="15770" spans="6:6">
      <c r="F15770" s="2423"/>
    </row>
    <row r="15771" spans="6:6">
      <c r="F15771" s="2423"/>
    </row>
    <row r="15772" spans="6:6">
      <c r="F15772" s="2423"/>
    </row>
    <row r="15773" spans="6:6">
      <c r="F15773" s="2423"/>
    </row>
    <row r="15774" spans="6:6">
      <c r="F15774" s="2423"/>
    </row>
    <row r="15775" spans="6:6">
      <c r="F15775" s="2423"/>
    </row>
    <row r="15776" spans="6:6">
      <c r="F15776" s="2423"/>
    </row>
    <row r="15777" spans="6:6">
      <c r="F15777" s="2423"/>
    </row>
    <row r="15778" spans="6:6">
      <c r="F15778" s="2423"/>
    </row>
    <row r="15779" spans="6:6">
      <c r="F15779" s="2423"/>
    </row>
    <row r="15780" spans="6:6">
      <c r="F15780" s="2423"/>
    </row>
    <row r="15781" spans="6:6">
      <c r="F15781" s="2423"/>
    </row>
    <row r="15782" spans="6:6">
      <c r="F15782" s="2423"/>
    </row>
    <row r="15783" spans="6:6">
      <c r="F15783" s="2423"/>
    </row>
    <row r="15784" spans="6:6">
      <c r="F15784" s="2423"/>
    </row>
    <row r="15785" spans="6:6">
      <c r="F15785" s="2423"/>
    </row>
    <row r="15786" spans="6:6">
      <c r="F15786" s="2423"/>
    </row>
    <row r="15787" spans="6:6">
      <c r="F15787" s="2423"/>
    </row>
    <row r="15788" spans="6:6">
      <c r="F15788" s="2423"/>
    </row>
    <row r="15789" spans="6:6">
      <c r="F15789" s="2423"/>
    </row>
    <row r="15790" spans="6:6">
      <c r="F15790" s="2423"/>
    </row>
    <row r="15791" spans="6:6">
      <c r="F15791" s="2423"/>
    </row>
    <row r="15792" spans="6:6">
      <c r="F15792" s="2423"/>
    </row>
    <row r="15793" spans="6:6">
      <c r="F15793" s="2423"/>
    </row>
    <row r="15794" spans="6:6">
      <c r="F15794" s="2423"/>
    </row>
    <row r="15795" spans="6:6">
      <c r="F15795" s="2423"/>
    </row>
    <row r="15796" spans="6:6">
      <c r="F15796" s="2423"/>
    </row>
    <row r="15797" spans="6:6">
      <c r="F15797" s="2423"/>
    </row>
    <row r="15798" spans="6:6">
      <c r="F15798" s="2423"/>
    </row>
    <row r="15799" spans="6:6">
      <c r="F15799" s="2423"/>
    </row>
    <row r="15800" spans="6:6">
      <c r="F15800" s="2423"/>
    </row>
    <row r="15801" spans="6:6">
      <c r="F15801" s="2423"/>
    </row>
    <row r="15802" spans="6:6">
      <c r="F15802" s="2423"/>
    </row>
    <row r="15803" spans="6:6">
      <c r="F15803" s="2423"/>
    </row>
    <row r="15804" spans="6:6">
      <c r="F15804" s="2423"/>
    </row>
    <row r="15805" spans="6:6">
      <c r="F15805" s="2423"/>
    </row>
    <row r="15806" spans="6:6">
      <c r="F15806" s="2423"/>
    </row>
    <row r="15807" spans="6:6">
      <c r="F15807" s="2423"/>
    </row>
    <row r="15808" spans="6:6">
      <c r="F15808" s="2423"/>
    </row>
    <row r="15809" spans="6:6">
      <c r="F15809" s="2423"/>
    </row>
    <row r="15810" spans="6:6">
      <c r="F15810" s="2423"/>
    </row>
    <row r="15811" spans="6:6">
      <c r="F15811" s="2423"/>
    </row>
    <row r="15812" spans="6:6">
      <c r="F15812" s="2423"/>
    </row>
    <row r="15813" spans="6:6">
      <c r="F15813" s="2423"/>
    </row>
    <row r="15814" spans="6:6">
      <c r="F15814" s="2423"/>
    </row>
    <row r="15815" spans="6:6">
      <c r="F15815" s="2423"/>
    </row>
    <row r="15816" spans="6:6">
      <c r="F15816" s="2423"/>
    </row>
    <row r="15817" spans="6:6">
      <c r="F15817" s="2423"/>
    </row>
    <row r="15818" spans="6:6">
      <c r="F15818" s="2423"/>
    </row>
    <row r="15819" spans="6:6">
      <c r="F15819" s="2423"/>
    </row>
    <row r="15820" spans="6:6">
      <c r="F15820" s="2423"/>
    </row>
    <row r="15821" spans="6:6">
      <c r="F15821" s="2423"/>
    </row>
    <row r="15822" spans="6:6">
      <c r="F15822" s="2423"/>
    </row>
    <row r="15823" spans="6:6">
      <c r="F15823" s="2423"/>
    </row>
    <row r="15824" spans="6:6">
      <c r="F15824" s="2423"/>
    </row>
    <row r="15825" spans="6:6">
      <c r="F15825" s="2423"/>
    </row>
    <row r="15826" spans="6:6">
      <c r="F15826" s="2423"/>
    </row>
    <row r="15827" spans="6:6">
      <c r="F15827" s="2423"/>
    </row>
    <row r="15828" spans="6:6">
      <c r="F15828" s="2423"/>
    </row>
    <row r="15829" spans="6:6">
      <c r="F15829" s="2423"/>
    </row>
    <row r="15830" spans="6:6">
      <c r="F15830" s="2423"/>
    </row>
    <row r="15831" spans="6:6">
      <c r="F15831" s="2423"/>
    </row>
    <row r="15832" spans="6:6">
      <c r="F15832" s="2423"/>
    </row>
    <row r="15833" spans="6:6">
      <c r="F15833" s="2423"/>
    </row>
    <row r="15834" spans="6:6">
      <c r="F15834" s="2423"/>
    </row>
    <row r="15835" spans="6:6">
      <c r="F15835" s="2423"/>
    </row>
    <row r="15836" spans="6:6">
      <c r="F15836" s="2423"/>
    </row>
    <row r="15837" spans="6:6">
      <c r="F15837" s="2423"/>
    </row>
    <row r="15838" spans="6:6">
      <c r="F15838" s="2423"/>
    </row>
    <row r="15839" spans="6:6">
      <c r="F15839" s="2423"/>
    </row>
    <row r="15840" spans="6:6">
      <c r="F15840" s="2423"/>
    </row>
    <row r="15841" spans="6:6">
      <c r="F15841" s="2423"/>
    </row>
    <row r="15842" spans="6:6">
      <c r="F15842" s="2423"/>
    </row>
    <row r="15843" spans="6:6">
      <c r="F15843" s="2423"/>
    </row>
    <row r="15844" spans="6:6">
      <c r="F15844" s="2423"/>
    </row>
    <row r="15845" spans="6:6">
      <c r="F15845" s="2423"/>
    </row>
    <row r="15846" spans="6:6">
      <c r="F15846" s="2423"/>
    </row>
    <row r="15847" spans="6:6">
      <c r="F15847" s="2423"/>
    </row>
    <row r="15848" spans="6:6">
      <c r="F15848" s="2423"/>
    </row>
    <row r="15849" spans="6:6">
      <c r="F15849" s="2423"/>
    </row>
    <row r="15850" spans="6:6">
      <c r="F15850" s="2423"/>
    </row>
    <row r="15851" spans="6:6">
      <c r="F15851" s="2423"/>
    </row>
    <row r="15852" spans="6:6">
      <c r="F15852" s="2423"/>
    </row>
    <row r="15853" spans="6:6">
      <c r="F15853" s="2423"/>
    </row>
    <row r="15854" spans="6:6">
      <c r="F15854" s="2423"/>
    </row>
    <row r="15855" spans="6:6">
      <c r="F15855" s="2423"/>
    </row>
    <row r="15856" spans="6:6">
      <c r="F15856" s="2423"/>
    </row>
    <row r="15857" spans="6:6">
      <c r="F15857" s="2423"/>
    </row>
    <row r="15858" spans="6:6">
      <c r="F15858" s="2423"/>
    </row>
    <row r="15859" spans="6:6">
      <c r="F15859" s="2423"/>
    </row>
    <row r="15860" spans="6:6">
      <c r="F15860" s="2423"/>
    </row>
    <row r="15861" spans="6:6">
      <c r="F15861" s="2423"/>
    </row>
    <row r="15862" spans="6:6">
      <c r="F15862" s="2423"/>
    </row>
    <row r="15863" spans="6:6">
      <c r="F15863" s="2423"/>
    </row>
    <row r="15864" spans="6:6">
      <c r="F15864" s="2423"/>
    </row>
    <row r="15865" spans="6:6">
      <c r="F15865" s="2423"/>
    </row>
    <row r="15866" spans="6:6">
      <c r="F15866" s="2423"/>
    </row>
    <row r="15867" spans="6:6">
      <c r="F15867" s="2423"/>
    </row>
    <row r="15868" spans="6:6">
      <c r="F15868" s="2423"/>
    </row>
    <row r="15869" spans="6:6">
      <c r="F15869" s="2423"/>
    </row>
    <row r="15870" spans="6:6">
      <c r="F15870" s="2423"/>
    </row>
    <row r="15871" spans="6:6">
      <c r="F15871" s="2423"/>
    </row>
    <row r="15872" spans="6:6">
      <c r="F15872" s="2423"/>
    </row>
    <row r="15873" spans="6:6">
      <c r="F15873" s="2423"/>
    </row>
    <row r="15874" spans="6:6">
      <c r="F15874" s="2423"/>
    </row>
    <row r="15875" spans="6:6">
      <c r="F15875" s="2423"/>
    </row>
    <row r="15876" spans="6:6">
      <c r="F15876" s="2423"/>
    </row>
    <row r="15877" spans="6:6">
      <c r="F15877" s="2423"/>
    </row>
    <row r="15878" spans="6:6">
      <c r="F15878" s="2423"/>
    </row>
    <row r="15879" spans="6:6">
      <c r="F15879" s="2423"/>
    </row>
    <row r="15880" spans="6:6">
      <c r="F15880" s="2423"/>
    </row>
    <row r="15881" spans="6:6">
      <c r="F15881" s="2423"/>
    </row>
    <row r="15882" spans="6:6">
      <c r="F15882" s="2423"/>
    </row>
    <row r="15883" spans="6:6">
      <c r="F15883" s="2423"/>
    </row>
    <row r="15884" spans="6:6">
      <c r="F15884" s="2423"/>
    </row>
    <row r="15885" spans="6:6">
      <c r="F15885" s="2423"/>
    </row>
    <row r="15886" spans="6:6">
      <c r="F15886" s="2423"/>
    </row>
    <row r="15887" spans="6:6">
      <c r="F15887" s="2423"/>
    </row>
    <row r="15888" spans="6:6">
      <c r="F15888" s="2423"/>
    </row>
    <row r="15889" spans="6:6">
      <c r="F15889" s="2423"/>
    </row>
    <row r="15890" spans="6:6">
      <c r="F15890" s="2423"/>
    </row>
    <row r="15891" spans="6:6">
      <c r="F15891" s="2423"/>
    </row>
    <row r="15892" spans="6:6">
      <c r="F15892" s="2423"/>
    </row>
    <row r="15893" spans="6:6">
      <c r="F15893" s="2423"/>
    </row>
    <row r="15894" spans="6:6">
      <c r="F15894" s="2423"/>
    </row>
    <row r="15895" spans="6:6">
      <c r="F15895" s="2423"/>
    </row>
    <row r="15896" spans="6:6">
      <c r="F15896" s="2423"/>
    </row>
    <row r="15897" spans="6:6">
      <c r="F15897" s="2423"/>
    </row>
    <row r="15898" spans="6:6">
      <c r="F15898" s="2423"/>
    </row>
    <row r="15899" spans="6:6">
      <c r="F15899" s="2423"/>
    </row>
    <row r="15900" spans="6:6">
      <c r="F15900" s="2423"/>
    </row>
    <row r="15901" spans="6:6">
      <c r="F15901" s="2423"/>
    </row>
    <row r="15902" spans="6:6">
      <c r="F15902" s="2423"/>
    </row>
    <row r="15903" spans="6:6">
      <c r="F15903" s="2423"/>
    </row>
    <row r="15904" spans="6:6">
      <c r="F15904" s="2423"/>
    </row>
    <row r="15905" spans="6:6">
      <c r="F15905" s="2423"/>
    </row>
    <row r="15906" spans="6:6">
      <c r="F15906" s="2423"/>
    </row>
    <row r="15907" spans="6:6">
      <c r="F15907" s="2423"/>
    </row>
    <row r="15908" spans="6:6">
      <c r="F15908" s="2423"/>
    </row>
    <row r="15909" spans="6:6">
      <c r="F15909" s="2423"/>
    </row>
    <row r="15910" spans="6:6">
      <c r="F15910" s="2423"/>
    </row>
    <row r="15911" spans="6:6">
      <c r="F15911" s="2423"/>
    </row>
    <row r="15912" spans="6:6">
      <c r="F15912" s="2423"/>
    </row>
    <row r="15913" spans="6:6">
      <c r="F15913" s="2423"/>
    </row>
    <row r="15914" spans="6:6">
      <c r="F15914" s="2423"/>
    </row>
    <row r="15915" spans="6:6">
      <c r="F15915" s="2423"/>
    </row>
    <row r="15916" spans="6:6">
      <c r="F15916" s="2423"/>
    </row>
    <row r="15917" spans="6:6">
      <c r="F15917" s="2423"/>
    </row>
    <row r="15918" spans="6:6">
      <c r="F15918" s="2423"/>
    </row>
    <row r="15919" spans="6:6">
      <c r="F15919" s="2423"/>
    </row>
    <row r="15920" spans="6:6">
      <c r="F15920" s="2423"/>
    </row>
    <row r="15921" spans="6:6">
      <c r="F15921" s="2423"/>
    </row>
    <row r="15922" spans="6:6">
      <c r="F15922" s="2423"/>
    </row>
    <row r="15923" spans="6:6">
      <c r="F15923" s="2423"/>
    </row>
    <row r="15924" spans="6:6">
      <c r="F15924" s="2423"/>
    </row>
    <row r="15925" spans="6:6">
      <c r="F15925" s="2423"/>
    </row>
    <row r="15926" spans="6:6">
      <c r="F15926" s="2423"/>
    </row>
    <row r="15927" spans="6:6">
      <c r="F15927" s="2423"/>
    </row>
    <row r="15928" spans="6:6">
      <c r="F15928" s="2423"/>
    </row>
    <row r="15929" spans="6:6">
      <c r="F15929" s="2423"/>
    </row>
    <row r="15930" spans="6:6">
      <c r="F15930" s="2423"/>
    </row>
    <row r="15931" spans="6:6">
      <c r="F15931" s="2423"/>
    </row>
    <row r="15932" spans="6:6">
      <c r="F15932" s="2423"/>
    </row>
    <row r="15933" spans="6:6">
      <c r="F15933" s="2423"/>
    </row>
    <row r="15934" spans="6:6">
      <c r="F15934" s="2423"/>
    </row>
    <row r="15935" spans="6:6">
      <c r="F15935" s="2423"/>
    </row>
    <row r="15936" spans="6:6">
      <c r="F15936" s="2423"/>
    </row>
    <row r="15937" spans="6:6">
      <c r="F15937" s="2423"/>
    </row>
    <row r="15938" spans="6:6">
      <c r="F15938" s="2423"/>
    </row>
    <row r="15939" spans="6:6">
      <c r="F15939" s="2423"/>
    </row>
    <row r="15940" spans="6:6">
      <c r="F15940" s="2423"/>
    </row>
    <row r="15941" spans="6:6">
      <c r="F15941" s="2423"/>
    </row>
    <row r="15942" spans="6:6">
      <c r="F15942" s="2423"/>
    </row>
    <row r="15943" spans="6:6">
      <c r="F15943" s="2423"/>
    </row>
    <row r="15944" spans="6:6">
      <c r="F15944" s="2423"/>
    </row>
    <row r="15945" spans="6:6">
      <c r="F15945" s="2423"/>
    </row>
    <row r="15946" spans="6:6">
      <c r="F15946" s="2423"/>
    </row>
    <row r="15947" spans="6:6">
      <c r="F15947" s="2423"/>
    </row>
    <row r="15948" spans="6:6">
      <c r="F15948" s="2423"/>
    </row>
    <row r="15949" spans="6:6">
      <c r="F15949" s="2423"/>
    </row>
    <row r="15950" spans="6:6">
      <c r="F15950" s="2423"/>
    </row>
    <row r="15951" spans="6:6">
      <c r="F15951" s="2423"/>
    </row>
    <row r="15952" spans="6:6">
      <c r="F15952" s="2423"/>
    </row>
    <row r="15953" spans="6:6">
      <c r="F15953" s="2423"/>
    </row>
    <row r="15954" spans="6:6">
      <c r="F15954" s="2423"/>
    </row>
    <row r="15955" spans="6:6">
      <c r="F15955" s="2423"/>
    </row>
    <row r="15956" spans="6:6">
      <c r="F15956" s="2423"/>
    </row>
    <row r="15957" spans="6:6">
      <c r="F15957" s="2423"/>
    </row>
    <row r="15958" spans="6:6">
      <c r="F15958" s="2423"/>
    </row>
    <row r="15959" spans="6:6">
      <c r="F15959" s="2423"/>
    </row>
    <row r="15960" spans="6:6">
      <c r="F15960" s="2423"/>
    </row>
    <row r="15961" spans="6:6">
      <c r="F15961" s="2423"/>
    </row>
    <row r="15962" spans="6:6">
      <c r="F15962" s="2423"/>
    </row>
    <row r="15963" spans="6:6">
      <c r="F15963" s="2423"/>
    </row>
    <row r="15964" spans="6:6">
      <c r="F15964" s="2423"/>
    </row>
    <row r="15965" spans="6:6">
      <c r="F15965" s="2423"/>
    </row>
    <row r="15966" spans="6:6">
      <c r="F15966" s="2423"/>
    </row>
    <row r="15967" spans="6:6">
      <c r="F15967" s="2423"/>
    </row>
    <row r="15968" spans="6:6">
      <c r="F15968" s="2423"/>
    </row>
    <row r="15969" spans="6:6">
      <c r="F15969" s="2423"/>
    </row>
    <row r="15970" spans="6:6">
      <c r="F15970" s="2423"/>
    </row>
    <row r="15971" spans="6:6">
      <c r="F15971" s="2423"/>
    </row>
    <row r="15972" spans="6:6">
      <c r="F15972" s="2423"/>
    </row>
    <row r="15973" spans="6:6">
      <c r="F15973" s="2423"/>
    </row>
    <row r="15974" spans="6:6">
      <c r="F15974" s="2423"/>
    </row>
    <row r="15975" spans="6:6">
      <c r="F15975" s="2423"/>
    </row>
    <row r="15976" spans="6:6">
      <c r="F15976" s="2423"/>
    </row>
    <row r="15977" spans="6:6">
      <c r="F15977" s="2423"/>
    </row>
    <row r="15978" spans="6:6">
      <c r="F15978" s="2423"/>
    </row>
    <row r="15979" spans="6:6">
      <c r="F15979" s="2423"/>
    </row>
    <row r="15980" spans="6:6">
      <c r="F15980" s="2423"/>
    </row>
    <row r="15981" spans="6:6">
      <c r="F15981" s="2423"/>
    </row>
    <row r="15982" spans="6:6">
      <c r="F15982" s="2423"/>
    </row>
    <row r="15983" spans="6:6">
      <c r="F15983" s="2423"/>
    </row>
    <row r="15984" spans="6:6">
      <c r="F15984" s="2423"/>
    </row>
    <row r="15985" spans="6:6">
      <c r="F15985" s="2423"/>
    </row>
    <row r="15986" spans="6:6">
      <c r="F15986" s="2423"/>
    </row>
    <row r="15987" spans="6:6">
      <c r="F15987" s="2423"/>
    </row>
    <row r="15988" spans="6:6">
      <c r="F15988" s="2423"/>
    </row>
    <row r="15989" spans="6:6">
      <c r="F15989" s="2423"/>
    </row>
    <row r="15990" spans="6:6">
      <c r="F15990" s="2423"/>
    </row>
    <row r="15991" spans="6:6">
      <c r="F15991" s="2423"/>
    </row>
    <row r="15992" spans="6:6">
      <c r="F15992" s="2423"/>
    </row>
    <row r="15993" spans="6:6">
      <c r="F15993" s="2423"/>
    </row>
    <row r="15994" spans="6:6">
      <c r="F15994" s="2423"/>
    </row>
    <row r="15995" spans="6:6">
      <c r="F15995" s="2423"/>
    </row>
    <row r="15996" spans="6:6">
      <c r="F15996" s="2423"/>
    </row>
    <row r="15997" spans="6:6">
      <c r="F15997" s="2423"/>
    </row>
    <row r="15998" spans="6:6">
      <c r="F15998" s="2423"/>
    </row>
    <row r="15999" spans="6:6">
      <c r="F15999" s="2423"/>
    </row>
    <row r="16000" spans="6:6">
      <c r="F16000" s="2423"/>
    </row>
    <row r="16001" spans="6:6">
      <c r="F16001" s="2423"/>
    </row>
    <row r="16002" spans="6:6">
      <c r="F16002" s="2423"/>
    </row>
    <row r="16003" spans="6:6">
      <c r="F16003" s="2423"/>
    </row>
    <row r="16004" spans="6:6">
      <c r="F16004" s="2423"/>
    </row>
    <row r="16005" spans="6:6">
      <c r="F16005" s="2423"/>
    </row>
    <row r="16006" spans="6:6">
      <c r="F16006" s="2423"/>
    </row>
    <row r="16007" spans="6:6">
      <c r="F16007" s="2423"/>
    </row>
    <row r="16008" spans="6:6">
      <c r="F16008" s="2423"/>
    </row>
    <row r="16009" spans="6:6">
      <c r="F16009" s="2423"/>
    </row>
    <row r="16010" spans="6:6">
      <c r="F16010" s="2423"/>
    </row>
    <row r="16011" spans="6:6">
      <c r="F16011" s="2423"/>
    </row>
    <row r="16012" spans="6:6">
      <c r="F16012" s="2423"/>
    </row>
    <row r="16013" spans="6:6">
      <c r="F16013" s="2423"/>
    </row>
    <row r="16014" spans="6:6">
      <c r="F16014" s="2423"/>
    </row>
    <row r="16015" spans="6:6">
      <c r="F16015" s="2423"/>
    </row>
    <row r="16016" spans="6:6">
      <c r="F16016" s="2423"/>
    </row>
    <row r="16017" spans="6:6">
      <c r="F16017" s="2423"/>
    </row>
    <row r="16018" spans="6:6">
      <c r="F16018" s="2423"/>
    </row>
    <row r="16019" spans="6:6">
      <c r="F16019" s="2423"/>
    </row>
    <row r="16020" spans="6:6">
      <c r="F16020" s="2423"/>
    </row>
    <row r="16021" spans="6:6">
      <c r="F16021" s="2423"/>
    </row>
    <row r="16022" spans="6:6">
      <c r="F16022" s="2423"/>
    </row>
    <row r="16023" spans="6:6">
      <c r="F16023" s="2423"/>
    </row>
    <row r="16024" spans="6:6">
      <c r="F16024" s="2423"/>
    </row>
    <row r="16025" spans="6:6">
      <c r="F16025" s="2423"/>
    </row>
    <row r="16026" spans="6:6">
      <c r="F16026" s="2423"/>
    </row>
    <row r="16027" spans="6:6">
      <c r="F16027" s="2423"/>
    </row>
    <row r="16028" spans="6:6">
      <c r="F16028" s="2423"/>
    </row>
    <row r="16029" spans="6:6">
      <c r="F16029" s="2423"/>
    </row>
    <row r="16030" spans="6:6">
      <c r="F16030" s="2423"/>
    </row>
    <row r="16031" spans="6:6">
      <c r="F16031" s="2423"/>
    </row>
    <row r="16032" spans="6:6">
      <c r="F16032" s="2423"/>
    </row>
    <row r="16033" spans="6:6">
      <c r="F16033" s="2423"/>
    </row>
    <row r="16034" spans="6:6">
      <c r="F16034" s="2423"/>
    </row>
    <row r="16035" spans="6:6">
      <c r="F16035" s="2423"/>
    </row>
    <row r="16036" spans="6:6">
      <c r="F16036" s="2423"/>
    </row>
    <row r="16037" spans="6:6">
      <c r="F16037" s="2423"/>
    </row>
    <row r="16038" spans="6:6">
      <c r="F16038" s="2423"/>
    </row>
    <row r="16039" spans="6:6">
      <c r="F16039" s="2423"/>
    </row>
    <row r="16040" spans="6:6">
      <c r="F16040" s="2423"/>
    </row>
    <row r="16041" spans="6:6">
      <c r="F16041" s="2423"/>
    </row>
    <row r="16042" spans="6:6">
      <c r="F16042" s="2423"/>
    </row>
    <row r="16043" spans="6:6">
      <c r="F16043" s="2423"/>
    </row>
    <row r="16044" spans="6:6">
      <c r="F16044" s="2423"/>
    </row>
    <row r="16045" spans="6:6">
      <c r="F16045" s="2423"/>
    </row>
    <row r="16046" spans="6:6">
      <c r="F16046" s="2423"/>
    </row>
    <row r="16047" spans="6:6">
      <c r="F16047" s="2423"/>
    </row>
    <row r="16048" spans="6:6">
      <c r="F16048" s="2423"/>
    </row>
    <row r="16049" spans="6:6">
      <c r="F16049" s="2423"/>
    </row>
    <row r="16050" spans="6:6">
      <c r="F16050" s="2423"/>
    </row>
    <row r="16051" spans="6:6">
      <c r="F16051" s="2423"/>
    </row>
    <row r="16052" spans="6:6">
      <c r="F16052" s="2423"/>
    </row>
    <row r="16053" spans="6:6">
      <c r="F16053" s="2423"/>
    </row>
    <row r="16054" spans="6:6">
      <c r="F16054" s="2423"/>
    </row>
    <row r="16055" spans="6:6">
      <c r="F16055" s="2423"/>
    </row>
    <row r="16056" spans="6:6">
      <c r="F16056" s="2423"/>
    </row>
    <row r="16057" spans="6:6">
      <c r="F16057" s="2423"/>
    </row>
    <row r="16058" spans="6:6">
      <c r="F16058" s="2423"/>
    </row>
    <row r="16059" spans="6:6">
      <c r="F16059" s="2423"/>
    </row>
    <row r="16060" spans="6:6">
      <c r="F16060" s="2423"/>
    </row>
    <row r="16061" spans="6:6">
      <c r="F16061" s="2423"/>
    </row>
    <row r="16062" spans="6:6">
      <c r="F16062" s="2423"/>
    </row>
    <row r="16063" spans="6:6">
      <c r="F16063" s="2423"/>
    </row>
    <row r="16064" spans="6:6">
      <c r="F16064" s="2423"/>
    </row>
    <row r="16065" spans="6:6">
      <c r="F16065" s="2423"/>
    </row>
    <row r="16066" spans="6:6">
      <c r="F16066" s="2423"/>
    </row>
    <row r="16067" spans="6:6">
      <c r="F16067" s="2423"/>
    </row>
    <row r="16068" spans="6:6">
      <c r="F16068" s="2423"/>
    </row>
    <row r="16069" spans="6:6">
      <c r="F16069" s="2423"/>
    </row>
    <row r="16070" spans="6:6">
      <c r="F16070" s="2423"/>
    </row>
    <row r="16071" spans="6:6">
      <c r="F16071" s="2423"/>
    </row>
    <row r="16072" spans="6:6">
      <c r="F16072" s="2423"/>
    </row>
    <row r="16073" spans="6:6">
      <c r="F16073" s="2423"/>
    </row>
    <row r="16074" spans="6:6">
      <c r="F16074" s="2423"/>
    </row>
    <row r="16075" spans="6:6">
      <c r="F16075" s="2423"/>
    </row>
    <row r="16076" spans="6:6">
      <c r="F16076" s="2423"/>
    </row>
    <row r="16077" spans="6:6">
      <c r="F16077" s="2423"/>
    </row>
    <row r="16078" spans="6:6">
      <c r="F16078" s="2423"/>
    </row>
    <row r="16079" spans="6:6">
      <c r="F16079" s="2423"/>
    </row>
    <row r="16080" spans="6:6">
      <c r="F16080" s="2423"/>
    </row>
    <row r="16081" spans="6:6">
      <c r="F16081" s="2423"/>
    </row>
    <row r="16082" spans="6:6">
      <c r="F16082" s="2423"/>
    </row>
    <row r="16083" spans="6:6">
      <c r="F16083" s="2423"/>
    </row>
    <row r="16084" spans="6:6">
      <c r="F16084" s="2423"/>
    </row>
    <row r="16085" spans="6:6">
      <c r="F16085" s="2423"/>
    </row>
    <row r="16086" spans="6:6">
      <c r="F16086" s="2423"/>
    </row>
    <row r="16087" spans="6:6">
      <c r="F16087" s="2423"/>
    </row>
    <row r="16088" spans="6:6">
      <c r="F16088" s="2423"/>
    </row>
    <row r="16089" spans="6:6">
      <c r="F16089" s="2423"/>
    </row>
    <row r="16090" spans="6:6">
      <c r="F16090" s="2423"/>
    </row>
    <row r="16091" spans="6:6">
      <c r="F16091" s="2423"/>
    </row>
    <row r="16092" spans="6:6">
      <c r="F16092" s="2423"/>
    </row>
    <row r="16093" spans="6:6">
      <c r="F16093" s="2423"/>
    </row>
    <row r="16094" spans="6:6">
      <c r="F16094" s="2423"/>
    </row>
    <row r="16095" spans="6:6">
      <c r="F16095" s="2423"/>
    </row>
    <row r="16096" spans="6:6">
      <c r="F16096" s="2423"/>
    </row>
    <row r="16097" spans="6:6">
      <c r="F16097" s="2423"/>
    </row>
    <row r="16098" spans="6:6">
      <c r="F16098" s="2423"/>
    </row>
    <row r="16099" spans="6:6">
      <c r="F16099" s="2423"/>
    </row>
    <row r="16100" spans="6:6">
      <c r="F16100" s="2423"/>
    </row>
    <row r="16101" spans="6:6">
      <c r="F16101" s="2423"/>
    </row>
    <row r="16102" spans="6:6">
      <c r="F16102" s="2423"/>
    </row>
    <row r="16103" spans="6:6">
      <c r="F16103" s="2423"/>
    </row>
    <row r="16104" spans="6:6">
      <c r="F16104" s="2423"/>
    </row>
    <row r="16105" spans="6:6">
      <c r="F16105" s="2423"/>
    </row>
    <row r="16106" spans="6:6">
      <c r="F16106" s="2423"/>
    </row>
    <row r="16107" spans="6:6">
      <c r="F16107" s="2423"/>
    </row>
    <row r="16108" spans="6:6">
      <c r="F16108" s="2423"/>
    </row>
    <row r="16109" spans="6:6">
      <c r="F16109" s="2423"/>
    </row>
    <row r="16110" spans="6:6">
      <c r="F16110" s="2423"/>
    </row>
    <row r="16111" spans="6:6">
      <c r="F16111" s="2423"/>
    </row>
    <row r="16112" spans="6:6">
      <c r="F16112" s="2423"/>
    </row>
    <row r="16113" spans="6:6">
      <c r="F16113" s="2423"/>
    </row>
    <row r="16114" spans="6:6">
      <c r="F16114" s="2423"/>
    </row>
    <row r="16115" spans="6:6">
      <c r="F16115" s="2423"/>
    </row>
    <row r="16116" spans="6:6">
      <c r="F16116" s="2423"/>
    </row>
    <row r="16117" spans="6:6">
      <c r="F16117" s="2423"/>
    </row>
    <row r="16118" spans="6:6">
      <c r="F16118" s="2423"/>
    </row>
    <row r="16119" spans="6:6">
      <c r="F16119" s="2423"/>
    </row>
    <row r="16120" spans="6:6">
      <c r="F16120" s="2423"/>
    </row>
    <row r="16121" spans="6:6">
      <c r="F16121" s="2423"/>
    </row>
    <row r="16122" spans="6:6">
      <c r="F16122" s="2423"/>
    </row>
    <row r="16123" spans="6:6">
      <c r="F16123" s="2423"/>
    </row>
    <row r="16124" spans="6:6">
      <c r="F16124" s="2423"/>
    </row>
    <row r="16125" spans="6:6">
      <c r="F16125" s="2423"/>
    </row>
    <row r="16126" spans="6:6">
      <c r="F16126" s="2423"/>
    </row>
    <row r="16127" spans="6:6">
      <c r="F16127" s="2423"/>
    </row>
    <row r="16128" spans="6:6">
      <c r="F16128" s="2423"/>
    </row>
    <row r="16129" spans="6:6">
      <c r="F16129" s="2423"/>
    </row>
    <row r="16130" spans="6:6">
      <c r="F16130" s="2423"/>
    </row>
    <row r="16131" spans="6:6">
      <c r="F16131" s="2423"/>
    </row>
    <row r="16132" spans="6:6">
      <c r="F16132" s="2423"/>
    </row>
    <row r="16133" spans="6:6">
      <c r="F16133" s="2423"/>
    </row>
    <row r="16134" spans="6:6">
      <c r="F16134" s="2423"/>
    </row>
    <row r="16135" spans="6:6">
      <c r="F16135" s="2423"/>
    </row>
    <row r="16136" spans="6:6">
      <c r="F16136" s="2423"/>
    </row>
    <row r="16137" spans="6:6">
      <c r="F16137" s="2423"/>
    </row>
    <row r="16138" spans="6:6">
      <c r="F16138" s="2423"/>
    </row>
    <row r="16139" spans="6:6">
      <c r="F16139" s="2423"/>
    </row>
    <row r="16140" spans="6:6">
      <c r="F16140" s="2423"/>
    </row>
    <row r="16141" spans="6:6">
      <c r="F16141" s="2423"/>
    </row>
    <row r="16142" spans="6:6">
      <c r="F16142" s="2423"/>
    </row>
    <row r="16143" spans="6:6">
      <c r="F16143" s="2423"/>
    </row>
    <row r="16144" spans="6:6">
      <c r="F16144" s="2423"/>
    </row>
    <row r="16145" spans="6:6">
      <c r="F16145" s="2423"/>
    </row>
    <row r="16146" spans="6:6">
      <c r="F16146" s="2423"/>
    </row>
    <row r="16147" spans="6:6">
      <c r="F16147" s="2423"/>
    </row>
    <row r="16148" spans="6:6">
      <c r="F16148" s="2423"/>
    </row>
    <row r="16149" spans="6:6">
      <c r="F16149" s="2423"/>
    </row>
    <row r="16150" spans="6:6">
      <c r="F16150" s="2423"/>
    </row>
    <row r="16151" spans="6:6">
      <c r="F16151" s="2423"/>
    </row>
    <row r="16152" spans="6:6">
      <c r="F16152" s="2423"/>
    </row>
    <row r="16153" spans="6:6">
      <c r="F16153" s="2423"/>
    </row>
    <row r="16154" spans="6:6">
      <c r="F16154" s="2423"/>
    </row>
    <row r="16155" spans="6:6">
      <c r="F16155" s="2423"/>
    </row>
    <row r="16156" spans="6:6">
      <c r="F16156" s="2423"/>
    </row>
    <row r="16157" spans="6:6">
      <c r="F16157" s="2423"/>
    </row>
    <row r="16158" spans="6:6">
      <c r="F16158" s="2423"/>
    </row>
    <row r="16159" spans="6:6">
      <c r="F16159" s="2423"/>
    </row>
    <row r="16160" spans="6:6">
      <c r="F16160" s="2423"/>
    </row>
    <row r="16161" spans="6:6">
      <c r="F16161" s="2423"/>
    </row>
    <row r="16162" spans="6:6">
      <c r="F16162" s="2423"/>
    </row>
    <row r="16163" spans="6:6">
      <c r="F16163" s="2423"/>
    </row>
    <row r="16164" spans="6:6">
      <c r="F16164" s="2423"/>
    </row>
    <row r="16165" spans="6:6">
      <c r="F16165" s="2423"/>
    </row>
    <row r="16166" spans="6:6">
      <c r="F16166" s="2423"/>
    </row>
    <row r="16167" spans="6:6">
      <c r="F16167" s="2423"/>
    </row>
    <row r="16168" spans="6:6">
      <c r="F16168" s="2423"/>
    </row>
    <row r="16169" spans="6:6">
      <c r="F16169" s="2423"/>
    </row>
    <row r="16170" spans="6:6">
      <c r="F16170" s="2423"/>
    </row>
    <row r="16171" spans="6:6">
      <c r="F16171" s="2423"/>
    </row>
    <row r="16172" spans="6:6">
      <c r="F16172" s="2423"/>
    </row>
    <row r="16173" spans="6:6">
      <c r="F16173" s="2423"/>
    </row>
    <row r="16174" spans="6:6">
      <c r="F16174" s="2423"/>
    </row>
    <row r="16175" spans="6:6">
      <c r="F16175" s="2423"/>
    </row>
    <row r="16176" spans="6:6">
      <c r="F16176" s="2423"/>
    </row>
    <row r="16177" spans="6:6">
      <c r="F16177" s="2423"/>
    </row>
    <row r="16178" spans="6:6">
      <c r="F16178" s="2423"/>
    </row>
    <row r="16179" spans="6:6">
      <c r="F16179" s="2423"/>
    </row>
    <row r="16180" spans="6:6">
      <c r="F16180" s="2423"/>
    </row>
    <row r="16181" spans="6:6">
      <c r="F16181" s="2423"/>
    </row>
    <row r="16182" spans="6:6">
      <c r="F16182" s="2423"/>
    </row>
    <row r="16183" spans="6:6">
      <c r="F16183" s="2423"/>
    </row>
    <row r="16184" spans="6:6">
      <c r="F16184" s="2423"/>
    </row>
    <row r="16185" spans="6:6">
      <c r="F16185" s="2423"/>
    </row>
    <row r="16186" spans="6:6">
      <c r="F16186" s="2423"/>
    </row>
    <row r="16187" spans="6:6">
      <c r="F16187" s="2423"/>
    </row>
    <row r="16188" spans="6:6">
      <c r="F16188" s="2423"/>
    </row>
    <row r="16189" spans="6:6">
      <c r="F16189" s="2423"/>
    </row>
    <row r="16190" spans="6:6">
      <c r="F16190" s="2423"/>
    </row>
    <row r="16191" spans="6:6">
      <c r="F16191" s="2423"/>
    </row>
    <row r="16192" spans="6:6">
      <c r="F16192" s="2423"/>
    </row>
    <row r="16193" spans="6:6">
      <c r="F16193" s="2423"/>
    </row>
    <row r="16194" spans="6:6">
      <c r="F16194" s="2423"/>
    </row>
    <row r="16195" spans="6:6">
      <c r="F16195" s="2423"/>
    </row>
    <row r="16196" spans="6:6">
      <c r="F16196" s="2423"/>
    </row>
    <row r="16197" spans="6:6">
      <c r="F16197" s="2423"/>
    </row>
    <row r="16198" spans="6:6">
      <c r="F16198" s="2423"/>
    </row>
    <row r="16199" spans="6:6">
      <c r="F16199" s="2423"/>
    </row>
    <row r="16200" spans="6:6">
      <c r="F16200" s="2423"/>
    </row>
    <row r="16201" spans="6:6">
      <c r="F16201" s="2423"/>
    </row>
    <row r="16202" spans="6:6">
      <c r="F16202" s="2423"/>
    </row>
    <row r="16203" spans="6:6">
      <c r="F16203" s="2423"/>
    </row>
    <row r="16204" spans="6:6">
      <c r="F16204" s="2423"/>
    </row>
    <row r="16205" spans="6:6">
      <c r="F16205" s="2423"/>
    </row>
    <row r="16206" spans="6:6">
      <c r="F16206" s="2423"/>
    </row>
    <row r="16207" spans="6:6">
      <c r="F16207" s="2423"/>
    </row>
    <row r="16208" spans="6:6">
      <c r="F16208" s="2423"/>
    </row>
    <row r="16209" spans="6:6">
      <c r="F16209" s="2423"/>
    </row>
    <row r="16210" spans="6:6">
      <c r="F16210" s="2423"/>
    </row>
    <row r="16211" spans="6:6">
      <c r="F16211" s="2423"/>
    </row>
    <row r="16212" spans="6:6">
      <c r="F16212" s="2423"/>
    </row>
    <row r="16213" spans="6:6">
      <c r="F16213" s="2423"/>
    </row>
    <row r="16214" spans="6:6">
      <c r="F16214" s="2423"/>
    </row>
    <row r="16215" spans="6:6">
      <c r="F16215" s="2423"/>
    </row>
    <row r="16216" spans="6:6">
      <c r="F16216" s="2423"/>
    </row>
    <row r="16217" spans="6:6">
      <c r="F16217" s="2423"/>
    </row>
    <row r="16218" spans="6:6">
      <c r="F16218" s="2423"/>
    </row>
    <row r="16219" spans="6:6">
      <c r="F16219" s="2423"/>
    </row>
    <row r="16220" spans="6:6">
      <c r="F16220" s="2423"/>
    </row>
    <row r="16221" spans="6:6">
      <c r="F16221" s="2423"/>
    </row>
    <row r="16222" spans="6:6">
      <c r="F16222" s="2423"/>
    </row>
    <row r="16223" spans="6:6">
      <c r="F16223" s="2423"/>
    </row>
    <row r="16224" spans="6:6">
      <c r="F16224" s="2423"/>
    </row>
    <row r="16225" spans="6:6">
      <c r="F16225" s="2423"/>
    </row>
    <row r="16226" spans="6:6">
      <c r="F16226" s="2423"/>
    </row>
    <row r="16227" spans="6:6">
      <c r="F16227" s="2423"/>
    </row>
    <row r="16228" spans="6:6">
      <c r="F16228" s="2423"/>
    </row>
    <row r="16229" spans="6:6">
      <c r="F16229" s="2423"/>
    </row>
    <row r="16230" spans="6:6">
      <c r="F16230" s="2423"/>
    </row>
    <row r="16231" spans="6:6">
      <c r="F16231" s="2423"/>
    </row>
    <row r="16232" spans="6:6">
      <c r="F16232" s="2423"/>
    </row>
    <row r="16233" spans="6:6">
      <c r="F16233" s="2423"/>
    </row>
    <row r="16234" spans="6:6">
      <c r="F16234" s="2423"/>
    </row>
    <row r="16235" spans="6:6">
      <c r="F16235" s="2423"/>
    </row>
    <row r="16236" spans="6:6">
      <c r="F16236" s="2423"/>
    </row>
    <row r="16237" spans="6:6">
      <c r="F16237" s="2423"/>
    </row>
    <row r="16238" spans="6:6">
      <c r="F16238" s="2423"/>
    </row>
    <row r="16239" spans="6:6">
      <c r="F16239" s="2423"/>
    </row>
    <row r="16240" spans="6:6">
      <c r="F16240" s="2423"/>
    </row>
    <row r="16241" spans="6:6">
      <c r="F16241" s="2423"/>
    </row>
    <row r="16242" spans="6:6">
      <c r="F16242" s="2423"/>
    </row>
    <row r="16243" spans="6:6">
      <c r="F16243" s="2423"/>
    </row>
    <row r="16244" spans="6:6">
      <c r="F16244" s="2423"/>
    </row>
    <row r="16245" spans="6:6">
      <c r="F16245" s="2423"/>
    </row>
    <row r="16246" spans="6:6">
      <c r="F16246" s="2423"/>
    </row>
    <row r="16247" spans="6:6">
      <c r="F16247" s="2423"/>
    </row>
    <row r="16248" spans="6:6">
      <c r="F16248" s="2423"/>
    </row>
    <row r="16249" spans="6:6">
      <c r="F16249" s="2423"/>
    </row>
    <row r="16250" spans="6:6">
      <c r="F16250" s="2423"/>
    </row>
    <row r="16251" spans="6:6">
      <c r="F16251" s="2423"/>
    </row>
    <row r="16252" spans="6:6">
      <c r="F16252" s="2423"/>
    </row>
    <row r="16253" spans="6:6">
      <c r="F16253" s="2423"/>
    </row>
    <row r="16254" spans="6:6">
      <c r="F16254" s="2423"/>
    </row>
    <row r="16255" spans="6:6">
      <c r="F16255" s="2423"/>
    </row>
    <row r="16256" spans="6:6">
      <c r="F16256" s="2423"/>
    </row>
    <row r="16257" spans="6:6">
      <c r="F16257" s="2423"/>
    </row>
    <row r="16258" spans="6:6">
      <c r="F16258" s="2423"/>
    </row>
    <row r="16259" spans="6:6">
      <c r="F16259" s="2423"/>
    </row>
    <row r="16260" spans="6:6">
      <c r="F16260" s="2423"/>
    </row>
    <row r="16261" spans="6:6">
      <c r="F16261" s="2423"/>
    </row>
    <row r="16262" spans="6:6">
      <c r="F16262" s="2423"/>
    </row>
    <row r="16263" spans="6:6">
      <c r="F16263" s="2423"/>
    </row>
    <row r="16264" spans="6:6">
      <c r="F16264" s="2423"/>
    </row>
    <row r="16265" spans="6:6">
      <c r="F16265" s="2423"/>
    </row>
    <row r="16266" spans="6:6">
      <c r="F16266" s="2423"/>
    </row>
    <row r="16267" spans="6:6">
      <c r="F16267" s="2423"/>
    </row>
    <row r="16268" spans="6:6">
      <c r="F16268" s="2423"/>
    </row>
    <row r="16269" spans="6:6">
      <c r="F16269" s="2423"/>
    </row>
    <row r="16270" spans="6:6">
      <c r="F16270" s="2423"/>
    </row>
    <row r="16271" spans="6:6">
      <c r="F16271" s="2423"/>
    </row>
    <row r="16272" spans="6:6">
      <c r="F16272" s="2423"/>
    </row>
    <row r="16273" spans="6:6">
      <c r="F16273" s="2423"/>
    </row>
    <row r="16274" spans="6:6">
      <c r="F16274" s="2423"/>
    </row>
    <row r="16275" spans="6:6">
      <c r="F16275" s="2423"/>
    </row>
    <row r="16276" spans="6:6">
      <c r="F16276" s="2423"/>
    </row>
    <row r="16277" spans="6:6">
      <c r="F16277" s="2423"/>
    </row>
    <row r="16278" spans="6:6">
      <c r="F16278" s="2423"/>
    </row>
    <row r="16279" spans="6:6">
      <c r="F16279" s="2423"/>
    </row>
    <row r="16280" spans="6:6">
      <c r="F16280" s="2423"/>
    </row>
    <row r="16281" spans="6:6">
      <c r="F16281" s="2423"/>
    </row>
    <row r="16282" spans="6:6">
      <c r="F16282" s="2423"/>
    </row>
    <row r="16283" spans="6:6">
      <c r="F16283" s="2423"/>
    </row>
    <row r="16284" spans="6:6">
      <c r="F16284" s="2423"/>
    </row>
    <row r="16285" spans="6:6">
      <c r="F16285" s="2423"/>
    </row>
    <row r="16286" spans="6:6">
      <c r="F16286" s="2423"/>
    </row>
    <row r="16287" spans="6:6">
      <c r="F16287" s="2423"/>
    </row>
    <row r="16288" spans="6:6">
      <c r="F16288" s="2423"/>
    </row>
    <row r="16289" spans="6:6">
      <c r="F16289" s="2423"/>
    </row>
    <row r="16290" spans="6:6">
      <c r="F16290" s="2423"/>
    </row>
    <row r="16291" spans="6:6">
      <c r="F16291" s="2423"/>
    </row>
    <row r="16292" spans="6:6">
      <c r="F16292" s="2423"/>
    </row>
    <row r="16293" spans="6:6">
      <c r="F16293" s="2423"/>
    </row>
    <row r="16294" spans="6:6">
      <c r="F16294" s="2423"/>
    </row>
    <row r="16295" spans="6:6">
      <c r="F16295" s="2423"/>
    </row>
    <row r="16296" spans="6:6">
      <c r="F16296" s="2423"/>
    </row>
    <row r="16297" spans="6:6">
      <c r="F16297" s="2423"/>
    </row>
    <row r="16298" spans="6:6">
      <c r="F16298" s="2423"/>
    </row>
    <row r="16299" spans="6:6">
      <c r="F16299" s="2423"/>
    </row>
    <row r="16300" spans="6:6">
      <c r="F16300" s="2423"/>
    </row>
    <row r="16301" spans="6:6">
      <c r="F16301" s="2423"/>
    </row>
    <row r="16302" spans="6:6">
      <c r="F16302" s="2423"/>
    </row>
    <row r="16303" spans="6:6">
      <c r="F16303" s="2423"/>
    </row>
    <row r="16304" spans="6:6">
      <c r="F16304" s="2423"/>
    </row>
    <row r="16305" spans="6:6">
      <c r="F16305" s="2423"/>
    </row>
    <row r="16306" spans="6:6">
      <c r="F16306" s="2423"/>
    </row>
    <row r="16307" spans="6:6">
      <c r="F16307" s="2423"/>
    </row>
    <row r="16308" spans="6:6">
      <c r="F16308" s="2423"/>
    </row>
    <row r="16309" spans="6:6">
      <c r="F16309" s="2423"/>
    </row>
    <row r="16310" spans="6:6">
      <c r="F16310" s="2423"/>
    </row>
    <row r="16311" spans="6:6">
      <c r="F16311" s="2423"/>
    </row>
    <row r="16312" spans="6:6">
      <c r="F16312" s="2423"/>
    </row>
    <row r="16313" spans="6:6">
      <c r="F16313" s="2423"/>
    </row>
    <row r="16314" spans="6:6">
      <c r="F16314" s="2423"/>
    </row>
    <row r="16315" spans="6:6">
      <c r="F16315" s="2423"/>
    </row>
    <row r="16316" spans="6:6">
      <c r="F16316" s="2423"/>
    </row>
    <row r="16317" spans="6:6">
      <c r="F16317" s="2423"/>
    </row>
    <row r="16318" spans="6:6">
      <c r="F16318" s="2423"/>
    </row>
    <row r="16319" spans="6:6">
      <c r="F16319" s="2423"/>
    </row>
    <row r="16320" spans="6:6">
      <c r="F16320" s="2423"/>
    </row>
    <row r="16321" spans="6:6">
      <c r="F16321" s="2423"/>
    </row>
    <row r="16322" spans="6:6">
      <c r="F16322" s="2423"/>
    </row>
    <row r="16323" spans="6:6">
      <c r="F16323" s="2423"/>
    </row>
    <row r="16324" spans="6:6">
      <c r="F16324" s="2423"/>
    </row>
    <row r="16325" spans="6:6">
      <c r="F16325" s="2423"/>
    </row>
    <row r="16326" spans="6:6">
      <c r="F16326" s="2423"/>
    </row>
    <row r="16327" spans="6:6">
      <c r="F16327" s="2423"/>
    </row>
    <row r="16328" spans="6:6">
      <c r="F16328" s="2423"/>
    </row>
    <row r="16329" spans="6:6">
      <c r="F16329" s="2423"/>
    </row>
    <row r="16330" spans="6:6">
      <c r="F16330" s="2423"/>
    </row>
    <row r="16331" spans="6:6">
      <c r="F16331" s="2423"/>
    </row>
    <row r="16332" spans="6:6">
      <c r="F16332" s="2423"/>
    </row>
    <row r="16333" spans="6:6">
      <c r="F16333" s="2423"/>
    </row>
    <row r="16334" spans="6:6">
      <c r="F16334" s="2423"/>
    </row>
    <row r="16335" spans="6:6">
      <c r="F16335" s="2423"/>
    </row>
    <row r="16336" spans="6:6">
      <c r="F16336" s="2423"/>
    </row>
    <row r="16337" spans="6:6">
      <c r="F16337" s="2423"/>
    </row>
    <row r="16338" spans="6:6">
      <c r="F16338" s="2423"/>
    </row>
    <row r="16339" spans="6:6">
      <c r="F16339" s="2423"/>
    </row>
    <row r="16340" spans="6:6">
      <c r="F16340" s="2423"/>
    </row>
    <row r="16341" spans="6:6">
      <c r="F16341" s="2423"/>
    </row>
    <row r="16342" spans="6:6">
      <c r="F16342" s="2423"/>
    </row>
    <row r="16343" spans="6:6">
      <c r="F16343" s="2423"/>
    </row>
    <row r="16344" spans="6:6">
      <c r="F16344" s="2423"/>
    </row>
    <row r="16345" spans="6:6">
      <c r="F16345" s="2423"/>
    </row>
    <row r="16346" spans="6:6">
      <c r="F16346" s="2423"/>
    </row>
    <row r="16347" spans="6:6">
      <c r="F16347" s="2423"/>
    </row>
    <row r="16348" spans="6:6">
      <c r="F16348" s="2423"/>
    </row>
    <row r="16349" spans="6:6">
      <c r="F16349" s="2423"/>
    </row>
    <row r="16350" spans="6:6">
      <c r="F16350" s="2423"/>
    </row>
    <row r="16351" spans="6:6">
      <c r="F16351" s="2423"/>
    </row>
    <row r="16352" spans="6:6">
      <c r="F16352" s="2423"/>
    </row>
    <row r="16353" spans="6:6">
      <c r="F16353" s="2423"/>
    </row>
    <row r="16354" spans="6:6">
      <c r="F16354" s="2423"/>
    </row>
    <row r="16355" spans="6:6">
      <c r="F16355" s="2423"/>
    </row>
    <row r="16356" spans="6:6">
      <c r="F16356" s="2423"/>
    </row>
    <row r="16357" spans="6:6">
      <c r="F16357" s="2423"/>
    </row>
    <row r="16358" spans="6:6">
      <c r="F16358" s="2423"/>
    </row>
    <row r="16359" spans="6:6">
      <c r="F16359" s="2423"/>
    </row>
    <row r="16360" spans="6:6">
      <c r="F16360" s="2423"/>
    </row>
    <row r="16361" spans="6:6">
      <c r="F16361" s="2423"/>
    </row>
    <row r="16362" spans="6:6">
      <c r="F16362" s="2423"/>
    </row>
    <row r="16363" spans="6:6">
      <c r="F16363" s="2423"/>
    </row>
    <row r="16364" spans="6:6">
      <c r="F16364" s="2423"/>
    </row>
    <row r="16365" spans="6:6">
      <c r="F16365" s="2423"/>
    </row>
    <row r="16366" spans="6:6">
      <c r="F16366" s="2423"/>
    </row>
    <row r="16367" spans="6:6">
      <c r="F16367" s="2423"/>
    </row>
    <row r="16368" spans="6:6">
      <c r="F16368" s="2423"/>
    </row>
    <row r="16369" spans="6:6">
      <c r="F16369" s="2423"/>
    </row>
    <row r="16370" spans="6:6">
      <c r="F16370" s="2423"/>
    </row>
    <row r="16371" spans="6:6">
      <c r="F16371" s="2423"/>
    </row>
    <row r="16372" spans="6:6">
      <c r="F16372" s="2423"/>
    </row>
    <row r="16373" spans="6:6">
      <c r="F16373" s="2423"/>
    </row>
    <row r="16374" spans="6:6">
      <c r="F16374" s="2423"/>
    </row>
    <row r="16375" spans="6:6">
      <c r="F16375" s="2423"/>
    </row>
    <row r="16376" spans="6:6">
      <c r="F16376" s="2423"/>
    </row>
    <row r="16377" spans="6:6">
      <c r="F16377" s="2423"/>
    </row>
    <row r="16378" spans="6:6">
      <c r="F16378" s="2423"/>
    </row>
    <row r="16379" spans="6:6">
      <c r="F16379" s="2423"/>
    </row>
    <row r="16380" spans="6:6">
      <c r="F16380" s="2423"/>
    </row>
    <row r="16381" spans="6:6">
      <c r="F16381" s="2423"/>
    </row>
    <row r="16382" spans="6:6">
      <c r="F16382" s="2423"/>
    </row>
    <row r="16383" spans="6:6">
      <c r="F16383" s="2423"/>
    </row>
    <row r="16384" spans="6:6">
      <c r="F16384" s="2423"/>
    </row>
    <row r="16385" spans="6:6">
      <c r="F16385" s="2423"/>
    </row>
    <row r="16386" spans="6:6">
      <c r="F16386" s="2423"/>
    </row>
    <row r="16387" spans="6:6">
      <c r="F16387" s="2423"/>
    </row>
    <row r="16388" spans="6:6">
      <c r="F16388" s="2423"/>
    </row>
    <row r="16389" spans="6:6">
      <c r="F16389" s="2423"/>
    </row>
    <row r="16390" spans="6:6">
      <c r="F16390" s="2423"/>
    </row>
    <row r="16391" spans="6:6">
      <c r="F16391" s="2423"/>
    </row>
    <row r="16392" spans="6:6">
      <c r="F16392" s="2423"/>
    </row>
    <row r="16393" spans="6:6">
      <c r="F16393" s="2423"/>
    </row>
    <row r="16394" spans="6:6">
      <c r="F16394" s="2423"/>
    </row>
    <row r="16395" spans="6:6">
      <c r="F16395" s="2423"/>
    </row>
    <row r="16396" spans="6:6">
      <c r="F16396" s="2423"/>
    </row>
    <row r="16397" spans="6:6">
      <c r="F16397" s="2423"/>
    </row>
    <row r="16398" spans="6:6">
      <c r="F16398" s="2423"/>
    </row>
    <row r="16399" spans="6:6">
      <c r="F16399" s="2423"/>
    </row>
    <row r="16400" spans="6:6">
      <c r="F16400" s="2423"/>
    </row>
    <row r="16401" spans="6:6">
      <c r="F16401" s="2423"/>
    </row>
    <row r="16402" spans="6:6">
      <c r="F16402" s="2423"/>
    </row>
    <row r="16403" spans="6:6">
      <c r="F16403" s="2423"/>
    </row>
    <row r="16404" spans="6:6">
      <c r="F16404" s="2423"/>
    </row>
    <row r="16405" spans="6:6">
      <c r="F16405" s="2423"/>
    </row>
    <row r="16406" spans="6:6">
      <c r="F16406" s="2423"/>
    </row>
    <row r="16407" spans="6:6">
      <c r="F16407" s="2423"/>
    </row>
    <row r="16408" spans="6:6">
      <c r="F16408" s="2423"/>
    </row>
    <row r="16409" spans="6:6">
      <c r="F16409" s="2423"/>
    </row>
    <row r="16410" spans="6:6">
      <c r="F16410" s="2423"/>
    </row>
    <row r="16411" spans="6:6">
      <c r="F16411" s="2423"/>
    </row>
    <row r="16412" spans="6:6">
      <c r="F16412" s="2423"/>
    </row>
    <row r="16413" spans="6:6">
      <c r="F16413" s="2423"/>
    </row>
    <row r="16414" spans="6:6">
      <c r="F16414" s="2423"/>
    </row>
    <row r="16415" spans="6:6">
      <c r="F16415" s="2423"/>
    </row>
    <row r="16416" spans="6:6">
      <c r="F16416" s="2423"/>
    </row>
    <row r="16417" spans="6:6">
      <c r="F16417" s="2423"/>
    </row>
    <row r="16418" spans="6:6">
      <c r="F16418" s="2423"/>
    </row>
    <row r="16419" spans="6:6">
      <c r="F16419" s="2423"/>
    </row>
    <row r="16420" spans="6:6">
      <c r="F16420" s="2423"/>
    </row>
    <row r="16421" spans="6:6">
      <c r="F16421" s="2423"/>
    </row>
    <row r="16422" spans="6:6">
      <c r="F16422" s="2423"/>
    </row>
    <row r="16423" spans="6:6">
      <c r="F16423" s="2423"/>
    </row>
    <row r="16424" spans="6:6">
      <c r="F16424" s="2423"/>
    </row>
    <row r="16425" spans="6:6">
      <c r="F16425" s="2423"/>
    </row>
    <row r="16426" spans="6:6">
      <c r="F16426" s="2423"/>
    </row>
    <row r="16427" spans="6:6">
      <c r="F16427" s="2423"/>
    </row>
    <row r="16428" spans="6:6">
      <c r="F16428" s="2423"/>
    </row>
    <row r="16429" spans="6:6">
      <c r="F16429" s="2423"/>
    </row>
    <row r="16430" spans="6:6">
      <c r="F16430" s="2423"/>
    </row>
    <row r="16431" spans="6:6">
      <c r="F16431" s="2423"/>
    </row>
    <row r="16432" spans="6:6">
      <c r="F16432" s="2423"/>
    </row>
    <row r="16433" spans="6:6">
      <c r="F16433" s="2423"/>
    </row>
    <row r="16434" spans="6:6">
      <c r="F16434" s="2423"/>
    </row>
    <row r="16435" spans="6:6">
      <c r="F16435" s="2423"/>
    </row>
    <row r="16436" spans="6:6">
      <c r="F16436" s="2423"/>
    </row>
    <row r="16437" spans="6:6">
      <c r="F16437" s="2423"/>
    </row>
    <row r="16438" spans="6:6">
      <c r="F16438" s="2423"/>
    </row>
    <row r="16439" spans="6:6">
      <c r="F16439" s="2423"/>
    </row>
    <row r="16440" spans="6:6">
      <c r="F16440" s="2423"/>
    </row>
    <row r="16441" spans="6:6">
      <c r="F16441" s="2423"/>
    </row>
    <row r="16442" spans="6:6">
      <c r="F16442" s="2423"/>
    </row>
    <row r="16443" spans="6:6">
      <c r="F16443" s="2423"/>
    </row>
    <row r="16444" spans="6:6">
      <c r="F16444" s="2423"/>
    </row>
    <row r="16445" spans="6:6">
      <c r="F16445" s="2423"/>
    </row>
    <row r="16446" spans="6:6">
      <c r="F16446" s="2423"/>
    </row>
    <row r="16447" spans="6:6">
      <c r="F16447" s="2423"/>
    </row>
    <row r="16448" spans="6:6">
      <c r="F16448" s="2423"/>
    </row>
    <row r="16449" spans="6:6">
      <c r="F16449" s="2423"/>
    </row>
    <row r="16450" spans="6:6">
      <c r="F16450" s="2423"/>
    </row>
    <row r="16451" spans="6:6">
      <c r="F16451" s="2423"/>
    </row>
    <row r="16452" spans="6:6">
      <c r="F16452" s="2423"/>
    </row>
    <row r="16453" spans="6:6">
      <c r="F16453" s="2423"/>
    </row>
    <row r="16454" spans="6:6">
      <c r="F16454" s="2423"/>
    </row>
    <row r="16455" spans="6:6">
      <c r="F16455" s="2423"/>
    </row>
    <row r="16456" spans="6:6">
      <c r="F16456" s="2423"/>
    </row>
    <row r="16457" spans="6:6">
      <c r="F16457" s="2423"/>
    </row>
    <row r="16458" spans="6:6">
      <c r="F16458" s="2423"/>
    </row>
    <row r="16459" spans="6:6">
      <c r="F16459" s="2423"/>
    </row>
    <row r="16460" spans="6:6">
      <c r="F16460" s="2423"/>
    </row>
    <row r="16461" spans="6:6">
      <c r="F16461" s="2423"/>
    </row>
    <row r="16462" spans="6:6">
      <c r="F16462" s="2423"/>
    </row>
    <row r="16463" spans="6:6">
      <c r="F16463" s="2423"/>
    </row>
    <row r="16464" spans="6:6">
      <c r="F16464" s="2423"/>
    </row>
    <row r="16465" spans="6:6">
      <c r="F16465" s="2423"/>
    </row>
    <row r="16466" spans="6:6">
      <c r="F16466" s="2423"/>
    </row>
    <row r="16467" spans="6:6">
      <c r="F16467" s="2423"/>
    </row>
    <row r="16468" spans="6:6">
      <c r="F16468" s="2423"/>
    </row>
    <row r="16469" spans="6:6">
      <c r="F16469" s="2423"/>
    </row>
    <row r="16470" spans="6:6">
      <c r="F16470" s="2423"/>
    </row>
    <row r="16471" spans="6:6">
      <c r="F16471" s="2423"/>
    </row>
    <row r="16472" spans="6:6">
      <c r="F16472" s="2423"/>
    </row>
    <row r="16473" spans="6:6">
      <c r="F16473" s="2423"/>
    </row>
    <row r="16474" spans="6:6">
      <c r="F16474" s="2423"/>
    </row>
    <row r="16475" spans="6:6">
      <c r="F16475" s="2423"/>
    </row>
    <row r="16476" spans="6:6">
      <c r="F16476" s="2423"/>
    </row>
    <row r="16477" spans="6:6">
      <c r="F16477" s="2423"/>
    </row>
    <row r="16478" spans="6:6">
      <c r="F16478" s="2423"/>
    </row>
    <row r="16479" spans="6:6">
      <c r="F16479" s="2423"/>
    </row>
    <row r="16480" spans="6:6">
      <c r="F16480" s="2423"/>
    </row>
    <row r="16481" spans="6:6">
      <c r="F16481" s="2423"/>
    </row>
    <row r="16482" spans="6:6">
      <c r="F16482" s="2423"/>
    </row>
    <row r="16483" spans="6:6">
      <c r="F16483" s="2423"/>
    </row>
    <row r="16484" spans="6:6">
      <c r="F16484" s="2423"/>
    </row>
    <row r="16485" spans="6:6">
      <c r="F16485" s="2423"/>
    </row>
    <row r="16486" spans="6:6">
      <c r="F16486" s="2423"/>
    </row>
    <row r="16487" spans="6:6">
      <c r="F16487" s="2423"/>
    </row>
    <row r="16488" spans="6:6">
      <c r="F16488" s="2423"/>
    </row>
    <row r="16489" spans="6:6">
      <c r="F16489" s="2423"/>
    </row>
    <row r="16490" spans="6:6">
      <c r="F16490" s="2423"/>
    </row>
    <row r="16491" spans="6:6">
      <c r="F16491" s="2423"/>
    </row>
    <row r="16492" spans="6:6">
      <c r="F16492" s="2423"/>
    </row>
    <row r="16493" spans="6:6">
      <c r="F16493" s="2423"/>
    </row>
    <row r="16494" spans="6:6">
      <c r="F16494" s="2423"/>
    </row>
    <row r="16495" spans="6:6">
      <c r="F16495" s="2423"/>
    </row>
    <row r="16496" spans="6:6">
      <c r="F16496" s="2423"/>
    </row>
    <row r="16497" spans="6:6">
      <c r="F16497" s="2423"/>
    </row>
    <row r="16498" spans="6:6">
      <c r="F16498" s="2423"/>
    </row>
    <row r="16499" spans="6:6">
      <c r="F16499" s="2423"/>
    </row>
    <row r="16500" spans="6:6">
      <c r="F16500" s="2423"/>
    </row>
    <row r="16501" spans="6:6">
      <c r="F16501" s="2423"/>
    </row>
    <row r="16502" spans="6:6">
      <c r="F16502" s="2423"/>
    </row>
    <row r="16503" spans="6:6">
      <c r="F16503" s="2423"/>
    </row>
    <row r="16504" spans="6:6">
      <c r="F16504" s="2423"/>
    </row>
    <row r="16505" spans="6:6">
      <c r="F16505" s="2423"/>
    </row>
    <row r="16506" spans="6:6">
      <c r="F16506" s="2423"/>
    </row>
    <row r="16507" spans="6:6">
      <c r="F16507" s="2423"/>
    </row>
    <row r="16508" spans="6:6">
      <c r="F16508" s="2423"/>
    </row>
    <row r="16509" spans="6:6">
      <c r="F16509" s="2423"/>
    </row>
    <row r="16510" spans="6:6">
      <c r="F16510" s="2423"/>
    </row>
    <row r="16511" spans="6:6">
      <c r="F16511" s="2423"/>
    </row>
    <row r="16512" spans="6:6">
      <c r="F16512" s="2423"/>
    </row>
    <row r="16513" spans="6:6">
      <c r="F16513" s="2423"/>
    </row>
    <row r="16514" spans="6:6">
      <c r="F16514" s="2423"/>
    </row>
    <row r="16515" spans="6:6">
      <c r="F16515" s="2423"/>
    </row>
    <row r="16516" spans="6:6">
      <c r="F16516" s="2423"/>
    </row>
    <row r="16517" spans="6:6">
      <c r="F16517" s="2423"/>
    </row>
    <row r="16518" spans="6:6">
      <c r="F16518" s="2423"/>
    </row>
    <row r="16519" spans="6:6">
      <c r="F16519" s="2423"/>
    </row>
    <row r="16520" spans="6:6">
      <c r="F16520" s="2423"/>
    </row>
    <row r="16521" spans="6:6">
      <c r="F16521" s="2423"/>
    </row>
    <row r="16522" spans="6:6">
      <c r="F16522" s="2423"/>
    </row>
    <row r="16523" spans="6:6">
      <c r="F16523" s="2423"/>
    </row>
    <row r="16524" spans="6:6">
      <c r="F16524" s="2423"/>
    </row>
    <row r="16525" spans="6:6">
      <c r="F16525" s="2423"/>
    </row>
    <row r="16526" spans="6:6">
      <c r="F16526" s="2423"/>
    </row>
    <row r="16527" spans="6:6">
      <c r="F16527" s="2423"/>
    </row>
    <row r="16528" spans="6:6">
      <c r="F16528" s="2423"/>
    </row>
    <row r="16529" spans="6:6">
      <c r="F16529" s="2423"/>
    </row>
    <row r="16530" spans="6:6">
      <c r="F16530" s="2423"/>
    </row>
    <row r="16531" spans="6:6">
      <c r="F16531" s="2423"/>
    </row>
    <row r="16532" spans="6:6">
      <c r="F16532" s="2423"/>
    </row>
    <row r="16533" spans="6:6">
      <c r="F16533" s="2423"/>
    </row>
    <row r="16534" spans="6:6">
      <c r="F16534" s="2423"/>
    </row>
    <row r="16535" spans="6:6">
      <c r="F16535" s="2423"/>
    </row>
    <row r="16536" spans="6:6">
      <c r="F16536" s="2423"/>
    </row>
    <row r="16537" spans="6:6">
      <c r="F16537" s="2423"/>
    </row>
    <row r="16538" spans="6:6">
      <c r="F16538" s="2423"/>
    </row>
    <row r="16539" spans="6:6">
      <c r="F16539" s="2423"/>
    </row>
    <row r="16540" spans="6:6">
      <c r="F16540" s="2423"/>
    </row>
    <row r="16541" spans="6:6">
      <c r="F16541" s="2423"/>
    </row>
    <row r="16542" spans="6:6">
      <c r="F16542" s="2423"/>
    </row>
    <row r="16543" spans="6:6">
      <c r="F16543" s="2423"/>
    </row>
    <row r="16544" spans="6:6">
      <c r="F16544" s="2423"/>
    </row>
    <row r="16545" spans="6:6">
      <c r="F16545" s="2423"/>
    </row>
    <row r="16546" spans="6:6">
      <c r="F16546" s="2423"/>
    </row>
    <row r="16547" spans="6:6">
      <c r="F16547" s="2423"/>
    </row>
    <row r="16548" spans="6:6">
      <c r="F16548" s="2423"/>
    </row>
    <row r="16549" spans="6:6">
      <c r="F16549" s="2423"/>
    </row>
    <row r="16550" spans="6:6">
      <c r="F16550" s="2423"/>
    </row>
    <row r="16551" spans="6:6">
      <c r="F16551" s="2423"/>
    </row>
    <row r="16552" spans="6:6">
      <c r="F16552" s="2423"/>
    </row>
    <row r="16553" spans="6:6">
      <c r="F16553" s="2423"/>
    </row>
    <row r="16554" spans="6:6">
      <c r="F16554" s="2423"/>
    </row>
    <row r="16555" spans="6:6">
      <c r="F16555" s="2423"/>
    </row>
    <row r="16556" spans="6:6">
      <c r="F16556" s="2423"/>
    </row>
    <row r="16557" spans="6:6">
      <c r="F16557" s="2423"/>
    </row>
    <row r="16558" spans="6:6">
      <c r="F16558" s="2423"/>
    </row>
    <row r="16559" spans="6:6">
      <c r="F16559" s="2423"/>
    </row>
    <row r="16560" spans="6:6">
      <c r="F16560" s="2423"/>
    </row>
    <row r="16561" spans="6:6">
      <c r="F16561" s="2423"/>
    </row>
    <row r="16562" spans="6:6">
      <c r="F16562" s="2423"/>
    </row>
    <row r="16563" spans="6:6">
      <c r="F16563" s="2423"/>
    </row>
    <row r="16564" spans="6:6">
      <c r="F16564" s="2423"/>
    </row>
    <row r="16565" spans="6:6">
      <c r="F16565" s="2423"/>
    </row>
    <row r="16566" spans="6:6">
      <c r="F16566" s="2423"/>
    </row>
    <row r="16567" spans="6:6">
      <c r="F16567" s="2423"/>
    </row>
    <row r="16568" spans="6:6">
      <c r="F16568" s="2423"/>
    </row>
    <row r="16569" spans="6:6">
      <c r="F16569" s="2423"/>
    </row>
    <row r="16570" spans="6:6">
      <c r="F16570" s="2423"/>
    </row>
    <row r="16571" spans="6:6">
      <c r="F16571" s="2423"/>
    </row>
    <row r="16572" spans="6:6">
      <c r="F16572" s="2423"/>
    </row>
    <row r="16573" spans="6:6">
      <c r="F16573" s="2423"/>
    </row>
    <row r="16574" spans="6:6">
      <c r="F16574" s="2423"/>
    </row>
    <row r="16575" spans="6:6">
      <c r="F16575" s="2423"/>
    </row>
    <row r="16576" spans="6:6">
      <c r="F16576" s="2423"/>
    </row>
    <row r="16577" spans="6:6">
      <c r="F16577" s="2423"/>
    </row>
    <row r="16578" spans="6:6">
      <c r="F16578" s="2423"/>
    </row>
    <row r="16579" spans="6:6">
      <c r="F16579" s="2423"/>
    </row>
    <row r="16580" spans="6:6">
      <c r="F16580" s="2423"/>
    </row>
    <row r="16581" spans="6:6">
      <c r="F16581" s="2423"/>
    </row>
    <row r="16582" spans="6:6">
      <c r="F16582" s="2423"/>
    </row>
    <row r="16583" spans="6:6">
      <c r="F16583" s="2423"/>
    </row>
    <row r="16584" spans="6:6">
      <c r="F16584" s="2423"/>
    </row>
    <row r="16585" spans="6:6">
      <c r="F16585" s="2423"/>
    </row>
    <row r="16586" spans="6:6">
      <c r="F16586" s="2423"/>
    </row>
    <row r="16587" spans="6:6">
      <c r="F16587" s="2423"/>
    </row>
    <row r="16588" spans="6:6">
      <c r="F16588" s="2423"/>
    </row>
    <row r="16589" spans="6:6">
      <c r="F16589" s="2423"/>
    </row>
    <row r="16590" spans="6:6">
      <c r="F16590" s="2423"/>
    </row>
    <row r="16591" spans="6:6">
      <c r="F16591" s="2423"/>
    </row>
    <row r="16592" spans="6:6">
      <c r="F16592" s="2423"/>
    </row>
    <row r="16593" spans="6:6">
      <c r="F16593" s="2423"/>
    </row>
    <row r="16594" spans="6:6">
      <c r="F16594" s="2423"/>
    </row>
    <row r="16595" spans="6:6">
      <c r="F16595" s="2423"/>
    </row>
    <row r="16596" spans="6:6">
      <c r="F16596" s="2423"/>
    </row>
    <row r="16597" spans="6:6">
      <c r="F16597" s="2423"/>
    </row>
    <row r="16598" spans="6:6">
      <c r="F16598" s="2423"/>
    </row>
    <row r="16599" spans="6:6">
      <c r="F16599" s="2423"/>
    </row>
    <row r="16600" spans="6:6">
      <c r="F16600" s="2423"/>
    </row>
    <row r="16601" spans="6:6">
      <c r="F16601" s="2423"/>
    </row>
    <row r="16602" spans="6:6">
      <c r="F16602" s="2423"/>
    </row>
    <row r="16603" spans="6:6">
      <c r="F16603" s="2423"/>
    </row>
    <row r="16604" spans="6:6">
      <c r="F16604" s="2423"/>
    </row>
    <row r="16605" spans="6:6">
      <c r="F16605" s="2423"/>
    </row>
    <row r="16606" spans="6:6">
      <c r="F16606" s="2423"/>
    </row>
    <row r="16607" spans="6:6">
      <c r="F16607" s="2423"/>
    </row>
    <row r="16608" spans="6:6">
      <c r="F16608" s="2423"/>
    </row>
    <row r="16609" spans="6:6">
      <c r="F16609" s="2423"/>
    </row>
    <row r="16610" spans="6:6">
      <c r="F16610" s="2423"/>
    </row>
    <row r="16611" spans="6:6">
      <c r="F16611" s="2423"/>
    </row>
    <row r="16612" spans="6:6">
      <c r="F16612" s="2423"/>
    </row>
    <row r="16613" spans="6:6">
      <c r="F16613" s="2423"/>
    </row>
    <row r="16614" spans="6:6">
      <c r="F16614" s="2423"/>
    </row>
    <row r="16615" spans="6:6">
      <c r="F16615" s="2423"/>
    </row>
    <row r="16616" spans="6:6">
      <c r="F16616" s="2423"/>
    </row>
    <row r="16617" spans="6:6">
      <c r="F16617" s="2423"/>
    </row>
    <row r="16618" spans="6:6">
      <c r="F16618" s="2423"/>
    </row>
    <row r="16619" spans="6:6">
      <c r="F16619" s="2423"/>
    </row>
    <row r="16620" spans="6:6">
      <c r="F16620" s="2423"/>
    </row>
    <row r="16621" spans="6:6">
      <c r="F16621" s="2423"/>
    </row>
    <row r="16622" spans="6:6">
      <c r="F16622" s="2423"/>
    </row>
    <row r="16623" spans="6:6">
      <c r="F16623" s="2423"/>
    </row>
    <row r="16624" spans="6:6">
      <c r="F16624" s="2423"/>
    </row>
    <row r="16625" spans="6:6">
      <c r="F16625" s="2423"/>
    </row>
    <row r="16626" spans="6:6">
      <c r="F16626" s="2423"/>
    </row>
    <row r="16627" spans="6:6">
      <c r="F16627" s="2423"/>
    </row>
    <row r="16628" spans="6:6">
      <c r="F16628" s="2423"/>
    </row>
    <row r="16629" spans="6:6">
      <c r="F16629" s="2423"/>
    </row>
    <row r="16630" spans="6:6">
      <c r="F16630" s="2423"/>
    </row>
    <row r="16631" spans="6:6">
      <c r="F16631" s="2423"/>
    </row>
    <row r="16632" spans="6:6">
      <c r="F16632" s="2423"/>
    </row>
    <row r="16633" spans="6:6">
      <c r="F16633" s="2423"/>
    </row>
    <row r="16634" spans="6:6">
      <c r="F16634" s="2423"/>
    </row>
    <row r="16635" spans="6:6">
      <c r="F16635" s="2423"/>
    </row>
    <row r="16636" spans="6:6">
      <c r="F16636" s="2423"/>
    </row>
    <row r="16637" spans="6:6">
      <c r="F16637" s="2423"/>
    </row>
    <row r="16638" spans="6:6">
      <c r="F16638" s="2423"/>
    </row>
    <row r="16639" spans="6:6">
      <c r="F16639" s="2423"/>
    </row>
    <row r="16640" spans="6:6">
      <c r="F16640" s="2423"/>
    </row>
    <row r="16641" spans="6:6">
      <c r="F16641" s="2423"/>
    </row>
    <row r="16642" spans="6:6">
      <c r="F16642" s="2423"/>
    </row>
    <row r="16643" spans="6:6">
      <c r="F16643" s="2423"/>
    </row>
    <row r="16644" spans="6:6">
      <c r="F16644" s="2423"/>
    </row>
    <row r="16645" spans="6:6">
      <c r="F16645" s="2423"/>
    </row>
    <row r="16646" spans="6:6">
      <c r="F16646" s="2423"/>
    </row>
    <row r="16647" spans="6:6">
      <c r="F16647" s="2423"/>
    </row>
    <row r="16648" spans="6:6">
      <c r="F16648" s="2423"/>
    </row>
    <row r="16649" spans="6:6">
      <c r="F16649" s="2423"/>
    </row>
    <row r="16650" spans="6:6">
      <c r="F16650" s="2423"/>
    </row>
    <row r="16651" spans="6:6">
      <c r="F16651" s="2423"/>
    </row>
    <row r="16652" spans="6:6">
      <c r="F16652" s="2423"/>
    </row>
    <row r="16653" spans="6:6">
      <c r="F16653" s="2423"/>
    </row>
    <row r="16654" spans="6:6">
      <c r="F16654" s="2423"/>
    </row>
    <row r="16655" spans="6:6">
      <c r="F16655" s="2423"/>
    </row>
    <row r="16656" spans="6:6">
      <c r="F16656" s="2423"/>
    </row>
    <row r="16657" spans="6:6">
      <c r="F16657" s="2423"/>
    </row>
    <row r="16658" spans="6:6">
      <c r="F16658" s="2423"/>
    </row>
    <row r="16659" spans="6:6">
      <c r="F16659" s="2423"/>
    </row>
    <row r="16660" spans="6:6">
      <c r="F16660" s="2423"/>
    </row>
    <row r="16661" spans="6:6">
      <c r="F16661" s="2423"/>
    </row>
    <row r="16662" spans="6:6">
      <c r="F16662" s="2423"/>
    </row>
    <row r="16663" spans="6:6">
      <c r="F16663" s="2423"/>
    </row>
    <row r="16664" spans="6:6">
      <c r="F16664" s="2423"/>
    </row>
    <row r="16665" spans="6:6">
      <c r="F16665" s="2423"/>
    </row>
    <row r="16666" spans="6:6">
      <c r="F16666" s="2423"/>
    </row>
    <row r="16667" spans="6:6">
      <c r="F16667" s="2423"/>
    </row>
    <row r="16668" spans="6:6">
      <c r="F16668" s="2423"/>
    </row>
    <row r="16669" spans="6:6">
      <c r="F16669" s="2423"/>
    </row>
    <row r="16670" spans="6:6">
      <c r="F16670" s="2423"/>
    </row>
    <row r="16671" spans="6:6">
      <c r="F16671" s="2423"/>
    </row>
    <row r="16672" spans="6:6">
      <c r="F16672" s="2423"/>
    </row>
    <row r="16673" spans="6:6">
      <c r="F16673" s="2423"/>
    </row>
    <row r="16674" spans="6:6">
      <c r="F16674" s="2423"/>
    </row>
    <row r="16675" spans="6:6">
      <c r="F16675" s="2423"/>
    </row>
    <row r="16676" spans="6:6">
      <c r="F16676" s="2423"/>
    </row>
    <row r="16677" spans="6:6">
      <c r="F16677" s="2423"/>
    </row>
    <row r="16678" spans="6:6">
      <c r="F16678" s="2423"/>
    </row>
    <row r="16679" spans="6:6">
      <c r="F16679" s="2423"/>
    </row>
    <row r="16680" spans="6:6">
      <c r="F16680" s="2423"/>
    </row>
    <row r="16681" spans="6:6">
      <c r="F16681" s="2423"/>
    </row>
    <row r="16682" spans="6:6">
      <c r="F16682" s="2423"/>
    </row>
    <row r="16683" spans="6:6">
      <c r="F16683" s="2423"/>
    </row>
    <row r="16684" spans="6:6">
      <c r="F16684" s="2423"/>
    </row>
    <row r="16685" spans="6:6">
      <c r="F16685" s="2423"/>
    </row>
    <row r="16686" spans="6:6">
      <c r="F16686" s="2423"/>
    </row>
    <row r="16687" spans="6:6">
      <c r="F16687" s="2423"/>
    </row>
    <row r="16688" spans="6:6">
      <c r="F16688" s="2423"/>
    </row>
    <row r="16689" spans="6:6">
      <c r="F16689" s="2423"/>
    </row>
    <row r="16690" spans="6:6">
      <c r="F16690" s="2423"/>
    </row>
    <row r="16691" spans="6:6">
      <c r="F16691" s="2423"/>
    </row>
    <row r="16692" spans="6:6">
      <c r="F16692" s="2423"/>
    </row>
    <row r="16693" spans="6:6">
      <c r="F16693" s="2423"/>
    </row>
    <row r="16694" spans="6:6">
      <c r="F16694" s="2423"/>
    </row>
    <row r="16695" spans="6:6">
      <c r="F16695" s="2423"/>
    </row>
    <row r="16696" spans="6:6">
      <c r="F16696" s="2423"/>
    </row>
    <row r="16697" spans="6:6">
      <c r="F16697" s="2423"/>
    </row>
    <row r="16698" spans="6:6">
      <c r="F16698" s="2423"/>
    </row>
    <row r="16699" spans="6:6">
      <c r="F16699" s="2423"/>
    </row>
    <row r="16700" spans="6:6">
      <c r="F16700" s="2423"/>
    </row>
    <row r="16701" spans="6:6">
      <c r="F16701" s="2423"/>
    </row>
    <row r="16702" spans="6:6">
      <c r="F16702" s="2423"/>
    </row>
    <row r="16703" spans="6:6">
      <c r="F16703" s="2423"/>
    </row>
    <row r="16704" spans="6:6">
      <c r="F16704" s="2423"/>
    </row>
    <row r="16705" spans="6:6">
      <c r="F16705" s="2423"/>
    </row>
    <row r="16706" spans="6:6">
      <c r="F16706" s="2423"/>
    </row>
    <row r="16707" spans="6:6">
      <c r="F16707" s="2423"/>
    </row>
    <row r="16708" spans="6:6">
      <c r="F16708" s="2423"/>
    </row>
    <row r="16709" spans="6:6">
      <c r="F16709" s="2423"/>
    </row>
    <row r="16710" spans="6:6">
      <c r="F16710" s="2423"/>
    </row>
    <row r="16711" spans="6:6">
      <c r="F16711" s="2423"/>
    </row>
    <row r="16712" spans="6:6">
      <c r="F16712" s="2423"/>
    </row>
    <row r="16713" spans="6:6">
      <c r="F16713" s="2423"/>
    </row>
    <row r="16714" spans="6:6">
      <c r="F16714" s="2423"/>
    </row>
    <row r="16715" spans="6:6">
      <c r="F16715" s="2423"/>
    </row>
    <row r="16716" spans="6:6">
      <c r="F16716" s="2423"/>
    </row>
    <row r="16717" spans="6:6">
      <c r="F16717" s="2423"/>
    </row>
    <row r="16718" spans="6:6">
      <c r="F16718" s="2423"/>
    </row>
    <row r="16719" spans="6:6">
      <c r="F16719" s="2423"/>
    </row>
    <row r="16720" spans="6:6">
      <c r="F16720" s="2423"/>
    </row>
    <row r="16721" spans="6:6">
      <c r="F16721" s="2423"/>
    </row>
    <row r="16722" spans="6:6">
      <c r="F16722" s="2423"/>
    </row>
    <row r="16723" spans="6:6">
      <c r="F16723" s="2423"/>
    </row>
    <row r="16724" spans="6:6">
      <c r="F16724" s="2423"/>
    </row>
    <row r="16725" spans="6:6">
      <c r="F16725" s="2423"/>
    </row>
    <row r="16726" spans="6:6">
      <c r="F16726" s="2423"/>
    </row>
    <row r="16727" spans="6:6">
      <c r="F16727" s="2423"/>
    </row>
    <row r="16728" spans="6:6">
      <c r="F16728" s="2423"/>
    </row>
    <row r="16729" spans="6:6">
      <c r="F16729" s="2423"/>
    </row>
    <row r="16730" spans="6:6">
      <c r="F16730" s="2423"/>
    </row>
    <row r="16731" spans="6:6">
      <c r="F16731" s="2423"/>
    </row>
    <row r="16732" spans="6:6">
      <c r="F16732" s="2423"/>
    </row>
    <row r="16733" spans="6:6">
      <c r="F16733" s="2423"/>
    </row>
    <row r="16734" spans="6:6">
      <c r="F16734" s="2423"/>
    </row>
    <row r="16735" spans="6:6">
      <c r="F16735" s="2423"/>
    </row>
    <row r="16736" spans="6:6">
      <c r="F16736" s="2423"/>
    </row>
    <row r="16737" spans="6:6">
      <c r="F16737" s="2423"/>
    </row>
    <row r="16738" spans="6:6">
      <c r="F16738" s="2423"/>
    </row>
    <row r="16739" spans="6:6">
      <c r="F16739" s="2423"/>
    </row>
    <row r="16740" spans="6:6">
      <c r="F16740" s="2423"/>
    </row>
    <row r="16741" spans="6:6">
      <c r="F16741" s="2423"/>
    </row>
    <row r="16742" spans="6:6">
      <c r="F16742" s="2423"/>
    </row>
    <row r="16743" spans="6:6">
      <c r="F16743" s="2423"/>
    </row>
    <row r="16744" spans="6:6">
      <c r="F16744" s="2423"/>
    </row>
    <row r="16745" spans="6:6">
      <c r="F16745" s="2423"/>
    </row>
    <row r="16746" spans="6:6">
      <c r="F16746" s="2423"/>
    </row>
    <row r="16747" spans="6:6">
      <c r="F16747" s="2423"/>
    </row>
    <row r="16748" spans="6:6">
      <c r="F16748" s="2423"/>
    </row>
    <row r="16749" spans="6:6">
      <c r="F16749" s="2423"/>
    </row>
    <row r="16750" spans="6:6">
      <c r="F16750" s="2423"/>
    </row>
    <row r="16751" spans="6:6">
      <c r="F16751" s="2423"/>
    </row>
    <row r="16752" spans="6:6">
      <c r="F16752" s="2423"/>
    </row>
    <row r="16753" spans="6:6">
      <c r="F16753" s="2423"/>
    </row>
    <row r="16754" spans="6:6">
      <c r="F16754" s="2423"/>
    </row>
    <row r="16755" spans="6:6">
      <c r="F16755" s="2423"/>
    </row>
    <row r="16756" spans="6:6">
      <c r="F16756" s="2423"/>
    </row>
    <row r="16757" spans="6:6">
      <c r="F16757" s="2423"/>
    </row>
    <row r="16758" spans="6:6">
      <c r="F16758" s="2423"/>
    </row>
    <row r="16759" spans="6:6">
      <c r="F16759" s="2423"/>
    </row>
    <row r="16760" spans="6:6">
      <c r="F16760" s="2423"/>
    </row>
    <row r="16761" spans="6:6">
      <c r="F16761" s="2423"/>
    </row>
    <row r="16762" spans="6:6">
      <c r="F16762" s="2423"/>
    </row>
    <row r="16763" spans="6:6">
      <c r="F16763" s="2423"/>
    </row>
    <row r="16764" spans="6:6">
      <c r="F16764" s="2423"/>
    </row>
    <row r="16765" spans="6:6">
      <c r="F16765" s="2423"/>
    </row>
    <row r="16766" spans="6:6">
      <c r="F16766" s="2423"/>
    </row>
    <row r="16767" spans="6:6">
      <c r="F16767" s="2423"/>
    </row>
    <row r="16768" spans="6:6">
      <c r="F16768" s="2423"/>
    </row>
    <row r="16769" spans="6:6">
      <c r="F16769" s="2423"/>
    </row>
    <row r="16770" spans="6:6">
      <c r="F16770" s="2423"/>
    </row>
    <row r="16771" spans="6:6">
      <c r="F16771" s="2423"/>
    </row>
    <row r="16772" spans="6:6">
      <c r="F16772" s="2423"/>
    </row>
    <row r="16773" spans="6:6">
      <c r="F16773" s="2423"/>
    </row>
    <row r="16774" spans="6:6">
      <c r="F16774" s="2423"/>
    </row>
    <row r="16775" spans="6:6">
      <c r="F16775" s="2423"/>
    </row>
    <row r="16776" spans="6:6">
      <c r="F16776" s="2423"/>
    </row>
    <row r="16777" spans="6:6">
      <c r="F16777" s="2423"/>
    </row>
    <row r="16778" spans="6:6">
      <c r="F16778" s="2423"/>
    </row>
    <row r="16779" spans="6:6">
      <c r="F16779" s="2423"/>
    </row>
    <row r="16780" spans="6:6">
      <c r="F16780" s="2423"/>
    </row>
    <row r="16781" spans="6:6">
      <c r="F16781" s="2423"/>
    </row>
    <row r="16782" spans="6:6">
      <c r="F16782" s="2423"/>
    </row>
    <row r="16783" spans="6:6">
      <c r="F16783" s="2423"/>
    </row>
    <row r="16784" spans="6:6">
      <c r="F16784" s="2423"/>
    </row>
    <row r="16785" spans="6:6">
      <c r="F16785" s="2423"/>
    </row>
    <row r="16786" spans="6:6">
      <c r="F16786" s="2423"/>
    </row>
    <row r="16787" spans="6:6">
      <c r="F16787" s="2423"/>
    </row>
    <row r="16788" spans="6:6">
      <c r="F16788" s="2423"/>
    </row>
    <row r="16789" spans="6:6">
      <c r="F16789" s="2423"/>
    </row>
    <row r="16790" spans="6:6">
      <c r="F16790" s="2423"/>
    </row>
    <row r="16791" spans="6:6">
      <c r="F16791" s="2423"/>
    </row>
    <row r="16792" spans="6:6">
      <c r="F16792" s="2423"/>
    </row>
    <row r="16793" spans="6:6">
      <c r="F16793" s="2423"/>
    </row>
    <row r="16794" spans="6:6">
      <c r="F16794" s="2423"/>
    </row>
    <row r="16795" spans="6:6">
      <c r="F16795" s="2423"/>
    </row>
    <row r="16796" spans="6:6">
      <c r="F16796" s="2423"/>
    </row>
    <row r="16797" spans="6:6">
      <c r="F16797" s="2423"/>
    </row>
    <row r="16798" spans="6:6">
      <c r="F16798" s="2423"/>
    </row>
    <row r="16799" spans="6:6">
      <c r="F16799" s="2423"/>
    </row>
    <row r="16800" spans="6:6">
      <c r="F16800" s="2423"/>
    </row>
    <row r="16801" spans="6:6">
      <c r="F16801" s="2423"/>
    </row>
    <row r="16802" spans="6:6">
      <c r="F16802" s="2423"/>
    </row>
    <row r="16803" spans="6:6">
      <c r="F16803" s="2423"/>
    </row>
    <row r="16804" spans="6:6">
      <c r="F16804" s="2423"/>
    </row>
    <row r="16805" spans="6:6">
      <c r="F16805" s="2423"/>
    </row>
    <row r="16806" spans="6:6">
      <c r="F16806" s="2423"/>
    </row>
    <row r="16807" spans="6:6">
      <c r="F16807" s="2423"/>
    </row>
    <row r="16808" spans="6:6">
      <c r="F16808" s="2423"/>
    </row>
    <row r="16809" spans="6:6">
      <c r="F16809" s="2423"/>
    </row>
    <row r="16810" spans="6:6">
      <c r="F16810" s="2423"/>
    </row>
    <row r="16811" spans="6:6">
      <c r="F16811" s="2423"/>
    </row>
    <row r="16812" spans="6:6">
      <c r="F16812" s="2423"/>
    </row>
    <row r="16813" spans="6:6">
      <c r="F16813" s="2423"/>
    </row>
    <row r="16814" spans="6:6">
      <c r="F16814" s="2423"/>
    </row>
    <row r="16815" spans="6:6">
      <c r="F16815" s="2423"/>
    </row>
    <row r="16816" spans="6:6">
      <c r="F16816" s="2423"/>
    </row>
    <row r="16817" spans="6:6">
      <c r="F16817" s="2423"/>
    </row>
    <row r="16818" spans="6:6">
      <c r="F16818" s="2423"/>
    </row>
    <row r="16819" spans="6:6">
      <c r="F16819" s="2423"/>
    </row>
    <row r="16820" spans="6:6">
      <c r="F16820" s="2423"/>
    </row>
    <row r="16821" spans="6:6">
      <c r="F16821" s="2423"/>
    </row>
    <row r="16822" spans="6:6">
      <c r="F16822" s="2423"/>
    </row>
    <row r="16823" spans="6:6">
      <c r="F16823" s="2423"/>
    </row>
    <row r="16824" spans="6:6">
      <c r="F16824" s="2423"/>
    </row>
    <row r="16825" spans="6:6">
      <c r="F16825" s="2423"/>
    </row>
    <row r="16826" spans="6:6">
      <c r="F16826" s="2423"/>
    </row>
    <row r="16827" spans="6:6">
      <c r="F16827" s="2423"/>
    </row>
    <row r="16828" spans="6:6">
      <c r="F16828" s="2423"/>
    </row>
    <row r="16829" spans="6:6">
      <c r="F16829" s="2423"/>
    </row>
    <row r="16830" spans="6:6">
      <c r="F16830" s="2423"/>
    </row>
    <row r="16831" spans="6:6">
      <c r="F16831" s="2423"/>
    </row>
    <row r="16832" spans="6:6">
      <c r="F16832" s="2423"/>
    </row>
    <row r="16833" spans="6:6">
      <c r="F16833" s="2423"/>
    </row>
    <row r="16834" spans="6:6">
      <c r="F16834" s="2423"/>
    </row>
    <row r="16835" spans="6:6">
      <c r="F16835" s="2423"/>
    </row>
    <row r="16836" spans="6:6">
      <c r="F16836" s="2423"/>
    </row>
    <row r="16837" spans="6:6">
      <c r="F16837" s="2423"/>
    </row>
    <row r="16838" spans="6:6">
      <c r="F16838" s="2423"/>
    </row>
    <row r="16839" spans="6:6">
      <c r="F16839" s="2423"/>
    </row>
    <row r="16840" spans="6:6">
      <c r="F16840" s="2423"/>
    </row>
    <row r="16841" spans="6:6">
      <c r="F16841" s="2423"/>
    </row>
    <row r="16842" spans="6:6">
      <c r="F16842" s="2423"/>
    </row>
    <row r="16843" spans="6:6">
      <c r="F16843" s="2423"/>
    </row>
    <row r="16844" spans="6:6">
      <c r="F16844" s="2423"/>
    </row>
    <row r="16845" spans="6:6">
      <c r="F16845" s="2423"/>
    </row>
    <row r="16846" spans="6:6">
      <c r="F16846" s="2423"/>
    </row>
    <row r="16847" spans="6:6">
      <c r="F16847" s="2423"/>
    </row>
    <row r="16848" spans="6:6">
      <c r="F16848" s="2423"/>
    </row>
    <row r="16849" spans="6:6">
      <c r="F16849" s="2423"/>
    </row>
    <row r="16850" spans="6:6">
      <c r="F16850" s="2423"/>
    </row>
    <row r="16851" spans="6:6">
      <c r="F16851" s="2423"/>
    </row>
    <row r="16852" spans="6:6">
      <c r="F16852" s="2423"/>
    </row>
    <row r="16853" spans="6:6">
      <c r="F16853" s="2423"/>
    </row>
    <row r="16854" spans="6:6">
      <c r="F16854" s="2423"/>
    </row>
    <row r="16855" spans="6:6">
      <c r="F16855" s="2423"/>
    </row>
    <row r="16856" spans="6:6">
      <c r="F16856" s="2423"/>
    </row>
    <row r="16857" spans="6:6">
      <c r="F16857" s="2423"/>
    </row>
    <row r="16858" spans="6:6">
      <c r="F16858" s="2423"/>
    </row>
    <row r="16859" spans="6:6">
      <c r="F16859" s="2423"/>
    </row>
    <row r="16860" spans="6:6">
      <c r="F16860" s="2423"/>
    </row>
    <row r="16861" spans="6:6">
      <c r="F16861" s="2423"/>
    </row>
    <row r="16862" spans="6:6">
      <c r="F16862" s="2423"/>
    </row>
    <row r="16863" spans="6:6">
      <c r="F16863" s="2423"/>
    </row>
    <row r="16864" spans="6:6">
      <c r="F16864" s="2423"/>
    </row>
    <row r="16865" spans="6:6">
      <c r="F16865" s="2423"/>
    </row>
    <row r="16866" spans="6:6">
      <c r="F16866" s="2423"/>
    </row>
    <row r="16867" spans="6:6">
      <c r="F16867" s="2423"/>
    </row>
    <row r="16868" spans="6:6">
      <c r="F16868" s="2423"/>
    </row>
    <row r="16869" spans="6:6">
      <c r="F16869" s="2423"/>
    </row>
    <row r="16870" spans="6:6">
      <c r="F16870" s="2423"/>
    </row>
    <row r="16871" spans="6:6">
      <c r="F16871" s="2423"/>
    </row>
    <row r="16872" spans="6:6">
      <c r="F16872" s="2423"/>
    </row>
    <row r="16873" spans="6:6">
      <c r="F16873" s="2423"/>
    </row>
    <row r="16874" spans="6:6">
      <c r="F16874" s="2423"/>
    </row>
    <row r="16875" spans="6:6">
      <c r="F16875" s="2423"/>
    </row>
    <row r="16876" spans="6:6">
      <c r="F16876" s="2423"/>
    </row>
    <row r="16877" spans="6:6">
      <c r="F16877" s="2423"/>
    </row>
    <row r="16878" spans="6:6">
      <c r="F16878" s="2423"/>
    </row>
    <row r="16879" spans="6:6">
      <c r="F16879" s="2423"/>
    </row>
    <row r="16880" spans="6:6">
      <c r="F16880" s="2423"/>
    </row>
    <row r="16881" spans="6:6">
      <c r="F16881" s="2423"/>
    </row>
    <row r="16882" spans="6:6">
      <c r="F16882" s="2423"/>
    </row>
    <row r="16883" spans="6:6">
      <c r="F16883" s="2423"/>
    </row>
    <row r="16884" spans="6:6">
      <c r="F16884" s="2423"/>
    </row>
    <row r="16885" spans="6:6">
      <c r="F16885" s="2423"/>
    </row>
    <row r="16886" spans="6:6">
      <c r="F16886" s="2423"/>
    </row>
    <row r="16887" spans="6:6">
      <c r="F16887" s="2423"/>
    </row>
    <row r="16888" spans="6:6">
      <c r="F16888" s="2423"/>
    </row>
    <row r="16889" spans="6:6">
      <c r="F16889" s="2423"/>
    </row>
    <row r="16890" spans="6:6">
      <c r="F16890" s="2423"/>
    </row>
    <row r="16891" spans="6:6">
      <c r="F16891" s="2423"/>
    </row>
    <row r="16892" spans="6:6">
      <c r="F16892" s="2423"/>
    </row>
    <row r="16893" spans="6:6">
      <c r="F16893" s="2423"/>
    </row>
    <row r="16894" spans="6:6">
      <c r="F16894" s="2423"/>
    </row>
    <row r="16895" spans="6:6">
      <c r="F16895" s="2423"/>
    </row>
    <row r="16896" spans="6:6">
      <c r="F16896" s="2423"/>
    </row>
    <row r="16897" spans="6:6">
      <c r="F16897" s="2423"/>
    </row>
    <row r="16898" spans="6:6">
      <c r="F16898" s="2423"/>
    </row>
    <row r="16899" spans="6:6">
      <c r="F16899" s="2423"/>
    </row>
    <row r="16900" spans="6:6">
      <c r="F16900" s="2423"/>
    </row>
    <row r="16901" spans="6:6">
      <c r="F16901" s="2423"/>
    </row>
    <row r="16902" spans="6:6">
      <c r="F16902" s="2423"/>
    </row>
    <row r="16903" spans="6:6">
      <c r="F16903" s="2423"/>
    </row>
    <row r="16904" spans="6:6">
      <c r="F16904" s="2423"/>
    </row>
    <row r="16905" spans="6:6">
      <c r="F16905" s="2423"/>
    </row>
    <row r="16906" spans="6:6">
      <c r="F16906" s="2423"/>
    </row>
    <row r="16907" spans="6:6">
      <c r="F16907" s="2423"/>
    </row>
    <row r="16908" spans="6:6">
      <c r="F16908" s="2423"/>
    </row>
    <row r="16909" spans="6:6">
      <c r="F16909" s="2423"/>
    </row>
    <row r="16910" spans="6:6">
      <c r="F16910" s="2423"/>
    </row>
    <row r="16911" spans="6:6">
      <c r="F16911" s="2423"/>
    </row>
    <row r="16912" spans="6:6">
      <c r="F16912" s="2423"/>
    </row>
    <row r="16913" spans="6:6">
      <c r="F16913" s="2423"/>
    </row>
    <row r="16914" spans="6:6">
      <c r="F16914" s="2423"/>
    </row>
    <row r="16915" spans="6:6">
      <c r="F16915" s="2423"/>
    </row>
    <row r="16916" spans="6:6">
      <c r="F16916" s="2423"/>
    </row>
    <row r="16917" spans="6:6">
      <c r="F16917" s="2423"/>
    </row>
    <row r="16918" spans="6:6">
      <c r="F16918" s="2423"/>
    </row>
    <row r="16919" spans="6:6">
      <c r="F16919" s="2423"/>
    </row>
    <row r="16920" spans="6:6">
      <c r="F16920" s="2423"/>
    </row>
    <row r="16921" spans="6:6">
      <c r="F16921" s="2423"/>
    </row>
    <row r="16922" spans="6:6">
      <c r="F16922" s="2423"/>
    </row>
    <row r="16923" spans="6:6">
      <c r="F16923" s="2423"/>
    </row>
    <row r="16924" spans="6:6">
      <c r="F16924" s="2423"/>
    </row>
    <row r="16925" spans="6:6">
      <c r="F16925" s="2423"/>
    </row>
    <row r="16926" spans="6:6">
      <c r="F16926" s="2423"/>
    </row>
    <row r="16927" spans="6:6">
      <c r="F16927" s="2423"/>
    </row>
    <row r="16928" spans="6:6">
      <c r="F16928" s="2423"/>
    </row>
    <row r="16929" spans="6:6">
      <c r="F16929" s="2423"/>
    </row>
    <row r="16930" spans="6:6">
      <c r="F16930" s="2423"/>
    </row>
    <row r="16931" spans="6:6">
      <c r="F16931" s="2423"/>
    </row>
    <row r="16932" spans="6:6">
      <c r="F16932" s="2423"/>
    </row>
    <row r="16933" spans="6:6">
      <c r="F16933" s="2423"/>
    </row>
    <row r="16934" spans="6:6">
      <c r="F16934" s="2423"/>
    </row>
    <row r="16935" spans="6:6">
      <c r="F16935" s="2423"/>
    </row>
    <row r="16936" spans="6:6">
      <c r="F16936" s="2423"/>
    </row>
    <row r="16937" spans="6:6">
      <c r="F16937" s="2423"/>
    </row>
    <row r="16938" spans="6:6">
      <c r="F16938" s="2423"/>
    </row>
    <row r="16939" spans="6:6">
      <c r="F16939" s="2423"/>
    </row>
    <row r="16940" spans="6:6">
      <c r="F16940" s="2423"/>
    </row>
    <row r="16941" spans="6:6">
      <c r="F16941" s="2423"/>
    </row>
    <row r="16942" spans="6:6">
      <c r="F16942" s="2423"/>
    </row>
    <row r="16943" spans="6:6">
      <c r="F16943" s="2423"/>
    </row>
    <row r="16944" spans="6:6">
      <c r="F16944" s="2423"/>
    </row>
    <row r="16945" spans="6:6">
      <c r="F16945" s="2423"/>
    </row>
    <row r="16946" spans="6:6">
      <c r="F16946" s="2423"/>
    </row>
    <row r="16947" spans="6:6">
      <c r="F16947" s="2423"/>
    </row>
    <row r="16948" spans="6:6">
      <c r="F16948" s="2423"/>
    </row>
    <row r="16949" spans="6:6">
      <c r="F16949" s="2423"/>
    </row>
    <row r="16950" spans="6:6">
      <c r="F16950" s="2423"/>
    </row>
    <row r="16951" spans="6:6">
      <c r="F16951" s="2423"/>
    </row>
    <row r="16952" spans="6:6">
      <c r="F16952" s="2423"/>
    </row>
    <row r="16953" spans="6:6">
      <c r="F16953" s="2423"/>
    </row>
    <row r="16954" spans="6:6">
      <c r="F16954" s="2423"/>
    </row>
    <row r="16955" spans="6:6">
      <c r="F16955" s="2423"/>
    </row>
    <row r="16956" spans="6:6">
      <c r="F16956" s="2423"/>
    </row>
    <row r="16957" spans="6:6">
      <c r="F16957" s="2423"/>
    </row>
    <row r="16958" spans="6:6">
      <c r="F16958" s="2423"/>
    </row>
    <row r="16959" spans="6:6">
      <c r="F16959" s="2423"/>
    </row>
    <row r="16960" spans="6:6">
      <c r="F16960" s="2423"/>
    </row>
    <row r="16961" spans="6:6">
      <c r="F16961" s="2423"/>
    </row>
    <row r="16962" spans="6:6">
      <c r="F16962" s="2423"/>
    </row>
    <row r="16963" spans="6:6">
      <c r="F16963" s="2423"/>
    </row>
    <row r="16964" spans="6:6">
      <c r="F16964" s="2423"/>
    </row>
    <row r="16965" spans="6:6">
      <c r="F16965" s="2423"/>
    </row>
    <row r="16966" spans="6:6">
      <c r="F16966" s="2423"/>
    </row>
    <row r="16967" spans="6:6">
      <c r="F16967" s="2423"/>
    </row>
    <row r="16968" spans="6:6">
      <c r="F16968" s="2423"/>
    </row>
    <row r="16969" spans="6:6">
      <c r="F16969" s="2423"/>
    </row>
    <row r="16970" spans="6:6">
      <c r="F16970" s="2423"/>
    </row>
    <row r="16971" spans="6:6">
      <c r="F16971" s="2423"/>
    </row>
    <row r="16972" spans="6:6">
      <c r="F16972" s="2423"/>
    </row>
    <row r="16973" spans="6:6">
      <c r="F16973" s="2423"/>
    </row>
    <row r="16974" spans="6:6">
      <c r="F16974" s="2423"/>
    </row>
    <row r="16975" spans="6:6">
      <c r="F16975" s="2423"/>
    </row>
    <row r="16976" spans="6:6">
      <c r="F16976" s="2423"/>
    </row>
    <row r="16977" spans="6:6">
      <c r="F16977" s="2423"/>
    </row>
    <row r="16978" spans="6:6">
      <c r="F16978" s="2423"/>
    </row>
    <row r="16979" spans="6:6">
      <c r="F16979" s="2423"/>
    </row>
    <row r="16980" spans="6:6">
      <c r="F16980" s="2423"/>
    </row>
    <row r="16981" spans="6:6">
      <c r="F16981" s="2423"/>
    </row>
    <row r="16982" spans="6:6">
      <c r="F16982" s="2423"/>
    </row>
    <row r="16983" spans="6:6">
      <c r="F16983" s="2423"/>
    </row>
    <row r="16984" spans="6:6">
      <c r="F16984" s="2423"/>
    </row>
    <row r="16985" spans="6:6">
      <c r="F16985" s="2423"/>
    </row>
    <row r="16986" spans="6:6">
      <c r="F16986" s="2423"/>
    </row>
    <row r="16987" spans="6:6">
      <c r="F16987" s="2423"/>
    </row>
    <row r="16988" spans="6:6">
      <c r="F16988" s="2423"/>
    </row>
    <row r="16989" spans="6:6">
      <c r="F16989" s="2423"/>
    </row>
    <row r="16990" spans="6:6">
      <c r="F16990" s="2423"/>
    </row>
    <row r="16991" spans="6:6">
      <c r="F16991" s="2423"/>
    </row>
    <row r="16992" spans="6:6">
      <c r="F16992" s="2423"/>
    </row>
    <row r="16993" spans="6:6">
      <c r="F16993" s="2423"/>
    </row>
    <row r="16994" spans="6:6">
      <c r="F16994" s="2423"/>
    </row>
    <row r="16995" spans="6:6">
      <c r="F16995" s="2423"/>
    </row>
    <row r="16996" spans="6:6">
      <c r="F16996" s="2423"/>
    </row>
    <row r="16997" spans="6:6">
      <c r="F16997" s="2423"/>
    </row>
    <row r="16998" spans="6:6">
      <c r="F16998" s="2423"/>
    </row>
    <row r="16999" spans="6:6">
      <c r="F16999" s="2423"/>
    </row>
    <row r="17000" spans="6:6">
      <c r="F17000" s="2423"/>
    </row>
    <row r="17001" spans="6:6">
      <c r="F17001" s="2423"/>
    </row>
    <row r="17002" spans="6:6">
      <c r="F17002" s="2423"/>
    </row>
    <row r="17003" spans="6:6">
      <c r="F17003" s="2423"/>
    </row>
    <row r="17004" spans="6:6">
      <c r="F17004" s="2423"/>
    </row>
    <row r="17005" spans="6:6">
      <c r="F17005" s="2423"/>
    </row>
    <row r="17006" spans="6:6">
      <c r="F17006" s="2423"/>
    </row>
    <row r="17007" spans="6:6">
      <c r="F17007" s="2423"/>
    </row>
    <row r="17008" spans="6:6">
      <c r="F17008" s="2423"/>
    </row>
    <row r="17009" spans="6:6">
      <c r="F17009" s="2423"/>
    </row>
    <row r="17010" spans="6:6">
      <c r="F17010" s="2423"/>
    </row>
    <row r="17011" spans="6:6">
      <c r="F17011" s="2423"/>
    </row>
    <row r="17012" spans="6:6">
      <c r="F17012" s="2423"/>
    </row>
    <row r="17013" spans="6:6">
      <c r="F17013" s="2423"/>
    </row>
    <row r="17014" spans="6:6">
      <c r="F17014" s="2423"/>
    </row>
    <row r="17015" spans="6:6">
      <c r="F17015" s="2423"/>
    </row>
    <row r="17016" spans="6:6">
      <c r="F17016" s="2423"/>
    </row>
    <row r="17017" spans="6:6">
      <c r="F17017" s="2423"/>
    </row>
    <row r="17018" spans="6:6">
      <c r="F17018" s="2423"/>
    </row>
    <row r="17019" spans="6:6">
      <c r="F17019" s="2423"/>
    </row>
    <row r="17020" spans="6:6">
      <c r="F17020" s="2423"/>
    </row>
    <row r="17021" spans="6:6">
      <c r="F17021" s="2423"/>
    </row>
    <row r="17022" spans="6:6">
      <c r="F17022" s="2423"/>
    </row>
    <row r="17023" spans="6:6">
      <c r="F17023" s="2423"/>
    </row>
    <row r="17024" spans="6:6">
      <c r="F17024" s="2423"/>
    </row>
    <row r="17025" spans="6:6">
      <c r="F17025" s="2423"/>
    </row>
    <row r="17026" spans="6:6">
      <c r="F17026" s="2423"/>
    </row>
    <row r="17027" spans="6:6">
      <c r="F17027" s="2423"/>
    </row>
    <row r="17028" spans="6:6">
      <c r="F17028" s="2423"/>
    </row>
    <row r="17029" spans="6:6">
      <c r="F17029" s="2423"/>
    </row>
    <row r="17030" spans="6:6">
      <c r="F17030" s="2423"/>
    </row>
    <row r="17031" spans="6:6">
      <c r="F17031" s="2423"/>
    </row>
    <row r="17032" spans="6:6">
      <c r="F17032" s="2423"/>
    </row>
    <row r="17033" spans="6:6">
      <c r="F17033" s="2423"/>
    </row>
    <row r="17034" spans="6:6">
      <c r="F17034" s="2423"/>
    </row>
    <row r="17035" spans="6:6">
      <c r="F17035" s="2423"/>
    </row>
    <row r="17036" spans="6:6">
      <c r="F17036" s="2423"/>
    </row>
    <row r="17037" spans="6:6">
      <c r="F17037" s="2423"/>
    </row>
    <row r="17038" spans="6:6">
      <c r="F17038" s="2423"/>
    </row>
    <row r="17039" spans="6:6">
      <c r="F17039" s="2423"/>
    </row>
    <row r="17040" spans="6:6">
      <c r="F17040" s="2423"/>
    </row>
    <row r="17041" spans="6:6">
      <c r="F17041" s="2423"/>
    </row>
    <row r="17042" spans="6:6">
      <c r="F17042" s="2423"/>
    </row>
    <row r="17043" spans="6:6">
      <c r="F17043" s="2423"/>
    </row>
    <row r="17044" spans="6:6">
      <c r="F17044" s="2423"/>
    </row>
    <row r="17045" spans="6:6">
      <c r="F17045" s="2423"/>
    </row>
    <row r="17046" spans="6:6">
      <c r="F17046" s="2423"/>
    </row>
    <row r="17047" spans="6:6">
      <c r="F17047" s="2423"/>
    </row>
    <row r="17048" spans="6:6">
      <c r="F17048" s="2423"/>
    </row>
    <row r="17049" spans="6:6">
      <c r="F17049" s="2423"/>
    </row>
    <row r="17050" spans="6:6">
      <c r="F17050" s="2423"/>
    </row>
    <row r="17051" spans="6:6">
      <c r="F17051" s="2423"/>
    </row>
    <row r="17052" spans="6:6">
      <c r="F17052" s="2423"/>
    </row>
    <row r="17053" spans="6:6">
      <c r="F17053" s="2423"/>
    </row>
    <row r="17054" spans="6:6">
      <c r="F17054" s="2423"/>
    </row>
    <row r="17055" spans="6:6">
      <c r="F17055" s="2423"/>
    </row>
    <row r="17056" spans="6:6">
      <c r="F17056" s="2423"/>
    </row>
    <row r="17057" spans="6:6">
      <c r="F17057" s="2423"/>
    </row>
    <row r="17058" spans="6:6">
      <c r="F17058" s="2423"/>
    </row>
    <row r="17059" spans="6:6">
      <c r="F17059" s="2423"/>
    </row>
    <row r="17060" spans="6:6">
      <c r="F17060" s="2423"/>
    </row>
    <row r="17061" spans="6:6">
      <c r="F17061" s="2423"/>
    </row>
    <row r="17062" spans="6:6">
      <c r="F17062" s="2423"/>
    </row>
    <row r="17063" spans="6:6">
      <c r="F17063" s="2423"/>
    </row>
    <row r="17064" spans="6:6">
      <c r="F17064" s="2423"/>
    </row>
    <row r="17065" spans="6:6">
      <c r="F17065" s="2423"/>
    </row>
    <row r="17066" spans="6:6">
      <c r="F17066" s="2423"/>
    </row>
    <row r="17067" spans="6:6">
      <c r="F17067" s="2423"/>
    </row>
    <row r="17068" spans="6:6">
      <c r="F17068" s="2423"/>
    </row>
    <row r="17069" spans="6:6">
      <c r="F17069" s="2423"/>
    </row>
    <row r="17070" spans="6:6">
      <c r="F17070" s="2423"/>
    </row>
    <row r="17071" spans="6:6">
      <c r="F17071" s="2423"/>
    </row>
    <row r="17072" spans="6:6">
      <c r="F17072" s="2423"/>
    </row>
    <row r="17073" spans="6:6">
      <c r="F17073" s="2423"/>
    </row>
    <row r="17074" spans="6:6">
      <c r="F17074" s="2423"/>
    </row>
    <row r="17075" spans="6:6">
      <c r="F17075" s="2423"/>
    </row>
    <row r="17076" spans="6:6">
      <c r="F17076" s="2423"/>
    </row>
    <row r="17077" spans="6:6">
      <c r="F17077" s="2423"/>
    </row>
    <row r="17078" spans="6:6">
      <c r="F17078" s="2423"/>
    </row>
    <row r="17079" spans="6:6">
      <c r="F17079" s="2423"/>
    </row>
    <row r="17080" spans="6:6">
      <c r="F17080" s="2423"/>
    </row>
    <row r="17081" spans="6:6">
      <c r="F17081" s="2423"/>
    </row>
    <row r="17082" spans="6:6">
      <c r="F17082" s="2423"/>
    </row>
    <row r="17083" spans="6:6">
      <c r="F17083" s="2423"/>
    </row>
    <row r="17084" spans="6:6">
      <c r="F17084" s="2423"/>
    </row>
    <row r="17085" spans="6:6">
      <c r="F17085" s="2423"/>
    </row>
    <row r="17086" spans="6:6">
      <c r="F17086" s="2423"/>
    </row>
    <row r="17087" spans="6:6">
      <c r="F17087" s="2423"/>
    </row>
    <row r="17088" spans="6:6">
      <c r="F17088" s="2423"/>
    </row>
    <row r="17089" spans="6:6">
      <c r="F17089" s="2423"/>
    </row>
    <row r="17090" spans="6:6">
      <c r="F17090" s="2423"/>
    </row>
    <row r="17091" spans="6:6">
      <c r="F17091" s="2423"/>
    </row>
    <row r="17092" spans="6:6">
      <c r="F17092" s="2423"/>
    </row>
    <row r="17093" spans="6:6">
      <c r="F17093" s="2423"/>
    </row>
    <row r="17094" spans="6:6">
      <c r="F17094" s="2423"/>
    </row>
    <row r="17095" spans="6:6">
      <c r="F17095" s="2423"/>
    </row>
    <row r="17096" spans="6:6">
      <c r="F17096" s="2423"/>
    </row>
    <row r="17097" spans="6:6">
      <c r="F17097" s="2423"/>
    </row>
    <row r="17098" spans="6:6">
      <c r="F17098" s="2423"/>
    </row>
    <row r="17099" spans="6:6">
      <c r="F17099" s="2423"/>
    </row>
    <row r="17100" spans="6:6">
      <c r="F17100" s="2423"/>
    </row>
    <row r="17101" spans="6:6">
      <c r="F17101" s="2423"/>
    </row>
    <row r="17102" spans="6:6">
      <c r="F17102" s="2423"/>
    </row>
    <row r="17103" spans="6:6">
      <c r="F17103" s="2423"/>
    </row>
    <row r="17104" spans="6:6">
      <c r="F17104" s="2423"/>
    </row>
    <row r="17105" spans="6:6">
      <c r="F17105" s="2423"/>
    </row>
    <row r="17106" spans="6:6">
      <c r="F17106" s="2423"/>
    </row>
    <row r="17107" spans="6:6">
      <c r="F17107" s="2423"/>
    </row>
    <row r="17108" spans="6:6">
      <c r="F17108" s="2423"/>
    </row>
    <row r="17109" spans="6:6">
      <c r="F17109" s="2423"/>
    </row>
    <row r="17110" spans="6:6">
      <c r="F17110" s="2423"/>
    </row>
    <row r="17111" spans="6:6">
      <c r="F17111" s="2423"/>
    </row>
    <row r="17112" spans="6:6">
      <c r="F17112" s="2423"/>
    </row>
    <row r="17113" spans="6:6">
      <c r="F17113" s="2423"/>
    </row>
    <row r="17114" spans="6:6">
      <c r="F17114" s="2423"/>
    </row>
    <row r="17115" spans="6:6">
      <c r="F17115" s="2423"/>
    </row>
    <row r="17116" spans="6:6">
      <c r="F17116" s="2423"/>
    </row>
    <row r="17117" spans="6:6">
      <c r="F17117" s="2423"/>
    </row>
    <row r="17118" spans="6:6">
      <c r="F17118" s="2423"/>
    </row>
    <row r="17119" spans="6:6">
      <c r="F17119" s="2423"/>
    </row>
    <row r="17120" spans="6:6">
      <c r="F17120" s="2423"/>
    </row>
    <row r="17121" spans="6:6">
      <c r="F17121" s="2423"/>
    </row>
    <row r="17122" spans="6:6">
      <c r="F17122" s="2423"/>
    </row>
    <row r="17123" spans="6:6">
      <c r="F17123" s="2423"/>
    </row>
    <row r="17124" spans="6:6">
      <c r="F17124" s="2423"/>
    </row>
    <row r="17125" spans="6:6">
      <c r="F17125" s="2423"/>
    </row>
    <row r="17126" spans="6:6">
      <c r="F17126" s="2423"/>
    </row>
    <row r="17127" spans="6:6">
      <c r="F17127" s="2423"/>
    </row>
    <row r="17128" spans="6:6">
      <c r="F17128" s="2423"/>
    </row>
    <row r="17129" spans="6:6">
      <c r="F17129" s="2423"/>
    </row>
    <row r="17130" spans="6:6">
      <c r="F17130" s="2423"/>
    </row>
    <row r="17131" spans="6:6">
      <c r="F17131" s="2423"/>
    </row>
    <row r="17132" spans="6:6">
      <c r="F17132" s="2423"/>
    </row>
    <row r="17133" spans="6:6">
      <c r="F17133" s="2423"/>
    </row>
    <row r="17134" spans="6:6">
      <c r="F17134" s="2423"/>
    </row>
    <row r="17135" spans="6:6">
      <c r="F17135" s="2423"/>
    </row>
    <row r="17136" spans="6:6">
      <c r="F17136" s="2423"/>
    </row>
    <row r="17137" spans="6:6">
      <c r="F17137" s="2423"/>
    </row>
    <row r="17138" spans="6:6">
      <c r="F17138" s="2423"/>
    </row>
    <row r="17139" spans="6:6">
      <c r="F17139" s="2423"/>
    </row>
    <row r="17140" spans="6:6">
      <c r="F17140" s="2423"/>
    </row>
    <row r="17141" spans="6:6">
      <c r="F17141" s="2423"/>
    </row>
    <row r="17142" spans="6:6">
      <c r="F17142" s="2423"/>
    </row>
    <row r="17143" spans="6:6">
      <c r="F17143" s="2423"/>
    </row>
    <row r="17144" spans="6:6">
      <c r="F17144" s="2423"/>
    </row>
    <row r="17145" spans="6:6">
      <c r="F17145" s="2423"/>
    </row>
    <row r="17146" spans="6:6">
      <c r="F17146" s="2423"/>
    </row>
    <row r="17147" spans="6:6">
      <c r="F17147" s="2423"/>
    </row>
    <row r="17148" spans="6:6">
      <c r="F17148" s="2423"/>
    </row>
    <row r="17149" spans="6:6">
      <c r="F17149" s="2423"/>
    </row>
    <row r="17150" spans="6:6">
      <c r="F17150" s="2423"/>
    </row>
    <row r="17151" spans="6:6">
      <c r="F17151" s="2423"/>
    </row>
    <row r="17152" spans="6:6">
      <c r="F17152" s="2423"/>
    </row>
    <row r="17153" spans="6:6">
      <c r="F17153" s="2423"/>
    </row>
    <row r="17154" spans="6:6">
      <c r="F17154" s="2423"/>
    </row>
    <row r="17155" spans="6:6">
      <c r="F17155" s="2423"/>
    </row>
    <row r="17156" spans="6:6">
      <c r="F17156" s="2423"/>
    </row>
    <row r="17157" spans="6:6">
      <c r="F17157" s="2423"/>
    </row>
    <row r="17158" spans="6:6">
      <c r="F17158" s="2423"/>
    </row>
    <row r="17159" spans="6:6">
      <c r="F17159" s="2423"/>
    </row>
    <row r="17160" spans="6:6">
      <c r="F17160" s="2423"/>
    </row>
    <row r="17161" spans="6:6">
      <c r="F17161" s="2423"/>
    </row>
    <row r="17162" spans="6:6">
      <c r="F17162" s="2423"/>
    </row>
    <row r="17163" spans="6:6">
      <c r="F17163" s="2423"/>
    </row>
    <row r="17164" spans="6:6">
      <c r="F17164" s="2423"/>
    </row>
    <row r="17165" spans="6:6">
      <c r="F17165" s="2423"/>
    </row>
    <row r="17166" spans="6:6">
      <c r="F17166" s="2423"/>
    </row>
    <row r="17167" spans="6:6">
      <c r="F17167" s="2423"/>
    </row>
    <row r="17168" spans="6:6">
      <c r="F17168" s="2423"/>
    </row>
    <row r="17169" spans="6:6">
      <c r="F17169" s="2423"/>
    </row>
    <row r="17170" spans="6:6">
      <c r="F17170" s="2423"/>
    </row>
    <row r="17171" spans="6:6">
      <c r="F17171" s="2423"/>
    </row>
    <row r="17172" spans="6:6">
      <c r="F17172" s="2423"/>
    </row>
    <row r="17173" spans="6:6">
      <c r="F17173" s="2423"/>
    </row>
    <row r="17174" spans="6:6">
      <c r="F17174" s="2423"/>
    </row>
    <row r="17175" spans="6:6">
      <c r="F17175" s="2423"/>
    </row>
    <row r="17176" spans="6:6">
      <c r="F17176" s="2423"/>
    </row>
    <row r="17177" spans="6:6">
      <c r="F17177" s="2423"/>
    </row>
    <row r="17178" spans="6:6">
      <c r="F17178" s="2423"/>
    </row>
    <row r="17179" spans="6:6">
      <c r="F17179" s="2423"/>
    </row>
    <row r="17180" spans="6:6">
      <c r="F17180" s="2423"/>
    </row>
    <row r="17181" spans="6:6">
      <c r="F17181" s="2423"/>
    </row>
    <row r="17182" spans="6:6">
      <c r="F17182" s="2423"/>
    </row>
    <row r="17183" spans="6:6">
      <c r="F17183" s="2423"/>
    </row>
    <row r="17184" spans="6:6">
      <c r="F17184" s="2423"/>
    </row>
    <row r="17185" spans="6:6">
      <c r="F17185" s="2423"/>
    </row>
    <row r="17186" spans="6:6">
      <c r="F17186" s="2423"/>
    </row>
    <row r="17187" spans="6:6">
      <c r="F17187" s="2423"/>
    </row>
    <row r="17188" spans="6:6">
      <c r="F17188" s="2423"/>
    </row>
    <row r="17189" spans="6:6">
      <c r="F17189" s="2423"/>
    </row>
    <row r="17190" spans="6:6">
      <c r="F17190" s="2423"/>
    </row>
    <row r="17191" spans="6:6">
      <c r="F17191" s="2423"/>
    </row>
    <row r="17192" spans="6:6">
      <c r="F17192" s="2423"/>
    </row>
    <row r="17193" spans="6:6">
      <c r="F17193" s="2423"/>
    </row>
    <row r="17194" spans="6:6">
      <c r="F17194" s="2423"/>
    </row>
    <row r="17195" spans="6:6">
      <c r="F17195" s="2423"/>
    </row>
    <row r="17196" spans="6:6">
      <c r="F17196" s="2423"/>
    </row>
    <row r="17197" spans="6:6">
      <c r="F17197" s="2423"/>
    </row>
    <row r="17198" spans="6:6">
      <c r="F17198" s="2423"/>
    </row>
    <row r="17199" spans="6:6">
      <c r="F17199" s="2423"/>
    </row>
    <row r="17200" spans="6:6">
      <c r="F17200" s="2423"/>
    </row>
    <row r="17201" spans="6:6">
      <c r="F17201" s="2423"/>
    </row>
    <row r="17202" spans="6:6">
      <c r="F17202" s="2423"/>
    </row>
    <row r="17203" spans="6:6">
      <c r="F17203" s="2423"/>
    </row>
    <row r="17204" spans="6:6">
      <c r="F17204" s="2423"/>
    </row>
    <row r="17205" spans="6:6">
      <c r="F17205" s="2423"/>
    </row>
    <row r="17206" spans="6:6">
      <c r="F17206" s="2423"/>
    </row>
    <row r="17207" spans="6:6">
      <c r="F17207" s="2423"/>
    </row>
    <row r="17208" spans="6:6">
      <c r="F17208" s="2423"/>
    </row>
    <row r="17209" spans="6:6">
      <c r="F17209" s="2423"/>
    </row>
    <row r="17210" spans="6:6">
      <c r="F17210" s="2423"/>
    </row>
    <row r="17211" spans="6:6">
      <c r="F17211" s="2423"/>
    </row>
    <row r="17212" spans="6:6">
      <c r="F17212" s="2423"/>
    </row>
    <row r="17213" spans="6:6">
      <c r="F17213" s="2423"/>
    </row>
    <row r="17214" spans="6:6">
      <c r="F17214" s="2423"/>
    </row>
    <row r="17215" spans="6:6">
      <c r="F17215" s="2423"/>
    </row>
    <row r="17216" spans="6:6">
      <c r="F17216" s="2423"/>
    </row>
    <row r="17217" spans="6:6">
      <c r="F17217" s="2423"/>
    </row>
    <row r="17218" spans="6:6">
      <c r="F17218" s="2423"/>
    </row>
    <row r="17219" spans="6:6">
      <c r="F17219" s="2423"/>
    </row>
    <row r="17220" spans="6:6">
      <c r="F17220" s="2423"/>
    </row>
    <row r="17221" spans="6:6">
      <c r="F17221" s="2423"/>
    </row>
    <row r="17222" spans="6:6">
      <c r="F17222" s="2423"/>
    </row>
    <row r="17223" spans="6:6">
      <c r="F17223" s="2423"/>
    </row>
    <row r="17224" spans="6:6">
      <c r="F17224" s="2423"/>
    </row>
    <row r="17225" spans="6:6">
      <c r="F17225" s="2423"/>
    </row>
    <row r="17226" spans="6:6">
      <c r="F17226" s="2423"/>
    </row>
    <row r="17227" spans="6:6">
      <c r="F17227" s="2423"/>
    </row>
    <row r="17228" spans="6:6">
      <c r="F17228" s="2423"/>
    </row>
    <row r="17229" spans="6:6">
      <c r="F17229" s="2423"/>
    </row>
    <row r="17230" spans="6:6">
      <c r="F17230" s="2423"/>
    </row>
    <row r="17231" spans="6:6">
      <c r="F17231" s="2423"/>
    </row>
    <row r="17232" spans="6:6">
      <c r="F17232" s="2423"/>
    </row>
    <row r="17233" spans="6:6">
      <c r="F17233" s="2423"/>
    </row>
    <row r="17234" spans="6:6">
      <c r="F17234" s="2423"/>
    </row>
    <row r="17235" spans="6:6">
      <c r="F17235" s="2423"/>
    </row>
    <row r="17236" spans="6:6">
      <c r="F17236" s="2423"/>
    </row>
    <row r="17237" spans="6:6">
      <c r="F17237" s="2423"/>
    </row>
    <row r="17238" spans="6:6">
      <c r="F17238" s="2423"/>
    </row>
    <row r="17239" spans="6:6">
      <c r="F17239" s="2423"/>
    </row>
    <row r="17240" spans="6:6">
      <c r="F17240" s="2423"/>
    </row>
    <row r="17241" spans="6:6">
      <c r="F17241" s="2423"/>
    </row>
    <row r="17242" spans="6:6">
      <c r="F17242" s="2423"/>
    </row>
    <row r="17243" spans="6:6">
      <c r="F17243" s="2423"/>
    </row>
    <row r="17244" spans="6:6">
      <c r="F17244" s="2423"/>
    </row>
    <row r="17245" spans="6:6">
      <c r="F17245" s="2423"/>
    </row>
    <row r="17246" spans="6:6">
      <c r="F17246" s="2423"/>
    </row>
    <row r="17247" spans="6:6">
      <c r="F17247" s="2423"/>
    </row>
    <row r="17248" spans="6:6">
      <c r="F17248" s="2423"/>
    </row>
    <row r="17249" spans="6:6">
      <c r="F17249" s="2423"/>
    </row>
    <row r="17250" spans="6:6">
      <c r="F17250" s="2423"/>
    </row>
    <row r="17251" spans="6:6">
      <c r="F17251" s="2423"/>
    </row>
    <row r="17252" spans="6:6">
      <c r="F17252" s="2423"/>
    </row>
    <row r="17253" spans="6:6">
      <c r="F17253" s="2423"/>
    </row>
    <row r="17254" spans="6:6">
      <c r="F17254" s="2423"/>
    </row>
    <row r="17255" spans="6:6">
      <c r="F17255" s="2423"/>
    </row>
    <row r="17256" spans="6:6">
      <c r="F17256" s="2423"/>
    </row>
    <row r="17257" spans="6:6">
      <c r="F17257" s="2423"/>
    </row>
    <row r="17258" spans="6:6">
      <c r="F17258" s="2423"/>
    </row>
    <row r="17259" spans="6:6">
      <c r="F17259" s="2423"/>
    </row>
    <row r="17260" spans="6:6">
      <c r="F17260" s="2423"/>
    </row>
    <row r="17261" spans="6:6">
      <c r="F17261" s="2423"/>
    </row>
    <row r="17262" spans="6:6">
      <c r="F17262" s="2423"/>
    </row>
    <row r="17263" spans="6:6">
      <c r="F17263" s="2423"/>
    </row>
    <row r="17264" spans="6:6">
      <c r="F17264" s="2423"/>
    </row>
    <row r="17265" spans="6:6">
      <c r="F17265" s="2423"/>
    </row>
    <row r="17266" spans="6:6">
      <c r="F17266" s="2423"/>
    </row>
    <row r="17267" spans="6:6">
      <c r="F17267" s="2423"/>
    </row>
    <row r="17268" spans="6:6">
      <c r="F17268" s="2423"/>
    </row>
    <row r="17269" spans="6:6">
      <c r="F17269" s="2423"/>
    </row>
    <row r="17270" spans="6:6">
      <c r="F17270" s="2423"/>
    </row>
    <row r="17271" spans="6:6">
      <c r="F17271" s="2423"/>
    </row>
    <row r="17272" spans="6:6">
      <c r="F17272" s="2423"/>
    </row>
    <row r="17273" spans="6:6">
      <c r="F17273" s="2423"/>
    </row>
    <row r="17274" spans="6:6">
      <c r="F17274" s="2423"/>
    </row>
    <row r="17275" spans="6:6">
      <c r="F17275" s="2423"/>
    </row>
    <row r="17276" spans="6:6">
      <c r="F17276" s="2423"/>
    </row>
    <row r="17277" spans="6:6">
      <c r="F17277" s="2423"/>
    </row>
    <row r="17278" spans="6:6">
      <c r="F17278" s="2423"/>
    </row>
    <row r="17279" spans="6:6">
      <c r="F17279" s="2423"/>
    </row>
    <row r="17280" spans="6:6">
      <c r="F17280" s="2423"/>
    </row>
    <row r="17281" spans="6:6">
      <c r="F17281" s="2423"/>
    </row>
    <row r="17282" spans="6:6">
      <c r="F17282" s="2423"/>
    </row>
    <row r="17283" spans="6:6">
      <c r="F17283" s="2423"/>
    </row>
    <row r="17284" spans="6:6">
      <c r="F17284" s="2423"/>
    </row>
    <row r="17285" spans="6:6">
      <c r="F17285" s="2423"/>
    </row>
    <row r="17286" spans="6:6">
      <c r="F17286" s="2423"/>
    </row>
    <row r="17287" spans="6:6">
      <c r="F17287" s="2423"/>
    </row>
    <row r="17288" spans="6:6">
      <c r="F17288" s="2423"/>
    </row>
    <row r="17289" spans="6:6">
      <c r="F17289" s="2423"/>
    </row>
    <row r="17290" spans="6:6">
      <c r="F17290" s="2423"/>
    </row>
    <row r="17291" spans="6:6">
      <c r="F17291" s="2423"/>
    </row>
    <row r="17292" spans="6:6">
      <c r="F17292" s="2423"/>
    </row>
    <row r="17293" spans="6:6">
      <c r="F17293" s="2423"/>
    </row>
    <row r="17294" spans="6:6">
      <c r="F17294" s="2423"/>
    </row>
    <row r="17295" spans="6:6">
      <c r="F17295" s="2423"/>
    </row>
    <row r="17296" spans="6:6">
      <c r="F17296" s="2423"/>
    </row>
    <row r="17297" spans="6:6">
      <c r="F17297" s="2423"/>
    </row>
    <row r="17298" spans="6:6">
      <c r="F17298" s="2423"/>
    </row>
    <row r="17299" spans="6:6">
      <c r="F17299" s="2423"/>
    </row>
    <row r="17300" spans="6:6">
      <c r="F17300" s="2423"/>
    </row>
    <row r="17301" spans="6:6">
      <c r="F17301" s="2423"/>
    </row>
    <row r="17302" spans="6:6">
      <c r="F17302" s="2423"/>
    </row>
    <row r="17303" spans="6:6">
      <c r="F17303" s="2423"/>
    </row>
    <row r="17304" spans="6:6">
      <c r="F17304" s="2423"/>
    </row>
    <row r="17305" spans="6:6">
      <c r="F17305" s="2423"/>
    </row>
    <row r="17306" spans="6:6">
      <c r="F17306" s="2423"/>
    </row>
    <row r="17307" spans="6:6">
      <c r="F17307" s="2423"/>
    </row>
    <row r="17308" spans="6:6">
      <c r="F17308" s="2423"/>
    </row>
    <row r="17309" spans="6:6">
      <c r="F17309" s="2423"/>
    </row>
    <row r="17310" spans="6:6">
      <c r="F17310" s="2423"/>
    </row>
    <row r="17311" spans="6:6">
      <c r="F17311" s="2423"/>
    </row>
    <row r="17312" spans="6:6">
      <c r="F17312" s="2423"/>
    </row>
    <row r="17313" spans="6:6">
      <c r="F17313" s="2423"/>
    </row>
    <row r="17314" spans="6:6">
      <c r="F17314" s="2423"/>
    </row>
    <row r="17315" spans="6:6">
      <c r="F17315" s="2423"/>
    </row>
    <row r="17316" spans="6:6">
      <c r="F17316" s="2423"/>
    </row>
    <row r="17317" spans="6:6">
      <c r="F17317" s="2423"/>
    </row>
    <row r="17318" spans="6:6">
      <c r="F17318" s="2423"/>
    </row>
    <row r="17319" spans="6:6">
      <c r="F17319" s="2423"/>
    </row>
    <row r="17320" spans="6:6">
      <c r="F17320" s="2423"/>
    </row>
    <row r="17321" spans="6:6">
      <c r="F17321" s="2423"/>
    </row>
    <row r="17322" spans="6:6">
      <c r="F17322" s="2423"/>
    </row>
    <row r="17323" spans="6:6">
      <c r="F17323" s="2423"/>
    </row>
    <row r="17324" spans="6:6">
      <c r="F17324" s="2423"/>
    </row>
    <row r="17325" spans="6:6">
      <c r="F17325" s="2423"/>
    </row>
    <row r="17326" spans="6:6">
      <c r="F17326" s="2423"/>
    </row>
    <row r="17327" spans="6:6">
      <c r="F17327" s="2423"/>
    </row>
    <row r="17328" spans="6:6">
      <c r="F17328" s="2423"/>
    </row>
    <row r="17329" spans="6:6">
      <c r="F17329" s="2423"/>
    </row>
    <row r="17330" spans="6:6">
      <c r="F17330" s="2423"/>
    </row>
    <row r="17331" spans="6:6">
      <c r="F17331" s="2423"/>
    </row>
    <row r="17332" spans="6:6">
      <c r="F17332" s="2423"/>
    </row>
    <row r="17333" spans="6:6">
      <c r="F17333" s="2423"/>
    </row>
    <row r="17334" spans="6:6">
      <c r="F17334" s="2423"/>
    </row>
    <row r="17335" spans="6:6">
      <c r="F17335" s="2423"/>
    </row>
    <row r="17336" spans="6:6">
      <c r="F17336" s="2423"/>
    </row>
    <row r="17337" spans="6:6">
      <c r="F17337" s="2423"/>
    </row>
    <row r="17338" spans="6:6">
      <c r="F17338" s="2423"/>
    </row>
    <row r="17339" spans="6:6">
      <c r="F17339" s="2423"/>
    </row>
    <row r="17340" spans="6:6">
      <c r="F17340" s="2423"/>
    </row>
    <row r="17341" spans="6:6">
      <c r="F17341" s="2423"/>
    </row>
    <row r="17342" spans="6:6">
      <c r="F17342" s="2423"/>
    </row>
    <row r="17343" spans="6:6">
      <c r="F17343" s="2423"/>
    </row>
    <row r="17344" spans="6:6">
      <c r="F17344" s="2423"/>
    </row>
    <row r="17345" spans="6:6">
      <c r="F17345" s="2423"/>
    </row>
    <row r="17346" spans="6:6">
      <c r="F17346" s="2423"/>
    </row>
    <row r="17347" spans="6:6">
      <c r="F17347" s="2423"/>
    </row>
    <row r="17348" spans="6:6">
      <c r="F17348" s="2423"/>
    </row>
    <row r="17349" spans="6:6">
      <c r="F17349" s="2423"/>
    </row>
    <row r="17350" spans="6:6">
      <c r="F17350" s="2423"/>
    </row>
    <row r="17351" spans="6:6">
      <c r="F17351" s="2423"/>
    </row>
    <row r="17352" spans="6:6">
      <c r="F17352" s="2423"/>
    </row>
    <row r="17353" spans="6:6">
      <c r="F17353" s="2423"/>
    </row>
    <row r="17354" spans="6:6">
      <c r="F17354" s="2423"/>
    </row>
    <row r="17355" spans="6:6">
      <c r="F17355" s="2423"/>
    </row>
    <row r="17356" spans="6:6">
      <c r="F17356" s="2423"/>
    </row>
    <row r="17357" spans="6:6">
      <c r="F17357" s="2423"/>
    </row>
    <row r="17358" spans="6:6">
      <c r="F17358" s="2423"/>
    </row>
    <row r="17359" spans="6:6">
      <c r="F17359" s="2423"/>
    </row>
    <row r="17360" spans="6:6">
      <c r="F17360" s="2423"/>
    </row>
    <row r="17361" spans="6:6">
      <c r="F17361" s="2423"/>
    </row>
    <row r="17362" spans="6:6">
      <c r="F17362" s="2423"/>
    </row>
    <row r="17363" spans="6:6">
      <c r="F17363" s="2423"/>
    </row>
    <row r="17364" spans="6:6">
      <c r="F17364" s="2423"/>
    </row>
    <row r="17365" spans="6:6">
      <c r="F17365" s="2423"/>
    </row>
    <row r="17366" spans="6:6">
      <c r="F17366" s="2423"/>
    </row>
    <row r="17367" spans="6:6">
      <c r="F17367" s="2423"/>
    </row>
    <row r="17368" spans="6:6">
      <c r="F17368" s="2423"/>
    </row>
    <row r="17369" spans="6:6">
      <c r="F17369" s="2423"/>
    </row>
    <row r="17370" spans="6:6">
      <c r="F17370" s="2423"/>
    </row>
    <row r="17371" spans="6:6">
      <c r="F17371" s="2423"/>
    </row>
    <row r="17372" spans="6:6">
      <c r="F17372" s="2423"/>
    </row>
    <row r="17373" spans="6:6">
      <c r="F17373" s="2423"/>
    </row>
    <row r="17374" spans="6:6">
      <c r="F17374" s="2423"/>
    </row>
    <row r="17375" spans="6:6">
      <c r="F17375" s="2423"/>
    </row>
    <row r="17376" spans="6:6">
      <c r="F17376" s="2423"/>
    </row>
    <row r="17377" spans="6:6">
      <c r="F17377" s="2423"/>
    </row>
    <row r="17378" spans="6:6">
      <c r="F17378" s="2423"/>
    </row>
    <row r="17379" spans="6:6">
      <c r="F17379" s="2423"/>
    </row>
    <row r="17380" spans="6:6">
      <c r="F17380" s="2423"/>
    </row>
    <row r="17381" spans="6:6">
      <c r="F17381" s="2423"/>
    </row>
    <row r="17382" spans="6:6">
      <c r="F17382" s="2423"/>
    </row>
    <row r="17383" spans="6:6">
      <c r="F17383" s="2423"/>
    </row>
    <row r="17384" spans="6:6">
      <c r="F17384" s="2423"/>
    </row>
    <row r="17385" spans="6:6">
      <c r="F17385" s="2423"/>
    </row>
    <row r="17386" spans="6:6">
      <c r="F17386" s="2423"/>
    </row>
    <row r="17387" spans="6:6">
      <c r="F17387" s="2423"/>
    </row>
    <row r="17388" spans="6:6">
      <c r="F17388" s="2423"/>
    </row>
    <row r="17389" spans="6:6">
      <c r="F17389" s="2423"/>
    </row>
    <row r="17390" spans="6:6">
      <c r="F17390" s="2423"/>
    </row>
    <row r="17391" spans="6:6">
      <c r="F17391" s="2423"/>
    </row>
    <row r="17392" spans="6:6">
      <c r="F17392" s="2423"/>
    </row>
    <row r="17393" spans="6:6">
      <c r="F17393" s="2423"/>
    </row>
    <row r="17394" spans="6:6">
      <c r="F17394" s="2423"/>
    </row>
    <row r="17395" spans="6:6">
      <c r="F17395" s="2423"/>
    </row>
    <row r="17396" spans="6:6">
      <c r="F17396" s="2423"/>
    </row>
    <row r="17397" spans="6:6">
      <c r="F17397" s="2423"/>
    </row>
    <row r="17398" spans="6:6">
      <c r="F17398" s="2423"/>
    </row>
    <row r="17399" spans="6:6">
      <c r="F17399" s="2423"/>
    </row>
    <row r="17400" spans="6:6">
      <c r="F17400" s="2423"/>
    </row>
    <row r="17401" spans="6:6">
      <c r="F17401" s="2423"/>
    </row>
    <row r="17402" spans="6:6">
      <c r="F17402" s="2423"/>
    </row>
    <row r="17403" spans="6:6">
      <c r="F17403" s="2423"/>
    </row>
    <row r="17404" spans="6:6">
      <c r="F17404" s="2423"/>
    </row>
    <row r="17405" spans="6:6">
      <c r="F17405" s="2423"/>
    </row>
    <row r="17406" spans="6:6">
      <c r="F17406" s="2423"/>
    </row>
    <row r="17407" spans="6:6">
      <c r="F17407" s="2423"/>
    </row>
    <row r="17408" spans="6:6">
      <c r="F17408" s="2423"/>
    </row>
    <row r="17409" spans="6:6">
      <c r="F17409" s="2423"/>
    </row>
    <row r="17410" spans="6:6">
      <c r="F17410" s="2423"/>
    </row>
    <row r="17411" spans="6:6">
      <c r="F17411" s="2423"/>
    </row>
    <row r="17412" spans="6:6">
      <c r="F17412" s="2423"/>
    </row>
    <row r="17413" spans="6:6">
      <c r="F17413" s="2423"/>
    </row>
    <row r="17414" spans="6:6">
      <c r="F17414" s="2423"/>
    </row>
    <row r="17415" spans="6:6">
      <c r="F17415" s="2423"/>
    </row>
    <row r="17416" spans="6:6">
      <c r="F17416" s="2423"/>
    </row>
    <row r="17417" spans="6:6">
      <c r="F17417" s="2423"/>
    </row>
    <row r="17418" spans="6:6">
      <c r="F17418" s="2423"/>
    </row>
    <row r="17419" spans="6:6">
      <c r="F17419" s="2423"/>
    </row>
    <row r="17420" spans="6:6">
      <c r="F17420" s="2423"/>
    </row>
    <row r="17421" spans="6:6">
      <c r="F17421" s="2423"/>
    </row>
    <row r="17422" spans="6:6">
      <c r="F17422" s="2423"/>
    </row>
    <row r="17423" spans="6:6">
      <c r="F17423" s="2423"/>
    </row>
    <row r="17424" spans="6:6">
      <c r="F17424" s="2423"/>
    </row>
    <row r="17425" spans="6:6">
      <c r="F17425" s="2423"/>
    </row>
    <row r="17426" spans="6:6">
      <c r="F17426" s="2423"/>
    </row>
    <row r="17427" spans="6:6">
      <c r="F17427" s="2423"/>
    </row>
    <row r="17428" spans="6:6">
      <c r="F17428" s="2423"/>
    </row>
    <row r="17429" spans="6:6">
      <c r="F17429" s="2423"/>
    </row>
    <row r="17430" spans="6:6">
      <c r="F17430" s="2423"/>
    </row>
    <row r="17431" spans="6:6">
      <c r="F17431" s="2423"/>
    </row>
    <row r="17432" spans="6:6">
      <c r="F17432" s="2423"/>
    </row>
    <row r="17433" spans="6:6">
      <c r="F17433" s="2423"/>
    </row>
    <row r="17434" spans="6:6">
      <c r="F17434" s="2423"/>
    </row>
    <row r="17435" spans="6:6">
      <c r="F17435" s="2423"/>
    </row>
    <row r="17436" spans="6:6">
      <c r="F17436" s="2423"/>
    </row>
    <row r="17437" spans="6:6">
      <c r="F17437" s="2423"/>
    </row>
    <row r="17438" spans="6:6">
      <c r="F17438" s="2423"/>
    </row>
    <row r="17439" spans="6:6">
      <c r="F17439" s="2423"/>
    </row>
    <row r="17440" spans="6:6">
      <c r="F17440" s="2423"/>
    </row>
    <row r="17441" spans="6:6">
      <c r="F17441" s="2423"/>
    </row>
    <row r="17442" spans="6:6">
      <c r="F17442" s="2423"/>
    </row>
    <row r="17443" spans="6:6">
      <c r="F17443" s="2423"/>
    </row>
    <row r="17444" spans="6:6">
      <c r="F17444" s="2423"/>
    </row>
    <row r="17445" spans="6:6">
      <c r="F17445" s="2423"/>
    </row>
    <row r="17446" spans="6:6">
      <c r="F17446" s="2423"/>
    </row>
    <row r="17447" spans="6:6">
      <c r="F17447" s="2423"/>
    </row>
    <row r="17448" spans="6:6">
      <c r="F17448" s="2423"/>
    </row>
    <row r="17449" spans="6:6">
      <c r="F17449" s="2423"/>
    </row>
    <row r="17450" spans="6:6">
      <c r="F17450" s="2423"/>
    </row>
    <row r="17451" spans="6:6">
      <c r="F17451" s="2423"/>
    </row>
    <row r="17452" spans="6:6">
      <c r="F17452" s="2423"/>
    </row>
    <row r="17453" spans="6:6">
      <c r="F17453" s="2423"/>
    </row>
    <row r="17454" spans="6:6">
      <c r="F17454" s="2423"/>
    </row>
    <row r="17455" spans="6:6">
      <c r="F17455" s="2423"/>
    </row>
    <row r="17456" spans="6:6">
      <c r="F17456" s="2423"/>
    </row>
    <row r="17457" spans="6:6">
      <c r="F17457" s="2423"/>
    </row>
    <row r="17458" spans="6:6">
      <c r="F17458" s="2423"/>
    </row>
    <row r="17459" spans="6:6">
      <c r="F17459" s="2423"/>
    </row>
    <row r="17460" spans="6:6">
      <c r="F17460" s="2423"/>
    </row>
    <row r="17461" spans="6:6">
      <c r="F17461" s="2423"/>
    </row>
    <row r="17462" spans="6:6">
      <c r="F17462" s="2423"/>
    </row>
    <row r="17463" spans="6:6">
      <c r="F17463" s="2423"/>
    </row>
    <row r="17464" spans="6:6">
      <c r="F17464" s="2423"/>
    </row>
    <row r="17465" spans="6:6">
      <c r="F17465" s="2423"/>
    </row>
    <row r="17466" spans="6:6">
      <c r="F17466" s="2423"/>
    </row>
    <row r="17467" spans="6:6">
      <c r="F17467" s="2423"/>
    </row>
    <row r="17468" spans="6:6">
      <c r="F17468" s="2423"/>
    </row>
    <row r="17469" spans="6:6">
      <c r="F17469" s="2423"/>
    </row>
    <row r="17470" spans="6:6">
      <c r="F17470" s="2423"/>
    </row>
    <row r="17471" spans="6:6">
      <c r="F17471" s="2423"/>
    </row>
    <row r="17472" spans="6:6">
      <c r="F17472" s="2423"/>
    </row>
    <row r="17473" spans="6:6">
      <c r="F17473" s="2423"/>
    </row>
    <row r="17474" spans="6:6">
      <c r="F17474" s="2423"/>
    </row>
    <row r="17475" spans="6:6">
      <c r="F17475" s="2423"/>
    </row>
    <row r="17476" spans="6:6">
      <c r="F17476" s="2423"/>
    </row>
    <row r="17477" spans="6:6">
      <c r="F17477" s="2423"/>
    </row>
    <row r="17478" spans="6:6">
      <c r="F17478" s="2423"/>
    </row>
    <row r="17479" spans="6:6">
      <c r="F17479" s="2423"/>
    </row>
    <row r="17480" spans="6:6">
      <c r="F17480" s="2423"/>
    </row>
    <row r="17481" spans="6:6">
      <c r="F17481" s="2423"/>
    </row>
    <row r="17482" spans="6:6">
      <c r="F17482" s="2423"/>
    </row>
    <row r="17483" spans="6:6">
      <c r="F17483" s="2423"/>
    </row>
    <row r="17484" spans="6:6">
      <c r="F17484" s="2423"/>
    </row>
    <row r="17485" spans="6:6">
      <c r="F17485" s="2423"/>
    </row>
    <row r="17486" spans="6:6">
      <c r="F17486" s="2423"/>
    </row>
    <row r="17487" spans="6:6">
      <c r="F17487" s="2423"/>
    </row>
    <row r="17488" spans="6:6">
      <c r="F17488" s="2423"/>
    </row>
    <row r="17489" spans="6:6">
      <c r="F17489" s="2423"/>
    </row>
    <row r="17490" spans="6:6">
      <c r="F17490" s="2423"/>
    </row>
    <row r="17491" spans="6:6">
      <c r="F17491" s="2423"/>
    </row>
    <row r="17492" spans="6:6">
      <c r="F17492" s="2423"/>
    </row>
    <row r="17493" spans="6:6">
      <c r="F17493" s="2423"/>
    </row>
    <row r="17494" spans="6:6">
      <c r="F17494" s="2423"/>
    </row>
    <row r="17495" spans="6:6">
      <c r="F17495" s="2423"/>
    </row>
    <row r="17496" spans="6:6">
      <c r="F17496" s="2423"/>
    </row>
    <row r="17497" spans="6:6">
      <c r="F17497" s="2423"/>
    </row>
    <row r="17498" spans="6:6">
      <c r="F17498" s="2423"/>
    </row>
    <row r="17499" spans="6:6">
      <c r="F17499" s="2423"/>
    </row>
    <row r="17500" spans="6:6">
      <c r="F17500" s="2423"/>
    </row>
    <row r="17501" spans="6:6">
      <c r="F17501" s="2423"/>
    </row>
    <row r="17502" spans="6:6">
      <c r="F17502" s="2423"/>
    </row>
    <row r="17503" spans="6:6">
      <c r="F17503" s="2423"/>
    </row>
    <row r="17504" spans="6:6">
      <c r="F17504" s="2423"/>
    </row>
    <row r="17505" spans="6:6">
      <c r="F17505" s="2423"/>
    </row>
    <row r="17506" spans="6:6">
      <c r="F17506" s="2423"/>
    </row>
    <row r="17507" spans="6:6">
      <c r="F17507" s="2423"/>
    </row>
    <row r="17508" spans="6:6">
      <c r="F17508" s="2423"/>
    </row>
    <row r="17509" spans="6:6">
      <c r="F17509" s="2423"/>
    </row>
    <row r="17510" spans="6:6">
      <c r="F17510" s="2423"/>
    </row>
    <row r="17511" spans="6:6">
      <c r="F17511" s="2423"/>
    </row>
    <row r="17512" spans="6:6">
      <c r="F17512" s="2423"/>
    </row>
    <row r="17513" spans="6:6">
      <c r="F17513" s="2423"/>
    </row>
    <row r="17514" spans="6:6">
      <c r="F17514" s="2423"/>
    </row>
    <row r="17515" spans="6:6">
      <c r="F17515" s="2423"/>
    </row>
    <row r="17516" spans="6:6">
      <c r="F17516" s="2423"/>
    </row>
    <row r="17517" spans="6:6">
      <c r="F17517" s="2423"/>
    </row>
    <row r="17518" spans="6:6">
      <c r="F17518" s="2423"/>
    </row>
    <row r="17519" spans="6:6">
      <c r="F17519" s="2423"/>
    </row>
    <row r="17520" spans="6:6">
      <c r="F17520" s="2423"/>
    </row>
    <row r="17521" spans="6:6">
      <c r="F17521" s="2423"/>
    </row>
    <row r="17522" spans="6:6">
      <c r="F17522" s="2423"/>
    </row>
    <row r="17523" spans="6:6">
      <c r="F17523" s="2423"/>
    </row>
    <row r="17524" spans="6:6">
      <c r="F17524" s="2423"/>
    </row>
    <row r="17525" spans="6:6">
      <c r="F17525" s="2423"/>
    </row>
    <row r="17526" spans="6:6">
      <c r="F17526" s="2423"/>
    </row>
    <row r="17527" spans="6:6">
      <c r="F17527" s="2423"/>
    </row>
    <row r="17528" spans="6:6">
      <c r="F17528" s="2423"/>
    </row>
    <row r="17529" spans="6:6">
      <c r="F17529" s="2423"/>
    </row>
    <row r="17530" spans="6:6">
      <c r="F17530" s="2423"/>
    </row>
    <row r="17531" spans="6:6">
      <c r="F17531" s="2423"/>
    </row>
    <row r="17532" spans="6:6">
      <c r="F17532" s="2423"/>
    </row>
    <row r="17533" spans="6:6">
      <c r="F17533" s="2423"/>
    </row>
    <row r="17534" spans="6:6">
      <c r="F17534" s="2423"/>
    </row>
    <row r="17535" spans="6:6">
      <c r="F17535" s="2423"/>
    </row>
    <row r="17536" spans="6:6">
      <c r="F17536" s="2423"/>
    </row>
    <row r="17537" spans="6:6">
      <c r="F17537" s="2423"/>
    </row>
    <row r="17538" spans="6:6">
      <c r="F17538" s="2423"/>
    </row>
    <row r="17539" spans="6:6">
      <c r="F17539" s="2423"/>
    </row>
    <row r="17540" spans="6:6">
      <c r="F17540" s="2423"/>
    </row>
    <row r="17541" spans="6:6">
      <c r="F17541" s="2423"/>
    </row>
    <row r="17542" spans="6:6">
      <c r="F17542" s="2423"/>
    </row>
    <row r="17543" spans="6:6">
      <c r="F17543" s="2423"/>
    </row>
    <row r="17544" spans="6:6">
      <c r="F17544" s="2423"/>
    </row>
    <row r="17545" spans="6:6">
      <c r="F17545" s="2423"/>
    </row>
    <row r="17546" spans="6:6">
      <c r="F17546" s="2423"/>
    </row>
    <row r="17547" spans="6:6">
      <c r="F17547" s="2423"/>
    </row>
    <row r="17548" spans="6:6">
      <c r="F17548" s="2423"/>
    </row>
    <row r="17549" spans="6:6">
      <c r="F17549" s="2423"/>
    </row>
    <row r="17550" spans="6:6">
      <c r="F17550" s="2423"/>
    </row>
    <row r="17551" spans="6:6">
      <c r="F17551" s="2423"/>
    </row>
    <row r="17552" spans="6:6">
      <c r="F17552" s="2423"/>
    </row>
    <row r="17553" spans="6:6">
      <c r="F17553" s="2423"/>
    </row>
    <row r="17554" spans="6:6">
      <c r="F17554" s="2423"/>
    </row>
    <row r="17555" spans="6:6">
      <c r="F17555" s="2423"/>
    </row>
    <row r="17556" spans="6:6">
      <c r="F17556" s="2423"/>
    </row>
    <row r="17557" spans="6:6">
      <c r="F17557" s="2423"/>
    </row>
    <row r="17558" spans="6:6">
      <c r="F17558" s="2423"/>
    </row>
    <row r="17559" spans="6:6">
      <c r="F17559" s="2423"/>
    </row>
    <row r="17560" spans="6:6">
      <c r="F17560" s="2423"/>
    </row>
    <row r="17561" spans="6:6">
      <c r="F17561" s="2423"/>
    </row>
    <row r="17562" spans="6:6">
      <c r="F17562" s="2423"/>
    </row>
    <row r="17563" spans="6:6">
      <c r="F17563" s="2423"/>
    </row>
    <row r="17564" spans="6:6">
      <c r="F17564" s="2423"/>
    </row>
    <row r="17565" spans="6:6">
      <c r="F17565" s="2423"/>
    </row>
    <row r="17566" spans="6:6">
      <c r="F17566" s="2423"/>
    </row>
    <row r="17567" spans="6:6">
      <c r="F17567" s="2423"/>
    </row>
    <row r="17568" spans="6:6">
      <c r="F17568" s="2423"/>
    </row>
    <row r="17569" spans="6:6">
      <c r="F17569" s="2423"/>
    </row>
    <row r="17570" spans="6:6">
      <c r="F17570" s="2423"/>
    </row>
    <row r="17571" spans="6:6">
      <c r="F17571" s="2423"/>
    </row>
    <row r="17572" spans="6:6">
      <c r="F17572" s="2423"/>
    </row>
    <row r="17573" spans="6:6">
      <c r="F17573" s="2423"/>
    </row>
    <row r="17574" spans="6:6">
      <c r="F17574" s="2423"/>
    </row>
    <row r="17575" spans="6:6">
      <c r="F17575" s="2423"/>
    </row>
    <row r="17576" spans="6:6">
      <c r="F17576" s="2423"/>
    </row>
    <row r="17577" spans="6:6">
      <c r="F17577" s="2423"/>
    </row>
    <row r="17578" spans="6:6">
      <c r="F17578" s="2423"/>
    </row>
    <row r="17579" spans="6:6">
      <c r="F17579" s="2423"/>
    </row>
    <row r="17580" spans="6:6">
      <c r="F17580" s="2423"/>
    </row>
    <row r="17581" spans="6:6">
      <c r="F17581" s="2423"/>
    </row>
    <row r="17582" spans="6:6">
      <c r="F17582" s="2423"/>
    </row>
    <row r="17583" spans="6:6">
      <c r="F17583" s="2423"/>
    </row>
    <row r="17584" spans="6:6">
      <c r="F17584" s="2423"/>
    </row>
    <row r="17585" spans="6:6">
      <c r="F17585" s="2423"/>
    </row>
    <row r="17586" spans="6:6">
      <c r="F17586" s="2423"/>
    </row>
    <row r="17587" spans="6:6">
      <c r="F17587" s="2423"/>
    </row>
    <row r="17588" spans="6:6">
      <c r="F17588" s="2423"/>
    </row>
    <row r="17589" spans="6:6">
      <c r="F17589" s="2423"/>
    </row>
    <row r="17590" spans="6:6">
      <c r="F17590" s="2423"/>
    </row>
    <row r="17591" spans="6:6">
      <c r="F17591" s="2423"/>
    </row>
    <row r="17592" spans="6:6">
      <c r="F17592" s="2423"/>
    </row>
    <row r="17593" spans="6:6">
      <c r="F17593" s="2423"/>
    </row>
    <row r="17594" spans="6:6">
      <c r="F17594" s="2423"/>
    </row>
    <row r="17595" spans="6:6">
      <c r="F17595" s="2423"/>
    </row>
    <row r="17596" spans="6:6">
      <c r="F17596" s="2423"/>
    </row>
    <row r="17597" spans="6:6">
      <c r="F17597" s="2423"/>
    </row>
    <row r="17598" spans="6:6">
      <c r="F17598" s="2423"/>
    </row>
    <row r="17599" spans="6:6">
      <c r="F17599" s="2423"/>
    </row>
    <row r="17600" spans="6:6">
      <c r="F17600" s="2423"/>
    </row>
    <row r="17601" spans="6:6">
      <c r="F17601" s="2423"/>
    </row>
    <row r="17602" spans="6:6">
      <c r="F17602" s="2423"/>
    </row>
    <row r="17603" spans="6:6">
      <c r="F17603" s="2423"/>
    </row>
    <row r="17604" spans="6:6">
      <c r="F17604" s="2423"/>
    </row>
    <row r="17605" spans="6:6">
      <c r="F17605" s="2423"/>
    </row>
    <row r="17606" spans="6:6">
      <c r="F17606" s="2423"/>
    </row>
    <row r="17607" spans="6:6">
      <c r="F17607" s="2423"/>
    </row>
    <row r="17608" spans="6:6">
      <c r="F17608" s="2423"/>
    </row>
    <row r="17609" spans="6:6">
      <c r="F17609" s="2423"/>
    </row>
    <row r="17610" spans="6:6">
      <c r="F17610" s="2423"/>
    </row>
    <row r="17611" spans="6:6">
      <c r="F17611" s="2423"/>
    </row>
    <row r="17612" spans="6:6">
      <c r="F17612" s="2423"/>
    </row>
    <row r="17613" spans="6:6">
      <c r="F17613" s="2423"/>
    </row>
    <row r="17614" spans="6:6">
      <c r="F17614" s="2423"/>
    </row>
    <row r="17615" spans="6:6">
      <c r="F17615" s="2423"/>
    </row>
    <row r="17616" spans="6:6">
      <c r="F17616" s="2423"/>
    </row>
    <row r="17617" spans="6:6">
      <c r="F17617" s="2423"/>
    </row>
    <row r="17618" spans="6:6">
      <c r="F17618" s="2423"/>
    </row>
    <row r="17619" spans="6:6">
      <c r="F17619" s="2423"/>
    </row>
    <row r="17620" spans="6:6">
      <c r="F17620" s="2423"/>
    </row>
    <row r="17621" spans="6:6">
      <c r="F17621" s="2423"/>
    </row>
    <row r="17622" spans="6:6">
      <c r="F17622" s="2423"/>
    </row>
    <row r="17623" spans="6:6">
      <c r="F17623" s="2423"/>
    </row>
    <row r="17624" spans="6:6">
      <c r="F17624" s="2423"/>
    </row>
    <row r="17625" spans="6:6">
      <c r="F17625" s="2423"/>
    </row>
    <row r="17626" spans="6:6">
      <c r="F17626" s="2423"/>
    </row>
    <row r="17627" spans="6:6">
      <c r="F17627" s="2423"/>
    </row>
    <row r="17628" spans="6:6">
      <c r="F17628" s="2423"/>
    </row>
    <row r="17629" spans="6:6">
      <c r="F17629" s="2423"/>
    </row>
    <row r="17630" spans="6:6">
      <c r="F17630" s="2423"/>
    </row>
    <row r="17631" spans="6:6">
      <c r="F17631" s="2423"/>
    </row>
    <row r="17632" spans="6:6">
      <c r="F17632" s="2423"/>
    </row>
    <row r="17633" spans="6:6">
      <c r="F17633" s="2423"/>
    </row>
    <row r="17634" spans="6:6">
      <c r="F17634" s="2423"/>
    </row>
    <row r="17635" spans="6:6">
      <c r="F17635" s="2423"/>
    </row>
    <row r="17636" spans="6:6">
      <c r="F17636" s="2423"/>
    </row>
    <row r="17637" spans="6:6">
      <c r="F17637" s="2423"/>
    </row>
    <row r="17638" spans="6:6">
      <c r="F17638" s="2423"/>
    </row>
    <row r="17639" spans="6:6">
      <c r="F17639" s="2423"/>
    </row>
    <row r="17640" spans="6:6">
      <c r="F17640" s="2423"/>
    </row>
    <row r="17641" spans="6:6">
      <c r="F17641" s="2423"/>
    </row>
    <row r="17642" spans="6:6">
      <c r="F17642" s="2423"/>
    </row>
    <row r="17643" spans="6:6">
      <c r="F17643" s="2423"/>
    </row>
    <row r="17644" spans="6:6">
      <c r="F17644" s="2423"/>
    </row>
    <row r="17645" spans="6:6">
      <c r="F17645" s="2423"/>
    </row>
    <row r="17646" spans="6:6">
      <c r="F17646" s="2423"/>
    </row>
    <row r="17647" spans="6:6">
      <c r="F17647" s="2423"/>
    </row>
    <row r="17648" spans="6:6">
      <c r="F17648" s="2423"/>
    </row>
    <row r="17649" spans="6:6">
      <c r="F17649" s="2423"/>
    </row>
    <row r="17650" spans="6:6">
      <c r="F17650" s="2423"/>
    </row>
    <row r="17651" spans="6:6">
      <c r="F17651" s="2423"/>
    </row>
    <row r="17652" spans="6:6">
      <c r="F17652" s="2423"/>
    </row>
    <row r="17653" spans="6:6">
      <c r="F17653" s="2423"/>
    </row>
    <row r="17654" spans="6:6">
      <c r="F17654" s="2423"/>
    </row>
    <row r="17655" spans="6:6">
      <c r="F17655" s="2423"/>
    </row>
    <row r="17656" spans="6:6">
      <c r="F17656" s="2423"/>
    </row>
    <row r="17657" spans="6:6">
      <c r="F17657" s="2423"/>
    </row>
    <row r="17658" spans="6:6">
      <c r="F17658" s="2423"/>
    </row>
    <row r="17659" spans="6:6">
      <c r="F17659" s="2423"/>
    </row>
    <row r="17660" spans="6:6">
      <c r="F17660" s="2423"/>
    </row>
    <row r="17661" spans="6:6">
      <c r="F17661" s="2423"/>
    </row>
    <row r="17662" spans="6:6">
      <c r="F17662" s="2423"/>
    </row>
    <row r="17663" spans="6:6">
      <c r="F17663" s="2423"/>
    </row>
    <row r="17664" spans="6:6">
      <c r="F17664" s="2423"/>
    </row>
    <row r="17665" spans="6:6">
      <c r="F17665" s="2423"/>
    </row>
    <row r="17666" spans="6:6">
      <c r="F17666" s="2423"/>
    </row>
    <row r="17667" spans="6:6">
      <c r="F17667" s="2423"/>
    </row>
    <row r="17668" spans="6:6">
      <c r="F17668" s="2423"/>
    </row>
    <row r="17669" spans="6:6">
      <c r="F17669" s="2423"/>
    </row>
    <row r="17670" spans="6:6">
      <c r="F17670" s="2423"/>
    </row>
    <row r="17671" spans="6:6">
      <c r="F17671" s="2423"/>
    </row>
    <row r="17672" spans="6:6">
      <c r="F17672" s="2423"/>
    </row>
    <row r="17673" spans="6:6">
      <c r="F17673" s="2423"/>
    </row>
    <row r="17674" spans="6:6">
      <c r="F17674" s="2423"/>
    </row>
    <row r="17675" spans="6:6">
      <c r="F17675" s="2423"/>
    </row>
    <row r="17676" spans="6:6">
      <c r="F17676" s="2423"/>
    </row>
    <row r="17677" spans="6:6">
      <c r="F17677" s="2423"/>
    </row>
    <row r="17678" spans="6:6">
      <c r="F17678" s="2423"/>
    </row>
    <row r="17679" spans="6:6">
      <c r="F17679" s="2423"/>
    </row>
    <row r="17680" spans="6:6">
      <c r="F17680" s="2423"/>
    </row>
    <row r="17681" spans="6:6">
      <c r="F17681" s="2423"/>
    </row>
    <row r="17682" spans="6:6">
      <c r="F17682" s="2423"/>
    </row>
    <row r="17683" spans="6:6">
      <c r="F17683" s="2423"/>
    </row>
    <row r="17684" spans="6:6">
      <c r="F17684" s="2423"/>
    </row>
    <row r="17685" spans="6:6">
      <c r="F17685" s="2423"/>
    </row>
    <row r="17686" spans="6:6">
      <c r="F17686" s="2423"/>
    </row>
    <row r="17687" spans="6:6">
      <c r="F17687" s="2423"/>
    </row>
    <row r="17688" spans="6:6">
      <c r="F17688" s="2423"/>
    </row>
    <row r="17689" spans="6:6">
      <c r="F17689" s="2423"/>
    </row>
    <row r="17690" spans="6:6">
      <c r="F17690" s="2423"/>
    </row>
    <row r="17691" spans="6:6">
      <c r="F17691" s="2423"/>
    </row>
    <row r="17692" spans="6:6">
      <c r="F17692" s="2423"/>
    </row>
    <row r="17693" spans="6:6">
      <c r="F17693" s="2423"/>
    </row>
    <row r="17694" spans="6:6">
      <c r="F17694" s="2423"/>
    </row>
    <row r="17695" spans="6:6">
      <c r="F17695" s="2423"/>
    </row>
    <row r="17696" spans="6:6">
      <c r="F17696" s="2423"/>
    </row>
    <row r="17697" spans="6:6">
      <c r="F17697" s="2423"/>
    </row>
    <row r="17698" spans="6:6">
      <c r="F17698" s="2423"/>
    </row>
    <row r="17699" spans="6:6">
      <c r="F17699" s="2423"/>
    </row>
    <row r="17700" spans="6:6">
      <c r="F17700" s="2423"/>
    </row>
    <row r="17701" spans="6:6">
      <c r="F17701" s="2423"/>
    </row>
    <row r="17702" spans="6:6">
      <c r="F17702" s="2423"/>
    </row>
    <row r="17703" spans="6:6">
      <c r="F17703" s="2423"/>
    </row>
    <row r="17704" spans="6:6">
      <c r="F17704" s="2423"/>
    </row>
    <row r="17705" spans="6:6">
      <c r="F17705" s="2423"/>
    </row>
    <row r="17706" spans="6:6">
      <c r="F17706" s="2423"/>
    </row>
    <row r="17707" spans="6:6">
      <c r="F17707" s="2423"/>
    </row>
    <row r="17708" spans="6:6">
      <c r="F17708" s="2423"/>
    </row>
    <row r="17709" spans="6:6">
      <c r="F17709" s="2423"/>
    </row>
    <row r="17710" spans="6:6">
      <c r="F17710" s="2423"/>
    </row>
    <row r="17711" spans="6:6">
      <c r="F17711" s="2423"/>
    </row>
    <row r="17712" spans="6:6">
      <c r="F17712" s="2423"/>
    </row>
    <row r="17713" spans="6:6">
      <c r="F17713" s="2423"/>
    </row>
    <row r="17714" spans="6:6">
      <c r="F17714" s="2423"/>
    </row>
    <row r="17715" spans="6:6">
      <c r="F17715" s="2423"/>
    </row>
    <row r="17716" spans="6:6">
      <c r="F17716" s="2423"/>
    </row>
    <row r="17717" spans="6:6">
      <c r="F17717" s="2423"/>
    </row>
    <row r="17718" spans="6:6">
      <c r="F17718" s="2423"/>
    </row>
    <row r="17719" spans="6:6">
      <c r="F17719" s="2423"/>
    </row>
    <row r="17720" spans="6:6">
      <c r="F17720" s="2423"/>
    </row>
    <row r="17721" spans="6:6">
      <c r="F17721" s="2423"/>
    </row>
    <row r="17722" spans="6:6">
      <c r="F17722" s="2423"/>
    </row>
    <row r="17723" spans="6:6">
      <c r="F17723" s="2423"/>
    </row>
    <row r="17724" spans="6:6">
      <c r="F17724" s="2423"/>
    </row>
    <row r="17725" spans="6:6">
      <c r="F17725" s="2423"/>
    </row>
    <row r="17726" spans="6:6">
      <c r="F17726" s="2423"/>
    </row>
    <row r="17727" spans="6:6">
      <c r="F17727" s="2423"/>
    </row>
    <row r="17728" spans="6:6">
      <c r="F17728" s="2423"/>
    </row>
    <row r="17729" spans="6:6">
      <c r="F17729" s="2423"/>
    </row>
    <row r="17730" spans="6:6">
      <c r="F17730" s="2423"/>
    </row>
    <row r="17731" spans="6:6">
      <c r="F17731" s="2423"/>
    </row>
    <row r="17732" spans="6:6">
      <c r="F17732" s="2423"/>
    </row>
    <row r="17733" spans="6:6">
      <c r="F17733" s="2423"/>
    </row>
    <row r="17734" spans="6:6">
      <c r="F17734" s="2423"/>
    </row>
    <row r="17735" spans="6:6">
      <c r="F17735" s="2423"/>
    </row>
    <row r="17736" spans="6:6">
      <c r="F17736" s="2423"/>
    </row>
    <row r="17737" spans="6:6">
      <c r="F17737" s="2423"/>
    </row>
    <row r="17738" spans="6:6">
      <c r="F17738" s="2423"/>
    </row>
    <row r="17739" spans="6:6">
      <c r="F17739" s="2423"/>
    </row>
    <row r="17740" spans="6:6">
      <c r="F17740" s="2423"/>
    </row>
    <row r="17741" spans="6:6">
      <c r="F17741" s="2423"/>
    </row>
    <row r="17742" spans="6:6">
      <c r="F17742" s="2423"/>
    </row>
    <row r="17743" spans="6:6">
      <c r="F17743" s="2423"/>
    </row>
    <row r="17744" spans="6:6">
      <c r="F17744" s="2423"/>
    </row>
    <row r="17745" spans="6:6">
      <c r="F17745" s="2423"/>
    </row>
    <row r="17746" spans="6:6">
      <c r="F17746" s="2423"/>
    </row>
    <row r="17747" spans="6:6">
      <c r="F17747" s="2423"/>
    </row>
    <row r="17748" spans="6:6">
      <c r="F17748" s="2423"/>
    </row>
    <row r="17749" spans="6:6">
      <c r="F17749" s="2423"/>
    </row>
    <row r="17750" spans="6:6">
      <c r="F17750" s="2423"/>
    </row>
    <row r="17751" spans="6:6">
      <c r="F17751" s="2423"/>
    </row>
    <row r="17752" spans="6:6">
      <c r="F17752" s="2423"/>
    </row>
    <row r="17753" spans="6:6">
      <c r="F17753" s="2423"/>
    </row>
    <row r="17754" spans="6:6">
      <c r="F17754" s="2423"/>
    </row>
    <row r="17755" spans="6:6">
      <c r="F17755" s="2423"/>
    </row>
    <row r="17756" spans="6:6">
      <c r="F17756" s="2423"/>
    </row>
    <row r="17757" spans="6:6">
      <c r="F17757" s="2423"/>
    </row>
    <row r="17758" spans="6:6">
      <c r="F17758" s="2423"/>
    </row>
    <row r="17759" spans="6:6">
      <c r="F17759" s="2423"/>
    </row>
    <row r="17760" spans="6:6">
      <c r="F17760" s="2423"/>
    </row>
    <row r="17761" spans="6:6">
      <c r="F17761" s="2423"/>
    </row>
    <row r="17762" spans="6:6">
      <c r="F17762" s="2423"/>
    </row>
    <row r="17763" spans="6:6">
      <c r="F17763" s="2423"/>
    </row>
    <row r="17764" spans="6:6">
      <c r="F17764" s="2423"/>
    </row>
    <row r="17765" spans="6:6">
      <c r="F17765" s="2423"/>
    </row>
    <row r="17766" spans="6:6">
      <c r="F17766" s="2423"/>
    </row>
    <row r="17767" spans="6:6">
      <c r="F17767" s="2423"/>
    </row>
    <row r="17768" spans="6:6">
      <c r="F17768" s="2423"/>
    </row>
    <row r="17769" spans="6:6">
      <c r="F17769" s="2423"/>
    </row>
    <row r="17770" spans="6:6">
      <c r="F17770" s="2423"/>
    </row>
    <row r="17771" spans="6:6">
      <c r="F17771" s="2423"/>
    </row>
    <row r="17772" spans="6:6">
      <c r="F17772" s="2423"/>
    </row>
    <row r="17773" spans="6:6">
      <c r="F17773" s="2423"/>
    </row>
    <row r="17774" spans="6:6">
      <c r="F17774" s="2423"/>
    </row>
    <row r="17775" spans="6:6">
      <c r="F17775" s="2423"/>
    </row>
    <row r="17776" spans="6:6">
      <c r="F17776" s="2423"/>
    </row>
    <row r="17777" spans="6:6">
      <c r="F17777" s="2423"/>
    </row>
    <row r="17778" spans="6:6">
      <c r="F17778" s="2423"/>
    </row>
    <row r="17779" spans="6:6">
      <c r="F17779" s="2423"/>
    </row>
    <row r="17780" spans="6:6">
      <c r="F17780" s="2423"/>
    </row>
    <row r="17781" spans="6:6">
      <c r="F17781" s="2423"/>
    </row>
    <row r="17782" spans="6:6">
      <c r="F17782" s="2423"/>
    </row>
    <row r="17783" spans="6:6">
      <c r="F17783" s="2423"/>
    </row>
    <row r="17784" spans="6:6">
      <c r="F17784" s="2423"/>
    </row>
    <row r="17785" spans="6:6">
      <c r="F17785" s="2423"/>
    </row>
    <row r="17786" spans="6:6">
      <c r="F17786" s="2423"/>
    </row>
    <row r="17787" spans="6:6">
      <c r="F17787" s="2423"/>
    </row>
    <row r="17788" spans="6:6">
      <c r="F17788" s="2423"/>
    </row>
    <row r="17789" spans="6:6">
      <c r="F17789" s="2423"/>
    </row>
    <row r="17790" spans="6:6">
      <c r="F17790" s="2423"/>
    </row>
    <row r="17791" spans="6:6">
      <c r="F17791" s="2423"/>
    </row>
    <row r="17792" spans="6:6">
      <c r="F17792" s="2423"/>
    </row>
    <row r="17793" spans="6:6">
      <c r="F17793" s="2423"/>
    </row>
    <row r="17794" spans="6:6">
      <c r="F17794" s="2423"/>
    </row>
    <row r="17795" spans="6:6">
      <c r="F17795" s="2423"/>
    </row>
    <row r="17796" spans="6:6">
      <c r="F17796" s="2423"/>
    </row>
    <row r="17797" spans="6:6">
      <c r="F17797" s="2423"/>
    </row>
    <row r="17798" spans="6:6">
      <c r="F17798" s="2423"/>
    </row>
    <row r="17799" spans="6:6">
      <c r="F17799" s="2423"/>
    </row>
    <row r="17800" spans="6:6">
      <c r="F17800" s="2423"/>
    </row>
    <row r="17801" spans="6:6">
      <c r="F17801" s="2423"/>
    </row>
    <row r="17802" spans="6:6">
      <c r="F17802" s="2423"/>
    </row>
    <row r="17803" spans="6:6">
      <c r="F17803" s="2423"/>
    </row>
    <row r="17804" spans="6:6">
      <c r="F17804" s="2423"/>
    </row>
    <row r="17805" spans="6:6">
      <c r="F17805" s="2423"/>
    </row>
    <row r="17806" spans="6:6">
      <c r="F17806" s="2423"/>
    </row>
    <row r="17807" spans="6:6">
      <c r="F17807" s="2423"/>
    </row>
    <row r="17808" spans="6:6">
      <c r="F17808" s="2423"/>
    </row>
    <row r="17809" spans="6:6">
      <c r="F17809" s="2423"/>
    </row>
    <row r="17810" spans="6:6">
      <c r="F17810" s="2423"/>
    </row>
    <row r="17811" spans="6:6">
      <c r="F17811" s="2423"/>
    </row>
    <row r="17812" spans="6:6">
      <c r="F17812" s="2423"/>
    </row>
    <row r="17813" spans="6:6">
      <c r="F17813" s="2423"/>
    </row>
    <row r="17814" spans="6:6">
      <c r="F17814" s="2423"/>
    </row>
    <row r="17815" spans="6:6">
      <c r="F17815" s="2423"/>
    </row>
    <row r="17816" spans="6:6">
      <c r="F17816" s="2423"/>
    </row>
    <row r="17817" spans="6:6">
      <c r="F17817" s="2423"/>
    </row>
    <row r="17818" spans="6:6">
      <c r="F17818" s="2423"/>
    </row>
    <row r="17819" spans="6:6">
      <c r="F17819" s="2423"/>
    </row>
    <row r="17820" spans="6:6">
      <c r="F17820" s="2423"/>
    </row>
    <row r="17821" spans="6:6">
      <c r="F17821" s="2423"/>
    </row>
    <row r="17822" spans="6:6">
      <c r="F17822" s="2423"/>
    </row>
    <row r="17823" spans="6:6">
      <c r="F17823" s="2423"/>
    </row>
    <row r="17824" spans="6:6">
      <c r="F17824" s="2423"/>
    </row>
    <row r="17825" spans="6:6">
      <c r="F17825" s="2423"/>
    </row>
    <row r="17826" spans="6:6">
      <c r="F17826" s="2423"/>
    </row>
    <row r="17827" spans="6:6">
      <c r="F17827" s="2423"/>
    </row>
    <row r="17828" spans="6:6">
      <c r="F17828" s="2423"/>
    </row>
    <row r="17829" spans="6:6">
      <c r="F17829" s="2423"/>
    </row>
    <row r="17830" spans="6:6">
      <c r="F17830" s="2423"/>
    </row>
    <row r="17831" spans="6:6">
      <c r="F17831" s="2423"/>
    </row>
    <row r="17832" spans="6:6">
      <c r="F17832" s="2423"/>
    </row>
    <row r="17833" spans="6:6">
      <c r="F17833" s="2423"/>
    </row>
    <row r="17834" spans="6:6">
      <c r="F17834" s="2423"/>
    </row>
    <row r="17835" spans="6:6">
      <c r="F17835" s="2423"/>
    </row>
    <row r="17836" spans="6:6">
      <c r="F17836" s="2423"/>
    </row>
    <row r="17837" spans="6:6">
      <c r="F17837" s="2423"/>
    </row>
    <row r="17838" spans="6:6">
      <c r="F17838" s="2423"/>
    </row>
    <row r="17839" spans="6:6">
      <c r="F17839" s="2423"/>
    </row>
    <row r="17840" spans="6:6">
      <c r="F17840" s="2423"/>
    </row>
    <row r="17841" spans="6:6">
      <c r="F17841" s="2423"/>
    </row>
    <row r="17842" spans="6:6">
      <c r="F17842" s="2423"/>
    </row>
    <row r="17843" spans="6:6">
      <c r="F17843" s="2423"/>
    </row>
    <row r="17844" spans="6:6">
      <c r="F17844" s="2423"/>
    </row>
    <row r="17845" spans="6:6">
      <c r="F17845" s="2423"/>
    </row>
    <row r="17846" spans="6:6">
      <c r="F17846" s="2423"/>
    </row>
    <row r="17847" spans="6:6">
      <c r="F17847" s="2423"/>
    </row>
    <row r="17848" spans="6:6">
      <c r="F17848" s="2423"/>
    </row>
    <row r="17849" spans="6:6">
      <c r="F17849" s="2423"/>
    </row>
    <row r="17850" spans="6:6">
      <c r="F17850" s="2423"/>
    </row>
    <row r="17851" spans="6:6">
      <c r="F17851" s="2423"/>
    </row>
    <row r="17852" spans="6:6">
      <c r="F17852" s="2423"/>
    </row>
    <row r="17853" spans="6:6">
      <c r="F17853" s="2423"/>
    </row>
    <row r="17854" spans="6:6">
      <c r="F17854" s="2423"/>
    </row>
    <row r="17855" spans="6:6">
      <c r="F17855" s="2423"/>
    </row>
    <row r="17856" spans="6:6">
      <c r="F17856" s="2423"/>
    </row>
    <row r="17857" spans="6:6">
      <c r="F17857" s="2423"/>
    </row>
    <row r="17858" spans="6:6">
      <c r="F17858" s="2423"/>
    </row>
    <row r="17859" spans="6:6">
      <c r="F17859" s="2423"/>
    </row>
    <row r="17860" spans="6:6">
      <c r="F17860" s="2423"/>
    </row>
    <row r="17861" spans="6:6">
      <c r="F17861" s="2423"/>
    </row>
    <row r="17862" spans="6:6">
      <c r="F17862" s="2423"/>
    </row>
    <row r="17863" spans="6:6">
      <c r="F17863" s="2423"/>
    </row>
    <row r="17864" spans="6:6">
      <c r="F17864" s="2423"/>
    </row>
    <row r="17865" spans="6:6">
      <c r="F17865" s="2423"/>
    </row>
    <row r="17866" spans="6:6">
      <c r="F17866" s="2423"/>
    </row>
    <row r="17867" spans="6:6">
      <c r="F17867" s="2423"/>
    </row>
    <row r="17868" spans="6:6">
      <c r="F17868" s="2423"/>
    </row>
    <row r="17869" spans="6:6">
      <c r="F17869" s="2423"/>
    </row>
    <row r="17870" spans="6:6">
      <c r="F17870" s="2423"/>
    </row>
    <row r="17871" spans="6:6">
      <c r="F17871" s="2423"/>
    </row>
    <row r="17872" spans="6:6">
      <c r="F17872" s="2423"/>
    </row>
    <row r="17873" spans="6:6">
      <c r="F17873" s="2423"/>
    </row>
    <row r="17874" spans="6:6">
      <c r="F17874" s="2423"/>
    </row>
    <row r="17875" spans="6:6">
      <c r="F17875" s="2423"/>
    </row>
    <row r="17876" spans="6:6">
      <c r="F17876" s="2423"/>
    </row>
    <row r="17877" spans="6:6">
      <c r="F17877" s="2423"/>
    </row>
    <row r="17878" spans="6:6">
      <c r="F17878" s="2423"/>
    </row>
    <row r="17879" spans="6:6">
      <c r="F17879" s="2423"/>
    </row>
    <row r="17880" spans="6:6">
      <c r="F17880" s="2423"/>
    </row>
    <row r="17881" spans="6:6">
      <c r="F17881" s="2423"/>
    </row>
    <row r="17882" spans="6:6">
      <c r="F17882" s="2423"/>
    </row>
    <row r="17883" spans="6:6">
      <c r="F17883" s="2423"/>
    </row>
    <row r="17884" spans="6:6">
      <c r="F17884" s="2423"/>
    </row>
    <row r="17885" spans="6:6">
      <c r="F17885" s="2423"/>
    </row>
    <row r="17886" spans="6:6">
      <c r="F17886" s="2423"/>
    </row>
    <row r="17887" spans="6:6">
      <c r="F17887" s="2423"/>
    </row>
    <row r="17888" spans="6:6">
      <c r="F17888" s="2423"/>
    </row>
    <row r="17889" spans="6:6">
      <c r="F17889" s="2423"/>
    </row>
    <row r="17890" spans="6:6">
      <c r="F17890" s="2423"/>
    </row>
    <row r="17891" spans="6:6">
      <c r="F17891" s="2423"/>
    </row>
    <row r="17892" spans="6:6">
      <c r="F17892" s="2423"/>
    </row>
    <row r="17893" spans="6:6">
      <c r="F17893" s="2423"/>
    </row>
    <row r="17894" spans="6:6">
      <c r="F17894" s="2423"/>
    </row>
    <row r="17895" spans="6:6">
      <c r="F17895" s="2423"/>
    </row>
    <row r="17896" spans="6:6">
      <c r="F17896" s="2423"/>
    </row>
    <row r="17897" spans="6:6">
      <c r="F17897" s="2423"/>
    </row>
    <row r="17898" spans="6:6">
      <c r="F17898" s="2423"/>
    </row>
    <row r="17899" spans="6:6">
      <c r="F17899" s="2423"/>
    </row>
    <row r="17900" spans="6:6">
      <c r="F17900" s="2423"/>
    </row>
    <row r="17901" spans="6:6">
      <c r="F17901" s="2423"/>
    </row>
    <row r="17902" spans="6:6">
      <c r="F17902" s="2423"/>
    </row>
    <row r="17903" spans="6:6">
      <c r="F17903" s="2423"/>
    </row>
    <row r="17904" spans="6:6">
      <c r="F17904" s="2423"/>
    </row>
    <row r="17905" spans="6:6">
      <c r="F17905" s="2423"/>
    </row>
    <row r="17906" spans="6:6">
      <c r="F17906" s="2423"/>
    </row>
    <row r="17907" spans="6:6">
      <c r="F17907" s="2423"/>
    </row>
    <row r="17908" spans="6:6">
      <c r="F17908" s="2423"/>
    </row>
    <row r="17909" spans="6:6">
      <c r="F17909" s="2423"/>
    </row>
    <row r="17910" spans="6:6">
      <c r="F17910" s="2423"/>
    </row>
    <row r="17911" spans="6:6">
      <c r="F17911" s="2423"/>
    </row>
    <row r="17912" spans="6:6">
      <c r="F17912" s="2423"/>
    </row>
    <row r="17913" spans="6:6">
      <c r="F17913" s="2423"/>
    </row>
    <row r="17914" spans="6:6">
      <c r="F17914" s="2423"/>
    </row>
    <row r="17915" spans="6:6">
      <c r="F17915" s="2423"/>
    </row>
    <row r="17916" spans="6:6">
      <c r="F17916" s="2423"/>
    </row>
    <row r="17917" spans="6:6">
      <c r="F17917" s="2423"/>
    </row>
    <row r="17918" spans="6:6">
      <c r="F17918" s="2423"/>
    </row>
    <row r="17919" spans="6:6">
      <c r="F17919" s="2423"/>
    </row>
    <row r="17920" spans="6:6">
      <c r="F17920" s="2423"/>
    </row>
    <row r="17921" spans="6:6">
      <c r="F17921" s="2423"/>
    </row>
    <row r="17922" spans="6:6">
      <c r="F17922" s="2423"/>
    </row>
    <row r="17923" spans="6:6">
      <c r="F17923" s="2423"/>
    </row>
    <row r="17924" spans="6:6">
      <c r="F17924" s="2423"/>
    </row>
    <row r="17925" spans="6:6">
      <c r="F17925" s="2423"/>
    </row>
    <row r="17926" spans="6:6">
      <c r="F17926" s="2423"/>
    </row>
    <row r="17927" spans="6:6">
      <c r="F17927" s="2423"/>
    </row>
    <row r="17928" spans="6:6">
      <c r="F17928" s="2423"/>
    </row>
    <row r="17929" spans="6:6">
      <c r="F17929" s="2423"/>
    </row>
    <row r="17930" spans="6:6">
      <c r="F17930" s="2423"/>
    </row>
    <row r="17931" spans="6:6">
      <c r="F17931" s="2423"/>
    </row>
    <row r="17932" spans="6:6">
      <c r="F17932" s="2423"/>
    </row>
    <row r="17933" spans="6:6">
      <c r="F17933" s="2423"/>
    </row>
    <row r="17934" spans="6:6">
      <c r="F17934" s="2423"/>
    </row>
    <row r="17935" spans="6:6">
      <c r="F17935" s="2423"/>
    </row>
    <row r="17936" spans="6:6">
      <c r="F17936" s="2423"/>
    </row>
    <row r="17937" spans="6:6">
      <c r="F17937" s="2423"/>
    </row>
    <row r="17938" spans="6:6">
      <c r="F17938" s="2423"/>
    </row>
    <row r="17939" spans="6:6">
      <c r="F17939" s="2423"/>
    </row>
    <row r="17940" spans="6:6">
      <c r="F17940" s="2423"/>
    </row>
    <row r="17941" spans="6:6">
      <c r="F17941" s="2423"/>
    </row>
    <row r="17942" spans="6:6">
      <c r="F17942" s="2423"/>
    </row>
    <row r="17943" spans="6:6">
      <c r="F17943" s="2423"/>
    </row>
    <row r="17944" spans="6:6">
      <c r="F17944" s="2423"/>
    </row>
    <row r="17945" spans="6:6">
      <c r="F17945" s="2423"/>
    </row>
    <row r="17946" spans="6:6">
      <c r="F17946" s="2423"/>
    </row>
    <row r="17947" spans="6:6">
      <c r="F17947" s="2423"/>
    </row>
    <row r="17948" spans="6:6">
      <c r="F17948" s="2423"/>
    </row>
    <row r="17949" spans="6:6">
      <c r="F17949" s="2423"/>
    </row>
    <row r="17950" spans="6:6">
      <c r="F17950" s="2423"/>
    </row>
    <row r="17951" spans="6:6">
      <c r="F17951" s="2423"/>
    </row>
    <row r="17952" spans="6:6">
      <c r="F17952" s="2423"/>
    </row>
    <row r="17953" spans="6:6">
      <c r="F17953" s="2423"/>
    </row>
    <row r="17954" spans="6:6">
      <c r="F17954" s="2423"/>
    </row>
    <row r="17955" spans="6:6">
      <c r="F17955" s="2423"/>
    </row>
    <row r="17956" spans="6:6">
      <c r="F17956" s="2423"/>
    </row>
    <row r="17957" spans="6:6">
      <c r="F17957" s="2423"/>
    </row>
    <row r="17958" spans="6:6">
      <c r="F17958" s="2423"/>
    </row>
    <row r="17959" spans="6:6">
      <c r="F17959" s="2423"/>
    </row>
    <row r="17960" spans="6:6">
      <c r="F17960" s="2423"/>
    </row>
    <row r="17961" spans="6:6">
      <c r="F17961" s="2423"/>
    </row>
    <row r="17962" spans="6:6">
      <c r="F17962" s="2423"/>
    </row>
    <row r="17963" spans="6:6">
      <c r="F17963" s="2423"/>
    </row>
    <row r="17964" spans="6:6">
      <c r="F17964" s="2423"/>
    </row>
    <row r="17965" spans="6:6">
      <c r="F17965" s="2423"/>
    </row>
    <row r="17966" spans="6:6">
      <c r="F17966" s="2423"/>
    </row>
    <row r="17967" spans="6:6">
      <c r="F17967" s="2423"/>
    </row>
    <row r="17968" spans="6:6">
      <c r="F17968" s="2423"/>
    </row>
    <row r="17969" spans="6:6">
      <c r="F17969" s="2423"/>
    </row>
    <row r="17970" spans="6:6">
      <c r="F17970" s="2423"/>
    </row>
    <row r="17971" spans="6:6">
      <c r="F17971" s="2423"/>
    </row>
    <row r="17972" spans="6:6">
      <c r="F17972" s="2423"/>
    </row>
    <row r="17973" spans="6:6">
      <c r="F17973" s="2423"/>
    </row>
    <row r="17974" spans="6:6">
      <c r="F17974" s="2423"/>
    </row>
    <row r="17975" spans="6:6">
      <c r="F17975" s="2423"/>
    </row>
    <row r="17976" spans="6:6">
      <c r="F17976" s="2423"/>
    </row>
    <row r="17977" spans="6:6">
      <c r="F17977" s="2423"/>
    </row>
    <row r="17978" spans="6:6">
      <c r="F17978" s="2423"/>
    </row>
    <row r="17979" spans="6:6">
      <c r="F17979" s="2423"/>
    </row>
    <row r="17980" spans="6:6">
      <c r="F17980" s="2423"/>
    </row>
    <row r="17981" spans="6:6">
      <c r="F17981" s="2423"/>
    </row>
    <row r="17982" spans="6:6">
      <c r="F17982" s="2423"/>
    </row>
    <row r="17983" spans="6:6">
      <c r="F17983" s="2423"/>
    </row>
    <row r="17984" spans="6:6">
      <c r="F17984" s="2423"/>
    </row>
    <row r="17985" spans="6:6">
      <c r="F17985" s="2423"/>
    </row>
    <row r="17986" spans="6:6">
      <c r="F17986" s="2423"/>
    </row>
    <row r="17987" spans="6:6">
      <c r="F17987" s="2423"/>
    </row>
    <row r="17988" spans="6:6">
      <c r="F17988" s="2423"/>
    </row>
    <row r="17989" spans="6:6">
      <c r="F17989" s="2423"/>
    </row>
    <row r="17990" spans="6:6">
      <c r="F17990" s="2423"/>
    </row>
    <row r="17991" spans="6:6">
      <c r="F17991" s="2423"/>
    </row>
    <row r="17992" spans="6:6">
      <c r="F17992" s="2423"/>
    </row>
    <row r="17993" spans="6:6">
      <c r="F17993" s="2423"/>
    </row>
    <row r="17994" spans="6:6">
      <c r="F17994" s="2423"/>
    </row>
    <row r="17995" spans="6:6">
      <c r="F17995" s="2423"/>
    </row>
    <row r="17996" spans="6:6">
      <c r="F17996" s="2423"/>
    </row>
    <row r="17997" spans="6:6">
      <c r="F17997" s="2423"/>
    </row>
    <row r="17998" spans="6:6">
      <c r="F17998" s="2423"/>
    </row>
    <row r="17999" spans="6:6">
      <c r="F17999" s="2423"/>
    </row>
    <row r="18000" spans="6:6">
      <c r="F18000" s="2423"/>
    </row>
    <row r="18001" spans="6:6">
      <c r="F18001" s="2423"/>
    </row>
    <row r="18002" spans="6:6">
      <c r="F18002" s="2423"/>
    </row>
    <row r="18003" spans="6:6">
      <c r="F18003" s="2423"/>
    </row>
    <row r="18004" spans="6:6">
      <c r="F18004" s="2423"/>
    </row>
    <row r="18005" spans="6:6">
      <c r="F18005" s="2423"/>
    </row>
    <row r="18006" spans="6:6">
      <c r="F18006" s="2423"/>
    </row>
    <row r="18007" spans="6:6">
      <c r="F18007" s="2423"/>
    </row>
    <row r="18008" spans="6:6">
      <c r="F18008" s="2423"/>
    </row>
    <row r="18009" spans="6:6">
      <c r="F18009" s="2423"/>
    </row>
    <row r="18010" spans="6:6">
      <c r="F18010" s="2423"/>
    </row>
    <row r="18011" spans="6:6">
      <c r="F18011" s="2423"/>
    </row>
    <row r="18012" spans="6:6">
      <c r="F18012" s="2423"/>
    </row>
    <row r="18013" spans="6:6">
      <c r="F18013" s="2423"/>
    </row>
    <row r="18014" spans="6:6">
      <c r="F18014" s="2423"/>
    </row>
    <row r="18015" spans="6:6">
      <c r="F18015" s="2423"/>
    </row>
    <row r="18016" spans="6:6">
      <c r="F18016" s="2423"/>
    </row>
    <row r="18017" spans="6:6">
      <c r="F18017" s="2423"/>
    </row>
    <row r="18018" spans="6:6">
      <c r="F18018" s="2423"/>
    </row>
    <row r="18019" spans="6:6">
      <c r="F18019" s="2423"/>
    </row>
    <row r="18020" spans="6:6">
      <c r="F18020" s="2423"/>
    </row>
    <row r="18021" spans="6:6">
      <c r="F18021" s="2423"/>
    </row>
    <row r="18022" spans="6:6">
      <c r="F18022" s="2423"/>
    </row>
    <row r="18023" spans="6:6">
      <c r="F18023" s="2423"/>
    </row>
    <row r="18024" spans="6:6">
      <c r="F18024" s="2423"/>
    </row>
    <row r="18025" spans="6:6">
      <c r="F18025" s="2423"/>
    </row>
    <row r="18026" spans="6:6">
      <c r="F18026" s="2423"/>
    </row>
    <row r="18027" spans="6:6">
      <c r="F18027" s="2423"/>
    </row>
    <row r="18028" spans="6:6">
      <c r="F18028" s="2423"/>
    </row>
    <row r="18029" spans="6:6">
      <c r="F18029" s="2423"/>
    </row>
    <row r="18030" spans="6:6">
      <c r="F18030" s="2423"/>
    </row>
    <row r="18031" spans="6:6">
      <c r="F18031" s="2423"/>
    </row>
    <row r="18032" spans="6:6">
      <c r="F18032" s="2423"/>
    </row>
    <row r="18033" spans="6:6">
      <c r="F18033" s="2423"/>
    </row>
    <row r="18034" spans="6:6">
      <c r="F18034" s="2423"/>
    </row>
    <row r="18035" spans="6:6">
      <c r="F18035" s="2423"/>
    </row>
    <row r="18036" spans="6:6">
      <c r="F18036" s="2423"/>
    </row>
    <row r="18037" spans="6:6">
      <c r="F18037" s="2423"/>
    </row>
    <row r="18038" spans="6:6">
      <c r="F18038" s="2423"/>
    </row>
    <row r="18039" spans="6:6">
      <c r="F18039" s="2423"/>
    </row>
    <row r="18040" spans="6:6">
      <c r="F18040" s="2423"/>
    </row>
    <row r="18041" spans="6:6">
      <c r="F18041" s="2423"/>
    </row>
    <row r="18042" spans="6:6">
      <c r="F18042" s="2423"/>
    </row>
    <row r="18043" spans="6:6">
      <c r="F18043" s="2423"/>
    </row>
    <row r="18044" spans="6:6">
      <c r="F18044" s="2423"/>
    </row>
    <row r="18045" spans="6:6">
      <c r="F18045" s="2423"/>
    </row>
    <row r="18046" spans="6:6">
      <c r="F18046" s="2423"/>
    </row>
    <row r="18047" spans="6:6">
      <c r="F18047" s="2423"/>
    </row>
    <row r="18048" spans="6:6">
      <c r="F18048" s="2423"/>
    </row>
    <row r="18049" spans="6:6">
      <c r="F18049" s="2423"/>
    </row>
    <row r="18050" spans="6:6">
      <c r="F18050" s="2423"/>
    </row>
    <row r="18051" spans="6:6">
      <c r="F18051" s="2423"/>
    </row>
    <row r="18052" spans="6:6">
      <c r="F18052" s="2423"/>
    </row>
    <row r="18053" spans="6:6">
      <c r="F18053" s="2423"/>
    </row>
    <row r="18054" spans="6:6">
      <c r="F18054" s="2423"/>
    </row>
    <row r="18055" spans="6:6">
      <c r="F18055" s="2423"/>
    </row>
    <row r="18056" spans="6:6">
      <c r="F18056" s="2423"/>
    </row>
    <row r="18057" spans="6:6">
      <c r="F18057" s="2423"/>
    </row>
    <row r="18058" spans="6:6">
      <c r="F18058" s="2423"/>
    </row>
    <row r="18059" spans="6:6">
      <c r="F18059" s="2423"/>
    </row>
    <row r="18060" spans="6:6">
      <c r="F18060" s="2423"/>
    </row>
    <row r="18061" spans="6:6">
      <c r="F18061" s="2423"/>
    </row>
    <row r="18062" spans="6:6">
      <c r="F18062" s="2423"/>
    </row>
    <row r="18063" spans="6:6">
      <c r="F18063" s="2423"/>
    </row>
    <row r="18064" spans="6:6">
      <c r="F18064" s="2423"/>
    </row>
    <row r="18065" spans="6:6">
      <c r="F18065" s="2423"/>
    </row>
    <row r="18066" spans="6:6">
      <c r="F18066" s="2423"/>
    </row>
    <row r="18067" spans="6:6">
      <c r="F18067" s="2423"/>
    </row>
    <row r="18068" spans="6:6">
      <c r="F18068" s="2423"/>
    </row>
    <row r="18069" spans="6:6">
      <c r="F18069" s="2423"/>
    </row>
    <row r="18070" spans="6:6">
      <c r="F18070" s="2423"/>
    </row>
    <row r="18071" spans="6:6">
      <c r="F18071" s="2423"/>
    </row>
    <row r="18072" spans="6:6">
      <c r="F18072" s="2423"/>
    </row>
    <row r="18073" spans="6:6">
      <c r="F18073" s="2423"/>
    </row>
    <row r="18074" spans="6:6">
      <c r="F18074" s="2423"/>
    </row>
    <row r="18075" spans="6:6">
      <c r="F18075" s="2423"/>
    </row>
    <row r="18076" spans="6:6">
      <c r="F18076" s="2423"/>
    </row>
    <row r="18077" spans="6:6">
      <c r="F18077" s="2423"/>
    </row>
    <row r="18078" spans="6:6">
      <c r="F18078" s="2423"/>
    </row>
    <row r="18079" spans="6:6">
      <c r="F18079" s="2423"/>
    </row>
    <row r="18080" spans="6:6">
      <c r="F18080" s="2423"/>
    </row>
    <row r="18081" spans="6:6">
      <c r="F18081" s="2423"/>
    </row>
    <row r="18082" spans="6:6">
      <c r="F18082" s="2423"/>
    </row>
    <row r="18083" spans="6:6">
      <c r="F18083" s="2423"/>
    </row>
    <row r="18084" spans="6:6">
      <c r="F18084" s="2423"/>
    </row>
    <row r="18085" spans="6:6">
      <c r="F18085" s="2423"/>
    </row>
    <row r="18086" spans="6:6">
      <c r="F18086" s="2423"/>
    </row>
    <row r="18087" spans="6:6">
      <c r="F18087" s="2423"/>
    </row>
    <row r="18088" spans="6:6">
      <c r="F18088" s="2423"/>
    </row>
    <row r="18089" spans="6:6">
      <c r="F18089" s="2423"/>
    </row>
    <row r="18090" spans="6:6">
      <c r="F18090" s="2423"/>
    </row>
    <row r="18091" spans="6:6">
      <c r="F18091" s="2423"/>
    </row>
    <row r="18092" spans="6:6">
      <c r="F18092" s="2423"/>
    </row>
    <row r="18093" spans="6:6">
      <c r="F18093" s="2423"/>
    </row>
    <row r="18094" spans="6:6">
      <c r="F18094" s="2423"/>
    </row>
    <row r="18095" spans="6:6">
      <c r="F18095" s="2423"/>
    </row>
    <row r="18096" spans="6:6">
      <c r="F18096" s="2423"/>
    </row>
    <row r="18097" spans="6:6">
      <c r="F18097" s="2423"/>
    </row>
    <row r="18098" spans="6:6">
      <c r="F18098" s="2423"/>
    </row>
    <row r="18099" spans="6:6">
      <c r="F18099" s="2423"/>
    </row>
    <row r="18100" spans="6:6">
      <c r="F18100" s="2423"/>
    </row>
    <row r="18101" spans="6:6">
      <c r="F18101" s="2423"/>
    </row>
    <row r="18102" spans="6:6">
      <c r="F18102" s="2423"/>
    </row>
    <row r="18103" spans="6:6">
      <c r="F18103" s="2423"/>
    </row>
    <row r="18104" spans="6:6">
      <c r="F18104" s="2423"/>
    </row>
    <row r="18105" spans="6:6">
      <c r="F18105" s="2423"/>
    </row>
    <row r="18106" spans="6:6">
      <c r="F18106" s="2423"/>
    </row>
    <row r="18107" spans="6:6">
      <c r="F18107" s="2423"/>
    </row>
    <row r="18108" spans="6:6">
      <c r="F18108" s="2423"/>
    </row>
    <row r="18109" spans="6:6">
      <c r="F18109" s="2423"/>
    </row>
    <row r="18110" spans="6:6">
      <c r="F18110" s="2423"/>
    </row>
    <row r="18111" spans="6:6">
      <c r="F18111" s="2423"/>
    </row>
    <row r="18112" spans="6:6">
      <c r="F18112" s="2423"/>
    </row>
    <row r="18113" spans="6:6">
      <c r="F18113" s="2423"/>
    </row>
    <row r="18114" spans="6:6">
      <c r="F18114" s="2423"/>
    </row>
    <row r="18115" spans="6:6">
      <c r="F18115" s="2423"/>
    </row>
    <row r="18116" spans="6:6">
      <c r="F18116" s="2423"/>
    </row>
    <row r="18117" spans="6:6">
      <c r="F18117" s="2423"/>
    </row>
    <row r="18118" spans="6:6">
      <c r="F18118" s="2423"/>
    </row>
    <row r="18119" spans="6:6">
      <c r="F18119" s="2423"/>
    </row>
    <row r="18120" spans="6:6">
      <c r="F18120" s="2423"/>
    </row>
    <row r="18121" spans="6:6">
      <c r="F18121" s="2423"/>
    </row>
    <row r="18122" spans="6:6">
      <c r="F18122" s="2423"/>
    </row>
    <row r="18123" spans="6:6">
      <c r="F18123" s="2423"/>
    </row>
    <row r="18124" spans="6:6">
      <c r="F18124" s="2423"/>
    </row>
    <row r="18125" spans="6:6">
      <c r="F18125" s="2423"/>
    </row>
    <row r="18126" spans="6:6">
      <c r="F18126" s="2423"/>
    </row>
    <row r="18127" spans="6:6">
      <c r="F18127" s="2423"/>
    </row>
    <row r="18128" spans="6:6">
      <c r="F18128" s="2423"/>
    </row>
    <row r="18129" spans="6:6">
      <c r="F18129" s="2423"/>
    </row>
    <row r="18130" spans="6:6">
      <c r="F18130" s="2423"/>
    </row>
    <row r="18131" spans="6:6">
      <c r="F18131" s="2423"/>
    </row>
    <row r="18132" spans="6:6">
      <c r="F18132" s="2423"/>
    </row>
    <row r="18133" spans="6:6">
      <c r="F18133" s="2423"/>
    </row>
    <row r="18134" spans="6:6">
      <c r="F18134" s="2423"/>
    </row>
    <row r="18135" spans="6:6">
      <c r="F18135" s="2423"/>
    </row>
    <row r="18136" spans="6:6">
      <c r="F18136" s="2423"/>
    </row>
    <row r="18137" spans="6:6">
      <c r="F18137" s="2423"/>
    </row>
    <row r="18138" spans="6:6">
      <c r="F18138" s="2423"/>
    </row>
    <row r="18139" spans="6:6">
      <c r="F18139" s="2423"/>
    </row>
    <row r="18140" spans="6:6">
      <c r="F18140" s="2423"/>
    </row>
    <row r="18141" spans="6:6">
      <c r="F18141" s="2423"/>
    </row>
    <row r="18142" spans="6:6">
      <c r="F18142" s="2423"/>
    </row>
    <row r="18143" spans="6:6">
      <c r="F18143" s="2423"/>
    </row>
    <row r="18144" spans="6:6">
      <c r="F18144" s="2423"/>
    </row>
    <row r="18145" spans="6:6">
      <c r="F18145" s="2423"/>
    </row>
    <row r="18146" spans="6:6">
      <c r="F18146" s="2423"/>
    </row>
    <row r="18147" spans="6:6">
      <c r="F18147" s="2423"/>
    </row>
    <row r="18148" spans="6:6">
      <c r="F18148" s="2423"/>
    </row>
    <row r="18149" spans="6:6">
      <c r="F18149" s="2423"/>
    </row>
    <row r="18150" spans="6:6">
      <c r="F18150" s="2423"/>
    </row>
    <row r="18151" spans="6:6">
      <c r="F18151" s="2423"/>
    </row>
    <row r="18152" spans="6:6">
      <c r="F18152" s="2423"/>
    </row>
    <row r="18153" spans="6:6">
      <c r="F18153" s="2423"/>
    </row>
    <row r="18154" spans="6:6">
      <c r="F18154" s="2423"/>
    </row>
    <row r="18155" spans="6:6">
      <c r="F18155" s="2423"/>
    </row>
    <row r="18156" spans="6:6">
      <c r="F18156" s="2423"/>
    </row>
    <row r="18157" spans="6:6">
      <c r="F18157" s="2423"/>
    </row>
    <row r="18158" spans="6:6">
      <c r="F18158" s="2423"/>
    </row>
    <row r="18159" spans="6:6">
      <c r="F18159" s="2423"/>
    </row>
    <row r="18160" spans="6:6">
      <c r="F18160" s="2423"/>
    </row>
    <row r="18161" spans="6:6">
      <c r="F18161" s="2423"/>
    </row>
    <row r="18162" spans="6:6">
      <c r="F18162" s="2423"/>
    </row>
    <row r="18163" spans="6:6">
      <c r="F18163" s="2423"/>
    </row>
    <row r="18164" spans="6:6">
      <c r="F18164" s="2423"/>
    </row>
    <row r="18165" spans="6:6">
      <c r="F18165" s="2423"/>
    </row>
    <row r="18166" spans="6:6">
      <c r="F18166" s="2423"/>
    </row>
    <row r="18167" spans="6:6">
      <c r="F18167" s="2423"/>
    </row>
    <row r="18168" spans="6:6">
      <c r="F18168" s="2423"/>
    </row>
    <row r="18169" spans="6:6">
      <c r="F18169" s="2423"/>
    </row>
    <row r="18170" spans="6:6">
      <c r="F18170" s="2423"/>
    </row>
    <row r="18171" spans="6:6">
      <c r="F18171" s="2423"/>
    </row>
    <row r="18172" spans="6:6">
      <c r="F18172" s="2423"/>
    </row>
    <row r="18173" spans="6:6">
      <c r="F18173" s="2423"/>
    </row>
    <row r="18174" spans="6:6">
      <c r="F18174" s="2423"/>
    </row>
    <row r="18175" spans="6:6">
      <c r="F18175" s="2423"/>
    </row>
    <row r="18176" spans="6:6">
      <c r="F18176" s="2423"/>
    </row>
    <row r="18177" spans="6:6">
      <c r="F18177" s="2423"/>
    </row>
    <row r="18178" spans="6:6">
      <c r="F18178" s="2423"/>
    </row>
    <row r="18179" spans="6:6">
      <c r="F18179" s="2423"/>
    </row>
    <row r="18180" spans="6:6">
      <c r="F18180" s="2423"/>
    </row>
    <row r="18181" spans="6:6">
      <c r="F18181" s="2423"/>
    </row>
    <row r="18182" spans="6:6">
      <c r="F18182" s="2423"/>
    </row>
    <row r="18183" spans="6:6">
      <c r="F18183" s="2423"/>
    </row>
    <row r="18184" spans="6:6">
      <c r="F18184" s="2423"/>
    </row>
    <row r="18185" spans="6:6">
      <c r="F18185" s="2423"/>
    </row>
    <row r="18186" spans="6:6">
      <c r="F18186" s="2423"/>
    </row>
    <row r="18187" spans="6:6">
      <c r="F18187" s="2423"/>
    </row>
    <row r="18188" spans="6:6">
      <c r="F18188" s="2423"/>
    </row>
    <row r="18189" spans="6:6">
      <c r="F18189" s="2423"/>
    </row>
    <row r="18190" spans="6:6">
      <c r="F18190" s="2423"/>
    </row>
    <row r="18191" spans="6:6">
      <c r="F18191" s="2423"/>
    </row>
    <row r="18192" spans="6:6">
      <c r="F18192" s="2423"/>
    </row>
    <row r="18193" spans="6:6">
      <c r="F18193" s="2423"/>
    </row>
    <row r="18194" spans="6:6">
      <c r="F18194" s="2423"/>
    </row>
    <row r="18195" spans="6:6">
      <c r="F18195" s="2423"/>
    </row>
    <row r="18196" spans="6:6">
      <c r="F18196" s="2423"/>
    </row>
    <row r="18197" spans="6:6">
      <c r="F18197" s="2423"/>
    </row>
    <row r="18198" spans="6:6">
      <c r="F18198" s="2423"/>
    </row>
    <row r="18199" spans="6:6">
      <c r="F18199" s="2423"/>
    </row>
    <row r="18200" spans="6:6">
      <c r="F18200" s="2423"/>
    </row>
    <row r="18201" spans="6:6">
      <c r="F18201" s="2423"/>
    </row>
    <row r="18202" spans="6:6">
      <c r="F18202" s="2423"/>
    </row>
    <row r="18203" spans="6:6">
      <c r="F18203" s="2423"/>
    </row>
    <row r="18204" spans="6:6">
      <c r="F18204" s="2423"/>
    </row>
    <row r="18205" spans="6:6">
      <c r="F18205" s="2423"/>
    </row>
    <row r="18206" spans="6:6">
      <c r="F18206" s="2423"/>
    </row>
    <row r="18207" spans="6:6">
      <c r="F18207" s="2423"/>
    </row>
    <row r="18208" spans="6:6">
      <c r="F18208" s="2423"/>
    </row>
    <row r="18209" spans="6:6">
      <c r="F18209" s="2423"/>
    </row>
    <row r="18210" spans="6:6">
      <c r="F18210" s="2423"/>
    </row>
    <row r="18211" spans="6:6">
      <c r="F18211" s="2423"/>
    </row>
    <row r="18212" spans="6:6">
      <c r="F18212" s="2423"/>
    </row>
    <row r="18213" spans="6:6">
      <c r="F18213" s="2423"/>
    </row>
    <row r="18214" spans="6:6">
      <c r="F18214" s="2423"/>
    </row>
    <row r="18215" spans="6:6">
      <c r="F18215" s="2423"/>
    </row>
    <row r="18216" spans="6:6">
      <c r="F18216" s="2423"/>
    </row>
    <row r="18217" spans="6:6">
      <c r="F18217" s="2423"/>
    </row>
    <row r="18218" spans="6:6">
      <c r="F18218" s="2423"/>
    </row>
    <row r="18219" spans="6:6">
      <c r="F18219" s="2423"/>
    </row>
    <row r="18220" spans="6:6">
      <c r="F18220" s="2423"/>
    </row>
    <row r="18221" spans="6:6">
      <c r="F18221" s="2423"/>
    </row>
    <row r="18222" spans="6:6">
      <c r="F18222" s="2423"/>
    </row>
    <row r="18223" spans="6:6">
      <c r="F18223" s="2423"/>
    </row>
    <row r="18224" spans="6:6">
      <c r="F18224" s="2423"/>
    </row>
    <row r="18225" spans="6:6">
      <c r="F18225" s="2423"/>
    </row>
    <row r="18226" spans="6:6">
      <c r="F18226" s="2423"/>
    </row>
    <row r="18227" spans="6:6">
      <c r="F18227" s="2423"/>
    </row>
    <row r="18228" spans="6:6">
      <c r="F18228" s="2423"/>
    </row>
    <row r="18229" spans="6:6">
      <c r="F18229" s="2423"/>
    </row>
    <row r="18230" spans="6:6">
      <c r="F18230" s="2423"/>
    </row>
    <row r="18231" spans="6:6">
      <c r="F18231" s="2423"/>
    </row>
    <row r="18232" spans="6:6">
      <c r="F18232" s="2423"/>
    </row>
    <row r="18233" spans="6:6">
      <c r="F18233" s="2423"/>
    </row>
    <row r="18234" spans="6:6">
      <c r="F18234" s="2423"/>
    </row>
    <row r="18235" spans="6:6">
      <c r="F18235" s="2423"/>
    </row>
    <row r="18236" spans="6:6">
      <c r="F18236" s="2423"/>
    </row>
    <row r="18237" spans="6:6">
      <c r="F18237" s="2423"/>
    </row>
    <row r="18238" spans="6:6">
      <c r="F18238" s="2423"/>
    </row>
    <row r="18239" spans="6:6">
      <c r="F18239" s="2423"/>
    </row>
    <row r="18240" spans="6:6">
      <c r="F18240" s="2423"/>
    </row>
    <row r="18241" spans="6:6">
      <c r="F18241" s="2423"/>
    </row>
    <row r="18242" spans="6:6">
      <c r="F18242" s="2423"/>
    </row>
    <row r="18243" spans="6:6">
      <c r="F18243" s="2423"/>
    </row>
    <row r="18244" spans="6:6">
      <c r="F18244" s="2423"/>
    </row>
    <row r="18245" spans="6:6">
      <c r="F18245" s="2423"/>
    </row>
    <row r="18246" spans="6:6">
      <c r="F18246" s="2423"/>
    </row>
    <row r="18247" spans="6:6">
      <c r="F18247" s="2423"/>
    </row>
    <row r="18248" spans="6:6">
      <c r="F18248" s="2423"/>
    </row>
    <row r="18249" spans="6:6">
      <c r="F18249" s="2423"/>
    </row>
    <row r="18250" spans="6:6">
      <c r="F18250" s="2423"/>
    </row>
    <row r="18251" spans="6:6">
      <c r="F18251" s="2423"/>
    </row>
    <row r="18252" spans="6:6">
      <c r="F18252" s="2423"/>
    </row>
    <row r="18253" spans="6:6">
      <c r="F18253" s="2423"/>
    </row>
    <row r="18254" spans="6:6">
      <c r="F18254" s="2423"/>
    </row>
    <row r="18255" spans="6:6">
      <c r="F18255" s="2423"/>
    </row>
    <row r="18256" spans="6:6">
      <c r="F18256" s="2423"/>
    </row>
    <row r="18257" spans="6:6">
      <c r="F18257" s="2423"/>
    </row>
    <row r="18258" spans="6:6">
      <c r="F18258" s="2423"/>
    </row>
    <row r="18259" spans="6:6">
      <c r="F18259" s="2423"/>
    </row>
    <row r="18260" spans="6:6">
      <c r="F18260" s="2423"/>
    </row>
    <row r="18261" spans="6:6">
      <c r="F18261" s="2423"/>
    </row>
    <row r="18262" spans="6:6">
      <c r="F18262" s="2423"/>
    </row>
    <row r="18263" spans="6:6">
      <c r="F18263" s="2423"/>
    </row>
    <row r="18264" spans="6:6">
      <c r="F18264" s="2423"/>
    </row>
    <row r="18265" spans="6:6">
      <c r="F18265" s="2423"/>
    </row>
    <row r="18266" spans="6:6">
      <c r="F18266" s="2423"/>
    </row>
    <row r="18267" spans="6:6">
      <c r="F18267" s="2423"/>
    </row>
    <row r="18268" spans="6:6">
      <c r="F18268" s="2423"/>
    </row>
    <row r="18269" spans="6:6">
      <c r="F18269" s="2423"/>
    </row>
    <row r="18270" spans="6:6">
      <c r="F18270" s="2423"/>
    </row>
    <row r="18271" spans="6:6">
      <c r="F18271" s="2423"/>
    </row>
    <row r="18272" spans="6:6">
      <c r="F18272" s="2423"/>
    </row>
    <row r="18273" spans="6:6">
      <c r="F18273" s="2423"/>
    </row>
    <row r="18274" spans="6:6">
      <c r="F18274" s="2423"/>
    </row>
    <row r="18275" spans="6:6">
      <c r="F18275" s="2423"/>
    </row>
    <row r="18276" spans="6:6">
      <c r="F18276" s="2423"/>
    </row>
    <row r="18277" spans="6:6">
      <c r="F18277" s="2423"/>
    </row>
    <row r="18278" spans="6:6">
      <c r="F18278" s="2423"/>
    </row>
    <row r="18279" spans="6:6">
      <c r="F18279" s="2423"/>
    </row>
    <row r="18280" spans="6:6">
      <c r="F18280" s="2423"/>
    </row>
    <row r="18281" spans="6:6">
      <c r="F18281" s="2423"/>
    </row>
    <row r="18282" spans="6:6">
      <c r="F18282" s="2423"/>
    </row>
    <row r="18283" spans="6:6">
      <c r="F18283" s="2423"/>
    </row>
    <row r="18284" spans="6:6">
      <c r="F18284" s="2423"/>
    </row>
    <row r="18285" spans="6:6">
      <c r="F18285" s="2423"/>
    </row>
    <row r="18286" spans="6:6">
      <c r="F18286" s="2423"/>
    </row>
    <row r="18287" spans="6:6">
      <c r="F18287" s="2423"/>
    </row>
    <row r="18288" spans="6:6">
      <c r="F18288" s="2423"/>
    </row>
    <row r="18289" spans="6:6">
      <c r="F18289" s="2423"/>
    </row>
    <row r="18290" spans="6:6">
      <c r="F18290" s="2423"/>
    </row>
    <row r="18291" spans="6:6">
      <c r="F18291" s="2423"/>
    </row>
    <row r="18292" spans="6:6">
      <c r="F18292" s="2423"/>
    </row>
    <row r="18293" spans="6:6">
      <c r="F18293" s="2423"/>
    </row>
    <row r="18294" spans="6:6">
      <c r="F18294" s="2423"/>
    </row>
    <row r="18295" spans="6:6">
      <c r="F18295" s="2423"/>
    </row>
    <row r="18296" spans="6:6">
      <c r="F18296" s="2423"/>
    </row>
    <row r="18297" spans="6:6">
      <c r="F18297" s="2423"/>
    </row>
    <row r="18298" spans="6:6">
      <c r="F18298" s="2423"/>
    </row>
    <row r="18299" spans="6:6">
      <c r="F18299" s="2423"/>
    </row>
    <row r="18300" spans="6:6">
      <c r="F18300" s="2423"/>
    </row>
    <row r="18301" spans="6:6">
      <c r="F18301" s="2423"/>
    </row>
    <row r="18302" spans="6:6">
      <c r="F18302" s="2423"/>
    </row>
    <row r="18303" spans="6:6">
      <c r="F18303" s="2423"/>
    </row>
    <row r="18304" spans="6:6">
      <c r="F18304" s="2423"/>
    </row>
    <row r="18305" spans="6:6">
      <c r="F18305" s="2423"/>
    </row>
    <row r="18306" spans="6:6">
      <c r="F18306" s="2423"/>
    </row>
    <row r="18307" spans="6:6">
      <c r="F18307" s="2423"/>
    </row>
    <row r="18308" spans="6:6">
      <c r="F18308" s="2423"/>
    </row>
    <row r="18309" spans="6:6">
      <c r="F18309" s="2423"/>
    </row>
    <row r="18310" spans="6:6">
      <c r="F18310" s="2423"/>
    </row>
    <row r="18311" spans="6:6">
      <c r="F18311" s="2423"/>
    </row>
    <row r="18312" spans="6:6">
      <c r="F18312" s="2423"/>
    </row>
    <row r="18313" spans="6:6">
      <c r="F18313" s="2423"/>
    </row>
    <row r="18314" spans="6:6">
      <c r="F18314" s="2423"/>
    </row>
    <row r="18315" spans="6:6">
      <c r="F18315" s="2423"/>
    </row>
    <row r="18316" spans="6:6">
      <c r="F18316" s="2423"/>
    </row>
    <row r="18317" spans="6:6">
      <c r="F18317" s="2423"/>
    </row>
    <row r="18318" spans="6:6">
      <c r="F18318" s="2423"/>
    </row>
    <row r="18319" spans="6:6">
      <c r="F18319" s="2423"/>
    </row>
    <row r="18320" spans="6:6">
      <c r="F18320" s="2423"/>
    </row>
    <row r="18321" spans="6:6">
      <c r="F18321" s="2423"/>
    </row>
    <row r="18322" spans="6:6">
      <c r="F18322" s="2423"/>
    </row>
    <row r="18323" spans="6:6">
      <c r="F18323" s="2423"/>
    </row>
    <row r="18324" spans="6:6">
      <c r="F18324" s="2423"/>
    </row>
    <row r="18325" spans="6:6">
      <c r="F18325" s="2423"/>
    </row>
    <row r="18326" spans="6:6">
      <c r="F18326" s="2423"/>
    </row>
    <row r="18327" spans="6:6">
      <c r="F18327" s="2423"/>
    </row>
    <row r="18328" spans="6:6">
      <c r="F18328" s="2423"/>
    </row>
    <row r="18329" spans="6:6">
      <c r="F18329" s="2423"/>
    </row>
    <row r="18330" spans="6:6">
      <c r="F18330" s="2423"/>
    </row>
    <row r="18331" spans="6:6">
      <c r="F18331" s="2423"/>
    </row>
    <row r="18332" spans="6:6">
      <c r="F18332" s="2423"/>
    </row>
    <row r="18333" spans="6:6">
      <c r="F18333" s="2423"/>
    </row>
    <row r="18334" spans="6:6">
      <c r="F18334" s="2423"/>
    </row>
    <row r="18335" spans="6:6">
      <c r="F18335" s="2423"/>
    </row>
    <row r="18336" spans="6:6">
      <c r="F18336" s="2423"/>
    </row>
    <row r="18337" spans="6:6">
      <c r="F18337" s="2423"/>
    </row>
    <row r="18338" spans="6:6">
      <c r="F18338" s="2423"/>
    </row>
    <row r="18339" spans="6:6">
      <c r="F18339" s="2423"/>
    </row>
    <row r="18340" spans="6:6">
      <c r="F18340" s="2423"/>
    </row>
    <row r="18341" spans="6:6">
      <c r="F18341" s="2423"/>
    </row>
    <row r="18342" spans="6:6">
      <c r="F18342" s="2423"/>
    </row>
    <row r="18343" spans="6:6">
      <c r="F18343" s="2423"/>
    </row>
    <row r="18344" spans="6:6">
      <c r="F18344" s="2423"/>
    </row>
    <row r="18345" spans="6:6">
      <c r="F18345" s="2423"/>
    </row>
    <row r="18346" spans="6:6">
      <c r="F18346" s="2423"/>
    </row>
    <row r="18347" spans="6:6">
      <c r="F18347" s="2423"/>
    </row>
    <row r="18348" spans="6:6">
      <c r="F18348" s="2423"/>
    </row>
    <row r="18349" spans="6:6">
      <c r="F18349" s="2423"/>
    </row>
    <row r="18350" spans="6:6">
      <c r="F18350" s="2423"/>
    </row>
    <row r="18351" spans="6:6">
      <c r="F18351" s="2423"/>
    </row>
    <row r="18352" spans="6:6">
      <c r="F18352" s="2423"/>
    </row>
    <row r="18353" spans="6:6">
      <c r="F18353" s="2423"/>
    </row>
    <row r="18354" spans="6:6">
      <c r="F18354" s="2423"/>
    </row>
    <row r="18355" spans="6:6">
      <c r="F18355" s="2423"/>
    </row>
    <row r="18356" spans="6:6">
      <c r="F18356" s="2423"/>
    </row>
    <row r="18357" spans="6:6">
      <c r="F18357" s="2423"/>
    </row>
    <row r="18358" spans="6:6">
      <c r="F18358" s="2423"/>
    </row>
    <row r="18359" spans="6:6">
      <c r="F18359" s="2423"/>
    </row>
    <row r="18360" spans="6:6">
      <c r="F18360" s="2423"/>
    </row>
    <row r="18361" spans="6:6">
      <c r="F18361" s="2423"/>
    </row>
    <row r="18362" spans="6:6">
      <c r="F18362" s="2423"/>
    </row>
    <row r="18363" spans="6:6">
      <c r="F18363" s="2423"/>
    </row>
    <row r="18364" spans="6:6">
      <c r="F18364" s="2423"/>
    </row>
    <row r="18365" spans="6:6">
      <c r="F18365" s="2423"/>
    </row>
    <row r="18366" spans="6:6">
      <c r="F18366" s="2423"/>
    </row>
    <row r="18367" spans="6:6">
      <c r="F18367" s="2423"/>
    </row>
    <row r="18368" spans="6:6">
      <c r="F18368" s="2423"/>
    </row>
    <row r="18369" spans="6:6">
      <c r="F18369" s="2423"/>
    </row>
    <row r="18370" spans="6:6">
      <c r="F18370" s="2423"/>
    </row>
    <row r="18371" spans="6:6">
      <c r="F18371" s="2423"/>
    </row>
    <row r="18372" spans="6:6">
      <c r="F18372" s="2423"/>
    </row>
    <row r="18373" spans="6:6">
      <c r="F18373" s="2423"/>
    </row>
    <row r="18374" spans="6:6">
      <c r="F18374" s="2423"/>
    </row>
    <row r="18375" spans="6:6">
      <c r="F18375" s="2423"/>
    </row>
    <row r="18376" spans="6:6">
      <c r="F18376" s="2423"/>
    </row>
    <row r="18377" spans="6:6">
      <c r="F18377" s="2423"/>
    </row>
    <row r="18378" spans="6:6">
      <c r="F18378" s="2423"/>
    </row>
    <row r="18379" spans="6:6">
      <c r="F18379" s="2423"/>
    </row>
    <row r="18380" spans="6:6">
      <c r="F18380" s="2423"/>
    </row>
    <row r="18381" spans="6:6">
      <c r="F18381" s="2423"/>
    </row>
    <row r="18382" spans="6:6">
      <c r="F18382" s="2423"/>
    </row>
    <row r="18383" spans="6:6">
      <c r="F18383" s="2423"/>
    </row>
    <row r="18384" spans="6:6">
      <c r="F18384" s="2423"/>
    </row>
    <row r="18385" spans="6:6">
      <c r="F18385" s="2423"/>
    </row>
    <row r="18386" spans="6:6">
      <c r="F18386" s="2423"/>
    </row>
    <row r="18387" spans="6:6">
      <c r="F18387" s="2423"/>
    </row>
    <row r="18388" spans="6:6">
      <c r="F18388" s="2423"/>
    </row>
    <row r="18389" spans="6:6">
      <c r="F18389" s="2423"/>
    </row>
    <row r="18390" spans="6:6">
      <c r="F18390" s="2423"/>
    </row>
    <row r="18391" spans="6:6">
      <c r="F18391" s="2423"/>
    </row>
    <row r="18392" spans="6:6">
      <c r="F18392" s="2423"/>
    </row>
    <row r="18393" spans="6:6">
      <c r="F18393" s="2423"/>
    </row>
    <row r="18394" spans="6:6">
      <c r="F18394" s="2423"/>
    </row>
    <row r="18395" spans="6:6">
      <c r="F18395" s="2423"/>
    </row>
    <row r="18396" spans="6:6">
      <c r="F18396" s="2423"/>
    </row>
    <row r="18397" spans="6:6">
      <c r="F18397" s="2423"/>
    </row>
    <row r="18398" spans="6:6">
      <c r="F18398" s="2423"/>
    </row>
    <row r="18399" spans="6:6">
      <c r="F18399" s="2423"/>
    </row>
    <row r="18400" spans="6:6">
      <c r="F18400" s="2423"/>
    </row>
    <row r="18401" spans="6:6">
      <c r="F18401" s="2423"/>
    </row>
    <row r="18402" spans="6:6">
      <c r="F18402" s="2423"/>
    </row>
    <row r="18403" spans="6:6">
      <c r="F18403" s="2423"/>
    </row>
    <row r="18404" spans="6:6">
      <c r="F18404" s="2423"/>
    </row>
    <row r="18405" spans="6:6">
      <c r="F18405" s="2423"/>
    </row>
    <row r="18406" spans="6:6">
      <c r="F18406" s="2423"/>
    </row>
    <row r="18407" spans="6:6">
      <c r="F18407" s="2423"/>
    </row>
    <row r="18408" spans="6:6">
      <c r="F18408" s="2423"/>
    </row>
    <row r="18409" spans="6:6">
      <c r="F18409" s="2423"/>
    </row>
    <row r="18410" spans="6:6">
      <c r="F18410" s="2423"/>
    </row>
    <row r="18411" spans="6:6">
      <c r="F18411" s="2423"/>
    </row>
    <row r="18412" spans="6:6">
      <c r="F18412" s="2423"/>
    </row>
    <row r="18413" spans="6:6">
      <c r="F18413" s="2423"/>
    </row>
    <row r="18414" spans="6:6">
      <c r="F18414" s="2423"/>
    </row>
    <row r="18415" spans="6:6">
      <c r="F18415" s="2423"/>
    </row>
    <row r="18416" spans="6:6">
      <c r="F18416" s="2423"/>
    </row>
    <row r="18417" spans="6:6">
      <c r="F18417" s="2423"/>
    </row>
    <row r="18418" spans="6:6">
      <c r="F18418" s="2423"/>
    </row>
    <row r="18419" spans="6:6">
      <c r="F18419" s="2423"/>
    </row>
    <row r="18420" spans="6:6">
      <c r="F18420" s="2423"/>
    </row>
    <row r="18421" spans="6:6">
      <c r="F18421" s="2423"/>
    </row>
    <row r="18422" spans="6:6">
      <c r="F18422" s="2423"/>
    </row>
    <row r="18423" spans="6:6">
      <c r="F18423" s="2423"/>
    </row>
    <row r="18424" spans="6:6">
      <c r="F18424" s="2423"/>
    </row>
    <row r="18425" spans="6:6">
      <c r="F18425" s="2423"/>
    </row>
    <row r="18426" spans="6:6">
      <c r="F18426" s="2423"/>
    </row>
    <row r="18427" spans="6:6">
      <c r="F18427" s="2423"/>
    </row>
    <row r="18428" spans="6:6">
      <c r="F18428" s="2423"/>
    </row>
    <row r="18429" spans="6:6">
      <c r="F18429" s="2423"/>
    </row>
    <row r="18430" spans="6:6">
      <c r="F18430" s="2423"/>
    </row>
    <row r="18431" spans="6:6">
      <c r="F18431" s="2423"/>
    </row>
    <row r="18432" spans="6:6">
      <c r="F18432" s="2423"/>
    </row>
    <row r="18433" spans="6:6">
      <c r="F18433" s="2423"/>
    </row>
    <row r="18434" spans="6:6">
      <c r="F18434" s="2423"/>
    </row>
    <row r="18435" spans="6:6">
      <c r="F18435" s="2423"/>
    </row>
    <row r="18436" spans="6:6">
      <c r="F18436" s="2423"/>
    </row>
    <row r="18437" spans="6:6">
      <c r="F18437" s="2423"/>
    </row>
    <row r="18438" spans="6:6">
      <c r="F18438" s="2423"/>
    </row>
    <row r="18439" spans="6:6">
      <c r="F18439" s="2423"/>
    </row>
    <row r="18440" spans="6:6">
      <c r="F18440" s="2423"/>
    </row>
    <row r="18441" spans="6:6">
      <c r="F18441" s="2423"/>
    </row>
    <row r="18442" spans="6:6">
      <c r="F18442" s="2423"/>
    </row>
    <row r="18443" spans="6:6">
      <c r="F18443" s="2423"/>
    </row>
    <row r="18444" spans="6:6">
      <c r="F18444" s="2423"/>
    </row>
    <row r="18445" spans="6:6">
      <c r="F18445" s="2423"/>
    </row>
    <row r="18446" spans="6:6">
      <c r="F18446" s="2423"/>
    </row>
    <row r="18447" spans="6:6">
      <c r="F18447" s="2423"/>
    </row>
    <row r="18448" spans="6:6">
      <c r="F18448" s="2423"/>
    </row>
    <row r="18449" spans="6:6">
      <c r="F18449" s="2423"/>
    </row>
    <row r="18450" spans="6:6">
      <c r="F18450" s="2423"/>
    </row>
    <row r="18451" spans="6:6">
      <c r="F18451" s="2423"/>
    </row>
    <row r="18452" spans="6:6">
      <c r="F18452" s="2423"/>
    </row>
    <row r="18453" spans="6:6">
      <c r="F18453" s="2423"/>
    </row>
    <row r="18454" spans="6:6">
      <c r="F18454" s="2423"/>
    </row>
    <row r="18455" spans="6:6">
      <c r="F18455" s="2423"/>
    </row>
    <row r="18456" spans="6:6">
      <c r="F18456" s="2423"/>
    </row>
    <row r="18457" spans="6:6">
      <c r="F18457" s="2423"/>
    </row>
    <row r="18458" spans="6:6">
      <c r="F18458" s="2423"/>
    </row>
    <row r="18459" spans="6:6">
      <c r="F18459" s="2423"/>
    </row>
    <row r="18460" spans="6:6">
      <c r="F18460" s="2423"/>
    </row>
    <row r="18461" spans="6:6">
      <c r="F18461" s="2423"/>
    </row>
    <row r="18462" spans="6:6">
      <c r="F18462" s="2423"/>
    </row>
    <row r="18463" spans="6:6">
      <c r="F18463" s="2423"/>
    </row>
    <row r="18464" spans="6:6">
      <c r="F18464" s="2423"/>
    </row>
    <row r="18465" spans="6:6">
      <c r="F18465" s="2423"/>
    </row>
    <row r="18466" spans="6:6">
      <c r="F18466" s="2423"/>
    </row>
    <row r="18467" spans="6:6">
      <c r="F18467" s="2423"/>
    </row>
    <row r="18468" spans="6:6">
      <c r="F18468" s="2423"/>
    </row>
    <row r="18469" spans="6:6">
      <c r="F18469" s="2423"/>
    </row>
    <row r="18470" spans="6:6">
      <c r="F18470" s="2423"/>
    </row>
    <row r="18471" spans="6:6">
      <c r="F18471" s="2423"/>
    </row>
    <row r="18472" spans="6:6">
      <c r="F18472" s="2423"/>
    </row>
    <row r="18473" spans="6:6">
      <c r="F18473" s="2423"/>
    </row>
    <row r="18474" spans="6:6">
      <c r="F18474" s="2423"/>
    </row>
    <row r="18475" spans="6:6">
      <c r="F18475" s="2423"/>
    </row>
    <row r="18476" spans="6:6">
      <c r="F18476" s="2423"/>
    </row>
    <row r="18477" spans="6:6">
      <c r="F18477" s="2423"/>
    </row>
    <row r="18478" spans="6:6">
      <c r="F18478" s="2423"/>
    </row>
    <row r="18479" spans="6:6">
      <c r="F18479" s="2423"/>
    </row>
    <row r="18480" spans="6:6">
      <c r="F18480" s="2423"/>
    </row>
    <row r="18481" spans="6:6">
      <c r="F18481" s="2423"/>
    </row>
    <row r="18482" spans="6:6">
      <c r="F18482" s="2423"/>
    </row>
    <row r="18483" spans="6:6">
      <c r="F18483" s="2423"/>
    </row>
    <row r="18484" spans="6:6">
      <c r="F18484" s="2423"/>
    </row>
    <row r="18485" spans="6:6">
      <c r="F18485" s="2423"/>
    </row>
    <row r="18486" spans="6:6">
      <c r="F18486" s="2423"/>
    </row>
    <row r="18487" spans="6:6">
      <c r="F18487" s="2423"/>
    </row>
    <row r="18488" spans="6:6">
      <c r="F18488" s="2423"/>
    </row>
    <row r="18489" spans="6:6">
      <c r="F18489" s="2423"/>
    </row>
    <row r="18490" spans="6:6">
      <c r="F18490" s="2423"/>
    </row>
    <row r="18491" spans="6:6">
      <c r="F18491" s="2423"/>
    </row>
    <row r="18492" spans="6:6">
      <c r="F18492" s="2423"/>
    </row>
    <row r="18493" spans="6:6">
      <c r="F18493" s="2423"/>
    </row>
    <row r="18494" spans="6:6">
      <c r="F18494" s="2423"/>
    </row>
    <row r="18495" spans="6:6">
      <c r="F18495" s="2423"/>
    </row>
    <row r="18496" spans="6:6">
      <c r="F18496" s="2423"/>
    </row>
    <row r="18497" spans="6:6">
      <c r="F18497" s="2423"/>
    </row>
    <row r="18498" spans="6:6">
      <c r="F18498" s="2423"/>
    </row>
    <row r="18499" spans="6:6">
      <c r="F18499" s="2423"/>
    </row>
    <row r="18500" spans="6:6">
      <c r="F18500" s="2423"/>
    </row>
    <row r="18501" spans="6:6">
      <c r="F18501" s="2423"/>
    </row>
    <row r="18502" spans="6:6">
      <c r="F18502" s="2423"/>
    </row>
    <row r="18503" spans="6:6">
      <c r="F18503" s="2423"/>
    </row>
    <row r="18504" spans="6:6">
      <c r="F18504" s="2423"/>
    </row>
    <row r="18505" spans="6:6">
      <c r="F18505" s="2423"/>
    </row>
    <row r="18506" spans="6:6">
      <c r="F18506" s="2423"/>
    </row>
    <row r="18507" spans="6:6">
      <c r="F18507" s="2423"/>
    </row>
    <row r="18508" spans="6:6">
      <c r="F18508" s="2423"/>
    </row>
    <row r="18509" spans="6:6">
      <c r="F18509" s="2423"/>
    </row>
    <row r="18510" spans="6:6">
      <c r="F18510" s="2423"/>
    </row>
    <row r="18511" spans="6:6">
      <c r="F18511" s="2423"/>
    </row>
    <row r="18512" spans="6:6">
      <c r="F18512" s="2423"/>
    </row>
    <row r="18513" spans="6:6">
      <c r="F18513" s="2423"/>
    </row>
    <row r="18514" spans="6:6">
      <c r="F18514" s="2423"/>
    </row>
    <row r="18515" spans="6:6">
      <c r="F18515" s="2423"/>
    </row>
    <row r="18516" spans="6:6">
      <c r="F18516" s="2423"/>
    </row>
    <row r="18517" spans="6:6">
      <c r="F18517" s="2423"/>
    </row>
    <row r="18518" spans="6:6">
      <c r="F18518" s="2423"/>
    </row>
    <row r="18519" spans="6:6">
      <c r="F18519" s="2423"/>
    </row>
    <row r="18520" spans="6:6">
      <c r="F18520" s="2423"/>
    </row>
    <row r="18521" spans="6:6">
      <c r="F18521" s="2423"/>
    </row>
    <row r="18522" spans="6:6">
      <c r="F18522" s="2423"/>
    </row>
    <row r="18523" spans="6:6">
      <c r="F18523" s="2423"/>
    </row>
    <row r="18524" spans="6:6">
      <c r="F18524" s="2423"/>
    </row>
    <row r="18525" spans="6:6">
      <c r="F18525" s="2423"/>
    </row>
    <row r="18526" spans="6:6">
      <c r="F18526" s="2423"/>
    </row>
    <row r="18527" spans="6:6">
      <c r="F18527" s="2423"/>
    </row>
    <row r="18528" spans="6:6">
      <c r="F18528" s="2423"/>
    </row>
    <row r="18529" spans="6:6">
      <c r="F18529" s="2423"/>
    </row>
    <row r="18530" spans="6:6">
      <c r="F18530" s="2423"/>
    </row>
    <row r="18531" spans="6:6">
      <c r="F18531" s="2423"/>
    </row>
    <row r="18532" spans="6:6">
      <c r="F18532" s="2423"/>
    </row>
    <row r="18533" spans="6:6">
      <c r="F18533" s="2423"/>
    </row>
    <row r="18534" spans="6:6">
      <c r="F18534" s="2423"/>
    </row>
    <row r="18535" spans="6:6">
      <c r="F18535" s="2423"/>
    </row>
    <row r="18536" spans="6:6">
      <c r="F18536" s="2423"/>
    </row>
    <row r="18537" spans="6:6">
      <c r="F18537" s="2423"/>
    </row>
    <row r="18538" spans="6:6">
      <c r="F18538" s="2423"/>
    </row>
    <row r="18539" spans="6:6">
      <c r="F18539" s="2423"/>
    </row>
    <row r="18540" spans="6:6">
      <c r="F18540" s="2423"/>
    </row>
    <row r="18541" spans="6:6">
      <c r="F18541" s="2423"/>
    </row>
    <row r="18542" spans="6:6">
      <c r="F18542" s="2423"/>
    </row>
    <row r="18543" spans="6:6">
      <c r="F18543" s="2423"/>
    </row>
    <row r="18544" spans="6:6">
      <c r="F18544" s="2423"/>
    </row>
    <row r="18545" spans="6:6">
      <c r="F18545" s="2423"/>
    </row>
    <row r="18546" spans="6:6">
      <c r="F18546" s="2423"/>
    </row>
    <row r="18547" spans="6:6">
      <c r="F18547" s="2423"/>
    </row>
    <row r="18548" spans="6:6">
      <c r="F18548" s="2423"/>
    </row>
    <row r="18549" spans="6:6">
      <c r="F18549" s="2423"/>
    </row>
    <row r="18550" spans="6:6">
      <c r="F18550" s="2423"/>
    </row>
    <row r="18551" spans="6:6">
      <c r="F18551" s="2423"/>
    </row>
    <row r="18552" spans="6:6">
      <c r="F18552" s="2423"/>
    </row>
    <row r="18553" spans="6:6">
      <c r="F18553" s="2423"/>
    </row>
    <row r="18554" spans="6:6">
      <c r="F18554" s="2423"/>
    </row>
    <row r="18555" spans="6:6">
      <c r="F18555" s="2423"/>
    </row>
    <row r="18556" spans="6:6">
      <c r="F18556" s="2423"/>
    </row>
    <row r="18557" spans="6:6">
      <c r="F18557" s="2423"/>
    </row>
    <row r="18558" spans="6:6">
      <c r="F18558" s="2423"/>
    </row>
    <row r="18559" spans="6:6">
      <c r="F18559" s="2423"/>
    </row>
    <row r="18560" spans="6:6">
      <c r="F18560" s="2423"/>
    </row>
    <row r="18561" spans="6:6">
      <c r="F18561" s="2423"/>
    </row>
    <row r="18562" spans="6:6">
      <c r="F18562" s="2423"/>
    </row>
    <row r="18563" spans="6:6">
      <c r="F18563" s="2423"/>
    </row>
    <row r="18564" spans="6:6">
      <c r="F18564" s="2423"/>
    </row>
    <row r="18565" spans="6:6">
      <c r="F18565" s="2423"/>
    </row>
    <row r="18566" spans="6:6">
      <c r="F18566" s="2423"/>
    </row>
    <row r="18567" spans="6:6">
      <c r="F18567" s="2423"/>
    </row>
    <row r="18568" spans="6:6">
      <c r="F18568" s="2423"/>
    </row>
    <row r="18569" spans="6:6">
      <c r="F18569" s="2423"/>
    </row>
    <row r="18570" spans="6:6">
      <c r="F18570" s="2423"/>
    </row>
    <row r="18571" spans="6:6">
      <c r="F18571" s="2423"/>
    </row>
    <row r="18572" spans="6:6">
      <c r="F18572" s="2423"/>
    </row>
    <row r="18573" spans="6:6">
      <c r="F18573" s="2423"/>
    </row>
    <row r="18574" spans="6:6">
      <c r="F18574" s="2423"/>
    </row>
    <row r="18575" spans="6:6">
      <c r="F18575" s="2423"/>
    </row>
    <row r="18576" spans="6:6">
      <c r="F18576" s="2423"/>
    </row>
    <row r="18577" spans="6:6">
      <c r="F18577" s="2423"/>
    </row>
    <row r="18578" spans="6:6">
      <c r="F18578" s="2423"/>
    </row>
    <row r="18579" spans="6:6">
      <c r="F18579" s="2423"/>
    </row>
    <row r="18580" spans="6:6">
      <c r="F18580" s="2423"/>
    </row>
    <row r="18581" spans="6:6">
      <c r="F18581" s="2423"/>
    </row>
    <row r="18582" spans="6:6">
      <c r="F18582" s="2423"/>
    </row>
    <row r="18583" spans="6:6">
      <c r="F18583" s="2423"/>
    </row>
    <row r="18584" spans="6:6">
      <c r="F18584" s="2423"/>
    </row>
    <row r="18585" spans="6:6">
      <c r="F18585" s="2423"/>
    </row>
    <row r="18586" spans="6:6">
      <c r="F18586" s="2423"/>
    </row>
    <row r="18587" spans="6:6">
      <c r="F18587" s="2423"/>
    </row>
    <row r="18588" spans="6:6">
      <c r="F18588" s="2423"/>
    </row>
    <row r="18589" spans="6:6">
      <c r="F18589" s="2423"/>
    </row>
    <row r="18590" spans="6:6">
      <c r="F18590" s="2423"/>
    </row>
    <row r="18591" spans="6:6">
      <c r="F18591" s="2423"/>
    </row>
    <row r="18592" spans="6:6">
      <c r="F18592" s="2423"/>
    </row>
    <row r="18593" spans="6:6">
      <c r="F18593" s="2423"/>
    </row>
    <row r="18594" spans="6:6">
      <c r="F18594" s="2423"/>
    </row>
    <row r="18595" spans="6:6">
      <c r="F18595" s="2423"/>
    </row>
    <row r="18596" spans="6:6">
      <c r="F18596" s="2423"/>
    </row>
    <row r="18597" spans="6:6">
      <c r="F18597" s="2423"/>
    </row>
    <row r="18598" spans="6:6">
      <c r="F18598" s="2423"/>
    </row>
    <row r="18599" spans="6:6">
      <c r="F18599" s="2423"/>
    </row>
    <row r="18600" spans="6:6">
      <c r="F18600" s="2423"/>
    </row>
    <row r="18601" spans="6:6">
      <c r="F18601" s="2423"/>
    </row>
    <row r="18602" spans="6:6">
      <c r="F18602" s="2423"/>
    </row>
    <row r="18603" spans="6:6">
      <c r="F18603" s="2423"/>
    </row>
    <row r="18604" spans="6:6">
      <c r="F18604" s="2423"/>
    </row>
    <row r="18605" spans="6:6">
      <c r="F18605" s="2423"/>
    </row>
    <row r="18606" spans="6:6">
      <c r="F18606" s="2423"/>
    </row>
    <row r="18607" spans="6:6">
      <c r="F18607" s="2423"/>
    </row>
    <row r="18608" spans="6:6">
      <c r="F18608" s="2423"/>
    </row>
    <row r="18609" spans="6:6">
      <c r="F18609" s="2423"/>
    </row>
    <row r="18610" spans="6:6">
      <c r="F18610" s="2423"/>
    </row>
    <row r="18611" spans="6:6">
      <c r="F18611" s="2423"/>
    </row>
    <row r="18612" spans="6:6">
      <c r="F18612" s="2423"/>
    </row>
    <row r="18613" spans="6:6">
      <c r="F18613" s="2423"/>
    </row>
    <row r="18614" spans="6:6">
      <c r="F18614" s="2423"/>
    </row>
    <row r="18615" spans="6:6">
      <c r="F18615" s="2423"/>
    </row>
    <row r="18616" spans="6:6">
      <c r="F18616" s="2423"/>
    </row>
    <row r="18617" spans="6:6">
      <c r="F18617" s="2423"/>
    </row>
    <row r="18618" spans="6:6">
      <c r="F18618" s="2423"/>
    </row>
    <row r="18619" spans="6:6">
      <c r="F18619" s="2423"/>
    </row>
    <row r="18620" spans="6:6">
      <c r="F18620" s="2423"/>
    </row>
    <row r="18621" spans="6:6">
      <c r="F18621" s="2423"/>
    </row>
    <row r="18622" spans="6:6">
      <c r="F18622" s="2423"/>
    </row>
    <row r="18623" spans="6:6">
      <c r="F18623" s="2423"/>
    </row>
    <row r="18624" spans="6:6">
      <c r="F18624" s="2423"/>
    </row>
    <row r="18625" spans="6:6">
      <c r="F18625" s="2423"/>
    </row>
    <row r="18626" spans="6:6">
      <c r="F18626" s="2423"/>
    </row>
    <row r="18627" spans="6:6">
      <c r="F18627" s="2423"/>
    </row>
    <row r="18628" spans="6:6">
      <c r="F18628" s="2423"/>
    </row>
    <row r="18629" spans="6:6">
      <c r="F18629" s="2423"/>
    </row>
    <row r="18630" spans="6:6">
      <c r="F18630" s="2423"/>
    </row>
    <row r="18631" spans="6:6">
      <c r="F18631" s="2423"/>
    </row>
    <row r="18632" spans="6:6">
      <c r="F18632" s="2423"/>
    </row>
    <row r="18633" spans="6:6">
      <c r="F18633" s="2423"/>
    </row>
    <row r="18634" spans="6:6">
      <c r="F18634" s="2423"/>
    </row>
    <row r="18635" spans="6:6">
      <c r="F18635" s="2423"/>
    </row>
    <row r="18636" spans="6:6">
      <c r="F18636" s="2423"/>
    </row>
    <row r="18637" spans="6:6">
      <c r="F18637" s="2423"/>
    </row>
    <row r="18638" spans="6:6">
      <c r="F18638" s="2423"/>
    </row>
    <row r="18639" spans="6:6">
      <c r="F18639" s="2423"/>
    </row>
    <row r="18640" spans="6:6">
      <c r="F18640" s="2423"/>
    </row>
    <row r="18641" spans="6:6">
      <c r="F18641" s="2423"/>
    </row>
    <row r="18642" spans="6:6">
      <c r="F18642" s="2423"/>
    </row>
    <row r="18643" spans="6:6">
      <c r="F18643" s="2423"/>
    </row>
    <row r="18644" spans="6:6">
      <c r="F18644" s="2423"/>
    </row>
    <row r="18645" spans="6:6">
      <c r="F18645" s="2423"/>
    </row>
    <row r="18646" spans="6:6">
      <c r="F18646" s="2423"/>
    </row>
    <row r="18647" spans="6:6">
      <c r="F18647" s="2423"/>
    </row>
    <row r="18648" spans="6:6">
      <c r="F18648" s="2423"/>
    </row>
    <row r="18649" spans="6:6">
      <c r="F18649" s="2423"/>
    </row>
    <row r="18650" spans="6:6">
      <c r="F18650" s="2423"/>
    </row>
    <row r="18651" spans="6:6">
      <c r="F18651" s="2423"/>
    </row>
    <row r="18652" spans="6:6">
      <c r="F18652" s="2423"/>
    </row>
    <row r="18653" spans="6:6">
      <c r="F18653" s="2423"/>
    </row>
    <row r="18654" spans="6:6">
      <c r="F18654" s="2423"/>
    </row>
    <row r="18655" spans="6:6">
      <c r="F18655" s="2423"/>
    </row>
    <row r="18656" spans="6:6">
      <c r="F18656" s="2423"/>
    </row>
    <row r="18657" spans="6:6">
      <c r="F18657" s="2423"/>
    </row>
    <row r="18658" spans="6:6">
      <c r="F18658" s="2423"/>
    </row>
    <row r="18659" spans="6:6">
      <c r="F18659" s="2423"/>
    </row>
    <row r="18660" spans="6:6">
      <c r="F18660" s="2423"/>
    </row>
    <row r="18661" spans="6:6">
      <c r="F18661" s="2423"/>
    </row>
    <row r="18662" spans="6:6">
      <c r="F18662" s="2423"/>
    </row>
    <row r="18663" spans="6:6">
      <c r="F18663" s="2423"/>
    </row>
    <row r="18664" spans="6:6">
      <c r="F18664" s="2423"/>
    </row>
    <row r="18665" spans="6:6">
      <c r="F18665" s="2423"/>
    </row>
    <row r="18666" spans="6:6">
      <c r="F18666" s="2423"/>
    </row>
    <row r="18667" spans="6:6">
      <c r="F18667" s="2423"/>
    </row>
    <row r="18668" spans="6:6">
      <c r="F18668" s="2423"/>
    </row>
    <row r="18669" spans="6:6">
      <c r="F18669" s="2423"/>
    </row>
    <row r="18670" spans="6:6">
      <c r="F18670" s="2423"/>
    </row>
    <row r="18671" spans="6:6">
      <c r="F18671" s="2423"/>
    </row>
    <row r="18672" spans="6:6">
      <c r="F18672" s="2423"/>
    </row>
    <row r="18673" spans="6:6">
      <c r="F18673" s="2423"/>
    </row>
    <row r="18674" spans="6:6">
      <c r="F18674" s="2423"/>
    </row>
    <row r="18675" spans="6:6">
      <c r="F18675" s="2423"/>
    </row>
    <row r="18676" spans="6:6">
      <c r="F18676" s="2423"/>
    </row>
    <row r="18677" spans="6:6">
      <c r="F18677" s="2423"/>
    </row>
    <row r="18678" spans="6:6">
      <c r="F18678" s="2423"/>
    </row>
    <row r="18679" spans="6:6">
      <c r="F18679" s="2423"/>
    </row>
    <row r="18680" spans="6:6">
      <c r="F18680" s="2423"/>
    </row>
    <row r="18681" spans="6:6">
      <c r="F18681" s="2423"/>
    </row>
    <row r="18682" spans="6:6">
      <c r="F18682" s="2423"/>
    </row>
    <row r="18683" spans="6:6">
      <c r="F18683" s="2423"/>
    </row>
    <row r="18684" spans="6:6">
      <c r="F18684" s="2423"/>
    </row>
    <row r="18685" spans="6:6">
      <c r="F18685" s="2423"/>
    </row>
    <row r="18686" spans="6:6">
      <c r="F18686" s="2423"/>
    </row>
    <row r="18687" spans="6:6">
      <c r="F18687" s="2423"/>
    </row>
    <row r="18688" spans="6:6">
      <c r="F18688" s="2423"/>
    </row>
    <row r="18689" spans="6:6">
      <c r="F18689" s="2423"/>
    </row>
    <row r="18690" spans="6:6">
      <c r="F18690" s="2423"/>
    </row>
    <row r="18691" spans="6:6">
      <c r="F18691" s="2423"/>
    </row>
    <row r="18692" spans="6:6">
      <c r="F18692" s="2423"/>
    </row>
    <row r="18693" spans="6:6">
      <c r="F18693" s="2423"/>
    </row>
    <row r="18694" spans="6:6">
      <c r="F18694" s="2423"/>
    </row>
    <row r="18695" spans="6:6">
      <c r="F18695" s="2423"/>
    </row>
    <row r="18696" spans="6:6">
      <c r="F18696" s="2423"/>
    </row>
    <row r="18697" spans="6:6">
      <c r="F18697" s="2423"/>
    </row>
    <row r="18698" spans="6:6">
      <c r="F18698" s="2423"/>
    </row>
    <row r="18699" spans="6:6">
      <c r="F18699" s="2423"/>
    </row>
    <row r="18700" spans="6:6">
      <c r="F18700" s="2423"/>
    </row>
    <row r="18701" spans="6:6">
      <c r="F18701" s="2423"/>
    </row>
    <row r="18702" spans="6:6">
      <c r="F18702" s="2423"/>
    </row>
    <row r="18703" spans="6:6">
      <c r="F18703" s="2423"/>
    </row>
    <row r="18704" spans="6:6">
      <c r="F18704" s="2423"/>
    </row>
    <row r="18705" spans="6:6">
      <c r="F18705" s="2423"/>
    </row>
    <row r="18706" spans="6:6">
      <c r="F18706" s="2423"/>
    </row>
    <row r="18707" spans="6:6">
      <c r="F18707" s="2423"/>
    </row>
    <row r="18708" spans="6:6">
      <c r="F18708" s="2423"/>
    </row>
    <row r="18709" spans="6:6">
      <c r="F18709" s="2423"/>
    </row>
    <row r="18710" spans="6:6">
      <c r="F18710" s="2423"/>
    </row>
    <row r="18711" spans="6:6">
      <c r="F18711" s="2423"/>
    </row>
    <row r="18712" spans="6:6">
      <c r="F18712" s="2423"/>
    </row>
    <row r="18713" spans="6:6">
      <c r="F18713" s="2423"/>
    </row>
    <row r="18714" spans="6:6">
      <c r="F18714" s="2423"/>
    </row>
    <row r="18715" spans="6:6">
      <c r="F18715" s="2423"/>
    </row>
    <row r="18716" spans="6:6">
      <c r="F18716" s="2423"/>
    </row>
    <row r="18717" spans="6:6">
      <c r="F18717" s="2423"/>
    </row>
    <row r="18718" spans="6:6">
      <c r="F18718" s="2423"/>
    </row>
    <row r="18719" spans="6:6">
      <c r="F18719" s="2423"/>
    </row>
    <row r="18720" spans="6:6">
      <c r="F18720" s="2423"/>
    </row>
    <row r="18721" spans="6:6">
      <c r="F18721" s="2423"/>
    </row>
    <row r="18722" spans="6:6">
      <c r="F18722" s="2423"/>
    </row>
    <row r="18723" spans="6:6">
      <c r="F18723" s="2423"/>
    </row>
    <row r="18724" spans="6:6">
      <c r="F18724" s="2423"/>
    </row>
    <row r="18725" spans="6:6">
      <c r="F18725" s="2423"/>
    </row>
    <row r="18726" spans="6:6">
      <c r="F18726" s="2423"/>
    </row>
    <row r="18727" spans="6:6">
      <c r="F18727" s="2423"/>
    </row>
    <row r="18728" spans="6:6">
      <c r="F18728" s="2423"/>
    </row>
    <row r="18729" spans="6:6">
      <c r="F18729" s="2423"/>
    </row>
    <row r="18730" spans="6:6">
      <c r="F18730" s="2423"/>
    </row>
    <row r="18731" spans="6:6">
      <c r="F18731" s="2423"/>
    </row>
    <row r="18732" spans="6:6">
      <c r="F18732" s="2423"/>
    </row>
    <row r="18733" spans="6:6">
      <c r="F18733" s="2423"/>
    </row>
    <row r="18734" spans="6:6">
      <c r="F18734" s="2423"/>
    </row>
    <row r="18735" spans="6:6">
      <c r="F18735" s="2423"/>
    </row>
    <row r="18736" spans="6:6">
      <c r="F18736" s="2423"/>
    </row>
    <row r="18737" spans="6:6">
      <c r="F18737" s="2423"/>
    </row>
    <row r="18738" spans="6:6">
      <c r="F18738" s="2423"/>
    </row>
    <row r="18739" spans="6:6">
      <c r="F18739" s="2423"/>
    </row>
    <row r="18740" spans="6:6">
      <c r="F18740" s="2423"/>
    </row>
    <row r="18741" spans="6:6">
      <c r="F18741" s="2423"/>
    </row>
    <row r="18742" spans="6:6">
      <c r="F18742" s="2423"/>
    </row>
    <row r="18743" spans="6:6">
      <c r="F18743" s="2423"/>
    </row>
    <row r="18744" spans="6:6">
      <c r="F18744" s="2423"/>
    </row>
    <row r="18745" spans="6:6">
      <c r="F18745" s="2423"/>
    </row>
    <row r="18746" spans="6:6">
      <c r="F18746" s="2423"/>
    </row>
    <row r="18747" spans="6:6">
      <c r="F18747" s="2423"/>
    </row>
    <row r="18748" spans="6:6">
      <c r="F18748" s="2423"/>
    </row>
    <row r="18749" spans="6:6">
      <c r="F18749" s="2423"/>
    </row>
    <row r="18750" spans="6:6">
      <c r="F18750" s="2423"/>
    </row>
    <row r="18751" spans="6:6">
      <c r="F18751" s="2423"/>
    </row>
    <row r="18752" spans="6:6">
      <c r="F18752" s="2423"/>
    </row>
    <row r="18753" spans="6:6">
      <c r="F18753" s="2423"/>
    </row>
    <row r="18754" spans="6:6">
      <c r="F18754" s="2423"/>
    </row>
    <row r="18755" spans="6:6">
      <c r="F18755" s="2423"/>
    </row>
    <row r="18756" spans="6:6">
      <c r="F18756" s="2423"/>
    </row>
    <row r="18757" spans="6:6">
      <c r="F18757" s="2423"/>
    </row>
    <row r="18758" spans="6:6">
      <c r="F18758" s="2423"/>
    </row>
    <row r="18759" spans="6:6">
      <c r="F18759" s="2423"/>
    </row>
    <row r="18760" spans="6:6">
      <c r="F18760" s="2423"/>
    </row>
    <row r="18761" spans="6:6">
      <c r="F18761" s="2423"/>
    </row>
    <row r="18762" spans="6:6">
      <c r="F18762" s="2423"/>
    </row>
    <row r="18763" spans="6:6">
      <c r="F18763" s="2423"/>
    </row>
    <row r="18764" spans="6:6">
      <c r="F18764" s="2423"/>
    </row>
    <row r="18765" spans="6:6">
      <c r="F18765" s="2423"/>
    </row>
    <row r="18766" spans="6:6">
      <c r="F18766" s="2423"/>
    </row>
    <row r="18767" spans="6:6">
      <c r="F18767" s="2423"/>
    </row>
    <row r="18768" spans="6:6">
      <c r="F18768" s="2423"/>
    </row>
    <row r="18769" spans="6:6">
      <c r="F18769" s="2423"/>
    </row>
    <row r="18770" spans="6:6">
      <c r="F18770" s="2423"/>
    </row>
    <row r="18771" spans="6:6">
      <c r="F18771" s="2423"/>
    </row>
    <row r="18772" spans="6:6">
      <c r="F18772" s="2423"/>
    </row>
    <row r="18773" spans="6:6">
      <c r="F18773" s="2423"/>
    </row>
    <row r="18774" spans="6:6">
      <c r="F18774" s="2423"/>
    </row>
    <row r="18775" spans="6:6">
      <c r="F18775" s="2423"/>
    </row>
    <row r="18776" spans="6:6">
      <c r="F18776" s="2423"/>
    </row>
    <row r="18777" spans="6:6">
      <c r="F18777" s="2423"/>
    </row>
    <row r="18778" spans="6:6">
      <c r="F18778" s="2423"/>
    </row>
    <row r="18779" spans="6:6">
      <c r="F18779" s="2423"/>
    </row>
    <row r="18780" spans="6:6">
      <c r="F18780" s="2423"/>
    </row>
    <row r="18781" spans="6:6">
      <c r="F18781" s="2423"/>
    </row>
    <row r="18782" spans="6:6">
      <c r="F18782" s="2423"/>
    </row>
    <row r="18783" spans="6:6">
      <c r="F18783" s="2423"/>
    </row>
    <row r="18784" spans="6:6">
      <c r="F18784" s="2423"/>
    </row>
    <row r="18785" spans="6:6">
      <c r="F18785" s="2423"/>
    </row>
    <row r="18786" spans="6:6">
      <c r="F18786" s="2423"/>
    </row>
    <row r="18787" spans="6:6">
      <c r="F18787" s="2423"/>
    </row>
    <row r="18788" spans="6:6">
      <c r="F18788" s="2423"/>
    </row>
    <row r="18789" spans="6:6">
      <c r="F18789" s="2423"/>
    </row>
    <row r="18790" spans="6:6">
      <c r="F18790" s="2423"/>
    </row>
    <row r="18791" spans="6:6">
      <c r="F18791" s="2423"/>
    </row>
    <row r="18792" spans="6:6">
      <c r="F18792" s="2423"/>
    </row>
    <row r="18793" spans="6:6">
      <c r="F18793" s="2423"/>
    </row>
    <row r="18794" spans="6:6">
      <c r="F18794" s="2423"/>
    </row>
    <row r="18795" spans="6:6">
      <c r="F18795" s="2423"/>
    </row>
    <row r="18796" spans="6:6">
      <c r="F18796" s="2423"/>
    </row>
    <row r="18797" spans="6:6">
      <c r="F18797" s="2423"/>
    </row>
    <row r="18798" spans="6:6">
      <c r="F18798" s="2423"/>
    </row>
    <row r="18799" spans="6:6">
      <c r="F18799" s="2423"/>
    </row>
    <row r="18800" spans="6:6">
      <c r="F18800" s="2423"/>
    </row>
    <row r="18801" spans="6:6">
      <c r="F18801" s="2423"/>
    </row>
    <row r="18802" spans="6:6">
      <c r="F18802" s="2423"/>
    </row>
    <row r="18803" spans="6:6">
      <c r="F18803" s="2423"/>
    </row>
    <row r="18804" spans="6:6">
      <c r="F18804" s="2423"/>
    </row>
    <row r="18805" spans="6:6">
      <c r="F18805" s="2423"/>
    </row>
    <row r="18806" spans="6:6">
      <c r="F18806" s="2423"/>
    </row>
    <row r="18807" spans="6:6">
      <c r="F18807" s="2423"/>
    </row>
    <row r="18808" spans="6:6">
      <c r="F18808" s="2423"/>
    </row>
    <row r="18809" spans="6:6">
      <c r="F18809" s="2423"/>
    </row>
    <row r="18810" spans="6:6">
      <c r="F18810" s="2423"/>
    </row>
    <row r="18811" spans="6:6">
      <c r="F18811" s="2423"/>
    </row>
    <row r="18812" spans="6:6">
      <c r="F18812" s="2423"/>
    </row>
    <row r="18813" spans="6:6">
      <c r="F18813" s="2423"/>
    </row>
    <row r="18814" spans="6:6">
      <c r="F18814" s="2423"/>
    </row>
    <row r="18815" spans="6:6">
      <c r="F18815" s="2423"/>
    </row>
    <row r="18816" spans="6:6">
      <c r="F18816" s="2423"/>
    </row>
    <row r="18817" spans="6:6">
      <c r="F18817" s="2423"/>
    </row>
    <row r="18818" spans="6:6">
      <c r="F18818" s="2423"/>
    </row>
    <row r="18819" spans="6:6">
      <c r="F18819" s="2423"/>
    </row>
    <row r="18820" spans="6:6">
      <c r="F18820" s="2423"/>
    </row>
    <row r="18821" spans="6:6">
      <c r="F18821" s="2423"/>
    </row>
    <row r="18822" spans="6:6">
      <c r="F18822" s="2423"/>
    </row>
    <row r="18823" spans="6:6">
      <c r="F18823" s="2423"/>
    </row>
    <row r="18824" spans="6:6">
      <c r="F18824" s="2423"/>
    </row>
    <row r="18825" spans="6:6">
      <c r="F18825" s="2423"/>
    </row>
    <row r="18826" spans="6:6">
      <c r="F18826" s="2423"/>
    </row>
    <row r="18827" spans="6:6">
      <c r="F18827" s="2423"/>
    </row>
    <row r="18828" spans="6:6">
      <c r="F18828" s="2423"/>
    </row>
    <row r="18829" spans="6:6">
      <c r="F18829" s="2423"/>
    </row>
    <row r="18830" spans="6:6">
      <c r="F18830" s="2423"/>
    </row>
    <row r="18831" spans="6:6">
      <c r="F18831" s="2423"/>
    </row>
    <row r="18832" spans="6:6">
      <c r="F18832" s="2423"/>
    </row>
    <row r="18833" spans="6:6">
      <c r="F18833" s="2423"/>
    </row>
    <row r="18834" spans="6:6">
      <c r="F18834" s="2423"/>
    </row>
    <row r="18835" spans="6:6">
      <c r="F18835" s="2423"/>
    </row>
    <row r="18836" spans="6:6">
      <c r="F18836" s="2423"/>
    </row>
    <row r="18837" spans="6:6">
      <c r="F18837" s="2423"/>
    </row>
    <row r="18838" spans="6:6">
      <c r="F18838" s="2423"/>
    </row>
    <row r="18839" spans="6:6">
      <c r="F18839" s="2423"/>
    </row>
    <row r="18840" spans="6:6">
      <c r="F18840" s="2423"/>
    </row>
    <row r="18841" spans="6:6">
      <c r="F18841" s="2423"/>
    </row>
    <row r="18842" spans="6:6">
      <c r="F18842" s="2423"/>
    </row>
    <row r="18843" spans="6:6">
      <c r="F18843" s="2423"/>
    </row>
    <row r="18844" spans="6:6">
      <c r="F18844" s="2423"/>
    </row>
    <row r="18845" spans="6:6">
      <c r="F18845" s="2423"/>
    </row>
    <row r="18846" spans="6:6">
      <c r="F18846" s="2423"/>
    </row>
    <row r="18847" spans="6:6">
      <c r="F18847" s="2423"/>
    </row>
    <row r="18848" spans="6:6">
      <c r="F18848" s="2423"/>
    </row>
    <row r="18849" spans="6:6">
      <c r="F18849" s="2423"/>
    </row>
    <row r="18850" spans="6:6">
      <c r="F18850" s="2423"/>
    </row>
    <row r="18851" spans="6:6">
      <c r="F18851" s="2423"/>
    </row>
    <row r="18852" spans="6:6">
      <c r="F18852" s="2423"/>
    </row>
    <row r="18853" spans="6:6">
      <c r="F18853" s="2423"/>
    </row>
    <row r="18854" spans="6:6">
      <c r="F18854" s="2423"/>
    </row>
    <row r="18855" spans="6:6">
      <c r="F18855" s="2423"/>
    </row>
    <row r="18856" spans="6:6">
      <c r="F18856" s="2423"/>
    </row>
    <row r="18857" spans="6:6">
      <c r="F18857" s="2423"/>
    </row>
    <row r="18858" spans="6:6">
      <c r="F18858" s="2423"/>
    </row>
    <row r="18859" spans="6:6">
      <c r="F18859" s="2423"/>
    </row>
    <row r="18860" spans="6:6">
      <c r="F18860" s="2423"/>
    </row>
    <row r="18861" spans="6:6">
      <c r="F18861" s="2423"/>
    </row>
    <row r="18862" spans="6:6">
      <c r="F18862" s="2423"/>
    </row>
    <row r="18863" spans="6:6">
      <c r="F18863" s="2423"/>
    </row>
    <row r="18864" spans="6:6">
      <c r="F18864" s="2423"/>
    </row>
    <row r="18865" spans="6:6">
      <c r="F18865" s="2423"/>
    </row>
    <row r="18866" spans="6:6">
      <c r="F18866" s="2423"/>
    </row>
    <row r="18867" spans="6:6">
      <c r="F18867" s="2423"/>
    </row>
    <row r="18868" spans="6:6">
      <c r="F18868" s="2423"/>
    </row>
    <row r="18869" spans="6:6">
      <c r="F18869" s="2423"/>
    </row>
    <row r="18870" spans="6:6">
      <c r="F18870" s="2423"/>
    </row>
    <row r="18871" spans="6:6">
      <c r="F18871" s="2423"/>
    </row>
    <row r="18872" spans="6:6">
      <c r="F18872" s="2423"/>
    </row>
    <row r="18873" spans="6:6">
      <c r="F18873" s="2423"/>
    </row>
    <row r="18874" spans="6:6">
      <c r="F18874" s="2423"/>
    </row>
    <row r="18875" spans="6:6">
      <c r="F18875" s="2423"/>
    </row>
    <row r="18876" spans="6:6">
      <c r="F18876" s="2423"/>
    </row>
    <row r="18877" spans="6:6">
      <c r="F18877" s="2423"/>
    </row>
    <row r="18878" spans="6:6">
      <c r="F18878" s="2423"/>
    </row>
    <row r="18879" spans="6:6">
      <c r="F18879" s="2423"/>
    </row>
    <row r="18880" spans="6:6">
      <c r="F18880" s="2423"/>
    </row>
    <row r="18881" spans="6:6">
      <c r="F18881" s="2423"/>
    </row>
    <row r="18882" spans="6:6">
      <c r="F18882" s="2423"/>
    </row>
    <row r="18883" spans="6:6">
      <c r="F18883" s="2423"/>
    </row>
    <row r="18884" spans="6:6">
      <c r="F18884" s="2423"/>
    </row>
    <row r="18885" spans="6:6">
      <c r="F18885" s="2423"/>
    </row>
    <row r="18886" spans="6:6">
      <c r="F18886" s="2423"/>
    </row>
    <row r="18887" spans="6:6">
      <c r="F18887" s="2423"/>
    </row>
    <row r="18888" spans="6:6">
      <c r="F18888" s="2423"/>
    </row>
    <row r="18889" spans="6:6">
      <c r="F18889" s="2423"/>
    </row>
    <row r="18890" spans="6:6">
      <c r="F18890" s="2423"/>
    </row>
    <row r="18891" spans="6:6">
      <c r="F18891" s="2423"/>
    </row>
    <row r="18892" spans="6:6">
      <c r="F18892" s="2423"/>
    </row>
    <row r="18893" spans="6:6">
      <c r="F18893" s="2423"/>
    </row>
    <row r="18894" spans="6:6">
      <c r="F18894" s="2423"/>
    </row>
    <row r="18895" spans="6:6">
      <c r="F18895" s="2423"/>
    </row>
    <row r="18896" spans="6:6">
      <c r="F18896" s="2423"/>
    </row>
    <row r="18897" spans="6:6">
      <c r="F18897" s="2423"/>
    </row>
    <row r="18898" spans="6:6">
      <c r="F18898" s="2423"/>
    </row>
    <row r="18899" spans="6:6">
      <c r="F18899" s="2423"/>
    </row>
    <row r="18900" spans="6:6">
      <c r="F18900" s="2423"/>
    </row>
    <row r="18901" spans="6:6">
      <c r="F18901" s="2423"/>
    </row>
    <row r="18902" spans="6:6">
      <c r="F18902" s="2423"/>
    </row>
    <row r="18903" spans="6:6">
      <c r="F18903" s="2423"/>
    </row>
    <row r="18904" spans="6:6">
      <c r="F18904" s="2423"/>
    </row>
    <row r="18905" spans="6:6">
      <c r="F18905" s="2423"/>
    </row>
    <row r="18906" spans="6:6">
      <c r="F18906" s="2423"/>
    </row>
    <row r="18907" spans="6:6">
      <c r="F18907" s="2423"/>
    </row>
    <row r="18908" spans="6:6">
      <c r="F18908" s="2423"/>
    </row>
    <row r="18909" spans="6:6">
      <c r="F18909" s="2423"/>
    </row>
    <row r="18910" spans="6:6">
      <c r="F18910" s="2423"/>
    </row>
    <row r="18911" spans="6:6">
      <c r="F18911" s="2423"/>
    </row>
    <row r="18912" spans="6:6">
      <c r="F18912" s="2423"/>
    </row>
    <row r="18913" spans="6:6">
      <c r="F18913" s="2423"/>
    </row>
    <row r="18914" spans="6:6">
      <c r="F18914" s="2423"/>
    </row>
    <row r="18915" spans="6:6">
      <c r="F18915" s="2423"/>
    </row>
    <row r="18916" spans="6:6">
      <c r="F18916" s="2423"/>
    </row>
    <row r="18917" spans="6:6">
      <c r="F18917" s="2423"/>
    </row>
    <row r="18918" spans="6:6">
      <c r="F18918" s="2423"/>
    </row>
    <row r="18919" spans="6:6">
      <c r="F18919" s="2423"/>
    </row>
    <row r="18920" spans="6:6">
      <c r="F18920" s="2423"/>
    </row>
    <row r="18921" spans="6:6">
      <c r="F18921" s="2423"/>
    </row>
    <row r="18922" spans="6:6">
      <c r="F18922" s="2423"/>
    </row>
    <row r="18923" spans="6:6">
      <c r="F18923" s="2423"/>
    </row>
    <row r="18924" spans="6:6">
      <c r="F18924" s="2423"/>
    </row>
    <row r="18925" spans="6:6">
      <c r="F18925" s="2423"/>
    </row>
    <row r="18926" spans="6:6">
      <c r="F18926" s="2423"/>
    </row>
    <row r="18927" spans="6:6">
      <c r="F18927" s="2423"/>
    </row>
    <row r="18928" spans="6:6">
      <c r="F18928" s="2423"/>
    </row>
    <row r="18929" spans="6:6">
      <c r="F18929" s="2423"/>
    </row>
    <row r="18930" spans="6:6">
      <c r="F18930" s="2423"/>
    </row>
    <row r="18931" spans="6:6">
      <c r="F18931" s="2423"/>
    </row>
    <row r="18932" spans="6:6">
      <c r="F18932" s="2423"/>
    </row>
    <row r="18933" spans="6:6">
      <c r="F18933" s="2423"/>
    </row>
    <row r="18934" spans="6:6">
      <c r="F18934" s="2423"/>
    </row>
    <row r="18935" spans="6:6">
      <c r="F18935" s="2423"/>
    </row>
    <row r="18936" spans="6:6">
      <c r="F18936" s="2423"/>
    </row>
    <row r="18937" spans="6:6">
      <c r="F18937" s="2423"/>
    </row>
    <row r="18938" spans="6:6">
      <c r="F18938" s="2423"/>
    </row>
    <row r="18939" spans="6:6">
      <c r="F18939" s="2423"/>
    </row>
    <row r="18940" spans="6:6">
      <c r="F18940" s="2423"/>
    </row>
    <row r="18941" spans="6:6">
      <c r="F18941" s="2423"/>
    </row>
    <row r="18942" spans="6:6">
      <c r="F18942" s="2423"/>
    </row>
    <row r="18943" spans="6:6">
      <c r="F18943" s="2423"/>
    </row>
    <row r="18944" spans="6:6">
      <c r="F18944" s="2423"/>
    </row>
    <row r="18945" spans="6:6">
      <c r="F18945" s="2423"/>
    </row>
    <row r="18946" spans="6:6">
      <c r="F18946" s="2423"/>
    </row>
    <row r="18947" spans="6:6">
      <c r="F18947" s="2423"/>
    </row>
    <row r="18948" spans="6:6">
      <c r="F18948" s="2423"/>
    </row>
    <row r="18949" spans="6:6">
      <c r="F18949" s="2423"/>
    </row>
    <row r="18950" spans="6:6">
      <c r="F18950" s="2423"/>
    </row>
    <row r="18951" spans="6:6">
      <c r="F18951" s="2423"/>
    </row>
    <row r="18952" spans="6:6">
      <c r="F18952" s="2423"/>
    </row>
    <row r="18953" spans="6:6">
      <c r="F18953" s="2423"/>
    </row>
    <row r="18954" spans="6:6">
      <c r="F18954" s="2423"/>
    </row>
    <row r="18955" spans="6:6">
      <c r="F18955" s="2423"/>
    </row>
    <row r="18956" spans="6:6">
      <c r="F18956" s="2423"/>
    </row>
    <row r="18957" spans="6:6">
      <c r="F18957" s="2423"/>
    </row>
    <row r="18958" spans="6:6">
      <c r="F18958" s="2423"/>
    </row>
    <row r="18959" spans="6:6">
      <c r="F18959" s="2423"/>
    </row>
    <row r="18960" spans="6:6">
      <c r="F18960" s="2423"/>
    </row>
    <row r="18961" spans="6:6">
      <c r="F18961" s="2423"/>
    </row>
    <row r="18962" spans="6:6">
      <c r="F18962" s="2423"/>
    </row>
    <row r="18963" spans="6:6">
      <c r="F18963" s="2423"/>
    </row>
    <row r="18964" spans="6:6">
      <c r="F18964" s="2423"/>
    </row>
    <row r="18965" spans="6:6">
      <c r="F18965" s="2423"/>
    </row>
    <row r="18966" spans="6:6">
      <c r="F18966" s="2423"/>
    </row>
    <row r="18967" spans="6:6">
      <c r="F18967" s="2423"/>
    </row>
    <row r="18968" spans="6:6">
      <c r="F18968" s="2423"/>
    </row>
    <row r="18969" spans="6:6">
      <c r="F18969" s="2423"/>
    </row>
    <row r="18970" spans="6:6">
      <c r="F18970" s="2423"/>
    </row>
    <row r="18971" spans="6:6">
      <c r="F18971" s="2423"/>
    </row>
    <row r="18972" spans="6:6">
      <c r="F18972" s="2423"/>
    </row>
    <row r="18973" spans="6:6">
      <c r="F18973" s="2423"/>
    </row>
    <row r="18974" spans="6:6">
      <c r="F18974" s="2423"/>
    </row>
    <row r="18975" spans="6:6">
      <c r="F18975" s="2423"/>
    </row>
    <row r="18976" spans="6:6">
      <c r="F18976" s="2423"/>
    </row>
    <row r="18977" spans="6:6">
      <c r="F18977" s="2423"/>
    </row>
    <row r="18978" spans="6:6">
      <c r="F18978" s="2423"/>
    </row>
    <row r="18979" spans="6:6">
      <c r="F18979" s="2423"/>
    </row>
    <row r="18980" spans="6:6">
      <c r="F18980" s="2423"/>
    </row>
    <row r="18981" spans="6:6">
      <c r="F18981" s="2423"/>
    </row>
    <row r="18982" spans="6:6">
      <c r="F18982" s="2423"/>
    </row>
    <row r="18983" spans="6:6">
      <c r="F18983" s="2423"/>
    </row>
    <row r="18984" spans="6:6">
      <c r="F18984" s="2423"/>
    </row>
    <row r="18985" spans="6:6">
      <c r="F18985" s="2423"/>
    </row>
    <row r="18986" spans="6:6">
      <c r="F18986" s="2423"/>
    </row>
    <row r="18987" spans="6:6">
      <c r="F18987" s="2423"/>
    </row>
    <row r="18988" spans="6:6">
      <c r="F18988" s="2423"/>
    </row>
    <row r="18989" spans="6:6">
      <c r="F18989" s="2423"/>
    </row>
    <row r="18990" spans="6:6">
      <c r="F18990" s="2423"/>
    </row>
    <row r="18991" spans="6:6">
      <c r="F18991" s="2423"/>
    </row>
    <row r="18992" spans="6:6">
      <c r="F18992" s="2423"/>
    </row>
    <row r="18993" spans="6:6">
      <c r="F18993" s="2423"/>
    </row>
    <row r="18994" spans="6:6">
      <c r="F18994" s="2423"/>
    </row>
    <row r="18995" spans="6:6">
      <c r="F18995" s="2423"/>
    </row>
    <row r="18996" spans="6:6">
      <c r="F18996" s="2423"/>
    </row>
    <row r="18997" spans="6:6">
      <c r="F18997" s="2423"/>
    </row>
    <row r="18998" spans="6:6">
      <c r="F18998" s="2423"/>
    </row>
    <row r="18999" spans="6:6">
      <c r="F18999" s="2423"/>
    </row>
    <row r="19000" spans="6:6">
      <c r="F19000" s="2423"/>
    </row>
    <row r="19001" spans="6:6">
      <c r="F19001" s="2423"/>
    </row>
    <row r="19002" spans="6:6">
      <c r="F19002" s="2423"/>
    </row>
    <row r="19003" spans="6:6">
      <c r="F19003" s="2423"/>
    </row>
    <row r="19004" spans="6:6">
      <c r="F19004" s="2423"/>
    </row>
    <row r="19005" spans="6:6">
      <c r="F19005" s="2423"/>
    </row>
    <row r="19006" spans="6:6">
      <c r="F19006" s="2423"/>
    </row>
    <row r="19007" spans="6:6">
      <c r="F19007" s="2423"/>
    </row>
    <row r="19008" spans="6:6">
      <c r="F19008" s="2423"/>
    </row>
    <row r="19009" spans="6:6">
      <c r="F19009" s="2423"/>
    </row>
    <row r="19010" spans="6:6">
      <c r="F19010" s="2423"/>
    </row>
    <row r="19011" spans="6:6">
      <c r="F19011" s="2423"/>
    </row>
    <row r="19012" spans="6:6">
      <c r="F19012" s="2423"/>
    </row>
    <row r="19013" spans="6:6">
      <c r="F19013" s="2423"/>
    </row>
    <row r="19014" spans="6:6">
      <c r="F19014" s="2423"/>
    </row>
    <row r="19015" spans="6:6">
      <c r="F19015" s="2423"/>
    </row>
    <row r="19016" spans="6:6">
      <c r="F19016" s="2423"/>
    </row>
    <row r="19017" spans="6:6">
      <c r="F19017" s="2423"/>
    </row>
    <row r="19018" spans="6:6">
      <c r="F19018" s="2423"/>
    </row>
    <row r="19019" spans="6:6">
      <c r="F19019" s="2423"/>
    </row>
    <row r="19020" spans="6:6">
      <c r="F19020" s="2423"/>
    </row>
    <row r="19021" spans="6:6">
      <c r="F19021" s="2423"/>
    </row>
    <row r="19022" spans="6:6">
      <c r="F19022" s="2423"/>
    </row>
    <row r="19023" spans="6:6">
      <c r="F19023" s="2423"/>
    </row>
    <row r="19024" spans="6:6">
      <c r="F19024" s="2423"/>
    </row>
    <row r="19025" spans="6:6">
      <c r="F19025" s="2423"/>
    </row>
    <row r="19026" spans="6:6">
      <c r="F19026" s="2423"/>
    </row>
    <row r="19027" spans="6:6">
      <c r="F19027" s="2423"/>
    </row>
    <row r="19028" spans="6:6">
      <c r="F19028" s="2423"/>
    </row>
    <row r="19029" spans="6:6">
      <c r="F19029" s="2423"/>
    </row>
    <row r="19030" spans="6:6">
      <c r="F19030" s="2423"/>
    </row>
    <row r="19031" spans="6:6">
      <c r="F19031" s="2423"/>
    </row>
    <row r="19032" spans="6:6">
      <c r="F19032" s="2423"/>
    </row>
    <row r="19033" spans="6:6">
      <c r="F19033" s="2423"/>
    </row>
    <row r="19034" spans="6:6">
      <c r="F19034" s="2423"/>
    </row>
    <row r="19035" spans="6:6">
      <c r="F19035" s="2423"/>
    </row>
    <row r="19036" spans="6:6">
      <c r="F19036" s="2423"/>
    </row>
    <row r="19037" spans="6:6">
      <c r="F19037" s="2423"/>
    </row>
    <row r="19038" spans="6:6">
      <c r="F19038" s="2423"/>
    </row>
    <row r="19039" spans="6:6">
      <c r="F19039" s="2423"/>
    </row>
    <row r="19040" spans="6:6">
      <c r="F19040" s="2423"/>
    </row>
    <row r="19041" spans="6:6">
      <c r="F19041" s="2423"/>
    </row>
    <row r="19042" spans="6:6">
      <c r="F19042" s="2423"/>
    </row>
    <row r="19043" spans="6:6">
      <c r="F19043" s="2423"/>
    </row>
    <row r="19044" spans="6:6">
      <c r="F19044" s="2423"/>
    </row>
    <row r="19045" spans="6:6">
      <c r="F19045" s="2423"/>
    </row>
    <row r="19046" spans="6:6">
      <c r="F19046" s="2423"/>
    </row>
    <row r="19047" spans="6:6">
      <c r="F19047" s="2423"/>
    </row>
    <row r="19048" spans="6:6">
      <c r="F19048" s="2423"/>
    </row>
    <row r="19049" spans="6:6">
      <c r="F19049" s="2423"/>
    </row>
    <row r="19050" spans="6:6">
      <c r="F19050" s="2423"/>
    </row>
    <row r="19051" spans="6:6">
      <c r="F19051" s="2423"/>
    </row>
    <row r="19052" spans="6:6">
      <c r="F19052" s="2423"/>
    </row>
    <row r="19053" spans="6:6">
      <c r="F19053" s="2423"/>
    </row>
    <row r="19054" spans="6:6">
      <c r="F19054" s="2423"/>
    </row>
    <row r="19055" spans="6:6">
      <c r="F19055" s="2423"/>
    </row>
    <row r="19056" spans="6:6">
      <c r="F19056" s="2423"/>
    </row>
    <row r="19057" spans="6:6">
      <c r="F19057" s="2423"/>
    </row>
    <row r="19058" spans="6:6">
      <c r="F19058" s="2423"/>
    </row>
    <row r="19059" spans="6:6">
      <c r="F19059" s="2423"/>
    </row>
    <row r="19060" spans="6:6">
      <c r="F19060" s="2423"/>
    </row>
    <row r="19061" spans="6:6">
      <c r="F19061" s="2423"/>
    </row>
    <row r="19062" spans="6:6">
      <c r="F19062" s="2423"/>
    </row>
    <row r="19063" spans="6:6">
      <c r="F19063" s="2423"/>
    </row>
    <row r="19064" spans="6:6">
      <c r="F19064" s="2423"/>
    </row>
    <row r="19065" spans="6:6">
      <c r="F19065" s="2423"/>
    </row>
    <row r="19066" spans="6:6">
      <c r="F19066" s="2423"/>
    </row>
    <row r="19067" spans="6:6">
      <c r="F19067" s="2423"/>
    </row>
    <row r="19068" spans="6:6">
      <c r="F19068" s="2423"/>
    </row>
    <row r="19069" spans="6:6">
      <c r="F19069" s="2423"/>
    </row>
    <row r="19070" spans="6:6">
      <c r="F19070" s="2423"/>
    </row>
    <row r="19071" spans="6:6">
      <c r="F19071" s="2423"/>
    </row>
    <row r="19072" spans="6:6">
      <c r="F19072" s="2423"/>
    </row>
    <row r="19073" spans="6:6">
      <c r="F19073" s="2423"/>
    </row>
    <row r="19074" spans="6:6">
      <c r="F19074" s="2423"/>
    </row>
    <row r="19075" spans="6:6">
      <c r="F19075" s="2423"/>
    </row>
    <row r="19076" spans="6:6">
      <c r="F19076" s="2423"/>
    </row>
    <row r="19077" spans="6:6">
      <c r="F19077" s="2423"/>
    </row>
    <row r="19078" spans="6:6">
      <c r="F19078" s="2423"/>
    </row>
    <row r="19079" spans="6:6">
      <c r="F19079" s="2423"/>
    </row>
    <row r="19080" spans="6:6">
      <c r="F19080" s="2423"/>
    </row>
    <row r="19081" spans="6:6">
      <c r="F19081" s="2423"/>
    </row>
    <row r="19082" spans="6:6">
      <c r="F19082" s="2423"/>
    </row>
    <row r="19083" spans="6:6">
      <c r="F19083" s="2423"/>
    </row>
    <row r="19084" spans="6:6">
      <c r="F19084" s="2423"/>
    </row>
    <row r="19085" spans="6:6">
      <c r="F19085" s="2423"/>
    </row>
    <row r="19086" spans="6:6">
      <c r="F19086" s="2423"/>
    </row>
    <row r="19087" spans="6:6">
      <c r="F19087" s="2423"/>
    </row>
    <row r="19088" spans="6:6">
      <c r="F19088" s="2423"/>
    </row>
    <row r="19089" spans="6:6">
      <c r="F19089" s="2423"/>
    </row>
    <row r="19090" spans="6:6">
      <c r="F19090" s="2423"/>
    </row>
    <row r="19091" spans="6:6">
      <c r="F19091" s="2423"/>
    </row>
    <row r="19092" spans="6:6">
      <c r="F19092" s="2423"/>
    </row>
    <row r="19093" spans="6:6">
      <c r="F19093" s="2423"/>
    </row>
    <row r="19094" spans="6:6">
      <c r="F19094" s="2423"/>
    </row>
    <row r="19095" spans="6:6">
      <c r="F19095" s="2423"/>
    </row>
    <row r="19096" spans="6:6">
      <c r="F19096" s="2423"/>
    </row>
    <row r="19097" spans="6:6">
      <c r="F19097" s="2423"/>
    </row>
    <row r="19098" spans="6:6">
      <c r="F19098" s="2423"/>
    </row>
    <row r="19099" spans="6:6">
      <c r="F19099" s="2423"/>
    </row>
    <row r="19100" spans="6:6">
      <c r="F19100" s="2423"/>
    </row>
    <row r="19101" spans="6:6">
      <c r="F19101" s="2423"/>
    </row>
    <row r="19102" spans="6:6">
      <c r="F19102" s="2423"/>
    </row>
    <row r="19103" spans="6:6">
      <c r="F19103" s="2423"/>
    </row>
    <row r="19104" spans="6:6">
      <c r="F19104" s="2423"/>
    </row>
    <row r="19105" spans="6:6">
      <c r="F19105" s="2423"/>
    </row>
    <row r="19106" spans="6:6">
      <c r="F19106" s="2423"/>
    </row>
    <row r="19107" spans="6:6">
      <c r="F19107" s="2423"/>
    </row>
    <row r="19108" spans="6:6">
      <c r="F19108" s="2423"/>
    </row>
    <row r="19109" spans="6:6">
      <c r="F19109" s="2423"/>
    </row>
    <row r="19110" spans="6:6">
      <c r="F19110" s="2423"/>
    </row>
    <row r="19111" spans="6:6">
      <c r="F19111" s="2423"/>
    </row>
    <row r="19112" spans="6:6">
      <c r="F19112" s="2423"/>
    </row>
    <row r="19113" spans="6:6">
      <c r="F19113" s="2423"/>
    </row>
    <row r="19114" spans="6:6">
      <c r="F19114" s="2423"/>
    </row>
    <row r="19115" spans="6:6">
      <c r="F19115" s="2423"/>
    </row>
    <row r="19116" spans="6:6">
      <c r="F19116" s="2423"/>
    </row>
    <row r="19117" spans="6:6">
      <c r="F19117" s="2423"/>
    </row>
    <row r="19118" spans="6:6">
      <c r="F19118" s="2423"/>
    </row>
    <row r="19119" spans="6:6">
      <c r="F19119" s="2423"/>
    </row>
    <row r="19120" spans="6:6">
      <c r="F19120" s="2423"/>
    </row>
    <row r="19121" spans="6:6">
      <c r="F19121" s="2423"/>
    </row>
    <row r="19122" spans="6:6">
      <c r="F19122" s="2423"/>
    </row>
    <row r="19123" spans="6:6">
      <c r="F19123" s="2423"/>
    </row>
    <row r="19124" spans="6:6">
      <c r="F19124" s="2423"/>
    </row>
    <row r="19125" spans="6:6">
      <c r="F19125" s="2423"/>
    </row>
    <row r="19126" spans="6:6">
      <c r="F19126" s="2423"/>
    </row>
    <row r="19127" spans="6:6">
      <c r="F19127" s="2423"/>
    </row>
    <row r="19128" spans="6:6">
      <c r="F19128" s="2423"/>
    </row>
    <row r="19129" spans="6:6">
      <c r="F19129" s="2423"/>
    </row>
    <row r="19130" spans="6:6">
      <c r="F19130" s="2423"/>
    </row>
    <row r="19131" spans="6:6">
      <c r="F19131" s="2423"/>
    </row>
    <row r="19132" spans="6:6">
      <c r="F19132" s="2423"/>
    </row>
    <row r="19133" spans="6:6">
      <c r="F19133" s="2423"/>
    </row>
    <row r="19134" spans="6:6">
      <c r="F19134" s="2423"/>
    </row>
    <row r="19135" spans="6:6">
      <c r="F19135" s="2423"/>
    </row>
    <row r="19136" spans="6:6">
      <c r="F19136" s="2423"/>
    </row>
    <row r="19137" spans="6:6">
      <c r="F19137" s="2423"/>
    </row>
    <row r="19138" spans="6:6">
      <c r="F19138" s="2423"/>
    </row>
    <row r="19139" spans="6:6">
      <c r="F19139" s="2423"/>
    </row>
    <row r="19140" spans="6:6">
      <c r="F19140" s="2423"/>
    </row>
    <row r="19141" spans="6:6">
      <c r="F19141" s="2423"/>
    </row>
    <row r="19142" spans="6:6">
      <c r="F19142" s="2423"/>
    </row>
    <row r="19143" spans="6:6">
      <c r="F19143" s="2423"/>
    </row>
    <row r="19144" spans="6:6">
      <c r="F19144" s="2423"/>
    </row>
    <row r="19145" spans="6:6">
      <c r="F19145" s="2423"/>
    </row>
    <row r="19146" spans="6:6">
      <c r="F19146" s="2423"/>
    </row>
    <row r="19147" spans="6:6">
      <c r="F19147" s="2423"/>
    </row>
    <row r="19148" spans="6:6">
      <c r="F19148" s="2423"/>
    </row>
    <row r="19149" spans="6:6">
      <c r="F19149" s="2423"/>
    </row>
    <row r="19150" spans="6:6">
      <c r="F19150" s="2423"/>
    </row>
    <row r="19151" spans="6:6">
      <c r="F19151" s="2423"/>
    </row>
    <row r="19152" spans="6:6">
      <c r="F19152" s="2423"/>
    </row>
    <row r="19153" spans="6:6">
      <c r="F19153" s="2423"/>
    </row>
    <row r="19154" spans="6:6">
      <c r="F19154" s="2423"/>
    </row>
    <row r="19155" spans="6:6">
      <c r="F19155" s="2423"/>
    </row>
    <row r="19156" spans="6:6">
      <c r="F19156" s="2423"/>
    </row>
    <row r="19157" spans="6:6">
      <c r="F19157" s="2423"/>
    </row>
    <row r="19158" spans="6:6">
      <c r="F19158" s="2423"/>
    </row>
    <row r="19159" spans="6:6">
      <c r="F19159" s="2423"/>
    </row>
    <row r="19160" spans="6:6">
      <c r="F19160" s="2423"/>
    </row>
    <row r="19161" spans="6:6">
      <c r="F19161" s="2423"/>
    </row>
    <row r="19162" spans="6:6">
      <c r="F19162" s="2423"/>
    </row>
    <row r="19163" spans="6:6">
      <c r="F19163" s="2423"/>
    </row>
    <row r="19164" spans="6:6">
      <c r="F19164" s="2423"/>
    </row>
    <row r="19165" spans="6:6">
      <c r="F19165" s="2423"/>
    </row>
    <row r="19166" spans="6:6">
      <c r="F19166" s="2423"/>
    </row>
    <row r="19167" spans="6:6">
      <c r="F19167" s="2423"/>
    </row>
    <row r="19168" spans="6:6">
      <c r="F19168" s="2423"/>
    </row>
    <row r="19169" spans="6:6">
      <c r="F19169" s="2423"/>
    </row>
    <row r="19170" spans="6:6">
      <c r="F19170" s="2423"/>
    </row>
    <row r="19171" spans="6:6">
      <c r="F19171" s="2423"/>
    </row>
    <row r="19172" spans="6:6">
      <c r="F19172" s="2423"/>
    </row>
    <row r="19173" spans="6:6">
      <c r="F19173" s="2423"/>
    </row>
    <row r="19174" spans="6:6">
      <c r="F19174" s="2423"/>
    </row>
    <row r="19175" spans="6:6">
      <c r="F19175" s="2423"/>
    </row>
    <row r="19176" spans="6:6">
      <c r="F19176" s="2423"/>
    </row>
    <row r="19177" spans="6:6">
      <c r="F19177" s="2423"/>
    </row>
    <row r="19178" spans="6:6">
      <c r="F19178" s="2423"/>
    </row>
    <row r="19179" spans="6:6">
      <c r="F19179" s="2423"/>
    </row>
    <row r="19180" spans="6:6">
      <c r="F19180" s="2423"/>
    </row>
    <row r="19181" spans="6:6">
      <c r="F19181" s="2423"/>
    </row>
    <row r="19182" spans="6:6">
      <c r="F19182" s="2423"/>
    </row>
    <row r="19183" spans="6:6">
      <c r="F19183" s="2423"/>
    </row>
    <row r="19184" spans="6:6">
      <c r="F19184" s="2423"/>
    </row>
    <row r="19185" spans="6:6">
      <c r="F19185" s="2423"/>
    </row>
    <row r="19186" spans="6:6">
      <c r="F19186" s="2423"/>
    </row>
    <row r="19187" spans="6:6">
      <c r="F19187" s="2423"/>
    </row>
    <row r="19188" spans="6:6">
      <c r="F19188" s="2423"/>
    </row>
    <row r="19189" spans="6:6">
      <c r="F19189" s="2423"/>
    </row>
    <row r="19190" spans="6:6">
      <c r="F19190" s="2423"/>
    </row>
    <row r="19191" spans="6:6">
      <c r="F19191" s="2423"/>
    </row>
    <row r="19192" spans="6:6">
      <c r="F19192" s="2423"/>
    </row>
    <row r="19193" spans="6:6">
      <c r="F19193" s="2423"/>
    </row>
    <row r="19194" spans="6:6">
      <c r="F19194" s="2423"/>
    </row>
    <row r="19195" spans="6:6">
      <c r="F19195" s="2423"/>
    </row>
    <row r="19196" spans="6:6">
      <c r="F19196" s="2423"/>
    </row>
    <row r="19197" spans="6:6">
      <c r="F19197" s="2423"/>
    </row>
    <row r="19198" spans="6:6">
      <c r="F19198" s="2423"/>
    </row>
    <row r="19199" spans="6:6">
      <c r="F19199" s="2423"/>
    </row>
    <row r="19200" spans="6:6">
      <c r="F19200" s="2423"/>
    </row>
    <row r="19201" spans="6:6">
      <c r="F19201" s="2423"/>
    </row>
    <row r="19202" spans="6:6">
      <c r="F19202" s="2423"/>
    </row>
    <row r="19203" spans="6:6">
      <c r="F19203" s="2423"/>
    </row>
    <row r="19204" spans="6:6">
      <c r="F19204" s="2423"/>
    </row>
    <row r="19205" spans="6:6">
      <c r="F19205" s="2423"/>
    </row>
    <row r="19206" spans="6:6">
      <c r="F19206" s="2423"/>
    </row>
    <row r="19207" spans="6:6">
      <c r="F19207" s="2423"/>
    </row>
    <row r="19208" spans="6:6">
      <c r="F19208" s="2423"/>
    </row>
    <row r="19209" spans="6:6">
      <c r="F19209" s="2423"/>
    </row>
    <row r="19210" spans="6:6">
      <c r="F19210" s="2423"/>
    </row>
    <row r="19211" spans="6:6">
      <c r="F19211" s="2423"/>
    </row>
    <row r="19212" spans="6:6">
      <c r="F19212" s="2423"/>
    </row>
    <row r="19213" spans="6:6">
      <c r="F19213" s="2423"/>
    </row>
    <row r="19214" spans="6:6">
      <c r="F19214" s="2423"/>
    </row>
    <row r="19215" spans="6:6">
      <c r="F19215" s="2423"/>
    </row>
    <row r="19216" spans="6:6">
      <c r="F19216" s="2423"/>
    </row>
    <row r="19217" spans="6:6">
      <c r="F19217" s="2423"/>
    </row>
    <row r="19218" spans="6:6">
      <c r="F19218" s="2423"/>
    </row>
    <row r="19219" spans="6:6">
      <c r="F19219" s="2423"/>
    </row>
    <row r="19220" spans="6:6">
      <c r="F19220" s="2423"/>
    </row>
    <row r="19221" spans="6:6">
      <c r="F19221" s="2423"/>
    </row>
    <row r="19222" spans="6:6">
      <c r="F19222" s="2423"/>
    </row>
    <row r="19223" spans="6:6">
      <c r="F19223" s="2423"/>
    </row>
    <row r="19224" spans="6:6">
      <c r="F19224" s="2423"/>
    </row>
    <row r="19225" spans="6:6">
      <c r="F19225" s="2423"/>
    </row>
    <row r="19226" spans="6:6">
      <c r="F19226" s="2423"/>
    </row>
    <row r="19227" spans="6:6">
      <c r="F19227" s="2423"/>
    </row>
    <row r="19228" spans="6:6">
      <c r="F19228" s="2423"/>
    </row>
    <row r="19229" spans="6:6">
      <c r="F19229" s="2423"/>
    </row>
    <row r="19230" spans="6:6">
      <c r="F19230" s="2423"/>
    </row>
    <row r="19231" spans="6:6">
      <c r="F19231" s="2423"/>
    </row>
    <row r="19232" spans="6:6">
      <c r="F19232" s="2423"/>
    </row>
    <row r="19233" spans="6:6">
      <c r="F19233" s="2423"/>
    </row>
    <row r="19234" spans="6:6">
      <c r="F19234" s="2423"/>
    </row>
    <row r="19235" spans="6:6">
      <c r="F19235" s="2423"/>
    </row>
    <row r="19236" spans="6:6">
      <c r="F19236" s="2423"/>
    </row>
    <row r="19237" spans="6:6">
      <c r="F19237" s="2423"/>
    </row>
    <row r="19238" spans="6:6">
      <c r="F19238" s="2423"/>
    </row>
    <row r="19239" spans="6:6">
      <c r="F19239" s="2423"/>
    </row>
    <row r="19240" spans="6:6">
      <c r="F19240" s="2423"/>
    </row>
    <row r="19241" spans="6:6">
      <c r="F19241" s="2423"/>
    </row>
    <row r="19242" spans="6:6">
      <c r="F19242" s="2423"/>
    </row>
    <row r="19243" spans="6:6">
      <c r="F19243" s="2423"/>
    </row>
    <row r="19244" spans="6:6">
      <c r="F19244" s="2423"/>
    </row>
    <row r="19245" spans="6:6">
      <c r="F19245" s="2423"/>
    </row>
    <row r="19246" spans="6:6">
      <c r="F19246" s="2423"/>
    </row>
    <row r="19247" spans="6:6">
      <c r="F19247" s="2423"/>
    </row>
    <row r="19248" spans="6:6">
      <c r="F19248" s="2423"/>
    </row>
    <row r="19249" spans="6:6">
      <c r="F19249" s="2423"/>
    </row>
    <row r="19250" spans="6:6">
      <c r="F19250" s="2423"/>
    </row>
    <row r="19251" spans="6:6">
      <c r="F19251" s="2423"/>
    </row>
    <row r="19252" spans="6:6">
      <c r="F19252" s="2423"/>
    </row>
    <row r="19253" spans="6:6">
      <c r="F19253" s="2423"/>
    </row>
    <row r="19254" spans="6:6">
      <c r="F19254" s="2423"/>
    </row>
    <row r="19255" spans="6:6">
      <c r="F19255" s="2423"/>
    </row>
    <row r="19256" spans="6:6">
      <c r="F19256" s="2423"/>
    </row>
    <row r="19257" spans="6:6">
      <c r="F19257" s="2423"/>
    </row>
    <row r="19258" spans="6:6">
      <c r="F19258" s="2423"/>
    </row>
    <row r="19259" spans="6:6">
      <c r="F19259" s="2423"/>
    </row>
    <row r="19260" spans="6:6">
      <c r="F19260" s="2423"/>
    </row>
    <row r="19261" spans="6:6">
      <c r="F19261" s="2423"/>
    </row>
    <row r="19262" spans="6:6">
      <c r="F19262" s="2423"/>
    </row>
    <row r="19263" spans="6:6">
      <c r="F19263" s="2423"/>
    </row>
    <row r="19264" spans="6:6">
      <c r="F19264" s="2423"/>
    </row>
    <row r="19265" spans="6:6">
      <c r="F19265" s="2423"/>
    </row>
    <row r="19266" spans="6:6">
      <c r="F19266" s="2423"/>
    </row>
    <row r="19267" spans="6:6">
      <c r="F19267" s="2423"/>
    </row>
    <row r="19268" spans="6:6">
      <c r="F19268" s="2423"/>
    </row>
    <row r="19269" spans="6:6">
      <c r="F19269" s="2423"/>
    </row>
    <row r="19270" spans="6:6">
      <c r="F19270" s="2423"/>
    </row>
    <row r="19271" spans="6:6">
      <c r="F19271" s="2423"/>
    </row>
    <row r="19272" spans="6:6">
      <c r="F19272" s="2423"/>
    </row>
    <row r="19273" spans="6:6">
      <c r="F19273" s="2423"/>
    </row>
    <row r="19274" spans="6:6">
      <c r="F19274" s="2423"/>
    </row>
    <row r="19275" spans="6:6">
      <c r="F19275" s="2423"/>
    </row>
    <row r="19276" spans="6:6">
      <c r="F19276" s="2423"/>
    </row>
    <row r="19277" spans="6:6">
      <c r="F19277" s="2423"/>
    </row>
    <row r="19278" spans="6:6">
      <c r="F19278" s="2423"/>
    </row>
    <row r="19279" spans="6:6">
      <c r="F19279" s="2423"/>
    </row>
    <row r="19280" spans="6:6">
      <c r="F19280" s="2423"/>
    </row>
    <row r="19281" spans="6:6">
      <c r="F19281" s="2423"/>
    </row>
    <row r="19282" spans="6:6">
      <c r="F19282" s="2423"/>
    </row>
    <row r="19283" spans="6:6">
      <c r="F19283" s="2423"/>
    </row>
    <row r="19284" spans="6:6">
      <c r="F19284" s="2423"/>
    </row>
    <row r="19285" spans="6:6">
      <c r="F19285" s="2423"/>
    </row>
    <row r="19286" spans="6:6">
      <c r="F19286" s="2423"/>
    </row>
    <row r="19287" spans="6:6">
      <c r="F19287" s="2423"/>
    </row>
    <row r="19288" spans="6:6">
      <c r="F19288" s="2423"/>
    </row>
    <row r="19289" spans="6:6">
      <c r="F19289" s="2423"/>
    </row>
    <row r="19290" spans="6:6">
      <c r="F19290" s="2423"/>
    </row>
    <row r="19291" spans="6:6">
      <c r="F19291" s="2423"/>
    </row>
    <row r="19292" spans="6:6">
      <c r="F19292" s="2423"/>
    </row>
    <row r="19293" spans="6:6">
      <c r="F19293" s="2423"/>
    </row>
    <row r="19294" spans="6:6">
      <c r="F19294" s="2423"/>
    </row>
    <row r="19295" spans="6:6">
      <c r="F19295" s="2423"/>
    </row>
    <row r="19296" spans="6:6">
      <c r="F19296" s="2423"/>
    </row>
    <row r="19297" spans="6:6">
      <c r="F19297" s="2423"/>
    </row>
    <row r="19298" spans="6:6">
      <c r="F19298" s="2423"/>
    </row>
    <row r="19299" spans="6:6">
      <c r="F19299" s="2423"/>
    </row>
    <row r="19300" spans="6:6">
      <c r="F19300" s="2423"/>
    </row>
    <row r="19301" spans="6:6">
      <c r="F19301" s="2423"/>
    </row>
    <row r="19302" spans="6:6">
      <c r="F19302" s="2423"/>
    </row>
    <row r="19303" spans="6:6">
      <c r="F19303" s="2423"/>
    </row>
    <row r="19304" spans="6:6">
      <c r="F19304" s="2423"/>
    </row>
    <row r="19305" spans="6:6">
      <c r="F19305" s="2423"/>
    </row>
    <row r="19306" spans="6:6">
      <c r="F19306" s="2423"/>
    </row>
    <row r="19307" spans="6:6">
      <c r="F19307" s="2423"/>
    </row>
    <row r="19308" spans="6:6">
      <c r="F19308" s="2423"/>
    </row>
    <row r="19309" spans="6:6">
      <c r="F19309" s="2423"/>
    </row>
    <row r="19310" spans="6:6">
      <c r="F19310" s="2423"/>
    </row>
    <row r="19311" spans="6:6">
      <c r="F19311" s="2423"/>
    </row>
    <row r="19312" spans="6:6">
      <c r="F19312" s="2423"/>
    </row>
    <row r="19313" spans="6:6">
      <c r="F19313" s="2423"/>
    </row>
    <row r="19314" spans="6:6">
      <c r="F19314" s="2423"/>
    </row>
    <row r="19315" spans="6:6">
      <c r="F19315" s="2423"/>
    </row>
    <row r="19316" spans="6:6">
      <c r="F19316" s="2423"/>
    </row>
    <row r="19317" spans="6:6">
      <c r="F19317" s="2423"/>
    </row>
    <row r="19318" spans="6:6">
      <c r="F19318" s="2423"/>
    </row>
    <row r="19319" spans="6:6">
      <c r="F19319" s="2423"/>
    </row>
    <row r="19320" spans="6:6">
      <c r="F19320" s="2423"/>
    </row>
    <row r="19321" spans="6:6">
      <c r="F19321" s="2423"/>
    </row>
    <row r="19322" spans="6:6">
      <c r="F19322" s="2423"/>
    </row>
    <row r="19323" spans="6:6">
      <c r="F19323" s="2423"/>
    </row>
    <row r="19324" spans="6:6">
      <c r="F19324" s="2423"/>
    </row>
    <row r="19325" spans="6:6">
      <c r="F19325" s="2423"/>
    </row>
    <row r="19326" spans="6:6">
      <c r="F19326" s="2423"/>
    </row>
    <row r="19327" spans="6:6">
      <c r="F19327" s="2423"/>
    </row>
    <row r="19328" spans="6:6">
      <c r="F19328" s="2423"/>
    </row>
    <row r="19329" spans="6:6">
      <c r="F19329" s="2423"/>
    </row>
    <row r="19330" spans="6:6">
      <c r="F19330" s="2423"/>
    </row>
    <row r="19331" spans="6:6">
      <c r="F19331" s="2423"/>
    </row>
    <row r="19332" spans="6:6">
      <c r="F19332" s="2423"/>
    </row>
    <row r="19333" spans="6:6">
      <c r="F19333" s="2423"/>
    </row>
    <row r="19334" spans="6:6">
      <c r="F19334" s="2423"/>
    </row>
    <row r="19335" spans="6:6">
      <c r="F19335" s="2423"/>
    </row>
    <row r="19336" spans="6:6">
      <c r="F19336" s="2423"/>
    </row>
    <row r="19337" spans="6:6">
      <c r="F19337" s="2423"/>
    </row>
    <row r="19338" spans="6:6">
      <c r="F19338" s="2423"/>
    </row>
    <row r="19339" spans="6:6">
      <c r="F19339" s="2423"/>
    </row>
    <row r="19340" spans="6:6">
      <c r="F19340" s="2423"/>
    </row>
    <row r="19341" spans="6:6">
      <c r="F19341" s="2423"/>
    </row>
    <row r="19342" spans="6:6">
      <c r="F19342" s="2423"/>
    </row>
    <row r="19343" spans="6:6">
      <c r="F19343" s="2423"/>
    </row>
    <row r="19344" spans="6:6">
      <c r="F19344" s="2423"/>
    </row>
    <row r="19345" spans="6:6">
      <c r="F19345" s="2423"/>
    </row>
    <row r="19346" spans="6:6">
      <c r="F19346" s="2423"/>
    </row>
    <row r="19347" spans="6:6">
      <c r="F19347" s="2423"/>
    </row>
    <row r="19348" spans="6:6">
      <c r="F19348" s="2423"/>
    </row>
    <row r="19349" spans="6:6">
      <c r="F19349" s="2423"/>
    </row>
    <row r="19350" spans="6:6">
      <c r="F19350" s="2423"/>
    </row>
    <row r="19351" spans="6:6">
      <c r="F19351" s="2423"/>
    </row>
    <row r="19352" spans="6:6">
      <c r="F19352" s="2423"/>
    </row>
    <row r="19353" spans="6:6">
      <c r="F19353" s="2423"/>
    </row>
    <row r="19354" spans="6:6">
      <c r="F19354" s="2423"/>
    </row>
    <row r="19355" spans="6:6">
      <c r="F19355" s="2423"/>
    </row>
    <row r="19356" spans="6:6">
      <c r="F19356" s="2423"/>
    </row>
    <row r="19357" spans="6:6">
      <c r="F19357" s="2423"/>
    </row>
    <row r="19358" spans="6:6">
      <c r="F19358" s="2423"/>
    </row>
    <row r="19359" spans="6:6">
      <c r="F19359" s="2423"/>
    </row>
    <row r="19360" spans="6:6">
      <c r="F19360" s="2423"/>
    </row>
    <row r="19361" spans="6:6">
      <c r="F19361" s="2423"/>
    </row>
    <row r="19362" spans="6:6">
      <c r="F19362" s="2423"/>
    </row>
    <row r="19363" spans="6:6">
      <c r="F19363" s="2423"/>
    </row>
    <row r="19364" spans="6:6">
      <c r="F19364" s="2423"/>
    </row>
    <row r="19365" spans="6:6">
      <c r="F19365" s="2423"/>
    </row>
    <row r="19366" spans="6:6">
      <c r="F19366" s="2423"/>
    </row>
    <row r="19367" spans="6:6">
      <c r="F19367" s="2423"/>
    </row>
    <row r="19368" spans="6:6">
      <c r="F19368" s="2423"/>
    </row>
    <row r="19369" spans="6:6">
      <c r="F19369" s="2423"/>
    </row>
    <row r="19370" spans="6:6">
      <c r="F19370" s="2423"/>
    </row>
    <row r="19371" spans="6:6">
      <c r="F19371" s="2423"/>
    </row>
    <row r="19372" spans="6:6">
      <c r="F19372" s="2423"/>
    </row>
    <row r="19373" spans="6:6">
      <c r="F19373" s="2423"/>
    </row>
    <row r="19374" spans="6:6">
      <c r="F19374" s="2423"/>
    </row>
    <row r="19375" spans="6:6">
      <c r="F19375" s="2423"/>
    </row>
    <row r="19376" spans="6:6">
      <c r="F19376" s="2423"/>
    </row>
    <row r="19377" spans="6:6">
      <c r="F19377" s="2423"/>
    </row>
    <row r="19378" spans="6:6">
      <c r="F19378" s="2423"/>
    </row>
    <row r="19379" spans="6:6">
      <c r="F19379" s="2423"/>
    </row>
    <row r="19380" spans="6:6">
      <c r="F19380" s="2423"/>
    </row>
    <row r="19381" spans="6:6">
      <c r="F19381" s="2423"/>
    </row>
    <row r="19382" spans="6:6">
      <c r="F19382" s="2423"/>
    </row>
    <row r="19383" spans="6:6">
      <c r="F19383" s="2423"/>
    </row>
    <row r="19384" spans="6:6">
      <c r="F19384" s="2423"/>
    </row>
    <row r="19385" spans="6:6">
      <c r="F19385" s="2423"/>
    </row>
    <row r="19386" spans="6:6">
      <c r="F19386" s="2423"/>
    </row>
    <row r="19387" spans="6:6">
      <c r="F19387" s="2423"/>
    </row>
    <row r="19388" spans="6:6">
      <c r="F19388" s="2423"/>
    </row>
    <row r="19389" spans="6:6">
      <c r="F19389" s="2423"/>
    </row>
    <row r="19390" spans="6:6">
      <c r="F19390" s="2423"/>
    </row>
    <row r="19391" spans="6:6">
      <c r="F19391" s="2423"/>
    </row>
    <row r="19392" spans="6:6">
      <c r="F19392" s="2423"/>
    </row>
    <row r="19393" spans="6:6">
      <c r="F19393" s="2423"/>
    </row>
    <row r="19394" spans="6:6">
      <c r="F19394" s="2423"/>
    </row>
    <row r="19395" spans="6:6">
      <c r="F19395" s="2423"/>
    </row>
    <row r="19396" spans="6:6">
      <c r="F19396" s="2423"/>
    </row>
    <row r="19397" spans="6:6">
      <c r="F19397" s="2423"/>
    </row>
    <row r="19398" spans="6:6">
      <c r="F19398" s="2423"/>
    </row>
    <row r="19399" spans="6:6">
      <c r="F19399" s="2423"/>
    </row>
    <row r="19400" spans="6:6">
      <c r="F19400" s="2423"/>
    </row>
    <row r="19401" spans="6:6">
      <c r="F19401" s="2423"/>
    </row>
    <row r="19402" spans="6:6">
      <c r="F19402" s="2423"/>
    </row>
    <row r="19403" spans="6:6">
      <c r="F19403" s="2423"/>
    </row>
    <row r="19404" spans="6:6">
      <c r="F19404" s="2423"/>
    </row>
    <row r="19405" spans="6:6">
      <c r="F19405" s="2423"/>
    </row>
    <row r="19406" spans="6:6">
      <c r="F19406" s="2423"/>
    </row>
    <row r="19407" spans="6:6">
      <c r="F19407" s="2423"/>
    </row>
    <row r="19408" spans="6:6">
      <c r="F19408" s="2423"/>
    </row>
    <row r="19409" spans="6:6">
      <c r="F19409" s="2423"/>
    </row>
    <row r="19410" spans="6:6">
      <c r="F19410" s="2423"/>
    </row>
    <row r="19411" spans="6:6">
      <c r="F19411" s="2423"/>
    </row>
    <row r="19412" spans="6:6">
      <c r="F19412" s="2423"/>
    </row>
    <row r="19413" spans="6:6">
      <c r="F19413" s="2423"/>
    </row>
    <row r="19414" spans="6:6">
      <c r="F19414" s="2423"/>
    </row>
    <row r="19415" spans="6:6">
      <c r="F19415" s="2423"/>
    </row>
    <row r="19416" spans="6:6">
      <c r="F19416" s="2423"/>
    </row>
    <row r="19417" spans="6:6">
      <c r="F19417" s="2423"/>
    </row>
    <row r="19418" spans="6:6">
      <c r="F19418" s="2423"/>
    </row>
    <row r="19419" spans="6:6">
      <c r="F19419" s="2423"/>
    </row>
    <row r="19420" spans="6:6">
      <c r="F19420" s="2423"/>
    </row>
    <row r="19421" spans="6:6">
      <c r="F19421" s="2423"/>
    </row>
    <row r="19422" spans="6:6">
      <c r="F19422" s="2423"/>
    </row>
    <row r="19423" spans="6:6">
      <c r="F19423" s="2423"/>
    </row>
    <row r="19424" spans="6:6">
      <c r="F19424" s="2423"/>
    </row>
    <row r="19425" spans="6:6">
      <c r="F19425" s="2423"/>
    </row>
    <row r="19426" spans="6:6">
      <c r="F19426" s="2423"/>
    </row>
    <row r="19427" spans="6:6">
      <c r="F19427" s="2423"/>
    </row>
    <row r="19428" spans="6:6">
      <c r="F19428" s="2423"/>
    </row>
    <row r="19429" spans="6:6">
      <c r="F19429" s="2423"/>
    </row>
    <row r="19430" spans="6:6">
      <c r="F19430" s="2423"/>
    </row>
    <row r="19431" spans="6:6">
      <c r="F19431" s="2423"/>
    </row>
    <row r="19432" spans="6:6">
      <c r="F19432" s="2423"/>
    </row>
    <row r="19433" spans="6:6">
      <c r="F19433" s="2423"/>
    </row>
    <row r="19434" spans="6:6">
      <c r="F19434" s="2423"/>
    </row>
    <row r="19435" spans="6:6">
      <c r="F19435" s="2423"/>
    </row>
    <row r="19436" spans="6:6">
      <c r="F19436" s="2423"/>
    </row>
    <row r="19437" spans="6:6">
      <c r="F19437" s="2423"/>
    </row>
    <row r="19438" spans="6:6">
      <c r="F19438" s="2423"/>
    </row>
    <row r="19439" spans="6:6">
      <c r="F19439" s="2423"/>
    </row>
    <row r="19440" spans="6:6">
      <c r="F19440" s="2423"/>
    </row>
    <row r="19441" spans="6:6">
      <c r="F19441" s="2423"/>
    </row>
    <row r="19442" spans="6:6">
      <c r="F19442" s="2423"/>
    </row>
    <row r="19443" spans="6:6">
      <c r="F19443" s="2423"/>
    </row>
    <row r="19444" spans="6:6">
      <c r="F19444" s="2423"/>
    </row>
    <row r="19445" spans="6:6">
      <c r="F19445" s="2423"/>
    </row>
    <row r="19446" spans="6:6">
      <c r="F19446" s="2423"/>
    </row>
    <row r="19447" spans="6:6">
      <c r="F19447" s="2423"/>
    </row>
    <row r="19448" spans="6:6">
      <c r="F19448" s="2423"/>
    </row>
    <row r="19449" spans="6:6">
      <c r="F19449" s="2423"/>
    </row>
    <row r="19450" spans="6:6">
      <c r="F19450" s="2423"/>
    </row>
    <row r="19451" spans="6:6">
      <c r="F19451" s="2423"/>
    </row>
    <row r="19452" spans="6:6">
      <c r="F19452" s="2423"/>
    </row>
    <row r="19453" spans="6:6">
      <c r="F19453" s="2423"/>
    </row>
    <row r="19454" spans="6:6">
      <c r="F19454" s="2423"/>
    </row>
    <row r="19455" spans="6:6">
      <c r="F19455" s="2423"/>
    </row>
    <row r="19456" spans="6:6">
      <c r="F19456" s="2423"/>
    </row>
    <row r="19457" spans="6:6">
      <c r="F19457" s="2423"/>
    </row>
    <row r="19458" spans="6:6">
      <c r="F19458" s="2423"/>
    </row>
    <row r="19459" spans="6:6">
      <c r="F19459" s="2423"/>
    </row>
    <row r="19460" spans="6:6">
      <c r="F19460" s="2423"/>
    </row>
    <row r="19461" spans="6:6">
      <c r="F19461" s="2423"/>
    </row>
    <row r="19462" spans="6:6">
      <c r="F19462" s="2423"/>
    </row>
    <row r="19463" spans="6:6">
      <c r="F19463" s="2423"/>
    </row>
    <row r="19464" spans="6:6">
      <c r="F19464" s="2423"/>
    </row>
    <row r="19465" spans="6:6">
      <c r="F19465" s="2423"/>
    </row>
    <row r="19466" spans="6:6">
      <c r="F19466" s="2423"/>
    </row>
    <row r="19467" spans="6:6">
      <c r="F19467" s="2423"/>
    </row>
    <row r="19468" spans="6:6">
      <c r="F19468" s="2423"/>
    </row>
    <row r="19469" spans="6:6">
      <c r="F19469" s="2423"/>
    </row>
    <row r="19470" spans="6:6">
      <c r="F19470" s="2423"/>
    </row>
    <row r="19471" spans="6:6">
      <c r="F19471" s="2423"/>
    </row>
    <row r="19472" spans="6:6">
      <c r="F19472" s="2423"/>
    </row>
    <row r="19473" spans="6:6">
      <c r="F19473" s="2423"/>
    </row>
    <row r="19474" spans="6:6">
      <c r="F19474" s="2423"/>
    </row>
    <row r="19475" spans="6:6">
      <c r="F19475" s="2423"/>
    </row>
    <row r="19476" spans="6:6">
      <c r="F19476" s="2423"/>
    </row>
    <row r="19477" spans="6:6">
      <c r="F19477" s="2423"/>
    </row>
    <row r="19478" spans="6:6">
      <c r="F19478" s="2423"/>
    </row>
    <row r="19479" spans="6:6">
      <c r="F19479" s="2423"/>
    </row>
    <row r="19480" spans="6:6">
      <c r="F19480" s="2423"/>
    </row>
    <row r="19481" spans="6:6">
      <c r="F19481" s="2423"/>
    </row>
    <row r="19482" spans="6:6">
      <c r="F19482" s="2423"/>
    </row>
    <row r="19483" spans="6:6">
      <c r="F19483" s="2423"/>
    </row>
    <row r="19484" spans="6:6">
      <c r="F19484" s="2423"/>
    </row>
    <row r="19485" spans="6:6">
      <c r="F19485" s="2423"/>
    </row>
    <row r="19486" spans="6:6">
      <c r="F19486" s="2423"/>
    </row>
    <row r="19487" spans="6:6">
      <c r="F19487" s="2423"/>
    </row>
    <row r="19488" spans="6:6">
      <c r="F19488" s="2423"/>
    </row>
    <row r="19489" spans="6:6">
      <c r="F19489" s="2423"/>
    </row>
    <row r="19490" spans="6:6">
      <c r="F19490" s="2423"/>
    </row>
    <row r="19491" spans="6:6">
      <c r="F19491" s="2423"/>
    </row>
    <row r="19492" spans="6:6">
      <c r="F19492" s="2423"/>
    </row>
    <row r="19493" spans="6:6">
      <c r="F19493" s="2423"/>
    </row>
    <row r="19494" spans="6:6">
      <c r="F19494" s="2423"/>
    </row>
    <row r="19495" spans="6:6">
      <c r="F19495" s="2423"/>
    </row>
    <row r="19496" spans="6:6">
      <c r="F19496" s="2423"/>
    </row>
    <row r="19497" spans="6:6">
      <c r="F19497" s="2423"/>
    </row>
    <row r="19498" spans="6:6">
      <c r="F19498" s="2423"/>
    </row>
    <row r="19499" spans="6:6">
      <c r="F19499" s="2423"/>
    </row>
    <row r="19500" spans="6:6">
      <c r="F19500" s="2423"/>
    </row>
    <row r="19501" spans="6:6">
      <c r="F19501" s="2423"/>
    </row>
    <row r="19502" spans="6:6">
      <c r="F19502" s="2423"/>
    </row>
    <row r="19503" spans="6:6">
      <c r="F19503" s="2423"/>
    </row>
    <row r="19504" spans="6:6">
      <c r="F19504" s="2423"/>
    </row>
    <row r="19505" spans="6:6">
      <c r="F19505" s="2423"/>
    </row>
    <row r="19506" spans="6:6">
      <c r="F19506" s="2423"/>
    </row>
    <row r="19507" spans="6:6">
      <c r="F19507" s="2423"/>
    </row>
    <row r="19508" spans="6:6">
      <c r="F19508" s="2423"/>
    </row>
    <row r="19509" spans="6:6">
      <c r="F19509" s="2423"/>
    </row>
    <row r="19510" spans="6:6">
      <c r="F19510" s="2423"/>
    </row>
    <row r="19511" spans="6:6">
      <c r="F19511" s="2423"/>
    </row>
    <row r="19512" spans="6:6">
      <c r="F19512" s="2423"/>
    </row>
    <row r="19513" spans="6:6">
      <c r="F19513" s="2423"/>
    </row>
    <row r="19514" spans="6:6">
      <c r="F19514" s="2423"/>
    </row>
    <row r="19515" spans="6:6">
      <c r="F19515" s="2423"/>
    </row>
    <row r="19516" spans="6:6">
      <c r="F19516" s="2423"/>
    </row>
    <row r="19517" spans="6:6">
      <c r="F19517" s="2423"/>
    </row>
    <row r="19518" spans="6:6">
      <c r="F19518" s="2423"/>
    </row>
    <row r="19519" spans="6:6">
      <c r="F19519" s="2423"/>
    </row>
    <row r="19520" spans="6:6">
      <c r="F19520" s="2423"/>
    </row>
    <row r="19521" spans="6:6">
      <c r="F19521" s="2423"/>
    </row>
    <row r="19522" spans="6:6">
      <c r="F19522" s="2423"/>
    </row>
    <row r="19523" spans="6:6">
      <c r="F19523" s="2423"/>
    </row>
    <row r="19524" spans="6:6">
      <c r="F19524" s="2423"/>
    </row>
    <row r="19525" spans="6:6">
      <c r="F19525" s="2423"/>
    </row>
    <row r="19526" spans="6:6">
      <c r="F19526" s="2423"/>
    </row>
    <row r="19527" spans="6:6">
      <c r="F19527" s="2423"/>
    </row>
    <row r="19528" spans="6:6">
      <c r="F19528" s="2423"/>
    </row>
    <row r="19529" spans="6:6">
      <c r="F19529" s="2423"/>
    </row>
    <row r="19530" spans="6:6">
      <c r="F19530" s="2423"/>
    </row>
    <row r="19531" spans="6:6">
      <c r="F19531" s="2423"/>
    </row>
    <row r="19532" spans="6:6">
      <c r="F19532" s="2423"/>
    </row>
    <row r="19533" spans="6:6">
      <c r="F19533" s="2423"/>
    </row>
    <row r="19534" spans="6:6">
      <c r="F19534" s="2423"/>
    </row>
    <row r="19535" spans="6:6">
      <c r="F19535" s="2423"/>
    </row>
    <row r="19536" spans="6:6">
      <c r="F19536" s="2423"/>
    </row>
    <row r="19537" spans="6:6">
      <c r="F19537" s="2423"/>
    </row>
    <row r="19538" spans="6:6">
      <c r="F19538" s="2423"/>
    </row>
    <row r="19539" spans="6:6">
      <c r="F19539" s="2423"/>
    </row>
    <row r="19540" spans="6:6">
      <c r="F19540" s="2423"/>
    </row>
    <row r="19541" spans="6:6">
      <c r="F19541" s="2423"/>
    </row>
    <row r="19542" spans="6:6">
      <c r="F19542" s="2423"/>
    </row>
    <row r="19543" spans="6:6">
      <c r="F19543" s="2423"/>
    </row>
    <row r="19544" spans="6:6">
      <c r="F19544" s="2423"/>
    </row>
    <row r="19545" spans="6:6">
      <c r="F19545" s="2423"/>
    </row>
    <row r="19546" spans="6:6">
      <c r="F19546" s="2423"/>
    </row>
    <row r="19547" spans="6:6">
      <c r="F19547" s="2423"/>
    </row>
    <row r="19548" spans="6:6">
      <c r="F19548" s="2423"/>
    </row>
    <row r="19549" spans="6:6">
      <c r="F19549" s="2423"/>
    </row>
    <row r="19550" spans="6:6">
      <c r="F19550" s="2423"/>
    </row>
    <row r="19551" spans="6:6">
      <c r="F19551" s="2423"/>
    </row>
    <row r="19552" spans="6:6">
      <c r="F19552" s="2423"/>
    </row>
    <row r="19553" spans="6:6">
      <c r="F19553" s="2423"/>
    </row>
    <row r="19554" spans="6:6">
      <c r="F19554" s="2423"/>
    </row>
    <row r="19555" spans="6:6">
      <c r="F19555" s="2423"/>
    </row>
    <row r="19556" spans="6:6">
      <c r="F19556" s="2423"/>
    </row>
    <row r="19557" spans="6:6">
      <c r="F19557" s="2423"/>
    </row>
    <row r="19558" spans="6:6">
      <c r="F19558" s="2423"/>
    </row>
    <row r="19559" spans="6:6">
      <c r="F19559" s="2423"/>
    </row>
    <row r="19560" spans="6:6">
      <c r="F19560" s="2423"/>
    </row>
    <row r="19561" spans="6:6">
      <c r="F19561" s="2423"/>
    </row>
    <row r="19562" spans="6:6">
      <c r="F19562" s="2423"/>
    </row>
    <row r="19563" spans="6:6">
      <c r="F19563" s="2423"/>
    </row>
    <row r="19564" spans="6:6">
      <c r="F19564" s="2423"/>
    </row>
    <row r="19565" spans="6:6">
      <c r="F19565" s="2423"/>
    </row>
    <row r="19566" spans="6:6">
      <c r="F19566" s="2423"/>
    </row>
    <row r="19567" spans="6:6">
      <c r="F19567" s="2423"/>
    </row>
    <row r="19568" spans="6:6">
      <c r="F19568" s="2423"/>
    </row>
    <row r="19569" spans="6:6">
      <c r="F19569" s="2423"/>
    </row>
    <row r="19570" spans="6:6">
      <c r="F19570" s="2423"/>
    </row>
    <row r="19571" spans="6:6">
      <c r="F19571" s="2423"/>
    </row>
    <row r="19572" spans="6:6">
      <c r="F19572" s="2423"/>
    </row>
    <row r="19573" spans="6:6">
      <c r="F19573" s="2423"/>
    </row>
    <row r="19574" spans="6:6">
      <c r="F19574" s="2423"/>
    </row>
    <row r="19575" spans="6:6">
      <c r="F19575" s="2423"/>
    </row>
    <row r="19576" spans="6:6">
      <c r="F19576" s="2423"/>
    </row>
    <row r="19577" spans="6:6">
      <c r="F19577" s="2423"/>
    </row>
    <row r="19578" spans="6:6">
      <c r="F19578" s="2423"/>
    </row>
    <row r="19579" spans="6:6">
      <c r="F19579" s="2423"/>
    </row>
    <row r="19580" spans="6:6">
      <c r="F19580" s="2423"/>
    </row>
    <row r="19581" spans="6:6">
      <c r="F19581" s="2423"/>
    </row>
    <row r="19582" spans="6:6">
      <c r="F19582" s="2423"/>
    </row>
    <row r="19583" spans="6:6">
      <c r="F19583" s="2423"/>
    </row>
    <row r="19584" spans="6:6">
      <c r="F19584" s="2423"/>
    </row>
    <row r="19585" spans="6:6">
      <c r="F19585" s="2423"/>
    </row>
    <row r="19586" spans="6:6">
      <c r="F19586" s="2423"/>
    </row>
    <row r="19587" spans="6:6">
      <c r="F19587" s="2423"/>
    </row>
    <row r="19588" spans="6:6">
      <c r="F19588" s="2423"/>
    </row>
    <row r="19589" spans="6:6">
      <c r="F19589" s="2423"/>
    </row>
    <row r="19590" spans="6:6">
      <c r="F19590" s="2423"/>
    </row>
    <row r="19591" spans="6:6">
      <c r="F19591" s="2423"/>
    </row>
    <row r="19592" spans="6:6">
      <c r="F19592" s="2423"/>
    </row>
    <row r="19593" spans="6:6">
      <c r="F19593" s="2423"/>
    </row>
    <row r="19594" spans="6:6">
      <c r="F19594" s="2423"/>
    </row>
    <row r="19595" spans="6:6">
      <c r="F19595" s="2423"/>
    </row>
    <row r="19596" spans="6:6">
      <c r="F19596" s="2423"/>
    </row>
    <row r="19597" spans="6:6">
      <c r="F19597" s="2423"/>
    </row>
    <row r="19598" spans="6:6">
      <c r="F19598" s="2423"/>
    </row>
    <row r="19599" spans="6:6">
      <c r="F19599" s="2423"/>
    </row>
    <row r="19600" spans="6:6">
      <c r="F19600" s="2423"/>
    </row>
    <row r="19601" spans="6:6">
      <c r="F19601" s="2423"/>
    </row>
    <row r="19602" spans="6:6">
      <c r="F19602" s="2423"/>
    </row>
    <row r="19603" spans="6:6">
      <c r="F19603" s="2423"/>
    </row>
    <row r="19604" spans="6:6">
      <c r="F19604" s="2423"/>
    </row>
    <row r="19605" spans="6:6">
      <c r="F19605" s="2423"/>
    </row>
    <row r="19606" spans="6:6">
      <c r="F19606" s="2423"/>
    </row>
    <row r="19607" spans="6:6">
      <c r="F19607" s="2423"/>
    </row>
    <row r="19608" spans="6:6">
      <c r="F19608" s="2423"/>
    </row>
    <row r="19609" spans="6:6">
      <c r="F19609" s="2423"/>
    </row>
    <row r="19610" spans="6:6">
      <c r="F19610" s="2423"/>
    </row>
    <row r="19611" spans="6:6">
      <c r="F19611" s="2423"/>
    </row>
    <row r="19612" spans="6:6">
      <c r="F19612" s="2423"/>
    </row>
    <row r="19613" spans="6:6">
      <c r="F19613" s="2423"/>
    </row>
    <row r="19614" spans="6:6">
      <c r="F19614" s="2423"/>
    </row>
    <row r="19615" spans="6:6">
      <c r="F19615" s="2423"/>
    </row>
    <row r="19616" spans="6:6">
      <c r="F19616" s="2423"/>
    </row>
    <row r="19617" spans="6:6">
      <c r="F19617" s="2423"/>
    </row>
    <row r="19618" spans="6:6">
      <c r="F19618" s="2423"/>
    </row>
    <row r="19619" spans="6:6">
      <c r="F19619" s="2423"/>
    </row>
    <row r="19620" spans="6:6">
      <c r="F19620" s="2423"/>
    </row>
    <row r="19621" spans="6:6">
      <c r="F19621" s="2423"/>
    </row>
    <row r="19622" spans="6:6">
      <c r="F19622" s="2423"/>
    </row>
    <row r="19623" spans="6:6">
      <c r="F19623" s="2423"/>
    </row>
    <row r="19624" spans="6:6">
      <c r="F19624" s="2423"/>
    </row>
    <row r="19625" spans="6:6">
      <c r="F19625" s="2423"/>
    </row>
    <row r="19626" spans="6:6">
      <c r="F19626" s="2423"/>
    </row>
    <row r="19627" spans="6:6">
      <c r="F19627" s="2423"/>
    </row>
    <row r="19628" spans="6:6">
      <c r="F19628" s="2423"/>
    </row>
    <row r="19629" spans="6:6">
      <c r="F19629" s="2423"/>
    </row>
    <row r="19630" spans="6:6">
      <c r="F19630" s="2423"/>
    </row>
    <row r="19631" spans="6:6">
      <c r="F19631" s="2423"/>
    </row>
    <row r="19632" spans="6:6">
      <c r="F19632" s="2423"/>
    </row>
    <row r="19633" spans="6:6">
      <c r="F19633" s="2423"/>
    </row>
    <row r="19634" spans="6:6">
      <c r="F19634" s="2423"/>
    </row>
    <row r="19635" spans="6:6">
      <c r="F19635" s="2423"/>
    </row>
    <row r="19636" spans="6:6">
      <c r="F19636" s="2423"/>
    </row>
    <row r="19637" spans="6:6">
      <c r="F19637" s="2423"/>
    </row>
    <row r="19638" spans="6:6">
      <c r="F19638" s="2423"/>
    </row>
    <row r="19639" spans="6:6">
      <c r="F19639" s="2423"/>
    </row>
    <row r="19640" spans="6:6">
      <c r="F19640" s="2423"/>
    </row>
    <row r="19641" spans="6:6">
      <c r="F19641" s="2423"/>
    </row>
    <row r="19642" spans="6:6">
      <c r="F19642" s="2423"/>
    </row>
    <row r="19643" spans="6:6">
      <c r="F19643" s="2423"/>
    </row>
    <row r="19644" spans="6:6">
      <c r="F19644" s="2423"/>
    </row>
    <row r="19645" spans="6:6">
      <c r="F19645" s="2423"/>
    </row>
    <row r="19646" spans="6:6">
      <c r="F19646" s="2423"/>
    </row>
    <row r="19647" spans="6:6">
      <c r="F19647" s="2423"/>
    </row>
    <row r="19648" spans="6:6">
      <c r="F19648" s="2423"/>
    </row>
    <row r="19649" spans="6:6">
      <c r="F19649" s="2423"/>
    </row>
    <row r="19650" spans="6:6">
      <c r="F19650" s="2423"/>
    </row>
    <row r="19651" spans="6:6">
      <c r="F19651" s="2423"/>
    </row>
    <row r="19652" spans="6:6">
      <c r="F19652" s="2423"/>
    </row>
    <row r="19653" spans="6:6">
      <c r="F19653" s="2423"/>
    </row>
    <row r="19654" spans="6:6">
      <c r="F19654" s="2423"/>
    </row>
    <row r="19655" spans="6:6">
      <c r="F19655" s="2423"/>
    </row>
    <row r="19656" spans="6:6">
      <c r="F19656" s="2423"/>
    </row>
    <row r="19657" spans="6:6">
      <c r="F19657" s="2423"/>
    </row>
    <row r="19658" spans="6:6">
      <c r="F19658" s="2423"/>
    </row>
    <row r="19659" spans="6:6">
      <c r="F19659" s="2423"/>
    </row>
    <row r="19660" spans="6:6">
      <c r="F19660" s="2423"/>
    </row>
    <row r="19661" spans="6:6">
      <c r="F19661" s="2423"/>
    </row>
    <row r="19662" spans="6:6">
      <c r="F19662" s="2423"/>
    </row>
    <row r="19663" spans="6:6">
      <c r="F19663" s="2423"/>
    </row>
    <row r="19664" spans="6:6">
      <c r="F19664" s="2423"/>
    </row>
    <row r="19665" spans="6:6">
      <c r="F19665" s="2423"/>
    </row>
    <row r="19666" spans="6:6">
      <c r="F19666" s="2423"/>
    </row>
    <row r="19667" spans="6:6">
      <c r="F19667" s="2423"/>
    </row>
    <row r="19668" spans="6:6">
      <c r="F19668" s="2423"/>
    </row>
    <row r="19669" spans="6:6">
      <c r="F19669" s="2423"/>
    </row>
    <row r="19670" spans="6:6">
      <c r="F19670" s="2423"/>
    </row>
    <row r="19671" spans="6:6">
      <c r="F19671" s="2423"/>
    </row>
    <row r="19672" spans="6:6">
      <c r="F19672" s="2423"/>
    </row>
    <row r="19673" spans="6:6">
      <c r="F19673" s="2423"/>
    </row>
    <row r="19674" spans="6:6">
      <c r="F19674" s="2423"/>
    </row>
    <row r="19675" spans="6:6">
      <c r="F19675" s="2423"/>
    </row>
    <row r="19676" spans="6:6">
      <c r="F19676" s="2423"/>
    </row>
    <row r="19677" spans="6:6">
      <c r="F19677" s="2423"/>
    </row>
    <row r="19678" spans="6:6">
      <c r="F19678" s="2423"/>
    </row>
    <row r="19679" spans="6:6">
      <c r="F19679" s="2423"/>
    </row>
    <row r="19680" spans="6:6">
      <c r="F19680" s="2423"/>
    </row>
    <row r="19681" spans="6:6">
      <c r="F19681" s="2423"/>
    </row>
    <row r="19682" spans="6:6">
      <c r="F19682" s="2423"/>
    </row>
    <row r="19683" spans="6:6">
      <c r="F19683" s="2423"/>
    </row>
    <row r="19684" spans="6:6">
      <c r="F19684" s="2423"/>
    </row>
    <row r="19685" spans="6:6">
      <c r="F19685" s="2423"/>
    </row>
    <row r="19686" spans="6:6">
      <c r="F19686" s="2423"/>
    </row>
    <row r="19687" spans="6:6">
      <c r="F19687" s="2423"/>
    </row>
    <row r="19688" spans="6:6">
      <c r="F19688" s="2423"/>
    </row>
    <row r="19689" spans="6:6">
      <c r="F19689" s="2423"/>
    </row>
    <row r="19690" spans="6:6">
      <c r="F19690" s="2423"/>
    </row>
    <row r="19691" spans="6:6">
      <c r="F19691" s="2423"/>
    </row>
    <row r="19692" spans="6:6">
      <c r="F19692" s="2423"/>
    </row>
    <row r="19693" spans="6:6">
      <c r="F19693" s="2423"/>
    </row>
    <row r="19694" spans="6:6">
      <c r="F19694" s="2423"/>
    </row>
    <row r="19695" spans="6:6">
      <c r="F19695" s="2423"/>
    </row>
    <row r="19696" spans="6:6">
      <c r="F19696" s="2423"/>
    </row>
    <row r="19697" spans="6:6">
      <c r="F19697" s="2423"/>
    </row>
    <row r="19698" spans="6:6">
      <c r="F19698" s="2423"/>
    </row>
    <row r="19699" spans="6:6">
      <c r="F19699" s="2423"/>
    </row>
    <row r="19700" spans="6:6">
      <c r="F19700" s="2423"/>
    </row>
    <row r="19701" spans="6:6">
      <c r="F19701" s="2423"/>
    </row>
    <row r="19702" spans="6:6">
      <c r="F19702" s="2423"/>
    </row>
    <row r="19703" spans="6:6">
      <c r="F19703" s="2423"/>
    </row>
    <row r="19704" spans="6:6">
      <c r="F19704" s="2423"/>
    </row>
    <row r="19705" spans="6:6">
      <c r="F19705" s="2423"/>
    </row>
    <row r="19706" spans="6:6">
      <c r="F19706" s="2423"/>
    </row>
    <row r="19707" spans="6:6">
      <c r="F19707" s="2423"/>
    </row>
    <row r="19708" spans="6:6">
      <c r="F19708" s="2423"/>
    </row>
    <row r="19709" spans="6:6">
      <c r="F19709" s="2423"/>
    </row>
    <row r="19710" spans="6:6">
      <c r="F19710" s="2423"/>
    </row>
    <row r="19711" spans="6:6">
      <c r="F19711" s="2423"/>
    </row>
    <row r="19712" spans="6:6">
      <c r="F19712" s="2423"/>
    </row>
    <row r="19713" spans="6:6">
      <c r="F19713" s="2423"/>
    </row>
    <row r="19714" spans="6:6">
      <c r="F19714" s="2423"/>
    </row>
    <row r="19715" spans="6:6">
      <c r="F19715" s="2423"/>
    </row>
    <row r="19716" spans="6:6">
      <c r="F19716" s="2423"/>
    </row>
    <row r="19717" spans="6:6">
      <c r="F19717" s="2423"/>
    </row>
    <row r="19718" spans="6:6">
      <c r="F19718" s="2423"/>
    </row>
    <row r="19719" spans="6:6">
      <c r="F19719" s="2423"/>
    </row>
    <row r="19720" spans="6:6">
      <c r="F19720" s="2423"/>
    </row>
    <row r="19721" spans="6:6">
      <c r="F19721" s="2423"/>
    </row>
    <row r="19722" spans="6:6">
      <c r="F19722" s="2423"/>
    </row>
    <row r="19723" spans="6:6">
      <c r="F19723" s="2423"/>
    </row>
    <row r="19724" spans="6:6">
      <c r="F19724" s="2423"/>
    </row>
    <row r="19725" spans="6:6">
      <c r="F19725" s="2423"/>
    </row>
    <row r="19726" spans="6:6">
      <c r="F19726" s="2423"/>
    </row>
    <row r="19727" spans="6:6">
      <c r="F19727" s="2423"/>
    </row>
    <row r="19728" spans="6:6">
      <c r="F19728" s="2423"/>
    </row>
    <row r="19729" spans="6:6">
      <c r="F19729" s="2423"/>
    </row>
    <row r="19730" spans="6:6">
      <c r="F19730" s="2423"/>
    </row>
    <row r="19731" spans="6:6">
      <c r="F19731" s="2423"/>
    </row>
    <row r="19732" spans="6:6">
      <c r="F19732" s="2423"/>
    </row>
    <row r="19733" spans="6:6">
      <c r="F19733" s="2423"/>
    </row>
    <row r="19734" spans="6:6">
      <c r="F19734" s="2423"/>
    </row>
    <row r="19735" spans="6:6">
      <c r="F19735" s="2423"/>
    </row>
    <row r="19736" spans="6:6">
      <c r="F19736" s="2423"/>
    </row>
    <row r="19737" spans="6:6">
      <c r="F19737" s="2423"/>
    </row>
    <row r="19738" spans="6:6">
      <c r="F19738" s="2423"/>
    </row>
    <row r="19739" spans="6:6">
      <c r="F19739" s="2423"/>
    </row>
    <row r="19740" spans="6:6">
      <c r="F19740" s="2423"/>
    </row>
    <row r="19741" spans="6:6">
      <c r="F19741" s="2423"/>
    </row>
    <row r="19742" spans="6:6">
      <c r="F19742" s="2423"/>
    </row>
    <row r="19743" spans="6:6">
      <c r="F19743" s="2423"/>
    </row>
    <row r="19744" spans="6:6">
      <c r="F19744" s="2423"/>
    </row>
    <row r="19745" spans="6:6">
      <c r="F19745" s="2423"/>
    </row>
    <row r="19746" spans="6:6">
      <c r="F19746" s="2423"/>
    </row>
    <row r="19747" spans="6:6">
      <c r="F19747" s="2423"/>
    </row>
    <row r="19748" spans="6:6">
      <c r="F19748" s="2423"/>
    </row>
    <row r="19749" spans="6:6">
      <c r="F19749" s="2423"/>
    </row>
    <row r="19750" spans="6:6">
      <c r="F19750" s="2423"/>
    </row>
    <row r="19751" spans="6:6">
      <c r="F19751" s="2423"/>
    </row>
    <row r="19752" spans="6:6">
      <c r="F19752" s="2423"/>
    </row>
    <row r="19753" spans="6:6">
      <c r="F19753" s="2423"/>
    </row>
    <row r="19754" spans="6:6">
      <c r="F19754" s="2423"/>
    </row>
    <row r="19755" spans="6:6">
      <c r="F19755" s="2423"/>
    </row>
    <row r="19756" spans="6:6">
      <c r="F19756" s="2423"/>
    </row>
    <row r="19757" spans="6:6">
      <c r="F19757" s="2423"/>
    </row>
    <row r="19758" spans="6:6">
      <c r="F19758" s="2423"/>
    </row>
    <row r="19759" spans="6:6">
      <c r="F19759" s="2423"/>
    </row>
    <row r="19760" spans="6:6">
      <c r="F19760" s="2423"/>
    </row>
    <row r="19761" spans="6:6">
      <c r="F19761" s="2423"/>
    </row>
    <row r="19762" spans="6:6">
      <c r="F19762" s="2423"/>
    </row>
    <row r="19763" spans="6:6">
      <c r="F19763" s="2423"/>
    </row>
    <row r="19764" spans="6:6">
      <c r="F19764" s="2423"/>
    </row>
    <row r="19765" spans="6:6">
      <c r="F19765" s="2423"/>
    </row>
    <row r="19766" spans="6:6">
      <c r="F19766" s="2423"/>
    </row>
    <row r="19767" spans="6:6">
      <c r="F19767" s="2423"/>
    </row>
    <row r="19768" spans="6:6">
      <c r="F19768" s="2423"/>
    </row>
    <row r="19769" spans="6:6">
      <c r="F19769" s="2423"/>
    </row>
    <row r="19770" spans="6:6">
      <c r="F19770" s="2423"/>
    </row>
    <row r="19771" spans="6:6">
      <c r="F19771" s="2423"/>
    </row>
    <row r="19772" spans="6:6">
      <c r="F19772" s="2423"/>
    </row>
    <row r="19773" spans="6:6">
      <c r="F19773" s="2423"/>
    </row>
    <row r="19774" spans="6:6">
      <c r="F19774" s="2423"/>
    </row>
    <row r="19775" spans="6:6">
      <c r="F19775" s="2423"/>
    </row>
    <row r="19776" spans="6:6">
      <c r="F19776" s="2423"/>
    </row>
    <row r="19777" spans="6:6">
      <c r="F19777" s="2423"/>
    </row>
    <row r="19778" spans="6:6">
      <c r="F19778" s="2423"/>
    </row>
    <row r="19779" spans="6:6">
      <c r="F19779" s="2423"/>
    </row>
    <row r="19780" spans="6:6">
      <c r="F19780" s="2423"/>
    </row>
    <row r="19781" spans="6:6">
      <c r="F19781" s="2423"/>
    </row>
    <row r="19782" spans="6:6">
      <c r="F19782" s="2423"/>
    </row>
    <row r="19783" spans="6:6">
      <c r="F19783" s="2423"/>
    </row>
    <row r="19784" spans="6:6">
      <c r="F19784" s="2423"/>
    </row>
    <row r="19785" spans="6:6">
      <c r="F19785" s="2423"/>
    </row>
    <row r="19786" spans="6:6">
      <c r="F19786" s="2423"/>
    </row>
    <row r="19787" spans="6:6">
      <c r="F19787" s="2423"/>
    </row>
    <row r="19788" spans="6:6">
      <c r="F19788" s="2423"/>
    </row>
    <row r="19789" spans="6:6">
      <c r="F19789" s="2423"/>
    </row>
    <row r="19790" spans="6:6">
      <c r="F19790" s="2423"/>
    </row>
    <row r="19791" spans="6:6">
      <c r="F19791" s="2423"/>
    </row>
    <row r="19792" spans="6:6">
      <c r="F19792" s="2423"/>
    </row>
    <row r="19793" spans="6:6">
      <c r="F19793" s="2423"/>
    </row>
    <row r="19794" spans="6:6">
      <c r="F19794" s="2423"/>
    </row>
    <row r="19795" spans="6:6">
      <c r="F19795" s="2423"/>
    </row>
    <row r="19796" spans="6:6">
      <c r="F19796" s="2423"/>
    </row>
    <row r="19797" spans="6:6">
      <c r="F19797" s="2423"/>
    </row>
    <row r="19798" spans="6:6">
      <c r="F19798" s="2423"/>
    </row>
    <row r="19799" spans="6:6">
      <c r="F19799" s="2423"/>
    </row>
    <row r="19800" spans="6:6">
      <c r="F19800" s="2423"/>
    </row>
    <row r="19801" spans="6:6">
      <c r="F19801" s="2423"/>
    </row>
    <row r="19802" spans="6:6">
      <c r="F19802" s="2423"/>
    </row>
    <row r="19803" spans="6:6">
      <c r="F19803" s="2423"/>
    </row>
    <row r="19804" spans="6:6">
      <c r="F19804" s="2423"/>
    </row>
    <row r="19805" spans="6:6">
      <c r="F19805" s="2423"/>
    </row>
    <row r="19806" spans="6:6">
      <c r="F19806" s="2423"/>
    </row>
    <row r="19807" spans="6:6">
      <c r="F19807" s="2423"/>
    </row>
    <row r="19808" spans="6:6">
      <c r="F19808" s="2423"/>
    </row>
    <row r="19809" spans="6:6">
      <c r="F19809" s="2423"/>
    </row>
    <row r="19810" spans="6:6">
      <c r="F19810" s="2423"/>
    </row>
    <row r="19811" spans="6:6">
      <c r="F19811" s="2423"/>
    </row>
    <row r="19812" spans="6:6">
      <c r="F19812" s="2423"/>
    </row>
    <row r="19813" spans="6:6">
      <c r="F19813" s="2423"/>
    </row>
    <row r="19814" spans="6:6">
      <c r="F19814" s="2423"/>
    </row>
    <row r="19815" spans="6:6">
      <c r="F19815" s="2423"/>
    </row>
    <row r="19816" spans="6:6">
      <c r="F19816" s="2423"/>
    </row>
    <row r="19817" spans="6:6">
      <c r="F19817" s="2423"/>
    </row>
    <row r="19818" spans="6:6">
      <c r="F19818" s="2423"/>
    </row>
    <row r="19819" spans="6:6">
      <c r="F19819" s="2423"/>
    </row>
    <row r="19820" spans="6:6">
      <c r="F19820" s="2423"/>
    </row>
    <row r="19821" spans="6:6">
      <c r="F19821" s="2423"/>
    </row>
    <row r="19822" spans="6:6">
      <c r="F19822" s="2423"/>
    </row>
    <row r="19823" spans="6:6">
      <c r="F19823" s="2423"/>
    </row>
    <row r="19824" spans="6:6">
      <c r="F19824" s="2423"/>
    </row>
    <row r="19825" spans="6:6">
      <c r="F19825" s="2423"/>
    </row>
    <row r="19826" spans="6:6">
      <c r="F19826" s="2423"/>
    </row>
    <row r="19827" spans="6:6">
      <c r="F19827" s="2423"/>
    </row>
    <row r="19828" spans="6:6">
      <c r="F19828" s="2423"/>
    </row>
    <row r="19829" spans="6:6">
      <c r="F19829" s="2423"/>
    </row>
    <row r="19830" spans="6:6">
      <c r="F19830" s="2423"/>
    </row>
    <row r="19831" spans="6:6">
      <c r="F19831" s="2423"/>
    </row>
    <row r="19832" spans="6:6">
      <c r="F19832" s="2423"/>
    </row>
    <row r="19833" spans="6:6">
      <c r="F19833" s="2423"/>
    </row>
    <row r="19834" spans="6:6">
      <c r="F19834" s="2423"/>
    </row>
    <row r="19835" spans="6:6">
      <c r="F19835" s="2423"/>
    </row>
    <row r="19836" spans="6:6">
      <c r="F19836" s="2423"/>
    </row>
    <row r="19837" spans="6:6">
      <c r="F19837" s="2423"/>
    </row>
    <row r="19838" spans="6:6">
      <c r="F19838" s="2423"/>
    </row>
    <row r="19839" spans="6:6">
      <c r="F19839" s="2423"/>
    </row>
    <row r="19840" spans="6:6">
      <c r="F19840" s="2423"/>
    </row>
    <row r="19841" spans="6:6">
      <c r="F19841" s="2423"/>
    </row>
    <row r="19842" spans="6:6">
      <c r="F19842" s="2423"/>
    </row>
    <row r="19843" spans="6:6">
      <c r="F19843" s="2423"/>
    </row>
    <row r="19844" spans="6:6">
      <c r="F19844" s="2423"/>
    </row>
    <row r="19845" spans="6:6">
      <c r="F19845" s="2423"/>
    </row>
    <row r="19846" spans="6:6">
      <c r="F19846" s="2423"/>
    </row>
    <row r="19847" spans="6:6">
      <c r="F19847" s="2423"/>
    </row>
    <row r="19848" spans="6:6">
      <c r="F19848" s="2423"/>
    </row>
    <row r="19849" spans="6:6">
      <c r="F19849" s="2423"/>
    </row>
    <row r="19850" spans="6:6">
      <c r="F19850" s="2423"/>
    </row>
    <row r="19851" spans="6:6">
      <c r="F19851" s="2423"/>
    </row>
    <row r="19852" spans="6:6">
      <c r="F19852" s="2423"/>
    </row>
    <row r="19853" spans="6:6">
      <c r="F19853" s="2423"/>
    </row>
    <row r="19854" spans="6:6">
      <c r="F19854" s="2423"/>
    </row>
    <row r="19855" spans="6:6">
      <c r="F19855" s="2423"/>
    </row>
    <row r="19856" spans="6:6">
      <c r="F19856" s="2423"/>
    </row>
    <row r="19857" spans="6:6">
      <c r="F19857" s="2423"/>
    </row>
    <row r="19858" spans="6:6">
      <c r="F19858" s="2423"/>
    </row>
    <row r="19859" spans="6:6">
      <c r="F19859" s="2423"/>
    </row>
    <row r="19860" spans="6:6">
      <c r="F19860" s="2423"/>
    </row>
    <row r="19861" spans="6:6">
      <c r="F19861" s="2423"/>
    </row>
    <row r="19862" spans="6:6">
      <c r="F19862" s="2423"/>
    </row>
    <row r="19863" spans="6:6">
      <c r="F19863" s="2423"/>
    </row>
    <row r="19864" spans="6:6">
      <c r="F19864" s="2423"/>
    </row>
    <row r="19865" spans="6:6">
      <c r="F19865" s="2423"/>
    </row>
    <row r="19866" spans="6:6">
      <c r="F19866" s="2423"/>
    </row>
    <row r="19867" spans="6:6">
      <c r="F19867" s="2423"/>
    </row>
    <row r="19868" spans="6:6">
      <c r="F19868" s="2423"/>
    </row>
    <row r="19869" spans="6:6">
      <c r="F19869" s="2423"/>
    </row>
    <row r="19870" spans="6:6">
      <c r="F19870" s="2423"/>
    </row>
    <row r="19871" spans="6:6">
      <c r="F19871" s="2423"/>
    </row>
    <row r="19872" spans="6:6">
      <c r="F19872" s="2423"/>
    </row>
    <row r="19873" spans="6:6">
      <c r="F19873" s="2423"/>
    </row>
    <row r="19874" spans="6:6">
      <c r="F19874" s="2423"/>
    </row>
    <row r="19875" spans="6:6">
      <c r="F19875" s="2423"/>
    </row>
    <row r="19876" spans="6:6">
      <c r="F19876" s="2423"/>
    </row>
    <row r="19877" spans="6:6">
      <c r="F19877" s="2423"/>
    </row>
    <row r="19878" spans="6:6">
      <c r="F19878" s="2423"/>
    </row>
    <row r="19879" spans="6:6">
      <c r="F19879" s="2423"/>
    </row>
    <row r="19880" spans="6:6">
      <c r="F19880" s="2423"/>
    </row>
    <row r="19881" spans="6:6">
      <c r="F19881" s="2423"/>
    </row>
    <row r="19882" spans="6:6">
      <c r="F19882" s="2423"/>
    </row>
    <row r="19883" spans="6:6">
      <c r="F19883" s="2423"/>
    </row>
    <row r="19884" spans="6:6">
      <c r="F19884" s="2423"/>
    </row>
    <row r="19885" spans="6:6">
      <c r="F19885" s="2423"/>
    </row>
    <row r="19886" spans="6:6">
      <c r="F19886" s="2423"/>
    </row>
    <row r="19887" spans="6:6">
      <c r="F19887" s="2423"/>
    </row>
    <row r="19888" spans="6:6">
      <c r="F19888" s="2423"/>
    </row>
    <row r="19889" spans="6:6">
      <c r="F19889" s="2423"/>
    </row>
    <row r="19890" spans="6:6">
      <c r="F19890" s="2423"/>
    </row>
    <row r="19891" spans="6:6">
      <c r="F19891" s="2423"/>
    </row>
    <row r="19892" spans="6:6">
      <c r="F19892" s="2423"/>
    </row>
    <row r="19893" spans="6:6">
      <c r="F19893" s="2423"/>
    </row>
    <row r="19894" spans="6:6">
      <c r="F19894" s="2423"/>
    </row>
    <row r="19895" spans="6:6">
      <c r="F19895" s="2423"/>
    </row>
    <row r="19896" spans="6:6">
      <c r="F19896" s="2423"/>
    </row>
    <row r="19897" spans="6:6">
      <c r="F19897" s="2423"/>
    </row>
    <row r="19898" spans="6:6">
      <c r="F19898" s="2423"/>
    </row>
    <row r="19899" spans="6:6">
      <c r="F19899" s="2423"/>
    </row>
    <row r="19900" spans="6:6">
      <c r="F19900" s="2423"/>
    </row>
    <row r="19901" spans="6:6">
      <c r="F19901" s="2423"/>
    </row>
    <row r="19902" spans="6:6">
      <c r="F19902" s="2423"/>
    </row>
    <row r="19903" spans="6:6">
      <c r="F19903" s="2423"/>
    </row>
    <row r="19904" spans="6:6">
      <c r="F19904" s="2423"/>
    </row>
    <row r="19905" spans="6:6">
      <c r="F19905" s="2423"/>
    </row>
    <row r="19906" spans="6:6">
      <c r="F19906" s="2423"/>
    </row>
    <row r="19907" spans="6:6">
      <c r="F19907" s="2423"/>
    </row>
    <row r="19908" spans="6:6">
      <c r="F19908" s="2423"/>
    </row>
    <row r="19909" spans="6:6">
      <c r="F19909" s="2423"/>
    </row>
    <row r="19910" spans="6:6">
      <c r="F19910" s="2423"/>
    </row>
    <row r="19911" spans="6:6">
      <c r="F19911" s="2423"/>
    </row>
    <row r="19912" spans="6:6">
      <c r="F19912" s="2423"/>
    </row>
    <row r="19913" spans="6:6">
      <c r="F19913" s="2423"/>
    </row>
    <row r="19914" spans="6:6">
      <c r="F19914" s="2423"/>
    </row>
    <row r="19915" spans="6:6">
      <c r="F19915" s="2423"/>
    </row>
    <row r="19916" spans="6:6">
      <c r="F19916" s="2423"/>
    </row>
    <row r="19917" spans="6:6">
      <c r="F19917" s="2423"/>
    </row>
    <row r="19918" spans="6:6">
      <c r="F19918" s="2423"/>
    </row>
    <row r="19919" spans="6:6">
      <c r="F19919" s="2423"/>
    </row>
    <row r="19920" spans="6:6">
      <c r="F19920" s="2423"/>
    </row>
    <row r="19921" spans="6:6">
      <c r="F19921" s="2423"/>
    </row>
    <row r="19922" spans="6:6">
      <c r="F19922" s="2423"/>
    </row>
    <row r="19923" spans="6:6">
      <c r="F19923" s="2423"/>
    </row>
    <row r="19924" spans="6:6">
      <c r="F19924" s="2423"/>
    </row>
    <row r="19925" spans="6:6">
      <c r="F19925" s="2423"/>
    </row>
    <row r="19926" spans="6:6">
      <c r="F19926" s="2423"/>
    </row>
    <row r="19927" spans="6:6">
      <c r="F19927" s="2423"/>
    </row>
    <row r="19928" spans="6:6">
      <c r="F19928" s="2423"/>
    </row>
    <row r="19929" spans="6:6">
      <c r="F19929" s="2423"/>
    </row>
    <row r="19930" spans="6:6">
      <c r="F19930" s="2423"/>
    </row>
    <row r="19931" spans="6:6">
      <c r="F19931" s="2423"/>
    </row>
    <row r="19932" spans="6:6">
      <c r="F19932" s="2423"/>
    </row>
    <row r="19933" spans="6:6">
      <c r="F19933" s="2423"/>
    </row>
    <row r="19934" spans="6:6">
      <c r="F19934" s="2423"/>
    </row>
    <row r="19935" spans="6:6">
      <c r="F19935" s="2423"/>
    </row>
    <row r="19936" spans="6:6">
      <c r="F19936" s="2423"/>
    </row>
    <row r="19937" spans="6:6">
      <c r="F19937" s="2423"/>
    </row>
    <row r="19938" spans="6:6">
      <c r="F19938" s="2423"/>
    </row>
    <row r="19939" spans="6:6">
      <c r="F19939" s="2423"/>
    </row>
    <row r="19940" spans="6:6">
      <c r="F19940" s="2423"/>
    </row>
    <row r="19941" spans="6:6">
      <c r="F19941" s="2423"/>
    </row>
    <row r="19942" spans="6:6">
      <c r="F19942" s="2423"/>
    </row>
    <row r="19943" spans="6:6">
      <c r="F19943" s="2423"/>
    </row>
    <row r="19944" spans="6:6">
      <c r="F19944" s="2423"/>
    </row>
    <row r="19945" spans="6:6">
      <c r="F19945" s="2423"/>
    </row>
    <row r="19946" spans="6:6">
      <c r="F19946" s="2423"/>
    </row>
    <row r="19947" spans="6:6">
      <c r="F19947" s="2423"/>
    </row>
    <row r="19948" spans="6:6">
      <c r="F19948" s="2423"/>
    </row>
    <row r="19949" spans="6:6">
      <c r="F19949" s="2423"/>
    </row>
    <row r="19950" spans="6:6">
      <c r="F19950" s="2423"/>
    </row>
    <row r="19951" spans="6:6">
      <c r="F19951" s="2423"/>
    </row>
    <row r="19952" spans="6:6">
      <c r="F19952" s="2423"/>
    </row>
    <row r="19953" spans="6:6">
      <c r="F19953" s="2423"/>
    </row>
    <row r="19954" spans="6:6">
      <c r="F19954" s="2423"/>
    </row>
    <row r="19955" spans="6:6">
      <c r="F19955" s="2423"/>
    </row>
    <row r="19956" spans="6:6">
      <c r="F19956" s="2423"/>
    </row>
    <row r="19957" spans="6:6">
      <c r="F19957" s="2423"/>
    </row>
    <row r="19958" spans="6:6">
      <c r="F19958" s="2423"/>
    </row>
    <row r="19959" spans="6:6">
      <c r="F19959" s="2423"/>
    </row>
    <row r="19960" spans="6:6">
      <c r="F19960" s="2423"/>
    </row>
    <row r="19961" spans="6:6">
      <c r="F19961" s="2423"/>
    </row>
    <row r="19962" spans="6:6">
      <c r="F19962" s="2423"/>
    </row>
    <row r="19963" spans="6:6">
      <c r="F19963" s="2423"/>
    </row>
    <row r="19964" spans="6:6">
      <c r="F19964" s="2423"/>
    </row>
    <row r="19965" spans="6:6">
      <c r="F19965" s="2423"/>
    </row>
    <row r="19966" spans="6:6">
      <c r="F19966" s="2423"/>
    </row>
    <row r="19967" spans="6:6">
      <c r="F19967" s="2423"/>
    </row>
    <row r="19968" spans="6:6">
      <c r="F19968" s="2423"/>
    </row>
    <row r="19969" spans="6:6">
      <c r="F19969" s="2423"/>
    </row>
    <row r="19970" spans="6:6">
      <c r="F19970" s="2423"/>
    </row>
    <row r="19971" spans="6:6">
      <c r="F19971" s="2423"/>
    </row>
    <row r="19972" spans="6:6">
      <c r="F19972" s="2423"/>
    </row>
    <row r="19973" spans="6:6">
      <c r="F19973" s="2423"/>
    </row>
    <row r="19974" spans="6:6">
      <c r="F19974" s="2423"/>
    </row>
    <row r="19975" spans="6:6">
      <c r="F19975" s="2423"/>
    </row>
    <row r="19976" spans="6:6">
      <c r="F19976" s="2423"/>
    </row>
    <row r="19977" spans="6:6">
      <c r="F19977" s="2423"/>
    </row>
    <row r="19978" spans="6:6">
      <c r="F19978" s="2423"/>
    </row>
    <row r="19979" spans="6:6">
      <c r="F19979" s="2423"/>
    </row>
    <row r="19980" spans="6:6">
      <c r="F19980" s="2423"/>
    </row>
    <row r="19981" spans="6:6">
      <c r="F19981" s="2423"/>
    </row>
    <row r="19982" spans="6:6">
      <c r="F19982" s="2423"/>
    </row>
    <row r="19983" spans="6:6">
      <c r="F19983" s="2423"/>
    </row>
    <row r="19984" spans="6:6">
      <c r="F19984" s="2423"/>
    </row>
    <row r="19985" spans="6:6">
      <c r="F19985" s="2423"/>
    </row>
    <row r="19986" spans="6:6">
      <c r="F19986" s="2423"/>
    </row>
    <row r="19987" spans="6:6">
      <c r="F19987" s="2423"/>
    </row>
    <row r="19988" spans="6:6">
      <c r="F19988" s="2423"/>
    </row>
    <row r="19989" spans="6:6">
      <c r="F19989" s="2423"/>
    </row>
    <row r="19990" spans="6:6">
      <c r="F19990" s="2423"/>
    </row>
    <row r="19991" spans="6:6">
      <c r="F19991" s="2423"/>
    </row>
    <row r="19992" spans="6:6">
      <c r="F19992" s="2423"/>
    </row>
    <row r="19993" spans="6:6">
      <c r="F19993" s="2423"/>
    </row>
    <row r="19994" spans="6:6">
      <c r="F19994" s="2423"/>
    </row>
    <row r="19995" spans="6:6">
      <c r="F19995" s="2423"/>
    </row>
    <row r="19996" spans="6:6">
      <c r="F19996" s="2423"/>
    </row>
    <row r="19997" spans="6:6">
      <c r="F19997" s="2423"/>
    </row>
    <row r="19998" spans="6:6">
      <c r="F19998" s="2423"/>
    </row>
    <row r="19999" spans="6:6">
      <c r="F19999" s="2423"/>
    </row>
    <row r="20000" spans="6:6">
      <c r="F20000" s="2423"/>
    </row>
    <row r="20001" spans="6:6">
      <c r="F20001" s="2423"/>
    </row>
    <row r="20002" spans="6:6">
      <c r="F20002" s="2423"/>
    </row>
    <row r="20003" spans="6:6">
      <c r="F20003" s="2423"/>
    </row>
    <row r="20004" spans="6:6">
      <c r="F20004" s="2423"/>
    </row>
    <row r="20005" spans="6:6">
      <c r="F20005" s="2423"/>
    </row>
    <row r="20006" spans="6:6">
      <c r="F20006" s="2423"/>
    </row>
    <row r="20007" spans="6:6">
      <c r="F20007" s="2423"/>
    </row>
    <row r="20008" spans="6:6">
      <c r="F20008" s="2423"/>
    </row>
    <row r="20009" spans="6:6">
      <c r="F20009" s="2423"/>
    </row>
    <row r="20010" spans="6:6">
      <c r="F20010" s="2423"/>
    </row>
    <row r="20011" spans="6:6">
      <c r="F20011" s="2423"/>
    </row>
    <row r="20012" spans="6:6">
      <c r="F20012" s="2423"/>
    </row>
    <row r="20013" spans="6:6">
      <c r="F20013" s="2423"/>
    </row>
    <row r="20014" spans="6:6">
      <c r="F20014" s="2423"/>
    </row>
    <row r="20015" spans="6:6">
      <c r="F20015" s="2423"/>
    </row>
    <row r="20016" spans="6:6">
      <c r="F20016" s="2423"/>
    </row>
    <row r="20017" spans="6:6">
      <c r="F20017" s="2423"/>
    </row>
    <row r="20018" spans="6:6">
      <c r="F20018" s="2423"/>
    </row>
    <row r="20019" spans="6:6">
      <c r="F20019" s="2423"/>
    </row>
    <row r="20020" spans="6:6">
      <c r="F20020" s="2423"/>
    </row>
    <row r="20021" spans="6:6">
      <c r="F20021" s="2423"/>
    </row>
    <row r="20022" spans="6:6">
      <c r="F20022" s="2423"/>
    </row>
    <row r="20023" spans="6:6">
      <c r="F20023" s="2423"/>
    </row>
    <row r="20024" spans="6:6">
      <c r="F20024" s="2423"/>
    </row>
    <row r="20025" spans="6:6">
      <c r="F20025" s="2423"/>
    </row>
    <row r="20026" spans="6:6">
      <c r="F20026" s="2423"/>
    </row>
    <row r="20027" spans="6:6">
      <c r="F20027" s="2423"/>
    </row>
    <row r="20028" spans="6:6">
      <c r="F20028" s="2423"/>
    </row>
    <row r="20029" spans="6:6">
      <c r="F20029" s="2423"/>
    </row>
    <row r="20030" spans="6:6">
      <c r="F20030" s="2423"/>
    </row>
    <row r="20031" spans="6:6">
      <c r="F20031" s="2423"/>
    </row>
    <row r="20032" spans="6:6">
      <c r="F20032" s="2423"/>
    </row>
    <row r="20033" spans="6:6">
      <c r="F20033" s="2423"/>
    </row>
    <row r="20034" spans="6:6">
      <c r="F20034" s="2423"/>
    </row>
    <row r="20035" spans="6:6">
      <c r="F20035" s="2423"/>
    </row>
    <row r="20036" spans="6:6">
      <c r="F20036" s="2423"/>
    </row>
    <row r="20037" spans="6:6">
      <c r="F20037" s="2423"/>
    </row>
    <row r="20038" spans="6:6">
      <c r="F20038" s="2423"/>
    </row>
    <row r="20039" spans="6:6">
      <c r="F20039" s="2423"/>
    </row>
    <row r="20040" spans="6:6">
      <c r="F20040" s="2423"/>
    </row>
    <row r="20041" spans="6:6">
      <c r="F20041" s="2423"/>
    </row>
    <row r="20042" spans="6:6">
      <c r="F20042" s="2423"/>
    </row>
    <row r="20043" spans="6:6">
      <c r="F20043" s="2423"/>
    </row>
    <row r="20044" spans="6:6">
      <c r="F20044" s="2423"/>
    </row>
    <row r="20045" spans="6:6">
      <c r="F20045" s="2423"/>
    </row>
    <row r="20046" spans="6:6">
      <c r="F20046" s="2423"/>
    </row>
    <row r="20047" spans="6:6">
      <c r="F20047" s="2423"/>
    </row>
    <row r="20048" spans="6:6">
      <c r="F20048" s="2423"/>
    </row>
    <row r="20049" spans="6:6">
      <c r="F20049" s="2423"/>
    </row>
    <row r="20050" spans="6:6">
      <c r="F20050" s="2423"/>
    </row>
    <row r="20051" spans="6:6">
      <c r="F20051" s="2423"/>
    </row>
    <row r="20052" spans="6:6">
      <c r="F20052" s="2423"/>
    </row>
    <row r="20053" spans="6:6">
      <c r="F20053" s="2423"/>
    </row>
    <row r="20054" spans="6:6">
      <c r="F20054" s="2423"/>
    </row>
    <row r="20055" spans="6:6">
      <c r="F20055" s="2423"/>
    </row>
    <row r="20056" spans="6:6">
      <c r="F20056" s="2423"/>
    </row>
    <row r="20057" spans="6:6">
      <c r="F20057" s="2423"/>
    </row>
    <row r="20058" spans="6:6">
      <c r="F20058" s="2423"/>
    </row>
    <row r="20059" spans="6:6">
      <c r="F20059" s="2423"/>
    </row>
    <row r="20060" spans="6:6">
      <c r="F20060" s="2423"/>
    </row>
    <row r="20061" spans="6:6">
      <c r="F20061" s="2423"/>
    </row>
    <row r="20062" spans="6:6">
      <c r="F20062" s="2423"/>
    </row>
    <row r="20063" spans="6:6">
      <c r="F20063" s="2423"/>
    </row>
    <row r="20064" spans="6:6">
      <c r="F20064" s="2423"/>
    </row>
    <row r="20065" spans="6:6">
      <c r="F20065" s="2423"/>
    </row>
    <row r="20066" spans="6:6">
      <c r="F20066" s="2423"/>
    </row>
    <row r="20067" spans="6:6">
      <c r="F20067" s="2423"/>
    </row>
    <row r="20068" spans="6:6">
      <c r="F20068" s="2423"/>
    </row>
    <row r="20069" spans="6:6">
      <c r="F20069" s="2423"/>
    </row>
    <row r="20070" spans="6:6">
      <c r="F20070" s="2423"/>
    </row>
    <row r="20071" spans="6:6">
      <c r="F20071" s="2423"/>
    </row>
    <row r="20072" spans="6:6">
      <c r="F20072" s="2423"/>
    </row>
    <row r="20073" spans="6:6">
      <c r="F20073" s="2423"/>
    </row>
    <row r="20074" spans="6:6">
      <c r="F20074" s="2423"/>
    </row>
    <row r="20075" spans="6:6">
      <c r="F20075" s="2423"/>
    </row>
    <row r="20076" spans="6:6">
      <c r="F20076" s="2423"/>
    </row>
    <row r="20077" spans="6:6">
      <c r="F20077" s="2423"/>
    </row>
    <row r="20078" spans="6:6">
      <c r="F20078" s="2423"/>
    </row>
    <row r="20079" spans="6:6">
      <c r="F20079" s="2423"/>
    </row>
    <row r="20080" spans="6:6">
      <c r="F20080" s="2423"/>
    </row>
    <row r="20081" spans="6:6">
      <c r="F20081" s="2423"/>
    </row>
    <row r="20082" spans="6:6">
      <c r="F20082" s="2423"/>
    </row>
    <row r="20083" spans="6:6">
      <c r="F20083" s="2423"/>
    </row>
    <row r="20084" spans="6:6">
      <c r="F20084" s="2423"/>
    </row>
    <row r="20085" spans="6:6">
      <c r="F20085" s="2423"/>
    </row>
    <row r="20086" spans="6:6">
      <c r="F20086" s="2423"/>
    </row>
    <row r="20087" spans="6:6">
      <c r="F20087" s="2423"/>
    </row>
    <row r="20088" spans="6:6">
      <c r="F20088" s="2423"/>
    </row>
    <row r="20089" spans="6:6">
      <c r="F20089" s="2423"/>
    </row>
    <row r="20090" spans="6:6">
      <c r="F20090" s="2423"/>
    </row>
    <row r="20091" spans="6:6">
      <c r="F20091" s="2423"/>
    </row>
    <row r="20092" spans="6:6">
      <c r="F20092" s="2423"/>
    </row>
    <row r="20093" spans="6:6">
      <c r="F20093" s="2423"/>
    </row>
    <row r="20094" spans="6:6">
      <c r="F20094" s="2423"/>
    </row>
    <row r="20095" spans="6:6">
      <c r="F20095" s="2423"/>
    </row>
    <row r="20096" spans="6:6">
      <c r="F20096" s="2423"/>
    </row>
    <row r="20097" spans="6:6">
      <c r="F20097" s="2423"/>
    </row>
    <row r="20098" spans="6:6">
      <c r="F20098" s="2423"/>
    </row>
    <row r="20099" spans="6:6">
      <c r="F20099" s="2423"/>
    </row>
    <row r="20100" spans="6:6">
      <c r="F20100" s="2423"/>
    </row>
    <row r="20101" spans="6:6">
      <c r="F20101" s="2423"/>
    </row>
    <row r="20102" spans="6:6">
      <c r="F20102" s="2423"/>
    </row>
    <row r="20103" spans="6:6">
      <c r="F20103" s="2423"/>
    </row>
    <row r="20104" spans="6:6">
      <c r="F20104" s="2423"/>
    </row>
    <row r="20105" spans="6:6">
      <c r="F20105" s="2423"/>
    </row>
    <row r="20106" spans="6:6">
      <c r="F20106" s="2423"/>
    </row>
    <row r="20107" spans="6:6">
      <c r="F20107" s="2423"/>
    </row>
    <row r="20108" spans="6:6">
      <c r="F20108" s="2423"/>
    </row>
    <row r="20109" spans="6:6">
      <c r="F20109" s="2423"/>
    </row>
    <row r="20110" spans="6:6">
      <c r="F20110" s="2423"/>
    </row>
    <row r="20111" spans="6:6">
      <c r="F20111" s="2423"/>
    </row>
    <row r="20112" spans="6:6">
      <c r="F20112" s="2423"/>
    </row>
    <row r="20113" spans="6:6">
      <c r="F20113" s="2423"/>
    </row>
    <row r="20114" spans="6:6">
      <c r="F20114" s="2423"/>
    </row>
    <row r="20115" spans="6:6">
      <c r="F20115" s="2423"/>
    </row>
    <row r="20116" spans="6:6">
      <c r="F20116" s="2423"/>
    </row>
    <row r="20117" spans="6:6">
      <c r="F20117" s="2423"/>
    </row>
    <row r="20118" spans="6:6">
      <c r="F20118" s="2423"/>
    </row>
    <row r="20119" spans="6:6">
      <c r="F20119" s="2423"/>
    </row>
    <row r="20120" spans="6:6">
      <c r="F20120" s="2423"/>
    </row>
    <row r="20121" spans="6:6">
      <c r="F20121" s="2423"/>
    </row>
    <row r="20122" spans="6:6">
      <c r="F20122" s="2423"/>
    </row>
    <row r="20123" spans="6:6">
      <c r="F20123" s="2423"/>
    </row>
    <row r="20124" spans="6:6">
      <c r="F20124" s="2423"/>
    </row>
    <row r="20125" spans="6:6">
      <c r="F20125" s="2423"/>
    </row>
    <row r="20126" spans="6:6">
      <c r="F20126" s="2423"/>
    </row>
    <row r="20127" spans="6:6">
      <c r="F20127" s="2423"/>
    </row>
    <row r="20128" spans="6:6">
      <c r="F20128" s="2423"/>
    </row>
    <row r="20129" spans="6:6">
      <c r="F20129" s="2423"/>
    </row>
    <row r="20130" spans="6:6">
      <c r="F20130" s="2423"/>
    </row>
    <row r="20131" spans="6:6">
      <c r="F20131" s="2423"/>
    </row>
    <row r="20132" spans="6:6">
      <c r="F20132" s="2423"/>
    </row>
    <row r="20133" spans="6:6">
      <c r="F20133" s="2423"/>
    </row>
    <row r="20134" spans="6:6">
      <c r="F20134" s="2423"/>
    </row>
    <row r="20135" spans="6:6">
      <c r="F20135" s="2423"/>
    </row>
    <row r="20136" spans="6:6">
      <c r="F20136" s="2423"/>
    </row>
    <row r="20137" spans="6:6">
      <c r="F20137" s="2423"/>
    </row>
    <row r="20138" spans="6:6">
      <c r="F20138" s="2423"/>
    </row>
    <row r="20139" spans="6:6">
      <c r="F20139" s="2423"/>
    </row>
    <row r="20140" spans="6:6">
      <c r="F20140" s="2423"/>
    </row>
    <row r="20141" spans="6:6">
      <c r="F20141" s="2423"/>
    </row>
    <row r="20142" spans="6:6">
      <c r="F20142" s="2423"/>
    </row>
    <row r="20143" spans="6:6">
      <c r="F20143" s="2423"/>
    </row>
    <row r="20144" spans="6:6">
      <c r="F20144" s="2423"/>
    </row>
    <row r="20145" spans="6:6">
      <c r="F20145" s="2423"/>
    </row>
    <row r="20146" spans="6:6">
      <c r="F20146" s="2423"/>
    </row>
    <row r="20147" spans="6:6">
      <c r="F20147" s="2423"/>
    </row>
    <row r="20148" spans="6:6">
      <c r="F20148" s="2423"/>
    </row>
    <row r="20149" spans="6:6">
      <c r="F20149" s="2423"/>
    </row>
    <row r="20150" spans="6:6">
      <c r="F20150" s="2423"/>
    </row>
    <row r="20151" spans="6:6">
      <c r="F20151" s="2423"/>
    </row>
    <row r="20152" spans="6:6">
      <c r="F20152" s="2423"/>
    </row>
    <row r="20153" spans="6:6">
      <c r="F20153" s="2423"/>
    </row>
    <row r="20154" spans="6:6">
      <c r="F20154" s="2423"/>
    </row>
    <row r="20155" spans="6:6">
      <c r="F20155" s="2423"/>
    </row>
    <row r="20156" spans="6:6">
      <c r="F20156" s="2423"/>
    </row>
    <row r="20157" spans="6:6">
      <c r="F20157" s="2423"/>
    </row>
    <row r="20158" spans="6:6">
      <c r="F20158" s="2423"/>
    </row>
    <row r="20159" spans="6:6">
      <c r="F20159" s="2423"/>
    </row>
    <row r="20160" spans="6:6">
      <c r="F20160" s="2423"/>
    </row>
    <row r="20161" spans="6:6">
      <c r="F20161" s="2423"/>
    </row>
    <row r="20162" spans="6:6">
      <c r="F20162" s="2423"/>
    </row>
    <row r="20163" spans="6:6">
      <c r="F20163" s="2423"/>
    </row>
    <row r="20164" spans="6:6">
      <c r="F20164" s="2423"/>
    </row>
    <row r="20165" spans="6:6">
      <c r="F20165" s="2423"/>
    </row>
    <row r="20166" spans="6:6">
      <c r="F20166" s="2423"/>
    </row>
    <row r="20167" spans="6:6">
      <c r="F20167" s="2423"/>
    </row>
    <row r="20168" spans="6:6">
      <c r="F20168" s="2423"/>
    </row>
    <row r="20169" spans="6:6">
      <c r="F20169" s="2423"/>
    </row>
    <row r="20170" spans="6:6">
      <c r="F20170" s="2423"/>
    </row>
    <row r="20171" spans="6:6">
      <c r="F20171" s="2423"/>
    </row>
    <row r="20172" spans="6:6">
      <c r="F20172" s="2423"/>
    </row>
    <row r="20173" spans="6:6">
      <c r="F20173" s="2423"/>
    </row>
    <row r="20174" spans="6:6">
      <c r="F20174" s="2423"/>
    </row>
    <row r="20175" spans="6:6">
      <c r="F20175" s="2423"/>
    </row>
    <row r="20176" spans="6:6">
      <c r="F20176" s="2423"/>
    </row>
    <row r="20177" spans="6:6">
      <c r="F20177" s="2423"/>
    </row>
    <row r="20178" spans="6:6">
      <c r="F20178" s="2423"/>
    </row>
    <row r="20179" spans="6:6">
      <c r="F20179" s="2423"/>
    </row>
    <row r="20180" spans="6:6">
      <c r="F20180" s="2423"/>
    </row>
    <row r="20181" spans="6:6">
      <c r="F20181" s="2423"/>
    </row>
    <row r="20182" spans="6:6">
      <c r="F20182" s="2423"/>
    </row>
    <row r="20183" spans="6:6">
      <c r="F20183" s="2423"/>
    </row>
    <row r="20184" spans="6:6">
      <c r="F20184" s="2423"/>
    </row>
    <row r="20185" spans="6:6">
      <c r="F20185" s="2423"/>
    </row>
    <row r="20186" spans="6:6">
      <c r="F20186" s="2423"/>
    </row>
    <row r="20187" spans="6:6">
      <c r="F20187" s="2423"/>
    </row>
    <row r="20188" spans="6:6">
      <c r="F20188" s="2423"/>
    </row>
    <row r="20189" spans="6:6">
      <c r="F20189" s="2423"/>
    </row>
    <row r="20190" spans="6:6">
      <c r="F20190" s="2423"/>
    </row>
    <row r="20191" spans="6:6">
      <c r="F20191" s="2423"/>
    </row>
    <row r="20192" spans="6:6">
      <c r="F20192" s="2423"/>
    </row>
    <row r="20193" spans="6:6">
      <c r="F20193" s="2423"/>
    </row>
    <row r="20194" spans="6:6">
      <c r="F20194" s="2423"/>
    </row>
    <row r="20195" spans="6:6">
      <c r="F20195" s="2423"/>
    </row>
    <row r="20196" spans="6:6">
      <c r="F20196" s="2423"/>
    </row>
    <row r="20197" spans="6:6">
      <c r="F20197" s="2423"/>
    </row>
    <row r="20198" spans="6:6">
      <c r="F20198" s="2423"/>
    </row>
    <row r="20199" spans="6:6">
      <c r="F20199" s="2423"/>
    </row>
    <row r="20200" spans="6:6">
      <c r="F20200" s="2423"/>
    </row>
    <row r="20201" spans="6:6">
      <c r="F20201" s="2423"/>
    </row>
    <row r="20202" spans="6:6">
      <c r="F20202" s="2423"/>
    </row>
    <row r="20203" spans="6:6">
      <c r="F20203" s="2423"/>
    </row>
    <row r="20204" spans="6:6">
      <c r="F20204" s="2423"/>
    </row>
    <row r="20205" spans="6:6">
      <c r="F20205" s="2423"/>
    </row>
    <row r="20206" spans="6:6">
      <c r="F20206" s="2423"/>
    </row>
    <row r="20207" spans="6:6">
      <c r="F20207" s="2423"/>
    </row>
    <row r="20208" spans="6:6">
      <c r="F20208" s="2423"/>
    </row>
    <row r="20209" spans="6:6">
      <c r="F20209" s="2423"/>
    </row>
    <row r="20210" spans="6:6">
      <c r="F20210" s="2423"/>
    </row>
    <row r="20211" spans="6:6">
      <c r="F20211" s="2423"/>
    </row>
    <row r="20212" spans="6:6">
      <c r="F20212" s="2423"/>
    </row>
    <row r="20213" spans="6:6">
      <c r="F20213" s="2423"/>
    </row>
    <row r="20214" spans="6:6">
      <c r="F20214" s="2423"/>
    </row>
    <row r="20215" spans="6:6">
      <c r="F20215" s="2423"/>
    </row>
    <row r="20216" spans="6:6">
      <c r="F20216" s="2423"/>
    </row>
    <row r="20217" spans="6:6">
      <c r="F20217" s="2423"/>
    </row>
    <row r="20218" spans="6:6">
      <c r="F20218" s="2423"/>
    </row>
    <row r="20219" spans="6:6">
      <c r="F20219" s="2423"/>
    </row>
    <row r="20220" spans="6:6">
      <c r="F20220" s="2423"/>
    </row>
    <row r="20221" spans="6:6">
      <c r="F20221" s="2423"/>
    </row>
    <row r="20222" spans="6:6">
      <c r="F20222" s="2423"/>
    </row>
    <row r="20223" spans="6:6">
      <c r="F20223" s="2423"/>
    </row>
    <row r="20224" spans="6:6">
      <c r="F20224" s="2423"/>
    </row>
    <row r="20225" spans="6:6">
      <c r="F20225" s="2423"/>
    </row>
    <row r="20226" spans="6:6">
      <c r="F20226" s="2423"/>
    </row>
    <row r="20227" spans="6:6">
      <c r="F20227" s="2423"/>
    </row>
    <row r="20228" spans="6:6">
      <c r="F20228" s="2423"/>
    </row>
    <row r="20229" spans="6:6">
      <c r="F20229" s="2423"/>
    </row>
    <row r="20230" spans="6:6">
      <c r="F20230" s="2423"/>
    </row>
    <row r="20231" spans="6:6">
      <c r="F20231" s="2423"/>
    </row>
    <row r="20232" spans="6:6">
      <c r="F20232" s="2423"/>
    </row>
    <row r="20233" spans="6:6">
      <c r="F20233" s="2423"/>
    </row>
    <row r="20234" spans="6:6">
      <c r="F20234" s="2423"/>
    </row>
    <row r="20235" spans="6:6">
      <c r="F20235" s="2423"/>
    </row>
    <row r="20236" spans="6:6">
      <c r="F20236" s="2423"/>
    </row>
    <row r="20237" spans="6:6">
      <c r="F20237" s="2423"/>
    </row>
    <row r="20238" spans="6:6">
      <c r="F20238" s="2423"/>
    </row>
    <row r="20239" spans="6:6">
      <c r="F20239" s="2423"/>
    </row>
    <row r="20240" spans="6:6">
      <c r="F20240" s="2423"/>
    </row>
    <row r="20241" spans="6:6">
      <c r="F20241" s="2423"/>
    </row>
    <row r="20242" spans="6:6">
      <c r="F20242" s="2423"/>
    </row>
    <row r="20243" spans="6:6">
      <c r="F20243" s="2423"/>
    </row>
    <row r="20244" spans="6:6">
      <c r="F20244" s="2423"/>
    </row>
    <row r="20245" spans="6:6">
      <c r="F20245" s="2423"/>
    </row>
    <row r="20246" spans="6:6">
      <c r="F20246" s="2423"/>
    </row>
    <row r="20247" spans="6:6">
      <c r="F20247" s="2423"/>
    </row>
    <row r="20248" spans="6:6">
      <c r="F20248" s="2423"/>
    </row>
    <row r="20249" spans="6:6">
      <c r="F20249" s="2423"/>
    </row>
    <row r="20250" spans="6:6">
      <c r="F20250" s="2423"/>
    </row>
    <row r="20251" spans="6:6">
      <c r="F20251" s="2423"/>
    </row>
    <row r="20252" spans="6:6">
      <c r="F20252" s="2423"/>
    </row>
    <row r="20253" spans="6:6">
      <c r="F20253" s="2423"/>
    </row>
    <row r="20254" spans="6:6">
      <c r="F20254" s="2423"/>
    </row>
    <row r="20255" spans="6:6">
      <c r="F20255" s="2423"/>
    </row>
    <row r="20256" spans="6:6">
      <c r="F20256" s="2423"/>
    </row>
    <row r="20257" spans="6:6">
      <c r="F20257" s="2423"/>
    </row>
    <row r="20258" spans="6:6">
      <c r="F20258" s="2423"/>
    </row>
    <row r="20259" spans="6:6">
      <c r="F20259" s="2423"/>
    </row>
    <row r="20260" spans="6:6">
      <c r="F20260" s="2423"/>
    </row>
    <row r="20261" spans="6:6">
      <c r="F20261" s="2423"/>
    </row>
    <row r="20262" spans="6:6">
      <c r="F20262" s="2423"/>
    </row>
    <row r="20263" spans="6:6">
      <c r="F20263" s="2423"/>
    </row>
    <row r="20264" spans="6:6">
      <c r="F20264" s="2423"/>
    </row>
    <row r="20265" spans="6:6">
      <c r="F20265" s="2423"/>
    </row>
    <row r="20266" spans="6:6">
      <c r="F20266" s="2423"/>
    </row>
    <row r="20267" spans="6:6">
      <c r="F20267" s="2423"/>
    </row>
    <row r="20268" spans="6:6">
      <c r="F20268" s="2423"/>
    </row>
    <row r="20269" spans="6:6">
      <c r="F20269" s="2423"/>
    </row>
    <row r="20270" spans="6:6">
      <c r="F20270" s="2423"/>
    </row>
    <row r="20271" spans="6:6">
      <c r="F20271" s="2423"/>
    </row>
    <row r="20272" spans="6:6">
      <c r="F20272" s="2423"/>
    </row>
    <row r="20273" spans="6:6">
      <c r="F20273" s="2423"/>
    </row>
    <row r="20274" spans="6:6">
      <c r="F20274" s="2423"/>
    </row>
    <row r="20275" spans="6:6">
      <c r="F20275" s="2423"/>
    </row>
    <row r="20276" spans="6:6">
      <c r="F20276" s="2423"/>
    </row>
    <row r="20277" spans="6:6">
      <c r="F20277" s="2423"/>
    </row>
    <row r="20278" spans="6:6">
      <c r="F20278" s="2423"/>
    </row>
    <row r="20279" spans="6:6">
      <c r="F20279" s="2423"/>
    </row>
    <row r="20280" spans="6:6">
      <c r="F20280" s="2423"/>
    </row>
    <row r="20281" spans="6:6">
      <c r="F20281" s="2423"/>
    </row>
    <row r="20282" spans="6:6">
      <c r="F20282" s="2423"/>
    </row>
    <row r="20283" spans="6:6">
      <c r="F20283" s="2423"/>
    </row>
    <row r="20284" spans="6:6">
      <c r="F20284" s="2423"/>
    </row>
    <row r="20285" spans="6:6">
      <c r="F20285" s="2423"/>
    </row>
    <row r="20286" spans="6:6">
      <c r="F20286" s="2423"/>
    </row>
    <row r="20287" spans="6:6">
      <c r="F20287" s="2423"/>
    </row>
    <row r="20288" spans="6:6">
      <c r="F20288" s="2423"/>
    </row>
    <row r="20289" spans="6:6">
      <c r="F20289" s="2423"/>
    </row>
    <row r="20290" spans="6:6">
      <c r="F20290" s="2423"/>
    </row>
    <row r="20291" spans="6:6">
      <c r="F20291" s="2423"/>
    </row>
    <row r="20292" spans="6:6">
      <c r="F20292" s="2423"/>
    </row>
    <row r="20293" spans="6:6">
      <c r="F20293" s="2423"/>
    </row>
    <row r="20294" spans="6:6">
      <c r="F20294" s="2423"/>
    </row>
    <row r="20295" spans="6:6">
      <c r="F20295" s="2423"/>
    </row>
    <row r="20296" spans="6:6">
      <c r="F20296" s="2423"/>
    </row>
    <row r="20297" spans="6:6">
      <c r="F20297" s="2423"/>
    </row>
    <row r="20298" spans="6:6">
      <c r="F20298" s="2423"/>
    </row>
    <row r="20299" spans="6:6">
      <c r="F20299" s="2423"/>
    </row>
    <row r="20300" spans="6:6">
      <c r="F20300" s="2423"/>
    </row>
    <row r="20301" spans="6:6">
      <c r="F20301" s="2423"/>
    </row>
    <row r="20302" spans="6:6">
      <c r="F20302" s="2423"/>
    </row>
    <row r="20303" spans="6:6">
      <c r="F20303" s="2423"/>
    </row>
    <row r="20304" spans="6:6">
      <c r="F20304" s="2423"/>
    </row>
    <row r="20305" spans="6:6">
      <c r="F20305" s="2423"/>
    </row>
    <row r="20306" spans="6:6">
      <c r="F20306" s="2423"/>
    </row>
    <row r="20307" spans="6:6">
      <c r="F20307" s="2423"/>
    </row>
    <row r="20308" spans="6:6">
      <c r="F20308" s="2423"/>
    </row>
    <row r="20309" spans="6:6">
      <c r="F20309" s="2423"/>
    </row>
    <row r="20310" spans="6:6">
      <c r="F20310" s="2423"/>
    </row>
    <row r="20311" spans="6:6">
      <c r="F20311" s="2423"/>
    </row>
    <row r="20312" spans="6:6">
      <c r="F20312" s="2423"/>
    </row>
    <row r="20313" spans="6:6">
      <c r="F20313" s="2423"/>
    </row>
    <row r="20314" spans="6:6">
      <c r="F20314" s="2423"/>
    </row>
    <row r="20315" spans="6:6">
      <c r="F20315" s="2423"/>
    </row>
    <row r="20316" spans="6:6">
      <c r="F20316" s="2423"/>
    </row>
    <row r="20317" spans="6:6">
      <c r="F20317" s="2423"/>
    </row>
    <row r="20318" spans="6:6">
      <c r="F20318" s="2423"/>
    </row>
    <row r="20319" spans="6:6">
      <c r="F20319" s="2423"/>
    </row>
    <row r="20320" spans="6:6">
      <c r="F20320" s="2423"/>
    </row>
    <row r="20321" spans="6:6">
      <c r="F20321" s="2423"/>
    </row>
    <row r="20322" spans="6:6">
      <c r="F20322" s="2423"/>
    </row>
    <row r="20323" spans="6:6">
      <c r="F20323" s="2423"/>
    </row>
    <row r="20324" spans="6:6">
      <c r="F20324" s="2423"/>
    </row>
    <row r="20325" spans="6:6">
      <c r="F20325" s="2423"/>
    </row>
    <row r="20326" spans="6:6">
      <c r="F20326" s="2423"/>
    </row>
    <row r="20327" spans="6:6">
      <c r="F20327" s="2423"/>
    </row>
    <row r="20328" spans="6:6">
      <c r="F20328" s="2423"/>
    </row>
    <row r="20329" spans="6:6">
      <c r="F20329" s="2423"/>
    </row>
    <row r="20330" spans="6:6">
      <c r="F20330" s="2423"/>
    </row>
    <row r="20331" spans="6:6">
      <c r="F20331" s="2423"/>
    </row>
    <row r="20332" spans="6:6">
      <c r="F20332" s="2423"/>
    </row>
    <row r="20333" spans="6:6">
      <c r="F20333" s="2423"/>
    </row>
    <row r="20334" spans="6:6">
      <c r="F20334" s="2423"/>
    </row>
    <row r="20335" spans="6:6">
      <c r="F20335" s="2423"/>
    </row>
    <row r="20336" spans="6:6">
      <c r="F20336" s="2423"/>
    </row>
    <row r="20337" spans="6:6">
      <c r="F20337" s="2423"/>
    </row>
    <row r="20338" spans="6:6">
      <c r="F20338" s="2423"/>
    </row>
    <row r="20339" spans="6:6">
      <c r="F20339" s="2423"/>
    </row>
    <row r="20340" spans="6:6">
      <c r="F20340" s="2423"/>
    </row>
    <row r="20341" spans="6:6">
      <c r="F20341" s="2423"/>
    </row>
    <row r="20342" spans="6:6">
      <c r="F20342" s="2423"/>
    </row>
    <row r="20343" spans="6:6">
      <c r="F20343" s="2423"/>
    </row>
    <row r="20344" spans="6:6">
      <c r="F20344" s="2423"/>
    </row>
    <row r="20345" spans="6:6">
      <c r="F20345" s="2423"/>
    </row>
    <row r="20346" spans="6:6">
      <c r="F20346" s="2423"/>
    </row>
    <row r="20347" spans="6:6">
      <c r="F20347" s="2423"/>
    </row>
    <row r="20348" spans="6:6">
      <c r="F20348" s="2423"/>
    </row>
    <row r="20349" spans="6:6">
      <c r="F20349" s="2423"/>
    </row>
    <row r="20350" spans="6:6">
      <c r="F20350" s="2423"/>
    </row>
    <row r="20351" spans="6:6">
      <c r="F20351" s="2423"/>
    </row>
    <row r="20352" spans="6:6">
      <c r="F20352" s="2423"/>
    </row>
    <row r="20353" spans="6:6">
      <c r="F20353" s="2423"/>
    </row>
    <row r="20354" spans="6:6">
      <c r="F20354" s="2423"/>
    </row>
    <row r="20355" spans="6:6">
      <c r="F20355" s="2423"/>
    </row>
    <row r="20356" spans="6:6">
      <c r="F20356" s="2423"/>
    </row>
    <row r="20357" spans="6:6">
      <c r="F20357" s="2423"/>
    </row>
    <row r="20358" spans="6:6">
      <c r="F20358" s="2423"/>
    </row>
    <row r="20359" spans="6:6">
      <c r="F20359" s="2423"/>
    </row>
    <row r="20360" spans="6:6">
      <c r="F20360" s="2423"/>
    </row>
    <row r="20361" spans="6:6">
      <c r="F20361" s="2423"/>
    </row>
    <row r="20362" spans="6:6">
      <c r="F20362" s="2423"/>
    </row>
    <row r="20363" spans="6:6">
      <c r="F20363" s="2423"/>
    </row>
    <row r="20364" spans="6:6">
      <c r="F20364" s="2423"/>
    </row>
    <row r="20365" spans="6:6">
      <c r="F20365" s="2423"/>
    </row>
    <row r="20366" spans="6:6">
      <c r="F20366" s="2423"/>
    </row>
    <row r="20367" spans="6:6">
      <c r="F20367" s="2423"/>
    </row>
    <row r="20368" spans="6:6">
      <c r="F20368" s="2423"/>
    </row>
    <row r="20369" spans="6:6">
      <c r="F20369" s="2423"/>
    </row>
    <row r="20370" spans="6:6">
      <c r="F20370" s="2423"/>
    </row>
    <row r="20371" spans="6:6">
      <c r="F20371" s="2423"/>
    </row>
    <row r="20372" spans="6:6">
      <c r="F20372" s="2423"/>
    </row>
    <row r="20373" spans="6:6">
      <c r="F20373" s="2423"/>
    </row>
    <row r="20374" spans="6:6">
      <c r="F20374" s="2423"/>
    </row>
    <row r="20375" spans="6:6">
      <c r="F20375" s="2423"/>
    </row>
    <row r="20376" spans="6:6">
      <c r="F20376" s="2423"/>
    </row>
    <row r="20377" spans="6:6">
      <c r="F20377" s="2423"/>
    </row>
    <row r="20378" spans="6:6">
      <c r="F20378" s="2423"/>
    </row>
    <row r="20379" spans="6:6">
      <c r="F20379" s="2423"/>
    </row>
    <row r="20380" spans="6:6">
      <c r="F20380" s="2423"/>
    </row>
    <row r="20381" spans="6:6">
      <c r="F20381" s="2423"/>
    </row>
    <row r="20382" spans="6:6">
      <c r="F20382" s="2423"/>
    </row>
    <row r="20383" spans="6:6">
      <c r="F20383" s="2423"/>
    </row>
    <row r="20384" spans="6:6">
      <c r="F20384" s="2423"/>
    </row>
    <row r="20385" spans="6:6">
      <c r="F20385" s="2423"/>
    </row>
    <row r="20386" spans="6:6">
      <c r="F20386" s="2423"/>
    </row>
    <row r="20387" spans="6:6">
      <c r="F20387" s="2423"/>
    </row>
    <row r="20388" spans="6:6">
      <c r="F20388" s="2423"/>
    </row>
    <row r="20389" spans="6:6">
      <c r="F20389" s="2423"/>
    </row>
    <row r="20390" spans="6:6">
      <c r="F20390" s="2423"/>
    </row>
    <row r="20391" spans="6:6">
      <c r="F20391" s="2423"/>
    </row>
    <row r="20392" spans="6:6">
      <c r="F20392" s="2423"/>
    </row>
    <row r="20393" spans="6:6">
      <c r="F20393" s="2423"/>
    </row>
    <row r="20394" spans="6:6">
      <c r="F20394" s="2423"/>
    </row>
    <row r="20395" spans="6:6">
      <c r="F20395" s="2423"/>
    </row>
    <row r="20396" spans="6:6">
      <c r="F20396" s="2423"/>
    </row>
    <row r="20397" spans="6:6">
      <c r="F20397" s="2423"/>
    </row>
    <row r="20398" spans="6:6">
      <c r="F20398" s="2423"/>
    </row>
    <row r="20399" spans="6:6">
      <c r="F20399" s="2423"/>
    </row>
    <row r="20400" spans="6:6">
      <c r="F20400" s="2423"/>
    </row>
    <row r="20401" spans="6:6">
      <c r="F20401" s="2423"/>
    </row>
    <row r="20402" spans="6:6">
      <c r="F20402" s="2423"/>
    </row>
    <row r="20403" spans="6:6">
      <c r="F20403" s="2423"/>
    </row>
    <row r="20404" spans="6:6">
      <c r="F20404" s="2423"/>
    </row>
    <row r="20405" spans="6:6">
      <c r="F20405" s="2423"/>
    </row>
    <row r="20406" spans="6:6">
      <c r="F20406" s="2423"/>
    </row>
    <row r="20407" spans="6:6">
      <c r="F20407" s="2423"/>
    </row>
    <row r="20408" spans="6:6">
      <c r="F20408" s="2423"/>
    </row>
    <row r="20409" spans="6:6">
      <c r="F20409" s="2423"/>
    </row>
    <row r="20410" spans="6:6">
      <c r="F20410" s="2423"/>
    </row>
    <row r="20411" spans="6:6">
      <c r="F20411" s="2423"/>
    </row>
    <row r="20412" spans="6:6">
      <c r="F20412" s="2423"/>
    </row>
    <row r="20413" spans="6:6">
      <c r="F20413" s="2423"/>
    </row>
    <row r="20414" spans="6:6">
      <c r="F20414" s="2423"/>
    </row>
    <row r="20415" spans="6:6">
      <c r="F20415" s="2423"/>
    </row>
    <row r="20416" spans="6:6">
      <c r="F20416" s="2423"/>
    </row>
    <row r="20417" spans="6:6">
      <c r="F20417" s="2423"/>
    </row>
    <row r="20418" spans="6:6">
      <c r="F20418" s="2423"/>
    </row>
    <row r="20419" spans="6:6">
      <c r="F20419" s="2423"/>
    </row>
    <row r="20420" spans="6:6">
      <c r="F20420" s="2423"/>
    </row>
    <row r="20421" spans="6:6">
      <c r="F20421" s="2423"/>
    </row>
    <row r="20422" spans="6:6">
      <c r="F20422" s="2423"/>
    </row>
    <row r="20423" spans="6:6">
      <c r="F20423" s="2423"/>
    </row>
    <row r="20424" spans="6:6">
      <c r="F20424" s="2423"/>
    </row>
    <row r="20425" spans="6:6">
      <c r="F20425" s="2423"/>
    </row>
    <row r="20426" spans="6:6">
      <c r="F20426" s="2423"/>
    </row>
    <row r="20427" spans="6:6">
      <c r="F20427" s="2423"/>
    </row>
    <row r="20428" spans="6:6">
      <c r="F20428" s="2423"/>
    </row>
    <row r="20429" spans="6:6">
      <c r="F20429" s="2423"/>
    </row>
    <row r="20430" spans="6:6">
      <c r="F20430" s="2423"/>
    </row>
    <row r="20431" spans="6:6">
      <c r="F20431" s="2423"/>
    </row>
    <row r="20432" spans="6:6">
      <c r="F20432" s="2423"/>
    </row>
    <row r="20433" spans="6:6">
      <c r="F20433" s="2423"/>
    </row>
    <row r="20434" spans="6:6">
      <c r="F20434" s="2423"/>
    </row>
    <row r="20435" spans="6:6">
      <c r="F20435" s="2423"/>
    </row>
    <row r="20436" spans="6:6">
      <c r="F20436" s="2423"/>
    </row>
    <row r="20437" spans="6:6">
      <c r="F20437" s="2423"/>
    </row>
    <row r="20438" spans="6:6">
      <c r="F20438" s="2423"/>
    </row>
    <row r="20439" spans="6:6">
      <c r="F20439" s="2423"/>
    </row>
    <row r="20440" spans="6:6">
      <c r="F20440" s="2423"/>
    </row>
    <row r="20441" spans="6:6">
      <c r="F20441" s="2423"/>
    </row>
    <row r="20442" spans="6:6">
      <c r="F20442" s="2423"/>
    </row>
    <row r="20443" spans="6:6">
      <c r="F20443" s="2423"/>
    </row>
    <row r="20444" spans="6:6">
      <c r="F20444" s="2423"/>
    </row>
    <row r="20445" spans="6:6">
      <c r="F20445" s="2423"/>
    </row>
    <row r="20446" spans="6:6">
      <c r="F20446" s="2423"/>
    </row>
    <row r="20447" spans="6:6">
      <c r="F20447" s="2423"/>
    </row>
    <row r="20448" spans="6:6">
      <c r="F20448" s="2423"/>
    </row>
    <row r="20449" spans="6:6">
      <c r="F20449" s="2423"/>
    </row>
    <row r="20450" spans="6:6">
      <c r="F20450" s="2423"/>
    </row>
    <row r="20451" spans="6:6">
      <c r="F20451" s="2423"/>
    </row>
    <row r="20452" spans="6:6">
      <c r="F20452" s="2423"/>
    </row>
    <row r="20453" spans="6:6">
      <c r="F20453" s="2423"/>
    </row>
    <row r="20454" spans="6:6">
      <c r="F20454" s="2423"/>
    </row>
    <row r="20455" spans="6:6">
      <c r="F20455" s="2423"/>
    </row>
    <row r="20456" spans="6:6">
      <c r="F20456" s="2423"/>
    </row>
    <row r="20457" spans="6:6">
      <c r="F20457" s="2423"/>
    </row>
    <row r="20458" spans="6:6">
      <c r="F20458" s="2423"/>
    </row>
    <row r="20459" spans="6:6">
      <c r="F20459" s="2423"/>
    </row>
    <row r="20460" spans="6:6">
      <c r="F20460" s="2423"/>
    </row>
    <row r="20461" spans="6:6">
      <c r="F20461" s="2423"/>
    </row>
    <row r="20462" spans="6:6">
      <c r="F20462" s="2423"/>
    </row>
    <row r="20463" spans="6:6">
      <c r="F20463" s="2423"/>
    </row>
    <row r="20464" spans="6:6">
      <c r="F20464" s="2423"/>
    </row>
    <row r="20465" spans="6:6">
      <c r="F20465" s="2423"/>
    </row>
    <row r="20466" spans="6:6">
      <c r="F20466" s="2423"/>
    </row>
    <row r="20467" spans="6:6">
      <c r="F20467" s="2423"/>
    </row>
    <row r="20468" spans="6:6">
      <c r="F20468" s="2423"/>
    </row>
    <row r="20469" spans="6:6">
      <c r="F20469" s="2423"/>
    </row>
    <row r="20470" spans="6:6">
      <c r="F20470" s="2423"/>
    </row>
    <row r="20471" spans="6:6">
      <c r="F20471" s="2423"/>
    </row>
    <row r="20472" spans="6:6">
      <c r="F20472" s="2423"/>
    </row>
    <row r="20473" spans="6:6">
      <c r="F20473" s="2423"/>
    </row>
    <row r="20474" spans="6:6">
      <c r="F20474" s="2423"/>
    </row>
    <row r="20475" spans="6:6">
      <c r="F20475" s="2423"/>
    </row>
    <row r="20476" spans="6:6">
      <c r="F20476" s="2423"/>
    </row>
    <row r="20477" spans="6:6">
      <c r="F20477" s="2423"/>
    </row>
    <row r="20478" spans="6:6">
      <c r="F20478" s="2423"/>
    </row>
    <row r="20479" spans="6:6">
      <c r="F20479" s="2423"/>
    </row>
    <row r="20480" spans="6:6">
      <c r="F20480" s="2423"/>
    </row>
    <row r="20481" spans="6:6">
      <c r="F20481" s="2423"/>
    </row>
    <row r="20482" spans="6:6">
      <c r="F20482" s="2423"/>
    </row>
    <row r="20483" spans="6:6">
      <c r="F20483" s="2423"/>
    </row>
    <row r="20484" spans="6:6">
      <c r="F20484" s="2423"/>
    </row>
    <row r="20485" spans="6:6">
      <c r="F20485" s="2423"/>
    </row>
    <row r="20486" spans="6:6">
      <c r="F20486" s="2423"/>
    </row>
    <row r="20487" spans="6:6">
      <c r="F20487" s="2423"/>
    </row>
    <row r="20488" spans="6:6">
      <c r="F20488" s="2423"/>
    </row>
    <row r="20489" spans="6:6">
      <c r="F20489" s="2423"/>
    </row>
    <row r="20490" spans="6:6">
      <c r="F20490" s="2423"/>
    </row>
    <row r="20491" spans="6:6">
      <c r="F20491" s="2423"/>
    </row>
    <row r="20492" spans="6:6">
      <c r="F20492" s="2423"/>
    </row>
    <row r="20493" spans="6:6">
      <c r="F20493" s="2423"/>
    </row>
    <row r="20494" spans="6:6">
      <c r="F20494" s="2423"/>
    </row>
    <row r="20495" spans="6:6">
      <c r="F20495" s="2423"/>
    </row>
    <row r="20496" spans="6:6">
      <c r="F20496" s="2423"/>
    </row>
    <row r="20497" spans="6:6">
      <c r="F20497" s="2423"/>
    </row>
    <row r="20498" spans="6:6">
      <c r="F20498" s="2423"/>
    </row>
    <row r="20499" spans="6:6">
      <c r="F20499" s="2423"/>
    </row>
    <row r="20500" spans="6:6">
      <c r="F20500" s="2423"/>
    </row>
    <row r="20501" spans="6:6">
      <c r="F20501" s="2423"/>
    </row>
    <row r="20502" spans="6:6">
      <c r="F20502" s="2423"/>
    </row>
    <row r="20503" spans="6:6">
      <c r="F20503" s="2423"/>
    </row>
    <row r="20504" spans="6:6">
      <c r="F20504" s="2423"/>
    </row>
    <row r="20505" spans="6:6">
      <c r="F20505" s="2423"/>
    </row>
    <row r="20506" spans="6:6">
      <c r="F20506" s="2423"/>
    </row>
    <row r="20507" spans="6:6">
      <c r="F20507" s="2423"/>
    </row>
    <row r="20508" spans="6:6">
      <c r="F20508" s="2423"/>
    </row>
    <row r="20509" spans="6:6">
      <c r="F20509" s="2423"/>
    </row>
    <row r="20510" spans="6:6">
      <c r="F20510" s="2423"/>
    </row>
    <row r="20511" spans="6:6">
      <c r="F20511" s="2423"/>
    </row>
    <row r="20512" spans="6:6">
      <c r="F20512" s="2423"/>
    </row>
    <row r="20513" spans="6:6">
      <c r="F20513" s="2423"/>
    </row>
    <row r="20514" spans="6:6">
      <c r="F20514" s="2423"/>
    </row>
    <row r="20515" spans="6:6">
      <c r="F20515" s="2423"/>
    </row>
    <row r="20516" spans="6:6">
      <c r="F20516" s="2423"/>
    </row>
    <row r="20517" spans="6:6">
      <c r="F20517" s="2423"/>
    </row>
    <row r="20518" spans="6:6">
      <c r="F20518" s="2423"/>
    </row>
    <row r="20519" spans="6:6">
      <c r="F20519" s="2423"/>
    </row>
    <row r="20520" spans="6:6">
      <c r="F20520" s="2423"/>
    </row>
    <row r="20521" spans="6:6">
      <c r="F20521" s="2423"/>
    </row>
    <row r="20522" spans="6:6">
      <c r="F20522" s="2423"/>
    </row>
    <row r="20523" spans="6:6">
      <c r="F20523" s="2423"/>
    </row>
    <row r="20524" spans="6:6">
      <c r="F20524" s="2423"/>
    </row>
    <row r="20525" spans="6:6">
      <c r="F20525" s="2423"/>
    </row>
    <row r="20526" spans="6:6">
      <c r="F20526" s="2423"/>
    </row>
    <row r="20527" spans="6:6">
      <c r="F20527" s="2423"/>
    </row>
    <row r="20528" spans="6:6">
      <c r="F20528" s="2423"/>
    </row>
    <row r="20529" spans="6:6">
      <c r="F20529" s="2423"/>
    </row>
    <row r="20530" spans="6:6">
      <c r="F20530" s="2423"/>
    </row>
    <row r="20531" spans="6:6">
      <c r="F20531" s="2423"/>
    </row>
    <row r="20532" spans="6:6">
      <c r="F20532" s="2423"/>
    </row>
    <row r="20533" spans="6:6">
      <c r="F20533" s="2423"/>
    </row>
    <row r="20534" spans="6:6">
      <c r="F20534" s="2423"/>
    </row>
    <row r="20535" spans="6:6">
      <c r="F20535" s="2423"/>
    </row>
    <row r="20536" spans="6:6">
      <c r="F20536" s="2423"/>
    </row>
    <row r="20537" spans="6:6">
      <c r="F20537" s="2423"/>
    </row>
    <row r="20538" spans="6:6">
      <c r="F20538" s="2423"/>
    </row>
    <row r="20539" spans="6:6">
      <c r="F20539" s="2423"/>
    </row>
    <row r="20540" spans="6:6">
      <c r="F20540" s="2423"/>
    </row>
    <row r="20541" spans="6:6">
      <c r="F20541" s="2423"/>
    </row>
    <row r="20542" spans="6:6">
      <c r="F20542" s="2423"/>
    </row>
    <row r="20543" spans="6:6">
      <c r="F20543" s="2423"/>
    </row>
    <row r="20544" spans="6:6">
      <c r="F20544" s="2423"/>
    </row>
    <row r="20545" spans="6:6">
      <c r="F20545" s="2423"/>
    </row>
    <row r="20546" spans="6:6">
      <c r="F20546" s="2423"/>
    </row>
    <row r="20547" spans="6:6">
      <c r="F20547" s="2423"/>
    </row>
    <row r="20548" spans="6:6">
      <c r="F20548" s="2423"/>
    </row>
    <row r="20549" spans="6:6">
      <c r="F20549" s="2423"/>
    </row>
    <row r="20550" spans="6:6">
      <c r="F20550" s="2423"/>
    </row>
    <row r="20551" spans="6:6">
      <c r="F20551" s="2423"/>
    </row>
    <row r="20552" spans="6:6">
      <c r="F20552" s="2423"/>
    </row>
    <row r="20553" spans="6:6">
      <c r="F20553" s="2423"/>
    </row>
    <row r="20554" spans="6:6">
      <c r="F20554" s="2423"/>
    </row>
    <row r="20555" spans="6:6">
      <c r="F20555" s="2423"/>
    </row>
    <row r="20556" spans="6:6">
      <c r="F20556" s="2423"/>
    </row>
    <row r="20557" spans="6:6">
      <c r="F20557" s="2423"/>
    </row>
    <row r="20558" spans="6:6">
      <c r="F20558" s="2423"/>
    </row>
    <row r="20559" spans="6:6">
      <c r="F20559" s="2423"/>
    </row>
    <row r="20560" spans="6:6">
      <c r="F20560" s="2423"/>
    </row>
    <row r="20561" spans="6:6">
      <c r="F20561" s="2423"/>
    </row>
    <row r="20562" spans="6:6">
      <c r="F20562" s="2423"/>
    </row>
    <row r="20563" spans="6:6">
      <c r="F20563" s="2423"/>
    </row>
    <row r="20564" spans="6:6">
      <c r="F20564" s="2423"/>
    </row>
    <row r="20565" spans="6:6">
      <c r="F20565" s="2423"/>
    </row>
    <row r="20566" spans="6:6">
      <c r="F20566" s="2423"/>
    </row>
    <row r="20567" spans="6:6">
      <c r="F20567" s="2423"/>
    </row>
    <row r="20568" spans="6:6">
      <c r="F20568" s="2423"/>
    </row>
    <row r="20569" spans="6:6">
      <c r="F20569" s="2423"/>
    </row>
    <row r="20570" spans="6:6">
      <c r="F20570" s="2423"/>
    </row>
    <row r="20571" spans="6:6">
      <c r="F20571" s="2423"/>
    </row>
    <row r="20572" spans="6:6">
      <c r="F20572" s="2423"/>
    </row>
    <row r="20573" spans="6:6">
      <c r="F20573" s="2423"/>
    </row>
    <row r="20574" spans="6:6">
      <c r="F20574" s="2423"/>
    </row>
    <row r="20575" spans="6:6">
      <c r="F20575" s="2423"/>
    </row>
    <row r="20576" spans="6:6">
      <c r="F20576" s="2423"/>
    </row>
    <row r="20577" spans="6:6">
      <c r="F20577" s="2423"/>
    </row>
    <row r="20578" spans="6:6">
      <c r="F20578" s="2423"/>
    </row>
    <row r="20579" spans="6:6">
      <c r="F20579" s="2423"/>
    </row>
    <row r="20580" spans="6:6">
      <c r="F20580" s="2423"/>
    </row>
    <row r="20581" spans="6:6">
      <c r="F20581" s="2423"/>
    </row>
    <row r="20582" spans="6:6">
      <c r="F20582" s="2423"/>
    </row>
    <row r="20583" spans="6:6">
      <c r="F20583" s="2423"/>
    </row>
    <row r="20584" spans="6:6">
      <c r="F20584" s="2423"/>
    </row>
    <row r="20585" spans="6:6">
      <c r="F20585" s="2423"/>
    </row>
    <row r="20586" spans="6:6">
      <c r="F20586" s="2423"/>
    </row>
    <row r="20587" spans="6:6">
      <c r="F20587" s="2423"/>
    </row>
    <row r="20588" spans="6:6">
      <c r="F20588" s="2423"/>
    </row>
    <row r="20589" spans="6:6">
      <c r="F20589" s="2423"/>
    </row>
    <row r="20590" spans="6:6">
      <c r="F20590" s="2423"/>
    </row>
    <row r="20591" spans="6:6">
      <c r="F20591" s="2423"/>
    </row>
    <row r="20592" spans="6:6">
      <c r="F20592" s="2423"/>
    </row>
    <row r="20593" spans="6:6">
      <c r="F20593" s="2423"/>
    </row>
    <row r="20594" spans="6:6">
      <c r="F20594" s="2423"/>
    </row>
    <row r="20595" spans="6:6">
      <c r="F20595" s="2423"/>
    </row>
    <row r="20596" spans="6:6">
      <c r="F20596" s="2423"/>
    </row>
    <row r="20597" spans="6:6">
      <c r="F20597" s="2423"/>
    </row>
    <row r="20598" spans="6:6">
      <c r="F20598" s="2423"/>
    </row>
    <row r="20599" spans="6:6">
      <c r="F20599" s="2423"/>
    </row>
    <row r="20600" spans="6:6">
      <c r="F20600" s="2423"/>
    </row>
    <row r="20601" spans="6:6">
      <c r="F20601" s="2423"/>
    </row>
    <row r="20602" spans="6:6">
      <c r="F20602" s="2423"/>
    </row>
    <row r="20603" spans="6:6">
      <c r="F20603" s="2423"/>
    </row>
    <row r="20604" spans="6:6">
      <c r="F20604" s="2423"/>
    </row>
    <row r="20605" spans="6:6">
      <c r="F20605" s="2423"/>
    </row>
    <row r="20606" spans="6:6">
      <c r="F20606" s="2423"/>
    </row>
    <row r="20607" spans="6:6">
      <c r="F20607" s="2423"/>
    </row>
    <row r="20608" spans="6:6">
      <c r="F20608" s="2423"/>
    </row>
    <row r="20609" spans="6:6">
      <c r="F20609" s="2423"/>
    </row>
    <row r="20610" spans="6:6">
      <c r="F20610" s="2423"/>
    </row>
    <row r="20611" spans="6:6">
      <c r="F20611" s="2423"/>
    </row>
    <row r="20612" spans="6:6">
      <c r="F20612" s="2423"/>
    </row>
    <row r="20613" spans="6:6">
      <c r="F20613" s="2423"/>
    </row>
    <row r="20614" spans="6:6">
      <c r="F20614" s="2423"/>
    </row>
    <row r="20615" spans="6:6">
      <c r="F20615" s="2423"/>
    </row>
    <row r="20616" spans="6:6">
      <c r="F20616" s="2423"/>
    </row>
    <row r="20617" spans="6:6">
      <c r="F20617" s="2423"/>
    </row>
    <row r="20618" spans="6:6">
      <c r="F20618" s="2423"/>
    </row>
    <row r="20619" spans="6:6">
      <c r="F20619" s="2423"/>
    </row>
    <row r="20620" spans="6:6">
      <c r="F20620" s="2423"/>
    </row>
    <row r="20621" spans="6:6">
      <c r="F20621" s="2423"/>
    </row>
    <row r="20622" spans="6:6">
      <c r="F20622" s="2423"/>
    </row>
    <row r="20623" spans="6:6">
      <c r="F20623" s="2423"/>
    </row>
    <row r="20624" spans="6:6">
      <c r="F20624" s="2423"/>
    </row>
    <row r="20625" spans="6:6">
      <c r="F20625" s="2423"/>
    </row>
    <row r="20626" spans="6:6">
      <c r="F20626" s="2423"/>
    </row>
    <row r="20627" spans="6:6">
      <c r="F20627" s="2423"/>
    </row>
    <row r="20628" spans="6:6">
      <c r="F20628" s="2423"/>
    </row>
    <row r="20629" spans="6:6">
      <c r="F20629" s="2423"/>
    </row>
    <row r="20630" spans="6:6">
      <c r="F20630" s="2423"/>
    </row>
    <row r="20631" spans="6:6">
      <c r="F20631" s="2423"/>
    </row>
    <row r="20632" spans="6:6">
      <c r="F20632" s="2423"/>
    </row>
    <row r="20633" spans="6:6">
      <c r="F20633" s="2423"/>
    </row>
    <row r="20634" spans="6:6">
      <c r="F20634" s="2423"/>
    </row>
    <row r="20635" spans="6:6">
      <c r="F20635" s="2423"/>
    </row>
    <row r="20636" spans="6:6">
      <c r="F20636" s="2423"/>
    </row>
    <row r="20637" spans="6:6">
      <c r="F20637" s="2423"/>
    </row>
    <row r="20638" spans="6:6">
      <c r="F20638" s="2423"/>
    </row>
    <row r="20639" spans="6:6">
      <c r="F20639" s="2423"/>
    </row>
    <row r="20640" spans="6:6">
      <c r="F20640" s="2423"/>
    </row>
    <row r="20641" spans="6:6">
      <c r="F20641" s="2423"/>
    </row>
    <row r="20642" spans="6:6">
      <c r="F20642" s="2423"/>
    </row>
    <row r="20643" spans="6:6">
      <c r="F20643" s="2423"/>
    </row>
    <row r="20644" spans="6:6">
      <c r="F20644" s="2423"/>
    </row>
    <row r="20645" spans="6:6">
      <c r="F20645" s="2423"/>
    </row>
    <row r="20646" spans="6:6">
      <c r="F20646" s="2423"/>
    </row>
    <row r="20647" spans="6:6">
      <c r="F20647" s="2423"/>
    </row>
    <row r="20648" spans="6:6">
      <c r="F20648" s="2423"/>
    </row>
    <row r="20649" spans="6:6">
      <c r="F20649" s="2423"/>
    </row>
    <row r="20650" spans="6:6">
      <c r="F20650" s="2423"/>
    </row>
    <row r="20651" spans="6:6">
      <c r="F20651" s="2423"/>
    </row>
    <row r="20652" spans="6:6">
      <c r="F20652" s="2423"/>
    </row>
    <row r="20653" spans="6:6">
      <c r="F20653" s="2423"/>
    </row>
    <row r="20654" spans="6:6">
      <c r="F20654" s="2423"/>
    </row>
    <row r="20655" spans="6:6">
      <c r="F20655" s="2423"/>
    </row>
    <row r="20656" spans="6:6">
      <c r="F20656" s="2423"/>
    </row>
    <row r="20657" spans="6:6">
      <c r="F20657" s="2423"/>
    </row>
    <row r="20658" spans="6:6">
      <c r="F20658" s="2423"/>
    </row>
    <row r="20659" spans="6:6">
      <c r="F20659" s="2423"/>
    </row>
    <row r="20660" spans="6:6">
      <c r="F20660" s="2423"/>
    </row>
    <row r="20661" spans="6:6">
      <c r="F20661" s="2423"/>
    </row>
    <row r="20662" spans="6:6">
      <c r="F20662" s="2423"/>
    </row>
    <row r="20663" spans="6:6">
      <c r="F20663" s="2423"/>
    </row>
    <row r="20664" spans="6:6">
      <c r="F20664" s="2423"/>
    </row>
    <row r="20665" spans="6:6">
      <c r="F20665" s="2423"/>
    </row>
    <row r="20666" spans="6:6">
      <c r="F20666" s="2423"/>
    </row>
    <row r="20667" spans="6:6">
      <c r="F20667" s="2423"/>
    </row>
    <row r="20668" spans="6:6">
      <c r="F20668" s="2423"/>
    </row>
    <row r="20669" spans="6:6">
      <c r="F20669" s="2423"/>
    </row>
    <row r="20670" spans="6:6">
      <c r="F20670" s="2423"/>
    </row>
    <row r="20671" spans="6:6">
      <c r="F20671" s="2423"/>
    </row>
    <row r="20672" spans="6:6">
      <c r="F20672" s="2423"/>
    </row>
    <row r="20673" spans="6:6">
      <c r="F20673" s="2423"/>
    </row>
    <row r="20674" spans="6:6">
      <c r="F20674" s="2423"/>
    </row>
    <row r="20675" spans="6:6">
      <c r="F20675" s="2423"/>
    </row>
    <row r="20676" spans="6:6">
      <c r="F20676" s="2423"/>
    </row>
    <row r="20677" spans="6:6">
      <c r="F20677" s="2423"/>
    </row>
    <row r="20678" spans="6:6">
      <c r="F20678" s="2423"/>
    </row>
    <row r="20679" spans="6:6">
      <c r="F20679" s="2423"/>
    </row>
    <row r="20680" spans="6:6">
      <c r="F20680" s="2423"/>
    </row>
    <row r="20681" spans="6:6">
      <c r="F20681" s="2423"/>
    </row>
    <row r="20682" spans="6:6">
      <c r="F20682" s="2423"/>
    </row>
    <row r="20683" spans="6:6">
      <c r="F20683" s="2423"/>
    </row>
    <row r="20684" spans="6:6">
      <c r="F20684" s="2423"/>
    </row>
    <row r="20685" spans="6:6">
      <c r="F20685" s="2423"/>
    </row>
    <row r="20686" spans="6:6">
      <c r="F20686" s="2423"/>
    </row>
    <row r="20687" spans="6:6">
      <c r="F20687" s="2423"/>
    </row>
    <row r="20688" spans="6:6">
      <c r="F20688" s="2423"/>
    </row>
    <row r="20689" spans="6:6">
      <c r="F20689" s="2423"/>
    </row>
    <row r="20690" spans="6:6">
      <c r="F20690" s="2423"/>
    </row>
    <row r="20691" spans="6:6">
      <c r="F20691" s="2423"/>
    </row>
    <row r="20692" spans="6:6">
      <c r="F20692" s="2423"/>
    </row>
    <row r="20693" spans="6:6">
      <c r="F20693" s="2423"/>
    </row>
    <row r="20694" spans="6:6">
      <c r="F20694" s="2423"/>
    </row>
    <row r="20695" spans="6:6">
      <c r="F20695" s="2423"/>
    </row>
    <row r="20696" spans="6:6">
      <c r="F20696" s="2423"/>
    </row>
    <row r="20697" spans="6:6">
      <c r="F20697" s="2423"/>
    </row>
    <row r="20698" spans="6:6">
      <c r="F20698" s="2423"/>
    </row>
    <row r="20699" spans="6:6">
      <c r="F20699" s="2423"/>
    </row>
    <row r="20700" spans="6:6">
      <c r="F20700" s="2423"/>
    </row>
    <row r="20701" spans="6:6">
      <c r="F20701" s="2423"/>
    </row>
    <row r="20702" spans="6:6">
      <c r="F20702" s="2423"/>
    </row>
    <row r="20703" spans="6:6">
      <c r="F20703" s="2423"/>
    </row>
    <row r="20704" spans="6:6">
      <c r="F20704" s="2423"/>
    </row>
    <row r="20705" spans="6:6">
      <c r="F20705" s="2423"/>
    </row>
    <row r="20706" spans="6:6">
      <c r="F20706" s="2423"/>
    </row>
    <row r="20707" spans="6:6">
      <c r="F20707" s="2423"/>
    </row>
    <row r="20708" spans="6:6">
      <c r="F20708" s="2423"/>
    </row>
    <row r="20709" spans="6:6">
      <c r="F20709" s="2423"/>
    </row>
    <row r="20710" spans="6:6">
      <c r="F20710" s="2423"/>
    </row>
    <row r="20711" spans="6:6">
      <c r="F20711" s="2423"/>
    </row>
    <row r="20712" spans="6:6">
      <c r="F20712" s="2423"/>
    </row>
    <row r="20713" spans="6:6">
      <c r="F20713" s="2423"/>
    </row>
    <row r="20714" spans="6:6">
      <c r="F20714" s="2423"/>
    </row>
    <row r="20715" spans="6:6">
      <c r="F20715" s="2423"/>
    </row>
    <row r="20716" spans="6:6">
      <c r="F20716" s="2423"/>
    </row>
    <row r="20717" spans="6:6">
      <c r="F20717" s="2423"/>
    </row>
    <row r="20718" spans="6:6">
      <c r="F20718" s="2423"/>
    </row>
    <row r="20719" spans="6:6">
      <c r="F20719" s="2423"/>
    </row>
    <row r="20720" spans="6:6">
      <c r="F20720" s="2423"/>
    </row>
    <row r="20721" spans="6:6">
      <c r="F20721" s="2423"/>
    </row>
    <row r="20722" spans="6:6">
      <c r="F20722" s="2423"/>
    </row>
    <row r="20723" spans="6:6">
      <c r="F20723" s="2423"/>
    </row>
    <row r="20724" spans="6:6">
      <c r="F20724" s="2423"/>
    </row>
    <row r="20725" spans="6:6">
      <c r="F20725" s="2423"/>
    </row>
    <row r="20726" spans="6:6">
      <c r="F20726" s="2423"/>
    </row>
    <row r="20727" spans="6:6">
      <c r="F20727" s="2423"/>
    </row>
    <row r="20728" spans="6:6">
      <c r="F20728" s="2423"/>
    </row>
    <row r="20729" spans="6:6">
      <c r="F20729" s="2423"/>
    </row>
    <row r="20730" spans="6:6">
      <c r="F20730" s="2423"/>
    </row>
    <row r="20731" spans="6:6">
      <c r="F20731" s="2423"/>
    </row>
    <row r="20732" spans="6:6">
      <c r="F20732" s="2423"/>
    </row>
    <row r="20733" spans="6:6">
      <c r="F20733" s="2423"/>
    </row>
    <row r="20734" spans="6:6">
      <c r="F20734" s="2423"/>
    </row>
    <row r="20735" spans="6:6">
      <c r="F20735" s="2423"/>
    </row>
    <row r="20736" spans="6:6">
      <c r="F20736" s="2423"/>
    </row>
    <row r="20737" spans="6:6">
      <c r="F20737" s="2423"/>
    </row>
    <row r="20738" spans="6:6">
      <c r="F20738" s="2423"/>
    </row>
    <row r="20739" spans="6:6">
      <c r="F20739" s="2423"/>
    </row>
    <row r="20740" spans="6:6">
      <c r="F20740" s="2423"/>
    </row>
    <row r="20741" spans="6:6">
      <c r="F20741" s="2423"/>
    </row>
    <row r="20742" spans="6:6">
      <c r="F20742" s="2423"/>
    </row>
    <row r="20743" spans="6:6">
      <c r="F20743" s="2423"/>
    </row>
    <row r="20744" spans="6:6">
      <c r="F20744" s="2423"/>
    </row>
    <row r="20745" spans="6:6">
      <c r="F20745" s="2423"/>
    </row>
    <row r="20746" spans="6:6">
      <c r="F20746" s="2423"/>
    </row>
    <row r="20747" spans="6:6">
      <c r="F20747" s="2423"/>
    </row>
    <row r="20748" spans="6:6">
      <c r="F20748" s="2423"/>
    </row>
    <row r="20749" spans="6:6">
      <c r="F20749" s="2423"/>
    </row>
    <row r="20750" spans="6:6">
      <c r="F20750" s="2423"/>
    </row>
    <row r="20751" spans="6:6">
      <c r="F20751" s="2423"/>
    </row>
    <row r="20752" spans="6:6">
      <c r="F20752" s="2423"/>
    </row>
    <row r="20753" spans="6:6">
      <c r="F20753" s="2423"/>
    </row>
    <row r="20754" spans="6:6">
      <c r="F20754" s="2423"/>
    </row>
    <row r="20755" spans="6:6">
      <c r="F20755" s="2423"/>
    </row>
    <row r="20756" spans="6:6">
      <c r="F20756" s="2423"/>
    </row>
    <row r="20757" spans="6:6">
      <c r="F20757" s="2423"/>
    </row>
    <row r="20758" spans="6:6">
      <c r="F20758" s="2423"/>
    </row>
    <row r="20759" spans="6:6">
      <c r="F20759" s="2423"/>
    </row>
    <row r="20760" spans="6:6">
      <c r="F20760" s="2423"/>
    </row>
    <row r="20761" spans="6:6">
      <c r="F20761" s="2423"/>
    </row>
    <row r="20762" spans="6:6">
      <c r="F20762" s="2423"/>
    </row>
    <row r="20763" spans="6:6">
      <c r="F20763" s="2423"/>
    </row>
    <row r="20764" spans="6:6">
      <c r="F20764" s="2423"/>
    </row>
    <row r="20765" spans="6:6">
      <c r="F20765" s="2423"/>
    </row>
    <row r="20766" spans="6:6">
      <c r="F20766" s="2423"/>
    </row>
    <row r="20767" spans="6:6">
      <c r="F20767" s="2423"/>
    </row>
    <row r="20768" spans="6:6">
      <c r="F20768" s="2423"/>
    </row>
    <row r="20769" spans="6:6">
      <c r="F20769" s="2423"/>
    </row>
    <row r="20770" spans="6:6">
      <c r="F20770" s="2423"/>
    </row>
    <row r="20771" spans="6:6">
      <c r="F20771" s="2423"/>
    </row>
    <row r="20772" spans="6:6">
      <c r="F20772" s="2423"/>
    </row>
    <row r="20773" spans="6:6">
      <c r="F20773" s="2423"/>
    </row>
    <row r="20774" spans="6:6">
      <c r="F20774" s="2423"/>
    </row>
    <row r="20775" spans="6:6">
      <c r="F20775" s="2423"/>
    </row>
    <row r="20776" spans="6:6">
      <c r="F20776" s="2423"/>
    </row>
    <row r="20777" spans="6:6">
      <c r="F20777" s="2423"/>
    </row>
    <row r="20778" spans="6:6">
      <c r="F20778" s="2423"/>
    </row>
    <row r="20779" spans="6:6">
      <c r="F20779" s="2423"/>
    </row>
    <row r="20780" spans="6:6">
      <c r="F20780" s="2423"/>
    </row>
    <row r="20781" spans="6:6">
      <c r="F20781" s="2423"/>
    </row>
    <row r="20782" spans="6:6">
      <c r="F20782" s="2423"/>
    </row>
    <row r="20783" spans="6:6">
      <c r="F20783" s="2423"/>
    </row>
    <row r="20784" spans="6:6">
      <c r="F20784" s="2423"/>
    </row>
    <row r="20785" spans="6:6">
      <c r="F20785" s="2423"/>
    </row>
    <row r="20786" spans="6:6">
      <c r="F20786" s="2423"/>
    </row>
    <row r="20787" spans="6:6">
      <c r="F20787" s="2423"/>
    </row>
    <row r="20788" spans="6:6">
      <c r="F20788" s="2423"/>
    </row>
    <row r="20789" spans="6:6">
      <c r="F20789" s="2423"/>
    </row>
    <row r="20790" spans="6:6">
      <c r="F20790" s="2423"/>
    </row>
    <row r="20791" spans="6:6">
      <c r="F20791" s="2423"/>
    </row>
    <row r="20792" spans="6:6">
      <c r="F20792" s="2423"/>
    </row>
    <row r="20793" spans="6:6">
      <c r="F20793" s="2423"/>
    </row>
    <row r="20794" spans="6:6">
      <c r="F20794" s="2423"/>
    </row>
    <row r="20795" spans="6:6">
      <c r="F20795" s="2423"/>
    </row>
    <row r="20796" spans="6:6">
      <c r="F20796" s="2423"/>
    </row>
    <row r="20797" spans="6:6">
      <c r="F20797" s="2423"/>
    </row>
    <row r="20798" spans="6:6">
      <c r="F20798" s="2423"/>
    </row>
    <row r="20799" spans="6:6">
      <c r="F20799" s="2423"/>
    </row>
    <row r="20800" spans="6:6">
      <c r="F20800" s="2423"/>
    </row>
    <row r="20801" spans="6:6">
      <c r="F20801" s="2423"/>
    </row>
    <row r="20802" spans="6:6">
      <c r="F20802" s="2423"/>
    </row>
    <row r="20803" spans="6:6">
      <c r="F20803" s="2423"/>
    </row>
    <row r="20804" spans="6:6">
      <c r="F20804" s="2423"/>
    </row>
    <row r="20805" spans="6:6">
      <c r="F20805" s="2423"/>
    </row>
    <row r="20806" spans="6:6">
      <c r="F20806" s="2423"/>
    </row>
    <row r="20807" spans="6:6">
      <c r="F20807" s="2423"/>
    </row>
    <row r="20808" spans="6:6">
      <c r="F20808" s="2423"/>
    </row>
    <row r="20809" spans="6:6">
      <c r="F20809" s="2423"/>
    </row>
    <row r="20810" spans="6:6">
      <c r="F20810" s="2423"/>
    </row>
    <row r="20811" spans="6:6">
      <c r="F20811" s="2423"/>
    </row>
    <row r="20812" spans="6:6">
      <c r="F20812" s="2423"/>
    </row>
    <row r="20813" spans="6:6">
      <c r="F20813" s="2423"/>
    </row>
    <row r="20814" spans="6:6">
      <c r="F20814" s="2423"/>
    </row>
    <row r="20815" spans="6:6">
      <c r="F20815" s="2423"/>
    </row>
    <row r="20816" spans="6:6">
      <c r="F20816" s="2423"/>
    </row>
    <row r="20817" spans="6:6">
      <c r="F20817" s="2423"/>
    </row>
    <row r="20818" spans="6:6">
      <c r="F20818" s="2423"/>
    </row>
    <row r="20819" spans="6:6">
      <c r="F20819" s="2423"/>
    </row>
    <row r="20820" spans="6:6">
      <c r="F20820" s="2423"/>
    </row>
    <row r="20821" spans="6:6">
      <c r="F20821" s="2423"/>
    </row>
    <row r="20822" spans="6:6">
      <c r="F20822" s="2423"/>
    </row>
    <row r="20823" spans="6:6">
      <c r="F20823" s="2423"/>
    </row>
    <row r="20824" spans="6:6">
      <c r="F20824" s="2423"/>
    </row>
    <row r="20825" spans="6:6">
      <c r="F20825" s="2423"/>
    </row>
    <row r="20826" spans="6:6">
      <c r="F20826" s="2423"/>
    </row>
    <row r="20827" spans="6:6">
      <c r="F20827" s="2423"/>
    </row>
    <row r="20828" spans="6:6">
      <c r="F20828" s="2423"/>
    </row>
    <row r="20829" spans="6:6">
      <c r="F20829" s="2423"/>
    </row>
    <row r="20830" spans="6:6">
      <c r="F20830" s="2423"/>
    </row>
    <row r="20831" spans="6:6">
      <c r="F20831" s="2423"/>
    </row>
    <row r="20832" spans="6:6">
      <c r="F20832" s="2423"/>
    </row>
    <row r="20833" spans="6:6">
      <c r="F20833" s="2423"/>
    </row>
    <row r="20834" spans="6:6">
      <c r="F20834" s="2423"/>
    </row>
    <row r="20835" spans="6:6">
      <c r="F20835" s="2423"/>
    </row>
    <row r="20836" spans="6:6">
      <c r="F20836" s="2423"/>
    </row>
    <row r="20837" spans="6:6">
      <c r="F20837" s="2423"/>
    </row>
    <row r="20838" spans="6:6">
      <c r="F20838" s="2423"/>
    </row>
    <row r="20839" spans="6:6">
      <c r="F20839" s="2423"/>
    </row>
    <row r="20840" spans="6:6">
      <c r="F20840" s="2423"/>
    </row>
    <row r="20841" spans="6:6">
      <c r="F20841" s="2423"/>
    </row>
    <row r="20842" spans="6:6">
      <c r="F20842" s="2423"/>
    </row>
    <row r="20843" spans="6:6">
      <c r="F20843" s="2423"/>
    </row>
    <row r="20844" spans="6:6">
      <c r="F20844" s="2423"/>
    </row>
    <row r="20845" spans="6:6">
      <c r="F20845" s="2423"/>
    </row>
    <row r="20846" spans="6:6">
      <c r="F20846" s="2423"/>
    </row>
    <row r="20847" spans="6:6">
      <c r="F20847" s="2423"/>
    </row>
    <row r="20848" spans="6:6">
      <c r="F20848" s="2423"/>
    </row>
    <row r="20849" spans="6:6">
      <c r="F20849" s="2423"/>
    </row>
    <row r="20850" spans="6:6">
      <c r="F20850" s="2423"/>
    </row>
    <row r="20851" spans="6:6">
      <c r="F20851" s="2423"/>
    </row>
    <row r="20852" spans="6:6">
      <c r="F20852" s="2423"/>
    </row>
    <row r="20853" spans="6:6">
      <c r="F20853" s="2423"/>
    </row>
    <row r="20854" spans="6:6">
      <c r="F20854" s="2423"/>
    </row>
    <row r="20855" spans="6:6">
      <c r="F20855" s="2423"/>
    </row>
    <row r="20856" spans="6:6">
      <c r="F20856" s="2423"/>
    </row>
    <row r="20857" spans="6:6">
      <c r="F20857" s="2423"/>
    </row>
    <row r="20858" spans="6:6">
      <c r="F20858" s="2423"/>
    </row>
    <row r="20859" spans="6:6">
      <c r="F20859" s="2423"/>
    </row>
    <row r="20860" spans="6:6">
      <c r="F20860" s="2423"/>
    </row>
    <row r="20861" spans="6:6">
      <c r="F20861" s="2423"/>
    </row>
    <row r="20862" spans="6:6">
      <c r="F20862" s="2423"/>
    </row>
    <row r="20863" spans="6:6">
      <c r="F20863" s="2423"/>
    </row>
    <row r="20864" spans="6:6">
      <c r="F20864" s="2423"/>
    </row>
    <row r="20865" spans="6:6">
      <c r="F20865" s="2423"/>
    </row>
    <row r="20866" spans="6:6">
      <c r="F20866" s="2423"/>
    </row>
    <row r="20867" spans="6:6">
      <c r="F20867" s="2423"/>
    </row>
    <row r="20868" spans="6:6">
      <c r="F20868" s="2423"/>
    </row>
    <row r="20869" spans="6:6">
      <c r="F20869" s="2423"/>
    </row>
    <row r="20870" spans="6:6">
      <c r="F20870" s="2423"/>
    </row>
    <row r="20871" spans="6:6">
      <c r="F20871" s="2423"/>
    </row>
    <row r="20872" spans="6:6">
      <c r="F20872" s="2423"/>
    </row>
    <row r="20873" spans="6:6">
      <c r="F20873" s="2423"/>
    </row>
    <row r="20874" spans="6:6">
      <c r="F20874" s="2423"/>
    </row>
    <row r="20875" spans="6:6">
      <c r="F20875" s="2423"/>
    </row>
    <row r="20876" spans="6:6">
      <c r="F20876" s="2423"/>
    </row>
    <row r="20877" spans="6:6">
      <c r="F20877" s="2423"/>
    </row>
    <row r="20878" spans="6:6">
      <c r="F20878" s="2423"/>
    </row>
    <row r="20879" spans="6:6">
      <c r="F20879" s="2423"/>
    </row>
    <row r="20880" spans="6:6">
      <c r="F20880" s="2423"/>
    </row>
    <row r="20881" spans="6:6">
      <c r="F20881" s="2423"/>
    </row>
    <row r="20882" spans="6:6">
      <c r="F20882" s="2423"/>
    </row>
    <row r="20883" spans="6:6">
      <c r="F20883" s="2423"/>
    </row>
    <row r="20884" spans="6:6">
      <c r="F20884" s="2423"/>
    </row>
    <row r="20885" spans="6:6">
      <c r="F20885" s="2423"/>
    </row>
    <row r="20886" spans="6:6">
      <c r="F20886" s="2423"/>
    </row>
    <row r="20887" spans="6:6">
      <c r="F20887" s="2423"/>
    </row>
    <row r="20888" spans="6:6">
      <c r="F20888" s="2423"/>
    </row>
    <row r="20889" spans="6:6">
      <c r="F20889" s="2423"/>
    </row>
    <row r="20890" spans="6:6">
      <c r="F20890" s="2423"/>
    </row>
    <row r="20891" spans="6:6">
      <c r="F20891" s="2423"/>
    </row>
    <row r="20892" spans="6:6">
      <c r="F20892" s="2423"/>
    </row>
    <row r="20893" spans="6:6">
      <c r="F20893" s="2423"/>
    </row>
    <row r="20894" spans="6:6">
      <c r="F20894" s="2423"/>
    </row>
    <row r="20895" spans="6:6">
      <c r="F20895" s="2423"/>
    </row>
    <row r="20896" spans="6:6">
      <c r="F20896" s="2423"/>
    </row>
    <row r="20897" spans="6:6">
      <c r="F20897" s="2423"/>
    </row>
    <row r="20898" spans="6:6">
      <c r="F20898" s="2423"/>
    </row>
    <row r="20899" spans="6:6">
      <c r="F20899" s="2423"/>
    </row>
    <row r="20900" spans="6:6">
      <c r="F20900" s="2423"/>
    </row>
    <row r="20901" spans="6:6">
      <c r="F20901" s="2423"/>
    </row>
    <row r="20902" spans="6:6">
      <c r="F20902" s="2423"/>
    </row>
    <row r="20903" spans="6:6">
      <c r="F20903" s="2423"/>
    </row>
    <row r="20904" spans="6:6">
      <c r="F20904" s="2423"/>
    </row>
    <row r="20905" spans="6:6">
      <c r="F20905" s="2423"/>
    </row>
    <row r="20906" spans="6:6">
      <c r="F20906" s="2423"/>
    </row>
    <row r="20907" spans="6:6">
      <c r="F20907" s="2423"/>
    </row>
    <row r="20908" spans="6:6">
      <c r="F20908" s="2423"/>
    </row>
    <row r="20909" spans="6:6">
      <c r="F20909" s="2423"/>
    </row>
    <row r="20910" spans="6:6">
      <c r="F20910" s="2423"/>
    </row>
    <row r="20911" spans="6:6">
      <c r="F20911" s="2423"/>
    </row>
    <row r="20912" spans="6:6">
      <c r="F20912" s="2423"/>
    </row>
    <row r="20913" spans="6:6">
      <c r="F20913" s="2423"/>
    </row>
    <row r="20914" spans="6:6">
      <c r="F20914" s="2423"/>
    </row>
    <row r="20915" spans="6:6">
      <c r="F20915" s="2423"/>
    </row>
    <row r="20916" spans="6:6">
      <c r="F20916" s="2423"/>
    </row>
    <row r="20917" spans="6:6">
      <c r="F20917" s="2423"/>
    </row>
    <row r="20918" spans="6:6">
      <c r="F20918" s="2423"/>
    </row>
    <row r="20919" spans="6:6">
      <c r="F20919" s="2423"/>
    </row>
    <row r="20920" spans="6:6">
      <c r="F20920" s="2423"/>
    </row>
    <row r="20921" spans="6:6">
      <c r="F20921" s="2423"/>
    </row>
    <row r="20922" spans="6:6">
      <c r="F20922" s="2423"/>
    </row>
    <row r="20923" spans="6:6">
      <c r="F20923" s="2423"/>
    </row>
    <row r="20924" spans="6:6">
      <c r="F20924" s="2423"/>
    </row>
    <row r="20925" spans="6:6">
      <c r="F20925" s="2423"/>
    </row>
    <row r="20926" spans="6:6">
      <c r="F20926" s="2423"/>
    </row>
    <row r="20927" spans="6:6">
      <c r="F20927" s="2423"/>
    </row>
    <row r="20928" spans="6:6">
      <c r="F20928" s="2423"/>
    </row>
    <row r="20929" spans="6:6">
      <c r="F20929" s="2423"/>
    </row>
    <row r="20930" spans="6:6">
      <c r="F20930" s="2423"/>
    </row>
    <row r="20931" spans="6:6">
      <c r="F20931" s="2423"/>
    </row>
    <row r="20932" spans="6:6">
      <c r="F20932" s="2423"/>
    </row>
    <row r="20933" spans="6:6">
      <c r="F20933" s="2423"/>
    </row>
    <row r="20934" spans="6:6">
      <c r="F20934" s="2423"/>
    </row>
    <row r="20935" spans="6:6">
      <c r="F20935" s="2423"/>
    </row>
    <row r="20936" spans="6:6">
      <c r="F20936" s="2423"/>
    </row>
    <row r="20937" spans="6:6">
      <c r="F20937" s="2423"/>
    </row>
    <row r="20938" spans="6:6">
      <c r="F20938" s="2423"/>
    </row>
    <row r="20939" spans="6:6">
      <c r="F20939" s="2423"/>
    </row>
    <row r="20940" spans="6:6">
      <c r="F20940" s="2423"/>
    </row>
    <row r="20941" spans="6:6">
      <c r="F20941" s="2423"/>
    </row>
    <row r="20942" spans="6:6">
      <c r="F20942" s="2423"/>
    </row>
    <row r="20943" spans="6:6">
      <c r="F20943" s="2423"/>
    </row>
    <row r="20944" spans="6:6">
      <c r="F20944" s="2423"/>
    </row>
    <row r="20945" spans="6:6">
      <c r="F20945" s="2423"/>
    </row>
    <row r="20946" spans="6:6">
      <c r="F20946" s="2423"/>
    </row>
    <row r="20947" spans="6:6">
      <c r="F20947" s="2423"/>
    </row>
    <row r="20948" spans="6:6">
      <c r="F20948" s="2423"/>
    </row>
    <row r="20949" spans="6:6">
      <c r="F20949" s="2423"/>
    </row>
    <row r="20950" spans="6:6">
      <c r="F20950" s="2423"/>
    </row>
    <row r="20951" spans="6:6">
      <c r="F20951" s="2423"/>
    </row>
    <row r="20952" spans="6:6">
      <c r="F20952" s="2423"/>
    </row>
    <row r="20953" spans="6:6">
      <c r="F20953" s="2423"/>
    </row>
    <row r="20954" spans="6:6">
      <c r="F20954" s="2423"/>
    </row>
    <row r="20955" spans="6:6">
      <c r="F20955" s="2423"/>
    </row>
    <row r="20956" spans="6:6">
      <c r="F20956" s="2423"/>
    </row>
    <row r="20957" spans="6:6">
      <c r="F20957" s="2423"/>
    </row>
    <row r="20958" spans="6:6">
      <c r="F20958" s="2423"/>
    </row>
    <row r="20959" spans="6:6">
      <c r="F20959" s="2423"/>
    </row>
    <row r="20960" spans="6:6">
      <c r="F20960" s="2423"/>
    </row>
    <row r="20961" spans="6:6">
      <c r="F20961" s="2423"/>
    </row>
    <row r="20962" spans="6:6">
      <c r="F20962" s="2423"/>
    </row>
    <row r="20963" spans="6:6">
      <c r="F20963" s="2423"/>
    </row>
    <row r="20964" spans="6:6">
      <c r="F20964" s="2423"/>
    </row>
    <row r="20965" spans="6:6">
      <c r="F20965" s="2423"/>
    </row>
    <row r="20966" spans="6:6">
      <c r="F20966" s="2423"/>
    </row>
    <row r="20967" spans="6:6">
      <c r="F20967" s="2423"/>
    </row>
    <row r="20968" spans="6:6">
      <c r="F20968" s="2423"/>
    </row>
    <row r="20969" spans="6:6">
      <c r="F20969" s="2423"/>
    </row>
    <row r="20970" spans="6:6">
      <c r="F20970" s="2423"/>
    </row>
    <row r="20971" spans="6:6">
      <c r="F20971" s="2423"/>
    </row>
    <row r="20972" spans="6:6">
      <c r="F20972" s="2423"/>
    </row>
    <row r="20973" spans="6:6">
      <c r="F20973" s="2423"/>
    </row>
    <row r="20974" spans="6:6">
      <c r="F20974" s="2423"/>
    </row>
    <row r="20975" spans="6:6">
      <c r="F20975" s="2423"/>
    </row>
    <row r="20976" spans="6:6">
      <c r="F20976" s="2423"/>
    </row>
    <row r="20977" spans="6:6">
      <c r="F20977" s="2423"/>
    </row>
    <row r="20978" spans="6:6">
      <c r="F20978" s="2423"/>
    </row>
    <row r="20979" spans="6:6">
      <c r="F20979" s="2423"/>
    </row>
    <row r="20980" spans="6:6">
      <c r="F20980" s="2423"/>
    </row>
    <row r="20981" spans="6:6">
      <c r="F20981" s="2423"/>
    </row>
    <row r="20982" spans="6:6">
      <c r="F20982" s="2423"/>
    </row>
    <row r="20983" spans="6:6">
      <c r="F20983" s="2423"/>
    </row>
    <row r="20984" spans="6:6">
      <c r="F20984" s="2423"/>
    </row>
    <row r="20985" spans="6:6">
      <c r="F20985" s="2423"/>
    </row>
    <row r="20986" spans="6:6">
      <c r="F20986" s="2423"/>
    </row>
    <row r="20987" spans="6:6">
      <c r="F20987" s="2423"/>
    </row>
    <row r="20988" spans="6:6">
      <c r="F20988" s="2423"/>
    </row>
    <row r="20989" spans="6:6">
      <c r="F20989" s="2423"/>
    </row>
    <row r="20990" spans="6:6">
      <c r="F20990" s="2423"/>
    </row>
    <row r="20991" spans="6:6">
      <c r="F20991" s="2423"/>
    </row>
    <row r="20992" spans="6:6">
      <c r="F20992" s="2423"/>
    </row>
    <row r="20993" spans="6:6">
      <c r="F20993" s="2423"/>
    </row>
    <row r="20994" spans="6:6">
      <c r="F20994" s="2423"/>
    </row>
    <row r="20995" spans="6:6">
      <c r="F20995" s="2423"/>
    </row>
    <row r="20996" spans="6:6">
      <c r="F20996" s="2423"/>
    </row>
    <row r="20997" spans="6:6">
      <c r="F20997" s="2423"/>
    </row>
    <row r="20998" spans="6:6">
      <c r="F20998" s="2423"/>
    </row>
    <row r="20999" spans="6:6">
      <c r="F20999" s="2423"/>
    </row>
    <row r="21000" spans="6:6">
      <c r="F21000" s="2423"/>
    </row>
    <row r="21001" spans="6:6">
      <c r="F21001" s="2423"/>
    </row>
    <row r="21002" spans="6:6">
      <c r="F21002" s="2423"/>
    </row>
    <row r="21003" spans="6:6">
      <c r="F21003" s="2423"/>
    </row>
    <row r="21004" spans="6:6">
      <c r="F21004" s="2423"/>
    </row>
    <row r="21005" spans="6:6">
      <c r="F21005" s="2423"/>
    </row>
    <row r="21006" spans="6:6">
      <c r="F21006" s="2423"/>
    </row>
    <row r="21007" spans="6:6">
      <c r="F21007" s="2423"/>
    </row>
    <row r="21008" spans="6:6">
      <c r="F21008" s="2423"/>
    </row>
    <row r="21009" spans="6:6">
      <c r="F21009" s="2423"/>
    </row>
    <row r="21010" spans="6:6">
      <c r="F21010" s="2423"/>
    </row>
    <row r="21011" spans="6:6">
      <c r="F21011" s="2423"/>
    </row>
    <row r="21012" spans="6:6">
      <c r="F21012" s="2423"/>
    </row>
    <row r="21013" spans="6:6">
      <c r="F21013" s="2423"/>
    </row>
    <row r="21014" spans="6:6">
      <c r="F21014" s="2423"/>
    </row>
    <row r="21015" spans="6:6">
      <c r="F21015" s="2423"/>
    </row>
    <row r="21016" spans="6:6">
      <c r="F21016" s="2423"/>
    </row>
    <row r="21017" spans="6:6">
      <c r="F21017" s="2423"/>
    </row>
    <row r="21018" spans="6:6">
      <c r="F21018" s="2423"/>
    </row>
    <row r="21019" spans="6:6">
      <c r="F21019" s="2423"/>
    </row>
    <row r="21020" spans="6:6">
      <c r="F21020" s="2423"/>
    </row>
    <row r="21021" spans="6:6">
      <c r="F21021" s="2423"/>
    </row>
    <row r="21022" spans="6:6">
      <c r="F21022" s="2423"/>
    </row>
    <row r="21023" spans="6:6">
      <c r="F21023" s="2423"/>
    </row>
    <row r="21024" spans="6:6">
      <c r="F21024" s="2423"/>
    </row>
    <row r="21025" spans="6:6">
      <c r="F21025" s="2423"/>
    </row>
    <row r="21026" spans="6:6">
      <c r="F21026" s="2423"/>
    </row>
    <row r="21027" spans="6:6">
      <c r="F21027" s="2423"/>
    </row>
    <row r="21028" spans="6:6">
      <c r="F21028" s="2423"/>
    </row>
    <row r="21029" spans="6:6">
      <c r="F21029" s="2423"/>
    </row>
    <row r="21030" spans="6:6">
      <c r="F21030" s="2423"/>
    </row>
    <row r="21031" spans="6:6">
      <c r="F21031" s="2423"/>
    </row>
    <row r="21032" spans="6:6">
      <c r="F21032" s="2423"/>
    </row>
    <row r="21033" spans="6:6">
      <c r="F21033" s="2423"/>
    </row>
    <row r="21034" spans="6:6">
      <c r="F21034" s="2423"/>
    </row>
    <row r="21035" spans="6:6">
      <c r="F21035" s="2423"/>
    </row>
    <row r="21036" spans="6:6">
      <c r="F21036" s="2423"/>
    </row>
    <row r="21037" spans="6:6">
      <c r="F21037" s="2423"/>
    </row>
    <row r="21038" spans="6:6">
      <c r="F21038" s="2423"/>
    </row>
    <row r="21039" spans="6:6">
      <c r="F21039" s="2423"/>
    </row>
    <row r="21040" spans="6:6">
      <c r="F21040" s="2423"/>
    </row>
    <row r="21041" spans="6:6">
      <c r="F21041" s="2423"/>
    </row>
    <row r="21042" spans="6:6">
      <c r="F21042" s="2423"/>
    </row>
    <row r="21043" spans="6:6">
      <c r="F21043" s="2423"/>
    </row>
    <row r="21044" spans="6:6">
      <c r="F21044" s="2423"/>
    </row>
    <row r="21045" spans="6:6">
      <c r="F21045" s="2423"/>
    </row>
    <row r="21046" spans="6:6">
      <c r="F21046" s="2423"/>
    </row>
    <row r="21047" spans="6:6">
      <c r="F21047" s="2423"/>
    </row>
    <row r="21048" spans="6:6">
      <c r="F21048" s="2423"/>
    </row>
    <row r="21049" spans="6:6">
      <c r="F21049" s="2423"/>
    </row>
    <row r="21050" spans="6:6">
      <c r="F21050" s="2423"/>
    </row>
    <row r="21051" spans="6:6">
      <c r="F21051" s="2423"/>
    </row>
    <row r="21052" spans="6:6">
      <c r="F21052" s="2423"/>
    </row>
    <row r="21053" spans="6:6">
      <c r="F21053" s="2423"/>
    </row>
    <row r="21054" spans="6:6">
      <c r="F21054" s="2423"/>
    </row>
    <row r="21055" spans="6:6">
      <c r="F21055" s="2423"/>
    </row>
    <row r="21056" spans="6:6">
      <c r="F21056" s="2423"/>
    </row>
    <row r="21057" spans="6:6">
      <c r="F21057" s="2423"/>
    </row>
    <row r="21058" spans="6:6">
      <c r="F21058" s="2423"/>
    </row>
    <row r="21059" spans="6:6">
      <c r="F21059" s="2423"/>
    </row>
    <row r="21060" spans="6:6">
      <c r="F21060" s="2423"/>
    </row>
    <row r="21061" spans="6:6">
      <c r="F21061" s="2423"/>
    </row>
    <row r="21062" spans="6:6">
      <c r="F21062" s="2423"/>
    </row>
    <row r="21063" spans="6:6">
      <c r="F21063" s="2423"/>
    </row>
    <row r="21064" spans="6:6">
      <c r="F21064" s="2423"/>
    </row>
    <row r="21065" spans="6:6">
      <c r="F21065" s="2423"/>
    </row>
    <row r="21066" spans="6:6">
      <c r="F21066" s="2423"/>
    </row>
    <row r="21067" spans="6:6">
      <c r="F21067" s="2423"/>
    </row>
    <row r="21068" spans="6:6">
      <c r="F21068" s="2423"/>
    </row>
    <row r="21069" spans="6:6">
      <c r="F21069" s="2423"/>
    </row>
    <row r="21070" spans="6:6">
      <c r="F21070" s="2423"/>
    </row>
    <row r="21071" spans="6:6">
      <c r="F21071" s="2423"/>
    </row>
    <row r="21072" spans="6:6">
      <c r="F21072" s="2423"/>
    </row>
    <row r="21073" spans="6:6">
      <c r="F21073" s="2423"/>
    </row>
    <row r="21074" spans="6:6">
      <c r="F21074" s="2423"/>
    </row>
    <row r="21075" spans="6:6">
      <c r="F21075" s="2423"/>
    </row>
    <row r="21076" spans="6:6">
      <c r="F21076" s="2423"/>
    </row>
    <row r="21077" spans="6:6">
      <c r="F21077" s="2423"/>
    </row>
    <row r="21078" spans="6:6">
      <c r="F21078" s="2423"/>
    </row>
    <row r="21079" spans="6:6">
      <c r="F21079" s="2423"/>
    </row>
    <row r="21080" spans="6:6">
      <c r="F21080" s="2423"/>
    </row>
    <row r="21081" spans="6:6">
      <c r="F21081" s="2423"/>
    </row>
    <row r="21082" spans="6:6">
      <c r="F21082" s="2423"/>
    </row>
    <row r="21083" spans="6:6">
      <c r="F21083" s="2423"/>
    </row>
    <row r="21084" spans="6:6">
      <c r="F21084" s="2423"/>
    </row>
    <row r="21085" spans="6:6">
      <c r="F21085" s="2423"/>
    </row>
    <row r="21086" spans="6:6">
      <c r="F21086" s="2423"/>
    </row>
    <row r="21087" spans="6:6">
      <c r="F21087" s="2423"/>
    </row>
    <row r="21088" spans="6:6">
      <c r="F21088" s="2423"/>
    </row>
    <row r="21089" spans="6:6">
      <c r="F21089" s="2423"/>
    </row>
    <row r="21090" spans="6:6">
      <c r="F21090" s="2423"/>
    </row>
    <row r="21091" spans="6:6">
      <c r="F21091" s="2423"/>
    </row>
    <row r="21092" spans="6:6">
      <c r="F21092" s="2423"/>
    </row>
    <row r="21093" spans="6:6">
      <c r="F21093" s="2423"/>
    </row>
    <row r="21094" spans="6:6">
      <c r="F21094" s="2423"/>
    </row>
    <row r="21095" spans="6:6">
      <c r="F21095" s="2423"/>
    </row>
    <row r="21096" spans="6:6">
      <c r="F21096" s="2423"/>
    </row>
    <row r="21097" spans="6:6">
      <c r="F21097" s="2423"/>
    </row>
    <row r="21098" spans="6:6">
      <c r="F21098" s="2423"/>
    </row>
    <row r="21099" spans="6:6">
      <c r="F21099" s="2423"/>
    </row>
    <row r="21100" spans="6:6">
      <c r="F21100" s="2423"/>
    </row>
    <row r="21101" spans="6:6">
      <c r="F21101" s="2423"/>
    </row>
    <row r="21102" spans="6:6">
      <c r="F21102" s="2423"/>
    </row>
    <row r="21103" spans="6:6">
      <c r="F21103" s="2423"/>
    </row>
    <row r="21104" spans="6:6">
      <c r="F21104" s="2423"/>
    </row>
    <row r="21105" spans="6:6">
      <c r="F21105" s="2423"/>
    </row>
    <row r="21106" spans="6:6">
      <c r="F21106" s="2423"/>
    </row>
    <row r="21107" spans="6:6">
      <c r="F21107" s="2423"/>
    </row>
    <row r="21108" spans="6:6">
      <c r="F21108" s="2423"/>
    </row>
    <row r="21109" spans="6:6">
      <c r="F21109" s="2423"/>
    </row>
    <row r="21110" spans="6:6">
      <c r="F21110" s="2423"/>
    </row>
    <row r="21111" spans="6:6">
      <c r="F21111" s="2423"/>
    </row>
    <row r="21112" spans="6:6">
      <c r="F21112" s="2423"/>
    </row>
    <row r="21113" spans="6:6">
      <c r="F21113" s="2423"/>
    </row>
    <row r="21114" spans="6:6">
      <c r="F21114" s="2423"/>
    </row>
    <row r="21115" spans="6:6">
      <c r="F21115" s="2423"/>
    </row>
    <row r="21116" spans="6:6">
      <c r="F21116" s="2423"/>
    </row>
    <row r="21117" spans="6:6">
      <c r="F21117" s="2423"/>
    </row>
    <row r="21118" spans="6:6">
      <c r="F21118" s="2423"/>
    </row>
    <row r="21119" spans="6:6">
      <c r="F21119" s="2423"/>
    </row>
    <row r="21120" spans="6:6">
      <c r="F21120" s="2423"/>
    </row>
    <row r="21121" spans="6:6">
      <c r="F21121" s="2423"/>
    </row>
    <row r="21122" spans="6:6">
      <c r="F21122" s="2423"/>
    </row>
    <row r="21123" spans="6:6">
      <c r="F21123" s="2423"/>
    </row>
    <row r="21124" spans="6:6">
      <c r="F21124" s="2423"/>
    </row>
    <row r="21125" spans="6:6">
      <c r="F21125" s="2423"/>
    </row>
    <row r="21126" spans="6:6">
      <c r="F21126" s="2423"/>
    </row>
    <row r="21127" spans="6:6">
      <c r="F21127" s="2423"/>
    </row>
    <row r="21128" spans="6:6">
      <c r="F21128" s="2423"/>
    </row>
    <row r="21129" spans="6:6">
      <c r="F21129" s="2423"/>
    </row>
    <row r="21130" spans="6:6">
      <c r="F21130" s="2423"/>
    </row>
    <row r="21131" spans="6:6">
      <c r="F21131" s="2423"/>
    </row>
    <row r="21132" spans="6:6">
      <c r="F21132" s="2423"/>
    </row>
    <row r="21133" spans="6:6">
      <c r="F21133" s="2423"/>
    </row>
    <row r="21134" spans="6:6">
      <c r="F21134" s="2423"/>
    </row>
    <row r="21135" spans="6:6">
      <c r="F21135" s="2423"/>
    </row>
    <row r="21136" spans="6:6">
      <c r="F21136" s="2423"/>
    </row>
    <row r="21137" spans="6:6">
      <c r="F21137" s="2423"/>
    </row>
    <row r="21138" spans="6:6">
      <c r="F21138" s="2423"/>
    </row>
    <row r="21139" spans="6:6">
      <c r="F21139" s="2423"/>
    </row>
    <row r="21140" spans="6:6">
      <c r="F21140" s="2423"/>
    </row>
    <row r="21141" spans="6:6">
      <c r="F21141" s="2423"/>
    </row>
    <row r="21142" spans="6:6">
      <c r="F21142" s="2423"/>
    </row>
    <row r="21143" spans="6:6">
      <c r="F21143" s="2423"/>
    </row>
    <row r="21144" spans="6:6">
      <c r="F21144" s="2423"/>
    </row>
    <row r="21145" spans="6:6">
      <c r="F21145" s="2423"/>
    </row>
    <row r="21146" spans="6:6">
      <c r="F21146" s="2423"/>
    </row>
    <row r="21147" spans="6:6">
      <c r="F21147" s="2423"/>
    </row>
    <row r="21148" spans="6:6">
      <c r="F21148" s="2423"/>
    </row>
    <row r="21149" spans="6:6">
      <c r="F21149" s="2423"/>
    </row>
    <row r="21150" spans="6:6">
      <c r="F21150" s="2423"/>
    </row>
    <row r="21151" spans="6:6">
      <c r="F21151" s="2423"/>
    </row>
    <row r="21152" spans="6:6">
      <c r="F21152" s="2423"/>
    </row>
    <row r="21153" spans="6:6">
      <c r="F21153" s="2423"/>
    </row>
    <row r="21154" spans="6:6">
      <c r="F21154" s="2423"/>
    </row>
    <row r="21155" spans="6:6">
      <c r="F21155" s="2423"/>
    </row>
    <row r="21156" spans="6:6">
      <c r="F21156" s="2423"/>
    </row>
    <row r="21157" spans="6:6">
      <c r="F21157" s="2423"/>
    </row>
    <row r="21158" spans="6:6">
      <c r="F21158" s="2423"/>
    </row>
    <row r="21159" spans="6:6">
      <c r="F21159" s="2423"/>
    </row>
    <row r="21160" spans="6:6">
      <c r="F21160" s="2423"/>
    </row>
    <row r="21161" spans="6:6">
      <c r="F21161" s="2423"/>
    </row>
    <row r="21162" spans="6:6">
      <c r="F21162" s="2423"/>
    </row>
    <row r="21163" spans="6:6">
      <c r="F21163" s="2423"/>
    </row>
    <row r="21164" spans="6:6">
      <c r="F21164" s="2423"/>
    </row>
    <row r="21165" spans="6:6">
      <c r="F21165" s="2423"/>
    </row>
    <row r="21166" spans="6:6">
      <c r="F21166" s="2423"/>
    </row>
    <row r="21167" spans="6:6">
      <c r="F21167" s="2423"/>
    </row>
    <row r="21168" spans="6:6">
      <c r="F21168" s="2423"/>
    </row>
    <row r="21169" spans="6:6">
      <c r="F21169" s="2423"/>
    </row>
    <row r="21170" spans="6:6">
      <c r="F21170" s="2423"/>
    </row>
    <row r="21171" spans="6:6">
      <c r="F21171" s="2423"/>
    </row>
    <row r="21172" spans="6:6">
      <c r="F21172" s="2423"/>
    </row>
    <row r="21173" spans="6:6">
      <c r="F21173" s="2423"/>
    </row>
    <row r="21174" spans="6:6">
      <c r="F21174" s="2423"/>
    </row>
    <row r="21175" spans="6:6">
      <c r="F21175" s="2423"/>
    </row>
    <row r="21176" spans="6:6">
      <c r="F21176" s="2423"/>
    </row>
    <row r="21177" spans="6:6">
      <c r="F21177" s="2423"/>
    </row>
    <row r="21178" spans="6:6">
      <c r="F21178" s="2423"/>
    </row>
    <row r="21179" spans="6:6">
      <c r="F21179" s="2423"/>
    </row>
    <row r="21180" spans="6:6">
      <c r="F21180" s="2423"/>
    </row>
    <row r="21181" spans="6:6">
      <c r="F21181" s="2423"/>
    </row>
    <row r="21182" spans="6:6">
      <c r="F21182" s="2423"/>
    </row>
    <row r="21183" spans="6:6">
      <c r="F21183" s="2423"/>
    </row>
    <row r="21184" spans="6:6">
      <c r="F21184" s="2423"/>
    </row>
    <row r="21185" spans="6:6">
      <c r="F21185" s="2423"/>
    </row>
    <row r="21186" spans="6:6">
      <c r="F21186" s="2423"/>
    </row>
    <row r="21187" spans="6:6">
      <c r="F21187" s="2423"/>
    </row>
    <row r="21188" spans="6:6">
      <c r="F21188" s="2423"/>
    </row>
    <row r="21189" spans="6:6">
      <c r="F21189" s="2423"/>
    </row>
    <row r="21190" spans="6:6">
      <c r="F21190" s="2423"/>
    </row>
    <row r="21191" spans="6:6">
      <c r="F21191" s="2423"/>
    </row>
    <row r="21192" spans="6:6">
      <c r="F21192" s="2423"/>
    </row>
    <row r="21193" spans="6:6">
      <c r="F21193" s="2423"/>
    </row>
    <row r="21194" spans="6:6">
      <c r="F21194" s="2423"/>
    </row>
    <row r="21195" spans="6:6">
      <c r="F21195" s="2423"/>
    </row>
    <row r="21196" spans="6:6">
      <c r="F21196" s="2423"/>
    </row>
    <row r="21197" spans="6:6">
      <c r="F21197" s="2423"/>
    </row>
    <row r="21198" spans="6:6">
      <c r="F21198" s="2423"/>
    </row>
    <row r="21199" spans="6:6">
      <c r="F21199" s="2423"/>
    </row>
    <row r="21200" spans="6:6">
      <c r="F21200" s="2423"/>
    </row>
    <row r="21201" spans="6:6">
      <c r="F21201" s="2423"/>
    </row>
    <row r="21202" spans="6:6">
      <c r="F21202" s="2423"/>
    </row>
    <row r="21203" spans="6:6">
      <c r="F21203" s="2423"/>
    </row>
    <row r="21204" spans="6:6">
      <c r="F21204" s="2423"/>
    </row>
    <row r="21205" spans="6:6">
      <c r="F21205" s="2423"/>
    </row>
    <row r="21206" spans="6:6">
      <c r="F21206" s="2423"/>
    </row>
    <row r="21207" spans="6:6">
      <c r="F21207" s="2423"/>
    </row>
    <row r="21208" spans="6:6">
      <c r="F21208" s="2423"/>
    </row>
    <row r="21209" spans="6:6">
      <c r="F21209" s="2423"/>
    </row>
    <row r="21210" spans="6:6">
      <c r="F21210" s="2423"/>
    </row>
    <row r="21211" spans="6:6">
      <c r="F21211" s="2423"/>
    </row>
    <row r="21212" spans="6:6">
      <c r="F21212" s="2423"/>
    </row>
    <row r="21213" spans="6:6">
      <c r="F21213" s="2423"/>
    </row>
    <row r="21214" spans="6:6">
      <c r="F21214" s="2423"/>
    </row>
    <row r="21215" spans="6:6">
      <c r="F21215" s="2423"/>
    </row>
    <row r="21216" spans="6:6">
      <c r="F21216" s="2423"/>
    </row>
    <row r="21217" spans="6:6">
      <c r="F21217" s="2423"/>
    </row>
    <row r="21218" spans="6:6">
      <c r="F21218" s="2423"/>
    </row>
    <row r="21219" spans="6:6">
      <c r="F21219" s="2423"/>
    </row>
    <row r="21220" spans="6:6">
      <c r="F21220" s="2423"/>
    </row>
    <row r="21221" spans="6:6">
      <c r="F21221" s="2423"/>
    </row>
    <row r="21222" spans="6:6">
      <c r="F21222" s="2423"/>
    </row>
    <row r="21223" spans="6:6">
      <c r="F21223" s="2423"/>
    </row>
    <row r="21224" spans="6:6">
      <c r="F21224" s="2423"/>
    </row>
    <row r="21225" spans="6:6">
      <c r="F21225" s="2423"/>
    </row>
    <row r="21226" spans="6:6">
      <c r="F21226" s="2423"/>
    </row>
    <row r="21227" spans="6:6">
      <c r="F21227" s="2423"/>
    </row>
    <row r="21228" spans="6:6">
      <c r="F21228" s="2423"/>
    </row>
    <row r="21229" spans="6:6">
      <c r="F21229" s="2423"/>
    </row>
    <row r="21230" spans="6:6">
      <c r="F21230" s="2423"/>
    </row>
    <row r="21231" spans="6:6">
      <c r="F21231" s="2423"/>
    </row>
    <row r="21232" spans="6:6">
      <c r="F21232" s="2423"/>
    </row>
    <row r="21233" spans="6:6">
      <c r="F21233" s="2423"/>
    </row>
    <row r="21234" spans="6:6">
      <c r="F21234" s="2423"/>
    </row>
    <row r="21235" spans="6:6">
      <c r="F21235" s="2423"/>
    </row>
    <row r="21236" spans="6:6">
      <c r="F21236" s="2423"/>
    </row>
    <row r="21237" spans="6:6">
      <c r="F21237" s="2423"/>
    </row>
    <row r="21238" spans="6:6">
      <c r="F21238" s="2423"/>
    </row>
    <row r="21239" spans="6:6">
      <c r="F21239" s="2423"/>
    </row>
    <row r="21240" spans="6:6">
      <c r="F21240" s="2423"/>
    </row>
    <row r="21241" spans="6:6">
      <c r="F21241" s="2423"/>
    </row>
    <row r="21242" spans="6:6">
      <c r="F21242" s="2423"/>
    </row>
    <row r="21243" spans="6:6">
      <c r="F21243" s="2423"/>
    </row>
    <row r="21244" spans="6:6">
      <c r="F21244" s="2423"/>
    </row>
    <row r="21245" spans="6:6">
      <c r="F21245" s="2423"/>
    </row>
    <row r="21246" spans="6:6">
      <c r="F21246" s="2423"/>
    </row>
    <row r="21247" spans="6:6">
      <c r="F21247" s="2423"/>
    </row>
    <row r="21248" spans="6:6">
      <c r="F21248" s="2423"/>
    </row>
    <row r="21249" spans="6:6">
      <c r="F21249" s="2423"/>
    </row>
    <row r="21250" spans="6:6">
      <c r="F21250" s="2423"/>
    </row>
    <row r="21251" spans="6:6">
      <c r="F21251" s="2423"/>
    </row>
    <row r="21252" spans="6:6">
      <c r="F21252" s="2423"/>
    </row>
    <row r="21253" spans="6:6">
      <c r="F21253" s="2423"/>
    </row>
    <row r="21254" spans="6:6">
      <c r="F21254" s="2423"/>
    </row>
    <row r="21255" spans="6:6">
      <c r="F21255" s="2423"/>
    </row>
    <row r="21256" spans="6:6">
      <c r="F21256" s="2423"/>
    </row>
    <row r="21257" spans="6:6">
      <c r="F21257" s="2423"/>
    </row>
    <row r="21258" spans="6:6">
      <c r="F21258" s="2423"/>
    </row>
    <row r="21259" spans="6:6">
      <c r="F21259" s="2423"/>
    </row>
    <row r="21260" spans="6:6">
      <c r="F21260" s="2423"/>
    </row>
    <row r="21261" spans="6:6">
      <c r="F21261" s="2423"/>
    </row>
    <row r="21262" spans="6:6">
      <c r="F21262" s="2423"/>
    </row>
    <row r="21263" spans="6:6">
      <c r="F21263" s="2423"/>
    </row>
    <row r="21264" spans="6:6">
      <c r="F21264" s="2423"/>
    </row>
    <row r="21265" spans="6:6">
      <c r="F21265" s="2423"/>
    </row>
    <row r="21266" spans="6:6">
      <c r="F21266" s="2423"/>
    </row>
    <row r="21267" spans="6:6">
      <c r="F21267" s="2423"/>
    </row>
    <row r="21268" spans="6:6">
      <c r="F21268" s="2423"/>
    </row>
    <row r="21269" spans="6:6">
      <c r="F21269" s="2423"/>
    </row>
    <row r="21270" spans="6:6">
      <c r="F21270" s="2423"/>
    </row>
    <row r="21271" spans="6:6">
      <c r="F21271" s="2423"/>
    </row>
    <row r="21272" spans="6:6">
      <c r="F21272" s="2423"/>
    </row>
    <row r="21273" spans="6:6">
      <c r="F21273" s="2423"/>
    </row>
    <row r="21274" spans="6:6">
      <c r="F21274" s="2423"/>
    </row>
    <row r="21275" spans="6:6">
      <c r="F21275" s="2423"/>
    </row>
    <row r="21276" spans="6:6">
      <c r="F21276" s="2423"/>
    </row>
    <row r="21277" spans="6:6">
      <c r="F21277" s="2423"/>
    </row>
    <row r="21278" spans="6:6">
      <c r="F21278" s="2423"/>
    </row>
    <row r="21279" spans="6:6">
      <c r="F21279" s="2423"/>
    </row>
    <row r="21280" spans="6:6">
      <c r="F21280" s="2423"/>
    </row>
    <row r="21281" spans="6:6">
      <c r="F21281" s="2423"/>
    </row>
    <row r="21282" spans="6:6">
      <c r="F21282" s="2423"/>
    </row>
    <row r="21283" spans="6:6">
      <c r="F21283" s="2423"/>
    </row>
    <row r="21284" spans="6:6">
      <c r="F21284" s="2423"/>
    </row>
    <row r="21285" spans="6:6">
      <c r="F21285" s="2423"/>
    </row>
    <row r="21286" spans="6:6">
      <c r="F21286" s="2423"/>
    </row>
    <row r="21287" spans="6:6">
      <c r="F21287" s="2423"/>
    </row>
    <row r="21288" spans="6:6">
      <c r="F21288" s="2423"/>
    </row>
    <row r="21289" spans="6:6">
      <c r="F21289" s="2423"/>
    </row>
    <row r="21290" spans="6:6">
      <c r="F21290" s="2423"/>
    </row>
    <row r="21291" spans="6:6">
      <c r="F21291" s="2423"/>
    </row>
    <row r="21292" spans="6:6">
      <c r="F21292" s="2423"/>
    </row>
    <row r="21293" spans="6:6">
      <c r="F21293" s="2423"/>
    </row>
    <row r="21294" spans="6:6">
      <c r="F21294" s="2423"/>
    </row>
    <row r="21295" spans="6:6">
      <c r="F21295" s="2423"/>
    </row>
    <row r="21296" spans="6:6">
      <c r="F21296" s="2423"/>
    </row>
    <row r="21297" spans="6:6">
      <c r="F21297" s="2423"/>
    </row>
    <row r="21298" spans="6:6">
      <c r="F21298" s="2423"/>
    </row>
    <row r="21299" spans="6:6">
      <c r="F21299" s="2423"/>
    </row>
    <row r="21300" spans="6:6">
      <c r="F21300" s="2423"/>
    </row>
    <row r="21301" spans="6:6">
      <c r="F21301" s="2423"/>
    </row>
    <row r="21302" spans="6:6">
      <c r="F21302" s="2423"/>
    </row>
    <row r="21303" spans="6:6">
      <c r="F21303" s="2423"/>
    </row>
    <row r="21304" spans="6:6">
      <c r="F21304" s="2423"/>
    </row>
    <row r="21305" spans="6:6">
      <c r="F21305" s="2423"/>
    </row>
    <row r="21306" spans="6:6">
      <c r="F21306" s="2423"/>
    </row>
    <row r="21307" spans="6:6">
      <c r="F21307" s="2423"/>
    </row>
    <row r="21308" spans="6:6">
      <c r="F21308" s="2423"/>
    </row>
    <row r="21309" spans="6:6">
      <c r="F21309" s="2423"/>
    </row>
    <row r="21310" spans="6:6">
      <c r="F21310" s="2423"/>
    </row>
    <row r="21311" spans="6:6">
      <c r="F21311" s="2423"/>
    </row>
    <row r="21312" spans="6:6">
      <c r="F21312" s="2423"/>
    </row>
    <row r="21313" spans="6:6">
      <c r="F21313" s="2423"/>
    </row>
    <row r="21314" spans="6:6">
      <c r="F21314" s="2423"/>
    </row>
    <row r="21315" spans="6:6">
      <c r="F21315" s="2423"/>
    </row>
    <row r="21316" spans="6:6">
      <c r="F21316" s="2423"/>
    </row>
    <row r="21317" spans="6:6">
      <c r="F21317" s="2423"/>
    </row>
    <row r="21318" spans="6:6">
      <c r="F21318" s="2423"/>
    </row>
    <row r="21319" spans="6:6">
      <c r="F21319" s="2423"/>
    </row>
    <row r="21320" spans="6:6">
      <c r="F21320" s="2423"/>
    </row>
    <row r="21321" spans="6:6">
      <c r="F21321" s="2423"/>
    </row>
    <row r="21322" spans="6:6">
      <c r="F21322" s="2423"/>
    </row>
    <row r="21323" spans="6:6">
      <c r="F21323" s="2423"/>
    </row>
    <row r="21324" spans="6:6">
      <c r="F21324" s="2423"/>
    </row>
    <row r="21325" spans="6:6">
      <c r="F21325" s="2423"/>
    </row>
    <row r="21326" spans="6:6">
      <c r="F21326" s="2423"/>
    </row>
    <row r="21327" spans="6:6">
      <c r="F21327" s="2423"/>
    </row>
    <row r="21328" spans="6:6">
      <c r="F21328" s="2423"/>
    </row>
    <row r="21329" spans="6:6">
      <c r="F21329" s="2423"/>
    </row>
    <row r="21330" spans="6:6">
      <c r="F21330" s="2423"/>
    </row>
    <row r="21331" spans="6:6">
      <c r="F21331" s="2423"/>
    </row>
    <row r="21332" spans="6:6">
      <c r="F21332" s="2423"/>
    </row>
    <row r="21333" spans="6:6">
      <c r="F21333" s="2423"/>
    </row>
    <row r="21334" spans="6:6">
      <c r="F21334" s="2423"/>
    </row>
    <row r="21335" spans="6:6">
      <c r="F21335" s="2423"/>
    </row>
    <row r="21336" spans="6:6">
      <c r="F21336" s="2423"/>
    </row>
    <row r="21337" spans="6:6">
      <c r="F21337" s="2423"/>
    </row>
    <row r="21338" spans="6:6">
      <c r="F21338" s="2423"/>
    </row>
    <row r="21339" spans="6:6">
      <c r="F21339" s="2423"/>
    </row>
    <row r="21340" spans="6:6">
      <c r="F21340" s="2423"/>
    </row>
    <row r="21341" spans="6:6">
      <c r="F21341" s="2423"/>
    </row>
    <row r="21342" spans="6:6">
      <c r="F21342" s="2423"/>
    </row>
    <row r="21343" spans="6:6">
      <c r="F21343" s="2423"/>
    </row>
    <row r="21344" spans="6:6">
      <c r="F21344" s="2423"/>
    </row>
    <row r="21345" spans="6:6">
      <c r="F21345" s="2423"/>
    </row>
    <row r="21346" spans="6:6">
      <c r="F21346" s="2423"/>
    </row>
    <row r="21347" spans="6:6">
      <c r="F21347" s="2423"/>
    </row>
    <row r="21348" spans="6:6">
      <c r="F21348" s="2423"/>
    </row>
    <row r="21349" spans="6:6">
      <c r="F21349" s="2423"/>
    </row>
    <row r="21350" spans="6:6">
      <c r="F21350" s="2423"/>
    </row>
    <row r="21351" spans="6:6">
      <c r="F21351" s="2423"/>
    </row>
    <row r="21352" spans="6:6">
      <c r="F21352" s="2423"/>
    </row>
    <row r="21353" spans="6:6">
      <c r="F21353" s="2423"/>
    </row>
    <row r="21354" spans="6:6">
      <c r="F21354" s="2423"/>
    </row>
    <row r="21355" spans="6:6">
      <c r="F21355" s="2423"/>
    </row>
    <row r="21356" spans="6:6">
      <c r="F21356" s="2423"/>
    </row>
    <row r="21357" spans="6:6">
      <c r="F21357" s="2423"/>
    </row>
    <row r="21358" spans="6:6">
      <c r="F21358" s="2423"/>
    </row>
    <row r="21359" spans="6:6">
      <c r="F21359" s="2423"/>
    </row>
    <row r="21360" spans="6:6">
      <c r="F21360" s="2423"/>
    </row>
    <row r="21361" spans="6:6">
      <c r="F21361" s="2423"/>
    </row>
    <row r="21362" spans="6:6">
      <c r="F21362" s="2423"/>
    </row>
    <row r="21363" spans="6:6">
      <c r="F21363" s="2423"/>
    </row>
    <row r="21364" spans="6:6">
      <c r="F21364" s="2423"/>
    </row>
    <row r="21365" spans="6:6">
      <c r="F21365" s="2423"/>
    </row>
    <row r="21366" spans="6:6">
      <c r="F21366" s="2423"/>
    </row>
    <row r="21367" spans="6:6">
      <c r="F21367" s="2423"/>
    </row>
    <row r="21368" spans="6:6">
      <c r="F21368" s="2423"/>
    </row>
    <row r="21369" spans="6:6">
      <c r="F21369" s="2423"/>
    </row>
    <row r="21370" spans="6:6">
      <c r="F21370" s="2423"/>
    </row>
    <row r="21371" spans="6:6">
      <c r="F21371" s="2423"/>
    </row>
    <row r="21372" spans="6:6">
      <c r="F21372" s="2423"/>
    </row>
    <row r="21373" spans="6:6">
      <c r="F21373" s="2423"/>
    </row>
    <row r="21374" spans="6:6">
      <c r="F21374" s="2423"/>
    </row>
    <row r="21375" spans="6:6">
      <c r="F21375" s="2423"/>
    </row>
    <row r="21376" spans="6:6">
      <c r="F21376" s="2423"/>
    </row>
    <row r="21377" spans="6:6">
      <c r="F21377" s="2423"/>
    </row>
    <row r="21378" spans="6:6">
      <c r="F21378" s="2423"/>
    </row>
    <row r="21379" spans="6:6">
      <c r="F21379" s="2423"/>
    </row>
    <row r="21380" spans="6:6">
      <c r="F21380" s="2423"/>
    </row>
    <row r="21381" spans="6:6">
      <c r="F21381" s="2423"/>
    </row>
    <row r="21382" spans="6:6">
      <c r="F21382" s="2423"/>
    </row>
    <row r="21383" spans="6:6">
      <c r="F21383" s="2423"/>
    </row>
    <row r="21384" spans="6:6">
      <c r="F21384" s="2423"/>
    </row>
    <row r="21385" spans="6:6">
      <c r="F21385" s="2423"/>
    </row>
    <row r="21386" spans="6:6">
      <c r="F21386" s="2423"/>
    </row>
    <row r="21387" spans="6:6">
      <c r="F21387" s="2423"/>
    </row>
    <row r="21388" spans="6:6">
      <c r="F21388" s="2423"/>
    </row>
    <row r="21389" spans="6:6">
      <c r="F21389" s="2423"/>
    </row>
    <row r="21390" spans="6:6">
      <c r="F21390" s="2423"/>
    </row>
    <row r="21391" spans="6:6">
      <c r="F21391" s="2423"/>
    </row>
    <row r="21392" spans="6:6">
      <c r="F21392" s="2423"/>
    </row>
    <row r="21393" spans="6:6">
      <c r="F21393" s="2423"/>
    </row>
    <row r="21394" spans="6:6">
      <c r="F21394" s="2423"/>
    </row>
    <row r="21395" spans="6:6">
      <c r="F21395" s="2423"/>
    </row>
    <row r="21396" spans="6:6">
      <c r="F21396" s="2423"/>
    </row>
    <row r="21397" spans="6:6">
      <c r="F21397" s="2423"/>
    </row>
    <row r="21398" spans="6:6">
      <c r="F21398" s="2423"/>
    </row>
    <row r="21399" spans="6:6">
      <c r="F21399" s="2423"/>
    </row>
    <row r="21400" spans="6:6">
      <c r="F21400" s="2423"/>
    </row>
    <row r="21401" spans="6:6">
      <c r="F21401" s="2423"/>
    </row>
    <row r="21402" spans="6:6">
      <c r="F21402" s="2423"/>
    </row>
    <row r="21403" spans="6:6">
      <c r="F21403" s="2423"/>
    </row>
    <row r="21404" spans="6:6">
      <c r="F21404" s="2423"/>
    </row>
    <row r="21405" spans="6:6">
      <c r="F21405" s="2423"/>
    </row>
    <row r="21406" spans="6:6">
      <c r="F21406" s="2423"/>
    </row>
    <row r="21407" spans="6:6">
      <c r="F21407" s="2423"/>
    </row>
    <row r="21408" spans="6:6">
      <c r="F21408" s="2423"/>
    </row>
    <row r="21409" spans="6:6">
      <c r="F21409" s="2423"/>
    </row>
    <row r="21410" spans="6:6">
      <c r="F21410" s="2423"/>
    </row>
    <row r="21411" spans="6:6">
      <c r="F21411" s="2423"/>
    </row>
    <row r="21412" spans="6:6">
      <c r="F21412" s="2423"/>
    </row>
    <row r="21413" spans="6:6">
      <c r="F21413" s="2423"/>
    </row>
    <row r="21414" spans="6:6">
      <c r="F21414" s="2423"/>
    </row>
    <row r="21415" spans="6:6">
      <c r="F21415" s="2423"/>
    </row>
    <row r="21416" spans="6:6">
      <c r="F21416" s="2423"/>
    </row>
    <row r="21417" spans="6:6">
      <c r="F21417" s="2423"/>
    </row>
    <row r="21418" spans="6:6">
      <c r="F21418" s="2423"/>
    </row>
    <row r="21419" spans="6:6">
      <c r="F21419" s="2423"/>
    </row>
    <row r="21420" spans="6:6">
      <c r="F21420" s="2423"/>
    </row>
    <row r="21421" spans="6:6">
      <c r="F21421" s="2423"/>
    </row>
    <row r="21422" spans="6:6">
      <c r="F21422" s="2423"/>
    </row>
    <row r="21423" spans="6:6">
      <c r="F21423" s="2423"/>
    </row>
    <row r="21424" spans="6:6">
      <c r="F21424" s="2423"/>
    </row>
    <row r="21425" spans="6:6">
      <c r="F21425" s="2423"/>
    </row>
    <row r="21426" spans="6:6">
      <c r="F21426" s="2423"/>
    </row>
    <row r="21427" spans="6:6">
      <c r="F21427" s="2423"/>
    </row>
    <row r="21428" spans="6:6">
      <c r="F21428" s="2423"/>
    </row>
    <row r="21429" spans="6:6">
      <c r="F21429" s="2423"/>
    </row>
    <row r="21430" spans="6:6">
      <c r="F21430" s="2423"/>
    </row>
    <row r="21431" spans="6:6">
      <c r="F21431" s="2423"/>
    </row>
    <row r="21432" spans="6:6">
      <c r="F21432" s="2423"/>
    </row>
    <row r="21433" spans="6:6">
      <c r="F21433" s="2423"/>
    </row>
    <row r="21434" spans="6:6">
      <c r="F21434" s="2423"/>
    </row>
    <row r="21435" spans="6:6">
      <c r="F21435" s="2423"/>
    </row>
    <row r="21436" spans="6:6">
      <c r="F21436" s="2423"/>
    </row>
    <row r="21437" spans="6:6">
      <c r="F21437" s="2423"/>
    </row>
    <row r="21438" spans="6:6">
      <c r="F21438" s="2423"/>
    </row>
    <row r="21439" spans="6:6">
      <c r="F21439" s="2423"/>
    </row>
    <row r="21440" spans="6:6">
      <c r="F21440" s="2423"/>
    </row>
    <row r="21441" spans="6:6">
      <c r="F21441" s="2423"/>
    </row>
    <row r="21442" spans="6:6">
      <c r="F21442" s="2423"/>
    </row>
    <row r="21443" spans="6:6">
      <c r="F21443" s="2423"/>
    </row>
    <row r="21444" spans="6:6">
      <c r="F21444" s="2423"/>
    </row>
    <row r="21445" spans="6:6">
      <c r="F21445" s="2423"/>
    </row>
    <row r="21446" spans="6:6">
      <c r="F21446" s="2423"/>
    </row>
    <row r="21447" spans="6:6">
      <c r="F21447" s="2423"/>
    </row>
    <row r="21448" spans="6:6">
      <c r="F21448" s="2423"/>
    </row>
    <row r="21449" spans="6:6">
      <c r="F21449" s="2423"/>
    </row>
    <row r="21450" spans="6:6">
      <c r="F21450" s="2423"/>
    </row>
    <row r="21451" spans="6:6">
      <c r="F21451" s="2423"/>
    </row>
    <row r="21452" spans="6:6">
      <c r="F21452" s="2423"/>
    </row>
    <row r="21453" spans="6:6">
      <c r="F21453" s="2423"/>
    </row>
    <row r="21454" spans="6:6">
      <c r="F21454" s="2423"/>
    </row>
    <row r="21455" spans="6:6">
      <c r="F21455" s="2423"/>
    </row>
    <row r="21456" spans="6:6">
      <c r="F21456" s="2423"/>
    </row>
    <row r="21457" spans="6:6">
      <c r="F21457" s="2423"/>
    </row>
    <row r="21458" spans="6:6">
      <c r="F21458" s="2423"/>
    </row>
    <row r="21459" spans="6:6">
      <c r="F21459" s="2423"/>
    </row>
    <row r="21460" spans="6:6">
      <c r="F21460" s="2423"/>
    </row>
    <row r="21461" spans="6:6">
      <c r="F21461" s="2423"/>
    </row>
    <row r="21462" spans="6:6">
      <c r="F21462" s="2423"/>
    </row>
    <row r="21463" spans="6:6">
      <c r="F21463" s="2423"/>
    </row>
    <row r="21464" spans="6:6">
      <c r="F21464" s="2423"/>
    </row>
    <row r="21465" spans="6:6">
      <c r="F21465" s="2423"/>
    </row>
    <row r="21466" spans="6:6">
      <c r="F21466" s="2423"/>
    </row>
    <row r="21467" spans="6:6">
      <c r="F21467" s="2423"/>
    </row>
    <row r="21468" spans="6:6">
      <c r="F21468" s="2423"/>
    </row>
    <row r="21469" spans="6:6">
      <c r="F21469" s="2423"/>
    </row>
    <row r="21470" spans="6:6">
      <c r="F21470" s="2423"/>
    </row>
    <row r="21471" spans="6:6">
      <c r="F21471" s="2423"/>
    </row>
    <row r="21472" spans="6:6">
      <c r="F21472" s="2423"/>
    </row>
    <row r="21473" spans="6:6">
      <c r="F21473" s="2423"/>
    </row>
    <row r="21474" spans="6:6">
      <c r="F21474" s="2423"/>
    </row>
    <row r="21475" spans="6:6">
      <c r="F21475" s="2423"/>
    </row>
    <row r="21476" spans="6:6">
      <c r="F21476" s="2423"/>
    </row>
    <row r="21477" spans="6:6">
      <c r="F21477" s="2423"/>
    </row>
    <row r="21478" spans="6:6">
      <c r="F21478" s="2423"/>
    </row>
    <row r="21479" spans="6:6">
      <c r="F21479" s="2423"/>
    </row>
    <row r="21480" spans="6:6">
      <c r="F21480" s="2423"/>
    </row>
    <row r="21481" spans="6:6">
      <c r="F21481" s="2423"/>
    </row>
    <row r="21482" spans="6:6">
      <c r="F21482" s="2423"/>
    </row>
    <row r="21483" spans="6:6">
      <c r="F21483" s="2423"/>
    </row>
    <row r="21484" spans="6:6">
      <c r="F21484" s="2423"/>
    </row>
    <row r="21485" spans="6:6">
      <c r="F21485" s="2423"/>
    </row>
    <row r="21486" spans="6:6">
      <c r="F21486" s="2423"/>
    </row>
    <row r="21487" spans="6:6">
      <c r="F21487" s="2423"/>
    </row>
    <row r="21488" spans="6:6">
      <c r="F21488" s="2423"/>
    </row>
    <row r="21489" spans="6:6">
      <c r="F21489" s="2423"/>
    </row>
    <row r="21490" spans="6:6">
      <c r="F21490" s="2423"/>
    </row>
    <row r="21491" spans="6:6">
      <c r="F21491" s="2423"/>
    </row>
    <row r="21492" spans="6:6">
      <c r="F21492" s="2423"/>
    </row>
    <row r="21493" spans="6:6">
      <c r="F21493" s="2423"/>
    </row>
    <row r="21494" spans="6:6">
      <c r="F21494" s="2423"/>
    </row>
    <row r="21495" spans="6:6">
      <c r="F21495" s="2423"/>
    </row>
    <row r="21496" spans="6:6">
      <c r="F21496" s="2423"/>
    </row>
    <row r="21497" spans="6:6">
      <c r="F21497" s="2423"/>
    </row>
    <row r="21498" spans="6:6">
      <c r="F21498" s="2423"/>
    </row>
    <row r="21499" spans="6:6">
      <c r="F21499" s="2423"/>
    </row>
    <row r="21500" spans="6:6">
      <c r="F21500" s="2423"/>
    </row>
    <row r="21501" spans="6:6">
      <c r="F21501" s="2423"/>
    </row>
    <row r="21502" spans="6:6">
      <c r="F21502" s="2423"/>
    </row>
    <row r="21503" spans="6:6">
      <c r="F21503" s="2423"/>
    </row>
    <row r="21504" spans="6:6">
      <c r="F21504" s="2423"/>
    </row>
    <row r="21505" spans="6:6">
      <c r="F21505" s="2423"/>
    </row>
    <row r="21506" spans="6:6">
      <c r="F21506" s="2423"/>
    </row>
    <row r="21507" spans="6:6">
      <c r="F21507" s="2423"/>
    </row>
    <row r="21508" spans="6:6">
      <c r="F21508" s="2423"/>
    </row>
    <row r="21509" spans="6:6">
      <c r="F21509" s="2423"/>
    </row>
    <row r="21510" spans="6:6">
      <c r="F21510" s="2423"/>
    </row>
    <row r="21511" spans="6:6">
      <c r="F21511" s="2423"/>
    </row>
    <row r="21512" spans="6:6">
      <c r="F21512" s="2423"/>
    </row>
    <row r="21513" spans="6:6">
      <c r="F21513" s="2423"/>
    </row>
    <row r="21514" spans="6:6">
      <c r="F21514" s="2423"/>
    </row>
    <row r="21515" spans="6:6">
      <c r="F21515" s="2423"/>
    </row>
    <row r="21516" spans="6:6">
      <c r="F21516" s="2423"/>
    </row>
    <row r="21517" spans="6:6">
      <c r="F21517" s="2423"/>
    </row>
    <row r="21518" spans="6:6">
      <c r="F21518" s="2423"/>
    </row>
    <row r="21519" spans="6:6">
      <c r="F21519" s="2423"/>
    </row>
    <row r="21520" spans="6:6">
      <c r="F21520" s="2423"/>
    </row>
    <row r="21521" spans="6:6">
      <c r="F21521" s="2423"/>
    </row>
    <row r="21522" spans="6:6">
      <c r="F21522" s="2423"/>
    </row>
    <row r="21523" spans="6:6">
      <c r="F21523" s="2423"/>
    </row>
    <row r="21524" spans="6:6">
      <c r="F21524" s="2423"/>
    </row>
    <row r="21525" spans="6:6">
      <c r="F21525" s="2423"/>
    </row>
    <row r="21526" spans="6:6">
      <c r="F21526" s="2423"/>
    </row>
    <row r="21527" spans="6:6">
      <c r="F21527" s="2423"/>
    </row>
    <row r="21528" spans="6:6">
      <c r="F21528" s="2423"/>
    </row>
    <row r="21529" spans="6:6">
      <c r="F21529" s="2423"/>
    </row>
    <row r="21530" spans="6:6">
      <c r="F21530" s="2423"/>
    </row>
    <row r="21531" spans="6:6">
      <c r="F21531" s="2423"/>
    </row>
    <row r="21532" spans="6:6">
      <c r="F21532" s="2423"/>
    </row>
    <row r="21533" spans="6:6">
      <c r="F21533" s="2423"/>
    </row>
    <row r="21534" spans="6:6">
      <c r="F21534" s="2423"/>
    </row>
    <row r="21535" spans="6:6">
      <c r="F21535" s="2423"/>
    </row>
    <row r="21536" spans="6:6">
      <c r="F21536" s="2423"/>
    </row>
    <row r="21537" spans="6:6">
      <c r="F21537" s="2423"/>
    </row>
    <row r="21538" spans="6:6">
      <c r="F21538" s="2423"/>
    </row>
    <row r="21539" spans="6:6">
      <c r="F21539" s="2423"/>
    </row>
    <row r="21540" spans="6:6">
      <c r="F21540" s="2423"/>
    </row>
    <row r="21541" spans="6:6">
      <c r="F21541" s="2423"/>
    </row>
    <row r="21542" spans="6:6">
      <c r="F21542" s="2423"/>
    </row>
    <row r="21543" spans="6:6">
      <c r="F21543" s="2423"/>
    </row>
    <row r="21544" spans="6:6">
      <c r="F21544" s="2423"/>
    </row>
    <row r="21545" spans="6:6">
      <c r="F21545" s="2423"/>
    </row>
    <row r="21546" spans="6:6">
      <c r="F21546" s="2423"/>
    </row>
    <row r="21547" spans="6:6">
      <c r="F21547" s="2423"/>
    </row>
    <row r="21548" spans="6:6">
      <c r="F21548" s="2423"/>
    </row>
    <row r="21549" spans="6:6">
      <c r="F21549" s="2423"/>
    </row>
    <row r="21550" spans="6:6">
      <c r="F21550" s="2423"/>
    </row>
    <row r="21551" spans="6:6">
      <c r="F21551" s="2423"/>
    </row>
    <row r="21552" spans="6:6">
      <c r="F21552" s="2423"/>
    </row>
    <row r="21553" spans="6:6">
      <c r="F21553" s="2423"/>
    </row>
    <row r="21554" spans="6:6">
      <c r="F21554" s="2423"/>
    </row>
    <row r="21555" spans="6:6">
      <c r="F21555" s="2423"/>
    </row>
    <row r="21556" spans="6:6">
      <c r="F21556" s="2423"/>
    </row>
    <row r="21557" spans="6:6">
      <c r="F21557" s="2423"/>
    </row>
    <row r="21558" spans="6:6">
      <c r="F21558" s="2423"/>
    </row>
    <row r="21559" spans="6:6">
      <c r="F21559" s="2423"/>
    </row>
    <row r="21560" spans="6:6">
      <c r="F21560" s="2423"/>
    </row>
    <row r="21561" spans="6:6">
      <c r="F21561" s="2423"/>
    </row>
    <row r="21562" spans="6:6">
      <c r="F21562" s="2423"/>
    </row>
    <row r="21563" spans="6:6">
      <c r="F21563" s="2423"/>
    </row>
    <row r="21564" spans="6:6">
      <c r="F21564" s="2423"/>
    </row>
    <row r="21565" spans="6:6">
      <c r="F21565" s="2423"/>
    </row>
    <row r="21566" spans="6:6">
      <c r="F21566" s="2423"/>
    </row>
    <row r="21567" spans="6:6">
      <c r="F21567" s="2423"/>
    </row>
    <row r="21568" spans="6:6">
      <c r="F21568" s="2423"/>
    </row>
    <row r="21569" spans="6:6">
      <c r="F21569" s="2423"/>
    </row>
    <row r="21570" spans="6:6">
      <c r="F21570" s="2423"/>
    </row>
    <row r="21571" spans="6:6">
      <c r="F21571" s="2423"/>
    </row>
    <row r="21572" spans="6:6">
      <c r="F21572" s="2423"/>
    </row>
    <row r="21573" spans="6:6">
      <c r="F21573" s="2423"/>
    </row>
    <row r="21574" spans="6:6">
      <c r="F21574" s="2423"/>
    </row>
    <row r="21575" spans="6:6">
      <c r="F21575" s="2423"/>
    </row>
    <row r="21576" spans="6:6">
      <c r="F21576" s="2423"/>
    </row>
    <row r="21577" spans="6:6">
      <c r="F21577" s="2423"/>
    </row>
    <row r="21578" spans="6:6">
      <c r="F21578" s="2423"/>
    </row>
    <row r="21579" spans="6:6">
      <c r="F21579" s="2423"/>
    </row>
    <row r="21580" spans="6:6">
      <c r="F21580" s="2423"/>
    </row>
    <row r="21581" spans="6:6">
      <c r="F21581" s="2423"/>
    </row>
    <row r="21582" spans="6:6">
      <c r="F21582" s="2423"/>
    </row>
    <row r="21583" spans="6:6">
      <c r="F21583" s="2423"/>
    </row>
    <row r="21584" spans="6:6">
      <c r="F21584" s="2423"/>
    </row>
    <row r="21585" spans="6:6">
      <c r="F21585" s="2423"/>
    </row>
    <row r="21586" spans="6:6">
      <c r="F21586" s="2423"/>
    </row>
    <row r="21587" spans="6:6">
      <c r="F21587" s="2423"/>
    </row>
    <row r="21588" spans="6:6">
      <c r="F21588" s="2423"/>
    </row>
    <row r="21589" spans="6:6">
      <c r="F21589" s="2423"/>
    </row>
    <row r="21590" spans="6:6">
      <c r="F21590" s="2423"/>
    </row>
    <row r="21591" spans="6:6">
      <c r="F21591" s="2423"/>
    </row>
    <row r="21592" spans="6:6">
      <c r="F21592" s="2423"/>
    </row>
    <row r="21593" spans="6:6">
      <c r="F21593" s="2423"/>
    </row>
    <row r="21594" spans="6:6">
      <c r="F21594" s="2423"/>
    </row>
    <row r="21595" spans="6:6">
      <c r="F21595" s="2423"/>
    </row>
    <row r="21596" spans="6:6">
      <c r="F21596" s="2423"/>
    </row>
    <row r="21597" spans="6:6">
      <c r="F21597" s="2423"/>
    </row>
    <row r="21598" spans="6:6">
      <c r="F21598" s="2423"/>
    </row>
    <row r="21599" spans="6:6">
      <c r="F21599" s="2423"/>
    </row>
    <row r="21600" spans="6:6">
      <c r="F21600" s="2423"/>
    </row>
    <row r="21601" spans="6:6">
      <c r="F21601" s="2423"/>
    </row>
    <row r="21602" spans="6:6">
      <c r="F21602" s="2423"/>
    </row>
    <row r="21603" spans="6:6">
      <c r="F21603" s="2423"/>
    </row>
    <row r="21604" spans="6:6">
      <c r="F21604" s="2423"/>
    </row>
    <row r="21605" spans="6:6">
      <c r="F21605" s="2423"/>
    </row>
    <row r="21606" spans="6:6">
      <c r="F21606" s="2423"/>
    </row>
    <row r="21607" spans="6:6">
      <c r="F21607" s="2423"/>
    </row>
    <row r="21608" spans="6:6">
      <c r="F21608" s="2423"/>
    </row>
    <row r="21609" spans="6:6">
      <c r="F21609" s="2423"/>
    </row>
    <row r="21610" spans="6:6">
      <c r="F21610" s="2423"/>
    </row>
    <row r="21611" spans="6:6">
      <c r="F21611" s="2423"/>
    </row>
    <row r="21612" spans="6:6">
      <c r="F21612" s="2423"/>
    </row>
    <row r="21613" spans="6:6">
      <c r="F21613" s="2423"/>
    </row>
    <row r="21614" spans="6:6">
      <c r="F21614" s="2423"/>
    </row>
    <row r="21615" spans="6:6">
      <c r="F21615" s="2423"/>
    </row>
    <row r="21616" spans="6:6">
      <c r="F21616" s="2423"/>
    </row>
    <row r="21617" spans="6:6">
      <c r="F21617" s="2423"/>
    </row>
    <row r="21618" spans="6:6">
      <c r="F21618" s="2423"/>
    </row>
    <row r="21619" spans="6:6">
      <c r="F21619" s="2423"/>
    </row>
    <row r="21620" spans="6:6">
      <c r="F21620" s="2423"/>
    </row>
    <row r="21621" spans="6:6">
      <c r="F21621" s="2423"/>
    </row>
    <row r="21622" spans="6:6">
      <c r="F21622" s="2423"/>
    </row>
    <row r="21623" spans="6:6">
      <c r="F21623" s="2423"/>
    </row>
    <row r="21624" spans="6:6">
      <c r="F21624" s="2423"/>
    </row>
    <row r="21625" spans="6:6">
      <c r="F21625" s="2423"/>
    </row>
    <row r="21626" spans="6:6">
      <c r="F21626" s="2423"/>
    </row>
    <row r="21627" spans="6:6">
      <c r="F21627" s="2423"/>
    </row>
    <row r="21628" spans="6:6">
      <c r="F21628" s="2423"/>
    </row>
    <row r="21629" spans="6:6">
      <c r="F21629" s="2423"/>
    </row>
    <row r="21630" spans="6:6">
      <c r="F21630" s="2423"/>
    </row>
    <row r="21631" spans="6:6">
      <c r="F21631" s="2423"/>
    </row>
    <row r="21632" spans="6:6">
      <c r="F21632" s="2423"/>
    </row>
    <row r="21633" spans="6:6">
      <c r="F21633" s="2423"/>
    </row>
    <row r="21634" spans="6:6">
      <c r="F21634" s="2423"/>
    </row>
    <row r="21635" spans="6:6">
      <c r="F21635" s="2423"/>
    </row>
    <row r="21636" spans="6:6">
      <c r="F21636" s="2423"/>
    </row>
    <row r="21637" spans="6:6">
      <c r="F21637" s="2423"/>
    </row>
    <row r="21638" spans="6:6">
      <c r="F21638" s="2423"/>
    </row>
    <row r="21639" spans="6:6">
      <c r="F21639" s="2423"/>
    </row>
    <row r="21640" spans="6:6">
      <c r="F21640" s="2423"/>
    </row>
    <row r="21641" spans="6:6">
      <c r="F21641" s="2423"/>
    </row>
    <row r="21642" spans="6:6">
      <c r="F21642" s="2423"/>
    </row>
    <row r="21643" spans="6:6">
      <c r="F21643" s="2423"/>
    </row>
    <row r="21644" spans="6:6">
      <c r="F21644" s="2423"/>
    </row>
    <row r="21645" spans="6:6">
      <c r="F21645" s="2423"/>
    </row>
    <row r="21646" spans="6:6">
      <c r="F21646" s="2423"/>
    </row>
    <row r="21647" spans="6:6">
      <c r="F21647" s="2423"/>
    </row>
    <row r="21648" spans="6:6">
      <c r="F21648" s="2423"/>
    </row>
    <row r="21649" spans="6:6">
      <c r="F21649" s="2423"/>
    </row>
    <row r="21650" spans="6:6">
      <c r="F21650" s="2423"/>
    </row>
    <row r="21651" spans="6:6">
      <c r="F21651" s="2423"/>
    </row>
    <row r="21652" spans="6:6">
      <c r="F21652" s="2423"/>
    </row>
    <row r="21653" spans="6:6">
      <c r="F21653" s="2423"/>
    </row>
    <row r="21654" spans="6:6">
      <c r="F21654" s="2423"/>
    </row>
    <row r="21655" spans="6:6">
      <c r="F21655" s="2423"/>
    </row>
    <row r="21656" spans="6:6">
      <c r="F21656" s="2423"/>
    </row>
    <row r="21657" spans="6:6">
      <c r="F21657" s="2423"/>
    </row>
    <row r="21658" spans="6:6">
      <c r="F21658" s="2423"/>
    </row>
    <row r="21659" spans="6:6">
      <c r="F21659" s="2423"/>
    </row>
    <row r="21660" spans="6:6">
      <c r="F21660" s="2423"/>
    </row>
    <row r="21661" spans="6:6">
      <c r="F21661" s="2423"/>
    </row>
    <row r="21662" spans="6:6">
      <c r="F21662" s="2423"/>
    </row>
    <row r="21663" spans="6:6">
      <c r="F21663" s="2423"/>
    </row>
    <row r="21664" spans="6:6">
      <c r="F21664" s="2423"/>
    </row>
    <row r="21665" spans="6:6">
      <c r="F21665" s="2423"/>
    </row>
    <row r="21666" spans="6:6">
      <c r="F21666" s="2423"/>
    </row>
    <row r="21667" spans="6:6">
      <c r="F21667" s="2423"/>
    </row>
    <row r="21668" spans="6:6">
      <c r="F21668" s="2423"/>
    </row>
    <row r="21669" spans="6:6">
      <c r="F21669" s="2423"/>
    </row>
    <row r="21670" spans="6:6">
      <c r="F21670" s="2423"/>
    </row>
    <row r="21671" spans="6:6">
      <c r="F21671" s="2423"/>
    </row>
    <row r="21672" spans="6:6">
      <c r="F21672" s="2423"/>
    </row>
    <row r="21673" spans="6:6">
      <c r="F21673" s="2423"/>
    </row>
    <row r="21674" spans="6:6">
      <c r="F21674" s="2423"/>
    </row>
    <row r="21675" spans="6:6">
      <c r="F21675" s="2423"/>
    </row>
    <row r="21676" spans="6:6">
      <c r="F21676" s="2423"/>
    </row>
    <row r="21677" spans="6:6">
      <c r="F21677" s="2423"/>
    </row>
    <row r="21678" spans="6:6">
      <c r="F21678" s="2423"/>
    </row>
    <row r="21679" spans="6:6">
      <c r="F21679" s="2423"/>
    </row>
    <row r="21680" spans="6:6">
      <c r="F21680" s="2423"/>
    </row>
    <row r="21681" spans="6:6">
      <c r="F21681" s="2423"/>
    </row>
    <row r="21682" spans="6:6">
      <c r="F21682" s="2423"/>
    </row>
    <row r="21683" spans="6:6">
      <c r="F21683" s="2423"/>
    </row>
    <row r="21684" spans="6:6">
      <c r="F21684" s="2423"/>
    </row>
    <row r="21685" spans="6:6">
      <c r="F21685" s="2423"/>
    </row>
    <row r="21686" spans="6:6">
      <c r="F21686" s="2423"/>
    </row>
    <row r="21687" spans="6:6">
      <c r="F21687" s="2423"/>
    </row>
    <row r="21688" spans="6:6">
      <c r="F21688" s="2423"/>
    </row>
    <row r="21689" spans="6:6">
      <c r="F21689" s="2423"/>
    </row>
    <row r="21690" spans="6:6">
      <c r="F21690" s="2423"/>
    </row>
    <row r="21691" spans="6:6">
      <c r="F21691" s="2423"/>
    </row>
    <row r="21692" spans="6:6">
      <c r="F21692" s="2423"/>
    </row>
    <row r="21693" spans="6:6">
      <c r="F21693" s="2423"/>
    </row>
    <row r="21694" spans="6:6">
      <c r="F21694" s="2423"/>
    </row>
    <row r="21695" spans="6:6">
      <c r="F21695" s="2423"/>
    </row>
    <row r="21696" spans="6:6">
      <c r="F21696" s="2423"/>
    </row>
    <row r="21697" spans="6:6">
      <c r="F21697" s="2423"/>
    </row>
    <row r="21698" spans="6:6">
      <c r="F21698" s="2423"/>
    </row>
    <row r="21699" spans="6:6">
      <c r="F21699" s="2423"/>
    </row>
    <row r="21700" spans="6:6">
      <c r="F21700" s="2423"/>
    </row>
    <row r="21701" spans="6:6">
      <c r="F21701" s="2423"/>
    </row>
    <row r="21702" spans="6:6">
      <c r="F21702" s="2423"/>
    </row>
    <row r="21703" spans="6:6">
      <c r="F21703" s="2423"/>
    </row>
    <row r="21704" spans="6:6">
      <c r="F21704" s="2423"/>
    </row>
    <row r="21705" spans="6:6">
      <c r="F21705" s="2423"/>
    </row>
    <row r="21706" spans="6:6">
      <c r="F21706" s="2423"/>
    </row>
    <row r="21707" spans="6:6">
      <c r="F21707" s="2423"/>
    </row>
    <row r="21708" spans="6:6">
      <c r="F21708" s="2423"/>
    </row>
    <row r="21709" spans="6:6">
      <c r="F21709" s="2423"/>
    </row>
    <row r="21710" spans="6:6">
      <c r="F21710" s="2423"/>
    </row>
    <row r="21711" spans="6:6">
      <c r="F21711" s="2423"/>
    </row>
    <row r="21712" spans="6:6">
      <c r="F21712" s="2423"/>
    </row>
    <row r="21713" spans="6:6">
      <c r="F21713" s="2423"/>
    </row>
    <row r="21714" spans="6:6">
      <c r="F21714" s="2423"/>
    </row>
    <row r="21715" spans="6:6">
      <c r="F21715" s="2423"/>
    </row>
    <row r="21716" spans="6:6">
      <c r="F21716" s="2423"/>
    </row>
    <row r="21717" spans="6:6">
      <c r="F21717" s="2423"/>
    </row>
    <row r="21718" spans="6:6">
      <c r="F21718" s="2423"/>
    </row>
    <row r="21719" spans="6:6">
      <c r="F21719" s="2423"/>
    </row>
    <row r="21720" spans="6:6">
      <c r="F21720" s="2423"/>
    </row>
    <row r="21721" spans="6:6">
      <c r="F21721" s="2423"/>
    </row>
    <row r="21722" spans="6:6">
      <c r="F21722" s="2423"/>
    </row>
    <row r="21723" spans="6:6">
      <c r="F21723" s="2423"/>
    </row>
    <row r="21724" spans="6:6">
      <c r="F21724" s="2423"/>
    </row>
    <row r="21725" spans="6:6">
      <c r="F21725" s="2423"/>
    </row>
    <row r="21726" spans="6:6">
      <c r="F21726" s="2423"/>
    </row>
    <row r="21727" spans="6:6">
      <c r="F21727" s="2423"/>
    </row>
    <row r="21728" spans="6:6">
      <c r="F21728" s="2423"/>
    </row>
    <row r="21729" spans="6:6">
      <c r="F21729" s="2423"/>
    </row>
    <row r="21730" spans="6:6">
      <c r="F21730" s="2423"/>
    </row>
    <row r="21731" spans="6:6">
      <c r="F21731" s="2423"/>
    </row>
    <row r="21732" spans="6:6">
      <c r="F21732" s="2423"/>
    </row>
    <row r="21733" spans="6:6">
      <c r="F21733" s="2423"/>
    </row>
    <row r="21734" spans="6:6">
      <c r="F21734" s="2423"/>
    </row>
    <row r="21735" spans="6:6">
      <c r="F21735" s="2423"/>
    </row>
    <row r="21736" spans="6:6">
      <c r="F21736" s="2423"/>
    </row>
    <row r="21737" spans="6:6">
      <c r="F21737" s="2423"/>
    </row>
    <row r="21738" spans="6:6">
      <c r="F21738" s="2423"/>
    </row>
    <row r="21739" spans="6:6">
      <c r="F21739" s="2423"/>
    </row>
    <row r="21740" spans="6:6">
      <c r="F21740" s="2423"/>
    </row>
    <row r="21741" spans="6:6">
      <c r="F21741" s="2423"/>
    </row>
    <row r="21742" spans="6:6">
      <c r="F21742" s="2423"/>
    </row>
    <row r="21743" spans="6:6">
      <c r="F21743" s="2423"/>
    </row>
    <row r="21744" spans="6:6">
      <c r="F21744" s="2423"/>
    </row>
    <row r="21745" spans="6:6">
      <c r="F21745" s="2423"/>
    </row>
    <row r="21746" spans="6:6">
      <c r="F21746" s="2423"/>
    </row>
    <row r="21747" spans="6:6">
      <c r="F21747" s="2423"/>
    </row>
    <row r="21748" spans="6:6">
      <c r="F21748" s="2423"/>
    </row>
    <row r="21749" spans="6:6">
      <c r="F21749" s="2423"/>
    </row>
    <row r="21750" spans="6:6">
      <c r="F21750" s="2423"/>
    </row>
    <row r="21751" spans="6:6">
      <c r="F21751" s="2423"/>
    </row>
    <row r="21752" spans="6:6">
      <c r="F21752" s="2423"/>
    </row>
    <row r="21753" spans="6:6">
      <c r="F21753" s="2423"/>
    </row>
    <row r="21754" spans="6:6">
      <c r="F21754" s="2423"/>
    </row>
    <row r="21755" spans="6:6">
      <c r="F21755" s="2423"/>
    </row>
    <row r="21756" spans="6:6">
      <c r="F21756" s="2423"/>
    </row>
    <row r="21757" spans="6:6">
      <c r="F21757" s="2423"/>
    </row>
    <row r="21758" spans="6:6">
      <c r="F21758" s="2423"/>
    </row>
    <row r="21759" spans="6:6">
      <c r="F21759" s="2423"/>
    </row>
    <row r="21760" spans="6:6">
      <c r="F21760" s="2423"/>
    </row>
    <row r="21761" spans="6:6">
      <c r="F21761" s="2423"/>
    </row>
    <row r="21762" spans="6:6">
      <c r="F21762" s="2423"/>
    </row>
    <row r="21763" spans="6:6">
      <c r="F21763" s="2423"/>
    </row>
    <row r="21764" spans="6:6">
      <c r="F21764" s="2423"/>
    </row>
    <row r="21765" spans="6:6">
      <c r="F21765" s="2423"/>
    </row>
    <row r="21766" spans="6:6">
      <c r="F21766" s="2423"/>
    </row>
    <row r="21767" spans="6:6">
      <c r="F21767" s="2423"/>
    </row>
    <row r="21768" spans="6:6">
      <c r="F21768" s="2423"/>
    </row>
    <row r="21769" spans="6:6">
      <c r="F21769" s="2423"/>
    </row>
    <row r="21770" spans="6:6">
      <c r="F21770" s="2423"/>
    </row>
    <row r="21771" spans="6:6">
      <c r="F21771" s="2423"/>
    </row>
    <row r="21772" spans="6:6">
      <c r="F21772" s="2423"/>
    </row>
    <row r="21773" spans="6:6">
      <c r="F21773" s="2423"/>
    </row>
    <row r="21774" spans="6:6">
      <c r="F21774" s="2423"/>
    </row>
    <row r="21775" spans="6:6">
      <c r="F21775" s="2423"/>
    </row>
    <row r="21776" spans="6:6">
      <c r="F21776" s="2423"/>
    </row>
    <row r="21777" spans="6:6">
      <c r="F21777" s="2423"/>
    </row>
    <row r="21778" spans="6:6">
      <c r="F21778" s="2423"/>
    </row>
    <row r="21779" spans="6:6">
      <c r="F21779" s="2423"/>
    </row>
    <row r="21780" spans="6:6">
      <c r="F21780" s="2423"/>
    </row>
    <row r="21781" spans="6:6">
      <c r="F21781" s="2423"/>
    </row>
    <row r="21782" spans="6:6">
      <c r="F21782" s="2423"/>
    </row>
    <row r="21783" spans="6:6">
      <c r="F21783" s="2423"/>
    </row>
    <row r="21784" spans="6:6">
      <c r="F21784" s="2423"/>
    </row>
    <row r="21785" spans="6:6">
      <c r="F21785" s="2423"/>
    </row>
    <row r="21786" spans="6:6">
      <c r="F21786" s="2423"/>
    </row>
    <row r="21787" spans="6:6">
      <c r="F21787" s="2423"/>
    </row>
    <row r="21788" spans="6:6">
      <c r="F21788" s="2423"/>
    </row>
    <row r="21789" spans="6:6">
      <c r="F21789" s="2423"/>
    </row>
    <row r="21790" spans="6:6">
      <c r="F21790" s="2423"/>
    </row>
    <row r="21791" spans="6:6">
      <c r="F21791" s="2423"/>
    </row>
    <row r="21792" spans="6:6">
      <c r="F21792" s="2423"/>
    </row>
    <row r="21793" spans="6:6">
      <c r="F21793" s="2423"/>
    </row>
    <row r="21794" spans="6:6">
      <c r="F21794" s="2423"/>
    </row>
    <row r="21795" spans="6:6">
      <c r="F21795" s="2423"/>
    </row>
    <row r="21796" spans="6:6">
      <c r="F21796" s="2423"/>
    </row>
    <row r="21797" spans="6:6">
      <c r="F21797" s="2423"/>
    </row>
    <row r="21798" spans="6:6">
      <c r="F21798" s="2423"/>
    </row>
    <row r="21799" spans="6:6">
      <c r="F21799" s="2423"/>
    </row>
    <row r="21800" spans="6:6">
      <c r="F21800" s="2423"/>
    </row>
    <row r="21801" spans="6:6">
      <c r="F21801" s="2423"/>
    </row>
    <row r="21802" spans="6:6">
      <c r="F21802" s="2423"/>
    </row>
    <row r="21803" spans="6:6">
      <c r="F21803" s="2423"/>
    </row>
    <row r="21804" spans="6:6">
      <c r="F21804" s="2423"/>
    </row>
    <row r="21805" spans="6:6">
      <c r="F21805" s="2423"/>
    </row>
    <row r="21806" spans="6:6">
      <c r="F21806" s="2423"/>
    </row>
    <row r="21807" spans="6:6">
      <c r="F21807" s="2423"/>
    </row>
    <row r="21808" spans="6:6">
      <c r="F21808" s="2423"/>
    </row>
    <row r="21809" spans="6:6">
      <c r="F21809" s="2423"/>
    </row>
    <row r="21810" spans="6:6">
      <c r="F21810" s="2423"/>
    </row>
    <row r="21811" spans="6:6">
      <c r="F21811" s="2423"/>
    </row>
    <row r="21812" spans="6:6">
      <c r="F21812" s="2423"/>
    </row>
    <row r="21813" spans="6:6">
      <c r="F21813" s="2423"/>
    </row>
    <row r="21814" spans="6:6">
      <c r="F21814" s="2423"/>
    </row>
    <row r="21815" spans="6:6">
      <c r="F21815" s="2423"/>
    </row>
    <row r="21816" spans="6:6">
      <c r="F21816" s="2423"/>
    </row>
    <row r="21817" spans="6:6">
      <c r="F21817" s="2423"/>
    </row>
    <row r="21818" spans="6:6">
      <c r="F21818" s="2423"/>
    </row>
    <row r="21819" spans="6:6">
      <c r="F21819" s="2423"/>
    </row>
    <row r="21820" spans="6:6">
      <c r="F21820" s="2423"/>
    </row>
    <row r="21821" spans="6:6">
      <c r="F21821" s="2423"/>
    </row>
    <row r="21822" spans="6:6">
      <c r="F21822" s="2423"/>
    </row>
    <row r="21823" spans="6:6">
      <c r="F21823" s="2423"/>
    </row>
    <row r="21824" spans="6:6">
      <c r="F21824" s="2423"/>
    </row>
    <row r="21825" spans="6:6">
      <c r="F21825" s="2423"/>
    </row>
    <row r="21826" spans="6:6">
      <c r="F21826" s="2423"/>
    </row>
    <row r="21827" spans="6:6">
      <c r="F21827" s="2423"/>
    </row>
    <row r="21828" spans="6:6">
      <c r="F21828" s="2423"/>
    </row>
    <row r="21829" spans="6:6">
      <c r="F21829" s="2423"/>
    </row>
    <row r="21830" spans="6:6">
      <c r="F21830" s="2423"/>
    </row>
    <row r="21831" spans="6:6">
      <c r="F21831" s="2423"/>
    </row>
    <row r="21832" spans="6:6">
      <c r="F21832" s="2423"/>
    </row>
    <row r="21833" spans="6:6">
      <c r="F21833" s="2423"/>
    </row>
    <row r="21834" spans="6:6">
      <c r="F21834" s="2423"/>
    </row>
    <row r="21835" spans="6:6">
      <c r="F21835" s="2423"/>
    </row>
    <row r="21836" spans="6:6">
      <c r="F21836" s="2423"/>
    </row>
    <row r="21837" spans="6:6">
      <c r="F21837" s="2423"/>
    </row>
    <row r="21838" spans="6:6">
      <c r="F21838" s="2423"/>
    </row>
    <row r="21839" spans="6:6">
      <c r="F21839" s="2423"/>
    </row>
    <row r="21840" spans="6:6">
      <c r="F21840" s="2423"/>
    </row>
    <row r="21841" spans="6:6">
      <c r="F21841" s="2423"/>
    </row>
    <row r="21842" spans="6:6">
      <c r="F21842" s="2423"/>
    </row>
    <row r="21843" spans="6:6">
      <c r="F21843" s="2423"/>
    </row>
    <row r="21844" spans="6:6">
      <c r="F21844" s="2423"/>
    </row>
    <row r="21845" spans="6:6">
      <c r="F21845" s="2423"/>
    </row>
    <row r="21846" spans="6:6">
      <c r="F21846" s="2423"/>
    </row>
    <row r="21847" spans="6:6">
      <c r="F21847" s="2423"/>
    </row>
    <row r="21848" spans="6:6">
      <c r="F21848" s="2423"/>
    </row>
    <row r="21849" spans="6:6">
      <c r="F21849" s="2423"/>
    </row>
    <row r="21850" spans="6:6">
      <c r="F21850" s="2423"/>
    </row>
    <row r="21851" spans="6:6">
      <c r="F21851" s="2423"/>
    </row>
    <row r="21852" spans="6:6">
      <c r="F21852" s="2423"/>
    </row>
    <row r="21853" spans="6:6">
      <c r="F21853" s="2423"/>
    </row>
    <row r="21854" spans="6:6">
      <c r="F21854" s="2423"/>
    </row>
    <row r="21855" spans="6:6">
      <c r="F21855" s="2423"/>
    </row>
    <row r="21856" spans="6:6">
      <c r="F21856" s="2423"/>
    </row>
    <row r="21857" spans="6:6">
      <c r="F21857" s="2423"/>
    </row>
    <row r="21858" spans="6:6">
      <c r="F21858" s="2423"/>
    </row>
    <row r="21859" spans="6:6">
      <c r="F21859" s="2423"/>
    </row>
    <row r="21860" spans="6:6">
      <c r="F21860" s="2423"/>
    </row>
    <row r="21861" spans="6:6">
      <c r="F21861" s="2423"/>
    </row>
    <row r="21862" spans="6:6">
      <c r="F21862" s="2423"/>
    </row>
    <row r="21863" spans="6:6">
      <c r="F21863" s="2423"/>
    </row>
    <row r="21864" spans="6:6">
      <c r="F21864" s="2423"/>
    </row>
    <row r="21865" spans="6:6">
      <c r="F21865" s="2423"/>
    </row>
    <row r="21866" spans="6:6">
      <c r="F21866" s="2423"/>
    </row>
    <row r="21867" spans="6:6">
      <c r="F21867" s="2423"/>
    </row>
    <row r="21868" spans="6:6">
      <c r="F21868" s="2423"/>
    </row>
    <row r="21869" spans="6:6">
      <c r="F21869" s="2423"/>
    </row>
    <row r="21870" spans="6:6">
      <c r="F21870" s="2423"/>
    </row>
    <row r="21871" spans="6:6">
      <c r="F21871" s="2423"/>
    </row>
    <row r="21872" spans="6:6">
      <c r="F21872" s="2423"/>
    </row>
    <row r="21873" spans="6:6">
      <c r="F21873" s="2423"/>
    </row>
    <row r="21874" spans="6:6">
      <c r="F21874" s="2423"/>
    </row>
    <row r="21875" spans="6:6">
      <c r="F21875" s="2423"/>
    </row>
    <row r="21876" spans="6:6">
      <c r="F21876" s="2423"/>
    </row>
    <row r="21877" spans="6:6">
      <c r="F21877" s="2423"/>
    </row>
    <row r="21878" spans="6:6">
      <c r="F21878" s="2423"/>
    </row>
    <row r="21879" spans="6:6">
      <c r="F21879" s="2423"/>
    </row>
    <row r="21880" spans="6:6">
      <c r="F21880" s="2423"/>
    </row>
    <row r="21881" spans="6:6">
      <c r="F21881" s="2423"/>
    </row>
    <row r="21882" spans="6:6">
      <c r="F21882" s="2423"/>
    </row>
    <row r="21883" spans="6:6">
      <c r="F21883" s="2423"/>
    </row>
    <row r="21884" spans="6:6">
      <c r="F21884" s="2423"/>
    </row>
    <row r="21885" spans="6:6">
      <c r="F21885" s="2423"/>
    </row>
    <row r="21886" spans="6:6">
      <c r="F21886" s="2423"/>
    </row>
    <row r="21887" spans="6:6">
      <c r="F21887" s="2423"/>
    </row>
    <row r="21888" spans="6:6">
      <c r="F21888" s="2423"/>
    </row>
    <row r="21889" spans="6:6">
      <c r="F21889" s="2423"/>
    </row>
    <row r="21890" spans="6:6">
      <c r="F21890" s="2423"/>
    </row>
    <row r="21891" spans="6:6">
      <c r="F21891" s="2423"/>
    </row>
    <row r="21892" spans="6:6">
      <c r="F21892" s="2423"/>
    </row>
    <row r="21893" spans="6:6">
      <c r="F21893" s="2423"/>
    </row>
    <row r="21894" spans="6:6">
      <c r="F21894" s="2423"/>
    </row>
    <row r="21895" spans="6:6">
      <c r="F21895" s="2423"/>
    </row>
    <row r="21896" spans="6:6">
      <c r="F21896" s="2423"/>
    </row>
    <row r="21897" spans="6:6">
      <c r="F21897" s="2423"/>
    </row>
    <row r="21898" spans="6:6">
      <c r="F21898" s="2423"/>
    </row>
    <row r="21899" spans="6:6">
      <c r="F21899" s="2423"/>
    </row>
    <row r="21900" spans="6:6">
      <c r="F21900" s="2423"/>
    </row>
    <row r="21901" spans="6:6">
      <c r="F21901" s="2423"/>
    </row>
    <row r="21902" spans="6:6">
      <c r="F21902" s="2423"/>
    </row>
    <row r="21903" spans="6:6">
      <c r="F21903" s="2423"/>
    </row>
    <row r="21904" spans="6:6">
      <c r="F21904" s="2423"/>
    </row>
    <row r="21905" spans="6:6">
      <c r="F21905" s="2423"/>
    </row>
    <row r="21906" spans="6:6">
      <c r="F21906" s="2423"/>
    </row>
    <row r="21907" spans="6:6">
      <c r="F21907" s="2423"/>
    </row>
    <row r="21908" spans="6:6">
      <c r="F21908" s="2423"/>
    </row>
    <row r="21909" spans="6:6">
      <c r="F21909" s="2423"/>
    </row>
    <row r="21910" spans="6:6">
      <c r="F21910" s="2423"/>
    </row>
    <row r="21911" spans="6:6">
      <c r="F21911" s="2423"/>
    </row>
    <row r="21912" spans="6:6">
      <c r="F21912" s="2423"/>
    </row>
    <row r="21913" spans="6:6">
      <c r="F21913" s="2423"/>
    </row>
    <row r="21914" spans="6:6">
      <c r="F21914" s="2423"/>
    </row>
    <row r="21915" spans="6:6">
      <c r="F21915" s="2423"/>
    </row>
    <row r="21916" spans="6:6">
      <c r="F21916" s="2423"/>
    </row>
    <row r="21917" spans="6:6">
      <c r="F21917" s="2423"/>
    </row>
    <row r="21918" spans="6:6">
      <c r="F21918" s="2423"/>
    </row>
    <row r="21919" spans="6:6">
      <c r="F21919" s="2423"/>
    </row>
    <row r="21920" spans="6:6">
      <c r="F21920" s="2423"/>
    </row>
    <row r="21921" spans="6:6">
      <c r="F21921" s="2423"/>
    </row>
    <row r="21922" spans="6:6">
      <c r="F21922" s="2423"/>
    </row>
    <row r="21923" spans="6:6">
      <c r="F21923" s="2423"/>
    </row>
    <row r="21924" spans="6:6">
      <c r="F21924" s="2423"/>
    </row>
    <row r="21925" spans="6:6">
      <c r="F21925" s="2423"/>
    </row>
    <row r="21926" spans="6:6">
      <c r="F21926" s="2423"/>
    </row>
    <row r="21927" spans="6:6">
      <c r="F21927" s="2423"/>
    </row>
    <row r="21928" spans="6:6">
      <c r="F21928" s="2423"/>
    </row>
    <row r="21929" spans="6:6">
      <c r="F21929" s="2423"/>
    </row>
    <row r="21930" spans="6:6">
      <c r="F21930" s="2423"/>
    </row>
    <row r="21931" spans="6:6">
      <c r="F21931" s="2423"/>
    </row>
    <row r="21932" spans="6:6">
      <c r="F21932" s="2423"/>
    </row>
    <row r="21933" spans="6:6">
      <c r="F21933" s="2423"/>
    </row>
    <row r="21934" spans="6:6">
      <c r="F21934" s="2423"/>
    </row>
    <row r="21935" spans="6:6">
      <c r="F21935" s="2423"/>
    </row>
    <row r="21936" spans="6:6">
      <c r="F21936" s="2423"/>
    </row>
    <row r="21937" spans="6:6">
      <c r="F21937" s="2423"/>
    </row>
    <row r="21938" spans="6:6">
      <c r="F21938" s="2423"/>
    </row>
    <row r="21939" spans="6:6">
      <c r="F21939" s="2423"/>
    </row>
    <row r="21940" spans="6:6">
      <c r="F21940" s="2423"/>
    </row>
    <row r="21941" spans="6:6">
      <c r="F21941" s="2423"/>
    </row>
    <row r="21942" spans="6:6">
      <c r="F21942" s="2423"/>
    </row>
    <row r="21943" spans="6:6">
      <c r="F21943" s="2423"/>
    </row>
    <row r="21944" spans="6:6">
      <c r="F21944" s="2423"/>
    </row>
    <row r="21945" spans="6:6">
      <c r="F21945" s="2423"/>
    </row>
    <row r="21946" spans="6:6">
      <c r="F21946" s="2423"/>
    </row>
    <row r="21947" spans="6:6">
      <c r="F21947" s="2423"/>
    </row>
    <row r="21948" spans="6:6">
      <c r="F21948" s="2423"/>
    </row>
    <row r="21949" spans="6:6">
      <c r="F21949" s="2423"/>
    </row>
    <row r="21950" spans="6:6">
      <c r="F21950" s="2423"/>
    </row>
    <row r="21951" spans="6:6">
      <c r="F21951" s="2423"/>
    </row>
    <row r="21952" spans="6:6">
      <c r="F21952" s="2423"/>
    </row>
    <row r="21953" spans="6:6">
      <c r="F21953" s="2423"/>
    </row>
    <row r="21954" spans="6:6">
      <c r="F21954" s="2423"/>
    </row>
    <row r="21955" spans="6:6">
      <c r="F21955" s="2423"/>
    </row>
    <row r="21956" spans="6:6">
      <c r="F21956" s="2423"/>
    </row>
    <row r="21957" spans="6:6">
      <c r="F21957" s="2423"/>
    </row>
    <row r="21958" spans="6:6">
      <c r="F21958" s="2423"/>
    </row>
    <row r="21959" spans="6:6">
      <c r="F21959" s="2423"/>
    </row>
    <row r="21960" spans="6:6">
      <c r="F21960" s="2423"/>
    </row>
    <row r="21961" spans="6:6">
      <c r="F21961" s="2423"/>
    </row>
    <row r="21962" spans="6:6">
      <c r="F21962" s="2423"/>
    </row>
    <row r="21963" spans="6:6">
      <c r="F21963" s="2423"/>
    </row>
    <row r="21964" spans="6:6">
      <c r="F21964" s="2423"/>
    </row>
    <row r="21965" spans="6:6">
      <c r="F21965" s="2423"/>
    </row>
    <row r="21966" spans="6:6">
      <c r="F21966" s="2423"/>
    </row>
    <row r="21967" spans="6:6">
      <c r="F21967" s="2423"/>
    </row>
    <row r="21968" spans="6:6">
      <c r="F21968" s="2423"/>
    </row>
    <row r="21969" spans="6:6">
      <c r="F21969" s="2423"/>
    </row>
    <row r="21970" spans="6:6">
      <c r="F21970" s="2423"/>
    </row>
    <row r="21971" spans="6:6">
      <c r="F21971" s="2423"/>
    </row>
    <row r="21972" spans="6:6">
      <c r="F21972" s="2423"/>
    </row>
    <row r="21973" spans="6:6">
      <c r="F21973" s="2423"/>
    </row>
    <row r="21974" spans="6:6">
      <c r="F21974" s="2423"/>
    </row>
    <row r="21975" spans="6:6">
      <c r="F21975" s="2423"/>
    </row>
    <row r="21976" spans="6:6">
      <c r="F21976" s="2423"/>
    </row>
    <row r="21977" spans="6:6">
      <c r="F21977" s="2423"/>
    </row>
    <row r="21978" spans="6:6">
      <c r="F21978" s="2423"/>
    </row>
    <row r="21979" spans="6:6">
      <c r="F21979" s="2423"/>
    </row>
    <row r="21980" spans="6:6">
      <c r="F21980" s="2423"/>
    </row>
    <row r="21981" spans="6:6">
      <c r="F21981" s="2423"/>
    </row>
    <row r="21982" spans="6:6">
      <c r="F21982" s="2423"/>
    </row>
    <row r="21983" spans="6:6">
      <c r="F21983" s="2423"/>
    </row>
    <row r="21984" spans="6:6">
      <c r="F21984" s="2423"/>
    </row>
    <row r="21985" spans="6:6">
      <c r="F21985" s="2423"/>
    </row>
    <row r="21986" spans="6:6">
      <c r="F21986" s="2423"/>
    </row>
    <row r="21987" spans="6:6">
      <c r="F21987" s="2423"/>
    </row>
    <row r="21988" spans="6:6">
      <c r="F21988" s="2423"/>
    </row>
    <row r="21989" spans="6:6">
      <c r="F21989" s="2423"/>
    </row>
    <row r="21990" spans="6:6">
      <c r="F21990" s="2423"/>
    </row>
    <row r="21991" spans="6:6">
      <c r="F21991" s="2423"/>
    </row>
    <row r="21992" spans="6:6">
      <c r="F21992" s="2423"/>
    </row>
    <row r="21993" spans="6:6">
      <c r="F21993" s="2423"/>
    </row>
    <row r="21994" spans="6:6">
      <c r="F21994" s="2423"/>
    </row>
    <row r="21995" spans="6:6">
      <c r="F21995" s="2423"/>
    </row>
    <row r="21996" spans="6:6">
      <c r="F21996" s="2423"/>
    </row>
    <row r="21997" spans="6:6">
      <c r="F21997" s="2423"/>
    </row>
    <row r="21998" spans="6:6">
      <c r="F21998" s="2423"/>
    </row>
    <row r="21999" spans="6:6">
      <c r="F21999" s="2423"/>
    </row>
    <row r="22000" spans="6:6">
      <c r="F22000" s="2423"/>
    </row>
    <row r="22001" spans="6:6">
      <c r="F22001" s="2423"/>
    </row>
    <row r="22002" spans="6:6">
      <c r="F22002" s="2423"/>
    </row>
    <row r="22003" spans="6:6">
      <c r="F22003" s="2423"/>
    </row>
    <row r="22004" spans="6:6">
      <c r="F22004" s="2423"/>
    </row>
    <row r="22005" spans="6:6">
      <c r="F22005" s="2423"/>
    </row>
    <row r="22006" spans="6:6">
      <c r="F22006" s="2423"/>
    </row>
    <row r="22007" spans="6:6">
      <c r="F22007" s="2423"/>
    </row>
    <row r="22008" spans="6:6">
      <c r="F22008" s="2423"/>
    </row>
    <row r="22009" spans="6:6">
      <c r="F22009" s="2423"/>
    </row>
    <row r="22010" spans="6:6">
      <c r="F22010" s="2423"/>
    </row>
    <row r="22011" spans="6:6">
      <c r="F22011" s="2423"/>
    </row>
    <row r="22012" spans="6:6">
      <c r="F22012" s="2423"/>
    </row>
    <row r="22013" spans="6:6">
      <c r="F22013" s="2423"/>
    </row>
    <row r="22014" spans="6:6">
      <c r="F22014" s="2423"/>
    </row>
    <row r="22015" spans="6:6">
      <c r="F22015" s="2423"/>
    </row>
    <row r="22016" spans="6:6">
      <c r="F22016" s="2423"/>
    </row>
    <row r="22017" spans="6:6">
      <c r="F22017" s="2423"/>
    </row>
    <row r="22018" spans="6:6">
      <c r="F22018" s="2423"/>
    </row>
    <row r="22019" spans="6:6">
      <c r="F22019" s="2423"/>
    </row>
    <row r="22020" spans="6:6">
      <c r="F22020" s="2423"/>
    </row>
    <row r="22021" spans="6:6">
      <c r="F22021" s="2423"/>
    </row>
    <row r="22022" spans="6:6">
      <c r="F22022" s="2423"/>
    </row>
    <row r="22023" spans="6:6">
      <c r="F22023" s="2423"/>
    </row>
    <row r="22024" spans="6:6">
      <c r="F22024" s="2423"/>
    </row>
    <row r="22025" spans="6:6">
      <c r="F22025" s="2423"/>
    </row>
    <row r="22026" spans="6:6">
      <c r="F22026" s="2423"/>
    </row>
    <row r="22027" spans="6:6">
      <c r="F22027" s="2423"/>
    </row>
    <row r="22028" spans="6:6">
      <c r="F22028" s="2423"/>
    </row>
    <row r="22029" spans="6:6">
      <c r="F22029" s="2423"/>
    </row>
    <row r="22030" spans="6:6">
      <c r="F22030" s="2423"/>
    </row>
    <row r="22031" spans="6:6">
      <c r="F22031" s="2423"/>
    </row>
    <row r="22032" spans="6:6">
      <c r="F22032" s="2423"/>
    </row>
    <row r="22033" spans="6:6">
      <c r="F22033" s="2423"/>
    </row>
    <row r="22034" spans="6:6">
      <c r="F22034" s="2423"/>
    </row>
    <row r="22035" spans="6:6">
      <c r="F22035" s="2423"/>
    </row>
    <row r="22036" spans="6:6">
      <c r="F22036" s="2423"/>
    </row>
    <row r="22037" spans="6:6">
      <c r="F22037" s="2423"/>
    </row>
    <row r="22038" spans="6:6">
      <c r="F22038" s="2423"/>
    </row>
    <row r="22039" spans="6:6">
      <c r="F22039" s="2423"/>
    </row>
    <row r="22040" spans="6:6">
      <c r="F22040" s="2423"/>
    </row>
    <row r="22041" spans="6:6">
      <c r="F22041" s="2423"/>
    </row>
    <row r="22042" spans="6:6">
      <c r="F22042" s="2423"/>
    </row>
    <row r="22043" spans="6:6">
      <c r="F22043" s="2423"/>
    </row>
    <row r="22044" spans="6:6">
      <c r="F22044" s="2423"/>
    </row>
    <row r="22045" spans="6:6">
      <c r="F22045" s="2423"/>
    </row>
    <row r="22046" spans="6:6">
      <c r="F22046" s="2423"/>
    </row>
    <row r="22047" spans="6:6">
      <c r="F22047" s="2423"/>
    </row>
    <row r="22048" spans="6:6">
      <c r="F22048" s="2423"/>
    </row>
    <row r="22049" spans="6:6">
      <c r="F22049" s="2423"/>
    </row>
    <row r="22050" spans="6:6">
      <c r="F22050" s="2423"/>
    </row>
    <row r="22051" spans="6:6">
      <c r="F22051" s="2423"/>
    </row>
    <row r="22052" spans="6:6">
      <c r="F22052" s="2423"/>
    </row>
    <row r="22053" spans="6:6">
      <c r="F22053" s="2423"/>
    </row>
    <row r="22054" spans="6:6">
      <c r="F22054" s="2423"/>
    </row>
    <row r="22055" spans="6:6">
      <c r="F22055" s="2423"/>
    </row>
    <row r="22056" spans="6:6">
      <c r="F22056" s="2423"/>
    </row>
    <row r="22057" spans="6:6">
      <c r="F22057" s="2423"/>
    </row>
    <row r="22058" spans="6:6">
      <c r="F22058" s="2423"/>
    </row>
    <row r="22059" spans="6:6">
      <c r="F22059" s="2423"/>
    </row>
    <row r="22060" spans="6:6">
      <c r="F22060" s="2423"/>
    </row>
    <row r="22061" spans="6:6">
      <c r="F22061" s="2423"/>
    </row>
    <row r="22062" spans="6:6">
      <c r="F22062" s="2423"/>
    </row>
    <row r="22063" spans="6:6">
      <c r="F22063" s="2423"/>
    </row>
    <row r="22064" spans="6:6">
      <c r="F22064" s="2423"/>
    </row>
    <row r="22065" spans="6:6">
      <c r="F22065" s="2423"/>
    </row>
    <row r="22066" spans="6:6">
      <c r="F22066" s="2423"/>
    </row>
    <row r="22067" spans="6:6">
      <c r="F22067" s="2423"/>
    </row>
    <row r="22068" spans="6:6">
      <c r="F22068" s="2423"/>
    </row>
    <row r="22069" spans="6:6">
      <c r="F22069" s="2423"/>
    </row>
    <row r="22070" spans="6:6">
      <c r="F22070" s="2423"/>
    </row>
    <row r="22071" spans="6:6">
      <c r="F22071" s="2423"/>
    </row>
    <row r="22072" spans="6:6">
      <c r="F22072" s="2423"/>
    </row>
    <row r="22073" spans="6:6">
      <c r="F22073" s="2423"/>
    </row>
    <row r="22074" spans="6:6">
      <c r="F22074" s="2423"/>
    </row>
    <row r="22075" spans="6:6">
      <c r="F22075" s="2423"/>
    </row>
    <row r="22076" spans="6:6">
      <c r="F22076" s="2423"/>
    </row>
    <row r="22077" spans="6:6">
      <c r="F22077" s="2423"/>
    </row>
    <row r="22078" spans="6:6">
      <c r="F22078" s="2423"/>
    </row>
    <row r="22079" spans="6:6">
      <c r="F22079" s="2423"/>
    </row>
    <row r="22080" spans="6:6">
      <c r="F22080" s="2423"/>
    </row>
    <row r="22081" spans="6:6">
      <c r="F22081" s="2423"/>
    </row>
    <row r="22082" spans="6:6">
      <c r="F22082" s="2423"/>
    </row>
    <row r="22083" spans="6:6">
      <c r="F22083" s="2423"/>
    </row>
    <row r="22084" spans="6:6">
      <c r="F22084" s="2423"/>
    </row>
    <row r="22085" spans="6:6">
      <c r="F22085" s="2423"/>
    </row>
    <row r="22086" spans="6:6">
      <c r="F22086" s="2423"/>
    </row>
    <row r="22087" spans="6:6">
      <c r="F22087" s="2423"/>
    </row>
    <row r="22088" spans="6:6">
      <c r="F22088" s="2423"/>
    </row>
    <row r="22089" spans="6:6">
      <c r="F22089" s="2423"/>
    </row>
    <row r="22090" spans="6:6">
      <c r="F22090" s="2423"/>
    </row>
    <row r="22091" spans="6:6">
      <c r="F22091" s="2423"/>
    </row>
    <row r="22092" spans="6:6">
      <c r="F22092" s="2423"/>
    </row>
    <row r="22093" spans="6:6">
      <c r="F22093" s="2423"/>
    </row>
    <row r="22094" spans="6:6">
      <c r="F22094" s="2423"/>
    </row>
    <row r="22095" spans="6:6">
      <c r="F22095" s="2423"/>
    </row>
    <row r="22096" spans="6:6">
      <c r="F22096" s="2423"/>
    </row>
    <row r="22097" spans="6:6">
      <c r="F22097" s="2423"/>
    </row>
    <row r="22098" spans="6:6">
      <c r="F22098" s="2423"/>
    </row>
    <row r="22099" spans="6:6">
      <c r="F22099" s="2423"/>
    </row>
    <row r="22100" spans="6:6">
      <c r="F22100" s="2423"/>
    </row>
    <row r="22101" spans="6:6">
      <c r="F22101" s="2423"/>
    </row>
    <row r="22102" spans="6:6">
      <c r="F22102" s="2423"/>
    </row>
    <row r="22103" spans="6:6">
      <c r="F22103" s="2423"/>
    </row>
    <row r="22104" spans="6:6">
      <c r="F22104" s="2423"/>
    </row>
    <row r="22105" spans="6:6">
      <c r="F22105" s="2423"/>
    </row>
    <row r="22106" spans="6:6">
      <c r="F22106" s="2423"/>
    </row>
    <row r="22107" spans="6:6">
      <c r="F22107" s="2423"/>
    </row>
    <row r="22108" spans="6:6">
      <c r="F22108" s="2423"/>
    </row>
    <row r="22109" spans="6:6">
      <c r="F22109" s="2423"/>
    </row>
    <row r="22110" spans="6:6">
      <c r="F22110" s="2423"/>
    </row>
    <row r="22111" spans="6:6">
      <c r="F22111" s="2423"/>
    </row>
    <row r="22112" spans="6:6">
      <c r="F22112" s="2423"/>
    </row>
    <row r="22113" spans="6:6">
      <c r="F22113" s="2423"/>
    </row>
    <row r="22114" spans="6:6">
      <c r="F22114" s="2423"/>
    </row>
    <row r="22115" spans="6:6">
      <c r="F22115" s="2423"/>
    </row>
    <row r="22116" spans="6:6">
      <c r="F22116" s="2423"/>
    </row>
    <row r="22117" spans="6:6">
      <c r="F22117" s="2423"/>
    </row>
    <row r="22118" spans="6:6">
      <c r="F22118" s="2423"/>
    </row>
    <row r="22119" spans="6:6">
      <c r="F22119" s="2423"/>
    </row>
    <row r="22120" spans="6:6">
      <c r="F22120" s="2423"/>
    </row>
    <row r="22121" spans="6:6">
      <c r="F22121" s="2423"/>
    </row>
    <row r="22122" spans="6:6">
      <c r="F22122" s="2423"/>
    </row>
    <row r="22123" spans="6:6">
      <c r="F22123" s="2423"/>
    </row>
    <row r="22124" spans="6:6">
      <c r="F22124" s="2423"/>
    </row>
    <row r="22125" spans="6:6">
      <c r="F22125" s="2423"/>
    </row>
    <row r="22126" spans="6:6">
      <c r="F22126" s="2423"/>
    </row>
    <row r="22127" spans="6:6">
      <c r="F22127" s="2423"/>
    </row>
    <row r="22128" spans="6:6">
      <c r="F22128" s="2423"/>
    </row>
    <row r="22129" spans="6:6">
      <c r="F22129" s="2423"/>
    </row>
    <row r="22130" spans="6:6">
      <c r="F22130" s="2423"/>
    </row>
    <row r="22131" spans="6:6">
      <c r="F22131" s="2423"/>
    </row>
    <row r="22132" spans="6:6">
      <c r="F22132" s="2423"/>
    </row>
    <row r="22133" spans="6:6">
      <c r="F22133" s="2423"/>
    </row>
    <row r="22134" spans="6:6">
      <c r="F22134" s="2423"/>
    </row>
    <row r="22135" spans="6:6">
      <c r="F22135" s="2423"/>
    </row>
    <row r="22136" spans="6:6">
      <c r="F22136" s="2423"/>
    </row>
    <row r="22137" spans="6:6">
      <c r="F22137" s="2423"/>
    </row>
    <row r="22138" spans="6:6">
      <c r="F22138" s="2423"/>
    </row>
    <row r="22139" spans="6:6">
      <c r="F22139" s="2423"/>
    </row>
    <row r="22140" spans="6:6">
      <c r="F22140" s="2423"/>
    </row>
    <row r="22141" spans="6:6">
      <c r="F22141" s="2423"/>
    </row>
    <row r="22142" spans="6:6">
      <c r="F22142" s="2423"/>
    </row>
    <row r="22143" spans="6:6">
      <c r="F22143" s="2423"/>
    </row>
    <row r="22144" spans="6:6">
      <c r="F22144" s="2423"/>
    </row>
    <row r="22145" spans="6:6">
      <c r="F22145" s="2423"/>
    </row>
    <row r="22146" spans="6:6">
      <c r="F22146" s="2423"/>
    </row>
    <row r="22147" spans="6:6">
      <c r="F22147" s="2423"/>
    </row>
    <row r="22148" spans="6:6">
      <c r="F22148" s="2423"/>
    </row>
    <row r="22149" spans="6:6">
      <c r="F22149" s="2423"/>
    </row>
    <row r="22150" spans="6:6">
      <c r="F22150" s="2423"/>
    </row>
    <row r="22151" spans="6:6">
      <c r="F22151" s="2423"/>
    </row>
    <row r="22152" spans="6:6">
      <c r="F22152" s="2423"/>
    </row>
    <row r="22153" spans="6:6">
      <c r="F22153" s="2423"/>
    </row>
    <row r="22154" spans="6:6">
      <c r="F22154" s="2423"/>
    </row>
    <row r="22155" spans="6:6">
      <c r="F22155" s="2423"/>
    </row>
    <row r="22156" spans="6:6">
      <c r="F22156" s="2423"/>
    </row>
    <row r="22157" spans="6:6">
      <c r="F22157" s="2423"/>
    </row>
    <row r="22158" spans="6:6">
      <c r="F22158" s="2423"/>
    </row>
    <row r="22159" spans="6:6">
      <c r="F22159" s="2423"/>
    </row>
    <row r="22160" spans="6:6">
      <c r="F22160" s="2423"/>
    </row>
    <row r="22161" spans="6:6">
      <c r="F22161" s="2423"/>
    </row>
    <row r="22162" spans="6:6">
      <c r="F22162" s="2423"/>
    </row>
    <row r="22163" spans="6:6">
      <c r="F22163" s="2423"/>
    </row>
    <row r="22164" spans="6:6">
      <c r="F22164" s="2423"/>
    </row>
    <row r="22165" spans="6:6">
      <c r="F22165" s="2423"/>
    </row>
    <row r="22166" spans="6:6">
      <c r="F22166" s="2423"/>
    </row>
    <row r="22167" spans="6:6">
      <c r="F22167" s="2423"/>
    </row>
    <row r="22168" spans="6:6">
      <c r="F22168" s="2423"/>
    </row>
    <row r="22169" spans="6:6">
      <c r="F22169" s="2423"/>
    </row>
    <row r="22170" spans="6:6">
      <c r="F22170" s="2423"/>
    </row>
    <row r="22171" spans="6:6">
      <c r="F22171" s="2423"/>
    </row>
    <row r="22172" spans="6:6">
      <c r="F22172" s="2423"/>
    </row>
    <row r="22173" spans="6:6">
      <c r="F22173" s="2423"/>
    </row>
    <row r="22174" spans="6:6">
      <c r="F22174" s="2423"/>
    </row>
    <row r="22175" spans="6:6">
      <c r="F22175" s="2423"/>
    </row>
    <row r="22176" spans="6:6">
      <c r="F22176" s="2423"/>
    </row>
    <row r="22177" spans="6:6">
      <c r="F22177" s="2423"/>
    </row>
    <row r="22178" spans="6:6">
      <c r="F22178" s="2423"/>
    </row>
    <row r="22179" spans="6:6">
      <c r="F22179" s="2423"/>
    </row>
    <row r="22180" spans="6:6">
      <c r="F22180" s="2423"/>
    </row>
    <row r="22181" spans="6:6">
      <c r="F22181" s="2423"/>
    </row>
    <row r="22182" spans="6:6">
      <c r="F22182" s="2423"/>
    </row>
    <row r="22183" spans="6:6">
      <c r="F22183" s="2423"/>
    </row>
    <row r="22184" spans="6:6">
      <c r="F22184" s="2423"/>
    </row>
    <row r="22185" spans="6:6">
      <c r="F22185" s="2423"/>
    </row>
    <row r="22186" spans="6:6">
      <c r="F22186" s="2423"/>
    </row>
    <row r="22187" spans="6:6">
      <c r="F22187" s="2423"/>
    </row>
    <row r="22188" spans="6:6">
      <c r="F22188" s="2423"/>
    </row>
    <row r="22189" spans="6:6">
      <c r="F22189" s="2423"/>
    </row>
    <row r="22190" spans="6:6">
      <c r="F22190" s="2423"/>
    </row>
    <row r="22191" spans="6:6">
      <c r="F22191" s="2423"/>
    </row>
    <row r="22192" spans="6:6">
      <c r="F22192" s="2423"/>
    </row>
    <row r="22193" spans="6:6">
      <c r="F22193" s="2423"/>
    </row>
    <row r="22194" spans="6:6">
      <c r="F22194" s="2423"/>
    </row>
    <row r="22195" spans="6:6">
      <c r="F22195" s="2423"/>
    </row>
    <row r="22196" spans="6:6">
      <c r="F22196" s="2423"/>
    </row>
    <row r="22197" spans="6:6">
      <c r="F22197" s="2423"/>
    </row>
    <row r="22198" spans="6:6">
      <c r="F22198" s="2423"/>
    </row>
    <row r="22199" spans="6:6">
      <c r="F22199" s="2423"/>
    </row>
    <row r="22200" spans="6:6">
      <c r="F22200" s="2423"/>
    </row>
    <row r="22201" spans="6:6">
      <c r="F22201" s="2423"/>
    </row>
    <row r="22202" spans="6:6">
      <c r="F22202" s="2423"/>
    </row>
    <row r="22203" spans="6:6">
      <c r="F22203" s="2423"/>
    </row>
    <row r="22204" spans="6:6">
      <c r="F22204" s="2423"/>
    </row>
    <row r="22205" spans="6:6">
      <c r="F22205" s="2423"/>
    </row>
    <row r="22206" spans="6:6">
      <c r="F22206" s="2423"/>
    </row>
    <row r="22207" spans="6:6">
      <c r="F22207" s="2423"/>
    </row>
    <row r="22208" spans="6:6">
      <c r="F22208" s="2423"/>
    </row>
    <row r="22209" spans="6:6">
      <c r="F22209" s="2423"/>
    </row>
    <row r="22210" spans="6:6">
      <c r="F22210" s="2423"/>
    </row>
    <row r="22211" spans="6:6">
      <c r="F22211" s="2423"/>
    </row>
    <row r="22212" spans="6:6">
      <c r="F22212" s="2423"/>
    </row>
    <row r="22213" spans="6:6">
      <c r="F22213" s="2423"/>
    </row>
    <row r="22214" spans="6:6">
      <c r="F22214" s="2423"/>
    </row>
    <row r="22215" spans="6:6">
      <c r="F22215" s="2423"/>
    </row>
    <row r="22216" spans="6:6">
      <c r="F22216" s="2423"/>
    </row>
    <row r="22217" spans="6:6">
      <c r="F22217" s="2423"/>
    </row>
    <row r="22218" spans="6:6">
      <c r="F22218" s="2423"/>
    </row>
    <row r="22219" spans="6:6">
      <c r="F22219" s="2423"/>
    </row>
    <row r="22220" spans="6:6">
      <c r="F22220" s="2423"/>
    </row>
    <row r="22221" spans="6:6">
      <c r="F22221" s="2423"/>
    </row>
    <row r="22222" spans="6:6">
      <c r="F22222" s="2423"/>
    </row>
    <row r="22223" spans="6:6">
      <c r="F22223" s="2423"/>
    </row>
    <row r="22224" spans="6:6">
      <c r="F22224" s="2423"/>
    </row>
    <row r="22225" spans="6:6">
      <c r="F22225" s="2423"/>
    </row>
    <row r="22226" spans="6:6">
      <c r="F22226" s="2423"/>
    </row>
    <row r="22227" spans="6:6">
      <c r="F22227" s="2423"/>
    </row>
    <row r="22228" spans="6:6">
      <c r="F22228" s="2423"/>
    </row>
    <row r="22229" spans="6:6">
      <c r="F22229" s="2423"/>
    </row>
    <row r="22230" spans="6:6">
      <c r="F22230" s="2423"/>
    </row>
    <row r="22231" spans="6:6">
      <c r="F22231" s="2423"/>
    </row>
    <row r="22232" spans="6:6">
      <c r="F22232" s="2423"/>
    </row>
    <row r="22233" spans="6:6">
      <c r="F22233" s="2423"/>
    </row>
    <row r="22234" spans="6:6">
      <c r="F22234" s="2423"/>
    </row>
    <row r="22235" spans="6:6">
      <c r="F22235" s="2423"/>
    </row>
    <row r="22236" spans="6:6">
      <c r="F22236" s="2423"/>
    </row>
    <row r="22237" spans="6:6">
      <c r="F22237" s="2423"/>
    </row>
    <row r="22238" spans="6:6">
      <c r="F22238" s="2423"/>
    </row>
    <row r="22239" spans="6:6">
      <c r="F22239" s="2423"/>
    </row>
    <row r="22240" spans="6:6">
      <c r="F22240" s="2423"/>
    </row>
    <row r="22241" spans="6:6">
      <c r="F22241" s="2423"/>
    </row>
    <row r="22242" spans="6:6">
      <c r="F22242" s="2423"/>
    </row>
    <row r="22243" spans="6:6">
      <c r="F22243" s="2423"/>
    </row>
    <row r="22244" spans="6:6">
      <c r="F22244" s="2423"/>
    </row>
    <row r="22245" spans="6:6">
      <c r="F22245" s="2423"/>
    </row>
    <row r="22246" spans="6:6">
      <c r="F22246" s="2423"/>
    </row>
    <row r="22247" spans="6:6">
      <c r="F22247" s="2423"/>
    </row>
    <row r="22248" spans="6:6">
      <c r="F22248" s="2423"/>
    </row>
    <row r="22249" spans="6:6">
      <c r="F22249" s="2423"/>
    </row>
    <row r="22250" spans="6:6">
      <c r="F22250" s="2423"/>
    </row>
    <row r="22251" spans="6:6">
      <c r="F22251" s="2423"/>
    </row>
    <row r="22252" spans="6:6">
      <c r="F22252" s="2423"/>
    </row>
    <row r="22253" spans="6:6">
      <c r="F22253" s="2423"/>
    </row>
    <row r="22254" spans="6:6">
      <c r="F22254" s="2423"/>
    </row>
    <row r="22255" spans="6:6">
      <c r="F22255" s="2423"/>
    </row>
    <row r="22256" spans="6:6">
      <c r="F22256" s="2423"/>
    </row>
    <row r="22257" spans="6:6">
      <c r="F22257" s="2423"/>
    </row>
    <row r="22258" spans="6:6">
      <c r="F22258" s="2423"/>
    </row>
    <row r="22259" spans="6:6">
      <c r="F22259" s="2423"/>
    </row>
    <row r="22260" spans="6:6">
      <c r="F22260" s="2423"/>
    </row>
    <row r="22261" spans="6:6">
      <c r="F22261" s="2423"/>
    </row>
    <row r="22262" spans="6:6">
      <c r="F22262" s="2423"/>
    </row>
    <row r="22263" spans="6:6">
      <c r="F22263" s="2423"/>
    </row>
    <row r="22264" spans="6:6">
      <c r="F22264" s="2423"/>
    </row>
    <row r="22265" spans="6:6">
      <c r="F22265" s="2423"/>
    </row>
    <row r="22266" spans="6:6">
      <c r="F22266" s="2423"/>
    </row>
    <row r="22267" spans="6:6">
      <c r="F22267" s="2423"/>
    </row>
    <row r="22268" spans="6:6">
      <c r="F22268" s="2423"/>
    </row>
    <row r="22269" spans="6:6">
      <c r="F22269" s="2423"/>
    </row>
    <row r="22270" spans="6:6">
      <c r="F22270" s="2423"/>
    </row>
    <row r="22271" spans="6:6">
      <c r="F22271" s="2423"/>
    </row>
    <row r="22272" spans="6:6">
      <c r="F22272" s="2423"/>
    </row>
    <row r="22273" spans="6:6">
      <c r="F22273" s="2423"/>
    </row>
    <row r="22274" spans="6:6">
      <c r="F22274" s="2423"/>
    </row>
    <row r="22275" spans="6:6">
      <c r="F22275" s="2423"/>
    </row>
    <row r="22276" spans="6:6">
      <c r="F22276" s="2423"/>
    </row>
    <row r="22277" spans="6:6">
      <c r="F22277" s="2423"/>
    </row>
    <row r="22278" spans="6:6">
      <c r="F22278" s="2423"/>
    </row>
    <row r="22279" spans="6:6">
      <c r="F22279" s="2423"/>
    </row>
    <row r="22280" spans="6:6">
      <c r="F22280" s="2423"/>
    </row>
    <row r="22281" spans="6:6">
      <c r="F22281" s="2423"/>
    </row>
    <row r="22282" spans="6:6">
      <c r="F22282" s="2423"/>
    </row>
    <row r="22283" spans="6:6">
      <c r="F22283" s="2423"/>
    </row>
    <row r="22284" spans="6:6">
      <c r="F22284" s="2423"/>
    </row>
    <row r="22285" spans="6:6">
      <c r="F22285" s="2423"/>
    </row>
    <row r="22286" spans="6:6">
      <c r="F22286" s="2423"/>
    </row>
    <row r="22287" spans="6:6">
      <c r="F22287" s="2423"/>
    </row>
    <row r="22288" spans="6:6">
      <c r="F22288" s="2423"/>
    </row>
    <row r="22289" spans="6:6">
      <c r="F22289" s="2423"/>
    </row>
    <row r="22290" spans="6:6">
      <c r="F22290" s="2423"/>
    </row>
    <row r="22291" spans="6:6">
      <c r="F22291" s="2423"/>
    </row>
    <row r="22292" spans="6:6">
      <c r="F22292" s="2423"/>
    </row>
    <row r="22293" spans="6:6">
      <c r="F22293" s="2423"/>
    </row>
    <row r="22294" spans="6:6">
      <c r="F22294" s="2423"/>
    </row>
    <row r="22295" spans="6:6">
      <c r="F22295" s="2423"/>
    </row>
    <row r="22296" spans="6:6">
      <c r="F22296" s="2423"/>
    </row>
    <row r="22297" spans="6:6">
      <c r="F22297" s="2423"/>
    </row>
    <row r="22298" spans="6:6">
      <c r="F22298" s="2423"/>
    </row>
    <row r="22299" spans="6:6">
      <c r="F22299" s="2423"/>
    </row>
    <row r="22300" spans="6:6">
      <c r="F22300" s="2423"/>
    </row>
    <row r="22301" spans="6:6">
      <c r="F22301" s="2423"/>
    </row>
    <row r="22302" spans="6:6">
      <c r="F22302" s="2423"/>
    </row>
    <row r="22303" spans="6:6">
      <c r="F22303" s="2423"/>
    </row>
    <row r="22304" spans="6:6">
      <c r="F22304" s="2423"/>
    </row>
    <row r="22305" spans="6:6">
      <c r="F22305" s="2423"/>
    </row>
    <row r="22306" spans="6:6">
      <c r="F22306" s="2423"/>
    </row>
    <row r="22307" spans="6:6">
      <c r="F22307" s="2423"/>
    </row>
    <row r="22308" spans="6:6">
      <c r="F22308" s="2423"/>
    </row>
    <row r="22309" spans="6:6">
      <c r="F22309" s="2423"/>
    </row>
    <row r="22310" spans="6:6">
      <c r="F22310" s="2423"/>
    </row>
    <row r="22311" spans="6:6">
      <c r="F22311" s="2423"/>
    </row>
    <row r="22312" spans="6:6">
      <c r="F22312" s="2423"/>
    </row>
    <row r="22313" spans="6:6">
      <c r="F22313" s="2423"/>
    </row>
    <row r="22314" spans="6:6">
      <c r="F22314" s="2423"/>
    </row>
    <row r="22315" spans="6:6">
      <c r="F22315" s="2423"/>
    </row>
    <row r="22316" spans="6:6">
      <c r="F22316" s="2423"/>
    </row>
    <row r="22317" spans="6:6">
      <c r="F22317" s="2423"/>
    </row>
    <row r="22318" spans="6:6">
      <c r="F22318" s="2423"/>
    </row>
    <row r="22319" spans="6:6">
      <c r="F22319" s="2423"/>
    </row>
    <row r="22320" spans="6:6">
      <c r="F22320" s="2423"/>
    </row>
    <row r="22321" spans="6:6">
      <c r="F22321" s="2423"/>
    </row>
    <row r="22322" spans="6:6">
      <c r="F22322" s="2423"/>
    </row>
    <row r="22323" spans="6:6">
      <c r="F22323" s="2423"/>
    </row>
    <row r="22324" spans="6:6">
      <c r="F22324" s="2423"/>
    </row>
    <row r="22325" spans="6:6">
      <c r="F22325" s="2423"/>
    </row>
    <row r="22326" spans="6:6">
      <c r="F22326" s="2423"/>
    </row>
    <row r="22327" spans="6:6">
      <c r="F22327" s="2423"/>
    </row>
    <row r="22328" spans="6:6">
      <c r="F22328" s="2423"/>
    </row>
    <row r="22329" spans="6:6">
      <c r="F22329" s="2423"/>
    </row>
    <row r="22330" spans="6:6">
      <c r="F22330" s="2423"/>
    </row>
    <row r="22331" spans="6:6">
      <c r="F22331" s="2423"/>
    </row>
    <row r="22332" spans="6:6">
      <c r="F22332" s="2423"/>
    </row>
    <row r="22333" spans="6:6">
      <c r="F22333" s="2423"/>
    </row>
    <row r="22334" spans="6:6">
      <c r="F22334" s="2423"/>
    </row>
    <row r="22335" spans="6:6">
      <c r="F22335" s="2423"/>
    </row>
    <row r="22336" spans="6:6">
      <c r="F22336" s="2423"/>
    </row>
    <row r="22337" spans="6:6">
      <c r="F22337" s="2423"/>
    </row>
    <row r="22338" spans="6:6">
      <c r="F22338" s="2423"/>
    </row>
    <row r="22339" spans="6:6">
      <c r="F22339" s="2423"/>
    </row>
    <row r="22340" spans="6:6">
      <c r="F22340" s="2423"/>
    </row>
    <row r="22341" spans="6:6">
      <c r="F22341" s="2423"/>
    </row>
    <row r="22342" spans="6:6">
      <c r="F22342" s="2423"/>
    </row>
    <row r="22343" spans="6:6">
      <c r="F22343" s="2423"/>
    </row>
    <row r="22344" spans="6:6">
      <c r="F22344" s="2423"/>
    </row>
    <row r="22345" spans="6:6">
      <c r="F22345" s="2423"/>
    </row>
    <row r="22346" spans="6:6">
      <c r="F22346" s="2423"/>
    </row>
    <row r="22347" spans="6:6">
      <c r="F22347" s="2423"/>
    </row>
    <row r="22348" spans="6:6">
      <c r="F22348" s="2423"/>
    </row>
    <row r="22349" spans="6:6">
      <c r="F22349" s="2423"/>
    </row>
    <row r="22350" spans="6:6">
      <c r="F22350" s="2423"/>
    </row>
    <row r="22351" spans="6:6">
      <c r="F22351" s="2423"/>
    </row>
    <row r="22352" spans="6:6">
      <c r="F22352" s="2423"/>
    </row>
    <row r="22353" spans="6:6">
      <c r="F22353" s="2423"/>
    </row>
    <row r="22354" spans="6:6">
      <c r="F22354" s="2423"/>
    </row>
    <row r="22355" spans="6:6">
      <c r="F22355" s="2423"/>
    </row>
    <row r="22356" spans="6:6">
      <c r="F22356" s="2423"/>
    </row>
    <row r="22357" spans="6:6">
      <c r="F22357" s="2423"/>
    </row>
    <row r="22358" spans="6:6">
      <c r="F22358" s="2423"/>
    </row>
    <row r="22359" spans="6:6">
      <c r="F22359" s="2423"/>
    </row>
    <row r="22360" spans="6:6">
      <c r="F22360" s="2423"/>
    </row>
    <row r="22361" spans="6:6">
      <c r="F22361" s="2423"/>
    </row>
    <row r="22362" spans="6:6">
      <c r="F22362" s="2423"/>
    </row>
    <row r="22363" spans="6:6">
      <c r="F22363" s="2423"/>
    </row>
    <row r="22364" spans="6:6">
      <c r="F22364" s="2423"/>
    </row>
    <row r="22365" spans="6:6">
      <c r="F22365" s="2423"/>
    </row>
    <row r="22366" spans="6:6">
      <c r="F22366" s="2423"/>
    </row>
    <row r="22367" spans="6:6">
      <c r="F22367" s="2423"/>
    </row>
    <row r="22368" spans="6:6">
      <c r="F22368" s="2423"/>
    </row>
    <row r="22369" spans="6:6">
      <c r="F22369" s="2423"/>
    </row>
    <row r="22370" spans="6:6">
      <c r="F22370" s="2423"/>
    </row>
    <row r="22371" spans="6:6">
      <c r="F22371" s="2423"/>
    </row>
    <row r="22372" spans="6:6">
      <c r="F22372" s="2423"/>
    </row>
    <row r="22373" spans="6:6">
      <c r="F22373" s="2423"/>
    </row>
    <row r="22374" spans="6:6">
      <c r="F22374" s="2423"/>
    </row>
    <row r="22375" spans="6:6">
      <c r="F22375" s="2423"/>
    </row>
    <row r="22376" spans="6:6">
      <c r="F22376" s="2423"/>
    </row>
    <row r="22377" spans="6:6">
      <c r="F22377" s="2423"/>
    </row>
    <row r="22378" spans="6:6">
      <c r="F22378" s="2423"/>
    </row>
    <row r="22379" spans="6:6">
      <c r="F22379" s="2423"/>
    </row>
    <row r="22380" spans="6:6">
      <c r="F22380" s="2423"/>
    </row>
    <row r="22381" spans="6:6">
      <c r="F22381" s="2423"/>
    </row>
    <row r="22382" spans="6:6">
      <c r="F22382" s="2423"/>
    </row>
    <row r="22383" spans="6:6">
      <c r="F22383" s="2423"/>
    </row>
    <row r="22384" spans="6:6">
      <c r="F22384" s="2423"/>
    </row>
    <row r="22385" spans="6:6">
      <c r="F22385" s="2423"/>
    </row>
    <row r="22386" spans="6:6">
      <c r="F22386" s="2423"/>
    </row>
    <row r="22387" spans="6:6">
      <c r="F22387" s="2423"/>
    </row>
    <row r="22388" spans="6:6">
      <c r="F22388" s="2423"/>
    </row>
    <row r="22389" spans="6:6">
      <c r="F22389" s="2423"/>
    </row>
    <row r="22390" spans="6:6">
      <c r="F22390" s="2423"/>
    </row>
    <row r="22391" spans="6:6">
      <c r="F22391" s="2423"/>
    </row>
    <row r="22392" spans="6:6">
      <c r="F22392" s="2423"/>
    </row>
    <row r="22393" spans="6:6">
      <c r="F22393" s="2423"/>
    </row>
    <row r="22394" spans="6:6">
      <c r="F22394" s="2423"/>
    </row>
    <row r="22395" spans="6:6">
      <c r="F22395" s="2423"/>
    </row>
    <row r="22396" spans="6:6">
      <c r="F22396" s="2423"/>
    </row>
    <row r="22397" spans="6:6">
      <c r="F22397" s="2423"/>
    </row>
    <row r="22398" spans="6:6">
      <c r="F22398" s="2423"/>
    </row>
    <row r="22399" spans="6:6">
      <c r="F22399" s="2423"/>
    </row>
    <row r="22400" spans="6:6">
      <c r="F22400" s="2423"/>
    </row>
    <row r="22401" spans="6:6">
      <c r="F22401" s="2423"/>
    </row>
    <row r="22402" spans="6:6">
      <c r="F22402" s="2423"/>
    </row>
    <row r="22403" spans="6:6">
      <c r="F22403" s="2423"/>
    </row>
    <row r="22404" spans="6:6">
      <c r="F22404" s="2423"/>
    </row>
    <row r="22405" spans="6:6">
      <c r="F22405" s="2423"/>
    </row>
    <row r="22406" spans="6:6">
      <c r="F22406" s="2423"/>
    </row>
    <row r="22407" spans="6:6">
      <c r="F22407" s="2423"/>
    </row>
    <row r="22408" spans="6:6">
      <c r="F22408" s="2423"/>
    </row>
    <row r="22409" spans="6:6">
      <c r="F22409" s="2423"/>
    </row>
    <row r="22410" spans="6:6">
      <c r="F22410" s="2423"/>
    </row>
    <row r="22411" spans="6:6">
      <c r="F22411" s="2423"/>
    </row>
    <row r="22412" spans="6:6">
      <c r="F22412" s="2423"/>
    </row>
    <row r="22413" spans="6:6">
      <c r="F22413" s="2423"/>
    </row>
    <row r="22414" spans="6:6">
      <c r="F22414" s="2423"/>
    </row>
    <row r="22415" spans="6:6">
      <c r="F22415" s="2423"/>
    </row>
    <row r="22416" spans="6:6">
      <c r="F22416" s="2423"/>
    </row>
    <row r="22417" spans="6:6">
      <c r="F22417" s="2423"/>
    </row>
    <row r="22418" spans="6:6">
      <c r="F22418" s="2423"/>
    </row>
    <row r="22419" spans="6:6">
      <c r="F22419" s="2423"/>
    </row>
    <row r="22420" spans="6:6">
      <c r="F22420" s="2423"/>
    </row>
    <row r="22421" spans="6:6">
      <c r="F22421" s="2423"/>
    </row>
    <row r="22422" spans="6:6">
      <c r="F22422" s="2423"/>
    </row>
    <row r="22423" spans="6:6">
      <c r="F22423" s="2423"/>
    </row>
    <row r="22424" spans="6:6">
      <c r="F22424" s="2423"/>
    </row>
    <row r="22425" spans="6:6">
      <c r="F22425" s="2423"/>
    </row>
    <row r="22426" spans="6:6">
      <c r="F22426" s="2423"/>
    </row>
    <row r="22427" spans="6:6">
      <c r="F22427" s="2423"/>
    </row>
    <row r="22428" spans="6:6">
      <c r="F22428" s="2423"/>
    </row>
    <row r="22429" spans="6:6">
      <c r="F22429" s="2423"/>
    </row>
    <row r="22430" spans="6:6">
      <c r="F22430" s="2423"/>
    </row>
    <row r="22431" spans="6:6">
      <c r="F22431" s="2423"/>
    </row>
    <row r="22432" spans="6:6">
      <c r="F22432" s="2423"/>
    </row>
    <row r="22433" spans="6:6">
      <c r="F22433" s="2423"/>
    </row>
    <row r="22434" spans="6:6">
      <c r="F22434" s="2423"/>
    </row>
    <row r="22435" spans="6:6">
      <c r="F22435" s="2423"/>
    </row>
    <row r="22436" spans="6:6">
      <c r="F22436" s="2423"/>
    </row>
    <row r="22437" spans="6:6">
      <c r="F22437" s="2423"/>
    </row>
    <row r="22438" spans="6:6">
      <c r="F22438" s="2423"/>
    </row>
    <row r="22439" spans="6:6">
      <c r="F22439" s="2423"/>
    </row>
    <row r="22440" spans="6:6">
      <c r="F22440" s="2423"/>
    </row>
    <row r="22441" spans="6:6">
      <c r="F22441" s="2423"/>
    </row>
    <row r="22442" spans="6:6">
      <c r="F22442" s="2423"/>
    </row>
    <row r="22443" spans="6:6">
      <c r="F22443" s="2423"/>
    </row>
    <row r="22444" spans="6:6">
      <c r="F22444" s="2423"/>
    </row>
    <row r="22445" spans="6:6">
      <c r="F22445" s="2423"/>
    </row>
    <row r="22446" spans="6:6">
      <c r="F22446" s="2423"/>
    </row>
    <row r="22447" spans="6:6">
      <c r="F22447" s="2423"/>
    </row>
    <row r="22448" spans="6:6">
      <c r="F22448" s="2423"/>
    </row>
    <row r="22449" spans="6:6">
      <c r="F22449" s="2423"/>
    </row>
    <row r="22450" spans="6:6">
      <c r="F22450" s="2423"/>
    </row>
    <row r="22451" spans="6:6">
      <c r="F22451" s="2423"/>
    </row>
    <row r="22452" spans="6:6">
      <c r="F22452" s="2423"/>
    </row>
    <row r="22453" spans="6:6">
      <c r="F22453" s="2423"/>
    </row>
    <row r="22454" spans="6:6">
      <c r="F22454" s="2423"/>
    </row>
    <row r="22455" spans="6:6">
      <c r="F22455" s="2423"/>
    </row>
    <row r="22456" spans="6:6">
      <c r="F22456" s="2423"/>
    </row>
    <row r="22457" spans="6:6">
      <c r="F22457" s="2423"/>
    </row>
    <row r="22458" spans="6:6">
      <c r="F22458" s="2423"/>
    </row>
    <row r="22459" spans="6:6">
      <c r="F22459" s="2423"/>
    </row>
    <row r="22460" spans="6:6">
      <c r="F22460" s="2423"/>
    </row>
    <row r="22461" spans="6:6">
      <c r="F22461" s="2423"/>
    </row>
    <row r="22462" spans="6:6">
      <c r="F22462" s="2423"/>
    </row>
    <row r="22463" spans="6:6">
      <c r="F22463" s="2423"/>
    </row>
    <row r="22464" spans="6:6">
      <c r="F22464" s="2423"/>
    </row>
    <row r="22465" spans="6:6">
      <c r="F22465" s="2423"/>
    </row>
    <row r="22466" spans="6:6">
      <c r="F22466" s="2423"/>
    </row>
    <row r="22467" spans="6:6">
      <c r="F22467" s="2423"/>
    </row>
    <row r="22468" spans="6:6">
      <c r="F22468" s="2423"/>
    </row>
    <row r="22469" spans="6:6">
      <c r="F22469" s="2423"/>
    </row>
    <row r="22470" spans="6:6">
      <c r="F22470" s="2423"/>
    </row>
    <row r="22471" spans="6:6">
      <c r="F22471" s="2423"/>
    </row>
    <row r="22472" spans="6:6">
      <c r="F22472" s="2423"/>
    </row>
    <row r="22473" spans="6:6">
      <c r="F22473" s="2423"/>
    </row>
    <row r="22474" spans="6:6">
      <c r="F22474" s="2423"/>
    </row>
    <row r="22475" spans="6:6">
      <c r="F22475" s="2423"/>
    </row>
    <row r="22476" spans="6:6">
      <c r="F22476" s="2423"/>
    </row>
    <row r="22477" spans="6:6">
      <c r="F22477" s="2423"/>
    </row>
    <row r="22478" spans="6:6">
      <c r="F22478" s="2423"/>
    </row>
    <row r="22479" spans="6:6">
      <c r="F22479" s="2423"/>
    </row>
    <row r="22480" spans="6:6">
      <c r="F22480" s="2423"/>
    </row>
    <row r="22481" spans="6:6">
      <c r="F22481" s="2423"/>
    </row>
    <row r="22482" spans="6:6">
      <c r="F22482" s="2423"/>
    </row>
    <row r="22483" spans="6:6">
      <c r="F22483" s="2423"/>
    </row>
    <row r="22484" spans="6:6">
      <c r="F22484" s="2423"/>
    </row>
    <row r="22485" spans="6:6">
      <c r="F22485" s="2423"/>
    </row>
    <row r="22486" spans="6:6">
      <c r="F22486" s="2423"/>
    </row>
    <row r="22487" spans="6:6">
      <c r="F22487" s="2423"/>
    </row>
    <row r="22488" spans="6:6">
      <c r="F22488" s="2423"/>
    </row>
    <row r="22489" spans="6:6">
      <c r="F22489" s="2423"/>
    </row>
    <row r="22490" spans="6:6">
      <c r="F22490" s="2423"/>
    </row>
    <row r="22491" spans="6:6">
      <c r="F22491" s="2423"/>
    </row>
    <row r="22492" spans="6:6">
      <c r="F22492" s="2423"/>
    </row>
    <row r="22493" spans="6:6">
      <c r="F22493" s="2423"/>
    </row>
    <row r="22494" spans="6:6">
      <c r="F22494" s="2423"/>
    </row>
    <row r="22495" spans="6:6">
      <c r="F22495" s="2423"/>
    </row>
    <row r="22496" spans="6:6">
      <c r="F22496" s="2423"/>
    </row>
    <row r="22497" spans="6:6">
      <c r="F22497" s="2423"/>
    </row>
    <row r="22498" spans="6:6">
      <c r="F22498" s="2423"/>
    </row>
    <row r="22499" spans="6:6">
      <c r="F22499" s="2423"/>
    </row>
    <row r="22500" spans="6:6">
      <c r="F22500" s="2423"/>
    </row>
    <row r="22501" spans="6:6">
      <c r="F22501" s="2423"/>
    </row>
    <row r="22502" spans="6:6">
      <c r="F22502" s="2423"/>
    </row>
    <row r="22503" spans="6:6">
      <c r="F22503" s="2423"/>
    </row>
    <row r="22504" spans="6:6">
      <c r="F22504" s="2423"/>
    </row>
    <row r="22505" spans="6:6">
      <c r="F22505" s="2423"/>
    </row>
    <row r="22506" spans="6:6">
      <c r="F22506" s="2423"/>
    </row>
    <row r="22507" spans="6:6">
      <c r="F22507" s="2423"/>
    </row>
    <row r="22508" spans="6:6">
      <c r="F22508" s="2423"/>
    </row>
    <row r="22509" spans="6:6">
      <c r="F22509" s="2423"/>
    </row>
    <row r="22510" spans="6:6">
      <c r="F22510" s="2423"/>
    </row>
    <row r="22511" spans="6:6">
      <c r="F22511" s="2423"/>
    </row>
    <row r="22512" spans="6:6">
      <c r="F22512" s="2423"/>
    </row>
    <row r="22513" spans="6:6">
      <c r="F22513" s="2423"/>
    </row>
    <row r="22514" spans="6:6">
      <c r="F22514" s="2423"/>
    </row>
    <row r="22515" spans="6:6">
      <c r="F22515" s="2423"/>
    </row>
    <row r="22516" spans="6:6">
      <c r="F22516" s="2423"/>
    </row>
    <row r="22517" spans="6:6">
      <c r="F22517" s="2423"/>
    </row>
    <row r="22518" spans="6:6">
      <c r="F22518" s="2423"/>
    </row>
    <row r="22519" spans="6:6">
      <c r="F22519" s="2423"/>
    </row>
    <row r="22520" spans="6:6">
      <c r="F22520" s="2423"/>
    </row>
    <row r="22521" spans="6:6">
      <c r="F22521" s="2423"/>
    </row>
    <row r="22522" spans="6:6">
      <c r="F22522" s="2423"/>
    </row>
    <row r="22523" spans="6:6">
      <c r="F22523" s="2423"/>
    </row>
    <row r="22524" spans="6:6">
      <c r="F22524" s="2423"/>
    </row>
    <row r="22525" spans="6:6">
      <c r="F22525" s="2423"/>
    </row>
    <row r="22526" spans="6:6">
      <c r="F22526" s="2423"/>
    </row>
    <row r="22527" spans="6:6">
      <c r="F22527" s="2423"/>
    </row>
    <row r="22528" spans="6:6">
      <c r="F22528" s="2423"/>
    </row>
    <row r="22529" spans="6:6">
      <c r="F22529" s="2423"/>
    </row>
    <row r="22530" spans="6:6">
      <c r="F22530" s="2423"/>
    </row>
    <row r="22531" spans="6:6">
      <c r="F22531" s="2423"/>
    </row>
    <row r="22532" spans="6:6">
      <c r="F22532" s="2423"/>
    </row>
    <row r="22533" spans="6:6">
      <c r="F22533" s="2423"/>
    </row>
    <row r="22534" spans="6:6">
      <c r="F22534" s="2423"/>
    </row>
    <row r="22535" spans="6:6">
      <c r="F22535" s="2423"/>
    </row>
    <row r="22536" spans="6:6">
      <c r="F22536" s="2423"/>
    </row>
    <row r="22537" spans="6:6">
      <c r="F22537" s="2423"/>
    </row>
    <row r="22538" spans="6:6">
      <c r="F22538" s="2423"/>
    </row>
    <row r="22539" spans="6:6">
      <c r="F22539" s="2423"/>
    </row>
    <row r="22540" spans="6:6">
      <c r="F22540" s="2423"/>
    </row>
    <row r="22541" spans="6:6">
      <c r="F22541" s="2423"/>
    </row>
    <row r="22542" spans="6:6">
      <c r="F22542" s="2423"/>
    </row>
    <row r="22543" spans="6:6">
      <c r="F22543" s="2423"/>
    </row>
    <row r="22544" spans="6:6">
      <c r="F22544" s="2423"/>
    </row>
    <row r="22545" spans="6:6">
      <c r="F22545" s="2423"/>
    </row>
    <row r="22546" spans="6:6">
      <c r="F22546" s="2423"/>
    </row>
    <row r="22547" spans="6:6">
      <c r="F22547" s="2423"/>
    </row>
    <row r="22548" spans="6:6">
      <c r="F22548" s="2423"/>
    </row>
    <row r="22549" spans="6:6">
      <c r="F22549" s="2423"/>
    </row>
    <row r="22550" spans="6:6">
      <c r="F22550" s="2423"/>
    </row>
    <row r="22551" spans="6:6">
      <c r="F22551" s="2423"/>
    </row>
    <row r="22552" spans="6:6">
      <c r="F22552" s="2423"/>
    </row>
    <row r="22553" spans="6:6">
      <c r="F22553" s="2423"/>
    </row>
    <row r="22554" spans="6:6">
      <c r="F22554" s="2423"/>
    </row>
    <row r="22555" spans="6:6">
      <c r="F22555" s="2423"/>
    </row>
    <row r="22556" spans="6:6">
      <c r="F22556" s="2423"/>
    </row>
    <row r="22557" spans="6:6">
      <c r="F22557" s="2423"/>
    </row>
    <row r="22558" spans="6:6">
      <c r="F22558" s="2423"/>
    </row>
    <row r="22559" spans="6:6">
      <c r="F22559" s="2423"/>
    </row>
    <row r="22560" spans="6:6">
      <c r="F22560" s="2423"/>
    </row>
    <row r="22561" spans="6:6">
      <c r="F22561" s="2423"/>
    </row>
    <row r="22562" spans="6:6">
      <c r="F22562" s="2423"/>
    </row>
    <row r="22563" spans="6:6">
      <c r="F22563" s="2423"/>
    </row>
    <row r="22564" spans="6:6">
      <c r="F22564" s="2423"/>
    </row>
    <row r="22565" spans="6:6">
      <c r="F22565" s="2423"/>
    </row>
    <row r="22566" spans="6:6">
      <c r="F22566" s="2423"/>
    </row>
    <row r="22567" spans="6:6">
      <c r="F22567" s="2423"/>
    </row>
    <row r="22568" spans="6:6">
      <c r="F22568" s="2423"/>
    </row>
    <row r="22569" spans="6:6">
      <c r="F22569" s="2423"/>
    </row>
    <row r="22570" spans="6:6">
      <c r="F22570" s="2423"/>
    </row>
    <row r="22571" spans="6:6">
      <c r="F22571" s="2423"/>
    </row>
    <row r="22572" spans="6:6">
      <c r="F22572" s="2423"/>
    </row>
    <row r="22573" spans="6:6">
      <c r="F22573" s="2423"/>
    </row>
    <row r="22574" spans="6:6">
      <c r="F22574" s="2423"/>
    </row>
    <row r="22575" spans="6:6">
      <c r="F22575" s="2423"/>
    </row>
    <row r="22576" spans="6:6">
      <c r="F22576" s="2423"/>
    </row>
    <row r="22577" spans="6:6">
      <c r="F22577" s="2423"/>
    </row>
    <row r="22578" spans="6:6">
      <c r="F22578" s="2423"/>
    </row>
    <row r="22579" spans="6:6">
      <c r="F22579" s="2423"/>
    </row>
    <row r="22580" spans="6:6">
      <c r="F22580" s="2423"/>
    </row>
    <row r="22581" spans="6:6">
      <c r="F22581" s="2423"/>
    </row>
    <row r="22582" spans="6:6">
      <c r="F22582" s="2423"/>
    </row>
    <row r="22583" spans="6:6">
      <c r="F22583" s="2423"/>
    </row>
    <row r="22584" spans="6:6">
      <c r="F22584" s="2423"/>
    </row>
    <row r="22585" spans="6:6">
      <c r="F22585" s="2423"/>
    </row>
    <row r="22586" spans="6:6">
      <c r="F22586" s="2423"/>
    </row>
    <row r="22587" spans="6:6">
      <c r="F22587" s="2423"/>
    </row>
    <row r="22588" spans="6:6">
      <c r="F22588" s="2423"/>
    </row>
    <row r="22589" spans="6:6">
      <c r="F22589" s="2423"/>
    </row>
    <row r="22590" spans="6:6">
      <c r="F22590" s="2423"/>
    </row>
    <row r="22591" spans="6:6">
      <c r="F22591" s="2423"/>
    </row>
    <row r="22592" spans="6:6">
      <c r="F22592" s="2423"/>
    </row>
    <row r="22593" spans="6:6">
      <c r="F22593" s="2423"/>
    </row>
    <row r="22594" spans="6:6">
      <c r="F22594" s="2423"/>
    </row>
    <row r="22595" spans="6:6">
      <c r="F22595" s="2423"/>
    </row>
    <row r="22596" spans="6:6">
      <c r="F22596" s="2423"/>
    </row>
    <row r="22597" spans="6:6">
      <c r="F22597" s="2423"/>
    </row>
    <row r="22598" spans="6:6">
      <c r="F22598" s="2423"/>
    </row>
    <row r="22599" spans="6:6">
      <c r="F22599" s="2423"/>
    </row>
    <row r="22600" spans="6:6">
      <c r="F22600" s="2423"/>
    </row>
    <row r="22601" spans="6:6">
      <c r="F22601" s="2423"/>
    </row>
    <row r="22602" spans="6:6">
      <c r="F22602" s="2423"/>
    </row>
    <row r="22603" spans="6:6">
      <c r="F22603" s="2423"/>
    </row>
    <row r="22604" spans="6:6">
      <c r="F22604" s="2423"/>
    </row>
    <row r="22605" spans="6:6">
      <c r="F22605" s="2423"/>
    </row>
    <row r="22606" spans="6:6">
      <c r="F22606" s="2423"/>
    </row>
    <row r="22607" spans="6:6">
      <c r="F22607" s="2423"/>
    </row>
    <row r="22608" spans="6:6">
      <c r="F22608" s="2423"/>
    </row>
    <row r="22609" spans="6:6">
      <c r="F22609" s="2423"/>
    </row>
    <row r="22610" spans="6:6">
      <c r="F22610" s="2423"/>
    </row>
    <row r="22611" spans="6:6">
      <c r="F22611" s="2423"/>
    </row>
    <row r="22612" spans="6:6">
      <c r="F22612" s="2423"/>
    </row>
    <row r="22613" spans="6:6">
      <c r="F22613" s="2423"/>
    </row>
    <row r="22614" spans="6:6">
      <c r="F22614" s="2423"/>
    </row>
    <row r="22615" spans="6:6">
      <c r="F22615" s="2423"/>
    </row>
    <row r="22616" spans="6:6">
      <c r="F22616" s="2423"/>
    </row>
    <row r="22617" spans="6:6">
      <c r="F22617" s="2423"/>
    </row>
    <row r="22618" spans="6:6">
      <c r="F22618" s="2423"/>
    </row>
    <row r="22619" spans="6:6">
      <c r="F22619" s="2423"/>
    </row>
    <row r="22620" spans="6:6">
      <c r="F22620" s="2423"/>
    </row>
    <row r="22621" spans="6:6">
      <c r="F22621" s="2423"/>
    </row>
    <row r="22622" spans="6:6">
      <c r="F22622" s="2423"/>
    </row>
    <row r="22623" spans="6:6">
      <c r="F22623" s="2423"/>
    </row>
    <row r="22624" spans="6:6">
      <c r="F22624" s="2423"/>
    </row>
    <row r="22625" spans="6:6">
      <c r="F22625" s="2423"/>
    </row>
    <row r="22626" spans="6:6">
      <c r="F22626" s="2423"/>
    </row>
    <row r="22627" spans="6:6">
      <c r="F22627" s="2423"/>
    </row>
    <row r="22628" spans="6:6">
      <c r="F22628" s="2423"/>
    </row>
    <row r="22629" spans="6:6">
      <c r="F22629" s="2423"/>
    </row>
    <row r="22630" spans="6:6">
      <c r="F22630" s="2423"/>
    </row>
    <row r="22631" spans="6:6">
      <c r="F22631" s="2423"/>
    </row>
    <row r="22632" spans="6:6">
      <c r="F22632" s="2423"/>
    </row>
    <row r="22633" spans="6:6">
      <c r="F22633" s="2423"/>
    </row>
    <row r="22634" spans="6:6">
      <c r="F22634" s="2423"/>
    </row>
    <row r="22635" spans="6:6">
      <c r="F22635" s="2423"/>
    </row>
    <row r="22636" spans="6:6">
      <c r="F22636" s="2423"/>
    </row>
    <row r="22637" spans="6:6">
      <c r="F22637" s="2423"/>
    </row>
    <row r="22638" spans="6:6">
      <c r="F22638" s="2423"/>
    </row>
    <row r="22639" spans="6:6">
      <c r="F22639" s="2423"/>
    </row>
    <row r="22640" spans="6:6">
      <c r="F22640" s="2423"/>
    </row>
    <row r="22641" spans="6:6">
      <c r="F22641" s="2423"/>
    </row>
    <row r="22642" spans="6:6">
      <c r="F22642" s="2423"/>
    </row>
    <row r="22643" spans="6:6">
      <c r="F22643" s="2423"/>
    </row>
    <row r="22644" spans="6:6">
      <c r="F22644" s="2423"/>
    </row>
    <row r="22645" spans="6:6">
      <c r="F22645" s="2423"/>
    </row>
    <row r="22646" spans="6:6">
      <c r="F22646" s="2423"/>
    </row>
    <row r="22647" spans="6:6">
      <c r="F22647" s="2423"/>
    </row>
    <row r="22648" spans="6:6">
      <c r="F22648" s="2423"/>
    </row>
    <row r="22649" spans="6:6">
      <c r="F22649" s="2423"/>
    </row>
    <row r="22650" spans="6:6">
      <c r="F22650" s="2423"/>
    </row>
    <row r="22651" spans="6:6">
      <c r="F22651" s="2423"/>
    </row>
    <row r="22652" spans="6:6">
      <c r="F22652" s="2423"/>
    </row>
    <row r="22653" spans="6:6">
      <c r="F22653" s="2423"/>
    </row>
    <row r="22654" spans="6:6">
      <c r="F22654" s="2423"/>
    </row>
    <row r="22655" spans="6:6">
      <c r="F22655" s="2423"/>
    </row>
    <row r="22656" spans="6:6">
      <c r="F22656" s="2423"/>
    </row>
    <row r="22657" spans="6:6">
      <c r="F22657" s="2423"/>
    </row>
    <row r="22658" spans="6:6">
      <c r="F22658" s="2423"/>
    </row>
    <row r="22659" spans="6:6">
      <c r="F22659" s="2423"/>
    </row>
    <row r="22660" spans="6:6">
      <c r="F22660" s="2423"/>
    </row>
    <row r="22661" spans="6:6">
      <c r="F22661" s="2423"/>
    </row>
    <row r="22662" spans="6:6">
      <c r="F22662" s="2423"/>
    </row>
    <row r="22663" spans="6:6">
      <c r="F22663" s="2423"/>
    </row>
    <row r="22664" spans="6:6">
      <c r="F22664" s="2423"/>
    </row>
    <row r="22665" spans="6:6">
      <c r="F22665" s="2423"/>
    </row>
    <row r="22666" spans="6:6">
      <c r="F22666" s="2423"/>
    </row>
    <row r="22667" spans="6:6">
      <c r="F22667" s="2423"/>
    </row>
    <row r="22668" spans="6:6">
      <c r="F22668" s="2423"/>
    </row>
    <row r="22669" spans="6:6">
      <c r="F22669" s="2423"/>
    </row>
    <row r="22670" spans="6:6">
      <c r="F22670" s="2423"/>
    </row>
    <row r="22671" spans="6:6">
      <c r="F22671" s="2423"/>
    </row>
    <row r="22672" spans="6:6">
      <c r="F22672" s="2423"/>
    </row>
    <row r="22673" spans="6:6">
      <c r="F22673" s="2423"/>
    </row>
    <row r="22674" spans="6:6">
      <c r="F22674" s="2423"/>
    </row>
    <row r="22675" spans="6:6">
      <c r="F22675" s="2423"/>
    </row>
    <row r="22676" spans="6:6">
      <c r="F22676" s="2423"/>
    </row>
    <row r="22677" spans="6:6">
      <c r="F22677" s="2423"/>
    </row>
    <row r="22678" spans="6:6">
      <c r="F22678" s="2423"/>
    </row>
    <row r="22679" spans="6:6">
      <c r="F22679" s="2423"/>
    </row>
    <row r="22680" spans="6:6">
      <c r="F22680" s="2423"/>
    </row>
    <row r="22681" spans="6:6">
      <c r="F22681" s="2423"/>
    </row>
    <row r="22682" spans="6:6">
      <c r="F22682" s="2423"/>
    </row>
    <row r="22683" spans="6:6">
      <c r="F22683" s="2423"/>
    </row>
    <row r="22684" spans="6:6">
      <c r="F22684" s="2423"/>
    </row>
    <row r="22685" spans="6:6">
      <c r="F22685" s="2423"/>
    </row>
    <row r="22686" spans="6:6">
      <c r="F22686" s="2423"/>
    </row>
    <row r="22687" spans="6:6">
      <c r="F22687" s="2423"/>
    </row>
    <row r="22688" spans="6:6">
      <c r="F22688" s="2423"/>
    </row>
    <row r="22689" spans="6:6">
      <c r="F22689" s="2423"/>
    </row>
    <row r="22690" spans="6:6">
      <c r="F22690" s="2423"/>
    </row>
    <row r="22691" spans="6:6">
      <c r="F22691" s="2423"/>
    </row>
    <row r="22692" spans="6:6">
      <c r="F22692" s="2423"/>
    </row>
    <row r="22693" spans="6:6">
      <c r="F22693" s="2423"/>
    </row>
    <row r="22694" spans="6:6">
      <c r="F22694" s="2423"/>
    </row>
    <row r="22695" spans="6:6">
      <c r="F22695" s="2423"/>
    </row>
    <row r="22696" spans="6:6">
      <c r="F22696" s="2423"/>
    </row>
    <row r="22697" spans="6:6">
      <c r="F22697" s="2423"/>
    </row>
    <row r="22698" spans="6:6">
      <c r="F22698" s="2423"/>
    </row>
    <row r="22699" spans="6:6">
      <c r="F22699" s="2423"/>
    </row>
    <row r="22700" spans="6:6">
      <c r="F22700" s="2423"/>
    </row>
    <row r="22701" spans="6:6">
      <c r="F22701" s="2423"/>
    </row>
    <row r="22702" spans="6:6">
      <c r="F22702" s="2423"/>
    </row>
    <row r="22703" spans="6:6">
      <c r="F22703" s="2423"/>
    </row>
    <row r="22704" spans="6:6">
      <c r="F22704" s="2423"/>
    </row>
    <row r="22705" spans="6:6">
      <c r="F22705" s="2423"/>
    </row>
    <row r="22706" spans="6:6">
      <c r="F22706" s="2423"/>
    </row>
    <row r="22707" spans="6:6">
      <c r="F22707" s="2423"/>
    </row>
    <row r="22708" spans="6:6">
      <c r="F22708" s="2423"/>
    </row>
    <row r="22709" spans="6:6">
      <c r="F22709" s="2423"/>
    </row>
    <row r="22710" spans="6:6">
      <c r="F22710" s="2423"/>
    </row>
    <row r="22711" spans="6:6">
      <c r="F22711" s="2423"/>
    </row>
    <row r="22712" spans="6:6">
      <c r="F22712" s="2423"/>
    </row>
    <row r="22713" spans="6:6">
      <c r="F22713" s="2423"/>
    </row>
    <row r="22714" spans="6:6">
      <c r="F22714" s="2423"/>
    </row>
    <row r="22715" spans="6:6">
      <c r="F22715" s="2423"/>
    </row>
    <row r="22716" spans="6:6">
      <c r="F22716" s="2423"/>
    </row>
    <row r="22717" spans="6:6">
      <c r="F22717" s="2423"/>
    </row>
    <row r="22718" spans="6:6">
      <c r="F22718" s="2423"/>
    </row>
    <row r="22719" spans="6:6">
      <c r="F22719" s="2423"/>
    </row>
    <row r="22720" spans="6:6">
      <c r="F22720" s="2423"/>
    </row>
    <row r="22721" spans="6:6">
      <c r="F22721" s="2423"/>
    </row>
    <row r="22722" spans="6:6">
      <c r="F22722" s="2423"/>
    </row>
    <row r="22723" spans="6:6">
      <c r="F22723" s="2423"/>
    </row>
    <row r="22724" spans="6:6">
      <c r="F22724" s="2423"/>
    </row>
    <row r="22725" spans="6:6">
      <c r="F22725" s="2423"/>
    </row>
    <row r="22726" spans="6:6">
      <c r="F22726" s="2423"/>
    </row>
    <row r="22727" spans="6:6">
      <c r="F22727" s="2423"/>
    </row>
    <row r="22728" spans="6:6">
      <c r="F22728" s="2423"/>
    </row>
    <row r="22729" spans="6:6">
      <c r="F22729" s="2423"/>
    </row>
    <row r="22730" spans="6:6">
      <c r="F22730" s="2423"/>
    </row>
    <row r="22731" spans="6:6">
      <c r="F22731" s="2423"/>
    </row>
    <row r="22732" spans="6:6">
      <c r="F22732" s="2423"/>
    </row>
    <row r="22733" spans="6:6">
      <c r="F22733" s="2423"/>
    </row>
    <row r="22734" spans="6:6">
      <c r="F22734" s="2423"/>
    </row>
    <row r="22735" spans="6:6">
      <c r="F22735" s="2423"/>
    </row>
    <row r="22736" spans="6:6">
      <c r="F22736" s="2423"/>
    </row>
    <row r="22737" spans="6:6">
      <c r="F22737" s="2423"/>
    </row>
    <row r="22738" spans="6:6">
      <c r="F22738" s="2423"/>
    </row>
    <row r="22739" spans="6:6">
      <c r="F22739" s="2423"/>
    </row>
    <row r="22740" spans="6:6">
      <c r="F22740" s="2423"/>
    </row>
    <row r="22741" spans="6:6">
      <c r="F22741" s="2423"/>
    </row>
    <row r="22742" spans="6:6">
      <c r="F22742" s="2423"/>
    </row>
    <row r="22743" spans="6:6">
      <c r="F22743" s="2423"/>
    </row>
    <row r="22744" spans="6:6">
      <c r="F22744" s="2423"/>
    </row>
    <row r="22745" spans="6:6">
      <c r="F22745" s="2423"/>
    </row>
    <row r="22746" spans="6:6">
      <c r="F22746" s="2423"/>
    </row>
    <row r="22747" spans="6:6">
      <c r="F22747" s="2423"/>
    </row>
    <row r="22748" spans="6:6">
      <c r="F22748" s="2423"/>
    </row>
    <row r="22749" spans="6:6">
      <c r="F22749" s="2423"/>
    </row>
    <row r="22750" spans="6:6">
      <c r="F22750" s="2423"/>
    </row>
    <row r="22751" spans="6:6">
      <c r="F22751" s="2423"/>
    </row>
    <row r="22752" spans="6:6">
      <c r="F22752" s="2423"/>
    </row>
    <row r="22753" spans="6:6">
      <c r="F22753" s="2423"/>
    </row>
    <row r="22754" spans="6:6">
      <c r="F22754" s="2423"/>
    </row>
    <row r="22755" spans="6:6">
      <c r="F22755" s="2423"/>
    </row>
    <row r="22756" spans="6:6">
      <c r="F22756" s="2423"/>
    </row>
    <row r="22757" spans="6:6">
      <c r="F22757" s="2423"/>
    </row>
    <row r="22758" spans="6:6">
      <c r="F22758" s="2423"/>
    </row>
    <row r="22759" spans="6:6">
      <c r="F22759" s="2423"/>
    </row>
    <row r="22760" spans="6:6">
      <c r="F22760" s="2423"/>
    </row>
    <row r="22761" spans="6:6">
      <c r="F22761" s="2423"/>
    </row>
    <row r="22762" spans="6:6">
      <c r="F22762" s="2423"/>
    </row>
    <row r="22763" spans="6:6">
      <c r="F22763" s="2423"/>
    </row>
    <row r="22764" spans="6:6">
      <c r="F22764" s="2423"/>
    </row>
    <row r="22765" spans="6:6">
      <c r="F22765" s="2423"/>
    </row>
    <row r="22766" spans="6:6">
      <c r="F22766" s="2423"/>
    </row>
    <row r="22767" spans="6:6">
      <c r="F22767" s="2423"/>
    </row>
    <row r="22768" spans="6:6">
      <c r="F22768" s="2423"/>
    </row>
    <row r="22769" spans="6:6">
      <c r="F22769" s="2423"/>
    </row>
    <row r="22770" spans="6:6">
      <c r="F22770" s="2423"/>
    </row>
    <row r="22771" spans="6:6">
      <c r="F22771" s="2423"/>
    </row>
    <row r="22772" spans="6:6">
      <c r="F22772" s="2423"/>
    </row>
    <row r="22773" spans="6:6">
      <c r="F22773" s="2423"/>
    </row>
    <row r="22774" spans="6:6">
      <c r="F22774" s="2423"/>
    </row>
    <row r="22775" spans="6:6">
      <c r="F22775" s="2423"/>
    </row>
    <row r="22776" spans="6:6">
      <c r="F22776" s="2423"/>
    </row>
    <row r="22777" spans="6:6">
      <c r="F22777" s="2423"/>
    </row>
    <row r="22778" spans="6:6">
      <c r="F22778" s="2423"/>
    </row>
    <row r="22779" spans="6:6">
      <c r="F22779" s="2423"/>
    </row>
    <row r="22780" spans="6:6">
      <c r="F22780" s="2423"/>
    </row>
    <row r="22781" spans="6:6">
      <c r="F22781" s="2423"/>
    </row>
    <row r="22782" spans="6:6">
      <c r="F22782" s="2423"/>
    </row>
    <row r="22783" spans="6:6">
      <c r="F22783" s="2423"/>
    </row>
    <row r="22784" spans="6:6">
      <c r="F22784" s="2423"/>
    </row>
    <row r="22785" spans="6:6">
      <c r="F22785" s="2423"/>
    </row>
    <row r="22786" spans="6:6">
      <c r="F22786" s="2423"/>
    </row>
    <row r="22787" spans="6:6">
      <c r="F22787" s="2423"/>
    </row>
    <row r="22788" spans="6:6">
      <c r="F22788" s="2423"/>
    </row>
    <row r="22789" spans="6:6">
      <c r="F22789" s="2423"/>
    </row>
    <row r="22790" spans="6:6">
      <c r="F22790" s="2423"/>
    </row>
    <row r="22791" spans="6:6">
      <c r="F22791" s="2423"/>
    </row>
    <row r="22792" spans="6:6">
      <c r="F22792" s="2423"/>
    </row>
    <row r="22793" spans="6:6">
      <c r="F22793" s="2423"/>
    </row>
    <row r="22794" spans="6:6">
      <c r="F22794" s="2423"/>
    </row>
    <row r="22795" spans="6:6">
      <c r="F22795" s="2423"/>
    </row>
    <row r="22796" spans="6:6">
      <c r="F22796" s="2423"/>
    </row>
    <row r="22797" spans="6:6">
      <c r="F22797" s="2423"/>
    </row>
    <row r="22798" spans="6:6">
      <c r="F22798" s="2423"/>
    </row>
    <row r="22799" spans="6:6">
      <c r="F22799" s="2423"/>
    </row>
    <row r="22800" spans="6:6">
      <c r="F22800" s="2423"/>
    </row>
    <row r="22801" spans="6:6">
      <c r="F22801" s="2423"/>
    </row>
    <row r="22802" spans="6:6">
      <c r="F22802" s="2423"/>
    </row>
    <row r="22803" spans="6:6">
      <c r="F22803" s="2423"/>
    </row>
    <row r="22804" spans="6:6">
      <c r="F22804" s="2423"/>
    </row>
    <row r="22805" spans="6:6">
      <c r="F22805" s="2423"/>
    </row>
    <row r="22806" spans="6:6">
      <c r="F22806" s="2423"/>
    </row>
    <row r="22807" spans="6:6">
      <c r="F22807" s="2423"/>
    </row>
    <row r="22808" spans="6:6">
      <c r="F22808" s="2423"/>
    </row>
    <row r="22809" spans="6:6">
      <c r="F22809" s="2423"/>
    </row>
    <row r="22810" spans="6:6">
      <c r="F22810" s="2423"/>
    </row>
    <row r="22811" spans="6:6">
      <c r="F22811" s="2423"/>
    </row>
    <row r="22812" spans="6:6">
      <c r="F22812" s="2423"/>
    </row>
    <row r="22813" spans="6:6">
      <c r="F22813" s="2423"/>
    </row>
    <row r="22814" spans="6:6">
      <c r="F22814" s="2423"/>
    </row>
    <row r="22815" spans="6:6">
      <c r="F22815" s="2423"/>
    </row>
    <row r="22816" spans="6:6">
      <c r="F22816" s="2423"/>
    </row>
    <row r="22817" spans="6:6">
      <c r="F22817" s="2423"/>
    </row>
    <row r="22818" spans="6:6">
      <c r="F22818" s="2423"/>
    </row>
    <row r="22819" spans="6:6">
      <c r="F22819" s="2423"/>
    </row>
    <row r="22820" spans="6:6">
      <c r="F22820" s="2423"/>
    </row>
    <row r="22821" spans="6:6">
      <c r="F22821" s="2423"/>
    </row>
    <row r="22822" spans="6:6">
      <c r="F22822" s="2423"/>
    </row>
    <row r="22823" spans="6:6">
      <c r="F22823" s="2423"/>
    </row>
    <row r="22824" spans="6:6">
      <c r="F22824" s="2423"/>
    </row>
    <row r="22825" spans="6:6">
      <c r="F22825" s="2423"/>
    </row>
    <row r="22826" spans="6:6">
      <c r="F22826" s="2423"/>
    </row>
    <row r="22827" spans="6:6">
      <c r="F22827" s="2423"/>
    </row>
    <row r="22828" spans="6:6">
      <c r="F22828" s="2423"/>
    </row>
    <row r="22829" spans="6:6">
      <c r="F22829" s="2423"/>
    </row>
    <row r="22830" spans="6:6">
      <c r="F22830" s="2423"/>
    </row>
    <row r="22831" spans="6:6">
      <c r="F22831" s="2423"/>
    </row>
    <row r="22832" spans="6:6">
      <c r="F22832" s="2423"/>
    </row>
    <row r="22833" spans="6:6">
      <c r="F22833" s="2423"/>
    </row>
    <row r="22834" spans="6:6">
      <c r="F22834" s="2423"/>
    </row>
    <row r="22835" spans="6:6">
      <c r="F22835" s="2423"/>
    </row>
    <row r="22836" spans="6:6">
      <c r="F22836" s="2423"/>
    </row>
    <row r="22837" spans="6:6">
      <c r="F22837" s="2423"/>
    </row>
    <row r="22838" spans="6:6">
      <c r="F22838" s="2423"/>
    </row>
    <row r="22839" spans="6:6">
      <c r="F22839" s="2423"/>
    </row>
    <row r="22840" spans="6:6">
      <c r="F22840" s="2423"/>
    </row>
    <row r="22841" spans="6:6">
      <c r="F22841" s="2423"/>
    </row>
    <row r="22842" spans="6:6">
      <c r="F22842" s="2423"/>
    </row>
    <row r="22843" spans="6:6">
      <c r="F22843" s="2423"/>
    </row>
    <row r="22844" spans="6:6">
      <c r="F22844" s="2423"/>
    </row>
    <row r="22845" spans="6:6">
      <c r="F22845" s="2423"/>
    </row>
    <row r="22846" spans="6:6">
      <c r="F22846" s="2423"/>
    </row>
    <row r="22847" spans="6:6">
      <c r="F22847" s="2423"/>
    </row>
    <row r="22848" spans="6:6">
      <c r="F22848" s="2423"/>
    </row>
    <row r="22849" spans="6:6">
      <c r="F22849" s="2423"/>
    </row>
    <row r="22850" spans="6:6">
      <c r="F22850" s="2423"/>
    </row>
    <row r="22851" spans="6:6">
      <c r="F22851" s="2423"/>
    </row>
    <row r="22852" spans="6:6">
      <c r="F22852" s="2423"/>
    </row>
    <row r="22853" spans="6:6">
      <c r="F22853" s="2423"/>
    </row>
    <row r="22854" spans="6:6">
      <c r="F22854" s="2423"/>
    </row>
    <row r="22855" spans="6:6">
      <c r="F22855" s="2423"/>
    </row>
    <row r="22856" spans="6:6">
      <c r="F22856" s="2423"/>
    </row>
    <row r="22857" spans="6:6">
      <c r="F22857" s="2423"/>
    </row>
    <row r="22858" spans="6:6">
      <c r="F22858" s="2423"/>
    </row>
    <row r="22859" spans="6:6">
      <c r="F22859" s="2423"/>
    </row>
    <row r="22860" spans="6:6">
      <c r="F22860" s="2423"/>
    </row>
    <row r="22861" spans="6:6">
      <c r="F22861" s="2423"/>
    </row>
    <row r="22862" spans="6:6">
      <c r="F22862" s="2423"/>
    </row>
    <row r="22863" spans="6:6">
      <c r="F22863" s="2423"/>
    </row>
    <row r="22864" spans="6:6">
      <c r="F22864" s="2423"/>
    </row>
    <row r="22865" spans="6:6">
      <c r="F22865" s="2423"/>
    </row>
    <row r="22866" spans="6:6">
      <c r="F22866" s="2423"/>
    </row>
    <row r="22867" spans="6:6">
      <c r="F22867" s="2423"/>
    </row>
    <row r="22868" spans="6:6">
      <c r="F22868" s="2423"/>
    </row>
    <row r="22869" spans="6:6">
      <c r="F22869" s="2423"/>
    </row>
    <row r="22870" spans="6:6">
      <c r="F22870" s="2423"/>
    </row>
    <row r="22871" spans="6:6">
      <c r="F22871" s="2423"/>
    </row>
    <row r="22872" spans="6:6">
      <c r="F22872" s="2423"/>
    </row>
    <row r="22873" spans="6:6">
      <c r="F22873" s="2423"/>
    </row>
    <row r="22874" spans="6:6">
      <c r="F22874" s="2423"/>
    </row>
    <row r="22875" spans="6:6">
      <c r="F22875" s="2423"/>
    </row>
    <row r="22876" spans="6:6">
      <c r="F22876" s="2423"/>
    </row>
    <row r="22877" spans="6:6">
      <c r="F22877" s="2423"/>
    </row>
    <row r="22878" spans="6:6">
      <c r="F22878" s="2423"/>
    </row>
    <row r="22879" spans="6:6">
      <c r="F22879" s="2423"/>
    </row>
    <row r="22880" spans="6:6">
      <c r="F22880" s="2423"/>
    </row>
    <row r="22881" spans="6:6">
      <c r="F22881" s="2423"/>
    </row>
    <row r="22882" spans="6:6">
      <c r="F22882" s="2423"/>
    </row>
    <row r="22883" spans="6:6">
      <c r="F22883" s="2423"/>
    </row>
    <row r="22884" spans="6:6">
      <c r="F22884" s="2423"/>
    </row>
    <row r="22885" spans="6:6">
      <c r="F22885" s="2423"/>
    </row>
    <row r="22886" spans="6:6">
      <c r="F22886" s="2423"/>
    </row>
    <row r="22887" spans="6:6">
      <c r="F22887" s="2423"/>
    </row>
    <row r="22888" spans="6:6">
      <c r="F22888" s="2423"/>
    </row>
    <row r="22889" spans="6:6">
      <c r="F22889" s="2423"/>
    </row>
    <row r="22890" spans="6:6">
      <c r="F22890" s="2423"/>
    </row>
    <row r="22891" spans="6:6">
      <c r="F22891" s="2423"/>
    </row>
    <row r="22892" spans="6:6">
      <c r="F22892" s="2423"/>
    </row>
    <row r="22893" spans="6:6">
      <c r="F22893" s="2423"/>
    </row>
    <row r="22894" spans="6:6">
      <c r="F22894" s="2423"/>
    </row>
    <row r="22895" spans="6:6">
      <c r="F22895" s="2423"/>
    </row>
    <row r="22896" spans="6:6">
      <c r="F22896" s="2423"/>
    </row>
    <row r="22897" spans="6:6">
      <c r="F22897" s="2423"/>
    </row>
    <row r="22898" spans="6:6">
      <c r="F22898" s="2423"/>
    </row>
    <row r="22899" spans="6:6">
      <c r="F22899" s="2423"/>
    </row>
    <row r="22900" spans="6:6">
      <c r="F22900" s="2423"/>
    </row>
    <row r="22901" spans="6:6">
      <c r="F22901" s="2423"/>
    </row>
    <row r="22902" spans="6:6">
      <c r="F22902" s="2423"/>
    </row>
    <row r="22903" spans="6:6">
      <c r="F22903" s="2423"/>
    </row>
    <row r="22904" spans="6:6">
      <c r="F22904" s="2423"/>
    </row>
    <row r="22905" spans="6:6">
      <c r="F22905" s="2423"/>
    </row>
    <row r="22906" spans="6:6">
      <c r="F22906" s="2423"/>
    </row>
    <row r="22907" spans="6:6">
      <c r="F22907" s="2423"/>
    </row>
    <row r="22908" spans="6:6">
      <c r="F22908" s="2423"/>
    </row>
    <row r="22909" spans="6:6">
      <c r="F22909" s="2423"/>
    </row>
    <row r="22910" spans="6:6">
      <c r="F22910" s="2423"/>
    </row>
    <row r="22911" spans="6:6">
      <c r="F22911" s="2423"/>
    </row>
    <row r="22912" spans="6:6">
      <c r="F22912" s="2423"/>
    </row>
    <row r="22913" spans="6:6">
      <c r="F22913" s="2423"/>
    </row>
    <row r="22914" spans="6:6">
      <c r="F22914" s="2423"/>
    </row>
    <row r="22915" spans="6:6">
      <c r="F22915" s="2423"/>
    </row>
    <row r="22916" spans="6:6">
      <c r="F22916" s="2423"/>
    </row>
    <row r="22917" spans="6:6">
      <c r="F22917" s="2423"/>
    </row>
    <row r="22918" spans="6:6">
      <c r="F22918" s="2423"/>
    </row>
    <row r="22919" spans="6:6">
      <c r="F22919" s="2423"/>
    </row>
    <row r="22920" spans="6:6">
      <c r="F22920" s="2423"/>
    </row>
    <row r="22921" spans="6:6">
      <c r="F22921" s="2423"/>
    </row>
    <row r="22922" spans="6:6">
      <c r="F22922" s="2423"/>
    </row>
    <row r="22923" spans="6:6">
      <c r="F22923" s="2423"/>
    </row>
    <row r="22924" spans="6:6">
      <c r="F22924" s="2423"/>
    </row>
    <row r="22925" spans="6:6">
      <c r="F22925" s="2423"/>
    </row>
    <row r="22926" spans="6:6">
      <c r="F22926" s="2423"/>
    </row>
    <row r="22927" spans="6:6">
      <c r="F22927" s="2423"/>
    </row>
    <row r="22928" spans="6:6">
      <c r="F22928" s="2423"/>
    </row>
    <row r="22929" spans="6:6">
      <c r="F22929" s="2423"/>
    </row>
    <row r="22930" spans="6:6">
      <c r="F22930" s="2423"/>
    </row>
    <row r="22931" spans="6:6">
      <c r="F22931" s="2423"/>
    </row>
    <row r="22932" spans="6:6">
      <c r="F22932" s="2423"/>
    </row>
    <row r="22933" spans="6:6">
      <c r="F22933" s="2423"/>
    </row>
    <row r="22934" spans="6:6">
      <c r="F22934" s="2423"/>
    </row>
    <row r="22935" spans="6:6">
      <c r="F22935" s="2423"/>
    </row>
    <row r="22936" spans="6:6">
      <c r="F22936" s="2423"/>
    </row>
    <row r="22937" spans="6:6">
      <c r="F22937" s="2423"/>
    </row>
    <row r="22938" spans="6:6">
      <c r="F22938" s="2423"/>
    </row>
    <row r="22939" spans="6:6">
      <c r="F22939" s="2423"/>
    </row>
    <row r="22940" spans="6:6">
      <c r="F22940" s="2423"/>
    </row>
    <row r="22941" spans="6:6">
      <c r="F22941" s="2423"/>
    </row>
    <row r="22942" spans="6:6">
      <c r="F22942" s="2423"/>
    </row>
    <row r="22943" spans="6:6">
      <c r="F22943" s="2423"/>
    </row>
    <row r="22944" spans="6:6">
      <c r="F22944" s="2423"/>
    </row>
    <row r="22945" spans="6:6">
      <c r="F22945" s="2423"/>
    </row>
    <row r="22946" spans="6:6">
      <c r="F22946" s="2423"/>
    </row>
    <row r="22947" spans="6:6">
      <c r="F22947" s="2423"/>
    </row>
    <row r="22948" spans="6:6">
      <c r="F22948" s="2423"/>
    </row>
    <row r="22949" spans="6:6">
      <c r="F22949" s="2423"/>
    </row>
    <row r="22950" spans="6:6">
      <c r="F22950" s="2423"/>
    </row>
    <row r="22951" spans="6:6">
      <c r="F22951" s="2423"/>
    </row>
    <row r="22952" spans="6:6">
      <c r="F22952" s="2423"/>
    </row>
    <row r="22953" spans="6:6">
      <c r="F22953" s="2423"/>
    </row>
    <row r="22954" spans="6:6">
      <c r="F22954" s="2423"/>
    </row>
    <row r="22955" spans="6:6">
      <c r="F22955" s="2423"/>
    </row>
    <row r="22956" spans="6:6">
      <c r="F22956" s="2423"/>
    </row>
    <row r="22957" spans="6:6">
      <c r="F22957" s="2423"/>
    </row>
    <row r="22958" spans="6:6">
      <c r="F22958" s="2423"/>
    </row>
    <row r="22959" spans="6:6">
      <c r="F22959" s="2423"/>
    </row>
    <row r="22960" spans="6:6">
      <c r="F22960" s="2423"/>
    </row>
    <row r="22961" spans="6:6">
      <c r="F22961" s="2423"/>
    </row>
    <row r="22962" spans="6:6">
      <c r="F22962" s="2423"/>
    </row>
    <row r="22963" spans="6:6">
      <c r="F22963" s="2423"/>
    </row>
    <row r="22964" spans="6:6">
      <c r="F22964" s="2423"/>
    </row>
    <row r="22965" spans="6:6">
      <c r="F22965" s="2423"/>
    </row>
    <row r="22966" spans="6:6">
      <c r="F22966" s="2423"/>
    </row>
    <row r="22967" spans="6:6">
      <c r="F22967" s="2423"/>
    </row>
    <row r="22968" spans="6:6">
      <c r="F22968" s="2423"/>
    </row>
    <row r="22969" spans="6:6">
      <c r="F22969" s="2423"/>
    </row>
    <row r="22970" spans="6:6">
      <c r="F22970" s="2423"/>
    </row>
    <row r="22971" spans="6:6">
      <c r="F22971" s="2423"/>
    </row>
    <row r="22972" spans="6:6">
      <c r="F22972" s="2423"/>
    </row>
    <row r="22973" spans="6:6">
      <c r="F22973" s="2423"/>
    </row>
    <row r="22974" spans="6:6">
      <c r="F22974" s="2423"/>
    </row>
    <row r="22975" spans="6:6">
      <c r="F22975" s="2423"/>
    </row>
    <row r="22976" spans="6:6">
      <c r="F22976" s="2423"/>
    </row>
    <row r="22977" spans="6:6">
      <c r="F22977" s="2423"/>
    </row>
    <row r="22978" spans="6:6">
      <c r="F22978" s="2423"/>
    </row>
    <row r="22979" spans="6:6">
      <c r="F22979" s="2423"/>
    </row>
    <row r="22980" spans="6:6">
      <c r="F22980" s="2423"/>
    </row>
    <row r="22981" spans="6:6">
      <c r="F22981" s="2423"/>
    </row>
    <row r="22982" spans="6:6">
      <c r="F22982" s="2423"/>
    </row>
    <row r="22983" spans="6:6">
      <c r="F22983" s="2423"/>
    </row>
    <row r="22984" spans="6:6">
      <c r="F22984" s="2423"/>
    </row>
    <row r="22985" spans="6:6">
      <c r="F22985" s="2423"/>
    </row>
    <row r="22986" spans="6:6">
      <c r="F22986" s="2423"/>
    </row>
    <row r="22987" spans="6:6">
      <c r="F22987" s="2423"/>
    </row>
    <row r="22988" spans="6:6">
      <c r="F22988" s="2423"/>
    </row>
    <row r="22989" spans="6:6">
      <c r="F22989" s="2423"/>
    </row>
    <row r="22990" spans="6:6">
      <c r="F22990" s="2423"/>
    </row>
    <row r="22991" spans="6:6">
      <c r="F22991" s="2423"/>
    </row>
    <row r="22992" spans="6:6">
      <c r="F22992" s="2423"/>
    </row>
    <row r="22993" spans="6:6">
      <c r="F22993" s="2423"/>
    </row>
    <row r="22994" spans="6:6">
      <c r="F22994" s="2423"/>
    </row>
    <row r="22995" spans="6:6">
      <c r="F22995" s="2423"/>
    </row>
    <row r="22996" spans="6:6">
      <c r="F22996" s="2423"/>
    </row>
    <row r="22997" spans="6:6">
      <c r="F22997" s="2423"/>
    </row>
    <row r="22998" spans="6:6">
      <c r="F22998" s="2423"/>
    </row>
    <row r="22999" spans="6:6">
      <c r="F22999" s="2423"/>
    </row>
    <row r="23000" spans="6:6">
      <c r="F23000" s="2423"/>
    </row>
    <row r="23001" spans="6:6">
      <c r="F23001" s="2423"/>
    </row>
    <row r="23002" spans="6:6">
      <c r="F23002" s="2423"/>
    </row>
    <row r="23003" spans="6:6">
      <c r="F23003" s="2423"/>
    </row>
    <row r="23004" spans="6:6">
      <c r="F23004" s="2423"/>
    </row>
    <row r="23005" spans="6:6">
      <c r="F23005" s="2423"/>
    </row>
    <row r="23006" spans="6:6">
      <c r="F23006" s="2423"/>
    </row>
    <row r="23007" spans="6:6">
      <c r="F23007" s="2423"/>
    </row>
    <row r="23008" spans="6:6">
      <c r="F23008" s="2423"/>
    </row>
    <row r="23009" spans="6:6">
      <c r="F23009" s="2423"/>
    </row>
    <row r="23010" spans="6:6">
      <c r="F23010" s="2423"/>
    </row>
    <row r="23011" spans="6:6">
      <c r="F23011" s="2423"/>
    </row>
    <row r="23012" spans="6:6">
      <c r="F23012" s="2423"/>
    </row>
    <row r="23013" spans="6:6">
      <c r="F23013" s="2423"/>
    </row>
    <row r="23014" spans="6:6">
      <c r="F23014" s="2423"/>
    </row>
    <row r="23015" spans="6:6">
      <c r="F23015" s="2423"/>
    </row>
    <row r="23016" spans="6:6">
      <c r="F23016" s="2423"/>
    </row>
    <row r="23017" spans="6:6">
      <c r="F23017" s="2423"/>
    </row>
    <row r="23018" spans="6:6">
      <c r="F23018" s="2423"/>
    </row>
    <row r="23019" spans="6:6">
      <c r="F23019" s="2423"/>
    </row>
    <row r="23020" spans="6:6">
      <c r="F23020" s="2423"/>
    </row>
    <row r="23021" spans="6:6">
      <c r="F23021" s="2423"/>
    </row>
    <row r="23022" spans="6:6">
      <c r="F23022" s="2423"/>
    </row>
    <row r="23023" spans="6:6">
      <c r="F23023" s="2423"/>
    </row>
    <row r="23024" spans="6:6">
      <c r="F23024" s="2423"/>
    </row>
    <row r="23025" spans="6:6">
      <c r="F23025" s="2423"/>
    </row>
    <row r="23026" spans="6:6">
      <c r="F23026" s="2423"/>
    </row>
    <row r="23027" spans="6:6">
      <c r="F23027" s="2423"/>
    </row>
    <row r="23028" spans="6:6">
      <c r="F23028" s="2423"/>
    </row>
    <row r="23029" spans="6:6">
      <c r="F23029" s="2423"/>
    </row>
    <row r="23030" spans="6:6">
      <c r="F23030" s="2423"/>
    </row>
    <row r="23031" spans="6:6">
      <c r="F23031" s="2423"/>
    </row>
    <row r="23032" spans="6:6">
      <c r="F23032" s="2423"/>
    </row>
    <row r="23033" spans="6:6">
      <c r="F23033" s="2423"/>
    </row>
    <row r="23034" spans="6:6">
      <c r="F23034" s="2423"/>
    </row>
    <row r="23035" spans="6:6">
      <c r="F23035" s="2423"/>
    </row>
    <row r="23036" spans="6:6">
      <c r="F23036" s="2423"/>
    </row>
    <row r="23037" spans="6:6">
      <c r="F23037" s="2423"/>
    </row>
    <row r="23038" spans="6:6">
      <c r="F23038" s="2423"/>
    </row>
    <row r="23039" spans="6:6">
      <c r="F23039" s="2423"/>
    </row>
    <row r="23040" spans="6:6">
      <c r="F23040" s="2423"/>
    </row>
    <row r="23041" spans="6:6">
      <c r="F23041" s="2423"/>
    </row>
    <row r="23042" spans="6:6">
      <c r="F23042" s="2423"/>
    </row>
    <row r="23043" spans="6:6">
      <c r="F23043" s="2423"/>
    </row>
    <row r="23044" spans="6:6">
      <c r="F23044" s="2423"/>
    </row>
    <row r="23045" spans="6:6">
      <c r="F23045" s="2423"/>
    </row>
    <row r="23046" spans="6:6">
      <c r="F23046" s="2423"/>
    </row>
    <row r="23047" spans="6:6">
      <c r="F23047" s="2423"/>
    </row>
    <row r="23048" spans="6:6">
      <c r="F23048" s="2423"/>
    </row>
    <row r="23049" spans="6:6">
      <c r="F23049" s="2423"/>
    </row>
    <row r="23050" spans="6:6">
      <c r="F23050" s="2423"/>
    </row>
    <row r="23051" spans="6:6">
      <c r="F23051" s="2423"/>
    </row>
    <row r="23052" spans="6:6">
      <c r="F23052" s="2423"/>
    </row>
    <row r="23053" spans="6:6">
      <c r="F23053" s="2423"/>
    </row>
    <row r="23054" spans="6:6">
      <c r="F23054" s="2423"/>
    </row>
    <row r="23055" spans="6:6">
      <c r="F23055" s="2423"/>
    </row>
    <row r="23056" spans="6:6">
      <c r="F23056" s="2423"/>
    </row>
    <row r="23057" spans="6:6">
      <c r="F23057" s="2423"/>
    </row>
    <row r="23058" spans="6:6">
      <c r="F23058" s="2423"/>
    </row>
    <row r="23059" spans="6:6">
      <c r="F23059" s="2423"/>
    </row>
    <row r="23060" spans="6:6">
      <c r="F23060" s="2423"/>
    </row>
    <row r="23061" spans="6:6">
      <c r="F23061" s="2423"/>
    </row>
    <row r="23062" spans="6:6">
      <c r="F23062" s="2423"/>
    </row>
    <row r="23063" spans="6:6">
      <c r="F23063" s="2423"/>
    </row>
    <row r="23064" spans="6:6">
      <c r="F23064" s="2423"/>
    </row>
    <row r="23065" spans="6:6">
      <c r="F23065" s="2423"/>
    </row>
    <row r="23066" spans="6:6">
      <c r="F23066" s="2423"/>
    </row>
    <row r="23067" spans="6:6">
      <c r="F23067" s="2423"/>
    </row>
    <row r="23068" spans="6:6">
      <c r="F23068" s="2423"/>
    </row>
    <row r="23069" spans="6:6">
      <c r="F23069" s="2423"/>
    </row>
    <row r="23070" spans="6:6">
      <c r="F23070" s="2423"/>
    </row>
    <row r="23071" spans="6:6">
      <c r="F23071" s="2423"/>
    </row>
    <row r="23072" spans="6:6">
      <c r="F23072" s="2423"/>
    </row>
    <row r="23073" spans="6:6">
      <c r="F23073" s="2423"/>
    </row>
    <row r="23074" spans="6:6">
      <c r="F23074" s="2423"/>
    </row>
    <row r="23075" spans="6:6">
      <c r="F23075" s="2423"/>
    </row>
    <row r="23076" spans="6:6">
      <c r="F23076" s="2423"/>
    </row>
    <row r="23077" spans="6:6">
      <c r="F23077" s="2423"/>
    </row>
    <row r="23078" spans="6:6">
      <c r="F23078" s="2423"/>
    </row>
    <row r="23079" spans="6:6">
      <c r="F23079" s="2423"/>
    </row>
    <row r="23080" spans="6:6">
      <c r="F23080" s="2423"/>
    </row>
    <row r="23081" spans="6:6">
      <c r="F23081" s="2423"/>
    </row>
    <row r="23082" spans="6:6">
      <c r="F23082" s="2423"/>
    </row>
    <row r="23083" spans="6:6">
      <c r="F23083" s="2423"/>
    </row>
    <row r="23084" spans="6:6">
      <c r="F23084" s="2423"/>
    </row>
    <row r="23085" spans="6:6">
      <c r="F23085" s="2423"/>
    </row>
    <row r="23086" spans="6:6">
      <c r="F23086" s="2423"/>
    </row>
    <row r="23087" spans="6:6">
      <c r="F23087" s="2423"/>
    </row>
    <row r="23088" spans="6:6">
      <c r="F23088" s="2423"/>
    </row>
    <row r="23089" spans="6:6">
      <c r="F23089" s="2423"/>
    </row>
    <row r="23090" spans="6:6">
      <c r="F23090" s="2423"/>
    </row>
    <row r="23091" spans="6:6">
      <c r="F23091" s="2423"/>
    </row>
    <row r="23092" spans="6:6">
      <c r="F23092" s="2423"/>
    </row>
    <row r="23093" spans="6:6">
      <c r="F23093" s="2423"/>
    </row>
    <row r="23094" spans="6:6">
      <c r="F23094" s="2423"/>
    </row>
    <row r="23095" spans="6:6">
      <c r="F23095" s="2423"/>
    </row>
    <row r="23096" spans="6:6">
      <c r="F23096" s="2423"/>
    </row>
    <row r="23097" spans="6:6">
      <c r="F23097" s="2423"/>
    </row>
    <row r="23098" spans="6:6">
      <c r="F23098" s="2423"/>
    </row>
    <row r="23099" spans="6:6">
      <c r="F23099" s="2423"/>
    </row>
    <row r="23100" spans="6:6">
      <c r="F23100" s="2423"/>
    </row>
    <row r="23101" spans="6:6">
      <c r="F23101" s="2423"/>
    </row>
    <row r="23102" spans="6:6">
      <c r="F23102" s="2423"/>
    </row>
    <row r="23103" spans="6:6">
      <c r="F23103" s="2423"/>
    </row>
    <row r="23104" spans="6:6">
      <c r="F23104" s="2423"/>
    </row>
    <row r="23105" spans="6:6">
      <c r="F23105" s="2423"/>
    </row>
    <row r="23106" spans="6:6">
      <c r="F23106" s="2423"/>
    </row>
    <row r="23107" spans="6:6">
      <c r="F23107" s="2423"/>
    </row>
    <row r="23108" spans="6:6">
      <c r="F23108" s="2423"/>
    </row>
    <row r="23109" spans="6:6">
      <c r="F23109" s="2423"/>
    </row>
    <row r="23110" spans="6:6">
      <c r="F23110" s="2423"/>
    </row>
    <row r="23111" spans="6:6">
      <c r="F23111" s="2423"/>
    </row>
    <row r="23112" spans="6:6">
      <c r="F23112" s="2423"/>
    </row>
    <row r="23113" spans="6:6">
      <c r="F23113" s="2423"/>
    </row>
    <row r="23114" spans="6:6">
      <c r="F23114" s="2423"/>
    </row>
    <row r="23115" spans="6:6">
      <c r="F23115" s="2423"/>
    </row>
    <row r="23116" spans="6:6">
      <c r="F23116" s="2423"/>
    </row>
    <row r="23117" spans="6:6">
      <c r="F23117" s="2423"/>
    </row>
    <row r="23118" spans="6:6">
      <c r="F23118" s="2423"/>
    </row>
    <row r="23119" spans="6:6">
      <c r="F23119" s="2423"/>
    </row>
    <row r="23120" spans="6:6">
      <c r="F23120" s="2423"/>
    </row>
    <row r="23121" spans="6:6">
      <c r="F23121" s="2423"/>
    </row>
    <row r="23122" spans="6:6">
      <c r="F23122" s="2423"/>
    </row>
    <row r="23123" spans="6:6">
      <c r="F23123" s="2423"/>
    </row>
    <row r="23124" spans="6:6">
      <c r="F23124" s="2423"/>
    </row>
    <row r="23125" spans="6:6">
      <c r="F23125" s="2423"/>
    </row>
    <row r="23126" spans="6:6">
      <c r="F23126" s="2423"/>
    </row>
    <row r="23127" spans="6:6">
      <c r="F23127" s="2423"/>
    </row>
    <row r="23128" spans="6:6">
      <c r="F23128" s="2423"/>
    </row>
    <row r="23129" spans="6:6">
      <c r="F23129" s="2423"/>
    </row>
    <row r="23130" spans="6:6">
      <c r="F23130" s="2423"/>
    </row>
    <row r="23131" spans="6:6">
      <c r="F23131" s="2423"/>
    </row>
    <row r="23132" spans="6:6">
      <c r="F23132" s="2423"/>
    </row>
    <row r="23133" spans="6:6">
      <c r="F23133" s="2423"/>
    </row>
    <row r="23134" spans="6:6">
      <c r="F23134" s="2423"/>
    </row>
    <row r="23135" spans="6:6">
      <c r="F23135" s="2423"/>
    </row>
    <row r="23136" spans="6:6">
      <c r="F23136" s="2423"/>
    </row>
    <row r="23137" spans="6:6">
      <c r="F23137" s="2423"/>
    </row>
    <row r="23138" spans="6:6">
      <c r="F23138" s="2423"/>
    </row>
    <row r="23139" spans="6:6">
      <c r="F23139" s="2423"/>
    </row>
    <row r="23140" spans="6:6">
      <c r="F23140" s="2423"/>
    </row>
    <row r="23141" spans="6:6">
      <c r="F23141" s="2423"/>
    </row>
    <row r="23142" spans="6:6">
      <c r="F23142" s="2423"/>
    </row>
    <row r="23143" spans="6:6">
      <c r="F23143" s="2423"/>
    </row>
    <row r="23144" spans="6:6">
      <c r="F23144" s="2423"/>
    </row>
    <row r="23145" spans="6:6">
      <c r="F23145" s="2423"/>
    </row>
    <row r="23146" spans="6:6">
      <c r="F23146" s="2423"/>
    </row>
    <row r="23147" spans="6:6">
      <c r="F23147" s="2423"/>
    </row>
    <row r="23148" spans="6:6">
      <c r="F23148" s="2423"/>
    </row>
    <row r="23149" spans="6:6">
      <c r="F23149" s="2423"/>
    </row>
    <row r="23150" spans="6:6">
      <c r="F23150" s="2423"/>
    </row>
    <row r="23151" spans="6:6">
      <c r="F23151" s="2423"/>
    </row>
    <row r="23152" spans="6:6">
      <c r="F23152" s="2423"/>
    </row>
    <row r="23153" spans="6:6">
      <c r="F23153" s="2423"/>
    </row>
    <row r="23154" spans="6:6">
      <c r="F23154" s="2423"/>
    </row>
    <row r="23155" spans="6:6">
      <c r="F23155" s="2423"/>
    </row>
    <row r="23156" spans="6:6">
      <c r="F23156" s="2423"/>
    </row>
    <row r="23157" spans="6:6">
      <c r="F23157" s="2423"/>
    </row>
    <row r="23158" spans="6:6">
      <c r="F23158" s="2423"/>
    </row>
    <row r="23159" spans="6:6">
      <c r="F23159" s="2423"/>
    </row>
    <row r="23160" spans="6:6">
      <c r="F23160" s="2423"/>
    </row>
    <row r="23161" spans="6:6">
      <c r="F23161" s="2423"/>
    </row>
    <row r="23162" spans="6:6">
      <c r="F23162" s="2423"/>
    </row>
    <row r="23163" spans="6:6">
      <c r="F23163" s="2423"/>
    </row>
    <row r="23164" spans="6:6">
      <c r="F23164" s="2423"/>
    </row>
    <row r="23165" spans="6:6">
      <c r="F23165" s="2423"/>
    </row>
    <row r="23166" spans="6:6">
      <c r="F23166" s="2423"/>
    </row>
    <row r="23167" spans="6:6">
      <c r="F23167" s="2423"/>
    </row>
    <row r="23168" spans="6:6">
      <c r="F23168" s="2423"/>
    </row>
    <row r="23169" spans="6:6">
      <c r="F23169" s="2423"/>
    </row>
    <row r="23170" spans="6:6">
      <c r="F23170" s="2423"/>
    </row>
    <row r="23171" spans="6:6">
      <c r="F23171" s="2423"/>
    </row>
    <row r="23172" spans="6:6">
      <c r="F23172" s="2423"/>
    </row>
    <row r="23173" spans="6:6">
      <c r="F23173" s="2423"/>
    </row>
    <row r="23174" spans="6:6">
      <c r="F23174" s="2423"/>
    </row>
    <row r="23175" spans="6:6">
      <c r="F23175" s="2423"/>
    </row>
    <row r="23176" spans="6:6">
      <c r="F23176" s="2423"/>
    </row>
    <row r="23177" spans="6:6">
      <c r="F23177" s="2423"/>
    </row>
    <row r="23178" spans="6:6">
      <c r="F23178" s="2423"/>
    </row>
    <row r="23179" spans="6:6">
      <c r="F23179" s="2423"/>
    </row>
    <row r="23180" spans="6:6">
      <c r="F23180" s="2423"/>
    </row>
    <row r="23181" spans="6:6">
      <c r="F23181" s="2423"/>
    </row>
    <row r="23182" spans="6:6">
      <c r="F23182" s="2423"/>
    </row>
    <row r="23183" spans="6:6">
      <c r="F23183" s="2423"/>
    </row>
    <row r="23184" spans="6:6">
      <c r="F23184" s="2423"/>
    </row>
    <row r="23185" spans="6:6">
      <c r="F23185" s="2423"/>
    </row>
    <row r="23186" spans="6:6">
      <c r="F23186" s="2423"/>
    </row>
    <row r="23187" spans="6:6">
      <c r="F23187" s="2423"/>
    </row>
    <row r="23188" spans="6:6">
      <c r="F23188" s="2423"/>
    </row>
    <row r="23189" spans="6:6">
      <c r="F23189" s="2423"/>
    </row>
    <row r="23190" spans="6:6">
      <c r="F23190" s="2423"/>
    </row>
    <row r="23191" spans="6:6">
      <c r="F23191" s="2423"/>
    </row>
    <row r="23192" spans="6:6">
      <c r="F23192" s="2423"/>
    </row>
    <row r="23193" spans="6:6">
      <c r="F23193" s="2423"/>
    </row>
    <row r="23194" spans="6:6">
      <c r="F23194" s="2423"/>
    </row>
    <row r="23195" spans="6:6">
      <c r="F23195" s="2423"/>
    </row>
    <row r="23196" spans="6:6">
      <c r="F23196" s="2423"/>
    </row>
    <row r="23197" spans="6:6">
      <c r="F23197" s="2423"/>
    </row>
    <row r="23198" spans="6:6">
      <c r="F23198" s="2423"/>
    </row>
    <row r="23199" spans="6:6">
      <c r="F23199" s="2423"/>
    </row>
    <row r="23200" spans="6:6">
      <c r="F23200" s="2423"/>
    </row>
    <row r="23201" spans="6:6">
      <c r="F23201" s="2423"/>
    </row>
    <row r="23202" spans="6:6">
      <c r="F23202" s="2423"/>
    </row>
    <row r="23203" spans="6:6">
      <c r="F23203" s="2423"/>
    </row>
    <row r="23204" spans="6:6">
      <c r="F23204" s="2423"/>
    </row>
    <row r="23205" spans="6:6">
      <c r="F23205" s="2423"/>
    </row>
    <row r="23206" spans="6:6">
      <c r="F23206" s="2423"/>
    </row>
    <row r="23207" spans="6:6">
      <c r="F23207" s="2423"/>
    </row>
    <row r="23208" spans="6:6">
      <c r="F23208" s="2423"/>
    </row>
    <row r="23209" spans="6:6">
      <c r="F23209" s="2423"/>
    </row>
    <row r="23210" spans="6:6">
      <c r="F23210" s="2423"/>
    </row>
    <row r="23211" spans="6:6">
      <c r="F23211" s="2423"/>
    </row>
    <row r="23212" spans="6:6">
      <c r="F23212" s="2423"/>
    </row>
    <row r="23213" spans="6:6">
      <c r="F23213" s="2423"/>
    </row>
    <row r="23214" spans="6:6">
      <c r="F23214" s="2423"/>
    </row>
    <row r="23215" spans="6:6">
      <c r="F23215" s="2423"/>
    </row>
    <row r="23216" spans="6:6">
      <c r="F23216" s="2423"/>
    </row>
    <row r="23217" spans="6:6">
      <c r="F23217" s="2423"/>
    </row>
    <row r="23218" spans="6:6">
      <c r="F23218" s="2423"/>
    </row>
    <row r="23219" spans="6:6">
      <c r="F23219" s="2423"/>
    </row>
    <row r="23220" spans="6:6">
      <c r="F23220" s="2423"/>
    </row>
    <row r="23221" spans="6:6">
      <c r="F23221" s="2423"/>
    </row>
    <row r="23222" spans="6:6">
      <c r="F23222" s="2423"/>
    </row>
    <row r="23223" spans="6:6">
      <c r="F23223" s="2423"/>
    </row>
    <row r="23224" spans="6:6">
      <c r="F23224" s="2423"/>
    </row>
    <row r="23225" spans="6:6">
      <c r="F23225" s="2423"/>
    </row>
    <row r="23226" spans="6:6">
      <c r="F23226" s="2423"/>
    </row>
    <row r="23227" spans="6:6">
      <c r="F23227" s="2423"/>
    </row>
    <row r="23228" spans="6:6">
      <c r="F23228" s="2423"/>
    </row>
    <row r="23229" spans="6:6">
      <c r="F23229" s="2423"/>
    </row>
    <row r="23230" spans="6:6">
      <c r="F23230" s="2423"/>
    </row>
    <row r="23231" spans="6:6">
      <c r="F23231" s="2423"/>
    </row>
    <row r="23232" spans="6:6">
      <c r="F23232" s="2423"/>
    </row>
    <row r="23233" spans="6:6">
      <c r="F23233" s="2423"/>
    </row>
    <row r="23234" spans="6:6">
      <c r="F23234" s="2423"/>
    </row>
    <row r="23235" spans="6:6">
      <c r="F23235" s="2423"/>
    </row>
    <row r="23236" spans="6:6">
      <c r="F23236" s="2423"/>
    </row>
    <row r="23237" spans="6:6">
      <c r="F23237" s="2423"/>
    </row>
    <row r="23238" spans="6:6">
      <c r="F23238" s="2423"/>
    </row>
    <row r="23239" spans="6:6">
      <c r="F23239" s="2423"/>
    </row>
    <row r="23240" spans="6:6">
      <c r="F23240" s="2423"/>
    </row>
    <row r="23241" spans="6:6">
      <c r="F23241" s="2423"/>
    </row>
    <row r="23242" spans="6:6">
      <c r="F23242" s="2423"/>
    </row>
    <row r="23243" spans="6:6">
      <c r="F23243" s="2423"/>
    </row>
    <row r="23244" spans="6:6">
      <c r="F23244" s="2423"/>
    </row>
    <row r="23245" spans="6:6">
      <c r="F23245" s="2423"/>
    </row>
    <row r="23246" spans="6:6">
      <c r="F23246" s="2423"/>
    </row>
    <row r="23247" spans="6:6">
      <c r="F23247" s="2423"/>
    </row>
    <row r="23248" spans="6:6">
      <c r="F23248" s="2423"/>
    </row>
    <row r="23249" spans="6:6">
      <c r="F23249" s="2423"/>
    </row>
    <row r="23250" spans="6:6">
      <c r="F23250" s="2423"/>
    </row>
    <row r="23251" spans="6:6">
      <c r="F23251" s="2423"/>
    </row>
    <row r="23252" spans="6:6">
      <c r="F23252" s="2423"/>
    </row>
    <row r="23253" spans="6:6">
      <c r="F23253" s="2423"/>
    </row>
    <row r="23254" spans="6:6">
      <c r="F23254" s="2423"/>
    </row>
    <row r="23255" spans="6:6">
      <c r="F23255" s="2423"/>
    </row>
    <row r="23256" spans="6:6">
      <c r="F23256" s="2423"/>
    </row>
    <row r="23257" spans="6:6">
      <c r="F23257" s="2423"/>
    </row>
    <row r="23258" spans="6:6">
      <c r="F23258" s="2423"/>
    </row>
    <row r="23259" spans="6:6">
      <c r="F23259" s="2423"/>
    </row>
    <row r="23260" spans="6:6">
      <c r="F23260" s="2423"/>
    </row>
    <row r="23261" spans="6:6">
      <c r="F23261" s="2423"/>
    </row>
    <row r="23262" spans="6:6">
      <c r="F23262" s="2423"/>
    </row>
    <row r="23263" spans="6:6">
      <c r="F23263" s="2423"/>
    </row>
    <row r="23264" spans="6:6">
      <c r="F23264" s="2423"/>
    </row>
    <row r="23265" spans="6:6">
      <c r="F23265" s="2423"/>
    </row>
    <row r="23266" spans="6:6">
      <c r="F23266" s="2423"/>
    </row>
    <row r="23267" spans="6:6">
      <c r="F23267" s="2423"/>
    </row>
    <row r="23268" spans="6:6">
      <c r="F23268" s="2423"/>
    </row>
    <row r="23269" spans="6:6">
      <c r="F23269" s="2423"/>
    </row>
    <row r="23270" spans="6:6">
      <c r="F23270" s="2423"/>
    </row>
    <row r="23271" spans="6:6">
      <c r="F23271" s="2423"/>
    </row>
    <row r="23272" spans="6:6">
      <c r="F23272" s="2423"/>
    </row>
    <row r="23273" spans="6:6">
      <c r="F23273" s="2423"/>
    </row>
    <row r="23274" spans="6:6">
      <c r="F23274" s="2423"/>
    </row>
    <row r="23275" spans="6:6">
      <c r="F23275" s="2423"/>
    </row>
    <row r="23276" spans="6:6">
      <c r="F23276" s="2423"/>
    </row>
    <row r="23277" spans="6:6">
      <c r="F23277" s="2423"/>
    </row>
    <row r="23278" spans="6:6">
      <c r="F23278" s="2423"/>
    </row>
    <row r="23279" spans="6:6">
      <c r="F23279" s="2423"/>
    </row>
    <row r="23280" spans="6:6">
      <c r="F23280" s="2423"/>
    </row>
    <row r="23281" spans="6:6">
      <c r="F23281" s="2423"/>
    </row>
    <row r="23282" spans="6:6">
      <c r="F23282" s="2423"/>
    </row>
    <row r="23283" spans="6:6">
      <c r="F23283" s="2423"/>
    </row>
    <row r="23284" spans="6:6">
      <c r="F23284" s="2423"/>
    </row>
    <row r="23285" spans="6:6">
      <c r="F23285" s="2423"/>
    </row>
    <row r="23286" spans="6:6">
      <c r="F23286" s="2423"/>
    </row>
    <row r="23287" spans="6:6">
      <c r="F23287" s="2423"/>
    </row>
    <row r="23288" spans="6:6">
      <c r="F23288" s="2423"/>
    </row>
    <row r="23289" spans="6:6">
      <c r="F23289" s="2423"/>
    </row>
    <row r="23290" spans="6:6">
      <c r="F23290" s="2423"/>
    </row>
    <row r="23291" spans="6:6">
      <c r="F23291" s="2423"/>
    </row>
    <row r="23292" spans="6:6">
      <c r="F23292" s="2423"/>
    </row>
    <row r="23293" spans="6:6">
      <c r="F23293" s="2423"/>
    </row>
    <row r="23294" spans="6:6">
      <c r="F23294" s="2423"/>
    </row>
    <row r="23295" spans="6:6">
      <c r="F23295" s="2423"/>
    </row>
    <row r="23296" spans="6:6">
      <c r="F23296" s="2423"/>
    </row>
    <row r="23297" spans="6:6">
      <c r="F23297" s="2423"/>
    </row>
    <row r="23298" spans="6:6">
      <c r="F23298" s="2423"/>
    </row>
    <row r="23299" spans="6:6">
      <c r="F23299" s="2423"/>
    </row>
    <row r="23300" spans="6:6">
      <c r="F23300" s="2423"/>
    </row>
    <row r="23301" spans="6:6">
      <c r="F23301" s="2423"/>
    </row>
    <row r="23302" spans="6:6">
      <c r="F23302" s="2423"/>
    </row>
    <row r="23303" spans="6:6">
      <c r="F23303" s="2423"/>
    </row>
    <row r="23304" spans="6:6">
      <c r="F23304" s="2423"/>
    </row>
    <row r="23305" spans="6:6">
      <c r="F23305" s="2423"/>
    </row>
    <row r="23306" spans="6:6">
      <c r="F23306" s="2423"/>
    </row>
    <row r="23307" spans="6:6">
      <c r="F23307" s="2423"/>
    </row>
    <row r="23308" spans="6:6">
      <c r="F23308" s="2423"/>
    </row>
    <row r="23309" spans="6:6">
      <c r="F23309" s="2423"/>
    </row>
    <row r="23310" spans="6:6">
      <c r="F23310" s="2423"/>
    </row>
    <row r="23311" spans="6:6">
      <c r="F23311" s="2423"/>
    </row>
    <row r="23312" spans="6:6">
      <c r="F23312" s="2423"/>
    </row>
    <row r="23313" spans="6:6">
      <c r="F23313" s="2423"/>
    </row>
    <row r="23314" spans="6:6">
      <c r="F23314" s="2423"/>
    </row>
    <row r="23315" spans="6:6">
      <c r="F23315" s="2423"/>
    </row>
    <row r="23316" spans="6:6">
      <c r="F23316" s="2423"/>
    </row>
    <row r="23317" spans="6:6">
      <c r="F23317" s="2423"/>
    </row>
    <row r="23318" spans="6:6">
      <c r="F23318" s="2423"/>
    </row>
    <row r="23319" spans="6:6">
      <c r="F23319" s="2423"/>
    </row>
    <row r="23320" spans="6:6">
      <c r="F23320" s="2423"/>
    </row>
    <row r="23321" spans="6:6">
      <c r="F23321" s="2423"/>
    </row>
    <row r="23322" spans="6:6">
      <c r="F23322" s="2423"/>
    </row>
    <row r="23323" spans="6:6">
      <c r="F23323" s="2423"/>
    </row>
    <row r="23324" spans="6:6">
      <c r="F23324" s="2423"/>
    </row>
    <row r="23325" spans="6:6">
      <c r="F23325" s="2423"/>
    </row>
    <row r="23326" spans="6:6">
      <c r="F23326" s="2423"/>
    </row>
    <row r="23327" spans="6:6">
      <c r="F23327" s="2423"/>
    </row>
    <row r="23328" spans="6:6">
      <c r="F23328" s="2423"/>
    </row>
    <row r="23329" spans="6:6">
      <c r="F23329" s="2423"/>
    </row>
    <row r="23330" spans="6:6">
      <c r="F23330" s="2423"/>
    </row>
    <row r="23331" spans="6:6">
      <c r="F23331" s="2423"/>
    </row>
    <row r="23332" spans="6:6">
      <c r="F23332" s="2423"/>
    </row>
    <row r="23333" spans="6:6">
      <c r="F23333" s="2423"/>
    </row>
    <row r="23334" spans="6:6">
      <c r="F23334" s="2423"/>
    </row>
    <row r="23335" spans="6:6">
      <c r="F23335" s="2423"/>
    </row>
    <row r="23336" spans="6:6">
      <c r="F23336" s="2423"/>
    </row>
    <row r="23337" spans="6:6">
      <c r="F23337" s="2423"/>
    </row>
    <row r="23338" spans="6:6">
      <c r="F23338" s="2423"/>
    </row>
    <row r="23339" spans="6:6">
      <c r="F23339" s="2423"/>
    </row>
    <row r="23340" spans="6:6">
      <c r="F23340" s="2423"/>
    </row>
    <row r="23341" spans="6:6">
      <c r="F23341" s="2423"/>
    </row>
    <row r="23342" spans="6:6">
      <c r="F23342" s="2423"/>
    </row>
    <row r="23343" spans="6:6">
      <c r="F23343" s="2423"/>
    </row>
    <row r="23344" spans="6:6">
      <c r="F23344" s="2423"/>
    </row>
    <row r="23345" spans="6:6">
      <c r="F23345" s="2423"/>
    </row>
    <row r="23346" spans="6:6">
      <c r="F23346" s="2423"/>
    </row>
    <row r="23347" spans="6:6">
      <c r="F23347" s="2423"/>
    </row>
    <row r="23348" spans="6:6">
      <c r="F23348" s="2423"/>
    </row>
    <row r="23349" spans="6:6">
      <c r="F23349" s="2423"/>
    </row>
    <row r="23350" spans="6:6">
      <c r="F23350" s="2423"/>
    </row>
    <row r="23351" spans="6:6">
      <c r="F23351" s="2423"/>
    </row>
    <row r="23352" spans="6:6">
      <c r="F23352" s="2423"/>
    </row>
    <row r="23353" spans="6:6">
      <c r="F23353" s="2423"/>
    </row>
    <row r="23354" spans="6:6">
      <c r="F23354" s="2423"/>
    </row>
    <row r="23355" spans="6:6">
      <c r="F23355" s="2423"/>
    </row>
    <row r="23356" spans="6:6">
      <c r="F23356" s="2423"/>
    </row>
    <row r="23357" spans="6:6">
      <c r="F23357" s="2423"/>
    </row>
    <row r="23358" spans="6:6">
      <c r="F23358" s="2423"/>
    </row>
    <row r="23359" spans="6:6">
      <c r="F23359" s="2423"/>
    </row>
    <row r="23360" spans="6:6">
      <c r="F23360" s="2423"/>
    </row>
    <row r="23361" spans="6:6">
      <c r="F23361" s="2423"/>
    </row>
    <row r="23362" spans="6:6">
      <c r="F23362" s="2423"/>
    </row>
    <row r="23363" spans="6:6">
      <c r="F23363" s="2423"/>
    </row>
    <row r="23364" spans="6:6">
      <c r="F23364" s="2423"/>
    </row>
    <row r="23365" spans="6:6">
      <c r="F23365" s="2423"/>
    </row>
    <row r="23366" spans="6:6">
      <c r="F23366" s="2423"/>
    </row>
    <row r="23367" spans="6:6">
      <c r="F23367" s="2423"/>
    </row>
    <row r="23368" spans="6:6">
      <c r="F23368" s="2423"/>
    </row>
    <row r="23369" spans="6:6">
      <c r="F23369" s="2423"/>
    </row>
    <row r="23370" spans="6:6">
      <c r="F23370" s="2423"/>
    </row>
    <row r="23371" spans="6:6">
      <c r="F23371" s="2423"/>
    </row>
    <row r="23372" spans="6:6">
      <c r="F23372" s="2423"/>
    </row>
    <row r="23373" spans="6:6">
      <c r="F23373" s="2423"/>
    </row>
    <row r="23374" spans="6:6">
      <c r="F23374" s="2423"/>
    </row>
    <row r="23375" spans="6:6">
      <c r="F23375" s="2423"/>
    </row>
    <row r="23376" spans="6:6">
      <c r="F23376" s="2423"/>
    </row>
    <row r="23377" spans="6:6">
      <c r="F23377" s="2423"/>
    </row>
    <row r="23378" spans="6:6">
      <c r="F23378" s="2423"/>
    </row>
    <row r="23379" spans="6:6">
      <c r="F23379" s="2423"/>
    </row>
    <row r="23380" spans="6:6">
      <c r="F23380" s="2423"/>
    </row>
    <row r="23381" spans="6:6">
      <c r="F23381" s="2423"/>
    </row>
    <row r="23382" spans="6:6">
      <c r="F23382" s="2423"/>
    </row>
    <row r="23383" spans="6:6">
      <c r="F23383" s="2423"/>
    </row>
    <row r="23384" spans="6:6">
      <c r="F23384" s="2423"/>
    </row>
    <row r="23385" spans="6:6">
      <c r="F23385" s="2423"/>
    </row>
    <row r="23386" spans="6:6">
      <c r="F23386" s="2423"/>
    </row>
    <row r="23387" spans="6:6">
      <c r="F23387" s="2423"/>
    </row>
    <row r="23388" spans="6:6">
      <c r="F23388" s="2423"/>
    </row>
    <row r="23389" spans="6:6">
      <c r="F23389" s="2423"/>
    </row>
    <row r="23390" spans="6:6">
      <c r="F23390" s="2423"/>
    </row>
    <row r="23391" spans="6:6">
      <c r="F23391" s="2423"/>
    </row>
    <row r="23392" spans="6:6">
      <c r="F23392" s="2423"/>
    </row>
    <row r="23393" spans="6:6">
      <c r="F23393" s="2423"/>
    </row>
    <row r="23394" spans="6:6">
      <c r="F23394" s="2423"/>
    </row>
    <row r="23395" spans="6:6">
      <c r="F23395" s="2423"/>
    </row>
    <row r="23396" spans="6:6">
      <c r="F23396" s="2423"/>
    </row>
    <row r="23397" spans="6:6">
      <c r="F23397" s="2423"/>
    </row>
    <row r="23398" spans="6:6">
      <c r="F23398" s="2423"/>
    </row>
    <row r="23399" spans="6:6">
      <c r="F23399" s="2423"/>
    </row>
    <row r="23400" spans="6:6">
      <c r="F23400" s="2423"/>
    </row>
    <row r="23401" spans="6:6">
      <c r="F23401" s="2423"/>
    </row>
    <row r="23402" spans="6:6">
      <c r="F23402" s="2423"/>
    </row>
    <row r="23403" spans="6:6">
      <c r="F23403" s="2423"/>
    </row>
    <row r="23404" spans="6:6">
      <c r="F23404" s="2423"/>
    </row>
    <row r="23405" spans="6:6">
      <c r="F23405" s="2423"/>
    </row>
    <row r="23406" spans="6:6">
      <c r="F23406" s="2423"/>
    </row>
    <row r="23407" spans="6:6">
      <c r="F23407" s="2423"/>
    </row>
    <row r="23408" spans="6:6">
      <c r="F23408" s="2423"/>
    </row>
    <row r="23409" spans="6:6">
      <c r="F23409" s="2423"/>
    </row>
    <row r="23410" spans="6:6">
      <c r="F23410" s="2423"/>
    </row>
    <row r="23411" spans="6:6">
      <c r="F23411" s="2423"/>
    </row>
    <row r="23412" spans="6:6">
      <c r="F23412" s="2423"/>
    </row>
    <row r="23413" spans="6:6">
      <c r="F23413" s="2423"/>
    </row>
    <row r="23414" spans="6:6">
      <c r="F23414" s="2423"/>
    </row>
    <row r="23415" spans="6:6">
      <c r="F23415" s="2423"/>
    </row>
    <row r="23416" spans="6:6">
      <c r="F23416" s="2423"/>
    </row>
    <row r="23417" spans="6:6">
      <c r="F23417" s="2423"/>
    </row>
    <row r="23418" spans="6:6">
      <c r="F23418" s="2423"/>
    </row>
    <row r="23419" spans="6:6">
      <c r="F23419" s="2423"/>
    </row>
    <row r="23420" spans="6:6">
      <c r="F23420" s="2423"/>
    </row>
    <row r="23421" spans="6:6">
      <c r="F23421" s="2423"/>
    </row>
    <row r="23422" spans="6:6">
      <c r="F23422" s="2423"/>
    </row>
    <row r="23423" spans="6:6">
      <c r="F23423" s="2423"/>
    </row>
    <row r="23424" spans="6:6">
      <c r="F23424" s="2423"/>
    </row>
    <row r="23425" spans="6:6">
      <c r="F23425" s="2423"/>
    </row>
    <row r="23426" spans="6:6">
      <c r="F23426" s="2423"/>
    </row>
    <row r="23427" spans="6:6">
      <c r="F23427" s="2423"/>
    </row>
    <row r="23428" spans="6:6">
      <c r="F23428" s="2423"/>
    </row>
    <row r="23429" spans="6:6">
      <c r="F23429" s="2423"/>
    </row>
    <row r="23430" spans="6:6">
      <c r="F23430" s="2423"/>
    </row>
    <row r="23431" spans="6:6">
      <c r="F23431" s="2423"/>
    </row>
    <row r="23432" spans="6:6">
      <c r="F23432" s="2423"/>
    </row>
    <row r="23433" spans="6:6">
      <c r="F23433" s="2423"/>
    </row>
    <row r="23434" spans="6:6">
      <c r="F23434" s="2423"/>
    </row>
    <row r="23435" spans="6:6">
      <c r="F23435" s="2423"/>
    </row>
    <row r="23436" spans="6:6">
      <c r="F23436" s="2423"/>
    </row>
    <row r="23437" spans="6:6">
      <c r="F23437" s="2423"/>
    </row>
    <row r="23438" spans="6:6">
      <c r="F23438" s="2423"/>
    </row>
    <row r="23439" spans="6:6">
      <c r="F23439" s="2423"/>
    </row>
    <row r="23440" spans="6:6">
      <c r="F23440" s="2423"/>
    </row>
    <row r="23441" spans="6:6">
      <c r="F23441" s="2423"/>
    </row>
    <row r="23442" spans="6:6">
      <c r="F23442" s="2423"/>
    </row>
    <row r="23443" spans="6:6">
      <c r="F23443" s="2423"/>
    </row>
    <row r="23444" spans="6:6">
      <c r="F23444" s="2423"/>
    </row>
    <row r="23445" spans="6:6">
      <c r="F23445" s="2423"/>
    </row>
    <row r="23446" spans="6:6">
      <c r="F23446" s="2423"/>
    </row>
    <row r="23447" spans="6:6">
      <c r="F23447" s="2423"/>
    </row>
    <row r="23448" spans="6:6">
      <c r="F23448" s="2423"/>
    </row>
    <row r="23449" spans="6:6">
      <c r="F23449" s="2423"/>
    </row>
    <row r="23450" spans="6:6">
      <c r="F23450" s="2423"/>
    </row>
    <row r="23451" spans="6:6">
      <c r="F23451" s="2423"/>
    </row>
    <row r="23452" spans="6:6">
      <c r="F23452" s="2423"/>
    </row>
    <row r="23453" spans="6:6">
      <c r="F23453" s="2423"/>
    </row>
    <row r="23454" spans="6:6">
      <c r="F23454" s="2423"/>
    </row>
    <row r="23455" spans="6:6">
      <c r="F23455" s="2423"/>
    </row>
    <row r="23456" spans="6:6">
      <c r="F23456" s="2423"/>
    </row>
    <row r="23457" spans="6:6">
      <c r="F23457" s="2423"/>
    </row>
    <row r="23458" spans="6:6">
      <c r="F23458" s="2423"/>
    </row>
    <row r="23459" spans="6:6">
      <c r="F23459" s="2423"/>
    </row>
    <row r="23460" spans="6:6">
      <c r="F23460" s="2423"/>
    </row>
    <row r="23461" spans="6:6">
      <c r="F23461" s="2423"/>
    </row>
    <row r="23462" spans="6:6">
      <c r="F23462" s="2423"/>
    </row>
    <row r="23463" spans="6:6">
      <c r="F23463" s="2423"/>
    </row>
    <row r="23464" spans="6:6">
      <c r="F23464" s="2423"/>
    </row>
    <row r="23465" spans="6:6">
      <c r="F23465" s="2423"/>
    </row>
    <row r="23466" spans="6:6">
      <c r="F23466" s="2423"/>
    </row>
    <row r="23467" spans="6:6">
      <c r="F23467" s="2423"/>
    </row>
    <row r="23468" spans="6:6">
      <c r="F23468" s="2423"/>
    </row>
    <row r="23469" spans="6:6">
      <c r="F23469" s="2423"/>
    </row>
    <row r="23470" spans="6:6">
      <c r="F23470" s="2423"/>
    </row>
    <row r="23471" spans="6:6">
      <c r="F23471" s="2423"/>
    </row>
    <row r="23472" spans="6:6">
      <c r="F23472" s="2423"/>
    </row>
    <row r="23473" spans="6:6">
      <c r="F23473" s="2423"/>
    </row>
    <row r="23474" spans="6:6">
      <c r="F23474" s="2423"/>
    </row>
    <row r="23475" spans="6:6">
      <c r="F23475" s="2423"/>
    </row>
    <row r="23476" spans="6:6">
      <c r="F23476" s="2423"/>
    </row>
    <row r="23477" spans="6:6">
      <c r="F23477" s="2423"/>
    </row>
    <row r="23478" spans="6:6">
      <c r="F23478" s="2423"/>
    </row>
    <row r="23479" spans="6:6">
      <c r="F23479" s="2423"/>
    </row>
    <row r="23480" spans="6:6">
      <c r="F23480" s="2423"/>
    </row>
    <row r="23481" spans="6:6">
      <c r="F23481" s="2423"/>
    </row>
    <row r="23482" spans="6:6">
      <c r="F23482" s="2423"/>
    </row>
    <row r="23483" spans="6:6">
      <c r="F23483" s="2423"/>
    </row>
    <row r="23484" spans="6:6">
      <c r="F23484" s="2423"/>
    </row>
    <row r="23485" spans="6:6">
      <c r="F23485" s="2423"/>
    </row>
    <row r="23486" spans="6:6">
      <c r="F23486" s="2423"/>
    </row>
    <row r="23487" spans="6:6">
      <c r="F23487" s="2423"/>
    </row>
    <row r="23488" spans="6:6">
      <c r="F23488" s="2423"/>
    </row>
    <row r="23489" spans="6:6">
      <c r="F23489" s="2423"/>
    </row>
    <row r="23490" spans="6:6">
      <c r="F23490" s="2423"/>
    </row>
    <row r="23491" spans="6:6">
      <c r="F23491" s="2423"/>
    </row>
    <row r="23492" spans="6:6">
      <c r="F23492" s="2423"/>
    </row>
    <row r="23493" spans="6:6">
      <c r="F23493" s="2423"/>
    </row>
    <row r="23494" spans="6:6">
      <c r="F23494" s="2423"/>
    </row>
    <row r="23495" spans="6:6">
      <c r="F23495" s="2423"/>
    </row>
    <row r="23496" spans="6:6">
      <c r="F23496" s="2423"/>
    </row>
    <row r="23497" spans="6:6">
      <c r="F23497" s="2423"/>
    </row>
    <row r="23498" spans="6:6">
      <c r="F23498" s="2423"/>
    </row>
    <row r="23499" spans="6:6">
      <c r="F23499" s="2423"/>
    </row>
    <row r="23500" spans="6:6">
      <c r="F23500" s="2423"/>
    </row>
    <row r="23501" spans="6:6">
      <c r="F23501" s="2423"/>
    </row>
    <row r="23502" spans="6:6">
      <c r="F23502" s="2423"/>
    </row>
    <row r="23503" spans="6:6">
      <c r="F23503" s="2423"/>
    </row>
    <row r="23504" spans="6:6">
      <c r="F23504" s="2423"/>
    </row>
    <row r="23505" spans="6:6">
      <c r="F23505" s="2423"/>
    </row>
    <row r="23506" spans="6:6">
      <c r="F23506" s="2423"/>
    </row>
    <row r="23507" spans="6:6">
      <c r="F23507" s="2423"/>
    </row>
    <row r="23508" spans="6:6">
      <c r="F23508" s="2423"/>
    </row>
    <row r="23509" spans="6:6">
      <c r="F23509" s="2423"/>
    </row>
    <row r="23510" spans="6:6">
      <c r="F23510" s="2423"/>
    </row>
    <row r="23511" spans="6:6">
      <c r="F23511" s="2423"/>
    </row>
    <row r="23512" spans="6:6">
      <c r="F23512" s="2423"/>
    </row>
    <row r="23513" spans="6:6">
      <c r="F23513" s="2423"/>
    </row>
    <row r="23514" spans="6:6">
      <c r="F23514" s="2423"/>
    </row>
    <row r="23515" spans="6:6">
      <c r="F23515" s="2423"/>
    </row>
    <row r="23516" spans="6:6">
      <c r="F23516" s="2423"/>
    </row>
    <row r="23517" spans="6:6">
      <c r="F23517" s="2423"/>
    </row>
    <row r="23518" spans="6:6">
      <c r="F23518" s="2423"/>
    </row>
    <row r="23519" spans="6:6">
      <c r="F23519" s="2423"/>
    </row>
    <row r="23520" spans="6:6">
      <c r="F23520" s="2423"/>
    </row>
    <row r="23521" spans="6:6">
      <c r="F23521" s="2423"/>
    </row>
    <row r="23522" spans="6:6">
      <c r="F23522" s="2423"/>
    </row>
    <row r="23523" spans="6:6">
      <c r="F23523" s="2423"/>
    </row>
    <row r="23524" spans="6:6">
      <c r="F23524" s="2423"/>
    </row>
    <row r="23525" spans="6:6">
      <c r="F23525" s="2423"/>
    </row>
    <row r="23526" spans="6:6">
      <c r="F23526" s="2423"/>
    </row>
    <row r="23527" spans="6:6">
      <c r="F23527" s="2423"/>
    </row>
    <row r="23528" spans="6:6">
      <c r="F23528" s="2423"/>
    </row>
    <row r="23529" spans="6:6">
      <c r="F23529" s="2423"/>
    </row>
    <row r="23530" spans="6:6">
      <c r="F23530" s="2423"/>
    </row>
    <row r="23531" spans="6:6">
      <c r="F23531" s="2423"/>
    </row>
    <row r="23532" spans="6:6">
      <c r="F23532" s="2423"/>
    </row>
    <row r="23533" spans="6:6">
      <c r="F23533" s="2423"/>
    </row>
    <row r="23534" spans="6:6">
      <c r="F23534" s="2423"/>
    </row>
    <row r="23535" spans="6:6">
      <c r="F23535" s="2423"/>
    </row>
    <row r="23536" spans="6:6">
      <c r="F23536" s="2423"/>
    </row>
    <row r="23537" spans="6:6">
      <c r="F23537" s="2423"/>
    </row>
    <row r="23538" spans="6:6">
      <c r="F23538" s="2423"/>
    </row>
    <row r="23539" spans="6:6">
      <c r="F23539" s="2423"/>
    </row>
    <row r="23540" spans="6:6">
      <c r="F23540" s="2423"/>
    </row>
    <row r="23541" spans="6:6">
      <c r="F23541" s="2423"/>
    </row>
    <row r="23542" spans="6:6">
      <c r="F23542" s="2423"/>
    </row>
    <row r="23543" spans="6:6">
      <c r="F23543" s="2423"/>
    </row>
    <row r="23544" spans="6:6">
      <c r="F23544" s="2423"/>
    </row>
    <row r="23545" spans="6:6">
      <c r="F23545" s="2423"/>
    </row>
    <row r="23546" spans="6:6">
      <c r="F23546" s="2423"/>
    </row>
    <row r="23547" spans="6:6">
      <c r="F23547" s="2423"/>
    </row>
    <row r="23548" spans="6:6">
      <c r="F23548" s="2423"/>
    </row>
    <row r="23549" spans="6:6">
      <c r="F23549" s="2423"/>
    </row>
    <row r="23550" spans="6:6">
      <c r="F23550" s="2423"/>
    </row>
    <row r="23551" spans="6:6">
      <c r="F23551" s="2423"/>
    </row>
    <row r="23552" spans="6:6">
      <c r="F23552" s="2423"/>
    </row>
    <row r="23553" spans="6:6">
      <c r="F23553" s="2423"/>
    </row>
    <row r="23554" spans="6:6">
      <c r="F23554" s="2423"/>
    </row>
    <row r="23555" spans="6:6">
      <c r="F23555" s="2423"/>
    </row>
    <row r="23556" spans="6:6">
      <c r="F23556" s="2423"/>
    </row>
    <row r="23557" spans="6:6">
      <c r="F23557" s="2423"/>
    </row>
    <row r="23558" spans="6:6">
      <c r="F23558" s="2423"/>
    </row>
    <row r="23559" spans="6:6">
      <c r="F23559" s="2423"/>
    </row>
    <row r="23560" spans="6:6">
      <c r="F23560" s="2423"/>
    </row>
    <row r="23561" spans="6:6">
      <c r="F23561" s="2423"/>
    </row>
    <row r="23562" spans="6:6">
      <c r="F23562" s="2423"/>
    </row>
    <row r="23563" spans="6:6">
      <c r="F23563" s="2423"/>
    </row>
    <row r="23564" spans="6:6">
      <c r="F23564" s="2423"/>
    </row>
    <row r="23565" spans="6:6">
      <c r="F23565" s="2423"/>
    </row>
    <row r="23566" spans="6:6">
      <c r="F23566" s="2423"/>
    </row>
    <row r="23567" spans="6:6">
      <c r="F23567" s="2423"/>
    </row>
    <row r="23568" spans="6:6">
      <c r="F23568" s="2423"/>
    </row>
    <row r="23569" spans="6:6">
      <c r="F23569" s="2423"/>
    </row>
    <row r="23570" spans="6:6">
      <c r="F23570" s="2423"/>
    </row>
    <row r="23571" spans="6:6">
      <c r="F23571" s="2423"/>
    </row>
    <row r="23572" spans="6:6">
      <c r="F23572" s="2423"/>
    </row>
    <row r="23573" spans="6:6">
      <c r="F23573" s="2423"/>
    </row>
    <row r="23574" spans="6:6">
      <c r="F23574" s="2423"/>
    </row>
    <row r="23575" spans="6:6">
      <c r="F23575" s="2423"/>
    </row>
    <row r="23576" spans="6:6">
      <c r="F23576" s="2423"/>
    </row>
    <row r="23577" spans="6:6">
      <c r="F23577" s="2423"/>
    </row>
    <row r="23578" spans="6:6">
      <c r="F23578" s="2423"/>
    </row>
    <row r="23579" spans="6:6">
      <c r="F23579" s="2423"/>
    </row>
    <row r="23580" spans="6:6">
      <c r="F23580" s="2423"/>
    </row>
    <row r="23581" spans="6:6">
      <c r="F23581" s="2423"/>
    </row>
    <row r="23582" spans="6:6">
      <c r="F23582" s="2423"/>
    </row>
    <row r="23583" spans="6:6">
      <c r="F23583" s="2423"/>
    </row>
    <row r="23584" spans="6:6">
      <c r="F23584" s="2423"/>
    </row>
    <row r="23585" spans="6:6">
      <c r="F23585" s="2423"/>
    </row>
    <row r="23586" spans="6:6">
      <c r="F23586" s="2423"/>
    </row>
    <row r="23587" spans="6:6">
      <c r="F23587" s="2423"/>
    </row>
    <row r="23588" spans="6:6">
      <c r="F23588" s="2423"/>
    </row>
    <row r="23589" spans="6:6">
      <c r="F23589" s="2423"/>
    </row>
    <row r="23590" spans="6:6">
      <c r="F23590" s="2423"/>
    </row>
    <row r="23591" spans="6:6">
      <c r="F23591" s="2423"/>
    </row>
    <row r="23592" spans="6:6">
      <c r="F23592" s="2423"/>
    </row>
    <row r="23593" spans="6:6">
      <c r="F23593" s="2423"/>
    </row>
    <row r="23594" spans="6:6">
      <c r="F23594" s="2423"/>
    </row>
    <row r="23595" spans="6:6">
      <c r="F23595" s="2423"/>
    </row>
    <row r="23596" spans="6:6">
      <c r="F23596" s="2423"/>
    </row>
    <row r="23597" spans="6:6">
      <c r="F23597" s="2423"/>
    </row>
    <row r="23598" spans="6:6">
      <c r="F23598" s="2423"/>
    </row>
    <row r="23599" spans="6:6">
      <c r="F23599" s="2423"/>
    </row>
    <row r="23600" spans="6:6">
      <c r="F23600" s="2423"/>
    </row>
    <row r="23601" spans="6:6">
      <c r="F23601" s="2423"/>
    </row>
    <row r="23602" spans="6:6">
      <c r="F23602" s="2423"/>
    </row>
    <row r="23603" spans="6:6">
      <c r="F23603" s="2423"/>
    </row>
    <row r="23604" spans="6:6">
      <c r="F23604" s="2423"/>
    </row>
    <row r="23605" spans="6:6">
      <c r="F23605" s="2423"/>
    </row>
    <row r="23606" spans="6:6">
      <c r="F23606" s="2423"/>
    </row>
    <row r="23607" spans="6:6">
      <c r="F23607" s="2423"/>
    </row>
    <row r="23608" spans="6:6">
      <c r="F23608" s="2423"/>
    </row>
    <row r="23609" spans="6:6">
      <c r="F23609" s="2423"/>
    </row>
    <row r="23610" spans="6:6">
      <c r="F23610" s="2423"/>
    </row>
    <row r="23611" spans="6:6">
      <c r="F23611" s="2423"/>
    </row>
    <row r="23612" spans="6:6">
      <c r="F23612" s="2423"/>
    </row>
    <row r="23613" spans="6:6">
      <c r="F23613" s="2423"/>
    </row>
    <row r="23614" spans="6:6">
      <c r="F23614" s="2423"/>
    </row>
    <row r="23615" spans="6:6">
      <c r="F23615" s="2423"/>
    </row>
    <row r="23616" spans="6:6">
      <c r="F23616" s="2423"/>
    </row>
    <row r="23617" spans="6:6">
      <c r="F23617" s="2423"/>
    </row>
    <row r="23618" spans="6:6">
      <c r="F23618" s="2423"/>
    </row>
    <row r="23619" spans="6:6">
      <c r="F23619" s="2423"/>
    </row>
    <row r="23620" spans="6:6">
      <c r="F23620" s="2423"/>
    </row>
    <row r="23621" spans="6:6">
      <c r="F23621" s="2423"/>
    </row>
    <row r="23622" spans="6:6">
      <c r="F23622" s="2423"/>
    </row>
    <row r="23623" spans="6:6">
      <c r="F23623" s="2423"/>
    </row>
    <row r="23624" spans="6:6">
      <c r="F23624" s="2423"/>
    </row>
    <row r="23625" spans="6:6">
      <c r="F23625" s="2423"/>
    </row>
    <row r="23626" spans="6:6">
      <c r="F23626" s="2423"/>
    </row>
    <row r="23627" spans="6:6">
      <c r="F23627" s="2423"/>
    </row>
    <row r="23628" spans="6:6">
      <c r="F23628" s="2423"/>
    </row>
    <row r="23629" spans="6:6">
      <c r="F23629" s="2423"/>
    </row>
    <row r="23630" spans="6:6">
      <c r="F23630" s="2423"/>
    </row>
    <row r="23631" spans="6:6">
      <c r="F23631" s="2423"/>
    </row>
    <row r="23632" spans="6:6">
      <c r="F23632" s="2423"/>
    </row>
    <row r="23633" spans="6:6">
      <c r="F23633" s="2423"/>
    </row>
    <row r="23634" spans="6:6">
      <c r="F23634" s="2423"/>
    </row>
    <row r="23635" spans="6:6">
      <c r="F23635" s="2423"/>
    </row>
    <row r="23636" spans="6:6">
      <c r="F23636" s="2423"/>
    </row>
    <row r="23637" spans="6:6">
      <c r="F23637" s="2423"/>
    </row>
    <row r="23638" spans="6:6">
      <c r="F23638" s="2423"/>
    </row>
    <row r="23639" spans="6:6">
      <c r="F23639" s="2423"/>
    </row>
    <row r="23640" spans="6:6">
      <c r="F23640" s="2423"/>
    </row>
    <row r="23641" spans="6:6">
      <c r="F23641" s="2423"/>
    </row>
    <row r="23642" spans="6:6">
      <c r="F23642" s="2423"/>
    </row>
    <row r="23643" spans="6:6">
      <c r="F23643" s="2423"/>
    </row>
    <row r="23644" spans="6:6">
      <c r="F23644" s="2423"/>
    </row>
    <row r="23645" spans="6:6">
      <c r="F23645" s="2423"/>
    </row>
    <row r="23646" spans="6:6">
      <c r="F23646" s="2423"/>
    </row>
    <row r="23647" spans="6:6">
      <c r="F23647" s="2423"/>
    </row>
    <row r="23648" spans="6:6">
      <c r="F23648" s="2423"/>
    </row>
    <row r="23649" spans="6:6">
      <c r="F23649" s="2423"/>
    </row>
    <row r="23650" spans="6:6">
      <c r="F23650" s="2423"/>
    </row>
    <row r="23651" spans="6:6">
      <c r="F23651" s="2423"/>
    </row>
    <row r="23652" spans="6:6">
      <c r="F23652" s="2423"/>
    </row>
    <row r="23653" spans="6:6">
      <c r="F23653" s="2423"/>
    </row>
    <row r="23654" spans="6:6">
      <c r="F23654" s="2423"/>
    </row>
    <row r="23655" spans="6:6">
      <c r="F23655" s="2423"/>
    </row>
    <row r="23656" spans="6:6">
      <c r="F23656" s="2423"/>
    </row>
    <row r="23657" spans="6:6">
      <c r="F23657" s="2423"/>
    </row>
    <row r="23658" spans="6:6">
      <c r="F23658" s="2423"/>
    </row>
    <row r="23659" spans="6:6">
      <c r="F23659" s="2423"/>
    </row>
    <row r="23660" spans="6:6">
      <c r="F23660" s="2423"/>
    </row>
    <row r="23661" spans="6:6">
      <c r="F23661" s="2423"/>
    </row>
    <row r="23662" spans="6:6">
      <c r="F23662" s="2423"/>
    </row>
    <row r="23663" spans="6:6">
      <c r="F23663" s="2423"/>
    </row>
    <row r="23664" spans="6:6">
      <c r="F23664" s="2423"/>
    </row>
    <row r="23665" spans="6:6">
      <c r="F23665" s="2423"/>
    </row>
    <row r="23666" spans="6:6">
      <c r="F23666" s="2423"/>
    </row>
    <row r="23667" spans="6:6">
      <c r="F23667" s="2423"/>
    </row>
    <row r="23668" spans="6:6">
      <c r="F23668" s="2423"/>
    </row>
    <row r="23669" spans="6:6">
      <c r="F23669" s="2423"/>
    </row>
    <row r="23670" spans="6:6">
      <c r="F23670" s="2423"/>
    </row>
    <row r="23671" spans="6:6">
      <c r="F23671" s="2423"/>
    </row>
    <row r="23672" spans="6:6">
      <c r="F23672" s="2423"/>
    </row>
    <row r="23673" spans="6:6">
      <c r="F23673" s="2423"/>
    </row>
    <row r="23674" spans="6:6">
      <c r="F23674" s="2423"/>
    </row>
    <row r="23675" spans="6:6">
      <c r="F23675" s="2423"/>
    </row>
    <row r="23676" spans="6:6">
      <c r="F23676" s="2423"/>
    </row>
    <row r="23677" spans="6:6">
      <c r="F23677" s="2423"/>
    </row>
    <row r="23678" spans="6:6">
      <c r="F23678" s="2423"/>
    </row>
    <row r="23679" spans="6:6">
      <c r="F23679" s="2423"/>
    </row>
    <row r="23680" spans="6:6">
      <c r="F23680" s="2423"/>
    </row>
    <row r="23681" spans="6:6">
      <c r="F23681" s="2423"/>
    </row>
    <row r="23682" spans="6:6">
      <c r="F23682" s="2423"/>
    </row>
    <row r="23683" spans="6:6">
      <c r="F23683" s="2423"/>
    </row>
    <row r="23684" spans="6:6">
      <c r="F23684" s="2423"/>
    </row>
    <row r="23685" spans="6:6">
      <c r="F23685" s="2423"/>
    </row>
    <row r="23686" spans="6:6">
      <c r="F23686" s="2423"/>
    </row>
    <row r="23687" spans="6:6">
      <c r="F23687" s="2423"/>
    </row>
    <row r="23688" spans="6:6">
      <c r="F23688" s="2423"/>
    </row>
    <row r="23689" spans="6:6">
      <c r="F23689" s="2423"/>
    </row>
    <row r="23690" spans="6:6">
      <c r="F23690" s="2423"/>
    </row>
    <row r="23691" spans="6:6">
      <c r="F23691" s="2423"/>
    </row>
    <row r="23692" spans="6:6">
      <c r="F23692" s="2423"/>
    </row>
    <row r="23693" spans="6:6">
      <c r="F23693" s="2423"/>
    </row>
    <row r="23694" spans="6:6">
      <c r="F23694" s="2423"/>
    </row>
    <row r="23695" spans="6:6">
      <c r="F23695" s="2423"/>
    </row>
    <row r="23696" spans="6:6">
      <c r="F23696" s="2423"/>
    </row>
    <row r="23697" spans="6:6">
      <c r="F23697" s="2423"/>
    </row>
    <row r="23698" spans="6:6">
      <c r="F23698" s="2423"/>
    </row>
    <row r="23699" spans="6:6">
      <c r="F23699" s="2423"/>
    </row>
    <row r="23700" spans="6:6">
      <c r="F23700" s="2423"/>
    </row>
    <row r="23701" spans="6:6">
      <c r="F23701" s="2423"/>
    </row>
    <row r="23702" spans="6:6">
      <c r="F23702" s="2423"/>
    </row>
    <row r="23703" spans="6:6">
      <c r="F23703" s="2423"/>
    </row>
    <row r="23704" spans="6:6">
      <c r="F23704" s="2423"/>
    </row>
    <row r="23705" spans="6:6">
      <c r="F23705" s="2423"/>
    </row>
    <row r="23706" spans="6:6">
      <c r="F23706" s="2423"/>
    </row>
    <row r="23707" spans="6:6">
      <c r="F23707" s="2423"/>
    </row>
    <row r="23708" spans="6:6">
      <c r="F23708" s="2423"/>
    </row>
    <row r="23709" spans="6:6">
      <c r="F23709" s="2423"/>
    </row>
    <row r="23710" spans="6:6">
      <c r="F23710" s="2423"/>
    </row>
    <row r="23711" spans="6:6">
      <c r="F23711" s="2423"/>
    </row>
    <row r="23712" spans="6:6">
      <c r="F23712" s="2423"/>
    </row>
    <row r="23713" spans="6:6">
      <c r="F23713" s="2423"/>
    </row>
    <row r="23714" spans="6:6">
      <c r="F23714" s="2423"/>
    </row>
    <row r="23715" spans="6:6">
      <c r="F23715" s="2423"/>
    </row>
    <row r="23716" spans="6:6">
      <c r="F23716" s="2423"/>
    </row>
    <row r="23717" spans="6:6">
      <c r="F23717" s="2423"/>
    </row>
    <row r="23718" spans="6:6">
      <c r="F23718" s="2423"/>
    </row>
    <row r="23719" spans="6:6">
      <c r="F23719" s="2423"/>
    </row>
    <row r="23720" spans="6:6">
      <c r="F23720" s="2423"/>
    </row>
    <row r="23721" spans="6:6">
      <c r="F23721" s="2423"/>
    </row>
    <row r="23722" spans="6:6">
      <c r="F23722" s="2423"/>
    </row>
    <row r="23723" spans="6:6">
      <c r="F23723" s="2423"/>
    </row>
    <row r="23724" spans="6:6">
      <c r="F23724" s="2423"/>
    </row>
    <row r="23725" spans="6:6">
      <c r="F23725" s="2423"/>
    </row>
    <row r="23726" spans="6:6">
      <c r="F23726" s="2423"/>
    </row>
    <row r="23727" spans="6:6">
      <c r="F23727" s="2423"/>
    </row>
    <row r="23728" spans="6:6">
      <c r="F23728" s="2423"/>
    </row>
    <row r="23729" spans="6:6">
      <c r="F23729" s="2423"/>
    </row>
    <row r="23730" spans="6:6">
      <c r="F23730" s="2423"/>
    </row>
    <row r="23731" spans="6:6">
      <c r="F23731" s="2423"/>
    </row>
    <row r="23732" spans="6:6">
      <c r="F23732" s="2423"/>
    </row>
    <row r="23733" spans="6:6">
      <c r="F23733" s="2423"/>
    </row>
    <row r="23734" spans="6:6">
      <c r="F23734" s="2423"/>
    </row>
    <row r="23735" spans="6:6">
      <c r="F23735" s="2423"/>
    </row>
    <row r="23736" spans="6:6">
      <c r="F23736" s="2423"/>
    </row>
    <row r="23737" spans="6:6">
      <c r="F23737" s="2423"/>
    </row>
    <row r="23738" spans="6:6">
      <c r="F23738" s="2423"/>
    </row>
    <row r="23739" spans="6:6">
      <c r="F23739" s="2423"/>
    </row>
    <row r="23740" spans="6:6">
      <c r="F23740" s="2423"/>
    </row>
    <row r="23741" spans="6:6">
      <c r="F23741" s="2423"/>
    </row>
    <row r="23742" spans="6:6">
      <c r="F23742" s="2423"/>
    </row>
    <row r="23743" spans="6:6">
      <c r="F23743" s="2423"/>
    </row>
    <row r="23744" spans="6:6">
      <c r="F23744" s="2423"/>
    </row>
    <row r="23745" spans="6:6">
      <c r="F23745" s="2423"/>
    </row>
    <row r="23746" spans="6:6">
      <c r="F23746" s="2423"/>
    </row>
    <row r="23747" spans="6:6">
      <c r="F23747" s="2423"/>
    </row>
    <row r="23748" spans="6:6">
      <c r="F23748" s="2423"/>
    </row>
    <row r="23749" spans="6:6">
      <c r="F23749" s="2423"/>
    </row>
    <row r="23750" spans="6:6">
      <c r="F23750" s="2423"/>
    </row>
    <row r="23751" spans="6:6">
      <c r="F23751" s="2423"/>
    </row>
    <row r="23752" spans="6:6">
      <c r="F23752" s="2423"/>
    </row>
    <row r="23753" spans="6:6">
      <c r="F23753" s="2423"/>
    </row>
    <row r="23754" spans="6:6">
      <c r="F23754" s="2423"/>
    </row>
    <row r="23755" spans="6:6">
      <c r="F23755" s="2423"/>
    </row>
    <row r="23756" spans="6:6">
      <c r="F23756" s="2423"/>
    </row>
    <row r="23757" spans="6:6">
      <c r="F23757" s="2423"/>
    </row>
    <row r="23758" spans="6:6">
      <c r="F23758" s="2423"/>
    </row>
    <row r="23759" spans="6:6">
      <c r="F23759" s="2423"/>
    </row>
    <row r="23760" spans="6:6">
      <c r="F23760" s="2423"/>
    </row>
    <row r="23761" spans="6:6">
      <c r="F23761" s="2423"/>
    </row>
    <row r="23762" spans="6:6">
      <c r="F23762" s="2423"/>
    </row>
    <row r="23763" spans="6:6">
      <c r="F23763" s="2423"/>
    </row>
    <row r="23764" spans="6:6">
      <c r="F23764" s="2423"/>
    </row>
    <row r="23765" spans="6:6">
      <c r="F23765" s="2423"/>
    </row>
    <row r="23766" spans="6:6">
      <c r="F23766" s="2423"/>
    </row>
    <row r="23767" spans="6:6">
      <c r="F23767" s="2423"/>
    </row>
    <row r="23768" spans="6:6">
      <c r="F23768" s="2423"/>
    </row>
    <row r="23769" spans="6:6">
      <c r="F23769" s="2423"/>
    </row>
    <row r="23770" spans="6:6">
      <c r="F23770" s="2423"/>
    </row>
    <row r="23771" spans="6:6">
      <c r="F23771" s="2423"/>
    </row>
    <row r="23772" spans="6:6">
      <c r="F23772" s="2423"/>
    </row>
    <row r="23773" spans="6:6">
      <c r="F23773" s="2423"/>
    </row>
    <row r="23774" spans="6:6">
      <c r="F23774" s="2423"/>
    </row>
    <row r="23775" spans="6:6">
      <c r="F23775" s="2423"/>
    </row>
    <row r="23776" spans="6:6">
      <c r="F23776" s="2423"/>
    </row>
    <row r="23777" spans="6:6">
      <c r="F23777" s="2423"/>
    </row>
    <row r="23778" spans="6:6">
      <c r="F23778" s="2423"/>
    </row>
    <row r="23779" spans="6:6">
      <c r="F23779" s="2423"/>
    </row>
    <row r="23780" spans="6:6">
      <c r="F23780" s="2423"/>
    </row>
    <row r="23781" spans="6:6">
      <c r="F23781" s="2423"/>
    </row>
    <row r="23782" spans="6:6">
      <c r="F23782" s="2423"/>
    </row>
    <row r="23783" spans="6:6">
      <c r="F23783" s="2423"/>
    </row>
    <row r="23784" spans="6:6">
      <c r="F23784" s="2423"/>
    </row>
    <row r="23785" spans="6:6">
      <c r="F23785" s="2423"/>
    </row>
    <row r="23786" spans="6:6">
      <c r="F23786" s="2423"/>
    </row>
    <row r="23787" spans="6:6">
      <c r="F23787" s="2423"/>
    </row>
    <row r="23788" spans="6:6">
      <c r="F23788" s="2423"/>
    </row>
    <row r="23789" spans="6:6">
      <c r="F23789" s="2423"/>
    </row>
    <row r="23790" spans="6:6">
      <c r="F23790" s="2423"/>
    </row>
    <row r="23791" spans="6:6">
      <c r="F23791" s="2423"/>
    </row>
    <row r="23792" spans="6:6">
      <c r="F23792" s="2423"/>
    </row>
    <row r="23793" spans="6:6">
      <c r="F23793" s="2423"/>
    </row>
    <row r="23794" spans="6:6">
      <c r="F23794" s="2423"/>
    </row>
    <row r="23795" spans="6:6">
      <c r="F23795" s="2423"/>
    </row>
    <row r="23796" spans="6:6">
      <c r="F23796" s="2423"/>
    </row>
    <row r="23797" spans="6:6">
      <c r="F23797" s="2423"/>
    </row>
    <row r="23798" spans="6:6">
      <c r="F23798" s="2423"/>
    </row>
    <row r="23799" spans="6:6">
      <c r="F23799" s="2423"/>
    </row>
    <row r="23800" spans="6:6">
      <c r="F23800" s="2423"/>
    </row>
    <row r="23801" spans="6:6">
      <c r="F23801" s="2423"/>
    </row>
    <row r="23802" spans="6:6">
      <c r="F23802" s="2423"/>
    </row>
    <row r="23803" spans="6:6">
      <c r="F23803" s="2423"/>
    </row>
    <row r="23804" spans="6:6">
      <c r="F23804" s="2423"/>
    </row>
    <row r="23805" spans="6:6">
      <c r="F23805" s="2423"/>
    </row>
    <row r="23806" spans="6:6">
      <c r="F23806" s="2423"/>
    </row>
    <row r="23807" spans="6:6">
      <c r="F23807" s="2423"/>
    </row>
    <row r="23808" spans="6:6">
      <c r="F23808" s="2423"/>
    </row>
    <row r="23809" spans="6:6">
      <c r="F23809" s="2423"/>
    </row>
    <row r="23810" spans="6:6">
      <c r="F23810" s="2423"/>
    </row>
    <row r="23811" spans="6:6">
      <c r="F23811" s="2423"/>
    </row>
    <row r="23812" spans="6:6">
      <c r="F23812" s="2423"/>
    </row>
    <row r="23813" spans="6:6">
      <c r="F23813" s="2423"/>
    </row>
    <row r="23814" spans="6:6">
      <c r="F23814" s="2423"/>
    </row>
    <row r="23815" spans="6:6">
      <c r="F23815" s="2423"/>
    </row>
    <row r="23816" spans="6:6">
      <c r="F23816" s="2423"/>
    </row>
    <row r="23817" spans="6:6">
      <c r="F23817" s="2423"/>
    </row>
    <row r="23818" spans="6:6">
      <c r="F23818" s="2423"/>
    </row>
    <row r="23819" spans="6:6">
      <c r="F23819" s="2423"/>
    </row>
    <row r="23820" spans="6:6">
      <c r="F23820" s="2423"/>
    </row>
    <row r="23821" spans="6:6">
      <c r="F23821" s="2423"/>
    </row>
    <row r="23822" spans="6:6">
      <c r="F23822" s="2423"/>
    </row>
    <row r="23823" spans="6:6">
      <c r="F23823" s="2423"/>
    </row>
    <row r="23824" spans="6:6">
      <c r="F23824" s="2423"/>
    </row>
    <row r="23825" spans="6:6">
      <c r="F23825" s="2423"/>
    </row>
    <row r="23826" spans="6:6">
      <c r="F23826" s="2423"/>
    </row>
    <row r="23827" spans="6:6">
      <c r="F23827" s="2423"/>
    </row>
    <row r="23828" spans="6:6">
      <c r="F23828" s="2423"/>
    </row>
    <row r="23829" spans="6:6">
      <c r="F23829" s="2423"/>
    </row>
    <row r="23830" spans="6:6">
      <c r="F23830" s="2423"/>
    </row>
    <row r="23831" spans="6:6">
      <c r="F23831" s="2423"/>
    </row>
    <row r="23832" spans="6:6">
      <c r="F23832" s="2423"/>
    </row>
    <row r="23833" spans="6:6">
      <c r="F23833" s="2423"/>
    </row>
    <row r="23834" spans="6:6">
      <c r="F23834" s="2423"/>
    </row>
    <row r="23835" spans="6:6">
      <c r="F23835" s="2423"/>
    </row>
    <row r="23836" spans="6:6">
      <c r="F23836" s="2423"/>
    </row>
    <row r="23837" spans="6:6">
      <c r="F23837" s="2423"/>
    </row>
    <row r="23838" spans="6:6">
      <c r="F23838" s="2423"/>
    </row>
    <row r="23839" spans="6:6">
      <c r="F23839" s="2423"/>
    </row>
    <row r="23840" spans="6:6">
      <c r="F23840" s="2423"/>
    </row>
    <row r="23841" spans="6:6">
      <c r="F23841" s="2423"/>
    </row>
    <row r="23842" spans="6:6">
      <c r="F23842" s="2423"/>
    </row>
    <row r="23843" spans="6:6">
      <c r="F23843" s="2423"/>
    </row>
    <row r="23844" spans="6:6">
      <c r="F23844" s="2423"/>
    </row>
    <row r="23845" spans="6:6">
      <c r="F23845" s="2423"/>
    </row>
    <row r="23846" spans="6:6">
      <c r="F23846" s="2423"/>
    </row>
    <row r="23847" spans="6:6">
      <c r="F23847" s="2423"/>
    </row>
    <row r="23848" spans="6:6">
      <c r="F23848" s="2423"/>
    </row>
    <row r="23849" spans="6:6">
      <c r="F23849" s="2423"/>
    </row>
    <row r="23850" spans="6:6">
      <c r="F23850" s="2423"/>
    </row>
    <row r="23851" spans="6:6">
      <c r="F23851" s="2423"/>
    </row>
    <row r="23852" spans="6:6">
      <c r="F23852" s="2423"/>
    </row>
    <row r="23853" spans="6:6">
      <c r="F23853" s="2423"/>
    </row>
    <row r="23854" spans="6:6">
      <c r="F23854" s="2423"/>
    </row>
    <row r="23855" spans="6:6">
      <c r="F23855" s="2423"/>
    </row>
    <row r="23856" spans="6:6">
      <c r="F23856" s="2423"/>
    </row>
    <row r="23857" spans="6:6">
      <c r="F23857" s="2423"/>
    </row>
    <row r="23858" spans="6:6">
      <c r="F23858" s="2423"/>
    </row>
    <row r="23859" spans="6:6">
      <c r="F23859" s="2423"/>
    </row>
    <row r="23860" spans="6:6">
      <c r="F23860" s="2423"/>
    </row>
    <row r="23861" spans="6:6">
      <c r="F23861" s="2423"/>
    </row>
    <row r="23862" spans="6:6">
      <c r="F23862" s="2423"/>
    </row>
    <row r="23863" spans="6:6">
      <c r="F23863" s="2423"/>
    </row>
    <row r="23864" spans="6:6">
      <c r="F23864" s="2423"/>
    </row>
    <row r="23865" spans="6:6">
      <c r="F23865" s="2423"/>
    </row>
    <row r="23866" spans="6:6">
      <c r="F23866" s="2423"/>
    </row>
    <row r="23867" spans="6:6">
      <c r="F23867" s="2423"/>
    </row>
    <row r="23868" spans="6:6">
      <c r="F23868" s="2423"/>
    </row>
    <row r="23869" spans="6:6">
      <c r="F23869" s="2423"/>
    </row>
    <row r="23870" spans="6:6">
      <c r="F23870" s="2423"/>
    </row>
    <row r="23871" spans="6:6">
      <c r="F23871" s="2423"/>
    </row>
    <row r="23872" spans="6:6">
      <c r="F23872" s="2423"/>
    </row>
    <row r="23873" spans="6:6">
      <c r="F23873" s="2423"/>
    </row>
    <row r="23874" spans="6:6">
      <c r="F23874" s="2423"/>
    </row>
    <row r="23875" spans="6:6">
      <c r="F23875" s="2423"/>
    </row>
    <row r="23876" spans="6:6">
      <c r="F23876" s="2423"/>
    </row>
    <row r="23877" spans="6:6">
      <c r="F23877" s="2423"/>
    </row>
    <row r="23878" spans="6:6">
      <c r="F23878" s="2423"/>
    </row>
    <row r="23879" spans="6:6">
      <c r="F23879" s="2423"/>
    </row>
    <row r="23880" spans="6:6">
      <c r="F23880" s="2423"/>
    </row>
    <row r="23881" spans="6:6">
      <c r="F23881" s="2423"/>
    </row>
    <row r="23882" spans="6:6">
      <c r="F23882" s="2423"/>
    </row>
    <row r="23883" spans="6:6">
      <c r="F23883" s="2423"/>
    </row>
    <row r="23884" spans="6:6">
      <c r="F23884" s="2423"/>
    </row>
    <row r="23885" spans="6:6">
      <c r="F23885" s="2423"/>
    </row>
    <row r="23886" spans="6:6">
      <c r="F23886" s="2423"/>
    </row>
    <row r="23887" spans="6:6">
      <c r="F23887" s="2423"/>
    </row>
    <row r="23888" spans="6:6">
      <c r="F23888" s="2423"/>
    </row>
    <row r="23889" spans="6:6">
      <c r="F23889" s="2423"/>
    </row>
    <row r="23890" spans="6:6">
      <c r="F23890" s="2423"/>
    </row>
    <row r="23891" spans="6:6">
      <c r="F23891" s="2423"/>
    </row>
    <row r="23892" spans="6:6">
      <c r="F23892" s="2423"/>
    </row>
    <row r="23893" spans="6:6">
      <c r="F23893" s="2423"/>
    </row>
    <row r="23894" spans="6:6">
      <c r="F23894" s="2423"/>
    </row>
    <row r="23895" spans="6:6">
      <c r="F23895" s="2423"/>
    </row>
    <row r="23896" spans="6:6">
      <c r="F23896" s="2423"/>
    </row>
    <row r="23897" spans="6:6">
      <c r="F23897" s="2423"/>
    </row>
    <row r="23898" spans="6:6">
      <c r="F23898" s="2423"/>
    </row>
    <row r="23899" spans="6:6">
      <c r="F23899" s="2423"/>
    </row>
    <row r="23900" spans="6:6">
      <c r="F23900" s="2423"/>
    </row>
    <row r="23901" spans="6:6">
      <c r="F23901" s="2423"/>
    </row>
    <row r="23902" spans="6:6">
      <c r="F23902" s="2423"/>
    </row>
    <row r="23903" spans="6:6">
      <c r="F23903" s="2423"/>
    </row>
    <row r="23904" spans="6:6">
      <c r="F23904" s="2423"/>
    </row>
    <row r="23905" spans="6:6">
      <c r="F23905" s="2423"/>
    </row>
    <row r="23906" spans="6:6">
      <c r="F23906" s="2423"/>
    </row>
    <row r="23907" spans="6:6">
      <c r="F23907" s="2423"/>
    </row>
    <row r="23908" spans="6:6">
      <c r="F23908" s="2423"/>
    </row>
    <row r="23909" spans="6:6">
      <c r="F23909" s="2423"/>
    </row>
    <row r="23910" spans="6:6">
      <c r="F23910" s="2423"/>
    </row>
    <row r="23911" spans="6:6">
      <c r="F23911" s="2423"/>
    </row>
    <row r="23912" spans="6:6">
      <c r="F23912" s="2423"/>
    </row>
    <row r="23913" spans="6:6">
      <c r="F23913" s="2423"/>
    </row>
    <row r="23914" spans="6:6">
      <c r="F23914" s="2423"/>
    </row>
    <row r="23915" spans="6:6">
      <c r="F23915" s="2423"/>
    </row>
    <row r="23916" spans="6:6">
      <c r="F23916" s="2423"/>
    </row>
    <row r="23917" spans="6:6">
      <c r="F23917" s="2423"/>
    </row>
    <row r="23918" spans="6:6">
      <c r="F23918" s="2423"/>
    </row>
    <row r="23919" spans="6:6">
      <c r="F23919" s="2423"/>
    </row>
    <row r="23920" spans="6:6">
      <c r="F23920" s="2423"/>
    </row>
    <row r="23921" spans="6:6">
      <c r="F23921" s="2423"/>
    </row>
    <row r="23922" spans="6:6">
      <c r="F23922" s="2423"/>
    </row>
    <row r="23923" spans="6:6">
      <c r="F23923" s="2423"/>
    </row>
    <row r="23924" spans="6:6">
      <c r="F23924" s="2423"/>
    </row>
    <row r="23925" spans="6:6">
      <c r="F23925" s="2423"/>
    </row>
    <row r="23926" spans="6:6">
      <c r="F23926" s="2423"/>
    </row>
    <row r="23927" spans="6:6">
      <c r="F23927" s="2423"/>
    </row>
    <row r="23928" spans="6:6">
      <c r="F23928" s="2423"/>
    </row>
    <row r="23929" spans="6:6">
      <c r="F23929" s="2423"/>
    </row>
    <row r="23930" spans="6:6">
      <c r="F23930" s="2423"/>
    </row>
    <row r="23931" spans="6:6">
      <c r="F23931" s="2423"/>
    </row>
    <row r="23932" spans="6:6">
      <c r="F23932" s="2423"/>
    </row>
    <row r="23933" spans="6:6">
      <c r="F23933" s="2423"/>
    </row>
    <row r="23934" spans="6:6">
      <c r="F23934" s="2423"/>
    </row>
    <row r="23935" spans="6:6">
      <c r="F23935" s="2423"/>
    </row>
    <row r="23936" spans="6:6">
      <c r="F23936" s="2423"/>
    </row>
    <row r="23937" spans="6:6">
      <c r="F23937" s="2423"/>
    </row>
    <row r="23938" spans="6:6">
      <c r="F23938" s="2423"/>
    </row>
    <row r="23939" spans="6:6">
      <c r="F23939" s="2423"/>
    </row>
    <row r="23940" spans="6:6">
      <c r="F23940" s="2423"/>
    </row>
    <row r="23941" spans="6:6">
      <c r="F23941" s="2423"/>
    </row>
    <row r="23942" spans="6:6">
      <c r="F23942" s="2423"/>
    </row>
    <row r="23943" spans="6:6">
      <c r="F23943" s="2423"/>
    </row>
    <row r="23944" spans="6:6">
      <c r="F23944" s="2423"/>
    </row>
    <row r="23945" spans="6:6">
      <c r="F23945" s="2423"/>
    </row>
    <row r="23946" spans="6:6">
      <c r="F23946" s="2423"/>
    </row>
    <row r="23947" spans="6:6">
      <c r="F23947" s="2423"/>
    </row>
    <row r="23948" spans="6:6">
      <c r="F23948" s="2423"/>
    </row>
    <row r="23949" spans="6:6">
      <c r="F23949" s="2423"/>
    </row>
    <row r="23950" spans="6:6">
      <c r="F23950" s="2423"/>
    </row>
    <row r="23951" spans="6:6">
      <c r="F23951" s="2423"/>
    </row>
    <row r="23952" spans="6:6">
      <c r="F23952" s="2423"/>
    </row>
    <row r="23953" spans="6:6">
      <c r="F23953" s="2423"/>
    </row>
    <row r="23954" spans="6:6">
      <c r="F23954" s="2423"/>
    </row>
    <row r="23955" spans="6:6">
      <c r="F23955" s="2423"/>
    </row>
    <row r="23956" spans="6:6">
      <c r="F23956" s="2423"/>
    </row>
    <row r="23957" spans="6:6">
      <c r="F23957" s="2423"/>
    </row>
    <row r="23958" spans="6:6">
      <c r="F23958" s="2423"/>
    </row>
    <row r="23959" spans="6:6">
      <c r="F23959" s="2423"/>
    </row>
    <row r="23960" spans="6:6">
      <c r="F23960" s="2423"/>
    </row>
    <row r="23961" spans="6:6">
      <c r="F23961" s="2423"/>
    </row>
    <row r="23962" spans="6:6">
      <c r="F23962" s="2423"/>
    </row>
    <row r="23963" spans="6:6">
      <c r="F23963" s="2423"/>
    </row>
    <row r="23964" spans="6:6">
      <c r="F23964" s="2423"/>
    </row>
    <row r="23965" spans="6:6">
      <c r="F23965" s="2423"/>
    </row>
    <row r="23966" spans="6:6">
      <c r="F23966" s="2423"/>
    </row>
    <row r="23967" spans="6:6">
      <c r="F23967" s="2423"/>
    </row>
    <row r="23968" spans="6:6">
      <c r="F23968" s="2423"/>
    </row>
    <row r="23969" spans="6:6">
      <c r="F23969" s="2423"/>
    </row>
    <row r="23970" spans="6:6">
      <c r="F23970" s="2423"/>
    </row>
    <row r="23971" spans="6:6">
      <c r="F23971" s="2423"/>
    </row>
    <row r="23972" spans="6:6">
      <c r="F23972" s="2423"/>
    </row>
    <row r="23973" spans="6:6">
      <c r="F23973" s="2423"/>
    </row>
    <row r="23974" spans="6:6">
      <c r="F23974" s="2423"/>
    </row>
    <row r="23975" spans="6:6">
      <c r="F23975" s="2423"/>
    </row>
    <row r="23976" spans="6:6">
      <c r="F23976" s="2423"/>
    </row>
    <row r="23977" spans="6:6">
      <c r="F23977" s="2423"/>
    </row>
    <row r="23978" spans="6:6">
      <c r="F23978" s="2423"/>
    </row>
    <row r="23979" spans="6:6">
      <c r="F23979" s="2423"/>
    </row>
    <row r="23980" spans="6:6">
      <c r="F23980" s="2423"/>
    </row>
    <row r="23981" spans="6:6">
      <c r="F23981" s="2423"/>
    </row>
    <row r="23982" spans="6:6">
      <c r="F23982" s="2423"/>
    </row>
    <row r="23983" spans="6:6">
      <c r="F23983" s="2423"/>
    </row>
    <row r="23984" spans="6:6">
      <c r="F23984" s="2423"/>
    </row>
    <row r="23985" spans="6:6">
      <c r="F23985" s="2423"/>
    </row>
    <row r="23986" spans="6:6">
      <c r="F23986" s="2423"/>
    </row>
    <row r="23987" spans="6:6">
      <c r="F23987" s="2423"/>
    </row>
    <row r="23988" spans="6:6">
      <c r="F23988" s="2423"/>
    </row>
    <row r="23989" spans="6:6">
      <c r="F23989" s="2423"/>
    </row>
    <row r="23990" spans="6:6">
      <c r="F23990" s="2423"/>
    </row>
    <row r="23991" spans="6:6">
      <c r="F23991" s="2423"/>
    </row>
    <row r="23992" spans="6:6">
      <c r="F23992" s="2423"/>
    </row>
    <row r="23993" spans="6:6">
      <c r="F23993" s="2423"/>
    </row>
    <row r="23994" spans="6:6">
      <c r="F23994" s="2423"/>
    </row>
    <row r="23995" spans="6:6">
      <c r="F23995" s="2423"/>
    </row>
    <row r="23996" spans="6:6">
      <c r="F23996" s="2423"/>
    </row>
    <row r="23997" spans="6:6">
      <c r="F23997" s="2423"/>
    </row>
    <row r="23998" spans="6:6">
      <c r="F23998" s="2423"/>
    </row>
    <row r="23999" spans="6:6">
      <c r="F23999" s="2423"/>
    </row>
    <row r="24000" spans="6:6">
      <c r="F24000" s="2423"/>
    </row>
    <row r="24001" spans="6:6">
      <c r="F24001" s="2423"/>
    </row>
    <row r="24002" spans="6:6">
      <c r="F24002" s="2423"/>
    </row>
    <row r="24003" spans="6:6">
      <c r="F24003" s="2423"/>
    </row>
    <row r="24004" spans="6:6">
      <c r="F24004" s="2423"/>
    </row>
    <row r="24005" spans="6:6">
      <c r="F24005" s="2423"/>
    </row>
    <row r="24006" spans="6:6">
      <c r="F24006" s="2423"/>
    </row>
    <row r="24007" spans="6:6">
      <c r="F24007" s="2423"/>
    </row>
    <row r="24008" spans="6:6">
      <c r="F24008" s="2423"/>
    </row>
    <row r="24009" spans="6:6">
      <c r="F24009" s="2423"/>
    </row>
    <row r="24010" spans="6:6">
      <c r="F24010" s="2423"/>
    </row>
    <row r="24011" spans="6:6">
      <c r="F24011" s="2423"/>
    </row>
    <row r="24012" spans="6:6">
      <c r="F24012" s="2423"/>
    </row>
    <row r="24013" spans="6:6">
      <c r="F24013" s="2423"/>
    </row>
    <row r="24014" spans="6:6">
      <c r="F24014" s="2423"/>
    </row>
    <row r="24015" spans="6:6">
      <c r="F24015" s="2423"/>
    </row>
    <row r="24016" spans="6:6">
      <c r="F24016" s="2423"/>
    </row>
    <row r="24017" spans="6:6">
      <c r="F24017" s="2423"/>
    </row>
    <row r="24018" spans="6:6">
      <c r="F24018" s="2423"/>
    </row>
    <row r="24019" spans="6:6">
      <c r="F24019" s="2423"/>
    </row>
    <row r="24020" spans="6:6">
      <c r="F24020" s="2423"/>
    </row>
    <row r="24021" spans="6:6">
      <c r="F24021" s="2423"/>
    </row>
    <row r="24022" spans="6:6">
      <c r="F24022" s="2423"/>
    </row>
    <row r="24023" spans="6:6">
      <c r="F24023" s="2423"/>
    </row>
    <row r="24024" spans="6:6">
      <c r="F24024" s="2423"/>
    </row>
    <row r="24025" spans="6:6">
      <c r="F24025" s="2423"/>
    </row>
    <row r="24026" spans="6:6">
      <c r="F24026" s="2423"/>
    </row>
    <row r="24027" spans="6:6">
      <c r="F24027" s="2423"/>
    </row>
    <row r="24028" spans="6:6">
      <c r="F24028" s="2423"/>
    </row>
    <row r="24029" spans="6:6">
      <c r="F24029" s="2423"/>
    </row>
    <row r="24030" spans="6:6">
      <c r="F24030" s="2423"/>
    </row>
    <row r="24031" spans="6:6">
      <c r="F24031" s="2423"/>
    </row>
    <row r="24032" spans="6:6">
      <c r="F24032" s="2423"/>
    </row>
    <row r="24033" spans="6:6">
      <c r="F24033" s="2423"/>
    </row>
    <row r="24034" spans="6:6">
      <c r="F24034" s="2423"/>
    </row>
    <row r="24035" spans="6:6">
      <c r="F24035" s="2423"/>
    </row>
    <row r="24036" spans="6:6">
      <c r="F24036" s="2423"/>
    </row>
    <row r="24037" spans="6:6">
      <c r="F24037" s="2423"/>
    </row>
    <row r="24038" spans="6:6">
      <c r="F24038" s="2423"/>
    </row>
    <row r="24039" spans="6:6">
      <c r="F24039" s="2423"/>
    </row>
    <row r="24040" spans="6:6">
      <c r="F24040" s="2423"/>
    </row>
    <row r="24041" spans="6:6">
      <c r="F24041" s="2423"/>
    </row>
    <row r="24042" spans="6:6">
      <c r="F24042" s="2423"/>
    </row>
    <row r="24043" spans="6:6">
      <c r="F24043" s="2423"/>
    </row>
    <row r="24044" spans="6:6">
      <c r="F24044" s="2423"/>
    </row>
    <row r="24045" spans="6:6">
      <c r="F24045" s="2423"/>
    </row>
    <row r="24046" spans="6:6">
      <c r="F24046" s="2423"/>
    </row>
    <row r="24047" spans="6:6">
      <c r="F24047" s="2423"/>
    </row>
    <row r="24048" spans="6:6">
      <c r="F24048" s="2423"/>
    </row>
    <row r="24049" spans="6:6">
      <c r="F24049" s="2423"/>
    </row>
    <row r="24050" spans="6:6">
      <c r="F24050" s="2423"/>
    </row>
    <row r="24051" spans="6:6">
      <c r="F24051" s="2423"/>
    </row>
    <row r="24052" spans="6:6">
      <c r="F24052" s="2423"/>
    </row>
    <row r="24053" spans="6:6">
      <c r="F24053" s="2423"/>
    </row>
    <row r="24054" spans="6:6">
      <c r="F24054" s="2423"/>
    </row>
    <row r="24055" spans="6:6">
      <c r="F24055" s="2423"/>
    </row>
    <row r="24056" spans="6:6">
      <c r="F24056" s="2423"/>
    </row>
    <row r="24057" spans="6:6">
      <c r="F24057" s="2423"/>
    </row>
    <row r="24058" spans="6:6">
      <c r="F24058" s="2423"/>
    </row>
    <row r="24059" spans="6:6">
      <c r="F24059" s="2423"/>
    </row>
    <row r="24060" spans="6:6">
      <c r="F24060" s="2423"/>
    </row>
    <row r="24061" spans="6:6">
      <c r="F24061" s="2423"/>
    </row>
    <row r="24062" spans="6:6">
      <c r="F24062" s="2423"/>
    </row>
    <row r="24063" spans="6:6">
      <c r="F24063" s="2423"/>
    </row>
    <row r="24064" spans="6:6">
      <c r="F24064" s="2423"/>
    </row>
    <row r="24065" spans="6:6">
      <c r="F24065" s="2423"/>
    </row>
    <row r="24066" spans="6:6">
      <c r="F24066" s="2423"/>
    </row>
    <row r="24067" spans="6:6">
      <c r="F24067" s="2423"/>
    </row>
    <row r="24068" spans="6:6">
      <c r="F24068" s="2423"/>
    </row>
    <row r="24069" spans="6:6">
      <c r="F24069" s="2423"/>
    </row>
    <row r="24070" spans="6:6">
      <c r="F24070" s="2423"/>
    </row>
    <row r="24071" spans="6:6">
      <c r="F24071" s="2423"/>
    </row>
    <row r="24072" spans="6:6">
      <c r="F24072" s="2423"/>
    </row>
    <row r="24073" spans="6:6">
      <c r="F24073" s="2423"/>
    </row>
    <row r="24074" spans="6:6">
      <c r="F24074" s="2423"/>
    </row>
    <row r="24075" spans="6:6">
      <c r="F24075" s="2423"/>
    </row>
    <row r="24076" spans="6:6">
      <c r="F24076" s="2423"/>
    </row>
    <row r="24077" spans="6:6">
      <c r="F24077" s="2423"/>
    </row>
    <row r="24078" spans="6:6">
      <c r="F24078" s="2423"/>
    </row>
    <row r="24079" spans="6:6">
      <c r="F24079" s="2423"/>
    </row>
    <row r="24080" spans="6:6">
      <c r="F24080" s="2423"/>
    </row>
    <row r="24081" spans="6:6">
      <c r="F24081" s="2423"/>
    </row>
    <row r="24082" spans="6:6">
      <c r="F24082" s="2423"/>
    </row>
    <row r="24083" spans="6:6">
      <c r="F24083" s="2423"/>
    </row>
    <row r="24084" spans="6:6">
      <c r="F24084" s="2423"/>
    </row>
    <row r="24085" spans="6:6">
      <c r="F24085" s="2423"/>
    </row>
    <row r="24086" spans="6:6">
      <c r="F24086" s="2423"/>
    </row>
    <row r="24087" spans="6:6">
      <c r="F24087" s="2423"/>
    </row>
    <row r="24088" spans="6:6">
      <c r="F24088" s="2423"/>
    </row>
    <row r="24089" spans="6:6">
      <c r="F24089" s="2423"/>
    </row>
    <row r="24090" spans="6:6">
      <c r="F24090" s="2423"/>
    </row>
    <row r="24091" spans="6:6">
      <c r="F24091" s="2423"/>
    </row>
    <row r="24092" spans="6:6">
      <c r="F24092" s="2423"/>
    </row>
    <row r="24093" spans="6:6">
      <c r="F24093" s="2423"/>
    </row>
    <row r="24094" spans="6:6">
      <c r="F24094" s="2423"/>
    </row>
    <row r="24095" spans="6:6">
      <c r="F24095" s="2423"/>
    </row>
    <row r="24096" spans="6:6">
      <c r="F24096" s="2423"/>
    </row>
    <row r="24097" spans="6:6">
      <c r="F24097" s="2423"/>
    </row>
    <row r="24098" spans="6:6">
      <c r="F24098" s="2423"/>
    </row>
    <row r="24099" spans="6:6">
      <c r="F24099" s="2423"/>
    </row>
    <row r="24100" spans="6:6">
      <c r="F24100" s="2423"/>
    </row>
    <row r="24101" spans="6:6">
      <c r="F24101" s="2423"/>
    </row>
    <row r="24102" spans="6:6">
      <c r="F24102" s="2423"/>
    </row>
    <row r="24103" spans="6:6">
      <c r="F24103" s="2423"/>
    </row>
    <row r="24104" spans="6:6">
      <c r="F24104" s="2423"/>
    </row>
    <row r="24105" spans="6:6">
      <c r="F24105" s="2423"/>
    </row>
    <row r="24106" spans="6:6">
      <c r="F24106" s="2423"/>
    </row>
    <row r="24107" spans="6:6">
      <c r="F24107" s="2423"/>
    </row>
    <row r="24108" spans="6:6">
      <c r="F24108" s="2423"/>
    </row>
    <row r="24109" spans="6:6">
      <c r="F24109" s="2423"/>
    </row>
    <row r="24110" spans="6:6">
      <c r="F24110" s="2423"/>
    </row>
    <row r="24111" spans="6:6">
      <c r="F24111" s="2423"/>
    </row>
    <row r="24112" spans="6:6">
      <c r="F24112" s="2423"/>
    </row>
    <row r="24113" spans="6:6">
      <c r="F24113" s="2423"/>
    </row>
    <row r="24114" spans="6:6">
      <c r="F24114" s="2423"/>
    </row>
    <row r="24115" spans="6:6">
      <c r="F24115" s="2423"/>
    </row>
    <row r="24116" spans="6:6">
      <c r="F24116" s="2423"/>
    </row>
    <row r="24117" spans="6:6">
      <c r="F24117" s="2423"/>
    </row>
    <row r="24118" spans="6:6">
      <c r="F24118" s="2423"/>
    </row>
    <row r="24119" spans="6:6">
      <c r="F24119" s="2423"/>
    </row>
    <row r="24120" spans="6:6">
      <c r="F24120" s="2423"/>
    </row>
    <row r="24121" spans="6:6">
      <c r="F24121" s="2423"/>
    </row>
    <row r="24122" spans="6:6">
      <c r="F24122" s="2423"/>
    </row>
    <row r="24123" spans="6:6">
      <c r="F24123" s="2423"/>
    </row>
    <row r="24124" spans="6:6">
      <c r="F24124" s="2423"/>
    </row>
    <row r="24125" spans="6:6">
      <c r="F24125" s="2423"/>
    </row>
    <row r="24126" spans="6:6">
      <c r="F24126" s="2423"/>
    </row>
    <row r="24127" spans="6:6">
      <c r="F24127" s="2423"/>
    </row>
    <row r="24128" spans="6:6">
      <c r="F24128" s="2423"/>
    </row>
    <row r="24129" spans="6:6">
      <c r="F24129" s="2423"/>
    </row>
    <row r="24130" spans="6:6">
      <c r="F24130" s="2423"/>
    </row>
    <row r="24131" spans="6:6">
      <c r="F24131" s="2423"/>
    </row>
    <row r="24132" spans="6:6">
      <c r="F24132" s="2423"/>
    </row>
    <row r="24133" spans="6:6">
      <c r="F24133" s="2423"/>
    </row>
    <row r="24134" spans="6:6">
      <c r="F24134" s="2423"/>
    </row>
    <row r="24135" spans="6:6">
      <c r="F24135" s="2423"/>
    </row>
    <row r="24136" spans="6:6">
      <c r="F24136" s="2423"/>
    </row>
    <row r="24137" spans="6:6">
      <c r="F24137" s="2423"/>
    </row>
    <row r="24138" spans="6:6">
      <c r="F24138" s="2423"/>
    </row>
    <row r="24139" spans="6:6">
      <c r="F24139" s="2423"/>
    </row>
    <row r="24140" spans="6:6">
      <c r="F24140" s="2423"/>
    </row>
    <row r="24141" spans="6:6">
      <c r="F24141" s="2423"/>
    </row>
    <row r="24142" spans="6:6">
      <c r="F24142" s="2423"/>
    </row>
    <row r="24143" spans="6:6">
      <c r="F24143" s="2423"/>
    </row>
    <row r="24144" spans="6:6">
      <c r="F24144" s="2423"/>
    </row>
    <row r="24145" spans="6:6">
      <c r="F24145" s="2423"/>
    </row>
    <row r="24146" spans="6:6">
      <c r="F24146" s="2423"/>
    </row>
    <row r="24147" spans="6:6">
      <c r="F24147" s="2423"/>
    </row>
    <row r="24148" spans="6:6">
      <c r="F24148" s="2423"/>
    </row>
    <row r="24149" spans="6:6">
      <c r="F24149" s="2423"/>
    </row>
    <row r="24150" spans="6:6">
      <c r="F24150" s="2423"/>
    </row>
    <row r="24151" spans="6:6">
      <c r="F24151" s="2423"/>
    </row>
    <row r="24152" spans="6:6">
      <c r="F24152" s="2423"/>
    </row>
    <row r="24153" spans="6:6">
      <c r="F24153" s="2423"/>
    </row>
    <row r="24154" spans="6:6">
      <c r="F24154" s="2423"/>
    </row>
    <row r="24155" spans="6:6">
      <c r="F24155" s="2423"/>
    </row>
    <row r="24156" spans="6:6">
      <c r="F24156" s="2423"/>
    </row>
    <row r="24157" spans="6:6">
      <c r="F24157" s="2423"/>
    </row>
    <row r="24158" spans="6:6">
      <c r="F24158" s="2423"/>
    </row>
    <row r="24159" spans="6:6">
      <c r="F24159" s="2423"/>
    </row>
    <row r="24160" spans="6:6">
      <c r="F24160" s="2423"/>
    </row>
    <row r="24161" spans="6:6">
      <c r="F24161" s="2423"/>
    </row>
    <row r="24162" spans="6:6">
      <c r="F24162" s="2423"/>
    </row>
    <row r="24163" spans="6:6">
      <c r="F24163" s="2423"/>
    </row>
    <row r="24164" spans="6:6">
      <c r="F24164" s="2423"/>
    </row>
    <row r="24165" spans="6:6">
      <c r="F24165" s="2423"/>
    </row>
    <row r="24166" spans="6:6">
      <c r="F24166" s="2423"/>
    </row>
    <row r="24167" spans="6:6">
      <c r="F24167" s="2423"/>
    </row>
    <row r="24168" spans="6:6">
      <c r="F24168" s="2423"/>
    </row>
    <row r="24169" spans="6:6">
      <c r="F24169" s="2423"/>
    </row>
    <row r="24170" spans="6:6">
      <c r="F24170" s="2423"/>
    </row>
    <row r="24171" spans="6:6">
      <c r="F24171" s="2423"/>
    </row>
    <row r="24172" spans="6:6">
      <c r="F24172" s="2423"/>
    </row>
    <row r="24173" spans="6:6">
      <c r="F24173" s="2423"/>
    </row>
    <row r="24174" spans="6:6">
      <c r="F24174" s="2423"/>
    </row>
    <row r="24175" spans="6:6">
      <c r="F24175" s="2423"/>
    </row>
    <row r="24176" spans="6:6">
      <c r="F24176" s="2423"/>
    </row>
    <row r="24177" spans="6:6">
      <c r="F24177" s="2423"/>
    </row>
    <row r="24178" spans="6:6">
      <c r="F24178" s="2423"/>
    </row>
    <row r="24179" spans="6:6">
      <c r="F24179" s="2423"/>
    </row>
    <row r="24180" spans="6:6">
      <c r="F24180" s="2423"/>
    </row>
    <row r="24181" spans="6:6">
      <c r="F24181" s="2423"/>
    </row>
    <row r="24182" spans="6:6">
      <c r="F24182" s="2423"/>
    </row>
    <row r="24183" spans="6:6">
      <c r="F24183" s="2423"/>
    </row>
    <row r="24184" spans="6:6">
      <c r="F24184" s="2423"/>
    </row>
    <row r="24185" spans="6:6">
      <c r="F24185" s="2423"/>
    </row>
    <row r="24186" spans="6:6">
      <c r="F24186" s="2423"/>
    </row>
    <row r="24187" spans="6:6">
      <c r="F24187" s="2423"/>
    </row>
    <row r="24188" spans="6:6">
      <c r="F24188" s="2423"/>
    </row>
    <row r="24189" spans="6:6">
      <c r="F24189" s="2423"/>
    </row>
    <row r="24190" spans="6:6">
      <c r="F24190" s="2423"/>
    </row>
    <row r="24191" spans="6:6">
      <c r="F24191" s="2423"/>
    </row>
    <row r="24192" spans="6:6">
      <c r="F24192" s="2423"/>
    </row>
    <row r="24193" spans="6:6">
      <c r="F24193" s="2423"/>
    </row>
    <row r="24194" spans="6:6">
      <c r="F24194" s="2423"/>
    </row>
    <row r="24195" spans="6:6">
      <c r="F24195" s="2423"/>
    </row>
    <row r="24196" spans="6:6">
      <c r="F24196" s="2423"/>
    </row>
    <row r="24197" spans="6:6">
      <c r="F24197" s="2423"/>
    </row>
    <row r="24198" spans="6:6">
      <c r="F24198" s="2423"/>
    </row>
    <row r="24199" spans="6:6">
      <c r="F24199" s="2423"/>
    </row>
    <row r="24200" spans="6:6">
      <c r="F24200" s="2423"/>
    </row>
    <row r="24201" spans="6:6">
      <c r="F24201" s="2423"/>
    </row>
    <row r="24202" spans="6:6">
      <c r="F24202" s="2423"/>
    </row>
    <row r="24203" spans="6:6">
      <c r="F24203" s="2423"/>
    </row>
    <row r="24204" spans="6:6">
      <c r="F24204" s="2423"/>
    </row>
    <row r="24205" spans="6:6">
      <c r="F24205" s="2423"/>
    </row>
    <row r="24206" spans="6:6">
      <c r="F24206" s="2423"/>
    </row>
    <row r="24207" spans="6:6">
      <c r="F24207" s="2423"/>
    </row>
    <row r="24208" spans="6:6">
      <c r="F24208" s="2423"/>
    </row>
    <row r="24209" spans="6:6">
      <c r="F24209" s="2423"/>
    </row>
    <row r="24210" spans="6:6">
      <c r="F24210" s="2423"/>
    </row>
    <row r="24211" spans="6:6">
      <c r="F24211" s="2423"/>
    </row>
    <row r="24212" spans="6:6">
      <c r="F24212" s="2423"/>
    </row>
    <row r="24213" spans="6:6">
      <c r="F24213" s="2423"/>
    </row>
    <row r="24214" spans="6:6">
      <c r="F24214" s="2423"/>
    </row>
    <row r="24215" spans="6:6">
      <c r="F24215" s="2423"/>
    </row>
    <row r="24216" spans="6:6">
      <c r="F24216" s="2423"/>
    </row>
    <row r="24217" spans="6:6">
      <c r="F24217" s="2423"/>
    </row>
    <row r="24218" spans="6:6">
      <c r="F24218" s="2423"/>
    </row>
    <row r="24219" spans="6:6">
      <c r="F24219" s="2423"/>
    </row>
    <row r="24220" spans="6:6">
      <c r="F24220" s="2423"/>
    </row>
    <row r="24221" spans="6:6">
      <c r="F24221" s="2423"/>
    </row>
    <row r="24222" spans="6:6">
      <c r="F24222" s="2423"/>
    </row>
    <row r="24223" spans="6:6">
      <c r="F24223" s="2423"/>
    </row>
    <row r="24224" spans="6:6">
      <c r="F24224" s="2423"/>
    </row>
    <row r="24225" spans="6:6">
      <c r="F24225" s="2423"/>
    </row>
    <row r="24226" spans="6:6">
      <c r="F24226" s="2423"/>
    </row>
    <row r="24227" spans="6:6">
      <c r="F24227" s="2423"/>
    </row>
    <row r="24228" spans="6:6">
      <c r="F24228" s="2423"/>
    </row>
    <row r="24229" spans="6:6">
      <c r="F24229" s="2423"/>
    </row>
    <row r="24230" spans="6:6">
      <c r="F24230" s="2423"/>
    </row>
    <row r="24231" spans="6:6">
      <c r="F24231" s="2423"/>
    </row>
    <row r="24232" spans="6:6">
      <c r="F24232" s="2423"/>
    </row>
    <row r="24233" spans="6:6">
      <c r="F24233" s="2423"/>
    </row>
    <row r="24234" spans="6:6">
      <c r="F24234" s="2423"/>
    </row>
    <row r="24235" spans="6:6">
      <c r="F24235" s="2423"/>
    </row>
    <row r="24236" spans="6:6">
      <c r="F24236" s="2423"/>
    </row>
    <row r="24237" spans="6:6">
      <c r="F24237" s="2423"/>
    </row>
    <row r="24238" spans="6:6">
      <c r="F24238" s="2423"/>
    </row>
    <row r="24239" spans="6:6">
      <c r="F24239" s="2423"/>
    </row>
    <row r="24240" spans="6:6">
      <c r="F24240" s="2423"/>
    </row>
    <row r="24241" spans="6:6">
      <c r="F24241" s="2423"/>
    </row>
    <row r="24242" spans="6:6">
      <c r="F24242" s="2423"/>
    </row>
    <row r="24243" spans="6:6">
      <c r="F24243" s="2423"/>
    </row>
    <row r="24244" spans="6:6">
      <c r="F24244" s="2423"/>
    </row>
    <row r="24245" spans="6:6">
      <c r="F24245" s="2423"/>
    </row>
    <row r="24246" spans="6:6">
      <c r="F24246" s="2423"/>
    </row>
    <row r="24247" spans="6:6">
      <c r="F24247" s="2423"/>
    </row>
    <row r="24248" spans="6:6">
      <c r="F24248" s="2423"/>
    </row>
    <row r="24249" spans="6:6">
      <c r="F24249" s="2423"/>
    </row>
    <row r="24250" spans="6:6">
      <c r="F24250" s="2423"/>
    </row>
    <row r="24251" spans="6:6">
      <c r="F24251" s="2423"/>
    </row>
    <row r="24252" spans="6:6">
      <c r="F24252" s="2423"/>
    </row>
    <row r="24253" spans="6:6">
      <c r="F24253" s="2423"/>
    </row>
    <row r="24254" spans="6:6">
      <c r="F24254" s="2423"/>
    </row>
    <row r="24255" spans="6:6">
      <c r="F24255" s="2423"/>
    </row>
    <row r="24256" spans="6:6">
      <c r="F24256" s="2423"/>
    </row>
    <row r="24257" spans="6:6">
      <c r="F24257" s="2423"/>
    </row>
    <row r="24258" spans="6:6">
      <c r="F24258" s="2423"/>
    </row>
    <row r="24259" spans="6:6">
      <c r="F24259" s="2423"/>
    </row>
    <row r="24260" spans="6:6">
      <c r="F24260" s="2423"/>
    </row>
    <row r="24261" spans="6:6">
      <c r="F24261" s="2423"/>
    </row>
    <row r="24262" spans="6:6">
      <c r="F24262" s="2423"/>
    </row>
    <row r="24263" spans="6:6">
      <c r="F24263" s="2423"/>
    </row>
    <row r="24264" spans="6:6">
      <c r="F24264" s="2423"/>
    </row>
    <row r="24265" spans="6:6">
      <c r="F24265" s="2423"/>
    </row>
    <row r="24266" spans="6:6">
      <c r="F24266" s="2423"/>
    </row>
    <row r="24267" spans="6:6">
      <c r="F24267" s="2423"/>
    </row>
    <row r="24268" spans="6:6">
      <c r="F24268" s="2423"/>
    </row>
    <row r="24269" spans="6:6">
      <c r="F24269" s="2423"/>
    </row>
    <row r="24270" spans="6:6">
      <c r="F24270" s="2423"/>
    </row>
    <row r="24271" spans="6:6">
      <c r="F24271" s="2423"/>
    </row>
    <row r="24272" spans="6:6">
      <c r="F24272" s="2423"/>
    </row>
    <row r="24273" spans="6:6">
      <c r="F24273" s="2423"/>
    </row>
    <row r="24274" spans="6:6">
      <c r="F24274" s="2423"/>
    </row>
    <row r="24275" spans="6:6">
      <c r="F24275" s="2423"/>
    </row>
    <row r="24276" spans="6:6">
      <c r="F24276" s="2423"/>
    </row>
    <row r="24277" spans="6:6">
      <c r="F24277" s="2423"/>
    </row>
    <row r="24278" spans="6:6">
      <c r="F24278" s="2423"/>
    </row>
    <row r="24279" spans="6:6">
      <c r="F24279" s="2423"/>
    </row>
    <row r="24280" spans="6:6">
      <c r="F24280" s="2423"/>
    </row>
    <row r="24281" spans="6:6">
      <c r="F24281" s="2423"/>
    </row>
    <row r="24282" spans="6:6">
      <c r="F24282" s="2423"/>
    </row>
    <row r="24283" spans="6:6">
      <c r="F24283" s="2423"/>
    </row>
    <row r="24284" spans="6:6">
      <c r="F24284" s="2423"/>
    </row>
    <row r="24285" spans="6:6">
      <c r="F24285" s="2423"/>
    </row>
    <row r="24286" spans="6:6">
      <c r="F24286" s="2423"/>
    </row>
    <row r="24287" spans="6:6">
      <c r="F24287" s="2423"/>
    </row>
    <row r="24288" spans="6:6">
      <c r="F24288" s="2423"/>
    </row>
    <row r="24289" spans="6:6">
      <c r="F24289" s="2423"/>
    </row>
    <row r="24290" spans="6:6">
      <c r="F24290" s="2423"/>
    </row>
    <row r="24291" spans="6:6">
      <c r="F24291" s="2423"/>
    </row>
    <row r="24292" spans="6:6">
      <c r="F24292" s="2423"/>
    </row>
    <row r="24293" spans="6:6">
      <c r="F24293" s="2423"/>
    </row>
    <row r="24294" spans="6:6">
      <c r="F24294" s="2423"/>
    </row>
    <row r="24295" spans="6:6">
      <c r="F24295" s="2423"/>
    </row>
    <row r="24296" spans="6:6">
      <c r="F24296" s="2423"/>
    </row>
    <row r="24297" spans="6:6">
      <c r="F24297" s="2423"/>
    </row>
    <row r="24298" spans="6:6">
      <c r="F24298" s="2423"/>
    </row>
    <row r="24299" spans="6:6">
      <c r="F24299" s="2423"/>
    </row>
    <row r="24300" spans="6:6">
      <c r="F24300" s="2423"/>
    </row>
    <row r="24301" spans="6:6">
      <c r="F24301" s="2423"/>
    </row>
    <row r="24302" spans="6:6">
      <c r="F24302" s="2423"/>
    </row>
    <row r="24303" spans="6:6">
      <c r="F24303" s="2423"/>
    </row>
    <row r="24304" spans="6:6">
      <c r="F24304" s="2423"/>
    </row>
    <row r="24305" spans="6:6">
      <c r="F24305" s="2423"/>
    </row>
    <row r="24306" spans="6:6">
      <c r="F24306" s="2423"/>
    </row>
    <row r="24307" spans="6:6">
      <c r="F24307" s="2423"/>
    </row>
    <row r="24308" spans="6:6">
      <c r="F24308" s="2423"/>
    </row>
    <row r="24309" spans="6:6">
      <c r="F24309" s="2423"/>
    </row>
    <row r="24310" spans="6:6">
      <c r="F24310" s="2423"/>
    </row>
    <row r="24311" spans="6:6">
      <c r="F24311" s="2423"/>
    </row>
    <row r="24312" spans="6:6">
      <c r="F24312" s="2423"/>
    </row>
    <row r="24313" spans="6:6">
      <c r="F24313" s="2423"/>
    </row>
    <row r="24314" spans="6:6">
      <c r="F24314" s="2423"/>
    </row>
    <row r="24315" spans="6:6">
      <c r="F24315" s="2423"/>
    </row>
    <row r="24316" spans="6:6">
      <c r="F24316" s="2423"/>
    </row>
    <row r="24317" spans="6:6">
      <c r="F24317" s="2423"/>
    </row>
    <row r="24318" spans="6:6">
      <c r="F24318" s="2423"/>
    </row>
    <row r="24319" spans="6:6">
      <c r="F24319" s="2423"/>
    </row>
    <row r="24320" spans="6:6">
      <c r="F24320" s="2423"/>
    </row>
    <row r="24321" spans="6:6">
      <c r="F24321" s="2423"/>
    </row>
    <row r="24322" spans="6:6">
      <c r="F24322" s="2423"/>
    </row>
    <row r="24323" spans="6:6">
      <c r="F24323" s="2423"/>
    </row>
    <row r="24324" spans="6:6">
      <c r="F24324" s="2423"/>
    </row>
    <row r="24325" spans="6:6">
      <c r="F24325" s="2423"/>
    </row>
    <row r="24326" spans="6:6">
      <c r="F24326" s="2423"/>
    </row>
    <row r="24327" spans="6:6">
      <c r="F24327" s="2423"/>
    </row>
    <row r="24328" spans="6:6">
      <c r="F24328" s="2423"/>
    </row>
    <row r="24329" spans="6:6">
      <c r="F24329" s="2423"/>
    </row>
    <row r="24330" spans="6:6">
      <c r="F24330" s="2423"/>
    </row>
    <row r="24331" spans="6:6">
      <c r="F24331" s="2423"/>
    </row>
    <row r="24332" spans="6:6">
      <c r="F24332" s="2423"/>
    </row>
    <row r="24333" spans="6:6">
      <c r="F24333" s="2423"/>
    </row>
    <row r="24334" spans="6:6">
      <c r="F24334" s="2423"/>
    </row>
    <row r="24335" spans="6:6">
      <c r="F24335" s="2423"/>
    </row>
    <row r="24336" spans="6:6">
      <c r="F24336" s="2423"/>
    </row>
    <row r="24337" spans="6:6">
      <c r="F24337" s="2423"/>
    </row>
    <row r="24338" spans="6:6">
      <c r="F24338" s="2423"/>
    </row>
    <row r="24339" spans="6:6">
      <c r="F24339" s="2423"/>
    </row>
    <row r="24340" spans="6:6">
      <c r="F24340" s="2423"/>
    </row>
    <row r="24341" spans="6:6">
      <c r="F24341" s="2423"/>
    </row>
    <row r="24342" spans="6:6">
      <c r="F24342" s="2423"/>
    </row>
    <row r="24343" spans="6:6">
      <c r="F24343" s="2423"/>
    </row>
    <row r="24344" spans="6:6">
      <c r="F24344" s="2423"/>
    </row>
    <row r="24345" spans="6:6">
      <c r="F24345" s="2423"/>
    </row>
    <row r="24346" spans="6:6">
      <c r="F24346" s="2423"/>
    </row>
    <row r="24347" spans="6:6">
      <c r="F24347" s="2423"/>
    </row>
    <row r="24348" spans="6:6">
      <c r="F24348" s="2423"/>
    </row>
    <row r="24349" spans="6:6">
      <c r="F24349" s="2423"/>
    </row>
    <row r="24350" spans="6:6">
      <c r="F24350" s="2423"/>
    </row>
    <row r="24351" spans="6:6">
      <c r="F24351" s="2423"/>
    </row>
    <row r="24352" spans="6:6">
      <c r="F24352" s="2423"/>
    </row>
    <row r="24353" spans="6:6">
      <c r="F24353" s="2423"/>
    </row>
    <row r="24354" spans="6:6">
      <c r="F24354" s="2423"/>
    </row>
    <row r="24355" spans="6:6">
      <c r="F24355" s="2423"/>
    </row>
    <row r="24356" spans="6:6">
      <c r="F24356" s="2423"/>
    </row>
    <row r="24357" spans="6:6">
      <c r="F24357" s="2423"/>
    </row>
    <row r="24358" spans="6:6">
      <c r="F24358" s="2423"/>
    </row>
    <row r="24359" spans="6:6">
      <c r="F24359" s="2423"/>
    </row>
    <row r="24360" spans="6:6">
      <c r="F24360" s="2423"/>
    </row>
    <row r="24361" spans="6:6">
      <c r="F24361" s="2423"/>
    </row>
    <row r="24362" spans="6:6">
      <c r="F24362" s="2423"/>
    </row>
    <row r="24363" spans="6:6">
      <c r="F24363" s="2423"/>
    </row>
    <row r="24364" spans="6:6">
      <c r="F24364" s="2423"/>
    </row>
    <row r="24365" spans="6:6">
      <c r="F24365" s="2423"/>
    </row>
    <row r="24366" spans="6:6">
      <c r="F24366" s="2423"/>
    </row>
    <row r="24367" spans="6:6">
      <c r="F24367" s="2423"/>
    </row>
    <row r="24368" spans="6:6">
      <c r="F24368" s="2423"/>
    </row>
    <row r="24369" spans="6:6">
      <c r="F24369" s="2423"/>
    </row>
    <row r="24370" spans="6:6">
      <c r="F24370" s="2423"/>
    </row>
    <row r="24371" spans="6:6">
      <c r="F24371" s="2423"/>
    </row>
    <row r="24372" spans="6:6">
      <c r="F24372" s="2423"/>
    </row>
    <row r="24373" spans="6:6">
      <c r="F24373" s="2423"/>
    </row>
    <row r="24374" spans="6:6">
      <c r="F24374" s="2423"/>
    </row>
    <row r="24375" spans="6:6">
      <c r="F24375" s="2423"/>
    </row>
    <row r="24376" spans="6:6">
      <c r="F24376" s="2423"/>
    </row>
    <row r="24377" spans="6:6">
      <c r="F24377" s="2423"/>
    </row>
    <row r="24378" spans="6:6">
      <c r="F24378" s="2423"/>
    </row>
    <row r="24379" spans="6:6">
      <c r="F24379" s="2423"/>
    </row>
    <row r="24380" spans="6:6">
      <c r="F24380" s="2423"/>
    </row>
    <row r="24381" spans="6:6">
      <c r="F24381" s="2423"/>
    </row>
    <row r="24382" spans="6:6">
      <c r="F24382" s="2423"/>
    </row>
    <row r="24383" spans="6:6">
      <c r="F24383" s="2423"/>
    </row>
    <row r="24384" spans="6:6">
      <c r="F24384" s="2423"/>
    </row>
    <row r="24385" spans="6:6">
      <c r="F24385" s="2423"/>
    </row>
    <row r="24386" spans="6:6">
      <c r="F24386" s="2423"/>
    </row>
    <row r="24387" spans="6:6">
      <c r="F24387" s="2423"/>
    </row>
    <row r="24388" spans="6:6">
      <c r="F24388" s="2423"/>
    </row>
    <row r="24389" spans="6:6">
      <c r="F24389" s="2423"/>
    </row>
    <row r="24390" spans="6:6">
      <c r="F24390" s="2423"/>
    </row>
    <row r="24391" spans="6:6">
      <c r="F24391" s="2423"/>
    </row>
    <row r="24392" spans="6:6">
      <c r="F24392" s="2423"/>
    </row>
    <row r="24393" spans="6:6">
      <c r="F24393" s="2423"/>
    </row>
    <row r="24394" spans="6:6">
      <c r="F24394" s="2423"/>
    </row>
    <row r="24395" spans="6:6">
      <c r="F24395" s="2423"/>
    </row>
    <row r="24396" spans="6:6">
      <c r="F24396" s="2423"/>
    </row>
    <row r="24397" spans="6:6">
      <c r="F24397" s="2423"/>
    </row>
    <row r="24398" spans="6:6">
      <c r="F24398" s="2423"/>
    </row>
    <row r="24399" spans="6:6">
      <c r="F24399" s="2423"/>
    </row>
    <row r="24400" spans="6:6">
      <c r="F24400" s="2423"/>
    </row>
    <row r="24401" spans="6:6">
      <c r="F24401" s="2423"/>
    </row>
    <row r="24402" spans="6:6">
      <c r="F24402" s="2423"/>
    </row>
    <row r="24403" spans="6:6">
      <c r="F24403" s="2423"/>
    </row>
    <row r="24404" spans="6:6">
      <c r="F24404" s="2423"/>
    </row>
    <row r="24405" spans="6:6">
      <c r="F24405" s="2423"/>
    </row>
    <row r="24406" spans="6:6">
      <c r="F24406" s="2423"/>
    </row>
    <row r="24407" spans="6:6">
      <c r="F24407" s="2423"/>
    </row>
    <row r="24408" spans="6:6">
      <c r="F24408" s="2423"/>
    </row>
    <row r="24409" spans="6:6">
      <c r="F24409" s="2423"/>
    </row>
    <row r="24410" spans="6:6">
      <c r="F24410" s="2423"/>
    </row>
    <row r="24411" spans="6:6">
      <c r="F24411" s="2423"/>
    </row>
    <row r="24412" spans="6:6">
      <c r="F24412" s="2423"/>
    </row>
    <row r="24413" spans="6:6">
      <c r="F24413" s="2423"/>
    </row>
    <row r="24414" spans="6:6">
      <c r="F24414" s="2423"/>
    </row>
    <row r="24415" spans="6:6">
      <c r="F24415" s="2423"/>
    </row>
    <row r="24416" spans="6:6">
      <c r="F24416" s="2423"/>
    </row>
    <row r="24417" spans="6:6">
      <c r="F24417" s="2423"/>
    </row>
    <row r="24418" spans="6:6">
      <c r="F24418" s="2423"/>
    </row>
    <row r="24419" spans="6:6">
      <c r="F24419" s="2423"/>
    </row>
    <row r="24420" spans="6:6">
      <c r="F24420" s="2423"/>
    </row>
    <row r="24421" spans="6:6">
      <c r="F24421" s="2423"/>
    </row>
    <row r="24422" spans="6:6">
      <c r="F24422" s="2423"/>
    </row>
    <row r="24423" spans="6:6">
      <c r="F24423" s="2423"/>
    </row>
    <row r="24424" spans="6:6">
      <c r="F24424" s="2423"/>
    </row>
    <row r="24425" spans="6:6">
      <c r="F24425" s="2423"/>
    </row>
    <row r="24426" spans="6:6">
      <c r="F24426" s="2423"/>
    </row>
    <row r="24427" spans="6:6">
      <c r="F24427" s="2423"/>
    </row>
    <row r="24428" spans="6:6">
      <c r="F24428" s="2423"/>
    </row>
    <row r="24429" spans="6:6">
      <c r="F24429" s="2423"/>
    </row>
    <row r="24430" spans="6:6">
      <c r="F24430" s="2423"/>
    </row>
    <row r="24431" spans="6:6">
      <c r="F24431" s="2423"/>
    </row>
    <row r="24432" spans="6:6">
      <c r="F24432" s="2423"/>
    </row>
    <row r="24433" spans="6:6">
      <c r="F24433" s="2423"/>
    </row>
    <row r="24434" spans="6:6">
      <c r="F24434" s="2423"/>
    </row>
    <row r="24435" spans="6:6">
      <c r="F24435" s="2423"/>
    </row>
    <row r="24436" spans="6:6">
      <c r="F24436" s="2423"/>
    </row>
    <row r="24437" spans="6:6">
      <c r="F24437" s="2423"/>
    </row>
    <row r="24438" spans="6:6">
      <c r="F24438" s="2423"/>
    </row>
    <row r="24439" spans="6:6">
      <c r="F24439" s="2423"/>
    </row>
    <row r="24440" spans="6:6">
      <c r="F24440" s="2423"/>
    </row>
    <row r="24441" spans="6:6">
      <c r="F24441" s="2423"/>
    </row>
    <row r="24442" spans="6:6">
      <c r="F24442" s="2423"/>
    </row>
    <row r="24443" spans="6:6">
      <c r="F24443" s="2423"/>
    </row>
    <row r="24444" spans="6:6">
      <c r="F24444" s="2423"/>
    </row>
    <row r="24445" spans="6:6">
      <c r="F24445" s="2423"/>
    </row>
    <row r="24446" spans="6:6">
      <c r="F24446" s="2423"/>
    </row>
    <row r="24447" spans="6:6">
      <c r="F24447" s="2423"/>
    </row>
    <row r="24448" spans="6:6">
      <c r="F24448" s="2423"/>
    </row>
    <row r="24449" spans="6:6">
      <c r="F24449" s="2423"/>
    </row>
    <row r="24450" spans="6:6">
      <c r="F24450" s="2423"/>
    </row>
    <row r="24451" spans="6:6">
      <c r="F24451" s="2423"/>
    </row>
    <row r="24452" spans="6:6">
      <c r="F24452" s="2423"/>
    </row>
    <row r="24453" spans="6:6">
      <c r="F24453" s="2423"/>
    </row>
    <row r="24454" spans="6:6">
      <c r="F24454" s="2423"/>
    </row>
    <row r="24455" spans="6:6">
      <c r="F24455" s="2423"/>
    </row>
    <row r="24456" spans="6:6">
      <c r="F24456" s="2423"/>
    </row>
    <row r="24457" spans="6:6">
      <c r="F24457" s="2423"/>
    </row>
    <row r="24458" spans="6:6">
      <c r="F24458" s="2423"/>
    </row>
    <row r="24459" spans="6:6">
      <c r="F24459" s="2423"/>
    </row>
    <row r="24460" spans="6:6">
      <c r="F24460" s="2423"/>
    </row>
    <row r="24461" spans="6:6">
      <c r="F24461" s="2423"/>
    </row>
    <row r="24462" spans="6:6">
      <c r="F24462" s="2423"/>
    </row>
    <row r="24463" spans="6:6">
      <c r="F24463" s="2423"/>
    </row>
    <row r="24464" spans="6:6">
      <c r="F24464" s="2423"/>
    </row>
    <row r="24465" spans="6:6">
      <c r="F24465" s="2423"/>
    </row>
    <row r="24466" spans="6:6">
      <c r="F24466" s="2423"/>
    </row>
    <row r="24467" spans="6:6">
      <c r="F24467" s="2423"/>
    </row>
    <row r="24468" spans="6:6">
      <c r="F24468" s="2423"/>
    </row>
    <row r="24469" spans="6:6">
      <c r="F24469" s="2423"/>
    </row>
    <row r="24470" spans="6:6">
      <c r="F24470" s="2423"/>
    </row>
    <row r="24471" spans="6:6">
      <c r="F24471" s="2423"/>
    </row>
    <row r="24472" spans="6:6">
      <c r="F24472" s="2423"/>
    </row>
    <row r="24473" spans="6:6">
      <c r="F24473" s="2423"/>
    </row>
    <row r="24474" spans="6:6">
      <c r="F24474" s="2423"/>
    </row>
    <row r="24475" spans="6:6">
      <c r="F24475" s="2423"/>
    </row>
    <row r="24476" spans="6:6">
      <c r="F24476" s="2423"/>
    </row>
    <row r="24477" spans="6:6">
      <c r="F24477" s="2423"/>
    </row>
    <row r="24478" spans="6:6">
      <c r="F24478" s="2423"/>
    </row>
    <row r="24479" spans="6:6">
      <c r="F24479" s="2423"/>
    </row>
    <row r="24480" spans="6:6">
      <c r="F24480" s="2423"/>
    </row>
    <row r="24481" spans="6:6">
      <c r="F24481" s="2423"/>
    </row>
    <row r="24482" spans="6:6">
      <c r="F24482" s="2423"/>
    </row>
    <row r="24483" spans="6:6">
      <c r="F24483" s="2423"/>
    </row>
    <row r="24484" spans="6:6">
      <c r="F24484" s="2423"/>
    </row>
    <row r="24485" spans="6:6">
      <c r="F24485" s="2423"/>
    </row>
    <row r="24486" spans="6:6">
      <c r="F24486" s="2423"/>
    </row>
    <row r="24487" spans="6:6">
      <c r="F24487" s="2423"/>
    </row>
    <row r="24488" spans="6:6">
      <c r="F24488" s="2423"/>
    </row>
    <row r="24489" spans="6:6">
      <c r="F24489" s="2423"/>
    </row>
    <row r="24490" spans="6:6">
      <c r="F24490" s="2423"/>
    </row>
    <row r="24491" spans="6:6">
      <c r="F24491" s="2423"/>
    </row>
    <row r="24492" spans="6:6">
      <c r="F24492" s="2423"/>
    </row>
    <row r="24493" spans="6:6">
      <c r="F24493" s="2423"/>
    </row>
    <row r="24494" spans="6:6">
      <c r="F24494" s="2423"/>
    </row>
    <row r="24495" spans="6:6">
      <c r="F24495" s="2423"/>
    </row>
    <row r="24496" spans="6:6">
      <c r="F24496" s="2423"/>
    </row>
    <row r="24497" spans="6:6">
      <c r="F24497" s="2423"/>
    </row>
    <row r="24498" spans="6:6">
      <c r="F24498" s="2423"/>
    </row>
    <row r="24499" spans="6:6">
      <c r="F24499" s="2423"/>
    </row>
    <row r="24500" spans="6:6">
      <c r="F24500" s="2423"/>
    </row>
    <row r="24501" spans="6:6">
      <c r="F24501" s="2423"/>
    </row>
    <row r="24502" spans="6:6">
      <c r="F24502" s="2423"/>
    </row>
    <row r="24503" spans="6:6">
      <c r="F24503" s="2423"/>
    </row>
    <row r="24504" spans="6:6">
      <c r="F24504" s="2423"/>
    </row>
    <row r="24505" spans="6:6">
      <c r="F24505" s="2423"/>
    </row>
    <row r="24506" spans="6:6">
      <c r="F24506" s="2423"/>
    </row>
    <row r="24507" spans="6:6">
      <c r="F24507" s="2423"/>
    </row>
    <row r="24508" spans="6:6">
      <c r="F24508" s="2423"/>
    </row>
    <row r="24509" spans="6:6">
      <c r="F24509" s="2423"/>
    </row>
    <row r="24510" spans="6:6">
      <c r="F24510" s="2423"/>
    </row>
    <row r="24511" spans="6:6">
      <c r="F24511" s="2423"/>
    </row>
    <row r="24512" spans="6:6">
      <c r="F24512" s="2423"/>
    </row>
    <row r="24513" spans="6:6">
      <c r="F24513" s="2423"/>
    </row>
    <row r="24514" spans="6:6">
      <c r="F24514" s="2423"/>
    </row>
    <row r="24515" spans="6:6">
      <c r="F24515" s="2423"/>
    </row>
    <row r="24516" spans="6:6">
      <c r="F24516" s="2423"/>
    </row>
    <row r="24517" spans="6:6">
      <c r="F24517" s="2423"/>
    </row>
    <row r="24518" spans="6:6">
      <c r="F24518" s="2423"/>
    </row>
    <row r="24519" spans="6:6">
      <c r="F24519" s="2423"/>
    </row>
    <row r="24520" spans="6:6">
      <c r="F24520" s="2423"/>
    </row>
    <row r="24521" spans="6:6">
      <c r="F24521" s="2423"/>
    </row>
    <row r="24522" spans="6:6">
      <c r="F24522" s="2423"/>
    </row>
    <row r="24523" spans="6:6">
      <c r="F24523" s="2423"/>
    </row>
    <row r="24524" spans="6:6">
      <c r="F24524" s="2423"/>
    </row>
    <row r="24525" spans="6:6">
      <c r="F24525" s="2423"/>
    </row>
    <row r="24526" spans="6:6">
      <c r="F24526" s="2423"/>
    </row>
    <row r="24527" spans="6:6">
      <c r="F24527" s="2423"/>
    </row>
    <row r="24528" spans="6:6">
      <c r="F24528" s="2423"/>
    </row>
    <row r="24529" spans="6:6">
      <c r="F24529" s="2423"/>
    </row>
    <row r="24530" spans="6:6">
      <c r="F24530" s="2423"/>
    </row>
    <row r="24531" spans="6:6">
      <c r="F24531" s="2423"/>
    </row>
    <row r="24532" spans="6:6">
      <c r="F24532" s="2423"/>
    </row>
    <row r="24533" spans="6:6">
      <c r="F24533" s="2423"/>
    </row>
    <row r="24534" spans="6:6">
      <c r="F24534" s="2423"/>
    </row>
    <row r="24535" spans="6:6">
      <c r="F24535" s="2423"/>
    </row>
    <row r="24536" spans="6:6">
      <c r="F24536" s="2423"/>
    </row>
    <row r="24537" spans="6:6">
      <c r="F24537" s="2423"/>
    </row>
    <row r="24538" spans="6:6">
      <c r="F24538" s="2423"/>
    </row>
    <row r="24539" spans="6:6">
      <c r="F24539" s="2423"/>
    </row>
    <row r="24540" spans="6:6">
      <c r="F24540" s="2423"/>
    </row>
    <row r="24541" spans="6:6">
      <c r="F24541" s="2423"/>
    </row>
    <row r="24542" spans="6:6">
      <c r="F24542" s="2423"/>
    </row>
    <row r="24543" spans="6:6">
      <c r="F24543" s="2423"/>
    </row>
    <row r="24544" spans="6:6">
      <c r="F24544" s="2423"/>
    </row>
    <row r="24545" spans="6:6">
      <c r="F24545" s="2423"/>
    </row>
    <row r="24546" spans="6:6">
      <c r="F24546" s="2423"/>
    </row>
    <row r="24547" spans="6:6">
      <c r="F24547" s="2423"/>
    </row>
    <row r="24548" spans="6:6">
      <c r="F24548" s="2423"/>
    </row>
    <row r="24549" spans="6:6">
      <c r="F24549" s="2423"/>
    </row>
    <row r="24550" spans="6:6">
      <c r="F24550" s="2423"/>
    </row>
    <row r="24551" spans="6:6">
      <c r="F24551" s="2423"/>
    </row>
    <row r="24552" spans="6:6">
      <c r="F24552" s="2423"/>
    </row>
    <row r="24553" spans="6:6">
      <c r="F24553" s="2423"/>
    </row>
    <row r="24554" spans="6:6">
      <c r="F24554" s="2423"/>
    </row>
    <row r="24555" spans="6:6">
      <c r="F24555" s="2423"/>
    </row>
    <row r="24556" spans="6:6">
      <c r="F24556" s="2423"/>
    </row>
    <row r="24557" spans="6:6">
      <c r="F24557" s="2423"/>
    </row>
    <row r="24558" spans="6:6">
      <c r="F24558" s="2423"/>
    </row>
    <row r="24559" spans="6:6">
      <c r="F24559" s="2423"/>
    </row>
    <row r="24560" spans="6:6">
      <c r="F24560" s="2423"/>
    </row>
    <row r="24561" spans="6:6">
      <c r="F24561" s="2423"/>
    </row>
    <row r="24562" spans="6:6">
      <c r="F24562" s="2423"/>
    </row>
    <row r="24563" spans="6:6">
      <c r="F24563" s="2423"/>
    </row>
    <row r="24564" spans="6:6">
      <c r="F24564" s="2423"/>
    </row>
    <row r="24565" spans="6:6">
      <c r="F24565" s="2423"/>
    </row>
    <row r="24566" spans="6:6">
      <c r="F24566" s="2423"/>
    </row>
    <row r="24567" spans="6:6">
      <c r="F24567" s="2423"/>
    </row>
    <row r="24568" spans="6:6">
      <c r="F24568" s="2423"/>
    </row>
    <row r="24569" spans="6:6">
      <c r="F24569" s="2423"/>
    </row>
    <row r="24570" spans="6:6">
      <c r="F24570" s="2423"/>
    </row>
    <row r="24571" spans="6:6">
      <c r="F24571" s="2423"/>
    </row>
    <row r="24572" spans="6:6">
      <c r="F24572" s="2423"/>
    </row>
    <row r="24573" spans="6:6">
      <c r="F24573" s="2423"/>
    </row>
    <row r="24574" spans="6:6">
      <c r="F24574" s="2423"/>
    </row>
    <row r="24575" spans="6:6">
      <c r="F24575" s="2423"/>
    </row>
    <row r="24576" spans="6:6">
      <c r="F24576" s="2423"/>
    </row>
    <row r="24577" spans="6:6">
      <c r="F24577" s="2423"/>
    </row>
    <row r="24578" spans="6:6">
      <c r="F24578" s="2423"/>
    </row>
    <row r="24579" spans="6:6">
      <c r="F24579" s="2423"/>
    </row>
    <row r="24580" spans="6:6">
      <c r="F24580" s="2423"/>
    </row>
    <row r="24581" spans="6:6">
      <c r="F24581" s="2423"/>
    </row>
    <row r="24582" spans="6:6">
      <c r="F24582" s="2423"/>
    </row>
    <row r="24583" spans="6:6">
      <c r="F24583" s="2423"/>
    </row>
    <row r="24584" spans="6:6">
      <c r="F24584" s="2423"/>
    </row>
    <row r="24585" spans="6:6">
      <c r="F24585" s="2423"/>
    </row>
    <row r="24586" spans="6:6">
      <c r="F24586" s="2423"/>
    </row>
    <row r="24587" spans="6:6">
      <c r="F24587" s="2423"/>
    </row>
    <row r="24588" spans="6:6">
      <c r="F24588" s="2423"/>
    </row>
    <row r="24589" spans="6:6">
      <c r="F24589" s="2423"/>
    </row>
    <row r="24590" spans="6:6">
      <c r="F24590" s="2423"/>
    </row>
    <row r="24591" spans="6:6">
      <c r="F24591" s="2423"/>
    </row>
    <row r="24592" spans="6:6">
      <c r="F24592" s="2423"/>
    </row>
    <row r="24593" spans="6:6">
      <c r="F24593" s="2423"/>
    </row>
    <row r="24594" spans="6:6">
      <c r="F24594" s="2423"/>
    </row>
    <row r="24595" spans="6:6">
      <c r="F24595" s="2423"/>
    </row>
    <row r="24596" spans="6:6">
      <c r="F24596" s="2423"/>
    </row>
    <row r="24597" spans="6:6">
      <c r="F24597" s="2423"/>
    </row>
    <row r="24598" spans="6:6">
      <c r="F24598" s="2423"/>
    </row>
    <row r="24599" spans="6:6">
      <c r="F24599" s="2423"/>
    </row>
    <row r="24600" spans="6:6">
      <c r="F24600" s="2423"/>
    </row>
    <row r="24601" spans="6:6">
      <c r="F24601" s="2423"/>
    </row>
    <row r="24602" spans="6:6">
      <c r="F24602" s="2423"/>
    </row>
    <row r="24603" spans="6:6">
      <c r="F24603" s="2423"/>
    </row>
    <row r="24604" spans="6:6">
      <c r="F24604" s="2423"/>
    </row>
    <row r="24605" spans="6:6">
      <c r="F24605" s="2423"/>
    </row>
    <row r="24606" spans="6:6">
      <c r="F24606" s="2423"/>
    </row>
    <row r="24607" spans="6:6">
      <c r="F24607" s="2423"/>
    </row>
    <row r="24608" spans="6:6">
      <c r="F24608" s="2423"/>
    </row>
    <row r="24609" spans="6:6">
      <c r="F24609" s="2423"/>
    </row>
    <row r="24610" spans="6:6">
      <c r="F24610" s="2423"/>
    </row>
    <row r="24611" spans="6:6">
      <c r="F24611" s="2423"/>
    </row>
    <row r="24612" spans="6:6">
      <c r="F24612" s="2423"/>
    </row>
    <row r="24613" spans="6:6">
      <c r="F24613" s="2423"/>
    </row>
    <row r="24614" spans="6:6">
      <c r="F24614" s="2423"/>
    </row>
    <row r="24615" spans="6:6">
      <c r="F24615" s="2423"/>
    </row>
    <row r="24616" spans="6:6">
      <c r="F24616" s="2423"/>
    </row>
    <row r="24617" spans="6:6">
      <c r="F24617" s="2423"/>
    </row>
    <row r="24618" spans="6:6">
      <c r="F24618" s="2423"/>
    </row>
    <row r="24619" spans="6:6">
      <c r="F24619" s="2423"/>
    </row>
    <row r="24620" spans="6:6">
      <c r="F24620" s="2423"/>
    </row>
    <row r="24621" spans="6:6">
      <c r="F24621" s="2423"/>
    </row>
    <row r="24622" spans="6:6">
      <c r="F24622" s="2423"/>
    </row>
    <row r="24623" spans="6:6">
      <c r="F24623" s="2423"/>
    </row>
    <row r="24624" spans="6:6">
      <c r="F24624" s="2423"/>
    </row>
    <row r="24625" spans="6:6">
      <c r="F24625" s="2423"/>
    </row>
    <row r="24626" spans="6:6">
      <c r="F24626" s="2423"/>
    </row>
    <row r="24627" spans="6:6">
      <c r="F24627" s="2423"/>
    </row>
    <row r="24628" spans="6:6">
      <c r="F24628" s="2423"/>
    </row>
    <row r="24629" spans="6:6">
      <c r="F24629" s="2423"/>
    </row>
    <row r="24630" spans="6:6">
      <c r="F24630" s="2423"/>
    </row>
    <row r="24631" spans="6:6">
      <c r="F24631" s="2423"/>
    </row>
    <row r="24632" spans="6:6">
      <c r="F24632" s="2423"/>
    </row>
    <row r="24633" spans="6:6">
      <c r="F24633" s="2423"/>
    </row>
    <row r="24634" spans="6:6">
      <c r="F24634" s="2423"/>
    </row>
    <row r="24635" spans="6:6">
      <c r="F24635" s="2423"/>
    </row>
    <row r="24636" spans="6:6">
      <c r="F24636" s="2423"/>
    </row>
    <row r="24637" spans="6:6">
      <c r="F24637" s="2423"/>
    </row>
    <row r="24638" spans="6:6">
      <c r="F24638" s="2423"/>
    </row>
    <row r="24639" spans="6:6">
      <c r="F24639" s="2423"/>
    </row>
    <row r="24640" spans="6:6">
      <c r="F24640" s="2423"/>
    </row>
    <row r="24641" spans="6:6">
      <c r="F24641" s="2423"/>
    </row>
    <row r="24642" spans="6:6">
      <c r="F24642" s="2423"/>
    </row>
    <row r="24643" spans="6:6">
      <c r="F24643" s="2423"/>
    </row>
    <row r="24644" spans="6:6">
      <c r="F24644" s="2423"/>
    </row>
    <row r="24645" spans="6:6">
      <c r="F24645" s="2423"/>
    </row>
    <row r="24646" spans="6:6">
      <c r="F24646" s="2423"/>
    </row>
    <row r="24647" spans="6:6">
      <c r="F24647" s="2423"/>
    </row>
    <row r="24648" spans="6:6">
      <c r="F24648" s="2423"/>
    </row>
    <row r="24649" spans="6:6">
      <c r="F24649" s="2423"/>
    </row>
    <row r="24650" spans="6:6">
      <c r="F24650" s="2423"/>
    </row>
    <row r="24651" spans="6:6">
      <c r="F24651" s="2423"/>
    </row>
    <row r="24652" spans="6:6">
      <c r="F24652" s="2423"/>
    </row>
    <row r="24653" spans="6:6">
      <c r="F24653" s="2423"/>
    </row>
    <row r="24654" spans="6:6">
      <c r="F24654" s="2423"/>
    </row>
    <row r="24655" spans="6:6">
      <c r="F24655" s="2423"/>
    </row>
    <row r="24656" spans="6:6">
      <c r="F24656" s="2423"/>
    </row>
    <row r="24657" spans="6:6">
      <c r="F24657" s="2423"/>
    </row>
    <row r="24658" spans="6:6">
      <c r="F24658" s="2423"/>
    </row>
    <row r="24659" spans="6:6">
      <c r="F24659" s="2423"/>
    </row>
    <row r="24660" spans="6:6">
      <c r="F24660" s="2423"/>
    </row>
    <row r="24661" spans="6:6">
      <c r="F24661" s="2423"/>
    </row>
    <row r="24662" spans="6:6">
      <c r="F24662" s="2423"/>
    </row>
    <row r="24663" spans="6:6">
      <c r="F24663" s="2423"/>
    </row>
    <row r="24664" spans="6:6">
      <c r="F24664" s="2423"/>
    </row>
    <row r="24665" spans="6:6">
      <c r="F24665" s="2423"/>
    </row>
    <row r="24666" spans="6:6">
      <c r="F24666" s="2423"/>
    </row>
    <row r="24667" spans="6:6">
      <c r="F24667" s="2423"/>
    </row>
    <row r="24668" spans="6:6">
      <c r="F24668" s="2423"/>
    </row>
    <row r="24669" spans="6:6">
      <c r="F24669" s="2423"/>
    </row>
    <row r="24670" spans="6:6">
      <c r="F24670" s="2423"/>
    </row>
    <row r="24671" spans="6:6">
      <c r="F24671" s="2423"/>
    </row>
    <row r="24672" spans="6:6">
      <c r="F24672" s="2423"/>
    </row>
    <row r="24673" spans="6:6">
      <c r="F24673" s="2423"/>
    </row>
    <row r="24674" spans="6:6">
      <c r="F24674" s="2423"/>
    </row>
    <row r="24675" spans="6:6">
      <c r="F24675" s="2423"/>
    </row>
    <row r="24676" spans="6:6">
      <c r="F24676" s="2423"/>
    </row>
    <row r="24677" spans="6:6">
      <c r="F24677" s="2423"/>
    </row>
    <row r="24678" spans="6:6">
      <c r="F24678" s="2423"/>
    </row>
    <row r="24679" spans="6:6">
      <c r="F24679" s="2423"/>
    </row>
    <row r="24680" spans="6:6">
      <c r="F24680" s="2423"/>
    </row>
    <row r="24681" spans="6:6">
      <c r="F24681" s="2423"/>
    </row>
    <row r="24682" spans="6:6">
      <c r="F24682" s="2423"/>
    </row>
    <row r="24683" spans="6:6">
      <c r="F24683" s="2423"/>
    </row>
    <row r="24684" spans="6:6">
      <c r="F24684" s="2423"/>
    </row>
    <row r="24685" spans="6:6">
      <c r="F24685" s="2423"/>
    </row>
    <row r="24686" spans="6:6">
      <c r="F24686" s="2423"/>
    </row>
    <row r="24687" spans="6:6">
      <c r="F24687" s="2423"/>
    </row>
    <row r="24688" spans="6:6">
      <c r="F24688" s="2423"/>
    </row>
    <row r="24689" spans="6:6">
      <c r="F24689" s="2423"/>
    </row>
    <row r="24690" spans="6:6">
      <c r="F24690" s="2423"/>
    </row>
    <row r="24691" spans="6:6">
      <c r="F24691" s="2423"/>
    </row>
    <row r="24692" spans="6:6">
      <c r="F24692" s="2423"/>
    </row>
    <row r="24693" spans="6:6">
      <c r="F24693" s="2423"/>
    </row>
    <row r="24694" spans="6:6">
      <c r="F24694" s="2423"/>
    </row>
    <row r="24695" spans="6:6">
      <c r="F24695" s="2423"/>
    </row>
    <row r="24696" spans="6:6">
      <c r="F24696" s="2423"/>
    </row>
    <row r="24697" spans="6:6">
      <c r="F24697" s="2423"/>
    </row>
    <row r="24698" spans="6:6">
      <c r="F24698" s="2423"/>
    </row>
    <row r="24699" spans="6:6">
      <c r="F24699" s="2423"/>
    </row>
    <row r="24700" spans="6:6">
      <c r="F24700" s="2423"/>
    </row>
    <row r="24701" spans="6:6">
      <c r="F24701" s="2423"/>
    </row>
    <row r="24702" spans="6:6">
      <c r="F24702" s="2423"/>
    </row>
    <row r="24703" spans="6:6">
      <c r="F24703" s="2423"/>
    </row>
    <row r="24704" spans="6:6">
      <c r="F24704" s="2423"/>
    </row>
    <row r="24705" spans="6:6">
      <c r="F24705" s="2423"/>
    </row>
    <row r="24706" spans="6:6">
      <c r="F24706" s="2423"/>
    </row>
    <row r="24707" spans="6:6">
      <c r="F24707" s="2423"/>
    </row>
    <row r="24708" spans="6:6">
      <c r="F24708" s="2423"/>
    </row>
    <row r="24709" spans="6:6">
      <c r="F24709" s="2423"/>
    </row>
    <row r="24710" spans="6:6">
      <c r="F24710" s="2423"/>
    </row>
    <row r="24711" spans="6:6">
      <c r="F24711" s="2423"/>
    </row>
    <row r="24712" spans="6:6">
      <c r="F24712" s="2423"/>
    </row>
    <row r="24713" spans="6:6">
      <c r="F24713" s="2423"/>
    </row>
    <row r="24714" spans="6:6">
      <c r="F24714" s="2423"/>
    </row>
    <row r="24715" spans="6:6">
      <c r="F24715" s="2423"/>
    </row>
    <row r="24716" spans="6:6">
      <c r="F24716" s="2423"/>
    </row>
    <row r="24717" spans="6:6">
      <c r="F24717" s="2423"/>
    </row>
    <row r="24718" spans="6:6">
      <c r="F24718" s="2423"/>
    </row>
    <row r="24719" spans="6:6">
      <c r="F24719" s="2423"/>
    </row>
    <row r="24720" spans="6:6">
      <c r="F24720" s="2423"/>
    </row>
    <row r="24721" spans="6:6">
      <c r="F24721" s="2423"/>
    </row>
    <row r="24722" spans="6:6">
      <c r="F24722" s="2423"/>
    </row>
    <row r="24723" spans="6:6">
      <c r="F24723" s="2423"/>
    </row>
    <row r="24724" spans="6:6">
      <c r="F24724" s="2423"/>
    </row>
    <row r="24725" spans="6:6">
      <c r="F24725" s="2423"/>
    </row>
    <row r="24726" spans="6:6">
      <c r="F24726" s="2423"/>
    </row>
    <row r="24727" spans="6:6">
      <c r="F24727" s="2423"/>
    </row>
    <row r="24728" spans="6:6">
      <c r="F24728" s="2423"/>
    </row>
    <row r="24729" spans="6:6">
      <c r="F24729" s="2423"/>
    </row>
    <row r="24730" spans="6:6">
      <c r="F24730" s="2423"/>
    </row>
    <row r="24731" spans="6:6">
      <c r="F24731" s="2423"/>
    </row>
    <row r="24732" spans="6:6">
      <c r="F24732" s="2423"/>
    </row>
    <row r="24733" spans="6:6">
      <c r="F24733" s="2423"/>
    </row>
    <row r="24734" spans="6:6">
      <c r="F24734" s="2423"/>
    </row>
    <row r="24735" spans="6:6">
      <c r="F24735" s="2423"/>
    </row>
    <row r="24736" spans="6:6">
      <c r="F24736" s="2423"/>
    </row>
    <row r="24737" spans="6:6">
      <c r="F24737" s="2423"/>
    </row>
    <row r="24738" spans="6:6">
      <c r="F24738" s="2423"/>
    </row>
    <row r="24739" spans="6:6">
      <c r="F24739" s="2423"/>
    </row>
    <row r="24740" spans="6:6">
      <c r="F24740" s="2423"/>
    </row>
    <row r="24741" spans="6:6">
      <c r="F24741" s="2423"/>
    </row>
    <row r="24742" spans="6:6">
      <c r="F24742" s="2423"/>
    </row>
    <row r="24743" spans="6:6">
      <c r="F24743" s="2423"/>
    </row>
    <row r="24744" spans="6:6">
      <c r="F24744" s="2423"/>
    </row>
    <row r="24745" spans="6:6">
      <c r="F24745" s="2423"/>
    </row>
    <row r="24746" spans="6:6">
      <c r="F24746" s="2423"/>
    </row>
    <row r="24747" spans="6:6">
      <c r="F24747" s="2423"/>
    </row>
    <row r="24748" spans="6:6">
      <c r="F24748" s="2423"/>
    </row>
    <row r="24749" spans="6:6">
      <c r="F24749" s="2423"/>
    </row>
    <row r="24750" spans="6:6">
      <c r="F24750" s="2423"/>
    </row>
    <row r="24751" spans="6:6">
      <c r="F24751" s="2423"/>
    </row>
    <row r="24752" spans="6:6">
      <c r="F24752" s="2423"/>
    </row>
    <row r="24753" spans="6:6">
      <c r="F24753" s="2423"/>
    </row>
    <row r="24754" spans="6:6">
      <c r="F24754" s="2423"/>
    </row>
    <row r="24755" spans="6:6">
      <c r="F24755" s="2423"/>
    </row>
    <row r="24756" spans="6:6">
      <c r="F24756" s="2423"/>
    </row>
    <row r="24757" spans="6:6">
      <c r="F24757" s="2423"/>
    </row>
    <row r="24758" spans="6:6">
      <c r="F24758" s="2423"/>
    </row>
    <row r="24759" spans="6:6">
      <c r="F24759" s="2423"/>
    </row>
    <row r="24760" spans="6:6">
      <c r="F24760" s="2423"/>
    </row>
    <row r="24761" spans="6:6">
      <c r="F24761" s="2423"/>
    </row>
    <row r="24762" spans="6:6">
      <c r="F24762" s="2423"/>
    </row>
    <row r="24763" spans="6:6">
      <c r="F24763" s="2423"/>
    </row>
    <row r="24764" spans="6:6">
      <c r="F24764" s="2423"/>
    </row>
    <row r="24765" spans="6:6">
      <c r="F24765" s="2423"/>
    </row>
    <row r="24766" spans="6:6">
      <c r="F24766" s="2423"/>
    </row>
    <row r="24767" spans="6:6">
      <c r="F24767" s="2423"/>
    </row>
    <row r="24768" spans="6:6">
      <c r="F24768" s="2423"/>
    </row>
    <row r="24769" spans="6:6">
      <c r="F24769" s="2423"/>
    </row>
    <row r="24770" spans="6:6">
      <c r="F24770" s="2423"/>
    </row>
    <row r="24771" spans="6:6">
      <c r="F24771" s="2423"/>
    </row>
    <row r="24772" spans="6:6">
      <c r="F24772" s="2423"/>
    </row>
    <row r="24773" spans="6:6">
      <c r="F24773" s="2423"/>
    </row>
    <row r="24774" spans="6:6">
      <c r="F24774" s="2423"/>
    </row>
    <row r="24775" spans="6:6">
      <c r="F24775" s="2423"/>
    </row>
    <row r="24776" spans="6:6">
      <c r="F24776" s="2423"/>
    </row>
    <row r="24777" spans="6:6">
      <c r="F24777" s="2423"/>
    </row>
    <row r="24778" spans="6:6">
      <c r="F24778" s="2423"/>
    </row>
    <row r="24779" spans="6:6">
      <c r="F24779" s="2423"/>
    </row>
    <row r="24780" spans="6:6">
      <c r="F24780" s="2423"/>
    </row>
    <row r="24781" spans="6:6">
      <c r="F24781" s="2423"/>
    </row>
    <row r="24782" spans="6:6">
      <c r="F24782" s="2423"/>
    </row>
    <row r="24783" spans="6:6">
      <c r="F24783" s="2423"/>
    </row>
    <row r="24784" spans="6:6">
      <c r="F24784" s="2423"/>
    </row>
    <row r="24785" spans="6:6">
      <c r="F24785" s="2423"/>
    </row>
    <row r="24786" spans="6:6">
      <c r="F24786" s="2423"/>
    </row>
    <row r="24787" spans="6:6">
      <c r="F24787" s="2423"/>
    </row>
    <row r="24788" spans="6:6">
      <c r="F24788" s="2423"/>
    </row>
    <row r="24789" spans="6:6">
      <c r="F24789" s="2423"/>
    </row>
    <row r="24790" spans="6:6">
      <c r="F24790" s="2423"/>
    </row>
    <row r="24791" spans="6:6">
      <c r="F24791" s="2423"/>
    </row>
    <row r="24792" spans="6:6">
      <c r="F24792" s="2423"/>
    </row>
    <row r="24793" spans="6:6">
      <c r="F24793" s="2423"/>
    </row>
    <row r="24794" spans="6:6">
      <c r="F24794" s="2423"/>
    </row>
    <row r="24795" spans="6:6">
      <c r="F24795" s="2423"/>
    </row>
    <row r="24796" spans="6:6">
      <c r="F24796" s="2423"/>
    </row>
    <row r="24797" spans="6:6">
      <c r="F24797" s="2423"/>
    </row>
    <row r="24798" spans="6:6">
      <c r="F24798" s="2423"/>
    </row>
    <row r="24799" spans="6:6">
      <c r="F24799" s="2423"/>
    </row>
    <row r="24800" spans="6:6">
      <c r="F24800" s="2423"/>
    </row>
    <row r="24801" spans="6:6">
      <c r="F24801" s="2423"/>
    </row>
    <row r="24802" spans="6:6">
      <c r="F24802" s="2423"/>
    </row>
    <row r="24803" spans="6:6">
      <c r="F24803" s="2423"/>
    </row>
    <row r="24804" spans="6:6">
      <c r="F24804" s="2423"/>
    </row>
    <row r="24805" spans="6:6">
      <c r="F24805" s="2423"/>
    </row>
    <row r="24806" spans="6:6">
      <c r="F24806" s="2423"/>
    </row>
    <row r="24807" spans="6:6">
      <c r="F24807" s="2423"/>
    </row>
    <row r="24808" spans="6:6">
      <c r="F24808" s="2423"/>
    </row>
    <row r="24809" spans="6:6">
      <c r="F24809" s="2423"/>
    </row>
    <row r="24810" spans="6:6">
      <c r="F24810" s="2423"/>
    </row>
    <row r="24811" spans="6:6">
      <c r="F24811" s="2423"/>
    </row>
    <row r="24812" spans="6:6">
      <c r="F24812" s="2423"/>
    </row>
    <row r="24813" spans="6:6">
      <c r="F24813" s="2423"/>
    </row>
    <row r="24814" spans="6:6">
      <c r="F24814" s="2423"/>
    </row>
    <row r="24815" spans="6:6">
      <c r="F24815" s="2423"/>
    </row>
    <row r="24816" spans="6:6">
      <c r="F24816" s="2423"/>
    </row>
    <row r="24817" spans="6:6">
      <c r="F24817" s="2423"/>
    </row>
    <row r="24818" spans="6:6">
      <c r="F24818" s="2423"/>
    </row>
    <row r="24819" spans="6:6">
      <c r="F24819" s="2423"/>
    </row>
    <row r="24820" spans="6:6">
      <c r="F24820" s="2423"/>
    </row>
    <row r="24821" spans="6:6">
      <c r="F24821" s="2423"/>
    </row>
    <row r="24822" spans="6:6">
      <c r="F24822" s="2423"/>
    </row>
    <row r="24823" spans="6:6">
      <c r="F24823" s="2423"/>
    </row>
    <row r="24824" spans="6:6">
      <c r="F24824" s="2423"/>
    </row>
    <row r="24825" spans="6:6">
      <c r="F24825" s="2423"/>
    </row>
    <row r="24826" spans="6:6">
      <c r="F24826" s="2423"/>
    </row>
    <row r="24827" spans="6:6">
      <c r="F24827" s="2423"/>
    </row>
    <row r="24828" spans="6:6">
      <c r="F24828" s="2423"/>
    </row>
    <row r="24829" spans="6:6">
      <c r="F24829" s="2423"/>
    </row>
    <row r="24830" spans="6:6">
      <c r="F24830" s="2423"/>
    </row>
    <row r="24831" spans="6:6">
      <c r="F24831" s="2423"/>
    </row>
    <row r="24832" spans="6:6">
      <c r="F24832" s="2423"/>
    </row>
    <row r="24833" spans="6:6">
      <c r="F24833" s="2423"/>
    </row>
    <row r="24834" spans="6:6">
      <c r="F24834" s="2423"/>
    </row>
    <row r="24835" spans="6:6">
      <c r="F24835" s="2423"/>
    </row>
    <row r="24836" spans="6:6">
      <c r="F24836" s="2423"/>
    </row>
    <row r="24837" spans="6:6">
      <c r="F24837" s="2423"/>
    </row>
    <row r="24838" spans="6:6">
      <c r="F24838" s="2423"/>
    </row>
    <row r="24839" spans="6:6">
      <c r="F24839" s="2423"/>
    </row>
    <row r="24840" spans="6:6">
      <c r="F24840" s="2423"/>
    </row>
    <row r="24841" spans="6:6">
      <c r="F24841" s="2423"/>
    </row>
    <row r="24842" spans="6:6">
      <c r="F24842" s="2423"/>
    </row>
    <row r="24843" spans="6:6">
      <c r="F24843" s="2423"/>
    </row>
    <row r="24844" spans="6:6">
      <c r="F24844" s="2423"/>
    </row>
    <row r="24845" spans="6:6">
      <c r="F24845" s="2423"/>
    </row>
    <row r="24846" spans="6:6">
      <c r="F24846" s="2423"/>
    </row>
    <row r="24847" spans="6:6">
      <c r="F24847" s="2423"/>
    </row>
    <row r="24848" spans="6:6">
      <c r="F24848" s="2423"/>
    </row>
    <row r="24849" spans="6:6">
      <c r="F24849" s="2423"/>
    </row>
    <row r="24850" spans="6:6">
      <c r="F24850" s="2423"/>
    </row>
    <row r="24851" spans="6:6">
      <c r="F24851" s="2423"/>
    </row>
    <row r="24852" spans="6:6">
      <c r="F24852" s="2423"/>
    </row>
    <row r="24853" spans="6:6">
      <c r="F24853" s="2423"/>
    </row>
    <row r="24854" spans="6:6">
      <c r="F24854" s="2423"/>
    </row>
    <row r="24855" spans="6:6">
      <c r="F24855" s="2423"/>
    </row>
    <row r="24856" spans="6:6">
      <c r="F24856" s="2423"/>
    </row>
    <row r="24857" spans="6:6">
      <c r="F24857" s="2423"/>
    </row>
    <row r="24858" spans="6:6">
      <c r="F24858" s="2423"/>
    </row>
    <row r="24859" spans="6:6">
      <c r="F24859" s="2423"/>
    </row>
    <row r="24860" spans="6:6">
      <c r="F24860" s="2423"/>
    </row>
    <row r="24861" spans="6:6">
      <c r="F24861" s="2423"/>
    </row>
    <row r="24862" spans="6:6">
      <c r="F24862" s="2423"/>
    </row>
    <row r="24863" spans="6:6">
      <c r="F24863" s="2423"/>
    </row>
    <row r="24864" spans="6:6">
      <c r="F24864" s="2423"/>
    </row>
    <row r="24865" spans="6:6">
      <c r="F24865" s="2423"/>
    </row>
    <row r="24866" spans="6:6">
      <c r="F24866" s="2423"/>
    </row>
    <row r="24867" spans="6:6">
      <c r="F24867" s="2423"/>
    </row>
    <row r="24868" spans="6:6">
      <c r="F24868" s="2423"/>
    </row>
    <row r="24869" spans="6:6">
      <c r="F24869" s="2423"/>
    </row>
    <row r="24870" spans="6:6">
      <c r="F24870" s="2423"/>
    </row>
    <row r="24871" spans="6:6">
      <c r="F24871" s="2423"/>
    </row>
    <row r="24872" spans="6:6">
      <c r="F24872" s="2423"/>
    </row>
    <row r="24873" spans="6:6">
      <c r="F24873" s="2423"/>
    </row>
    <row r="24874" spans="6:6">
      <c r="F24874" s="2423"/>
    </row>
    <row r="24875" spans="6:6">
      <c r="F24875" s="2423"/>
    </row>
    <row r="24876" spans="6:6">
      <c r="F24876" s="2423"/>
    </row>
    <row r="24877" spans="6:6">
      <c r="F24877" s="2423"/>
    </row>
    <row r="24878" spans="6:6">
      <c r="F24878" s="2423"/>
    </row>
    <row r="24879" spans="6:6">
      <c r="F24879" s="2423"/>
    </row>
    <row r="24880" spans="6:6">
      <c r="F24880" s="2423"/>
    </row>
    <row r="24881" spans="6:6">
      <c r="F24881" s="2423"/>
    </row>
    <row r="24882" spans="6:6">
      <c r="F24882" s="2423"/>
    </row>
    <row r="24883" spans="6:6">
      <c r="F24883" s="2423"/>
    </row>
    <row r="24884" spans="6:6">
      <c r="F24884" s="2423"/>
    </row>
    <row r="24885" spans="6:6">
      <c r="F24885" s="2423"/>
    </row>
    <row r="24886" spans="6:6">
      <c r="F24886" s="2423"/>
    </row>
    <row r="24887" spans="6:6">
      <c r="F24887" s="2423"/>
    </row>
    <row r="24888" spans="6:6">
      <c r="F24888" s="2423"/>
    </row>
    <row r="24889" spans="6:6">
      <c r="F24889" s="2423"/>
    </row>
    <row r="24890" spans="6:6">
      <c r="F24890" s="2423"/>
    </row>
    <row r="24891" spans="6:6">
      <c r="F24891" s="2423"/>
    </row>
    <row r="24892" spans="6:6">
      <c r="F24892" s="2423"/>
    </row>
    <row r="24893" spans="6:6">
      <c r="F24893" s="2423"/>
    </row>
    <row r="24894" spans="6:6">
      <c r="F24894" s="2423"/>
    </row>
    <row r="24895" spans="6:6">
      <c r="F24895" s="2423"/>
    </row>
    <row r="24896" spans="6:6">
      <c r="F24896" s="2423"/>
    </row>
    <row r="24897" spans="6:6">
      <c r="F24897" s="2423"/>
    </row>
    <row r="24898" spans="6:6">
      <c r="F24898" s="2423"/>
    </row>
    <row r="24899" spans="6:6">
      <c r="F24899" s="2423"/>
    </row>
    <row r="24900" spans="6:6">
      <c r="F24900" s="2423"/>
    </row>
    <row r="24901" spans="6:6">
      <c r="F24901" s="2423"/>
    </row>
    <row r="24902" spans="6:6">
      <c r="F24902" s="2423"/>
    </row>
    <row r="24903" spans="6:6">
      <c r="F24903" s="2423"/>
    </row>
    <row r="24904" spans="6:6">
      <c r="F24904" s="2423"/>
    </row>
    <row r="24905" spans="6:6">
      <c r="F24905" s="2423"/>
    </row>
    <row r="24906" spans="6:6">
      <c r="F24906" s="2423"/>
    </row>
    <row r="24907" spans="6:6">
      <c r="F24907" s="2423"/>
    </row>
    <row r="24908" spans="6:6">
      <c r="F24908" s="2423"/>
    </row>
    <row r="24909" spans="6:6">
      <c r="F24909" s="2423"/>
    </row>
    <row r="24910" spans="6:6">
      <c r="F24910" s="2423"/>
    </row>
    <row r="24911" spans="6:6">
      <c r="F24911" s="2423"/>
    </row>
    <row r="24912" spans="6:6">
      <c r="F24912" s="2423"/>
    </row>
    <row r="24913" spans="6:6">
      <c r="F24913" s="2423"/>
    </row>
    <row r="24914" spans="6:6">
      <c r="F24914" s="2423"/>
    </row>
    <row r="24915" spans="6:6">
      <c r="F24915" s="2423"/>
    </row>
    <row r="24916" spans="6:6">
      <c r="F24916" s="2423"/>
    </row>
    <row r="24917" spans="6:6">
      <c r="F24917" s="2423"/>
    </row>
    <row r="24918" spans="6:6">
      <c r="F24918" s="2423"/>
    </row>
    <row r="24919" spans="6:6">
      <c r="F24919" s="2423"/>
    </row>
    <row r="24920" spans="6:6">
      <c r="F24920" s="2423"/>
    </row>
    <row r="24921" spans="6:6">
      <c r="F24921" s="2423"/>
    </row>
    <row r="24922" spans="6:6">
      <c r="F24922" s="2423"/>
    </row>
    <row r="24923" spans="6:6">
      <c r="F24923" s="2423"/>
    </row>
    <row r="24924" spans="6:6">
      <c r="F24924" s="2423"/>
    </row>
    <row r="24925" spans="6:6">
      <c r="F24925" s="2423"/>
    </row>
    <row r="24926" spans="6:6">
      <c r="F24926" s="2423"/>
    </row>
    <row r="24927" spans="6:6">
      <c r="F24927" s="2423"/>
    </row>
    <row r="24928" spans="6:6">
      <c r="F24928" s="2423"/>
    </row>
    <row r="24929" spans="6:6">
      <c r="F24929" s="2423"/>
    </row>
    <row r="24930" spans="6:6">
      <c r="F24930" s="2423"/>
    </row>
    <row r="24931" spans="6:6">
      <c r="F24931" s="2423"/>
    </row>
    <row r="24932" spans="6:6">
      <c r="F24932" s="2423"/>
    </row>
    <row r="24933" spans="6:6">
      <c r="F24933" s="2423"/>
    </row>
    <row r="24934" spans="6:6">
      <c r="F24934" s="2423"/>
    </row>
    <row r="24935" spans="6:6">
      <c r="F24935" s="2423"/>
    </row>
    <row r="24936" spans="6:6">
      <c r="F24936" s="2423"/>
    </row>
    <row r="24937" spans="6:6">
      <c r="F24937" s="2423"/>
    </row>
    <row r="24938" spans="6:6">
      <c r="F24938" s="2423"/>
    </row>
    <row r="24939" spans="6:6">
      <c r="F24939" s="2423"/>
    </row>
    <row r="24940" spans="6:6">
      <c r="F24940" s="2423"/>
    </row>
    <row r="24941" spans="6:6">
      <c r="F24941" s="2423"/>
    </row>
    <row r="24942" spans="6:6">
      <c r="F24942" s="2423"/>
    </row>
    <row r="24943" spans="6:6">
      <c r="F24943" s="2423"/>
    </row>
    <row r="24944" spans="6:6">
      <c r="F24944" s="2423"/>
    </row>
    <row r="24945" spans="6:6">
      <c r="F24945" s="2423"/>
    </row>
    <row r="24946" spans="6:6">
      <c r="F24946" s="2423"/>
    </row>
    <row r="24947" spans="6:6">
      <c r="F24947" s="2423"/>
    </row>
    <row r="24948" spans="6:6">
      <c r="F24948" s="2423"/>
    </row>
    <row r="24949" spans="6:6">
      <c r="F24949" s="2423"/>
    </row>
    <row r="24950" spans="6:6">
      <c r="F24950" s="2423"/>
    </row>
    <row r="24951" spans="6:6">
      <c r="F24951" s="2423"/>
    </row>
    <row r="24952" spans="6:6">
      <c r="F24952" s="2423"/>
    </row>
    <row r="24953" spans="6:6">
      <c r="F24953" s="2423"/>
    </row>
    <row r="24954" spans="6:6">
      <c r="F24954" s="2423"/>
    </row>
    <row r="24955" spans="6:6">
      <c r="F24955" s="2423"/>
    </row>
    <row r="24956" spans="6:6">
      <c r="F24956" s="2423"/>
    </row>
    <row r="24957" spans="6:6">
      <c r="F24957" s="2423"/>
    </row>
    <row r="24958" spans="6:6">
      <c r="F24958" s="2423"/>
    </row>
    <row r="24959" spans="6:6">
      <c r="F24959" s="2423"/>
    </row>
    <row r="24960" spans="6:6">
      <c r="F24960" s="2423"/>
    </row>
    <row r="24961" spans="6:6">
      <c r="F24961" s="2423"/>
    </row>
    <row r="24962" spans="6:6">
      <c r="F24962" s="2423"/>
    </row>
    <row r="24963" spans="6:6">
      <c r="F24963" s="2423"/>
    </row>
    <row r="24964" spans="6:6">
      <c r="F24964" s="2423"/>
    </row>
    <row r="24965" spans="6:6">
      <c r="F24965" s="2423"/>
    </row>
    <row r="24966" spans="6:6">
      <c r="F24966" s="2423"/>
    </row>
    <row r="24967" spans="6:6">
      <c r="F24967" s="2423"/>
    </row>
    <row r="24968" spans="6:6">
      <c r="F24968" s="2423"/>
    </row>
    <row r="24969" spans="6:6">
      <c r="F24969" s="2423"/>
    </row>
    <row r="24970" spans="6:6">
      <c r="F24970" s="2423"/>
    </row>
    <row r="24971" spans="6:6">
      <c r="F24971" s="2423"/>
    </row>
    <row r="24972" spans="6:6">
      <c r="F24972" s="2423"/>
    </row>
    <row r="24973" spans="6:6">
      <c r="F24973" s="2423"/>
    </row>
    <row r="24974" spans="6:6">
      <c r="F24974" s="2423"/>
    </row>
    <row r="24975" spans="6:6">
      <c r="F24975" s="2423"/>
    </row>
    <row r="24976" spans="6:6">
      <c r="F24976" s="2423"/>
    </row>
    <row r="24977" spans="6:6">
      <c r="F24977" s="2423"/>
    </row>
    <row r="24978" spans="6:6">
      <c r="F24978" s="2423"/>
    </row>
    <row r="24979" spans="6:6">
      <c r="F24979" s="2423"/>
    </row>
    <row r="24980" spans="6:6">
      <c r="F24980" s="2423"/>
    </row>
    <row r="24981" spans="6:6">
      <c r="F24981" s="2423"/>
    </row>
    <row r="24982" spans="6:6">
      <c r="F24982" s="2423"/>
    </row>
    <row r="24983" spans="6:6">
      <c r="F24983" s="2423"/>
    </row>
    <row r="24984" spans="6:6">
      <c r="F24984" s="2423"/>
    </row>
    <row r="24985" spans="6:6">
      <c r="F24985" s="2423"/>
    </row>
    <row r="24986" spans="6:6">
      <c r="F24986" s="2423"/>
    </row>
    <row r="24987" spans="6:6">
      <c r="F24987" s="2423"/>
    </row>
    <row r="24988" spans="6:6">
      <c r="F24988" s="2423"/>
    </row>
    <row r="24989" spans="6:6">
      <c r="F24989" s="2423"/>
    </row>
    <row r="24990" spans="6:6">
      <c r="F24990" s="2423"/>
    </row>
    <row r="24991" spans="6:6">
      <c r="F24991" s="2423"/>
    </row>
    <row r="24992" spans="6:6">
      <c r="F24992" s="2423"/>
    </row>
    <row r="24993" spans="6:6">
      <c r="F24993" s="2423"/>
    </row>
    <row r="24994" spans="6:6">
      <c r="F24994" s="2423"/>
    </row>
    <row r="24995" spans="6:6">
      <c r="F24995" s="2423"/>
    </row>
    <row r="24996" spans="6:6">
      <c r="F24996" s="2423"/>
    </row>
    <row r="24997" spans="6:6">
      <c r="F24997" s="2423"/>
    </row>
    <row r="24998" spans="6:6">
      <c r="F24998" s="2423"/>
    </row>
    <row r="24999" spans="6:6">
      <c r="F24999" s="2423"/>
    </row>
    <row r="25000" spans="6:6">
      <c r="F25000" s="2423"/>
    </row>
    <row r="25001" spans="6:6">
      <c r="F25001" s="2423"/>
    </row>
    <row r="25002" spans="6:6">
      <c r="F25002" s="2423"/>
    </row>
    <row r="25003" spans="6:6">
      <c r="F25003" s="2423"/>
    </row>
    <row r="25004" spans="6:6">
      <c r="F25004" s="2423"/>
    </row>
    <row r="25005" spans="6:6">
      <c r="F25005" s="2423"/>
    </row>
    <row r="25006" spans="6:6">
      <c r="F25006" s="2423"/>
    </row>
    <row r="25007" spans="6:6">
      <c r="F25007" s="2423"/>
    </row>
    <row r="25008" spans="6:6">
      <c r="F25008" s="2423"/>
    </row>
    <row r="25009" spans="6:6">
      <c r="F25009" s="2423"/>
    </row>
    <row r="25010" spans="6:6">
      <c r="F25010" s="2423"/>
    </row>
    <row r="25011" spans="6:6">
      <c r="F25011" s="2423"/>
    </row>
    <row r="25012" spans="6:6">
      <c r="F25012" s="2423"/>
    </row>
    <row r="25013" spans="6:6">
      <c r="F25013" s="2423"/>
    </row>
    <row r="25014" spans="6:6">
      <c r="F25014" s="2423"/>
    </row>
    <row r="25015" spans="6:6">
      <c r="F25015" s="2423"/>
    </row>
    <row r="25016" spans="6:6">
      <c r="F25016" s="2423"/>
    </row>
    <row r="25017" spans="6:6">
      <c r="F25017" s="2423"/>
    </row>
    <row r="25018" spans="6:6">
      <c r="F25018" s="2423"/>
    </row>
    <row r="25019" spans="6:6">
      <c r="F25019" s="2423"/>
    </row>
    <row r="25020" spans="6:6">
      <c r="F25020" s="2423"/>
    </row>
    <row r="25021" spans="6:6">
      <c r="F25021" s="2423"/>
    </row>
    <row r="25022" spans="6:6">
      <c r="F25022" s="2423"/>
    </row>
    <row r="25023" spans="6:6">
      <c r="F25023" s="2423"/>
    </row>
    <row r="25024" spans="6:6">
      <c r="F25024" s="2423"/>
    </row>
    <row r="25025" spans="6:6">
      <c r="F25025" s="2423"/>
    </row>
    <row r="25026" spans="6:6">
      <c r="F25026" s="2423"/>
    </row>
    <row r="25027" spans="6:6">
      <c r="F25027" s="2423"/>
    </row>
    <row r="25028" spans="6:6">
      <c r="F25028" s="2423"/>
    </row>
    <row r="25029" spans="6:6">
      <c r="F25029" s="2423"/>
    </row>
    <row r="25030" spans="6:6">
      <c r="F25030" s="2423"/>
    </row>
    <row r="25031" spans="6:6">
      <c r="F25031" s="2423"/>
    </row>
    <row r="25032" spans="6:6">
      <c r="F25032" s="2423"/>
    </row>
    <row r="25033" spans="6:6">
      <c r="F25033" s="2423"/>
    </row>
    <row r="25034" spans="6:6">
      <c r="F25034" s="2423"/>
    </row>
    <row r="25035" spans="6:6">
      <c r="F25035" s="2423"/>
    </row>
    <row r="25036" spans="6:6">
      <c r="F25036" s="2423"/>
    </row>
    <row r="25037" spans="6:6">
      <c r="F25037" s="2423"/>
    </row>
    <row r="25038" spans="6:6">
      <c r="F25038" s="2423"/>
    </row>
    <row r="25039" spans="6:6">
      <c r="F25039" s="2423"/>
    </row>
    <row r="25040" spans="6:6">
      <c r="F25040" s="2423"/>
    </row>
    <row r="25041" spans="6:6">
      <c r="F25041" s="2423"/>
    </row>
    <row r="25042" spans="6:6">
      <c r="F25042" s="2423"/>
    </row>
    <row r="25043" spans="6:6">
      <c r="F25043" s="2423"/>
    </row>
    <row r="25044" spans="6:6">
      <c r="F25044" s="2423"/>
    </row>
    <row r="25045" spans="6:6">
      <c r="F25045" s="2423"/>
    </row>
    <row r="25046" spans="6:6">
      <c r="F25046" s="2423"/>
    </row>
    <row r="25047" spans="6:6">
      <c r="F25047" s="2423"/>
    </row>
    <row r="25048" spans="6:6">
      <c r="F25048" s="2423"/>
    </row>
    <row r="25049" spans="6:6">
      <c r="F25049" s="2423"/>
    </row>
    <row r="25050" spans="6:6">
      <c r="F25050" s="2423"/>
    </row>
    <row r="25051" spans="6:6">
      <c r="F25051" s="2423"/>
    </row>
    <row r="25052" spans="6:6">
      <c r="F25052" s="2423"/>
    </row>
    <row r="25053" spans="6:6">
      <c r="F25053" s="2423"/>
    </row>
    <row r="25054" spans="6:6">
      <c r="F25054" s="2423"/>
    </row>
    <row r="25055" spans="6:6">
      <c r="F25055" s="2423"/>
    </row>
    <row r="25056" spans="6:6">
      <c r="F25056" s="2423"/>
    </row>
    <row r="25057" spans="6:6">
      <c r="F25057" s="2423"/>
    </row>
    <row r="25058" spans="6:6">
      <c r="F25058" s="2423"/>
    </row>
    <row r="25059" spans="6:6">
      <c r="F25059" s="2423"/>
    </row>
    <row r="25060" spans="6:6">
      <c r="F25060" s="2423"/>
    </row>
    <row r="25061" spans="6:6">
      <c r="F25061" s="2423"/>
    </row>
    <row r="25062" spans="6:6">
      <c r="F25062" s="2423"/>
    </row>
    <row r="25063" spans="6:6">
      <c r="F25063" s="2423"/>
    </row>
    <row r="25064" spans="6:6">
      <c r="F25064" s="2423"/>
    </row>
    <row r="25065" spans="6:6">
      <c r="F25065" s="2423"/>
    </row>
    <row r="25066" spans="6:6">
      <c r="F25066" s="2423"/>
    </row>
    <row r="25067" spans="6:6">
      <c r="F25067" s="2423"/>
    </row>
    <row r="25068" spans="6:6">
      <c r="F25068" s="2423"/>
    </row>
    <row r="25069" spans="6:6">
      <c r="F25069" s="2423"/>
    </row>
    <row r="25070" spans="6:6">
      <c r="F25070" s="2423"/>
    </row>
    <row r="25071" spans="6:6">
      <c r="F25071" s="2423"/>
    </row>
    <row r="25072" spans="6:6">
      <c r="F25072" s="2423"/>
    </row>
    <row r="25073" spans="6:6">
      <c r="F25073" s="2423"/>
    </row>
    <row r="25074" spans="6:6">
      <c r="F25074" s="2423"/>
    </row>
    <row r="25075" spans="6:6">
      <c r="F25075" s="2423"/>
    </row>
    <row r="25076" spans="6:6">
      <c r="F25076" s="2423"/>
    </row>
    <row r="25077" spans="6:6">
      <c r="F25077" s="2423"/>
    </row>
    <row r="25078" spans="6:6">
      <c r="F25078" s="2423"/>
    </row>
    <row r="25079" spans="6:6">
      <c r="F25079" s="2423"/>
    </row>
    <row r="25080" spans="6:6">
      <c r="F25080" s="2423"/>
    </row>
    <row r="25081" spans="6:6">
      <c r="F25081" s="2423"/>
    </row>
    <row r="25082" spans="6:6">
      <c r="F25082" s="2423"/>
    </row>
    <row r="25083" spans="6:6">
      <c r="F25083" s="2423"/>
    </row>
    <row r="25084" spans="6:6">
      <c r="F25084" s="2423"/>
    </row>
    <row r="25085" spans="6:6">
      <c r="F25085" s="2423"/>
    </row>
    <row r="25086" spans="6:6">
      <c r="F25086" s="2423"/>
    </row>
    <row r="25087" spans="6:6">
      <c r="F25087" s="2423"/>
    </row>
    <row r="25088" spans="6:6">
      <c r="F25088" s="2423"/>
    </row>
    <row r="25089" spans="6:6">
      <c r="F25089" s="2423"/>
    </row>
    <row r="25090" spans="6:6">
      <c r="F25090" s="2423"/>
    </row>
    <row r="25091" spans="6:6">
      <c r="F25091" s="2423"/>
    </row>
    <row r="25092" spans="6:6">
      <c r="F25092" s="2423"/>
    </row>
    <row r="25093" spans="6:6">
      <c r="F25093" s="2423"/>
    </row>
    <row r="25094" spans="6:6">
      <c r="F25094" s="2423"/>
    </row>
    <row r="25095" spans="6:6">
      <c r="F25095" s="2423"/>
    </row>
    <row r="25096" spans="6:6">
      <c r="F25096" s="2423"/>
    </row>
    <row r="25097" spans="6:6">
      <c r="F25097" s="2423"/>
    </row>
    <row r="25098" spans="6:6">
      <c r="F25098" s="2423"/>
    </row>
    <row r="25099" spans="6:6">
      <c r="F25099" s="2423"/>
    </row>
    <row r="25100" spans="6:6">
      <c r="F25100" s="2423"/>
    </row>
    <row r="25101" spans="6:6">
      <c r="F25101" s="2423"/>
    </row>
    <row r="25102" spans="6:6">
      <c r="F25102" s="2423"/>
    </row>
    <row r="25103" spans="6:6">
      <c r="F25103" s="2423"/>
    </row>
    <row r="25104" spans="6:6">
      <c r="F25104" s="2423"/>
    </row>
    <row r="25105" spans="6:6">
      <c r="F25105" s="2423"/>
    </row>
    <row r="25106" spans="6:6">
      <c r="F25106" s="2423"/>
    </row>
    <row r="25107" spans="6:6">
      <c r="F25107" s="2423"/>
    </row>
    <row r="25108" spans="6:6">
      <c r="F25108" s="2423"/>
    </row>
    <row r="25109" spans="6:6">
      <c r="F25109" s="2423"/>
    </row>
    <row r="25110" spans="6:6">
      <c r="F25110" s="2423"/>
    </row>
    <row r="25111" spans="6:6">
      <c r="F25111" s="2423"/>
    </row>
    <row r="25112" spans="6:6">
      <c r="F25112" s="2423"/>
    </row>
    <row r="25113" spans="6:6">
      <c r="F25113" s="2423"/>
    </row>
    <row r="25114" spans="6:6">
      <c r="F25114" s="2423"/>
    </row>
    <row r="25115" spans="6:6">
      <c r="F25115" s="2423"/>
    </row>
    <row r="25116" spans="6:6">
      <c r="F25116" s="2423"/>
    </row>
    <row r="25117" spans="6:6">
      <c r="F25117" s="2423"/>
    </row>
    <row r="25118" spans="6:6">
      <c r="F25118" s="2423"/>
    </row>
    <row r="25119" spans="6:6">
      <c r="F25119" s="2423"/>
    </row>
    <row r="25120" spans="6:6">
      <c r="F25120" s="2423"/>
    </row>
    <row r="25121" spans="6:6">
      <c r="F25121" s="2423"/>
    </row>
    <row r="25122" spans="6:6">
      <c r="F25122" s="2423"/>
    </row>
    <row r="25123" spans="6:6">
      <c r="F25123" s="2423"/>
    </row>
    <row r="25124" spans="6:6">
      <c r="F25124" s="2423"/>
    </row>
    <row r="25125" spans="6:6">
      <c r="F25125" s="2423"/>
    </row>
    <row r="25126" spans="6:6">
      <c r="F25126" s="2423"/>
    </row>
    <row r="25127" spans="6:6">
      <c r="F25127" s="2423"/>
    </row>
    <row r="25128" spans="6:6">
      <c r="F25128" s="2423"/>
    </row>
    <row r="25129" spans="6:6">
      <c r="F25129" s="2423"/>
    </row>
    <row r="25130" spans="6:6">
      <c r="F25130" s="2423"/>
    </row>
    <row r="25131" spans="6:6">
      <c r="F25131" s="2423"/>
    </row>
    <row r="25132" spans="6:6">
      <c r="F25132" s="2423"/>
    </row>
    <row r="25133" spans="6:6">
      <c r="F25133" s="2423"/>
    </row>
    <row r="25134" spans="6:6">
      <c r="F25134" s="2423"/>
    </row>
    <row r="25135" spans="6:6">
      <c r="F25135" s="2423"/>
    </row>
    <row r="25136" spans="6:6">
      <c r="F25136" s="2423"/>
    </row>
    <row r="25137" spans="6:6">
      <c r="F25137" s="2423"/>
    </row>
    <row r="25138" spans="6:6">
      <c r="F25138" s="2423"/>
    </row>
    <row r="25139" spans="6:6">
      <c r="F25139" s="2423"/>
    </row>
    <row r="25140" spans="6:6">
      <c r="F25140" s="2423"/>
    </row>
    <row r="25141" spans="6:6">
      <c r="F25141" s="2423"/>
    </row>
    <row r="25142" spans="6:6">
      <c r="F25142" s="2423"/>
    </row>
    <row r="25143" spans="6:6">
      <c r="F25143" s="2423"/>
    </row>
    <row r="25144" spans="6:6">
      <c r="F25144" s="2423"/>
    </row>
    <row r="25145" spans="6:6">
      <c r="F25145" s="2423"/>
    </row>
    <row r="25146" spans="6:6">
      <c r="F25146" s="2423"/>
    </row>
    <row r="25147" spans="6:6">
      <c r="F25147" s="2423"/>
    </row>
    <row r="25148" spans="6:6">
      <c r="F25148" s="2423"/>
    </row>
    <row r="25149" spans="6:6">
      <c r="F25149" s="2423"/>
    </row>
    <row r="25150" spans="6:6">
      <c r="F25150" s="2423"/>
    </row>
    <row r="25151" spans="6:6">
      <c r="F25151" s="2423"/>
    </row>
    <row r="25152" spans="6:6">
      <c r="F25152" s="2423"/>
    </row>
    <row r="25153" spans="6:6">
      <c r="F25153" s="2423"/>
    </row>
    <row r="25154" spans="6:6">
      <c r="F25154" s="2423"/>
    </row>
    <row r="25155" spans="6:6">
      <c r="F25155" s="2423"/>
    </row>
    <row r="25156" spans="6:6">
      <c r="F25156" s="2423"/>
    </row>
    <row r="25157" spans="6:6">
      <c r="F25157" s="2423"/>
    </row>
    <row r="25158" spans="6:6">
      <c r="F25158" s="2423"/>
    </row>
    <row r="25159" spans="6:6">
      <c r="F25159" s="2423"/>
    </row>
    <row r="25160" spans="6:6">
      <c r="F25160" s="2423"/>
    </row>
    <row r="25161" spans="6:6">
      <c r="F25161" s="2423"/>
    </row>
    <row r="25162" spans="6:6">
      <c r="F25162" s="2423"/>
    </row>
    <row r="25163" spans="6:6">
      <c r="F25163" s="2423"/>
    </row>
    <row r="25164" spans="6:6">
      <c r="F25164" s="2423"/>
    </row>
    <row r="25165" spans="6:6">
      <c r="F25165" s="2423"/>
    </row>
    <row r="25166" spans="6:6">
      <c r="F25166" s="2423"/>
    </row>
    <row r="25167" spans="6:6">
      <c r="F25167" s="2423"/>
    </row>
    <row r="25168" spans="6:6">
      <c r="F25168" s="2423"/>
    </row>
    <row r="25169" spans="6:6">
      <c r="F25169" s="2423"/>
    </row>
    <row r="25170" spans="6:6">
      <c r="F25170" s="2423"/>
    </row>
    <row r="25171" spans="6:6">
      <c r="F25171" s="2423"/>
    </row>
    <row r="25172" spans="6:6">
      <c r="F25172" s="2423"/>
    </row>
    <row r="25173" spans="6:6">
      <c r="F25173" s="2423"/>
    </row>
    <row r="25174" spans="6:6">
      <c r="F25174" s="2423"/>
    </row>
    <row r="25175" spans="6:6">
      <c r="F25175" s="2423"/>
    </row>
    <row r="25176" spans="6:6">
      <c r="F25176" s="2423"/>
    </row>
    <row r="25177" spans="6:6">
      <c r="F25177" s="2423"/>
    </row>
    <row r="25178" spans="6:6">
      <c r="F25178" s="2423"/>
    </row>
    <row r="25179" spans="6:6">
      <c r="F25179" s="2423"/>
    </row>
    <row r="25180" spans="6:6">
      <c r="F25180" s="2423"/>
    </row>
    <row r="25181" spans="6:6">
      <c r="F25181" s="2423"/>
    </row>
    <row r="25182" spans="6:6">
      <c r="F25182" s="2423"/>
    </row>
    <row r="25183" spans="6:6">
      <c r="F25183" s="2423"/>
    </row>
    <row r="25184" spans="6:6">
      <c r="F25184" s="2423"/>
    </row>
    <row r="25185" spans="6:6">
      <c r="F25185" s="2423"/>
    </row>
    <row r="25186" spans="6:6">
      <c r="F25186" s="2423"/>
    </row>
    <row r="25187" spans="6:6">
      <c r="F25187" s="2423"/>
    </row>
    <row r="25188" spans="6:6">
      <c r="F25188" s="2423"/>
    </row>
    <row r="25189" spans="6:6">
      <c r="F25189" s="2423"/>
    </row>
    <row r="25190" spans="6:6">
      <c r="F25190" s="2423"/>
    </row>
    <row r="25191" spans="6:6">
      <c r="F25191" s="2423"/>
    </row>
    <row r="25192" spans="6:6">
      <c r="F25192" s="2423"/>
    </row>
    <row r="25193" spans="6:6">
      <c r="F25193" s="2423"/>
    </row>
    <row r="25194" spans="6:6">
      <c r="F25194" s="2423"/>
    </row>
    <row r="25195" spans="6:6">
      <c r="F25195" s="2423"/>
    </row>
    <row r="25196" spans="6:6">
      <c r="F25196" s="2423"/>
    </row>
    <row r="25197" spans="6:6">
      <c r="F25197" s="2423"/>
    </row>
    <row r="25198" spans="6:6">
      <c r="F25198" s="2423"/>
    </row>
    <row r="25199" spans="6:6">
      <c r="F25199" s="2423"/>
    </row>
    <row r="25200" spans="6:6">
      <c r="F25200" s="2423"/>
    </row>
    <row r="25201" spans="6:6">
      <c r="F25201" s="2423"/>
    </row>
    <row r="25202" spans="6:6">
      <c r="F25202" s="2423"/>
    </row>
    <row r="25203" spans="6:6">
      <c r="F25203" s="2423"/>
    </row>
    <row r="25204" spans="6:6">
      <c r="F25204" s="2423"/>
    </row>
    <row r="25205" spans="6:6">
      <c r="F25205" s="2423"/>
    </row>
    <row r="25206" spans="6:6">
      <c r="F25206" s="2423"/>
    </row>
    <row r="25207" spans="6:6">
      <c r="F25207" s="2423"/>
    </row>
    <row r="25208" spans="6:6">
      <c r="F25208" s="2423"/>
    </row>
    <row r="25209" spans="6:6">
      <c r="F25209" s="2423"/>
    </row>
    <row r="25210" spans="6:6">
      <c r="F25210" s="2423"/>
    </row>
    <row r="25211" spans="6:6">
      <c r="F25211" s="2423"/>
    </row>
    <row r="25212" spans="6:6">
      <c r="F25212" s="2423"/>
    </row>
    <row r="25213" spans="6:6">
      <c r="F25213" s="2423"/>
    </row>
    <row r="25214" spans="6:6">
      <c r="F25214" s="2423"/>
    </row>
    <row r="25215" spans="6:6">
      <c r="F25215" s="2423"/>
    </row>
    <row r="25216" spans="6:6">
      <c r="F25216" s="2423"/>
    </row>
    <row r="25217" spans="6:6">
      <c r="F25217" s="2423"/>
    </row>
    <row r="25218" spans="6:6">
      <c r="F25218" s="2423"/>
    </row>
    <row r="25219" spans="6:6">
      <c r="F25219" s="2423"/>
    </row>
    <row r="25220" spans="6:6">
      <c r="F25220" s="2423"/>
    </row>
    <row r="25221" spans="6:6">
      <c r="F25221" s="2423"/>
    </row>
    <row r="25222" spans="6:6">
      <c r="F25222" s="2423"/>
    </row>
    <row r="25223" spans="6:6">
      <c r="F25223" s="2423"/>
    </row>
    <row r="25224" spans="6:6">
      <c r="F25224" s="2423"/>
    </row>
    <row r="25225" spans="6:6">
      <c r="F25225" s="2423"/>
    </row>
    <row r="25226" spans="6:6">
      <c r="F25226" s="2423"/>
    </row>
    <row r="25227" spans="6:6">
      <c r="F25227" s="2423"/>
    </row>
    <row r="25228" spans="6:6">
      <c r="F25228" s="2423"/>
    </row>
    <row r="25229" spans="6:6">
      <c r="F25229" s="2423"/>
    </row>
    <row r="25230" spans="6:6">
      <c r="F25230" s="2423"/>
    </row>
    <row r="25231" spans="6:6">
      <c r="F25231" s="2423"/>
    </row>
    <row r="25232" spans="6:6">
      <c r="F25232" s="2423"/>
    </row>
    <row r="25233" spans="6:6">
      <c r="F25233" s="2423"/>
    </row>
    <row r="25234" spans="6:6">
      <c r="F25234" s="2423"/>
    </row>
    <row r="25235" spans="6:6">
      <c r="F25235" s="2423"/>
    </row>
    <row r="25236" spans="6:6">
      <c r="F25236" s="2423"/>
    </row>
    <row r="25237" spans="6:6">
      <c r="F25237" s="2423"/>
    </row>
    <row r="25238" spans="6:6">
      <c r="F25238" s="2423"/>
    </row>
    <row r="25239" spans="6:6">
      <c r="F25239" s="2423"/>
    </row>
    <row r="25240" spans="6:6">
      <c r="F25240" s="2423"/>
    </row>
    <row r="25241" spans="6:6">
      <c r="F25241" s="2423"/>
    </row>
    <row r="25242" spans="6:6">
      <c r="F25242" s="2423"/>
    </row>
    <row r="25243" spans="6:6">
      <c r="F25243" s="2423"/>
    </row>
    <row r="25244" spans="6:6">
      <c r="F25244" s="2423"/>
    </row>
    <row r="25245" spans="6:6">
      <c r="F25245" s="2423"/>
    </row>
    <row r="25246" spans="6:6">
      <c r="F25246" s="2423"/>
    </row>
    <row r="25247" spans="6:6">
      <c r="F25247" s="2423"/>
    </row>
    <row r="25248" spans="6:6">
      <c r="F25248" s="2423"/>
    </row>
    <row r="25249" spans="6:6">
      <c r="F25249" s="2423"/>
    </row>
    <row r="25250" spans="6:6">
      <c r="F25250" s="2423"/>
    </row>
    <row r="25251" spans="6:6">
      <c r="F25251" s="2423"/>
    </row>
    <row r="25252" spans="6:6">
      <c r="F25252" s="2423"/>
    </row>
    <row r="25253" spans="6:6">
      <c r="F25253" s="2423"/>
    </row>
    <row r="25254" spans="6:6">
      <c r="F25254" s="2423"/>
    </row>
    <row r="25255" spans="6:6">
      <c r="F25255" s="2423"/>
    </row>
    <row r="25256" spans="6:6">
      <c r="F25256" s="2423"/>
    </row>
    <row r="25257" spans="6:6">
      <c r="F25257" s="2423"/>
    </row>
    <row r="25258" spans="6:6">
      <c r="F25258" s="2423"/>
    </row>
    <row r="25259" spans="6:6">
      <c r="F25259" s="2423"/>
    </row>
    <row r="25260" spans="6:6">
      <c r="F25260" s="2423"/>
    </row>
    <row r="25261" spans="6:6">
      <c r="F25261" s="2423"/>
    </row>
    <row r="25262" spans="6:6">
      <c r="F25262" s="2423"/>
    </row>
    <row r="25263" spans="6:6">
      <c r="F25263" s="2423"/>
    </row>
    <row r="25264" spans="6:6">
      <c r="F25264" s="2423"/>
    </row>
    <row r="25265" spans="6:6">
      <c r="F25265" s="2423"/>
    </row>
    <row r="25266" spans="6:6">
      <c r="F25266" s="2423"/>
    </row>
    <row r="25267" spans="6:6">
      <c r="F25267" s="2423"/>
    </row>
    <row r="25268" spans="6:6">
      <c r="F25268" s="2423"/>
    </row>
    <row r="25269" spans="6:6">
      <c r="F25269" s="2423"/>
    </row>
    <row r="25270" spans="6:6">
      <c r="F25270" s="2423"/>
    </row>
    <row r="25271" spans="6:6">
      <c r="F25271" s="2423"/>
    </row>
    <row r="25272" spans="6:6">
      <c r="F25272" s="2423"/>
    </row>
    <row r="25273" spans="6:6">
      <c r="F25273" s="2423"/>
    </row>
    <row r="25274" spans="6:6">
      <c r="F25274" s="2423"/>
    </row>
    <row r="25275" spans="6:6">
      <c r="F25275" s="2423"/>
    </row>
    <row r="25276" spans="6:6">
      <c r="F25276" s="2423"/>
    </row>
    <row r="25277" spans="6:6">
      <c r="F25277" s="2423"/>
    </row>
    <row r="25278" spans="6:6">
      <c r="F25278" s="2423"/>
    </row>
    <row r="25279" spans="6:6">
      <c r="F25279" s="2423"/>
    </row>
    <row r="25280" spans="6:6">
      <c r="F25280" s="2423"/>
    </row>
    <row r="25281" spans="6:6">
      <c r="F25281" s="2423"/>
    </row>
    <row r="25282" spans="6:6">
      <c r="F25282" s="2423"/>
    </row>
    <row r="25283" spans="6:6">
      <c r="F25283" s="2423"/>
    </row>
    <row r="25284" spans="6:6">
      <c r="F25284" s="2423"/>
    </row>
    <row r="25285" spans="6:6">
      <c r="F25285" s="2423"/>
    </row>
    <row r="25286" spans="6:6">
      <c r="F25286" s="2423"/>
    </row>
    <row r="25287" spans="6:6">
      <c r="F25287" s="2423"/>
    </row>
    <row r="25288" spans="6:6">
      <c r="F25288" s="2423"/>
    </row>
    <row r="25289" spans="6:6">
      <c r="F25289" s="2423"/>
    </row>
    <row r="25290" spans="6:6">
      <c r="F25290" s="2423"/>
    </row>
    <row r="25291" spans="6:6">
      <c r="F25291" s="2423"/>
    </row>
    <row r="25292" spans="6:6">
      <c r="F25292" s="2423"/>
    </row>
    <row r="25293" spans="6:6">
      <c r="F25293" s="2423"/>
    </row>
    <row r="25294" spans="6:6">
      <c r="F25294" s="2423"/>
    </row>
    <row r="25295" spans="6:6">
      <c r="F25295" s="2423"/>
    </row>
    <row r="25296" spans="6:6">
      <c r="F25296" s="2423"/>
    </row>
    <row r="25297" spans="6:6">
      <c r="F25297" s="2423"/>
    </row>
    <row r="25298" spans="6:6">
      <c r="F25298" s="2423"/>
    </row>
    <row r="25299" spans="6:6">
      <c r="F25299" s="2423"/>
    </row>
    <row r="25300" spans="6:6">
      <c r="F25300" s="2423"/>
    </row>
    <row r="25301" spans="6:6">
      <c r="F25301" s="2423"/>
    </row>
    <row r="25302" spans="6:6">
      <c r="F25302" s="2423"/>
    </row>
    <row r="25303" spans="6:6">
      <c r="F25303" s="2423"/>
    </row>
    <row r="25304" spans="6:6">
      <c r="F25304" s="2423"/>
    </row>
    <row r="25305" spans="6:6">
      <c r="F25305" s="2423"/>
    </row>
    <row r="25306" spans="6:6">
      <c r="F25306" s="2423"/>
    </row>
    <row r="25307" spans="6:6">
      <c r="F25307" s="2423"/>
    </row>
    <row r="25308" spans="6:6">
      <c r="F25308" s="2423"/>
    </row>
    <row r="25309" spans="6:6">
      <c r="F25309" s="2423"/>
    </row>
    <row r="25310" spans="6:6">
      <c r="F25310" s="2423"/>
    </row>
    <row r="25311" spans="6:6">
      <c r="F25311" s="2423"/>
    </row>
    <row r="25312" spans="6:6">
      <c r="F25312" s="2423"/>
    </row>
    <row r="25313" spans="6:6">
      <c r="F25313" s="2423"/>
    </row>
    <row r="25314" spans="6:6">
      <c r="F25314" s="2423"/>
    </row>
    <row r="25315" spans="6:6">
      <c r="F25315" s="2423"/>
    </row>
    <row r="25316" spans="6:6">
      <c r="F25316" s="2423"/>
    </row>
    <row r="25317" spans="6:6">
      <c r="F25317" s="2423"/>
    </row>
    <row r="25318" spans="6:6">
      <c r="F25318" s="2423"/>
    </row>
    <row r="25319" spans="6:6">
      <c r="F25319" s="2423"/>
    </row>
    <row r="25320" spans="6:6">
      <c r="F25320" s="2423"/>
    </row>
    <row r="25321" spans="6:6">
      <c r="F25321" s="2423"/>
    </row>
    <row r="25322" spans="6:6">
      <c r="F25322" s="2423"/>
    </row>
    <row r="25323" spans="6:6">
      <c r="F25323" s="2423"/>
    </row>
    <row r="25324" spans="6:6">
      <c r="F25324" s="2423"/>
    </row>
    <row r="25325" spans="6:6">
      <c r="F25325" s="2423"/>
    </row>
    <row r="25326" spans="6:6">
      <c r="F25326" s="2423"/>
    </row>
    <row r="25327" spans="6:6">
      <c r="F25327" s="2423"/>
    </row>
    <row r="25328" spans="6:6">
      <c r="F25328" s="2423"/>
    </row>
    <row r="25329" spans="6:6">
      <c r="F25329" s="2423"/>
    </row>
    <row r="25330" spans="6:6">
      <c r="F25330" s="2423"/>
    </row>
    <row r="25331" spans="6:6">
      <c r="F25331" s="2423"/>
    </row>
    <row r="25332" spans="6:6">
      <c r="F25332" s="2423"/>
    </row>
    <row r="25333" spans="6:6">
      <c r="F25333" s="2423"/>
    </row>
    <row r="25334" spans="6:6">
      <c r="F25334" s="2423"/>
    </row>
    <row r="25335" spans="6:6">
      <c r="F25335" s="2423"/>
    </row>
    <row r="25336" spans="6:6">
      <c r="F25336" s="2423"/>
    </row>
    <row r="25337" spans="6:6">
      <c r="F25337" s="2423"/>
    </row>
    <row r="25338" spans="6:6">
      <c r="F25338" s="2423"/>
    </row>
    <row r="25339" spans="6:6">
      <c r="F25339" s="2423"/>
    </row>
    <row r="25340" spans="6:6">
      <c r="F25340" s="2423"/>
    </row>
    <row r="25341" spans="6:6">
      <c r="F25341" s="2423"/>
    </row>
    <row r="25342" spans="6:6">
      <c r="F25342" s="2423"/>
    </row>
    <row r="25343" spans="6:6">
      <c r="F25343" s="2423"/>
    </row>
    <row r="25344" spans="6:6">
      <c r="F25344" s="2423"/>
    </row>
    <row r="25345" spans="6:6">
      <c r="F25345" s="2423"/>
    </row>
    <row r="25346" spans="6:6">
      <c r="F25346" s="2423"/>
    </row>
    <row r="25347" spans="6:6">
      <c r="F25347" s="2423"/>
    </row>
    <row r="25348" spans="6:6">
      <c r="F25348" s="2423"/>
    </row>
    <row r="25349" spans="6:6">
      <c r="F25349" s="2423"/>
    </row>
    <row r="25350" spans="6:6">
      <c r="F25350" s="2423"/>
    </row>
    <row r="25351" spans="6:6">
      <c r="F25351" s="2423"/>
    </row>
    <row r="25352" spans="6:6">
      <c r="F25352" s="2423"/>
    </row>
    <row r="25353" spans="6:6">
      <c r="F25353" s="2423"/>
    </row>
    <row r="25354" spans="6:6">
      <c r="F25354" s="2423"/>
    </row>
    <row r="25355" spans="6:6">
      <c r="F25355" s="2423"/>
    </row>
    <row r="25356" spans="6:6">
      <c r="F25356" s="2423"/>
    </row>
    <row r="25357" spans="6:6">
      <c r="F25357" s="2423"/>
    </row>
    <row r="25358" spans="6:6">
      <c r="F25358" s="2423"/>
    </row>
    <row r="25359" spans="6:6">
      <c r="F25359" s="2423"/>
    </row>
    <row r="25360" spans="6:6">
      <c r="F25360" s="2423"/>
    </row>
    <row r="25361" spans="6:6">
      <c r="F25361" s="2423"/>
    </row>
    <row r="25362" spans="6:6">
      <c r="F25362" s="2423"/>
    </row>
    <row r="25363" spans="6:6">
      <c r="F25363" s="2423"/>
    </row>
    <row r="25364" spans="6:6">
      <c r="F25364" s="2423"/>
    </row>
    <row r="25365" spans="6:6">
      <c r="F25365" s="2423"/>
    </row>
    <row r="25366" spans="6:6">
      <c r="F25366" s="2423"/>
    </row>
    <row r="25367" spans="6:6">
      <c r="F25367" s="2423"/>
    </row>
    <row r="25368" spans="6:6">
      <c r="F25368" s="2423"/>
    </row>
    <row r="25369" spans="6:6">
      <c r="F25369" s="2423"/>
    </row>
    <row r="25370" spans="6:6">
      <c r="F25370" s="2423"/>
    </row>
    <row r="25371" spans="6:6">
      <c r="F25371" s="2423"/>
    </row>
    <row r="25372" spans="6:6">
      <c r="F25372" s="2423"/>
    </row>
    <row r="25373" spans="6:6">
      <c r="F25373" s="2423"/>
    </row>
    <row r="25374" spans="6:6">
      <c r="F25374" s="2423"/>
    </row>
    <row r="25375" spans="6:6">
      <c r="F25375" s="2423"/>
    </row>
    <row r="25376" spans="6:6">
      <c r="F25376" s="2423"/>
    </row>
    <row r="25377" spans="6:6">
      <c r="F25377" s="2423"/>
    </row>
    <row r="25378" spans="6:6">
      <c r="F25378" s="2423"/>
    </row>
    <row r="25379" spans="6:6">
      <c r="F25379" s="2423"/>
    </row>
    <row r="25380" spans="6:6">
      <c r="F25380" s="2423"/>
    </row>
    <row r="25381" spans="6:6">
      <c r="F25381" s="2423"/>
    </row>
    <row r="25382" spans="6:6">
      <c r="F25382" s="2423"/>
    </row>
    <row r="25383" spans="6:6">
      <c r="F25383" s="2423"/>
    </row>
    <row r="25384" spans="6:6">
      <c r="F25384" s="2423"/>
    </row>
    <row r="25385" spans="6:6">
      <c r="F25385" s="2423"/>
    </row>
    <row r="25386" spans="6:6">
      <c r="F25386" s="2423"/>
    </row>
    <row r="25387" spans="6:6">
      <c r="F25387" s="2423"/>
    </row>
    <row r="25388" spans="6:6">
      <c r="F25388" s="2423"/>
    </row>
    <row r="25389" spans="6:6">
      <c r="F25389" s="2423"/>
    </row>
    <row r="25390" spans="6:6">
      <c r="F25390" s="2423"/>
    </row>
    <row r="25391" spans="6:6">
      <c r="F25391" s="2423"/>
    </row>
    <row r="25392" spans="6:6">
      <c r="F25392" s="2423"/>
    </row>
    <row r="25393" spans="6:6">
      <c r="F25393" s="2423"/>
    </row>
    <row r="25394" spans="6:6">
      <c r="F25394" s="2423"/>
    </row>
    <row r="25395" spans="6:6">
      <c r="F25395" s="2423"/>
    </row>
    <row r="25396" spans="6:6">
      <c r="F25396" s="2423"/>
    </row>
    <row r="25397" spans="6:6">
      <c r="F25397" s="2423"/>
    </row>
    <row r="25398" spans="6:6">
      <c r="F25398" s="2423"/>
    </row>
    <row r="25399" spans="6:6">
      <c r="F25399" s="2423"/>
    </row>
    <row r="25400" spans="6:6">
      <c r="F25400" s="2423"/>
    </row>
    <row r="25401" spans="6:6">
      <c r="F25401" s="2423"/>
    </row>
    <row r="25402" spans="6:6">
      <c r="F25402" s="2423"/>
    </row>
    <row r="25403" spans="6:6">
      <c r="F25403" s="2423"/>
    </row>
    <row r="25404" spans="6:6">
      <c r="F25404" s="2423"/>
    </row>
    <row r="25405" spans="6:6">
      <c r="F25405" s="2423"/>
    </row>
    <row r="25406" spans="6:6">
      <c r="F25406" s="2423"/>
    </row>
    <row r="25407" spans="6:6">
      <c r="F25407" s="2423"/>
    </row>
    <row r="25408" spans="6:6">
      <c r="F25408" s="2423"/>
    </row>
    <row r="25409" spans="6:6">
      <c r="F25409" s="2423"/>
    </row>
    <row r="25410" spans="6:6">
      <c r="F25410" s="2423"/>
    </row>
    <row r="25411" spans="6:6">
      <c r="F25411" s="2423"/>
    </row>
    <row r="25412" spans="6:6">
      <c r="F25412" s="2423"/>
    </row>
    <row r="25413" spans="6:6">
      <c r="F25413" s="2423"/>
    </row>
    <row r="25414" spans="6:6">
      <c r="F25414" s="2423"/>
    </row>
    <row r="25415" spans="6:6">
      <c r="F25415" s="2423"/>
    </row>
    <row r="25416" spans="6:6">
      <c r="F25416" s="2423"/>
    </row>
    <row r="25417" spans="6:6">
      <c r="F25417" s="2423"/>
    </row>
    <row r="25418" spans="6:6">
      <c r="F25418" s="2423"/>
    </row>
    <row r="25419" spans="6:6">
      <c r="F25419" s="2423"/>
    </row>
    <row r="25420" spans="6:6">
      <c r="F25420" s="2423"/>
    </row>
    <row r="25421" spans="6:6">
      <c r="F25421" s="2423"/>
    </row>
    <row r="25422" spans="6:6">
      <c r="F25422" s="2423"/>
    </row>
    <row r="25423" spans="6:6">
      <c r="F25423" s="2423"/>
    </row>
    <row r="25424" spans="6:6">
      <c r="F25424" s="2423"/>
    </row>
    <row r="25425" spans="6:6">
      <c r="F25425" s="2423"/>
    </row>
    <row r="25426" spans="6:6">
      <c r="F25426" s="2423"/>
    </row>
    <row r="25427" spans="6:6">
      <c r="F25427" s="2423"/>
    </row>
    <row r="25428" spans="6:6">
      <c r="F25428" s="2423"/>
    </row>
    <row r="25429" spans="6:6">
      <c r="F25429" s="2423"/>
    </row>
    <row r="25430" spans="6:6">
      <c r="F25430" s="2423"/>
    </row>
    <row r="25431" spans="6:6">
      <c r="F25431" s="2423"/>
    </row>
    <row r="25432" spans="6:6">
      <c r="F25432" s="2423"/>
    </row>
    <row r="25433" spans="6:6">
      <c r="F25433" s="2423"/>
    </row>
    <row r="25434" spans="6:6">
      <c r="F25434" s="2423"/>
    </row>
    <row r="25435" spans="6:6">
      <c r="F25435" s="2423"/>
    </row>
    <row r="25436" spans="6:6">
      <c r="F25436" s="2423"/>
    </row>
    <row r="25437" spans="6:6">
      <c r="F25437" s="2423"/>
    </row>
    <row r="25438" spans="6:6">
      <c r="F25438" s="2423"/>
    </row>
    <row r="25439" spans="6:6">
      <c r="F25439" s="2423"/>
    </row>
    <row r="25440" spans="6:6">
      <c r="F25440" s="2423"/>
    </row>
    <row r="25441" spans="6:6">
      <c r="F25441" s="2423"/>
    </row>
    <row r="25442" spans="6:6">
      <c r="F25442" s="2423"/>
    </row>
    <row r="25443" spans="6:6">
      <c r="F25443" s="2423"/>
    </row>
    <row r="25444" spans="6:6">
      <c r="F25444" s="2423"/>
    </row>
    <row r="25445" spans="6:6">
      <c r="F25445" s="2423"/>
    </row>
    <row r="25446" spans="6:6">
      <c r="F25446" s="2423"/>
    </row>
    <row r="25447" spans="6:6">
      <c r="F25447" s="2423"/>
    </row>
    <row r="25448" spans="6:6">
      <c r="F25448" s="2423"/>
    </row>
    <row r="25449" spans="6:6">
      <c r="F25449" s="2423"/>
    </row>
    <row r="25450" spans="6:6">
      <c r="F25450" s="2423"/>
    </row>
    <row r="25451" spans="6:6">
      <c r="F25451" s="2423"/>
    </row>
    <row r="25452" spans="6:6">
      <c r="F25452" s="2423"/>
    </row>
    <row r="25453" spans="6:6">
      <c r="F25453" s="2423"/>
    </row>
    <row r="25454" spans="6:6">
      <c r="F25454" s="2423"/>
    </row>
    <row r="25455" spans="6:6">
      <c r="F25455" s="2423"/>
    </row>
    <row r="25456" spans="6:6">
      <c r="F25456" s="2423"/>
    </row>
    <row r="25457" spans="6:6">
      <c r="F25457" s="2423"/>
    </row>
    <row r="25458" spans="6:6">
      <c r="F25458" s="2423"/>
    </row>
    <row r="25459" spans="6:6">
      <c r="F25459" s="2423"/>
    </row>
    <row r="25460" spans="6:6">
      <c r="F25460" s="2423"/>
    </row>
    <row r="25461" spans="6:6">
      <c r="F25461" s="2423"/>
    </row>
    <row r="25462" spans="6:6">
      <c r="F25462" s="2423"/>
    </row>
    <row r="25463" spans="6:6">
      <c r="F25463" s="2423"/>
    </row>
    <row r="25464" spans="6:6">
      <c r="F25464" s="2423"/>
    </row>
    <row r="25465" spans="6:6">
      <c r="F25465" s="2423"/>
    </row>
    <row r="25466" spans="6:6">
      <c r="F25466" s="2423"/>
    </row>
    <row r="25467" spans="6:6">
      <c r="F25467" s="2423"/>
    </row>
    <row r="25468" spans="6:6">
      <c r="F25468" s="2423"/>
    </row>
    <row r="25469" spans="6:6">
      <c r="F25469" s="2423"/>
    </row>
    <row r="25470" spans="6:6">
      <c r="F25470" s="2423"/>
    </row>
    <row r="25471" spans="6:6">
      <c r="F25471" s="2423"/>
    </row>
    <row r="25472" spans="6:6">
      <c r="F25472" s="2423"/>
    </row>
    <row r="25473" spans="6:6">
      <c r="F25473" s="2423"/>
    </row>
    <row r="25474" spans="6:6">
      <c r="F25474" s="2423"/>
    </row>
    <row r="25475" spans="6:6">
      <c r="F25475" s="2423"/>
    </row>
    <row r="25476" spans="6:6">
      <c r="F25476" s="2423"/>
    </row>
    <row r="25477" spans="6:6">
      <c r="F25477" s="2423"/>
    </row>
    <row r="25478" spans="6:6">
      <c r="F25478" s="2423"/>
    </row>
    <row r="25479" spans="6:6">
      <c r="F25479" s="2423"/>
    </row>
    <row r="25480" spans="6:6">
      <c r="F25480" s="2423"/>
    </row>
    <row r="25481" spans="6:6">
      <c r="F25481" s="2423"/>
    </row>
    <row r="25482" spans="6:6">
      <c r="F25482" s="2423"/>
    </row>
    <row r="25483" spans="6:6">
      <c r="F25483" s="2423"/>
    </row>
    <row r="25484" spans="6:6">
      <c r="F25484" s="2423"/>
    </row>
    <row r="25485" spans="6:6">
      <c r="F25485" s="2423"/>
    </row>
    <row r="25486" spans="6:6">
      <c r="F25486" s="2423"/>
    </row>
    <row r="25487" spans="6:6">
      <c r="F25487" s="2423"/>
    </row>
    <row r="25488" spans="6:6">
      <c r="F25488" s="2423"/>
    </row>
    <row r="25489" spans="6:6">
      <c r="F25489" s="2423"/>
    </row>
    <row r="25490" spans="6:6">
      <c r="F25490" s="2423"/>
    </row>
    <row r="25491" spans="6:6">
      <c r="F25491" s="2423"/>
    </row>
    <row r="25492" spans="6:6">
      <c r="F25492" s="2423"/>
    </row>
    <row r="25493" spans="6:6">
      <c r="F25493" s="2423"/>
    </row>
    <row r="25494" spans="6:6">
      <c r="F25494" s="2423"/>
    </row>
    <row r="25495" spans="6:6">
      <c r="F25495" s="2423"/>
    </row>
    <row r="25496" spans="6:6">
      <c r="F25496" s="2423"/>
    </row>
    <row r="25497" spans="6:6">
      <c r="F25497" s="2423"/>
    </row>
    <row r="25498" spans="6:6">
      <c r="F25498" s="2423"/>
    </row>
    <row r="25499" spans="6:6">
      <c r="F25499" s="2423"/>
    </row>
    <row r="25500" spans="6:6">
      <c r="F25500" s="2423"/>
    </row>
    <row r="25501" spans="6:6">
      <c r="F25501" s="2423"/>
    </row>
    <row r="25502" spans="6:6">
      <c r="F25502" s="2423"/>
    </row>
    <row r="25503" spans="6:6">
      <c r="F25503" s="2423"/>
    </row>
    <row r="25504" spans="6:6">
      <c r="F25504" s="2423"/>
    </row>
    <row r="25505" spans="6:6">
      <c r="F25505" s="2423"/>
    </row>
    <row r="25506" spans="6:6">
      <c r="F25506" s="2423"/>
    </row>
    <row r="25507" spans="6:6">
      <c r="F25507" s="2423"/>
    </row>
    <row r="25508" spans="6:6">
      <c r="F25508" s="2423"/>
    </row>
    <row r="25509" spans="6:6">
      <c r="F25509" s="2423"/>
    </row>
    <row r="25510" spans="6:6">
      <c r="F25510" s="2423"/>
    </row>
    <row r="25511" spans="6:6">
      <c r="F25511" s="2423"/>
    </row>
    <row r="25512" spans="6:6">
      <c r="F25512" s="2423"/>
    </row>
    <row r="25513" spans="6:6">
      <c r="F25513" s="2423"/>
    </row>
    <row r="25514" spans="6:6">
      <c r="F25514" s="2423"/>
    </row>
    <row r="25515" spans="6:6">
      <c r="F25515" s="2423"/>
    </row>
    <row r="25516" spans="6:6">
      <c r="F25516" s="2423"/>
    </row>
    <row r="25517" spans="6:6">
      <c r="F25517" s="2423"/>
    </row>
    <row r="25518" spans="6:6">
      <c r="F25518" s="2423"/>
    </row>
    <row r="25519" spans="6:6">
      <c r="F25519" s="2423"/>
    </row>
    <row r="25520" spans="6:6">
      <c r="F25520" s="2423"/>
    </row>
    <row r="25521" spans="6:6">
      <c r="F25521" s="2423"/>
    </row>
    <row r="25522" spans="6:6">
      <c r="F25522" s="2423"/>
    </row>
    <row r="25523" spans="6:6">
      <c r="F25523" s="2423"/>
    </row>
    <row r="25524" spans="6:6">
      <c r="F25524" s="2423"/>
    </row>
    <row r="25525" spans="6:6">
      <c r="F25525" s="2423"/>
    </row>
    <row r="25526" spans="6:6">
      <c r="F25526" s="2423"/>
    </row>
    <row r="25527" spans="6:6">
      <c r="F25527" s="2423"/>
    </row>
    <row r="25528" spans="6:6">
      <c r="F25528" s="2423"/>
    </row>
    <row r="25529" spans="6:6">
      <c r="F25529" s="2423"/>
    </row>
    <row r="25530" spans="6:6">
      <c r="F25530" s="2423"/>
    </row>
    <row r="25531" spans="6:6">
      <c r="F25531" s="2423"/>
    </row>
    <row r="25532" spans="6:6">
      <c r="F25532" s="2423"/>
    </row>
    <row r="25533" spans="6:6">
      <c r="F25533" s="2423"/>
    </row>
    <row r="25534" spans="6:6">
      <c r="F25534" s="2423"/>
    </row>
    <row r="25535" spans="6:6">
      <c r="F25535" s="2423"/>
    </row>
    <row r="25536" spans="6:6">
      <c r="F25536" s="2423"/>
    </row>
    <row r="25537" spans="6:6">
      <c r="F25537" s="2423"/>
    </row>
    <row r="25538" spans="6:6">
      <c r="F25538" s="2423"/>
    </row>
    <row r="25539" spans="6:6">
      <c r="F25539" s="2423"/>
    </row>
    <row r="25540" spans="6:6">
      <c r="F25540" s="2423"/>
    </row>
    <row r="25541" spans="6:6">
      <c r="F25541" s="2423"/>
    </row>
    <row r="25542" spans="6:6">
      <c r="F25542" s="2423"/>
    </row>
    <row r="25543" spans="6:6">
      <c r="F25543" s="2423"/>
    </row>
    <row r="25544" spans="6:6">
      <c r="F25544" s="2423"/>
    </row>
    <row r="25545" spans="6:6">
      <c r="F25545" s="2423"/>
    </row>
    <row r="25546" spans="6:6">
      <c r="F25546" s="2423"/>
    </row>
    <row r="25547" spans="6:6">
      <c r="F25547" s="2423"/>
    </row>
    <row r="25548" spans="6:6">
      <c r="F25548" s="2423"/>
    </row>
    <row r="25549" spans="6:6">
      <c r="F25549" s="2423"/>
    </row>
    <row r="25550" spans="6:6">
      <c r="F25550" s="2423"/>
    </row>
    <row r="25551" spans="6:6">
      <c r="F25551" s="2423"/>
    </row>
    <row r="25552" spans="6:6">
      <c r="F25552" s="2423"/>
    </row>
    <row r="25553" spans="6:6">
      <c r="F25553" s="2423"/>
    </row>
    <row r="25554" spans="6:6">
      <c r="F25554" s="2423"/>
    </row>
    <row r="25555" spans="6:6">
      <c r="F25555" s="2423"/>
    </row>
    <row r="25556" spans="6:6">
      <c r="F25556" s="2423"/>
    </row>
    <row r="25557" spans="6:6">
      <c r="F25557" s="2423"/>
    </row>
    <row r="25558" spans="6:6">
      <c r="F25558" s="2423"/>
    </row>
    <row r="25559" spans="6:6">
      <c r="F25559" s="2423"/>
    </row>
    <row r="25560" spans="6:6">
      <c r="F25560" s="2423"/>
    </row>
    <row r="25561" spans="6:6">
      <c r="F25561" s="2423"/>
    </row>
    <row r="25562" spans="6:6">
      <c r="F25562" s="2423"/>
    </row>
    <row r="25563" spans="6:6">
      <c r="F25563" s="2423"/>
    </row>
    <row r="25564" spans="6:6">
      <c r="F25564" s="2423"/>
    </row>
    <row r="25565" spans="6:6">
      <c r="F25565" s="2423"/>
    </row>
    <row r="25566" spans="6:6">
      <c r="F25566" s="2423"/>
    </row>
    <row r="25567" spans="6:6">
      <c r="F25567" s="2423"/>
    </row>
    <row r="25568" spans="6:6">
      <c r="F25568" s="2423"/>
    </row>
    <row r="25569" spans="6:6">
      <c r="F25569" s="2423"/>
    </row>
    <row r="25570" spans="6:6">
      <c r="F25570" s="2423"/>
    </row>
    <row r="25571" spans="6:6">
      <c r="F25571" s="2423"/>
    </row>
    <row r="25572" spans="6:6">
      <c r="F25572" s="2423"/>
    </row>
    <row r="25573" spans="6:6">
      <c r="F25573" s="2423"/>
    </row>
    <row r="25574" spans="6:6">
      <c r="F25574" s="2423"/>
    </row>
    <row r="25575" spans="6:6">
      <c r="F25575" s="2423"/>
    </row>
    <row r="25576" spans="6:6">
      <c r="F25576" s="2423"/>
    </row>
    <row r="25577" spans="6:6">
      <c r="F25577" s="2423"/>
    </row>
    <row r="25578" spans="6:6">
      <c r="F25578" s="2423"/>
    </row>
    <row r="25579" spans="6:6">
      <c r="F25579" s="2423"/>
    </row>
    <row r="25580" spans="6:6">
      <c r="F25580" s="2423"/>
    </row>
    <row r="25581" spans="6:6">
      <c r="F25581" s="2423"/>
    </row>
    <row r="25582" spans="6:6">
      <c r="F25582" s="2423"/>
    </row>
    <row r="25583" spans="6:6">
      <c r="F25583" s="2423"/>
    </row>
    <row r="25584" spans="6:6">
      <c r="F25584" s="2423"/>
    </row>
    <row r="25585" spans="6:6">
      <c r="F25585" s="2423"/>
    </row>
    <row r="25586" spans="6:6">
      <c r="F25586" s="2423"/>
    </row>
    <row r="25587" spans="6:6">
      <c r="F25587" s="2423"/>
    </row>
    <row r="25588" spans="6:6">
      <c r="F25588" s="2423"/>
    </row>
    <row r="25589" spans="6:6">
      <c r="F25589" s="2423"/>
    </row>
    <row r="25590" spans="6:6">
      <c r="F25590" s="2423"/>
    </row>
    <row r="25591" spans="6:6">
      <c r="F25591" s="2423"/>
    </row>
    <row r="25592" spans="6:6">
      <c r="F25592" s="2423"/>
    </row>
    <row r="25593" spans="6:6">
      <c r="F25593" s="2423"/>
    </row>
    <row r="25594" spans="6:6">
      <c r="F25594" s="2423"/>
    </row>
    <row r="25595" spans="6:6">
      <c r="F25595" s="2423"/>
    </row>
    <row r="25596" spans="6:6">
      <c r="F25596" s="2423"/>
    </row>
    <row r="25597" spans="6:6">
      <c r="F25597" s="2423"/>
    </row>
    <row r="25598" spans="6:6">
      <c r="F25598" s="2423"/>
    </row>
    <row r="25599" spans="6:6">
      <c r="F25599" s="2423"/>
    </row>
    <row r="25600" spans="6:6">
      <c r="F25600" s="2423"/>
    </row>
    <row r="25601" spans="6:6">
      <c r="F25601" s="2423"/>
    </row>
    <row r="25602" spans="6:6">
      <c r="F25602" s="2423"/>
    </row>
    <row r="25603" spans="6:6">
      <c r="F25603" s="2423"/>
    </row>
    <row r="25604" spans="6:6">
      <c r="F25604" s="2423"/>
    </row>
    <row r="25605" spans="6:6">
      <c r="F25605" s="2423"/>
    </row>
    <row r="25606" spans="6:6">
      <c r="F25606" s="2423"/>
    </row>
    <row r="25607" spans="6:6">
      <c r="F25607" s="2423"/>
    </row>
    <row r="25608" spans="6:6">
      <c r="F25608" s="2423"/>
    </row>
    <row r="25609" spans="6:6">
      <c r="F25609" s="2423"/>
    </row>
    <row r="25610" spans="6:6">
      <c r="F25610" s="2423"/>
    </row>
    <row r="25611" spans="6:6">
      <c r="F25611" s="2423"/>
    </row>
    <row r="25612" spans="6:6">
      <c r="F25612" s="2423"/>
    </row>
    <row r="25613" spans="6:6">
      <c r="F25613" s="2423"/>
    </row>
    <row r="25614" spans="6:6">
      <c r="F25614" s="2423"/>
    </row>
    <row r="25615" spans="6:6">
      <c r="F25615" s="2423"/>
    </row>
    <row r="25616" spans="6:6">
      <c r="F25616" s="2423"/>
    </row>
    <row r="25617" spans="6:6">
      <c r="F25617" s="2423"/>
    </row>
    <row r="25618" spans="6:6">
      <c r="F25618" s="2423"/>
    </row>
    <row r="25619" spans="6:6">
      <c r="F25619" s="2423"/>
    </row>
    <row r="25620" spans="6:6">
      <c r="F25620" s="2423"/>
    </row>
    <row r="25621" spans="6:6">
      <c r="F25621" s="2423"/>
    </row>
    <row r="25622" spans="6:6">
      <c r="F25622" s="2423"/>
    </row>
    <row r="25623" spans="6:6">
      <c r="F25623" s="2423"/>
    </row>
    <row r="25624" spans="6:6">
      <c r="F25624" s="2423"/>
    </row>
    <row r="25625" spans="6:6">
      <c r="F25625" s="2423"/>
    </row>
    <row r="25626" spans="6:6">
      <c r="F25626" s="2423"/>
    </row>
    <row r="25627" spans="6:6">
      <c r="F25627" s="2423"/>
    </row>
    <row r="25628" spans="6:6">
      <c r="F25628" s="2423"/>
    </row>
    <row r="25629" spans="6:6">
      <c r="F25629" s="2423"/>
    </row>
    <row r="25630" spans="6:6">
      <c r="F25630" s="2423"/>
    </row>
    <row r="25631" spans="6:6">
      <c r="F25631" s="2423"/>
    </row>
    <row r="25632" spans="6:6">
      <c r="F25632" s="2423"/>
    </row>
    <row r="25633" spans="6:6">
      <c r="F25633" s="2423"/>
    </row>
    <row r="25634" spans="6:6">
      <c r="F25634" s="2423"/>
    </row>
    <row r="25635" spans="6:6">
      <c r="F25635" s="2423"/>
    </row>
    <row r="25636" spans="6:6">
      <c r="F25636" s="2423"/>
    </row>
    <row r="25637" spans="6:6">
      <c r="F25637" s="2423"/>
    </row>
    <row r="25638" spans="6:6">
      <c r="F25638" s="2423"/>
    </row>
    <row r="25639" spans="6:6">
      <c r="F25639" s="2423"/>
    </row>
    <row r="25640" spans="6:6">
      <c r="F25640" s="2423"/>
    </row>
    <row r="25641" spans="6:6">
      <c r="F25641" s="2423"/>
    </row>
    <row r="25642" spans="6:6">
      <c r="F25642" s="2423"/>
    </row>
    <row r="25643" spans="6:6">
      <c r="F25643" s="2423"/>
    </row>
    <row r="25644" spans="6:6">
      <c r="F25644" s="2423"/>
    </row>
    <row r="25645" spans="6:6">
      <c r="F25645" s="2423"/>
    </row>
    <row r="25646" spans="6:6">
      <c r="F25646" s="2423"/>
    </row>
    <row r="25647" spans="6:6">
      <c r="F25647" s="2423"/>
    </row>
    <row r="25648" spans="6:6">
      <c r="F25648" s="2423"/>
    </row>
    <row r="25649" spans="6:6">
      <c r="F25649" s="2423"/>
    </row>
    <row r="25650" spans="6:6">
      <c r="F25650" s="2423"/>
    </row>
    <row r="25651" spans="6:6">
      <c r="F25651" s="2423"/>
    </row>
    <row r="25652" spans="6:6">
      <c r="F25652" s="2423"/>
    </row>
    <row r="25653" spans="6:6">
      <c r="F25653" s="2423"/>
    </row>
    <row r="25654" spans="6:6">
      <c r="F25654" s="2423"/>
    </row>
    <row r="25655" spans="6:6">
      <c r="F25655" s="2423"/>
    </row>
    <row r="25656" spans="6:6">
      <c r="F25656" s="2423"/>
    </row>
    <row r="25657" spans="6:6">
      <c r="F25657" s="2423"/>
    </row>
    <row r="25658" spans="6:6">
      <c r="F25658" s="2423"/>
    </row>
    <row r="25659" spans="6:6">
      <c r="F25659" s="2423"/>
    </row>
    <row r="25660" spans="6:6">
      <c r="F25660" s="2423"/>
    </row>
    <row r="25661" spans="6:6">
      <c r="F25661" s="2423"/>
    </row>
    <row r="25662" spans="6:6">
      <c r="F25662" s="2423"/>
    </row>
    <row r="25663" spans="6:6">
      <c r="F25663" s="2423"/>
    </row>
    <row r="25664" spans="6:6">
      <c r="F25664" s="2423"/>
    </row>
    <row r="25665" spans="6:6">
      <c r="F25665" s="2423"/>
    </row>
    <row r="25666" spans="6:6">
      <c r="F25666" s="2423"/>
    </row>
    <row r="25667" spans="6:6">
      <c r="F25667" s="2423"/>
    </row>
    <row r="25668" spans="6:6">
      <c r="F25668" s="2423"/>
    </row>
    <row r="25669" spans="6:6">
      <c r="F25669" s="2423"/>
    </row>
    <row r="25670" spans="6:6">
      <c r="F25670" s="2423"/>
    </row>
    <row r="25671" spans="6:6">
      <c r="F25671" s="2423"/>
    </row>
    <row r="25672" spans="6:6">
      <c r="F25672" s="2423"/>
    </row>
    <row r="25673" spans="6:6">
      <c r="F25673" s="2423"/>
    </row>
    <row r="25674" spans="6:6">
      <c r="F25674" s="2423"/>
    </row>
    <row r="25675" spans="6:6">
      <c r="F25675" s="2423"/>
    </row>
    <row r="25676" spans="6:6">
      <c r="F25676" s="2423"/>
    </row>
    <row r="25677" spans="6:6">
      <c r="F25677" s="2423"/>
    </row>
    <row r="25678" spans="6:6">
      <c r="F25678" s="2423"/>
    </row>
    <row r="25679" spans="6:6">
      <c r="F25679" s="2423"/>
    </row>
    <row r="25680" spans="6:6">
      <c r="F25680" s="2423"/>
    </row>
    <row r="25681" spans="6:6">
      <c r="F25681" s="2423"/>
    </row>
    <row r="25682" spans="6:6">
      <c r="F25682" s="2423"/>
    </row>
    <row r="25683" spans="6:6">
      <c r="F25683" s="2423"/>
    </row>
    <row r="25684" spans="6:6">
      <c r="F25684" s="2423"/>
    </row>
    <row r="25685" spans="6:6">
      <c r="F25685" s="2423"/>
    </row>
    <row r="25686" spans="6:6">
      <c r="F25686" s="2423"/>
    </row>
    <row r="25687" spans="6:6">
      <c r="F25687" s="2423"/>
    </row>
    <row r="25688" spans="6:6">
      <c r="F25688" s="2423"/>
    </row>
    <row r="25689" spans="6:6">
      <c r="F25689" s="2423"/>
    </row>
    <row r="25690" spans="6:6">
      <c r="F25690" s="2423"/>
    </row>
    <row r="25691" spans="6:6">
      <c r="F25691" s="2423"/>
    </row>
    <row r="25692" spans="6:6">
      <c r="F25692" s="2423"/>
    </row>
    <row r="25693" spans="6:6">
      <c r="F25693" s="2423"/>
    </row>
    <row r="25694" spans="6:6">
      <c r="F25694" s="2423"/>
    </row>
    <row r="25695" spans="6:6">
      <c r="F25695" s="2423"/>
    </row>
    <row r="25696" spans="6:6">
      <c r="F25696" s="2423"/>
    </row>
    <row r="25697" spans="6:6">
      <c r="F25697" s="2423"/>
    </row>
    <row r="25698" spans="6:6">
      <c r="F25698" s="2423"/>
    </row>
    <row r="25699" spans="6:6">
      <c r="F25699" s="2423"/>
    </row>
    <row r="25700" spans="6:6">
      <c r="F25700" s="2423"/>
    </row>
    <row r="25701" spans="6:6">
      <c r="F25701" s="2423"/>
    </row>
    <row r="25702" spans="6:6">
      <c r="F25702" s="2423"/>
    </row>
    <row r="25703" spans="6:6">
      <c r="F25703" s="2423"/>
    </row>
    <row r="25704" spans="6:6">
      <c r="F25704" s="2423"/>
    </row>
    <row r="25705" spans="6:6">
      <c r="F25705" s="2423"/>
    </row>
    <row r="25706" spans="6:6">
      <c r="F25706" s="2423"/>
    </row>
    <row r="25707" spans="6:6">
      <c r="F25707" s="2423"/>
    </row>
    <row r="25708" spans="6:6">
      <c r="F25708" s="2423"/>
    </row>
    <row r="25709" spans="6:6">
      <c r="F25709" s="2423"/>
    </row>
    <row r="25710" spans="6:6">
      <c r="F25710" s="2423"/>
    </row>
    <row r="25711" spans="6:6">
      <c r="F25711" s="2423"/>
    </row>
    <row r="25712" spans="6:6">
      <c r="F25712" s="2423"/>
    </row>
    <row r="25713" spans="6:6">
      <c r="F25713" s="2423"/>
    </row>
    <row r="25714" spans="6:6">
      <c r="F25714" s="2423"/>
    </row>
    <row r="25715" spans="6:6">
      <c r="F25715" s="2423"/>
    </row>
    <row r="25716" spans="6:6">
      <c r="F25716" s="2423"/>
    </row>
    <row r="25717" spans="6:6">
      <c r="F25717" s="2423"/>
    </row>
    <row r="25718" spans="6:6">
      <c r="F25718" s="2423"/>
    </row>
    <row r="25719" spans="6:6">
      <c r="F25719" s="2423"/>
    </row>
    <row r="25720" spans="6:6">
      <c r="F25720" s="2423"/>
    </row>
    <row r="25721" spans="6:6">
      <c r="F25721" s="2423"/>
    </row>
    <row r="25722" spans="6:6">
      <c r="F25722" s="2423"/>
    </row>
    <row r="25723" spans="6:6">
      <c r="F25723" s="2423"/>
    </row>
    <row r="25724" spans="6:6">
      <c r="F25724" s="2423"/>
    </row>
    <row r="25725" spans="6:6">
      <c r="F25725" s="2423"/>
    </row>
    <row r="25726" spans="6:6">
      <c r="F25726" s="2423"/>
    </row>
    <row r="25727" spans="6:6">
      <c r="F25727" s="2423"/>
    </row>
    <row r="25728" spans="6:6">
      <c r="F25728" s="2423"/>
    </row>
    <row r="25729" spans="6:6">
      <c r="F25729" s="2423"/>
    </row>
    <row r="25730" spans="6:6">
      <c r="F25730" s="2423"/>
    </row>
    <row r="25731" spans="6:6">
      <c r="F25731" s="2423"/>
    </row>
    <row r="25732" spans="6:6">
      <c r="F25732" s="2423"/>
    </row>
    <row r="25733" spans="6:6">
      <c r="F25733" s="2423"/>
    </row>
    <row r="25734" spans="6:6">
      <c r="F25734" s="2423"/>
    </row>
    <row r="25735" spans="6:6">
      <c r="F25735" s="2423"/>
    </row>
    <row r="25736" spans="6:6">
      <c r="F25736" s="2423"/>
    </row>
    <row r="25737" spans="6:6">
      <c r="F25737" s="2423"/>
    </row>
    <row r="25738" spans="6:6">
      <c r="F25738" s="2423"/>
    </row>
    <row r="25739" spans="6:6">
      <c r="F25739" s="2423"/>
    </row>
    <row r="25740" spans="6:6">
      <c r="F25740" s="2423"/>
    </row>
    <row r="25741" spans="6:6">
      <c r="F25741" s="2423"/>
    </row>
    <row r="25742" spans="6:6">
      <c r="F25742" s="2423"/>
    </row>
    <row r="25743" spans="6:6">
      <c r="F25743" s="2423"/>
    </row>
    <row r="25744" spans="6:6">
      <c r="F25744" s="2423"/>
    </row>
    <row r="25745" spans="6:6">
      <c r="F25745" s="2423"/>
    </row>
    <row r="25746" spans="6:6">
      <c r="F25746" s="2423"/>
    </row>
    <row r="25747" spans="6:6">
      <c r="F25747" s="2423"/>
    </row>
    <row r="25748" spans="6:6">
      <c r="F25748" s="2423"/>
    </row>
    <row r="25749" spans="6:6">
      <c r="F25749" s="2423"/>
    </row>
    <row r="25750" spans="6:6">
      <c r="F25750" s="2423"/>
    </row>
    <row r="25751" spans="6:6">
      <c r="F25751" s="2423"/>
    </row>
    <row r="25752" spans="6:6">
      <c r="F25752" s="2423"/>
    </row>
    <row r="25753" spans="6:6">
      <c r="F25753" s="2423"/>
    </row>
    <row r="25754" spans="6:6">
      <c r="F25754" s="2423"/>
    </row>
    <row r="25755" spans="6:6">
      <c r="F25755" s="2423"/>
    </row>
    <row r="25756" spans="6:6">
      <c r="F25756" s="2423"/>
    </row>
    <row r="25757" spans="6:6">
      <c r="F25757" s="2423"/>
    </row>
    <row r="25758" spans="6:6">
      <c r="F25758" s="2423"/>
    </row>
    <row r="25759" spans="6:6">
      <c r="F25759" s="2423"/>
    </row>
    <row r="25760" spans="6:6">
      <c r="F25760" s="2423"/>
    </row>
    <row r="25761" spans="6:6">
      <c r="F25761" s="2423"/>
    </row>
    <row r="25762" spans="6:6">
      <c r="F25762" s="2423"/>
    </row>
    <row r="25763" spans="6:6">
      <c r="F25763" s="2423"/>
    </row>
    <row r="25764" spans="6:6">
      <c r="F25764" s="2423"/>
    </row>
    <row r="25765" spans="6:6">
      <c r="F25765" s="2423"/>
    </row>
    <row r="25766" spans="6:6">
      <c r="F25766" s="2423"/>
    </row>
    <row r="25767" spans="6:6">
      <c r="F25767" s="2423"/>
    </row>
    <row r="25768" spans="6:6">
      <c r="F25768" s="2423"/>
    </row>
    <row r="25769" spans="6:6">
      <c r="F25769" s="2423"/>
    </row>
    <row r="25770" spans="6:6">
      <c r="F25770" s="2423"/>
    </row>
    <row r="25771" spans="6:6">
      <c r="F25771" s="2423"/>
    </row>
    <row r="25772" spans="6:6">
      <c r="F25772" s="2423"/>
    </row>
    <row r="25773" spans="6:6">
      <c r="F25773" s="2423"/>
    </row>
    <row r="25774" spans="6:6">
      <c r="F25774" s="2423"/>
    </row>
    <row r="25775" spans="6:6">
      <c r="F25775" s="2423"/>
    </row>
    <row r="25776" spans="6:6">
      <c r="F25776" s="2423"/>
    </row>
    <row r="25777" spans="6:6">
      <c r="F25777" s="2423"/>
    </row>
    <row r="25778" spans="6:6">
      <c r="F25778" s="2423"/>
    </row>
    <row r="25779" spans="6:6">
      <c r="F25779" s="2423"/>
    </row>
    <row r="25780" spans="6:6">
      <c r="F25780" s="2423"/>
    </row>
    <row r="25781" spans="6:6">
      <c r="F25781" s="2423"/>
    </row>
    <row r="25782" spans="6:6">
      <c r="F25782" s="2423"/>
    </row>
    <row r="25783" spans="6:6">
      <c r="F25783" s="2423"/>
    </row>
    <row r="25784" spans="6:6">
      <c r="F25784" s="2423"/>
    </row>
    <row r="25785" spans="6:6">
      <c r="F25785" s="2423"/>
    </row>
    <row r="25786" spans="6:6">
      <c r="F25786" s="2423"/>
    </row>
    <row r="25787" spans="6:6">
      <c r="F25787" s="2423"/>
    </row>
    <row r="25788" spans="6:6">
      <c r="F25788" s="2423"/>
    </row>
    <row r="25789" spans="6:6">
      <c r="F25789" s="2423"/>
    </row>
    <row r="25790" spans="6:6">
      <c r="F25790" s="2423"/>
    </row>
    <row r="25791" spans="6:6">
      <c r="F25791" s="2423"/>
    </row>
    <row r="25792" spans="6:6">
      <c r="F25792" s="2423"/>
    </row>
    <row r="25793" spans="6:6">
      <c r="F25793" s="2423"/>
    </row>
    <row r="25794" spans="6:6">
      <c r="F25794" s="2423"/>
    </row>
    <row r="25795" spans="6:6">
      <c r="F25795" s="2423"/>
    </row>
    <row r="25796" spans="6:6">
      <c r="F25796" s="2423"/>
    </row>
    <row r="25797" spans="6:6">
      <c r="F25797" s="2423"/>
    </row>
    <row r="25798" spans="6:6">
      <c r="F25798" s="2423"/>
    </row>
    <row r="25799" spans="6:6">
      <c r="F25799" s="2423"/>
    </row>
    <row r="25800" spans="6:6">
      <c r="F25800" s="2423"/>
    </row>
    <row r="25801" spans="6:6">
      <c r="F25801" s="2423"/>
    </row>
    <row r="25802" spans="6:6">
      <c r="F25802" s="2423"/>
    </row>
    <row r="25803" spans="6:6">
      <c r="F25803" s="2423"/>
    </row>
    <row r="25804" spans="6:6">
      <c r="F25804" s="2423"/>
    </row>
    <row r="25805" spans="6:6">
      <c r="F25805" s="2423"/>
    </row>
    <row r="25806" spans="6:6">
      <c r="F25806" s="2423"/>
    </row>
    <row r="25807" spans="6:6">
      <c r="F25807" s="2423"/>
    </row>
    <row r="25808" spans="6:6">
      <c r="F25808" s="2423"/>
    </row>
    <row r="25809" spans="6:6">
      <c r="F25809" s="2423"/>
    </row>
    <row r="25810" spans="6:6">
      <c r="F25810" s="2423"/>
    </row>
    <row r="25811" spans="6:6">
      <c r="F25811" s="2423"/>
    </row>
    <row r="25812" spans="6:6">
      <c r="F25812" s="2423"/>
    </row>
    <row r="25813" spans="6:6">
      <c r="F25813" s="2423"/>
    </row>
    <row r="25814" spans="6:6">
      <c r="F25814" s="2423"/>
    </row>
    <row r="25815" spans="6:6">
      <c r="F25815" s="2423"/>
    </row>
    <row r="25816" spans="6:6">
      <c r="F25816" s="2423"/>
    </row>
    <row r="25817" spans="6:6">
      <c r="F25817" s="2423"/>
    </row>
    <row r="25818" spans="6:6">
      <c r="F25818" s="2423"/>
    </row>
    <row r="25819" spans="6:6">
      <c r="F25819" s="2423"/>
    </row>
    <row r="25820" spans="6:6">
      <c r="F25820" s="2423"/>
    </row>
    <row r="25821" spans="6:6">
      <c r="F25821" s="2423"/>
    </row>
    <row r="25822" spans="6:6">
      <c r="F25822" s="2423"/>
    </row>
    <row r="25823" spans="6:6">
      <c r="F25823" s="2423"/>
    </row>
    <row r="25824" spans="6:6">
      <c r="F25824" s="2423"/>
    </row>
    <row r="25825" spans="6:6">
      <c r="F25825" s="2423"/>
    </row>
    <row r="25826" spans="6:6">
      <c r="F25826" s="2423"/>
    </row>
    <row r="25827" spans="6:6">
      <c r="F25827" s="2423"/>
    </row>
    <row r="25828" spans="6:6">
      <c r="F25828" s="2423"/>
    </row>
    <row r="25829" spans="6:6">
      <c r="F25829" s="2423"/>
    </row>
    <row r="25830" spans="6:6">
      <c r="F25830" s="2423"/>
    </row>
    <row r="25831" spans="6:6">
      <c r="F25831" s="2423"/>
    </row>
    <row r="25832" spans="6:6">
      <c r="F25832" s="2423"/>
    </row>
    <row r="25833" spans="6:6">
      <c r="F25833" s="2423"/>
    </row>
    <row r="25834" spans="6:6">
      <c r="F25834" s="2423"/>
    </row>
    <row r="25835" spans="6:6">
      <c r="F25835" s="2423"/>
    </row>
    <row r="25836" spans="6:6">
      <c r="F25836" s="2423"/>
    </row>
    <row r="25837" spans="6:6">
      <c r="F25837" s="2423"/>
    </row>
    <row r="25838" spans="6:6">
      <c r="F25838" s="2423"/>
    </row>
    <row r="25839" spans="6:6">
      <c r="F25839" s="2423"/>
    </row>
    <row r="25840" spans="6:6">
      <c r="F25840" s="2423"/>
    </row>
    <row r="25841" spans="6:6">
      <c r="F25841" s="2423"/>
    </row>
    <row r="25842" spans="6:6">
      <c r="F25842" s="2423"/>
    </row>
    <row r="25843" spans="6:6">
      <c r="F25843" s="2423"/>
    </row>
    <row r="25844" spans="6:6">
      <c r="F25844" s="2423"/>
    </row>
    <row r="25845" spans="6:6">
      <c r="F25845" s="2423"/>
    </row>
    <row r="25846" spans="6:6">
      <c r="F25846" s="2423"/>
    </row>
    <row r="25847" spans="6:6">
      <c r="F25847" s="2423"/>
    </row>
    <row r="25848" spans="6:6">
      <c r="F25848" s="2423"/>
    </row>
    <row r="25849" spans="6:6">
      <c r="F25849" s="2423"/>
    </row>
    <row r="25850" spans="6:6">
      <c r="F25850" s="2423"/>
    </row>
    <row r="25851" spans="6:6">
      <c r="F25851" s="2423"/>
    </row>
    <row r="25852" spans="6:6">
      <c r="F25852" s="2423"/>
    </row>
    <row r="25853" spans="6:6">
      <c r="F25853" s="2423"/>
    </row>
    <row r="25854" spans="6:6">
      <c r="F25854" s="2423"/>
    </row>
    <row r="25855" spans="6:6">
      <c r="F25855" s="2423"/>
    </row>
    <row r="25856" spans="6:6">
      <c r="F25856" s="2423"/>
    </row>
    <row r="25857" spans="6:6">
      <c r="F25857" s="2423"/>
    </row>
    <row r="25858" spans="6:6">
      <c r="F25858" s="2423"/>
    </row>
    <row r="25859" spans="6:6">
      <c r="F25859" s="2423"/>
    </row>
    <row r="25860" spans="6:6">
      <c r="F25860" s="2423"/>
    </row>
    <row r="25861" spans="6:6">
      <c r="F25861" s="2423"/>
    </row>
    <row r="25862" spans="6:6">
      <c r="F25862" s="2423"/>
    </row>
    <row r="25863" spans="6:6">
      <c r="F25863" s="2423"/>
    </row>
    <row r="25864" spans="6:6">
      <c r="F25864" s="2423"/>
    </row>
    <row r="25865" spans="6:6">
      <c r="F25865" s="2423"/>
    </row>
    <row r="25866" spans="6:6">
      <c r="F25866" s="2423"/>
    </row>
    <row r="25867" spans="6:6">
      <c r="F25867" s="2423"/>
    </row>
    <row r="25868" spans="6:6">
      <c r="F25868" s="2423"/>
    </row>
    <row r="25869" spans="6:6">
      <c r="F25869" s="2423"/>
    </row>
    <row r="25870" spans="6:6">
      <c r="F25870" s="2423"/>
    </row>
    <row r="25871" spans="6:6">
      <c r="F25871" s="2423"/>
    </row>
    <row r="25872" spans="6:6">
      <c r="F25872" s="2423"/>
    </row>
    <row r="25873" spans="6:6">
      <c r="F25873" s="2423"/>
    </row>
    <row r="25874" spans="6:6">
      <c r="F25874" s="2423"/>
    </row>
    <row r="25875" spans="6:6">
      <c r="F25875" s="2423"/>
    </row>
    <row r="25876" spans="6:6">
      <c r="F25876" s="2423"/>
    </row>
    <row r="25877" spans="6:6">
      <c r="F25877" s="2423"/>
    </row>
    <row r="25878" spans="6:6">
      <c r="F25878" s="2423"/>
    </row>
    <row r="25879" spans="6:6">
      <c r="F25879" s="2423"/>
    </row>
    <row r="25880" spans="6:6">
      <c r="F25880" s="2423"/>
    </row>
    <row r="25881" spans="6:6">
      <c r="F25881" s="2423"/>
    </row>
    <row r="25882" spans="6:6">
      <c r="F25882" s="2423"/>
    </row>
    <row r="25883" spans="6:6">
      <c r="F25883" s="2423"/>
    </row>
    <row r="25884" spans="6:6">
      <c r="F25884" s="2423"/>
    </row>
    <row r="25885" spans="6:6">
      <c r="F25885" s="2423"/>
    </row>
    <row r="25886" spans="6:6">
      <c r="F25886" s="2423"/>
    </row>
    <row r="25887" spans="6:6">
      <c r="F25887" s="2423"/>
    </row>
    <row r="25888" spans="6:6">
      <c r="F25888" s="2423"/>
    </row>
    <row r="25889" spans="6:6">
      <c r="F25889" s="2423"/>
    </row>
    <row r="25890" spans="6:6">
      <c r="F25890" s="2423"/>
    </row>
    <row r="25891" spans="6:6">
      <c r="F25891" s="2423"/>
    </row>
    <row r="25892" spans="6:6">
      <c r="F25892" s="2423"/>
    </row>
    <row r="25893" spans="6:6">
      <c r="F25893" s="2423"/>
    </row>
    <row r="25894" spans="6:6">
      <c r="F25894" s="2423"/>
    </row>
    <row r="25895" spans="6:6">
      <c r="F25895" s="2423"/>
    </row>
    <row r="25896" spans="6:6">
      <c r="F25896" s="2423"/>
    </row>
    <row r="25897" spans="6:6">
      <c r="F25897" s="2423"/>
    </row>
    <row r="25898" spans="6:6">
      <c r="F25898" s="2423"/>
    </row>
    <row r="25899" spans="6:6">
      <c r="F25899" s="2423"/>
    </row>
    <row r="25900" spans="6:6">
      <c r="F25900" s="2423"/>
    </row>
    <row r="25901" spans="6:6">
      <c r="F25901" s="2423"/>
    </row>
    <row r="25902" spans="6:6">
      <c r="F25902" s="2423"/>
    </row>
    <row r="25903" spans="6:6">
      <c r="F25903" s="2423"/>
    </row>
    <row r="25904" spans="6:6">
      <c r="F25904" s="2423"/>
    </row>
    <row r="25905" spans="6:6">
      <c r="F25905" s="2423"/>
    </row>
    <row r="25906" spans="6:6">
      <c r="F25906" s="2423"/>
    </row>
    <row r="25907" spans="6:6">
      <c r="F25907" s="2423"/>
    </row>
    <row r="25908" spans="6:6">
      <c r="F25908" s="2423"/>
    </row>
    <row r="25909" spans="6:6">
      <c r="F25909" s="2423"/>
    </row>
    <row r="25910" spans="6:6">
      <c r="F25910" s="2423"/>
    </row>
    <row r="25911" spans="6:6">
      <c r="F25911" s="2423"/>
    </row>
    <row r="25912" spans="6:6">
      <c r="F25912" s="2423"/>
    </row>
    <row r="25913" spans="6:6">
      <c r="F25913" s="2423"/>
    </row>
    <row r="25914" spans="6:6">
      <c r="F25914" s="2423"/>
    </row>
    <row r="25915" spans="6:6">
      <c r="F25915" s="2423"/>
    </row>
    <row r="25916" spans="6:6">
      <c r="F25916" s="2423"/>
    </row>
    <row r="25917" spans="6:6">
      <c r="F25917" s="2423"/>
    </row>
    <row r="25918" spans="6:6">
      <c r="F25918" s="2423"/>
    </row>
    <row r="25919" spans="6:6">
      <c r="F25919" s="2423"/>
    </row>
    <row r="25920" spans="6:6">
      <c r="F25920" s="2423"/>
    </row>
    <row r="25921" spans="6:6">
      <c r="F25921" s="2423"/>
    </row>
    <row r="25922" spans="6:6">
      <c r="F25922" s="2423"/>
    </row>
    <row r="25923" spans="6:6">
      <c r="F25923" s="2423"/>
    </row>
    <row r="25924" spans="6:6">
      <c r="F25924" s="2423"/>
    </row>
    <row r="25925" spans="6:6">
      <c r="F25925" s="2423"/>
    </row>
    <row r="25926" spans="6:6">
      <c r="F25926" s="2423"/>
    </row>
    <row r="25927" spans="6:6">
      <c r="F25927" s="2423"/>
    </row>
    <row r="25928" spans="6:6">
      <c r="F25928" s="2423"/>
    </row>
    <row r="25929" spans="6:6">
      <c r="F25929" s="2423"/>
    </row>
    <row r="25930" spans="6:6">
      <c r="F25930" s="2423"/>
    </row>
    <row r="25931" spans="6:6">
      <c r="F25931" s="2423"/>
    </row>
    <row r="25932" spans="6:6">
      <c r="F25932" s="2423"/>
    </row>
    <row r="25933" spans="6:6">
      <c r="F25933" s="2423"/>
    </row>
    <row r="25934" spans="6:6">
      <c r="F25934" s="2423"/>
    </row>
    <row r="25935" spans="6:6">
      <c r="F25935" s="2423"/>
    </row>
    <row r="25936" spans="6:6">
      <c r="F25936" s="2423"/>
    </row>
    <row r="25937" spans="6:6">
      <c r="F25937" s="2423"/>
    </row>
    <row r="25938" spans="6:6">
      <c r="F25938" s="2423"/>
    </row>
    <row r="25939" spans="6:6">
      <c r="F25939" s="2423"/>
    </row>
    <row r="25940" spans="6:6">
      <c r="F25940" s="2423"/>
    </row>
    <row r="25941" spans="6:6">
      <c r="F25941" s="2423"/>
    </row>
    <row r="25942" spans="6:6">
      <c r="F25942" s="2423"/>
    </row>
    <row r="25943" spans="6:6">
      <c r="F25943" s="2423"/>
    </row>
    <row r="25944" spans="6:6">
      <c r="F25944" s="2423"/>
    </row>
    <row r="25945" spans="6:6">
      <c r="F25945" s="2423"/>
    </row>
    <row r="25946" spans="6:6">
      <c r="F25946" s="2423"/>
    </row>
    <row r="25947" spans="6:6">
      <c r="F25947" s="2423"/>
    </row>
    <row r="25948" spans="6:6">
      <c r="F25948" s="2423"/>
    </row>
    <row r="25949" spans="6:6">
      <c r="F25949" s="2423"/>
    </row>
    <row r="25950" spans="6:6">
      <c r="F25950" s="2423"/>
    </row>
    <row r="25951" spans="6:6">
      <c r="F25951" s="2423"/>
    </row>
    <row r="25952" spans="6:6">
      <c r="F25952" s="2423"/>
    </row>
    <row r="25953" spans="6:6">
      <c r="F25953" s="2423"/>
    </row>
    <row r="25954" spans="6:6">
      <c r="F25954" s="2423"/>
    </row>
    <row r="25955" spans="6:6">
      <c r="F25955" s="2423"/>
    </row>
    <row r="25956" spans="6:6">
      <c r="F25956" s="2423"/>
    </row>
    <row r="25957" spans="6:6">
      <c r="F25957" s="2423"/>
    </row>
    <row r="25958" spans="6:6">
      <c r="F25958" s="2423"/>
    </row>
    <row r="25959" spans="6:6">
      <c r="F25959" s="2423"/>
    </row>
    <row r="25960" spans="6:6">
      <c r="F25960" s="2423"/>
    </row>
    <row r="25961" spans="6:6">
      <c r="F25961" s="2423"/>
    </row>
    <row r="25962" spans="6:6">
      <c r="F25962" s="2423"/>
    </row>
    <row r="25963" spans="6:6">
      <c r="F25963" s="2423"/>
    </row>
    <row r="25964" spans="6:6">
      <c r="F25964" s="2423"/>
    </row>
    <row r="25965" spans="6:6">
      <c r="F25965" s="2423"/>
    </row>
    <row r="25966" spans="6:6">
      <c r="F25966" s="2423"/>
    </row>
    <row r="25967" spans="6:6">
      <c r="F25967" s="2423"/>
    </row>
    <row r="25968" spans="6:6">
      <c r="F25968" s="2423"/>
    </row>
    <row r="25969" spans="6:6">
      <c r="F25969" s="2423"/>
    </row>
    <row r="25970" spans="6:6">
      <c r="F25970" s="2423"/>
    </row>
    <row r="25971" spans="6:6">
      <c r="F25971" s="2423"/>
    </row>
    <row r="25972" spans="6:6">
      <c r="F25972" s="2423"/>
    </row>
    <row r="25973" spans="6:6">
      <c r="F25973" s="2423"/>
    </row>
    <row r="25974" spans="6:6">
      <c r="F25974" s="2423"/>
    </row>
    <row r="25975" spans="6:6">
      <c r="F25975" s="2423"/>
    </row>
    <row r="25976" spans="6:6">
      <c r="F25976" s="2423"/>
    </row>
    <row r="25977" spans="6:6">
      <c r="F25977" s="2423"/>
    </row>
    <row r="25978" spans="6:6">
      <c r="F25978" s="2423"/>
    </row>
    <row r="25979" spans="6:6">
      <c r="F25979" s="2423"/>
    </row>
    <row r="25980" spans="6:6">
      <c r="F25980" s="2423"/>
    </row>
    <row r="25981" spans="6:6">
      <c r="F25981" s="2423"/>
    </row>
    <row r="25982" spans="6:6">
      <c r="F25982" s="2423"/>
    </row>
    <row r="25983" spans="6:6">
      <c r="F25983" s="2423"/>
    </row>
    <row r="25984" spans="6:6">
      <c r="F25984" s="2423"/>
    </row>
    <row r="25985" spans="6:6">
      <c r="F25985" s="2423"/>
    </row>
    <row r="25986" spans="6:6">
      <c r="F25986" s="2423"/>
    </row>
    <row r="25987" spans="6:6">
      <c r="F25987" s="2423"/>
    </row>
    <row r="25988" spans="6:6">
      <c r="F25988" s="2423"/>
    </row>
    <row r="25989" spans="6:6">
      <c r="F25989" s="2423"/>
    </row>
    <row r="25990" spans="6:6">
      <c r="F25990" s="2423"/>
    </row>
    <row r="25991" spans="6:6">
      <c r="F25991" s="2423"/>
    </row>
    <row r="25992" spans="6:6">
      <c r="F25992" s="2423"/>
    </row>
    <row r="25993" spans="6:6">
      <c r="F25993" s="2423"/>
    </row>
    <row r="25994" spans="6:6">
      <c r="F25994" s="2423"/>
    </row>
    <row r="25995" spans="6:6">
      <c r="F25995" s="2423"/>
    </row>
    <row r="25996" spans="6:6">
      <c r="F25996" s="2423"/>
    </row>
    <row r="25997" spans="6:6">
      <c r="F25997" s="2423"/>
    </row>
    <row r="25998" spans="6:6">
      <c r="F25998" s="2423"/>
    </row>
    <row r="25999" spans="6:6">
      <c r="F25999" s="2423"/>
    </row>
    <row r="26000" spans="6:6">
      <c r="F26000" s="2423"/>
    </row>
    <row r="26001" spans="6:6">
      <c r="F26001" s="2423"/>
    </row>
    <row r="26002" spans="6:6">
      <c r="F26002" s="2423"/>
    </row>
    <row r="26003" spans="6:6">
      <c r="F26003" s="2423"/>
    </row>
    <row r="26004" spans="6:6">
      <c r="F26004" s="2423"/>
    </row>
    <row r="26005" spans="6:6">
      <c r="F26005" s="2423"/>
    </row>
    <row r="26006" spans="6:6">
      <c r="F26006" s="2423"/>
    </row>
    <row r="26007" spans="6:6">
      <c r="F26007" s="2423"/>
    </row>
    <row r="26008" spans="6:6">
      <c r="F26008" s="2423"/>
    </row>
    <row r="26009" spans="6:6">
      <c r="F26009" s="2423"/>
    </row>
    <row r="26010" spans="6:6">
      <c r="F26010" s="2423"/>
    </row>
    <row r="26011" spans="6:6">
      <c r="F26011" s="2423"/>
    </row>
    <row r="26012" spans="6:6">
      <c r="F26012" s="2423"/>
    </row>
    <row r="26013" spans="6:6">
      <c r="F26013" s="2423"/>
    </row>
    <row r="26014" spans="6:6">
      <c r="F26014" s="2423"/>
    </row>
    <row r="26015" spans="6:6">
      <c r="F26015" s="2423"/>
    </row>
    <row r="26016" spans="6:6">
      <c r="F26016" s="2423"/>
    </row>
    <row r="26017" spans="6:6">
      <c r="F26017" s="2423"/>
    </row>
    <row r="26018" spans="6:6">
      <c r="F26018" s="2423"/>
    </row>
    <row r="26019" spans="6:6">
      <c r="F26019" s="2423"/>
    </row>
    <row r="26020" spans="6:6">
      <c r="F26020" s="2423"/>
    </row>
    <row r="26021" spans="6:6">
      <c r="F26021" s="2423"/>
    </row>
    <row r="26022" spans="6:6">
      <c r="F26022" s="2423"/>
    </row>
    <row r="26023" spans="6:6">
      <c r="F26023" s="2423"/>
    </row>
    <row r="26024" spans="6:6">
      <c r="F26024" s="2423"/>
    </row>
    <row r="26025" spans="6:6">
      <c r="F26025" s="2423"/>
    </row>
    <row r="26026" spans="6:6">
      <c r="F26026" s="2423"/>
    </row>
    <row r="26027" spans="6:6">
      <c r="F26027" s="2423"/>
    </row>
    <row r="26028" spans="6:6">
      <c r="F26028" s="2423"/>
    </row>
    <row r="26029" spans="6:6">
      <c r="F26029" s="2423"/>
    </row>
    <row r="26030" spans="6:6">
      <c r="F26030" s="2423"/>
    </row>
    <row r="26031" spans="6:6">
      <c r="F26031" s="2423"/>
    </row>
    <row r="26032" spans="6:6">
      <c r="F26032" s="2423"/>
    </row>
    <row r="26033" spans="6:6">
      <c r="F26033" s="2423"/>
    </row>
    <row r="26034" spans="6:6">
      <c r="F26034" s="2423"/>
    </row>
    <row r="26035" spans="6:6">
      <c r="F26035" s="2423"/>
    </row>
    <row r="26036" spans="6:6">
      <c r="F26036" s="2423"/>
    </row>
    <row r="26037" spans="6:6">
      <c r="F26037" s="2423"/>
    </row>
    <row r="26038" spans="6:6">
      <c r="F26038" s="2423"/>
    </row>
    <row r="26039" spans="6:6">
      <c r="F26039" s="2423"/>
    </row>
    <row r="26040" spans="6:6">
      <c r="F26040" s="2423"/>
    </row>
    <row r="26041" spans="6:6">
      <c r="F26041" s="2423"/>
    </row>
    <row r="26042" spans="6:6">
      <c r="F26042" s="2423"/>
    </row>
    <row r="26043" spans="6:6">
      <c r="F26043" s="2423"/>
    </row>
    <row r="26044" spans="6:6">
      <c r="F26044" s="2423"/>
    </row>
    <row r="26045" spans="6:6">
      <c r="F26045" s="2423"/>
    </row>
    <row r="26046" spans="6:6">
      <c r="F26046" s="2423"/>
    </row>
    <row r="26047" spans="6:6">
      <c r="F26047" s="2423"/>
    </row>
    <row r="26048" spans="6:6">
      <c r="F26048" s="2423"/>
    </row>
    <row r="26049" spans="6:6">
      <c r="F26049" s="2423"/>
    </row>
    <row r="26050" spans="6:6">
      <c r="F26050" s="2423"/>
    </row>
    <row r="26051" spans="6:6">
      <c r="F26051" s="2423"/>
    </row>
    <row r="26052" spans="6:6">
      <c r="F26052" s="2423"/>
    </row>
    <row r="26053" spans="6:6">
      <c r="F26053" s="2423"/>
    </row>
    <row r="26054" spans="6:6">
      <c r="F26054" s="2423"/>
    </row>
    <row r="26055" spans="6:6">
      <c r="F26055" s="2423"/>
    </row>
    <row r="26056" spans="6:6">
      <c r="F26056" s="2423"/>
    </row>
    <row r="26057" spans="6:6">
      <c r="F26057" s="2423"/>
    </row>
    <row r="26058" spans="6:6">
      <c r="F26058" s="2423"/>
    </row>
    <row r="26059" spans="6:6">
      <c r="F26059" s="2423"/>
    </row>
    <row r="26060" spans="6:6">
      <c r="F26060" s="2423"/>
    </row>
    <row r="26061" spans="6:6">
      <c r="F26061" s="2423"/>
    </row>
    <row r="26062" spans="6:6">
      <c r="F26062" s="2423"/>
    </row>
    <row r="26063" spans="6:6">
      <c r="F26063" s="2423"/>
    </row>
    <row r="26064" spans="6:6">
      <c r="F26064" s="2423"/>
    </row>
    <row r="26065" spans="6:6">
      <c r="F26065" s="2423"/>
    </row>
    <row r="26066" spans="6:6">
      <c r="F26066" s="2423"/>
    </row>
    <row r="26067" spans="6:6">
      <c r="F26067" s="2423"/>
    </row>
    <row r="26068" spans="6:6">
      <c r="F26068" s="2423"/>
    </row>
    <row r="26069" spans="6:6">
      <c r="F26069" s="2423"/>
    </row>
    <row r="26070" spans="6:6">
      <c r="F26070" s="2423"/>
    </row>
    <row r="26071" spans="6:6">
      <c r="F26071" s="2423"/>
    </row>
    <row r="26072" spans="6:6">
      <c r="F26072" s="2423"/>
    </row>
    <row r="26073" spans="6:6">
      <c r="F26073" s="2423"/>
    </row>
    <row r="26074" spans="6:6">
      <c r="F26074" s="2423"/>
    </row>
    <row r="26075" spans="6:6">
      <c r="F26075" s="2423"/>
    </row>
    <row r="26076" spans="6:6">
      <c r="F26076" s="2423"/>
    </row>
    <row r="26077" spans="6:6">
      <c r="F26077" s="2423"/>
    </row>
    <row r="26078" spans="6:6">
      <c r="F26078" s="2423"/>
    </row>
    <row r="26079" spans="6:6">
      <c r="F26079" s="2423"/>
    </row>
    <row r="26080" spans="6:6">
      <c r="F26080" s="2423"/>
    </row>
    <row r="26081" spans="6:6">
      <c r="F26081" s="2423"/>
    </row>
    <row r="26082" spans="6:6">
      <c r="F26082" s="2423"/>
    </row>
    <row r="26083" spans="6:6">
      <c r="F26083" s="2423"/>
    </row>
    <row r="26084" spans="6:6">
      <c r="F26084" s="2423"/>
    </row>
    <row r="26085" spans="6:6">
      <c r="F26085" s="2423"/>
    </row>
    <row r="26086" spans="6:6">
      <c r="F26086" s="2423"/>
    </row>
    <row r="26087" spans="6:6">
      <c r="F26087" s="2423"/>
    </row>
    <row r="26088" spans="6:6">
      <c r="F26088" s="2423"/>
    </row>
    <row r="26089" spans="6:6">
      <c r="F26089" s="2423"/>
    </row>
    <row r="26090" spans="6:6">
      <c r="F26090" s="2423"/>
    </row>
    <row r="26091" spans="6:6">
      <c r="F26091" s="2423"/>
    </row>
    <row r="26092" spans="6:6">
      <c r="F26092" s="2423"/>
    </row>
    <row r="26093" spans="6:6">
      <c r="F26093" s="2423"/>
    </row>
    <row r="26094" spans="6:6">
      <c r="F26094" s="2423"/>
    </row>
    <row r="26095" spans="6:6">
      <c r="F26095" s="2423"/>
    </row>
    <row r="26096" spans="6:6">
      <c r="F26096" s="2423"/>
    </row>
    <row r="26097" spans="6:6">
      <c r="F26097" s="2423"/>
    </row>
    <row r="26098" spans="6:6">
      <c r="F26098" s="2423"/>
    </row>
    <row r="26099" spans="6:6">
      <c r="F26099" s="2423"/>
    </row>
    <row r="26100" spans="6:6">
      <c r="F26100" s="2423"/>
    </row>
    <row r="26101" spans="6:6">
      <c r="F26101" s="2423"/>
    </row>
    <row r="26102" spans="6:6">
      <c r="F26102" s="2423"/>
    </row>
    <row r="26103" spans="6:6">
      <c r="F26103" s="2423"/>
    </row>
    <row r="26104" spans="6:6">
      <c r="F26104" s="2423"/>
    </row>
    <row r="26105" spans="6:6">
      <c r="F26105" s="2423"/>
    </row>
    <row r="26106" spans="6:6">
      <c r="F26106" s="2423"/>
    </row>
    <row r="26107" spans="6:6">
      <c r="F26107" s="2423"/>
    </row>
    <row r="26108" spans="6:6">
      <c r="F26108" s="2423"/>
    </row>
    <row r="26109" spans="6:6">
      <c r="F26109" s="2423"/>
    </row>
    <row r="26110" spans="6:6">
      <c r="F26110" s="2423"/>
    </row>
    <row r="26111" spans="6:6">
      <c r="F26111" s="2423"/>
    </row>
    <row r="26112" spans="6:6">
      <c r="F26112" s="2423"/>
    </row>
    <row r="26113" spans="6:6">
      <c r="F26113" s="2423"/>
    </row>
    <row r="26114" spans="6:6">
      <c r="F26114" s="2423"/>
    </row>
    <row r="26115" spans="6:6">
      <c r="F26115" s="2423"/>
    </row>
    <row r="26116" spans="6:6">
      <c r="F26116" s="2423"/>
    </row>
    <row r="26117" spans="6:6">
      <c r="F26117" s="2423"/>
    </row>
    <row r="26118" spans="6:6">
      <c r="F26118" s="2423"/>
    </row>
    <row r="26119" spans="6:6">
      <c r="F26119" s="2423"/>
    </row>
    <row r="26120" spans="6:6">
      <c r="F26120" s="2423"/>
    </row>
    <row r="26121" spans="6:6">
      <c r="F26121" s="2423"/>
    </row>
    <row r="26122" spans="6:6">
      <c r="F26122" s="2423"/>
    </row>
    <row r="26123" spans="6:6">
      <c r="F26123" s="2423"/>
    </row>
    <row r="26124" spans="6:6">
      <c r="F26124" s="2423"/>
    </row>
    <row r="26125" spans="6:6">
      <c r="F26125" s="2423"/>
    </row>
    <row r="26126" spans="6:6">
      <c r="F26126" s="2423"/>
    </row>
    <row r="26127" spans="6:6">
      <c r="F26127" s="2423"/>
    </row>
    <row r="26128" spans="6:6">
      <c r="F26128" s="2423"/>
    </row>
    <row r="26129" spans="6:6">
      <c r="F26129" s="2423"/>
    </row>
    <row r="26130" spans="6:6">
      <c r="F26130" s="2423"/>
    </row>
    <row r="26131" spans="6:6">
      <c r="F26131" s="2423"/>
    </row>
    <row r="26132" spans="6:6">
      <c r="F26132" s="2423"/>
    </row>
    <row r="26133" spans="6:6">
      <c r="F26133" s="2423"/>
    </row>
    <row r="26134" spans="6:6">
      <c r="F26134" s="2423"/>
    </row>
    <row r="26135" spans="6:6">
      <c r="F26135" s="2423"/>
    </row>
    <row r="26136" spans="6:6">
      <c r="F26136" s="2423"/>
    </row>
    <row r="26137" spans="6:6">
      <c r="F26137" s="2423"/>
    </row>
    <row r="26138" spans="6:6">
      <c r="F26138" s="2423"/>
    </row>
    <row r="26139" spans="6:6">
      <c r="F26139" s="2423"/>
    </row>
    <row r="26140" spans="6:6">
      <c r="F26140" s="2423"/>
    </row>
    <row r="26141" spans="6:6">
      <c r="F26141" s="2423"/>
    </row>
    <row r="26142" spans="6:6">
      <c r="F26142" s="2423"/>
    </row>
    <row r="26143" spans="6:6">
      <c r="F26143" s="2423"/>
    </row>
    <row r="26144" spans="6:6">
      <c r="F26144" s="2423"/>
    </row>
    <row r="26145" spans="6:6">
      <c r="F26145" s="2423"/>
    </row>
    <row r="26146" spans="6:6">
      <c r="F26146" s="2423"/>
    </row>
    <row r="26147" spans="6:6">
      <c r="F26147" s="2423"/>
    </row>
    <row r="26148" spans="6:6">
      <c r="F26148" s="2423"/>
    </row>
    <row r="26149" spans="6:6">
      <c r="F26149" s="2423"/>
    </row>
    <row r="26150" spans="6:6">
      <c r="F26150" s="2423"/>
    </row>
    <row r="26151" spans="6:6">
      <c r="F26151" s="2423"/>
    </row>
    <row r="26152" spans="6:6">
      <c r="F26152" s="2423"/>
    </row>
    <row r="26153" spans="6:6">
      <c r="F26153" s="2423"/>
    </row>
    <row r="26154" spans="6:6">
      <c r="F26154" s="2423"/>
    </row>
    <row r="26155" spans="6:6">
      <c r="F26155" s="2423"/>
    </row>
    <row r="26156" spans="6:6">
      <c r="F26156" s="2423"/>
    </row>
    <row r="26157" spans="6:6">
      <c r="F26157" s="2423"/>
    </row>
    <row r="26158" spans="6:6">
      <c r="F26158" s="2423"/>
    </row>
    <row r="26159" spans="6:6">
      <c r="F26159" s="2423"/>
    </row>
    <row r="26160" spans="6:6">
      <c r="F26160" s="2423"/>
    </row>
    <row r="26161" spans="6:6">
      <c r="F26161" s="2423"/>
    </row>
    <row r="26162" spans="6:6">
      <c r="F26162" s="2423"/>
    </row>
    <row r="26163" spans="6:6">
      <c r="F26163" s="2423"/>
    </row>
    <row r="26164" spans="6:6">
      <c r="F26164" s="2423"/>
    </row>
    <row r="26165" spans="6:6">
      <c r="F26165" s="2423"/>
    </row>
    <row r="26166" spans="6:6">
      <c r="F26166" s="2423"/>
    </row>
    <row r="26167" spans="6:6">
      <c r="F26167" s="2423"/>
    </row>
    <row r="26168" spans="6:6">
      <c r="F26168" s="2423"/>
    </row>
    <row r="26169" spans="6:6">
      <c r="F26169" s="2423"/>
    </row>
    <row r="26170" spans="6:6">
      <c r="F26170" s="2423"/>
    </row>
    <row r="26171" spans="6:6">
      <c r="F26171" s="2423"/>
    </row>
    <row r="26172" spans="6:6">
      <c r="F26172" s="2423"/>
    </row>
    <row r="26173" spans="6:6">
      <c r="F26173" s="2423"/>
    </row>
    <row r="26174" spans="6:6">
      <c r="F26174" s="2423"/>
    </row>
    <row r="26175" spans="6:6">
      <c r="F26175" s="2423"/>
    </row>
    <row r="26176" spans="6:6">
      <c r="F26176" s="2423"/>
    </row>
    <row r="26177" spans="6:6">
      <c r="F26177" s="2423"/>
    </row>
    <row r="26178" spans="6:6">
      <c r="F26178" s="2423"/>
    </row>
    <row r="26179" spans="6:6">
      <c r="F26179" s="2423"/>
    </row>
    <row r="26180" spans="6:6">
      <c r="F26180" s="2423"/>
    </row>
    <row r="26181" spans="6:6">
      <c r="F26181" s="2423"/>
    </row>
    <row r="26182" spans="6:6">
      <c r="F26182" s="2423"/>
    </row>
    <row r="26183" spans="6:6">
      <c r="F26183" s="2423"/>
    </row>
    <row r="26184" spans="6:6">
      <c r="F26184" s="2423"/>
    </row>
    <row r="26185" spans="6:6">
      <c r="F26185" s="2423"/>
    </row>
    <row r="26186" spans="6:6">
      <c r="F26186" s="2423"/>
    </row>
    <row r="26187" spans="6:6">
      <c r="F26187" s="2423"/>
    </row>
    <row r="26188" spans="6:6">
      <c r="F26188" s="2423"/>
    </row>
    <row r="26189" spans="6:6">
      <c r="F26189" s="2423"/>
    </row>
    <row r="26190" spans="6:6">
      <c r="F26190" s="2423"/>
    </row>
    <row r="26191" spans="6:6">
      <c r="F26191" s="2423"/>
    </row>
    <row r="26192" spans="6:6">
      <c r="F26192" s="2423"/>
    </row>
    <row r="26193" spans="6:6">
      <c r="F26193" s="2423"/>
    </row>
    <row r="26194" spans="6:6">
      <c r="F26194" s="2423"/>
    </row>
    <row r="26195" spans="6:6">
      <c r="F26195" s="2423"/>
    </row>
    <row r="26196" spans="6:6">
      <c r="F26196" s="2423"/>
    </row>
    <row r="26197" spans="6:6">
      <c r="F26197" s="2423"/>
    </row>
    <row r="26198" spans="6:6">
      <c r="F26198" s="2423"/>
    </row>
    <row r="26199" spans="6:6">
      <c r="F26199" s="2423"/>
    </row>
    <row r="26200" spans="6:6">
      <c r="F26200" s="2423"/>
    </row>
    <row r="26201" spans="6:6">
      <c r="F26201" s="2423"/>
    </row>
    <row r="26202" spans="6:6">
      <c r="F26202" s="2423"/>
    </row>
    <row r="26203" spans="6:6">
      <c r="F26203" s="2423"/>
    </row>
    <row r="26204" spans="6:6">
      <c r="F26204" s="2423"/>
    </row>
    <row r="26205" spans="6:6">
      <c r="F26205" s="2423"/>
    </row>
    <row r="26206" spans="6:6">
      <c r="F26206" s="2423"/>
    </row>
    <row r="26207" spans="6:6">
      <c r="F26207" s="2423"/>
    </row>
    <row r="26208" spans="6:6">
      <c r="F26208" s="2423"/>
    </row>
    <row r="26209" spans="6:6">
      <c r="F26209" s="2423"/>
    </row>
    <row r="26210" spans="6:6">
      <c r="F26210" s="2423"/>
    </row>
    <row r="26211" spans="6:6">
      <c r="F26211" s="2423"/>
    </row>
    <row r="26212" spans="6:6">
      <c r="F26212" s="2423"/>
    </row>
    <row r="26213" spans="6:6">
      <c r="F26213" s="2423"/>
    </row>
    <row r="26214" spans="6:6">
      <c r="F26214" s="2423"/>
    </row>
    <row r="26215" spans="6:6">
      <c r="F26215" s="2423"/>
    </row>
    <row r="26216" spans="6:6">
      <c r="F26216" s="2423"/>
    </row>
    <row r="26217" spans="6:6">
      <c r="F26217" s="2423"/>
    </row>
    <row r="26218" spans="6:6">
      <c r="F26218" s="2423"/>
    </row>
    <row r="26219" spans="6:6">
      <c r="F26219" s="2423"/>
    </row>
    <row r="26220" spans="6:6">
      <c r="F26220" s="2423"/>
    </row>
    <row r="26221" spans="6:6">
      <c r="F26221" s="2423"/>
    </row>
    <row r="26222" spans="6:6">
      <c r="F26222" s="2423"/>
    </row>
    <row r="26223" spans="6:6">
      <c r="F26223" s="2423"/>
    </row>
    <row r="26224" spans="6:6">
      <c r="F26224" s="2423"/>
    </row>
    <row r="26225" spans="6:6">
      <c r="F26225" s="2423"/>
    </row>
    <row r="26226" spans="6:6">
      <c r="F26226" s="2423"/>
    </row>
    <row r="26227" spans="6:6">
      <c r="F26227" s="2423"/>
    </row>
    <row r="26228" spans="6:6">
      <c r="F26228" s="2423"/>
    </row>
    <row r="26229" spans="6:6">
      <c r="F26229" s="2423"/>
    </row>
    <row r="26230" spans="6:6">
      <c r="F26230" s="2423"/>
    </row>
    <row r="26231" spans="6:6">
      <c r="F26231" s="2423"/>
    </row>
    <row r="26232" spans="6:6">
      <c r="F26232" s="2423"/>
    </row>
    <row r="26233" spans="6:6">
      <c r="F26233" s="2423"/>
    </row>
    <row r="26234" spans="6:6">
      <c r="F26234" s="2423"/>
    </row>
    <row r="26235" spans="6:6">
      <c r="F26235" s="2423"/>
    </row>
    <row r="26236" spans="6:6">
      <c r="F26236" s="2423"/>
    </row>
    <row r="26237" spans="6:6">
      <c r="F26237" s="2423"/>
    </row>
    <row r="26238" spans="6:6">
      <c r="F26238" s="2423"/>
    </row>
    <row r="26239" spans="6:6">
      <c r="F26239" s="2423"/>
    </row>
    <row r="26240" spans="6:6">
      <c r="F26240" s="2423"/>
    </row>
    <row r="26241" spans="6:6">
      <c r="F26241" s="2423"/>
    </row>
    <row r="26242" spans="6:6">
      <c r="F26242" s="2423"/>
    </row>
    <row r="26243" spans="6:6">
      <c r="F26243" s="2423"/>
    </row>
    <row r="26244" spans="6:6">
      <c r="F26244" s="2423"/>
    </row>
    <row r="26245" spans="6:6">
      <c r="F26245" s="2423"/>
    </row>
    <row r="26246" spans="6:6">
      <c r="F26246" s="2423"/>
    </row>
    <row r="26247" spans="6:6">
      <c r="F26247" s="2423"/>
    </row>
    <row r="26248" spans="6:6">
      <c r="F26248" s="2423"/>
    </row>
    <row r="26249" spans="6:6">
      <c r="F26249" s="2423"/>
    </row>
    <row r="26250" spans="6:6">
      <c r="F26250" s="2423"/>
    </row>
    <row r="26251" spans="6:6">
      <c r="F26251" s="2423"/>
    </row>
    <row r="26252" spans="6:6">
      <c r="F26252" s="2423"/>
    </row>
    <row r="26253" spans="6:6">
      <c r="F26253" s="2423"/>
    </row>
    <row r="26254" spans="6:6">
      <c r="F26254" s="2423"/>
    </row>
    <row r="26255" spans="6:6">
      <c r="F26255" s="2423"/>
    </row>
    <row r="26256" spans="6:6">
      <c r="F26256" s="2423"/>
    </row>
    <row r="26257" spans="6:6">
      <c r="F26257" s="2423"/>
    </row>
    <row r="26258" spans="6:6">
      <c r="F26258" s="2423"/>
    </row>
    <row r="26259" spans="6:6">
      <c r="F26259" s="2423"/>
    </row>
    <row r="26260" spans="6:6">
      <c r="F26260" s="2423"/>
    </row>
    <row r="26261" spans="6:6">
      <c r="F26261" s="2423"/>
    </row>
    <row r="26262" spans="6:6">
      <c r="F26262" s="2423"/>
    </row>
    <row r="26263" spans="6:6">
      <c r="F26263" s="2423"/>
    </row>
    <row r="26264" spans="6:6">
      <c r="F26264" s="2423"/>
    </row>
    <row r="26265" spans="6:6">
      <c r="F26265" s="2423"/>
    </row>
    <row r="26266" spans="6:6">
      <c r="F26266" s="2423"/>
    </row>
    <row r="26267" spans="6:6">
      <c r="F26267" s="2423"/>
    </row>
    <row r="26268" spans="6:6">
      <c r="F26268" s="2423"/>
    </row>
    <row r="26269" spans="6:6">
      <c r="F26269" s="2423"/>
    </row>
    <row r="26270" spans="6:6">
      <c r="F26270" s="2423"/>
    </row>
    <row r="26271" spans="6:6">
      <c r="F26271" s="2423"/>
    </row>
    <row r="26272" spans="6:6">
      <c r="F26272" s="2423"/>
    </row>
    <row r="26273" spans="6:6">
      <c r="F26273" s="2423"/>
    </row>
    <row r="26274" spans="6:6">
      <c r="F26274" s="2423"/>
    </row>
    <row r="26275" spans="6:6">
      <c r="F26275" s="2423"/>
    </row>
    <row r="26276" spans="6:6">
      <c r="F26276" s="2423"/>
    </row>
    <row r="26277" spans="6:6">
      <c r="F26277" s="2423"/>
    </row>
    <row r="26278" spans="6:6">
      <c r="F26278" s="2423"/>
    </row>
    <row r="26279" spans="6:6">
      <c r="F26279" s="2423"/>
    </row>
    <row r="26280" spans="6:6">
      <c r="F26280" s="2423"/>
    </row>
    <row r="26281" spans="6:6">
      <c r="F26281" s="2423"/>
    </row>
    <row r="26282" spans="6:6">
      <c r="F26282" s="2423"/>
    </row>
    <row r="26283" spans="6:6">
      <c r="F26283" s="2423"/>
    </row>
    <row r="26284" spans="6:6">
      <c r="F26284" s="2423"/>
    </row>
    <row r="26285" spans="6:6">
      <c r="F26285" s="2423"/>
    </row>
    <row r="26286" spans="6:6">
      <c r="F26286" s="2423"/>
    </row>
    <row r="26287" spans="6:6">
      <c r="F26287" s="2423"/>
    </row>
    <row r="26288" spans="6:6">
      <c r="F26288" s="2423"/>
    </row>
    <row r="26289" spans="6:6">
      <c r="F26289" s="2423"/>
    </row>
    <row r="26290" spans="6:6">
      <c r="F26290" s="2423"/>
    </row>
    <row r="26291" spans="6:6">
      <c r="F26291" s="2423"/>
    </row>
    <row r="26292" spans="6:6">
      <c r="F26292" s="2423"/>
    </row>
    <row r="26293" spans="6:6">
      <c r="F26293" s="2423"/>
    </row>
    <row r="26294" spans="6:6">
      <c r="F26294" s="2423"/>
    </row>
    <row r="26295" spans="6:6">
      <c r="F26295" s="2423"/>
    </row>
    <row r="26296" spans="6:6">
      <c r="F26296" s="2423"/>
    </row>
    <row r="26297" spans="6:6">
      <c r="F26297" s="2423"/>
    </row>
    <row r="26298" spans="6:6">
      <c r="F26298" s="2423"/>
    </row>
    <row r="26299" spans="6:6">
      <c r="F26299" s="2423"/>
    </row>
    <row r="26300" spans="6:6">
      <c r="F26300" s="2423"/>
    </row>
    <row r="26301" spans="6:6">
      <c r="F26301" s="2423"/>
    </row>
    <row r="26302" spans="6:6">
      <c r="F26302" s="2423"/>
    </row>
    <row r="26303" spans="6:6">
      <c r="F26303" s="2423"/>
    </row>
    <row r="26304" spans="6:6">
      <c r="F26304" s="2423"/>
    </row>
    <row r="26305" spans="6:6">
      <c r="F26305" s="2423"/>
    </row>
    <row r="26306" spans="6:6">
      <c r="F26306" s="2423"/>
    </row>
    <row r="26307" spans="6:6">
      <c r="F26307" s="2423"/>
    </row>
    <row r="26308" spans="6:6">
      <c r="F26308" s="2423"/>
    </row>
    <row r="26309" spans="6:6">
      <c r="F26309" s="2423"/>
    </row>
    <row r="26310" spans="6:6">
      <c r="F26310" s="2423"/>
    </row>
    <row r="26311" spans="6:6">
      <c r="F26311" s="2423"/>
    </row>
    <row r="26312" spans="6:6">
      <c r="F26312" s="2423"/>
    </row>
    <row r="26313" spans="6:6">
      <c r="F26313" s="2423"/>
    </row>
    <row r="26314" spans="6:6">
      <c r="F26314" s="2423"/>
    </row>
    <row r="26315" spans="6:6">
      <c r="F26315" s="2423"/>
    </row>
    <row r="26316" spans="6:6">
      <c r="F26316" s="2423"/>
    </row>
    <row r="26317" spans="6:6">
      <c r="F26317" s="2423"/>
    </row>
    <row r="26318" spans="6:6">
      <c r="F26318" s="2423"/>
    </row>
    <row r="26319" spans="6:6">
      <c r="F26319" s="2423"/>
    </row>
    <row r="26320" spans="6:6">
      <c r="F26320" s="2423"/>
    </row>
    <row r="26321" spans="6:6">
      <c r="F26321" s="2423"/>
    </row>
    <row r="26322" spans="6:6">
      <c r="F26322" s="2423"/>
    </row>
    <row r="26323" spans="6:6">
      <c r="F26323" s="2423"/>
    </row>
    <row r="26324" spans="6:6">
      <c r="F26324" s="2423"/>
    </row>
    <row r="26325" spans="6:6">
      <c r="F26325" s="2423"/>
    </row>
    <row r="26326" spans="6:6">
      <c r="F26326" s="2423"/>
    </row>
    <row r="26327" spans="6:6">
      <c r="F26327" s="2423"/>
    </row>
    <row r="26328" spans="6:6">
      <c r="F26328" s="2423"/>
    </row>
    <row r="26329" spans="6:6">
      <c r="F26329" s="2423"/>
    </row>
    <row r="26330" spans="6:6">
      <c r="F26330" s="2423"/>
    </row>
    <row r="26331" spans="6:6">
      <c r="F26331" s="2423"/>
    </row>
    <row r="26332" spans="6:6">
      <c r="F26332" s="2423"/>
    </row>
    <row r="26333" spans="6:6">
      <c r="F26333" s="2423"/>
    </row>
    <row r="26334" spans="6:6">
      <c r="F26334" s="2423"/>
    </row>
    <row r="26335" spans="6:6">
      <c r="F26335" s="2423"/>
    </row>
    <row r="26336" spans="6:6">
      <c r="F26336" s="2423"/>
    </row>
    <row r="26337" spans="6:6">
      <c r="F26337" s="2423"/>
    </row>
    <row r="26338" spans="6:6">
      <c r="F26338" s="2423"/>
    </row>
    <row r="26339" spans="6:6">
      <c r="F26339" s="2423"/>
    </row>
    <row r="26340" spans="6:6">
      <c r="F26340" s="2423"/>
    </row>
    <row r="26341" spans="6:6">
      <c r="F26341" s="2423"/>
    </row>
    <row r="26342" spans="6:6">
      <c r="F26342" s="2423"/>
    </row>
    <row r="26343" spans="6:6">
      <c r="F26343" s="2423"/>
    </row>
    <row r="26344" spans="6:6">
      <c r="F26344" s="2423"/>
    </row>
    <row r="26345" spans="6:6">
      <c r="F26345" s="2423"/>
    </row>
    <row r="26346" spans="6:6">
      <c r="F26346" s="2423"/>
    </row>
    <row r="26347" spans="6:6">
      <c r="F26347" s="2423"/>
    </row>
    <row r="26348" spans="6:6">
      <c r="F26348" s="2423"/>
    </row>
    <row r="26349" spans="6:6">
      <c r="F26349" s="2423"/>
    </row>
    <row r="26350" spans="6:6">
      <c r="F26350" s="2423"/>
    </row>
    <row r="26351" spans="6:6">
      <c r="F26351" s="2423"/>
    </row>
    <row r="26352" spans="6:6">
      <c r="F26352" s="2423"/>
    </row>
    <row r="26353" spans="6:6">
      <c r="F26353" s="2423"/>
    </row>
    <row r="26354" spans="6:6">
      <c r="F26354" s="2423"/>
    </row>
    <row r="26355" spans="6:6">
      <c r="F26355" s="2423"/>
    </row>
    <row r="26356" spans="6:6">
      <c r="F26356" s="2423"/>
    </row>
    <row r="26357" spans="6:6">
      <c r="F26357" s="2423"/>
    </row>
    <row r="26358" spans="6:6">
      <c r="F26358" s="2423"/>
    </row>
    <row r="26359" spans="6:6">
      <c r="F26359" s="2423"/>
    </row>
    <row r="26360" spans="6:6">
      <c r="F26360" s="2423"/>
    </row>
    <row r="26361" spans="6:6">
      <c r="F26361" s="2423"/>
    </row>
    <row r="26362" spans="6:6">
      <c r="F26362" s="2423"/>
    </row>
    <row r="26363" spans="6:6">
      <c r="F26363" s="2423"/>
    </row>
    <row r="26364" spans="6:6">
      <c r="F26364" s="2423"/>
    </row>
    <row r="26365" spans="6:6">
      <c r="F26365" s="2423"/>
    </row>
    <row r="26366" spans="6:6">
      <c r="F26366" s="2423"/>
    </row>
    <row r="26367" spans="6:6">
      <c r="F26367" s="2423"/>
    </row>
    <row r="26368" spans="6:6">
      <c r="F26368" s="2423"/>
    </row>
    <row r="26369" spans="6:6">
      <c r="F26369" s="2423"/>
    </row>
    <row r="26370" spans="6:6">
      <c r="F26370" s="2423"/>
    </row>
    <row r="26371" spans="6:6">
      <c r="F26371" s="2423"/>
    </row>
    <row r="26372" spans="6:6">
      <c r="F26372" s="2423"/>
    </row>
    <row r="26373" spans="6:6">
      <c r="F26373" s="2423"/>
    </row>
    <row r="26374" spans="6:6">
      <c r="F26374" s="2423"/>
    </row>
    <row r="26375" spans="6:6">
      <c r="F26375" s="2423"/>
    </row>
    <row r="26376" spans="6:6">
      <c r="F26376" s="2423"/>
    </row>
    <row r="26377" spans="6:6">
      <c r="F26377" s="2423"/>
    </row>
    <row r="26378" spans="6:6">
      <c r="F26378" s="2423"/>
    </row>
    <row r="26379" spans="6:6">
      <c r="F26379" s="2423"/>
    </row>
    <row r="26380" spans="6:6">
      <c r="F26380" s="2423"/>
    </row>
    <row r="26381" spans="6:6">
      <c r="F26381" s="2423"/>
    </row>
    <row r="26382" spans="6:6">
      <c r="F26382" s="2423"/>
    </row>
    <row r="26383" spans="6:6">
      <c r="F26383" s="2423"/>
    </row>
    <row r="26384" spans="6:6">
      <c r="F26384" s="2423"/>
    </row>
    <row r="26385" spans="6:6">
      <c r="F26385" s="2423"/>
    </row>
    <row r="26386" spans="6:6">
      <c r="F26386" s="2423"/>
    </row>
    <row r="26387" spans="6:6">
      <c r="F26387" s="2423"/>
    </row>
    <row r="26388" spans="6:6">
      <c r="F26388" s="2423"/>
    </row>
    <row r="26389" spans="6:6">
      <c r="F26389" s="2423"/>
    </row>
    <row r="26390" spans="6:6">
      <c r="F26390" s="2423"/>
    </row>
    <row r="26391" spans="6:6">
      <c r="F26391" s="2423"/>
    </row>
    <row r="26392" spans="6:6">
      <c r="F26392" s="2423"/>
    </row>
    <row r="26393" spans="6:6">
      <c r="F26393" s="2423"/>
    </row>
    <row r="26394" spans="6:6">
      <c r="F26394" s="2423"/>
    </row>
    <row r="26395" spans="6:6">
      <c r="F26395" s="2423"/>
    </row>
    <row r="26396" spans="6:6">
      <c r="F26396" s="2423"/>
    </row>
    <row r="26397" spans="6:6">
      <c r="F26397" s="2423"/>
    </row>
    <row r="26398" spans="6:6">
      <c r="F26398" s="2423"/>
    </row>
    <row r="26399" spans="6:6">
      <c r="F26399" s="2423"/>
    </row>
    <row r="26400" spans="6:6">
      <c r="F26400" s="2423"/>
    </row>
    <row r="26401" spans="6:6">
      <c r="F26401" s="2423"/>
    </row>
    <row r="26402" spans="6:6">
      <c r="F26402" s="2423"/>
    </row>
    <row r="26403" spans="6:6">
      <c r="F26403" s="2423"/>
    </row>
    <row r="26404" spans="6:6">
      <c r="F26404" s="2423"/>
    </row>
    <row r="26405" spans="6:6">
      <c r="F26405" s="2423"/>
    </row>
    <row r="26406" spans="6:6">
      <c r="F26406" s="2423"/>
    </row>
    <row r="26407" spans="6:6">
      <c r="F26407" s="2423"/>
    </row>
    <row r="26408" spans="6:6">
      <c r="F26408" s="2423"/>
    </row>
    <row r="26409" spans="6:6">
      <c r="F26409" s="2423"/>
    </row>
    <row r="26410" spans="6:6">
      <c r="F26410" s="2423"/>
    </row>
    <row r="26411" spans="6:6">
      <c r="F26411" s="2423"/>
    </row>
    <row r="26412" spans="6:6">
      <c r="F26412" s="2423"/>
    </row>
    <row r="26413" spans="6:6">
      <c r="F26413" s="2423"/>
    </row>
    <row r="26414" spans="6:6">
      <c r="F26414" s="2423"/>
    </row>
    <row r="26415" spans="6:6">
      <c r="F26415" s="2423"/>
    </row>
    <row r="26416" spans="6:6">
      <c r="F26416" s="2423"/>
    </row>
    <row r="26417" spans="6:6">
      <c r="F26417" s="2423"/>
    </row>
    <row r="26418" spans="6:6">
      <c r="F26418" s="2423"/>
    </row>
    <row r="26419" spans="6:6">
      <c r="F26419" s="2423"/>
    </row>
    <row r="26420" spans="6:6">
      <c r="F26420" s="2423"/>
    </row>
    <row r="26421" spans="6:6">
      <c r="F26421" s="2423"/>
    </row>
    <row r="26422" spans="6:6">
      <c r="F26422" s="2423"/>
    </row>
    <row r="26423" spans="6:6">
      <c r="F26423" s="2423"/>
    </row>
    <row r="26424" spans="6:6">
      <c r="F26424" s="2423"/>
    </row>
    <row r="26425" spans="6:6">
      <c r="F26425" s="2423"/>
    </row>
    <row r="26426" spans="6:6">
      <c r="F26426" s="2423"/>
    </row>
    <row r="26427" spans="6:6">
      <c r="F26427" s="2423"/>
    </row>
    <row r="26428" spans="6:6">
      <c r="F26428" s="2423"/>
    </row>
    <row r="26429" spans="6:6">
      <c r="F26429" s="2423"/>
    </row>
    <row r="26430" spans="6:6">
      <c r="F26430" s="2423"/>
    </row>
    <row r="26431" spans="6:6">
      <c r="F26431" s="2423"/>
    </row>
    <row r="26432" spans="6:6">
      <c r="F26432" s="2423"/>
    </row>
    <row r="26433" spans="6:6">
      <c r="F26433" s="2423"/>
    </row>
    <row r="26434" spans="6:6">
      <c r="F26434" s="2423"/>
    </row>
    <row r="26435" spans="6:6">
      <c r="F26435" s="2423"/>
    </row>
    <row r="26436" spans="6:6">
      <c r="F26436" s="2423"/>
    </row>
    <row r="26437" spans="6:6">
      <c r="F26437" s="2423"/>
    </row>
    <row r="26438" spans="6:6">
      <c r="F26438" s="2423"/>
    </row>
    <row r="26439" spans="6:6">
      <c r="F26439" s="2423"/>
    </row>
    <row r="26440" spans="6:6">
      <c r="F26440" s="2423"/>
    </row>
    <row r="26441" spans="6:6">
      <c r="F26441" s="2423"/>
    </row>
    <row r="26442" spans="6:6">
      <c r="F26442" s="2423"/>
    </row>
    <row r="26443" spans="6:6">
      <c r="F26443" s="2423"/>
    </row>
    <row r="26444" spans="6:6">
      <c r="F26444" s="2423"/>
    </row>
    <row r="26445" spans="6:6">
      <c r="F26445" s="2423"/>
    </row>
    <row r="26446" spans="6:6">
      <c r="F26446" s="2423"/>
    </row>
    <row r="26447" spans="6:6">
      <c r="F26447" s="2423"/>
    </row>
    <row r="26448" spans="6:6">
      <c r="F26448" s="2423"/>
    </row>
    <row r="26449" spans="6:6">
      <c r="F26449" s="2423"/>
    </row>
    <row r="26450" spans="6:6">
      <c r="F26450" s="2423"/>
    </row>
    <row r="26451" spans="6:6">
      <c r="F26451" s="2423"/>
    </row>
    <row r="26452" spans="6:6">
      <c r="F26452" s="2423"/>
    </row>
    <row r="26453" spans="6:6">
      <c r="F26453" s="2423"/>
    </row>
    <row r="26454" spans="6:6">
      <c r="F26454" s="2423"/>
    </row>
    <row r="26455" spans="6:6">
      <c r="F26455" s="2423"/>
    </row>
    <row r="26456" spans="6:6">
      <c r="F26456" s="2423"/>
    </row>
    <row r="26457" spans="6:6">
      <c r="F26457" s="2423"/>
    </row>
    <row r="26458" spans="6:6">
      <c r="F26458" s="2423"/>
    </row>
    <row r="26459" spans="6:6">
      <c r="F26459" s="2423"/>
    </row>
    <row r="26460" spans="6:6">
      <c r="F26460" s="2423"/>
    </row>
    <row r="26461" spans="6:6">
      <c r="F26461" s="2423"/>
    </row>
    <row r="26462" spans="6:6">
      <c r="F26462" s="2423"/>
    </row>
    <row r="26463" spans="6:6">
      <c r="F26463" s="2423"/>
    </row>
    <row r="26464" spans="6:6">
      <c r="F26464" s="2423"/>
    </row>
    <row r="26465" spans="6:6">
      <c r="F26465" s="2423"/>
    </row>
    <row r="26466" spans="6:6">
      <c r="F26466" s="2423"/>
    </row>
    <row r="26467" spans="6:6">
      <c r="F26467" s="2423"/>
    </row>
    <row r="26468" spans="6:6">
      <c r="F26468" s="2423"/>
    </row>
    <row r="26469" spans="6:6">
      <c r="F26469" s="2423"/>
    </row>
    <row r="26470" spans="6:6">
      <c r="F26470" s="2423"/>
    </row>
    <row r="26471" spans="6:6">
      <c r="F26471" s="2423"/>
    </row>
    <row r="26472" spans="6:6">
      <c r="F26472" s="2423"/>
    </row>
    <row r="26473" spans="6:6">
      <c r="F26473" s="2423"/>
    </row>
    <row r="26474" spans="6:6">
      <c r="F26474" s="2423"/>
    </row>
    <row r="26475" spans="6:6">
      <c r="F26475" s="2423"/>
    </row>
    <row r="26476" spans="6:6">
      <c r="F26476" s="2423"/>
    </row>
    <row r="26477" spans="6:6">
      <c r="F26477" s="2423"/>
    </row>
    <row r="26478" spans="6:6">
      <c r="F26478" s="2423"/>
    </row>
    <row r="26479" spans="6:6">
      <c r="F26479" s="2423"/>
    </row>
    <row r="26480" spans="6:6">
      <c r="F26480" s="2423"/>
    </row>
    <row r="26481" spans="6:6">
      <c r="F26481" s="2423"/>
    </row>
    <row r="26482" spans="6:6">
      <c r="F26482" s="2423"/>
    </row>
    <row r="26483" spans="6:6">
      <c r="F26483" s="2423"/>
    </row>
    <row r="26484" spans="6:6">
      <c r="F26484" s="2423"/>
    </row>
    <row r="26485" spans="6:6">
      <c r="F26485" s="2423"/>
    </row>
    <row r="26486" spans="6:6">
      <c r="F26486" s="2423"/>
    </row>
    <row r="26487" spans="6:6">
      <c r="F26487" s="2423"/>
    </row>
    <row r="26488" spans="6:6">
      <c r="F26488" s="2423"/>
    </row>
    <row r="26489" spans="6:6">
      <c r="F26489" s="2423"/>
    </row>
    <row r="26490" spans="6:6">
      <c r="F26490" s="2423"/>
    </row>
    <row r="26491" spans="6:6">
      <c r="F26491" s="2423"/>
    </row>
    <row r="26492" spans="6:6">
      <c r="F26492" s="2423"/>
    </row>
    <row r="26493" spans="6:6">
      <c r="F26493" s="2423"/>
    </row>
    <row r="26494" spans="6:6">
      <c r="F26494" s="2423"/>
    </row>
    <row r="26495" spans="6:6">
      <c r="F26495" s="2423"/>
    </row>
    <row r="26496" spans="6:6">
      <c r="F26496" s="2423"/>
    </row>
    <row r="26497" spans="6:6">
      <c r="F26497" s="2423"/>
    </row>
    <row r="26498" spans="6:6">
      <c r="F26498" s="2423"/>
    </row>
    <row r="26499" spans="6:6">
      <c r="F26499" s="2423"/>
    </row>
    <row r="26500" spans="6:6">
      <c r="F26500" s="2423"/>
    </row>
    <row r="26501" spans="6:6">
      <c r="F26501" s="2423"/>
    </row>
    <row r="26502" spans="6:6">
      <c r="F26502" s="2423"/>
    </row>
    <row r="26503" spans="6:6">
      <c r="F26503" s="2423"/>
    </row>
    <row r="26504" spans="6:6">
      <c r="F26504" s="2423"/>
    </row>
    <row r="26505" spans="6:6">
      <c r="F26505" s="2423"/>
    </row>
    <row r="26506" spans="6:6">
      <c r="F26506" s="2423"/>
    </row>
    <row r="26507" spans="6:6">
      <c r="F26507" s="2423"/>
    </row>
    <row r="26508" spans="6:6">
      <c r="F26508" s="2423"/>
    </row>
    <row r="26509" spans="6:6">
      <c r="F26509" s="2423"/>
    </row>
    <row r="26510" spans="6:6">
      <c r="F26510" s="2423"/>
    </row>
    <row r="26511" spans="6:6">
      <c r="F26511" s="2423"/>
    </row>
    <row r="26512" spans="6:6">
      <c r="F26512" s="2423"/>
    </row>
    <row r="26513" spans="6:6">
      <c r="F26513" s="2423"/>
    </row>
    <row r="26514" spans="6:6">
      <c r="F26514" s="2423"/>
    </row>
    <row r="26515" spans="6:6">
      <c r="F26515" s="2423"/>
    </row>
    <row r="26516" spans="6:6">
      <c r="F26516" s="2423"/>
    </row>
    <row r="26517" spans="6:6">
      <c r="F26517" s="2423"/>
    </row>
    <row r="26518" spans="6:6">
      <c r="F26518" s="2423"/>
    </row>
    <row r="26519" spans="6:6">
      <c r="F26519" s="2423"/>
    </row>
    <row r="26520" spans="6:6">
      <c r="F26520" s="2423"/>
    </row>
    <row r="26521" spans="6:6">
      <c r="F26521" s="2423"/>
    </row>
    <row r="26522" spans="6:6">
      <c r="F26522" s="2423"/>
    </row>
    <row r="26523" spans="6:6">
      <c r="F26523" s="2423"/>
    </row>
    <row r="26524" spans="6:6">
      <c r="F26524" s="2423"/>
    </row>
    <row r="26525" spans="6:6">
      <c r="F26525" s="2423"/>
    </row>
    <row r="26526" spans="6:6">
      <c r="F26526" s="2423"/>
    </row>
    <row r="26527" spans="6:6">
      <c r="F26527" s="2423"/>
    </row>
    <row r="26528" spans="6:6">
      <c r="F26528" s="2423"/>
    </row>
    <row r="26529" spans="6:6">
      <c r="F26529" s="2423"/>
    </row>
    <row r="26530" spans="6:6">
      <c r="F26530" s="2423"/>
    </row>
    <row r="26531" spans="6:6">
      <c r="F26531" s="2423"/>
    </row>
    <row r="26532" spans="6:6">
      <c r="F26532" s="2423"/>
    </row>
    <row r="26533" spans="6:6">
      <c r="F26533" s="2423"/>
    </row>
    <row r="26534" spans="6:6">
      <c r="F26534" s="2423"/>
    </row>
    <row r="26535" spans="6:6">
      <c r="F26535" s="2423"/>
    </row>
    <row r="26536" spans="6:6">
      <c r="F26536" s="2423"/>
    </row>
    <row r="26537" spans="6:6">
      <c r="F26537" s="2423"/>
    </row>
    <row r="26538" spans="6:6">
      <c r="F26538" s="2423"/>
    </row>
    <row r="26539" spans="6:6">
      <c r="F26539" s="2423"/>
    </row>
    <row r="26540" spans="6:6">
      <c r="F26540" s="2423"/>
    </row>
    <row r="26541" spans="6:6">
      <c r="F26541" s="2423"/>
    </row>
    <row r="26542" spans="6:6">
      <c r="F26542" s="2423"/>
    </row>
    <row r="26543" spans="6:6">
      <c r="F26543" s="2423"/>
    </row>
    <row r="26544" spans="6:6">
      <c r="F26544" s="2423"/>
    </row>
    <row r="26545" spans="6:6">
      <c r="F26545" s="2423"/>
    </row>
    <row r="26546" spans="6:6">
      <c r="F26546" s="2423"/>
    </row>
    <row r="26547" spans="6:6">
      <c r="F26547" s="2423"/>
    </row>
    <row r="26548" spans="6:6">
      <c r="F26548" s="2423"/>
    </row>
    <row r="26549" spans="6:6">
      <c r="F26549" s="2423"/>
    </row>
    <row r="26550" spans="6:6">
      <c r="F26550" s="2423"/>
    </row>
    <row r="26551" spans="6:6">
      <c r="F26551" s="2423"/>
    </row>
    <row r="26552" spans="6:6">
      <c r="F26552" s="2423"/>
    </row>
    <row r="26553" spans="6:6">
      <c r="F26553" s="2423"/>
    </row>
    <row r="26554" spans="6:6">
      <c r="F26554" s="2423"/>
    </row>
    <row r="26555" spans="6:6">
      <c r="F26555" s="2423"/>
    </row>
    <row r="26556" spans="6:6">
      <c r="F26556" s="2423"/>
    </row>
    <row r="26557" spans="6:6">
      <c r="F26557" s="2423"/>
    </row>
    <row r="26558" spans="6:6">
      <c r="F26558" s="2423"/>
    </row>
    <row r="26559" spans="6:6">
      <c r="F26559" s="2423"/>
    </row>
    <row r="26560" spans="6:6">
      <c r="F26560" s="2423"/>
    </row>
    <row r="26561" spans="6:6">
      <c r="F26561" s="2423"/>
    </row>
    <row r="26562" spans="6:6">
      <c r="F26562" s="2423"/>
    </row>
    <row r="26563" spans="6:6">
      <c r="F26563" s="2423"/>
    </row>
    <row r="26564" spans="6:6">
      <c r="F26564" s="2423"/>
    </row>
    <row r="26565" spans="6:6">
      <c r="F26565" s="2423"/>
    </row>
    <row r="26566" spans="6:6">
      <c r="F26566" s="2423"/>
    </row>
    <row r="26567" spans="6:6">
      <c r="F26567" s="2423"/>
    </row>
    <row r="26568" spans="6:6">
      <c r="F26568" s="2423"/>
    </row>
    <row r="26569" spans="6:6">
      <c r="F26569" s="2423"/>
    </row>
    <row r="26570" spans="6:6">
      <c r="F26570" s="2423"/>
    </row>
    <row r="26571" spans="6:6">
      <c r="F26571" s="2423"/>
    </row>
    <row r="26572" spans="6:6">
      <c r="F26572" s="2423"/>
    </row>
    <row r="26573" spans="6:6">
      <c r="F26573" s="2423"/>
    </row>
    <row r="26574" spans="6:6">
      <c r="F26574" s="2423"/>
    </row>
    <row r="26575" spans="6:6">
      <c r="F26575" s="2423"/>
    </row>
    <row r="26576" spans="6:6">
      <c r="F26576" s="2423"/>
    </row>
    <row r="26577" spans="6:6">
      <c r="F26577" s="2423"/>
    </row>
    <row r="26578" spans="6:6">
      <c r="F26578" s="2423"/>
    </row>
    <row r="26579" spans="6:6">
      <c r="F26579" s="2423"/>
    </row>
    <row r="26580" spans="6:6">
      <c r="F26580" s="2423"/>
    </row>
    <row r="26581" spans="6:6">
      <c r="F26581" s="2423"/>
    </row>
    <row r="26582" spans="6:6">
      <c r="F26582" s="2423"/>
    </row>
    <row r="26583" spans="6:6">
      <c r="F26583" s="2423"/>
    </row>
    <row r="26584" spans="6:6">
      <c r="F26584" s="2423"/>
    </row>
    <row r="26585" spans="6:6">
      <c r="F26585" s="2423"/>
    </row>
    <row r="26586" spans="6:6">
      <c r="F26586" s="2423"/>
    </row>
    <row r="26587" spans="6:6">
      <c r="F26587" s="2423"/>
    </row>
    <row r="26588" spans="6:6">
      <c r="F26588" s="2423"/>
    </row>
    <row r="26589" spans="6:6">
      <c r="F26589" s="2423"/>
    </row>
    <row r="26590" spans="6:6">
      <c r="F26590" s="2423"/>
    </row>
    <row r="26591" spans="6:6">
      <c r="F26591" s="2423"/>
    </row>
    <row r="26592" spans="6:6">
      <c r="F26592" s="2423"/>
    </row>
    <row r="26593" spans="6:6">
      <c r="F26593" s="2423"/>
    </row>
    <row r="26594" spans="6:6">
      <c r="F26594" s="2423"/>
    </row>
    <row r="26595" spans="6:6">
      <c r="F26595" s="2423"/>
    </row>
    <row r="26596" spans="6:6">
      <c r="F26596" s="2423"/>
    </row>
    <row r="26597" spans="6:6">
      <c r="F26597" s="2423"/>
    </row>
    <row r="26598" spans="6:6">
      <c r="F26598" s="2423"/>
    </row>
    <row r="26599" spans="6:6">
      <c r="F26599" s="2423"/>
    </row>
    <row r="26600" spans="6:6">
      <c r="F26600" s="2423"/>
    </row>
    <row r="26601" spans="6:6">
      <c r="F26601" s="2423"/>
    </row>
    <row r="26602" spans="6:6">
      <c r="F26602" s="2423"/>
    </row>
    <row r="26603" spans="6:6">
      <c r="F26603" s="2423"/>
    </row>
    <row r="26604" spans="6:6">
      <c r="F26604" s="2423"/>
    </row>
    <row r="26605" spans="6:6">
      <c r="F26605" s="2423"/>
    </row>
    <row r="26606" spans="6:6">
      <c r="F26606" s="2423"/>
    </row>
    <row r="26607" spans="6:6">
      <c r="F26607" s="2423"/>
    </row>
    <row r="26608" spans="6:6">
      <c r="F26608" s="2423"/>
    </row>
    <row r="26609" spans="6:6">
      <c r="F26609" s="2423"/>
    </row>
    <row r="26610" spans="6:6">
      <c r="F26610" s="2423"/>
    </row>
    <row r="26611" spans="6:6">
      <c r="F26611" s="2423"/>
    </row>
    <row r="26612" spans="6:6">
      <c r="F26612" s="2423"/>
    </row>
    <row r="26613" spans="6:6">
      <c r="F26613" s="2423"/>
    </row>
    <row r="26614" spans="6:6">
      <c r="F26614" s="2423"/>
    </row>
    <row r="26615" spans="6:6">
      <c r="F26615" s="2423"/>
    </row>
    <row r="26616" spans="6:6">
      <c r="F26616" s="2423"/>
    </row>
    <row r="26617" spans="6:6">
      <c r="F26617" s="2423"/>
    </row>
    <row r="26618" spans="6:6">
      <c r="F26618" s="2423"/>
    </row>
    <row r="26619" spans="6:6">
      <c r="F26619" s="2423"/>
    </row>
    <row r="26620" spans="6:6">
      <c r="F26620" s="2423"/>
    </row>
    <row r="26621" spans="6:6">
      <c r="F26621" s="2423"/>
    </row>
    <row r="26622" spans="6:6">
      <c r="F26622" s="2423"/>
    </row>
    <row r="26623" spans="6:6">
      <c r="F26623" s="2423"/>
    </row>
    <row r="26624" spans="6:6">
      <c r="F26624" s="2423"/>
    </row>
    <row r="26625" spans="6:6">
      <c r="F26625" s="2423"/>
    </row>
    <row r="26626" spans="6:6">
      <c r="F26626" s="2423"/>
    </row>
    <row r="26627" spans="6:6">
      <c r="F26627" s="2423"/>
    </row>
    <row r="26628" spans="6:6">
      <c r="F26628" s="2423"/>
    </row>
    <row r="26629" spans="6:6">
      <c r="F26629" s="2423"/>
    </row>
    <row r="26630" spans="6:6">
      <c r="F26630" s="2423"/>
    </row>
    <row r="26631" spans="6:6">
      <c r="F26631" s="2423"/>
    </row>
    <row r="26632" spans="6:6">
      <c r="F26632" s="2423"/>
    </row>
    <row r="26633" spans="6:6">
      <c r="F26633" s="2423"/>
    </row>
    <row r="26634" spans="6:6">
      <c r="F26634" s="2423"/>
    </row>
    <row r="26635" spans="6:6">
      <c r="F26635" s="2423"/>
    </row>
    <row r="26636" spans="6:6">
      <c r="F26636" s="2423"/>
    </row>
    <row r="26637" spans="6:6">
      <c r="F26637" s="2423"/>
    </row>
    <row r="26638" spans="6:6">
      <c r="F26638" s="2423"/>
    </row>
    <row r="26639" spans="6:6">
      <c r="F26639" s="2423"/>
    </row>
    <row r="26640" spans="6:6">
      <c r="F26640" s="2423"/>
    </row>
    <row r="26641" spans="6:6">
      <c r="F26641" s="2423"/>
    </row>
    <row r="26642" spans="6:6">
      <c r="F26642" s="2423"/>
    </row>
    <row r="26643" spans="6:6">
      <c r="F26643" s="2423"/>
    </row>
    <row r="26644" spans="6:6">
      <c r="F26644" s="2423"/>
    </row>
    <row r="26645" spans="6:6">
      <c r="F26645" s="2423"/>
    </row>
    <row r="26646" spans="6:6">
      <c r="F26646" s="2423"/>
    </row>
    <row r="26647" spans="6:6">
      <c r="F26647" s="2423"/>
    </row>
    <row r="26648" spans="6:6">
      <c r="F26648" s="2423"/>
    </row>
    <row r="26649" spans="6:6">
      <c r="F26649" s="2423"/>
    </row>
    <row r="26650" spans="6:6">
      <c r="F26650" s="2423"/>
    </row>
    <row r="26651" spans="6:6">
      <c r="F26651" s="2423"/>
    </row>
    <row r="26652" spans="6:6">
      <c r="F26652" s="2423"/>
    </row>
    <row r="26653" spans="6:6">
      <c r="F26653" s="2423"/>
    </row>
    <row r="26654" spans="6:6">
      <c r="F26654" s="2423"/>
    </row>
    <row r="26655" spans="6:6">
      <c r="F26655" s="2423"/>
    </row>
    <row r="26656" spans="6:6">
      <c r="F26656" s="2423"/>
    </row>
    <row r="26657" spans="6:6">
      <c r="F26657" s="2423"/>
    </row>
    <row r="26658" spans="6:6">
      <c r="F26658" s="2423"/>
    </row>
    <row r="26659" spans="6:6">
      <c r="F26659" s="2423"/>
    </row>
    <row r="26660" spans="6:6">
      <c r="F26660" s="2423"/>
    </row>
    <row r="26661" spans="6:6">
      <c r="F26661" s="2423"/>
    </row>
    <row r="26662" spans="6:6">
      <c r="F26662" s="2423"/>
    </row>
    <row r="26663" spans="6:6">
      <c r="F26663" s="2423"/>
    </row>
    <row r="26664" spans="6:6">
      <c r="F26664" s="2423"/>
    </row>
    <row r="26665" spans="6:6">
      <c r="F26665" s="2423"/>
    </row>
    <row r="26666" spans="6:6">
      <c r="F26666" s="2423"/>
    </row>
    <row r="26667" spans="6:6">
      <c r="F26667" s="2423"/>
    </row>
    <row r="26668" spans="6:6">
      <c r="F26668" s="2423"/>
    </row>
    <row r="26669" spans="6:6">
      <c r="F26669" s="2423"/>
    </row>
    <row r="26670" spans="6:6">
      <c r="F26670" s="2423"/>
    </row>
    <row r="26671" spans="6:6">
      <c r="F26671" s="2423"/>
    </row>
    <row r="26672" spans="6:6">
      <c r="F26672" s="2423"/>
    </row>
    <row r="26673" spans="6:6">
      <c r="F26673" s="2423"/>
    </row>
    <row r="26674" spans="6:6">
      <c r="F26674" s="2423"/>
    </row>
    <row r="26675" spans="6:6">
      <c r="F26675" s="2423"/>
    </row>
    <row r="26676" spans="6:6">
      <c r="F26676" s="2423"/>
    </row>
    <row r="26677" spans="6:6">
      <c r="F26677" s="2423"/>
    </row>
    <row r="26678" spans="6:6">
      <c r="F26678" s="2423"/>
    </row>
    <row r="26679" spans="6:6">
      <c r="F26679" s="2423"/>
    </row>
    <row r="26680" spans="6:6">
      <c r="F26680" s="2423"/>
    </row>
    <row r="26681" spans="6:6">
      <c r="F26681" s="2423"/>
    </row>
    <row r="26682" spans="6:6">
      <c r="F26682" s="2423"/>
    </row>
    <row r="26683" spans="6:6">
      <c r="F26683" s="2423"/>
    </row>
    <row r="26684" spans="6:6">
      <c r="F26684" s="2423"/>
    </row>
    <row r="26685" spans="6:6">
      <c r="F26685" s="2423"/>
    </row>
    <row r="26686" spans="6:6">
      <c r="F26686" s="2423"/>
    </row>
    <row r="26687" spans="6:6">
      <c r="F26687" s="2423"/>
    </row>
    <row r="26688" spans="6:6">
      <c r="F26688" s="2423"/>
    </row>
    <row r="26689" spans="6:6">
      <c r="F26689" s="2423"/>
    </row>
    <row r="26690" spans="6:6">
      <c r="F26690" s="2423"/>
    </row>
    <row r="26691" spans="6:6">
      <c r="F26691" s="2423"/>
    </row>
    <row r="26692" spans="6:6">
      <c r="F26692" s="2423"/>
    </row>
    <row r="26693" spans="6:6">
      <c r="F26693" s="2423"/>
    </row>
    <row r="26694" spans="6:6">
      <c r="F26694" s="2423"/>
    </row>
    <row r="26695" spans="6:6">
      <c r="F26695" s="2423"/>
    </row>
    <row r="26696" spans="6:6">
      <c r="F26696" s="2423"/>
    </row>
    <row r="26697" spans="6:6">
      <c r="F26697" s="2423"/>
    </row>
    <row r="26698" spans="6:6">
      <c r="F26698" s="2423"/>
    </row>
    <row r="26699" spans="6:6">
      <c r="F26699" s="2423"/>
    </row>
    <row r="26700" spans="6:6">
      <c r="F26700" s="2423"/>
    </row>
    <row r="26701" spans="6:6">
      <c r="F26701" s="2423"/>
    </row>
    <row r="26702" spans="6:6">
      <c r="F26702" s="2423"/>
    </row>
    <row r="26703" spans="6:6">
      <c r="F26703" s="2423"/>
    </row>
    <row r="26704" spans="6:6">
      <c r="F26704" s="2423"/>
    </row>
    <row r="26705" spans="6:6">
      <c r="F26705" s="2423"/>
    </row>
    <row r="26706" spans="6:6">
      <c r="F26706" s="2423"/>
    </row>
    <row r="26707" spans="6:6">
      <c r="F26707" s="2423"/>
    </row>
    <row r="26708" spans="6:6">
      <c r="F26708" s="2423"/>
    </row>
    <row r="26709" spans="6:6">
      <c r="F26709" s="2423"/>
    </row>
    <row r="26710" spans="6:6">
      <c r="F26710" s="2423"/>
    </row>
    <row r="26711" spans="6:6">
      <c r="F26711" s="2423"/>
    </row>
    <row r="26712" spans="6:6">
      <c r="F26712" s="2423"/>
    </row>
    <row r="26713" spans="6:6">
      <c r="F26713" s="2423"/>
    </row>
    <row r="26714" spans="6:6">
      <c r="F26714" s="2423"/>
    </row>
    <row r="26715" spans="6:6">
      <c r="F26715" s="2423"/>
    </row>
    <row r="26716" spans="6:6">
      <c r="F26716" s="2423"/>
    </row>
    <row r="26717" spans="6:6">
      <c r="F26717" s="2423"/>
    </row>
    <row r="26718" spans="6:6">
      <c r="F26718" s="2423"/>
    </row>
    <row r="26719" spans="6:6">
      <c r="F26719" s="2423"/>
    </row>
    <row r="26720" spans="6:6">
      <c r="F26720" s="2423"/>
    </row>
    <row r="26721" spans="6:6">
      <c r="F26721" s="2423"/>
    </row>
    <row r="26722" spans="6:6">
      <c r="F26722" s="2423"/>
    </row>
    <row r="26723" spans="6:6">
      <c r="F26723" s="2423"/>
    </row>
    <row r="26724" spans="6:6">
      <c r="F26724" s="2423"/>
    </row>
    <row r="26725" spans="6:6">
      <c r="F26725" s="2423"/>
    </row>
    <row r="26726" spans="6:6">
      <c r="F26726" s="2423"/>
    </row>
    <row r="26727" spans="6:6">
      <c r="F26727" s="2423"/>
    </row>
    <row r="26728" spans="6:6">
      <c r="F26728" s="2423"/>
    </row>
    <row r="26729" spans="6:6">
      <c r="F26729" s="2423"/>
    </row>
    <row r="26730" spans="6:6">
      <c r="F26730" s="2423"/>
    </row>
    <row r="26731" spans="6:6">
      <c r="F26731" s="2423"/>
    </row>
    <row r="26732" spans="6:6">
      <c r="F26732" s="2423"/>
    </row>
    <row r="26733" spans="6:6">
      <c r="F26733" s="2423"/>
    </row>
    <row r="26734" spans="6:6">
      <c r="F26734" s="2423"/>
    </row>
    <row r="26735" spans="6:6">
      <c r="F26735" s="2423"/>
    </row>
    <row r="26736" spans="6:6">
      <c r="F26736" s="2423"/>
    </row>
    <row r="26737" spans="6:6">
      <c r="F26737" s="2423"/>
    </row>
    <row r="26738" spans="6:6">
      <c r="F26738" s="2423"/>
    </row>
    <row r="26739" spans="6:6">
      <c r="F26739" s="2423"/>
    </row>
    <row r="26740" spans="6:6">
      <c r="F26740" s="2423"/>
    </row>
    <row r="26741" spans="6:6">
      <c r="F26741" s="2423"/>
    </row>
    <row r="26742" spans="6:6">
      <c r="F26742" s="2423"/>
    </row>
    <row r="26743" spans="6:6">
      <c r="F26743" s="2423"/>
    </row>
    <row r="26744" spans="6:6">
      <c r="F26744" s="2423"/>
    </row>
    <row r="26745" spans="6:6">
      <c r="F26745" s="2423"/>
    </row>
    <row r="26746" spans="6:6">
      <c r="F26746" s="2423"/>
    </row>
    <row r="26747" spans="6:6">
      <c r="F26747" s="2423"/>
    </row>
    <row r="26748" spans="6:6">
      <c r="F26748" s="2423"/>
    </row>
    <row r="26749" spans="6:6">
      <c r="F26749" s="2423"/>
    </row>
    <row r="26750" spans="6:6">
      <c r="F26750" s="2423"/>
    </row>
    <row r="26751" spans="6:6">
      <c r="F26751" s="2423"/>
    </row>
    <row r="26752" spans="6:6">
      <c r="F26752" s="2423"/>
    </row>
    <row r="26753" spans="6:6">
      <c r="F26753" s="2423"/>
    </row>
    <row r="26754" spans="6:6">
      <c r="F26754" s="2423"/>
    </row>
    <row r="26755" spans="6:6">
      <c r="F26755" s="2423"/>
    </row>
    <row r="26756" spans="6:6">
      <c r="F26756" s="2423"/>
    </row>
    <row r="26757" spans="6:6">
      <c r="F26757" s="2423"/>
    </row>
    <row r="26758" spans="6:6">
      <c r="F26758" s="2423"/>
    </row>
    <row r="26759" spans="6:6">
      <c r="F26759" s="2423"/>
    </row>
    <row r="26760" spans="6:6">
      <c r="F26760" s="2423"/>
    </row>
    <row r="26761" spans="6:6">
      <c r="F26761" s="2423"/>
    </row>
    <row r="26762" spans="6:6">
      <c r="F26762" s="2423"/>
    </row>
    <row r="26763" spans="6:6">
      <c r="F26763" s="2423"/>
    </row>
    <row r="26764" spans="6:6">
      <c r="F26764" s="2423"/>
    </row>
    <row r="26765" spans="6:6">
      <c r="F26765" s="2423"/>
    </row>
    <row r="26766" spans="6:6">
      <c r="F26766" s="2423"/>
    </row>
    <row r="26767" spans="6:6">
      <c r="F26767" s="2423"/>
    </row>
    <row r="26768" spans="6:6">
      <c r="F26768" s="2423"/>
    </row>
    <row r="26769" spans="6:6">
      <c r="F26769" s="2423"/>
    </row>
    <row r="26770" spans="6:6">
      <c r="F26770" s="2423"/>
    </row>
    <row r="26771" spans="6:6">
      <c r="F26771" s="2423"/>
    </row>
    <row r="26772" spans="6:6">
      <c r="F26772" s="2423"/>
    </row>
    <row r="26773" spans="6:6">
      <c r="F26773" s="2423"/>
    </row>
    <row r="26774" spans="6:6">
      <c r="F26774" s="2423"/>
    </row>
    <row r="26775" spans="6:6">
      <c r="F26775" s="2423"/>
    </row>
    <row r="26776" spans="6:6">
      <c r="F26776" s="2423"/>
    </row>
    <row r="26777" spans="6:6">
      <c r="F26777" s="2423"/>
    </row>
    <row r="26778" spans="6:6">
      <c r="F26778" s="2423"/>
    </row>
    <row r="26779" spans="6:6">
      <c r="F26779" s="2423"/>
    </row>
    <row r="26780" spans="6:6">
      <c r="F26780" s="2423"/>
    </row>
    <row r="26781" spans="6:6">
      <c r="F26781" s="2423"/>
    </row>
    <row r="26782" spans="6:6">
      <c r="F26782" s="2423"/>
    </row>
    <row r="26783" spans="6:6">
      <c r="F26783" s="2423"/>
    </row>
    <row r="26784" spans="6:6">
      <c r="F26784" s="2423"/>
    </row>
    <row r="26785" spans="6:6">
      <c r="F26785" s="2423"/>
    </row>
    <row r="26786" spans="6:6">
      <c r="F26786" s="2423"/>
    </row>
    <row r="26787" spans="6:6">
      <c r="F26787" s="2423"/>
    </row>
    <row r="26788" spans="6:6">
      <c r="F26788" s="2423"/>
    </row>
    <row r="26789" spans="6:6">
      <c r="F26789" s="2423"/>
    </row>
    <row r="26790" spans="6:6">
      <c r="F26790" s="2423"/>
    </row>
    <row r="26791" spans="6:6">
      <c r="F26791" s="2423"/>
    </row>
    <row r="26792" spans="6:6">
      <c r="F26792" s="2423"/>
    </row>
    <row r="26793" spans="6:6">
      <c r="F26793" s="2423"/>
    </row>
    <row r="26794" spans="6:6">
      <c r="F26794" s="2423"/>
    </row>
    <row r="26795" spans="6:6">
      <c r="F26795" s="2423"/>
    </row>
    <row r="26796" spans="6:6">
      <c r="F26796" s="2423"/>
    </row>
    <row r="26797" spans="6:6">
      <c r="F26797" s="2423"/>
    </row>
    <row r="26798" spans="6:6">
      <c r="F26798" s="2423"/>
    </row>
    <row r="26799" spans="6:6">
      <c r="F26799" s="2423"/>
    </row>
    <row r="26800" spans="6:6">
      <c r="F26800" s="2423"/>
    </row>
    <row r="26801" spans="6:6">
      <c r="F26801" s="2423"/>
    </row>
    <row r="26802" spans="6:6">
      <c r="F26802" s="2423"/>
    </row>
    <row r="26803" spans="6:6">
      <c r="F26803" s="2423"/>
    </row>
    <row r="26804" spans="6:6">
      <c r="F26804" s="2423"/>
    </row>
    <row r="26805" spans="6:6">
      <c r="F26805" s="2423"/>
    </row>
    <row r="26806" spans="6:6">
      <c r="F26806" s="2423"/>
    </row>
    <row r="26807" spans="6:6">
      <c r="F26807" s="2423"/>
    </row>
    <row r="26808" spans="6:6">
      <c r="F26808" s="2423"/>
    </row>
    <row r="26809" spans="6:6">
      <c r="F26809" s="2423"/>
    </row>
    <row r="26810" spans="6:6">
      <c r="F26810" s="2423"/>
    </row>
    <row r="26811" spans="6:6">
      <c r="F26811" s="2423"/>
    </row>
    <row r="26812" spans="6:6">
      <c r="F26812" s="2423"/>
    </row>
    <row r="26813" spans="6:6">
      <c r="F26813" s="2423"/>
    </row>
    <row r="26814" spans="6:6">
      <c r="F26814" s="2423"/>
    </row>
    <row r="26815" spans="6:6">
      <c r="F26815" s="2423"/>
    </row>
    <row r="26816" spans="6:6">
      <c r="F26816" s="2423"/>
    </row>
    <row r="26817" spans="6:6">
      <c r="F26817" s="2423"/>
    </row>
    <row r="26818" spans="6:6">
      <c r="F26818" s="2423"/>
    </row>
    <row r="26819" spans="6:6">
      <c r="F26819" s="2423"/>
    </row>
    <row r="26820" spans="6:6">
      <c r="F26820" s="2423"/>
    </row>
    <row r="26821" spans="6:6">
      <c r="F26821" s="2423"/>
    </row>
    <row r="26822" spans="6:6">
      <c r="F26822" s="2423"/>
    </row>
    <row r="26823" spans="6:6">
      <c r="F26823" s="2423"/>
    </row>
    <row r="26824" spans="6:6">
      <c r="F26824" s="2423"/>
    </row>
    <row r="26825" spans="6:6">
      <c r="F26825" s="2423"/>
    </row>
    <row r="26826" spans="6:6">
      <c r="F26826" s="2423"/>
    </row>
    <row r="26827" spans="6:6">
      <c r="F26827" s="2423"/>
    </row>
    <row r="26828" spans="6:6">
      <c r="F26828" s="2423"/>
    </row>
    <row r="26829" spans="6:6">
      <c r="F26829" s="2423"/>
    </row>
    <row r="26830" spans="6:6">
      <c r="F26830" s="2423"/>
    </row>
    <row r="26831" spans="6:6">
      <c r="F26831" s="2423"/>
    </row>
    <row r="26832" spans="6:6">
      <c r="F26832" s="2423"/>
    </row>
    <row r="26833" spans="6:6">
      <c r="F26833" s="2423"/>
    </row>
    <row r="26834" spans="6:6">
      <c r="F26834" s="2423"/>
    </row>
    <row r="26835" spans="6:6">
      <c r="F26835" s="2423"/>
    </row>
    <row r="26836" spans="6:6">
      <c r="F26836" s="2423"/>
    </row>
    <row r="26837" spans="6:6">
      <c r="F26837" s="2423"/>
    </row>
    <row r="26838" spans="6:6">
      <c r="F26838" s="2423"/>
    </row>
    <row r="26839" spans="6:6">
      <c r="F26839" s="2423"/>
    </row>
    <row r="26840" spans="6:6">
      <c r="F26840" s="2423"/>
    </row>
    <row r="26841" spans="6:6">
      <c r="F26841" s="2423"/>
    </row>
    <row r="26842" spans="6:6">
      <c r="F26842" s="2423"/>
    </row>
    <row r="26843" spans="6:6">
      <c r="F26843" s="2423"/>
    </row>
    <row r="26844" spans="6:6">
      <c r="F26844" s="2423"/>
    </row>
    <row r="26845" spans="6:6">
      <c r="F26845" s="2423"/>
    </row>
    <row r="26846" spans="6:6">
      <c r="F26846" s="2423"/>
    </row>
    <row r="26847" spans="6:6">
      <c r="F26847" s="2423"/>
    </row>
    <row r="26848" spans="6:6">
      <c r="F26848" s="2423"/>
    </row>
    <row r="26849" spans="6:6">
      <c r="F26849" s="2423"/>
    </row>
    <row r="26850" spans="6:6">
      <c r="F26850" s="2423"/>
    </row>
    <row r="26851" spans="6:6">
      <c r="F26851" s="2423"/>
    </row>
    <row r="26852" spans="6:6">
      <c r="F26852" s="2423"/>
    </row>
    <row r="26853" spans="6:6">
      <c r="F26853" s="2423"/>
    </row>
    <row r="26854" spans="6:6">
      <c r="F26854" s="2423"/>
    </row>
    <row r="26855" spans="6:6">
      <c r="F26855" s="2423"/>
    </row>
    <row r="26856" spans="6:6">
      <c r="F26856" s="2423"/>
    </row>
    <row r="26857" spans="6:6">
      <c r="F26857" s="2423"/>
    </row>
    <row r="26858" spans="6:6">
      <c r="F26858" s="2423"/>
    </row>
    <row r="26859" spans="6:6">
      <c r="F26859" s="2423"/>
    </row>
    <row r="26860" spans="6:6">
      <c r="F26860" s="2423"/>
    </row>
    <row r="26861" spans="6:6">
      <c r="F26861" s="2423"/>
    </row>
    <row r="26862" spans="6:6">
      <c r="F26862" s="2423"/>
    </row>
    <row r="26863" spans="6:6">
      <c r="F26863" s="2423"/>
    </row>
    <row r="26864" spans="6:6">
      <c r="F26864" s="2423"/>
    </row>
    <row r="26865" spans="6:6">
      <c r="F26865" s="2423"/>
    </row>
    <row r="26866" spans="6:6">
      <c r="F26866" s="2423"/>
    </row>
    <row r="26867" spans="6:6">
      <c r="F26867" s="2423"/>
    </row>
    <row r="26868" spans="6:6">
      <c r="F26868" s="2423"/>
    </row>
    <row r="26869" spans="6:6">
      <c r="F26869" s="2423"/>
    </row>
    <row r="26870" spans="6:6">
      <c r="F26870" s="2423"/>
    </row>
    <row r="26871" spans="6:6">
      <c r="F26871" s="2423"/>
    </row>
    <row r="26872" spans="6:6">
      <c r="F26872" s="2423"/>
    </row>
    <row r="26873" spans="6:6">
      <c r="F26873" s="2423"/>
    </row>
    <row r="26874" spans="6:6">
      <c r="F26874" s="2423"/>
    </row>
    <row r="26875" spans="6:6">
      <c r="F26875" s="2423"/>
    </row>
    <row r="26876" spans="6:6">
      <c r="F26876" s="2423"/>
    </row>
    <row r="26877" spans="6:6">
      <c r="F26877" s="2423"/>
    </row>
    <row r="26878" spans="6:6">
      <c r="F26878" s="2423"/>
    </row>
    <row r="26879" spans="6:6">
      <c r="F26879" s="2423"/>
    </row>
    <row r="26880" spans="6:6">
      <c r="F26880" s="2423"/>
    </row>
    <row r="26881" spans="6:6">
      <c r="F26881" s="2423"/>
    </row>
    <row r="26882" spans="6:6">
      <c r="F26882" s="2423"/>
    </row>
    <row r="26883" spans="6:6">
      <c r="F26883" s="2423"/>
    </row>
    <row r="26884" spans="6:6">
      <c r="F26884" s="2423"/>
    </row>
    <row r="26885" spans="6:6">
      <c r="F26885" s="2423"/>
    </row>
    <row r="26886" spans="6:6">
      <c r="F26886" s="2423"/>
    </row>
    <row r="26887" spans="6:6">
      <c r="F26887" s="2423"/>
    </row>
    <row r="26888" spans="6:6">
      <c r="F26888" s="2423"/>
    </row>
    <row r="26889" spans="6:6">
      <c r="F26889" s="2423"/>
    </row>
    <row r="26890" spans="6:6">
      <c r="F26890" s="2423"/>
    </row>
    <row r="26891" spans="6:6">
      <c r="F26891" s="2423"/>
    </row>
    <row r="26892" spans="6:6">
      <c r="F26892" s="2423"/>
    </row>
    <row r="26893" spans="6:6">
      <c r="F26893" s="2423"/>
    </row>
    <row r="26894" spans="6:6">
      <c r="F26894" s="2423"/>
    </row>
    <row r="26895" spans="6:6">
      <c r="F26895" s="2423"/>
    </row>
    <row r="26896" spans="6:6">
      <c r="F26896" s="2423"/>
    </row>
    <row r="26897" spans="6:6">
      <c r="F26897" s="2423"/>
    </row>
    <row r="26898" spans="6:6">
      <c r="F26898" s="2423"/>
    </row>
    <row r="26899" spans="6:6">
      <c r="F26899" s="2423"/>
    </row>
    <row r="26900" spans="6:6">
      <c r="F26900" s="2423"/>
    </row>
    <row r="26901" spans="6:6">
      <c r="F26901" s="2423"/>
    </row>
    <row r="26902" spans="6:6">
      <c r="F26902" s="2423"/>
    </row>
    <row r="26903" spans="6:6">
      <c r="F26903" s="2423"/>
    </row>
    <row r="26904" spans="6:6">
      <c r="F26904" s="2423"/>
    </row>
    <row r="26905" spans="6:6">
      <c r="F26905" s="2423"/>
    </row>
    <row r="26906" spans="6:6">
      <c r="F26906" s="2423"/>
    </row>
    <row r="26907" spans="6:6">
      <c r="F26907" s="2423"/>
    </row>
    <row r="26908" spans="6:6">
      <c r="F26908" s="2423"/>
    </row>
    <row r="26909" spans="6:6">
      <c r="F26909" s="2423"/>
    </row>
    <row r="26910" spans="6:6">
      <c r="F26910" s="2423"/>
    </row>
    <row r="26911" spans="6:6">
      <c r="F26911" s="2423"/>
    </row>
    <row r="26912" spans="6:6">
      <c r="F26912" s="2423"/>
    </row>
    <row r="26913" spans="6:6">
      <c r="F26913" s="2423"/>
    </row>
    <row r="26914" spans="6:6">
      <c r="F26914" s="2423"/>
    </row>
    <row r="26915" spans="6:6">
      <c r="F26915" s="2423"/>
    </row>
    <row r="26916" spans="6:6">
      <c r="F26916" s="2423"/>
    </row>
    <row r="26917" spans="6:6">
      <c r="F26917" s="2423"/>
    </row>
    <row r="26918" spans="6:6">
      <c r="F26918" s="2423"/>
    </row>
    <row r="26919" spans="6:6">
      <c r="F26919" s="2423"/>
    </row>
    <row r="26920" spans="6:6">
      <c r="F26920" s="2423"/>
    </row>
    <row r="26921" spans="6:6">
      <c r="F26921" s="2423"/>
    </row>
    <row r="26922" spans="6:6">
      <c r="F26922" s="2423"/>
    </row>
    <row r="26923" spans="6:6">
      <c r="F26923" s="2423"/>
    </row>
    <row r="26924" spans="6:6">
      <c r="F26924" s="2423"/>
    </row>
    <row r="26925" spans="6:6">
      <c r="F26925" s="2423"/>
    </row>
    <row r="26926" spans="6:6">
      <c r="F26926" s="2423"/>
    </row>
    <row r="26927" spans="6:6">
      <c r="F26927" s="2423"/>
    </row>
    <row r="26928" spans="6:6">
      <c r="F26928" s="2423"/>
    </row>
    <row r="26929" spans="6:6">
      <c r="F26929" s="2423"/>
    </row>
    <row r="26930" spans="6:6">
      <c r="F26930" s="2423"/>
    </row>
    <row r="26931" spans="6:6">
      <c r="F26931" s="2423"/>
    </row>
    <row r="26932" spans="6:6">
      <c r="F26932" s="2423"/>
    </row>
    <row r="26933" spans="6:6">
      <c r="F26933" s="2423"/>
    </row>
    <row r="26934" spans="6:6">
      <c r="F26934" s="2423"/>
    </row>
    <row r="26935" spans="6:6">
      <c r="F26935" s="2423"/>
    </row>
    <row r="26936" spans="6:6">
      <c r="F26936" s="2423"/>
    </row>
    <row r="26937" spans="6:6">
      <c r="F26937" s="2423"/>
    </row>
    <row r="26938" spans="6:6">
      <c r="F26938" s="2423"/>
    </row>
    <row r="26939" spans="6:6">
      <c r="F26939" s="2423"/>
    </row>
    <row r="26940" spans="6:6">
      <c r="F26940" s="2423"/>
    </row>
    <row r="26941" spans="6:6">
      <c r="F26941" s="2423"/>
    </row>
    <row r="26942" spans="6:6">
      <c r="F26942" s="2423"/>
    </row>
    <row r="26943" spans="6:6">
      <c r="F26943" s="2423"/>
    </row>
    <row r="26944" spans="6:6">
      <c r="F26944" s="2423"/>
    </row>
    <row r="26945" spans="6:6">
      <c r="F26945" s="2423"/>
    </row>
    <row r="26946" spans="6:6">
      <c r="F26946" s="2423"/>
    </row>
    <row r="26947" spans="6:6">
      <c r="F26947" s="2423"/>
    </row>
    <row r="26948" spans="6:6">
      <c r="F26948" s="2423"/>
    </row>
    <row r="26949" spans="6:6">
      <c r="F26949" s="2423"/>
    </row>
    <row r="26950" spans="6:6">
      <c r="F26950" s="2423"/>
    </row>
    <row r="26951" spans="6:6">
      <c r="F26951" s="2423"/>
    </row>
    <row r="26952" spans="6:6">
      <c r="F26952" s="2423"/>
    </row>
    <row r="26953" spans="6:6">
      <c r="F26953" s="2423"/>
    </row>
    <row r="26954" spans="6:6">
      <c r="F26954" s="2423"/>
    </row>
    <row r="26955" spans="6:6">
      <c r="F26955" s="2423"/>
    </row>
    <row r="26956" spans="6:6">
      <c r="F26956" s="2423"/>
    </row>
    <row r="26957" spans="6:6">
      <c r="F26957" s="2423"/>
    </row>
    <row r="26958" spans="6:6">
      <c r="F26958" s="2423"/>
    </row>
    <row r="26959" spans="6:6">
      <c r="F26959" s="2423"/>
    </row>
    <row r="26960" spans="6:6">
      <c r="F26960" s="2423"/>
    </row>
    <row r="26961" spans="6:6">
      <c r="F26961" s="2423"/>
    </row>
    <row r="26962" spans="6:6">
      <c r="F26962" s="2423"/>
    </row>
    <row r="26963" spans="6:6">
      <c r="F26963" s="2423"/>
    </row>
    <row r="26964" spans="6:6">
      <c r="F26964" s="2423"/>
    </row>
    <row r="26965" spans="6:6">
      <c r="F26965" s="2423"/>
    </row>
    <row r="26966" spans="6:6">
      <c r="F26966" s="2423"/>
    </row>
    <row r="26967" spans="6:6">
      <c r="F26967" s="2423"/>
    </row>
    <row r="26968" spans="6:6">
      <c r="F26968" s="2423"/>
    </row>
    <row r="26969" spans="6:6">
      <c r="F26969" s="2423"/>
    </row>
    <row r="26970" spans="6:6">
      <c r="F26970" s="2423"/>
    </row>
    <row r="26971" spans="6:6">
      <c r="F26971" s="2423"/>
    </row>
    <row r="26972" spans="6:6">
      <c r="F26972" s="2423"/>
    </row>
    <row r="26973" spans="6:6">
      <c r="F26973" s="2423"/>
    </row>
    <row r="26974" spans="6:6">
      <c r="F26974" s="2423"/>
    </row>
    <row r="26975" spans="6:6">
      <c r="F26975" s="2423"/>
    </row>
    <row r="26976" spans="6:6">
      <c r="F26976" s="2423"/>
    </row>
    <row r="26977" spans="6:6">
      <c r="F26977" s="2423"/>
    </row>
    <row r="26978" spans="6:6">
      <c r="F26978" s="2423"/>
    </row>
    <row r="26979" spans="6:6">
      <c r="F26979" s="2423"/>
    </row>
    <row r="26980" spans="6:6">
      <c r="F26980" s="2423"/>
    </row>
    <row r="26981" spans="6:6">
      <c r="F26981" s="2423"/>
    </row>
    <row r="26982" spans="6:6">
      <c r="F26982" s="2423"/>
    </row>
    <row r="26983" spans="6:6">
      <c r="F26983" s="2423"/>
    </row>
    <row r="26984" spans="6:6">
      <c r="F26984" s="2423"/>
    </row>
    <row r="26985" spans="6:6">
      <c r="F26985" s="2423"/>
    </row>
    <row r="26986" spans="6:6">
      <c r="F26986" s="2423"/>
    </row>
    <row r="26987" spans="6:6">
      <c r="F26987" s="2423"/>
    </row>
    <row r="26988" spans="6:6">
      <c r="F26988" s="2423"/>
    </row>
    <row r="26989" spans="6:6">
      <c r="F26989" s="2423"/>
    </row>
    <row r="26990" spans="6:6">
      <c r="F26990" s="2423"/>
    </row>
    <row r="26991" spans="6:6">
      <c r="F26991" s="2423"/>
    </row>
    <row r="26992" spans="6:6">
      <c r="F26992" s="2423"/>
    </row>
    <row r="26993" spans="6:6">
      <c r="F26993" s="2423"/>
    </row>
    <row r="26994" spans="6:6">
      <c r="F26994" s="2423"/>
    </row>
    <row r="26995" spans="6:6">
      <c r="F26995" s="2423"/>
    </row>
    <row r="26996" spans="6:6">
      <c r="F26996" s="2423"/>
    </row>
    <row r="26997" spans="6:6">
      <c r="F26997" s="2423"/>
    </row>
    <row r="26998" spans="6:6">
      <c r="F26998" s="2423"/>
    </row>
    <row r="26999" spans="6:6">
      <c r="F26999" s="2423"/>
    </row>
    <row r="27000" spans="6:6">
      <c r="F27000" s="2423"/>
    </row>
    <row r="27001" spans="6:6">
      <c r="F27001" s="2423"/>
    </row>
    <row r="27002" spans="6:6">
      <c r="F27002" s="2423"/>
    </row>
    <row r="27003" spans="6:6">
      <c r="F27003" s="2423"/>
    </row>
    <row r="27004" spans="6:6">
      <c r="F27004" s="2423"/>
    </row>
    <row r="27005" spans="6:6">
      <c r="F27005" s="2423"/>
    </row>
    <row r="27006" spans="6:6">
      <c r="F27006" s="2423"/>
    </row>
    <row r="27007" spans="6:6">
      <c r="F27007" s="2423"/>
    </row>
    <row r="27008" spans="6:6">
      <c r="F27008" s="2423"/>
    </row>
    <row r="27009" spans="6:6">
      <c r="F27009" s="2423"/>
    </row>
    <row r="27010" spans="6:6">
      <c r="F27010" s="2423"/>
    </row>
    <row r="27011" spans="6:6">
      <c r="F27011" s="2423"/>
    </row>
    <row r="27012" spans="6:6">
      <c r="F27012" s="2423"/>
    </row>
    <row r="27013" spans="6:6">
      <c r="F27013" s="2423"/>
    </row>
    <row r="27014" spans="6:6">
      <c r="F27014" s="2423"/>
    </row>
    <row r="27015" spans="6:6">
      <c r="F27015" s="2423"/>
    </row>
    <row r="27016" spans="6:6">
      <c r="F27016" s="2423"/>
    </row>
    <row r="27017" spans="6:6">
      <c r="F27017" s="2423"/>
    </row>
    <row r="27018" spans="6:6">
      <c r="F27018" s="2423"/>
    </row>
    <row r="27019" spans="6:6">
      <c r="F27019" s="2423"/>
    </row>
    <row r="27020" spans="6:6">
      <c r="F27020" s="2423"/>
    </row>
    <row r="27021" spans="6:6">
      <c r="F27021" s="2423"/>
    </row>
    <row r="27022" spans="6:6">
      <c r="F27022" s="2423"/>
    </row>
    <row r="27023" spans="6:6">
      <c r="F27023" s="2423"/>
    </row>
    <row r="27024" spans="6:6">
      <c r="F27024" s="2423"/>
    </row>
    <row r="27025" spans="6:6">
      <c r="F27025" s="2423"/>
    </row>
    <row r="27026" spans="6:6">
      <c r="F27026" s="2423"/>
    </row>
    <row r="27027" spans="6:6">
      <c r="F27027" s="2423"/>
    </row>
    <row r="27028" spans="6:6">
      <c r="F27028" s="2423"/>
    </row>
    <row r="27029" spans="6:6">
      <c r="F27029" s="2423"/>
    </row>
    <row r="27030" spans="6:6">
      <c r="F27030" s="2423"/>
    </row>
    <row r="27031" spans="6:6">
      <c r="F27031" s="2423"/>
    </row>
    <row r="27032" spans="6:6">
      <c r="F27032" s="2423"/>
    </row>
    <row r="27033" spans="6:6">
      <c r="F27033" s="2423"/>
    </row>
    <row r="27034" spans="6:6">
      <c r="F27034" s="2423"/>
    </row>
    <row r="27035" spans="6:6">
      <c r="F27035" s="2423"/>
    </row>
    <row r="27036" spans="6:6">
      <c r="F27036" s="2423"/>
    </row>
    <row r="27037" spans="6:6">
      <c r="F27037" s="2423"/>
    </row>
    <row r="27038" spans="6:6">
      <c r="F27038" s="2423"/>
    </row>
    <row r="27039" spans="6:6">
      <c r="F27039" s="2423"/>
    </row>
    <row r="27040" spans="6:6">
      <c r="F27040" s="2423"/>
    </row>
    <row r="27041" spans="6:6">
      <c r="F27041" s="2423"/>
    </row>
    <row r="27042" spans="6:6">
      <c r="F27042" s="2423"/>
    </row>
    <row r="27043" spans="6:6">
      <c r="F27043" s="2423"/>
    </row>
    <row r="27044" spans="6:6">
      <c r="F27044" s="2423"/>
    </row>
    <row r="27045" spans="6:6">
      <c r="F27045" s="2423"/>
    </row>
    <row r="27046" spans="6:6">
      <c r="F27046" s="2423"/>
    </row>
    <row r="27047" spans="6:6">
      <c r="F27047" s="2423"/>
    </row>
    <row r="27048" spans="6:6">
      <c r="F27048" s="2423"/>
    </row>
    <row r="27049" spans="6:6">
      <c r="F27049" s="2423"/>
    </row>
    <row r="27050" spans="6:6">
      <c r="F27050" s="2423"/>
    </row>
    <row r="27051" spans="6:6">
      <c r="F27051" s="2423"/>
    </row>
    <row r="27052" spans="6:6">
      <c r="F27052" s="2423"/>
    </row>
    <row r="27053" spans="6:6">
      <c r="F27053" s="2423"/>
    </row>
    <row r="27054" spans="6:6">
      <c r="F27054" s="2423"/>
    </row>
    <row r="27055" spans="6:6">
      <c r="F27055" s="2423"/>
    </row>
    <row r="27056" spans="6:6">
      <c r="F27056" s="2423"/>
    </row>
    <row r="27057" spans="6:6">
      <c r="F27057" s="2423"/>
    </row>
    <row r="27058" spans="6:6">
      <c r="F27058" s="2423"/>
    </row>
    <row r="27059" spans="6:6">
      <c r="F27059" s="2423"/>
    </row>
    <row r="27060" spans="6:6">
      <c r="F27060" s="2423"/>
    </row>
    <row r="27061" spans="6:6">
      <c r="F27061" s="2423"/>
    </row>
    <row r="27062" spans="6:6">
      <c r="F27062" s="2423"/>
    </row>
    <row r="27063" spans="6:6">
      <c r="F27063" s="2423"/>
    </row>
    <row r="27064" spans="6:6">
      <c r="F27064" s="2423"/>
    </row>
    <row r="27065" spans="6:6">
      <c r="F27065" s="2423"/>
    </row>
    <row r="27066" spans="6:6">
      <c r="F27066" s="2423"/>
    </row>
    <row r="27067" spans="6:6">
      <c r="F27067" s="2423"/>
    </row>
    <row r="27068" spans="6:6">
      <c r="F27068" s="2423"/>
    </row>
    <row r="27069" spans="6:6">
      <c r="F27069" s="2423"/>
    </row>
    <row r="27070" spans="6:6">
      <c r="F27070" s="2423"/>
    </row>
    <row r="27071" spans="6:6">
      <c r="F27071" s="2423"/>
    </row>
    <row r="27072" spans="6:6">
      <c r="F27072" s="2423"/>
    </row>
    <row r="27073" spans="6:6">
      <c r="F27073" s="2423"/>
    </row>
    <row r="27074" spans="6:6">
      <c r="F27074" s="2423"/>
    </row>
    <row r="27075" spans="6:6">
      <c r="F27075" s="2423"/>
    </row>
    <row r="27076" spans="6:6">
      <c r="F27076" s="2423"/>
    </row>
    <row r="27077" spans="6:6">
      <c r="F27077" s="2423"/>
    </row>
    <row r="27078" spans="6:6">
      <c r="F27078" s="2423"/>
    </row>
    <row r="27079" spans="6:6">
      <c r="F27079" s="2423"/>
    </row>
    <row r="27080" spans="6:6">
      <c r="F27080" s="2423"/>
    </row>
    <row r="27081" spans="6:6">
      <c r="F27081" s="2423"/>
    </row>
    <row r="27082" spans="6:6">
      <c r="F27082" s="2423"/>
    </row>
    <row r="27083" spans="6:6">
      <c r="F27083" s="2423"/>
    </row>
    <row r="27084" spans="6:6">
      <c r="F27084" s="2423"/>
    </row>
    <row r="27085" spans="6:6">
      <c r="F27085" s="2423"/>
    </row>
    <row r="27086" spans="6:6">
      <c r="F27086" s="2423"/>
    </row>
    <row r="27087" spans="6:6">
      <c r="F27087" s="2423"/>
    </row>
    <row r="27088" spans="6:6">
      <c r="F27088" s="2423"/>
    </row>
    <row r="27089" spans="6:6">
      <c r="F27089" s="2423"/>
    </row>
    <row r="27090" spans="6:6">
      <c r="F27090" s="2423"/>
    </row>
    <row r="27091" spans="6:6">
      <c r="F27091" s="2423"/>
    </row>
    <row r="27092" spans="6:6">
      <c r="F27092" s="2423"/>
    </row>
    <row r="27093" spans="6:6">
      <c r="F27093" s="2423"/>
    </row>
    <row r="27094" spans="6:6">
      <c r="F27094" s="2423"/>
    </row>
    <row r="27095" spans="6:6">
      <c r="F27095" s="2423"/>
    </row>
    <row r="27096" spans="6:6">
      <c r="F27096" s="2423"/>
    </row>
    <row r="27097" spans="6:6">
      <c r="F27097" s="2423"/>
    </row>
    <row r="27098" spans="6:6">
      <c r="F27098" s="2423"/>
    </row>
    <row r="27099" spans="6:6">
      <c r="F27099" s="2423"/>
    </row>
    <row r="27100" spans="6:6">
      <c r="F27100" s="2423"/>
    </row>
    <row r="27101" spans="6:6">
      <c r="F27101" s="2423"/>
    </row>
    <row r="27102" spans="6:6">
      <c r="F27102" s="2423"/>
    </row>
    <row r="27103" spans="6:6">
      <c r="F27103" s="2423"/>
    </row>
    <row r="27104" spans="6:6">
      <c r="F27104" s="2423"/>
    </row>
    <row r="27105" spans="6:6">
      <c r="F27105" s="2423"/>
    </row>
    <row r="27106" spans="6:6">
      <c r="F27106" s="2423"/>
    </row>
    <row r="27107" spans="6:6">
      <c r="F27107" s="2423"/>
    </row>
    <row r="27108" spans="6:6">
      <c r="F27108" s="2423"/>
    </row>
    <row r="27109" spans="6:6">
      <c r="F27109" s="2423"/>
    </row>
    <row r="27110" spans="6:6">
      <c r="F27110" s="2423"/>
    </row>
    <row r="27111" spans="6:6">
      <c r="F27111" s="2423"/>
    </row>
    <row r="27112" spans="6:6">
      <c r="F27112" s="2423"/>
    </row>
    <row r="27113" spans="6:6">
      <c r="F27113" s="2423"/>
    </row>
    <row r="27114" spans="6:6">
      <c r="F27114" s="2423"/>
    </row>
    <row r="27115" spans="6:6">
      <c r="F27115" s="2423"/>
    </row>
    <row r="27116" spans="6:6">
      <c r="F27116" s="2423"/>
    </row>
    <row r="27117" spans="6:6">
      <c r="F27117" s="2423"/>
    </row>
    <row r="27118" spans="6:6">
      <c r="F27118" s="2423"/>
    </row>
    <row r="27119" spans="6:6">
      <c r="F27119" s="2423"/>
    </row>
    <row r="27120" spans="6:6">
      <c r="F27120" s="2423"/>
    </row>
    <row r="27121" spans="6:6">
      <c r="F27121" s="2423"/>
    </row>
    <row r="27122" spans="6:6">
      <c r="F27122" s="2423"/>
    </row>
    <row r="27123" spans="6:6">
      <c r="F27123" s="2423"/>
    </row>
    <row r="27124" spans="6:6">
      <c r="F27124" s="2423"/>
    </row>
    <row r="27125" spans="6:6">
      <c r="F27125" s="2423"/>
    </row>
    <row r="27126" spans="6:6">
      <c r="F27126" s="2423"/>
    </row>
    <row r="27127" spans="6:6">
      <c r="F27127" s="2423"/>
    </row>
    <row r="27128" spans="6:6">
      <c r="F27128" s="2423"/>
    </row>
    <row r="27129" spans="6:6">
      <c r="F27129" s="2423"/>
    </row>
    <row r="27130" spans="6:6">
      <c r="F27130" s="2423"/>
    </row>
    <row r="27131" spans="6:6">
      <c r="F27131" s="2423"/>
    </row>
    <row r="27132" spans="6:6">
      <c r="F27132" s="2423"/>
    </row>
    <row r="27133" spans="6:6">
      <c r="F27133" s="2423"/>
    </row>
    <row r="27134" spans="6:6">
      <c r="F27134" s="2423"/>
    </row>
    <row r="27135" spans="6:6">
      <c r="F27135" s="2423"/>
    </row>
    <row r="27136" spans="6:6">
      <c r="F27136" s="2423"/>
    </row>
    <row r="27137" spans="6:6">
      <c r="F27137" s="2423"/>
    </row>
    <row r="27138" spans="6:6">
      <c r="F27138" s="2423"/>
    </row>
    <row r="27139" spans="6:6">
      <c r="F27139" s="2423"/>
    </row>
    <row r="27140" spans="6:6">
      <c r="F27140" s="2423"/>
    </row>
    <row r="27141" spans="6:6">
      <c r="F27141" s="2423"/>
    </row>
    <row r="27142" spans="6:6">
      <c r="F27142" s="2423"/>
    </row>
    <row r="27143" spans="6:6">
      <c r="F27143" s="2423"/>
    </row>
    <row r="27144" spans="6:6">
      <c r="F27144" s="2423"/>
    </row>
    <row r="27145" spans="6:6">
      <c r="F27145" s="2423"/>
    </row>
    <row r="27146" spans="6:6">
      <c r="F27146" s="2423"/>
    </row>
    <row r="27147" spans="6:6">
      <c r="F27147" s="2423"/>
    </row>
    <row r="27148" spans="6:6">
      <c r="F27148" s="2423"/>
    </row>
    <row r="27149" spans="6:6">
      <c r="F27149" s="2423"/>
    </row>
    <row r="27150" spans="6:6">
      <c r="F27150" s="2423"/>
    </row>
    <row r="27151" spans="6:6">
      <c r="F27151" s="2423"/>
    </row>
    <row r="27152" spans="6:6">
      <c r="F27152" s="2423"/>
    </row>
    <row r="27153" spans="6:6">
      <c r="F27153" s="2423"/>
    </row>
    <row r="27154" spans="6:6">
      <c r="F27154" s="2423"/>
    </row>
    <row r="27155" spans="6:6">
      <c r="F27155" s="2423"/>
    </row>
    <row r="27156" spans="6:6">
      <c r="F27156" s="2423"/>
    </row>
    <row r="27157" spans="6:6">
      <c r="F27157" s="2423"/>
    </row>
    <row r="27158" spans="6:6">
      <c r="F27158" s="2423"/>
    </row>
    <row r="27159" spans="6:6">
      <c r="F27159" s="2423"/>
    </row>
    <row r="27160" spans="6:6">
      <c r="F27160" s="2423"/>
    </row>
    <row r="27161" spans="6:6">
      <c r="F27161" s="2423"/>
    </row>
    <row r="27162" spans="6:6">
      <c r="F27162" s="2423"/>
    </row>
    <row r="27163" spans="6:6">
      <c r="F27163" s="2423"/>
    </row>
    <row r="27164" spans="6:6">
      <c r="F27164" s="2423"/>
    </row>
    <row r="27165" spans="6:6">
      <c r="F27165" s="2423"/>
    </row>
    <row r="27166" spans="6:6">
      <c r="F27166" s="2423"/>
    </row>
    <row r="27167" spans="6:6">
      <c r="F27167" s="2423"/>
    </row>
    <row r="27168" spans="6:6">
      <c r="F27168" s="2423"/>
    </row>
    <row r="27169" spans="6:6">
      <c r="F27169" s="2423"/>
    </row>
    <row r="27170" spans="6:6">
      <c r="F27170" s="2423"/>
    </row>
    <row r="27171" spans="6:6">
      <c r="F27171" s="2423"/>
    </row>
    <row r="27172" spans="6:6">
      <c r="F27172" s="2423"/>
    </row>
    <row r="27173" spans="6:6">
      <c r="F27173" s="2423"/>
    </row>
    <row r="27174" spans="6:6">
      <c r="F27174" s="2423"/>
    </row>
    <row r="27175" spans="6:6">
      <c r="F27175" s="2423"/>
    </row>
    <row r="27176" spans="6:6">
      <c r="F27176" s="2423"/>
    </row>
    <row r="27177" spans="6:6">
      <c r="F27177" s="2423"/>
    </row>
    <row r="27178" spans="6:6">
      <c r="F27178" s="2423"/>
    </row>
    <row r="27179" spans="6:6">
      <c r="F27179" s="2423"/>
    </row>
    <row r="27180" spans="6:6">
      <c r="F27180" s="2423"/>
    </row>
    <row r="27181" spans="6:6">
      <c r="F27181" s="2423"/>
    </row>
    <row r="27182" spans="6:6">
      <c r="F27182" s="2423"/>
    </row>
    <row r="27183" spans="6:6">
      <c r="F27183" s="2423"/>
    </row>
    <row r="27184" spans="6:6">
      <c r="F27184" s="2423"/>
    </row>
    <row r="27185" spans="6:6">
      <c r="F27185" s="2423"/>
    </row>
    <row r="27186" spans="6:6">
      <c r="F27186" s="2423"/>
    </row>
    <row r="27187" spans="6:6">
      <c r="F27187" s="2423"/>
    </row>
    <row r="27188" spans="6:6">
      <c r="F27188" s="2423"/>
    </row>
    <row r="27189" spans="6:6">
      <c r="F27189" s="2423"/>
    </row>
    <row r="27190" spans="6:6">
      <c r="F27190" s="2423"/>
    </row>
    <row r="27191" spans="6:6">
      <c r="F27191" s="2423"/>
    </row>
    <row r="27192" spans="6:6">
      <c r="F27192" s="2423"/>
    </row>
    <row r="27193" spans="6:6">
      <c r="F27193" s="2423"/>
    </row>
    <row r="27194" spans="6:6">
      <c r="F27194" s="2423"/>
    </row>
    <row r="27195" spans="6:6">
      <c r="F27195" s="2423"/>
    </row>
    <row r="27196" spans="6:6">
      <c r="F27196" s="2423"/>
    </row>
    <row r="27197" spans="6:6">
      <c r="F27197" s="2423"/>
    </row>
    <row r="27198" spans="6:6">
      <c r="F27198" s="2423"/>
    </row>
    <row r="27199" spans="6:6">
      <c r="F27199" s="2423"/>
    </row>
    <row r="27200" spans="6:6">
      <c r="F27200" s="2423"/>
    </row>
    <row r="27201" spans="6:6">
      <c r="F27201" s="2423"/>
    </row>
    <row r="27202" spans="6:6">
      <c r="F27202" s="2423"/>
    </row>
    <row r="27203" spans="6:6">
      <c r="F27203" s="2423"/>
    </row>
    <row r="27204" spans="6:6">
      <c r="F27204" s="2423"/>
    </row>
    <row r="27205" spans="6:6">
      <c r="F27205" s="2423"/>
    </row>
    <row r="27206" spans="6:6">
      <c r="F27206" s="2423"/>
    </row>
    <row r="27207" spans="6:6">
      <c r="F27207" s="2423"/>
    </row>
    <row r="27208" spans="6:6">
      <c r="F27208" s="2423"/>
    </row>
    <row r="27209" spans="6:6">
      <c r="F27209" s="2423"/>
    </row>
    <row r="27210" spans="6:6">
      <c r="F27210" s="2423"/>
    </row>
    <row r="27211" spans="6:6">
      <c r="F27211" s="2423"/>
    </row>
    <row r="27212" spans="6:6">
      <c r="F27212" s="2423"/>
    </row>
    <row r="27213" spans="6:6">
      <c r="F27213" s="2423"/>
    </row>
    <row r="27214" spans="6:6">
      <c r="F27214" s="2423"/>
    </row>
    <row r="27215" spans="6:6">
      <c r="F27215" s="2423"/>
    </row>
    <row r="27216" spans="6:6">
      <c r="F27216" s="2423"/>
    </row>
    <row r="27217" spans="6:6">
      <c r="F27217" s="2423"/>
    </row>
    <row r="27218" spans="6:6">
      <c r="F27218" s="2423"/>
    </row>
    <row r="27219" spans="6:6">
      <c r="F27219" s="2423"/>
    </row>
    <row r="27220" spans="6:6">
      <c r="F27220" s="2423"/>
    </row>
    <row r="27221" spans="6:6">
      <c r="F27221" s="2423"/>
    </row>
    <row r="27222" spans="6:6">
      <c r="F27222" s="2423"/>
    </row>
    <row r="27223" spans="6:6">
      <c r="F27223" s="2423"/>
    </row>
    <row r="27224" spans="6:6">
      <c r="F27224" s="2423"/>
    </row>
    <row r="27225" spans="6:6">
      <c r="F27225" s="2423"/>
    </row>
    <row r="27226" spans="6:6">
      <c r="F27226" s="2423"/>
    </row>
    <row r="27227" spans="6:6">
      <c r="F27227" s="2423"/>
    </row>
    <row r="27228" spans="6:6">
      <c r="F27228" s="2423"/>
    </row>
    <row r="27229" spans="6:6">
      <c r="F27229" s="2423"/>
    </row>
    <row r="27230" spans="6:6">
      <c r="F27230" s="2423"/>
    </row>
    <row r="27231" spans="6:6">
      <c r="F27231" s="2423"/>
    </row>
    <row r="27232" spans="6:6">
      <c r="F27232" s="2423"/>
    </row>
    <row r="27233" spans="6:6">
      <c r="F27233" s="2423"/>
    </row>
    <row r="27234" spans="6:6">
      <c r="F27234" s="2423"/>
    </row>
    <row r="27235" spans="6:6">
      <c r="F27235" s="2423"/>
    </row>
    <row r="27236" spans="6:6">
      <c r="F27236" s="2423"/>
    </row>
    <row r="27237" spans="6:6">
      <c r="F27237" s="2423"/>
    </row>
    <row r="27238" spans="6:6">
      <c r="F27238" s="2423"/>
    </row>
    <row r="27239" spans="6:6">
      <c r="F27239" s="2423"/>
    </row>
    <row r="27240" spans="6:6">
      <c r="F27240" s="2423"/>
    </row>
    <row r="27241" spans="6:6">
      <c r="F27241" s="2423"/>
    </row>
    <row r="27242" spans="6:6">
      <c r="F27242" s="2423"/>
    </row>
    <row r="27243" spans="6:6">
      <c r="F27243" s="2423"/>
    </row>
    <row r="27244" spans="6:6">
      <c r="F27244" s="2423"/>
    </row>
    <row r="27245" spans="6:6">
      <c r="F27245" s="2423"/>
    </row>
    <row r="27246" spans="6:6">
      <c r="F27246" s="2423"/>
    </row>
    <row r="27247" spans="6:6">
      <c r="F27247" s="2423"/>
    </row>
    <row r="27248" spans="6:6">
      <c r="F27248" s="2423"/>
    </row>
    <row r="27249" spans="6:6">
      <c r="F27249" s="2423"/>
    </row>
    <row r="27250" spans="6:6">
      <c r="F27250" s="2423"/>
    </row>
    <row r="27251" spans="6:6">
      <c r="F27251" s="2423"/>
    </row>
    <row r="27252" spans="6:6">
      <c r="F27252" s="2423"/>
    </row>
    <row r="27253" spans="6:6">
      <c r="F27253" s="2423"/>
    </row>
    <row r="27254" spans="6:6">
      <c r="F27254" s="2423"/>
    </row>
    <row r="27255" spans="6:6">
      <c r="F27255" s="2423"/>
    </row>
    <row r="27256" spans="6:6">
      <c r="F27256" s="2423"/>
    </row>
    <row r="27257" spans="6:6">
      <c r="F27257" s="2423"/>
    </row>
    <row r="27258" spans="6:6">
      <c r="F27258" s="2423"/>
    </row>
    <row r="27259" spans="6:6">
      <c r="F27259" s="2423"/>
    </row>
    <row r="27260" spans="6:6">
      <c r="F27260" s="2423"/>
    </row>
    <row r="27261" spans="6:6">
      <c r="F27261" s="2423"/>
    </row>
    <row r="27262" spans="6:6">
      <c r="F27262" s="2423"/>
    </row>
    <row r="27263" spans="6:6">
      <c r="F27263" s="2423"/>
    </row>
    <row r="27264" spans="6:6">
      <c r="F27264" s="2423"/>
    </row>
    <row r="27265" spans="6:6">
      <c r="F27265" s="2423"/>
    </row>
    <row r="27266" spans="6:6">
      <c r="F27266" s="2423"/>
    </row>
    <row r="27267" spans="6:6">
      <c r="F27267" s="2423"/>
    </row>
    <row r="27268" spans="6:6">
      <c r="F27268" s="2423"/>
    </row>
    <row r="27269" spans="6:6">
      <c r="F27269" s="2423"/>
    </row>
    <row r="27270" spans="6:6">
      <c r="F27270" s="2423"/>
    </row>
    <row r="27271" spans="6:6">
      <c r="F27271" s="2423"/>
    </row>
    <row r="27272" spans="6:6">
      <c r="F27272" s="2423"/>
    </row>
    <row r="27273" spans="6:6">
      <c r="F27273" s="2423"/>
    </row>
    <row r="27274" spans="6:6">
      <c r="F27274" s="2423"/>
    </row>
    <row r="27275" spans="6:6">
      <c r="F27275" s="2423"/>
    </row>
    <row r="27276" spans="6:6">
      <c r="F27276" s="2423"/>
    </row>
    <row r="27277" spans="6:6">
      <c r="F27277" s="2423"/>
    </row>
    <row r="27278" spans="6:6">
      <c r="F27278" s="2423"/>
    </row>
    <row r="27279" spans="6:6">
      <c r="F27279" s="2423"/>
    </row>
    <row r="27280" spans="6:6">
      <c r="F27280" s="2423"/>
    </row>
    <row r="27281" spans="6:6">
      <c r="F27281" s="2423"/>
    </row>
    <row r="27282" spans="6:6">
      <c r="F27282" s="2423"/>
    </row>
    <row r="27283" spans="6:6">
      <c r="F27283" s="2423"/>
    </row>
    <row r="27284" spans="6:6">
      <c r="F27284" s="2423"/>
    </row>
    <row r="27285" spans="6:6">
      <c r="F27285" s="2423"/>
    </row>
    <row r="27286" spans="6:6">
      <c r="F27286" s="2423"/>
    </row>
    <row r="27287" spans="6:6">
      <c r="F27287" s="2423"/>
    </row>
    <row r="27288" spans="6:6">
      <c r="F27288" s="2423"/>
    </row>
    <row r="27289" spans="6:6">
      <c r="F27289" s="2423"/>
    </row>
    <row r="27290" spans="6:6">
      <c r="F27290" s="2423"/>
    </row>
    <row r="27291" spans="6:6">
      <c r="F27291" s="2423"/>
    </row>
    <row r="27292" spans="6:6">
      <c r="F27292" s="2423"/>
    </row>
    <row r="27293" spans="6:6">
      <c r="F27293" s="2423"/>
    </row>
    <row r="27294" spans="6:6">
      <c r="F27294" s="2423"/>
    </row>
    <row r="27295" spans="6:6">
      <c r="F27295" s="2423"/>
    </row>
    <row r="27296" spans="6:6">
      <c r="F27296" s="2423"/>
    </row>
    <row r="27297" spans="6:6">
      <c r="F27297" s="2423"/>
    </row>
    <row r="27298" spans="6:6">
      <c r="F27298" s="2423"/>
    </row>
    <row r="27299" spans="6:6">
      <c r="F27299" s="2423"/>
    </row>
    <row r="27300" spans="6:6">
      <c r="F27300" s="2423"/>
    </row>
    <row r="27301" spans="6:6">
      <c r="F27301" s="2423"/>
    </row>
    <row r="27302" spans="6:6">
      <c r="F27302" s="2423"/>
    </row>
    <row r="27303" spans="6:6">
      <c r="F27303" s="2423"/>
    </row>
    <row r="27304" spans="6:6">
      <c r="F27304" s="2423"/>
    </row>
    <row r="27305" spans="6:6">
      <c r="F27305" s="2423"/>
    </row>
    <row r="27306" spans="6:6">
      <c r="F27306" s="2423"/>
    </row>
    <row r="27307" spans="6:6">
      <c r="F27307" s="2423"/>
    </row>
    <row r="27308" spans="6:6">
      <c r="F27308" s="2423"/>
    </row>
    <row r="27309" spans="6:6">
      <c r="F27309" s="2423"/>
    </row>
    <row r="27310" spans="6:6">
      <c r="F27310" s="2423"/>
    </row>
    <row r="27311" spans="6:6">
      <c r="F27311" s="2423"/>
    </row>
    <row r="27312" spans="6:6">
      <c r="F27312" s="2423"/>
    </row>
    <row r="27313" spans="6:6">
      <c r="F27313" s="2423"/>
    </row>
    <row r="27314" spans="6:6">
      <c r="F27314" s="2423"/>
    </row>
    <row r="27315" spans="6:6">
      <c r="F27315" s="2423"/>
    </row>
    <row r="27316" spans="6:6">
      <c r="F27316" s="2423"/>
    </row>
    <row r="27317" spans="6:6">
      <c r="F27317" s="2423"/>
    </row>
    <row r="27318" spans="6:6">
      <c r="F27318" s="2423"/>
    </row>
    <row r="27319" spans="6:6">
      <c r="F27319" s="2423"/>
    </row>
    <row r="27320" spans="6:6">
      <c r="F27320" s="2423"/>
    </row>
    <row r="27321" spans="6:6">
      <c r="F27321" s="2423"/>
    </row>
    <row r="27322" spans="6:6">
      <c r="F27322" s="2423"/>
    </row>
    <row r="27323" spans="6:6">
      <c r="F27323" s="2423"/>
    </row>
    <row r="27324" spans="6:6">
      <c r="F27324" s="2423"/>
    </row>
    <row r="27325" spans="6:6">
      <c r="F27325" s="2423"/>
    </row>
    <row r="27326" spans="6:6">
      <c r="F27326" s="2423"/>
    </row>
    <row r="27327" spans="6:6">
      <c r="F27327" s="2423"/>
    </row>
    <row r="27328" spans="6:6">
      <c r="F27328" s="2423"/>
    </row>
    <row r="27329" spans="6:6">
      <c r="F27329" s="2423"/>
    </row>
    <row r="27330" spans="6:6">
      <c r="F27330" s="2423"/>
    </row>
    <row r="27331" spans="6:6">
      <c r="F27331" s="2423"/>
    </row>
    <row r="27332" spans="6:6">
      <c r="F27332" s="2423"/>
    </row>
    <row r="27333" spans="6:6">
      <c r="F27333" s="2423"/>
    </row>
    <row r="27334" spans="6:6">
      <c r="F27334" s="2423"/>
    </row>
    <row r="27335" spans="6:6">
      <c r="F27335" s="2423"/>
    </row>
    <row r="27336" spans="6:6">
      <c r="F27336" s="2423"/>
    </row>
    <row r="27337" spans="6:6">
      <c r="F27337" s="2423"/>
    </row>
    <row r="27338" spans="6:6">
      <c r="F27338" s="2423"/>
    </row>
    <row r="27339" spans="6:6">
      <c r="F27339" s="2423"/>
    </row>
    <row r="27340" spans="6:6">
      <c r="F27340" s="2423"/>
    </row>
    <row r="27341" spans="6:6">
      <c r="F27341" s="2423"/>
    </row>
    <row r="27342" spans="6:6">
      <c r="F27342" s="2423"/>
    </row>
    <row r="27343" spans="6:6">
      <c r="F27343" s="2423"/>
    </row>
    <row r="27344" spans="6:6">
      <c r="F27344" s="2423"/>
    </row>
    <row r="27345" spans="6:6">
      <c r="F27345" s="2423"/>
    </row>
    <row r="27346" spans="6:6">
      <c r="F27346" s="2423"/>
    </row>
    <row r="27347" spans="6:6">
      <c r="F27347" s="2423"/>
    </row>
    <row r="27348" spans="6:6">
      <c r="F27348" s="2423"/>
    </row>
    <row r="27349" spans="6:6">
      <c r="F27349" s="2423"/>
    </row>
    <row r="27350" spans="6:6">
      <c r="F27350" s="2423"/>
    </row>
    <row r="27351" spans="6:6">
      <c r="F27351" s="2423"/>
    </row>
    <row r="27352" spans="6:6">
      <c r="F27352" s="2423"/>
    </row>
    <row r="27353" spans="6:6">
      <c r="F27353" s="2423"/>
    </row>
    <row r="27354" spans="6:6">
      <c r="F27354" s="2423"/>
    </row>
    <row r="27355" spans="6:6">
      <c r="F27355" s="2423"/>
    </row>
    <row r="27356" spans="6:6">
      <c r="F27356" s="2423"/>
    </row>
    <row r="27357" spans="6:6">
      <c r="F27357" s="2423"/>
    </row>
    <row r="27358" spans="6:6">
      <c r="F27358" s="2423"/>
    </row>
    <row r="27359" spans="6:6">
      <c r="F27359" s="2423"/>
    </row>
    <row r="27360" spans="6:6">
      <c r="F27360" s="2423"/>
    </row>
    <row r="27361" spans="6:6">
      <c r="F27361" s="2423"/>
    </row>
    <row r="27362" spans="6:6">
      <c r="F27362" s="2423"/>
    </row>
    <row r="27363" spans="6:6">
      <c r="F27363" s="2423"/>
    </row>
    <row r="27364" spans="6:6">
      <c r="F27364" s="2423"/>
    </row>
    <row r="27365" spans="6:6">
      <c r="F27365" s="2423"/>
    </row>
    <row r="27366" spans="6:6">
      <c r="F27366" s="2423"/>
    </row>
    <row r="27367" spans="6:6">
      <c r="F27367" s="2423"/>
    </row>
    <row r="27368" spans="6:6">
      <c r="F27368" s="2423"/>
    </row>
    <row r="27369" spans="6:6">
      <c r="F27369" s="2423"/>
    </row>
    <row r="27370" spans="6:6">
      <c r="F27370" s="2423"/>
    </row>
    <row r="27371" spans="6:6">
      <c r="F27371" s="2423"/>
    </row>
    <row r="27372" spans="6:6">
      <c r="F27372" s="2423"/>
    </row>
    <row r="27373" spans="6:6">
      <c r="F27373" s="2423"/>
    </row>
    <row r="27374" spans="6:6">
      <c r="F27374" s="2423"/>
    </row>
    <row r="27375" spans="6:6">
      <c r="F27375" s="2423"/>
    </row>
    <row r="27376" spans="6:6">
      <c r="F27376" s="2423"/>
    </row>
    <row r="27377" spans="6:6">
      <c r="F27377" s="2423"/>
    </row>
    <row r="27378" spans="6:6">
      <c r="F27378" s="2423"/>
    </row>
    <row r="27379" spans="6:6">
      <c r="F27379" s="2423"/>
    </row>
    <row r="27380" spans="6:6">
      <c r="F27380" s="2423"/>
    </row>
    <row r="27381" spans="6:6">
      <c r="F27381" s="2423"/>
    </row>
    <row r="27382" spans="6:6">
      <c r="F27382" s="2423"/>
    </row>
    <row r="27383" spans="6:6">
      <c r="F27383" s="2423"/>
    </row>
    <row r="27384" spans="6:6">
      <c r="F27384" s="2423"/>
    </row>
    <row r="27385" spans="6:6">
      <c r="F27385" s="2423"/>
    </row>
    <row r="27386" spans="6:6">
      <c r="F27386" s="2423"/>
    </row>
    <row r="27387" spans="6:6">
      <c r="F27387" s="2423"/>
    </row>
    <row r="27388" spans="6:6">
      <c r="F27388" s="2423"/>
    </row>
    <row r="27389" spans="6:6">
      <c r="F27389" s="2423"/>
    </row>
    <row r="27390" spans="6:6">
      <c r="F27390" s="2423"/>
    </row>
    <row r="27391" spans="6:6">
      <c r="F27391" s="2423"/>
    </row>
    <row r="27392" spans="6:6">
      <c r="F27392" s="2423"/>
    </row>
    <row r="27393" spans="6:6">
      <c r="F27393" s="2423"/>
    </row>
    <row r="27394" spans="6:6">
      <c r="F27394" s="2423"/>
    </row>
    <row r="27395" spans="6:6">
      <c r="F27395" s="2423"/>
    </row>
    <row r="27396" spans="6:6">
      <c r="F27396" s="2423"/>
    </row>
    <row r="27397" spans="6:6">
      <c r="F27397" s="2423"/>
    </row>
    <row r="27398" spans="6:6">
      <c r="F27398" s="2423"/>
    </row>
    <row r="27399" spans="6:6">
      <c r="F27399" s="2423"/>
    </row>
    <row r="27400" spans="6:6">
      <c r="F27400" s="2423"/>
    </row>
    <row r="27401" spans="6:6">
      <c r="F27401" s="2423"/>
    </row>
    <row r="27402" spans="6:6">
      <c r="F27402" s="2423"/>
    </row>
    <row r="27403" spans="6:6">
      <c r="F27403" s="2423"/>
    </row>
    <row r="27404" spans="6:6">
      <c r="F27404" s="2423"/>
    </row>
    <row r="27405" spans="6:6">
      <c r="F27405" s="2423"/>
    </row>
    <row r="27406" spans="6:6">
      <c r="F27406" s="2423"/>
    </row>
    <row r="27407" spans="6:6">
      <c r="F27407" s="2423"/>
    </row>
    <row r="27408" spans="6:6">
      <c r="F27408" s="2423"/>
    </row>
    <row r="27409" spans="6:6">
      <c r="F27409" s="2423"/>
    </row>
    <row r="27410" spans="6:6">
      <c r="F27410" s="2423"/>
    </row>
    <row r="27411" spans="6:6">
      <c r="F27411" s="2423"/>
    </row>
    <row r="27412" spans="6:6">
      <c r="F27412" s="2423"/>
    </row>
    <row r="27413" spans="6:6">
      <c r="F27413" s="2423"/>
    </row>
    <row r="27414" spans="6:6">
      <c r="F27414" s="2423"/>
    </row>
    <row r="27415" spans="6:6">
      <c r="F27415" s="2423"/>
    </row>
    <row r="27416" spans="6:6">
      <c r="F27416" s="2423"/>
    </row>
    <row r="27417" spans="6:6">
      <c r="F27417" s="2423"/>
    </row>
    <row r="27418" spans="6:6">
      <c r="F27418" s="2423"/>
    </row>
    <row r="27419" spans="6:6">
      <c r="F27419" s="2423"/>
    </row>
    <row r="27420" spans="6:6">
      <c r="F27420" s="2423"/>
    </row>
    <row r="27421" spans="6:6">
      <c r="F27421" s="2423"/>
    </row>
    <row r="27422" spans="6:6">
      <c r="F27422" s="2423"/>
    </row>
    <row r="27423" spans="6:6">
      <c r="F27423" s="2423"/>
    </row>
    <row r="27424" spans="6:6">
      <c r="F27424" s="2423"/>
    </row>
    <row r="27425" spans="6:6">
      <c r="F27425" s="2423"/>
    </row>
    <row r="27426" spans="6:6">
      <c r="F27426" s="2423"/>
    </row>
    <row r="27427" spans="6:6">
      <c r="F27427" s="2423"/>
    </row>
    <row r="27428" spans="6:6">
      <c r="F27428" s="2423"/>
    </row>
    <row r="27429" spans="6:6">
      <c r="F27429" s="2423"/>
    </row>
    <row r="27430" spans="6:6">
      <c r="F27430" s="2423"/>
    </row>
    <row r="27431" spans="6:6">
      <c r="F27431" s="2423"/>
    </row>
    <row r="27432" spans="6:6">
      <c r="F27432" s="2423"/>
    </row>
    <row r="27433" spans="6:6">
      <c r="F27433" s="2423"/>
    </row>
    <row r="27434" spans="6:6">
      <c r="F27434" s="2423"/>
    </row>
    <row r="27435" spans="6:6">
      <c r="F27435" s="2423"/>
    </row>
    <row r="27436" spans="6:6">
      <c r="F27436" s="2423"/>
    </row>
    <row r="27437" spans="6:6">
      <c r="F27437" s="2423"/>
    </row>
    <row r="27438" spans="6:6">
      <c r="F27438" s="2423"/>
    </row>
    <row r="27439" spans="6:6">
      <c r="F27439" s="2423"/>
    </row>
    <row r="27440" spans="6:6">
      <c r="F27440" s="2423"/>
    </row>
    <row r="27441" spans="6:6">
      <c r="F27441" s="2423"/>
    </row>
    <row r="27442" spans="6:6">
      <c r="F27442" s="2423"/>
    </row>
    <row r="27443" spans="6:6">
      <c r="F27443" s="2423"/>
    </row>
    <row r="27444" spans="6:6">
      <c r="F27444" s="2423"/>
    </row>
    <row r="27445" spans="6:6">
      <c r="F27445" s="2423"/>
    </row>
    <row r="27446" spans="6:6">
      <c r="F27446" s="2423"/>
    </row>
    <row r="27447" spans="6:6">
      <c r="F27447" s="2423"/>
    </row>
    <row r="27448" spans="6:6">
      <c r="F27448" s="2423"/>
    </row>
    <row r="27449" spans="6:6">
      <c r="F27449" s="2423"/>
    </row>
    <row r="27450" spans="6:6">
      <c r="F27450" s="2423"/>
    </row>
    <row r="27451" spans="6:6">
      <c r="F27451" s="2423"/>
    </row>
    <row r="27452" spans="6:6">
      <c r="F27452" s="2423"/>
    </row>
    <row r="27453" spans="6:6">
      <c r="F27453" s="2423"/>
    </row>
    <row r="27454" spans="6:6">
      <c r="F27454" s="2423"/>
    </row>
    <row r="27455" spans="6:6">
      <c r="F27455" s="2423"/>
    </row>
    <row r="27456" spans="6:6">
      <c r="F27456" s="2423"/>
    </row>
    <row r="27457" spans="6:6">
      <c r="F27457" s="2423"/>
    </row>
    <row r="27458" spans="6:6">
      <c r="F27458" s="2423"/>
    </row>
    <row r="27459" spans="6:6">
      <c r="F27459" s="2423"/>
    </row>
    <row r="27460" spans="6:6">
      <c r="F27460" s="2423"/>
    </row>
    <row r="27461" spans="6:6">
      <c r="F27461" s="2423"/>
    </row>
    <row r="27462" spans="6:6">
      <c r="F27462" s="2423"/>
    </row>
    <row r="27463" spans="6:6">
      <c r="F27463" s="2423"/>
    </row>
    <row r="27464" spans="6:6">
      <c r="F27464" s="2423"/>
    </row>
    <row r="27465" spans="6:6">
      <c r="F27465" s="2423"/>
    </row>
    <row r="27466" spans="6:6">
      <c r="F27466" s="2423"/>
    </row>
    <row r="27467" spans="6:6">
      <c r="F27467" s="2423"/>
    </row>
    <row r="27468" spans="6:6">
      <c r="F27468" s="2423"/>
    </row>
    <row r="27469" spans="6:6">
      <c r="F27469" s="2423"/>
    </row>
    <row r="27470" spans="6:6">
      <c r="F27470" s="2423"/>
    </row>
    <row r="27471" spans="6:6">
      <c r="F27471" s="2423"/>
    </row>
    <row r="27472" spans="6:6">
      <c r="F27472" s="2423"/>
    </row>
    <row r="27473" spans="6:6">
      <c r="F27473" s="2423"/>
    </row>
    <row r="27474" spans="6:6">
      <c r="F27474" s="2423"/>
    </row>
    <row r="27475" spans="6:6">
      <c r="F27475" s="2423"/>
    </row>
    <row r="27476" spans="6:6">
      <c r="F27476" s="2423"/>
    </row>
    <row r="27477" spans="6:6">
      <c r="F27477" s="2423"/>
    </row>
    <row r="27478" spans="6:6">
      <c r="F27478" s="2423"/>
    </row>
    <row r="27479" spans="6:6">
      <c r="F27479" s="2423"/>
    </row>
    <row r="27480" spans="6:6">
      <c r="F27480" s="2423"/>
    </row>
    <row r="27481" spans="6:6">
      <c r="F27481" s="2423"/>
    </row>
    <row r="27482" spans="6:6">
      <c r="F27482" s="2423"/>
    </row>
    <row r="27483" spans="6:6">
      <c r="F27483" s="2423"/>
    </row>
    <row r="27484" spans="6:6">
      <c r="F27484" s="2423"/>
    </row>
    <row r="27485" spans="6:6">
      <c r="F27485" s="2423"/>
    </row>
    <row r="27486" spans="6:6">
      <c r="F27486" s="2423"/>
    </row>
    <row r="27487" spans="6:6">
      <c r="F27487" s="2423"/>
    </row>
    <row r="27488" spans="6:6">
      <c r="F27488" s="2423"/>
    </row>
    <row r="27489" spans="6:6">
      <c r="F27489" s="2423"/>
    </row>
    <row r="27490" spans="6:6">
      <c r="F27490" s="2423"/>
    </row>
    <row r="27491" spans="6:6">
      <c r="F27491" s="2423"/>
    </row>
    <row r="27492" spans="6:6">
      <c r="F27492" s="2423"/>
    </row>
    <row r="27493" spans="6:6">
      <c r="F27493" s="2423"/>
    </row>
    <row r="27494" spans="6:6">
      <c r="F27494" s="2423"/>
    </row>
    <row r="27495" spans="6:6">
      <c r="F27495" s="2423"/>
    </row>
    <row r="27496" spans="6:6">
      <c r="F27496" s="2423"/>
    </row>
    <row r="27497" spans="6:6">
      <c r="F27497" s="2423"/>
    </row>
    <row r="27498" spans="6:6">
      <c r="F27498" s="2423"/>
    </row>
    <row r="27499" spans="6:6">
      <c r="F27499" s="2423"/>
    </row>
    <row r="27500" spans="6:6">
      <c r="F27500" s="2423"/>
    </row>
    <row r="27501" spans="6:6">
      <c r="F27501" s="2423"/>
    </row>
    <row r="27502" spans="6:6">
      <c r="F27502" s="2423"/>
    </row>
    <row r="27503" spans="6:6">
      <c r="F27503" s="2423"/>
    </row>
    <row r="27504" spans="6:6">
      <c r="F27504" s="2423"/>
    </row>
    <row r="27505" spans="6:6">
      <c r="F27505" s="2423"/>
    </row>
    <row r="27506" spans="6:6">
      <c r="F27506" s="2423"/>
    </row>
    <row r="27507" spans="6:6">
      <c r="F27507" s="2423"/>
    </row>
    <row r="27508" spans="6:6">
      <c r="F27508" s="2423"/>
    </row>
    <row r="27509" spans="6:6">
      <c r="F27509" s="2423"/>
    </row>
    <row r="27510" spans="6:6">
      <c r="F27510" s="2423"/>
    </row>
    <row r="27511" spans="6:6">
      <c r="F27511" s="2423"/>
    </row>
    <row r="27512" spans="6:6">
      <c r="F27512" s="2423"/>
    </row>
    <row r="27513" spans="6:6">
      <c r="F27513" s="2423"/>
    </row>
    <row r="27514" spans="6:6">
      <c r="F27514" s="2423"/>
    </row>
    <row r="27515" spans="6:6">
      <c r="F27515" s="2423"/>
    </row>
    <row r="27516" spans="6:6">
      <c r="F27516" s="2423"/>
    </row>
    <row r="27517" spans="6:6">
      <c r="F27517" s="2423"/>
    </row>
    <row r="27518" spans="6:6">
      <c r="F27518" s="2423"/>
    </row>
    <row r="27519" spans="6:6">
      <c r="F27519" s="2423"/>
    </row>
    <row r="27520" spans="6:6">
      <c r="F27520" s="2423"/>
    </row>
    <row r="27521" spans="6:6">
      <c r="F27521" s="2423"/>
    </row>
    <row r="27522" spans="6:6">
      <c r="F27522" s="2423"/>
    </row>
    <row r="27523" spans="6:6">
      <c r="F27523" s="2423"/>
    </row>
    <row r="27524" spans="6:6">
      <c r="F27524" s="2423"/>
    </row>
    <row r="27525" spans="6:6">
      <c r="F27525" s="2423"/>
    </row>
    <row r="27526" spans="6:6">
      <c r="F27526" s="2423"/>
    </row>
    <row r="27527" spans="6:6">
      <c r="F27527" s="2423"/>
    </row>
    <row r="27528" spans="6:6">
      <c r="F27528" s="2423"/>
    </row>
    <row r="27529" spans="6:6">
      <c r="F27529" s="2423"/>
    </row>
    <row r="27530" spans="6:6">
      <c r="F27530" s="2423"/>
    </row>
    <row r="27531" spans="6:6">
      <c r="F27531" s="2423"/>
    </row>
    <row r="27532" spans="6:6">
      <c r="F27532" s="2423"/>
    </row>
    <row r="27533" spans="6:6">
      <c r="F27533" s="2423"/>
    </row>
    <row r="27534" spans="6:6">
      <c r="F27534" s="2423"/>
    </row>
    <row r="27535" spans="6:6">
      <c r="F27535" s="2423"/>
    </row>
    <row r="27536" spans="6:6">
      <c r="F27536" s="2423"/>
    </row>
    <row r="27537" spans="6:6">
      <c r="F27537" s="2423"/>
    </row>
    <row r="27538" spans="6:6">
      <c r="F27538" s="2423"/>
    </row>
    <row r="27539" spans="6:6">
      <c r="F27539" s="2423"/>
    </row>
    <row r="27540" spans="6:6">
      <c r="F27540" s="2423"/>
    </row>
    <row r="27541" spans="6:6">
      <c r="F27541" s="2423"/>
    </row>
    <row r="27542" spans="6:6">
      <c r="F27542" s="2423"/>
    </row>
    <row r="27543" spans="6:6">
      <c r="F27543" s="2423"/>
    </row>
    <row r="27544" spans="6:6">
      <c r="F27544" s="2423"/>
    </row>
    <row r="27545" spans="6:6">
      <c r="F27545" s="2423"/>
    </row>
    <row r="27546" spans="6:6">
      <c r="F27546" s="2423"/>
    </row>
    <row r="27547" spans="6:6">
      <c r="F27547" s="2423"/>
    </row>
    <row r="27548" spans="6:6">
      <c r="F27548" s="2423"/>
    </row>
    <row r="27549" spans="6:6">
      <c r="F27549" s="2423"/>
    </row>
    <row r="27550" spans="6:6">
      <c r="F27550" s="2423"/>
    </row>
    <row r="27551" spans="6:6">
      <c r="F27551" s="2423"/>
    </row>
    <row r="27552" spans="6:6">
      <c r="F27552" s="2423"/>
    </row>
    <row r="27553" spans="6:6">
      <c r="F27553" s="2423"/>
    </row>
    <row r="27554" spans="6:6">
      <c r="F27554" s="2423"/>
    </row>
    <row r="27555" spans="6:6">
      <c r="F27555" s="2423"/>
    </row>
    <row r="27556" spans="6:6">
      <c r="F27556" s="2423"/>
    </row>
    <row r="27557" spans="6:6">
      <c r="F27557" s="2423"/>
    </row>
    <row r="27558" spans="6:6">
      <c r="F27558" s="2423"/>
    </row>
    <row r="27559" spans="6:6">
      <c r="F27559" s="2423"/>
    </row>
    <row r="27560" spans="6:6">
      <c r="F27560" s="2423"/>
    </row>
    <row r="27561" spans="6:6">
      <c r="F27561" s="2423"/>
    </row>
    <row r="27562" spans="6:6">
      <c r="F27562" s="2423"/>
    </row>
    <row r="27563" spans="6:6">
      <c r="F27563" s="2423"/>
    </row>
    <row r="27564" spans="6:6">
      <c r="F27564" s="2423"/>
    </row>
    <row r="27565" spans="6:6">
      <c r="F27565" s="2423"/>
    </row>
    <row r="27566" spans="6:6">
      <c r="F27566" s="2423"/>
    </row>
    <row r="27567" spans="6:6">
      <c r="F27567" s="2423"/>
    </row>
    <row r="27568" spans="6:6">
      <c r="F27568" s="2423"/>
    </row>
    <row r="27569" spans="6:6">
      <c r="F27569" s="2423"/>
    </row>
    <row r="27570" spans="6:6">
      <c r="F27570" s="2423"/>
    </row>
    <row r="27571" spans="6:6">
      <c r="F27571" s="2423"/>
    </row>
    <row r="27572" spans="6:6">
      <c r="F27572" s="2423"/>
    </row>
    <row r="27573" spans="6:6">
      <c r="F27573" s="2423"/>
    </row>
    <row r="27574" spans="6:6">
      <c r="F27574" s="2423"/>
    </row>
    <row r="27575" spans="6:6">
      <c r="F27575" s="2423"/>
    </row>
    <row r="27576" spans="6:6">
      <c r="F27576" s="2423"/>
    </row>
    <row r="27577" spans="6:6">
      <c r="F27577" s="2423"/>
    </row>
    <row r="27578" spans="6:6">
      <c r="F27578" s="2423"/>
    </row>
    <row r="27579" spans="6:6">
      <c r="F27579" s="2423"/>
    </row>
    <row r="27580" spans="6:6">
      <c r="F27580" s="2423"/>
    </row>
    <row r="27581" spans="6:6">
      <c r="F27581" s="2423"/>
    </row>
    <row r="27582" spans="6:6">
      <c r="F27582" s="2423"/>
    </row>
    <row r="27583" spans="6:6">
      <c r="F27583" s="2423"/>
    </row>
    <row r="27584" spans="6:6">
      <c r="F27584" s="2423"/>
    </row>
    <row r="27585" spans="6:6">
      <c r="F27585" s="2423"/>
    </row>
    <row r="27586" spans="6:6">
      <c r="F27586" s="2423"/>
    </row>
    <row r="27587" spans="6:6">
      <c r="F27587" s="2423"/>
    </row>
    <row r="27588" spans="6:6">
      <c r="F27588" s="2423"/>
    </row>
    <row r="27589" spans="6:6">
      <c r="F27589" s="2423"/>
    </row>
    <row r="27590" spans="6:6">
      <c r="F27590" s="2423"/>
    </row>
    <row r="27591" spans="6:6">
      <c r="F27591" s="2423"/>
    </row>
    <row r="27592" spans="6:6">
      <c r="F27592" s="2423"/>
    </row>
    <row r="27593" spans="6:6">
      <c r="F27593" s="2423"/>
    </row>
    <row r="27594" spans="6:6">
      <c r="F27594" s="2423"/>
    </row>
    <row r="27595" spans="6:6">
      <c r="F27595" s="2423"/>
    </row>
    <row r="27596" spans="6:6">
      <c r="F27596" s="2423"/>
    </row>
    <row r="27597" spans="6:6">
      <c r="F27597" s="2423"/>
    </row>
    <row r="27598" spans="6:6">
      <c r="F27598" s="2423"/>
    </row>
    <row r="27599" spans="6:6">
      <c r="F27599" s="2423"/>
    </row>
    <row r="27600" spans="6:6">
      <c r="F27600" s="2423"/>
    </row>
    <row r="27601" spans="6:6">
      <c r="F27601" s="2423"/>
    </row>
    <row r="27602" spans="6:6">
      <c r="F27602" s="2423"/>
    </row>
    <row r="27603" spans="6:6">
      <c r="F27603" s="2423"/>
    </row>
    <row r="27604" spans="6:6">
      <c r="F27604" s="2423"/>
    </row>
    <row r="27605" spans="6:6">
      <c r="F27605" s="2423"/>
    </row>
    <row r="27606" spans="6:6">
      <c r="F27606" s="2423"/>
    </row>
    <row r="27607" spans="6:6">
      <c r="F27607" s="2423"/>
    </row>
    <row r="27608" spans="6:6">
      <c r="F27608" s="2423"/>
    </row>
    <row r="27609" spans="6:6">
      <c r="F27609" s="2423"/>
    </row>
    <row r="27610" spans="6:6">
      <c r="F27610" s="2423"/>
    </row>
    <row r="27611" spans="6:6">
      <c r="F27611" s="2423"/>
    </row>
    <row r="27612" spans="6:6">
      <c r="F27612" s="2423"/>
    </row>
    <row r="27613" spans="6:6">
      <c r="F27613" s="2423"/>
    </row>
    <row r="27614" spans="6:6">
      <c r="F27614" s="2423"/>
    </row>
    <row r="27615" spans="6:6">
      <c r="F27615" s="2423"/>
    </row>
    <row r="27616" spans="6:6">
      <c r="F27616" s="2423"/>
    </row>
    <row r="27617" spans="6:6">
      <c r="F27617" s="2423"/>
    </row>
    <row r="27618" spans="6:6">
      <c r="F27618" s="2423"/>
    </row>
    <row r="27619" spans="6:6">
      <c r="F27619" s="2423"/>
    </row>
    <row r="27620" spans="6:6">
      <c r="F27620" s="2423"/>
    </row>
    <row r="27621" spans="6:6">
      <c r="F27621" s="2423"/>
    </row>
    <row r="27622" spans="6:6">
      <c r="F27622" s="2423"/>
    </row>
    <row r="27623" spans="6:6">
      <c r="F27623" s="2423"/>
    </row>
    <row r="27624" spans="6:6">
      <c r="F27624" s="2423"/>
    </row>
    <row r="27625" spans="6:6">
      <c r="F27625" s="2423"/>
    </row>
    <row r="27626" spans="6:6">
      <c r="F27626" s="2423"/>
    </row>
    <row r="27627" spans="6:6">
      <c r="F27627" s="2423"/>
    </row>
    <row r="27628" spans="6:6">
      <c r="F27628" s="2423"/>
    </row>
    <row r="27629" spans="6:6">
      <c r="F27629" s="2423"/>
    </row>
    <row r="27630" spans="6:6">
      <c r="F27630" s="2423"/>
    </row>
    <row r="27631" spans="6:6">
      <c r="F27631" s="2423"/>
    </row>
    <row r="27632" spans="6:6">
      <c r="F27632" s="2423"/>
    </row>
    <row r="27633" spans="6:6">
      <c r="F27633" s="2423"/>
    </row>
    <row r="27634" spans="6:6">
      <c r="F27634" s="2423"/>
    </row>
    <row r="27635" spans="6:6">
      <c r="F27635" s="2423"/>
    </row>
    <row r="27636" spans="6:6">
      <c r="F27636" s="2423"/>
    </row>
    <row r="27637" spans="6:6">
      <c r="F27637" s="2423"/>
    </row>
    <row r="27638" spans="6:6">
      <c r="F27638" s="2423"/>
    </row>
    <row r="27639" spans="6:6">
      <c r="F27639" s="2423"/>
    </row>
    <row r="27640" spans="6:6">
      <c r="F27640" s="2423"/>
    </row>
    <row r="27641" spans="6:6">
      <c r="F27641" s="2423"/>
    </row>
    <row r="27642" spans="6:6">
      <c r="F27642" s="2423"/>
    </row>
    <row r="27643" spans="6:6">
      <c r="F27643" s="2423"/>
    </row>
    <row r="27644" spans="6:6">
      <c r="F27644" s="2423"/>
    </row>
    <row r="27645" spans="6:6">
      <c r="F27645" s="2423"/>
    </row>
    <row r="27646" spans="6:6">
      <c r="F27646" s="2423"/>
    </row>
    <row r="27647" spans="6:6">
      <c r="F27647" s="2423"/>
    </row>
    <row r="27648" spans="6:6">
      <c r="F27648" s="2423"/>
    </row>
    <row r="27649" spans="6:6">
      <c r="F27649" s="2423"/>
    </row>
    <row r="27650" spans="6:6">
      <c r="F27650" s="2423"/>
    </row>
    <row r="27651" spans="6:6">
      <c r="F27651" s="2423"/>
    </row>
    <row r="27652" spans="6:6">
      <c r="F27652" s="2423"/>
    </row>
    <row r="27653" spans="6:6">
      <c r="F27653" s="2423"/>
    </row>
    <row r="27654" spans="6:6">
      <c r="F27654" s="2423"/>
    </row>
    <row r="27655" spans="6:6">
      <c r="F27655" s="2423"/>
    </row>
    <row r="27656" spans="6:6">
      <c r="F27656" s="2423"/>
    </row>
    <row r="27657" spans="6:6">
      <c r="F27657" s="2423"/>
    </row>
    <row r="27658" spans="6:6">
      <c r="F27658" s="2423"/>
    </row>
    <row r="27659" spans="6:6">
      <c r="F27659" s="2423"/>
    </row>
    <row r="27660" spans="6:6">
      <c r="F27660" s="2423"/>
    </row>
    <row r="27661" spans="6:6">
      <c r="F27661" s="2423"/>
    </row>
    <row r="27662" spans="6:6">
      <c r="F27662" s="2423"/>
    </row>
    <row r="27663" spans="6:6">
      <c r="F27663" s="2423"/>
    </row>
    <row r="27664" spans="6:6">
      <c r="F27664" s="2423"/>
    </row>
    <row r="27665" spans="6:6">
      <c r="F27665" s="2423"/>
    </row>
    <row r="27666" spans="6:6">
      <c r="F27666" s="2423"/>
    </row>
    <row r="27667" spans="6:6">
      <c r="F27667" s="2423"/>
    </row>
    <row r="27668" spans="6:6">
      <c r="F27668" s="2423"/>
    </row>
    <row r="27669" spans="6:6">
      <c r="F27669" s="2423"/>
    </row>
    <row r="27670" spans="6:6">
      <c r="F27670" s="2423"/>
    </row>
    <row r="27671" spans="6:6">
      <c r="F27671" s="2423"/>
    </row>
    <row r="27672" spans="6:6">
      <c r="F27672" s="2423"/>
    </row>
    <row r="27673" spans="6:6">
      <c r="F27673" s="2423"/>
    </row>
    <row r="27674" spans="6:6">
      <c r="F27674" s="2423"/>
    </row>
    <row r="27675" spans="6:6">
      <c r="F27675" s="2423"/>
    </row>
    <row r="27676" spans="6:6">
      <c r="F27676" s="2423"/>
    </row>
    <row r="27677" spans="6:6">
      <c r="F27677" s="2423"/>
    </row>
    <row r="27678" spans="6:6">
      <c r="F27678" s="2423"/>
    </row>
    <row r="27679" spans="6:6">
      <c r="F27679" s="2423"/>
    </row>
    <row r="27680" spans="6:6">
      <c r="F27680" s="2423"/>
    </row>
    <row r="27681" spans="6:6">
      <c r="F27681" s="2423"/>
    </row>
    <row r="27682" spans="6:6">
      <c r="F27682" s="2423"/>
    </row>
    <row r="27683" spans="6:6">
      <c r="F27683" s="2423"/>
    </row>
    <row r="27684" spans="6:6">
      <c r="F27684" s="2423"/>
    </row>
    <row r="27685" spans="6:6">
      <c r="F27685" s="2423"/>
    </row>
    <row r="27686" spans="6:6">
      <c r="F27686" s="2423"/>
    </row>
    <row r="27687" spans="6:6">
      <c r="F27687" s="2423"/>
    </row>
    <row r="27688" spans="6:6">
      <c r="F27688" s="2423"/>
    </row>
    <row r="27689" spans="6:6">
      <c r="F27689" s="2423"/>
    </row>
    <row r="27690" spans="6:6">
      <c r="F27690" s="2423"/>
    </row>
    <row r="27691" spans="6:6">
      <c r="F27691" s="2423"/>
    </row>
    <row r="27692" spans="6:6">
      <c r="F27692" s="2423"/>
    </row>
    <row r="27693" spans="6:6">
      <c r="F27693" s="2423"/>
    </row>
    <row r="27694" spans="6:6">
      <c r="F27694" s="2423"/>
    </row>
    <row r="27695" spans="6:6">
      <c r="F27695" s="2423"/>
    </row>
    <row r="27696" spans="6:6">
      <c r="F27696" s="2423"/>
    </row>
    <row r="27697" spans="6:6">
      <c r="F27697" s="2423"/>
    </row>
    <row r="27698" spans="6:6">
      <c r="F27698" s="2423"/>
    </row>
    <row r="27699" spans="6:6">
      <c r="F27699" s="2423"/>
    </row>
    <row r="27700" spans="6:6">
      <c r="F27700" s="2423"/>
    </row>
    <row r="27701" spans="6:6">
      <c r="F27701" s="2423"/>
    </row>
    <row r="27702" spans="6:6">
      <c r="F27702" s="2423"/>
    </row>
    <row r="27703" spans="6:6">
      <c r="F27703" s="2423"/>
    </row>
    <row r="27704" spans="6:6">
      <c r="F27704" s="2423"/>
    </row>
    <row r="27705" spans="6:6">
      <c r="F27705" s="2423"/>
    </row>
    <row r="27706" spans="6:6">
      <c r="F27706" s="2423"/>
    </row>
    <row r="27707" spans="6:6">
      <c r="F27707" s="2423"/>
    </row>
    <row r="27708" spans="6:6">
      <c r="F27708" s="2423"/>
    </row>
    <row r="27709" spans="6:6">
      <c r="F27709" s="2423"/>
    </row>
    <row r="27710" spans="6:6">
      <c r="F27710" s="2423"/>
    </row>
    <row r="27711" spans="6:6">
      <c r="F27711" s="2423"/>
    </row>
    <row r="27712" spans="6:6">
      <c r="F27712" s="2423"/>
    </row>
    <row r="27713" spans="6:6">
      <c r="F27713" s="2423"/>
    </row>
    <row r="27714" spans="6:6">
      <c r="F27714" s="2423"/>
    </row>
    <row r="27715" spans="6:6">
      <c r="F27715" s="2423"/>
    </row>
    <row r="27716" spans="6:6">
      <c r="F27716" s="2423"/>
    </row>
    <row r="27717" spans="6:6">
      <c r="F27717" s="2423"/>
    </row>
    <row r="27718" spans="6:6">
      <c r="F27718" s="2423"/>
    </row>
    <row r="27719" spans="6:6">
      <c r="F27719" s="2423"/>
    </row>
    <row r="27720" spans="6:6">
      <c r="F27720" s="2423"/>
    </row>
    <row r="27721" spans="6:6">
      <c r="F27721" s="2423"/>
    </row>
    <row r="27722" spans="6:6">
      <c r="F27722" s="2423"/>
    </row>
    <row r="27723" spans="6:6">
      <c r="F27723" s="2423"/>
    </row>
    <row r="27724" spans="6:6">
      <c r="F27724" s="2423"/>
    </row>
    <row r="27725" spans="6:6">
      <c r="F27725" s="2423"/>
    </row>
    <row r="27726" spans="6:6">
      <c r="F27726" s="2423"/>
    </row>
    <row r="27727" spans="6:6">
      <c r="F27727" s="2423"/>
    </row>
    <row r="27728" spans="6:6">
      <c r="F27728" s="2423"/>
    </row>
    <row r="27729" spans="6:6">
      <c r="F27729" s="2423"/>
    </row>
    <row r="27730" spans="6:6">
      <c r="F27730" s="2423"/>
    </row>
    <row r="27731" spans="6:6">
      <c r="F27731" s="2423"/>
    </row>
    <row r="27732" spans="6:6">
      <c r="F27732" s="2423"/>
    </row>
    <row r="27733" spans="6:6">
      <c r="F27733" s="2423"/>
    </row>
    <row r="27734" spans="6:6">
      <c r="F27734" s="2423"/>
    </row>
    <row r="27735" spans="6:6">
      <c r="F27735" s="2423"/>
    </row>
    <row r="27736" spans="6:6">
      <c r="F27736" s="2423"/>
    </row>
    <row r="27737" spans="6:6">
      <c r="F27737" s="2423"/>
    </row>
    <row r="27738" spans="6:6">
      <c r="F27738" s="2423"/>
    </row>
    <row r="27739" spans="6:6">
      <c r="F27739" s="2423"/>
    </row>
    <row r="27740" spans="6:6">
      <c r="F27740" s="2423"/>
    </row>
    <row r="27741" spans="6:6">
      <c r="F27741" s="2423"/>
    </row>
    <row r="27742" spans="6:6">
      <c r="F27742" s="2423"/>
    </row>
    <row r="27743" spans="6:6">
      <c r="F27743" s="2423"/>
    </row>
    <row r="27744" spans="6:6">
      <c r="F27744" s="2423"/>
    </row>
    <row r="27745" spans="6:6">
      <c r="F27745" s="2423"/>
    </row>
    <row r="27746" spans="6:6">
      <c r="F27746" s="2423"/>
    </row>
    <row r="27747" spans="6:6">
      <c r="F27747" s="2423"/>
    </row>
    <row r="27748" spans="6:6">
      <c r="F27748" s="2423"/>
    </row>
    <row r="27749" spans="6:6">
      <c r="F27749" s="2423"/>
    </row>
    <row r="27750" spans="6:6">
      <c r="F27750" s="2423"/>
    </row>
    <row r="27751" spans="6:6">
      <c r="F27751" s="2423"/>
    </row>
    <row r="27752" spans="6:6">
      <c r="F27752" s="2423"/>
    </row>
    <row r="27753" spans="6:6">
      <c r="F27753" s="2423"/>
    </row>
    <row r="27754" spans="6:6">
      <c r="F27754" s="2423"/>
    </row>
    <row r="27755" spans="6:6">
      <c r="F27755" s="2423"/>
    </row>
    <row r="27756" spans="6:6">
      <c r="F27756" s="2423"/>
    </row>
    <row r="27757" spans="6:6">
      <c r="F27757" s="2423"/>
    </row>
    <row r="27758" spans="6:6">
      <c r="F27758" s="2423"/>
    </row>
    <row r="27759" spans="6:6">
      <c r="F27759" s="2423"/>
    </row>
    <row r="27760" spans="6:6">
      <c r="F27760" s="2423"/>
    </row>
    <row r="27761" spans="6:6">
      <c r="F27761" s="2423"/>
    </row>
    <row r="27762" spans="6:6">
      <c r="F27762" s="2423"/>
    </row>
    <row r="27763" spans="6:6">
      <c r="F27763" s="2423"/>
    </row>
    <row r="27764" spans="6:6">
      <c r="F27764" s="2423"/>
    </row>
    <row r="27765" spans="6:6">
      <c r="F27765" s="2423"/>
    </row>
    <row r="27766" spans="6:6">
      <c r="F27766" s="2423"/>
    </row>
    <row r="27767" spans="6:6">
      <c r="F27767" s="2423"/>
    </row>
    <row r="27768" spans="6:6">
      <c r="F27768" s="2423"/>
    </row>
    <row r="27769" spans="6:6">
      <c r="F27769" s="2423"/>
    </row>
    <row r="27770" spans="6:6">
      <c r="F27770" s="2423"/>
    </row>
    <row r="27771" spans="6:6">
      <c r="F27771" s="2423"/>
    </row>
    <row r="27772" spans="6:6">
      <c r="F27772" s="2423"/>
    </row>
    <row r="27773" spans="6:6">
      <c r="F27773" s="2423"/>
    </row>
    <row r="27774" spans="6:6">
      <c r="F27774" s="2423"/>
    </row>
    <row r="27775" spans="6:6">
      <c r="F27775" s="2423"/>
    </row>
    <row r="27776" spans="6:6">
      <c r="F27776" s="2423"/>
    </row>
    <row r="27777" spans="6:6">
      <c r="F27777" s="2423"/>
    </row>
    <row r="27778" spans="6:6">
      <c r="F27778" s="2423"/>
    </row>
    <row r="27779" spans="6:6">
      <c r="F27779" s="2423"/>
    </row>
    <row r="27780" spans="6:6">
      <c r="F27780" s="2423"/>
    </row>
    <row r="27781" spans="6:6">
      <c r="F27781" s="2423"/>
    </row>
    <row r="27782" spans="6:6">
      <c r="F27782" s="2423"/>
    </row>
    <row r="27783" spans="6:6">
      <c r="F27783" s="2423"/>
    </row>
    <row r="27784" spans="6:6">
      <c r="F27784" s="2423"/>
    </row>
    <row r="27785" spans="6:6">
      <c r="F27785" s="2423"/>
    </row>
    <row r="27786" spans="6:6">
      <c r="F27786" s="2423"/>
    </row>
    <row r="27787" spans="6:6">
      <c r="F27787" s="2423"/>
    </row>
    <row r="27788" spans="6:6">
      <c r="F27788" s="2423"/>
    </row>
    <row r="27789" spans="6:6">
      <c r="F27789" s="2423"/>
    </row>
    <row r="27790" spans="6:6">
      <c r="F27790" s="2423"/>
    </row>
    <row r="27791" spans="6:6">
      <c r="F27791" s="2423"/>
    </row>
    <row r="27792" spans="6:6">
      <c r="F27792" s="2423"/>
    </row>
    <row r="27793" spans="6:6">
      <c r="F27793" s="2423"/>
    </row>
    <row r="27794" spans="6:6">
      <c r="F27794" s="2423"/>
    </row>
    <row r="27795" spans="6:6">
      <c r="F27795" s="2423"/>
    </row>
    <row r="27796" spans="6:6">
      <c r="F27796" s="2423"/>
    </row>
    <row r="27797" spans="6:6">
      <c r="F27797" s="2423"/>
    </row>
    <row r="27798" spans="6:6">
      <c r="F27798" s="2423"/>
    </row>
    <row r="27799" spans="6:6">
      <c r="F27799" s="2423"/>
    </row>
    <row r="27800" spans="6:6">
      <c r="F27800" s="2423"/>
    </row>
    <row r="27801" spans="6:6">
      <c r="F27801" s="2423"/>
    </row>
    <row r="27802" spans="6:6">
      <c r="F27802" s="2423"/>
    </row>
    <row r="27803" spans="6:6">
      <c r="F27803" s="2423"/>
    </row>
    <row r="27804" spans="6:6">
      <c r="F27804" s="2423"/>
    </row>
    <row r="27805" spans="6:6">
      <c r="F27805" s="2423"/>
    </row>
    <row r="27806" spans="6:6">
      <c r="F27806" s="2423"/>
    </row>
    <row r="27807" spans="6:6">
      <c r="F27807" s="2423"/>
    </row>
    <row r="27808" spans="6:6">
      <c r="F27808" s="2423"/>
    </row>
    <row r="27809" spans="6:6">
      <c r="F27809" s="2423"/>
    </row>
    <row r="27810" spans="6:6">
      <c r="F27810" s="2423"/>
    </row>
    <row r="27811" spans="6:6">
      <c r="F27811" s="2423"/>
    </row>
    <row r="27812" spans="6:6">
      <c r="F27812" s="2423"/>
    </row>
    <row r="27813" spans="6:6">
      <c r="F27813" s="2423"/>
    </row>
    <row r="27814" spans="6:6">
      <c r="F27814" s="2423"/>
    </row>
    <row r="27815" spans="6:6">
      <c r="F27815" s="2423"/>
    </row>
    <row r="27816" spans="6:6">
      <c r="F27816" s="2423"/>
    </row>
    <row r="27817" spans="6:6">
      <c r="F27817" s="2423"/>
    </row>
    <row r="27818" spans="6:6">
      <c r="F27818" s="2423"/>
    </row>
    <row r="27819" spans="6:6">
      <c r="F27819" s="2423"/>
    </row>
    <row r="27820" spans="6:6">
      <c r="F27820" s="2423"/>
    </row>
    <row r="27821" spans="6:6">
      <c r="F27821" s="2423"/>
    </row>
    <row r="27822" spans="6:6">
      <c r="F27822" s="2423"/>
    </row>
    <row r="27823" spans="6:6">
      <c r="F27823" s="2423"/>
    </row>
    <row r="27824" spans="6:6">
      <c r="F27824" s="2423"/>
    </row>
    <row r="27825" spans="6:6">
      <c r="F27825" s="2423"/>
    </row>
    <row r="27826" spans="6:6">
      <c r="F27826" s="2423"/>
    </row>
    <row r="27827" spans="6:6">
      <c r="F27827" s="2423"/>
    </row>
    <row r="27828" spans="6:6">
      <c r="F27828" s="2423"/>
    </row>
    <row r="27829" spans="6:6">
      <c r="F27829" s="2423"/>
    </row>
    <row r="27830" spans="6:6">
      <c r="F27830" s="2423"/>
    </row>
    <row r="27831" spans="6:6">
      <c r="F27831" s="2423"/>
    </row>
    <row r="27832" spans="6:6">
      <c r="F27832" s="2423"/>
    </row>
    <row r="27833" spans="6:6">
      <c r="F27833" s="2423"/>
    </row>
    <row r="27834" spans="6:6">
      <c r="F27834" s="2423"/>
    </row>
    <row r="27835" spans="6:6">
      <c r="F27835" s="2423"/>
    </row>
    <row r="27836" spans="6:6">
      <c r="F27836" s="2423"/>
    </row>
    <row r="27837" spans="6:6">
      <c r="F27837" s="2423"/>
    </row>
    <row r="27838" spans="6:6">
      <c r="F27838" s="2423"/>
    </row>
    <row r="27839" spans="6:6">
      <c r="F27839" s="2423"/>
    </row>
    <row r="27840" spans="6:6">
      <c r="F27840" s="2423"/>
    </row>
    <row r="27841" spans="6:6">
      <c r="F27841" s="2423"/>
    </row>
    <row r="27842" spans="6:6">
      <c r="F27842" s="2423"/>
    </row>
    <row r="27843" spans="6:6">
      <c r="F27843" s="2423"/>
    </row>
    <row r="27844" spans="6:6">
      <c r="F27844" s="2423"/>
    </row>
    <row r="27845" spans="6:6">
      <c r="F27845" s="2423"/>
    </row>
    <row r="27846" spans="6:6">
      <c r="F27846" s="2423"/>
    </row>
    <row r="27847" spans="6:6">
      <c r="F27847" s="2423"/>
    </row>
    <row r="27848" spans="6:6">
      <c r="F27848" s="2423"/>
    </row>
    <row r="27849" spans="6:6">
      <c r="F27849" s="2423"/>
    </row>
    <row r="27850" spans="6:6">
      <c r="F27850" s="2423"/>
    </row>
    <row r="27851" spans="6:6">
      <c r="F27851" s="2423"/>
    </row>
    <row r="27852" spans="6:6">
      <c r="F27852" s="2423"/>
    </row>
    <row r="27853" spans="6:6">
      <c r="F27853" s="2423"/>
    </row>
    <row r="27854" spans="6:6">
      <c r="F27854" s="2423"/>
    </row>
    <row r="27855" spans="6:6">
      <c r="F27855" s="2423"/>
    </row>
    <row r="27856" spans="6:6">
      <c r="F27856" s="2423"/>
    </row>
    <row r="27857" spans="6:6">
      <c r="F27857" s="2423"/>
    </row>
    <row r="27858" spans="6:6">
      <c r="F27858" s="2423"/>
    </row>
    <row r="27859" spans="6:6">
      <c r="F27859" s="2423"/>
    </row>
    <row r="27860" spans="6:6">
      <c r="F27860" s="2423"/>
    </row>
    <row r="27861" spans="6:6">
      <c r="F27861" s="2423"/>
    </row>
    <row r="27862" spans="6:6">
      <c r="F27862" s="2423"/>
    </row>
    <row r="27863" spans="6:6">
      <c r="F27863" s="2423"/>
    </row>
    <row r="27864" spans="6:6">
      <c r="F27864" s="2423"/>
    </row>
    <row r="27865" spans="6:6">
      <c r="F27865" s="2423"/>
    </row>
    <row r="27866" spans="6:6">
      <c r="F27866" s="2423"/>
    </row>
    <row r="27867" spans="6:6">
      <c r="F27867" s="2423"/>
    </row>
    <row r="27868" spans="6:6">
      <c r="F27868" s="2423"/>
    </row>
    <row r="27869" spans="6:6">
      <c r="F27869" s="2423"/>
    </row>
    <row r="27870" spans="6:6">
      <c r="F27870" s="2423"/>
    </row>
    <row r="27871" spans="6:6">
      <c r="F27871" s="2423"/>
    </row>
    <row r="27872" spans="6:6">
      <c r="F27872" s="2423"/>
    </row>
    <row r="27873" spans="6:6">
      <c r="F27873" s="2423"/>
    </row>
    <row r="27874" spans="6:6">
      <c r="F27874" s="2423"/>
    </row>
    <row r="27875" spans="6:6">
      <c r="F27875" s="2423"/>
    </row>
    <row r="27876" spans="6:6">
      <c r="F27876" s="2423"/>
    </row>
    <row r="27877" spans="6:6">
      <c r="F27877" s="2423"/>
    </row>
    <row r="27878" spans="6:6">
      <c r="F27878" s="2423"/>
    </row>
    <row r="27879" spans="6:6">
      <c r="F27879" s="2423"/>
    </row>
    <row r="27880" spans="6:6">
      <c r="F27880" s="2423"/>
    </row>
    <row r="27881" spans="6:6">
      <c r="F27881" s="2423"/>
    </row>
    <row r="27882" spans="6:6">
      <c r="F27882" s="2423"/>
    </row>
    <row r="27883" spans="6:6">
      <c r="F27883" s="2423"/>
    </row>
    <row r="27884" spans="6:6">
      <c r="F27884" s="2423"/>
    </row>
    <row r="27885" spans="6:6">
      <c r="F27885" s="2423"/>
    </row>
    <row r="27886" spans="6:6">
      <c r="F27886" s="2423"/>
    </row>
    <row r="27887" spans="6:6">
      <c r="F27887" s="2423"/>
    </row>
    <row r="27888" spans="6:6">
      <c r="F27888" s="2423"/>
    </row>
    <row r="27889" spans="6:6">
      <c r="F27889" s="2423"/>
    </row>
    <row r="27890" spans="6:6">
      <c r="F27890" s="2423"/>
    </row>
    <row r="27891" spans="6:6">
      <c r="F27891" s="2423"/>
    </row>
    <row r="27892" spans="6:6">
      <c r="F27892" s="2423"/>
    </row>
    <row r="27893" spans="6:6">
      <c r="F27893" s="2423"/>
    </row>
    <row r="27894" spans="6:6">
      <c r="F27894" s="2423"/>
    </row>
    <row r="27895" spans="6:6">
      <c r="F27895" s="2423"/>
    </row>
    <row r="27896" spans="6:6">
      <c r="F27896" s="2423"/>
    </row>
    <row r="27897" spans="6:6">
      <c r="F27897" s="2423"/>
    </row>
    <row r="27898" spans="6:6">
      <c r="F27898" s="2423"/>
    </row>
    <row r="27899" spans="6:6">
      <c r="F27899" s="2423"/>
    </row>
    <row r="27900" spans="6:6">
      <c r="F27900" s="2423"/>
    </row>
    <row r="27901" spans="6:6">
      <c r="F27901" s="2423"/>
    </row>
    <row r="27902" spans="6:6">
      <c r="F27902" s="2423"/>
    </row>
    <row r="27903" spans="6:6">
      <c r="F27903" s="2423"/>
    </row>
    <row r="27904" spans="6:6">
      <c r="F27904" s="2423"/>
    </row>
    <row r="27905" spans="6:6">
      <c r="F27905" s="2423"/>
    </row>
    <row r="27906" spans="6:6">
      <c r="F27906" s="2423"/>
    </row>
    <row r="27907" spans="6:6">
      <c r="F27907" s="2423"/>
    </row>
    <row r="27908" spans="6:6">
      <c r="F27908" s="2423"/>
    </row>
    <row r="27909" spans="6:6">
      <c r="F27909" s="2423"/>
    </row>
    <row r="27910" spans="6:6">
      <c r="F27910" s="2423"/>
    </row>
    <row r="27911" spans="6:6">
      <c r="F27911" s="2423"/>
    </row>
    <row r="27912" spans="6:6">
      <c r="F27912" s="2423"/>
    </row>
    <row r="27913" spans="6:6">
      <c r="F27913" s="2423"/>
    </row>
    <row r="27914" spans="6:6">
      <c r="F27914" s="2423"/>
    </row>
    <row r="27915" spans="6:6">
      <c r="F27915" s="2423"/>
    </row>
    <row r="27916" spans="6:6">
      <c r="F27916" s="2423"/>
    </row>
    <row r="27917" spans="6:6">
      <c r="F27917" s="2423"/>
    </row>
    <row r="27918" spans="6:6">
      <c r="F27918" s="2423"/>
    </row>
    <row r="27919" spans="6:6">
      <c r="F27919" s="2423"/>
    </row>
    <row r="27920" spans="6:6">
      <c r="F27920" s="2423"/>
    </row>
    <row r="27921" spans="6:6">
      <c r="F27921" s="2423"/>
    </row>
    <row r="27922" spans="6:6">
      <c r="F27922" s="2423"/>
    </row>
    <row r="27923" spans="6:6">
      <c r="F27923" s="2423"/>
    </row>
    <row r="27924" spans="6:6">
      <c r="F27924" s="2423"/>
    </row>
    <row r="27925" spans="6:6">
      <c r="F27925" s="2423"/>
    </row>
    <row r="27926" spans="6:6">
      <c r="F27926" s="2423"/>
    </row>
    <row r="27927" spans="6:6">
      <c r="F27927" s="2423"/>
    </row>
    <row r="27928" spans="6:6">
      <c r="F27928" s="2423"/>
    </row>
    <row r="27929" spans="6:6">
      <c r="F27929" s="2423"/>
    </row>
    <row r="27930" spans="6:6">
      <c r="F27930" s="2423"/>
    </row>
    <row r="27931" spans="6:6">
      <c r="F27931" s="2423"/>
    </row>
    <row r="27932" spans="6:6">
      <c r="F27932" s="2423"/>
    </row>
    <row r="27933" spans="6:6">
      <c r="F27933" s="2423"/>
    </row>
    <row r="27934" spans="6:6">
      <c r="F27934" s="2423"/>
    </row>
    <row r="27935" spans="6:6">
      <c r="F27935" s="2423"/>
    </row>
    <row r="27936" spans="6:6">
      <c r="F27936" s="2423"/>
    </row>
    <row r="27937" spans="6:6">
      <c r="F27937" s="2423"/>
    </row>
    <row r="27938" spans="6:6">
      <c r="F27938" s="2423"/>
    </row>
    <row r="27939" spans="6:6">
      <c r="F27939" s="2423"/>
    </row>
    <row r="27940" spans="6:6">
      <c r="F27940" s="2423"/>
    </row>
    <row r="27941" spans="6:6">
      <c r="F27941" s="2423"/>
    </row>
    <row r="27942" spans="6:6">
      <c r="F27942" s="2423"/>
    </row>
    <row r="27943" spans="6:6">
      <c r="F27943" s="2423"/>
    </row>
    <row r="27944" spans="6:6">
      <c r="F27944" s="2423"/>
    </row>
    <row r="27945" spans="6:6">
      <c r="F27945" s="2423"/>
    </row>
    <row r="27946" spans="6:6">
      <c r="F27946" s="2423"/>
    </row>
    <row r="27947" spans="6:6">
      <c r="F27947" s="2423"/>
    </row>
    <row r="27948" spans="6:6">
      <c r="F27948" s="2423"/>
    </row>
    <row r="27949" spans="6:6">
      <c r="F27949" s="2423"/>
    </row>
    <row r="27950" spans="6:6">
      <c r="F27950" s="2423"/>
    </row>
    <row r="27951" spans="6:6">
      <c r="F27951" s="2423"/>
    </row>
    <row r="27952" spans="6:6">
      <c r="F27952" s="2423"/>
    </row>
    <row r="27953" spans="6:6">
      <c r="F27953" s="2423"/>
    </row>
    <row r="27954" spans="6:6">
      <c r="F27954" s="2423"/>
    </row>
    <row r="27955" spans="6:6">
      <c r="F27955" s="2423"/>
    </row>
    <row r="27956" spans="6:6">
      <c r="F27956" s="2423"/>
    </row>
    <row r="27957" spans="6:6">
      <c r="F27957" s="2423"/>
    </row>
    <row r="27958" spans="6:6">
      <c r="F27958" s="2423"/>
    </row>
    <row r="27959" spans="6:6">
      <c r="F27959" s="2423"/>
    </row>
    <row r="27960" spans="6:6">
      <c r="F27960" s="2423"/>
    </row>
    <row r="27961" spans="6:6">
      <c r="F27961" s="2423"/>
    </row>
    <row r="27962" spans="6:6">
      <c r="F27962" s="2423"/>
    </row>
    <row r="27963" spans="6:6">
      <c r="F27963" s="2423"/>
    </row>
    <row r="27964" spans="6:6">
      <c r="F27964" s="2423"/>
    </row>
    <row r="27965" spans="6:6">
      <c r="F27965" s="2423"/>
    </row>
    <row r="27966" spans="6:6">
      <c r="F27966" s="2423"/>
    </row>
    <row r="27967" spans="6:6">
      <c r="F27967" s="2423"/>
    </row>
    <row r="27968" spans="6:6">
      <c r="F27968" s="2423"/>
    </row>
    <row r="27969" spans="6:6">
      <c r="F27969" s="2423"/>
    </row>
    <row r="27970" spans="6:6">
      <c r="F27970" s="2423"/>
    </row>
    <row r="27971" spans="6:6">
      <c r="F27971" s="2423"/>
    </row>
    <row r="27972" spans="6:6">
      <c r="F27972" s="2423"/>
    </row>
    <row r="27973" spans="6:6">
      <c r="F27973" s="2423"/>
    </row>
    <row r="27974" spans="6:6">
      <c r="F27974" s="2423"/>
    </row>
    <row r="27975" spans="6:6">
      <c r="F27975" s="2423"/>
    </row>
    <row r="27976" spans="6:6">
      <c r="F27976" s="2423"/>
    </row>
    <row r="27977" spans="6:6">
      <c r="F27977" s="2423"/>
    </row>
    <row r="27978" spans="6:6">
      <c r="F27978" s="2423"/>
    </row>
    <row r="27979" spans="6:6">
      <c r="F27979" s="2423"/>
    </row>
    <row r="27980" spans="6:6">
      <c r="F27980" s="2423"/>
    </row>
    <row r="27981" spans="6:6">
      <c r="F27981" s="2423"/>
    </row>
    <row r="27982" spans="6:6">
      <c r="F27982" s="2423"/>
    </row>
    <row r="27983" spans="6:6">
      <c r="F27983" s="2423"/>
    </row>
    <row r="27984" spans="6:6">
      <c r="F27984" s="2423"/>
    </row>
    <row r="27985" spans="6:6">
      <c r="F27985" s="2423"/>
    </row>
    <row r="27986" spans="6:6">
      <c r="F27986" s="2423"/>
    </row>
    <row r="27987" spans="6:6">
      <c r="F27987" s="2423"/>
    </row>
    <row r="27988" spans="6:6">
      <c r="F27988" s="2423"/>
    </row>
    <row r="27989" spans="6:6">
      <c r="F27989" s="2423"/>
    </row>
    <row r="27990" spans="6:6">
      <c r="F27990" s="2423"/>
    </row>
    <row r="27991" spans="6:6">
      <c r="F27991" s="2423"/>
    </row>
    <row r="27992" spans="6:6">
      <c r="F27992" s="2423"/>
    </row>
    <row r="27993" spans="6:6">
      <c r="F27993" s="2423"/>
    </row>
    <row r="27994" spans="6:6">
      <c r="F27994" s="2423"/>
    </row>
    <row r="27995" spans="6:6">
      <c r="F27995" s="2423"/>
    </row>
    <row r="27996" spans="6:6">
      <c r="F27996" s="2423"/>
    </row>
    <row r="27997" spans="6:6">
      <c r="F27997" s="2423"/>
    </row>
    <row r="27998" spans="6:6">
      <c r="F27998" s="2423"/>
    </row>
    <row r="27999" spans="6:6">
      <c r="F27999" s="2423"/>
    </row>
    <row r="28000" spans="6:6">
      <c r="F28000" s="2423"/>
    </row>
    <row r="28001" spans="6:6">
      <c r="F28001" s="2423"/>
    </row>
    <row r="28002" spans="6:6">
      <c r="F28002" s="2423"/>
    </row>
    <row r="28003" spans="6:6">
      <c r="F28003" s="2423"/>
    </row>
    <row r="28004" spans="6:6">
      <c r="F28004" s="2423"/>
    </row>
    <row r="28005" spans="6:6">
      <c r="F28005" s="2423"/>
    </row>
    <row r="28006" spans="6:6">
      <c r="F28006" s="2423"/>
    </row>
    <row r="28007" spans="6:6">
      <c r="F28007" s="2423"/>
    </row>
    <row r="28008" spans="6:6">
      <c r="F28008" s="2423"/>
    </row>
    <row r="28009" spans="6:6">
      <c r="F28009" s="2423"/>
    </row>
    <row r="28010" spans="6:6">
      <c r="F28010" s="2423"/>
    </row>
    <row r="28011" spans="6:6">
      <c r="F28011" s="2423"/>
    </row>
    <row r="28012" spans="6:6">
      <c r="F28012" s="2423"/>
    </row>
    <row r="28013" spans="6:6">
      <c r="F28013" s="2423"/>
    </row>
    <row r="28014" spans="6:6">
      <c r="F28014" s="2423"/>
    </row>
    <row r="28015" spans="6:6">
      <c r="F28015" s="2423"/>
    </row>
    <row r="28016" spans="6:6">
      <c r="F28016" s="2423"/>
    </row>
    <row r="28017" spans="6:6">
      <c r="F28017" s="2423"/>
    </row>
    <row r="28018" spans="6:6">
      <c r="F28018" s="2423"/>
    </row>
    <row r="28019" spans="6:6">
      <c r="F28019" s="2423"/>
    </row>
    <row r="28020" spans="6:6">
      <c r="F28020" s="2423"/>
    </row>
    <row r="28021" spans="6:6">
      <c r="F28021" s="2423"/>
    </row>
    <row r="28022" spans="6:6">
      <c r="F28022" s="2423"/>
    </row>
    <row r="28023" spans="6:6">
      <c r="F28023" s="2423"/>
    </row>
    <row r="28024" spans="6:6">
      <c r="F28024" s="2423"/>
    </row>
    <row r="28025" spans="6:6">
      <c r="F28025" s="2423"/>
    </row>
    <row r="28026" spans="6:6">
      <c r="F28026" s="2423"/>
    </row>
    <row r="28027" spans="6:6">
      <c r="F28027" s="2423"/>
    </row>
    <row r="28028" spans="6:6">
      <c r="F28028" s="2423"/>
    </row>
    <row r="28029" spans="6:6">
      <c r="F28029" s="2423"/>
    </row>
    <row r="28030" spans="6:6">
      <c r="F28030" s="2423"/>
    </row>
    <row r="28031" spans="6:6">
      <c r="F28031" s="2423"/>
    </row>
    <row r="28032" spans="6:6">
      <c r="F28032" s="2423"/>
    </row>
    <row r="28033" spans="6:6">
      <c r="F28033" s="2423"/>
    </row>
    <row r="28034" spans="6:6">
      <c r="F28034" s="2423"/>
    </row>
    <row r="28035" spans="6:6">
      <c r="F28035" s="2423"/>
    </row>
    <row r="28036" spans="6:6">
      <c r="F28036" s="2423"/>
    </row>
    <row r="28037" spans="6:6">
      <c r="F28037" s="2423"/>
    </row>
    <row r="28038" spans="6:6">
      <c r="F28038" s="2423"/>
    </row>
    <row r="28039" spans="6:6">
      <c r="F28039" s="2423"/>
    </row>
    <row r="28040" spans="6:6">
      <c r="F28040" s="2423"/>
    </row>
    <row r="28041" spans="6:6">
      <c r="F28041" s="2423"/>
    </row>
    <row r="28042" spans="6:6">
      <c r="F28042" s="2423"/>
    </row>
    <row r="28043" spans="6:6">
      <c r="F28043" s="2423"/>
    </row>
    <row r="28044" spans="6:6">
      <c r="F28044" s="2423"/>
    </row>
    <row r="28045" spans="6:6">
      <c r="F28045" s="2423"/>
    </row>
    <row r="28046" spans="6:6">
      <c r="F28046" s="2423"/>
    </row>
    <row r="28047" spans="6:6">
      <c r="F28047" s="2423"/>
    </row>
    <row r="28048" spans="6:6">
      <c r="F28048" s="2423"/>
    </row>
    <row r="28049" spans="6:6">
      <c r="F28049" s="2423"/>
    </row>
    <row r="28050" spans="6:6">
      <c r="F28050" s="2423"/>
    </row>
    <row r="28051" spans="6:6">
      <c r="F28051" s="2423"/>
    </row>
    <row r="28052" spans="6:6">
      <c r="F28052" s="2423"/>
    </row>
    <row r="28053" spans="6:6">
      <c r="F28053" s="2423"/>
    </row>
    <row r="28054" spans="6:6">
      <c r="F28054" s="2423"/>
    </row>
    <row r="28055" spans="6:6">
      <c r="F28055" s="2423"/>
    </row>
    <row r="28056" spans="6:6">
      <c r="F28056" s="2423"/>
    </row>
    <row r="28057" spans="6:6">
      <c r="F28057" s="2423"/>
    </row>
    <row r="28058" spans="6:6">
      <c r="F28058" s="2423"/>
    </row>
    <row r="28059" spans="6:6">
      <c r="F28059" s="2423"/>
    </row>
    <row r="28060" spans="6:6">
      <c r="F28060" s="2423"/>
    </row>
    <row r="28061" spans="6:6">
      <c r="F28061" s="2423"/>
    </row>
    <row r="28062" spans="6:6">
      <c r="F28062" s="2423"/>
    </row>
    <row r="28063" spans="6:6">
      <c r="F28063" s="2423"/>
    </row>
    <row r="28064" spans="6:6">
      <c r="F28064" s="2423"/>
    </row>
    <row r="28065" spans="6:6">
      <c r="F28065" s="2423"/>
    </row>
    <row r="28066" spans="6:6">
      <c r="F28066" s="2423"/>
    </row>
    <row r="28067" spans="6:6">
      <c r="F28067" s="2423"/>
    </row>
    <row r="28068" spans="6:6">
      <c r="F28068" s="2423"/>
    </row>
    <row r="28069" spans="6:6">
      <c r="F28069" s="2423"/>
    </row>
    <row r="28070" spans="6:6">
      <c r="F28070" s="2423"/>
    </row>
    <row r="28071" spans="6:6">
      <c r="F28071" s="2423"/>
    </row>
    <row r="28072" spans="6:6">
      <c r="F28072" s="2423"/>
    </row>
    <row r="28073" spans="6:6">
      <c r="F28073" s="2423"/>
    </row>
    <row r="28074" spans="6:6">
      <c r="F28074" s="2423"/>
    </row>
    <row r="28075" spans="6:6">
      <c r="F28075" s="2423"/>
    </row>
    <row r="28076" spans="6:6">
      <c r="F28076" s="2423"/>
    </row>
    <row r="28077" spans="6:6">
      <c r="F28077" s="2423"/>
    </row>
    <row r="28078" spans="6:6">
      <c r="F28078" s="2423"/>
    </row>
    <row r="28079" spans="6:6">
      <c r="F28079" s="2423"/>
    </row>
    <row r="28080" spans="6:6">
      <c r="F28080" s="2423"/>
    </row>
    <row r="28081" spans="6:6">
      <c r="F28081" s="2423"/>
    </row>
    <row r="28082" spans="6:6">
      <c r="F28082" s="2423"/>
    </row>
    <row r="28083" spans="6:6">
      <c r="F28083" s="2423"/>
    </row>
    <row r="28084" spans="6:6">
      <c r="F28084" s="2423"/>
    </row>
    <row r="28085" spans="6:6">
      <c r="F28085" s="2423"/>
    </row>
    <row r="28086" spans="6:6">
      <c r="F28086" s="2423"/>
    </row>
    <row r="28087" spans="6:6">
      <c r="F28087" s="2423"/>
    </row>
    <row r="28088" spans="6:6">
      <c r="F28088" s="2423"/>
    </row>
    <row r="28089" spans="6:6">
      <c r="F28089" s="2423"/>
    </row>
    <row r="28090" spans="6:6">
      <c r="F28090" s="2423"/>
    </row>
    <row r="28091" spans="6:6">
      <c r="F28091" s="2423"/>
    </row>
    <row r="28092" spans="6:6">
      <c r="F28092" s="2423"/>
    </row>
    <row r="28093" spans="6:6">
      <c r="F28093" s="2423"/>
    </row>
    <row r="28094" spans="6:6">
      <c r="F28094" s="2423"/>
    </row>
    <row r="28095" spans="6:6">
      <c r="F28095" s="2423"/>
    </row>
    <row r="28096" spans="6:6">
      <c r="F28096" s="2423"/>
    </row>
    <row r="28097" spans="6:6">
      <c r="F28097" s="2423"/>
    </row>
    <row r="28098" spans="6:6">
      <c r="F28098" s="2423"/>
    </row>
    <row r="28099" spans="6:6">
      <c r="F28099" s="2423"/>
    </row>
    <row r="28100" spans="6:6">
      <c r="F28100" s="2423"/>
    </row>
    <row r="28101" spans="6:6">
      <c r="F28101" s="2423"/>
    </row>
    <row r="28102" spans="6:6">
      <c r="F28102" s="2423"/>
    </row>
    <row r="28103" spans="6:6">
      <c r="F28103" s="2423"/>
    </row>
    <row r="28104" spans="6:6">
      <c r="F28104" s="2423"/>
    </row>
    <row r="28105" spans="6:6">
      <c r="F28105" s="2423"/>
    </row>
    <row r="28106" spans="6:6">
      <c r="F28106" s="2423"/>
    </row>
    <row r="28107" spans="6:6">
      <c r="F28107" s="2423"/>
    </row>
    <row r="28108" spans="6:6">
      <c r="F28108" s="2423"/>
    </row>
    <row r="28109" spans="6:6">
      <c r="F28109" s="2423"/>
    </row>
    <row r="28110" spans="6:6">
      <c r="F28110" s="2423"/>
    </row>
    <row r="28111" spans="6:6">
      <c r="F28111" s="2423"/>
    </row>
    <row r="28112" spans="6:6">
      <c r="F28112" s="2423"/>
    </row>
    <row r="28113" spans="6:6">
      <c r="F28113" s="2423"/>
    </row>
    <row r="28114" spans="6:6">
      <c r="F28114" s="2423"/>
    </row>
    <row r="28115" spans="6:6">
      <c r="F28115" s="2423"/>
    </row>
    <row r="28116" spans="6:6">
      <c r="F28116" s="2423"/>
    </row>
    <row r="28117" spans="6:6">
      <c r="F28117" s="2423"/>
    </row>
    <row r="28118" spans="6:6">
      <c r="F28118" s="2423"/>
    </row>
    <row r="28119" spans="6:6">
      <c r="F28119" s="2423"/>
    </row>
    <row r="28120" spans="6:6">
      <c r="F28120" s="2423"/>
    </row>
    <row r="28121" spans="6:6">
      <c r="F28121" s="2423"/>
    </row>
    <row r="28122" spans="6:6">
      <c r="F28122" s="2423"/>
    </row>
    <row r="28123" spans="6:6">
      <c r="F28123" s="2423"/>
    </row>
    <row r="28124" spans="6:6">
      <c r="F28124" s="2423"/>
    </row>
    <row r="28125" spans="6:6">
      <c r="F28125" s="2423"/>
    </row>
    <row r="28126" spans="6:6">
      <c r="F28126" s="2423"/>
    </row>
    <row r="28127" spans="6:6">
      <c r="F28127" s="2423"/>
    </row>
    <row r="28128" spans="6:6">
      <c r="F28128" s="2423"/>
    </row>
    <row r="28129" spans="6:6">
      <c r="F28129" s="2423"/>
    </row>
    <row r="28130" spans="6:6">
      <c r="F28130" s="2423"/>
    </row>
    <row r="28131" spans="6:6">
      <c r="F28131" s="2423"/>
    </row>
    <row r="28132" spans="6:6">
      <c r="F28132" s="2423"/>
    </row>
    <row r="28133" spans="6:6">
      <c r="F28133" s="2423"/>
    </row>
    <row r="28134" spans="6:6">
      <c r="F28134" s="2423"/>
    </row>
    <row r="28135" spans="6:6">
      <c r="F28135" s="2423"/>
    </row>
    <row r="28136" spans="6:6">
      <c r="F28136" s="2423"/>
    </row>
    <row r="28137" spans="6:6">
      <c r="F28137" s="2423"/>
    </row>
    <row r="28138" spans="6:6">
      <c r="F28138" s="2423"/>
    </row>
    <row r="28139" spans="6:6">
      <c r="F28139" s="2423"/>
    </row>
    <row r="28140" spans="6:6">
      <c r="F28140" s="2423"/>
    </row>
    <row r="28141" spans="6:6">
      <c r="F28141" s="2423"/>
    </row>
    <row r="28142" spans="6:6">
      <c r="F28142" s="2423"/>
    </row>
    <row r="28143" spans="6:6">
      <c r="F28143" s="2423"/>
    </row>
    <row r="28144" spans="6:6">
      <c r="F28144" s="2423"/>
    </row>
    <row r="28145" spans="6:6">
      <c r="F28145" s="2423"/>
    </row>
    <row r="28146" spans="6:6">
      <c r="F28146" s="2423"/>
    </row>
    <row r="28147" spans="6:6">
      <c r="F28147" s="2423"/>
    </row>
    <row r="28148" spans="6:6">
      <c r="F28148" s="2423"/>
    </row>
    <row r="28149" spans="6:6">
      <c r="F28149" s="2423"/>
    </row>
    <row r="28150" spans="6:6">
      <c r="F28150" s="2423"/>
    </row>
    <row r="28151" spans="6:6">
      <c r="F28151" s="2423"/>
    </row>
    <row r="28152" spans="6:6">
      <c r="F28152" s="2423"/>
    </row>
    <row r="28153" spans="6:6">
      <c r="F28153" s="2423"/>
    </row>
    <row r="28154" spans="6:6">
      <c r="F28154" s="2423"/>
    </row>
    <row r="28155" spans="6:6">
      <c r="F28155" s="2423"/>
    </row>
    <row r="28156" spans="6:6">
      <c r="F28156" s="2423"/>
    </row>
    <row r="28157" spans="6:6">
      <c r="F28157" s="2423"/>
    </row>
    <row r="28158" spans="6:6">
      <c r="F28158" s="2423"/>
    </row>
    <row r="28159" spans="6:6">
      <c r="F28159" s="2423"/>
    </row>
    <row r="28160" spans="6:6">
      <c r="F28160" s="2423"/>
    </row>
    <row r="28161" spans="6:6">
      <c r="F28161" s="2423"/>
    </row>
    <row r="28162" spans="6:6">
      <c r="F28162" s="2423"/>
    </row>
    <row r="28163" spans="6:6">
      <c r="F28163" s="2423"/>
    </row>
    <row r="28164" spans="6:6">
      <c r="F28164" s="2423"/>
    </row>
    <row r="28165" spans="6:6">
      <c r="F28165" s="2423"/>
    </row>
    <row r="28166" spans="6:6">
      <c r="F28166" s="2423"/>
    </row>
    <row r="28167" spans="6:6">
      <c r="F28167" s="2423"/>
    </row>
    <row r="28168" spans="6:6">
      <c r="F28168" s="2423"/>
    </row>
    <row r="28169" spans="6:6">
      <c r="F28169" s="2423"/>
    </row>
    <row r="28170" spans="6:6">
      <c r="F28170" s="2423"/>
    </row>
    <row r="28171" spans="6:6">
      <c r="F28171" s="2423"/>
    </row>
    <row r="28172" spans="6:6">
      <c r="F28172" s="2423"/>
    </row>
    <row r="28173" spans="6:6">
      <c r="F28173" s="2423"/>
    </row>
    <row r="28174" spans="6:6">
      <c r="F28174" s="2423"/>
    </row>
    <row r="28175" spans="6:6">
      <c r="F28175" s="2423"/>
    </row>
    <row r="28176" spans="6:6">
      <c r="F28176" s="2423"/>
    </row>
    <row r="28177" spans="6:6">
      <c r="F28177" s="2423"/>
    </row>
    <row r="28178" spans="6:6">
      <c r="F28178" s="2423"/>
    </row>
    <row r="28179" spans="6:6">
      <c r="F28179" s="2423"/>
    </row>
    <row r="28180" spans="6:6">
      <c r="F28180" s="2423"/>
    </row>
    <row r="28181" spans="6:6">
      <c r="F28181" s="2423"/>
    </row>
    <row r="28182" spans="6:6">
      <c r="F28182" s="2423"/>
    </row>
    <row r="28183" spans="6:6">
      <c r="F28183" s="2423"/>
    </row>
    <row r="28184" spans="6:6">
      <c r="F28184" s="2423"/>
    </row>
    <row r="28185" spans="6:6">
      <c r="F28185" s="2423"/>
    </row>
    <row r="28186" spans="6:6">
      <c r="F28186" s="2423"/>
    </row>
    <row r="28187" spans="6:6">
      <c r="F28187" s="2423"/>
    </row>
    <row r="28188" spans="6:6">
      <c r="F28188" s="2423"/>
    </row>
    <row r="28189" spans="6:6">
      <c r="F28189" s="2423"/>
    </row>
    <row r="28190" spans="6:6">
      <c r="F28190" s="2423"/>
    </row>
    <row r="28191" spans="6:6">
      <c r="F28191" s="2423"/>
    </row>
    <row r="28192" spans="6:6">
      <c r="F28192" s="2423"/>
    </row>
    <row r="28193" spans="6:6">
      <c r="F28193" s="2423"/>
    </row>
    <row r="28194" spans="6:6">
      <c r="F28194" s="2423"/>
    </row>
    <row r="28195" spans="6:6">
      <c r="F28195" s="2423"/>
    </row>
    <row r="28196" spans="6:6">
      <c r="F28196" s="2423"/>
    </row>
    <row r="28197" spans="6:6">
      <c r="F28197" s="2423"/>
    </row>
    <row r="28198" spans="6:6">
      <c r="F28198" s="2423"/>
    </row>
    <row r="28199" spans="6:6">
      <c r="F28199" s="2423"/>
    </row>
    <row r="28200" spans="6:6">
      <c r="F28200" s="2423"/>
    </row>
    <row r="28201" spans="6:6">
      <c r="F28201" s="2423"/>
    </row>
    <row r="28202" spans="6:6">
      <c r="F28202" s="2423"/>
    </row>
    <row r="28203" spans="6:6">
      <c r="F28203" s="2423"/>
    </row>
    <row r="28204" spans="6:6">
      <c r="F28204" s="2423"/>
    </row>
    <row r="28205" spans="6:6">
      <c r="F28205" s="2423"/>
    </row>
    <row r="28206" spans="6:6">
      <c r="F28206" s="2423"/>
    </row>
    <row r="28207" spans="6:6">
      <c r="F28207" s="2423"/>
    </row>
    <row r="28208" spans="6:6">
      <c r="F28208" s="2423"/>
    </row>
    <row r="28209" spans="6:6">
      <c r="F28209" s="2423"/>
    </row>
    <row r="28210" spans="6:6">
      <c r="F28210" s="2423"/>
    </row>
    <row r="28211" spans="6:6">
      <c r="F28211" s="2423"/>
    </row>
    <row r="28212" spans="6:6">
      <c r="F28212" s="2423"/>
    </row>
    <row r="28213" spans="6:6">
      <c r="F28213" s="2423"/>
    </row>
    <row r="28214" spans="6:6">
      <c r="F28214" s="2423"/>
    </row>
    <row r="28215" spans="6:6">
      <c r="F28215" s="2423"/>
    </row>
    <row r="28216" spans="6:6">
      <c r="F28216" s="2423"/>
    </row>
    <row r="28217" spans="6:6">
      <c r="F28217" s="2423"/>
    </row>
    <row r="28218" spans="6:6">
      <c r="F28218" s="2423"/>
    </row>
    <row r="28219" spans="6:6">
      <c r="F28219" s="2423"/>
    </row>
    <row r="28220" spans="6:6">
      <c r="F28220" s="2423"/>
    </row>
    <row r="28221" spans="6:6">
      <c r="F28221" s="2423"/>
    </row>
    <row r="28222" spans="6:6">
      <c r="F28222" s="2423"/>
    </row>
    <row r="28223" spans="6:6">
      <c r="F28223" s="2423"/>
    </row>
    <row r="28224" spans="6:6">
      <c r="F28224" s="2423"/>
    </row>
    <row r="28225" spans="6:6">
      <c r="F28225" s="2423"/>
    </row>
    <row r="28226" spans="6:6">
      <c r="F28226" s="2423"/>
    </row>
    <row r="28227" spans="6:6">
      <c r="F28227" s="2423"/>
    </row>
    <row r="28228" spans="6:6">
      <c r="F28228" s="2423"/>
    </row>
    <row r="28229" spans="6:6">
      <c r="F28229" s="2423"/>
    </row>
    <row r="28230" spans="6:6">
      <c r="F28230" s="2423"/>
    </row>
    <row r="28231" spans="6:6">
      <c r="F28231" s="2423"/>
    </row>
    <row r="28232" spans="6:6">
      <c r="F28232" s="2423"/>
    </row>
    <row r="28233" spans="6:6">
      <c r="F28233" s="2423"/>
    </row>
    <row r="28234" spans="6:6">
      <c r="F28234" s="2423"/>
    </row>
    <row r="28235" spans="6:6">
      <c r="F28235" s="2423"/>
    </row>
    <row r="28236" spans="6:6">
      <c r="F28236" s="2423"/>
    </row>
    <row r="28237" spans="6:6">
      <c r="F28237" s="2423"/>
    </row>
    <row r="28238" spans="6:6">
      <c r="F28238" s="2423"/>
    </row>
    <row r="28239" spans="6:6">
      <c r="F28239" s="2423"/>
    </row>
    <row r="28240" spans="6:6">
      <c r="F28240" s="2423"/>
    </row>
    <row r="28241" spans="6:6">
      <c r="F28241" s="2423"/>
    </row>
    <row r="28242" spans="6:6">
      <c r="F28242" s="2423"/>
    </row>
    <row r="28243" spans="6:6">
      <c r="F28243" s="2423"/>
    </row>
    <row r="28244" spans="6:6">
      <c r="F28244" s="2423"/>
    </row>
    <row r="28245" spans="6:6">
      <c r="F28245" s="2423"/>
    </row>
    <row r="28246" spans="6:6">
      <c r="F28246" s="2423"/>
    </row>
    <row r="28247" spans="6:6">
      <c r="F28247" s="2423"/>
    </row>
    <row r="28248" spans="6:6">
      <c r="F28248" s="2423"/>
    </row>
    <row r="28249" spans="6:6">
      <c r="F28249" s="2423"/>
    </row>
    <row r="28250" spans="6:6">
      <c r="F28250" s="2423"/>
    </row>
    <row r="28251" spans="6:6">
      <c r="F28251" s="2423"/>
    </row>
    <row r="28252" spans="6:6">
      <c r="F28252" s="2423"/>
    </row>
    <row r="28253" spans="6:6">
      <c r="F28253" s="2423"/>
    </row>
    <row r="28254" spans="6:6">
      <c r="F28254" s="2423"/>
    </row>
    <row r="28255" spans="6:6">
      <c r="F28255" s="2423"/>
    </row>
    <row r="28256" spans="6:6">
      <c r="F28256" s="2423"/>
    </row>
    <row r="28257" spans="6:6">
      <c r="F28257" s="2423"/>
    </row>
    <row r="28258" spans="6:6">
      <c r="F28258" s="2423"/>
    </row>
    <row r="28259" spans="6:6">
      <c r="F28259" s="2423"/>
    </row>
    <row r="28260" spans="6:6">
      <c r="F28260" s="2423"/>
    </row>
    <row r="28261" spans="6:6">
      <c r="F28261" s="2423"/>
    </row>
    <row r="28262" spans="6:6">
      <c r="F28262" s="2423"/>
    </row>
    <row r="28263" spans="6:6">
      <c r="F28263" s="2423"/>
    </row>
    <row r="28264" spans="6:6">
      <c r="F28264" s="2423"/>
    </row>
    <row r="28265" spans="6:6">
      <c r="F28265" s="2423"/>
    </row>
    <row r="28266" spans="6:6">
      <c r="F28266" s="2423"/>
    </row>
    <row r="28267" spans="6:6">
      <c r="F28267" s="2423"/>
    </row>
    <row r="28268" spans="6:6">
      <c r="F28268" s="2423"/>
    </row>
    <row r="28269" spans="6:6">
      <c r="F28269" s="2423"/>
    </row>
    <row r="28270" spans="6:6">
      <c r="F28270" s="2423"/>
    </row>
    <row r="28271" spans="6:6">
      <c r="F28271" s="2423"/>
    </row>
    <row r="28272" spans="6:6">
      <c r="F28272" s="2423"/>
    </row>
    <row r="28273" spans="6:6">
      <c r="F28273" s="2423"/>
    </row>
    <row r="28274" spans="6:6">
      <c r="F28274" s="2423"/>
    </row>
    <row r="28275" spans="6:6">
      <c r="F28275" s="2423"/>
    </row>
    <row r="28276" spans="6:6">
      <c r="F28276" s="2423"/>
    </row>
    <row r="28277" spans="6:6">
      <c r="F28277" s="2423"/>
    </row>
    <row r="28278" spans="6:6">
      <c r="F28278" s="2423"/>
    </row>
    <row r="28279" spans="6:6">
      <c r="F28279" s="2423"/>
    </row>
    <row r="28280" spans="6:6">
      <c r="F28280" s="2423"/>
    </row>
    <row r="28281" spans="6:6">
      <c r="F28281" s="2423"/>
    </row>
    <row r="28282" spans="6:6">
      <c r="F28282" s="2423"/>
    </row>
    <row r="28283" spans="6:6">
      <c r="F28283" s="2423"/>
    </row>
    <row r="28284" spans="6:6">
      <c r="F28284" s="2423"/>
    </row>
    <row r="28285" spans="6:6">
      <c r="F28285" s="2423"/>
    </row>
    <row r="28286" spans="6:6">
      <c r="F28286" s="2423"/>
    </row>
    <row r="28287" spans="6:6">
      <c r="F28287" s="2423"/>
    </row>
    <row r="28288" spans="6:6">
      <c r="F28288" s="2423"/>
    </row>
    <row r="28289" spans="6:6">
      <c r="F28289" s="2423"/>
    </row>
    <row r="28290" spans="6:6">
      <c r="F28290" s="2423"/>
    </row>
    <row r="28291" spans="6:6">
      <c r="F28291" s="2423"/>
    </row>
    <row r="28292" spans="6:6">
      <c r="F28292" s="2423"/>
    </row>
    <row r="28293" spans="6:6">
      <c r="F28293" s="2423"/>
    </row>
    <row r="28294" spans="6:6">
      <c r="F28294" s="2423"/>
    </row>
    <row r="28295" spans="6:6">
      <c r="F28295" s="2423"/>
    </row>
    <row r="28296" spans="6:6">
      <c r="F28296" s="2423"/>
    </row>
    <row r="28297" spans="6:6">
      <c r="F28297" s="2423"/>
    </row>
    <row r="28298" spans="6:6">
      <c r="F28298" s="2423"/>
    </row>
    <row r="28299" spans="6:6">
      <c r="F28299" s="2423"/>
    </row>
    <row r="28300" spans="6:6">
      <c r="F28300" s="2423"/>
    </row>
    <row r="28301" spans="6:6">
      <c r="F28301" s="2423"/>
    </row>
    <row r="28302" spans="6:6">
      <c r="F28302" s="2423"/>
    </row>
    <row r="28303" spans="6:6">
      <c r="F28303" s="2423"/>
    </row>
    <row r="28304" spans="6:6">
      <c r="F28304" s="2423"/>
    </row>
    <row r="28305" spans="6:6">
      <c r="F28305" s="2423"/>
    </row>
    <row r="28306" spans="6:6">
      <c r="F28306" s="2423"/>
    </row>
    <row r="28307" spans="6:6">
      <c r="F28307" s="2423"/>
    </row>
    <row r="28308" spans="6:6">
      <c r="F28308" s="2423"/>
    </row>
    <row r="28309" spans="6:6">
      <c r="F28309" s="2423"/>
    </row>
    <row r="28310" spans="6:6">
      <c r="F28310" s="2423"/>
    </row>
    <row r="28311" spans="6:6">
      <c r="F28311" s="2423"/>
    </row>
    <row r="28312" spans="6:6">
      <c r="F28312" s="2423"/>
    </row>
    <row r="28313" spans="6:6">
      <c r="F28313" s="2423"/>
    </row>
    <row r="28314" spans="6:6">
      <c r="F28314" s="2423"/>
    </row>
    <row r="28315" spans="6:6">
      <c r="F28315" s="2423"/>
    </row>
    <row r="28316" spans="6:6">
      <c r="F28316" s="2423"/>
    </row>
    <row r="28317" spans="6:6">
      <c r="F28317" s="2423"/>
    </row>
    <row r="28318" spans="6:6">
      <c r="F28318" s="2423"/>
    </row>
    <row r="28319" spans="6:6">
      <c r="F28319" s="2423"/>
    </row>
    <row r="28320" spans="6:6">
      <c r="F28320" s="2423"/>
    </row>
    <row r="28321" spans="6:6">
      <c r="F28321" s="2423"/>
    </row>
    <row r="28322" spans="6:6">
      <c r="F28322" s="2423"/>
    </row>
    <row r="28323" spans="6:6">
      <c r="F28323" s="2423"/>
    </row>
    <row r="28324" spans="6:6">
      <c r="F28324" s="2423"/>
    </row>
    <row r="28325" spans="6:6">
      <c r="F28325" s="2423"/>
    </row>
    <row r="28326" spans="6:6">
      <c r="F28326" s="2423"/>
    </row>
    <row r="28327" spans="6:6">
      <c r="F28327" s="2423"/>
    </row>
    <row r="28328" spans="6:6">
      <c r="F28328" s="2423"/>
    </row>
    <row r="28329" spans="6:6">
      <c r="F28329" s="2423"/>
    </row>
    <row r="28330" spans="6:6">
      <c r="F28330" s="2423"/>
    </row>
    <row r="28331" spans="6:6">
      <c r="F28331" s="2423"/>
    </row>
    <row r="28332" spans="6:6">
      <c r="F28332" s="2423"/>
    </row>
    <row r="28333" spans="6:6">
      <c r="F28333" s="2423"/>
    </row>
    <row r="28334" spans="6:6">
      <c r="F28334" s="2423"/>
    </row>
    <row r="28335" spans="6:6">
      <c r="F28335" s="2423"/>
    </row>
    <row r="28336" spans="6:6">
      <c r="F28336" s="2423"/>
    </row>
    <row r="28337" spans="6:6">
      <c r="F28337" s="2423"/>
    </row>
    <row r="28338" spans="6:6">
      <c r="F28338" s="2423"/>
    </row>
    <row r="28339" spans="6:6">
      <c r="F28339" s="2423"/>
    </row>
    <row r="28340" spans="6:6">
      <c r="F28340" s="2423"/>
    </row>
    <row r="28341" spans="6:6">
      <c r="F28341" s="2423"/>
    </row>
    <row r="28342" spans="6:6">
      <c r="F28342" s="2423"/>
    </row>
    <row r="28343" spans="6:6">
      <c r="F28343" s="2423"/>
    </row>
    <row r="28344" spans="6:6">
      <c r="F28344" s="2423"/>
    </row>
    <row r="28345" spans="6:6">
      <c r="F28345" s="2423"/>
    </row>
    <row r="28346" spans="6:6">
      <c r="F28346" s="2423"/>
    </row>
    <row r="28347" spans="6:6">
      <c r="F28347" s="2423"/>
    </row>
    <row r="28348" spans="6:6">
      <c r="F28348" s="2423"/>
    </row>
    <row r="28349" spans="6:6">
      <c r="F28349" s="2423"/>
    </row>
    <row r="28350" spans="6:6">
      <c r="F28350" s="2423"/>
    </row>
    <row r="28351" spans="6:6">
      <c r="F28351" s="2423"/>
    </row>
    <row r="28352" spans="6:6">
      <c r="F28352" s="2423"/>
    </row>
    <row r="28353" spans="6:6">
      <c r="F28353" s="2423"/>
    </row>
    <row r="28354" spans="6:6">
      <c r="F28354" s="2423"/>
    </row>
    <row r="28355" spans="6:6">
      <c r="F28355" s="2423"/>
    </row>
    <row r="28356" spans="6:6">
      <c r="F28356" s="2423"/>
    </row>
    <row r="28357" spans="6:6">
      <c r="F28357" s="2423"/>
    </row>
    <row r="28358" spans="6:6">
      <c r="F28358" s="2423"/>
    </row>
    <row r="28359" spans="6:6">
      <c r="F28359" s="2423"/>
    </row>
    <row r="28360" spans="6:6">
      <c r="F28360" s="2423"/>
    </row>
    <row r="28361" spans="6:6">
      <c r="F28361" s="2423"/>
    </row>
    <row r="28362" spans="6:6">
      <c r="F28362" s="2423"/>
    </row>
    <row r="28363" spans="6:6">
      <c r="F28363" s="2423"/>
    </row>
    <row r="28364" spans="6:6">
      <c r="F28364" s="2423"/>
    </row>
    <row r="28365" spans="6:6">
      <c r="F28365" s="2423"/>
    </row>
    <row r="28366" spans="6:6">
      <c r="F28366" s="2423"/>
    </row>
    <row r="28367" spans="6:6">
      <c r="F28367" s="2423"/>
    </row>
    <row r="28368" spans="6:6">
      <c r="F28368" s="2423"/>
    </row>
    <row r="28369" spans="6:6">
      <c r="F28369" s="2423"/>
    </row>
    <row r="28370" spans="6:6">
      <c r="F28370" s="2423"/>
    </row>
    <row r="28371" spans="6:6">
      <c r="F28371" s="2423"/>
    </row>
    <row r="28372" spans="6:6">
      <c r="F28372" s="2423"/>
    </row>
    <row r="28373" spans="6:6">
      <c r="F28373" s="2423"/>
    </row>
    <row r="28374" spans="6:6">
      <c r="F28374" s="2423"/>
    </row>
    <row r="28375" spans="6:6">
      <c r="F28375" s="2423"/>
    </row>
    <row r="28376" spans="6:6">
      <c r="F28376" s="2423"/>
    </row>
    <row r="28377" spans="6:6">
      <c r="F28377" s="2423"/>
    </row>
    <row r="28378" spans="6:6">
      <c r="F28378" s="2423"/>
    </row>
    <row r="28379" spans="6:6">
      <c r="F28379" s="2423"/>
    </row>
    <row r="28380" spans="6:6">
      <c r="F28380" s="2423"/>
    </row>
    <row r="28381" spans="6:6">
      <c r="F28381" s="2423"/>
    </row>
    <row r="28382" spans="6:6">
      <c r="F28382" s="2423"/>
    </row>
    <row r="28383" spans="6:6">
      <c r="F28383" s="2423"/>
    </row>
    <row r="28384" spans="6:6">
      <c r="F28384" s="2423"/>
    </row>
    <row r="28385" spans="6:6">
      <c r="F28385" s="2423"/>
    </row>
    <row r="28386" spans="6:6">
      <c r="F28386" s="2423"/>
    </row>
    <row r="28387" spans="6:6">
      <c r="F28387" s="2423"/>
    </row>
    <row r="28388" spans="6:6">
      <c r="F28388" s="2423"/>
    </row>
    <row r="28389" spans="6:6">
      <c r="F28389" s="2423"/>
    </row>
    <row r="28390" spans="6:6">
      <c r="F28390" s="2423"/>
    </row>
    <row r="28391" spans="6:6">
      <c r="F28391" s="2423"/>
    </row>
    <row r="28392" spans="6:6">
      <c r="F28392" s="2423"/>
    </row>
    <row r="28393" spans="6:6">
      <c r="F28393" s="2423"/>
    </row>
    <row r="28394" spans="6:6">
      <c r="F28394" s="2423"/>
    </row>
    <row r="28395" spans="6:6">
      <c r="F28395" s="2423"/>
    </row>
    <row r="28396" spans="6:6">
      <c r="F28396" s="2423"/>
    </row>
    <row r="28397" spans="6:6">
      <c r="F28397" s="2423"/>
    </row>
    <row r="28398" spans="6:6">
      <c r="F28398" s="2423"/>
    </row>
    <row r="28399" spans="6:6">
      <c r="F28399" s="2423"/>
    </row>
    <row r="28400" spans="6:6">
      <c r="F28400" s="2423"/>
    </row>
    <row r="28401" spans="6:6">
      <c r="F28401" s="2423"/>
    </row>
    <row r="28402" spans="6:6">
      <c r="F28402" s="2423"/>
    </row>
    <row r="28403" spans="6:6">
      <c r="F28403" s="2423"/>
    </row>
    <row r="28404" spans="6:6">
      <c r="F28404" s="2423"/>
    </row>
    <row r="28405" spans="6:6">
      <c r="F28405" s="2423"/>
    </row>
    <row r="28406" spans="6:6">
      <c r="F28406" s="2423"/>
    </row>
    <row r="28407" spans="6:6">
      <c r="F28407" s="2423"/>
    </row>
    <row r="28408" spans="6:6">
      <c r="F28408" s="2423"/>
    </row>
    <row r="28409" spans="6:6">
      <c r="F28409" s="2423"/>
    </row>
    <row r="28410" spans="6:6">
      <c r="F28410" s="2423"/>
    </row>
    <row r="28411" spans="6:6">
      <c r="F28411" s="2423"/>
    </row>
    <row r="28412" spans="6:6">
      <c r="F28412" s="2423"/>
    </row>
    <row r="28413" spans="6:6">
      <c r="F28413" s="2423"/>
    </row>
    <row r="28414" spans="6:6">
      <c r="F28414" s="2423"/>
    </row>
    <row r="28415" spans="6:6">
      <c r="F28415" s="2423"/>
    </row>
    <row r="28416" spans="6:6">
      <c r="F28416" s="2423"/>
    </row>
    <row r="28417" spans="6:6">
      <c r="F28417" s="2423"/>
    </row>
    <row r="28418" spans="6:6">
      <c r="F28418" s="2423"/>
    </row>
    <row r="28419" spans="6:6">
      <c r="F28419" s="2423"/>
    </row>
    <row r="28420" spans="6:6">
      <c r="F28420" s="2423"/>
    </row>
    <row r="28421" spans="6:6">
      <c r="F28421" s="2423"/>
    </row>
    <row r="28422" spans="6:6">
      <c r="F28422" s="2423"/>
    </row>
    <row r="28423" spans="6:6">
      <c r="F28423" s="2423"/>
    </row>
    <row r="28424" spans="6:6">
      <c r="F28424" s="2423"/>
    </row>
    <row r="28425" spans="6:6">
      <c r="F28425" s="2423"/>
    </row>
    <row r="28426" spans="6:6">
      <c r="F28426" s="2423"/>
    </row>
    <row r="28427" spans="6:6">
      <c r="F28427" s="2423"/>
    </row>
    <row r="28428" spans="6:6">
      <c r="F28428" s="2423"/>
    </row>
    <row r="28429" spans="6:6">
      <c r="F28429" s="2423"/>
    </row>
    <row r="28430" spans="6:6">
      <c r="F28430" s="2423"/>
    </row>
    <row r="28431" spans="6:6">
      <c r="F28431" s="2423"/>
    </row>
    <row r="28432" spans="6:6">
      <c r="F28432" s="2423"/>
    </row>
    <row r="28433" spans="6:6">
      <c r="F28433" s="2423"/>
    </row>
    <row r="28434" spans="6:6">
      <c r="F28434" s="2423"/>
    </row>
    <row r="28435" spans="6:6">
      <c r="F28435" s="2423"/>
    </row>
    <row r="28436" spans="6:6">
      <c r="F28436" s="2423"/>
    </row>
    <row r="28437" spans="6:6">
      <c r="F28437" s="2423"/>
    </row>
    <row r="28438" spans="6:6">
      <c r="F28438" s="2423"/>
    </row>
    <row r="28439" spans="6:6">
      <c r="F28439" s="2423"/>
    </row>
    <row r="28440" spans="6:6">
      <c r="F28440" s="2423"/>
    </row>
    <row r="28441" spans="6:6">
      <c r="F28441" s="2423"/>
    </row>
    <row r="28442" spans="6:6">
      <c r="F28442" s="2423"/>
    </row>
    <row r="28443" spans="6:6">
      <c r="F28443" s="2423"/>
    </row>
    <row r="28444" spans="6:6">
      <c r="F28444" s="2423"/>
    </row>
    <row r="28445" spans="6:6">
      <c r="F28445" s="2423"/>
    </row>
    <row r="28446" spans="6:6">
      <c r="F28446" s="2423"/>
    </row>
    <row r="28447" spans="6:6">
      <c r="F28447" s="2423"/>
    </row>
    <row r="28448" spans="6:6">
      <c r="F28448" s="2423"/>
    </row>
    <row r="28449" spans="6:6">
      <c r="F28449" s="2423"/>
    </row>
    <row r="28450" spans="6:6">
      <c r="F28450" s="2423"/>
    </row>
    <row r="28451" spans="6:6">
      <c r="F28451" s="2423"/>
    </row>
    <row r="28452" spans="6:6">
      <c r="F28452" s="2423"/>
    </row>
    <row r="28453" spans="6:6">
      <c r="F28453" s="2423"/>
    </row>
    <row r="28454" spans="6:6">
      <c r="F28454" s="2423"/>
    </row>
    <row r="28455" spans="6:6">
      <c r="F28455" s="2423"/>
    </row>
    <row r="28456" spans="6:6">
      <c r="F28456" s="2423"/>
    </row>
    <row r="28457" spans="6:6">
      <c r="F28457" s="2423"/>
    </row>
    <row r="28458" spans="6:6">
      <c r="F28458" s="2423"/>
    </row>
    <row r="28459" spans="6:6">
      <c r="F28459" s="2423"/>
    </row>
    <row r="28460" spans="6:6">
      <c r="F28460" s="2423"/>
    </row>
    <row r="28461" spans="6:6">
      <c r="F28461" s="2423"/>
    </row>
    <row r="28462" spans="6:6">
      <c r="F28462" s="2423"/>
    </row>
    <row r="28463" spans="6:6">
      <c r="F28463" s="2423"/>
    </row>
    <row r="28464" spans="6:6">
      <c r="F28464" s="2423"/>
    </row>
    <row r="28465" spans="6:6">
      <c r="F28465" s="2423"/>
    </row>
    <row r="28466" spans="6:6">
      <c r="F28466" s="2423"/>
    </row>
    <row r="28467" spans="6:6">
      <c r="F28467" s="2423"/>
    </row>
    <row r="28468" spans="6:6">
      <c r="F28468" s="2423"/>
    </row>
    <row r="28469" spans="6:6">
      <c r="F28469" s="2423"/>
    </row>
    <row r="28470" spans="6:6">
      <c r="F28470" s="2423"/>
    </row>
    <row r="28471" spans="6:6">
      <c r="F28471" s="2423"/>
    </row>
    <row r="28472" spans="6:6">
      <c r="F28472" s="2423"/>
    </row>
    <row r="28473" spans="6:6">
      <c r="F28473" s="2423"/>
    </row>
    <row r="28474" spans="6:6">
      <c r="F28474" s="2423"/>
    </row>
    <row r="28475" spans="6:6">
      <c r="F28475" s="2423"/>
    </row>
    <row r="28476" spans="6:6">
      <c r="F28476" s="2423"/>
    </row>
    <row r="28477" spans="6:6">
      <c r="F28477" s="2423"/>
    </row>
    <row r="28478" spans="6:6">
      <c r="F28478" s="2423"/>
    </row>
    <row r="28479" spans="6:6">
      <c r="F28479" s="2423"/>
    </row>
    <row r="28480" spans="6:6">
      <c r="F28480" s="2423"/>
    </row>
    <row r="28481" spans="6:6">
      <c r="F28481" s="2423"/>
    </row>
    <row r="28482" spans="6:6">
      <c r="F28482" s="2423"/>
    </row>
    <row r="28483" spans="6:6">
      <c r="F28483" s="2423"/>
    </row>
    <row r="28484" spans="6:6">
      <c r="F28484" s="2423"/>
    </row>
    <row r="28485" spans="6:6">
      <c r="F28485" s="2423"/>
    </row>
    <row r="28486" spans="6:6">
      <c r="F28486" s="2423"/>
    </row>
    <row r="28487" spans="6:6">
      <c r="F28487" s="2423"/>
    </row>
    <row r="28488" spans="6:6">
      <c r="F28488" s="2423"/>
    </row>
    <row r="28489" spans="6:6">
      <c r="F28489" s="2423"/>
    </row>
    <row r="28490" spans="6:6">
      <c r="F28490" s="2423"/>
    </row>
    <row r="28491" spans="6:6">
      <c r="F28491" s="2423"/>
    </row>
    <row r="28492" spans="6:6">
      <c r="F28492" s="2423"/>
    </row>
    <row r="28493" spans="6:6">
      <c r="F28493" s="2423"/>
    </row>
    <row r="28494" spans="6:6">
      <c r="F28494" s="2423"/>
    </row>
    <row r="28495" spans="6:6">
      <c r="F28495" s="2423"/>
    </row>
    <row r="28496" spans="6:6">
      <c r="F28496" s="2423"/>
    </row>
    <row r="28497" spans="6:6">
      <c r="F28497" s="2423"/>
    </row>
    <row r="28498" spans="6:6">
      <c r="F28498" s="2423"/>
    </row>
    <row r="28499" spans="6:6">
      <c r="F28499" s="2423"/>
    </row>
    <row r="28500" spans="6:6">
      <c r="F28500" s="2423"/>
    </row>
    <row r="28501" spans="6:6">
      <c r="F28501" s="2423"/>
    </row>
    <row r="28502" spans="6:6">
      <c r="F28502" s="2423"/>
    </row>
    <row r="28503" spans="6:6">
      <c r="F28503" s="2423"/>
    </row>
    <row r="28504" spans="6:6">
      <c r="F28504" s="2423"/>
    </row>
    <row r="28505" spans="6:6">
      <c r="F28505" s="2423"/>
    </row>
    <row r="28506" spans="6:6">
      <c r="F28506" s="2423"/>
    </row>
    <row r="28507" spans="6:6">
      <c r="F28507" s="2423"/>
    </row>
    <row r="28508" spans="6:6">
      <c r="F28508" s="2423"/>
    </row>
    <row r="28509" spans="6:6">
      <c r="F28509" s="2423"/>
    </row>
    <row r="28510" spans="6:6">
      <c r="F28510" s="2423"/>
    </row>
    <row r="28511" spans="6:6">
      <c r="F28511" s="2423"/>
    </row>
    <row r="28512" spans="6:6">
      <c r="F28512" s="2423"/>
    </row>
    <row r="28513" spans="6:6">
      <c r="F28513" s="2423"/>
    </row>
    <row r="28514" spans="6:6">
      <c r="F28514" s="2423"/>
    </row>
    <row r="28515" spans="6:6">
      <c r="F28515" s="2423"/>
    </row>
    <row r="28516" spans="6:6">
      <c r="F28516" s="2423"/>
    </row>
    <row r="28517" spans="6:6">
      <c r="F28517" s="2423"/>
    </row>
    <row r="28518" spans="6:6">
      <c r="F28518" s="2423"/>
    </row>
    <row r="28519" spans="6:6">
      <c r="F28519" s="2423"/>
    </row>
    <row r="28520" spans="6:6">
      <c r="F28520" s="2423"/>
    </row>
    <row r="28521" spans="6:6">
      <c r="F28521" s="2423"/>
    </row>
    <row r="28522" spans="6:6">
      <c r="F28522" s="2423"/>
    </row>
    <row r="28523" spans="6:6">
      <c r="F28523" s="2423"/>
    </row>
    <row r="28524" spans="6:6">
      <c r="F28524" s="2423"/>
    </row>
    <row r="28525" spans="6:6">
      <c r="F28525" s="2423"/>
    </row>
    <row r="28526" spans="6:6">
      <c r="F28526" s="2423"/>
    </row>
    <row r="28527" spans="6:6">
      <c r="F28527" s="2423"/>
    </row>
    <row r="28528" spans="6:6">
      <c r="F28528" s="2423"/>
    </row>
    <row r="28529" spans="6:6">
      <c r="F28529" s="2423"/>
    </row>
    <row r="28530" spans="6:6">
      <c r="F28530" s="2423"/>
    </row>
    <row r="28531" spans="6:6">
      <c r="F28531" s="2423"/>
    </row>
    <row r="28532" spans="6:6">
      <c r="F28532" s="2423"/>
    </row>
    <row r="28533" spans="6:6">
      <c r="F28533" s="2423"/>
    </row>
    <row r="28534" spans="6:6">
      <c r="F28534" s="2423"/>
    </row>
    <row r="28535" spans="6:6">
      <c r="F28535" s="2423"/>
    </row>
    <row r="28536" spans="6:6">
      <c r="F28536" s="2423"/>
    </row>
    <row r="28537" spans="6:6">
      <c r="F28537" s="2423"/>
    </row>
    <row r="28538" spans="6:6">
      <c r="F28538" s="2423"/>
    </row>
    <row r="28539" spans="6:6">
      <c r="F28539" s="2423"/>
    </row>
    <row r="28540" spans="6:6">
      <c r="F28540" s="2423"/>
    </row>
    <row r="28541" spans="6:6">
      <c r="F28541" s="2423"/>
    </row>
    <row r="28542" spans="6:6">
      <c r="F28542" s="2423"/>
    </row>
    <row r="28543" spans="6:6">
      <c r="F28543" s="2423"/>
    </row>
    <row r="28544" spans="6:6">
      <c r="F28544" s="2423"/>
    </row>
    <row r="28545" spans="6:6">
      <c r="F28545" s="2423"/>
    </row>
    <row r="28546" spans="6:6">
      <c r="F28546" s="2423"/>
    </row>
    <row r="28547" spans="6:6">
      <c r="F28547" s="2423"/>
    </row>
    <row r="28548" spans="6:6">
      <c r="F28548" s="2423"/>
    </row>
    <row r="28549" spans="6:6">
      <c r="F28549" s="2423"/>
    </row>
    <row r="28550" spans="6:6">
      <c r="F28550" s="2423"/>
    </row>
    <row r="28551" spans="6:6">
      <c r="F28551" s="2423"/>
    </row>
    <row r="28552" spans="6:6">
      <c r="F28552" s="2423"/>
    </row>
    <row r="28553" spans="6:6">
      <c r="F28553" s="2423"/>
    </row>
    <row r="28554" spans="6:6">
      <c r="F28554" s="2423"/>
    </row>
    <row r="28555" spans="6:6">
      <c r="F28555" s="2423"/>
    </row>
    <row r="28556" spans="6:6">
      <c r="F28556" s="2423"/>
    </row>
    <row r="28557" spans="6:6">
      <c r="F28557" s="2423"/>
    </row>
    <row r="28558" spans="6:6">
      <c r="F28558" s="2423"/>
    </row>
    <row r="28559" spans="6:6">
      <c r="F28559" s="2423"/>
    </row>
    <row r="28560" spans="6:6">
      <c r="F28560" s="2423"/>
    </row>
    <row r="28561" spans="6:6">
      <c r="F28561" s="2423"/>
    </row>
    <row r="28562" spans="6:6">
      <c r="F28562" s="2423"/>
    </row>
    <row r="28563" spans="6:6">
      <c r="F28563" s="2423"/>
    </row>
    <row r="28564" spans="6:6">
      <c r="F28564" s="2423"/>
    </row>
    <row r="28565" spans="6:6">
      <c r="F28565" s="2423"/>
    </row>
    <row r="28566" spans="6:6">
      <c r="F28566" s="2423"/>
    </row>
    <row r="28567" spans="6:6">
      <c r="F28567" s="2423"/>
    </row>
    <row r="28568" spans="6:6">
      <c r="F28568" s="2423"/>
    </row>
    <row r="28569" spans="6:6">
      <c r="F28569" s="2423"/>
    </row>
    <row r="28570" spans="6:6">
      <c r="F28570" s="2423"/>
    </row>
    <row r="28571" spans="6:6">
      <c r="F28571" s="2423"/>
    </row>
    <row r="28572" spans="6:6">
      <c r="F28572" s="2423"/>
    </row>
    <row r="28573" spans="6:6">
      <c r="F28573" s="2423"/>
    </row>
    <row r="28574" spans="6:6">
      <c r="F28574" s="2423"/>
    </row>
    <row r="28575" spans="6:6">
      <c r="F28575" s="2423"/>
    </row>
    <row r="28576" spans="6:6">
      <c r="F28576" s="2423"/>
    </row>
    <row r="28577" spans="6:6">
      <c r="F28577" s="2423"/>
    </row>
    <row r="28578" spans="6:6">
      <c r="F28578" s="2423"/>
    </row>
    <row r="28579" spans="6:6">
      <c r="F28579" s="2423"/>
    </row>
    <row r="28580" spans="6:6">
      <c r="F28580" s="2423"/>
    </row>
    <row r="28581" spans="6:6">
      <c r="F28581" s="2423"/>
    </row>
    <row r="28582" spans="6:6">
      <c r="F28582" s="2423"/>
    </row>
    <row r="28583" spans="6:6">
      <c r="F28583" s="2423"/>
    </row>
    <row r="28584" spans="6:6">
      <c r="F28584" s="2423"/>
    </row>
    <row r="28585" spans="6:6">
      <c r="F28585" s="2423"/>
    </row>
    <row r="28586" spans="6:6">
      <c r="F28586" s="2423"/>
    </row>
    <row r="28587" spans="6:6">
      <c r="F28587" s="2423"/>
    </row>
    <row r="28588" spans="6:6">
      <c r="F28588" s="2423"/>
    </row>
    <row r="28589" spans="6:6">
      <c r="F28589" s="2423"/>
    </row>
    <row r="28590" spans="6:6">
      <c r="F28590" s="2423"/>
    </row>
    <row r="28591" spans="6:6">
      <c r="F28591" s="2423"/>
    </row>
    <row r="28592" spans="6:6">
      <c r="F28592" s="2423"/>
    </row>
    <row r="28593" spans="6:6">
      <c r="F28593" s="2423"/>
    </row>
    <row r="28594" spans="6:6">
      <c r="F28594" s="2423"/>
    </row>
    <row r="28595" spans="6:6">
      <c r="F28595" s="2423"/>
    </row>
    <row r="28596" spans="6:6">
      <c r="F28596" s="2423"/>
    </row>
    <row r="28597" spans="6:6">
      <c r="F28597" s="2423"/>
    </row>
    <row r="28598" spans="6:6">
      <c r="F28598" s="2423"/>
    </row>
    <row r="28599" spans="6:6">
      <c r="F28599" s="2423"/>
    </row>
    <row r="28600" spans="6:6">
      <c r="F28600" s="2423"/>
    </row>
    <row r="28601" spans="6:6">
      <c r="F28601" s="2423"/>
    </row>
    <row r="28602" spans="6:6">
      <c r="F28602" s="2423"/>
    </row>
    <row r="28603" spans="6:6">
      <c r="F28603" s="2423"/>
    </row>
    <row r="28604" spans="6:6">
      <c r="F28604" s="2423"/>
    </row>
    <row r="28605" spans="6:6">
      <c r="F28605" s="2423"/>
    </row>
    <row r="28606" spans="6:6">
      <c r="F28606" s="2423"/>
    </row>
    <row r="28607" spans="6:6">
      <c r="F28607" s="2423"/>
    </row>
    <row r="28608" spans="6:6">
      <c r="F28608" s="2423"/>
    </row>
    <row r="28609" spans="6:6">
      <c r="F28609" s="2423"/>
    </row>
    <row r="28610" spans="6:6">
      <c r="F28610" s="2423"/>
    </row>
    <row r="28611" spans="6:6">
      <c r="F28611" s="2423"/>
    </row>
    <row r="28612" spans="6:6">
      <c r="F28612" s="2423"/>
    </row>
    <row r="28613" spans="6:6">
      <c r="F28613" s="2423"/>
    </row>
    <row r="28614" spans="6:6">
      <c r="F28614" s="2423"/>
    </row>
    <row r="28615" spans="6:6">
      <c r="F28615" s="2423"/>
    </row>
    <row r="28616" spans="6:6">
      <c r="F28616" s="2423"/>
    </row>
    <row r="28617" spans="6:6">
      <c r="F28617" s="2423"/>
    </row>
    <row r="28618" spans="6:6">
      <c r="F28618" s="2423"/>
    </row>
    <row r="28619" spans="6:6">
      <c r="F28619" s="2423"/>
    </row>
    <row r="28620" spans="6:6">
      <c r="F28620" s="2423"/>
    </row>
    <row r="28621" spans="6:6">
      <c r="F28621" s="2423"/>
    </row>
    <row r="28622" spans="6:6">
      <c r="F28622" s="2423"/>
    </row>
    <row r="28623" spans="6:6">
      <c r="F28623" s="2423"/>
    </row>
    <row r="28624" spans="6:6">
      <c r="F28624" s="2423"/>
    </row>
    <row r="28625" spans="6:6">
      <c r="F28625" s="2423"/>
    </row>
    <row r="28626" spans="6:6">
      <c r="F28626" s="2423"/>
    </row>
    <row r="28627" spans="6:6">
      <c r="F28627" s="2423"/>
    </row>
    <row r="28628" spans="6:6">
      <c r="F28628" s="2423"/>
    </row>
    <row r="28629" spans="6:6">
      <c r="F28629" s="2423"/>
    </row>
    <row r="28630" spans="6:6">
      <c r="F28630" s="2423"/>
    </row>
    <row r="28631" spans="6:6">
      <c r="F28631" s="2423"/>
    </row>
    <row r="28632" spans="6:6">
      <c r="F28632" s="2423"/>
    </row>
    <row r="28633" spans="6:6">
      <c r="F28633" s="2423"/>
    </row>
    <row r="28634" spans="6:6">
      <c r="F28634" s="2423"/>
    </row>
    <row r="28635" spans="6:6">
      <c r="F28635" s="2423"/>
    </row>
    <row r="28636" spans="6:6">
      <c r="F28636" s="2423"/>
    </row>
    <row r="28637" spans="6:6">
      <c r="F28637" s="2423"/>
    </row>
    <row r="28638" spans="6:6">
      <c r="F28638" s="2423"/>
    </row>
    <row r="28639" spans="6:6">
      <c r="F28639" s="2423"/>
    </row>
    <row r="28640" spans="6:6">
      <c r="F28640" s="2423"/>
    </row>
    <row r="28641" spans="6:6">
      <c r="F28641" s="2423"/>
    </row>
    <row r="28642" spans="6:6">
      <c r="F28642" s="2423"/>
    </row>
    <row r="28643" spans="6:6">
      <c r="F28643" s="2423"/>
    </row>
    <row r="28644" spans="6:6">
      <c r="F28644" s="2423"/>
    </row>
    <row r="28645" spans="6:6">
      <c r="F28645" s="2423"/>
    </row>
    <row r="28646" spans="6:6">
      <c r="F28646" s="2423"/>
    </row>
    <row r="28647" spans="6:6">
      <c r="F28647" s="2423"/>
    </row>
    <row r="28648" spans="6:6">
      <c r="F28648" s="2423"/>
    </row>
    <row r="28649" spans="6:6">
      <c r="F28649" s="2423"/>
    </row>
    <row r="28650" spans="6:6">
      <c r="F28650" s="2423"/>
    </row>
    <row r="28651" spans="6:6">
      <c r="F28651" s="2423"/>
    </row>
    <row r="28652" spans="6:6">
      <c r="F28652" s="2423"/>
    </row>
    <row r="28653" spans="6:6">
      <c r="F28653" s="2423"/>
    </row>
    <row r="28654" spans="6:6">
      <c r="F28654" s="2423"/>
    </row>
    <row r="28655" spans="6:6">
      <c r="F28655" s="2423"/>
    </row>
    <row r="28656" spans="6:6">
      <c r="F28656" s="2423"/>
    </row>
    <row r="28657" spans="6:6">
      <c r="F28657" s="2423"/>
    </row>
    <row r="28658" spans="6:6">
      <c r="F28658" s="2423"/>
    </row>
    <row r="28659" spans="6:6">
      <c r="F28659" s="2423"/>
    </row>
    <row r="28660" spans="6:6">
      <c r="F28660" s="2423"/>
    </row>
    <row r="28661" spans="6:6">
      <c r="F28661" s="2423"/>
    </row>
    <row r="28662" spans="6:6">
      <c r="F28662" s="2423"/>
    </row>
    <row r="28663" spans="6:6">
      <c r="F28663" s="2423"/>
    </row>
    <row r="28664" spans="6:6">
      <c r="F28664" s="2423"/>
    </row>
    <row r="28665" spans="6:6">
      <c r="F28665" s="2423"/>
    </row>
    <row r="28666" spans="6:6">
      <c r="F28666" s="2423"/>
    </row>
    <row r="28667" spans="6:6">
      <c r="F28667" s="2423"/>
    </row>
    <row r="28668" spans="6:6">
      <c r="F28668" s="2423"/>
    </row>
    <row r="28669" spans="6:6">
      <c r="F28669" s="2423"/>
    </row>
    <row r="28670" spans="6:6">
      <c r="F28670" s="2423"/>
    </row>
    <row r="28671" spans="6:6">
      <c r="F28671" s="2423"/>
    </row>
    <row r="28672" spans="6:6">
      <c r="F28672" s="2423"/>
    </row>
    <row r="28673" spans="6:6">
      <c r="F28673" s="2423"/>
    </row>
    <row r="28674" spans="6:6">
      <c r="F28674" s="2423"/>
    </row>
    <row r="28675" spans="6:6">
      <c r="F28675" s="2423"/>
    </row>
    <row r="28676" spans="6:6">
      <c r="F28676" s="2423"/>
    </row>
    <row r="28677" spans="6:6">
      <c r="F28677" s="2423"/>
    </row>
    <row r="28678" spans="6:6">
      <c r="F28678" s="2423"/>
    </row>
    <row r="28679" spans="6:6">
      <c r="F28679" s="2423"/>
    </row>
    <row r="28680" spans="6:6">
      <c r="F28680" s="2423"/>
    </row>
    <row r="28681" spans="6:6">
      <c r="F28681" s="2423"/>
    </row>
    <row r="28682" spans="6:6">
      <c r="F28682" s="2423"/>
    </row>
    <row r="28683" spans="6:6">
      <c r="F28683" s="2423"/>
    </row>
    <row r="28684" spans="6:6">
      <c r="F28684" s="2423"/>
    </row>
    <row r="28685" spans="6:6">
      <c r="F28685" s="2423"/>
    </row>
    <row r="28686" spans="6:6">
      <c r="F28686" s="2423"/>
    </row>
    <row r="28687" spans="6:6">
      <c r="F28687" s="2423"/>
    </row>
    <row r="28688" spans="6:6">
      <c r="F28688" s="2423"/>
    </row>
    <row r="28689" spans="6:6">
      <c r="F28689" s="2423"/>
    </row>
    <row r="28690" spans="6:6">
      <c r="F28690" s="2423"/>
    </row>
    <row r="28691" spans="6:6">
      <c r="F28691" s="2423"/>
    </row>
    <row r="28692" spans="6:6">
      <c r="F28692" s="2423"/>
    </row>
    <row r="28693" spans="6:6">
      <c r="F28693" s="2423"/>
    </row>
    <row r="28694" spans="6:6">
      <c r="F28694" s="2423"/>
    </row>
    <row r="28695" spans="6:6">
      <c r="F28695" s="2423"/>
    </row>
    <row r="28696" spans="6:6">
      <c r="F28696" s="2423"/>
    </row>
    <row r="28697" spans="6:6">
      <c r="F28697" s="2423"/>
    </row>
    <row r="28698" spans="6:6">
      <c r="F28698" s="2423"/>
    </row>
    <row r="28699" spans="6:6">
      <c r="F28699" s="2423"/>
    </row>
    <row r="28700" spans="6:6">
      <c r="F28700" s="2423"/>
    </row>
    <row r="28701" spans="6:6">
      <c r="F28701" s="2423"/>
    </row>
    <row r="28702" spans="6:6">
      <c r="F28702" s="2423"/>
    </row>
    <row r="28703" spans="6:6">
      <c r="F28703" s="2423"/>
    </row>
    <row r="28704" spans="6:6">
      <c r="F28704" s="2423"/>
    </row>
    <row r="28705" spans="6:6">
      <c r="F28705" s="2423"/>
    </row>
    <row r="28706" spans="6:6">
      <c r="F28706" s="2423"/>
    </row>
    <row r="28707" spans="6:6">
      <c r="F28707" s="2423"/>
    </row>
    <row r="28708" spans="6:6">
      <c r="F28708" s="2423"/>
    </row>
    <row r="28709" spans="6:6">
      <c r="F28709" s="2423"/>
    </row>
    <row r="28710" spans="6:6">
      <c r="F28710" s="2423"/>
    </row>
    <row r="28711" spans="6:6">
      <c r="F28711" s="2423"/>
    </row>
    <row r="28712" spans="6:6">
      <c r="F28712" s="2423"/>
    </row>
    <row r="28713" spans="6:6">
      <c r="F28713" s="2423"/>
    </row>
    <row r="28714" spans="6:6">
      <c r="F28714" s="2423"/>
    </row>
    <row r="28715" spans="6:6">
      <c r="F28715" s="2423"/>
    </row>
    <row r="28716" spans="6:6">
      <c r="F28716" s="2423"/>
    </row>
    <row r="28717" spans="6:6">
      <c r="F28717" s="2423"/>
    </row>
    <row r="28718" spans="6:6">
      <c r="F28718" s="2423"/>
    </row>
    <row r="28719" spans="6:6">
      <c r="F28719" s="2423"/>
    </row>
    <row r="28720" spans="6:6">
      <c r="F28720" s="2423"/>
    </row>
    <row r="28721" spans="6:6">
      <c r="F28721" s="2423"/>
    </row>
    <row r="28722" spans="6:6">
      <c r="F28722" s="2423"/>
    </row>
    <row r="28723" spans="6:6">
      <c r="F28723" s="2423"/>
    </row>
    <row r="28724" spans="6:6">
      <c r="F28724" s="2423"/>
    </row>
    <row r="28725" spans="6:6">
      <c r="F28725" s="2423"/>
    </row>
    <row r="28726" spans="6:6">
      <c r="F28726" s="2423"/>
    </row>
    <row r="28727" spans="6:6">
      <c r="F28727" s="2423"/>
    </row>
    <row r="28728" spans="6:6">
      <c r="F28728" s="2423"/>
    </row>
    <row r="28729" spans="6:6">
      <c r="F28729" s="2423"/>
    </row>
    <row r="28730" spans="6:6">
      <c r="F28730" s="2423"/>
    </row>
    <row r="28731" spans="6:6">
      <c r="F28731" s="2423"/>
    </row>
    <row r="28732" spans="6:6">
      <c r="F28732" s="2423"/>
    </row>
    <row r="28733" spans="6:6">
      <c r="F28733" s="2423"/>
    </row>
    <row r="28734" spans="6:6">
      <c r="F28734" s="2423"/>
    </row>
    <row r="28735" spans="6:6">
      <c r="F28735" s="2423"/>
    </row>
    <row r="28736" spans="6:6">
      <c r="F28736" s="2423"/>
    </row>
    <row r="28737" spans="6:6">
      <c r="F28737" s="2423"/>
    </row>
    <row r="28738" spans="6:6">
      <c r="F28738" s="2423"/>
    </row>
    <row r="28739" spans="6:6">
      <c r="F28739" s="2423"/>
    </row>
    <row r="28740" spans="6:6">
      <c r="F28740" s="2423"/>
    </row>
    <row r="28741" spans="6:6">
      <c r="F28741" s="2423"/>
    </row>
    <row r="28742" spans="6:6">
      <c r="F28742" s="2423"/>
    </row>
    <row r="28743" spans="6:6">
      <c r="F28743" s="2423"/>
    </row>
    <row r="28744" spans="6:6">
      <c r="F28744" s="2423"/>
    </row>
    <row r="28745" spans="6:6">
      <c r="F28745" s="2423"/>
    </row>
    <row r="28746" spans="6:6">
      <c r="F28746" s="2423"/>
    </row>
    <row r="28747" spans="6:6">
      <c r="F28747" s="2423"/>
    </row>
    <row r="28748" spans="6:6">
      <c r="F28748" s="2423"/>
    </row>
    <row r="28749" spans="6:6">
      <c r="F28749" s="2423"/>
    </row>
    <row r="28750" spans="6:6">
      <c r="F28750" s="2423"/>
    </row>
    <row r="28751" spans="6:6">
      <c r="F28751" s="2423"/>
    </row>
    <row r="28752" spans="6:6">
      <c r="F28752" s="2423"/>
    </row>
    <row r="28753" spans="6:6">
      <c r="F28753" s="2423"/>
    </row>
    <row r="28754" spans="6:6">
      <c r="F28754" s="2423"/>
    </row>
    <row r="28755" spans="6:6">
      <c r="F28755" s="2423"/>
    </row>
    <row r="28756" spans="6:6">
      <c r="F28756" s="2423"/>
    </row>
    <row r="28757" spans="6:6">
      <c r="F28757" s="2423"/>
    </row>
    <row r="28758" spans="6:6">
      <c r="F28758" s="2423"/>
    </row>
    <row r="28759" spans="6:6">
      <c r="F28759" s="2423"/>
    </row>
    <row r="28760" spans="6:6">
      <c r="F28760" s="2423"/>
    </row>
    <row r="28761" spans="6:6">
      <c r="F28761" s="2423"/>
    </row>
    <row r="28762" spans="6:6">
      <c r="F28762" s="2423"/>
    </row>
    <row r="28763" spans="6:6">
      <c r="F28763" s="2423"/>
    </row>
    <row r="28764" spans="6:6">
      <c r="F28764" s="2423"/>
    </row>
    <row r="28765" spans="6:6">
      <c r="F28765" s="2423"/>
    </row>
    <row r="28766" spans="6:6">
      <c r="F28766" s="2423"/>
    </row>
    <row r="28767" spans="6:6">
      <c r="F28767" s="2423"/>
    </row>
    <row r="28768" spans="6:6">
      <c r="F28768" s="2423"/>
    </row>
    <row r="28769" spans="6:6">
      <c r="F28769" s="2423"/>
    </row>
    <row r="28770" spans="6:6">
      <c r="F28770" s="2423"/>
    </row>
    <row r="28771" spans="6:6">
      <c r="F28771" s="2423"/>
    </row>
    <row r="28772" spans="6:6">
      <c r="F28772" s="2423"/>
    </row>
    <row r="28773" spans="6:6">
      <c r="F28773" s="2423"/>
    </row>
    <row r="28774" spans="6:6">
      <c r="F28774" s="2423"/>
    </row>
    <row r="28775" spans="6:6">
      <c r="F28775" s="2423"/>
    </row>
    <row r="28776" spans="6:6">
      <c r="F28776" s="2423"/>
    </row>
    <row r="28777" spans="6:6">
      <c r="F28777" s="2423"/>
    </row>
    <row r="28778" spans="6:6">
      <c r="F28778" s="2423"/>
    </row>
    <row r="28779" spans="6:6">
      <c r="F28779" s="2423"/>
    </row>
    <row r="28780" spans="6:6">
      <c r="F28780" s="2423"/>
    </row>
    <row r="28781" spans="6:6">
      <c r="F28781" s="2423"/>
    </row>
    <row r="28782" spans="6:6">
      <c r="F28782" s="2423"/>
    </row>
    <row r="28783" spans="6:6">
      <c r="F28783" s="2423"/>
    </row>
    <row r="28784" spans="6:6">
      <c r="F28784" s="2423"/>
    </row>
    <row r="28785" spans="6:6">
      <c r="F28785" s="2423"/>
    </row>
    <row r="28786" spans="6:6">
      <c r="F28786" s="2423"/>
    </row>
    <row r="28787" spans="6:6">
      <c r="F28787" s="2423"/>
    </row>
    <row r="28788" spans="6:6">
      <c r="F28788" s="2423"/>
    </row>
    <row r="28789" spans="6:6">
      <c r="F28789" s="2423"/>
    </row>
    <row r="28790" spans="6:6">
      <c r="F28790" s="2423"/>
    </row>
    <row r="28791" spans="6:6">
      <c r="F28791" s="2423"/>
    </row>
    <row r="28792" spans="6:6">
      <c r="F28792" s="2423"/>
    </row>
    <row r="28793" spans="6:6">
      <c r="F28793" s="2423"/>
    </row>
    <row r="28794" spans="6:6">
      <c r="F28794" s="2423"/>
    </row>
    <row r="28795" spans="6:6">
      <c r="F28795" s="2423"/>
    </row>
    <row r="28796" spans="6:6">
      <c r="F28796" s="2423"/>
    </row>
    <row r="28797" spans="6:6">
      <c r="F28797" s="2423"/>
    </row>
    <row r="28798" spans="6:6">
      <c r="F28798" s="2423"/>
    </row>
    <row r="28799" spans="6:6">
      <c r="F28799" s="2423"/>
    </row>
    <row r="28800" spans="6:6">
      <c r="F28800" s="2423"/>
    </row>
    <row r="28801" spans="6:6">
      <c r="F28801" s="2423"/>
    </row>
    <row r="28802" spans="6:6">
      <c r="F28802" s="2423"/>
    </row>
    <row r="28803" spans="6:6">
      <c r="F28803" s="2423"/>
    </row>
    <row r="28804" spans="6:6">
      <c r="F28804" s="2423"/>
    </row>
    <row r="28805" spans="6:6">
      <c r="F28805" s="2423"/>
    </row>
    <row r="28806" spans="6:6">
      <c r="F28806" s="2423"/>
    </row>
    <row r="28807" spans="6:6">
      <c r="F28807" s="2423"/>
    </row>
    <row r="28808" spans="6:6">
      <c r="F28808" s="2423"/>
    </row>
    <row r="28809" spans="6:6">
      <c r="F28809" s="2423"/>
    </row>
    <row r="28810" spans="6:6">
      <c r="F28810" s="2423"/>
    </row>
    <row r="28811" spans="6:6">
      <c r="F28811" s="2423"/>
    </row>
    <row r="28812" spans="6:6">
      <c r="F28812" s="2423"/>
    </row>
    <row r="28813" spans="6:6">
      <c r="F28813" s="2423"/>
    </row>
    <row r="28814" spans="6:6">
      <c r="F28814" s="2423"/>
    </row>
    <row r="28815" spans="6:6">
      <c r="F28815" s="2423"/>
    </row>
    <row r="28816" spans="6:6">
      <c r="F28816" s="2423"/>
    </row>
    <row r="28817" spans="6:6">
      <c r="F28817" s="2423"/>
    </row>
    <row r="28818" spans="6:6">
      <c r="F28818" s="2423"/>
    </row>
    <row r="28819" spans="6:6">
      <c r="F28819" s="2423"/>
    </row>
    <row r="28820" spans="6:6">
      <c r="F28820" s="2423"/>
    </row>
    <row r="28821" spans="6:6">
      <c r="F28821" s="2423"/>
    </row>
    <row r="28822" spans="6:6">
      <c r="F28822" s="2423"/>
    </row>
    <row r="28823" spans="6:6">
      <c r="F28823" s="2423"/>
    </row>
    <row r="28824" spans="6:6">
      <c r="F28824" s="2423"/>
    </row>
    <row r="28825" spans="6:6">
      <c r="F28825" s="2423"/>
    </row>
    <row r="28826" spans="6:6">
      <c r="F28826" s="2423"/>
    </row>
    <row r="28827" spans="6:6">
      <c r="F28827" s="2423"/>
    </row>
    <row r="28828" spans="6:6">
      <c r="F28828" s="2423"/>
    </row>
    <row r="28829" spans="6:6">
      <c r="F28829" s="2423"/>
    </row>
    <row r="28830" spans="6:6">
      <c r="F28830" s="2423"/>
    </row>
    <row r="28831" spans="6:6">
      <c r="F28831" s="2423"/>
    </row>
    <row r="28832" spans="6:6">
      <c r="F28832" s="2423"/>
    </row>
    <row r="28833" spans="6:6">
      <c r="F28833" s="2423"/>
    </row>
    <row r="28834" spans="6:6">
      <c r="F28834" s="2423"/>
    </row>
    <row r="28835" spans="6:6">
      <c r="F28835" s="2423"/>
    </row>
    <row r="28836" spans="6:6">
      <c r="F28836" s="2423"/>
    </row>
    <row r="28837" spans="6:6">
      <c r="F28837" s="2423"/>
    </row>
    <row r="28838" spans="6:6">
      <c r="F28838" s="2423"/>
    </row>
    <row r="28839" spans="6:6">
      <c r="F28839" s="2423"/>
    </row>
    <row r="28840" spans="6:6">
      <c r="F28840" s="2423"/>
    </row>
    <row r="28841" spans="6:6">
      <c r="F28841" s="2423"/>
    </row>
    <row r="28842" spans="6:6">
      <c r="F28842" s="2423"/>
    </row>
    <row r="28843" spans="6:6">
      <c r="F28843" s="2423"/>
    </row>
    <row r="28844" spans="6:6">
      <c r="F28844" s="2423"/>
    </row>
    <row r="28845" spans="6:6">
      <c r="F28845" s="2423"/>
    </row>
    <row r="28846" spans="6:6">
      <c r="F28846" s="2423"/>
    </row>
    <row r="28847" spans="6:6">
      <c r="F28847" s="2423"/>
    </row>
    <row r="28848" spans="6:6">
      <c r="F28848" s="2423"/>
    </row>
    <row r="28849" spans="6:6">
      <c r="F28849" s="2423"/>
    </row>
    <row r="28850" spans="6:6">
      <c r="F28850" s="2423"/>
    </row>
    <row r="28851" spans="6:6">
      <c r="F28851" s="2423"/>
    </row>
    <row r="28852" spans="6:6">
      <c r="F28852" s="2423"/>
    </row>
    <row r="28853" spans="6:6">
      <c r="F28853" s="2423"/>
    </row>
    <row r="28854" spans="6:6">
      <c r="F28854" s="2423"/>
    </row>
    <row r="28855" spans="6:6">
      <c r="F28855" s="2423"/>
    </row>
    <row r="28856" spans="6:6">
      <c r="F28856" s="2423"/>
    </row>
    <row r="28857" spans="6:6">
      <c r="F28857" s="2423"/>
    </row>
    <row r="28858" spans="6:6">
      <c r="F28858" s="2423"/>
    </row>
    <row r="28859" spans="6:6">
      <c r="F28859" s="2423"/>
    </row>
    <row r="28860" spans="6:6">
      <c r="F28860" s="2423"/>
    </row>
    <row r="28861" spans="6:6">
      <c r="F28861" s="2423"/>
    </row>
    <row r="28862" spans="6:6">
      <c r="F28862" s="2423"/>
    </row>
    <row r="28863" spans="6:6">
      <c r="F28863" s="2423"/>
    </row>
    <row r="28864" spans="6:6">
      <c r="F28864" s="2423"/>
    </row>
    <row r="28865" spans="6:6">
      <c r="F28865" s="2423"/>
    </row>
    <row r="28866" spans="6:6">
      <c r="F28866" s="2423"/>
    </row>
    <row r="28867" spans="6:6">
      <c r="F28867" s="2423"/>
    </row>
    <row r="28868" spans="6:6">
      <c r="F28868" s="2423"/>
    </row>
    <row r="28869" spans="6:6">
      <c r="F28869" s="2423"/>
    </row>
    <row r="28870" spans="6:6">
      <c r="F28870" s="2423"/>
    </row>
    <row r="28871" spans="6:6">
      <c r="F28871" s="2423"/>
    </row>
    <row r="28872" spans="6:6">
      <c r="F28872" s="2423"/>
    </row>
    <row r="28873" spans="6:6">
      <c r="F28873" s="2423"/>
    </row>
    <row r="28874" spans="6:6">
      <c r="F28874" s="2423"/>
    </row>
    <row r="28875" spans="6:6">
      <c r="F28875" s="2423"/>
    </row>
    <row r="28876" spans="6:6">
      <c r="F28876" s="2423"/>
    </row>
    <row r="28877" spans="6:6">
      <c r="F28877" s="2423"/>
    </row>
    <row r="28878" spans="6:6">
      <c r="F28878" s="2423"/>
    </row>
    <row r="28879" spans="6:6">
      <c r="F28879" s="2423"/>
    </row>
    <row r="28880" spans="6:6">
      <c r="F28880" s="2423"/>
    </row>
    <row r="28881" spans="6:6">
      <c r="F28881" s="2423"/>
    </row>
    <row r="28882" spans="6:6">
      <c r="F28882" s="2423"/>
    </row>
    <row r="28883" spans="6:6">
      <c r="F28883" s="2423"/>
    </row>
    <row r="28884" spans="6:6">
      <c r="F28884" s="2423"/>
    </row>
    <row r="28885" spans="6:6">
      <c r="F28885" s="2423"/>
    </row>
    <row r="28886" spans="6:6">
      <c r="F28886" s="2423"/>
    </row>
    <row r="28887" spans="6:6">
      <c r="F28887" s="2423"/>
    </row>
    <row r="28888" spans="6:6">
      <c r="F28888" s="2423"/>
    </row>
    <row r="28889" spans="6:6">
      <c r="F28889" s="2423"/>
    </row>
    <row r="28890" spans="6:6">
      <c r="F28890" s="2423"/>
    </row>
    <row r="28891" spans="6:6">
      <c r="F28891" s="2423"/>
    </row>
    <row r="28892" spans="6:6">
      <c r="F28892" s="2423"/>
    </row>
    <row r="28893" spans="6:6">
      <c r="F28893" s="2423"/>
    </row>
    <row r="28894" spans="6:6">
      <c r="F28894" s="2423"/>
    </row>
    <row r="28895" spans="6:6">
      <c r="F28895" s="2423"/>
    </row>
    <row r="28896" spans="6:6">
      <c r="F28896" s="2423"/>
    </row>
    <row r="28897" spans="6:6">
      <c r="F28897" s="2423"/>
    </row>
    <row r="28898" spans="6:6">
      <c r="F28898" s="2423"/>
    </row>
    <row r="28899" spans="6:6">
      <c r="F28899" s="2423"/>
    </row>
    <row r="28900" spans="6:6">
      <c r="F28900" s="2423"/>
    </row>
    <row r="28901" spans="6:6">
      <c r="F28901" s="2423"/>
    </row>
    <row r="28902" spans="6:6">
      <c r="F28902" s="2423"/>
    </row>
    <row r="28903" spans="6:6">
      <c r="F28903" s="2423"/>
    </row>
    <row r="28904" spans="6:6">
      <c r="F28904" s="2423"/>
    </row>
    <row r="28905" spans="6:6">
      <c r="F28905" s="2423"/>
    </row>
    <row r="28906" spans="6:6">
      <c r="F28906" s="2423"/>
    </row>
    <row r="28907" spans="6:6">
      <c r="F28907" s="2423"/>
    </row>
    <row r="28908" spans="6:6">
      <c r="F28908" s="2423"/>
    </row>
    <row r="28909" spans="6:6">
      <c r="F28909" s="2423"/>
    </row>
    <row r="28910" spans="6:6">
      <c r="F28910" s="2423"/>
    </row>
    <row r="28911" spans="6:6">
      <c r="F28911" s="2423"/>
    </row>
    <row r="28912" spans="6:6">
      <c r="F28912" s="2423"/>
    </row>
    <row r="28913" spans="6:6">
      <c r="F28913" s="2423"/>
    </row>
    <row r="28914" spans="6:6">
      <c r="F28914" s="2423"/>
    </row>
    <row r="28915" spans="6:6">
      <c r="F28915" s="2423"/>
    </row>
    <row r="28916" spans="6:6">
      <c r="F28916" s="2423"/>
    </row>
    <row r="28917" spans="6:6">
      <c r="F28917" s="2423"/>
    </row>
    <row r="28918" spans="6:6">
      <c r="F28918" s="2423"/>
    </row>
    <row r="28919" spans="6:6">
      <c r="F28919" s="2423"/>
    </row>
    <row r="28920" spans="6:6">
      <c r="F28920" s="2423"/>
    </row>
    <row r="28921" spans="6:6">
      <c r="F28921" s="2423"/>
    </row>
    <row r="28922" spans="6:6">
      <c r="F28922" s="2423"/>
    </row>
    <row r="28923" spans="6:6">
      <c r="F28923" s="2423"/>
    </row>
    <row r="28924" spans="6:6">
      <c r="F28924" s="2423"/>
    </row>
    <row r="28925" spans="6:6">
      <c r="F28925" s="2423"/>
    </row>
    <row r="28926" spans="6:6">
      <c r="F28926" s="2423"/>
    </row>
    <row r="28927" spans="6:6">
      <c r="F28927" s="2423"/>
    </row>
    <row r="28928" spans="6:6">
      <c r="F28928" s="2423"/>
    </row>
    <row r="28929" spans="6:6">
      <c r="F28929" s="2423"/>
    </row>
    <row r="28930" spans="6:6">
      <c r="F28930" s="2423"/>
    </row>
    <row r="28931" spans="6:6">
      <c r="F28931" s="2423"/>
    </row>
    <row r="28932" spans="6:6">
      <c r="F28932" s="2423"/>
    </row>
    <row r="28933" spans="6:6">
      <c r="F28933" s="2423"/>
    </row>
    <row r="28934" spans="6:6">
      <c r="F28934" s="2423"/>
    </row>
    <row r="28935" spans="6:6">
      <c r="F28935" s="2423"/>
    </row>
    <row r="28936" spans="6:6">
      <c r="F28936" s="2423"/>
    </row>
    <row r="28937" spans="6:6">
      <c r="F28937" s="2423"/>
    </row>
    <row r="28938" spans="6:6">
      <c r="F28938" s="2423"/>
    </row>
    <row r="28939" spans="6:6">
      <c r="F28939" s="2423"/>
    </row>
    <row r="28940" spans="6:6">
      <c r="F28940" s="2423"/>
    </row>
    <row r="28941" spans="6:6">
      <c r="F28941" s="2423"/>
    </row>
    <row r="28942" spans="6:6">
      <c r="F28942" s="2423"/>
    </row>
    <row r="28943" spans="6:6">
      <c r="F28943" s="2423"/>
    </row>
    <row r="28944" spans="6:6">
      <c r="F28944" s="2423"/>
    </row>
    <row r="28945" spans="6:6">
      <c r="F28945" s="2423"/>
    </row>
    <row r="28946" spans="6:6">
      <c r="F28946" s="2423"/>
    </row>
    <row r="28947" spans="6:6">
      <c r="F28947" s="2423"/>
    </row>
    <row r="28948" spans="6:6">
      <c r="F28948" s="2423"/>
    </row>
    <row r="28949" spans="6:6">
      <c r="F28949" s="2423"/>
    </row>
    <row r="28950" spans="6:6">
      <c r="F28950" s="2423"/>
    </row>
    <row r="28951" spans="6:6">
      <c r="F28951" s="2423"/>
    </row>
    <row r="28952" spans="6:6">
      <c r="F28952" s="2423"/>
    </row>
    <row r="28953" spans="6:6">
      <c r="F28953" s="2423"/>
    </row>
    <row r="28954" spans="6:6">
      <c r="F28954" s="2423"/>
    </row>
    <row r="28955" spans="6:6">
      <c r="F28955" s="2423"/>
    </row>
    <row r="28956" spans="6:6">
      <c r="F28956" s="2423"/>
    </row>
    <row r="28957" spans="6:6">
      <c r="F28957" s="2423"/>
    </row>
    <row r="28958" spans="6:6">
      <c r="F28958" s="2423"/>
    </row>
    <row r="28959" spans="6:6">
      <c r="F28959" s="2423"/>
    </row>
    <row r="28960" spans="6:6">
      <c r="F28960" s="2423"/>
    </row>
    <row r="28961" spans="6:6">
      <c r="F28961" s="2423"/>
    </row>
    <row r="28962" spans="6:6">
      <c r="F28962" s="2423"/>
    </row>
    <row r="28963" spans="6:6">
      <c r="F28963" s="2423"/>
    </row>
    <row r="28964" spans="6:6">
      <c r="F28964" s="2423"/>
    </row>
    <row r="28965" spans="6:6">
      <c r="F28965" s="2423"/>
    </row>
    <row r="28966" spans="6:6">
      <c r="F28966" s="2423"/>
    </row>
    <row r="28967" spans="6:6">
      <c r="F28967" s="2423"/>
    </row>
    <row r="28968" spans="6:6">
      <c r="F28968" s="2423"/>
    </row>
    <row r="28969" spans="6:6">
      <c r="F28969" s="2423"/>
    </row>
    <row r="28970" spans="6:6">
      <c r="F28970" s="2423"/>
    </row>
    <row r="28971" spans="6:6">
      <c r="F28971" s="2423"/>
    </row>
    <row r="28972" spans="6:6">
      <c r="F28972" s="2423"/>
    </row>
    <row r="28973" spans="6:6">
      <c r="F28973" s="2423"/>
    </row>
    <row r="28974" spans="6:6">
      <c r="F28974" s="2423"/>
    </row>
    <row r="28975" spans="6:6">
      <c r="F28975" s="2423"/>
    </row>
    <row r="28976" spans="6:6">
      <c r="F28976" s="2423"/>
    </row>
    <row r="28977" spans="6:6">
      <c r="F28977" s="2423"/>
    </row>
    <row r="28978" spans="6:6">
      <c r="F28978" s="2423"/>
    </row>
    <row r="28979" spans="6:6">
      <c r="F28979" s="2423"/>
    </row>
    <row r="28980" spans="6:6">
      <c r="F28980" s="2423"/>
    </row>
    <row r="28981" spans="6:6">
      <c r="F28981" s="2423"/>
    </row>
    <row r="28982" spans="6:6">
      <c r="F28982" s="2423"/>
    </row>
    <row r="28983" spans="6:6">
      <c r="F28983" s="2423"/>
    </row>
    <row r="28984" spans="6:6">
      <c r="F28984" s="2423"/>
    </row>
    <row r="28985" spans="6:6">
      <c r="F28985" s="2423"/>
    </row>
    <row r="28986" spans="6:6">
      <c r="F28986" s="2423"/>
    </row>
    <row r="28987" spans="6:6">
      <c r="F28987" s="2423"/>
    </row>
    <row r="28988" spans="6:6">
      <c r="F28988" s="2423"/>
    </row>
    <row r="28989" spans="6:6">
      <c r="F28989" s="2423"/>
    </row>
    <row r="28990" spans="6:6">
      <c r="F28990" s="2423"/>
    </row>
    <row r="28991" spans="6:6">
      <c r="F28991" s="2423"/>
    </row>
    <row r="28992" spans="6:6">
      <c r="F28992" s="2423"/>
    </row>
    <row r="28993" spans="6:6">
      <c r="F28993" s="2423"/>
    </row>
    <row r="28994" spans="6:6">
      <c r="F28994" s="2423"/>
    </row>
    <row r="28995" spans="6:6">
      <c r="F28995" s="2423"/>
    </row>
    <row r="28996" spans="6:6">
      <c r="F28996" s="2423"/>
    </row>
    <row r="28997" spans="6:6">
      <c r="F28997" s="2423"/>
    </row>
    <row r="28998" spans="6:6">
      <c r="F28998" s="2423"/>
    </row>
    <row r="28999" spans="6:6">
      <c r="F28999" s="2423"/>
    </row>
    <row r="29000" spans="6:6">
      <c r="F29000" s="2423"/>
    </row>
    <row r="29001" spans="6:6">
      <c r="F29001" s="2423"/>
    </row>
    <row r="29002" spans="6:6">
      <c r="F29002" s="2423"/>
    </row>
    <row r="29003" spans="6:6">
      <c r="F29003" s="2423"/>
    </row>
    <row r="29004" spans="6:6">
      <c r="F29004" s="2423"/>
    </row>
    <row r="29005" spans="6:6">
      <c r="F29005" s="2423"/>
    </row>
    <row r="29006" spans="6:6">
      <c r="F29006" s="2423"/>
    </row>
    <row r="29007" spans="6:6">
      <c r="F29007" s="2423"/>
    </row>
    <row r="29008" spans="6:6">
      <c r="F29008" s="2423"/>
    </row>
    <row r="29009" spans="6:6">
      <c r="F29009" s="2423"/>
    </row>
    <row r="29010" spans="6:6">
      <c r="F29010" s="2423"/>
    </row>
    <row r="29011" spans="6:6">
      <c r="F29011" s="2423"/>
    </row>
    <row r="29012" spans="6:6">
      <c r="F29012" s="2423"/>
    </row>
    <row r="29013" spans="6:6">
      <c r="F29013" s="2423"/>
    </row>
    <row r="29014" spans="6:6">
      <c r="F29014" s="2423"/>
    </row>
    <row r="29015" spans="6:6">
      <c r="F29015" s="2423"/>
    </row>
    <row r="29016" spans="6:6">
      <c r="F29016" s="2423"/>
    </row>
    <row r="29017" spans="6:6">
      <c r="F29017" s="2423"/>
    </row>
    <row r="29018" spans="6:6">
      <c r="F29018" s="2423"/>
    </row>
    <row r="29019" spans="6:6">
      <c r="F29019" s="2423"/>
    </row>
    <row r="29020" spans="6:6">
      <c r="F29020" s="2423"/>
    </row>
    <row r="29021" spans="6:6">
      <c r="F29021" s="2423"/>
    </row>
    <row r="29022" spans="6:6">
      <c r="F29022" s="2423"/>
    </row>
    <row r="29023" spans="6:6">
      <c r="F29023" s="2423"/>
    </row>
    <row r="29024" spans="6:6">
      <c r="F29024" s="2423"/>
    </row>
    <row r="29025" spans="6:6">
      <c r="F29025" s="2423"/>
    </row>
    <row r="29026" spans="6:6">
      <c r="F29026" s="2423"/>
    </row>
    <row r="29027" spans="6:6">
      <c r="F29027" s="2423"/>
    </row>
    <row r="29028" spans="6:6">
      <c r="F29028" s="2423"/>
    </row>
    <row r="29029" spans="6:6">
      <c r="F29029" s="2423"/>
    </row>
    <row r="29030" spans="6:6">
      <c r="F29030" s="2423"/>
    </row>
    <row r="29031" spans="6:6">
      <c r="F29031" s="2423"/>
    </row>
    <row r="29032" spans="6:6">
      <c r="F29032" s="2423"/>
    </row>
    <row r="29033" spans="6:6">
      <c r="F29033" s="2423"/>
    </row>
    <row r="29034" spans="6:6">
      <c r="F29034" s="2423"/>
    </row>
    <row r="29035" spans="6:6">
      <c r="F29035" s="2423"/>
    </row>
    <row r="29036" spans="6:6">
      <c r="F29036" s="2423"/>
    </row>
    <row r="29037" spans="6:6">
      <c r="F29037" s="2423"/>
    </row>
    <row r="29038" spans="6:6">
      <c r="F29038" s="2423"/>
    </row>
    <row r="29039" spans="6:6">
      <c r="F29039" s="2423"/>
    </row>
    <row r="29040" spans="6:6">
      <c r="F29040" s="2423"/>
    </row>
    <row r="29041" spans="6:6">
      <c r="F29041" s="2423"/>
    </row>
    <row r="29042" spans="6:6">
      <c r="F29042" s="2423"/>
    </row>
    <row r="29043" spans="6:6">
      <c r="F29043" s="2423"/>
    </row>
    <row r="29044" spans="6:6">
      <c r="F29044" s="2423"/>
    </row>
    <row r="29045" spans="6:6">
      <c r="F29045" s="2423"/>
    </row>
    <row r="29046" spans="6:6">
      <c r="F29046" s="2423"/>
    </row>
    <row r="29047" spans="6:6">
      <c r="F29047" s="2423"/>
    </row>
    <row r="29048" spans="6:6">
      <c r="F29048" s="2423"/>
    </row>
    <row r="29049" spans="6:6">
      <c r="F29049" s="2423"/>
    </row>
    <row r="29050" spans="6:6">
      <c r="F29050" s="2423"/>
    </row>
    <row r="29051" spans="6:6">
      <c r="F29051" s="2423"/>
    </row>
    <row r="29052" spans="6:6">
      <c r="F29052" s="2423"/>
    </row>
    <row r="29053" spans="6:6">
      <c r="F29053" s="2423"/>
    </row>
    <row r="29054" spans="6:6">
      <c r="F29054" s="2423"/>
    </row>
    <row r="29055" spans="6:6">
      <c r="F29055" s="2423"/>
    </row>
    <row r="29056" spans="6:6">
      <c r="F29056" s="2423"/>
    </row>
    <row r="29057" spans="6:6">
      <c r="F29057" s="2423"/>
    </row>
    <row r="29058" spans="6:6">
      <c r="F29058" s="2423"/>
    </row>
    <row r="29059" spans="6:6">
      <c r="F29059" s="2423"/>
    </row>
    <row r="29060" spans="6:6">
      <c r="F29060" s="2423"/>
    </row>
    <row r="29061" spans="6:6">
      <c r="F29061" s="2423"/>
    </row>
    <row r="29062" spans="6:6">
      <c r="F29062" s="2423"/>
    </row>
    <row r="29063" spans="6:6">
      <c r="F29063" s="2423"/>
    </row>
    <row r="29064" spans="6:6">
      <c r="F29064" s="2423"/>
    </row>
    <row r="29065" spans="6:6">
      <c r="F29065" s="2423"/>
    </row>
    <row r="29066" spans="6:6">
      <c r="F29066" s="2423"/>
    </row>
    <row r="29067" spans="6:6">
      <c r="F29067" s="2423"/>
    </row>
    <row r="29068" spans="6:6">
      <c r="F29068" s="2423"/>
    </row>
    <row r="29069" spans="6:6">
      <c r="F29069" s="2423"/>
    </row>
    <row r="29070" spans="6:6">
      <c r="F29070" s="2423"/>
    </row>
    <row r="29071" spans="6:6">
      <c r="F29071" s="2423"/>
    </row>
    <row r="29072" spans="6:6">
      <c r="F29072" s="2423"/>
    </row>
    <row r="29073" spans="6:6">
      <c r="F29073" s="2423"/>
    </row>
    <row r="29074" spans="6:6">
      <c r="F29074" s="2423"/>
    </row>
    <row r="29075" spans="6:6">
      <c r="F29075" s="2423"/>
    </row>
    <row r="29076" spans="6:6">
      <c r="F29076" s="2423"/>
    </row>
    <row r="29077" spans="6:6">
      <c r="F29077" s="2423"/>
    </row>
    <row r="29078" spans="6:6">
      <c r="F29078" s="2423"/>
    </row>
    <row r="29079" spans="6:6">
      <c r="F29079" s="2423"/>
    </row>
    <row r="29080" spans="6:6">
      <c r="F29080" s="2423"/>
    </row>
    <row r="29081" spans="6:6">
      <c r="F29081" s="2423"/>
    </row>
    <row r="29082" spans="6:6">
      <c r="F29082" s="2423"/>
    </row>
    <row r="29083" spans="6:6">
      <c r="F29083" s="2423"/>
    </row>
    <row r="29084" spans="6:6">
      <c r="F29084" s="2423"/>
    </row>
    <row r="29085" spans="6:6">
      <c r="F29085" s="2423"/>
    </row>
    <row r="29086" spans="6:6">
      <c r="F29086" s="2423"/>
    </row>
    <row r="29087" spans="6:6">
      <c r="F29087" s="2423"/>
    </row>
    <row r="29088" spans="6:6">
      <c r="F29088" s="2423"/>
    </row>
    <row r="29089" spans="6:6">
      <c r="F29089" s="2423"/>
    </row>
    <row r="29090" spans="6:6">
      <c r="F29090" s="2423"/>
    </row>
    <row r="29091" spans="6:6">
      <c r="F29091" s="2423"/>
    </row>
    <row r="29092" spans="6:6">
      <c r="F29092" s="2423"/>
    </row>
    <row r="29093" spans="6:6">
      <c r="F29093" s="2423"/>
    </row>
    <row r="29094" spans="6:6">
      <c r="F29094" s="2423"/>
    </row>
    <row r="29095" spans="6:6">
      <c r="F29095" s="2423"/>
    </row>
    <row r="29096" spans="6:6">
      <c r="F29096" s="2423"/>
    </row>
    <row r="29097" spans="6:6">
      <c r="F29097" s="2423"/>
    </row>
    <row r="29098" spans="6:6">
      <c r="F29098" s="2423"/>
    </row>
    <row r="29099" spans="6:6">
      <c r="F29099" s="2423"/>
    </row>
    <row r="29100" spans="6:6">
      <c r="F29100" s="2423"/>
    </row>
    <row r="29101" spans="6:6">
      <c r="F29101" s="2423"/>
    </row>
    <row r="29102" spans="6:6">
      <c r="F29102" s="2423"/>
    </row>
    <row r="29103" spans="6:6">
      <c r="F29103" s="2423"/>
    </row>
    <row r="29104" spans="6:6">
      <c r="F29104" s="2423"/>
    </row>
    <row r="29105" spans="6:6">
      <c r="F29105" s="2423"/>
    </row>
    <row r="29106" spans="6:6">
      <c r="F29106" s="2423"/>
    </row>
    <row r="29107" spans="6:6">
      <c r="F29107" s="2423"/>
    </row>
    <row r="29108" spans="6:6">
      <c r="F29108" s="2423"/>
    </row>
    <row r="29109" spans="6:6">
      <c r="F29109" s="2423"/>
    </row>
    <row r="29110" spans="6:6">
      <c r="F29110" s="2423"/>
    </row>
    <row r="29111" spans="6:6">
      <c r="F29111" s="2423"/>
    </row>
    <row r="29112" spans="6:6">
      <c r="F29112" s="2423"/>
    </row>
    <row r="29113" spans="6:6">
      <c r="F29113" s="2423"/>
    </row>
    <row r="29114" spans="6:6">
      <c r="F29114" s="2423"/>
    </row>
    <row r="29115" spans="6:6">
      <c r="F29115" s="2423"/>
    </row>
    <row r="29116" spans="6:6">
      <c r="F29116" s="2423"/>
    </row>
    <row r="29117" spans="6:6">
      <c r="F29117" s="2423"/>
    </row>
    <row r="29118" spans="6:6">
      <c r="F29118" s="2423"/>
    </row>
    <row r="29119" spans="6:6">
      <c r="F29119" s="2423"/>
    </row>
    <row r="29120" spans="6:6">
      <c r="F29120" s="2423"/>
    </row>
    <row r="29121" spans="6:6">
      <c r="F29121" s="2423"/>
    </row>
    <row r="29122" spans="6:6">
      <c r="F29122" s="2423"/>
    </row>
    <row r="29123" spans="6:6">
      <c r="F29123" s="2423"/>
    </row>
    <row r="29124" spans="6:6">
      <c r="F29124" s="2423"/>
    </row>
    <row r="29125" spans="6:6">
      <c r="F29125" s="2423"/>
    </row>
    <row r="29126" spans="6:6">
      <c r="F29126" s="2423"/>
    </row>
    <row r="29127" spans="6:6">
      <c r="F29127" s="2423"/>
    </row>
    <row r="29128" spans="6:6">
      <c r="F29128" s="2423"/>
    </row>
    <row r="29129" spans="6:6">
      <c r="F29129" s="2423"/>
    </row>
    <row r="29130" spans="6:6">
      <c r="F29130" s="2423"/>
    </row>
    <row r="29131" spans="6:6">
      <c r="F29131" s="2423"/>
    </row>
    <row r="29132" spans="6:6">
      <c r="F29132" s="2423"/>
    </row>
    <row r="29133" spans="6:6">
      <c r="F29133" s="2423"/>
    </row>
    <row r="29134" spans="6:6">
      <c r="F29134" s="2423"/>
    </row>
    <row r="29135" spans="6:6">
      <c r="F29135" s="2423"/>
    </row>
    <row r="29136" spans="6:6">
      <c r="F29136" s="2423"/>
    </row>
    <row r="29137" spans="6:6">
      <c r="F29137" s="2423"/>
    </row>
    <row r="29138" spans="6:6">
      <c r="F29138" s="2423"/>
    </row>
    <row r="29139" spans="6:6">
      <c r="F29139" s="2423"/>
    </row>
    <row r="29140" spans="6:6">
      <c r="F29140" s="2423"/>
    </row>
    <row r="29141" spans="6:6">
      <c r="F29141" s="2423"/>
    </row>
    <row r="29142" spans="6:6">
      <c r="F29142" s="2423"/>
    </row>
    <row r="29143" spans="6:6">
      <c r="F29143" s="2423"/>
    </row>
    <row r="29144" spans="6:6">
      <c r="F29144" s="2423"/>
    </row>
    <row r="29145" spans="6:6">
      <c r="F29145" s="2423"/>
    </row>
    <row r="29146" spans="6:6">
      <c r="F29146" s="2423"/>
    </row>
    <row r="29147" spans="6:6">
      <c r="F29147" s="2423"/>
    </row>
    <row r="29148" spans="6:6">
      <c r="F29148" s="2423"/>
    </row>
    <row r="29149" spans="6:6">
      <c r="F29149" s="2423"/>
    </row>
    <row r="29150" spans="6:6">
      <c r="F29150" s="2423"/>
    </row>
    <row r="29151" spans="6:6">
      <c r="F29151" s="2423"/>
    </row>
    <row r="29152" spans="6:6">
      <c r="F29152" s="2423"/>
    </row>
    <row r="29153" spans="6:6">
      <c r="F29153" s="2423"/>
    </row>
    <row r="29154" spans="6:6">
      <c r="F29154" s="2423"/>
    </row>
    <row r="29155" spans="6:6">
      <c r="F29155" s="2423"/>
    </row>
    <row r="29156" spans="6:6">
      <c r="F29156" s="2423"/>
    </row>
    <row r="29157" spans="6:6">
      <c r="F29157" s="2423"/>
    </row>
    <row r="29158" spans="6:6">
      <c r="F29158" s="2423"/>
    </row>
    <row r="29159" spans="6:6">
      <c r="F29159" s="2423"/>
    </row>
    <row r="29160" spans="6:6">
      <c r="F29160" s="2423"/>
    </row>
    <row r="29161" spans="6:6">
      <c r="F29161" s="2423"/>
    </row>
    <row r="29162" spans="6:6">
      <c r="F29162" s="2423"/>
    </row>
    <row r="29163" spans="6:6">
      <c r="F29163" s="2423"/>
    </row>
    <row r="29164" spans="6:6">
      <c r="F29164" s="2423"/>
    </row>
    <row r="29165" spans="6:6">
      <c r="F29165" s="2423"/>
    </row>
    <row r="29166" spans="6:6">
      <c r="F29166" s="2423"/>
    </row>
    <row r="29167" spans="6:6">
      <c r="F29167" s="2423"/>
    </row>
    <row r="29168" spans="6:6">
      <c r="F29168" s="2423"/>
    </row>
    <row r="29169" spans="6:6">
      <c r="F29169" s="2423"/>
    </row>
    <row r="29170" spans="6:6">
      <c r="F29170" s="2423"/>
    </row>
    <row r="29171" spans="6:6">
      <c r="F29171" s="2423"/>
    </row>
    <row r="29172" spans="6:6">
      <c r="F29172" s="2423"/>
    </row>
    <row r="29173" spans="6:6">
      <c r="F29173" s="2423"/>
    </row>
    <row r="29174" spans="6:6">
      <c r="F29174" s="2423"/>
    </row>
    <row r="29175" spans="6:6">
      <c r="F29175" s="2423"/>
    </row>
    <row r="29176" spans="6:6">
      <c r="F29176" s="2423"/>
    </row>
    <row r="29177" spans="6:6">
      <c r="F29177" s="2423"/>
    </row>
    <row r="29178" spans="6:6">
      <c r="F29178" s="2423"/>
    </row>
    <row r="29179" spans="6:6">
      <c r="F29179" s="2423"/>
    </row>
    <row r="29180" spans="6:6">
      <c r="F29180" s="2423"/>
    </row>
    <row r="29181" spans="6:6">
      <c r="F29181" s="2423"/>
    </row>
    <row r="29182" spans="6:6">
      <c r="F29182" s="2423"/>
    </row>
    <row r="29183" spans="6:6">
      <c r="F29183" s="2423"/>
    </row>
    <row r="29184" spans="6:6">
      <c r="F29184" s="2423"/>
    </row>
    <row r="29185" spans="6:6">
      <c r="F29185" s="2423"/>
    </row>
    <row r="29186" spans="6:6">
      <c r="F29186" s="2423"/>
    </row>
    <row r="29187" spans="6:6">
      <c r="F29187" s="2423"/>
    </row>
    <row r="29188" spans="6:6">
      <c r="F29188" s="2423"/>
    </row>
    <row r="29189" spans="6:6">
      <c r="F29189" s="2423"/>
    </row>
    <row r="29190" spans="6:6">
      <c r="F29190" s="2423"/>
    </row>
    <row r="29191" spans="6:6">
      <c r="F29191" s="2423"/>
    </row>
    <row r="29192" spans="6:6">
      <c r="F29192" s="2423"/>
    </row>
    <row r="29193" spans="6:6">
      <c r="F29193" s="2423"/>
    </row>
    <row r="29194" spans="6:6">
      <c r="F29194" s="2423"/>
    </row>
    <row r="29195" spans="6:6">
      <c r="F29195" s="2423"/>
    </row>
    <row r="29196" spans="6:6">
      <c r="F29196" s="2423"/>
    </row>
    <row r="29197" spans="6:6">
      <c r="F29197" s="2423"/>
    </row>
    <row r="29198" spans="6:6">
      <c r="F29198" s="2423"/>
    </row>
    <row r="29199" spans="6:6">
      <c r="F29199" s="2423"/>
    </row>
    <row r="29200" spans="6:6">
      <c r="F29200" s="2423"/>
    </row>
    <row r="29201" spans="6:6">
      <c r="F29201" s="2423"/>
    </row>
    <row r="29202" spans="6:6">
      <c r="F29202" s="2423"/>
    </row>
    <row r="29203" spans="6:6">
      <c r="F29203" s="2423"/>
    </row>
    <row r="29204" spans="6:6">
      <c r="F29204" s="2423"/>
    </row>
    <row r="29205" spans="6:6">
      <c r="F29205" s="2423"/>
    </row>
    <row r="29206" spans="6:6">
      <c r="F29206" s="2423"/>
    </row>
    <row r="29207" spans="6:6">
      <c r="F29207" s="2423"/>
    </row>
    <row r="29208" spans="6:6">
      <c r="F29208" s="2423"/>
    </row>
    <row r="29209" spans="6:6">
      <c r="F29209" s="2423"/>
    </row>
    <row r="29210" spans="6:6">
      <c r="F29210" s="2423"/>
    </row>
    <row r="29211" spans="6:6">
      <c r="F29211" s="2423"/>
    </row>
    <row r="29212" spans="6:6">
      <c r="F29212" s="2423"/>
    </row>
    <row r="29213" spans="6:6">
      <c r="F29213" s="2423"/>
    </row>
    <row r="29214" spans="6:6">
      <c r="F29214" s="2423"/>
    </row>
    <row r="29215" spans="6:6">
      <c r="F29215" s="2423"/>
    </row>
    <row r="29216" spans="6:6">
      <c r="F29216" s="2423"/>
    </row>
    <row r="29217" spans="6:6">
      <c r="F29217" s="2423"/>
    </row>
    <row r="29218" spans="6:6">
      <c r="F29218" s="2423"/>
    </row>
    <row r="29219" spans="6:6">
      <c r="F29219" s="2423"/>
    </row>
    <row r="29220" spans="6:6">
      <c r="F29220" s="2423"/>
    </row>
    <row r="29221" spans="6:6">
      <c r="F29221" s="2423"/>
    </row>
    <row r="29222" spans="6:6">
      <c r="F29222" s="2423"/>
    </row>
    <row r="29223" spans="6:6">
      <c r="F29223" s="2423"/>
    </row>
    <row r="29224" spans="6:6">
      <c r="F29224" s="2423"/>
    </row>
    <row r="29225" spans="6:6">
      <c r="F29225" s="2423"/>
    </row>
    <row r="29226" spans="6:6">
      <c r="F29226" s="2423"/>
    </row>
    <row r="29227" spans="6:6">
      <c r="F29227" s="2423"/>
    </row>
    <row r="29228" spans="6:6">
      <c r="F29228" s="2423"/>
    </row>
    <row r="29229" spans="6:6">
      <c r="F29229" s="2423"/>
    </row>
    <row r="29230" spans="6:6">
      <c r="F29230" s="2423"/>
    </row>
    <row r="29231" spans="6:6">
      <c r="F29231" s="2423"/>
    </row>
    <row r="29232" spans="6:6">
      <c r="F29232" s="2423"/>
    </row>
    <row r="29233" spans="6:6">
      <c r="F29233" s="2423"/>
    </row>
    <row r="29234" spans="6:6">
      <c r="F29234" s="2423"/>
    </row>
    <row r="29235" spans="6:6">
      <c r="F29235" s="2423"/>
    </row>
    <row r="29236" spans="6:6">
      <c r="F29236" s="2423"/>
    </row>
    <row r="29237" spans="6:6">
      <c r="F29237" s="2423"/>
    </row>
    <row r="29238" spans="6:6">
      <c r="F29238" s="2423"/>
    </row>
    <row r="29239" spans="6:6">
      <c r="F29239" s="2423"/>
    </row>
    <row r="29240" spans="6:6">
      <c r="F29240" s="2423"/>
    </row>
    <row r="29241" spans="6:6">
      <c r="F29241" s="2423"/>
    </row>
    <row r="29242" spans="6:6">
      <c r="F29242" s="2423"/>
    </row>
    <row r="29243" spans="6:6">
      <c r="F29243" s="2423"/>
    </row>
    <row r="29244" spans="6:6">
      <c r="F29244" s="2423"/>
    </row>
    <row r="29245" spans="6:6">
      <c r="F29245" s="2423"/>
    </row>
    <row r="29246" spans="6:6">
      <c r="F29246" s="2423"/>
    </row>
    <row r="29247" spans="6:6">
      <c r="F29247" s="2423"/>
    </row>
    <row r="29248" spans="6:6">
      <c r="F29248" s="2423"/>
    </row>
    <row r="29249" spans="6:6">
      <c r="F29249" s="2423"/>
    </row>
    <row r="29250" spans="6:6">
      <c r="F29250" s="2423"/>
    </row>
    <row r="29251" spans="6:6">
      <c r="F29251" s="2423"/>
    </row>
    <row r="29252" spans="6:6">
      <c r="F29252" s="2423"/>
    </row>
    <row r="29253" spans="6:6">
      <c r="F29253" s="2423"/>
    </row>
    <row r="29254" spans="6:6">
      <c r="F29254" s="2423"/>
    </row>
    <row r="29255" spans="6:6">
      <c r="F29255" s="2423"/>
    </row>
    <row r="29256" spans="6:6">
      <c r="F29256" s="2423"/>
    </row>
    <row r="29257" spans="6:6">
      <c r="F29257" s="2423"/>
    </row>
    <row r="29258" spans="6:6">
      <c r="F29258" s="2423"/>
    </row>
    <row r="29259" spans="6:6">
      <c r="F29259" s="2423"/>
    </row>
    <row r="29260" spans="6:6">
      <c r="F29260" s="2423"/>
    </row>
    <row r="29261" spans="6:6">
      <c r="F29261" s="2423"/>
    </row>
    <row r="29262" spans="6:6">
      <c r="F29262" s="2423"/>
    </row>
    <row r="29263" spans="6:6">
      <c r="F29263" s="2423"/>
    </row>
    <row r="29264" spans="6:6">
      <c r="F29264" s="2423"/>
    </row>
    <row r="29265" spans="6:6">
      <c r="F29265" s="2423"/>
    </row>
    <row r="29266" spans="6:6">
      <c r="F29266" s="2423"/>
    </row>
    <row r="29267" spans="6:6">
      <c r="F29267" s="2423"/>
    </row>
    <row r="29268" spans="6:6">
      <c r="F29268" s="2423"/>
    </row>
    <row r="29269" spans="6:6">
      <c r="F29269" s="2423"/>
    </row>
    <row r="29270" spans="6:6">
      <c r="F29270" s="2423"/>
    </row>
    <row r="29271" spans="6:6">
      <c r="F29271" s="2423"/>
    </row>
    <row r="29272" spans="6:6">
      <c r="F29272" s="2423"/>
    </row>
    <row r="29273" spans="6:6">
      <c r="F29273" s="2423"/>
    </row>
    <row r="29274" spans="6:6">
      <c r="F29274" s="2423"/>
    </row>
    <row r="29275" spans="6:6">
      <c r="F29275" s="2423"/>
    </row>
    <row r="29276" spans="6:6">
      <c r="F29276" s="2423"/>
    </row>
    <row r="29277" spans="6:6">
      <c r="F29277" s="2423"/>
    </row>
    <row r="29278" spans="6:6">
      <c r="F29278" s="2423"/>
    </row>
    <row r="29279" spans="6:6">
      <c r="F29279" s="2423"/>
    </row>
    <row r="29280" spans="6:6">
      <c r="F29280" s="2423"/>
    </row>
    <row r="29281" spans="6:6">
      <c r="F29281" s="2423"/>
    </row>
    <row r="29282" spans="6:6">
      <c r="F29282" s="2423"/>
    </row>
    <row r="29283" spans="6:6">
      <c r="F29283" s="2423"/>
    </row>
    <row r="29284" spans="6:6">
      <c r="F29284" s="2423"/>
    </row>
    <row r="29285" spans="6:6">
      <c r="F29285" s="2423"/>
    </row>
    <row r="29286" spans="6:6">
      <c r="F29286" s="2423"/>
    </row>
    <row r="29287" spans="6:6">
      <c r="F29287" s="2423"/>
    </row>
    <row r="29288" spans="6:6">
      <c r="F29288" s="2423"/>
    </row>
    <row r="29289" spans="6:6">
      <c r="F29289" s="2423"/>
    </row>
    <row r="29290" spans="6:6">
      <c r="F29290" s="2423"/>
    </row>
    <row r="29291" spans="6:6">
      <c r="F29291" s="2423"/>
    </row>
    <row r="29292" spans="6:6">
      <c r="F29292" s="2423"/>
    </row>
    <row r="29293" spans="6:6">
      <c r="F29293" s="2423"/>
    </row>
    <row r="29294" spans="6:6">
      <c r="F29294" s="2423"/>
    </row>
    <row r="29295" spans="6:6">
      <c r="F29295" s="2423"/>
    </row>
    <row r="29296" spans="6:6">
      <c r="F29296" s="2423"/>
    </row>
    <row r="29297" spans="6:6">
      <c r="F29297" s="2423"/>
    </row>
    <row r="29298" spans="6:6">
      <c r="F29298" s="2423"/>
    </row>
    <row r="29299" spans="6:6">
      <c r="F29299" s="2423"/>
    </row>
    <row r="29300" spans="6:6">
      <c r="F29300" s="2423"/>
    </row>
    <row r="29301" spans="6:6">
      <c r="F29301" s="2423"/>
    </row>
    <row r="29302" spans="6:6">
      <c r="F29302" s="2423"/>
    </row>
    <row r="29303" spans="6:6">
      <c r="F29303" s="2423"/>
    </row>
    <row r="29304" spans="6:6">
      <c r="F29304" s="2423"/>
    </row>
    <row r="29305" spans="6:6">
      <c r="F29305" s="2423"/>
    </row>
    <row r="29306" spans="6:6">
      <c r="F29306" s="2423"/>
    </row>
    <row r="29307" spans="6:6">
      <c r="F29307" s="2423"/>
    </row>
    <row r="29308" spans="6:6">
      <c r="F29308" s="2423"/>
    </row>
    <row r="29309" spans="6:6">
      <c r="F29309" s="2423"/>
    </row>
    <row r="29310" spans="6:6">
      <c r="F29310" s="2423"/>
    </row>
    <row r="29311" spans="6:6">
      <c r="F29311" s="2423"/>
    </row>
    <row r="29312" spans="6:6">
      <c r="F29312" s="2423"/>
    </row>
    <row r="29313" spans="6:6">
      <c r="F29313" s="2423"/>
    </row>
    <row r="29314" spans="6:6">
      <c r="F29314" s="2423"/>
    </row>
    <row r="29315" spans="6:6">
      <c r="F29315" s="2423"/>
    </row>
    <row r="29316" spans="6:6">
      <c r="F29316" s="2423"/>
    </row>
    <row r="29317" spans="6:6">
      <c r="F29317" s="2423"/>
    </row>
    <row r="29318" spans="6:6">
      <c r="F29318" s="2423"/>
    </row>
    <row r="29319" spans="6:6">
      <c r="F29319" s="2423"/>
    </row>
    <row r="29320" spans="6:6">
      <c r="F29320" s="2423"/>
    </row>
    <row r="29321" spans="6:6">
      <c r="F29321" s="2423"/>
    </row>
    <row r="29322" spans="6:6">
      <c r="F29322" s="2423"/>
    </row>
    <row r="29323" spans="6:6">
      <c r="F29323" s="2423"/>
    </row>
    <row r="29324" spans="6:6">
      <c r="F29324" s="2423"/>
    </row>
    <row r="29325" spans="6:6">
      <c r="F29325" s="2423"/>
    </row>
    <row r="29326" spans="6:6">
      <c r="F29326" s="2423"/>
    </row>
    <row r="29327" spans="6:6">
      <c r="F29327" s="2423"/>
    </row>
    <row r="29328" spans="6:6">
      <c r="F29328" s="2423"/>
    </row>
    <row r="29329" spans="6:6">
      <c r="F29329" s="2423"/>
    </row>
    <row r="29330" spans="6:6">
      <c r="F29330" s="2423"/>
    </row>
    <row r="29331" spans="6:6">
      <c r="F29331" s="2423"/>
    </row>
    <row r="29332" spans="6:6">
      <c r="F29332" s="2423"/>
    </row>
    <row r="29333" spans="6:6">
      <c r="F29333" s="2423"/>
    </row>
    <row r="29334" spans="6:6">
      <c r="F29334" s="2423"/>
    </row>
    <row r="29335" spans="6:6">
      <c r="F29335" s="2423"/>
    </row>
    <row r="29336" spans="6:6">
      <c r="F29336" s="2423"/>
    </row>
    <row r="29337" spans="6:6">
      <c r="F29337" s="2423"/>
    </row>
    <row r="29338" spans="6:6">
      <c r="F29338" s="2423"/>
    </row>
    <row r="29339" spans="6:6">
      <c r="F29339" s="2423"/>
    </row>
    <row r="29340" spans="6:6">
      <c r="F29340" s="2423"/>
    </row>
    <row r="29341" spans="6:6">
      <c r="F29341" s="2423"/>
    </row>
    <row r="29342" spans="6:6">
      <c r="F29342" s="2423"/>
    </row>
    <row r="29343" spans="6:6">
      <c r="F29343" s="2423"/>
    </row>
    <row r="29344" spans="6:6">
      <c r="F29344" s="2423"/>
    </row>
    <row r="29345" spans="6:6">
      <c r="F29345" s="2423"/>
    </row>
    <row r="29346" spans="6:6">
      <c r="F29346" s="2423"/>
    </row>
    <row r="29347" spans="6:6">
      <c r="F29347" s="2423"/>
    </row>
    <row r="29348" spans="6:6">
      <c r="F29348" s="2423"/>
    </row>
    <row r="29349" spans="6:6">
      <c r="F29349" s="2423"/>
    </row>
    <row r="29350" spans="6:6">
      <c r="F29350" s="2423"/>
    </row>
    <row r="29351" spans="6:6">
      <c r="F29351" s="2423"/>
    </row>
    <row r="29352" spans="6:6">
      <c r="F29352" s="2423"/>
    </row>
    <row r="29353" spans="6:6">
      <c r="F29353" s="2423"/>
    </row>
    <row r="29354" spans="6:6">
      <c r="F29354" s="2423"/>
    </row>
    <row r="29355" spans="6:6">
      <c r="F29355" s="2423"/>
    </row>
    <row r="29356" spans="6:6">
      <c r="F29356" s="2423"/>
    </row>
    <row r="29357" spans="6:6">
      <c r="F29357" s="2423"/>
    </row>
    <row r="29358" spans="6:6">
      <c r="F29358" s="2423"/>
    </row>
    <row r="29359" spans="6:6">
      <c r="F29359" s="2423"/>
    </row>
    <row r="29360" spans="6:6">
      <c r="F29360" s="2423"/>
    </row>
    <row r="29361" spans="6:6">
      <c r="F29361" s="2423"/>
    </row>
    <row r="29362" spans="6:6">
      <c r="F29362" s="2423"/>
    </row>
    <row r="29363" spans="6:6">
      <c r="F29363" s="2423"/>
    </row>
    <row r="29364" spans="6:6">
      <c r="F29364" s="2423"/>
    </row>
    <row r="29365" spans="6:6">
      <c r="F29365" s="2423"/>
    </row>
    <row r="29366" spans="6:6">
      <c r="F29366" s="2423"/>
    </row>
    <row r="29367" spans="6:6">
      <c r="F29367" s="2423"/>
    </row>
    <row r="29368" spans="6:6">
      <c r="F29368" s="2423"/>
    </row>
    <row r="29369" spans="6:6">
      <c r="F29369" s="2423"/>
    </row>
    <row r="29370" spans="6:6">
      <c r="F29370" s="2423"/>
    </row>
    <row r="29371" spans="6:6">
      <c r="F29371" s="2423"/>
    </row>
    <row r="29372" spans="6:6">
      <c r="F29372" s="2423"/>
    </row>
    <row r="29373" spans="6:6">
      <c r="F29373" s="2423"/>
    </row>
    <row r="29374" spans="6:6">
      <c r="F29374" s="2423"/>
    </row>
    <row r="29375" spans="6:6">
      <c r="F29375" s="2423"/>
    </row>
    <row r="29376" spans="6:6">
      <c r="F29376" s="2423"/>
    </row>
    <row r="29377" spans="6:6">
      <c r="F29377" s="2423"/>
    </row>
    <row r="29378" spans="6:6">
      <c r="F29378" s="2423"/>
    </row>
    <row r="29379" spans="6:6">
      <c r="F29379" s="2423"/>
    </row>
    <row r="29380" spans="6:6">
      <c r="F29380" s="2423"/>
    </row>
    <row r="29381" spans="6:6">
      <c r="F29381" s="2423"/>
    </row>
    <row r="29382" spans="6:6">
      <c r="F29382" s="2423"/>
    </row>
    <row r="29383" spans="6:6">
      <c r="F29383" s="2423"/>
    </row>
    <row r="29384" spans="6:6">
      <c r="F29384" s="2423"/>
    </row>
    <row r="29385" spans="6:6">
      <c r="F29385" s="2423"/>
    </row>
    <row r="29386" spans="6:6">
      <c r="F29386" s="2423"/>
    </row>
    <row r="29387" spans="6:6">
      <c r="F29387" s="2423"/>
    </row>
    <row r="29388" spans="6:6">
      <c r="F29388" s="2423"/>
    </row>
    <row r="29389" spans="6:6">
      <c r="F29389" s="2423"/>
    </row>
    <row r="29390" spans="6:6">
      <c r="F29390" s="2423"/>
    </row>
    <row r="29391" spans="6:6">
      <c r="F29391" s="2423"/>
    </row>
    <row r="29392" spans="6:6">
      <c r="F29392" s="2423"/>
    </row>
    <row r="29393" spans="6:6">
      <c r="F29393" s="2423"/>
    </row>
    <row r="29394" spans="6:6">
      <c r="F29394" s="2423"/>
    </row>
    <row r="29395" spans="6:6">
      <c r="F29395" s="2423"/>
    </row>
    <row r="29396" spans="6:6">
      <c r="F29396" s="2423"/>
    </row>
    <row r="29397" spans="6:6">
      <c r="F29397" s="2423"/>
    </row>
    <row r="29398" spans="6:6">
      <c r="F29398" s="2423"/>
    </row>
    <row r="29399" spans="6:6">
      <c r="F29399" s="2423"/>
    </row>
    <row r="29400" spans="6:6">
      <c r="F29400" s="2423"/>
    </row>
    <row r="29401" spans="6:6">
      <c r="F29401" s="2423"/>
    </row>
    <row r="29402" spans="6:6">
      <c r="F29402" s="2423"/>
    </row>
    <row r="29403" spans="6:6">
      <c r="F29403" s="2423"/>
    </row>
    <row r="29404" spans="6:6">
      <c r="F29404" s="2423"/>
    </row>
    <row r="29405" spans="6:6">
      <c r="F29405" s="2423"/>
    </row>
    <row r="29406" spans="6:6">
      <c r="F29406" s="2423"/>
    </row>
    <row r="29407" spans="6:6">
      <c r="F29407" s="2423"/>
    </row>
    <row r="29408" spans="6:6">
      <c r="F29408" s="2423"/>
    </row>
    <row r="29409" spans="6:6">
      <c r="F29409" s="2423"/>
    </row>
    <row r="29410" spans="6:6">
      <c r="F29410" s="2423"/>
    </row>
    <row r="29411" spans="6:6">
      <c r="F29411" s="2423"/>
    </row>
    <row r="29412" spans="6:6">
      <c r="F29412" s="2423"/>
    </row>
    <row r="29413" spans="6:6">
      <c r="F29413" s="2423"/>
    </row>
    <row r="29414" spans="6:6">
      <c r="F29414" s="2423"/>
    </row>
    <row r="29415" spans="6:6">
      <c r="F29415" s="2423"/>
    </row>
    <row r="29416" spans="6:6">
      <c r="F29416" s="2423"/>
    </row>
    <row r="29417" spans="6:6">
      <c r="F29417" s="2423"/>
    </row>
    <row r="29418" spans="6:6">
      <c r="F29418" s="2423"/>
    </row>
    <row r="29419" spans="6:6">
      <c r="F29419" s="2423"/>
    </row>
    <row r="29420" spans="6:6">
      <c r="F29420" s="2423"/>
    </row>
    <row r="29421" spans="6:6">
      <c r="F29421" s="2423"/>
    </row>
    <row r="29422" spans="6:6">
      <c r="F29422" s="2423"/>
    </row>
    <row r="29423" spans="6:6">
      <c r="F29423" s="2423"/>
    </row>
    <row r="29424" spans="6:6">
      <c r="F29424" s="2423"/>
    </row>
    <row r="29425" spans="6:6">
      <c r="F29425" s="2423"/>
    </row>
    <row r="29426" spans="6:6">
      <c r="F29426" s="2423"/>
    </row>
    <row r="29427" spans="6:6">
      <c r="F29427" s="2423"/>
    </row>
    <row r="29428" spans="6:6">
      <c r="F29428" s="2423"/>
    </row>
    <row r="29429" spans="6:6">
      <c r="F29429" s="2423"/>
    </row>
    <row r="29430" spans="6:6">
      <c r="F29430" s="2423"/>
    </row>
    <row r="29431" spans="6:6">
      <c r="F29431" s="2423"/>
    </row>
    <row r="29432" spans="6:6">
      <c r="F29432" s="2423"/>
    </row>
    <row r="29433" spans="6:6">
      <c r="F29433" s="2423"/>
    </row>
    <row r="29434" spans="6:6">
      <c r="F29434" s="2423"/>
    </row>
    <row r="29435" spans="6:6">
      <c r="F29435" s="2423"/>
    </row>
    <row r="29436" spans="6:6">
      <c r="F29436" s="2423"/>
    </row>
    <row r="29437" spans="6:6">
      <c r="F29437" s="2423"/>
    </row>
    <row r="29438" spans="6:6">
      <c r="F29438" s="2423"/>
    </row>
    <row r="29439" spans="6:6">
      <c r="F29439" s="2423"/>
    </row>
    <row r="29440" spans="6:6">
      <c r="F29440" s="2423"/>
    </row>
    <row r="29441" spans="6:6">
      <c r="F29441" s="2423"/>
    </row>
    <row r="29442" spans="6:6">
      <c r="F29442" s="2423"/>
    </row>
    <row r="29443" spans="6:6">
      <c r="F29443" s="2423"/>
    </row>
    <row r="29444" spans="6:6">
      <c r="F29444" s="2423"/>
    </row>
    <row r="29445" spans="6:6">
      <c r="F29445" s="2423"/>
    </row>
    <row r="29446" spans="6:6">
      <c r="F29446" s="2423"/>
    </row>
    <row r="29447" spans="6:6">
      <c r="F29447" s="2423"/>
    </row>
    <row r="29448" spans="6:6">
      <c r="F29448" s="2423"/>
    </row>
    <row r="29449" spans="6:6">
      <c r="F29449" s="2423"/>
    </row>
    <row r="29450" spans="6:6">
      <c r="F29450" s="2423"/>
    </row>
    <row r="29451" spans="6:6">
      <c r="F29451" s="2423"/>
    </row>
    <row r="29452" spans="6:6">
      <c r="F29452" s="2423"/>
    </row>
    <row r="29453" spans="6:6">
      <c r="F29453" s="2423"/>
    </row>
    <row r="29454" spans="6:6">
      <c r="F29454" s="2423"/>
    </row>
    <row r="29455" spans="6:6">
      <c r="F29455" s="2423"/>
    </row>
    <row r="29456" spans="6:6">
      <c r="F29456" s="2423"/>
    </row>
    <row r="29457" spans="6:6">
      <c r="F29457" s="2423"/>
    </row>
    <row r="29458" spans="6:6">
      <c r="F29458" s="2423"/>
    </row>
    <row r="29459" spans="6:6">
      <c r="F29459" s="2423"/>
    </row>
    <row r="29460" spans="6:6">
      <c r="F29460" s="2423"/>
    </row>
    <row r="29461" spans="6:6">
      <c r="F29461" s="2423"/>
    </row>
    <row r="29462" spans="6:6">
      <c r="F29462" s="2423"/>
    </row>
    <row r="29463" spans="6:6">
      <c r="F29463" s="2423"/>
    </row>
    <row r="29464" spans="6:6">
      <c r="F29464" s="2423"/>
    </row>
    <row r="29465" spans="6:6">
      <c r="F29465" s="2423"/>
    </row>
    <row r="29466" spans="6:6">
      <c r="F29466" s="2423"/>
    </row>
    <row r="29467" spans="6:6">
      <c r="F29467" s="2423"/>
    </row>
    <row r="29468" spans="6:6">
      <c r="F29468" s="2423"/>
    </row>
    <row r="29469" spans="6:6">
      <c r="F29469" s="2423"/>
    </row>
    <row r="29470" spans="6:6">
      <c r="F29470" s="2423"/>
    </row>
    <row r="29471" spans="6:6">
      <c r="F29471" s="2423"/>
    </row>
    <row r="29472" spans="6:6">
      <c r="F29472" s="2423"/>
    </row>
    <row r="29473" spans="6:6">
      <c r="F29473" s="2423"/>
    </row>
    <row r="29474" spans="6:6">
      <c r="F29474" s="2423"/>
    </row>
    <row r="29475" spans="6:6">
      <c r="F29475" s="2423"/>
    </row>
    <row r="29476" spans="6:6">
      <c r="F29476" s="2423"/>
    </row>
    <row r="29477" spans="6:6">
      <c r="F29477" s="2423"/>
    </row>
    <row r="29478" spans="6:6">
      <c r="F29478" s="2423"/>
    </row>
    <row r="29479" spans="6:6">
      <c r="F29479" s="2423"/>
    </row>
    <row r="29480" spans="6:6">
      <c r="F29480" s="2423"/>
    </row>
    <row r="29481" spans="6:6">
      <c r="F29481" s="2423"/>
    </row>
    <row r="29482" spans="6:6">
      <c r="F29482" s="2423"/>
    </row>
    <row r="29483" spans="6:6">
      <c r="F29483" s="2423"/>
    </row>
    <row r="29484" spans="6:6">
      <c r="F29484" s="2423"/>
    </row>
    <row r="29485" spans="6:6">
      <c r="F29485" s="2423"/>
    </row>
    <row r="29486" spans="6:6">
      <c r="F29486" s="2423"/>
    </row>
    <row r="29487" spans="6:6">
      <c r="F29487" s="2423"/>
    </row>
    <row r="29488" spans="6:6">
      <c r="F29488" s="2423"/>
    </row>
    <row r="29489" spans="6:6">
      <c r="F29489" s="2423"/>
    </row>
    <row r="29490" spans="6:6">
      <c r="F29490" s="2423"/>
    </row>
    <row r="29491" spans="6:6">
      <c r="F29491" s="2423"/>
    </row>
    <row r="29492" spans="6:6">
      <c r="F29492" s="2423"/>
    </row>
    <row r="29493" spans="6:6">
      <c r="F29493" s="2423"/>
    </row>
    <row r="29494" spans="6:6">
      <c r="F29494" s="2423"/>
    </row>
    <row r="29495" spans="6:6">
      <c r="F29495" s="2423"/>
    </row>
    <row r="29496" spans="6:6">
      <c r="F29496" s="2423"/>
    </row>
    <row r="29497" spans="6:6">
      <c r="F29497" s="2423"/>
    </row>
    <row r="29498" spans="6:6">
      <c r="F29498" s="2423"/>
    </row>
    <row r="29499" spans="6:6">
      <c r="F29499" s="2423"/>
    </row>
    <row r="29500" spans="6:6">
      <c r="F29500" s="2423"/>
    </row>
    <row r="29501" spans="6:6">
      <c r="F29501" s="2423"/>
    </row>
    <row r="29502" spans="6:6">
      <c r="F29502" s="2423"/>
    </row>
    <row r="29503" spans="6:6">
      <c r="F29503" s="2423"/>
    </row>
    <row r="29504" spans="6:6">
      <c r="F29504" s="2423"/>
    </row>
    <row r="29505" spans="6:6">
      <c r="F29505" s="2423"/>
    </row>
    <row r="29506" spans="6:6">
      <c r="F29506" s="2423"/>
    </row>
    <row r="29507" spans="6:6">
      <c r="F29507" s="2423"/>
    </row>
    <row r="29508" spans="6:6">
      <c r="F29508" s="2423"/>
    </row>
    <row r="29509" spans="6:6">
      <c r="F29509" s="2423"/>
    </row>
    <row r="29510" spans="6:6">
      <c r="F29510" s="2423"/>
    </row>
    <row r="29511" spans="6:6">
      <c r="F29511" s="2423"/>
    </row>
    <row r="29512" spans="6:6">
      <c r="F29512" s="2423"/>
    </row>
    <row r="29513" spans="6:6">
      <c r="F29513" s="2423"/>
    </row>
    <row r="29514" spans="6:6">
      <c r="F29514" s="2423"/>
    </row>
    <row r="29515" spans="6:6">
      <c r="F29515" s="2423"/>
    </row>
    <row r="29516" spans="6:6">
      <c r="F29516" s="2423"/>
    </row>
    <row r="29517" spans="6:6">
      <c r="F29517" s="2423"/>
    </row>
    <row r="29518" spans="6:6">
      <c r="F29518" s="2423"/>
    </row>
    <row r="29519" spans="6:6">
      <c r="F29519" s="2423"/>
    </row>
    <row r="29520" spans="6:6">
      <c r="F29520" s="2423"/>
    </row>
    <row r="29521" spans="6:6">
      <c r="F29521" s="2423"/>
    </row>
    <row r="29522" spans="6:6">
      <c r="F29522" s="2423"/>
    </row>
    <row r="29523" spans="6:6">
      <c r="F29523" s="2423"/>
    </row>
    <row r="29524" spans="6:6">
      <c r="F29524" s="2423"/>
    </row>
    <row r="29525" spans="6:6">
      <c r="F29525" s="2423"/>
    </row>
    <row r="29526" spans="6:6">
      <c r="F29526" s="2423"/>
    </row>
    <row r="29527" spans="6:6">
      <c r="F29527" s="2423"/>
    </row>
    <row r="29528" spans="6:6">
      <c r="F29528" s="2423"/>
    </row>
    <row r="29529" spans="6:6">
      <c r="F29529" s="2423"/>
    </row>
    <row r="29530" spans="6:6">
      <c r="F29530" s="2423"/>
    </row>
    <row r="29531" spans="6:6">
      <c r="F29531" s="2423"/>
    </row>
    <row r="29532" spans="6:6">
      <c r="F29532" s="2423"/>
    </row>
    <row r="29533" spans="6:6">
      <c r="F29533" s="2423"/>
    </row>
    <row r="29534" spans="6:6">
      <c r="F29534" s="2423"/>
    </row>
    <row r="29535" spans="6:6">
      <c r="F29535" s="2423"/>
    </row>
    <row r="29536" spans="6:6">
      <c r="F29536" s="2423"/>
    </row>
    <row r="29537" spans="6:6">
      <c r="F29537" s="2423"/>
    </row>
    <row r="29538" spans="6:6">
      <c r="F29538" s="2423"/>
    </row>
    <row r="29539" spans="6:6">
      <c r="F29539" s="2423"/>
    </row>
    <row r="29540" spans="6:6">
      <c r="F29540" s="2423"/>
    </row>
    <row r="29541" spans="6:6">
      <c r="F29541" s="2423"/>
    </row>
    <row r="29542" spans="6:6">
      <c r="F29542" s="2423"/>
    </row>
    <row r="29543" spans="6:6">
      <c r="F29543" s="2423"/>
    </row>
    <row r="29544" spans="6:6">
      <c r="F29544" s="2423"/>
    </row>
    <row r="29545" spans="6:6">
      <c r="F29545" s="2423"/>
    </row>
    <row r="29546" spans="6:6">
      <c r="F29546" s="2423"/>
    </row>
    <row r="29547" spans="6:6">
      <c r="F29547" s="2423"/>
    </row>
    <row r="29548" spans="6:6">
      <c r="F29548" s="2423"/>
    </row>
    <row r="29549" spans="6:6">
      <c r="F29549" s="2423"/>
    </row>
    <row r="29550" spans="6:6">
      <c r="F29550" s="2423"/>
    </row>
    <row r="29551" spans="6:6">
      <c r="F29551" s="2423"/>
    </row>
    <row r="29552" spans="6:6">
      <c r="F29552" s="2423"/>
    </row>
    <row r="29553" spans="6:6">
      <c r="F29553" s="2423"/>
    </row>
    <row r="29554" spans="6:6">
      <c r="F29554" s="2423"/>
    </row>
    <row r="29555" spans="6:6">
      <c r="F29555" s="2423"/>
    </row>
    <row r="29556" spans="6:6">
      <c r="F29556" s="2423"/>
    </row>
    <row r="29557" spans="6:6">
      <c r="F29557" s="2423"/>
    </row>
    <row r="29558" spans="6:6">
      <c r="F29558" s="2423"/>
    </row>
    <row r="29559" spans="6:6">
      <c r="F29559" s="2423"/>
    </row>
    <row r="29560" spans="6:6">
      <c r="F29560" s="2423"/>
    </row>
    <row r="29561" spans="6:6">
      <c r="F29561" s="2423"/>
    </row>
    <row r="29562" spans="6:6">
      <c r="F29562" s="2423"/>
    </row>
    <row r="29563" spans="6:6">
      <c r="F29563" s="2423"/>
    </row>
    <row r="29564" spans="6:6">
      <c r="F29564" s="2423"/>
    </row>
    <row r="29565" spans="6:6">
      <c r="F29565" s="2423"/>
    </row>
    <row r="29566" spans="6:6">
      <c r="F29566" s="2423"/>
    </row>
    <row r="29567" spans="6:6">
      <c r="F29567" s="2423"/>
    </row>
    <row r="29568" spans="6:6">
      <c r="F29568" s="2423"/>
    </row>
    <row r="29569" spans="6:6">
      <c r="F29569" s="2423"/>
    </row>
    <row r="29570" spans="6:6">
      <c r="F29570" s="2423"/>
    </row>
    <row r="29571" spans="6:6">
      <c r="F29571" s="2423"/>
    </row>
    <row r="29572" spans="6:6">
      <c r="F29572" s="2423"/>
    </row>
    <row r="29573" spans="6:6">
      <c r="F29573" s="2423"/>
    </row>
    <row r="29574" spans="6:6">
      <c r="F29574" s="2423"/>
    </row>
    <row r="29575" spans="6:6">
      <c r="F29575" s="2423"/>
    </row>
    <row r="29576" spans="6:6">
      <c r="F29576" s="2423"/>
    </row>
    <row r="29577" spans="6:6">
      <c r="F29577" s="2423"/>
    </row>
    <row r="29578" spans="6:6">
      <c r="F29578" s="2423"/>
    </row>
    <row r="29579" spans="6:6">
      <c r="F29579" s="2423"/>
    </row>
    <row r="29580" spans="6:6">
      <c r="F29580" s="2423"/>
    </row>
    <row r="29581" spans="6:6">
      <c r="F29581" s="2423"/>
    </row>
    <row r="29582" spans="6:6">
      <c r="F29582" s="2423"/>
    </row>
    <row r="29583" spans="6:6">
      <c r="F29583" s="2423"/>
    </row>
    <row r="29584" spans="6:6">
      <c r="F29584" s="2423"/>
    </row>
    <row r="29585" spans="6:6">
      <c r="F29585" s="2423"/>
    </row>
    <row r="29586" spans="6:6">
      <c r="F29586" s="2423"/>
    </row>
    <row r="29587" spans="6:6">
      <c r="F29587" s="2423"/>
    </row>
    <row r="29588" spans="6:6">
      <c r="F29588" s="2423"/>
    </row>
    <row r="29589" spans="6:6">
      <c r="F29589" s="2423"/>
    </row>
    <row r="29590" spans="6:6">
      <c r="F29590" s="2423"/>
    </row>
    <row r="29591" spans="6:6">
      <c r="F29591" s="2423"/>
    </row>
    <row r="29592" spans="6:6">
      <c r="F29592" s="2423"/>
    </row>
    <row r="29593" spans="6:6">
      <c r="F29593" s="2423"/>
    </row>
    <row r="29594" spans="6:6">
      <c r="F29594" s="2423"/>
    </row>
    <row r="29595" spans="6:6">
      <c r="F29595" s="2423"/>
    </row>
    <row r="29596" spans="6:6">
      <c r="F29596" s="2423"/>
    </row>
    <row r="29597" spans="6:6">
      <c r="F29597" s="2423"/>
    </row>
    <row r="29598" spans="6:6">
      <c r="F29598" s="2423"/>
    </row>
    <row r="29599" spans="6:6">
      <c r="F29599" s="2423"/>
    </row>
    <row r="29600" spans="6:6">
      <c r="F29600" s="2423"/>
    </row>
    <row r="29601" spans="6:6">
      <c r="F29601" s="2423"/>
    </row>
    <row r="29602" spans="6:6">
      <c r="F29602" s="2423"/>
    </row>
    <row r="29603" spans="6:6">
      <c r="F29603" s="2423"/>
    </row>
    <row r="29604" spans="6:6">
      <c r="F29604" s="2423"/>
    </row>
    <row r="29605" spans="6:6">
      <c r="F29605" s="2423"/>
    </row>
    <row r="29606" spans="6:6">
      <c r="F29606" s="2423"/>
    </row>
    <row r="29607" spans="6:6">
      <c r="F29607" s="2423"/>
    </row>
    <row r="29608" spans="6:6">
      <c r="F29608" s="2423"/>
    </row>
    <row r="29609" spans="6:6">
      <c r="F29609" s="2423"/>
    </row>
    <row r="29610" spans="6:6">
      <c r="F29610" s="2423"/>
    </row>
    <row r="29611" spans="6:6">
      <c r="F29611" s="2423"/>
    </row>
    <row r="29612" spans="6:6">
      <c r="F29612" s="2423"/>
    </row>
    <row r="29613" spans="6:6">
      <c r="F29613" s="2423"/>
    </row>
    <row r="29614" spans="6:6">
      <c r="F29614" s="2423"/>
    </row>
    <row r="29615" spans="6:6">
      <c r="F29615" s="2423"/>
    </row>
    <row r="29616" spans="6:6">
      <c r="F29616" s="2423"/>
    </row>
    <row r="29617" spans="6:6">
      <c r="F29617" s="2423"/>
    </row>
    <row r="29618" spans="6:6">
      <c r="F29618" s="2423"/>
    </row>
    <row r="29619" spans="6:6">
      <c r="F29619" s="2423"/>
    </row>
    <row r="29620" spans="6:6">
      <c r="F29620" s="2423"/>
    </row>
    <row r="29621" spans="6:6">
      <c r="F29621" s="2423"/>
    </row>
    <row r="29622" spans="6:6">
      <c r="F29622" s="2423"/>
    </row>
    <row r="29623" spans="6:6">
      <c r="F29623" s="2423"/>
    </row>
    <row r="29624" spans="6:6">
      <c r="F29624" s="2423"/>
    </row>
    <row r="29625" spans="6:6">
      <c r="F29625" s="2423"/>
    </row>
    <row r="29626" spans="6:6">
      <c r="F29626" s="2423"/>
    </row>
    <row r="29627" spans="6:6">
      <c r="F29627" s="2423"/>
    </row>
    <row r="29628" spans="6:6">
      <c r="F29628" s="2423"/>
    </row>
    <row r="29629" spans="6:6">
      <c r="F29629" s="2423"/>
    </row>
    <row r="29630" spans="6:6">
      <c r="F29630" s="2423"/>
    </row>
    <row r="29631" spans="6:6">
      <c r="F29631" s="2423"/>
    </row>
    <row r="29632" spans="6:6">
      <c r="F29632" s="2423"/>
    </row>
    <row r="29633" spans="6:6">
      <c r="F29633" s="2423"/>
    </row>
    <row r="29634" spans="6:6">
      <c r="F29634" s="2423"/>
    </row>
    <row r="29635" spans="6:6">
      <c r="F29635" s="2423"/>
    </row>
    <row r="29636" spans="6:6">
      <c r="F29636" s="2423"/>
    </row>
    <row r="29637" spans="6:6">
      <c r="F29637" s="2423"/>
    </row>
    <row r="29638" spans="6:6">
      <c r="F29638" s="2423"/>
    </row>
    <row r="29639" spans="6:6">
      <c r="F29639" s="2423"/>
    </row>
    <row r="29640" spans="6:6">
      <c r="F29640" s="2423"/>
    </row>
    <row r="29641" spans="6:6">
      <c r="F29641" s="2423"/>
    </row>
    <row r="29642" spans="6:6">
      <c r="F29642" s="2423"/>
    </row>
    <row r="29643" spans="6:6">
      <c r="F29643" s="2423"/>
    </row>
    <row r="29644" spans="6:6">
      <c r="F29644" s="2423"/>
    </row>
    <row r="29645" spans="6:6">
      <c r="F29645" s="2423"/>
    </row>
    <row r="29646" spans="6:6">
      <c r="F29646" s="2423"/>
    </row>
    <row r="29647" spans="6:6">
      <c r="F29647" s="2423"/>
    </row>
    <row r="29648" spans="6:6">
      <c r="F29648" s="2423"/>
    </row>
    <row r="29649" spans="6:6">
      <c r="F29649" s="2423"/>
    </row>
    <row r="29650" spans="6:6">
      <c r="F29650" s="2423"/>
    </row>
    <row r="29651" spans="6:6">
      <c r="F29651" s="2423"/>
    </row>
    <row r="29652" spans="6:6">
      <c r="F29652" s="2423"/>
    </row>
    <row r="29653" spans="6:6">
      <c r="F29653" s="2423"/>
    </row>
    <row r="29654" spans="6:6">
      <c r="F29654" s="2423"/>
    </row>
    <row r="29655" spans="6:6">
      <c r="F29655" s="2423"/>
    </row>
    <row r="29656" spans="6:6">
      <c r="F29656" s="2423"/>
    </row>
    <row r="29657" spans="6:6">
      <c r="F29657" s="2423"/>
    </row>
    <row r="29658" spans="6:6">
      <c r="F29658" s="2423"/>
    </row>
    <row r="29659" spans="6:6">
      <c r="F29659" s="2423"/>
    </row>
    <row r="29660" spans="6:6">
      <c r="F29660" s="2423"/>
    </row>
    <row r="29661" spans="6:6">
      <c r="F29661" s="2423"/>
    </row>
    <row r="29662" spans="6:6">
      <c r="F29662" s="2423"/>
    </row>
    <row r="29663" spans="6:6">
      <c r="F29663" s="2423"/>
    </row>
    <row r="29664" spans="6:6">
      <c r="F29664" s="2423"/>
    </row>
    <row r="29665" spans="6:6">
      <c r="F29665" s="2423"/>
    </row>
    <row r="29666" spans="6:6">
      <c r="F29666" s="2423"/>
    </row>
    <row r="29667" spans="6:6">
      <c r="F29667" s="2423"/>
    </row>
    <row r="29668" spans="6:6">
      <c r="F29668" s="2423"/>
    </row>
    <row r="29669" spans="6:6">
      <c r="F29669" s="2423"/>
    </row>
    <row r="29670" spans="6:6">
      <c r="F29670" s="2423"/>
    </row>
    <row r="29671" spans="6:6">
      <c r="F29671" s="2423"/>
    </row>
    <row r="29672" spans="6:6">
      <c r="F29672" s="2423"/>
    </row>
    <row r="29673" spans="6:6">
      <c r="F29673" s="2423"/>
    </row>
    <row r="29674" spans="6:6">
      <c r="F29674" s="2423"/>
    </row>
    <row r="29675" spans="6:6">
      <c r="F29675" s="2423"/>
    </row>
    <row r="29676" spans="6:6">
      <c r="F29676" s="2423"/>
    </row>
    <row r="29677" spans="6:6">
      <c r="F29677" s="2423"/>
    </row>
    <row r="29678" spans="6:6">
      <c r="F29678" s="2423"/>
    </row>
    <row r="29679" spans="6:6">
      <c r="F29679" s="2423"/>
    </row>
    <row r="29680" spans="6:6">
      <c r="F29680" s="2423"/>
    </row>
    <row r="29681" spans="6:6">
      <c r="F29681" s="2423"/>
    </row>
    <row r="29682" spans="6:6">
      <c r="F29682" s="2423"/>
    </row>
    <row r="29683" spans="6:6">
      <c r="F29683" s="2423"/>
    </row>
    <row r="29684" spans="6:6">
      <c r="F29684" s="2423"/>
    </row>
    <row r="29685" spans="6:6">
      <c r="F29685" s="2423"/>
    </row>
    <row r="29686" spans="6:6">
      <c r="F29686" s="2423"/>
    </row>
    <row r="29687" spans="6:6">
      <c r="F29687" s="2423"/>
    </row>
    <row r="29688" spans="6:6">
      <c r="F29688" s="2423"/>
    </row>
    <row r="29689" spans="6:6">
      <c r="F29689" s="2423"/>
    </row>
    <row r="29690" spans="6:6">
      <c r="F29690" s="2423"/>
    </row>
    <row r="29691" spans="6:6">
      <c r="F29691" s="2423"/>
    </row>
    <row r="29692" spans="6:6">
      <c r="F29692" s="2423"/>
    </row>
    <row r="29693" spans="6:6">
      <c r="F29693" s="2423"/>
    </row>
    <row r="29694" spans="6:6">
      <c r="F29694" s="2423"/>
    </row>
    <row r="29695" spans="6:6">
      <c r="F29695" s="2423"/>
    </row>
    <row r="29696" spans="6:6">
      <c r="F29696" s="2423"/>
    </row>
    <row r="29697" spans="6:6">
      <c r="F29697" s="2423"/>
    </row>
    <row r="29698" spans="6:6">
      <c r="F29698" s="2423"/>
    </row>
    <row r="29699" spans="6:6">
      <c r="F29699" s="2423"/>
    </row>
    <row r="29700" spans="6:6">
      <c r="F29700" s="2423"/>
    </row>
    <row r="29701" spans="6:6">
      <c r="F29701" s="2423"/>
    </row>
    <row r="29702" spans="6:6">
      <c r="F29702" s="2423"/>
    </row>
    <row r="29703" spans="6:6">
      <c r="F29703" s="2423"/>
    </row>
    <row r="29704" spans="6:6">
      <c r="F29704" s="2423"/>
    </row>
    <row r="29705" spans="6:6">
      <c r="F29705" s="2423"/>
    </row>
    <row r="29706" spans="6:6">
      <c r="F29706" s="2423"/>
    </row>
    <row r="29707" spans="6:6">
      <c r="F29707" s="2423"/>
    </row>
    <row r="29708" spans="6:6">
      <c r="F29708" s="2423"/>
    </row>
    <row r="29709" spans="6:6">
      <c r="F29709" s="2423"/>
    </row>
    <row r="29710" spans="6:6">
      <c r="F29710" s="2423"/>
    </row>
    <row r="29711" spans="6:6">
      <c r="F29711" s="2423"/>
    </row>
    <row r="29712" spans="6:6">
      <c r="F29712" s="2423"/>
    </row>
    <row r="29713" spans="6:6">
      <c r="F29713" s="2423"/>
    </row>
    <row r="29714" spans="6:6">
      <c r="F29714" s="2423"/>
    </row>
    <row r="29715" spans="6:6">
      <c r="F29715" s="2423"/>
    </row>
    <row r="29716" spans="6:6">
      <c r="F29716" s="2423"/>
    </row>
    <row r="29717" spans="6:6">
      <c r="F29717" s="2423"/>
    </row>
    <row r="29718" spans="6:6">
      <c r="F29718" s="2423"/>
    </row>
    <row r="29719" spans="6:6">
      <c r="F29719" s="2423"/>
    </row>
    <row r="29720" spans="6:6">
      <c r="F29720" s="2423"/>
    </row>
    <row r="29721" spans="6:6">
      <c r="F29721" s="2423"/>
    </row>
    <row r="29722" spans="6:6">
      <c r="F29722" s="2423"/>
    </row>
    <row r="29723" spans="6:6">
      <c r="F29723" s="2423"/>
    </row>
    <row r="29724" spans="6:6">
      <c r="F29724" s="2423"/>
    </row>
    <row r="29725" spans="6:6">
      <c r="F29725" s="2423"/>
    </row>
    <row r="29726" spans="6:6">
      <c r="F29726" s="2423"/>
    </row>
    <row r="29727" spans="6:6">
      <c r="F29727" s="2423"/>
    </row>
    <row r="29728" spans="6:6">
      <c r="F29728" s="2423"/>
    </row>
    <row r="29729" spans="6:6">
      <c r="F29729" s="2423"/>
    </row>
    <row r="29730" spans="6:6">
      <c r="F29730" s="2423"/>
    </row>
    <row r="29731" spans="6:6">
      <c r="F29731" s="2423"/>
    </row>
    <row r="29732" spans="6:6">
      <c r="F29732" s="2423"/>
    </row>
    <row r="29733" spans="6:6">
      <c r="F29733" s="2423"/>
    </row>
    <row r="29734" spans="6:6">
      <c r="F29734" s="2423"/>
    </row>
    <row r="29735" spans="6:6">
      <c r="F29735" s="2423"/>
    </row>
    <row r="29736" spans="6:6">
      <c r="F29736" s="2423"/>
    </row>
    <row r="29737" spans="6:6">
      <c r="F29737" s="2423"/>
    </row>
    <row r="29738" spans="6:6">
      <c r="F29738" s="2423"/>
    </row>
    <row r="29739" spans="6:6">
      <c r="F29739" s="2423"/>
    </row>
    <row r="29740" spans="6:6">
      <c r="F29740" s="2423"/>
    </row>
    <row r="29741" spans="6:6">
      <c r="F29741" s="2423"/>
    </row>
    <row r="29742" spans="6:6">
      <c r="F29742" s="2423"/>
    </row>
    <row r="29743" spans="6:6">
      <c r="F29743" s="2423"/>
    </row>
    <row r="29744" spans="6:6">
      <c r="F29744" s="2423"/>
    </row>
    <row r="29745" spans="6:6">
      <c r="F29745" s="2423"/>
    </row>
    <row r="29746" spans="6:6">
      <c r="F29746" s="2423"/>
    </row>
    <row r="29747" spans="6:6">
      <c r="F29747" s="2423"/>
    </row>
    <row r="29748" spans="6:6">
      <c r="F29748" s="2423"/>
    </row>
    <row r="29749" spans="6:6">
      <c r="F29749" s="2423"/>
    </row>
    <row r="29750" spans="6:6">
      <c r="F29750" s="2423"/>
    </row>
    <row r="29751" spans="6:6">
      <c r="F29751" s="2423"/>
    </row>
    <row r="29752" spans="6:6">
      <c r="F29752" s="2423"/>
    </row>
    <row r="29753" spans="6:6">
      <c r="F29753" s="2423"/>
    </row>
    <row r="29754" spans="6:6">
      <c r="F29754" s="2423"/>
    </row>
    <row r="29755" spans="6:6">
      <c r="F29755" s="2423"/>
    </row>
    <row r="29756" spans="6:6">
      <c r="F29756" s="2423"/>
    </row>
    <row r="29757" spans="6:6">
      <c r="F29757" s="2423"/>
    </row>
    <row r="29758" spans="6:6">
      <c r="F29758" s="2423"/>
    </row>
    <row r="29759" spans="6:6">
      <c r="F29759" s="2423"/>
    </row>
    <row r="29760" spans="6:6">
      <c r="F29760" s="2423"/>
    </row>
    <row r="29761" spans="6:6">
      <c r="F29761" s="2423"/>
    </row>
    <row r="29762" spans="6:6">
      <c r="F29762" s="2423"/>
    </row>
    <row r="29763" spans="6:6">
      <c r="F29763" s="2423"/>
    </row>
    <row r="29764" spans="6:6">
      <c r="F29764" s="2423"/>
    </row>
    <row r="29765" spans="6:6">
      <c r="F29765" s="2423"/>
    </row>
    <row r="29766" spans="6:6">
      <c r="F29766" s="2423"/>
    </row>
    <row r="29767" spans="6:6">
      <c r="F29767" s="2423"/>
    </row>
    <row r="29768" spans="6:6">
      <c r="F29768" s="2423"/>
    </row>
    <row r="29769" spans="6:6">
      <c r="F29769" s="2423"/>
    </row>
    <row r="29770" spans="6:6">
      <c r="F29770" s="2423"/>
    </row>
    <row r="29771" spans="6:6">
      <c r="F29771" s="2423"/>
    </row>
    <row r="29772" spans="6:6">
      <c r="F29772" s="2423"/>
    </row>
    <row r="29773" spans="6:6">
      <c r="F29773" s="2423"/>
    </row>
    <row r="29774" spans="6:6">
      <c r="F29774" s="2423"/>
    </row>
    <row r="29775" spans="6:6">
      <c r="F29775" s="2423"/>
    </row>
    <row r="29776" spans="6:6">
      <c r="F29776" s="2423"/>
    </row>
    <row r="29777" spans="6:6">
      <c r="F29777" s="2423"/>
    </row>
    <row r="29778" spans="6:6">
      <c r="F29778" s="2423"/>
    </row>
    <row r="29779" spans="6:6">
      <c r="F29779" s="2423"/>
    </row>
    <row r="29780" spans="6:6">
      <c r="F29780" s="2423"/>
    </row>
    <row r="29781" spans="6:6">
      <c r="F29781" s="2423"/>
    </row>
    <row r="29782" spans="6:6">
      <c r="F29782" s="2423"/>
    </row>
    <row r="29783" spans="6:6">
      <c r="F29783" s="2423"/>
    </row>
    <row r="29784" spans="6:6">
      <c r="F29784" s="2423"/>
    </row>
    <row r="29785" spans="6:6">
      <c r="F29785" s="2423"/>
    </row>
    <row r="29786" spans="6:6">
      <c r="F29786" s="2423"/>
    </row>
    <row r="29787" spans="6:6">
      <c r="F29787" s="2423"/>
    </row>
    <row r="29788" spans="6:6">
      <c r="F29788" s="2423"/>
    </row>
    <row r="29789" spans="6:6">
      <c r="F29789" s="2423"/>
    </row>
    <row r="29790" spans="6:6">
      <c r="F29790" s="2423"/>
    </row>
    <row r="29791" spans="6:6">
      <c r="F29791" s="2423"/>
    </row>
    <row r="29792" spans="6:6">
      <c r="F29792" s="2423"/>
    </row>
    <row r="29793" spans="6:6">
      <c r="F29793" s="2423"/>
    </row>
    <row r="29794" spans="6:6">
      <c r="F29794" s="2423"/>
    </row>
    <row r="29795" spans="6:6">
      <c r="F29795" s="2423"/>
    </row>
    <row r="29796" spans="6:6">
      <c r="F29796" s="2423"/>
    </row>
    <row r="29797" spans="6:6">
      <c r="F29797" s="2423"/>
    </row>
    <row r="29798" spans="6:6">
      <c r="F29798" s="2423"/>
    </row>
    <row r="29799" spans="6:6">
      <c r="F29799" s="2423"/>
    </row>
    <row r="29800" spans="6:6">
      <c r="F29800" s="2423"/>
    </row>
    <row r="29801" spans="6:6">
      <c r="F29801" s="2423"/>
    </row>
    <row r="29802" spans="6:6">
      <c r="F29802" s="2423"/>
    </row>
    <row r="29803" spans="6:6">
      <c r="F29803" s="2423"/>
    </row>
    <row r="29804" spans="6:6">
      <c r="F29804" s="2423"/>
    </row>
    <row r="29805" spans="6:6">
      <c r="F29805" s="2423"/>
    </row>
    <row r="29806" spans="6:6">
      <c r="F29806" s="2423"/>
    </row>
    <row r="29807" spans="6:6">
      <c r="F29807" s="2423"/>
    </row>
    <row r="29808" spans="6:6">
      <c r="F29808" s="2423"/>
    </row>
    <row r="29809" spans="6:6">
      <c r="F29809" s="2423"/>
    </row>
    <row r="29810" spans="6:6">
      <c r="F29810" s="2423"/>
    </row>
    <row r="29811" spans="6:6">
      <c r="F29811" s="2423"/>
    </row>
    <row r="29812" spans="6:6">
      <c r="F29812" s="2423"/>
    </row>
    <row r="29813" spans="6:6">
      <c r="F29813" s="2423"/>
    </row>
    <row r="29814" spans="6:6">
      <c r="F29814" s="2423"/>
    </row>
    <row r="29815" spans="6:6">
      <c r="F29815" s="2423"/>
    </row>
    <row r="29816" spans="6:6">
      <c r="F29816" s="2423"/>
    </row>
    <row r="29817" spans="6:6">
      <c r="F29817" s="2423"/>
    </row>
    <row r="29818" spans="6:6">
      <c r="F29818" s="2423"/>
    </row>
    <row r="29819" spans="6:6">
      <c r="F29819" s="2423"/>
    </row>
    <row r="29820" spans="6:6">
      <c r="F29820" s="2423"/>
    </row>
    <row r="29821" spans="6:6">
      <c r="F29821" s="2423"/>
    </row>
    <row r="29822" spans="6:6">
      <c r="F29822" s="2423"/>
    </row>
    <row r="29823" spans="6:6">
      <c r="F29823" s="2423"/>
    </row>
    <row r="29824" spans="6:6">
      <c r="F29824" s="2423"/>
    </row>
    <row r="29825" spans="6:6">
      <c r="F29825" s="2423"/>
    </row>
    <row r="29826" spans="6:6">
      <c r="F29826" s="2423"/>
    </row>
    <row r="29827" spans="6:6">
      <c r="F29827" s="2423"/>
    </row>
    <row r="29828" spans="6:6">
      <c r="F29828" s="2423"/>
    </row>
    <row r="29829" spans="6:6">
      <c r="F29829" s="2423"/>
    </row>
    <row r="29830" spans="6:6">
      <c r="F29830" s="2423"/>
    </row>
    <row r="29831" spans="6:6">
      <c r="F29831" s="2423"/>
    </row>
    <row r="29832" spans="6:6">
      <c r="F29832" s="2423"/>
    </row>
    <row r="29833" spans="6:6">
      <c r="F29833" s="2423"/>
    </row>
    <row r="29834" spans="6:6">
      <c r="F29834" s="2423"/>
    </row>
    <row r="29835" spans="6:6">
      <c r="F29835" s="2423"/>
    </row>
    <row r="29836" spans="6:6">
      <c r="F29836" s="2423"/>
    </row>
    <row r="29837" spans="6:6">
      <c r="F29837" s="2423"/>
    </row>
    <row r="29838" spans="6:6">
      <c r="F29838" s="2423"/>
    </row>
    <row r="29839" spans="6:6">
      <c r="F29839" s="2423"/>
    </row>
    <row r="29840" spans="6:6">
      <c r="F29840" s="2423"/>
    </row>
    <row r="29841" spans="6:6">
      <c r="F29841" s="2423"/>
    </row>
    <row r="29842" spans="6:6">
      <c r="F29842" s="2423"/>
    </row>
    <row r="29843" spans="6:6">
      <c r="F29843" s="2423"/>
    </row>
    <row r="29844" spans="6:6">
      <c r="F29844" s="2423"/>
    </row>
    <row r="29845" spans="6:6">
      <c r="F29845" s="2423"/>
    </row>
    <row r="29846" spans="6:6">
      <c r="F29846" s="2423"/>
    </row>
    <row r="29847" spans="6:6">
      <c r="F29847" s="2423"/>
    </row>
    <row r="29848" spans="6:6">
      <c r="F29848" s="2423"/>
    </row>
    <row r="29849" spans="6:6">
      <c r="F29849" s="2423"/>
    </row>
    <row r="29850" spans="6:6">
      <c r="F29850" s="2423"/>
    </row>
    <row r="29851" spans="6:6">
      <c r="F29851" s="2423"/>
    </row>
    <row r="29852" spans="6:6">
      <c r="F29852" s="2423"/>
    </row>
    <row r="29853" spans="6:6">
      <c r="F29853" s="2423"/>
    </row>
    <row r="29854" spans="6:6">
      <c r="F29854" s="2423"/>
    </row>
    <row r="29855" spans="6:6">
      <c r="F29855" s="2423"/>
    </row>
    <row r="29856" spans="6:6">
      <c r="F29856" s="2423"/>
    </row>
    <row r="29857" spans="6:6">
      <c r="F29857" s="2423"/>
    </row>
    <row r="29858" spans="6:6">
      <c r="F29858" s="2423"/>
    </row>
    <row r="29859" spans="6:6">
      <c r="F29859" s="2423"/>
    </row>
    <row r="29860" spans="6:6">
      <c r="F29860" s="2423"/>
    </row>
    <row r="29861" spans="6:6">
      <c r="F29861" s="2423"/>
    </row>
    <row r="29862" spans="6:6">
      <c r="F29862" s="2423"/>
    </row>
    <row r="29863" spans="6:6">
      <c r="F29863" s="2423"/>
    </row>
    <row r="29864" spans="6:6">
      <c r="F29864" s="2423"/>
    </row>
    <row r="29865" spans="6:6">
      <c r="F29865" s="2423"/>
    </row>
    <row r="29866" spans="6:6">
      <c r="F29866" s="2423"/>
    </row>
    <row r="29867" spans="6:6">
      <c r="F29867" s="2423"/>
    </row>
    <row r="29868" spans="6:6">
      <c r="F29868" s="2423"/>
    </row>
    <row r="29869" spans="6:6">
      <c r="F29869" s="2423"/>
    </row>
    <row r="29870" spans="6:6">
      <c r="F29870" s="2423"/>
    </row>
    <row r="29871" spans="6:6">
      <c r="F29871" s="2423"/>
    </row>
    <row r="29872" spans="6:6">
      <c r="F29872" s="2423"/>
    </row>
    <row r="29873" spans="6:6">
      <c r="F29873" s="2423"/>
    </row>
    <row r="29874" spans="6:6">
      <c r="F29874" s="2423"/>
    </row>
    <row r="29875" spans="6:6">
      <c r="F29875" s="2423"/>
    </row>
    <row r="29876" spans="6:6">
      <c r="F29876" s="2423"/>
    </row>
    <row r="29877" spans="6:6">
      <c r="F29877" s="2423"/>
    </row>
    <row r="29878" spans="6:6">
      <c r="F29878" s="2423"/>
    </row>
    <row r="29879" spans="6:6">
      <c r="F29879" s="2423"/>
    </row>
    <row r="29880" spans="6:6">
      <c r="F29880" s="2423"/>
    </row>
    <row r="29881" spans="6:6">
      <c r="F29881" s="2423"/>
    </row>
    <row r="29882" spans="6:6">
      <c r="F29882" s="2423"/>
    </row>
    <row r="29883" spans="6:6">
      <c r="F29883" s="2423"/>
    </row>
    <row r="29884" spans="6:6">
      <c r="F29884" s="2423"/>
    </row>
    <row r="29885" spans="6:6">
      <c r="F29885" s="2423"/>
    </row>
    <row r="29886" spans="6:6">
      <c r="F29886" s="2423"/>
    </row>
    <row r="29887" spans="6:6">
      <c r="F29887" s="2423"/>
    </row>
    <row r="29888" spans="6:6">
      <c r="F29888" s="2423"/>
    </row>
    <row r="29889" spans="6:6">
      <c r="F29889" s="2423"/>
    </row>
    <row r="29890" spans="6:6">
      <c r="F29890" s="2423"/>
    </row>
    <row r="29891" spans="6:6">
      <c r="F29891" s="2423"/>
    </row>
    <row r="29892" spans="6:6">
      <c r="F29892" s="2423"/>
    </row>
    <row r="29893" spans="6:6">
      <c r="F29893" s="2423"/>
    </row>
    <row r="29894" spans="6:6">
      <c r="F29894" s="2423"/>
    </row>
    <row r="29895" spans="6:6">
      <c r="F29895" s="2423"/>
    </row>
    <row r="29896" spans="6:6">
      <c r="F29896" s="2423"/>
    </row>
    <row r="29897" spans="6:6">
      <c r="F29897" s="2423"/>
    </row>
    <row r="29898" spans="6:6">
      <c r="F29898" s="2423"/>
    </row>
    <row r="29899" spans="6:6">
      <c r="F29899" s="2423"/>
    </row>
    <row r="29900" spans="6:6">
      <c r="F29900" s="2423"/>
    </row>
    <row r="29901" spans="6:6">
      <c r="F29901" s="2423"/>
    </row>
    <row r="29902" spans="6:6">
      <c r="F29902" s="2423"/>
    </row>
    <row r="29903" spans="6:6">
      <c r="F29903" s="2423"/>
    </row>
    <row r="29904" spans="6:6">
      <c r="F29904" s="2423"/>
    </row>
    <row r="29905" spans="6:6">
      <c r="F29905" s="2423"/>
    </row>
    <row r="29906" spans="6:6">
      <c r="F29906" s="2423"/>
    </row>
    <row r="29907" spans="6:6">
      <c r="F29907" s="2423"/>
    </row>
    <row r="29908" spans="6:6">
      <c r="F29908" s="2423"/>
    </row>
    <row r="29909" spans="6:6">
      <c r="F29909" s="2423"/>
    </row>
    <row r="29910" spans="6:6">
      <c r="F29910" s="2423"/>
    </row>
    <row r="29911" spans="6:6">
      <c r="F29911" s="2423"/>
    </row>
    <row r="29912" spans="6:6">
      <c r="F29912" s="2423"/>
    </row>
    <row r="29913" spans="6:6">
      <c r="F29913" s="2423"/>
    </row>
    <row r="29914" spans="6:6">
      <c r="F29914" s="2423"/>
    </row>
    <row r="29915" spans="6:6">
      <c r="F29915" s="2423"/>
    </row>
    <row r="29916" spans="6:6">
      <c r="F29916" s="2423"/>
    </row>
    <row r="29917" spans="6:6">
      <c r="F29917" s="2423"/>
    </row>
    <row r="29918" spans="6:6">
      <c r="F29918" s="2423"/>
    </row>
    <row r="29919" spans="6:6">
      <c r="F29919" s="2423"/>
    </row>
    <row r="29920" spans="6:6">
      <c r="F29920" s="2423"/>
    </row>
    <row r="29921" spans="6:6">
      <c r="F29921" s="2423"/>
    </row>
    <row r="29922" spans="6:6">
      <c r="F29922" s="2423"/>
    </row>
    <row r="29923" spans="6:6">
      <c r="F29923" s="2423"/>
    </row>
    <row r="29924" spans="6:6">
      <c r="F29924" s="2423"/>
    </row>
    <row r="29925" spans="6:6">
      <c r="F29925" s="2423"/>
    </row>
    <row r="29926" spans="6:6">
      <c r="F29926" s="2423"/>
    </row>
    <row r="29927" spans="6:6">
      <c r="F29927" s="2423"/>
    </row>
    <row r="29928" spans="6:6">
      <c r="F29928" s="2423"/>
    </row>
    <row r="29929" spans="6:6">
      <c r="F29929" s="2423"/>
    </row>
    <row r="29930" spans="6:6">
      <c r="F29930" s="2423"/>
    </row>
    <row r="29931" spans="6:6">
      <c r="F29931" s="2423"/>
    </row>
    <row r="29932" spans="6:6">
      <c r="F29932" s="2423"/>
    </row>
    <row r="29933" spans="6:6">
      <c r="F29933" s="2423"/>
    </row>
    <row r="29934" spans="6:6">
      <c r="F29934" s="2423"/>
    </row>
    <row r="29935" spans="6:6">
      <c r="F29935" s="2423"/>
    </row>
    <row r="29936" spans="6:6">
      <c r="F29936" s="2423"/>
    </row>
    <row r="29937" spans="6:6">
      <c r="F29937" s="2423"/>
    </row>
    <row r="29938" spans="6:6">
      <c r="F29938" s="2423"/>
    </row>
    <row r="29939" spans="6:6">
      <c r="F29939" s="2423"/>
    </row>
    <row r="29940" spans="6:6">
      <c r="F29940" s="2423"/>
    </row>
    <row r="29941" spans="6:6">
      <c r="F29941" s="2423"/>
    </row>
    <row r="29942" spans="6:6">
      <c r="F29942" s="2423"/>
    </row>
    <row r="29943" spans="6:6">
      <c r="F29943" s="2423"/>
    </row>
    <row r="29944" spans="6:6">
      <c r="F29944" s="2423"/>
    </row>
    <row r="29945" spans="6:6">
      <c r="F29945" s="2423"/>
    </row>
    <row r="29946" spans="6:6">
      <c r="F29946" s="2423"/>
    </row>
    <row r="29947" spans="6:6">
      <c r="F29947" s="2423"/>
    </row>
    <row r="29948" spans="6:6">
      <c r="F29948" s="2423"/>
    </row>
    <row r="29949" spans="6:6">
      <c r="F29949" s="2423"/>
    </row>
    <row r="29950" spans="6:6">
      <c r="F29950" s="2423"/>
    </row>
    <row r="29951" spans="6:6">
      <c r="F29951" s="2423"/>
    </row>
    <row r="29952" spans="6:6">
      <c r="F29952" s="2423"/>
    </row>
    <row r="29953" spans="6:6">
      <c r="F29953" s="2423"/>
    </row>
    <row r="29954" spans="6:6">
      <c r="F29954" s="2423"/>
    </row>
    <row r="29955" spans="6:6">
      <c r="F29955" s="2423"/>
    </row>
    <row r="29956" spans="6:6">
      <c r="F29956" s="2423"/>
    </row>
    <row r="29957" spans="6:6">
      <c r="F29957" s="2423"/>
    </row>
    <row r="29958" spans="6:6">
      <c r="F29958" s="2423"/>
    </row>
    <row r="29959" spans="6:6">
      <c r="F29959" s="2423"/>
    </row>
    <row r="29960" spans="6:6">
      <c r="F29960" s="2423"/>
    </row>
    <row r="29961" spans="6:6">
      <c r="F29961" s="2423"/>
    </row>
    <row r="29962" spans="6:6">
      <c r="F29962" s="2423"/>
    </row>
    <row r="29963" spans="6:6">
      <c r="F29963" s="2423"/>
    </row>
    <row r="29964" spans="6:6">
      <c r="F29964" s="2423"/>
    </row>
    <row r="29965" spans="6:6">
      <c r="F29965" s="2423"/>
    </row>
    <row r="29966" spans="6:6">
      <c r="F29966" s="2423"/>
    </row>
    <row r="29967" spans="6:6">
      <c r="F29967" s="2423"/>
    </row>
    <row r="29968" spans="6:6">
      <c r="F29968" s="2423"/>
    </row>
    <row r="29969" spans="6:6">
      <c r="F29969" s="2423"/>
    </row>
    <row r="29970" spans="6:6">
      <c r="F29970" s="2423"/>
    </row>
    <row r="29971" spans="6:6">
      <c r="F29971" s="2423"/>
    </row>
    <row r="29972" spans="6:6">
      <c r="F29972" s="2423"/>
    </row>
    <row r="29973" spans="6:6">
      <c r="F29973" s="2423"/>
    </row>
    <row r="29974" spans="6:6">
      <c r="F29974" s="2423"/>
    </row>
    <row r="29975" spans="6:6">
      <c r="F29975" s="2423"/>
    </row>
    <row r="29976" spans="6:6">
      <c r="F29976" s="2423"/>
    </row>
    <row r="29977" spans="6:6">
      <c r="F29977" s="2423"/>
    </row>
    <row r="29978" spans="6:6">
      <c r="F29978" s="2423"/>
    </row>
    <row r="29979" spans="6:6">
      <c r="F29979" s="2423"/>
    </row>
    <row r="29980" spans="6:6">
      <c r="F29980" s="2423"/>
    </row>
    <row r="29981" spans="6:6">
      <c r="F29981" s="2423"/>
    </row>
    <row r="29982" spans="6:6">
      <c r="F29982" s="2423"/>
    </row>
    <row r="29983" spans="6:6">
      <c r="F29983" s="2423"/>
    </row>
    <row r="29984" spans="6:6">
      <c r="F29984" s="2423"/>
    </row>
    <row r="29985" spans="6:6">
      <c r="F29985" s="2423"/>
    </row>
    <row r="29986" spans="6:6">
      <c r="F29986" s="2423"/>
    </row>
    <row r="29987" spans="6:6">
      <c r="F29987" s="2423"/>
    </row>
    <row r="29988" spans="6:6">
      <c r="F29988" s="2423"/>
    </row>
    <row r="29989" spans="6:6">
      <c r="F29989" s="2423"/>
    </row>
    <row r="29990" spans="6:6">
      <c r="F29990" s="2423"/>
    </row>
    <row r="29991" spans="6:6">
      <c r="F29991" s="2423"/>
    </row>
    <row r="29992" spans="6:6">
      <c r="F29992" s="2423"/>
    </row>
    <row r="29993" spans="6:6">
      <c r="F29993" s="2423"/>
    </row>
    <row r="29994" spans="6:6">
      <c r="F29994" s="2423"/>
    </row>
    <row r="29995" spans="6:6">
      <c r="F29995" s="2423"/>
    </row>
    <row r="29996" spans="6:6">
      <c r="F29996" s="2423"/>
    </row>
    <row r="29997" spans="6:6">
      <c r="F29997" s="2423"/>
    </row>
    <row r="29998" spans="6:6">
      <c r="F29998" s="2423"/>
    </row>
    <row r="29999" spans="6:6">
      <c r="F29999" s="2423"/>
    </row>
    <row r="30000" spans="6:6">
      <c r="F30000" s="2423"/>
    </row>
    <row r="30001" spans="6:6">
      <c r="F30001" s="2423"/>
    </row>
    <row r="30002" spans="6:6">
      <c r="F30002" s="2423"/>
    </row>
    <row r="30003" spans="6:6">
      <c r="F30003" s="2423"/>
    </row>
    <row r="30004" spans="6:6">
      <c r="F30004" s="2423"/>
    </row>
    <row r="30005" spans="6:6">
      <c r="F30005" s="2423"/>
    </row>
    <row r="30006" spans="6:6">
      <c r="F30006" s="2423"/>
    </row>
    <row r="30007" spans="6:6">
      <c r="F30007" s="2423"/>
    </row>
    <row r="30008" spans="6:6">
      <c r="F30008" s="2423"/>
    </row>
    <row r="30009" spans="6:6">
      <c r="F30009" s="2423"/>
    </row>
    <row r="30010" spans="6:6">
      <c r="F30010" s="2423"/>
    </row>
    <row r="30011" spans="6:6">
      <c r="F30011" s="2423"/>
    </row>
    <row r="30012" spans="6:6">
      <c r="F30012" s="2423"/>
    </row>
    <row r="30013" spans="6:6">
      <c r="F30013" s="2423"/>
    </row>
    <row r="30014" spans="6:6">
      <c r="F30014" s="2423"/>
    </row>
    <row r="30015" spans="6:6">
      <c r="F30015" s="2423"/>
    </row>
    <row r="30016" spans="6:6">
      <c r="F30016" s="2423"/>
    </row>
    <row r="30017" spans="6:6">
      <c r="F30017" s="2423"/>
    </row>
    <row r="30018" spans="6:6">
      <c r="F30018" s="2423"/>
    </row>
    <row r="30019" spans="6:6">
      <c r="F30019" s="2423"/>
    </row>
    <row r="30020" spans="6:6">
      <c r="F30020" s="2423"/>
    </row>
    <row r="30021" spans="6:6">
      <c r="F30021" s="2423"/>
    </row>
    <row r="30022" spans="6:6">
      <c r="F30022" s="2423"/>
    </row>
    <row r="30023" spans="6:6">
      <c r="F30023" s="2423"/>
    </row>
    <row r="30024" spans="6:6">
      <c r="F30024" s="2423"/>
    </row>
    <row r="30025" spans="6:6">
      <c r="F30025" s="2423"/>
    </row>
    <row r="30026" spans="6:6">
      <c r="F30026" s="2423"/>
    </row>
    <row r="30027" spans="6:6">
      <c r="F30027" s="2423"/>
    </row>
    <row r="30028" spans="6:6">
      <c r="F30028" s="2423"/>
    </row>
    <row r="30029" spans="6:6">
      <c r="F30029" s="2423"/>
    </row>
    <row r="30030" spans="6:6">
      <c r="F30030" s="2423"/>
    </row>
    <row r="30031" spans="6:6">
      <c r="F30031" s="2423"/>
    </row>
    <row r="30032" spans="6:6">
      <c r="F30032" s="2423"/>
    </row>
    <row r="30033" spans="6:6">
      <c r="F30033" s="2423"/>
    </row>
    <row r="30034" spans="6:6">
      <c r="F30034" s="2423"/>
    </row>
    <row r="30035" spans="6:6">
      <c r="F30035" s="2423"/>
    </row>
    <row r="30036" spans="6:6">
      <c r="F30036" s="2423"/>
    </row>
    <row r="30037" spans="6:6">
      <c r="F30037" s="2423"/>
    </row>
    <row r="30038" spans="6:6">
      <c r="F30038" s="2423"/>
    </row>
    <row r="30039" spans="6:6">
      <c r="F30039" s="2423"/>
    </row>
    <row r="30040" spans="6:6">
      <c r="F30040" s="2423"/>
    </row>
    <row r="30041" spans="6:6">
      <c r="F30041" s="2423"/>
    </row>
    <row r="30042" spans="6:6">
      <c r="F30042" s="2423"/>
    </row>
    <row r="30043" spans="6:6">
      <c r="F30043" s="2423"/>
    </row>
    <row r="30044" spans="6:6">
      <c r="F30044" s="2423"/>
    </row>
    <row r="30045" spans="6:6">
      <c r="F30045" s="2423"/>
    </row>
    <row r="30046" spans="6:6">
      <c r="F30046" s="2423"/>
    </row>
    <row r="30047" spans="6:6">
      <c r="F30047" s="2423"/>
    </row>
    <row r="30048" spans="6:6">
      <c r="F30048" s="2423"/>
    </row>
    <row r="30049" spans="6:6">
      <c r="F30049" s="2423"/>
    </row>
    <row r="30050" spans="6:6">
      <c r="F30050" s="2423"/>
    </row>
    <row r="30051" spans="6:6">
      <c r="F30051" s="2423"/>
    </row>
    <row r="30052" spans="6:6">
      <c r="F30052" s="2423"/>
    </row>
    <row r="30053" spans="6:6">
      <c r="F30053" s="2423"/>
    </row>
    <row r="30054" spans="6:6">
      <c r="F30054" s="2423"/>
    </row>
    <row r="30055" spans="6:6">
      <c r="F30055" s="2423"/>
    </row>
    <row r="30056" spans="6:6">
      <c r="F30056" s="2423"/>
    </row>
    <row r="30057" spans="6:6">
      <c r="F30057" s="2423"/>
    </row>
    <row r="30058" spans="6:6">
      <c r="F30058" s="2423"/>
    </row>
    <row r="30059" spans="6:6">
      <c r="F30059" s="2423"/>
    </row>
    <row r="30060" spans="6:6">
      <c r="F30060" s="2423"/>
    </row>
    <row r="30061" spans="6:6">
      <c r="F30061" s="2423"/>
    </row>
    <row r="30062" spans="6:6">
      <c r="F30062" s="2423"/>
    </row>
    <row r="30063" spans="6:6">
      <c r="F30063" s="2423"/>
    </row>
    <row r="30064" spans="6:6">
      <c r="F30064" s="2423"/>
    </row>
    <row r="30065" spans="6:6">
      <c r="F30065" s="2423"/>
    </row>
    <row r="30066" spans="6:6">
      <c r="F30066" s="2423"/>
    </row>
    <row r="30067" spans="6:6">
      <c r="F30067" s="2423"/>
    </row>
    <row r="30068" spans="6:6">
      <c r="F30068" s="2423"/>
    </row>
    <row r="30069" spans="6:6">
      <c r="F30069" s="2423"/>
    </row>
    <row r="30070" spans="6:6">
      <c r="F30070" s="2423"/>
    </row>
    <row r="30071" spans="6:6">
      <c r="F30071" s="2423"/>
    </row>
    <row r="30072" spans="6:6">
      <c r="F30072" s="2423"/>
    </row>
    <row r="30073" spans="6:6">
      <c r="F30073" s="2423"/>
    </row>
    <row r="30074" spans="6:6">
      <c r="F30074" s="2423"/>
    </row>
    <row r="30075" spans="6:6">
      <c r="F30075" s="2423"/>
    </row>
    <row r="30076" spans="6:6">
      <c r="F30076" s="2423"/>
    </row>
    <row r="30077" spans="6:6">
      <c r="F30077" s="2423"/>
    </row>
    <row r="30078" spans="6:6">
      <c r="F30078" s="2423"/>
    </row>
    <row r="30079" spans="6:6">
      <c r="F30079" s="2423"/>
    </row>
    <row r="30080" spans="6:6">
      <c r="F30080" s="2423"/>
    </row>
    <row r="30081" spans="6:6">
      <c r="F30081" s="2423"/>
    </row>
    <row r="30082" spans="6:6">
      <c r="F30082" s="2423"/>
    </row>
    <row r="30083" spans="6:6">
      <c r="F30083" s="2423"/>
    </row>
    <row r="30084" spans="6:6">
      <c r="F30084" s="2423"/>
    </row>
    <row r="30085" spans="6:6">
      <c r="F30085" s="2423"/>
    </row>
    <row r="30086" spans="6:6">
      <c r="F30086" s="2423"/>
    </row>
    <row r="30087" spans="6:6">
      <c r="F30087" s="2423"/>
    </row>
    <row r="30088" spans="6:6">
      <c r="F30088" s="2423"/>
    </row>
    <row r="30089" spans="6:6">
      <c r="F30089" s="2423"/>
    </row>
    <row r="30090" spans="6:6">
      <c r="F30090" s="2423"/>
    </row>
    <row r="30091" spans="6:6">
      <c r="F30091" s="2423"/>
    </row>
    <row r="30092" spans="6:6">
      <c r="F30092" s="2423"/>
    </row>
    <row r="30093" spans="6:6">
      <c r="F30093" s="2423"/>
    </row>
    <row r="30094" spans="6:6">
      <c r="F30094" s="2423"/>
    </row>
    <row r="30095" spans="6:6">
      <c r="F30095" s="2423"/>
    </row>
    <row r="30096" spans="6:6">
      <c r="F30096" s="2423"/>
    </row>
    <row r="30097" spans="6:6">
      <c r="F30097" s="2423"/>
    </row>
    <row r="30098" spans="6:6">
      <c r="F30098" s="2423"/>
    </row>
    <row r="30099" spans="6:6">
      <c r="F30099" s="2423"/>
    </row>
    <row r="30100" spans="6:6">
      <c r="F30100" s="2423"/>
    </row>
    <row r="30101" spans="6:6">
      <c r="F30101" s="2423"/>
    </row>
    <row r="30102" spans="6:6">
      <c r="F30102" s="2423"/>
    </row>
    <row r="30103" spans="6:6">
      <c r="F30103" s="2423"/>
    </row>
    <row r="30104" spans="6:6">
      <c r="F30104" s="2423"/>
    </row>
    <row r="30105" spans="6:6">
      <c r="F30105" s="2423"/>
    </row>
    <row r="30106" spans="6:6">
      <c r="F30106" s="2423"/>
    </row>
    <row r="30107" spans="6:6">
      <c r="F30107" s="2423"/>
    </row>
    <row r="30108" spans="6:6">
      <c r="F30108" s="2423"/>
    </row>
    <row r="30109" spans="6:6">
      <c r="F30109" s="2423"/>
    </row>
    <row r="30110" spans="6:6">
      <c r="F30110" s="2423"/>
    </row>
    <row r="30111" spans="6:6">
      <c r="F30111" s="2423"/>
    </row>
    <row r="30112" spans="6:6">
      <c r="F30112" s="2423"/>
    </row>
    <row r="30113" spans="6:6">
      <c r="F30113" s="2423"/>
    </row>
    <row r="30114" spans="6:6">
      <c r="F30114" s="2423"/>
    </row>
    <row r="30115" spans="6:6">
      <c r="F30115" s="2423"/>
    </row>
    <row r="30116" spans="6:6">
      <c r="F30116" s="2423"/>
    </row>
    <row r="30117" spans="6:6">
      <c r="F30117" s="2423"/>
    </row>
    <row r="30118" spans="6:6">
      <c r="F30118" s="2423"/>
    </row>
    <row r="30119" spans="6:6">
      <c r="F30119" s="2423"/>
    </row>
    <row r="30120" spans="6:6">
      <c r="F30120" s="2423"/>
    </row>
    <row r="30121" spans="6:6">
      <c r="F30121" s="2423"/>
    </row>
    <row r="30122" spans="6:6">
      <c r="F30122" s="2423"/>
    </row>
    <row r="30123" spans="6:6">
      <c r="F30123" s="2423"/>
    </row>
    <row r="30124" spans="6:6">
      <c r="F30124" s="2423"/>
    </row>
    <row r="30125" spans="6:6">
      <c r="F30125" s="2423"/>
    </row>
    <row r="30126" spans="6:6">
      <c r="F30126" s="2423"/>
    </row>
    <row r="30127" spans="6:6">
      <c r="F30127" s="2423"/>
    </row>
    <row r="30128" spans="6:6">
      <c r="F30128" s="2423"/>
    </row>
    <row r="30129" spans="6:6">
      <c r="F30129" s="2423"/>
    </row>
    <row r="30130" spans="6:6">
      <c r="F30130" s="2423"/>
    </row>
    <row r="30131" spans="6:6">
      <c r="F30131" s="2423"/>
    </row>
    <row r="30132" spans="6:6">
      <c r="F30132" s="2423"/>
    </row>
    <row r="30133" spans="6:6">
      <c r="F30133" s="2423"/>
    </row>
    <row r="30134" spans="6:6">
      <c r="F30134" s="2423"/>
    </row>
    <row r="30135" spans="6:6">
      <c r="F30135" s="2423"/>
    </row>
    <row r="30136" spans="6:6">
      <c r="F30136" s="2423"/>
    </row>
    <row r="30137" spans="6:6">
      <c r="F30137" s="2423"/>
    </row>
    <row r="30138" spans="6:6">
      <c r="F30138" s="2423"/>
    </row>
    <row r="30139" spans="6:6">
      <c r="F30139" s="2423"/>
    </row>
    <row r="30140" spans="6:6">
      <c r="F30140" s="2423"/>
    </row>
    <row r="30141" spans="6:6">
      <c r="F30141" s="2423"/>
    </row>
    <row r="30142" spans="6:6">
      <c r="F30142" s="2423"/>
    </row>
    <row r="30143" spans="6:6">
      <c r="F30143" s="2423"/>
    </row>
    <row r="30144" spans="6:6">
      <c r="F30144" s="2423"/>
    </row>
    <row r="30145" spans="6:6">
      <c r="F30145" s="2423"/>
    </row>
    <row r="30146" spans="6:6">
      <c r="F30146" s="2423"/>
    </row>
    <row r="30147" spans="6:6">
      <c r="F30147" s="2423"/>
    </row>
    <row r="30148" spans="6:6">
      <c r="F30148" s="2423"/>
    </row>
    <row r="30149" spans="6:6">
      <c r="F30149" s="2423"/>
    </row>
    <row r="30150" spans="6:6">
      <c r="F30150" s="2423"/>
    </row>
    <row r="30151" spans="6:6">
      <c r="F30151" s="2423"/>
    </row>
    <row r="30152" spans="6:6">
      <c r="F30152" s="2423"/>
    </row>
    <row r="30153" spans="6:6">
      <c r="F30153" s="2423"/>
    </row>
    <row r="30154" spans="6:6">
      <c r="F30154" s="2423"/>
    </row>
    <row r="30155" spans="6:6">
      <c r="F30155" s="2423"/>
    </row>
    <row r="30156" spans="6:6">
      <c r="F30156" s="2423"/>
    </row>
    <row r="30157" spans="6:6">
      <c r="F30157" s="2423"/>
    </row>
    <row r="30158" spans="6:6">
      <c r="F30158" s="2423"/>
    </row>
    <row r="30159" spans="6:6">
      <c r="F30159" s="2423"/>
    </row>
    <row r="30160" spans="6:6">
      <c r="F30160" s="2423"/>
    </row>
    <row r="30161" spans="6:6">
      <c r="F30161" s="2423"/>
    </row>
    <row r="30162" spans="6:6">
      <c r="F30162" s="2423"/>
    </row>
    <row r="30163" spans="6:6">
      <c r="F30163" s="2423"/>
    </row>
    <row r="30164" spans="6:6">
      <c r="F30164" s="2423"/>
    </row>
    <row r="30165" spans="6:6">
      <c r="F30165" s="2423"/>
    </row>
    <row r="30166" spans="6:6">
      <c r="F30166" s="2423"/>
    </row>
    <row r="30167" spans="6:6">
      <c r="F30167" s="2423"/>
    </row>
    <row r="30168" spans="6:6">
      <c r="F30168" s="2423"/>
    </row>
    <row r="30169" spans="6:6">
      <c r="F30169" s="2423"/>
    </row>
    <row r="30170" spans="6:6">
      <c r="F30170" s="2423"/>
    </row>
    <row r="30171" spans="6:6">
      <c r="F30171" s="2423"/>
    </row>
    <row r="30172" spans="6:6">
      <c r="F30172" s="2423"/>
    </row>
    <row r="30173" spans="6:6">
      <c r="F30173" s="2423"/>
    </row>
    <row r="30174" spans="6:6">
      <c r="F30174" s="2423"/>
    </row>
    <row r="30175" spans="6:6">
      <c r="F30175" s="2423"/>
    </row>
    <row r="30176" spans="6:6">
      <c r="F30176" s="2423"/>
    </row>
    <row r="30177" spans="6:6">
      <c r="F30177" s="2423"/>
    </row>
    <row r="30178" spans="6:6">
      <c r="F30178" s="2423"/>
    </row>
    <row r="30179" spans="6:6">
      <c r="F30179" s="2423"/>
    </row>
    <row r="30180" spans="6:6">
      <c r="F30180" s="2423"/>
    </row>
    <row r="30181" spans="6:6">
      <c r="F30181" s="2423"/>
    </row>
    <row r="30182" spans="6:6">
      <c r="F30182" s="2423"/>
    </row>
    <row r="30183" spans="6:6">
      <c r="F30183" s="2423"/>
    </row>
    <row r="30184" spans="6:6">
      <c r="F30184" s="2423"/>
    </row>
    <row r="30185" spans="6:6">
      <c r="F30185" s="2423"/>
    </row>
    <row r="30186" spans="6:6">
      <c r="F30186" s="2423"/>
    </row>
    <row r="30187" spans="6:6">
      <c r="F30187" s="2423"/>
    </row>
    <row r="30188" spans="6:6">
      <c r="F30188" s="2423"/>
    </row>
    <row r="30189" spans="6:6">
      <c r="F30189" s="2423"/>
    </row>
    <row r="30190" spans="6:6">
      <c r="F30190" s="2423"/>
    </row>
    <row r="30191" spans="6:6">
      <c r="F30191" s="2423"/>
    </row>
    <row r="30192" spans="6:6">
      <c r="F30192" s="2423"/>
    </row>
    <row r="30193" spans="6:6">
      <c r="F30193" s="2423"/>
    </row>
    <row r="30194" spans="6:6">
      <c r="F30194" s="2423"/>
    </row>
    <row r="30195" spans="6:6">
      <c r="F30195" s="2423"/>
    </row>
    <row r="30196" spans="6:6">
      <c r="F30196" s="2423"/>
    </row>
    <row r="30197" spans="6:6">
      <c r="F30197" s="2423"/>
    </row>
    <row r="30198" spans="6:6">
      <c r="F30198" s="2423"/>
    </row>
    <row r="30199" spans="6:6">
      <c r="F30199" s="2423"/>
    </row>
    <row r="30200" spans="6:6">
      <c r="F30200" s="2423"/>
    </row>
    <row r="30201" spans="6:6">
      <c r="F30201" s="2423"/>
    </row>
    <row r="30202" spans="6:6">
      <c r="F30202" s="2423"/>
    </row>
    <row r="30203" spans="6:6">
      <c r="F30203" s="2423"/>
    </row>
    <row r="30204" spans="6:6">
      <c r="F30204" s="2423"/>
    </row>
    <row r="30205" spans="6:6">
      <c r="F30205" s="2423"/>
    </row>
    <row r="30206" spans="6:6">
      <c r="F30206" s="2423"/>
    </row>
    <row r="30207" spans="6:6">
      <c r="F30207" s="2423"/>
    </row>
    <row r="30208" spans="6:6">
      <c r="F30208" s="2423"/>
    </row>
    <row r="30209" spans="6:6">
      <c r="F30209" s="2423"/>
    </row>
    <row r="30210" spans="6:6">
      <c r="F30210" s="2423"/>
    </row>
    <row r="30211" spans="6:6">
      <c r="F30211" s="2423"/>
    </row>
    <row r="30212" spans="6:6">
      <c r="F30212" s="2423"/>
    </row>
    <row r="30213" spans="6:6">
      <c r="F30213" s="2423"/>
    </row>
    <row r="30214" spans="6:6">
      <c r="F30214" s="2423"/>
    </row>
    <row r="30215" spans="6:6">
      <c r="F30215" s="2423"/>
    </row>
    <row r="30216" spans="6:6">
      <c r="F30216" s="2423"/>
    </row>
    <row r="30217" spans="6:6">
      <c r="F30217" s="2423"/>
    </row>
    <row r="30218" spans="6:6">
      <c r="F30218" s="2423"/>
    </row>
    <row r="30219" spans="6:6">
      <c r="F30219" s="2423"/>
    </row>
    <row r="30220" spans="6:6">
      <c r="F30220" s="2423"/>
    </row>
    <row r="30221" spans="6:6">
      <c r="F30221" s="2423"/>
    </row>
    <row r="30222" spans="6:6">
      <c r="F30222" s="2423"/>
    </row>
    <row r="30223" spans="6:6">
      <c r="F30223" s="2423"/>
    </row>
    <row r="30224" spans="6:6">
      <c r="F30224" s="2423"/>
    </row>
    <row r="30225" spans="6:6">
      <c r="F30225" s="2423"/>
    </row>
    <row r="30226" spans="6:6">
      <c r="F30226" s="2423"/>
    </row>
    <row r="30227" spans="6:6">
      <c r="F30227" s="2423"/>
    </row>
    <row r="30228" spans="6:6">
      <c r="F30228" s="2423"/>
    </row>
    <row r="30229" spans="6:6">
      <c r="F30229" s="2423"/>
    </row>
    <row r="30230" spans="6:6">
      <c r="F30230" s="2423"/>
    </row>
    <row r="30231" spans="6:6">
      <c r="F30231" s="2423"/>
    </row>
    <row r="30232" spans="6:6">
      <c r="F30232" s="2423"/>
    </row>
    <row r="30233" spans="6:6">
      <c r="F30233" s="2423"/>
    </row>
    <row r="30234" spans="6:6">
      <c r="F30234" s="2423"/>
    </row>
    <row r="30235" spans="6:6">
      <c r="F30235" s="2423"/>
    </row>
    <row r="30236" spans="6:6">
      <c r="F30236" s="2423"/>
    </row>
    <row r="30237" spans="6:6">
      <c r="F30237" s="2423"/>
    </row>
    <row r="30238" spans="6:6">
      <c r="F30238" s="2423"/>
    </row>
    <row r="30239" spans="6:6">
      <c r="F30239" s="2423"/>
    </row>
    <row r="30240" spans="6:6">
      <c r="F30240" s="2423"/>
    </row>
    <row r="30241" spans="6:6">
      <c r="F30241" s="2423"/>
    </row>
    <row r="30242" spans="6:6">
      <c r="F30242" s="2423"/>
    </row>
    <row r="30243" spans="6:6">
      <c r="F30243" s="2423"/>
    </row>
    <row r="30244" spans="6:6">
      <c r="F30244" s="2423"/>
    </row>
    <row r="30245" spans="6:6">
      <c r="F30245" s="2423"/>
    </row>
    <row r="30246" spans="6:6">
      <c r="F30246" s="2423"/>
    </row>
    <row r="30247" spans="6:6">
      <c r="F30247" s="2423"/>
    </row>
    <row r="30248" spans="6:6">
      <c r="F30248" s="2423"/>
    </row>
    <row r="30249" spans="6:6">
      <c r="F30249" s="2423"/>
    </row>
    <row r="30250" spans="6:6">
      <c r="F30250" s="2423"/>
    </row>
    <row r="30251" spans="6:6">
      <c r="F30251" s="2423"/>
    </row>
    <row r="30252" spans="6:6">
      <c r="F30252" s="2423"/>
    </row>
    <row r="30253" spans="6:6">
      <c r="F30253" s="2423"/>
    </row>
    <row r="30254" spans="6:6">
      <c r="F30254" s="2423"/>
    </row>
    <row r="30255" spans="6:6">
      <c r="F30255" s="2423"/>
    </row>
    <row r="30256" spans="6:6">
      <c r="F30256" s="2423"/>
    </row>
    <row r="30257" spans="6:6">
      <c r="F30257" s="2423"/>
    </row>
    <row r="30258" spans="6:6">
      <c r="F30258" s="2423"/>
    </row>
    <row r="30259" spans="6:6">
      <c r="F30259" s="2423"/>
    </row>
    <row r="30260" spans="6:6">
      <c r="F30260" s="2423"/>
    </row>
    <row r="30261" spans="6:6">
      <c r="F30261" s="2423"/>
    </row>
    <row r="30262" spans="6:6">
      <c r="F30262" s="2423"/>
    </row>
    <row r="30263" spans="6:6">
      <c r="F30263" s="2423"/>
    </row>
    <row r="30264" spans="6:6">
      <c r="F30264" s="2423"/>
    </row>
    <row r="30265" spans="6:6">
      <c r="F30265" s="2423"/>
    </row>
    <row r="30266" spans="6:6">
      <c r="F30266" s="2423"/>
    </row>
    <row r="30267" spans="6:6">
      <c r="F30267" s="2423"/>
    </row>
    <row r="30268" spans="6:6">
      <c r="F30268" s="2423"/>
    </row>
    <row r="30269" spans="6:6">
      <c r="F30269" s="2423"/>
    </row>
    <row r="30270" spans="6:6">
      <c r="F30270" s="2423"/>
    </row>
    <row r="30271" spans="6:6">
      <c r="F30271" s="2423"/>
    </row>
    <row r="30272" spans="6:6">
      <c r="F30272" s="2423"/>
    </row>
    <row r="30273" spans="6:6">
      <c r="F30273" s="2423"/>
    </row>
    <row r="30274" spans="6:6">
      <c r="F30274" s="2423"/>
    </row>
    <row r="30275" spans="6:6">
      <c r="F30275" s="2423"/>
    </row>
    <row r="30276" spans="6:6">
      <c r="F30276" s="2423"/>
    </row>
    <row r="30277" spans="6:6">
      <c r="F30277" s="2423"/>
    </row>
    <row r="30278" spans="6:6">
      <c r="F30278" s="2423"/>
    </row>
    <row r="30279" spans="6:6">
      <c r="F30279" s="2423"/>
    </row>
    <row r="30280" spans="6:6">
      <c r="F30280" s="2423"/>
    </row>
    <row r="30281" spans="6:6">
      <c r="F30281" s="2423"/>
    </row>
    <row r="30282" spans="6:6">
      <c r="F30282" s="2423"/>
    </row>
    <row r="30283" spans="6:6">
      <c r="F30283" s="2423"/>
    </row>
    <row r="30284" spans="6:6">
      <c r="F30284" s="2423"/>
    </row>
    <row r="30285" spans="6:6">
      <c r="F30285" s="2423"/>
    </row>
    <row r="30286" spans="6:6">
      <c r="F30286" s="2423"/>
    </row>
    <row r="30287" spans="6:6">
      <c r="F30287" s="2423"/>
    </row>
    <row r="30288" spans="6:6">
      <c r="F30288" s="2423"/>
    </row>
    <row r="30289" spans="6:6">
      <c r="F30289" s="2423"/>
    </row>
    <row r="30290" spans="6:6">
      <c r="F30290" s="2423"/>
    </row>
    <row r="30291" spans="6:6">
      <c r="F30291" s="2423"/>
    </row>
    <row r="30292" spans="6:6">
      <c r="F30292" s="2423"/>
    </row>
    <row r="30293" spans="6:6">
      <c r="F30293" s="2423"/>
    </row>
    <row r="30294" spans="6:6">
      <c r="F30294" s="2423"/>
    </row>
    <row r="30295" spans="6:6">
      <c r="F30295" s="2423"/>
    </row>
    <row r="30296" spans="6:6">
      <c r="F30296" s="2423"/>
    </row>
    <row r="30297" spans="6:6">
      <c r="F30297" s="2423"/>
    </row>
    <row r="30298" spans="6:6">
      <c r="F30298" s="2423"/>
    </row>
    <row r="30299" spans="6:6">
      <c r="F30299" s="2423"/>
    </row>
    <row r="30300" spans="6:6">
      <c r="F30300" s="2423"/>
    </row>
    <row r="30301" spans="6:6">
      <c r="F30301" s="2423"/>
    </row>
    <row r="30302" spans="6:6">
      <c r="F30302" s="2423"/>
    </row>
    <row r="30303" spans="6:6">
      <c r="F30303" s="2423"/>
    </row>
    <row r="30304" spans="6:6">
      <c r="F30304" s="2423"/>
    </row>
    <row r="30305" spans="6:6">
      <c r="F30305" s="2423"/>
    </row>
    <row r="30306" spans="6:6">
      <c r="F30306" s="2423"/>
    </row>
    <row r="30307" spans="6:6">
      <c r="F30307" s="2423"/>
    </row>
    <row r="30308" spans="6:6">
      <c r="F30308" s="2423"/>
    </row>
    <row r="30309" spans="6:6">
      <c r="F30309" s="2423"/>
    </row>
    <row r="30310" spans="6:6">
      <c r="F30310" s="2423"/>
    </row>
    <row r="30311" spans="6:6">
      <c r="F30311" s="2423"/>
    </row>
    <row r="30312" spans="6:6">
      <c r="F30312" s="2423"/>
    </row>
    <row r="30313" spans="6:6">
      <c r="F30313" s="2423"/>
    </row>
    <row r="30314" spans="6:6">
      <c r="F30314" s="2423"/>
    </row>
    <row r="30315" spans="6:6">
      <c r="F30315" s="2423"/>
    </row>
    <row r="30316" spans="6:6">
      <c r="F30316" s="2423"/>
    </row>
    <row r="30317" spans="6:6">
      <c r="F30317" s="2423"/>
    </row>
    <row r="30318" spans="6:6">
      <c r="F30318" s="2423"/>
    </row>
    <row r="30319" spans="6:6">
      <c r="F30319" s="2423"/>
    </row>
    <row r="30320" spans="6:6">
      <c r="F30320" s="2423"/>
    </row>
    <row r="30321" spans="6:6">
      <c r="F30321" s="2423"/>
    </row>
    <row r="30322" spans="6:6">
      <c r="F30322" s="2423"/>
    </row>
    <row r="30323" spans="6:6">
      <c r="F30323" s="2423"/>
    </row>
    <row r="30324" spans="6:6">
      <c r="F30324" s="2423"/>
    </row>
    <row r="30325" spans="6:6">
      <c r="F30325" s="2423"/>
    </row>
    <row r="30326" spans="6:6">
      <c r="F30326" s="2423"/>
    </row>
    <row r="30327" spans="6:6">
      <c r="F30327" s="2423"/>
    </row>
    <row r="30328" spans="6:6">
      <c r="F30328" s="2423"/>
    </row>
    <row r="30329" spans="6:6">
      <c r="F30329" s="2423"/>
    </row>
    <row r="30330" spans="6:6">
      <c r="F30330" s="2423"/>
    </row>
    <row r="30331" spans="6:6">
      <c r="F30331" s="2423"/>
    </row>
    <row r="30332" spans="6:6">
      <c r="F30332" s="2423"/>
    </row>
    <row r="30333" spans="6:6">
      <c r="F30333" s="2423"/>
    </row>
    <row r="30334" spans="6:6">
      <c r="F30334" s="2423"/>
    </row>
    <row r="30335" spans="6:6">
      <c r="F30335" s="2423"/>
    </row>
    <row r="30336" spans="6:6">
      <c r="F30336" s="2423"/>
    </row>
    <row r="30337" spans="6:6">
      <c r="F30337" s="2423"/>
    </row>
    <row r="30338" spans="6:6">
      <c r="F30338" s="2423"/>
    </row>
    <row r="30339" spans="6:6">
      <c r="F30339" s="2423"/>
    </row>
    <row r="30340" spans="6:6">
      <c r="F30340" s="2423"/>
    </row>
    <row r="30341" spans="6:6">
      <c r="F30341" s="2423"/>
    </row>
    <row r="30342" spans="6:6">
      <c r="F30342" s="2423"/>
    </row>
    <row r="30343" spans="6:6">
      <c r="F30343" s="2423"/>
    </row>
    <row r="30344" spans="6:6">
      <c r="F30344" s="2423"/>
    </row>
    <row r="30345" spans="6:6">
      <c r="F30345" s="2423"/>
    </row>
    <row r="30346" spans="6:6">
      <c r="F30346" s="2423"/>
    </row>
    <row r="30347" spans="6:6">
      <c r="F30347" s="2423"/>
    </row>
    <row r="30348" spans="6:6">
      <c r="F30348" s="2423"/>
    </row>
    <row r="30349" spans="6:6">
      <c r="F30349" s="2423"/>
    </row>
    <row r="30350" spans="6:6">
      <c r="F30350" s="2423"/>
    </row>
    <row r="30351" spans="6:6">
      <c r="F30351" s="2423"/>
    </row>
    <row r="30352" spans="6:6">
      <c r="F30352" s="2423"/>
    </row>
    <row r="30353" spans="6:6">
      <c r="F30353" s="2423"/>
    </row>
    <row r="30354" spans="6:6">
      <c r="F30354" s="2423"/>
    </row>
    <row r="30355" spans="6:6">
      <c r="F30355" s="2423"/>
    </row>
    <row r="30356" spans="6:6">
      <c r="F30356" s="2423"/>
    </row>
    <row r="30357" spans="6:6">
      <c r="F30357" s="2423"/>
    </row>
    <row r="30358" spans="6:6">
      <c r="F30358" s="2423"/>
    </row>
    <row r="30359" spans="6:6">
      <c r="F30359" s="2423"/>
    </row>
    <row r="30360" spans="6:6">
      <c r="F30360" s="2423"/>
    </row>
    <row r="30361" spans="6:6">
      <c r="F30361" s="2423"/>
    </row>
    <row r="30362" spans="6:6">
      <c r="F30362" s="2423"/>
    </row>
    <row r="30363" spans="6:6">
      <c r="F30363" s="2423"/>
    </row>
    <row r="30364" spans="6:6">
      <c r="F30364" s="2423"/>
    </row>
    <row r="30365" spans="6:6">
      <c r="F30365" s="2423"/>
    </row>
    <row r="30366" spans="6:6">
      <c r="F30366" s="2423"/>
    </row>
    <row r="30367" spans="6:6">
      <c r="F30367" s="2423"/>
    </row>
    <row r="30368" spans="6:6">
      <c r="F30368" s="2423"/>
    </row>
    <row r="30369" spans="6:6">
      <c r="F30369" s="2423"/>
    </row>
    <row r="30370" spans="6:6">
      <c r="F30370" s="2423"/>
    </row>
    <row r="30371" spans="6:6">
      <c r="F30371" s="2423"/>
    </row>
    <row r="30372" spans="6:6">
      <c r="F30372" s="2423"/>
    </row>
    <row r="30373" spans="6:6">
      <c r="F30373" s="2423"/>
    </row>
    <row r="30374" spans="6:6">
      <c r="F30374" s="2423"/>
    </row>
    <row r="30375" spans="6:6">
      <c r="F30375" s="2423"/>
    </row>
    <row r="30376" spans="6:6">
      <c r="F30376" s="2423"/>
    </row>
    <row r="30377" spans="6:6">
      <c r="F30377" s="2423"/>
    </row>
    <row r="30378" spans="6:6">
      <c r="F30378" s="2423"/>
    </row>
    <row r="30379" spans="6:6">
      <c r="F30379" s="2423"/>
    </row>
    <row r="30380" spans="6:6">
      <c r="F30380" s="2423"/>
    </row>
    <row r="30381" spans="6:6">
      <c r="F30381" s="2423"/>
    </row>
    <row r="30382" spans="6:6">
      <c r="F30382" s="2423"/>
    </row>
    <row r="30383" spans="6:6">
      <c r="F30383" s="2423"/>
    </row>
    <row r="30384" spans="6:6">
      <c r="F30384" s="2423"/>
    </row>
    <row r="30385" spans="6:6">
      <c r="F30385" s="2423"/>
    </row>
    <row r="30386" spans="6:6">
      <c r="F30386" s="2423"/>
    </row>
    <row r="30387" spans="6:6">
      <c r="F30387" s="2423"/>
    </row>
    <row r="30388" spans="6:6">
      <c r="F30388" s="2423"/>
    </row>
    <row r="30389" spans="6:6">
      <c r="F30389" s="2423"/>
    </row>
    <row r="30390" spans="6:6">
      <c r="F30390" s="2423"/>
    </row>
    <row r="30391" spans="6:6">
      <c r="F30391" s="2423"/>
    </row>
    <row r="30392" spans="6:6">
      <c r="F30392" s="2423"/>
    </row>
    <row r="30393" spans="6:6">
      <c r="F30393" s="2423"/>
    </row>
    <row r="30394" spans="6:6">
      <c r="F30394" s="2423"/>
    </row>
    <row r="30395" spans="6:6">
      <c r="F30395" s="2423"/>
    </row>
    <row r="30396" spans="6:6">
      <c r="F30396" s="2423"/>
    </row>
    <row r="30397" spans="6:6">
      <c r="F30397" s="2423"/>
    </row>
    <row r="30398" spans="6:6">
      <c r="F30398" s="2423"/>
    </row>
    <row r="30399" spans="6:6">
      <c r="F30399" s="2423"/>
    </row>
    <row r="30400" spans="6:6">
      <c r="F30400" s="2423"/>
    </row>
    <row r="30401" spans="6:6">
      <c r="F30401" s="2423"/>
    </row>
    <row r="30402" spans="6:6">
      <c r="F30402" s="2423"/>
    </row>
    <row r="30403" spans="6:6">
      <c r="F30403" s="2423"/>
    </row>
    <row r="30404" spans="6:6">
      <c r="F30404" s="2423"/>
    </row>
    <row r="30405" spans="6:6">
      <c r="F30405" s="2423"/>
    </row>
    <row r="30406" spans="6:6">
      <c r="F30406" s="2423"/>
    </row>
    <row r="30407" spans="6:6">
      <c r="F30407" s="2423"/>
    </row>
    <row r="30408" spans="6:6">
      <c r="F30408" s="2423"/>
    </row>
    <row r="30409" spans="6:6">
      <c r="F30409" s="2423"/>
    </row>
    <row r="30410" spans="6:6">
      <c r="F30410" s="2423"/>
    </row>
    <row r="30411" spans="6:6">
      <c r="F30411" s="2423"/>
    </row>
    <row r="30412" spans="6:6">
      <c r="F30412" s="2423"/>
    </row>
    <row r="30413" spans="6:6">
      <c r="F30413" s="2423"/>
    </row>
    <row r="30414" spans="6:6">
      <c r="F30414" s="2423"/>
    </row>
    <row r="30415" spans="6:6">
      <c r="F30415" s="2423"/>
    </row>
    <row r="30416" spans="6:6">
      <c r="F30416" s="2423"/>
    </row>
    <row r="30417" spans="6:6">
      <c r="F30417" s="2423"/>
    </row>
    <row r="30418" spans="6:6">
      <c r="F30418" s="2423"/>
    </row>
    <row r="30419" spans="6:6">
      <c r="F30419" s="2423"/>
    </row>
    <row r="30420" spans="6:6">
      <c r="F30420" s="2423"/>
    </row>
    <row r="30421" spans="6:6">
      <c r="F30421" s="2423"/>
    </row>
    <row r="30422" spans="6:6">
      <c r="F30422" s="2423"/>
    </row>
    <row r="30423" spans="6:6">
      <c r="F30423" s="2423"/>
    </row>
    <row r="30424" spans="6:6">
      <c r="F30424" s="2423"/>
    </row>
    <row r="30425" spans="6:6">
      <c r="F30425" s="2423"/>
    </row>
    <row r="30426" spans="6:6">
      <c r="F30426" s="2423"/>
    </row>
    <row r="30427" spans="6:6">
      <c r="F30427" s="2423"/>
    </row>
    <row r="30428" spans="6:6">
      <c r="F30428" s="2423"/>
    </row>
    <row r="30429" spans="6:6">
      <c r="F30429" s="2423"/>
    </row>
    <row r="30430" spans="6:6">
      <c r="F30430" s="2423"/>
    </row>
    <row r="30431" spans="6:6">
      <c r="F30431" s="2423"/>
    </row>
    <row r="30432" spans="6:6">
      <c r="F30432" s="2423"/>
    </row>
    <row r="30433" spans="6:6">
      <c r="F30433" s="2423"/>
    </row>
    <row r="30434" spans="6:6">
      <c r="F30434" s="2423"/>
    </row>
    <row r="30435" spans="6:6">
      <c r="F30435" s="2423"/>
    </row>
    <row r="30436" spans="6:6">
      <c r="F30436" s="2423"/>
    </row>
    <row r="30437" spans="6:6">
      <c r="F30437" s="2423"/>
    </row>
    <row r="30438" spans="6:6">
      <c r="F30438" s="2423"/>
    </row>
    <row r="30439" spans="6:6">
      <c r="F30439" s="2423"/>
    </row>
    <row r="30440" spans="6:6">
      <c r="F30440" s="2423"/>
    </row>
    <row r="30441" spans="6:6">
      <c r="F30441" s="2423"/>
    </row>
    <row r="30442" spans="6:6">
      <c r="F30442" s="2423"/>
    </row>
    <row r="30443" spans="6:6">
      <c r="F30443" s="2423"/>
    </row>
    <row r="30444" spans="6:6">
      <c r="F30444" s="2423"/>
    </row>
    <row r="30445" spans="6:6">
      <c r="F30445" s="2423"/>
    </row>
    <row r="30446" spans="6:6">
      <c r="F30446" s="2423"/>
    </row>
    <row r="30447" spans="6:6">
      <c r="F30447" s="2423"/>
    </row>
    <row r="30448" spans="6:6">
      <c r="F30448" s="2423"/>
    </row>
    <row r="30449" spans="6:6">
      <c r="F30449" s="2423"/>
    </row>
    <row r="30450" spans="6:6">
      <c r="F30450" s="2423"/>
    </row>
    <row r="30451" spans="6:6">
      <c r="F30451" s="2423"/>
    </row>
    <row r="30452" spans="6:6">
      <c r="F30452" s="2423"/>
    </row>
    <row r="30453" spans="6:6">
      <c r="F30453" s="2423"/>
    </row>
    <row r="30454" spans="6:6">
      <c r="F30454" s="2423"/>
    </row>
    <row r="30455" spans="6:6">
      <c r="F30455" s="2423"/>
    </row>
    <row r="30456" spans="6:6">
      <c r="F30456" s="2423"/>
    </row>
    <row r="30457" spans="6:6">
      <c r="F30457" s="2423"/>
    </row>
    <row r="30458" spans="6:6">
      <c r="F30458" s="2423"/>
    </row>
    <row r="30459" spans="6:6">
      <c r="F30459" s="2423"/>
    </row>
    <row r="30460" spans="6:6">
      <c r="F30460" s="2423"/>
    </row>
    <row r="30461" spans="6:6">
      <c r="F30461" s="2423"/>
    </row>
    <row r="30462" spans="6:6">
      <c r="F30462" s="2423"/>
    </row>
    <row r="30463" spans="6:6">
      <c r="F30463" s="2423"/>
    </row>
    <row r="30464" spans="6:6">
      <c r="F30464" s="2423"/>
    </row>
    <row r="30465" spans="6:6">
      <c r="F30465" s="2423"/>
    </row>
    <row r="30466" spans="6:6">
      <c r="F30466" s="2423"/>
    </row>
    <row r="30467" spans="6:6">
      <c r="F30467" s="2423"/>
    </row>
    <row r="30468" spans="6:6">
      <c r="F30468" s="2423"/>
    </row>
    <row r="30469" spans="6:6">
      <c r="F30469" s="2423"/>
    </row>
    <row r="30470" spans="6:6">
      <c r="F30470" s="2423"/>
    </row>
    <row r="30471" spans="6:6">
      <c r="F30471" s="2423"/>
    </row>
    <row r="30472" spans="6:6">
      <c r="F30472" s="2423"/>
    </row>
    <row r="30473" spans="6:6">
      <c r="F30473" s="2423"/>
    </row>
    <row r="30474" spans="6:6">
      <c r="F30474" s="2423"/>
    </row>
    <row r="30475" spans="6:6">
      <c r="F30475" s="2423"/>
    </row>
    <row r="30476" spans="6:6">
      <c r="F30476" s="2423"/>
    </row>
    <row r="30477" spans="6:6">
      <c r="F30477" s="2423"/>
    </row>
    <row r="30478" spans="6:6">
      <c r="F30478" s="2423"/>
    </row>
    <row r="30479" spans="6:6">
      <c r="F30479" s="2423"/>
    </row>
    <row r="30480" spans="6:6">
      <c r="F30480" s="2423"/>
    </row>
    <row r="30481" spans="6:6">
      <c r="F30481" s="2423"/>
    </row>
    <row r="30482" spans="6:6">
      <c r="F30482" s="2423"/>
    </row>
    <row r="30483" spans="6:6">
      <c r="F30483" s="2423"/>
    </row>
    <row r="30484" spans="6:6">
      <c r="F30484" s="2423"/>
    </row>
    <row r="30485" spans="6:6">
      <c r="F30485" s="2423"/>
    </row>
    <row r="30486" spans="6:6">
      <c r="F30486" s="2423"/>
    </row>
    <row r="30487" spans="6:6">
      <c r="F30487" s="2423"/>
    </row>
    <row r="30488" spans="6:6">
      <c r="F30488" s="2423"/>
    </row>
    <row r="30489" spans="6:6">
      <c r="F30489" s="2423"/>
    </row>
    <row r="30490" spans="6:6">
      <c r="F30490" s="2423"/>
    </row>
    <row r="30491" spans="6:6">
      <c r="F30491" s="2423"/>
    </row>
    <row r="30492" spans="6:6">
      <c r="F30492" s="2423"/>
    </row>
    <row r="30493" spans="6:6">
      <c r="F30493" s="2423"/>
    </row>
    <row r="30494" spans="6:6">
      <c r="F30494" s="2423"/>
    </row>
    <row r="30495" spans="6:6">
      <c r="F30495" s="2423"/>
    </row>
    <row r="30496" spans="6:6">
      <c r="F30496" s="2423"/>
    </row>
    <row r="30497" spans="6:6">
      <c r="F30497" s="2423"/>
    </row>
    <row r="30498" spans="6:6">
      <c r="F30498" s="2423"/>
    </row>
    <row r="30499" spans="6:6">
      <c r="F30499" s="2423"/>
    </row>
    <row r="30500" spans="6:6">
      <c r="F30500" s="2423"/>
    </row>
    <row r="30501" spans="6:6">
      <c r="F30501" s="2423"/>
    </row>
    <row r="30502" spans="6:6">
      <c r="F30502" s="2423"/>
    </row>
    <row r="30503" spans="6:6">
      <c r="F30503" s="2423"/>
    </row>
    <row r="30504" spans="6:6">
      <c r="F30504" s="2423"/>
    </row>
    <row r="30505" spans="6:6">
      <c r="F30505" s="2423"/>
    </row>
    <row r="30506" spans="6:6">
      <c r="F30506" s="2423"/>
    </row>
    <row r="30507" spans="6:6">
      <c r="F30507" s="2423"/>
    </row>
    <row r="30508" spans="6:6">
      <c r="F30508" s="2423"/>
    </row>
    <row r="30509" spans="6:6">
      <c r="F30509" s="2423"/>
    </row>
    <row r="30510" spans="6:6">
      <c r="F30510" s="2423"/>
    </row>
    <row r="30511" spans="6:6">
      <c r="F30511" s="2423"/>
    </row>
    <row r="30512" spans="6:6">
      <c r="F30512" s="2423"/>
    </row>
    <row r="30513" spans="6:6">
      <c r="F30513" s="2423"/>
    </row>
    <row r="30514" spans="6:6">
      <c r="F30514" s="2423"/>
    </row>
    <row r="30515" spans="6:6">
      <c r="F30515" s="2423"/>
    </row>
    <row r="30516" spans="6:6">
      <c r="F30516" s="2423"/>
    </row>
    <row r="30517" spans="6:6">
      <c r="F30517" s="2423"/>
    </row>
    <row r="30518" spans="6:6">
      <c r="F30518" s="2423"/>
    </row>
    <row r="30519" spans="6:6">
      <c r="F30519" s="2423"/>
    </row>
    <row r="30520" spans="6:6">
      <c r="F30520" s="2423"/>
    </row>
    <row r="30521" spans="6:6">
      <c r="F30521" s="2423"/>
    </row>
    <row r="30522" spans="6:6">
      <c r="F30522" s="2423"/>
    </row>
    <row r="30523" spans="6:6">
      <c r="F30523" s="2423"/>
    </row>
    <row r="30524" spans="6:6">
      <c r="F30524" s="2423"/>
    </row>
    <row r="30525" spans="6:6">
      <c r="F30525" s="2423"/>
    </row>
    <row r="30526" spans="6:6">
      <c r="F30526" s="2423"/>
    </row>
    <row r="30527" spans="6:6">
      <c r="F30527" s="2423"/>
    </row>
    <row r="30528" spans="6:6">
      <c r="F30528" s="2423"/>
    </row>
    <row r="30529" spans="6:6">
      <c r="F30529" s="2423"/>
    </row>
    <row r="30530" spans="6:6">
      <c r="F30530" s="2423"/>
    </row>
    <row r="30531" spans="6:6">
      <c r="F30531" s="2423"/>
    </row>
    <row r="30532" spans="6:6">
      <c r="F30532" s="2423"/>
    </row>
    <row r="30533" spans="6:6">
      <c r="F30533" s="2423"/>
    </row>
    <row r="30534" spans="6:6">
      <c r="F30534" s="2423"/>
    </row>
    <row r="30535" spans="6:6">
      <c r="F30535" s="2423"/>
    </row>
    <row r="30536" spans="6:6">
      <c r="F30536" s="2423"/>
    </row>
    <row r="30537" spans="6:6">
      <c r="F30537" s="2423"/>
    </row>
    <row r="30538" spans="6:6">
      <c r="F30538" s="2423"/>
    </row>
    <row r="30539" spans="6:6">
      <c r="F30539" s="2423"/>
    </row>
    <row r="30540" spans="6:6">
      <c r="F30540" s="2423"/>
    </row>
    <row r="30541" spans="6:6">
      <c r="F30541" s="2423"/>
    </row>
    <row r="30542" spans="6:6">
      <c r="F30542" s="2423"/>
    </row>
    <row r="30543" spans="6:6">
      <c r="F30543" s="2423"/>
    </row>
    <row r="30544" spans="6:6">
      <c r="F30544" s="2423"/>
    </row>
    <row r="30545" spans="6:6">
      <c r="F30545" s="2423"/>
    </row>
    <row r="30546" spans="6:6">
      <c r="F30546" s="2423"/>
    </row>
    <row r="30547" spans="6:6">
      <c r="F30547" s="2423"/>
    </row>
    <row r="30548" spans="6:6">
      <c r="F30548" s="2423"/>
    </row>
    <row r="30549" spans="6:6">
      <c r="F30549" s="2423"/>
    </row>
    <row r="30550" spans="6:6">
      <c r="F30550" s="2423"/>
    </row>
    <row r="30551" spans="6:6">
      <c r="F30551" s="2423"/>
    </row>
    <row r="30552" spans="6:6">
      <c r="F30552" s="2423"/>
    </row>
    <row r="30553" spans="6:6">
      <c r="F30553" s="2423"/>
    </row>
    <row r="30554" spans="6:6">
      <c r="F30554" s="2423"/>
    </row>
    <row r="30555" spans="6:6">
      <c r="F30555" s="2423"/>
    </row>
    <row r="30556" spans="6:6">
      <c r="F30556" s="2423"/>
    </row>
    <row r="30557" spans="6:6">
      <c r="F30557" s="2423"/>
    </row>
    <row r="30558" spans="6:6">
      <c r="F30558" s="2423"/>
    </row>
    <row r="30559" spans="6:6">
      <c r="F30559" s="2423"/>
    </row>
    <row r="30560" spans="6:6">
      <c r="F30560" s="2423"/>
    </row>
    <row r="30561" spans="6:6">
      <c r="F30561" s="2423"/>
    </row>
    <row r="30562" spans="6:6">
      <c r="F30562" s="2423"/>
    </row>
    <row r="30563" spans="6:6">
      <c r="F30563" s="2423"/>
    </row>
    <row r="30564" spans="6:6">
      <c r="F30564" s="2423"/>
    </row>
    <row r="30565" spans="6:6">
      <c r="F30565" s="2423"/>
    </row>
    <row r="30566" spans="6:6">
      <c r="F30566" s="2423"/>
    </row>
    <row r="30567" spans="6:6">
      <c r="F30567" s="2423"/>
    </row>
    <row r="30568" spans="6:6">
      <c r="F30568" s="2423"/>
    </row>
    <row r="30569" spans="6:6">
      <c r="F30569" s="2423"/>
    </row>
    <row r="30570" spans="6:6">
      <c r="F30570" s="2423"/>
    </row>
    <row r="30571" spans="6:6">
      <c r="F30571" s="2423"/>
    </row>
    <row r="30572" spans="6:6">
      <c r="F30572" s="2423"/>
    </row>
    <row r="30573" spans="6:6">
      <c r="F30573" s="2423"/>
    </row>
    <row r="30574" spans="6:6">
      <c r="F30574" s="2423"/>
    </row>
    <row r="30575" spans="6:6">
      <c r="F30575" s="2423"/>
    </row>
    <row r="30576" spans="6:6">
      <c r="F30576" s="2423"/>
    </row>
    <row r="30577" spans="6:6">
      <c r="F30577" s="2423"/>
    </row>
    <row r="30578" spans="6:6">
      <c r="F30578" s="2423"/>
    </row>
    <row r="30579" spans="6:6">
      <c r="F30579" s="2423"/>
    </row>
    <row r="30580" spans="6:6">
      <c r="F30580" s="2423"/>
    </row>
    <row r="30581" spans="6:6">
      <c r="F30581" s="2423"/>
    </row>
    <row r="30582" spans="6:6">
      <c r="F30582" s="2423"/>
    </row>
    <row r="30583" spans="6:6">
      <c r="F30583" s="2423"/>
    </row>
    <row r="30584" spans="6:6">
      <c r="F30584" s="2423"/>
    </row>
    <row r="30585" spans="6:6">
      <c r="F30585" s="2423"/>
    </row>
    <row r="30586" spans="6:6">
      <c r="F30586" s="2423"/>
    </row>
    <row r="30587" spans="6:6">
      <c r="F30587" s="2423"/>
    </row>
    <row r="30588" spans="6:6">
      <c r="F30588" s="2423"/>
    </row>
    <row r="30589" spans="6:6">
      <c r="F30589" s="2423"/>
    </row>
    <row r="30590" spans="6:6">
      <c r="F30590" s="2423"/>
    </row>
    <row r="30591" spans="6:6">
      <c r="F30591" s="2423"/>
    </row>
    <row r="30592" spans="6:6">
      <c r="F30592" s="2423"/>
    </row>
    <row r="30593" spans="6:6">
      <c r="F30593" s="2423"/>
    </row>
    <row r="30594" spans="6:6">
      <c r="F30594" s="2423"/>
    </row>
    <row r="30595" spans="6:6">
      <c r="F30595" s="2423"/>
    </row>
    <row r="30596" spans="6:6">
      <c r="F30596" s="2423"/>
    </row>
    <row r="30597" spans="6:6">
      <c r="F30597" s="2423"/>
    </row>
    <row r="30598" spans="6:6">
      <c r="F30598" s="2423"/>
    </row>
    <row r="30599" spans="6:6">
      <c r="F30599" s="2423"/>
    </row>
    <row r="30600" spans="6:6">
      <c r="F30600" s="2423"/>
    </row>
    <row r="30601" spans="6:6">
      <c r="F30601" s="2423"/>
    </row>
    <row r="30602" spans="6:6">
      <c r="F30602" s="2423"/>
    </row>
    <row r="30603" spans="6:6">
      <c r="F30603" s="2423"/>
    </row>
    <row r="30604" spans="6:6">
      <c r="F30604" s="2423"/>
    </row>
    <row r="30605" spans="6:6">
      <c r="F30605" s="2423"/>
    </row>
    <row r="30606" spans="6:6">
      <c r="F30606" s="2423"/>
    </row>
    <row r="30607" spans="6:6">
      <c r="F30607" s="2423"/>
    </row>
    <row r="30608" spans="6:6">
      <c r="F30608" s="2423"/>
    </row>
    <row r="30609" spans="6:6">
      <c r="F30609" s="2423"/>
    </row>
    <row r="30610" spans="6:6">
      <c r="F30610" s="2423"/>
    </row>
    <row r="30611" spans="6:6">
      <c r="F30611" s="2423"/>
    </row>
    <row r="30612" spans="6:6">
      <c r="F30612" s="2423"/>
    </row>
    <row r="30613" spans="6:6">
      <c r="F30613" s="2423"/>
    </row>
    <row r="30614" spans="6:6">
      <c r="F30614" s="2423"/>
    </row>
    <row r="30615" spans="6:6">
      <c r="F30615" s="2423"/>
    </row>
    <row r="30616" spans="6:6">
      <c r="F30616" s="2423"/>
    </row>
    <row r="30617" spans="6:6">
      <c r="F30617" s="2423"/>
    </row>
    <row r="30618" spans="6:6">
      <c r="F30618" s="2423"/>
    </row>
    <row r="30619" spans="6:6">
      <c r="F30619" s="2423"/>
    </row>
    <row r="30620" spans="6:6">
      <c r="F30620" s="2423"/>
    </row>
    <row r="30621" spans="6:6">
      <c r="F30621" s="2423"/>
    </row>
    <row r="30622" spans="6:6">
      <c r="F30622" s="2423"/>
    </row>
    <row r="30623" spans="6:6">
      <c r="F30623" s="2423"/>
    </row>
    <row r="30624" spans="6:6">
      <c r="F30624" s="2423"/>
    </row>
    <row r="30625" spans="6:6">
      <c r="F30625" s="2423"/>
    </row>
    <row r="30626" spans="6:6">
      <c r="F30626" s="2423"/>
    </row>
    <row r="30627" spans="6:6">
      <c r="F30627" s="2423"/>
    </row>
    <row r="30628" spans="6:6">
      <c r="F30628" s="2423"/>
    </row>
    <row r="30629" spans="6:6">
      <c r="F30629" s="2423"/>
    </row>
    <row r="30630" spans="6:6">
      <c r="F30630" s="2423"/>
    </row>
    <row r="30631" spans="6:6">
      <c r="F30631" s="2423"/>
    </row>
    <row r="30632" spans="6:6">
      <c r="F30632" s="2423"/>
    </row>
    <row r="30633" spans="6:6">
      <c r="F30633" s="2423"/>
    </row>
    <row r="30634" spans="6:6">
      <c r="F30634" s="2423"/>
    </row>
    <row r="30635" spans="6:6">
      <c r="F30635" s="2423"/>
    </row>
    <row r="30636" spans="6:6">
      <c r="F30636" s="2423"/>
    </row>
    <row r="30637" spans="6:6">
      <c r="F30637" s="2423"/>
    </row>
    <row r="30638" spans="6:6">
      <c r="F30638" s="2423"/>
    </row>
    <row r="30639" spans="6:6">
      <c r="F30639" s="2423"/>
    </row>
    <row r="30640" spans="6:6">
      <c r="F30640" s="2423"/>
    </row>
    <row r="30641" spans="6:6">
      <c r="F30641" s="2423"/>
    </row>
    <row r="30642" spans="6:6">
      <c r="F30642" s="2423"/>
    </row>
    <row r="30643" spans="6:6">
      <c r="F30643" s="2423"/>
    </row>
    <row r="30644" spans="6:6">
      <c r="F30644" s="2423"/>
    </row>
    <row r="30645" spans="6:6">
      <c r="F30645" s="2423"/>
    </row>
    <row r="30646" spans="6:6">
      <c r="F30646" s="2423"/>
    </row>
    <row r="30647" spans="6:6">
      <c r="F30647" s="2423"/>
    </row>
    <row r="30648" spans="6:6">
      <c r="F30648" s="2423"/>
    </row>
    <row r="30649" spans="6:6">
      <c r="F30649" s="2423"/>
    </row>
    <row r="30650" spans="6:6">
      <c r="F30650" s="2423"/>
    </row>
    <row r="30651" spans="6:6">
      <c r="F30651" s="2423"/>
    </row>
    <row r="30652" spans="6:6">
      <c r="F30652" s="2423"/>
    </row>
    <row r="30653" spans="6:6">
      <c r="F30653" s="2423"/>
    </row>
    <row r="30654" spans="6:6">
      <c r="F30654" s="2423"/>
    </row>
    <row r="30655" spans="6:6">
      <c r="F30655" s="2423"/>
    </row>
    <row r="30656" spans="6:6">
      <c r="F30656" s="2423"/>
    </row>
    <row r="30657" spans="6:6">
      <c r="F30657" s="2423"/>
    </row>
    <row r="30658" spans="6:6">
      <c r="F30658" s="2423"/>
    </row>
    <row r="30659" spans="6:6">
      <c r="F30659" s="2423"/>
    </row>
    <row r="30660" spans="6:6">
      <c r="F30660" s="2423"/>
    </row>
    <row r="30661" spans="6:6">
      <c r="F30661" s="2423"/>
    </row>
    <row r="30662" spans="6:6">
      <c r="F30662" s="2423"/>
    </row>
    <row r="30663" spans="6:6">
      <c r="F30663" s="2423"/>
    </row>
    <row r="30664" spans="6:6">
      <c r="F30664" s="2423"/>
    </row>
    <row r="30665" spans="6:6">
      <c r="F30665" s="2423"/>
    </row>
    <row r="30666" spans="6:6">
      <c r="F30666" s="2423"/>
    </row>
    <row r="30667" spans="6:6">
      <c r="F30667" s="2423"/>
    </row>
    <row r="30668" spans="6:6">
      <c r="F30668" s="2423"/>
    </row>
    <row r="30669" spans="6:6">
      <c r="F30669" s="2423"/>
    </row>
    <row r="30670" spans="6:6">
      <c r="F30670" s="2423"/>
    </row>
    <row r="30671" spans="6:6">
      <c r="F30671" s="2423"/>
    </row>
    <row r="30672" spans="6:6">
      <c r="F30672" s="2423"/>
    </row>
    <row r="30673" spans="6:6">
      <c r="F30673" s="2423"/>
    </row>
    <row r="30674" spans="6:6">
      <c r="F30674" s="2423"/>
    </row>
    <row r="30675" spans="6:6">
      <c r="F30675" s="2423"/>
    </row>
    <row r="30676" spans="6:6">
      <c r="F30676" s="2423"/>
    </row>
    <row r="30677" spans="6:6">
      <c r="F30677" s="2423"/>
    </row>
    <row r="30678" spans="6:6">
      <c r="F30678" s="2423"/>
    </row>
    <row r="30679" spans="6:6">
      <c r="F30679" s="2423"/>
    </row>
    <row r="30680" spans="6:6">
      <c r="F30680" s="2423"/>
    </row>
    <row r="30681" spans="6:6">
      <c r="F30681" s="2423"/>
    </row>
    <row r="30682" spans="6:6">
      <c r="F30682" s="2423"/>
    </row>
    <row r="30683" spans="6:6">
      <c r="F30683" s="2423"/>
    </row>
    <row r="30684" spans="6:6">
      <c r="F30684" s="2423"/>
    </row>
    <row r="30685" spans="6:6">
      <c r="F30685" s="2423"/>
    </row>
    <row r="30686" spans="6:6">
      <c r="F30686" s="2423"/>
    </row>
    <row r="30687" spans="6:6">
      <c r="F30687" s="2423"/>
    </row>
    <row r="30688" spans="6:6">
      <c r="F30688" s="2423"/>
    </row>
    <row r="30689" spans="6:6">
      <c r="F30689" s="2423"/>
    </row>
    <row r="30690" spans="6:6">
      <c r="F30690" s="2423"/>
    </row>
    <row r="30691" spans="6:6">
      <c r="F30691" s="2423"/>
    </row>
    <row r="30692" spans="6:6">
      <c r="F30692" s="2423"/>
    </row>
    <row r="30693" spans="6:6">
      <c r="F30693" s="2423"/>
    </row>
    <row r="30694" spans="6:6">
      <c r="F30694" s="2423"/>
    </row>
    <row r="30695" spans="6:6">
      <c r="F30695" s="2423"/>
    </row>
    <row r="30696" spans="6:6">
      <c r="F30696" s="2423"/>
    </row>
    <row r="30697" spans="6:6">
      <c r="F30697" s="2423"/>
    </row>
    <row r="30698" spans="6:6">
      <c r="F30698" s="2423"/>
    </row>
    <row r="30699" spans="6:6">
      <c r="F30699" s="2423"/>
    </row>
    <row r="30700" spans="6:6">
      <c r="F30700" s="2423"/>
    </row>
    <row r="30701" spans="6:6">
      <c r="F30701" s="2423"/>
    </row>
    <row r="30702" spans="6:6">
      <c r="F30702" s="2423"/>
    </row>
    <row r="30703" spans="6:6">
      <c r="F30703" s="2423"/>
    </row>
    <row r="30704" spans="6:6">
      <c r="F30704" s="2423"/>
    </row>
    <row r="30705" spans="6:6">
      <c r="F30705" s="2423"/>
    </row>
    <row r="30706" spans="6:6">
      <c r="F30706" s="2423"/>
    </row>
    <row r="30707" spans="6:6">
      <c r="F30707" s="2423"/>
    </row>
    <row r="30708" spans="6:6">
      <c r="F30708" s="2423"/>
    </row>
    <row r="30709" spans="6:6">
      <c r="F30709" s="2423"/>
    </row>
    <row r="30710" spans="6:6">
      <c r="F30710" s="2423"/>
    </row>
    <row r="30711" spans="6:6">
      <c r="F30711" s="2423"/>
    </row>
    <row r="30712" spans="6:6">
      <c r="F30712" s="2423"/>
    </row>
    <row r="30713" spans="6:6">
      <c r="F30713" s="2423"/>
    </row>
    <row r="30714" spans="6:6">
      <c r="F30714" s="2423"/>
    </row>
    <row r="30715" spans="6:6">
      <c r="F30715" s="2423"/>
    </row>
    <row r="30716" spans="6:6">
      <c r="F30716" s="2423"/>
    </row>
    <row r="30717" spans="6:6">
      <c r="F30717" s="2423"/>
    </row>
    <row r="30718" spans="6:6">
      <c r="F30718" s="2423"/>
    </row>
    <row r="30719" spans="6:6">
      <c r="F30719" s="2423"/>
    </row>
    <row r="30720" spans="6:6">
      <c r="F30720" s="2423"/>
    </row>
    <row r="30721" spans="6:6">
      <c r="F30721" s="2423"/>
    </row>
    <row r="30722" spans="6:6">
      <c r="F30722" s="2423"/>
    </row>
    <row r="30723" spans="6:6">
      <c r="F30723" s="2423"/>
    </row>
    <row r="30724" spans="6:6">
      <c r="F30724" s="2423"/>
    </row>
    <row r="30725" spans="6:6">
      <c r="F30725" s="2423"/>
    </row>
    <row r="30726" spans="6:6">
      <c r="F30726" s="2423"/>
    </row>
    <row r="30727" spans="6:6">
      <c r="F30727" s="2423"/>
    </row>
    <row r="30728" spans="6:6">
      <c r="F30728" s="2423"/>
    </row>
    <row r="30729" spans="6:6">
      <c r="F30729" s="2423"/>
    </row>
    <row r="30730" spans="6:6">
      <c r="F30730" s="2423"/>
    </row>
    <row r="30731" spans="6:6">
      <c r="F30731" s="2423"/>
    </row>
    <row r="30732" spans="6:6">
      <c r="F30732" s="2423"/>
    </row>
    <row r="30733" spans="6:6">
      <c r="F30733" s="2423"/>
    </row>
    <row r="30734" spans="6:6">
      <c r="F30734" s="2423"/>
    </row>
    <row r="30735" spans="6:6">
      <c r="F30735" s="2423"/>
    </row>
    <row r="30736" spans="6:6">
      <c r="F30736" s="2423"/>
    </row>
    <row r="30737" spans="6:6">
      <c r="F30737" s="2423"/>
    </row>
    <row r="30738" spans="6:6">
      <c r="F30738" s="2423"/>
    </row>
    <row r="30739" spans="6:6">
      <c r="F30739" s="2423"/>
    </row>
    <row r="30740" spans="6:6">
      <c r="F30740" s="2423"/>
    </row>
    <row r="30741" spans="6:6">
      <c r="F30741" s="2423"/>
    </row>
    <row r="30742" spans="6:6">
      <c r="F30742" s="2423"/>
    </row>
    <row r="30743" spans="6:6">
      <c r="F30743" s="2423"/>
    </row>
    <row r="30744" spans="6:6">
      <c r="F30744" s="2423"/>
    </row>
    <row r="30745" spans="6:6">
      <c r="F30745" s="2423"/>
    </row>
    <row r="30746" spans="6:6">
      <c r="F30746" s="2423"/>
    </row>
    <row r="30747" spans="6:6">
      <c r="F30747" s="2423"/>
    </row>
    <row r="30748" spans="6:6">
      <c r="F30748" s="2423"/>
    </row>
    <row r="30749" spans="6:6">
      <c r="F30749" s="2423"/>
    </row>
    <row r="30750" spans="6:6">
      <c r="F30750" s="2423"/>
    </row>
    <row r="30751" spans="6:6">
      <c r="F30751" s="2423"/>
    </row>
    <row r="30752" spans="6:6">
      <c r="F30752" s="2423"/>
    </row>
    <row r="30753" spans="6:6">
      <c r="F30753" s="2423"/>
    </row>
    <row r="30754" spans="6:6">
      <c r="F30754" s="2423"/>
    </row>
    <row r="30755" spans="6:6">
      <c r="F30755" s="2423"/>
    </row>
    <row r="30756" spans="6:6">
      <c r="F30756" s="2423"/>
    </row>
    <row r="30757" spans="6:6">
      <c r="F30757" s="2423"/>
    </row>
    <row r="30758" spans="6:6">
      <c r="F30758" s="2423"/>
    </row>
    <row r="30759" spans="6:6">
      <c r="F30759" s="2423"/>
    </row>
    <row r="30760" spans="6:6">
      <c r="F30760" s="2423"/>
    </row>
    <row r="30761" spans="6:6">
      <c r="F30761" s="2423"/>
    </row>
    <row r="30762" spans="6:6">
      <c r="F30762" s="2423"/>
    </row>
    <row r="30763" spans="6:6">
      <c r="F30763" s="2423"/>
    </row>
    <row r="30764" spans="6:6">
      <c r="F30764" s="2423"/>
    </row>
    <row r="30765" spans="6:6">
      <c r="F30765" s="2423"/>
    </row>
    <row r="30766" spans="6:6">
      <c r="F30766" s="2423"/>
    </row>
    <row r="30767" spans="6:6">
      <c r="F30767" s="2423"/>
    </row>
    <row r="30768" spans="6:6">
      <c r="F30768" s="2423"/>
    </row>
    <row r="30769" spans="6:6">
      <c r="F30769" s="2423"/>
    </row>
    <row r="30770" spans="6:6">
      <c r="F30770" s="2423"/>
    </row>
    <row r="30771" spans="6:6">
      <c r="F30771" s="2423"/>
    </row>
    <row r="30772" spans="6:6">
      <c r="F30772" s="2423"/>
    </row>
    <row r="30773" spans="6:6">
      <c r="F30773" s="2423"/>
    </row>
    <row r="30774" spans="6:6">
      <c r="F30774" s="2423"/>
    </row>
    <row r="30775" spans="6:6">
      <c r="F30775" s="2423"/>
    </row>
    <row r="30776" spans="6:6">
      <c r="F30776" s="2423"/>
    </row>
    <row r="30777" spans="6:6">
      <c r="F30777" s="2423"/>
    </row>
    <row r="30778" spans="6:6">
      <c r="F30778" s="2423"/>
    </row>
    <row r="30779" spans="6:6">
      <c r="F30779" s="2423"/>
    </row>
    <row r="30780" spans="6:6">
      <c r="F30780" s="2423"/>
    </row>
    <row r="30781" spans="6:6">
      <c r="F30781" s="2423"/>
    </row>
    <row r="30782" spans="6:6">
      <c r="F30782" s="2423"/>
    </row>
    <row r="30783" spans="6:6">
      <c r="F30783" s="2423"/>
    </row>
    <row r="30784" spans="6:6">
      <c r="F30784" s="2423"/>
    </row>
    <row r="30785" spans="6:6">
      <c r="F30785" s="2423"/>
    </row>
    <row r="30786" spans="6:6">
      <c r="F30786" s="2423"/>
    </row>
    <row r="30787" spans="6:6">
      <c r="F30787" s="2423"/>
    </row>
    <row r="30788" spans="6:6">
      <c r="F30788" s="2423"/>
    </row>
    <row r="30789" spans="6:6">
      <c r="F30789" s="2423"/>
    </row>
    <row r="30790" spans="6:6">
      <c r="F30790" s="2423"/>
    </row>
    <row r="30791" spans="6:6">
      <c r="F30791" s="2423"/>
    </row>
    <row r="30792" spans="6:6">
      <c r="F30792" s="2423"/>
    </row>
    <row r="30793" spans="6:6">
      <c r="F30793" s="2423"/>
    </row>
    <row r="30794" spans="6:6">
      <c r="F30794" s="2423"/>
    </row>
    <row r="30795" spans="6:6">
      <c r="F30795" s="2423"/>
    </row>
    <row r="30796" spans="6:6">
      <c r="F30796" s="2423"/>
    </row>
    <row r="30797" spans="6:6">
      <c r="F30797" s="2423"/>
    </row>
    <row r="30798" spans="6:6">
      <c r="F30798" s="2423"/>
    </row>
    <row r="30799" spans="6:6">
      <c r="F30799" s="2423"/>
    </row>
    <row r="30800" spans="6:6">
      <c r="F30800" s="2423"/>
    </row>
    <row r="30801" spans="6:6">
      <c r="F30801" s="2423"/>
    </row>
    <row r="30802" spans="6:6">
      <c r="F30802" s="2423"/>
    </row>
    <row r="30803" spans="6:6">
      <c r="F30803" s="2423"/>
    </row>
    <row r="30804" spans="6:6">
      <c r="F30804" s="2423"/>
    </row>
    <row r="30805" spans="6:6">
      <c r="F30805" s="2423"/>
    </row>
    <row r="30806" spans="6:6">
      <c r="F30806" s="2423"/>
    </row>
    <row r="30807" spans="6:6">
      <c r="F30807" s="2423"/>
    </row>
    <row r="30808" spans="6:6">
      <c r="F30808" s="2423"/>
    </row>
    <row r="30809" spans="6:6">
      <c r="F30809" s="2423"/>
    </row>
    <row r="30810" spans="6:6">
      <c r="F30810" s="2423"/>
    </row>
    <row r="30811" spans="6:6">
      <c r="F30811" s="2423"/>
    </row>
    <row r="30812" spans="6:6">
      <c r="F30812" s="2423"/>
    </row>
    <row r="30813" spans="6:6">
      <c r="F30813" s="2423"/>
    </row>
    <row r="30814" spans="6:6">
      <c r="F30814" s="2423"/>
    </row>
    <row r="30815" spans="6:6">
      <c r="F30815" s="2423"/>
    </row>
    <row r="30816" spans="6:6">
      <c r="F30816" s="2423"/>
    </row>
    <row r="30817" spans="6:6">
      <c r="F30817" s="2423"/>
    </row>
    <row r="30818" spans="6:6">
      <c r="F30818" s="2423"/>
    </row>
    <row r="30819" spans="6:6">
      <c r="F30819" s="2423"/>
    </row>
    <row r="30820" spans="6:6">
      <c r="F30820" s="2423"/>
    </row>
    <row r="30821" spans="6:6">
      <c r="F30821" s="2423"/>
    </row>
    <row r="30822" spans="6:6">
      <c r="F30822" s="2423"/>
    </row>
    <row r="30823" spans="6:6">
      <c r="F30823" s="2423"/>
    </row>
    <row r="30824" spans="6:6">
      <c r="F30824" s="2423"/>
    </row>
    <row r="30825" spans="6:6">
      <c r="F30825" s="2423"/>
    </row>
    <row r="30826" spans="6:6">
      <c r="F30826" s="2423"/>
    </row>
    <row r="30827" spans="6:6">
      <c r="F30827" s="2423"/>
    </row>
    <row r="30828" spans="6:6">
      <c r="F30828" s="2423"/>
    </row>
    <row r="30829" spans="6:6">
      <c r="F30829" s="2423"/>
    </row>
    <row r="30830" spans="6:6">
      <c r="F30830" s="2423"/>
    </row>
    <row r="30831" spans="6:6">
      <c r="F30831" s="2423"/>
    </row>
    <row r="30832" spans="6:6">
      <c r="F30832" s="2423"/>
    </row>
    <row r="30833" spans="6:6">
      <c r="F30833" s="2423"/>
    </row>
    <row r="30834" spans="6:6">
      <c r="F30834" s="2423"/>
    </row>
    <row r="30835" spans="6:6">
      <c r="F30835" s="2423"/>
    </row>
    <row r="30836" spans="6:6">
      <c r="F30836" s="2423"/>
    </row>
    <row r="30837" spans="6:6">
      <c r="F30837" s="2423"/>
    </row>
    <row r="30838" spans="6:6">
      <c r="F30838" s="2423"/>
    </row>
    <row r="30839" spans="6:6">
      <c r="F30839" s="2423"/>
    </row>
    <row r="30840" spans="6:6">
      <c r="F30840" s="2423"/>
    </row>
    <row r="30841" spans="6:6">
      <c r="F30841" s="2423"/>
    </row>
    <row r="30842" spans="6:6">
      <c r="F30842" s="2423"/>
    </row>
    <row r="30843" spans="6:6">
      <c r="F30843" s="2423"/>
    </row>
    <row r="30844" spans="6:6">
      <c r="F30844" s="2423"/>
    </row>
    <row r="30845" spans="6:6">
      <c r="F30845" s="2423"/>
    </row>
    <row r="30846" spans="6:6">
      <c r="F30846" s="2423"/>
    </row>
    <row r="30847" spans="6:6">
      <c r="F30847" s="2423"/>
    </row>
    <row r="30848" spans="6:6">
      <c r="F30848" s="2423"/>
    </row>
    <row r="30849" spans="6:6">
      <c r="F30849" s="2423"/>
    </row>
    <row r="30850" spans="6:6">
      <c r="F30850" s="2423"/>
    </row>
    <row r="30851" spans="6:6">
      <c r="F30851" s="2423"/>
    </row>
    <row r="30852" spans="6:6">
      <c r="F30852" s="2423"/>
    </row>
    <row r="30853" spans="6:6">
      <c r="F30853" s="2423"/>
    </row>
    <row r="30854" spans="6:6">
      <c r="F30854" s="2423"/>
    </row>
    <row r="30855" spans="6:6">
      <c r="F30855" s="2423"/>
    </row>
    <row r="30856" spans="6:6">
      <c r="F30856" s="2423"/>
    </row>
    <row r="30857" spans="6:6">
      <c r="F30857" s="2423"/>
    </row>
    <row r="30858" spans="6:6">
      <c r="F30858" s="2423"/>
    </row>
    <row r="30859" spans="6:6">
      <c r="F30859" s="2423"/>
    </row>
    <row r="30860" spans="6:6">
      <c r="F30860" s="2423"/>
    </row>
    <row r="30861" spans="6:6">
      <c r="F30861" s="2423"/>
    </row>
    <row r="30862" spans="6:6">
      <c r="F30862" s="2423"/>
    </row>
    <row r="30863" spans="6:6">
      <c r="F30863" s="2423"/>
    </row>
    <row r="30864" spans="6:6">
      <c r="F30864" s="2423"/>
    </row>
    <row r="30865" spans="6:6">
      <c r="F30865" s="2423"/>
    </row>
    <row r="30866" spans="6:6">
      <c r="F30866" s="2423"/>
    </row>
    <row r="30867" spans="6:6">
      <c r="F30867" s="2423"/>
    </row>
    <row r="30868" spans="6:6">
      <c r="F30868" s="2423"/>
    </row>
    <row r="30869" spans="6:6">
      <c r="F30869" s="2423"/>
    </row>
    <row r="30870" spans="6:6">
      <c r="F30870" s="2423"/>
    </row>
    <row r="30871" spans="6:6">
      <c r="F30871" s="2423"/>
    </row>
    <row r="30872" spans="6:6">
      <c r="F30872" s="2423"/>
    </row>
    <row r="30873" spans="6:6">
      <c r="F30873" s="2423"/>
    </row>
    <row r="30874" spans="6:6">
      <c r="F30874" s="2423"/>
    </row>
    <row r="30875" spans="6:6">
      <c r="F30875" s="2423"/>
    </row>
    <row r="30876" spans="6:6">
      <c r="F30876" s="2423"/>
    </row>
    <row r="30877" spans="6:6">
      <c r="F30877" s="2423"/>
    </row>
    <row r="30878" spans="6:6">
      <c r="F30878" s="2423"/>
    </row>
    <row r="30879" spans="6:6">
      <c r="F30879" s="2423"/>
    </row>
    <row r="30880" spans="6:6">
      <c r="F30880" s="2423"/>
    </row>
    <row r="30881" spans="6:6">
      <c r="F30881" s="2423"/>
    </row>
    <row r="30882" spans="6:6">
      <c r="F30882" s="2423"/>
    </row>
    <row r="30883" spans="6:6">
      <c r="F30883" s="2423"/>
    </row>
    <row r="30884" spans="6:6">
      <c r="F30884" s="2423"/>
    </row>
    <row r="30885" spans="6:6">
      <c r="F30885" s="2423"/>
    </row>
    <row r="30886" spans="6:6">
      <c r="F30886" s="2423"/>
    </row>
    <row r="30887" spans="6:6">
      <c r="F30887" s="2423"/>
    </row>
    <row r="30888" spans="6:6">
      <c r="F30888" s="2423"/>
    </row>
    <row r="30889" spans="6:6">
      <c r="F30889" s="2423"/>
    </row>
    <row r="30890" spans="6:6">
      <c r="F30890" s="2423"/>
    </row>
    <row r="30891" spans="6:6">
      <c r="F30891" s="2423"/>
    </row>
    <row r="30892" spans="6:6">
      <c r="F30892" s="2423"/>
    </row>
    <row r="30893" spans="6:6">
      <c r="F30893" s="2423"/>
    </row>
    <row r="30894" spans="6:6">
      <c r="F30894" s="2423"/>
    </row>
    <row r="30895" spans="6:6">
      <c r="F30895" s="2423"/>
    </row>
    <row r="30896" spans="6:6">
      <c r="F30896" s="2423"/>
    </row>
    <row r="30897" spans="6:6">
      <c r="F30897" s="2423"/>
    </row>
    <row r="30898" spans="6:6">
      <c r="F30898" s="2423"/>
    </row>
    <row r="30899" spans="6:6">
      <c r="F30899" s="2423"/>
    </row>
    <row r="30900" spans="6:6">
      <c r="F30900" s="2423"/>
    </row>
    <row r="30901" spans="6:6">
      <c r="F30901" s="2423"/>
    </row>
    <row r="30902" spans="6:6">
      <c r="F30902" s="2423"/>
    </row>
    <row r="30903" spans="6:6">
      <c r="F30903" s="2423"/>
    </row>
    <row r="30904" spans="6:6">
      <c r="F30904" s="2423"/>
    </row>
    <row r="30905" spans="6:6">
      <c r="F30905" s="2423"/>
    </row>
    <row r="30906" spans="6:6">
      <c r="F30906" s="2423"/>
    </row>
    <row r="30907" spans="6:6">
      <c r="F30907" s="2423"/>
    </row>
    <row r="30908" spans="6:6">
      <c r="F30908" s="2423"/>
    </row>
    <row r="30909" spans="6:6">
      <c r="F30909" s="2423"/>
    </row>
    <row r="30910" spans="6:6">
      <c r="F30910" s="2423"/>
    </row>
    <row r="30911" spans="6:6">
      <c r="F30911" s="2423"/>
    </row>
    <row r="30912" spans="6:6">
      <c r="F30912" s="2423"/>
    </row>
    <row r="30913" spans="6:6">
      <c r="F30913" s="2423"/>
    </row>
    <row r="30914" spans="6:6">
      <c r="F30914" s="2423"/>
    </row>
    <row r="30915" spans="6:6">
      <c r="F30915" s="2423"/>
    </row>
    <row r="30916" spans="6:6">
      <c r="F30916" s="2423"/>
    </row>
    <row r="30917" spans="6:6">
      <c r="F30917" s="2423"/>
    </row>
    <row r="30918" spans="6:6">
      <c r="F30918" s="2423"/>
    </row>
    <row r="30919" spans="6:6">
      <c r="F30919" s="2423"/>
    </row>
    <row r="30920" spans="6:6">
      <c r="F30920" s="2423"/>
    </row>
    <row r="30921" spans="6:6">
      <c r="F30921" s="2423"/>
    </row>
    <row r="30922" spans="6:6">
      <c r="F30922" s="2423"/>
    </row>
    <row r="30923" spans="6:6">
      <c r="F30923" s="2423"/>
    </row>
    <row r="30924" spans="6:6">
      <c r="F30924" s="2423"/>
    </row>
    <row r="30925" spans="6:6">
      <c r="F30925" s="2423"/>
    </row>
    <row r="30926" spans="6:6">
      <c r="F30926" s="2423"/>
    </row>
    <row r="30927" spans="6:6">
      <c r="F30927" s="2423"/>
    </row>
    <row r="30928" spans="6:6">
      <c r="F30928" s="2423"/>
    </row>
    <row r="30929" spans="6:6">
      <c r="F30929" s="2423"/>
    </row>
    <row r="30930" spans="6:6">
      <c r="F30930" s="2423"/>
    </row>
    <row r="30931" spans="6:6">
      <c r="F30931" s="2423"/>
    </row>
    <row r="30932" spans="6:6">
      <c r="F30932" s="2423"/>
    </row>
    <row r="30933" spans="6:6">
      <c r="F30933" s="2423"/>
    </row>
    <row r="30934" spans="6:6">
      <c r="F30934" s="2423"/>
    </row>
    <row r="30935" spans="6:6">
      <c r="F30935" s="2423"/>
    </row>
    <row r="30936" spans="6:6">
      <c r="F30936" s="2423"/>
    </row>
    <row r="30937" spans="6:6">
      <c r="F30937" s="2423"/>
    </row>
    <row r="30938" spans="6:6">
      <c r="F30938" s="2423"/>
    </row>
    <row r="30939" spans="6:6">
      <c r="F30939" s="2423"/>
    </row>
    <row r="30940" spans="6:6">
      <c r="F30940" s="2423"/>
    </row>
    <row r="30941" spans="6:6">
      <c r="F30941" s="2423"/>
    </row>
    <row r="30942" spans="6:6">
      <c r="F30942" s="2423"/>
    </row>
    <row r="30943" spans="6:6">
      <c r="F30943" s="2423"/>
    </row>
    <row r="30944" spans="6:6">
      <c r="F30944" s="2423"/>
    </row>
    <row r="30945" spans="6:6">
      <c r="F30945" s="2423"/>
    </row>
    <row r="30946" spans="6:6">
      <c r="F30946" s="2423"/>
    </row>
    <row r="30947" spans="6:6">
      <c r="F30947" s="2423"/>
    </row>
    <row r="30948" spans="6:6">
      <c r="F30948" s="2423"/>
    </row>
    <row r="30949" spans="6:6">
      <c r="F30949" s="2423"/>
    </row>
    <row r="30950" spans="6:6">
      <c r="F30950" s="2423"/>
    </row>
    <row r="30951" spans="6:6">
      <c r="F30951" s="2423"/>
    </row>
    <row r="30952" spans="6:6">
      <c r="F30952" s="2423"/>
    </row>
    <row r="30953" spans="6:6">
      <c r="F30953" s="2423"/>
    </row>
    <row r="30954" spans="6:6">
      <c r="F30954" s="2423"/>
    </row>
    <row r="30955" spans="6:6">
      <c r="F30955" s="2423"/>
    </row>
    <row r="30956" spans="6:6">
      <c r="F30956" s="2423"/>
    </row>
    <row r="30957" spans="6:6">
      <c r="F30957" s="2423"/>
    </row>
    <row r="30958" spans="6:6">
      <c r="F30958" s="2423"/>
    </row>
    <row r="30959" spans="6:6">
      <c r="F30959" s="2423"/>
    </row>
    <row r="30960" spans="6:6">
      <c r="F30960" s="2423"/>
    </row>
    <row r="30961" spans="6:6">
      <c r="F30961" s="2423"/>
    </row>
    <row r="30962" spans="6:6">
      <c r="F30962" s="2423"/>
    </row>
    <row r="30963" spans="6:6">
      <c r="F30963" s="2423"/>
    </row>
    <row r="30964" spans="6:6">
      <c r="F30964" s="2423"/>
    </row>
    <row r="30965" spans="6:6">
      <c r="F30965" s="2423"/>
    </row>
    <row r="30966" spans="6:6">
      <c r="F30966" s="2423"/>
    </row>
    <row r="30967" spans="6:6">
      <c r="F30967" s="2423"/>
    </row>
    <row r="30968" spans="6:6">
      <c r="F30968" s="2423"/>
    </row>
    <row r="30969" spans="6:6">
      <c r="F30969" s="2423"/>
    </row>
    <row r="30970" spans="6:6">
      <c r="F30970" s="2423"/>
    </row>
    <row r="30971" spans="6:6">
      <c r="F30971" s="2423"/>
    </row>
    <row r="30972" spans="6:6">
      <c r="F30972" s="2423"/>
    </row>
    <row r="30973" spans="6:6">
      <c r="F30973" s="2423"/>
    </row>
    <row r="30974" spans="6:6">
      <c r="F30974" s="2423"/>
    </row>
    <row r="30975" spans="6:6">
      <c r="F30975" s="2423"/>
    </row>
    <row r="30976" spans="6:6">
      <c r="F30976" s="2423"/>
    </row>
    <row r="30977" spans="6:6">
      <c r="F30977" s="2423"/>
    </row>
    <row r="30978" spans="6:6">
      <c r="F30978" s="2423"/>
    </row>
    <row r="30979" spans="6:6">
      <c r="F30979" s="2423"/>
    </row>
    <row r="30980" spans="6:6">
      <c r="F30980" s="2423"/>
    </row>
    <row r="30981" spans="6:6">
      <c r="F30981" s="2423"/>
    </row>
    <row r="30982" spans="6:6">
      <c r="F30982" s="2423"/>
    </row>
    <row r="30983" spans="6:6">
      <c r="F30983" s="2423"/>
    </row>
    <row r="30984" spans="6:6">
      <c r="F30984" s="2423"/>
    </row>
    <row r="30985" spans="6:6">
      <c r="F30985" s="2423"/>
    </row>
    <row r="30986" spans="6:6">
      <c r="F30986" s="2423"/>
    </row>
    <row r="30987" spans="6:6">
      <c r="F30987" s="2423"/>
    </row>
    <row r="30988" spans="6:6">
      <c r="F30988" s="2423"/>
    </row>
    <row r="30989" spans="6:6">
      <c r="F30989" s="2423"/>
    </row>
    <row r="30990" spans="6:6">
      <c r="F30990" s="2423"/>
    </row>
    <row r="30991" spans="6:6">
      <c r="F30991" s="2423"/>
    </row>
    <row r="30992" spans="6:6">
      <c r="F30992" s="2423"/>
    </row>
    <row r="30993" spans="6:6">
      <c r="F30993" s="2423"/>
    </row>
    <row r="30994" spans="6:6">
      <c r="F30994" s="2423"/>
    </row>
    <row r="30995" spans="6:6">
      <c r="F30995" s="2423"/>
    </row>
    <row r="30996" spans="6:6">
      <c r="F30996" s="2423"/>
    </row>
    <row r="30997" spans="6:6">
      <c r="F30997" s="2423"/>
    </row>
    <row r="30998" spans="6:6">
      <c r="F30998" s="2423"/>
    </row>
    <row r="30999" spans="6:6">
      <c r="F30999" s="2423"/>
    </row>
    <row r="31000" spans="6:6">
      <c r="F31000" s="2423"/>
    </row>
    <row r="31001" spans="6:6">
      <c r="F31001" s="2423"/>
    </row>
    <row r="31002" spans="6:6">
      <c r="F31002" s="2423"/>
    </row>
    <row r="31003" spans="6:6">
      <c r="F31003" s="2423"/>
    </row>
    <row r="31004" spans="6:6">
      <c r="F31004" s="2423"/>
    </row>
    <row r="31005" spans="6:6">
      <c r="F31005" s="2423"/>
    </row>
    <row r="31006" spans="6:6">
      <c r="F31006" s="2423"/>
    </row>
    <row r="31007" spans="6:6">
      <c r="F31007" s="2423"/>
    </row>
    <row r="31008" spans="6:6">
      <c r="F31008" s="2423"/>
    </row>
    <row r="31009" spans="6:6">
      <c r="F31009" s="2423"/>
    </row>
    <row r="31010" spans="6:6">
      <c r="F31010" s="2423"/>
    </row>
    <row r="31011" spans="6:6">
      <c r="F31011" s="2423"/>
    </row>
    <row r="31012" spans="6:6">
      <c r="F31012" s="2423"/>
    </row>
    <row r="31013" spans="6:6">
      <c r="F31013" s="2423"/>
    </row>
    <row r="31014" spans="6:6">
      <c r="F31014" s="2423"/>
    </row>
    <row r="31015" spans="6:6">
      <c r="F31015" s="2423"/>
    </row>
    <row r="31016" spans="6:6">
      <c r="F31016" s="2423"/>
    </row>
    <row r="31017" spans="6:6">
      <c r="F31017" s="2423"/>
    </row>
    <row r="31018" spans="6:6">
      <c r="F31018" s="2423"/>
    </row>
    <row r="31019" spans="6:6">
      <c r="F31019" s="2423"/>
    </row>
    <row r="31020" spans="6:6">
      <c r="F31020" s="2423"/>
    </row>
    <row r="31021" spans="6:6">
      <c r="F31021" s="2423"/>
    </row>
    <row r="31022" spans="6:6">
      <c r="F31022" s="2423"/>
    </row>
    <row r="31023" spans="6:6">
      <c r="F31023" s="2423"/>
    </row>
    <row r="31024" spans="6:6">
      <c r="F31024" s="2423"/>
    </row>
    <row r="31025" spans="6:6">
      <c r="F31025" s="2423"/>
    </row>
    <row r="31026" spans="6:6">
      <c r="F31026" s="2423"/>
    </row>
    <row r="31027" spans="6:6">
      <c r="F31027" s="2423"/>
    </row>
    <row r="31028" spans="6:6">
      <c r="F31028" s="2423"/>
    </row>
    <row r="31029" spans="6:6">
      <c r="F31029" s="2423"/>
    </row>
    <row r="31030" spans="6:6">
      <c r="F31030" s="2423"/>
    </row>
    <row r="31031" spans="6:6">
      <c r="F31031" s="2423"/>
    </row>
    <row r="31032" spans="6:6">
      <c r="F31032" s="2423"/>
    </row>
    <row r="31033" spans="6:6">
      <c r="F31033" s="2423"/>
    </row>
    <row r="31034" spans="6:6">
      <c r="F31034" s="2423"/>
    </row>
    <row r="31035" spans="6:6">
      <c r="F31035" s="2423"/>
    </row>
    <row r="31036" spans="6:6">
      <c r="F31036" s="2423"/>
    </row>
    <row r="31037" spans="6:6">
      <c r="F31037" s="2423"/>
    </row>
    <row r="31038" spans="6:6">
      <c r="F31038" s="2423"/>
    </row>
    <row r="31039" spans="6:6">
      <c r="F31039" s="2423"/>
    </row>
    <row r="31040" spans="6:6">
      <c r="F31040" s="2423"/>
    </row>
    <row r="31041" spans="6:6">
      <c r="F31041" s="2423"/>
    </row>
    <row r="31042" spans="6:6">
      <c r="F31042" s="2423"/>
    </row>
    <row r="31043" spans="6:6">
      <c r="F31043" s="2423"/>
    </row>
    <row r="31044" spans="6:6">
      <c r="F31044" s="2423"/>
    </row>
    <row r="31045" spans="6:6">
      <c r="F31045" s="2423"/>
    </row>
    <row r="31046" spans="6:6">
      <c r="F31046" s="2423"/>
    </row>
    <row r="31047" spans="6:6">
      <c r="F31047" s="2423"/>
    </row>
    <row r="31048" spans="6:6">
      <c r="F31048" s="2423"/>
    </row>
    <row r="31049" spans="6:6">
      <c r="F31049" s="2423"/>
    </row>
    <row r="31050" spans="6:6">
      <c r="F31050" s="2423"/>
    </row>
    <row r="31051" spans="6:6">
      <c r="F31051" s="2423"/>
    </row>
    <row r="31052" spans="6:6">
      <c r="F31052" s="2423"/>
    </row>
    <row r="31053" spans="6:6">
      <c r="F31053" s="2423"/>
    </row>
    <row r="31054" spans="6:6">
      <c r="F31054" s="2423"/>
    </row>
    <row r="31055" spans="6:6">
      <c r="F31055" s="2423"/>
    </row>
    <row r="31056" spans="6:6">
      <c r="F31056" s="2423"/>
    </row>
    <row r="31057" spans="6:6">
      <c r="F31057" s="2423"/>
    </row>
    <row r="31058" spans="6:6">
      <c r="F31058" s="2423"/>
    </row>
    <row r="31059" spans="6:6">
      <c r="F31059" s="2423"/>
    </row>
    <row r="31060" spans="6:6">
      <c r="F31060" s="2423"/>
    </row>
    <row r="31061" spans="6:6">
      <c r="F31061" s="2423"/>
    </row>
    <row r="31062" spans="6:6">
      <c r="F31062" s="2423"/>
    </row>
    <row r="31063" spans="6:6">
      <c r="F31063" s="2423"/>
    </row>
    <row r="31064" spans="6:6">
      <c r="F31064" s="2423"/>
    </row>
    <row r="31065" spans="6:6">
      <c r="F31065" s="2423"/>
    </row>
    <row r="31066" spans="6:6">
      <c r="F31066" s="2423"/>
    </row>
    <row r="31067" spans="6:6">
      <c r="F31067" s="2423"/>
    </row>
    <row r="31068" spans="6:6">
      <c r="F31068" s="2423"/>
    </row>
    <row r="31069" spans="6:6">
      <c r="F31069" s="2423"/>
    </row>
    <row r="31070" spans="6:6">
      <c r="F31070" s="2423"/>
    </row>
    <row r="31071" spans="6:6">
      <c r="F31071" s="2423"/>
    </row>
    <row r="31072" spans="6:6">
      <c r="F31072" s="2423"/>
    </row>
    <row r="31073" spans="6:6">
      <c r="F31073" s="2423"/>
    </row>
    <row r="31074" spans="6:6">
      <c r="F31074" s="2423"/>
    </row>
    <row r="31075" spans="6:6">
      <c r="F31075" s="2423"/>
    </row>
    <row r="31076" spans="6:6">
      <c r="F31076" s="2423"/>
    </row>
    <row r="31077" spans="6:6">
      <c r="F31077" s="2423"/>
    </row>
    <row r="31078" spans="6:6">
      <c r="F31078" s="2423"/>
    </row>
    <row r="31079" spans="6:6">
      <c r="F31079" s="2423"/>
    </row>
    <row r="31080" spans="6:6">
      <c r="F31080" s="2423"/>
    </row>
    <row r="31081" spans="6:6">
      <c r="F31081" s="2423"/>
    </row>
    <row r="31082" spans="6:6">
      <c r="F31082" s="2423"/>
    </row>
    <row r="31083" spans="6:6">
      <c r="F31083" s="2423"/>
    </row>
    <row r="31084" spans="6:6">
      <c r="F31084" s="2423"/>
    </row>
    <row r="31085" spans="6:6">
      <c r="F31085" s="2423"/>
    </row>
    <row r="31086" spans="6:6">
      <c r="F31086" s="2423"/>
    </row>
    <row r="31087" spans="6:6">
      <c r="F31087" s="2423"/>
    </row>
    <row r="31088" spans="6:6">
      <c r="F31088" s="2423"/>
    </row>
    <row r="31089" spans="6:6">
      <c r="F31089" s="2423"/>
    </row>
    <row r="31090" spans="6:6">
      <c r="F31090" s="2423"/>
    </row>
    <row r="31091" spans="6:6">
      <c r="F31091" s="2423"/>
    </row>
    <row r="31092" spans="6:6">
      <c r="F31092" s="2423"/>
    </row>
    <row r="31093" spans="6:6">
      <c r="F31093" s="2423"/>
    </row>
    <row r="31094" spans="6:6">
      <c r="F31094" s="2423"/>
    </row>
    <row r="31095" spans="6:6">
      <c r="F31095" s="2423"/>
    </row>
    <row r="31096" spans="6:6">
      <c r="F31096" s="2423"/>
    </row>
    <row r="31097" spans="6:6">
      <c r="F31097" s="2423"/>
    </row>
    <row r="31098" spans="6:6">
      <c r="F31098" s="2423"/>
    </row>
    <row r="31099" spans="6:6">
      <c r="F31099" s="2423"/>
    </row>
    <row r="31100" spans="6:6">
      <c r="F31100" s="2423"/>
    </row>
    <row r="31101" spans="6:6">
      <c r="F31101" s="2423"/>
    </row>
    <row r="31102" spans="6:6">
      <c r="F31102" s="2423"/>
    </row>
    <row r="31103" spans="6:6">
      <c r="F31103" s="2423"/>
    </row>
    <row r="31104" spans="6:6">
      <c r="F31104" s="2423"/>
    </row>
    <row r="31105" spans="6:6">
      <c r="F31105" s="2423"/>
    </row>
    <row r="31106" spans="6:6">
      <c r="F31106" s="2423"/>
    </row>
    <row r="31107" spans="6:6">
      <c r="F31107" s="2423"/>
    </row>
    <row r="31108" spans="6:6">
      <c r="F31108" s="2423"/>
    </row>
    <row r="31109" spans="6:6">
      <c r="F31109" s="2423"/>
    </row>
    <row r="31110" spans="6:6">
      <c r="F31110" s="2423"/>
    </row>
    <row r="31111" spans="6:6">
      <c r="F31111" s="2423"/>
    </row>
    <row r="31112" spans="6:6">
      <c r="F31112" s="2423"/>
    </row>
    <row r="31113" spans="6:6">
      <c r="F31113" s="2423"/>
    </row>
    <row r="31114" spans="6:6">
      <c r="F31114" s="2423"/>
    </row>
    <row r="31115" spans="6:6">
      <c r="F31115" s="2423"/>
    </row>
    <row r="31116" spans="6:6">
      <c r="F31116" s="2423"/>
    </row>
    <row r="31117" spans="6:6">
      <c r="F31117" s="2423"/>
    </row>
    <row r="31118" spans="6:6">
      <c r="F31118" s="2423"/>
    </row>
    <row r="31119" spans="6:6">
      <c r="F31119" s="2423"/>
    </row>
    <row r="31120" spans="6:6">
      <c r="F31120" s="2423"/>
    </row>
    <row r="31121" spans="6:6">
      <c r="F31121" s="2423"/>
    </row>
    <row r="31122" spans="6:6">
      <c r="F31122" s="2423"/>
    </row>
    <row r="31123" spans="6:6">
      <c r="F31123" s="2423"/>
    </row>
    <row r="31124" spans="6:6">
      <c r="F31124" s="2423"/>
    </row>
    <row r="31125" spans="6:6">
      <c r="F31125" s="2423"/>
    </row>
    <row r="31126" spans="6:6">
      <c r="F31126" s="2423"/>
    </row>
    <row r="31127" spans="6:6">
      <c r="F31127" s="2423"/>
    </row>
    <row r="31128" spans="6:6">
      <c r="F31128" s="2423"/>
    </row>
    <row r="31129" spans="6:6">
      <c r="F31129" s="2423"/>
    </row>
    <row r="31130" spans="6:6">
      <c r="F31130" s="2423"/>
    </row>
    <row r="31131" spans="6:6">
      <c r="F31131" s="2423"/>
    </row>
    <row r="31132" spans="6:6">
      <c r="F31132" s="2423"/>
    </row>
    <row r="31133" spans="6:6">
      <c r="F31133" s="2423"/>
    </row>
    <row r="31134" spans="6:6">
      <c r="F31134" s="2423"/>
    </row>
    <row r="31135" spans="6:6">
      <c r="F31135" s="2423"/>
    </row>
    <row r="31136" spans="6:6">
      <c r="F31136" s="2423"/>
    </row>
    <row r="31137" spans="6:6">
      <c r="F31137" s="2423"/>
    </row>
    <row r="31138" spans="6:6">
      <c r="F31138" s="2423"/>
    </row>
    <row r="31139" spans="6:6">
      <c r="F31139" s="2423"/>
    </row>
    <row r="31140" spans="6:6">
      <c r="F31140" s="2423"/>
    </row>
    <row r="31141" spans="6:6">
      <c r="F31141" s="2423"/>
    </row>
    <row r="31142" spans="6:6">
      <c r="F31142" s="2423"/>
    </row>
    <row r="31143" spans="6:6">
      <c r="F31143" s="2423"/>
    </row>
    <row r="31144" spans="6:6">
      <c r="F31144" s="2423"/>
    </row>
    <row r="31145" spans="6:6">
      <c r="F31145" s="2423"/>
    </row>
    <row r="31146" spans="6:6">
      <c r="F31146" s="2423"/>
    </row>
    <row r="31147" spans="6:6">
      <c r="F31147" s="2423"/>
    </row>
    <row r="31148" spans="6:6">
      <c r="F31148" s="2423"/>
    </row>
    <row r="31149" spans="6:6">
      <c r="F31149" s="2423"/>
    </row>
    <row r="31150" spans="6:6">
      <c r="F31150" s="2423"/>
    </row>
    <row r="31151" spans="6:6">
      <c r="F31151" s="2423"/>
    </row>
    <row r="31152" spans="6:6">
      <c r="F31152" s="2423"/>
    </row>
    <row r="31153" spans="6:6">
      <c r="F31153" s="2423"/>
    </row>
    <row r="31154" spans="6:6">
      <c r="F31154" s="2423"/>
    </row>
    <row r="31155" spans="6:6">
      <c r="F31155" s="2423"/>
    </row>
    <row r="31156" spans="6:6">
      <c r="F31156" s="2423"/>
    </row>
    <row r="31157" spans="6:6">
      <c r="F31157" s="2423"/>
    </row>
    <row r="31158" spans="6:6">
      <c r="F31158" s="2423"/>
    </row>
    <row r="31159" spans="6:6">
      <c r="F31159" s="2423"/>
    </row>
    <row r="31160" spans="6:6">
      <c r="F31160" s="2423"/>
    </row>
    <row r="31161" spans="6:6">
      <c r="F31161" s="2423"/>
    </row>
    <row r="31162" spans="6:6">
      <c r="F31162" s="2423"/>
    </row>
    <row r="31163" spans="6:6">
      <c r="F31163" s="2423"/>
    </row>
    <row r="31164" spans="6:6">
      <c r="F31164" s="2423"/>
    </row>
    <row r="31165" spans="6:6">
      <c r="F31165" s="2423"/>
    </row>
    <row r="31166" spans="6:6">
      <c r="F31166" s="2423"/>
    </row>
    <row r="31167" spans="6:6">
      <c r="F31167" s="2423"/>
    </row>
    <row r="31168" spans="6:6">
      <c r="F31168" s="2423"/>
    </row>
    <row r="31169" spans="6:6">
      <c r="F31169" s="2423"/>
    </row>
    <row r="31170" spans="6:6">
      <c r="F31170" s="2423"/>
    </row>
    <row r="31171" spans="6:6">
      <c r="F31171" s="2423"/>
    </row>
    <row r="31172" spans="6:6">
      <c r="F31172" s="2423"/>
    </row>
    <row r="31173" spans="6:6">
      <c r="F31173" s="2423"/>
    </row>
    <row r="31174" spans="6:6">
      <c r="F31174" s="2423"/>
    </row>
    <row r="31175" spans="6:6">
      <c r="F31175" s="2423"/>
    </row>
    <row r="31176" spans="6:6">
      <c r="F31176" s="2423"/>
    </row>
    <row r="31177" spans="6:6">
      <c r="F31177" s="2423"/>
    </row>
    <row r="31178" spans="6:6">
      <c r="F31178" s="2423"/>
    </row>
    <row r="31179" spans="6:6">
      <c r="F31179" s="2423"/>
    </row>
    <row r="31180" spans="6:6">
      <c r="F31180" s="2423"/>
    </row>
    <row r="31181" spans="6:6">
      <c r="F31181" s="2423"/>
    </row>
    <row r="31182" spans="6:6">
      <c r="F31182" s="2423"/>
    </row>
    <row r="31183" spans="6:6">
      <c r="F31183" s="2423"/>
    </row>
    <row r="31184" spans="6:6">
      <c r="F31184" s="2423"/>
    </row>
    <row r="31185" spans="6:6">
      <c r="F31185" s="2423"/>
    </row>
    <row r="31186" spans="6:6">
      <c r="F31186" s="2423"/>
    </row>
    <row r="31187" spans="6:6">
      <c r="F31187" s="2423"/>
    </row>
    <row r="31188" spans="6:6">
      <c r="F31188" s="2423"/>
    </row>
    <row r="31189" spans="6:6">
      <c r="F31189" s="2423"/>
    </row>
    <row r="31190" spans="6:6">
      <c r="F31190" s="2423"/>
    </row>
    <row r="31191" spans="6:6">
      <c r="F31191" s="2423"/>
    </row>
    <row r="31192" spans="6:6">
      <c r="F31192" s="2423"/>
    </row>
    <row r="31193" spans="6:6">
      <c r="F31193" s="2423"/>
    </row>
    <row r="31194" spans="6:6">
      <c r="F31194" s="2423"/>
    </row>
    <row r="31195" spans="6:6">
      <c r="F31195" s="2423"/>
    </row>
    <row r="31196" spans="6:6">
      <c r="F31196" s="2423"/>
    </row>
    <row r="31197" spans="6:6">
      <c r="F31197" s="2423"/>
    </row>
    <row r="31198" spans="6:6">
      <c r="F31198" s="2423"/>
    </row>
    <row r="31199" spans="6:6">
      <c r="F31199" s="2423"/>
    </row>
    <row r="31200" spans="6:6">
      <c r="F31200" s="2423"/>
    </row>
    <row r="31201" spans="6:6">
      <c r="F31201" s="2423"/>
    </row>
    <row r="31202" spans="6:6">
      <c r="F31202" s="2423"/>
    </row>
    <row r="31203" spans="6:6">
      <c r="F31203" s="2423"/>
    </row>
    <row r="31204" spans="6:6">
      <c r="F31204" s="2423"/>
    </row>
    <row r="31205" spans="6:6">
      <c r="F31205" s="2423"/>
    </row>
    <row r="31206" spans="6:6">
      <c r="F31206" s="2423"/>
    </row>
    <row r="31207" spans="6:6">
      <c r="F31207" s="2423"/>
    </row>
    <row r="31208" spans="6:6">
      <c r="F31208" s="2423"/>
    </row>
    <row r="31209" spans="6:6">
      <c r="F31209" s="2423"/>
    </row>
    <row r="31210" spans="6:6">
      <c r="F31210" s="2423"/>
    </row>
    <row r="31211" spans="6:6">
      <c r="F31211" s="2423"/>
    </row>
    <row r="31212" spans="6:6">
      <c r="F31212" s="2423"/>
    </row>
    <row r="31213" spans="6:6">
      <c r="F31213" s="2423"/>
    </row>
    <row r="31214" spans="6:6">
      <c r="F31214" s="2423"/>
    </row>
    <row r="31215" spans="6:6">
      <c r="F31215" s="2423"/>
    </row>
    <row r="31216" spans="6:6">
      <c r="F31216" s="2423"/>
    </row>
    <row r="31217" spans="6:6">
      <c r="F31217" s="2423"/>
    </row>
    <row r="31218" spans="6:6">
      <c r="F31218" s="2423"/>
    </row>
    <row r="31219" spans="6:6">
      <c r="F31219" s="2423"/>
    </row>
    <row r="31220" spans="6:6">
      <c r="F31220" s="2423"/>
    </row>
    <row r="31221" spans="6:6">
      <c r="F31221" s="2423"/>
    </row>
    <row r="31222" spans="6:6">
      <c r="F31222" s="2423"/>
    </row>
    <row r="31223" spans="6:6">
      <c r="F31223" s="2423"/>
    </row>
    <row r="31224" spans="6:6">
      <c r="F31224" s="2423"/>
    </row>
    <row r="31225" spans="6:6">
      <c r="F31225" s="2423"/>
    </row>
    <row r="31226" spans="6:6">
      <c r="F31226" s="2423"/>
    </row>
    <row r="31227" spans="6:6">
      <c r="F31227" s="2423"/>
    </row>
    <row r="31228" spans="6:6">
      <c r="F31228" s="2423"/>
    </row>
    <row r="31229" spans="6:6">
      <c r="F31229" s="2423"/>
    </row>
    <row r="31230" spans="6:6">
      <c r="F31230" s="2423"/>
    </row>
    <row r="31231" spans="6:6">
      <c r="F31231" s="2423"/>
    </row>
    <row r="31232" spans="6:6">
      <c r="F31232" s="2423"/>
    </row>
    <row r="31233" spans="6:6">
      <c r="F31233" s="2423"/>
    </row>
    <row r="31234" spans="6:6">
      <c r="F31234" s="2423"/>
    </row>
    <row r="31235" spans="6:6">
      <c r="F31235" s="2423"/>
    </row>
    <row r="31236" spans="6:6">
      <c r="F31236" s="2423"/>
    </row>
    <row r="31237" spans="6:6">
      <c r="F31237" s="2423"/>
    </row>
    <row r="31238" spans="6:6">
      <c r="F31238" s="2423"/>
    </row>
    <row r="31239" spans="6:6">
      <c r="F31239" s="2423"/>
    </row>
    <row r="31240" spans="6:6">
      <c r="F31240" s="2423"/>
    </row>
    <row r="31241" spans="6:6">
      <c r="F31241" s="2423"/>
    </row>
    <row r="31242" spans="6:6">
      <c r="F31242" s="2423"/>
    </row>
    <row r="31243" spans="6:6">
      <c r="F31243" s="2423"/>
    </row>
    <row r="31244" spans="6:6">
      <c r="F31244" s="2423"/>
    </row>
    <row r="31245" spans="6:6">
      <c r="F31245" s="2423"/>
    </row>
    <row r="31246" spans="6:6">
      <c r="F31246" s="2423"/>
    </row>
    <row r="31247" spans="6:6">
      <c r="F31247" s="2423"/>
    </row>
    <row r="31248" spans="6:6">
      <c r="F31248" s="2423"/>
    </row>
    <row r="31249" spans="6:6">
      <c r="F31249" s="2423"/>
    </row>
    <row r="31250" spans="6:6">
      <c r="F31250" s="2423"/>
    </row>
    <row r="31251" spans="6:6">
      <c r="F31251" s="2423"/>
    </row>
    <row r="31252" spans="6:6">
      <c r="F31252" s="2423"/>
    </row>
    <row r="31253" spans="6:6">
      <c r="F31253" s="2423"/>
    </row>
    <row r="31254" spans="6:6">
      <c r="F31254" s="2423"/>
    </row>
    <row r="31255" spans="6:6">
      <c r="F31255" s="2423"/>
    </row>
    <row r="31256" spans="6:6">
      <c r="F31256" s="2423"/>
    </row>
    <row r="31257" spans="6:6">
      <c r="F31257" s="2423"/>
    </row>
    <row r="31258" spans="6:6">
      <c r="F31258" s="2423"/>
    </row>
    <row r="31259" spans="6:6">
      <c r="F31259" s="2423"/>
    </row>
    <row r="31260" spans="6:6">
      <c r="F31260" s="2423"/>
    </row>
    <row r="31261" spans="6:6">
      <c r="F31261" s="2423"/>
    </row>
    <row r="31262" spans="6:6">
      <c r="F31262" s="2423"/>
    </row>
    <row r="31263" spans="6:6">
      <c r="F31263" s="2423"/>
    </row>
    <row r="31264" spans="6:6">
      <c r="F31264" s="2423"/>
    </row>
    <row r="31265" spans="6:6">
      <c r="F31265" s="2423"/>
    </row>
    <row r="31266" spans="6:6">
      <c r="F31266" s="2423"/>
    </row>
    <row r="31267" spans="6:6">
      <c r="F31267" s="2423"/>
    </row>
    <row r="31268" spans="6:6">
      <c r="F31268" s="2423"/>
    </row>
    <row r="31269" spans="6:6">
      <c r="F31269" s="2423"/>
    </row>
    <row r="31270" spans="6:6">
      <c r="F31270" s="2423"/>
    </row>
    <row r="31271" spans="6:6">
      <c r="F31271" s="2423"/>
    </row>
    <row r="31272" spans="6:6">
      <c r="F31272" s="2423"/>
    </row>
    <row r="31273" spans="6:6">
      <c r="F31273" s="2423"/>
    </row>
    <row r="31274" spans="6:6">
      <c r="F31274" s="2423"/>
    </row>
    <row r="31275" spans="6:6">
      <c r="F31275" s="2423"/>
    </row>
    <row r="31276" spans="6:6">
      <c r="F31276" s="2423"/>
    </row>
    <row r="31277" spans="6:6">
      <c r="F31277" s="2423"/>
    </row>
    <row r="31278" spans="6:6">
      <c r="F31278" s="2423"/>
    </row>
    <row r="31279" spans="6:6">
      <c r="F31279" s="2423"/>
    </row>
    <row r="31280" spans="6:6">
      <c r="F31280" s="2423"/>
    </row>
    <row r="31281" spans="6:6">
      <c r="F31281" s="2423"/>
    </row>
    <row r="31282" spans="6:6">
      <c r="F31282" s="2423"/>
    </row>
    <row r="31283" spans="6:6">
      <c r="F31283" s="2423"/>
    </row>
    <row r="31284" spans="6:6">
      <c r="F31284" s="2423"/>
    </row>
    <row r="31285" spans="6:6">
      <c r="F31285" s="2423"/>
    </row>
    <row r="31286" spans="6:6">
      <c r="F31286" s="2423"/>
    </row>
    <row r="31287" spans="6:6">
      <c r="F31287" s="2423"/>
    </row>
    <row r="31288" spans="6:6">
      <c r="F31288" s="2423"/>
    </row>
    <row r="31289" spans="6:6">
      <c r="F31289" s="2423"/>
    </row>
    <row r="31290" spans="6:6">
      <c r="F31290" s="2423"/>
    </row>
    <row r="31291" spans="6:6">
      <c r="F31291" s="2423"/>
    </row>
    <row r="31292" spans="6:6">
      <c r="F31292" s="2423"/>
    </row>
    <row r="31293" spans="6:6">
      <c r="F31293" s="2423"/>
    </row>
    <row r="31294" spans="6:6">
      <c r="F31294" s="2423"/>
    </row>
    <row r="31295" spans="6:6">
      <c r="F31295" s="2423"/>
    </row>
    <row r="31296" spans="6:6">
      <c r="F31296" s="2423"/>
    </row>
    <row r="31297" spans="6:6">
      <c r="F31297" s="2423"/>
    </row>
    <row r="31298" spans="6:6">
      <c r="F31298" s="2423"/>
    </row>
    <row r="31299" spans="6:6">
      <c r="F31299" s="2423"/>
    </row>
    <row r="31300" spans="6:6">
      <c r="F31300" s="2423"/>
    </row>
    <row r="31301" spans="6:6">
      <c r="F31301" s="2423"/>
    </row>
    <row r="31302" spans="6:6">
      <c r="F31302" s="2423"/>
    </row>
    <row r="31303" spans="6:6">
      <c r="F31303" s="2423"/>
    </row>
    <row r="31304" spans="6:6">
      <c r="F31304" s="2423"/>
    </row>
    <row r="31305" spans="6:6">
      <c r="F31305" s="2423"/>
    </row>
    <row r="31306" spans="6:6">
      <c r="F31306" s="2423"/>
    </row>
    <row r="31307" spans="6:6">
      <c r="F31307" s="2423"/>
    </row>
    <row r="31308" spans="6:6">
      <c r="F31308" s="2423"/>
    </row>
    <row r="31309" spans="6:6">
      <c r="F31309" s="2423"/>
    </row>
    <row r="31310" spans="6:6">
      <c r="F31310" s="2423"/>
    </row>
    <row r="31311" spans="6:6">
      <c r="F31311" s="2423"/>
    </row>
    <row r="31312" spans="6:6">
      <c r="F31312" s="2423"/>
    </row>
    <row r="31313" spans="6:6">
      <c r="F31313" s="2423"/>
    </row>
    <row r="31314" spans="6:6">
      <c r="F31314" s="2423"/>
    </row>
    <row r="31315" spans="6:6">
      <c r="F31315" s="2423"/>
    </row>
    <row r="31316" spans="6:6">
      <c r="F31316" s="2423"/>
    </row>
    <row r="31317" spans="6:6">
      <c r="F31317" s="2423"/>
    </row>
    <row r="31318" spans="6:6">
      <c r="F31318" s="2423"/>
    </row>
    <row r="31319" spans="6:6">
      <c r="F31319" s="2423"/>
    </row>
    <row r="31320" spans="6:6">
      <c r="F31320" s="2423"/>
    </row>
    <row r="31321" spans="6:6">
      <c r="F31321" s="2423"/>
    </row>
    <row r="31322" spans="6:6">
      <c r="F31322" s="2423"/>
    </row>
    <row r="31323" spans="6:6">
      <c r="F31323" s="2423"/>
    </row>
    <row r="31324" spans="6:6">
      <c r="F31324" s="2423"/>
    </row>
    <row r="31325" spans="6:6">
      <c r="F31325" s="2423"/>
    </row>
    <row r="31326" spans="6:6">
      <c r="F31326" s="2423"/>
    </row>
    <row r="31327" spans="6:6">
      <c r="F31327" s="2423"/>
    </row>
    <row r="31328" spans="6:6">
      <c r="F31328" s="2423"/>
    </row>
    <row r="31329" spans="6:6">
      <c r="F31329" s="2423"/>
    </row>
    <row r="31330" spans="6:6">
      <c r="F31330" s="2423"/>
    </row>
    <row r="31331" spans="6:6">
      <c r="F31331" s="2423"/>
    </row>
    <row r="31332" spans="6:6">
      <c r="F31332" s="2423"/>
    </row>
    <row r="31333" spans="6:6">
      <c r="F31333" s="2423"/>
    </row>
    <row r="31334" spans="6:6">
      <c r="F31334" s="2423"/>
    </row>
    <row r="31335" spans="6:6">
      <c r="F31335" s="2423"/>
    </row>
    <row r="31336" spans="6:6">
      <c r="F31336" s="2423"/>
    </row>
    <row r="31337" spans="6:6">
      <c r="F31337" s="2423"/>
    </row>
    <row r="31338" spans="6:6">
      <c r="F31338" s="2423"/>
    </row>
    <row r="31339" spans="6:6">
      <c r="F31339" s="2423"/>
    </row>
    <row r="31340" spans="6:6">
      <c r="F31340" s="2423"/>
    </row>
    <row r="31341" spans="6:6">
      <c r="F31341" s="2423"/>
    </row>
    <row r="31342" spans="6:6">
      <c r="F31342" s="2423"/>
    </row>
    <row r="31343" spans="6:6">
      <c r="F31343" s="2423"/>
    </row>
    <row r="31344" spans="6:6">
      <c r="F31344" s="2423"/>
    </row>
    <row r="31345" spans="6:6">
      <c r="F31345" s="2423"/>
    </row>
    <row r="31346" spans="6:6">
      <c r="F31346" s="2423"/>
    </row>
    <row r="31347" spans="6:6">
      <c r="F31347" s="2423"/>
    </row>
    <row r="31348" spans="6:6">
      <c r="F31348" s="2423"/>
    </row>
    <row r="31349" spans="6:6">
      <c r="F31349" s="2423"/>
    </row>
    <row r="31350" spans="6:6">
      <c r="F31350" s="2423"/>
    </row>
    <row r="31351" spans="6:6">
      <c r="F31351" s="2423"/>
    </row>
    <row r="31352" spans="6:6">
      <c r="F31352" s="2423"/>
    </row>
    <row r="31353" spans="6:6">
      <c r="F31353" s="2423"/>
    </row>
    <row r="31354" spans="6:6">
      <c r="F31354" s="2423"/>
    </row>
    <row r="31355" spans="6:6">
      <c r="F31355" s="2423"/>
    </row>
    <row r="31356" spans="6:6">
      <c r="F31356" s="2423"/>
    </row>
    <row r="31357" spans="6:6">
      <c r="F31357" s="2423"/>
    </row>
    <row r="31358" spans="6:6">
      <c r="F31358" s="2423"/>
    </row>
    <row r="31359" spans="6:6">
      <c r="F31359" s="2423"/>
    </row>
    <row r="31360" spans="6:6">
      <c r="F31360" s="2423"/>
    </row>
    <row r="31361" spans="6:6">
      <c r="F31361" s="2423"/>
    </row>
    <row r="31362" spans="6:6">
      <c r="F31362" s="2423"/>
    </row>
    <row r="31363" spans="6:6">
      <c r="F31363" s="2423"/>
    </row>
    <row r="31364" spans="6:6">
      <c r="F31364" s="2423"/>
    </row>
    <row r="31365" spans="6:6">
      <c r="F31365" s="2423"/>
    </row>
    <row r="31366" spans="6:6">
      <c r="F31366" s="2423"/>
    </row>
    <row r="31367" spans="6:6">
      <c r="F31367" s="2423"/>
    </row>
    <row r="31368" spans="6:6">
      <c r="F31368" s="2423"/>
    </row>
    <row r="31369" spans="6:6">
      <c r="F31369" s="2423"/>
    </row>
    <row r="31370" spans="6:6">
      <c r="F31370" s="2423"/>
    </row>
    <row r="31371" spans="6:6">
      <c r="F31371" s="2423"/>
    </row>
    <row r="31372" spans="6:6">
      <c r="F31372" s="2423"/>
    </row>
    <row r="31373" spans="6:6">
      <c r="F31373" s="2423"/>
    </row>
    <row r="31374" spans="6:6">
      <c r="F31374" s="2423"/>
    </row>
    <row r="31375" spans="6:6">
      <c r="F31375" s="2423"/>
    </row>
    <row r="31376" spans="6:6">
      <c r="F31376" s="2423"/>
    </row>
    <row r="31377" spans="6:6">
      <c r="F31377" s="2423"/>
    </row>
    <row r="31378" spans="6:6">
      <c r="F31378" s="2423"/>
    </row>
    <row r="31379" spans="6:6">
      <c r="F31379" s="2423"/>
    </row>
    <row r="31380" spans="6:6">
      <c r="F31380" s="2423"/>
    </row>
    <row r="31381" spans="6:6">
      <c r="F31381" s="2423"/>
    </row>
    <row r="31382" spans="6:6">
      <c r="F31382" s="2423"/>
    </row>
    <row r="31383" spans="6:6">
      <c r="F31383" s="2423"/>
    </row>
    <row r="31384" spans="6:6">
      <c r="F31384" s="2423"/>
    </row>
    <row r="31385" spans="6:6">
      <c r="F31385" s="2423"/>
    </row>
    <row r="31386" spans="6:6">
      <c r="F31386" s="2423"/>
    </row>
    <row r="31387" spans="6:6">
      <c r="F31387" s="2423"/>
    </row>
    <row r="31388" spans="6:6">
      <c r="F31388" s="2423"/>
    </row>
    <row r="31389" spans="6:6">
      <c r="F31389" s="2423"/>
    </row>
    <row r="31390" spans="6:6">
      <c r="F31390" s="2423"/>
    </row>
    <row r="31391" spans="6:6">
      <c r="F31391" s="2423"/>
    </row>
    <row r="31392" spans="6:6">
      <c r="F31392" s="2423"/>
    </row>
    <row r="31393" spans="6:6">
      <c r="F31393" s="2423"/>
    </row>
    <row r="31394" spans="6:6">
      <c r="F31394" s="2423"/>
    </row>
    <row r="31395" spans="6:6">
      <c r="F31395" s="2423"/>
    </row>
    <row r="31396" spans="6:6">
      <c r="F31396" s="2423"/>
    </row>
    <row r="31397" spans="6:6">
      <c r="F31397" s="2423"/>
    </row>
    <row r="31398" spans="6:6">
      <c r="F31398" s="2423"/>
    </row>
    <row r="31399" spans="6:6">
      <c r="F31399" s="2423"/>
    </row>
    <row r="31400" spans="6:6">
      <c r="F31400" s="2423"/>
    </row>
    <row r="31401" spans="6:6">
      <c r="F31401" s="2423"/>
    </row>
    <row r="31402" spans="6:6">
      <c r="F31402" s="2423"/>
    </row>
    <row r="31403" spans="6:6">
      <c r="F31403" s="2423"/>
    </row>
    <row r="31404" spans="6:6">
      <c r="F31404" s="2423"/>
    </row>
    <row r="31405" spans="6:6">
      <c r="F31405" s="2423"/>
    </row>
    <row r="31406" spans="6:6">
      <c r="F31406" s="2423"/>
    </row>
    <row r="31407" spans="6:6">
      <c r="F31407" s="2423"/>
    </row>
    <row r="31408" spans="6:6">
      <c r="F31408" s="2423"/>
    </row>
    <row r="31409" spans="6:6">
      <c r="F31409" s="2423"/>
    </row>
    <row r="31410" spans="6:6">
      <c r="F31410" s="2423"/>
    </row>
    <row r="31411" spans="6:6">
      <c r="F31411" s="2423"/>
    </row>
    <row r="31412" spans="6:6">
      <c r="F31412" s="2423"/>
    </row>
    <row r="31413" spans="6:6">
      <c r="F31413" s="2423"/>
    </row>
    <row r="31414" spans="6:6">
      <c r="F31414" s="2423"/>
    </row>
    <row r="31415" spans="6:6">
      <c r="F31415" s="2423"/>
    </row>
    <row r="31416" spans="6:6">
      <c r="F31416" s="2423"/>
    </row>
    <row r="31417" spans="6:6">
      <c r="F31417" s="2423"/>
    </row>
    <row r="31418" spans="6:6">
      <c r="F31418" s="2423"/>
    </row>
    <row r="31419" spans="6:6">
      <c r="F31419" s="2423"/>
    </row>
    <row r="31420" spans="6:6">
      <c r="F31420" s="2423"/>
    </row>
    <row r="31421" spans="6:6">
      <c r="F31421" s="2423"/>
    </row>
    <row r="31422" spans="6:6">
      <c r="F31422" s="2423"/>
    </row>
    <row r="31423" spans="6:6">
      <c r="F31423" s="2423"/>
    </row>
    <row r="31424" spans="6:6">
      <c r="F31424" s="2423"/>
    </row>
    <row r="31425" spans="6:6">
      <c r="F31425" s="2423"/>
    </row>
    <row r="31426" spans="6:6">
      <c r="F31426" s="2423"/>
    </row>
    <row r="31427" spans="6:6">
      <c r="F31427" s="2423"/>
    </row>
    <row r="31428" spans="6:6">
      <c r="F31428" s="2423"/>
    </row>
    <row r="31429" spans="6:6">
      <c r="F31429" s="2423"/>
    </row>
    <row r="31430" spans="6:6">
      <c r="F31430" s="2423"/>
    </row>
    <row r="31431" spans="6:6">
      <c r="F31431" s="2423"/>
    </row>
    <row r="31432" spans="6:6">
      <c r="F31432" s="2423"/>
    </row>
    <row r="31433" spans="6:6">
      <c r="F31433" s="2423"/>
    </row>
    <row r="31434" spans="6:6">
      <c r="F31434" s="2423"/>
    </row>
    <row r="31435" spans="6:6">
      <c r="F31435" s="2423"/>
    </row>
    <row r="31436" spans="6:6">
      <c r="F31436" s="2423"/>
    </row>
    <row r="31437" spans="6:6">
      <c r="F31437" s="2423"/>
    </row>
    <row r="31438" spans="6:6">
      <c r="F31438" s="2423"/>
    </row>
    <row r="31439" spans="6:6">
      <c r="F31439" s="2423"/>
    </row>
    <row r="31440" spans="6:6">
      <c r="F31440" s="2423"/>
    </row>
    <row r="31441" spans="6:6">
      <c r="F31441" s="2423"/>
    </row>
    <row r="31442" spans="6:6">
      <c r="F31442" s="2423"/>
    </row>
    <row r="31443" spans="6:6">
      <c r="F31443" s="2423"/>
    </row>
    <row r="31444" spans="6:6">
      <c r="F31444" s="2423"/>
    </row>
    <row r="31445" spans="6:6">
      <c r="F31445" s="2423"/>
    </row>
    <row r="31446" spans="6:6">
      <c r="F31446" s="2423"/>
    </row>
    <row r="31447" spans="6:6">
      <c r="F31447" s="2423"/>
    </row>
    <row r="31448" spans="6:6">
      <c r="F31448" s="2423"/>
    </row>
    <row r="31449" spans="6:6">
      <c r="F31449" s="2423"/>
    </row>
    <row r="31450" spans="6:6">
      <c r="F31450" s="2423"/>
    </row>
    <row r="31451" spans="6:6">
      <c r="F31451" s="2423"/>
    </row>
    <row r="31452" spans="6:6">
      <c r="F31452" s="2423"/>
    </row>
    <row r="31453" spans="6:6">
      <c r="F31453" s="2423"/>
    </row>
    <row r="31454" spans="6:6">
      <c r="F31454" s="2423"/>
    </row>
    <row r="31455" spans="6:6">
      <c r="F31455" s="2423"/>
    </row>
    <row r="31456" spans="6:6">
      <c r="F31456" s="2423"/>
    </row>
    <row r="31457" spans="6:6">
      <c r="F31457" s="2423"/>
    </row>
    <row r="31458" spans="6:6">
      <c r="F31458" s="2423"/>
    </row>
    <row r="31459" spans="6:6">
      <c r="F31459" s="2423"/>
    </row>
    <row r="31460" spans="6:6">
      <c r="F31460" s="2423"/>
    </row>
    <row r="31461" spans="6:6">
      <c r="F31461" s="2423"/>
    </row>
    <row r="31462" spans="6:6">
      <c r="F31462" s="2423"/>
    </row>
    <row r="31463" spans="6:6">
      <c r="F31463" s="2423"/>
    </row>
    <row r="31464" spans="6:6">
      <c r="F31464" s="2423"/>
    </row>
    <row r="31465" spans="6:6">
      <c r="F31465" s="2423"/>
    </row>
    <row r="31466" spans="6:6">
      <c r="F31466" s="2423"/>
    </row>
    <row r="31467" spans="6:6">
      <c r="F31467" s="2423"/>
    </row>
    <row r="31468" spans="6:6">
      <c r="F31468" s="2423"/>
    </row>
    <row r="31469" spans="6:6">
      <c r="F31469" s="2423"/>
    </row>
    <row r="31470" spans="6:6">
      <c r="F31470" s="2423"/>
    </row>
    <row r="31471" spans="6:6">
      <c r="F31471" s="2423"/>
    </row>
    <row r="31472" spans="6:6">
      <c r="F31472" s="2423"/>
    </row>
    <row r="31473" spans="6:6">
      <c r="F31473" s="2423"/>
    </row>
    <row r="31474" spans="6:6">
      <c r="F31474" s="2423"/>
    </row>
    <row r="31475" spans="6:6">
      <c r="F31475" s="2423"/>
    </row>
    <row r="31476" spans="6:6">
      <c r="F31476" s="2423"/>
    </row>
    <row r="31477" spans="6:6">
      <c r="F31477" s="2423"/>
    </row>
    <row r="31478" spans="6:6">
      <c r="F31478" s="2423"/>
    </row>
    <row r="31479" spans="6:6">
      <c r="F31479" s="2423"/>
    </row>
    <row r="31480" spans="6:6">
      <c r="F31480" s="2423"/>
    </row>
    <row r="31481" spans="6:6">
      <c r="F31481" s="2423"/>
    </row>
    <row r="31482" spans="6:6">
      <c r="F31482" s="2423"/>
    </row>
    <row r="31483" spans="6:6">
      <c r="F31483" s="2423"/>
    </row>
    <row r="31484" spans="6:6">
      <c r="F31484" s="2423"/>
    </row>
    <row r="31485" spans="6:6">
      <c r="F31485" s="2423"/>
    </row>
    <row r="31486" spans="6:6">
      <c r="F31486" s="2423"/>
    </row>
    <row r="31487" spans="6:6">
      <c r="F31487" s="2423"/>
    </row>
    <row r="31488" spans="6:6">
      <c r="F31488" s="2423"/>
    </row>
    <row r="31489" spans="6:6">
      <c r="F31489" s="2423"/>
    </row>
    <row r="31490" spans="6:6">
      <c r="F31490" s="2423"/>
    </row>
    <row r="31491" spans="6:6">
      <c r="F31491" s="2423"/>
    </row>
    <row r="31492" spans="6:6">
      <c r="F31492" s="2423"/>
    </row>
    <row r="31493" spans="6:6">
      <c r="F31493" s="2423"/>
    </row>
    <row r="31494" spans="6:6">
      <c r="F31494" s="2423"/>
    </row>
    <row r="31495" spans="6:6">
      <c r="F31495" s="2423"/>
    </row>
    <row r="31496" spans="6:6">
      <c r="F31496" s="2423"/>
    </row>
    <row r="31497" spans="6:6">
      <c r="F31497" s="2423"/>
    </row>
    <row r="31498" spans="6:6">
      <c r="F31498" s="2423"/>
    </row>
    <row r="31499" spans="6:6">
      <c r="F31499" s="2423"/>
    </row>
    <row r="31500" spans="6:6">
      <c r="F31500" s="2423"/>
    </row>
    <row r="31501" spans="6:6">
      <c r="F31501" s="2423"/>
    </row>
    <row r="31502" spans="6:6">
      <c r="F31502" s="2423"/>
    </row>
    <row r="31503" spans="6:6">
      <c r="F31503" s="2423"/>
    </row>
    <row r="31504" spans="6:6">
      <c r="F31504" s="2423"/>
    </row>
    <row r="31505" spans="6:6">
      <c r="F31505" s="2423"/>
    </row>
    <row r="31506" spans="6:6">
      <c r="F31506" s="2423"/>
    </row>
    <row r="31507" spans="6:6">
      <c r="F31507" s="2423"/>
    </row>
    <row r="31508" spans="6:6">
      <c r="F31508" s="2423"/>
    </row>
    <row r="31509" spans="6:6">
      <c r="F31509" s="2423"/>
    </row>
    <row r="31510" spans="6:6">
      <c r="F31510" s="2423"/>
    </row>
    <row r="31511" spans="6:6">
      <c r="F31511" s="2423"/>
    </row>
    <row r="31512" spans="6:6">
      <c r="F31512" s="2423"/>
    </row>
    <row r="31513" spans="6:6">
      <c r="F31513" s="2423"/>
    </row>
    <row r="31514" spans="6:6">
      <c r="F31514" s="2423"/>
    </row>
    <row r="31515" spans="6:6">
      <c r="F31515" s="2423"/>
    </row>
    <row r="31516" spans="6:6">
      <c r="F31516" s="2423"/>
    </row>
    <row r="31517" spans="6:6">
      <c r="F31517" s="2423"/>
    </row>
    <row r="31518" spans="6:6">
      <c r="F31518" s="2423"/>
    </row>
    <row r="31519" spans="6:6">
      <c r="F31519" s="2423"/>
    </row>
    <row r="31520" spans="6:6">
      <c r="F31520" s="2423"/>
    </row>
    <row r="31521" spans="6:6">
      <c r="F31521" s="2423"/>
    </row>
    <row r="31522" spans="6:6">
      <c r="F31522" s="2423"/>
    </row>
    <row r="31523" spans="6:6">
      <c r="F31523" s="2423"/>
    </row>
    <row r="31524" spans="6:6">
      <c r="F31524" s="2423"/>
    </row>
    <row r="31525" spans="6:6">
      <c r="F31525" s="2423"/>
    </row>
    <row r="31526" spans="6:6">
      <c r="F31526" s="2423"/>
    </row>
    <row r="31527" spans="6:6">
      <c r="F31527" s="2423"/>
    </row>
    <row r="31528" spans="6:6">
      <c r="F31528" s="2423"/>
    </row>
    <row r="31529" spans="6:6">
      <c r="F31529" s="2423"/>
    </row>
    <row r="31530" spans="6:6">
      <c r="F31530" s="2423"/>
    </row>
    <row r="31531" spans="6:6">
      <c r="F31531" s="2423"/>
    </row>
    <row r="31532" spans="6:6">
      <c r="F31532" s="2423"/>
    </row>
    <row r="31533" spans="6:6">
      <c r="F31533" s="2423"/>
    </row>
    <row r="31534" spans="6:6">
      <c r="F31534" s="2423"/>
    </row>
    <row r="31535" spans="6:6">
      <c r="F31535" s="2423"/>
    </row>
    <row r="31536" spans="6:6">
      <c r="F31536" s="2423"/>
    </row>
    <row r="31537" spans="6:6">
      <c r="F31537" s="2423"/>
    </row>
    <row r="31538" spans="6:6">
      <c r="F31538" s="2423"/>
    </row>
    <row r="31539" spans="6:6">
      <c r="F31539" s="2423"/>
    </row>
    <row r="31540" spans="6:6">
      <c r="F31540" s="2423"/>
    </row>
    <row r="31541" spans="6:6">
      <c r="F31541" s="2423"/>
    </row>
    <row r="31542" spans="6:6">
      <c r="F31542" s="2423"/>
    </row>
    <row r="31543" spans="6:6">
      <c r="F31543" s="2423"/>
    </row>
    <row r="31544" spans="6:6">
      <c r="F31544" s="2423"/>
    </row>
    <row r="31545" spans="6:6">
      <c r="F31545" s="2423"/>
    </row>
    <row r="31546" spans="6:6">
      <c r="F31546" s="2423"/>
    </row>
    <row r="31547" spans="6:6">
      <c r="F31547" s="2423"/>
    </row>
    <row r="31548" spans="6:6">
      <c r="F31548" s="2423"/>
    </row>
    <row r="31549" spans="6:6">
      <c r="F31549" s="2423"/>
    </row>
    <row r="31550" spans="6:6">
      <c r="F31550" s="2423"/>
    </row>
    <row r="31551" spans="6:6">
      <c r="F31551" s="2423"/>
    </row>
    <row r="31552" spans="6:6">
      <c r="F31552" s="2423"/>
    </row>
    <row r="31553" spans="6:6">
      <c r="F31553" s="2423"/>
    </row>
    <row r="31554" spans="6:6">
      <c r="F31554" s="2423"/>
    </row>
    <row r="31555" spans="6:6">
      <c r="F31555" s="2423"/>
    </row>
    <row r="31556" spans="6:6">
      <c r="F31556" s="2423"/>
    </row>
    <row r="31557" spans="6:6">
      <c r="F31557" s="2423"/>
    </row>
    <row r="31558" spans="6:6">
      <c r="F31558" s="2423"/>
    </row>
    <row r="31559" spans="6:6">
      <c r="F31559" s="2423"/>
    </row>
    <row r="31560" spans="6:6">
      <c r="F31560" s="2423"/>
    </row>
    <row r="31561" spans="6:6">
      <c r="F31561" s="2423"/>
    </row>
    <row r="31562" spans="6:6">
      <c r="F31562" s="2423"/>
    </row>
    <row r="31563" spans="6:6">
      <c r="F31563" s="2423"/>
    </row>
    <row r="31564" spans="6:6">
      <c r="F31564" s="2423"/>
    </row>
    <row r="31565" spans="6:6">
      <c r="F31565" s="2423"/>
    </row>
    <row r="31566" spans="6:6">
      <c r="F31566" s="2423"/>
    </row>
    <row r="31567" spans="6:6">
      <c r="F31567" s="2423"/>
    </row>
    <row r="31568" spans="6:6">
      <c r="F31568" s="2423"/>
    </row>
    <row r="31569" spans="6:6">
      <c r="F31569" s="2423"/>
    </row>
    <row r="31570" spans="6:6">
      <c r="F31570" s="2423"/>
    </row>
    <row r="31571" spans="6:6">
      <c r="F31571" s="2423"/>
    </row>
    <row r="31572" spans="6:6">
      <c r="F31572" s="2423"/>
    </row>
    <row r="31573" spans="6:6">
      <c r="F31573" s="2423"/>
    </row>
    <row r="31574" spans="6:6">
      <c r="F31574" s="2423"/>
    </row>
    <row r="31575" spans="6:6">
      <c r="F31575" s="2423"/>
    </row>
    <row r="31576" spans="6:6">
      <c r="F31576" s="2423"/>
    </row>
    <row r="31577" spans="6:6">
      <c r="F31577" s="2423"/>
    </row>
    <row r="31578" spans="6:6">
      <c r="F31578" s="2423"/>
    </row>
    <row r="31579" spans="6:6">
      <c r="F31579" s="2423"/>
    </row>
    <row r="31580" spans="6:6">
      <c r="F31580" s="2423"/>
    </row>
    <row r="31581" spans="6:6">
      <c r="F31581" s="2423"/>
    </row>
    <row r="31582" spans="6:6">
      <c r="F31582" s="2423"/>
    </row>
    <row r="31583" spans="6:6">
      <c r="F31583" s="2423"/>
    </row>
    <row r="31584" spans="6:6">
      <c r="F31584" s="2423"/>
    </row>
    <row r="31585" spans="6:6">
      <c r="F31585" s="2423"/>
    </row>
    <row r="31586" spans="6:6">
      <c r="F31586" s="2423"/>
    </row>
    <row r="31587" spans="6:6">
      <c r="F31587" s="2423"/>
    </row>
    <row r="31588" spans="6:6">
      <c r="F31588" s="2423"/>
    </row>
    <row r="31589" spans="6:6">
      <c r="F31589" s="2423"/>
    </row>
    <row r="31590" spans="6:6">
      <c r="F31590" s="2423"/>
    </row>
    <row r="31591" spans="6:6">
      <c r="F31591" s="2423"/>
    </row>
    <row r="31592" spans="6:6">
      <c r="F31592" s="2423"/>
    </row>
    <row r="31593" spans="6:6">
      <c r="F31593" s="2423"/>
    </row>
    <row r="31594" spans="6:6">
      <c r="F31594" s="2423"/>
    </row>
    <row r="31595" spans="6:6">
      <c r="F31595" s="2423"/>
    </row>
    <row r="31596" spans="6:6">
      <c r="F31596" s="2423"/>
    </row>
    <row r="31597" spans="6:6">
      <c r="F31597" s="2423"/>
    </row>
    <row r="31598" spans="6:6">
      <c r="F31598" s="2423"/>
    </row>
    <row r="31599" spans="6:6">
      <c r="F31599" s="2423"/>
    </row>
    <row r="31600" spans="6:6">
      <c r="F31600" s="2423"/>
    </row>
    <row r="31601" spans="6:6">
      <c r="F31601" s="2423"/>
    </row>
    <row r="31602" spans="6:6">
      <c r="F31602" s="2423"/>
    </row>
    <row r="31603" spans="6:6">
      <c r="F31603" s="2423"/>
    </row>
    <row r="31604" spans="6:6">
      <c r="F31604" s="2423"/>
    </row>
    <row r="31605" spans="6:6">
      <c r="F31605" s="2423"/>
    </row>
    <row r="31606" spans="6:6">
      <c r="F31606" s="2423"/>
    </row>
    <row r="31607" spans="6:6">
      <c r="F31607" s="2423"/>
    </row>
    <row r="31608" spans="6:6">
      <c r="F31608" s="2423"/>
    </row>
    <row r="31609" spans="6:6">
      <c r="F31609" s="2423"/>
    </row>
    <row r="31610" spans="6:6">
      <c r="F31610" s="2423"/>
    </row>
    <row r="31611" spans="6:6">
      <c r="F31611" s="2423"/>
    </row>
    <row r="31612" spans="6:6">
      <c r="F31612" s="2423"/>
    </row>
    <row r="31613" spans="6:6">
      <c r="F31613" s="2423"/>
    </row>
    <row r="31614" spans="6:6">
      <c r="F31614" s="2423"/>
    </row>
    <row r="31615" spans="6:6">
      <c r="F31615" s="2423"/>
    </row>
    <row r="31616" spans="6:6">
      <c r="F31616" s="2423"/>
    </row>
    <row r="31617" spans="6:6">
      <c r="F31617" s="2423"/>
    </row>
    <row r="31618" spans="6:6">
      <c r="F31618" s="2423"/>
    </row>
    <row r="31619" spans="6:6">
      <c r="F31619" s="2423"/>
    </row>
    <row r="31620" spans="6:6">
      <c r="F31620" s="2423"/>
    </row>
    <row r="31621" spans="6:6">
      <c r="F31621" s="2423"/>
    </row>
    <row r="31622" spans="6:6">
      <c r="F31622" s="2423"/>
    </row>
    <row r="31623" spans="6:6">
      <c r="F31623" s="2423"/>
    </row>
    <row r="31624" spans="6:6">
      <c r="F31624" s="2423"/>
    </row>
    <row r="31625" spans="6:6">
      <c r="F31625" s="2423"/>
    </row>
    <row r="31626" spans="6:6">
      <c r="F31626" s="2423"/>
    </row>
    <row r="31627" spans="6:6">
      <c r="F31627" s="2423"/>
    </row>
    <row r="31628" spans="6:6">
      <c r="F31628" s="2423"/>
    </row>
    <row r="31629" spans="6:6">
      <c r="F31629" s="2423"/>
    </row>
    <row r="31630" spans="6:6">
      <c r="F31630" s="2423"/>
    </row>
    <row r="31631" spans="6:6">
      <c r="F31631" s="2423"/>
    </row>
    <row r="31632" spans="6:6">
      <c r="F31632" s="2423"/>
    </row>
    <row r="31633" spans="6:6">
      <c r="F31633" s="2423"/>
    </row>
    <row r="31634" spans="6:6">
      <c r="F31634" s="2423"/>
    </row>
    <row r="31635" spans="6:6">
      <c r="F31635" s="2423"/>
    </row>
    <row r="31636" spans="6:6">
      <c r="F31636" s="2423"/>
    </row>
    <row r="31637" spans="6:6">
      <c r="F31637" s="2423"/>
    </row>
    <row r="31638" spans="6:6">
      <c r="F31638" s="2423"/>
    </row>
    <row r="31639" spans="6:6">
      <c r="F31639" s="2423"/>
    </row>
    <row r="31640" spans="6:6">
      <c r="F31640" s="2423"/>
    </row>
    <row r="31641" spans="6:6">
      <c r="F31641" s="2423"/>
    </row>
    <row r="31642" spans="6:6">
      <c r="F31642" s="2423"/>
    </row>
    <row r="31643" spans="6:6">
      <c r="F31643" s="2423"/>
    </row>
    <row r="31644" spans="6:6">
      <c r="F31644" s="2423"/>
    </row>
    <row r="31645" spans="6:6">
      <c r="F31645" s="2423"/>
    </row>
    <row r="31646" spans="6:6">
      <c r="F31646" s="2423"/>
    </row>
    <row r="31647" spans="6:6">
      <c r="F31647" s="2423"/>
    </row>
    <row r="31648" spans="6:6">
      <c r="F31648" s="2423"/>
    </row>
    <row r="31649" spans="6:6">
      <c r="F31649" s="2423"/>
    </row>
    <row r="31650" spans="6:6">
      <c r="F31650" s="2423"/>
    </row>
    <row r="31651" spans="6:6">
      <c r="F31651" s="2423"/>
    </row>
    <row r="31652" spans="6:6">
      <c r="F31652" s="2423"/>
    </row>
    <row r="31653" spans="6:6">
      <c r="F31653" s="2423"/>
    </row>
    <row r="31654" spans="6:6">
      <c r="F31654" s="2423"/>
    </row>
    <row r="31655" spans="6:6">
      <c r="F31655" s="2423"/>
    </row>
    <row r="31656" spans="6:6">
      <c r="F31656" s="2423"/>
    </row>
    <row r="31657" spans="6:6">
      <c r="F31657" s="2423"/>
    </row>
    <row r="31658" spans="6:6">
      <c r="F31658" s="2423"/>
    </row>
    <row r="31659" spans="6:6">
      <c r="F31659" s="2423"/>
    </row>
    <row r="31660" spans="6:6">
      <c r="F31660" s="2423"/>
    </row>
    <row r="31661" spans="6:6">
      <c r="F31661" s="2423"/>
    </row>
    <row r="31662" spans="6:6">
      <c r="F31662" s="2423"/>
    </row>
    <row r="31663" spans="6:6">
      <c r="F31663" s="2423"/>
    </row>
    <row r="31664" spans="6:6">
      <c r="F31664" s="2423"/>
    </row>
    <row r="31665" spans="6:6">
      <c r="F31665" s="2423"/>
    </row>
    <row r="31666" spans="6:6">
      <c r="F31666" s="2423"/>
    </row>
    <row r="31667" spans="6:6">
      <c r="F31667" s="2423"/>
    </row>
    <row r="31668" spans="6:6">
      <c r="F31668" s="2423"/>
    </row>
    <row r="31669" spans="6:6">
      <c r="F31669" s="2423"/>
    </row>
    <row r="31670" spans="6:6">
      <c r="F31670" s="2423"/>
    </row>
    <row r="31671" spans="6:6">
      <c r="F31671" s="2423"/>
    </row>
    <row r="31672" spans="6:6">
      <c r="F31672" s="2423"/>
    </row>
    <row r="31673" spans="6:6">
      <c r="F31673" s="2423"/>
    </row>
    <row r="31674" spans="6:6">
      <c r="F31674" s="2423"/>
    </row>
    <row r="31675" spans="6:6">
      <c r="F31675" s="2423"/>
    </row>
    <row r="31676" spans="6:6">
      <c r="F31676" s="2423"/>
    </row>
    <row r="31677" spans="6:6">
      <c r="F31677" s="2423"/>
    </row>
    <row r="31678" spans="6:6">
      <c r="F31678" s="2423"/>
    </row>
    <row r="31679" spans="6:6">
      <c r="F31679" s="2423"/>
    </row>
    <row r="31680" spans="6:6">
      <c r="F31680" s="2423"/>
    </row>
    <row r="31681" spans="6:6">
      <c r="F31681" s="2423"/>
    </row>
    <row r="31682" spans="6:6">
      <c r="F31682" s="2423"/>
    </row>
    <row r="31683" spans="6:6">
      <c r="F31683" s="2423"/>
    </row>
    <row r="31684" spans="6:6">
      <c r="F31684" s="2423"/>
    </row>
    <row r="31685" spans="6:6">
      <c r="F31685" s="2423"/>
    </row>
    <row r="31686" spans="6:6">
      <c r="F31686" s="2423"/>
    </row>
    <row r="31687" spans="6:6">
      <c r="F31687" s="2423"/>
    </row>
    <row r="31688" spans="6:6">
      <c r="F31688" s="2423"/>
    </row>
    <row r="31689" spans="6:6">
      <c r="F31689" s="2423"/>
    </row>
    <row r="31690" spans="6:6">
      <c r="F31690" s="2423"/>
    </row>
    <row r="31691" spans="6:6">
      <c r="F31691" s="2423"/>
    </row>
    <row r="31692" spans="6:6">
      <c r="F31692" s="2423"/>
    </row>
    <row r="31693" spans="6:6">
      <c r="F31693" s="2423"/>
    </row>
    <row r="31694" spans="6:6">
      <c r="F31694" s="2423"/>
    </row>
    <row r="31695" spans="6:6">
      <c r="F31695" s="2423"/>
    </row>
    <row r="31696" spans="6:6">
      <c r="F31696" s="2423"/>
    </row>
    <row r="31697" spans="6:6">
      <c r="F31697" s="2423"/>
    </row>
    <row r="31698" spans="6:6">
      <c r="F31698" s="2423"/>
    </row>
    <row r="31699" spans="6:6">
      <c r="F31699" s="2423"/>
    </row>
    <row r="31700" spans="6:6">
      <c r="F31700" s="2423"/>
    </row>
    <row r="31701" spans="6:6">
      <c r="F31701" s="2423"/>
    </row>
    <row r="31702" spans="6:6">
      <c r="F31702" s="2423"/>
    </row>
    <row r="31703" spans="6:6">
      <c r="F31703" s="2423"/>
    </row>
    <row r="31704" spans="6:6">
      <c r="F31704" s="2423"/>
    </row>
    <row r="31705" spans="6:6">
      <c r="F31705" s="2423"/>
    </row>
    <row r="31706" spans="6:6">
      <c r="F31706" s="2423"/>
    </row>
    <row r="31707" spans="6:6">
      <c r="F31707" s="2423"/>
    </row>
    <row r="31708" spans="6:6">
      <c r="F31708" s="2423"/>
    </row>
    <row r="31709" spans="6:6">
      <c r="F31709" s="2423"/>
    </row>
    <row r="31710" spans="6:6">
      <c r="F31710" s="2423"/>
    </row>
    <row r="31711" spans="6:6">
      <c r="F31711" s="2423"/>
    </row>
    <row r="31712" spans="6:6">
      <c r="F31712" s="2423"/>
    </row>
    <row r="31713" spans="6:6">
      <c r="F31713" s="2423"/>
    </row>
    <row r="31714" spans="6:6">
      <c r="F31714" s="2423"/>
    </row>
    <row r="31715" spans="6:6">
      <c r="F31715" s="2423"/>
    </row>
    <row r="31716" spans="6:6">
      <c r="F31716" s="2423"/>
    </row>
    <row r="31717" spans="6:6">
      <c r="F31717" s="2423"/>
    </row>
    <row r="31718" spans="6:6">
      <c r="F31718" s="2423"/>
    </row>
    <row r="31719" spans="6:6">
      <c r="F31719" s="2423"/>
    </row>
    <row r="31720" spans="6:6">
      <c r="F31720" s="2423"/>
    </row>
    <row r="31721" spans="6:6">
      <c r="F31721" s="2423"/>
    </row>
    <row r="31722" spans="6:6">
      <c r="F31722" s="2423"/>
    </row>
    <row r="31723" spans="6:6">
      <c r="F31723" s="2423"/>
    </row>
    <row r="31724" spans="6:6">
      <c r="F31724" s="2423"/>
    </row>
    <row r="31725" spans="6:6">
      <c r="F31725" s="2423"/>
    </row>
    <row r="31726" spans="6:6">
      <c r="F31726" s="2423"/>
    </row>
    <row r="31727" spans="6:6">
      <c r="F31727" s="2423"/>
    </row>
    <row r="31728" spans="6:6">
      <c r="F31728" s="2423"/>
    </row>
    <row r="31729" spans="6:6">
      <c r="F31729" s="2423"/>
    </row>
    <row r="31730" spans="6:6">
      <c r="F31730" s="2423"/>
    </row>
    <row r="31731" spans="6:6">
      <c r="F31731" s="2423"/>
    </row>
    <row r="31732" spans="6:6">
      <c r="F31732" s="2423"/>
    </row>
    <row r="31733" spans="6:6">
      <c r="F31733" s="2423"/>
    </row>
    <row r="31734" spans="6:6">
      <c r="F31734" s="2423"/>
    </row>
    <row r="31735" spans="6:6">
      <c r="F31735" s="2423"/>
    </row>
    <row r="31736" spans="6:6">
      <c r="F31736" s="2423"/>
    </row>
    <row r="31737" spans="6:6">
      <c r="F31737" s="2423"/>
    </row>
    <row r="31738" spans="6:6">
      <c r="F31738" s="2423"/>
    </row>
    <row r="31739" spans="6:6">
      <c r="F31739" s="2423"/>
    </row>
    <row r="31740" spans="6:6">
      <c r="F31740" s="2423"/>
    </row>
    <row r="31741" spans="6:6">
      <c r="F31741" s="2423"/>
    </row>
    <row r="31742" spans="6:6">
      <c r="F31742" s="2423"/>
    </row>
    <row r="31743" spans="6:6">
      <c r="F31743" s="2423"/>
    </row>
    <row r="31744" spans="6:6">
      <c r="F31744" s="2423"/>
    </row>
    <row r="31745" spans="6:6">
      <c r="F31745" s="2423"/>
    </row>
    <row r="31746" spans="6:6">
      <c r="F31746" s="2423"/>
    </row>
    <row r="31747" spans="6:6">
      <c r="F31747" s="2423"/>
    </row>
    <row r="31748" spans="6:6">
      <c r="F31748" s="2423"/>
    </row>
    <row r="31749" spans="6:6">
      <c r="F31749" s="2423"/>
    </row>
    <row r="31750" spans="6:6">
      <c r="F31750" s="2423"/>
    </row>
    <row r="31751" spans="6:6">
      <c r="F31751" s="2423"/>
    </row>
    <row r="31752" spans="6:6">
      <c r="F31752" s="2423"/>
    </row>
    <row r="31753" spans="6:6">
      <c r="F31753" s="2423"/>
    </row>
    <row r="31754" spans="6:6">
      <c r="F31754" s="2423"/>
    </row>
    <row r="31755" spans="6:6">
      <c r="F31755" s="2423"/>
    </row>
    <row r="31756" spans="6:6">
      <c r="F31756" s="2423"/>
    </row>
    <row r="31757" spans="6:6">
      <c r="F31757" s="2423"/>
    </row>
    <row r="31758" spans="6:6">
      <c r="F31758" s="2423"/>
    </row>
    <row r="31759" spans="6:6">
      <c r="F31759" s="2423"/>
    </row>
    <row r="31760" spans="6:6">
      <c r="F31760" s="2423"/>
    </row>
    <row r="31761" spans="6:6">
      <c r="F31761" s="2423"/>
    </row>
    <row r="31762" spans="6:6">
      <c r="F31762" s="2423"/>
    </row>
    <row r="31763" spans="6:6">
      <c r="F31763" s="2423"/>
    </row>
    <row r="31764" spans="6:6">
      <c r="F31764" s="2423"/>
    </row>
    <row r="31765" spans="6:6">
      <c r="F31765" s="2423"/>
    </row>
    <row r="31766" spans="6:6">
      <c r="F31766" s="2423"/>
    </row>
    <row r="31767" spans="6:6">
      <c r="F31767" s="2423"/>
    </row>
    <row r="31768" spans="6:6">
      <c r="F31768" s="2423"/>
    </row>
    <row r="31769" spans="6:6">
      <c r="F31769" s="2423"/>
    </row>
    <row r="31770" spans="6:6">
      <c r="F31770" s="2423"/>
    </row>
    <row r="31771" spans="6:6">
      <c r="F31771" s="2423"/>
    </row>
    <row r="31772" spans="6:6">
      <c r="F31772" s="2423"/>
    </row>
    <row r="31773" spans="6:6">
      <c r="F31773" s="2423"/>
    </row>
    <row r="31774" spans="6:6">
      <c r="F31774" s="2423"/>
    </row>
    <row r="31775" spans="6:6">
      <c r="F31775" s="2423"/>
    </row>
    <row r="31776" spans="6:6">
      <c r="F31776" s="2423"/>
    </row>
    <row r="31777" spans="6:6">
      <c r="F31777" s="2423"/>
    </row>
    <row r="31778" spans="6:6">
      <c r="F31778" s="2423"/>
    </row>
    <row r="31779" spans="6:6">
      <c r="F31779" s="2423"/>
    </row>
    <row r="31780" spans="6:6">
      <c r="F31780" s="2423"/>
    </row>
    <row r="31781" spans="6:6">
      <c r="F31781" s="2423"/>
    </row>
    <row r="31782" spans="6:6">
      <c r="F31782" s="2423"/>
    </row>
    <row r="31783" spans="6:6">
      <c r="F31783" s="2423"/>
    </row>
    <row r="31784" spans="6:6">
      <c r="F31784" s="2423"/>
    </row>
    <row r="31785" spans="6:6">
      <c r="F31785" s="2423"/>
    </row>
    <row r="31786" spans="6:6">
      <c r="F31786" s="2423"/>
    </row>
    <row r="31787" spans="6:6">
      <c r="F31787" s="2423"/>
    </row>
    <row r="31788" spans="6:6">
      <c r="F31788" s="2423"/>
    </row>
    <row r="31789" spans="6:6">
      <c r="F31789" s="2423"/>
    </row>
    <row r="31790" spans="6:6">
      <c r="F31790" s="2423"/>
    </row>
    <row r="31791" spans="6:6">
      <c r="F31791" s="2423"/>
    </row>
    <row r="31792" spans="6:6">
      <c r="F31792" s="2423"/>
    </row>
    <row r="31793" spans="6:6">
      <c r="F31793" s="2423"/>
    </row>
    <row r="31794" spans="6:6">
      <c r="F31794" s="2423"/>
    </row>
    <row r="31795" spans="6:6">
      <c r="F31795" s="2423"/>
    </row>
    <row r="31796" spans="6:6">
      <c r="F31796" s="2423"/>
    </row>
    <row r="31797" spans="6:6">
      <c r="F31797" s="2423"/>
    </row>
    <row r="31798" spans="6:6">
      <c r="F31798" s="2423"/>
    </row>
    <row r="31799" spans="6:6">
      <c r="F31799" s="2423"/>
    </row>
    <row r="31800" spans="6:6">
      <c r="F31800" s="2423"/>
    </row>
    <row r="31801" spans="6:6">
      <c r="F31801" s="2423"/>
    </row>
    <row r="31802" spans="6:6">
      <c r="F31802" s="2423"/>
    </row>
    <row r="31803" spans="6:6">
      <c r="F31803" s="2423"/>
    </row>
    <row r="31804" spans="6:6">
      <c r="F31804" s="2423"/>
    </row>
    <row r="31805" spans="6:6">
      <c r="F31805" s="2423"/>
    </row>
    <row r="31806" spans="6:6">
      <c r="F31806" s="2423"/>
    </row>
    <row r="31807" spans="6:6">
      <c r="F31807" s="2423"/>
    </row>
    <row r="31808" spans="6:6">
      <c r="F31808" s="2423"/>
    </row>
    <row r="31809" spans="6:6">
      <c r="F31809" s="2423"/>
    </row>
    <row r="31810" spans="6:6">
      <c r="F31810" s="2423"/>
    </row>
    <row r="31811" spans="6:6">
      <c r="F31811" s="2423"/>
    </row>
    <row r="31812" spans="6:6">
      <c r="F31812" s="2423"/>
    </row>
    <row r="31813" spans="6:6">
      <c r="F31813" s="2423"/>
    </row>
    <row r="31814" spans="6:6">
      <c r="F31814" s="2423"/>
    </row>
    <row r="31815" spans="6:6">
      <c r="F31815" s="2423"/>
    </row>
    <row r="31816" spans="6:6">
      <c r="F31816" s="2423"/>
    </row>
    <row r="31817" spans="6:6">
      <c r="F31817" s="2423"/>
    </row>
    <row r="31818" spans="6:6">
      <c r="F31818" s="2423"/>
    </row>
    <row r="31819" spans="6:6">
      <c r="F31819" s="2423"/>
    </row>
    <row r="31820" spans="6:6">
      <c r="F31820" s="2423"/>
    </row>
    <row r="31821" spans="6:6">
      <c r="F31821" s="2423"/>
    </row>
    <row r="31822" spans="6:6">
      <c r="F31822" s="2423"/>
    </row>
    <row r="31823" spans="6:6">
      <c r="F31823" s="2423"/>
    </row>
    <row r="31824" spans="6:6">
      <c r="F31824" s="2423"/>
    </row>
    <row r="31825" spans="6:6">
      <c r="F31825" s="2423"/>
    </row>
    <row r="31826" spans="6:6">
      <c r="F31826" s="2423"/>
    </row>
    <row r="31827" spans="6:6">
      <c r="F31827" s="2423"/>
    </row>
    <row r="31828" spans="6:6">
      <c r="F31828" s="2423"/>
    </row>
    <row r="31829" spans="6:6">
      <c r="F31829" s="2423"/>
    </row>
    <row r="31830" spans="6:6">
      <c r="F31830" s="2423"/>
    </row>
    <row r="31831" spans="6:6">
      <c r="F31831" s="2423"/>
    </row>
    <row r="31832" spans="6:6">
      <c r="F31832" s="2423"/>
    </row>
    <row r="31833" spans="6:6">
      <c r="F31833" s="2423"/>
    </row>
    <row r="31834" spans="6:6">
      <c r="F31834" s="2423"/>
    </row>
    <row r="31835" spans="6:6">
      <c r="F31835" s="2423"/>
    </row>
    <row r="31836" spans="6:6">
      <c r="F31836" s="2423"/>
    </row>
    <row r="31837" spans="6:6">
      <c r="F31837" s="2423"/>
    </row>
    <row r="31838" spans="6:6">
      <c r="F31838" s="2423"/>
    </row>
    <row r="31839" spans="6:6">
      <c r="F31839" s="2423"/>
    </row>
    <row r="31840" spans="6:6">
      <c r="F31840" s="2423"/>
    </row>
    <row r="31841" spans="6:6">
      <c r="F31841" s="2423"/>
    </row>
    <row r="31842" spans="6:6">
      <c r="F31842" s="2423"/>
    </row>
    <row r="31843" spans="6:6">
      <c r="F31843" s="2423"/>
    </row>
    <row r="31844" spans="6:6">
      <c r="F31844" s="2423"/>
    </row>
    <row r="31845" spans="6:6">
      <c r="F31845" s="2423"/>
    </row>
    <row r="31846" spans="6:6">
      <c r="F31846" s="2423"/>
    </row>
    <row r="31847" spans="6:6">
      <c r="F31847" s="2423"/>
    </row>
    <row r="31848" spans="6:6">
      <c r="F31848" s="2423"/>
    </row>
    <row r="31849" spans="6:6">
      <c r="F31849" s="2423"/>
    </row>
    <row r="31850" spans="6:6">
      <c r="F31850" s="2423"/>
    </row>
    <row r="31851" spans="6:6">
      <c r="F31851" s="2423"/>
    </row>
    <row r="31852" spans="6:6">
      <c r="F31852" s="2423"/>
    </row>
    <row r="31853" spans="6:6">
      <c r="F31853" s="2423"/>
    </row>
    <row r="31854" spans="6:6">
      <c r="F31854" s="2423"/>
    </row>
    <row r="31855" spans="6:6">
      <c r="F31855" s="2423"/>
    </row>
    <row r="31856" spans="6:6">
      <c r="F31856" s="2423"/>
    </row>
    <row r="31857" spans="6:6">
      <c r="F31857" s="2423"/>
    </row>
    <row r="31858" spans="6:6">
      <c r="F31858" s="2423"/>
    </row>
    <row r="31859" spans="6:6">
      <c r="F31859" s="2423"/>
    </row>
    <row r="31860" spans="6:6">
      <c r="F31860" s="2423"/>
    </row>
    <row r="31861" spans="6:6">
      <c r="F31861" s="2423"/>
    </row>
    <row r="31862" spans="6:6">
      <c r="F31862" s="2423"/>
    </row>
    <row r="31863" spans="6:6">
      <c r="F31863" s="2423"/>
    </row>
    <row r="31864" spans="6:6">
      <c r="F31864" s="2423"/>
    </row>
    <row r="31865" spans="6:6">
      <c r="F31865" s="2423"/>
    </row>
    <row r="31866" spans="6:6">
      <c r="F31866" s="2423"/>
    </row>
    <row r="31867" spans="6:6">
      <c r="F31867" s="2423"/>
    </row>
    <row r="31868" spans="6:6">
      <c r="F31868" s="2423"/>
    </row>
    <row r="31869" spans="6:6">
      <c r="F31869" s="2423"/>
    </row>
    <row r="31870" spans="6:6">
      <c r="F31870" s="2423"/>
    </row>
    <row r="31871" spans="6:6">
      <c r="F31871" s="2423"/>
    </row>
    <row r="31872" spans="6:6">
      <c r="F31872" s="2423"/>
    </row>
    <row r="31873" spans="6:6">
      <c r="F31873" s="2423"/>
    </row>
    <row r="31874" spans="6:6">
      <c r="F31874" s="2423"/>
    </row>
    <row r="31875" spans="6:6">
      <c r="F31875" s="2423"/>
    </row>
    <row r="31876" spans="6:6">
      <c r="F31876" s="2423"/>
    </row>
    <row r="31877" spans="6:6">
      <c r="F31877" s="2423"/>
    </row>
    <row r="31878" spans="6:6">
      <c r="F31878" s="2423"/>
    </row>
    <row r="31879" spans="6:6">
      <c r="F31879" s="2423"/>
    </row>
    <row r="31880" spans="6:6">
      <c r="F31880" s="2423"/>
    </row>
    <row r="31881" spans="6:6">
      <c r="F31881" s="2423"/>
    </row>
    <row r="31882" spans="6:6">
      <c r="F31882" s="2423"/>
    </row>
    <row r="31883" spans="6:6">
      <c r="F31883" s="2423"/>
    </row>
    <row r="31884" spans="6:6">
      <c r="F31884" s="2423"/>
    </row>
    <row r="31885" spans="6:6">
      <c r="F31885" s="2423"/>
    </row>
    <row r="31886" spans="6:6">
      <c r="F31886" s="2423"/>
    </row>
    <row r="31887" spans="6:6">
      <c r="F31887" s="2423"/>
    </row>
    <row r="31888" spans="6:6">
      <c r="F31888" s="2423"/>
    </row>
    <row r="31889" spans="6:6">
      <c r="F31889" s="2423"/>
    </row>
    <row r="31890" spans="6:6">
      <c r="F31890" s="2423"/>
    </row>
    <row r="31891" spans="6:6">
      <c r="F31891" s="2423"/>
    </row>
    <row r="31892" spans="6:6">
      <c r="F31892" s="2423"/>
    </row>
    <row r="31893" spans="6:6">
      <c r="F31893" s="2423"/>
    </row>
    <row r="31894" spans="6:6">
      <c r="F31894" s="2423"/>
    </row>
    <row r="31895" spans="6:6">
      <c r="F31895" s="2423"/>
    </row>
    <row r="31896" spans="6:6">
      <c r="F31896" s="2423"/>
    </row>
    <row r="31897" spans="6:6">
      <c r="F31897" s="2423"/>
    </row>
    <row r="31898" spans="6:6">
      <c r="F31898" s="2423"/>
    </row>
    <row r="31899" spans="6:6">
      <c r="F31899" s="2423"/>
    </row>
    <row r="31900" spans="6:6">
      <c r="F31900" s="2423"/>
    </row>
    <row r="31901" spans="6:6">
      <c r="F31901" s="2423"/>
    </row>
    <row r="31902" spans="6:6">
      <c r="F31902" s="2423"/>
    </row>
    <row r="31903" spans="6:6">
      <c r="F31903" s="2423"/>
    </row>
    <row r="31904" spans="6:6">
      <c r="F31904" s="2423"/>
    </row>
    <row r="31905" spans="6:6">
      <c r="F31905" s="2423"/>
    </row>
    <row r="31906" spans="6:6">
      <c r="F31906" s="2423"/>
    </row>
    <row r="31907" spans="6:6">
      <c r="F31907" s="2423"/>
    </row>
    <row r="31908" spans="6:6">
      <c r="F31908" s="2423"/>
    </row>
    <row r="31909" spans="6:6">
      <c r="F31909" s="2423"/>
    </row>
    <row r="31910" spans="6:6">
      <c r="F31910" s="2423"/>
    </row>
    <row r="31911" spans="6:6">
      <c r="F31911" s="2423"/>
    </row>
    <row r="31912" spans="6:6">
      <c r="F31912" s="2423"/>
    </row>
    <row r="31913" spans="6:6">
      <c r="F31913" s="2423"/>
    </row>
    <row r="31914" spans="6:6">
      <c r="F31914" s="2423"/>
    </row>
    <row r="31915" spans="6:6">
      <c r="F31915" s="2423"/>
    </row>
    <row r="31916" spans="6:6">
      <c r="F31916" s="2423"/>
    </row>
    <row r="31917" spans="6:6">
      <c r="F31917" s="2423"/>
    </row>
    <row r="31918" spans="6:6">
      <c r="F31918" s="2423"/>
    </row>
    <row r="31919" spans="6:6">
      <c r="F31919" s="2423"/>
    </row>
    <row r="31920" spans="6:6">
      <c r="F31920" s="2423"/>
    </row>
    <row r="31921" spans="6:6">
      <c r="F31921" s="2423"/>
    </row>
    <row r="31922" spans="6:6">
      <c r="F31922" s="2423"/>
    </row>
    <row r="31923" spans="6:6">
      <c r="F31923" s="2423"/>
    </row>
    <row r="31924" spans="6:6">
      <c r="F31924" s="2423"/>
    </row>
    <row r="31925" spans="6:6">
      <c r="F31925" s="2423"/>
    </row>
    <row r="31926" spans="6:6">
      <c r="F31926" s="2423"/>
    </row>
    <row r="31927" spans="6:6">
      <c r="F31927" s="2423"/>
    </row>
    <row r="31928" spans="6:6">
      <c r="F31928" s="2423"/>
    </row>
    <row r="31929" spans="6:6">
      <c r="F31929" s="2423"/>
    </row>
    <row r="31930" spans="6:6">
      <c r="F31930" s="2423"/>
    </row>
    <row r="31931" spans="6:6">
      <c r="F31931" s="2423"/>
    </row>
    <row r="31932" spans="6:6">
      <c r="F31932" s="2423"/>
    </row>
    <row r="31933" spans="6:6">
      <c r="F31933" s="2423"/>
    </row>
    <row r="31934" spans="6:6">
      <c r="F31934" s="2423"/>
    </row>
    <row r="31935" spans="6:6">
      <c r="F31935" s="2423"/>
    </row>
    <row r="31936" spans="6:6">
      <c r="F31936" s="2423"/>
    </row>
    <row r="31937" spans="6:6">
      <c r="F31937" s="2423"/>
    </row>
    <row r="31938" spans="6:6">
      <c r="F31938" s="2423"/>
    </row>
    <row r="31939" spans="6:6">
      <c r="F31939" s="2423"/>
    </row>
    <row r="31940" spans="6:6">
      <c r="F31940" s="2423"/>
    </row>
    <row r="31941" spans="6:6">
      <c r="F31941" s="2423"/>
    </row>
    <row r="31942" spans="6:6">
      <c r="F31942" s="2423"/>
    </row>
    <row r="31943" spans="6:6">
      <c r="F31943" s="2423"/>
    </row>
    <row r="31944" spans="6:6">
      <c r="F31944" s="2423"/>
    </row>
    <row r="31945" spans="6:6">
      <c r="F31945" s="2423"/>
    </row>
    <row r="31946" spans="6:6">
      <c r="F31946" s="2423"/>
    </row>
    <row r="31947" spans="6:6">
      <c r="F31947" s="2423"/>
    </row>
    <row r="31948" spans="6:6">
      <c r="F31948" s="2423"/>
    </row>
    <row r="31949" spans="6:6">
      <c r="F31949" s="2423"/>
    </row>
    <row r="31950" spans="6:6">
      <c r="F31950" s="2423"/>
    </row>
    <row r="31951" spans="6:6">
      <c r="F31951" s="2423"/>
    </row>
    <row r="31952" spans="6:6">
      <c r="F31952" s="2423"/>
    </row>
    <row r="31953" spans="6:6">
      <c r="F31953" s="2423"/>
    </row>
    <row r="31954" spans="6:6">
      <c r="F31954" s="2423"/>
    </row>
    <row r="31955" spans="6:6">
      <c r="F31955" s="2423"/>
    </row>
    <row r="31956" spans="6:6">
      <c r="F31956" s="2423"/>
    </row>
    <row r="31957" spans="6:6">
      <c r="F31957" s="2423"/>
    </row>
    <row r="31958" spans="6:6">
      <c r="F31958" s="2423"/>
    </row>
    <row r="31959" spans="6:6">
      <c r="F31959" s="2423"/>
    </row>
    <row r="31960" spans="6:6">
      <c r="F31960" s="2423"/>
    </row>
    <row r="31961" spans="6:6">
      <c r="F31961" s="2423"/>
    </row>
    <row r="31962" spans="6:6">
      <c r="F31962" s="2423"/>
    </row>
    <row r="31963" spans="6:6">
      <c r="F31963" s="2423"/>
    </row>
    <row r="31964" spans="6:6">
      <c r="F31964" s="2423"/>
    </row>
    <row r="31965" spans="6:6">
      <c r="F31965" s="2423"/>
    </row>
    <row r="31966" spans="6:6">
      <c r="F31966" s="2423"/>
    </row>
    <row r="31967" spans="6:6">
      <c r="F31967" s="2423"/>
    </row>
    <row r="31968" spans="6:6">
      <c r="F31968" s="2423"/>
    </row>
    <row r="31969" spans="6:6">
      <c r="F31969" s="2423"/>
    </row>
    <row r="31970" spans="6:6">
      <c r="F31970" s="2423"/>
    </row>
    <row r="31971" spans="6:6">
      <c r="F31971" s="2423"/>
    </row>
    <row r="31972" spans="6:6">
      <c r="F31972" s="2423"/>
    </row>
    <row r="31973" spans="6:6">
      <c r="F31973" s="2423"/>
    </row>
    <row r="31974" spans="6:6">
      <c r="F31974" s="2423"/>
    </row>
    <row r="31975" spans="6:6">
      <c r="F31975" s="2423"/>
    </row>
    <row r="31976" spans="6:6">
      <c r="F31976" s="2423"/>
    </row>
    <row r="31977" spans="6:6">
      <c r="F31977" s="2423"/>
    </row>
    <row r="31978" spans="6:6">
      <c r="F31978" s="2423"/>
    </row>
    <row r="31979" spans="6:6">
      <c r="F31979" s="2423"/>
    </row>
    <row r="31980" spans="6:6">
      <c r="F31980" s="2423"/>
    </row>
    <row r="31981" spans="6:6">
      <c r="F31981" s="2423"/>
    </row>
    <row r="31982" spans="6:6">
      <c r="F31982" s="2423"/>
    </row>
    <row r="31983" spans="6:6">
      <c r="F31983" s="2423"/>
    </row>
    <row r="31984" spans="6:6">
      <c r="F31984" s="2423"/>
    </row>
    <row r="31985" spans="6:6">
      <c r="F31985" s="2423"/>
    </row>
    <row r="31986" spans="6:6">
      <c r="F31986" s="2423"/>
    </row>
    <row r="31987" spans="6:6">
      <c r="F31987" s="2423"/>
    </row>
    <row r="31988" spans="6:6">
      <c r="F31988" s="2423"/>
    </row>
    <row r="31989" spans="6:6">
      <c r="F31989" s="2423"/>
    </row>
    <row r="31990" spans="6:6">
      <c r="F31990" s="2423"/>
    </row>
    <row r="31991" spans="6:6">
      <c r="F31991" s="2423"/>
    </row>
    <row r="31992" spans="6:6">
      <c r="F31992" s="2423"/>
    </row>
    <row r="31993" spans="6:6">
      <c r="F31993" s="2423"/>
    </row>
    <row r="31994" spans="6:6">
      <c r="F31994" s="2423"/>
    </row>
    <row r="31995" spans="6:6">
      <c r="F31995" s="2423"/>
    </row>
    <row r="31996" spans="6:6">
      <c r="F31996" s="2423"/>
    </row>
    <row r="31997" spans="6:6">
      <c r="F31997" s="2423"/>
    </row>
    <row r="31998" spans="6:6">
      <c r="F31998" s="2423"/>
    </row>
    <row r="31999" spans="6:6">
      <c r="F31999" s="2423"/>
    </row>
    <row r="32000" spans="6:6">
      <c r="F32000" s="2423"/>
    </row>
    <row r="32001" spans="6:6">
      <c r="F32001" s="2423"/>
    </row>
    <row r="32002" spans="6:6">
      <c r="F32002" s="2423"/>
    </row>
    <row r="32003" spans="6:6">
      <c r="F32003" s="2423"/>
    </row>
    <row r="32004" spans="6:6">
      <c r="F32004" s="2423"/>
    </row>
    <row r="32005" spans="6:6">
      <c r="F32005" s="2423"/>
    </row>
    <row r="32006" spans="6:6">
      <c r="F32006" s="2423"/>
    </row>
    <row r="32007" spans="6:6">
      <c r="F32007" s="2423"/>
    </row>
    <row r="32008" spans="6:6">
      <c r="F32008" s="2423"/>
    </row>
    <row r="32009" spans="6:6">
      <c r="F32009" s="2423"/>
    </row>
    <row r="32010" spans="6:6">
      <c r="F32010" s="2423"/>
    </row>
    <row r="32011" spans="6:6">
      <c r="F32011" s="2423"/>
    </row>
    <row r="32012" spans="6:6">
      <c r="F32012" s="2423"/>
    </row>
    <row r="32013" spans="6:6">
      <c r="F32013" s="2423"/>
    </row>
    <row r="32014" spans="6:6">
      <c r="F32014" s="2423"/>
    </row>
    <row r="32015" spans="6:6">
      <c r="F32015" s="2423"/>
    </row>
    <row r="32016" spans="6:6">
      <c r="F32016" s="2423"/>
    </row>
    <row r="32017" spans="6:6">
      <c r="F32017" s="2423"/>
    </row>
    <row r="32018" spans="6:6">
      <c r="F32018" s="2423"/>
    </row>
    <row r="32019" spans="6:6">
      <c r="F32019" s="2423"/>
    </row>
    <row r="32020" spans="6:6">
      <c r="F32020" s="2423"/>
    </row>
    <row r="32021" spans="6:6">
      <c r="F32021" s="2423"/>
    </row>
    <row r="32022" spans="6:6">
      <c r="F32022" s="2423"/>
    </row>
    <row r="32023" spans="6:6">
      <c r="F32023" s="2423"/>
    </row>
    <row r="32024" spans="6:6">
      <c r="F32024" s="2423"/>
    </row>
    <row r="32025" spans="6:6">
      <c r="F32025" s="2423"/>
    </row>
    <row r="32026" spans="6:6">
      <c r="F32026" s="2423"/>
    </row>
    <row r="32027" spans="6:6">
      <c r="F32027" s="2423"/>
    </row>
    <row r="32028" spans="6:6">
      <c r="F32028" s="2423"/>
    </row>
    <row r="32029" spans="6:6">
      <c r="F32029" s="2423"/>
    </row>
    <row r="32030" spans="6:6">
      <c r="F32030" s="2423"/>
    </row>
    <row r="32031" spans="6:6">
      <c r="F32031" s="2423"/>
    </row>
    <row r="32032" spans="6:6">
      <c r="F32032" s="2423"/>
    </row>
    <row r="32033" spans="6:6">
      <c r="F32033" s="2423"/>
    </row>
    <row r="32034" spans="6:6">
      <c r="F32034" s="2423"/>
    </row>
    <row r="32035" spans="6:6">
      <c r="F32035" s="2423"/>
    </row>
    <row r="32036" spans="6:6">
      <c r="F32036" s="2423"/>
    </row>
    <row r="32037" spans="6:6">
      <c r="F32037" s="2423"/>
    </row>
    <row r="32038" spans="6:6">
      <c r="F32038" s="2423"/>
    </row>
    <row r="32039" spans="6:6">
      <c r="F32039" s="2423"/>
    </row>
    <row r="32040" spans="6:6">
      <c r="F32040" s="2423"/>
    </row>
    <row r="32041" spans="6:6">
      <c r="F32041" s="2423"/>
    </row>
    <row r="32042" spans="6:6">
      <c r="F32042" s="2423"/>
    </row>
    <row r="32043" spans="6:6">
      <c r="F32043" s="2423"/>
    </row>
    <row r="32044" spans="6:6">
      <c r="F32044" s="2423"/>
    </row>
    <row r="32045" spans="6:6">
      <c r="F32045" s="2423"/>
    </row>
    <row r="32046" spans="6:6">
      <c r="F32046" s="2423"/>
    </row>
    <row r="32047" spans="6:6">
      <c r="F32047" s="2423"/>
    </row>
    <row r="32048" spans="6:6">
      <c r="F32048" s="2423"/>
    </row>
    <row r="32049" spans="6:6">
      <c r="F32049" s="2423"/>
    </row>
    <row r="32050" spans="6:6">
      <c r="F32050" s="2423"/>
    </row>
    <row r="32051" spans="6:6">
      <c r="F32051" s="2423"/>
    </row>
    <row r="32052" spans="6:6">
      <c r="F32052" s="2423"/>
    </row>
    <row r="32053" spans="6:6">
      <c r="F32053" s="2423"/>
    </row>
    <row r="32054" spans="6:6">
      <c r="F32054" s="2423"/>
    </row>
    <row r="32055" spans="6:6">
      <c r="F32055" s="2423"/>
    </row>
    <row r="32056" spans="6:6">
      <c r="F32056" s="2423"/>
    </row>
    <row r="32057" spans="6:6">
      <c r="F32057" s="2423"/>
    </row>
    <row r="32058" spans="6:6">
      <c r="F32058" s="2423"/>
    </row>
    <row r="32059" spans="6:6">
      <c r="F32059" s="2423"/>
    </row>
    <row r="32060" spans="6:6">
      <c r="F32060" s="2423"/>
    </row>
    <row r="32061" spans="6:6">
      <c r="F32061" s="2423"/>
    </row>
    <row r="32062" spans="6:6">
      <c r="F32062" s="2423"/>
    </row>
    <row r="32063" spans="6:6">
      <c r="F32063" s="2423"/>
    </row>
    <row r="32064" spans="6:6">
      <c r="F32064" s="2423"/>
    </row>
    <row r="32065" spans="6:6">
      <c r="F32065" s="2423"/>
    </row>
    <row r="32066" spans="6:6">
      <c r="F32066" s="2423"/>
    </row>
    <row r="32067" spans="6:6">
      <c r="F32067" s="2423"/>
    </row>
    <row r="32068" spans="6:6">
      <c r="F32068" s="2423"/>
    </row>
    <row r="32069" spans="6:6">
      <c r="F32069" s="2423"/>
    </row>
    <row r="32070" spans="6:6">
      <c r="F32070" s="2423"/>
    </row>
    <row r="32071" spans="6:6">
      <c r="F32071" s="2423"/>
    </row>
    <row r="32072" spans="6:6">
      <c r="F32072" s="2423"/>
    </row>
    <row r="32073" spans="6:6">
      <c r="F32073" s="2423"/>
    </row>
    <row r="32074" spans="6:6">
      <c r="F32074" s="2423"/>
    </row>
    <row r="32075" spans="6:6">
      <c r="F32075" s="2423"/>
    </row>
    <row r="32076" spans="6:6">
      <c r="F32076" s="2423"/>
    </row>
    <row r="32077" spans="6:6">
      <c r="F32077" s="2423"/>
    </row>
    <row r="32078" spans="6:6">
      <c r="F32078" s="2423"/>
    </row>
    <row r="32079" spans="6:6">
      <c r="F32079" s="2423"/>
    </row>
    <row r="32080" spans="6:6">
      <c r="F32080" s="2423"/>
    </row>
    <row r="32081" spans="6:6">
      <c r="F32081" s="2423"/>
    </row>
    <row r="32082" spans="6:6">
      <c r="F32082" s="2423"/>
    </row>
    <row r="32083" spans="6:6">
      <c r="F32083" s="2423"/>
    </row>
    <row r="32084" spans="6:6">
      <c r="F32084" s="2423"/>
    </row>
    <row r="32085" spans="6:6">
      <c r="F32085" s="2423"/>
    </row>
    <row r="32086" spans="6:6">
      <c r="F32086" s="2423"/>
    </row>
    <row r="32087" spans="6:6">
      <c r="F32087" s="2423"/>
    </row>
    <row r="32088" spans="6:6">
      <c r="F32088" s="2423"/>
    </row>
    <row r="32089" spans="6:6">
      <c r="F32089" s="2423"/>
    </row>
    <row r="32090" spans="6:6">
      <c r="F32090" s="2423"/>
    </row>
    <row r="32091" spans="6:6">
      <c r="F32091" s="2423"/>
    </row>
    <row r="32092" spans="6:6">
      <c r="F32092" s="2423"/>
    </row>
    <row r="32093" spans="6:6">
      <c r="F32093" s="2423"/>
    </row>
    <row r="32094" spans="6:6">
      <c r="F32094" s="2423"/>
    </row>
    <row r="32095" spans="6:6">
      <c r="F32095" s="2423"/>
    </row>
    <row r="32096" spans="6:6">
      <c r="F32096" s="2423"/>
    </row>
    <row r="32097" spans="6:6">
      <c r="F32097" s="2423"/>
    </row>
    <row r="32098" spans="6:6">
      <c r="F32098" s="2423"/>
    </row>
    <row r="32099" spans="6:6">
      <c r="F32099" s="2423"/>
    </row>
    <row r="32100" spans="6:6">
      <c r="F32100" s="2423"/>
    </row>
    <row r="32101" spans="6:6">
      <c r="F32101" s="2423"/>
    </row>
    <row r="32102" spans="6:6">
      <c r="F32102" s="2423"/>
    </row>
    <row r="32103" spans="6:6">
      <c r="F32103" s="2423"/>
    </row>
    <row r="32104" spans="6:6">
      <c r="F32104" s="2423"/>
    </row>
    <row r="32105" spans="6:6">
      <c r="F32105" s="2423"/>
    </row>
    <row r="32106" spans="6:6">
      <c r="F32106" s="2423"/>
    </row>
    <row r="32107" spans="6:6">
      <c r="F32107" s="2423"/>
    </row>
    <row r="32108" spans="6:6">
      <c r="F32108" s="2423"/>
    </row>
    <row r="32109" spans="6:6">
      <c r="F32109" s="2423"/>
    </row>
    <row r="32110" spans="6:6">
      <c r="F32110" s="2423"/>
    </row>
    <row r="32111" spans="6:6">
      <c r="F32111" s="2423"/>
    </row>
    <row r="32112" spans="6:6">
      <c r="F32112" s="2423"/>
    </row>
    <row r="32113" spans="6:6">
      <c r="F32113" s="2423"/>
    </row>
    <row r="32114" spans="6:6">
      <c r="F32114" s="2423"/>
    </row>
    <row r="32115" spans="6:6">
      <c r="F32115" s="2423"/>
    </row>
    <row r="32116" spans="6:6">
      <c r="F32116" s="2423"/>
    </row>
    <row r="32117" spans="6:6">
      <c r="F32117" s="2423"/>
    </row>
    <row r="32118" spans="6:6">
      <c r="F32118" s="2423"/>
    </row>
    <row r="32119" spans="6:6">
      <c r="F32119" s="2423"/>
    </row>
    <row r="32120" spans="6:6">
      <c r="F32120" s="2423"/>
    </row>
    <row r="32121" spans="6:6">
      <c r="F32121" s="2423"/>
    </row>
    <row r="32122" spans="6:6">
      <c r="F32122" s="2423"/>
    </row>
    <row r="32123" spans="6:6">
      <c r="F32123" s="2423"/>
    </row>
    <row r="32124" spans="6:6">
      <c r="F32124" s="2423"/>
    </row>
    <row r="32125" spans="6:6">
      <c r="F32125" s="2423"/>
    </row>
    <row r="32126" spans="6:6">
      <c r="F32126" s="2423"/>
    </row>
    <row r="32127" spans="6:6">
      <c r="F32127" s="2423"/>
    </row>
    <row r="32128" spans="6:6">
      <c r="F32128" s="2423"/>
    </row>
    <row r="32129" spans="6:6">
      <c r="F32129" s="2423"/>
    </row>
    <row r="32130" spans="6:6">
      <c r="F32130" s="2423"/>
    </row>
    <row r="32131" spans="6:6">
      <c r="F32131" s="2423"/>
    </row>
    <row r="32132" spans="6:6">
      <c r="F32132" s="2423"/>
    </row>
    <row r="32133" spans="6:6">
      <c r="F32133" s="2423"/>
    </row>
    <row r="32134" spans="6:6">
      <c r="F32134" s="2423"/>
    </row>
    <row r="32135" spans="6:6">
      <c r="F32135" s="2423"/>
    </row>
    <row r="32136" spans="6:6">
      <c r="F32136" s="2423"/>
    </row>
    <row r="32137" spans="6:6">
      <c r="F32137" s="2423"/>
    </row>
    <row r="32138" spans="6:6">
      <c r="F32138" s="2423"/>
    </row>
    <row r="32139" spans="6:6">
      <c r="F32139" s="2423"/>
    </row>
    <row r="32140" spans="6:6">
      <c r="F32140" s="2423"/>
    </row>
    <row r="32141" spans="6:6">
      <c r="F32141" s="2423"/>
    </row>
    <row r="32142" spans="6:6">
      <c r="F32142" s="2423"/>
    </row>
    <row r="32143" spans="6:6">
      <c r="F32143" s="2423"/>
    </row>
    <row r="32144" spans="6:6">
      <c r="F32144" s="2423"/>
    </row>
    <row r="32145" spans="6:6">
      <c r="F32145" s="2423"/>
    </row>
    <row r="32146" spans="6:6">
      <c r="F32146" s="2423"/>
    </row>
    <row r="32147" spans="6:6">
      <c r="F32147" s="2423"/>
    </row>
    <row r="32148" spans="6:6">
      <c r="F32148" s="2423"/>
    </row>
    <row r="32149" spans="6:6">
      <c r="F32149" s="2423"/>
    </row>
    <row r="32150" spans="6:6">
      <c r="F32150" s="2423"/>
    </row>
    <row r="32151" spans="6:6">
      <c r="F32151" s="2423"/>
    </row>
    <row r="32152" spans="6:6">
      <c r="F32152" s="2423"/>
    </row>
    <row r="32153" spans="6:6">
      <c r="F32153" s="2423"/>
    </row>
    <row r="32154" spans="6:6">
      <c r="F32154" s="2423"/>
    </row>
    <row r="32155" spans="6:6">
      <c r="F32155" s="2423"/>
    </row>
    <row r="32156" spans="6:6">
      <c r="F32156" s="2423"/>
    </row>
    <row r="32157" spans="6:6">
      <c r="F32157" s="2423"/>
    </row>
    <row r="32158" spans="6:6">
      <c r="F32158" s="2423"/>
    </row>
    <row r="32159" spans="6:6">
      <c r="F32159" s="2423"/>
    </row>
    <row r="32160" spans="6:6">
      <c r="F32160" s="2423"/>
    </row>
    <row r="32161" spans="6:6">
      <c r="F32161" s="2423"/>
    </row>
    <row r="32162" spans="6:6">
      <c r="F32162" s="2423"/>
    </row>
    <row r="32163" spans="6:6">
      <c r="F32163" s="2423"/>
    </row>
    <row r="32164" spans="6:6">
      <c r="F32164" s="2423"/>
    </row>
    <row r="32165" spans="6:6">
      <c r="F32165" s="2423"/>
    </row>
    <row r="32166" spans="6:6">
      <c r="F32166" s="2423"/>
    </row>
    <row r="32167" spans="6:6">
      <c r="F32167" s="2423"/>
    </row>
    <row r="32168" spans="6:6">
      <c r="F32168" s="2423"/>
    </row>
    <row r="32169" spans="6:6">
      <c r="F32169" s="2423"/>
    </row>
    <row r="32170" spans="6:6">
      <c r="F32170" s="2423"/>
    </row>
    <row r="32171" spans="6:6">
      <c r="F32171" s="2423"/>
    </row>
    <row r="32172" spans="6:6">
      <c r="F32172" s="2423"/>
    </row>
    <row r="32173" spans="6:6">
      <c r="F32173" s="2423"/>
    </row>
    <row r="32174" spans="6:6">
      <c r="F32174" s="2423"/>
    </row>
    <row r="32175" spans="6:6">
      <c r="F32175" s="2423"/>
    </row>
    <row r="32176" spans="6:6">
      <c r="F32176" s="2423"/>
    </row>
    <row r="32177" spans="6:6">
      <c r="F32177" s="2423"/>
    </row>
    <row r="32178" spans="6:6">
      <c r="F32178" s="2423"/>
    </row>
    <row r="32179" spans="6:6">
      <c r="F32179" s="2423"/>
    </row>
    <row r="32180" spans="6:6">
      <c r="F32180" s="2423"/>
    </row>
    <row r="32181" spans="6:6">
      <c r="F32181" s="2423"/>
    </row>
    <row r="32182" spans="6:6">
      <c r="F32182" s="2423"/>
    </row>
    <row r="32183" spans="6:6">
      <c r="F32183" s="2423"/>
    </row>
    <row r="32184" spans="6:6">
      <c r="F32184" s="2423"/>
    </row>
    <row r="32185" spans="6:6">
      <c r="F32185" s="2423"/>
    </row>
    <row r="32186" spans="6:6">
      <c r="F32186" s="2423"/>
    </row>
    <row r="32187" spans="6:6">
      <c r="F32187" s="2423"/>
    </row>
    <row r="32188" spans="6:6">
      <c r="F32188" s="2423"/>
    </row>
    <row r="32189" spans="6:6">
      <c r="F32189" s="2423"/>
    </row>
    <row r="32190" spans="6:6">
      <c r="F32190" s="2423"/>
    </row>
    <row r="32191" spans="6:6">
      <c r="F32191" s="2423"/>
    </row>
    <row r="32192" spans="6:6">
      <c r="F32192" s="2423"/>
    </row>
    <row r="32193" spans="6:6">
      <c r="F32193" s="2423"/>
    </row>
    <row r="32194" spans="6:6">
      <c r="F32194" s="2423"/>
    </row>
    <row r="32195" spans="6:6">
      <c r="F32195" s="2423"/>
    </row>
    <row r="32196" spans="6:6">
      <c r="F32196" s="2423"/>
    </row>
    <row r="32197" spans="6:6">
      <c r="F32197" s="2423"/>
    </row>
    <row r="32198" spans="6:6">
      <c r="F32198" s="2423"/>
    </row>
    <row r="32199" spans="6:6">
      <c r="F32199" s="2423"/>
    </row>
    <row r="32200" spans="6:6">
      <c r="F32200" s="2423"/>
    </row>
    <row r="32201" spans="6:6">
      <c r="F32201" s="2423"/>
    </row>
    <row r="32202" spans="6:6">
      <c r="F32202" s="2423"/>
    </row>
    <row r="32203" spans="6:6">
      <c r="F32203" s="2423"/>
    </row>
    <row r="32204" spans="6:6">
      <c r="F32204" s="2423"/>
    </row>
    <row r="32205" spans="6:6">
      <c r="F32205" s="2423"/>
    </row>
    <row r="32206" spans="6:6">
      <c r="F32206" s="2423"/>
    </row>
    <row r="32207" spans="6:6">
      <c r="F32207" s="2423"/>
    </row>
    <row r="32208" spans="6:6">
      <c r="F32208" s="2423"/>
    </row>
    <row r="32209" spans="6:6">
      <c r="F32209" s="2423"/>
    </row>
    <row r="32210" spans="6:6">
      <c r="F32210" s="2423"/>
    </row>
    <row r="32211" spans="6:6">
      <c r="F32211" s="2423"/>
    </row>
    <row r="32212" spans="6:6">
      <c r="F32212" s="2423"/>
    </row>
    <row r="32213" spans="6:6">
      <c r="F32213" s="2423"/>
    </row>
    <row r="32214" spans="6:6">
      <c r="F32214" s="2423"/>
    </row>
    <row r="32215" spans="6:6">
      <c r="F32215" s="2423"/>
    </row>
    <row r="32216" spans="6:6">
      <c r="F32216" s="2423"/>
    </row>
    <row r="32217" spans="6:6">
      <c r="F32217" s="2423"/>
    </row>
    <row r="32218" spans="6:6">
      <c r="F32218" s="2423"/>
    </row>
    <row r="32219" spans="6:6">
      <c r="F32219" s="2423"/>
    </row>
    <row r="32220" spans="6:6">
      <c r="F32220" s="2423"/>
    </row>
    <row r="32221" spans="6:6">
      <c r="F32221" s="2423"/>
    </row>
    <row r="32222" spans="6:6">
      <c r="F32222" s="2423"/>
    </row>
    <row r="32223" spans="6:6">
      <c r="F32223" s="2423"/>
    </row>
    <row r="32224" spans="6:6">
      <c r="F32224" s="2423"/>
    </row>
    <row r="32225" spans="6:6">
      <c r="F32225" s="2423"/>
    </row>
    <row r="32226" spans="6:6">
      <c r="F32226" s="2423"/>
    </row>
    <row r="32227" spans="6:6">
      <c r="F32227" s="2423"/>
    </row>
    <row r="32228" spans="6:6">
      <c r="F32228" s="2423"/>
    </row>
    <row r="32229" spans="6:6">
      <c r="F32229" s="2423"/>
    </row>
    <row r="32230" spans="6:6">
      <c r="F32230" s="2423"/>
    </row>
    <row r="32231" spans="6:6">
      <c r="F32231" s="2423"/>
    </row>
    <row r="32232" spans="6:6">
      <c r="F32232" s="2423"/>
    </row>
    <row r="32233" spans="6:6">
      <c r="F32233" s="2423"/>
    </row>
    <row r="32234" spans="6:6">
      <c r="F32234" s="2423"/>
    </row>
    <row r="32235" spans="6:6">
      <c r="F32235" s="2423"/>
    </row>
    <row r="32236" spans="6:6">
      <c r="F32236" s="2423"/>
    </row>
    <row r="32237" spans="6:6">
      <c r="F32237" s="2423"/>
    </row>
    <row r="32238" spans="6:6">
      <c r="F32238" s="2423"/>
    </row>
    <row r="32239" spans="6:6">
      <c r="F32239" s="2423"/>
    </row>
    <row r="32240" spans="6:6">
      <c r="F32240" s="2423"/>
    </row>
    <row r="32241" spans="6:6">
      <c r="F32241" s="2423"/>
    </row>
    <row r="32242" spans="6:6">
      <c r="F32242" s="2423"/>
    </row>
    <row r="32243" spans="6:6">
      <c r="F32243" s="2423"/>
    </row>
    <row r="32244" spans="6:6">
      <c r="F32244" s="2423"/>
    </row>
    <row r="32245" spans="6:6">
      <c r="F32245" s="2423"/>
    </row>
    <row r="32246" spans="6:6">
      <c r="F32246" s="2423"/>
    </row>
    <row r="32247" spans="6:6">
      <c r="F32247" s="2423"/>
    </row>
    <row r="32248" spans="6:6">
      <c r="F32248" s="2423"/>
    </row>
    <row r="32249" spans="6:6">
      <c r="F32249" s="2423"/>
    </row>
    <row r="32250" spans="6:6">
      <c r="F32250" s="2423"/>
    </row>
    <row r="32251" spans="6:6">
      <c r="F32251" s="2423"/>
    </row>
    <row r="32252" spans="6:6">
      <c r="F32252" s="2423"/>
    </row>
    <row r="32253" spans="6:6">
      <c r="F32253" s="2423"/>
    </row>
    <row r="32254" spans="6:6">
      <c r="F32254" s="2423"/>
    </row>
    <row r="32255" spans="6:6">
      <c r="F32255" s="2423"/>
    </row>
    <row r="32256" spans="6:6">
      <c r="F32256" s="2423"/>
    </row>
    <row r="32257" spans="6:6">
      <c r="F32257" s="2423"/>
    </row>
    <row r="32258" spans="6:6">
      <c r="F32258" s="2423"/>
    </row>
    <row r="32259" spans="6:6">
      <c r="F32259" s="2423"/>
    </row>
    <row r="32260" spans="6:6">
      <c r="F32260" s="2423"/>
    </row>
    <row r="32261" spans="6:6">
      <c r="F32261" s="2423"/>
    </row>
    <row r="32262" spans="6:6">
      <c r="F32262" s="2423"/>
    </row>
    <row r="32263" spans="6:6">
      <c r="F32263" s="2423"/>
    </row>
    <row r="32264" spans="6:6">
      <c r="F32264" s="2423"/>
    </row>
    <row r="32265" spans="6:6">
      <c r="F32265" s="2423"/>
    </row>
    <row r="32266" spans="6:6">
      <c r="F32266" s="2423"/>
    </row>
    <row r="32267" spans="6:6">
      <c r="F32267" s="2423"/>
    </row>
    <row r="32268" spans="6:6">
      <c r="F32268" s="2423"/>
    </row>
    <row r="32269" spans="6:6">
      <c r="F32269" s="2423"/>
    </row>
    <row r="32270" spans="6:6">
      <c r="F32270" s="2423"/>
    </row>
    <row r="32271" spans="6:6">
      <c r="F32271" s="2423"/>
    </row>
    <row r="32272" spans="6:6">
      <c r="F32272" s="2423"/>
    </row>
    <row r="32273" spans="6:6">
      <c r="F32273" s="2423"/>
    </row>
    <row r="32274" spans="6:6">
      <c r="F32274" s="2423"/>
    </row>
    <row r="32275" spans="6:6">
      <c r="F32275" s="2423"/>
    </row>
    <row r="32276" spans="6:6">
      <c r="F32276" s="2423"/>
    </row>
    <row r="32277" spans="6:6">
      <c r="F32277" s="2423"/>
    </row>
    <row r="32278" spans="6:6">
      <c r="F32278" s="2423"/>
    </row>
    <row r="32279" spans="6:6">
      <c r="F32279" s="2423"/>
    </row>
    <row r="32280" spans="6:6">
      <c r="F32280" s="2423"/>
    </row>
    <row r="32281" spans="6:6">
      <c r="F32281" s="2423"/>
    </row>
    <row r="32282" spans="6:6">
      <c r="F32282" s="2423"/>
    </row>
    <row r="32283" spans="6:6">
      <c r="F32283" s="2423"/>
    </row>
    <row r="32284" spans="6:6">
      <c r="F32284" s="2423"/>
    </row>
    <row r="32285" spans="6:6">
      <c r="F32285" s="2423"/>
    </row>
    <row r="32286" spans="6:6">
      <c r="F32286" s="2423"/>
    </row>
    <row r="32287" spans="6:6">
      <c r="F32287" s="2423"/>
    </row>
    <row r="32288" spans="6:6">
      <c r="F32288" s="2423"/>
    </row>
    <row r="32289" spans="6:6">
      <c r="F32289" s="2423"/>
    </row>
    <row r="32290" spans="6:6">
      <c r="F32290" s="2423"/>
    </row>
    <row r="32291" spans="6:6">
      <c r="F32291" s="2423"/>
    </row>
    <row r="32292" spans="6:6">
      <c r="F32292" s="2423"/>
    </row>
    <row r="32293" spans="6:6">
      <c r="F32293" s="2423"/>
    </row>
    <row r="32294" spans="6:6">
      <c r="F32294" s="2423"/>
    </row>
    <row r="32295" spans="6:6">
      <c r="F32295" s="2423"/>
    </row>
    <row r="32296" spans="6:6">
      <c r="F32296" s="2423"/>
    </row>
    <row r="32297" spans="6:6">
      <c r="F32297" s="2423"/>
    </row>
    <row r="32298" spans="6:6">
      <c r="F32298" s="2423"/>
    </row>
    <row r="32299" spans="6:6">
      <c r="F32299" s="2423"/>
    </row>
    <row r="32300" spans="6:6">
      <c r="F32300" s="2423"/>
    </row>
    <row r="32301" spans="6:6">
      <c r="F32301" s="2423"/>
    </row>
    <row r="32302" spans="6:6">
      <c r="F32302" s="2423"/>
    </row>
    <row r="32303" spans="6:6">
      <c r="F32303" s="2423"/>
    </row>
    <row r="32304" spans="6:6">
      <c r="F32304" s="2423"/>
    </row>
    <row r="32305" spans="6:6">
      <c r="F32305" s="2423"/>
    </row>
    <row r="32306" spans="6:6">
      <c r="F32306" s="2423"/>
    </row>
    <row r="32307" spans="6:6">
      <c r="F32307" s="2423"/>
    </row>
    <row r="32308" spans="6:6">
      <c r="F32308" s="2423"/>
    </row>
    <row r="32309" spans="6:6">
      <c r="F32309" s="2423"/>
    </row>
    <row r="32310" spans="6:6">
      <c r="F32310" s="2423"/>
    </row>
    <row r="32311" spans="6:6">
      <c r="F32311" s="2423"/>
    </row>
    <row r="32312" spans="6:6">
      <c r="F32312" s="2423"/>
    </row>
    <row r="32313" spans="6:6">
      <c r="F32313" s="2423"/>
    </row>
    <row r="32314" spans="6:6">
      <c r="F32314" s="2423"/>
    </row>
    <row r="32315" spans="6:6">
      <c r="F32315" s="2423"/>
    </row>
    <row r="32316" spans="6:6">
      <c r="F32316" s="2423"/>
    </row>
    <row r="32317" spans="6:6">
      <c r="F32317" s="2423"/>
    </row>
    <row r="32318" spans="6:6">
      <c r="F32318" s="2423"/>
    </row>
    <row r="32319" spans="6:6">
      <c r="F32319" s="2423"/>
    </row>
    <row r="32320" spans="6:6">
      <c r="F32320" s="2423"/>
    </row>
    <row r="32321" spans="6:6">
      <c r="F32321" s="2423"/>
    </row>
    <row r="32322" spans="6:6">
      <c r="F32322" s="2423"/>
    </row>
    <row r="32323" spans="6:6">
      <c r="F32323" s="2423"/>
    </row>
    <row r="32324" spans="6:6">
      <c r="F32324" s="2423"/>
    </row>
    <row r="32325" spans="6:6">
      <c r="F32325" s="2423"/>
    </row>
    <row r="32326" spans="6:6">
      <c r="F32326" s="2423"/>
    </row>
    <row r="32327" spans="6:6">
      <c r="F32327" s="2423"/>
    </row>
    <row r="32328" spans="6:6">
      <c r="F32328" s="2423"/>
    </row>
    <row r="32329" spans="6:6">
      <c r="F32329" s="2423"/>
    </row>
    <row r="32330" spans="6:6">
      <c r="F32330" s="2423"/>
    </row>
    <row r="32331" spans="6:6">
      <c r="F32331" s="2423"/>
    </row>
    <row r="32332" spans="6:6">
      <c r="F32332" s="2423"/>
    </row>
    <row r="32333" spans="6:6">
      <c r="F32333" s="2423"/>
    </row>
    <row r="32334" spans="6:6">
      <c r="F32334" s="2423"/>
    </row>
    <row r="32335" spans="6:6">
      <c r="F32335" s="2423"/>
    </row>
    <row r="32336" spans="6:6">
      <c r="F32336" s="2423"/>
    </row>
    <row r="32337" spans="6:6">
      <c r="F32337" s="2423"/>
    </row>
    <row r="32338" spans="6:6">
      <c r="F32338" s="2423"/>
    </row>
    <row r="32339" spans="6:6">
      <c r="F32339" s="2423"/>
    </row>
    <row r="32340" spans="6:6">
      <c r="F32340" s="2423"/>
    </row>
    <row r="32341" spans="6:6">
      <c r="F32341" s="2423"/>
    </row>
    <row r="32342" spans="6:6">
      <c r="F32342" s="2423"/>
    </row>
    <row r="32343" spans="6:6">
      <c r="F32343" s="2423"/>
    </row>
    <row r="32344" spans="6:6">
      <c r="F32344" s="2423"/>
    </row>
    <row r="32345" spans="6:6">
      <c r="F32345" s="2423"/>
    </row>
    <row r="32346" spans="6:6">
      <c r="F32346" s="2423"/>
    </row>
    <row r="32347" spans="6:6">
      <c r="F32347" s="2423"/>
    </row>
    <row r="32348" spans="6:6">
      <c r="F32348" s="2423"/>
    </row>
    <row r="32349" spans="6:6">
      <c r="F32349" s="2423"/>
    </row>
    <row r="32350" spans="6:6">
      <c r="F32350" s="2423"/>
    </row>
    <row r="32351" spans="6:6">
      <c r="F32351" s="2423"/>
    </row>
    <row r="32352" spans="6:6">
      <c r="F32352" s="2423"/>
    </row>
    <row r="32353" spans="6:6">
      <c r="F32353" s="2423"/>
    </row>
    <row r="32354" spans="6:6">
      <c r="F32354" s="2423"/>
    </row>
    <row r="32355" spans="6:6">
      <c r="F32355" s="2423"/>
    </row>
    <row r="32356" spans="6:6">
      <c r="F32356" s="2423"/>
    </row>
    <row r="32357" spans="6:6">
      <c r="F32357" s="2423"/>
    </row>
    <row r="32358" spans="6:6">
      <c r="F32358" s="2423"/>
    </row>
    <row r="32359" spans="6:6">
      <c r="F32359" s="2423"/>
    </row>
    <row r="32360" spans="6:6">
      <c r="F32360" s="2423"/>
    </row>
    <row r="32361" spans="6:6">
      <c r="F32361" s="2423"/>
    </row>
    <row r="32362" spans="6:6">
      <c r="F32362" s="2423"/>
    </row>
    <row r="32363" spans="6:6">
      <c r="F32363" s="2423"/>
    </row>
    <row r="32364" spans="6:6">
      <c r="F32364" s="2423"/>
    </row>
    <row r="32365" spans="6:6">
      <c r="F32365" s="2423"/>
    </row>
    <row r="32366" spans="6:6">
      <c r="F32366" s="2423"/>
    </row>
    <row r="32367" spans="6:6">
      <c r="F32367" s="2423"/>
    </row>
    <row r="32368" spans="6:6">
      <c r="F32368" s="2423"/>
    </row>
    <row r="32369" spans="6:6">
      <c r="F32369" s="2423"/>
    </row>
    <row r="32370" spans="6:6">
      <c r="F32370" s="2423"/>
    </row>
    <row r="32371" spans="6:6">
      <c r="F32371" s="2423"/>
    </row>
    <row r="32372" spans="6:6">
      <c r="F32372" s="2423"/>
    </row>
    <row r="32373" spans="6:6">
      <c r="F32373" s="2423"/>
    </row>
    <row r="32374" spans="6:6">
      <c r="F32374" s="2423"/>
    </row>
    <row r="32375" spans="6:6">
      <c r="F32375" s="2423"/>
    </row>
    <row r="32376" spans="6:6">
      <c r="F32376" s="2423"/>
    </row>
    <row r="32377" spans="6:6">
      <c r="F32377" s="2423"/>
    </row>
    <row r="32378" spans="6:6">
      <c r="F32378" s="2423"/>
    </row>
    <row r="32379" spans="6:6">
      <c r="F32379" s="2423"/>
    </row>
    <row r="32380" spans="6:6">
      <c r="F32380" s="2423"/>
    </row>
    <row r="32381" spans="6:6">
      <c r="F32381" s="2423"/>
    </row>
    <row r="32382" spans="6:6">
      <c r="F32382" s="2423"/>
    </row>
    <row r="32383" spans="6:6">
      <c r="F32383" s="2423"/>
    </row>
    <row r="32384" spans="6:6">
      <c r="F32384" s="2423"/>
    </row>
    <row r="32385" spans="6:6">
      <c r="F32385" s="2423"/>
    </row>
    <row r="32386" spans="6:6">
      <c r="F32386" s="2423"/>
    </row>
    <row r="32387" spans="6:6">
      <c r="F32387" s="2423"/>
    </row>
    <row r="32388" spans="6:6">
      <c r="F32388" s="2423"/>
    </row>
    <row r="32389" spans="6:6">
      <c r="F32389" s="2423"/>
    </row>
    <row r="32390" spans="6:6">
      <c r="F32390" s="2423"/>
    </row>
    <row r="32391" spans="6:6">
      <c r="F32391" s="2423"/>
    </row>
    <row r="32392" spans="6:6">
      <c r="F32392" s="2423"/>
    </row>
    <row r="32393" spans="6:6">
      <c r="F32393" s="2423"/>
    </row>
    <row r="32394" spans="6:6">
      <c r="F32394" s="2423"/>
    </row>
    <row r="32395" spans="6:6">
      <c r="F32395" s="2423"/>
    </row>
    <row r="32396" spans="6:6">
      <c r="F32396" s="2423"/>
    </row>
    <row r="32397" spans="6:6">
      <c r="F32397" s="2423"/>
    </row>
    <row r="32398" spans="6:6">
      <c r="F32398" s="2423"/>
    </row>
    <row r="32399" spans="6:6">
      <c r="F32399" s="2423"/>
    </row>
    <row r="32400" spans="6:6">
      <c r="F32400" s="2423"/>
    </row>
    <row r="32401" spans="6:6">
      <c r="F32401" s="2423"/>
    </row>
    <row r="32402" spans="6:6">
      <c r="F32402" s="2423"/>
    </row>
    <row r="32403" spans="6:6">
      <c r="F32403" s="2423"/>
    </row>
    <row r="32404" spans="6:6">
      <c r="F32404" s="2423"/>
    </row>
    <row r="32405" spans="6:6">
      <c r="F32405" s="2423"/>
    </row>
    <row r="32406" spans="6:6">
      <c r="F32406" s="2423"/>
    </row>
    <row r="32407" spans="6:6">
      <c r="F32407" s="2423"/>
    </row>
    <row r="32408" spans="6:6">
      <c r="F32408" s="2423"/>
    </row>
    <row r="32409" spans="6:6">
      <c r="F32409" s="2423"/>
    </row>
    <row r="32410" spans="6:6">
      <c r="F32410" s="2423"/>
    </row>
    <row r="32411" spans="6:6">
      <c r="F32411" s="2423"/>
    </row>
    <row r="32412" spans="6:6">
      <c r="F32412" s="2423"/>
    </row>
    <row r="32413" spans="6:6">
      <c r="F32413" s="2423"/>
    </row>
    <row r="32414" spans="6:6">
      <c r="F32414" s="2423"/>
    </row>
    <row r="32415" spans="6:6">
      <c r="F32415" s="2423"/>
    </row>
    <row r="32416" spans="6:6">
      <c r="F32416" s="2423"/>
    </row>
    <row r="32417" spans="6:6">
      <c r="F32417" s="2423"/>
    </row>
    <row r="32418" spans="6:6">
      <c r="F32418" s="2423"/>
    </row>
    <row r="32419" spans="6:6">
      <c r="F32419" s="2423"/>
    </row>
    <row r="32420" spans="6:6">
      <c r="F32420" s="2423"/>
    </row>
    <row r="32421" spans="6:6">
      <c r="F32421" s="2423"/>
    </row>
    <row r="32422" spans="6:6">
      <c r="F32422" s="2423"/>
    </row>
    <row r="32423" spans="6:6">
      <c r="F32423" s="2423"/>
    </row>
    <row r="32424" spans="6:6">
      <c r="F32424" s="2423"/>
    </row>
    <row r="32425" spans="6:6">
      <c r="F32425" s="2423"/>
    </row>
    <row r="32426" spans="6:6">
      <c r="F32426" s="2423"/>
    </row>
    <row r="32427" spans="6:6">
      <c r="F32427" s="2423"/>
    </row>
    <row r="32428" spans="6:6">
      <c r="F32428" s="2423"/>
    </row>
    <row r="32429" spans="6:6">
      <c r="F32429" s="2423"/>
    </row>
    <row r="32430" spans="6:6">
      <c r="F32430" s="2423"/>
    </row>
    <row r="32431" spans="6:6">
      <c r="F32431" s="2423"/>
    </row>
    <row r="32432" spans="6:6">
      <c r="F32432" s="2423"/>
    </row>
    <row r="32433" spans="6:6">
      <c r="F32433" s="2423"/>
    </row>
    <row r="32434" spans="6:6">
      <c r="F32434" s="2423"/>
    </row>
    <row r="32435" spans="6:6">
      <c r="F32435" s="2423"/>
    </row>
    <row r="32436" spans="6:6">
      <c r="F32436" s="2423"/>
    </row>
    <row r="32437" spans="6:6">
      <c r="F32437" s="2423"/>
    </row>
    <row r="32438" spans="6:6">
      <c r="F32438" s="2423"/>
    </row>
    <row r="32439" spans="6:6">
      <c r="F32439" s="2423"/>
    </row>
    <row r="32440" spans="6:6">
      <c r="F32440" s="2423"/>
    </row>
    <row r="32441" spans="6:6">
      <c r="F32441" s="2423"/>
    </row>
    <row r="32442" spans="6:6">
      <c r="F32442" s="2423"/>
    </row>
    <row r="32443" spans="6:6">
      <c r="F32443" s="2423"/>
    </row>
    <row r="32444" spans="6:6">
      <c r="F32444" s="2423"/>
    </row>
    <row r="32445" spans="6:6">
      <c r="F32445" s="2423"/>
    </row>
    <row r="32446" spans="6:6">
      <c r="F32446" s="2423"/>
    </row>
    <row r="32447" spans="6:6">
      <c r="F32447" s="2423"/>
    </row>
    <row r="32448" spans="6:6">
      <c r="F32448" s="2423"/>
    </row>
    <row r="32449" spans="6:6">
      <c r="F32449" s="2423"/>
    </row>
    <row r="32450" spans="6:6">
      <c r="F32450" s="2423"/>
    </row>
    <row r="32451" spans="6:6">
      <c r="F32451" s="2423"/>
    </row>
    <row r="32452" spans="6:6">
      <c r="F32452" s="2423"/>
    </row>
    <row r="32453" spans="6:6">
      <c r="F32453" s="2423"/>
    </row>
    <row r="32454" spans="6:6">
      <c r="F32454" s="2423"/>
    </row>
    <row r="32455" spans="6:6">
      <c r="F32455" s="2423"/>
    </row>
    <row r="32456" spans="6:6">
      <c r="F32456" s="2423"/>
    </row>
    <row r="32457" spans="6:6">
      <c r="F32457" s="2423"/>
    </row>
    <row r="32458" spans="6:6">
      <c r="F32458" s="2423"/>
    </row>
    <row r="32459" spans="6:6">
      <c r="F32459" s="2423"/>
    </row>
    <row r="32460" spans="6:6">
      <c r="F32460" s="2423"/>
    </row>
    <row r="32461" spans="6:6">
      <c r="F32461" s="2423"/>
    </row>
    <row r="32462" spans="6:6">
      <c r="F32462" s="2423"/>
    </row>
    <row r="32463" spans="6:6">
      <c r="F32463" s="2423"/>
    </row>
    <row r="32464" spans="6:6">
      <c r="F32464" s="2423"/>
    </row>
    <row r="32465" spans="6:6">
      <c r="F32465" s="2423"/>
    </row>
    <row r="32466" spans="6:6">
      <c r="F32466" s="2423"/>
    </row>
    <row r="32467" spans="6:6">
      <c r="F32467" s="2423"/>
    </row>
    <row r="32468" spans="6:6">
      <c r="F32468" s="2423"/>
    </row>
    <row r="32469" spans="6:6">
      <c r="F32469" s="2423"/>
    </row>
    <row r="32470" spans="6:6">
      <c r="F32470" s="2423"/>
    </row>
    <row r="32471" spans="6:6">
      <c r="F32471" s="2423"/>
    </row>
    <row r="32472" spans="6:6">
      <c r="F32472" s="2423"/>
    </row>
    <row r="32473" spans="6:6">
      <c r="F32473" s="2423"/>
    </row>
    <row r="32474" spans="6:6">
      <c r="F32474" s="2423"/>
    </row>
    <row r="32475" spans="6:6">
      <c r="F32475" s="2423"/>
    </row>
    <row r="32476" spans="6:6">
      <c r="F32476" s="2423"/>
    </row>
    <row r="32477" spans="6:6">
      <c r="F32477" s="2423"/>
    </row>
    <row r="32478" spans="6:6">
      <c r="F32478" s="2423"/>
    </row>
    <row r="32479" spans="6:6">
      <c r="F32479" s="2423"/>
    </row>
    <row r="32480" spans="6:6">
      <c r="F32480" s="2423"/>
    </row>
    <row r="32481" spans="6:6">
      <c r="F32481" s="2423"/>
    </row>
    <row r="32482" spans="6:6">
      <c r="F32482" s="2423"/>
    </row>
    <row r="32483" spans="6:6">
      <c r="F32483" s="2423"/>
    </row>
    <row r="32484" spans="6:6">
      <c r="F32484" s="2423"/>
    </row>
    <row r="32485" spans="6:6">
      <c r="F32485" s="2423"/>
    </row>
    <row r="32486" spans="6:6">
      <c r="F32486" s="2423"/>
    </row>
    <row r="32487" spans="6:6">
      <c r="F32487" s="2423"/>
    </row>
    <row r="32488" spans="6:6">
      <c r="F32488" s="2423"/>
    </row>
    <row r="32489" spans="6:6">
      <c r="F32489" s="2423"/>
    </row>
    <row r="32490" spans="6:6">
      <c r="F32490" s="2423"/>
    </row>
    <row r="32491" spans="6:6">
      <c r="F32491" s="2423"/>
    </row>
    <row r="32492" spans="6:6">
      <c r="F32492" s="2423"/>
    </row>
    <row r="32493" spans="6:6">
      <c r="F32493" s="2423"/>
    </row>
    <row r="32494" spans="6:6">
      <c r="F32494" s="2423"/>
    </row>
    <row r="32495" spans="6:6">
      <c r="F32495" s="2423"/>
    </row>
    <row r="32496" spans="6:6">
      <c r="F32496" s="2423"/>
    </row>
    <row r="32497" spans="6:6">
      <c r="F32497" s="2423"/>
    </row>
    <row r="32498" spans="6:6">
      <c r="F32498" s="2423"/>
    </row>
    <row r="32499" spans="6:6">
      <c r="F32499" s="2423"/>
    </row>
    <row r="32500" spans="6:6">
      <c r="F32500" s="2423"/>
    </row>
    <row r="32501" spans="6:6">
      <c r="F32501" s="2423"/>
    </row>
    <row r="32502" spans="6:6">
      <c r="F32502" s="2423"/>
    </row>
    <row r="32503" spans="6:6">
      <c r="F32503" s="2423"/>
    </row>
    <row r="32504" spans="6:6">
      <c r="F32504" s="2423"/>
    </row>
    <row r="32505" spans="6:6">
      <c r="F32505" s="2423"/>
    </row>
    <row r="32506" spans="6:6">
      <c r="F32506" s="2423"/>
    </row>
    <row r="32507" spans="6:6">
      <c r="F32507" s="2423"/>
    </row>
    <row r="32508" spans="6:6">
      <c r="F32508" s="2423"/>
    </row>
    <row r="32509" spans="6:6">
      <c r="F32509" s="2423"/>
    </row>
    <row r="32510" spans="6:6">
      <c r="F32510" s="2423"/>
    </row>
    <row r="32511" spans="6:6">
      <c r="F32511" s="2423"/>
    </row>
    <row r="32512" spans="6:6">
      <c r="F32512" s="2423"/>
    </row>
    <row r="32513" spans="6:6">
      <c r="F32513" s="2423"/>
    </row>
    <row r="32514" spans="6:6">
      <c r="F32514" s="2423"/>
    </row>
    <row r="32515" spans="6:6">
      <c r="F32515" s="2423"/>
    </row>
    <row r="32516" spans="6:6">
      <c r="F32516" s="2423"/>
    </row>
    <row r="32517" spans="6:6">
      <c r="F32517" s="2423"/>
    </row>
    <row r="32518" spans="6:6">
      <c r="F32518" s="2423"/>
    </row>
    <row r="32519" spans="6:6">
      <c r="F32519" s="2423"/>
    </row>
    <row r="32520" spans="6:6">
      <c r="F32520" s="2423"/>
    </row>
    <row r="32521" spans="6:6">
      <c r="F32521" s="2423"/>
    </row>
    <row r="32522" spans="6:6">
      <c r="F32522" s="2423"/>
    </row>
    <row r="32523" spans="6:6">
      <c r="F32523" s="2423"/>
    </row>
    <row r="32524" spans="6:6">
      <c r="F32524" s="2423"/>
    </row>
    <row r="32525" spans="6:6">
      <c r="F32525" s="2423"/>
    </row>
    <row r="32526" spans="6:6">
      <c r="F32526" s="2423"/>
    </row>
    <row r="32527" spans="6:6">
      <c r="F32527" s="2423"/>
    </row>
    <row r="32528" spans="6:6">
      <c r="F32528" s="2423"/>
    </row>
    <row r="32529" spans="6:6">
      <c r="F32529" s="2423"/>
    </row>
    <row r="32530" spans="6:6">
      <c r="F32530" s="2423"/>
    </row>
    <row r="32531" spans="6:6">
      <c r="F32531" s="2423"/>
    </row>
    <row r="32532" spans="6:6">
      <c r="F32532" s="2423"/>
    </row>
    <row r="32533" spans="6:6">
      <c r="F32533" s="2423"/>
    </row>
    <row r="32534" spans="6:6">
      <c r="F32534" s="2423"/>
    </row>
    <row r="32535" spans="6:6">
      <c r="F32535" s="2423"/>
    </row>
    <row r="32536" spans="6:6">
      <c r="F32536" s="2423"/>
    </row>
    <row r="32537" spans="6:6">
      <c r="F32537" s="2423"/>
    </row>
    <row r="32538" spans="6:6">
      <c r="F32538" s="2423"/>
    </row>
    <row r="32539" spans="6:6">
      <c r="F32539" s="2423"/>
    </row>
    <row r="32540" spans="6:6">
      <c r="F32540" s="2423"/>
    </row>
    <row r="32541" spans="6:6">
      <c r="F32541" s="2423"/>
    </row>
    <row r="32542" spans="6:6">
      <c r="F32542" s="2423"/>
    </row>
    <row r="32543" spans="6:6">
      <c r="F32543" s="2423"/>
    </row>
    <row r="32544" spans="6:6">
      <c r="F32544" s="2423"/>
    </row>
    <row r="32545" spans="6:6">
      <c r="F32545" s="2423"/>
    </row>
    <row r="32546" spans="6:6">
      <c r="F32546" s="2423"/>
    </row>
    <row r="32547" spans="6:6">
      <c r="F32547" s="2423"/>
    </row>
    <row r="32548" spans="6:6">
      <c r="F32548" s="2423"/>
    </row>
    <row r="32549" spans="6:6">
      <c r="F32549" s="2423"/>
    </row>
    <row r="32550" spans="6:6">
      <c r="F32550" s="2423"/>
    </row>
    <row r="32551" spans="6:6">
      <c r="F32551" s="2423"/>
    </row>
    <row r="32552" spans="6:6">
      <c r="F32552" s="2423"/>
    </row>
    <row r="32553" spans="6:6">
      <c r="F32553" s="2423"/>
    </row>
    <row r="32554" spans="6:6">
      <c r="F32554" s="2423"/>
    </row>
    <row r="32555" spans="6:6">
      <c r="F32555" s="2423"/>
    </row>
    <row r="32556" spans="6:6">
      <c r="F32556" s="2423"/>
    </row>
    <row r="32557" spans="6:6">
      <c r="F32557" s="2423"/>
    </row>
    <row r="32558" spans="6:6">
      <c r="F32558" s="2423"/>
    </row>
    <row r="32559" spans="6:6">
      <c r="F32559" s="2423"/>
    </row>
    <row r="32560" spans="6:6">
      <c r="F32560" s="2423"/>
    </row>
    <row r="32561" spans="6:6">
      <c r="F32561" s="2423"/>
    </row>
    <row r="32562" spans="6:6">
      <c r="F32562" s="2423"/>
    </row>
    <row r="32563" spans="6:6">
      <c r="F32563" s="2423"/>
    </row>
    <row r="32564" spans="6:6">
      <c r="F32564" s="2423"/>
    </row>
    <row r="32565" spans="6:6">
      <c r="F32565" s="2423"/>
    </row>
    <row r="32566" spans="6:6">
      <c r="F32566" s="2423"/>
    </row>
    <row r="32567" spans="6:6">
      <c r="F32567" s="2423"/>
    </row>
    <row r="32568" spans="6:6">
      <c r="F32568" s="2423"/>
    </row>
    <row r="32569" spans="6:6">
      <c r="F32569" s="2423"/>
    </row>
    <row r="32570" spans="6:6">
      <c r="F32570" s="2423"/>
    </row>
    <row r="32571" spans="6:6">
      <c r="F32571" s="2423"/>
    </row>
    <row r="32572" spans="6:6">
      <c r="F32572" s="2423"/>
    </row>
    <row r="32573" spans="6:6">
      <c r="F32573" s="2423"/>
    </row>
    <row r="32574" spans="6:6">
      <c r="F32574" s="2423"/>
    </row>
    <row r="32575" spans="6:6">
      <c r="F32575" s="2423"/>
    </row>
    <row r="32576" spans="6:6">
      <c r="F32576" s="2423"/>
    </row>
    <row r="32577" spans="6:6">
      <c r="F32577" s="2423"/>
    </row>
    <row r="32578" spans="6:6">
      <c r="F32578" s="2423"/>
    </row>
    <row r="32579" spans="6:6">
      <c r="F32579" s="2423"/>
    </row>
    <row r="32580" spans="6:6">
      <c r="F32580" s="2423"/>
    </row>
    <row r="32581" spans="6:6">
      <c r="F32581" s="2423"/>
    </row>
    <row r="32582" spans="6:6">
      <c r="F32582" s="2423"/>
    </row>
    <row r="32583" spans="6:6">
      <c r="F32583" s="2423"/>
    </row>
    <row r="32584" spans="6:6">
      <c r="F32584" s="2423"/>
    </row>
    <row r="32585" spans="6:6">
      <c r="F32585" s="2423"/>
    </row>
    <row r="32586" spans="6:6">
      <c r="F32586" s="2423"/>
    </row>
    <row r="32587" spans="6:6">
      <c r="F32587" s="2423"/>
    </row>
    <row r="32588" spans="6:6">
      <c r="F32588" s="2423"/>
    </row>
    <row r="32589" spans="6:6">
      <c r="F32589" s="2423"/>
    </row>
    <row r="32590" spans="6:6">
      <c r="F32590" s="2423"/>
    </row>
    <row r="32591" spans="6:6">
      <c r="F32591" s="2423"/>
    </row>
    <row r="32592" spans="6:6">
      <c r="F32592" s="2423"/>
    </row>
    <row r="32593" spans="6:6">
      <c r="F32593" s="2423"/>
    </row>
    <row r="32594" spans="6:6">
      <c r="F32594" s="2423"/>
    </row>
    <row r="32595" spans="6:6">
      <c r="F32595" s="2423"/>
    </row>
    <row r="32596" spans="6:6">
      <c r="F32596" s="2423"/>
    </row>
    <row r="32597" spans="6:6">
      <c r="F32597" s="2423"/>
    </row>
    <row r="32598" spans="6:6">
      <c r="F32598" s="2423"/>
    </row>
    <row r="32599" spans="6:6">
      <c r="F32599" s="2423"/>
    </row>
    <row r="32600" spans="6:6">
      <c r="F32600" s="2423"/>
    </row>
    <row r="32601" spans="6:6">
      <c r="F32601" s="2423"/>
    </row>
    <row r="32602" spans="6:6">
      <c r="F32602" s="2423"/>
    </row>
    <row r="32603" spans="6:6">
      <c r="F32603" s="2423"/>
    </row>
    <row r="32604" spans="6:6">
      <c r="F32604" s="2423"/>
    </row>
    <row r="32605" spans="6:6">
      <c r="F32605" s="2423"/>
    </row>
    <row r="32606" spans="6:6">
      <c r="F32606" s="2423"/>
    </row>
    <row r="32607" spans="6:6">
      <c r="F32607" s="2423"/>
    </row>
    <row r="32608" spans="6:6">
      <c r="F32608" s="2423"/>
    </row>
    <row r="32609" spans="6:6">
      <c r="F32609" s="2423"/>
    </row>
    <row r="32610" spans="6:6">
      <c r="F32610" s="2423"/>
    </row>
    <row r="32611" spans="6:6">
      <c r="F32611" s="2423"/>
    </row>
    <row r="32612" spans="6:6">
      <c r="F32612" s="2423"/>
    </row>
    <row r="32613" spans="6:6">
      <c r="F32613" s="2423"/>
    </row>
    <row r="32614" spans="6:6">
      <c r="F32614" s="2423"/>
    </row>
    <row r="32615" spans="6:6">
      <c r="F32615" s="2423"/>
    </row>
    <row r="32616" spans="6:6">
      <c r="F32616" s="2423"/>
    </row>
    <row r="32617" spans="6:6">
      <c r="F32617" s="2423"/>
    </row>
    <row r="32618" spans="6:6">
      <c r="F32618" s="2423"/>
    </row>
    <row r="32619" spans="6:6">
      <c r="F32619" s="2423"/>
    </row>
    <row r="32620" spans="6:6">
      <c r="F32620" s="2423"/>
    </row>
    <row r="32621" spans="6:6">
      <c r="F32621" s="2423"/>
    </row>
    <row r="32622" spans="6:6">
      <c r="F32622" s="2423"/>
    </row>
    <row r="32623" spans="6:6">
      <c r="F32623" s="2423"/>
    </row>
    <row r="32624" spans="6:6">
      <c r="F32624" s="2423"/>
    </row>
    <row r="32625" spans="6:6">
      <c r="F32625" s="2423"/>
    </row>
    <row r="32626" spans="6:6">
      <c r="F32626" s="2423"/>
    </row>
    <row r="32627" spans="6:6">
      <c r="F32627" s="2423"/>
    </row>
    <row r="32628" spans="6:6">
      <c r="F32628" s="2423"/>
    </row>
    <row r="32629" spans="6:6">
      <c r="F32629" s="2423"/>
    </row>
    <row r="32630" spans="6:6">
      <c r="F32630" s="2423"/>
    </row>
    <row r="32631" spans="6:6">
      <c r="F32631" s="2423"/>
    </row>
    <row r="32632" spans="6:6">
      <c r="F32632" s="2423"/>
    </row>
    <row r="32633" spans="6:6">
      <c r="F32633" s="2423"/>
    </row>
    <row r="32634" spans="6:6">
      <c r="F32634" s="2423"/>
    </row>
    <row r="32635" spans="6:6">
      <c r="F32635" s="2423"/>
    </row>
    <row r="32636" spans="6:6">
      <c r="F32636" s="2423"/>
    </row>
    <row r="32637" spans="6:6">
      <c r="F32637" s="2423"/>
    </row>
    <row r="32638" spans="6:6">
      <c r="F32638" s="2423"/>
    </row>
    <row r="32639" spans="6:6">
      <c r="F32639" s="2423"/>
    </row>
    <row r="32640" spans="6:6">
      <c r="F32640" s="2423"/>
    </row>
    <row r="32641" spans="6:6">
      <c r="F32641" s="2423"/>
    </row>
    <row r="32642" spans="6:6">
      <c r="F32642" s="2423"/>
    </row>
    <row r="32643" spans="6:6">
      <c r="F32643" s="2423"/>
    </row>
    <row r="32644" spans="6:6">
      <c r="F32644" s="2423"/>
    </row>
    <row r="32645" spans="6:6">
      <c r="F32645" s="2423"/>
    </row>
    <row r="32646" spans="6:6">
      <c r="F32646" s="2423"/>
    </row>
    <row r="32647" spans="6:6">
      <c r="F32647" s="2423"/>
    </row>
    <row r="32648" spans="6:6">
      <c r="F32648" s="2423"/>
    </row>
    <row r="32649" spans="6:6">
      <c r="F32649" s="2423"/>
    </row>
    <row r="32650" spans="6:6">
      <c r="F32650" s="2423"/>
    </row>
    <row r="32651" spans="6:6">
      <c r="F32651" s="2423"/>
    </row>
    <row r="32652" spans="6:6">
      <c r="F32652" s="2423"/>
    </row>
    <row r="32653" spans="6:6">
      <c r="F32653" s="2423"/>
    </row>
    <row r="32654" spans="6:6">
      <c r="F32654" s="2423"/>
    </row>
    <row r="32655" spans="6:6">
      <c r="F32655" s="2423"/>
    </row>
    <row r="32656" spans="6:6">
      <c r="F32656" s="2423"/>
    </row>
    <row r="32657" spans="6:6">
      <c r="F32657" s="2423"/>
    </row>
    <row r="32658" spans="6:6">
      <c r="F32658" s="2423"/>
    </row>
    <row r="32659" spans="6:6">
      <c r="F32659" s="2423"/>
    </row>
    <row r="32660" spans="6:6">
      <c r="F32660" s="2423"/>
    </row>
    <row r="32661" spans="6:6">
      <c r="F32661" s="2423"/>
    </row>
    <row r="32662" spans="6:6">
      <c r="F32662" s="2423"/>
    </row>
    <row r="32663" spans="6:6">
      <c r="F32663" s="2423"/>
    </row>
    <row r="32664" spans="6:6">
      <c r="F32664" s="2423"/>
    </row>
    <row r="32665" spans="6:6">
      <c r="F32665" s="2423"/>
    </row>
    <row r="32666" spans="6:6">
      <c r="F32666" s="2423"/>
    </row>
    <row r="32667" spans="6:6">
      <c r="F32667" s="2423"/>
    </row>
    <row r="32668" spans="6:6">
      <c r="F32668" s="2423"/>
    </row>
    <row r="32669" spans="6:6">
      <c r="F32669" s="2423"/>
    </row>
    <row r="32670" spans="6:6">
      <c r="F32670" s="2423"/>
    </row>
    <row r="32671" spans="6:6">
      <c r="F32671" s="2423"/>
    </row>
    <row r="32672" spans="6:6">
      <c r="F32672" s="2423"/>
    </row>
    <row r="32673" spans="6:6">
      <c r="F32673" s="2423"/>
    </row>
    <row r="32674" spans="6:6">
      <c r="F32674" s="2423"/>
    </row>
    <row r="32675" spans="6:6">
      <c r="F32675" s="2423"/>
    </row>
    <row r="32676" spans="6:6">
      <c r="F32676" s="2423"/>
    </row>
    <row r="32677" spans="6:6">
      <c r="F32677" s="2423"/>
    </row>
    <row r="32678" spans="6:6">
      <c r="F32678" s="2423"/>
    </row>
    <row r="32679" spans="6:6">
      <c r="F32679" s="2423"/>
    </row>
    <row r="32680" spans="6:6">
      <c r="F32680" s="2423"/>
    </row>
    <row r="32681" spans="6:6">
      <c r="F32681" s="2423"/>
    </row>
    <row r="32682" spans="6:6">
      <c r="F32682" s="2423"/>
    </row>
    <row r="32683" spans="6:6">
      <c r="F32683" s="2423"/>
    </row>
    <row r="32684" spans="6:6">
      <c r="F32684" s="2423"/>
    </row>
    <row r="32685" spans="6:6">
      <c r="F32685" s="2423"/>
    </row>
    <row r="32686" spans="6:6">
      <c r="F32686" s="2423"/>
    </row>
    <row r="32687" spans="6:6">
      <c r="F32687" s="2423"/>
    </row>
    <row r="32688" spans="6:6">
      <c r="F32688" s="2423"/>
    </row>
    <row r="32689" spans="6:6">
      <c r="F32689" s="2423"/>
    </row>
    <row r="32690" spans="6:6">
      <c r="F32690" s="2423"/>
    </row>
    <row r="32691" spans="6:6">
      <c r="F32691" s="2423"/>
    </row>
    <row r="32692" spans="6:6">
      <c r="F32692" s="2423"/>
    </row>
    <row r="32693" spans="6:6">
      <c r="F32693" s="2423"/>
    </row>
    <row r="32694" spans="6:6">
      <c r="F32694" s="2423"/>
    </row>
    <row r="32695" spans="6:6">
      <c r="F32695" s="2423"/>
    </row>
    <row r="32696" spans="6:6">
      <c r="F32696" s="2423"/>
    </row>
    <row r="32697" spans="6:6">
      <c r="F32697" s="2423"/>
    </row>
    <row r="32698" spans="6:6">
      <c r="F32698" s="2423"/>
    </row>
    <row r="32699" spans="6:6">
      <c r="F32699" s="2423"/>
    </row>
    <row r="32700" spans="6:6">
      <c r="F32700" s="2423"/>
    </row>
    <row r="32701" spans="6:6">
      <c r="F32701" s="2423"/>
    </row>
    <row r="32702" spans="6:6">
      <c r="F32702" s="2423"/>
    </row>
    <row r="32703" spans="6:6">
      <c r="F32703" s="2423"/>
    </row>
    <row r="32704" spans="6:6">
      <c r="F32704" s="2423"/>
    </row>
    <row r="32705" spans="6:6">
      <c r="F32705" s="2423"/>
    </row>
    <row r="32706" spans="6:6">
      <c r="F32706" s="2423"/>
    </row>
    <row r="32707" spans="6:6">
      <c r="F32707" s="2423"/>
    </row>
    <row r="32708" spans="6:6">
      <c r="F32708" s="2423"/>
    </row>
    <row r="32709" spans="6:6">
      <c r="F32709" s="2423"/>
    </row>
    <row r="32710" spans="6:6">
      <c r="F32710" s="2423"/>
    </row>
    <row r="32711" spans="6:6">
      <c r="F32711" s="2423"/>
    </row>
    <row r="32712" spans="6:6">
      <c r="F32712" s="2423"/>
    </row>
    <row r="32713" spans="6:6">
      <c r="F32713" s="2423"/>
    </row>
    <row r="32714" spans="6:6">
      <c r="F32714" s="2423"/>
    </row>
    <row r="32715" spans="6:6">
      <c r="F32715" s="2423"/>
    </row>
    <row r="32716" spans="6:6">
      <c r="F32716" s="2423"/>
    </row>
    <row r="32717" spans="6:6">
      <c r="F32717" s="2423"/>
    </row>
    <row r="32718" spans="6:6">
      <c r="F32718" s="2423"/>
    </row>
    <row r="32719" spans="6:6">
      <c r="F32719" s="2423"/>
    </row>
    <row r="32720" spans="6:6">
      <c r="F32720" s="2423"/>
    </row>
    <row r="32721" spans="6:6">
      <c r="F32721" s="2423"/>
    </row>
    <row r="32722" spans="6:6">
      <c r="F32722" s="2423"/>
    </row>
    <row r="32723" spans="6:6">
      <c r="F32723" s="2423"/>
    </row>
    <row r="32724" spans="6:6">
      <c r="F32724" s="2423"/>
    </row>
    <row r="32725" spans="6:6">
      <c r="F32725" s="2423"/>
    </row>
    <row r="32726" spans="6:6">
      <c r="F32726" s="2423"/>
    </row>
    <row r="32727" spans="6:6">
      <c r="F32727" s="2423"/>
    </row>
    <row r="32728" spans="6:6">
      <c r="F32728" s="2423"/>
    </row>
    <row r="32729" spans="6:6">
      <c r="F32729" s="2423"/>
    </row>
    <row r="32730" spans="6:6">
      <c r="F32730" s="2423"/>
    </row>
    <row r="32731" spans="6:6">
      <c r="F32731" s="2423"/>
    </row>
    <row r="32732" spans="6:6">
      <c r="F32732" s="2423"/>
    </row>
    <row r="32733" spans="6:6">
      <c r="F32733" s="2423"/>
    </row>
    <row r="32734" spans="6:6">
      <c r="F32734" s="2423"/>
    </row>
    <row r="32735" spans="6:6">
      <c r="F32735" s="2423"/>
    </row>
    <row r="32736" spans="6:6">
      <c r="F32736" s="2423"/>
    </row>
    <row r="32737" spans="6:6">
      <c r="F32737" s="2423"/>
    </row>
    <row r="32738" spans="6:6">
      <c r="F32738" s="2423"/>
    </row>
    <row r="32739" spans="6:6">
      <c r="F32739" s="2423"/>
    </row>
    <row r="32740" spans="6:6">
      <c r="F32740" s="2423"/>
    </row>
    <row r="32741" spans="6:6">
      <c r="F32741" s="2423"/>
    </row>
    <row r="32742" spans="6:6">
      <c r="F32742" s="2423"/>
    </row>
    <row r="32743" spans="6:6">
      <c r="F32743" s="2423"/>
    </row>
    <row r="32744" spans="6:6">
      <c r="F32744" s="2423"/>
    </row>
    <row r="32745" spans="6:6">
      <c r="F32745" s="2423"/>
    </row>
    <row r="32746" spans="6:6">
      <c r="F32746" s="2423"/>
    </row>
    <row r="32747" spans="6:6">
      <c r="F32747" s="2423"/>
    </row>
    <row r="32748" spans="6:6">
      <c r="F32748" s="2423"/>
    </row>
    <row r="32749" spans="6:6">
      <c r="F32749" s="2423"/>
    </row>
    <row r="32750" spans="6:6">
      <c r="F32750" s="2423"/>
    </row>
    <row r="32751" spans="6:6">
      <c r="F32751" s="2423"/>
    </row>
    <row r="32752" spans="6:6">
      <c r="F32752" s="2423"/>
    </row>
    <row r="32753" spans="6:6">
      <c r="F32753" s="2423"/>
    </row>
    <row r="32754" spans="6:6">
      <c r="F32754" s="2423"/>
    </row>
    <row r="32755" spans="6:6">
      <c r="F32755" s="2423"/>
    </row>
    <row r="32756" spans="6:6">
      <c r="F32756" s="2423"/>
    </row>
    <row r="32757" spans="6:6">
      <c r="F32757" s="2423"/>
    </row>
    <row r="32758" spans="6:6">
      <c r="F32758" s="2423"/>
    </row>
    <row r="32759" spans="6:6">
      <c r="F32759" s="2423"/>
    </row>
    <row r="32760" spans="6:6">
      <c r="F32760" s="2423"/>
    </row>
    <row r="32761" spans="6:6">
      <c r="F32761" s="2423"/>
    </row>
    <row r="32762" spans="6:6">
      <c r="F32762" s="2423"/>
    </row>
    <row r="32763" spans="6:6">
      <c r="F32763" s="2423"/>
    </row>
    <row r="32764" spans="6:6">
      <c r="F32764" s="2423"/>
    </row>
    <row r="32765" spans="6:6">
      <c r="F32765" s="2423"/>
    </row>
    <row r="32766" spans="6:6">
      <c r="F32766" s="2423"/>
    </row>
    <row r="32767" spans="6:6">
      <c r="F32767" s="2423"/>
    </row>
    <row r="32768" spans="6:6">
      <c r="F32768" s="2423"/>
    </row>
    <row r="32769" spans="6:6">
      <c r="F32769" s="2423"/>
    </row>
    <row r="32770" spans="6:6">
      <c r="F32770" s="2423"/>
    </row>
    <row r="32771" spans="6:6">
      <c r="F32771" s="2423"/>
    </row>
    <row r="32772" spans="6:6">
      <c r="F32772" s="2423"/>
    </row>
    <row r="32773" spans="6:6">
      <c r="F32773" s="2423"/>
    </row>
    <row r="32774" spans="6:6">
      <c r="F32774" s="2423"/>
    </row>
    <row r="32775" spans="6:6">
      <c r="F32775" s="2423"/>
    </row>
    <row r="32776" spans="6:6">
      <c r="F32776" s="2423"/>
    </row>
    <row r="32777" spans="6:6">
      <c r="F32777" s="2423"/>
    </row>
    <row r="32778" spans="6:6">
      <c r="F32778" s="2423"/>
    </row>
    <row r="32779" spans="6:6">
      <c r="F32779" s="2423"/>
    </row>
    <row r="32780" spans="6:6">
      <c r="F32780" s="2423"/>
    </row>
    <row r="32781" spans="6:6">
      <c r="F32781" s="2423"/>
    </row>
    <row r="32782" spans="6:6">
      <c r="F32782" s="2423"/>
    </row>
    <row r="32783" spans="6:6">
      <c r="F32783" s="2423"/>
    </row>
    <row r="32784" spans="6:6">
      <c r="F32784" s="2423"/>
    </row>
    <row r="32785" spans="6:6">
      <c r="F32785" s="2423"/>
    </row>
    <row r="32786" spans="6:6">
      <c r="F32786" s="2423"/>
    </row>
    <row r="32787" spans="6:6">
      <c r="F32787" s="2423"/>
    </row>
    <row r="32788" spans="6:6">
      <c r="F32788" s="2423"/>
    </row>
    <row r="32789" spans="6:6">
      <c r="F32789" s="2423"/>
    </row>
    <row r="32790" spans="6:6">
      <c r="F32790" s="2423"/>
    </row>
    <row r="32791" spans="6:6">
      <c r="F32791" s="2423"/>
    </row>
    <row r="32792" spans="6:6">
      <c r="F32792" s="2423"/>
    </row>
    <row r="32793" spans="6:6">
      <c r="F32793" s="2423"/>
    </row>
    <row r="32794" spans="6:6">
      <c r="F32794" s="2423"/>
    </row>
    <row r="32795" spans="6:6">
      <c r="F32795" s="2423"/>
    </row>
    <row r="32796" spans="6:6">
      <c r="F32796" s="2423"/>
    </row>
    <row r="32797" spans="6:6">
      <c r="F32797" s="2423"/>
    </row>
    <row r="32798" spans="6:6">
      <c r="F32798" s="2423"/>
    </row>
    <row r="32799" spans="6:6">
      <c r="F32799" s="2423"/>
    </row>
    <row r="32800" spans="6:6">
      <c r="F32800" s="2423"/>
    </row>
    <row r="32801" spans="6:6">
      <c r="F32801" s="2423"/>
    </row>
    <row r="32802" spans="6:6">
      <c r="F32802" s="2423"/>
    </row>
    <row r="32803" spans="6:6">
      <c r="F32803" s="2423"/>
    </row>
    <row r="32804" spans="6:6">
      <c r="F32804" s="2423"/>
    </row>
    <row r="32805" spans="6:6">
      <c r="F32805" s="2423"/>
    </row>
    <row r="32806" spans="6:6">
      <c r="F32806" s="2423"/>
    </row>
    <row r="32807" spans="6:6">
      <c r="F32807" s="2423"/>
    </row>
    <row r="32808" spans="6:6">
      <c r="F32808" s="2423"/>
    </row>
    <row r="32809" spans="6:6">
      <c r="F32809" s="2423"/>
    </row>
    <row r="32810" spans="6:6">
      <c r="F32810" s="2423"/>
    </row>
    <row r="32811" spans="6:6">
      <c r="F32811" s="2423"/>
    </row>
    <row r="32812" spans="6:6">
      <c r="F32812" s="2423"/>
    </row>
    <row r="32813" spans="6:6">
      <c r="F32813" s="2423"/>
    </row>
    <row r="32814" spans="6:6">
      <c r="F32814" s="2423"/>
    </row>
    <row r="32815" spans="6:6">
      <c r="F32815" s="2423"/>
    </row>
    <row r="32816" spans="6:6">
      <c r="F32816" s="2423"/>
    </row>
    <row r="32817" spans="6:6">
      <c r="F32817" s="2423"/>
    </row>
    <row r="32818" spans="6:6">
      <c r="F32818" s="2423"/>
    </row>
    <row r="32819" spans="6:6">
      <c r="F32819" s="2423"/>
    </row>
    <row r="32820" spans="6:6">
      <c r="F32820" s="2423"/>
    </row>
    <row r="32821" spans="6:6">
      <c r="F32821" s="2423"/>
    </row>
    <row r="32822" spans="6:6">
      <c r="F32822" s="2423"/>
    </row>
    <row r="32823" spans="6:6">
      <c r="F32823" s="2423"/>
    </row>
    <row r="32824" spans="6:6">
      <c r="F32824" s="2423"/>
    </row>
    <row r="32825" spans="6:6">
      <c r="F32825" s="2423"/>
    </row>
    <row r="32826" spans="6:6">
      <c r="F32826" s="2423"/>
    </row>
    <row r="32827" spans="6:6">
      <c r="F32827" s="2423"/>
    </row>
    <row r="32828" spans="6:6">
      <c r="F32828" s="2423"/>
    </row>
    <row r="32829" spans="6:6">
      <c r="F32829" s="2423"/>
    </row>
    <row r="32830" spans="6:6">
      <c r="F32830" s="2423"/>
    </row>
    <row r="32831" spans="6:6">
      <c r="F32831" s="2423"/>
    </row>
    <row r="32832" spans="6:6">
      <c r="F32832" s="2423"/>
    </row>
    <row r="32833" spans="6:6">
      <c r="F32833" s="2423"/>
    </row>
    <row r="32834" spans="6:6">
      <c r="F32834" s="2423"/>
    </row>
    <row r="32835" spans="6:6">
      <c r="F32835" s="2423"/>
    </row>
    <row r="32836" spans="6:6">
      <c r="F32836" s="2423"/>
    </row>
    <row r="32837" spans="6:6">
      <c r="F32837" s="2423"/>
    </row>
    <row r="32838" spans="6:6">
      <c r="F32838" s="2423"/>
    </row>
    <row r="32839" spans="6:6">
      <c r="F32839" s="2423"/>
    </row>
    <row r="32840" spans="6:6">
      <c r="F32840" s="2423"/>
    </row>
    <row r="32841" spans="6:6">
      <c r="F32841" s="2423"/>
    </row>
    <row r="32842" spans="6:6">
      <c r="F32842" s="2423"/>
    </row>
    <row r="32843" spans="6:6">
      <c r="F32843" s="2423"/>
    </row>
    <row r="32844" spans="6:6">
      <c r="F32844" s="2423"/>
    </row>
    <row r="32845" spans="6:6">
      <c r="F32845" s="2423"/>
    </row>
    <row r="32846" spans="6:6">
      <c r="F32846" s="2423"/>
    </row>
    <row r="32847" spans="6:6">
      <c r="F32847" s="2423"/>
    </row>
    <row r="32848" spans="6:6">
      <c r="F32848" s="2423"/>
    </row>
    <row r="32849" spans="6:6">
      <c r="F32849" s="2423"/>
    </row>
    <row r="32850" spans="6:6">
      <c r="F32850" s="2423"/>
    </row>
    <row r="32851" spans="6:6">
      <c r="F32851" s="2423"/>
    </row>
    <row r="32852" spans="6:6">
      <c r="F32852" s="2423"/>
    </row>
    <row r="32853" spans="6:6">
      <c r="F32853" s="2423"/>
    </row>
    <row r="32854" spans="6:6">
      <c r="F32854" s="2423"/>
    </row>
    <row r="32855" spans="6:6">
      <c r="F32855" s="2423"/>
    </row>
    <row r="32856" spans="6:6">
      <c r="F32856" s="2423"/>
    </row>
    <row r="32857" spans="6:6">
      <c r="F32857" s="2423"/>
    </row>
    <row r="32858" spans="6:6">
      <c r="F32858" s="2423"/>
    </row>
    <row r="32859" spans="6:6">
      <c r="F32859" s="2423"/>
    </row>
    <row r="32860" spans="6:6">
      <c r="F32860" s="2423"/>
    </row>
    <row r="32861" spans="6:6">
      <c r="F32861" s="2423"/>
    </row>
    <row r="32862" spans="6:6">
      <c r="F32862" s="2423"/>
    </row>
    <row r="32863" spans="6:6">
      <c r="F32863" s="2423"/>
    </row>
    <row r="32864" spans="6:6">
      <c r="F32864" s="2423"/>
    </row>
    <row r="32865" spans="6:6">
      <c r="F32865" s="2423"/>
    </row>
    <row r="32866" spans="6:6">
      <c r="F32866" s="2423"/>
    </row>
    <row r="32867" spans="6:6">
      <c r="F32867" s="2423"/>
    </row>
    <row r="32868" spans="6:6">
      <c r="F32868" s="2423"/>
    </row>
    <row r="32869" spans="6:6">
      <c r="F32869" s="2423"/>
    </row>
    <row r="32870" spans="6:6">
      <c r="F32870" s="2423"/>
    </row>
    <row r="32871" spans="6:6">
      <c r="F32871" s="2423"/>
    </row>
    <row r="32872" spans="6:6">
      <c r="F32872" s="2423"/>
    </row>
    <row r="32873" spans="6:6">
      <c r="F32873" s="2423"/>
    </row>
    <row r="32874" spans="6:6">
      <c r="F32874" s="2423"/>
    </row>
    <row r="32875" spans="6:6">
      <c r="F32875" s="2423"/>
    </row>
    <row r="32876" spans="6:6">
      <c r="F32876" s="2423"/>
    </row>
    <row r="32877" spans="6:6">
      <c r="F32877" s="2423"/>
    </row>
    <row r="32878" spans="6:6">
      <c r="F32878" s="2423"/>
    </row>
    <row r="32879" spans="6:6">
      <c r="F32879" s="2423"/>
    </row>
    <row r="32880" spans="6:6">
      <c r="F32880" s="2423"/>
    </row>
    <row r="32881" spans="6:6">
      <c r="F32881" s="2423"/>
    </row>
    <row r="32882" spans="6:6">
      <c r="F32882" s="2423"/>
    </row>
    <row r="32883" spans="6:6">
      <c r="F32883" s="2423"/>
    </row>
    <row r="32884" spans="6:6">
      <c r="F32884" s="2423"/>
    </row>
    <row r="32885" spans="6:6">
      <c r="F32885" s="2423"/>
    </row>
    <row r="32886" spans="6:6">
      <c r="F32886" s="2423"/>
    </row>
    <row r="32887" spans="6:6">
      <c r="F32887" s="2423"/>
    </row>
    <row r="32888" spans="6:6">
      <c r="F32888" s="2423"/>
    </row>
    <row r="32889" spans="6:6">
      <c r="F32889" s="2423"/>
    </row>
    <row r="32890" spans="6:6">
      <c r="F32890" s="2423"/>
    </row>
    <row r="32891" spans="6:6">
      <c r="F32891" s="2423"/>
    </row>
    <row r="32892" spans="6:6">
      <c r="F32892" s="2423"/>
    </row>
    <row r="32893" spans="6:6">
      <c r="F32893" s="2423"/>
    </row>
    <row r="32894" spans="6:6">
      <c r="F32894" s="2423"/>
    </row>
    <row r="32895" spans="6:6">
      <c r="F32895" s="2423"/>
    </row>
    <row r="32896" spans="6:6">
      <c r="F32896" s="2423"/>
    </row>
    <row r="32897" spans="6:6">
      <c r="F32897" s="2423"/>
    </row>
    <row r="32898" spans="6:6">
      <c r="F32898" s="2423"/>
    </row>
    <row r="32899" spans="6:6">
      <c r="F32899" s="2423"/>
    </row>
    <row r="32900" spans="6:6">
      <c r="F32900" s="2423"/>
    </row>
    <row r="32901" spans="6:6">
      <c r="F32901" s="2423"/>
    </row>
    <row r="32902" spans="6:6">
      <c r="F32902" s="2423"/>
    </row>
    <row r="32903" spans="6:6">
      <c r="F32903" s="2423"/>
    </row>
    <row r="32904" spans="6:6">
      <c r="F32904" s="2423"/>
    </row>
    <row r="32905" spans="6:6">
      <c r="F32905" s="2423"/>
    </row>
    <row r="32906" spans="6:6">
      <c r="F32906" s="2423"/>
    </row>
    <row r="32907" spans="6:6">
      <c r="F32907" s="2423"/>
    </row>
    <row r="32908" spans="6:6">
      <c r="F32908" s="2423"/>
    </row>
    <row r="32909" spans="6:6">
      <c r="F32909" s="2423"/>
    </row>
    <row r="32910" spans="6:6">
      <c r="F32910" s="2423"/>
    </row>
    <row r="32911" spans="6:6">
      <c r="F32911" s="2423"/>
    </row>
    <row r="32912" spans="6:6">
      <c r="F32912" s="2423"/>
    </row>
    <row r="32913" spans="6:6">
      <c r="F32913" s="2423"/>
    </row>
    <row r="32914" spans="6:6">
      <c r="F32914" s="2423"/>
    </row>
    <row r="32915" spans="6:6">
      <c r="F32915" s="2423"/>
    </row>
    <row r="32916" spans="6:6">
      <c r="F32916" s="2423"/>
    </row>
    <row r="32917" spans="6:6">
      <c r="F32917" s="2423"/>
    </row>
    <row r="32918" spans="6:6">
      <c r="F32918" s="2423"/>
    </row>
    <row r="32919" spans="6:6">
      <c r="F32919" s="2423"/>
    </row>
    <row r="32920" spans="6:6">
      <c r="F32920" s="2423"/>
    </row>
    <row r="32921" spans="6:6">
      <c r="F32921" s="2423"/>
    </row>
    <row r="32922" spans="6:6">
      <c r="F32922" s="2423"/>
    </row>
    <row r="32923" spans="6:6">
      <c r="F32923" s="2423"/>
    </row>
    <row r="32924" spans="6:6">
      <c r="F32924" s="2423"/>
    </row>
    <row r="32925" spans="6:6">
      <c r="F32925" s="2423"/>
    </row>
    <row r="32926" spans="6:6">
      <c r="F32926" s="2423"/>
    </row>
    <row r="32927" spans="6:6">
      <c r="F32927" s="2423"/>
    </row>
    <row r="32928" spans="6:6">
      <c r="F32928" s="2423"/>
    </row>
    <row r="32929" spans="6:6">
      <c r="F32929" s="2423"/>
    </row>
    <row r="32930" spans="6:6">
      <c r="F32930" s="2423"/>
    </row>
    <row r="32931" spans="6:6">
      <c r="F32931" s="2423"/>
    </row>
    <row r="32932" spans="6:6">
      <c r="F32932" s="2423"/>
    </row>
    <row r="32933" spans="6:6">
      <c r="F32933" s="2423"/>
    </row>
    <row r="32934" spans="6:6">
      <c r="F32934" s="2423"/>
    </row>
    <row r="32935" spans="6:6">
      <c r="F32935" s="2423"/>
    </row>
    <row r="32936" spans="6:6">
      <c r="F32936" s="2423"/>
    </row>
    <row r="32937" spans="6:6">
      <c r="F32937" s="2423"/>
    </row>
    <row r="32938" spans="6:6">
      <c r="F32938" s="2423"/>
    </row>
    <row r="32939" spans="6:6">
      <c r="F32939" s="2423"/>
    </row>
    <row r="32940" spans="6:6">
      <c r="F32940" s="2423"/>
    </row>
    <row r="32941" spans="6:6">
      <c r="F32941" s="2423"/>
    </row>
    <row r="32942" spans="6:6">
      <c r="F32942" s="2423"/>
    </row>
    <row r="32943" spans="6:6">
      <c r="F32943" s="2423"/>
    </row>
    <row r="32944" spans="6:6">
      <c r="F32944" s="2423"/>
    </row>
    <row r="32945" spans="6:6">
      <c r="F32945" s="2423"/>
    </row>
    <row r="32946" spans="6:6">
      <c r="F32946" s="2423"/>
    </row>
    <row r="32947" spans="6:6">
      <c r="F32947" s="2423"/>
    </row>
    <row r="32948" spans="6:6">
      <c r="F32948" s="2423"/>
    </row>
    <row r="32949" spans="6:6">
      <c r="F32949" s="2423"/>
    </row>
    <row r="32950" spans="6:6">
      <c r="F32950" s="2423"/>
    </row>
    <row r="32951" spans="6:6">
      <c r="F32951" s="2423"/>
    </row>
    <row r="32952" spans="6:6">
      <c r="F32952" s="2423"/>
    </row>
    <row r="32953" spans="6:6">
      <c r="F32953" s="2423"/>
    </row>
    <row r="32954" spans="6:6">
      <c r="F32954" s="2423"/>
    </row>
    <row r="32955" spans="6:6">
      <c r="F32955" s="2423"/>
    </row>
    <row r="32956" spans="6:6">
      <c r="F32956" s="2423"/>
    </row>
    <row r="32957" spans="6:6">
      <c r="F32957" s="2423"/>
    </row>
    <row r="32958" spans="6:6">
      <c r="F32958" s="2423"/>
    </row>
    <row r="32959" spans="6:6">
      <c r="F32959" s="2423"/>
    </row>
    <row r="32960" spans="6:6">
      <c r="F32960" s="2423"/>
    </row>
    <row r="32961" spans="6:6">
      <c r="F32961" s="2423"/>
    </row>
    <row r="32962" spans="6:6">
      <c r="F32962" s="2423"/>
    </row>
    <row r="32963" spans="6:6">
      <c r="F32963" s="2423"/>
    </row>
    <row r="32964" spans="6:6">
      <c r="F32964" s="2423"/>
    </row>
    <row r="32965" spans="6:6">
      <c r="F32965" s="2423"/>
    </row>
    <row r="32966" spans="6:6">
      <c r="F32966" s="2423"/>
    </row>
    <row r="32967" spans="6:6">
      <c r="F32967" s="2423"/>
    </row>
    <row r="32968" spans="6:6">
      <c r="F32968" s="2423"/>
    </row>
    <row r="32969" spans="6:6">
      <c r="F32969" s="2423"/>
    </row>
    <row r="32970" spans="6:6">
      <c r="F32970" s="2423"/>
    </row>
    <row r="32971" spans="6:6">
      <c r="F32971" s="2423"/>
    </row>
    <row r="32972" spans="6:6">
      <c r="F32972" s="2423"/>
    </row>
    <row r="32973" spans="6:6">
      <c r="F32973" s="2423"/>
    </row>
    <row r="32974" spans="6:6">
      <c r="F32974" s="2423"/>
    </row>
    <row r="32975" spans="6:6">
      <c r="F32975" s="2423"/>
    </row>
    <row r="32976" spans="6:6">
      <c r="F32976" s="2423"/>
    </row>
    <row r="32977" spans="6:6">
      <c r="F32977" s="2423"/>
    </row>
    <row r="32978" spans="6:6">
      <c r="F32978" s="2423"/>
    </row>
    <row r="32979" spans="6:6">
      <c r="F32979" s="2423"/>
    </row>
    <row r="32980" spans="6:6">
      <c r="F32980" s="2423"/>
    </row>
    <row r="32981" spans="6:6">
      <c r="F32981" s="2423"/>
    </row>
    <row r="32982" spans="6:6">
      <c r="F32982" s="2423"/>
    </row>
    <row r="32983" spans="6:6">
      <c r="F32983" s="2423"/>
    </row>
    <row r="32984" spans="6:6">
      <c r="F32984" s="2423"/>
    </row>
    <row r="32985" spans="6:6">
      <c r="F32985" s="2423"/>
    </row>
    <row r="32986" spans="6:6">
      <c r="F32986" s="2423"/>
    </row>
    <row r="32987" spans="6:6">
      <c r="F32987" s="2423"/>
    </row>
    <row r="32988" spans="6:6">
      <c r="F32988" s="2423"/>
    </row>
    <row r="32989" spans="6:6">
      <c r="F32989" s="2423"/>
    </row>
    <row r="32990" spans="6:6">
      <c r="F32990" s="2423"/>
    </row>
    <row r="32991" spans="6:6">
      <c r="F32991" s="2423"/>
    </row>
    <row r="32992" spans="6:6">
      <c r="F32992" s="2423"/>
    </row>
    <row r="32993" spans="6:6">
      <c r="F32993" s="2423"/>
    </row>
    <row r="32994" spans="6:6">
      <c r="F32994" s="2423"/>
    </row>
    <row r="32995" spans="6:6">
      <c r="F32995" s="2423"/>
    </row>
    <row r="32996" spans="6:6">
      <c r="F32996" s="2423"/>
    </row>
    <row r="32997" spans="6:6">
      <c r="F32997" s="2423"/>
    </row>
    <row r="32998" spans="6:6">
      <c r="F32998" s="2423"/>
    </row>
    <row r="32999" spans="6:6">
      <c r="F32999" s="2423"/>
    </row>
    <row r="33000" spans="6:6">
      <c r="F33000" s="2423"/>
    </row>
    <row r="33001" spans="6:6">
      <c r="F33001" s="2423"/>
    </row>
    <row r="33002" spans="6:6">
      <c r="F33002" s="2423"/>
    </row>
    <row r="33003" spans="6:6">
      <c r="F33003" s="2423"/>
    </row>
    <row r="33004" spans="6:6">
      <c r="F33004" s="2423"/>
    </row>
    <row r="33005" spans="6:6">
      <c r="F33005" s="2423"/>
    </row>
    <row r="33006" spans="6:6">
      <c r="F33006" s="2423"/>
    </row>
    <row r="33007" spans="6:6">
      <c r="F33007" s="2423"/>
    </row>
    <row r="33008" spans="6:6">
      <c r="F33008" s="2423"/>
    </row>
    <row r="33009" spans="6:6">
      <c r="F33009" s="2423"/>
    </row>
    <row r="33010" spans="6:6">
      <c r="F33010" s="2423"/>
    </row>
    <row r="33011" spans="6:6">
      <c r="F33011" s="2423"/>
    </row>
    <row r="33012" spans="6:6">
      <c r="F33012" s="2423"/>
    </row>
    <row r="33013" spans="6:6">
      <c r="F33013" s="2423"/>
    </row>
    <row r="33014" spans="6:6">
      <c r="F33014" s="2423"/>
    </row>
    <row r="33015" spans="6:6">
      <c r="F33015" s="2423"/>
    </row>
    <row r="33016" spans="6:6">
      <c r="F33016" s="2423"/>
    </row>
    <row r="33017" spans="6:6">
      <c r="F33017" s="2423"/>
    </row>
    <row r="33018" spans="6:6">
      <c r="F33018" s="2423"/>
    </row>
    <row r="33019" spans="6:6">
      <c r="F33019" s="2423"/>
    </row>
    <row r="33020" spans="6:6">
      <c r="F33020" s="2423"/>
    </row>
    <row r="33021" spans="6:6">
      <c r="F33021" s="2423"/>
    </row>
    <row r="33022" spans="6:6">
      <c r="F33022" s="2423"/>
    </row>
    <row r="33023" spans="6:6">
      <c r="F33023" s="2423"/>
    </row>
    <row r="33024" spans="6:6">
      <c r="F33024" s="2423"/>
    </row>
    <row r="33025" spans="6:6">
      <c r="F33025" s="2423"/>
    </row>
    <row r="33026" spans="6:6">
      <c r="F33026" s="2423"/>
    </row>
    <row r="33027" spans="6:6">
      <c r="F33027" s="2423"/>
    </row>
    <row r="33028" spans="6:6">
      <c r="F33028" s="2423"/>
    </row>
    <row r="33029" spans="6:6">
      <c r="F33029" s="2423"/>
    </row>
    <row r="33030" spans="6:6">
      <c r="F33030" s="2423"/>
    </row>
    <row r="33031" spans="6:6">
      <c r="F33031" s="2423"/>
    </row>
    <row r="33032" spans="6:6">
      <c r="F33032" s="2423"/>
    </row>
    <row r="33033" spans="6:6">
      <c r="F33033" s="2423"/>
    </row>
    <row r="33034" spans="6:6">
      <c r="F33034" s="2423"/>
    </row>
    <row r="33035" spans="6:6">
      <c r="F33035" s="2423"/>
    </row>
    <row r="33036" spans="6:6">
      <c r="F33036" s="2423"/>
    </row>
    <row r="33037" spans="6:6">
      <c r="F33037" s="2423"/>
    </row>
    <row r="33038" spans="6:6">
      <c r="F33038" s="2423"/>
    </row>
    <row r="33039" spans="6:6">
      <c r="F33039" s="2423"/>
    </row>
    <row r="33040" spans="6:6">
      <c r="F33040" s="2423"/>
    </row>
    <row r="33041" spans="6:6">
      <c r="F33041" s="2423"/>
    </row>
    <row r="33042" spans="6:6">
      <c r="F33042" s="2423"/>
    </row>
    <row r="33043" spans="6:6">
      <c r="F33043" s="2423"/>
    </row>
    <row r="33044" spans="6:6">
      <c r="F33044" s="2423"/>
    </row>
    <row r="33045" spans="6:6">
      <c r="F33045" s="2423"/>
    </row>
    <row r="33046" spans="6:6">
      <c r="F33046" s="2423"/>
    </row>
    <row r="33047" spans="6:6">
      <c r="F33047" s="2423"/>
    </row>
    <row r="33048" spans="6:6">
      <c r="F33048" s="2423"/>
    </row>
    <row r="33049" spans="6:6">
      <c r="F33049" s="2423"/>
    </row>
    <row r="33050" spans="6:6">
      <c r="F33050" s="2423"/>
    </row>
    <row r="33051" spans="6:6">
      <c r="F33051" s="2423"/>
    </row>
    <row r="33052" spans="6:6">
      <c r="F33052" s="2423"/>
    </row>
    <row r="33053" spans="6:6">
      <c r="F33053" s="2423"/>
    </row>
    <row r="33054" spans="6:6">
      <c r="F33054" s="2423"/>
    </row>
    <row r="33055" spans="6:6">
      <c r="F33055" s="2423"/>
    </row>
    <row r="33056" spans="6:6">
      <c r="F33056" s="2423"/>
    </row>
    <row r="33057" spans="6:6">
      <c r="F33057" s="2423"/>
    </row>
    <row r="33058" spans="6:6">
      <c r="F33058" s="2423"/>
    </row>
    <row r="33059" spans="6:6">
      <c r="F33059" s="2423"/>
    </row>
    <row r="33060" spans="6:6">
      <c r="F33060" s="2423"/>
    </row>
    <row r="33061" spans="6:6">
      <c r="F33061" s="2423"/>
    </row>
    <row r="33062" spans="6:6">
      <c r="F33062" s="2423"/>
    </row>
    <row r="33063" spans="6:6">
      <c r="F33063" s="2423"/>
    </row>
    <row r="33064" spans="6:6">
      <c r="F33064" s="2423"/>
    </row>
    <row r="33065" spans="6:6">
      <c r="F33065" s="2423"/>
    </row>
    <row r="33066" spans="6:6">
      <c r="F33066" s="2423"/>
    </row>
    <row r="33067" spans="6:6">
      <c r="F33067" s="2423"/>
    </row>
    <row r="33068" spans="6:6">
      <c r="F33068" s="2423"/>
    </row>
    <row r="33069" spans="6:6">
      <c r="F33069" s="2423"/>
    </row>
    <row r="33070" spans="6:6">
      <c r="F33070" s="2423"/>
    </row>
    <row r="33071" spans="6:6">
      <c r="F33071" s="2423"/>
    </row>
    <row r="33072" spans="6:6">
      <c r="F33072" s="2423"/>
    </row>
    <row r="33073" spans="6:6">
      <c r="F33073" s="2423"/>
    </row>
    <row r="33074" spans="6:6">
      <c r="F33074" s="2423"/>
    </row>
    <row r="33075" spans="6:6">
      <c r="F33075" s="2423"/>
    </row>
    <row r="33076" spans="6:6">
      <c r="F33076" s="2423"/>
    </row>
    <row r="33077" spans="6:6">
      <c r="F33077" s="2423"/>
    </row>
    <row r="33078" spans="6:6">
      <c r="F33078" s="2423"/>
    </row>
    <row r="33079" spans="6:6">
      <c r="F33079" s="2423"/>
    </row>
    <row r="33080" spans="6:6">
      <c r="F33080" s="2423"/>
    </row>
    <row r="33081" spans="6:6">
      <c r="F33081" s="2423"/>
    </row>
    <row r="33082" spans="6:6">
      <c r="F33082" s="2423"/>
    </row>
    <row r="33083" spans="6:6">
      <c r="F33083" s="2423"/>
    </row>
    <row r="33084" spans="6:6">
      <c r="F33084" s="2423"/>
    </row>
    <row r="33085" spans="6:6">
      <c r="F33085" s="2423"/>
    </row>
    <row r="33086" spans="6:6">
      <c r="F33086" s="2423"/>
    </row>
    <row r="33087" spans="6:6">
      <c r="F33087" s="2423"/>
    </row>
    <row r="33088" spans="6:6">
      <c r="F33088" s="2423"/>
    </row>
    <row r="33089" spans="6:6">
      <c r="F33089" s="2423"/>
    </row>
    <row r="33090" spans="6:6">
      <c r="F33090" s="2423"/>
    </row>
    <row r="33091" spans="6:6">
      <c r="F33091" s="2423"/>
    </row>
    <row r="33092" spans="6:6">
      <c r="F33092" s="2423"/>
    </row>
    <row r="33093" spans="6:6">
      <c r="F33093" s="2423"/>
    </row>
    <row r="33094" spans="6:6">
      <c r="F33094" s="2423"/>
    </row>
    <row r="33095" spans="6:6">
      <c r="F33095" s="2423"/>
    </row>
    <row r="33096" spans="6:6">
      <c r="F33096" s="2423"/>
    </row>
    <row r="33097" spans="6:6">
      <c r="F33097" s="2423"/>
    </row>
    <row r="33098" spans="6:6">
      <c r="F33098" s="2423"/>
    </row>
    <row r="33099" spans="6:6">
      <c r="F33099" s="2423"/>
    </row>
    <row r="33100" spans="6:6">
      <c r="F33100" s="2423"/>
    </row>
    <row r="33101" spans="6:6">
      <c r="F33101" s="2423"/>
    </row>
    <row r="33102" spans="6:6">
      <c r="F33102" s="2423"/>
    </row>
    <row r="33103" spans="6:6">
      <c r="F33103" s="2423"/>
    </row>
    <row r="33104" spans="6:6">
      <c r="F33104" s="2423"/>
    </row>
    <row r="33105" spans="6:6">
      <c r="F33105" s="2423"/>
    </row>
    <row r="33106" spans="6:6">
      <c r="F33106" s="2423"/>
    </row>
    <row r="33107" spans="6:6">
      <c r="F33107" s="2423"/>
    </row>
    <row r="33108" spans="6:6">
      <c r="F33108" s="2423"/>
    </row>
    <row r="33109" spans="6:6">
      <c r="F33109" s="2423"/>
    </row>
    <row r="33110" spans="6:6">
      <c r="F33110" s="2423"/>
    </row>
    <row r="33111" spans="6:6">
      <c r="F33111" s="2423"/>
    </row>
    <row r="33112" spans="6:6">
      <c r="F33112" s="2423"/>
    </row>
    <row r="33113" spans="6:6">
      <c r="F33113" s="2423"/>
    </row>
    <row r="33114" spans="6:6">
      <c r="F33114" s="2423"/>
    </row>
    <row r="33115" spans="6:6">
      <c r="F33115" s="2423"/>
    </row>
    <row r="33116" spans="6:6">
      <c r="F33116" s="2423"/>
    </row>
    <row r="33117" spans="6:6">
      <c r="F33117" s="2423"/>
    </row>
    <row r="33118" spans="6:6">
      <c r="F33118" s="2423"/>
    </row>
    <row r="33119" spans="6:6">
      <c r="F33119" s="2423"/>
    </row>
    <row r="33120" spans="6:6">
      <c r="F33120" s="2423"/>
    </row>
    <row r="33121" spans="6:6">
      <c r="F33121" s="2423"/>
    </row>
    <row r="33122" spans="6:6">
      <c r="F33122" s="2423"/>
    </row>
    <row r="33123" spans="6:6">
      <c r="F33123" s="2423"/>
    </row>
    <row r="33124" spans="6:6">
      <c r="F33124" s="2423"/>
    </row>
    <row r="33125" spans="6:6">
      <c r="F33125" s="2423"/>
    </row>
    <row r="33126" spans="6:6">
      <c r="F33126" s="2423"/>
    </row>
    <row r="33127" spans="6:6">
      <c r="F33127" s="2423"/>
    </row>
    <row r="33128" spans="6:6">
      <c r="F33128" s="2423"/>
    </row>
    <row r="33129" spans="6:6">
      <c r="F33129" s="2423"/>
    </row>
    <row r="33130" spans="6:6">
      <c r="F33130" s="2423"/>
    </row>
    <row r="33131" spans="6:6">
      <c r="F33131" s="2423"/>
    </row>
    <row r="33132" spans="6:6">
      <c r="F33132" s="2423"/>
    </row>
    <row r="33133" spans="6:6">
      <c r="F33133" s="2423"/>
    </row>
    <row r="33134" spans="6:6">
      <c r="F33134" s="2423"/>
    </row>
    <row r="33135" spans="6:6">
      <c r="F33135" s="2423"/>
    </row>
    <row r="33136" spans="6:6">
      <c r="F33136" s="2423"/>
    </row>
    <row r="33137" spans="6:6">
      <c r="F33137" s="2423"/>
    </row>
    <row r="33138" spans="6:6">
      <c r="F33138" s="2423"/>
    </row>
    <row r="33139" spans="6:6">
      <c r="F33139" s="2423"/>
    </row>
    <row r="33140" spans="6:6">
      <c r="F33140" s="2423"/>
    </row>
    <row r="33141" spans="6:6">
      <c r="F33141" s="2423"/>
    </row>
    <row r="33142" spans="6:6">
      <c r="F33142" s="2423"/>
    </row>
    <row r="33143" spans="6:6">
      <c r="F33143" s="2423"/>
    </row>
    <row r="33144" spans="6:6">
      <c r="F33144" s="2423"/>
    </row>
    <row r="33145" spans="6:6">
      <c r="F33145" s="2423"/>
    </row>
    <row r="33146" spans="6:6">
      <c r="F33146" s="2423"/>
    </row>
    <row r="33147" spans="6:6">
      <c r="F33147" s="2423"/>
    </row>
    <row r="33148" spans="6:6">
      <c r="F33148" s="2423"/>
    </row>
    <row r="33149" spans="6:6">
      <c r="F33149" s="2423"/>
    </row>
    <row r="33150" spans="6:6">
      <c r="F33150" s="2423"/>
    </row>
    <row r="33151" spans="6:6">
      <c r="F33151" s="2423"/>
    </row>
    <row r="33152" spans="6:6">
      <c r="F33152" s="2423"/>
    </row>
    <row r="33153" spans="6:6">
      <c r="F33153" s="2423"/>
    </row>
    <row r="33154" spans="6:6">
      <c r="F33154" s="2423"/>
    </row>
    <row r="33155" spans="6:6">
      <c r="F33155" s="2423"/>
    </row>
    <row r="33156" spans="6:6">
      <c r="F33156" s="2423"/>
    </row>
    <row r="33157" spans="6:6">
      <c r="F33157" s="2423"/>
    </row>
    <row r="33158" spans="6:6">
      <c r="F33158" s="2423"/>
    </row>
    <row r="33159" spans="6:6">
      <c r="F33159" s="2423"/>
    </row>
    <row r="33160" spans="6:6">
      <c r="F33160" s="2423"/>
    </row>
    <row r="33161" spans="6:6">
      <c r="F33161" s="2423"/>
    </row>
    <row r="33162" spans="6:6">
      <c r="F33162" s="2423"/>
    </row>
    <row r="33163" spans="6:6">
      <c r="F33163" s="2423"/>
    </row>
    <row r="33164" spans="6:6">
      <c r="F33164" s="2423"/>
    </row>
    <row r="33165" spans="6:6">
      <c r="F33165" s="2423"/>
    </row>
    <row r="33166" spans="6:6">
      <c r="F33166" s="2423"/>
    </row>
    <row r="33167" spans="6:6">
      <c r="F33167" s="2423"/>
    </row>
    <row r="33168" spans="6:6">
      <c r="F33168" s="2423"/>
    </row>
    <row r="33169" spans="6:6">
      <c r="F33169" s="2423"/>
    </row>
    <row r="33170" spans="6:6">
      <c r="F33170" s="2423"/>
    </row>
    <row r="33171" spans="6:6">
      <c r="F33171" s="2423"/>
    </row>
    <row r="33172" spans="6:6">
      <c r="F33172" s="2423"/>
    </row>
    <row r="33173" spans="6:6">
      <c r="F33173" s="2423"/>
    </row>
    <row r="33174" spans="6:6">
      <c r="F33174" s="2423"/>
    </row>
    <row r="33175" spans="6:6">
      <c r="F33175" s="2423"/>
    </row>
    <row r="33176" spans="6:6">
      <c r="F33176" s="2423"/>
    </row>
    <row r="33177" spans="6:6">
      <c r="F33177" s="2423"/>
    </row>
    <row r="33178" spans="6:6">
      <c r="F33178" s="2423"/>
    </row>
    <row r="33179" spans="6:6">
      <c r="F33179" s="2423"/>
    </row>
    <row r="33180" spans="6:6">
      <c r="F33180" s="2423"/>
    </row>
    <row r="33181" spans="6:6">
      <c r="F33181" s="2423"/>
    </row>
    <row r="33182" spans="6:6">
      <c r="F33182" s="2423"/>
    </row>
    <row r="33183" spans="6:6">
      <c r="F33183" s="2423"/>
    </row>
    <row r="33184" spans="6:6">
      <c r="F33184" s="2423"/>
    </row>
    <row r="33185" spans="6:6">
      <c r="F33185" s="2423"/>
    </row>
    <row r="33186" spans="6:6">
      <c r="F33186" s="2423"/>
    </row>
    <row r="33187" spans="6:6">
      <c r="F33187" s="2423"/>
    </row>
    <row r="33188" spans="6:6">
      <c r="F33188" s="2423"/>
    </row>
    <row r="33189" spans="6:6">
      <c r="F33189" s="2423"/>
    </row>
    <row r="33190" spans="6:6">
      <c r="F33190" s="2423"/>
    </row>
    <row r="33191" spans="6:6">
      <c r="F33191" s="2423"/>
    </row>
    <row r="33192" spans="6:6">
      <c r="F33192" s="2423"/>
    </row>
    <row r="33193" spans="6:6">
      <c r="F33193" s="2423"/>
    </row>
    <row r="33194" spans="6:6">
      <c r="F33194" s="2423"/>
    </row>
    <row r="33195" spans="6:6">
      <c r="F33195" s="2423"/>
    </row>
    <row r="33196" spans="6:6">
      <c r="F33196" s="2423"/>
    </row>
    <row r="33197" spans="6:6">
      <c r="F33197" s="2423"/>
    </row>
    <row r="33198" spans="6:6">
      <c r="F33198" s="2423"/>
    </row>
    <row r="33199" spans="6:6">
      <c r="F33199" s="2423"/>
    </row>
    <row r="33200" spans="6:6">
      <c r="F33200" s="2423"/>
    </row>
    <row r="33201" spans="6:6">
      <c r="F33201" s="2423"/>
    </row>
    <row r="33202" spans="6:6">
      <c r="F33202" s="2423"/>
    </row>
    <row r="33203" spans="6:6">
      <c r="F33203" s="2423"/>
    </row>
    <row r="33204" spans="6:6">
      <c r="F33204" s="2423"/>
    </row>
    <row r="33205" spans="6:6">
      <c r="F33205" s="2423"/>
    </row>
    <row r="33206" spans="6:6">
      <c r="F33206" s="2423"/>
    </row>
    <row r="33207" spans="6:6">
      <c r="F33207" s="2423"/>
    </row>
    <row r="33208" spans="6:6">
      <c r="F33208" s="2423"/>
    </row>
    <row r="33209" spans="6:6">
      <c r="F33209" s="2423"/>
    </row>
    <row r="33210" spans="6:6">
      <c r="F33210" s="2423"/>
    </row>
    <row r="33211" spans="6:6">
      <c r="F33211" s="2423"/>
    </row>
    <row r="33212" spans="6:6">
      <c r="F33212" s="2423"/>
    </row>
    <row r="33213" spans="6:6">
      <c r="F33213" s="2423"/>
    </row>
    <row r="33214" spans="6:6">
      <c r="F33214" s="2423"/>
    </row>
    <row r="33215" spans="6:6">
      <c r="F33215" s="2423"/>
    </row>
    <row r="33216" spans="6:6">
      <c r="F33216" s="2423"/>
    </row>
    <row r="33217" spans="6:6">
      <c r="F33217" s="2423"/>
    </row>
    <row r="33218" spans="6:6">
      <c r="F33218" s="2423"/>
    </row>
    <row r="33219" spans="6:6">
      <c r="F33219" s="2423"/>
    </row>
    <row r="33220" spans="6:6">
      <c r="F33220" s="2423"/>
    </row>
    <row r="33221" spans="6:6">
      <c r="F33221" s="2423"/>
    </row>
    <row r="33222" spans="6:6">
      <c r="F33222" s="2423"/>
    </row>
    <row r="33223" spans="6:6">
      <c r="F33223" s="2423"/>
    </row>
    <row r="33224" spans="6:6">
      <c r="F33224" s="2423"/>
    </row>
    <row r="33225" spans="6:6">
      <c r="F33225" s="2423"/>
    </row>
    <row r="33226" spans="6:6">
      <c r="F33226" s="2423"/>
    </row>
    <row r="33227" spans="6:6">
      <c r="F33227" s="2423"/>
    </row>
    <row r="33228" spans="6:6">
      <c r="F33228" s="2423"/>
    </row>
    <row r="33229" spans="6:6">
      <c r="F33229" s="2423"/>
    </row>
    <row r="33230" spans="6:6">
      <c r="F33230" s="2423"/>
    </row>
    <row r="33231" spans="6:6">
      <c r="F33231" s="2423"/>
    </row>
    <row r="33232" spans="6:6">
      <c r="F33232" s="2423"/>
    </row>
    <row r="33233" spans="6:6">
      <c r="F33233" s="2423"/>
    </row>
    <row r="33234" spans="6:6">
      <c r="F33234" s="2423"/>
    </row>
    <row r="33235" spans="6:6">
      <c r="F33235" s="2423"/>
    </row>
    <row r="33236" spans="6:6">
      <c r="F33236" s="2423"/>
    </row>
    <row r="33237" spans="6:6">
      <c r="F33237" s="2423"/>
    </row>
    <row r="33238" spans="6:6">
      <c r="F33238" s="2423"/>
    </row>
    <row r="33239" spans="6:6">
      <c r="F33239" s="2423"/>
    </row>
    <row r="33240" spans="6:6">
      <c r="F33240" s="2423"/>
    </row>
    <row r="33241" spans="6:6">
      <c r="F33241" s="2423"/>
    </row>
    <row r="33242" spans="6:6">
      <c r="F33242" s="2423"/>
    </row>
    <row r="33243" spans="6:6">
      <c r="F33243" s="2423"/>
    </row>
    <row r="33244" spans="6:6">
      <c r="F33244" s="2423"/>
    </row>
    <row r="33245" spans="6:6">
      <c r="F33245" s="2423"/>
    </row>
    <row r="33246" spans="6:6">
      <c r="F33246" s="2423"/>
    </row>
    <row r="33247" spans="6:6">
      <c r="F33247" s="2423"/>
    </row>
    <row r="33248" spans="6:6">
      <c r="F33248" s="2423"/>
    </row>
    <row r="33249" spans="6:6">
      <c r="F33249" s="2423"/>
    </row>
    <row r="33250" spans="6:6">
      <c r="F33250" s="2423"/>
    </row>
    <row r="33251" spans="6:6">
      <c r="F33251" s="2423"/>
    </row>
    <row r="33252" spans="6:6">
      <c r="F33252" s="2423"/>
    </row>
    <row r="33253" spans="6:6">
      <c r="F33253" s="2423"/>
    </row>
    <row r="33254" spans="6:6">
      <c r="F33254" s="2423"/>
    </row>
    <row r="33255" spans="6:6">
      <c r="F33255" s="2423"/>
    </row>
    <row r="33256" spans="6:6">
      <c r="F33256" s="2423"/>
    </row>
    <row r="33257" spans="6:6">
      <c r="F33257" s="2423"/>
    </row>
    <row r="33258" spans="6:6">
      <c r="F33258" s="2423"/>
    </row>
    <row r="33259" spans="6:6">
      <c r="F33259" s="2423"/>
    </row>
    <row r="33260" spans="6:6">
      <c r="F33260" s="2423"/>
    </row>
    <row r="33261" spans="6:6">
      <c r="F33261" s="2423"/>
    </row>
    <row r="33262" spans="6:6">
      <c r="F33262" s="2423"/>
    </row>
    <row r="33263" spans="6:6">
      <c r="F33263" s="2423"/>
    </row>
    <row r="33264" spans="6:6">
      <c r="F33264" s="2423"/>
    </row>
    <row r="33265" spans="6:6">
      <c r="F33265" s="2423"/>
    </row>
    <row r="33266" spans="6:6">
      <c r="F33266" s="2423"/>
    </row>
    <row r="33267" spans="6:6">
      <c r="F33267" s="2423"/>
    </row>
    <row r="33268" spans="6:6">
      <c r="F33268" s="2423"/>
    </row>
    <row r="33269" spans="6:6">
      <c r="F33269" s="2423"/>
    </row>
    <row r="33270" spans="6:6">
      <c r="F33270" s="2423"/>
    </row>
    <row r="33271" spans="6:6">
      <c r="F33271" s="2423"/>
    </row>
    <row r="33272" spans="6:6">
      <c r="F33272" s="2423"/>
    </row>
    <row r="33273" spans="6:6">
      <c r="F33273" s="2423"/>
    </row>
    <row r="33274" spans="6:6">
      <c r="F33274" s="2423"/>
    </row>
    <row r="33275" spans="6:6">
      <c r="F33275" s="2423"/>
    </row>
    <row r="33276" spans="6:6">
      <c r="F33276" s="2423"/>
    </row>
    <row r="33277" spans="6:6">
      <c r="F33277" s="2423"/>
    </row>
    <row r="33278" spans="6:6">
      <c r="F33278" s="2423"/>
    </row>
    <row r="33279" spans="6:6">
      <c r="F33279" s="2423"/>
    </row>
    <row r="33280" spans="6:6">
      <c r="F33280" s="2423"/>
    </row>
    <row r="33281" spans="6:6">
      <c r="F33281" s="2423"/>
    </row>
    <row r="33282" spans="6:6">
      <c r="F33282" s="2423"/>
    </row>
    <row r="33283" spans="6:6">
      <c r="F33283" s="2423"/>
    </row>
    <row r="33284" spans="6:6">
      <c r="F33284" s="2423"/>
    </row>
    <row r="33285" spans="6:6">
      <c r="F33285" s="2423"/>
    </row>
    <row r="33286" spans="6:6">
      <c r="F33286" s="2423"/>
    </row>
    <row r="33287" spans="6:6">
      <c r="F33287" s="2423"/>
    </row>
    <row r="33288" spans="6:6">
      <c r="F33288" s="2423"/>
    </row>
    <row r="33289" spans="6:6">
      <c r="F33289" s="2423"/>
    </row>
    <row r="33290" spans="6:6">
      <c r="F33290" s="2423"/>
    </row>
    <row r="33291" spans="6:6">
      <c r="F33291" s="2423"/>
    </row>
    <row r="33292" spans="6:6">
      <c r="F33292" s="2423"/>
    </row>
    <row r="33293" spans="6:6">
      <c r="F33293" s="2423"/>
    </row>
    <row r="33294" spans="6:6">
      <c r="F33294" s="2423"/>
    </row>
    <row r="33295" spans="6:6">
      <c r="F33295" s="2423"/>
    </row>
    <row r="33296" spans="6:6">
      <c r="F33296" s="2423"/>
    </row>
    <row r="33297" spans="6:6">
      <c r="F33297" s="2423"/>
    </row>
    <row r="33298" spans="6:6">
      <c r="F33298" s="2423"/>
    </row>
    <row r="33299" spans="6:6">
      <c r="F33299" s="2423"/>
    </row>
    <row r="33300" spans="6:6">
      <c r="F33300" s="2423"/>
    </row>
    <row r="33301" spans="6:6">
      <c r="F33301" s="2423"/>
    </row>
    <row r="33302" spans="6:6">
      <c r="F33302" s="2423"/>
    </row>
    <row r="33303" spans="6:6">
      <c r="F33303" s="2423"/>
    </row>
    <row r="33304" spans="6:6">
      <c r="F33304" s="2423"/>
    </row>
    <row r="33305" spans="6:6">
      <c r="F33305" s="2423"/>
    </row>
    <row r="33306" spans="6:6">
      <c r="F33306" s="2423"/>
    </row>
    <row r="33307" spans="6:6">
      <c r="F33307" s="2423"/>
    </row>
    <row r="33308" spans="6:6">
      <c r="F33308" s="2423"/>
    </row>
    <row r="33309" spans="6:6">
      <c r="F33309" s="2423"/>
    </row>
    <row r="33310" spans="6:6">
      <c r="F33310" s="2423"/>
    </row>
    <row r="33311" spans="6:6">
      <c r="F33311" s="2423"/>
    </row>
    <row r="33312" spans="6:6">
      <c r="F33312" s="2423"/>
    </row>
    <row r="33313" spans="6:6">
      <c r="F33313" s="2423"/>
    </row>
    <row r="33314" spans="6:6">
      <c r="F33314" s="2423"/>
    </row>
    <row r="33315" spans="6:6">
      <c r="F33315" s="2423"/>
    </row>
    <row r="33316" spans="6:6">
      <c r="F33316" s="2423"/>
    </row>
    <row r="33317" spans="6:6">
      <c r="F33317" s="2423"/>
    </row>
    <row r="33318" spans="6:6">
      <c r="F33318" s="2423"/>
    </row>
    <row r="33319" spans="6:6">
      <c r="F33319" s="2423"/>
    </row>
    <row r="33320" spans="6:6">
      <c r="F33320" s="2423"/>
    </row>
    <row r="33321" spans="6:6">
      <c r="F33321" s="2423"/>
    </row>
    <row r="33322" spans="6:6">
      <c r="F33322" s="2423"/>
    </row>
    <row r="33323" spans="6:6">
      <c r="F33323" s="2423"/>
    </row>
    <row r="33324" spans="6:6">
      <c r="F33324" s="2423"/>
    </row>
    <row r="33325" spans="6:6">
      <c r="F33325" s="2423"/>
    </row>
    <row r="33326" spans="6:6">
      <c r="F33326" s="2423"/>
    </row>
    <row r="33327" spans="6:6">
      <c r="F33327" s="2423"/>
    </row>
    <row r="33328" spans="6:6">
      <c r="F33328" s="2423"/>
    </row>
    <row r="33329" spans="6:6">
      <c r="F33329" s="2423"/>
    </row>
    <row r="33330" spans="6:6">
      <c r="F33330" s="2423"/>
    </row>
    <row r="33331" spans="6:6">
      <c r="F33331" s="2423"/>
    </row>
    <row r="33332" spans="6:6">
      <c r="F33332" s="2423"/>
    </row>
    <row r="33333" spans="6:6">
      <c r="F33333" s="2423"/>
    </row>
    <row r="33334" spans="6:6">
      <c r="F33334" s="2423"/>
    </row>
    <row r="33335" spans="6:6">
      <c r="F33335" s="2423"/>
    </row>
    <row r="33336" spans="6:6">
      <c r="F33336" s="2423"/>
    </row>
    <row r="33337" spans="6:6">
      <c r="F33337" s="2423"/>
    </row>
    <row r="33338" spans="6:6">
      <c r="F33338" s="2423"/>
    </row>
    <row r="33339" spans="6:6">
      <c r="F33339" s="2423"/>
    </row>
    <row r="33340" spans="6:6">
      <c r="F33340" s="2423"/>
    </row>
    <row r="33341" spans="6:6">
      <c r="F33341" s="2423"/>
    </row>
    <row r="33342" spans="6:6">
      <c r="F33342" s="2423"/>
    </row>
    <row r="33343" spans="6:6">
      <c r="F33343" s="2423"/>
    </row>
    <row r="33344" spans="6:6">
      <c r="F33344" s="2423"/>
    </row>
    <row r="33345" spans="6:6">
      <c r="F33345" s="2423"/>
    </row>
    <row r="33346" spans="6:6">
      <c r="F33346" s="2423"/>
    </row>
    <row r="33347" spans="6:6">
      <c r="F33347" s="2423"/>
    </row>
    <row r="33348" spans="6:6">
      <c r="F33348" s="2423"/>
    </row>
    <row r="33349" spans="6:6">
      <c r="F33349" s="2423"/>
    </row>
    <row r="33350" spans="6:6">
      <c r="F33350" s="2423"/>
    </row>
    <row r="33351" spans="6:6">
      <c r="F33351" s="2423"/>
    </row>
    <row r="33352" spans="6:6">
      <c r="F33352" s="2423"/>
    </row>
    <row r="33353" spans="6:6">
      <c r="F33353" s="2423"/>
    </row>
    <row r="33354" spans="6:6">
      <c r="F33354" s="2423"/>
    </row>
    <row r="33355" spans="6:6">
      <c r="F33355" s="2423"/>
    </row>
    <row r="33356" spans="6:6">
      <c r="F33356" s="2423"/>
    </row>
    <row r="33357" spans="6:6">
      <c r="F33357" s="2423"/>
    </row>
    <row r="33358" spans="6:6">
      <c r="F33358" s="2423"/>
    </row>
    <row r="33359" spans="6:6">
      <c r="F33359" s="2423"/>
    </row>
    <row r="33360" spans="6:6">
      <c r="F33360" s="2423"/>
    </row>
    <row r="33361" spans="6:6">
      <c r="F33361" s="2423"/>
    </row>
    <row r="33362" spans="6:6">
      <c r="F33362" s="2423"/>
    </row>
    <row r="33363" spans="6:6">
      <c r="F33363" s="2423"/>
    </row>
    <row r="33364" spans="6:6">
      <c r="F33364" s="2423"/>
    </row>
    <row r="33365" spans="6:6">
      <c r="F33365" s="2423"/>
    </row>
    <row r="33366" spans="6:6">
      <c r="F33366" s="2423"/>
    </row>
    <row r="33367" spans="6:6">
      <c r="F33367" s="2423"/>
    </row>
    <row r="33368" spans="6:6">
      <c r="F33368" s="2423"/>
    </row>
    <row r="33369" spans="6:6">
      <c r="F33369" s="2423"/>
    </row>
    <row r="33370" spans="6:6">
      <c r="F33370" s="2423"/>
    </row>
    <row r="33371" spans="6:6">
      <c r="F33371" s="2423"/>
    </row>
    <row r="33372" spans="6:6">
      <c r="F33372" s="2423"/>
    </row>
    <row r="33373" spans="6:6">
      <c r="F33373" s="2423"/>
    </row>
    <row r="33374" spans="6:6">
      <c r="F33374" s="2423"/>
    </row>
    <row r="33375" spans="6:6">
      <c r="F33375" s="2423"/>
    </row>
    <row r="33376" spans="6:6">
      <c r="F33376" s="2423"/>
    </row>
    <row r="33377" spans="6:6">
      <c r="F33377" s="2423"/>
    </row>
    <row r="33378" spans="6:6">
      <c r="F33378" s="2423"/>
    </row>
    <row r="33379" spans="6:6">
      <c r="F33379" s="2423"/>
    </row>
    <row r="33380" spans="6:6">
      <c r="F33380" s="2423"/>
    </row>
    <row r="33381" spans="6:6">
      <c r="F33381" s="2423"/>
    </row>
    <row r="33382" spans="6:6">
      <c r="F33382" s="2423"/>
    </row>
    <row r="33383" spans="6:6">
      <c r="F33383" s="2423"/>
    </row>
    <row r="33384" spans="6:6">
      <c r="F33384" s="2423"/>
    </row>
    <row r="33385" spans="6:6">
      <c r="F33385" s="2423"/>
    </row>
    <row r="33386" spans="6:6">
      <c r="F33386" s="2423"/>
    </row>
    <row r="33387" spans="6:6">
      <c r="F33387" s="2423"/>
    </row>
    <row r="33388" spans="6:6">
      <c r="F33388" s="2423"/>
    </row>
    <row r="33389" spans="6:6">
      <c r="F33389" s="2423"/>
    </row>
    <row r="33390" spans="6:6">
      <c r="F33390" s="2423"/>
    </row>
    <row r="33391" spans="6:6">
      <c r="F33391" s="2423"/>
    </row>
    <row r="33392" spans="6:6">
      <c r="F33392" s="2423"/>
    </row>
    <row r="33393" spans="6:6">
      <c r="F33393" s="2423"/>
    </row>
    <row r="33394" spans="6:6">
      <c r="F33394" s="2423"/>
    </row>
    <row r="33395" spans="6:6">
      <c r="F33395" s="2423"/>
    </row>
    <row r="33396" spans="6:6">
      <c r="F33396" s="2423"/>
    </row>
    <row r="33397" spans="6:6">
      <c r="F33397" s="2423"/>
    </row>
    <row r="33398" spans="6:6">
      <c r="F33398" s="2423"/>
    </row>
    <row r="33399" spans="6:6">
      <c r="F33399" s="2423"/>
    </row>
    <row r="33400" spans="6:6">
      <c r="F33400" s="2423"/>
    </row>
    <row r="33401" spans="6:6">
      <c r="F33401" s="2423"/>
    </row>
    <row r="33402" spans="6:6">
      <c r="F33402" s="2423"/>
    </row>
    <row r="33403" spans="6:6">
      <c r="F33403" s="2423"/>
    </row>
    <row r="33404" spans="6:6">
      <c r="F33404" s="2423"/>
    </row>
    <row r="33405" spans="6:6">
      <c r="F33405" s="2423"/>
    </row>
    <row r="33406" spans="6:6">
      <c r="F33406" s="2423"/>
    </row>
    <row r="33407" spans="6:6">
      <c r="F33407" s="2423"/>
    </row>
    <row r="33408" spans="6:6">
      <c r="F33408" s="2423"/>
    </row>
    <row r="33409" spans="6:6">
      <c r="F33409" s="2423"/>
    </row>
    <row r="33410" spans="6:6">
      <c r="F33410" s="2423"/>
    </row>
    <row r="33411" spans="6:6">
      <c r="F33411" s="2423"/>
    </row>
    <row r="33412" spans="6:6">
      <c r="F33412" s="2423"/>
    </row>
    <row r="33413" spans="6:6">
      <c r="F33413" s="2423"/>
    </row>
    <row r="33414" spans="6:6">
      <c r="F33414" s="2423"/>
    </row>
    <row r="33415" spans="6:6">
      <c r="F33415" s="2423"/>
    </row>
    <row r="33416" spans="6:6">
      <c r="F33416" s="2423"/>
    </row>
    <row r="33417" spans="6:6">
      <c r="F33417" s="2423"/>
    </row>
    <row r="33418" spans="6:6">
      <c r="F33418" s="2423"/>
    </row>
    <row r="33419" spans="6:6">
      <c r="F33419" s="2423"/>
    </row>
    <row r="33420" spans="6:6">
      <c r="F33420" s="2423"/>
    </row>
    <row r="33421" spans="6:6">
      <c r="F33421" s="2423"/>
    </row>
    <row r="33422" spans="6:6">
      <c r="F33422" s="2423"/>
    </row>
    <row r="33423" spans="6:6">
      <c r="F33423" s="2423"/>
    </row>
    <row r="33424" spans="6:6">
      <c r="F33424" s="2423"/>
    </row>
    <row r="33425" spans="6:6">
      <c r="F33425" s="2423"/>
    </row>
    <row r="33426" spans="6:6">
      <c r="F33426" s="2423"/>
    </row>
    <row r="33427" spans="6:6">
      <c r="F33427" s="2423"/>
    </row>
    <row r="33428" spans="6:6">
      <c r="F33428" s="2423"/>
    </row>
    <row r="33429" spans="6:6">
      <c r="F33429" s="2423"/>
    </row>
    <row r="33430" spans="6:6">
      <c r="F33430" s="2423"/>
    </row>
    <row r="33431" spans="6:6">
      <c r="F33431" s="2423"/>
    </row>
    <row r="33432" spans="6:6">
      <c r="F33432" s="2423"/>
    </row>
    <row r="33433" spans="6:6">
      <c r="F33433" s="2423"/>
    </row>
    <row r="33434" spans="6:6">
      <c r="F33434" s="2423"/>
    </row>
    <row r="33435" spans="6:6">
      <c r="F33435" s="2423"/>
    </row>
    <row r="33436" spans="6:6">
      <c r="F33436" s="2423"/>
    </row>
    <row r="33437" spans="6:6">
      <c r="F33437" s="2423"/>
    </row>
    <row r="33438" spans="6:6">
      <c r="F33438" s="2423"/>
    </row>
    <row r="33439" spans="6:6">
      <c r="F33439" s="2423"/>
    </row>
    <row r="33440" spans="6:6">
      <c r="F33440" s="2423"/>
    </row>
    <row r="33441" spans="6:6">
      <c r="F33441" s="2423"/>
    </row>
    <row r="33442" spans="6:6">
      <c r="F33442" s="2423"/>
    </row>
    <row r="33443" spans="6:6">
      <c r="F33443" s="2423"/>
    </row>
    <row r="33444" spans="6:6">
      <c r="F33444" s="2423"/>
    </row>
    <row r="33445" spans="6:6">
      <c r="F33445" s="2423"/>
    </row>
    <row r="33446" spans="6:6">
      <c r="F33446" s="2423"/>
    </row>
    <row r="33447" spans="6:6">
      <c r="F33447" s="2423"/>
    </row>
    <row r="33448" spans="6:6">
      <c r="F33448" s="2423"/>
    </row>
    <row r="33449" spans="6:6">
      <c r="F33449" s="2423"/>
    </row>
    <row r="33450" spans="6:6">
      <c r="F33450" s="2423"/>
    </row>
    <row r="33451" spans="6:6">
      <c r="F33451" s="2423"/>
    </row>
    <row r="33452" spans="6:6">
      <c r="F33452" s="2423"/>
    </row>
    <row r="33453" spans="6:6">
      <c r="F33453" s="2423"/>
    </row>
    <row r="33454" spans="6:6">
      <c r="F33454" s="2423"/>
    </row>
    <row r="33455" spans="6:6">
      <c r="F33455" s="2423"/>
    </row>
    <row r="33456" spans="6:6">
      <c r="F33456" s="2423"/>
    </row>
    <row r="33457" spans="6:6">
      <c r="F33457" s="2423"/>
    </row>
    <row r="33458" spans="6:6">
      <c r="F33458" s="2423"/>
    </row>
    <row r="33459" spans="6:6">
      <c r="F33459" s="2423"/>
    </row>
    <row r="33460" spans="6:6">
      <c r="F33460" s="2423"/>
    </row>
    <row r="33461" spans="6:6">
      <c r="F33461" s="2423"/>
    </row>
    <row r="33462" spans="6:6">
      <c r="F33462" s="2423"/>
    </row>
    <row r="33463" spans="6:6">
      <c r="F33463" s="2423"/>
    </row>
    <row r="33464" spans="6:6">
      <c r="F33464" s="2423"/>
    </row>
    <row r="33465" spans="6:6">
      <c r="F33465" s="2423"/>
    </row>
    <row r="33466" spans="6:6">
      <c r="F33466" s="2423"/>
    </row>
    <row r="33467" spans="6:6">
      <c r="F33467" s="2423"/>
    </row>
    <row r="33468" spans="6:6">
      <c r="F33468" s="2423"/>
    </row>
    <row r="33469" spans="6:6">
      <c r="F33469" s="2423"/>
    </row>
    <row r="33470" spans="6:6">
      <c r="F33470" s="2423"/>
    </row>
    <row r="33471" spans="6:6">
      <c r="F33471" s="2423"/>
    </row>
    <row r="33472" spans="6:6">
      <c r="F33472" s="2423"/>
    </row>
    <row r="33473" spans="6:6">
      <c r="F33473" s="2423"/>
    </row>
    <row r="33474" spans="6:6">
      <c r="F33474" s="2423"/>
    </row>
    <row r="33475" spans="6:6">
      <c r="F33475" s="2423"/>
    </row>
    <row r="33476" spans="6:6">
      <c r="F33476" s="2423"/>
    </row>
    <row r="33477" spans="6:6">
      <c r="F33477" s="2423"/>
    </row>
    <row r="33478" spans="6:6">
      <c r="F33478" s="2423"/>
    </row>
    <row r="33479" spans="6:6">
      <c r="F33479" s="2423"/>
    </row>
    <row r="33480" spans="6:6">
      <c r="F33480" s="2423"/>
    </row>
    <row r="33481" spans="6:6">
      <c r="F33481" s="2423"/>
    </row>
    <row r="33482" spans="6:6">
      <c r="F33482" s="2423"/>
    </row>
    <row r="33483" spans="6:6">
      <c r="F33483" s="2423"/>
    </row>
    <row r="33484" spans="6:6">
      <c r="F33484" s="2423"/>
    </row>
    <row r="33485" spans="6:6">
      <c r="F33485" s="2423"/>
    </row>
    <row r="33486" spans="6:6">
      <c r="F33486" s="2423"/>
    </row>
    <row r="33487" spans="6:6">
      <c r="F33487" s="2423"/>
    </row>
    <row r="33488" spans="6:6">
      <c r="F33488" s="2423"/>
    </row>
    <row r="33489" spans="6:6">
      <c r="F33489" s="2423"/>
    </row>
    <row r="33490" spans="6:6">
      <c r="F33490" s="2423"/>
    </row>
    <row r="33491" spans="6:6">
      <c r="F33491" s="2423"/>
    </row>
    <row r="33492" spans="6:6">
      <c r="F33492" s="2423"/>
    </row>
    <row r="33493" spans="6:6">
      <c r="F33493" s="2423"/>
    </row>
    <row r="33494" spans="6:6">
      <c r="F33494" s="2423"/>
    </row>
    <row r="33495" spans="6:6">
      <c r="F33495" s="2423"/>
    </row>
    <row r="33496" spans="6:6">
      <c r="F33496" s="2423"/>
    </row>
    <row r="33497" spans="6:6">
      <c r="F33497" s="2423"/>
    </row>
    <row r="33498" spans="6:6">
      <c r="F33498" s="2423"/>
    </row>
    <row r="33499" spans="6:6">
      <c r="F33499" s="2423"/>
    </row>
    <row r="33500" spans="6:6">
      <c r="F33500" s="2423"/>
    </row>
    <row r="33501" spans="6:6">
      <c r="F33501" s="2423"/>
    </row>
    <row r="33502" spans="6:6">
      <c r="F33502" s="2423"/>
    </row>
    <row r="33503" spans="6:6">
      <c r="F33503" s="2423"/>
    </row>
    <row r="33504" spans="6:6">
      <c r="F33504" s="2423"/>
    </row>
    <row r="33505" spans="6:6">
      <c r="F33505" s="2423"/>
    </row>
    <row r="33506" spans="6:6">
      <c r="F33506" s="2423"/>
    </row>
    <row r="33507" spans="6:6">
      <c r="F33507" s="2423"/>
    </row>
    <row r="33508" spans="6:6">
      <c r="F33508" s="2423"/>
    </row>
    <row r="33509" spans="6:6">
      <c r="F33509" s="2423"/>
    </row>
    <row r="33510" spans="6:6">
      <c r="F33510" s="2423"/>
    </row>
    <row r="33511" spans="6:6">
      <c r="F33511" s="2423"/>
    </row>
    <row r="33512" spans="6:6">
      <c r="F33512" s="2423"/>
    </row>
    <row r="33513" spans="6:6">
      <c r="F33513" s="2423"/>
    </row>
    <row r="33514" spans="6:6">
      <c r="F33514" s="2423"/>
    </row>
    <row r="33515" spans="6:6">
      <c r="F33515" s="2423"/>
    </row>
    <row r="33516" spans="6:6">
      <c r="F33516" s="2423"/>
    </row>
    <row r="33517" spans="6:6">
      <c r="F33517" s="2423"/>
    </row>
    <row r="33518" spans="6:6">
      <c r="F33518" s="2423"/>
    </row>
    <row r="33519" spans="6:6">
      <c r="F33519" s="2423"/>
    </row>
    <row r="33520" spans="6:6">
      <c r="F33520" s="2423"/>
    </row>
    <row r="33521" spans="6:6">
      <c r="F33521" s="2423"/>
    </row>
    <row r="33522" spans="6:6">
      <c r="F33522" s="2423"/>
    </row>
    <row r="33523" spans="6:6">
      <c r="F33523" s="2423"/>
    </row>
    <row r="33524" spans="6:6">
      <c r="F33524" s="2423"/>
    </row>
    <row r="33525" spans="6:6">
      <c r="F33525" s="2423"/>
    </row>
    <row r="33526" spans="6:6">
      <c r="F33526" s="2423"/>
    </row>
    <row r="33527" spans="6:6">
      <c r="F33527" s="2423"/>
    </row>
    <row r="33528" spans="6:6">
      <c r="F33528" s="2423"/>
    </row>
    <row r="33529" spans="6:6">
      <c r="F33529" s="2423"/>
    </row>
    <row r="33530" spans="6:6">
      <c r="F33530" s="2423"/>
    </row>
    <row r="33531" spans="6:6">
      <c r="F33531" s="2423"/>
    </row>
    <row r="33532" spans="6:6">
      <c r="F33532" s="2423"/>
    </row>
    <row r="33533" spans="6:6">
      <c r="F33533" s="2423"/>
    </row>
    <row r="33534" spans="6:6">
      <c r="F33534" s="2423"/>
    </row>
    <row r="33535" spans="6:6">
      <c r="F33535" s="2423"/>
    </row>
    <row r="33536" spans="6:6">
      <c r="F33536" s="2423"/>
    </row>
    <row r="33537" spans="6:6">
      <c r="F33537" s="2423"/>
    </row>
    <row r="33538" spans="6:6">
      <c r="F33538" s="2423"/>
    </row>
    <row r="33539" spans="6:6">
      <c r="F33539" s="2423"/>
    </row>
    <row r="33540" spans="6:6">
      <c r="F33540" s="2423"/>
    </row>
    <row r="33541" spans="6:6">
      <c r="F33541" s="2423"/>
    </row>
    <row r="33542" spans="6:6">
      <c r="F33542" s="2423"/>
    </row>
    <row r="33543" spans="6:6">
      <c r="F33543" s="2423"/>
    </row>
    <row r="33544" spans="6:6">
      <c r="F33544" s="2423"/>
    </row>
    <row r="33545" spans="6:6">
      <c r="F33545" s="2423"/>
    </row>
    <row r="33546" spans="6:6">
      <c r="F33546" s="2423"/>
    </row>
    <row r="33547" spans="6:6">
      <c r="F33547" s="2423"/>
    </row>
    <row r="33548" spans="6:6">
      <c r="F33548" s="2423"/>
    </row>
    <row r="33549" spans="6:6">
      <c r="F33549" s="2423"/>
    </row>
    <row r="33550" spans="6:6">
      <c r="F33550" s="2423"/>
    </row>
    <row r="33551" spans="6:6">
      <c r="F33551" s="2423"/>
    </row>
    <row r="33552" spans="6:6">
      <c r="F33552" s="2423"/>
    </row>
    <row r="33553" spans="6:6">
      <c r="F33553" s="2423"/>
    </row>
    <row r="33554" spans="6:6">
      <c r="F33554" s="2423"/>
    </row>
    <row r="33555" spans="6:6">
      <c r="F33555" s="2423"/>
    </row>
    <row r="33556" spans="6:6">
      <c r="F33556" s="2423"/>
    </row>
    <row r="33557" spans="6:6">
      <c r="F33557" s="2423"/>
    </row>
    <row r="33558" spans="6:6">
      <c r="F33558" s="2423"/>
    </row>
    <row r="33559" spans="6:6">
      <c r="F33559" s="2423"/>
    </row>
    <row r="33560" spans="6:6">
      <c r="F33560" s="2423"/>
    </row>
    <row r="33561" spans="6:6">
      <c r="F33561" s="2423"/>
    </row>
    <row r="33562" spans="6:6">
      <c r="F33562" s="2423"/>
    </row>
    <row r="33563" spans="6:6">
      <c r="F33563" s="2423"/>
    </row>
    <row r="33564" spans="6:6">
      <c r="F33564" s="2423"/>
    </row>
    <row r="33565" spans="6:6">
      <c r="F33565" s="2423"/>
    </row>
    <row r="33566" spans="6:6">
      <c r="F33566" s="2423"/>
    </row>
    <row r="33567" spans="6:6">
      <c r="F33567" s="2423"/>
    </row>
    <row r="33568" spans="6:6">
      <c r="F33568" s="2423"/>
    </row>
    <row r="33569" spans="6:6">
      <c r="F33569" s="2423"/>
    </row>
    <row r="33570" spans="6:6">
      <c r="F33570" s="2423"/>
    </row>
    <row r="33571" spans="6:6">
      <c r="F33571" s="2423"/>
    </row>
    <row r="33572" spans="6:6">
      <c r="F33572" s="2423"/>
    </row>
    <row r="33573" spans="6:6">
      <c r="F33573" s="2423"/>
    </row>
    <row r="33574" spans="6:6">
      <c r="F33574" s="2423"/>
    </row>
    <row r="33575" spans="6:6">
      <c r="F33575" s="2423"/>
    </row>
    <row r="33576" spans="6:6">
      <c r="F33576" s="2423"/>
    </row>
    <row r="33577" spans="6:6">
      <c r="F33577" s="2423"/>
    </row>
    <row r="33578" spans="6:6">
      <c r="F33578" s="2423"/>
    </row>
    <row r="33579" spans="6:6">
      <c r="F33579" s="2423"/>
    </row>
    <row r="33580" spans="6:6">
      <c r="F33580" s="2423"/>
    </row>
    <row r="33581" spans="6:6">
      <c r="F33581" s="2423"/>
    </row>
    <row r="33582" spans="6:6">
      <c r="F33582" s="2423"/>
    </row>
    <row r="33583" spans="6:6">
      <c r="F33583" s="2423"/>
    </row>
    <row r="33584" spans="6:6">
      <c r="F33584" s="2423"/>
    </row>
    <row r="33585" spans="6:6">
      <c r="F33585" s="2423"/>
    </row>
    <row r="33586" spans="6:6">
      <c r="F33586" s="2423"/>
    </row>
    <row r="33587" spans="6:6">
      <c r="F33587" s="2423"/>
    </row>
    <row r="33588" spans="6:6">
      <c r="F33588" s="2423"/>
    </row>
    <row r="33589" spans="6:6">
      <c r="F33589" s="2423"/>
    </row>
    <row r="33590" spans="6:6">
      <c r="F33590" s="2423"/>
    </row>
    <row r="33591" spans="6:6">
      <c r="F33591" s="2423"/>
    </row>
    <row r="33592" spans="6:6">
      <c r="F33592" s="2423"/>
    </row>
    <row r="33593" spans="6:6">
      <c r="F33593" s="2423"/>
    </row>
    <row r="33594" spans="6:6">
      <c r="F33594" s="2423"/>
    </row>
    <row r="33595" spans="6:6">
      <c r="F33595" s="2423"/>
    </row>
    <row r="33596" spans="6:6">
      <c r="F33596" s="2423"/>
    </row>
    <row r="33597" spans="6:6">
      <c r="F33597" s="2423"/>
    </row>
    <row r="33598" spans="6:6">
      <c r="F33598" s="2423"/>
    </row>
    <row r="33599" spans="6:6">
      <c r="F33599" s="2423"/>
    </row>
    <row r="33600" spans="6:6">
      <c r="F33600" s="2423"/>
    </row>
    <row r="33601" spans="6:6">
      <c r="F33601" s="2423"/>
    </row>
    <row r="33602" spans="6:6">
      <c r="F33602" s="2423"/>
    </row>
    <row r="33603" spans="6:6">
      <c r="F33603" s="2423"/>
    </row>
    <row r="33604" spans="6:6">
      <c r="F33604" s="2423"/>
    </row>
    <row r="33605" spans="6:6">
      <c r="F33605" s="2423"/>
    </row>
    <row r="33606" spans="6:6">
      <c r="F33606" s="2423"/>
    </row>
    <row r="33607" spans="6:6">
      <c r="F33607" s="2423"/>
    </row>
    <row r="33608" spans="6:6">
      <c r="F33608" s="2423"/>
    </row>
    <row r="33609" spans="6:6">
      <c r="F33609" s="2423"/>
    </row>
    <row r="33610" spans="6:6">
      <c r="F33610" s="2423"/>
    </row>
    <row r="33611" spans="6:6">
      <c r="F33611" s="2423"/>
    </row>
    <row r="33612" spans="6:6">
      <c r="F33612" s="2423"/>
    </row>
    <row r="33613" spans="6:6">
      <c r="F33613" s="2423"/>
    </row>
    <row r="33614" spans="6:6">
      <c r="F33614" s="2423"/>
    </row>
    <row r="33615" spans="6:6">
      <c r="F33615" s="2423"/>
    </row>
    <row r="33616" spans="6:6">
      <c r="F33616" s="2423"/>
    </row>
    <row r="33617" spans="6:6">
      <c r="F33617" s="2423"/>
    </row>
    <row r="33618" spans="6:6">
      <c r="F33618" s="2423"/>
    </row>
    <row r="33619" spans="6:6">
      <c r="F33619" s="2423"/>
    </row>
    <row r="33620" spans="6:6">
      <c r="F33620" s="2423"/>
    </row>
    <row r="33621" spans="6:6">
      <c r="F33621" s="2423"/>
    </row>
    <row r="33622" spans="6:6">
      <c r="F33622" s="2423"/>
    </row>
    <row r="33623" spans="6:6">
      <c r="F33623" s="2423"/>
    </row>
    <row r="33624" spans="6:6">
      <c r="F33624" s="2423"/>
    </row>
    <row r="33625" spans="6:6">
      <c r="F33625" s="2423"/>
    </row>
    <row r="33626" spans="6:6">
      <c r="F33626" s="2423"/>
    </row>
    <row r="33627" spans="6:6">
      <c r="F33627" s="2423"/>
    </row>
    <row r="33628" spans="6:6">
      <c r="F33628" s="2423"/>
    </row>
    <row r="33629" spans="6:6">
      <c r="F33629" s="2423"/>
    </row>
    <row r="33630" spans="6:6">
      <c r="F33630" s="2423"/>
    </row>
    <row r="33631" spans="6:6">
      <c r="F33631" s="2423"/>
    </row>
    <row r="33632" spans="6:6">
      <c r="F33632" s="2423"/>
    </row>
    <row r="33633" spans="6:6">
      <c r="F33633" s="2423"/>
    </row>
    <row r="33634" spans="6:6">
      <c r="F33634" s="2423"/>
    </row>
    <row r="33635" spans="6:6">
      <c r="F33635" s="2423"/>
    </row>
    <row r="33636" spans="6:6">
      <c r="F33636" s="2423"/>
    </row>
    <row r="33637" spans="6:6">
      <c r="F33637" s="2423"/>
    </row>
    <row r="33638" spans="6:6">
      <c r="F33638" s="2423"/>
    </row>
    <row r="33639" spans="6:6">
      <c r="F33639" s="2423"/>
    </row>
    <row r="33640" spans="6:6">
      <c r="F33640" s="2423"/>
    </row>
    <row r="33641" spans="6:6">
      <c r="F33641" s="2423"/>
    </row>
    <row r="33642" spans="6:6">
      <c r="F33642" s="2423"/>
    </row>
    <row r="33643" spans="6:6">
      <c r="F33643" s="2423"/>
    </row>
    <row r="33644" spans="6:6">
      <c r="F33644" s="2423"/>
    </row>
    <row r="33645" spans="6:6">
      <c r="F33645" s="2423"/>
    </row>
    <row r="33646" spans="6:6">
      <c r="F33646" s="2423"/>
    </row>
    <row r="33647" spans="6:6">
      <c r="F33647" s="2423"/>
    </row>
    <row r="33648" spans="6:6">
      <c r="F33648" s="2423"/>
    </row>
    <row r="33649" spans="6:6">
      <c r="F33649" s="2423"/>
    </row>
    <row r="33650" spans="6:6">
      <c r="F33650" s="2423"/>
    </row>
    <row r="33651" spans="6:6">
      <c r="F33651" s="2423"/>
    </row>
    <row r="33652" spans="6:6">
      <c r="F33652" s="2423"/>
    </row>
    <row r="33653" spans="6:6">
      <c r="F33653" s="2423"/>
    </row>
    <row r="33654" spans="6:6">
      <c r="F33654" s="2423"/>
    </row>
    <row r="33655" spans="6:6">
      <c r="F33655" s="2423"/>
    </row>
    <row r="33656" spans="6:6">
      <c r="F33656" s="2423"/>
    </row>
    <row r="33657" spans="6:6">
      <c r="F33657" s="2423"/>
    </row>
    <row r="33658" spans="6:6">
      <c r="F33658" s="2423"/>
    </row>
    <row r="33659" spans="6:6">
      <c r="F33659" s="2423"/>
    </row>
    <row r="33660" spans="6:6">
      <c r="F33660" s="2423"/>
    </row>
    <row r="33661" spans="6:6">
      <c r="F33661" s="2423"/>
    </row>
    <row r="33662" spans="6:6">
      <c r="F33662" s="2423"/>
    </row>
    <row r="33663" spans="6:6">
      <c r="F33663" s="2423"/>
    </row>
    <row r="33664" spans="6:6">
      <c r="F33664" s="2423"/>
    </row>
    <row r="33665" spans="6:6">
      <c r="F33665" s="2423"/>
    </row>
    <row r="33666" spans="6:6">
      <c r="F33666" s="2423"/>
    </row>
    <row r="33667" spans="6:6">
      <c r="F33667" s="2423"/>
    </row>
    <row r="33668" spans="6:6">
      <c r="F33668" s="2423"/>
    </row>
    <row r="33669" spans="6:6">
      <c r="F33669" s="2423"/>
    </row>
    <row r="33670" spans="6:6">
      <c r="F33670" s="2423"/>
    </row>
    <row r="33671" spans="6:6">
      <c r="F33671" s="2423"/>
    </row>
    <row r="33672" spans="6:6">
      <c r="F33672" s="2423"/>
    </row>
    <row r="33673" spans="6:6">
      <c r="F33673" s="2423"/>
    </row>
    <row r="33674" spans="6:6">
      <c r="F33674" s="2423"/>
    </row>
    <row r="33675" spans="6:6">
      <c r="F33675" s="2423"/>
    </row>
    <row r="33676" spans="6:6">
      <c r="F33676" s="2423"/>
    </row>
    <row r="33677" spans="6:6">
      <c r="F33677" s="2423"/>
    </row>
    <row r="33678" spans="6:6">
      <c r="F33678" s="2423"/>
    </row>
    <row r="33679" spans="6:6">
      <c r="F33679" s="2423"/>
    </row>
    <row r="33680" spans="6:6">
      <c r="F33680" s="2423"/>
    </row>
    <row r="33681" spans="6:6">
      <c r="F33681" s="2423"/>
    </row>
    <row r="33682" spans="6:6">
      <c r="F33682" s="2423"/>
    </row>
    <row r="33683" spans="6:6">
      <c r="F33683" s="2423"/>
    </row>
    <row r="33684" spans="6:6">
      <c r="F33684" s="2423"/>
    </row>
    <row r="33685" spans="6:6">
      <c r="F33685" s="2423"/>
    </row>
    <row r="33686" spans="6:6">
      <c r="F33686" s="2423"/>
    </row>
    <row r="33687" spans="6:6">
      <c r="F33687" s="2423"/>
    </row>
    <row r="33688" spans="6:6">
      <c r="F33688" s="2423"/>
    </row>
    <row r="33689" spans="6:6">
      <c r="F33689" s="2423"/>
    </row>
    <row r="33690" spans="6:6">
      <c r="F33690" s="2423"/>
    </row>
    <row r="33691" spans="6:6">
      <c r="F33691" s="2423"/>
    </row>
    <row r="33692" spans="6:6">
      <c r="F33692" s="2423"/>
    </row>
    <row r="33693" spans="6:6">
      <c r="F33693" s="2423"/>
    </row>
    <row r="33694" spans="6:6">
      <c r="F33694" s="2423"/>
    </row>
    <row r="33695" spans="6:6">
      <c r="F33695" s="2423"/>
    </row>
    <row r="33696" spans="6:6">
      <c r="F33696" s="2423"/>
    </row>
    <row r="33697" spans="6:6">
      <c r="F33697" s="2423"/>
    </row>
    <row r="33698" spans="6:6">
      <c r="F33698" s="2423"/>
    </row>
    <row r="33699" spans="6:6">
      <c r="F33699" s="2423"/>
    </row>
    <row r="33700" spans="6:6">
      <c r="F33700" s="2423"/>
    </row>
    <row r="33701" spans="6:6">
      <c r="F33701" s="2423"/>
    </row>
    <row r="33702" spans="6:6">
      <c r="F33702" s="2423"/>
    </row>
    <row r="33703" spans="6:6">
      <c r="F33703" s="2423"/>
    </row>
    <row r="33704" spans="6:6">
      <c r="F33704" s="2423"/>
    </row>
    <row r="33705" spans="6:6">
      <c r="F33705" s="2423"/>
    </row>
    <row r="33706" spans="6:6">
      <c r="F33706" s="2423"/>
    </row>
    <row r="33707" spans="6:6">
      <c r="F33707" s="2423"/>
    </row>
    <row r="33708" spans="6:6">
      <c r="F33708" s="2423"/>
    </row>
    <row r="33709" spans="6:6">
      <c r="F33709" s="2423"/>
    </row>
    <row r="33710" spans="6:6">
      <c r="F33710" s="2423"/>
    </row>
    <row r="33711" spans="6:6">
      <c r="F33711" s="2423"/>
    </row>
    <row r="33712" spans="6:6">
      <c r="F33712" s="2423"/>
    </row>
    <row r="33713" spans="6:6">
      <c r="F33713" s="2423"/>
    </row>
    <row r="33714" spans="6:6">
      <c r="F33714" s="2423"/>
    </row>
    <row r="33715" spans="6:6">
      <c r="F33715" s="2423"/>
    </row>
    <row r="33716" spans="6:6">
      <c r="F33716" s="2423"/>
    </row>
    <row r="33717" spans="6:6">
      <c r="F33717" s="2423"/>
    </row>
    <row r="33718" spans="6:6">
      <c r="F33718" s="2423"/>
    </row>
    <row r="33719" spans="6:6">
      <c r="F33719" s="2423"/>
    </row>
    <row r="33720" spans="6:6">
      <c r="F33720" s="2423"/>
    </row>
    <row r="33721" spans="6:6">
      <c r="F33721" s="2423"/>
    </row>
    <row r="33722" spans="6:6">
      <c r="F33722" s="2423"/>
    </row>
    <row r="33723" spans="6:6">
      <c r="F33723" s="2423"/>
    </row>
    <row r="33724" spans="6:6">
      <c r="F33724" s="2423"/>
    </row>
    <row r="33725" spans="6:6">
      <c r="F33725" s="2423"/>
    </row>
    <row r="33726" spans="6:6">
      <c r="F33726" s="2423"/>
    </row>
    <row r="33727" spans="6:6">
      <c r="F33727" s="2423"/>
    </row>
    <row r="33728" spans="6:6">
      <c r="F33728" s="2423"/>
    </row>
    <row r="33729" spans="6:6">
      <c r="F33729" s="2423"/>
    </row>
    <row r="33730" spans="6:6">
      <c r="F33730" s="2423"/>
    </row>
    <row r="33731" spans="6:6">
      <c r="F33731" s="2423"/>
    </row>
    <row r="33732" spans="6:6">
      <c r="F33732" s="2423"/>
    </row>
    <row r="33733" spans="6:6">
      <c r="F33733" s="2423"/>
    </row>
    <row r="33734" spans="6:6">
      <c r="F33734" s="2423"/>
    </row>
    <row r="33735" spans="6:6">
      <c r="F33735" s="2423"/>
    </row>
    <row r="33736" spans="6:6">
      <c r="F33736" s="2423"/>
    </row>
    <row r="33737" spans="6:6">
      <c r="F33737" s="2423"/>
    </row>
    <row r="33738" spans="6:6">
      <c r="F33738" s="2423"/>
    </row>
    <row r="33739" spans="6:6">
      <c r="F33739" s="2423"/>
    </row>
    <row r="33740" spans="6:6">
      <c r="F33740" s="2423"/>
    </row>
    <row r="33741" spans="6:6">
      <c r="F33741" s="2423"/>
    </row>
    <row r="33742" spans="6:6">
      <c r="F33742" s="2423"/>
    </row>
    <row r="33743" spans="6:6">
      <c r="F33743" s="2423"/>
    </row>
    <row r="33744" spans="6:6">
      <c r="F33744" s="2423"/>
    </row>
    <row r="33745" spans="6:6">
      <c r="F33745" s="2423"/>
    </row>
    <row r="33746" spans="6:6">
      <c r="F33746" s="2423"/>
    </row>
    <row r="33747" spans="6:6">
      <c r="F33747" s="2423"/>
    </row>
    <row r="33748" spans="6:6">
      <c r="F33748" s="2423"/>
    </row>
    <row r="33749" spans="6:6">
      <c r="F33749" s="2423"/>
    </row>
    <row r="33750" spans="6:6">
      <c r="F33750" s="2423"/>
    </row>
    <row r="33751" spans="6:6">
      <c r="F33751" s="2423"/>
    </row>
    <row r="33752" spans="6:6">
      <c r="F33752" s="2423"/>
    </row>
    <row r="33753" spans="6:6">
      <c r="F33753" s="2423"/>
    </row>
    <row r="33754" spans="6:6">
      <c r="F33754" s="2423"/>
    </row>
    <row r="33755" spans="6:6">
      <c r="F33755" s="2423"/>
    </row>
    <row r="33756" spans="6:6">
      <c r="F33756" s="2423"/>
    </row>
    <row r="33757" spans="6:6">
      <c r="F33757" s="2423"/>
    </row>
    <row r="33758" spans="6:6">
      <c r="F33758" s="2423"/>
    </row>
    <row r="33759" spans="6:6">
      <c r="F33759" s="2423"/>
    </row>
    <row r="33760" spans="6:6">
      <c r="F33760" s="2423"/>
    </row>
    <row r="33761" spans="6:6">
      <c r="F33761" s="2423"/>
    </row>
    <row r="33762" spans="6:6">
      <c r="F33762" s="2423"/>
    </row>
    <row r="33763" spans="6:6">
      <c r="F33763" s="2423"/>
    </row>
    <row r="33764" spans="6:6">
      <c r="F33764" s="2423"/>
    </row>
    <row r="33765" spans="6:6">
      <c r="F33765" s="2423"/>
    </row>
    <row r="33766" spans="6:6">
      <c r="F33766" s="2423"/>
    </row>
    <row r="33767" spans="6:6">
      <c r="F33767" s="2423"/>
    </row>
    <row r="33768" spans="6:6">
      <c r="F33768" s="2423"/>
    </row>
    <row r="33769" spans="6:6">
      <c r="F33769" s="2423"/>
    </row>
    <row r="33770" spans="6:6">
      <c r="F33770" s="2423"/>
    </row>
    <row r="33771" spans="6:6">
      <c r="F33771" s="2423"/>
    </row>
    <row r="33772" spans="6:6">
      <c r="F33772" s="2423"/>
    </row>
    <row r="33773" spans="6:6">
      <c r="F33773" s="2423"/>
    </row>
    <row r="33774" spans="6:6">
      <c r="F33774" s="2423"/>
    </row>
    <row r="33775" spans="6:6">
      <c r="F33775" s="2423"/>
    </row>
    <row r="33776" spans="6:6">
      <c r="F33776" s="2423"/>
    </row>
    <row r="33777" spans="6:6">
      <c r="F33777" s="2423"/>
    </row>
    <row r="33778" spans="6:6">
      <c r="F33778" s="2423"/>
    </row>
    <row r="33779" spans="6:6">
      <c r="F33779" s="2423"/>
    </row>
    <row r="33780" spans="6:6">
      <c r="F33780" s="2423"/>
    </row>
    <row r="33781" spans="6:6">
      <c r="F33781" s="2423"/>
    </row>
    <row r="33782" spans="6:6">
      <c r="F33782" s="2423"/>
    </row>
    <row r="33783" spans="6:6">
      <c r="F33783" s="2423"/>
    </row>
    <row r="33784" spans="6:6">
      <c r="F33784" s="2423"/>
    </row>
    <row r="33785" spans="6:6">
      <c r="F33785" s="2423"/>
    </row>
    <row r="33786" spans="6:6">
      <c r="F33786" s="2423"/>
    </row>
    <row r="33787" spans="6:6">
      <c r="F33787" s="2423"/>
    </row>
    <row r="33788" spans="6:6">
      <c r="F33788" s="2423"/>
    </row>
    <row r="33789" spans="6:6">
      <c r="F33789" s="2423"/>
    </row>
    <row r="33790" spans="6:6">
      <c r="F33790" s="2423"/>
    </row>
    <row r="33791" spans="6:6">
      <c r="F33791" s="2423"/>
    </row>
    <row r="33792" spans="6:6">
      <c r="F33792" s="2423"/>
    </row>
    <row r="33793" spans="6:6">
      <c r="F33793" s="2423"/>
    </row>
    <row r="33794" spans="6:6">
      <c r="F33794" s="2423"/>
    </row>
    <row r="33795" spans="6:6">
      <c r="F33795" s="2423"/>
    </row>
    <row r="33796" spans="6:6">
      <c r="F33796" s="2423"/>
    </row>
    <row r="33797" spans="6:6">
      <c r="F33797" s="2423"/>
    </row>
    <row r="33798" spans="6:6">
      <c r="F33798" s="2423"/>
    </row>
    <row r="33799" spans="6:6">
      <c r="F33799" s="2423"/>
    </row>
    <row r="33800" spans="6:6">
      <c r="F33800" s="2423"/>
    </row>
    <row r="33801" spans="6:6">
      <c r="F33801" s="2423"/>
    </row>
    <row r="33802" spans="6:6">
      <c r="F33802" s="2423"/>
    </row>
    <row r="33803" spans="6:6">
      <c r="F33803" s="2423"/>
    </row>
    <row r="33804" spans="6:6">
      <c r="F33804" s="2423"/>
    </row>
    <row r="33805" spans="6:6">
      <c r="F33805" s="2423"/>
    </row>
    <row r="33806" spans="6:6">
      <c r="F33806" s="2423"/>
    </row>
    <row r="33807" spans="6:6">
      <c r="F33807" s="2423"/>
    </row>
    <row r="33808" spans="6:6">
      <c r="F33808" s="2423"/>
    </row>
    <row r="33809" spans="6:6">
      <c r="F33809" s="2423"/>
    </row>
    <row r="33810" spans="6:6">
      <c r="F33810" s="2423"/>
    </row>
    <row r="33811" spans="6:6">
      <c r="F33811" s="2423"/>
    </row>
    <row r="33812" spans="6:6">
      <c r="F33812" s="2423"/>
    </row>
    <row r="33813" spans="6:6">
      <c r="F33813" s="2423"/>
    </row>
    <row r="33814" spans="6:6">
      <c r="F33814" s="2423"/>
    </row>
    <row r="33815" spans="6:6">
      <c r="F33815" s="2423"/>
    </row>
    <row r="33816" spans="6:6">
      <c r="F33816" s="2423"/>
    </row>
    <row r="33817" spans="6:6">
      <c r="F33817" s="2423"/>
    </row>
    <row r="33818" spans="6:6">
      <c r="F33818" s="2423"/>
    </row>
    <row r="33819" spans="6:6">
      <c r="F33819" s="2423"/>
    </row>
    <row r="33820" spans="6:6">
      <c r="F33820" s="2423"/>
    </row>
    <row r="33821" spans="6:6">
      <c r="F33821" s="2423"/>
    </row>
    <row r="33822" spans="6:6">
      <c r="F33822" s="2423"/>
    </row>
    <row r="33823" spans="6:6">
      <c r="F33823" s="2423"/>
    </row>
    <row r="33824" spans="6:6">
      <c r="F33824" s="2423"/>
    </row>
    <row r="33825" spans="6:6">
      <c r="F33825" s="2423"/>
    </row>
    <row r="33826" spans="6:6">
      <c r="F33826" s="2423"/>
    </row>
    <row r="33827" spans="6:6">
      <c r="F33827" s="2423"/>
    </row>
    <row r="33828" spans="6:6">
      <c r="F33828" s="2423"/>
    </row>
    <row r="33829" spans="6:6">
      <c r="F33829" s="2423"/>
    </row>
    <row r="33830" spans="6:6">
      <c r="F33830" s="2423"/>
    </row>
    <row r="33831" spans="6:6">
      <c r="F33831" s="2423"/>
    </row>
    <row r="33832" spans="6:6">
      <c r="F33832" s="2423"/>
    </row>
    <row r="33833" spans="6:6">
      <c r="F33833" s="2423"/>
    </row>
    <row r="33834" spans="6:6">
      <c r="F33834" s="2423"/>
    </row>
    <row r="33835" spans="6:6">
      <c r="F33835" s="2423"/>
    </row>
    <row r="33836" spans="6:6">
      <c r="F33836" s="2423"/>
    </row>
    <row r="33837" spans="6:6">
      <c r="F33837" s="2423"/>
    </row>
    <row r="33838" spans="6:6">
      <c r="F33838" s="2423"/>
    </row>
    <row r="33839" spans="6:6">
      <c r="F33839" s="2423"/>
    </row>
    <row r="33840" spans="6:6">
      <c r="F33840" s="2423"/>
    </row>
    <row r="33841" spans="6:6">
      <c r="F33841" s="2423"/>
    </row>
    <row r="33842" spans="6:6">
      <c r="F33842" s="2423"/>
    </row>
    <row r="33843" spans="6:6">
      <c r="F33843" s="2423"/>
    </row>
    <row r="33844" spans="6:6">
      <c r="F33844" s="2423"/>
    </row>
    <row r="33845" spans="6:6">
      <c r="F33845" s="2423"/>
    </row>
    <row r="33846" spans="6:6">
      <c r="F33846" s="2423"/>
    </row>
    <row r="33847" spans="6:6">
      <c r="F33847" s="2423"/>
    </row>
    <row r="33848" spans="6:6">
      <c r="F33848" s="2423"/>
    </row>
    <row r="33849" spans="6:6">
      <c r="F33849" s="2423"/>
    </row>
    <row r="33850" spans="6:6">
      <c r="F33850" s="2423"/>
    </row>
    <row r="33851" spans="6:6">
      <c r="F33851" s="2423"/>
    </row>
    <row r="33852" spans="6:6">
      <c r="F33852" s="2423"/>
    </row>
    <row r="33853" spans="6:6">
      <c r="F33853" s="2423"/>
    </row>
    <row r="33854" spans="6:6">
      <c r="F33854" s="2423"/>
    </row>
    <row r="33855" spans="6:6">
      <c r="F33855" s="2423"/>
    </row>
    <row r="33856" spans="6:6">
      <c r="F33856" s="2423"/>
    </row>
    <row r="33857" spans="6:6">
      <c r="F33857" s="2423"/>
    </row>
    <row r="33858" spans="6:6">
      <c r="F33858" s="2423"/>
    </row>
    <row r="33859" spans="6:6">
      <c r="F33859" s="2423"/>
    </row>
    <row r="33860" spans="6:6">
      <c r="F33860" s="2423"/>
    </row>
    <row r="33861" spans="6:6">
      <c r="F33861" s="2423"/>
    </row>
    <row r="33862" spans="6:6">
      <c r="F33862" s="2423"/>
    </row>
    <row r="33863" spans="6:6">
      <c r="F33863" s="2423"/>
    </row>
    <row r="33864" spans="6:6">
      <c r="F33864" s="2423"/>
    </row>
    <row r="33865" spans="6:6">
      <c r="F33865" s="2423"/>
    </row>
    <row r="33866" spans="6:6">
      <c r="F33866" s="2423"/>
    </row>
    <row r="33867" spans="6:6">
      <c r="F33867" s="2423"/>
    </row>
    <row r="33868" spans="6:6">
      <c r="F33868" s="2423"/>
    </row>
    <row r="33869" spans="6:6">
      <c r="F33869" s="2423"/>
    </row>
    <row r="33870" spans="6:6">
      <c r="F33870" s="2423"/>
    </row>
    <row r="33871" spans="6:6">
      <c r="F33871" s="2423"/>
    </row>
    <row r="33872" spans="6:6">
      <c r="F33872" s="2423"/>
    </row>
    <row r="33873" spans="6:6">
      <c r="F33873" s="2423"/>
    </row>
    <row r="33874" spans="6:6">
      <c r="F33874" s="2423"/>
    </row>
    <row r="33875" spans="6:6">
      <c r="F33875" s="2423"/>
    </row>
    <row r="33876" spans="6:6">
      <c r="F33876" s="2423"/>
    </row>
    <row r="33877" spans="6:6">
      <c r="F33877" s="2423"/>
    </row>
    <row r="33878" spans="6:6">
      <c r="F33878" s="2423"/>
    </row>
    <row r="33879" spans="6:6">
      <c r="F33879" s="2423"/>
    </row>
    <row r="33880" spans="6:6">
      <c r="F33880" s="2423"/>
    </row>
    <row r="33881" spans="6:6">
      <c r="F33881" s="2423"/>
    </row>
    <row r="33882" spans="6:6">
      <c r="F33882" s="2423"/>
    </row>
    <row r="33883" spans="6:6">
      <c r="F33883" s="2423"/>
    </row>
    <row r="33884" spans="6:6">
      <c r="F33884" s="2423"/>
    </row>
    <row r="33885" spans="6:6">
      <c r="F33885" s="2423"/>
    </row>
    <row r="33886" spans="6:6">
      <c r="F33886" s="2423"/>
    </row>
    <row r="33887" spans="6:6">
      <c r="F33887" s="2423"/>
    </row>
    <row r="33888" spans="6:6">
      <c r="F33888" s="2423"/>
    </row>
    <row r="33889" spans="6:6">
      <c r="F33889" s="2423"/>
    </row>
    <row r="33890" spans="6:6">
      <c r="F33890" s="2423"/>
    </row>
    <row r="33891" spans="6:6">
      <c r="F33891" s="2423"/>
    </row>
    <row r="33892" spans="6:6">
      <c r="F33892" s="2423"/>
    </row>
    <row r="33893" spans="6:6">
      <c r="F33893" s="2423"/>
    </row>
    <row r="33894" spans="6:6">
      <c r="F33894" s="2423"/>
    </row>
    <row r="33895" spans="6:6">
      <c r="F33895" s="2423"/>
    </row>
    <row r="33896" spans="6:6">
      <c r="F33896" s="2423"/>
    </row>
    <row r="33897" spans="6:6">
      <c r="F33897" s="2423"/>
    </row>
    <row r="33898" spans="6:6">
      <c r="F33898" s="2423"/>
    </row>
    <row r="33899" spans="6:6">
      <c r="F33899" s="2423"/>
    </row>
    <row r="33900" spans="6:6">
      <c r="F33900" s="2423"/>
    </row>
    <row r="33901" spans="6:6">
      <c r="F33901" s="2423"/>
    </row>
    <row r="33902" spans="6:6">
      <c r="F33902" s="2423"/>
    </row>
    <row r="33903" spans="6:6">
      <c r="F33903" s="2423"/>
    </row>
    <row r="33904" spans="6:6">
      <c r="F33904" s="2423"/>
    </row>
    <row r="33905" spans="6:6">
      <c r="F33905" s="2423"/>
    </row>
    <row r="33906" spans="6:6">
      <c r="F33906" s="2423"/>
    </row>
    <row r="33907" spans="6:6">
      <c r="F33907" s="2423"/>
    </row>
    <row r="33908" spans="6:6">
      <c r="F33908" s="2423"/>
    </row>
    <row r="33909" spans="6:6">
      <c r="F33909" s="2423"/>
    </row>
    <row r="33910" spans="6:6">
      <c r="F33910" s="2423"/>
    </row>
    <row r="33911" spans="6:6">
      <c r="F33911" s="2423"/>
    </row>
    <row r="33912" spans="6:6">
      <c r="F33912" s="2423"/>
    </row>
    <row r="33913" spans="6:6">
      <c r="F33913" s="2423"/>
    </row>
    <row r="33914" spans="6:6">
      <c r="F33914" s="2423"/>
    </row>
    <row r="33915" spans="6:6">
      <c r="F33915" s="2423"/>
    </row>
    <row r="33916" spans="6:6">
      <c r="F33916" s="2423"/>
    </row>
    <row r="33917" spans="6:6">
      <c r="F33917" s="2423"/>
    </row>
    <row r="33918" spans="6:6">
      <c r="F33918" s="2423"/>
    </row>
    <row r="33919" spans="6:6">
      <c r="F33919" s="2423"/>
    </row>
    <row r="33920" spans="6:6">
      <c r="F33920" s="2423"/>
    </row>
    <row r="33921" spans="6:6">
      <c r="F33921" s="2423"/>
    </row>
    <row r="33922" spans="6:6">
      <c r="F33922" s="2423"/>
    </row>
    <row r="33923" spans="6:6">
      <c r="F33923" s="2423"/>
    </row>
    <row r="33924" spans="6:6">
      <c r="F33924" s="2423"/>
    </row>
    <row r="33925" spans="6:6">
      <c r="F33925" s="2423"/>
    </row>
    <row r="33926" spans="6:6">
      <c r="F33926" s="2423"/>
    </row>
    <row r="33927" spans="6:6">
      <c r="F33927" s="2423"/>
    </row>
    <row r="33928" spans="6:6">
      <c r="F33928" s="2423"/>
    </row>
    <row r="33929" spans="6:6">
      <c r="F33929" s="2423"/>
    </row>
    <row r="33930" spans="6:6">
      <c r="F33930" s="2423"/>
    </row>
    <row r="33931" spans="6:6">
      <c r="F33931" s="2423"/>
    </row>
    <row r="33932" spans="6:6">
      <c r="F33932" s="2423"/>
    </row>
    <row r="33933" spans="6:6">
      <c r="F33933" s="2423"/>
    </row>
    <row r="33934" spans="6:6">
      <c r="F33934" s="2423"/>
    </row>
    <row r="33935" spans="6:6">
      <c r="F33935" s="2423"/>
    </row>
    <row r="33936" spans="6:6">
      <c r="F33936" s="2423"/>
    </row>
    <row r="33937" spans="6:6">
      <c r="F33937" s="2423"/>
    </row>
    <row r="33938" spans="6:6">
      <c r="F33938" s="2423"/>
    </row>
    <row r="33939" spans="6:6">
      <c r="F33939" s="2423"/>
    </row>
    <row r="33940" spans="6:6">
      <c r="F33940" s="2423"/>
    </row>
    <row r="33941" spans="6:6">
      <c r="F33941" s="2423"/>
    </row>
    <row r="33942" spans="6:6">
      <c r="F33942" s="2423"/>
    </row>
    <row r="33943" spans="6:6">
      <c r="F33943" s="2423"/>
    </row>
    <row r="33944" spans="6:6">
      <c r="F33944" s="2423"/>
    </row>
    <row r="33945" spans="6:6">
      <c r="F33945" s="2423"/>
    </row>
    <row r="33946" spans="6:6">
      <c r="F33946" s="2423"/>
    </row>
    <row r="33947" spans="6:6">
      <c r="F33947" s="2423"/>
    </row>
    <row r="33948" spans="6:6">
      <c r="F33948" s="2423"/>
    </row>
    <row r="33949" spans="6:6">
      <c r="F33949" s="2423"/>
    </row>
    <row r="33950" spans="6:6">
      <c r="F33950" s="2423"/>
    </row>
    <row r="33951" spans="6:6">
      <c r="F33951" s="2423"/>
    </row>
    <row r="33952" spans="6:6">
      <c r="F33952" s="2423"/>
    </row>
    <row r="33953" spans="6:6">
      <c r="F33953" s="2423"/>
    </row>
    <row r="33954" spans="6:6">
      <c r="F33954" s="2423"/>
    </row>
    <row r="33955" spans="6:6">
      <c r="F33955" s="2423"/>
    </row>
    <row r="33956" spans="6:6">
      <c r="F33956" s="2423"/>
    </row>
    <row r="33957" spans="6:6">
      <c r="F33957" s="2423"/>
    </row>
    <row r="33958" spans="6:6">
      <c r="F33958" s="2423"/>
    </row>
    <row r="33959" spans="6:6">
      <c r="F33959" s="2423"/>
    </row>
    <row r="33960" spans="6:6">
      <c r="F33960" s="2423"/>
    </row>
    <row r="33961" spans="6:6">
      <c r="F33961" s="2423"/>
    </row>
    <row r="33962" spans="6:6">
      <c r="F33962" s="2423"/>
    </row>
    <row r="33963" spans="6:6">
      <c r="F33963" s="2423"/>
    </row>
    <row r="33964" spans="6:6">
      <c r="F33964" s="2423"/>
    </row>
    <row r="33965" spans="6:6">
      <c r="F33965" s="2423"/>
    </row>
    <row r="33966" spans="6:6">
      <c r="F33966" s="2423"/>
    </row>
    <row r="33967" spans="6:6">
      <c r="F33967" s="2423"/>
    </row>
    <row r="33968" spans="6:6">
      <c r="F33968" s="2423"/>
    </row>
    <row r="33969" spans="6:6">
      <c r="F33969" s="2423"/>
    </row>
    <row r="33970" spans="6:6">
      <c r="F33970" s="2423"/>
    </row>
    <row r="33971" spans="6:6">
      <c r="F33971" s="2423"/>
    </row>
    <row r="33972" spans="6:6">
      <c r="F33972" s="2423"/>
    </row>
    <row r="33973" spans="6:6">
      <c r="F33973" s="2423"/>
    </row>
    <row r="33974" spans="6:6">
      <c r="F33974" s="2423"/>
    </row>
    <row r="33975" spans="6:6">
      <c r="F33975" s="2423"/>
    </row>
    <row r="33976" spans="6:6">
      <c r="F33976" s="2423"/>
    </row>
    <row r="33977" spans="6:6">
      <c r="F33977" s="2423"/>
    </row>
    <row r="33978" spans="6:6">
      <c r="F33978" s="2423"/>
    </row>
    <row r="33979" spans="6:6">
      <c r="F33979" s="2423"/>
    </row>
    <row r="33980" spans="6:6">
      <c r="F33980" s="2423"/>
    </row>
    <row r="33981" spans="6:6">
      <c r="F33981" s="2423"/>
    </row>
    <row r="33982" spans="6:6">
      <c r="F33982" s="2423"/>
    </row>
    <row r="33983" spans="6:6">
      <c r="F33983" s="2423"/>
    </row>
    <row r="33984" spans="6:6">
      <c r="F33984" s="2423"/>
    </row>
    <row r="33985" spans="6:6">
      <c r="F33985" s="2423"/>
    </row>
    <row r="33986" spans="6:6">
      <c r="F33986" s="2423"/>
    </row>
    <row r="33987" spans="6:6">
      <c r="F33987" s="2423"/>
    </row>
    <row r="33988" spans="6:6">
      <c r="F33988" s="2423"/>
    </row>
    <row r="33989" spans="6:6">
      <c r="F33989" s="2423"/>
    </row>
    <row r="33990" spans="6:6">
      <c r="F33990" s="2423"/>
    </row>
    <row r="33991" spans="6:6">
      <c r="F33991" s="2423"/>
    </row>
    <row r="33992" spans="6:6">
      <c r="F33992" s="2423"/>
    </row>
    <row r="33993" spans="6:6">
      <c r="F33993" s="2423"/>
    </row>
    <row r="33994" spans="6:6">
      <c r="F33994" s="2423"/>
    </row>
    <row r="33995" spans="6:6">
      <c r="F33995" s="2423"/>
    </row>
    <row r="33996" spans="6:6">
      <c r="F33996" s="2423"/>
    </row>
    <row r="33997" spans="6:6">
      <c r="F33997" s="2423"/>
    </row>
    <row r="33998" spans="6:6">
      <c r="F33998" s="2423"/>
    </row>
    <row r="33999" spans="6:6">
      <c r="F33999" s="2423"/>
    </row>
    <row r="34000" spans="6:6">
      <c r="F34000" s="2423"/>
    </row>
    <row r="34001" spans="6:6">
      <c r="F34001" s="2423"/>
    </row>
    <row r="34002" spans="6:6">
      <c r="F34002" s="2423"/>
    </row>
    <row r="34003" spans="6:6">
      <c r="F34003" s="2423"/>
    </row>
    <row r="34004" spans="6:6">
      <c r="F34004" s="2423"/>
    </row>
    <row r="34005" spans="6:6">
      <c r="F34005" s="2423"/>
    </row>
    <row r="34006" spans="6:6">
      <c r="F34006" s="2423"/>
    </row>
    <row r="34007" spans="6:6">
      <c r="F34007" s="2423"/>
    </row>
    <row r="34008" spans="6:6">
      <c r="F34008" s="2423"/>
    </row>
    <row r="34009" spans="6:6">
      <c r="F34009" s="2423"/>
    </row>
    <row r="34010" spans="6:6">
      <c r="F34010" s="2423"/>
    </row>
    <row r="34011" spans="6:6">
      <c r="F34011" s="2423"/>
    </row>
    <row r="34012" spans="6:6">
      <c r="F34012" s="2423"/>
    </row>
    <row r="34013" spans="6:6">
      <c r="F34013" s="2423"/>
    </row>
    <row r="34014" spans="6:6">
      <c r="F34014" s="2423"/>
    </row>
    <row r="34015" spans="6:6">
      <c r="F34015" s="2423"/>
    </row>
    <row r="34016" spans="6:6">
      <c r="F34016" s="2423"/>
    </row>
    <row r="34017" spans="6:6">
      <c r="F34017" s="2423"/>
    </row>
    <row r="34018" spans="6:6">
      <c r="F34018" s="2423"/>
    </row>
    <row r="34019" spans="6:6">
      <c r="F34019" s="2423"/>
    </row>
    <row r="34020" spans="6:6">
      <c r="F34020" s="2423"/>
    </row>
    <row r="34021" spans="6:6">
      <c r="F34021" s="2423"/>
    </row>
    <row r="34022" spans="6:6">
      <c r="F34022" s="2423"/>
    </row>
    <row r="34023" spans="6:6">
      <c r="F34023" s="2423"/>
    </row>
    <row r="34024" spans="6:6">
      <c r="F34024" s="2423"/>
    </row>
    <row r="34025" spans="6:6">
      <c r="F34025" s="2423"/>
    </row>
    <row r="34026" spans="6:6">
      <c r="F34026" s="2423"/>
    </row>
    <row r="34027" spans="6:6">
      <c r="F34027" s="2423"/>
    </row>
    <row r="34028" spans="6:6">
      <c r="F34028" s="2423"/>
    </row>
    <row r="34029" spans="6:6">
      <c r="F34029" s="2423"/>
    </row>
    <row r="34030" spans="6:6">
      <c r="F34030" s="2423"/>
    </row>
    <row r="34031" spans="6:6">
      <c r="F34031" s="2423"/>
    </row>
    <row r="34032" spans="6:6">
      <c r="F34032" s="2423"/>
    </row>
    <row r="34033" spans="6:6">
      <c r="F34033" s="2423"/>
    </row>
    <row r="34034" spans="6:6">
      <c r="F34034" s="2423"/>
    </row>
    <row r="34035" spans="6:6">
      <c r="F34035" s="2423"/>
    </row>
    <row r="34036" spans="6:6">
      <c r="F34036" s="2423"/>
    </row>
    <row r="34037" spans="6:6">
      <c r="F34037" s="2423"/>
    </row>
    <row r="34038" spans="6:6">
      <c r="F34038" s="2423"/>
    </row>
    <row r="34039" spans="6:6">
      <c r="F34039" s="2423"/>
    </row>
    <row r="34040" spans="6:6">
      <c r="F34040" s="2423"/>
    </row>
    <row r="34041" spans="6:6">
      <c r="F34041" s="2423"/>
    </row>
    <row r="34042" spans="6:6">
      <c r="F34042" s="2423"/>
    </row>
    <row r="34043" spans="6:6">
      <c r="F34043" s="2423"/>
    </row>
    <row r="34044" spans="6:6">
      <c r="F34044" s="2423"/>
    </row>
    <row r="34045" spans="6:6">
      <c r="F34045" s="2423"/>
    </row>
    <row r="34046" spans="6:6">
      <c r="F34046" s="2423"/>
    </row>
    <row r="34047" spans="6:6">
      <c r="F34047" s="2423"/>
    </row>
    <row r="34048" spans="6:6">
      <c r="F34048" s="2423"/>
    </row>
    <row r="34049" spans="6:6">
      <c r="F34049" s="2423"/>
    </row>
    <row r="34050" spans="6:6">
      <c r="F34050" s="2423"/>
    </row>
    <row r="34051" spans="6:6">
      <c r="F34051" s="2423"/>
    </row>
    <row r="34052" spans="6:6">
      <c r="F34052" s="2423"/>
    </row>
    <row r="34053" spans="6:6">
      <c r="F34053" s="2423"/>
    </row>
    <row r="34054" spans="6:6">
      <c r="F34054" s="2423"/>
    </row>
    <row r="34055" spans="6:6">
      <c r="F34055" s="2423"/>
    </row>
    <row r="34056" spans="6:6">
      <c r="F34056" s="2423"/>
    </row>
    <row r="34057" spans="6:6">
      <c r="F34057" s="2423"/>
    </row>
    <row r="34058" spans="6:6">
      <c r="F34058" s="2423"/>
    </row>
    <row r="34059" spans="6:6">
      <c r="F34059" s="2423"/>
    </row>
    <row r="34060" spans="6:6">
      <c r="F34060" s="2423"/>
    </row>
    <row r="34061" spans="6:6">
      <c r="F34061" s="2423"/>
    </row>
    <row r="34062" spans="6:6">
      <c r="F34062" s="2423"/>
    </row>
    <row r="34063" spans="6:6">
      <c r="F34063" s="2423"/>
    </row>
    <row r="34064" spans="6:6">
      <c r="F34064" s="2423"/>
    </row>
    <row r="34065" spans="6:6">
      <c r="F34065" s="2423"/>
    </row>
    <row r="34066" spans="6:6">
      <c r="F34066" s="2423"/>
    </row>
    <row r="34067" spans="6:6">
      <c r="F34067" s="2423"/>
    </row>
    <row r="34068" spans="6:6">
      <c r="F34068" s="2423"/>
    </row>
    <row r="34069" spans="6:6">
      <c r="F34069" s="2423"/>
    </row>
    <row r="34070" spans="6:6">
      <c r="F34070" s="2423"/>
    </row>
    <row r="34071" spans="6:6">
      <c r="F34071" s="2423"/>
    </row>
    <row r="34072" spans="6:6">
      <c r="F34072" s="2423"/>
    </row>
    <row r="34073" spans="6:6">
      <c r="F34073" s="2423"/>
    </row>
    <row r="34074" spans="6:6">
      <c r="F34074" s="2423"/>
    </row>
    <row r="34075" spans="6:6">
      <c r="F34075" s="2423"/>
    </row>
    <row r="34076" spans="6:6">
      <c r="F34076" s="2423"/>
    </row>
    <row r="34077" spans="6:6">
      <c r="F34077" s="2423"/>
    </row>
    <row r="34078" spans="6:6">
      <c r="F34078" s="2423"/>
    </row>
    <row r="34079" spans="6:6">
      <c r="F34079" s="2423"/>
    </row>
    <row r="34080" spans="6:6">
      <c r="F34080" s="2423"/>
    </row>
    <row r="34081" spans="6:6">
      <c r="F34081" s="2423"/>
    </row>
    <row r="34082" spans="6:6">
      <c r="F34082" s="2423"/>
    </row>
    <row r="34083" spans="6:6">
      <c r="F34083" s="2423"/>
    </row>
    <row r="34084" spans="6:6">
      <c r="F34084" s="2423"/>
    </row>
    <row r="34085" spans="6:6">
      <c r="F34085" s="2423"/>
    </row>
    <row r="34086" spans="6:6">
      <c r="F34086" s="2423"/>
    </row>
    <row r="34087" spans="6:6">
      <c r="F34087" s="2423"/>
    </row>
    <row r="34088" spans="6:6">
      <c r="F34088" s="2423"/>
    </row>
    <row r="34089" spans="6:6">
      <c r="F34089" s="2423"/>
    </row>
    <row r="34090" spans="6:6">
      <c r="F34090" s="2423"/>
    </row>
    <row r="34091" spans="6:6">
      <c r="F34091" s="2423"/>
    </row>
    <row r="34092" spans="6:6">
      <c r="F34092" s="2423"/>
    </row>
    <row r="34093" spans="6:6">
      <c r="F34093" s="2423"/>
    </row>
    <row r="34094" spans="6:6">
      <c r="F34094" s="2423"/>
    </row>
    <row r="34095" spans="6:6">
      <c r="F34095" s="2423"/>
    </row>
    <row r="34096" spans="6:6">
      <c r="F34096" s="2423"/>
    </row>
    <row r="34097" spans="6:6">
      <c r="F34097" s="2423"/>
    </row>
    <row r="34098" spans="6:6">
      <c r="F34098" s="2423"/>
    </row>
    <row r="34099" spans="6:6">
      <c r="F34099" s="2423"/>
    </row>
    <row r="34100" spans="6:6">
      <c r="F34100" s="2423"/>
    </row>
    <row r="34101" spans="6:6">
      <c r="F34101" s="2423"/>
    </row>
    <row r="34102" spans="6:6">
      <c r="F34102" s="2423"/>
    </row>
    <row r="34103" spans="6:6">
      <c r="F34103" s="2423"/>
    </row>
    <row r="34104" spans="6:6">
      <c r="F34104" s="2423"/>
    </row>
    <row r="34105" spans="6:6">
      <c r="F34105" s="2423"/>
    </row>
    <row r="34106" spans="6:6">
      <c r="F34106" s="2423"/>
    </row>
    <row r="34107" spans="6:6">
      <c r="F34107" s="2423"/>
    </row>
    <row r="34108" spans="6:6">
      <c r="F34108" s="2423"/>
    </row>
    <row r="34109" spans="6:6">
      <c r="F34109" s="2423"/>
    </row>
    <row r="34110" spans="6:6">
      <c r="F34110" s="2423"/>
    </row>
    <row r="34111" spans="6:6">
      <c r="F34111" s="2423"/>
    </row>
    <row r="34112" spans="6:6">
      <c r="F34112" s="2423"/>
    </row>
    <row r="34113" spans="6:6">
      <c r="F34113" s="2423"/>
    </row>
    <row r="34114" spans="6:6">
      <c r="F34114" s="2423"/>
    </row>
    <row r="34115" spans="6:6">
      <c r="F34115" s="2423"/>
    </row>
    <row r="34116" spans="6:6">
      <c r="F34116" s="2423"/>
    </row>
    <row r="34117" spans="6:6">
      <c r="F34117" s="2423"/>
    </row>
    <row r="34118" spans="6:6">
      <c r="F34118" s="2423"/>
    </row>
    <row r="34119" spans="6:6">
      <c r="F34119" s="2423"/>
    </row>
    <row r="34120" spans="6:6">
      <c r="F34120" s="2423"/>
    </row>
    <row r="34121" spans="6:6">
      <c r="F34121" s="2423"/>
    </row>
    <row r="34122" spans="6:6">
      <c r="F34122" s="2423"/>
    </row>
    <row r="34123" spans="6:6">
      <c r="F34123" s="2423"/>
    </row>
    <row r="34124" spans="6:6">
      <c r="F34124" s="2423"/>
    </row>
    <row r="34125" spans="6:6">
      <c r="F34125" s="2423"/>
    </row>
    <row r="34126" spans="6:6">
      <c r="F34126" s="2423"/>
    </row>
    <row r="34127" spans="6:6">
      <c r="F34127" s="2423"/>
    </row>
    <row r="34128" spans="6:6">
      <c r="F34128" s="2423"/>
    </row>
    <row r="34129" spans="6:6">
      <c r="F34129" s="2423"/>
    </row>
    <row r="34130" spans="6:6">
      <c r="F34130" s="2423"/>
    </row>
    <row r="34131" spans="6:6">
      <c r="F34131" s="2423"/>
    </row>
    <row r="34132" spans="6:6">
      <c r="F34132" s="2423"/>
    </row>
    <row r="34133" spans="6:6">
      <c r="F34133" s="2423"/>
    </row>
    <row r="34134" spans="6:6">
      <c r="F34134" s="2423"/>
    </row>
    <row r="34135" spans="6:6">
      <c r="F34135" s="2423"/>
    </row>
    <row r="34136" spans="6:6">
      <c r="F34136" s="2423"/>
    </row>
    <row r="34137" spans="6:6">
      <c r="F34137" s="2423"/>
    </row>
    <row r="34138" spans="6:6">
      <c r="F34138" s="2423"/>
    </row>
    <row r="34139" spans="6:6">
      <c r="F34139" s="2423"/>
    </row>
    <row r="34140" spans="6:6">
      <c r="F34140" s="2423"/>
    </row>
    <row r="34141" spans="6:6">
      <c r="F34141" s="2423"/>
    </row>
    <row r="34142" spans="6:6">
      <c r="F34142" s="2423"/>
    </row>
    <row r="34143" spans="6:6">
      <c r="F34143" s="2423"/>
    </row>
    <row r="34144" spans="6:6">
      <c r="F34144" s="2423"/>
    </row>
    <row r="34145" spans="6:6">
      <c r="F34145" s="2423"/>
    </row>
    <row r="34146" spans="6:6">
      <c r="F34146" s="2423"/>
    </row>
    <row r="34147" spans="6:6">
      <c r="F34147" s="2423"/>
    </row>
    <row r="34148" spans="6:6">
      <c r="F34148" s="2423"/>
    </row>
    <row r="34149" spans="6:6">
      <c r="F34149" s="2423"/>
    </row>
    <row r="34150" spans="6:6">
      <c r="F34150" s="2423"/>
    </row>
    <row r="34151" spans="6:6">
      <c r="F34151" s="2423"/>
    </row>
    <row r="34152" spans="6:6">
      <c r="F34152" s="2423"/>
    </row>
    <row r="34153" spans="6:6">
      <c r="F34153" s="2423"/>
    </row>
    <row r="34154" spans="6:6">
      <c r="F34154" s="2423"/>
    </row>
    <row r="34155" spans="6:6">
      <c r="F34155" s="2423"/>
    </row>
    <row r="34156" spans="6:6">
      <c r="F34156" s="2423"/>
    </row>
    <row r="34157" spans="6:6">
      <c r="F34157" s="2423"/>
    </row>
    <row r="34158" spans="6:6">
      <c r="F34158" s="2423"/>
    </row>
    <row r="34159" spans="6:6">
      <c r="F34159" s="2423"/>
    </row>
    <row r="34160" spans="6:6">
      <c r="F34160" s="2423"/>
    </row>
    <row r="34161" spans="6:6">
      <c r="F34161" s="2423"/>
    </row>
    <row r="34162" spans="6:6">
      <c r="F34162" s="2423"/>
    </row>
    <row r="34163" spans="6:6">
      <c r="F34163" s="2423"/>
    </row>
    <row r="34164" spans="6:6">
      <c r="F34164" s="2423"/>
    </row>
    <row r="34165" spans="6:6">
      <c r="F34165" s="2423"/>
    </row>
    <row r="34166" spans="6:6">
      <c r="F34166" s="2423"/>
    </row>
    <row r="34167" spans="6:6">
      <c r="F34167" s="2423"/>
    </row>
    <row r="34168" spans="6:6">
      <c r="F34168" s="2423"/>
    </row>
    <row r="34169" spans="6:6">
      <c r="F34169" s="2423"/>
    </row>
    <row r="34170" spans="6:6">
      <c r="F34170" s="2423"/>
    </row>
    <row r="34171" spans="6:6">
      <c r="F34171" s="2423"/>
    </row>
    <row r="34172" spans="6:6">
      <c r="F34172" s="2423"/>
    </row>
    <row r="34173" spans="6:6">
      <c r="F34173" s="2423"/>
    </row>
    <row r="34174" spans="6:6">
      <c r="F34174" s="2423"/>
    </row>
    <row r="34175" spans="6:6">
      <c r="F34175" s="2423"/>
    </row>
    <row r="34176" spans="6:6">
      <c r="F34176" s="2423"/>
    </row>
    <row r="34177" spans="6:6">
      <c r="F34177" s="2423"/>
    </row>
    <row r="34178" spans="6:6">
      <c r="F34178" s="2423"/>
    </row>
    <row r="34179" spans="6:6">
      <c r="F34179" s="2423"/>
    </row>
    <row r="34180" spans="6:6">
      <c r="F34180" s="2423"/>
    </row>
    <row r="34181" spans="6:6">
      <c r="F34181" s="2423"/>
    </row>
    <row r="34182" spans="6:6">
      <c r="F34182" s="2423"/>
    </row>
    <row r="34183" spans="6:6">
      <c r="F34183" s="2423"/>
    </row>
    <row r="34184" spans="6:6">
      <c r="F34184" s="2423"/>
    </row>
    <row r="34185" spans="6:6">
      <c r="F34185" s="2423"/>
    </row>
    <row r="34186" spans="6:6">
      <c r="F34186" s="2423"/>
    </row>
    <row r="34187" spans="6:6">
      <c r="F34187" s="2423"/>
    </row>
    <row r="34188" spans="6:6">
      <c r="F34188" s="2423"/>
    </row>
    <row r="34189" spans="6:6">
      <c r="F34189" s="2423"/>
    </row>
    <row r="34190" spans="6:6">
      <c r="F34190" s="2423"/>
    </row>
    <row r="34191" spans="6:6">
      <c r="F34191" s="2423"/>
    </row>
    <row r="34192" spans="6:6">
      <c r="F34192" s="2423"/>
    </row>
    <row r="34193" spans="6:6">
      <c r="F34193" s="2423"/>
    </row>
    <row r="34194" spans="6:6">
      <c r="F34194" s="2423"/>
    </row>
    <row r="34195" spans="6:6">
      <c r="F34195" s="2423"/>
    </row>
    <row r="34196" spans="6:6">
      <c r="F34196" s="2423"/>
    </row>
    <row r="34197" spans="6:6">
      <c r="F34197" s="2423"/>
    </row>
    <row r="34198" spans="6:6">
      <c r="F34198" s="2423"/>
    </row>
    <row r="34199" spans="6:6">
      <c r="F34199" s="2423"/>
    </row>
    <row r="34200" spans="6:6">
      <c r="F34200" s="2423"/>
    </row>
    <row r="34201" spans="6:6">
      <c r="F34201" s="2423"/>
    </row>
    <row r="34202" spans="6:6">
      <c r="F34202" s="2423"/>
    </row>
    <row r="34203" spans="6:6">
      <c r="F34203" s="2423"/>
    </row>
    <row r="34204" spans="6:6">
      <c r="F34204" s="2423"/>
    </row>
    <row r="34205" spans="6:6">
      <c r="F34205" s="2423"/>
    </row>
    <row r="34206" spans="6:6">
      <c r="F34206" s="2423"/>
    </row>
    <row r="34207" spans="6:6">
      <c r="F34207" s="2423"/>
    </row>
    <row r="34208" spans="6:6">
      <c r="F34208" s="2423"/>
    </row>
    <row r="34209" spans="6:6">
      <c r="F34209" s="2423"/>
    </row>
    <row r="34210" spans="6:6">
      <c r="F34210" s="2423"/>
    </row>
    <row r="34211" spans="6:6">
      <c r="F34211" s="2423"/>
    </row>
    <row r="34212" spans="6:6">
      <c r="F34212" s="2423"/>
    </row>
    <row r="34213" spans="6:6">
      <c r="F34213" s="2423"/>
    </row>
    <row r="34214" spans="6:6">
      <c r="F34214" s="2423"/>
    </row>
    <row r="34215" spans="6:6">
      <c r="F34215" s="2423"/>
    </row>
    <row r="34216" spans="6:6">
      <c r="F34216" s="2423"/>
    </row>
    <row r="34217" spans="6:6">
      <c r="F34217" s="2423"/>
    </row>
    <row r="34218" spans="6:6">
      <c r="F34218" s="2423"/>
    </row>
    <row r="34219" spans="6:6">
      <c r="F34219" s="2423"/>
    </row>
    <row r="34220" spans="6:6">
      <c r="F34220" s="2423"/>
    </row>
    <row r="34221" spans="6:6">
      <c r="F34221" s="2423"/>
    </row>
    <row r="34222" spans="6:6">
      <c r="F34222" s="2423"/>
    </row>
    <row r="34223" spans="6:6">
      <c r="F34223" s="2423"/>
    </row>
    <row r="34224" spans="6:6">
      <c r="F34224" s="2423"/>
    </row>
    <row r="34225" spans="6:6">
      <c r="F34225" s="2423"/>
    </row>
    <row r="34226" spans="6:6">
      <c r="F34226" s="2423"/>
    </row>
    <row r="34227" spans="6:6">
      <c r="F34227" s="2423"/>
    </row>
    <row r="34228" spans="6:6">
      <c r="F34228" s="2423"/>
    </row>
    <row r="34229" spans="6:6">
      <c r="F34229" s="2423"/>
    </row>
    <row r="34230" spans="6:6">
      <c r="F34230" s="2423"/>
    </row>
    <row r="34231" spans="6:6">
      <c r="F34231" s="2423"/>
    </row>
    <row r="34232" spans="6:6">
      <c r="F34232" s="2423"/>
    </row>
    <row r="34233" spans="6:6">
      <c r="F34233" s="2423"/>
    </row>
    <row r="34234" spans="6:6">
      <c r="F34234" s="2423"/>
    </row>
    <row r="34235" spans="6:6">
      <c r="F34235" s="2423"/>
    </row>
    <row r="34236" spans="6:6">
      <c r="F34236" s="2423"/>
    </row>
    <row r="34237" spans="6:6">
      <c r="F34237" s="2423"/>
    </row>
    <row r="34238" spans="6:6">
      <c r="F34238" s="2423"/>
    </row>
    <row r="34239" spans="6:6">
      <c r="F34239" s="2423"/>
    </row>
    <row r="34240" spans="6:6">
      <c r="F34240" s="2423"/>
    </row>
    <row r="34241" spans="6:6">
      <c r="F34241" s="2423"/>
    </row>
    <row r="34242" spans="6:6">
      <c r="F34242" s="2423"/>
    </row>
    <row r="34243" spans="6:6">
      <c r="F34243" s="2423"/>
    </row>
    <row r="34244" spans="6:6">
      <c r="F34244" s="2423"/>
    </row>
    <row r="34245" spans="6:6">
      <c r="F34245" s="2423"/>
    </row>
    <row r="34246" spans="6:6">
      <c r="F34246" s="2423"/>
    </row>
    <row r="34247" spans="6:6">
      <c r="F34247" s="2423"/>
    </row>
    <row r="34248" spans="6:6">
      <c r="F34248" s="2423"/>
    </row>
    <row r="34249" spans="6:6">
      <c r="F34249" s="2423"/>
    </row>
    <row r="34250" spans="6:6">
      <c r="F34250" s="2423"/>
    </row>
    <row r="34251" spans="6:6">
      <c r="F34251" s="2423"/>
    </row>
    <row r="34252" spans="6:6">
      <c r="F34252" s="2423"/>
    </row>
    <row r="34253" spans="6:6">
      <c r="F34253" s="2423"/>
    </row>
    <row r="34254" spans="6:6">
      <c r="F34254" s="2423"/>
    </row>
    <row r="34255" spans="6:6">
      <c r="F34255" s="2423"/>
    </row>
    <row r="34256" spans="6:6">
      <c r="F34256" s="2423"/>
    </row>
    <row r="34257" spans="6:6">
      <c r="F34257" s="2423"/>
    </row>
    <row r="34258" spans="6:6">
      <c r="F34258" s="2423"/>
    </row>
    <row r="34259" spans="6:6">
      <c r="F34259" s="2423"/>
    </row>
    <row r="34260" spans="6:6">
      <c r="F34260" s="2423"/>
    </row>
    <row r="34261" spans="6:6">
      <c r="F34261" s="2423"/>
    </row>
    <row r="34262" spans="6:6">
      <c r="F34262" s="2423"/>
    </row>
    <row r="34263" spans="6:6">
      <c r="F34263" s="2423"/>
    </row>
    <row r="34264" spans="6:6">
      <c r="F34264" s="2423"/>
    </row>
    <row r="34265" spans="6:6">
      <c r="F34265" s="2423"/>
    </row>
    <row r="34266" spans="6:6">
      <c r="F34266" s="2423"/>
    </row>
    <row r="34267" spans="6:6">
      <c r="F34267" s="2423"/>
    </row>
    <row r="34268" spans="6:6">
      <c r="F34268" s="2423"/>
    </row>
    <row r="34269" spans="6:6">
      <c r="F34269" s="2423"/>
    </row>
    <row r="34270" spans="6:6">
      <c r="F34270" s="2423"/>
    </row>
    <row r="34271" spans="6:6">
      <c r="F34271" s="2423"/>
    </row>
    <row r="34272" spans="6:6">
      <c r="F34272" s="2423"/>
    </row>
    <row r="34273" spans="6:6">
      <c r="F34273" s="2423"/>
    </row>
    <row r="34274" spans="6:6">
      <c r="F34274" s="2423"/>
    </row>
    <row r="34275" spans="6:6">
      <c r="F34275" s="2423"/>
    </row>
    <row r="34276" spans="6:6">
      <c r="F34276" s="2423"/>
    </row>
    <row r="34277" spans="6:6">
      <c r="F34277" s="2423"/>
    </row>
    <row r="34278" spans="6:6">
      <c r="F34278" s="2423"/>
    </row>
    <row r="34279" spans="6:6">
      <c r="F34279" s="2423"/>
    </row>
    <row r="34280" spans="6:6">
      <c r="F34280" s="2423"/>
    </row>
    <row r="34281" spans="6:6">
      <c r="F34281" s="2423"/>
    </row>
    <row r="34282" spans="6:6">
      <c r="F34282" s="2423"/>
    </row>
    <row r="34283" spans="6:6">
      <c r="F34283" s="2423"/>
    </row>
    <row r="34284" spans="6:6">
      <c r="F34284" s="2423"/>
    </row>
    <row r="34285" spans="6:6">
      <c r="F34285" s="2423"/>
    </row>
    <row r="34286" spans="6:6">
      <c r="F34286" s="2423"/>
    </row>
    <row r="34287" spans="6:6">
      <c r="F34287" s="2423"/>
    </row>
    <row r="34288" spans="6:6">
      <c r="F34288" s="2423"/>
    </row>
    <row r="34289" spans="6:6">
      <c r="F34289" s="2423"/>
    </row>
    <row r="34290" spans="6:6">
      <c r="F34290" s="2423"/>
    </row>
    <row r="34291" spans="6:6">
      <c r="F34291" s="2423"/>
    </row>
    <row r="34292" spans="6:6">
      <c r="F34292" s="2423"/>
    </row>
    <row r="34293" spans="6:6">
      <c r="F34293" s="2423"/>
    </row>
    <row r="34294" spans="6:6">
      <c r="F34294" s="2423"/>
    </row>
    <row r="34295" spans="6:6">
      <c r="F34295" s="2423"/>
    </row>
    <row r="34296" spans="6:6">
      <c r="F34296" s="2423"/>
    </row>
    <row r="34297" spans="6:6">
      <c r="F34297" s="2423"/>
    </row>
    <row r="34298" spans="6:6">
      <c r="F34298" s="2423"/>
    </row>
    <row r="34299" spans="6:6">
      <c r="F34299" s="2423"/>
    </row>
    <row r="34300" spans="6:6">
      <c r="F34300" s="2423"/>
    </row>
    <row r="34301" spans="6:6">
      <c r="F34301" s="2423"/>
    </row>
    <row r="34302" spans="6:6">
      <c r="F34302" s="2423"/>
    </row>
    <row r="34303" spans="6:6">
      <c r="F34303" s="2423"/>
    </row>
    <row r="34304" spans="6:6">
      <c r="F34304" s="2423"/>
    </row>
    <row r="34305" spans="6:6">
      <c r="F34305" s="2423"/>
    </row>
    <row r="34306" spans="6:6">
      <c r="F34306" s="2423"/>
    </row>
    <row r="34307" spans="6:6">
      <c r="F34307" s="2423"/>
    </row>
    <row r="34308" spans="6:6">
      <c r="F34308" s="2423"/>
    </row>
    <row r="34309" spans="6:6">
      <c r="F34309" s="2423"/>
    </row>
    <row r="34310" spans="6:6">
      <c r="F34310" s="2423"/>
    </row>
    <row r="34311" spans="6:6">
      <c r="F34311" s="2423"/>
    </row>
    <row r="34312" spans="6:6">
      <c r="F34312" s="2423"/>
    </row>
    <row r="34313" spans="6:6">
      <c r="F34313" s="2423"/>
    </row>
    <row r="34314" spans="6:6">
      <c r="F34314" s="2423"/>
    </row>
    <row r="34315" spans="6:6">
      <c r="F34315" s="2423"/>
    </row>
    <row r="34316" spans="6:6">
      <c r="F34316" s="2423"/>
    </row>
    <row r="34317" spans="6:6">
      <c r="F34317" s="2423"/>
    </row>
    <row r="34318" spans="6:6">
      <c r="F34318" s="2423"/>
    </row>
    <row r="34319" spans="6:6">
      <c r="F34319" s="2423"/>
    </row>
    <row r="34320" spans="6:6">
      <c r="F34320" s="2423"/>
    </row>
    <row r="34321" spans="6:6">
      <c r="F34321" s="2423"/>
    </row>
    <row r="34322" spans="6:6">
      <c r="F34322" s="2423"/>
    </row>
    <row r="34323" spans="6:6">
      <c r="F34323" s="2423"/>
    </row>
    <row r="34324" spans="6:6">
      <c r="F34324" s="2423"/>
    </row>
    <row r="34325" spans="6:6">
      <c r="F34325" s="2423"/>
    </row>
    <row r="34326" spans="6:6">
      <c r="F34326" s="2423"/>
    </row>
    <row r="34327" spans="6:6">
      <c r="F34327" s="2423"/>
    </row>
    <row r="34328" spans="6:6">
      <c r="F34328" s="2423"/>
    </row>
    <row r="34329" spans="6:6">
      <c r="F34329" s="2423"/>
    </row>
    <row r="34330" spans="6:6">
      <c r="F34330" s="2423"/>
    </row>
    <row r="34331" spans="6:6">
      <c r="F34331" s="2423"/>
    </row>
    <row r="34332" spans="6:6">
      <c r="F34332" s="2423"/>
    </row>
    <row r="34333" spans="6:6">
      <c r="F34333" s="2423"/>
    </row>
    <row r="34334" spans="6:6">
      <c r="F34334" s="2423"/>
    </row>
    <row r="34335" spans="6:6">
      <c r="F34335" s="2423"/>
    </row>
    <row r="34336" spans="6:6">
      <c r="F34336" s="2423"/>
    </row>
    <row r="34337" spans="6:6">
      <c r="F34337" s="2423"/>
    </row>
    <row r="34338" spans="6:6">
      <c r="F34338" s="2423"/>
    </row>
    <row r="34339" spans="6:6">
      <c r="F34339" s="2423"/>
    </row>
    <row r="34340" spans="6:6">
      <c r="F34340" s="2423"/>
    </row>
    <row r="34341" spans="6:6">
      <c r="F34341" s="2423"/>
    </row>
    <row r="34342" spans="6:6">
      <c r="F34342" s="2423"/>
    </row>
    <row r="34343" spans="6:6">
      <c r="F34343" s="2423"/>
    </row>
    <row r="34344" spans="6:6">
      <c r="F34344" s="2423"/>
    </row>
    <row r="34345" spans="6:6">
      <c r="F34345" s="2423"/>
    </row>
    <row r="34346" spans="6:6">
      <c r="F34346" s="2423"/>
    </row>
    <row r="34347" spans="6:6">
      <c r="F34347" s="2423"/>
    </row>
    <row r="34348" spans="6:6">
      <c r="F34348" s="2423"/>
    </row>
    <row r="34349" spans="6:6">
      <c r="F34349" s="2423"/>
    </row>
    <row r="34350" spans="6:6">
      <c r="F34350" s="2423"/>
    </row>
    <row r="34351" spans="6:6">
      <c r="F34351" s="2423"/>
    </row>
    <row r="34352" spans="6:6">
      <c r="F34352" s="2423"/>
    </row>
    <row r="34353" spans="6:6">
      <c r="F34353" s="2423"/>
    </row>
    <row r="34354" spans="6:6">
      <c r="F34354" s="2423"/>
    </row>
    <row r="34355" spans="6:6">
      <c r="F34355" s="2423"/>
    </row>
    <row r="34356" spans="6:6">
      <c r="F34356" s="2423"/>
    </row>
    <row r="34357" spans="6:6">
      <c r="F34357" s="2423"/>
    </row>
    <row r="34358" spans="6:6">
      <c r="F34358" s="2423"/>
    </row>
    <row r="34359" spans="6:6">
      <c r="F34359" s="2423"/>
    </row>
    <row r="34360" spans="6:6">
      <c r="F34360" s="2423"/>
    </row>
    <row r="34361" spans="6:6">
      <c r="F34361" s="2423"/>
    </row>
    <row r="34362" spans="6:6">
      <c r="F34362" s="2423"/>
    </row>
    <row r="34363" spans="6:6">
      <c r="F34363" s="2423"/>
    </row>
    <row r="34364" spans="6:6">
      <c r="F34364" s="2423"/>
    </row>
    <row r="34365" spans="6:6">
      <c r="F34365" s="2423"/>
    </row>
    <row r="34366" spans="6:6">
      <c r="F34366" s="2423"/>
    </row>
    <row r="34367" spans="6:6">
      <c r="F34367" s="2423"/>
    </row>
    <row r="34368" spans="6:6">
      <c r="F34368" s="2423"/>
    </row>
    <row r="34369" spans="6:6">
      <c r="F34369" s="2423"/>
    </row>
    <row r="34370" spans="6:6">
      <c r="F34370" s="2423"/>
    </row>
    <row r="34371" spans="6:6">
      <c r="F34371" s="2423"/>
    </row>
    <row r="34372" spans="6:6">
      <c r="F34372" s="2423"/>
    </row>
    <row r="34373" spans="6:6">
      <c r="F34373" s="2423"/>
    </row>
    <row r="34374" spans="6:6">
      <c r="F34374" s="2423"/>
    </row>
    <row r="34375" spans="6:6">
      <c r="F34375" s="2423"/>
    </row>
    <row r="34376" spans="6:6">
      <c r="F34376" s="2423"/>
    </row>
    <row r="34377" spans="6:6">
      <c r="F34377" s="2423"/>
    </row>
    <row r="34378" spans="6:6">
      <c r="F34378" s="2423"/>
    </row>
    <row r="34379" spans="6:6">
      <c r="F34379" s="2423"/>
    </row>
    <row r="34380" spans="6:6">
      <c r="F34380" s="2423"/>
    </row>
    <row r="34381" spans="6:6">
      <c r="F34381" s="2423"/>
    </row>
    <row r="34382" spans="6:6">
      <c r="F34382" s="2423"/>
    </row>
    <row r="34383" spans="6:6">
      <c r="F34383" s="2423"/>
    </row>
    <row r="34384" spans="6:6">
      <c r="F34384" s="2423"/>
    </row>
    <row r="34385" spans="6:6">
      <c r="F34385" s="2423"/>
    </row>
    <row r="34386" spans="6:6">
      <c r="F34386" s="2423"/>
    </row>
    <row r="34387" spans="6:6">
      <c r="F34387" s="2423"/>
    </row>
    <row r="34388" spans="6:6">
      <c r="F34388" s="2423"/>
    </row>
    <row r="34389" spans="6:6">
      <c r="F34389" s="2423"/>
    </row>
    <row r="34390" spans="6:6">
      <c r="F34390" s="2423"/>
    </row>
    <row r="34391" spans="6:6">
      <c r="F34391" s="2423"/>
    </row>
    <row r="34392" spans="6:6">
      <c r="F34392" s="2423"/>
    </row>
    <row r="34393" spans="6:6">
      <c r="F34393" s="2423"/>
    </row>
    <row r="34394" spans="6:6">
      <c r="F34394" s="2423"/>
    </row>
    <row r="34395" spans="6:6">
      <c r="F34395" s="2423"/>
    </row>
    <row r="34396" spans="6:6">
      <c r="F34396" s="2423"/>
    </row>
    <row r="34397" spans="6:6">
      <c r="F34397" s="2423"/>
    </row>
    <row r="34398" spans="6:6">
      <c r="F34398" s="2423"/>
    </row>
    <row r="34399" spans="6:6">
      <c r="F34399" s="2423"/>
    </row>
    <row r="34400" spans="6:6">
      <c r="F34400" s="2423"/>
    </row>
    <row r="34401" spans="6:6">
      <c r="F34401" s="2423"/>
    </row>
    <row r="34402" spans="6:6">
      <c r="F34402" s="2423"/>
    </row>
    <row r="34403" spans="6:6">
      <c r="F34403" s="2423"/>
    </row>
    <row r="34404" spans="6:6">
      <c r="F34404" s="2423"/>
    </row>
    <row r="34405" spans="6:6">
      <c r="F34405" s="2423"/>
    </row>
    <row r="34406" spans="6:6">
      <c r="F34406" s="2423"/>
    </row>
    <row r="34407" spans="6:6">
      <c r="F34407" s="2423"/>
    </row>
    <row r="34408" spans="6:6">
      <c r="F34408" s="2423"/>
    </row>
    <row r="34409" spans="6:6">
      <c r="F34409" s="2423"/>
    </row>
    <row r="34410" spans="6:6">
      <c r="F34410" s="2423"/>
    </row>
    <row r="34411" spans="6:6">
      <c r="F34411" s="2423"/>
    </row>
    <row r="34412" spans="6:6">
      <c r="F34412" s="2423"/>
    </row>
    <row r="34413" spans="6:6">
      <c r="F34413" s="2423"/>
    </row>
    <row r="34414" spans="6:6">
      <c r="F34414" s="2423"/>
    </row>
    <row r="34415" spans="6:6">
      <c r="F34415" s="2423"/>
    </row>
    <row r="34416" spans="6:6">
      <c r="F34416" s="2423"/>
    </row>
    <row r="34417" spans="6:6">
      <c r="F34417" s="2423"/>
    </row>
    <row r="34418" spans="6:6">
      <c r="F34418" s="2423"/>
    </row>
    <row r="34419" spans="6:6">
      <c r="F34419" s="2423"/>
    </row>
    <row r="34420" spans="6:6">
      <c r="F34420" s="2423"/>
    </row>
    <row r="34421" spans="6:6">
      <c r="F34421" s="2423"/>
    </row>
    <row r="34422" spans="6:6">
      <c r="F34422" s="2423"/>
    </row>
    <row r="34423" spans="6:6">
      <c r="F34423" s="2423"/>
    </row>
    <row r="34424" spans="6:6">
      <c r="F34424" s="2423"/>
    </row>
    <row r="34425" spans="6:6">
      <c r="F34425" s="2423"/>
    </row>
    <row r="34426" spans="6:6">
      <c r="F34426" s="2423"/>
    </row>
    <row r="34427" spans="6:6">
      <c r="F34427" s="2423"/>
    </row>
    <row r="34428" spans="6:6">
      <c r="F34428" s="2423"/>
    </row>
    <row r="34429" spans="6:6">
      <c r="F34429" s="2423"/>
    </row>
    <row r="34430" spans="6:6">
      <c r="F34430" s="2423"/>
    </row>
    <row r="34431" spans="6:6">
      <c r="F34431" s="2423"/>
    </row>
    <row r="34432" spans="6:6">
      <c r="F34432" s="2423"/>
    </row>
    <row r="34433" spans="6:6">
      <c r="F34433" s="2423"/>
    </row>
    <row r="34434" spans="6:6">
      <c r="F34434" s="2423"/>
    </row>
    <row r="34435" spans="6:6">
      <c r="F34435" s="2423"/>
    </row>
    <row r="34436" spans="6:6">
      <c r="F34436" s="2423"/>
    </row>
    <row r="34437" spans="6:6">
      <c r="F34437" s="2423"/>
    </row>
    <row r="34438" spans="6:6">
      <c r="F34438" s="2423"/>
    </row>
    <row r="34439" spans="6:6">
      <c r="F34439" s="2423"/>
    </row>
    <row r="34440" spans="6:6">
      <c r="F34440" s="2423"/>
    </row>
    <row r="34441" spans="6:6">
      <c r="F34441" s="2423"/>
    </row>
    <row r="34442" spans="6:6">
      <c r="F34442" s="2423"/>
    </row>
    <row r="34443" spans="6:6">
      <c r="F34443" s="2423"/>
    </row>
    <row r="34444" spans="6:6">
      <c r="F34444" s="2423"/>
    </row>
    <row r="34445" spans="6:6">
      <c r="F34445" s="2423"/>
    </row>
    <row r="34446" spans="6:6">
      <c r="F34446" s="2423"/>
    </row>
    <row r="34447" spans="6:6">
      <c r="F34447" s="2423"/>
    </row>
    <row r="34448" spans="6:6">
      <c r="F34448" s="2423"/>
    </row>
    <row r="34449" spans="6:6">
      <c r="F34449" s="2423"/>
    </row>
    <row r="34450" spans="6:6">
      <c r="F34450" s="2423"/>
    </row>
    <row r="34451" spans="6:6">
      <c r="F34451" s="2423"/>
    </row>
    <row r="34452" spans="6:6">
      <c r="F34452" s="2423"/>
    </row>
    <row r="34453" spans="6:6">
      <c r="F34453" s="2423"/>
    </row>
    <row r="34454" spans="6:6">
      <c r="F34454" s="2423"/>
    </row>
    <row r="34455" spans="6:6">
      <c r="F34455" s="2423"/>
    </row>
    <row r="34456" spans="6:6">
      <c r="F34456" s="2423"/>
    </row>
    <row r="34457" spans="6:6">
      <c r="F34457" s="2423"/>
    </row>
    <row r="34458" spans="6:6">
      <c r="F34458" s="2423"/>
    </row>
    <row r="34459" spans="6:6">
      <c r="F34459" s="2423"/>
    </row>
    <row r="34460" spans="6:6">
      <c r="F34460" s="2423"/>
    </row>
    <row r="34461" spans="6:6">
      <c r="F34461" s="2423"/>
    </row>
    <row r="34462" spans="6:6">
      <c r="F34462" s="2423"/>
    </row>
    <row r="34463" spans="6:6">
      <c r="F34463" s="2423"/>
    </row>
    <row r="34464" spans="6:6">
      <c r="F34464" s="2423"/>
    </row>
    <row r="34465" spans="6:6">
      <c r="F34465" s="2423"/>
    </row>
    <row r="34466" spans="6:6">
      <c r="F34466" s="2423"/>
    </row>
    <row r="34467" spans="6:6">
      <c r="F34467" s="2423"/>
    </row>
    <row r="34468" spans="6:6">
      <c r="F34468" s="2423"/>
    </row>
    <row r="34469" spans="6:6">
      <c r="F34469" s="2423"/>
    </row>
    <row r="34470" spans="6:6">
      <c r="F34470" s="2423"/>
    </row>
    <row r="34471" spans="6:6">
      <c r="F34471" s="2423"/>
    </row>
    <row r="34472" spans="6:6">
      <c r="F34472" s="2423"/>
    </row>
    <row r="34473" spans="6:6">
      <c r="F34473" s="2423"/>
    </row>
    <row r="34474" spans="6:6">
      <c r="F34474" s="2423"/>
    </row>
    <row r="34475" spans="6:6">
      <c r="F34475" s="2423"/>
    </row>
    <row r="34476" spans="6:6">
      <c r="F34476" s="2423"/>
    </row>
    <row r="34477" spans="6:6">
      <c r="F34477" s="2423"/>
    </row>
    <row r="34478" spans="6:6">
      <c r="F34478" s="2423"/>
    </row>
    <row r="34479" spans="6:6">
      <c r="F34479" s="2423"/>
    </row>
    <row r="34480" spans="6:6">
      <c r="F34480" s="2423"/>
    </row>
    <row r="34481" spans="6:6">
      <c r="F34481" s="2423"/>
    </row>
    <row r="34482" spans="6:6">
      <c r="F34482" s="2423"/>
    </row>
    <row r="34483" spans="6:6">
      <c r="F34483" s="2423"/>
    </row>
    <row r="34484" spans="6:6">
      <c r="F34484" s="2423"/>
    </row>
    <row r="34485" spans="6:6">
      <c r="F34485" s="2423"/>
    </row>
    <row r="34486" spans="6:6">
      <c r="F34486" s="2423"/>
    </row>
    <row r="34487" spans="6:6">
      <c r="F34487" s="2423"/>
    </row>
    <row r="34488" spans="6:6">
      <c r="F34488" s="2423"/>
    </row>
    <row r="34489" spans="6:6">
      <c r="F34489" s="2423"/>
    </row>
    <row r="34490" spans="6:6">
      <c r="F34490" s="2423"/>
    </row>
    <row r="34491" spans="6:6">
      <c r="F34491" s="2423"/>
    </row>
    <row r="34492" spans="6:6">
      <c r="F34492" s="2423"/>
    </row>
    <row r="34493" spans="6:6">
      <c r="F34493" s="2423"/>
    </row>
    <row r="34494" spans="6:6">
      <c r="F34494" s="2423"/>
    </row>
    <row r="34495" spans="6:6">
      <c r="F34495" s="2423"/>
    </row>
    <row r="34496" spans="6:6">
      <c r="F34496" s="2423"/>
    </row>
    <row r="34497" spans="6:6">
      <c r="F34497" s="2423"/>
    </row>
    <row r="34498" spans="6:6">
      <c r="F34498" s="2423"/>
    </row>
    <row r="34499" spans="6:6">
      <c r="F34499" s="2423"/>
    </row>
    <row r="34500" spans="6:6">
      <c r="F34500" s="2423"/>
    </row>
    <row r="34501" spans="6:6">
      <c r="F34501" s="2423"/>
    </row>
    <row r="34502" spans="6:6">
      <c r="F34502" s="2423"/>
    </row>
    <row r="34503" spans="6:6">
      <c r="F34503" s="2423"/>
    </row>
    <row r="34504" spans="6:6">
      <c r="F34504" s="2423"/>
    </row>
    <row r="34505" spans="6:6">
      <c r="F34505" s="2423"/>
    </row>
    <row r="34506" spans="6:6">
      <c r="F34506" s="2423"/>
    </row>
    <row r="34507" spans="6:6">
      <c r="F34507" s="2423"/>
    </row>
    <row r="34508" spans="6:6">
      <c r="F34508" s="2423"/>
    </row>
    <row r="34509" spans="6:6">
      <c r="F34509" s="2423"/>
    </row>
    <row r="34510" spans="6:6">
      <c r="F34510" s="2423"/>
    </row>
    <row r="34511" spans="6:6">
      <c r="F34511" s="2423"/>
    </row>
    <row r="34512" spans="6:6">
      <c r="F34512" s="2423"/>
    </row>
    <row r="34513" spans="6:6">
      <c r="F34513" s="2423"/>
    </row>
    <row r="34514" spans="6:6">
      <c r="F34514" s="2423"/>
    </row>
    <row r="34515" spans="6:6">
      <c r="F34515" s="2423"/>
    </row>
    <row r="34516" spans="6:6">
      <c r="F34516" s="2423"/>
    </row>
    <row r="34517" spans="6:6">
      <c r="F34517" s="2423"/>
    </row>
    <row r="34518" spans="6:6">
      <c r="F34518" s="2423"/>
    </row>
    <row r="34519" spans="6:6">
      <c r="F34519" s="2423"/>
    </row>
    <row r="34520" spans="6:6">
      <c r="F34520" s="2423"/>
    </row>
    <row r="34521" spans="6:6">
      <c r="F34521" s="2423"/>
    </row>
    <row r="34522" spans="6:6">
      <c r="F34522" s="2423"/>
    </row>
    <row r="34523" spans="6:6">
      <c r="F34523" s="2423"/>
    </row>
    <row r="34524" spans="6:6">
      <c r="F34524" s="2423"/>
    </row>
    <row r="34525" spans="6:6">
      <c r="F34525" s="2423"/>
    </row>
    <row r="34526" spans="6:6">
      <c r="F34526" s="2423"/>
    </row>
    <row r="34527" spans="6:6">
      <c r="F34527" s="2423"/>
    </row>
    <row r="34528" spans="6:6">
      <c r="F34528" s="2423"/>
    </row>
    <row r="34529" spans="6:6">
      <c r="F34529" s="2423"/>
    </row>
    <row r="34530" spans="6:6">
      <c r="F34530" s="2423"/>
    </row>
    <row r="34531" spans="6:6">
      <c r="F34531" s="2423"/>
    </row>
    <row r="34532" spans="6:6">
      <c r="F34532" s="2423"/>
    </row>
    <row r="34533" spans="6:6">
      <c r="F34533" s="2423"/>
    </row>
    <row r="34534" spans="6:6">
      <c r="F34534" s="2423"/>
    </row>
    <row r="34535" spans="6:6">
      <c r="F34535" s="2423"/>
    </row>
    <row r="34536" spans="6:6">
      <c r="F34536" s="2423"/>
    </row>
    <row r="34537" spans="6:6">
      <c r="F34537" s="2423"/>
    </row>
    <row r="34538" spans="6:6">
      <c r="F34538" s="2423"/>
    </row>
    <row r="34539" spans="6:6">
      <c r="F34539" s="2423"/>
    </row>
    <row r="34540" spans="6:6">
      <c r="F34540" s="2423"/>
    </row>
    <row r="34541" spans="6:6">
      <c r="F34541" s="2423"/>
    </row>
    <row r="34542" spans="6:6">
      <c r="F34542" s="2423"/>
    </row>
    <row r="34543" spans="6:6">
      <c r="F34543" s="2423"/>
    </row>
    <row r="34544" spans="6:6">
      <c r="F34544" s="2423"/>
    </row>
    <row r="34545" spans="6:6">
      <c r="F34545" s="2423"/>
    </row>
    <row r="34546" spans="6:6">
      <c r="F34546" s="2423"/>
    </row>
    <row r="34547" spans="6:6">
      <c r="F34547" s="2423"/>
    </row>
    <row r="34548" spans="6:6">
      <c r="F34548" s="2423"/>
    </row>
    <row r="34549" spans="6:6">
      <c r="F34549" s="2423"/>
    </row>
    <row r="34550" spans="6:6">
      <c r="F34550" s="2423"/>
    </row>
    <row r="34551" spans="6:6">
      <c r="F34551" s="2423"/>
    </row>
    <row r="34552" spans="6:6">
      <c r="F34552" s="2423"/>
    </row>
    <row r="34553" spans="6:6">
      <c r="F34553" s="2423"/>
    </row>
    <row r="34554" spans="6:6">
      <c r="F34554" s="2423"/>
    </row>
    <row r="34555" spans="6:6">
      <c r="F34555" s="2423"/>
    </row>
    <row r="34556" spans="6:6">
      <c r="F34556" s="2423"/>
    </row>
    <row r="34557" spans="6:6">
      <c r="F34557" s="2423"/>
    </row>
    <row r="34558" spans="6:6">
      <c r="F34558" s="2423"/>
    </row>
    <row r="34559" spans="6:6">
      <c r="F34559" s="2423"/>
    </row>
    <row r="34560" spans="6:6">
      <c r="F34560" s="2423"/>
    </row>
    <row r="34561" spans="6:6">
      <c r="F34561" s="2423"/>
    </row>
    <row r="34562" spans="6:6">
      <c r="F34562" s="2423"/>
    </row>
    <row r="34563" spans="6:6">
      <c r="F34563" s="2423"/>
    </row>
    <row r="34564" spans="6:6">
      <c r="F34564" s="2423"/>
    </row>
    <row r="34565" spans="6:6">
      <c r="F34565" s="2423"/>
    </row>
    <row r="34566" spans="6:6">
      <c r="F34566" s="2423"/>
    </row>
    <row r="34567" spans="6:6">
      <c r="F34567" s="2423"/>
    </row>
    <row r="34568" spans="6:6">
      <c r="F34568" s="2423"/>
    </row>
    <row r="34569" spans="6:6">
      <c r="F34569" s="2423"/>
    </row>
    <row r="34570" spans="6:6">
      <c r="F34570" s="2423"/>
    </row>
    <row r="34571" spans="6:6">
      <c r="F34571" s="2423"/>
    </row>
    <row r="34572" spans="6:6">
      <c r="F34572" s="2423"/>
    </row>
    <row r="34573" spans="6:6">
      <c r="F34573" s="2423"/>
    </row>
    <row r="34574" spans="6:6">
      <c r="F34574" s="2423"/>
    </row>
    <row r="34575" spans="6:6">
      <c r="F34575" s="2423"/>
    </row>
    <row r="34576" spans="6:6">
      <c r="F34576" s="2423"/>
    </row>
    <row r="34577" spans="6:6">
      <c r="F34577" s="2423"/>
    </row>
    <row r="34578" spans="6:6">
      <c r="F34578" s="2423"/>
    </row>
    <row r="34579" spans="6:6">
      <c r="F34579" s="2423"/>
    </row>
    <row r="34580" spans="6:6">
      <c r="F34580" s="2423"/>
    </row>
    <row r="34581" spans="6:6">
      <c r="F34581" s="2423"/>
    </row>
    <row r="34582" spans="6:6">
      <c r="F34582" s="2423"/>
    </row>
    <row r="34583" spans="6:6">
      <c r="F34583" s="2423"/>
    </row>
    <row r="34584" spans="6:6">
      <c r="F34584" s="2423"/>
    </row>
    <row r="34585" spans="6:6">
      <c r="F34585" s="2423"/>
    </row>
    <row r="34586" spans="6:6">
      <c r="F34586" s="2423"/>
    </row>
    <row r="34587" spans="6:6">
      <c r="F34587" s="2423"/>
    </row>
    <row r="34588" spans="6:6">
      <c r="F34588" s="2423"/>
    </row>
    <row r="34589" spans="6:6">
      <c r="F34589" s="2423"/>
    </row>
    <row r="34590" spans="6:6">
      <c r="F34590" s="2423"/>
    </row>
    <row r="34591" spans="6:6">
      <c r="F34591" s="2423"/>
    </row>
    <row r="34592" spans="6:6">
      <c r="F34592" s="2423"/>
    </row>
    <row r="34593" spans="6:6">
      <c r="F34593" s="2423"/>
    </row>
    <row r="34594" spans="6:6">
      <c r="F34594" s="2423"/>
    </row>
    <row r="34595" spans="6:6">
      <c r="F34595" s="2423"/>
    </row>
    <row r="34596" spans="6:6">
      <c r="F34596" s="2423"/>
    </row>
    <row r="34597" spans="6:6">
      <c r="F34597" s="2423"/>
    </row>
    <row r="34598" spans="6:6">
      <c r="F34598" s="2423"/>
    </row>
    <row r="34599" spans="6:6">
      <c r="F34599" s="2423"/>
    </row>
    <row r="34600" spans="6:6">
      <c r="F34600" s="2423"/>
    </row>
    <row r="34601" spans="6:6">
      <c r="F34601" s="2423"/>
    </row>
    <row r="34602" spans="6:6">
      <c r="F34602" s="2423"/>
    </row>
    <row r="34603" spans="6:6">
      <c r="F34603" s="2423"/>
    </row>
    <row r="34604" spans="6:6">
      <c r="F34604" s="2423"/>
    </row>
    <row r="34605" spans="6:6">
      <c r="F34605" s="2423"/>
    </row>
    <row r="34606" spans="6:6">
      <c r="F34606" s="2423"/>
    </row>
    <row r="34607" spans="6:6">
      <c r="F34607" s="2423"/>
    </row>
    <row r="34608" spans="6:6">
      <c r="F34608" s="2423"/>
    </row>
    <row r="34609" spans="6:6">
      <c r="F34609" s="2423"/>
    </row>
    <row r="34610" spans="6:6">
      <c r="F34610" s="2423"/>
    </row>
    <row r="34611" spans="6:6">
      <c r="F34611" s="2423"/>
    </row>
    <row r="34612" spans="6:6">
      <c r="F34612" s="2423"/>
    </row>
    <row r="34613" spans="6:6">
      <c r="F34613" s="2423"/>
    </row>
    <row r="34614" spans="6:6">
      <c r="F34614" s="2423"/>
    </row>
    <row r="34615" spans="6:6">
      <c r="F34615" s="2423"/>
    </row>
    <row r="34616" spans="6:6">
      <c r="F34616" s="2423"/>
    </row>
    <row r="34617" spans="6:6">
      <c r="F34617" s="2423"/>
    </row>
    <row r="34618" spans="6:6">
      <c r="F34618" s="2423"/>
    </row>
    <row r="34619" spans="6:6">
      <c r="F34619" s="2423"/>
    </row>
    <row r="34620" spans="6:6">
      <c r="F34620" s="2423"/>
    </row>
    <row r="34621" spans="6:6">
      <c r="F34621" s="2423"/>
    </row>
    <row r="34622" spans="6:6">
      <c r="F34622" s="2423"/>
    </row>
    <row r="34623" spans="6:6">
      <c r="F34623" s="2423"/>
    </row>
    <row r="34624" spans="6:6">
      <c r="F34624" s="2423"/>
    </row>
    <row r="34625" spans="6:6">
      <c r="F34625" s="2423"/>
    </row>
    <row r="34626" spans="6:6">
      <c r="F34626" s="2423"/>
    </row>
    <row r="34627" spans="6:6">
      <c r="F34627" s="2423"/>
    </row>
    <row r="34628" spans="6:6">
      <c r="F34628" s="2423"/>
    </row>
    <row r="34629" spans="6:6">
      <c r="F34629" s="2423"/>
    </row>
    <row r="34630" spans="6:6">
      <c r="F34630" s="2423"/>
    </row>
    <row r="34631" spans="6:6">
      <c r="F34631" s="2423"/>
    </row>
    <row r="34632" spans="6:6">
      <c r="F34632" s="2423"/>
    </row>
    <row r="34633" spans="6:6">
      <c r="F34633" s="2423"/>
    </row>
    <row r="34634" spans="6:6">
      <c r="F34634" s="2423"/>
    </row>
    <row r="34635" spans="6:6">
      <c r="F34635" s="2423"/>
    </row>
    <row r="34636" spans="6:6">
      <c r="F34636" s="2423"/>
    </row>
    <row r="34637" spans="6:6">
      <c r="F34637" s="2423"/>
    </row>
    <row r="34638" spans="6:6">
      <c r="F34638" s="2423"/>
    </row>
    <row r="34639" spans="6:6">
      <c r="F34639" s="2423"/>
    </row>
    <row r="34640" spans="6:6">
      <c r="F34640" s="2423"/>
    </row>
    <row r="34641" spans="6:6">
      <c r="F34641" s="2423"/>
    </row>
    <row r="34642" spans="6:6">
      <c r="F34642" s="2423"/>
    </row>
    <row r="34643" spans="6:6">
      <c r="F34643" s="2423"/>
    </row>
    <row r="34644" spans="6:6">
      <c r="F34644" s="2423"/>
    </row>
    <row r="34645" spans="6:6">
      <c r="F34645" s="2423"/>
    </row>
    <row r="34646" spans="6:6">
      <c r="F34646" s="2423"/>
    </row>
    <row r="34647" spans="6:6">
      <c r="F34647" s="2423"/>
    </row>
    <row r="34648" spans="6:6">
      <c r="F34648" s="2423"/>
    </row>
    <row r="34649" spans="6:6">
      <c r="F34649" s="2423"/>
    </row>
    <row r="34650" spans="6:6">
      <c r="F34650" s="2423"/>
    </row>
    <row r="34651" spans="6:6">
      <c r="F34651" s="2423"/>
    </row>
    <row r="34652" spans="6:6">
      <c r="F34652" s="2423"/>
    </row>
    <row r="34653" spans="6:6">
      <c r="F34653" s="2423"/>
    </row>
    <row r="34654" spans="6:6">
      <c r="F34654" s="2423"/>
    </row>
    <row r="34655" spans="6:6">
      <c r="F34655" s="2423"/>
    </row>
    <row r="34656" spans="6:6">
      <c r="F34656" s="2423"/>
    </row>
    <row r="34657" spans="6:6">
      <c r="F34657" s="2423"/>
    </row>
    <row r="34658" spans="6:6">
      <c r="F34658" s="2423"/>
    </row>
    <row r="34659" spans="6:6">
      <c r="F34659" s="2423"/>
    </row>
    <row r="34660" spans="6:6">
      <c r="F34660" s="2423"/>
    </row>
    <row r="34661" spans="6:6">
      <c r="F34661" s="2423"/>
    </row>
    <row r="34662" spans="6:6">
      <c r="F34662" s="2423"/>
    </row>
    <row r="34663" spans="6:6">
      <c r="F34663" s="2423"/>
    </row>
    <row r="34664" spans="6:6">
      <c r="F34664" s="2423"/>
    </row>
    <row r="34665" spans="6:6">
      <c r="F34665" s="2423"/>
    </row>
    <row r="34666" spans="6:6">
      <c r="F34666" s="2423"/>
    </row>
    <row r="34667" spans="6:6">
      <c r="F34667" s="2423"/>
    </row>
    <row r="34668" spans="6:6">
      <c r="F34668" s="2423"/>
    </row>
    <row r="34669" spans="6:6">
      <c r="F34669" s="2423"/>
    </row>
    <row r="34670" spans="6:6">
      <c r="F34670" s="2423"/>
    </row>
    <row r="34671" spans="6:6">
      <c r="F34671" s="2423"/>
    </row>
    <row r="34672" spans="6:6">
      <c r="F34672" s="2423"/>
    </row>
    <row r="34673" spans="6:6">
      <c r="F34673" s="2423"/>
    </row>
    <row r="34674" spans="6:6">
      <c r="F34674" s="2423"/>
    </row>
    <row r="34675" spans="6:6">
      <c r="F34675" s="2423"/>
    </row>
    <row r="34676" spans="6:6">
      <c r="F34676" s="2423"/>
    </row>
    <row r="34677" spans="6:6">
      <c r="F34677" s="2423"/>
    </row>
    <row r="34678" spans="6:6">
      <c r="F34678" s="2423"/>
    </row>
    <row r="34679" spans="6:6">
      <c r="F34679" s="2423"/>
    </row>
    <row r="34680" spans="6:6">
      <c r="F34680" s="2423"/>
    </row>
    <row r="34681" spans="6:6">
      <c r="F34681" s="2423"/>
    </row>
    <row r="34682" spans="6:6">
      <c r="F34682" s="2423"/>
    </row>
    <row r="34683" spans="6:6">
      <c r="F34683" s="2423"/>
    </row>
    <row r="34684" spans="6:6">
      <c r="F34684" s="2423"/>
    </row>
    <row r="34685" spans="6:6">
      <c r="F34685" s="2423"/>
    </row>
    <row r="34686" spans="6:6">
      <c r="F34686" s="2423"/>
    </row>
    <row r="34687" spans="6:6">
      <c r="F34687" s="2423"/>
    </row>
    <row r="34688" spans="6:6">
      <c r="F34688" s="2423"/>
    </row>
    <row r="34689" spans="6:6">
      <c r="F34689" s="2423"/>
    </row>
    <row r="34690" spans="6:6">
      <c r="F34690" s="2423"/>
    </row>
    <row r="34691" spans="6:6">
      <c r="F34691" s="2423"/>
    </row>
    <row r="34692" spans="6:6">
      <c r="F34692" s="2423"/>
    </row>
    <row r="34693" spans="6:6">
      <c r="F34693" s="2423"/>
    </row>
    <row r="34694" spans="6:6">
      <c r="F34694" s="2423"/>
    </row>
    <row r="34695" spans="6:6">
      <c r="F34695" s="2423"/>
    </row>
    <row r="34696" spans="6:6">
      <c r="F34696" s="2423"/>
    </row>
    <row r="34697" spans="6:6">
      <c r="F34697" s="2423"/>
    </row>
    <row r="34698" spans="6:6">
      <c r="F34698" s="2423"/>
    </row>
    <row r="34699" spans="6:6">
      <c r="F34699" s="2423"/>
    </row>
    <row r="34700" spans="6:6">
      <c r="F34700" s="2423"/>
    </row>
    <row r="34701" spans="6:6">
      <c r="F34701" s="2423"/>
    </row>
    <row r="34702" spans="6:6">
      <c r="F34702" s="2423"/>
    </row>
    <row r="34703" spans="6:6">
      <c r="F34703" s="2423"/>
    </row>
    <row r="34704" spans="6:6">
      <c r="F34704" s="2423"/>
    </row>
    <row r="34705" spans="6:6">
      <c r="F34705" s="2423"/>
    </row>
    <row r="34706" spans="6:6">
      <c r="F34706" s="2423"/>
    </row>
    <row r="34707" spans="6:6">
      <c r="F34707" s="2423"/>
    </row>
    <row r="34708" spans="6:6">
      <c r="F34708" s="2423"/>
    </row>
    <row r="34709" spans="6:6">
      <c r="F34709" s="2423"/>
    </row>
    <row r="34710" spans="6:6">
      <c r="F34710" s="2423"/>
    </row>
    <row r="34711" spans="6:6">
      <c r="F34711" s="2423"/>
    </row>
    <row r="34712" spans="6:6">
      <c r="F34712" s="2423"/>
    </row>
    <row r="34713" spans="6:6">
      <c r="F34713" s="2423"/>
    </row>
    <row r="34714" spans="6:6">
      <c r="F34714" s="2423"/>
    </row>
    <row r="34715" spans="6:6">
      <c r="F34715" s="2423"/>
    </row>
    <row r="34716" spans="6:6">
      <c r="F34716" s="2423"/>
    </row>
    <row r="34717" spans="6:6">
      <c r="F34717" s="2423"/>
    </row>
    <row r="34718" spans="6:6">
      <c r="F34718" s="2423"/>
    </row>
    <row r="34719" spans="6:6">
      <c r="F34719" s="2423"/>
    </row>
    <row r="34720" spans="6:6">
      <c r="F34720" s="2423"/>
    </row>
    <row r="34721" spans="6:6">
      <c r="F34721" s="2423"/>
    </row>
    <row r="34722" spans="6:6">
      <c r="F34722" s="2423"/>
    </row>
    <row r="34723" spans="6:6">
      <c r="F34723" s="2423"/>
    </row>
    <row r="34724" spans="6:6">
      <c r="F34724" s="2423"/>
    </row>
    <row r="34725" spans="6:6">
      <c r="F34725" s="2423"/>
    </row>
    <row r="34726" spans="6:6">
      <c r="F34726" s="2423"/>
    </row>
    <row r="34727" spans="6:6">
      <c r="F34727" s="2423"/>
    </row>
    <row r="34728" spans="6:6">
      <c r="F34728" s="2423"/>
    </row>
    <row r="34729" spans="6:6">
      <c r="F34729" s="2423"/>
    </row>
    <row r="34730" spans="6:6">
      <c r="F34730" s="2423"/>
    </row>
    <row r="34731" spans="6:6">
      <c r="F34731" s="2423"/>
    </row>
    <row r="34732" spans="6:6">
      <c r="F34732" s="2423"/>
    </row>
    <row r="34733" spans="6:6">
      <c r="F34733" s="2423"/>
    </row>
    <row r="34734" spans="6:6">
      <c r="F34734" s="2423"/>
    </row>
    <row r="34735" spans="6:6">
      <c r="F34735" s="2423"/>
    </row>
    <row r="34736" spans="6:6">
      <c r="F34736" s="2423"/>
    </row>
    <row r="34737" spans="6:6">
      <c r="F34737" s="2423"/>
    </row>
    <row r="34738" spans="6:6">
      <c r="F34738" s="2423"/>
    </row>
    <row r="34739" spans="6:6">
      <c r="F34739" s="2423"/>
    </row>
    <row r="34740" spans="6:6">
      <c r="F34740" s="2423"/>
    </row>
    <row r="34741" spans="6:6">
      <c r="F34741" s="2423"/>
    </row>
    <row r="34742" spans="6:6">
      <c r="F34742" s="2423"/>
    </row>
    <row r="34743" spans="6:6">
      <c r="F34743" s="2423"/>
    </row>
    <row r="34744" spans="6:6">
      <c r="F34744" s="2423"/>
    </row>
    <row r="34745" spans="6:6">
      <c r="F34745" s="2423"/>
    </row>
    <row r="34746" spans="6:6">
      <c r="F34746" s="2423"/>
    </row>
    <row r="34747" spans="6:6">
      <c r="F34747" s="2423"/>
    </row>
    <row r="34748" spans="6:6">
      <c r="F34748" s="2423"/>
    </row>
    <row r="34749" spans="6:6">
      <c r="F34749" s="2423"/>
    </row>
    <row r="34750" spans="6:6">
      <c r="F34750" s="2423"/>
    </row>
    <row r="34751" spans="6:6">
      <c r="F34751" s="2423"/>
    </row>
    <row r="34752" spans="6:6">
      <c r="F34752" s="2423"/>
    </row>
    <row r="34753" spans="6:6">
      <c r="F34753" s="2423"/>
    </row>
    <row r="34754" spans="6:6">
      <c r="F34754" s="2423"/>
    </row>
    <row r="34755" spans="6:6">
      <c r="F34755" s="2423"/>
    </row>
    <row r="34756" spans="6:6">
      <c r="F34756" s="2423"/>
    </row>
    <row r="34757" spans="6:6">
      <c r="F34757" s="2423"/>
    </row>
    <row r="34758" spans="6:6">
      <c r="F34758" s="2423"/>
    </row>
    <row r="34759" spans="6:6">
      <c r="F34759" s="2423"/>
    </row>
    <row r="34760" spans="6:6">
      <c r="F34760" s="2423"/>
    </row>
    <row r="34761" spans="6:6">
      <c r="F34761" s="2423"/>
    </row>
    <row r="34762" spans="6:6">
      <c r="F34762" s="2423"/>
    </row>
    <row r="34763" spans="6:6">
      <c r="F34763" s="2423"/>
    </row>
    <row r="34764" spans="6:6">
      <c r="F34764" s="2423"/>
    </row>
    <row r="34765" spans="6:6">
      <c r="F34765" s="2423"/>
    </row>
    <row r="34766" spans="6:6">
      <c r="F34766" s="2423"/>
    </row>
    <row r="34767" spans="6:6">
      <c r="F34767" s="2423"/>
    </row>
    <row r="34768" spans="6:6">
      <c r="F34768" s="2423"/>
    </row>
    <row r="34769" spans="6:6">
      <c r="F34769" s="2423"/>
    </row>
    <row r="34770" spans="6:6">
      <c r="F34770" s="2423"/>
    </row>
    <row r="34771" spans="6:6">
      <c r="F34771" s="2423"/>
    </row>
    <row r="34772" spans="6:6">
      <c r="F34772" s="2423"/>
    </row>
    <row r="34773" spans="6:6">
      <c r="F34773" s="2423"/>
    </row>
    <row r="34774" spans="6:6">
      <c r="F34774" s="2423"/>
    </row>
    <row r="34775" spans="6:6">
      <c r="F34775" s="2423"/>
    </row>
    <row r="34776" spans="6:6">
      <c r="F34776" s="2423"/>
    </row>
    <row r="34777" spans="6:6">
      <c r="F34777" s="2423"/>
    </row>
    <row r="34778" spans="6:6">
      <c r="F34778" s="2423"/>
    </row>
    <row r="34779" spans="6:6">
      <c r="F34779" s="2423"/>
    </row>
    <row r="34780" spans="6:6">
      <c r="F34780" s="2423"/>
    </row>
    <row r="34781" spans="6:6">
      <c r="F34781" s="2423"/>
    </row>
    <row r="34782" spans="6:6">
      <c r="F34782" s="2423"/>
    </row>
    <row r="34783" spans="6:6">
      <c r="F34783" s="2423"/>
    </row>
    <row r="34784" spans="6:6">
      <c r="F34784" s="2423"/>
    </row>
    <row r="34785" spans="6:6">
      <c r="F34785" s="2423"/>
    </row>
    <row r="34786" spans="6:6">
      <c r="F34786" s="2423"/>
    </row>
    <row r="34787" spans="6:6">
      <c r="F34787" s="2423"/>
    </row>
    <row r="34788" spans="6:6">
      <c r="F34788" s="2423"/>
    </row>
    <row r="34789" spans="6:6">
      <c r="F34789" s="2423"/>
    </row>
    <row r="34790" spans="6:6">
      <c r="F34790" s="2423"/>
    </row>
    <row r="34791" spans="6:6">
      <c r="F34791" s="2423"/>
    </row>
    <row r="34792" spans="6:6">
      <c r="F34792" s="2423"/>
    </row>
    <row r="34793" spans="6:6">
      <c r="F34793" s="2423"/>
    </row>
    <row r="34794" spans="6:6">
      <c r="F34794" s="2423"/>
    </row>
    <row r="34795" spans="6:6">
      <c r="F34795" s="2423"/>
    </row>
    <row r="34796" spans="6:6">
      <c r="F34796" s="2423"/>
    </row>
    <row r="34797" spans="6:6">
      <c r="F34797" s="2423"/>
    </row>
    <row r="34798" spans="6:6">
      <c r="F34798" s="2423"/>
    </row>
    <row r="34799" spans="6:6">
      <c r="F34799" s="2423"/>
    </row>
    <row r="34800" spans="6:6">
      <c r="F34800" s="2423"/>
    </row>
    <row r="34801" spans="6:6">
      <c r="F34801" s="2423"/>
    </row>
    <row r="34802" spans="6:6">
      <c r="F34802" s="2423"/>
    </row>
    <row r="34803" spans="6:6">
      <c r="F34803" s="2423"/>
    </row>
    <row r="34804" spans="6:6">
      <c r="F34804" s="2423"/>
    </row>
    <row r="34805" spans="6:6">
      <c r="F34805" s="2423"/>
    </row>
    <row r="34806" spans="6:6">
      <c r="F34806" s="2423"/>
    </row>
    <row r="34807" spans="6:6">
      <c r="F34807" s="2423"/>
    </row>
    <row r="34808" spans="6:6">
      <c r="F34808" s="2423"/>
    </row>
    <row r="34809" spans="6:6">
      <c r="F34809" s="2423"/>
    </row>
    <row r="34810" spans="6:6">
      <c r="F34810" s="2423"/>
    </row>
    <row r="34811" spans="6:6">
      <c r="F34811" s="2423"/>
    </row>
    <row r="34812" spans="6:6">
      <c r="F34812" s="2423"/>
    </row>
    <row r="34813" spans="6:6">
      <c r="F34813" s="2423"/>
    </row>
    <row r="34814" spans="6:6">
      <c r="F34814" s="2423"/>
    </row>
    <row r="34815" spans="6:6">
      <c r="F34815" s="2423"/>
    </row>
    <row r="34816" spans="6:6">
      <c r="F34816" s="2423"/>
    </row>
    <row r="34817" spans="6:6">
      <c r="F34817" s="2423"/>
    </row>
    <row r="34818" spans="6:6">
      <c r="F34818" s="2423"/>
    </row>
    <row r="34819" spans="6:6">
      <c r="F34819" s="2423"/>
    </row>
    <row r="34820" spans="6:6">
      <c r="F34820" s="2423"/>
    </row>
    <row r="34821" spans="6:6">
      <c r="F34821" s="2423"/>
    </row>
    <row r="34822" spans="6:6">
      <c r="F34822" s="2423"/>
    </row>
    <row r="34823" spans="6:6">
      <c r="F34823" s="2423"/>
    </row>
    <row r="34824" spans="6:6">
      <c r="F34824" s="2423"/>
    </row>
    <row r="34825" spans="6:6">
      <c r="F34825" s="2423"/>
    </row>
    <row r="34826" spans="6:6">
      <c r="F34826" s="2423"/>
    </row>
    <row r="34827" spans="6:6">
      <c r="F34827" s="2423"/>
    </row>
    <row r="34828" spans="6:6">
      <c r="F34828" s="2423"/>
    </row>
    <row r="34829" spans="6:6">
      <c r="F34829" s="2423"/>
    </row>
    <row r="34830" spans="6:6">
      <c r="F34830" s="2423"/>
    </row>
    <row r="34831" spans="6:6">
      <c r="F34831" s="2423"/>
    </row>
    <row r="34832" spans="6:6">
      <c r="F34832" s="2423"/>
    </row>
    <row r="34833" spans="6:6">
      <c r="F34833" s="2423"/>
    </row>
    <row r="34834" spans="6:6">
      <c r="F34834" s="2423"/>
    </row>
    <row r="34835" spans="6:6">
      <c r="F34835" s="2423"/>
    </row>
    <row r="34836" spans="6:6">
      <c r="F34836" s="2423"/>
    </row>
    <row r="34837" spans="6:6">
      <c r="F34837" s="2423"/>
    </row>
    <row r="34838" spans="6:6">
      <c r="F34838" s="2423"/>
    </row>
    <row r="34839" spans="6:6">
      <c r="F34839" s="2423"/>
    </row>
    <row r="34840" spans="6:6">
      <c r="F34840" s="2423"/>
    </row>
    <row r="34841" spans="6:6">
      <c r="F34841" s="2423"/>
    </row>
    <row r="34842" spans="6:6">
      <c r="F34842" s="2423"/>
    </row>
    <row r="34843" spans="6:6">
      <c r="F34843" s="2423"/>
    </row>
    <row r="34844" spans="6:6">
      <c r="F34844" s="2423"/>
    </row>
    <row r="34845" spans="6:6">
      <c r="F34845" s="2423"/>
    </row>
    <row r="34846" spans="6:6">
      <c r="F34846" s="2423"/>
    </row>
    <row r="34847" spans="6:6">
      <c r="F34847" s="2423"/>
    </row>
    <row r="34848" spans="6:6">
      <c r="F34848" s="2423"/>
    </row>
    <row r="34849" spans="6:6">
      <c r="F34849" s="2423"/>
    </row>
    <row r="34850" spans="6:6">
      <c r="F34850" s="2423"/>
    </row>
    <row r="34851" spans="6:6">
      <c r="F34851" s="2423"/>
    </row>
    <row r="34852" spans="6:6">
      <c r="F34852" s="2423"/>
    </row>
    <row r="34853" spans="6:6">
      <c r="F34853" s="2423"/>
    </row>
    <row r="34854" spans="6:6">
      <c r="F34854" s="2423"/>
    </row>
    <row r="34855" spans="6:6">
      <c r="F34855" s="2423"/>
    </row>
    <row r="34856" spans="6:6">
      <c r="F34856" s="2423"/>
    </row>
    <row r="34857" spans="6:6">
      <c r="F34857" s="2423"/>
    </row>
    <row r="34858" spans="6:6">
      <c r="F34858" s="2423"/>
    </row>
    <row r="34859" spans="6:6">
      <c r="F34859" s="2423"/>
    </row>
    <row r="34860" spans="6:6">
      <c r="F34860" s="2423"/>
    </row>
    <row r="34861" spans="6:6">
      <c r="F34861" s="2423"/>
    </row>
    <row r="34862" spans="6:6">
      <c r="F34862" s="2423"/>
    </row>
    <row r="34863" spans="6:6">
      <c r="F34863" s="2423"/>
    </row>
    <row r="34864" spans="6:6">
      <c r="F34864" s="2423"/>
    </row>
    <row r="34865" spans="6:6">
      <c r="F34865" s="2423"/>
    </row>
    <row r="34866" spans="6:6">
      <c r="F34866" s="2423"/>
    </row>
    <row r="34867" spans="6:6">
      <c r="F34867" s="2423"/>
    </row>
    <row r="34868" spans="6:6">
      <c r="F34868" s="2423"/>
    </row>
    <row r="34869" spans="6:6">
      <c r="F34869" s="2423"/>
    </row>
    <row r="34870" spans="6:6">
      <c r="F34870" s="2423"/>
    </row>
    <row r="34871" spans="6:6">
      <c r="F34871" s="2423"/>
    </row>
    <row r="34872" spans="6:6">
      <c r="F34872" s="2423"/>
    </row>
    <row r="34873" spans="6:6">
      <c r="F34873" s="2423"/>
    </row>
    <row r="34874" spans="6:6">
      <c r="F34874" s="2423"/>
    </row>
    <row r="34875" spans="6:6">
      <c r="F34875" s="2423"/>
    </row>
    <row r="34876" spans="6:6">
      <c r="F34876" s="2423"/>
    </row>
    <row r="34877" spans="6:6">
      <c r="F34877" s="2423"/>
    </row>
    <row r="34878" spans="6:6">
      <c r="F34878" s="2423"/>
    </row>
    <row r="34879" spans="6:6">
      <c r="F34879" s="2423"/>
    </row>
    <row r="34880" spans="6:6">
      <c r="F34880" s="2423"/>
    </row>
    <row r="34881" spans="6:6">
      <c r="F34881" s="2423"/>
    </row>
    <row r="34882" spans="6:6">
      <c r="F34882" s="2423"/>
    </row>
    <row r="34883" spans="6:6">
      <c r="F34883" s="2423"/>
    </row>
    <row r="34884" spans="6:6">
      <c r="F34884" s="2423"/>
    </row>
    <row r="34885" spans="6:6">
      <c r="F34885" s="2423"/>
    </row>
    <row r="34886" spans="6:6">
      <c r="F34886" s="2423"/>
    </row>
    <row r="34887" spans="6:6">
      <c r="F34887" s="2423"/>
    </row>
    <row r="34888" spans="6:6">
      <c r="F34888" s="2423"/>
    </row>
    <row r="34889" spans="6:6">
      <c r="F34889" s="2423"/>
    </row>
    <row r="34890" spans="6:6">
      <c r="F34890" s="2423"/>
    </row>
    <row r="34891" spans="6:6">
      <c r="F34891" s="2423"/>
    </row>
    <row r="34892" spans="6:6">
      <c r="F34892" s="2423"/>
    </row>
    <row r="34893" spans="6:6">
      <c r="F34893" s="2423"/>
    </row>
    <row r="34894" spans="6:6">
      <c r="F34894" s="2423"/>
    </row>
    <row r="34895" spans="6:6">
      <c r="F34895" s="2423"/>
    </row>
    <row r="34896" spans="6:6">
      <c r="F34896" s="2423"/>
    </row>
    <row r="34897" spans="6:6">
      <c r="F34897" s="2423"/>
    </row>
    <row r="34898" spans="6:6">
      <c r="F34898" s="2423"/>
    </row>
    <row r="34899" spans="6:6">
      <c r="F34899" s="2423"/>
    </row>
    <row r="34900" spans="6:6">
      <c r="F34900" s="2423"/>
    </row>
    <row r="34901" spans="6:6">
      <c r="F34901" s="2423"/>
    </row>
    <row r="34902" spans="6:6">
      <c r="F34902" s="2423"/>
    </row>
    <row r="34903" spans="6:6">
      <c r="F34903" s="2423"/>
    </row>
    <row r="34904" spans="6:6">
      <c r="F34904" s="2423"/>
    </row>
    <row r="34905" spans="6:6">
      <c r="F34905" s="2423"/>
    </row>
    <row r="34906" spans="6:6">
      <c r="F34906" s="2423"/>
    </row>
    <row r="34907" spans="6:6">
      <c r="F34907" s="2423"/>
    </row>
    <row r="34908" spans="6:6">
      <c r="F34908" s="2423"/>
    </row>
    <row r="34909" spans="6:6">
      <c r="F34909" s="2423"/>
    </row>
    <row r="34910" spans="6:6">
      <c r="F34910" s="2423"/>
    </row>
    <row r="34911" spans="6:6">
      <c r="F34911" s="2423"/>
    </row>
    <row r="34912" spans="6:6">
      <c r="F34912" s="2423"/>
    </row>
    <row r="34913" spans="6:6">
      <c r="F34913" s="2423"/>
    </row>
    <row r="34914" spans="6:6">
      <c r="F34914" s="2423"/>
    </row>
    <row r="34915" spans="6:6">
      <c r="F34915" s="2423"/>
    </row>
    <row r="34916" spans="6:6">
      <c r="F34916" s="2423"/>
    </row>
    <row r="34917" spans="6:6">
      <c r="F34917" s="2423"/>
    </row>
    <row r="34918" spans="6:6">
      <c r="F34918" s="2423"/>
    </row>
    <row r="34919" spans="6:6">
      <c r="F34919" s="2423"/>
    </row>
    <row r="34920" spans="6:6">
      <c r="F34920" s="2423"/>
    </row>
    <row r="34921" spans="6:6">
      <c r="F34921" s="2423"/>
    </row>
    <row r="34922" spans="6:6">
      <c r="F34922" s="2423"/>
    </row>
    <row r="34923" spans="6:6">
      <c r="F34923" s="2423"/>
    </row>
    <row r="34924" spans="6:6">
      <c r="F34924" s="2423"/>
    </row>
    <row r="34925" spans="6:6">
      <c r="F34925" s="2423"/>
    </row>
    <row r="34926" spans="6:6">
      <c r="F34926" s="2423"/>
    </row>
    <row r="34927" spans="6:6">
      <c r="F34927" s="2423"/>
    </row>
    <row r="34928" spans="6:6">
      <c r="F34928" s="2423"/>
    </row>
    <row r="34929" spans="6:6">
      <c r="F34929" s="2423"/>
    </row>
    <row r="34930" spans="6:6">
      <c r="F34930" s="2423"/>
    </row>
    <row r="34931" spans="6:6">
      <c r="F34931" s="2423"/>
    </row>
    <row r="34932" spans="6:6">
      <c r="F34932" s="2423"/>
    </row>
    <row r="34933" spans="6:6">
      <c r="F34933" s="2423"/>
    </row>
    <row r="34934" spans="6:6">
      <c r="F34934" s="2423"/>
    </row>
    <row r="34935" spans="6:6">
      <c r="F34935" s="2423"/>
    </row>
    <row r="34936" spans="6:6">
      <c r="F34936" s="2423"/>
    </row>
    <row r="34937" spans="6:6">
      <c r="F34937" s="2423"/>
    </row>
    <row r="34938" spans="6:6">
      <c r="F34938" s="2423"/>
    </row>
    <row r="34939" spans="6:6">
      <c r="F34939" s="2423"/>
    </row>
    <row r="34940" spans="6:6">
      <c r="F34940" s="2423"/>
    </row>
    <row r="34941" spans="6:6">
      <c r="F34941" s="2423"/>
    </row>
    <row r="34942" spans="6:6">
      <c r="F34942" s="2423"/>
    </row>
    <row r="34943" spans="6:6">
      <c r="F34943" s="2423"/>
    </row>
    <row r="34944" spans="6:6">
      <c r="F34944" s="2423"/>
    </row>
    <row r="34945" spans="6:6">
      <c r="F34945" s="2423"/>
    </row>
    <row r="34946" spans="6:6">
      <c r="F34946" s="2423"/>
    </row>
    <row r="34947" spans="6:6">
      <c r="F34947" s="2423"/>
    </row>
    <row r="34948" spans="6:6">
      <c r="F34948" s="2423"/>
    </row>
    <row r="34949" spans="6:6">
      <c r="F34949" s="2423"/>
    </row>
    <row r="34950" spans="6:6">
      <c r="F34950" s="2423"/>
    </row>
    <row r="34951" spans="6:6">
      <c r="F34951" s="2423"/>
    </row>
    <row r="34952" spans="6:6">
      <c r="F34952" s="2423"/>
    </row>
    <row r="34953" spans="6:6">
      <c r="F34953" s="2423"/>
    </row>
    <row r="34954" spans="6:6">
      <c r="F34954" s="2423"/>
    </row>
    <row r="34955" spans="6:6">
      <c r="F34955" s="2423"/>
    </row>
    <row r="34956" spans="6:6">
      <c r="F34956" s="2423"/>
    </row>
    <row r="34957" spans="6:6">
      <c r="F34957" s="2423"/>
    </row>
    <row r="34958" spans="6:6">
      <c r="F34958" s="2423"/>
    </row>
    <row r="34959" spans="6:6">
      <c r="F34959" s="2423"/>
    </row>
    <row r="34960" spans="6:6">
      <c r="F34960" s="2423"/>
    </row>
    <row r="34961" spans="6:6">
      <c r="F34961" s="2423"/>
    </row>
    <row r="34962" spans="6:6">
      <c r="F34962" s="2423"/>
    </row>
    <row r="34963" spans="6:6">
      <c r="F34963" s="2423"/>
    </row>
    <row r="34964" spans="6:6">
      <c r="F34964" s="2423"/>
    </row>
    <row r="34965" spans="6:6">
      <c r="F34965" s="2423"/>
    </row>
    <row r="34966" spans="6:6">
      <c r="F34966" s="2423"/>
    </row>
    <row r="34967" spans="6:6">
      <c r="F34967" s="2423"/>
    </row>
    <row r="34968" spans="6:6">
      <c r="F34968" s="2423"/>
    </row>
    <row r="34969" spans="6:6">
      <c r="F34969" s="2423"/>
    </row>
    <row r="34970" spans="6:6">
      <c r="F34970" s="2423"/>
    </row>
    <row r="34971" spans="6:6">
      <c r="F34971" s="2423"/>
    </row>
    <row r="34972" spans="6:6">
      <c r="F34972" s="2423"/>
    </row>
    <row r="34973" spans="6:6">
      <c r="F34973" s="2423"/>
    </row>
    <row r="34974" spans="6:6">
      <c r="F34974" s="2423"/>
    </row>
    <row r="34975" spans="6:6">
      <c r="F34975" s="2423"/>
    </row>
    <row r="34976" spans="6:6">
      <c r="F34976" s="2423"/>
    </row>
    <row r="34977" spans="6:6">
      <c r="F34977" s="2423"/>
    </row>
    <row r="34978" spans="6:6">
      <c r="F34978" s="2423"/>
    </row>
    <row r="34979" spans="6:6">
      <c r="F34979" s="2423"/>
    </row>
    <row r="34980" spans="6:6">
      <c r="F34980" s="2423"/>
    </row>
    <row r="34981" spans="6:6">
      <c r="F34981" s="2423"/>
    </row>
    <row r="34982" spans="6:6">
      <c r="F34982" s="2423"/>
    </row>
    <row r="34983" spans="6:6">
      <c r="F34983" s="2423"/>
    </row>
    <row r="34984" spans="6:6">
      <c r="F34984" s="2423"/>
    </row>
    <row r="34985" spans="6:6">
      <c r="F34985" s="2423"/>
    </row>
    <row r="34986" spans="6:6">
      <c r="F34986" s="2423"/>
    </row>
    <row r="34987" spans="6:6">
      <c r="F34987" s="2423"/>
    </row>
    <row r="34988" spans="6:6">
      <c r="F34988" s="2423"/>
    </row>
    <row r="34989" spans="6:6">
      <c r="F34989" s="2423"/>
    </row>
    <row r="34990" spans="6:6">
      <c r="F34990" s="2423"/>
    </row>
    <row r="34991" spans="6:6">
      <c r="F34991" s="2423"/>
    </row>
    <row r="34992" spans="6:6">
      <c r="F34992" s="2423"/>
    </row>
    <row r="34993" spans="6:6">
      <c r="F34993" s="2423"/>
    </row>
    <row r="34994" spans="6:6">
      <c r="F34994" s="2423"/>
    </row>
    <row r="34995" spans="6:6">
      <c r="F34995" s="2423"/>
    </row>
    <row r="34996" spans="6:6">
      <c r="F34996" s="2423"/>
    </row>
    <row r="34997" spans="6:6">
      <c r="F34997" s="2423"/>
    </row>
    <row r="34998" spans="6:6">
      <c r="F34998" s="2423"/>
    </row>
    <row r="34999" spans="6:6">
      <c r="F34999" s="2423"/>
    </row>
    <row r="35000" spans="6:6">
      <c r="F35000" s="2423"/>
    </row>
    <row r="35001" spans="6:6">
      <c r="F35001" s="2423"/>
    </row>
    <row r="35002" spans="6:6">
      <c r="F35002" s="2423"/>
    </row>
    <row r="35003" spans="6:6">
      <c r="F35003" s="2423"/>
    </row>
    <row r="35004" spans="6:6">
      <c r="F35004" s="2423"/>
    </row>
    <row r="35005" spans="6:6">
      <c r="F35005" s="2423"/>
    </row>
    <row r="35006" spans="6:6">
      <c r="F35006" s="2423"/>
    </row>
    <row r="35007" spans="6:6">
      <c r="F35007" s="2423"/>
    </row>
    <row r="35008" spans="6:6">
      <c r="F35008" s="2423"/>
    </row>
    <row r="35009" spans="6:6">
      <c r="F35009" s="2423"/>
    </row>
    <row r="35010" spans="6:6">
      <c r="F35010" s="2423"/>
    </row>
    <row r="35011" spans="6:6">
      <c r="F35011" s="2423"/>
    </row>
    <row r="35012" spans="6:6">
      <c r="F35012" s="2423"/>
    </row>
    <row r="35013" spans="6:6">
      <c r="F35013" s="2423"/>
    </row>
    <row r="35014" spans="6:6">
      <c r="F35014" s="2423"/>
    </row>
    <row r="35015" spans="6:6">
      <c r="F35015" s="2423"/>
    </row>
    <row r="35016" spans="6:6">
      <c r="F35016" s="2423"/>
    </row>
    <row r="35017" spans="6:6">
      <c r="F35017" s="2423"/>
    </row>
    <row r="35018" spans="6:6">
      <c r="F35018" s="2423"/>
    </row>
    <row r="35019" spans="6:6">
      <c r="F35019" s="2423"/>
    </row>
    <row r="35020" spans="6:6">
      <c r="F35020" s="2423"/>
    </row>
    <row r="35021" spans="6:6">
      <c r="F35021" s="2423"/>
    </row>
    <row r="35022" spans="6:6">
      <c r="F35022" s="2423"/>
    </row>
    <row r="35023" spans="6:6">
      <c r="F35023" s="2423"/>
    </row>
    <row r="35024" spans="6:6">
      <c r="F35024" s="2423"/>
    </row>
    <row r="35025" spans="6:6">
      <c r="F35025" s="2423"/>
    </row>
    <row r="35026" spans="6:6">
      <c r="F35026" s="2423"/>
    </row>
    <row r="35027" spans="6:6">
      <c r="F35027" s="2423"/>
    </row>
    <row r="35028" spans="6:6">
      <c r="F35028" s="2423"/>
    </row>
    <row r="35029" spans="6:6">
      <c r="F35029" s="2423"/>
    </row>
    <row r="35030" spans="6:6">
      <c r="F35030" s="2423"/>
    </row>
    <row r="35031" spans="6:6">
      <c r="F35031" s="2423"/>
    </row>
    <row r="35032" spans="6:6">
      <c r="F35032" s="2423"/>
    </row>
    <row r="35033" spans="6:6">
      <c r="F35033" s="2423"/>
    </row>
    <row r="35034" spans="6:6">
      <c r="F35034" s="2423"/>
    </row>
    <row r="35035" spans="6:6">
      <c r="F35035" s="2423"/>
    </row>
    <row r="35036" spans="6:6">
      <c r="F35036" s="2423"/>
    </row>
    <row r="35037" spans="6:6">
      <c r="F35037" s="2423"/>
    </row>
    <row r="35038" spans="6:6">
      <c r="F35038" s="2423"/>
    </row>
    <row r="35039" spans="6:6">
      <c r="F35039" s="2423"/>
    </row>
    <row r="35040" spans="6:6">
      <c r="F35040" s="2423"/>
    </row>
    <row r="35041" spans="6:6">
      <c r="F35041" s="2423"/>
    </row>
    <row r="35042" spans="6:6">
      <c r="F35042" s="2423"/>
    </row>
    <row r="35043" spans="6:6">
      <c r="F35043" s="2423"/>
    </row>
    <row r="35044" spans="6:6">
      <c r="F35044" s="2423"/>
    </row>
    <row r="35045" spans="6:6">
      <c r="F35045" s="2423"/>
    </row>
    <row r="35046" spans="6:6">
      <c r="F35046" s="2423"/>
    </row>
    <row r="35047" spans="6:6">
      <c r="F35047" s="2423"/>
    </row>
    <row r="35048" spans="6:6">
      <c r="F35048" s="2423"/>
    </row>
    <row r="35049" spans="6:6">
      <c r="F35049" s="2423"/>
    </row>
    <row r="35050" spans="6:6">
      <c r="F35050" s="2423"/>
    </row>
    <row r="35051" spans="6:6">
      <c r="F35051" s="2423"/>
    </row>
    <row r="35052" spans="6:6">
      <c r="F35052" s="2423"/>
    </row>
    <row r="35053" spans="6:6">
      <c r="F35053" s="2423"/>
    </row>
    <row r="35054" spans="6:6">
      <c r="F35054" s="2423"/>
    </row>
    <row r="35055" spans="6:6">
      <c r="F35055" s="2423"/>
    </row>
    <row r="35056" spans="6:6">
      <c r="F35056" s="2423"/>
    </row>
    <row r="35057" spans="6:6">
      <c r="F35057" s="2423"/>
    </row>
    <row r="35058" spans="6:6">
      <c r="F35058" s="2423"/>
    </row>
    <row r="35059" spans="6:6">
      <c r="F35059" s="2423"/>
    </row>
    <row r="35060" spans="6:6">
      <c r="F35060" s="2423"/>
    </row>
    <row r="35061" spans="6:6">
      <c r="F35061" s="2423"/>
    </row>
    <row r="35062" spans="6:6">
      <c r="F35062" s="2423"/>
    </row>
    <row r="35063" spans="6:6">
      <c r="F35063" s="2423"/>
    </row>
    <row r="35064" spans="6:6">
      <c r="F35064" s="2423"/>
    </row>
    <row r="35065" spans="6:6">
      <c r="F35065" s="2423"/>
    </row>
    <row r="35066" spans="6:6">
      <c r="F35066" s="2423"/>
    </row>
    <row r="35067" spans="6:6">
      <c r="F35067" s="2423"/>
    </row>
    <row r="35068" spans="6:6">
      <c r="F35068" s="2423"/>
    </row>
    <row r="35069" spans="6:6">
      <c r="F35069" s="2423"/>
    </row>
    <row r="35070" spans="6:6">
      <c r="F35070" s="2423"/>
    </row>
    <row r="35071" spans="6:6">
      <c r="F35071" s="2423"/>
    </row>
    <row r="35072" spans="6:6">
      <c r="F35072" s="2423"/>
    </row>
    <row r="35073" spans="6:6">
      <c r="F35073" s="2423"/>
    </row>
    <row r="35074" spans="6:6">
      <c r="F35074" s="2423"/>
    </row>
    <row r="35075" spans="6:6">
      <c r="F35075" s="2423"/>
    </row>
    <row r="35076" spans="6:6">
      <c r="F35076" s="2423"/>
    </row>
    <row r="35077" spans="6:6">
      <c r="F35077" s="2423"/>
    </row>
    <row r="35078" spans="6:6">
      <c r="F35078" s="2423"/>
    </row>
    <row r="35079" spans="6:6">
      <c r="F35079" s="2423"/>
    </row>
    <row r="35080" spans="6:6">
      <c r="F35080" s="2423"/>
    </row>
    <row r="35081" spans="6:6">
      <c r="F35081" s="2423"/>
    </row>
    <row r="35082" spans="6:6">
      <c r="F35082" s="2423"/>
    </row>
    <row r="35083" spans="6:6">
      <c r="F35083" s="2423"/>
    </row>
    <row r="35084" spans="6:6">
      <c r="F35084" s="2423"/>
    </row>
    <row r="35085" spans="6:6">
      <c r="F35085" s="2423"/>
    </row>
    <row r="35086" spans="6:6">
      <c r="F35086" s="2423"/>
    </row>
    <row r="35087" spans="6:6">
      <c r="F35087" s="2423"/>
    </row>
    <row r="35088" spans="6:6">
      <c r="F35088" s="2423"/>
    </row>
    <row r="35089" spans="6:6">
      <c r="F35089" s="2423"/>
    </row>
    <row r="35090" spans="6:6">
      <c r="F35090" s="2423"/>
    </row>
    <row r="35091" spans="6:6">
      <c r="F35091" s="2423"/>
    </row>
    <row r="35092" spans="6:6">
      <c r="F35092" s="2423"/>
    </row>
    <row r="35093" spans="6:6">
      <c r="F35093" s="2423"/>
    </row>
    <row r="35094" spans="6:6">
      <c r="F35094" s="2423"/>
    </row>
    <row r="35095" spans="6:6">
      <c r="F35095" s="2423"/>
    </row>
    <row r="35096" spans="6:6">
      <c r="F35096" s="2423"/>
    </row>
    <row r="35097" spans="6:6">
      <c r="F35097" s="2423"/>
    </row>
    <row r="35098" spans="6:6">
      <c r="F35098" s="2423"/>
    </row>
    <row r="35099" spans="6:6">
      <c r="F35099" s="2423"/>
    </row>
    <row r="35100" spans="6:6">
      <c r="F35100" s="2423"/>
    </row>
    <row r="35101" spans="6:6">
      <c r="F35101" s="2423"/>
    </row>
    <row r="35102" spans="6:6">
      <c r="F35102" s="2423"/>
    </row>
    <row r="35103" spans="6:6">
      <c r="F35103" s="2423"/>
    </row>
    <row r="35104" spans="6:6">
      <c r="F35104" s="2423"/>
    </row>
    <row r="35105" spans="6:6">
      <c r="F35105" s="2423"/>
    </row>
    <row r="35106" spans="6:6">
      <c r="F35106" s="2423"/>
    </row>
    <row r="35107" spans="6:6">
      <c r="F35107" s="2423"/>
    </row>
    <row r="35108" spans="6:6">
      <c r="F35108" s="2423"/>
    </row>
    <row r="35109" spans="6:6">
      <c r="F35109" s="2423"/>
    </row>
    <row r="35110" spans="6:6">
      <c r="F35110" s="2423"/>
    </row>
    <row r="35111" spans="6:6">
      <c r="F35111" s="2423"/>
    </row>
    <row r="35112" spans="6:6">
      <c r="F35112" s="2423"/>
    </row>
    <row r="35113" spans="6:6">
      <c r="F35113" s="2423"/>
    </row>
    <row r="35114" spans="6:6">
      <c r="F35114" s="2423"/>
    </row>
    <row r="35115" spans="6:6">
      <c r="F35115" s="2423"/>
    </row>
    <row r="35116" spans="6:6">
      <c r="F35116" s="2423"/>
    </row>
    <row r="35117" spans="6:6">
      <c r="F35117" s="2423"/>
    </row>
    <row r="35118" spans="6:6">
      <c r="F35118" s="2423"/>
    </row>
    <row r="35119" spans="6:6">
      <c r="F35119" s="2423"/>
    </row>
    <row r="35120" spans="6:6">
      <c r="F35120" s="2423"/>
    </row>
    <row r="35121" spans="6:6">
      <c r="F35121" s="2423"/>
    </row>
    <row r="35122" spans="6:6">
      <c r="F35122" s="2423"/>
    </row>
    <row r="35123" spans="6:6">
      <c r="F35123" s="2423"/>
    </row>
    <row r="35124" spans="6:6">
      <c r="F35124" s="2423"/>
    </row>
    <row r="35125" spans="6:6">
      <c r="F35125" s="2423"/>
    </row>
    <row r="35126" spans="6:6">
      <c r="F35126" s="2423"/>
    </row>
    <row r="35127" spans="6:6">
      <c r="F35127" s="2423"/>
    </row>
    <row r="35128" spans="6:6">
      <c r="F35128" s="2423"/>
    </row>
    <row r="35129" spans="6:6">
      <c r="F35129" s="2423"/>
    </row>
    <row r="35130" spans="6:6">
      <c r="F35130" s="2423"/>
    </row>
    <row r="35131" spans="6:6">
      <c r="F35131" s="2423"/>
    </row>
    <row r="35132" spans="6:6">
      <c r="F35132" s="2423"/>
    </row>
    <row r="35133" spans="6:6">
      <c r="F35133" s="2423"/>
    </row>
    <row r="35134" spans="6:6">
      <c r="F35134" s="2423"/>
    </row>
    <row r="35135" spans="6:6">
      <c r="F35135" s="2423"/>
    </row>
    <row r="35136" spans="6:6">
      <c r="F35136" s="2423"/>
    </row>
    <row r="35137" spans="6:6">
      <c r="F35137" s="2423"/>
    </row>
    <row r="35138" spans="6:6">
      <c r="F35138" s="2423"/>
    </row>
    <row r="35139" spans="6:6">
      <c r="F35139" s="2423"/>
    </row>
    <row r="35140" spans="6:6">
      <c r="F35140" s="2423"/>
    </row>
    <row r="35141" spans="6:6">
      <c r="F35141" s="2423"/>
    </row>
    <row r="35142" spans="6:6">
      <c r="F35142" s="2423"/>
    </row>
    <row r="35143" spans="6:6">
      <c r="F35143" s="2423"/>
    </row>
    <row r="35144" spans="6:6">
      <c r="F35144" s="2423"/>
    </row>
    <row r="35145" spans="6:6">
      <c r="F35145" s="2423"/>
    </row>
    <row r="35146" spans="6:6">
      <c r="F35146" s="2423"/>
    </row>
    <row r="35147" spans="6:6">
      <c r="F35147" s="2423"/>
    </row>
    <row r="35148" spans="6:6">
      <c r="F35148" s="2423"/>
    </row>
    <row r="35149" spans="6:6">
      <c r="F35149" s="2423"/>
    </row>
    <row r="35150" spans="6:6">
      <c r="F35150" s="2423"/>
    </row>
    <row r="35151" spans="6:6">
      <c r="F35151" s="2423"/>
    </row>
    <row r="35152" spans="6:6">
      <c r="F35152" s="2423"/>
    </row>
    <row r="35153" spans="6:6">
      <c r="F35153" s="2423"/>
    </row>
    <row r="35154" spans="6:6">
      <c r="F35154" s="2423"/>
    </row>
    <row r="35155" spans="6:6">
      <c r="F35155" s="2423"/>
    </row>
    <row r="35156" spans="6:6">
      <c r="F35156" s="2423"/>
    </row>
    <row r="35157" spans="6:6">
      <c r="F35157" s="2423"/>
    </row>
    <row r="35158" spans="6:6">
      <c r="F35158" s="2423"/>
    </row>
    <row r="35159" spans="6:6">
      <c r="F35159" s="2423"/>
    </row>
    <row r="35160" spans="6:6">
      <c r="F35160" s="2423"/>
    </row>
    <row r="35161" spans="6:6">
      <c r="F35161" s="2423"/>
    </row>
    <row r="35162" spans="6:6">
      <c r="F35162" s="2423"/>
    </row>
    <row r="35163" spans="6:6">
      <c r="F35163" s="2423"/>
    </row>
    <row r="35164" spans="6:6">
      <c r="F35164" s="2423"/>
    </row>
    <row r="35165" spans="6:6">
      <c r="F35165" s="2423"/>
    </row>
    <row r="35166" spans="6:6">
      <c r="F35166" s="2423"/>
    </row>
    <row r="35167" spans="6:6">
      <c r="F35167" s="2423"/>
    </row>
    <row r="35168" spans="6:6">
      <c r="F35168" s="2423"/>
    </row>
    <row r="35169" spans="6:6">
      <c r="F35169" s="2423"/>
    </row>
    <row r="35170" spans="6:6">
      <c r="F35170" s="2423"/>
    </row>
    <row r="35171" spans="6:6">
      <c r="F35171" s="2423"/>
    </row>
    <row r="35172" spans="6:6">
      <c r="F35172" s="2423"/>
    </row>
    <row r="35173" spans="6:6">
      <c r="F35173" s="2423"/>
    </row>
    <row r="35174" spans="6:6">
      <c r="F35174" s="2423"/>
    </row>
    <row r="35175" spans="6:6">
      <c r="F35175" s="2423"/>
    </row>
    <row r="35176" spans="6:6">
      <c r="F35176" s="2423"/>
    </row>
    <row r="35177" spans="6:6">
      <c r="F35177" s="2423"/>
    </row>
    <row r="35178" spans="6:6">
      <c r="F35178" s="2423"/>
    </row>
    <row r="35179" spans="6:6">
      <c r="F35179" s="2423"/>
    </row>
    <row r="35180" spans="6:6">
      <c r="F35180" s="2423"/>
    </row>
    <row r="35181" spans="6:6">
      <c r="F35181" s="2423"/>
    </row>
    <row r="35182" spans="6:6">
      <c r="F35182" s="2423"/>
    </row>
    <row r="35183" spans="6:6">
      <c r="F35183" s="2423"/>
    </row>
    <row r="35184" spans="6:6">
      <c r="F35184" s="2423"/>
    </row>
    <row r="35185" spans="6:6">
      <c r="F35185" s="2423"/>
    </row>
    <row r="35186" spans="6:6">
      <c r="F35186" s="2423"/>
    </row>
    <row r="35187" spans="6:6">
      <c r="F35187" s="2423"/>
    </row>
    <row r="35188" spans="6:6">
      <c r="F35188" s="2423"/>
    </row>
    <row r="35189" spans="6:6">
      <c r="F35189" s="2423"/>
    </row>
    <row r="35190" spans="6:6">
      <c r="F35190" s="2423"/>
    </row>
    <row r="35191" spans="6:6">
      <c r="F35191" s="2423"/>
    </row>
    <row r="35192" spans="6:6">
      <c r="F35192" s="2423"/>
    </row>
    <row r="35193" spans="6:6">
      <c r="F35193" s="2423"/>
    </row>
    <row r="35194" spans="6:6">
      <c r="F35194" s="2423"/>
    </row>
    <row r="35195" spans="6:6">
      <c r="F35195" s="2423"/>
    </row>
    <row r="35196" spans="6:6">
      <c r="F35196" s="2423"/>
    </row>
    <row r="35197" spans="6:6">
      <c r="F35197" s="2423"/>
    </row>
    <row r="35198" spans="6:6">
      <c r="F35198" s="2423"/>
    </row>
    <row r="35199" spans="6:6">
      <c r="F35199" s="2423"/>
    </row>
    <row r="35200" spans="6:6">
      <c r="F35200" s="2423"/>
    </row>
    <row r="35201" spans="6:6">
      <c r="F35201" s="2423"/>
    </row>
    <row r="35202" spans="6:6">
      <c r="F35202" s="2423"/>
    </row>
    <row r="35203" spans="6:6">
      <c r="F35203" s="2423"/>
    </row>
    <row r="35204" spans="6:6">
      <c r="F35204" s="2423"/>
    </row>
    <row r="35205" spans="6:6">
      <c r="F35205" s="2423"/>
    </row>
    <row r="35206" spans="6:6">
      <c r="F35206" s="2423"/>
    </row>
    <row r="35207" spans="6:6">
      <c r="F35207" s="2423"/>
    </row>
    <row r="35208" spans="6:6">
      <c r="F35208" s="2423"/>
    </row>
    <row r="35209" spans="6:6">
      <c r="F35209" s="2423"/>
    </row>
    <row r="35210" spans="6:6">
      <c r="F35210" s="2423"/>
    </row>
    <row r="35211" spans="6:6">
      <c r="F35211" s="2423"/>
    </row>
    <row r="35212" spans="6:6">
      <c r="F35212" s="2423"/>
    </row>
    <row r="35213" spans="6:6">
      <c r="F35213" s="2423"/>
    </row>
    <row r="35214" spans="6:6">
      <c r="F35214" s="2423"/>
    </row>
    <row r="35215" spans="6:6">
      <c r="F35215" s="2423"/>
    </row>
    <row r="35216" spans="6:6">
      <c r="F35216" s="2423"/>
    </row>
    <row r="35217" spans="6:6">
      <c r="F35217" s="2423"/>
    </row>
    <row r="35218" spans="6:6">
      <c r="F35218" s="2423"/>
    </row>
    <row r="35219" spans="6:6">
      <c r="F35219" s="2423"/>
    </row>
    <row r="35220" spans="6:6">
      <c r="F35220" s="2423"/>
    </row>
    <row r="35221" spans="6:6">
      <c r="F35221" s="2423"/>
    </row>
    <row r="35222" spans="6:6">
      <c r="F35222" s="2423"/>
    </row>
    <row r="35223" spans="6:6">
      <c r="F35223" s="2423"/>
    </row>
    <row r="35224" spans="6:6">
      <c r="F35224" s="2423"/>
    </row>
    <row r="35225" spans="6:6">
      <c r="F35225" s="2423"/>
    </row>
    <row r="35226" spans="6:6">
      <c r="F35226" s="2423"/>
    </row>
    <row r="35227" spans="6:6">
      <c r="F35227" s="2423"/>
    </row>
    <row r="35228" spans="6:6">
      <c r="F35228" s="2423"/>
    </row>
    <row r="35229" spans="6:6">
      <c r="F35229" s="2423"/>
    </row>
    <row r="35230" spans="6:6">
      <c r="F35230" s="2423"/>
    </row>
    <row r="35231" spans="6:6">
      <c r="F35231" s="2423"/>
    </row>
    <row r="35232" spans="6:6">
      <c r="F35232" s="2423"/>
    </row>
    <row r="35233" spans="6:6">
      <c r="F35233" s="2423"/>
    </row>
    <row r="35234" spans="6:6">
      <c r="F35234" s="2423"/>
    </row>
    <row r="35235" spans="6:6">
      <c r="F35235" s="2423"/>
    </row>
    <row r="35236" spans="6:6">
      <c r="F35236" s="2423"/>
    </row>
    <row r="35237" spans="6:6">
      <c r="F35237" s="2423"/>
    </row>
    <row r="35238" spans="6:6">
      <c r="F35238" s="2423"/>
    </row>
    <row r="35239" spans="6:6">
      <c r="F35239" s="2423"/>
    </row>
    <row r="35240" spans="6:6">
      <c r="F35240" s="2423"/>
    </row>
    <row r="35241" spans="6:6">
      <c r="F35241" s="2423"/>
    </row>
    <row r="35242" spans="6:6">
      <c r="F35242" s="2423"/>
    </row>
    <row r="35243" spans="6:6">
      <c r="F35243" s="2423"/>
    </row>
    <row r="35244" spans="6:6">
      <c r="F35244" s="2423"/>
    </row>
    <row r="35245" spans="6:6">
      <c r="F35245" s="2423"/>
    </row>
    <row r="35246" spans="6:6">
      <c r="F35246" s="2423"/>
    </row>
    <row r="35247" spans="6:6">
      <c r="F35247" s="2423"/>
    </row>
    <row r="35248" spans="6:6">
      <c r="F35248" s="2423"/>
    </row>
    <row r="35249" spans="6:6">
      <c r="F35249" s="2423"/>
    </row>
    <row r="35250" spans="6:6">
      <c r="F35250" s="2423"/>
    </row>
    <row r="35251" spans="6:6">
      <c r="F35251" s="2423"/>
    </row>
    <row r="35252" spans="6:6">
      <c r="F35252" s="2423"/>
    </row>
    <row r="35253" spans="6:6">
      <c r="F35253" s="2423"/>
    </row>
    <row r="35254" spans="6:6">
      <c r="F35254" s="2423"/>
    </row>
    <row r="35255" spans="6:6">
      <c r="F35255" s="2423"/>
    </row>
    <row r="35256" spans="6:6">
      <c r="F35256" s="2423"/>
    </row>
    <row r="35257" spans="6:6">
      <c r="F35257" s="2423"/>
    </row>
    <row r="35258" spans="6:6">
      <c r="F35258" s="2423"/>
    </row>
    <row r="35259" spans="6:6">
      <c r="F35259" s="2423"/>
    </row>
    <row r="35260" spans="6:6">
      <c r="F35260" s="2423"/>
    </row>
    <row r="35261" spans="6:6">
      <c r="F35261" s="2423"/>
    </row>
    <row r="35262" spans="6:6">
      <c r="F35262" s="2423"/>
    </row>
    <row r="35263" spans="6:6">
      <c r="F35263" s="2423"/>
    </row>
    <row r="35264" spans="6:6">
      <c r="F35264" s="2423"/>
    </row>
    <row r="35265" spans="6:6">
      <c r="F35265" s="2423"/>
    </row>
    <row r="35266" spans="6:6">
      <c r="F35266" s="2423"/>
    </row>
    <row r="35267" spans="6:6">
      <c r="F35267" s="2423"/>
    </row>
    <row r="35268" spans="6:6">
      <c r="F35268" s="2423"/>
    </row>
    <row r="35269" spans="6:6">
      <c r="F35269" s="2423"/>
    </row>
    <row r="35270" spans="6:6">
      <c r="F35270" s="2423"/>
    </row>
    <row r="35271" spans="6:6">
      <c r="F35271" s="2423"/>
    </row>
    <row r="35272" spans="6:6">
      <c r="F35272" s="2423"/>
    </row>
    <row r="35273" spans="6:6">
      <c r="F35273" s="2423"/>
    </row>
    <row r="35274" spans="6:6">
      <c r="F35274" s="2423"/>
    </row>
    <row r="35275" spans="6:6">
      <c r="F35275" s="2423"/>
    </row>
    <row r="35276" spans="6:6">
      <c r="F35276" s="2423"/>
    </row>
    <row r="35277" spans="6:6">
      <c r="F35277" s="2423"/>
    </row>
    <row r="35278" spans="6:6">
      <c r="F35278" s="2423"/>
    </row>
    <row r="35279" spans="6:6">
      <c r="F35279" s="2423"/>
    </row>
    <row r="35280" spans="6:6">
      <c r="F35280" s="2423"/>
    </row>
    <row r="35281" spans="6:6">
      <c r="F35281" s="2423"/>
    </row>
    <row r="35282" spans="6:6">
      <c r="F35282" s="2423"/>
    </row>
    <row r="35283" spans="6:6">
      <c r="F35283" s="2423"/>
    </row>
    <row r="35284" spans="6:6">
      <c r="F35284" s="2423"/>
    </row>
    <row r="35285" spans="6:6">
      <c r="F35285" s="2423"/>
    </row>
    <row r="35286" spans="6:6">
      <c r="F35286" s="2423"/>
    </row>
    <row r="35287" spans="6:6">
      <c r="F35287" s="2423"/>
    </row>
    <row r="35288" spans="6:6">
      <c r="F35288" s="2423"/>
    </row>
    <row r="35289" spans="6:6">
      <c r="F35289" s="2423"/>
    </row>
    <row r="35290" spans="6:6">
      <c r="F35290" s="2423"/>
    </row>
    <row r="35291" spans="6:6">
      <c r="F35291" s="2423"/>
    </row>
    <row r="35292" spans="6:6">
      <c r="F35292" s="2423"/>
    </row>
    <row r="35293" spans="6:6">
      <c r="F35293" s="2423"/>
    </row>
    <row r="35294" spans="6:6">
      <c r="F35294" s="2423"/>
    </row>
    <row r="35295" spans="6:6">
      <c r="F35295" s="2423"/>
    </row>
    <row r="35296" spans="6:6">
      <c r="F35296" s="2423"/>
    </row>
    <row r="35297" spans="6:6">
      <c r="F35297" s="2423"/>
    </row>
    <row r="35298" spans="6:6">
      <c r="F35298" s="2423"/>
    </row>
    <row r="35299" spans="6:6">
      <c r="F35299" s="2423"/>
    </row>
    <row r="35300" spans="6:6">
      <c r="F35300" s="2423"/>
    </row>
    <row r="35301" spans="6:6">
      <c r="F35301" s="2423"/>
    </row>
    <row r="35302" spans="6:6">
      <c r="F35302" s="2423"/>
    </row>
    <row r="35303" spans="6:6">
      <c r="F35303" s="2423"/>
    </row>
    <row r="35304" spans="6:6">
      <c r="F35304" s="2423"/>
    </row>
    <row r="35305" spans="6:6">
      <c r="F35305" s="2423"/>
    </row>
    <row r="35306" spans="6:6">
      <c r="F35306" s="2423"/>
    </row>
    <row r="35307" spans="6:6">
      <c r="F35307" s="2423"/>
    </row>
    <row r="35308" spans="6:6">
      <c r="F35308" s="2423"/>
    </row>
    <row r="35309" spans="6:6">
      <c r="F35309" s="2423"/>
    </row>
    <row r="35310" spans="6:6">
      <c r="F35310" s="2423"/>
    </row>
    <row r="35311" spans="6:6">
      <c r="F35311" s="2423"/>
    </row>
    <row r="35312" spans="6:6">
      <c r="F35312" s="2423"/>
    </row>
    <row r="35313" spans="6:6">
      <c r="F35313" s="2423"/>
    </row>
    <row r="35314" spans="6:6">
      <c r="F35314" s="2423"/>
    </row>
    <row r="35315" spans="6:6">
      <c r="F35315" s="2423"/>
    </row>
    <row r="35316" spans="6:6">
      <c r="F35316" s="2423"/>
    </row>
    <row r="35317" spans="6:6">
      <c r="F35317" s="2423"/>
    </row>
    <row r="35318" spans="6:6">
      <c r="F35318" s="2423"/>
    </row>
    <row r="35319" spans="6:6">
      <c r="F35319" s="2423"/>
    </row>
    <row r="35320" spans="6:6">
      <c r="F35320" s="2423"/>
    </row>
    <row r="35321" spans="6:6">
      <c r="F35321" s="2423"/>
    </row>
    <row r="35322" spans="6:6">
      <c r="F35322" s="2423"/>
    </row>
    <row r="35323" spans="6:6">
      <c r="F35323" s="2423"/>
    </row>
    <row r="35324" spans="6:6">
      <c r="F35324" s="2423"/>
    </row>
    <row r="35325" spans="6:6">
      <c r="F35325" s="2423"/>
    </row>
    <row r="35326" spans="6:6">
      <c r="F35326" s="2423"/>
    </row>
    <row r="35327" spans="6:6">
      <c r="F35327" s="2423"/>
    </row>
    <row r="35328" spans="6:6">
      <c r="F35328" s="2423"/>
    </row>
    <row r="35329" spans="6:6">
      <c r="F35329" s="2423"/>
    </row>
    <row r="35330" spans="6:6">
      <c r="F35330" s="2423"/>
    </row>
    <row r="35331" spans="6:6">
      <c r="F35331" s="2423"/>
    </row>
    <row r="35332" spans="6:6">
      <c r="F35332" s="2423"/>
    </row>
    <row r="35333" spans="6:6">
      <c r="F35333" s="2423"/>
    </row>
    <row r="35334" spans="6:6">
      <c r="F35334" s="2423"/>
    </row>
    <row r="35335" spans="6:6">
      <c r="F35335" s="2423"/>
    </row>
    <row r="35336" spans="6:6">
      <c r="F35336" s="2423"/>
    </row>
    <row r="35337" spans="6:6">
      <c r="F35337" s="2423"/>
    </row>
    <row r="35338" spans="6:6">
      <c r="F35338" s="2423"/>
    </row>
    <row r="35339" spans="6:6">
      <c r="F35339" s="2423"/>
    </row>
    <row r="35340" spans="6:6">
      <c r="F35340" s="2423"/>
    </row>
    <row r="35341" spans="6:6">
      <c r="F35341" s="2423"/>
    </row>
    <row r="35342" spans="6:6">
      <c r="F35342" s="2423"/>
    </row>
    <row r="35343" spans="6:6">
      <c r="F35343" s="2423"/>
    </row>
    <row r="35344" spans="6:6">
      <c r="F35344" s="2423"/>
    </row>
    <row r="35345" spans="6:6">
      <c r="F35345" s="2423"/>
    </row>
    <row r="35346" spans="6:6">
      <c r="F35346" s="2423"/>
    </row>
    <row r="35347" spans="6:6">
      <c r="F35347" s="2423"/>
    </row>
    <row r="35348" spans="6:6">
      <c r="F35348" s="2423"/>
    </row>
    <row r="35349" spans="6:6">
      <c r="F35349" s="2423"/>
    </row>
    <row r="35350" spans="6:6">
      <c r="F35350" s="2423"/>
    </row>
    <row r="35351" spans="6:6">
      <c r="F35351" s="2423"/>
    </row>
    <row r="35352" spans="6:6">
      <c r="F35352" s="2423"/>
    </row>
    <row r="35353" spans="6:6">
      <c r="F35353" s="2423"/>
    </row>
    <row r="35354" spans="6:6">
      <c r="F35354" s="2423"/>
    </row>
    <row r="35355" spans="6:6">
      <c r="F35355" s="2423"/>
    </row>
    <row r="35356" spans="6:6">
      <c r="F35356" s="2423"/>
    </row>
    <row r="35357" spans="6:6">
      <c r="F35357" s="2423"/>
    </row>
    <row r="35358" spans="6:6">
      <c r="F35358" s="2423"/>
    </row>
    <row r="35359" spans="6:6">
      <c r="F35359" s="2423"/>
    </row>
    <row r="35360" spans="6:6">
      <c r="F35360" s="2423"/>
    </row>
    <row r="35361" spans="6:6">
      <c r="F35361" s="2423"/>
    </row>
    <row r="35362" spans="6:6">
      <c r="F35362" s="2423"/>
    </row>
    <row r="35363" spans="6:6">
      <c r="F35363" s="2423"/>
    </row>
    <row r="35364" spans="6:6">
      <c r="F35364" s="2423"/>
    </row>
    <row r="35365" spans="6:6">
      <c r="F35365" s="2423"/>
    </row>
    <row r="35366" spans="6:6">
      <c r="F35366" s="2423"/>
    </row>
    <row r="35367" spans="6:6">
      <c r="F35367" s="2423"/>
    </row>
    <row r="35368" spans="6:6">
      <c r="F35368" s="2423"/>
    </row>
    <row r="35369" spans="6:6">
      <c r="F35369" s="2423"/>
    </row>
    <row r="35370" spans="6:6">
      <c r="F35370" s="2423"/>
    </row>
    <row r="35371" spans="6:6">
      <c r="F35371" s="2423"/>
    </row>
    <row r="35372" spans="6:6">
      <c r="F35372" s="2423"/>
    </row>
    <row r="35373" spans="6:6">
      <c r="F35373" s="2423"/>
    </row>
    <row r="35374" spans="6:6">
      <c r="F35374" s="2423"/>
    </row>
    <row r="35375" spans="6:6">
      <c r="F35375" s="2423"/>
    </row>
    <row r="35376" spans="6:6">
      <c r="F35376" s="2423"/>
    </row>
    <row r="35377" spans="6:6">
      <c r="F35377" s="2423"/>
    </row>
    <row r="35378" spans="6:6">
      <c r="F35378" s="2423"/>
    </row>
    <row r="35379" spans="6:6">
      <c r="F35379" s="2423"/>
    </row>
    <row r="35380" spans="6:6">
      <c r="F35380" s="2423"/>
    </row>
    <row r="35381" spans="6:6">
      <c r="F35381" s="2423"/>
    </row>
    <row r="35382" spans="6:6">
      <c r="F35382" s="2423"/>
    </row>
    <row r="35383" spans="6:6">
      <c r="F35383" s="2423"/>
    </row>
    <row r="35384" spans="6:6">
      <c r="F35384" s="2423"/>
    </row>
    <row r="35385" spans="6:6">
      <c r="F35385" s="2423"/>
    </row>
    <row r="35386" spans="6:6">
      <c r="F35386" s="2423"/>
    </row>
    <row r="35387" spans="6:6">
      <c r="F35387" s="2423"/>
    </row>
    <row r="35388" spans="6:6">
      <c r="F35388" s="2423"/>
    </row>
    <row r="35389" spans="6:6">
      <c r="F35389" s="2423"/>
    </row>
    <row r="35390" spans="6:6">
      <c r="F35390" s="2423"/>
    </row>
    <row r="35391" spans="6:6">
      <c r="F35391" s="2423"/>
    </row>
    <row r="35392" spans="6:6">
      <c r="F35392" s="2423"/>
    </row>
    <row r="35393" spans="6:6">
      <c r="F35393" s="2423"/>
    </row>
    <row r="35394" spans="6:6">
      <c r="F35394" s="2423"/>
    </row>
    <row r="35395" spans="6:6">
      <c r="F35395" s="2423"/>
    </row>
    <row r="35396" spans="6:6">
      <c r="F35396" s="2423"/>
    </row>
    <row r="35397" spans="6:6">
      <c r="F35397" s="2423"/>
    </row>
    <row r="35398" spans="6:6">
      <c r="F35398" s="2423"/>
    </row>
    <row r="35399" spans="6:6">
      <c r="F35399" s="2423"/>
    </row>
    <row r="35400" spans="6:6">
      <c r="F35400" s="2423"/>
    </row>
    <row r="35401" spans="6:6">
      <c r="F35401" s="2423"/>
    </row>
    <row r="35402" spans="6:6">
      <c r="F35402" s="2423"/>
    </row>
    <row r="35403" spans="6:6">
      <c r="F35403" s="2423"/>
    </row>
    <row r="35404" spans="6:6">
      <c r="F35404" s="2423"/>
    </row>
    <row r="35405" spans="6:6">
      <c r="F35405" s="2423"/>
    </row>
    <row r="35406" spans="6:6">
      <c r="F35406" s="2423"/>
    </row>
    <row r="35407" spans="6:6">
      <c r="F35407" s="2423"/>
    </row>
    <row r="35408" spans="6:6">
      <c r="F35408" s="2423"/>
    </row>
    <row r="35409" spans="6:6">
      <c r="F35409" s="2423"/>
    </row>
    <row r="35410" spans="6:6">
      <c r="F35410" s="2423"/>
    </row>
    <row r="35411" spans="6:6">
      <c r="F35411" s="2423"/>
    </row>
    <row r="35412" spans="6:6">
      <c r="F35412" s="2423"/>
    </row>
    <row r="35413" spans="6:6">
      <c r="F35413" s="2423"/>
    </row>
    <row r="35414" spans="6:6">
      <c r="F35414" s="2423"/>
    </row>
    <row r="35415" spans="6:6">
      <c r="F35415" s="2423"/>
    </row>
    <row r="35416" spans="6:6">
      <c r="F35416" s="2423"/>
    </row>
    <row r="35417" spans="6:6">
      <c r="F35417" s="2423"/>
    </row>
    <row r="35418" spans="6:6">
      <c r="F35418" s="2423"/>
    </row>
    <row r="35419" spans="6:6">
      <c r="F35419" s="2423"/>
    </row>
    <row r="35420" spans="6:6">
      <c r="F35420" s="2423"/>
    </row>
    <row r="35421" spans="6:6">
      <c r="F35421" s="2423"/>
    </row>
    <row r="35422" spans="6:6">
      <c r="F35422" s="2423"/>
    </row>
    <row r="35423" spans="6:6">
      <c r="F35423" s="2423"/>
    </row>
    <row r="35424" spans="6:6">
      <c r="F35424" s="2423"/>
    </row>
    <row r="35425" spans="6:6">
      <c r="F35425" s="2423"/>
    </row>
    <row r="35426" spans="6:6">
      <c r="F35426" s="2423"/>
    </row>
    <row r="35427" spans="6:6">
      <c r="F35427" s="2423"/>
    </row>
    <row r="35428" spans="6:6">
      <c r="F35428" s="2423"/>
    </row>
    <row r="35429" spans="6:6">
      <c r="F35429" s="2423"/>
    </row>
    <row r="35430" spans="6:6">
      <c r="F35430" s="2423"/>
    </row>
    <row r="35431" spans="6:6">
      <c r="F35431" s="2423"/>
    </row>
    <row r="35432" spans="6:6">
      <c r="F35432" s="2423"/>
    </row>
    <row r="35433" spans="6:6">
      <c r="F35433" s="2423"/>
    </row>
    <row r="35434" spans="6:6">
      <c r="F35434" s="2423"/>
    </row>
    <row r="35435" spans="6:6">
      <c r="F35435" s="2423"/>
    </row>
    <row r="35436" spans="6:6">
      <c r="F35436" s="2423"/>
    </row>
    <row r="35437" spans="6:6">
      <c r="F35437" s="2423"/>
    </row>
    <row r="35438" spans="6:6">
      <c r="F35438" s="2423"/>
    </row>
    <row r="35439" spans="6:6">
      <c r="F35439" s="2423"/>
    </row>
    <row r="35440" spans="6:6">
      <c r="F35440" s="2423"/>
    </row>
    <row r="35441" spans="6:6">
      <c r="F35441" s="2423"/>
    </row>
    <row r="35442" spans="6:6">
      <c r="F35442" s="2423"/>
    </row>
    <row r="35443" spans="6:6">
      <c r="F35443" s="2423"/>
    </row>
    <row r="35444" spans="6:6">
      <c r="F35444" s="2423"/>
    </row>
    <row r="35445" spans="6:6">
      <c r="F35445" s="2423"/>
    </row>
    <row r="35446" spans="6:6">
      <c r="F35446" s="2423"/>
    </row>
    <row r="35447" spans="6:6">
      <c r="F35447" s="2423"/>
    </row>
    <row r="35448" spans="6:6">
      <c r="F35448" s="2423"/>
    </row>
    <row r="35449" spans="6:6">
      <c r="F35449" s="2423"/>
    </row>
    <row r="35450" spans="6:6">
      <c r="F35450" s="2423"/>
    </row>
    <row r="35451" spans="6:6">
      <c r="F35451" s="2423"/>
    </row>
    <row r="35452" spans="6:6">
      <c r="F35452" s="2423"/>
    </row>
    <row r="35453" spans="6:6">
      <c r="F35453" s="2423"/>
    </row>
    <row r="35454" spans="6:6">
      <c r="F35454" s="2423"/>
    </row>
    <row r="35455" spans="6:6">
      <c r="F35455" s="2423"/>
    </row>
    <row r="35456" spans="6:6">
      <c r="F35456" s="2423"/>
    </row>
    <row r="35457" spans="6:6">
      <c r="F35457" s="2423"/>
    </row>
    <row r="35458" spans="6:6">
      <c r="F35458" s="2423"/>
    </row>
    <row r="35459" spans="6:6">
      <c r="F35459" s="2423"/>
    </row>
    <row r="35460" spans="6:6">
      <c r="F35460" s="2423"/>
    </row>
    <row r="35461" spans="6:6">
      <c r="F35461" s="2423"/>
    </row>
    <row r="35462" spans="6:6">
      <c r="F35462" s="2423"/>
    </row>
    <row r="35463" spans="6:6">
      <c r="F35463" s="2423"/>
    </row>
    <row r="35464" spans="6:6">
      <c r="F35464" s="2423"/>
    </row>
    <row r="35465" spans="6:6">
      <c r="F35465" s="2423"/>
    </row>
    <row r="35466" spans="6:6">
      <c r="F35466" s="2423"/>
    </row>
    <row r="35467" spans="6:6">
      <c r="F35467" s="2423"/>
    </row>
    <row r="35468" spans="6:6">
      <c r="F35468" s="2423"/>
    </row>
    <row r="35469" spans="6:6">
      <c r="F35469" s="2423"/>
    </row>
    <row r="35470" spans="6:6">
      <c r="F35470" s="2423"/>
    </row>
    <row r="35471" spans="6:6">
      <c r="F35471" s="2423"/>
    </row>
    <row r="35472" spans="6:6">
      <c r="F35472" s="2423"/>
    </row>
    <row r="35473" spans="6:6">
      <c r="F35473" s="2423"/>
    </row>
    <row r="35474" spans="6:6">
      <c r="F35474" s="2423"/>
    </row>
    <row r="35475" spans="6:6">
      <c r="F35475" s="2423"/>
    </row>
    <row r="35476" spans="6:6">
      <c r="F35476" s="2423"/>
    </row>
    <row r="35477" spans="6:6">
      <c r="F35477" s="2423"/>
    </row>
    <row r="35478" spans="6:6">
      <c r="F35478" s="2423"/>
    </row>
    <row r="35479" spans="6:6">
      <c r="F35479" s="2423"/>
    </row>
    <row r="35480" spans="6:6">
      <c r="F35480" s="2423"/>
    </row>
    <row r="35481" spans="6:6">
      <c r="F35481" s="2423"/>
    </row>
    <row r="35482" spans="6:6">
      <c r="F35482" s="2423"/>
    </row>
    <row r="35483" spans="6:6">
      <c r="F35483" s="2423"/>
    </row>
    <row r="35484" spans="6:6">
      <c r="F35484" s="2423"/>
    </row>
    <row r="35485" spans="6:6">
      <c r="F35485" s="2423"/>
    </row>
    <row r="35486" spans="6:6">
      <c r="F35486" s="2423"/>
    </row>
    <row r="35487" spans="6:6">
      <c r="F35487" s="2423"/>
    </row>
    <row r="35488" spans="6:6">
      <c r="F35488" s="2423"/>
    </row>
    <row r="35489" spans="6:6">
      <c r="F35489" s="2423"/>
    </row>
    <row r="35490" spans="6:6">
      <c r="F35490" s="2423"/>
    </row>
    <row r="35491" spans="6:6">
      <c r="F35491" s="2423"/>
    </row>
    <row r="35492" spans="6:6">
      <c r="F35492" s="2423"/>
    </row>
    <row r="35493" spans="6:6">
      <c r="F35493" s="2423"/>
    </row>
    <row r="35494" spans="6:6">
      <c r="F35494" s="2423"/>
    </row>
    <row r="35495" spans="6:6">
      <c r="F35495" s="2423"/>
    </row>
    <row r="35496" spans="6:6">
      <c r="F35496" s="2423"/>
    </row>
    <row r="35497" spans="6:6">
      <c r="F35497" s="2423"/>
    </row>
    <row r="35498" spans="6:6">
      <c r="F35498" s="2423"/>
    </row>
    <row r="35499" spans="6:6">
      <c r="F35499" s="2423"/>
    </row>
    <row r="35500" spans="6:6">
      <c r="F35500" s="2423"/>
    </row>
    <row r="35501" spans="6:6">
      <c r="F35501" s="2423"/>
    </row>
    <row r="35502" spans="6:6">
      <c r="F35502" s="2423"/>
    </row>
    <row r="35503" spans="6:6">
      <c r="F35503" s="2423"/>
    </row>
    <row r="35504" spans="6:6">
      <c r="F35504" s="2423"/>
    </row>
    <row r="35505" spans="6:6">
      <c r="F35505" s="2423"/>
    </row>
    <row r="35506" spans="6:6">
      <c r="F35506" s="2423"/>
    </row>
    <row r="35507" spans="6:6">
      <c r="F35507" s="2423"/>
    </row>
    <row r="35508" spans="6:6">
      <c r="F35508" s="2423"/>
    </row>
    <row r="35509" spans="6:6">
      <c r="F35509" s="2423"/>
    </row>
    <row r="35510" spans="6:6">
      <c r="F35510" s="2423"/>
    </row>
    <row r="35511" spans="6:6">
      <c r="F35511" s="2423"/>
    </row>
    <row r="35512" spans="6:6">
      <c r="F35512" s="2423"/>
    </row>
    <row r="35513" spans="6:6">
      <c r="F35513" s="2423"/>
    </row>
    <row r="35514" spans="6:6">
      <c r="F35514" s="2423"/>
    </row>
    <row r="35515" spans="6:6">
      <c r="F35515" s="2423"/>
    </row>
    <row r="35516" spans="6:6">
      <c r="F35516" s="2423"/>
    </row>
    <row r="35517" spans="6:6">
      <c r="F35517" s="2423"/>
    </row>
    <row r="35518" spans="6:6">
      <c r="F35518" s="2423"/>
    </row>
    <row r="35519" spans="6:6">
      <c r="F35519" s="2423"/>
    </row>
    <row r="35520" spans="6:6">
      <c r="F35520" s="2423"/>
    </row>
    <row r="35521" spans="6:6">
      <c r="F35521" s="2423"/>
    </row>
    <row r="35522" spans="6:6">
      <c r="F35522" s="2423"/>
    </row>
    <row r="35523" spans="6:6">
      <c r="F35523" s="2423"/>
    </row>
    <row r="35524" spans="6:6">
      <c r="F35524" s="2423"/>
    </row>
    <row r="35525" spans="6:6">
      <c r="F35525" s="2423"/>
    </row>
    <row r="35526" spans="6:6">
      <c r="F35526" s="2423"/>
    </row>
    <row r="35527" spans="6:6">
      <c r="F35527" s="2423"/>
    </row>
    <row r="35528" spans="6:6">
      <c r="F35528" s="2423"/>
    </row>
    <row r="35529" spans="6:6">
      <c r="F35529" s="2423"/>
    </row>
    <row r="35530" spans="6:6">
      <c r="F35530" s="2423"/>
    </row>
    <row r="35531" spans="6:6">
      <c r="F35531" s="2423"/>
    </row>
    <row r="35532" spans="6:6">
      <c r="F35532" s="2423"/>
    </row>
    <row r="35533" spans="6:6">
      <c r="F35533" s="2423"/>
    </row>
    <row r="35534" spans="6:6">
      <c r="F35534" s="2423"/>
    </row>
    <row r="35535" spans="6:6">
      <c r="F35535" s="2423"/>
    </row>
    <row r="35536" spans="6:6">
      <c r="F35536" s="2423"/>
    </row>
    <row r="35537" spans="6:6">
      <c r="F35537" s="2423"/>
    </row>
    <row r="35538" spans="6:6">
      <c r="F35538" s="2423"/>
    </row>
    <row r="35539" spans="6:6">
      <c r="F35539" s="2423"/>
    </row>
    <row r="35540" spans="6:6">
      <c r="F35540" s="2423"/>
    </row>
    <row r="35541" spans="6:6">
      <c r="F35541" s="2423"/>
    </row>
    <row r="35542" spans="6:6">
      <c r="F35542" s="2423"/>
    </row>
    <row r="35543" spans="6:6">
      <c r="F35543" s="2423"/>
    </row>
    <row r="35544" spans="6:6">
      <c r="F35544" s="2423"/>
    </row>
    <row r="35545" spans="6:6">
      <c r="F35545" s="2423"/>
    </row>
    <row r="35546" spans="6:6">
      <c r="F35546" s="2423"/>
    </row>
    <row r="35547" spans="6:6">
      <c r="F35547" s="2423"/>
    </row>
    <row r="35548" spans="6:6">
      <c r="F35548" s="2423"/>
    </row>
    <row r="35549" spans="6:6">
      <c r="F35549" s="2423"/>
    </row>
    <row r="35550" spans="6:6">
      <c r="F35550" s="2423"/>
    </row>
    <row r="35551" spans="6:6">
      <c r="F35551" s="2423"/>
    </row>
    <row r="35552" spans="6:6">
      <c r="F35552" s="2423"/>
    </row>
    <row r="35553" spans="6:6">
      <c r="F35553" s="2423"/>
    </row>
    <row r="35554" spans="6:6">
      <c r="F35554" s="2423"/>
    </row>
    <row r="35555" spans="6:6">
      <c r="F35555" s="2423"/>
    </row>
    <row r="35556" spans="6:6">
      <c r="F35556" s="2423"/>
    </row>
    <row r="35557" spans="6:6">
      <c r="F35557" s="2423"/>
    </row>
    <row r="35558" spans="6:6">
      <c r="F35558" s="2423"/>
    </row>
    <row r="35559" spans="6:6">
      <c r="F35559" s="2423"/>
    </row>
    <row r="35560" spans="6:6">
      <c r="F35560" s="2423"/>
    </row>
    <row r="35561" spans="6:6">
      <c r="F35561" s="2423"/>
    </row>
    <row r="35562" spans="6:6">
      <c r="F35562" s="2423"/>
    </row>
    <row r="35563" spans="6:6">
      <c r="F35563" s="2423"/>
    </row>
    <row r="35564" spans="6:6">
      <c r="F35564" s="2423"/>
    </row>
    <row r="35565" spans="6:6">
      <c r="F35565" s="2423"/>
    </row>
    <row r="35566" spans="6:6">
      <c r="F35566" s="2423"/>
    </row>
    <row r="35567" spans="6:6">
      <c r="F35567" s="2423"/>
    </row>
    <row r="35568" spans="6:6">
      <c r="F35568" s="2423"/>
    </row>
    <row r="35569" spans="6:6">
      <c r="F35569" s="2423"/>
    </row>
    <row r="35570" spans="6:6">
      <c r="F35570" s="2423"/>
    </row>
    <row r="35571" spans="6:6">
      <c r="F35571" s="2423"/>
    </row>
    <row r="35572" spans="6:6">
      <c r="F35572" s="2423"/>
    </row>
    <row r="35573" spans="6:6">
      <c r="F35573" s="2423"/>
    </row>
    <row r="35574" spans="6:6">
      <c r="F35574" s="2423"/>
    </row>
    <row r="35575" spans="6:6">
      <c r="F35575" s="2423"/>
    </row>
    <row r="35576" spans="6:6">
      <c r="F35576" s="2423"/>
    </row>
    <row r="35577" spans="6:6">
      <c r="F35577" s="2423"/>
    </row>
    <row r="35578" spans="6:6">
      <c r="F35578" s="2423"/>
    </row>
    <row r="35579" spans="6:6">
      <c r="F35579" s="2423"/>
    </row>
    <row r="35580" spans="6:6">
      <c r="F35580" s="2423"/>
    </row>
    <row r="35581" spans="6:6">
      <c r="F35581" s="2423"/>
    </row>
    <row r="35582" spans="6:6">
      <c r="F35582" s="2423"/>
    </row>
    <row r="35583" spans="6:6">
      <c r="F35583" s="2423"/>
    </row>
    <row r="35584" spans="6:6">
      <c r="F35584" s="2423"/>
    </row>
    <row r="35585" spans="6:6">
      <c r="F35585" s="2423"/>
    </row>
    <row r="35586" spans="6:6">
      <c r="F35586" s="2423"/>
    </row>
    <row r="35587" spans="6:6">
      <c r="F35587" s="2423"/>
    </row>
    <row r="35588" spans="6:6">
      <c r="F35588" s="2423"/>
    </row>
    <row r="35589" spans="6:6">
      <c r="F35589" s="2423"/>
    </row>
    <row r="35590" spans="6:6">
      <c r="F35590" s="2423"/>
    </row>
    <row r="35591" spans="6:6">
      <c r="F35591" s="2423"/>
    </row>
    <row r="35592" spans="6:6">
      <c r="F35592" s="2423"/>
    </row>
    <row r="35593" spans="6:6">
      <c r="F35593" s="2423"/>
    </row>
    <row r="35594" spans="6:6">
      <c r="F35594" s="2423"/>
    </row>
    <row r="35595" spans="6:6">
      <c r="F35595" s="2423"/>
    </row>
    <row r="35596" spans="6:6">
      <c r="F35596" s="2423"/>
    </row>
    <row r="35597" spans="6:6">
      <c r="F35597" s="2423"/>
    </row>
    <row r="35598" spans="6:6">
      <c r="F35598" s="2423"/>
    </row>
    <row r="35599" spans="6:6">
      <c r="F35599" s="2423"/>
    </row>
    <row r="35600" spans="6:6">
      <c r="F35600" s="2423"/>
    </row>
    <row r="35601" spans="6:6">
      <c r="F35601" s="2423"/>
    </row>
    <row r="35602" spans="6:6">
      <c r="F35602" s="2423"/>
    </row>
    <row r="35603" spans="6:6">
      <c r="F35603" s="2423"/>
    </row>
    <row r="35604" spans="6:6">
      <c r="F35604" s="2423"/>
    </row>
    <row r="35605" spans="6:6">
      <c r="F35605" s="2423"/>
    </row>
    <row r="35606" spans="6:6">
      <c r="F35606" s="2423"/>
    </row>
    <row r="35607" spans="6:6">
      <c r="F35607" s="2423"/>
    </row>
    <row r="35608" spans="6:6">
      <c r="F35608" s="2423"/>
    </row>
    <row r="35609" spans="6:6">
      <c r="F35609" s="2423"/>
    </row>
    <row r="35610" spans="6:6">
      <c r="F35610" s="2423"/>
    </row>
    <row r="35611" spans="6:6">
      <c r="F35611" s="2423"/>
    </row>
    <row r="35612" spans="6:6">
      <c r="F35612" s="2423"/>
    </row>
    <row r="35613" spans="6:6">
      <c r="F35613" s="2423"/>
    </row>
    <row r="35614" spans="6:6">
      <c r="F35614" s="2423"/>
    </row>
    <row r="35615" spans="6:6">
      <c r="F35615" s="2423"/>
    </row>
    <row r="35616" spans="6:6">
      <c r="F35616" s="2423"/>
    </row>
    <row r="35617" spans="6:6">
      <c r="F35617" s="2423"/>
    </row>
    <row r="35618" spans="6:6">
      <c r="F35618" s="2423"/>
    </row>
    <row r="35619" spans="6:6">
      <c r="F35619" s="2423"/>
    </row>
    <row r="35620" spans="6:6">
      <c r="F35620" s="2423"/>
    </row>
    <row r="35621" spans="6:6">
      <c r="F35621" s="2423"/>
    </row>
    <row r="35622" spans="6:6">
      <c r="F35622" s="2423"/>
    </row>
    <row r="35623" spans="6:6">
      <c r="F35623" s="2423"/>
    </row>
    <row r="35624" spans="6:6">
      <c r="F35624" s="2423"/>
    </row>
    <row r="35625" spans="6:6">
      <c r="F35625" s="2423"/>
    </row>
    <row r="35626" spans="6:6">
      <c r="F35626" s="2423"/>
    </row>
    <row r="35627" spans="6:6">
      <c r="F35627" s="2423"/>
    </row>
    <row r="35628" spans="6:6">
      <c r="F35628" s="2423"/>
    </row>
    <row r="35629" spans="6:6">
      <c r="F35629" s="2423"/>
    </row>
    <row r="35630" spans="6:6">
      <c r="F35630" s="2423"/>
    </row>
    <row r="35631" spans="6:6">
      <c r="F35631" s="2423"/>
    </row>
    <row r="35632" spans="6:6">
      <c r="F35632" s="2423"/>
    </row>
    <row r="35633" spans="6:6">
      <c r="F35633" s="2423"/>
    </row>
    <row r="35634" spans="6:6">
      <c r="F35634" s="2423"/>
    </row>
    <row r="35635" spans="6:6">
      <c r="F35635" s="2423"/>
    </row>
    <row r="35636" spans="6:6">
      <c r="F35636" s="2423"/>
    </row>
    <row r="35637" spans="6:6">
      <c r="F35637" s="2423"/>
    </row>
    <row r="35638" spans="6:6">
      <c r="F35638" s="2423"/>
    </row>
    <row r="35639" spans="6:6">
      <c r="F35639" s="2423"/>
    </row>
    <row r="35640" spans="6:6">
      <c r="F35640" s="2423"/>
    </row>
    <row r="35641" spans="6:6">
      <c r="F35641" s="2423"/>
    </row>
    <row r="35642" spans="6:6">
      <c r="F35642" s="2423"/>
    </row>
    <row r="35643" spans="6:6">
      <c r="F35643" s="2423"/>
    </row>
    <row r="35644" spans="6:6">
      <c r="F35644" s="2423"/>
    </row>
    <row r="35645" spans="6:6">
      <c r="F35645" s="2423"/>
    </row>
    <row r="35646" spans="6:6">
      <c r="F35646" s="2423"/>
    </row>
    <row r="35647" spans="6:6">
      <c r="F35647" s="2423"/>
    </row>
    <row r="35648" spans="6:6">
      <c r="F35648" s="2423"/>
    </row>
    <row r="35649" spans="6:6">
      <c r="F35649" s="2423"/>
    </row>
    <row r="35650" spans="6:6">
      <c r="F35650" s="2423"/>
    </row>
    <row r="35651" spans="6:6">
      <c r="F35651" s="2423"/>
    </row>
    <row r="35652" spans="6:6">
      <c r="F35652" s="2423"/>
    </row>
    <row r="35653" spans="6:6">
      <c r="F35653" s="2423"/>
    </row>
    <row r="35654" spans="6:6">
      <c r="F35654" s="2423"/>
    </row>
    <row r="35655" spans="6:6">
      <c r="F35655" s="2423"/>
    </row>
    <row r="35656" spans="6:6">
      <c r="F35656" s="2423"/>
    </row>
    <row r="35657" spans="6:6">
      <c r="F35657" s="2423"/>
    </row>
    <row r="35658" spans="6:6">
      <c r="F35658" s="2423"/>
    </row>
    <row r="35659" spans="6:6">
      <c r="F35659" s="2423"/>
    </row>
    <row r="35660" spans="6:6">
      <c r="F35660" s="2423"/>
    </row>
    <row r="35661" spans="6:6">
      <c r="F35661" s="2423"/>
    </row>
    <row r="35662" spans="6:6">
      <c r="F35662" s="2423"/>
    </row>
    <row r="35663" spans="6:6">
      <c r="F35663" s="2423"/>
    </row>
    <row r="35664" spans="6:6">
      <c r="F35664" s="2423"/>
    </row>
    <row r="35665" spans="6:6">
      <c r="F35665" s="2423"/>
    </row>
    <row r="35666" spans="6:6">
      <c r="F35666" s="2423"/>
    </row>
    <row r="35667" spans="6:6">
      <c r="F35667" s="2423"/>
    </row>
    <row r="35668" spans="6:6">
      <c r="F35668" s="2423"/>
    </row>
    <row r="35669" spans="6:6">
      <c r="F35669" s="2423"/>
    </row>
    <row r="35670" spans="6:6">
      <c r="F35670" s="2423"/>
    </row>
    <row r="35671" spans="6:6">
      <c r="F35671" s="2423"/>
    </row>
    <row r="35672" spans="6:6">
      <c r="F35672" s="2423"/>
    </row>
    <row r="35673" spans="6:6">
      <c r="F35673" s="2423"/>
    </row>
    <row r="35674" spans="6:6">
      <c r="F35674" s="2423"/>
    </row>
    <row r="35675" spans="6:6">
      <c r="F35675" s="2423"/>
    </row>
    <row r="35676" spans="6:6">
      <c r="F35676" s="2423"/>
    </row>
    <row r="35677" spans="6:6">
      <c r="F35677" s="2423"/>
    </row>
    <row r="35678" spans="6:6">
      <c r="F35678" s="2423"/>
    </row>
    <row r="35679" spans="6:6">
      <c r="F35679" s="2423"/>
    </row>
    <row r="35680" spans="6:6">
      <c r="F35680" s="2423"/>
    </row>
    <row r="35681" spans="6:6">
      <c r="F35681" s="2423"/>
    </row>
    <row r="35682" spans="6:6">
      <c r="F35682" s="2423"/>
    </row>
    <row r="35683" spans="6:6">
      <c r="F35683" s="2423"/>
    </row>
    <row r="35684" spans="6:6">
      <c r="F35684" s="2423"/>
    </row>
    <row r="35685" spans="6:6">
      <c r="F35685" s="2423"/>
    </row>
    <row r="35686" spans="6:6">
      <c r="F35686" s="2423"/>
    </row>
    <row r="35687" spans="6:6">
      <c r="F35687" s="2423"/>
    </row>
    <row r="35688" spans="6:6">
      <c r="F35688" s="2423"/>
    </row>
    <row r="35689" spans="6:6">
      <c r="F35689" s="2423"/>
    </row>
    <row r="35690" spans="6:6">
      <c r="F35690" s="2423"/>
    </row>
    <row r="35691" spans="6:6">
      <c r="F35691" s="2423"/>
    </row>
    <row r="35692" spans="6:6">
      <c r="F35692" s="2423"/>
    </row>
    <row r="35693" spans="6:6">
      <c r="F35693" s="2423"/>
    </row>
    <row r="35694" spans="6:6">
      <c r="F35694" s="2423"/>
    </row>
    <row r="35695" spans="6:6">
      <c r="F35695" s="2423"/>
    </row>
    <row r="35696" spans="6:6">
      <c r="F35696" s="2423"/>
    </row>
    <row r="35697" spans="6:6">
      <c r="F35697" s="2423"/>
    </row>
    <row r="35698" spans="6:6">
      <c r="F35698" s="2423"/>
    </row>
    <row r="35699" spans="6:6">
      <c r="F35699" s="2423"/>
    </row>
    <row r="35700" spans="6:6">
      <c r="F35700" s="2423"/>
    </row>
    <row r="35701" spans="6:6">
      <c r="F35701" s="2423"/>
    </row>
    <row r="35702" spans="6:6">
      <c r="F35702" s="2423"/>
    </row>
    <row r="35703" spans="6:6">
      <c r="F35703" s="2423"/>
    </row>
    <row r="35704" spans="6:6">
      <c r="F35704" s="2423"/>
    </row>
    <row r="35705" spans="6:6">
      <c r="F35705" s="2423"/>
    </row>
    <row r="35706" spans="6:6">
      <c r="F35706" s="2423"/>
    </row>
    <row r="35707" spans="6:6">
      <c r="F35707" s="2423"/>
    </row>
    <row r="35708" spans="6:6">
      <c r="F35708" s="2423"/>
    </row>
    <row r="35709" spans="6:6">
      <c r="F35709" s="2423"/>
    </row>
    <row r="35710" spans="6:6">
      <c r="F35710" s="2423"/>
    </row>
    <row r="35711" spans="6:6">
      <c r="F35711" s="2423"/>
    </row>
    <row r="35712" spans="6:6">
      <c r="F35712" s="2423"/>
    </row>
    <row r="35713" spans="6:6">
      <c r="F35713" s="2423"/>
    </row>
    <row r="35714" spans="6:6">
      <c r="F35714" s="2423"/>
    </row>
    <row r="35715" spans="6:6">
      <c r="F35715" s="2423"/>
    </row>
    <row r="35716" spans="6:6">
      <c r="F35716" s="2423"/>
    </row>
    <row r="35717" spans="6:6">
      <c r="F35717" s="2423"/>
    </row>
    <row r="35718" spans="6:6">
      <c r="F35718" s="2423"/>
    </row>
    <row r="35719" spans="6:6">
      <c r="F35719" s="2423"/>
    </row>
    <row r="35720" spans="6:6">
      <c r="F35720" s="2423"/>
    </row>
    <row r="35721" spans="6:6">
      <c r="F35721" s="2423"/>
    </row>
    <row r="35722" spans="6:6">
      <c r="F35722" s="2423"/>
    </row>
    <row r="35723" spans="6:6">
      <c r="F35723" s="2423"/>
    </row>
    <row r="35724" spans="6:6">
      <c r="F35724" s="2423"/>
    </row>
    <row r="35725" spans="6:6">
      <c r="F35725" s="2423"/>
    </row>
    <row r="35726" spans="6:6">
      <c r="F35726" s="2423"/>
    </row>
    <row r="35727" spans="6:6">
      <c r="F35727" s="2423"/>
    </row>
    <row r="35728" spans="6:6">
      <c r="F35728" s="2423"/>
    </row>
    <row r="35729" spans="6:6">
      <c r="F35729" s="2423"/>
    </row>
    <row r="35730" spans="6:6">
      <c r="F35730" s="2423"/>
    </row>
    <row r="35731" spans="6:6">
      <c r="F35731" s="2423"/>
    </row>
    <row r="35732" spans="6:6">
      <c r="F35732" s="2423"/>
    </row>
    <row r="35733" spans="6:6">
      <c r="F35733" s="2423"/>
    </row>
    <row r="35734" spans="6:6">
      <c r="F35734" s="2423"/>
    </row>
    <row r="35735" spans="6:6">
      <c r="F35735" s="2423"/>
    </row>
    <row r="35736" spans="6:6">
      <c r="F35736" s="2423"/>
    </row>
    <row r="35737" spans="6:6">
      <c r="F35737" s="2423"/>
    </row>
    <row r="35738" spans="6:6">
      <c r="F35738" s="2423"/>
    </row>
    <row r="35739" spans="6:6">
      <c r="F35739" s="2423"/>
    </row>
    <row r="35740" spans="6:6">
      <c r="F35740" s="2423"/>
    </row>
    <row r="35741" spans="6:6">
      <c r="F35741" s="2423"/>
    </row>
    <row r="35742" spans="6:6">
      <c r="F35742" s="2423"/>
    </row>
    <row r="35743" spans="6:6">
      <c r="F35743" s="2423"/>
    </row>
    <row r="35744" spans="6:6">
      <c r="F35744" s="2423"/>
    </row>
    <row r="35745" spans="6:6">
      <c r="F35745" s="2423"/>
    </row>
    <row r="35746" spans="6:6">
      <c r="F35746" s="2423"/>
    </row>
    <row r="35747" spans="6:6">
      <c r="F35747" s="2423"/>
    </row>
    <row r="35748" spans="6:6">
      <c r="F35748" s="2423"/>
    </row>
    <row r="35749" spans="6:6">
      <c r="F35749" s="2423"/>
    </row>
    <row r="35750" spans="6:6">
      <c r="F35750" s="2423"/>
    </row>
    <row r="35751" spans="6:6">
      <c r="F35751" s="2423"/>
    </row>
    <row r="35752" spans="6:6">
      <c r="F35752" s="2423"/>
    </row>
    <row r="35753" spans="6:6">
      <c r="F35753" s="2423"/>
    </row>
    <row r="35754" spans="6:6">
      <c r="F35754" s="2423"/>
    </row>
    <row r="35755" spans="6:6">
      <c r="F35755" s="2423"/>
    </row>
    <row r="35756" spans="6:6">
      <c r="F35756" s="2423"/>
    </row>
    <row r="35757" spans="6:6">
      <c r="F35757" s="2423"/>
    </row>
    <row r="35758" spans="6:6">
      <c r="F35758" s="2423"/>
    </row>
    <row r="35759" spans="6:6">
      <c r="F35759" s="2423"/>
    </row>
    <row r="35760" spans="6:6">
      <c r="F35760" s="2423"/>
    </row>
    <row r="35761" spans="6:6">
      <c r="F35761" s="2423"/>
    </row>
    <row r="35762" spans="6:6">
      <c r="F35762" s="2423"/>
    </row>
    <row r="35763" spans="6:6">
      <c r="F35763" s="2423"/>
    </row>
    <row r="35764" spans="6:6">
      <c r="F35764" s="2423"/>
    </row>
    <row r="35765" spans="6:6">
      <c r="F35765" s="2423"/>
    </row>
    <row r="35766" spans="6:6">
      <c r="F35766" s="2423"/>
    </row>
    <row r="35767" spans="6:6">
      <c r="F35767" s="2423"/>
    </row>
    <row r="35768" spans="6:6">
      <c r="F35768" s="2423"/>
    </row>
    <row r="35769" spans="6:6">
      <c r="F35769" s="2423"/>
    </row>
    <row r="35770" spans="6:6">
      <c r="F35770" s="2423"/>
    </row>
    <row r="35771" spans="6:6">
      <c r="F35771" s="2423"/>
    </row>
    <row r="35772" spans="6:6">
      <c r="F35772" s="2423"/>
    </row>
    <row r="35773" spans="6:6">
      <c r="F35773" s="2423"/>
    </row>
    <row r="35774" spans="6:6">
      <c r="F35774" s="2423"/>
    </row>
    <row r="35775" spans="6:6">
      <c r="F35775" s="2423"/>
    </row>
    <row r="35776" spans="6:6">
      <c r="F35776" s="2423"/>
    </row>
    <row r="35777" spans="6:6">
      <c r="F35777" s="2423"/>
    </row>
    <row r="35778" spans="6:6">
      <c r="F35778" s="2423"/>
    </row>
    <row r="35779" spans="6:6">
      <c r="F35779" s="2423"/>
    </row>
    <row r="35780" spans="6:6">
      <c r="F35780" s="2423"/>
    </row>
    <row r="35781" spans="6:6">
      <c r="F35781" s="2423"/>
    </row>
    <row r="35782" spans="6:6">
      <c r="F35782" s="2423"/>
    </row>
    <row r="35783" spans="6:6">
      <c r="F35783" s="2423"/>
    </row>
    <row r="35784" spans="6:6">
      <c r="F35784" s="2423"/>
    </row>
    <row r="35785" spans="6:6">
      <c r="F35785" s="2423"/>
    </row>
    <row r="35786" spans="6:6">
      <c r="F35786" s="2423"/>
    </row>
    <row r="35787" spans="6:6">
      <c r="F35787" s="2423"/>
    </row>
    <row r="35788" spans="6:6">
      <c r="F35788" s="2423"/>
    </row>
    <row r="35789" spans="6:6">
      <c r="F35789" s="2423"/>
    </row>
    <row r="35790" spans="6:6">
      <c r="F35790" s="2423"/>
    </row>
    <row r="35791" spans="6:6">
      <c r="F35791" s="2423"/>
    </row>
    <row r="35792" spans="6:6">
      <c r="F35792" s="2423"/>
    </row>
    <row r="35793" spans="6:6">
      <c r="F35793" s="2423"/>
    </row>
    <row r="35794" spans="6:6">
      <c r="F35794" s="2423"/>
    </row>
    <row r="35795" spans="6:6">
      <c r="F35795" s="2423"/>
    </row>
    <row r="35796" spans="6:6">
      <c r="F35796" s="2423"/>
    </row>
    <row r="35797" spans="6:6">
      <c r="F35797" s="2423"/>
    </row>
    <row r="35798" spans="6:6">
      <c r="F35798" s="2423"/>
    </row>
    <row r="35799" spans="6:6">
      <c r="F35799" s="2423"/>
    </row>
    <row r="35800" spans="6:6">
      <c r="F35800" s="2423"/>
    </row>
    <row r="35801" spans="6:6">
      <c r="F35801" s="2423"/>
    </row>
    <row r="35802" spans="6:6">
      <c r="F35802" s="2423"/>
    </row>
    <row r="35803" spans="6:6">
      <c r="F35803" s="2423"/>
    </row>
    <row r="35804" spans="6:6">
      <c r="F35804" s="2423"/>
    </row>
    <row r="35805" spans="6:6">
      <c r="F35805" s="2423"/>
    </row>
    <row r="35806" spans="6:6">
      <c r="F35806" s="2423"/>
    </row>
    <row r="35807" spans="6:6">
      <c r="F35807" s="2423"/>
    </row>
    <row r="35808" spans="6:6">
      <c r="F35808" s="2423"/>
    </row>
    <row r="35809" spans="6:6">
      <c r="F35809" s="2423"/>
    </row>
    <row r="35810" spans="6:6">
      <c r="F35810" s="2423"/>
    </row>
    <row r="35811" spans="6:6">
      <c r="F35811" s="2423"/>
    </row>
    <row r="35812" spans="6:6">
      <c r="F35812" s="2423"/>
    </row>
    <row r="35813" spans="6:6">
      <c r="F35813" s="2423"/>
    </row>
    <row r="35814" spans="6:6">
      <c r="F35814" s="2423"/>
    </row>
    <row r="35815" spans="6:6">
      <c r="F35815" s="2423"/>
    </row>
    <row r="35816" spans="6:6">
      <c r="F35816" s="2423"/>
    </row>
    <row r="35817" spans="6:6">
      <c r="F35817" s="2423"/>
    </row>
    <row r="35818" spans="6:6">
      <c r="F35818" s="2423"/>
    </row>
    <row r="35819" spans="6:6">
      <c r="F35819" s="2423"/>
    </row>
    <row r="35820" spans="6:6">
      <c r="F35820" s="2423"/>
    </row>
    <row r="35821" spans="6:6">
      <c r="F35821" s="2423"/>
    </row>
    <row r="35822" spans="6:6">
      <c r="F35822" s="2423"/>
    </row>
    <row r="35823" spans="6:6">
      <c r="F35823" s="2423"/>
    </row>
    <row r="35824" spans="6:6">
      <c r="F35824" s="2423"/>
    </row>
    <row r="35825" spans="6:6">
      <c r="F35825" s="2423"/>
    </row>
    <row r="35826" spans="6:6">
      <c r="F35826" s="2423"/>
    </row>
    <row r="35827" spans="6:6">
      <c r="F35827" s="2423"/>
    </row>
    <row r="35828" spans="6:6">
      <c r="F35828" s="2423"/>
    </row>
    <row r="35829" spans="6:6">
      <c r="F35829" s="2423"/>
    </row>
    <row r="35830" spans="6:6">
      <c r="F35830" s="2423"/>
    </row>
    <row r="35831" spans="6:6">
      <c r="F35831" s="2423"/>
    </row>
    <row r="35832" spans="6:6">
      <c r="F35832" s="2423"/>
    </row>
    <row r="35833" spans="6:6">
      <c r="F35833" s="2423"/>
    </row>
    <row r="35834" spans="6:6">
      <c r="F35834" s="2423"/>
    </row>
    <row r="35835" spans="6:6">
      <c r="F35835" s="2423"/>
    </row>
    <row r="35836" spans="6:6">
      <c r="F35836" s="2423"/>
    </row>
    <row r="35837" spans="6:6">
      <c r="F35837" s="2423"/>
    </row>
    <row r="35838" spans="6:6">
      <c r="F35838" s="2423"/>
    </row>
    <row r="35839" spans="6:6">
      <c r="F35839" s="2423"/>
    </row>
    <row r="35840" spans="6:6">
      <c r="F35840" s="2423"/>
    </row>
    <row r="35841" spans="6:6">
      <c r="F35841" s="2423"/>
    </row>
    <row r="35842" spans="6:6">
      <c r="F35842" s="2423"/>
    </row>
    <row r="35843" spans="6:6">
      <c r="F35843" s="2423"/>
    </row>
    <row r="35844" spans="6:6">
      <c r="F35844" s="2423"/>
    </row>
    <row r="35845" spans="6:6">
      <c r="F35845" s="2423"/>
    </row>
    <row r="35846" spans="6:6">
      <c r="F35846" s="2423"/>
    </row>
    <row r="35847" spans="6:6">
      <c r="F35847" s="2423"/>
    </row>
    <row r="35848" spans="6:6">
      <c r="F35848" s="2423"/>
    </row>
    <row r="35849" spans="6:6">
      <c r="F35849" s="2423"/>
    </row>
    <row r="35850" spans="6:6">
      <c r="F35850" s="2423"/>
    </row>
    <row r="35851" spans="6:6">
      <c r="F35851" s="2423"/>
    </row>
    <row r="35852" spans="6:6">
      <c r="F35852" s="2423"/>
    </row>
    <row r="35853" spans="6:6">
      <c r="F35853" s="2423"/>
    </row>
    <row r="35854" spans="6:6">
      <c r="F35854" s="2423"/>
    </row>
    <row r="35855" spans="6:6">
      <c r="F35855" s="2423"/>
    </row>
    <row r="35856" spans="6:6">
      <c r="F35856" s="2423"/>
    </row>
    <row r="35857" spans="6:6">
      <c r="F35857" s="2423"/>
    </row>
    <row r="35858" spans="6:6">
      <c r="F35858" s="2423"/>
    </row>
    <row r="35859" spans="6:6">
      <c r="F35859" s="2423"/>
    </row>
    <row r="35860" spans="6:6">
      <c r="F35860" s="2423"/>
    </row>
    <row r="35861" spans="6:6">
      <c r="F35861" s="2423"/>
    </row>
    <row r="35862" spans="6:6">
      <c r="F35862" s="2423"/>
    </row>
    <row r="35863" spans="6:6">
      <c r="F35863" s="2423"/>
    </row>
    <row r="35864" spans="6:6">
      <c r="F35864" s="2423"/>
    </row>
    <row r="35865" spans="6:6">
      <c r="F35865" s="2423"/>
    </row>
    <row r="35866" spans="6:6">
      <c r="F35866" s="2423"/>
    </row>
    <row r="35867" spans="6:6">
      <c r="F35867" s="2423"/>
    </row>
    <row r="35868" spans="6:6">
      <c r="F35868" s="2423"/>
    </row>
    <row r="35869" spans="6:6">
      <c r="F35869" s="2423"/>
    </row>
    <row r="35870" spans="6:6">
      <c r="F35870" s="2423"/>
    </row>
    <row r="35871" spans="6:6">
      <c r="F35871" s="2423"/>
    </row>
    <row r="35872" spans="6:6">
      <c r="F35872" s="2423"/>
    </row>
    <row r="35873" spans="6:6">
      <c r="F35873" s="2423"/>
    </row>
    <row r="35874" spans="6:6">
      <c r="F35874" s="2423"/>
    </row>
    <row r="35875" spans="6:6">
      <c r="F35875" s="2423"/>
    </row>
    <row r="35876" spans="6:6">
      <c r="F35876" s="2423"/>
    </row>
    <row r="35877" spans="6:6">
      <c r="F35877" s="2423"/>
    </row>
    <row r="35878" spans="6:6">
      <c r="F35878" s="2423"/>
    </row>
    <row r="35879" spans="6:6">
      <c r="F35879" s="2423"/>
    </row>
    <row r="35880" spans="6:6">
      <c r="F35880" s="2423"/>
    </row>
    <row r="35881" spans="6:6">
      <c r="F35881" s="2423"/>
    </row>
    <row r="35882" spans="6:6">
      <c r="F35882" s="2423"/>
    </row>
    <row r="35883" spans="6:6">
      <c r="F35883" s="2423"/>
    </row>
    <row r="35884" spans="6:6">
      <c r="F35884" s="2423"/>
    </row>
    <row r="35885" spans="6:6">
      <c r="F35885" s="2423"/>
    </row>
    <row r="35886" spans="6:6">
      <c r="F35886" s="2423"/>
    </row>
    <row r="35887" spans="6:6">
      <c r="F35887" s="2423"/>
    </row>
    <row r="35888" spans="6:6">
      <c r="F35888" s="2423"/>
    </row>
    <row r="35889" spans="6:6">
      <c r="F35889" s="2423"/>
    </row>
    <row r="35890" spans="6:6">
      <c r="F35890" s="2423"/>
    </row>
    <row r="35891" spans="6:6">
      <c r="F35891" s="2423"/>
    </row>
    <row r="35892" spans="6:6">
      <c r="F35892" s="2423"/>
    </row>
    <row r="35893" spans="6:6">
      <c r="F35893" s="2423"/>
    </row>
    <row r="35894" spans="6:6">
      <c r="F35894" s="2423"/>
    </row>
    <row r="35895" spans="6:6">
      <c r="F35895" s="2423"/>
    </row>
    <row r="35896" spans="6:6">
      <c r="F35896" s="2423"/>
    </row>
    <row r="35897" spans="6:6">
      <c r="F35897" s="2423"/>
    </row>
    <row r="35898" spans="6:6">
      <c r="F35898" s="2423"/>
    </row>
    <row r="35899" spans="6:6">
      <c r="F35899" s="2423"/>
    </row>
    <row r="35900" spans="6:6">
      <c r="F35900" s="2423"/>
    </row>
    <row r="35901" spans="6:6">
      <c r="F35901" s="2423"/>
    </row>
    <row r="35902" spans="6:6">
      <c r="F35902" s="2423"/>
    </row>
    <row r="35903" spans="6:6">
      <c r="F35903" s="2423"/>
    </row>
    <row r="35904" spans="6:6">
      <c r="F35904" s="2423"/>
    </row>
    <row r="35905" spans="6:6">
      <c r="F35905" s="2423"/>
    </row>
    <row r="35906" spans="6:6">
      <c r="F35906" s="2423"/>
    </row>
    <row r="35907" spans="6:6">
      <c r="F35907" s="2423"/>
    </row>
    <row r="35908" spans="6:6">
      <c r="F35908" s="2423"/>
    </row>
    <row r="35909" spans="6:6">
      <c r="F35909" s="2423"/>
    </row>
    <row r="35910" spans="6:6">
      <c r="F35910" s="2423"/>
    </row>
    <row r="35911" spans="6:6">
      <c r="F35911" s="2423"/>
    </row>
    <row r="35912" spans="6:6">
      <c r="F35912" s="2423"/>
    </row>
    <row r="35913" spans="6:6">
      <c r="F35913" s="2423"/>
    </row>
    <row r="35914" spans="6:6">
      <c r="F35914" s="2423"/>
    </row>
    <row r="35915" spans="6:6">
      <c r="F35915" s="2423"/>
    </row>
    <row r="35916" spans="6:6">
      <c r="F35916" s="2423"/>
    </row>
    <row r="35917" spans="6:6">
      <c r="F35917" s="2423"/>
    </row>
    <row r="35918" spans="6:6">
      <c r="F35918" s="2423"/>
    </row>
    <row r="35919" spans="6:6">
      <c r="F35919" s="2423"/>
    </row>
    <row r="35920" spans="6:6">
      <c r="F35920" s="2423"/>
    </row>
    <row r="35921" spans="6:6">
      <c r="F35921" s="2423"/>
    </row>
    <row r="35922" spans="6:6">
      <c r="F35922" s="2423"/>
    </row>
    <row r="35923" spans="6:6">
      <c r="F35923" s="2423"/>
    </row>
    <row r="35924" spans="6:6">
      <c r="F35924" s="2423"/>
    </row>
    <row r="35925" spans="6:6">
      <c r="F35925" s="2423"/>
    </row>
    <row r="35926" spans="6:6">
      <c r="F35926" s="2423"/>
    </row>
    <row r="35927" spans="6:6">
      <c r="F35927" s="2423"/>
    </row>
    <row r="35928" spans="6:6">
      <c r="F35928" s="2423"/>
    </row>
    <row r="35929" spans="6:6">
      <c r="F35929" s="2423"/>
    </row>
    <row r="35930" spans="6:6">
      <c r="F35930" s="2423"/>
    </row>
    <row r="35931" spans="6:6">
      <c r="F35931" s="2423"/>
    </row>
    <row r="35932" spans="6:6">
      <c r="F35932" s="2423"/>
    </row>
    <row r="35933" spans="6:6">
      <c r="F35933" s="2423"/>
    </row>
    <row r="35934" spans="6:6">
      <c r="F35934" s="2423"/>
    </row>
    <row r="35935" spans="6:6">
      <c r="F35935" s="2423"/>
    </row>
    <row r="35936" spans="6:6">
      <c r="F35936" s="2423"/>
    </row>
    <row r="35937" spans="6:6">
      <c r="F35937" s="2423"/>
    </row>
    <row r="35938" spans="6:6">
      <c r="F35938" s="2423"/>
    </row>
    <row r="35939" spans="6:6">
      <c r="F35939" s="2423"/>
    </row>
    <row r="35940" spans="6:6">
      <c r="F35940" s="2423"/>
    </row>
    <row r="35941" spans="6:6">
      <c r="F35941" s="2423"/>
    </row>
    <row r="35942" spans="6:6">
      <c r="F35942" s="2423"/>
    </row>
    <row r="35943" spans="6:6">
      <c r="F35943" s="2423"/>
    </row>
    <row r="35944" spans="6:6">
      <c r="F35944" s="2423"/>
    </row>
    <row r="35945" spans="6:6">
      <c r="F35945" s="2423"/>
    </row>
    <row r="35946" spans="6:6">
      <c r="F35946" s="2423"/>
    </row>
    <row r="35947" spans="6:6">
      <c r="F35947" s="2423"/>
    </row>
    <row r="35948" spans="6:6">
      <c r="F35948" s="2423"/>
    </row>
    <row r="35949" spans="6:6">
      <c r="F35949" s="2423"/>
    </row>
    <row r="35950" spans="6:6">
      <c r="F35950" s="2423"/>
    </row>
    <row r="35951" spans="6:6">
      <c r="F35951" s="2423"/>
    </row>
    <row r="35952" spans="6:6">
      <c r="F35952" s="2423"/>
    </row>
    <row r="35953" spans="6:6">
      <c r="F35953" s="2423"/>
    </row>
    <row r="35954" spans="6:6">
      <c r="F35954" s="2423"/>
    </row>
    <row r="35955" spans="6:6">
      <c r="F35955" s="2423"/>
    </row>
    <row r="35956" spans="6:6">
      <c r="F35956" s="2423"/>
    </row>
    <row r="35957" spans="6:6">
      <c r="F35957" s="2423"/>
    </row>
    <row r="35958" spans="6:6">
      <c r="F35958" s="2423"/>
    </row>
    <row r="35959" spans="6:6">
      <c r="F35959" s="2423"/>
    </row>
    <row r="35960" spans="6:6">
      <c r="F35960" s="2423"/>
    </row>
    <row r="35961" spans="6:6">
      <c r="F35961" s="2423"/>
    </row>
    <row r="35962" spans="6:6">
      <c r="F35962" s="2423"/>
    </row>
    <row r="35963" spans="6:6">
      <c r="F35963" s="2423"/>
    </row>
    <row r="35964" spans="6:6">
      <c r="F35964" s="2423"/>
    </row>
    <row r="35965" spans="6:6">
      <c r="F35965" s="2423"/>
    </row>
    <row r="35966" spans="6:6">
      <c r="F35966" s="2423"/>
    </row>
    <row r="35967" spans="6:6">
      <c r="F35967" s="2423"/>
    </row>
    <row r="35968" spans="6:6">
      <c r="F35968" s="2423"/>
    </row>
    <row r="35969" spans="6:6">
      <c r="F35969" s="2423"/>
    </row>
    <row r="35970" spans="6:6">
      <c r="F35970" s="2423"/>
    </row>
    <row r="35971" spans="6:6">
      <c r="F35971" s="2423"/>
    </row>
    <row r="35972" spans="6:6">
      <c r="F35972" s="2423"/>
    </row>
    <row r="35973" spans="6:6">
      <c r="F35973" s="2423"/>
    </row>
    <row r="35974" spans="6:6">
      <c r="F35974" s="2423"/>
    </row>
    <row r="35975" spans="6:6">
      <c r="F35975" s="2423"/>
    </row>
    <row r="35976" spans="6:6">
      <c r="F35976" s="2423"/>
    </row>
    <row r="35977" spans="6:6">
      <c r="F35977" s="2423"/>
    </row>
    <row r="35978" spans="6:6">
      <c r="F35978" s="2423"/>
    </row>
    <row r="35979" spans="6:6">
      <c r="F35979" s="2423"/>
    </row>
    <row r="35980" spans="6:6">
      <c r="F35980" s="2423"/>
    </row>
    <row r="35981" spans="6:6">
      <c r="F35981" s="2423"/>
    </row>
    <row r="35982" spans="6:6">
      <c r="F35982" s="2423"/>
    </row>
    <row r="35983" spans="6:6">
      <c r="F35983" s="2423"/>
    </row>
    <row r="35984" spans="6:6">
      <c r="F35984" s="2423"/>
    </row>
    <row r="35985" spans="6:6">
      <c r="F35985" s="2423"/>
    </row>
    <row r="35986" spans="6:6">
      <c r="F35986" s="2423"/>
    </row>
    <row r="35987" spans="6:6">
      <c r="F35987" s="2423"/>
    </row>
    <row r="35988" spans="6:6">
      <c r="F35988" s="2423"/>
    </row>
    <row r="35989" spans="6:6">
      <c r="F35989" s="2423"/>
    </row>
    <row r="35990" spans="6:6">
      <c r="F35990" s="2423"/>
    </row>
    <row r="35991" spans="6:6">
      <c r="F35991" s="2423"/>
    </row>
    <row r="35992" spans="6:6">
      <c r="F35992" s="2423"/>
    </row>
    <row r="35993" spans="6:6">
      <c r="F35993" s="2423"/>
    </row>
    <row r="35994" spans="6:6">
      <c r="F35994" s="2423"/>
    </row>
    <row r="35995" spans="6:6">
      <c r="F35995" s="2423"/>
    </row>
    <row r="35996" spans="6:6">
      <c r="F35996" s="2423"/>
    </row>
    <row r="35997" spans="6:6">
      <c r="F35997" s="2423"/>
    </row>
    <row r="35998" spans="6:6">
      <c r="F35998" s="2423"/>
    </row>
    <row r="35999" spans="6:6">
      <c r="F35999" s="2423"/>
    </row>
    <row r="36000" spans="6:6">
      <c r="F36000" s="2423"/>
    </row>
    <row r="36001" spans="6:6">
      <c r="F36001" s="2423"/>
    </row>
    <row r="36002" spans="6:6">
      <c r="F36002" s="2423"/>
    </row>
    <row r="36003" spans="6:6">
      <c r="F36003" s="2423"/>
    </row>
    <row r="36004" spans="6:6">
      <c r="F36004" s="2423"/>
    </row>
    <row r="36005" spans="6:6">
      <c r="F36005" s="2423"/>
    </row>
    <row r="36006" spans="6:6">
      <c r="F36006" s="2423"/>
    </row>
    <row r="36007" spans="6:6">
      <c r="F36007" s="2423"/>
    </row>
    <row r="36008" spans="6:6">
      <c r="F36008" s="2423"/>
    </row>
    <row r="36009" spans="6:6">
      <c r="F36009" s="2423"/>
    </row>
    <row r="36010" spans="6:6">
      <c r="F36010" s="2423"/>
    </row>
    <row r="36011" spans="6:6">
      <c r="F36011" s="2423"/>
    </row>
    <row r="36012" spans="6:6">
      <c r="F36012" s="2423"/>
    </row>
    <row r="36013" spans="6:6">
      <c r="F36013" s="2423"/>
    </row>
    <row r="36014" spans="6:6">
      <c r="F36014" s="2423"/>
    </row>
    <row r="36015" spans="6:6">
      <c r="F36015" s="2423"/>
    </row>
    <row r="36016" spans="6:6">
      <c r="F36016" s="2423"/>
    </row>
    <row r="36017" spans="6:6">
      <c r="F36017" s="2423"/>
    </row>
    <row r="36018" spans="6:6">
      <c r="F36018" s="2423"/>
    </row>
    <row r="36019" spans="6:6">
      <c r="F36019" s="2423"/>
    </row>
    <row r="36020" spans="6:6">
      <c r="F36020" s="2423"/>
    </row>
    <row r="36021" spans="6:6">
      <c r="F36021" s="2423"/>
    </row>
    <row r="36022" spans="6:6">
      <c r="F36022" s="2423"/>
    </row>
    <row r="36023" spans="6:6">
      <c r="F36023" s="2423"/>
    </row>
    <row r="36024" spans="6:6">
      <c r="F36024" s="2423"/>
    </row>
    <row r="36025" spans="6:6">
      <c r="F36025" s="2423"/>
    </row>
    <row r="36026" spans="6:6">
      <c r="F36026" s="2423"/>
    </row>
    <row r="36027" spans="6:6">
      <c r="F36027" s="2423"/>
    </row>
    <row r="36028" spans="6:6">
      <c r="F36028" s="2423"/>
    </row>
    <row r="36029" spans="6:6">
      <c r="F36029" s="2423"/>
    </row>
    <row r="36030" spans="6:6">
      <c r="F36030" s="2423"/>
    </row>
    <row r="36031" spans="6:6">
      <c r="F36031" s="2423"/>
    </row>
    <row r="36032" spans="6:6">
      <c r="F36032" s="2423"/>
    </row>
    <row r="36033" spans="6:6">
      <c r="F36033" s="2423"/>
    </row>
    <row r="36034" spans="6:6">
      <c r="F36034" s="2423"/>
    </row>
    <row r="36035" spans="6:6">
      <c r="F36035" s="2423"/>
    </row>
    <row r="36036" spans="6:6">
      <c r="F36036" s="2423"/>
    </row>
    <row r="36037" spans="6:6">
      <c r="F36037" s="2423"/>
    </row>
    <row r="36038" spans="6:6">
      <c r="F36038" s="2423"/>
    </row>
    <row r="36039" spans="6:6">
      <c r="F36039" s="2423"/>
    </row>
    <row r="36040" spans="6:6">
      <c r="F36040" s="2423"/>
    </row>
    <row r="36041" spans="6:6">
      <c r="F36041" s="2423"/>
    </row>
    <row r="36042" spans="6:6">
      <c r="F36042" s="2423"/>
    </row>
    <row r="36043" spans="6:6">
      <c r="F36043" s="2423"/>
    </row>
    <row r="36044" spans="6:6">
      <c r="F36044" s="2423"/>
    </row>
    <row r="36045" spans="6:6">
      <c r="F36045" s="2423"/>
    </row>
    <row r="36046" spans="6:6">
      <c r="F36046" s="2423"/>
    </row>
    <row r="36047" spans="6:6">
      <c r="F36047" s="2423"/>
    </row>
    <row r="36048" spans="6:6">
      <c r="F36048" s="2423"/>
    </row>
    <row r="36049" spans="6:6">
      <c r="F36049" s="2423"/>
    </row>
    <row r="36050" spans="6:6">
      <c r="F36050" s="2423"/>
    </row>
    <row r="36051" spans="6:6">
      <c r="F36051" s="2423"/>
    </row>
    <row r="36052" spans="6:6">
      <c r="F36052" s="2423"/>
    </row>
    <row r="36053" spans="6:6">
      <c r="F36053" s="2423"/>
    </row>
    <row r="36054" spans="6:6">
      <c r="F36054" s="2423"/>
    </row>
    <row r="36055" spans="6:6">
      <c r="F36055" s="2423"/>
    </row>
    <row r="36056" spans="6:6">
      <c r="F36056" s="2423"/>
    </row>
    <row r="36057" spans="6:6">
      <c r="F36057" s="2423"/>
    </row>
    <row r="36058" spans="6:6">
      <c r="F36058" s="2423"/>
    </row>
    <row r="36059" spans="6:6">
      <c r="F36059" s="2423"/>
    </row>
    <row r="36060" spans="6:6">
      <c r="F36060" s="2423"/>
    </row>
    <row r="36061" spans="6:6">
      <c r="F36061" s="2423"/>
    </row>
    <row r="36062" spans="6:6">
      <c r="F36062" s="2423"/>
    </row>
    <row r="36063" spans="6:6">
      <c r="F36063" s="2423"/>
    </row>
    <row r="36064" spans="6:6">
      <c r="F36064" s="2423"/>
    </row>
    <row r="36065" spans="6:6">
      <c r="F36065" s="2423"/>
    </row>
    <row r="36066" spans="6:6">
      <c r="F36066" s="2423"/>
    </row>
    <row r="36067" spans="6:6">
      <c r="F36067" s="2423"/>
    </row>
    <row r="36068" spans="6:6">
      <c r="F36068" s="2423"/>
    </row>
    <row r="36069" spans="6:6">
      <c r="F36069" s="2423"/>
    </row>
    <row r="36070" spans="6:6">
      <c r="F36070" s="2423"/>
    </row>
    <row r="36071" spans="6:6">
      <c r="F36071" s="2423"/>
    </row>
    <row r="36072" spans="6:6">
      <c r="F36072" s="2423"/>
    </row>
    <row r="36073" spans="6:6">
      <c r="F36073" s="2423"/>
    </row>
    <row r="36074" spans="6:6">
      <c r="F36074" s="2423"/>
    </row>
    <row r="36075" spans="6:6">
      <c r="F36075" s="2423"/>
    </row>
    <row r="36076" spans="6:6">
      <c r="F36076" s="2423"/>
    </row>
    <row r="36077" spans="6:6">
      <c r="F36077" s="2423"/>
    </row>
    <row r="36078" spans="6:6">
      <c r="F36078" s="2423"/>
    </row>
    <row r="36079" spans="6:6">
      <c r="F36079" s="2423"/>
    </row>
    <row r="36080" spans="6:6">
      <c r="F36080" s="2423"/>
    </row>
    <row r="36081" spans="6:6">
      <c r="F36081" s="2423"/>
    </row>
    <row r="36082" spans="6:6">
      <c r="F36082" s="2423"/>
    </row>
    <row r="36083" spans="6:6">
      <c r="F36083" s="2423"/>
    </row>
    <row r="36084" spans="6:6">
      <c r="F36084" s="2423"/>
    </row>
    <row r="36085" spans="6:6">
      <c r="F36085" s="2423"/>
    </row>
    <row r="36086" spans="6:6">
      <c r="F36086" s="2423"/>
    </row>
    <row r="36087" spans="6:6">
      <c r="F36087" s="2423"/>
    </row>
    <row r="36088" spans="6:6">
      <c r="F36088" s="2423"/>
    </row>
    <row r="36089" spans="6:6">
      <c r="F36089" s="2423"/>
    </row>
    <row r="36090" spans="6:6">
      <c r="F36090" s="2423"/>
    </row>
    <row r="36091" spans="6:6">
      <c r="F36091" s="2423"/>
    </row>
    <row r="36092" spans="6:6">
      <c r="F36092" s="2423"/>
    </row>
    <row r="36093" spans="6:6">
      <c r="F36093" s="2423"/>
    </row>
    <row r="36094" spans="6:6">
      <c r="F36094" s="2423"/>
    </row>
    <row r="36095" spans="6:6">
      <c r="F36095" s="2423"/>
    </row>
    <row r="36096" spans="6:6">
      <c r="F36096" s="2423"/>
    </row>
    <row r="36097" spans="6:6">
      <c r="F36097" s="2423"/>
    </row>
    <row r="36098" spans="6:6">
      <c r="F36098" s="2423"/>
    </row>
    <row r="36099" spans="6:6">
      <c r="F36099" s="2423"/>
    </row>
    <row r="36100" spans="6:6">
      <c r="F36100" s="2423"/>
    </row>
    <row r="36101" spans="6:6">
      <c r="F36101" s="2423"/>
    </row>
    <row r="36102" spans="6:6">
      <c r="F36102" s="2423"/>
    </row>
    <row r="36103" spans="6:6">
      <c r="F36103" s="2423"/>
    </row>
    <row r="36104" spans="6:6">
      <c r="F36104" s="2423"/>
    </row>
    <row r="36105" spans="6:6">
      <c r="F36105" s="2423"/>
    </row>
    <row r="36106" spans="6:6">
      <c r="F36106" s="2423"/>
    </row>
    <row r="36107" spans="6:6">
      <c r="F36107" s="2423"/>
    </row>
    <row r="36108" spans="6:6">
      <c r="F36108" s="2423"/>
    </row>
    <row r="36109" spans="6:6">
      <c r="F36109" s="2423"/>
    </row>
    <row r="36110" spans="6:6">
      <c r="F36110" s="2423"/>
    </row>
    <row r="36111" spans="6:6">
      <c r="F36111" s="2423"/>
    </row>
    <row r="36112" spans="6:6">
      <c r="F36112" s="2423"/>
    </row>
    <row r="36113" spans="6:6">
      <c r="F36113" s="2423"/>
    </row>
    <row r="36114" spans="6:6">
      <c r="F36114" s="2423"/>
    </row>
    <row r="36115" spans="6:6">
      <c r="F36115" s="2423"/>
    </row>
    <row r="36116" spans="6:6">
      <c r="F36116" s="2423"/>
    </row>
    <row r="36117" spans="6:6">
      <c r="F36117" s="2423"/>
    </row>
    <row r="36118" spans="6:6">
      <c r="F36118" s="2423"/>
    </row>
    <row r="36119" spans="6:6">
      <c r="F36119" s="2423"/>
    </row>
    <row r="36120" spans="6:6">
      <c r="F36120" s="2423"/>
    </row>
    <row r="36121" spans="6:6">
      <c r="F36121" s="2423"/>
    </row>
    <row r="36122" spans="6:6">
      <c r="F36122" s="2423"/>
    </row>
    <row r="36123" spans="6:6">
      <c r="F36123" s="2423"/>
    </row>
    <row r="36124" spans="6:6">
      <c r="F36124" s="2423"/>
    </row>
    <row r="36125" spans="6:6">
      <c r="F36125" s="2423"/>
    </row>
    <row r="36126" spans="6:6">
      <c r="F36126" s="2423"/>
    </row>
    <row r="36127" spans="6:6">
      <c r="F36127" s="2423"/>
    </row>
    <row r="36128" spans="6:6">
      <c r="F36128" s="2423"/>
    </row>
    <row r="36129" spans="6:6">
      <c r="F36129" s="2423"/>
    </row>
    <row r="36130" spans="6:6">
      <c r="F36130" s="2423"/>
    </row>
    <row r="36131" spans="6:6">
      <c r="F36131" s="2423"/>
    </row>
    <row r="36132" spans="6:6">
      <c r="F36132" s="2423"/>
    </row>
    <row r="36133" spans="6:6">
      <c r="F36133" s="2423"/>
    </row>
    <row r="36134" spans="6:6">
      <c r="F36134" s="2423"/>
    </row>
    <row r="36135" spans="6:6">
      <c r="F36135" s="2423"/>
    </row>
    <row r="36136" spans="6:6">
      <c r="F36136" s="2423"/>
    </row>
    <row r="36137" spans="6:6">
      <c r="F36137" s="2423"/>
    </row>
    <row r="36138" spans="6:6">
      <c r="F36138" s="2423"/>
    </row>
    <row r="36139" spans="6:6">
      <c r="F36139" s="2423"/>
    </row>
    <row r="36140" spans="6:6">
      <c r="F36140" s="2423"/>
    </row>
    <row r="36141" spans="6:6">
      <c r="F36141" s="2423"/>
    </row>
    <row r="36142" spans="6:6">
      <c r="F36142" s="2423"/>
    </row>
    <row r="36143" spans="6:6">
      <c r="F36143" s="2423"/>
    </row>
    <row r="36144" spans="6:6">
      <c r="F36144" s="2423"/>
    </row>
    <row r="36145" spans="6:6">
      <c r="F36145" s="2423"/>
    </row>
    <row r="36146" spans="6:6">
      <c r="F36146" s="2423"/>
    </row>
    <row r="36147" spans="6:6">
      <c r="F36147" s="2423"/>
    </row>
    <row r="36148" spans="6:6">
      <c r="F36148" s="2423"/>
    </row>
    <row r="36149" spans="6:6">
      <c r="F36149" s="2423"/>
    </row>
    <row r="36150" spans="6:6">
      <c r="F36150" s="2423"/>
    </row>
    <row r="36151" spans="6:6">
      <c r="F36151" s="2423"/>
    </row>
    <row r="36152" spans="6:6">
      <c r="F36152" s="2423"/>
    </row>
    <row r="36153" spans="6:6">
      <c r="F36153" s="2423"/>
    </row>
    <row r="36154" spans="6:6">
      <c r="F36154" s="2423"/>
    </row>
    <row r="36155" spans="6:6">
      <c r="F36155" s="2423"/>
    </row>
    <row r="36156" spans="6:6">
      <c r="F36156" s="2423"/>
    </row>
    <row r="36157" spans="6:6">
      <c r="F36157" s="2423"/>
    </row>
    <row r="36158" spans="6:6">
      <c r="F36158" s="2423"/>
    </row>
    <row r="36159" spans="6:6">
      <c r="F36159" s="2423"/>
    </row>
    <row r="36160" spans="6:6">
      <c r="F36160" s="2423"/>
    </row>
    <row r="36161" spans="6:6">
      <c r="F36161" s="2423"/>
    </row>
    <row r="36162" spans="6:6">
      <c r="F36162" s="2423"/>
    </row>
    <row r="36163" spans="6:6">
      <c r="F36163" s="2423"/>
    </row>
    <row r="36164" spans="6:6">
      <c r="F36164" s="2423"/>
    </row>
    <row r="36165" spans="6:6">
      <c r="F36165" s="2423"/>
    </row>
    <row r="36166" spans="6:6">
      <c r="F36166" s="2423"/>
    </row>
    <row r="36167" spans="6:6">
      <c r="F36167" s="2423"/>
    </row>
    <row r="36168" spans="6:6">
      <c r="F36168" s="2423"/>
    </row>
    <row r="36169" spans="6:6">
      <c r="F36169" s="2423"/>
    </row>
    <row r="36170" spans="6:6">
      <c r="F36170" s="2423"/>
    </row>
    <row r="36171" spans="6:6">
      <c r="F36171" s="2423"/>
    </row>
    <row r="36172" spans="6:6">
      <c r="F36172" s="2423"/>
    </row>
    <row r="36173" spans="6:6">
      <c r="F36173" s="2423"/>
    </row>
    <row r="36174" spans="6:6">
      <c r="F36174" s="2423"/>
    </row>
    <row r="36175" spans="6:6">
      <c r="F36175" s="2423"/>
    </row>
    <row r="36176" spans="6:6">
      <c r="F36176" s="2423"/>
    </row>
    <row r="36177" spans="6:6">
      <c r="F36177" s="2423"/>
    </row>
    <row r="36178" spans="6:6">
      <c r="F36178" s="2423"/>
    </row>
    <row r="36179" spans="6:6">
      <c r="F36179" s="2423"/>
    </row>
    <row r="36180" spans="6:6">
      <c r="F36180" s="2423"/>
    </row>
    <row r="36181" spans="6:6">
      <c r="F36181" s="2423"/>
    </row>
    <row r="36182" spans="6:6">
      <c r="F36182" s="2423"/>
    </row>
    <row r="36183" spans="6:6">
      <c r="F36183" s="2423"/>
    </row>
    <row r="36184" spans="6:6">
      <c r="F36184" s="2423"/>
    </row>
    <row r="36185" spans="6:6">
      <c r="F36185" s="2423"/>
    </row>
    <row r="36186" spans="6:6">
      <c r="F36186" s="2423"/>
    </row>
    <row r="36187" spans="6:6">
      <c r="F36187" s="2423"/>
    </row>
    <row r="36188" spans="6:6">
      <c r="F36188" s="2423"/>
    </row>
    <row r="36189" spans="6:6">
      <c r="F36189" s="2423"/>
    </row>
    <row r="36190" spans="6:6">
      <c r="F36190" s="2423"/>
    </row>
    <row r="36191" spans="6:6">
      <c r="F36191" s="2423"/>
    </row>
    <row r="36192" spans="6:6">
      <c r="F36192" s="2423"/>
    </row>
    <row r="36193" spans="6:6">
      <c r="F36193" s="2423"/>
    </row>
    <row r="36194" spans="6:6">
      <c r="F36194" s="2423"/>
    </row>
    <row r="36195" spans="6:6">
      <c r="F36195" s="2423"/>
    </row>
    <row r="36196" spans="6:6">
      <c r="F36196" s="2423"/>
    </row>
    <row r="36197" spans="6:6">
      <c r="F36197" s="2423"/>
    </row>
    <row r="36198" spans="6:6">
      <c r="F36198" s="2423"/>
    </row>
    <row r="36199" spans="6:6">
      <c r="F36199" s="2423"/>
    </row>
    <row r="36200" spans="6:6">
      <c r="F36200" s="2423"/>
    </row>
    <row r="36201" spans="6:6">
      <c r="F36201" s="2423"/>
    </row>
    <row r="36202" spans="6:6">
      <c r="F36202" s="2423"/>
    </row>
    <row r="36203" spans="6:6">
      <c r="F36203" s="2423"/>
    </row>
    <row r="36204" spans="6:6">
      <c r="F36204" s="2423"/>
    </row>
    <row r="36205" spans="6:6">
      <c r="F36205" s="2423"/>
    </row>
    <row r="36206" spans="6:6">
      <c r="F36206" s="2423"/>
    </row>
    <row r="36207" spans="6:6">
      <c r="F36207" s="2423"/>
    </row>
    <row r="36208" spans="6:6">
      <c r="F36208" s="2423"/>
    </row>
    <row r="36209" spans="6:6">
      <c r="F36209" s="2423"/>
    </row>
    <row r="36210" spans="6:6">
      <c r="F36210" s="2423"/>
    </row>
    <row r="36211" spans="6:6">
      <c r="F36211" s="2423"/>
    </row>
    <row r="36212" spans="6:6">
      <c r="F36212" s="2423"/>
    </row>
    <row r="36213" spans="6:6">
      <c r="F36213" s="2423"/>
    </row>
    <row r="36214" spans="6:6">
      <c r="F36214" s="2423"/>
    </row>
    <row r="36215" spans="6:6">
      <c r="F36215" s="2423"/>
    </row>
    <row r="36216" spans="6:6">
      <c r="F36216" s="2423"/>
    </row>
    <row r="36217" spans="6:6">
      <c r="F36217" s="2423"/>
    </row>
    <row r="36218" spans="6:6">
      <c r="F36218" s="2423"/>
    </row>
    <row r="36219" spans="6:6">
      <c r="F36219" s="2423"/>
    </row>
    <row r="36220" spans="6:6">
      <c r="F36220" s="2423"/>
    </row>
    <row r="36221" spans="6:6">
      <c r="F36221" s="2423"/>
    </row>
    <row r="36222" spans="6:6">
      <c r="F36222" s="2423"/>
    </row>
    <row r="36223" spans="6:6">
      <c r="F36223" s="2423"/>
    </row>
    <row r="36224" spans="6:6">
      <c r="F36224" s="2423"/>
    </row>
    <row r="36225" spans="6:6">
      <c r="F36225" s="2423"/>
    </row>
    <row r="36226" spans="6:6">
      <c r="F36226" s="2423"/>
    </row>
    <row r="36227" spans="6:6">
      <c r="F36227" s="2423"/>
    </row>
    <row r="36228" spans="6:6">
      <c r="F36228" s="2423"/>
    </row>
    <row r="36229" spans="6:6">
      <c r="F36229" s="2423"/>
    </row>
    <row r="36230" spans="6:6">
      <c r="F36230" s="2423"/>
    </row>
    <row r="36231" spans="6:6">
      <c r="F36231" s="2423"/>
    </row>
    <row r="36232" spans="6:6">
      <c r="F36232" s="2423"/>
    </row>
    <row r="36233" spans="6:6">
      <c r="F36233" s="2423"/>
    </row>
    <row r="36234" spans="6:6">
      <c r="F36234" s="2423"/>
    </row>
    <row r="36235" spans="6:6">
      <c r="F36235" s="2423"/>
    </row>
    <row r="36236" spans="6:6">
      <c r="F36236" s="2423"/>
    </row>
    <row r="36237" spans="6:6">
      <c r="F36237" s="2423"/>
    </row>
    <row r="36238" spans="6:6">
      <c r="F36238" s="2423"/>
    </row>
    <row r="36239" spans="6:6">
      <c r="F36239" s="2423"/>
    </row>
    <row r="36240" spans="6:6">
      <c r="F36240" s="2423"/>
    </row>
    <row r="36241" spans="6:6">
      <c r="F36241" s="2423"/>
    </row>
    <row r="36242" spans="6:6">
      <c r="F36242" s="2423"/>
    </row>
    <row r="36243" spans="6:6">
      <c r="F36243" s="2423"/>
    </row>
    <row r="36244" spans="6:6">
      <c r="F36244" s="2423"/>
    </row>
    <row r="36245" spans="6:6">
      <c r="F36245" s="2423"/>
    </row>
    <row r="36246" spans="6:6">
      <c r="F36246" s="2423"/>
    </row>
    <row r="36247" spans="6:6">
      <c r="F36247" s="2423"/>
    </row>
    <row r="36248" spans="6:6">
      <c r="F36248" s="2423"/>
    </row>
    <row r="36249" spans="6:6">
      <c r="F36249" s="2423"/>
    </row>
    <row r="36250" spans="6:6">
      <c r="F36250" s="2423"/>
    </row>
    <row r="36251" spans="6:6">
      <c r="F36251" s="2423"/>
    </row>
    <row r="36252" spans="6:6">
      <c r="F36252" s="2423"/>
    </row>
    <row r="36253" spans="6:6">
      <c r="F36253" s="2423"/>
    </row>
    <row r="36254" spans="6:6">
      <c r="F36254" s="2423"/>
    </row>
    <row r="36255" spans="6:6">
      <c r="F36255" s="2423"/>
    </row>
    <row r="36256" spans="6:6">
      <c r="F36256" s="2423"/>
    </row>
    <row r="36257" spans="6:6">
      <c r="F36257" s="2423"/>
    </row>
    <row r="36258" spans="6:6">
      <c r="F36258" s="2423"/>
    </row>
    <row r="36259" spans="6:6">
      <c r="F36259" s="2423"/>
    </row>
    <row r="36260" spans="6:6">
      <c r="F36260" s="2423"/>
    </row>
    <row r="36261" spans="6:6">
      <c r="F36261" s="2423"/>
    </row>
    <row r="36262" spans="6:6">
      <c r="F36262" s="2423"/>
    </row>
    <row r="36263" spans="6:6">
      <c r="F36263" s="2423"/>
    </row>
    <row r="36264" spans="6:6">
      <c r="F36264" s="2423"/>
    </row>
    <row r="36265" spans="6:6">
      <c r="F36265" s="2423"/>
    </row>
    <row r="36266" spans="6:6">
      <c r="F36266" s="2423"/>
    </row>
    <row r="36267" spans="6:6">
      <c r="F36267" s="2423"/>
    </row>
    <row r="36268" spans="6:6">
      <c r="F36268" s="2423"/>
    </row>
    <row r="36269" spans="6:6">
      <c r="F36269" s="2423"/>
    </row>
    <row r="36270" spans="6:6">
      <c r="F36270" s="2423"/>
    </row>
    <row r="36271" spans="6:6">
      <c r="F36271" s="2423"/>
    </row>
    <row r="36272" spans="6:6">
      <c r="F36272" s="2423"/>
    </row>
    <row r="36273" spans="6:6">
      <c r="F36273" s="2423"/>
    </row>
    <row r="36274" spans="6:6">
      <c r="F36274" s="2423"/>
    </row>
    <row r="36275" spans="6:6">
      <c r="F36275" s="2423"/>
    </row>
    <row r="36276" spans="6:6">
      <c r="F36276" s="2423"/>
    </row>
    <row r="36277" spans="6:6">
      <c r="F36277" s="2423"/>
    </row>
    <row r="36278" spans="6:6">
      <c r="F36278" s="2423"/>
    </row>
    <row r="36279" spans="6:6">
      <c r="F36279" s="2423"/>
    </row>
    <row r="36280" spans="6:6">
      <c r="F36280" s="2423"/>
    </row>
    <row r="36281" spans="6:6">
      <c r="F36281" s="2423"/>
    </row>
    <row r="36282" spans="6:6">
      <c r="F36282" s="2423"/>
    </row>
    <row r="36283" spans="6:6">
      <c r="F36283" s="2423"/>
    </row>
    <row r="36284" spans="6:6">
      <c r="F36284" s="2423"/>
    </row>
    <row r="36285" spans="6:6">
      <c r="F36285" s="2423"/>
    </row>
    <row r="36286" spans="6:6">
      <c r="F36286" s="2423"/>
    </row>
    <row r="36287" spans="6:6">
      <c r="F36287" s="2423"/>
    </row>
    <row r="36288" spans="6:6">
      <c r="F36288" s="2423"/>
    </row>
    <row r="36289" spans="6:6">
      <c r="F36289" s="2423"/>
    </row>
    <row r="36290" spans="6:6">
      <c r="F36290" s="2423"/>
    </row>
    <row r="36291" spans="6:6">
      <c r="F36291" s="2423"/>
    </row>
    <row r="36292" spans="6:6">
      <c r="F36292" s="2423"/>
    </row>
    <row r="36293" spans="6:6">
      <c r="F36293" s="2423"/>
    </row>
    <row r="36294" spans="6:6">
      <c r="F36294" s="2423"/>
    </row>
    <row r="36295" spans="6:6">
      <c r="F36295" s="2423"/>
    </row>
    <row r="36296" spans="6:6">
      <c r="F36296" s="2423"/>
    </row>
    <row r="36297" spans="6:6">
      <c r="F36297" s="2423"/>
    </row>
    <row r="36298" spans="6:6">
      <c r="F36298" s="2423"/>
    </row>
    <row r="36299" spans="6:6">
      <c r="F36299" s="2423"/>
    </row>
    <row r="36300" spans="6:6">
      <c r="F36300" s="2423"/>
    </row>
    <row r="36301" spans="6:6">
      <c r="F36301" s="2423"/>
    </row>
    <row r="36302" spans="6:6">
      <c r="F36302" s="2423"/>
    </row>
    <row r="36303" spans="6:6">
      <c r="F36303" s="2423"/>
    </row>
    <row r="36304" spans="6:6">
      <c r="F36304" s="2423"/>
    </row>
    <row r="36305" spans="6:6">
      <c r="F36305" s="2423"/>
    </row>
    <row r="36306" spans="6:6">
      <c r="F36306" s="2423"/>
    </row>
    <row r="36307" spans="6:6">
      <c r="F36307" s="2423"/>
    </row>
    <row r="36308" spans="6:6">
      <c r="F36308" s="2423"/>
    </row>
    <row r="36309" spans="6:6">
      <c r="F36309" s="2423"/>
    </row>
    <row r="36310" spans="6:6">
      <c r="F36310" s="2423"/>
    </row>
    <row r="36311" spans="6:6">
      <c r="F36311" s="2423"/>
    </row>
    <row r="36312" spans="6:6">
      <c r="F36312" s="2423"/>
    </row>
    <row r="36313" spans="6:6">
      <c r="F36313" s="2423"/>
    </row>
    <row r="36314" spans="6:6">
      <c r="F36314" s="2423"/>
    </row>
    <row r="36315" spans="6:6">
      <c r="F36315" s="2423"/>
    </row>
    <row r="36316" spans="6:6">
      <c r="F36316" s="2423"/>
    </row>
    <row r="36317" spans="6:6">
      <c r="F36317" s="2423"/>
    </row>
    <row r="36318" spans="6:6">
      <c r="F36318" s="2423"/>
    </row>
    <row r="36319" spans="6:6">
      <c r="F36319" s="2423"/>
    </row>
    <row r="36320" spans="6:6">
      <c r="F36320" s="2423"/>
    </row>
    <row r="36321" spans="6:6">
      <c r="F36321" s="2423"/>
    </row>
    <row r="36322" spans="6:6">
      <c r="F36322" s="2423"/>
    </row>
    <row r="36323" spans="6:6">
      <c r="F36323" s="2423"/>
    </row>
    <row r="36324" spans="6:6">
      <c r="F36324" s="2423"/>
    </row>
    <row r="36325" spans="6:6">
      <c r="F36325" s="2423"/>
    </row>
    <row r="36326" spans="6:6">
      <c r="F36326" s="2423"/>
    </row>
    <row r="36327" spans="6:6">
      <c r="F36327" s="2423"/>
    </row>
    <row r="36328" spans="6:6">
      <c r="F36328" s="2423"/>
    </row>
    <row r="36329" spans="6:6">
      <c r="F36329" s="2423"/>
    </row>
    <row r="36330" spans="6:6">
      <c r="F36330" s="2423"/>
    </row>
    <row r="36331" spans="6:6">
      <c r="F36331" s="2423"/>
    </row>
    <row r="36332" spans="6:6">
      <c r="F36332" s="2423"/>
    </row>
    <row r="36333" spans="6:6">
      <c r="F36333" s="2423"/>
    </row>
    <row r="36334" spans="6:6">
      <c r="F36334" s="2423"/>
    </row>
    <row r="36335" spans="6:6">
      <c r="F36335" s="2423"/>
    </row>
    <row r="36336" spans="6:6">
      <c r="F36336" s="2423"/>
    </row>
    <row r="36337" spans="6:6">
      <c r="F36337" s="2423"/>
    </row>
    <row r="36338" spans="6:6">
      <c r="F36338" s="2423"/>
    </row>
    <row r="36339" spans="6:6">
      <c r="F36339" s="2423"/>
    </row>
    <row r="36340" spans="6:6">
      <c r="F36340" s="2423"/>
    </row>
    <row r="36341" spans="6:6">
      <c r="F36341" s="2423"/>
    </row>
    <row r="36342" spans="6:6">
      <c r="F36342" s="2423"/>
    </row>
    <row r="36343" spans="6:6">
      <c r="F36343" s="2423"/>
    </row>
    <row r="36344" spans="6:6">
      <c r="F36344" s="2423"/>
    </row>
    <row r="36345" spans="6:6">
      <c r="F36345" s="2423"/>
    </row>
    <row r="36346" spans="6:6">
      <c r="F36346" s="2423"/>
    </row>
    <row r="36347" spans="6:6">
      <c r="F36347" s="2423"/>
    </row>
    <row r="36348" spans="6:6">
      <c r="F36348" s="2423"/>
    </row>
    <row r="36349" spans="6:6">
      <c r="F36349" s="2423"/>
    </row>
    <row r="36350" spans="6:6">
      <c r="F36350" s="2423"/>
    </row>
    <row r="36351" spans="6:6">
      <c r="F36351" s="2423"/>
    </row>
    <row r="36352" spans="6:6">
      <c r="F36352" s="2423"/>
    </row>
    <row r="36353" spans="6:6">
      <c r="F36353" s="2423"/>
    </row>
    <row r="36354" spans="6:6">
      <c r="F36354" s="2423"/>
    </row>
    <row r="36355" spans="6:6">
      <c r="F36355" s="2423"/>
    </row>
    <row r="36356" spans="6:6">
      <c r="F36356" s="2423"/>
    </row>
    <row r="36357" spans="6:6">
      <c r="F36357" s="2423"/>
    </row>
    <row r="36358" spans="6:6">
      <c r="F36358" s="2423"/>
    </row>
    <row r="36359" spans="6:6">
      <c r="F36359" s="2423"/>
    </row>
    <row r="36360" spans="6:6">
      <c r="F36360" s="2423"/>
    </row>
    <row r="36361" spans="6:6">
      <c r="F36361" s="2423"/>
    </row>
    <row r="36362" spans="6:6">
      <c r="F36362" s="2423"/>
    </row>
    <row r="36363" spans="6:6">
      <c r="F36363" s="2423"/>
    </row>
    <row r="36364" spans="6:6">
      <c r="F36364" s="2423"/>
    </row>
    <row r="36365" spans="6:6">
      <c r="F36365" s="2423"/>
    </row>
    <row r="36366" spans="6:6">
      <c r="F36366" s="2423"/>
    </row>
    <row r="36367" spans="6:6">
      <c r="F36367" s="2423"/>
    </row>
    <row r="36368" spans="6:6">
      <c r="F36368" s="2423"/>
    </row>
    <row r="36369" spans="6:6">
      <c r="F36369" s="2423"/>
    </row>
    <row r="36370" spans="6:6">
      <c r="F36370" s="2423"/>
    </row>
    <row r="36371" spans="6:6">
      <c r="F36371" s="2423"/>
    </row>
    <row r="36372" spans="6:6">
      <c r="F36372" s="2423"/>
    </row>
    <row r="36373" spans="6:6">
      <c r="F36373" s="2423"/>
    </row>
    <row r="36374" spans="6:6">
      <c r="F36374" s="2423"/>
    </row>
    <row r="36375" spans="6:6">
      <c r="F36375" s="2423"/>
    </row>
    <row r="36376" spans="6:6">
      <c r="F36376" s="2423"/>
    </row>
    <row r="36377" spans="6:6">
      <c r="F36377" s="2423"/>
    </row>
    <row r="36378" spans="6:6">
      <c r="F36378" s="2423"/>
    </row>
    <row r="36379" spans="6:6">
      <c r="F36379" s="2423"/>
    </row>
    <row r="36380" spans="6:6">
      <c r="F36380" s="2423"/>
    </row>
    <row r="36381" spans="6:6">
      <c r="F36381" s="2423"/>
    </row>
    <row r="36382" spans="6:6">
      <c r="F36382" s="2423"/>
    </row>
    <row r="36383" spans="6:6">
      <c r="F36383" s="2423"/>
    </row>
    <row r="36384" spans="6:6">
      <c r="F36384" s="2423"/>
    </row>
    <row r="36385" spans="6:6">
      <c r="F36385" s="2423"/>
    </row>
    <row r="36386" spans="6:6">
      <c r="F36386" s="2423"/>
    </row>
    <row r="36387" spans="6:6">
      <c r="F36387" s="2423"/>
    </row>
    <row r="36388" spans="6:6">
      <c r="F36388" s="2423"/>
    </row>
    <row r="36389" spans="6:6">
      <c r="F36389" s="2423"/>
    </row>
    <row r="36390" spans="6:6">
      <c r="F36390" s="2423"/>
    </row>
    <row r="36391" spans="6:6">
      <c r="F36391" s="2423"/>
    </row>
    <row r="36392" spans="6:6">
      <c r="F36392" s="2423"/>
    </row>
    <row r="36393" spans="6:6">
      <c r="F36393" s="2423"/>
    </row>
    <row r="36394" spans="6:6">
      <c r="F36394" s="2423"/>
    </row>
    <row r="36395" spans="6:6">
      <c r="F36395" s="2423"/>
    </row>
    <row r="36396" spans="6:6">
      <c r="F36396" s="2423"/>
    </row>
    <row r="36397" spans="6:6">
      <c r="F36397" s="2423"/>
    </row>
    <row r="36398" spans="6:6">
      <c r="F36398" s="2423"/>
    </row>
    <row r="36399" spans="6:6">
      <c r="F36399" s="2423"/>
    </row>
    <row r="36400" spans="6:6">
      <c r="F36400" s="2423"/>
    </row>
    <row r="36401" spans="6:6">
      <c r="F36401" s="2423"/>
    </row>
    <row r="36402" spans="6:6">
      <c r="F36402" s="2423"/>
    </row>
    <row r="36403" spans="6:6">
      <c r="F36403" s="2423"/>
    </row>
    <row r="36404" spans="6:6">
      <c r="F36404" s="2423"/>
    </row>
    <row r="36405" spans="6:6">
      <c r="F36405" s="2423"/>
    </row>
    <row r="36406" spans="6:6">
      <c r="F36406" s="2423"/>
    </row>
    <row r="36407" spans="6:6">
      <c r="F36407" s="2423"/>
    </row>
    <row r="36408" spans="6:6">
      <c r="F36408" s="2423"/>
    </row>
    <row r="36409" spans="6:6">
      <c r="F36409" s="2423"/>
    </row>
    <row r="36410" spans="6:6">
      <c r="F36410" s="2423"/>
    </row>
    <row r="36411" spans="6:6">
      <c r="F36411" s="2423"/>
    </row>
    <row r="36412" spans="6:6">
      <c r="F36412" s="2423"/>
    </row>
    <row r="36413" spans="6:6">
      <c r="F36413" s="2423"/>
    </row>
    <row r="36414" spans="6:6">
      <c r="F36414" s="2423"/>
    </row>
    <row r="36415" spans="6:6">
      <c r="F36415" s="2423"/>
    </row>
    <row r="36416" spans="6:6">
      <c r="F36416" s="2423"/>
    </row>
    <row r="36417" spans="6:6">
      <c r="F36417" s="2423"/>
    </row>
    <row r="36418" spans="6:6">
      <c r="F36418" s="2423"/>
    </row>
    <row r="36419" spans="6:6">
      <c r="F36419" s="2423"/>
    </row>
    <row r="36420" spans="6:6">
      <c r="F36420" s="2423"/>
    </row>
    <row r="36421" spans="6:6">
      <c r="F36421" s="2423"/>
    </row>
    <row r="36422" spans="6:6">
      <c r="F36422" s="2423"/>
    </row>
    <row r="36423" spans="6:6">
      <c r="F36423" s="2423"/>
    </row>
    <row r="36424" spans="6:6">
      <c r="F36424" s="2423"/>
    </row>
    <row r="36425" spans="6:6">
      <c r="F36425" s="2423"/>
    </row>
    <row r="36426" spans="6:6">
      <c r="F36426" s="2423"/>
    </row>
    <row r="36427" spans="6:6">
      <c r="F36427" s="2423"/>
    </row>
    <row r="36428" spans="6:6">
      <c r="F36428" s="2423"/>
    </row>
    <row r="36429" spans="6:6">
      <c r="F36429" s="2423"/>
    </row>
    <row r="36430" spans="6:6">
      <c r="F36430" s="2423"/>
    </row>
    <row r="36431" spans="6:6">
      <c r="F36431" s="2423"/>
    </row>
    <row r="36432" spans="6:6">
      <c r="F36432" s="2423"/>
    </row>
    <row r="36433" spans="6:6">
      <c r="F36433" s="2423"/>
    </row>
    <row r="36434" spans="6:6">
      <c r="F36434" s="2423"/>
    </row>
    <row r="36435" spans="6:6">
      <c r="F36435" s="2423"/>
    </row>
    <row r="36436" spans="6:6">
      <c r="F36436" s="2423"/>
    </row>
    <row r="36437" spans="6:6">
      <c r="F36437" s="2423"/>
    </row>
    <row r="36438" spans="6:6">
      <c r="F36438" s="2423"/>
    </row>
    <row r="36439" spans="6:6">
      <c r="F36439" s="2423"/>
    </row>
    <row r="36440" spans="6:6">
      <c r="F36440" s="2423"/>
    </row>
    <row r="36441" spans="6:6">
      <c r="F36441" s="2423"/>
    </row>
    <row r="36442" spans="6:6">
      <c r="F36442" s="2423"/>
    </row>
    <row r="36443" spans="6:6">
      <c r="F36443" s="2423"/>
    </row>
    <row r="36444" spans="6:6">
      <c r="F36444" s="2423"/>
    </row>
    <row r="36445" spans="6:6">
      <c r="F36445" s="2423"/>
    </row>
    <row r="36446" spans="6:6">
      <c r="F36446" s="2423"/>
    </row>
    <row r="36447" spans="6:6">
      <c r="F36447" s="2423"/>
    </row>
    <row r="36448" spans="6:6">
      <c r="F36448" s="2423"/>
    </row>
    <row r="36449" spans="6:6">
      <c r="F36449" s="2423"/>
    </row>
    <row r="36450" spans="6:6">
      <c r="F36450" s="2423"/>
    </row>
    <row r="36451" spans="6:6">
      <c r="F36451" s="2423"/>
    </row>
    <row r="36452" spans="6:6">
      <c r="F36452" s="2423"/>
    </row>
    <row r="36453" spans="6:6">
      <c r="F36453" s="2423"/>
    </row>
    <row r="36454" spans="6:6">
      <c r="F36454" s="2423"/>
    </row>
    <row r="36455" spans="6:6">
      <c r="F36455" s="2423"/>
    </row>
    <row r="36456" spans="6:6">
      <c r="F36456" s="2423"/>
    </row>
    <row r="36457" spans="6:6">
      <c r="F36457" s="2423"/>
    </row>
    <row r="36458" spans="6:6">
      <c r="F36458" s="2423"/>
    </row>
    <row r="36459" spans="6:6">
      <c r="F36459" s="2423"/>
    </row>
    <row r="36460" spans="6:6">
      <c r="F36460" s="2423"/>
    </row>
    <row r="36461" spans="6:6">
      <c r="F36461" s="2423"/>
    </row>
    <row r="36462" spans="6:6">
      <c r="F36462" s="2423"/>
    </row>
    <row r="36463" spans="6:6">
      <c r="F36463" s="2423"/>
    </row>
    <row r="36464" spans="6:6">
      <c r="F36464" s="2423"/>
    </row>
    <row r="36465" spans="6:6">
      <c r="F36465" s="2423"/>
    </row>
    <row r="36466" spans="6:6">
      <c r="F36466" s="2423"/>
    </row>
    <row r="36467" spans="6:6">
      <c r="F36467" s="2423"/>
    </row>
    <row r="36468" spans="6:6">
      <c r="F36468" s="2423"/>
    </row>
    <row r="36469" spans="6:6">
      <c r="F36469" s="2423"/>
    </row>
    <row r="36470" spans="6:6">
      <c r="F36470" s="2423"/>
    </row>
    <row r="36471" spans="6:6">
      <c r="F36471" s="2423"/>
    </row>
    <row r="36472" spans="6:6">
      <c r="F36472" s="2423"/>
    </row>
    <row r="36473" spans="6:6">
      <c r="F36473" s="2423"/>
    </row>
    <row r="36474" spans="6:6">
      <c r="F36474" s="2423"/>
    </row>
    <row r="36475" spans="6:6">
      <c r="F36475" s="2423"/>
    </row>
    <row r="36476" spans="6:6">
      <c r="F36476" s="2423"/>
    </row>
    <row r="36477" spans="6:6">
      <c r="F36477" s="2423"/>
    </row>
    <row r="36478" spans="6:6">
      <c r="F36478" s="2423"/>
    </row>
    <row r="36479" spans="6:6">
      <c r="F36479" s="2423"/>
    </row>
    <row r="36480" spans="6:6">
      <c r="F36480" s="2423"/>
    </row>
    <row r="36481" spans="6:6">
      <c r="F36481" s="2423"/>
    </row>
    <row r="36482" spans="6:6">
      <c r="F36482" s="2423"/>
    </row>
    <row r="36483" spans="6:6">
      <c r="F36483" s="2423"/>
    </row>
    <row r="36484" spans="6:6">
      <c r="F36484" s="2423"/>
    </row>
    <row r="36485" spans="6:6">
      <c r="F36485" s="2423"/>
    </row>
    <row r="36486" spans="6:6">
      <c r="F36486" s="2423"/>
    </row>
    <row r="36487" spans="6:6">
      <c r="F36487" s="2423"/>
    </row>
    <row r="36488" spans="6:6">
      <c r="F36488" s="2423"/>
    </row>
    <row r="36489" spans="6:6">
      <c r="F36489" s="2423"/>
    </row>
    <row r="36490" spans="6:6">
      <c r="F36490" s="2423"/>
    </row>
    <row r="36491" spans="6:6">
      <c r="F36491" s="2423"/>
    </row>
    <row r="36492" spans="6:6">
      <c r="F36492" s="2423"/>
    </row>
    <row r="36493" spans="6:6">
      <c r="F36493" s="2423"/>
    </row>
    <row r="36494" spans="6:6">
      <c r="F36494" s="2423"/>
    </row>
    <row r="36495" spans="6:6">
      <c r="F36495" s="2423"/>
    </row>
    <row r="36496" spans="6:6">
      <c r="F36496" s="2423"/>
    </row>
    <row r="36497" spans="6:6">
      <c r="F36497" s="2423"/>
    </row>
    <row r="36498" spans="6:6">
      <c r="F36498" s="2423"/>
    </row>
    <row r="36499" spans="6:6">
      <c r="F36499" s="2423"/>
    </row>
    <row r="36500" spans="6:6">
      <c r="F36500" s="2423"/>
    </row>
    <row r="36501" spans="6:6">
      <c r="F36501" s="2423"/>
    </row>
    <row r="36502" spans="6:6">
      <c r="F36502" s="2423"/>
    </row>
    <row r="36503" spans="6:6">
      <c r="F36503" s="2423"/>
    </row>
    <row r="36504" spans="6:6">
      <c r="F36504" s="2423"/>
    </row>
    <row r="36505" spans="6:6">
      <c r="F36505" s="2423"/>
    </row>
    <row r="36506" spans="6:6">
      <c r="F36506" s="2423"/>
    </row>
    <row r="36507" spans="6:6">
      <c r="F36507" s="2423"/>
    </row>
    <row r="36508" spans="6:6">
      <c r="F36508" s="2423"/>
    </row>
    <row r="36509" spans="6:6">
      <c r="F36509" s="2423"/>
    </row>
    <row r="36510" spans="6:6">
      <c r="F36510" s="2423"/>
    </row>
    <row r="36511" spans="6:6">
      <c r="F36511" s="2423"/>
    </row>
    <row r="36512" spans="6:6">
      <c r="F36512" s="2423"/>
    </row>
    <row r="36513" spans="6:6">
      <c r="F36513" s="2423"/>
    </row>
    <row r="36514" spans="6:6">
      <c r="F36514" s="2423"/>
    </row>
    <row r="36515" spans="6:6">
      <c r="F36515" s="2423"/>
    </row>
    <row r="36516" spans="6:6">
      <c r="F36516" s="2423"/>
    </row>
    <row r="36517" spans="6:6">
      <c r="F36517" s="2423"/>
    </row>
    <row r="36518" spans="6:6">
      <c r="F36518" s="2423"/>
    </row>
    <row r="36519" spans="6:6">
      <c r="F36519" s="2423"/>
    </row>
    <row r="36520" spans="6:6">
      <c r="F36520" s="2423"/>
    </row>
    <row r="36521" spans="6:6">
      <c r="F36521" s="2423"/>
    </row>
    <row r="36522" spans="6:6">
      <c r="F36522" s="2423"/>
    </row>
    <row r="36523" spans="6:6">
      <c r="F36523" s="2423"/>
    </row>
    <row r="36524" spans="6:6">
      <c r="F36524" s="2423"/>
    </row>
    <row r="36525" spans="6:6">
      <c r="F36525" s="2423"/>
    </row>
    <row r="36526" spans="6:6">
      <c r="F36526" s="2423"/>
    </row>
    <row r="36527" spans="6:6">
      <c r="F36527" s="2423"/>
    </row>
    <row r="36528" spans="6:6">
      <c r="F36528" s="2423"/>
    </row>
    <row r="36529" spans="6:6">
      <c r="F36529" s="2423"/>
    </row>
    <row r="36530" spans="6:6">
      <c r="F36530" s="2423"/>
    </row>
    <row r="36531" spans="6:6">
      <c r="F36531" s="2423"/>
    </row>
    <row r="36532" spans="6:6">
      <c r="F36532" s="2423"/>
    </row>
    <row r="36533" spans="6:6">
      <c r="F36533" s="2423"/>
    </row>
    <row r="36534" spans="6:6">
      <c r="F36534" s="2423"/>
    </row>
    <row r="36535" spans="6:6">
      <c r="F36535" s="2423"/>
    </row>
    <row r="36536" spans="6:6">
      <c r="F36536" s="2423"/>
    </row>
    <row r="36537" spans="6:6">
      <c r="F36537" s="2423"/>
    </row>
    <row r="36538" spans="6:6">
      <c r="F36538" s="2423"/>
    </row>
    <row r="36539" spans="6:6">
      <c r="F36539" s="2423"/>
    </row>
    <row r="36540" spans="6:6">
      <c r="F36540" s="2423"/>
    </row>
    <row r="36541" spans="6:6">
      <c r="F36541" s="2423"/>
    </row>
    <row r="36542" spans="6:6">
      <c r="F36542" s="2423"/>
    </row>
    <row r="36543" spans="6:6">
      <c r="F36543" s="2423"/>
    </row>
    <row r="36544" spans="6:6">
      <c r="F36544" s="2423"/>
    </row>
    <row r="36545" spans="6:6">
      <c r="F36545" s="2423"/>
    </row>
    <row r="36546" spans="6:6">
      <c r="F36546" s="2423"/>
    </row>
    <row r="36547" spans="6:6">
      <c r="F36547" s="2423"/>
    </row>
    <row r="36548" spans="6:6">
      <c r="F36548" s="2423"/>
    </row>
    <row r="36549" spans="6:6">
      <c r="F36549" s="2423"/>
    </row>
    <row r="36550" spans="6:6">
      <c r="F36550" s="2423"/>
    </row>
    <row r="36551" spans="6:6">
      <c r="F36551" s="2423"/>
    </row>
    <row r="36552" spans="6:6">
      <c r="F36552" s="2423"/>
    </row>
    <row r="36553" spans="6:6">
      <c r="F36553" s="2423"/>
    </row>
    <row r="36554" spans="6:6">
      <c r="F36554" s="2423"/>
    </row>
    <row r="36555" spans="6:6">
      <c r="F36555" s="2423"/>
    </row>
    <row r="36556" spans="6:6">
      <c r="F36556" s="2423"/>
    </row>
    <row r="36557" spans="6:6">
      <c r="F36557" s="2423"/>
    </row>
    <row r="36558" spans="6:6">
      <c r="F36558" s="2423"/>
    </row>
    <row r="36559" spans="6:6">
      <c r="F36559" s="2423"/>
    </row>
    <row r="36560" spans="6:6">
      <c r="F36560" s="2423"/>
    </row>
    <row r="36561" spans="6:6">
      <c r="F36561" s="2423"/>
    </row>
    <row r="36562" spans="6:6">
      <c r="F36562" s="2423"/>
    </row>
    <row r="36563" spans="6:6">
      <c r="F36563" s="2423"/>
    </row>
    <row r="36564" spans="6:6">
      <c r="F36564" s="2423"/>
    </row>
    <row r="36565" spans="6:6">
      <c r="F36565" s="2423"/>
    </row>
    <row r="36566" spans="6:6">
      <c r="F36566" s="2423"/>
    </row>
    <row r="36567" spans="6:6">
      <c r="F36567" s="2423"/>
    </row>
    <row r="36568" spans="6:6">
      <c r="F36568" s="2423"/>
    </row>
    <row r="36569" spans="6:6">
      <c r="F36569" s="2423"/>
    </row>
    <row r="36570" spans="6:6">
      <c r="F36570" s="2423"/>
    </row>
    <row r="36571" spans="6:6">
      <c r="F36571" s="2423"/>
    </row>
    <row r="36572" spans="6:6">
      <c r="F36572" s="2423"/>
    </row>
    <row r="36573" spans="6:6">
      <c r="F36573" s="2423"/>
    </row>
    <row r="36574" spans="6:6">
      <c r="F36574" s="2423"/>
    </row>
    <row r="36575" spans="6:6">
      <c r="F36575" s="2423"/>
    </row>
    <row r="36576" spans="6:6">
      <c r="F36576" s="2423"/>
    </row>
    <row r="36577" spans="6:6">
      <c r="F36577" s="2423"/>
    </row>
    <row r="36578" spans="6:6">
      <c r="F36578" s="2423"/>
    </row>
    <row r="36579" spans="6:6">
      <c r="F36579" s="2423"/>
    </row>
    <row r="36580" spans="6:6">
      <c r="F36580" s="2423"/>
    </row>
    <row r="36581" spans="6:6">
      <c r="F36581" s="2423"/>
    </row>
    <row r="36582" spans="6:6">
      <c r="F36582" s="2423"/>
    </row>
    <row r="36583" spans="6:6">
      <c r="F36583" s="2423"/>
    </row>
    <row r="36584" spans="6:6">
      <c r="F36584" s="2423"/>
    </row>
    <row r="36585" spans="6:6">
      <c r="F36585" s="2423"/>
    </row>
    <row r="36586" spans="6:6">
      <c r="F36586" s="2423"/>
    </row>
    <row r="36587" spans="6:6">
      <c r="F36587" s="2423"/>
    </row>
    <row r="36588" spans="6:6">
      <c r="F36588" s="2423"/>
    </row>
    <row r="36589" spans="6:6">
      <c r="F36589" s="2423"/>
    </row>
    <row r="36590" spans="6:6">
      <c r="F36590" s="2423"/>
    </row>
    <row r="36591" spans="6:6">
      <c r="F36591" s="2423"/>
    </row>
    <row r="36592" spans="6:6">
      <c r="F36592" s="2423"/>
    </row>
    <row r="36593" spans="6:6">
      <c r="F36593" s="2423"/>
    </row>
    <row r="36594" spans="6:6">
      <c r="F36594" s="2423"/>
    </row>
    <row r="36595" spans="6:6">
      <c r="F36595" s="2423"/>
    </row>
    <row r="36596" spans="6:6">
      <c r="F36596" s="2423"/>
    </row>
    <row r="36597" spans="6:6">
      <c r="F36597" s="2423"/>
    </row>
    <row r="36598" spans="6:6">
      <c r="F36598" s="2423"/>
    </row>
    <row r="36599" spans="6:6">
      <c r="F36599" s="2423"/>
    </row>
    <row r="36600" spans="6:6">
      <c r="F36600" s="2423"/>
    </row>
    <row r="36601" spans="6:6">
      <c r="F36601" s="2423"/>
    </row>
    <row r="36602" spans="6:6">
      <c r="F36602" s="2423"/>
    </row>
    <row r="36603" spans="6:6">
      <c r="F36603" s="2423"/>
    </row>
    <row r="36604" spans="6:6">
      <c r="F36604" s="2423"/>
    </row>
    <row r="36605" spans="6:6">
      <c r="F36605" s="2423"/>
    </row>
    <row r="36606" spans="6:6">
      <c r="F36606" s="2423"/>
    </row>
    <row r="36607" spans="6:6">
      <c r="F36607" s="2423"/>
    </row>
    <row r="36608" spans="6:6">
      <c r="F36608" s="2423"/>
    </row>
    <row r="36609" spans="6:6">
      <c r="F36609" s="2423"/>
    </row>
    <row r="36610" spans="6:6">
      <c r="F36610" s="2423"/>
    </row>
    <row r="36611" spans="6:6">
      <c r="F36611" s="2423"/>
    </row>
    <row r="36612" spans="6:6">
      <c r="F36612" s="2423"/>
    </row>
    <row r="36613" spans="6:6">
      <c r="F36613" s="2423"/>
    </row>
    <row r="36614" spans="6:6">
      <c r="F36614" s="2423"/>
    </row>
    <row r="36615" spans="6:6">
      <c r="F36615" s="2423"/>
    </row>
    <row r="36616" spans="6:6">
      <c r="F36616" s="2423"/>
    </row>
    <row r="36617" spans="6:6">
      <c r="F36617" s="2423"/>
    </row>
    <row r="36618" spans="6:6">
      <c r="F36618" s="2423"/>
    </row>
    <row r="36619" spans="6:6">
      <c r="F36619" s="2423"/>
    </row>
    <row r="36620" spans="6:6">
      <c r="F36620" s="2423"/>
    </row>
    <row r="36621" spans="6:6">
      <c r="F36621" s="2423"/>
    </row>
    <row r="36622" spans="6:6">
      <c r="F36622" s="2423"/>
    </row>
    <row r="36623" spans="6:6">
      <c r="F36623" s="2423"/>
    </row>
    <row r="36624" spans="6:6">
      <c r="F36624" s="2423"/>
    </row>
    <row r="36625" spans="6:6">
      <c r="F36625" s="2423"/>
    </row>
    <row r="36626" spans="6:6">
      <c r="F36626" s="2423"/>
    </row>
    <row r="36627" spans="6:6">
      <c r="F36627" s="2423"/>
    </row>
    <row r="36628" spans="6:6">
      <c r="F36628" s="2423"/>
    </row>
    <row r="36629" spans="6:6">
      <c r="F36629" s="2423"/>
    </row>
    <row r="36630" spans="6:6">
      <c r="F36630" s="2423"/>
    </row>
    <row r="36631" spans="6:6">
      <c r="F36631" s="2423"/>
    </row>
    <row r="36632" spans="6:6">
      <c r="F36632" s="2423"/>
    </row>
    <row r="36633" spans="6:6">
      <c r="F36633" s="2423"/>
    </row>
    <row r="36634" spans="6:6">
      <c r="F36634" s="2423"/>
    </row>
    <row r="36635" spans="6:6">
      <c r="F36635" s="2423"/>
    </row>
    <row r="36636" spans="6:6">
      <c r="F36636" s="2423"/>
    </row>
    <row r="36637" spans="6:6">
      <c r="F36637" s="2423"/>
    </row>
    <row r="36638" spans="6:6">
      <c r="F36638" s="2423"/>
    </row>
    <row r="36639" spans="6:6">
      <c r="F36639" s="2423"/>
    </row>
    <row r="36640" spans="6:6">
      <c r="F36640" s="2423"/>
    </row>
    <row r="36641" spans="6:6">
      <c r="F36641" s="2423"/>
    </row>
    <row r="36642" spans="6:6">
      <c r="F36642" s="2423"/>
    </row>
    <row r="36643" spans="6:6">
      <c r="F36643" s="2423"/>
    </row>
    <row r="36644" spans="6:6">
      <c r="F36644" s="2423"/>
    </row>
    <row r="36645" spans="6:6">
      <c r="F36645" s="2423"/>
    </row>
    <row r="36646" spans="6:6">
      <c r="F36646" s="2423"/>
    </row>
    <row r="36647" spans="6:6">
      <c r="F36647" s="2423"/>
    </row>
    <row r="36648" spans="6:6">
      <c r="F36648" s="2423"/>
    </row>
    <row r="36649" spans="6:6">
      <c r="F36649" s="2423"/>
    </row>
    <row r="36650" spans="6:6">
      <c r="F36650" s="2423"/>
    </row>
    <row r="36651" spans="6:6">
      <c r="F36651" s="2423"/>
    </row>
    <row r="36652" spans="6:6">
      <c r="F36652" s="2423"/>
    </row>
    <row r="36653" spans="6:6">
      <c r="F36653" s="2423"/>
    </row>
    <row r="36654" spans="6:6">
      <c r="F36654" s="2423"/>
    </row>
    <row r="36655" spans="6:6">
      <c r="F36655" s="2423"/>
    </row>
    <row r="36656" spans="6:6">
      <c r="F36656" s="2423"/>
    </row>
    <row r="36657" spans="6:6">
      <c r="F36657" s="2423"/>
    </row>
    <row r="36658" spans="6:6">
      <c r="F36658" s="2423"/>
    </row>
    <row r="36659" spans="6:6">
      <c r="F36659" s="2423"/>
    </row>
    <row r="36660" spans="6:6">
      <c r="F36660" s="2423"/>
    </row>
    <row r="36661" spans="6:6">
      <c r="F36661" s="2423"/>
    </row>
    <row r="36662" spans="6:6">
      <c r="F36662" s="2423"/>
    </row>
    <row r="36663" spans="6:6">
      <c r="F36663" s="2423"/>
    </row>
    <row r="36664" spans="6:6">
      <c r="F36664" s="2423"/>
    </row>
    <row r="36665" spans="6:6">
      <c r="F36665" s="2423"/>
    </row>
    <row r="36666" spans="6:6">
      <c r="F36666" s="2423"/>
    </row>
    <row r="36667" spans="6:6">
      <c r="F36667" s="2423"/>
    </row>
    <row r="36668" spans="6:6">
      <c r="F36668" s="2423"/>
    </row>
    <row r="36669" spans="6:6">
      <c r="F36669" s="2423"/>
    </row>
    <row r="36670" spans="6:6">
      <c r="F36670" s="2423"/>
    </row>
    <row r="36671" spans="6:6">
      <c r="F36671" s="2423"/>
    </row>
    <row r="36672" spans="6:6">
      <c r="F36672" s="2423"/>
    </row>
    <row r="36673" spans="6:6">
      <c r="F36673" s="2423"/>
    </row>
    <row r="36674" spans="6:6">
      <c r="F36674" s="2423"/>
    </row>
    <row r="36675" spans="6:6">
      <c r="F36675" s="2423"/>
    </row>
    <row r="36676" spans="6:6">
      <c r="F36676" s="2423"/>
    </row>
    <row r="36677" spans="6:6">
      <c r="F36677" s="2423"/>
    </row>
    <row r="36678" spans="6:6">
      <c r="F36678" s="2423"/>
    </row>
    <row r="36679" spans="6:6">
      <c r="F36679" s="2423"/>
    </row>
    <row r="36680" spans="6:6">
      <c r="F36680" s="2423"/>
    </row>
    <row r="36681" spans="6:6">
      <c r="F36681" s="2423"/>
    </row>
    <row r="36682" spans="6:6">
      <c r="F36682" s="2423"/>
    </row>
    <row r="36683" spans="6:6">
      <c r="F36683" s="2423"/>
    </row>
    <row r="36684" spans="6:6">
      <c r="F36684" s="2423"/>
    </row>
    <row r="36685" spans="6:6">
      <c r="F36685" s="2423"/>
    </row>
    <row r="36686" spans="6:6">
      <c r="F36686" s="2423"/>
    </row>
    <row r="36687" spans="6:6">
      <c r="F36687" s="2423"/>
    </row>
    <row r="36688" spans="6:6">
      <c r="F36688" s="2423"/>
    </row>
    <row r="36689" spans="6:6">
      <c r="F36689" s="2423"/>
    </row>
    <row r="36690" spans="6:6">
      <c r="F36690" s="2423"/>
    </row>
    <row r="36691" spans="6:6">
      <c r="F36691" s="2423"/>
    </row>
    <row r="36692" spans="6:6">
      <c r="F36692" s="2423"/>
    </row>
    <row r="36693" spans="6:6">
      <c r="F36693" s="2423"/>
    </row>
    <row r="36694" spans="6:6">
      <c r="F36694" s="2423"/>
    </row>
    <row r="36695" spans="6:6">
      <c r="F36695" s="2423"/>
    </row>
    <row r="36696" spans="6:6">
      <c r="F36696" s="2423"/>
    </row>
    <row r="36697" spans="6:6">
      <c r="F36697" s="2423"/>
    </row>
    <row r="36698" spans="6:6">
      <c r="F36698" s="2423"/>
    </row>
    <row r="36699" spans="6:6">
      <c r="F36699" s="2423"/>
    </row>
    <row r="36700" spans="6:6">
      <c r="F36700" s="2423"/>
    </row>
    <row r="36701" spans="6:6">
      <c r="F36701" s="2423"/>
    </row>
    <row r="36702" spans="6:6">
      <c r="F36702" s="2423"/>
    </row>
    <row r="36703" spans="6:6">
      <c r="F36703" s="2423"/>
    </row>
    <row r="36704" spans="6:6">
      <c r="F36704" s="2423"/>
    </row>
    <row r="36705" spans="6:6">
      <c r="F36705" s="2423"/>
    </row>
    <row r="36706" spans="6:6">
      <c r="F36706" s="2423"/>
    </row>
    <row r="36707" spans="6:6">
      <c r="F36707" s="2423"/>
    </row>
    <row r="36708" spans="6:6">
      <c r="F36708" s="2423"/>
    </row>
    <row r="36709" spans="6:6">
      <c r="F36709" s="2423"/>
    </row>
    <row r="36710" spans="6:6">
      <c r="F36710" s="2423"/>
    </row>
    <row r="36711" spans="6:6">
      <c r="F36711" s="2423"/>
    </row>
    <row r="36712" spans="6:6">
      <c r="F36712" s="2423"/>
    </row>
    <row r="36713" spans="6:6">
      <c r="F36713" s="2423"/>
    </row>
    <row r="36714" spans="6:6">
      <c r="F36714" s="2423"/>
    </row>
    <row r="36715" spans="6:6">
      <c r="F36715" s="2423"/>
    </row>
    <row r="36716" spans="6:6">
      <c r="F36716" s="2423"/>
    </row>
    <row r="36717" spans="6:6">
      <c r="F36717" s="2423"/>
    </row>
    <row r="36718" spans="6:6">
      <c r="F36718" s="2423"/>
    </row>
    <row r="36719" spans="6:6">
      <c r="F36719" s="2423"/>
    </row>
    <row r="36720" spans="6:6">
      <c r="F36720" s="2423"/>
    </row>
    <row r="36721" spans="6:6">
      <c r="F36721" s="2423"/>
    </row>
    <row r="36722" spans="6:6">
      <c r="F36722" s="2423"/>
    </row>
    <row r="36723" spans="6:6">
      <c r="F36723" s="2423"/>
    </row>
    <row r="36724" spans="6:6">
      <c r="F36724" s="2423"/>
    </row>
    <row r="36725" spans="6:6">
      <c r="F36725" s="2423"/>
    </row>
    <row r="36726" spans="6:6">
      <c r="F36726" s="2423"/>
    </row>
    <row r="36727" spans="6:6">
      <c r="F36727" s="2423"/>
    </row>
    <row r="36728" spans="6:6">
      <c r="F36728" s="2423"/>
    </row>
    <row r="36729" spans="6:6">
      <c r="F36729" s="2423"/>
    </row>
    <row r="36730" spans="6:6">
      <c r="F36730" s="2423"/>
    </row>
    <row r="36731" spans="6:6">
      <c r="F36731" s="2423"/>
    </row>
    <row r="36732" spans="6:6">
      <c r="F36732" s="2423"/>
    </row>
    <row r="36733" spans="6:6">
      <c r="F36733" s="2423"/>
    </row>
    <row r="36734" spans="6:6">
      <c r="F36734" s="2423"/>
    </row>
    <row r="36735" spans="6:6">
      <c r="F36735" s="2423"/>
    </row>
    <row r="36736" spans="6:6">
      <c r="F36736" s="2423"/>
    </row>
    <row r="36737" spans="6:6">
      <c r="F36737" s="2423"/>
    </row>
    <row r="36738" spans="6:6">
      <c r="F36738" s="2423"/>
    </row>
    <row r="36739" spans="6:6">
      <c r="F36739" s="2423"/>
    </row>
    <row r="36740" spans="6:6">
      <c r="F36740" s="2423"/>
    </row>
    <row r="36741" spans="6:6">
      <c r="F36741" s="2423"/>
    </row>
    <row r="36742" spans="6:6">
      <c r="F36742" s="2423"/>
    </row>
    <row r="36743" spans="6:6">
      <c r="F36743" s="2423"/>
    </row>
    <row r="36744" spans="6:6">
      <c r="F36744" s="2423"/>
    </row>
    <row r="36745" spans="6:6">
      <c r="F36745" s="2423"/>
    </row>
    <row r="36746" spans="6:6">
      <c r="F36746" s="2423"/>
    </row>
    <row r="36747" spans="6:6">
      <c r="F36747" s="2423"/>
    </row>
    <row r="36748" spans="6:6">
      <c r="F36748" s="2423"/>
    </row>
    <row r="36749" spans="6:6">
      <c r="F36749" s="2423"/>
    </row>
    <row r="36750" spans="6:6">
      <c r="F36750" s="2423"/>
    </row>
    <row r="36751" spans="6:6">
      <c r="F36751" s="2423"/>
    </row>
    <row r="36752" spans="6:6">
      <c r="F36752" s="2423"/>
    </row>
    <row r="36753" spans="6:6">
      <c r="F36753" s="2423"/>
    </row>
    <row r="36754" spans="6:6">
      <c r="F36754" s="2423"/>
    </row>
    <row r="36755" spans="6:6">
      <c r="F36755" s="2423"/>
    </row>
    <row r="36756" spans="6:6">
      <c r="F36756" s="2423"/>
    </row>
    <row r="36757" spans="6:6">
      <c r="F36757" s="2423"/>
    </row>
    <row r="36758" spans="6:6">
      <c r="F36758" s="2423"/>
    </row>
    <row r="36759" spans="6:6">
      <c r="F36759" s="2423"/>
    </row>
    <row r="36760" spans="6:6">
      <c r="F36760" s="2423"/>
    </row>
    <row r="36761" spans="6:6">
      <c r="F36761" s="2423"/>
    </row>
    <row r="36762" spans="6:6">
      <c r="F36762" s="2423"/>
    </row>
    <row r="36763" spans="6:6">
      <c r="F36763" s="2423"/>
    </row>
    <row r="36764" spans="6:6">
      <c r="F36764" s="2423"/>
    </row>
    <row r="36765" spans="6:6">
      <c r="F36765" s="2423"/>
    </row>
    <row r="36766" spans="6:6">
      <c r="F36766" s="2423"/>
    </row>
    <row r="36767" spans="6:6">
      <c r="F36767" s="2423"/>
    </row>
    <row r="36768" spans="6:6">
      <c r="F36768" s="2423"/>
    </row>
    <row r="36769" spans="6:6">
      <c r="F36769" s="2423"/>
    </row>
    <row r="36770" spans="6:6">
      <c r="F36770" s="2423"/>
    </row>
    <row r="36771" spans="6:6">
      <c r="F36771" s="2423"/>
    </row>
    <row r="36772" spans="6:6">
      <c r="F36772" s="2423"/>
    </row>
    <row r="36773" spans="6:6">
      <c r="F36773" s="2423"/>
    </row>
    <row r="36774" spans="6:6">
      <c r="F36774" s="2423"/>
    </row>
    <row r="36775" spans="6:6">
      <c r="F36775" s="2423"/>
    </row>
    <row r="36776" spans="6:6">
      <c r="F36776" s="2423"/>
    </row>
    <row r="36777" spans="6:6">
      <c r="F36777" s="2423"/>
    </row>
    <row r="36778" spans="6:6">
      <c r="F36778" s="2423"/>
    </row>
    <row r="36779" spans="6:6">
      <c r="F36779" s="2423"/>
    </row>
    <row r="36780" spans="6:6">
      <c r="F36780" s="2423"/>
    </row>
    <row r="36781" spans="6:6">
      <c r="F36781" s="2423"/>
    </row>
    <row r="36782" spans="6:6">
      <c r="F36782" s="2423"/>
    </row>
    <row r="36783" spans="6:6">
      <c r="F36783" s="2423"/>
    </row>
    <row r="36784" spans="6:6">
      <c r="F36784" s="2423"/>
    </row>
    <row r="36785" spans="6:6">
      <c r="F36785" s="2423"/>
    </row>
    <row r="36786" spans="6:6">
      <c r="F36786" s="2423"/>
    </row>
    <row r="36787" spans="6:6">
      <c r="F36787" s="2423"/>
    </row>
    <row r="36788" spans="6:6">
      <c r="F36788" s="2423"/>
    </row>
    <row r="36789" spans="6:6">
      <c r="F36789" s="2423"/>
    </row>
    <row r="36790" spans="6:6">
      <c r="F36790" s="2423"/>
    </row>
    <row r="36791" spans="6:6">
      <c r="F36791" s="2423"/>
    </row>
    <row r="36792" spans="6:6">
      <c r="F36792" s="2423"/>
    </row>
    <row r="36793" spans="6:6">
      <c r="F36793" s="2423"/>
    </row>
    <row r="36794" spans="6:6">
      <c r="F36794" s="2423"/>
    </row>
    <row r="36795" spans="6:6">
      <c r="F36795" s="2423"/>
    </row>
    <row r="36796" spans="6:6">
      <c r="F36796" s="2423"/>
    </row>
    <row r="36797" spans="6:6">
      <c r="F36797" s="2423"/>
    </row>
    <row r="36798" spans="6:6">
      <c r="F36798" s="2423"/>
    </row>
    <row r="36799" spans="6:6">
      <c r="F36799" s="2423"/>
    </row>
    <row r="36800" spans="6:6">
      <c r="F36800" s="2423"/>
    </row>
    <row r="36801" spans="6:6">
      <c r="F36801" s="2423"/>
    </row>
    <row r="36802" spans="6:6">
      <c r="F36802" s="2423"/>
    </row>
    <row r="36803" spans="6:6">
      <c r="F36803" s="2423"/>
    </row>
    <row r="36804" spans="6:6">
      <c r="F36804" s="2423"/>
    </row>
    <row r="36805" spans="6:6">
      <c r="F36805" s="2423"/>
    </row>
    <row r="36806" spans="6:6">
      <c r="F36806" s="2423"/>
    </row>
    <row r="36807" spans="6:6">
      <c r="F36807" s="2423"/>
    </row>
    <row r="36808" spans="6:6">
      <c r="F36808" s="2423"/>
    </row>
    <row r="36809" spans="6:6">
      <c r="F36809" s="2423"/>
    </row>
    <row r="36810" spans="6:6">
      <c r="F36810" s="2423"/>
    </row>
    <row r="36811" spans="6:6">
      <c r="F36811" s="2423"/>
    </row>
    <row r="36812" spans="6:6">
      <c r="F36812" s="2423"/>
    </row>
    <row r="36813" spans="6:6">
      <c r="F36813" s="2423"/>
    </row>
    <row r="36814" spans="6:6">
      <c r="F36814" s="2423"/>
    </row>
    <row r="36815" spans="6:6">
      <c r="F36815" s="2423"/>
    </row>
    <row r="36816" spans="6:6">
      <c r="F36816" s="2423"/>
    </row>
    <row r="36817" spans="6:6">
      <c r="F36817" s="2423"/>
    </row>
    <row r="36818" spans="6:6">
      <c r="F36818" s="2423"/>
    </row>
    <row r="36819" spans="6:6">
      <c r="F36819" s="2423"/>
    </row>
    <row r="36820" spans="6:6">
      <c r="F36820" s="2423"/>
    </row>
    <row r="36821" spans="6:6">
      <c r="F36821" s="2423"/>
    </row>
    <row r="36822" spans="6:6">
      <c r="F36822" s="2423"/>
    </row>
    <row r="36823" spans="6:6">
      <c r="F36823" s="2423"/>
    </row>
    <row r="36824" spans="6:6">
      <c r="F36824" s="2423"/>
    </row>
    <row r="36825" spans="6:6">
      <c r="F36825" s="2423"/>
    </row>
    <row r="36826" spans="6:6">
      <c r="F36826" s="2423"/>
    </row>
    <row r="36827" spans="6:6">
      <c r="F36827" s="2423"/>
    </row>
    <row r="36828" spans="6:6">
      <c r="F36828" s="2423"/>
    </row>
    <row r="36829" spans="6:6">
      <c r="F36829" s="2423"/>
    </row>
    <row r="36830" spans="6:6">
      <c r="F36830" s="2423"/>
    </row>
    <row r="36831" spans="6:6">
      <c r="F36831" s="2423"/>
    </row>
    <row r="36832" spans="6:6">
      <c r="F36832" s="2423"/>
    </row>
    <row r="36833" spans="6:6">
      <c r="F36833" s="2423"/>
    </row>
    <row r="36834" spans="6:6">
      <c r="F36834" s="2423"/>
    </row>
    <row r="36835" spans="6:6">
      <c r="F36835" s="2423"/>
    </row>
    <row r="36836" spans="6:6">
      <c r="F36836" s="2423"/>
    </row>
    <row r="36837" spans="6:6">
      <c r="F36837" s="2423"/>
    </row>
    <row r="36838" spans="6:6">
      <c r="F36838" s="2423"/>
    </row>
    <row r="36839" spans="6:6">
      <c r="F36839" s="2423"/>
    </row>
    <row r="36840" spans="6:6">
      <c r="F36840" s="2423"/>
    </row>
    <row r="36841" spans="6:6">
      <c r="F36841" s="2423"/>
    </row>
    <row r="36842" spans="6:6">
      <c r="F36842" s="2423"/>
    </row>
    <row r="36843" spans="6:6">
      <c r="F36843" s="2423"/>
    </row>
    <row r="36844" spans="6:6">
      <c r="F36844" s="2423"/>
    </row>
    <row r="36845" spans="6:6">
      <c r="F36845" s="2423"/>
    </row>
    <row r="36846" spans="6:6">
      <c r="F36846" s="2423"/>
    </row>
    <row r="36847" spans="6:6">
      <c r="F36847" s="2423"/>
    </row>
    <row r="36848" spans="6:6">
      <c r="F36848" s="2423"/>
    </row>
    <row r="36849" spans="6:6">
      <c r="F36849" s="2423"/>
    </row>
    <row r="36850" spans="6:6">
      <c r="F36850" s="2423"/>
    </row>
    <row r="36851" spans="6:6">
      <c r="F36851" s="2423"/>
    </row>
    <row r="36852" spans="6:6">
      <c r="F36852" s="2423"/>
    </row>
    <row r="36853" spans="6:6">
      <c r="F36853" s="2423"/>
    </row>
    <row r="36854" spans="6:6">
      <c r="F36854" s="2423"/>
    </row>
    <row r="36855" spans="6:6">
      <c r="F36855" s="2423"/>
    </row>
    <row r="36856" spans="6:6">
      <c r="F36856" s="2423"/>
    </row>
    <row r="36857" spans="6:6">
      <c r="F36857" s="2423"/>
    </row>
    <row r="36858" spans="6:6">
      <c r="F36858" s="2423"/>
    </row>
    <row r="36859" spans="6:6">
      <c r="F36859" s="2423"/>
    </row>
    <row r="36860" spans="6:6">
      <c r="F36860" s="2423"/>
    </row>
    <row r="36861" spans="6:6">
      <c r="F36861" s="2423"/>
    </row>
    <row r="36862" spans="6:6">
      <c r="F36862" s="2423"/>
    </row>
    <row r="36863" spans="6:6">
      <c r="F36863" s="2423"/>
    </row>
    <row r="36864" spans="6:6">
      <c r="F36864" s="2423"/>
    </row>
    <row r="36865" spans="6:6">
      <c r="F36865" s="2423"/>
    </row>
    <row r="36866" spans="6:6">
      <c r="F36866" s="2423"/>
    </row>
    <row r="36867" spans="6:6">
      <c r="F36867" s="2423"/>
    </row>
    <row r="36868" spans="6:6">
      <c r="F36868" s="2423"/>
    </row>
    <row r="36869" spans="6:6">
      <c r="F36869" s="2423"/>
    </row>
    <row r="36870" spans="6:6">
      <c r="F36870" s="2423"/>
    </row>
    <row r="36871" spans="6:6">
      <c r="F36871" s="2423"/>
    </row>
    <row r="36872" spans="6:6">
      <c r="F36872" s="2423"/>
    </row>
    <row r="36873" spans="6:6">
      <c r="F36873" s="2423"/>
    </row>
    <row r="36874" spans="6:6">
      <c r="F36874" s="2423"/>
    </row>
    <row r="36875" spans="6:6">
      <c r="F36875" s="2423"/>
    </row>
    <row r="36876" spans="6:6">
      <c r="F36876" s="2423"/>
    </row>
    <row r="36877" spans="6:6">
      <c r="F36877" s="2423"/>
    </row>
    <row r="36878" spans="6:6">
      <c r="F36878" s="2423"/>
    </row>
    <row r="36879" spans="6:6">
      <c r="F36879" s="2423"/>
    </row>
    <row r="36880" spans="6:6">
      <c r="F36880" s="2423"/>
    </row>
    <row r="36881" spans="6:6">
      <c r="F36881" s="2423"/>
    </row>
    <row r="36882" spans="6:6">
      <c r="F36882" s="2423"/>
    </row>
    <row r="36883" spans="6:6">
      <c r="F36883" s="2423"/>
    </row>
    <row r="36884" spans="6:6">
      <c r="F36884" s="2423"/>
    </row>
    <row r="36885" spans="6:6">
      <c r="F36885" s="2423"/>
    </row>
    <row r="36886" spans="6:6">
      <c r="F36886" s="2423"/>
    </row>
    <row r="36887" spans="6:6">
      <c r="F36887" s="2423"/>
    </row>
    <row r="36888" spans="6:6">
      <c r="F36888" s="2423"/>
    </row>
    <row r="36889" spans="6:6">
      <c r="F36889" s="2423"/>
    </row>
    <row r="36890" spans="6:6">
      <c r="F36890" s="2423"/>
    </row>
    <row r="36891" spans="6:6">
      <c r="F36891" s="2423"/>
    </row>
    <row r="36892" spans="6:6">
      <c r="F36892" s="2423"/>
    </row>
    <row r="36893" spans="6:6">
      <c r="F36893" s="2423"/>
    </row>
    <row r="36894" spans="6:6">
      <c r="F36894" s="2423"/>
    </row>
    <row r="36895" spans="6:6">
      <c r="F36895" s="2423"/>
    </row>
    <row r="36896" spans="6:6">
      <c r="F36896" s="2423"/>
    </row>
    <row r="36897" spans="6:6">
      <c r="F36897" s="2423"/>
    </row>
    <row r="36898" spans="6:6">
      <c r="F36898" s="2423"/>
    </row>
    <row r="36899" spans="6:6">
      <c r="F36899" s="2423"/>
    </row>
    <row r="36900" spans="6:6">
      <c r="F36900" s="2423"/>
    </row>
    <row r="36901" spans="6:6">
      <c r="F36901" s="2423"/>
    </row>
    <row r="36902" spans="6:6">
      <c r="F36902" s="2423"/>
    </row>
    <row r="36903" spans="6:6">
      <c r="F36903" s="2423"/>
    </row>
    <row r="36904" spans="6:6">
      <c r="F36904" s="2423"/>
    </row>
    <row r="36905" spans="6:6">
      <c r="F36905" s="2423"/>
    </row>
    <row r="36906" spans="6:6">
      <c r="F36906" s="2423"/>
    </row>
    <row r="36907" spans="6:6">
      <c r="F36907" s="2423"/>
    </row>
    <row r="36908" spans="6:6">
      <c r="F36908" s="2423"/>
    </row>
    <row r="36909" spans="6:6">
      <c r="F36909" s="2423"/>
    </row>
    <row r="36910" spans="6:6">
      <c r="F36910" s="2423"/>
    </row>
    <row r="36911" spans="6:6">
      <c r="F36911" s="2423"/>
    </row>
    <row r="36912" spans="6:6">
      <c r="F36912" s="2423"/>
    </row>
    <row r="36913" spans="6:6">
      <c r="F36913" s="2423"/>
    </row>
    <row r="36914" spans="6:6">
      <c r="F36914" s="2423"/>
    </row>
    <row r="36915" spans="6:6">
      <c r="F36915" s="2423"/>
    </row>
    <row r="36916" spans="6:6">
      <c r="F36916" s="2423"/>
    </row>
    <row r="36917" spans="6:6">
      <c r="F36917" s="2423"/>
    </row>
    <row r="36918" spans="6:6">
      <c r="F36918" s="2423"/>
    </row>
    <row r="36919" spans="6:6">
      <c r="F36919" s="2423"/>
    </row>
    <row r="36920" spans="6:6">
      <c r="F36920" s="2423"/>
    </row>
    <row r="36921" spans="6:6">
      <c r="F36921" s="2423"/>
    </row>
    <row r="36922" spans="6:6">
      <c r="F36922" s="2423"/>
    </row>
    <row r="36923" spans="6:6">
      <c r="F36923" s="2423"/>
    </row>
    <row r="36924" spans="6:6">
      <c r="F36924" s="2423"/>
    </row>
    <row r="36925" spans="6:6">
      <c r="F36925" s="2423"/>
    </row>
    <row r="36926" spans="6:6">
      <c r="F36926" s="2423"/>
    </row>
    <row r="36927" spans="6:6">
      <c r="F36927" s="2423"/>
    </row>
    <row r="36928" spans="6:6">
      <c r="F36928" s="2423"/>
    </row>
    <row r="36929" spans="6:6">
      <c r="F36929" s="2423"/>
    </row>
    <row r="36930" spans="6:6">
      <c r="F36930" s="2423"/>
    </row>
    <row r="36931" spans="6:6">
      <c r="F36931" s="2423"/>
    </row>
    <row r="36932" spans="6:6">
      <c r="F36932" s="2423"/>
    </row>
    <row r="36933" spans="6:6">
      <c r="F36933" s="2423"/>
    </row>
    <row r="36934" spans="6:6">
      <c r="F36934" s="2423"/>
    </row>
    <row r="36935" spans="6:6">
      <c r="F36935" s="2423"/>
    </row>
    <row r="36936" spans="6:6">
      <c r="F36936" s="2423"/>
    </row>
    <row r="36937" spans="6:6">
      <c r="F36937" s="2423"/>
    </row>
    <row r="36938" spans="6:6">
      <c r="F36938" s="2423"/>
    </row>
    <row r="36939" spans="6:6">
      <c r="F36939" s="2423"/>
    </row>
    <row r="36940" spans="6:6">
      <c r="F36940" s="2423"/>
    </row>
    <row r="36941" spans="6:6">
      <c r="F36941" s="2423"/>
    </row>
    <row r="36942" spans="6:6">
      <c r="F36942" s="2423"/>
    </row>
    <row r="36943" spans="6:6">
      <c r="F36943" s="2423"/>
    </row>
    <row r="36944" spans="6:6">
      <c r="F36944" s="2423"/>
    </row>
    <row r="36945" spans="6:6">
      <c r="F36945" s="2423"/>
    </row>
    <row r="36946" spans="6:6">
      <c r="F36946" s="2423"/>
    </row>
    <row r="36947" spans="6:6">
      <c r="F36947" s="2423"/>
    </row>
    <row r="36948" spans="6:6">
      <c r="F36948" s="2423"/>
    </row>
    <row r="36949" spans="6:6">
      <c r="F36949" s="2423"/>
    </row>
    <row r="36950" spans="6:6">
      <c r="F36950" s="2423"/>
    </row>
    <row r="36951" spans="6:6">
      <c r="F36951" s="2423"/>
    </row>
    <row r="36952" spans="6:6">
      <c r="F36952" s="2423"/>
    </row>
    <row r="36953" spans="6:6">
      <c r="F36953" s="2423"/>
    </row>
    <row r="36954" spans="6:6">
      <c r="F36954" s="2423"/>
    </row>
    <row r="36955" spans="6:6">
      <c r="F36955" s="2423"/>
    </row>
    <row r="36956" spans="6:6">
      <c r="F36956" s="2423"/>
    </row>
    <row r="36957" spans="6:6">
      <c r="F36957" s="2423"/>
    </row>
    <row r="36958" spans="6:6">
      <c r="F36958" s="2423"/>
    </row>
    <row r="36959" spans="6:6">
      <c r="F36959" s="2423"/>
    </row>
    <row r="36960" spans="6:6">
      <c r="F36960" s="2423"/>
    </row>
    <row r="36961" spans="6:6">
      <c r="F36961" s="2423"/>
    </row>
    <row r="36962" spans="6:6">
      <c r="F36962" s="2423"/>
    </row>
    <row r="36963" spans="6:6">
      <c r="F36963" s="2423"/>
    </row>
    <row r="36964" spans="6:6">
      <c r="F36964" s="2423"/>
    </row>
    <row r="36965" spans="6:6">
      <c r="F36965" s="2423"/>
    </row>
    <row r="36966" spans="6:6">
      <c r="F36966" s="2423"/>
    </row>
    <row r="36967" spans="6:6">
      <c r="F36967" s="2423"/>
    </row>
    <row r="36968" spans="6:6">
      <c r="F36968" s="2423"/>
    </row>
    <row r="36969" spans="6:6">
      <c r="F36969" s="2423"/>
    </row>
    <row r="36970" spans="6:6">
      <c r="F36970" s="2423"/>
    </row>
    <row r="36971" spans="6:6">
      <c r="F36971" s="2423"/>
    </row>
    <row r="36972" spans="6:6">
      <c r="F36972" s="2423"/>
    </row>
    <row r="36973" spans="6:6">
      <c r="F36973" s="2423"/>
    </row>
    <row r="36974" spans="6:6">
      <c r="F36974" s="2423"/>
    </row>
    <row r="36975" spans="6:6">
      <c r="F36975" s="2423"/>
    </row>
    <row r="36976" spans="6:6">
      <c r="F36976" s="2423"/>
    </row>
    <row r="36977" spans="6:6">
      <c r="F36977" s="2423"/>
    </row>
    <row r="36978" spans="6:6">
      <c r="F36978" s="2423"/>
    </row>
    <row r="36979" spans="6:6">
      <c r="F36979" s="2423"/>
    </row>
    <row r="36980" spans="6:6">
      <c r="F36980" s="2423"/>
    </row>
    <row r="36981" spans="6:6">
      <c r="F36981" s="2423"/>
    </row>
    <row r="36982" spans="6:6">
      <c r="F36982" s="2423"/>
    </row>
    <row r="36983" spans="6:6">
      <c r="F36983" s="2423"/>
    </row>
    <row r="36984" spans="6:6">
      <c r="F36984" s="2423"/>
    </row>
    <row r="36985" spans="6:6">
      <c r="F36985" s="2423"/>
    </row>
    <row r="36986" spans="6:6">
      <c r="F36986" s="2423"/>
    </row>
    <row r="36987" spans="6:6">
      <c r="F36987" s="2423"/>
    </row>
    <row r="36988" spans="6:6">
      <c r="F36988" s="2423"/>
    </row>
    <row r="36989" spans="6:6">
      <c r="F36989" s="2423"/>
    </row>
    <row r="36990" spans="6:6">
      <c r="F36990" s="2423"/>
    </row>
    <row r="36991" spans="6:6">
      <c r="F36991" s="2423"/>
    </row>
    <row r="36992" spans="6:6">
      <c r="F36992" s="2423"/>
    </row>
    <row r="36993" spans="6:6">
      <c r="F36993" s="2423"/>
    </row>
    <row r="36994" spans="6:6">
      <c r="F36994" s="2423"/>
    </row>
    <row r="36995" spans="6:6">
      <c r="F36995" s="2423"/>
    </row>
    <row r="36996" spans="6:6">
      <c r="F36996" s="2423"/>
    </row>
    <row r="36997" spans="6:6">
      <c r="F36997" s="2423"/>
    </row>
    <row r="36998" spans="6:6">
      <c r="F36998" s="2423"/>
    </row>
    <row r="36999" spans="6:6">
      <c r="F36999" s="2423"/>
    </row>
    <row r="37000" spans="6:6">
      <c r="F37000" s="2423"/>
    </row>
    <row r="37001" spans="6:6">
      <c r="F37001" s="2423"/>
    </row>
    <row r="37002" spans="6:6">
      <c r="F37002" s="2423"/>
    </row>
    <row r="37003" spans="6:6">
      <c r="F37003" s="2423"/>
    </row>
    <row r="37004" spans="6:6">
      <c r="F37004" s="2423"/>
    </row>
    <row r="37005" spans="6:6">
      <c r="F37005" s="2423"/>
    </row>
    <row r="37006" spans="6:6">
      <c r="F37006" s="2423"/>
    </row>
    <row r="37007" spans="6:6">
      <c r="F37007" s="2423"/>
    </row>
    <row r="37008" spans="6:6">
      <c r="F37008" s="2423"/>
    </row>
    <row r="37009" spans="6:6">
      <c r="F37009" s="2423"/>
    </row>
    <row r="37010" spans="6:6">
      <c r="F37010" s="2423"/>
    </row>
    <row r="37011" spans="6:6">
      <c r="F37011" s="2423"/>
    </row>
    <row r="37012" spans="6:6">
      <c r="F37012" s="2423"/>
    </row>
    <row r="37013" spans="6:6">
      <c r="F37013" s="2423"/>
    </row>
    <row r="37014" spans="6:6">
      <c r="F37014" s="2423"/>
    </row>
    <row r="37015" spans="6:6">
      <c r="F37015" s="2423"/>
    </row>
    <row r="37016" spans="6:6">
      <c r="F37016" s="2423"/>
    </row>
    <row r="37017" spans="6:6">
      <c r="F37017" s="2423"/>
    </row>
    <row r="37018" spans="6:6">
      <c r="F37018" s="2423"/>
    </row>
    <row r="37019" spans="6:6">
      <c r="F37019" s="2423"/>
    </row>
    <row r="37020" spans="6:6">
      <c r="F37020" s="2423"/>
    </row>
    <row r="37021" spans="6:6">
      <c r="F37021" s="2423"/>
    </row>
    <row r="37022" spans="6:6">
      <c r="F37022" s="2423"/>
    </row>
    <row r="37023" spans="6:6">
      <c r="F37023" s="2423"/>
    </row>
    <row r="37024" spans="6:6">
      <c r="F37024" s="2423"/>
    </row>
    <row r="37025" spans="6:6">
      <c r="F37025" s="2423"/>
    </row>
    <row r="37026" spans="6:6">
      <c r="F37026" s="2423"/>
    </row>
    <row r="37027" spans="6:6">
      <c r="F37027" s="2423"/>
    </row>
    <row r="37028" spans="6:6">
      <c r="F37028" s="2423"/>
    </row>
    <row r="37029" spans="6:6">
      <c r="F37029" s="2423"/>
    </row>
    <row r="37030" spans="6:6">
      <c r="F37030" s="2423"/>
    </row>
    <row r="37031" spans="6:6">
      <c r="F37031" s="2423"/>
    </row>
    <row r="37032" spans="6:6">
      <c r="F37032" s="2423"/>
    </row>
    <row r="37033" spans="6:6">
      <c r="F37033" s="2423"/>
    </row>
    <row r="37034" spans="6:6">
      <c r="F37034" s="2423"/>
    </row>
    <row r="37035" spans="6:6">
      <c r="F37035" s="2423"/>
    </row>
    <row r="37036" spans="6:6">
      <c r="F37036" s="2423"/>
    </row>
    <row r="37037" spans="6:6">
      <c r="F37037" s="2423"/>
    </row>
    <row r="37038" spans="6:6">
      <c r="F37038" s="2423"/>
    </row>
    <row r="37039" spans="6:6">
      <c r="F37039" s="2423"/>
    </row>
    <row r="37040" spans="6:6">
      <c r="F37040" s="2423"/>
    </row>
    <row r="37041" spans="6:6">
      <c r="F37041" s="2423"/>
    </row>
    <row r="37042" spans="6:6">
      <c r="F37042" s="2423"/>
    </row>
    <row r="37043" spans="6:6">
      <c r="F37043" s="2423"/>
    </row>
    <row r="37044" spans="6:6">
      <c r="F37044" s="2423"/>
    </row>
    <row r="37045" spans="6:6">
      <c r="F37045" s="2423"/>
    </row>
    <row r="37046" spans="6:6">
      <c r="F37046" s="2423"/>
    </row>
    <row r="37047" spans="6:6">
      <c r="F37047" s="2423"/>
    </row>
    <row r="37048" spans="6:6">
      <c r="F37048" s="2423"/>
    </row>
    <row r="37049" spans="6:6">
      <c r="F37049" s="2423"/>
    </row>
    <row r="37050" spans="6:6">
      <c r="F37050" s="2423"/>
    </row>
    <row r="37051" spans="6:6">
      <c r="F37051" s="2423"/>
    </row>
    <row r="37052" spans="6:6">
      <c r="F37052" s="2423"/>
    </row>
    <row r="37053" spans="6:6">
      <c r="F37053" s="2423"/>
    </row>
    <row r="37054" spans="6:6">
      <c r="F37054" s="2423"/>
    </row>
    <row r="37055" spans="6:6">
      <c r="F37055" s="2423"/>
    </row>
    <row r="37056" spans="6:6">
      <c r="F37056" s="2423"/>
    </row>
    <row r="37057" spans="6:6">
      <c r="F37057" s="2423"/>
    </row>
    <row r="37058" spans="6:6">
      <c r="F37058" s="2423"/>
    </row>
    <row r="37059" spans="6:6">
      <c r="F37059" s="2423"/>
    </row>
    <row r="37060" spans="6:6">
      <c r="F37060" s="2423"/>
    </row>
    <row r="37061" spans="6:6">
      <c r="F37061" s="2423"/>
    </row>
    <row r="37062" spans="6:6">
      <c r="F37062" s="2423"/>
    </row>
    <row r="37063" spans="6:6">
      <c r="F37063" s="2423"/>
    </row>
    <row r="37064" spans="6:6">
      <c r="F37064" s="2423"/>
    </row>
    <row r="37065" spans="6:6">
      <c r="F37065" s="2423"/>
    </row>
    <row r="37066" spans="6:6">
      <c r="F37066" s="2423"/>
    </row>
    <row r="37067" spans="6:6">
      <c r="F37067" s="2423"/>
    </row>
    <row r="37068" spans="6:6">
      <c r="F37068" s="2423"/>
    </row>
    <row r="37069" spans="6:6">
      <c r="F37069" s="2423"/>
    </row>
    <row r="37070" spans="6:6">
      <c r="F37070" s="2423"/>
    </row>
    <row r="37071" spans="6:6">
      <c r="F37071" s="2423"/>
    </row>
    <row r="37072" spans="6:6">
      <c r="F37072" s="2423"/>
    </row>
    <row r="37073" spans="6:6">
      <c r="F37073" s="2423"/>
    </row>
    <row r="37074" spans="6:6">
      <c r="F37074" s="2423"/>
    </row>
    <row r="37075" spans="6:6">
      <c r="F37075" s="2423"/>
    </row>
    <row r="37076" spans="6:6">
      <c r="F37076" s="2423"/>
    </row>
    <row r="37077" spans="6:6">
      <c r="F37077" s="2423"/>
    </row>
    <row r="37078" spans="6:6">
      <c r="F37078" s="2423"/>
    </row>
    <row r="37079" spans="6:6">
      <c r="F37079" s="2423"/>
    </row>
    <row r="37080" spans="6:6">
      <c r="F37080" s="2423"/>
    </row>
    <row r="37081" spans="6:6">
      <c r="F37081" s="2423"/>
    </row>
    <row r="37082" spans="6:6">
      <c r="F37082" s="2423"/>
    </row>
    <row r="37083" spans="6:6">
      <c r="F37083" s="2423"/>
    </row>
    <row r="37084" spans="6:6">
      <c r="F37084" s="2423"/>
    </row>
    <row r="37085" spans="6:6">
      <c r="F37085" s="2423"/>
    </row>
    <row r="37086" spans="6:6">
      <c r="F37086" s="2423"/>
    </row>
    <row r="37087" spans="6:6">
      <c r="F37087" s="2423"/>
    </row>
    <row r="37088" spans="6:6">
      <c r="F37088" s="2423"/>
    </row>
    <row r="37089" spans="6:6">
      <c r="F37089" s="2423"/>
    </row>
    <row r="37090" spans="6:6">
      <c r="F37090" s="2423"/>
    </row>
    <row r="37091" spans="6:6">
      <c r="F37091" s="2423"/>
    </row>
    <row r="37092" spans="6:6">
      <c r="F37092" s="2423"/>
    </row>
    <row r="37093" spans="6:6">
      <c r="F37093" s="2423"/>
    </row>
    <row r="37094" spans="6:6">
      <c r="F37094" s="2423"/>
    </row>
    <row r="37095" spans="6:6">
      <c r="F37095" s="2423"/>
    </row>
    <row r="37096" spans="6:6">
      <c r="F37096" s="2423"/>
    </row>
    <row r="37097" spans="6:6">
      <c r="F37097" s="2423"/>
    </row>
    <row r="37098" spans="6:6">
      <c r="F37098" s="2423"/>
    </row>
    <row r="37099" spans="6:6">
      <c r="F37099" s="2423"/>
    </row>
    <row r="37100" spans="6:6">
      <c r="F37100" s="2423"/>
    </row>
    <row r="37101" spans="6:6">
      <c r="F37101" s="2423"/>
    </row>
    <row r="37102" spans="6:6">
      <c r="F37102" s="2423"/>
    </row>
    <row r="37103" spans="6:6">
      <c r="F37103" s="2423"/>
    </row>
    <row r="37104" spans="6:6">
      <c r="F37104" s="2423"/>
    </row>
    <row r="37105" spans="6:6">
      <c r="F37105" s="2423"/>
    </row>
    <row r="37106" spans="6:6">
      <c r="F37106" s="2423"/>
    </row>
    <row r="37107" spans="6:6">
      <c r="F37107" s="2423"/>
    </row>
    <row r="37108" spans="6:6">
      <c r="F37108" s="2423"/>
    </row>
    <row r="37109" spans="6:6">
      <c r="F37109" s="2423"/>
    </row>
    <row r="37110" spans="6:6">
      <c r="F37110" s="2423"/>
    </row>
    <row r="37111" spans="6:6">
      <c r="F37111" s="2423"/>
    </row>
    <row r="37112" spans="6:6">
      <c r="F37112" s="2423"/>
    </row>
    <row r="37113" spans="6:6">
      <c r="F37113" s="2423"/>
    </row>
    <row r="37114" spans="6:6">
      <c r="F37114" s="2423"/>
    </row>
    <row r="37115" spans="6:6">
      <c r="F37115" s="2423"/>
    </row>
    <row r="37116" spans="6:6">
      <c r="F37116" s="2423"/>
    </row>
    <row r="37117" spans="6:6">
      <c r="F37117" s="2423"/>
    </row>
    <row r="37118" spans="6:6">
      <c r="F37118" s="2423"/>
    </row>
    <row r="37119" spans="6:6">
      <c r="F37119" s="2423"/>
    </row>
    <row r="37120" spans="6:6">
      <c r="F37120" s="2423"/>
    </row>
    <row r="37121" spans="6:6">
      <c r="F37121" s="2423"/>
    </row>
    <row r="37122" spans="6:6">
      <c r="F37122" s="2423"/>
    </row>
    <row r="37123" spans="6:6">
      <c r="F37123" s="2423"/>
    </row>
    <row r="37124" spans="6:6">
      <c r="F37124" s="2423"/>
    </row>
    <row r="37125" spans="6:6">
      <c r="F37125" s="2423"/>
    </row>
    <row r="37126" spans="6:6">
      <c r="F37126" s="2423"/>
    </row>
    <row r="37127" spans="6:6">
      <c r="F37127" s="2423"/>
    </row>
    <row r="37128" spans="6:6">
      <c r="F37128" s="2423"/>
    </row>
    <row r="37129" spans="6:6">
      <c r="F37129" s="2423"/>
    </row>
    <row r="37130" spans="6:6">
      <c r="F37130" s="2423"/>
    </row>
    <row r="37131" spans="6:6">
      <c r="F37131" s="2423"/>
    </row>
    <row r="37132" spans="6:6">
      <c r="F37132" s="2423"/>
    </row>
    <row r="37133" spans="6:6">
      <c r="F37133" s="2423"/>
    </row>
    <row r="37134" spans="6:6">
      <c r="F37134" s="2423"/>
    </row>
    <row r="37135" spans="6:6">
      <c r="F37135" s="2423"/>
    </row>
    <row r="37136" spans="6:6">
      <c r="F37136" s="2423"/>
    </row>
    <row r="37137" spans="6:6">
      <c r="F37137" s="2423"/>
    </row>
    <row r="37138" spans="6:6">
      <c r="F37138" s="2423"/>
    </row>
    <row r="37139" spans="6:6">
      <c r="F37139" s="2423"/>
    </row>
    <row r="37140" spans="6:6">
      <c r="F37140" s="2423"/>
    </row>
    <row r="37141" spans="6:6">
      <c r="F37141" s="2423"/>
    </row>
    <row r="37142" spans="6:6">
      <c r="F37142" s="2423"/>
    </row>
    <row r="37143" spans="6:6">
      <c r="F37143" s="2423"/>
    </row>
    <row r="37144" spans="6:6">
      <c r="F37144" s="2423"/>
    </row>
    <row r="37145" spans="6:6">
      <c r="F37145" s="2423"/>
    </row>
    <row r="37146" spans="6:6">
      <c r="F37146" s="2423"/>
    </row>
    <row r="37147" spans="6:6">
      <c r="F37147" s="2423"/>
    </row>
    <row r="37148" spans="6:6">
      <c r="F37148" s="2423"/>
    </row>
    <row r="37149" spans="6:6">
      <c r="F37149" s="2423"/>
    </row>
    <row r="37150" spans="6:6">
      <c r="F37150" s="2423"/>
    </row>
    <row r="37151" spans="6:6">
      <c r="F37151" s="2423"/>
    </row>
    <row r="37152" spans="6:6">
      <c r="F37152" s="2423"/>
    </row>
    <row r="37153" spans="6:6">
      <c r="F37153" s="2423"/>
    </row>
    <row r="37154" spans="6:6">
      <c r="F37154" s="2423"/>
    </row>
    <row r="37155" spans="6:6">
      <c r="F37155" s="2423"/>
    </row>
    <row r="37156" spans="6:6">
      <c r="F37156" s="2423"/>
    </row>
    <row r="37157" spans="6:6">
      <c r="F37157" s="2423"/>
    </row>
    <row r="37158" spans="6:6">
      <c r="F37158" s="2423"/>
    </row>
    <row r="37159" spans="6:6">
      <c r="F37159" s="2423"/>
    </row>
    <row r="37160" spans="6:6">
      <c r="F37160" s="2423"/>
    </row>
    <row r="37161" spans="6:6">
      <c r="F37161" s="2423"/>
    </row>
    <row r="37162" spans="6:6">
      <c r="F37162" s="2423"/>
    </row>
    <row r="37163" spans="6:6">
      <c r="F37163" s="2423"/>
    </row>
    <row r="37164" spans="6:6">
      <c r="F37164" s="2423"/>
    </row>
    <row r="37165" spans="6:6">
      <c r="F37165" s="2423"/>
    </row>
    <row r="37166" spans="6:6">
      <c r="F37166" s="2423"/>
    </row>
    <row r="37167" spans="6:6">
      <c r="F37167" s="2423"/>
    </row>
    <row r="37168" spans="6:6">
      <c r="F37168" s="2423"/>
    </row>
    <row r="37169" spans="6:6">
      <c r="F37169" s="2423"/>
    </row>
    <row r="37170" spans="6:6">
      <c r="F37170" s="2423"/>
    </row>
    <row r="37171" spans="6:6">
      <c r="F37171" s="2423"/>
    </row>
    <row r="37172" spans="6:6">
      <c r="F37172" s="2423"/>
    </row>
    <row r="37173" spans="6:6">
      <c r="F37173" s="2423"/>
    </row>
    <row r="37174" spans="6:6">
      <c r="F37174" s="2423"/>
    </row>
    <row r="37175" spans="6:6">
      <c r="F37175" s="2423"/>
    </row>
    <row r="37176" spans="6:6">
      <c r="F37176" s="2423"/>
    </row>
    <row r="37177" spans="6:6">
      <c r="F37177" s="2423"/>
    </row>
    <row r="37178" spans="6:6">
      <c r="F37178" s="2423"/>
    </row>
    <row r="37179" spans="6:6">
      <c r="F37179" s="2423"/>
    </row>
    <row r="37180" spans="6:6">
      <c r="F37180" s="2423"/>
    </row>
    <row r="37181" spans="6:6">
      <c r="F37181" s="2423"/>
    </row>
    <row r="37182" spans="6:6">
      <c r="F37182" s="2423"/>
    </row>
    <row r="37183" spans="6:6">
      <c r="F37183" s="2423"/>
    </row>
    <row r="37184" spans="6:6">
      <c r="F37184" s="2423"/>
    </row>
    <row r="37185" spans="6:6">
      <c r="F37185" s="2423"/>
    </row>
    <row r="37186" spans="6:6">
      <c r="F37186" s="2423"/>
    </row>
    <row r="37187" spans="6:6">
      <c r="F37187" s="2423"/>
    </row>
    <row r="37188" spans="6:6">
      <c r="F37188" s="2423"/>
    </row>
    <row r="37189" spans="6:6">
      <c r="F37189" s="2423"/>
    </row>
    <row r="37190" spans="6:6">
      <c r="F37190" s="2423"/>
    </row>
    <row r="37191" spans="6:6">
      <c r="F37191" s="2423"/>
    </row>
    <row r="37192" spans="6:6">
      <c r="F37192" s="2423"/>
    </row>
    <row r="37193" spans="6:6">
      <c r="F37193" s="2423"/>
    </row>
    <row r="37194" spans="6:6">
      <c r="F37194" s="2423"/>
    </row>
    <row r="37195" spans="6:6">
      <c r="F37195" s="2423"/>
    </row>
    <row r="37196" spans="6:6">
      <c r="F37196" s="2423"/>
    </row>
    <row r="37197" spans="6:6">
      <c r="F37197" s="2423"/>
    </row>
    <row r="37198" spans="6:6">
      <c r="F37198" s="2423"/>
    </row>
    <row r="37199" spans="6:6">
      <c r="F37199" s="2423"/>
    </row>
    <row r="37200" spans="6:6">
      <c r="F37200" s="2423"/>
    </row>
    <row r="37201" spans="6:6">
      <c r="F37201" s="2423"/>
    </row>
    <row r="37202" spans="6:6">
      <c r="F37202" s="2423"/>
    </row>
    <row r="37203" spans="6:6">
      <c r="F37203" s="2423"/>
    </row>
    <row r="37204" spans="6:6">
      <c r="F37204" s="2423"/>
    </row>
    <row r="37205" spans="6:6">
      <c r="F37205" s="2423"/>
    </row>
    <row r="37206" spans="6:6">
      <c r="F37206" s="2423"/>
    </row>
    <row r="37207" spans="6:6">
      <c r="F37207" s="2423"/>
    </row>
    <row r="37208" spans="6:6">
      <c r="F37208" s="2423"/>
    </row>
    <row r="37209" spans="6:6">
      <c r="F37209" s="2423"/>
    </row>
    <row r="37210" spans="6:6">
      <c r="F37210" s="2423"/>
    </row>
    <row r="37211" spans="6:6">
      <c r="F37211" s="2423"/>
    </row>
    <row r="37212" spans="6:6">
      <c r="F37212" s="2423"/>
    </row>
    <row r="37213" spans="6:6">
      <c r="F37213" s="2423"/>
    </row>
    <row r="37214" spans="6:6">
      <c r="F37214" s="2423"/>
    </row>
    <row r="37215" spans="6:6">
      <c r="F37215" s="2423"/>
    </row>
    <row r="37216" spans="6:6">
      <c r="F37216" s="2423"/>
    </row>
    <row r="37217" spans="6:6">
      <c r="F37217" s="2423"/>
    </row>
    <row r="37218" spans="6:6">
      <c r="F37218" s="2423"/>
    </row>
    <row r="37219" spans="6:6">
      <c r="F37219" s="2423"/>
    </row>
    <row r="37220" spans="6:6">
      <c r="F37220" s="2423"/>
    </row>
    <row r="37221" spans="6:6">
      <c r="F37221" s="2423"/>
    </row>
    <row r="37222" spans="6:6">
      <c r="F37222" s="2423"/>
    </row>
    <row r="37223" spans="6:6">
      <c r="F37223" s="2423"/>
    </row>
    <row r="37224" spans="6:6">
      <c r="F37224" s="2423"/>
    </row>
    <row r="37225" spans="6:6">
      <c r="F37225" s="2423"/>
    </row>
    <row r="37226" spans="6:6">
      <c r="F37226" s="2423"/>
    </row>
    <row r="37227" spans="6:6">
      <c r="F37227" s="2423"/>
    </row>
    <row r="37228" spans="6:6">
      <c r="F37228" s="2423"/>
    </row>
    <row r="37229" spans="6:6">
      <c r="F37229" s="2423"/>
    </row>
    <row r="37230" spans="6:6">
      <c r="F37230" s="2423"/>
    </row>
    <row r="37231" spans="6:6">
      <c r="F37231" s="2423"/>
    </row>
    <row r="37232" spans="6:6">
      <c r="F37232" s="2423"/>
    </row>
    <row r="37233" spans="6:6">
      <c r="F37233" s="2423"/>
    </row>
    <row r="37234" spans="6:6">
      <c r="F37234" s="2423"/>
    </row>
    <row r="37235" spans="6:6">
      <c r="F37235" s="2423"/>
    </row>
    <row r="37236" spans="6:6">
      <c r="F37236" s="2423"/>
    </row>
    <row r="37237" spans="6:6">
      <c r="F37237" s="2423"/>
    </row>
    <row r="37238" spans="6:6">
      <c r="F37238" s="2423"/>
    </row>
    <row r="37239" spans="6:6">
      <c r="F37239" s="2423"/>
    </row>
    <row r="37240" spans="6:6">
      <c r="F37240" s="2423"/>
    </row>
    <row r="37241" spans="6:6">
      <c r="F37241" s="2423"/>
    </row>
    <row r="37242" spans="6:6">
      <c r="F37242" s="2423"/>
    </row>
    <row r="37243" spans="6:6">
      <c r="F37243" s="2423"/>
    </row>
    <row r="37244" spans="6:6">
      <c r="F37244" s="2423"/>
    </row>
    <row r="37245" spans="6:6">
      <c r="F37245" s="2423"/>
    </row>
    <row r="37246" spans="6:6">
      <c r="F37246" s="2423"/>
    </row>
    <row r="37247" spans="6:6">
      <c r="F37247" s="2423"/>
    </row>
    <row r="37248" spans="6:6">
      <c r="F37248" s="2423"/>
    </row>
    <row r="37249" spans="6:6">
      <c r="F37249" s="2423"/>
    </row>
    <row r="37250" spans="6:6">
      <c r="F37250" s="2423"/>
    </row>
    <row r="37251" spans="6:6">
      <c r="F37251" s="2423"/>
    </row>
    <row r="37252" spans="6:6">
      <c r="F37252" s="2423"/>
    </row>
    <row r="37253" spans="6:6">
      <c r="F37253" s="2423"/>
    </row>
    <row r="37254" spans="6:6">
      <c r="F37254" s="2423"/>
    </row>
    <row r="37255" spans="6:6">
      <c r="F37255" s="2423"/>
    </row>
    <row r="37256" spans="6:6">
      <c r="F37256" s="2423"/>
    </row>
    <row r="37257" spans="6:6">
      <c r="F37257" s="2423"/>
    </row>
    <row r="37258" spans="6:6">
      <c r="F37258" s="2423"/>
    </row>
    <row r="37259" spans="6:6">
      <c r="F37259" s="2423"/>
    </row>
    <row r="37260" spans="6:6">
      <c r="F37260" s="2423"/>
    </row>
    <row r="37261" spans="6:6">
      <c r="F37261" s="2423"/>
    </row>
    <row r="37262" spans="6:6">
      <c r="F37262" s="2423"/>
    </row>
    <row r="37263" spans="6:6">
      <c r="F37263" s="2423"/>
    </row>
    <row r="37264" spans="6:6">
      <c r="F37264" s="2423"/>
    </row>
    <row r="37265" spans="6:6">
      <c r="F37265" s="2423"/>
    </row>
    <row r="37266" spans="6:6">
      <c r="F37266" s="2423"/>
    </row>
    <row r="37267" spans="6:6">
      <c r="F37267" s="2423"/>
    </row>
    <row r="37268" spans="6:6">
      <c r="F37268" s="2423"/>
    </row>
    <row r="37269" spans="6:6">
      <c r="F37269" s="2423"/>
    </row>
    <row r="37270" spans="6:6">
      <c r="F37270" s="2423"/>
    </row>
    <row r="37271" spans="6:6">
      <c r="F37271" s="2423"/>
    </row>
    <row r="37272" spans="6:6">
      <c r="F37272" s="2423"/>
    </row>
    <row r="37273" spans="6:6">
      <c r="F37273" s="2423"/>
    </row>
    <row r="37274" spans="6:6">
      <c r="F37274" s="2423"/>
    </row>
    <row r="37275" spans="6:6">
      <c r="F37275" s="2423"/>
    </row>
    <row r="37276" spans="6:6">
      <c r="F37276" s="2423"/>
    </row>
    <row r="37277" spans="6:6">
      <c r="F37277" s="2423"/>
    </row>
    <row r="37278" spans="6:6">
      <c r="F37278" s="2423"/>
    </row>
    <row r="37279" spans="6:6">
      <c r="F37279" s="2423"/>
    </row>
    <row r="37280" spans="6:6">
      <c r="F37280" s="2423"/>
    </row>
    <row r="37281" spans="6:6">
      <c r="F37281" s="2423"/>
    </row>
    <row r="37282" spans="6:6">
      <c r="F37282" s="2423"/>
    </row>
    <row r="37283" spans="6:6">
      <c r="F37283" s="2423"/>
    </row>
    <row r="37284" spans="6:6">
      <c r="F37284" s="2423"/>
    </row>
    <row r="37285" spans="6:6">
      <c r="F37285" s="2423"/>
    </row>
    <row r="37286" spans="6:6">
      <c r="F37286" s="2423"/>
    </row>
    <row r="37287" spans="6:6">
      <c r="F37287" s="2423"/>
    </row>
    <row r="37288" spans="6:6">
      <c r="F37288" s="2423"/>
    </row>
    <row r="37289" spans="6:6">
      <c r="F37289" s="2423"/>
    </row>
    <row r="37290" spans="6:6">
      <c r="F37290" s="2423"/>
    </row>
    <row r="37291" spans="6:6">
      <c r="F37291" s="2423"/>
    </row>
    <row r="37292" spans="6:6">
      <c r="F37292" s="2423"/>
    </row>
    <row r="37293" spans="6:6">
      <c r="F37293" s="2423"/>
    </row>
    <row r="37294" spans="6:6">
      <c r="F37294" s="2423"/>
    </row>
    <row r="37295" spans="6:6">
      <c r="F37295" s="2423"/>
    </row>
    <row r="37296" spans="6:6">
      <c r="F37296" s="2423"/>
    </row>
    <row r="37297" spans="6:6">
      <c r="F37297" s="2423"/>
    </row>
    <row r="37298" spans="6:6">
      <c r="F37298" s="2423"/>
    </row>
    <row r="37299" spans="6:6">
      <c r="F37299" s="2423"/>
    </row>
    <row r="37300" spans="6:6">
      <c r="F37300" s="2423"/>
    </row>
    <row r="37301" spans="6:6">
      <c r="F37301" s="2423"/>
    </row>
    <row r="37302" spans="6:6">
      <c r="F37302" s="2423"/>
    </row>
    <row r="37303" spans="6:6">
      <c r="F37303" s="2423"/>
    </row>
    <row r="37304" spans="6:6">
      <c r="F37304" s="2423"/>
    </row>
    <row r="37305" spans="6:6">
      <c r="F37305" s="2423"/>
    </row>
    <row r="37306" spans="6:6">
      <c r="F37306" s="2423"/>
    </row>
    <row r="37307" spans="6:6">
      <c r="F37307" s="2423"/>
    </row>
    <row r="37308" spans="6:6">
      <c r="F37308" s="2423"/>
    </row>
    <row r="37309" spans="6:6">
      <c r="F37309" s="2423"/>
    </row>
    <row r="37310" spans="6:6">
      <c r="F37310" s="2423"/>
    </row>
    <row r="37311" spans="6:6">
      <c r="F37311" s="2423"/>
    </row>
    <row r="37312" spans="6:6">
      <c r="F37312" s="2423"/>
    </row>
    <row r="37313" spans="6:6">
      <c r="F37313" s="2423"/>
    </row>
    <row r="37314" spans="6:6">
      <c r="F37314" s="2423"/>
    </row>
    <row r="37315" spans="6:6">
      <c r="F37315" s="2423"/>
    </row>
    <row r="37316" spans="6:6">
      <c r="F37316" s="2423"/>
    </row>
    <row r="37317" spans="6:6">
      <c r="F37317" s="2423"/>
    </row>
    <row r="37318" spans="6:6">
      <c r="F37318" s="2423"/>
    </row>
    <row r="37319" spans="6:6">
      <c r="F37319" s="2423"/>
    </row>
    <row r="37320" spans="6:6">
      <c r="F37320" s="2423"/>
    </row>
    <row r="37321" spans="6:6">
      <c r="F37321" s="2423"/>
    </row>
    <row r="37322" spans="6:6">
      <c r="F37322" s="2423"/>
    </row>
    <row r="37323" spans="6:6">
      <c r="F37323" s="2423"/>
    </row>
    <row r="37324" spans="6:6">
      <c r="F37324" s="2423"/>
    </row>
    <row r="37325" spans="6:6">
      <c r="F37325" s="2423"/>
    </row>
    <row r="37326" spans="6:6">
      <c r="F37326" s="2423"/>
    </row>
    <row r="37327" spans="6:6">
      <c r="F37327" s="2423"/>
    </row>
    <row r="37328" spans="6:6">
      <c r="F37328" s="2423"/>
    </row>
    <row r="37329" spans="6:6">
      <c r="F37329" s="2423"/>
    </row>
    <row r="37330" spans="6:6">
      <c r="F37330" s="2423"/>
    </row>
    <row r="37331" spans="6:6">
      <c r="F37331" s="2423"/>
    </row>
    <row r="37332" spans="6:6">
      <c r="F37332" s="2423"/>
    </row>
    <row r="37333" spans="6:6">
      <c r="F37333" s="2423"/>
    </row>
    <row r="37334" spans="6:6">
      <c r="F37334" s="2423"/>
    </row>
    <row r="37335" spans="6:6">
      <c r="F37335" s="2423"/>
    </row>
    <row r="37336" spans="6:6">
      <c r="F37336" s="2423"/>
    </row>
    <row r="37337" spans="6:6">
      <c r="F37337" s="2423"/>
    </row>
    <row r="37338" spans="6:6">
      <c r="F37338" s="2423"/>
    </row>
    <row r="37339" spans="6:6">
      <c r="F37339" s="2423"/>
    </row>
    <row r="37340" spans="6:6">
      <c r="F37340" s="2423"/>
    </row>
    <row r="37341" spans="6:6">
      <c r="F37341" s="2423"/>
    </row>
    <row r="37342" spans="6:6">
      <c r="F37342" s="2423"/>
    </row>
    <row r="37343" spans="6:6">
      <c r="F37343" s="2423"/>
    </row>
    <row r="37344" spans="6:6">
      <c r="F37344" s="2423"/>
    </row>
    <row r="37345" spans="6:6">
      <c r="F37345" s="2423"/>
    </row>
    <row r="37346" spans="6:6">
      <c r="F37346" s="2423"/>
    </row>
    <row r="37347" spans="6:6">
      <c r="F37347" s="2423"/>
    </row>
    <row r="37348" spans="6:6">
      <c r="F37348" s="2423"/>
    </row>
    <row r="37349" spans="6:6">
      <c r="F37349" s="2423"/>
    </row>
    <row r="37350" spans="6:6">
      <c r="F37350" s="2423"/>
    </row>
    <row r="37351" spans="6:6">
      <c r="F37351" s="2423"/>
    </row>
    <row r="37352" spans="6:6">
      <c r="F37352" s="2423"/>
    </row>
    <row r="37353" spans="6:6">
      <c r="F37353" s="2423"/>
    </row>
    <row r="37354" spans="6:6">
      <c r="F37354" s="2423"/>
    </row>
    <row r="37355" spans="6:6">
      <c r="F37355" s="2423"/>
    </row>
    <row r="37356" spans="6:6">
      <c r="F37356" s="2423"/>
    </row>
    <row r="37357" spans="6:6">
      <c r="F37357" s="2423"/>
    </row>
    <row r="37358" spans="6:6">
      <c r="F37358" s="2423"/>
    </row>
    <row r="37359" spans="6:6">
      <c r="F37359" s="2423"/>
    </row>
    <row r="37360" spans="6:6">
      <c r="F37360" s="2423"/>
    </row>
    <row r="37361" spans="6:6">
      <c r="F37361" s="2423"/>
    </row>
    <row r="37362" spans="6:6">
      <c r="F37362" s="2423"/>
    </row>
    <row r="37363" spans="6:6">
      <c r="F37363" s="2423"/>
    </row>
    <row r="37364" spans="6:6">
      <c r="F37364" s="2423"/>
    </row>
    <row r="37365" spans="6:6">
      <c r="F37365" s="2423"/>
    </row>
    <row r="37366" spans="6:6">
      <c r="F37366" s="2423"/>
    </row>
    <row r="37367" spans="6:6">
      <c r="F37367" s="2423"/>
    </row>
    <row r="37368" spans="6:6">
      <c r="F37368" s="2423"/>
    </row>
    <row r="37369" spans="6:6">
      <c r="F37369" s="2423"/>
    </row>
    <row r="37370" spans="6:6">
      <c r="F37370" s="2423"/>
    </row>
    <row r="37371" spans="6:6">
      <c r="F37371" s="2423"/>
    </row>
    <row r="37372" spans="6:6">
      <c r="F37372" s="2423"/>
    </row>
    <row r="37373" spans="6:6">
      <c r="F37373" s="2423"/>
    </row>
    <row r="37374" spans="6:6">
      <c r="F37374" s="2423"/>
    </row>
    <row r="37375" spans="6:6">
      <c r="F37375" s="2423"/>
    </row>
    <row r="37376" spans="6:6">
      <c r="F37376" s="2423"/>
    </row>
    <row r="37377" spans="6:6">
      <c r="F37377" s="2423"/>
    </row>
    <row r="37378" spans="6:6">
      <c r="F37378" s="2423"/>
    </row>
    <row r="37379" spans="6:6">
      <c r="F37379" s="2423"/>
    </row>
    <row r="37380" spans="6:6">
      <c r="F37380" s="2423"/>
    </row>
    <row r="37381" spans="6:6">
      <c r="F37381" s="2423"/>
    </row>
    <row r="37382" spans="6:6">
      <c r="F37382" s="2423"/>
    </row>
    <row r="37383" spans="6:6">
      <c r="F37383" s="2423"/>
    </row>
    <row r="37384" spans="6:6">
      <c r="F37384" s="2423"/>
    </row>
    <row r="37385" spans="6:6">
      <c r="F37385" s="2423"/>
    </row>
    <row r="37386" spans="6:6">
      <c r="F37386" s="2423"/>
    </row>
    <row r="37387" spans="6:6">
      <c r="F37387" s="2423"/>
    </row>
    <row r="37388" spans="6:6">
      <c r="F37388" s="2423"/>
    </row>
    <row r="37389" spans="6:6">
      <c r="F37389" s="2423"/>
    </row>
    <row r="37390" spans="6:6">
      <c r="F37390" s="2423"/>
    </row>
    <row r="37391" spans="6:6">
      <c r="F37391" s="2423"/>
    </row>
    <row r="37392" spans="6:6">
      <c r="F37392" s="2423"/>
    </row>
    <row r="37393" spans="6:6">
      <c r="F37393" s="2423"/>
    </row>
    <row r="37394" spans="6:6">
      <c r="F37394" s="2423"/>
    </row>
    <row r="37395" spans="6:6">
      <c r="F37395" s="2423"/>
    </row>
    <row r="37396" spans="6:6">
      <c r="F37396" s="2423"/>
    </row>
    <row r="37397" spans="6:6">
      <c r="F37397" s="2423"/>
    </row>
    <row r="37398" spans="6:6">
      <c r="F37398" s="2423"/>
    </row>
    <row r="37399" spans="6:6">
      <c r="F37399" s="2423"/>
    </row>
    <row r="37400" spans="6:6">
      <c r="F37400" s="2423"/>
    </row>
    <row r="37401" spans="6:6">
      <c r="F37401" s="2423"/>
    </row>
    <row r="37402" spans="6:6">
      <c r="F37402" s="2423"/>
    </row>
    <row r="37403" spans="6:6">
      <c r="F37403" s="2423"/>
    </row>
    <row r="37404" spans="6:6">
      <c r="F37404" s="2423"/>
    </row>
    <row r="37405" spans="6:6">
      <c r="F37405" s="2423"/>
    </row>
    <row r="37406" spans="6:6">
      <c r="F37406" s="2423"/>
    </row>
    <row r="37407" spans="6:6">
      <c r="F37407" s="2423"/>
    </row>
    <row r="37408" spans="6:6">
      <c r="F37408" s="2423"/>
    </row>
    <row r="37409" spans="6:6">
      <c r="F37409" s="2423"/>
    </row>
    <row r="37410" spans="6:6">
      <c r="F37410" s="2423"/>
    </row>
    <row r="37411" spans="6:6">
      <c r="F37411" s="2423"/>
    </row>
    <row r="37412" spans="6:6">
      <c r="F37412" s="2423"/>
    </row>
    <row r="37413" spans="6:6">
      <c r="F37413" s="2423"/>
    </row>
    <row r="37414" spans="6:6">
      <c r="F37414" s="2423"/>
    </row>
    <row r="37415" spans="6:6">
      <c r="F37415" s="2423"/>
    </row>
    <row r="37416" spans="6:6">
      <c r="F37416" s="2423"/>
    </row>
    <row r="37417" spans="6:6">
      <c r="F37417" s="2423"/>
    </row>
    <row r="37418" spans="6:6">
      <c r="F37418" s="2423"/>
    </row>
    <row r="37419" spans="6:6">
      <c r="F37419" s="2423"/>
    </row>
    <row r="37420" spans="6:6">
      <c r="F37420" s="2423"/>
    </row>
    <row r="37421" spans="6:6">
      <c r="F37421" s="2423"/>
    </row>
    <row r="37422" spans="6:6">
      <c r="F37422" s="2423"/>
    </row>
    <row r="37423" spans="6:6">
      <c r="F37423" s="2423"/>
    </row>
    <row r="37424" spans="6:6">
      <c r="F37424" s="2423"/>
    </row>
    <row r="37425" spans="6:6">
      <c r="F37425" s="2423"/>
    </row>
    <row r="37426" spans="6:6">
      <c r="F37426" s="2423"/>
    </row>
    <row r="37427" spans="6:6">
      <c r="F37427" s="2423"/>
    </row>
    <row r="37428" spans="6:6">
      <c r="F37428" s="2423"/>
    </row>
    <row r="37429" spans="6:6">
      <c r="F37429" s="2423"/>
    </row>
    <row r="37430" spans="6:6">
      <c r="F37430" s="2423"/>
    </row>
    <row r="37431" spans="6:6">
      <c r="F37431" s="2423"/>
    </row>
    <row r="37432" spans="6:6">
      <c r="F37432" s="2423"/>
    </row>
    <row r="37433" spans="6:6">
      <c r="F37433" s="2423"/>
    </row>
    <row r="37434" spans="6:6">
      <c r="F37434" s="2423"/>
    </row>
    <row r="37435" spans="6:6">
      <c r="F37435" s="2423"/>
    </row>
    <row r="37436" spans="6:6">
      <c r="F37436" s="2423"/>
    </row>
    <row r="37437" spans="6:6">
      <c r="F37437" s="2423"/>
    </row>
    <row r="37438" spans="6:6">
      <c r="F37438" s="2423"/>
    </row>
    <row r="37439" spans="6:6">
      <c r="F37439" s="2423"/>
    </row>
    <row r="37440" spans="6:6">
      <c r="F37440" s="2423"/>
    </row>
    <row r="37441" spans="6:6">
      <c r="F37441" s="2423"/>
    </row>
    <row r="37442" spans="6:6">
      <c r="F37442" s="2423"/>
    </row>
    <row r="37443" spans="6:6">
      <c r="F37443" s="2423"/>
    </row>
    <row r="37444" spans="6:6">
      <c r="F37444" s="2423"/>
    </row>
    <row r="37445" spans="6:6">
      <c r="F37445" s="2423"/>
    </row>
    <row r="37446" spans="6:6">
      <c r="F37446" s="2423"/>
    </row>
    <row r="37447" spans="6:6">
      <c r="F37447" s="2423"/>
    </row>
    <row r="37448" spans="6:6">
      <c r="F37448" s="2423"/>
    </row>
    <row r="37449" spans="6:6">
      <c r="F37449" s="2423"/>
    </row>
    <row r="37450" spans="6:6">
      <c r="F37450" s="2423"/>
    </row>
    <row r="37451" spans="6:6">
      <c r="F37451" s="2423"/>
    </row>
    <row r="37452" spans="6:6">
      <c r="F37452" s="2423"/>
    </row>
    <row r="37453" spans="6:6">
      <c r="F37453" s="2423"/>
    </row>
    <row r="37454" spans="6:6">
      <c r="F37454" s="2423"/>
    </row>
    <row r="37455" spans="6:6">
      <c r="F37455" s="2423"/>
    </row>
    <row r="37456" spans="6:6">
      <c r="F37456" s="2423"/>
    </row>
    <row r="37457" spans="6:6">
      <c r="F37457" s="2423"/>
    </row>
    <row r="37458" spans="6:6">
      <c r="F37458" s="2423"/>
    </row>
    <row r="37459" spans="6:6">
      <c r="F37459" s="2423"/>
    </row>
    <row r="37460" spans="6:6">
      <c r="F37460" s="2423"/>
    </row>
    <row r="37461" spans="6:6">
      <c r="F37461" s="2423"/>
    </row>
    <row r="37462" spans="6:6">
      <c r="F37462" s="2423"/>
    </row>
    <row r="37463" spans="6:6">
      <c r="F37463" s="2423"/>
    </row>
    <row r="37464" spans="6:6">
      <c r="F37464" s="2423"/>
    </row>
    <row r="37465" spans="6:6">
      <c r="F37465" s="2423"/>
    </row>
    <row r="37466" spans="6:6">
      <c r="F37466" s="2423"/>
    </row>
    <row r="37467" spans="6:6">
      <c r="F37467" s="2423"/>
    </row>
    <row r="37468" spans="6:6">
      <c r="F37468" s="2423"/>
    </row>
    <row r="37469" spans="6:6">
      <c r="F37469" s="2423"/>
    </row>
    <row r="37470" spans="6:6">
      <c r="F37470" s="2423"/>
    </row>
    <row r="37471" spans="6:6">
      <c r="F37471" s="2423"/>
    </row>
    <row r="37472" spans="6:6">
      <c r="F37472" s="2423"/>
    </row>
    <row r="37473" spans="6:6">
      <c r="F37473" s="2423"/>
    </row>
    <row r="37474" spans="6:6">
      <c r="F37474" s="2423"/>
    </row>
    <row r="37475" spans="6:6">
      <c r="F37475" s="2423"/>
    </row>
    <row r="37476" spans="6:6">
      <c r="F37476" s="2423"/>
    </row>
    <row r="37477" spans="6:6">
      <c r="F37477" s="2423"/>
    </row>
    <row r="37478" spans="6:6">
      <c r="F37478" s="2423"/>
    </row>
    <row r="37479" spans="6:6">
      <c r="F37479" s="2423"/>
    </row>
    <row r="37480" spans="6:6">
      <c r="F37480" s="2423"/>
    </row>
    <row r="37481" spans="6:6">
      <c r="F37481" s="2423"/>
    </row>
    <row r="37482" spans="6:6">
      <c r="F37482" s="2423"/>
    </row>
    <row r="37483" spans="6:6">
      <c r="F37483" s="2423"/>
    </row>
    <row r="37484" spans="6:6">
      <c r="F37484" s="2423"/>
    </row>
    <row r="37485" spans="6:6">
      <c r="F37485" s="2423"/>
    </row>
    <row r="37486" spans="6:6">
      <c r="F37486" s="2423"/>
    </row>
    <row r="37487" spans="6:6">
      <c r="F37487" s="2423"/>
    </row>
    <row r="37488" spans="6:6">
      <c r="F37488" s="2423"/>
    </row>
    <row r="37489" spans="6:6">
      <c r="F37489" s="2423"/>
    </row>
    <row r="37490" spans="6:6">
      <c r="F37490" s="2423"/>
    </row>
    <row r="37491" spans="6:6">
      <c r="F37491" s="2423"/>
    </row>
    <row r="37492" spans="6:6">
      <c r="F37492" s="2423"/>
    </row>
    <row r="37493" spans="6:6">
      <c r="F37493" s="2423"/>
    </row>
    <row r="37494" spans="6:6">
      <c r="F37494" s="2423"/>
    </row>
    <row r="37495" spans="6:6">
      <c r="F37495" s="2423"/>
    </row>
    <row r="37496" spans="6:6">
      <c r="F37496" s="2423"/>
    </row>
    <row r="37497" spans="6:6">
      <c r="F37497" s="2423"/>
    </row>
    <row r="37498" spans="6:6">
      <c r="F37498" s="2423"/>
    </row>
    <row r="37499" spans="6:6">
      <c r="F37499" s="2423"/>
    </row>
    <row r="37500" spans="6:6">
      <c r="F37500" s="2423"/>
    </row>
    <row r="37501" spans="6:6">
      <c r="F37501" s="2423"/>
    </row>
    <row r="37502" spans="6:6">
      <c r="F37502" s="2423"/>
    </row>
    <row r="37503" spans="6:6">
      <c r="F37503" s="2423"/>
    </row>
    <row r="37504" spans="6:6">
      <c r="F37504" s="2423"/>
    </row>
    <row r="37505" spans="6:6">
      <c r="F37505" s="2423"/>
    </row>
    <row r="37506" spans="6:6">
      <c r="F37506" s="2423"/>
    </row>
    <row r="37507" spans="6:6">
      <c r="F37507" s="2423"/>
    </row>
    <row r="37508" spans="6:6">
      <c r="F37508" s="2423"/>
    </row>
    <row r="37509" spans="6:6">
      <c r="F37509" s="2423"/>
    </row>
    <row r="37510" spans="6:6">
      <c r="F37510" s="2423"/>
    </row>
    <row r="37511" spans="6:6">
      <c r="F37511" s="2423"/>
    </row>
    <row r="37512" spans="6:6">
      <c r="F37512" s="2423"/>
    </row>
    <row r="37513" spans="6:6">
      <c r="F37513" s="2423"/>
    </row>
    <row r="37514" spans="6:6">
      <c r="F37514" s="2423"/>
    </row>
    <row r="37515" spans="6:6">
      <c r="F37515" s="2423"/>
    </row>
    <row r="37516" spans="6:6">
      <c r="F37516" s="2423"/>
    </row>
    <row r="37517" spans="6:6">
      <c r="F37517" s="2423"/>
    </row>
    <row r="37518" spans="6:6">
      <c r="F37518" s="2423"/>
    </row>
    <row r="37519" spans="6:6">
      <c r="F37519" s="2423"/>
    </row>
    <row r="37520" spans="6:6">
      <c r="F37520" s="2423"/>
    </row>
    <row r="37521" spans="6:6">
      <c r="F37521" s="2423"/>
    </row>
    <row r="37522" spans="6:6">
      <c r="F37522" s="2423"/>
    </row>
    <row r="37523" spans="6:6">
      <c r="F37523" s="2423"/>
    </row>
    <row r="37524" spans="6:6">
      <c r="F37524" s="2423"/>
    </row>
    <row r="37525" spans="6:6">
      <c r="F37525" s="2423"/>
    </row>
    <row r="37526" spans="6:6">
      <c r="F37526" s="2423"/>
    </row>
    <row r="37527" spans="6:6">
      <c r="F37527" s="2423"/>
    </row>
    <row r="37528" spans="6:6">
      <c r="F37528" s="2423"/>
    </row>
    <row r="37529" spans="6:6">
      <c r="F37529" s="2423"/>
    </row>
    <row r="37530" spans="6:6">
      <c r="F37530" s="2423"/>
    </row>
    <row r="37531" spans="6:6">
      <c r="F37531" s="2423"/>
    </row>
    <row r="37532" spans="6:6">
      <c r="F37532" s="2423"/>
    </row>
    <row r="37533" spans="6:6">
      <c r="F37533" s="2423"/>
    </row>
    <row r="37534" spans="6:6">
      <c r="F37534" s="2423"/>
    </row>
    <row r="37535" spans="6:6">
      <c r="F37535" s="2423"/>
    </row>
    <row r="37536" spans="6:6">
      <c r="F37536" s="2423"/>
    </row>
    <row r="37537" spans="6:6">
      <c r="F37537" s="2423"/>
    </row>
    <row r="37538" spans="6:6">
      <c r="F37538" s="2423"/>
    </row>
    <row r="37539" spans="6:6">
      <c r="F37539" s="2423"/>
    </row>
    <row r="37540" spans="6:6">
      <c r="F37540" s="2423"/>
    </row>
    <row r="37541" spans="6:6">
      <c r="F37541" s="2423"/>
    </row>
    <row r="37542" spans="6:6">
      <c r="F37542" s="2423"/>
    </row>
    <row r="37543" spans="6:6">
      <c r="F37543" s="2423"/>
    </row>
    <row r="37544" spans="6:6">
      <c r="F37544" s="2423"/>
    </row>
    <row r="37545" spans="6:6">
      <c r="F37545" s="2423"/>
    </row>
    <row r="37546" spans="6:6">
      <c r="F37546" s="2423"/>
    </row>
    <row r="37547" spans="6:6">
      <c r="F37547" s="2423"/>
    </row>
    <row r="37548" spans="6:6">
      <c r="F37548" s="2423"/>
    </row>
    <row r="37549" spans="6:6">
      <c r="F37549" s="2423"/>
    </row>
    <row r="37550" spans="6:6">
      <c r="F37550" s="2423"/>
    </row>
    <row r="37551" spans="6:6">
      <c r="F37551" s="2423"/>
    </row>
    <row r="37552" spans="6:6">
      <c r="F37552" s="2423"/>
    </row>
    <row r="37553" spans="6:6">
      <c r="F37553" s="2423"/>
    </row>
    <row r="37554" spans="6:6">
      <c r="F37554" s="2423"/>
    </row>
    <row r="37555" spans="6:6">
      <c r="F37555" s="2423"/>
    </row>
    <row r="37556" spans="6:6">
      <c r="F37556" s="2423"/>
    </row>
    <row r="37557" spans="6:6">
      <c r="F37557" s="2423"/>
    </row>
    <row r="37558" spans="6:6">
      <c r="F37558" s="2423"/>
    </row>
    <row r="37559" spans="6:6">
      <c r="F37559" s="2423"/>
    </row>
    <row r="37560" spans="6:6">
      <c r="F37560" s="2423"/>
    </row>
    <row r="37561" spans="6:6">
      <c r="F37561" s="2423"/>
    </row>
    <row r="37562" spans="6:6">
      <c r="F37562" s="2423"/>
    </row>
    <row r="37563" spans="6:6">
      <c r="F37563" s="2423"/>
    </row>
    <row r="37564" spans="6:6">
      <c r="F37564" s="2423"/>
    </row>
    <row r="37565" spans="6:6">
      <c r="F37565" s="2423"/>
    </row>
    <row r="37566" spans="6:6">
      <c r="F37566" s="2423"/>
    </row>
    <row r="37567" spans="6:6">
      <c r="F37567" s="2423"/>
    </row>
    <row r="37568" spans="6:6">
      <c r="F37568" s="2423"/>
    </row>
    <row r="37569" spans="6:6">
      <c r="F37569" s="2423"/>
    </row>
    <row r="37570" spans="6:6">
      <c r="F37570" s="2423"/>
    </row>
    <row r="37571" spans="6:6">
      <c r="F37571" s="2423"/>
    </row>
    <row r="37572" spans="6:6">
      <c r="F37572" s="2423"/>
    </row>
    <row r="37573" spans="6:6">
      <c r="F37573" s="2423"/>
    </row>
    <row r="37574" spans="6:6">
      <c r="F37574" s="2423"/>
    </row>
    <row r="37575" spans="6:6">
      <c r="F37575" s="2423"/>
    </row>
    <row r="37576" spans="6:6">
      <c r="F37576" s="2423"/>
    </row>
    <row r="37577" spans="6:6">
      <c r="F37577" s="2423"/>
    </row>
    <row r="37578" spans="6:6">
      <c r="F37578" s="2423"/>
    </row>
    <row r="37579" spans="6:6">
      <c r="F37579" s="2423"/>
    </row>
    <row r="37580" spans="6:6">
      <c r="F37580" s="2423"/>
    </row>
    <row r="37581" spans="6:6">
      <c r="F37581" s="2423"/>
    </row>
    <row r="37582" spans="6:6">
      <c r="F37582" s="2423"/>
    </row>
    <row r="37583" spans="6:6">
      <c r="F37583" s="2423"/>
    </row>
    <row r="37584" spans="6:6">
      <c r="F37584" s="2423"/>
    </row>
    <row r="37585" spans="6:6">
      <c r="F37585" s="2423"/>
    </row>
    <row r="37586" spans="6:6">
      <c r="F37586" s="2423"/>
    </row>
    <row r="37587" spans="6:6">
      <c r="F37587" s="2423"/>
    </row>
    <row r="37588" spans="6:6">
      <c r="F37588" s="2423"/>
    </row>
    <row r="37589" spans="6:6">
      <c r="F37589" s="2423"/>
    </row>
    <row r="37590" spans="6:6">
      <c r="F37590" s="2423"/>
    </row>
    <row r="37591" spans="6:6">
      <c r="F37591" s="2423"/>
    </row>
    <row r="37592" spans="6:6">
      <c r="F37592" s="2423"/>
    </row>
    <row r="37593" spans="6:6">
      <c r="F37593" s="2423"/>
    </row>
    <row r="37594" spans="6:6">
      <c r="F37594" s="2423"/>
    </row>
    <row r="37595" spans="6:6">
      <c r="F37595" s="2423"/>
    </row>
    <row r="37596" spans="6:6">
      <c r="F37596" s="2423"/>
    </row>
    <row r="37597" spans="6:6">
      <c r="F37597" s="2423"/>
    </row>
    <row r="37598" spans="6:6">
      <c r="F37598" s="2423"/>
    </row>
    <row r="37599" spans="6:6">
      <c r="F37599" s="2423"/>
    </row>
    <row r="37600" spans="6:6">
      <c r="F37600" s="2423"/>
    </row>
    <row r="37601" spans="6:6">
      <c r="F37601" s="2423"/>
    </row>
    <row r="37602" spans="6:6">
      <c r="F37602" s="2423"/>
    </row>
    <row r="37603" spans="6:6">
      <c r="F37603" s="2423"/>
    </row>
    <row r="37604" spans="6:6">
      <c r="F37604" s="2423"/>
    </row>
    <row r="37605" spans="6:6">
      <c r="F37605" s="2423"/>
    </row>
    <row r="37606" spans="6:6">
      <c r="F37606" s="2423"/>
    </row>
    <row r="37607" spans="6:6">
      <c r="F37607" s="2423"/>
    </row>
    <row r="37608" spans="6:6">
      <c r="F37608" s="2423"/>
    </row>
    <row r="37609" spans="6:6">
      <c r="F37609" s="2423"/>
    </row>
    <row r="37610" spans="6:6">
      <c r="F37610" s="2423"/>
    </row>
    <row r="37611" spans="6:6">
      <c r="F37611" s="2423"/>
    </row>
    <row r="37612" spans="6:6">
      <c r="F37612" s="2423"/>
    </row>
    <row r="37613" spans="6:6">
      <c r="F37613" s="2423"/>
    </row>
    <row r="37614" spans="6:6">
      <c r="F37614" s="2423"/>
    </row>
    <row r="37615" spans="6:6">
      <c r="F37615" s="2423"/>
    </row>
    <row r="37616" spans="6:6">
      <c r="F37616" s="2423"/>
    </row>
    <row r="37617" spans="6:6">
      <c r="F37617" s="2423"/>
    </row>
    <row r="37618" spans="6:6">
      <c r="F37618" s="2423"/>
    </row>
    <row r="37619" spans="6:6">
      <c r="F37619" s="2423"/>
    </row>
    <row r="37620" spans="6:6">
      <c r="F37620" s="2423"/>
    </row>
    <row r="37621" spans="6:6">
      <c r="F37621" s="2423"/>
    </row>
    <row r="37622" spans="6:6">
      <c r="F37622" s="2423"/>
    </row>
    <row r="37623" spans="6:6">
      <c r="F37623" s="2423"/>
    </row>
    <row r="37624" spans="6:6">
      <c r="F37624" s="2423"/>
    </row>
    <row r="37625" spans="6:6">
      <c r="F37625" s="2423"/>
    </row>
    <row r="37626" spans="6:6">
      <c r="F37626" s="2423"/>
    </row>
    <row r="37627" spans="6:6">
      <c r="F37627" s="2423"/>
    </row>
    <row r="37628" spans="6:6">
      <c r="F37628" s="2423"/>
    </row>
    <row r="37629" spans="6:6">
      <c r="F37629" s="2423"/>
    </row>
    <row r="37630" spans="6:6">
      <c r="F37630" s="2423"/>
    </row>
    <row r="37631" spans="6:6">
      <c r="F37631" s="2423"/>
    </row>
    <row r="37632" spans="6:6">
      <c r="F37632" s="2423"/>
    </row>
    <row r="37633" spans="6:6">
      <c r="F37633" s="2423"/>
    </row>
    <row r="37634" spans="6:6">
      <c r="F37634" s="2423"/>
    </row>
    <row r="37635" spans="6:6">
      <c r="F37635" s="2423"/>
    </row>
    <row r="37636" spans="6:6">
      <c r="F37636" s="2423"/>
    </row>
    <row r="37637" spans="6:6">
      <c r="F37637" s="2423"/>
    </row>
    <row r="37638" spans="6:6">
      <c r="F37638" s="2423"/>
    </row>
    <row r="37639" spans="6:6">
      <c r="F37639" s="2423"/>
    </row>
    <row r="37640" spans="6:6">
      <c r="F37640" s="2423"/>
    </row>
    <row r="37641" spans="6:6">
      <c r="F37641" s="2423"/>
    </row>
    <row r="37642" spans="6:6">
      <c r="F37642" s="2423"/>
    </row>
    <row r="37643" spans="6:6">
      <c r="F37643" s="2423"/>
    </row>
    <row r="37644" spans="6:6">
      <c r="F37644" s="2423"/>
    </row>
    <row r="37645" spans="6:6">
      <c r="F37645" s="2423"/>
    </row>
    <row r="37646" spans="6:6">
      <c r="F37646" s="2423"/>
    </row>
    <row r="37647" spans="6:6">
      <c r="F37647" s="2423"/>
    </row>
    <row r="37648" spans="6:6">
      <c r="F37648" s="2423"/>
    </row>
    <row r="37649" spans="6:6">
      <c r="F37649" s="2423"/>
    </row>
    <row r="37650" spans="6:6">
      <c r="F37650" s="2423"/>
    </row>
    <row r="37651" spans="6:6">
      <c r="F37651" s="2423"/>
    </row>
    <row r="37652" spans="6:6">
      <c r="F37652" s="2423"/>
    </row>
    <row r="37653" spans="6:6">
      <c r="F37653" s="2423"/>
    </row>
    <row r="37654" spans="6:6">
      <c r="F37654" s="2423"/>
    </row>
    <row r="37655" spans="6:6">
      <c r="F37655" s="2423"/>
    </row>
    <row r="37656" spans="6:6">
      <c r="F37656" s="2423"/>
    </row>
    <row r="37657" spans="6:6">
      <c r="F37657" s="2423"/>
    </row>
    <row r="37658" spans="6:6">
      <c r="F37658" s="2423"/>
    </row>
    <row r="37659" spans="6:6">
      <c r="F37659" s="2423"/>
    </row>
    <row r="37660" spans="6:6">
      <c r="F37660" s="2423"/>
    </row>
    <row r="37661" spans="6:6">
      <c r="F37661" s="2423"/>
    </row>
    <row r="37662" spans="6:6">
      <c r="F37662" s="2423"/>
    </row>
    <row r="37663" spans="6:6">
      <c r="F37663" s="2423"/>
    </row>
    <row r="37664" spans="6:6">
      <c r="F37664" s="2423"/>
    </row>
    <row r="37665" spans="6:6">
      <c r="F37665" s="2423"/>
    </row>
    <row r="37666" spans="6:6">
      <c r="F37666" s="2423"/>
    </row>
    <row r="37667" spans="6:6">
      <c r="F37667" s="2423"/>
    </row>
    <row r="37668" spans="6:6">
      <c r="F37668" s="2423"/>
    </row>
    <row r="37669" spans="6:6">
      <c r="F37669" s="2423"/>
    </row>
    <row r="37670" spans="6:6">
      <c r="F37670" s="2423"/>
    </row>
    <row r="37671" spans="6:6">
      <c r="F37671" s="2423"/>
    </row>
    <row r="37672" spans="6:6">
      <c r="F37672" s="2423"/>
    </row>
    <row r="37673" spans="6:6">
      <c r="F37673" s="2423"/>
    </row>
    <row r="37674" spans="6:6">
      <c r="F37674" s="2423"/>
    </row>
    <row r="37675" spans="6:6">
      <c r="F37675" s="2423"/>
    </row>
    <row r="37676" spans="6:6">
      <c r="F37676" s="2423"/>
    </row>
    <row r="37677" spans="6:6">
      <c r="F37677" s="2423"/>
    </row>
    <row r="37678" spans="6:6">
      <c r="F37678" s="2423"/>
    </row>
    <row r="37679" spans="6:6">
      <c r="F37679" s="2423"/>
    </row>
    <row r="37680" spans="6:6">
      <c r="F37680" s="2423"/>
    </row>
    <row r="37681" spans="6:6">
      <c r="F37681" s="2423"/>
    </row>
    <row r="37682" spans="6:6">
      <c r="F37682" s="2423"/>
    </row>
    <row r="37683" spans="6:6">
      <c r="F37683" s="2423"/>
    </row>
    <row r="37684" spans="6:6">
      <c r="F37684" s="2423"/>
    </row>
    <row r="37685" spans="6:6">
      <c r="F37685" s="2423"/>
    </row>
    <row r="37686" spans="6:6">
      <c r="F37686" s="2423"/>
    </row>
    <row r="37687" spans="6:6">
      <c r="F37687" s="2423"/>
    </row>
    <row r="37688" spans="6:6">
      <c r="F37688" s="2423"/>
    </row>
    <row r="37689" spans="6:6">
      <c r="F37689" s="2423"/>
    </row>
    <row r="37690" spans="6:6">
      <c r="F37690" s="2423"/>
    </row>
    <row r="37691" spans="6:6">
      <c r="F37691" s="2423"/>
    </row>
    <row r="37692" spans="6:6">
      <c r="F37692" s="2423"/>
    </row>
    <row r="37693" spans="6:6">
      <c r="F37693" s="2423"/>
    </row>
    <row r="37694" spans="6:6">
      <c r="F37694" s="2423"/>
    </row>
    <row r="37695" spans="6:6">
      <c r="F37695" s="2423"/>
    </row>
    <row r="37696" spans="6:6">
      <c r="F37696" s="2423"/>
    </row>
    <row r="37697" spans="6:6">
      <c r="F37697" s="2423"/>
    </row>
    <row r="37698" spans="6:6">
      <c r="F37698" s="2423"/>
    </row>
    <row r="37699" spans="6:6">
      <c r="F37699" s="2423"/>
    </row>
    <row r="37700" spans="6:6">
      <c r="F37700" s="2423"/>
    </row>
    <row r="37701" spans="6:6">
      <c r="F37701" s="2423"/>
    </row>
    <row r="37702" spans="6:6">
      <c r="F37702" s="2423"/>
    </row>
    <row r="37703" spans="6:6">
      <c r="F37703" s="2423"/>
    </row>
    <row r="37704" spans="6:6">
      <c r="F37704" s="2423"/>
    </row>
    <row r="37705" spans="6:6">
      <c r="F37705" s="2423"/>
    </row>
    <row r="37706" spans="6:6">
      <c r="F37706" s="2423"/>
    </row>
    <row r="37707" spans="6:6">
      <c r="F37707" s="2423"/>
    </row>
    <row r="37708" spans="6:6">
      <c r="F37708" s="2423"/>
    </row>
    <row r="37709" spans="6:6">
      <c r="F37709" s="2423"/>
    </row>
    <row r="37710" spans="6:6">
      <c r="F37710" s="2423"/>
    </row>
    <row r="37711" spans="6:6">
      <c r="F37711" s="2423"/>
    </row>
    <row r="37712" spans="6:6">
      <c r="F37712" s="2423"/>
    </row>
    <row r="37713" spans="6:6">
      <c r="F37713" s="2423"/>
    </row>
    <row r="37714" spans="6:6">
      <c r="F37714" s="2423"/>
    </row>
    <row r="37715" spans="6:6">
      <c r="F37715" s="2423"/>
    </row>
    <row r="37716" spans="6:6">
      <c r="F37716" s="2423"/>
    </row>
    <row r="37717" spans="6:6">
      <c r="F37717" s="2423"/>
    </row>
    <row r="37718" spans="6:6">
      <c r="F37718" s="2423"/>
    </row>
    <row r="37719" spans="6:6">
      <c r="F37719" s="2423"/>
    </row>
    <row r="37720" spans="6:6">
      <c r="F37720" s="2423"/>
    </row>
    <row r="37721" spans="6:6">
      <c r="F37721" s="2423"/>
    </row>
    <row r="37722" spans="6:6">
      <c r="F37722" s="2423"/>
    </row>
    <row r="37723" spans="6:6">
      <c r="F37723" s="2423"/>
    </row>
    <row r="37724" spans="6:6">
      <c r="F37724" s="2423"/>
    </row>
    <row r="37725" spans="6:6">
      <c r="F37725" s="2423"/>
    </row>
    <row r="37726" spans="6:6">
      <c r="F37726" s="2423"/>
    </row>
    <row r="37727" spans="6:6">
      <c r="F37727" s="2423"/>
    </row>
    <row r="37728" spans="6:6">
      <c r="F37728" s="2423"/>
    </row>
    <row r="37729" spans="6:6">
      <c r="F37729" s="2423"/>
    </row>
    <row r="37730" spans="6:6">
      <c r="F37730" s="2423"/>
    </row>
    <row r="37731" spans="6:6">
      <c r="F37731" s="2423"/>
    </row>
    <row r="37732" spans="6:6">
      <c r="F37732" s="2423"/>
    </row>
    <row r="37733" spans="6:6">
      <c r="F37733" s="2423"/>
    </row>
    <row r="37734" spans="6:6">
      <c r="F37734" s="2423"/>
    </row>
    <row r="37735" spans="6:6">
      <c r="F37735" s="2423"/>
    </row>
    <row r="37736" spans="6:6">
      <c r="F37736" s="2423"/>
    </row>
    <row r="37737" spans="6:6">
      <c r="F37737" s="2423"/>
    </row>
    <row r="37738" spans="6:6">
      <c r="F37738" s="2423"/>
    </row>
    <row r="37739" spans="6:6">
      <c r="F37739" s="2423"/>
    </row>
    <row r="37740" spans="6:6">
      <c r="F37740" s="2423"/>
    </row>
    <row r="37741" spans="6:6">
      <c r="F37741" s="2423"/>
    </row>
    <row r="37742" spans="6:6">
      <c r="F37742" s="2423"/>
    </row>
    <row r="37743" spans="6:6">
      <c r="F37743" s="2423"/>
    </row>
    <row r="37744" spans="6:6">
      <c r="F37744" s="2423"/>
    </row>
    <row r="37745" spans="6:6">
      <c r="F37745" s="2423"/>
    </row>
    <row r="37746" spans="6:6">
      <c r="F37746" s="2423"/>
    </row>
    <row r="37747" spans="6:6">
      <c r="F37747" s="2423"/>
    </row>
    <row r="37748" spans="6:6">
      <c r="F37748" s="2423"/>
    </row>
    <row r="37749" spans="6:6">
      <c r="F37749" s="2423"/>
    </row>
    <row r="37750" spans="6:6">
      <c r="F37750" s="2423"/>
    </row>
    <row r="37751" spans="6:6">
      <c r="F37751" s="2423"/>
    </row>
    <row r="37752" spans="6:6">
      <c r="F37752" s="2423"/>
    </row>
    <row r="37753" spans="6:6">
      <c r="F37753" s="2423"/>
    </row>
    <row r="37754" spans="6:6">
      <c r="F37754" s="2423"/>
    </row>
    <row r="37755" spans="6:6">
      <c r="F37755" s="2423"/>
    </row>
    <row r="37756" spans="6:6">
      <c r="F37756" s="2423"/>
    </row>
    <row r="37757" spans="6:6">
      <c r="F37757" s="2423"/>
    </row>
    <row r="37758" spans="6:6">
      <c r="F37758" s="2423"/>
    </row>
    <row r="37759" spans="6:6">
      <c r="F37759" s="2423"/>
    </row>
    <row r="37760" spans="6:6">
      <c r="F37760" s="2423"/>
    </row>
    <row r="37761" spans="6:6">
      <c r="F37761" s="2423"/>
    </row>
    <row r="37762" spans="6:6">
      <c r="F37762" s="2423"/>
    </row>
    <row r="37763" spans="6:6">
      <c r="F37763" s="2423"/>
    </row>
    <row r="37764" spans="6:6">
      <c r="F37764" s="2423"/>
    </row>
    <row r="37765" spans="6:6">
      <c r="F37765" s="2423"/>
    </row>
    <row r="37766" spans="6:6">
      <c r="F37766" s="2423"/>
    </row>
    <row r="37767" spans="6:6">
      <c r="F37767" s="2423"/>
    </row>
    <row r="37768" spans="6:6">
      <c r="F37768" s="2423"/>
    </row>
    <row r="37769" spans="6:6">
      <c r="F37769" s="2423"/>
    </row>
    <row r="37770" spans="6:6">
      <c r="F37770" s="2423"/>
    </row>
    <row r="37771" spans="6:6">
      <c r="F37771" s="2423"/>
    </row>
    <row r="37772" spans="6:6">
      <c r="F37772" s="2423"/>
    </row>
    <row r="37773" spans="6:6">
      <c r="F37773" s="2423"/>
    </row>
    <row r="37774" spans="6:6">
      <c r="F37774" s="2423"/>
    </row>
    <row r="37775" spans="6:6">
      <c r="F37775" s="2423"/>
    </row>
    <row r="37776" spans="6:6">
      <c r="F37776" s="2423"/>
    </row>
    <row r="37777" spans="6:6">
      <c r="F37777" s="2423"/>
    </row>
    <row r="37778" spans="6:6">
      <c r="F37778" s="2423"/>
    </row>
    <row r="37779" spans="6:6">
      <c r="F37779" s="2423"/>
    </row>
    <row r="37780" spans="6:6">
      <c r="F37780" s="2423"/>
    </row>
    <row r="37781" spans="6:6">
      <c r="F37781" s="2423"/>
    </row>
    <row r="37782" spans="6:6">
      <c r="F37782" s="2423"/>
    </row>
    <row r="37783" spans="6:6">
      <c r="F37783" s="2423"/>
    </row>
    <row r="37784" spans="6:6">
      <c r="F37784" s="2423"/>
    </row>
    <row r="37785" spans="6:6">
      <c r="F37785" s="2423"/>
    </row>
    <row r="37786" spans="6:6">
      <c r="F37786" s="2423"/>
    </row>
    <row r="37787" spans="6:6">
      <c r="F37787" s="2423"/>
    </row>
    <row r="37788" spans="6:6">
      <c r="F37788" s="2423"/>
    </row>
    <row r="37789" spans="6:6">
      <c r="F37789" s="2423"/>
    </row>
    <row r="37790" spans="6:6">
      <c r="F37790" s="2423"/>
    </row>
    <row r="37791" spans="6:6">
      <c r="F37791" s="2423"/>
    </row>
    <row r="37792" spans="6:6">
      <c r="F37792" s="2423"/>
    </row>
    <row r="37793" spans="6:6">
      <c r="F37793" s="2423"/>
    </row>
    <row r="37794" spans="6:6">
      <c r="F37794" s="2423"/>
    </row>
    <row r="37795" spans="6:6">
      <c r="F37795" s="2423"/>
    </row>
    <row r="37796" spans="6:6">
      <c r="F37796" s="2423"/>
    </row>
    <row r="37797" spans="6:6">
      <c r="F37797" s="2423"/>
    </row>
    <row r="37798" spans="6:6">
      <c r="F37798" s="2423"/>
    </row>
    <row r="37799" spans="6:6">
      <c r="F37799" s="2423"/>
    </row>
    <row r="37800" spans="6:6">
      <c r="F37800" s="2423"/>
    </row>
    <row r="37801" spans="6:6">
      <c r="F37801" s="2423"/>
    </row>
    <row r="37802" spans="6:6">
      <c r="F37802" s="2423"/>
    </row>
    <row r="37803" spans="6:6">
      <c r="F37803" s="2423"/>
    </row>
    <row r="37804" spans="6:6">
      <c r="F37804" s="2423"/>
    </row>
    <row r="37805" spans="6:6">
      <c r="F37805" s="2423"/>
    </row>
    <row r="37806" spans="6:6">
      <c r="F37806" s="2423"/>
    </row>
    <row r="37807" spans="6:6">
      <c r="F37807" s="2423"/>
    </row>
    <row r="37808" spans="6:6">
      <c r="F37808" s="2423"/>
    </row>
    <row r="37809" spans="6:6">
      <c r="F37809" s="2423"/>
    </row>
    <row r="37810" spans="6:6">
      <c r="F37810" s="2423"/>
    </row>
    <row r="37811" spans="6:6">
      <c r="F37811" s="2423"/>
    </row>
    <row r="37812" spans="6:6">
      <c r="F37812" s="2423"/>
    </row>
    <row r="37813" spans="6:6">
      <c r="F37813" s="2423"/>
    </row>
    <row r="37814" spans="6:6">
      <c r="F37814" s="2423"/>
    </row>
    <row r="37815" spans="6:6">
      <c r="F37815" s="2423"/>
    </row>
    <row r="37816" spans="6:6">
      <c r="F37816" s="2423"/>
    </row>
    <row r="37817" spans="6:6">
      <c r="F37817" s="2423"/>
    </row>
    <row r="37818" spans="6:6">
      <c r="F37818" s="2423"/>
    </row>
    <row r="37819" spans="6:6">
      <c r="F37819" s="2423"/>
    </row>
    <row r="37820" spans="6:6">
      <c r="F37820" s="2423"/>
    </row>
    <row r="37821" spans="6:6">
      <c r="F37821" s="2423"/>
    </row>
    <row r="37822" spans="6:6">
      <c r="F37822" s="2423"/>
    </row>
    <row r="37823" spans="6:6">
      <c r="F37823" s="2423"/>
    </row>
    <row r="37824" spans="6:6">
      <c r="F37824" s="2423"/>
    </row>
    <row r="37825" spans="6:6">
      <c r="F37825" s="2423"/>
    </row>
    <row r="37826" spans="6:6">
      <c r="F37826" s="2423"/>
    </row>
    <row r="37827" spans="6:6">
      <c r="F37827" s="2423"/>
    </row>
    <row r="37828" spans="6:6">
      <c r="F37828" s="2423"/>
    </row>
    <row r="37829" spans="6:6">
      <c r="F37829" s="2423"/>
    </row>
    <row r="37830" spans="6:6">
      <c r="F37830" s="2423"/>
    </row>
    <row r="37831" spans="6:6">
      <c r="F37831" s="2423"/>
    </row>
    <row r="37832" spans="6:6">
      <c r="F37832" s="2423"/>
    </row>
    <row r="37833" spans="6:6">
      <c r="F37833" s="2423"/>
    </row>
    <row r="37834" spans="6:6">
      <c r="F37834" s="2423"/>
    </row>
    <row r="37835" spans="6:6">
      <c r="F37835" s="2423"/>
    </row>
    <row r="37836" spans="6:6">
      <c r="F37836" s="2423"/>
    </row>
    <row r="37837" spans="6:6">
      <c r="F37837" s="2423"/>
    </row>
    <row r="37838" spans="6:6">
      <c r="F37838" s="2423"/>
    </row>
    <row r="37839" spans="6:6">
      <c r="F37839" s="2423"/>
    </row>
    <row r="37840" spans="6:6">
      <c r="F37840" s="2423"/>
    </row>
    <row r="37841" spans="6:6">
      <c r="F37841" s="2423"/>
    </row>
    <row r="37842" spans="6:6">
      <c r="F37842" s="2423"/>
    </row>
    <row r="37843" spans="6:6">
      <c r="F37843" s="2423"/>
    </row>
    <row r="37844" spans="6:6">
      <c r="F37844" s="2423"/>
    </row>
    <row r="37845" spans="6:6">
      <c r="F37845" s="2423"/>
    </row>
    <row r="37846" spans="6:6">
      <c r="F37846" s="2423"/>
    </row>
    <row r="37847" spans="6:6">
      <c r="F37847" s="2423"/>
    </row>
    <row r="37848" spans="6:6">
      <c r="F37848" s="2423"/>
    </row>
    <row r="37849" spans="6:6">
      <c r="F37849" s="2423"/>
    </row>
    <row r="37850" spans="6:6">
      <c r="F37850" s="2423"/>
    </row>
    <row r="37851" spans="6:6">
      <c r="F37851" s="2423"/>
    </row>
    <row r="37852" spans="6:6">
      <c r="F37852" s="2423"/>
    </row>
    <row r="37853" spans="6:6">
      <c r="F37853" s="2423"/>
    </row>
    <row r="37854" spans="6:6">
      <c r="F37854" s="2423"/>
    </row>
    <row r="37855" spans="6:6">
      <c r="F37855" s="2423"/>
    </row>
    <row r="37856" spans="6:6">
      <c r="F37856" s="2423"/>
    </row>
    <row r="37857" spans="6:6">
      <c r="F37857" s="2423"/>
    </row>
    <row r="37858" spans="6:6">
      <c r="F37858" s="2423"/>
    </row>
    <row r="37859" spans="6:6">
      <c r="F37859" s="2423"/>
    </row>
    <row r="37860" spans="6:6">
      <c r="F37860" s="2423"/>
    </row>
    <row r="37861" spans="6:6">
      <c r="F37861" s="2423"/>
    </row>
    <row r="37862" spans="6:6">
      <c r="F37862" s="2423"/>
    </row>
    <row r="37863" spans="6:6">
      <c r="F37863" s="2423"/>
    </row>
    <row r="37864" spans="6:6">
      <c r="F37864" s="2423"/>
    </row>
    <row r="37865" spans="6:6">
      <c r="F37865" s="2423"/>
    </row>
    <row r="37866" spans="6:6">
      <c r="F37866" s="2423"/>
    </row>
    <row r="37867" spans="6:6">
      <c r="F37867" s="2423"/>
    </row>
    <row r="37868" spans="6:6">
      <c r="F37868" s="2423"/>
    </row>
    <row r="37869" spans="6:6">
      <c r="F37869" s="2423"/>
    </row>
    <row r="37870" spans="6:6">
      <c r="F37870" s="2423"/>
    </row>
    <row r="37871" spans="6:6">
      <c r="F37871" s="2423"/>
    </row>
    <row r="37872" spans="6:6">
      <c r="F37872" s="2423"/>
    </row>
    <row r="37873" spans="6:6">
      <c r="F37873" s="2423"/>
    </row>
    <row r="37874" spans="6:6">
      <c r="F37874" s="2423"/>
    </row>
    <row r="37875" spans="6:6">
      <c r="F37875" s="2423"/>
    </row>
    <row r="37876" spans="6:6">
      <c r="F37876" s="2423"/>
    </row>
    <row r="37877" spans="6:6">
      <c r="F37877" s="2423"/>
    </row>
    <row r="37878" spans="6:6">
      <c r="F37878" s="2423"/>
    </row>
    <row r="37879" spans="6:6">
      <c r="F37879" s="2423"/>
    </row>
    <row r="37880" spans="6:6">
      <c r="F37880" s="2423"/>
    </row>
    <row r="37881" spans="6:6">
      <c r="F37881" s="2423"/>
    </row>
    <row r="37882" spans="6:6">
      <c r="F37882" s="2423"/>
    </row>
    <row r="37883" spans="6:6">
      <c r="F37883" s="2423"/>
    </row>
    <row r="37884" spans="6:6">
      <c r="F37884" s="2423"/>
    </row>
    <row r="37885" spans="6:6">
      <c r="F37885" s="2423"/>
    </row>
    <row r="37886" spans="6:6">
      <c r="F37886" s="2423"/>
    </row>
    <row r="37887" spans="6:6">
      <c r="F37887" s="2423"/>
    </row>
    <row r="37888" spans="6:6">
      <c r="F37888" s="2423"/>
    </row>
    <row r="37889" spans="6:6">
      <c r="F37889" s="2423"/>
    </row>
    <row r="37890" spans="6:6">
      <c r="F37890" s="2423"/>
    </row>
    <row r="37891" spans="6:6">
      <c r="F37891" s="2423"/>
    </row>
    <row r="37892" spans="6:6">
      <c r="F37892" s="2423"/>
    </row>
    <row r="37893" spans="6:6">
      <c r="F37893" s="2423"/>
    </row>
    <row r="37894" spans="6:6">
      <c r="F37894" s="2423"/>
    </row>
    <row r="37895" spans="6:6">
      <c r="F37895" s="2423"/>
    </row>
    <row r="37896" spans="6:6">
      <c r="F37896" s="2423"/>
    </row>
    <row r="37897" spans="6:6">
      <c r="F37897" s="2423"/>
    </row>
    <row r="37898" spans="6:6">
      <c r="F37898" s="2423"/>
    </row>
    <row r="37899" spans="6:6">
      <c r="F37899" s="2423"/>
    </row>
    <row r="37900" spans="6:6">
      <c r="F37900" s="2423"/>
    </row>
    <row r="37901" spans="6:6">
      <c r="F37901" s="2423"/>
    </row>
    <row r="37902" spans="6:6">
      <c r="F37902" s="2423"/>
    </row>
    <row r="37903" spans="6:6">
      <c r="F37903" s="2423"/>
    </row>
    <row r="37904" spans="6:6">
      <c r="F37904" s="2423"/>
    </row>
    <row r="37905" spans="6:6">
      <c r="F37905" s="2423"/>
    </row>
    <row r="37906" spans="6:6">
      <c r="F37906" s="2423"/>
    </row>
    <row r="37907" spans="6:6">
      <c r="F37907" s="2423"/>
    </row>
    <row r="37908" spans="6:6">
      <c r="F37908" s="2423"/>
    </row>
    <row r="37909" spans="6:6">
      <c r="F37909" s="2423"/>
    </row>
    <row r="37910" spans="6:6">
      <c r="F37910" s="2423"/>
    </row>
    <row r="37911" spans="6:6">
      <c r="F37911" s="2423"/>
    </row>
    <row r="37912" spans="6:6">
      <c r="F37912" s="2423"/>
    </row>
    <row r="37913" spans="6:6">
      <c r="F37913" s="2423"/>
    </row>
    <row r="37914" spans="6:6">
      <c r="F37914" s="2423"/>
    </row>
    <row r="37915" spans="6:6">
      <c r="F37915" s="2423"/>
    </row>
    <row r="37916" spans="6:6">
      <c r="F37916" s="2423"/>
    </row>
    <row r="37917" spans="6:6">
      <c r="F37917" s="2423"/>
    </row>
    <row r="37918" spans="6:6">
      <c r="F37918" s="2423"/>
    </row>
    <row r="37919" spans="6:6">
      <c r="F37919" s="2423"/>
    </row>
    <row r="37920" spans="6:6">
      <c r="F37920" s="2423"/>
    </row>
    <row r="37921" spans="6:6">
      <c r="F37921" s="2423"/>
    </row>
    <row r="37922" spans="6:6">
      <c r="F37922" s="2423"/>
    </row>
    <row r="37923" spans="6:6">
      <c r="F37923" s="2423"/>
    </row>
    <row r="37924" spans="6:6">
      <c r="F37924" s="2423"/>
    </row>
    <row r="37925" spans="6:6">
      <c r="F37925" s="2423"/>
    </row>
    <row r="37926" spans="6:6">
      <c r="F37926" s="2423"/>
    </row>
    <row r="37927" spans="6:6">
      <c r="F37927" s="2423"/>
    </row>
    <row r="37928" spans="6:6">
      <c r="F37928" s="2423"/>
    </row>
    <row r="37929" spans="6:6">
      <c r="F37929" s="2423"/>
    </row>
    <row r="37930" spans="6:6">
      <c r="F37930" s="2423"/>
    </row>
    <row r="37931" spans="6:6">
      <c r="F37931" s="2423"/>
    </row>
    <row r="37932" spans="6:6">
      <c r="F37932" s="2423"/>
    </row>
    <row r="37933" spans="6:6">
      <c r="F37933" s="2423"/>
    </row>
    <row r="37934" spans="6:6">
      <c r="F37934" s="2423"/>
    </row>
    <row r="37935" spans="6:6">
      <c r="F37935" s="2423"/>
    </row>
    <row r="37936" spans="6:6">
      <c r="F37936" s="2423"/>
    </row>
    <row r="37937" spans="6:6">
      <c r="F37937" s="2423"/>
    </row>
    <row r="37938" spans="6:6">
      <c r="F37938" s="2423"/>
    </row>
    <row r="37939" spans="6:6">
      <c r="F37939" s="2423"/>
    </row>
    <row r="37940" spans="6:6">
      <c r="F37940" s="2423"/>
    </row>
    <row r="37941" spans="6:6">
      <c r="F37941" s="2423"/>
    </row>
    <row r="37942" spans="6:6">
      <c r="F37942" s="2423"/>
    </row>
    <row r="37943" spans="6:6">
      <c r="F37943" s="2423"/>
    </row>
    <row r="37944" spans="6:6">
      <c r="F37944" s="2423"/>
    </row>
    <row r="37945" spans="6:6">
      <c r="F37945" s="2423"/>
    </row>
    <row r="37946" spans="6:6">
      <c r="F37946" s="2423"/>
    </row>
    <row r="37947" spans="6:6">
      <c r="F37947" s="2423"/>
    </row>
    <row r="37948" spans="6:6">
      <c r="F37948" s="2423"/>
    </row>
    <row r="37949" spans="6:6">
      <c r="F37949" s="2423"/>
    </row>
    <row r="37950" spans="6:6">
      <c r="F37950" s="2423"/>
    </row>
    <row r="37951" spans="6:6">
      <c r="F37951" s="2423"/>
    </row>
    <row r="37952" spans="6:6">
      <c r="F37952" s="2423"/>
    </row>
    <row r="37953" spans="6:6">
      <c r="F37953" s="2423"/>
    </row>
    <row r="37954" spans="6:6">
      <c r="F37954" s="2423"/>
    </row>
    <row r="37955" spans="6:6">
      <c r="F37955" s="2423"/>
    </row>
    <row r="37956" spans="6:6">
      <c r="F37956" s="2423"/>
    </row>
    <row r="37957" spans="6:6">
      <c r="F37957" s="2423"/>
    </row>
    <row r="37958" spans="6:6">
      <c r="F37958" s="2423"/>
    </row>
    <row r="37959" spans="6:6">
      <c r="F37959" s="2423"/>
    </row>
    <row r="37960" spans="6:6">
      <c r="F37960" s="2423"/>
    </row>
    <row r="37961" spans="6:6">
      <c r="F37961" s="2423"/>
    </row>
    <row r="37962" spans="6:6">
      <c r="F37962" s="2423"/>
    </row>
    <row r="37963" spans="6:6">
      <c r="F37963" s="2423"/>
    </row>
    <row r="37964" spans="6:6">
      <c r="F37964" s="2423"/>
    </row>
    <row r="37965" spans="6:6">
      <c r="F37965" s="2423"/>
    </row>
    <row r="37966" spans="6:6">
      <c r="F37966" s="2423"/>
    </row>
    <row r="37967" spans="6:6">
      <c r="F37967" s="2423"/>
    </row>
    <row r="37968" spans="6:6">
      <c r="F37968" s="2423"/>
    </row>
    <row r="37969" spans="6:6">
      <c r="F37969" s="2423"/>
    </row>
    <row r="37970" spans="6:6">
      <c r="F37970" s="2423"/>
    </row>
    <row r="37971" spans="6:6">
      <c r="F37971" s="2423"/>
    </row>
    <row r="37972" spans="6:6">
      <c r="F37972" s="2423"/>
    </row>
    <row r="37973" spans="6:6">
      <c r="F37973" s="2423"/>
    </row>
    <row r="37974" spans="6:6">
      <c r="F37974" s="2423"/>
    </row>
    <row r="37975" spans="6:6">
      <c r="F37975" s="2423"/>
    </row>
    <row r="37976" spans="6:6">
      <c r="F37976" s="2423"/>
    </row>
    <row r="37977" spans="6:6">
      <c r="F37977" s="2423"/>
    </row>
    <row r="37978" spans="6:6">
      <c r="F37978" s="2423"/>
    </row>
    <row r="37979" spans="6:6">
      <c r="F37979" s="2423"/>
    </row>
    <row r="37980" spans="6:6">
      <c r="F37980" s="2423"/>
    </row>
    <row r="37981" spans="6:6">
      <c r="F37981" s="2423"/>
    </row>
    <row r="37982" spans="6:6">
      <c r="F37982" s="2423"/>
    </row>
    <row r="37983" spans="6:6">
      <c r="F37983" s="2423"/>
    </row>
    <row r="37984" spans="6:6">
      <c r="F37984" s="2423"/>
    </row>
    <row r="37985" spans="6:6">
      <c r="F37985" s="2423"/>
    </row>
    <row r="37986" spans="6:6">
      <c r="F37986" s="2423"/>
    </row>
    <row r="37987" spans="6:6">
      <c r="F37987" s="2423"/>
    </row>
    <row r="37988" spans="6:6">
      <c r="F37988" s="2423"/>
    </row>
    <row r="37989" spans="6:6">
      <c r="F37989" s="2423"/>
    </row>
    <row r="37990" spans="6:6">
      <c r="F37990" s="2423"/>
    </row>
    <row r="37991" spans="6:6">
      <c r="F37991" s="2423"/>
    </row>
    <row r="37992" spans="6:6">
      <c r="F37992" s="2423"/>
    </row>
    <row r="37993" spans="6:6">
      <c r="F37993" s="2423"/>
    </row>
    <row r="37994" spans="6:6">
      <c r="F37994" s="2423"/>
    </row>
    <row r="37995" spans="6:6">
      <c r="F37995" s="2423"/>
    </row>
    <row r="37996" spans="6:6">
      <c r="F37996" s="2423"/>
    </row>
    <row r="37997" spans="6:6">
      <c r="F37997" s="2423"/>
    </row>
    <row r="37998" spans="6:6">
      <c r="F37998" s="2423"/>
    </row>
    <row r="37999" spans="6:6">
      <c r="F37999" s="2423"/>
    </row>
    <row r="38000" spans="6:6">
      <c r="F38000" s="2423"/>
    </row>
    <row r="38001" spans="6:6">
      <c r="F38001" s="2423"/>
    </row>
    <row r="38002" spans="6:6">
      <c r="F38002" s="2423"/>
    </row>
    <row r="38003" spans="6:6">
      <c r="F38003" s="2423"/>
    </row>
    <row r="38004" spans="6:6">
      <c r="F38004" s="2423"/>
    </row>
    <row r="38005" spans="6:6">
      <c r="F38005" s="2423"/>
    </row>
    <row r="38006" spans="6:6">
      <c r="F38006" s="2423"/>
    </row>
    <row r="38007" spans="6:6">
      <c r="F38007" s="2423"/>
    </row>
    <row r="38008" spans="6:6">
      <c r="F38008" s="2423"/>
    </row>
    <row r="38009" spans="6:6">
      <c r="F38009" s="2423"/>
    </row>
    <row r="38010" spans="6:6">
      <c r="F38010" s="2423"/>
    </row>
    <row r="38011" spans="6:6">
      <c r="F38011" s="2423"/>
    </row>
    <row r="38012" spans="6:6">
      <c r="F38012" s="2423"/>
    </row>
    <row r="38013" spans="6:6">
      <c r="F38013" s="2423"/>
    </row>
    <row r="38014" spans="6:6">
      <c r="F38014" s="2423"/>
    </row>
    <row r="38015" spans="6:6">
      <c r="F38015" s="2423"/>
    </row>
    <row r="38016" spans="6:6">
      <c r="F38016" s="2423"/>
    </row>
    <row r="38017" spans="6:6">
      <c r="F38017" s="2423"/>
    </row>
    <row r="38018" spans="6:6">
      <c r="F38018" s="2423"/>
    </row>
    <row r="38019" spans="6:6">
      <c r="F38019" s="2423"/>
    </row>
    <row r="38020" spans="6:6">
      <c r="F38020" s="2423"/>
    </row>
    <row r="38021" spans="6:6">
      <c r="F38021" s="2423"/>
    </row>
    <row r="38022" spans="6:6">
      <c r="F38022" s="2423"/>
    </row>
    <row r="38023" spans="6:6">
      <c r="F38023" s="2423"/>
    </row>
    <row r="38024" spans="6:6">
      <c r="F38024" s="2423"/>
    </row>
    <row r="38025" spans="6:6">
      <c r="F38025" s="2423"/>
    </row>
    <row r="38026" spans="6:6">
      <c r="F38026" s="2423"/>
    </row>
    <row r="38027" spans="6:6">
      <c r="F38027" s="2423"/>
    </row>
    <row r="38028" spans="6:6">
      <c r="F38028" s="2423"/>
    </row>
    <row r="38029" spans="6:6">
      <c r="F38029" s="2423"/>
    </row>
    <row r="38030" spans="6:6">
      <c r="F38030" s="2423"/>
    </row>
    <row r="38031" spans="6:6">
      <c r="F38031" s="2423"/>
    </row>
    <row r="38032" spans="6:6">
      <c r="F38032" s="2423"/>
    </row>
    <row r="38033" spans="6:6">
      <c r="F38033" s="2423"/>
    </row>
    <row r="38034" spans="6:6">
      <c r="F38034" s="2423"/>
    </row>
    <row r="38035" spans="6:6">
      <c r="F38035" s="2423"/>
    </row>
    <row r="38036" spans="6:6">
      <c r="F38036" s="2423"/>
    </row>
    <row r="38037" spans="6:6">
      <c r="F38037" s="2423"/>
    </row>
    <row r="38038" spans="6:6">
      <c r="F38038" s="2423"/>
    </row>
    <row r="38039" spans="6:6">
      <c r="F38039" s="2423"/>
    </row>
    <row r="38040" spans="6:6">
      <c r="F38040" s="2423"/>
    </row>
    <row r="38041" spans="6:6">
      <c r="F38041" s="2423"/>
    </row>
    <row r="38042" spans="6:6">
      <c r="F38042" s="2423"/>
    </row>
    <row r="38043" spans="6:6">
      <c r="F38043" s="2423"/>
    </row>
    <row r="38044" spans="6:6">
      <c r="F38044" s="2423"/>
    </row>
    <row r="38045" spans="6:6">
      <c r="F38045" s="2423"/>
    </row>
    <row r="38046" spans="6:6">
      <c r="F38046" s="2423"/>
    </row>
    <row r="38047" spans="6:6">
      <c r="F38047" s="2423"/>
    </row>
    <row r="38048" spans="6:6">
      <c r="F38048" s="2423"/>
    </row>
    <row r="38049" spans="6:6">
      <c r="F38049" s="2423"/>
    </row>
    <row r="38050" spans="6:6">
      <c r="F38050" s="2423"/>
    </row>
    <row r="38051" spans="6:6">
      <c r="F38051" s="2423"/>
    </row>
    <row r="38052" spans="6:6">
      <c r="F38052" s="2423"/>
    </row>
    <row r="38053" spans="6:6">
      <c r="F38053" s="2423"/>
    </row>
    <row r="38054" spans="6:6">
      <c r="F38054" s="2423"/>
    </row>
    <row r="38055" spans="6:6">
      <c r="F38055" s="2423"/>
    </row>
    <row r="38056" spans="6:6">
      <c r="F38056" s="2423"/>
    </row>
    <row r="38057" spans="6:6">
      <c r="F38057" s="2423"/>
    </row>
    <row r="38058" spans="6:6">
      <c r="F38058" s="2423"/>
    </row>
    <row r="38059" spans="6:6">
      <c r="F38059" s="2423"/>
    </row>
    <row r="38060" spans="6:6">
      <c r="F38060" s="2423"/>
    </row>
    <row r="38061" spans="6:6">
      <c r="F38061" s="2423"/>
    </row>
    <row r="38062" spans="6:6">
      <c r="F38062" s="2423"/>
    </row>
    <row r="38063" spans="6:6">
      <c r="F38063" s="2423"/>
    </row>
    <row r="38064" spans="6:6">
      <c r="F38064" s="2423"/>
    </row>
    <row r="38065" spans="6:6">
      <c r="F38065" s="2423"/>
    </row>
    <row r="38066" spans="6:6">
      <c r="F38066" s="2423"/>
    </row>
    <row r="38067" spans="6:6">
      <c r="F38067" s="2423"/>
    </row>
    <row r="38068" spans="6:6">
      <c r="F38068" s="2423"/>
    </row>
    <row r="38069" spans="6:6">
      <c r="F38069" s="2423"/>
    </row>
    <row r="38070" spans="6:6">
      <c r="F38070" s="2423"/>
    </row>
    <row r="38071" spans="6:6">
      <c r="F38071" s="2423"/>
    </row>
    <row r="38072" spans="6:6">
      <c r="F38072" s="2423"/>
    </row>
    <row r="38073" spans="6:6">
      <c r="F38073" s="2423"/>
    </row>
    <row r="38074" spans="6:6">
      <c r="F38074" s="2423"/>
    </row>
    <row r="38075" spans="6:6">
      <c r="F38075" s="2423"/>
    </row>
    <row r="38076" spans="6:6">
      <c r="F38076" s="2423"/>
    </row>
    <row r="38077" spans="6:6">
      <c r="F38077" s="2423"/>
    </row>
    <row r="38078" spans="6:6">
      <c r="F38078" s="2423"/>
    </row>
    <row r="38079" spans="6:6">
      <c r="F38079" s="2423"/>
    </row>
    <row r="38080" spans="6:6">
      <c r="F38080" s="2423"/>
    </row>
    <row r="38081" spans="6:6">
      <c r="F38081" s="2423"/>
    </row>
    <row r="38082" spans="6:6">
      <c r="F38082" s="2423"/>
    </row>
    <row r="38083" spans="6:6">
      <c r="F38083" s="2423"/>
    </row>
    <row r="38084" spans="6:6">
      <c r="F38084" s="2423"/>
    </row>
    <row r="38085" spans="6:6">
      <c r="F38085" s="2423"/>
    </row>
    <row r="38086" spans="6:6">
      <c r="F38086" s="2423"/>
    </row>
    <row r="38087" spans="6:6">
      <c r="F38087" s="2423"/>
    </row>
    <row r="38088" spans="6:6">
      <c r="F38088" s="2423"/>
    </row>
    <row r="38089" spans="6:6">
      <c r="F38089" s="2423"/>
    </row>
    <row r="38090" spans="6:6">
      <c r="F38090" s="2423"/>
    </row>
    <row r="38091" spans="6:6">
      <c r="F38091" s="2423"/>
    </row>
    <row r="38092" spans="6:6">
      <c r="F38092" s="2423"/>
    </row>
    <row r="38093" spans="6:6">
      <c r="F38093" s="2423"/>
    </row>
    <row r="38094" spans="6:6">
      <c r="F38094" s="2423"/>
    </row>
    <row r="38095" spans="6:6">
      <c r="F38095" s="2423"/>
    </row>
    <row r="38096" spans="6:6">
      <c r="F38096" s="2423"/>
    </row>
    <row r="38097" spans="6:6">
      <c r="F38097" s="2423"/>
    </row>
    <row r="38098" spans="6:6">
      <c r="F38098" s="2423"/>
    </row>
    <row r="38099" spans="6:6">
      <c r="F38099" s="2423"/>
    </row>
    <row r="38100" spans="6:6">
      <c r="F38100" s="2423"/>
    </row>
    <row r="38101" spans="6:6">
      <c r="F38101" s="2423"/>
    </row>
    <row r="38102" spans="6:6">
      <c r="F38102" s="2423"/>
    </row>
    <row r="38103" spans="6:6">
      <c r="F38103" s="2423"/>
    </row>
    <row r="38104" spans="6:6">
      <c r="F38104" s="2423"/>
    </row>
    <row r="38105" spans="6:6">
      <c r="F38105" s="2423"/>
    </row>
    <row r="38106" spans="6:6">
      <c r="F38106" s="2423"/>
    </row>
    <row r="38107" spans="6:6">
      <c r="F38107" s="2423"/>
    </row>
    <row r="38108" spans="6:6">
      <c r="F38108" s="2423"/>
    </row>
    <row r="38109" spans="6:6">
      <c r="F38109" s="2423"/>
    </row>
    <row r="38110" spans="6:6">
      <c r="F38110" s="2423"/>
    </row>
    <row r="38111" spans="6:6">
      <c r="F38111" s="2423"/>
    </row>
    <row r="38112" spans="6:6">
      <c r="F38112" s="2423"/>
    </row>
    <row r="38113" spans="6:6">
      <c r="F38113" s="2423"/>
    </row>
    <row r="38114" spans="6:6">
      <c r="F38114" s="2423"/>
    </row>
    <row r="38115" spans="6:6">
      <c r="F38115" s="2423"/>
    </row>
    <row r="38116" spans="6:6">
      <c r="F38116" s="2423"/>
    </row>
    <row r="38117" spans="6:6">
      <c r="F38117" s="2423"/>
    </row>
    <row r="38118" spans="6:6">
      <c r="F38118" s="2423"/>
    </row>
    <row r="38119" spans="6:6">
      <c r="F38119" s="2423"/>
    </row>
    <row r="38120" spans="6:6">
      <c r="F38120" s="2423"/>
    </row>
    <row r="38121" spans="6:6">
      <c r="F38121" s="2423"/>
    </row>
    <row r="38122" spans="6:6">
      <c r="F38122" s="2423"/>
    </row>
    <row r="38123" spans="6:6">
      <c r="F38123" s="2423"/>
    </row>
    <row r="38124" spans="6:6">
      <c r="F38124" s="2423"/>
    </row>
    <row r="38125" spans="6:6">
      <c r="F38125" s="2423"/>
    </row>
    <row r="38126" spans="6:6">
      <c r="F38126" s="2423"/>
    </row>
    <row r="38127" spans="6:6">
      <c r="F38127" s="2423"/>
    </row>
    <row r="38128" spans="6:6">
      <c r="F38128" s="2423"/>
    </row>
    <row r="38129" spans="6:6">
      <c r="F38129" s="2423"/>
    </row>
    <row r="38130" spans="6:6">
      <c r="F38130" s="2423"/>
    </row>
    <row r="38131" spans="6:6">
      <c r="F38131" s="2423"/>
    </row>
    <row r="38132" spans="6:6">
      <c r="F38132" s="2423"/>
    </row>
    <row r="38133" spans="6:6">
      <c r="F38133" s="2423"/>
    </row>
    <row r="38134" spans="6:6">
      <c r="F38134" s="2423"/>
    </row>
    <row r="38135" spans="6:6">
      <c r="F38135" s="2423"/>
    </row>
    <row r="38136" spans="6:6">
      <c r="F38136" s="2423"/>
    </row>
    <row r="38137" spans="6:6">
      <c r="F38137" s="2423"/>
    </row>
    <row r="38138" spans="6:6">
      <c r="F38138" s="2423"/>
    </row>
    <row r="38139" spans="6:6">
      <c r="F38139" s="2423"/>
    </row>
    <row r="38140" spans="6:6">
      <c r="F38140" s="2423"/>
    </row>
    <row r="38141" spans="6:6">
      <c r="F38141" s="2423"/>
    </row>
    <row r="38142" spans="6:6">
      <c r="F38142" s="2423"/>
    </row>
    <row r="38143" spans="6:6">
      <c r="F38143" s="2423"/>
    </row>
    <row r="38144" spans="6:6">
      <c r="F38144" s="2423"/>
    </row>
    <row r="38145" spans="6:6">
      <c r="F38145" s="2423"/>
    </row>
    <row r="38146" spans="6:6">
      <c r="F38146" s="2423"/>
    </row>
    <row r="38147" spans="6:6">
      <c r="F38147" s="2423"/>
    </row>
    <row r="38148" spans="6:6">
      <c r="F38148" s="2423"/>
    </row>
    <row r="38149" spans="6:6">
      <c r="F38149" s="2423"/>
    </row>
    <row r="38150" spans="6:6">
      <c r="F38150" s="2423"/>
    </row>
    <row r="38151" spans="6:6">
      <c r="F38151" s="2423"/>
    </row>
    <row r="38152" spans="6:6">
      <c r="F38152" s="2423"/>
    </row>
    <row r="38153" spans="6:6">
      <c r="F38153" s="2423"/>
    </row>
    <row r="38154" spans="6:6">
      <c r="F38154" s="2423"/>
    </row>
    <row r="38155" spans="6:6">
      <c r="F38155" s="2423"/>
    </row>
    <row r="38156" spans="6:6">
      <c r="F38156" s="2423"/>
    </row>
    <row r="38157" spans="6:6">
      <c r="F38157" s="2423"/>
    </row>
    <row r="38158" spans="6:6">
      <c r="F38158" s="2423"/>
    </row>
    <row r="38159" spans="6:6">
      <c r="F38159" s="2423"/>
    </row>
    <row r="38160" spans="6:6">
      <c r="F38160" s="2423"/>
    </row>
    <row r="38161" spans="6:6">
      <c r="F38161" s="2423"/>
    </row>
    <row r="38162" spans="6:6">
      <c r="F38162" s="2423"/>
    </row>
    <row r="38163" spans="6:6">
      <c r="F38163" s="2423"/>
    </row>
    <row r="38164" spans="6:6">
      <c r="F38164" s="2423"/>
    </row>
    <row r="38165" spans="6:6">
      <c r="F38165" s="2423"/>
    </row>
    <row r="38166" spans="6:6">
      <c r="F38166" s="2423"/>
    </row>
    <row r="38167" spans="6:6">
      <c r="F38167" s="2423"/>
    </row>
    <row r="38168" spans="6:6">
      <c r="F38168" s="2423"/>
    </row>
    <row r="38169" spans="6:6">
      <c r="F38169" s="2423"/>
    </row>
    <row r="38170" spans="6:6">
      <c r="F38170" s="2423"/>
    </row>
    <row r="38171" spans="6:6">
      <c r="F38171" s="2423"/>
    </row>
    <row r="38172" spans="6:6">
      <c r="F38172" s="2423"/>
    </row>
    <row r="38173" spans="6:6">
      <c r="F38173" s="2423"/>
    </row>
    <row r="38174" spans="6:6">
      <c r="F38174" s="2423"/>
    </row>
    <row r="38175" spans="6:6">
      <c r="F38175" s="2423"/>
    </row>
    <row r="38176" spans="6:6">
      <c r="F38176" s="2423"/>
    </row>
    <row r="38177" spans="6:6">
      <c r="F38177" s="2423"/>
    </row>
    <row r="38178" spans="6:6">
      <c r="F38178" s="2423"/>
    </row>
    <row r="38179" spans="6:6">
      <c r="F38179" s="2423"/>
    </row>
    <row r="38180" spans="6:6">
      <c r="F38180" s="2423"/>
    </row>
    <row r="38181" spans="6:6">
      <c r="F38181" s="2423"/>
    </row>
    <row r="38182" spans="6:6">
      <c r="F38182" s="2423"/>
    </row>
    <row r="38183" spans="6:6">
      <c r="F38183" s="2423"/>
    </row>
    <row r="38184" spans="6:6">
      <c r="F38184" s="2423"/>
    </row>
    <row r="38185" spans="6:6">
      <c r="F38185" s="2423"/>
    </row>
    <row r="38186" spans="6:6">
      <c r="F38186" s="2423"/>
    </row>
    <row r="38187" spans="6:6">
      <c r="F38187" s="2423"/>
    </row>
    <row r="38188" spans="6:6">
      <c r="F38188" s="2423"/>
    </row>
    <row r="38189" spans="6:6">
      <c r="F38189" s="2423"/>
    </row>
    <row r="38190" spans="6:6">
      <c r="F38190" s="2423"/>
    </row>
    <row r="38191" spans="6:6">
      <c r="F38191" s="2423"/>
    </row>
    <row r="38192" spans="6:6">
      <c r="F38192" s="2423"/>
    </row>
    <row r="38193" spans="6:6">
      <c r="F38193" s="2423"/>
    </row>
    <row r="38194" spans="6:6">
      <c r="F38194" s="2423"/>
    </row>
    <row r="38195" spans="6:6">
      <c r="F38195" s="2423"/>
    </row>
    <row r="38196" spans="6:6">
      <c r="F38196" s="2423"/>
    </row>
    <row r="38197" spans="6:6">
      <c r="F38197" s="2423"/>
    </row>
    <row r="38198" spans="6:6">
      <c r="F38198" s="2423"/>
    </row>
    <row r="38199" spans="6:6">
      <c r="F38199" s="2423"/>
    </row>
    <row r="38200" spans="6:6">
      <c r="F38200" s="2423"/>
    </row>
    <row r="38201" spans="6:6">
      <c r="F38201" s="2423"/>
    </row>
    <row r="38202" spans="6:6">
      <c r="F38202" s="2423"/>
    </row>
    <row r="38203" spans="6:6">
      <c r="F38203" s="2423"/>
    </row>
    <row r="38204" spans="6:6">
      <c r="F38204" s="2423"/>
    </row>
    <row r="38205" spans="6:6">
      <c r="F38205" s="2423"/>
    </row>
    <row r="38206" spans="6:6">
      <c r="F38206" s="2423"/>
    </row>
    <row r="38207" spans="6:6">
      <c r="F38207" s="2423"/>
    </row>
    <row r="38208" spans="6:6">
      <c r="F38208" s="2423"/>
    </row>
    <row r="38209" spans="6:6">
      <c r="F38209" s="2423"/>
    </row>
    <row r="38210" spans="6:6">
      <c r="F38210" s="2423"/>
    </row>
    <row r="38211" spans="6:6">
      <c r="F38211" s="2423"/>
    </row>
    <row r="38212" spans="6:6">
      <c r="F38212" s="2423"/>
    </row>
    <row r="38213" spans="6:6">
      <c r="F38213" s="2423"/>
    </row>
    <row r="38214" spans="6:6">
      <c r="F38214" s="2423"/>
    </row>
    <row r="38215" spans="6:6">
      <c r="F38215" s="2423"/>
    </row>
    <row r="38216" spans="6:6">
      <c r="F38216" s="2423"/>
    </row>
    <row r="38217" spans="6:6">
      <c r="F38217" s="2423"/>
    </row>
    <row r="38218" spans="6:6">
      <c r="F38218" s="2423"/>
    </row>
    <row r="38219" spans="6:6">
      <c r="F38219" s="2423"/>
    </row>
    <row r="38220" spans="6:6">
      <c r="F38220" s="2423"/>
    </row>
    <row r="38221" spans="6:6">
      <c r="F38221" s="2423"/>
    </row>
    <row r="38222" spans="6:6">
      <c r="F38222" s="2423"/>
    </row>
    <row r="38223" spans="6:6">
      <c r="F38223" s="2423"/>
    </row>
    <row r="38224" spans="6:6">
      <c r="F38224" s="2423"/>
    </row>
    <row r="38225" spans="6:6">
      <c r="F38225" s="2423"/>
    </row>
    <row r="38226" spans="6:6">
      <c r="F38226" s="2423"/>
    </row>
    <row r="38227" spans="6:6">
      <c r="F38227" s="2423"/>
    </row>
    <row r="38228" spans="6:6">
      <c r="F38228" s="2423"/>
    </row>
    <row r="38229" spans="6:6">
      <c r="F38229" s="2423"/>
    </row>
    <row r="38230" spans="6:6">
      <c r="F38230" s="2423"/>
    </row>
    <row r="38231" spans="6:6">
      <c r="F38231" s="2423"/>
    </row>
    <row r="38232" spans="6:6">
      <c r="F38232" s="2423"/>
    </row>
    <row r="38233" spans="6:6">
      <c r="F38233" s="2423"/>
    </row>
    <row r="38234" spans="6:6">
      <c r="F38234" s="2423"/>
    </row>
    <row r="38235" spans="6:6">
      <c r="F38235" s="2423"/>
    </row>
    <row r="38236" spans="6:6">
      <c r="F38236" s="2423"/>
    </row>
    <row r="38237" spans="6:6">
      <c r="F38237" s="2423"/>
    </row>
    <row r="38238" spans="6:6">
      <c r="F38238" s="2423"/>
    </row>
    <row r="38239" spans="6:6">
      <c r="F38239" s="2423"/>
    </row>
    <row r="38240" spans="6:6">
      <c r="F38240" s="2423"/>
    </row>
    <row r="38241" spans="6:6">
      <c r="F38241" s="2423"/>
    </row>
    <row r="38242" spans="6:6">
      <c r="F38242" s="2423"/>
    </row>
    <row r="38243" spans="6:6">
      <c r="F38243" s="2423"/>
    </row>
    <row r="38244" spans="6:6">
      <c r="F38244" s="2423"/>
    </row>
    <row r="38245" spans="6:6">
      <c r="F38245" s="2423"/>
    </row>
    <row r="38246" spans="6:6">
      <c r="F38246" s="2423"/>
    </row>
    <row r="38247" spans="6:6">
      <c r="F38247" s="2423"/>
    </row>
    <row r="38248" spans="6:6">
      <c r="F38248" s="2423"/>
    </row>
    <row r="38249" spans="6:6">
      <c r="F38249" s="2423"/>
    </row>
    <row r="38250" spans="6:6">
      <c r="F38250" s="2423"/>
    </row>
    <row r="38251" spans="6:6">
      <c r="F38251" s="2423"/>
    </row>
    <row r="38252" spans="6:6">
      <c r="F38252" s="2423"/>
    </row>
    <row r="38253" spans="6:6">
      <c r="F38253" s="2423"/>
    </row>
    <row r="38254" spans="6:6">
      <c r="F38254" s="2423"/>
    </row>
    <row r="38255" spans="6:6">
      <c r="F38255" s="2423"/>
    </row>
    <row r="38256" spans="6:6">
      <c r="F38256" s="2423"/>
    </row>
    <row r="38257" spans="6:6">
      <c r="F38257" s="2423"/>
    </row>
    <row r="38258" spans="6:6">
      <c r="F38258" s="2423"/>
    </row>
    <row r="38259" spans="6:6">
      <c r="F38259" s="2423"/>
    </row>
    <row r="38260" spans="6:6">
      <c r="F38260" s="2423"/>
    </row>
    <row r="38261" spans="6:6">
      <c r="F38261" s="2423"/>
    </row>
    <row r="38262" spans="6:6">
      <c r="F38262" s="2423"/>
    </row>
    <row r="38263" spans="6:6">
      <c r="F38263" s="2423"/>
    </row>
    <row r="38264" spans="6:6">
      <c r="F38264" s="2423"/>
    </row>
    <row r="38265" spans="6:6">
      <c r="F38265" s="2423"/>
    </row>
    <row r="38266" spans="6:6">
      <c r="F38266" s="2423"/>
    </row>
    <row r="38267" spans="6:6">
      <c r="F38267" s="2423"/>
    </row>
    <row r="38268" spans="6:6">
      <c r="F38268" s="2423"/>
    </row>
    <row r="38269" spans="6:6">
      <c r="F38269" s="2423"/>
    </row>
    <row r="38270" spans="6:6">
      <c r="F38270" s="2423"/>
    </row>
    <row r="38271" spans="6:6">
      <c r="F38271" s="2423"/>
    </row>
    <row r="38272" spans="6:6">
      <c r="F38272" s="2423"/>
    </row>
    <row r="38273" spans="6:6">
      <c r="F38273" s="2423"/>
    </row>
    <row r="38274" spans="6:6">
      <c r="F38274" s="2423"/>
    </row>
    <row r="38275" spans="6:6">
      <c r="F38275" s="2423"/>
    </row>
    <row r="38276" spans="6:6">
      <c r="F38276" s="2423"/>
    </row>
    <row r="38277" spans="6:6">
      <c r="F38277" s="2423"/>
    </row>
    <row r="38278" spans="6:6">
      <c r="F38278" s="2423"/>
    </row>
    <row r="38279" spans="6:6">
      <c r="F38279" s="2423"/>
    </row>
    <row r="38280" spans="6:6">
      <c r="F38280" s="2423"/>
    </row>
    <row r="38281" spans="6:6">
      <c r="F38281" s="2423"/>
    </row>
    <row r="38282" spans="6:6">
      <c r="F38282" s="2423"/>
    </row>
    <row r="38283" spans="6:6">
      <c r="F38283" s="2423"/>
    </row>
    <row r="38284" spans="6:6">
      <c r="F38284" s="2423"/>
    </row>
    <row r="38285" spans="6:6">
      <c r="F38285" s="2423"/>
    </row>
    <row r="38286" spans="6:6">
      <c r="F38286" s="2423"/>
    </row>
    <row r="38287" spans="6:6">
      <c r="F38287" s="2423"/>
    </row>
    <row r="38288" spans="6:6">
      <c r="F38288" s="2423"/>
    </row>
    <row r="38289" spans="6:6">
      <c r="F38289" s="2423"/>
    </row>
    <row r="38290" spans="6:6">
      <c r="F38290" s="2423"/>
    </row>
    <row r="38291" spans="6:6">
      <c r="F38291" s="2423"/>
    </row>
    <row r="38292" spans="6:6">
      <c r="F38292" s="2423"/>
    </row>
    <row r="38293" spans="6:6">
      <c r="F38293" s="2423"/>
    </row>
    <row r="38294" spans="6:6">
      <c r="F38294" s="2423"/>
    </row>
    <row r="38295" spans="6:6">
      <c r="F38295" s="2423"/>
    </row>
    <row r="38296" spans="6:6">
      <c r="F38296" s="2423"/>
    </row>
    <row r="38297" spans="6:6">
      <c r="F38297" s="2423"/>
    </row>
    <row r="38298" spans="6:6">
      <c r="F38298" s="2423"/>
    </row>
    <row r="38299" spans="6:6">
      <c r="F38299" s="2423"/>
    </row>
    <row r="38300" spans="6:6">
      <c r="F38300" s="2423"/>
    </row>
    <row r="38301" spans="6:6">
      <c r="F38301" s="2423"/>
    </row>
    <row r="38302" spans="6:6">
      <c r="F38302" s="2423"/>
    </row>
    <row r="38303" spans="6:6">
      <c r="F38303" s="2423"/>
    </row>
    <row r="38304" spans="6:6">
      <c r="F38304" s="2423"/>
    </row>
    <row r="38305" spans="6:6">
      <c r="F38305" s="2423"/>
    </row>
    <row r="38306" spans="6:6">
      <c r="F38306" s="2423"/>
    </row>
    <row r="38307" spans="6:6">
      <c r="F38307" s="2423"/>
    </row>
    <row r="38308" spans="6:6">
      <c r="F38308" s="2423"/>
    </row>
    <row r="38309" spans="6:6">
      <c r="F38309" s="2423"/>
    </row>
    <row r="38310" spans="6:6">
      <c r="F38310" s="2423"/>
    </row>
    <row r="38311" spans="6:6">
      <c r="F38311" s="2423"/>
    </row>
    <row r="38312" spans="6:6">
      <c r="F38312" s="2423"/>
    </row>
    <row r="38313" spans="6:6">
      <c r="F38313" s="2423"/>
    </row>
    <row r="38314" spans="6:6">
      <c r="F38314" s="2423"/>
    </row>
    <row r="38315" spans="6:6">
      <c r="F38315" s="2423"/>
    </row>
    <row r="38316" spans="6:6">
      <c r="F38316" s="2423"/>
    </row>
    <row r="38317" spans="6:6">
      <c r="F38317" s="2423"/>
    </row>
    <row r="38318" spans="6:6">
      <c r="F38318" s="2423"/>
    </row>
    <row r="38319" spans="6:6">
      <c r="F38319" s="2423"/>
    </row>
    <row r="38320" spans="6:6">
      <c r="F38320" s="2423"/>
    </row>
    <row r="38321" spans="6:6">
      <c r="F38321" s="2423"/>
    </row>
    <row r="38322" spans="6:6">
      <c r="F38322" s="2423"/>
    </row>
    <row r="38323" spans="6:6">
      <c r="F38323" s="2423"/>
    </row>
    <row r="38324" spans="6:6">
      <c r="F38324" s="2423"/>
    </row>
    <row r="38325" spans="6:6">
      <c r="F38325" s="2423"/>
    </row>
    <row r="38326" spans="6:6">
      <c r="F38326" s="2423"/>
    </row>
    <row r="38327" spans="6:6">
      <c r="F38327" s="2423"/>
    </row>
    <row r="38328" spans="6:6">
      <c r="F38328" s="2423"/>
    </row>
    <row r="38329" spans="6:6">
      <c r="F38329" s="2423"/>
    </row>
    <row r="38330" spans="6:6">
      <c r="F38330" s="2423"/>
    </row>
    <row r="38331" spans="6:6">
      <c r="F38331" s="2423"/>
    </row>
    <row r="38332" spans="6:6">
      <c r="F38332" s="2423"/>
    </row>
    <row r="38333" spans="6:6">
      <c r="F38333" s="2423"/>
    </row>
    <row r="38334" spans="6:6">
      <c r="F38334" s="2423"/>
    </row>
    <row r="38335" spans="6:6">
      <c r="F38335" s="2423"/>
    </row>
    <row r="38336" spans="6:6">
      <c r="F38336" s="2423"/>
    </row>
    <row r="38337" spans="6:6">
      <c r="F38337" s="2423"/>
    </row>
    <row r="38338" spans="6:6">
      <c r="F38338" s="2423"/>
    </row>
    <row r="38339" spans="6:6">
      <c r="F38339" s="2423"/>
    </row>
    <row r="38340" spans="6:6">
      <c r="F38340" s="2423"/>
    </row>
    <row r="38341" spans="6:6">
      <c r="F38341" s="2423"/>
    </row>
    <row r="38342" spans="6:6">
      <c r="F38342" s="2423"/>
    </row>
    <row r="38343" spans="6:6">
      <c r="F38343" s="2423"/>
    </row>
    <row r="38344" spans="6:6">
      <c r="F38344" s="2423"/>
    </row>
    <row r="38345" spans="6:6">
      <c r="F38345" s="2423"/>
    </row>
    <row r="38346" spans="6:6">
      <c r="F38346" s="2423"/>
    </row>
    <row r="38347" spans="6:6">
      <c r="F38347" s="2423"/>
    </row>
    <row r="38348" spans="6:6">
      <c r="F38348" s="2423"/>
    </row>
    <row r="38349" spans="6:6">
      <c r="F38349" s="2423"/>
    </row>
    <row r="38350" spans="6:6">
      <c r="F38350" s="2423"/>
    </row>
    <row r="38351" spans="6:6">
      <c r="F38351" s="2423"/>
    </row>
    <row r="38352" spans="6:6">
      <c r="F38352" s="2423"/>
    </row>
    <row r="38353" spans="6:6">
      <c r="F38353" s="2423"/>
    </row>
    <row r="38354" spans="6:6">
      <c r="F38354" s="2423"/>
    </row>
    <row r="38355" spans="6:6">
      <c r="F38355" s="2423"/>
    </row>
    <row r="38356" spans="6:6">
      <c r="F38356" s="2423"/>
    </row>
    <row r="38357" spans="6:6">
      <c r="F38357" s="2423"/>
    </row>
    <row r="38358" spans="6:6">
      <c r="F38358" s="2423"/>
    </row>
    <row r="38359" spans="6:6">
      <c r="F38359" s="2423"/>
    </row>
    <row r="38360" spans="6:6">
      <c r="F38360" s="2423"/>
    </row>
    <row r="38361" spans="6:6">
      <c r="F38361" s="2423"/>
    </row>
    <row r="38362" spans="6:6">
      <c r="F38362" s="2423"/>
    </row>
    <row r="38363" spans="6:6">
      <c r="F38363" s="2423"/>
    </row>
    <row r="38364" spans="6:6">
      <c r="F38364" s="2423"/>
    </row>
    <row r="38365" spans="6:6">
      <c r="F38365" s="2423"/>
    </row>
    <row r="38366" spans="6:6">
      <c r="F38366" s="2423"/>
    </row>
    <row r="38367" spans="6:6">
      <c r="F38367" s="2423"/>
    </row>
    <row r="38368" spans="6:6">
      <c r="F38368" s="2423"/>
    </row>
    <row r="38369" spans="6:6">
      <c r="F38369" s="2423"/>
    </row>
    <row r="38370" spans="6:6">
      <c r="F38370" s="2423"/>
    </row>
    <row r="38371" spans="6:6">
      <c r="F38371" s="2423"/>
    </row>
    <row r="38372" spans="6:6">
      <c r="F38372" s="2423"/>
    </row>
    <row r="38373" spans="6:6">
      <c r="F38373" s="2423"/>
    </row>
    <row r="38374" spans="6:6">
      <c r="F38374" s="2423"/>
    </row>
    <row r="38375" spans="6:6">
      <c r="F38375" s="2423"/>
    </row>
    <row r="38376" spans="6:6">
      <c r="F38376" s="2423"/>
    </row>
    <row r="38377" spans="6:6">
      <c r="F38377" s="2423"/>
    </row>
    <row r="38378" spans="6:6">
      <c r="F38378" s="2423"/>
    </row>
    <row r="38379" spans="6:6">
      <c r="F38379" s="2423"/>
    </row>
    <row r="38380" spans="6:6">
      <c r="F38380" s="2423"/>
    </row>
    <row r="38381" spans="6:6">
      <c r="F38381" s="2423"/>
    </row>
    <row r="38382" spans="6:6">
      <c r="F38382" s="2423"/>
    </row>
    <row r="38383" spans="6:6">
      <c r="F38383" s="2423"/>
    </row>
    <row r="38384" spans="6:6">
      <c r="F38384" s="2423"/>
    </row>
    <row r="38385" spans="6:6">
      <c r="F38385" s="2423"/>
    </row>
    <row r="38386" spans="6:6">
      <c r="F38386" s="2423"/>
    </row>
    <row r="38387" spans="6:6">
      <c r="F38387" s="2423"/>
    </row>
    <row r="38388" spans="6:6">
      <c r="F38388" s="2423"/>
    </row>
    <row r="38389" spans="6:6">
      <c r="F38389" s="2423"/>
    </row>
    <row r="38390" spans="6:6">
      <c r="F38390" s="2423"/>
    </row>
    <row r="38391" spans="6:6">
      <c r="F38391" s="2423"/>
    </row>
    <row r="38392" spans="6:6">
      <c r="F38392" s="2423"/>
    </row>
    <row r="38393" spans="6:6">
      <c r="F38393" s="2423"/>
    </row>
    <row r="38394" spans="6:6">
      <c r="F38394" s="2423"/>
    </row>
    <row r="38395" spans="6:6">
      <c r="F38395" s="2423"/>
    </row>
    <row r="38396" spans="6:6">
      <c r="F38396" s="2423"/>
    </row>
    <row r="38397" spans="6:6">
      <c r="F38397" s="2423"/>
    </row>
    <row r="38398" spans="6:6">
      <c r="F38398" s="2423"/>
    </row>
    <row r="38399" spans="6:6">
      <c r="F38399" s="2423"/>
    </row>
    <row r="38400" spans="6:6">
      <c r="F38400" s="2423"/>
    </row>
    <row r="38401" spans="6:6">
      <c r="F38401" s="2423"/>
    </row>
    <row r="38402" spans="6:6">
      <c r="F38402" s="2423"/>
    </row>
    <row r="38403" spans="6:6">
      <c r="F38403" s="2423"/>
    </row>
    <row r="38404" spans="6:6">
      <c r="F38404" s="2423"/>
    </row>
    <row r="38405" spans="6:6">
      <c r="F38405" s="2423"/>
    </row>
    <row r="38406" spans="6:6">
      <c r="F38406" s="2423"/>
    </row>
    <row r="38407" spans="6:6">
      <c r="F38407" s="2423"/>
    </row>
    <row r="38408" spans="6:6">
      <c r="F38408" s="2423"/>
    </row>
    <row r="38409" spans="6:6">
      <c r="F38409" s="2423"/>
    </row>
    <row r="38410" spans="6:6">
      <c r="F38410" s="2423"/>
    </row>
    <row r="38411" spans="6:6">
      <c r="F38411" s="2423"/>
    </row>
    <row r="38412" spans="6:6">
      <c r="F38412" s="2423"/>
    </row>
    <row r="38413" spans="6:6">
      <c r="F38413" s="2423"/>
    </row>
    <row r="38414" spans="6:6">
      <c r="F38414" s="2423"/>
    </row>
    <row r="38415" spans="6:6">
      <c r="F38415" s="2423"/>
    </row>
    <row r="38416" spans="6:6">
      <c r="F38416" s="2423"/>
    </row>
    <row r="38417" spans="6:6">
      <c r="F38417" s="2423"/>
    </row>
    <row r="38418" spans="6:6">
      <c r="F38418" s="2423"/>
    </row>
    <row r="38419" spans="6:6">
      <c r="F38419" s="2423"/>
    </row>
    <row r="38420" spans="6:6">
      <c r="F38420" s="2423"/>
    </row>
    <row r="38421" spans="6:6">
      <c r="F38421" s="2423"/>
    </row>
    <row r="38422" spans="6:6">
      <c r="F38422" s="2423"/>
    </row>
    <row r="38423" spans="6:6">
      <c r="F38423" s="2423"/>
    </row>
    <row r="38424" spans="6:6">
      <c r="F38424" s="2423"/>
    </row>
    <row r="38425" spans="6:6">
      <c r="F38425" s="2423"/>
    </row>
    <row r="38426" spans="6:6">
      <c r="F38426" s="2423"/>
    </row>
    <row r="38427" spans="6:6">
      <c r="F38427" s="2423"/>
    </row>
    <row r="38428" spans="6:6">
      <c r="F38428" s="2423"/>
    </row>
    <row r="38429" spans="6:6">
      <c r="F38429" s="2423"/>
    </row>
    <row r="38430" spans="6:6">
      <c r="F38430" s="2423"/>
    </row>
    <row r="38431" spans="6:6">
      <c r="F38431" s="2423"/>
    </row>
    <row r="38432" spans="6:6">
      <c r="F38432" s="2423"/>
    </row>
    <row r="38433" spans="6:6">
      <c r="F38433" s="2423"/>
    </row>
    <row r="38434" spans="6:6">
      <c r="F38434" s="2423"/>
    </row>
    <row r="38435" spans="6:6">
      <c r="F38435" s="2423"/>
    </row>
    <row r="38436" spans="6:6">
      <c r="F38436" s="2423"/>
    </row>
    <row r="38437" spans="6:6">
      <c r="F38437" s="2423"/>
    </row>
    <row r="38438" spans="6:6">
      <c r="F38438" s="2423"/>
    </row>
    <row r="38439" spans="6:6">
      <c r="F38439" s="2423"/>
    </row>
    <row r="38440" spans="6:6">
      <c r="F38440" s="2423"/>
    </row>
    <row r="38441" spans="6:6">
      <c r="F38441" s="2423"/>
    </row>
    <row r="38442" spans="6:6">
      <c r="F38442" s="2423"/>
    </row>
    <row r="38443" spans="6:6">
      <c r="F38443" s="2423"/>
    </row>
    <row r="38444" spans="6:6">
      <c r="F38444" s="2423"/>
    </row>
    <row r="38445" spans="6:6">
      <c r="F38445" s="2423"/>
    </row>
    <row r="38446" spans="6:6">
      <c r="F38446" s="2423"/>
    </row>
    <row r="38447" spans="6:6">
      <c r="F38447" s="2423"/>
    </row>
    <row r="38448" spans="6:6">
      <c r="F38448" s="2423"/>
    </row>
    <row r="38449" spans="6:6">
      <c r="F38449" s="2423"/>
    </row>
    <row r="38450" spans="6:6">
      <c r="F38450" s="2423"/>
    </row>
    <row r="38451" spans="6:6">
      <c r="F38451" s="2423"/>
    </row>
    <row r="38452" spans="6:6">
      <c r="F38452" s="2423"/>
    </row>
    <row r="38453" spans="6:6">
      <c r="F38453" s="2423"/>
    </row>
    <row r="38454" spans="6:6">
      <c r="F38454" s="2423"/>
    </row>
    <row r="38455" spans="6:6">
      <c r="F38455" s="2423"/>
    </row>
    <row r="38456" spans="6:6">
      <c r="F38456" s="2423"/>
    </row>
    <row r="38457" spans="6:6">
      <c r="F38457" s="2423"/>
    </row>
    <row r="38458" spans="6:6">
      <c r="F38458" s="2423"/>
    </row>
    <row r="38459" spans="6:6">
      <c r="F38459" s="2423"/>
    </row>
    <row r="38460" spans="6:6">
      <c r="F38460" s="2423"/>
    </row>
    <row r="38461" spans="6:6">
      <c r="F38461" s="2423"/>
    </row>
    <row r="38462" spans="6:6">
      <c r="F38462" s="2423"/>
    </row>
    <row r="38463" spans="6:6">
      <c r="F38463" s="2423"/>
    </row>
    <row r="38464" spans="6:6">
      <c r="F38464" s="2423"/>
    </row>
    <row r="38465" spans="6:6">
      <c r="F38465" s="2423"/>
    </row>
    <row r="38466" spans="6:6">
      <c r="F38466" s="2423"/>
    </row>
    <row r="38467" spans="6:6">
      <c r="F38467" s="2423"/>
    </row>
    <row r="38468" spans="6:6">
      <c r="F38468" s="2423"/>
    </row>
    <row r="38469" spans="6:6">
      <c r="F38469" s="2423"/>
    </row>
    <row r="38470" spans="6:6">
      <c r="F38470" s="2423"/>
    </row>
    <row r="38471" spans="6:6">
      <c r="F38471" s="2423"/>
    </row>
    <row r="38472" spans="6:6">
      <c r="F38472" s="2423"/>
    </row>
    <row r="38473" spans="6:6">
      <c r="F38473" s="2423"/>
    </row>
    <row r="38474" spans="6:6">
      <c r="F38474" s="2423"/>
    </row>
    <row r="38475" spans="6:6">
      <c r="F38475" s="2423"/>
    </row>
    <row r="38476" spans="6:6">
      <c r="F38476" s="2423"/>
    </row>
    <row r="38477" spans="6:6">
      <c r="F38477" s="2423"/>
    </row>
    <row r="38478" spans="6:6">
      <c r="F38478" s="2423"/>
    </row>
    <row r="38479" spans="6:6">
      <c r="F38479" s="2423"/>
    </row>
    <row r="38480" spans="6:6">
      <c r="F38480" s="2423"/>
    </row>
    <row r="38481" spans="6:6">
      <c r="F38481" s="2423"/>
    </row>
    <row r="38482" spans="6:6">
      <c r="F38482" s="2423"/>
    </row>
    <row r="38483" spans="6:6">
      <c r="F38483" s="2423"/>
    </row>
    <row r="38484" spans="6:6">
      <c r="F38484" s="2423"/>
    </row>
    <row r="38485" spans="6:6">
      <c r="F38485" s="2423"/>
    </row>
    <row r="38486" spans="6:6">
      <c r="F38486" s="2423"/>
    </row>
    <row r="38487" spans="6:6">
      <c r="F38487" s="2423"/>
    </row>
    <row r="38488" spans="6:6">
      <c r="F38488" s="2423"/>
    </row>
    <row r="38489" spans="6:6">
      <c r="F38489" s="2423"/>
    </row>
    <row r="38490" spans="6:6">
      <c r="F38490" s="2423"/>
    </row>
    <row r="38491" spans="6:6">
      <c r="F38491" s="2423"/>
    </row>
    <row r="38492" spans="6:6">
      <c r="F38492" s="2423"/>
    </row>
    <row r="38493" spans="6:6">
      <c r="F38493" s="2423"/>
    </row>
    <row r="38494" spans="6:6">
      <c r="F38494" s="2423"/>
    </row>
    <row r="38495" spans="6:6">
      <c r="F38495" s="2423"/>
    </row>
    <row r="38496" spans="6:6">
      <c r="F38496" s="2423"/>
    </row>
    <row r="38497" spans="6:6">
      <c r="F38497" s="2423"/>
    </row>
    <row r="38498" spans="6:6">
      <c r="F38498" s="2423"/>
    </row>
    <row r="38499" spans="6:6">
      <c r="F38499" s="2423"/>
    </row>
    <row r="38500" spans="6:6">
      <c r="F38500" s="2423"/>
    </row>
    <row r="38501" spans="6:6">
      <c r="F38501" s="2423"/>
    </row>
    <row r="38502" spans="6:6">
      <c r="F38502" s="2423"/>
    </row>
    <row r="38503" spans="6:6">
      <c r="F38503" s="2423"/>
    </row>
    <row r="38504" spans="6:6">
      <c r="F38504" s="2423"/>
    </row>
    <row r="38505" spans="6:6">
      <c r="F38505" s="2423"/>
    </row>
    <row r="38506" spans="6:6">
      <c r="F38506" s="2423"/>
    </row>
    <row r="38507" spans="6:6">
      <c r="F38507" s="2423"/>
    </row>
    <row r="38508" spans="6:6">
      <c r="F38508" s="2423"/>
    </row>
    <row r="38509" spans="6:6">
      <c r="F38509" s="2423"/>
    </row>
    <row r="38510" spans="6:6">
      <c r="F38510" s="2423"/>
    </row>
    <row r="38511" spans="6:6">
      <c r="F38511" s="2423"/>
    </row>
    <row r="38512" spans="6:6">
      <c r="F38512" s="2423"/>
    </row>
    <row r="38513" spans="6:6">
      <c r="F38513" s="2423"/>
    </row>
    <row r="38514" spans="6:6">
      <c r="F38514" s="2423"/>
    </row>
    <row r="38515" spans="6:6">
      <c r="F38515" s="2423"/>
    </row>
    <row r="38516" spans="6:6">
      <c r="F38516" s="2423"/>
    </row>
    <row r="38517" spans="6:6">
      <c r="F38517" s="2423"/>
    </row>
    <row r="38518" spans="6:6">
      <c r="F38518" s="2423"/>
    </row>
    <row r="38519" spans="6:6">
      <c r="F38519" s="2423"/>
    </row>
    <row r="38520" spans="6:6">
      <c r="F38520" s="2423"/>
    </row>
    <row r="38521" spans="6:6">
      <c r="F38521" s="2423"/>
    </row>
    <row r="38522" spans="6:6">
      <c r="F38522" s="2423"/>
    </row>
    <row r="38523" spans="6:6">
      <c r="F38523" s="2423"/>
    </row>
    <row r="38524" spans="6:6">
      <c r="F38524" s="2423"/>
    </row>
    <row r="38525" spans="6:6">
      <c r="F38525" s="2423"/>
    </row>
    <row r="38526" spans="6:6">
      <c r="F38526" s="2423"/>
    </row>
    <row r="38527" spans="6:6">
      <c r="F38527" s="2423"/>
    </row>
    <row r="38528" spans="6:6">
      <c r="F38528" s="2423"/>
    </row>
    <row r="38529" spans="6:6">
      <c r="F38529" s="2423"/>
    </row>
    <row r="38530" spans="6:6">
      <c r="F38530" s="2423"/>
    </row>
    <row r="38531" spans="6:6">
      <c r="F38531" s="2423"/>
    </row>
    <row r="38532" spans="6:6">
      <c r="F38532" s="2423"/>
    </row>
    <row r="38533" spans="6:6">
      <c r="F38533" s="2423"/>
    </row>
    <row r="38534" spans="6:6">
      <c r="F38534" s="2423"/>
    </row>
    <row r="38535" spans="6:6">
      <c r="F38535" s="2423"/>
    </row>
    <row r="38536" spans="6:6">
      <c r="F38536" s="2423"/>
    </row>
    <row r="38537" spans="6:6">
      <c r="F38537" s="2423"/>
    </row>
    <row r="38538" spans="6:6">
      <c r="F38538" s="2423"/>
    </row>
    <row r="38539" spans="6:6">
      <c r="F38539" s="2423"/>
    </row>
    <row r="38540" spans="6:6">
      <c r="F38540" s="2423"/>
    </row>
    <row r="38541" spans="6:6">
      <c r="F38541" s="2423"/>
    </row>
    <row r="38542" spans="6:6">
      <c r="F38542" s="2423"/>
    </row>
    <row r="38543" spans="6:6">
      <c r="F38543" s="2423"/>
    </row>
    <row r="38544" spans="6:6">
      <c r="F38544" s="2423"/>
    </row>
    <row r="38545" spans="6:6">
      <c r="F38545" s="2423"/>
    </row>
    <row r="38546" spans="6:6">
      <c r="F38546" s="2423"/>
    </row>
    <row r="38547" spans="6:6">
      <c r="F38547" s="2423"/>
    </row>
    <row r="38548" spans="6:6">
      <c r="F38548" s="2423"/>
    </row>
    <row r="38549" spans="6:6">
      <c r="F38549" s="2423"/>
    </row>
    <row r="38550" spans="6:6">
      <c r="F38550" s="2423"/>
    </row>
    <row r="38551" spans="6:6">
      <c r="F38551" s="2423"/>
    </row>
    <row r="38552" spans="6:6">
      <c r="F38552" s="2423"/>
    </row>
    <row r="38553" spans="6:6">
      <c r="F38553" s="2423"/>
    </row>
    <row r="38554" spans="6:6">
      <c r="F38554" s="2423"/>
    </row>
    <row r="38555" spans="6:6">
      <c r="F38555" s="2423"/>
    </row>
    <row r="38556" spans="6:6">
      <c r="F38556" s="2423"/>
    </row>
    <row r="38557" spans="6:6">
      <c r="F38557" s="2423"/>
    </row>
    <row r="38558" spans="6:6">
      <c r="F38558" s="2423"/>
    </row>
    <row r="38559" spans="6:6">
      <c r="F38559" s="2423"/>
    </row>
    <row r="38560" spans="6:6">
      <c r="F38560" s="2423"/>
    </row>
    <row r="38561" spans="6:6">
      <c r="F38561" s="2423"/>
    </row>
    <row r="38562" spans="6:6">
      <c r="F38562" s="2423"/>
    </row>
    <row r="38563" spans="6:6">
      <c r="F38563" s="2423"/>
    </row>
    <row r="38564" spans="6:6">
      <c r="F38564" s="2423"/>
    </row>
    <row r="38565" spans="6:6">
      <c r="F38565" s="2423"/>
    </row>
    <row r="38566" spans="6:6">
      <c r="F38566" s="2423"/>
    </row>
    <row r="38567" spans="6:6">
      <c r="F38567" s="2423"/>
    </row>
    <row r="38568" spans="6:6">
      <c r="F38568" s="2423"/>
    </row>
    <row r="38569" spans="6:6">
      <c r="F38569" s="2423"/>
    </row>
    <row r="38570" spans="6:6">
      <c r="F38570" s="2423"/>
    </row>
    <row r="38571" spans="6:6">
      <c r="F38571" s="2423"/>
    </row>
    <row r="38572" spans="6:6">
      <c r="F38572" s="2423"/>
    </row>
    <row r="38573" spans="6:6">
      <c r="F38573" s="2423"/>
    </row>
    <row r="38574" spans="6:6">
      <c r="F38574" s="2423"/>
    </row>
    <row r="38575" spans="6:6">
      <c r="F38575" s="2423"/>
    </row>
    <row r="38576" spans="6:6">
      <c r="F38576" s="2423"/>
    </row>
    <row r="38577" spans="6:6">
      <c r="F38577" s="2423"/>
    </row>
    <row r="38578" spans="6:6">
      <c r="F38578" s="2423"/>
    </row>
    <row r="38579" spans="6:6">
      <c r="F38579" s="2423"/>
    </row>
    <row r="38580" spans="6:6">
      <c r="F38580" s="2423"/>
    </row>
    <row r="38581" spans="6:6">
      <c r="F38581" s="2423"/>
    </row>
    <row r="38582" spans="6:6">
      <c r="F38582" s="2423"/>
    </row>
    <row r="38583" spans="6:6">
      <c r="F38583" s="2423"/>
    </row>
    <row r="38584" spans="6:6">
      <c r="F38584" s="2423"/>
    </row>
    <row r="38585" spans="6:6">
      <c r="F38585" s="2423"/>
    </row>
    <row r="38586" spans="6:6">
      <c r="F38586" s="2423"/>
    </row>
    <row r="38587" spans="6:6">
      <c r="F38587" s="2423"/>
    </row>
    <row r="38588" spans="6:6">
      <c r="F38588" s="2423"/>
    </row>
    <row r="38589" spans="6:6">
      <c r="F38589" s="2423"/>
    </row>
    <row r="38590" spans="6:6">
      <c r="F38590" s="2423"/>
    </row>
    <row r="38591" spans="6:6">
      <c r="F38591" s="2423"/>
    </row>
    <row r="38592" spans="6:6">
      <c r="F38592" s="2423"/>
    </row>
    <row r="38593" spans="6:6">
      <c r="F38593" s="2423"/>
    </row>
    <row r="38594" spans="6:6">
      <c r="F38594" s="2423"/>
    </row>
    <row r="38595" spans="6:6">
      <c r="F38595" s="2423"/>
    </row>
    <row r="38596" spans="6:6">
      <c r="F38596" s="2423"/>
    </row>
    <row r="38597" spans="6:6">
      <c r="F38597" s="2423"/>
    </row>
    <row r="38598" spans="6:6">
      <c r="F38598" s="2423"/>
    </row>
    <row r="38599" spans="6:6">
      <c r="F38599" s="2423"/>
    </row>
    <row r="38600" spans="6:6">
      <c r="F38600" s="2423"/>
    </row>
    <row r="38601" spans="6:6">
      <c r="F38601" s="2423"/>
    </row>
    <row r="38602" spans="6:6">
      <c r="F38602" s="2423"/>
    </row>
    <row r="38603" spans="6:6">
      <c r="F38603" s="2423"/>
    </row>
    <row r="38604" spans="6:6">
      <c r="F38604" s="2423"/>
    </row>
    <row r="38605" spans="6:6">
      <c r="F38605" s="2423"/>
    </row>
    <row r="38606" spans="6:6">
      <c r="F38606" s="2423"/>
    </row>
    <row r="38607" spans="6:6">
      <c r="F38607" s="2423"/>
    </row>
    <row r="38608" spans="6:6">
      <c r="F38608" s="2423"/>
    </row>
    <row r="38609" spans="6:6">
      <c r="F38609" s="2423"/>
    </row>
    <row r="38610" spans="6:6">
      <c r="F38610" s="2423"/>
    </row>
    <row r="38611" spans="6:6">
      <c r="F38611" s="2423"/>
    </row>
    <row r="38612" spans="6:6">
      <c r="F38612" s="2423"/>
    </row>
    <row r="38613" spans="6:6">
      <c r="F38613" s="2423"/>
    </row>
    <row r="38614" spans="6:6">
      <c r="F38614" s="2423"/>
    </row>
    <row r="38615" spans="6:6">
      <c r="F38615" s="2423"/>
    </row>
    <row r="38616" spans="6:6">
      <c r="F38616" s="2423"/>
    </row>
    <row r="38617" spans="6:6">
      <c r="F38617" s="2423"/>
    </row>
    <row r="38618" spans="6:6">
      <c r="F38618" s="2423"/>
    </row>
    <row r="38619" spans="6:6">
      <c r="F38619" s="2423"/>
    </row>
    <row r="38620" spans="6:6">
      <c r="F38620" s="2423"/>
    </row>
    <row r="38621" spans="6:6">
      <c r="F38621" s="2423"/>
    </row>
    <row r="38622" spans="6:6">
      <c r="F38622" s="2423"/>
    </row>
    <row r="38623" spans="6:6">
      <c r="F38623" s="2423"/>
    </row>
    <row r="38624" spans="6:6">
      <c r="F38624" s="2423"/>
    </row>
    <row r="38625" spans="6:6">
      <c r="F38625" s="2423"/>
    </row>
    <row r="38626" spans="6:6">
      <c r="F38626" s="2423"/>
    </row>
    <row r="38627" spans="6:6">
      <c r="F38627" s="2423"/>
    </row>
    <row r="38628" spans="6:6">
      <c r="F38628" s="2423"/>
    </row>
    <row r="38629" spans="6:6">
      <c r="F38629" s="2423"/>
    </row>
    <row r="38630" spans="6:6">
      <c r="F38630" s="2423"/>
    </row>
    <row r="38631" spans="6:6">
      <c r="F38631" s="2423"/>
    </row>
    <row r="38632" spans="6:6">
      <c r="F38632" s="2423"/>
    </row>
    <row r="38633" spans="6:6">
      <c r="F38633" s="2423"/>
    </row>
    <row r="38634" spans="6:6">
      <c r="F38634" s="2423"/>
    </row>
    <row r="38635" spans="6:6">
      <c r="F38635" s="2423"/>
    </row>
    <row r="38636" spans="6:6">
      <c r="F38636" s="2423"/>
    </row>
    <row r="38637" spans="6:6">
      <c r="F38637" s="2423"/>
    </row>
    <row r="38638" spans="6:6">
      <c r="F38638" s="2423"/>
    </row>
    <row r="38639" spans="6:6">
      <c r="F38639" s="2423"/>
    </row>
    <row r="38640" spans="6:6">
      <c r="F38640" s="2423"/>
    </row>
    <row r="38641" spans="6:6">
      <c r="F38641" s="2423"/>
    </row>
    <row r="38642" spans="6:6">
      <c r="F38642" s="2423"/>
    </row>
    <row r="38643" spans="6:6">
      <c r="F38643" s="2423"/>
    </row>
    <row r="38644" spans="6:6">
      <c r="F38644" s="2423"/>
    </row>
    <row r="38645" spans="6:6">
      <c r="F38645" s="2423"/>
    </row>
    <row r="38646" spans="6:6">
      <c r="F38646" s="2423"/>
    </row>
    <row r="38647" spans="6:6">
      <c r="F38647" s="2423"/>
    </row>
    <row r="38648" spans="6:6">
      <c r="F38648" s="2423"/>
    </row>
    <row r="38649" spans="6:6">
      <c r="F38649" s="2423"/>
    </row>
    <row r="38650" spans="6:6">
      <c r="F38650" s="2423"/>
    </row>
    <row r="38651" spans="6:6">
      <c r="F38651" s="2423"/>
    </row>
    <row r="38652" spans="6:6">
      <c r="F38652" s="2423"/>
    </row>
    <row r="38653" spans="6:6">
      <c r="F38653" s="2423"/>
    </row>
    <row r="38654" spans="6:6">
      <c r="F38654" s="2423"/>
    </row>
    <row r="38655" spans="6:6">
      <c r="F38655" s="2423"/>
    </row>
    <row r="38656" spans="6:6">
      <c r="F38656" s="2423"/>
    </row>
    <row r="38657" spans="6:6">
      <c r="F38657" s="2423"/>
    </row>
    <row r="38658" spans="6:6">
      <c r="F38658" s="2423"/>
    </row>
    <row r="38659" spans="6:6">
      <c r="F38659" s="2423"/>
    </row>
    <row r="38660" spans="6:6">
      <c r="F38660" s="2423"/>
    </row>
    <row r="38661" spans="6:6">
      <c r="F38661" s="2423"/>
    </row>
    <row r="38662" spans="6:6">
      <c r="F38662" s="2423"/>
    </row>
    <row r="38663" spans="6:6">
      <c r="F38663" s="2423"/>
    </row>
    <row r="38664" spans="6:6">
      <c r="F38664" s="2423"/>
    </row>
    <row r="38665" spans="6:6">
      <c r="F38665" s="2423"/>
    </row>
    <row r="38666" spans="6:6">
      <c r="F38666" s="2423"/>
    </row>
    <row r="38667" spans="6:6">
      <c r="F38667" s="2423"/>
    </row>
    <row r="38668" spans="6:6">
      <c r="F38668" s="2423"/>
    </row>
    <row r="38669" spans="6:6">
      <c r="F38669" s="2423"/>
    </row>
    <row r="38670" spans="6:6">
      <c r="F38670" s="2423"/>
    </row>
    <row r="38671" spans="6:6">
      <c r="F38671" s="2423"/>
    </row>
    <row r="38672" spans="6:6">
      <c r="F38672" s="2423"/>
    </row>
    <row r="38673" spans="6:6">
      <c r="F38673" s="2423"/>
    </row>
    <row r="38674" spans="6:6">
      <c r="F38674" s="2423"/>
    </row>
    <row r="38675" spans="6:6">
      <c r="F38675" s="2423"/>
    </row>
    <row r="38676" spans="6:6">
      <c r="F38676" s="2423"/>
    </row>
    <row r="38677" spans="6:6">
      <c r="F38677" s="2423"/>
    </row>
    <row r="38678" spans="6:6">
      <c r="F38678" s="2423"/>
    </row>
    <row r="38679" spans="6:6">
      <c r="F38679" s="2423"/>
    </row>
    <row r="38680" spans="6:6">
      <c r="F38680" s="2423"/>
    </row>
    <row r="38681" spans="6:6">
      <c r="F38681" s="2423"/>
    </row>
    <row r="38682" spans="6:6">
      <c r="F38682" s="2423"/>
    </row>
    <row r="38683" spans="6:6">
      <c r="F38683" s="2423"/>
    </row>
    <row r="38684" spans="6:6">
      <c r="F38684" s="2423"/>
    </row>
    <row r="38685" spans="6:6">
      <c r="F38685" s="2423"/>
    </row>
    <row r="38686" spans="6:6">
      <c r="F38686" s="2423"/>
    </row>
    <row r="38687" spans="6:6">
      <c r="F38687" s="2423"/>
    </row>
    <row r="38688" spans="6:6">
      <c r="F38688" s="2423"/>
    </row>
    <row r="38689" spans="6:6">
      <c r="F38689" s="2423"/>
    </row>
    <row r="38690" spans="6:6">
      <c r="F38690" s="2423"/>
    </row>
    <row r="38691" spans="6:6">
      <c r="F38691" s="2423"/>
    </row>
    <row r="38692" spans="6:6">
      <c r="F38692" s="2423"/>
    </row>
    <row r="38693" spans="6:6">
      <c r="F38693" s="2423"/>
    </row>
    <row r="38694" spans="6:6">
      <c r="F38694" s="2423"/>
    </row>
    <row r="38695" spans="6:6">
      <c r="F38695" s="2423"/>
    </row>
    <row r="38696" spans="6:6">
      <c r="F38696" s="2423"/>
    </row>
    <row r="38697" spans="6:6">
      <c r="F38697" s="2423"/>
    </row>
    <row r="38698" spans="6:6">
      <c r="F38698" s="2423"/>
    </row>
    <row r="38699" spans="6:6">
      <c r="F38699" s="2423"/>
    </row>
    <row r="38700" spans="6:6">
      <c r="F38700" s="2423"/>
    </row>
    <row r="38701" spans="6:6">
      <c r="F38701" s="2423"/>
    </row>
    <row r="38702" spans="6:6">
      <c r="F38702" s="2423"/>
    </row>
    <row r="38703" spans="6:6">
      <c r="F38703" s="2423"/>
    </row>
    <row r="38704" spans="6:6">
      <c r="F38704" s="2423"/>
    </row>
    <row r="38705" spans="6:6">
      <c r="F38705" s="2423"/>
    </row>
    <row r="38706" spans="6:6">
      <c r="F38706" s="2423"/>
    </row>
    <row r="38707" spans="6:6">
      <c r="F38707" s="2423"/>
    </row>
    <row r="38708" spans="6:6">
      <c r="F38708" s="2423"/>
    </row>
    <row r="38709" spans="6:6">
      <c r="F38709" s="2423"/>
    </row>
    <row r="38710" spans="6:6">
      <c r="F38710" s="2423"/>
    </row>
    <row r="38711" spans="6:6">
      <c r="F38711" s="2423"/>
    </row>
    <row r="38712" spans="6:6">
      <c r="F38712" s="2423"/>
    </row>
    <row r="38713" spans="6:6">
      <c r="F38713" s="2423"/>
    </row>
    <row r="38714" spans="6:6">
      <c r="F38714" s="2423"/>
    </row>
    <row r="38715" spans="6:6">
      <c r="F38715" s="2423"/>
    </row>
    <row r="38716" spans="6:6">
      <c r="F38716" s="2423"/>
    </row>
    <row r="38717" spans="6:6">
      <c r="F38717" s="2423"/>
    </row>
    <row r="38718" spans="6:6">
      <c r="F38718" s="2423"/>
    </row>
    <row r="38719" spans="6:6">
      <c r="F38719" s="2423"/>
    </row>
    <row r="38720" spans="6:6">
      <c r="F38720" s="2423"/>
    </row>
    <row r="38721" spans="6:6">
      <c r="F38721" s="2423"/>
    </row>
    <row r="38722" spans="6:6">
      <c r="F38722" s="2423"/>
    </row>
    <row r="38723" spans="6:6">
      <c r="F38723" s="2423"/>
    </row>
    <row r="38724" spans="6:6">
      <c r="F38724" s="2423"/>
    </row>
    <row r="38725" spans="6:6">
      <c r="F38725" s="2423"/>
    </row>
    <row r="38726" spans="6:6">
      <c r="F38726" s="2423"/>
    </row>
    <row r="38727" spans="6:6">
      <c r="F38727" s="2423"/>
    </row>
    <row r="38728" spans="6:6">
      <c r="F38728" s="2423"/>
    </row>
    <row r="38729" spans="6:6">
      <c r="F38729" s="2423"/>
    </row>
    <row r="38730" spans="6:6">
      <c r="F38730" s="2423"/>
    </row>
    <row r="38731" spans="6:6">
      <c r="F38731" s="2423"/>
    </row>
    <row r="38732" spans="6:6">
      <c r="F38732" s="2423"/>
    </row>
    <row r="38733" spans="6:6">
      <c r="F38733" s="2423"/>
    </row>
    <row r="38734" spans="6:6">
      <c r="F38734" s="2423"/>
    </row>
    <row r="38735" spans="6:6">
      <c r="F38735" s="2423"/>
    </row>
    <row r="38736" spans="6:6">
      <c r="F38736" s="2423"/>
    </row>
    <row r="38737" spans="6:6">
      <c r="F38737" s="2423"/>
    </row>
    <row r="38738" spans="6:6">
      <c r="F38738" s="2423"/>
    </row>
    <row r="38739" spans="6:6">
      <c r="F38739" s="2423"/>
    </row>
    <row r="38740" spans="6:6">
      <c r="F38740" s="2423"/>
    </row>
    <row r="38741" spans="6:6">
      <c r="F38741" s="2423"/>
    </row>
    <row r="38742" spans="6:6">
      <c r="F38742" s="2423"/>
    </row>
    <row r="38743" spans="6:6">
      <c r="F38743" s="2423"/>
    </row>
    <row r="38744" spans="6:6">
      <c r="F38744" s="2423"/>
    </row>
    <row r="38745" spans="6:6">
      <c r="F38745" s="2423"/>
    </row>
    <row r="38746" spans="6:6">
      <c r="F38746" s="2423"/>
    </row>
    <row r="38747" spans="6:6">
      <c r="F38747" s="2423"/>
    </row>
    <row r="38748" spans="6:6">
      <c r="F38748" s="2423"/>
    </row>
    <row r="38749" spans="6:6">
      <c r="F38749" s="2423"/>
    </row>
    <row r="38750" spans="6:6">
      <c r="F38750" s="2423"/>
    </row>
    <row r="38751" spans="6:6">
      <c r="F38751" s="2423"/>
    </row>
    <row r="38752" spans="6:6">
      <c r="F38752" s="2423"/>
    </row>
    <row r="38753" spans="6:6">
      <c r="F38753" s="2423"/>
    </row>
    <row r="38754" spans="6:6">
      <c r="F38754" s="2423"/>
    </row>
    <row r="38755" spans="6:6">
      <c r="F38755" s="2423"/>
    </row>
    <row r="38756" spans="6:6">
      <c r="F38756" s="2423"/>
    </row>
    <row r="38757" spans="6:6">
      <c r="F38757" s="2423"/>
    </row>
    <row r="38758" spans="6:6">
      <c r="F38758" s="2423"/>
    </row>
    <row r="38759" spans="6:6">
      <c r="F38759" s="2423"/>
    </row>
    <row r="38760" spans="6:6">
      <c r="F38760" s="2423"/>
    </row>
    <row r="38761" spans="6:6">
      <c r="F38761" s="2423"/>
    </row>
    <row r="38762" spans="6:6">
      <c r="F38762" s="2423"/>
    </row>
    <row r="38763" spans="6:6">
      <c r="F38763" s="2423"/>
    </row>
    <row r="38764" spans="6:6">
      <c r="F38764" s="2423"/>
    </row>
    <row r="38765" spans="6:6">
      <c r="F38765" s="2423"/>
    </row>
    <row r="38766" spans="6:6">
      <c r="F38766" s="2423"/>
    </row>
    <row r="38767" spans="6:6">
      <c r="F38767" s="2423"/>
    </row>
    <row r="38768" spans="6:6">
      <c r="F38768" s="2423"/>
    </row>
    <row r="38769" spans="6:6">
      <c r="F38769" s="2423"/>
    </row>
    <row r="38770" spans="6:6">
      <c r="F38770" s="2423"/>
    </row>
    <row r="38771" spans="6:6">
      <c r="F38771" s="2423"/>
    </row>
    <row r="38772" spans="6:6">
      <c r="F38772" s="2423"/>
    </row>
    <row r="38773" spans="6:6">
      <c r="F38773" s="2423"/>
    </row>
    <row r="38774" spans="6:6">
      <c r="F38774" s="2423"/>
    </row>
    <row r="38775" spans="6:6">
      <c r="F38775" s="2423"/>
    </row>
    <row r="38776" spans="6:6">
      <c r="F38776" s="2423"/>
    </row>
    <row r="38777" spans="6:6">
      <c r="F38777" s="2423"/>
    </row>
    <row r="38778" spans="6:6">
      <c r="F38778" s="2423"/>
    </row>
    <row r="38779" spans="6:6">
      <c r="F38779" s="2423"/>
    </row>
    <row r="38780" spans="6:6">
      <c r="F38780" s="2423"/>
    </row>
    <row r="38781" spans="6:6">
      <c r="F38781" s="2423"/>
    </row>
    <row r="38782" spans="6:6">
      <c r="F38782" s="2423"/>
    </row>
    <row r="38783" spans="6:6">
      <c r="F38783" s="2423"/>
    </row>
    <row r="38784" spans="6:6">
      <c r="F38784" s="2423"/>
    </row>
    <row r="38785" spans="6:6">
      <c r="F38785" s="2423"/>
    </row>
    <row r="38786" spans="6:6">
      <c r="F38786" s="2423"/>
    </row>
    <row r="38787" spans="6:6">
      <c r="F38787" s="2423"/>
    </row>
    <row r="38788" spans="6:6">
      <c r="F38788" s="2423"/>
    </row>
    <row r="38789" spans="6:6">
      <c r="F38789" s="2423"/>
    </row>
    <row r="38790" spans="6:6">
      <c r="F38790" s="2423"/>
    </row>
    <row r="38791" spans="6:6">
      <c r="F38791" s="2423"/>
    </row>
    <row r="38792" spans="6:6">
      <c r="F38792" s="2423"/>
    </row>
    <row r="38793" spans="6:6">
      <c r="F38793" s="2423"/>
    </row>
    <row r="38794" spans="6:6">
      <c r="F38794" s="2423"/>
    </row>
    <row r="38795" spans="6:6">
      <c r="F38795" s="2423"/>
    </row>
    <row r="38796" spans="6:6">
      <c r="F38796" s="2423"/>
    </row>
    <row r="38797" spans="6:6">
      <c r="F38797" s="2423"/>
    </row>
    <row r="38798" spans="6:6">
      <c r="F38798" s="2423"/>
    </row>
    <row r="38799" spans="6:6">
      <c r="F38799" s="2423"/>
    </row>
    <row r="38800" spans="6:6">
      <c r="F38800" s="2423"/>
    </row>
    <row r="38801" spans="6:6">
      <c r="F38801" s="2423"/>
    </row>
    <row r="38802" spans="6:6">
      <c r="F38802" s="2423"/>
    </row>
    <row r="38803" spans="6:6">
      <c r="F38803" s="2423"/>
    </row>
    <row r="38804" spans="6:6">
      <c r="F38804" s="2423"/>
    </row>
    <row r="38805" spans="6:6">
      <c r="F38805" s="2423"/>
    </row>
    <row r="38806" spans="6:6">
      <c r="F38806" s="2423"/>
    </row>
    <row r="38807" spans="6:6">
      <c r="F38807" s="2423"/>
    </row>
    <row r="38808" spans="6:6">
      <c r="F38808" s="2423"/>
    </row>
    <row r="38809" spans="6:6">
      <c r="F38809" s="2423"/>
    </row>
    <row r="38810" spans="6:6">
      <c r="F38810" s="2423"/>
    </row>
    <row r="38811" spans="6:6">
      <c r="F38811" s="2423"/>
    </row>
    <row r="38812" spans="6:6">
      <c r="F38812" s="2423"/>
    </row>
    <row r="38813" spans="6:6">
      <c r="F38813" s="2423"/>
    </row>
    <row r="38814" spans="6:6">
      <c r="F38814" s="2423"/>
    </row>
    <row r="38815" spans="6:6">
      <c r="F38815" s="2423"/>
    </row>
    <row r="38816" spans="6:6">
      <c r="F38816" s="2423"/>
    </row>
    <row r="38817" spans="6:6">
      <c r="F38817" s="2423"/>
    </row>
    <row r="38818" spans="6:6">
      <c r="F38818" s="2423"/>
    </row>
    <row r="38819" spans="6:6">
      <c r="F38819" s="2423"/>
    </row>
    <row r="38820" spans="6:6">
      <c r="F38820" s="2423"/>
    </row>
    <row r="38821" spans="6:6">
      <c r="F38821" s="2423"/>
    </row>
    <row r="38822" spans="6:6">
      <c r="F38822" s="2423"/>
    </row>
    <row r="38823" spans="6:6">
      <c r="F38823" s="2423"/>
    </row>
    <row r="38824" spans="6:6">
      <c r="F38824" s="2423"/>
    </row>
    <row r="38825" spans="6:6">
      <c r="F38825" s="2423"/>
    </row>
    <row r="38826" spans="6:6">
      <c r="F38826" s="2423"/>
    </row>
    <row r="38827" spans="6:6">
      <c r="F38827" s="2423"/>
    </row>
    <row r="38828" spans="6:6">
      <c r="F38828" s="2423"/>
    </row>
    <row r="38829" spans="6:6">
      <c r="F38829" s="2423"/>
    </row>
    <row r="38830" spans="6:6">
      <c r="F38830" s="2423"/>
    </row>
    <row r="38831" spans="6:6">
      <c r="F38831" s="2423"/>
    </row>
    <row r="38832" spans="6:6">
      <c r="F38832" s="2423"/>
    </row>
    <row r="38833" spans="6:6">
      <c r="F38833" s="2423"/>
    </row>
    <row r="38834" spans="6:6">
      <c r="F38834" s="2423"/>
    </row>
    <row r="38835" spans="6:6">
      <c r="F38835" s="2423"/>
    </row>
    <row r="38836" spans="6:6">
      <c r="F38836" s="2423"/>
    </row>
    <row r="38837" spans="6:6">
      <c r="F38837" s="2423"/>
    </row>
    <row r="38838" spans="6:6">
      <c r="F38838" s="2423"/>
    </row>
    <row r="38839" spans="6:6">
      <c r="F38839" s="2423"/>
    </row>
    <row r="38840" spans="6:6">
      <c r="F38840" s="2423"/>
    </row>
    <row r="38841" spans="6:6">
      <c r="F38841" s="2423"/>
    </row>
    <row r="38842" spans="6:6">
      <c r="F38842" s="2423"/>
    </row>
    <row r="38843" spans="6:6">
      <c r="F38843" s="2423"/>
    </row>
    <row r="38844" spans="6:6">
      <c r="F38844" s="2423"/>
    </row>
    <row r="38845" spans="6:6">
      <c r="F38845" s="2423"/>
    </row>
    <row r="38846" spans="6:6">
      <c r="F38846" s="2423"/>
    </row>
    <row r="38847" spans="6:6">
      <c r="F38847" s="2423"/>
    </row>
    <row r="38848" spans="6:6">
      <c r="F38848" s="2423"/>
    </row>
    <row r="38849" spans="6:6">
      <c r="F38849" s="2423"/>
    </row>
    <row r="38850" spans="6:6">
      <c r="F38850" s="2423"/>
    </row>
    <row r="38851" spans="6:6">
      <c r="F38851" s="2423"/>
    </row>
    <row r="38852" spans="6:6">
      <c r="F38852" s="2423"/>
    </row>
    <row r="38853" spans="6:6">
      <c r="F38853" s="2423"/>
    </row>
    <row r="38854" spans="6:6">
      <c r="F38854" s="2423"/>
    </row>
    <row r="38855" spans="6:6">
      <c r="F38855" s="2423"/>
    </row>
    <row r="38856" spans="6:6">
      <c r="F38856" s="2423"/>
    </row>
    <row r="38857" spans="6:6">
      <c r="F38857" s="2423"/>
    </row>
    <row r="38858" spans="6:6">
      <c r="F38858" s="2423"/>
    </row>
    <row r="38859" spans="6:6">
      <c r="F38859" s="2423"/>
    </row>
    <row r="38860" spans="6:6">
      <c r="F38860" s="2423"/>
    </row>
    <row r="38861" spans="6:6">
      <c r="F38861" s="2423"/>
    </row>
    <row r="38862" spans="6:6">
      <c r="F38862" s="2423"/>
    </row>
    <row r="38863" spans="6:6">
      <c r="F38863" s="2423"/>
    </row>
    <row r="38864" spans="6:6">
      <c r="F38864" s="2423"/>
    </row>
    <row r="38865" spans="6:6">
      <c r="F38865" s="2423"/>
    </row>
    <row r="38866" spans="6:6">
      <c r="F38866" s="2423"/>
    </row>
    <row r="38867" spans="6:6">
      <c r="F38867" s="2423"/>
    </row>
    <row r="38868" spans="6:6">
      <c r="F38868" s="2423"/>
    </row>
    <row r="38869" spans="6:6">
      <c r="F38869" s="2423"/>
    </row>
    <row r="38870" spans="6:6">
      <c r="F38870" s="2423"/>
    </row>
    <row r="38871" spans="6:6">
      <c r="F38871" s="2423"/>
    </row>
    <row r="38872" spans="6:6">
      <c r="F38872" s="2423"/>
    </row>
    <row r="38873" spans="6:6">
      <c r="F38873" s="2423"/>
    </row>
    <row r="38874" spans="6:6">
      <c r="F38874" s="2423"/>
    </row>
    <row r="38875" spans="6:6">
      <c r="F38875" s="2423"/>
    </row>
    <row r="38876" spans="6:6">
      <c r="F38876" s="2423"/>
    </row>
    <row r="38877" spans="6:6">
      <c r="F38877" s="2423"/>
    </row>
    <row r="38878" spans="6:6">
      <c r="F38878" s="2423"/>
    </row>
    <row r="38879" spans="6:6">
      <c r="F38879" s="2423"/>
    </row>
    <row r="38880" spans="6:6">
      <c r="F38880" s="2423"/>
    </row>
    <row r="38881" spans="6:6">
      <c r="F38881" s="2423"/>
    </row>
    <row r="38882" spans="6:6">
      <c r="F38882" s="2423"/>
    </row>
    <row r="38883" spans="6:6">
      <c r="F38883" s="2423"/>
    </row>
    <row r="38884" spans="6:6">
      <c r="F38884" s="2423"/>
    </row>
    <row r="38885" spans="6:6">
      <c r="F38885" s="2423"/>
    </row>
    <row r="38886" spans="6:6">
      <c r="F38886" s="2423"/>
    </row>
    <row r="38887" spans="6:6">
      <c r="F38887" s="2423"/>
    </row>
    <row r="38888" spans="6:6">
      <c r="F38888" s="2423"/>
    </row>
    <row r="38889" spans="6:6">
      <c r="F38889" s="2423"/>
    </row>
    <row r="38890" spans="6:6">
      <c r="F38890" s="2423"/>
    </row>
    <row r="38891" spans="6:6">
      <c r="F38891" s="2423"/>
    </row>
    <row r="38892" spans="6:6">
      <c r="F38892" s="2423"/>
    </row>
    <row r="38893" spans="6:6">
      <c r="F38893" s="2423"/>
    </row>
    <row r="38894" spans="6:6">
      <c r="F38894" s="2423"/>
    </row>
    <row r="38895" spans="6:6">
      <c r="F38895" s="2423"/>
    </row>
    <row r="38896" spans="6:6">
      <c r="F38896" s="2423"/>
    </row>
    <row r="38897" spans="6:6">
      <c r="F38897" s="2423"/>
    </row>
    <row r="38898" spans="6:6">
      <c r="F38898" s="2423"/>
    </row>
    <row r="38899" spans="6:6">
      <c r="F38899" s="2423"/>
    </row>
    <row r="38900" spans="6:6">
      <c r="F38900" s="2423"/>
    </row>
    <row r="38901" spans="6:6">
      <c r="F38901" s="2423"/>
    </row>
    <row r="38902" spans="6:6">
      <c r="F38902" s="2423"/>
    </row>
    <row r="38903" spans="6:6">
      <c r="F38903" s="2423"/>
    </row>
    <row r="38904" spans="6:6">
      <c r="F38904" s="2423"/>
    </row>
    <row r="38905" spans="6:6">
      <c r="F38905" s="2423"/>
    </row>
    <row r="38906" spans="6:6">
      <c r="F38906" s="2423"/>
    </row>
    <row r="38907" spans="6:6">
      <c r="F38907" s="2423"/>
    </row>
    <row r="38908" spans="6:6">
      <c r="F38908" s="2423"/>
    </row>
    <row r="38909" spans="6:6">
      <c r="F38909" s="2423"/>
    </row>
    <row r="38910" spans="6:6">
      <c r="F38910" s="2423"/>
    </row>
    <row r="38911" spans="6:6">
      <c r="F38911" s="2423"/>
    </row>
    <row r="38912" spans="6:6">
      <c r="F38912" s="2423"/>
    </row>
    <row r="38913" spans="6:6">
      <c r="F38913" s="2423"/>
    </row>
    <row r="38914" spans="6:6">
      <c r="F38914" s="2423"/>
    </row>
    <row r="38915" spans="6:6">
      <c r="F38915" s="2423"/>
    </row>
    <row r="38916" spans="6:6">
      <c r="F38916" s="2423"/>
    </row>
    <row r="38917" spans="6:6">
      <c r="F38917" s="2423"/>
    </row>
    <row r="38918" spans="6:6">
      <c r="F38918" s="2423"/>
    </row>
    <row r="38919" spans="6:6">
      <c r="F38919" s="2423"/>
    </row>
    <row r="38920" spans="6:6">
      <c r="F38920" s="2423"/>
    </row>
    <row r="38921" spans="6:6">
      <c r="F38921" s="2423"/>
    </row>
    <row r="38922" spans="6:6">
      <c r="F38922" s="2423"/>
    </row>
    <row r="38923" spans="6:6">
      <c r="F38923" s="2423"/>
    </row>
    <row r="38924" spans="6:6">
      <c r="F38924" s="2423"/>
    </row>
    <row r="38925" spans="6:6">
      <c r="F38925" s="2423"/>
    </row>
    <row r="38926" spans="6:6">
      <c r="F38926" s="2423"/>
    </row>
    <row r="38927" spans="6:6">
      <c r="F38927" s="2423"/>
    </row>
    <row r="38928" spans="6:6">
      <c r="F38928" s="2423"/>
    </row>
    <row r="38929" spans="6:6">
      <c r="F38929" s="2423"/>
    </row>
    <row r="38930" spans="6:6">
      <c r="F38930" s="2423"/>
    </row>
    <row r="38931" spans="6:6">
      <c r="F38931" s="2423"/>
    </row>
    <row r="38932" spans="6:6">
      <c r="F38932" s="2423"/>
    </row>
    <row r="38933" spans="6:6">
      <c r="F38933" s="2423"/>
    </row>
    <row r="38934" spans="6:6">
      <c r="F38934" s="2423"/>
    </row>
    <row r="38935" spans="6:6">
      <c r="F38935" s="2423"/>
    </row>
    <row r="38936" spans="6:6">
      <c r="F38936" s="2423"/>
    </row>
    <row r="38937" spans="6:6">
      <c r="F38937" s="2423"/>
    </row>
    <row r="38938" spans="6:6">
      <c r="F38938" s="2423"/>
    </row>
    <row r="38939" spans="6:6">
      <c r="F38939" s="2423"/>
    </row>
    <row r="38940" spans="6:6">
      <c r="F38940" s="2423"/>
    </row>
    <row r="38941" spans="6:6">
      <c r="F38941" s="2423"/>
    </row>
    <row r="38942" spans="6:6">
      <c r="F38942" s="2423"/>
    </row>
    <row r="38943" spans="6:6">
      <c r="F38943" s="2423"/>
    </row>
    <row r="38944" spans="6:6">
      <c r="F38944" s="2423"/>
    </row>
    <row r="38945" spans="6:6">
      <c r="F38945" s="2423"/>
    </row>
    <row r="38946" spans="6:6">
      <c r="F38946" s="2423"/>
    </row>
    <row r="38947" spans="6:6">
      <c r="F38947" s="2423"/>
    </row>
    <row r="38948" spans="6:6">
      <c r="F38948" s="2423"/>
    </row>
    <row r="38949" spans="6:6">
      <c r="F38949" s="2423"/>
    </row>
    <row r="38950" spans="6:6">
      <c r="F38950" s="2423"/>
    </row>
    <row r="38951" spans="6:6">
      <c r="F38951" s="2423"/>
    </row>
    <row r="38952" spans="6:6">
      <c r="F38952" s="2423"/>
    </row>
    <row r="38953" spans="6:6">
      <c r="F38953" s="2423"/>
    </row>
    <row r="38954" spans="6:6">
      <c r="F38954" s="2423"/>
    </row>
    <row r="38955" spans="6:6">
      <c r="F38955" s="2423"/>
    </row>
    <row r="38956" spans="6:6">
      <c r="F38956" s="2423"/>
    </row>
    <row r="38957" spans="6:6">
      <c r="F38957" s="2423"/>
    </row>
    <row r="38958" spans="6:6">
      <c r="F38958" s="2423"/>
    </row>
    <row r="38959" spans="6:6">
      <c r="F38959" s="2423"/>
    </row>
    <row r="38960" spans="6:6">
      <c r="F38960" s="2423"/>
    </row>
    <row r="38961" spans="6:6">
      <c r="F38961" s="2423"/>
    </row>
    <row r="38962" spans="6:6">
      <c r="F38962" s="2423"/>
    </row>
    <row r="38963" spans="6:6">
      <c r="F38963" s="2423"/>
    </row>
    <row r="38964" spans="6:6">
      <c r="F38964" s="2423"/>
    </row>
    <row r="38965" spans="6:6">
      <c r="F38965" s="2423"/>
    </row>
    <row r="38966" spans="6:6">
      <c r="F38966" s="2423"/>
    </row>
    <row r="38967" spans="6:6">
      <c r="F38967" s="2423"/>
    </row>
    <row r="38968" spans="6:6">
      <c r="F38968" s="2423"/>
    </row>
    <row r="38969" spans="6:6">
      <c r="F38969" s="2423"/>
    </row>
    <row r="38970" spans="6:6">
      <c r="F38970" s="2423"/>
    </row>
    <row r="38971" spans="6:6">
      <c r="F38971" s="2423"/>
    </row>
    <row r="38972" spans="6:6">
      <c r="F38972" s="2423"/>
    </row>
    <row r="38973" spans="6:6">
      <c r="F38973" s="2423"/>
    </row>
    <row r="38974" spans="6:6">
      <c r="F38974" s="2423"/>
    </row>
    <row r="38975" spans="6:6">
      <c r="F38975" s="2423"/>
    </row>
    <row r="38976" spans="6:6">
      <c r="F38976" s="2423"/>
    </row>
    <row r="38977" spans="6:6">
      <c r="F38977" s="2423"/>
    </row>
    <row r="38978" spans="6:6">
      <c r="F38978" s="2423"/>
    </row>
    <row r="38979" spans="6:6">
      <c r="F38979" s="2423"/>
    </row>
    <row r="38980" spans="6:6">
      <c r="F38980" s="2423"/>
    </row>
    <row r="38981" spans="6:6">
      <c r="F38981" s="2423"/>
    </row>
    <row r="38982" spans="6:6">
      <c r="F38982" s="2423"/>
    </row>
    <row r="38983" spans="6:6">
      <c r="F38983" s="2423"/>
    </row>
    <row r="38984" spans="6:6">
      <c r="F38984" s="2423"/>
    </row>
    <row r="38985" spans="6:6">
      <c r="F38985" s="2423"/>
    </row>
    <row r="38986" spans="6:6">
      <c r="F38986" s="2423"/>
    </row>
    <row r="38987" spans="6:6">
      <c r="F38987" s="2423"/>
    </row>
    <row r="38988" spans="6:6">
      <c r="F38988" s="2423"/>
    </row>
    <row r="38989" spans="6:6">
      <c r="F38989" s="2423"/>
    </row>
    <row r="38990" spans="6:6">
      <c r="F38990" s="2423"/>
    </row>
    <row r="38991" spans="6:6">
      <c r="F38991" s="2423"/>
    </row>
    <row r="38992" spans="6:6">
      <c r="F38992" s="2423"/>
    </row>
    <row r="38993" spans="6:6">
      <c r="F38993" s="2423"/>
    </row>
    <row r="38994" spans="6:6">
      <c r="F38994" s="2423"/>
    </row>
    <row r="38995" spans="6:6">
      <c r="F38995" s="2423"/>
    </row>
    <row r="38996" spans="6:6">
      <c r="F38996" s="2423"/>
    </row>
    <row r="38997" spans="6:6">
      <c r="F38997" s="2423"/>
    </row>
    <row r="38998" spans="6:6">
      <c r="F38998" s="2423"/>
    </row>
    <row r="38999" spans="6:6">
      <c r="F38999" s="2423"/>
    </row>
    <row r="39000" spans="6:6">
      <c r="F39000" s="2423"/>
    </row>
    <row r="39001" spans="6:6">
      <c r="F39001" s="2423"/>
    </row>
    <row r="39002" spans="6:6">
      <c r="F39002" s="2423"/>
    </row>
    <row r="39003" spans="6:6">
      <c r="F39003" s="2423"/>
    </row>
    <row r="39004" spans="6:6">
      <c r="F39004" s="2423"/>
    </row>
    <row r="39005" spans="6:6">
      <c r="F39005" s="2423"/>
    </row>
    <row r="39006" spans="6:6">
      <c r="F39006" s="2423"/>
    </row>
    <row r="39007" spans="6:6">
      <c r="F39007" s="2423"/>
    </row>
    <row r="39008" spans="6:6">
      <c r="F39008" s="2423"/>
    </row>
    <row r="39009" spans="6:6">
      <c r="F39009" s="2423"/>
    </row>
    <row r="39010" spans="6:6">
      <c r="F39010" s="2423"/>
    </row>
    <row r="39011" spans="6:6">
      <c r="F39011" s="2423"/>
    </row>
    <row r="39012" spans="6:6">
      <c r="F39012" s="2423"/>
    </row>
    <row r="39013" spans="6:6">
      <c r="F39013" s="2423"/>
    </row>
    <row r="39014" spans="6:6">
      <c r="F39014" s="2423"/>
    </row>
    <row r="39015" spans="6:6">
      <c r="F39015" s="2423"/>
    </row>
    <row r="39016" spans="6:6">
      <c r="F39016" s="2423"/>
    </row>
    <row r="39017" spans="6:6">
      <c r="F39017" s="2423"/>
    </row>
    <row r="39018" spans="6:6">
      <c r="F39018" s="2423"/>
    </row>
    <row r="39019" spans="6:6">
      <c r="F39019" s="2423"/>
    </row>
    <row r="39020" spans="6:6">
      <c r="F39020" s="2423"/>
    </row>
    <row r="39021" spans="6:6">
      <c r="F39021" s="2423"/>
    </row>
    <row r="39022" spans="6:6">
      <c r="F39022" s="2423"/>
    </row>
    <row r="39023" spans="6:6">
      <c r="F39023" s="2423"/>
    </row>
    <row r="39024" spans="6:6">
      <c r="F39024" s="2423"/>
    </row>
    <row r="39025" spans="6:6">
      <c r="F39025" s="2423"/>
    </row>
    <row r="39026" spans="6:6">
      <c r="F39026" s="2423"/>
    </row>
    <row r="39027" spans="6:6">
      <c r="F39027" s="2423"/>
    </row>
    <row r="39028" spans="6:6">
      <c r="F39028" s="2423"/>
    </row>
    <row r="39029" spans="6:6">
      <c r="F39029" s="2423"/>
    </row>
    <row r="39030" spans="6:6">
      <c r="F39030" s="2423"/>
    </row>
    <row r="39031" spans="6:6">
      <c r="F39031" s="2423"/>
    </row>
    <row r="39032" spans="6:6">
      <c r="F39032" s="2423"/>
    </row>
    <row r="39033" spans="6:6">
      <c r="F39033" s="2423"/>
    </row>
    <row r="39034" spans="6:6">
      <c r="F39034" s="2423"/>
    </row>
    <row r="39035" spans="6:6">
      <c r="F39035" s="2423"/>
    </row>
    <row r="39036" spans="6:6">
      <c r="F39036" s="2423"/>
    </row>
    <row r="39037" spans="6:6">
      <c r="F39037" s="2423"/>
    </row>
    <row r="39038" spans="6:6">
      <c r="F39038" s="2423"/>
    </row>
    <row r="39039" spans="6:6">
      <c r="F39039" s="2423"/>
    </row>
    <row r="39040" spans="6:6">
      <c r="F39040" s="2423"/>
    </row>
    <row r="39041" spans="6:6">
      <c r="F39041" s="2423"/>
    </row>
    <row r="39042" spans="6:6">
      <c r="F39042" s="2423"/>
    </row>
    <row r="39043" spans="6:6">
      <c r="F39043" s="2423"/>
    </row>
    <row r="39044" spans="6:6">
      <c r="F39044" s="2423"/>
    </row>
    <row r="39045" spans="6:6">
      <c r="F39045" s="2423"/>
    </row>
    <row r="39046" spans="6:6">
      <c r="F39046" s="2423"/>
    </row>
    <row r="39047" spans="6:6">
      <c r="F39047" s="2423"/>
    </row>
    <row r="39048" spans="6:6">
      <c r="F39048" s="2423"/>
    </row>
    <row r="39049" spans="6:6">
      <c r="F39049" s="2423"/>
    </row>
    <row r="39050" spans="6:6">
      <c r="F39050" s="2423"/>
    </row>
    <row r="39051" spans="6:6">
      <c r="F39051" s="2423"/>
    </row>
    <row r="39052" spans="6:6">
      <c r="F39052" s="2423"/>
    </row>
    <row r="39053" spans="6:6">
      <c r="F39053" s="2423"/>
    </row>
    <row r="39054" spans="6:6">
      <c r="F39054" s="2423"/>
    </row>
    <row r="39055" spans="6:6">
      <c r="F39055" s="2423"/>
    </row>
    <row r="39056" spans="6:6">
      <c r="F39056" s="2423"/>
    </row>
    <row r="39057" spans="6:6">
      <c r="F39057" s="2423"/>
    </row>
    <row r="39058" spans="6:6">
      <c r="F39058" s="2423"/>
    </row>
    <row r="39059" spans="6:6">
      <c r="F39059" s="2423"/>
    </row>
    <row r="39060" spans="6:6">
      <c r="F39060" s="2423"/>
    </row>
    <row r="39061" spans="6:6">
      <c r="F39061" s="2423"/>
    </row>
    <row r="39062" spans="6:6">
      <c r="F39062" s="2423"/>
    </row>
    <row r="39063" spans="6:6">
      <c r="F39063" s="2423"/>
    </row>
    <row r="39064" spans="6:6">
      <c r="F39064" s="2423"/>
    </row>
    <row r="39065" spans="6:6">
      <c r="F39065" s="2423"/>
    </row>
    <row r="39066" spans="6:6">
      <c r="F39066" s="2423"/>
    </row>
    <row r="39067" spans="6:6">
      <c r="F39067" s="2423"/>
    </row>
    <row r="39068" spans="6:6">
      <c r="F39068" s="2423"/>
    </row>
    <row r="39069" spans="6:6">
      <c r="F39069" s="2423"/>
    </row>
    <row r="39070" spans="6:6">
      <c r="F39070" s="2423"/>
    </row>
    <row r="39071" spans="6:6">
      <c r="F39071" s="2423"/>
    </row>
    <row r="39072" spans="6:6">
      <c r="F39072" s="2423"/>
    </row>
    <row r="39073" spans="6:6">
      <c r="F39073" s="2423"/>
    </row>
    <row r="39074" spans="6:6">
      <c r="F39074" s="2423"/>
    </row>
    <row r="39075" spans="6:6">
      <c r="F39075" s="2423"/>
    </row>
    <row r="39076" spans="6:6">
      <c r="F39076" s="2423"/>
    </row>
    <row r="39077" spans="6:6">
      <c r="F39077" s="2423"/>
    </row>
    <row r="39078" spans="6:6">
      <c r="F39078" s="2423"/>
    </row>
    <row r="39079" spans="6:6">
      <c r="F39079" s="2423"/>
    </row>
    <row r="39080" spans="6:6">
      <c r="F39080" s="2423"/>
    </row>
    <row r="39081" spans="6:6">
      <c r="F39081" s="2423"/>
    </row>
    <row r="39082" spans="6:6">
      <c r="F39082" s="2423"/>
    </row>
    <row r="39083" spans="6:6">
      <c r="F39083" s="2423"/>
    </row>
    <row r="39084" spans="6:6">
      <c r="F39084" s="2423"/>
    </row>
    <row r="39085" spans="6:6">
      <c r="F39085" s="2423"/>
    </row>
    <row r="39086" spans="6:6">
      <c r="F39086" s="2423"/>
    </row>
    <row r="39087" spans="6:6">
      <c r="F39087" s="2423"/>
    </row>
    <row r="39088" spans="6:6">
      <c r="F39088" s="2423"/>
    </row>
    <row r="39089" spans="6:6">
      <c r="F39089" s="2423"/>
    </row>
    <row r="39090" spans="6:6">
      <c r="F39090" s="2423"/>
    </row>
    <row r="39091" spans="6:6">
      <c r="F39091" s="2423"/>
    </row>
    <row r="39092" spans="6:6">
      <c r="F39092" s="2423"/>
    </row>
    <row r="39093" spans="6:6">
      <c r="F39093" s="2423"/>
    </row>
    <row r="39094" spans="6:6">
      <c r="F39094" s="2423"/>
    </row>
    <row r="39095" spans="6:6">
      <c r="F39095" s="2423"/>
    </row>
    <row r="39096" spans="6:6">
      <c r="F39096" s="2423"/>
    </row>
    <row r="39097" spans="6:6">
      <c r="F39097" s="2423"/>
    </row>
    <row r="39098" spans="6:6">
      <c r="F39098" s="2423"/>
    </row>
    <row r="39099" spans="6:6">
      <c r="F39099" s="2423"/>
    </row>
    <row r="39100" spans="6:6">
      <c r="F39100" s="2423"/>
    </row>
    <row r="39101" spans="6:6">
      <c r="F39101" s="2423"/>
    </row>
    <row r="39102" spans="6:6">
      <c r="F39102" s="2423"/>
    </row>
    <row r="39103" spans="6:6">
      <c r="F39103" s="2423"/>
    </row>
    <row r="39104" spans="6:6">
      <c r="F39104" s="2423"/>
    </row>
    <row r="39105" spans="6:6">
      <c r="F39105" s="2423"/>
    </row>
    <row r="39106" spans="6:6">
      <c r="F39106" s="2423"/>
    </row>
    <row r="39107" spans="6:6">
      <c r="F39107" s="2423"/>
    </row>
    <row r="39108" spans="6:6">
      <c r="F39108" s="2423"/>
    </row>
    <row r="39109" spans="6:6">
      <c r="F39109" s="2423"/>
    </row>
    <row r="39110" spans="6:6">
      <c r="F39110" s="2423"/>
    </row>
    <row r="39111" spans="6:6">
      <c r="F39111" s="2423"/>
    </row>
    <row r="39112" spans="6:6">
      <c r="F39112" s="2423"/>
    </row>
    <row r="39113" spans="6:6">
      <c r="F39113" s="2423"/>
    </row>
    <row r="39114" spans="6:6">
      <c r="F39114" s="2423"/>
    </row>
    <row r="39115" spans="6:6">
      <c r="F39115" s="2423"/>
    </row>
    <row r="39116" spans="6:6">
      <c r="F39116" s="2423"/>
    </row>
    <row r="39117" spans="6:6">
      <c r="F39117" s="2423"/>
    </row>
    <row r="39118" spans="6:6">
      <c r="F39118" s="2423"/>
    </row>
    <row r="39119" spans="6:6">
      <c r="F39119" s="2423"/>
    </row>
    <row r="39120" spans="6:6">
      <c r="F39120" s="2423"/>
    </row>
    <row r="39121" spans="6:6">
      <c r="F39121" s="2423"/>
    </row>
    <row r="39122" spans="6:6">
      <c r="F39122" s="2423"/>
    </row>
    <row r="39123" spans="6:6">
      <c r="F39123" s="2423"/>
    </row>
    <row r="39124" spans="6:6">
      <c r="F39124" s="2423"/>
    </row>
    <row r="39125" spans="6:6">
      <c r="F39125" s="2423"/>
    </row>
    <row r="39126" spans="6:6">
      <c r="F39126" s="2423"/>
    </row>
    <row r="39127" spans="6:6">
      <c r="F39127" s="2423"/>
    </row>
    <row r="39128" spans="6:6">
      <c r="F39128" s="2423"/>
    </row>
    <row r="39129" spans="6:6">
      <c r="F39129" s="2423"/>
    </row>
    <row r="39130" spans="6:6">
      <c r="F39130" s="2423"/>
    </row>
    <row r="39131" spans="6:6">
      <c r="F39131" s="2423"/>
    </row>
    <row r="39132" spans="6:6">
      <c r="F39132" s="2423"/>
    </row>
    <row r="39133" spans="6:6">
      <c r="F39133" s="2423"/>
    </row>
    <row r="39134" spans="6:6">
      <c r="F39134" s="2423"/>
    </row>
    <row r="39135" spans="6:6">
      <c r="F39135" s="2423"/>
    </row>
    <row r="39136" spans="6:6">
      <c r="F39136" s="2423"/>
    </row>
    <row r="39137" spans="6:6">
      <c r="F39137" s="2423"/>
    </row>
    <row r="39138" spans="6:6">
      <c r="F39138" s="2423"/>
    </row>
    <row r="39139" spans="6:6">
      <c r="F39139" s="2423"/>
    </row>
    <row r="39140" spans="6:6">
      <c r="F39140" s="2423"/>
    </row>
    <row r="39141" spans="6:6">
      <c r="F39141" s="2423"/>
    </row>
    <row r="39142" spans="6:6">
      <c r="F39142" s="2423"/>
    </row>
    <row r="39143" spans="6:6">
      <c r="F39143" s="2423"/>
    </row>
    <row r="39144" spans="6:6">
      <c r="F39144" s="2423"/>
    </row>
    <row r="39145" spans="6:6">
      <c r="F39145" s="2423"/>
    </row>
    <row r="39146" spans="6:6">
      <c r="F39146" s="2423"/>
    </row>
    <row r="39147" spans="6:6">
      <c r="F39147" s="2423"/>
    </row>
    <row r="39148" spans="6:6">
      <c r="F39148" s="2423"/>
    </row>
    <row r="39149" spans="6:6">
      <c r="F39149" s="2423"/>
    </row>
    <row r="39150" spans="6:6">
      <c r="F39150" s="2423"/>
    </row>
    <row r="39151" spans="6:6">
      <c r="F39151" s="2423"/>
    </row>
    <row r="39152" spans="6:6">
      <c r="F39152" s="2423"/>
    </row>
    <row r="39153" spans="6:6">
      <c r="F39153" s="2423"/>
    </row>
    <row r="39154" spans="6:6">
      <c r="F39154" s="2423"/>
    </row>
    <row r="39155" spans="6:6">
      <c r="F39155" s="2423"/>
    </row>
    <row r="39156" spans="6:6">
      <c r="F39156" s="2423"/>
    </row>
    <row r="39157" spans="6:6">
      <c r="F39157" s="2423"/>
    </row>
    <row r="39158" spans="6:6">
      <c r="F39158" s="2423"/>
    </row>
    <row r="39159" spans="6:6">
      <c r="F39159" s="2423"/>
    </row>
    <row r="39160" spans="6:6">
      <c r="F39160" s="2423"/>
    </row>
    <row r="39161" spans="6:6">
      <c r="F39161" s="2423"/>
    </row>
    <row r="39162" spans="6:6">
      <c r="F39162" s="2423"/>
    </row>
    <row r="39163" spans="6:6">
      <c r="F39163" s="2423"/>
    </row>
    <row r="39164" spans="6:6">
      <c r="F39164" s="2423"/>
    </row>
    <row r="39165" spans="6:6">
      <c r="F39165" s="2423"/>
    </row>
    <row r="39166" spans="6:6">
      <c r="F39166" s="2423"/>
    </row>
    <row r="39167" spans="6:6">
      <c r="F39167" s="2423"/>
    </row>
    <row r="39168" spans="6:6">
      <c r="F39168" s="2423"/>
    </row>
    <row r="39169" spans="6:6">
      <c r="F39169" s="2423"/>
    </row>
    <row r="39170" spans="6:6">
      <c r="F39170" s="2423"/>
    </row>
    <row r="39171" spans="6:6">
      <c r="F39171" s="2423"/>
    </row>
    <row r="39172" spans="6:6">
      <c r="F39172" s="2423"/>
    </row>
    <row r="39173" spans="6:6">
      <c r="F39173" s="2423"/>
    </row>
    <row r="39174" spans="6:6">
      <c r="F39174" s="2423"/>
    </row>
    <row r="39175" spans="6:6">
      <c r="F39175" s="2423"/>
    </row>
    <row r="39176" spans="6:6">
      <c r="F39176" s="2423"/>
    </row>
    <row r="39177" spans="6:6">
      <c r="F39177" s="2423"/>
    </row>
    <row r="39178" spans="6:6">
      <c r="F39178" s="2423"/>
    </row>
    <row r="39179" spans="6:6">
      <c r="F39179" s="2423"/>
    </row>
    <row r="39180" spans="6:6">
      <c r="F39180" s="2423"/>
    </row>
    <row r="39181" spans="6:6">
      <c r="F39181" s="2423"/>
    </row>
    <row r="39182" spans="6:6">
      <c r="F39182" s="2423"/>
    </row>
    <row r="39183" spans="6:6">
      <c r="F39183" s="2423"/>
    </row>
    <row r="39184" spans="6:6">
      <c r="F39184" s="2423"/>
    </row>
    <row r="39185" spans="6:6">
      <c r="F39185" s="2423"/>
    </row>
    <row r="39186" spans="6:6">
      <c r="F39186" s="2423"/>
    </row>
    <row r="39187" spans="6:6">
      <c r="F39187" s="2423"/>
    </row>
    <row r="39188" spans="6:6">
      <c r="F39188" s="2423"/>
    </row>
    <row r="39189" spans="6:6">
      <c r="F39189" s="2423"/>
    </row>
    <row r="39190" spans="6:6">
      <c r="F39190" s="2423"/>
    </row>
    <row r="39191" spans="6:6">
      <c r="F39191" s="2423"/>
    </row>
    <row r="39192" spans="6:6">
      <c r="F39192" s="2423"/>
    </row>
    <row r="39193" spans="6:6">
      <c r="F39193" s="2423"/>
    </row>
    <row r="39194" spans="6:6">
      <c r="F39194" s="2423"/>
    </row>
    <row r="39195" spans="6:6">
      <c r="F39195" s="2423"/>
    </row>
    <row r="39196" spans="6:6">
      <c r="F39196" s="2423"/>
    </row>
    <row r="39197" spans="6:6">
      <c r="F39197" s="2423"/>
    </row>
    <row r="39198" spans="6:6">
      <c r="F39198" s="2423"/>
    </row>
    <row r="39199" spans="6:6">
      <c r="F39199" s="2423"/>
    </row>
    <row r="39200" spans="6:6">
      <c r="F39200" s="2423"/>
    </row>
    <row r="39201" spans="6:6">
      <c r="F39201" s="2423"/>
    </row>
    <row r="39202" spans="6:6">
      <c r="F39202" s="2423"/>
    </row>
    <row r="39203" spans="6:6">
      <c r="F39203" s="2423"/>
    </row>
    <row r="39204" spans="6:6">
      <c r="F39204" s="2423"/>
    </row>
    <row r="39205" spans="6:6">
      <c r="F39205" s="2423"/>
    </row>
    <row r="39206" spans="6:6">
      <c r="F39206" s="2423"/>
    </row>
    <row r="39207" spans="6:6">
      <c r="F39207" s="2423"/>
    </row>
    <row r="39208" spans="6:6">
      <c r="F39208" s="2423"/>
    </row>
    <row r="39209" spans="6:6">
      <c r="F39209" s="2423"/>
    </row>
    <row r="39210" spans="6:6">
      <c r="F39210" s="2423"/>
    </row>
    <row r="39211" spans="6:6">
      <c r="F39211" s="2423"/>
    </row>
    <row r="39212" spans="6:6">
      <c r="F39212" s="2423"/>
    </row>
    <row r="39213" spans="6:6">
      <c r="F39213" s="2423"/>
    </row>
    <row r="39214" spans="6:6">
      <c r="F39214" s="2423"/>
    </row>
    <row r="39215" spans="6:6">
      <c r="F39215" s="2423"/>
    </row>
    <row r="39216" spans="6:6">
      <c r="F39216" s="2423"/>
    </row>
    <row r="39217" spans="6:6">
      <c r="F39217" s="2423"/>
    </row>
    <row r="39218" spans="6:6">
      <c r="F39218" s="2423"/>
    </row>
    <row r="39219" spans="6:6">
      <c r="F39219" s="2423"/>
    </row>
    <row r="39220" spans="6:6">
      <c r="F39220" s="2423"/>
    </row>
    <row r="39221" spans="6:6">
      <c r="F39221" s="2423"/>
    </row>
    <row r="39222" spans="6:6">
      <c r="F39222" s="2423"/>
    </row>
    <row r="39223" spans="6:6">
      <c r="F39223" s="2423"/>
    </row>
    <row r="39224" spans="6:6">
      <c r="F39224" s="2423"/>
    </row>
    <row r="39225" spans="6:6">
      <c r="F39225" s="2423"/>
    </row>
    <row r="39226" spans="6:6">
      <c r="F39226" s="2423"/>
    </row>
    <row r="39227" spans="6:6">
      <c r="F39227" s="2423"/>
    </row>
    <row r="39228" spans="6:6">
      <c r="F39228" s="2423"/>
    </row>
    <row r="39229" spans="6:6">
      <c r="F39229" s="2423"/>
    </row>
    <row r="39230" spans="6:6">
      <c r="F39230" s="2423"/>
    </row>
    <row r="39231" spans="6:6">
      <c r="F39231" s="2423"/>
    </row>
    <row r="39232" spans="6:6">
      <c r="F39232" s="2423"/>
    </row>
    <row r="39233" spans="6:6">
      <c r="F39233" s="2423"/>
    </row>
    <row r="39234" spans="6:6">
      <c r="F39234" s="2423"/>
    </row>
    <row r="39235" spans="6:6">
      <c r="F39235" s="2423"/>
    </row>
    <row r="39236" spans="6:6">
      <c r="F39236" s="2423"/>
    </row>
    <row r="39237" spans="6:6">
      <c r="F39237" s="2423"/>
    </row>
    <row r="39238" spans="6:6">
      <c r="F39238" s="2423"/>
    </row>
    <row r="39239" spans="6:6">
      <c r="F39239" s="2423"/>
    </row>
    <row r="39240" spans="6:6">
      <c r="F39240" s="2423"/>
    </row>
    <row r="39241" spans="6:6">
      <c r="F39241" s="2423"/>
    </row>
    <row r="39242" spans="6:6">
      <c r="F39242" s="2423"/>
    </row>
    <row r="39243" spans="6:6">
      <c r="F39243" s="2423"/>
    </row>
    <row r="39244" spans="6:6">
      <c r="F39244" s="2423"/>
    </row>
    <row r="39245" spans="6:6">
      <c r="F39245" s="2423"/>
    </row>
    <row r="39246" spans="6:6">
      <c r="F39246" s="2423"/>
    </row>
    <row r="39247" spans="6:6">
      <c r="F39247" s="2423"/>
    </row>
    <row r="39248" spans="6:6">
      <c r="F39248" s="2423"/>
    </row>
    <row r="39249" spans="6:6">
      <c r="F39249" s="2423"/>
    </row>
    <row r="39250" spans="6:6">
      <c r="F39250" s="2423"/>
    </row>
    <row r="39251" spans="6:6">
      <c r="F39251" s="2423"/>
    </row>
    <row r="39252" spans="6:6">
      <c r="F39252" s="2423"/>
    </row>
    <row r="39253" spans="6:6">
      <c r="F39253" s="2423"/>
    </row>
    <row r="39254" spans="6:6">
      <c r="F39254" s="2423"/>
    </row>
    <row r="39255" spans="6:6">
      <c r="F39255" s="2423"/>
    </row>
    <row r="39256" spans="6:6">
      <c r="F39256" s="2423"/>
    </row>
    <row r="39257" spans="6:6">
      <c r="F39257" s="2423"/>
    </row>
    <row r="39258" spans="6:6">
      <c r="F39258" s="2423"/>
    </row>
    <row r="39259" spans="6:6">
      <c r="F39259" s="2423"/>
    </row>
    <row r="39260" spans="6:6">
      <c r="F39260" s="2423"/>
    </row>
    <row r="39261" spans="6:6">
      <c r="F39261" s="2423"/>
    </row>
    <row r="39262" spans="6:6">
      <c r="F39262" s="2423"/>
    </row>
    <row r="39263" spans="6:6">
      <c r="F39263" s="2423"/>
    </row>
    <row r="39264" spans="6:6">
      <c r="F39264" s="2423"/>
    </row>
    <row r="39265" spans="6:6">
      <c r="F39265" s="2423"/>
    </row>
    <row r="39266" spans="6:6">
      <c r="F39266" s="2423"/>
    </row>
    <row r="39267" spans="6:6">
      <c r="F39267" s="2423"/>
    </row>
    <row r="39268" spans="6:6">
      <c r="F39268" s="2423"/>
    </row>
    <row r="39269" spans="6:6">
      <c r="F39269" s="2423"/>
    </row>
    <row r="39270" spans="6:6">
      <c r="F39270" s="2423"/>
    </row>
    <row r="39271" spans="6:6">
      <c r="F39271" s="2423"/>
    </row>
    <row r="39272" spans="6:6">
      <c r="F39272" s="2423"/>
    </row>
    <row r="39273" spans="6:6">
      <c r="F39273" s="2423"/>
    </row>
    <row r="39274" spans="6:6">
      <c r="F39274" s="2423"/>
    </row>
    <row r="39275" spans="6:6">
      <c r="F39275" s="2423"/>
    </row>
    <row r="39276" spans="6:6">
      <c r="F39276" s="2423"/>
    </row>
    <row r="39277" spans="6:6">
      <c r="F39277" s="2423"/>
    </row>
    <row r="39278" spans="6:6">
      <c r="F39278" s="2423"/>
    </row>
    <row r="39279" spans="6:6">
      <c r="F39279" s="2423"/>
    </row>
    <row r="39280" spans="6:6">
      <c r="F39280" s="2423"/>
    </row>
    <row r="39281" spans="6:6">
      <c r="F39281" s="2423"/>
    </row>
    <row r="39282" spans="6:6">
      <c r="F39282" s="2423"/>
    </row>
    <row r="39283" spans="6:6">
      <c r="F39283" s="2423"/>
    </row>
    <row r="39284" spans="6:6">
      <c r="F39284" s="2423"/>
    </row>
    <row r="39285" spans="6:6">
      <c r="F39285" s="2423"/>
    </row>
    <row r="39286" spans="6:6">
      <c r="F39286" s="2423"/>
    </row>
    <row r="39287" spans="6:6">
      <c r="F39287" s="2423"/>
    </row>
    <row r="39288" spans="6:6">
      <c r="F39288" s="2423"/>
    </row>
    <row r="39289" spans="6:6">
      <c r="F39289" s="2423"/>
    </row>
    <row r="39290" spans="6:6">
      <c r="F39290" s="2423"/>
    </row>
    <row r="39291" spans="6:6">
      <c r="F39291" s="2423"/>
    </row>
    <row r="39292" spans="6:6">
      <c r="F39292" s="2423"/>
    </row>
    <row r="39293" spans="6:6">
      <c r="F39293" s="2423"/>
    </row>
    <row r="39294" spans="6:6">
      <c r="F39294" s="2423"/>
    </row>
    <row r="39295" spans="6:6">
      <c r="F39295" s="2423"/>
    </row>
    <row r="39296" spans="6:6">
      <c r="F39296" s="2423"/>
    </row>
    <row r="39297" spans="6:6">
      <c r="F39297" s="2423"/>
    </row>
    <row r="39298" spans="6:6">
      <c r="F39298" s="2423"/>
    </row>
    <row r="39299" spans="6:6">
      <c r="F39299" s="2423"/>
    </row>
    <row r="39300" spans="6:6">
      <c r="F39300" s="2423"/>
    </row>
    <row r="39301" spans="6:6">
      <c r="F39301" s="2423"/>
    </row>
    <row r="39302" spans="6:6">
      <c r="F39302" s="2423"/>
    </row>
    <row r="39303" spans="6:6">
      <c r="F39303" s="2423"/>
    </row>
    <row r="39304" spans="6:6">
      <c r="F39304" s="2423"/>
    </row>
    <row r="39305" spans="6:6">
      <c r="F39305" s="2423"/>
    </row>
    <row r="39306" spans="6:6">
      <c r="F39306" s="2423"/>
    </row>
    <row r="39307" spans="6:6">
      <c r="F39307" s="2423"/>
    </row>
    <row r="39308" spans="6:6">
      <c r="F39308" s="2423"/>
    </row>
    <row r="39309" spans="6:6">
      <c r="F39309" s="2423"/>
    </row>
    <row r="39310" spans="6:6">
      <c r="F39310" s="2423"/>
    </row>
    <row r="39311" spans="6:6">
      <c r="F39311" s="2423"/>
    </row>
    <row r="39312" spans="6:6">
      <c r="F39312" s="2423"/>
    </row>
    <row r="39313" spans="6:6">
      <c r="F39313" s="2423"/>
    </row>
    <row r="39314" spans="6:6">
      <c r="F39314" s="2423"/>
    </row>
    <row r="39315" spans="6:6">
      <c r="F39315" s="2423"/>
    </row>
    <row r="39316" spans="6:6">
      <c r="F39316" s="2423"/>
    </row>
    <row r="39317" spans="6:6">
      <c r="F39317" s="2423"/>
    </row>
    <row r="39318" spans="6:6">
      <c r="F39318" s="2423"/>
    </row>
    <row r="39319" spans="6:6">
      <c r="F39319" s="2423"/>
    </row>
    <row r="39320" spans="6:6">
      <c r="F39320" s="2423"/>
    </row>
    <row r="39321" spans="6:6">
      <c r="F39321" s="2423"/>
    </row>
    <row r="39322" spans="6:6">
      <c r="F39322" s="2423"/>
    </row>
    <row r="39323" spans="6:6">
      <c r="F39323" s="2423"/>
    </row>
    <row r="39324" spans="6:6">
      <c r="F39324" s="2423"/>
    </row>
    <row r="39325" spans="6:6">
      <c r="F39325" s="2423"/>
    </row>
    <row r="39326" spans="6:6">
      <c r="F39326" s="2423"/>
    </row>
    <row r="39327" spans="6:6">
      <c r="F39327" s="2423"/>
    </row>
    <row r="39328" spans="6:6">
      <c r="F39328" s="2423"/>
    </row>
    <row r="39329" spans="6:6">
      <c r="F39329" s="2423"/>
    </row>
    <row r="39330" spans="6:6">
      <c r="F39330" s="2423"/>
    </row>
    <row r="39331" spans="6:6">
      <c r="F39331" s="2423"/>
    </row>
    <row r="39332" spans="6:6">
      <c r="F39332" s="2423"/>
    </row>
    <row r="39333" spans="6:6">
      <c r="F39333" s="2423"/>
    </row>
    <row r="39334" spans="6:6">
      <c r="F39334" s="2423"/>
    </row>
    <row r="39335" spans="6:6">
      <c r="F39335" s="2423"/>
    </row>
    <row r="39336" spans="6:6">
      <c r="F39336" s="2423"/>
    </row>
    <row r="39337" spans="6:6">
      <c r="F39337" s="2423"/>
    </row>
    <row r="39338" spans="6:6">
      <c r="F39338" s="2423"/>
    </row>
    <row r="39339" spans="6:6">
      <c r="F39339" s="2423"/>
    </row>
    <row r="39340" spans="6:6">
      <c r="F39340" s="2423"/>
    </row>
    <row r="39341" spans="6:6">
      <c r="F39341" s="2423"/>
    </row>
    <row r="39342" spans="6:6">
      <c r="F39342" s="2423"/>
    </row>
    <row r="39343" spans="6:6">
      <c r="F39343" s="2423"/>
    </row>
    <row r="39344" spans="6:6">
      <c r="F39344" s="2423"/>
    </row>
    <row r="39345" spans="6:6">
      <c r="F39345" s="2423"/>
    </row>
    <row r="39346" spans="6:6">
      <c r="F39346" s="2423"/>
    </row>
    <row r="39347" spans="6:6">
      <c r="F39347" s="2423"/>
    </row>
    <row r="39348" spans="6:6">
      <c r="F39348" s="2423"/>
    </row>
    <row r="39349" spans="6:6">
      <c r="F39349" s="2423"/>
    </row>
    <row r="39350" spans="6:6">
      <c r="F39350" s="2423"/>
    </row>
    <row r="39351" spans="6:6">
      <c r="F39351" s="2423"/>
    </row>
    <row r="39352" spans="6:6">
      <c r="F39352" s="2423"/>
    </row>
    <row r="39353" spans="6:6">
      <c r="F39353" s="2423"/>
    </row>
    <row r="39354" spans="6:6">
      <c r="F39354" s="2423"/>
    </row>
    <row r="39355" spans="6:6">
      <c r="F39355" s="2423"/>
    </row>
    <row r="39356" spans="6:6">
      <c r="F39356" s="2423"/>
    </row>
    <row r="39357" spans="6:6">
      <c r="F39357" s="2423"/>
    </row>
    <row r="39358" spans="6:6">
      <c r="F39358" s="2423"/>
    </row>
    <row r="39359" spans="6:6">
      <c r="F39359" s="2423"/>
    </row>
    <row r="39360" spans="6:6">
      <c r="F39360" s="2423"/>
    </row>
    <row r="39361" spans="6:6">
      <c r="F39361" s="2423"/>
    </row>
    <row r="39362" spans="6:6">
      <c r="F39362" s="2423"/>
    </row>
    <row r="39363" spans="6:6">
      <c r="F39363" s="2423"/>
    </row>
    <row r="39364" spans="6:6">
      <c r="F39364" s="2423"/>
    </row>
    <row r="39365" spans="6:6">
      <c r="F39365" s="2423"/>
    </row>
    <row r="39366" spans="6:6">
      <c r="F39366" s="2423"/>
    </row>
    <row r="39367" spans="6:6">
      <c r="F39367" s="2423"/>
    </row>
    <row r="39368" spans="6:6">
      <c r="F39368" s="2423"/>
    </row>
    <row r="39369" spans="6:6">
      <c r="F39369" s="2423"/>
    </row>
    <row r="39370" spans="6:6">
      <c r="F39370" s="2423"/>
    </row>
    <row r="39371" spans="6:6">
      <c r="F39371" s="2423"/>
    </row>
    <row r="39372" spans="6:6">
      <c r="F39372" s="2423"/>
    </row>
    <row r="39373" spans="6:6">
      <c r="F39373" s="2423"/>
    </row>
    <row r="39374" spans="6:6">
      <c r="F39374" s="2423"/>
    </row>
    <row r="39375" spans="6:6">
      <c r="F39375" s="2423"/>
    </row>
    <row r="39376" spans="6:6">
      <c r="F39376" s="2423"/>
    </row>
    <row r="39377" spans="6:6">
      <c r="F39377" s="2423"/>
    </row>
    <row r="39378" spans="6:6">
      <c r="F39378" s="2423"/>
    </row>
    <row r="39379" spans="6:6">
      <c r="F39379" s="2423"/>
    </row>
    <row r="39380" spans="6:6">
      <c r="F39380" s="2423"/>
    </row>
    <row r="39381" spans="6:6">
      <c r="F39381" s="2423"/>
    </row>
    <row r="39382" spans="6:6">
      <c r="F39382" s="2423"/>
    </row>
    <row r="39383" spans="6:6">
      <c r="F39383" s="2423"/>
    </row>
    <row r="39384" spans="6:6">
      <c r="F39384" s="2423"/>
    </row>
    <row r="39385" spans="6:6">
      <c r="F39385" s="2423"/>
    </row>
    <row r="39386" spans="6:6">
      <c r="F39386" s="2423"/>
    </row>
    <row r="39387" spans="6:6">
      <c r="F39387" s="2423"/>
    </row>
    <row r="39388" spans="6:6">
      <c r="F39388" s="2423"/>
    </row>
    <row r="39389" spans="6:6">
      <c r="F39389" s="2423"/>
    </row>
    <row r="39390" spans="6:6">
      <c r="F39390" s="2423"/>
    </row>
    <row r="39391" spans="6:6">
      <c r="F39391" s="2423"/>
    </row>
    <row r="39392" spans="6:6">
      <c r="F39392" s="2423"/>
    </row>
    <row r="39393" spans="6:6">
      <c r="F39393" s="2423"/>
    </row>
    <row r="39394" spans="6:6">
      <c r="F39394" s="2423"/>
    </row>
    <row r="39395" spans="6:6">
      <c r="F39395" s="2423"/>
    </row>
    <row r="39396" spans="6:6">
      <c r="F39396" s="2423"/>
    </row>
    <row r="39397" spans="6:6">
      <c r="F39397" s="2423"/>
    </row>
    <row r="39398" spans="6:6">
      <c r="F39398" s="2423"/>
    </row>
    <row r="39399" spans="6:6">
      <c r="F39399" s="2423"/>
    </row>
    <row r="39400" spans="6:6">
      <c r="F39400" s="2423"/>
    </row>
    <row r="39401" spans="6:6">
      <c r="F39401" s="2423"/>
    </row>
    <row r="39402" spans="6:6">
      <c r="F39402" s="2423"/>
    </row>
    <row r="39403" spans="6:6">
      <c r="F39403" s="2423"/>
    </row>
    <row r="39404" spans="6:6">
      <c r="F39404" s="2423"/>
    </row>
    <row r="39405" spans="6:6">
      <c r="F39405" s="2423"/>
    </row>
    <row r="39406" spans="6:6">
      <c r="F39406" s="2423"/>
    </row>
    <row r="39407" spans="6:6">
      <c r="F39407" s="2423"/>
    </row>
    <row r="39408" spans="6:6">
      <c r="F39408" s="2423"/>
    </row>
    <row r="39409" spans="6:6">
      <c r="F39409" s="2423"/>
    </row>
    <row r="39410" spans="6:6">
      <c r="F39410" s="2423"/>
    </row>
    <row r="39411" spans="6:6">
      <c r="F39411" s="2423"/>
    </row>
    <row r="39412" spans="6:6">
      <c r="F39412" s="2423"/>
    </row>
    <row r="39413" spans="6:6">
      <c r="F39413" s="2423"/>
    </row>
    <row r="39414" spans="6:6">
      <c r="F39414" s="2423"/>
    </row>
    <row r="39415" spans="6:6">
      <c r="F39415" s="2423"/>
    </row>
    <row r="39416" spans="6:6">
      <c r="F39416" s="2423"/>
    </row>
    <row r="39417" spans="6:6">
      <c r="F39417" s="2423"/>
    </row>
    <row r="39418" spans="6:6">
      <c r="F39418" s="2423"/>
    </row>
    <row r="39419" spans="6:6">
      <c r="F39419" s="2423"/>
    </row>
    <row r="39420" spans="6:6">
      <c r="F39420" s="2423"/>
    </row>
    <row r="39421" spans="6:6">
      <c r="F39421" s="2423"/>
    </row>
    <row r="39422" spans="6:6">
      <c r="F39422" s="2423"/>
    </row>
    <row r="39423" spans="6:6">
      <c r="F39423" s="2423"/>
    </row>
    <row r="39424" spans="6:6">
      <c r="F39424" s="2423"/>
    </row>
    <row r="39425" spans="6:6">
      <c r="F39425" s="2423"/>
    </row>
    <row r="39426" spans="6:6">
      <c r="F39426" s="2423"/>
    </row>
    <row r="39427" spans="6:6">
      <c r="F39427" s="2423"/>
    </row>
    <row r="39428" spans="6:6">
      <c r="F39428" s="2423"/>
    </row>
    <row r="39429" spans="6:6">
      <c r="F39429" s="2423"/>
    </row>
    <row r="39430" spans="6:6">
      <c r="F39430" s="2423"/>
    </row>
    <row r="39431" spans="6:6">
      <c r="F39431" s="2423"/>
    </row>
    <row r="39432" spans="6:6">
      <c r="F39432" s="2423"/>
    </row>
    <row r="39433" spans="6:6">
      <c r="F39433" s="2423"/>
    </row>
    <row r="39434" spans="6:6">
      <c r="F39434" s="2423"/>
    </row>
    <row r="39435" spans="6:6">
      <c r="F39435" s="2423"/>
    </row>
    <row r="39436" spans="6:6">
      <c r="F39436" s="2423"/>
    </row>
    <row r="39437" spans="6:6">
      <c r="F39437" s="2423"/>
    </row>
    <row r="39438" spans="6:6">
      <c r="F39438" s="2423"/>
    </row>
    <row r="39439" spans="6:6">
      <c r="F39439" s="2423"/>
    </row>
    <row r="39440" spans="6:6">
      <c r="F39440" s="2423"/>
    </row>
    <row r="39441" spans="6:6">
      <c r="F39441" s="2423"/>
    </row>
    <row r="39442" spans="6:6">
      <c r="F39442" s="2423"/>
    </row>
    <row r="39443" spans="6:6">
      <c r="F39443" s="2423"/>
    </row>
    <row r="39444" spans="6:6">
      <c r="F39444" s="2423"/>
    </row>
    <row r="39445" spans="6:6">
      <c r="F39445" s="2423"/>
    </row>
    <row r="39446" spans="6:6">
      <c r="F39446" s="2423"/>
    </row>
    <row r="39447" spans="6:6">
      <c r="F39447" s="2423"/>
    </row>
    <row r="39448" spans="6:6">
      <c r="F39448" s="2423"/>
    </row>
    <row r="39449" spans="6:6">
      <c r="F39449" s="2423"/>
    </row>
    <row r="39450" spans="6:6">
      <c r="F39450" s="2423"/>
    </row>
    <row r="39451" spans="6:6">
      <c r="F39451" s="2423"/>
    </row>
    <row r="39452" spans="6:6">
      <c r="F39452" s="2423"/>
    </row>
    <row r="39453" spans="6:6">
      <c r="F39453" s="2423"/>
    </row>
    <row r="39454" spans="6:6">
      <c r="F39454" s="2423"/>
    </row>
    <row r="39455" spans="6:6">
      <c r="F39455" s="2423"/>
    </row>
    <row r="39456" spans="6:6">
      <c r="F39456" s="2423"/>
    </row>
    <row r="39457" spans="6:6">
      <c r="F39457" s="2423"/>
    </row>
    <row r="39458" spans="6:6">
      <c r="F39458" s="2423"/>
    </row>
    <row r="39459" spans="6:6">
      <c r="F39459" s="2423"/>
    </row>
    <row r="39460" spans="6:6">
      <c r="F39460" s="2423"/>
    </row>
    <row r="39461" spans="6:6">
      <c r="F39461" s="2423"/>
    </row>
    <row r="39462" spans="6:6">
      <c r="F39462" s="2423"/>
    </row>
    <row r="39463" spans="6:6">
      <c r="F39463" s="2423"/>
    </row>
    <row r="39464" spans="6:6">
      <c r="F39464" s="2423"/>
    </row>
    <row r="39465" spans="6:6">
      <c r="F39465" s="2423"/>
    </row>
    <row r="39466" spans="6:6">
      <c r="F39466" s="2423"/>
    </row>
    <row r="39467" spans="6:6">
      <c r="F39467" s="2423"/>
    </row>
    <row r="39468" spans="6:6">
      <c r="F39468" s="2423"/>
    </row>
    <row r="39469" spans="6:6">
      <c r="F39469" s="2423"/>
    </row>
    <row r="39470" spans="6:6">
      <c r="F39470" s="2423"/>
    </row>
    <row r="39471" spans="6:6">
      <c r="F39471" s="2423"/>
    </row>
    <row r="39472" spans="6:6">
      <c r="F39472" s="2423"/>
    </row>
    <row r="39473" spans="6:6">
      <c r="F39473" s="2423"/>
    </row>
    <row r="39474" spans="6:6">
      <c r="F39474" s="2423"/>
    </row>
    <row r="39475" spans="6:6">
      <c r="F39475" s="2423"/>
    </row>
    <row r="39476" spans="6:6">
      <c r="F39476" s="2423"/>
    </row>
    <row r="39477" spans="6:6">
      <c r="F39477" s="2423"/>
    </row>
    <row r="39478" spans="6:6">
      <c r="F39478" s="2423"/>
    </row>
    <row r="39479" spans="6:6">
      <c r="F39479" s="2423"/>
    </row>
    <row r="39480" spans="6:6">
      <c r="F39480" s="2423"/>
    </row>
    <row r="39481" spans="6:6">
      <c r="F39481" s="2423"/>
    </row>
    <row r="39482" spans="6:6">
      <c r="F39482" s="2423"/>
    </row>
    <row r="39483" spans="6:6">
      <c r="F39483" s="2423"/>
    </row>
    <row r="39484" spans="6:6">
      <c r="F39484" s="2423"/>
    </row>
    <row r="39485" spans="6:6">
      <c r="F39485" s="2423"/>
    </row>
    <row r="39486" spans="6:6">
      <c r="F39486" s="2423"/>
    </row>
    <row r="39487" spans="6:6">
      <c r="F39487" s="2423"/>
    </row>
    <row r="39488" spans="6:6">
      <c r="F39488" s="2423"/>
    </row>
    <row r="39489" spans="6:6">
      <c r="F39489" s="2423"/>
    </row>
    <row r="39490" spans="6:6">
      <c r="F39490" s="2423"/>
    </row>
    <row r="39491" spans="6:6">
      <c r="F39491" s="2423"/>
    </row>
    <row r="39492" spans="6:6">
      <c r="F39492" s="2423"/>
    </row>
    <row r="39493" spans="6:6">
      <c r="F39493" s="2423"/>
    </row>
    <row r="39494" spans="6:6">
      <c r="F39494" s="2423"/>
    </row>
    <row r="39495" spans="6:6">
      <c r="F39495" s="2423"/>
    </row>
    <row r="39496" spans="6:6">
      <c r="F39496" s="2423"/>
    </row>
    <row r="39497" spans="6:6">
      <c r="F39497" s="2423"/>
    </row>
    <row r="39498" spans="6:6">
      <c r="F39498" s="2423"/>
    </row>
    <row r="39499" spans="6:6">
      <c r="F39499" s="2423"/>
    </row>
    <row r="39500" spans="6:6">
      <c r="F39500" s="2423"/>
    </row>
    <row r="39501" spans="6:6">
      <c r="F39501" s="2423"/>
    </row>
    <row r="39502" spans="6:6">
      <c r="F39502" s="2423"/>
    </row>
    <row r="39503" spans="6:6">
      <c r="F39503" s="2423"/>
    </row>
    <row r="39504" spans="6:6">
      <c r="F39504" s="2423"/>
    </row>
    <row r="39505" spans="6:6">
      <c r="F39505" s="2423"/>
    </row>
    <row r="39506" spans="6:6">
      <c r="F39506" s="2423"/>
    </row>
    <row r="39507" spans="6:6">
      <c r="F39507" s="2423"/>
    </row>
    <row r="39508" spans="6:6">
      <c r="F39508" s="2423"/>
    </row>
    <row r="39509" spans="6:6">
      <c r="F39509" s="2423"/>
    </row>
    <row r="39510" spans="6:6">
      <c r="F39510" s="2423"/>
    </row>
    <row r="39511" spans="6:6">
      <c r="F39511" s="2423"/>
    </row>
    <row r="39512" spans="6:6">
      <c r="F39512" s="2423"/>
    </row>
    <row r="39513" spans="6:6">
      <c r="F39513" s="2423"/>
    </row>
    <row r="39514" spans="6:6">
      <c r="F39514" s="2423"/>
    </row>
    <row r="39515" spans="6:6">
      <c r="F39515" s="2423"/>
    </row>
    <row r="39516" spans="6:6">
      <c r="F39516" s="2423"/>
    </row>
    <row r="39517" spans="6:6">
      <c r="F39517" s="2423"/>
    </row>
    <row r="39518" spans="6:6">
      <c r="F39518" s="2423"/>
    </row>
    <row r="39519" spans="6:6">
      <c r="F39519" s="2423"/>
    </row>
    <row r="39520" spans="6:6">
      <c r="F39520" s="2423"/>
    </row>
    <row r="39521" spans="6:6">
      <c r="F39521" s="2423"/>
    </row>
    <row r="39522" spans="6:6">
      <c r="F39522" s="2423"/>
    </row>
    <row r="39523" spans="6:6">
      <c r="F39523" s="2423"/>
    </row>
    <row r="39524" spans="6:6">
      <c r="F39524" s="2423"/>
    </row>
    <row r="39525" spans="6:6">
      <c r="F39525" s="2423"/>
    </row>
    <row r="39526" spans="6:6">
      <c r="F39526" s="2423"/>
    </row>
    <row r="39527" spans="6:6">
      <c r="F39527" s="2423"/>
    </row>
    <row r="39528" spans="6:6">
      <c r="F39528" s="2423"/>
    </row>
    <row r="39529" spans="6:6">
      <c r="F39529" s="2423"/>
    </row>
    <row r="39530" spans="6:6">
      <c r="F39530" s="2423"/>
    </row>
    <row r="39531" spans="6:6">
      <c r="F39531" s="2423"/>
    </row>
    <row r="39532" spans="6:6">
      <c r="F39532" s="2423"/>
    </row>
    <row r="39533" spans="6:6">
      <c r="F39533" s="2423"/>
    </row>
    <row r="39534" spans="6:6">
      <c r="F39534" s="2423"/>
    </row>
    <row r="39535" spans="6:6">
      <c r="F39535" s="2423"/>
    </row>
    <row r="39536" spans="6:6">
      <c r="F39536" s="2423"/>
    </row>
    <row r="39537" spans="6:6">
      <c r="F39537" s="2423"/>
    </row>
    <row r="39538" spans="6:6">
      <c r="F39538" s="2423"/>
    </row>
    <row r="39539" spans="6:6">
      <c r="F39539" s="2423"/>
    </row>
    <row r="39540" spans="6:6">
      <c r="F39540" s="2423"/>
    </row>
    <row r="39541" spans="6:6">
      <c r="F39541" s="2423"/>
    </row>
    <row r="39542" spans="6:6">
      <c r="F39542" s="2423"/>
    </row>
    <row r="39543" spans="6:6">
      <c r="F39543" s="2423"/>
    </row>
    <row r="39544" spans="6:6">
      <c r="F39544" s="2423"/>
    </row>
    <row r="39545" spans="6:6">
      <c r="F39545" s="2423"/>
    </row>
    <row r="39546" spans="6:6">
      <c r="F39546" s="2423"/>
    </row>
    <row r="39547" spans="6:6">
      <c r="F39547" s="2423"/>
    </row>
    <row r="39548" spans="6:6">
      <c r="F39548" s="2423"/>
    </row>
    <row r="39549" spans="6:6">
      <c r="F39549" s="2423"/>
    </row>
    <row r="39550" spans="6:6">
      <c r="F39550" s="2423"/>
    </row>
    <row r="39551" spans="6:6">
      <c r="F39551" s="2423"/>
    </row>
    <row r="39552" spans="6:6">
      <c r="F39552" s="2423"/>
    </row>
    <row r="39553" spans="6:6">
      <c r="F39553" s="2423"/>
    </row>
    <row r="39554" spans="6:6">
      <c r="F39554" s="2423"/>
    </row>
    <row r="39555" spans="6:6">
      <c r="F39555" s="2423"/>
    </row>
    <row r="39556" spans="6:6">
      <c r="F39556" s="2423"/>
    </row>
    <row r="39557" spans="6:6">
      <c r="F39557" s="2423"/>
    </row>
    <row r="39558" spans="6:6">
      <c r="F39558" s="2423"/>
    </row>
    <row r="39559" spans="6:6">
      <c r="F39559" s="2423"/>
    </row>
    <row r="39560" spans="6:6">
      <c r="F39560" s="2423"/>
    </row>
    <row r="39561" spans="6:6">
      <c r="F39561" s="2423"/>
    </row>
    <row r="39562" spans="6:6">
      <c r="F39562" s="2423"/>
    </row>
    <row r="39563" spans="6:6">
      <c r="F39563" s="2423"/>
    </row>
    <row r="39564" spans="6:6">
      <c r="F39564" s="2423"/>
    </row>
    <row r="39565" spans="6:6">
      <c r="F39565" s="2423"/>
    </row>
    <row r="39566" spans="6:6">
      <c r="F39566" s="2423"/>
    </row>
    <row r="39567" spans="6:6">
      <c r="F39567" s="2423"/>
    </row>
    <row r="39568" spans="6:6">
      <c r="F39568" s="2423"/>
    </row>
    <row r="39569" spans="6:6">
      <c r="F39569" s="2423"/>
    </row>
    <row r="39570" spans="6:6">
      <c r="F39570" s="2423"/>
    </row>
    <row r="39571" spans="6:6">
      <c r="F39571" s="2423"/>
    </row>
    <row r="39572" spans="6:6">
      <c r="F39572" s="2423"/>
    </row>
    <row r="39573" spans="6:6">
      <c r="F39573" s="2423"/>
    </row>
    <row r="39574" spans="6:6">
      <c r="F39574" s="2423"/>
    </row>
    <row r="39575" spans="6:6">
      <c r="F39575" s="2423"/>
    </row>
    <row r="39576" spans="6:6">
      <c r="F39576" s="2423"/>
    </row>
    <row r="39577" spans="6:6">
      <c r="F39577" s="2423"/>
    </row>
    <row r="39578" spans="6:6">
      <c r="F39578" s="2423"/>
    </row>
    <row r="39579" spans="6:6">
      <c r="F39579" s="2423"/>
    </row>
    <row r="39580" spans="6:6">
      <c r="F39580" s="2423"/>
    </row>
    <row r="39581" spans="6:6">
      <c r="F39581" s="2423"/>
    </row>
    <row r="39582" spans="6:6">
      <c r="F39582" s="2423"/>
    </row>
    <row r="39583" spans="6:6">
      <c r="F39583" s="2423"/>
    </row>
    <row r="39584" spans="6:6">
      <c r="F39584" s="2423"/>
    </row>
    <row r="39585" spans="6:6">
      <c r="F39585" s="2423"/>
    </row>
    <row r="39586" spans="6:6">
      <c r="F39586" s="2423"/>
    </row>
    <row r="39587" spans="6:6">
      <c r="F39587" s="2423"/>
    </row>
    <row r="39588" spans="6:6">
      <c r="F39588" s="2423"/>
    </row>
    <row r="39589" spans="6:6">
      <c r="F39589" s="2423"/>
    </row>
    <row r="39590" spans="6:6">
      <c r="F39590" s="2423"/>
    </row>
    <row r="39591" spans="6:6">
      <c r="F39591" s="2423"/>
    </row>
    <row r="39592" spans="6:6">
      <c r="F39592" s="2423"/>
    </row>
    <row r="39593" spans="6:6">
      <c r="F39593" s="2423"/>
    </row>
    <row r="39594" spans="6:6">
      <c r="F39594" s="2423"/>
    </row>
    <row r="39595" spans="6:6">
      <c r="F39595" s="2423"/>
    </row>
    <row r="39596" spans="6:6">
      <c r="F39596" s="2423"/>
    </row>
    <row r="39597" spans="6:6">
      <c r="F39597" s="2423"/>
    </row>
    <row r="39598" spans="6:6">
      <c r="F39598" s="2423"/>
    </row>
    <row r="39599" spans="6:6">
      <c r="F39599" s="2423"/>
    </row>
    <row r="39600" spans="6:6">
      <c r="F39600" s="2423"/>
    </row>
    <row r="39601" spans="6:6">
      <c r="F39601" s="2423"/>
    </row>
    <row r="39602" spans="6:6">
      <c r="F39602" s="2423"/>
    </row>
    <row r="39603" spans="6:6">
      <c r="F39603" s="2423"/>
    </row>
    <row r="39604" spans="6:6">
      <c r="F39604" s="2423"/>
    </row>
    <row r="39605" spans="6:6">
      <c r="F39605" s="2423"/>
    </row>
    <row r="39606" spans="6:6">
      <c r="F39606" s="2423"/>
    </row>
    <row r="39607" spans="6:6">
      <c r="F39607" s="2423"/>
    </row>
    <row r="39608" spans="6:6">
      <c r="F39608" s="2423"/>
    </row>
    <row r="39609" spans="6:6">
      <c r="F39609" s="2423"/>
    </row>
    <row r="39610" spans="6:6">
      <c r="F39610" s="2423"/>
    </row>
    <row r="39611" spans="6:6">
      <c r="F39611" s="2423"/>
    </row>
    <row r="39612" spans="6:6">
      <c r="F39612" s="2423"/>
    </row>
    <row r="39613" spans="6:6">
      <c r="F39613" s="2423"/>
    </row>
    <row r="39614" spans="6:6">
      <c r="F39614" s="2423"/>
    </row>
    <row r="39615" spans="6:6">
      <c r="F39615" s="2423"/>
    </row>
    <row r="39616" spans="6:6">
      <c r="F39616" s="2423"/>
    </row>
    <row r="39617" spans="6:6">
      <c r="F39617" s="2423"/>
    </row>
    <row r="39618" spans="6:6">
      <c r="F39618" s="2423"/>
    </row>
    <row r="39619" spans="6:6">
      <c r="F39619" s="2423"/>
    </row>
    <row r="39620" spans="6:6">
      <c r="F39620" s="2423"/>
    </row>
    <row r="39621" spans="6:6">
      <c r="F39621" s="2423"/>
    </row>
    <row r="39622" spans="6:6">
      <c r="F39622" s="2423"/>
    </row>
    <row r="39623" spans="6:6">
      <c r="F39623" s="2423"/>
    </row>
    <row r="39624" spans="6:6">
      <c r="F39624" s="2423"/>
    </row>
    <row r="39625" spans="6:6">
      <c r="F39625" s="2423"/>
    </row>
    <row r="39626" spans="6:6">
      <c r="F39626" s="2423"/>
    </row>
    <row r="39627" spans="6:6">
      <c r="F39627" s="2423"/>
    </row>
    <row r="39628" spans="6:6">
      <c r="F39628" s="2423"/>
    </row>
    <row r="39629" spans="6:6">
      <c r="F39629" s="2423"/>
    </row>
    <row r="39630" spans="6:6">
      <c r="F39630" s="2423"/>
    </row>
    <row r="39631" spans="6:6">
      <c r="F39631" s="2423"/>
    </row>
    <row r="39632" spans="6:6">
      <c r="F39632" s="2423"/>
    </row>
    <row r="39633" spans="6:6">
      <c r="F39633" s="2423"/>
    </row>
    <row r="39634" spans="6:6">
      <c r="F39634" s="2423"/>
    </row>
    <row r="39635" spans="6:6">
      <c r="F39635" s="2423"/>
    </row>
    <row r="39636" spans="6:6">
      <c r="F39636" s="2423"/>
    </row>
    <row r="39637" spans="6:6">
      <c r="F39637" s="2423"/>
    </row>
    <row r="39638" spans="6:6">
      <c r="F39638" s="2423"/>
    </row>
    <row r="39639" spans="6:6">
      <c r="F39639" s="2423"/>
    </row>
    <row r="39640" spans="6:6">
      <c r="F39640" s="2423"/>
    </row>
    <row r="39641" spans="6:6">
      <c r="F39641" s="2423"/>
    </row>
    <row r="39642" spans="6:6">
      <c r="F39642" s="2423"/>
    </row>
    <row r="39643" spans="6:6">
      <c r="F39643" s="2423"/>
    </row>
    <row r="39644" spans="6:6">
      <c r="F39644" s="2423"/>
    </row>
    <row r="39645" spans="6:6">
      <c r="F39645" s="2423"/>
    </row>
    <row r="39646" spans="6:6">
      <c r="F39646" s="2423"/>
    </row>
    <row r="39647" spans="6:6">
      <c r="F39647" s="2423"/>
    </row>
    <row r="39648" spans="6:6">
      <c r="F39648" s="2423"/>
    </row>
    <row r="39649" spans="6:6">
      <c r="F39649" s="2423"/>
    </row>
    <row r="39650" spans="6:6">
      <c r="F39650" s="2423"/>
    </row>
    <row r="39651" spans="6:6">
      <c r="F39651" s="2423"/>
    </row>
    <row r="39652" spans="6:6">
      <c r="F39652" s="2423"/>
    </row>
    <row r="39653" spans="6:6">
      <c r="F39653" s="2423"/>
    </row>
    <row r="39654" spans="6:6">
      <c r="F39654" s="2423"/>
    </row>
    <row r="39655" spans="6:6">
      <c r="F39655" s="2423"/>
    </row>
    <row r="39656" spans="6:6">
      <c r="F39656" s="2423"/>
    </row>
    <row r="39657" spans="6:6">
      <c r="F39657" s="2423"/>
    </row>
    <row r="39658" spans="6:6">
      <c r="F39658" s="2423"/>
    </row>
    <row r="39659" spans="6:6">
      <c r="F39659" s="2423"/>
    </row>
    <row r="39660" spans="6:6">
      <c r="F39660" s="2423"/>
    </row>
    <row r="39661" spans="6:6">
      <c r="F39661" s="2423"/>
    </row>
    <row r="39662" spans="6:6">
      <c r="F39662" s="2423"/>
    </row>
    <row r="39663" spans="6:6">
      <c r="F39663" s="2423"/>
    </row>
    <row r="39664" spans="6:6">
      <c r="F39664" s="2423"/>
    </row>
    <row r="39665" spans="6:6">
      <c r="F39665" s="2423"/>
    </row>
    <row r="39666" spans="6:6">
      <c r="F39666" s="2423"/>
    </row>
    <row r="39667" spans="6:6">
      <c r="F39667" s="2423"/>
    </row>
    <row r="39668" spans="6:6">
      <c r="F39668" s="2423"/>
    </row>
    <row r="39669" spans="6:6">
      <c r="F39669" s="2423"/>
    </row>
    <row r="39670" spans="6:6">
      <c r="F39670" s="2423"/>
    </row>
    <row r="39671" spans="6:6">
      <c r="F39671" s="2423"/>
    </row>
    <row r="39672" spans="6:6">
      <c r="F39672" s="2423"/>
    </row>
    <row r="39673" spans="6:6">
      <c r="F39673" s="2423"/>
    </row>
    <row r="39674" spans="6:6">
      <c r="F39674" s="2423"/>
    </row>
    <row r="39675" spans="6:6">
      <c r="F39675" s="2423"/>
    </row>
    <row r="39676" spans="6:6">
      <c r="F39676" s="2423"/>
    </row>
    <row r="39677" spans="6:6">
      <c r="F39677" s="2423"/>
    </row>
    <row r="39678" spans="6:6">
      <c r="F39678" s="2423"/>
    </row>
    <row r="39679" spans="6:6">
      <c r="F39679" s="2423"/>
    </row>
    <row r="39680" spans="6:6">
      <c r="F39680" s="2423"/>
    </row>
    <row r="39681" spans="6:6">
      <c r="F39681" s="2423"/>
    </row>
    <row r="39682" spans="6:6">
      <c r="F39682" s="2423"/>
    </row>
    <row r="39683" spans="6:6">
      <c r="F39683" s="2423"/>
    </row>
    <row r="39684" spans="6:6">
      <c r="F39684" s="2423"/>
    </row>
    <row r="39685" spans="6:6">
      <c r="F39685" s="2423"/>
    </row>
    <row r="39686" spans="6:6">
      <c r="F39686" s="2423"/>
    </row>
    <row r="39687" spans="6:6">
      <c r="F39687" s="2423"/>
    </row>
    <row r="39688" spans="6:6">
      <c r="F39688" s="2423"/>
    </row>
    <row r="39689" spans="6:6">
      <c r="F39689" s="2423"/>
    </row>
    <row r="39690" spans="6:6">
      <c r="F39690" s="2423"/>
    </row>
    <row r="39691" spans="6:6">
      <c r="F39691" s="2423"/>
    </row>
    <row r="39692" spans="6:6">
      <c r="F39692" s="2423"/>
    </row>
    <row r="39693" spans="6:6">
      <c r="F39693" s="2423"/>
    </row>
    <row r="39694" spans="6:6">
      <c r="F39694" s="2423"/>
    </row>
    <row r="39695" spans="6:6">
      <c r="F39695" s="2423"/>
    </row>
    <row r="39696" spans="6:6">
      <c r="F39696" s="2423"/>
    </row>
    <row r="39697" spans="6:6">
      <c r="F39697" s="2423"/>
    </row>
    <row r="39698" spans="6:6">
      <c r="F39698" s="2423"/>
    </row>
    <row r="39699" spans="6:6">
      <c r="F39699" s="2423"/>
    </row>
    <row r="39700" spans="6:6">
      <c r="F39700" s="2423"/>
    </row>
    <row r="39701" spans="6:6">
      <c r="F39701" s="2423"/>
    </row>
    <row r="39702" spans="6:6">
      <c r="F39702" s="2423"/>
    </row>
    <row r="39703" spans="6:6">
      <c r="F39703" s="2423"/>
    </row>
    <row r="39704" spans="6:6">
      <c r="F39704" s="2423"/>
    </row>
    <row r="39705" spans="6:6">
      <c r="F39705" s="2423"/>
    </row>
    <row r="39706" spans="6:6">
      <c r="F39706" s="2423"/>
    </row>
    <row r="39707" spans="6:6">
      <c r="F39707" s="2423"/>
    </row>
    <row r="39708" spans="6:6">
      <c r="F39708" s="2423"/>
    </row>
    <row r="39709" spans="6:6">
      <c r="F39709" s="2423"/>
    </row>
    <row r="39710" spans="6:6">
      <c r="F39710" s="2423"/>
    </row>
    <row r="39711" spans="6:6">
      <c r="F39711" s="2423"/>
    </row>
    <row r="39712" spans="6:6">
      <c r="F39712" s="2423"/>
    </row>
    <row r="39713" spans="6:6">
      <c r="F39713" s="2423"/>
    </row>
    <row r="39714" spans="6:6">
      <c r="F39714" s="2423"/>
    </row>
    <row r="39715" spans="6:6">
      <c r="F39715" s="2423"/>
    </row>
    <row r="39716" spans="6:6">
      <c r="F39716" s="2423"/>
    </row>
    <row r="39717" spans="6:6">
      <c r="F39717" s="2423"/>
    </row>
    <row r="39718" spans="6:6">
      <c r="F39718" s="2423"/>
    </row>
    <row r="39719" spans="6:6">
      <c r="F39719" s="2423"/>
    </row>
    <row r="39720" spans="6:6">
      <c r="F39720" s="2423"/>
    </row>
    <row r="39721" spans="6:6">
      <c r="F39721" s="2423"/>
    </row>
    <row r="39722" spans="6:6">
      <c r="F39722" s="2423"/>
    </row>
    <row r="39723" spans="6:6">
      <c r="F39723" s="2423"/>
    </row>
    <row r="39724" spans="6:6">
      <c r="F39724" s="2423"/>
    </row>
    <row r="39725" spans="6:6">
      <c r="F39725" s="2423"/>
    </row>
    <row r="39726" spans="6:6">
      <c r="F39726" s="2423"/>
    </row>
    <row r="39727" spans="6:6">
      <c r="F39727" s="2423"/>
    </row>
    <row r="39728" spans="6:6">
      <c r="F39728" s="2423"/>
    </row>
    <row r="39729" spans="6:6">
      <c r="F39729" s="2423"/>
    </row>
    <row r="39730" spans="6:6">
      <c r="F39730" s="2423"/>
    </row>
    <row r="39731" spans="6:6">
      <c r="F39731" s="2423"/>
    </row>
    <row r="39732" spans="6:6">
      <c r="F39732" s="2423"/>
    </row>
    <row r="39733" spans="6:6">
      <c r="F39733" s="2423"/>
    </row>
    <row r="39734" spans="6:6">
      <c r="F39734" s="2423"/>
    </row>
    <row r="39735" spans="6:6">
      <c r="F39735" s="2423"/>
    </row>
    <row r="39736" spans="6:6">
      <c r="F39736" s="2423"/>
    </row>
    <row r="39737" spans="6:6">
      <c r="F39737" s="2423"/>
    </row>
    <row r="39738" spans="6:6">
      <c r="F39738" s="2423"/>
    </row>
    <row r="39739" spans="6:6">
      <c r="F39739" s="2423"/>
    </row>
    <row r="39740" spans="6:6">
      <c r="F39740" s="2423"/>
    </row>
    <row r="39741" spans="6:6">
      <c r="F39741" s="2423"/>
    </row>
    <row r="39742" spans="6:6">
      <c r="F39742" s="2423"/>
    </row>
    <row r="39743" spans="6:6">
      <c r="F39743" s="2423"/>
    </row>
    <row r="39744" spans="6:6">
      <c r="F39744" s="2423"/>
    </row>
    <row r="39745" spans="6:6">
      <c r="F39745" s="2423"/>
    </row>
    <row r="39746" spans="6:6">
      <c r="F39746" s="2423"/>
    </row>
    <row r="39747" spans="6:6">
      <c r="F39747" s="2423"/>
    </row>
    <row r="39748" spans="6:6">
      <c r="F39748" s="2423"/>
    </row>
    <row r="39749" spans="6:6">
      <c r="F39749" s="2423"/>
    </row>
    <row r="39750" spans="6:6">
      <c r="F39750" s="2423"/>
    </row>
    <row r="39751" spans="6:6">
      <c r="F39751" s="2423"/>
    </row>
    <row r="39752" spans="6:6">
      <c r="F39752" s="2423"/>
    </row>
    <row r="39753" spans="6:6">
      <c r="F39753" s="2423"/>
    </row>
    <row r="39754" spans="6:6">
      <c r="F39754" s="2423"/>
    </row>
    <row r="39755" spans="6:6">
      <c r="F39755" s="2423"/>
    </row>
    <row r="39756" spans="6:6">
      <c r="F39756" s="2423"/>
    </row>
    <row r="39757" spans="6:6">
      <c r="F39757" s="2423"/>
    </row>
    <row r="39758" spans="6:6">
      <c r="F39758" s="2423"/>
    </row>
    <row r="39759" spans="6:6">
      <c r="F39759" s="2423"/>
    </row>
    <row r="39760" spans="6:6">
      <c r="F39760" s="2423"/>
    </row>
    <row r="39761" spans="6:6">
      <c r="F39761" s="2423"/>
    </row>
    <row r="39762" spans="6:6">
      <c r="F39762" s="2423"/>
    </row>
    <row r="39763" spans="6:6">
      <c r="F39763" s="2423"/>
    </row>
    <row r="39764" spans="6:6">
      <c r="F39764" s="2423"/>
    </row>
    <row r="39765" spans="6:6">
      <c r="F39765" s="2423"/>
    </row>
    <row r="39766" spans="6:6">
      <c r="F39766" s="2423"/>
    </row>
    <row r="39767" spans="6:6">
      <c r="F39767" s="2423"/>
    </row>
    <row r="39768" spans="6:6">
      <c r="F39768" s="2423"/>
    </row>
    <row r="39769" spans="6:6">
      <c r="F39769" s="2423"/>
    </row>
    <row r="39770" spans="6:6">
      <c r="F39770" s="2423"/>
    </row>
    <row r="39771" spans="6:6">
      <c r="F39771" s="2423"/>
    </row>
    <row r="39772" spans="6:6">
      <c r="F39772" s="2423"/>
    </row>
    <row r="39773" spans="6:6">
      <c r="F39773" s="2423"/>
    </row>
    <row r="39774" spans="6:6">
      <c r="F39774" s="2423"/>
    </row>
    <row r="39775" spans="6:6">
      <c r="F39775" s="2423"/>
    </row>
    <row r="39776" spans="6:6">
      <c r="F39776" s="2423"/>
    </row>
    <row r="39777" spans="6:6">
      <c r="F39777" s="2423"/>
    </row>
    <row r="39778" spans="6:6">
      <c r="F39778" s="2423"/>
    </row>
    <row r="39779" spans="6:6">
      <c r="F39779" s="2423"/>
    </row>
    <row r="39780" spans="6:6">
      <c r="F39780" s="2423"/>
    </row>
    <row r="39781" spans="6:6">
      <c r="F39781" s="2423"/>
    </row>
    <row r="39782" spans="6:6">
      <c r="F39782" s="2423"/>
    </row>
    <row r="39783" spans="6:6">
      <c r="F39783" s="2423"/>
    </row>
    <row r="39784" spans="6:6">
      <c r="F39784" s="2423"/>
    </row>
    <row r="39785" spans="6:6">
      <c r="F39785" s="2423"/>
    </row>
    <row r="39786" spans="6:6">
      <c r="F39786" s="2423"/>
    </row>
    <row r="39787" spans="6:6">
      <c r="F39787" s="2423"/>
    </row>
    <row r="39788" spans="6:6">
      <c r="F39788" s="2423"/>
    </row>
    <row r="39789" spans="6:6">
      <c r="F39789" s="2423"/>
    </row>
    <row r="39790" spans="6:6">
      <c r="F39790" s="2423"/>
    </row>
    <row r="39791" spans="6:6">
      <c r="F39791" s="2423"/>
    </row>
    <row r="39792" spans="6:6">
      <c r="F39792" s="2423"/>
    </row>
    <row r="39793" spans="6:6">
      <c r="F39793" s="2423"/>
    </row>
    <row r="39794" spans="6:6">
      <c r="F39794" s="2423"/>
    </row>
    <row r="39795" spans="6:6">
      <c r="F39795" s="2423"/>
    </row>
    <row r="39796" spans="6:6">
      <c r="F39796" s="2423"/>
    </row>
    <row r="39797" spans="6:6">
      <c r="F39797" s="2423"/>
    </row>
    <row r="39798" spans="6:6">
      <c r="F39798" s="2423"/>
    </row>
    <row r="39799" spans="6:6">
      <c r="F39799" s="2423"/>
    </row>
    <row r="39800" spans="6:6">
      <c r="F39800" s="2423"/>
    </row>
    <row r="39801" spans="6:6">
      <c r="F39801" s="2423"/>
    </row>
    <row r="39802" spans="6:6">
      <c r="F39802" s="2423"/>
    </row>
    <row r="39803" spans="6:6">
      <c r="F39803" s="2423"/>
    </row>
    <row r="39804" spans="6:6">
      <c r="F39804" s="2423"/>
    </row>
    <row r="39805" spans="6:6">
      <c r="F39805" s="2423"/>
    </row>
    <row r="39806" spans="6:6">
      <c r="F39806" s="2423"/>
    </row>
    <row r="39807" spans="6:6">
      <c r="F39807" s="2423"/>
    </row>
    <row r="39808" spans="6:6">
      <c r="F39808" s="2423"/>
    </row>
    <row r="39809" spans="6:6">
      <c r="F39809" s="2423"/>
    </row>
    <row r="39810" spans="6:6">
      <c r="F39810" s="2423"/>
    </row>
    <row r="39811" spans="6:6">
      <c r="F39811" s="2423"/>
    </row>
    <row r="39812" spans="6:6">
      <c r="F39812" s="2423"/>
    </row>
    <row r="39813" spans="6:6">
      <c r="F39813" s="2423"/>
    </row>
    <row r="39814" spans="6:6">
      <c r="F39814" s="2423"/>
    </row>
    <row r="39815" spans="6:6">
      <c r="F39815" s="2423"/>
    </row>
    <row r="39816" spans="6:6">
      <c r="F39816" s="2423"/>
    </row>
    <row r="39817" spans="6:6">
      <c r="F39817" s="2423"/>
    </row>
    <row r="39818" spans="6:6">
      <c r="F39818" s="2423"/>
    </row>
    <row r="39819" spans="6:6">
      <c r="F39819" s="2423"/>
    </row>
    <row r="39820" spans="6:6">
      <c r="F39820" s="2423"/>
    </row>
    <row r="39821" spans="6:6">
      <c r="F39821" s="2423"/>
    </row>
    <row r="39822" spans="6:6">
      <c r="F39822" s="2423"/>
    </row>
    <row r="39823" spans="6:6">
      <c r="F39823" s="2423"/>
    </row>
    <row r="39824" spans="6:6">
      <c r="F39824" s="2423"/>
    </row>
    <row r="39825" spans="6:6">
      <c r="F39825" s="2423"/>
    </row>
    <row r="39826" spans="6:6">
      <c r="F39826" s="2423"/>
    </row>
    <row r="39827" spans="6:6">
      <c r="F39827" s="2423"/>
    </row>
    <row r="39828" spans="6:6">
      <c r="F39828" s="2423"/>
    </row>
    <row r="39829" spans="6:6">
      <c r="F39829" s="2423"/>
    </row>
    <row r="39830" spans="6:6">
      <c r="F39830" s="2423"/>
    </row>
    <row r="39831" spans="6:6">
      <c r="F39831" s="2423"/>
    </row>
    <row r="39832" spans="6:6">
      <c r="F39832" s="2423"/>
    </row>
    <row r="39833" spans="6:6">
      <c r="F39833" s="2423"/>
    </row>
    <row r="39834" spans="6:6">
      <c r="F39834" s="2423"/>
    </row>
    <row r="39835" spans="6:6">
      <c r="F39835" s="2423"/>
    </row>
    <row r="39836" spans="6:6">
      <c r="F39836" s="2423"/>
    </row>
    <row r="39837" spans="6:6">
      <c r="F39837" s="2423"/>
    </row>
    <row r="39838" spans="6:6">
      <c r="F39838" s="2423"/>
    </row>
    <row r="39839" spans="6:6">
      <c r="F39839" s="2423"/>
    </row>
    <row r="39840" spans="6:6">
      <c r="F39840" s="2423"/>
    </row>
    <row r="39841" spans="6:6">
      <c r="F39841" s="2423"/>
    </row>
    <row r="39842" spans="6:6">
      <c r="F39842" s="2423"/>
    </row>
    <row r="39843" spans="6:6">
      <c r="F39843" s="2423"/>
    </row>
    <row r="39844" spans="6:6">
      <c r="F39844" s="2423"/>
    </row>
    <row r="39845" spans="6:6">
      <c r="F39845" s="2423"/>
    </row>
    <row r="39846" spans="6:6">
      <c r="F39846" s="2423"/>
    </row>
    <row r="39847" spans="6:6">
      <c r="F39847" s="2423"/>
    </row>
    <row r="39848" spans="6:6">
      <c r="F39848" s="2423"/>
    </row>
    <row r="39849" spans="6:6">
      <c r="F39849" s="2423"/>
    </row>
    <row r="39850" spans="6:6">
      <c r="F39850" s="2423"/>
    </row>
    <row r="39851" spans="6:6">
      <c r="F39851" s="2423"/>
    </row>
    <row r="39852" spans="6:6">
      <c r="F39852" s="2423"/>
    </row>
    <row r="39853" spans="6:6">
      <c r="F39853" s="2423"/>
    </row>
    <row r="39854" spans="6:6">
      <c r="F39854" s="2423"/>
    </row>
    <row r="39855" spans="6:6">
      <c r="F39855" s="2423"/>
    </row>
    <row r="39856" spans="6:6">
      <c r="F39856" s="2423"/>
    </row>
    <row r="39857" spans="6:6">
      <c r="F39857" s="2423"/>
    </row>
    <row r="39858" spans="6:6">
      <c r="F39858" s="2423"/>
    </row>
    <row r="39859" spans="6:6">
      <c r="F39859" s="2423"/>
    </row>
    <row r="39860" spans="6:6">
      <c r="F39860" s="2423"/>
    </row>
    <row r="39861" spans="6:6">
      <c r="F39861" s="2423"/>
    </row>
    <row r="39862" spans="6:6">
      <c r="F39862" s="2423"/>
    </row>
    <row r="39863" spans="6:6">
      <c r="F39863" s="2423"/>
    </row>
    <row r="39864" spans="6:6">
      <c r="F39864" s="2423"/>
    </row>
    <row r="39865" spans="6:6">
      <c r="F39865" s="2423"/>
    </row>
    <row r="39866" spans="6:6">
      <c r="F39866" s="2423"/>
    </row>
    <row r="39867" spans="6:6">
      <c r="F39867" s="2423"/>
    </row>
    <row r="39868" spans="6:6">
      <c r="F39868" s="2423"/>
    </row>
    <row r="39869" spans="6:6">
      <c r="F39869" s="2423"/>
    </row>
    <row r="39870" spans="6:6">
      <c r="F39870" s="2423"/>
    </row>
    <row r="39871" spans="6:6">
      <c r="F39871" s="2423"/>
    </row>
    <row r="39872" spans="6:6">
      <c r="F39872" s="2423"/>
    </row>
    <row r="39873" spans="6:6">
      <c r="F39873" s="2423"/>
    </row>
    <row r="39874" spans="6:6">
      <c r="F39874" s="2423"/>
    </row>
    <row r="39875" spans="6:6">
      <c r="F39875" s="2423"/>
    </row>
    <row r="39876" spans="6:6">
      <c r="F39876" s="2423"/>
    </row>
    <row r="39877" spans="6:6">
      <c r="F39877" s="2423"/>
    </row>
    <row r="39878" spans="6:6">
      <c r="F39878" s="2423"/>
    </row>
    <row r="39879" spans="6:6">
      <c r="F39879" s="2423"/>
    </row>
    <row r="39880" spans="6:6">
      <c r="F39880" s="2423"/>
    </row>
    <row r="39881" spans="6:6">
      <c r="F39881" s="2423"/>
    </row>
    <row r="39882" spans="6:6">
      <c r="F39882" s="2423"/>
    </row>
    <row r="39883" spans="6:6">
      <c r="F39883" s="2423"/>
    </row>
    <row r="39884" spans="6:6">
      <c r="F39884" s="2423"/>
    </row>
    <row r="39885" spans="6:6">
      <c r="F39885" s="2423"/>
    </row>
    <row r="39886" spans="6:6">
      <c r="F39886" s="2423"/>
    </row>
    <row r="39887" spans="6:6">
      <c r="F39887" s="2423"/>
    </row>
    <row r="39888" spans="6:6">
      <c r="F39888" s="2423"/>
    </row>
    <row r="39889" spans="6:6">
      <c r="F39889" s="2423"/>
    </row>
    <row r="39890" spans="6:6">
      <c r="F39890" s="2423"/>
    </row>
    <row r="39891" spans="6:6">
      <c r="F39891" s="2423"/>
    </row>
    <row r="39892" spans="6:6">
      <c r="F39892" s="2423"/>
    </row>
    <row r="39893" spans="6:6">
      <c r="F39893" s="2423"/>
    </row>
    <row r="39894" spans="6:6">
      <c r="F39894" s="2423"/>
    </row>
    <row r="39895" spans="6:6">
      <c r="F39895" s="2423"/>
    </row>
    <row r="39896" spans="6:6">
      <c r="F39896" s="2423"/>
    </row>
    <row r="39897" spans="6:6">
      <c r="F39897" s="2423"/>
    </row>
    <row r="39898" spans="6:6">
      <c r="F39898" s="2423"/>
    </row>
    <row r="39899" spans="6:6">
      <c r="F39899" s="2423"/>
    </row>
    <row r="39900" spans="6:6">
      <c r="F39900" s="2423"/>
    </row>
    <row r="39901" spans="6:6">
      <c r="F39901" s="2423"/>
    </row>
    <row r="39902" spans="6:6">
      <c r="F39902" s="2423"/>
    </row>
    <row r="39903" spans="6:6">
      <c r="F39903" s="2423"/>
    </row>
    <row r="39904" spans="6:6">
      <c r="F39904" s="2423"/>
    </row>
    <row r="39905" spans="6:6">
      <c r="F39905" s="2423"/>
    </row>
    <row r="39906" spans="6:6">
      <c r="F39906" s="2423"/>
    </row>
    <row r="39907" spans="6:6">
      <c r="F39907" s="2423"/>
    </row>
    <row r="39908" spans="6:6">
      <c r="F39908" s="2423"/>
    </row>
    <row r="39909" spans="6:6">
      <c r="F39909" s="2423"/>
    </row>
    <row r="39910" spans="6:6">
      <c r="F39910" s="2423"/>
    </row>
    <row r="39911" spans="6:6">
      <c r="F39911" s="2423"/>
    </row>
    <row r="39912" spans="6:6">
      <c r="F39912" s="2423"/>
    </row>
    <row r="39913" spans="6:6">
      <c r="F39913" s="2423"/>
    </row>
    <row r="39914" spans="6:6">
      <c r="F39914" s="2423"/>
    </row>
    <row r="39915" spans="6:6">
      <c r="F39915" s="2423"/>
    </row>
    <row r="39916" spans="6:6">
      <c r="F39916" s="2423"/>
    </row>
    <row r="39917" spans="6:6">
      <c r="F39917" s="2423"/>
    </row>
    <row r="39918" spans="6:6">
      <c r="F39918" s="2423"/>
    </row>
    <row r="39919" spans="6:6">
      <c r="F39919" s="2423"/>
    </row>
    <row r="39920" spans="6:6">
      <c r="F39920" s="2423"/>
    </row>
    <row r="39921" spans="6:6">
      <c r="F39921" s="2423"/>
    </row>
    <row r="39922" spans="6:6">
      <c r="F39922" s="2423"/>
    </row>
    <row r="39923" spans="6:6">
      <c r="F39923" s="2423"/>
    </row>
    <row r="39924" spans="6:6">
      <c r="F39924" s="2423"/>
    </row>
    <row r="39925" spans="6:6">
      <c r="F39925" s="2423"/>
    </row>
    <row r="39926" spans="6:6">
      <c r="F39926" s="2423"/>
    </row>
    <row r="39927" spans="6:6">
      <c r="F39927" s="2423"/>
    </row>
    <row r="39928" spans="6:6">
      <c r="F39928" s="2423"/>
    </row>
    <row r="39929" spans="6:6">
      <c r="F39929" s="2423"/>
    </row>
    <row r="39930" spans="6:6">
      <c r="F39930" s="2423"/>
    </row>
    <row r="39931" spans="6:6">
      <c r="F39931" s="2423"/>
    </row>
    <row r="39932" spans="6:6">
      <c r="F39932" s="2423"/>
    </row>
    <row r="39933" spans="6:6">
      <c r="F39933" s="2423"/>
    </row>
    <row r="39934" spans="6:6">
      <c r="F39934" s="2423"/>
    </row>
    <row r="39935" spans="6:6">
      <c r="F39935" s="2423"/>
    </row>
    <row r="39936" spans="6:6">
      <c r="F39936" s="2423"/>
    </row>
    <row r="39937" spans="6:6">
      <c r="F39937" s="2423"/>
    </row>
    <row r="39938" spans="6:6">
      <c r="F39938" s="2423"/>
    </row>
    <row r="39939" spans="6:6">
      <c r="F39939" s="2423"/>
    </row>
    <row r="39940" spans="6:6">
      <c r="F39940" s="2423"/>
    </row>
    <row r="39941" spans="6:6">
      <c r="F39941" s="2423"/>
    </row>
    <row r="39942" spans="6:6">
      <c r="F39942" s="2423"/>
    </row>
    <row r="39943" spans="6:6">
      <c r="F39943" s="2423"/>
    </row>
    <row r="39944" spans="6:6">
      <c r="F39944" s="2423"/>
    </row>
    <row r="39945" spans="6:6">
      <c r="F39945" s="2423"/>
    </row>
    <row r="39946" spans="6:6">
      <c r="F39946" s="2423"/>
    </row>
    <row r="39947" spans="6:6">
      <c r="F39947" s="2423"/>
    </row>
    <row r="39948" spans="6:6">
      <c r="F39948" s="2423"/>
    </row>
    <row r="39949" spans="6:6">
      <c r="F39949" s="2423"/>
    </row>
    <row r="39950" spans="6:6">
      <c r="F39950" s="2423"/>
    </row>
    <row r="39951" spans="6:6">
      <c r="F39951" s="2423"/>
    </row>
    <row r="39952" spans="6:6">
      <c r="F39952" s="2423"/>
    </row>
    <row r="39953" spans="6:6">
      <c r="F39953" s="2423"/>
    </row>
    <row r="39954" spans="6:6">
      <c r="F39954" s="2423"/>
    </row>
    <row r="39955" spans="6:6">
      <c r="F39955" s="2423"/>
    </row>
    <row r="39956" spans="6:6">
      <c r="F39956" s="2423"/>
    </row>
    <row r="39957" spans="6:6">
      <c r="F39957" s="2423"/>
    </row>
    <row r="39958" spans="6:6">
      <c r="F39958" s="2423"/>
    </row>
    <row r="39959" spans="6:6">
      <c r="F39959" s="2423"/>
    </row>
    <row r="39960" spans="6:6">
      <c r="F39960" s="2423"/>
    </row>
    <row r="39961" spans="6:6">
      <c r="F39961" s="2423"/>
    </row>
    <row r="39962" spans="6:6">
      <c r="F39962" s="2423"/>
    </row>
    <row r="39963" spans="6:6">
      <c r="F39963" s="2423"/>
    </row>
    <row r="39964" spans="6:6">
      <c r="F39964" s="2423"/>
    </row>
    <row r="39965" spans="6:6">
      <c r="F39965" s="2423"/>
    </row>
    <row r="39966" spans="6:6">
      <c r="F39966" s="2423"/>
    </row>
    <row r="39967" spans="6:6">
      <c r="F39967" s="2423"/>
    </row>
    <row r="39968" spans="6:6">
      <c r="F39968" s="2423"/>
    </row>
    <row r="39969" spans="6:6">
      <c r="F39969" s="2423"/>
    </row>
    <row r="39970" spans="6:6">
      <c r="F39970" s="2423"/>
    </row>
    <row r="39971" spans="6:6">
      <c r="F39971" s="2423"/>
    </row>
    <row r="39972" spans="6:6">
      <c r="F39972" s="2423"/>
    </row>
    <row r="39973" spans="6:6">
      <c r="F39973" s="2423"/>
    </row>
    <row r="39974" spans="6:6">
      <c r="F39974" s="2423"/>
    </row>
    <row r="39975" spans="6:6">
      <c r="F39975" s="2423"/>
    </row>
    <row r="39976" spans="6:6">
      <c r="F39976" s="2423"/>
    </row>
    <row r="39977" spans="6:6">
      <c r="F39977" s="2423"/>
    </row>
    <row r="39978" spans="6:6">
      <c r="F39978" s="2423"/>
    </row>
    <row r="39979" spans="6:6">
      <c r="F39979" s="2423"/>
    </row>
    <row r="39980" spans="6:6">
      <c r="F39980" s="2423"/>
    </row>
    <row r="39981" spans="6:6">
      <c r="F39981" s="2423"/>
    </row>
    <row r="39982" spans="6:6">
      <c r="F39982" s="2423"/>
    </row>
    <row r="39983" spans="6:6">
      <c r="F39983" s="2423"/>
    </row>
    <row r="39984" spans="6:6">
      <c r="F39984" s="2423"/>
    </row>
    <row r="39985" spans="6:6">
      <c r="F39985" s="2423"/>
    </row>
    <row r="39986" spans="6:6">
      <c r="F39986" s="2423"/>
    </row>
    <row r="39987" spans="6:6">
      <c r="F39987" s="2423"/>
    </row>
    <row r="39988" spans="6:6">
      <c r="F39988" s="2423"/>
    </row>
    <row r="39989" spans="6:6">
      <c r="F39989" s="2423"/>
    </row>
    <row r="39990" spans="6:6">
      <c r="F39990" s="2423"/>
    </row>
    <row r="39991" spans="6:6">
      <c r="F39991" s="2423"/>
    </row>
    <row r="39992" spans="6:6">
      <c r="F39992" s="2423"/>
    </row>
    <row r="39993" spans="6:6">
      <c r="F39993" s="2423"/>
    </row>
    <row r="39994" spans="6:6">
      <c r="F39994" s="2423"/>
    </row>
    <row r="39995" spans="6:6">
      <c r="F39995" s="2423"/>
    </row>
    <row r="39996" spans="6:6">
      <c r="F39996" s="2423"/>
    </row>
    <row r="39997" spans="6:6">
      <c r="F39997" s="2423"/>
    </row>
    <row r="39998" spans="6:6">
      <c r="F39998" s="2423"/>
    </row>
    <row r="39999" spans="6:6">
      <c r="F39999" s="2423"/>
    </row>
    <row r="40000" spans="6:6">
      <c r="F40000" s="2423"/>
    </row>
    <row r="40001" spans="6:6">
      <c r="F40001" s="2423"/>
    </row>
    <row r="40002" spans="6:6">
      <c r="F40002" s="2423"/>
    </row>
    <row r="40003" spans="6:6">
      <c r="F40003" s="2423"/>
    </row>
    <row r="40004" spans="6:6">
      <c r="F40004" s="2423"/>
    </row>
    <row r="40005" spans="6:6">
      <c r="F40005" s="2423"/>
    </row>
    <row r="40006" spans="6:6">
      <c r="F40006" s="2423"/>
    </row>
    <row r="40007" spans="6:6">
      <c r="F40007" s="2423"/>
    </row>
    <row r="40008" spans="6:6">
      <c r="F40008" s="2423"/>
    </row>
    <row r="40009" spans="6:6">
      <c r="F40009" s="2423"/>
    </row>
    <row r="40010" spans="6:6">
      <c r="F40010" s="2423"/>
    </row>
    <row r="40011" spans="6:6">
      <c r="F40011" s="2423"/>
    </row>
    <row r="40012" spans="6:6">
      <c r="F40012" s="2423"/>
    </row>
    <row r="40013" spans="6:6">
      <c r="F40013" s="2423"/>
    </row>
    <row r="40014" spans="6:6">
      <c r="F40014" s="2423"/>
    </row>
    <row r="40015" spans="6:6">
      <c r="F40015" s="2423"/>
    </row>
    <row r="40016" spans="6:6">
      <c r="F40016" s="2423"/>
    </row>
    <row r="40017" spans="6:6">
      <c r="F40017" s="2423"/>
    </row>
    <row r="40018" spans="6:6">
      <c r="F40018" s="2423"/>
    </row>
    <row r="40019" spans="6:6">
      <c r="F40019" s="2423"/>
    </row>
    <row r="40020" spans="6:6">
      <c r="F40020" s="2423"/>
    </row>
    <row r="40021" spans="6:6">
      <c r="F40021" s="2423"/>
    </row>
    <row r="40022" spans="6:6">
      <c r="F40022" s="2423"/>
    </row>
    <row r="40023" spans="6:6">
      <c r="F40023" s="2423"/>
    </row>
    <row r="40024" spans="6:6">
      <c r="F40024" s="2423"/>
    </row>
    <row r="40025" spans="6:6">
      <c r="F40025" s="2423"/>
    </row>
    <row r="40026" spans="6:6">
      <c r="F40026" s="2423"/>
    </row>
    <row r="40027" spans="6:6">
      <c r="F40027" s="2423"/>
    </row>
    <row r="40028" spans="6:6">
      <c r="F40028" s="2423"/>
    </row>
    <row r="40029" spans="6:6">
      <c r="F40029" s="2423"/>
    </row>
    <row r="40030" spans="6:6">
      <c r="F40030" s="2423"/>
    </row>
    <row r="40031" spans="6:6">
      <c r="F40031" s="2423"/>
    </row>
    <row r="40032" spans="6:6">
      <c r="F40032" s="2423"/>
    </row>
    <row r="40033" spans="6:6">
      <c r="F40033" s="2423"/>
    </row>
    <row r="40034" spans="6:6">
      <c r="F40034" s="2423"/>
    </row>
    <row r="40035" spans="6:6">
      <c r="F40035" s="2423"/>
    </row>
    <row r="40036" spans="6:6">
      <c r="F40036" s="2423"/>
    </row>
    <row r="40037" spans="6:6">
      <c r="F40037" s="2423"/>
    </row>
    <row r="40038" spans="6:6">
      <c r="F40038" s="2423"/>
    </row>
    <row r="40039" spans="6:6">
      <c r="F40039" s="2423"/>
    </row>
    <row r="40040" spans="6:6">
      <c r="F40040" s="2423"/>
    </row>
    <row r="40041" spans="6:6">
      <c r="F40041" s="2423"/>
    </row>
    <row r="40042" spans="6:6">
      <c r="F40042" s="2423"/>
    </row>
    <row r="40043" spans="6:6">
      <c r="F40043" s="2423"/>
    </row>
    <row r="40044" spans="6:6">
      <c r="F40044" s="2423"/>
    </row>
    <row r="40045" spans="6:6">
      <c r="F40045" s="2423"/>
    </row>
    <row r="40046" spans="6:6">
      <c r="F40046" s="2423"/>
    </row>
    <row r="40047" spans="6:6">
      <c r="F40047" s="2423"/>
    </row>
    <row r="40048" spans="6:6">
      <c r="F40048" s="2423"/>
    </row>
    <row r="40049" spans="6:6">
      <c r="F40049" s="2423"/>
    </row>
    <row r="40050" spans="6:6">
      <c r="F40050" s="2423"/>
    </row>
    <row r="40051" spans="6:6">
      <c r="F40051" s="2423"/>
    </row>
    <row r="40052" spans="6:6">
      <c r="F40052" s="2423"/>
    </row>
    <row r="40053" spans="6:6">
      <c r="F40053" s="2423"/>
    </row>
    <row r="40054" spans="6:6">
      <c r="F40054" s="2423"/>
    </row>
    <row r="40055" spans="6:6">
      <c r="F40055" s="2423"/>
    </row>
    <row r="40056" spans="6:6">
      <c r="F40056" s="2423"/>
    </row>
    <row r="40057" spans="6:6">
      <c r="F40057" s="2423"/>
    </row>
    <row r="40058" spans="6:6">
      <c r="F40058" s="2423"/>
    </row>
    <row r="40059" spans="6:6">
      <c r="F40059" s="2423"/>
    </row>
    <row r="40060" spans="6:6">
      <c r="F40060" s="2423"/>
    </row>
    <row r="40061" spans="6:6">
      <c r="F40061" s="2423"/>
    </row>
    <row r="40062" spans="6:6">
      <c r="F40062" s="2423"/>
    </row>
    <row r="40063" spans="6:6">
      <c r="F40063" s="2423"/>
    </row>
    <row r="40064" spans="6:6">
      <c r="F40064" s="2423"/>
    </row>
    <row r="40065" spans="6:6">
      <c r="F40065" s="2423"/>
    </row>
    <row r="40066" spans="6:6">
      <c r="F40066" s="2423"/>
    </row>
    <row r="40067" spans="6:6">
      <c r="F40067" s="2423"/>
    </row>
    <row r="40068" spans="6:6">
      <c r="F40068" s="2423"/>
    </row>
    <row r="40069" spans="6:6">
      <c r="F40069" s="2423"/>
    </row>
    <row r="40070" spans="6:6">
      <c r="F40070" s="2423"/>
    </row>
    <row r="40071" spans="6:6">
      <c r="F40071" s="2423"/>
    </row>
    <row r="40072" spans="6:6">
      <c r="F40072" s="2423"/>
    </row>
    <row r="40073" spans="6:6">
      <c r="F40073" s="2423"/>
    </row>
    <row r="40074" spans="6:6">
      <c r="F40074" s="2423"/>
    </row>
    <row r="40075" spans="6:6">
      <c r="F40075" s="2423"/>
    </row>
    <row r="40076" spans="6:6">
      <c r="F40076" s="2423"/>
    </row>
    <row r="40077" spans="6:6">
      <c r="F40077" s="2423"/>
    </row>
    <row r="40078" spans="6:6">
      <c r="F40078" s="2423"/>
    </row>
    <row r="40079" spans="6:6">
      <c r="F40079" s="2423"/>
    </row>
    <row r="40080" spans="6:6">
      <c r="F40080" s="2423"/>
    </row>
    <row r="40081" spans="6:6">
      <c r="F40081" s="2423"/>
    </row>
    <row r="40082" spans="6:6">
      <c r="F40082" s="2423"/>
    </row>
    <row r="40083" spans="6:6">
      <c r="F40083" s="2423"/>
    </row>
    <row r="40084" spans="6:6">
      <c r="F40084" s="2423"/>
    </row>
    <row r="40085" spans="6:6">
      <c r="F40085" s="2423"/>
    </row>
    <row r="40086" spans="6:6">
      <c r="F40086" s="2423"/>
    </row>
    <row r="40087" spans="6:6">
      <c r="F40087" s="2423"/>
    </row>
    <row r="40088" spans="6:6">
      <c r="F40088" s="2423"/>
    </row>
    <row r="40089" spans="6:6">
      <c r="F40089" s="2423"/>
    </row>
    <row r="40090" spans="6:6">
      <c r="F40090" s="2423"/>
    </row>
    <row r="40091" spans="6:6">
      <c r="F40091" s="2423"/>
    </row>
    <row r="40092" spans="6:6">
      <c r="F40092" s="2423"/>
    </row>
    <row r="40093" spans="6:6">
      <c r="F40093" s="2423"/>
    </row>
    <row r="40094" spans="6:6">
      <c r="F40094" s="2423"/>
    </row>
    <row r="40095" spans="6:6">
      <c r="F40095" s="2423"/>
    </row>
    <row r="40096" spans="6:6">
      <c r="F40096" s="2423"/>
    </row>
    <row r="40097" spans="6:6">
      <c r="F40097" s="2423"/>
    </row>
    <row r="40098" spans="6:6">
      <c r="F40098" s="2423"/>
    </row>
    <row r="40099" spans="6:6">
      <c r="F40099" s="2423"/>
    </row>
    <row r="40100" spans="6:6">
      <c r="F40100" s="2423"/>
    </row>
    <row r="40101" spans="6:6">
      <c r="F40101" s="2423"/>
    </row>
    <row r="40102" spans="6:6">
      <c r="F40102" s="2423"/>
    </row>
    <row r="40103" spans="6:6">
      <c r="F40103" s="2423"/>
    </row>
    <row r="40104" spans="6:6">
      <c r="F40104" s="2423"/>
    </row>
    <row r="40105" spans="6:6">
      <c r="F40105" s="2423"/>
    </row>
    <row r="40106" spans="6:6">
      <c r="F40106" s="2423"/>
    </row>
    <row r="40107" spans="6:6">
      <c r="F40107" s="2423"/>
    </row>
    <row r="40108" spans="6:6">
      <c r="F40108" s="2423"/>
    </row>
    <row r="40109" spans="6:6">
      <c r="F40109" s="2423"/>
    </row>
    <row r="40110" spans="6:6">
      <c r="F40110" s="2423"/>
    </row>
    <row r="40111" spans="6:6">
      <c r="F40111" s="2423"/>
    </row>
    <row r="40112" spans="6:6">
      <c r="F40112" s="2423"/>
    </row>
    <row r="40113" spans="6:6">
      <c r="F40113" s="2423"/>
    </row>
    <row r="40114" spans="6:6">
      <c r="F40114" s="2423"/>
    </row>
    <row r="40115" spans="6:6">
      <c r="F40115" s="2423"/>
    </row>
    <row r="40116" spans="6:6">
      <c r="F40116" s="2423"/>
    </row>
    <row r="40117" spans="6:6">
      <c r="F40117" s="2423"/>
    </row>
    <row r="40118" spans="6:6">
      <c r="F40118" s="2423"/>
    </row>
    <row r="40119" spans="6:6">
      <c r="F40119" s="2423"/>
    </row>
    <row r="40120" spans="6:6">
      <c r="F40120" s="2423"/>
    </row>
    <row r="40121" spans="6:6">
      <c r="F40121" s="2423"/>
    </row>
    <row r="40122" spans="6:6">
      <c r="F40122" s="2423"/>
    </row>
    <row r="40123" spans="6:6">
      <c r="F40123" s="2423"/>
    </row>
    <row r="40124" spans="6:6">
      <c r="F40124" s="2423"/>
    </row>
    <row r="40125" spans="6:6">
      <c r="F40125" s="2423"/>
    </row>
    <row r="40126" spans="6:6">
      <c r="F40126" s="2423"/>
    </row>
    <row r="40127" spans="6:6">
      <c r="F40127" s="2423"/>
    </row>
    <row r="40128" spans="6:6">
      <c r="F40128" s="2423"/>
    </row>
    <row r="40129" spans="6:6">
      <c r="F40129" s="2423"/>
    </row>
    <row r="40130" spans="6:6">
      <c r="F40130" s="2423"/>
    </row>
    <row r="40131" spans="6:6">
      <c r="F40131" s="2423"/>
    </row>
    <row r="40132" spans="6:6">
      <c r="F40132" s="2423"/>
    </row>
    <row r="40133" spans="6:6">
      <c r="F40133" s="2423"/>
    </row>
    <row r="40134" spans="6:6">
      <c r="F40134" s="2423"/>
    </row>
    <row r="40135" spans="6:6">
      <c r="F40135" s="2423"/>
    </row>
    <row r="40136" spans="6:6">
      <c r="F40136" s="2423"/>
    </row>
    <row r="40137" spans="6:6">
      <c r="F40137" s="2423"/>
    </row>
    <row r="40138" spans="6:6">
      <c r="F40138" s="2423"/>
    </row>
    <row r="40139" spans="6:6">
      <c r="F40139" s="2423"/>
    </row>
    <row r="40140" spans="6:6">
      <c r="F40140" s="2423"/>
    </row>
    <row r="40141" spans="6:6">
      <c r="F40141" s="2423"/>
    </row>
    <row r="40142" spans="6:6">
      <c r="F40142" s="2423"/>
    </row>
    <row r="40143" spans="6:6">
      <c r="F40143" s="2423"/>
    </row>
    <row r="40144" spans="6:6">
      <c r="F40144" s="2423"/>
    </row>
    <row r="40145" spans="6:6">
      <c r="F40145" s="2423"/>
    </row>
    <row r="40146" spans="6:6">
      <c r="F40146" s="2423"/>
    </row>
    <row r="40147" spans="6:6">
      <c r="F40147" s="2423"/>
    </row>
    <row r="40148" spans="6:6">
      <c r="F40148" s="2423"/>
    </row>
    <row r="40149" spans="6:6">
      <c r="F40149" s="2423"/>
    </row>
    <row r="40150" spans="6:6">
      <c r="F40150" s="2423"/>
    </row>
    <row r="40151" spans="6:6">
      <c r="F40151" s="2423"/>
    </row>
    <row r="40152" spans="6:6">
      <c r="F40152" s="2423"/>
    </row>
    <row r="40153" spans="6:6">
      <c r="F40153" s="2423"/>
    </row>
    <row r="40154" spans="6:6">
      <c r="F40154" s="2423"/>
    </row>
    <row r="40155" spans="6:6">
      <c r="F40155" s="2423"/>
    </row>
    <row r="40156" spans="6:6">
      <c r="F40156" s="2423"/>
    </row>
    <row r="40157" spans="6:6">
      <c r="F40157" s="2423"/>
    </row>
    <row r="40158" spans="6:6">
      <c r="F40158" s="2423"/>
    </row>
    <row r="40159" spans="6:6">
      <c r="F40159" s="2423"/>
    </row>
    <row r="40160" spans="6:6">
      <c r="F40160" s="2423"/>
    </row>
    <row r="40161" spans="6:6">
      <c r="F40161" s="2423"/>
    </row>
    <row r="40162" spans="6:6">
      <c r="F40162" s="2423"/>
    </row>
    <row r="40163" spans="6:6">
      <c r="F40163" s="2423"/>
    </row>
    <row r="40164" spans="6:6">
      <c r="F40164" s="2423"/>
    </row>
    <row r="40165" spans="6:6">
      <c r="F40165" s="2423"/>
    </row>
    <row r="40166" spans="6:6">
      <c r="F40166" s="2423"/>
    </row>
    <row r="40167" spans="6:6">
      <c r="F40167" s="2423"/>
    </row>
    <row r="40168" spans="6:6">
      <c r="F40168" s="2423"/>
    </row>
    <row r="40169" spans="6:6">
      <c r="F40169" s="2423"/>
    </row>
    <row r="40170" spans="6:6">
      <c r="F40170" s="2423"/>
    </row>
    <row r="40171" spans="6:6">
      <c r="F40171" s="2423"/>
    </row>
    <row r="40172" spans="6:6">
      <c r="F40172" s="2423"/>
    </row>
    <row r="40173" spans="6:6">
      <c r="F40173" s="2423"/>
    </row>
    <row r="40174" spans="6:6">
      <c r="F40174" s="2423"/>
    </row>
    <row r="40175" spans="6:6">
      <c r="F40175" s="2423"/>
    </row>
    <row r="40176" spans="6:6">
      <c r="F40176" s="2423"/>
    </row>
    <row r="40177" spans="6:6">
      <c r="F40177" s="2423"/>
    </row>
    <row r="40178" spans="6:6">
      <c r="F40178" s="2423"/>
    </row>
    <row r="40179" spans="6:6">
      <c r="F40179" s="2423"/>
    </row>
    <row r="40180" spans="6:6">
      <c r="F40180" s="2423"/>
    </row>
    <row r="40181" spans="6:6">
      <c r="F40181" s="2423"/>
    </row>
    <row r="40182" spans="6:6">
      <c r="F40182" s="2423"/>
    </row>
    <row r="40183" spans="6:6">
      <c r="F40183" s="2423"/>
    </row>
    <row r="40184" spans="6:6">
      <c r="F40184" s="2423"/>
    </row>
    <row r="40185" spans="6:6">
      <c r="F40185" s="2423"/>
    </row>
    <row r="40186" spans="6:6">
      <c r="F40186" s="2423"/>
    </row>
    <row r="40187" spans="6:6">
      <c r="F40187" s="2423"/>
    </row>
    <row r="40188" spans="6:6">
      <c r="F40188" s="2423"/>
    </row>
    <row r="40189" spans="6:6">
      <c r="F40189" s="2423"/>
    </row>
    <row r="40190" spans="6:6">
      <c r="F40190" s="2423"/>
    </row>
    <row r="40191" spans="6:6">
      <c r="F40191" s="2423"/>
    </row>
    <row r="40192" spans="6:6">
      <c r="F40192" s="2423"/>
    </row>
    <row r="40193" spans="6:6">
      <c r="F40193" s="2423"/>
    </row>
    <row r="40194" spans="6:6">
      <c r="F40194" s="2423"/>
    </row>
    <row r="40195" spans="6:6">
      <c r="F40195" s="2423"/>
    </row>
    <row r="40196" spans="6:6">
      <c r="F40196" s="2423"/>
    </row>
    <row r="40197" spans="6:6">
      <c r="F40197" s="2423"/>
    </row>
    <row r="40198" spans="6:6">
      <c r="F40198" s="2423"/>
    </row>
    <row r="40199" spans="6:6">
      <c r="F40199" s="2423"/>
    </row>
    <row r="40200" spans="6:6">
      <c r="F40200" s="2423"/>
    </row>
    <row r="40201" spans="6:6">
      <c r="F40201" s="2423"/>
    </row>
    <row r="40202" spans="6:6">
      <c r="F40202" s="2423"/>
    </row>
    <row r="40203" spans="6:6">
      <c r="F40203" s="2423"/>
    </row>
    <row r="40204" spans="6:6">
      <c r="F40204" s="2423"/>
    </row>
    <row r="40205" spans="6:6">
      <c r="F40205" s="2423"/>
    </row>
    <row r="40206" spans="6:6">
      <c r="F40206" s="2423"/>
    </row>
    <row r="40207" spans="6:6">
      <c r="F40207" s="2423"/>
    </row>
    <row r="40208" spans="6:6">
      <c r="F40208" s="2423"/>
    </row>
    <row r="40209" spans="6:6">
      <c r="F40209" s="2423"/>
    </row>
    <row r="40210" spans="6:6">
      <c r="F40210" s="2423"/>
    </row>
    <row r="40211" spans="6:6">
      <c r="F40211" s="2423"/>
    </row>
    <row r="40212" spans="6:6">
      <c r="F40212" s="2423"/>
    </row>
    <row r="40213" spans="6:6">
      <c r="F40213" s="2423"/>
    </row>
    <row r="40214" spans="6:6">
      <c r="F40214" s="2423"/>
    </row>
    <row r="40215" spans="6:6">
      <c r="F40215" s="2423"/>
    </row>
    <row r="40216" spans="6:6">
      <c r="F40216" s="2423"/>
    </row>
    <row r="40217" spans="6:6">
      <c r="F40217" s="2423"/>
    </row>
    <row r="40218" spans="6:6">
      <c r="F40218" s="2423"/>
    </row>
    <row r="40219" spans="6:6">
      <c r="F40219" s="2423"/>
    </row>
    <row r="40220" spans="6:6">
      <c r="F40220" s="2423"/>
    </row>
    <row r="40221" spans="6:6">
      <c r="F40221" s="2423"/>
    </row>
    <row r="40222" spans="6:6">
      <c r="F40222" s="2423"/>
    </row>
    <row r="40223" spans="6:6">
      <c r="F40223" s="2423"/>
    </row>
    <row r="40224" spans="6:6">
      <c r="F40224" s="2423"/>
    </row>
    <row r="40225" spans="6:6">
      <c r="F40225" s="2423"/>
    </row>
    <row r="40226" spans="6:6">
      <c r="F40226" s="2423"/>
    </row>
    <row r="40227" spans="6:6">
      <c r="F40227" s="2423"/>
    </row>
    <row r="40228" spans="6:6">
      <c r="F40228" s="2423"/>
    </row>
    <row r="40229" spans="6:6">
      <c r="F40229" s="2423"/>
    </row>
    <row r="40230" spans="6:6">
      <c r="F40230" s="2423"/>
    </row>
    <row r="40231" spans="6:6">
      <c r="F40231" s="2423"/>
    </row>
    <row r="40232" spans="6:6">
      <c r="F40232" s="2423"/>
    </row>
    <row r="40233" spans="6:6">
      <c r="F40233" s="2423"/>
    </row>
    <row r="40234" spans="6:6">
      <c r="F40234" s="2423"/>
    </row>
    <row r="40235" spans="6:6">
      <c r="F40235" s="2423"/>
    </row>
    <row r="40236" spans="6:6">
      <c r="F40236" s="2423"/>
    </row>
    <row r="40237" spans="6:6">
      <c r="F40237" s="2423"/>
    </row>
    <row r="40238" spans="6:6">
      <c r="F40238" s="2423"/>
    </row>
    <row r="40239" spans="6:6">
      <c r="F40239" s="2423"/>
    </row>
    <row r="40240" spans="6:6">
      <c r="F40240" s="2423"/>
    </row>
    <row r="40241" spans="6:6">
      <c r="F40241" s="2423"/>
    </row>
    <row r="40242" spans="6:6">
      <c r="F40242" s="2423"/>
    </row>
    <row r="40243" spans="6:6">
      <c r="F40243" s="2423"/>
    </row>
    <row r="40244" spans="6:6">
      <c r="F40244" s="2423"/>
    </row>
    <row r="40245" spans="6:6">
      <c r="F40245" s="2423"/>
    </row>
    <row r="40246" spans="6:6">
      <c r="F40246" s="2423"/>
    </row>
    <row r="40247" spans="6:6">
      <c r="F40247" s="2423"/>
    </row>
    <row r="40248" spans="6:6">
      <c r="F40248" s="2423"/>
    </row>
    <row r="40249" spans="6:6">
      <c r="F40249" s="2423"/>
    </row>
    <row r="40250" spans="6:6">
      <c r="F40250" s="2423"/>
    </row>
    <row r="40251" spans="6:6">
      <c r="F40251" s="2423"/>
    </row>
    <row r="40252" spans="6:6">
      <c r="F40252" s="2423"/>
    </row>
    <row r="40253" spans="6:6">
      <c r="F40253" s="2423"/>
    </row>
    <row r="40254" spans="6:6">
      <c r="F40254" s="2423"/>
    </row>
    <row r="40255" spans="6:6">
      <c r="F40255" s="2423"/>
    </row>
    <row r="40256" spans="6:6">
      <c r="F40256" s="2423"/>
    </row>
    <row r="40257" spans="6:6">
      <c r="F40257" s="2423"/>
    </row>
    <row r="40258" spans="6:6">
      <c r="F40258" s="2423"/>
    </row>
    <row r="40259" spans="6:6">
      <c r="F40259" s="2423"/>
    </row>
    <row r="40260" spans="6:6">
      <c r="F40260" s="2423"/>
    </row>
    <row r="40261" spans="6:6">
      <c r="F40261" s="2423"/>
    </row>
    <row r="40262" spans="6:6">
      <c r="F40262" s="2423"/>
    </row>
    <row r="40263" spans="6:6">
      <c r="F40263" s="2423"/>
    </row>
    <row r="40264" spans="6:6">
      <c r="F40264" s="2423"/>
    </row>
    <row r="40265" spans="6:6">
      <c r="F40265" s="2423"/>
    </row>
    <row r="40266" spans="6:6">
      <c r="F40266" s="2423"/>
    </row>
    <row r="40267" spans="6:6">
      <c r="F40267" s="2423"/>
    </row>
    <row r="40268" spans="6:6">
      <c r="F40268" s="2423"/>
    </row>
    <row r="40269" spans="6:6">
      <c r="F40269" s="2423"/>
    </row>
    <row r="40270" spans="6:6">
      <c r="F40270" s="2423"/>
    </row>
    <row r="40271" spans="6:6">
      <c r="F40271" s="2423"/>
    </row>
    <row r="40272" spans="6:6">
      <c r="F40272" s="2423"/>
    </row>
    <row r="40273" spans="6:6">
      <c r="F40273" s="2423"/>
    </row>
    <row r="40274" spans="6:6">
      <c r="F40274" s="2423"/>
    </row>
    <row r="40275" spans="6:6">
      <c r="F40275" s="2423"/>
    </row>
    <row r="40276" spans="6:6">
      <c r="F40276" s="2423"/>
    </row>
    <row r="40277" spans="6:6">
      <c r="F40277" s="2423"/>
    </row>
    <row r="40278" spans="6:6">
      <c r="F40278" s="2423"/>
    </row>
    <row r="40279" spans="6:6">
      <c r="F40279" s="2423"/>
    </row>
    <row r="40280" spans="6:6">
      <c r="F40280" s="2423"/>
    </row>
    <row r="40281" spans="6:6">
      <c r="F40281" s="2423"/>
    </row>
    <row r="40282" spans="6:6">
      <c r="F40282" s="2423"/>
    </row>
    <row r="40283" spans="6:6">
      <c r="F40283" s="2423"/>
    </row>
    <row r="40284" spans="6:6">
      <c r="F40284" s="2423"/>
    </row>
    <row r="40285" spans="6:6">
      <c r="F40285" s="2423"/>
    </row>
    <row r="40286" spans="6:6">
      <c r="F40286" s="2423"/>
    </row>
    <row r="40287" spans="6:6">
      <c r="F40287" s="2423"/>
    </row>
    <row r="40288" spans="6:6">
      <c r="F40288" s="2423"/>
    </row>
    <row r="40289" spans="6:6">
      <c r="F40289" s="2423"/>
    </row>
    <row r="40290" spans="6:6">
      <c r="F40290" s="2423"/>
    </row>
    <row r="40291" spans="6:6">
      <c r="F40291" s="2423"/>
    </row>
    <row r="40292" spans="6:6">
      <c r="F40292" s="2423"/>
    </row>
    <row r="40293" spans="6:6">
      <c r="F40293" s="2423"/>
    </row>
    <row r="40294" spans="6:6">
      <c r="F40294" s="2423"/>
    </row>
    <row r="40295" spans="6:6">
      <c r="F40295" s="2423"/>
    </row>
    <row r="40296" spans="6:6">
      <c r="F40296" s="2423"/>
    </row>
    <row r="40297" spans="6:6">
      <c r="F40297" s="2423"/>
    </row>
    <row r="40298" spans="6:6">
      <c r="F40298" s="2423"/>
    </row>
    <row r="40299" spans="6:6">
      <c r="F40299" s="2423"/>
    </row>
    <row r="40300" spans="6:6">
      <c r="F40300" s="2423"/>
    </row>
    <row r="40301" spans="6:6">
      <c r="F40301" s="2423"/>
    </row>
    <row r="40302" spans="6:6">
      <c r="F40302" s="2423"/>
    </row>
    <row r="40303" spans="6:6">
      <c r="F40303" s="2423"/>
    </row>
    <row r="40304" spans="6:6">
      <c r="F40304" s="2423"/>
    </row>
    <row r="40305" spans="6:6">
      <c r="F40305" s="2423"/>
    </row>
    <row r="40306" spans="6:6">
      <c r="F40306" s="2423"/>
    </row>
    <row r="40307" spans="6:6">
      <c r="F40307" s="2423"/>
    </row>
    <row r="40308" spans="6:6">
      <c r="F40308" s="2423"/>
    </row>
    <row r="40309" spans="6:6">
      <c r="F40309" s="2423"/>
    </row>
    <row r="40310" spans="6:6">
      <c r="F40310" s="2423"/>
    </row>
    <row r="40311" spans="6:6">
      <c r="F40311" s="2423"/>
    </row>
    <row r="40312" spans="6:6">
      <c r="F40312" s="2423"/>
    </row>
    <row r="40313" spans="6:6">
      <c r="F40313" s="2423"/>
    </row>
    <row r="40314" spans="6:6">
      <c r="F40314" s="2423"/>
    </row>
    <row r="40315" spans="6:6">
      <c r="F40315" s="2423"/>
    </row>
    <row r="40316" spans="6:6">
      <c r="F40316" s="2423"/>
    </row>
    <row r="40317" spans="6:6">
      <c r="F40317" s="2423"/>
    </row>
    <row r="40318" spans="6:6">
      <c r="F40318" s="2423"/>
    </row>
    <row r="40319" spans="6:6">
      <c r="F40319" s="2423"/>
    </row>
    <row r="40320" spans="6:6">
      <c r="F40320" s="2423"/>
    </row>
    <row r="40321" spans="6:6">
      <c r="F40321" s="2423"/>
    </row>
    <row r="40322" spans="6:6">
      <c r="F40322" s="2423"/>
    </row>
    <row r="40323" spans="6:6">
      <c r="F40323" s="2423"/>
    </row>
    <row r="40324" spans="6:6">
      <c r="F40324" s="2423"/>
    </row>
    <row r="40325" spans="6:6">
      <c r="F40325" s="2423"/>
    </row>
    <row r="40326" spans="6:6">
      <c r="F40326" s="2423"/>
    </row>
    <row r="40327" spans="6:6">
      <c r="F40327" s="2423"/>
    </row>
    <row r="40328" spans="6:6">
      <c r="F40328" s="2423"/>
    </row>
    <row r="40329" spans="6:6">
      <c r="F40329" s="2423"/>
    </row>
    <row r="40330" spans="6:6">
      <c r="F40330" s="2423"/>
    </row>
    <row r="40331" spans="6:6">
      <c r="F40331" s="2423"/>
    </row>
    <row r="40332" spans="6:6">
      <c r="F40332" s="2423"/>
    </row>
    <row r="40333" spans="6:6">
      <c r="F40333" s="2423"/>
    </row>
    <row r="40334" spans="6:6">
      <c r="F40334" s="2423"/>
    </row>
    <row r="40335" spans="6:6">
      <c r="F40335" s="2423"/>
    </row>
    <row r="40336" spans="6:6">
      <c r="F40336" s="2423"/>
    </row>
    <row r="40337" spans="6:6">
      <c r="F40337" s="2423"/>
    </row>
    <row r="40338" spans="6:6">
      <c r="F40338" s="2423"/>
    </row>
    <row r="40339" spans="6:6">
      <c r="F40339" s="2423"/>
    </row>
    <row r="40340" spans="6:6">
      <c r="F40340" s="2423"/>
    </row>
    <row r="40341" spans="6:6">
      <c r="F40341" s="2423"/>
    </row>
    <row r="40342" spans="6:6">
      <c r="F40342" s="2423"/>
    </row>
    <row r="40343" spans="6:6">
      <c r="F40343" s="2423"/>
    </row>
    <row r="40344" spans="6:6">
      <c r="F40344" s="2423"/>
    </row>
    <row r="40345" spans="6:6">
      <c r="F40345" s="2423"/>
    </row>
    <row r="40346" spans="6:6">
      <c r="F40346" s="2423"/>
    </row>
    <row r="40347" spans="6:6">
      <c r="F40347" s="2423"/>
    </row>
    <row r="40348" spans="6:6">
      <c r="F40348" s="2423"/>
    </row>
    <row r="40349" spans="6:6">
      <c r="F40349" s="2423"/>
    </row>
    <row r="40350" spans="6:6">
      <c r="F40350" s="2423"/>
    </row>
    <row r="40351" spans="6:6">
      <c r="F40351" s="2423"/>
    </row>
    <row r="40352" spans="6:6">
      <c r="F40352" s="2423"/>
    </row>
    <row r="40353" spans="6:6">
      <c r="F40353" s="2423"/>
    </row>
    <row r="40354" spans="6:6">
      <c r="F40354" s="2423"/>
    </row>
    <row r="40355" spans="6:6">
      <c r="F40355" s="2423"/>
    </row>
    <row r="40356" spans="6:6">
      <c r="F40356" s="2423"/>
    </row>
    <row r="40357" spans="6:6">
      <c r="F40357" s="2423"/>
    </row>
    <row r="40358" spans="6:6">
      <c r="F40358" s="2423"/>
    </row>
    <row r="40359" spans="6:6">
      <c r="F40359" s="2423"/>
    </row>
    <row r="40360" spans="6:6">
      <c r="F40360" s="2423"/>
    </row>
    <row r="40361" spans="6:6">
      <c r="F40361" s="2423"/>
    </row>
    <row r="40362" spans="6:6">
      <c r="F40362" s="2423"/>
    </row>
    <row r="40363" spans="6:6">
      <c r="F40363" s="2423"/>
    </row>
    <row r="40364" spans="6:6">
      <c r="F40364" s="2423"/>
    </row>
    <row r="40365" spans="6:6">
      <c r="F40365" s="2423"/>
    </row>
    <row r="40366" spans="6:6">
      <c r="F40366" s="2423"/>
    </row>
    <row r="40367" spans="6:6">
      <c r="F40367" s="2423"/>
    </row>
    <row r="40368" spans="6:6">
      <c r="F40368" s="2423"/>
    </row>
    <row r="40369" spans="6:6">
      <c r="F40369" s="2423"/>
    </row>
    <row r="40370" spans="6:6">
      <c r="F40370" s="2423"/>
    </row>
    <row r="40371" spans="6:6">
      <c r="F40371" s="2423"/>
    </row>
    <row r="40372" spans="6:6">
      <c r="F40372" s="2423"/>
    </row>
    <row r="40373" spans="6:6">
      <c r="F40373" s="2423"/>
    </row>
    <row r="40374" spans="6:6">
      <c r="F40374" s="2423"/>
    </row>
    <row r="40375" spans="6:6">
      <c r="F40375" s="2423"/>
    </row>
    <row r="40376" spans="6:6">
      <c r="F40376" s="2423"/>
    </row>
    <row r="40377" spans="6:6">
      <c r="F40377" s="2423"/>
    </row>
    <row r="40378" spans="6:6">
      <c r="F40378" s="2423"/>
    </row>
    <row r="40379" spans="6:6">
      <c r="F40379" s="2423"/>
    </row>
    <row r="40380" spans="6:6">
      <c r="F40380" s="2423"/>
    </row>
    <row r="40381" spans="6:6">
      <c r="F40381" s="2423"/>
    </row>
    <row r="40382" spans="6:6">
      <c r="F40382" s="2423"/>
    </row>
    <row r="40383" spans="6:6">
      <c r="F40383" s="2423"/>
    </row>
    <row r="40384" spans="6:6">
      <c r="F40384" s="2423"/>
    </row>
    <row r="40385" spans="6:6">
      <c r="F40385" s="2423"/>
    </row>
    <row r="40386" spans="6:6">
      <c r="F40386" s="2423"/>
    </row>
    <row r="40387" spans="6:6">
      <c r="F40387" s="2423"/>
    </row>
    <row r="40388" spans="6:6">
      <c r="F40388" s="2423"/>
    </row>
    <row r="40389" spans="6:6">
      <c r="F40389" s="2423"/>
    </row>
    <row r="40390" spans="6:6">
      <c r="F40390" s="2423"/>
    </row>
    <row r="40391" spans="6:6">
      <c r="F40391" s="2423"/>
    </row>
    <row r="40392" spans="6:6">
      <c r="F40392" s="2423"/>
    </row>
    <row r="40393" spans="6:6">
      <c r="F40393" s="2423"/>
    </row>
    <row r="40394" spans="6:6">
      <c r="F40394" s="2423"/>
    </row>
    <row r="40395" spans="6:6">
      <c r="F40395" s="2423"/>
    </row>
    <row r="40396" spans="6:6">
      <c r="F40396" s="2423"/>
    </row>
    <row r="40397" spans="6:6">
      <c r="F40397" s="2423"/>
    </row>
    <row r="40398" spans="6:6">
      <c r="F40398" s="2423"/>
    </row>
    <row r="40399" spans="6:6">
      <c r="F40399" s="2423"/>
    </row>
    <row r="40400" spans="6:6">
      <c r="F40400" s="2423"/>
    </row>
    <row r="40401" spans="6:6">
      <c r="F40401" s="2423"/>
    </row>
    <row r="40402" spans="6:6">
      <c r="F40402" s="2423"/>
    </row>
    <row r="40403" spans="6:6">
      <c r="F40403" s="2423"/>
    </row>
    <row r="40404" spans="6:6">
      <c r="F40404" s="2423"/>
    </row>
    <row r="40405" spans="6:6">
      <c r="F40405" s="2423"/>
    </row>
    <row r="40406" spans="6:6">
      <c r="F40406" s="2423"/>
    </row>
    <row r="40407" spans="6:6">
      <c r="F40407" s="2423"/>
    </row>
    <row r="40408" spans="6:6">
      <c r="F40408" s="2423"/>
    </row>
    <row r="40409" spans="6:6">
      <c r="F40409" s="2423"/>
    </row>
    <row r="40410" spans="6:6">
      <c r="F40410" s="2423"/>
    </row>
    <row r="40411" spans="6:6">
      <c r="F40411" s="2423"/>
    </row>
    <row r="40412" spans="6:6">
      <c r="F40412" s="2423"/>
    </row>
    <row r="40413" spans="6:6">
      <c r="F40413" s="2423"/>
    </row>
    <row r="40414" spans="6:6">
      <c r="F40414" s="2423"/>
    </row>
    <row r="40415" spans="6:6">
      <c r="F40415" s="2423"/>
    </row>
    <row r="40416" spans="6:6">
      <c r="F40416" s="2423"/>
    </row>
    <row r="40417" spans="6:6">
      <c r="F40417" s="2423"/>
    </row>
    <row r="40418" spans="6:6">
      <c r="F40418" s="2423"/>
    </row>
    <row r="40419" spans="6:6">
      <c r="F40419" s="2423"/>
    </row>
    <row r="40420" spans="6:6">
      <c r="F40420" s="2423"/>
    </row>
    <row r="40421" spans="6:6">
      <c r="F40421" s="2423"/>
    </row>
    <row r="40422" spans="6:6">
      <c r="F40422" s="2423"/>
    </row>
    <row r="40423" spans="6:6">
      <c r="F40423" s="2423"/>
    </row>
    <row r="40424" spans="6:6">
      <c r="F40424" s="2423"/>
    </row>
    <row r="40425" spans="6:6">
      <c r="F40425" s="2423"/>
    </row>
    <row r="40426" spans="6:6">
      <c r="F40426" s="2423"/>
    </row>
    <row r="40427" spans="6:6">
      <c r="F40427" s="2423"/>
    </row>
    <row r="40428" spans="6:6">
      <c r="F40428" s="2423"/>
    </row>
    <row r="40429" spans="6:6">
      <c r="F40429" s="2423"/>
    </row>
    <row r="40430" spans="6:6">
      <c r="F40430" s="2423"/>
    </row>
    <row r="40431" spans="6:6">
      <c r="F40431" s="2423"/>
    </row>
    <row r="40432" spans="6:6">
      <c r="F40432" s="2423"/>
    </row>
    <row r="40433" spans="6:6">
      <c r="F40433" s="2423"/>
    </row>
    <row r="40434" spans="6:6">
      <c r="F40434" s="2423"/>
    </row>
    <row r="40435" spans="6:6">
      <c r="F40435" s="2423"/>
    </row>
    <row r="40436" spans="6:6">
      <c r="F40436" s="2423"/>
    </row>
    <row r="40437" spans="6:6">
      <c r="F40437" s="2423"/>
    </row>
    <row r="40438" spans="6:6">
      <c r="F40438" s="2423"/>
    </row>
    <row r="40439" spans="6:6">
      <c r="F40439" s="2423"/>
    </row>
    <row r="40440" spans="6:6">
      <c r="F40440" s="2423"/>
    </row>
    <row r="40441" spans="6:6">
      <c r="F40441" s="2423"/>
    </row>
    <row r="40442" spans="6:6">
      <c r="F40442" s="2423"/>
    </row>
    <row r="40443" spans="6:6">
      <c r="F40443" s="2423"/>
    </row>
    <row r="40444" spans="6:6">
      <c r="F40444" s="2423"/>
    </row>
    <row r="40445" spans="6:6">
      <c r="F40445" s="2423"/>
    </row>
    <row r="40446" spans="6:6">
      <c r="F40446" s="2423"/>
    </row>
    <row r="40447" spans="6:6">
      <c r="F40447" s="2423"/>
    </row>
    <row r="40448" spans="6:6">
      <c r="F40448" s="2423"/>
    </row>
    <row r="40449" spans="6:6">
      <c r="F40449" s="2423"/>
    </row>
    <row r="40450" spans="6:6">
      <c r="F40450" s="2423"/>
    </row>
    <row r="40451" spans="6:6">
      <c r="F40451" s="2423"/>
    </row>
    <row r="40452" spans="6:6">
      <c r="F40452" s="2423"/>
    </row>
    <row r="40453" spans="6:6">
      <c r="F40453" s="2423"/>
    </row>
    <row r="40454" spans="6:6">
      <c r="F40454" s="2423"/>
    </row>
    <row r="40455" spans="6:6">
      <c r="F40455" s="2423"/>
    </row>
    <row r="40456" spans="6:6">
      <c r="F40456" s="2423"/>
    </row>
    <row r="40457" spans="6:6">
      <c r="F40457" s="2423"/>
    </row>
    <row r="40458" spans="6:6">
      <c r="F40458" s="2423"/>
    </row>
    <row r="40459" spans="6:6">
      <c r="F40459" s="2423"/>
    </row>
    <row r="40460" spans="6:6">
      <c r="F40460" s="2423"/>
    </row>
    <row r="40461" spans="6:6">
      <c r="F40461" s="2423"/>
    </row>
    <row r="40462" spans="6:6">
      <c r="F40462" s="2423"/>
    </row>
    <row r="40463" spans="6:6">
      <c r="F40463" s="2423"/>
    </row>
    <row r="40464" spans="6:6">
      <c r="F40464" s="2423"/>
    </row>
    <row r="40465" spans="6:6">
      <c r="F40465" s="2423"/>
    </row>
    <row r="40466" spans="6:6">
      <c r="F40466" s="2423"/>
    </row>
    <row r="40467" spans="6:6">
      <c r="F40467" s="2423"/>
    </row>
    <row r="40468" spans="6:6">
      <c r="F40468" s="2423"/>
    </row>
    <row r="40469" spans="6:6">
      <c r="F40469" s="2423"/>
    </row>
    <row r="40470" spans="6:6">
      <c r="F40470" s="2423"/>
    </row>
    <row r="40471" spans="6:6">
      <c r="F40471" s="2423"/>
    </row>
    <row r="40472" spans="6:6">
      <c r="F40472" s="2423"/>
    </row>
    <row r="40473" spans="6:6">
      <c r="F40473" s="2423"/>
    </row>
    <row r="40474" spans="6:6">
      <c r="F40474" s="2423"/>
    </row>
    <row r="40475" spans="6:6">
      <c r="F40475" s="2423"/>
    </row>
    <row r="40476" spans="6:6">
      <c r="F40476" s="2423"/>
    </row>
    <row r="40477" spans="6:6">
      <c r="F40477" s="2423"/>
    </row>
    <row r="40478" spans="6:6">
      <c r="F40478" s="2423"/>
    </row>
    <row r="40479" spans="6:6">
      <c r="F40479" s="2423"/>
    </row>
    <row r="40480" spans="6:6">
      <c r="F40480" s="2423"/>
    </row>
    <row r="40481" spans="6:6">
      <c r="F40481" s="2423"/>
    </row>
    <row r="40482" spans="6:6">
      <c r="F40482" s="2423"/>
    </row>
    <row r="40483" spans="6:6">
      <c r="F40483" s="2423"/>
    </row>
    <row r="40484" spans="6:6">
      <c r="F40484" s="2423"/>
    </row>
    <row r="40485" spans="6:6">
      <c r="F40485" s="2423"/>
    </row>
    <row r="40486" spans="6:6">
      <c r="F40486" s="2423"/>
    </row>
    <row r="40487" spans="6:6">
      <c r="F40487" s="2423"/>
    </row>
    <row r="40488" spans="6:6">
      <c r="F40488" s="2423"/>
    </row>
    <row r="40489" spans="6:6">
      <c r="F40489" s="2423"/>
    </row>
    <row r="40490" spans="6:6">
      <c r="F40490" s="2423"/>
    </row>
    <row r="40491" spans="6:6">
      <c r="F40491" s="2423"/>
    </row>
    <row r="40492" spans="6:6">
      <c r="F40492" s="2423"/>
    </row>
    <row r="40493" spans="6:6">
      <c r="F40493" s="2423"/>
    </row>
    <row r="40494" spans="6:6">
      <c r="F40494" s="2423"/>
    </row>
    <row r="40495" spans="6:6">
      <c r="F40495" s="2423"/>
    </row>
    <row r="40496" spans="6:6">
      <c r="F40496" s="2423"/>
    </row>
    <row r="40497" spans="6:6">
      <c r="F40497" s="2423"/>
    </row>
    <row r="40498" spans="6:6">
      <c r="F40498" s="2423"/>
    </row>
    <row r="40499" spans="6:6">
      <c r="F40499" s="2423"/>
    </row>
    <row r="40500" spans="6:6">
      <c r="F40500" s="2423"/>
    </row>
    <row r="40501" spans="6:6">
      <c r="F40501" s="2423"/>
    </row>
    <row r="40502" spans="6:6">
      <c r="F40502" s="2423"/>
    </row>
    <row r="40503" spans="6:6">
      <c r="F40503" s="2423"/>
    </row>
    <row r="40504" spans="6:6">
      <c r="F40504" s="2423"/>
    </row>
    <row r="40505" spans="6:6">
      <c r="F40505" s="2423"/>
    </row>
    <row r="40506" spans="6:6">
      <c r="F40506" s="2423"/>
    </row>
    <row r="40507" spans="6:6">
      <c r="F40507" s="2423"/>
    </row>
    <row r="40508" spans="6:6">
      <c r="F40508" s="2423"/>
    </row>
    <row r="40509" spans="6:6">
      <c r="F40509" s="2423"/>
    </row>
    <row r="40510" spans="6:6">
      <c r="F40510" s="2423"/>
    </row>
    <row r="40511" spans="6:6">
      <c r="F40511" s="2423"/>
    </row>
    <row r="40512" spans="6:6">
      <c r="F40512" s="2423"/>
    </row>
    <row r="40513" spans="6:6">
      <c r="F40513" s="2423"/>
    </row>
    <row r="40514" spans="6:6">
      <c r="F40514" s="2423"/>
    </row>
    <row r="40515" spans="6:6">
      <c r="F40515" s="2423"/>
    </row>
    <row r="40516" spans="6:6">
      <c r="F40516" s="2423"/>
    </row>
    <row r="40517" spans="6:6">
      <c r="F40517" s="2423"/>
    </row>
    <row r="40518" spans="6:6">
      <c r="F40518" s="2423"/>
    </row>
    <row r="40519" spans="6:6">
      <c r="F40519" s="2423"/>
    </row>
    <row r="40520" spans="6:6">
      <c r="F40520" s="2423"/>
    </row>
    <row r="40521" spans="6:6">
      <c r="F40521" s="2423"/>
    </row>
    <row r="40522" spans="6:6">
      <c r="F40522" s="2423"/>
    </row>
    <row r="40523" spans="6:6">
      <c r="F40523" s="2423"/>
    </row>
    <row r="40524" spans="6:6">
      <c r="F40524" s="2423"/>
    </row>
    <row r="40525" spans="6:6">
      <c r="F40525" s="2423"/>
    </row>
    <row r="40526" spans="6:6">
      <c r="F40526" s="2423"/>
    </row>
    <row r="40527" spans="6:6">
      <c r="F40527" s="2423"/>
    </row>
    <row r="40528" spans="6:6">
      <c r="F40528" s="2423"/>
    </row>
    <row r="40529" spans="6:6">
      <c r="F40529" s="2423"/>
    </row>
    <row r="40530" spans="6:6">
      <c r="F40530" s="2423"/>
    </row>
    <row r="40531" spans="6:6">
      <c r="F40531" s="2423"/>
    </row>
    <row r="40532" spans="6:6">
      <c r="F40532" s="2423"/>
    </row>
    <row r="40533" spans="6:6">
      <c r="F40533" s="2423"/>
    </row>
    <row r="40534" spans="6:6">
      <c r="F40534" s="2423"/>
    </row>
    <row r="40535" spans="6:6">
      <c r="F40535" s="2423"/>
    </row>
    <row r="40536" spans="6:6">
      <c r="F40536" s="2423"/>
    </row>
    <row r="40537" spans="6:6">
      <c r="F40537" s="2423"/>
    </row>
    <row r="40538" spans="6:6">
      <c r="F40538" s="2423"/>
    </row>
    <row r="40539" spans="6:6">
      <c r="F40539" s="2423"/>
    </row>
    <row r="40540" spans="6:6">
      <c r="F40540" s="2423"/>
    </row>
    <row r="40541" spans="6:6">
      <c r="F40541" s="2423"/>
    </row>
    <row r="40542" spans="6:6">
      <c r="F40542" s="2423"/>
    </row>
    <row r="40543" spans="6:6">
      <c r="F40543" s="2423"/>
    </row>
    <row r="40544" spans="6:6">
      <c r="F40544" s="2423"/>
    </row>
    <row r="40545" spans="6:6">
      <c r="F40545" s="2423"/>
    </row>
    <row r="40546" spans="6:6">
      <c r="F40546" s="2423"/>
    </row>
    <row r="40547" spans="6:6">
      <c r="F40547" s="2423"/>
    </row>
    <row r="40548" spans="6:6">
      <c r="F40548" s="2423"/>
    </row>
    <row r="40549" spans="6:6">
      <c r="F40549" s="2423"/>
    </row>
    <row r="40550" spans="6:6">
      <c r="F40550" s="2423"/>
    </row>
    <row r="40551" spans="6:6">
      <c r="F40551" s="2423"/>
    </row>
    <row r="40552" spans="6:6">
      <c r="F40552" s="2423"/>
    </row>
    <row r="40553" spans="6:6">
      <c r="F40553" s="2423"/>
    </row>
    <row r="40554" spans="6:6">
      <c r="F40554" s="2423"/>
    </row>
    <row r="40555" spans="6:6">
      <c r="F40555" s="2423"/>
    </row>
    <row r="40556" spans="6:6">
      <c r="F40556" s="2423"/>
    </row>
    <row r="40557" spans="6:6">
      <c r="F40557" s="2423"/>
    </row>
    <row r="40558" spans="6:6">
      <c r="F40558" s="2423"/>
    </row>
    <row r="40559" spans="6:6">
      <c r="F40559" s="2423"/>
    </row>
    <row r="40560" spans="6:6">
      <c r="F40560" s="2423"/>
    </row>
    <row r="40561" spans="6:6">
      <c r="F40561" s="2423"/>
    </row>
    <row r="40562" spans="6:6">
      <c r="F40562" s="2423"/>
    </row>
    <row r="40563" spans="6:6">
      <c r="F40563" s="2423"/>
    </row>
    <row r="40564" spans="6:6">
      <c r="F40564" s="2423"/>
    </row>
    <row r="40565" spans="6:6">
      <c r="F40565" s="2423"/>
    </row>
    <row r="40566" spans="6:6">
      <c r="F40566" s="2423"/>
    </row>
    <row r="40567" spans="6:6">
      <c r="F40567" s="2423"/>
    </row>
    <row r="40568" spans="6:6">
      <c r="F40568" s="2423"/>
    </row>
    <row r="40569" spans="6:6">
      <c r="F40569" s="2423"/>
    </row>
    <row r="40570" spans="6:6">
      <c r="F40570" s="2423"/>
    </row>
    <row r="40571" spans="6:6">
      <c r="F40571" s="2423"/>
    </row>
    <row r="40572" spans="6:6">
      <c r="F40572" s="2423"/>
    </row>
    <row r="40573" spans="6:6">
      <c r="F40573" s="2423"/>
    </row>
    <row r="40574" spans="6:6">
      <c r="F40574" s="2423"/>
    </row>
    <row r="40575" spans="6:6">
      <c r="F40575" s="2423"/>
    </row>
    <row r="40576" spans="6:6">
      <c r="F40576" s="2423"/>
    </row>
    <row r="40577" spans="6:6">
      <c r="F40577" s="2423"/>
    </row>
    <row r="40578" spans="6:6">
      <c r="F40578" s="2423"/>
    </row>
    <row r="40579" spans="6:6">
      <c r="F40579" s="2423"/>
    </row>
    <row r="40580" spans="6:6">
      <c r="F40580" s="2423"/>
    </row>
    <row r="40581" spans="6:6">
      <c r="F40581" s="2423"/>
    </row>
    <row r="40582" spans="6:6">
      <c r="F40582" s="2423"/>
    </row>
    <row r="40583" spans="6:6">
      <c r="F40583" s="2423"/>
    </row>
    <row r="40584" spans="6:6">
      <c r="F40584" s="2423"/>
    </row>
    <row r="40585" spans="6:6">
      <c r="F40585" s="2423"/>
    </row>
    <row r="40586" spans="6:6">
      <c r="F40586" s="2423"/>
    </row>
    <row r="40587" spans="6:6">
      <c r="F40587" s="2423"/>
    </row>
    <row r="40588" spans="6:6">
      <c r="F40588" s="2423"/>
    </row>
    <row r="40589" spans="6:6">
      <c r="F40589" s="2423"/>
    </row>
    <row r="40590" spans="6:6">
      <c r="F40590" s="2423"/>
    </row>
    <row r="40591" spans="6:6">
      <c r="F40591" s="2423"/>
    </row>
    <row r="40592" spans="6:6">
      <c r="F40592" s="2423"/>
    </row>
    <row r="40593" spans="6:6">
      <c r="F40593" s="2423"/>
    </row>
    <row r="40594" spans="6:6">
      <c r="F40594" s="2423"/>
    </row>
    <row r="40595" spans="6:6">
      <c r="F40595" s="2423"/>
    </row>
    <row r="40596" spans="6:6">
      <c r="F40596" s="2423"/>
    </row>
    <row r="40597" spans="6:6">
      <c r="F40597" s="2423"/>
    </row>
    <row r="40598" spans="6:6">
      <c r="F40598" s="2423"/>
    </row>
    <row r="40599" spans="6:6">
      <c r="F40599" s="2423"/>
    </row>
    <row r="40600" spans="6:6">
      <c r="F40600" s="2423"/>
    </row>
    <row r="40601" spans="6:6">
      <c r="F40601" s="2423"/>
    </row>
    <row r="40602" spans="6:6">
      <c r="F40602" s="2423"/>
    </row>
    <row r="40603" spans="6:6">
      <c r="F40603" s="2423"/>
    </row>
    <row r="40604" spans="6:6">
      <c r="F40604" s="2423"/>
    </row>
    <row r="40605" spans="6:6">
      <c r="F40605" s="2423"/>
    </row>
    <row r="40606" spans="6:6">
      <c r="F40606" s="2423"/>
    </row>
    <row r="40607" spans="6:6">
      <c r="F40607" s="2423"/>
    </row>
    <row r="40608" spans="6:6">
      <c r="F40608" s="2423"/>
    </row>
    <row r="40609" spans="6:6">
      <c r="F40609" s="2423"/>
    </row>
    <row r="40610" spans="6:6">
      <c r="F40610" s="2423"/>
    </row>
    <row r="40611" spans="6:6">
      <c r="F40611" s="2423"/>
    </row>
    <row r="40612" spans="6:6">
      <c r="F40612" s="2423"/>
    </row>
    <row r="40613" spans="6:6">
      <c r="F40613" s="2423"/>
    </row>
    <row r="40614" spans="6:6">
      <c r="F40614" s="2423"/>
    </row>
    <row r="40615" spans="6:6">
      <c r="F40615" s="2423"/>
    </row>
    <row r="40616" spans="6:6">
      <c r="F40616" s="2423"/>
    </row>
    <row r="40617" spans="6:6">
      <c r="F40617" s="2423"/>
    </row>
    <row r="40618" spans="6:6">
      <c r="F40618" s="2423"/>
    </row>
    <row r="40619" spans="6:6">
      <c r="F40619" s="2423"/>
    </row>
    <row r="40620" spans="6:6">
      <c r="F40620" s="2423"/>
    </row>
    <row r="40621" spans="6:6">
      <c r="F40621" s="2423"/>
    </row>
    <row r="40622" spans="6:6">
      <c r="F40622" s="2423"/>
    </row>
    <row r="40623" spans="6:6">
      <c r="F40623" s="2423"/>
    </row>
    <row r="40624" spans="6:6">
      <c r="F40624" s="2423"/>
    </row>
    <row r="40625" spans="6:6">
      <c r="F40625" s="2423"/>
    </row>
    <row r="40626" spans="6:6">
      <c r="F40626" s="2423"/>
    </row>
    <row r="40627" spans="6:6">
      <c r="F40627" s="2423"/>
    </row>
    <row r="40628" spans="6:6">
      <c r="F40628" s="2423"/>
    </row>
    <row r="40629" spans="6:6">
      <c r="F40629" s="2423"/>
    </row>
    <row r="40630" spans="6:6">
      <c r="F40630" s="2423"/>
    </row>
    <row r="40631" spans="6:6">
      <c r="F40631" s="2423"/>
    </row>
    <row r="40632" spans="6:6">
      <c r="F40632" s="2423"/>
    </row>
    <row r="40633" spans="6:6">
      <c r="F40633" s="2423"/>
    </row>
    <row r="40634" spans="6:6">
      <c r="F40634" s="2423"/>
    </row>
    <row r="40635" spans="6:6">
      <c r="F40635" s="2423"/>
    </row>
    <row r="40636" spans="6:6">
      <c r="F40636" s="2423"/>
    </row>
    <row r="40637" spans="6:6">
      <c r="F40637" s="2423"/>
    </row>
    <row r="40638" spans="6:6">
      <c r="F40638" s="2423"/>
    </row>
    <row r="40639" spans="6:6">
      <c r="F40639" s="2423"/>
    </row>
    <row r="40640" spans="6:6">
      <c r="F40640" s="2423"/>
    </row>
    <row r="40641" spans="6:6">
      <c r="F40641" s="2423"/>
    </row>
    <row r="40642" spans="6:6">
      <c r="F40642" s="2423"/>
    </row>
    <row r="40643" spans="6:6">
      <c r="F40643" s="2423"/>
    </row>
    <row r="40644" spans="6:6">
      <c r="F40644" s="2423"/>
    </row>
    <row r="40645" spans="6:6">
      <c r="F40645" s="2423"/>
    </row>
    <row r="40646" spans="6:6">
      <c r="F40646" s="2423"/>
    </row>
    <row r="40647" spans="6:6">
      <c r="F40647" s="2423"/>
    </row>
    <row r="40648" spans="6:6">
      <c r="F40648" s="2423"/>
    </row>
    <row r="40649" spans="6:6">
      <c r="F40649" s="2423"/>
    </row>
    <row r="40650" spans="6:6">
      <c r="F40650" s="2423"/>
    </row>
    <row r="40651" spans="6:6">
      <c r="F40651" s="2423"/>
    </row>
    <row r="40652" spans="6:6">
      <c r="F40652" s="2423"/>
    </row>
    <row r="40653" spans="6:6">
      <c r="F40653" s="2423"/>
    </row>
    <row r="40654" spans="6:6">
      <c r="F40654" s="2423"/>
    </row>
    <row r="40655" spans="6:6">
      <c r="F40655" s="2423"/>
    </row>
    <row r="40656" spans="6:6">
      <c r="F40656" s="2423"/>
    </row>
    <row r="40657" spans="6:6">
      <c r="F40657" s="2423"/>
    </row>
    <row r="40658" spans="6:6">
      <c r="F40658" s="2423"/>
    </row>
    <row r="40659" spans="6:6">
      <c r="F40659" s="2423"/>
    </row>
    <row r="40660" spans="6:6">
      <c r="F40660" s="2423"/>
    </row>
    <row r="40661" spans="6:6">
      <c r="F40661" s="2423"/>
    </row>
    <row r="40662" spans="6:6">
      <c r="F40662" s="2423"/>
    </row>
    <row r="40663" spans="6:6">
      <c r="F40663" s="2423"/>
    </row>
    <row r="40664" spans="6:6">
      <c r="F40664" s="2423"/>
    </row>
    <row r="40665" spans="6:6">
      <c r="F40665" s="2423"/>
    </row>
    <row r="40666" spans="6:6">
      <c r="F40666" s="2423"/>
    </row>
    <row r="40667" spans="6:6">
      <c r="F40667" s="2423"/>
    </row>
    <row r="40668" spans="6:6">
      <c r="F40668" s="2423"/>
    </row>
    <row r="40669" spans="6:6">
      <c r="F40669" s="2423"/>
    </row>
    <row r="40670" spans="6:6">
      <c r="F40670" s="2423"/>
    </row>
    <row r="40671" spans="6:6">
      <c r="F40671" s="2423"/>
    </row>
    <row r="40672" spans="6:6">
      <c r="F40672" s="2423"/>
    </row>
    <row r="40673" spans="6:6">
      <c r="F40673" s="2423"/>
    </row>
    <row r="40674" spans="6:6">
      <c r="F40674" s="2423"/>
    </row>
    <row r="40675" spans="6:6">
      <c r="F40675" s="2423"/>
    </row>
    <row r="40676" spans="6:6">
      <c r="F40676" s="2423"/>
    </row>
    <row r="40677" spans="6:6">
      <c r="F40677" s="2423"/>
    </row>
    <row r="40678" spans="6:6">
      <c r="F40678" s="2423"/>
    </row>
    <row r="40679" spans="6:6">
      <c r="F40679" s="2423"/>
    </row>
    <row r="40680" spans="6:6">
      <c r="F40680" s="2423"/>
    </row>
    <row r="40681" spans="6:6">
      <c r="F40681" s="2423"/>
    </row>
    <row r="40682" spans="6:6">
      <c r="F40682" s="2423"/>
    </row>
    <row r="40683" spans="6:6">
      <c r="F40683" s="2423"/>
    </row>
    <row r="40684" spans="6:6">
      <c r="F40684" s="2423"/>
    </row>
    <row r="40685" spans="6:6">
      <c r="F40685" s="2423"/>
    </row>
    <row r="40686" spans="6:6">
      <c r="F40686" s="2423"/>
    </row>
    <row r="40687" spans="6:6">
      <c r="F40687" s="2423"/>
    </row>
    <row r="40688" spans="6:6">
      <c r="F40688" s="2423"/>
    </row>
    <row r="40689" spans="6:6">
      <c r="F40689" s="2423"/>
    </row>
    <row r="40690" spans="6:6">
      <c r="F40690" s="2423"/>
    </row>
    <row r="40691" spans="6:6">
      <c r="F40691" s="2423"/>
    </row>
    <row r="40692" spans="6:6">
      <c r="F40692" s="2423"/>
    </row>
    <row r="40693" spans="6:6">
      <c r="F40693" s="2423"/>
    </row>
    <row r="40694" spans="6:6">
      <c r="F40694" s="2423"/>
    </row>
    <row r="40695" spans="6:6">
      <c r="F40695" s="2423"/>
    </row>
    <row r="40696" spans="6:6">
      <c r="F40696" s="2423"/>
    </row>
    <row r="40697" spans="6:6">
      <c r="F40697" s="2423"/>
    </row>
    <row r="40698" spans="6:6">
      <c r="F40698" s="2423"/>
    </row>
    <row r="40699" spans="6:6">
      <c r="F40699" s="2423"/>
    </row>
    <row r="40700" spans="6:6">
      <c r="F40700" s="2423"/>
    </row>
    <row r="40701" spans="6:6">
      <c r="F40701" s="2423"/>
    </row>
    <row r="40702" spans="6:6">
      <c r="F40702" s="2423"/>
    </row>
    <row r="40703" spans="6:6">
      <c r="F40703" s="2423"/>
    </row>
    <row r="40704" spans="6:6">
      <c r="F40704" s="2423"/>
    </row>
    <row r="40705" spans="6:6">
      <c r="F40705" s="2423"/>
    </row>
    <row r="40706" spans="6:6">
      <c r="F40706" s="2423"/>
    </row>
    <row r="40707" spans="6:6">
      <c r="F40707" s="2423"/>
    </row>
    <row r="40708" spans="6:6">
      <c r="F40708" s="2423"/>
    </row>
    <row r="40709" spans="6:6">
      <c r="F40709" s="2423"/>
    </row>
    <row r="40710" spans="6:6">
      <c r="F40710" s="2423"/>
    </row>
    <row r="40711" spans="6:6">
      <c r="F40711" s="2423"/>
    </row>
    <row r="40712" spans="6:6">
      <c r="F40712" s="2423"/>
    </row>
    <row r="40713" spans="6:6">
      <c r="F40713" s="2423"/>
    </row>
    <row r="40714" spans="6:6">
      <c r="F40714" s="2423"/>
    </row>
    <row r="40715" spans="6:6">
      <c r="F40715" s="2423"/>
    </row>
    <row r="40716" spans="6:6">
      <c r="F40716" s="2423"/>
    </row>
    <row r="40717" spans="6:6">
      <c r="F40717" s="2423"/>
    </row>
    <row r="40718" spans="6:6">
      <c r="F40718" s="2423"/>
    </row>
    <row r="40719" spans="6:6">
      <c r="F40719" s="2423"/>
    </row>
    <row r="40720" spans="6:6">
      <c r="F40720" s="2423"/>
    </row>
    <row r="40721" spans="6:6">
      <c r="F40721" s="2423"/>
    </row>
    <row r="40722" spans="6:6">
      <c r="F40722" s="2423"/>
    </row>
    <row r="40723" spans="6:6">
      <c r="F40723" s="2423"/>
    </row>
    <row r="40724" spans="6:6">
      <c r="F40724" s="2423"/>
    </row>
    <row r="40725" spans="6:6">
      <c r="F40725" s="2423"/>
    </row>
    <row r="40726" spans="6:6">
      <c r="F40726" s="2423"/>
    </row>
    <row r="40727" spans="6:6">
      <c r="F40727" s="2423"/>
    </row>
    <row r="40728" spans="6:6">
      <c r="F40728" s="2423"/>
    </row>
    <row r="40729" spans="6:6">
      <c r="F40729" s="2423"/>
    </row>
    <row r="40730" spans="6:6">
      <c r="F40730" s="2423"/>
    </row>
    <row r="40731" spans="6:6">
      <c r="F40731" s="2423"/>
    </row>
    <row r="40732" spans="6:6">
      <c r="F40732" s="2423"/>
    </row>
    <row r="40733" spans="6:6">
      <c r="F40733" s="2423"/>
    </row>
    <row r="40734" spans="6:6">
      <c r="F40734" s="2423"/>
    </row>
    <row r="40735" spans="6:6">
      <c r="F40735" s="2423"/>
    </row>
    <row r="40736" spans="6:6">
      <c r="F40736" s="2423"/>
    </row>
    <row r="40737" spans="6:6">
      <c r="F40737" s="2423"/>
    </row>
    <row r="40738" spans="6:6">
      <c r="F40738" s="2423"/>
    </row>
    <row r="40739" spans="6:6">
      <c r="F40739" s="2423"/>
    </row>
    <row r="40740" spans="6:6">
      <c r="F40740" s="2423"/>
    </row>
    <row r="40741" spans="6:6">
      <c r="F40741" s="2423"/>
    </row>
    <row r="40742" spans="6:6">
      <c r="F40742" s="2423"/>
    </row>
    <row r="40743" spans="6:6">
      <c r="F40743" s="2423"/>
    </row>
    <row r="40744" spans="6:6">
      <c r="F40744" s="2423"/>
    </row>
    <row r="40745" spans="6:6">
      <c r="F40745" s="2423"/>
    </row>
    <row r="40746" spans="6:6">
      <c r="F40746" s="2423"/>
    </row>
    <row r="40747" spans="6:6">
      <c r="F40747" s="2423"/>
    </row>
    <row r="40748" spans="6:6">
      <c r="F40748" s="2423"/>
    </row>
    <row r="40749" spans="6:6">
      <c r="F40749" s="2423"/>
    </row>
    <row r="40750" spans="6:6">
      <c r="F40750" s="2423"/>
    </row>
    <row r="40751" spans="6:6">
      <c r="F40751" s="2423"/>
    </row>
    <row r="40752" spans="6:6">
      <c r="F40752" s="2423"/>
    </row>
    <row r="40753" spans="6:6">
      <c r="F40753" s="2423"/>
    </row>
    <row r="40754" spans="6:6">
      <c r="F40754" s="2423"/>
    </row>
    <row r="40755" spans="6:6">
      <c r="F40755" s="2423"/>
    </row>
    <row r="40756" spans="6:6">
      <c r="F40756" s="2423"/>
    </row>
    <row r="40757" spans="6:6">
      <c r="F40757" s="2423"/>
    </row>
    <row r="40758" spans="6:6">
      <c r="F40758" s="2423"/>
    </row>
    <row r="40759" spans="6:6">
      <c r="F40759" s="2423"/>
    </row>
    <row r="40760" spans="6:6">
      <c r="F40760" s="2423"/>
    </row>
    <row r="40761" spans="6:6">
      <c r="F40761" s="2423"/>
    </row>
    <row r="40762" spans="6:6">
      <c r="F40762" s="2423"/>
    </row>
    <row r="40763" spans="6:6">
      <c r="F40763" s="2423"/>
    </row>
    <row r="40764" spans="6:6">
      <c r="F40764" s="2423"/>
    </row>
    <row r="40765" spans="6:6">
      <c r="F40765" s="2423"/>
    </row>
    <row r="40766" spans="6:6">
      <c r="F40766" s="2423"/>
    </row>
    <row r="40767" spans="6:6">
      <c r="F40767" s="2423"/>
    </row>
    <row r="40768" spans="6:6">
      <c r="F40768" s="2423"/>
    </row>
    <row r="40769" spans="6:6">
      <c r="F40769" s="2423"/>
    </row>
    <row r="40770" spans="6:6">
      <c r="F40770" s="2423"/>
    </row>
    <row r="40771" spans="6:6">
      <c r="F40771" s="2423"/>
    </row>
    <row r="40772" spans="6:6">
      <c r="F40772" s="2423"/>
    </row>
    <row r="40773" spans="6:6">
      <c r="F40773" s="2423"/>
    </row>
    <row r="40774" spans="6:6">
      <c r="F40774" s="2423"/>
    </row>
    <row r="40775" spans="6:6">
      <c r="F40775" s="2423"/>
    </row>
    <row r="40776" spans="6:6">
      <c r="F40776" s="2423"/>
    </row>
    <row r="40777" spans="6:6">
      <c r="F40777" s="2423"/>
    </row>
    <row r="40778" spans="6:6">
      <c r="F40778" s="2423"/>
    </row>
    <row r="40779" spans="6:6">
      <c r="F40779" s="2423"/>
    </row>
    <row r="40780" spans="6:6">
      <c r="F40780" s="2423"/>
    </row>
    <row r="40781" spans="6:6">
      <c r="F40781" s="2423"/>
    </row>
    <row r="40782" spans="6:6">
      <c r="F40782" s="2423"/>
    </row>
    <row r="40783" spans="6:6">
      <c r="F40783" s="2423"/>
    </row>
    <row r="40784" spans="6:6">
      <c r="F40784" s="2423"/>
    </row>
    <row r="40785" spans="6:6">
      <c r="F40785" s="2423"/>
    </row>
    <row r="40786" spans="6:6">
      <c r="F40786" s="2423"/>
    </row>
    <row r="40787" spans="6:6">
      <c r="F40787" s="2423"/>
    </row>
    <row r="40788" spans="6:6">
      <c r="F40788" s="2423"/>
    </row>
    <row r="40789" spans="6:6">
      <c r="F40789" s="2423"/>
    </row>
    <row r="40790" spans="6:6">
      <c r="F40790" s="2423"/>
    </row>
    <row r="40791" spans="6:6">
      <c r="F40791" s="2423"/>
    </row>
    <row r="40792" spans="6:6">
      <c r="F40792" s="2423"/>
    </row>
    <row r="40793" spans="6:6">
      <c r="F40793" s="2423"/>
    </row>
    <row r="40794" spans="6:6">
      <c r="F40794" s="2423"/>
    </row>
    <row r="40795" spans="6:6">
      <c r="F40795" s="2423"/>
    </row>
    <row r="40796" spans="6:6">
      <c r="F40796" s="2423"/>
    </row>
    <row r="40797" spans="6:6">
      <c r="F40797" s="2423"/>
    </row>
    <row r="40798" spans="6:6">
      <c r="F40798" s="2423"/>
    </row>
    <row r="40799" spans="6:6">
      <c r="F40799" s="2423"/>
    </row>
    <row r="40800" spans="6:6">
      <c r="F40800" s="2423"/>
    </row>
    <row r="40801" spans="6:6">
      <c r="F40801" s="2423"/>
    </row>
    <row r="40802" spans="6:6">
      <c r="F40802" s="2423"/>
    </row>
    <row r="40803" spans="6:6">
      <c r="F40803" s="2423"/>
    </row>
    <row r="40804" spans="6:6">
      <c r="F40804" s="2423"/>
    </row>
    <row r="40805" spans="6:6">
      <c r="F40805" s="2423"/>
    </row>
    <row r="40806" spans="6:6">
      <c r="F40806" s="2423"/>
    </row>
    <row r="40807" spans="6:6">
      <c r="F40807" s="2423"/>
    </row>
    <row r="40808" spans="6:6">
      <c r="F40808" s="2423"/>
    </row>
    <row r="40809" spans="6:6">
      <c r="F40809" s="2423"/>
    </row>
    <row r="40810" spans="6:6">
      <c r="F40810" s="2423"/>
    </row>
    <row r="40811" spans="6:6">
      <c r="F40811" s="2423"/>
    </row>
    <row r="40812" spans="6:6">
      <c r="F40812" s="2423"/>
    </row>
    <row r="40813" spans="6:6">
      <c r="F40813" s="2423"/>
    </row>
    <row r="40814" spans="6:6">
      <c r="F40814" s="2423"/>
    </row>
    <row r="40815" spans="6:6">
      <c r="F40815" s="2423"/>
    </row>
    <row r="40816" spans="6:6">
      <c r="F40816" s="2423"/>
    </row>
    <row r="40817" spans="6:6">
      <c r="F40817" s="2423"/>
    </row>
    <row r="40818" spans="6:6">
      <c r="F40818" s="2423"/>
    </row>
    <row r="40819" spans="6:6">
      <c r="F40819" s="2423"/>
    </row>
    <row r="40820" spans="6:6">
      <c r="F40820" s="2423"/>
    </row>
    <row r="40821" spans="6:6">
      <c r="F40821" s="2423"/>
    </row>
    <row r="40822" spans="6:6">
      <c r="F40822" s="2423"/>
    </row>
    <row r="40823" spans="6:6">
      <c r="F40823" s="2423"/>
    </row>
    <row r="40824" spans="6:6">
      <c r="F40824" s="2423"/>
    </row>
    <row r="40825" spans="6:6">
      <c r="F40825" s="2423"/>
    </row>
    <row r="40826" spans="6:6">
      <c r="F40826" s="2423"/>
    </row>
    <row r="40827" spans="6:6">
      <c r="F40827" s="2423"/>
    </row>
    <row r="40828" spans="6:6">
      <c r="F40828" s="2423"/>
    </row>
    <row r="40829" spans="6:6">
      <c r="F40829" s="2423"/>
    </row>
    <row r="40830" spans="6:6">
      <c r="F40830" s="2423"/>
    </row>
    <row r="40831" spans="6:6">
      <c r="F40831" s="2423"/>
    </row>
    <row r="40832" spans="6:6">
      <c r="F40832" s="2423"/>
    </row>
    <row r="40833" spans="6:6">
      <c r="F40833" s="2423"/>
    </row>
    <row r="40834" spans="6:6">
      <c r="F40834" s="2423"/>
    </row>
    <row r="40835" spans="6:6">
      <c r="F40835" s="2423"/>
    </row>
    <row r="40836" spans="6:6">
      <c r="F40836" s="2423"/>
    </row>
    <row r="40837" spans="6:6">
      <c r="F40837" s="2423"/>
    </row>
    <row r="40838" spans="6:6">
      <c r="F40838" s="2423"/>
    </row>
    <row r="40839" spans="6:6">
      <c r="F40839" s="2423"/>
    </row>
    <row r="40840" spans="6:6">
      <c r="F40840" s="2423"/>
    </row>
    <row r="40841" spans="6:6">
      <c r="F40841" s="2423"/>
    </row>
    <row r="40842" spans="6:6">
      <c r="F40842" s="2423"/>
    </row>
    <row r="40843" spans="6:6">
      <c r="F40843" s="2423"/>
    </row>
    <row r="40844" spans="6:6">
      <c r="F40844" s="2423"/>
    </row>
    <row r="40845" spans="6:6">
      <c r="F40845" s="2423"/>
    </row>
    <row r="40846" spans="6:6">
      <c r="F40846" s="2423"/>
    </row>
    <row r="40847" spans="6:6">
      <c r="F40847" s="2423"/>
    </row>
    <row r="40848" spans="6:6">
      <c r="F40848" s="2423"/>
    </row>
    <row r="40849" spans="6:6">
      <c r="F40849" s="2423"/>
    </row>
    <row r="40850" spans="6:6">
      <c r="F40850" s="2423"/>
    </row>
    <row r="40851" spans="6:6">
      <c r="F40851" s="2423"/>
    </row>
    <row r="40852" spans="6:6">
      <c r="F40852" s="2423"/>
    </row>
    <row r="40853" spans="6:6">
      <c r="F40853" s="2423"/>
    </row>
    <row r="40854" spans="6:6">
      <c r="F40854" s="2423"/>
    </row>
    <row r="40855" spans="6:6">
      <c r="F40855" s="2423"/>
    </row>
    <row r="40856" spans="6:6">
      <c r="F40856" s="2423"/>
    </row>
    <row r="40857" spans="6:6">
      <c r="F40857" s="2423"/>
    </row>
    <row r="40858" spans="6:6">
      <c r="F40858" s="2423"/>
    </row>
    <row r="40859" spans="6:6">
      <c r="F40859" s="2423"/>
    </row>
    <row r="40860" spans="6:6">
      <c r="F40860" s="2423"/>
    </row>
    <row r="40861" spans="6:6">
      <c r="F40861" s="2423"/>
    </row>
    <row r="40862" spans="6:6">
      <c r="F40862" s="2423"/>
    </row>
    <row r="40863" spans="6:6">
      <c r="F40863" s="2423"/>
    </row>
    <row r="40864" spans="6:6">
      <c r="F40864" s="2423"/>
    </row>
    <row r="40865" spans="6:6">
      <c r="F40865" s="2423"/>
    </row>
    <row r="40866" spans="6:6">
      <c r="F40866" s="2423"/>
    </row>
    <row r="40867" spans="6:6">
      <c r="F40867" s="2423"/>
    </row>
    <row r="40868" spans="6:6">
      <c r="F40868" s="2423"/>
    </row>
    <row r="40869" spans="6:6">
      <c r="F40869" s="2423"/>
    </row>
    <row r="40870" spans="6:6">
      <c r="F40870" s="2423"/>
    </row>
    <row r="40871" spans="6:6">
      <c r="F40871" s="2423"/>
    </row>
    <row r="40872" spans="6:6">
      <c r="F40872" s="2423"/>
    </row>
    <row r="40873" spans="6:6">
      <c r="F40873" s="2423"/>
    </row>
    <row r="40874" spans="6:6">
      <c r="F40874" s="2423"/>
    </row>
    <row r="40875" spans="6:6">
      <c r="F40875" s="2423"/>
    </row>
    <row r="40876" spans="6:6">
      <c r="F40876" s="2423"/>
    </row>
    <row r="40877" spans="6:6">
      <c r="F40877" s="2423"/>
    </row>
    <row r="40878" spans="6:6">
      <c r="F40878" s="2423"/>
    </row>
    <row r="40879" spans="6:6">
      <c r="F40879" s="2423"/>
    </row>
    <row r="40880" spans="6:6">
      <c r="F40880" s="2423"/>
    </row>
    <row r="40881" spans="6:6">
      <c r="F40881" s="2423"/>
    </row>
    <row r="40882" spans="6:6">
      <c r="F40882" s="2423"/>
    </row>
    <row r="40883" spans="6:6">
      <c r="F40883" s="2423"/>
    </row>
    <row r="40884" spans="6:6">
      <c r="F40884" s="2423"/>
    </row>
    <row r="40885" spans="6:6">
      <c r="F40885" s="2423"/>
    </row>
    <row r="40886" spans="6:6">
      <c r="F40886" s="2423"/>
    </row>
    <row r="40887" spans="6:6">
      <c r="F40887" s="2423"/>
    </row>
    <row r="40888" spans="6:6">
      <c r="F40888" s="2423"/>
    </row>
    <row r="40889" spans="6:6">
      <c r="F40889" s="2423"/>
    </row>
    <row r="40890" spans="6:6">
      <c r="F40890" s="2423"/>
    </row>
    <row r="40891" spans="6:6">
      <c r="F40891" s="2423"/>
    </row>
    <row r="40892" spans="6:6">
      <c r="F40892" s="2423"/>
    </row>
    <row r="40893" spans="6:6">
      <c r="F40893" s="2423"/>
    </row>
    <row r="40894" spans="6:6">
      <c r="F40894" s="2423"/>
    </row>
    <row r="40895" spans="6:6">
      <c r="F40895" s="2423"/>
    </row>
    <row r="40896" spans="6:6">
      <c r="F40896" s="2423"/>
    </row>
    <row r="40897" spans="6:6">
      <c r="F40897" s="2423"/>
    </row>
    <row r="40898" spans="6:6">
      <c r="F40898" s="2423"/>
    </row>
    <row r="40899" spans="6:6">
      <c r="F40899" s="2423"/>
    </row>
    <row r="40900" spans="6:6">
      <c r="F40900" s="2423"/>
    </row>
    <row r="40901" spans="6:6">
      <c r="F40901" s="2423"/>
    </row>
    <row r="40902" spans="6:6">
      <c r="F40902" s="2423"/>
    </row>
    <row r="40903" spans="6:6">
      <c r="F40903" s="2423"/>
    </row>
    <row r="40904" spans="6:6">
      <c r="F40904" s="2423"/>
    </row>
    <row r="40905" spans="6:6">
      <c r="F40905" s="2423"/>
    </row>
    <row r="40906" spans="6:6">
      <c r="F40906" s="2423"/>
    </row>
    <row r="40907" spans="6:6">
      <c r="F40907" s="2423"/>
    </row>
    <row r="40908" spans="6:6">
      <c r="F40908" s="2423"/>
    </row>
    <row r="40909" spans="6:6">
      <c r="F40909" s="2423"/>
    </row>
    <row r="40910" spans="6:6">
      <c r="F40910" s="2423"/>
    </row>
    <row r="40911" spans="6:6">
      <c r="F40911" s="2423"/>
    </row>
    <row r="40912" spans="6:6">
      <c r="F40912" s="2423"/>
    </row>
    <row r="40913" spans="6:6">
      <c r="F40913" s="2423"/>
    </row>
    <row r="40914" spans="6:6">
      <c r="F40914" s="2423"/>
    </row>
    <row r="40915" spans="6:6">
      <c r="F40915" s="2423"/>
    </row>
    <row r="40916" spans="6:6">
      <c r="F40916" s="2423"/>
    </row>
    <row r="40917" spans="6:6">
      <c r="F40917" s="2423"/>
    </row>
    <row r="40918" spans="6:6">
      <c r="F40918" s="2423"/>
    </row>
    <row r="40919" spans="6:6">
      <c r="F40919" s="2423"/>
    </row>
    <row r="40920" spans="6:6">
      <c r="F40920" s="2423"/>
    </row>
    <row r="40921" spans="6:6">
      <c r="F40921" s="2423"/>
    </row>
    <row r="40922" spans="6:6">
      <c r="F40922" s="2423"/>
    </row>
    <row r="40923" spans="6:6">
      <c r="F40923" s="2423"/>
    </row>
    <row r="40924" spans="6:6">
      <c r="F40924" s="2423"/>
    </row>
    <row r="40925" spans="6:6">
      <c r="F40925" s="2423"/>
    </row>
    <row r="40926" spans="6:6">
      <c r="F40926" s="2423"/>
    </row>
    <row r="40927" spans="6:6">
      <c r="F40927" s="2423"/>
    </row>
    <row r="40928" spans="6:6">
      <c r="F40928" s="2423"/>
    </row>
    <row r="40929" spans="6:6">
      <c r="F40929" s="2423"/>
    </row>
    <row r="40930" spans="6:6">
      <c r="F40930" s="2423"/>
    </row>
    <row r="40931" spans="6:6">
      <c r="F40931" s="2423"/>
    </row>
    <row r="40932" spans="6:6">
      <c r="F40932" s="2423"/>
    </row>
    <row r="40933" spans="6:6">
      <c r="F40933" s="2423"/>
    </row>
    <row r="40934" spans="6:6">
      <c r="F40934" s="2423"/>
    </row>
    <row r="40935" spans="6:6">
      <c r="F40935" s="2423"/>
    </row>
    <row r="40936" spans="6:6">
      <c r="F40936" s="2423"/>
    </row>
    <row r="40937" spans="6:6">
      <c r="F40937" s="2423"/>
    </row>
    <row r="40938" spans="6:6">
      <c r="F40938" s="2423"/>
    </row>
    <row r="40939" spans="6:6">
      <c r="F40939" s="2423"/>
    </row>
    <row r="40940" spans="6:6">
      <c r="F40940" s="2423"/>
    </row>
    <row r="40941" spans="6:6">
      <c r="F40941" s="2423"/>
    </row>
    <row r="40942" spans="6:6">
      <c r="F40942" s="2423"/>
    </row>
    <row r="40943" spans="6:6">
      <c r="F40943" s="2423"/>
    </row>
    <row r="40944" spans="6:6">
      <c r="F40944" s="2423"/>
    </row>
    <row r="40945" spans="6:6">
      <c r="F40945" s="2423"/>
    </row>
    <row r="40946" spans="6:6">
      <c r="F40946" s="2423"/>
    </row>
    <row r="40947" spans="6:6">
      <c r="F40947" s="2423"/>
    </row>
    <row r="40948" spans="6:6">
      <c r="F40948" s="2423"/>
    </row>
    <row r="40949" spans="6:6">
      <c r="F40949" s="2423"/>
    </row>
    <row r="40950" spans="6:6">
      <c r="F40950" s="2423"/>
    </row>
    <row r="40951" spans="6:6">
      <c r="F40951" s="2423"/>
    </row>
    <row r="40952" spans="6:6">
      <c r="F40952" s="2423"/>
    </row>
    <row r="40953" spans="6:6">
      <c r="F40953" s="2423"/>
    </row>
    <row r="40954" spans="6:6">
      <c r="F40954" s="2423"/>
    </row>
    <row r="40955" spans="6:6">
      <c r="F40955" s="2423"/>
    </row>
    <row r="40956" spans="6:6">
      <c r="F40956" s="2423"/>
    </row>
    <row r="40957" spans="6:6">
      <c r="F40957" s="2423"/>
    </row>
    <row r="40958" spans="6:6">
      <c r="F40958" s="2423"/>
    </row>
    <row r="40959" spans="6:6">
      <c r="F40959" s="2423"/>
    </row>
    <row r="40960" spans="6:6">
      <c r="F40960" s="2423"/>
    </row>
    <row r="40961" spans="6:6">
      <c r="F40961" s="2423"/>
    </row>
    <row r="40962" spans="6:6">
      <c r="F40962" s="2423"/>
    </row>
    <row r="40963" spans="6:6">
      <c r="F40963" s="2423"/>
    </row>
    <row r="40964" spans="6:6">
      <c r="F40964" s="2423"/>
    </row>
    <row r="40965" spans="6:6">
      <c r="F40965" s="2423"/>
    </row>
    <row r="40966" spans="6:6">
      <c r="F40966" s="2423"/>
    </row>
    <row r="40967" spans="6:6">
      <c r="F40967" s="2423"/>
    </row>
    <row r="40968" spans="6:6">
      <c r="F40968" s="2423"/>
    </row>
    <row r="40969" spans="6:6">
      <c r="F40969" s="2423"/>
    </row>
    <row r="40970" spans="6:6">
      <c r="F40970" s="2423"/>
    </row>
    <row r="40971" spans="6:6">
      <c r="F40971" s="2423"/>
    </row>
    <row r="40972" spans="6:6">
      <c r="F40972" s="2423"/>
    </row>
    <row r="40973" spans="6:6">
      <c r="F40973" s="2423"/>
    </row>
    <row r="40974" spans="6:6">
      <c r="F40974" s="2423"/>
    </row>
    <row r="40975" spans="6:6">
      <c r="F40975" s="2423"/>
    </row>
    <row r="40976" spans="6:6">
      <c r="F40976" s="2423"/>
    </row>
    <row r="40977" spans="6:6">
      <c r="F40977" s="2423"/>
    </row>
    <row r="40978" spans="6:6">
      <c r="F40978" s="2423"/>
    </row>
    <row r="40979" spans="6:6">
      <c r="F40979" s="2423"/>
    </row>
    <row r="40980" spans="6:6">
      <c r="F40980" s="2423"/>
    </row>
    <row r="40981" spans="6:6">
      <c r="F40981" s="2423"/>
    </row>
    <row r="40982" spans="6:6">
      <c r="F40982" s="2423"/>
    </row>
    <row r="40983" spans="6:6">
      <c r="F40983" s="2423"/>
    </row>
    <row r="40984" spans="6:6">
      <c r="F40984" s="2423"/>
    </row>
    <row r="40985" spans="6:6">
      <c r="F40985" s="2423"/>
    </row>
    <row r="40986" spans="6:6">
      <c r="F40986" s="2423"/>
    </row>
    <row r="40987" spans="6:6">
      <c r="F40987" s="2423"/>
    </row>
    <row r="40988" spans="6:6">
      <c r="F40988" s="2423"/>
    </row>
    <row r="40989" spans="6:6">
      <c r="F40989" s="2423"/>
    </row>
    <row r="40990" spans="6:6">
      <c r="F40990" s="2423"/>
    </row>
    <row r="40991" spans="6:6">
      <c r="F40991" s="2423"/>
    </row>
    <row r="40992" spans="6:6">
      <c r="F40992" s="2423"/>
    </row>
    <row r="40993" spans="6:6">
      <c r="F40993" s="2423"/>
    </row>
    <row r="40994" spans="6:6">
      <c r="F40994" s="2423"/>
    </row>
    <row r="40995" spans="6:6">
      <c r="F40995" s="2423"/>
    </row>
    <row r="40996" spans="6:6">
      <c r="F40996" s="2423"/>
    </row>
    <row r="40997" spans="6:6">
      <c r="F40997" s="2423"/>
    </row>
    <row r="40998" spans="6:6">
      <c r="F40998" s="2423"/>
    </row>
    <row r="40999" spans="6:6">
      <c r="F40999" s="2423"/>
    </row>
    <row r="41000" spans="6:6">
      <c r="F41000" s="2423"/>
    </row>
    <row r="41001" spans="6:6">
      <c r="F41001" s="2423"/>
    </row>
    <row r="41002" spans="6:6">
      <c r="F41002" s="2423"/>
    </row>
    <row r="41003" spans="6:6">
      <c r="F41003" s="2423"/>
    </row>
    <row r="41004" spans="6:6">
      <c r="F41004" s="2423"/>
    </row>
    <row r="41005" spans="6:6">
      <c r="F41005" s="2423"/>
    </row>
    <row r="41006" spans="6:6">
      <c r="F41006" s="2423"/>
    </row>
    <row r="41007" spans="6:6">
      <c r="F41007" s="2423"/>
    </row>
    <row r="41008" spans="6:6">
      <c r="F41008" s="2423"/>
    </row>
    <row r="41009" spans="6:6">
      <c r="F41009" s="2423"/>
    </row>
    <row r="41010" spans="6:6">
      <c r="F41010" s="2423"/>
    </row>
    <row r="41011" spans="6:6">
      <c r="F41011" s="2423"/>
    </row>
    <row r="41012" spans="6:6">
      <c r="F41012" s="2423"/>
    </row>
    <row r="41013" spans="6:6">
      <c r="F41013" s="2423"/>
    </row>
    <row r="41014" spans="6:6">
      <c r="F41014" s="2423"/>
    </row>
    <row r="41015" spans="6:6">
      <c r="F41015" s="2423"/>
    </row>
    <row r="41016" spans="6:6">
      <c r="F41016" s="2423"/>
    </row>
    <row r="41017" spans="6:6">
      <c r="F41017" s="2423"/>
    </row>
    <row r="41018" spans="6:6">
      <c r="F41018" s="2423"/>
    </row>
    <row r="41019" spans="6:6">
      <c r="F41019" s="2423"/>
    </row>
    <row r="41020" spans="6:6">
      <c r="F41020" s="2423"/>
    </row>
    <row r="41021" spans="6:6">
      <c r="F41021" s="2423"/>
    </row>
    <row r="41022" spans="6:6">
      <c r="F41022" s="2423"/>
    </row>
    <row r="41023" spans="6:6">
      <c r="F41023" s="2423"/>
    </row>
    <row r="41024" spans="6:6">
      <c r="F41024" s="2423"/>
    </row>
    <row r="41025" spans="6:6">
      <c r="F41025" s="2423"/>
    </row>
    <row r="41026" spans="6:6">
      <c r="F41026" s="2423"/>
    </row>
    <row r="41027" spans="6:6">
      <c r="F41027" s="2423"/>
    </row>
    <row r="41028" spans="6:6">
      <c r="F41028" s="2423"/>
    </row>
    <row r="41029" spans="6:6">
      <c r="F41029" s="2423"/>
    </row>
    <row r="41030" spans="6:6">
      <c r="F41030" s="2423"/>
    </row>
    <row r="41031" spans="6:6">
      <c r="F41031" s="2423"/>
    </row>
    <row r="41032" spans="6:6">
      <c r="F41032" s="2423"/>
    </row>
    <row r="41033" spans="6:6">
      <c r="F41033" s="2423"/>
    </row>
    <row r="41034" spans="6:6">
      <c r="F41034" s="2423"/>
    </row>
    <row r="41035" spans="6:6">
      <c r="F41035" s="2423"/>
    </row>
    <row r="41036" spans="6:6">
      <c r="F41036" s="2423"/>
    </row>
    <row r="41037" spans="6:6">
      <c r="F41037" s="2423"/>
    </row>
    <row r="41038" spans="6:6">
      <c r="F41038" s="2423"/>
    </row>
    <row r="41039" spans="6:6">
      <c r="F41039" s="2423"/>
    </row>
    <row r="41040" spans="6:6">
      <c r="F41040" s="2423"/>
    </row>
    <row r="41041" spans="6:6">
      <c r="F41041" s="2423"/>
    </row>
    <row r="41042" spans="6:6">
      <c r="F41042" s="2423"/>
    </row>
    <row r="41043" spans="6:6">
      <c r="F41043" s="2423"/>
    </row>
    <row r="41044" spans="6:6">
      <c r="F41044" s="2423"/>
    </row>
    <row r="41045" spans="6:6">
      <c r="F41045" s="2423"/>
    </row>
    <row r="41046" spans="6:6">
      <c r="F41046" s="2423"/>
    </row>
    <row r="41047" spans="6:6">
      <c r="F41047" s="2423"/>
    </row>
    <row r="41048" spans="6:6">
      <c r="F41048" s="2423"/>
    </row>
    <row r="41049" spans="6:6">
      <c r="F41049" s="2423"/>
    </row>
    <row r="41050" spans="6:6">
      <c r="F41050" s="2423"/>
    </row>
    <row r="41051" spans="6:6">
      <c r="F41051" s="2423"/>
    </row>
    <row r="41052" spans="6:6">
      <c r="F41052" s="2423"/>
    </row>
    <row r="41053" spans="6:6">
      <c r="F41053" s="2423"/>
    </row>
    <row r="41054" spans="6:6">
      <c r="F41054" s="2423"/>
    </row>
    <row r="41055" spans="6:6">
      <c r="F41055" s="2423"/>
    </row>
    <row r="41056" spans="6:6">
      <c r="F41056" s="2423"/>
    </row>
    <row r="41057" spans="6:6">
      <c r="F41057" s="2423"/>
    </row>
    <row r="41058" spans="6:6">
      <c r="F41058" s="2423"/>
    </row>
    <row r="41059" spans="6:6">
      <c r="F41059" s="2423"/>
    </row>
    <row r="41060" spans="6:6">
      <c r="F41060" s="2423"/>
    </row>
    <row r="41061" spans="6:6">
      <c r="F41061" s="2423"/>
    </row>
    <row r="41062" spans="6:6">
      <c r="F41062" s="2423"/>
    </row>
    <row r="41063" spans="6:6">
      <c r="F41063" s="2423"/>
    </row>
    <row r="41064" spans="6:6">
      <c r="F41064" s="2423"/>
    </row>
    <row r="41065" spans="6:6">
      <c r="F41065" s="2423"/>
    </row>
    <row r="41066" spans="6:6">
      <c r="F41066" s="2423"/>
    </row>
    <row r="41067" spans="6:6">
      <c r="F41067" s="2423"/>
    </row>
    <row r="41068" spans="6:6">
      <c r="F41068" s="2423"/>
    </row>
    <row r="41069" spans="6:6">
      <c r="F41069" s="2423"/>
    </row>
    <row r="41070" spans="6:6">
      <c r="F41070" s="2423"/>
    </row>
    <row r="41071" spans="6:6">
      <c r="F41071" s="2423"/>
    </row>
    <row r="41072" spans="6:6">
      <c r="F41072" s="2423"/>
    </row>
    <row r="41073" spans="6:6">
      <c r="F41073" s="2423"/>
    </row>
    <row r="41074" spans="6:6">
      <c r="F41074" s="2423"/>
    </row>
    <row r="41075" spans="6:6">
      <c r="F41075" s="2423"/>
    </row>
    <row r="41076" spans="6:6">
      <c r="F41076" s="2423"/>
    </row>
    <row r="41077" spans="6:6">
      <c r="F41077" s="2423"/>
    </row>
    <row r="41078" spans="6:6">
      <c r="F41078" s="2423"/>
    </row>
    <row r="41079" spans="6:6">
      <c r="F41079" s="2423"/>
    </row>
    <row r="41080" spans="6:6">
      <c r="F41080" s="2423"/>
    </row>
    <row r="41081" spans="6:6">
      <c r="F41081" s="2423"/>
    </row>
    <row r="41082" spans="6:6">
      <c r="F41082" s="2423"/>
    </row>
    <row r="41083" spans="6:6">
      <c r="F41083" s="2423"/>
    </row>
    <row r="41084" spans="6:6">
      <c r="F41084" s="2423"/>
    </row>
    <row r="41085" spans="6:6">
      <c r="F41085" s="2423"/>
    </row>
    <row r="41086" spans="6:6">
      <c r="F41086" s="2423"/>
    </row>
    <row r="41087" spans="6:6">
      <c r="F41087" s="2423"/>
    </row>
    <row r="41088" spans="6:6">
      <c r="F41088" s="2423"/>
    </row>
    <row r="41089" spans="6:6">
      <c r="F41089" s="2423"/>
    </row>
    <row r="41090" spans="6:6">
      <c r="F41090" s="2423"/>
    </row>
    <row r="41091" spans="6:6">
      <c r="F41091" s="2423"/>
    </row>
    <row r="41092" spans="6:6">
      <c r="F41092" s="2423"/>
    </row>
    <row r="41093" spans="6:6">
      <c r="F41093" s="2423"/>
    </row>
    <row r="41094" spans="6:6">
      <c r="F41094" s="2423"/>
    </row>
    <row r="41095" spans="6:6">
      <c r="F41095" s="2423"/>
    </row>
    <row r="41096" spans="6:6">
      <c r="F41096" s="2423"/>
    </row>
    <row r="41097" spans="6:6">
      <c r="F41097" s="2423"/>
    </row>
    <row r="41098" spans="6:6">
      <c r="F41098" s="2423"/>
    </row>
    <row r="41099" spans="6:6">
      <c r="F41099" s="2423"/>
    </row>
    <row r="41100" spans="6:6">
      <c r="F41100" s="2423"/>
    </row>
    <row r="41101" spans="6:6">
      <c r="F41101" s="2423"/>
    </row>
    <row r="41102" spans="6:6">
      <c r="F41102" s="2423"/>
    </row>
    <row r="41103" spans="6:6">
      <c r="F41103" s="2423"/>
    </row>
    <row r="41104" spans="6:6">
      <c r="F41104" s="2423"/>
    </row>
    <row r="41105" spans="6:6">
      <c r="F41105" s="2423"/>
    </row>
    <row r="41106" spans="6:6">
      <c r="F41106" s="2423"/>
    </row>
    <row r="41107" spans="6:6">
      <c r="F41107" s="2423"/>
    </row>
    <row r="41108" spans="6:6">
      <c r="F41108" s="2423"/>
    </row>
    <row r="41109" spans="6:6">
      <c r="F41109" s="2423"/>
    </row>
    <row r="41110" spans="6:6">
      <c r="F41110" s="2423"/>
    </row>
    <row r="41111" spans="6:6">
      <c r="F41111" s="2423"/>
    </row>
    <row r="41112" spans="6:6">
      <c r="F41112" s="2423"/>
    </row>
    <row r="41113" spans="6:6">
      <c r="F41113" s="2423"/>
    </row>
    <row r="41114" spans="6:6">
      <c r="F41114" s="2423"/>
    </row>
    <row r="41115" spans="6:6">
      <c r="F41115" s="2423"/>
    </row>
    <row r="41116" spans="6:6">
      <c r="F41116" s="2423"/>
    </row>
    <row r="41117" spans="6:6">
      <c r="F41117" s="2423"/>
    </row>
    <row r="41118" spans="6:6">
      <c r="F41118" s="2423"/>
    </row>
    <row r="41119" spans="6:6">
      <c r="F41119" s="2423"/>
    </row>
    <row r="41120" spans="6:6">
      <c r="F41120" s="2423"/>
    </row>
    <row r="41121" spans="6:6">
      <c r="F41121" s="2423"/>
    </row>
    <row r="41122" spans="6:6">
      <c r="F41122" s="2423"/>
    </row>
    <row r="41123" spans="6:6">
      <c r="F41123" s="2423"/>
    </row>
    <row r="41124" spans="6:6">
      <c r="F41124" s="2423"/>
    </row>
    <row r="41125" spans="6:6">
      <c r="F41125" s="2423"/>
    </row>
    <row r="41126" spans="6:6">
      <c r="F41126" s="2423"/>
    </row>
    <row r="41127" spans="6:6">
      <c r="F41127" s="2423"/>
    </row>
    <row r="41128" spans="6:6">
      <c r="F41128" s="2423"/>
    </row>
    <row r="41129" spans="6:6">
      <c r="F41129" s="2423"/>
    </row>
    <row r="41130" spans="6:6">
      <c r="F41130" s="2423"/>
    </row>
    <row r="41131" spans="6:6">
      <c r="F41131" s="2423"/>
    </row>
    <row r="41132" spans="6:6">
      <c r="F41132" s="2423"/>
    </row>
    <row r="41133" spans="6:6">
      <c r="F41133" s="2423"/>
    </row>
    <row r="41134" spans="6:6">
      <c r="F41134" s="2423"/>
    </row>
    <row r="41135" spans="6:6">
      <c r="F41135" s="2423"/>
    </row>
    <row r="41136" spans="6:6">
      <c r="F41136" s="2423"/>
    </row>
    <row r="41137" spans="6:6">
      <c r="F41137" s="2423"/>
    </row>
    <row r="41138" spans="6:6">
      <c r="F41138" s="2423"/>
    </row>
    <row r="41139" spans="6:6">
      <c r="F41139" s="2423"/>
    </row>
    <row r="41140" spans="6:6">
      <c r="F41140" s="2423"/>
    </row>
    <row r="41141" spans="6:6">
      <c r="F41141" s="2423"/>
    </row>
    <row r="41142" spans="6:6">
      <c r="F41142" s="2423"/>
    </row>
    <row r="41143" spans="6:6">
      <c r="F41143" s="2423"/>
    </row>
    <row r="41144" spans="6:6">
      <c r="F41144" s="2423"/>
    </row>
    <row r="41145" spans="6:6">
      <c r="F41145" s="2423"/>
    </row>
    <row r="41146" spans="6:6">
      <c r="F41146" s="2423"/>
    </row>
    <row r="41147" spans="6:6">
      <c r="F41147" s="2423"/>
    </row>
    <row r="41148" spans="6:6">
      <c r="F41148" s="2423"/>
    </row>
    <row r="41149" spans="6:6">
      <c r="F41149" s="2423"/>
    </row>
    <row r="41150" spans="6:6">
      <c r="F41150" s="2423"/>
    </row>
    <row r="41151" spans="6:6">
      <c r="F41151" s="2423"/>
    </row>
    <row r="41152" spans="6:6">
      <c r="F41152" s="2423"/>
    </row>
    <row r="41153" spans="6:6">
      <c r="F41153" s="2423"/>
    </row>
    <row r="41154" spans="6:6">
      <c r="F41154" s="2423"/>
    </row>
    <row r="41155" spans="6:6">
      <c r="F41155" s="2423"/>
    </row>
    <row r="41156" spans="6:6">
      <c r="F41156" s="2423"/>
    </row>
    <row r="41157" spans="6:6">
      <c r="F41157" s="2423"/>
    </row>
    <row r="41158" spans="6:6">
      <c r="F41158" s="2423"/>
    </row>
    <row r="41159" spans="6:6">
      <c r="F41159" s="2423"/>
    </row>
    <row r="41160" spans="6:6">
      <c r="F41160" s="2423"/>
    </row>
    <row r="41161" spans="6:6">
      <c r="F41161" s="2423"/>
    </row>
    <row r="41162" spans="6:6">
      <c r="F41162" s="2423"/>
    </row>
    <row r="41163" spans="6:6">
      <c r="F41163" s="2423"/>
    </row>
    <row r="41164" spans="6:6">
      <c r="F41164" s="2423"/>
    </row>
    <row r="41165" spans="6:6">
      <c r="F41165" s="2423"/>
    </row>
    <row r="41166" spans="6:6">
      <c r="F41166" s="2423"/>
    </row>
    <row r="41167" spans="6:6">
      <c r="F41167" s="2423"/>
    </row>
    <row r="41168" spans="6:6">
      <c r="F41168" s="2423"/>
    </row>
    <row r="41169" spans="6:6">
      <c r="F41169" s="2423"/>
    </row>
    <row r="41170" spans="6:6">
      <c r="F41170" s="2423"/>
    </row>
    <row r="41171" spans="6:6">
      <c r="F41171" s="2423"/>
    </row>
    <row r="41172" spans="6:6">
      <c r="F41172" s="2423"/>
    </row>
    <row r="41173" spans="6:6">
      <c r="F41173" s="2423"/>
    </row>
    <row r="41174" spans="6:6">
      <c r="F41174" s="2423"/>
    </row>
    <row r="41175" spans="6:6">
      <c r="F41175" s="2423"/>
    </row>
    <row r="41176" spans="6:6">
      <c r="F41176" s="2423"/>
    </row>
    <row r="41177" spans="6:6">
      <c r="F41177" s="2423"/>
    </row>
    <row r="41178" spans="6:6">
      <c r="F41178" s="2423"/>
    </row>
    <row r="41179" spans="6:6">
      <c r="F41179" s="2423"/>
    </row>
    <row r="41180" spans="6:6">
      <c r="F41180" s="2423"/>
    </row>
    <row r="41181" spans="6:6">
      <c r="F41181" s="2423"/>
    </row>
    <row r="41182" spans="6:6">
      <c r="F41182" s="2423"/>
    </row>
    <row r="41183" spans="6:6">
      <c r="F41183" s="2423"/>
    </row>
    <row r="41184" spans="6:6">
      <c r="F41184" s="2423"/>
    </row>
    <row r="41185" spans="6:6">
      <c r="F41185" s="2423"/>
    </row>
    <row r="41186" spans="6:6">
      <c r="F41186" s="2423"/>
    </row>
    <row r="41187" spans="6:6">
      <c r="F41187" s="2423"/>
    </row>
    <row r="41188" spans="6:6">
      <c r="F41188" s="2423"/>
    </row>
    <row r="41189" spans="6:6">
      <c r="F41189" s="2423"/>
    </row>
    <row r="41190" spans="6:6">
      <c r="F41190" s="2423"/>
    </row>
    <row r="41191" spans="6:6">
      <c r="F41191" s="2423"/>
    </row>
    <row r="41192" spans="6:6">
      <c r="F41192" s="2423"/>
    </row>
    <row r="41193" spans="6:6">
      <c r="F41193" s="2423"/>
    </row>
    <row r="41194" spans="6:6">
      <c r="F41194" s="2423"/>
    </row>
    <row r="41195" spans="6:6">
      <c r="F41195" s="2423"/>
    </row>
    <row r="41196" spans="6:6">
      <c r="F41196" s="2423"/>
    </row>
    <row r="41197" spans="6:6">
      <c r="F41197" s="2423"/>
    </row>
    <row r="41198" spans="6:6">
      <c r="F41198" s="2423"/>
    </row>
    <row r="41199" spans="6:6">
      <c r="F41199" s="2423"/>
    </row>
    <row r="41200" spans="6:6">
      <c r="F41200" s="2423"/>
    </row>
    <row r="41201" spans="6:6">
      <c r="F41201" s="2423"/>
    </row>
    <row r="41202" spans="6:6">
      <c r="F41202" s="2423"/>
    </row>
    <row r="41203" spans="6:6">
      <c r="F41203" s="2423"/>
    </row>
    <row r="41204" spans="6:6">
      <c r="F41204" s="2423"/>
    </row>
    <row r="41205" spans="6:6">
      <c r="F41205" s="2423"/>
    </row>
    <row r="41206" spans="6:6">
      <c r="F41206" s="2423"/>
    </row>
    <row r="41207" spans="6:6">
      <c r="F41207" s="2423"/>
    </row>
    <row r="41208" spans="6:6">
      <c r="F41208" s="2423"/>
    </row>
    <row r="41209" spans="6:6">
      <c r="F41209" s="2423"/>
    </row>
    <row r="41210" spans="6:6">
      <c r="F41210" s="2423"/>
    </row>
    <row r="41211" spans="6:6">
      <c r="F41211" s="2423"/>
    </row>
    <row r="41212" spans="6:6">
      <c r="F41212" s="2423"/>
    </row>
    <row r="41213" spans="6:6">
      <c r="F41213" s="2423"/>
    </row>
    <row r="41214" spans="6:6">
      <c r="F41214" s="2423"/>
    </row>
    <row r="41215" spans="6:6">
      <c r="F41215" s="2423"/>
    </row>
    <row r="41216" spans="6:6">
      <c r="F41216" s="2423"/>
    </row>
    <row r="41217" spans="6:6">
      <c r="F41217" s="2423"/>
    </row>
    <row r="41218" spans="6:6">
      <c r="F41218" s="2423"/>
    </row>
    <row r="41219" spans="6:6">
      <c r="F41219" s="2423"/>
    </row>
    <row r="41220" spans="6:6">
      <c r="F41220" s="2423"/>
    </row>
    <row r="41221" spans="6:6">
      <c r="F41221" s="2423"/>
    </row>
    <row r="41222" spans="6:6">
      <c r="F41222" s="2423"/>
    </row>
    <row r="41223" spans="6:6">
      <c r="F41223" s="2423"/>
    </row>
    <row r="41224" spans="6:6">
      <c r="F41224" s="2423"/>
    </row>
    <row r="41225" spans="6:6">
      <c r="F41225" s="2423"/>
    </row>
    <row r="41226" spans="6:6">
      <c r="F41226" s="2423"/>
    </row>
    <row r="41227" spans="6:6">
      <c r="F41227" s="2423"/>
    </row>
    <row r="41228" spans="6:6">
      <c r="F41228" s="2423"/>
    </row>
    <row r="41229" spans="6:6">
      <c r="F41229" s="2423"/>
    </row>
    <row r="41230" spans="6:6">
      <c r="F41230" s="2423"/>
    </row>
    <row r="41231" spans="6:6">
      <c r="F41231" s="2423"/>
    </row>
    <row r="41232" spans="6:6">
      <c r="F41232" s="2423"/>
    </row>
    <row r="41233" spans="6:6">
      <c r="F41233" s="2423"/>
    </row>
    <row r="41234" spans="6:6">
      <c r="F41234" s="2423"/>
    </row>
    <row r="41235" spans="6:6">
      <c r="F41235" s="2423"/>
    </row>
    <row r="41236" spans="6:6">
      <c r="F41236" s="2423"/>
    </row>
    <row r="41237" spans="6:6">
      <c r="F41237" s="2423"/>
    </row>
    <row r="41238" spans="6:6">
      <c r="F41238" s="2423"/>
    </row>
    <row r="41239" spans="6:6">
      <c r="F41239" s="2423"/>
    </row>
    <row r="41240" spans="6:6">
      <c r="F41240" s="2423"/>
    </row>
    <row r="41241" spans="6:6">
      <c r="F41241" s="2423"/>
    </row>
    <row r="41242" spans="6:6">
      <c r="F41242" s="2423"/>
    </row>
    <row r="41243" spans="6:6">
      <c r="F41243" s="2423"/>
    </row>
    <row r="41244" spans="6:6">
      <c r="F41244" s="2423"/>
    </row>
    <row r="41245" spans="6:6">
      <c r="F41245" s="2423"/>
    </row>
    <row r="41246" spans="6:6">
      <c r="F41246" s="2423"/>
    </row>
    <row r="41247" spans="6:6">
      <c r="F41247" s="2423"/>
    </row>
    <row r="41248" spans="6:6">
      <c r="F41248" s="2423"/>
    </row>
    <row r="41249" spans="6:6">
      <c r="F41249" s="2423"/>
    </row>
    <row r="41250" spans="6:6">
      <c r="F41250" s="2423"/>
    </row>
    <row r="41251" spans="6:6">
      <c r="F41251" s="2423"/>
    </row>
    <row r="41252" spans="6:6">
      <c r="F41252" s="2423"/>
    </row>
    <row r="41253" spans="6:6">
      <c r="F41253" s="2423"/>
    </row>
    <row r="41254" spans="6:6">
      <c r="F41254" s="2423"/>
    </row>
    <row r="41255" spans="6:6">
      <c r="F41255" s="2423"/>
    </row>
    <row r="41256" spans="6:6">
      <c r="F41256" s="2423"/>
    </row>
    <row r="41257" spans="6:6">
      <c r="F41257" s="2423"/>
    </row>
    <row r="41258" spans="6:6">
      <c r="F41258" s="2423"/>
    </row>
    <row r="41259" spans="6:6">
      <c r="F41259" s="2423"/>
    </row>
    <row r="41260" spans="6:6">
      <c r="F41260" s="2423"/>
    </row>
    <row r="41261" spans="6:6">
      <c r="F41261" s="2423"/>
    </row>
    <row r="41262" spans="6:6">
      <c r="F41262" s="2423"/>
    </row>
    <row r="41263" spans="6:6">
      <c r="F41263" s="2423"/>
    </row>
    <row r="41264" spans="6:6">
      <c r="F41264" s="2423"/>
    </row>
    <row r="41265" spans="6:6">
      <c r="F41265" s="2423"/>
    </row>
    <row r="41266" spans="6:6">
      <c r="F41266" s="2423"/>
    </row>
    <row r="41267" spans="6:6">
      <c r="F41267" s="2423"/>
    </row>
    <row r="41268" spans="6:6">
      <c r="F41268" s="2423"/>
    </row>
    <row r="41269" spans="6:6">
      <c r="F41269" s="2423"/>
    </row>
    <row r="41270" spans="6:6">
      <c r="F41270" s="2423"/>
    </row>
    <row r="41271" spans="6:6">
      <c r="F41271" s="2423"/>
    </row>
    <row r="41272" spans="6:6">
      <c r="F41272" s="2423"/>
    </row>
    <row r="41273" spans="6:6">
      <c r="F41273" s="2423"/>
    </row>
    <row r="41274" spans="6:6">
      <c r="F41274" s="2423"/>
    </row>
    <row r="41275" spans="6:6">
      <c r="F41275" s="2423"/>
    </row>
    <row r="41276" spans="6:6">
      <c r="F41276" s="2423"/>
    </row>
    <row r="41277" spans="6:6">
      <c r="F41277" s="2423"/>
    </row>
    <row r="41278" spans="6:6">
      <c r="F41278" s="2423"/>
    </row>
    <row r="41279" spans="6:6">
      <c r="F41279" s="2423"/>
    </row>
    <row r="41280" spans="6:6">
      <c r="F41280" s="2423"/>
    </row>
    <row r="41281" spans="6:6">
      <c r="F41281" s="2423"/>
    </row>
    <row r="41282" spans="6:6">
      <c r="F41282" s="2423"/>
    </row>
    <row r="41283" spans="6:6">
      <c r="F41283" s="2423"/>
    </row>
    <row r="41284" spans="6:6">
      <c r="F41284" s="2423"/>
    </row>
    <row r="41285" spans="6:6">
      <c r="F41285" s="2423"/>
    </row>
    <row r="41286" spans="6:6">
      <c r="F41286" s="2423"/>
    </row>
    <row r="41287" spans="6:6">
      <c r="F41287" s="2423"/>
    </row>
    <row r="41288" spans="6:6">
      <c r="F41288" s="2423"/>
    </row>
    <row r="41289" spans="6:6">
      <c r="F41289" s="2423"/>
    </row>
    <row r="41290" spans="6:6">
      <c r="F41290" s="2423"/>
    </row>
    <row r="41291" spans="6:6">
      <c r="F41291" s="2423"/>
    </row>
    <row r="41292" spans="6:6">
      <c r="F41292" s="2423"/>
    </row>
    <row r="41293" spans="6:6">
      <c r="F41293" s="2423"/>
    </row>
    <row r="41294" spans="6:6">
      <c r="F41294" s="2423"/>
    </row>
    <row r="41295" spans="6:6">
      <c r="F41295" s="2423"/>
    </row>
    <row r="41296" spans="6:6">
      <c r="F41296" s="2423"/>
    </row>
    <row r="41297" spans="6:6">
      <c r="F41297" s="2423"/>
    </row>
    <row r="41298" spans="6:6">
      <c r="F41298" s="2423"/>
    </row>
    <row r="41299" spans="6:6">
      <c r="F41299" s="2423"/>
    </row>
    <row r="41300" spans="6:6">
      <c r="F41300" s="2423"/>
    </row>
    <row r="41301" spans="6:6">
      <c r="F41301" s="2423"/>
    </row>
    <row r="41302" spans="6:6">
      <c r="F41302" s="2423"/>
    </row>
    <row r="41303" spans="6:6">
      <c r="F41303" s="2423"/>
    </row>
    <row r="41304" spans="6:6">
      <c r="F41304" s="2423"/>
    </row>
    <row r="41305" spans="6:6">
      <c r="F41305" s="2423"/>
    </row>
    <row r="41306" spans="6:6">
      <c r="F41306" s="2423"/>
    </row>
    <row r="41307" spans="6:6">
      <c r="F41307" s="2423"/>
    </row>
    <row r="41308" spans="6:6">
      <c r="F41308" s="2423"/>
    </row>
    <row r="41309" spans="6:6">
      <c r="F41309" s="2423"/>
    </row>
    <row r="41310" spans="6:6">
      <c r="F41310" s="2423"/>
    </row>
    <row r="41311" spans="6:6">
      <c r="F41311" s="2423"/>
    </row>
    <row r="41312" spans="6:6">
      <c r="F41312" s="2423"/>
    </row>
    <row r="41313" spans="6:6">
      <c r="F41313" s="2423"/>
    </row>
    <row r="41314" spans="6:6">
      <c r="F41314" s="2423"/>
    </row>
    <row r="41315" spans="6:6">
      <c r="F41315" s="2423"/>
    </row>
    <row r="41316" spans="6:6">
      <c r="F41316" s="2423"/>
    </row>
    <row r="41317" spans="6:6">
      <c r="F41317" s="2423"/>
    </row>
    <row r="41318" spans="6:6">
      <c r="F41318" s="2423"/>
    </row>
    <row r="41319" spans="6:6">
      <c r="F41319" s="2423"/>
    </row>
    <row r="41320" spans="6:6">
      <c r="F41320" s="2423"/>
    </row>
    <row r="41321" spans="6:6">
      <c r="F41321" s="2423"/>
    </row>
    <row r="41322" spans="6:6">
      <c r="F41322" s="2423"/>
    </row>
    <row r="41323" spans="6:6">
      <c r="F41323" s="2423"/>
    </row>
    <row r="41324" spans="6:6">
      <c r="F41324" s="2423"/>
    </row>
    <row r="41325" spans="6:6">
      <c r="F41325" s="2423"/>
    </row>
    <row r="41326" spans="6:6">
      <c r="F41326" s="2423"/>
    </row>
    <row r="41327" spans="6:6">
      <c r="F41327" s="2423"/>
    </row>
    <row r="41328" spans="6:6">
      <c r="F41328" s="2423"/>
    </row>
    <row r="41329" spans="6:6">
      <c r="F41329" s="2423"/>
    </row>
    <row r="41330" spans="6:6">
      <c r="F41330" s="2423"/>
    </row>
    <row r="41331" spans="6:6">
      <c r="F41331" s="2423"/>
    </row>
    <row r="41332" spans="6:6">
      <c r="F41332" s="2423"/>
    </row>
    <row r="41333" spans="6:6">
      <c r="F41333" s="2423"/>
    </row>
    <row r="41334" spans="6:6">
      <c r="F41334" s="2423"/>
    </row>
    <row r="41335" spans="6:6">
      <c r="F41335" s="2423"/>
    </row>
    <row r="41336" spans="6:6">
      <c r="F41336" s="2423"/>
    </row>
    <row r="41337" spans="6:6">
      <c r="F41337" s="2423"/>
    </row>
    <row r="41338" spans="6:6">
      <c r="F41338" s="2423"/>
    </row>
    <row r="41339" spans="6:6">
      <c r="F41339" s="2423"/>
    </row>
    <row r="41340" spans="6:6">
      <c r="F41340" s="2423"/>
    </row>
    <row r="41341" spans="6:6">
      <c r="F41341" s="2423"/>
    </row>
    <row r="41342" spans="6:6">
      <c r="F41342" s="2423"/>
    </row>
    <row r="41343" spans="6:6">
      <c r="F41343" s="2423"/>
    </row>
    <row r="41344" spans="6:6">
      <c r="F41344" s="2423"/>
    </row>
    <row r="41345" spans="6:6">
      <c r="F41345" s="2423"/>
    </row>
    <row r="41346" spans="6:6">
      <c r="F41346" s="2423"/>
    </row>
    <row r="41347" spans="6:6">
      <c r="F41347" s="2423"/>
    </row>
    <row r="41348" spans="6:6">
      <c r="F41348" s="2423"/>
    </row>
    <row r="41349" spans="6:6">
      <c r="F41349" s="2423"/>
    </row>
    <row r="41350" spans="6:6">
      <c r="F41350" s="2423"/>
    </row>
    <row r="41351" spans="6:6">
      <c r="F41351" s="2423"/>
    </row>
    <row r="41352" spans="6:6">
      <c r="F41352" s="2423"/>
    </row>
    <row r="41353" spans="6:6">
      <c r="F41353" s="2423"/>
    </row>
    <row r="41354" spans="6:6">
      <c r="F41354" s="2423"/>
    </row>
    <row r="41355" spans="6:6">
      <c r="F41355" s="2423"/>
    </row>
    <row r="41356" spans="6:6">
      <c r="F41356" s="2423"/>
    </row>
    <row r="41357" spans="6:6">
      <c r="F41357" s="2423"/>
    </row>
    <row r="41358" spans="6:6">
      <c r="F41358" s="2423"/>
    </row>
    <row r="41359" spans="6:6">
      <c r="F41359" s="2423"/>
    </row>
    <row r="41360" spans="6:6">
      <c r="F41360" s="2423"/>
    </row>
    <row r="41361" spans="6:6">
      <c r="F41361" s="2423"/>
    </row>
    <row r="41362" spans="6:6">
      <c r="F41362" s="2423"/>
    </row>
    <row r="41363" spans="6:6">
      <c r="F41363" s="2423"/>
    </row>
    <row r="41364" spans="6:6">
      <c r="F41364" s="2423"/>
    </row>
    <row r="41365" spans="6:6">
      <c r="F41365" s="2423"/>
    </row>
    <row r="41366" spans="6:6">
      <c r="F41366" s="2423"/>
    </row>
    <row r="41367" spans="6:6">
      <c r="F41367" s="2423"/>
    </row>
    <row r="41368" spans="6:6">
      <c r="F41368" s="2423"/>
    </row>
    <row r="41369" spans="6:6">
      <c r="F41369" s="2423"/>
    </row>
    <row r="41370" spans="6:6">
      <c r="F41370" s="2423"/>
    </row>
    <row r="41371" spans="6:6">
      <c r="F41371" s="2423"/>
    </row>
    <row r="41372" spans="6:6">
      <c r="F41372" s="2423"/>
    </row>
    <row r="41373" spans="6:6">
      <c r="F41373" s="2423"/>
    </row>
    <row r="41374" spans="6:6">
      <c r="F41374" s="2423"/>
    </row>
    <row r="41375" spans="6:6">
      <c r="F41375" s="2423"/>
    </row>
    <row r="41376" spans="6:6">
      <c r="F41376" s="2423"/>
    </row>
    <row r="41377" spans="6:6">
      <c r="F41377" s="2423"/>
    </row>
    <row r="41378" spans="6:6">
      <c r="F41378" s="2423"/>
    </row>
    <row r="41379" spans="6:6">
      <c r="F41379" s="2423"/>
    </row>
    <row r="41380" spans="6:6">
      <c r="F41380" s="2423"/>
    </row>
    <row r="41381" spans="6:6">
      <c r="F41381" s="2423"/>
    </row>
    <row r="41382" spans="6:6">
      <c r="F41382" s="2423"/>
    </row>
    <row r="41383" spans="6:6">
      <c r="F41383" s="2423"/>
    </row>
    <row r="41384" spans="6:6">
      <c r="F41384" s="2423"/>
    </row>
    <row r="41385" spans="6:6">
      <c r="F41385" s="2423"/>
    </row>
    <row r="41386" spans="6:6">
      <c r="F41386" s="2423"/>
    </row>
    <row r="41387" spans="6:6">
      <c r="F41387" s="2423"/>
    </row>
    <row r="41388" spans="6:6">
      <c r="F41388" s="2423"/>
    </row>
    <row r="41389" spans="6:6">
      <c r="F41389" s="2423"/>
    </row>
    <row r="41390" spans="6:6">
      <c r="F41390" s="2423"/>
    </row>
    <row r="41391" spans="6:6">
      <c r="F41391" s="2423"/>
    </row>
    <row r="41392" spans="6:6">
      <c r="F41392" s="2423"/>
    </row>
    <row r="41393" spans="6:6">
      <c r="F41393" s="2423"/>
    </row>
    <row r="41394" spans="6:6">
      <c r="F41394" s="2423"/>
    </row>
    <row r="41395" spans="6:6">
      <c r="F41395" s="2423"/>
    </row>
    <row r="41396" spans="6:6">
      <c r="F41396" s="2423"/>
    </row>
    <row r="41397" spans="6:6">
      <c r="F41397" s="2423"/>
    </row>
    <row r="41398" spans="6:6">
      <c r="F41398" s="2423"/>
    </row>
    <row r="41399" spans="6:6">
      <c r="F41399" s="2423"/>
    </row>
    <row r="41400" spans="6:6">
      <c r="F41400" s="2423"/>
    </row>
    <row r="41401" spans="6:6">
      <c r="F41401" s="2423"/>
    </row>
    <row r="41402" spans="6:6">
      <c r="F41402" s="2423"/>
    </row>
    <row r="41403" spans="6:6">
      <c r="F41403" s="2423"/>
    </row>
    <row r="41404" spans="6:6">
      <c r="F41404" s="2423"/>
    </row>
    <row r="41405" spans="6:6">
      <c r="F41405" s="2423"/>
    </row>
    <row r="41406" spans="6:6">
      <c r="F41406" s="2423"/>
    </row>
    <row r="41407" spans="6:6">
      <c r="F41407" s="2423"/>
    </row>
    <row r="41408" spans="6:6">
      <c r="F41408" s="2423"/>
    </row>
    <row r="41409" spans="6:6">
      <c r="F41409" s="2423"/>
    </row>
    <row r="41410" spans="6:6">
      <c r="F41410" s="2423"/>
    </row>
    <row r="41411" spans="6:6">
      <c r="F41411" s="2423"/>
    </row>
    <row r="41412" spans="6:6">
      <c r="F41412" s="2423"/>
    </row>
    <row r="41413" spans="6:6">
      <c r="F41413" s="2423"/>
    </row>
    <row r="41414" spans="6:6">
      <c r="F41414" s="2423"/>
    </row>
    <row r="41415" spans="6:6">
      <c r="F41415" s="2423"/>
    </row>
    <row r="41416" spans="6:6">
      <c r="F41416" s="2423"/>
    </row>
    <row r="41417" spans="6:6">
      <c r="F41417" s="2423"/>
    </row>
    <row r="41418" spans="6:6">
      <c r="F41418" s="2423"/>
    </row>
    <row r="41419" spans="6:6">
      <c r="F41419" s="2423"/>
    </row>
    <row r="41420" spans="6:6">
      <c r="F41420" s="2423"/>
    </row>
    <row r="41421" spans="6:6">
      <c r="F41421" s="2423"/>
    </row>
    <row r="41422" spans="6:6">
      <c r="F41422" s="2423"/>
    </row>
    <row r="41423" spans="6:6">
      <c r="F41423" s="2423"/>
    </row>
    <row r="41424" spans="6:6">
      <c r="F41424" s="2423"/>
    </row>
    <row r="41425" spans="6:6">
      <c r="F41425" s="2423"/>
    </row>
    <row r="41426" spans="6:6">
      <c r="F41426" s="2423"/>
    </row>
    <row r="41427" spans="6:6">
      <c r="F41427" s="2423"/>
    </row>
    <row r="41428" spans="6:6">
      <c r="F41428" s="2423"/>
    </row>
    <row r="41429" spans="6:6">
      <c r="F41429" s="2423"/>
    </row>
    <row r="41430" spans="6:6">
      <c r="F41430" s="2423"/>
    </row>
    <row r="41431" spans="6:6">
      <c r="F41431" s="2423"/>
    </row>
    <row r="41432" spans="6:6">
      <c r="F41432" s="2423"/>
    </row>
    <row r="41433" spans="6:6">
      <c r="F41433" s="2423"/>
    </row>
    <row r="41434" spans="6:6">
      <c r="F41434" s="2423"/>
    </row>
    <row r="41435" spans="6:6">
      <c r="F41435" s="2423"/>
    </row>
    <row r="41436" spans="6:6">
      <c r="F41436" s="2423"/>
    </row>
    <row r="41437" spans="6:6">
      <c r="F41437" s="2423"/>
    </row>
    <row r="41438" spans="6:6">
      <c r="F41438" s="2423"/>
    </row>
    <row r="41439" spans="6:6">
      <c r="F41439" s="2423"/>
    </row>
    <row r="41440" spans="6:6">
      <c r="F41440" s="2423"/>
    </row>
    <row r="41441" spans="6:6">
      <c r="F41441" s="2423"/>
    </row>
    <row r="41442" spans="6:6">
      <c r="F41442" s="2423"/>
    </row>
    <row r="41443" spans="6:6">
      <c r="F41443" s="2423"/>
    </row>
    <row r="41444" spans="6:6">
      <c r="F41444" s="2423"/>
    </row>
    <row r="41445" spans="6:6">
      <c r="F41445" s="2423"/>
    </row>
    <row r="41446" spans="6:6">
      <c r="F41446" s="2423"/>
    </row>
    <row r="41447" spans="6:6">
      <c r="F41447" s="2423"/>
    </row>
    <row r="41448" spans="6:6">
      <c r="F41448" s="2423"/>
    </row>
    <row r="41449" spans="6:6">
      <c r="F41449" s="2423"/>
    </row>
    <row r="41450" spans="6:6">
      <c r="F41450" s="2423"/>
    </row>
    <row r="41451" spans="6:6">
      <c r="F41451" s="2423"/>
    </row>
    <row r="41452" spans="6:6">
      <c r="F41452" s="2423"/>
    </row>
    <row r="41453" spans="6:6">
      <c r="F41453" s="2423"/>
    </row>
    <row r="41454" spans="6:6">
      <c r="F41454" s="2423"/>
    </row>
    <row r="41455" spans="6:6">
      <c r="F41455" s="2423"/>
    </row>
    <row r="41456" spans="6:6">
      <c r="F41456" s="2423"/>
    </row>
    <row r="41457" spans="6:6">
      <c r="F41457" s="2423"/>
    </row>
    <row r="41458" spans="6:6">
      <c r="F41458" s="2423"/>
    </row>
    <row r="41459" spans="6:6">
      <c r="F41459" s="2423"/>
    </row>
    <row r="41460" spans="6:6">
      <c r="F41460" s="2423"/>
    </row>
    <row r="41461" spans="6:6">
      <c r="F41461" s="2423"/>
    </row>
    <row r="41462" spans="6:6">
      <c r="F41462" s="2423"/>
    </row>
    <row r="41463" spans="6:6">
      <c r="F41463" s="2423"/>
    </row>
    <row r="41464" spans="6:6">
      <c r="F41464" s="2423"/>
    </row>
    <row r="41465" spans="6:6">
      <c r="F41465" s="2423"/>
    </row>
    <row r="41466" spans="6:6">
      <c r="F41466" s="2423"/>
    </row>
    <row r="41467" spans="6:6">
      <c r="F41467" s="2423"/>
    </row>
    <row r="41468" spans="6:6">
      <c r="F41468" s="2423"/>
    </row>
    <row r="41469" spans="6:6">
      <c r="F41469" s="2423"/>
    </row>
    <row r="41470" spans="6:6">
      <c r="F41470" s="2423"/>
    </row>
    <row r="41471" spans="6:6">
      <c r="F41471" s="2423"/>
    </row>
    <row r="41472" spans="6:6">
      <c r="F41472" s="2423"/>
    </row>
    <row r="41473" spans="6:6">
      <c r="F41473" s="2423"/>
    </row>
    <row r="41474" spans="6:6">
      <c r="F41474" s="2423"/>
    </row>
    <row r="41475" spans="6:6">
      <c r="F41475" s="2423"/>
    </row>
    <row r="41476" spans="6:6">
      <c r="F41476" s="2423"/>
    </row>
    <row r="41477" spans="6:6">
      <c r="F41477" s="2423"/>
    </row>
    <row r="41478" spans="6:6">
      <c r="F41478" s="2423"/>
    </row>
    <row r="41479" spans="6:6">
      <c r="F41479" s="2423"/>
    </row>
    <row r="41480" spans="6:6">
      <c r="F41480" s="2423"/>
    </row>
    <row r="41481" spans="6:6">
      <c r="F41481" s="2423"/>
    </row>
    <row r="41482" spans="6:6">
      <c r="F41482" s="2423"/>
    </row>
    <row r="41483" spans="6:6">
      <c r="F41483" s="2423"/>
    </row>
    <row r="41484" spans="6:6">
      <c r="F41484" s="2423"/>
    </row>
    <row r="41485" spans="6:6">
      <c r="F41485" s="2423"/>
    </row>
    <row r="41486" spans="6:6">
      <c r="F41486" s="2423"/>
    </row>
    <row r="41487" spans="6:6">
      <c r="F41487" s="2423"/>
    </row>
    <row r="41488" spans="6:6">
      <c r="F41488" s="2423"/>
    </row>
    <row r="41489" spans="6:6">
      <c r="F41489" s="2423"/>
    </row>
    <row r="41490" spans="6:6">
      <c r="F41490" s="2423"/>
    </row>
    <row r="41491" spans="6:6">
      <c r="F41491" s="2423"/>
    </row>
    <row r="41492" spans="6:6">
      <c r="F41492" s="2423"/>
    </row>
    <row r="41493" spans="6:6">
      <c r="F41493" s="2423"/>
    </row>
    <row r="41494" spans="6:6">
      <c r="F41494" s="2423"/>
    </row>
    <row r="41495" spans="6:6">
      <c r="F41495" s="2423"/>
    </row>
    <row r="41496" spans="6:6">
      <c r="F41496" s="2423"/>
    </row>
    <row r="41497" spans="6:6">
      <c r="F41497" s="2423"/>
    </row>
    <row r="41498" spans="6:6">
      <c r="F41498" s="2423"/>
    </row>
    <row r="41499" spans="6:6">
      <c r="F41499" s="2423"/>
    </row>
    <row r="41500" spans="6:6">
      <c r="F41500" s="2423"/>
    </row>
    <row r="41501" spans="6:6">
      <c r="F41501" s="2423"/>
    </row>
    <row r="41502" spans="6:6">
      <c r="F41502" s="2423"/>
    </row>
    <row r="41503" spans="6:6">
      <c r="F41503" s="2423"/>
    </row>
    <row r="41504" spans="6:6">
      <c r="F41504" s="2423"/>
    </row>
    <row r="41505" spans="6:6">
      <c r="F41505" s="2423"/>
    </row>
    <row r="41506" spans="6:6">
      <c r="F41506" s="2423"/>
    </row>
    <row r="41507" spans="6:6">
      <c r="F41507" s="2423"/>
    </row>
    <row r="41508" spans="6:6">
      <c r="F41508" s="2423"/>
    </row>
    <row r="41509" spans="6:6">
      <c r="F41509" s="2423"/>
    </row>
    <row r="41510" spans="6:6">
      <c r="F41510" s="2423"/>
    </row>
    <row r="41511" spans="6:6">
      <c r="F41511" s="2423"/>
    </row>
    <row r="41512" spans="6:6">
      <c r="F41512" s="2423"/>
    </row>
    <row r="41513" spans="6:6">
      <c r="F41513" s="2423"/>
    </row>
    <row r="41514" spans="6:6">
      <c r="F41514" s="2423"/>
    </row>
    <row r="41515" spans="6:6">
      <c r="F41515" s="2423"/>
    </row>
    <row r="41516" spans="6:6">
      <c r="F41516" s="2423"/>
    </row>
    <row r="41517" spans="6:6">
      <c r="F41517" s="2423"/>
    </row>
    <row r="41518" spans="6:6">
      <c r="F41518" s="2423"/>
    </row>
    <row r="41519" spans="6:6">
      <c r="F41519" s="2423"/>
    </row>
    <row r="41520" spans="6:6">
      <c r="F41520" s="2423"/>
    </row>
    <row r="41521" spans="6:6">
      <c r="F41521" s="2423"/>
    </row>
    <row r="41522" spans="6:6">
      <c r="F41522" s="2423"/>
    </row>
    <row r="41523" spans="6:6">
      <c r="F41523" s="2423"/>
    </row>
    <row r="41524" spans="6:6">
      <c r="F41524" s="2423"/>
    </row>
    <row r="41525" spans="6:6">
      <c r="F41525" s="2423"/>
    </row>
    <row r="41526" spans="6:6">
      <c r="F41526" s="2423"/>
    </row>
    <row r="41527" spans="6:6">
      <c r="F41527" s="2423"/>
    </row>
    <row r="41528" spans="6:6">
      <c r="F41528" s="2423"/>
    </row>
    <row r="41529" spans="6:6">
      <c r="F41529" s="2423"/>
    </row>
    <row r="41530" spans="6:6">
      <c r="F41530" s="2423"/>
    </row>
    <row r="41531" spans="6:6">
      <c r="F41531" s="2423"/>
    </row>
    <row r="41532" spans="6:6">
      <c r="F41532" s="2423"/>
    </row>
    <row r="41533" spans="6:6">
      <c r="F41533" s="2423"/>
    </row>
    <row r="41534" spans="6:6">
      <c r="F41534" s="2423"/>
    </row>
    <row r="41535" spans="6:6">
      <c r="F41535" s="2423"/>
    </row>
    <row r="41536" spans="6:6">
      <c r="F41536" s="2423"/>
    </row>
    <row r="41537" spans="6:6">
      <c r="F41537" s="2423"/>
    </row>
    <row r="41538" spans="6:6">
      <c r="F41538" s="2423"/>
    </row>
    <row r="41539" spans="6:6">
      <c r="F41539" s="2423"/>
    </row>
    <row r="41540" spans="6:6">
      <c r="F41540" s="2423"/>
    </row>
    <row r="41541" spans="6:6">
      <c r="F41541" s="2423"/>
    </row>
    <row r="41542" spans="6:6">
      <c r="F41542" s="2423"/>
    </row>
    <row r="41543" spans="6:6">
      <c r="F41543" s="2423"/>
    </row>
    <row r="41544" spans="6:6">
      <c r="F41544" s="2423"/>
    </row>
    <row r="41545" spans="6:6">
      <c r="F41545" s="2423"/>
    </row>
    <row r="41546" spans="6:6">
      <c r="F41546" s="2423"/>
    </row>
    <row r="41547" spans="6:6">
      <c r="F41547" s="2423"/>
    </row>
    <row r="41548" spans="6:6">
      <c r="F41548" s="2423"/>
    </row>
    <row r="41549" spans="6:6">
      <c r="F41549" s="2423"/>
    </row>
    <row r="41550" spans="6:6">
      <c r="F41550" s="2423"/>
    </row>
    <row r="41551" spans="6:6">
      <c r="F41551" s="2423"/>
    </row>
    <row r="41552" spans="6:6">
      <c r="F41552" s="2423"/>
    </row>
    <row r="41553" spans="6:6">
      <c r="F41553" s="2423"/>
    </row>
    <row r="41554" spans="6:6">
      <c r="F41554" s="2423"/>
    </row>
    <row r="41555" spans="6:6">
      <c r="F41555" s="2423"/>
    </row>
    <row r="41556" spans="6:6">
      <c r="F41556" s="2423"/>
    </row>
    <row r="41557" spans="6:6">
      <c r="F41557" s="2423"/>
    </row>
    <row r="41558" spans="6:6">
      <c r="F41558" s="2423"/>
    </row>
    <row r="41559" spans="6:6">
      <c r="F41559" s="2423"/>
    </row>
    <row r="41560" spans="6:6">
      <c r="F41560" s="2423"/>
    </row>
    <row r="41561" spans="6:6">
      <c r="F41561" s="2423"/>
    </row>
    <row r="41562" spans="6:6">
      <c r="F41562" s="2423"/>
    </row>
    <row r="41563" spans="6:6">
      <c r="F41563" s="2423"/>
    </row>
    <row r="41564" spans="6:6">
      <c r="F41564" s="2423"/>
    </row>
    <row r="41565" spans="6:6">
      <c r="F41565" s="2423"/>
    </row>
    <row r="41566" spans="6:6">
      <c r="F41566" s="2423"/>
    </row>
    <row r="41567" spans="6:6">
      <c r="F41567" s="2423"/>
    </row>
    <row r="41568" spans="6:6">
      <c r="F41568" s="2423"/>
    </row>
    <row r="41569" spans="6:6">
      <c r="F41569" s="2423"/>
    </row>
    <row r="41570" spans="6:6">
      <c r="F41570" s="2423"/>
    </row>
    <row r="41571" spans="6:6">
      <c r="F41571" s="2423"/>
    </row>
    <row r="41572" spans="6:6">
      <c r="F41572" s="2423"/>
    </row>
    <row r="41573" spans="6:6">
      <c r="F41573" s="2423"/>
    </row>
    <row r="41574" spans="6:6">
      <c r="F41574" s="2423"/>
    </row>
    <row r="41575" spans="6:6">
      <c r="F41575" s="2423"/>
    </row>
    <row r="41576" spans="6:6">
      <c r="F41576" s="2423"/>
    </row>
    <row r="41577" spans="6:6">
      <c r="F41577" s="2423"/>
    </row>
    <row r="41578" spans="6:6">
      <c r="F41578" s="2423"/>
    </row>
    <row r="41579" spans="6:6">
      <c r="F41579" s="2423"/>
    </row>
    <row r="41580" spans="6:6">
      <c r="F41580" s="2423"/>
    </row>
    <row r="41581" spans="6:6">
      <c r="F41581" s="2423"/>
    </row>
    <row r="41582" spans="6:6">
      <c r="F41582" s="2423"/>
    </row>
    <row r="41583" spans="6:6">
      <c r="F41583" s="2423"/>
    </row>
    <row r="41584" spans="6:6">
      <c r="F41584" s="2423"/>
    </row>
    <row r="41585" spans="6:6">
      <c r="F41585" s="2423"/>
    </row>
    <row r="41586" spans="6:6">
      <c r="F41586" s="2423"/>
    </row>
    <row r="41587" spans="6:6">
      <c r="F41587" s="2423"/>
    </row>
    <row r="41588" spans="6:6">
      <c r="F41588" s="2423"/>
    </row>
    <row r="41589" spans="6:6">
      <c r="F41589" s="2423"/>
    </row>
    <row r="41590" spans="6:6">
      <c r="F41590" s="2423"/>
    </row>
    <row r="41591" spans="6:6">
      <c r="F41591" s="2423"/>
    </row>
    <row r="41592" spans="6:6">
      <c r="F41592" s="2423"/>
    </row>
    <row r="41593" spans="6:6">
      <c r="F41593" s="2423"/>
    </row>
    <row r="41594" spans="6:6">
      <c r="F41594" s="2423"/>
    </row>
    <row r="41595" spans="6:6">
      <c r="F41595" s="2423"/>
    </row>
    <row r="41596" spans="6:6">
      <c r="F41596" s="2423"/>
    </row>
    <row r="41597" spans="6:6">
      <c r="F41597" s="2423"/>
    </row>
    <row r="41598" spans="6:6">
      <c r="F41598" s="2423"/>
    </row>
    <row r="41599" spans="6:6">
      <c r="F41599" s="2423"/>
    </row>
    <row r="41600" spans="6:6">
      <c r="F41600" s="2423"/>
    </row>
    <row r="41601" spans="6:6">
      <c r="F41601" s="2423"/>
    </row>
    <row r="41602" spans="6:6">
      <c r="F41602" s="2423"/>
    </row>
    <row r="41603" spans="6:6">
      <c r="F41603" s="2423"/>
    </row>
    <row r="41604" spans="6:6">
      <c r="F41604" s="2423"/>
    </row>
    <row r="41605" spans="6:6">
      <c r="F41605" s="2423"/>
    </row>
    <row r="41606" spans="6:6">
      <c r="F41606" s="2423"/>
    </row>
    <row r="41607" spans="6:6">
      <c r="F41607" s="2423"/>
    </row>
    <row r="41608" spans="6:6">
      <c r="F41608" s="2423"/>
    </row>
    <row r="41609" spans="6:6">
      <c r="F41609" s="2423"/>
    </row>
    <row r="41610" spans="6:6">
      <c r="F41610" s="2423"/>
    </row>
    <row r="41611" spans="6:6">
      <c r="F41611" s="2423"/>
    </row>
    <row r="41612" spans="6:6">
      <c r="F41612" s="2423"/>
    </row>
    <row r="41613" spans="6:6">
      <c r="F41613" s="2423"/>
    </row>
    <row r="41614" spans="6:6">
      <c r="F41614" s="2423"/>
    </row>
    <row r="41615" spans="6:6">
      <c r="F41615" s="2423"/>
    </row>
    <row r="41616" spans="6:6">
      <c r="F41616" s="2423"/>
    </row>
    <row r="41617" spans="6:6">
      <c r="F41617" s="2423"/>
    </row>
    <row r="41618" spans="6:6">
      <c r="F41618" s="2423"/>
    </row>
    <row r="41619" spans="6:6">
      <c r="F41619" s="2423"/>
    </row>
    <row r="41620" spans="6:6">
      <c r="F41620" s="2423"/>
    </row>
    <row r="41621" spans="6:6">
      <c r="F41621" s="2423"/>
    </row>
    <row r="41622" spans="6:6">
      <c r="F41622" s="2423"/>
    </row>
    <row r="41623" spans="6:6">
      <c r="F41623" s="2423"/>
    </row>
    <row r="41624" spans="6:6">
      <c r="F41624" s="2423"/>
    </row>
    <row r="41625" spans="6:6">
      <c r="F41625" s="2423"/>
    </row>
    <row r="41626" spans="6:6">
      <c r="F41626" s="2423"/>
    </row>
    <row r="41627" spans="6:6">
      <c r="F41627" s="2423"/>
    </row>
    <row r="41628" spans="6:6">
      <c r="F41628" s="2423"/>
    </row>
    <row r="41629" spans="6:6">
      <c r="F41629" s="2423"/>
    </row>
    <row r="41630" spans="6:6">
      <c r="F41630" s="2423"/>
    </row>
    <row r="41631" spans="6:6">
      <c r="F41631" s="2423"/>
    </row>
    <row r="41632" spans="6:6">
      <c r="F41632" s="2423"/>
    </row>
    <row r="41633" spans="6:6">
      <c r="F41633" s="2423"/>
    </row>
    <row r="41634" spans="6:6">
      <c r="F41634" s="2423"/>
    </row>
    <row r="41635" spans="6:6">
      <c r="F41635" s="2423"/>
    </row>
    <row r="41636" spans="6:6">
      <c r="F41636" s="2423"/>
    </row>
    <row r="41637" spans="6:6">
      <c r="F41637" s="2423"/>
    </row>
    <row r="41638" spans="6:6">
      <c r="F41638" s="2423"/>
    </row>
    <row r="41639" spans="6:6">
      <c r="F41639" s="2423"/>
    </row>
    <row r="41640" spans="6:6">
      <c r="F41640" s="2423"/>
    </row>
    <row r="41641" spans="6:6">
      <c r="F41641" s="2423"/>
    </row>
    <row r="41642" spans="6:6">
      <c r="F41642" s="2423"/>
    </row>
    <row r="41643" spans="6:6">
      <c r="F41643" s="2423"/>
    </row>
    <row r="41644" spans="6:6">
      <c r="F41644" s="2423"/>
    </row>
    <row r="41645" spans="6:6">
      <c r="F41645" s="2423"/>
    </row>
    <row r="41646" spans="6:6">
      <c r="F41646" s="2423"/>
    </row>
    <row r="41647" spans="6:6">
      <c r="F41647" s="2423"/>
    </row>
    <row r="41648" spans="6:6">
      <c r="F41648" s="2423"/>
    </row>
    <row r="41649" spans="6:6">
      <c r="F41649" s="2423"/>
    </row>
    <row r="41650" spans="6:6">
      <c r="F41650" s="2423"/>
    </row>
    <row r="41651" spans="6:6">
      <c r="F41651" s="2423"/>
    </row>
    <row r="41652" spans="6:6">
      <c r="F41652" s="2423"/>
    </row>
    <row r="41653" spans="6:6">
      <c r="F41653" s="2423"/>
    </row>
    <row r="41654" spans="6:6">
      <c r="F41654" s="2423"/>
    </row>
    <row r="41655" spans="6:6">
      <c r="F41655" s="2423"/>
    </row>
    <row r="41656" spans="6:6">
      <c r="F41656" s="2423"/>
    </row>
    <row r="41657" spans="6:6">
      <c r="F41657" s="2423"/>
    </row>
    <row r="41658" spans="6:6">
      <c r="F41658" s="2423"/>
    </row>
    <row r="41659" spans="6:6">
      <c r="F41659" s="2423"/>
    </row>
    <row r="41660" spans="6:6">
      <c r="F41660" s="2423"/>
    </row>
    <row r="41661" spans="6:6">
      <c r="F41661" s="2423"/>
    </row>
    <row r="41662" spans="6:6">
      <c r="F41662" s="2423"/>
    </row>
    <row r="41663" spans="6:6">
      <c r="F41663" s="2423"/>
    </row>
    <row r="41664" spans="6:6">
      <c r="F41664" s="2423"/>
    </row>
    <row r="41665" spans="6:6">
      <c r="F41665" s="2423"/>
    </row>
    <row r="41666" spans="6:6">
      <c r="F41666" s="2423"/>
    </row>
    <row r="41667" spans="6:6">
      <c r="F41667" s="2423"/>
    </row>
    <row r="41668" spans="6:6">
      <c r="F41668" s="2423"/>
    </row>
    <row r="41669" spans="6:6">
      <c r="F41669" s="2423"/>
    </row>
    <row r="41670" spans="6:6">
      <c r="F41670" s="2423"/>
    </row>
    <row r="41671" spans="6:6">
      <c r="F41671" s="2423"/>
    </row>
    <row r="41672" spans="6:6">
      <c r="F41672" s="2423"/>
    </row>
    <row r="41673" spans="6:6">
      <c r="F41673" s="2423"/>
    </row>
    <row r="41674" spans="6:6">
      <c r="F41674" s="2423"/>
    </row>
    <row r="41675" spans="6:6">
      <c r="F41675" s="2423"/>
    </row>
    <row r="41676" spans="6:6">
      <c r="F41676" s="2423"/>
    </row>
    <row r="41677" spans="6:6">
      <c r="F41677" s="2423"/>
    </row>
    <row r="41678" spans="6:6">
      <c r="F41678" s="2423"/>
    </row>
    <row r="41679" spans="6:6">
      <c r="F41679" s="2423"/>
    </row>
    <row r="41680" spans="6:6">
      <c r="F41680" s="2423"/>
    </row>
    <row r="41681" spans="6:6">
      <c r="F41681" s="2423"/>
    </row>
    <row r="41682" spans="6:6">
      <c r="F41682" s="2423"/>
    </row>
    <row r="41683" spans="6:6">
      <c r="F41683" s="2423"/>
    </row>
    <row r="41684" spans="6:6">
      <c r="F41684" s="2423"/>
    </row>
    <row r="41685" spans="6:6">
      <c r="F41685" s="2423"/>
    </row>
    <row r="41686" spans="6:6">
      <c r="F41686" s="2423"/>
    </row>
    <row r="41687" spans="6:6">
      <c r="F41687" s="2423"/>
    </row>
    <row r="41688" spans="6:6">
      <c r="F41688" s="2423"/>
    </row>
    <row r="41689" spans="6:6">
      <c r="F41689" s="2423"/>
    </row>
    <row r="41690" spans="6:6">
      <c r="F41690" s="2423"/>
    </row>
    <row r="41691" spans="6:6">
      <c r="F41691" s="2423"/>
    </row>
    <row r="41692" spans="6:6">
      <c r="F41692" s="2423"/>
    </row>
    <row r="41693" spans="6:6">
      <c r="F41693" s="2423"/>
    </row>
    <row r="41694" spans="6:6">
      <c r="F41694" s="2423"/>
    </row>
    <row r="41695" spans="6:6">
      <c r="F41695" s="2423"/>
    </row>
    <row r="41696" spans="6:6">
      <c r="F41696" s="2423"/>
    </row>
    <row r="41697" spans="6:6">
      <c r="F41697" s="2423"/>
    </row>
    <row r="41698" spans="6:6">
      <c r="F41698" s="2423"/>
    </row>
    <row r="41699" spans="6:6">
      <c r="F41699" s="2423"/>
    </row>
    <row r="41700" spans="6:6">
      <c r="F41700" s="2423"/>
    </row>
    <row r="41701" spans="6:6">
      <c r="F41701" s="2423"/>
    </row>
    <row r="41702" spans="6:6">
      <c r="F41702" s="2423"/>
    </row>
    <row r="41703" spans="6:6">
      <c r="F41703" s="2423"/>
    </row>
    <row r="41704" spans="6:6">
      <c r="F41704" s="2423"/>
    </row>
    <row r="41705" spans="6:6">
      <c r="F41705" s="2423"/>
    </row>
    <row r="41706" spans="6:6">
      <c r="F41706" s="2423"/>
    </row>
    <row r="41707" spans="6:6">
      <c r="F41707" s="2423"/>
    </row>
    <row r="41708" spans="6:6">
      <c r="F41708" s="2423"/>
    </row>
    <row r="41709" spans="6:6">
      <c r="F41709" s="2423"/>
    </row>
    <row r="41710" spans="6:6">
      <c r="F41710" s="2423"/>
    </row>
    <row r="41711" spans="6:6">
      <c r="F41711" s="2423"/>
    </row>
    <row r="41712" spans="6:6">
      <c r="F41712" s="2423"/>
    </row>
    <row r="41713" spans="6:6">
      <c r="F41713" s="2423"/>
    </row>
    <row r="41714" spans="6:6">
      <c r="F41714" s="2423"/>
    </row>
    <row r="41715" spans="6:6">
      <c r="F41715" s="2423"/>
    </row>
    <row r="41716" spans="6:6">
      <c r="F41716" s="2423"/>
    </row>
    <row r="41717" spans="6:6">
      <c r="F41717" s="2423"/>
    </row>
    <row r="41718" spans="6:6">
      <c r="F41718" s="2423"/>
    </row>
    <row r="41719" spans="6:6">
      <c r="F41719" s="2423"/>
    </row>
    <row r="41720" spans="6:6">
      <c r="F41720" s="2423"/>
    </row>
    <row r="41721" spans="6:6">
      <c r="F41721" s="2423"/>
    </row>
    <row r="41722" spans="6:6">
      <c r="F41722" s="2423"/>
    </row>
    <row r="41723" spans="6:6">
      <c r="F41723" s="2423"/>
    </row>
    <row r="41724" spans="6:6">
      <c r="F41724" s="2423"/>
    </row>
    <row r="41725" spans="6:6">
      <c r="F41725" s="2423"/>
    </row>
    <row r="41726" spans="6:6">
      <c r="F41726" s="2423"/>
    </row>
    <row r="41727" spans="6:6">
      <c r="F41727" s="2423"/>
    </row>
    <row r="41728" spans="6:6">
      <c r="F41728" s="2423"/>
    </row>
    <row r="41729" spans="6:6">
      <c r="F41729" s="2423"/>
    </row>
    <row r="41730" spans="6:6">
      <c r="F41730" s="2423"/>
    </row>
    <row r="41731" spans="6:6">
      <c r="F41731" s="2423"/>
    </row>
    <row r="41732" spans="6:6">
      <c r="F41732" s="2423"/>
    </row>
    <row r="41733" spans="6:6">
      <c r="F41733" s="2423"/>
    </row>
    <row r="41734" spans="6:6">
      <c r="F41734" s="2423"/>
    </row>
    <row r="41735" spans="6:6">
      <c r="F41735" s="2423"/>
    </row>
    <row r="41736" spans="6:6">
      <c r="F41736" s="2423"/>
    </row>
    <row r="41737" spans="6:6">
      <c r="F41737" s="2423"/>
    </row>
    <row r="41738" spans="6:6">
      <c r="F41738" s="2423"/>
    </row>
    <row r="41739" spans="6:6">
      <c r="F41739" s="2423"/>
    </row>
    <row r="41740" spans="6:6">
      <c r="F41740" s="2423"/>
    </row>
    <row r="41741" spans="6:6">
      <c r="F41741" s="2423"/>
    </row>
    <row r="41742" spans="6:6">
      <c r="F41742" s="2423"/>
    </row>
    <row r="41743" spans="6:6">
      <c r="F41743" s="2423"/>
    </row>
    <row r="41744" spans="6:6">
      <c r="F41744" s="2423"/>
    </row>
    <row r="41745" spans="6:6">
      <c r="F41745" s="2423"/>
    </row>
    <row r="41746" spans="6:6">
      <c r="F41746" s="2423"/>
    </row>
    <row r="41747" spans="6:6">
      <c r="F41747" s="2423"/>
    </row>
    <row r="41748" spans="6:6">
      <c r="F41748" s="2423"/>
    </row>
    <row r="41749" spans="6:6">
      <c r="F41749" s="2423"/>
    </row>
    <row r="41750" spans="6:6">
      <c r="F41750" s="2423"/>
    </row>
    <row r="41751" spans="6:6">
      <c r="F41751" s="2423"/>
    </row>
    <row r="41752" spans="6:6">
      <c r="F41752" s="2423"/>
    </row>
    <row r="41753" spans="6:6">
      <c r="F41753" s="2423"/>
    </row>
    <row r="41754" spans="6:6">
      <c r="F41754" s="2423"/>
    </row>
    <row r="41755" spans="6:6">
      <c r="F41755" s="2423"/>
    </row>
    <row r="41756" spans="6:6">
      <c r="F41756" s="2423"/>
    </row>
    <row r="41757" spans="6:6">
      <c r="F41757" s="2423"/>
    </row>
    <row r="41758" spans="6:6">
      <c r="F41758" s="2423"/>
    </row>
    <row r="41759" spans="6:6">
      <c r="F41759" s="2423"/>
    </row>
    <row r="41760" spans="6:6">
      <c r="F41760" s="2423"/>
    </row>
    <row r="41761" spans="6:6">
      <c r="F41761" s="2423"/>
    </row>
    <row r="41762" spans="6:6">
      <c r="F41762" s="2423"/>
    </row>
    <row r="41763" spans="6:6">
      <c r="F41763" s="2423"/>
    </row>
    <row r="41764" spans="6:6">
      <c r="F41764" s="2423"/>
    </row>
    <row r="41765" spans="6:6">
      <c r="F41765" s="2423"/>
    </row>
    <row r="41766" spans="6:6">
      <c r="F41766" s="2423"/>
    </row>
    <row r="41767" spans="6:6">
      <c r="F41767" s="2423"/>
    </row>
    <row r="41768" spans="6:6">
      <c r="F41768" s="2423"/>
    </row>
    <row r="41769" spans="6:6">
      <c r="F41769" s="2423"/>
    </row>
    <row r="41770" spans="6:6">
      <c r="F41770" s="2423"/>
    </row>
    <row r="41771" spans="6:6">
      <c r="F41771" s="2423"/>
    </row>
    <row r="41772" spans="6:6">
      <c r="F41772" s="2423"/>
    </row>
    <row r="41773" spans="6:6">
      <c r="F41773" s="2423"/>
    </row>
    <row r="41774" spans="6:6">
      <c r="F41774" s="2423"/>
    </row>
    <row r="41775" spans="6:6">
      <c r="F41775" s="2423"/>
    </row>
    <row r="41776" spans="6:6">
      <c r="F41776" s="2423"/>
    </row>
    <row r="41777" spans="6:6">
      <c r="F41777" s="2423"/>
    </row>
    <row r="41778" spans="6:6">
      <c r="F41778" s="2423"/>
    </row>
    <row r="41779" spans="6:6">
      <c r="F41779" s="2423"/>
    </row>
    <row r="41780" spans="6:6">
      <c r="F41780" s="2423"/>
    </row>
    <row r="41781" spans="6:6">
      <c r="F41781" s="2423"/>
    </row>
    <row r="41782" spans="6:6">
      <c r="F41782" s="2423"/>
    </row>
    <row r="41783" spans="6:6">
      <c r="F41783" s="2423"/>
    </row>
    <row r="41784" spans="6:6">
      <c r="F41784" s="2423"/>
    </row>
    <row r="41785" spans="6:6">
      <c r="F41785" s="2423"/>
    </row>
    <row r="41786" spans="6:6">
      <c r="F41786" s="2423"/>
    </row>
    <row r="41787" spans="6:6">
      <c r="F41787" s="2423"/>
    </row>
    <row r="41788" spans="6:6">
      <c r="F41788" s="2423"/>
    </row>
    <row r="41789" spans="6:6">
      <c r="F41789" s="2423"/>
    </row>
    <row r="41790" spans="6:6">
      <c r="F41790" s="2423"/>
    </row>
    <row r="41791" spans="6:6">
      <c r="F41791" s="2423"/>
    </row>
    <row r="41792" spans="6:6">
      <c r="F41792" s="2423"/>
    </row>
    <row r="41793" spans="6:6">
      <c r="F41793" s="2423"/>
    </row>
    <row r="41794" spans="6:6">
      <c r="F41794" s="2423"/>
    </row>
    <row r="41795" spans="6:6">
      <c r="F41795" s="2423"/>
    </row>
    <row r="41796" spans="6:6">
      <c r="F41796" s="2423"/>
    </row>
    <row r="41797" spans="6:6">
      <c r="F41797" s="2423"/>
    </row>
    <row r="41798" spans="6:6">
      <c r="F41798" s="2423"/>
    </row>
    <row r="41799" spans="6:6">
      <c r="F41799" s="2423"/>
    </row>
    <row r="41800" spans="6:6">
      <c r="F41800" s="2423"/>
    </row>
    <row r="41801" spans="6:6">
      <c r="F41801" s="2423"/>
    </row>
    <row r="41802" spans="6:6">
      <c r="F41802" s="2423"/>
    </row>
    <row r="41803" spans="6:6">
      <c r="F41803" s="2423"/>
    </row>
    <row r="41804" spans="6:6">
      <c r="F41804" s="2423"/>
    </row>
    <row r="41805" spans="6:6">
      <c r="F41805" s="2423"/>
    </row>
    <row r="41806" spans="6:6">
      <c r="F41806" s="2423"/>
    </row>
    <row r="41807" spans="6:6">
      <c r="F41807" s="2423"/>
    </row>
    <row r="41808" spans="6:6">
      <c r="F41808" s="2423"/>
    </row>
    <row r="41809" spans="6:6">
      <c r="F41809" s="2423"/>
    </row>
    <row r="41810" spans="6:6">
      <c r="F41810" s="2423"/>
    </row>
    <row r="41811" spans="6:6">
      <c r="F41811" s="2423"/>
    </row>
    <row r="41812" spans="6:6">
      <c r="F41812" s="2423"/>
    </row>
    <row r="41813" spans="6:6">
      <c r="F41813" s="2423"/>
    </row>
    <row r="41814" spans="6:6">
      <c r="F41814" s="2423"/>
    </row>
    <row r="41815" spans="6:6">
      <c r="F41815" s="2423"/>
    </row>
    <row r="41816" spans="6:6">
      <c r="F41816" s="2423"/>
    </row>
    <row r="41817" spans="6:6">
      <c r="F41817" s="2423"/>
    </row>
    <row r="41818" spans="6:6">
      <c r="F41818" s="2423"/>
    </row>
    <row r="41819" spans="6:6">
      <c r="F41819" s="2423"/>
    </row>
    <row r="41820" spans="6:6">
      <c r="F41820" s="2423"/>
    </row>
    <row r="41821" spans="6:6">
      <c r="F41821" s="2423"/>
    </row>
    <row r="41822" spans="6:6">
      <c r="F41822" s="2423"/>
    </row>
    <row r="41823" spans="6:6">
      <c r="F41823" s="2423"/>
    </row>
    <row r="41824" spans="6:6">
      <c r="F41824" s="2423"/>
    </row>
    <row r="41825" spans="6:6">
      <c r="F41825" s="2423"/>
    </row>
    <row r="41826" spans="6:6">
      <c r="F41826" s="2423"/>
    </row>
    <row r="41827" spans="6:6">
      <c r="F41827" s="2423"/>
    </row>
    <row r="41828" spans="6:6">
      <c r="F41828" s="2423"/>
    </row>
    <row r="41829" spans="6:6">
      <c r="F41829" s="2423"/>
    </row>
    <row r="41830" spans="6:6">
      <c r="F41830" s="2423"/>
    </row>
    <row r="41831" spans="6:6">
      <c r="F41831" s="2423"/>
    </row>
    <row r="41832" spans="6:6">
      <c r="F41832" s="2423"/>
    </row>
    <row r="41833" spans="6:6">
      <c r="F41833" s="2423"/>
    </row>
    <row r="41834" spans="6:6">
      <c r="F41834" s="2423"/>
    </row>
    <row r="41835" spans="6:6">
      <c r="F41835" s="2423"/>
    </row>
    <row r="41836" spans="6:6">
      <c r="F41836" s="2423"/>
    </row>
    <row r="41837" spans="6:6">
      <c r="F41837" s="2423"/>
    </row>
    <row r="41838" spans="6:6">
      <c r="F41838" s="2423"/>
    </row>
    <row r="41839" spans="6:6">
      <c r="F41839" s="2423"/>
    </row>
    <row r="41840" spans="6:6">
      <c r="F41840" s="2423"/>
    </row>
    <row r="41841" spans="6:6">
      <c r="F41841" s="2423"/>
    </row>
    <row r="41842" spans="6:6">
      <c r="F41842" s="2423"/>
    </row>
    <row r="41843" spans="6:6">
      <c r="F41843" s="2423"/>
    </row>
    <row r="41844" spans="6:6">
      <c r="F41844" s="2423"/>
    </row>
    <row r="41845" spans="6:6">
      <c r="F41845" s="2423"/>
    </row>
    <row r="41846" spans="6:6">
      <c r="F41846" s="2423"/>
    </row>
    <row r="41847" spans="6:6">
      <c r="F41847" s="2423"/>
    </row>
    <row r="41848" spans="6:6">
      <c r="F41848" s="2423"/>
    </row>
    <row r="41849" spans="6:6">
      <c r="F41849" s="2423"/>
    </row>
    <row r="41850" spans="6:6">
      <c r="F41850" s="2423"/>
    </row>
    <row r="41851" spans="6:6">
      <c r="F41851" s="2423"/>
    </row>
    <row r="41852" spans="6:6">
      <c r="F41852" s="2423"/>
    </row>
    <row r="41853" spans="6:6">
      <c r="F41853" s="2423"/>
    </row>
    <row r="41854" spans="6:6">
      <c r="F41854" s="2423"/>
    </row>
    <row r="41855" spans="6:6">
      <c r="F41855" s="2423"/>
    </row>
    <row r="41856" spans="6:6">
      <c r="F41856" s="2423"/>
    </row>
    <row r="41857" spans="6:6">
      <c r="F41857" s="2423"/>
    </row>
    <row r="41858" spans="6:6">
      <c r="F41858" s="2423"/>
    </row>
    <row r="41859" spans="6:6">
      <c r="F41859" s="2423"/>
    </row>
    <row r="41860" spans="6:6">
      <c r="F41860" s="2423"/>
    </row>
    <row r="41861" spans="6:6">
      <c r="F41861" s="2423"/>
    </row>
    <row r="41862" spans="6:6">
      <c r="F41862" s="2423"/>
    </row>
    <row r="41863" spans="6:6">
      <c r="F41863" s="2423"/>
    </row>
    <row r="41864" spans="6:6">
      <c r="F41864" s="2423"/>
    </row>
    <row r="41865" spans="6:6">
      <c r="F41865" s="2423"/>
    </row>
    <row r="41866" spans="6:6">
      <c r="F41866" s="2423"/>
    </row>
    <row r="41867" spans="6:6">
      <c r="F41867" s="2423"/>
    </row>
    <row r="41868" spans="6:6">
      <c r="F41868" s="2423"/>
    </row>
    <row r="41869" spans="6:6">
      <c r="F41869" s="2423"/>
    </row>
    <row r="41870" spans="6:6">
      <c r="F41870" s="2423"/>
    </row>
    <row r="41871" spans="6:6">
      <c r="F41871" s="2423"/>
    </row>
    <row r="41872" spans="6:6">
      <c r="F41872" s="2423"/>
    </row>
    <row r="41873" spans="6:6">
      <c r="F41873" s="2423"/>
    </row>
    <row r="41874" spans="6:6">
      <c r="F41874" s="2423"/>
    </row>
    <row r="41875" spans="6:6">
      <c r="F41875" s="2423"/>
    </row>
    <row r="41876" spans="6:6">
      <c r="F41876" s="2423"/>
    </row>
    <row r="41877" spans="6:6">
      <c r="F41877" s="2423"/>
    </row>
    <row r="41878" spans="6:6">
      <c r="F41878" s="2423"/>
    </row>
    <row r="41879" spans="6:6">
      <c r="F41879" s="2423"/>
    </row>
    <row r="41880" spans="6:6">
      <c r="F41880" s="2423"/>
    </row>
    <row r="41881" spans="6:6">
      <c r="F41881" s="2423"/>
    </row>
    <row r="41882" spans="6:6">
      <c r="F41882" s="2423"/>
    </row>
    <row r="41883" spans="6:6">
      <c r="F41883" s="2423"/>
    </row>
    <row r="41884" spans="6:6">
      <c r="F41884" s="2423"/>
    </row>
    <row r="41885" spans="6:6">
      <c r="F41885" s="2423"/>
    </row>
    <row r="41886" spans="6:6">
      <c r="F41886" s="2423"/>
    </row>
    <row r="41887" spans="6:6">
      <c r="F41887" s="2423"/>
    </row>
    <row r="41888" spans="6:6">
      <c r="F41888" s="2423"/>
    </row>
    <row r="41889" spans="6:6">
      <c r="F41889" s="2423"/>
    </row>
    <row r="41890" spans="6:6">
      <c r="F41890" s="2423"/>
    </row>
    <row r="41891" spans="6:6">
      <c r="F41891" s="2423"/>
    </row>
    <row r="41892" spans="6:6">
      <c r="F41892" s="2423"/>
    </row>
    <row r="41893" spans="6:6">
      <c r="F41893" s="2423"/>
    </row>
    <row r="41894" spans="6:6">
      <c r="F41894" s="2423"/>
    </row>
    <row r="41895" spans="6:6">
      <c r="F41895" s="2423"/>
    </row>
    <row r="41896" spans="6:6">
      <c r="F41896" s="2423"/>
    </row>
    <row r="41897" spans="6:6">
      <c r="F41897" s="2423"/>
    </row>
    <row r="41898" spans="6:6">
      <c r="F41898" s="2423"/>
    </row>
    <row r="41899" spans="6:6">
      <c r="F41899" s="2423"/>
    </row>
    <row r="41900" spans="6:6">
      <c r="F41900" s="2423"/>
    </row>
    <row r="41901" spans="6:6">
      <c r="F41901" s="2423"/>
    </row>
    <row r="41902" spans="6:6">
      <c r="F41902" s="2423"/>
    </row>
    <row r="41903" spans="6:6">
      <c r="F41903" s="2423"/>
    </row>
    <row r="41904" spans="6:6">
      <c r="F41904" s="2423"/>
    </row>
    <row r="41905" spans="6:6">
      <c r="F41905" s="2423"/>
    </row>
    <row r="41906" spans="6:6">
      <c r="F41906" s="2423"/>
    </row>
    <row r="41907" spans="6:6">
      <c r="F41907" s="2423"/>
    </row>
    <row r="41908" spans="6:6">
      <c r="F41908" s="2423"/>
    </row>
    <row r="41909" spans="6:6">
      <c r="F41909" s="2423"/>
    </row>
    <row r="41910" spans="6:6">
      <c r="F41910" s="2423"/>
    </row>
    <row r="41911" spans="6:6">
      <c r="F41911" s="2423"/>
    </row>
    <row r="41912" spans="6:6">
      <c r="F41912" s="2423"/>
    </row>
    <row r="41913" spans="6:6">
      <c r="F41913" s="2423"/>
    </row>
    <row r="41914" spans="6:6">
      <c r="F41914" s="2423"/>
    </row>
    <row r="41915" spans="6:6">
      <c r="F41915" s="2423"/>
    </row>
    <row r="41916" spans="6:6">
      <c r="F41916" s="2423"/>
    </row>
    <row r="41917" spans="6:6">
      <c r="F41917" s="2423"/>
    </row>
    <row r="41918" spans="6:6">
      <c r="F41918" s="2423"/>
    </row>
    <row r="41919" spans="6:6">
      <c r="F41919" s="2423"/>
    </row>
    <row r="41920" spans="6:6">
      <c r="F41920" s="2423"/>
    </row>
    <row r="41921" spans="6:6">
      <c r="F41921" s="2423"/>
    </row>
    <row r="41922" spans="6:6">
      <c r="F41922" s="2423"/>
    </row>
    <row r="41923" spans="6:6">
      <c r="F41923" s="2423"/>
    </row>
    <row r="41924" spans="6:6">
      <c r="F41924" s="2423"/>
    </row>
    <row r="41925" spans="6:6">
      <c r="F41925" s="2423"/>
    </row>
    <row r="41926" spans="6:6">
      <c r="F41926" s="2423"/>
    </row>
    <row r="41927" spans="6:6">
      <c r="F41927" s="2423"/>
    </row>
    <row r="41928" spans="6:6">
      <c r="F41928" s="2423"/>
    </row>
    <row r="41929" spans="6:6">
      <c r="F41929" s="2423"/>
    </row>
    <row r="41930" spans="6:6">
      <c r="F41930" s="2423"/>
    </row>
    <row r="41931" spans="6:6">
      <c r="F41931" s="2423"/>
    </row>
    <row r="41932" spans="6:6">
      <c r="F41932" s="2423"/>
    </row>
    <row r="41933" spans="6:6">
      <c r="F41933" s="2423"/>
    </row>
    <row r="41934" spans="6:6">
      <c r="F41934" s="2423"/>
    </row>
    <row r="41935" spans="6:6">
      <c r="F41935" s="2423"/>
    </row>
    <row r="41936" spans="6:6">
      <c r="F41936" s="2423"/>
    </row>
    <row r="41937" spans="6:6">
      <c r="F41937" s="2423"/>
    </row>
    <row r="41938" spans="6:6">
      <c r="F41938" s="2423"/>
    </row>
    <row r="41939" spans="6:6">
      <c r="F41939" s="2423"/>
    </row>
    <row r="41940" spans="6:6">
      <c r="F41940" s="2423"/>
    </row>
    <row r="41941" spans="6:6">
      <c r="F41941" s="2423"/>
    </row>
    <row r="41942" spans="6:6">
      <c r="F41942" s="2423"/>
    </row>
    <row r="41943" spans="6:6">
      <c r="F41943" s="2423"/>
    </row>
    <row r="41944" spans="6:6">
      <c r="F41944" s="2423"/>
    </row>
    <row r="41945" spans="6:6">
      <c r="F41945" s="2423"/>
    </row>
    <row r="41946" spans="6:6">
      <c r="F41946" s="2423"/>
    </row>
    <row r="41947" spans="6:6">
      <c r="F41947" s="2423"/>
    </row>
    <row r="41948" spans="6:6">
      <c r="F41948" s="2423"/>
    </row>
    <row r="41949" spans="6:6">
      <c r="F41949" s="2423"/>
    </row>
    <row r="41950" spans="6:6">
      <c r="F41950" s="2423"/>
    </row>
    <row r="41951" spans="6:6">
      <c r="F41951" s="2423"/>
    </row>
    <row r="41952" spans="6:6">
      <c r="F41952" s="2423"/>
    </row>
    <row r="41953" spans="6:6">
      <c r="F41953" s="2423"/>
    </row>
    <row r="41954" spans="6:6">
      <c r="F41954" s="2423"/>
    </row>
    <row r="41955" spans="6:6">
      <c r="F41955" s="2423"/>
    </row>
    <row r="41956" spans="6:6">
      <c r="F41956" s="2423"/>
    </row>
    <row r="41957" spans="6:6">
      <c r="F41957" s="2423"/>
    </row>
    <row r="41958" spans="6:6">
      <c r="F41958" s="2423"/>
    </row>
    <row r="41959" spans="6:6">
      <c r="F41959" s="2423"/>
    </row>
    <row r="41960" spans="6:6">
      <c r="F41960" s="2423"/>
    </row>
    <row r="41961" spans="6:6">
      <c r="F41961" s="2423"/>
    </row>
    <row r="41962" spans="6:6">
      <c r="F41962" s="2423"/>
    </row>
    <row r="41963" spans="6:6">
      <c r="F41963" s="2423"/>
    </row>
    <row r="41964" spans="6:6">
      <c r="F41964" s="2423"/>
    </row>
    <row r="41965" spans="6:6">
      <c r="F41965" s="2423"/>
    </row>
    <row r="41966" spans="6:6">
      <c r="F41966" s="2423"/>
    </row>
    <row r="41967" spans="6:6">
      <c r="F41967" s="2423"/>
    </row>
    <row r="41968" spans="6:6">
      <c r="F41968" s="2423"/>
    </row>
    <row r="41969" spans="6:6">
      <c r="F41969" s="2423"/>
    </row>
    <row r="41970" spans="6:6">
      <c r="F41970" s="2423"/>
    </row>
    <row r="41971" spans="6:6">
      <c r="F41971" s="2423"/>
    </row>
    <row r="41972" spans="6:6">
      <c r="F41972" s="2423"/>
    </row>
    <row r="41973" spans="6:6">
      <c r="F41973" s="2423"/>
    </row>
    <row r="41974" spans="6:6">
      <c r="F41974" s="2423"/>
    </row>
    <row r="41975" spans="6:6">
      <c r="F41975" s="2423"/>
    </row>
    <row r="41976" spans="6:6">
      <c r="F41976" s="2423"/>
    </row>
    <row r="41977" spans="6:6">
      <c r="F41977" s="2423"/>
    </row>
    <row r="41978" spans="6:6">
      <c r="F41978" s="2423"/>
    </row>
    <row r="41979" spans="6:6">
      <c r="F41979" s="2423"/>
    </row>
    <row r="41980" spans="6:6">
      <c r="F41980" s="2423"/>
    </row>
    <row r="41981" spans="6:6">
      <c r="F41981" s="2423"/>
    </row>
    <row r="41982" spans="6:6">
      <c r="F41982" s="2423"/>
    </row>
    <row r="41983" spans="6:6">
      <c r="F41983" s="2423"/>
    </row>
    <row r="41984" spans="6:6">
      <c r="F41984" s="2423"/>
    </row>
    <row r="41985" spans="6:6">
      <c r="F41985" s="2423"/>
    </row>
    <row r="41986" spans="6:6">
      <c r="F41986" s="2423"/>
    </row>
    <row r="41987" spans="6:6">
      <c r="F41987" s="2423"/>
    </row>
    <row r="41988" spans="6:6">
      <c r="F41988" s="2423"/>
    </row>
    <row r="41989" spans="6:6">
      <c r="F41989" s="2423"/>
    </row>
    <row r="41990" spans="6:6">
      <c r="F41990" s="2423"/>
    </row>
    <row r="41991" spans="6:6">
      <c r="F41991" s="2423"/>
    </row>
    <row r="41992" spans="6:6">
      <c r="F41992" s="2423"/>
    </row>
    <row r="41993" spans="6:6">
      <c r="F41993" s="2423"/>
    </row>
    <row r="41994" spans="6:6">
      <c r="F41994" s="2423"/>
    </row>
    <row r="41995" spans="6:6">
      <c r="F41995" s="2423"/>
    </row>
    <row r="41996" spans="6:6">
      <c r="F41996" s="2423"/>
    </row>
    <row r="41997" spans="6:6">
      <c r="F41997" s="2423"/>
    </row>
    <row r="41998" spans="6:6">
      <c r="F41998" s="2423"/>
    </row>
    <row r="41999" spans="6:6">
      <c r="F41999" s="2423"/>
    </row>
    <row r="42000" spans="6:6">
      <c r="F42000" s="2423"/>
    </row>
    <row r="42001" spans="6:6">
      <c r="F42001" s="2423"/>
    </row>
    <row r="42002" spans="6:6">
      <c r="F42002" s="2423"/>
    </row>
    <row r="42003" spans="6:6">
      <c r="F42003" s="2423"/>
    </row>
    <row r="42004" spans="6:6">
      <c r="F42004" s="2423"/>
    </row>
    <row r="42005" spans="6:6">
      <c r="F42005" s="2423"/>
    </row>
    <row r="42006" spans="6:6">
      <c r="F42006" s="2423"/>
    </row>
    <row r="42007" spans="6:6">
      <c r="F42007" s="2423"/>
    </row>
    <row r="42008" spans="6:6">
      <c r="F42008" s="2423"/>
    </row>
    <row r="42009" spans="6:6">
      <c r="F42009" s="2423"/>
    </row>
    <row r="42010" spans="6:6">
      <c r="F42010" s="2423"/>
    </row>
    <row r="42011" spans="6:6">
      <c r="F42011" s="2423"/>
    </row>
    <row r="42012" spans="6:6">
      <c r="F42012" s="2423"/>
    </row>
    <row r="42013" spans="6:6">
      <c r="F42013" s="2423"/>
    </row>
    <row r="42014" spans="6:6">
      <c r="F42014" s="2423"/>
    </row>
    <row r="42015" spans="6:6">
      <c r="F42015" s="2423"/>
    </row>
    <row r="42016" spans="6:6">
      <c r="F42016" s="2423"/>
    </row>
    <row r="42017" spans="6:6">
      <c r="F42017" s="2423"/>
    </row>
    <row r="42018" spans="6:6">
      <c r="F42018" s="2423"/>
    </row>
    <row r="42019" spans="6:6">
      <c r="F42019" s="2423"/>
    </row>
    <row r="42020" spans="6:6">
      <c r="F42020" s="2423"/>
    </row>
    <row r="42021" spans="6:6">
      <c r="F42021" s="2423"/>
    </row>
    <row r="42022" spans="6:6">
      <c r="F42022" s="2423"/>
    </row>
    <row r="42023" spans="6:6">
      <c r="F42023" s="2423"/>
    </row>
    <row r="42024" spans="6:6">
      <c r="F42024" s="2423"/>
    </row>
    <row r="42025" spans="6:6">
      <c r="F42025" s="2423"/>
    </row>
    <row r="42026" spans="6:6">
      <c r="F42026" s="2423"/>
    </row>
    <row r="42027" spans="6:6">
      <c r="F42027" s="2423"/>
    </row>
    <row r="42028" spans="6:6">
      <c r="F42028" s="2423"/>
    </row>
    <row r="42029" spans="6:6">
      <c r="F42029" s="2423"/>
    </row>
    <row r="42030" spans="6:6">
      <c r="F42030" s="2423"/>
    </row>
    <row r="42031" spans="6:6">
      <c r="F42031" s="2423"/>
    </row>
    <row r="42032" spans="6:6">
      <c r="F42032" s="2423"/>
    </row>
    <row r="42033" spans="6:6">
      <c r="F42033" s="2423"/>
    </row>
    <row r="42034" spans="6:6">
      <c r="F42034" s="2423"/>
    </row>
    <row r="42035" spans="6:6">
      <c r="F42035" s="2423"/>
    </row>
    <row r="42036" spans="6:6">
      <c r="F42036" s="2423"/>
    </row>
    <row r="42037" spans="6:6">
      <c r="F42037" s="2423"/>
    </row>
    <row r="42038" spans="6:6">
      <c r="F42038" s="2423"/>
    </row>
    <row r="42039" spans="6:6">
      <c r="F42039" s="2423"/>
    </row>
    <row r="42040" spans="6:6">
      <c r="F42040" s="2423"/>
    </row>
    <row r="42041" spans="6:6">
      <c r="F42041" s="2423"/>
    </row>
    <row r="42042" spans="6:6">
      <c r="F42042" s="2423"/>
    </row>
    <row r="42043" spans="6:6">
      <c r="F42043" s="2423"/>
    </row>
    <row r="42044" spans="6:6">
      <c r="F42044" s="2423"/>
    </row>
    <row r="42045" spans="6:6">
      <c r="F42045" s="2423"/>
    </row>
    <row r="42046" spans="6:6">
      <c r="F42046" s="2423"/>
    </row>
    <row r="42047" spans="6:6">
      <c r="F42047" s="2423"/>
    </row>
    <row r="42048" spans="6:6">
      <c r="F42048" s="2423"/>
    </row>
    <row r="42049" spans="6:6">
      <c r="F42049" s="2423"/>
    </row>
    <row r="42050" spans="6:6">
      <c r="F42050" s="2423"/>
    </row>
    <row r="42051" spans="6:6">
      <c r="F42051" s="2423"/>
    </row>
    <row r="42052" spans="6:6">
      <c r="F42052" s="2423"/>
    </row>
    <row r="42053" spans="6:6">
      <c r="F42053" s="2423"/>
    </row>
    <row r="42054" spans="6:6">
      <c r="F42054" s="2423"/>
    </row>
    <row r="42055" spans="6:6">
      <c r="F42055" s="2423"/>
    </row>
    <row r="42056" spans="6:6">
      <c r="F42056" s="2423"/>
    </row>
    <row r="42057" spans="6:6">
      <c r="F42057" s="2423"/>
    </row>
    <row r="42058" spans="6:6">
      <c r="F42058" s="2423"/>
    </row>
    <row r="42059" spans="6:6">
      <c r="F42059" s="2423"/>
    </row>
    <row r="42060" spans="6:6">
      <c r="F42060" s="2423"/>
    </row>
    <row r="42061" spans="6:6">
      <c r="F42061" s="2423"/>
    </row>
    <row r="42062" spans="6:6">
      <c r="F42062" s="2423"/>
    </row>
    <row r="42063" spans="6:6">
      <c r="F42063" s="2423"/>
    </row>
    <row r="42064" spans="6:6">
      <c r="F42064" s="2423"/>
    </row>
    <row r="42065" spans="6:6">
      <c r="F42065" s="2423"/>
    </row>
    <row r="42066" spans="6:6">
      <c r="F42066" s="2423"/>
    </row>
    <row r="42067" spans="6:6">
      <c r="F42067" s="2423"/>
    </row>
    <row r="42068" spans="6:6">
      <c r="F42068" s="2423"/>
    </row>
    <row r="42069" spans="6:6">
      <c r="F42069" s="2423"/>
    </row>
    <row r="42070" spans="6:6">
      <c r="F42070" s="2423"/>
    </row>
    <row r="42071" spans="6:6">
      <c r="F42071" s="2423"/>
    </row>
    <row r="42072" spans="6:6">
      <c r="F42072" s="2423"/>
    </row>
    <row r="42073" spans="6:6">
      <c r="F42073" s="2423"/>
    </row>
    <row r="42074" spans="6:6">
      <c r="F42074" s="2423"/>
    </row>
    <row r="42075" spans="6:6">
      <c r="F42075" s="2423"/>
    </row>
    <row r="42076" spans="6:6">
      <c r="F42076" s="2423"/>
    </row>
    <row r="42077" spans="6:6">
      <c r="F42077" s="2423"/>
    </row>
    <row r="42078" spans="6:6">
      <c r="F42078" s="2423"/>
    </row>
    <row r="42079" spans="6:6">
      <c r="F42079" s="2423"/>
    </row>
    <row r="42080" spans="6:6">
      <c r="F42080" s="2423"/>
    </row>
    <row r="42081" spans="6:6">
      <c r="F42081" s="2423"/>
    </row>
    <row r="42082" spans="6:6">
      <c r="F42082" s="2423"/>
    </row>
    <row r="42083" spans="6:6">
      <c r="F42083" s="2423"/>
    </row>
    <row r="42084" spans="6:6">
      <c r="F42084" s="2423"/>
    </row>
    <row r="42085" spans="6:6">
      <c r="F42085" s="2423"/>
    </row>
    <row r="42086" spans="6:6">
      <c r="F42086" s="2423"/>
    </row>
    <row r="42087" spans="6:6">
      <c r="F42087" s="2423"/>
    </row>
    <row r="42088" spans="6:6">
      <c r="F42088" s="2423"/>
    </row>
    <row r="42089" spans="6:6">
      <c r="F42089" s="2423"/>
    </row>
    <row r="42090" spans="6:6">
      <c r="F42090" s="2423"/>
    </row>
    <row r="42091" spans="6:6">
      <c r="F42091" s="2423"/>
    </row>
    <row r="42092" spans="6:6">
      <c r="F42092" s="2423"/>
    </row>
    <row r="42093" spans="6:6">
      <c r="F42093" s="2423"/>
    </row>
    <row r="42094" spans="6:6">
      <c r="F42094" s="2423"/>
    </row>
    <row r="42095" spans="6:6">
      <c r="F42095" s="2423"/>
    </row>
    <row r="42096" spans="6:6">
      <c r="F42096" s="2423"/>
    </row>
    <row r="42097" spans="6:6">
      <c r="F42097" s="2423"/>
    </row>
    <row r="42098" spans="6:6">
      <c r="F42098" s="2423"/>
    </row>
    <row r="42099" spans="6:6">
      <c r="F42099" s="2423"/>
    </row>
    <row r="42100" spans="6:6">
      <c r="F42100" s="2423"/>
    </row>
    <row r="42101" spans="6:6">
      <c r="F42101" s="2423"/>
    </row>
    <row r="42102" spans="6:6">
      <c r="F42102" s="2423"/>
    </row>
    <row r="42103" spans="6:6">
      <c r="F42103" s="2423"/>
    </row>
    <row r="42104" spans="6:6">
      <c r="F42104" s="2423"/>
    </row>
    <row r="42105" spans="6:6">
      <c r="F42105" s="2423"/>
    </row>
    <row r="42106" spans="6:6">
      <c r="F42106" s="2423"/>
    </row>
    <row r="42107" spans="6:6">
      <c r="F42107" s="2423"/>
    </row>
    <row r="42108" spans="6:6">
      <c r="F42108" s="2423"/>
    </row>
    <row r="42109" spans="6:6">
      <c r="F42109" s="2423"/>
    </row>
    <row r="42110" spans="6:6">
      <c r="F42110" s="2423"/>
    </row>
    <row r="42111" spans="6:6">
      <c r="F42111" s="2423"/>
    </row>
    <row r="42112" spans="6:6">
      <c r="F42112" s="2423"/>
    </row>
    <row r="42113" spans="6:6">
      <c r="F42113" s="2423"/>
    </row>
    <row r="42114" spans="6:6">
      <c r="F42114" s="2423"/>
    </row>
    <row r="42115" spans="6:6">
      <c r="F42115" s="2423"/>
    </row>
    <row r="42116" spans="6:6">
      <c r="F42116" s="2423"/>
    </row>
    <row r="42117" spans="6:6">
      <c r="F42117" s="2423"/>
    </row>
    <row r="42118" spans="6:6">
      <c r="F42118" s="2423"/>
    </row>
    <row r="42119" spans="6:6">
      <c r="F42119" s="2423"/>
    </row>
    <row r="42120" spans="6:6">
      <c r="F42120" s="2423"/>
    </row>
    <row r="42121" spans="6:6">
      <c r="F42121" s="2423"/>
    </row>
    <row r="42122" spans="6:6">
      <c r="F42122" s="2423"/>
    </row>
    <row r="42123" spans="6:6">
      <c r="F42123" s="2423"/>
    </row>
    <row r="42124" spans="6:6">
      <c r="F42124" s="2423"/>
    </row>
    <row r="42125" spans="6:6">
      <c r="F42125" s="2423"/>
    </row>
    <row r="42126" spans="6:6">
      <c r="F42126" s="2423"/>
    </row>
    <row r="42127" spans="6:6">
      <c r="F42127" s="2423"/>
    </row>
    <row r="42128" spans="6:6">
      <c r="F42128" s="2423"/>
    </row>
    <row r="42129" spans="6:6">
      <c r="F42129" s="2423"/>
    </row>
    <row r="42130" spans="6:6">
      <c r="F42130" s="2423"/>
    </row>
    <row r="42131" spans="6:6">
      <c r="F42131" s="2423"/>
    </row>
    <row r="42132" spans="6:6">
      <c r="F42132" s="2423"/>
    </row>
    <row r="42133" spans="6:6">
      <c r="F42133" s="2423"/>
    </row>
    <row r="42134" spans="6:6">
      <c r="F42134" s="2423"/>
    </row>
    <row r="42135" spans="6:6">
      <c r="F42135" s="2423"/>
    </row>
    <row r="42136" spans="6:6">
      <c r="F42136" s="2423"/>
    </row>
    <row r="42137" spans="6:6">
      <c r="F42137" s="2423"/>
    </row>
    <row r="42138" spans="6:6">
      <c r="F42138" s="2423"/>
    </row>
    <row r="42139" spans="6:6">
      <c r="F42139" s="2423"/>
    </row>
    <row r="42140" spans="6:6">
      <c r="F42140" s="2423"/>
    </row>
    <row r="42141" spans="6:6">
      <c r="F42141" s="2423"/>
    </row>
    <row r="42142" spans="6:6">
      <c r="F42142" s="2423"/>
    </row>
    <row r="42143" spans="6:6">
      <c r="F42143" s="2423"/>
    </row>
    <row r="42144" spans="6:6">
      <c r="F42144" s="2423"/>
    </row>
    <row r="42145" spans="6:6">
      <c r="F42145" s="2423"/>
    </row>
    <row r="42146" spans="6:6">
      <c r="F42146" s="2423"/>
    </row>
    <row r="42147" spans="6:6">
      <c r="F42147" s="2423"/>
    </row>
    <row r="42148" spans="6:6">
      <c r="F42148" s="2423"/>
    </row>
    <row r="42149" spans="6:6">
      <c r="F42149" s="2423"/>
    </row>
    <row r="42150" spans="6:6">
      <c r="F42150" s="2423"/>
    </row>
    <row r="42151" spans="6:6">
      <c r="F42151" s="2423"/>
    </row>
    <row r="42152" spans="6:6">
      <c r="F42152" s="2423"/>
    </row>
    <row r="42153" spans="6:6">
      <c r="F42153" s="2423"/>
    </row>
    <row r="42154" spans="6:6">
      <c r="F42154" s="2423"/>
    </row>
    <row r="42155" spans="6:6">
      <c r="F42155" s="2423"/>
    </row>
    <row r="42156" spans="6:6">
      <c r="F42156" s="2423"/>
    </row>
    <row r="42157" spans="6:6">
      <c r="F42157" s="2423"/>
    </row>
    <row r="42158" spans="6:6">
      <c r="F42158" s="2423"/>
    </row>
    <row r="42159" spans="6:6">
      <c r="F42159" s="2423"/>
    </row>
    <row r="42160" spans="6:6">
      <c r="F42160" s="2423"/>
    </row>
    <row r="42161" spans="6:6">
      <c r="F42161" s="2423"/>
    </row>
    <row r="42162" spans="6:6">
      <c r="F42162" s="2423"/>
    </row>
    <row r="42163" spans="6:6">
      <c r="F42163" s="2423"/>
    </row>
    <row r="42164" spans="6:6">
      <c r="F42164" s="2423"/>
    </row>
    <row r="42165" spans="6:6">
      <c r="F42165" s="2423"/>
    </row>
    <row r="42166" spans="6:6">
      <c r="F42166" s="2423"/>
    </row>
    <row r="42167" spans="6:6">
      <c r="F42167" s="2423"/>
    </row>
    <row r="42168" spans="6:6">
      <c r="F42168" s="2423"/>
    </row>
    <row r="42169" spans="6:6">
      <c r="F42169" s="2423"/>
    </row>
    <row r="42170" spans="6:6">
      <c r="F42170" s="2423"/>
    </row>
    <row r="42171" spans="6:6">
      <c r="F42171" s="2423"/>
    </row>
    <row r="42172" spans="6:6">
      <c r="F42172" s="2423"/>
    </row>
    <row r="42173" spans="6:6">
      <c r="F42173" s="2423"/>
    </row>
    <row r="42174" spans="6:6">
      <c r="F42174" s="2423"/>
    </row>
    <row r="42175" spans="6:6">
      <c r="F42175" s="2423"/>
    </row>
    <row r="42176" spans="6:6">
      <c r="F42176" s="2423"/>
    </row>
    <row r="42177" spans="6:6">
      <c r="F42177" s="2423"/>
    </row>
    <row r="42178" spans="6:6">
      <c r="F42178" s="2423"/>
    </row>
    <row r="42179" spans="6:6">
      <c r="F42179" s="2423"/>
    </row>
    <row r="42180" spans="6:6">
      <c r="F42180" s="2423"/>
    </row>
    <row r="42181" spans="6:6">
      <c r="F42181" s="2423"/>
    </row>
    <row r="42182" spans="6:6">
      <c r="F42182" s="2423"/>
    </row>
    <row r="42183" spans="6:6">
      <c r="F42183" s="2423"/>
    </row>
    <row r="42184" spans="6:6">
      <c r="F42184" s="2423"/>
    </row>
    <row r="42185" spans="6:6">
      <c r="F42185" s="2423"/>
    </row>
    <row r="42186" spans="6:6">
      <c r="F42186" s="2423"/>
    </row>
    <row r="42187" spans="6:6">
      <c r="F42187" s="2423"/>
    </row>
    <row r="42188" spans="6:6">
      <c r="F42188" s="2423"/>
    </row>
    <row r="42189" spans="6:6">
      <c r="F42189" s="2423"/>
    </row>
    <row r="42190" spans="6:6">
      <c r="F42190" s="2423"/>
    </row>
    <row r="42191" spans="6:6">
      <c r="F42191" s="2423"/>
    </row>
    <row r="42192" spans="6:6">
      <c r="F42192" s="2423"/>
    </row>
    <row r="42193" spans="6:6">
      <c r="F42193" s="2423"/>
    </row>
    <row r="42194" spans="6:6">
      <c r="F42194" s="2423"/>
    </row>
    <row r="42195" spans="6:6">
      <c r="F42195" s="2423"/>
    </row>
    <row r="42196" spans="6:6">
      <c r="F42196" s="2423"/>
    </row>
    <row r="42197" spans="6:6">
      <c r="F42197" s="2423"/>
    </row>
    <row r="42198" spans="6:6">
      <c r="F42198" s="2423"/>
    </row>
    <row r="42199" spans="6:6">
      <c r="F42199" s="2423"/>
    </row>
    <row r="42200" spans="6:6">
      <c r="F42200" s="2423"/>
    </row>
    <row r="42201" spans="6:6">
      <c r="F42201" s="2423"/>
    </row>
    <row r="42202" spans="6:6">
      <c r="F42202" s="2423"/>
    </row>
    <row r="42203" spans="6:6">
      <c r="F42203" s="2423"/>
    </row>
    <row r="42204" spans="6:6">
      <c r="F42204" s="2423"/>
    </row>
    <row r="42205" spans="6:6">
      <c r="F42205" s="2423"/>
    </row>
    <row r="42206" spans="6:6">
      <c r="F42206" s="2423"/>
    </row>
    <row r="42207" spans="6:6">
      <c r="F42207" s="2423"/>
    </row>
    <row r="42208" spans="6:6">
      <c r="F42208" s="2423"/>
    </row>
    <row r="42209" spans="6:6">
      <c r="F42209" s="2423"/>
    </row>
    <row r="42210" spans="6:6">
      <c r="F42210" s="2423"/>
    </row>
    <row r="42211" spans="6:6">
      <c r="F42211" s="2423"/>
    </row>
    <row r="42212" spans="6:6">
      <c r="F42212" s="2423"/>
    </row>
    <row r="42213" spans="6:6">
      <c r="F42213" s="2423"/>
    </row>
    <row r="42214" spans="6:6">
      <c r="F42214" s="2423"/>
    </row>
    <row r="42215" spans="6:6">
      <c r="F42215" s="2423"/>
    </row>
    <row r="42216" spans="6:6">
      <c r="F42216" s="2423"/>
    </row>
    <row r="42217" spans="6:6">
      <c r="F42217" s="2423"/>
    </row>
    <row r="42218" spans="6:6">
      <c r="F42218" s="2423"/>
    </row>
    <row r="42219" spans="6:6">
      <c r="F42219" s="2423"/>
    </row>
    <row r="42220" spans="6:6">
      <c r="F42220" s="2423"/>
    </row>
    <row r="42221" spans="6:6">
      <c r="F42221" s="2423"/>
    </row>
    <row r="42222" spans="6:6">
      <c r="F42222" s="2423"/>
    </row>
    <row r="42223" spans="6:6">
      <c r="F42223" s="2423"/>
    </row>
    <row r="42224" spans="6:6">
      <c r="F42224" s="2423"/>
    </row>
    <row r="42225" spans="6:6">
      <c r="F42225" s="2423"/>
    </row>
    <row r="42226" spans="6:6">
      <c r="F42226" s="2423"/>
    </row>
    <row r="42227" spans="6:6">
      <c r="F42227" s="2423"/>
    </row>
    <row r="42228" spans="6:6">
      <c r="F42228" s="2423"/>
    </row>
    <row r="42229" spans="6:6">
      <c r="F42229" s="2423"/>
    </row>
    <row r="42230" spans="6:6">
      <c r="F42230" s="2423"/>
    </row>
    <row r="42231" spans="6:6">
      <c r="F42231" s="2423"/>
    </row>
    <row r="42232" spans="6:6">
      <c r="F42232" s="2423"/>
    </row>
    <row r="42233" spans="6:6">
      <c r="F42233" s="2423"/>
    </row>
    <row r="42234" spans="6:6">
      <c r="F42234" s="2423"/>
    </row>
    <row r="42235" spans="6:6">
      <c r="F42235" s="2423"/>
    </row>
    <row r="42236" spans="6:6">
      <c r="F42236" s="2423"/>
    </row>
    <row r="42237" spans="6:6">
      <c r="F42237" s="2423"/>
    </row>
    <row r="42238" spans="6:6">
      <c r="F42238" s="2423"/>
    </row>
    <row r="42239" spans="6:6">
      <c r="F42239" s="2423"/>
    </row>
    <row r="42240" spans="6:6">
      <c r="F42240" s="2423"/>
    </row>
    <row r="42241" spans="6:6">
      <c r="F42241" s="2423"/>
    </row>
    <row r="42242" spans="6:6">
      <c r="F42242" s="2423"/>
    </row>
    <row r="42243" spans="6:6">
      <c r="F42243" s="2423"/>
    </row>
    <row r="42244" spans="6:6">
      <c r="F42244" s="2423"/>
    </row>
    <row r="42245" spans="6:6">
      <c r="F42245" s="2423"/>
    </row>
    <row r="42246" spans="6:6">
      <c r="F42246" s="2423"/>
    </row>
    <row r="42247" spans="6:6">
      <c r="F42247" s="2423"/>
    </row>
    <row r="42248" spans="6:6">
      <c r="F42248" s="2423"/>
    </row>
    <row r="42249" spans="6:6">
      <c r="F42249" s="2423"/>
    </row>
    <row r="42250" spans="6:6">
      <c r="F42250" s="2423"/>
    </row>
    <row r="42251" spans="6:6">
      <c r="F42251" s="2423"/>
    </row>
    <row r="42252" spans="6:6">
      <c r="F42252" s="2423"/>
    </row>
    <row r="42253" spans="6:6">
      <c r="F42253" s="2423"/>
    </row>
    <row r="42254" spans="6:6">
      <c r="F42254" s="2423"/>
    </row>
    <row r="42255" spans="6:6">
      <c r="F42255" s="2423"/>
    </row>
    <row r="42256" spans="6:6">
      <c r="F42256" s="2423"/>
    </row>
    <row r="42257" spans="6:6">
      <c r="F42257" s="2423"/>
    </row>
    <row r="42258" spans="6:6">
      <c r="F42258" s="2423"/>
    </row>
    <row r="42259" spans="6:6">
      <c r="F42259" s="2423"/>
    </row>
    <row r="42260" spans="6:6">
      <c r="F42260" s="2423"/>
    </row>
    <row r="42261" spans="6:6">
      <c r="F42261" s="2423"/>
    </row>
    <row r="42262" spans="6:6">
      <c r="F42262" s="2423"/>
    </row>
    <row r="42263" spans="6:6">
      <c r="F42263" s="2423"/>
    </row>
    <row r="42264" spans="6:6">
      <c r="F42264" s="2423"/>
    </row>
    <row r="42265" spans="6:6">
      <c r="F42265" s="2423"/>
    </row>
    <row r="42266" spans="6:6">
      <c r="F42266" s="2423"/>
    </row>
    <row r="42267" spans="6:6">
      <c r="F42267" s="2423"/>
    </row>
    <row r="42268" spans="6:6">
      <c r="F42268" s="2423"/>
    </row>
    <row r="42269" spans="6:6">
      <c r="F42269" s="2423"/>
    </row>
    <row r="42270" spans="6:6">
      <c r="F42270" s="2423"/>
    </row>
    <row r="42271" spans="6:6">
      <c r="F42271" s="2423"/>
    </row>
    <row r="42272" spans="6:6">
      <c r="F42272" s="2423"/>
    </row>
    <row r="42273" spans="6:6">
      <c r="F42273" s="2423"/>
    </row>
    <row r="42274" spans="6:6">
      <c r="F42274" s="2423"/>
    </row>
    <row r="42275" spans="6:6">
      <c r="F42275" s="2423"/>
    </row>
    <row r="42276" spans="6:6">
      <c r="F42276" s="2423"/>
    </row>
    <row r="42277" spans="6:6">
      <c r="F42277" s="2423"/>
    </row>
    <row r="42278" spans="6:6">
      <c r="F42278" s="2423"/>
    </row>
    <row r="42279" spans="6:6">
      <c r="F42279" s="2423"/>
    </row>
    <row r="42280" spans="6:6">
      <c r="F42280" s="2423"/>
    </row>
    <row r="42281" spans="6:6">
      <c r="F42281" s="2423"/>
    </row>
    <row r="42282" spans="6:6">
      <c r="F42282" s="2423"/>
    </row>
    <row r="42283" spans="6:6">
      <c r="F42283" s="2423"/>
    </row>
    <row r="42284" spans="6:6">
      <c r="F42284" s="2423"/>
    </row>
    <row r="42285" spans="6:6">
      <c r="F42285" s="2423"/>
    </row>
    <row r="42286" spans="6:6">
      <c r="F42286" s="2423"/>
    </row>
    <row r="42287" spans="6:6">
      <c r="F42287" s="2423"/>
    </row>
    <row r="42288" spans="6:6">
      <c r="F42288" s="2423"/>
    </row>
    <row r="42289" spans="6:6">
      <c r="F42289" s="2423"/>
    </row>
    <row r="42290" spans="6:6">
      <c r="F42290" s="2423"/>
    </row>
    <row r="42291" spans="6:6">
      <c r="F42291" s="2423"/>
    </row>
    <row r="42292" spans="6:6">
      <c r="F42292" s="2423"/>
    </row>
    <row r="42293" spans="6:6">
      <c r="F42293" s="2423"/>
    </row>
    <row r="42294" spans="6:6">
      <c r="F42294" s="2423"/>
    </row>
    <row r="42295" spans="6:6">
      <c r="F42295" s="2423"/>
    </row>
    <row r="42296" spans="6:6">
      <c r="F42296" s="2423"/>
    </row>
    <row r="42297" spans="6:6">
      <c r="F42297" s="2423"/>
    </row>
    <row r="42298" spans="6:6">
      <c r="F42298" s="2423"/>
    </row>
    <row r="42299" spans="6:6">
      <c r="F42299" s="2423"/>
    </row>
    <row r="42300" spans="6:6">
      <c r="F42300" s="2423"/>
    </row>
    <row r="42301" spans="6:6">
      <c r="F42301" s="2423"/>
    </row>
    <row r="42302" spans="6:6">
      <c r="F42302" s="2423"/>
    </row>
    <row r="42303" spans="6:6">
      <c r="F42303" s="2423"/>
    </row>
    <row r="42304" spans="6:6">
      <c r="F42304" s="2423"/>
    </row>
    <row r="42305" spans="6:6">
      <c r="F42305" s="2423"/>
    </row>
    <row r="42306" spans="6:6">
      <c r="F42306" s="2423"/>
    </row>
    <row r="42307" spans="6:6">
      <c r="F42307" s="2423"/>
    </row>
    <row r="42308" spans="6:6">
      <c r="F42308" s="2423"/>
    </row>
    <row r="42309" spans="6:6">
      <c r="F42309" s="2423"/>
    </row>
    <row r="42310" spans="6:6">
      <c r="F42310" s="2423"/>
    </row>
    <row r="42311" spans="6:6">
      <c r="F42311" s="2423"/>
    </row>
    <row r="42312" spans="6:6">
      <c r="F42312" s="2423"/>
    </row>
    <row r="42313" spans="6:6">
      <c r="F42313" s="2423"/>
    </row>
    <row r="42314" spans="6:6">
      <c r="F42314" s="2423"/>
    </row>
    <row r="42315" spans="6:6">
      <c r="F42315" s="2423"/>
    </row>
    <row r="42316" spans="6:6">
      <c r="F42316" s="2423"/>
    </row>
    <row r="42317" spans="6:6">
      <c r="F42317" s="2423"/>
    </row>
    <row r="42318" spans="6:6">
      <c r="F42318" s="2423"/>
    </row>
    <row r="42319" spans="6:6">
      <c r="F42319" s="2423"/>
    </row>
    <row r="42320" spans="6:6">
      <c r="F42320" s="2423"/>
    </row>
    <row r="42321" spans="6:6">
      <c r="F42321" s="2423"/>
    </row>
    <row r="42322" spans="6:6">
      <c r="F42322" s="2423"/>
    </row>
    <row r="42323" spans="6:6">
      <c r="F42323" s="2423"/>
    </row>
    <row r="42324" spans="6:6">
      <c r="F42324" s="2423"/>
    </row>
    <row r="42325" spans="6:6">
      <c r="F42325" s="2423"/>
    </row>
    <row r="42326" spans="6:6">
      <c r="F42326" s="2423"/>
    </row>
    <row r="42327" spans="6:6">
      <c r="F42327" s="2423"/>
    </row>
    <row r="42328" spans="6:6">
      <c r="F42328" s="2423"/>
    </row>
    <row r="42329" spans="6:6">
      <c r="F42329" s="2423"/>
    </row>
    <row r="42330" spans="6:6">
      <c r="F42330" s="2423"/>
    </row>
    <row r="42331" spans="6:6">
      <c r="F42331" s="2423"/>
    </row>
    <row r="42332" spans="6:6">
      <c r="F42332" s="2423"/>
    </row>
    <row r="42333" spans="6:6">
      <c r="F42333" s="2423"/>
    </row>
    <row r="42334" spans="6:6">
      <c r="F42334" s="2423"/>
    </row>
    <row r="42335" spans="6:6">
      <c r="F42335" s="2423"/>
    </row>
    <row r="42336" spans="6:6">
      <c r="F42336" s="2423"/>
    </row>
    <row r="42337" spans="6:6">
      <c r="F42337" s="2423"/>
    </row>
    <row r="42338" spans="6:6">
      <c r="F42338" s="2423"/>
    </row>
    <row r="42339" spans="6:6">
      <c r="F42339" s="2423"/>
    </row>
    <row r="42340" spans="6:6">
      <c r="F42340" s="2423"/>
    </row>
    <row r="42341" spans="6:6">
      <c r="F42341" s="2423"/>
    </row>
    <row r="42342" spans="6:6">
      <c r="F42342" s="2423"/>
    </row>
    <row r="42343" spans="6:6">
      <c r="F42343" s="2423"/>
    </row>
    <row r="42344" spans="6:6">
      <c r="F42344" s="2423"/>
    </row>
    <row r="42345" spans="6:6">
      <c r="F42345" s="2423"/>
    </row>
    <row r="42346" spans="6:6">
      <c r="F42346" s="2423"/>
    </row>
    <row r="42347" spans="6:6">
      <c r="F42347" s="2423"/>
    </row>
    <row r="42348" spans="6:6">
      <c r="F42348" s="2423"/>
    </row>
    <row r="42349" spans="6:6">
      <c r="F42349" s="2423"/>
    </row>
    <row r="42350" spans="6:6">
      <c r="F42350" s="2423"/>
    </row>
    <row r="42351" spans="6:6">
      <c r="F42351" s="2423"/>
    </row>
    <row r="42352" spans="6:6">
      <c r="F42352" s="2423"/>
    </row>
    <row r="42353" spans="6:6">
      <c r="F42353" s="2423"/>
    </row>
    <row r="42354" spans="6:6">
      <c r="F42354" s="2423"/>
    </row>
    <row r="42355" spans="6:6">
      <c r="F42355" s="2423"/>
    </row>
    <row r="42356" spans="6:6">
      <c r="F42356" s="2423"/>
    </row>
    <row r="42357" spans="6:6">
      <c r="F42357" s="2423"/>
    </row>
    <row r="42358" spans="6:6">
      <c r="F42358" s="2423"/>
    </row>
    <row r="42359" spans="6:6">
      <c r="F42359" s="2423"/>
    </row>
    <row r="42360" spans="6:6">
      <c r="F42360" s="2423"/>
    </row>
    <row r="42361" spans="6:6">
      <c r="F42361" s="2423"/>
    </row>
    <row r="42362" spans="6:6">
      <c r="F42362" s="2423"/>
    </row>
    <row r="42363" spans="6:6">
      <c r="F42363" s="2423"/>
    </row>
    <row r="42364" spans="6:6">
      <c r="F42364" s="2423"/>
    </row>
    <row r="42365" spans="6:6">
      <c r="F42365" s="2423"/>
    </row>
    <row r="42366" spans="6:6">
      <c r="F42366" s="2423"/>
    </row>
    <row r="42367" spans="6:6">
      <c r="F42367" s="2423"/>
    </row>
    <row r="42368" spans="6:6">
      <c r="F42368" s="2423"/>
    </row>
    <row r="42369" spans="6:6">
      <c r="F42369" s="2423"/>
    </row>
    <row r="42370" spans="6:6">
      <c r="F42370" s="2423"/>
    </row>
    <row r="42371" spans="6:6">
      <c r="F42371" s="2423"/>
    </row>
    <row r="42372" spans="6:6">
      <c r="F42372" s="2423"/>
    </row>
    <row r="42373" spans="6:6">
      <c r="F42373" s="2423"/>
    </row>
    <row r="42374" spans="6:6">
      <c r="F42374" s="2423"/>
    </row>
    <row r="42375" spans="6:6">
      <c r="F42375" s="2423"/>
    </row>
    <row r="42376" spans="6:6">
      <c r="F42376" s="2423"/>
    </row>
    <row r="42377" spans="6:6">
      <c r="F42377" s="2423"/>
    </row>
    <row r="42378" spans="6:6">
      <c r="F42378" s="2423"/>
    </row>
    <row r="42379" spans="6:6">
      <c r="F42379" s="2423"/>
    </row>
    <row r="42380" spans="6:6">
      <c r="F42380" s="2423"/>
    </row>
    <row r="42381" spans="6:6">
      <c r="F42381" s="2423"/>
    </row>
    <row r="42382" spans="6:6">
      <c r="F42382" s="2423"/>
    </row>
    <row r="42383" spans="6:6">
      <c r="F42383" s="2423"/>
    </row>
    <row r="42384" spans="6:6">
      <c r="F42384" s="2423"/>
    </row>
    <row r="42385" spans="6:6">
      <c r="F42385" s="2423"/>
    </row>
    <row r="42386" spans="6:6">
      <c r="F42386" s="2423"/>
    </row>
    <row r="42387" spans="6:6">
      <c r="F42387" s="2423"/>
    </row>
    <row r="42388" spans="6:6">
      <c r="F42388" s="2423"/>
    </row>
    <row r="42389" spans="6:6">
      <c r="F42389" s="2423"/>
    </row>
    <row r="42390" spans="6:6">
      <c r="F42390" s="2423"/>
    </row>
    <row r="42391" spans="6:6">
      <c r="F42391" s="2423"/>
    </row>
    <row r="42392" spans="6:6">
      <c r="F42392" s="2423"/>
    </row>
    <row r="42393" spans="6:6">
      <c r="F42393" s="2423"/>
    </row>
    <row r="42394" spans="6:6">
      <c r="F42394" s="2423"/>
    </row>
    <row r="42395" spans="6:6">
      <c r="F42395" s="2423"/>
    </row>
    <row r="42396" spans="6:6">
      <c r="F42396" s="2423"/>
    </row>
    <row r="42397" spans="6:6">
      <c r="F42397" s="2423"/>
    </row>
    <row r="42398" spans="6:6">
      <c r="F42398" s="2423"/>
    </row>
    <row r="42399" spans="6:6">
      <c r="F42399" s="2423"/>
    </row>
    <row r="42400" spans="6:6">
      <c r="F42400" s="2423"/>
    </row>
    <row r="42401" spans="6:6">
      <c r="F42401" s="2423"/>
    </row>
    <row r="42402" spans="6:6">
      <c r="F42402" s="2423"/>
    </row>
    <row r="42403" spans="6:6">
      <c r="F42403" s="2423"/>
    </row>
    <row r="42404" spans="6:6">
      <c r="F42404" s="2423"/>
    </row>
    <row r="42405" spans="6:6">
      <c r="F42405" s="2423"/>
    </row>
    <row r="42406" spans="6:6">
      <c r="F42406" s="2423"/>
    </row>
    <row r="42407" spans="6:6">
      <c r="F42407" s="2423"/>
    </row>
    <row r="42408" spans="6:6">
      <c r="F42408" s="2423"/>
    </row>
    <row r="42409" spans="6:6">
      <c r="F42409" s="2423"/>
    </row>
    <row r="42410" spans="6:6">
      <c r="F42410" s="2423"/>
    </row>
    <row r="42411" spans="6:6">
      <c r="F42411" s="2423"/>
    </row>
    <row r="42412" spans="6:6">
      <c r="F42412" s="2423"/>
    </row>
    <row r="42413" spans="6:6">
      <c r="F42413" s="2423"/>
    </row>
    <row r="42414" spans="6:6">
      <c r="F42414" s="2423"/>
    </row>
    <row r="42415" spans="6:6">
      <c r="F42415" s="2423"/>
    </row>
    <row r="42416" spans="6:6">
      <c r="F42416" s="2423"/>
    </row>
    <row r="42417" spans="6:6">
      <c r="F42417" s="2423"/>
    </row>
    <row r="42418" spans="6:6">
      <c r="F42418" s="2423"/>
    </row>
    <row r="42419" spans="6:6">
      <c r="F42419" s="2423"/>
    </row>
    <row r="42420" spans="6:6">
      <c r="F42420" s="2423"/>
    </row>
    <row r="42421" spans="6:6">
      <c r="F42421" s="2423"/>
    </row>
    <row r="42422" spans="6:6">
      <c r="F42422" s="2423"/>
    </row>
    <row r="42423" spans="6:6">
      <c r="F42423" s="2423"/>
    </row>
    <row r="42424" spans="6:6">
      <c r="F42424" s="2423"/>
    </row>
    <row r="42425" spans="6:6">
      <c r="F42425" s="2423"/>
    </row>
    <row r="42426" spans="6:6">
      <c r="F42426" s="2423"/>
    </row>
    <row r="42427" spans="6:6">
      <c r="F42427" s="2423"/>
    </row>
    <row r="42428" spans="6:6">
      <c r="F42428" s="2423"/>
    </row>
    <row r="42429" spans="6:6">
      <c r="F42429" s="2423"/>
    </row>
    <row r="42430" spans="6:6">
      <c r="F42430" s="2423"/>
    </row>
    <row r="42431" spans="6:6">
      <c r="F42431" s="2423"/>
    </row>
    <row r="42432" spans="6:6">
      <c r="F42432" s="2423"/>
    </row>
    <row r="42433" spans="6:6">
      <c r="F42433" s="2423"/>
    </row>
    <row r="42434" spans="6:6">
      <c r="F42434" s="2423"/>
    </row>
    <row r="42435" spans="6:6">
      <c r="F42435" s="2423"/>
    </row>
    <row r="42436" spans="6:6">
      <c r="F42436" s="2423"/>
    </row>
    <row r="42437" spans="6:6">
      <c r="F42437" s="2423"/>
    </row>
    <row r="42438" spans="6:6">
      <c r="F42438" s="2423"/>
    </row>
    <row r="42439" spans="6:6">
      <c r="F42439" s="2423"/>
    </row>
    <row r="42440" spans="6:6">
      <c r="F42440" s="2423"/>
    </row>
    <row r="42441" spans="6:6">
      <c r="F42441" s="2423"/>
    </row>
    <row r="42442" spans="6:6">
      <c r="F42442" s="2423"/>
    </row>
    <row r="42443" spans="6:6">
      <c r="F42443" s="2423"/>
    </row>
    <row r="42444" spans="6:6">
      <c r="F42444" s="2423"/>
    </row>
    <row r="42445" spans="6:6">
      <c r="F42445" s="2423"/>
    </row>
    <row r="42446" spans="6:6">
      <c r="F42446" s="2423"/>
    </row>
    <row r="42447" spans="6:6">
      <c r="F42447" s="2423"/>
    </row>
    <row r="42448" spans="6:6">
      <c r="F42448" s="2423"/>
    </row>
    <row r="42449" spans="6:6">
      <c r="F42449" s="2423"/>
    </row>
    <row r="42450" spans="6:6">
      <c r="F42450" s="2423"/>
    </row>
    <row r="42451" spans="6:6">
      <c r="F42451" s="2423"/>
    </row>
    <row r="42452" spans="6:6">
      <c r="F42452" s="2423"/>
    </row>
    <row r="42453" spans="6:6">
      <c r="F42453" s="2423"/>
    </row>
    <row r="42454" spans="6:6">
      <c r="F42454" s="2423"/>
    </row>
    <row r="42455" spans="6:6">
      <c r="F42455" s="2423"/>
    </row>
    <row r="42456" spans="6:6">
      <c r="F42456" s="2423"/>
    </row>
    <row r="42457" spans="6:6">
      <c r="F42457" s="2423"/>
    </row>
    <row r="42458" spans="6:6">
      <c r="F42458" s="2423"/>
    </row>
    <row r="42459" spans="6:6">
      <c r="F42459" s="2423"/>
    </row>
    <row r="42460" spans="6:6">
      <c r="F42460" s="2423"/>
    </row>
    <row r="42461" spans="6:6">
      <c r="F42461" s="2423"/>
    </row>
    <row r="42462" spans="6:6">
      <c r="F42462" s="2423"/>
    </row>
    <row r="42463" spans="6:6">
      <c r="F42463" s="2423"/>
    </row>
    <row r="42464" spans="6:6">
      <c r="F42464" s="2423"/>
    </row>
    <row r="42465" spans="6:6">
      <c r="F42465" s="2423"/>
    </row>
    <row r="42466" spans="6:6">
      <c r="F42466" s="2423"/>
    </row>
    <row r="42467" spans="6:6">
      <c r="F42467" s="2423"/>
    </row>
    <row r="42468" spans="6:6">
      <c r="F42468" s="2423"/>
    </row>
    <row r="42469" spans="6:6">
      <c r="F42469" s="2423"/>
    </row>
    <row r="42470" spans="6:6">
      <c r="F42470" s="2423"/>
    </row>
    <row r="42471" spans="6:6">
      <c r="F42471" s="2423"/>
    </row>
    <row r="42472" spans="6:6">
      <c r="F42472" s="2423"/>
    </row>
    <row r="42473" spans="6:6">
      <c r="F42473" s="2423"/>
    </row>
    <row r="42474" spans="6:6">
      <c r="F42474" s="2423"/>
    </row>
    <row r="42475" spans="6:6">
      <c r="F42475" s="2423"/>
    </row>
    <row r="42476" spans="6:6">
      <c r="F42476" s="2423"/>
    </row>
    <row r="42477" spans="6:6">
      <c r="F42477" s="2423"/>
    </row>
    <row r="42478" spans="6:6">
      <c r="F42478" s="2423"/>
    </row>
    <row r="42479" spans="6:6">
      <c r="F42479" s="2423"/>
    </row>
    <row r="42480" spans="6:6">
      <c r="F42480" s="2423"/>
    </row>
    <row r="42481" spans="6:6">
      <c r="F42481" s="2423"/>
    </row>
    <row r="42482" spans="6:6">
      <c r="F42482" s="2423"/>
    </row>
    <row r="42483" spans="6:6">
      <c r="F42483" s="2423"/>
    </row>
    <row r="42484" spans="6:6">
      <c r="F42484" s="2423"/>
    </row>
    <row r="42485" spans="6:6">
      <c r="F42485" s="2423"/>
    </row>
    <row r="42486" spans="6:6">
      <c r="F42486" s="2423"/>
    </row>
    <row r="42487" spans="6:6">
      <c r="F42487" s="2423"/>
    </row>
    <row r="42488" spans="6:6">
      <c r="F42488" s="2423"/>
    </row>
    <row r="42489" spans="6:6">
      <c r="F42489" s="2423"/>
    </row>
    <row r="42490" spans="6:6">
      <c r="F42490" s="2423"/>
    </row>
    <row r="42491" spans="6:6">
      <c r="F42491" s="2423"/>
    </row>
    <row r="42492" spans="6:6">
      <c r="F42492" s="2423"/>
    </row>
    <row r="42493" spans="6:6">
      <c r="F42493" s="2423"/>
    </row>
    <row r="42494" spans="6:6">
      <c r="F42494" s="2423"/>
    </row>
    <row r="42495" spans="6:6">
      <c r="F42495" s="2423"/>
    </row>
    <row r="42496" spans="6:6">
      <c r="F42496" s="2423"/>
    </row>
    <row r="42497" spans="6:6">
      <c r="F42497" s="2423"/>
    </row>
    <row r="42498" spans="6:6">
      <c r="F42498" s="2423"/>
    </row>
    <row r="42499" spans="6:6">
      <c r="F42499" s="2423"/>
    </row>
    <row r="42500" spans="6:6">
      <c r="F42500" s="2423"/>
    </row>
    <row r="42501" spans="6:6">
      <c r="F42501" s="2423"/>
    </row>
    <row r="42502" spans="6:6">
      <c r="F42502" s="2423"/>
    </row>
    <row r="42503" spans="6:6">
      <c r="F42503" s="2423"/>
    </row>
    <row r="42504" spans="6:6">
      <c r="F42504" s="2423"/>
    </row>
    <row r="42505" spans="6:6">
      <c r="F42505" s="2423"/>
    </row>
    <row r="42506" spans="6:6">
      <c r="F42506" s="2423"/>
    </row>
    <row r="42507" spans="6:6">
      <c r="F42507" s="2423"/>
    </row>
    <row r="42508" spans="6:6">
      <c r="F42508" s="2423"/>
    </row>
    <row r="42509" spans="6:6">
      <c r="F42509" s="2423"/>
    </row>
    <row r="42510" spans="6:6">
      <c r="F42510" s="2423"/>
    </row>
    <row r="42511" spans="6:6">
      <c r="F42511" s="2423"/>
    </row>
    <row r="42512" spans="6:6">
      <c r="F42512" s="2423"/>
    </row>
    <row r="42513" spans="6:6">
      <c r="F42513" s="2423"/>
    </row>
    <row r="42514" spans="6:6">
      <c r="F42514" s="2423"/>
    </row>
    <row r="42515" spans="6:6">
      <c r="F42515" s="2423"/>
    </row>
    <row r="42516" spans="6:6">
      <c r="F42516" s="2423"/>
    </row>
    <row r="42517" spans="6:6">
      <c r="F42517" s="2423"/>
    </row>
    <row r="42518" spans="6:6">
      <c r="F42518" s="2423"/>
    </row>
    <row r="42519" spans="6:6">
      <c r="F42519" s="2423"/>
    </row>
    <row r="42520" spans="6:6">
      <c r="F42520" s="2423"/>
    </row>
    <row r="42521" spans="6:6">
      <c r="F42521" s="2423"/>
    </row>
    <row r="42522" spans="6:6">
      <c r="F42522" s="2423"/>
    </row>
    <row r="42523" spans="6:6">
      <c r="F42523" s="2423"/>
    </row>
    <row r="42524" spans="6:6">
      <c r="F42524" s="2423"/>
    </row>
    <row r="42525" spans="6:6">
      <c r="F42525" s="2423"/>
    </row>
    <row r="42526" spans="6:6">
      <c r="F42526" s="2423"/>
    </row>
    <row r="42527" spans="6:6">
      <c r="F42527" s="2423"/>
    </row>
    <row r="42528" spans="6:6">
      <c r="F42528" s="2423"/>
    </row>
    <row r="42529" spans="6:6">
      <c r="F42529" s="2423"/>
    </row>
    <row r="42530" spans="6:6">
      <c r="F42530" s="2423"/>
    </row>
    <row r="42531" spans="6:6">
      <c r="F42531" s="2423"/>
    </row>
    <row r="42532" spans="6:6">
      <c r="F42532" s="2423"/>
    </row>
    <row r="42533" spans="6:6">
      <c r="F42533" s="2423"/>
    </row>
    <row r="42534" spans="6:6">
      <c r="F42534" s="2423"/>
    </row>
    <row r="42535" spans="6:6">
      <c r="F42535" s="2423"/>
    </row>
    <row r="42536" spans="6:6">
      <c r="F42536" s="2423"/>
    </row>
    <row r="42537" spans="6:6">
      <c r="F42537" s="2423"/>
    </row>
    <row r="42538" spans="6:6">
      <c r="F42538" s="2423"/>
    </row>
    <row r="42539" spans="6:6">
      <c r="F42539" s="2423"/>
    </row>
    <row r="42540" spans="6:6">
      <c r="F42540" s="2423"/>
    </row>
    <row r="42541" spans="6:6">
      <c r="F42541" s="2423"/>
    </row>
    <row r="42542" spans="6:6">
      <c r="F42542" s="2423"/>
    </row>
    <row r="42543" spans="6:6">
      <c r="F42543" s="2423"/>
    </row>
    <row r="42544" spans="6:6">
      <c r="F42544" s="2423"/>
    </row>
    <row r="42545" spans="6:6">
      <c r="F42545" s="2423"/>
    </row>
    <row r="42546" spans="6:6">
      <c r="F42546" s="2423"/>
    </row>
    <row r="42547" spans="6:6">
      <c r="F42547" s="2423"/>
    </row>
    <row r="42548" spans="6:6">
      <c r="F42548" s="2423"/>
    </row>
    <row r="42549" spans="6:6">
      <c r="F42549" s="2423"/>
    </row>
    <row r="42550" spans="6:6">
      <c r="F42550" s="2423"/>
    </row>
    <row r="42551" spans="6:6">
      <c r="F42551" s="2423"/>
    </row>
    <row r="42552" spans="6:6">
      <c r="F42552" s="2423"/>
    </row>
    <row r="42553" spans="6:6">
      <c r="F42553" s="2423"/>
    </row>
    <row r="42554" spans="6:6">
      <c r="F42554" s="2423"/>
    </row>
    <row r="42555" spans="6:6">
      <c r="F42555" s="2423"/>
    </row>
    <row r="42556" spans="6:6">
      <c r="F42556" s="2423"/>
    </row>
    <row r="42557" spans="6:6">
      <c r="F42557" s="2423"/>
    </row>
    <row r="42558" spans="6:6">
      <c r="F42558" s="2423"/>
    </row>
    <row r="42559" spans="6:6">
      <c r="F42559" s="2423"/>
    </row>
    <row r="42560" spans="6:6">
      <c r="F42560" s="2423"/>
    </row>
    <row r="42561" spans="6:6">
      <c r="F42561" s="2423"/>
    </row>
    <row r="42562" spans="6:6">
      <c r="F42562" s="2423"/>
    </row>
    <row r="42563" spans="6:6">
      <c r="F42563" s="2423"/>
    </row>
    <row r="42564" spans="6:6">
      <c r="F42564" s="2423"/>
    </row>
    <row r="42565" spans="6:6">
      <c r="F42565" s="2423"/>
    </row>
    <row r="42566" spans="6:6">
      <c r="F42566" s="2423"/>
    </row>
    <row r="42567" spans="6:6">
      <c r="F42567" s="2423"/>
    </row>
    <row r="42568" spans="6:6">
      <c r="F42568" s="2423"/>
    </row>
    <row r="42569" spans="6:6">
      <c r="F42569" s="2423"/>
    </row>
    <row r="42570" spans="6:6">
      <c r="F42570" s="2423"/>
    </row>
    <row r="42571" spans="6:6">
      <c r="F42571" s="2423"/>
    </row>
    <row r="42572" spans="6:6">
      <c r="F42572" s="2423"/>
    </row>
    <row r="42573" spans="6:6">
      <c r="F42573" s="2423"/>
    </row>
    <row r="42574" spans="6:6">
      <c r="F42574" s="2423"/>
    </row>
    <row r="42575" spans="6:6">
      <c r="F42575" s="2423"/>
    </row>
    <row r="42576" spans="6:6">
      <c r="F42576" s="2423"/>
    </row>
    <row r="42577" spans="6:6">
      <c r="F42577" s="2423"/>
    </row>
    <row r="42578" spans="6:6">
      <c r="F42578" s="2423"/>
    </row>
    <row r="42579" spans="6:6">
      <c r="F42579" s="2423"/>
    </row>
    <row r="42580" spans="6:6">
      <c r="F42580" s="2423"/>
    </row>
    <row r="42581" spans="6:6">
      <c r="F42581" s="2423"/>
    </row>
    <row r="42582" spans="6:6">
      <c r="F42582" s="2423"/>
    </row>
    <row r="42583" spans="6:6">
      <c r="F42583" s="2423"/>
    </row>
    <row r="42584" spans="6:6">
      <c r="F42584" s="2423"/>
    </row>
    <row r="42585" spans="6:6">
      <c r="F42585" s="2423"/>
    </row>
    <row r="42586" spans="6:6">
      <c r="F42586" s="2423"/>
    </row>
    <row r="42587" spans="6:6">
      <c r="F42587" s="2423"/>
    </row>
    <row r="42588" spans="6:6">
      <c r="F42588" s="2423"/>
    </row>
    <row r="42589" spans="6:6">
      <c r="F42589" s="2423"/>
    </row>
    <row r="42590" spans="6:6">
      <c r="F42590" s="2423"/>
    </row>
    <row r="42591" spans="6:6">
      <c r="F42591" s="2423"/>
    </row>
    <row r="42592" spans="6:6">
      <c r="F42592" s="2423"/>
    </row>
    <row r="42593" spans="6:6">
      <c r="F42593" s="2423"/>
    </row>
    <row r="42594" spans="6:6">
      <c r="F42594" s="2423"/>
    </row>
    <row r="42595" spans="6:6">
      <c r="F42595" s="2423"/>
    </row>
    <row r="42596" spans="6:6">
      <c r="F42596" s="2423"/>
    </row>
    <row r="42597" spans="6:6">
      <c r="F42597" s="2423"/>
    </row>
    <row r="42598" spans="6:6">
      <c r="F42598" s="2423"/>
    </row>
    <row r="42599" spans="6:6">
      <c r="F42599" s="2423"/>
    </row>
    <row r="42600" spans="6:6">
      <c r="F42600" s="2423"/>
    </row>
    <row r="42601" spans="6:6">
      <c r="F42601" s="2423"/>
    </row>
    <row r="42602" spans="6:6">
      <c r="F42602" s="2423"/>
    </row>
    <row r="42603" spans="6:6">
      <c r="F42603" s="2423"/>
    </row>
    <row r="42604" spans="6:6">
      <c r="F42604" s="2423"/>
    </row>
    <row r="42605" spans="6:6">
      <c r="F42605" s="2423"/>
    </row>
    <row r="42606" spans="6:6">
      <c r="F42606" s="2423"/>
    </row>
    <row r="42607" spans="6:6">
      <c r="F42607" s="2423"/>
    </row>
    <row r="42608" spans="6:6">
      <c r="F42608" s="2423"/>
    </row>
    <row r="42609" spans="6:6">
      <c r="F42609" s="2423"/>
    </row>
    <row r="42610" spans="6:6">
      <c r="F42610" s="2423"/>
    </row>
    <row r="42611" spans="6:6">
      <c r="F42611" s="2423"/>
    </row>
    <row r="42612" spans="6:6">
      <c r="F42612" s="2423"/>
    </row>
    <row r="42613" spans="6:6">
      <c r="F42613" s="2423"/>
    </row>
    <row r="42614" spans="6:6">
      <c r="F42614" s="2423"/>
    </row>
    <row r="42615" spans="6:6">
      <c r="F42615" s="2423"/>
    </row>
    <row r="42616" spans="6:6">
      <c r="F42616" s="2423"/>
    </row>
    <row r="42617" spans="6:6">
      <c r="F42617" s="2423"/>
    </row>
    <row r="42618" spans="6:6">
      <c r="F42618" s="2423"/>
    </row>
    <row r="42619" spans="6:6">
      <c r="F42619" s="2423"/>
    </row>
    <row r="42620" spans="6:6">
      <c r="F42620" s="2423"/>
    </row>
    <row r="42621" spans="6:6">
      <c r="F42621" s="2423"/>
    </row>
    <row r="42622" spans="6:6">
      <c r="F42622" s="2423"/>
    </row>
    <row r="42623" spans="6:6">
      <c r="F42623" s="2423"/>
    </row>
    <row r="42624" spans="6:6">
      <c r="F42624" s="2423"/>
    </row>
    <row r="42625" spans="6:6">
      <c r="F42625" s="2423"/>
    </row>
    <row r="42626" spans="6:6">
      <c r="F42626" s="2423"/>
    </row>
    <row r="42627" spans="6:6">
      <c r="F42627" s="2423"/>
    </row>
    <row r="42628" spans="6:6">
      <c r="F42628" s="2423"/>
    </row>
    <row r="42629" spans="6:6">
      <c r="F42629" s="2423"/>
    </row>
    <row r="42630" spans="6:6">
      <c r="F42630" s="2423"/>
    </row>
    <row r="42631" spans="6:6">
      <c r="F42631" s="2423"/>
    </row>
    <row r="42632" spans="6:6">
      <c r="F42632" s="2423"/>
    </row>
    <row r="42633" spans="6:6">
      <c r="F42633" s="2423"/>
    </row>
    <row r="42634" spans="6:6">
      <c r="F42634" s="2423"/>
    </row>
    <row r="42635" spans="6:6">
      <c r="F42635" s="2423"/>
    </row>
    <row r="42636" spans="6:6">
      <c r="F42636" s="2423"/>
    </row>
    <row r="42637" spans="6:6">
      <c r="F42637" s="2423"/>
    </row>
    <row r="42638" spans="6:6">
      <c r="F42638" s="2423"/>
    </row>
    <row r="42639" spans="6:6">
      <c r="F42639" s="2423"/>
    </row>
    <row r="42640" spans="6:6">
      <c r="F42640" s="2423"/>
    </row>
    <row r="42641" spans="6:6">
      <c r="F42641" s="2423"/>
    </row>
    <row r="42642" spans="6:6">
      <c r="F42642" s="2423"/>
    </row>
    <row r="42643" spans="6:6">
      <c r="F42643" s="2423"/>
    </row>
    <row r="42644" spans="6:6">
      <c r="F42644" s="2423"/>
    </row>
    <row r="42645" spans="6:6">
      <c r="F42645" s="2423"/>
    </row>
    <row r="42646" spans="6:6">
      <c r="F42646" s="2423"/>
    </row>
    <row r="42647" spans="6:6">
      <c r="F42647" s="2423"/>
    </row>
    <row r="42648" spans="6:6">
      <c r="F42648" s="2423"/>
    </row>
    <row r="42649" spans="6:6">
      <c r="F42649" s="2423"/>
    </row>
    <row r="42650" spans="6:6">
      <c r="F42650" s="2423"/>
    </row>
    <row r="42651" spans="6:6">
      <c r="F42651" s="2423"/>
    </row>
    <row r="42652" spans="6:6">
      <c r="F42652" s="2423"/>
    </row>
    <row r="42653" spans="6:6">
      <c r="F42653" s="2423"/>
    </row>
    <row r="42654" spans="6:6">
      <c r="F42654" s="2423"/>
    </row>
    <row r="42655" spans="6:6">
      <c r="F42655" s="2423"/>
    </row>
    <row r="42656" spans="6:6">
      <c r="F42656" s="2423"/>
    </row>
    <row r="42657" spans="6:6">
      <c r="F42657" s="2423"/>
    </row>
    <row r="42658" spans="6:6">
      <c r="F42658" s="2423"/>
    </row>
    <row r="42659" spans="6:6">
      <c r="F42659" s="2423"/>
    </row>
    <row r="42660" spans="6:6">
      <c r="F42660" s="2423"/>
    </row>
    <row r="42661" spans="6:6">
      <c r="F42661" s="2423"/>
    </row>
    <row r="42662" spans="6:6">
      <c r="F42662" s="2423"/>
    </row>
    <row r="42663" spans="6:6">
      <c r="F42663" s="2423"/>
    </row>
    <row r="42664" spans="6:6">
      <c r="F42664" s="2423"/>
    </row>
    <row r="42665" spans="6:6">
      <c r="F42665" s="2423"/>
    </row>
    <row r="42666" spans="6:6">
      <c r="F42666" s="2423"/>
    </row>
    <row r="42667" spans="6:6">
      <c r="F42667" s="2423"/>
    </row>
    <row r="42668" spans="6:6">
      <c r="F42668" s="2423"/>
    </row>
    <row r="42669" spans="6:6">
      <c r="F42669" s="2423"/>
    </row>
    <row r="42670" spans="6:6">
      <c r="F42670" s="2423"/>
    </row>
    <row r="42671" spans="6:6">
      <c r="F42671" s="2423"/>
    </row>
    <row r="42672" spans="6:6">
      <c r="F42672" s="2423"/>
    </row>
    <row r="42673" spans="6:6">
      <c r="F42673" s="2423"/>
    </row>
    <row r="42674" spans="6:6">
      <c r="F42674" s="2423"/>
    </row>
    <row r="42675" spans="6:6">
      <c r="F42675" s="2423"/>
    </row>
    <row r="42676" spans="6:6">
      <c r="F42676" s="2423"/>
    </row>
    <row r="42677" spans="6:6">
      <c r="F42677" s="2423"/>
    </row>
    <row r="42678" spans="6:6">
      <c r="F42678" s="2423"/>
    </row>
    <row r="42679" spans="6:6">
      <c r="F42679" s="2423"/>
    </row>
    <row r="42680" spans="6:6">
      <c r="F42680" s="2423"/>
    </row>
    <row r="42681" spans="6:6">
      <c r="F42681" s="2423"/>
    </row>
    <row r="42682" spans="6:6">
      <c r="F42682" s="2423"/>
    </row>
    <row r="42683" spans="6:6">
      <c r="F42683" s="2423"/>
    </row>
    <row r="42684" spans="6:6">
      <c r="F42684" s="2423"/>
    </row>
    <row r="42685" spans="6:6">
      <c r="F42685" s="2423"/>
    </row>
    <row r="42686" spans="6:6">
      <c r="F42686" s="2423"/>
    </row>
    <row r="42687" spans="6:6">
      <c r="F42687" s="2423"/>
    </row>
    <row r="42688" spans="6:6">
      <c r="F42688" s="2423"/>
    </row>
    <row r="42689" spans="6:6">
      <c r="F42689" s="2423"/>
    </row>
    <row r="42690" spans="6:6">
      <c r="F42690" s="2423"/>
    </row>
    <row r="42691" spans="6:6">
      <c r="F42691" s="2423"/>
    </row>
    <row r="42692" spans="6:6">
      <c r="F42692" s="2423"/>
    </row>
    <row r="42693" spans="6:6">
      <c r="F42693" s="2423"/>
    </row>
    <row r="42694" spans="6:6">
      <c r="F42694" s="2423"/>
    </row>
    <row r="42695" spans="6:6">
      <c r="F42695" s="2423"/>
    </row>
    <row r="42696" spans="6:6">
      <c r="F42696" s="2423"/>
    </row>
    <row r="42697" spans="6:6">
      <c r="F42697" s="2423"/>
    </row>
    <row r="42698" spans="6:6">
      <c r="F42698" s="2423"/>
    </row>
    <row r="42699" spans="6:6">
      <c r="F42699" s="2423"/>
    </row>
    <row r="42700" spans="6:6">
      <c r="F42700" s="2423"/>
    </row>
    <row r="42701" spans="6:6">
      <c r="F42701" s="2423"/>
    </row>
    <row r="42702" spans="6:6">
      <c r="F42702" s="2423"/>
    </row>
    <row r="42703" spans="6:6">
      <c r="F42703" s="2423"/>
    </row>
    <row r="42704" spans="6:6">
      <c r="F42704" s="2423"/>
    </row>
    <row r="42705" spans="6:6">
      <c r="F42705" s="2423"/>
    </row>
    <row r="42706" spans="6:6">
      <c r="F42706" s="2423"/>
    </row>
    <row r="42707" spans="6:6">
      <c r="F42707" s="2423"/>
    </row>
    <row r="42708" spans="6:6">
      <c r="F42708" s="2423"/>
    </row>
    <row r="42709" spans="6:6">
      <c r="F42709" s="2423"/>
    </row>
    <row r="42710" spans="6:6">
      <c r="F42710" s="2423"/>
    </row>
    <row r="42711" spans="6:6">
      <c r="F42711" s="2423"/>
    </row>
    <row r="42712" spans="6:6">
      <c r="F42712" s="2423"/>
    </row>
    <row r="42713" spans="6:6">
      <c r="F42713" s="2423"/>
    </row>
    <row r="42714" spans="6:6">
      <c r="F42714" s="2423"/>
    </row>
    <row r="42715" spans="6:6">
      <c r="F42715" s="2423"/>
    </row>
    <row r="42716" spans="6:6">
      <c r="F42716" s="2423"/>
    </row>
    <row r="42717" spans="6:6">
      <c r="F42717" s="2423"/>
    </row>
    <row r="42718" spans="6:6">
      <c r="F42718" s="2423"/>
    </row>
    <row r="42719" spans="6:6">
      <c r="F42719" s="2423"/>
    </row>
    <row r="42720" spans="6:6">
      <c r="F42720" s="2423"/>
    </row>
    <row r="42721" spans="6:6">
      <c r="F42721" s="2423"/>
    </row>
    <row r="42722" spans="6:6">
      <c r="F42722" s="2423"/>
    </row>
    <row r="42723" spans="6:6">
      <c r="F42723" s="2423"/>
    </row>
    <row r="42724" spans="6:6">
      <c r="F42724" s="2423"/>
    </row>
    <row r="42725" spans="6:6">
      <c r="F42725" s="2423"/>
    </row>
    <row r="42726" spans="6:6">
      <c r="F42726" s="2423"/>
    </row>
    <row r="42727" spans="6:6">
      <c r="F42727" s="2423"/>
    </row>
    <row r="42728" spans="6:6">
      <c r="F42728" s="2423"/>
    </row>
    <row r="42729" spans="6:6">
      <c r="F42729" s="2423"/>
    </row>
    <row r="42730" spans="6:6">
      <c r="F42730" s="2423"/>
    </row>
    <row r="42731" spans="6:6">
      <c r="F42731" s="2423"/>
    </row>
    <row r="42732" spans="6:6">
      <c r="F42732" s="2423"/>
    </row>
    <row r="42733" spans="6:6">
      <c r="F42733" s="2423"/>
    </row>
    <row r="42734" spans="6:6">
      <c r="F42734" s="2423"/>
    </row>
    <row r="42735" spans="6:6">
      <c r="F42735" s="2423"/>
    </row>
    <row r="42736" spans="6:6">
      <c r="F42736" s="2423"/>
    </row>
    <row r="42737" spans="6:6">
      <c r="F42737" s="2423"/>
    </row>
    <row r="42738" spans="6:6">
      <c r="F42738" s="2423"/>
    </row>
    <row r="42739" spans="6:6">
      <c r="F42739" s="2423"/>
    </row>
    <row r="42740" spans="6:6">
      <c r="F42740" s="2423"/>
    </row>
    <row r="42741" spans="6:6">
      <c r="F42741" s="2423"/>
    </row>
    <row r="42742" spans="6:6">
      <c r="F42742" s="2423"/>
    </row>
    <row r="42743" spans="6:6">
      <c r="F42743" s="2423"/>
    </row>
    <row r="42744" spans="6:6">
      <c r="F42744" s="2423"/>
    </row>
    <row r="42745" spans="6:6">
      <c r="F42745" s="2423"/>
    </row>
    <row r="42746" spans="6:6">
      <c r="F42746" s="2423"/>
    </row>
    <row r="42747" spans="6:6">
      <c r="F42747" s="2423"/>
    </row>
    <row r="42748" spans="6:6">
      <c r="F42748" s="2423"/>
    </row>
    <row r="42749" spans="6:6">
      <c r="F42749" s="2423"/>
    </row>
    <row r="42750" spans="6:6">
      <c r="F42750" s="2423"/>
    </row>
    <row r="42751" spans="6:6">
      <c r="F42751" s="2423"/>
    </row>
    <row r="42752" spans="6:6">
      <c r="F42752" s="2423"/>
    </row>
    <row r="42753" spans="6:6">
      <c r="F42753" s="2423"/>
    </row>
    <row r="42754" spans="6:6">
      <c r="F42754" s="2423"/>
    </row>
    <row r="42755" spans="6:6">
      <c r="F42755" s="2423"/>
    </row>
    <row r="42756" spans="6:6">
      <c r="F42756" s="2423"/>
    </row>
    <row r="42757" spans="6:6">
      <c r="F42757" s="2423"/>
    </row>
    <row r="42758" spans="6:6">
      <c r="F42758" s="2423"/>
    </row>
    <row r="42759" spans="6:6">
      <c r="F42759" s="2423"/>
    </row>
    <row r="42760" spans="6:6">
      <c r="F42760" s="2423"/>
    </row>
    <row r="42761" spans="6:6">
      <c r="F42761" s="2423"/>
    </row>
    <row r="42762" spans="6:6">
      <c r="F42762" s="2423"/>
    </row>
    <row r="42763" spans="6:6">
      <c r="F42763" s="2423"/>
    </row>
    <row r="42764" spans="6:6">
      <c r="F42764" s="2423"/>
    </row>
    <row r="42765" spans="6:6">
      <c r="F42765" s="2423"/>
    </row>
    <row r="42766" spans="6:6">
      <c r="F42766" s="2423"/>
    </row>
    <row r="42767" spans="6:6">
      <c r="F42767" s="2423"/>
    </row>
    <row r="42768" spans="6:6">
      <c r="F42768" s="2423"/>
    </row>
    <row r="42769" spans="6:6">
      <c r="F42769" s="2423"/>
    </row>
    <row r="42770" spans="6:6">
      <c r="F42770" s="2423"/>
    </row>
    <row r="42771" spans="6:6">
      <c r="F42771" s="2423"/>
    </row>
    <row r="42772" spans="6:6">
      <c r="F42772" s="2423"/>
    </row>
    <row r="42773" spans="6:6">
      <c r="F42773" s="2423"/>
    </row>
    <row r="42774" spans="6:6">
      <c r="F42774" s="2423"/>
    </row>
    <row r="42775" spans="6:6">
      <c r="F42775" s="2423"/>
    </row>
    <row r="42776" spans="6:6">
      <c r="F42776" s="2423"/>
    </row>
    <row r="42777" spans="6:6">
      <c r="F42777" s="2423"/>
    </row>
    <row r="42778" spans="6:6">
      <c r="F42778" s="2423"/>
    </row>
    <row r="42779" spans="6:6">
      <c r="F42779" s="2423"/>
    </row>
    <row r="42780" spans="6:6">
      <c r="F42780" s="2423"/>
    </row>
    <row r="42781" spans="6:6">
      <c r="F42781" s="2423"/>
    </row>
    <row r="42782" spans="6:6">
      <c r="F42782" s="2423"/>
    </row>
    <row r="42783" spans="6:6">
      <c r="F42783" s="2423"/>
    </row>
    <row r="42784" spans="6:6">
      <c r="F42784" s="2423"/>
    </row>
    <row r="42785" spans="6:6">
      <c r="F42785" s="2423"/>
    </row>
    <row r="42786" spans="6:6">
      <c r="F42786" s="2423"/>
    </row>
    <row r="42787" spans="6:6">
      <c r="F42787" s="2423"/>
    </row>
    <row r="42788" spans="6:6">
      <c r="F42788" s="2423"/>
    </row>
    <row r="42789" spans="6:6">
      <c r="F42789" s="2423"/>
    </row>
    <row r="42790" spans="6:6">
      <c r="F42790" s="2423"/>
    </row>
    <row r="42791" spans="6:6">
      <c r="F42791" s="2423"/>
    </row>
    <row r="42792" spans="6:6">
      <c r="F42792" s="2423"/>
    </row>
    <row r="42793" spans="6:6">
      <c r="F42793" s="2423"/>
    </row>
    <row r="42794" spans="6:6">
      <c r="F42794" s="2423"/>
    </row>
    <row r="42795" spans="6:6">
      <c r="F42795" s="2423"/>
    </row>
    <row r="42796" spans="6:6">
      <c r="F42796" s="2423"/>
    </row>
    <row r="42797" spans="6:6">
      <c r="F42797" s="2423"/>
    </row>
    <row r="42798" spans="6:6">
      <c r="F42798" s="2423"/>
    </row>
    <row r="42799" spans="6:6">
      <c r="F42799" s="2423"/>
    </row>
    <row r="42800" spans="6:6">
      <c r="F42800" s="2423"/>
    </row>
    <row r="42801" spans="6:6">
      <c r="F42801" s="2423"/>
    </row>
    <row r="42802" spans="6:6">
      <c r="F42802" s="2423"/>
    </row>
    <row r="42803" spans="6:6">
      <c r="F42803" s="2423"/>
    </row>
    <row r="42804" spans="6:6">
      <c r="F42804" s="2423"/>
    </row>
    <row r="42805" spans="6:6">
      <c r="F42805" s="2423"/>
    </row>
    <row r="42806" spans="6:6">
      <c r="F42806" s="2423"/>
    </row>
    <row r="42807" spans="6:6">
      <c r="F42807" s="2423"/>
    </row>
    <row r="42808" spans="6:6">
      <c r="F42808" s="2423"/>
    </row>
    <row r="42809" spans="6:6">
      <c r="F42809" s="2423"/>
    </row>
    <row r="42810" spans="6:6">
      <c r="F42810" s="2423"/>
    </row>
    <row r="42811" spans="6:6">
      <c r="F42811" s="2423"/>
    </row>
    <row r="42812" spans="6:6">
      <c r="F42812" s="2423"/>
    </row>
    <row r="42813" spans="6:6">
      <c r="F42813" s="2423"/>
    </row>
    <row r="42814" spans="6:6">
      <c r="F42814" s="2423"/>
    </row>
    <row r="42815" spans="6:6">
      <c r="F42815" s="2423"/>
    </row>
    <row r="42816" spans="6:6">
      <c r="F42816" s="2423"/>
    </row>
    <row r="42817" spans="6:6">
      <c r="F42817" s="2423"/>
    </row>
    <row r="42818" spans="6:6">
      <c r="F42818" s="2423"/>
    </row>
    <row r="42819" spans="6:6">
      <c r="F42819" s="2423"/>
    </row>
    <row r="42820" spans="6:6">
      <c r="F42820" s="2423"/>
    </row>
    <row r="42821" spans="6:6">
      <c r="F42821" s="2423"/>
    </row>
    <row r="42822" spans="6:6">
      <c r="F42822" s="2423"/>
    </row>
    <row r="42823" spans="6:6">
      <c r="F42823" s="2423"/>
    </row>
    <row r="42824" spans="6:6">
      <c r="F42824" s="2423"/>
    </row>
    <row r="42825" spans="6:6">
      <c r="F42825" s="2423"/>
    </row>
    <row r="42826" spans="6:6">
      <c r="F42826" s="2423"/>
    </row>
    <row r="42827" spans="6:6">
      <c r="F42827" s="2423"/>
    </row>
    <row r="42828" spans="6:6">
      <c r="F42828" s="2423"/>
    </row>
    <row r="42829" spans="6:6">
      <c r="F42829" s="2423"/>
    </row>
    <row r="42830" spans="6:6">
      <c r="F42830" s="2423"/>
    </row>
    <row r="42831" spans="6:6">
      <c r="F42831" s="2423"/>
    </row>
    <row r="42832" spans="6:6">
      <c r="F42832" s="2423"/>
    </row>
    <row r="42833" spans="6:6">
      <c r="F42833" s="2423"/>
    </row>
    <row r="42834" spans="6:6">
      <c r="F42834" s="2423"/>
    </row>
    <row r="42835" spans="6:6">
      <c r="F42835" s="2423"/>
    </row>
    <row r="42836" spans="6:6">
      <c r="F42836" s="2423"/>
    </row>
    <row r="42837" spans="6:6">
      <c r="F42837" s="2423"/>
    </row>
    <row r="42838" spans="6:6">
      <c r="F42838" s="2423"/>
    </row>
    <row r="42839" spans="6:6">
      <c r="F42839" s="2423"/>
    </row>
    <row r="42840" spans="6:6">
      <c r="F42840" s="2423"/>
    </row>
    <row r="42841" spans="6:6">
      <c r="F42841" s="2423"/>
    </row>
    <row r="42842" spans="6:6">
      <c r="F42842" s="2423"/>
    </row>
    <row r="42843" spans="6:6">
      <c r="F42843" s="2423"/>
    </row>
    <row r="42844" spans="6:6">
      <c r="F42844" s="2423"/>
    </row>
    <row r="42845" spans="6:6">
      <c r="F42845" s="2423"/>
    </row>
    <row r="42846" spans="6:6">
      <c r="F42846" s="2423"/>
    </row>
    <row r="42847" spans="6:6">
      <c r="F42847" s="2423"/>
    </row>
    <row r="42848" spans="6:6">
      <c r="F42848" s="2423"/>
    </row>
    <row r="42849" spans="6:6">
      <c r="F42849" s="2423"/>
    </row>
    <row r="42850" spans="6:6">
      <c r="F42850" s="2423"/>
    </row>
    <row r="42851" spans="6:6">
      <c r="F42851" s="2423"/>
    </row>
    <row r="42852" spans="6:6">
      <c r="F42852" s="2423"/>
    </row>
    <row r="42853" spans="6:6">
      <c r="F42853" s="2423"/>
    </row>
    <row r="42854" spans="6:6">
      <c r="F42854" s="2423"/>
    </row>
    <row r="42855" spans="6:6">
      <c r="F42855" s="2423"/>
    </row>
    <row r="42856" spans="6:6">
      <c r="F42856" s="2423"/>
    </row>
    <row r="42857" spans="6:6">
      <c r="F42857" s="2423"/>
    </row>
    <row r="42858" spans="6:6">
      <c r="F42858" s="2423"/>
    </row>
    <row r="42859" spans="6:6">
      <c r="F42859" s="2423"/>
    </row>
    <row r="42860" spans="6:6">
      <c r="F42860" s="2423"/>
    </row>
    <row r="42861" spans="6:6">
      <c r="F42861" s="2423"/>
    </row>
    <row r="42862" spans="6:6">
      <c r="F42862" s="2423"/>
    </row>
    <row r="42863" spans="6:6">
      <c r="F42863" s="2423"/>
    </row>
    <row r="42864" spans="6:6">
      <c r="F42864" s="2423"/>
    </row>
    <row r="42865" spans="6:6">
      <c r="F42865" s="2423"/>
    </row>
    <row r="42866" spans="6:6">
      <c r="F42866" s="2423"/>
    </row>
    <row r="42867" spans="6:6">
      <c r="F42867" s="2423"/>
    </row>
    <row r="42868" spans="6:6">
      <c r="F42868" s="2423"/>
    </row>
    <row r="42869" spans="6:6">
      <c r="F42869" s="2423"/>
    </row>
    <row r="42870" spans="6:6">
      <c r="F42870" s="2423"/>
    </row>
    <row r="42871" spans="6:6">
      <c r="F42871" s="2423"/>
    </row>
    <row r="42872" spans="6:6">
      <c r="F42872" s="2423"/>
    </row>
    <row r="42873" spans="6:6">
      <c r="F42873" s="2423"/>
    </row>
    <row r="42874" spans="6:6">
      <c r="F42874" s="2423"/>
    </row>
    <row r="42875" spans="6:6">
      <c r="F42875" s="2423"/>
    </row>
    <row r="42876" spans="6:6">
      <c r="F42876" s="2423"/>
    </row>
    <row r="42877" spans="6:6">
      <c r="F42877" s="2423"/>
    </row>
    <row r="42878" spans="6:6">
      <c r="F42878" s="2423"/>
    </row>
    <row r="42879" spans="6:6">
      <c r="F42879" s="2423"/>
    </row>
    <row r="42880" spans="6:6">
      <c r="F42880" s="2423"/>
    </row>
    <row r="42881" spans="6:6">
      <c r="F42881" s="2423"/>
    </row>
    <row r="42882" spans="6:6">
      <c r="F42882" s="2423"/>
    </row>
    <row r="42883" spans="6:6">
      <c r="F42883" s="2423"/>
    </row>
    <row r="42884" spans="6:6">
      <c r="F42884" s="2423"/>
    </row>
    <row r="42885" spans="6:6">
      <c r="F42885" s="2423"/>
    </row>
    <row r="42886" spans="6:6">
      <c r="F42886" s="2423"/>
    </row>
    <row r="42887" spans="6:6">
      <c r="F42887" s="2423"/>
    </row>
    <row r="42888" spans="6:6">
      <c r="F42888" s="2423"/>
    </row>
    <row r="42889" spans="6:6">
      <c r="F42889" s="2423"/>
    </row>
    <row r="42890" spans="6:6">
      <c r="F42890" s="2423"/>
    </row>
    <row r="42891" spans="6:6">
      <c r="F42891" s="2423"/>
    </row>
    <row r="42892" spans="6:6">
      <c r="F42892" s="2423"/>
    </row>
    <row r="42893" spans="6:6">
      <c r="F42893" s="2423"/>
    </row>
    <row r="42894" spans="6:6">
      <c r="F42894" s="2423"/>
    </row>
    <row r="42895" spans="6:6">
      <c r="F42895" s="2423"/>
    </row>
    <row r="42896" spans="6:6">
      <c r="F42896" s="2423"/>
    </row>
    <row r="42897" spans="6:6">
      <c r="F42897" s="2423"/>
    </row>
    <row r="42898" spans="6:6">
      <c r="F42898" s="2423"/>
    </row>
    <row r="42899" spans="6:6">
      <c r="F42899" s="2423"/>
    </row>
    <row r="42900" spans="6:6">
      <c r="F42900" s="2423"/>
    </row>
    <row r="42901" spans="6:6">
      <c r="F42901" s="2423"/>
    </row>
    <row r="42902" spans="6:6">
      <c r="F42902" s="2423"/>
    </row>
    <row r="42903" spans="6:6">
      <c r="F42903" s="2423"/>
    </row>
    <row r="42904" spans="6:6">
      <c r="F42904" s="2423"/>
    </row>
    <row r="42905" spans="6:6">
      <c r="F42905" s="2423"/>
    </row>
    <row r="42906" spans="6:6">
      <c r="F42906" s="2423"/>
    </row>
    <row r="42907" spans="6:6">
      <c r="F42907" s="2423"/>
    </row>
    <row r="42908" spans="6:6">
      <c r="F42908" s="2423"/>
    </row>
    <row r="42909" spans="6:6">
      <c r="F42909" s="2423"/>
    </row>
    <row r="42910" spans="6:6">
      <c r="F42910" s="2423"/>
    </row>
    <row r="42911" spans="6:6">
      <c r="F42911" s="2423"/>
    </row>
    <row r="42912" spans="6:6">
      <c r="F42912" s="2423"/>
    </row>
    <row r="42913" spans="6:6">
      <c r="F42913" s="2423"/>
    </row>
    <row r="42914" spans="6:6">
      <c r="F42914" s="2423"/>
    </row>
    <row r="42915" spans="6:6">
      <c r="F42915" s="2423"/>
    </row>
    <row r="42916" spans="6:6">
      <c r="F42916" s="2423"/>
    </row>
    <row r="42917" spans="6:6">
      <c r="F42917" s="2423"/>
    </row>
    <row r="42918" spans="6:6">
      <c r="F42918" s="2423"/>
    </row>
    <row r="42919" spans="6:6">
      <c r="F42919" s="2423"/>
    </row>
    <row r="42920" spans="6:6">
      <c r="F42920" s="2423"/>
    </row>
    <row r="42921" spans="6:6">
      <c r="F42921" s="2423"/>
    </row>
    <row r="42922" spans="6:6">
      <c r="F42922" s="2423"/>
    </row>
    <row r="42923" spans="6:6">
      <c r="F42923" s="2423"/>
    </row>
    <row r="42924" spans="6:6">
      <c r="F42924" s="2423"/>
    </row>
    <row r="42925" spans="6:6">
      <c r="F42925" s="2423"/>
    </row>
    <row r="42926" spans="6:6">
      <c r="F42926" s="2423"/>
    </row>
    <row r="42927" spans="6:6">
      <c r="F42927" s="2423"/>
    </row>
    <row r="42928" spans="6:6">
      <c r="F42928" s="2423"/>
    </row>
    <row r="42929" spans="6:6">
      <c r="F42929" s="2423"/>
    </row>
    <row r="42930" spans="6:6">
      <c r="F42930" s="2423"/>
    </row>
    <row r="42931" spans="6:6">
      <c r="F42931" s="2423"/>
    </row>
    <row r="42932" spans="6:6">
      <c r="F42932" s="2423"/>
    </row>
    <row r="42933" spans="6:6">
      <c r="F42933" s="2423"/>
    </row>
    <row r="42934" spans="6:6">
      <c r="F42934" s="2423"/>
    </row>
    <row r="42935" spans="6:6">
      <c r="F42935" s="2423"/>
    </row>
    <row r="42936" spans="6:6">
      <c r="F42936" s="2423"/>
    </row>
    <row r="42937" spans="6:6">
      <c r="F42937" s="2423"/>
    </row>
    <row r="42938" spans="6:6">
      <c r="F42938" s="2423"/>
    </row>
    <row r="42939" spans="6:6">
      <c r="F42939" s="2423"/>
    </row>
    <row r="42940" spans="6:6">
      <c r="F42940" s="2423"/>
    </row>
    <row r="42941" spans="6:6">
      <c r="F42941" s="2423"/>
    </row>
    <row r="42942" spans="6:6">
      <c r="F42942" s="2423"/>
    </row>
    <row r="42943" spans="6:6">
      <c r="F42943" s="2423"/>
    </row>
    <row r="42944" spans="6:6">
      <c r="F42944" s="2423"/>
    </row>
    <row r="42945" spans="6:6">
      <c r="F42945" s="2423"/>
    </row>
    <row r="42946" spans="6:6">
      <c r="F42946" s="2423"/>
    </row>
    <row r="42947" spans="6:6">
      <c r="F42947" s="2423"/>
    </row>
    <row r="42948" spans="6:6">
      <c r="F42948" s="2423"/>
    </row>
    <row r="42949" spans="6:6">
      <c r="F42949" s="2423"/>
    </row>
    <row r="42950" spans="6:6">
      <c r="F42950" s="2423"/>
    </row>
    <row r="42951" spans="6:6">
      <c r="F42951" s="2423"/>
    </row>
    <row r="42952" spans="6:6">
      <c r="F42952" s="2423"/>
    </row>
    <row r="42953" spans="6:6">
      <c r="F42953" s="2423"/>
    </row>
    <row r="42954" spans="6:6">
      <c r="F42954" s="2423"/>
    </row>
    <row r="42955" spans="6:6">
      <c r="F42955" s="2423"/>
    </row>
    <row r="42956" spans="6:6">
      <c r="F42956" s="2423"/>
    </row>
    <row r="42957" spans="6:6">
      <c r="F42957" s="2423"/>
    </row>
    <row r="42958" spans="6:6">
      <c r="F42958" s="2423"/>
    </row>
    <row r="42959" spans="6:6">
      <c r="F42959" s="2423"/>
    </row>
    <row r="42960" spans="6:6">
      <c r="F42960" s="2423"/>
    </row>
    <row r="42961" spans="6:6">
      <c r="F42961" s="2423"/>
    </row>
    <row r="42962" spans="6:6">
      <c r="F42962" s="2423"/>
    </row>
    <row r="42963" spans="6:6">
      <c r="F42963" s="2423"/>
    </row>
    <row r="42964" spans="6:6">
      <c r="F42964" s="2423"/>
    </row>
    <row r="42965" spans="6:6">
      <c r="F42965" s="2423"/>
    </row>
    <row r="42966" spans="6:6">
      <c r="F42966" s="2423"/>
    </row>
    <row r="42967" spans="6:6">
      <c r="F42967" s="2423"/>
    </row>
    <row r="42968" spans="6:6">
      <c r="F42968" s="2423"/>
    </row>
    <row r="42969" spans="6:6">
      <c r="F42969" s="2423"/>
    </row>
    <row r="42970" spans="6:6">
      <c r="F42970" s="2423"/>
    </row>
    <row r="42971" spans="6:6">
      <c r="F42971" s="2423"/>
    </row>
    <row r="42972" spans="6:6">
      <c r="F42972" s="2423"/>
    </row>
    <row r="42973" spans="6:6">
      <c r="F42973" s="2423"/>
    </row>
    <row r="42974" spans="6:6">
      <c r="F42974" s="2423"/>
    </row>
    <row r="42975" spans="6:6">
      <c r="F42975" s="2423"/>
    </row>
    <row r="42976" spans="6:6">
      <c r="F42976" s="2423"/>
    </row>
    <row r="42977" spans="6:6">
      <c r="F42977" s="2423"/>
    </row>
    <row r="42978" spans="6:6">
      <c r="F42978" s="2423"/>
    </row>
    <row r="42979" spans="6:6">
      <c r="F42979" s="2423"/>
    </row>
    <row r="42980" spans="6:6">
      <c r="F42980" s="2423"/>
    </row>
    <row r="42981" spans="6:6">
      <c r="F42981" s="2423"/>
    </row>
    <row r="42982" spans="6:6">
      <c r="F42982" s="2423"/>
    </row>
    <row r="42983" spans="6:6">
      <c r="F42983" s="2423"/>
    </row>
    <row r="42984" spans="6:6">
      <c r="F42984" s="2423"/>
    </row>
    <row r="42985" spans="6:6">
      <c r="F42985" s="2423"/>
    </row>
    <row r="42986" spans="6:6">
      <c r="F42986" s="2423"/>
    </row>
    <row r="42987" spans="6:6">
      <c r="F42987" s="2423"/>
    </row>
    <row r="42988" spans="6:6">
      <c r="F42988" s="2423"/>
    </row>
    <row r="42989" spans="6:6">
      <c r="F42989" s="2423"/>
    </row>
    <row r="42990" spans="6:6">
      <c r="F42990" s="2423"/>
    </row>
    <row r="42991" spans="6:6">
      <c r="F42991" s="2423"/>
    </row>
    <row r="42992" spans="6:6">
      <c r="F42992" s="2423"/>
    </row>
    <row r="42993" spans="6:6">
      <c r="F42993" s="2423"/>
    </row>
    <row r="42994" spans="6:6">
      <c r="F42994" s="2423"/>
    </row>
    <row r="42995" spans="6:6">
      <c r="F42995" s="2423"/>
    </row>
    <row r="42996" spans="6:6">
      <c r="F42996" s="2423"/>
    </row>
    <row r="42997" spans="6:6">
      <c r="F42997" s="2423"/>
    </row>
    <row r="42998" spans="6:6">
      <c r="F42998" s="2423"/>
    </row>
    <row r="42999" spans="6:6">
      <c r="F42999" s="2423"/>
    </row>
    <row r="43000" spans="6:6">
      <c r="F43000" s="2423"/>
    </row>
    <row r="43001" spans="6:6">
      <c r="F43001" s="2423"/>
    </row>
    <row r="43002" spans="6:6">
      <c r="F43002" s="2423"/>
    </row>
    <row r="43003" spans="6:6">
      <c r="F43003" s="2423"/>
    </row>
    <row r="43004" spans="6:6">
      <c r="F43004" s="2423"/>
    </row>
    <row r="43005" spans="6:6">
      <c r="F43005" s="2423"/>
    </row>
    <row r="43006" spans="6:6">
      <c r="F43006" s="2423"/>
    </row>
    <row r="43007" spans="6:6">
      <c r="F43007" s="2423"/>
    </row>
    <row r="43008" spans="6:6">
      <c r="F43008" s="2423"/>
    </row>
    <row r="43009" spans="6:6">
      <c r="F43009" s="2423"/>
    </row>
    <row r="43010" spans="6:6">
      <c r="F43010" s="2423"/>
    </row>
    <row r="43011" spans="6:6">
      <c r="F43011" s="2423"/>
    </row>
    <row r="43012" spans="6:6">
      <c r="F43012" s="2423"/>
    </row>
    <row r="43013" spans="6:6">
      <c r="F43013" s="2423"/>
    </row>
    <row r="43014" spans="6:6">
      <c r="F43014" s="2423"/>
    </row>
    <row r="43015" spans="6:6">
      <c r="F43015" s="2423"/>
    </row>
    <row r="43016" spans="6:6">
      <c r="F43016" s="2423"/>
    </row>
    <row r="43017" spans="6:6">
      <c r="F43017" s="2423"/>
    </row>
    <row r="43018" spans="6:6">
      <c r="F43018" s="2423"/>
    </row>
    <row r="43019" spans="6:6">
      <c r="F43019" s="2423"/>
    </row>
    <row r="43020" spans="6:6">
      <c r="F43020" s="2423"/>
    </row>
    <row r="43021" spans="6:6">
      <c r="F43021" s="2423"/>
    </row>
    <row r="43022" spans="6:6">
      <c r="F43022" s="2423"/>
    </row>
    <row r="43023" spans="6:6">
      <c r="F43023" s="2423"/>
    </row>
    <row r="43024" spans="6:6">
      <c r="F43024" s="2423"/>
    </row>
    <row r="43025" spans="6:6">
      <c r="F43025" s="2423"/>
    </row>
    <row r="43026" spans="6:6">
      <c r="F43026" s="2423"/>
    </row>
    <row r="43027" spans="6:6">
      <c r="F43027" s="2423"/>
    </row>
    <row r="43028" spans="6:6">
      <c r="F43028" s="2423"/>
    </row>
    <row r="43029" spans="6:6">
      <c r="F43029" s="2423"/>
    </row>
    <row r="43030" spans="6:6">
      <c r="F43030" s="2423"/>
    </row>
    <row r="43031" spans="6:6">
      <c r="F43031" s="2423"/>
    </row>
    <row r="43032" spans="6:6">
      <c r="F43032" s="2423"/>
    </row>
    <row r="43033" spans="6:6">
      <c r="F43033" s="2423"/>
    </row>
    <row r="43034" spans="6:6">
      <c r="F43034" s="2423"/>
    </row>
    <row r="43035" spans="6:6">
      <c r="F43035" s="2423"/>
    </row>
    <row r="43036" spans="6:6">
      <c r="F43036" s="2423"/>
    </row>
    <row r="43037" spans="6:6">
      <c r="F43037" s="2423"/>
    </row>
    <row r="43038" spans="6:6">
      <c r="F43038" s="2423"/>
    </row>
    <row r="43039" spans="6:6">
      <c r="F43039" s="2423"/>
    </row>
    <row r="43040" spans="6:6">
      <c r="F43040" s="2423"/>
    </row>
    <row r="43041" spans="6:6">
      <c r="F43041" s="2423"/>
    </row>
    <row r="43042" spans="6:6">
      <c r="F43042" s="2423"/>
    </row>
    <row r="43043" spans="6:6">
      <c r="F43043" s="2423"/>
    </row>
    <row r="43044" spans="6:6">
      <c r="F43044" s="2423"/>
    </row>
    <row r="43045" spans="6:6">
      <c r="F43045" s="2423"/>
    </row>
    <row r="43046" spans="6:6">
      <c r="F43046" s="2423"/>
    </row>
    <row r="43047" spans="6:6">
      <c r="F43047" s="2423"/>
    </row>
    <row r="43048" spans="6:6">
      <c r="F43048" s="2423"/>
    </row>
    <row r="43049" spans="6:6">
      <c r="F43049" s="2423"/>
    </row>
    <row r="43050" spans="6:6">
      <c r="F43050" s="2423"/>
    </row>
    <row r="43051" spans="6:6">
      <c r="F43051" s="2423"/>
    </row>
    <row r="43052" spans="6:6">
      <c r="F43052" s="2423"/>
    </row>
    <row r="43053" spans="6:6">
      <c r="F43053" s="2423"/>
    </row>
    <row r="43054" spans="6:6">
      <c r="F43054" s="2423"/>
    </row>
    <row r="43055" spans="6:6">
      <c r="F43055" s="2423"/>
    </row>
    <row r="43056" spans="6:6">
      <c r="F43056" s="2423"/>
    </row>
    <row r="43057" spans="6:6">
      <c r="F43057" s="2423"/>
    </row>
    <row r="43058" spans="6:6">
      <c r="F43058" s="2423"/>
    </row>
    <row r="43059" spans="6:6">
      <c r="F43059" s="2423"/>
    </row>
    <row r="43060" spans="6:6">
      <c r="F43060" s="2423"/>
    </row>
    <row r="43061" spans="6:6">
      <c r="F43061" s="2423"/>
    </row>
    <row r="43062" spans="6:6">
      <c r="F43062" s="2423"/>
    </row>
    <row r="43063" spans="6:6">
      <c r="F43063" s="2423"/>
    </row>
    <row r="43064" spans="6:6">
      <c r="F43064" s="2423"/>
    </row>
    <row r="43065" spans="6:6">
      <c r="F43065" s="2423"/>
    </row>
    <row r="43066" spans="6:6">
      <c r="F43066" s="2423"/>
    </row>
    <row r="43067" spans="6:6">
      <c r="F43067" s="2423"/>
    </row>
    <row r="43068" spans="6:6">
      <c r="F43068" s="2423"/>
    </row>
    <row r="43069" spans="6:6">
      <c r="F43069" s="2423"/>
    </row>
    <row r="43070" spans="6:6">
      <c r="F43070" s="2423"/>
    </row>
    <row r="43071" spans="6:6">
      <c r="F43071" s="2423"/>
    </row>
    <row r="43072" spans="6:6">
      <c r="F43072" s="2423"/>
    </row>
    <row r="43073" spans="6:6">
      <c r="F43073" s="2423"/>
    </row>
    <row r="43074" spans="6:6">
      <c r="F43074" s="2423"/>
    </row>
    <row r="43075" spans="6:6">
      <c r="F43075" s="2423"/>
    </row>
    <row r="43076" spans="6:6">
      <c r="F43076" s="2423"/>
    </row>
    <row r="43077" spans="6:6">
      <c r="F43077" s="2423"/>
    </row>
    <row r="43078" spans="6:6">
      <c r="F43078" s="2423"/>
    </row>
    <row r="43079" spans="6:6">
      <c r="F43079" s="2423"/>
    </row>
    <row r="43080" spans="6:6">
      <c r="F43080" s="2423"/>
    </row>
    <row r="43081" spans="6:6">
      <c r="F43081" s="2423"/>
    </row>
    <row r="43082" spans="6:6">
      <c r="F43082" s="2423"/>
    </row>
    <row r="43083" spans="6:6">
      <c r="F43083" s="2423"/>
    </row>
    <row r="43084" spans="6:6">
      <c r="F43084" s="2423"/>
    </row>
    <row r="43085" spans="6:6">
      <c r="F43085" s="2423"/>
    </row>
    <row r="43086" spans="6:6">
      <c r="F43086" s="2423"/>
    </row>
    <row r="43087" spans="6:6">
      <c r="F43087" s="2423"/>
    </row>
    <row r="43088" spans="6:6">
      <c r="F43088" s="2423"/>
    </row>
    <row r="43089" spans="6:6">
      <c r="F43089" s="2423"/>
    </row>
    <row r="43090" spans="6:6">
      <c r="F43090" s="2423"/>
    </row>
    <row r="43091" spans="6:6">
      <c r="F43091" s="2423"/>
    </row>
    <row r="43092" spans="6:6">
      <c r="F43092" s="2423"/>
    </row>
    <row r="43093" spans="6:6">
      <c r="F43093" s="2423"/>
    </row>
    <row r="43094" spans="6:6">
      <c r="F43094" s="2423"/>
    </row>
    <row r="43095" spans="6:6">
      <c r="F43095" s="2423"/>
    </row>
    <row r="43096" spans="6:6">
      <c r="F43096" s="2423"/>
    </row>
    <row r="43097" spans="6:6">
      <c r="F43097" s="2423"/>
    </row>
    <row r="43098" spans="6:6">
      <c r="F43098" s="2423"/>
    </row>
    <row r="43099" spans="6:6">
      <c r="F43099" s="2423"/>
    </row>
    <row r="43100" spans="6:6">
      <c r="F43100" s="2423"/>
    </row>
    <row r="43101" spans="6:6">
      <c r="F43101" s="2423"/>
    </row>
    <row r="43102" spans="6:6">
      <c r="F43102" s="2423"/>
    </row>
    <row r="43103" spans="6:6">
      <c r="F43103" s="2423"/>
    </row>
    <row r="43104" spans="6:6">
      <c r="F43104" s="2423"/>
    </row>
    <row r="43105" spans="6:6">
      <c r="F43105" s="2423"/>
    </row>
    <row r="43106" spans="6:6">
      <c r="F43106" s="2423"/>
    </row>
    <row r="43107" spans="6:6">
      <c r="F43107" s="2423"/>
    </row>
    <row r="43108" spans="6:6">
      <c r="F43108" s="2423"/>
    </row>
    <row r="43109" spans="6:6">
      <c r="F43109" s="2423"/>
    </row>
    <row r="43110" spans="6:6">
      <c r="F43110" s="2423"/>
    </row>
    <row r="43111" spans="6:6">
      <c r="F43111" s="2423"/>
    </row>
    <row r="43112" spans="6:6">
      <c r="F43112" s="2423"/>
    </row>
    <row r="43113" spans="6:6">
      <c r="F43113" s="2423"/>
    </row>
    <row r="43114" spans="6:6">
      <c r="F43114" s="2423"/>
    </row>
    <row r="43115" spans="6:6">
      <c r="F43115" s="2423"/>
    </row>
    <row r="43116" spans="6:6">
      <c r="F43116" s="2423"/>
    </row>
    <row r="43117" spans="6:6">
      <c r="F43117" s="2423"/>
    </row>
    <row r="43118" spans="6:6">
      <c r="F43118" s="2423"/>
    </row>
    <row r="43119" spans="6:6">
      <c r="F43119" s="2423"/>
    </row>
    <row r="43120" spans="6:6">
      <c r="F43120" s="2423"/>
    </row>
    <row r="43121" spans="6:6">
      <c r="F43121" s="2423"/>
    </row>
    <row r="43122" spans="6:6">
      <c r="F43122" s="2423"/>
    </row>
    <row r="43123" spans="6:6">
      <c r="F43123" s="2423"/>
    </row>
    <row r="43124" spans="6:6">
      <c r="F43124" s="2423"/>
    </row>
    <row r="43125" spans="6:6">
      <c r="F43125" s="2423"/>
    </row>
    <row r="43126" spans="6:6">
      <c r="F43126" s="2423"/>
    </row>
    <row r="43127" spans="6:6">
      <c r="F43127" s="2423"/>
    </row>
    <row r="43128" spans="6:6">
      <c r="F43128" s="2423"/>
    </row>
    <row r="43129" spans="6:6">
      <c r="F43129" s="2423"/>
    </row>
    <row r="43130" spans="6:6">
      <c r="F43130" s="2423"/>
    </row>
    <row r="43131" spans="6:6">
      <c r="F43131" s="2423"/>
    </row>
    <row r="43132" spans="6:6">
      <c r="F43132" s="2423"/>
    </row>
    <row r="43133" spans="6:6">
      <c r="F43133" s="2423"/>
    </row>
    <row r="43134" spans="6:6">
      <c r="F43134" s="2423"/>
    </row>
    <row r="43135" spans="6:6">
      <c r="F43135" s="2423"/>
    </row>
    <row r="43136" spans="6:6">
      <c r="F43136" s="2423"/>
    </row>
    <row r="43137" spans="6:6">
      <c r="F43137" s="2423"/>
    </row>
    <row r="43138" spans="6:6">
      <c r="F43138" s="2423"/>
    </row>
    <row r="43139" spans="6:6">
      <c r="F43139" s="2423"/>
    </row>
    <row r="43140" spans="6:6">
      <c r="F43140" s="2423"/>
    </row>
    <row r="43141" spans="6:6">
      <c r="F43141" s="2423"/>
    </row>
    <row r="43142" spans="6:6">
      <c r="F43142" s="2423"/>
    </row>
    <row r="43143" spans="6:6">
      <c r="F43143" s="2423"/>
    </row>
    <row r="43144" spans="6:6">
      <c r="F43144" s="2423"/>
    </row>
    <row r="43145" spans="6:6">
      <c r="F43145" s="2423"/>
    </row>
    <row r="43146" spans="6:6">
      <c r="F43146" s="2423"/>
    </row>
    <row r="43147" spans="6:6">
      <c r="F43147" s="2423"/>
    </row>
    <row r="43148" spans="6:6">
      <c r="F43148" s="2423"/>
    </row>
    <row r="43149" spans="6:6">
      <c r="F43149" s="2423"/>
    </row>
    <row r="43150" spans="6:6">
      <c r="F43150" s="2423"/>
    </row>
    <row r="43151" spans="6:6">
      <c r="F43151" s="2423"/>
    </row>
    <row r="43152" spans="6:6">
      <c r="F43152" s="2423"/>
    </row>
    <row r="43153" spans="6:6">
      <c r="F43153" s="2423"/>
    </row>
    <row r="43154" spans="6:6">
      <c r="F43154" s="2423"/>
    </row>
    <row r="43155" spans="6:6">
      <c r="F43155" s="2423"/>
    </row>
    <row r="43156" spans="6:6">
      <c r="F43156" s="2423"/>
    </row>
    <row r="43157" spans="6:6">
      <c r="F43157" s="2423"/>
    </row>
    <row r="43158" spans="6:6">
      <c r="F43158" s="2423"/>
    </row>
    <row r="43159" spans="6:6">
      <c r="F43159" s="2423"/>
    </row>
    <row r="43160" spans="6:6">
      <c r="F43160" s="2423"/>
    </row>
    <row r="43161" spans="6:6">
      <c r="F43161" s="2423"/>
    </row>
    <row r="43162" spans="6:6">
      <c r="F43162" s="2423"/>
    </row>
    <row r="43163" spans="6:6">
      <c r="F43163" s="2423"/>
    </row>
    <row r="43164" spans="6:6">
      <c r="F43164" s="2423"/>
    </row>
    <row r="43165" spans="6:6">
      <c r="F43165" s="2423"/>
    </row>
    <row r="43166" spans="6:6">
      <c r="F43166" s="2423"/>
    </row>
    <row r="43167" spans="6:6">
      <c r="F43167" s="2423"/>
    </row>
    <row r="43168" spans="6:6">
      <c r="F43168" s="2423"/>
    </row>
    <row r="43169" spans="6:6">
      <c r="F43169" s="2423"/>
    </row>
    <row r="43170" spans="6:6">
      <c r="F43170" s="2423"/>
    </row>
    <row r="43171" spans="6:6">
      <c r="F43171" s="2423"/>
    </row>
    <row r="43172" spans="6:6">
      <c r="F43172" s="2423"/>
    </row>
    <row r="43173" spans="6:6">
      <c r="F43173" s="2423"/>
    </row>
    <row r="43174" spans="6:6">
      <c r="F43174" s="2423"/>
    </row>
    <row r="43175" spans="6:6">
      <c r="F43175" s="2423"/>
    </row>
    <row r="43176" spans="6:6">
      <c r="F43176" s="2423"/>
    </row>
    <row r="43177" spans="6:6">
      <c r="F43177" s="2423"/>
    </row>
    <row r="43178" spans="6:6">
      <c r="F43178" s="2423"/>
    </row>
    <row r="43179" spans="6:6">
      <c r="F43179" s="2423"/>
    </row>
    <row r="43180" spans="6:6">
      <c r="F43180" s="2423"/>
    </row>
    <row r="43181" spans="6:6">
      <c r="F43181" s="2423"/>
    </row>
    <row r="43182" spans="6:6">
      <c r="F43182" s="2423"/>
    </row>
    <row r="43183" spans="6:6">
      <c r="F43183" s="2423"/>
    </row>
    <row r="43184" spans="6:6">
      <c r="F43184" s="2423"/>
    </row>
    <row r="43185" spans="6:6">
      <c r="F43185" s="2423"/>
    </row>
    <row r="43186" spans="6:6">
      <c r="F43186" s="2423"/>
    </row>
    <row r="43187" spans="6:6">
      <c r="F43187" s="2423"/>
    </row>
    <row r="43188" spans="6:6">
      <c r="F43188" s="2423"/>
    </row>
    <row r="43189" spans="6:6">
      <c r="F43189" s="2423"/>
    </row>
    <row r="43190" spans="6:6">
      <c r="F43190" s="2423"/>
    </row>
    <row r="43191" spans="6:6">
      <c r="F43191" s="2423"/>
    </row>
    <row r="43192" spans="6:6">
      <c r="F43192" s="2423"/>
    </row>
    <row r="43193" spans="6:6">
      <c r="F43193" s="2423"/>
    </row>
    <row r="43194" spans="6:6">
      <c r="F43194" s="2423"/>
    </row>
    <row r="43195" spans="6:6">
      <c r="F43195" s="2423"/>
    </row>
    <row r="43196" spans="6:6">
      <c r="F43196" s="2423"/>
    </row>
    <row r="43197" spans="6:6">
      <c r="F43197" s="2423"/>
    </row>
    <row r="43198" spans="6:6">
      <c r="F43198" s="2423"/>
    </row>
    <row r="43199" spans="6:6">
      <c r="F43199" s="2423"/>
    </row>
    <row r="43200" spans="6:6">
      <c r="F43200" s="2423"/>
    </row>
    <row r="43201" spans="6:6">
      <c r="F43201" s="2423"/>
    </row>
    <row r="43202" spans="6:6">
      <c r="F43202" s="2423"/>
    </row>
    <row r="43203" spans="6:6">
      <c r="F43203" s="2423"/>
    </row>
    <row r="43204" spans="6:6">
      <c r="F43204" s="2423"/>
    </row>
    <row r="43205" spans="6:6">
      <c r="F43205" s="2423"/>
    </row>
    <row r="43206" spans="6:6">
      <c r="F43206" s="2423"/>
    </row>
    <row r="43207" spans="6:6">
      <c r="F43207" s="2423"/>
    </row>
    <row r="43208" spans="6:6">
      <c r="F43208" s="2423"/>
    </row>
    <row r="43209" spans="6:6">
      <c r="F43209" s="2423"/>
    </row>
    <row r="43210" spans="6:6">
      <c r="F43210" s="2423"/>
    </row>
    <row r="43211" spans="6:6">
      <c r="F43211" s="2423"/>
    </row>
    <row r="43212" spans="6:6">
      <c r="F43212" s="2423"/>
    </row>
    <row r="43213" spans="6:6">
      <c r="F43213" s="2423"/>
    </row>
    <row r="43214" spans="6:6">
      <c r="F43214" s="2423"/>
    </row>
    <row r="43215" spans="6:6">
      <c r="F43215" s="2423"/>
    </row>
    <row r="43216" spans="6:6">
      <c r="F43216" s="2423"/>
    </row>
    <row r="43217" spans="6:6">
      <c r="F43217" s="2423"/>
    </row>
    <row r="43218" spans="6:6">
      <c r="F43218" s="2423"/>
    </row>
    <row r="43219" spans="6:6">
      <c r="F43219" s="2423"/>
    </row>
    <row r="43220" spans="6:6">
      <c r="F43220" s="2423"/>
    </row>
    <row r="43221" spans="6:6">
      <c r="F43221" s="2423"/>
    </row>
    <row r="43222" spans="6:6">
      <c r="F43222" s="2423"/>
    </row>
    <row r="43223" spans="6:6">
      <c r="F43223" s="2423"/>
    </row>
    <row r="43224" spans="6:6">
      <c r="F43224" s="2423"/>
    </row>
    <row r="43225" spans="6:6">
      <c r="F43225" s="2423"/>
    </row>
    <row r="43226" spans="6:6">
      <c r="F43226" s="2423"/>
    </row>
    <row r="43227" spans="6:6">
      <c r="F43227" s="2423"/>
    </row>
    <row r="43228" spans="6:6">
      <c r="F43228" s="2423"/>
    </row>
    <row r="43229" spans="6:6">
      <c r="F43229" s="2423"/>
    </row>
    <row r="43230" spans="6:6">
      <c r="F43230" s="2423"/>
    </row>
    <row r="43231" spans="6:6">
      <c r="F43231" s="2423"/>
    </row>
    <row r="43232" spans="6:6">
      <c r="F43232" s="2423"/>
    </row>
    <row r="43233" spans="6:6">
      <c r="F43233" s="2423"/>
    </row>
    <row r="43234" spans="6:6">
      <c r="F43234" s="2423"/>
    </row>
    <row r="43235" spans="6:6">
      <c r="F43235" s="2423"/>
    </row>
    <row r="43236" spans="6:6">
      <c r="F43236" s="2423"/>
    </row>
    <row r="43237" spans="6:6">
      <c r="F43237" s="2423"/>
    </row>
    <row r="43238" spans="6:6">
      <c r="F43238" s="2423"/>
    </row>
    <row r="43239" spans="6:6">
      <c r="F43239" s="2423"/>
    </row>
    <row r="43240" spans="6:6">
      <c r="F43240" s="2423"/>
    </row>
    <row r="43241" spans="6:6">
      <c r="F43241" s="2423"/>
    </row>
    <row r="43242" spans="6:6">
      <c r="F43242" s="2423"/>
    </row>
    <row r="43243" spans="6:6">
      <c r="F43243" s="2423"/>
    </row>
    <row r="43244" spans="6:6">
      <c r="F43244" s="2423"/>
    </row>
    <row r="43245" spans="6:6">
      <c r="F43245" s="2423"/>
    </row>
    <row r="43246" spans="6:6">
      <c r="F43246" s="2423"/>
    </row>
    <row r="43247" spans="6:6">
      <c r="F43247" s="2423"/>
    </row>
    <row r="43248" spans="6:6">
      <c r="F43248" s="2423"/>
    </row>
    <row r="43249" spans="6:6">
      <c r="F43249" s="2423"/>
    </row>
    <row r="43250" spans="6:6">
      <c r="F43250" s="2423"/>
    </row>
    <row r="43251" spans="6:6">
      <c r="F43251" s="2423"/>
    </row>
    <row r="43252" spans="6:6">
      <c r="F43252" s="2423"/>
    </row>
    <row r="43253" spans="6:6">
      <c r="F43253" s="2423"/>
    </row>
    <row r="43254" spans="6:6">
      <c r="F43254" s="2423"/>
    </row>
    <row r="43255" spans="6:6">
      <c r="F43255" s="2423"/>
    </row>
    <row r="43256" spans="6:6">
      <c r="F43256" s="2423"/>
    </row>
    <row r="43257" spans="6:6">
      <c r="F43257" s="2423"/>
    </row>
    <row r="43258" spans="6:6">
      <c r="F43258" s="2423"/>
    </row>
    <row r="43259" spans="6:6">
      <c r="F43259" s="2423"/>
    </row>
    <row r="43260" spans="6:6">
      <c r="F43260" s="2423"/>
    </row>
    <row r="43261" spans="6:6">
      <c r="F43261" s="2423"/>
    </row>
    <row r="43262" spans="6:6">
      <c r="F43262" s="2423"/>
    </row>
    <row r="43263" spans="6:6">
      <c r="F43263" s="2423"/>
    </row>
    <row r="43264" spans="6:6">
      <c r="F43264" s="2423"/>
    </row>
    <row r="43265" spans="6:6">
      <c r="F43265" s="2423"/>
    </row>
    <row r="43266" spans="6:6">
      <c r="F43266" s="2423"/>
    </row>
    <row r="43267" spans="6:6">
      <c r="F43267" s="2423"/>
    </row>
    <row r="43268" spans="6:6">
      <c r="F43268" s="2423"/>
    </row>
    <row r="43269" spans="6:6">
      <c r="F43269" s="2423"/>
    </row>
    <row r="43270" spans="6:6">
      <c r="F43270" s="2423"/>
    </row>
    <row r="43271" spans="6:6">
      <c r="F43271" s="2423"/>
    </row>
    <row r="43272" spans="6:6">
      <c r="F43272" s="2423"/>
    </row>
    <row r="43273" spans="6:6">
      <c r="F43273" s="2423"/>
    </row>
    <row r="43274" spans="6:6">
      <c r="F43274" s="2423"/>
    </row>
    <row r="43275" spans="6:6">
      <c r="F43275" s="2423"/>
    </row>
    <row r="43276" spans="6:6">
      <c r="F43276" s="2423"/>
    </row>
    <row r="43277" spans="6:6">
      <c r="F43277" s="2423"/>
    </row>
    <row r="43278" spans="6:6">
      <c r="F43278" s="2423"/>
    </row>
    <row r="43279" spans="6:6">
      <c r="F43279" s="2423"/>
    </row>
    <row r="43280" spans="6:6">
      <c r="F43280" s="2423"/>
    </row>
    <row r="43281" spans="6:6">
      <c r="F43281" s="2423"/>
    </row>
    <row r="43282" spans="6:6">
      <c r="F43282" s="2423"/>
    </row>
    <row r="43283" spans="6:6">
      <c r="F43283" s="2423"/>
    </row>
    <row r="43284" spans="6:6">
      <c r="F43284" s="2423"/>
    </row>
    <row r="43285" spans="6:6">
      <c r="F43285" s="2423"/>
    </row>
    <row r="43286" spans="6:6">
      <c r="F43286" s="2423"/>
    </row>
    <row r="43287" spans="6:6">
      <c r="F43287" s="2423"/>
    </row>
    <row r="43288" spans="6:6">
      <c r="F43288" s="2423"/>
    </row>
    <row r="43289" spans="6:6">
      <c r="F43289" s="2423"/>
    </row>
    <row r="43290" spans="6:6">
      <c r="F43290" s="2423"/>
    </row>
    <row r="43291" spans="6:6">
      <c r="F43291" s="2423"/>
    </row>
    <row r="43292" spans="6:6">
      <c r="F43292" s="2423"/>
    </row>
    <row r="43293" spans="6:6">
      <c r="F43293" s="2423"/>
    </row>
    <row r="43294" spans="6:6">
      <c r="F43294" s="2423"/>
    </row>
    <row r="43295" spans="6:6">
      <c r="F43295" s="2423"/>
    </row>
    <row r="43296" spans="6:6">
      <c r="F43296" s="2423"/>
    </row>
    <row r="43297" spans="6:6">
      <c r="F43297" s="2423"/>
    </row>
    <row r="43298" spans="6:6">
      <c r="F43298" s="2423"/>
    </row>
    <row r="43299" spans="6:6">
      <c r="F43299" s="2423"/>
    </row>
    <row r="43300" spans="6:6">
      <c r="F43300" s="2423"/>
    </row>
    <row r="43301" spans="6:6">
      <c r="F43301" s="2423"/>
    </row>
    <row r="43302" spans="6:6">
      <c r="F43302" s="2423"/>
    </row>
    <row r="43303" spans="6:6">
      <c r="F43303" s="2423"/>
    </row>
    <row r="43304" spans="6:6">
      <c r="F43304" s="2423"/>
    </row>
    <row r="43305" spans="6:6">
      <c r="F43305" s="2423"/>
    </row>
    <row r="43306" spans="6:6">
      <c r="F43306" s="2423"/>
    </row>
    <row r="43307" spans="6:6">
      <c r="F43307" s="2423"/>
    </row>
    <row r="43308" spans="6:6">
      <c r="F43308" s="2423"/>
    </row>
    <row r="43309" spans="6:6">
      <c r="F43309" s="2423"/>
    </row>
    <row r="43310" spans="6:6">
      <c r="F43310" s="2423"/>
    </row>
    <row r="43311" spans="6:6">
      <c r="F43311" s="2423"/>
    </row>
    <row r="43312" spans="6:6">
      <c r="F43312" s="2423"/>
    </row>
    <row r="43313" spans="6:6">
      <c r="F43313" s="2423"/>
    </row>
    <row r="43314" spans="6:6">
      <c r="F43314" s="2423"/>
    </row>
    <row r="43315" spans="6:6">
      <c r="F43315" s="2423"/>
    </row>
    <row r="43316" spans="6:6">
      <c r="F43316" s="2423"/>
    </row>
    <row r="43317" spans="6:6">
      <c r="F43317" s="2423"/>
    </row>
    <row r="43318" spans="6:6">
      <c r="F43318" s="2423"/>
    </row>
    <row r="43319" spans="6:6">
      <c r="F43319" s="2423"/>
    </row>
    <row r="43320" spans="6:6">
      <c r="F43320" s="2423"/>
    </row>
    <row r="43321" spans="6:6">
      <c r="F43321" s="2423"/>
    </row>
    <row r="43322" spans="6:6">
      <c r="F43322" s="2423"/>
    </row>
    <row r="43323" spans="6:6">
      <c r="F43323" s="2423"/>
    </row>
    <row r="43324" spans="6:6">
      <c r="F43324" s="2423"/>
    </row>
    <row r="43325" spans="6:6">
      <c r="F43325" s="2423"/>
    </row>
    <row r="43326" spans="6:6">
      <c r="F43326" s="2423"/>
    </row>
    <row r="43327" spans="6:6">
      <c r="F43327" s="2423"/>
    </row>
    <row r="43328" spans="6:6">
      <c r="F43328" s="2423"/>
    </row>
    <row r="43329" spans="6:6">
      <c r="F43329" s="2423"/>
    </row>
    <row r="43330" spans="6:6">
      <c r="F43330" s="2423"/>
    </row>
    <row r="43331" spans="6:6">
      <c r="F43331" s="2423"/>
    </row>
    <row r="43332" spans="6:6">
      <c r="F43332" s="2423"/>
    </row>
    <row r="43333" spans="6:6">
      <c r="F43333" s="2423"/>
    </row>
    <row r="43334" spans="6:6">
      <c r="F43334" s="2423"/>
    </row>
    <row r="43335" spans="6:6">
      <c r="F43335" s="2423"/>
    </row>
    <row r="43336" spans="6:6">
      <c r="F43336" s="2423"/>
    </row>
    <row r="43337" spans="6:6">
      <c r="F43337" s="2423"/>
    </row>
    <row r="43338" spans="6:6">
      <c r="F43338" s="2423"/>
    </row>
    <row r="43339" spans="6:6">
      <c r="F43339" s="2423"/>
    </row>
    <row r="43340" spans="6:6">
      <c r="F43340" s="2423"/>
    </row>
    <row r="43341" spans="6:6">
      <c r="F43341" s="2423"/>
    </row>
    <row r="43342" spans="6:6">
      <c r="F43342" s="2423"/>
    </row>
    <row r="43343" spans="6:6">
      <c r="F43343" s="2423"/>
    </row>
    <row r="43344" spans="6:6">
      <c r="F43344" s="2423"/>
    </row>
    <row r="43345" spans="6:6">
      <c r="F43345" s="2423"/>
    </row>
    <row r="43346" spans="6:6">
      <c r="F43346" s="2423"/>
    </row>
    <row r="43347" spans="6:6">
      <c r="F43347" s="2423"/>
    </row>
    <row r="43348" spans="6:6">
      <c r="F43348" s="2423"/>
    </row>
    <row r="43349" spans="6:6">
      <c r="F43349" s="2423"/>
    </row>
    <row r="43350" spans="6:6">
      <c r="F43350" s="2423"/>
    </row>
    <row r="43351" spans="6:6">
      <c r="F43351" s="2423"/>
    </row>
    <row r="43352" spans="6:6">
      <c r="F43352" s="2423"/>
    </row>
    <row r="43353" spans="6:6">
      <c r="F43353" s="2423"/>
    </row>
    <row r="43354" spans="6:6">
      <c r="F43354" s="2423"/>
    </row>
    <row r="43355" spans="6:6">
      <c r="F43355" s="2423"/>
    </row>
    <row r="43356" spans="6:6">
      <c r="F43356" s="2423"/>
    </row>
    <row r="43357" spans="6:6">
      <c r="F43357" s="2423"/>
    </row>
    <row r="43358" spans="6:6">
      <c r="F43358" s="2423"/>
    </row>
    <row r="43359" spans="6:6">
      <c r="F43359" s="2423"/>
    </row>
    <row r="43360" spans="6:6">
      <c r="F43360" s="2423"/>
    </row>
    <row r="43361" spans="6:6">
      <c r="F43361" s="2423"/>
    </row>
    <row r="43362" spans="6:6">
      <c r="F43362" s="2423"/>
    </row>
    <row r="43363" spans="6:6">
      <c r="F43363" s="2423"/>
    </row>
    <row r="43364" spans="6:6">
      <c r="F43364" s="2423"/>
    </row>
    <row r="43365" spans="6:6">
      <c r="F43365" s="2423"/>
    </row>
    <row r="43366" spans="6:6">
      <c r="F43366" s="2423"/>
    </row>
    <row r="43367" spans="6:6">
      <c r="F43367" s="2423"/>
    </row>
    <row r="43368" spans="6:6">
      <c r="F43368" s="2423"/>
    </row>
    <row r="43369" spans="6:6">
      <c r="F43369" s="2423"/>
    </row>
    <row r="43370" spans="6:6">
      <c r="F43370" s="2423"/>
    </row>
    <row r="43371" spans="6:6">
      <c r="F43371" s="2423"/>
    </row>
    <row r="43372" spans="6:6">
      <c r="F43372" s="2423"/>
    </row>
    <row r="43373" spans="6:6">
      <c r="F43373" s="2423"/>
    </row>
    <row r="43374" spans="6:6">
      <c r="F43374" s="2423"/>
    </row>
    <row r="43375" spans="6:6">
      <c r="F43375" s="2423"/>
    </row>
    <row r="43376" spans="6:6">
      <c r="F43376" s="2423"/>
    </row>
    <row r="43377" spans="6:6">
      <c r="F43377" s="2423"/>
    </row>
    <row r="43378" spans="6:6">
      <c r="F43378" s="2423"/>
    </row>
    <row r="43379" spans="6:6">
      <c r="F43379" s="2423"/>
    </row>
    <row r="43380" spans="6:6">
      <c r="F43380" s="2423"/>
    </row>
    <row r="43381" spans="6:6">
      <c r="F43381" s="2423"/>
    </row>
    <row r="43382" spans="6:6">
      <c r="F43382" s="2423"/>
    </row>
    <row r="43383" spans="6:6">
      <c r="F43383" s="2423"/>
    </row>
    <row r="43384" spans="6:6">
      <c r="F43384" s="2423"/>
    </row>
    <row r="43385" spans="6:6">
      <c r="F43385" s="2423"/>
    </row>
    <row r="43386" spans="6:6">
      <c r="F43386" s="2423"/>
    </row>
    <row r="43387" spans="6:6">
      <c r="F43387" s="2423"/>
    </row>
    <row r="43388" spans="6:6">
      <c r="F43388" s="2423"/>
    </row>
    <row r="43389" spans="6:6">
      <c r="F43389" s="2423"/>
    </row>
    <row r="43390" spans="6:6">
      <c r="F43390" s="2423"/>
    </row>
    <row r="43391" spans="6:6">
      <c r="F43391" s="2423"/>
    </row>
    <row r="43392" spans="6:6">
      <c r="F43392" s="2423"/>
    </row>
    <row r="43393" spans="6:6">
      <c r="F43393" s="2423"/>
    </row>
    <row r="43394" spans="6:6">
      <c r="F43394" s="2423"/>
    </row>
    <row r="43395" spans="6:6">
      <c r="F43395" s="2423"/>
    </row>
    <row r="43396" spans="6:6">
      <c r="F43396" s="2423"/>
    </row>
    <row r="43397" spans="6:6">
      <c r="F43397" s="2423"/>
    </row>
    <row r="43398" spans="6:6">
      <c r="F43398" s="2423"/>
    </row>
    <row r="43399" spans="6:6">
      <c r="F43399" s="2423"/>
    </row>
    <row r="43400" spans="6:6">
      <c r="F43400" s="2423"/>
    </row>
    <row r="43401" spans="6:6">
      <c r="F43401" s="2423"/>
    </row>
    <row r="43402" spans="6:6">
      <c r="F43402" s="2423"/>
    </row>
    <row r="43403" spans="6:6">
      <c r="F43403" s="2423"/>
    </row>
    <row r="43404" spans="6:6">
      <c r="F43404" s="2423"/>
    </row>
    <row r="43405" spans="6:6">
      <c r="F43405" s="2423"/>
    </row>
    <row r="43406" spans="6:6">
      <c r="F43406" s="2423"/>
    </row>
    <row r="43407" spans="6:6">
      <c r="F43407" s="2423"/>
    </row>
    <row r="43408" spans="6:6">
      <c r="F43408" s="2423"/>
    </row>
    <row r="43409" spans="6:6">
      <c r="F43409" s="2423"/>
    </row>
    <row r="43410" spans="6:6">
      <c r="F43410" s="2423"/>
    </row>
    <row r="43411" spans="6:6">
      <c r="F43411" s="2423"/>
    </row>
    <row r="43412" spans="6:6">
      <c r="F43412" s="2423"/>
    </row>
    <row r="43413" spans="6:6">
      <c r="F43413" s="2423"/>
    </row>
    <row r="43414" spans="6:6">
      <c r="F43414" s="2423"/>
    </row>
    <row r="43415" spans="6:6">
      <c r="F43415" s="2423"/>
    </row>
    <row r="43416" spans="6:6">
      <c r="F43416" s="2423"/>
    </row>
    <row r="43417" spans="6:6">
      <c r="F43417" s="2423"/>
    </row>
    <row r="43418" spans="6:6">
      <c r="F43418" s="2423"/>
    </row>
    <row r="43419" spans="6:6">
      <c r="F43419" s="2423"/>
    </row>
    <row r="43420" spans="6:6">
      <c r="F43420" s="2423"/>
    </row>
    <row r="43421" spans="6:6">
      <c r="F43421" s="2423"/>
    </row>
    <row r="43422" spans="6:6">
      <c r="F43422" s="2423"/>
    </row>
    <row r="43423" spans="6:6">
      <c r="F43423" s="2423"/>
    </row>
    <row r="43424" spans="6:6">
      <c r="F43424" s="2423"/>
    </row>
    <row r="43425" spans="6:6">
      <c r="F43425" s="2423"/>
    </row>
    <row r="43426" spans="6:6">
      <c r="F43426" s="2423"/>
    </row>
    <row r="43427" spans="6:6">
      <c r="F43427" s="2423"/>
    </row>
    <row r="43428" spans="6:6">
      <c r="F43428" s="2423"/>
    </row>
    <row r="43429" spans="6:6">
      <c r="F43429" s="2423"/>
    </row>
    <row r="43430" spans="6:6">
      <c r="F43430" s="2423"/>
    </row>
    <row r="43431" spans="6:6">
      <c r="F43431" s="2423"/>
    </row>
    <row r="43432" spans="6:6">
      <c r="F43432" s="2423"/>
    </row>
    <row r="43433" spans="6:6">
      <c r="F43433" s="2423"/>
    </row>
    <row r="43434" spans="6:6">
      <c r="F43434" s="2423"/>
    </row>
    <row r="43435" spans="6:6">
      <c r="F43435" s="2423"/>
    </row>
    <row r="43436" spans="6:6">
      <c r="F43436" s="2423"/>
    </row>
    <row r="43437" spans="6:6">
      <c r="F43437" s="2423"/>
    </row>
    <row r="43438" spans="6:6">
      <c r="F43438" s="2423"/>
    </row>
    <row r="43439" spans="6:6">
      <c r="F43439" s="2423"/>
    </row>
    <row r="43440" spans="6:6">
      <c r="F43440" s="2423"/>
    </row>
    <row r="43441" spans="6:6">
      <c r="F43441" s="2423"/>
    </row>
    <row r="43442" spans="6:6">
      <c r="F43442" s="2423"/>
    </row>
    <row r="43443" spans="6:6">
      <c r="F43443" s="2423"/>
    </row>
    <row r="43444" spans="6:6">
      <c r="F43444" s="2423"/>
    </row>
    <row r="43445" spans="6:6">
      <c r="F43445" s="2423"/>
    </row>
    <row r="43446" spans="6:6">
      <c r="F43446" s="2423"/>
    </row>
    <row r="43447" spans="6:6">
      <c r="F43447" s="2423"/>
    </row>
    <row r="43448" spans="6:6">
      <c r="F43448" s="2423"/>
    </row>
    <row r="43449" spans="6:6">
      <c r="F43449" s="2423"/>
    </row>
    <row r="43450" spans="6:6">
      <c r="F43450" s="2423"/>
    </row>
    <row r="43451" spans="6:6">
      <c r="F43451" s="2423"/>
    </row>
    <row r="43452" spans="6:6">
      <c r="F43452" s="2423"/>
    </row>
    <row r="43453" spans="6:6">
      <c r="F43453" s="2423"/>
    </row>
    <row r="43454" spans="6:6">
      <c r="F43454" s="2423"/>
    </row>
    <row r="43455" spans="6:6">
      <c r="F43455" s="2423"/>
    </row>
    <row r="43456" spans="6:6">
      <c r="F43456" s="2423"/>
    </row>
    <row r="43457" spans="6:6">
      <c r="F43457" s="2423"/>
    </row>
    <row r="43458" spans="6:6">
      <c r="F43458" s="2423"/>
    </row>
    <row r="43459" spans="6:6">
      <c r="F43459" s="2423"/>
    </row>
    <row r="43460" spans="6:6">
      <c r="F43460" s="2423"/>
    </row>
    <row r="43461" spans="6:6">
      <c r="F43461" s="2423"/>
    </row>
    <row r="43462" spans="6:6">
      <c r="F43462" s="2423"/>
    </row>
    <row r="43463" spans="6:6">
      <c r="F43463" s="2423"/>
    </row>
    <row r="43464" spans="6:6">
      <c r="F43464" s="2423"/>
    </row>
    <row r="43465" spans="6:6">
      <c r="F43465" s="2423"/>
    </row>
    <row r="43466" spans="6:6">
      <c r="F43466" s="2423"/>
    </row>
    <row r="43467" spans="6:6">
      <c r="F43467" s="2423"/>
    </row>
    <row r="43468" spans="6:6">
      <c r="F43468" s="2423"/>
    </row>
    <row r="43469" spans="6:6">
      <c r="F43469" s="2423"/>
    </row>
    <row r="43470" spans="6:6">
      <c r="F43470" s="2423"/>
    </row>
    <row r="43471" spans="6:6">
      <c r="F43471" s="2423"/>
    </row>
    <row r="43472" spans="6:6">
      <c r="F43472" s="2423"/>
    </row>
    <row r="43473" spans="6:6">
      <c r="F43473" s="2423"/>
    </row>
    <row r="43474" spans="6:6">
      <c r="F43474" s="2423"/>
    </row>
    <row r="43475" spans="6:6">
      <c r="F43475" s="2423"/>
    </row>
    <row r="43476" spans="6:6">
      <c r="F43476" s="2423"/>
    </row>
    <row r="43477" spans="6:6">
      <c r="F43477" s="2423"/>
    </row>
    <row r="43478" spans="6:6">
      <c r="F43478" s="2423"/>
    </row>
    <row r="43479" spans="6:6">
      <c r="F43479" s="2423"/>
    </row>
    <row r="43480" spans="6:6">
      <c r="F43480" s="2423"/>
    </row>
    <row r="43481" spans="6:6">
      <c r="F43481" s="2423"/>
    </row>
    <row r="43482" spans="6:6">
      <c r="F43482" s="2423"/>
    </row>
    <row r="43483" spans="6:6">
      <c r="F43483" s="2423"/>
    </row>
    <row r="43484" spans="6:6">
      <c r="F43484" s="2423"/>
    </row>
    <row r="43485" spans="6:6">
      <c r="F43485" s="2423"/>
    </row>
    <row r="43486" spans="6:6">
      <c r="F43486" s="2423"/>
    </row>
    <row r="43487" spans="6:6">
      <c r="F43487" s="2423"/>
    </row>
    <row r="43488" spans="6:6">
      <c r="F43488" s="2423"/>
    </row>
    <row r="43489" spans="6:6">
      <c r="F43489" s="2423"/>
    </row>
    <row r="43490" spans="6:6">
      <c r="F43490" s="2423"/>
    </row>
    <row r="43491" spans="6:6">
      <c r="F43491" s="2423"/>
    </row>
    <row r="43492" spans="6:6">
      <c r="F43492" s="2423"/>
    </row>
    <row r="43493" spans="6:6">
      <c r="F43493" s="2423"/>
    </row>
    <row r="43494" spans="6:6">
      <c r="F43494" s="2423"/>
    </row>
    <row r="43495" spans="6:6">
      <c r="F43495" s="2423"/>
    </row>
    <row r="43496" spans="6:6">
      <c r="F43496" s="2423"/>
    </row>
    <row r="43497" spans="6:6">
      <c r="F43497" s="2423"/>
    </row>
    <row r="43498" spans="6:6">
      <c r="F43498" s="2423"/>
    </row>
    <row r="43499" spans="6:6">
      <c r="F43499" s="2423"/>
    </row>
    <row r="43500" spans="6:6">
      <c r="F43500" s="2423"/>
    </row>
    <row r="43501" spans="6:6">
      <c r="F43501" s="2423"/>
    </row>
    <row r="43502" spans="6:6">
      <c r="F43502" s="2423"/>
    </row>
    <row r="43503" spans="6:6">
      <c r="F43503" s="2423"/>
    </row>
    <row r="43504" spans="6:6">
      <c r="F43504" s="2423"/>
    </row>
    <row r="43505" spans="6:6">
      <c r="F43505" s="2423"/>
    </row>
    <row r="43506" spans="6:6">
      <c r="F43506" s="2423"/>
    </row>
    <row r="43507" spans="6:6">
      <c r="F43507" s="2423"/>
    </row>
    <row r="43508" spans="6:6">
      <c r="F43508" s="2423"/>
    </row>
    <row r="43509" spans="6:6">
      <c r="F43509" s="2423"/>
    </row>
    <row r="43510" spans="6:6">
      <c r="F43510" s="2423"/>
    </row>
    <row r="43511" spans="6:6">
      <c r="F43511" s="2423"/>
    </row>
    <row r="43512" spans="6:6">
      <c r="F43512" s="2423"/>
    </row>
    <row r="43513" spans="6:6">
      <c r="F43513" s="2423"/>
    </row>
    <row r="43514" spans="6:6">
      <c r="F43514" s="2423"/>
    </row>
    <row r="43515" spans="6:6">
      <c r="F43515" s="2423"/>
    </row>
    <row r="43516" spans="6:6">
      <c r="F43516" s="2423"/>
    </row>
    <row r="43517" spans="6:6">
      <c r="F43517" s="2423"/>
    </row>
    <row r="43518" spans="6:6">
      <c r="F43518" s="2423"/>
    </row>
    <row r="43519" spans="6:6">
      <c r="F43519" s="2423"/>
    </row>
    <row r="43520" spans="6:6">
      <c r="F43520" s="2423"/>
    </row>
    <row r="43521" spans="6:6">
      <c r="F43521" s="2423"/>
    </row>
    <row r="43522" spans="6:6">
      <c r="F43522" s="2423"/>
    </row>
    <row r="43523" spans="6:6">
      <c r="F43523" s="2423"/>
    </row>
    <row r="43524" spans="6:6">
      <c r="F43524" s="2423"/>
    </row>
    <row r="43525" spans="6:6">
      <c r="F43525" s="2423"/>
    </row>
    <row r="43526" spans="6:6">
      <c r="F43526" s="2423"/>
    </row>
    <row r="43527" spans="6:6">
      <c r="F43527" s="2423"/>
    </row>
    <row r="43528" spans="6:6">
      <c r="F43528" s="2423"/>
    </row>
    <row r="43529" spans="6:6">
      <c r="F43529" s="2423"/>
    </row>
    <row r="43530" spans="6:6">
      <c r="F43530" s="2423"/>
    </row>
    <row r="43531" spans="6:6">
      <c r="F43531" s="2423"/>
    </row>
    <row r="43532" spans="6:6">
      <c r="F43532" s="2423"/>
    </row>
    <row r="43533" spans="6:6">
      <c r="F43533" s="2423"/>
    </row>
    <row r="43534" spans="6:6">
      <c r="F43534" s="2423"/>
    </row>
    <row r="43535" spans="6:6">
      <c r="F43535" s="2423"/>
    </row>
    <row r="43536" spans="6:6">
      <c r="F43536" s="2423"/>
    </row>
    <row r="43537" spans="6:6">
      <c r="F43537" s="2423"/>
    </row>
    <row r="43538" spans="6:6">
      <c r="F43538" s="2423"/>
    </row>
    <row r="43539" spans="6:6">
      <c r="F43539" s="2423"/>
    </row>
    <row r="43540" spans="6:6">
      <c r="F43540" s="2423"/>
    </row>
    <row r="43541" spans="6:6">
      <c r="F43541" s="2423"/>
    </row>
    <row r="43542" spans="6:6">
      <c r="F43542" s="2423"/>
    </row>
    <row r="43543" spans="6:6">
      <c r="F43543" s="2423"/>
    </row>
    <row r="43544" spans="6:6">
      <c r="F43544" s="2423"/>
    </row>
    <row r="43545" spans="6:6">
      <c r="F43545" s="2423"/>
    </row>
    <row r="43546" spans="6:6">
      <c r="F43546" s="2423"/>
    </row>
    <row r="43547" spans="6:6">
      <c r="F43547" s="2423"/>
    </row>
    <row r="43548" spans="6:6">
      <c r="F43548" s="2423"/>
    </row>
    <row r="43549" spans="6:6">
      <c r="F43549" s="2423"/>
    </row>
    <row r="43550" spans="6:6">
      <c r="F43550" s="2423"/>
    </row>
    <row r="43551" spans="6:6">
      <c r="F43551" s="2423"/>
    </row>
    <row r="43552" spans="6:6">
      <c r="F43552" s="2423"/>
    </row>
    <row r="43553" spans="6:6">
      <c r="F43553" s="2423"/>
    </row>
    <row r="43554" spans="6:6">
      <c r="F43554" s="2423"/>
    </row>
    <row r="43555" spans="6:6">
      <c r="F43555" s="2423"/>
    </row>
    <row r="43556" spans="6:6">
      <c r="F43556" s="2423"/>
    </row>
    <row r="43557" spans="6:6">
      <c r="F43557" s="2423"/>
    </row>
    <row r="43558" spans="6:6">
      <c r="F43558" s="2423"/>
    </row>
    <row r="43559" spans="6:6">
      <c r="F43559" s="2423"/>
    </row>
    <row r="43560" spans="6:6">
      <c r="F43560" s="2423"/>
    </row>
    <row r="43561" spans="6:6">
      <c r="F43561" s="2423"/>
    </row>
    <row r="43562" spans="6:6">
      <c r="F43562" s="2423"/>
    </row>
    <row r="43563" spans="6:6">
      <c r="F43563" s="2423"/>
    </row>
    <row r="43564" spans="6:6">
      <c r="F43564" s="2423"/>
    </row>
    <row r="43565" spans="6:6">
      <c r="F43565" s="2423"/>
    </row>
    <row r="43566" spans="6:6">
      <c r="F43566" s="2423"/>
    </row>
    <row r="43567" spans="6:6">
      <c r="F43567" s="2423"/>
    </row>
    <row r="43568" spans="6:6">
      <c r="F43568" s="2423"/>
    </row>
    <row r="43569" spans="6:6">
      <c r="F43569" s="2423"/>
    </row>
    <row r="43570" spans="6:6">
      <c r="F43570" s="2423"/>
    </row>
    <row r="43571" spans="6:6">
      <c r="F43571" s="2423"/>
    </row>
    <row r="43572" spans="6:6">
      <c r="F43572" s="2423"/>
    </row>
    <row r="43573" spans="6:6">
      <c r="F43573" s="2423"/>
    </row>
    <row r="43574" spans="6:6">
      <c r="F43574" s="2423"/>
    </row>
    <row r="43575" spans="6:6">
      <c r="F43575" s="2423"/>
    </row>
    <row r="43576" spans="6:6">
      <c r="F43576" s="2423"/>
    </row>
    <row r="43577" spans="6:6">
      <c r="F43577" s="2423"/>
    </row>
    <row r="43578" spans="6:6">
      <c r="F43578" s="2423"/>
    </row>
    <row r="43579" spans="6:6">
      <c r="F43579" s="2423"/>
    </row>
    <row r="43580" spans="6:6">
      <c r="F43580" s="2423"/>
    </row>
    <row r="43581" spans="6:6">
      <c r="F43581" s="2423"/>
    </row>
    <row r="43582" spans="6:6">
      <c r="F43582" s="2423"/>
    </row>
    <row r="43583" spans="6:6">
      <c r="F43583" s="2423"/>
    </row>
    <row r="43584" spans="6:6">
      <c r="F43584" s="2423"/>
    </row>
    <row r="43585" spans="6:6">
      <c r="F43585" s="2423"/>
    </row>
    <row r="43586" spans="6:6">
      <c r="F43586" s="2423"/>
    </row>
    <row r="43587" spans="6:6">
      <c r="F43587" s="2423"/>
    </row>
    <row r="43588" spans="6:6">
      <c r="F43588" s="2423"/>
    </row>
    <row r="43589" spans="6:6">
      <c r="F43589" s="2423"/>
    </row>
    <row r="43590" spans="6:6">
      <c r="F43590" s="2423"/>
    </row>
    <row r="43591" spans="6:6">
      <c r="F43591" s="2423"/>
    </row>
    <row r="43592" spans="6:6">
      <c r="F43592" s="2423"/>
    </row>
    <row r="43593" spans="6:6">
      <c r="F43593" s="2423"/>
    </row>
    <row r="43594" spans="6:6">
      <c r="F43594" s="2423"/>
    </row>
    <row r="43595" spans="6:6">
      <c r="F43595" s="2423"/>
    </row>
    <row r="43596" spans="6:6">
      <c r="F43596" s="2423"/>
    </row>
    <row r="43597" spans="6:6">
      <c r="F43597" s="2423"/>
    </row>
    <row r="43598" spans="6:6">
      <c r="F43598" s="2423"/>
    </row>
    <row r="43599" spans="6:6">
      <c r="F43599" s="2423"/>
    </row>
    <row r="43600" spans="6:6">
      <c r="F43600" s="2423"/>
    </row>
    <row r="43601" spans="6:6">
      <c r="F43601" s="2423"/>
    </row>
    <row r="43602" spans="6:6">
      <c r="F43602" s="2423"/>
    </row>
    <row r="43603" spans="6:6">
      <c r="F43603" s="2423"/>
    </row>
    <row r="43604" spans="6:6">
      <c r="F43604" s="2423"/>
    </row>
    <row r="43605" spans="6:6">
      <c r="F43605" s="2423"/>
    </row>
    <row r="43606" spans="6:6">
      <c r="F43606" s="2423"/>
    </row>
    <row r="43607" spans="6:6">
      <c r="F43607" s="2423"/>
    </row>
    <row r="43608" spans="6:6">
      <c r="F43608" s="2423"/>
    </row>
    <row r="43609" spans="6:6">
      <c r="F43609" s="2423"/>
    </row>
    <row r="43610" spans="6:6">
      <c r="F43610" s="2423"/>
    </row>
    <row r="43611" spans="6:6">
      <c r="F43611" s="2423"/>
    </row>
    <row r="43612" spans="6:6">
      <c r="F43612" s="2423"/>
    </row>
    <row r="43613" spans="6:6">
      <c r="F43613" s="2423"/>
    </row>
    <row r="43614" spans="6:6">
      <c r="F43614" s="2423"/>
    </row>
    <row r="43615" spans="6:6">
      <c r="F43615" s="2423"/>
    </row>
    <row r="43616" spans="6:6">
      <c r="F43616" s="2423"/>
    </row>
    <row r="43617" spans="6:6">
      <c r="F43617" s="2423"/>
    </row>
    <row r="43618" spans="6:6">
      <c r="F43618" s="2423"/>
    </row>
    <row r="43619" spans="6:6">
      <c r="F43619" s="2423"/>
    </row>
    <row r="43620" spans="6:6">
      <c r="F43620" s="2423"/>
    </row>
    <row r="43621" spans="6:6">
      <c r="F43621" s="2423"/>
    </row>
    <row r="43622" spans="6:6">
      <c r="F43622" s="2423"/>
    </row>
    <row r="43623" spans="6:6">
      <c r="F43623" s="2423"/>
    </row>
    <row r="43624" spans="6:6">
      <c r="F43624" s="2423"/>
    </row>
    <row r="43625" spans="6:6">
      <c r="F43625" s="2423"/>
    </row>
    <row r="43626" spans="6:6">
      <c r="F43626" s="2423"/>
    </row>
    <row r="43627" spans="6:6">
      <c r="F43627" s="2423"/>
    </row>
    <row r="43628" spans="6:6">
      <c r="F43628" s="2423"/>
    </row>
    <row r="43629" spans="6:6">
      <c r="F43629" s="2423"/>
    </row>
    <row r="43630" spans="6:6">
      <c r="F43630" s="2423"/>
    </row>
    <row r="43631" spans="6:6">
      <c r="F43631" s="2423"/>
    </row>
    <row r="43632" spans="6:6">
      <c r="F43632" s="2423"/>
    </row>
    <row r="43633" spans="6:6">
      <c r="F43633" s="2423"/>
    </row>
    <row r="43634" spans="6:6">
      <c r="F43634" s="2423"/>
    </row>
    <row r="43635" spans="6:6">
      <c r="F43635" s="2423"/>
    </row>
    <row r="43636" spans="6:6">
      <c r="F43636" s="2423"/>
    </row>
    <row r="43637" spans="6:6">
      <c r="F43637" s="2423"/>
    </row>
    <row r="43638" spans="6:6">
      <c r="F43638" s="2423"/>
    </row>
    <row r="43639" spans="6:6">
      <c r="F43639" s="2423"/>
    </row>
    <row r="43640" spans="6:6">
      <c r="F43640" s="2423"/>
    </row>
    <row r="43641" spans="6:6">
      <c r="F43641" s="2423"/>
    </row>
    <row r="43642" spans="6:6">
      <c r="F43642" s="2423"/>
    </row>
    <row r="43643" spans="6:6">
      <c r="F43643" s="2423"/>
    </row>
    <row r="43644" spans="6:6">
      <c r="F43644" s="2423"/>
    </row>
    <row r="43645" spans="6:6">
      <c r="F43645" s="2423"/>
    </row>
    <row r="43646" spans="6:6">
      <c r="F43646" s="2423"/>
    </row>
    <row r="43647" spans="6:6">
      <c r="F43647" s="2423"/>
    </row>
    <row r="43648" spans="6:6">
      <c r="F43648" s="2423"/>
    </row>
    <row r="43649" spans="6:6">
      <c r="F43649" s="2423"/>
    </row>
    <row r="43650" spans="6:6">
      <c r="F43650" s="2423"/>
    </row>
    <row r="43651" spans="6:6">
      <c r="F43651" s="2423"/>
    </row>
    <row r="43652" spans="6:6">
      <c r="F43652" s="2423"/>
    </row>
    <row r="43653" spans="6:6">
      <c r="F43653" s="2423"/>
    </row>
    <row r="43654" spans="6:6">
      <c r="F43654" s="2423"/>
    </row>
    <row r="43655" spans="6:6">
      <c r="F43655" s="2423"/>
    </row>
    <row r="43656" spans="6:6">
      <c r="F43656" s="2423"/>
    </row>
    <row r="43657" spans="6:6">
      <c r="F43657" s="2423"/>
    </row>
    <row r="43658" spans="6:6">
      <c r="F43658" s="2423"/>
    </row>
    <row r="43659" spans="6:6">
      <c r="F43659" s="2423"/>
    </row>
    <row r="43660" spans="6:6">
      <c r="F43660" s="2423"/>
    </row>
    <row r="43661" spans="6:6">
      <c r="F43661" s="2423"/>
    </row>
    <row r="43662" spans="6:6">
      <c r="F43662" s="2423"/>
    </row>
    <row r="43663" spans="6:6">
      <c r="F43663" s="2423"/>
    </row>
    <row r="43664" spans="6:6">
      <c r="F43664" s="2423"/>
    </row>
    <row r="43665" spans="6:6">
      <c r="F43665" s="2423"/>
    </row>
    <row r="43666" spans="6:6">
      <c r="F43666" s="2423"/>
    </row>
    <row r="43667" spans="6:6">
      <c r="F43667" s="2423"/>
    </row>
    <row r="43668" spans="6:6">
      <c r="F43668" s="2423"/>
    </row>
    <row r="43669" spans="6:6">
      <c r="F43669" s="2423"/>
    </row>
    <row r="43670" spans="6:6">
      <c r="F43670" s="2423"/>
    </row>
    <row r="43671" spans="6:6">
      <c r="F43671" s="2423"/>
    </row>
    <row r="43672" spans="6:6">
      <c r="F43672" s="2423"/>
    </row>
    <row r="43673" spans="6:6">
      <c r="F43673" s="2423"/>
    </row>
    <row r="43674" spans="6:6">
      <c r="F43674" s="2423"/>
    </row>
    <row r="43675" spans="6:6">
      <c r="F43675" s="2423"/>
    </row>
    <row r="43676" spans="6:6">
      <c r="F43676" s="2423"/>
    </row>
    <row r="43677" spans="6:6">
      <c r="F43677" s="2423"/>
    </row>
    <row r="43678" spans="6:6">
      <c r="F43678" s="2423"/>
    </row>
    <row r="43679" spans="6:6">
      <c r="F43679" s="2423"/>
    </row>
    <row r="43680" spans="6:6">
      <c r="F43680" s="2423"/>
    </row>
    <row r="43681" spans="6:6">
      <c r="F43681" s="2423"/>
    </row>
    <row r="43682" spans="6:6">
      <c r="F43682" s="2423"/>
    </row>
    <row r="43683" spans="6:6">
      <c r="F43683" s="2423"/>
    </row>
    <row r="43684" spans="6:6">
      <c r="F43684" s="2423"/>
    </row>
    <row r="43685" spans="6:6">
      <c r="F43685" s="2423"/>
    </row>
    <row r="43686" spans="6:6">
      <c r="F43686" s="2423"/>
    </row>
    <row r="43687" spans="6:6">
      <c r="F43687" s="2423"/>
    </row>
    <row r="43688" spans="6:6">
      <c r="F43688" s="2423"/>
    </row>
    <row r="43689" spans="6:6">
      <c r="F43689" s="2423"/>
    </row>
    <row r="43690" spans="6:6">
      <c r="F43690" s="2423"/>
    </row>
    <row r="43691" spans="6:6">
      <c r="F43691" s="2423"/>
    </row>
    <row r="43692" spans="6:6">
      <c r="F43692" s="2423"/>
    </row>
    <row r="43693" spans="6:6">
      <c r="F43693" s="2423"/>
    </row>
    <row r="43694" spans="6:6">
      <c r="F43694" s="2423"/>
    </row>
    <row r="43695" spans="6:6">
      <c r="F43695" s="2423"/>
    </row>
    <row r="43696" spans="6:6">
      <c r="F43696" s="2423"/>
    </row>
    <row r="43697" spans="6:6">
      <c r="F43697" s="2423"/>
    </row>
    <row r="43698" spans="6:6">
      <c r="F43698" s="2423"/>
    </row>
    <row r="43699" spans="6:6">
      <c r="F43699" s="2423"/>
    </row>
    <row r="43700" spans="6:6">
      <c r="F43700" s="2423"/>
    </row>
    <row r="43701" spans="6:6">
      <c r="F43701" s="2423"/>
    </row>
    <row r="43702" spans="6:6">
      <c r="F43702" s="2423"/>
    </row>
    <row r="43703" spans="6:6">
      <c r="F43703" s="2423"/>
    </row>
    <row r="43704" spans="6:6">
      <c r="F43704" s="2423"/>
    </row>
    <row r="43705" spans="6:6">
      <c r="F43705" s="2423"/>
    </row>
    <row r="43706" spans="6:6">
      <c r="F43706" s="2423"/>
    </row>
    <row r="43707" spans="6:6">
      <c r="F43707" s="2423"/>
    </row>
    <row r="43708" spans="6:6">
      <c r="F43708" s="2423"/>
    </row>
    <row r="43709" spans="6:6">
      <c r="F43709" s="2423"/>
    </row>
    <row r="43710" spans="6:6">
      <c r="F43710" s="2423"/>
    </row>
    <row r="43711" spans="6:6">
      <c r="F43711" s="2423"/>
    </row>
    <row r="43712" spans="6:6">
      <c r="F43712" s="2423"/>
    </row>
    <row r="43713" spans="6:6">
      <c r="F43713" s="2423"/>
    </row>
    <row r="43714" spans="6:6">
      <c r="F43714" s="2423"/>
    </row>
    <row r="43715" spans="6:6">
      <c r="F43715" s="2423"/>
    </row>
    <row r="43716" spans="6:6">
      <c r="F43716" s="2423"/>
    </row>
    <row r="43717" spans="6:6">
      <c r="F43717" s="2423"/>
    </row>
    <row r="43718" spans="6:6">
      <c r="F43718" s="2423"/>
    </row>
    <row r="43719" spans="6:6">
      <c r="F43719" s="2423"/>
    </row>
    <row r="43720" spans="6:6">
      <c r="F43720" s="2423"/>
    </row>
    <row r="43721" spans="6:6">
      <c r="F43721" s="2423"/>
    </row>
    <row r="43722" spans="6:6">
      <c r="F43722" s="2423"/>
    </row>
    <row r="43723" spans="6:6">
      <c r="F43723" s="2423"/>
    </row>
    <row r="43724" spans="6:6">
      <c r="F43724" s="2423"/>
    </row>
    <row r="43725" spans="6:6">
      <c r="F43725" s="2423"/>
    </row>
    <row r="43726" spans="6:6">
      <c r="F43726" s="2423"/>
    </row>
    <row r="43727" spans="6:6">
      <c r="F43727" s="2423"/>
    </row>
    <row r="43728" spans="6:6">
      <c r="F43728" s="2423"/>
    </row>
    <row r="43729" spans="6:6">
      <c r="F43729" s="2423"/>
    </row>
    <row r="43730" spans="6:6">
      <c r="F43730" s="2423"/>
    </row>
    <row r="43731" spans="6:6">
      <c r="F43731" s="2423"/>
    </row>
    <row r="43732" spans="6:6">
      <c r="F43732" s="2423"/>
    </row>
    <row r="43733" spans="6:6">
      <c r="F43733" s="2423"/>
    </row>
    <row r="43734" spans="6:6">
      <c r="F43734" s="2423"/>
    </row>
    <row r="43735" spans="6:6">
      <c r="F43735" s="2423"/>
    </row>
    <row r="43736" spans="6:6">
      <c r="F43736" s="2423"/>
    </row>
    <row r="43737" spans="6:6">
      <c r="F43737" s="2423"/>
    </row>
    <row r="43738" spans="6:6">
      <c r="F43738" s="2423"/>
    </row>
    <row r="43739" spans="6:6">
      <c r="F43739" s="2423"/>
    </row>
    <row r="43740" spans="6:6">
      <c r="F43740" s="2423"/>
    </row>
    <row r="43741" spans="6:6">
      <c r="F43741" s="2423"/>
    </row>
    <row r="43742" spans="6:6">
      <c r="F43742" s="2423"/>
    </row>
    <row r="43743" spans="6:6">
      <c r="F43743" s="2423"/>
    </row>
    <row r="43744" spans="6:6">
      <c r="F43744" s="2423"/>
    </row>
    <row r="43745" spans="6:6">
      <c r="F43745" s="2423"/>
    </row>
    <row r="43746" spans="6:6">
      <c r="F43746" s="2423"/>
    </row>
    <row r="43747" spans="6:6">
      <c r="F43747" s="2423"/>
    </row>
    <row r="43748" spans="6:6">
      <c r="F43748" s="2423"/>
    </row>
    <row r="43749" spans="6:6">
      <c r="F43749" s="2423"/>
    </row>
    <row r="43750" spans="6:6">
      <c r="F43750" s="2423"/>
    </row>
    <row r="43751" spans="6:6">
      <c r="F43751" s="2423"/>
    </row>
    <row r="43752" spans="6:6">
      <c r="F43752" s="2423"/>
    </row>
    <row r="43753" spans="6:6">
      <c r="F43753" s="2423"/>
    </row>
    <row r="43754" spans="6:6">
      <c r="F43754" s="2423"/>
    </row>
    <row r="43755" spans="6:6">
      <c r="F43755" s="2423"/>
    </row>
    <row r="43756" spans="6:6">
      <c r="F43756" s="2423"/>
    </row>
    <row r="43757" spans="6:6">
      <c r="F43757" s="2423"/>
    </row>
    <row r="43758" spans="6:6">
      <c r="F43758" s="2423"/>
    </row>
    <row r="43759" spans="6:6">
      <c r="F43759" s="2423"/>
    </row>
    <row r="43760" spans="6:6">
      <c r="F43760" s="2423"/>
    </row>
    <row r="43761" spans="6:6">
      <c r="F43761" s="2423"/>
    </row>
    <row r="43762" spans="6:6">
      <c r="F43762" s="2423"/>
    </row>
    <row r="43763" spans="6:6">
      <c r="F43763" s="2423"/>
    </row>
    <row r="43764" spans="6:6">
      <c r="F43764" s="2423"/>
    </row>
    <row r="43765" spans="6:6">
      <c r="F43765" s="2423"/>
    </row>
    <row r="43766" spans="6:6">
      <c r="F43766" s="2423"/>
    </row>
    <row r="43767" spans="6:6">
      <c r="F43767" s="2423"/>
    </row>
    <row r="43768" spans="6:6">
      <c r="F43768" s="2423"/>
    </row>
    <row r="43769" spans="6:6">
      <c r="F43769" s="2423"/>
    </row>
    <row r="43770" spans="6:6">
      <c r="F43770" s="2423"/>
    </row>
    <row r="43771" spans="6:6">
      <c r="F43771" s="2423"/>
    </row>
    <row r="43772" spans="6:6">
      <c r="F43772" s="2423"/>
    </row>
    <row r="43773" spans="6:6">
      <c r="F43773" s="2423"/>
    </row>
    <row r="43774" spans="6:6">
      <c r="F43774" s="2423"/>
    </row>
    <row r="43775" spans="6:6">
      <c r="F43775" s="2423"/>
    </row>
    <row r="43776" spans="6:6">
      <c r="F43776" s="2423"/>
    </row>
    <row r="43777" spans="6:6">
      <c r="F43777" s="2423"/>
    </row>
    <row r="43778" spans="6:6">
      <c r="F43778" s="2423"/>
    </row>
    <row r="43779" spans="6:6">
      <c r="F43779" s="2423"/>
    </row>
    <row r="43780" spans="6:6">
      <c r="F43780" s="2423"/>
    </row>
    <row r="43781" spans="6:6">
      <c r="F43781" s="2423"/>
    </row>
    <row r="43782" spans="6:6">
      <c r="F43782" s="2423"/>
    </row>
    <row r="43783" spans="6:6">
      <c r="F43783" s="2423"/>
    </row>
    <row r="43784" spans="6:6">
      <c r="F43784" s="2423"/>
    </row>
    <row r="43785" spans="6:6">
      <c r="F43785" s="2423"/>
    </row>
    <row r="43786" spans="6:6">
      <c r="F43786" s="2423"/>
    </row>
    <row r="43787" spans="6:6">
      <c r="F43787" s="2423"/>
    </row>
    <row r="43788" spans="6:6">
      <c r="F43788" s="2423"/>
    </row>
    <row r="43789" spans="6:6">
      <c r="F43789" s="2423"/>
    </row>
    <row r="43790" spans="6:6">
      <c r="F43790" s="2423"/>
    </row>
    <row r="43791" spans="6:6">
      <c r="F43791" s="2423"/>
    </row>
    <row r="43792" spans="6:6">
      <c r="F43792" s="2423"/>
    </row>
    <row r="43793" spans="6:6">
      <c r="F43793" s="2423"/>
    </row>
    <row r="43794" spans="6:6">
      <c r="F43794" s="2423"/>
    </row>
    <row r="43795" spans="6:6">
      <c r="F43795" s="2423"/>
    </row>
    <row r="43796" spans="6:6">
      <c r="F43796" s="2423"/>
    </row>
    <row r="43797" spans="6:6">
      <c r="F43797" s="2423"/>
    </row>
    <row r="43798" spans="6:6">
      <c r="F43798" s="2423"/>
    </row>
    <row r="43799" spans="6:6">
      <c r="F43799" s="2423"/>
    </row>
    <row r="43800" spans="6:6">
      <c r="F43800" s="2423"/>
    </row>
    <row r="43801" spans="6:6">
      <c r="F43801" s="2423"/>
    </row>
    <row r="43802" spans="6:6">
      <c r="F43802" s="2423"/>
    </row>
    <row r="43803" spans="6:6">
      <c r="F43803" s="2423"/>
    </row>
    <row r="43804" spans="6:6">
      <c r="F43804" s="2423"/>
    </row>
    <row r="43805" spans="6:6">
      <c r="F43805" s="2423"/>
    </row>
    <row r="43806" spans="6:6">
      <c r="F43806" s="2423"/>
    </row>
    <row r="43807" spans="6:6">
      <c r="F43807" s="2423"/>
    </row>
    <row r="43808" spans="6:6">
      <c r="F43808" s="2423"/>
    </row>
    <row r="43809" spans="6:6">
      <c r="F43809" s="2423"/>
    </row>
    <row r="43810" spans="6:6">
      <c r="F43810" s="2423"/>
    </row>
    <row r="43811" spans="6:6">
      <c r="F43811" s="2423"/>
    </row>
    <row r="43812" spans="6:6">
      <c r="F43812" s="2423"/>
    </row>
    <row r="43813" spans="6:6">
      <c r="F43813" s="2423"/>
    </row>
    <row r="43814" spans="6:6">
      <c r="F43814" s="2423"/>
    </row>
    <row r="43815" spans="6:6">
      <c r="F43815" s="2423"/>
    </row>
    <row r="43816" spans="6:6">
      <c r="F43816" s="2423"/>
    </row>
    <row r="43817" spans="6:6">
      <c r="F43817" s="2423"/>
    </row>
    <row r="43818" spans="6:6">
      <c r="F43818" s="2423"/>
    </row>
    <row r="43819" spans="6:6">
      <c r="F43819" s="2423"/>
    </row>
    <row r="43820" spans="6:6">
      <c r="F43820" s="2423"/>
    </row>
    <row r="43821" spans="6:6">
      <c r="F43821" s="2423"/>
    </row>
    <row r="43822" spans="6:6">
      <c r="F43822" s="2423"/>
    </row>
    <row r="43823" spans="6:6">
      <c r="F43823" s="2423"/>
    </row>
    <row r="43824" spans="6:6">
      <c r="F43824" s="2423"/>
    </row>
    <row r="43825" spans="6:6">
      <c r="F43825" s="2423"/>
    </row>
    <row r="43826" spans="6:6">
      <c r="F43826" s="2423"/>
    </row>
    <row r="43827" spans="6:6">
      <c r="F43827" s="2423"/>
    </row>
    <row r="43828" spans="6:6">
      <c r="F43828" s="2423"/>
    </row>
    <row r="43829" spans="6:6">
      <c r="F43829" s="2423"/>
    </row>
    <row r="43830" spans="6:6">
      <c r="F43830" s="2423"/>
    </row>
    <row r="43831" spans="6:6">
      <c r="F43831" s="2423"/>
    </row>
    <row r="43832" spans="6:6">
      <c r="F43832" s="2423"/>
    </row>
    <row r="43833" spans="6:6">
      <c r="F43833" s="2423"/>
    </row>
    <row r="43834" spans="6:6">
      <c r="F43834" s="2423"/>
    </row>
    <row r="43835" spans="6:6">
      <c r="F43835" s="2423"/>
    </row>
    <row r="43836" spans="6:6">
      <c r="F43836" s="2423"/>
    </row>
    <row r="43837" spans="6:6">
      <c r="F43837" s="2423"/>
    </row>
    <row r="43838" spans="6:6">
      <c r="F43838" s="2423"/>
    </row>
    <row r="43839" spans="6:6">
      <c r="F43839" s="2423"/>
    </row>
    <row r="43840" spans="6:6">
      <c r="F43840" s="2423"/>
    </row>
    <row r="43841" spans="6:6">
      <c r="F43841" s="2423"/>
    </row>
    <row r="43842" spans="6:6">
      <c r="F43842" s="2423"/>
    </row>
    <row r="43843" spans="6:6">
      <c r="F43843" s="2423"/>
    </row>
    <row r="43844" spans="6:6">
      <c r="F43844" s="2423"/>
    </row>
    <row r="43845" spans="6:6">
      <c r="F43845" s="2423"/>
    </row>
    <row r="43846" spans="6:6">
      <c r="F43846" s="2423"/>
    </row>
    <row r="43847" spans="6:6">
      <c r="F43847" s="2423"/>
    </row>
    <row r="43848" spans="6:6">
      <c r="F43848" s="2423"/>
    </row>
    <row r="43849" spans="6:6">
      <c r="F43849" s="2423"/>
    </row>
    <row r="43850" spans="6:6">
      <c r="F43850" s="2423"/>
    </row>
    <row r="43851" spans="6:6">
      <c r="F43851" s="2423"/>
    </row>
    <row r="43852" spans="6:6">
      <c r="F43852" s="2423"/>
    </row>
    <row r="43853" spans="6:6">
      <c r="F43853" s="2423"/>
    </row>
    <row r="43854" spans="6:6">
      <c r="F43854" s="2423"/>
    </row>
    <row r="43855" spans="6:6">
      <c r="F43855" s="2423"/>
    </row>
    <row r="43856" spans="6:6">
      <c r="F43856" s="2423"/>
    </row>
    <row r="43857" spans="6:6">
      <c r="F43857" s="2423"/>
    </row>
    <row r="43858" spans="6:6">
      <c r="F43858" s="2423"/>
    </row>
    <row r="43859" spans="6:6">
      <c r="F43859" s="2423"/>
    </row>
    <row r="43860" spans="6:6">
      <c r="F43860" s="2423"/>
    </row>
    <row r="43861" spans="6:6">
      <c r="F43861" s="2423"/>
    </row>
    <row r="43862" spans="6:6">
      <c r="F43862" s="2423"/>
    </row>
    <row r="43863" spans="6:6">
      <c r="F43863" s="2423"/>
    </row>
    <row r="43864" spans="6:6">
      <c r="F43864" s="2423"/>
    </row>
    <row r="43865" spans="6:6">
      <c r="F43865" s="2423"/>
    </row>
    <row r="43866" spans="6:6">
      <c r="F43866" s="2423"/>
    </row>
    <row r="43867" spans="6:6">
      <c r="F43867" s="2423"/>
    </row>
    <row r="43868" spans="6:6">
      <c r="F43868" s="2423"/>
    </row>
    <row r="43869" spans="6:6">
      <c r="F43869" s="2423"/>
    </row>
    <row r="43870" spans="6:6">
      <c r="F43870" s="2423"/>
    </row>
    <row r="43871" spans="6:6">
      <c r="F43871" s="2423"/>
    </row>
    <row r="43872" spans="6:6">
      <c r="F43872" s="2423"/>
    </row>
    <row r="43873" spans="6:6">
      <c r="F43873" s="2423"/>
    </row>
    <row r="43874" spans="6:6">
      <c r="F43874" s="2423"/>
    </row>
    <row r="43875" spans="6:6">
      <c r="F43875" s="2423"/>
    </row>
    <row r="43876" spans="6:6">
      <c r="F43876" s="2423"/>
    </row>
    <row r="43877" spans="6:6">
      <c r="F43877" s="2423"/>
    </row>
    <row r="43878" spans="6:6">
      <c r="F43878" s="2423"/>
    </row>
    <row r="43879" spans="6:6">
      <c r="F43879" s="2423"/>
    </row>
    <row r="43880" spans="6:6">
      <c r="F43880" s="2423"/>
    </row>
    <row r="43881" spans="6:6">
      <c r="F43881" s="2423"/>
    </row>
    <row r="43882" spans="6:6">
      <c r="F43882" s="2423"/>
    </row>
    <row r="43883" spans="6:6">
      <c r="F43883" s="2423"/>
    </row>
    <row r="43884" spans="6:6">
      <c r="F43884" s="2423"/>
    </row>
    <row r="43885" spans="6:6">
      <c r="F43885" s="2423"/>
    </row>
    <row r="43886" spans="6:6">
      <c r="F43886" s="2423"/>
    </row>
    <row r="43887" spans="6:6">
      <c r="F43887" s="2423"/>
    </row>
    <row r="43888" spans="6:6">
      <c r="F43888" s="2423"/>
    </row>
    <row r="43889" spans="6:6">
      <c r="F43889" s="2423"/>
    </row>
    <row r="43890" spans="6:6">
      <c r="F43890" s="2423"/>
    </row>
    <row r="43891" spans="6:6">
      <c r="F43891" s="2423"/>
    </row>
    <row r="43892" spans="6:6">
      <c r="F43892" s="2423"/>
    </row>
    <row r="43893" spans="6:6">
      <c r="F43893" s="2423"/>
    </row>
    <row r="43894" spans="6:6">
      <c r="F43894" s="2423"/>
    </row>
    <row r="43895" spans="6:6">
      <c r="F43895" s="2423"/>
    </row>
    <row r="43896" spans="6:6">
      <c r="F43896" s="2423"/>
    </row>
    <row r="43897" spans="6:6">
      <c r="F43897" s="2423"/>
    </row>
    <row r="43898" spans="6:6">
      <c r="F43898" s="2423"/>
    </row>
    <row r="43899" spans="6:6">
      <c r="F43899" s="2423"/>
    </row>
    <row r="43900" spans="6:6">
      <c r="F43900" s="2423"/>
    </row>
    <row r="43901" spans="6:6">
      <c r="F43901" s="2423"/>
    </row>
    <row r="43902" spans="6:6">
      <c r="F43902" s="2423"/>
    </row>
    <row r="43903" spans="6:6">
      <c r="F43903" s="2423"/>
    </row>
    <row r="43904" spans="6:6">
      <c r="F43904" s="2423"/>
    </row>
    <row r="43905" spans="6:6">
      <c r="F43905" s="2423"/>
    </row>
    <row r="43906" spans="6:6">
      <c r="F43906" s="2423"/>
    </row>
    <row r="43907" spans="6:6">
      <c r="F43907" s="2423"/>
    </row>
    <row r="43908" spans="6:6">
      <c r="F43908" s="2423"/>
    </row>
    <row r="43909" spans="6:6">
      <c r="F43909" s="2423"/>
    </row>
    <row r="43910" spans="6:6">
      <c r="F43910" s="2423"/>
    </row>
    <row r="43911" spans="6:6">
      <c r="F43911" s="2423"/>
    </row>
    <row r="43912" spans="6:6">
      <c r="F43912" s="2423"/>
    </row>
    <row r="43913" spans="6:6">
      <c r="F43913" s="2423"/>
    </row>
    <row r="43914" spans="6:6">
      <c r="F43914" s="2423"/>
    </row>
    <row r="43915" spans="6:6">
      <c r="F43915" s="2423"/>
    </row>
    <row r="43916" spans="6:6">
      <c r="F43916" s="2423"/>
    </row>
    <row r="43917" spans="6:6">
      <c r="F43917" s="2423"/>
    </row>
    <row r="43918" spans="6:6">
      <c r="F43918" s="2423"/>
    </row>
    <row r="43919" spans="6:6">
      <c r="F43919" s="2423"/>
    </row>
    <row r="43920" spans="6:6">
      <c r="F43920" s="2423"/>
    </row>
    <row r="43921" spans="6:6">
      <c r="F43921" s="2423"/>
    </row>
    <row r="43922" spans="6:6">
      <c r="F43922" s="2423"/>
    </row>
    <row r="43923" spans="6:6">
      <c r="F43923" s="2423"/>
    </row>
    <row r="43924" spans="6:6">
      <c r="F43924" s="2423"/>
    </row>
    <row r="43925" spans="6:6">
      <c r="F43925" s="2423"/>
    </row>
    <row r="43926" spans="6:6">
      <c r="F43926" s="2423"/>
    </row>
    <row r="43927" spans="6:6">
      <c r="F43927" s="2423"/>
    </row>
    <row r="43928" spans="6:6">
      <c r="F43928" s="2423"/>
    </row>
    <row r="43929" spans="6:6">
      <c r="F43929" s="2423"/>
    </row>
    <row r="43930" spans="6:6">
      <c r="F43930" s="2423"/>
    </row>
    <row r="43931" spans="6:6">
      <c r="F43931" s="2423"/>
    </row>
    <row r="43932" spans="6:6">
      <c r="F43932" s="2423"/>
    </row>
    <row r="43933" spans="6:6">
      <c r="F43933" s="2423"/>
    </row>
    <row r="43934" spans="6:6">
      <c r="F43934" s="2423"/>
    </row>
    <row r="43935" spans="6:6">
      <c r="F43935" s="2423"/>
    </row>
    <row r="43936" spans="6:6">
      <c r="F43936" s="2423"/>
    </row>
    <row r="43937" spans="6:6">
      <c r="F43937" s="2423"/>
    </row>
    <row r="43938" spans="6:6">
      <c r="F43938" s="2423"/>
    </row>
    <row r="43939" spans="6:6">
      <c r="F43939" s="2423"/>
    </row>
    <row r="43940" spans="6:6">
      <c r="F43940" s="2423"/>
    </row>
    <row r="43941" spans="6:6">
      <c r="F43941" s="2423"/>
    </row>
    <row r="43942" spans="6:6">
      <c r="F43942" s="2423"/>
    </row>
    <row r="43943" spans="6:6">
      <c r="F43943" s="2423"/>
    </row>
    <row r="43944" spans="6:6">
      <c r="F43944" s="2423"/>
    </row>
    <row r="43945" spans="6:6">
      <c r="F43945" s="2423"/>
    </row>
    <row r="43946" spans="6:6">
      <c r="F43946" s="2423"/>
    </row>
    <row r="43947" spans="6:6">
      <c r="F43947" s="2423"/>
    </row>
    <row r="43948" spans="6:6">
      <c r="F43948" s="2423"/>
    </row>
    <row r="43949" spans="6:6">
      <c r="F43949" s="2423"/>
    </row>
    <row r="43950" spans="6:6">
      <c r="F43950" s="2423"/>
    </row>
    <row r="43951" spans="6:6">
      <c r="F43951" s="2423"/>
    </row>
    <row r="43952" spans="6:6">
      <c r="F43952" s="2423"/>
    </row>
    <row r="43953" spans="6:6">
      <c r="F43953" s="2423"/>
    </row>
    <row r="43954" spans="6:6">
      <c r="F43954" s="2423"/>
    </row>
    <row r="43955" spans="6:6">
      <c r="F43955" s="2423"/>
    </row>
    <row r="43956" spans="6:6">
      <c r="F43956" s="2423"/>
    </row>
    <row r="43957" spans="6:6">
      <c r="F43957" s="2423"/>
    </row>
    <row r="43958" spans="6:6">
      <c r="F43958" s="2423"/>
    </row>
    <row r="43959" spans="6:6">
      <c r="F43959" s="2423"/>
    </row>
    <row r="43960" spans="6:6">
      <c r="F43960" s="2423"/>
    </row>
    <row r="43961" spans="6:6">
      <c r="F43961" s="2423"/>
    </row>
    <row r="43962" spans="6:6">
      <c r="F43962" s="2423"/>
    </row>
    <row r="43963" spans="6:6">
      <c r="F43963" s="2423"/>
    </row>
    <row r="43964" spans="6:6">
      <c r="F43964" s="2423"/>
    </row>
    <row r="43965" spans="6:6">
      <c r="F43965" s="2423"/>
    </row>
    <row r="43966" spans="6:6">
      <c r="F43966" s="2423"/>
    </row>
    <row r="43967" spans="6:6">
      <c r="F43967" s="2423"/>
    </row>
    <row r="43968" spans="6:6">
      <c r="F43968" s="2423"/>
    </row>
    <row r="43969" spans="6:6">
      <c r="F43969" s="2423"/>
    </row>
    <row r="43970" spans="6:6">
      <c r="F43970" s="2423"/>
    </row>
    <row r="43971" spans="6:6">
      <c r="F43971" s="2423"/>
    </row>
    <row r="43972" spans="6:6">
      <c r="F43972" s="2423"/>
    </row>
    <row r="43973" spans="6:6">
      <c r="F43973" s="2423"/>
    </row>
    <row r="43974" spans="6:6">
      <c r="F43974" s="2423"/>
    </row>
    <row r="43975" spans="6:6">
      <c r="F43975" s="2423"/>
    </row>
    <row r="43976" spans="6:6">
      <c r="F43976" s="2423"/>
    </row>
    <row r="43977" spans="6:6">
      <c r="F43977" s="2423"/>
    </row>
    <row r="43978" spans="6:6">
      <c r="F43978" s="2423"/>
    </row>
    <row r="43979" spans="6:6">
      <c r="F43979" s="2423"/>
    </row>
    <row r="43980" spans="6:6">
      <c r="F43980" s="2423"/>
    </row>
    <row r="43981" spans="6:6">
      <c r="F43981" s="2423"/>
    </row>
    <row r="43982" spans="6:6">
      <c r="F43982" s="2423"/>
    </row>
    <row r="43983" spans="6:6">
      <c r="F43983" s="2423"/>
    </row>
    <row r="43984" spans="6:6">
      <c r="F43984" s="2423"/>
    </row>
    <row r="43985" spans="6:6">
      <c r="F43985" s="2423"/>
    </row>
    <row r="43986" spans="6:6">
      <c r="F43986" s="2423"/>
    </row>
    <row r="43987" spans="6:6">
      <c r="F43987" s="2423"/>
    </row>
    <row r="43988" spans="6:6">
      <c r="F43988" s="2423"/>
    </row>
    <row r="43989" spans="6:6">
      <c r="F43989" s="2423"/>
    </row>
    <row r="43990" spans="6:6">
      <c r="F43990" s="2423"/>
    </row>
    <row r="43991" spans="6:6">
      <c r="F43991" s="2423"/>
    </row>
    <row r="43992" spans="6:6">
      <c r="F43992" s="2423"/>
    </row>
    <row r="43993" spans="6:6">
      <c r="F43993" s="2423"/>
    </row>
    <row r="43994" spans="6:6">
      <c r="F43994" s="2423"/>
    </row>
    <row r="43995" spans="6:6">
      <c r="F43995" s="2423"/>
    </row>
    <row r="43996" spans="6:6">
      <c r="F43996" s="2423"/>
    </row>
    <row r="43997" spans="6:6">
      <c r="F43997" s="2423"/>
    </row>
    <row r="43998" spans="6:6">
      <c r="F43998" s="2423"/>
    </row>
    <row r="43999" spans="6:6">
      <c r="F43999" s="2423"/>
    </row>
    <row r="44000" spans="6:6">
      <c r="F44000" s="2423"/>
    </row>
    <row r="44001" spans="6:6">
      <c r="F44001" s="2423"/>
    </row>
    <row r="44002" spans="6:6">
      <c r="F44002" s="2423"/>
    </row>
    <row r="44003" spans="6:6">
      <c r="F44003" s="2423"/>
    </row>
    <row r="44004" spans="6:6">
      <c r="F44004" s="2423"/>
    </row>
    <row r="44005" spans="6:6">
      <c r="F44005" s="2423"/>
    </row>
    <row r="44006" spans="6:6">
      <c r="F44006" s="2423"/>
    </row>
    <row r="44007" spans="6:6">
      <c r="F44007" s="2423"/>
    </row>
    <row r="44008" spans="6:6">
      <c r="F44008" s="2423"/>
    </row>
    <row r="44009" spans="6:6">
      <c r="F44009" s="2423"/>
    </row>
    <row r="44010" spans="6:6">
      <c r="F44010" s="2423"/>
    </row>
    <row r="44011" spans="6:6">
      <c r="F44011" s="2423"/>
    </row>
    <row r="44012" spans="6:6">
      <c r="F44012" s="2423"/>
    </row>
    <row r="44013" spans="6:6">
      <c r="F44013" s="2423"/>
    </row>
    <row r="44014" spans="6:6">
      <c r="F44014" s="2423"/>
    </row>
    <row r="44015" spans="6:6">
      <c r="F44015" s="2423"/>
    </row>
    <row r="44016" spans="6:6">
      <c r="F44016" s="2423"/>
    </row>
    <row r="44017" spans="6:6">
      <c r="F44017" s="2423"/>
    </row>
    <row r="44018" spans="6:6">
      <c r="F44018" s="2423"/>
    </row>
    <row r="44019" spans="6:6">
      <c r="F44019" s="2423"/>
    </row>
    <row r="44020" spans="6:6">
      <c r="F44020" s="2423"/>
    </row>
    <row r="44021" spans="6:6">
      <c r="F44021" s="2423"/>
    </row>
    <row r="44022" spans="6:6">
      <c r="F44022" s="2423"/>
    </row>
    <row r="44023" spans="6:6">
      <c r="F44023" s="2423"/>
    </row>
    <row r="44024" spans="6:6">
      <c r="F44024" s="2423"/>
    </row>
    <row r="44025" spans="6:6">
      <c r="F44025" s="2423"/>
    </row>
    <row r="44026" spans="6:6">
      <c r="F44026" s="2423"/>
    </row>
    <row r="44027" spans="6:6">
      <c r="F44027" s="2423"/>
    </row>
    <row r="44028" spans="6:6">
      <c r="F44028" s="2423"/>
    </row>
    <row r="44029" spans="6:6">
      <c r="F44029" s="2423"/>
    </row>
    <row r="44030" spans="6:6">
      <c r="F44030" s="2423"/>
    </row>
    <row r="44031" spans="6:6">
      <c r="F44031" s="2423"/>
    </row>
    <row r="44032" spans="6:6">
      <c r="F44032" s="2423"/>
    </row>
    <row r="44033" spans="6:6">
      <c r="F44033" s="2423"/>
    </row>
    <row r="44034" spans="6:6">
      <c r="F44034" s="2423"/>
    </row>
    <row r="44035" spans="6:6">
      <c r="F44035" s="2423"/>
    </row>
    <row r="44036" spans="6:6">
      <c r="F44036" s="2423"/>
    </row>
    <row r="44037" spans="6:6">
      <c r="F44037" s="2423"/>
    </row>
    <row r="44038" spans="6:6">
      <c r="F44038" s="2423"/>
    </row>
    <row r="44039" spans="6:6">
      <c r="F44039" s="2423"/>
    </row>
    <row r="44040" spans="6:6">
      <c r="F44040" s="2423"/>
    </row>
    <row r="44041" spans="6:6">
      <c r="F44041" s="2423"/>
    </row>
    <row r="44042" spans="6:6">
      <c r="F44042" s="2423"/>
    </row>
    <row r="44043" spans="6:6">
      <c r="F44043" s="2423"/>
    </row>
    <row r="44044" spans="6:6">
      <c r="F44044" s="2423"/>
    </row>
    <row r="44045" spans="6:6">
      <c r="F44045" s="2423"/>
    </row>
    <row r="44046" spans="6:6">
      <c r="F44046" s="2423"/>
    </row>
    <row r="44047" spans="6:6">
      <c r="F44047" s="2423"/>
    </row>
    <row r="44048" spans="6:6">
      <c r="F44048" s="2423"/>
    </row>
    <row r="44049" spans="6:6">
      <c r="F44049" s="2423"/>
    </row>
    <row r="44050" spans="6:6">
      <c r="F44050" s="2423"/>
    </row>
    <row r="44051" spans="6:6">
      <c r="F44051" s="2423"/>
    </row>
    <row r="44052" spans="6:6">
      <c r="F44052" s="2423"/>
    </row>
    <row r="44053" spans="6:6">
      <c r="F44053" s="2423"/>
    </row>
    <row r="44054" spans="6:6">
      <c r="F44054" s="2423"/>
    </row>
    <row r="44055" spans="6:6">
      <c r="F44055" s="2423"/>
    </row>
    <row r="44056" spans="6:6">
      <c r="F44056" s="2423"/>
    </row>
    <row r="44057" spans="6:6">
      <c r="F44057" s="2423"/>
    </row>
    <row r="44058" spans="6:6">
      <c r="F44058" s="2423"/>
    </row>
    <row r="44059" spans="6:6">
      <c r="F44059" s="2423"/>
    </row>
    <row r="44060" spans="6:6">
      <c r="F44060" s="2423"/>
    </row>
    <row r="44061" spans="6:6">
      <c r="F44061" s="2423"/>
    </row>
    <row r="44062" spans="6:6">
      <c r="F44062" s="2423"/>
    </row>
    <row r="44063" spans="6:6">
      <c r="F44063" s="2423"/>
    </row>
    <row r="44064" spans="6:6">
      <c r="F44064" s="2423"/>
    </row>
    <row r="44065" spans="6:6">
      <c r="F44065" s="2423"/>
    </row>
    <row r="44066" spans="6:6">
      <c r="F44066" s="2423"/>
    </row>
    <row r="44067" spans="6:6">
      <c r="F44067" s="2423"/>
    </row>
    <row r="44068" spans="6:6">
      <c r="F44068" s="2423"/>
    </row>
    <row r="44069" spans="6:6">
      <c r="F44069" s="2423"/>
    </row>
    <row r="44070" spans="6:6">
      <c r="F44070" s="2423"/>
    </row>
    <row r="44071" spans="6:6">
      <c r="F44071" s="2423"/>
    </row>
    <row r="44072" spans="6:6">
      <c r="F44072" s="2423"/>
    </row>
    <row r="44073" spans="6:6">
      <c r="F44073" s="2423"/>
    </row>
    <row r="44074" spans="6:6">
      <c r="F44074" s="2423"/>
    </row>
    <row r="44075" spans="6:6">
      <c r="F44075" s="2423"/>
    </row>
    <row r="44076" spans="6:6">
      <c r="F44076" s="2423"/>
    </row>
    <row r="44077" spans="6:6">
      <c r="F44077" s="2423"/>
    </row>
    <row r="44078" spans="6:6">
      <c r="F44078" s="2423"/>
    </row>
    <row r="44079" spans="6:6">
      <c r="F44079" s="2423"/>
    </row>
    <row r="44080" spans="6:6">
      <c r="F44080" s="2423"/>
    </row>
    <row r="44081" spans="6:6">
      <c r="F44081" s="2423"/>
    </row>
    <row r="44082" spans="6:6">
      <c r="F44082" s="2423"/>
    </row>
    <row r="44083" spans="6:6">
      <c r="F44083" s="2423"/>
    </row>
    <row r="44084" spans="6:6">
      <c r="F44084" s="2423"/>
    </row>
    <row r="44085" spans="6:6">
      <c r="F44085" s="2423"/>
    </row>
    <row r="44086" spans="6:6">
      <c r="F44086" s="2423"/>
    </row>
    <row r="44087" spans="6:6">
      <c r="F44087" s="2423"/>
    </row>
    <row r="44088" spans="6:6">
      <c r="F44088" s="2423"/>
    </row>
    <row r="44089" spans="6:6">
      <c r="F44089" s="2423"/>
    </row>
    <row r="44090" spans="6:6">
      <c r="F44090" s="2423"/>
    </row>
    <row r="44091" spans="6:6">
      <c r="F44091" s="2423"/>
    </row>
    <row r="44092" spans="6:6">
      <c r="F44092" s="2423"/>
    </row>
    <row r="44093" spans="6:6">
      <c r="F44093" s="2423"/>
    </row>
    <row r="44094" spans="6:6">
      <c r="F44094" s="2423"/>
    </row>
    <row r="44095" spans="6:6">
      <c r="F44095" s="2423"/>
    </row>
    <row r="44096" spans="6:6">
      <c r="F44096" s="2423"/>
    </row>
    <row r="44097" spans="6:6">
      <c r="F44097" s="2423"/>
    </row>
    <row r="44098" spans="6:6">
      <c r="F44098" s="2423"/>
    </row>
    <row r="44099" spans="6:6">
      <c r="F44099" s="2423"/>
    </row>
    <row r="44100" spans="6:6">
      <c r="F44100" s="2423"/>
    </row>
    <row r="44101" spans="6:6">
      <c r="F44101" s="2423"/>
    </row>
    <row r="44102" spans="6:6">
      <c r="F44102" s="2423"/>
    </row>
    <row r="44103" spans="6:6">
      <c r="F44103" s="2423"/>
    </row>
    <row r="44104" spans="6:6">
      <c r="F44104" s="2423"/>
    </row>
    <row r="44105" spans="6:6">
      <c r="F44105" s="2423"/>
    </row>
    <row r="44106" spans="6:6">
      <c r="F44106" s="2423"/>
    </row>
    <row r="44107" spans="6:6">
      <c r="F44107" s="2423"/>
    </row>
    <row r="44108" spans="6:6">
      <c r="F44108" s="2423"/>
    </row>
    <row r="44109" spans="6:6">
      <c r="F44109" s="2423"/>
    </row>
    <row r="44110" spans="6:6">
      <c r="F44110" s="2423"/>
    </row>
    <row r="44111" spans="6:6">
      <c r="F44111" s="2423"/>
    </row>
    <row r="44112" spans="6:6">
      <c r="F44112" s="2423"/>
    </row>
    <row r="44113" spans="6:6">
      <c r="F44113" s="2423"/>
    </row>
    <row r="44114" spans="6:6">
      <c r="F44114" s="2423"/>
    </row>
    <row r="44115" spans="6:6">
      <c r="F44115" s="2423"/>
    </row>
    <row r="44116" spans="6:6">
      <c r="F44116" s="2423"/>
    </row>
    <row r="44117" spans="6:6">
      <c r="F44117" s="2423"/>
    </row>
    <row r="44118" spans="6:6">
      <c r="F44118" s="2423"/>
    </row>
    <row r="44119" spans="6:6">
      <c r="F44119" s="2423"/>
    </row>
    <row r="44120" spans="6:6">
      <c r="F44120" s="2423"/>
    </row>
    <row r="44121" spans="6:6">
      <c r="F44121" s="2423"/>
    </row>
    <row r="44122" spans="6:6">
      <c r="F44122" s="2423"/>
    </row>
    <row r="44123" spans="6:6">
      <c r="F44123" s="2423"/>
    </row>
    <row r="44124" spans="6:6">
      <c r="F44124" s="2423"/>
    </row>
    <row r="44125" spans="6:6">
      <c r="F44125" s="2423"/>
    </row>
    <row r="44126" spans="6:6">
      <c r="F44126" s="2423"/>
    </row>
    <row r="44127" spans="6:6">
      <c r="F44127" s="2423"/>
    </row>
    <row r="44128" spans="6:6">
      <c r="F44128" s="2423"/>
    </row>
    <row r="44129" spans="6:6">
      <c r="F44129" s="2423"/>
    </row>
    <row r="44130" spans="6:6">
      <c r="F44130" s="2423"/>
    </row>
    <row r="44131" spans="6:6">
      <c r="F44131" s="2423"/>
    </row>
    <row r="44132" spans="6:6">
      <c r="F44132" s="2423"/>
    </row>
    <row r="44133" spans="6:6">
      <c r="F44133" s="2423"/>
    </row>
    <row r="44134" spans="6:6">
      <c r="F44134" s="2423"/>
    </row>
    <row r="44135" spans="6:6">
      <c r="F44135" s="2423"/>
    </row>
    <row r="44136" spans="6:6">
      <c r="F44136" s="2423"/>
    </row>
    <row r="44137" spans="6:6">
      <c r="F44137" s="2423"/>
    </row>
    <row r="44138" spans="6:6">
      <c r="F44138" s="2423"/>
    </row>
    <row r="44139" spans="6:6">
      <c r="F44139" s="2423"/>
    </row>
    <row r="44140" spans="6:6">
      <c r="F44140" s="2423"/>
    </row>
    <row r="44141" spans="6:6">
      <c r="F44141" s="2423"/>
    </row>
    <row r="44142" spans="6:6">
      <c r="F44142" s="2423"/>
    </row>
    <row r="44143" spans="6:6">
      <c r="F44143" s="2423"/>
    </row>
    <row r="44144" spans="6:6">
      <c r="F44144" s="2423"/>
    </row>
    <row r="44145" spans="6:6">
      <c r="F44145" s="2423"/>
    </row>
    <row r="44146" spans="6:6">
      <c r="F44146" s="2423"/>
    </row>
    <row r="44147" spans="6:6">
      <c r="F44147" s="2423"/>
    </row>
    <row r="44148" spans="6:6">
      <c r="F44148" s="2423"/>
    </row>
    <row r="44149" spans="6:6">
      <c r="F44149" s="2423"/>
    </row>
    <row r="44150" spans="6:6">
      <c r="F44150" s="2423"/>
    </row>
    <row r="44151" spans="6:6">
      <c r="F44151" s="2423"/>
    </row>
    <row r="44152" spans="6:6">
      <c r="F44152" s="2423"/>
    </row>
    <row r="44153" spans="6:6">
      <c r="F44153" s="2423"/>
    </row>
    <row r="44154" spans="6:6">
      <c r="F44154" s="2423"/>
    </row>
    <row r="44155" spans="6:6">
      <c r="F44155" s="2423"/>
    </row>
    <row r="44156" spans="6:6">
      <c r="F44156" s="2423"/>
    </row>
    <row r="44157" spans="6:6">
      <c r="F44157" s="2423"/>
    </row>
    <row r="44158" spans="6:6">
      <c r="F44158" s="2423"/>
    </row>
    <row r="44159" spans="6:6">
      <c r="F44159" s="2423"/>
    </row>
    <row r="44160" spans="6:6">
      <c r="F44160" s="2423"/>
    </row>
    <row r="44161" spans="6:6">
      <c r="F44161" s="2423"/>
    </row>
    <row r="44162" spans="6:6">
      <c r="F44162" s="2423"/>
    </row>
    <row r="44163" spans="6:6">
      <c r="F44163" s="2423"/>
    </row>
    <row r="44164" spans="6:6">
      <c r="F44164" s="2423"/>
    </row>
    <row r="44165" spans="6:6">
      <c r="F44165" s="2423"/>
    </row>
    <row r="44166" spans="6:6">
      <c r="F44166" s="2423"/>
    </row>
    <row r="44167" spans="6:6">
      <c r="F44167" s="2423"/>
    </row>
    <row r="44168" spans="6:6">
      <c r="F44168" s="2423"/>
    </row>
    <row r="44169" spans="6:6">
      <c r="F44169" s="2423"/>
    </row>
    <row r="44170" spans="6:6">
      <c r="F44170" s="2423"/>
    </row>
    <row r="44171" spans="6:6">
      <c r="F44171" s="2423"/>
    </row>
    <row r="44172" spans="6:6">
      <c r="F44172" s="2423"/>
    </row>
    <row r="44173" spans="6:6">
      <c r="F44173" s="2423"/>
    </row>
    <row r="44174" spans="6:6">
      <c r="F44174" s="2423"/>
    </row>
    <row r="44175" spans="6:6">
      <c r="F44175" s="2423"/>
    </row>
    <row r="44176" spans="6:6">
      <c r="F44176" s="2423"/>
    </row>
    <row r="44177" spans="6:6">
      <c r="F44177" s="2423"/>
    </row>
    <row r="44178" spans="6:6">
      <c r="F44178" s="2423"/>
    </row>
    <row r="44179" spans="6:6">
      <c r="F44179" s="2423"/>
    </row>
    <row r="44180" spans="6:6">
      <c r="F44180" s="2423"/>
    </row>
    <row r="44181" spans="6:6">
      <c r="F44181" s="2423"/>
    </row>
    <row r="44182" spans="6:6">
      <c r="F44182" s="2423"/>
    </row>
    <row r="44183" spans="6:6">
      <c r="F44183" s="2423"/>
    </row>
    <row r="44184" spans="6:6">
      <c r="F44184" s="2423"/>
    </row>
    <row r="44185" spans="6:6">
      <c r="F44185" s="2423"/>
    </row>
    <row r="44186" spans="6:6">
      <c r="F44186" s="2423"/>
    </row>
    <row r="44187" spans="6:6">
      <c r="F44187" s="2423"/>
    </row>
    <row r="44188" spans="6:6">
      <c r="F44188" s="2423"/>
    </row>
    <row r="44189" spans="6:6">
      <c r="F44189" s="2423"/>
    </row>
    <row r="44190" spans="6:6">
      <c r="F44190" s="2423"/>
    </row>
    <row r="44191" spans="6:6">
      <c r="F44191" s="2423"/>
    </row>
    <row r="44192" spans="6:6">
      <c r="F44192" s="2423"/>
    </row>
    <row r="44193" spans="6:6">
      <c r="F44193" s="2423"/>
    </row>
    <row r="44194" spans="6:6">
      <c r="F44194" s="2423"/>
    </row>
    <row r="44195" spans="6:6">
      <c r="F44195" s="2423"/>
    </row>
    <row r="44196" spans="6:6">
      <c r="F44196" s="2423"/>
    </row>
    <row r="44197" spans="6:6">
      <c r="F44197" s="2423"/>
    </row>
    <row r="44198" spans="6:6">
      <c r="F44198" s="2423"/>
    </row>
    <row r="44199" spans="6:6">
      <c r="F44199" s="2423"/>
    </row>
    <row r="44200" spans="6:6">
      <c r="F44200" s="2423"/>
    </row>
    <row r="44201" spans="6:6">
      <c r="F44201" s="2423"/>
    </row>
    <row r="44202" spans="6:6">
      <c r="F44202" s="2423"/>
    </row>
    <row r="44203" spans="6:6">
      <c r="F44203" s="2423"/>
    </row>
    <row r="44204" spans="6:6">
      <c r="F44204" s="2423"/>
    </row>
    <row r="44205" spans="6:6">
      <c r="F44205" s="2423"/>
    </row>
    <row r="44206" spans="6:6">
      <c r="F44206" s="2423"/>
    </row>
    <row r="44207" spans="6:6">
      <c r="F44207" s="2423"/>
    </row>
    <row r="44208" spans="6:6">
      <c r="F44208" s="2423"/>
    </row>
    <row r="44209" spans="6:6">
      <c r="F44209" s="2423"/>
    </row>
    <row r="44210" spans="6:6">
      <c r="F44210" s="2423"/>
    </row>
    <row r="44211" spans="6:6">
      <c r="F44211" s="2423"/>
    </row>
    <row r="44212" spans="6:6">
      <c r="F44212" s="2423"/>
    </row>
    <row r="44213" spans="6:6">
      <c r="F44213" s="2423"/>
    </row>
    <row r="44214" spans="6:6">
      <c r="F44214" s="2423"/>
    </row>
    <row r="44215" spans="6:6">
      <c r="F44215" s="2423"/>
    </row>
    <row r="44216" spans="6:6">
      <c r="F44216" s="2423"/>
    </row>
    <row r="44217" spans="6:6">
      <c r="F44217" s="2423"/>
    </row>
    <row r="44218" spans="6:6">
      <c r="F44218" s="2423"/>
    </row>
    <row r="44219" spans="6:6">
      <c r="F44219" s="2423"/>
    </row>
    <row r="44220" spans="6:6">
      <c r="F44220" s="2423"/>
    </row>
    <row r="44221" spans="6:6">
      <c r="F44221" s="2423"/>
    </row>
    <row r="44222" spans="6:6">
      <c r="F44222" s="2423"/>
    </row>
    <row r="44223" spans="6:6">
      <c r="F44223" s="2423"/>
    </row>
    <row r="44224" spans="6:6">
      <c r="F44224" s="2423"/>
    </row>
    <row r="44225" spans="6:6">
      <c r="F44225" s="2423"/>
    </row>
    <row r="44226" spans="6:6">
      <c r="F44226" s="2423"/>
    </row>
    <row r="44227" spans="6:6">
      <c r="F44227" s="2423"/>
    </row>
    <row r="44228" spans="6:6">
      <c r="F44228" s="2423"/>
    </row>
    <row r="44229" spans="6:6">
      <c r="F44229" s="2423"/>
    </row>
    <row r="44230" spans="6:6">
      <c r="F44230" s="2423"/>
    </row>
    <row r="44231" spans="6:6">
      <c r="F44231" s="2423"/>
    </row>
    <row r="44232" spans="6:6">
      <c r="F44232" s="2423"/>
    </row>
    <row r="44233" spans="6:6">
      <c r="F44233" s="2423"/>
    </row>
    <row r="44234" spans="6:6">
      <c r="F44234" s="2423"/>
    </row>
    <row r="44235" spans="6:6">
      <c r="F44235" s="2423"/>
    </row>
    <row r="44236" spans="6:6">
      <c r="F44236" s="2423"/>
    </row>
    <row r="44237" spans="6:6">
      <c r="F44237" s="2423"/>
    </row>
    <row r="44238" spans="6:6">
      <c r="F44238" s="2423"/>
    </row>
    <row r="44239" spans="6:6">
      <c r="F44239" s="2423"/>
    </row>
    <row r="44240" spans="6:6">
      <c r="F44240" s="2423"/>
    </row>
    <row r="44241" spans="6:6">
      <c r="F44241" s="2423"/>
    </row>
    <row r="44242" spans="6:6">
      <c r="F44242" s="2423"/>
    </row>
    <row r="44243" spans="6:6">
      <c r="F44243" s="2423"/>
    </row>
    <row r="44244" spans="6:6">
      <c r="F44244" s="2423"/>
    </row>
    <row r="44245" spans="6:6">
      <c r="F44245" s="2423"/>
    </row>
    <row r="44246" spans="6:6">
      <c r="F44246" s="2423"/>
    </row>
    <row r="44247" spans="6:6">
      <c r="F44247" s="2423"/>
    </row>
    <row r="44248" spans="6:6">
      <c r="F44248" s="2423"/>
    </row>
    <row r="44249" spans="6:6">
      <c r="F44249" s="2423"/>
    </row>
    <row r="44250" spans="6:6">
      <c r="F44250" s="2423"/>
    </row>
    <row r="44251" spans="6:6">
      <c r="F44251" s="2423"/>
    </row>
    <row r="44252" spans="6:6">
      <c r="F44252" s="2423"/>
    </row>
    <row r="44253" spans="6:6">
      <c r="F44253" s="2423"/>
    </row>
    <row r="44254" spans="6:6">
      <c r="F44254" s="2423"/>
    </row>
    <row r="44255" spans="6:6">
      <c r="F44255" s="2423"/>
    </row>
    <row r="44256" spans="6:6">
      <c r="F44256" s="2423"/>
    </row>
    <row r="44257" spans="6:6">
      <c r="F44257" s="2423"/>
    </row>
    <row r="44258" spans="6:6">
      <c r="F44258" s="2423"/>
    </row>
    <row r="44259" spans="6:6">
      <c r="F44259" s="2423"/>
    </row>
    <row r="44260" spans="6:6">
      <c r="F44260" s="2423"/>
    </row>
    <row r="44261" spans="6:6">
      <c r="F44261" s="2423"/>
    </row>
    <row r="44262" spans="6:6">
      <c r="F44262" s="2423"/>
    </row>
    <row r="44263" spans="6:6">
      <c r="F44263" s="2423"/>
    </row>
    <row r="44264" spans="6:6">
      <c r="F44264" s="2423"/>
    </row>
    <row r="44265" spans="6:6">
      <c r="F44265" s="2423"/>
    </row>
    <row r="44266" spans="6:6">
      <c r="F44266" s="2423"/>
    </row>
    <row r="44267" spans="6:6">
      <c r="F44267" s="2423"/>
    </row>
    <row r="44268" spans="6:6">
      <c r="F44268" s="2423"/>
    </row>
    <row r="44269" spans="6:6">
      <c r="F44269" s="2423"/>
    </row>
    <row r="44270" spans="6:6">
      <c r="F44270" s="2423"/>
    </row>
    <row r="44271" spans="6:6">
      <c r="F44271" s="2423"/>
    </row>
    <row r="44272" spans="6:6">
      <c r="F44272" s="2423"/>
    </row>
    <row r="44273" spans="6:6">
      <c r="F44273" s="2423"/>
    </row>
    <row r="44274" spans="6:6">
      <c r="F44274" s="2423"/>
    </row>
    <row r="44275" spans="6:6">
      <c r="F44275" s="2423"/>
    </row>
    <row r="44276" spans="6:6">
      <c r="F44276" s="2423"/>
    </row>
    <row r="44277" spans="6:6">
      <c r="F44277" s="2423"/>
    </row>
    <row r="44278" spans="6:6">
      <c r="F44278" s="2423"/>
    </row>
    <row r="44279" spans="6:6">
      <c r="F44279" s="2423"/>
    </row>
    <row r="44280" spans="6:6">
      <c r="F44280" s="2423"/>
    </row>
    <row r="44281" spans="6:6">
      <c r="F44281" s="2423"/>
    </row>
    <row r="44282" spans="6:6">
      <c r="F44282" s="2423"/>
    </row>
    <row r="44283" spans="6:6">
      <c r="F44283" s="2423"/>
    </row>
    <row r="44284" spans="6:6">
      <c r="F44284" s="2423"/>
    </row>
    <row r="44285" spans="6:6">
      <c r="F44285" s="2423"/>
    </row>
    <row r="44286" spans="6:6">
      <c r="F44286" s="2423"/>
    </row>
    <row r="44287" spans="6:6">
      <c r="F44287" s="2423"/>
    </row>
    <row r="44288" spans="6:6">
      <c r="F44288" s="2423"/>
    </row>
    <row r="44289" spans="6:6">
      <c r="F44289" s="2423"/>
    </row>
    <row r="44290" spans="6:6">
      <c r="F44290" s="2423"/>
    </row>
    <row r="44291" spans="6:6">
      <c r="F44291" s="2423"/>
    </row>
    <row r="44292" spans="6:6">
      <c r="F44292" s="2423"/>
    </row>
    <row r="44293" spans="6:6">
      <c r="F44293" s="2423"/>
    </row>
    <row r="44294" spans="6:6">
      <c r="F44294" s="2423"/>
    </row>
    <row r="44295" spans="6:6">
      <c r="F44295" s="2423"/>
    </row>
    <row r="44296" spans="6:6">
      <c r="F44296" s="2423"/>
    </row>
    <row r="44297" spans="6:6">
      <c r="F44297" s="2423"/>
    </row>
    <row r="44298" spans="6:6">
      <c r="F44298" s="2423"/>
    </row>
    <row r="44299" spans="6:6">
      <c r="F44299" s="2423"/>
    </row>
    <row r="44300" spans="6:6">
      <c r="F44300" s="2423"/>
    </row>
    <row r="44301" spans="6:6">
      <c r="F44301" s="2423"/>
    </row>
    <row r="44302" spans="6:6">
      <c r="F44302" s="2423"/>
    </row>
    <row r="44303" spans="6:6">
      <c r="F44303" s="2423"/>
    </row>
    <row r="44304" spans="6:6">
      <c r="F44304" s="2423"/>
    </row>
    <row r="44305" spans="6:6">
      <c r="F44305" s="2423"/>
    </row>
    <row r="44306" spans="6:6">
      <c r="F44306" s="2423"/>
    </row>
    <row r="44307" spans="6:6">
      <c r="F44307" s="2423"/>
    </row>
    <row r="44308" spans="6:6">
      <c r="F44308" s="2423"/>
    </row>
    <row r="44309" spans="6:6">
      <c r="F44309" s="2423"/>
    </row>
    <row r="44310" spans="6:6">
      <c r="F44310" s="2423"/>
    </row>
    <row r="44311" spans="6:6">
      <c r="F44311" s="2423"/>
    </row>
    <row r="44312" spans="6:6">
      <c r="F44312" s="2423"/>
    </row>
    <row r="44313" spans="6:6">
      <c r="F44313" s="2423"/>
    </row>
    <row r="44314" spans="6:6">
      <c r="F44314" s="2423"/>
    </row>
    <row r="44315" spans="6:6">
      <c r="F44315" s="2423"/>
    </row>
    <row r="44316" spans="6:6">
      <c r="F44316" s="2423"/>
    </row>
    <row r="44317" spans="6:6">
      <c r="F44317" s="2423"/>
    </row>
    <row r="44318" spans="6:6">
      <c r="F44318" s="2423"/>
    </row>
    <row r="44319" spans="6:6">
      <c r="F44319" s="2423"/>
    </row>
    <row r="44320" spans="6:6">
      <c r="F44320" s="2423"/>
    </row>
    <row r="44321" spans="6:6">
      <c r="F44321" s="2423"/>
    </row>
    <row r="44322" spans="6:6">
      <c r="F44322" s="2423"/>
    </row>
    <row r="44323" spans="6:6">
      <c r="F44323" s="2423"/>
    </row>
    <row r="44324" spans="6:6">
      <c r="F44324" s="2423"/>
    </row>
    <row r="44325" spans="6:6">
      <c r="F44325" s="2423"/>
    </row>
    <row r="44326" spans="6:6">
      <c r="F44326" s="2423"/>
    </row>
    <row r="44327" spans="6:6">
      <c r="F44327" s="2423"/>
    </row>
    <row r="44328" spans="6:6">
      <c r="F44328" s="2423"/>
    </row>
    <row r="44329" spans="6:6">
      <c r="F44329" s="2423"/>
    </row>
    <row r="44330" spans="6:6">
      <c r="F44330" s="2423"/>
    </row>
    <row r="44331" spans="6:6">
      <c r="F44331" s="2423"/>
    </row>
    <row r="44332" spans="6:6">
      <c r="F44332" s="2423"/>
    </row>
    <row r="44333" spans="6:6">
      <c r="F44333" s="2423"/>
    </row>
    <row r="44334" spans="6:6">
      <c r="F44334" s="2423"/>
    </row>
    <row r="44335" spans="6:6">
      <c r="F44335" s="2423"/>
    </row>
    <row r="44336" spans="6:6">
      <c r="F44336" s="2423"/>
    </row>
    <row r="44337" spans="6:6">
      <c r="F44337" s="2423"/>
    </row>
    <row r="44338" spans="6:6">
      <c r="F44338" s="2423"/>
    </row>
    <row r="44339" spans="6:6">
      <c r="F44339" s="2423"/>
    </row>
    <row r="44340" spans="6:6">
      <c r="F44340" s="2423"/>
    </row>
    <row r="44341" spans="6:6">
      <c r="F44341" s="2423"/>
    </row>
    <row r="44342" spans="6:6">
      <c r="F44342" s="2423"/>
    </row>
    <row r="44343" spans="6:6">
      <c r="F44343" s="2423"/>
    </row>
    <row r="44344" spans="6:6">
      <c r="F44344" s="2423"/>
    </row>
    <row r="44345" spans="6:6">
      <c r="F44345" s="2423"/>
    </row>
    <row r="44346" spans="6:6">
      <c r="F44346" s="2423"/>
    </row>
    <row r="44347" spans="6:6">
      <c r="F44347" s="2423"/>
    </row>
    <row r="44348" spans="6:6">
      <c r="F44348" s="2423"/>
    </row>
    <row r="44349" spans="6:6">
      <c r="F44349" s="2423"/>
    </row>
    <row r="44350" spans="6:6">
      <c r="F44350" s="2423"/>
    </row>
    <row r="44351" spans="6:6">
      <c r="F44351" s="2423"/>
    </row>
    <row r="44352" spans="6:6">
      <c r="F44352" s="2423"/>
    </row>
    <row r="44353" spans="6:6">
      <c r="F44353" s="2423"/>
    </row>
    <row r="44354" spans="6:6">
      <c r="F44354" s="2423"/>
    </row>
    <row r="44355" spans="6:6">
      <c r="F44355" s="2423"/>
    </row>
    <row r="44356" spans="6:6">
      <c r="F44356" s="2423"/>
    </row>
    <row r="44357" spans="6:6">
      <c r="F44357" s="2423"/>
    </row>
    <row r="44358" spans="6:6">
      <c r="F44358" s="2423"/>
    </row>
    <row r="44359" spans="6:6">
      <c r="F44359" s="2423"/>
    </row>
    <row r="44360" spans="6:6">
      <c r="F44360" s="2423"/>
    </row>
    <row r="44361" spans="6:6">
      <c r="F44361" s="2423"/>
    </row>
    <row r="44362" spans="6:6">
      <c r="F44362" s="2423"/>
    </row>
    <row r="44363" spans="6:6">
      <c r="F44363" s="2423"/>
    </row>
    <row r="44364" spans="6:6">
      <c r="F44364" s="2423"/>
    </row>
    <row r="44365" spans="6:6">
      <c r="F44365" s="2423"/>
    </row>
    <row r="44366" spans="6:6">
      <c r="F44366" s="2423"/>
    </row>
    <row r="44367" spans="6:6">
      <c r="F44367" s="2423"/>
    </row>
    <row r="44368" spans="6:6">
      <c r="F44368" s="2423"/>
    </row>
    <row r="44369" spans="6:6">
      <c r="F44369" s="2423"/>
    </row>
    <row r="44370" spans="6:6">
      <c r="F44370" s="2423"/>
    </row>
    <row r="44371" spans="6:6">
      <c r="F44371" s="2423"/>
    </row>
    <row r="44372" spans="6:6">
      <c r="F44372" s="2423"/>
    </row>
    <row r="44373" spans="6:6">
      <c r="F44373" s="2423"/>
    </row>
    <row r="44374" spans="6:6">
      <c r="F44374" s="2423"/>
    </row>
    <row r="44375" spans="6:6">
      <c r="F44375" s="2423"/>
    </row>
    <row r="44376" spans="6:6">
      <c r="F44376" s="2423"/>
    </row>
    <row r="44377" spans="6:6">
      <c r="F44377" s="2423"/>
    </row>
    <row r="44378" spans="6:6">
      <c r="F44378" s="2423"/>
    </row>
    <row r="44379" spans="6:6">
      <c r="F44379" s="2423"/>
    </row>
    <row r="44380" spans="6:6">
      <c r="F44380" s="2423"/>
    </row>
    <row r="44381" spans="6:6">
      <c r="F44381" s="2423"/>
    </row>
    <row r="44382" spans="6:6">
      <c r="F44382" s="2423"/>
    </row>
    <row r="44383" spans="6:6">
      <c r="F44383" s="2423"/>
    </row>
    <row r="44384" spans="6:6">
      <c r="F44384" s="2423"/>
    </row>
    <row r="44385" spans="6:6">
      <c r="F44385" s="2423"/>
    </row>
    <row r="44386" spans="6:6">
      <c r="F44386" s="2423"/>
    </row>
    <row r="44387" spans="6:6">
      <c r="F44387" s="2423"/>
    </row>
    <row r="44388" spans="6:6">
      <c r="F44388" s="2423"/>
    </row>
    <row r="44389" spans="6:6">
      <c r="F44389" s="2423"/>
    </row>
    <row r="44390" spans="6:6">
      <c r="F44390" s="2423"/>
    </row>
    <row r="44391" spans="6:6">
      <c r="F44391" s="2423"/>
    </row>
    <row r="44392" spans="6:6">
      <c r="F44392" s="2423"/>
    </row>
    <row r="44393" spans="6:6">
      <c r="F44393" s="2423"/>
    </row>
    <row r="44394" spans="6:6">
      <c r="F44394" s="2423"/>
    </row>
    <row r="44395" spans="6:6">
      <c r="F44395" s="2423"/>
    </row>
    <row r="44396" spans="6:6">
      <c r="F44396" s="2423"/>
    </row>
    <row r="44397" spans="6:6">
      <c r="F44397" s="2423"/>
    </row>
    <row r="44398" spans="6:6">
      <c r="F44398" s="2423"/>
    </row>
    <row r="44399" spans="6:6">
      <c r="F44399" s="2423"/>
    </row>
    <row r="44400" spans="6:6">
      <c r="F44400" s="2423"/>
    </row>
    <row r="44401" spans="6:6">
      <c r="F44401" s="2423"/>
    </row>
    <row r="44402" spans="6:6">
      <c r="F44402" s="2423"/>
    </row>
    <row r="44403" spans="6:6">
      <c r="F44403" s="2423"/>
    </row>
    <row r="44404" spans="6:6">
      <c r="F44404" s="2423"/>
    </row>
    <row r="44405" spans="6:6">
      <c r="F44405" s="2423"/>
    </row>
    <row r="44406" spans="6:6">
      <c r="F44406" s="2423"/>
    </row>
    <row r="44407" spans="6:6">
      <c r="F44407" s="2423"/>
    </row>
    <row r="44408" spans="6:6">
      <c r="F44408" s="2423"/>
    </row>
    <row r="44409" spans="6:6">
      <c r="F44409" s="2423"/>
    </row>
    <row r="44410" spans="6:6">
      <c r="F44410" s="2423"/>
    </row>
    <row r="44411" spans="6:6">
      <c r="F44411" s="2423"/>
    </row>
    <row r="44412" spans="6:6">
      <c r="F44412" s="2423"/>
    </row>
    <row r="44413" spans="6:6">
      <c r="F44413" s="2423"/>
    </row>
    <row r="44414" spans="6:6">
      <c r="F44414" s="2423"/>
    </row>
    <row r="44415" spans="6:6">
      <c r="F44415" s="2423"/>
    </row>
    <row r="44416" spans="6:6">
      <c r="F44416" s="2423"/>
    </row>
    <row r="44417" spans="6:6">
      <c r="F44417" s="2423"/>
    </row>
    <row r="44418" spans="6:6">
      <c r="F44418" s="2423"/>
    </row>
    <row r="44419" spans="6:6">
      <c r="F44419" s="2423"/>
    </row>
    <row r="44420" spans="6:6">
      <c r="F44420" s="2423"/>
    </row>
    <row r="44421" spans="6:6">
      <c r="F44421" s="2423"/>
    </row>
    <row r="44422" spans="6:6">
      <c r="F44422" s="2423"/>
    </row>
    <row r="44423" spans="6:6">
      <c r="F44423" s="2423"/>
    </row>
    <row r="44424" spans="6:6">
      <c r="F44424" s="2423"/>
    </row>
    <row r="44425" spans="6:6">
      <c r="F44425" s="2423"/>
    </row>
    <row r="44426" spans="6:6">
      <c r="F44426" s="2423"/>
    </row>
    <row r="44427" spans="6:6">
      <c r="F44427" s="2423"/>
    </row>
    <row r="44428" spans="6:6">
      <c r="F44428" s="2423"/>
    </row>
    <row r="44429" spans="6:6">
      <c r="F44429" s="2423"/>
    </row>
    <row r="44430" spans="6:6">
      <c r="F44430" s="2423"/>
    </row>
    <row r="44431" spans="6:6">
      <c r="F44431" s="2423"/>
    </row>
    <row r="44432" spans="6:6">
      <c r="F44432" s="2423"/>
    </row>
    <row r="44433" spans="6:6">
      <c r="F44433" s="2423"/>
    </row>
    <row r="44434" spans="6:6">
      <c r="F44434" s="2423"/>
    </row>
    <row r="44435" spans="6:6">
      <c r="F44435" s="2423"/>
    </row>
    <row r="44436" spans="6:6">
      <c r="F44436" s="2423"/>
    </row>
    <row r="44437" spans="6:6">
      <c r="F44437" s="2423"/>
    </row>
    <row r="44438" spans="6:6">
      <c r="F44438" s="2423"/>
    </row>
    <row r="44439" spans="6:6">
      <c r="F44439" s="2423"/>
    </row>
    <row r="44440" spans="6:6">
      <c r="F44440" s="2423"/>
    </row>
    <row r="44441" spans="6:6">
      <c r="F44441" s="2423"/>
    </row>
    <row r="44442" spans="6:6">
      <c r="F44442" s="2423"/>
    </row>
    <row r="44443" spans="6:6">
      <c r="F44443" s="2423"/>
    </row>
    <row r="44444" spans="6:6">
      <c r="F44444" s="2423"/>
    </row>
    <row r="44445" spans="6:6">
      <c r="F44445" s="2423"/>
    </row>
    <row r="44446" spans="6:6">
      <c r="F44446" s="2423"/>
    </row>
    <row r="44447" spans="6:6">
      <c r="F44447" s="2423"/>
    </row>
    <row r="44448" spans="6:6">
      <c r="F44448" s="2423"/>
    </row>
    <row r="44449" spans="6:6">
      <c r="F44449" s="2423"/>
    </row>
    <row r="44450" spans="6:6">
      <c r="F44450" s="2423"/>
    </row>
    <row r="44451" spans="6:6">
      <c r="F44451" s="2423"/>
    </row>
    <row r="44452" spans="6:6">
      <c r="F44452" s="2423"/>
    </row>
    <row r="44453" spans="6:6">
      <c r="F44453" s="2423"/>
    </row>
    <row r="44454" spans="6:6">
      <c r="F44454" s="2423"/>
    </row>
    <row r="44455" spans="6:6">
      <c r="F44455" s="2423"/>
    </row>
    <row r="44456" spans="6:6">
      <c r="F44456" s="2423"/>
    </row>
    <row r="44457" spans="6:6">
      <c r="F44457" s="2423"/>
    </row>
    <row r="44458" spans="6:6">
      <c r="F44458" s="2423"/>
    </row>
    <row r="44459" spans="6:6">
      <c r="F44459" s="2423"/>
    </row>
    <row r="44460" spans="6:6">
      <c r="F44460" s="2423"/>
    </row>
    <row r="44461" spans="6:6">
      <c r="F44461" s="2423"/>
    </row>
    <row r="44462" spans="6:6">
      <c r="F44462" s="2423"/>
    </row>
    <row r="44463" spans="6:6">
      <c r="F44463" s="2423"/>
    </row>
    <row r="44464" spans="6:6">
      <c r="F44464" s="2423"/>
    </row>
    <row r="44465" spans="6:6">
      <c r="F44465" s="2423"/>
    </row>
    <row r="44466" spans="6:6">
      <c r="F44466" s="2423"/>
    </row>
    <row r="44467" spans="6:6">
      <c r="F44467" s="2423"/>
    </row>
    <row r="44468" spans="6:6">
      <c r="F44468" s="2423"/>
    </row>
    <row r="44469" spans="6:6">
      <c r="F44469" s="2423"/>
    </row>
    <row r="44470" spans="6:6">
      <c r="F44470" s="2423"/>
    </row>
    <row r="44471" spans="6:6">
      <c r="F44471" s="2423"/>
    </row>
    <row r="44472" spans="6:6">
      <c r="F44472" s="2423"/>
    </row>
    <row r="44473" spans="6:6">
      <c r="F44473" s="2423"/>
    </row>
    <row r="44474" spans="6:6">
      <c r="F44474" s="2423"/>
    </row>
    <row r="44475" spans="6:6">
      <c r="F44475" s="2423"/>
    </row>
    <row r="44476" spans="6:6">
      <c r="F44476" s="2423"/>
    </row>
    <row r="44477" spans="6:6">
      <c r="F44477" s="2423"/>
    </row>
    <row r="44478" spans="6:6">
      <c r="F44478" s="2423"/>
    </row>
    <row r="44479" spans="6:6">
      <c r="F44479" s="2423"/>
    </row>
    <row r="44480" spans="6:6">
      <c r="F44480" s="2423"/>
    </row>
    <row r="44481" spans="6:6">
      <c r="F44481" s="2423"/>
    </row>
    <row r="44482" spans="6:6">
      <c r="F44482" s="2423"/>
    </row>
    <row r="44483" spans="6:6">
      <c r="F44483" s="2423"/>
    </row>
    <row r="44484" spans="6:6">
      <c r="F44484" s="2423"/>
    </row>
    <row r="44485" spans="6:6">
      <c r="F44485" s="2423"/>
    </row>
    <row r="44486" spans="6:6">
      <c r="F44486" s="2423"/>
    </row>
    <row r="44487" spans="6:6">
      <c r="F44487" s="2423"/>
    </row>
    <row r="44488" spans="6:6">
      <c r="F44488" s="2423"/>
    </row>
    <row r="44489" spans="6:6">
      <c r="F44489" s="2423"/>
    </row>
    <row r="44490" spans="6:6">
      <c r="F44490" s="2423"/>
    </row>
    <row r="44491" spans="6:6">
      <c r="F44491" s="2423"/>
    </row>
    <row r="44492" spans="6:6">
      <c r="F44492" s="2423"/>
    </row>
    <row r="44493" spans="6:6">
      <c r="F44493" s="2423"/>
    </row>
    <row r="44494" spans="6:6">
      <c r="F44494" s="2423"/>
    </row>
    <row r="44495" spans="6:6">
      <c r="F44495" s="2423"/>
    </row>
    <row r="44496" spans="6:6">
      <c r="F44496" s="2423"/>
    </row>
    <row r="44497" spans="6:6">
      <c r="F44497" s="2423"/>
    </row>
    <row r="44498" spans="6:6">
      <c r="F44498" s="2423"/>
    </row>
    <row r="44499" spans="6:6">
      <c r="F44499" s="2423"/>
    </row>
    <row r="44500" spans="6:6">
      <c r="F44500" s="2423"/>
    </row>
    <row r="44501" spans="6:6">
      <c r="F44501" s="2423"/>
    </row>
    <row r="44502" spans="6:6">
      <c r="F44502" s="2423"/>
    </row>
    <row r="44503" spans="6:6">
      <c r="F44503" s="2423"/>
    </row>
    <row r="44504" spans="6:6">
      <c r="F44504" s="2423"/>
    </row>
    <row r="44505" spans="6:6">
      <c r="F44505" s="2423"/>
    </row>
    <row r="44506" spans="6:6">
      <c r="F44506" s="2423"/>
    </row>
    <row r="44507" spans="6:6">
      <c r="F44507" s="2423"/>
    </row>
    <row r="44508" spans="6:6">
      <c r="F44508" s="2423"/>
    </row>
    <row r="44509" spans="6:6">
      <c r="F44509" s="2423"/>
    </row>
    <row r="44510" spans="6:6">
      <c r="F44510" s="2423"/>
    </row>
    <row r="44511" spans="6:6">
      <c r="F44511" s="2423"/>
    </row>
    <row r="44512" spans="6:6">
      <c r="F44512" s="2423"/>
    </row>
    <row r="44513" spans="6:6">
      <c r="F44513" s="2423"/>
    </row>
    <row r="44514" spans="6:6">
      <c r="F44514" s="2423"/>
    </row>
    <row r="44515" spans="6:6">
      <c r="F44515" s="2423"/>
    </row>
    <row r="44516" spans="6:6">
      <c r="F44516" s="2423"/>
    </row>
    <row r="44517" spans="6:6">
      <c r="F44517" s="2423"/>
    </row>
    <row r="44518" spans="6:6">
      <c r="F44518" s="2423"/>
    </row>
    <row r="44519" spans="6:6">
      <c r="F44519" s="2423"/>
    </row>
    <row r="44520" spans="6:6">
      <c r="F44520" s="2423"/>
    </row>
    <row r="44521" spans="6:6">
      <c r="F44521" s="2423"/>
    </row>
    <row r="44522" spans="6:6">
      <c r="F44522" s="2423"/>
    </row>
    <row r="44523" spans="6:6">
      <c r="F44523" s="2423"/>
    </row>
    <row r="44524" spans="6:6">
      <c r="F44524" s="2423"/>
    </row>
    <row r="44525" spans="6:6">
      <c r="F44525" s="2423"/>
    </row>
    <row r="44526" spans="6:6">
      <c r="F44526" s="2423"/>
    </row>
    <row r="44527" spans="6:6">
      <c r="F44527" s="2423"/>
    </row>
    <row r="44528" spans="6:6">
      <c r="F44528" s="2423"/>
    </row>
    <row r="44529" spans="6:6">
      <c r="F44529" s="2423"/>
    </row>
    <row r="44530" spans="6:6">
      <c r="F44530" s="2423"/>
    </row>
    <row r="44531" spans="6:6">
      <c r="F44531" s="2423"/>
    </row>
    <row r="44532" spans="6:6">
      <c r="F44532" s="2423"/>
    </row>
    <row r="44533" spans="6:6">
      <c r="F44533" s="2423"/>
    </row>
    <row r="44534" spans="6:6">
      <c r="F44534" s="2423"/>
    </row>
    <row r="44535" spans="6:6">
      <c r="F44535" s="2423"/>
    </row>
    <row r="44536" spans="6:6">
      <c r="F44536" s="2423"/>
    </row>
    <row r="44537" spans="6:6">
      <c r="F44537" s="2423"/>
    </row>
    <row r="44538" spans="6:6">
      <c r="F44538" s="2423"/>
    </row>
    <row r="44539" spans="6:6">
      <c r="F44539" s="2423"/>
    </row>
    <row r="44540" spans="6:6">
      <c r="F44540" s="2423"/>
    </row>
    <row r="44541" spans="6:6">
      <c r="F44541" s="2423"/>
    </row>
    <row r="44542" spans="6:6">
      <c r="F44542" s="2423"/>
    </row>
    <row r="44543" spans="6:6">
      <c r="F44543" s="2423"/>
    </row>
    <row r="44544" spans="6:6">
      <c r="F44544" s="2423"/>
    </row>
    <row r="44545" spans="6:6">
      <c r="F44545" s="2423"/>
    </row>
    <row r="44546" spans="6:6">
      <c r="F44546" s="2423"/>
    </row>
    <row r="44547" spans="6:6">
      <c r="F44547" s="2423"/>
    </row>
    <row r="44548" spans="6:6">
      <c r="F44548" s="2423"/>
    </row>
    <row r="44549" spans="6:6">
      <c r="F44549" s="2423"/>
    </row>
    <row r="44550" spans="6:6">
      <c r="F44550" s="2423"/>
    </row>
    <row r="44551" spans="6:6">
      <c r="F44551" s="2423"/>
    </row>
    <row r="44552" spans="6:6">
      <c r="F44552" s="2423"/>
    </row>
    <row r="44553" spans="6:6">
      <c r="F44553" s="2423"/>
    </row>
    <row r="44554" spans="6:6">
      <c r="F44554" s="2423"/>
    </row>
    <row r="44555" spans="6:6">
      <c r="F44555" s="2423"/>
    </row>
    <row r="44556" spans="6:6">
      <c r="F44556" s="2423"/>
    </row>
    <row r="44557" spans="6:6">
      <c r="F44557" s="2423"/>
    </row>
    <row r="44558" spans="6:6">
      <c r="F44558" s="2423"/>
    </row>
    <row r="44559" spans="6:6">
      <c r="F44559" s="2423"/>
    </row>
    <row r="44560" spans="6:6">
      <c r="F44560" s="2423"/>
    </row>
    <row r="44561" spans="6:6">
      <c r="F44561" s="2423"/>
    </row>
    <row r="44562" spans="6:6">
      <c r="F44562" s="2423"/>
    </row>
    <row r="44563" spans="6:6">
      <c r="F44563" s="2423"/>
    </row>
    <row r="44564" spans="6:6">
      <c r="F44564" s="2423"/>
    </row>
    <row r="44565" spans="6:6">
      <c r="F44565" s="2423"/>
    </row>
    <row r="44566" spans="6:6">
      <c r="F44566" s="2423"/>
    </row>
    <row r="44567" spans="6:6">
      <c r="F44567" s="2423"/>
    </row>
    <row r="44568" spans="6:6">
      <c r="F44568" s="2423"/>
    </row>
    <row r="44569" spans="6:6">
      <c r="F44569" s="2423"/>
    </row>
    <row r="44570" spans="6:6">
      <c r="F44570" s="2423"/>
    </row>
    <row r="44571" spans="6:6">
      <c r="F44571" s="2423"/>
    </row>
    <row r="44572" spans="6:6">
      <c r="F44572" s="2423"/>
    </row>
    <row r="44573" spans="6:6">
      <c r="F44573" s="2423"/>
    </row>
    <row r="44574" spans="6:6">
      <c r="F44574" s="2423"/>
    </row>
    <row r="44575" spans="6:6">
      <c r="F44575" s="2423"/>
    </row>
    <row r="44576" spans="6:6">
      <c r="F44576" s="2423"/>
    </row>
    <row r="44577" spans="6:6">
      <c r="F44577" s="2423"/>
    </row>
    <row r="44578" spans="6:6">
      <c r="F44578" s="2423"/>
    </row>
    <row r="44579" spans="6:6">
      <c r="F44579" s="2423"/>
    </row>
    <row r="44580" spans="6:6">
      <c r="F44580" s="2423"/>
    </row>
    <row r="44581" spans="6:6">
      <c r="F44581" s="2423"/>
    </row>
    <row r="44582" spans="6:6">
      <c r="F44582" s="2423"/>
    </row>
    <row r="44583" spans="6:6">
      <c r="F44583" s="2423"/>
    </row>
    <row r="44584" spans="6:6">
      <c r="F44584" s="2423"/>
    </row>
    <row r="44585" spans="6:6">
      <c r="F44585" s="2423"/>
    </row>
    <row r="44586" spans="6:6">
      <c r="F44586" s="2423"/>
    </row>
    <row r="44587" spans="6:6">
      <c r="F44587" s="2423"/>
    </row>
    <row r="44588" spans="6:6">
      <c r="F44588" s="2423"/>
    </row>
    <row r="44589" spans="6:6">
      <c r="F44589" s="2423"/>
    </row>
    <row r="44590" spans="6:6">
      <c r="F44590" s="2423"/>
    </row>
    <row r="44591" spans="6:6">
      <c r="F44591" s="2423"/>
    </row>
    <row r="44592" spans="6:6">
      <c r="F44592" s="2423"/>
    </row>
    <row r="44593" spans="6:6">
      <c r="F44593" s="2423"/>
    </row>
    <row r="44594" spans="6:6">
      <c r="F44594" s="2423"/>
    </row>
    <row r="44595" spans="6:6">
      <c r="F44595" s="2423"/>
    </row>
    <row r="44596" spans="6:6">
      <c r="F44596" s="2423"/>
    </row>
    <row r="44597" spans="6:6">
      <c r="F44597" s="2423"/>
    </row>
    <row r="44598" spans="6:6">
      <c r="F44598" s="2423"/>
    </row>
    <row r="44599" spans="6:6">
      <c r="F44599" s="2423"/>
    </row>
    <row r="44600" spans="6:6">
      <c r="F44600" s="2423"/>
    </row>
    <row r="44601" spans="6:6">
      <c r="F44601" s="2423"/>
    </row>
    <row r="44602" spans="6:6">
      <c r="F44602" s="2423"/>
    </row>
    <row r="44603" spans="6:6">
      <c r="F44603" s="2423"/>
    </row>
    <row r="44604" spans="6:6">
      <c r="F44604" s="2423"/>
    </row>
    <row r="44605" spans="6:6">
      <c r="F44605" s="2423"/>
    </row>
    <row r="44606" spans="6:6">
      <c r="F44606" s="2423"/>
    </row>
    <row r="44607" spans="6:6">
      <c r="F44607" s="2423"/>
    </row>
    <row r="44608" spans="6:6">
      <c r="F44608" s="2423"/>
    </row>
    <row r="44609" spans="6:6">
      <c r="F44609" s="2423"/>
    </row>
    <row r="44610" spans="6:6">
      <c r="F44610" s="2423"/>
    </row>
    <row r="44611" spans="6:6">
      <c r="F44611" s="2423"/>
    </row>
    <row r="44612" spans="6:6">
      <c r="F44612" s="2423"/>
    </row>
    <row r="44613" spans="6:6">
      <c r="F44613" s="2423"/>
    </row>
    <row r="44614" spans="6:6">
      <c r="F44614" s="2423"/>
    </row>
    <row r="44615" spans="6:6">
      <c r="F44615" s="2423"/>
    </row>
    <row r="44616" spans="6:6">
      <c r="F44616" s="2423"/>
    </row>
    <row r="44617" spans="6:6">
      <c r="F44617" s="2423"/>
    </row>
    <row r="44618" spans="6:6">
      <c r="F44618" s="2423"/>
    </row>
    <row r="44619" spans="6:6">
      <c r="F44619" s="2423"/>
    </row>
    <row r="44620" spans="6:6">
      <c r="F44620" s="2423"/>
    </row>
    <row r="44621" spans="6:6">
      <c r="F44621" s="2423"/>
    </row>
    <row r="44622" spans="6:6">
      <c r="F44622" s="2423"/>
    </row>
    <row r="44623" spans="6:6">
      <c r="F44623" s="2423"/>
    </row>
    <row r="44624" spans="6:6">
      <c r="F44624" s="2423"/>
    </row>
    <row r="44625" spans="6:6">
      <c r="F44625" s="2423"/>
    </row>
    <row r="44626" spans="6:6">
      <c r="F44626" s="2423"/>
    </row>
    <row r="44627" spans="6:6">
      <c r="F44627" s="2423"/>
    </row>
    <row r="44628" spans="6:6">
      <c r="F44628" s="2423"/>
    </row>
    <row r="44629" spans="6:6">
      <c r="F44629" s="2423"/>
    </row>
    <row r="44630" spans="6:6">
      <c r="F44630" s="2423"/>
    </row>
    <row r="44631" spans="6:6">
      <c r="F44631" s="2423"/>
    </row>
    <row r="44632" spans="6:6">
      <c r="F44632" s="2423"/>
    </row>
    <row r="44633" spans="6:6">
      <c r="F44633" s="2423"/>
    </row>
    <row r="44634" spans="6:6">
      <c r="F44634" s="2423"/>
    </row>
    <row r="44635" spans="6:6">
      <c r="F44635" s="2423"/>
    </row>
    <row r="44636" spans="6:6">
      <c r="F44636" s="2423"/>
    </row>
    <row r="44637" spans="6:6">
      <c r="F44637" s="2423"/>
    </row>
    <row r="44638" spans="6:6">
      <c r="F44638" s="2423"/>
    </row>
    <row r="44639" spans="6:6">
      <c r="F44639" s="2423"/>
    </row>
    <row r="44640" spans="6:6">
      <c r="F44640" s="2423"/>
    </row>
    <row r="44641" spans="6:6">
      <c r="F44641" s="2423"/>
    </row>
    <row r="44642" spans="6:6">
      <c r="F44642" s="2423"/>
    </row>
    <row r="44643" spans="6:6">
      <c r="F44643" s="2423"/>
    </row>
    <row r="44644" spans="6:6">
      <c r="F44644" s="2423"/>
    </row>
    <row r="44645" spans="6:6">
      <c r="F44645" s="2423"/>
    </row>
    <row r="44646" spans="6:6">
      <c r="F44646" s="2423"/>
    </row>
    <row r="44647" spans="6:6">
      <c r="F44647" s="2423"/>
    </row>
    <row r="44648" spans="6:6">
      <c r="F44648" s="2423"/>
    </row>
    <row r="44649" spans="6:6">
      <c r="F44649" s="2423"/>
    </row>
    <row r="44650" spans="6:6">
      <c r="F44650" s="2423"/>
    </row>
    <row r="44651" spans="6:6">
      <c r="F44651" s="2423"/>
    </row>
    <row r="44652" spans="6:6">
      <c r="F44652" s="2423"/>
    </row>
    <row r="44653" spans="6:6">
      <c r="F44653" s="2423"/>
    </row>
    <row r="44654" spans="6:6">
      <c r="F44654" s="2423"/>
    </row>
    <row r="44655" spans="6:6">
      <c r="F44655" s="2423"/>
    </row>
    <row r="44656" spans="6:6">
      <c r="F44656" s="2423"/>
    </row>
    <row r="44657" spans="6:6">
      <c r="F44657" s="2423"/>
    </row>
    <row r="44658" spans="6:6">
      <c r="F44658" s="2423"/>
    </row>
    <row r="44659" spans="6:6">
      <c r="F44659" s="2423"/>
    </row>
    <row r="44660" spans="6:6">
      <c r="F44660" s="2423"/>
    </row>
    <row r="44661" spans="6:6">
      <c r="F44661" s="2423"/>
    </row>
    <row r="44662" spans="6:6">
      <c r="F44662" s="2423"/>
    </row>
    <row r="44663" spans="6:6">
      <c r="F44663" s="2423"/>
    </row>
    <row r="44664" spans="6:6">
      <c r="F44664" s="2423"/>
    </row>
    <row r="44665" spans="6:6">
      <c r="F44665" s="2423"/>
    </row>
    <row r="44666" spans="6:6">
      <c r="F44666" s="2423"/>
    </row>
    <row r="44667" spans="6:6">
      <c r="F44667" s="2423"/>
    </row>
    <row r="44668" spans="6:6">
      <c r="F44668" s="2423"/>
    </row>
    <row r="44669" spans="6:6">
      <c r="F44669" s="2423"/>
    </row>
    <row r="44670" spans="6:6">
      <c r="F44670" s="2423"/>
    </row>
    <row r="44671" spans="6:6">
      <c r="F44671" s="2423"/>
    </row>
    <row r="44672" spans="6:6">
      <c r="F44672" s="2423"/>
    </row>
    <row r="44673" spans="6:6">
      <c r="F44673" s="2423"/>
    </row>
    <row r="44674" spans="6:6">
      <c r="F44674" s="2423"/>
    </row>
    <row r="44675" spans="6:6">
      <c r="F44675" s="2423"/>
    </row>
    <row r="44676" spans="6:6">
      <c r="F44676" s="2423"/>
    </row>
    <row r="44677" spans="6:6">
      <c r="F44677" s="2423"/>
    </row>
    <row r="44678" spans="6:6">
      <c r="F44678" s="2423"/>
    </row>
    <row r="44679" spans="6:6">
      <c r="F44679" s="2423"/>
    </row>
    <row r="44680" spans="6:6">
      <c r="F44680" s="2423"/>
    </row>
    <row r="44681" spans="6:6">
      <c r="F44681" s="2423"/>
    </row>
    <row r="44682" spans="6:6">
      <c r="F44682" s="2423"/>
    </row>
    <row r="44683" spans="6:6">
      <c r="F44683" s="2423"/>
    </row>
    <row r="44684" spans="6:6">
      <c r="F44684" s="2423"/>
    </row>
    <row r="44685" spans="6:6">
      <c r="F44685" s="2423"/>
    </row>
    <row r="44686" spans="6:6">
      <c r="F44686" s="2423"/>
    </row>
    <row r="44687" spans="6:6">
      <c r="F44687" s="2423"/>
    </row>
    <row r="44688" spans="6:6">
      <c r="F44688" s="2423"/>
    </row>
    <row r="44689" spans="6:6">
      <c r="F44689" s="2423"/>
    </row>
    <row r="44690" spans="6:6">
      <c r="F44690" s="2423"/>
    </row>
    <row r="44691" spans="6:6">
      <c r="F44691" s="2423"/>
    </row>
    <row r="44692" spans="6:6">
      <c r="F44692" s="2423"/>
    </row>
    <row r="44693" spans="6:6">
      <c r="F44693" s="2423"/>
    </row>
    <row r="44694" spans="6:6">
      <c r="F44694" s="2423"/>
    </row>
    <row r="44695" spans="6:6">
      <c r="F44695" s="2423"/>
    </row>
    <row r="44696" spans="6:6">
      <c r="F44696" s="2423"/>
    </row>
    <row r="44697" spans="6:6">
      <c r="F44697" s="2423"/>
    </row>
    <row r="44698" spans="6:6">
      <c r="F44698" s="2423"/>
    </row>
    <row r="44699" spans="6:6">
      <c r="F44699" s="2423"/>
    </row>
    <row r="44700" spans="6:6">
      <c r="F44700" s="2423"/>
    </row>
    <row r="44701" spans="6:6">
      <c r="F44701" s="2423"/>
    </row>
    <row r="44702" spans="6:6">
      <c r="F44702" s="2423"/>
    </row>
    <row r="44703" spans="6:6">
      <c r="F44703" s="2423"/>
    </row>
    <row r="44704" spans="6:6">
      <c r="F44704" s="2423"/>
    </row>
    <row r="44705" spans="6:6">
      <c r="F44705" s="2423"/>
    </row>
    <row r="44706" spans="6:6">
      <c r="F44706" s="2423"/>
    </row>
    <row r="44707" spans="6:6">
      <c r="F44707" s="2423"/>
    </row>
    <row r="44708" spans="6:6">
      <c r="F44708" s="2423"/>
    </row>
    <row r="44709" spans="6:6">
      <c r="F44709" s="2423"/>
    </row>
    <row r="44710" spans="6:6">
      <c r="F44710" s="2423"/>
    </row>
    <row r="44711" spans="6:6">
      <c r="F44711" s="2423"/>
    </row>
    <row r="44712" spans="6:6">
      <c r="F44712" s="2423"/>
    </row>
    <row r="44713" spans="6:6">
      <c r="F44713" s="2423"/>
    </row>
    <row r="44714" spans="6:6">
      <c r="F44714" s="2423"/>
    </row>
    <row r="44715" spans="6:6">
      <c r="F44715" s="2423"/>
    </row>
    <row r="44716" spans="6:6">
      <c r="F44716" s="2423"/>
    </row>
    <row r="44717" spans="6:6">
      <c r="F44717" s="2423"/>
    </row>
    <row r="44718" spans="6:6">
      <c r="F44718" s="2423"/>
    </row>
    <row r="44719" spans="6:6">
      <c r="F44719" s="2423"/>
    </row>
    <row r="44720" spans="6:6">
      <c r="F44720" s="2423"/>
    </row>
    <row r="44721" spans="6:6">
      <c r="F44721" s="2423"/>
    </row>
    <row r="44722" spans="6:6">
      <c r="F44722" s="2423"/>
    </row>
    <row r="44723" spans="6:6">
      <c r="F44723" s="2423"/>
    </row>
    <row r="44724" spans="6:6">
      <c r="F44724" s="2423"/>
    </row>
    <row r="44725" spans="6:6">
      <c r="F44725" s="2423"/>
    </row>
    <row r="44726" spans="6:6">
      <c r="F44726" s="2423"/>
    </row>
    <row r="44727" spans="6:6">
      <c r="F44727" s="2423"/>
    </row>
    <row r="44728" spans="6:6">
      <c r="F44728" s="2423"/>
    </row>
    <row r="44729" spans="6:6">
      <c r="F44729" s="2423"/>
    </row>
    <row r="44730" spans="6:6">
      <c r="F44730" s="2423"/>
    </row>
    <row r="44731" spans="6:6">
      <c r="F44731" s="2423"/>
    </row>
    <row r="44732" spans="6:6">
      <c r="F44732" s="2423"/>
    </row>
    <row r="44733" spans="6:6">
      <c r="F44733" s="2423"/>
    </row>
    <row r="44734" spans="6:6">
      <c r="F44734" s="2423"/>
    </row>
    <row r="44735" spans="6:6">
      <c r="F44735" s="2423"/>
    </row>
    <row r="44736" spans="6:6">
      <c r="F44736" s="2423"/>
    </row>
    <row r="44737" spans="6:6">
      <c r="F44737" s="2423"/>
    </row>
    <row r="44738" spans="6:6">
      <c r="F44738" s="2423"/>
    </row>
    <row r="44739" spans="6:6">
      <c r="F44739" s="2423"/>
    </row>
    <row r="44740" spans="6:6">
      <c r="F44740" s="2423"/>
    </row>
    <row r="44741" spans="6:6">
      <c r="F44741" s="2423"/>
    </row>
    <row r="44742" spans="6:6">
      <c r="F44742" s="2423"/>
    </row>
    <row r="44743" spans="6:6">
      <c r="F44743" s="2423"/>
    </row>
    <row r="44744" spans="6:6">
      <c r="F44744" s="2423"/>
    </row>
    <row r="44745" spans="6:6">
      <c r="F44745" s="2423"/>
    </row>
    <row r="44746" spans="6:6">
      <c r="F44746" s="2423"/>
    </row>
    <row r="44747" spans="6:6">
      <c r="F44747" s="2423"/>
    </row>
    <row r="44748" spans="6:6">
      <c r="F44748" s="2423"/>
    </row>
    <row r="44749" spans="6:6">
      <c r="F44749" s="2423"/>
    </row>
    <row r="44750" spans="6:6">
      <c r="F44750" s="2423"/>
    </row>
    <row r="44751" spans="6:6">
      <c r="F44751" s="2423"/>
    </row>
    <row r="44752" spans="6:6">
      <c r="F44752" s="2423"/>
    </row>
    <row r="44753" spans="6:6">
      <c r="F44753" s="2423"/>
    </row>
    <row r="44754" spans="6:6">
      <c r="F44754" s="2423"/>
    </row>
    <row r="44755" spans="6:6">
      <c r="F44755" s="2423"/>
    </row>
    <row r="44756" spans="6:6">
      <c r="F44756" s="2423"/>
    </row>
    <row r="44757" spans="6:6">
      <c r="F44757" s="2423"/>
    </row>
    <row r="44758" spans="6:6">
      <c r="F44758" s="2423"/>
    </row>
    <row r="44759" spans="6:6">
      <c r="F44759" s="2423"/>
    </row>
    <row r="44760" spans="6:6">
      <c r="F44760" s="2423"/>
    </row>
    <row r="44761" spans="6:6">
      <c r="F44761" s="2423"/>
    </row>
    <row r="44762" spans="6:6">
      <c r="F44762" s="2423"/>
    </row>
    <row r="44763" spans="6:6">
      <c r="F44763" s="2423"/>
    </row>
    <row r="44764" spans="6:6">
      <c r="F44764" s="2423"/>
    </row>
    <row r="44765" spans="6:6">
      <c r="F44765" s="2423"/>
    </row>
    <row r="44766" spans="6:6">
      <c r="F44766" s="2423"/>
    </row>
    <row r="44767" spans="6:6">
      <c r="F44767" s="2423"/>
    </row>
    <row r="44768" spans="6:6">
      <c r="F44768" s="2423"/>
    </row>
    <row r="44769" spans="6:6">
      <c r="F44769" s="2423"/>
    </row>
    <row r="44770" spans="6:6">
      <c r="F44770" s="2423"/>
    </row>
    <row r="44771" spans="6:6">
      <c r="F44771" s="2423"/>
    </row>
    <row r="44772" spans="6:6">
      <c r="F44772" s="2423"/>
    </row>
    <row r="44773" spans="6:6">
      <c r="F44773" s="2423"/>
    </row>
    <row r="44774" spans="6:6">
      <c r="F44774" s="2423"/>
    </row>
    <row r="44775" spans="6:6">
      <c r="F44775" s="2423"/>
    </row>
    <row r="44776" spans="6:6">
      <c r="F44776" s="2423"/>
    </row>
    <row r="44777" spans="6:6">
      <c r="F44777" s="2423"/>
    </row>
    <row r="44778" spans="6:6">
      <c r="F44778" s="2423"/>
    </row>
    <row r="44779" spans="6:6">
      <c r="F44779" s="2423"/>
    </row>
    <row r="44780" spans="6:6">
      <c r="F44780" s="2423"/>
    </row>
    <row r="44781" spans="6:6">
      <c r="F44781" s="2423"/>
    </row>
    <row r="44782" spans="6:6">
      <c r="F44782" s="2423"/>
    </row>
    <row r="44783" spans="6:6">
      <c r="F44783" s="2423"/>
    </row>
    <row r="44784" spans="6:6">
      <c r="F44784" s="2423"/>
    </row>
    <row r="44785" spans="6:6">
      <c r="F44785" s="2423"/>
    </row>
    <row r="44786" spans="6:6">
      <c r="F44786" s="2423"/>
    </row>
    <row r="44787" spans="6:6">
      <c r="F44787" s="2423"/>
    </row>
    <row r="44788" spans="6:6">
      <c r="F44788" s="2423"/>
    </row>
    <row r="44789" spans="6:6">
      <c r="F44789" s="2423"/>
    </row>
    <row r="44790" spans="6:6">
      <c r="F44790" s="2423"/>
    </row>
    <row r="44791" spans="6:6">
      <c r="F44791" s="2423"/>
    </row>
    <row r="44792" spans="6:6">
      <c r="F44792" s="2423"/>
    </row>
    <row r="44793" spans="6:6">
      <c r="F44793" s="2423"/>
    </row>
    <row r="44794" spans="6:6">
      <c r="F44794" s="2423"/>
    </row>
    <row r="44795" spans="6:6">
      <c r="F44795" s="2423"/>
    </row>
    <row r="44796" spans="6:6">
      <c r="F44796" s="2423"/>
    </row>
    <row r="44797" spans="6:6">
      <c r="F44797" s="2423"/>
    </row>
    <row r="44798" spans="6:6">
      <c r="F44798" s="2423"/>
    </row>
    <row r="44799" spans="6:6">
      <c r="F44799" s="2423"/>
    </row>
    <row r="44800" spans="6:6">
      <c r="F44800" s="2423"/>
    </row>
    <row r="44801" spans="6:6">
      <c r="F44801" s="2423"/>
    </row>
    <row r="44802" spans="6:6">
      <c r="F44802" s="2423"/>
    </row>
    <row r="44803" spans="6:6">
      <c r="F44803" s="2423"/>
    </row>
    <row r="44804" spans="6:6">
      <c r="F44804" s="2423"/>
    </row>
    <row r="44805" spans="6:6">
      <c r="F44805" s="2423"/>
    </row>
    <row r="44806" spans="6:6">
      <c r="F44806" s="2423"/>
    </row>
    <row r="44807" spans="6:6">
      <c r="F44807" s="2423"/>
    </row>
    <row r="44808" spans="6:6">
      <c r="F44808" s="2423"/>
    </row>
    <row r="44809" spans="6:6">
      <c r="F44809" s="2423"/>
    </row>
    <row r="44810" spans="6:6">
      <c r="F44810" s="2423"/>
    </row>
    <row r="44811" spans="6:6">
      <c r="F44811" s="2423"/>
    </row>
    <row r="44812" spans="6:6">
      <c r="F44812" s="2423"/>
    </row>
    <row r="44813" spans="6:6">
      <c r="F44813" s="2423"/>
    </row>
    <row r="44814" spans="6:6">
      <c r="F44814" s="2423"/>
    </row>
    <row r="44815" spans="6:6">
      <c r="F44815" s="2423"/>
    </row>
    <row r="44816" spans="6:6">
      <c r="F44816" s="2423"/>
    </row>
    <row r="44817" spans="6:6">
      <c r="F44817" s="2423"/>
    </row>
    <row r="44818" spans="6:6">
      <c r="F44818" s="2423"/>
    </row>
    <row r="44819" spans="6:6">
      <c r="F44819" s="2423"/>
    </row>
    <row r="44820" spans="6:6">
      <c r="F44820" s="2423"/>
    </row>
    <row r="44821" spans="6:6">
      <c r="F44821" s="2423"/>
    </row>
    <row r="44822" spans="6:6">
      <c r="F44822" s="2423"/>
    </row>
    <row r="44823" spans="6:6">
      <c r="F44823" s="2423"/>
    </row>
    <row r="44824" spans="6:6">
      <c r="F44824" s="2423"/>
    </row>
    <row r="44825" spans="6:6">
      <c r="F44825" s="2423"/>
    </row>
    <row r="44826" spans="6:6">
      <c r="F44826" s="2423"/>
    </row>
    <row r="44827" spans="6:6">
      <c r="F44827" s="2423"/>
    </row>
    <row r="44828" spans="6:6">
      <c r="F44828" s="2423"/>
    </row>
    <row r="44829" spans="6:6">
      <c r="F44829" s="2423"/>
    </row>
    <row r="44830" spans="6:6">
      <c r="F44830" s="2423"/>
    </row>
    <row r="44831" spans="6:6">
      <c r="F44831" s="2423"/>
    </row>
    <row r="44832" spans="6:6">
      <c r="F44832" s="2423"/>
    </row>
    <row r="44833" spans="6:6">
      <c r="F44833" s="2423"/>
    </row>
    <row r="44834" spans="6:6">
      <c r="F44834" s="2423"/>
    </row>
    <row r="44835" spans="6:6">
      <c r="F44835" s="2423"/>
    </row>
    <row r="44836" spans="6:6">
      <c r="F44836" s="2423"/>
    </row>
    <row r="44837" spans="6:6">
      <c r="F44837" s="2423"/>
    </row>
    <row r="44838" spans="6:6">
      <c r="F44838" s="2423"/>
    </row>
    <row r="44839" spans="6:6">
      <c r="F44839" s="2423"/>
    </row>
    <row r="44840" spans="6:6">
      <c r="F44840" s="2423"/>
    </row>
    <row r="44841" spans="6:6">
      <c r="F44841" s="2423"/>
    </row>
    <row r="44842" spans="6:6">
      <c r="F44842" s="2423"/>
    </row>
    <row r="44843" spans="6:6">
      <c r="F44843" s="2423"/>
    </row>
    <row r="44844" spans="6:6">
      <c r="F44844" s="2423"/>
    </row>
    <row r="44845" spans="6:6">
      <c r="F44845" s="2423"/>
    </row>
    <row r="44846" spans="6:6">
      <c r="F44846" s="2423"/>
    </row>
    <row r="44847" spans="6:6">
      <c r="F44847" s="2423"/>
    </row>
    <row r="44848" spans="6:6">
      <c r="F44848" s="2423"/>
    </row>
    <row r="44849" spans="6:6">
      <c r="F44849" s="2423"/>
    </row>
    <row r="44850" spans="6:6">
      <c r="F44850" s="2423"/>
    </row>
    <row r="44851" spans="6:6">
      <c r="F44851" s="2423"/>
    </row>
    <row r="44852" spans="6:6">
      <c r="F44852" s="2423"/>
    </row>
    <row r="44853" spans="6:6">
      <c r="F44853" s="2423"/>
    </row>
    <row r="44854" spans="6:6">
      <c r="F44854" s="2423"/>
    </row>
    <row r="44855" spans="6:6">
      <c r="F44855" s="2423"/>
    </row>
    <row r="44856" spans="6:6">
      <c r="F44856" s="2423"/>
    </row>
    <row r="44857" spans="6:6">
      <c r="F44857" s="2423"/>
    </row>
    <row r="44858" spans="6:6">
      <c r="F44858" s="2423"/>
    </row>
    <row r="44859" spans="6:6">
      <c r="F44859" s="2423"/>
    </row>
    <row r="44860" spans="6:6">
      <c r="F44860" s="2423"/>
    </row>
    <row r="44861" spans="6:6">
      <c r="F44861" s="2423"/>
    </row>
    <row r="44862" spans="6:6">
      <c r="F44862" s="2423"/>
    </row>
    <row r="44863" spans="6:6">
      <c r="F44863" s="2423"/>
    </row>
    <row r="44864" spans="6:6">
      <c r="F44864" s="2423"/>
    </row>
    <row r="44865" spans="6:6">
      <c r="F44865" s="2423"/>
    </row>
    <row r="44866" spans="6:6">
      <c r="F44866" s="2423"/>
    </row>
    <row r="44867" spans="6:6">
      <c r="F44867" s="2423"/>
    </row>
    <row r="44868" spans="6:6">
      <c r="F44868" s="2423"/>
    </row>
    <row r="44869" spans="6:6">
      <c r="F44869" s="2423"/>
    </row>
    <row r="44870" spans="6:6">
      <c r="F44870" s="2423"/>
    </row>
    <row r="44871" spans="6:6">
      <c r="F44871" s="2423"/>
    </row>
    <row r="44872" spans="6:6">
      <c r="F44872" s="2423"/>
    </row>
    <row r="44873" spans="6:6">
      <c r="F44873" s="2423"/>
    </row>
    <row r="44874" spans="6:6">
      <c r="F44874" s="2423"/>
    </row>
    <row r="44875" spans="6:6">
      <c r="F44875" s="2423"/>
    </row>
    <row r="44876" spans="6:6">
      <c r="F44876" s="2423"/>
    </row>
    <row r="44877" spans="6:6">
      <c r="F44877" s="2423"/>
    </row>
    <row r="44878" spans="6:6">
      <c r="F44878" s="2423"/>
    </row>
    <row r="44879" spans="6:6">
      <c r="F44879" s="2423"/>
    </row>
    <row r="44880" spans="6:6">
      <c r="F44880" s="2423"/>
    </row>
    <row r="44881" spans="6:6">
      <c r="F44881" s="2423"/>
    </row>
    <row r="44882" spans="6:6">
      <c r="F44882" s="2423"/>
    </row>
    <row r="44883" spans="6:6">
      <c r="F44883" s="2423"/>
    </row>
    <row r="44884" spans="6:6">
      <c r="F44884" s="2423"/>
    </row>
    <row r="44885" spans="6:6">
      <c r="F44885" s="2423"/>
    </row>
    <row r="44886" spans="6:6">
      <c r="F44886" s="2423"/>
    </row>
    <row r="44887" spans="6:6">
      <c r="F44887" s="2423"/>
    </row>
    <row r="44888" spans="6:6">
      <c r="F44888" s="2423"/>
    </row>
    <row r="44889" spans="6:6">
      <c r="F44889" s="2423"/>
    </row>
    <row r="44890" spans="6:6">
      <c r="F44890" s="2423"/>
    </row>
    <row r="44891" spans="6:6">
      <c r="F44891" s="2423"/>
    </row>
    <row r="44892" spans="6:6">
      <c r="F44892" s="2423"/>
    </row>
    <row r="44893" spans="6:6">
      <c r="F44893" s="2423"/>
    </row>
    <row r="44894" spans="6:6">
      <c r="F44894" s="2423"/>
    </row>
    <row r="44895" spans="6:6">
      <c r="F44895" s="2423"/>
    </row>
    <row r="44896" spans="6:6">
      <c r="F44896" s="2423"/>
    </row>
    <row r="44897" spans="6:6">
      <c r="F44897" s="2423"/>
    </row>
    <row r="44898" spans="6:6">
      <c r="F44898" s="2423"/>
    </row>
    <row r="44899" spans="6:6">
      <c r="F44899" s="2423"/>
    </row>
    <row r="44900" spans="6:6">
      <c r="F44900" s="2423"/>
    </row>
    <row r="44901" spans="6:6">
      <c r="F44901" s="2423"/>
    </row>
    <row r="44902" spans="6:6">
      <c r="F44902" s="2423"/>
    </row>
    <row r="44903" spans="6:6">
      <c r="F44903" s="2423"/>
    </row>
    <row r="44904" spans="6:6">
      <c r="F44904" s="2423"/>
    </row>
    <row r="44905" spans="6:6">
      <c r="F44905" s="2423"/>
    </row>
    <row r="44906" spans="6:6">
      <c r="F44906" s="2423"/>
    </row>
    <row r="44907" spans="6:6">
      <c r="F44907" s="2423"/>
    </row>
    <row r="44908" spans="6:6">
      <c r="F44908" s="2423"/>
    </row>
    <row r="44909" spans="6:6">
      <c r="F44909" s="2423"/>
    </row>
    <row r="44910" spans="6:6">
      <c r="F44910" s="2423"/>
    </row>
    <row r="44911" spans="6:6">
      <c r="F44911" s="2423"/>
    </row>
    <row r="44912" spans="6:6">
      <c r="F44912" s="2423"/>
    </row>
    <row r="44913" spans="6:6">
      <c r="F44913" s="2423"/>
    </row>
    <row r="44914" spans="6:6">
      <c r="F44914" s="2423"/>
    </row>
    <row r="44915" spans="6:6">
      <c r="F44915" s="2423"/>
    </row>
    <row r="44916" spans="6:6">
      <c r="F44916" s="2423"/>
    </row>
    <row r="44917" spans="6:6">
      <c r="F44917" s="2423"/>
    </row>
    <row r="44918" spans="6:6">
      <c r="F44918" s="2423"/>
    </row>
    <row r="44919" spans="6:6">
      <c r="F44919" s="2423"/>
    </row>
    <row r="44920" spans="6:6">
      <c r="F44920" s="2423"/>
    </row>
    <row r="44921" spans="6:6">
      <c r="F44921" s="2423"/>
    </row>
    <row r="44922" spans="6:6">
      <c r="F44922" s="2423"/>
    </row>
    <row r="44923" spans="6:6">
      <c r="F44923" s="2423"/>
    </row>
    <row r="44924" spans="6:6">
      <c r="F44924" s="2423"/>
    </row>
    <row r="44925" spans="6:6">
      <c r="F44925" s="2423"/>
    </row>
    <row r="44926" spans="6:6">
      <c r="F44926" s="2423"/>
    </row>
    <row r="44927" spans="6:6">
      <c r="F44927" s="2423"/>
    </row>
    <row r="44928" spans="6:6">
      <c r="F44928" s="2423"/>
    </row>
    <row r="44929" spans="6:6">
      <c r="F44929" s="2423"/>
    </row>
    <row r="44930" spans="6:6">
      <c r="F44930" s="2423"/>
    </row>
    <row r="44931" spans="6:6">
      <c r="F44931" s="2423"/>
    </row>
    <row r="44932" spans="6:6">
      <c r="F44932" s="2423"/>
    </row>
    <row r="44933" spans="6:6">
      <c r="F44933" s="2423"/>
    </row>
    <row r="44934" spans="6:6">
      <c r="F44934" s="2423"/>
    </row>
    <row r="44935" spans="6:6">
      <c r="F44935" s="2423"/>
    </row>
    <row r="44936" spans="6:6">
      <c r="F44936" s="2423"/>
    </row>
    <row r="44937" spans="6:6">
      <c r="F44937" s="2423"/>
    </row>
    <row r="44938" spans="6:6">
      <c r="F44938" s="2423"/>
    </row>
    <row r="44939" spans="6:6">
      <c r="F44939" s="2423"/>
    </row>
    <row r="44940" spans="6:6">
      <c r="F44940" s="2423"/>
    </row>
    <row r="44941" spans="6:6">
      <c r="F44941" s="2423"/>
    </row>
    <row r="44942" spans="6:6">
      <c r="F44942" s="2423"/>
    </row>
    <row r="44943" spans="6:6">
      <c r="F44943" s="2423"/>
    </row>
    <row r="44944" spans="6:6">
      <c r="F44944" s="2423"/>
    </row>
    <row r="44945" spans="6:6">
      <c r="F44945" s="2423"/>
    </row>
    <row r="44946" spans="6:6">
      <c r="F44946" s="2423"/>
    </row>
    <row r="44947" spans="6:6">
      <c r="F44947" s="2423"/>
    </row>
    <row r="44948" spans="6:6">
      <c r="F44948" s="2423"/>
    </row>
    <row r="44949" spans="6:6">
      <c r="F44949" s="2423"/>
    </row>
    <row r="44950" spans="6:6">
      <c r="F44950" s="2423"/>
    </row>
    <row r="44951" spans="6:6">
      <c r="F44951" s="2423"/>
    </row>
    <row r="44952" spans="6:6">
      <c r="F44952" s="2423"/>
    </row>
    <row r="44953" spans="6:6">
      <c r="F44953" s="2423"/>
    </row>
    <row r="44954" spans="6:6">
      <c r="F44954" s="2423"/>
    </row>
    <row r="44955" spans="6:6">
      <c r="F44955" s="2423"/>
    </row>
    <row r="44956" spans="6:6">
      <c r="F44956" s="2423"/>
    </row>
    <row r="44957" spans="6:6">
      <c r="F44957" s="2423"/>
    </row>
    <row r="44958" spans="6:6">
      <c r="F44958" s="2423"/>
    </row>
    <row r="44959" spans="6:6">
      <c r="F44959" s="2423"/>
    </row>
    <row r="44960" spans="6:6">
      <c r="F44960" s="2423"/>
    </row>
    <row r="44961" spans="6:6">
      <c r="F44961" s="2423"/>
    </row>
    <row r="44962" spans="6:6">
      <c r="F44962" s="2423"/>
    </row>
    <row r="44963" spans="6:6">
      <c r="F44963" s="2423"/>
    </row>
    <row r="44964" spans="6:6">
      <c r="F44964" s="2423"/>
    </row>
    <row r="44965" spans="6:6">
      <c r="F44965" s="2423"/>
    </row>
    <row r="44966" spans="6:6">
      <c r="F44966" s="2423"/>
    </row>
    <row r="44967" spans="6:6">
      <c r="F44967" s="2423"/>
    </row>
    <row r="44968" spans="6:6">
      <c r="F44968" s="2423"/>
    </row>
    <row r="44969" spans="6:6">
      <c r="F44969" s="2423"/>
    </row>
    <row r="44970" spans="6:6">
      <c r="F44970" s="2423"/>
    </row>
    <row r="44971" spans="6:6">
      <c r="F44971" s="2423"/>
    </row>
    <row r="44972" spans="6:6">
      <c r="F44972" s="2423"/>
    </row>
    <row r="44973" spans="6:6">
      <c r="F44973" s="2423"/>
    </row>
    <row r="44974" spans="6:6">
      <c r="F44974" s="2423"/>
    </row>
    <row r="44975" spans="6:6">
      <c r="F44975" s="2423"/>
    </row>
    <row r="44976" spans="6:6">
      <c r="F44976" s="2423"/>
    </row>
    <row r="44977" spans="6:6">
      <c r="F44977" s="2423"/>
    </row>
    <row r="44978" spans="6:6">
      <c r="F44978" s="2423"/>
    </row>
    <row r="44979" spans="6:6">
      <c r="F44979" s="2423"/>
    </row>
    <row r="44980" spans="6:6">
      <c r="F44980" s="2423"/>
    </row>
    <row r="44981" spans="6:6">
      <c r="F44981" s="2423"/>
    </row>
    <row r="44982" spans="6:6">
      <c r="F44982" s="2423"/>
    </row>
    <row r="44983" spans="6:6">
      <c r="F44983" s="2423"/>
    </row>
    <row r="44984" spans="6:6">
      <c r="F44984" s="2423"/>
    </row>
    <row r="44985" spans="6:6">
      <c r="F44985" s="2423"/>
    </row>
    <row r="44986" spans="6:6">
      <c r="F44986" s="2423"/>
    </row>
    <row r="44987" spans="6:6">
      <c r="F44987" s="2423"/>
    </row>
    <row r="44988" spans="6:6">
      <c r="F44988" s="2423"/>
    </row>
    <row r="44989" spans="6:6">
      <c r="F44989" s="2423"/>
    </row>
    <row r="44990" spans="6:6">
      <c r="F44990" s="2423"/>
    </row>
    <row r="44991" spans="6:6">
      <c r="F44991" s="2423"/>
    </row>
    <row r="44992" spans="6:6">
      <c r="F44992" s="2423"/>
    </row>
    <row r="44993" spans="6:6">
      <c r="F44993" s="2423"/>
    </row>
    <row r="44994" spans="6:6">
      <c r="F44994" s="2423"/>
    </row>
    <row r="44995" spans="6:6">
      <c r="F44995" s="2423"/>
    </row>
    <row r="44996" spans="6:6">
      <c r="F44996" s="2423"/>
    </row>
    <row r="44997" spans="6:6">
      <c r="F44997" s="2423"/>
    </row>
    <row r="44998" spans="6:6">
      <c r="F44998" s="2423"/>
    </row>
    <row r="44999" spans="6:6">
      <c r="F44999" s="2423"/>
    </row>
    <row r="45000" spans="6:6">
      <c r="F45000" s="2423"/>
    </row>
    <row r="45001" spans="6:6">
      <c r="F45001" s="2423"/>
    </row>
    <row r="45002" spans="6:6">
      <c r="F45002" s="2423"/>
    </row>
    <row r="45003" spans="6:6">
      <c r="F45003" s="2423"/>
    </row>
    <row r="45004" spans="6:6">
      <c r="F45004" s="2423"/>
    </row>
    <row r="45005" spans="6:6">
      <c r="F45005" s="2423"/>
    </row>
    <row r="45006" spans="6:6">
      <c r="F45006" s="2423"/>
    </row>
    <row r="45007" spans="6:6">
      <c r="F45007" s="2423"/>
    </row>
    <row r="45008" spans="6:6">
      <c r="F45008" s="2423"/>
    </row>
    <row r="45009" spans="6:6">
      <c r="F45009" s="2423"/>
    </row>
    <row r="45010" spans="6:6">
      <c r="F45010" s="2423"/>
    </row>
    <row r="45011" spans="6:6">
      <c r="F45011" s="2423"/>
    </row>
    <row r="45012" spans="6:6">
      <c r="F45012" s="2423"/>
    </row>
    <row r="45013" spans="6:6">
      <c r="F45013" s="2423"/>
    </row>
    <row r="45014" spans="6:6">
      <c r="F45014" s="2423"/>
    </row>
    <row r="45015" spans="6:6">
      <c r="F45015" s="2423"/>
    </row>
    <row r="45016" spans="6:6">
      <c r="F45016" s="2423"/>
    </row>
    <row r="45017" spans="6:6">
      <c r="F45017" s="2423"/>
    </row>
    <row r="45018" spans="6:6">
      <c r="F45018" s="2423"/>
    </row>
    <row r="45019" spans="6:6">
      <c r="F45019" s="2423"/>
    </row>
    <row r="45020" spans="6:6">
      <c r="F45020" s="2423"/>
    </row>
    <row r="45021" spans="6:6">
      <c r="F45021" s="2423"/>
    </row>
    <row r="45022" spans="6:6">
      <c r="F45022" s="2423"/>
    </row>
    <row r="45023" spans="6:6">
      <c r="F45023" s="2423"/>
    </row>
    <row r="45024" spans="6:6">
      <c r="F45024" s="2423"/>
    </row>
    <row r="45025" spans="6:6">
      <c r="F45025" s="2423"/>
    </row>
    <row r="45026" spans="6:6">
      <c r="F45026" s="2423"/>
    </row>
    <row r="45027" spans="6:6">
      <c r="F45027" s="2423"/>
    </row>
    <row r="45028" spans="6:6">
      <c r="F45028" s="2423"/>
    </row>
    <row r="45029" spans="6:6">
      <c r="F45029" s="2423"/>
    </row>
    <row r="45030" spans="6:6">
      <c r="F45030" s="2423"/>
    </row>
    <row r="45031" spans="6:6">
      <c r="F45031" s="2423"/>
    </row>
    <row r="45032" spans="6:6">
      <c r="F45032" s="2423"/>
    </row>
    <row r="45033" spans="6:6">
      <c r="F45033" s="2423"/>
    </row>
    <row r="45034" spans="6:6">
      <c r="F45034" s="2423"/>
    </row>
    <row r="45035" spans="6:6">
      <c r="F45035" s="2423"/>
    </row>
    <row r="45036" spans="6:6">
      <c r="F45036" s="2423"/>
    </row>
    <row r="45037" spans="6:6">
      <c r="F45037" s="2423"/>
    </row>
    <row r="45038" spans="6:6">
      <c r="F45038" s="2423"/>
    </row>
    <row r="45039" spans="6:6">
      <c r="F45039" s="2423"/>
    </row>
    <row r="45040" spans="6:6">
      <c r="F45040" s="2423"/>
    </row>
    <row r="45041" spans="6:6">
      <c r="F45041" s="2423"/>
    </row>
    <row r="45042" spans="6:6">
      <c r="F45042" s="2423"/>
    </row>
    <row r="45043" spans="6:6">
      <c r="F45043" s="2423"/>
    </row>
    <row r="45044" spans="6:6">
      <c r="F45044" s="2423"/>
    </row>
    <row r="45045" spans="6:6">
      <c r="F45045" s="2423"/>
    </row>
    <row r="45046" spans="6:6">
      <c r="F45046" s="2423"/>
    </row>
    <row r="45047" spans="6:6">
      <c r="F45047" s="2423"/>
    </row>
    <row r="45048" spans="6:6">
      <c r="F45048" s="2423"/>
    </row>
    <row r="45049" spans="6:6">
      <c r="F45049" s="2423"/>
    </row>
    <row r="45050" spans="6:6">
      <c r="F45050" s="2423"/>
    </row>
    <row r="45051" spans="6:6">
      <c r="F45051" s="2423"/>
    </row>
    <row r="45052" spans="6:6">
      <c r="F45052" s="2423"/>
    </row>
    <row r="45053" spans="6:6">
      <c r="F45053" s="2423"/>
    </row>
    <row r="45054" spans="6:6">
      <c r="F45054" s="2423"/>
    </row>
    <row r="45055" spans="6:6">
      <c r="F45055" s="2423"/>
    </row>
    <row r="45056" spans="6:6">
      <c r="F45056" s="2423"/>
    </row>
    <row r="45057" spans="6:6">
      <c r="F45057" s="2423"/>
    </row>
    <row r="45058" spans="6:6">
      <c r="F45058" s="2423"/>
    </row>
    <row r="45059" spans="6:6">
      <c r="F45059" s="2423"/>
    </row>
    <row r="45060" spans="6:6">
      <c r="F45060" s="2423"/>
    </row>
    <row r="45061" spans="6:6">
      <c r="F45061" s="2423"/>
    </row>
    <row r="45062" spans="6:6">
      <c r="F45062" s="2423"/>
    </row>
    <row r="45063" spans="6:6">
      <c r="F45063" s="2423"/>
    </row>
    <row r="45064" spans="6:6">
      <c r="F45064" s="2423"/>
    </row>
    <row r="45065" spans="6:6">
      <c r="F45065" s="2423"/>
    </row>
    <row r="45066" spans="6:6">
      <c r="F45066" s="2423"/>
    </row>
    <row r="45067" spans="6:6">
      <c r="F45067" s="2423"/>
    </row>
    <row r="45068" spans="6:6">
      <c r="F45068" s="2423"/>
    </row>
    <row r="45069" spans="6:6">
      <c r="F45069" s="2423"/>
    </row>
    <row r="45070" spans="6:6">
      <c r="F45070" s="2423"/>
    </row>
    <row r="45071" spans="6:6">
      <c r="F45071" s="2423"/>
    </row>
    <row r="45072" spans="6:6">
      <c r="F45072" s="2423"/>
    </row>
    <row r="45073" spans="6:6">
      <c r="F45073" s="2423"/>
    </row>
    <row r="45074" spans="6:6">
      <c r="F45074" s="2423"/>
    </row>
    <row r="45075" spans="6:6">
      <c r="F45075" s="2423"/>
    </row>
    <row r="45076" spans="6:6">
      <c r="F45076" s="2423"/>
    </row>
    <row r="45077" spans="6:6">
      <c r="F45077" s="2423"/>
    </row>
    <row r="45078" spans="6:6">
      <c r="F45078" s="2423"/>
    </row>
    <row r="45079" spans="6:6">
      <c r="F45079" s="2423"/>
    </row>
    <row r="45080" spans="6:6">
      <c r="F45080" s="2423"/>
    </row>
    <row r="45081" spans="6:6">
      <c r="F45081" s="2423"/>
    </row>
    <row r="45082" spans="6:6">
      <c r="F45082" s="2423"/>
    </row>
    <row r="45083" spans="6:6">
      <c r="F45083" s="2423"/>
    </row>
    <row r="45084" spans="6:6">
      <c r="F45084" s="2423"/>
    </row>
    <row r="45085" spans="6:6">
      <c r="F45085" s="2423"/>
    </row>
    <row r="45086" spans="6:6">
      <c r="F45086" s="2423"/>
    </row>
    <row r="45087" spans="6:6">
      <c r="F45087" s="2423"/>
    </row>
    <row r="45088" spans="6:6">
      <c r="F45088" s="2423"/>
    </row>
    <row r="45089" spans="6:6">
      <c r="F45089" s="2423"/>
    </row>
    <row r="45090" spans="6:6">
      <c r="F45090" s="2423"/>
    </row>
    <row r="45091" spans="6:6">
      <c r="F45091" s="2423"/>
    </row>
    <row r="45092" spans="6:6">
      <c r="F45092" s="2423"/>
    </row>
    <row r="45093" spans="6:6">
      <c r="F45093" s="2423"/>
    </row>
    <row r="45094" spans="6:6">
      <c r="F45094" s="2423"/>
    </row>
    <row r="45095" spans="6:6">
      <c r="F45095" s="2423"/>
    </row>
    <row r="45096" spans="6:6">
      <c r="F45096" s="2423"/>
    </row>
    <row r="45097" spans="6:6">
      <c r="F45097" s="2423"/>
    </row>
    <row r="45098" spans="6:6">
      <c r="F45098" s="2423"/>
    </row>
    <row r="45099" spans="6:6">
      <c r="F45099" s="2423"/>
    </row>
    <row r="45100" spans="6:6">
      <c r="F45100" s="2423"/>
    </row>
    <row r="45101" spans="6:6">
      <c r="F45101" s="2423"/>
    </row>
    <row r="45102" spans="6:6">
      <c r="F45102" s="2423"/>
    </row>
    <row r="45103" spans="6:6">
      <c r="F45103" s="2423"/>
    </row>
    <row r="45104" spans="6:6">
      <c r="F45104" s="2423"/>
    </row>
    <row r="45105" spans="6:6">
      <c r="F45105" s="2423"/>
    </row>
    <row r="45106" spans="6:6">
      <c r="F45106" s="2423"/>
    </row>
    <row r="45107" spans="6:6">
      <c r="F45107" s="2423"/>
    </row>
    <row r="45108" spans="6:6">
      <c r="F45108" s="2423"/>
    </row>
    <row r="45109" spans="6:6">
      <c r="F45109" s="2423"/>
    </row>
    <row r="45110" spans="6:6">
      <c r="F45110" s="2423"/>
    </row>
    <row r="45111" spans="6:6">
      <c r="F45111" s="2423"/>
    </row>
    <row r="45112" spans="6:6">
      <c r="F45112" s="2423"/>
    </row>
    <row r="45113" spans="6:6">
      <c r="F45113" s="2423"/>
    </row>
    <row r="45114" spans="6:6">
      <c r="F45114" s="2423"/>
    </row>
    <row r="45115" spans="6:6">
      <c r="F45115" s="2423"/>
    </row>
    <row r="45116" spans="6:6">
      <c r="F45116" s="2423"/>
    </row>
    <row r="45117" spans="6:6">
      <c r="F45117" s="2423"/>
    </row>
    <row r="45118" spans="6:6">
      <c r="F45118" s="2423"/>
    </row>
    <row r="45119" spans="6:6">
      <c r="F45119" s="2423"/>
    </row>
    <row r="45120" spans="6:6">
      <c r="F45120" s="2423"/>
    </row>
    <row r="45121" spans="6:6">
      <c r="F45121" s="2423"/>
    </row>
    <row r="45122" spans="6:6">
      <c r="F45122" s="2423"/>
    </row>
    <row r="45123" spans="6:6">
      <c r="F45123" s="2423"/>
    </row>
    <row r="45124" spans="6:6">
      <c r="F45124" s="2423"/>
    </row>
    <row r="45125" spans="6:6">
      <c r="F45125" s="2423"/>
    </row>
    <row r="45126" spans="6:6">
      <c r="F45126" s="2423"/>
    </row>
    <row r="45127" spans="6:6">
      <c r="F45127" s="2423"/>
    </row>
    <row r="45128" spans="6:6">
      <c r="F45128" s="2423"/>
    </row>
    <row r="45129" spans="6:6">
      <c r="F45129" s="2423"/>
    </row>
    <row r="45130" spans="6:6">
      <c r="F45130" s="2423"/>
    </row>
    <row r="45131" spans="6:6">
      <c r="F45131" s="2423"/>
    </row>
    <row r="45132" spans="6:6">
      <c r="F45132" s="2423"/>
    </row>
    <row r="45133" spans="6:6">
      <c r="F45133" s="2423"/>
    </row>
    <row r="45134" spans="6:6">
      <c r="F45134" s="2423"/>
    </row>
    <row r="45135" spans="6:6">
      <c r="F45135" s="2423"/>
    </row>
    <row r="45136" spans="6:6">
      <c r="F45136" s="2423"/>
    </row>
    <row r="45137" spans="6:6">
      <c r="F45137" s="2423"/>
    </row>
    <row r="45138" spans="6:6">
      <c r="F45138" s="2423"/>
    </row>
    <row r="45139" spans="6:6">
      <c r="F45139" s="2423"/>
    </row>
    <row r="45140" spans="6:6">
      <c r="F45140" s="2423"/>
    </row>
    <row r="45141" spans="6:6">
      <c r="F45141" s="2423"/>
    </row>
    <row r="45142" spans="6:6">
      <c r="F45142" s="2423"/>
    </row>
    <row r="45143" spans="6:6">
      <c r="F45143" s="2423"/>
    </row>
    <row r="45144" spans="6:6">
      <c r="F45144" s="2423"/>
    </row>
    <row r="45145" spans="6:6">
      <c r="F45145" s="2423"/>
    </row>
    <row r="45146" spans="6:6">
      <c r="F45146" s="2423"/>
    </row>
    <row r="45147" spans="6:6">
      <c r="F45147" s="2423"/>
    </row>
    <row r="45148" spans="6:6">
      <c r="F45148" s="2423"/>
    </row>
    <row r="45149" spans="6:6">
      <c r="F45149" s="2423"/>
    </row>
    <row r="45150" spans="6:6">
      <c r="F45150" s="2423"/>
    </row>
    <row r="45151" spans="6:6">
      <c r="F45151" s="2423"/>
    </row>
    <row r="45152" spans="6:6">
      <c r="F45152" s="2423"/>
    </row>
    <row r="45153" spans="6:6">
      <c r="F45153" s="2423"/>
    </row>
    <row r="45154" spans="6:6">
      <c r="F45154" s="2423"/>
    </row>
    <row r="45155" spans="6:6">
      <c r="F45155" s="2423"/>
    </row>
    <row r="45156" spans="6:6">
      <c r="F45156" s="2423"/>
    </row>
    <row r="45157" spans="6:6">
      <c r="F45157" s="2423"/>
    </row>
    <row r="45158" spans="6:6">
      <c r="F45158" s="2423"/>
    </row>
    <row r="45159" spans="6:6">
      <c r="F45159" s="2423"/>
    </row>
    <row r="45160" spans="6:6">
      <c r="F45160" s="2423"/>
    </row>
    <row r="45161" spans="6:6">
      <c r="F45161" s="2423"/>
    </row>
    <row r="45162" spans="6:6">
      <c r="F45162" s="2423"/>
    </row>
    <row r="45163" spans="6:6">
      <c r="F45163" s="2423"/>
    </row>
    <row r="45164" spans="6:6">
      <c r="F45164" s="2423"/>
    </row>
    <row r="45165" spans="6:6">
      <c r="F45165" s="2423"/>
    </row>
    <row r="45166" spans="6:6">
      <c r="F45166" s="2423"/>
    </row>
    <row r="45167" spans="6:6">
      <c r="F45167" s="2423"/>
    </row>
    <row r="45168" spans="6:6">
      <c r="F45168" s="2423"/>
    </row>
    <row r="45169" spans="6:6">
      <c r="F45169" s="2423"/>
    </row>
    <row r="45170" spans="6:6">
      <c r="F45170" s="2423"/>
    </row>
    <row r="45171" spans="6:6">
      <c r="F45171" s="2423"/>
    </row>
    <row r="45172" spans="6:6">
      <c r="F45172" s="2423"/>
    </row>
    <row r="45173" spans="6:6">
      <c r="F45173" s="2423"/>
    </row>
    <row r="45174" spans="6:6">
      <c r="F45174" s="2423"/>
    </row>
    <row r="45175" spans="6:6">
      <c r="F45175" s="2423"/>
    </row>
    <row r="45176" spans="6:6">
      <c r="F45176" s="2423"/>
    </row>
    <row r="45177" spans="6:6">
      <c r="F45177" s="2423"/>
    </row>
    <row r="45178" spans="6:6">
      <c r="F45178" s="2423"/>
    </row>
    <row r="45179" spans="6:6">
      <c r="F45179" s="2423"/>
    </row>
    <row r="45180" spans="6:6">
      <c r="F45180" s="2423"/>
    </row>
    <row r="45181" spans="6:6">
      <c r="F45181" s="2423"/>
    </row>
    <row r="45182" spans="6:6">
      <c r="F45182" s="2423"/>
    </row>
    <row r="45183" spans="6:6">
      <c r="F45183" s="2423"/>
    </row>
    <row r="45184" spans="6:6">
      <c r="F45184" s="2423"/>
    </row>
    <row r="45185" spans="6:6">
      <c r="F45185" s="2423"/>
    </row>
    <row r="45186" spans="6:6">
      <c r="F45186" s="2423"/>
    </row>
    <row r="45187" spans="6:6">
      <c r="F45187" s="2423"/>
    </row>
    <row r="45188" spans="6:6">
      <c r="F45188" s="2423"/>
    </row>
    <row r="45189" spans="6:6">
      <c r="F45189" s="2423"/>
    </row>
    <row r="45190" spans="6:6">
      <c r="F45190" s="2423"/>
    </row>
    <row r="45191" spans="6:6">
      <c r="F45191" s="2423"/>
    </row>
    <row r="45192" spans="6:6">
      <c r="F45192" s="2423"/>
    </row>
    <row r="45193" spans="6:6">
      <c r="F45193" s="2423"/>
    </row>
    <row r="45194" spans="6:6">
      <c r="F45194" s="2423"/>
    </row>
    <row r="45195" spans="6:6">
      <c r="F45195" s="2423"/>
    </row>
    <row r="45196" spans="6:6">
      <c r="F45196" s="2423"/>
    </row>
    <row r="45197" spans="6:6">
      <c r="F45197" s="2423"/>
    </row>
    <row r="45198" spans="6:6">
      <c r="F45198" s="2423"/>
    </row>
    <row r="45199" spans="6:6">
      <c r="F45199" s="2423"/>
    </row>
    <row r="45200" spans="6:6">
      <c r="F45200" s="2423"/>
    </row>
    <row r="45201" spans="6:6">
      <c r="F45201" s="2423"/>
    </row>
    <row r="45202" spans="6:6">
      <c r="F45202" s="2423"/>
    </row>
    <row r="45203" spans="6:6">
      <c r="F45203" s="2423"/>
    </row>
    <row r="45204" spans="6:6">
      <c r="F45204" s="2423"/>
    </row>
    <row r="45205" spans="6:6">
      <c r="F45205" s="2423"/>
    </row>
    <row r="45206" spans="6:6">
      <c r="F45206" s="2423"/>
    </row>
    <row r="45207" spans="6:6">
      <c r="F45207" s="2423"/>
    </row>
    <row r="45208" spans="6:6">
      <c r="F45208" s="2423"/>
    </row>
    <row r="45209" spans="6:6">
      <c r="F45209" s="2423"/>
    </row>
    <row r="45210" spans="6:6">
      <c r="F45210" s="2423"/>
    </row>
    <row r="45211" spans="6:6">
      <c r="F45211" s="2423"/>
    </row>
    <row r="45212" spans="6:6">
      <c r="F45212" s="2423"/>
    </row>
    <row r="45213" spans="6:6">
      <c r="F45213" s="2423"/>
    </row>
    <row r="45214" spans="6:6">
      <c r="F45214" s="2423"/>
    </row>
    <row r="45215" spans="6:6">
      <c r="F45215" s="2423"/>
    </row>
    <row r="45216" spans="6:6">
      <c r="F45216" s="2423"/>
    </row>
    <row r="45217" spans="6:6">
      <c r="F45217" s="2423"/>
    </row>
    <row r="45218" spans="6:6">
      <c r="F45218" s="2423"/>
    </row>
    <row r="45219" spans="6:6">
      <c r="F45219" s="2423"/>
    </row>
    <row r="45220" spans="6:6">
      <c r="F45220" s="2423"/>
    </row>
    <row r="45221" spans="6:6">
      <c r="F45221" s="2423"/>
    </row>
    <row r="45222" spans="6:6">
      <c r="F45222" s="2423"/>
    </row>
    <row r="45223" spans="6:6">
      <c r="F45223" s="2423"/>
    </row>
    <row r="45224" spans="6:6">
      <c r="F45224" s="2423"/>
    </row>
    <row r="45225" spans="6:6">
      <c r="F45225" s="2423"/>
    </row>
    <row r="45226" spans="6:6">
      <c r="F45226" s="2423"/>
    </row>
    <row r="45227" spans="6:6">
      <c r="F45227" s="2423"/>
    </row>
    <row r="45228" spans="6:6">
      <c r="F45228" s="2423"/>
    </row>
    <row r="45229" spans="6:6">
      <c r="F45229" s="2423"/>
    </row>
    <row r="45230" spans="6:6">
      <c r="F45230" s="2423"/>
    </row>
    <row r="45231" spans="6:6">
      <c r="F45231" s="2423"/>
    </row>
    <row r="45232" spans="6:6">
      <c r="F45232" s="2423"/>
    </row>
    <row r="45233" spans="6:6">
      <c r="F45233" s="2423"/>
    </row>
    <row r="45234" spans="6:6">
      <c r="F45234" s="2423"/>
    </row>
    <row r="45235" spans="6:6">
      <c r="F45235" s="2423"/>
    </row>
    <row r="45236" spans="6:6">
      <c r="F45236" s="2423"/>
    </row>
    <row r="45237" spans="6:6">
      <c r="F45237" s="2423"/>
    </row>
    <row r="45238" spans="6:6">
      <c r="F45238" s="2423"/>
    </row>
    <row r="45239" spans="6:6">
      <c r="F45239" s="2423"/>
    </row>
    <row r="45240" spans="6:6">
      <c r="F45240" s="2423"/>
    </row>
    <row r="45241" spans="6:6">
      <c r="F45241" s="2423"/>
    </row>
    <row r="45242" spans="6:6">
      <c r="F45242" s="2423"/>
    </row>
    <row r="45243" spans="6:6">
      <c r="F45243" s="2423"/>
    </row>
    <row r="45244" spans="6:6">
      <c r="F45244" s="2423"/>
    </row>
    <row r="45245" spans="6:6">
      <c r="F45245" s="2423"/>
    </row>
    <row r="45246" spans="6:6">
      <c r="F45246" s="2423"/>
    </row>
    <row r="45247" spans="6:6">
      <c r="F45247" s="2423"/>
    </row>
    <row r="45248" spans="6:6">
      <c r="F45248" s="2423"/>
    </row>
    <row r="45249" spans="6:6">
      <c r="F45249" s="2423"/>
    </row>
    <row r="45250" spans="6:6">
      <c r="F45250" s="2423"/>
    </row>
    <row r="45251" spans="6:6">
      <c r="F45251" s="2423"/>
    </row>
    <row r="45252" spans="6:6">
      <c r="F45252" s="2423"/>
    </row>
    <row r="45253" spans="6:6">
      <c r="F45253" s="2423"/>
    </row>
    <row r="45254" spans="6:6">
      <c r="F45254" s="2423"/>
    </row>
    <row r="45255" spans="6:6">
      <c r="F45255" s="2423"/>
    </row>
    <row r="45256" spans="6:6">
      <c r="F45256" s="2423"/>
    </row>
    <row r="45257" spans="6:6">
      <c r="F45257" s="2423"/>
    </row>
    <row r="45258" spans="6:6">
      <c r="F45258" s="2423"/>
    </row>
    <row r="45259" spans="6:6">
      <c r="F45259" s="2423"/>
    </row>
    <row r="45260" spans="6:6">
      <c r="F45260" s="2423"/>
    </row>
    <row r="45261" spans="6:6">
      <c r="F45261" s="2423"/>
    </row>
    <row r="45262" spans="6:6">
      <c r="F45262" s="2423"/>
    </row>
    <row r="45263" spans="6:6">
      <c r="F45263" s="2423"/>
    </row>
    <row r="45264" spans="6:6">
      <c r="F45264" s="2423"/>
    </row>
    <row r="45265" spans="6:6">
      <c r="F45265" s="2423"/>
    </row>
    <row r="45266" spans="6:6">
      <c r="F45266" s="2423"/>
    </row>
    <row r="45267" spans="6:6">
      <c r="F45267" s="2423"/>
    </row>
    <row r="45268" spans="6:6">
      <c r="F45268" s="2423"/>
    </row>
    <row r="45269" spans="6:6">
      <c r="F45269" s="2423"/>
    </row>
    <row r="45270" spans="6:6">
      <c r="F45270" s="2423"/>
    </row>
    <row r="45271" spans="6:6">
      <c r="F45271" s="2423"/>
    </row>
    <row r="45272" spans="6:6">
      <c r="F45272" s="2423"/>
    </row>
    <row r="45273" spans="6:6">
      <c r="F45273" s="2423"/>
    </row>
    <row r="45274" spans="6:6">
      <c r="F45274" s="2423"/>
    </row>
    <row r="45275" spans="6:6">
      <c r="F45275" s="2423"/>
    </row>
    <row r="45276" spans="6:6">
      <c r="F45276" s="2423"/>
    </row>
    <row r="45277" spans="6:6">
      <c r="F45277" s="2423"/>
    </row>
    <row r="45278" spans="6:6">
      <c r="F45278" s="2423"/>
    </row>
    <row r="45279" spans="6:6">
      <c r="F45279" s="2423"/>
    </row>
    <row r="45280" spans="6:6">
      <c r="F45280" s="2423"/>
    </row>
    <row r="45281" spans="6:6">
      <c r="F45281" s="2423"/>
    </row>
    <row r="45282" spans="6:6">
      <c r="F45282" s="2423"/>
    </row>
    <row r="45283" spans="6:6">
      <c r="F45283" s="2423"/>
    </row>
    <row r="45284" spans="6:6">
      <c r="F45284" s="2423"/>
    </row>
    <row r="45285" spans="6:6">
      <c r="F45285" s="2423"/>
    </row>
    <row r="45286" spans="6:6">
      <c r="F45286" s="2423"/>
    </row>
    <row r="45287" spans="6:6">
      <c r="F45287" s="2423"/>
    </row>
    <row r="45288" spans="6:6">
      <c r="F45288" s="2423"/>
    </row>
    <row r="45289" spans="6:6">
      <c r="F45289" s="2423"/>
    </row>
    <row r="45290" spans="6:6">
      <c r="F45290" s="2423"/>
    </row>
    <row r="45291" spans="6:6">
      <c r="F45291" s="2423"/>
    </row>
    <row r="45292" spans="6:6">
      <c r="F45292" s="2423"/>
    </row>
    <row r="45293" spans="6:6">
      <c r="F45293" s="2423"/>
    </row>
    <row r="45294" spans="6:6">
      <c r="F45294" s="2423"/>
    </row>
    <row r="45295" spans="6:6">
      <c r="F45295" s="2423"/>
    </row>
    <row r="45296" spans="6:6">
      <c r="F45296" s="2423"/>
    </row>
    <row r="45297" spans="6:6">
      <c r="F45297" s="2423"/>
    </row>
    <row r="45298" spans="6:6">
      <c r="F45298" s="2423"/>
    </row>
    <row r="45299" spans="6:6">
      <c r="F45299" s="2423"/>
    </row>
    <row r="45300" spans="6:6">
      <c r="F45300" s="2423"/>
    </row>
    <row r="45301" spans="6:6">
      <c r="F45301" s="2423"/>
    </row>
    <row r="45302" spans="6:6">
      <c r="F45302" s="2423"/>
    </row>
    <row r="45303" spans="6:6">
      <c r="F45303" s="2423"/>
    </row>
    <row r="45304" spans="6:6">
      <c r="F45304" s="2423"/>
    </row>
    <row r="45305" spans="6:6">
      <c r="F45305" s="2423"/>
    </row>
    <row r="45306" spans="6:6">
      <c r="F45306" s="2423"/>
    </row>
    <row r="45307" spans="6:6">
      <c r="F45307" s="2423"/>
    </row>
    <row r="45308" spans="6:6">
      <c r="F45308" s="2423"/>
    </row>
    <row r="45309" spans="6:6">
      <c r="F45309" s="2423"/>
    </row>
    <row r="45310" spans="6:6">
      <c r="F45310" s="2423"/>
    </row>
    <row r="45311" spans="6:6">
      <c r="F45311" s="2423"/>
    </row>
    <row r="45312" spans="6:6">
      <c r="F45312" s="2423"/>
    </row>
    <row r="45313" spans="6:6">
      <c r="F45313" s="2423"/>
    </row>
    <row r="45314" spans="6:6">
      <c r="F45314" s="2423"/>
    </row>
    <row r="45315" spans="6:6">
      <c r="F45315" s="2423"/>
    </row>
    <row r="45316" spans="6:6">
      <c r="F45316" s="2423"/>
    </row>
    <row r="45317" spans="6:6">
      <c r="F45317" s="2423"/>
    </row>
    <row r="45318" spans="6:6">
      <c r="F45318" s="2423"/>
    </row>
    <row r="45319" spans="6:6">
      <c r="F45319" s="2423"/>
    </row>
    <row r="45320" spans="6:6">
      <c r="F45320" s="2423"/>
    </row>
    <row r="45321" spans="6:6">
      <c r="F45321" s="2423"/>
    </row>
    <row r="45322" spans="6:6">
      <c r="F45322" s="2423"/>
    </row>
    <row r="45323" spans="6:6">
      <c r="F45323" s="2423"/>
    </row>
    <row r="45324" spans="6:6">
      <c r="F45324" s="2423"/>
    </row>
    <row r="45325" spans="6:6">
      <c r="F45325" s="2423"/>
    </row>
    <row r="45326" spans="6:6">
      <c r="F45326" s="2423"/>
    </row>
    <row r="45327" spans="6:6">
      <c r="F45327" s="2423"/>
    </row>
    <row r="45328" spans="6:6">
      <c r="F45328" s="2423"/>
    </row>
    <row r="45329" spans="6:6">
      <c r="F45329" s="2423"/>
    </row>
    <row r="45330" spans="6:6">
      <c r="F45330" s="2423"/>
    </row>
    <row r="45331" spans="6:6">
      <c r="F45331" s="2423"/>
    </row>
    <row r="45332" spans="6:6">
      <c r="F45332" s="2423"/>
    </row>
    <row r="45333" spans="6:6">
      <c r="F45333" s="2423"/>
    </row>
    <row r="45334" spans="6:6">
      <c r="F45334" s="2423"/>
    </row>
    <row r="45335" spans="6:6">
      <c r="F45335" s="2423"/>
    </row>
    <row r="45336" spans="6:6">
      <c r="F45336" s="2423"/>
    </row>
    <row r="45337" spans="6:6">
      <c r="F45337" s="2423"/>
    </row>
    <row r="45338" spans="6:6">
      <c r="F45338" s="2423"/>
    </row>
    <row r="45339" spans="6:6">
      <c r="F45339" s="2423"/>
    </row>
    <row r="45340" spans="6:6">
      <c r="F45340" s="2423"/>
    </row>
    <row r="45341" spans="6:6">
      <c r="F45341" s="2423"/>
    </row>
    <row r="45342" spans="6:6">
      <c r="F45342" s="2423"/>
    </row>
    <row r="45343" spans="6:6">
      <c r="F45343" s="2423"/>
    </row>
    <row r="45344" spans="6:6">
      <c r="F45344" s="2423"/>
    </row>
    <row r="45345" spans="6:6">
      <c r="F45345" s="2423"/>
    </row>
    <row r="45346" spans="6:6">
      <c r="F45346" s="2423"/>
    </row>
    <row r="45347" spans="6:6">
      <c r="F45347" s="2423"/>
    </row>
    <row r="45348" spans="6:6">
      <c r="F45348" s="2423"/>
    </row>
    <row r="45349" spans="6:6">
      <c r="F45349" s="2423"/>
    </row>
    <row r="45350" spans="6:6">
      <c r="F45350" s="2423"/>
    </row>
    <row r="45351" spans="6:6">
      <c r="F45351" s="2423"/>
    </row>
    <row r="45352" spans="6:6">
      <c r="F45352" s="2423"/>
    </row>
    <row r="45353" spans="6:6">
      <c r="F45353" s="2423"/>
    </row>
    <row r="45354" spans="6:6">
      <c r="F45354" s="2423"/>
    </row>
    <row r="45355" spans="6:6">
      <c r="F45355" s="2423"/>
    </row>
    <row r="45356" spans="6:6">
      <c r="F45356" s="2423"/>
    </row>
    <row r="45357" spans="6:6">
      <c r="F45357" s="2423"/>
    </row>
    <row r="45358" spans="6:6">
      <c r="F45358" s="2423"/>
    </row>
    <row r="45359" spans="6:6">
      <c r="F45359" s="2423"/>
    </row>
    <row r="45360" spans="6:6">
      <c r="F45360" s="2423"/>
    </row>
    <row r="45361" spans="6:6">
      <c r="F45361" s="2423"/>
    </row>
    <row r="45362" spans="6:6">
      <c r="F45362" s="2423"/>
    </row>
    <row r="45363" spans="6:6">
      <c r="F45363" s="2423"/>
    </row>
    <row r="45364" spans="6:6">
      <c r="F45364" s="2423"/>
    </row>
    <row r="45365" spans="6:6">
      <c r="F45365" s="2423"/>
    </row>
    <row r="45366" spans="6:6">
      <c r="F45366" s="2423"/>
    </row>
    <row r="45367" spans="6:6">
      <c r="F45367" s="2423"/>
    </row>
    <row r="45368" spans="6:6">
      <c r="F45368" s="2423"/>
    </row>
    <row r="45369" spans="6:6">
      <c r="F45369" s="2423"/>
    </row>
    <row r="45370" spans="6:6">
      <c r="F45370" s="2423"/>
    </row>
    <row r="45371" spans="6:6">
      <c r="F45371" s="2423"/>
    </row>
    <row r="45372" spans="6:6">
      <c r="F45372" s="2423"/>
    </row>
    <row r="45373" spans="6:6">
      <c r="F45373" s="2423"/>
    </row>
    <row r="45374" spans="6:6">
      <c r="F45374" s="2423"/>
    </row>
    <row r="45375" spans="6:6">
      <c r="F45375" s="2423"/>
    </row>
    <row r="45376" spans="6:6">
      <c r="F45376" s="2423"/>
    </row>
    <row r="45377" spans="6:6">
      <c r="F45377" s="2423"/>
    </row>
    <row r="45378" spans="6:6">
      <c r="F45378" s="2423"/>
    </row>
    <row r="45379" spans="6:6">
      <c r="F45379" s="2423"/>
    </row>
    <row r="45380" spans="6:6">
      <c r="F45380" s="2423"/>
    </row>
    <row r="45381" spans="6:6">
      <c r="F45381" s="2423"/>
    </row>
    <row r="45382" spans="6:6">
      <c r="F45382" s="2423"/>
    </row>
    <row r="45383" spans="6:6">
      <c r="F45383" s="2423"/>
    </row>
    <row r="45384" spans="6:6">
      <c r="F45384" s="2423"/>
    </row>
    <row r="45385" spans="6:6">
      <c r="F45385" s="2423"/>
    </row>
    <row r="45386" spans="6:6">
      <c r="F45386" s="2423"/>
    </row>
    <row r="45387" spans="6:6">
      <c r="F45387" s="2423"/>
    </row>
    <row r="45388" spans="6:6">
      <c r="F45388" s="2423"/>
    </row>
    <row r="45389" spans="6:6">
      <c r="F45389" s="2423"/>
    </row>
    <row r="45390" spans="6:6">
      <c r="F45390" s="2423"/>
    </row>
    <row r="45391" spans="6:6">
      <c r="F45391" s="2423"/>
    </row>
    <row r="45392" spans="6:6">
      <c r="F45392" s="2423"/>
    </row>
    <row r="45393" spans="6:6">
      <c r="F45393" s="2423"/>
    </row>
    <row r="45394" spans="6:6">
      <c r="F45394" s="2423"/>
    </row>
    <row r="45395" spans="6:6">
      <c r="F45395" s="2423"/>
    </row>
    <row r="45396" spans="6:6">
      <c r="F45396" s="2423"/>
    </row>
    <row r="45397" spans="6:6">
      <c r="F45397" s="2423"/>
    </row>
    <row r="45398" spans="6:6">
      <c r="F45398" s="2423"/>
    </row>
    <row r="45399" spans="6:6">
      <c r="F45399" s="2423"/>
    </row>
    <row r="45400" spans="6:6">
      <c r="F45400" s="2423"/>
    </row>
    <row r="45401" spans="6:6">
      <c r="F45401" s="2423"/>
    </row>
    <row r="45402" spans="6:6">
      <c r="F45402" s="2423"/>
    </row>
    <row r="45403" spans="6:6">
      <c r="F45403" s="2423"/>
    </row>
    <row r="45404" spans="6:6">
      <c r="F45404" s="2423"/>
    </row>
    <row r="45405" spans="6:6">
      <c r="F45405" s="2423"/>
    </row>
    <row r="45406" spans="6:6">
      <c r="F45406" s="2423"/>
    </row>
    <row r="45407" spans="6:6">
      <c r="F45407" s="2423"/>
    </row>
    <row r="45408" spans="6:6">
      <c r="F45408" s="2423"/>
    </row>
    <row r="45409" spans="6:6">
      <c r="F45409" s="2423"/>
    </row>
    <row r="45410" spans="6:6">
      <c r="F45410" s="2423"/>
    </row>
    <row r="45411" spans="6:6">
      <c r="F45411" s="2423"/>
    </row>
    <row r="45412" spans="6:6">
      <c r="F45412" s="2423"/>
    </row>
    <row r="45413" spans="6:6">
      <c r="F45413" s="2423"/>
    </row>
    <row r="45414" spans="6:6">
      <c r="F45414" s="2423"/>
    </row>
    <row r="45415" spans="6:6">
      <c r="F45415" s="2423"/>
    </row>
    <row r="45416" spans="6:6">
      <c r="F45416" s="2423"/>
    </row>
    <row r="45417" spans="6:6">
      <c r="F45417" s="2423"/>
    </row>
    <row r="45418" spans="6:6">
      <c r="F45418" s="2423"/>
    </row>
    <row r="45419" spans="6:6">
      <c r="F45419" s="2423"/>
    </row>
    <row r="45420" spans="6:6">
      <c r="F45420" s="2423"/>
    </row>
    <row r="45421" spans="6:6">
      <c r="F45421" s="2423"/>
    </row>
    <row r="45422" spans="6:6">
      <c r="F45422" s="2423"/>
    </row>
    <row r="45423" spans="6:6">
      <c r="F45423" s="2423"/>
    </row>
    <row r="45424" spans="6:6">
      <c r="F45424" s="2423"/>
    </row>
    <row r="45425" spans="6:6">
      <c r="F45425" s="2423"/>
    </row>
    <row r="45426" spans="6:6">
      <c r="F45426" s="2423"/>
    </row>
    <row r="45427" spans="6:6">
      <c r="F45427" s="2423"/>
    </row>
    <row r="45428" spans="6:6">
      <c r="F45428" s="2423"/>
    </row>
    <row r="45429" spans="6:6">
      <c r="F45429" s="2423"/>
    </row>
    <row r="45430" spans="6:6">
      <c r="F45430" s="2423"/>
    </row>
    <row r="45431" spans="6:6">
      <c r="F45431" s="2423"/>
    </row>
    <row r="45432" spans="6:6">
      <c r="F45432" s="2423"/>
    </row>
    <row r="45433" spans="6:6">
      <c r="F45433" s="2423"/>
    </row>
    <row r="45434" spans="6:6">
      <c r="F45434" s="2423"/>
    </row>
    <row r="45435" spans="6:6">
      <c r="F45435" s="2423"/>
    </row>
    <row r="45436" spans="6:6">
      <c r="F45436" s="2423"/>
    </row>
    <row r="45437" spans="6:6">
      <c r="F45437" s="2423"/>
    </row>
    <row r="45438" spans="6:6">
      <c r="F45438" s="2423"/>
    </row>
    <row r="45439" spans="6:6">
      <c r="F45439" s="2423"/>
    </row>
    <row r="45440" spans="6:6">
      <c r="F45440" s="2423"/>
    </row>
    <row r="45441" spans="6:6">
      <c r="F45441" s="2423"/>
    </row>
    <row r="45442" spans="6:6">
      <c r="F45442" s="2423"/>
    </row>
    <row r="45443" spans="6:6">
      <c r="F45443" s="2423"/>
    </row>
    <row r="45444" spans="6:6">
      <c r="F45444" s="2423"/>
    </row>
    <row r="45445" spans="6:6">
      <c r="F45445" s="2423"/>
    </row>
    <row r="45446" spans="6:6">
      <c r="F45446" s="2423"/>
    </row>
    <row r="45447" spans="6:6">
      <c r="F45447" s="2423"/>
    </row>
    <row r="45448" spans="6:6">
      <c r="F45448" s="2423"/>
    </row>
    <row r="45449" spans="6:6">
      <c r="F45449" s="2423"/>
    </row>
    <row r="45450" spans="6:6">
      <c r="F45450" s="2423"/>
    </row>
    <row r="45451" spans="6:6">
      <c r="F45451" s="2423"/>
    </row>
    <row r="45452" spans="6:6">
      <c r="F45452" s="2423"/>
    </row>
    <row r="45453" spans="6:6">
      <c r="F45453" s="2423"/>
    </row>
    <row r="45454" spans="6:6">
      <c r="F45454" s="2423"/>
    </row>
    <row r="45455" spans="6:6">
      <c r="F45455" s="2423"/>
    </row>
    <row r="45456" spans="6:6">
      <c r="F45456" s="2423"/>
    </row>
    <row r="45457" spans="6:6">
      <c r="F45457" s="2423"/>
    </row>
    <row r="45458" spans="6:6">
      <c r="F45458" s="2423"/>
    </row>
    <row r="45459" spans="6:6">
      <c r="F45459" s="2423"/>
    </row>
    <row r="45460" spans="6:6">
      <c r="F45460" s="2423"/>
    </row>
    <row r="45461" spans="6:6">
      <c r="F45461" s="2423"/>
    </row>
    <row r="45462" spans="6:6">
      <c r="F45462" s="2423"/>
    </row>
    <row r="45463" spans="6:6">
      <c r="F45463" s="2423"/>
    </row>
    <row r="45464" spans="6:6">
      <c r="F45464" s="2423"/>
    </row>
    <row r="45465" spans="6:6">
      <c r="F45465" s="2423"/>
    </row>
    <row r="45466" spans="6:6">
      <c r="F45466" s="2423"/>
    </row>
    <row r="45467" spans="6:6">
      <c r="F45467" s="2423"/>
    </row>
    <row r="45468" spans="6:6">
      <c r="F45468" s="2423"/>
    </row>
    <row r="45469" spans="6:6">
      <c r="F45469" s="2423"/>
    </row>
    <row r="45470" spans="6:6">
      <c r="F45470" s="2423"/>
    </row>
    <row r="45471" spans="6:6">
      <c r="F45471" s="2423"/>
    </row>
    <row r="45472" spans="6:6">
      <c r="F45472" s="2423"/>
    </row>
    <row r="45473" spans="6:6">
      <c r="F45473" s="2423"/>
    </row>
    <row r="45474" spans="6:6">
      <c r="F45474" s="2423"/>
    </row>
    <row r="45475" spans="6:6">
      <c r="F45475" s="2423"/>
    </row>
    <row r="45476" spans="6:6">
      <c r="F45476" s="2423"/>
    </row>
    <row r="45477" spans="6:6">
      <c r="F45477" s="2423"/>
    </row>
    <row r="45478" spans="6:6">
      <c r="F45478" s="2423"/>
    </row>
    <row r="45479" spans="6:6">
      <c r="F45479" s="2423"/>
    </row>
    <row r="45480" spans="6:6">
      <c r="F45480" s="2423"/>
    </row>
    <row r="45481" spans="6:6">
      <c r="F45481" s="2423"/>
    </row>
    <row r="45482" spans="6:6">
      <c r="F45482" s="2423"/>
    </row>
    <row r="45483" spans="6:6">
      <c r="F45483" s="2423"/>
    </row>
    <row r="45484" spans="6:6">
      <c r="F45484" s="2423"/>
    </row>
    <row r="45485" spans="6:6">
      <c r="F45485" s="2423"/>
    </row>
    <row r="45486" spans="6:6">
      <c r="F45486" s="2423"/>
    </row>
    <row r="45487" spans="6:6">
      <c r="F45487" s="2423"/>
    </row>
    <row r="45488" spans="6:6">
      <c r="F45488" s="2423"/>
    </row>
    <row r="45489" spans="6:6">
      <c r="F45489" s="2423"/>
    </row>
    <row r="45490" spans="6:6">
      <c r="F45490" s="2423"/>
    </row>
    <row r="45491" spans="6:6">
      <c r="F45491" s="2423"/>
    </row>
    <row r="45492" spans="6:6">
      <c r="F45492" s="2423"/>
    </row>
    <row r="45493" spans="6:6">
      <c r="F45493" s="2423"/>
    </row>
    <row r="45494" spans="6:6">
      <c r="F45494" s="2423"/>
    </row>
    <row r="45495" spans="6:6">
      <c r="F45495" s="2423"/>
    </row>
    <row r="45496" spans="6:6">
      <c r="F45496" s="2423"/>
    </row>
    <row r="45497" spans="6:6">
      <c r="F45497" s="2423"/>
    </row>
    <row r="45498" spans="6:6">
      <c r="F45498" s="2423"/>
    </row>
    <row r="45499" spans="6:6">
      <c r="F45499" s="2423"/>
    </row>
    <row r="45500" spans="6:6">
      <c r="F45500" s="2423"/>
    </row>
    <row r="45501" spans="6:6">
      <c r="F45501" s="2423"/>
    </row>
    <row r="45502" spans="6:6">
      <c r="F45502" s="2423"/>
    </row>
    <row r="45503" spans="6:6">
      <c r="F45503" s="2423"/>
    </row>
    <row r="45504" spans="6:6">
      <c r="F45504" s="2423"/>
    </row>
    <row r="45505" spans="6:6">
      <c r="F45505" s="2423"/>
    </row>
    <row r="45506" spans="6:6">
      <c r="F45506" s="2423"/>
    </row>
    <row r="45507" spans="6:6">
      <c r="F45507" s="2423"/>
    </row>
    <row r="45508" spans="6:6">
      <c r="F45508" s="2423"/>
    </row>
    <row r="45509" spans="6:6">
      <c r="F45509" s="2423"/>
    </row>
    <row r="45510" spans="6:6">
      <c r="F45510" s="2423"/>
    </row>
    <row r="45511" spans="6:6">
      <c r="F45511" s="2423"/>
    </row>
    <row r="45512" spans="6:6">
      <c r="F45512" s="2423"/>
    </row>
    <row r="45513" spans="6:6">
      <c r="F45513" s="2423"/>
    </row>
    <row r="45514" spans="6:6">
      <c r="F45514" s="2423"/>
    </row>
    <row r="45515" spans="6:6">
      <c r="F45515" s="2423"/>
    </row>
    <row r="45516" spans="6:6">
      <c r="F45516" s="2423"/>
    </row>
    <row r="45517" spans="6:6">
      <c r="F45517" s="2423"/>
    </row>
    <row r="45518" spans="6:6">
      <c r="F45518" s="2423"/>
    </row>
    <row r="45519" spans="6:6">
      <c r="F45519" s="2423"/>
    </row>
    <row r="45520" spans="6:6">
      <c r="F45520" s="2423"/>
    </row>
    <row r="45521" spans="6:6">
      <c r="F45521" s="2423"/>
    </row>
    <row r="45522" spans="6:6">
      <c r="F45522" s="2423"/>
    </row>
    <row r="45523" spans="6:6">
      <c r="F45523" s="2423"/>
    </row>
    <row r="45524" spans="6:6">
      <c r="F45524" s="2423"/>
    </row>
    <row r="45525" spans="6:6">
      <c r="F45525" s="2423"/>
    </row>
    <row r="45526" spans="6:6">
      <c r="F45526" s="2423"/>
    </row>
    <row r="45527" spans="6:6">
      <c r="F45527" s="2423"/>
    </row>
    <row r="45528" spans="6:6">
      <c r="F45528" s="2423"/>
    </row>
    <row r="45529" spans="6:6">
      <c r="F45529" s="2423"/>
    </row>
    <row r="45530" spans="6:6">
      <c r="F45530" s="2423"/>
    </row>
    <row r="45531" spans="6:6">
      <c r="F45531" s="2423"/>
    </row>
    <row r="45532" spans="6:6">
      <c r="F45532" s="2423"/>
    </row>
    <row r="45533" spans="6:6">
      <c r="F45533" s="2423"/>
    </row>
    <row r="45534" spans="6:6">
      <c r="F45534" s="2423"/>
    </row>
    <row r="45535" spans="6:6">
      <c r="F45535" s="2423"/>
    </row>
    <row r="45536" spans="6:6">
      <c r="F45536" s="2423"/>
    </row>
    <row r="45537" spans="6:6">
      <c r="F45537" s="2423"/>
    </row>
    <row r="45538" spans="6:6">
      <c r="F45538" s="2423"/>
    </row>
    <row r="45539" spans="6:6">
      <c r="F45539" s="2423"/>
    </row>
    <row r="45540" spans="6:6">
      <c r="F45540" s="2423"/>
    </row>
    <row r="45541" spans="6:6">
      <c r="F45541" s="2423"/>
    </row>
    <row r="45542" spans="6:6">
      <c r="F45542" s="2423"/>
    </row>
    <row r="45543" spans="6:6">
      <c r="F45543" s="2423"/>
    </row>
    <row r="45544" spans="6:6">
      <c r="F45544" s="2423"/>
    </row>
    <row r="45545" spans="6:6">
      <c r="F45545" s="2423"/>
    </row>
    <row r="45546" spans="6:6">
      <c r="F45546" s="2423"/>
    </row>
    <row r="45547" spans="6:6">
      <c r="F45547" s="2423"/>
    </row>
    <row r="45548" spans="6:6">
      <c r="F45548" s="2423"/>
    </row>
    <row r="45549" spans="6:6">
      <c r="F45549" s="2423"/>
    </row>
    <row r="45550" spans="6:6">
      <c r="F45550" s="2423"/>
    </row>
    <row r="45551" spans="6:6">
      <c r="F45551" s="2423"/>
    </row>
    <row r="45552" spans="6:6">
      <c r="F45552" s="2423"/>
    </row>
    <row r="45553" spans="6:6">
      <c r="F45553" s="2423"/>
    </row>
    <row r="45554" spans="6:6">
      <c r="F45554" s="2423"/>
    </row>
    <row r="45555" spans="6:6">
      <c r="F45555" s="2423"/>
    </row>
    <row r="45556" spans="6:6">
      <c r="F45556" s="2423"/>
    </row>
    <row r="45557" spans="6:6">
      <c r="F45557" s="2423"/>
    </row>
    <row r="45558" spans="6:6">
      <c r="F45558" s="2423"/>
    </row>
    <row r="45559" spans="6:6">
      <c r="F45559" s="2423"/>
    </row>
    <row r="45560" spans="6:6">
      <c r="F45560" s="2423"/>
    </row>
    <row r="45561" spans="6:6">
      <c r="F45561" s="2423"/>
    </row>
    <row r="45562" spans="6:6">
      <c r="F45562" s="2423"/>
    </row>
    <row r="45563" spans="6:6">
      <c r="F45563" s="2423"/>
    </row>
    <row r="45564" spans="6:6">
      <c r="F45564" s="2423"/>
    </row>
    <row r="45565" spans="6:6">
      <c r="F45565" s="2423"/>
    </row>
    <row r="45566" spans="6:6">
      <c r="F45566" s="2423"/>
    </row>
    <row r="45567" spans="6:6">
      <c r="F45567" s="2423"/>
    </row>
    <row r="45568" spans="6:6">
      <c r="F45568" s="2423"/>
    </row>
    <row r="45569" spans="6:6">
      <c r="F45569" s="2423"/>
    </row>
    <row r="45570" spans="6:6">
      <c r="F45570" s="2423"/>
    </row>
    <row r="45571" spans="6:6">
      <c r="F45571" s="2423"/>
    </row>
    <row r="45572" spans="6:6">
      <c r="F45572" s="2423"/>
    </row>
    <row r="45573" spans="6:6">
      <c r="F45573" s="2423"/>
    </row>
    <row r="45574" spans="6:6">
      <c r="F45574" s="2423"/>
    </row>
    <row r="45575" spans="6:6">
      <c r="F45575" s="2423"/>
    </row>
    <row r="45576" spans="6:6">
      <c r="F45576" s="2423"/>
    </row>
    <row r="45577" spans="6:6">
      <c r="F45577" s="2423"/>
    </row>
    <row r="45578" spans="6:6">
      <c r="F45578" s="2423"/>
    </row>
    <row r="45579" spans="6:6">
      <c r="F45579" s="2423"/>
    </row>
    <row r="45580" spans="6:6">
      <c r="F45580" s="2423"/>
    </row>
    <row r="45581" spans="6:6">
      <c r="F45581" s="2423"/>
    </row>
    <row r="45582" spans="6:6">
      <c r="F45582" s="2423"/>
    </row>
    <row r="45583" spans="6:6">
      <c r="F45583" s="2423"/>
    </row>
    <row r="45584" spans="6:6">
      <c r="F45584" s="2423"/>
    </row>
    <row r="45585" spans="6:6">
      <c r="F45585" s="2423"/>
    </row>
    <row r="45586" spans="6:6">
      <c r="F45586" s="2423"/>
    </row>
    <row r="45587" spans="6:6">
      <c r="F45587" s="2423"/>
    </row>
    <row r="45588" spans="6:6">
      <c r="F45588" s="2423"/>
    </row>
    <row r="45589" spans="6:6">
      <c r="F45589" s="2423"/>
    </row>
    <row r="45590" spans="6:6">
      <c r="F45590" s="2423"/>
    </row>
    <row r="45591" spans="6:6">
      <c r="F45591" s="2423"/>
    </row>
    <row r="45592" spans="6:6">
      <c r="F45592" s="2423"/>
    </row>
    <row r="45593" spans="6:6">
      <c r="F45593" s="2423"/>
    </row>
    <row r="45594" spans="6:6">
      <c r="F45594" s="2423"/>
    </row>
    <row r="45595" spans="6:6">
      <c r="F45595" s="2423"/>
    </row>
    <row r="45596" spans="6:6">
      <c r="F45596" s="2423"/>
    </row>
    <row r="45597" spans="6:6">
      <c r="F45597" s="2423"/>
    </row>
    <row r="45598" spans="6:6">
      <c r="F45598" s="2423"/>
    </row>
    <row r="45599" spans="6:6">
      <c r="F45599" s="2423"/>
    </row>
    <row r="45600" spans="6:6">
      <c r="F45600" s="2423"/>
    </row>
    <row r="45601" spans="6:6">
      <c r="F45601" s="2423"/>
    </row>
    <row r="45602" spans="6:6">
      <c r="F45602" s="2423"/>
    </row>
    <row r="45603" spans="6:6">
      <c r="F45603" s="2423"/>
    </row>
    <row r="45604" spans="6:6">
      <c r="F45604" s="2423"/>
    </row>
    <row r="45605" spans="6:6">
      <c r="F45605" s="2423"/>
    </row>
    <row r="45606" spans="6:6">
      <c r="F45606" s="2423"/>
    </row>
    <row r="45607" spans="6:6">
      <c r="F45607" s="2423"/>
    </row>
    <row r="45608" spans="6:6">
      <c r="F45608" s="2423"/>
    </row>
    <row r="45609" spans="6:6">
      <c r="F45609" s="2423"/>
    </row>
    <row r="45610" spans="6:6">
      <c r="F45610" s="2423"/>
    </row>
    <row r="45611" spans="6:6">
      <c r="F45611" s="2423"/>
    </row>
    <row r="45612" spans="6:6">
      <c r="F45612" s="2423"/>
    </row>
    <row r="45613" spans="6:6">
      <c r="F45613" s="2423"/>
    </row>
    <row r="45614" spans="6:6">
      <c r="F45614" s="2423"/>
    </row>
    <row r="45615" spans="6:6">
      <c r="F45615" s="2423"/>
    </row>
    <row r="45616" spans="6:6">
      <c r="F45616" s="2423"/>
    </row>
    <row r="45617" spans="6:6">
      <c r="F45617" s="2423"/>
    </row>
    <row r="45618" spans="6:6">
      <c r="F45618" s="2423"/>
    </row>
    <row r="45619" spans="6:6">
      <c r="F45619" s="2423"/>
    </row>
    <row r="45620" spans="6:6">
      <c r="F45620" s="2423"/>
    </row>
    <row r="45621" spans="6:6">
      <c r="F45621" s="2423"/>
    </row>
    <row r="45622" spans="6:6">
      <c r="F45622" s="2423"/>
    </row>
    <row r="45623" spans="6:6">
      <c r="F45623" s="2423"/>
    </row>
    <row r="45624" spans="6:6">
      <c r="F45624" s="2423"/>
    </row>
    <row r="45625" spans="6:6">
      <c r="F45625" s="2423"/>
    </row>
    <row r="45626" spans="6:6">
      <c r="F45626" s="2423"/>
    </row>
    <row r="45627" spans="6:6">
      <c r="F45627" s="2423"/>
    </row>
    <row r="45628" spans="6:6">
      <c r="F45628" s="2423"/>
    </row>
    <row r="45629" spans="6:6">
      <c r="F45629" s="2423"/>
    </row>
    <row r="45630" spans="6:6">
      <c r="F45630" s="2423"/>
    </row>
    <row r="45631" spans="6:6">
      <c r="F45631" s="2423"/>
    </row>
    <row r="45632" spans="6:6">
      <c r="F45632" s="2423"/>
    </row>
    <row r="45633" spans="6:6">
      <c r="F45633" s="2423"/>
    </row>
    <row r="45634" spans="6:6">
      <c r="F45634" s="2423"/>
    </row>
    <row r="45635" spans="6:6">
      <c r="F45635" s="2423"/>
    </row>
    <row r="45636" spans="6:6">
      <c r="F45636" s="2423"/>
    </row>
    <row r="45637" spans="6:6">
      <c r="F45637" s="2423"/>
    </row>
    <row r="45638" spans="6:6">
      <c r="F45638" s="2423"/>
    </row>
    <row r="45639" spans="6:6">
      <c r="F45639" s="2423"/>
    </row>
    <row r="45640" spans="6:6">
      <c r="F45640" s="2423"/>
    </row>
    <row r="45641" spans="6:6">
      <c r="F45641" s="2423"/>
    </row>
    <row r="45642" spans="6:6">
      <c r="F45642" s="2423"/>
    </row>
    <row r="45643" spans="6:6">
      <c r="F45643" s="2423"/>
    </row>
    <row r="45644" spans="6:6">
      <c r="F45644" s="2423"/>
    </row>
    <row r="45645" spans="6:6">
      <c r="F45645" s="2423"/>
    </row>
    <row r="45646" spans="6:6">
      <c r="F45646" s="2423"/>
    </row>
    <row r="45647" spans="6:6">
      <c r="F45647" s="2423"/>
    </row>
    <row r="45648" spans="6:6">
      <c r="F45648" s="2423"/>
    </row>
    <row r="45649" spans="6:6">
      <c r="F45649" s="2423"/>
    </row>
    <row r="45650" spans="6:6">
      <c r="F45650" s="2423"/>
    </row>
    <row r="45651" spans="6:6">
      <c r="F45651" s="2423"/>
    </row>
    <row r="45652" spans="6:6">
      <c r="F45652" s="2423"/>
    </row>
    <row r="45653" spans="6:6">
      <c r="F45653" s="2423"/>
    </row>
    <row r="45654" spans="6:6">
      <c r="F45654" s="2423"/>
    </row>
    <row r="45655" spans="6:6">
      <c r="F45655" s="2423"/>
    </row>
    <row r="45656" spans="6:6">
      <c r="F45656" s="2423"/>
    </row>
    <row r="45657" spans="6:6">
      <c r="F45657" s="2423"/>
    </row>
    <row r="45658" spans="6:6">
      <c r="F45658" s="2423"/>
    </row>
    <row r="45659" spans="6:6">
      <c r="F45659" s="2423"/>
    </row>
    <row r="45660" spans="6:6">
      <c r="F45660" s="2423"/>
    </row>
    <row r="45661" spans="6:6">
      <c r="F45661" s="2423"/>
    </row>
    <row r="45662" spans="6:6">
      <c r="F45662" s="2423"/>
    </row>
    <row r="45663" spans="6:6">
      <c r="F45663" s="2423"/>
    </row>
    <row r="45664" spans="6:6">
      <c r="F45664" s="2423"/>
    </row>
    <row r="45665" spans="6:6">
      <c r="F45665" s="2423"/>
    </row>
    <row r="45666" spans="6:6">
      <c r="F45666" s="2423"/>
    </row>
    <row r="45667" spans="6:6">
      <c r="F45667" s="2423"/>
    </row>
    <row r="45668" spans="6:6">
      <c r="F45668" s="2423"/>
    </row>
    <row r="45669" spans="6:6">
      <c r="F45669" s="2423"/>
    </row>
    <row r="45670" spans="6:6">
      <c r="F45670" s="2423"/>
    </row>
    <row r="45671" spans="6:6">
      <c r="F45671" s="2423"/>
    </row>
    <row r="45672" spans="6:6">
      <c r="F45672" s="2423"/>
    </row>
    <row r="45673" spans="6:6">
      <c r="F45673" s="2423"/>
    </row>
    <row r="45674" spans="6:6">
      <c r="F45674" s="2423"/>
    </row>
    <row r="45675" spans="6:6">
      <c r="F45675" s="2423"/>
    </row>
    <row r="45676" spans="6:6">
      <c r="F45676" s="2423"/>
    </row>
    <row r="45677" spans="6:6">
      <c r="F45677" s="2423"/>
    </row>
    <row r="45678" spans="6:6">
      <c r="F45678" s="2423"/>
    </row>
    <row r="45679" spans="6:6">
      <c r="F45679" s="2423"/>
    </row>
    <row r="45680" spans="6:6">
      <c r="F45680" s="2423"/>
    </row>
    <row r="45681" spans="6:6">
      <c r="F45681" s="2423"/>
    </row>
    <row r="45682" spans="6:6">
      <c r="F45682" s="2423"/>
    </row>
    <row r="45683" spans="6:6">
      <c r="F45683" s="2423"/>
    </row>
    <row r="45684" spans="6:6">
      <c r="F45684" s="2423"/>
    </row>
    <row r="45685" spans="6:6">
      <c r="F45685" s="2423"/>
    </row>
    <row r="45686" spans="6:6">
      <c r="F45686" s="2423"/>
    </row>
    <row r="45687" spans="6:6">
      <c r="F45687" s="2423"/>
    </row>
    <row r="45688" spans="6:6">
      <c r="F45688" s="2423"/>
    </row>
    <row r="45689" spans="6:6">
      <c r="F45689" s="2423"/>
    </row>
    <row r="45690" spans="6:6">
      <c r="F45690" s="2423"/>
    </row>
    <row r="45691" spans="6:6">
      <c r="F45691" s="2423"/>
    </row>
    <row r="45692" spans="6:6">
      <c r="F45692" s="2423"/>
    </row>
    <row r="45693" spans="6:6">
      <c r="F45693" s="2423"/>
    </row>
    <row r="45694" spans="6:6">
      <c r="F45694" s="2423"/>
    </row>
    <row r="45695" spans="6:6">
      <c r="F45695" s="2423"/>
    </row>
    <row r="45696" spans="6:6">
      <c r="F45696" s="2423"/>
    </row>
    <row r="45697" spans="6:6">
      <c r="F45697" s="2423"/>
    </row>
    <row r="45698" spans="6:6">
      <c r="F45698" s="2423"/>
    </row>
    <row r="45699" spans="6:6">
      <c r="F45699" s="2423"/>
    </row>
    <row r="45700" spans="6:6">
      <c r="F45700" s="2423"/>
    </row>
    <row r="45701" spans="6:6">
      <c r="F45701" s="2423"/>
    </row>
    <row r="45702" spans="6:6">
      <c r="F45702" s="2423"/>
    </row>
    <row r="45703" spans="6:6">
      <c r="F45703" s="2423"/>
    </row>
    <row r="45704" spans="6:6">
      <c r="F45704" s="2423"/>
    </row>
    <row r="45705" spans="6:6">
      <c r="F45705" s="2423"/>
    </row>
    <row r="45706" spans="6:6">
      <c r="F45706" s="2423"/>
    </row>
    <row r="45707" spans="6:6">
      <c r="F45707" s="2423"/>
    </row>
    <row r="45708" spans="6:6">
      <c r="F45708" s="2423"/>
    </row>
    <row r="45709" spans="6:6">
      <c r="F45709" s="2423"/>
    </row>
    <row r="45710" spans="6:6">
      <c r="F45710" s="2423"/>
    </row>
    <row r="45711" spans="6:6">
      <c r="F45711" s="2423"/>
    </row>
    <row r="45712" spans="6:6">
      <c r="F45712" s="2423"/>
    </row>
    <row r="45713" spans="6:6">
      <c r="F45713" s="2423"/>
    </row>
    <row r="45714" spans="6:6">
      <c r="F45714" s="2423"/>
    </row>
    <row r="45715" spans="6:6">
      <c r="F45715" s="2423"/>
    </row>
    <row r="45716" spans="6:6">
      <c r="F45716" s="2423"/>
    </row>
    <row r="45717" spans="6:6">
      <c r="F45717" s="2423"/>
    </row>
    <row r="45718" spans="6:6">
      <c r="F45718" s="2423"/>
    </row>
    <row r="45719" spans="6:6">
      <c r="F45719" s="2423"/>
    </row>
    <row r="45720" spans="6:6">
      <c r="F45720" s="2423"/>
    </row>
    <row r="45721" spans="6:6">
      <c r="F45721" s="2423"/>
    </row>
    <row r="45722" spans="6:6">
      <c r="F45722" s="2423"/>
    </row>
    <row r="45723" spans="6:6">
      <c r="F45723" s="2423"/>
    </row>
    <row r="45724" spans="6:6">
      <c r="F45724" s="2423"/>
    </row>
    <row r="45725" spans="6:6">
      <c r="F45725" s="2423"/>
    </row>
    <row r="45726" spans="6:6">
      <c r="F45726" s="2423"/>
    </row>
    <row r="45727" spans="6:6">
      <c r="F45727" s="2423"/>
    </row>
    <row r="45728" spans="6:6">
      <c r="F45728" s="2423"/>
    </row>
    <row r="45729" spans="6:6">
      <c r="F45729" s="2423"/>
    </row>
    <row r="45730" spans="6:6">
      <c r="F45730" s="2423"/>
    </row>
    <row r="45731" spans="6:6">
      <c r="F45731" s="2423"/>
    </row>
    <row r="45732" spans="6:6">
      <c r="F45732" s="2423"/>
    </row>
    <row r="45733" spans="6:6">
      <c r="F45733" s="2423"/>
    </row>
    <row r="45734" spans="6:6">
      <c r="F45734" s="2423"/>
    </row>
    <row r="45735" spans="6:6">
      <c r="F45735" s="2423"/>
    </row>
    <row r="45736" spans="6:6">
      <c r="F45736" s="2423"/>
    </row>
    <row r="45737" spans="6:6">
      <c r="F45737" s="2423"/>
    </row>
    <row r="45738" spans="6:6">
      <c r="F45738" s="2423"/>
    </row>
    <row r="45739" spans="6:6">
      <c r="F45739" s="2423"/>
    </row>
    <row r="45740" spans="6:6">
      <c r="F45740" s="2423"/>
    </row>
    <row r="45741" spans="6:6">
      <c r="F45741" s="2423"/>
    </row>
    <row r="45742" spans="6:6">
      <c r="F45742" s="2423"/>
    </row>
    <row r="45743" spans="6:6">
      <c r="F45743" s="2423"/>
    </row>
    <row r="45744" spans="6:6">
      <c r="F45744" s="2423"/>
    </row>
    <row r="45745" spans="6:6">
      <c r="F45745" s="2423"/>
    </row>
    <row r="45746" spans="6:6">
      <c r="F45746" s="2423"/>
    </row>
    <row r="45747" spans="6:6">
      <c r="F45747" s="2423"/>
    </row>
    <row r="45748" spans="6:6">
      <c r="F45748" s="2423"/>
    </row>
    <row r="45749" spans="6:6">
      <c r="F45749" s="2423"/>
    </row>
    <row r="45750" spans="6:6">
      <c r="F45750" s="2423"/>
    </row>
    <row r="45751" spans="6:6">
      <c r="F45751" s="2423"/>
    </row>
    <row r="45752" spans="6:6">
      <c r="F45752" s="2423"/>
    </row>
    <row r="45753" spans="6:6">
      <c r="F45753" s="2423"/>
    </row>
    <row r="45754" spans="6:6">
      <c r="F45754" s="2423"/>
    </row>
    <row r="45755" spans="6:6">
      <c r="F45755" s="2423"/>
    </row>
    <row r="45756" spans="6:6">
      <c r="F45756" s="2423"/>
    </row>
    <row r="45757" spans="6:6">
      <c r="F45757" s="2423"/>
    </row>
    <row r="45758" spans="6:6">
      <c r="F45758" s="2423"/>
    </row>
    <row r="45759" spans="6:6">
      <c r="F45759" s="2423"/>
    </row>
    <row r="45760" spans="6:6">
      <c r="F45760" s="2423"/>
    </row>
    <row r="45761" spans="6:6">
      <c r="F45761" s="2423"/>
    </row>
    <row r="45762" spans="6:6">
      <c r="F45762" s="2423"/>
    </row>
    <row r="45763" spans="6:6">
      <c r="F45763" s="2423"/>
    </row>
    <row r="45764" spans="6:6">
      <c r="F45764" s="2423"/>
    </row>
    <row r="45765" spans="6:6">
      <c r="F45765" s="2423"/>
    </row>
    <row r="45766" spans="6:6">
      <c r="F45766" s="2423"/>
    </row>
    <row r="45767" spans="6:6">
      <c r="F45767" s="2423"/>
    </row>
    <row r="45768" spans="6:6">
      <c r="F45768" s="2423"/>
    </row>
    <row r="45769" spans="6:6">
      <c r="F45769" s="2423"/>
    </row>
    <row r="45770" spans="6:6">
      <c r="F45770" s="2423"/>
    </row>
    <row r="45771" spans="6:6">
      <c r="F45771" s="2423"/>
    </row>
    <row r="45772" spans="6:6">
      <c r="F45772" s="2423"/>
    </row>
    <row r="45773" spans="6:6">
      <c r="F45773" s="2423"/>
    </row>
    <row r="45774" spans="6:6">
      <c r="F45774" s="2423"/>
    </row>
    <row r="45775" spans="6:6">
      <c r="F45775" s="2423"/>
    </row>
    <row r="45776" spans="6:6">
      <c r="F45776" s="2423"/>
    </row>
    <row r="45777" spans="6:6">
      <c r="F45777" s="2423"/>
    </row>
    <row r="45778" spans="6:6">
      <c r="F45778" s="2423"/>
    </row>
    <row r="45779" spans="6:6">
      <c r="F45779" s="2423"/>
    </row>
    <row r="45780" spans="6:6">
      <c r="F45780" s="2423"/>
    </row>
    <row r="45781" spans="6:6">
      <c r="F45781" s="2423"/>
    </row>
    <row r="45782" spans="6:6">
      <c r="F45782" s="2423"/>
    </row>
    <row r="45783" spans="6:6">
      <c r="F45783" s="2423"/>
    </row>
    <row r="45784" spans="6:6">
      <c r="F45784" s="2423"/>
    </row>
    <row r="45785" spans="6:6">
      <c r="F45785" s="2423"/>
    </row>
    <row r="45786" spans="6:6">
      <c r="F45786" s="2423"/>
    </row>
    <row r="45787" spans="6:6">
      <c r="F45787" s="2423"/>
    </row>
    <row r="45788" spans="6:6">
      <c r="F45788" s="2423"/>
    </row>
    <row r="45789" spans="6:6">
      <c r="F45789" s="2423"/>
    </row>
    <row r="45790" spans="6:6">
      <c r="F45790" s="2423"/>
    </row>
    <row r="45791" spans="6:6">
      <c r="F45791" s="2423"/>
    </row>
    <row r="45792" spans="6:6">
      <c r="F45792" s="2423"/>
    </row>
    <row r="45793" spans="6:6">
      <c r="F45793" s="2423"/>
    </row>
    <row r="45794" spans="6:6">
      <c r="F45794" s="2423"/>
    </row>
    <row r="45795" spans="6:6">
      <c r="F45795" s="2423"/>
    </row>
    <row r="45796" spans="6:6">
      <c r="F45796" s="2423"/>
    </row>
    <row r="45797" spans="6:6">
      <c r="F45797" s="2423"/>
    </row>
    <row r="45798" spans="6:6">
      <c r="F45798" s="2423"/>
    </row>
    <row r="45799" spans="6:6">
      <c r="F45799" s="2423"/>
    </row>
    <row r="45800" spans="6:6">
      <c r="F45800" s="2423"/>
    </row>
    <row r="45801" spans="6:6">
      <c r="F45801" s="2423"/>
    </row>
    <row r="45802" spans="6:6">
      <c r="F45802" s="2423"/>
    </row>
    <row r="45803" spans="6:6">
      <c r="F45803" s="2423"/>
    </row>
    <row r="45804" spans="6:6">
      <c r="F45804" s="2423"/>
    </row>
    <row r="45805" spans="6:6">
      <c r="F45805" s="2423"/>
    </row>
    <row r="45806" spans="6:6">
      <c r="F45806" s="2423"/>
    </row>
    <row r="45807" spans="6:6">
      <c r="F45807" s="2423"/>
    </row>
    <row r="45808" spans="6:6">
      <c r="F45808" s="2423"/>
    </row>
    <row r="45809" spans="6:6">
      <c r="F45809" s="2423"/>
    </row>
    <row r="45810" spans="6:6">
      <c r="F45810" s="2423"/>
    </row>
    <row r="45811" spans="6:6">
      <c r="F45811" s="2423"/>
    </row>
    <row r="45812" spans="6:6">
      <c r="F45812" s="2423"/>
    </row>
    <row r="45813" spans="6:6">
      <c r="F45813" s="2423"/>
    </row>
    <row r="45814" spans="6:6">
      <c r="F45814" s="2423"/>
    </row>
    <row r="45815" spans="6:6">
      <c r="F45815" s="2423"/>
    </row>
    <row r="45816" spans="6:6">
      <c r="F45816" s="2423"/>
    </row>
    <row r="45817" spans="6:6">
      <c r="F45817" s="2423"/>
    </row>
    <row r="45818" spans="6:6">
      <c r="F45818" s="2423"/>
    </row>
    <row r="45819" spans="6:6">
      <c r="F45819" s="2423"/>
    </row>
    <row r="45820" spans="6:6">
      <c r="F45820" s="2423"/>
    </row>
    <row r="45821" spans="6:6">
      <c r="F45821" s="2423"/>
    </row>
    <row r="45822" spans="6:6">
      <c r="F45822" s="2423"/>
    </row>
    <row r="45823" spans="6:6">
      <c r="F45823" s="2423"/>
    </row>
    <row r="45824" spans="6:6">
      <c r="F45824" s="2423"/>
    </row>
    <row r="45825" spans="6:6">
      <c r="F45825" s="2423"/>
    </row>
    <row r="45826" spans="6:6">
      <c r="F45826" s="2423"/>
    </row>
    <row r="45827" spans="6:6">
      <c r="F45827" s="2423"/>
    </row>
    <row r="45828" spans="6:6">
      <c r="F45828" s="2423"/>
    </row>
    <row r="45829" spans="6:6">
      <c r="F45829" s="2423"/>
    </row>
    <row r="45830" spans="6:6">
      <c r="F45830" s="2423"/>
    </row>
    <row r="45831" spans="6:6">
      <c r="F45831" s="2423"/>
    </row>
    <row r="45832" spans="6:6">
      <c r="F45832" s="2423"/>
    </row>
    <row r="45833" spans="6:6">
      <c r="F45833" s="2423"/>
    </row>
    <row r="45834" spans="6:6">
      <c r="F45834" s="2423"/>
    </row>
    <row r="45835" spans="6:6">
      <c r="F45835" s="2423"/>
    </row>
    <row r="45836" spans="6:6">
      <c r="F45836" s="2423"/>
    </row>
    <row r="45837" spans="6:6">
      <c r="F45837" s="2423"/>
    </row>
    <row r="45838" spans="6:6">
      <c r="F45838" s="2423"/>
    </row>
    <row r="45839" spans="6:6">
      <c r="F45839" s="2423"/>
    </row>
    <row r="45840" spans="6:6">
      <c r="F45840" s="2423"/>
    </row>
    <row r="45841" spans="6:6">
      <c r="F45841" s="2423"/>
    </row>
    <row r="45842" spans="6:6">
      <c r="F45842" s="2423"/>
    </row>
    <row r="45843" spans="6:6">
      <c r="F45843" s="2423"/>
    </row>
    <row r="45844" spans="6:6">
      <c r="F45844" s="2423"/>
    </row>
    <row r="45845" spans="6:6">
      <c r="F45845" s="2423"/>
    </row>
    <row r="45846" spans="6:6">
      <c r="F45846" s="2423"/>
    </row>
    <row r="45847" spans="6:6">
      <c r="F45847" s="2423"/>
    </row>
    <row r="45848" spans="6:6">
      <c r="F45848" s="2423"/>
    </row>
    <row r="45849" spans="6:6">
      <c r="F45849" s="2423"/>
    </row>
    <row r="45850" spans="6:6">
      <c r="F45850" s="2423"/>
    </row>
    <row r="45851" spans="6:6">
      <c r="F45851" s="2423"/>
    </row>
    <row r="45852" spans="6:6">
      <c r="F45852" s="2423"/>
    </row>
    <row r="45853" spans="6:6">
      <c r="F45853" s="2423"/>
    </row>
    <row r="45854" spans="6:6">
      <c r="F45854" s="2423"/>
    </row>
    <row r="45855" spans="6:6">
      <c r="F45855" s="2423"/>
    </row>
    <row r="45856" spans="6:6">
      <c r="F45856" s="2423"/>
    </row>
    <row r="45857" spans="6:6">
      <c r="F45857" s="2423"/>
    </row>
    <row r="45858" spans="6:6">
      <c r="F45858" s="2423"/>
    </row>
    <row r="45859" spans="6:6">
      <c r="F45859" s="2423"/>
    </row>
    <row r="45860" spans="6:6">
      <c r="F45860" s="2423"/>
    </row>
    <row r="45861" spans="6:6">
      <c r="F45861" s="2423"/>
    </row>
    <row r="45862" spans="6:6">
      <c r="F45862" s="2423"/>
    </row>
    <row r="45863" spans="6:6">
      <c r="F45863" s="2423"/>
    </row>
    <row r="45864" spans="6:6">
      <c r="F45864" s="2423"/>
    </row>
    <row r="45865" spans="6:6">
      <c r="F45865" s="2423"/>
    </row>
    <row r="45866" spans="6:6">
      <c r="F45866" s="2423"/>
    </row>
    <row r="45867" spans="6:6">
      <c r="F45867" s="2423"/>
    </row>
    <row r="45868" spans="6:6">
      <c r="F45868" s="2423"/>
    </row>
    <row r="45869" spans="6:6">
      <c r="F45869" s="2423"/>
    </row>
    <row r="45870" spans="6:6">
      <c r="F45870" s="2423"/>
    </row>
    <row r="45871" spans="6:6">
      <c r="F45871" s="2423"/>
    </row>
    <row r="45872" spans="6:6">
      <c r="F45872" s="2423"/>
    </row>
    <row r="45873" spans="6:6">
      <c r="F45873" s="2423"/>
    </row>
    <row r="45874" spans="6:6">
      <c r="F45874" s="2423"/>
    </row>
    <row r="45875" spans="6:6">
      <c r="F45875" s="2423"/>
    </row>
    <row r="45876" spans="6:6">
      <c r="F45876" s="2423"/>
    </row>
    <row r="45877" spans="6:6">
      <c r="F45877" s="2423"/>
    </row>
    <row r="45878" spans="6:6">
      <c r="F45878" s="2423"/>
    </row>
    <row r="45879" spans="6:6">
      <c r="F45879" s="2423"/>
    </row>
    <row r="45880" spans="6:6">
      <c r="F45880" s="2423"/>
    </row>
    <row r="45881" spans="6:6">
      <c r="F45881" s="2423"/>
    </row>
    <row r="45882" spans="6:6">
      <c r="F45882" s="2423"/>
    </row>
    <row r="45883" spans="6:6">
      <c r="F45883" s="2423"/>
    </row>
    <row r="45884" spans="6:6">
      <c r="F45884" s="2423"/>
    </row>
    <row r="45885" spans="6:6">
      <c r="F45885" s="2423"/>
    </row>
    <row r="45886" spans="6:6">
      <c r="F45886" s="2423"/>
    </row>
    <row r="45887" spans="6:6">
      <c r="F45887" s="2423"/>
    </row>
    <row r="45888" spans="6:6">
      <c r="F45888" s="2423"/>
    </row>
    <row r="45889" spans="6:6">
      <c r="F45889" s="2423"/>
    </row>
    <row r="45890" spans="6:6">
      <c r="F45890" s="2423"/>
    </row>
    <row r="45891" spans="6:6">
      <c r="F45891" s="2423"/>
    </row>
    <row r="45892" spans="6:6">
      <c r="F45892" s="2423"/>
    </row>
    <row r="45893" spans="6:6">
      <c r="F45893" s="2423"/>
    </row>
    <row r="45894" spans="6:6">
      <c r="F45894" s="2423"/>
    </row>
    <row r="45895" spans="6:6">
      <c r="F45895" s="2423"/>
    </row>
    <row r="45896" spans="6:6">
      <c r="F45896" s="2423"/>
    </row>
    <row r="45897" spans="6:6">
      <c r="F45897" s="2423"/>
    </row>
    <row r="45898" spans="6:6">
      <c r="F45898" s="2423"/>
    </row>
    <row r="45899" spans="6:6">
      <c r="F45899" s="2423"/>
    </row>
    <row r="45900" spans="6:6">
      <c r="F45900" s="2423"/>
    </row>
    <row r="45901" spans="6:6">
      <c r="F45901" s="2423"/>
    </row>
    <row r="45902" spans="6:6">
      <c r="F45902" s="2423"/>
    </row>
    <row r="45903" spans="6:6">
      <c r="F45903" s="2423"/>
    </row>
    <row r="45904" spans="6:6">
      <c r="F45904" s="2423"/>
    </row>
    <row r="45905" spans="6:6">
      <c r="F45905" s="2423"/>
    </row>
    <row r="45906" spans="6:6">
      <c r="F45906" s="2423"/>
    </row>
    <row r="45907" spans="6:6">
      <c r="F45907" s="2423"/>
    </row>
    <row r="45908" spans="6:6">
      <c r="F45908" s="2423"/>
    </row>
    <row r="45909" spans="6:6">
      <c r="F45909" s="2423"/>
    </row>
    <row r="45910" spans="6:6">
      <c r="F45910" s="2423"/>
    </row>
    <row r="45911" spans="6:6">
      <c r="F45911" s="2423"/>
    </row>
    <row r="45912" spans="6:6">
      <c r="F45912" s="2423"/>
    </row>
    <row r="45913" spans="6:6">
      <c r="F45913" s="2423"/>
    </row>
    <row r="45914" spans="6:6">
      <c r="F45914" s="2423"/>
    </row>
    <row r="45915" spans="6:6">
      <c r="F45915" s="2423"/>
    </row>
    <row r="45916" spans="6:6">
      <c r="F45916" s="2423"/>
    </row>
    <row r="45917" spans="6:6">
      <c r="F45917" s="2423"/>
    </row>
    <row r="45918" spans="6:6">
      <c r="F45918" s="2423"/>
    </row>
    <row r="45919" spans="6:6">
      <c r="F45919" s="2423"/>
    </row>
    <row r="45920" spans="6:6">
      <c r="F45920" s="2423"/>
    </row>
    <row r="45921" spans="6:6">
      <c r="F45921" s="2423"/>
    </row>
    <row r="45922" spans="6:6">
      <c r="F45922" s="2423"/>
    </row>
    <row r="45923" spans="6:6">
      <c r="F45923" s="2423"/>
    </row>
    <row r="45924" spans="6:6">
      <c r="F45924" s="2423"/>
    </row>
    <row r="45925" spans="6:6">
      <c r="F45925" s="2423"/>
    </row>
    <row r="45926" spans="6:6">
      <c r="F45926" s="2423"/>
    </row>
    <row r="45927" spans="6:6">
      <c r="F45927" s="2423"/>
    </row>
    <row r="45928" spans="6:6">
      <c r="F45928" s="2423"/>
    </row>
    <row r="45929" spans="6:6">
      <c r="F45929" s="2423"/>
    </row>
    <row r="45930" spans="6:6">
      <c r="F45930" s="2423"/>
    </row>
    <row r="45931" spans="6:6">
      <c r="F45931" s="2423"/>
    </row>
    <row r="45932" spans="6:6">
      <c r="F45932" s="2423"/>
    </row>
    <row r="45933" spans="6:6">
      <c r="F45933" s="2423"/>
    </row>
    <row r="45934" spans="6:6">
      <c r="F45934" s="2423"/>
    </row>
    <row r="45935" spans="6:6">
      <c r="F45935" s="2423"/>
    </row>
    <row r="45936" spans="6:6">
      <c r="F45936" s="2423"/>
    </row>
    <row r="45937" spans="6:6">
      <c r="F45937" s="2423"/>
    </row>
    <row r="45938" spans="6:6">
      <c r="F45938" s="2423"/>
    </row>
    <row r="45939" spans="6:6">
      <c r="F45939" s="2423"/>
    </row>
    <row r="45940" spans="6:6">
      <c r="F45940" s="2423"/>
    </row>
    <row r="45941" spans="6:6">
      <c r="F45941" s="2423"/>
    </row>
    <row r="45942" spans="6:6">
      <c r="F45942" s="2423"/>
    </row>
    <row r="45943" spans="6:6">
      <c r="F45943" s="2423"/>
    </row>
    <row r="45944" spans="6:6">
      <c r="F45944" s="2423"/>
    </row>
    <row r="45945" spans="6:6">
      <c r="F45945" s="2423"/>
    </row>
    <row r="45946" spans="6:6">
      <c r="F45946" s="2423"/>
    </row>
    <row r="45947" spans="6:6">
      <c r="F45947" s="2423"/>
    </row>
    <row r="45948" spans="6:6">
      <c r="F45948" s="2423"/>
    </row>
    <row r="45949" spans="6:6">
      <c r="F45949" s="2423"/>
    </row>
    <row r="45950" spans="6:6">
      <c r="F45950" s="2423"/>
    </row>
    <row r="45951" spans="6:6">
      <c r="F45951" s="2423"/>
    </row>
    <row r="45952" spans="6:6">
      <c r="F45952" s="2423"/>
    </row>
    <row r="45953" spans="6:6">
      <c r="F45953" s="2423"/>
    </row>
    <row r="45954" spans="6:6">
      <c r="F45954" s="2423"/>
    </row>
    <row r="45955" spans="6:6">
      <c r="F45955" s="2423"/>
    </row>
    <row r="45956" spans="6:6">
      <c r="F45956" s="2423"/>
    </row>
    <row r="45957" spans="6:6">
      <c r="F45957" s="2423"/>
    </row>
    <row r="45958" spans="6:6">
      <c r="F45958" s="2423"/>
    </row>
    <row r="45959" spans="6:6">
      <c r="F45959" s="2423"/>
    </row>
    <row r="45960" spans="6:6">
      <c r="F45960" s="2423"/>
    </row>
    <row r="45961" spans="6:6">
      <c r="F45961" s="2423"/>
    </row>
    <row r="45962" spans="6:6">
      <c r="F45962" s="2423"/>
    </row>
    <row r="45963" spans="6:6">
      <c r="F45963" s="2423"/>
    </row>
    <row r="45964" spans="6:6">
      <c r="F45964" s="2423"/>
    </row>
    <row r="45965" spans="6:6">
      <c r="F45965" s="2423"/>
    </row>
    <row r="45966" spans="6:6">
      <c r="F45966" s="2423"/>
    </row>
    <row r="45967" spans="6:6">
      <c r="F45967" s="2423"/>
    </row>
    <row r="45968" spans="6:6">
      <c r="F45968" s="2423"/>
    </row>
    <row r="45969" spans="6:6">
      <c r="F45969" s="2423"/>
    </row>
    <row r="45970" spans="6:6">
      <c r="F45970" s="2423"/>
    </row>
    <row r="45971" spans="6:6">
      <c r="F45971" s="2423"/>
    </row>
    <row r="45972" spans="6:6">
      <c r="F45972" s="2423"/>
    </row>
    <row r="45973" spans="6:6">
      <c r="F45973" s="2423"/>
    </row>
    <row r="45974" spans="6:6">
      <c r="F45974" s="2423"/>
    </row>
    <row r="45975" spans="6:6">
      <c r="F45975" s="2423"/>
    </row>
    <row r="45976" spans="6:6">
      <c r="F45976" s="2423"/>
    </row>
    <row r="45977" spans="6:6">
      <c r="F45977" s="2423"/>
    </row>
    <row r="45978" spans="6:6">
      <c r="F45978" s="2423"/>
    </row>
    <row r="45979" spans="6:6">
      <c r="F45979" s="2423"/>
    </row>
    <row r="45980" spans="6:6">
      <c r="F45980" s="2423"/>
    </row>
    <row r="45981" spans="6:6">
      <c r="F45981" s="2423"/>
    </row>
    <row r="45982" spans="6:6">
      <c r="F45982" s="2423"/>
    </row>
    <row r="45983" spans="6:6">
      <c r="F45983" s="2423"/>
    </row>
    <row r="45984" spans="6:6">
      <c r="F45984" s="2423"/>
    </row>
    <row r="45985" spans="6:6">
      <c r="F45985" s="2423"/>
    </row>
    <row r="45986" spans="6:6">
      <c r="F45986" s="2423"/>
    </row>
    <row r="45987" spans="6:6">
      <c r="F45987" s="2423"/>
    </row>
    <row r="45988" spans="6:6">
      <c r="F45988" s="2423"/>
    </row>
    <row r="45989" spans="6:6">
      <c r="F45989" s="2423"/>
    </row>
    <row r="45990" spans="6:6">
      <c r="F45990" s="2423"/>
    </row>
    <row r="45991" spans="6:6">
      <c r="F45991" s="2423"/>
    </row>
    <row r="45992" spans="6:6">
      <c r="F45992" s="2423"/>
    </row>
    <row r="45993" spans="6:6">
      <c r="F45993" s="2423"/>
    </row>
    <row r="45994" spans="6:6">
      <c r="F45994" s="2423"/>
    </row>
    <row r="45995" spans="6:6">
      <c r="F45995" s="2423"/>
    </row>
    <row r="45996" spans="6:6">
      <c r="F45996" s="2423"/>
    </row>
    <row r="45997" spans="6:6">
      <c r="F45997" s="2423"/>
    </row>
    <row r="45998" spans="6:6">
      <c r="F45998" s="2423"/>
    </row>
    <row r="45999" spans="6:6">
      <c r="F45999" s="2423"/>
    </row>
    <row r="46000" spans="6:6">
      <c r="F46000" s="2423"/>
    </row>
    <row r="46001" spans="6:6">
      <c r="F46001" s="2423"/>
    </row>
    <row r="46002" spans="6:6">
      <c r="F46002" s="2423"/>
    </row>
    <row r="46003" spans="6:6">
      <c r="F46003" s="2423"/>
    </row>
    <row r="46004" spans="6:6">
      <c r="F46004" s="2423"/>
    </row>
    <row r="46005" spans="6:6">
      <c r="F46005" s="2423"/>
    </row>
    <row r="46006" spans="6:6">
      <c r="F46006" s="2423"/>
    </row>
    <row r="46007" spans="6:6">
      <c r="F46007" s="2423"/>
    </row>
    <row r="46008" spans="6:6">
      <c r="F46008" s="2423"/>
    </row>
    <row r="46009" spans="6:6">
      <c r="F46009" s="2423"/>
    </row>
    <row r="46010" spans="6:6">
      <c r="F46010" s="2423"/>
    </row>
    <row r="46011" spans="6:6">
      <c r="F46011" s="2423"/>
    </row>
    <row r="46012" spans="6:6">
      <c r="F46012" s="2423"/>
    </row>
    <row r="46013" spans="6:6">
      <c r="F46013" s="2423"/>
    </row>
    <row r="46014" spans="6:6">
      <c r="F46014" s="2423"/>
    </row>
    <row r="46015" spans="6:6">
      <c r="F46015" s="2423"/>
    </row>
    <row r="46016" spans="6:6">
      <c r="F46016" s="2423"/>
    </row>
    <row r="46017" spans="6:6">
      <c r="F46017" s="2423"/>
    </row>
    <row r="46018" spans="6:6">
      <c r="F46018" s="2423"/>
    </row>
    <row r="46019" spans="6:6">
      <c r="F46019" s="2423"/>
    </row>
    <row r="46020" spans="6:6">
      <c r="F46020" s="2423"/>
    </row>
    <row r="46021" spans="6:6">
      <c r="F46021" s="2423"/>
    </row>
    <row r="46022" spans="6:6">
      <c r="F46022" s="2423"/>
    </row>
    <row r="46023" spans="6:6">
      <c r="F46023" s="2423"/>
    </row>
    <row r="46024" spans="6:6">
      <c r="F46024" s="2423"/>
    </row>
    <row r="46025" spans="6:6">
      <c r="F46025" s="2423"/>
    </row>
    <row r="46026" spans="6:6">
      <c r="F46026" s="2423"/>
    </row>
    <row r="46027" spans="6:6">
      <c r="F46027" s="2423"/>
    </row>
    <row r="46028" spans="6:6">
      <c r="F46028" s="2423"/>
    </row>
    <row r="46029" spans="6:6">
      <c r="F46029" s="2423"/>
    </row>
    <row r="46030" spans="6:6">
      <c r="F46030" s="2423"/>
    </row>
    <row r="46031" spans="6:6">
      <c r="F46031" s="2423"/>
    </row>
    <row r="46032" spans="6:6">
      <c r="F46032" s="2423"/>
    </row>
    <row r="46033" spans="6:6">
      <c r="F46033" s="2423"/>
    </row>
    <row r="46034" spans="6:6">
      <c r="F46034" s="2423"/>
    </row>
    <row r="46035" spans="6:6">
      <c r="F46035" s="2423"/>
    </row>
    <row r="46036" spans="6:6">
      <c r="F46036" s="2423"/>
    </row>
    <row r="46037" spans="6:6">
      <c r="F46037" s="2423"/>
    </row>
    <row r="46038" spans="6:6">
      <c r="F46038" s="2423"/>
    </row>
    <row r="46039" spans="6:6">
      <c r="F46039" s="2423"/>
    </row>
    <row r="46040" spans="6:6">
      <c r="F46040" s="2423"/>
    </row>
    <row r="46041" spans="6:6">
      <c r="F46041" s="2423"/>
    </row>
    <row r="46042" spans="6:6">
      <c r="F46042" s="2423"/>
    </row>
    <row r="46043" spans="6:6">
      <c r="F46043" s="2423"/>
    </row>
    <row r="46044" spans="6:6">
      <c r="F46044" s="2423"/>
    </row>
    <row r="46045" spans="6:6">
      <c r="F46045" s="2423"/>
    </row>
    <row r="46046" spans="6:6">
      <c r="F46046" s="2423"/>
    </row>
    <row r="46047" spans="6:6">
      <c r="F46047" s="2423"/>
    </row>
    <row r="46048" spans="6:6">
      <c r="F46048" s="2423"/>
    </row>
    <row r="46049" spans="6:6">
      <c r="F46049" s="2423"/>
    </row>
    <row r="46050" spans="6:6">
      <c r="F46050" s="2423"/>
    </row>
    <row r="46051" spans="6:6">
      <c r="F46051" s="2423"/>
    </row>
    <row r="46052" spans="6:6">
      <c r="F46052" s="2423"/>
    </row>
    <row r="46053" spans="6:6">
      <c r="F46053" s="2423"/>
    </row>
    <row r="46054" spans="6:6">
      <c r="F46054" s="2423"/>
    </row>
    <row r="46055" spans="6:6">
      <c r="F46055" s="2423"/>
    </row>
    <row r="46056" spans="6:6">
      <c r="F46056" s="2423"/>
    </row>
    <row r="46057" spans="6:6">
      <c r="F46057" s="2423"/>
    </row>
    <row r="46058" spans="6:6">
      <c r="F46058" s="2423"/>
    </row>
    <row r="46059" spans="6:6">
      <c r="F46059" s="2423"/>
    </row>
    <row r="46060" spans="6:6">
      <c r="F46060" s="2423"/>
    </row>
    <row r="46061" spans="6:6">
      <c r="F46061" s="2423"/>
    </row>
    <row r="46062" spans="6:6">
      <c r="F46062" s="2423"/>
    </row>
    <row r="46063" spans="6:6">
      <c r="F46063" s="2423"/>
    </row>
    <row r="46064" spans="6:6">
      <c r="F46064" s="2423"/>
    </row>
    <row r="46065" spans="6:6">
      <c r="F46065" s="2423"/>
    </row>
    <row r="46066" spans="6:6">
      <c r="F46066" s="2423"/>
    </row>
    <row r="46067" spans="6:6">
      <c r="F46067" s="2423"/>
    </row>
    <row r="46068" spans="6:6">
      <c r="F46068" s="2423"/>
    </row>
    <row r="46069" spans="6:6">
      <c r="F46069" s="2423"/>
    </row>
    <row r="46070" spans="6:6">
      <c r="F46070" s="2423"/>
    </row>
    <row r="46071" spans="6:6">
      <c r="F46071" s="2423"/>
    </row>
    <row r="46072" spans="6:6">
      <c r="F46072" s="2423"/>
    </row>
    <row r="46073" spans="6:6">
      <c r="F46073" s="2423"/>
    </row>
    <row r="46074" spans="6:6">
      <c r="F46074" s="2423"/>
    </row>
    <row r="46075" spans="6:6">
      <c r="F46075" s="2423"/>
    </row>
    <row r="46076" spans="6:6">
      <c r="F46076" s="2423"/>
    </row>
    <row r="46077" spans="6:6">
      <c r="F46077" s="2423"/>
    </row>
    <row r="46078" spans="6:6">
      <c r="F46078" s="2423"/>
    </row>
    <row r="46079" spans="6:6">
      <c r="F46079" s="2423"/>
    </row>
    <row r="46080" spans="6:6">
      <c r="F46080" s="2423"/>
    </row>
    <row r="46081" spans="6:6">
      <c r="F46081" s="2423"/>
    </row>
    <row r="46082" spans="6:6">
      <c r="F46082" s="2423"/>
    </row>
    <row r="46083" spans="6:6">
      <c r="F46083" s="2423"/>
    </row>
    <row r="46084" spans="6:6">
      <c r="F46084" s="2423"/>
    </row>
    <row r="46085" spans="6:6">
      <c r="F46085" s="2423"/>
    </row>
    <row r="46086" spans="6:6">
      <c r="F46086" s="2423"/>
    </row>
    <row r="46087" spans="6:6">
      <c r="F46087" s="2423"/>
    </row>
    <row r="46088" spans="6:6">
      <c r="F46088" s="2423"/>
    </row>
    <row r="46089" spans="6:6">
      <c r="F46089" s="2423"/>
    </row>
    <row r="46090" spans="6:6">
      <c r="F46090" s="2423"/>
    </row>
    <row r="46091" spans="6:6">
      <c r="F46091" s="2423"/>
    </row>
    <row r="46092" spans="6:6">
      <c r="F46092" s="2423"/>
    </row>
    <row r="46093" spans="6:6">
      <c r="F46093" s="2423"/>
    </row>
    <row r="46094" spans="6:6">
      <c r="F46094" s="2423"/>
    </row>
    <row r="46095" spans="6:6">
      <c r="F46095" s="2423"/>
    </row>
    <row r="46096" spans="6:6">
      <c r="F46096" s="2423"/>
    </row>
    <row r="46097" spans="6:6">
      <c r="F46097" s="2423"/>
    </row>
    <row r="46098" spans="6:6">
      <c r="F46098" s="2423"/>
    </row>
    <row r="46099" spans="6:6">
      <c r="F46099" s="2423"/>
    </row>
    <row r="46100" spans="6:6">
      <c r="F46100" s="2423"/>
    </row>
    <row r="46101" spans="6:6">
      <c r="F46101" s="2423"/>
    </row>
    <row r="46102" spans="6:6">
      <c r="F46102" s="2423"/>
    </row>
    <row r="46103" spans="6:6">
      <c r="F46103" s="2423"/>
    </row>
    <row r="46104" spans="6:6">
      <c r="F46104" s="2423"/>
    </row>
    <row r="46105" spans="6:6">
      <c r="F46105" s="2423"/>
    </row>
    <row r="46106" spans="6:6">
      <c r="F46106" s="2423"/>
    </row>
    <row r="46107" spans="6:6">
      <c r="F46107" s="2423"/>
    </row>
    <row r="46108" spans="6:6">
      <c r="F46108" s="2423"/>
    </row>
    <row r="46109" spans="6:6">
      <c r="F46109" s="2423"/>
    </row>
    <row r="46110" spans="6:6">
      <c r="F46110" s="2423"/>
    </row>
    <row r="46111" spans="6:6">
      <c r="F46111" s="2423"/>
    </row>
    <row r="46112" spans="6:6">
      <c r="F46112" s="2423"/>
    </row>
    <row r="46113" spans="6:6">
      <c r="F46113" s="2423"/>
    </row>
    <row r="46114" spans="6:6">
      <c r="F46114" s="2423"/>
    </row>
    <row r="46115" spans="6:6">
      <c r="F46115" s="2423"/>
    </row>
    <row r="46116" spans="6:6">
      <c r="F46116" s="2423"/>
    </row>
    <row r="46117" spans="6:6">
      <c r="F46117" s="2423"/>
    </row>
    <row r="46118" spans="6:6">
      <c r="F46118" s="2423"/>
    </row>
    <row r="46119" spans="6:6">
      <c r="F46119" s="2423"/>
    </row>
    <row r="46120" spans="6:6">
      <c r="F46120" s="2423"/>
    </row>
    <row r="46121" spans="6:6">
      <c r="F46121" s="2423"/>
    </row>
    <row r="46122" spans="6:6">
      <c r="F46122" s="2423"/>
    </row>
    <row r="46123" spans="6:6">
      <c r="F46123" s="2423"/>
    </row>
    <row r="46124" spans="6:6">
      <c r="F46124" s="2423"/>
    </row>
    <row r="46125" spans="6:6">
      <c r="F46125" s="2423"/>
    </row>
    <row r="46126" spans="6:6">
      <c r="F46126" s="2423"/>
    </row>
    <row r="46127" spans="6:6">
      <c r="F46127" s="2423"/>
    </row>
    <row r="46128" spans="6:6">
      <c r="F46128" s="2423"/>
    </row>
    <row r="46129" spans="6:6">
      <c r="F46129" s="2423"/>
    </row>
    <row r="46130" spans="6:6">
      <c r="F46130" s="2423"/>
    </row>
    <row r="46131" spans="6:6">
      <c r="F46131" s="2423"/>
    </row>
    <row r="46132" spans="6:6">
      <c r="F46132" s="2423"/>
    </row>
    <row r="46133" spans="6:6">
      <c r="F46133" s="2423"/>
    </row>
    <row r="46134" spans="6:6">
      <c r="F46134" s="2423"/>
    </row>
    <row r="46135" spans="6:6">
      <c r="F46135" s="2423"/>
    </row>
    <row r="46136" spans="6:6">
      <c r="F46136" s="2423"/>
    </row>
    <row r="46137" spans="6:6">
      <c r="F46137" s="2423"/>
    </row>
    <row r="46138" spans="6:6">
      <c r="F46138" s="2423"/>
    </row>
    <row r="46139" spans="6:6">
      <c r="F46139" s="2423"/>
    </row>
    <row r="46140" spans="6:6">
      <c r="F46140" s="2423"/>
    </row>
    <row r="46141" spans="6:6">
      <c r="F46141" s="2423"/>
    </row>
    <row r="46142" spans="6:6">
      <c r="F46142" s="2423"/>
    </row>
    <row r="46143" spans="6:6">
      <c r="F46143" s="2423"/>
    </row>
    <row r="46144" spans="6:6">
      <c r="F46144" s="2423"/>
    </row>
    <row r="46145" spans="6:6">
      <c r="F46145" s="2423"/>
    </row>
    <row r="46146" spans="6:6">
      <c r="F46146" s="2423"/>
    </row>
    <row r="46147" spans="6:6">
      <c r="F46147" s="2423"/>
    </row>
    <row r="46148" spans="6:6">
      <c r="F46148" s="2423"/>
    </row>
    <row r="46149" spans="6:6">
      <c r="F46149" s="2423"/>
    </row>
    <row r="46150" spans="6:6">
      <c r="F46150" s="2423"/>
    </row>
    <row r="46151" spans="6:6">
      <c r="F46151" s="2423"/>
    </row>
    <row r="46152" spans="6:6">
      <c r="F46152" s="2423"/>
    </row>
    <row r="46153" spans="6:6">
      <c r="F46153" s="2423"/>
    </row>
    <row r="46154" spans="6:6">
      <c r="F46154" s="2423"/>
    </row>
    <row r="46155" spans="6:6">
      <c r="F46155" s="2423"/>
    </row>
    <row r="46156" spans="6:6">
      <c r="F46156" s="2423"/>
    </row>
    <row r="46157" spans="6:6">
      <c r="F46157" s="2423"/>
    </row>
    <row r="46158" spans="6:6">
      <c r="F46158" s="2423"/>
    </row>
    <row r="46159" spans="6:6">
      <c r="F46159" s="2423"/>
    </row>
    <row r="46160" spans="6:6">
      <c r="F46160" s="2423"/>
    </row>
    <row r="46161" spans="6:6">
      <c r="F46161" s="2423"/>
    </row>
    <row r="46162" spans="6:6">
      <c r="F46162" s="2423"/>
    </row>
    <row r="46163" spans="6:6">
      <c r="F46163" s="2423"/>
    </row>
    <row r="46164" spans="6:6">
      <c r="F46164" s="2423"/>
    </row>
    <row r="46165" spans="6:6">
      <c r="F46165" s="2423"/>
    </row>
    <row r="46166" spans="6:6">
      <c r="F46166" s="2423"/>
    </row>
    <row r="46167" spans="6:6">
      <c r="F46167" s="2423"/>
    </row>
    <row r="46168" spans="6:6">
      <c r="F46168" s="2423"/>
    </row>
    <row r="46169" spans="6:6">
      <c r="F46169" s="2423"/>
    </row>
    <row r="46170" spans="6:6">
      <c r="F46170" s="2423"/>
    </row>
    <row r="46171" spans="6:6">
      <c r="F46171" s="2423"/>
    </row>
    <row r="46172" spans="6:6">
      <c r="F46172" s="2423"/>
    </row>
    <row r="46173" spans="6:6">
      <c r="F46173" s="2423"/>
    </row>
    <row r="46174" spans="6:6">
      <c r="F46174" s="2423"/>
    </row>
    <row r="46175" spans="6:6">
      <c r="F46175" s="2423"/>
    </row>
    <row r="46176" spans="6:6">
      <c r="F46176" s="2423"/>
    </row>
    <row r="46177" spans="6:6">
      <c r="F46177" s="2423"/>
    </row>
    <row r="46178" spans="6:6">
      <c r="F46178" s="2423"/>
    </row>
    <row r="46179" spans="6:6">
      <c r="F46179" s="2423"/>
    </row>
    <row r="46180" spans="6:6">
      <c r="F46180" s="2423"/>
    </row>
    <row r="46181" spans="6:6">
      <c r="F46181" s="2423"/>
    </row>
    <row r="46182" spans="6:6">
      <c r="F46182" s="2423"/>
    </row>
    <row r="46183" spans="6:6">
      <c r="F46183" s="2423"/>
    </row>
    <row r="46184" spans="6:6">
      <c r="F46184" s="2423"/>
    </row>
    <row r="46185" spans="6:6">
      <c r="F46185" s="2423"/>
    </row>
    <row r="46186" spans="6:6">
      <c r="F46186" s="2423"/>
    </row>
    <row r="46187" spans="6:6">
      <c r="F46187" s="2423"/>
    </row>
    <row r="46188" spans="6:6">
      <c r="F46188" s="2423"/>
    </row>
    <row r="46189" spans="6:6">
      <c r="F46189" s="2423"/>
    </row>
    <row r="46190" spans="6:6">
      <c r="F46190" s="2423"/>
    </row>
    <row r="46191" spans="6:6">
      <c r="F46191" s="2423"/>
    </row>
    <row r="46192" spans="6:6">
      <c r="F46192" s="2423"/>
    </row>
    <row r="46193" spans="6:6">
      <c r="F46193" s="2423"/>
    </row>
    <row r="46194" spans="6:6">
      <c r="F46194" s="2423"/>
    </row>
    <row r="46195" spans="6:6">
      <c r="F46195" s="2423"/>
    </row>
    <row r="46196" spans="6:6">
      <c r="F46196" s="2423"/>
    </row>
    <row r="46197" spans="6:6">
      <c r="F46197" s="2423"/>
    </row>
    <row r="46198" spans="6:6">
      <c r="F46198" s="2423"/>
    </row>
    <row r="46199" spans="6:6">
      <c r="F46199" s="2423"/>
    </row>
    <row r="46200" spans="6:6">
      <c r="F46200" s="2423"/>
    </row>
    <row r="46201" spans="6:6">
      <c r="F46201" s="2423"/>
    </row>
    <row r="46202" spans="6:6">
      <c r="F46202" s="2423"/>
    </row>
    <row r="46203" spans="6:6">
      <c r="F46203" s="2423"/>
    </row>
    <row r="46204" spans="6:6">
      <c r="F46204" s="2423"/>
    </row>
    <row r="46205" spans="6:6">
      <c r="F46205" s="2423"/>
    </row>
    <row r="46206" spans="6:6">
      <c r="F46206" s="2423"/>
    </row>
    <row r="46207" spans="6:6">
      <c r="F46207" s="2423"/>
    </row>
    <row r="46208" spans="6:6">
      <c r="F46208" s="2423"/>
    </row>
    <row r="46209" spans="6:6">
      <c r="F46209" s="2423"/>
    </row>
    <row r="46210" spans="6:6">
      <c r="F46210" s="2423"/>
    </row>
    <row r="46211" spans="6:6">
      <c r="F46211" s="2423"/>
    </row>
    <row r="46212" spans="6:6">
      <c r="F46212" s="2423"/>
    </row>
    <row r="46213" spans="6:6">
      <c r="F46213" s="2423"/>
    </row>
    <row r="46214" spans="6:6">
      <c r="F46214" s="2423"/>
    </row>
    <row r="46215" spans="6:6">
      <c r="F46215" s="2423"/>
    </row>
    <row r="46216" spans="6:6">
      <c r="F46216" s="2423"/>
    </row>
    <row r="46217" spans="6:6">
      <c r="F46217" s="2423"/>
    </row>
    <row r="46218" spans="6:6">
      <c r="F46218" s="2423"/>
    </row>
    <row r="46219" spans="6:6">
      <c r="F46219" s="2423"/>
    </row>
    <row r="46220" spans="6:6">
      <c r="F46220" s="2423"/>
    </row>
    <row r="46221" spans="6:6">
      <c r="F46221" s="2423"/>
    </row>
    <row r="46222" spans="6:6">
      <c r="F46222" s="2423"/>
    </row>
    <row r="46223" spans="6:6">
      <c r="F46223" s="2423"/>
    </row>
    <row r="46224" spans="6:6">
      <c r="F46224" s="2423"/>
    </row>
    <row r="46225" spans="6:6">
      <c r="F46225" s="2423"/>
    </row>
    <row r="46226" spans="6:6">
      <c r="F46226" s="2423"/>
    </row>
    <row r="46227" spans="6:6">
      <c r="F46227" s="2423"/>
    </row>
    <row r="46228" spans="6:6">
      <c r="F46228" s="2423"/>
    </row>
    <row r="46229" spans="6:6">
      <c r="F46229" s="2423"/>
    </row>
    <row r="46230" spans="6:6">
      <c r="F46230" s="2423"/>
    </row>
    <row r="46231" spans="6:6">
      <c r="F46231" s="2423"/>
    </row>
    <row r="46232" spans="6:6">
      <c r="F46232" s="2423"/>
    </row>
    <row r="46233" spans="6:6">
      <c r="F46233" s="2423"/>
    </row>
    <row r="46234" spans="6:6">
      <c r="F46234" s="2423"/>
    </row>
    <row r="46235" spans="6:6">
      <c r="F46235" s="2423"/>
    </row>
    <row r="46236" spans="6:6">
      <c r="F46236" s="2423"/>
    </row>
    <row r="46237" spans="6:6">
      <c r="F46237" s="2423"/>
    </row>
    <row r="46238" spans="6:6">
      <c r="F46238" s="2423"/>
    </row>
    <row r="46239" spans="6:6">
      <c r="F46239" s="2423"/>
    </row>
    <row r="46240" spans="6:6">
      <c r="F46240" s="2423"/>
    </row>
    <row r="46241" spans="6:6">
      <c r="F46241" s="2423"/>
    </row>
    <row r="46242" spans="6:6">
      <c r="F46242" s="2423"/>
    </row>
    <row r="46243" spans="6:6">
      <c r="F46243" s="2423"/>
    </row>
    <row r="46244" spans="6:6">
      <c r="F46244" s="2423"/>
    </row>
    <row r="46245" spans="6:6">
      <c r="F46245" s="2423"/>
    </row>
    <row r="46246" spans="6:6">
      <c r="F46246" s="2423"/>
    </row>
    <row r="46247" spans="6:6">
      <c r="F46247" s="2423"/>
    </row>
    <row r="46248" spans="6:6">
      <c r="F46248" s="2423"/>
    </row>
    <row r="46249" spans="6:6">
      <c r="F46249" s="2423"/>
    </row>
    <row r="46250" spans="6:6">
      <c r="F46250" s="2423"/>
    </row>
    <row r="46251" spans="6:6">
      <c r="F46251" s="2423"/>
    </row>
    <row r="46252" spans="6:6">
      <c r="F46252" s="2423"/>
    </row>
    <row r="46253" spans="6:6">
      <c r="F46253" s="2423"/>
    </row>
    <row r="46254" spans="6:6">
      <c r="F46254" s="2423"/>
    </row>
    <row r="46255" spans="6:6">
      <c r="F46255" s="2423"/>
    </row>
    <row r="46256" spans="6:6">
      <c r="F46256" s="2423"/>
    </row>
    <row r="46257" spans="6:6">
      <c r="F46257" s="2423"/>
    </row>
    <row r="46258" spans="6:6">
      <c r="F46258" s="2423"/>
    </row>
    <row r="46259" spans="6:6">
      <c r="F46259" s="2423"/>
    </row>
    <row r="46260" spans="6:6">
      <c r="F46260" s="2423"/>
    </row>
    <row r="46261" spans="6:6">
      <c r="F46261" s="2423"/>
    </row>
    <row r="46262" spans="6:6">
      <c r="F46262" s="2423"/>
    </row>
    <row r="46263" spans="6:6">
      <c r="F46263" s="2423"/>
    </row>
    <row r="46264" spans="6:6">
      <c r="F46264" s="2423"/>
    </row>
    <row r="46265" spans="6:6">
      <c r="F46265" s="2423"/>
    </row>
    <row r="46266" spans="6:6">
      <c r="F46266" s="2423"/>
    </row>
    <row r="46267" spans="6:6">
      <c r="F46267" s="2423"/>
    </row>
    <row r="46268" spans="6:6">
      <c r="F46268" s="2423"/>
    </row>
    <row r="46269" spans="6:6">
      <c r="F46269" s="2423"/>
    </row>
    <row r="46270" spans="6:6">
      <c r="F46270" s="2423"/>
    </row>
    <row r="46271" spans="6:6">
      <c r="F46271" s="2423"/>
    </row>
    <row r="46272" spans="6:6">
      <c r="F46272" s="2423"/>
    </row>
    <row r="46273" spans="6:6">
      <c r="F46273" s="2423"/>
    </row>
    <row r="46274" spans="6:6">
      <c r="F46274" s="2423"/>
    </row>
    <row r="46275" spans="6:6">
      <c r="F46275" s="2423"/>
    </row>
    <row r="46276" spans="6:6">
      <c r="F46276" s="2423"/>
    </row>
    <row r="46277" spans="6:6">
      <c r="F46277" s="2423"/>
    </row>
    <row r="46278" spans="6:6">
      <c r="F46278" s="2423"/>
    </row>
    <row r="46279" spans="6:6">
      <c r="F46279" s="2423"/>
    </row>
    <row r="46280" spans="6:6">
      <c r="F46280" s="2423"/>
    </row>
    <row r="46281" spans="6:6">
      <c r="F46281" s="2423"/>
    </row>
    <row r="46282" spans="6:6">
      <c r="F46282" s="2423"/>
    </row>
    <row r="46283" spans="6:6">
      <c r="F46283" s="2423"/>
    </row>
    <row r="46284" spans="6:6">
      <c r="F46284" s="2423"/>
    </row>
    <row r="46285" spans="6:6">
      <c r="F46285" s="2423"/>
    </row>
    <row r="46286" spans="6:6">
      <c r="F46286" s="2423"/>
    </row>
    <row r="46287" spans="6:6">
      <c r="F46287" s="2423"/>
    </row>
    <row r="46288" spans="6:6">
      <c r="F46288" s="2423"/>
    </row>
    <row r="46289" spans="6:6">
      <c r="F46289" s="2423"/>
    </row>
    <row r="46290" spans="6:6">
      <c r="F46290" s="2423"/>
    </row>
    <row r="46291" spans="6:6">
      <c r="F46291" s="2423"/>
    </row>
    <row r="46292" spans="6:6">
      <c r="F46292" s="2423"/>
    </row>
    <row r="46293" spans="6:6">
      <c r="F46293" s="2423"/>
    </row>
    <row r="46294" spans="6:6">
      <c r="F46294" s="2423"/>
    </row>
    <row r="46295" spans="6:6">
      <c r="F46295" s="2423"/>
    </row>
    <row r="46296" spans="6:6">
      <c r="F46296" s="2423"/>
    </row>
    <row r="46297" spans="6:6">
      <c r="F46297" s="2423"/>
    </row>
    <row r="46298" spans="6:6">
      <c r="F46298" s="2423"/>
    </row>
    <row r="46299" spans="6:6">
      <c r="F46299" s="2423"/>
    </row>
    <row r="46300" spans="6:6">
      <c r="F46300" s="2423"/>
    </row>
    <row r="46301" spans="6:6">
      <c r="F46301" s="2423"/>
    </row>
    <row r="46302" spans="6:6">
      <c r="F46302" s="2423"/>
    </row>
    <row r="46303" spans="6:6">
      <c r="F46303" s="2423"/>
    </row>
    <row r="46304" spans="6:6">
      <c r="F46304" s="2423"/>
    </row>
    <row r="46305" spans="6:6">
      <c r="F46305" s="2423"/>
    </row>
    <row r="46306" spans="6:6">
      <c r="F46306" s="2423"/>
    </row>
    <row r="46307" spans="6:6">
      <c r="F46307" s="2423"/>
    </row>
    <row r="46308" spans="6:6">
      <c r="F46308" s="2423"/>
    </row>
    <row r="46309" spans="6:6">
      <c r="F46309" s="2423"/>
    </row>
    <row r="46310" spans="6:6">
      <c r="F46310" s="2423"/>
    </row>
    <row r="46311" spans="6:6">
      <c r="F46311" s="2423"/>
    </row>
    <row r="46312" spans="6:6">
      <c r="F46312" s="2423"/>
    </row>
    <row r="46313" spans="6:6">
      <c r="F46313" s="2423"/>
    </row>
    <row r="46314" spans="6:6">
      <c r="F46314" s="2423"/>
    </row>
    <row r="46315" spans="6:6">
      <c r="F46315" s="2423"/>
    </row>
    <row r="46316" spans="6:6">
      <c r="F46316" s="2423"/>
    </row>
    <row r="46317" spans="6:6">
      <c r="F46317" s="2423"/>
    </row>
    <row r="46318" spans="6:6">
      <c r="F46318" s="2423"/>
    </row>
    <row r="46319" spans="6:6">
      <c r="F46319" s="2423"/>
    </row>
    <row r="46320" spans="6:6">
      <c r="F46320" s="2423"/>
    </row>
    <row r="46321" spans="6:6">
      <c r="F46321" s="2423"/>
    </row>
    <row r="46322" spans="6:6">
      <c r="F46322" s="2423"/>
    </row>
    <row r="46323" spans="6:6">
      <c r="F46323" s="2423"/>
    </row>
    <row r="46324" spans="6:6">
      <c r="F46324" s="2423"/>
    </row>
    <row r="46325" spans="6:6">
      <c r="F46325" s="2423"/>
    </row>
    <row r="46326" spans="6:6">
      <c r="F46326" s="2423"/>
    </row>
    <row r="46327" spans="6:6">
      <c r="F46327" s="2423"/>
    </row>
    <row r="46328" spans="6:6">
      <c r="F46328" s="2423"/>
    </row>
    <row r="46329" spans="6:6">
      <c r="F46329" s="2423"/>
    </row>
    <row r="46330" spans="6:6">
      <c r="F46330" s="2423"/>
    </row>
    <row r="46331" spans="6:6">
      <c r="F46331" s="2423"/>
    </row>
    <row r="46332" spans="6:6">
      <c r="F46332" s="2423"/>
    </row>
    <row r="46333" spans="6:6">
      <c r="F46333" s="2423"/>
    </row>
    <row r="46334" spans="6:6">
      <c r="F46334" s="2423"/>
    </row>
    <row r="46335" spans="6:6">
      <c r="F46335" s="2423"/>
    </row>
    <row r="46336" spans="6:6">
      <c r="F46336" s="2423"/>
    </row>
    <row r="46337" spans="6:6">
      <c r="F46337" s="2423"/>
    </row>
    <row r="46338" spans="6:6">
      <c r="F46338" s="2423"/>
    </row>
    <row r="46339" spans="6:6">
      <c r="F46339" s="2423"/>
    </row>
    <row r="46340" spans="6:6">
      <c r="F46340" s="2423"/>
    </row>
    <row r="46341" spans="6:6">
      <c r="F46341" s="2423"/>
    </row>
    <row r="46342" spans="6:6">
      <c r="F46342" s="2423"/>
    </row>
    <row r="46343" spans="6:6">
      <c r="F46343" s="2423"/>
    </row>
    <row r="46344" spans="6:6">
      <c r="F46344" s="2423"/>
    </row>
    <row r="46345" spans="6:6">
      <c r="F46345" s="2423"/>
    </row>
    <row r="46346" spans="6:6">
      <c r="F46346" s="2423"/>
    </row>
    <row r="46347" spans="6:6">
      <c r="F46347" s="2423"/>
    </row>
    <row r="46348" spans="6:6">
      <c r="F46348" s="2423"/>
    </row>
    <row r="46349" spans="6:6">
      <c r="F46349" s="2423"/>
    </row>
    <row r="46350" spans="6:6">
      <c r="F46350" s="2423"/>
    </row>
    <row r="46351" spans="6:6">
      <c r="F46351" s="2423"/>
    </row>
    <row r="46352" spans="6:6">
      <c r="F46352" s="2423"/>
    </row>
    <row r="46353" spans="6:6">
      <c r="F46353" s="2423"/>
    </row>
    <row r="46354" spans="6:6">
      <c r="F46354" s="2423"/>
    </row>
    <row r="46355" spans="6:6">
      <c r="F46355" s="2423"/>
    </row>
    <row r="46356" spans="6:6">
      <c r="F46356" s="2423"/>
    </row>
    <row r="46357" spans="6:6">
      <c r="F46357" s="2423"/>
    </row>
    <row r="46358" spans="6:6">
      <c r="F46358" s="2423"/>
    </row>
    <row r="46359" spans="6:6">
      <c r="F46359" s="2423"/>
    </row>
    <row r="46360" spans="6:6">
      <c r="F46360" s="2423"/>
    </row>
    <row r="46361" spans="6:6">
      <c r="F46361" s="2423"/>
    </row>
    <row r="46362" spans="6:6">
      <c r="F46362" s="2423"/>
    </row>
    <row r="46363" spans="6:6">
      <c r="F46363" s="2423"/>
    </row>
    <row r="46364" spans="6:6">
      <c r="F46364" s="2423"/>
    </row>
    <row r="46365" spans="6:6">
      <c r="F46365" s="2423"/>
    </row>
    <row r="46366" spans="6:6">
      <c r="F46366" s="2423"/>
    </row>
    <row r="46367" spans="6:6">
      <c r="F46367" s="2423"/>
    </row>
    <row r="46368" spans="6:6">
      <c r="F46368" s="2423"/>
    </row>
    <row r="46369" spans="6:6">
      <c r="F46369" s="2423"/>
    </row>
    <row r="46370" spans="6:6">
      <c r="F46370" s="2423"/>
    </row>
    <row r="46371" spans="6:6">
      <c r="F46371" s="2423"/>
    </row>
    <row r="46372" spans="6:6">
      <c r="F46372" s="2423"/>
    </row>
    <row r="46373" spans="6:6">
      <c r="F46373" s="2423"/>
    </row>
    <row r="46374" spans="6:6">
      <c r="F46374" s="2423"/>
    </row>
    <row r="46375" spans="6:6">
      <c r="F46375" s="2423"/>
    </row>
    <row r="46376" spans="6:6">
      <c r="F46376" s="2423"/>
    </row>
    <row r="46377" spans="6:6">
      <c r="F46377" s="2423"/>
    </row>
    <row r="46378" spans="6:6">
      <c r="F46378" s="2423"/>
    </row>
    <row r="46379" spans="6:6">
      <c r="F46379" s="2423"/>
    </row>
    <row r="46380" spans="6:6">
      <c r="F46380" s="2423"/>
    </row>
    <row r="46381" spans="6:6">
      <c r="F46381" s="2423"/>
    </row>
    <row r="46382" spans="6:6">
      <c r="F46382" s="2423"/>
    </row>
    <row r="46383" spans="6:6">
      <c r="F46383" s="2423"/>
    </row>
    <row r="46384" spans="6:6">
      <c r="F46384" s="2423"/>
    </row>
    <row r="46385" spans="6:6">
      <c r="F46385" s="2423"/>
    </row>
    <row r="46386" spans="6:6">
      <c r="F46386" s="2423"/>
    </row>
    <row r="46387" spans="6:6">
      <c r="F46387" s="2423"/>
    </row>
    <row r="46388" spans="6:6">
      <c r="F46388" s="2423"/>
    </row>
    <row r="46389" spans="6:6">
      <c r="F46389" s="2423"/>
    </row>
    <row r="46390" spans="6:6">
      <c r="F46390" s="2423"/>
    </row>
    <row r="46391" spans="6:6">
      <c r="F46391" s="2423"/>
    </row>
    <row r="46392" spans="6:6">
      <c r="F46392" s="2423"/>
    </row>
    <row r="46393" spans="6:6">
      <c r="F46393" s="2423"/>
    </row>
    <row r="46394" spans="6:6">
      <c r="F46394" s="2423"/>
    </row>
    <row r="46395" spans="6:6">
      <c r="F46395" s="2423"/>
    </row>
    <row r="46396" spans="6:6">
      <c r="F46396" s="2423"/>
    </row>
    <row r="46397" spans="6:6">
      <c r="F46397" s="2423"/>
    </row>
    <row r="46398" spans="6:6">
      <c r="F46398" s="2423"/>
    </row>
    <row r="46399" spans="6:6">
      <c r="F46399" s="2423"/>
    </row>
    <row r="46400" spans="6:6">
      <c r="F46400" s="2423"/>
    </row>
    <row r="46401" spans="6:6">
      <c r="F46401" s="2423"/>
    </row>
    <row r="46402" spans="6:6">
      <c r="F46402" s="2423"/>
    </row>
    <row r="46403" spans="6:6">
      <c r="F46403" s="2423"/>
    </row>
    <row r="46404" spans="6:6">
      <c r="F46404" s="2423"/>
    </row>
    <row r="46405" spans="6:6">
      <c r="F46405" s="2423"/>
    </row>
    <row r="46406" spans="6:6">
      <c r="F46406" s="2423"/>
    </row>
    <row r="46407" spans="6:6">
      <c r="F46407" s="2423"/>
    </row>
    <row r="46408" spans="6:6">
      <c r="F46408" s="2423"/>
    </row>
    <row r="46409" spans="6:6">
      <c r="F46409" s="2423"/>
    </row>
    <row r="46410" spans="6:6">
      <c r="F46410" s="2423"/>
    </row>
    <row r="46411" spans="6:6">
      <c r="F46411" s="2423"/>
    </row>
    <row r="46412" spans="6:6">
      <c r="F46412" s="2423"/>
    </row>
    <row r="46413" spans="6:6">
      <c r="F46413" s="2423"/>
    </row>
    <row r="46414" spans="6:6">
      <c r="F46414" s="2423"/>
    </row>
    <row r="46415" spans="6:6">
      <c r="F46415" s="2423"/>
    </row>
    <row r="46416" spans="6:6">
      <c r="F46416" s="2423"/>
    </row>
    <row r="46417" spans="6:6">
      <c r="F46417" s="2423"/>
    </row>
    <row r="46418" spans="6:6">
      <c r="F46418" s="2423"/>
    </row>
    <row r="46419" spans="6:6">
      <c r="F46419" s="2423"/>
    </row>
    <row r="46420" spans="6:6">
      <c r="F46420" s="2423"/>
    </row>
    <row r="46421" spans="6:6">
      <c r="F46421" s="2423"/>
    </row>
    <row r="46422" spans="6:6">
      <c r="F46422" s="2423"/>
    </row>
    <row r="46423" spans="6:6">
      <c r="F46423" s="2423"/>
    </row>
    <row r="46424" spans="6:6">
      <c r="F46424" s="2423"/>
    </row>
    <row r="46425" spans="6:6">
      <c r="F46425" s="2423"/>
    </row>
    <row r="46426" spans="6:6">
      <c r="F46426" s="2423"/>
    </row>
    <row r="46427" spans="6:6">
      <c r="F46427" s="2423"/>
    </row>
    <row r="46428" spans="6:6">
      <c r="F46428" s="2423"/>
    </row>
    <row r="46429" spans="6:6">
      <c r="F46429" s="2423"/>
    </row>
    <row r="46430" spans="6:6">
      <c r="F46430" s="2423"/>
    </row>
    <row r="46431" spans="6:6">
      <c r="F46431" s="2423"/>
    </row>
    <row r="46432" spans="6:6">
      <c r="F46432" s="2423"/>
    </row>
    <row r="46433" spans="6:6">
      <c r="F46433" s="2423"/>
    </row>
    <row r="46434" spans="6:6">
      <c r="F46434" s="2423"/>
    </row>
    <row r="46435" spans="6:6">
      <c r="F46435" s="2423"/>
    </row>
    <row r="46436" spans="6:6">
      <c r="F46436" s="2423"/>
    </row>
    <row r="46437" spans="6:6">
      <c r="F46437" s="2423"/>
    </row>
    <row r="46438" spans="6:6">
      <c r="F46438" s="2423"/>
    </row>
    <row r="46439" spans="6:6">
      <c r="F46439" s="2423"/>
    </row>
    <row r="46440" spans="6:6">
      <c r="F46440" s="2423"/>
    </row>
    <row r="46441" spans="6:6">
      <c r="F46441" s="2423"/>
    </row>
    <row r="46442" spans="6:6">
      <c r="F46442" s="2423"/>
    </row>
    <row r="46443" spans="6:6">
      <c r="F46443" s="2423"/>
    </row>
    <row r="46444" spans="6:6">
      <c r="F46444" s="2423"/>
    </row>
    <row r="46445" spans="6:6">
      <c r="F46445" s="2423"/>
    </row>
    <row r="46446" spans="6:6">
      <c r="F46446" s="2423"/>
    </row>
    <row r="46447" spans="6:6">
      <c r="F46447" s="2423"/>
    </row>
    <row r="46448" spans="6:6">
      <c r="F46448" s="2423"/>
    </row>
    <row r="46449" spans="6:6">
      <c r="F46449" s="2423"/>
    </row>
    <row r="46450" spans="6:6">
      <c r="F46450" s="2423"/>
    </row>
    <row r="46451" spans="6:6">
      <c r="F46451" s="2423"/>
    </row>
    <row r="46452" spans="6:6">
      <c r="F46452" s="2423"/>
    </row>
    <row r="46453" spans="6:6">
      <c r="F46453" s="2423"/>
    </row>
    <row r="46454" spans="6:6">
      <c r="F46454" s="2423"/>
    </row>
    <row r="46455" spans="6:6">
      <c r="F46455" s="2423"/>
    </row>
    <row r="46456" spans="6:6">
      <c r="F46456" s="2423"/>
    </row>
    <row r="46457" spans="6:6">
      <c r="F46457" s="2423"/>
    </row>
    <row r="46458" spans="6:6">
      <c r="F46458" s="2423"/>
    </row>
    <row r="46459" spans="6:6">
      <c r="F46459" s="2423"/>
    </row>
    <row r="46460" spans="6:6">
      <c r="F46460" s="2423"/>
    </row>
    <row r="46461" spans="6:6">
      <c r="F46461" s="2423"/>
    </row>
    <row r="46462" spans="6:6">
      <c r="F46462" s="2423"/>
    </row>
    <row r="46463" spans="6:6">
      <c r="F46463" s="2423"/>
    </row>
    <row r="46464" spans="6:6">
      <c r="F46464" s="2423"/>
    </row>
    <row r="46465" spans="6:6">
      <c r="F46465" s="2423"/>
    </row>
    <row r="46466" spans="6:6">
      <c r="F46466" s="2423"/>
    </row>
    <row r="46467" spans="6:6">
      <c r="F46467" s="2423"/>
    </row>
    <row r="46468" spans="6:6">
      <c r="F46468" s="2423"/>
    </row>
    <row r="46469" spans="6:6">
      <c r="F46469" s="2423"/>
    </row>
    <row r="46470" spans="6:6">
      <c r="F46470" s="2423"/>
    </row>
    <row r="46471" spans="6:6">
      <c r="F46471" s="2423"/>
    </row>
    <row r="46472" spans="6:6">
      <c r="F46472" s="2423"/>
    </row>
    <row r="46473" spans="6:6">
      <c r="F46473" s="2423"/>
    </row>
    <row r="46474" spans="6:6">
      <c r="F46474" s="2423"/>
    </row>
    <row r="46475" spans="6:6">
      <c r="F46475" s="2423"/>
    </row>
    <row r="46476" spans="6:6">
      <c r="F46476" s="2423"/>
    </row>
    <row r="46477" spans="6:6">
      <c r="F46477" s="2423"/>
    </row>
    <row r="46478" spans="6:6">
      <c r="F46478" s="2423"/>
    </row>
    <row r="46479" spans="6:6">
      <c r="F46479" s="2423"/>
    </row>
    <row r="46480" spans="6:6">
      <c r="F46480" s="2423"/>
    </row>
    <row r="46481" spans="6:6">
      <c r="F46481" s="2423"/>
    </row>
    <row r="46482" spans="6:6">
      <c r="F46482" s="2423"/>
    </row>
    <row r="46483" spans="6:6">
      <c r="F46483" s="2423"/>
    </row>
    <row r="46484" spans="6:6">
      <c r="F46484" s="2423"/>
    </row>
    <row r="46485" spans="6:6">
      <c r="F46485" s="2423"/>
    </row>
    <row r="46486" spans="6:6">
      <c r="F46486" s="2423"/>
    </row>
    <row r="46487" spans="6:6">
      <c r="F46487" s="2423"/>
    </row>
    <row r="46488" spans="6:6">
      <c r="F46488" s="2423"/>
    </row>
    <row r="46489" spans="6:6">
      <c r="F46489" s="2423"/>
    </row>
    <row r="46490" spans="6:6">
      <c r="F46490" s="2423"/>
    </row>
    <row r="46491" spans="6:6">
      <c r="F46491" s="2423"/>
    </row>
    <row r="46492" spans="6:6">
      <c r="F46492" s="2423"/>
    </row>
    <row r="46493" spans="6:6">
      <c r="F46493" s="2423"/>
    </row>
    <row r="46494" spans="6:6">
      <c r="F46494" s="2423"/>
    </row>
    <row r="46495" spans="6:6">
      <c r="F46495" s="2423"/>
    </row>
    <row r="46496" spans="6:6">
      <c r="F46496" s="2423"/>
    </row>
    <row r="46497" spans="6:6">
      <c r="F46497" s="2423"/>
    </row>
    <row r="46498" spans="6:6">
      <c r="F46498" s="2423"/>
    </row>
    <row r="46499" spans="6:6">
      <c r="F46499" s="2423"/>
    </row>
    <row r="46500" spans="6:6">
      <c r="F46500" s="2423"/>
    </row>
    <row r="46501" spans="6:6">
      <c r="F46501" s="2423"/>
    </row>
    <row r="46502" spans="6:6">
      <c r="F46502" s="2423"/>
    </row>
    <row r="46503" spans="6:6">
      <c r="F46503" s="2423"/>
    </row>
    <row r="46504" spans="6:6">
      <c r="F46504" s="2423"/>
    </row>
    <row r="46505" spans="6:6">
      <c r="F46505" s="2423"/>
    </row>
    <row r="46506" spans="6:6">
      <c r="F46506" s="2423"/>
    </row>
    <row r="46507" spans="6:6">
      <c r="F46507" s="2423"/>
    </row>
    <row r="46508" spans="6:6">
      <c r="F46508" s="2423"/>
    </row>
    <row r="46509" spans="6:6">
      <c r="F46509" s="2423"/>
    </row>
    <row r="46510" spans="6:6">
      <c r="F46510" s="2423"/>
    </row>
    <row r="46511" spans="6:6">
      <c r="F46511" s="2423"/>
    </row>
    <row r="46512" spans="6:6">
      <c r="F46512" s="2423"/>
    </row>
    <row r="46513" spans="6:6">
      <c r="F46513" s="2423"/>
    </row>
    <row r="46514" spans="6:6">
      <c r="F46514" s="2423"/>
    </row>
    <row r="46515" spans="6:6">
      <c r="F46515" s="2423"/>
    </row>
    <row r="46516" spans="6:6">
      <c r="F46516" s="2423"/>
    </row>
    <row r="46517" spans="6:6">
      <c r="F46517" s="2423"/>
    </row>
    <row r="46518" spans="6:6">
      <c r="F46518" s="2423"/>
    </row>
    <row r="46519" spans="6:6">
      <c r="F46519" s="2423"/>
    </row>
    <row r="46520" spans="6:6">
      <c r="F46520" s="2423"/>
    </row>
    <row r="46521" spans="6:6">
      <c r="F46521" s="2423"/>
    </row>
    <row r="46522" spans="6:6">
      <c r="F46522" s="2423"/>
    </row>
    <row r="46523" spans="6:6">
      <c r="F46523" s="2423"/>
    </row>
    <row r="46524" spans="6:6">
      <c r="F46524" s="2423"/>
    </row>
    <row r="46525" spans="6:6">
      <c r="F46525" s="2423"/>
    </row>
    <row r="46526" spans="6:6">
      <c r="F46526" s="2423"/>
    </row>
    <row r="46527" spans="6:6">
      <c r="F46527" s="2423"/>
    </row>
    <row r="46528" spans="6:6">
      <c r="F46528" s="2423"/>
    </row>
    <row r="46529" spans="6:6">
      <c r="F46529" s="2423"/>
    </row>
    <row r="46530" spans="6:6">
      <c r="F46530" s="2423"/>
    </row>
    <row r="46531" spans="6:6">
      <c r="F46531" s="2423"/>
    </row>
    <row r="46532" spans="6:6">
      <c r="F46532" s="2423"/>
    </row>
    <row r="46533" spans="6:6">
      <c r="F46533" s="2423"/>
    </row>
    <row r="46534" spans="6:6">
      <c r="F46534" s="2423"/>
    </row>
    <row r="46535" spans="6:6">
      <c r="F46535" s="2423"/>
    </row>
    <row r="46536" spans="6:6">
      <c r="F46536" s="2423"/>
    </row>
    <row r="46537" spans="6:6">
      <c r="F46537" s="2423"/>
    </row>
    <row r="46538" spans="6:6">
      <c r="F46538" s="2423"/>
    </row>
    <row r="46539" spans="6:6">
      <c r="F46539" s="2423"/>
    </row>
    <row r="46540" spans="6:6">
      <c r="F46540" s="2423"/>
    </row>
    <row r="46541" spans="6:6">
      <c r="F46541" s="2423"/>
    </row>
    <row r="46542" spans="6:6">
      <c r="F46542" s="2423"/>
    </row>
    <row r="46543" spans="6:6">
      <c r="F46543" s="2423"/>
    </row>
    <row r="46544" spans="6:6">
      <c r="F46544" s="2423"/>
    </row>
    <row r="46545" spans="6:6">
      <c r="F46545" s="2423"/>
    </row>
    <row r="46546" spans="6:6">
      <c r="F46546" s="2423"/>
    </row>
    <row r="46547" spans="6:6">
      <c r="F46547" s="2423"/>
    </row>
    <row r="46548" spans="6:6">
      <c r="F46548" s="2423"/>
    </row>
    <row r="46549" spans="6:6">
      <c r="F46549" s="2423"/>
    </row>
    <row r="46550" spans="6:6">
      <c r="F46550" s="2423"/>
    </row>
    <row r="46551" spans="6:6">
      <c r="F46551" s="2423"/>
    </row>
    <row r="46552" spans="6:6">
      <c r="F46552" s="2423"/>
    </row>
    <row r="46553" spans="6:6">
      <c r="F46553" s="2423"/>
    </row>
    <row r="46554" spans="6:6">
      <c r="F46554" s="2423"/>
    </row>
    <row r="46555" spans="6:6">
      <c r="F46555" s="2423"/>
    </row>
    <row r="46556" spans="6:6">
      <c r="F46556" s="2423"/>
    </row>
    <row r="46557" spans="6:6">
      <c r="F46557" s="2423"/>
    </row>
    <row r="46558" spans="6:6">
      <c r="F46558" s="2423"/>
    </row>
    <row r="46559" spans="6:6">
      <c r="F46559" s="2423"/>
    </row>
    <row r="46560" spans="6:6">
      <c r="F46560" s="2423"/>
    </row>
    <row r="46561" spans="6:6">
      <c r="F46561" s="2423"/>
    </row>
    <row r="46562" spans="6:6">
      <c r="F46562" s="2423"/>
    </row>
    <row r="46563" spans="6:6">
      <c r="F46563" s="2423"/>
    </row>
    <row r="46564" spans="6:6">
      <c r="F46564" s="2423"/>
    </row>
    <row r="46565" spans="6:6">
      <c r="F46565" s="2423"/>
    </row>
    <row r="46566" spans="6:6">
      <c r="F46566" s="2423"/>
    </row>
    <row r="46567" spans="6:6">
      <c r="F46567" s="2423"/>
    </row>
    <row r="46568" spans="6:6">
      <c r="F46568" s="2423"/>
    </row>
    <row r="46569" spans="6:6">
      <c r="F46569" s="2423"/>
    </row>
    <row r="46570" spans="6:6">
      <c r="F46570" s="2423"/>
    </row>
    <row r="46571" spans="6:6">
      <c r="F46571" s="2423"/>
    </row>
    <row r="46572" spans="6:6">
      <c r="F46572" s="2423"/>
    </row>
    <row r="46573" spans="6:6">
      <c r="F46573" s="2423"/>
    </row>
    <row r="46574" spans="6:6">
      <c r="F46574" s="2423"/>
    </row>
    <row r="46575" spans="6:6">
      <c r="F46575" s="2423"/>
    </row>
    <row r="46576" spans="6:6">
      <c r="F46576" s="2423"/>
    </row>
    <row r="46577" spans="6:6">
      <c r="F46577" s="2423"/>
    </row>
    <row r="46578" spans="6:6">
      <c r="F46578" s="2423"/>
    </row>
    <row r="46579" spans="6:6">
      <c r="F46579" s="2423"/>
    </row>
    <row r="46580" spans="6:6">
      <c r="F46580" s="2423"/>
    </row>
    <row r="46581" spans="6:6">
      <c r="F46581" s="2423"/>
    </row>
    <row r="46582" spans="6:6">
      <c r="F46582" s="2423"/>
    </row>
    <row r="46583" spans="6:6">
      <c r="F46583" s="2423"/>
    </row>
    <row r="46584" spans="6:6">
      <c r="F46584" s="2423"/>
    </row>
    <row r="46585" spans="6:6">
      <c r="F46585" s="2423"/>
    </row>
    <row r="46586" spans="6:6">
      <c r="F46586" s="2423"/>
    </row>
    <row r="46587" spans="6:6">
      <c r="F46587" s="2423"/>
    </row>
    <row r="46588" spans="6:6">
      <c r="F46588" s="2423"/>
    </row>
    <row r="46589" spans="6:6">
      <c r="F46589" s="2423"/>
    </row>
    <row r="46590" spans="6:6">
      <c r="F46590" s="2423"/>
    </row>
    <row r="46591" spans="6:6">
      <c r="F46591" s="2423"/>
    </row>
    <row r="46592" spans="6:6">
      <c r="F46592" s="2423"/>
    </row>
    <row r="46593" spans="6:6">
      <c r="F46593" s="2423"/>
    </row>
    <row r="46594" spans="6:6">
      <c r="F46594" s="2423"/>
    </row>
    <row r="46595" spans="6:6">
      <c r="F46595" s="2423"/>
    </row>
    <row r="46596" spans="6:6">
      <c r="F46596" s="2423"/>
    </row>
    <row r="46597" spans="6:6">
      <c r="F46597" s="2423"/>
    </row>
    <row r="46598" spans="6:6">
      <c r="F46598" s="2423"/>
    </row>
    <row r="46599" spans="6:6">
      <c r="F46599" s="2423"/>
    </row>
    <row r="46600" spans="6:6">
      <c r="F46600" s="2423"/>
    </row>
    <row r="46601" spans="6:6">
      <c r="F46601" s="2423"/>
    </row>
    <row r="46602" spans="6:6">
      <c r="F46602" s="2423"/>
    </row>
    <row r="46603" spans="6:6">
      <c r="F46603" s="2423"/>
    </row>
    <row r="46604" spans="6:6">
      <c r="F46604" s="2423"/>
    </row>
    <row r="46605" spans="6:6">
      <c r="F46605" s="2423"/>
    </row>
    <row r="46606" spans="6:6">
      <c r="F46606" s="2423"/>
    </row>
    <row r="46607" spans="6:6">
      <c r="F46607" s="2423"/>
    </row>
    <row r="46608" spans="6:6">
      <c r="F46608" s="2423"/>
    </row>
    <row r="46609" spans="6:6">
      <c r="F46609" s="2423"/>
    </row>
    <row r="46610" spans="6:6">
      <c r="F46610" s="2423"/>
    </row>
    <row r="46611" spans="6:6">
      <c r="F46611" s="2423"/>
    </row>
    <row r="46612" spans="6:6">
      <c r="F46612" s="2423"/>
    </row>
    <row r="46613" spans="6:6">
      <c r="F46613" s="2423"/>
    </row>
    <row r="46614" spans="6:6">
      <c r="F46614" s="2423"/>
    </row>
    <row r="46615" spans="6:6">
      <c r="F46615" s="2423"/>
    </row>
    <row r="46616" spans="6:6">
      <c r="F46616" s="2423"/>
    </row>
    <row r="46617" spans="6:6">
      <c r="F46617" s="2423"/>
    </row>
    <row r="46618" spans="6:6">
      <c r="F46618" s="2423"/>
    </row>
    <row r="46619" spans="6:6">
      <c r="F46619" s="2423"/>
    </row>
    <row r="46620" spans="6:6">
      <c r="F46620" s="2423"/>
    </row>
    <row r="46621" spans="6:6">
      <c r="F46621" s="2423"/>
    </row>
    <row r="46622" spans="6:6">
      <c r="F46622" s="2423"/>
    </row>
    <row r="46623" spans="6:6">
      <c r="F46623" s="2423"/>
    </row>
    <row r="46624" spans="6:6">
      <c r="F46624" s="2423"/>
    </row>
    <row r="46625" spans="6:6">
      <c r="F46625" s="2423"/>
    </row>
    <row r="46626" spans="6:6">
      <c r="F46626" s="2423"/>
    </row>
    <row r="46627" spans="6:6">
      <c r="F46627" s="2423"/>
    </row>
    <row r="46628" spans="6:6">
      <c r="F46628" s="2423"/>
    </row>
    <row r="46629" spans="6:6">
      <c r="F46629" s="2423"/>
    </row>
    <row r="46630" spans="6:6">
      <c r="F46630" s="2423"/>
    </row>
    <row r="46631" spans="6:6">
      <c r="F46631" s="2423"/>
    </row>
    <row r="46632" spans="6:6">
      <c r="F46632" s="2423"/>
    </row>
    <row r="46633" spans="6:6">
      <c r="F46633" s="2423"/>
    </row>
    <row r="46634" spans="6:6">
      <c r="F46634" s="2423"/>
    </row>
    <row r="46635" spans="6:6">
      <c r="F46635" s="2423"/>
    </row>
    <row r="46636" spans="6:6">
      <c r="F46636" s="2423"/>
    </row>
    <row r="46637" spans="6:6">
      <c r="F46637" s="2423"/>
    </row>
    <row r="46638" spans="6:6">
      <c r="F46638" s="2423"/>
    </row>
    <row r="46639" spans="6:6">
      <c r="F46639" s="2423"/>
    </row>
    <row r="46640" spans="6:6">
      <c r="F46640" s="2423"/>
    </row>
    <row r="46641" spans="6:6">
      <c r="F46641" s="2423"/>
    </row>
    <row r="46642" spans="6:6">
      <c r="F46642" s="2423"/>
    </row>
    <row r="46643" spans="6:6">
      <c r="F46643" s="2423"/>
    </row>
    <row r="46644" spans="6:6">
      <c r="F46644" s="2423"/>
    </row>
    <row r="46645" spans="6:6">
      <c r="F46645" s="2423"/>
    </row>
    <row r="46646" spans="6:6">
      <c r="F46646" s="2423"/>
    </row>
    <row r="46647" spans="6:6">
      <c r="F46647" s="2423"/>
    </row>
    <row r="46648" spans="6:6">
      <c r="F46648" s="2423"/>
    </row>
    <row r="46649" spans="6:6">
      <c r="F46649" s="2423"/>
    </row>
    <row r="46650" spans="6:6">
      <c r="F46650" s="2423"/>
    </row>
    <row r="46651" spans="6:6">
      <c r="F46651" s="2423"/>
    </row>
    <row r="46652" spans="6:6">
      <c r="F46652" s="2423"/>
    </row>
    <row r="46653" spans="6:6">
      <c r="F46653" s="2423"/>
    </row>
    <row r="46654" spans="6:6">
      <c r="F46654" s="2423"/>
    </row>
    <row r="46655" spans="6:6">
      <c r="F46655" s="2423"/>
    </row>
    <row r="46656" spans="6:6">
      <c r="F46656" s="2423"/>
    </row>
    <row r="46657" spans="6:6">
      <c r="F46657" s="2423"/>
    </row>
    <row r="46658" spans="6:6">
      <c r="F46658" s="2423"/>
    </row>
    <row r="46659" spans="6:6">
      <c r="F46659" s="2423"/>
    </row>
    <row r="46660" spans="6:6">
      <c r="F46660" s="2423"/>
    </row>
    <row r="46661" spans="6:6">
      <c r="F46661" s="2423"/>
    </row>
    <row r="46662" spans="6:6">
      <c r="F46662" s="2423"/>
    </row>
    <row r="46663" spans="6:6">
      <c r="F46663" s="2423"/>
    </row>
    <row r="46664" spans="6:6">
      <c r="F46664" s="2423"/>
    </row>
    <row r="46665" spans="6:6">
      <c r="F46665" s="2423"/>
    </row>
    <row r="46666" spans="6:6">
      <c r="F46666" s="2423"/>
    </row>
    <row r="46667" spans="6:6">
      <c r="F46667" s="2423"/>
    </row>
    <row r="46668" spans="6:6">
      <c r="F46668" s="2423"/>
    </row>
    <row r="46669" spans="6:6">
      <c r="F46669" s="2423"/>
    </row>
    <row r="46670" spans="6:6">
      <c r="F46670" s="2423"/>
    </row>
    <row r="46671" spans="6:6">
      <c r="F46671" s="2423"/>
    </row>
    <row r="46672" spans="6:6">
      <c r="F46672" s="2423"/>
    </row>
    <row r="46673" spans="6:6">
      <c r="F46673" s="2423"/>
    </row>
    <row r="46674" spans="6:6">
      <c r="F46674" s="2423"/>
    </row>
    <row r="46675" spans="6:6">
      <c r="F46675" s="2423"/>
    </row>
    <row r="46676" spans="6:6">
      <c r="F46676" s="2423"/>
    </row>
    <row r="46677" spans="6:6">
      <c r="F46677" s="2423"/>
    </row>
    <row r="46678" spans="6:6">
      <c r="F46678" s="2423"/>
    </row>
    <row r="46679" spans="6:6">
      <c r="F46679" s="2423"/>
    </row>
    <row r="46680" spans="6:6">
      <c r="F46680" s="2423"/>
    </row>
    <row r="46681" spans="6:6">
      <c r="F46681" s="2423"/>
    </row>
    <row r="46682" spans="6:6">
      <c r="F46682" s="2423"/>
    </row>
    <row r="46683" spans="6:6">
      <c r="F46683" s="2423"/>
    </row>
    <row r="46684" spans="6:6">
      <c r="F46684" s="2423"/>
    </row>
    <row r="46685" spans="6:6">
      <c r="F46685" s="2423"/>
    </row>
    <row r="46686" spans="6:6">
      <c r="F46686" s="2423"/>
    </row>
    <row r="46687" spans="6:6">
      <c r="F46687" s="2423"/>
    </row>
    <row r="46688" spans="6:6">
      <c r="F46688" s="2423"/>
    </row>
    <row r="46689" spans="6:6">
      <c r="F46689" s="2423"/>
    </row>
    <row r="46690" spans="6:6">
      <c r="F46690" s="2423"/>
    </row>
    <row r="46691" spans="6:6">
      <c r="F46691" s="2423"/>
    </row>
    <row r="46692" spans="6:6">
      <c r="F46692" s="2423"/>
    </row>
    <row r="46693" spans="6:6">
      <c r="F46693" s="2423"/>
    </row>
    <row r="46694" spans="6:6">
      <c r="F46694" s="2423"/>
    </row>
    <row r="46695" spans="6:6">
      <c r="F46695" s="2423"/>
    </row>
    <row r="46696" spans="6:6">
      <c r="F46696" s="2423"/>
    </row>
    <row r="46697" spans="6:6">
      <c r="F46697" s="2423"/>
    </row>
    <row r="46698" spans="6:6">
      <c r="F46698" s="2423"/>
    </row>
    <row r="46699" spans="6:6">
      <c r="F46699" s="2423"/>
    </row>
    <row r="46700" spans="6:6">
      <c r="F46700" s="2423"/>
    </row>
    <row r="46701" spans="6:6">
      <c r="F46701" s="2423"/>
    </row>
    <row r="46702" spans="6:6">
      <c r="F46702" s="2423"/>
    </row>
    <row r="46703" spans="6:6">
      <c r="F46703" s="2423"/>
    </row>
    <row r="46704" spans="6:6">
      <c r="F46704" s="2423"/>
    </row>
    <row r="46705" spans="6:6">
      <c r="F46705" s="2423"/>
    </row>
    <row r="46706" spans="6:6">
      <c r="F46706" s="2423"/>
    </row>
    <row r="46707" spans="6:6">
      <c r="F46707" s="2423"/>
    </row>
    <row r="46708" spans="6:6">
      <c r="F46708" s="2423"/>
    </row>
    <row r="46709" spans="6:6">
      <c r="F46709" s="2423"/>
    </row>
    <row r="46710" spans="6:6">
      <c r="F46710" s="2423"/>
    </row>
    <row r="46711" spans="6:6">
      <c r="F46711" s="2423"/>
    </row>
    <row r="46712" spans="6:6">
      <c r="F46712" s="2423"/>
    </row>
    <row r="46713" spans="6:6">
      <c r="F46713" s="2423"/>
    </row>
    <row r="46714" spans="6:6">
      <c r="F46714" s="2423"/>
    </row>
    <row r="46715" spans="6:6">
      <c r="F46715" s="2423"/>
    </row>
    <row r="46716" spans="6:6">
      <c r="F46716" s="2423"/>
    </row>
    <row r="46717" spans="6:6">
      <c r="F46717" s="2423"/>
    </row>
    <row r="46718" spans="6:6">
      <c r="F46718" s="2423"/>
    </row>
    <row r="46719" spans="6:6">
      <c r="F46719" s="2423"/>
    </row>
    <row r="46720" spans="6:6">
      <c r="F46720" s="2423"/>
    </row>
    <row r="46721" spans="6:6">
      <c r="F46721" s="2423"/>
    </row>
    <row r="46722" spans="6:6">
      <c r="F46722" s="2423"/>
    </row>
    <row r="46723" spans="6:6">
      <c r="F46723" s="2423"/>
    </row>
    <row r="46724" spans="6:6">
      <c r="F46724" s="2423"/>
    </row>
    <row r="46725" spans="6:6">
      <c r="F46725" s="2423"/>
    </row>
    <row r="46726" spans="6:6">
      <c r="F46726" s="2423"/>
    </row>
    <row r="46727" spans="6:6">
      <c r="F46727" s="2423"/>
    </row>
    <row r="46728" spans="6:6">
      <c r="F46728" s="2423"/>
    </row>
    <row r="46729" spans="6:6">
      <c r="F46729" s="2423"/>
    </row>
    <row r="46730" spans="6:6">
      <c r="F46730" s="2423"/>
    </row>
    <row r="46731" spans="6:6">
      <c r="F46731" s="2423"/>
    </row>
    <row r="46732" spans="6:6">
      <c r="F46732" s="2423"/>
    </row>
    <row r="46733" spans="6:6">
      <c r="F46733" s="2423"/>
    </row>
    <row r="46734" spans="6:6">
      <c r="F46734" s="2423"/>
    </row>
    <row r="46735" spans="6:6">
      <c r="F46735" s="2423"/>
    </row>
    <row r="46736" spans="6:6">
      <c r="F46736" s="2423"/>
    </row>
    <row r="46737" spans="6:6">
      <c r="F46737" s="2423"/>
    </row>
    <row r="46738" spans="6:6">
      <c r="F46738" s="2423"/>
    </row>
    <row r="46739" spans="6:6">
      <c r="F46739" s="2423"/>
    </row>
    <row r="46740" spans="6:6">
      <c r="F46740" s="2423"/>
    </row>
    <row r="46741" spans="6:6">
      <c r="F46741" s="2423"/>
    </row>
    <row r="46742" spans="6:6">
      <c r="F46742" s="2423"/>
    </row>
    <row r="46743" spans="6:6">
      <c r="F46743" s="2423"/>
    </row>
    <row r="46744" spans="6:6">
      <c r="F46744" s="2423"/>
    </row>
    <row r="46745" spans="6:6">
      <c r="F46745" s="2423"/>
    </row>
    <row r="46746" spans="6:6">
      <c r="F46746" s="2423"/>
    </row>
    <row r="46747" spans="6:6">
      <c r="F46747" s="2423"/>
    </row>
    <row r="46748" spans="6:6">
      <c r="F46748" s="2423"/>
    </row>
    <row r="46749" spans="6:6">
      <c r="F46749" s="2423"/>
    </row>
    <row r="46750" spans="6:6">
      <c r="F46750" s="2423"/>
    </row>
    <row r="46751" spans="6:6">
      <c r="F46751" s="2423"/>
    </row>
    <row r="46752" spans="6:6">
      <c r="F46752" s="2423"/>
    </row>
    <row r="46753" spans="6:6">
      <c r="F46753" s="2423"/>
    </row>
    <row r="46754" spans="6:6">
      <c r="F46754" s="2423"/>
    </row>
    <row r="46755" spans="6:6">
      <c r="F46755" s="2423"/>
    </row>
    <row r="46756" spans="6:6">
      <c r="F46756" s="2423"/>
    </row>
    <row r="46757" spans="6:6">
      <c r="F46757" s="2423"/>
    </row>
    <row r="46758" spans="6:6">
      <c r="F46758" s="2423"/>
    </row>
    <row r="46759" spans="6:6">
      <c r="F46759" s="2423"/>
    </row>
    <row r="46760" spans="6:6">
      <c r="F46760" s="2423"/>
    </row>
    <row r="46761" spans="6:6">
      <c r="F46761" s="2423"/>
    </row>
    <row r="46762" spans="6:6">
      <c r="F46762" s="2423"/>
    </row>
    <row r="46763" spans="6:6">
      <c r="F46763" s="2423"/>
    </row>
    <row r="46764" spans="6:6">
      <c r="F46764" s="2423"/>
    </row>
    <row r="46765" spans="6:6">
      <c r="F46765" s="2423"/>
    </row>
    <row r="46766" spans="6:6">
      <c r="F46766" s="2423"/>
    </row>
    <row r="46767" spans="6:6">
      <c r="F46767" s="2423"/>
    </row>
    <row r="46768" spans="6:6">
      <c r="F46768" s="2423"/>
    </row>
    <row r="46769" spans="6:6">
      <c r="F46769" s="2423"/>
    </row>
    <row r="46770" spans="6:6">
      <c r="F46770" s="2423"/>
    </row>
    <row r="46771" spans="6:6">
      <c r="F46771" s="2423"/>
    </row>
    <row r="46772" spans="6:6">
      <c r="F46772" s="2423"/>
    </row>
    <row r="46773" spans="6:6">
      <c r="F46773" s="2423"/>
    </row>
    <row r="46774" spans="6:6">
      <c r="F46774" s="2423"/>
    </row>
    <row r="46775" spans="6:6">
      <c r="F46775" s="2423"/>
    </row>
    <row r="46776" spans="6:6">
      <c r="F46776" s="2423"/>
    </row>
    <row r="46777" spans="6:6">
      <c r="F46777" s="2423"/>
    </row>
    <row r="46778" spans="6:6">
      <c r="F46778" s="2423"/>
    </row>
    <row r="46779" spans="6:6">
      <c r="F46779" s="2423"/>
    </row>
    <row r="46780" spans="6:6">
      <c r="F46780" s="2423"/>
    </row>
    <row r="46781" spans="6:6">
      <c r="F46781" s="2423"/>
    </row>
    <row r="46782" spans="6:6">
      <c r="F46782" s="2423"/>
    </row>
    <row r="46783" spans="6:6">
      <c r="F46783" s="2423"/>
    </row>
    <row r="46784" spans="6:6">
      <c r="F46784" s="2423"/>
    </row>
    <row r="46785" spans="6:6">
      <c r="F46785" s="2423"/>
    </row>
    <row r="46786" spans="6:6">
      <c r="F46786" s="2423"/>
    </row>
    <row r="46787" spans="6:6">
      <c r="F46787" s="2423"/>
    </row>
    <row r="46788" spans="6:6">
      <c r="F46788" s="2423"/>
    </row>
    <row r="46789" spans="6:6">
      <c r="F46789" s="2423"/>
    </row>
    <row r="46790" spans="6:6">
      <c r="F46790" s="2423"/>
    </row>
    <row r="46791" spans="6:6">
      <c r="F46791" s="2423"/>
    </row>
    <row r="46792" spans="6:6">
      <c r="F46792" s="2423"/>
    </row>
    <row r="46793" spans="6:6">
      <c r="F46793" s="2423"/>
    </row>
    <row r="46794" spans="6:6">
      <c r="F46794" s="2423"/>
    </row>
    <row r="46795" spans="6:6">
      <c r="F46795" s="2423"/>
    </row>
    <row r="46796" spans="6:6">
      <c r="F46796" s="2423"/>
    </row>
    <row r="46797" spans="6:6">
      <c r="F46797" s="2423"/>
    </row>
    <row r="46798" spans="6:6">
      <c r="F46798" s="2423"/>
    </row>
    <row r="46799" spans="6:6">
      <c r="F46799" s="2423"/>
    </row>
    <row r="46800" spans="6:6">
      <c r="F46800" s="2423"/>
    </row>
    <row r="46801" spans="6:6">
      <c r="F46801" s="2423"/>
    </row>
    <row r="46802" spans="6:6">
      <c r="F46802" s="2423"/>
    </row>
    <row r="46803" spans="6:6">
      <c r="F46803" s="2423"/>
    </row>
    <row r="46804" spans="6:6">
      <c r="F46804" s="2423"/>
    </row>
    <row r="46805" spans="6:6">
      <c r="F46805" s="2423"/>
    </row>
    <row r="46806" spans="6:6">
      <c r="F46806" s="2423"/>
    </row>
    <row r="46807" spans="6:6">
      <c r="F46807" s="2423"/>
    </row>
    <row r="46808" spans="6:6">
      <c r="F46808" s="2423"/>
    </row>
    <row r="46809" spans="6:6">
      <c r="F46809" s="2423"/>
    </row>
    <row r="46810" spans="6:6">
      <c r="F46810" s="2423"/>
    </row>
    <row r="46811" spans="6:6">
      <c r="F46811" s="2423"/>
    </row>
    <row r="46812" spans="6:6">
      <c r="F46812" s="2423"/>
    </row>
    <row r="46813" spans="6:6">
      <c r="F46813" s="2423"/>
    </row>
    <row r="46814" spans="6:6">
      <c r="F46814" s="2423"/>
    </row>
    <row r="46815" spans="6:6">
      <c r="F46815" s="2423"/>
    </row>
    <row r="46816" spans="6:6">
      <c r="F46816" s="2423"/>
    </row>
    <row r="46817" spans="6:6">
      <c r="F46817" s="2423"/>
    </row>
    <row r="46818" spans="6:6">
      <c r="F46818" s="2423"/>
    </row>
    <row r="46819" spans="6:6">
      <c r="F46819" s="2423"/>
    </row>
    <row r="46820" spans="6:6">
      <c r="F46820" s="2423"/>
    </row>
    <row r="46821" spans="6:6">
      <c r="F46821" s="2423"/>
    </row>
    <row r="46822" spans="6:6">
      <c r="F46822" s="2423"/>
    </row>
    <row r="46823" spans="6:6">
      <c r="F46823" s="2423"/>
    </row>
    <row r="46824" spans="6:6">
      <c r="F46824" s="2423"/>
    </row>
    <row r="46825" spans="6:6">
      <c r="F46825" s="2423"/>
    </row>
    <row r="46826" spans="6:6">
      <c r="F46826" s="2423"/>
    </row>
    <row r="46827" spans="6:6">
      <c r="F46827" s="2423"/>
    </row>
    <row r="46828" spans="6:6">
      <c r="F46828" s="2423"/>
    </row>
    <row r="46829" spans="6:6">
      <c r="F46829" s="2423"/>
    </row>
    <row r="46830" spans="6:6">
      <c r="F46830" s="2423"/>
    </row>
    <row r="46831" spans="6:6">
      <c r="F46831" s="2423"/>
    </row>
    <row r="46832" spans="6:6">
      <c r="F46832" s="2423"/>
    </row>
    <row r="46833" spans="6:6">
      <c r="F46833" s="2423"/>
    </row>
    <row r="46834" spans="6:6">
      <c r="F46834" s="2423"/>
    </row>
    <row r="46835" spans="6:6">
      <c r="F46835" s="2423"/>
    </row>
    <row r="46836" spans="6:6">
      <c r="F46836" s="2423"/>
    </row>
    <row r="46837" spans="6:6">
      <c r="F46837" s="2423"/>
    </row>
    <row r="46838" spans="6:6">
      <c r="F46838" s="2423"/>
    </row>
    <row r="46839" spans="6:6">
      <c r="F46839" s="2423"/>
    </row>
    <row r="46840" spans="6:6">
      <c r="F46840" s="2423"/>
    </row>
    <row r="46841" spans="6:6">
      <c r="F46841" s="2423"/>
    </row>
    <row r="46842" spans="6:6">
      <c r="F46842" s="2423"/>
    </row>
    <row r="46843" spans="6:6">
      <c r="F46843" s="2423"/>
    </row>
    <row r="46844" spans="6:6">
      <c r="F46844" s="2423"/>
    </row>
    <row r="46845" spans="6:6">
      <c r="F46845" s="2423"/>
    </row>
    <row r="46846" spans="6:6">
      <c r="F46846" s="2423"/>
    </row>
    <row r="46847" spans="6:6">
      <c r="F46847" s="2423"/>
    </row>
    <row r="46848" spans="6:6">
      <c r="F46848" s="2423"/>
    </row>
    <row r="46849" spans="6:6">
      <c r="F46849" s="2423"/>
    </row>
    <row r="46850" spans="6:6">
      <c r="F46850" s="2423"/>
    </row>
    <row r="46851" spans="6:6">
      <c r="F46851" s="2423"/>
    </row>
    <row r="46852" spans="6:6">
      <c r="F46852" s="2423"/>
    </row>
    <row r="46853" spans="6:6">
      <c r="F46853" s="2423"/>
    </row>
    <row r="46854" spans="6:6">
      <c r="F46854" s="2423"/>
    </row>
    <row r="46855" spans="6:6">
      <c r="F46855" s="2423"/>
    </row>
    <row r="46856" spans="6:6">
      <c r="F46856" s="2423"/>
    </row>
    <row r="46857" spans="6:6">
      <c r="F46857" s="2423"/>
    </row>
    <row r="46858" spans="6:6">
      <c r="F46858" s="2423"/>
    </row>
    <row r="46859" spans="6:6">
      <c r="F46859" s="2423"/>
    </row>
    <row r="46860" spans="6:6">
      <c r="F46860" s="2423"/>
    </row>
    <row r="46861" spans="6:6">
      <c r="F46861" s="2423"/>
    </row>
    <row r="46862" spans="6:6">
      <c r="F46862" s="2423"/>
    </row>
    <row r="46863" spans="6:6">
      <c r="F46863" s="2423"/>
    </row>
    <row r="46864" spans="6:6">
      <c r="F46864" s="2423"/>
    </row>
    <row r="46865" spans="6:6">
      <c r="F46865" s="2423"/>
    </row>
    <row r="46866" spans="6:6">
      <c r="F46866" s="2423"/>
    </row>
    <row r="46867" spans="6:6">
      <c r="F46867" s="2423"/>
    </row>
    <row r="46868" spans="6:6">
      <c r="F46868" s="2423"/>
    </row>
    <row r="46869" spans="6:6">
      <c r="F46869" s="2423"/>
    </row>
    <row r="46870" spans="6:6">
      <c r="F46870" s="2423"/>
    </row>
    <row r="46871" spans="6:6">
      <c r="F46871" s="2423"/>
    </row>
    <row r="46872" spans="6:6">
      <c r="F46872" s="2423"/>
    </row>
    <row r="46873" spans="6:6">
      <c r="F46873" s="2423"/>
    </row>
    <row r="46874" spans="6:6">
      <c r="F46874" s="2423"/>
    </row>
    <row r="46875" spans="6:6">
      <c r="F46875" s="2423"/>
    </row>
    <row r="46876" spans="6:6">
      <c r="F46876" s="2423"/>
    </row>
    <row r="46877" spans="6:6">
      <c r="F46877" s="2423"/>
    </row>
    <row r="46878" spans="6:6">
      <c r="F46878" s="2423"/>
    </row>
    <row r="46879" spans="6:6">
      <c r="F46879" s="2423"/>
    </row>
    <row r="46880" spans="6:6">
      <c r="F46880" s="2423"/>
    </row>
    <row r="46881" spans="6:6">
      <c r="F46881" s="2423"/>
    </row>
    <row r="46882" spans="6:6">
      <c r="F46882" s="2423"/>
    </row>
    <row r="46883" spans="6:6">
      <c r="F46883" s="2423"/>
    </row>
    <row r="46884" spans="6:6">
      <c r="F46884" s="2423"/>
    </row>
    <row r="46885" spans="6:6">
      <c r="F46885" s="2423"/>
    </row>
    <row r="46886" spans="6:6">
      <c r="F46886" s="2423"/>
    </row>
    <row r="46887" spans="6:6">
      <c r="F46887" s="2423"/>
    </row>
    <row r="46888" spans="6:6">
      <c r="F46888" s="2423"/>
    </row>
    <row r="46889" spans="6:6">
      <c r="F46889" s="2423"/>
    </row>
    <row r="46890" spans="6:6">
      <c r="F46890" s="2423"/>
    </row>
    <row r="46891" spans="6:6">
      <c r="F46891" s="2423"/>
    </row>
    <row r="46892" spans="6:6">
      <c r="F46892" s="2423"/>
    </row>
    <row r="46893" spans="6:6">
      <c r="F46893" s="2423"/>
    </row>
    <row r="46894" spans="6:6">
      <c r="F46894" s="2423"/>
    </row>
    <row r="46895" spans="6:6">
      <c r="F46895" s="2423"/>
    </row>
    <row r="46896" spans="6:6">
      <c r="F46896" s="2423"/>
    </row>
    <row r="46897" spans="6:6">
      <c r="F46897" s="2423"/>
    </row>
    <row r="46898" spans="6:6">
      <c r="F46898" s="2423"/>
    </row>
    <row r="46899" spans="6:6">
      <c r="F46899" s="2423"/>
    </row>
    <row r="46900" spans="6:6">
      <c r="F46900" s="2423"/>
    </row>
    <row r="46901" spans="6:6">
      <c r="F46901" s="2423"/>
    </row>
    <row r="46902" spans="6:6">
      <c r="F46902" s="2423"/>
    </row>
    <row r="46903" spans="6:6">
      <c r="F46903" s="2423"/>
    </row>
    <row r="46904" spans="6:6">
      <c r="F46904" s="2423"/>
    </row>
    <row r="46905" spans="6:6">
      <c r="F46905" s="2423"/>
    </row>
    <row r="46906" spans="6:6">
      <c r="F46906" s="2423"/>
    </row>
    <row r="46907" spans="6:6">
      <c r="F46907" s="2423"/>
    </row>
    <row r="46908" spans="6:6">
      <c r="F46908" s="2423"/>
    </row>
    <row r="46909" spans="6:6">
      <c r="F46909" s="2423"/>
    </row>
    <row r="46910" spans="6:6">
      <c r="F46910" s="2423"/>
    </row>
    <row r="46911" spans="6:6">
      <c r="F46911" s="2423"/>
    </row>
    <row r="46912" spans="6:6">
      <c r="F46912" s="2423"/>
    </row>
    <row r="46913" spans="6:6">
      <c r="F46913" s="2423"/>
    </row>
    <row r="46914" spans="6:6">
      <c r="F46914" s="2423"/>
    </row>
    <row r="46915" spans="6:6">
      <c r="F46915" s="2423"/>
    </row>
    <row r="46916" spans="6:6">
      <c r="F46916" s="2423"/>
    </row>
    <row r="46917" spans="6:6">
      <c r="F46917" s="2423"/>
    </row>
    <row r="46918" spans="6:6">
      <c r="F46918" s="2423"/>
    </row>
    <row r="46919" spans="6:6">
      <c r="F46919" s="2423"/>
    </row>
    <row r="46920" spans="6:6">
      <c r="F46920" s="2423"/>
    </row>
    <row r="46921" spans="6:6">
      <c r="F46921" s="2423"/>
    </row>
    <row r="46922" spans="6:6">
      <c r="F46922" s="2423"/>
    </row>
    <row r="46923" spans="6:6">
      <c r="F46923" s="2423"/>
    </row>
    <row r="46924" spans="6:6">
      <c r="F46924" s="2423"/>
    </row>
    <row r="46925" spans="6:6">
      <c r="F46925" s="2423"/>
    </row>
    <row r="46926" spans="6:6">
      <c r="F46926" s="2423"/>
    </row>
    <row r="46927" spans="6:6">
      <c r="F46927" s="2423"/>
    </row>
    <row r="46928" spans="6:6">
      <c r="F46928" s="2423"/>
    </row>
    <row r="46929" spans="6:6">
      <c r="F46929" s="2423"/>
    </row>
    <row r="46930" spans="6:6">
      <c r="F46930" s="2423"/>
    </row>
    <row r="46931" spans="6:6">
      <c r="F46931" s="2423"/>
    </row>
    <row r="46932" spans="6:6">
      <c r="F46932" s="2423"/>
    </row>
    <row r="46933" spans="6:6">
      <c r="F46933" s="2423"/>
    </row>
    <row r="46934" spans="6:6">
      <c r="F46934" s="2423"/>
    </row>
    <row r="46935" spans="6:6">
      <c r="F46935" s="2423"/>
    </row>
    <row r="46936" spans="6:6">
      <c r="F46936" s="2423"/>
    </row>
    <row r="46937" spans="6:6">
      <c r="F46937" s="2423"/>
    </row>
    <row r="46938" spans="6:6">
      <c r="F46938" s="2423"/>
    </row>
    <row r="46939" spans="6:6">
      <c r="F46939" s="2423"/>
    </row>
    <row r="46940" spans="6:6">
      <c r="F46940" s="2423"/>
    </row>
    <row r="46941" spans="6:6">
      <c r="F46941" s="2423"/>
    </row>
    <row r="46942" spans="6:6">
      <c r="F46942" s="2423"/>
    </row>
    <row r="46943" spans="6:6">
      <c r="F46943" s="2423"/>
    </row>
    <row r="46944" spans="6:6">
      <c r="F46944" s="2423"/>
    </row>
    <row r="46945" spans="6:6">
      <c r="F46945" s="2423"/>
    </row>
    <row r="46946" spans="6:6">
      <c r="F46946" s="2423"/>
    </row>
    <row r="46947" spans="6:6">
      <c r="F46947" s="2423"/>
    </row>
    <row r="46948" spans="6:6">
      <c r="F46948" s="2423"/>
    </row>
    <row r="46949" spans="6:6">
      <c r="F46949" s="2423"/>
    </row>
    <row r="46950" spans="6:6">
      <c r="F46950" s="2423"/>
    </row>
    <row r="46951" spans="6:6">
      <c r="F46951" s="2423"/>
    </row>
    <row r="46952" spans="6:6">
      <c r="F46952" s="2423"/>
    </row>
    <row r="46953" spans="6:6">
      <c r="F46953" s="2423"/>
    </row>
    <row r="46954" spans="6:6">
      <c r="F46954" s="2423"/>
    </row>
    <row r="46955" spans="6:6">
      <c r="F46955" s="2423"/>
    </row>
    <row r="46956" spans="6:6">
      <c r="F46956" s="2423"/>
    </row>
    <row r="46957" spans="6:6">
      <c r="F46957" s="2423"/>
    </row>
    <row r="46958" spans="6:6">
      <c r="F46958" s="2423"/>
    </row>
    <row r="46959" spans="6:6">
      <c r="F46959" s="2423"/>
    </row>
    <row r="46960" spans="6:6">
      <c r="F46960" s="2423"/>
    </row>
    <row r="46961" spans="6:6">
      <c r="F46961" s="2423"/>
    </row>
    <row r="46962" spans="6:6">
      <c r="F46962" s="2423"/>
    </row>
    <row r="46963" spans="6:6">
      <c r="F46963" s="2423"/>
    </row>
    <row r="46964" spans="6:6">
      <c r="F46964" s="2423"/>
    </row>
    <row r="46965" spans="6:6">
      <c r="F46965" s="2423"/>
    </row>
    <row r="46966" spans="6:6">
      <c r="F46966" s="2423"/>
    </row>
    <row r="46967" spans="6:6">
      <c r="F46967" s="2423"/>
    </row>
    <row r="46968" spans="6:6">
      <c r="F46968" s="2423"/>
    </row>
    <row r="46969" spans="6:6">
      <c r="F46969" s="2423"/>
    </row>
    <row r="46970" spans="6:6">
      <c r="F46970" s="2423"/>
    </row>
    <row r="46971" spans="6:6">
      <c r="F46971" s="2423"/>
    </row>
    <row r="46972" spans="6:6">
      <c r="F46972" s="2423"/>
    </row>
    <row r="46973" spans="6:6">
      <c r="F46973" s="2423"/>
    </row>
    <row r="46974" spans="6:6">
      <c r="F46974" s="2423"/>
    </row>
    <row r="46975" spans="6:6">
      <c r="F46975" s="2423"/>
    </row>
    <row r="46976" spans="6:6">
      <c r="F46976" s="2423"/>
    </row>
    <row r="46977" spans="6:6">
      <c r="F46977" s="2423"/>
    </row>
    <row r="46978" spans="6:6">
      <c r="F46978" s="2423"/>
    </row>
    <row r="46979" spans="6:6">
      <c r="F46979" s="2423"/>
    </row>
    <row r="46980" spans="6:6">
      <c r="F46980" s="2423"/>
    </row>
    <row r="46981" spans="6:6">
      <c r="F46981" s="2423"/>
    </row>
    <row r="46982" spans="6:6">
      <c r="F46982" s="2423"/>
    </row>
    <row r="46983" spans="6:6">
      <c r="F46983" s="2423"/>
    </row>
    <row r="46984" spans="6:6">
      <c r="F46984" s="2423"/>
    </row>
    <row r="46985" spans="6:6">
      <c r="F46985" s="2423"/>
    </row>
    <row r="46986" spans="6:6">
      <c r="F46986" s="2423"/>
    </row>
    <row r="46987" spans="6:6">
      <c r="F46987" s="2423"/>
    </row>
    <row r="46988" spans="6:6">
      <c r="F46988" s="2423"/>
    </row>
    <row r="46989" spans="6:6">
      <c r="F46989" s="2423"/>
    </row>
    <row r="46990" spans="6:6">
      <c r="F46990" s="2423"/>
    </row>
    <row r="46991" spans="6:6">
      <c r="F46991" s="2423"/>
    </row>
    <row r="46992" spans="6:6">
      <c r="F46992" s="2423"/>
    </row>
    <row r="46993" spans="6:6">
      <c r="F46993" s="2423"/>
    </row>
    <row r="46994" spans="6:6">
      <c r="F46994" s="2423"/>
    </row>
    <row r="46995" spans="6:6">
      <c r="F46995" s="2423"/>
    </row>
    <row r="46996" spans="6:6">
      <c r="F46996" s="2423"/>
    </row>
    <row r="46997" spans="6:6">
      <c r="F46997" s="2423"/>
    </row>
    <row r="46998" spans="6:6">
      <c r="F46998" s="2423"/>
    </row>
    <row r="46999" spans="6:6">
      <c r="F46999" s="2423"/>
    </row>
    <row r="47000" spans="6:6">
      <c r="F47000" s="2423"/>
    </row>
    <row r="47001" spans="6:6">
      <c r="F47001" s="2423"/>
    </row>
    <row r="47002" spans="6:6">
      <c r="F47002" s="2423"/>
    </row>
    <row r="47003" spans="6:6">
      <c r="F47003" s="2423"/>
    </row>
    <row r="47004" spans="6:6">
      <c r="F47004" s="2423"/>
    </row>
    <row r="47005" spans="6:6">
      <c r="F47005" s="2423"/>
    </row>
    <row r="47006" spans="6:6">
      <c r="F47006" s="2423"/>
    </row>
    <row r="47007" spans="6:6">
      <c r="F47007" s="2423"/>
    </row>
    <row r="47008" spans="6:6">
      <c r="F47008" s="2423"/>
    </row>
    <row r="47009" spans="6:6">
      <c r="F47009" s="2423"/>
    </row>
    <row r="47010" spans="6:6">
      <c r="F47010" s="2423"/>
    </row>
    <row r="47011" spans="6:6">
      <c r="F47011" s="2423"/>
    </row>
    <row r="47012" spans="6:6">
      <c r="F47012" s="2423"/>
    </row>
    <row r="47013" spans="6:6">
      <c r="F47013" s="2423"/>
    </row>
    <row r="47014" spans="6:6">
      <c r="F47014" s="2423"/>
    </row>
    <row r="47015" spans="6:6">
      <c r="F47015" s="2423"/>
    </row>
    <row r="47016" spans="6:6">
      <c r="F47016" s="2423"/>
    </row>
    <row r="47017" spans="6:6">
      <c r="F47017" s="2423"/>
    </row>
    <row r="47018" spans="6:6">
      <c r="F47018" s="2423"/>
    </row>
    <row r="47019" spans="6:6">
      <c r="F47019" s="2423"/>
    </row>
    <row r="47020" spans="6:6">
      <c r="F47020" s="2423"/>
    </row>
    <row r="47021" spans="6:6">
      <c r="F47021" s="2423"/>
    </row>
    <row r="47022" spans="6:6">
      <c r="F47022" s="2423"/>
    </row>
    <row r="47023" spans="6:6">
      <c r="F47023" s="2423"/>
    </row>
    <row r="47024" spans="6:6">
      <c r="F47024" s="2423"/>
    </row>
    <row r="47025" spans="6:6">
      <c r="F47025" s="2423"/>
    </row>
    <row r="47026" spans="6:6">
      <c r="F47026" s="2423"/>
    </row>
    <row r="47027" spans="6:6">
      <c r="F47027" s="2423"/>
    </row>
    <row r="47028" spans="6:6">
      <c r="F47028" s="2423"/>
    </row>
    <row r="47029" spans="6:6">
      <c r="F47029" s="2423"/>
    </row>
    <row r="47030" spans="6:6">
      <c r="F47030" s="2423"/>
    </row>
    <row r="47031" spans="6:6">
      <c r="F47031" s="2423"/>
    </row>
    <row r="47032" spans="6:6">
      <c r="F47032" s="2423"/>
    </row>
    <row r="47033" spans="6:6">
      <c r="F47033" s="2423"/>
    </row>
    <row r="47034" spans="6:6">
      <c r="F47034" s="2423"/>
    </row>
    <row r="47035" spans="6:6">
      <c r="F47035" s="2423"/>
    </row>
    <row r="47036" spans="6:6">
      <c r="F47036" s="2423"/>
    </row>
    <row r="47037" spans="6:6">
      <c r="F47037" s="2423"/>
    </row>
    <row r="47038" spans="6:6">
      <c r="F47038" s="2423"/>
    </row>
    <row r="47039" spans="6:6">
      <c r="F47039" s="2423"/>
    </row>
    <row r="47040" spans="6:6">
      <c r="F47040" s="2423"/>
    </row>
    <row r="47041" spans="6:6">
      <c r="F47041" s="2423"/>
    </row>
    <row r="47042" spans="6:6">
      <c r="F47042" s="2423"/>
    </row>
    <row r="47043" spans="6:6">
      <c r="F47043" s="2423"/>
    </row>
    <row r="47044" spans="6:6">
      <c r="F47044" s="2423"/>
    </row>
    <row r="47045" spans="6:6">
      <c r="F47045" s="2423"/>
    </row>
    <row r="47046" spans="6:6">
      <c r="F47046" s="2423"/>
    </row>
    <row r="47047" spans="6:6">
      <c r="F47047" s="2423"/>
    </row>
    <row r="47048" spans="6:6">
      <c r="F47048" s="2423"/>
    </row>
    <row r="47049" spans="6:6">
      <c r="F47049" s="2423"/>
    </row>
    <row r="47050" spans="6:6">
      <c r="F47050" s="2423"/>
    </row>
    <row r="47051" spans="6:6">
      <c r="F47051" s="2423"/>
    </row>
    <row r="47052" spans="6:6">
      <c r="F47052" s="2423"/>
    </row>
    <row r="47053" spans="6:6">
      <c r="F47053" s="2423"/>
    </row>
    <row r="47054" spans="6:6">
      <c r="F47054" s="2423"/>
    </row>
    <row r="47055" spans="6:6">
      <c r="F47055" s="2423"/>
    </row>
    <row r="47056" spans="6:6">
      <c r="F47056" s="2423"/>
    </row>
    <row r="47057" spans="6:6">
      <c r="F47057" s="2423"/>
    </row>
    <row r="47058" spans="6:6">
      <c r="F47058" s="2423"/>
    </row>
    <row r="47059" spans="6:6">
      <c r="F47059" s="2423"/>
    </row>
    <row r="47060" spans="6:6">
      <c r="F47060" s="2423"/>
    </row>
    <row r="47061" spans="6:6">
      <c r="F47061" s="2423"/>
    </row>
    <row r="47062" spans="6:6">
      <c r="F47062" s="2423"/>
    </row>
    <row r="47063" spans="6:6">
      <c r="F47063" s="2423"/>
    </row>
    <row r="47064" spans="6:6">
      <c r="F47064" s="2423"/>
    </row>
    <row r="47065" spans="6:6">
      <c r="F47065" s="2423"/>
    </row>
    <row r="47066" spans="6:6">
      <c r="F47066" s="2423"/>
    </row>
    <row r="47067" spans="6:6">
      <c r="F47067" s="2423"/>
    </row>
    <row r="47068" spans="6:6">
      <c r="F47068" s="2423"/>
    </row>
    <row r="47069" spans="6:6">
      <c r="F47069" s="2423"/>
    </row>
    <row r="47070" spans="6:6">
      <c r="F47070" s="2423"/>
    </row>
    <row r="47071" spans="6:6">
      <c r="F47071" s="2423"/>
    </row>
    <row r="47072" spans="6:6">
      <c r="F47072" s="2423"/>
    </row>
    <row r="47073" spans="6:6">
      <c r="F47073" s="2423"/>
    </row>
    <row r="47074" spans="6:6">
      <c r="F47074" s="2423"/>
    </row>
    <row r="47075" spans="6:6">
      <c r="F47075" s="2423"/>
    </row>
    <row r="47076" spans="6:6">
      <c r="F47076" s="2423"/>
    </row>
    <row r="47077" spans="6:6">
      <c r="F47077" s="2423"/>
    </row>
    <row r="47078" spans="6:6">
      <c r="F47078" s="2423"/>
    </row>
    <row r="47079" spans="6:6">
      <c r="F47079" s="2423"/>
    </row>
    <row r="47080" spans="6:6">
      <c r="F47080" s="2423"/>
    </row>
    <row r="47081" spans="6:6">
      <c r="F47081" s="2423"/>
    </row>
    <row r="47082" spans="6:6">
      <c r="F47082" s="2423"/>
    </row>
    <row r="47083" spans="6:6">
      <c r="F47083" s="2423"/>
    </row>
    <row r="47084" spans="6:6">
      <c r="F47084" s="2423"/>
    </row>
    <row r="47085" spans="6:6">
      <c r="F47085" s="2423"/>
    </row>
    <row r="47086" spans="6:6">
      <c r="F47086" s="2423"/>
    </row>
    <row r="47087" spans="6:6">
      <c r="F47087" s="2423"/>
    </row>
    <row r="47088" spans="6:6">
      <c r="F47088" s="2423"/>
    </row>
    <row r="47089" spans="6:6">
      <c r="F47089" s="2423"/>
    </row>
    <row r="47090" spans="6:6">
      <c r="F47090" s="2423"/>
    </row>
    <row r="47091" spans="6:6">
      <c r="F47091" s="2423"/>
    </row>
    <row r="47092" spans="6:6">
      <c r="F47092" s="2423"/>
    </row>
    <row r="47093" spans="6:6">
      <c r="F47093" s="2423"/>
    </row>
    <row r="47094" spans="6:6">
      <c r="F47094" s="2423"/>
    </row>
    <row r="47095" spans="6:6">
      <c r="F47095" s="2423"/>
    </row>
    <row r="47096" spans="6:6">
      <c r="F47096" s="2423"/>
    </row>
    <row r="47097" spans="6:6">
      <c r="F47097" s="2423"/>
    </row>
    <row r="47098" spans="6:6">
      <c r="F47098" s="2423"/>
    </row>
    <row r="47099" spans="6:6">
      <c r="F47099" s="2423"/>
    </row>
    <row r="47100" spans="6:6">
      <c r="F47100" s="2423"/>
    </row>
    <row r="47101" spans="6:6">
      <c r="F47101" s="2423"/>
    </row>
    <row r="47102" spans="6:6">
      <c r="F47102" s="2423"/>
    </row>
    <row r="47103" spans="6:6">
      <c r="F47103" s="2423"/>
    </row>
    <row r="47104" spans="6:6">
      <c r="F47104" s="2423"/>
    </row>
    <row r="47105" spans="6:6">
      <c r="F47105" s="2423"/>
    </row>
    <row r="47106" spans="6:6">
      <c r="F47106" s="2423"/>
    </row>
    <row r="47107" spans="6:6">
      <c r="F47107" s="2423"/>
    </row>
    <row r="47108" spans="6:6">
      <c r="F47108" s="2423"/>
    </row>
    <row r="47109" spans="6:6">
      <c r="F47109" s="2423"/>
    </row>
    <row r="47110" spans="6:6">
      <c r="F47110" s="2423"/>
    </row>
    <row r="47111" spans="6:6">
      <c r="F47111" s="2423"/>
    </row>
    <row r="47112" spans="6:6">
      <c r="F47112" s="2423"/>
    </row>
    <row r="47113" spans="6:6">
      <c r="F47113" s="2423"/>
    </row>
    <row r="47114" spans="6:6">
      <c r="F47114" s="2423"/>
    </row>
    <row r="47115" spans="6:6">
      <c r="F47115" s="2423"/>
    </row>
    <row r="47116" spans="6:6">
      <c r="F47116" s="2423"/>
    </row>
    <row r="47117" spans="6:6">
      <c r="F47117" s="2423"/>
    </row>
    <row r="47118" spans="6:6">
      <c r="F47118" s="2423"/>
    </row>
    <row r="47119" spans="6:6">
      <c r="F47119" s="2423"/>
    </row>
    <row r="47120" spans="6:6">
      <c r="F47120" s="2423"/>
    </row>
    <row r="47121" spans="6:6">
      <c r="F47121" s="2423"/>
    </row>
    <row r="47122" spans="6:6">
      <c r="F47122" s="2423"/>
    </row>
    <row r="47123" spans="6:6">
      <c r="F47123" s="2423"/>
    </row>
    <row r="47124" spans="6:6">
      <c r="F47124" s="2423"/>
    </row>
    <row r="47125" spans="6:6">
      <c r="F47125" s="2423"/>
    </row>
    <row r="47126" spans="6:6">
      <c r="F47126" s="2423"/>
    </row>
    <row r="47127" spans="6:6">
      <c r="F47127" s="2423"/>
    </row>
    <row r="47128" spans="6:6">
      <c r="F47128" s="2423"/>
    </row>
    <row r="47129" spans="6:6">
      <c r="F47129" s="2423"/>
    </row>
    <row r="47130" spans="6:6">
      <c r="F47130" s="2423"/>
    </row>
    <row r="47131" spans="6:6">
      <c r="F47131" s="2423"/>
    </row>
    <row r="47132" spans="6:6">
      <c r="F47132" s="2423"/>
    </row>
    <row r="47133" spans="6:6">
      <c r="F47133" s="2423"/>
    </row>
    <row r="47134" spans="6:6">
      <c r="F47134" s="2423"/>
    </row>
    <row r="47135" spans="6:6">
      <c r="F47135" s="2423"/>
    </row>
    <row r="47136" spans="6:6">
      <c r="F47136" s="2423"/>
    </row>
    <row r="47137" spans="6:6">
      <c r="F47137" s="2423"/>
    </row>
    <row r="47138" spans="6:6">
      <c r="F47138" s="2423"/>
    </row>
    <row r="47139" spans="6:6">
      <c r="F47139" s="2423"/>
    </row>
    <row r="47140" spans="6:6">
      <c r="F47140" s="2423"/>
    </row>
    <row r="47141" spans="6:6">
      <c r="F47141" s="2423"/>
    </row>
    <row r="47142" spans="6:6">
      <c r="F47142" s="2423"/>
    </row>
    <row r="47143" spans="6:6">
      <c r="F47143" s="2423"/>
    </row>
    <row r="47144" spans="6:6">
      <c r="F47144" s="2423"/>
    </row>
    <row r="47145" spans="6:6">
      <c r="F47145" s="2423"/>
    </row>
    <row r="47146" spans="6:6">
      <c r="F47146" s="2423"/>
    </row>
    <row r="47147" spans="6:6">
      <c r="F47147" s="2423"/>
    </row>
    <row r="47148" spans="6:6">
      <c r="F47148" s="2423"/>
    </row>
    <row r="47149" spans="6:6">
      <c r="F47149" s="2423"/>
    </row>
    <row r="47150" spans="6:6">
      <c r="F47150" s="2423"/>
    </row>
    <row r="47151" spans="6:6">
      <c r="F47151" s="2423"/>
    </row>
    <row r="47152" spans="6:6">
      <c r="F47152" s="2423"/>
    </row>
    <row r="47153" spans="6:6">
      <c r="F47153" s="2423"/>
    </row>
    <row r="47154" spans="6:6">
      <c r="F47154" s="2423"/>
    </row>
    <row r="47155" spans="6:6">
      <c r="F47155" s="2423"/>
    </row>
    <row r="47156" spans="6:6">
      <c r="F47156" s="2423"/>
    </row>
    <row r="47157" spans="6:6">
      <c r="F47157" s="2423"/>
    </row>
    <row r="47158" spans="6:6">
      <c r="F47158" s="2423"/>
    </row>
    <row r="47159" spans="6:6">
      <c r="F47159" s="2423"/>
    </row>
    <row r="47160" spans="6:6">
      <c r="F47160" s="2423"/>
    </row>
    <row r="47161" spans="6:6">
      <c r="F47161" s="2423"/>
    </row>
    <row r="47162" spans="6:6">
      <c r="F47162" s="2423"/>
    </row>
    <row r="47163" spans="6:6">
      <c r="F47163" s="2423"/>
    </row>
    <row r="47164" spans="6:6">
      <c r="F47164" s="2423"/>
    </row>
    <row r="47165" spans="6:6">
      <c r="F47165" s="2423"/>
    </row>
    <row r="47166" spans="6:6">
      <c r="F47166" s="2423"/>
    </row>
    <row r="47167" spans="6:6">
      <c r="F47167" s="2423"/>
    </row>
    <row r="47168" spans="6:6">
      <c r="F47168" s="2423"/>
    </row>
    <row r="47169" spans="6:6">
      <c r="F47169" s="2423"/>
    </row>
    <row r="47170" spans="6:6">
      <c r="F47170" s="2423"/>
    </row>
    <row r="47171" spans="6:6">
      <c r="F47171" s="2423"/>
    </row>
    <row r="47172" spans="6:6">
      <c r="F47172" s="2423"/>
    </row>
    <row r="47173" spans="6:6">
      <c r="F47173" s="2423"/>
    </row>
    <row r="47174" spans="6:6">
      <c r="F47174" s="2423"/>
    </row>
    <row r="47175" spans="6:6">
      <c r="F47175" s="2423"/>
    </row>
    <row r="47176" spans="6:6">
      <c r="F47176" s="2423"/>
    </row>
    <row r="47177" spans="6:6">
      <c r="F47177" s="2423"/>
    </row>
    <row r="47178" spans="6:6">
      <c r="F47178" s="2423"/>
    </row>
    <row r="47179" spans="6:6">
      <c r="F47179" s="2423"/>
    </row>
    <row r="47180" spans="6:6">
      <c r="F47180" s="2423"/>
    </row>
    <row r="47181" spans="6:6">
      <c r="F47181" s="2423"/>
    </row>
    <row r="47182" spans="6:6">
      <c r="F47182" s="2423"/>
    </row>
    <row r="47183" spans="6:6">
      <c r="F47183" s="2423"/>
    </row>
    <row r="47184" spans="6:6">
      <c r="F47184" s="2423"/>
    </row>
    <row r="47185" spans="6:6">
      <c r="F47185" s="2423"/>
    </row>
    <row r="47186" spans="6:6">
      <c r="F47186" s="2423"/>
    </row>
    <row r="47187" spans="6:6">
      <c r="F47187" s="2423"/>
    </row>
    <row r="47188" spans="6:6">
      <c r="F47188" s="2423"/>
    </row>
    <row r="47189" spans="6:6">
      <c r="F47189" s="2423"/>
    </row>
    <row r="47190" spans="6:6">
      <c r="F47190" s="2423"/>
    </row>
    <row r="47191" spans="6:6">
      <c r="F47191" s="2423"/>
    </row>
    <row r="47192" spans="6:6">
      <c r="F47192" s="2423"/>
    </row>
    <row r="47193" spans="6:6">
      <c r="F47193" s="2423"/>
    </row>
    <row r="47194" spans="6:6">
      <c r="F47194" s="2423"/>
    </row>
    <row r="47195" spans="6:6">
      <c r="F47195" s="2423"/>
    </row>
    <row r="47196" spans="6:6">
      <c r="F47196" s="2423"/>
    </row>
    <row r="47197" spans="6:6">
      <c r="F47197" s="2423"/>
    </row>
    <row r="47198" spans="6:6">
      <c r="F47198" s="2423"/>
    </row>
    <row r="47199" spans="6:6">
      <c r="F47199" s="2423"/>
    </row>
    <row r="47200" spans="6:6">
      <c r="F47200" s="2423"/>
    </row>
    <row r="47201" spans="6:6">
      <c r="F47201" s="2423"/>
    </row>
    <row r="47202" spans="6:6">
      <c r="F47202" s="2423"/>
    </row>
    <row r="47203" spans="6:6">
      <c r="F47203" s="2423"/>
    </row>
    <row r="47204" spans="6:6">
      <c r="F47204" s="2423"/>
    </row>
    <row r="47205" spans="6:6">
      <c r="F47205" s="2423"/>
    </row>
    <row r="47206" spans="6:6">
      <c r="F47206" s="2423"/>
    </row>
    <row r="47207" spans="6:6">
      <c r="F47207" s="2423"/>
    </row>
    <row r="47208" spans="6:6">
      <c r="F47208" s="2423"/>
    </row>
    <row r="47209" spans="6:6">
      <c r="F47209" s="2423"/>
    </row>
    <row r="47210" spans="6:6">
      <c r="F47210" s="2423"/>
    </row>
    <row r="47211" spans="6:6">
      <c r="F47211" s="2423"/>
    </row>
    <row r="47212" spans="6:6">
      <c r="F47212" s="2423"/>
    </row>
    <row r="47213" spans="6:6">
      <c r="F47213" s="2423"/>
    </row>
    <row r="47214" spans="6:6">
      <c r="F47214" s="2423"/>
    </row>
    <row r="47215" spans="6:6">
      <c r="F47215" s="2423"/>
    </row>
    <row r="47216" spans="6:6">
      <c r="F47216" s="2423"/>
    </row>
    <row r="47217" spans="6:6">
      <c r="F47217" s="2423"/>
    </row>
    <row r="47218" spans="6:6">
      <c r="F47218" s="2423"/>
    </row>
    <row r="47219" spans="6:6">
      <c r="F47219" s="2423"/>
    </row>
    <row r="47220" spans="6:6">
      <c r="F47220" s="2423"/>
    </row>
    <row r="47221" spans="6:6">
      <c r="F47221" s="2423"/>
    </row>
    <row r="47222" spans="6:6">
      <c r="F47222" s="2423"/>
    </row>
    <row r="47223" spans="6:6">
      <c r="F47223" s="2423"/>
    </row>
    <row r="47224" spans="6:6">
      <c r="F47224" s="2423"/>
    </row>
    <row r="47225" spans="6:6">
      <c r="F47225" s="2423"/>
    </row>
    <row r="47226" spans="6:6">
      <c r="F47226" s="2423"/>
    </row>
    <row r="47227" spans="6:6">
      <c r="F47227" s="2423"/>
    </row>
    <row r="47228" spans="6:6">
      <c r="F47228" s="2423"/>
    </row>
    <row r="47229" spans="6:6">
      <c r="F47229" s="2423"/>
    </row>
    <row r="47230" spans="6:6">
      <c r="F47230" s="2423"/>
    </row>
    <row r="47231" spans="6:6">
      <c r="F47231" s="2423"/>
    </row>
    <row r="47232" spans="6:6">
      <c r="F47232" s="2423"/>
    </row>
    <row r="47233" spans="6:6">
      <c r="F47233" s="2423"/>
    </row>
    <row r="47234" spans="6:6">
      <c r="F47234" s="2423"/>
    </row>
    <row r="47235" spans="6:6">
      <c r="F47235" s="2423"/>
    </row>
    <row r="47236" spans="6:6">
      <c r="F47236" s="2423"/>
    </row>
    <row r="47237" spans="6:6">
      <c r="F47237" s="2423"/>
    </row>
    <row r="47238" spans="6:6">
      <c r="F47238" s="2423"/>
    </row>
    <row r="47239" spans="6:6">
      <c r="F47239" s="2423"/>
    </row>
    <row r="47240" spans="6:6">
      <c r="F47240" s="2423"/>
    </row>
    <row r="47241" spans="6:6">
      <c r="F47241" s="2423"/>
    </row>
    <row r="47242" spans="6:6">
      <c r="F47242" s="2423"/>
    </row>
    <row r="47243" spans="6:6">
      <c r="F47243" s="2423"/>
    </row>
    <row r="47244" spans="6:6">
      <c r="F47244" s="2423"/>
    </row>
    <row r="47245" spans="6:6">
      <c r="F47245" s="2423"/>
    </row>
    <row r="47246" spans="6:6">
      <c r="F47246" s="2423"/>
    </row>
    <row r="47247" spans="6:6">
      <c r="F47247" s="2423"/>
    </row>
    <row r="47248" spans="6:6">
      <c r="F47248" s="2423"/>
    </row>
    <row r="47249" spans="6:6">
      <c r="F47249" s="2423"/>
    </row>
    <row r="47250" spans="6:6">
      <c r="F47250" s="2423"/>
    </row>
    <row r="47251" spans="6:6">
      <c r="F47251" s="2423"/>
    </row>
    <row r="47252" spans="6:6">
      <c r="F47252" s="2423"/>
    </row>
    <row r="47253" spans="6:6">
      <c r="F47253" s="2423"/>
    </row>
    <row r="47254" spans="6:6">
      <c r="F47254" s="2423"/>
    </row>
    <row r="47255" spans="6:6">
      <c r="F47255" s="2423"/>
    </row>
    <row r="47256" spans="6:6">
      <c r="F47256" s="2423"/>
    </row>
    <row r="47257" spans="6:6">
      <c r="F47257" s="2423"/>
    </row>
    <row r="47258" spans="6:6">
      <c r="F47258" s="2423"/>
    </row>
    <row r="47259" spans="6:6">
      <c r="F47259" s="2423"/>
    </row>
    <row r="47260" spans="6:6">
      <c r="F47260" s="2423"/>
    </row>
    <row r="47261" spans="6:6">
      <c r="F47261" s="2423"/>
    </row>
    <row r="47262" spans="6:6">
      <c r="F47262" s="2423"/>
    </row>
    <row r="47263" spans="6:6">
      <c r="F47263" s="2423"/>
    </row>
    <row r="47264" spans="6:6">
      <c r="F47264" s="2423"/>
    </row>
    <row r="47265" spans="6:6">
      <c r="F47265" s="2423"/>
    </row>
    <row r="47266" spans="6:6">
      <c r="F47266" s="2423"/>
    </row>
    <row r="47267" spans="6:6">
      <c r="F47267" s="2423"/>
    </row>
    <row r="47268" spans="6:6">
      <c r="F47268" s="2423"/>
    </row>
    <row r="47269" spans="6:6">
      <c r="F47269" s="2423"/>
    </row>
    <row r="47270" spans="6:6">
      <c r="F47270" s="2423"/>
    </row>
    <row r="47271" spans="6:6">
      <c r="F47271" s="2423"/>
    </row>
    <row r="47272" spans="6:6">
      <c r="F47272" s="2423"/>
    </row>
    <row r="47273" spans="6:6">
      <c r="F47273" s="2423"/>
    </row>
    <row r="47274" spans="6:6">
      <c r="F47274" s="2423"/>
    </row>
    <row r="47275" spans="6:6">
      <c r="F47275" s="2423"/>
    </row>
    <row r="47276" spans="6:6">
      <c r="F47276" s="2423"/>
    </row>
    <row r="47277" spans="6:6">
      <c r="F47277" s="2423"/>
    </row>
    <row r="47278" spans="6:6">
      <c r="F47278" s="2423"/>
    </row>
    <row r="47279" spans="6:6">
      <c r="F47279" s="2423"/>
    </row>
    <row r="47280" spans="6:6">
      <c r="F47280" s="2423"/>
    </row>
    <row r="47281" spans="6:6">
      <c r="F47281" s="2423"/>
    </row>
    <row r="47282" spans="6:6">
      <c r="F47282" s="2423"/>
    </row>
    <row r="47283" spans="6:6">
      <c r="F47283" s="2423"/>
    </row>
    <row r="47284" spans="6:6">
      <c r="F47284" s="2423"/>
    </row>
    <row r="47285" spans="6:6">
      <c r="F47285" s="2423"/>
    </row>
    <row r="47286" spans="6:6">
      <c r="F47286" s="2423"/>
    </row>
    <row r="47287" spans="6:6">
      <c r="F47287" s="2423"/>
    </row>
    <row r="47288" spans="6:6">
      <c r="F47288" s="2423"/>
    </row>
    <row r="47289" spans="6:6">
      <c r="F47289" s="2423"/>
    </row>
    <row r="47290" spans="6:6">
      <c r="F47290" s="2423"/>
    </row>
    <row r="47291" spans="6:6">
      <c r="F47291" s="2423"/>
    </row>
    <row r="47292" spans="6:6">
      <c r="F47292" s="2423"/>
    </row>
    <row r="47293" spans="6:6">
      <c r="F47293" s="2423"/>
    </row>
    <row r="47294" spans="6:6">
      <c r="F47294" s="2423"/>
    </row>
    <row r="47295" spans="6:6">
      <c r="F47295" s="2423"/>
    </row>
    <row r="47296" spans="6:6">
      <c r="F47296" s="2423"/>
    </row>
    <row r="47297" spans="6:6">
      <c r="F47297" s="2423"/>
    </row>
    <row r="47298" spans="6:6">
      <c r="F47298" s="2423"/>
    </row>
    <row r="47299" spans="6:6">
      <c r="F47299" s="2423"/>
    </row>
    <row r="47300" spans="6:6">
      <c r="F47300" s="2423"/>
    </row>
    <row r="47301" spans="6:6">
      <c r="F47301" s="2423"/>
    </row>
    <row r="47302" spans="6:6">
      <c r="F47302" s="2423"/>
    </row>
    <row r="47303" spans="6:6">
      <c r="F47303" s="2423"/>
    </row>
    <row r="47304" spans="6:6">
      <c r="F47304" s="2423"/>
    </row>
    <row r="47305" spans="6:6">
      <c r="F47305" s="2423"/>
    </row>
    <row r="47306" spans="6:6">
      <c r="F47306" s="2423"/>
    </row>
    <row r="47307" spans="6:6">
      <c r="F47307" s="2423"/>
    </row>
    <row r="47308" spans="6:6">
      <c r="F47308" s="2423"/>
    </row>
    <row r="47309" spans="6:6">
      <c r="F47309" s="2423"/>
    </row>
    <row r="47310" spans="6:6">
      <c r="F47310" s="2423"/>
    </row>
    <row r="47311" spans="6:6">
      <c r="F47311" s="2423"/>
    </row>
    <row r="47312" spans="6:6">
      <c r="F47312" s="2423"/>
    </row>
    <row r="47313" spans="6:6">
      <c r="F47313" s="2423"/>
    </row>
    <row r="47314" spans="6:6">
      <c r="F47314" s="2423"/>
    </row>
    <row r="47315" spans="6:6">
      <c r="F47315" s="2423"/>
    </row>
    <row r="47316" spans="6:6">
      <c r="F47316" s="2423"/>
    </row>
    <row r="47317" spans="6:6">
      <c r="F47317" s="2423"/>
    </row>
    <row r="47318" spans="6:6">
      <c r="F47318" s="2423"/>
    </row>
    <row r="47319" spans="6:6">
      <c r="F47319" s="2423"/>
    </row>
    <row r="47320" spans="6:6">
      <c r="F47320" s="2423"/>
    </row>
    <row r="47321" spans="6:6">
      <c r="F47321" s="2423"/>
    </row>
    <row r="47322" spans="6:6">
      <c r="F47322" s="2423"/>
    </row>
    <row r="47323" spans="6:6">
      <c r="F47323" s="2423"/>
    </row>
    <row r="47324" spans="6:6">
      <c r="F47324" s="2423"/>
    </row>
    <row r="47325" spans="6:6">
      <c r="F47325" s="2423"/>
    </row>
    <row r="47326" spans="6:6">
      <c r="F47326" s="2423"/>
    </row>
    <row r="47327" spans="6:6">
      <c r="F47327" s="2423"/>
    </row>
    <row r="47328" spans="6:6">
      <c r="F47328" s="2423"/>
    </row>
    <row r="47329" spans="6:6">
      <c r="F47329" s="2423"/>
    </row>
    <row r="47330" spans="6:6">
      <c r="F47330" s="2423"/>
    </row>
    <row r="47331" spans="6:6">
      <c r="F47331" s="2423"/>
    </row>
    <row r="47332" spans="6:6">
      <c r="F47332" s="2423"/>
    </row>
    <row r="47333" spans="6:6">
      <c r="F47333" s="2423"/>
    </row>
    <row r="47334" spans="6:6">
      <c r="F47334" s="2423"/>
    </row>
    <row r="47335" spans="6:6">
      <c r="F47335" s="2423"/>
    </row>
    <row r="47336" spans="6:6">
      <c r="F47336" s="2423"/>
    </row>
    <row r="47337" spans="6:6">
      <c r="F47337" s="2423"/>
    </row>
    <row r="47338" spans="6:6">
      <c r="F47338" s="2423"/>
    </row>
    <row r="47339" spans="6:6">
      <c r="F47339" s="2423"/>
    </row>
    <row r="47340" spans="6:6">
      <c r="F47340" s="2423"/>
    </row>
    <row r="47341" spans="6:6">
      <c r="F47341" s="2423"/>
    </row>
    <row r="47342" spans="6:6">
      <c r="F47342" s="2423"/>
    </row>
    <row r="47343" spans="6:6">
      <c r="F47343" s="2423"/>
    </row>
    <row r="47344" spans="6:6">
      <c r="F47344" s="2423"/>
    </row>
    <row r="47345" spans="6:6">
      <c r="F47345" s="2423"/>
    </row>
    <row r="47346" spans="6:6">
      <c r="F47346" s="2423"/>
    </row>
    <row r="47347" spans="6:6">
      <c r="F47347" s="2423"/>
    </row>
    <row r="47348" spans="6:6">
      <c r="F47348" s="2423"/>
    </row>
    <row r="47349" spans="6:6">
      <c r="F47349" s="2423"/>
    </row>
    <row r="47350" spans="6:6">
      <c r="F47350" s="2423"/>
    </row>
    <row r="47351" spans="6:6">
      <c r="F47351" s="2423"/>
    </row>
    <row r="47352" spans="6:6">
      <c r="F47352" s="2423"/>
    </row>
    <row r="47353" spans="6:6">
      <c r="F47353" s="2423"/>
    </row>
    <row r="47354" spans="6:6">
      <c r="F47354" s="2423"/>
    </row>
    <row r="47355" spans="6:6">
      <c r="F47355" s="2423"/>
    </row>
    <row r="47356" spans="6:6">
      <c r="F47356" s="2423"/>
    </row>
    <row r="47357" spans="6:6">
      <c r="F47357" s="2423"/>
    </row>
    <row r="47358" spans="6:6">
      <c r="F47358" s="2423"/>
    </row>
    <row r="47359" spans="6:6">
      <c r="F47359" s="2423"/>
    </row>
    <row r="47360" spans="6:6">
      <c r="F47360" s="2423"/>
    </row>
    <row r="47361" spans="6:6">
      <c r="F47361" s="2423"/>
    </row>
    <row r="47362" spans="6:6">
      <c r="F47362" s="2423"/>
    </row>
    <row r="47363" spans="6:6">
      <c r="F47363" s="2423"/>
    </row>
    <row r="47364" spans="6:6">
      <c r="F47364" s="2423"/>
    </row>
    <row r="47365" spans="6:6">
      <c r="F47365" s="2423"/>
    </row>
    <row r="47366" spans="6:6">
      <c r="F47366" s="2423"/>
    </row>
    <row r="47367" spans="6:6">
      <c r="F47367" s="2423"/>
    </row>
    <row r="47368" spans="6:6">
      <c r="F47368" s="2423"/>
    </row>
    <row r="47369" spans="6:6">
      <c r="F47369" s="2423"/>
    </row>
    <row r="47370" spans="6:6">
      <c r="F47370" s="2423"/>
    </row>
    <row r="47371" spans="6:6">
      <c r="F47371" s="2423"/>
    </row>
    <row r="47372" spans="6:6">
      <c r="F47372" s="2423"/>
    </row>
    <row r="47373" spans="6:6">
      <c r="F47373" s="2423"/>
    </row>
    <row r="47374" spans="6:6">
      <c r="F47374" s="2423"/>
    </row>
    <row r="47375" spans="6:6">
      <c r="F47375" s="2423"/>
    </row>
    <row r="47376" spans="6:6">
      <c r="F47376" s="2423"/>
    </row>
    <row r="47377" spans="6:6">
      <c r="F47377" s="2423"/>
    </row>
    <row r="47378" spans="6:6">
      <c r="F47378" s="2423"/>
    </row>
    <row r="47379" spans="6:6">
      <c r="F47379" s="2423"/>
    </row>
    <row r="47380" spans="6:6">
      <c r="F47380" s="2423"/>
    </row>
    <row r="47381" spans="6:6">
      <c r="F47381" s="2423"/>
    </row>
    <row r="47382" spans="6:6">
      <c r="F47382" s="2423"/>
    </row>
    <row r="47383" spans="6:6">
      <c r="F47383" s="2423"/>
    </row>
    <row r="47384" spans="6:6">
      <c r="F47384" s="2423"/>
    </row>
    <row r="47385" spans="6:6">
      <c r="F47385" s="2423"/>
    </row>
    <row r="47386" spans="6:6">
      <c r="F47386" s="2423"/>
    </row>
    <row r="47387" spans="6:6">
      <c r="F47387" s="2423"/>
    </row>
    <row r="47388" spans="6:6">
      <c r="F47388" s="2423"/>
    </row>
    <row r="47389" spans="6:6">
      <c r="F47389" s="2423"/>
    </row>
    <row r="47390" spans="6:6">
      <c r="F47390" s="2423"/>
    </row>
    <row r="47391" spans="6:6">
      <c r="F47391" s="2423"/>
    </row>
    <row r="47392" spans="6:6">
      <c r="F47392" s="2423"/>
    </row>
    <row r="47393" spans="6:6">
      <c r="F47393" s="2423"/>
    </row>
    <row r="47394" spans="6:6">
      <c r="F47394" s="2423"/>
    </row>
    <row r="47395" spans="6:6">
      <c r="F47395" s="2423"/>
    </row>
    <row r="47396" spans="6:6">
      <c r="F47396" s="2423"/>
    </row>
    <row r="47397" spans="6:6">
      <c r="F47397" s="2423"/>
    </row>
    <row r="47398" spans="6:6">
      <c r="F47398" s="2423"/>
    </row>
    <row r="47399" spans="6:6">
      <c r="F47399" s="2423"/>
    </row>
    <row r="47400" spans="6:6">
      <c r="F47400" s="2423"/>
    </row>
    <row r="47401" spans="6:6">
      <c r="F47401" s="2423"/>
    </row>
    <row r="47402" spans="6:6">
      <c r="F47402" s="2423"/>
    </row>
    <row r="47403" spans="6:6">
      <c r="F47403" s="2423"/>
    </row>
    <row r="47404" spans="6:6">
      <c r="F47404" s="2423"/>
    </row>
    <row r="47405" spans="6:6">
      <c r="F47405" s="2423"/>
    </row>
    <row r="47406" spans="6:6">
      <c r="F47406" s="2423"/>
    </row>
    <row r="47407" spans="6:6">
      <c r="F47407" s="2423"/>
    </row>
    <row r="47408" spans="6:6">
      <c r="F47408" s="2423"/>
    </row>
    <row r="47409" spans="6:6">
      <c r="F47409" s="2423"/>
    </row>
    <row r="47410" spans="6:6">
      <c r="F47410" s="2423"/>
    </row>
    <row r="47411" spans="6:6">
      <c r="F47411" s="2423"/>
    </row>
    <row r="47412" spans="6:6">
      <c r="F47412" s="2423"/>
    </row>
    <row r="47413" spans="6:6">
      <c r="F47413" s="2423"/>
    </row>
    <row r="47414" spans="6:6">
      <c r="F47414" s="2423"/>
    </row>
    <row r="47415" spans="6:6">
      <c r="F47415" s="2423"/>
    </row>
    <row r="47416" spans="6:6">
      <c r="F47416" s="2423"/>
    </row>
    <row r="47417" spans="6:6">
      <c r="F47417" s="2423"/>
    </row>
    <row r="47418" spans="6:6">
      <c r="F47418" s="2423"/>
    </row>
    <row r="47419" spans="6:6">
      <c r="F47419" s="2423"/>
    </row>
    <row r="47420" spans="6:6">
      <c r="F47420" s="2423"/>
    </row>
    <row r="47421" spans="6:6">
      <c r="F47421" s="2423"/>
    </row>
    <row r="47422" spans="6:6">
      <c r="F47422" s="2423"/>
    </row>
    <row r="47423" spans="6:6">
      <c r="F47423" s="2423"/>
    </row>
    <row r="47424" spans="6:6">
      <c r="F47424" s="2423"/>
    </row>
    <row r="47425" spans="6:6">
      <c r="F47425" s="2423"/>
    </row>
    <row r="47426" spans="6:6">
      <c r="F47426" s="2423"/>
    </row>
    <row r="47427" spans="6:6">
      <c r="F47427" s="2423"/>
    </row>
    <row r="47428" spans="6:6">
      <c r="F47428" s="2423"/>
    </row>
    <row r="47429" spans="6:6">
      <c r="F47429" s="2423"/>
    </row>
    <row r="47430" spans="6:6">
      <c r="F47430" s="2423"/>
    </row>
    <row r="47431" spans="6:6">
      <c r="F47431" s="2423"/>
    </row>
    <row r="47432" spans="6:6">
      <c r="F47432" s="2423"/>
    </row>
    <row r="47433" spans="6:6">
      <c r="F47433" s="2423"/>
    </row>
    <row r="47434" spans="6:6">
      <c r="F47434" s="2423"/>
    </row>
    <row r="47435" spans="6:6">
      <c r="F47435" s="2423"/>
    </row>
    <row r="47436" spans="6:6">
      <c r="F47436" s="2423"/>
    </row>
    <row r="47437" spans="6:6">
      <c r="F47437" s="2423"/>
    </row>
    <row r="47438" spans="6:6">
      <c r="F47438" s="2423"/>
    </row>
    <row r="47439" spans="6:6">
      <c r="F47439" s="2423"/>
    </row>
    <row r="47440" spans="6:6">
      <c r="F47440" s="2423"/>
    </row>
    <row r="47441" spans="6:6">
      <c r="F47441" s="2423"/>
    </row>
    <row r="47442" spans="6:6">
      <c r="F47442" s="2423"/>
    </row>
    <row r="47443" spans="6:6">
      <c r="F47443" s="2423"/>
    </row>
    <row r="47444" spans="6:6">
      <c r="F47444" s="2423"/>
    </row>
    <row r="47445" spans="6:6">
      <c r="F47445" s="2423"/>
    </row>
    <row r="47446" spans="6:6">
      <c r="F47446" s="2423"/>
    </row>
    <row r="47447" spans="6:6">
      <c r="F47447" s="2423"/>
    </row>
    <row r="47448" spans="6:6">
      <c r="F47448" s="2423"/>
    </row>
    <row r="47449" spans="6:6">
      <c r="F47449" s="2423"/>
    </row>
    <row r="47450" spans="6:6">
      <c r="F47450" s="2423"/>
    </row>
    <row r="47451" spans="6:6">
      <c r="F47451" s="2423"/>
    </row>
    <row r="47452" spans="6:6">
      <c r="F47452" s="2423"/>
    </row>
    <row r="47453" spans="6:6">
      <c r="F47453" s="2423"/>
    </row>
    <row r="47454" spans="6:6">
      <c r="F47454" s="2423"/>
    </row>
    <row r="47455" spans="6:6">
      <c r="F47455" s="2423"/>
    </row>
    <row r="47456" spans="6:6">
      <c r="F47456" s="2423"/>
    </row>
    <row r="47457" spans="6:6">
      <c r="F47457" s="2423"/>
    </row>
    <row r="47458" spans="6:6">
      <c r="F47458" s="2423"/>
    </row>
    <row r="47459" spans="6:6">
      <c r="F47459" s="2423"/>
    </row>
    <row r="47460" spans="6:6">
      <c r="F47460" s="2423"/>
    </row>
    <row r="47461" spans="6:6">
      <c r="F47461" s="2423"/>
    </row>
    <row r="47462" spans="6:6">
      <c r="F47462" s="2423"/>
    </row>
    <row r="47463" spans="6:6">
      <c r="F47463" s="2423"/>
    </row>
    <row r="47464" spans="6:6">
      <c r="F47464" s="2423"/>
    </row>
    <row r="47465" spans="6:6">
      <c r="F47465" s="2423"/>
    </row>
    <row r="47466" spans="6:6">
      <c r="F47466" s="2423"/>
    </row>
    <row r="47467" spans="6:6">
      <c r="F47467" s="2423"/>
    </row>
    <row r="47468" spans="6:6">
      <c r="F47468" s="2423"/>
    </row>
    <row r="47469" spans="6:6">
      <c r="F47469" s="2423"/>
    </row>
    <row r="47470" spans="6:6">
      <c r="F47470" s="2423"/>
    </row>
    <row r="47471" spans="6:6">
      <c r="F47471" s="2423"/>
    </row>
    <row r="47472" spans="6:6">
      <c r="F47472" s="2423"/>
    </row>
    <row r="47473" spans="6:6">
      <c r="F47473" s="2423"/>
    </row>
    <row r="47474" spans="6:6">
      <c r="F47474" s="2423"/>
    </row>
    <row r="47475" spans="6:6">
      <c r="F47475" s="2423"/>
    </row>
    <row r="47476" spans="6:6">
      <c r="F47476" s="2423"/>
    </row>
    <row r="47477" spans="6:6">
      <c r="F47477" s="2423"/>
    </row>
    <row r="47478" spans="6:6">
      <c r="F47478" s="2423"/>
    </row>
    <row r="47479" spans="6:6">
      <c r="F47479" s="2423"/>
    </row>
    <row r="47480" spans="6:6">
      <c r="F47480" s="2423"/>
    </row>
    <row r="47481" spans="6:6">
      <c r="F47481" s="2423"/>
    </row>
    <row r="47482" spans="6:6">
      <c r="F47482" s="2423"/>
    </row>
    <row r="47483" spans="6:6">
      <c r="F47483" s="2423"/>
    </row>
    <row r="47484" spans="6:6">
      <c r="F47484" s="2423"/>
    </row>
    <row r="47485" spans="6:6">
      <c r="F47485" s="2423"/>
    </row>
    <row r="47486" spans="6:6">
      <c r="F47486" s="2423"/>
    </row>
    <row r="47487" spans="6:6">
      <c r="F47487" s="2423"/>
    </row>
    <row r="47488" spans="6:6">
      <c r="F47488" s="2423"/>
    </row>
    <row r="47489" spans="6:6">
      <c r="F47489" s="2423"/>
    </row>
    <row r="47490" spans="6:6">
      <c r="F47490" s="2423"/>
    </row>
    <row r="47491" spans="6:6">
      <c r="F47491" s="2423"/>
    </row>
    <row r="47492" spans="6:6">
      <c r="F47492" s="2423"/>
    </row>
    <row r="47493" spans="6:6">
      <c r="F47493" s="2423"/>
    </row>
    <row r="47494" spans="6:6">
      <c r="F47494" s="2423"/>
    </row>
    <row r="47495" spans="6:6">
      <c r="F47495" s="2423"/>
    </row>
    <row r="47496" spans="6:6">
      <c r="F47496" s="2423"/>
    </row>
    <row r="47497" spans="6:6">
      <c r="F47497" s="2423"/>
    </row>
    <row r="47498" spans="6:6">
      <c r="F47498" s="2423"/>
    </row>
    <row r="47499" spans="6:6">
      <c r="F47499" s="2423"/>
    </row>
    <row r="47500" spans="6:6">
      <c r="F47500" s="2423"/>
    </row>
    <row r="47501" spans="6:6">
      <c r="F47501" s="2423"/>
    </row>
    <row r="47502" spans="6:6">
      <c r="F47502" s="2423"/>
    </row>
    <row r="47503" spans="6:6">
      <c r="F47503" s="2423"/>
    </row>
    <row r="47504" spans="6:6">
      <c r="F47504" s="2423"/>
    </row>
    <row r="47505" spans="6:6">
      <c r="F47505" s="2423"/>
    </row>
    <row r="47506" spans="6:6">
      <c r="F47506" s="2423"/>
    </row>
    <row r="47507" spans="6:6">
      <c r="F47507" s="2423"/>
    </row>
    <row r="47508" spans="6:6">
      <c r="F47508" s="2423"/>
    </row>
    <row r="47509" spans="6:6">
      <c r="F47509" s="2423"/>
    </row>
    <row r="47510" spans="6:6">
      <c r="F47510" s="2423"/>
    </row>
    <row r="47511" spans="6:6">
      <c r="F47511" s="2423"/>
    </row>
    <row r="47512" spans="6:6">
      <c r="F47512" s="2423"/>
    </row>
    <row r="47513" spans="6:6">
      <c r="F47513" s="2423"/>
    </row>
    <row r="47514" spans="6:6">
      <c r="F47514" s="2423"/>
    </row>
    <row r="47515" spans="6:6">
      <c r="F47515" s="2423"/>
    </row>
    <row r="47516" spans="6:6">
      <c r="F47516" s="2423"/>
    </row>
    <row r="47517" spans="6:6">
      <c r="F47517" s="2423"/>
    </row>
    <row r="47518" spans="6:6">
      <c r="F47518" s="2423"/>
    </row>
    <row r="47519" spans="6:6">
      <c r="F47519" s="2423"/>
    </row>
    <row r="47520" spans="6:6">
      <c r="F47520" s="2423"/>
    </row>
    <row r="47521" spans="6:6">
      <c r="F47521" s="2423"/>
    </row>
    <row r="47522" spans="6:6">
      <c r="F47522" s="2423"/>
    </row>
    <row r="47523" spans="6:6">
      <c r="F47523" s="2423"/>
    </row>
    <row r="47524" spans="6:6">
      <c r="F47524" s="2423"/>
    </row>
    <row r="47525" spans="6:6">
      <c r="F47525" s="2423"/>
    </row>
    <row r="47526" spans="6:6">
      <c r="F47526" s="2423"/>
    </row>
    <row r="47527" spans="6:6">
      <c r="F47527" s="2423"/>
    </row>
    <row r="47528" spans="6:6">
      <c r="F47528" s="2423"/>
    </row>
    <row r="47529" spans="6:6">
      <c r="F47529" s="2423"/>
    </row>
    <row r="47530" spans="6:6">
      <c r="F47530" s="2423"/>
    </row>
    <row r="47531" spans="6:6">
      <c r="F47531" s="2423"/>
    </row>
    <row r="47532" spans="6:6">
      <c r="F47532" s="2423"/>
    </row>
    <row r="47533" spans="6:6">
      <c r="F47533" s="2423"/>
    </row>
    <row r="47534" spans="6:6">
      <c r="F47534" s="2423"/>
    </row>
    <row r="47535" spans="6:6">
      <c r="F47535" s="2423"/>
    </row>
    <row r="47536" spans="6:6">
      <c r="F47536" s="2423"/>
    </row>
    <row r="47537" spans="6:6">
      <c r="F47537" s="2423"/>
    </row>
    <row r="47538" spans="6:6">
      <c r="F47538" s="2423"/>
    </row>
    <row r="47539" spans="6:6">
      <c r="F47539" s="2423"/>
    </row>
    <row r="47540" spans="6:6">
      <c r="F47540" s="2423"/>
    </row>
    <row r="47541" spans="6:6">
      <c r="F47541" s="2423"/>
    </row>
    <row r="47542" spans="6:6">
      <c r="F47542" s="2423"/>
    </row>
    <row r="47543" spans="6:6">
      <c r="F47543" s="2423"/>
    </row>
    <row r="47544" spans="6:6">
      <c r="F47544" s="2423"/>
    </row>
    <row r="47545" spans="6:6">
      <c r="F47545" s="2423"/>
    </row>
    <row r="47546" spans="6:6">
      <c r="F47546" s="2423"/>
    </row>
    <row r="47547" spans="6:6">
      <c r="F47547" s="2423"/>
    </row>
    <row r="47548" spans="6:6">
      <c r="F47548" s="2423"/>
    </row>
    <row r="47549" spans="6:6">
      <c r="F47549" s="2423"/>
    </row>
    <row r="47550" spans="6:6">
      <c r="F47550" s="2423"/>
    </row>
    <row r="47551" spans="6:6">
      <c r="F47551" s="2423"/>
    </row>
    <row r="47552" spans="6:6">
      <c r="F47552" s="2423"/>
    </row>
    <row r="47553" spans="6:6">
      <c r="F47553" s="2423"/>
    </row>
    <row r="47554" spans="6:6">
      <c r="F47554" s="2423"/>
    </row>
    <row r="47555" spans="6:6">
      <c r="F47555" s="2423"/>
    </row>
    <row r="47556" spans="6:6">
      <c r="F47556" s="2423"/>
    </row>
    <row r="47557" spans="6:6">
      <c r="F47557" s="2423"/>
    </row>
    <row r="47558" spans="6:6">
      <c r="F47558" s="2423"/>
    </row>
    <row r="47559" spans="6:6">
      <c r="F47559" s="2423"/>
    </row>
    <row r="47560" spans="6:6">
      <c r="F47560" s="2423"/>
    </row>
    <row r="47561" spans="6:6">
      <c r="F47561" s="2423"/>
    </row>
    <row r="47562" spans="6:6">
      <c r="F47562" s="2423"/>
    </row>
    <row r="47563" spans="6:6">
      <c r="F47563" s="2423"/>
    </row>
    <row r="47564" spans="6:6">
      <c r="F47564" s="2423"/>
    </row>
    <row r="47565" spans="6:6">
      <c r="F47565" s="2423"/>
    </row>
    <row r="47566" spans="6:6">
      <c r="F47566" s="2423"/>
    </row>
    <row r="47567" spans="6:6">
      <c r="F47567" s="2423"/>
    </row>
    <row r="47568" spans="6:6">
      <c r="F47568" s="2423"/>
    </row>
    <row r="47569" spans="6:6">
      <c r="F47569" s="2423"/>
    </row>
    <row r="47570" spans="6:6">
      <c r="F47570" s="2423"/>
    </row>
    <row r="47571" spans="6:6">
      <c r="F47571" s="2423"/>
    </row>
    <row r="47572" spans="6:6">
      <c r="F47572" s="2423"/>
    </row>
    <row r="47573" spans="6:6">
      <c r="F47573" s="2423"/>
    </row>
    <row r="47574" spans="6:6">
      <c r="F47574" s="2423"/>
    </row>
    <row r="47575" spans="6:6">
      <c r="F47575" s="2423"/>
    </row>
    <row r="47576" spans="6:6">
      <c r="F47576" s="2423"/>
    </row>
    <row r="47577" spans="6:6">
      <c r="F47577" s="2423"/>
    </row>
    <row r="47578" spans="6:6">
      <c r="F47578" s="2423"/>
    </row>
    <row r="47579" spans="6:6">
      <c r="F47579" s="2423"/>
    </row>
    <row r="47580" spans="6:6">
      <c r="F47580" s="2423"/>
    </row>
    <row r="47581" spans="6:6">
      <c r="F47581" s="2423"/>
    </row>
    <row r="47582" spans="6:6">
      <c r="F47582" s="2423"/>
    </row>
    <row r="47583" spans="6:6">
      <c r="F47583" s="2423"/>
    </row>
    <row r="47584" spans="6:6">
      <c r="F47584" s="2423"/>
    </row>
    <row r="47585" spans="6:6">
      <c r="F47585" s="2423"/>
    </row>
    <row r="47586" spans="6:6">
      <c r="F47586" s="2423"/>
    </row>
    <row r="47587" spans="6:6">
      <c r="F47587" s="2423"/>
    </row>
    <row r="47588" spans="6:6">
      <c r="F47588" s="2423"/>
    </row>
    <row r="47589" spans="6:6">
      <c r="F47589" s="2423"/>
    </row>
    <row r="47590" spans="6:6">
      <c r="F47590" s="2423"/>
    </row>
    <row r="47591" spans="6:6">
      <c r="F47591" s="2423"/>
    </row>
    <row r="47592" spans="6:6">
      <c r="F47592" s="2423"/>
    </row>
    <row r="47593" spans="6:6">
      <c r="F47593" s="2423"/>
    </row>
    <row r="47594" spans="6:6">
      <c r="F47594" s="2423"/>
    </row>
    <row r="47595" spans="6:6">
      <c r="F47595" s="2423"/>
    </row>
    <row r="47596" spans="6:6">
      <c r="F47596" s="2423"/>
    </row>
    <row r="47597" spans="6:6">
      <c r="F47597" s="2423"/>
    </row>
    <row r="47598" spans="6:6">
      <c r="F47598" s="2423"/>
    </row>
    <row r="47599" spans="6:6">
      <c r="F47599" s="2423"/>
    </row>
    <row r="47600" spans="6:6">
      <c r="F47600" s="2423"/>
    </row>
    <row r="47601" spans="6:6">
      <c r="F47601" s="2423"/>
    </row>
    <row r="47602" spans="6:6">
      <c r="F47602" s="2423"/>
    </row>
    <row r="47603" spans="6:6">
      <c r="F47603" s="2423"/>
    </row>
    <row r="47604" spans="6:6">
      <c r="F47604" s="2423"/>
    </row>
    <row r="47605" spans="6:6">
      <c r="F47605" s="2423"/>
    </row>
    <row r="47606" spans="6:6">
      <c r="F47606" s="2423"/>
    </row>
    <row r="47607" spans="6:6">
      <c r="F47607" s="2423"/>
    </row>
    <row r="47608" spans="6:6">
      <c r="F47608" s="2423"/>
    </row>
    <row r="47609" spans="6:6">
      <c r="F47609" s="2423"/>
    </row>
    <row r="47610" spans="6:6">
      <c r="F47610" s="2423"/>
    </row>
    <row r="47611" spans="6:6">
      <c r="F47611" s="2423"/>
    </row>
    <row r="47612" spans="6:6">
      <c r="F47612" s="2423"/>
    </row>
    <row r="47613" spans="6:6">
      <c r="F47613" s="2423"/>
    </row>
    <row r="47614" spans="6:6">
      <c r="F47614" s="2423"/>
    </row>
    <row r="47615" spans="6:6">
      <c r="F47615" s="2423"/>
    </row>
    <row r="47616" spans="6:6">
      <c r="F47616" s="2423"/>
    </row>
    <row r="47617" spans="6:6">
      <c r="F47617" s="2423"/>
    </row>
    <row r="47618" spans="6:6">
      <c r="F47618" s="2423"/>
    </row>
    <row r="47619" spans="6:6">
      <c r="F47619" s="2423"/>
    </row>
    <row r="47620" spans="6:6">
      <c r="F47620" s="2423"/>
    </row>
    <row r="47621" spans="6:6">
      <c r="F47621" s="2423"/>
    </row>
    <row r="47622" spans="6:6">
      <c r="F47622" s="2423"/>
    </row>
    <row r="47623" spans="6:6">
      <c r="F47623" s="2423"/>
    </row>
    <row r="47624" spans="6:6">
      <c r="F47624" s="2423"/>
    </row>
    <row r="47625" spans="6:6">
      <c r="F47625" s="2423"/>
    </row>
    <row r="47626" spans="6:6">
      <c r="F47626" s="2423"/>
    </row>
    <row r="47627" spans="6:6">
      <c r="F47627" s="2423"/>
    </row>
    <row r="47628" spans="6:6">
      <c r="F47628" s="2423"/>
    </row>
    <row r="47629" spans="6:6">
      <c r="F47629" s="2423"/>
    </row>
    <row r="47630" spans="6:6">
      <c r="F47630" s="2423"/>
    </row>
    <row r="47631" spans="6:6">
      <c r="F47631" s="2423"/>
    </row>
    <row r="47632" spans="6:6">
      <c r="F47632" s="2423"/>
    </row>
    <row r="47633" spans="6:6">
      <c r="F47633" s="2423"/>
    </row>
    <row r="47634" spans="6:6">
      <c r="F47634" s="2423"/>
    </row>
    <row r="47635" spans="6:6">
      <c r="F47635" s="2423"/>
    </row>
    <row r="47636" spans="6:6">
      <c r="F47636" s="2423"/>
    </row>
    <row r="47637" spans="6:6">
      <c r="F47637" s="2423"/>
    </row>
    <row r="47638" spans="6:6">
      <c r="F47638" s="2423"/>
    </row>
    <row r="47639" spans="6:6">
      <c r="F47639" s="2423"/>
    </row>
    <row r="47640" spans="6:6">
      <c r="F47640" s="2423"/>
    </row>
    <row r="47641" spans="6:6">
      <c r="F47641" s="2423"/>
    </row>
    <row r="47642" spans="6:6">
      <c r="F47642" s="2423"/>
    </row>
    <row r="47643" spans="6:6">
      <c r="F47643" s="2423"/>
    </row>
    <row r="47644" spans="6:6">
      <c r="F47644" s="2423"/>
    </row>
    <row r="47645" spans="6:6">
      <c r="F47645" s="2423"/>
    </row>
    <row r="47646" spans="6:6">
      <c r="F47646" s="2423"/>
    </row>
    <row r="47647" spans="6:6">
      <c r="F47647" s="2423"/>
    </row>
    <row r="47648" spans="6:6">
      <c r="F47648" s="2423"/>
    </row>
    <row r="47649" spans="6:6">
      <c r="F47649" s="2423"/>
    </row>
    <row r="47650" spans="6:6">
      <c r="F47650" s="2423"/>
    </row>
    <row r="47651" spans="6:6">
      <c r="F47651" s="2423"/>
    </row>
    <row r="47652" spans="6:6">
      <c r="F47652" s="2423"/>
    </row>
    <row r="47653" spans="6:6">
      <c r="F47653" s="2423"/>
    </row>
    <row r="47654" spans="6:6">
      <c r="F47654" s="2423"/>
    </row>
    <row r="47655" spans="6:6">
      <c r="F47655" s="2423"/>
    </row>
    <row r="47656" spans="6:6">
      <c r="F47656" s="2423"/>
    </row>
    <row r="47657" spans="6:6">
      <c r="F47657" s="2423"/>
    </row>
    <row r="47658" spans="6:6">
      <c r="F47658" s="2423"/>
    </row>
    <row r="47659" spans="6:6">
      <c r="F47659" s="2423"/>
    </row>
    <row r="47660" spans="6:6">
      <c r="F47660" s="2423"/>
    </row>
    <row r="47661" spans="6:6">
      <c r="F47661" s="2423"/>
    </row>
    <row r="47662" spans="6:6">
      <c r="F47662" s="2423"/>
    </row>
    <row r="47663" spans="6:6">
      <c r="F47663" s="2423"/>
    </row>
    <row r="47664" spans="6:6">
      <c r="F47664" s="2423"/>
    </row>
    <row r="47665" spans="6:6">
      <c r="F47665" s="2423"/>
    </row>
    <row r="47666" spans="6:6">
      <c r="F47666" s="2423"/>
    </row>
    <row r="47667" spans="6:6">
      <c r="F47667" s="2423"/>
    </row>
    <row r="47668" spans="6:6">
      <c r="F47668" s="2423"/>
    </row>
    <row r="47669" spans="6:6">
      <c r="F47669" s="2423"/>
    </row>
    <row r="47670" spans="6:6">
      <c r="F47670" s="2423"/>
    </row>
    <row r="47671" spans="6:6">
      <c r="F47671" s="2423"/>
    </row>
    <row r="47672" spans="6:6">
      <c r="F47672" s="2423"/>
    </row>
    <row r="47673" spans="6:6">
      <c r="F47673" s="2423"/>
    </row>
    <row r="47674" spans="6:6">
      <c r="F47674" s="2423"/>
    </row>
    <row r="47675" spans="6:6">
      <c r="F47675" s="2423"/>
    </row>
    <row r="47676" spans="6:6">
      <c r="F47676" s="2423"/>
    </row>
    <row r="47677" spans="6:6">
      <c r="F47677" s="2423"/>
    </row>
    <row r="47678" spans="6:6">
      <c r="F47678" s="2423"/>
    </row>
    <row r="47679" spans="6:6">
      <c r="F47679" s="2423"/>
    </row>
    <row r="47680" spans="6:6">
      <c r="F47680" s="2423"/>
    </row>
    <row r="47681" spans="6:6">
      <c r="F47681" s="2423"/>
    </row>
    <row r="47682" spans="6:6">
      <c r="F47682" s="2423"/>
    </row>
    <row r="47683" spans="6:6">
      <c r="F47683" s="2423"/>
    </row>
    <row r="47684" spans="6:6">
      <c r="F47684" s="2423"/>
    </row>
    <row r="47685" spans="6:6">
      <c r="F47685" s="2423"/>
    </row>
    <row r="47686" spans="6:6">
      <c r="F47686" s="2423"/>
    </row>
    <row r="47687" spans="6:6">
      <c r="F47687" s="2423"/>
    </row>
    <row r="47688" spans="6:6">
      <c r="F47688" s="2423"/>
    </row>
    <row r="47689" spans="6:6">
      <c r="F47689" s="2423"/>
    </row>
    <row r="47690" spans="6:6">
      <c r="F47690" s="2423"/>
    </row>
    <row r="47691" spans="6:6">
      <c r="F47691" s="2423"/>
    </row>
    <row r="47692" spans="6:6">
      <c r="F47692" s="2423"/>
    </row>
    <row r="47693" spans="6:6">
      <c r="F47693" s="2423"/>
    </row>
    <row r="47694" spans="6:6">
      <c r="F47694" s="2423"/>
    </row>
    <row r="47695" spans="6:6">
      <c r="F47695" s="2423"/>
    </row>
    <row r="47696" spans="6:6">
      <c r="F47696" s="2423"/>
    </row>
    <row r="47697" spans="6:6">
      <c r="F47697" s="2423"/>
    </row>
    <row r="47698" spans="6:6">
      <c r="F47698" s="2423"/>
    </row>
    <row r="47699" spans="6:6">
      <c r="F47699" s="2423"/>
    </row>
    <row r="47700" spans="6:6">
      <c r="F47700" s="2423"/>
    </row>
    <row r="47701" spans="6:6">
      <c r="F47701" s="2423"/>
    </row>
    <row r="47702" spans="6:6">
      <c r="F47702" s="2423"/>
    </row>
    <row r="47703" spans="6:6">
      <c r="F47703" s="2423"/>
    </row>
    <row r="47704" spans="6:6">
      <c r="F47704" s="2423"/>
    </row>
    <row r="47705" spans="6:6">
      <c r="F47705" s="2423"/>
    </row>
    <row r="47706" spans="6:6">
      <c r="F47706" s="2423"/>
    </row>
    <row r="47707" spans="6:6">
      <c r="F47707" s="2423"/>
    </row>
    <row r="47708" spans="6:6">
      <c r="F47708" s="2423"/>
    </row>
    <row r="47709" spans="6:6">
      <c r="F47709" s="2423"/>
    </row>
    <row r="47710" spans="6:6">
      <c r="F47710" s="2423"/>
    </row>
    <row r="47711" spans="6:6">
      <c r="F47711" s="2423"/>
    </row>
    <row r="47712" spans="6:6">
      <c r="F47712" s="2423"/>
    </row>
    <row r="47713" spans="6:6">
      <c r="F47713" s="2423"/>
    </row>
    <row r="47714" spans="6:6">
      <c r="F47714" s="2423"/>
    </row>
    <row r="47715" spans="6:6">
      <c r="F47715" s="2423"/>
    </row>
    <row r="47716" spans="6:6">
      <c r="F47716" s="2423"/>
    </row>
    <row r="47717" spans="6:6">
      <c r="F47717" s="2423"/>
    </row>
    <row r="47718" spans="6:6">
      <c r="F47718" s="2423"/>
    </row>
    <row r="47719" spans="6:6">
      <c r="F47719" s="2423"/>
    </row>
    <row r="47720" spans="6:6">
      <c r="F47720" s="2423"/>
    </row>
    <row r="47721" spans="6:6">
      <c r="F47721" s="2423"/>
    </row>
    <row r="47722" spans="6:6">
      <c r="F47722" s="2423"/>
    </row>
    <row r="47723" spans="6:6">
      <c r="F47723" s="2423"/>
    </row>
    <row r="47724" spans="6:6">
      <c r="F47724" s="2423"/>
    </row>
    <row r="47725" spans="6:6">
      <c r="F47725" s="2423"/>
    </row>
    <row r="47726" spans="6:6">
      <c r="F47726" s="2423"/>
    </row>
    <row r="47727" spans="6:6">
      <c r="F47727" s="2423"/>
    </row>
    <row r="47728" spans="6:6">
      <c r="F47728" s="2423"/>
    </row>
    <row r="47729" spans="6:6">
      <c r="F47729" s="2423"/>
    </row>
    <row r="47730" spans="6:6">
      <c r="F47730" s="2423"/>
    </row>
    <row r="47731" spans="6:6">
      <c r="F47731" s="2423"/>
    </row>
    <row r="47732" spans="6:6">
      <c r="F47732" s="2423"/>
    </row>
    <row r="47733" spans="6:6">
      <c r="F47733" s="2423"/>
    </row>
    <row r="47734" spans="6:6">
      <c r="F47734" s="2423"/>
    </row>
    <row r="47735" spans="6:6">
      <c r="F47735" s="2423"/>
    </row>
    <row r="47736" spans="6:6">
      <c r="F47736" s="2423"/>
    </row>
    <row r="47737" spans="6:6">
      <c r="F47737" s="2423"/>
    </row>
    <row r="47738" spans="6:6">
      <c r="F47738" s="2423"/>
    </row>
    <row r="47739" spans="6:6">
      <c r="F47739" s="2423"/>
    </row>
    <row r="47740" spans="6:6">
      <c r="F47740" s="2423"/>
    </row>
    <row r="47741" spans="6:6">
      <c r="F47741" s="2423"/>
    </row>
    <row r="47742" spans="6:6">
      <c r="F47742" s="2423"/>
    </row>
    <row r="47743" spans="6:6">
      <c r="F47743" s="2423"/>
    </row>
    <row r="47744" spans="6:6">
      <c r="F47744" s="2423"/>
    </row>
    <row r="47745" spans="6:6">
      <c r="F47745" s="2423"/>
    </row>
    <row r="47746" spans="6:6">
      <c r="F47746" s="2423"/>
    </row>
    <row r="47747" spans="6:6">
      <c r="F47747" s="2423"/>
    </row>
    <row r="47748" spans="6:6">
      <c r="F47748" s="2423"/>
    </row>
    <row r="47749" spans="6:6">
      <c r="F47749" s="2423"/>
    </row>
    <row r="47750" spans="6:6">
      <c r="F47750" s="2423"/>
    </row>
    <row r="47751" spans="6:6">
      <c r="F47751" s="2423"/>
    </row>
    <row r="47752" spans="6:6">
      <c r="F47752" s="2423"/>
    </row>
    <row r="47753" spans="6:6">
      <c r="F47753" s="2423"/>
    </row>
    <row r="47754" spans="6:6">
      <c r="F47754" s="2423"/>
    </row>
    <row r="47755" spans="6:6">
      <c r="F47755" s="2423"/>
    </row>
    <row r="47756" spans="6:6">
      <c r="F47756" s="2423"/>
    </row>
    <row r="47757" spans="6:6">
      <c r="F47757" s="2423"/>
    </row>
    <row r="47758" spans="6:6">
      <c r="F47758" s="2423"/>
    </row>
    <row r="47759" spans="6:6">
      <c r="F47759" s="2423"/>
    </row>
    <row r="47760" spans="6:6">
      <c r="F47760" s="2423"/>
    </row>
    <row r="47761" spans="6:6">
      <c r="F47761" s="2423"/>
    </row>
    <row r="47762" spans="6:6">
      <c r="F47762" s="2423"/>
    </row>
    <row r="47763" spans="6:6">
      <c r="F47763" s="2423"/>
    </row>
    <row r="47764" spans="6:6">
      <c r="F47764" s="2423"/>
    </row>
    <row r="47765" spans="6:6">
      <c r="F47765" s="2423"/>
    </row>
    <row r="47766" spans="6:6">
      <c r="F47766" s="2423"/>
    </row>
    <row r="47767" spans="6:6">
      <c r="F47767" s="2423"/>
    </row>
    <row r="47768" spans="6:6">
      <c r="F47768" s="2423"/>
    </row>
    <row r="47769" spans="6:6">
      <c r="F47769" s="2423"/>
    </row>
    <row r="47770" spans="6:6">
      <c r="F47770" s="2423"/>
    </row>
    <row r="47771" spans="6:6">
      <c r="F47771" s="2423"/>
    </row>
    <row r="47772" spans="6:6">
      <c r="F47772" s="2423"/>
    </row>
    <row r="47773" spans="6:6">
      <c r="F47773" s="2423"/>
    </row>
    <row r="47774" spans="6:6">
      <c r="F47774" s="2423"/>
    </row>
    <row r="47775" spans="6:6">
      <c r="F47775" s="2423"/>
    </row>
    <row r="47776" spans="6:6">
      <c r="F47776" s="2423"/>
    </row>
    <row r="47777" spans="6:6">
      <c r="F47777" s="2423"/>
    </row>
    <row r="47778" spans="6:6">
      <c r="F47778" s="2423"/>
    </row>
    <row r="47779" spans="6:6">
      <c r="F47779" s="2423"/>
    </row>
    <row r="47780" spans="6:6">
      <c r="F47780" s="2423"/>
    </row>
    <row r="47781" spans="6:6">
      <c r="F47781" s="2423"/>
    </row>
    <row r="47782" spans="6:6">
      <c r="F47782" s="2423"/>
    </row>
    <row r="47783" spans="6:6">
      <c r="F47783" s="2423"/>
    </row>
    <row r="47784" spans="6:6">
      <c r="F47784" s="2423"/>
    </row>
    <row r="47785" spans="6:6">
      <c r="F47785" s="2423"/>
    </row>
    <row r="47786" spans="6:6">
      <c r="F47786" s="2423"/>
    </row>
    <row r="47787" spans="6:6">
      <c r="F47787" s="2423"/>
    </row>
    <row r="47788" spans="6:6">
      <c r="F47788" s="2423"/>
    </row>
    <row r="47789" spans="6:6">
      <c r="F47789" s="2423"/>
    </row>
    <row r="47790" spans="6:6">
      <c r="F47790" s="2423"/>
    </row>
    <row r="47791" spans="6:6">
      <c r="F47791" s="2423"/>
    </row>
    <row r="47792" spans="6:6">
      <c r="F47792" s="2423"/>
    </row>
    <row r="47793" spans="6:6">
      <c r="F47793" s="2423"/>
    </row>
    <row r="47794" spans="6:6">
      <c r="F47794" s="2423"/>
    </row>
    <row r="47795" spans="6:6">
      <c r="F47795" s="2423"/>
    </row>
    <row r="47796" spans="6:6">
      <c r="F47796" s="2423"/>
    </row>
    <row r="47797" spans="6:6">
      <c r="F47797" s="2423"/>
    </row>
    <row r="47798" spans="6:6">
      <c r="F47798" s="2423"/>
    </row>
    <row r="47799" spans="6:6">
      <c r="F47799" s="2423"/>
    </row>
    <row r="47800" spans="6:6">
      <c r="F47800" s="2423"/>
    </row>
    <row r="47801" spans="6:6">
      <c r="F47801" s="2423"/>
    </row>
    <row r="47802" spans="6:6">
      <c r="F47802" s="2423"/>
    </row>
    <row r="47803" spans="6:6">
      <c r="F47803" s="2423"/>
    </row>
    <row r="47804" spans="6:6">
      <c r="F47804" s="2423"/>
    </row>
    <row r="47805" spans="6:6">
      <c r="F47805" s="2423"/>
    </row>
    <row r="47806" spans="6:6">
      <c r="F47806" s="2423"/>
    </row>
    <row r="47807" spans="6:6">
      <c r="F47807" s="2423"/>
    </row>
    <row r="47808" spans="6:6">
      <c r="F47808" s="2423"/>
    </row>
    <row r="47809" spans="6:6">
      <c r="F47809" s="2423"/>
    </row>
    <row r="47810" spans="6:6">
      <c r="F47810" s="2423"/>
    </row>
    <row r="47811" spans="6:6">
      <c r="F47811" s="2423"/>
    </row>
    <row r="47812" spans="6:6">
      <c r="F47812" s="2423"/>
    </row>
    <row r="47813" spans="6:6">
      <c r="F47813" s="2423"/>
    </row>
    <row r="47814" spans="6:6">
      <c r="F47814" s="2423"/>
    </row>
    <row r="47815" spans="6:6">
      <c r="F47815" s="2423"/>
    </row>
    <row r="47816" spans="6:6">
      <c r="F47816" s="2423"/>
    </row>
    <row r="47817" spans="6:6">
      <c r="F47817" s="2423"/>
    </row>
    <row r="47818" spans="6:6">
      <c r="F47818" s="2423"/>
    </row>
    <row r="47819" spans="6:6">
      <c r="F47819" s="2423"/>
    </row>
    <row r="47820" spans="6:6">
      <c r="F47820" s="2423"/>
    </row>
    <row r="47821" spans="6:6">
      <c r="F47821" s="2423"/>
    </row>
    <row r="47822" spans="6:6">
      <c r="F47822" s="2423"/>
    </row>
    <row r="47823" spans="6:6">
      <c r="F47823" s="2423"/>
    </row>
    <row r="47824" spans="6:6">
      <c r="F47824" s="2423"/>
    </row>
    <row r="47825" spans="6:6">
      <c r="F47825" s="2423"/>
    </row>
    <row r="47826" spans="6:6">
      <c r="F47826" s="2423"/>
    </row>
    <row r="47827" spans="6:6">
      <c r="F47827" s="2423"/>
    </row>
    <row r="47828" spans="6:6">
      <c r="F47828" s="2423"/>
    </row>
    <row r="47829" spans="6:6">
      <c r="F47829" s="2423"/>
    </row>
    <row r="47830" spans="6:6">
      <c r="F47830" s="2423"/>
    </row>
    <row r="47831" spans="6:6">
      <c r="F47831" s="2423"/>
    </row>
    <row r="47832" spans="6:6">
      <c r="F47832" s="2423"/>
    </row>
    <row r="47833" spans="6:6">
      <c r="F47833" s="2423"/>
    </row>
    <row r="47834" spans="6:6">
      <c r="F47834" s="2423"/>
    </row>
    <row r="47835" spans="6:6">
      <c r="F47835" s="2423"/>
    </row>
    <row r="47836" spans="6:6">
      <c r="F47836" s="2423"/>
    </row>
    <row r="47837" spans="6:6">
      <c r="F47837" s="2423"/>
    </row>
    <row r="47838" spans="6:6">
      <c r="F47838" s="2423"/>
    </row>
    <row r="47839" spans="6:6">
      <c r="F47839" s="2423"/>
    </row>
    <row r="47840" spans="6:6">
      <c r="F47840" s="2423"/>
    </row>
    <row r="47841" spans="6:6">
      <c r="F47841" s="2423"/>
    </row>
    <row r="47842" spans="6:6">
      <c r="F47842" s="2423"/>
    </row>
    <row r="47843" spans="6:6">
      <c r="F47843" s="2423"/>
    </row>
    <row r="47844" spans="6:6">
      <c r="F47844" s="2423"/>
    </row>
    <row r="47845" spans="6:6">
      <c r="F47845" s="2423"/>
    </row>
    <row r="47846" spans="6:6">
      <c r="F47846" s="2423"/>
    </row>
    <row r="47847" spans="6:6">
      <c r="F47847" s="2423"/>
    </row>
    <row r="47848" spans="6:6">
      <c r="F47848" s="2423"/>
    </row>
    <row r="47849" spans="6:6">
      <c r="F47849" s="2423"/>
    </row>
    <row r="47850" spans="6:6">
      <c r="F47850" s="2423"/>
    </row>
    <row r="47851" spans="6:6">
      <c r="F47851" s="2423"/>
    </row>
    <row r="47852" spans="6:6">
      <c r="F47852" s="2423"/>
    </row>
    <row r="47853" spans="6:6">
      <c r="F47853" s="2423"/>
    </row>
    <row r="47854" spans="6:6">
      <c r="F47854" s="2423"/>
    </row>
    <row r="47855" spans="6:6">
      <c r="F47855" s="2423"/>
    </row>
    <row r="47856" spans="6:6">
      <c r="F47856" s="2423"/>
    </row>
    <row r="47857" spans="6:6">
      <c r="F47857" s="2423"/>
    </row>
    <row r="47858" spans="6:6">
      <c r="F47858" s="2423"/>
    </row>
    <row r="47859" spans="6:6">
      <c r="F47859" s="2423"/>
    </row>
    <row r="47860" spans="6:6">
      <c r="F47860" s="2423"/>
    </row>
    <row r="47861" spans="6:6">
      <c r="F47861" s="2423"/>
    </row>
    <row r="47862" spans="6:6">
      <c r="F47862" s="2423"/>
    </row>
    <row r="47863" spans="6:6">
      <c r="F47863" s="2423"/>
    </row>
    <row r="47864" spans="6:6">
      <c r="F47864" s="2423"/>
    </row>
    <row r="47865" spans="6:6">
      <c r="F47865" s="2423"/>
    </row>
    <row r="47866" spans="6:6">
      <c r="F47866" s="2423"/>
    </row>
    <row r="47867" spans="6:6">
      <c r="F47867" s="2423"/>
    </row>
    <row r="47868" spans="6:6">
      <c r="F47868" s="2423"/>
    </row>
    <row r="47869" spans="6:6">
      <c r="F47869" s="2423"/>
    </row>
    <row r="47870" spans="6:6">
      <c r="F47870" s="2423"/>
    </row>
    <row r="47871" spans="6:6">
      <c r="F47871" s="2423"/>
    </row>
    <row r="47872" spans="6:6">
      <c r="F47872" s="2423"/>
    </row>
    <row r="47873" spans="6:6">
      <c r="F47873" s="2423"/>
    </row>
    <row r="47874" spans="6:6">
      <c r="F47874" s="2423"/>
    </row>
    <row r="47875" spans="6:6">
      <c r="F47875" s="2423"/>
    </row>
    <row r="47876" spans="6:6">
      <c r="F47876" s="2423"/>
    </row>
    <row r="47877" spans="6:6">
      <c r="F47877" s="2423"/>
    </row>
    <row r="47878" spans="6:6">
      <c r="F47878" s="2423"/>
    </row>
    <row r="47879" spans="6:6">
      <c r="F47879" s="2423"/>
    </row>
    <row r="47880" spans="6:6">
      <c r="F47880" s="2423"/>
    </row>
    <row r="47881" spans="6:6">
      <c r="F47881" s="2423"/>
    </row>
    <row r="47882" spans="6:6">
      <c r="F47882" s="2423"/>
    </row>
    <row r="47883" spans="6:6">
      <c r="F47883" s="2423"/>
    </row>
    <row r="47884" spans="6:6">
      <c r="F47884" s="2423"/>
    </row>
    <row r="47885" spans="6:6">
      <c r="F47885" s="2423"/>
    </row>
    <row r="47886" spans="6:6">
      <c r="F47886" s="2423"/>
    </row>
    <row r="47887" spans="6:6">
      <c r="F47887" s="2423"/>
    </row>
    <row r="47888" spans="6:6">
      <c r="F47888" s="2423"/>
    </row>
    <row r="47889" spans="6:6">
      <c r="F47889" s="2423"/>
    </row>
    <row r="47890" spans="6:6">
      <c r="F47890" s="2423"/>
    </row>
    <row r="47891" spans="6:6">
      <c r="F47891" s="2423"/>
    </row>
    <row r="47892" spans="6:6">
      <c r="F47892" s="2423"/>
    </row>
    <row r="47893" spans="6:6">
      <c r="F47893" s="2423"/>
    </row>
    <row r="47894" spans="6:6">
      <c r="F47894" s="2423"/>
    </row>
    <row r="47895" spans="6:6">
      <c r="F47895" s="2423"/>
    </row>
    <row r="47896" spans="6:6">
      <c r="F47896" s="2423"/>
    </row>
    <row r="47897" spans="6:6">
      <c r="F47897" s="2423"/>
    </row>
    <row r="47898" spans="6:6">
      <c r="F47898" s="2423"/>
    </row>
    <row r="47899" spans="6:6">
      <c r="F47899" s="2423"/>
    </row>
    <row r="47900" spans="6:6">
      <c r="F47900" s="2423"/>
    </row>
    <row r="47901" spans="6:6">
      <c r="F47901" s="2423"/>
    </row>
    <row r="47902" spans="6:6">
      <c r="F47902" s="2423"/>
    </row>
    <row r="47903" spans="6:6">
      <c r="F47903" s="2423"/>
    </row>
    <row r="47904" spans="6:6">
      <c r="F47904" s="2423"/>
    </row>
    <row r="47905" spans="6:6">
      <c r="F47905" s="2423"/>
    </row>
    <row r="47906" spans="6:6">
      <c r="F47906" s="2423"/>
    </row>
    <row r="47907" spans="6:6">
      <c r="F47907" s="2423"/>
    </row>
    <row r="47908" spans="6:6">
      <c r="F47908" s="2423"/>
    </row>
    <row r="47909" spans="6:6">
      <c r="F47909" s="2423"/>
    </row>
    <row r="47910" spans="6:6">
      <c r="F47910" s="2423"/>
    </row>
    <row r="47911" spans="6:6">
      <c r="F47911" s="2423"/>
    </row>
    <row r="47912" spans="6:6">
      <c r="F47912" s="2423"/>
    </row>
    <row r="47913" spans="6:6">
      <c r="F47913" s="2423"/>
    </row>
    <row r="47914" spans="6:6">
      <c r="F47914" s="2423"/>
    </row>
    <row r="47915" spans="6:6">
      <c r="F47915" s="2423"/>
    </row>
    <row r="47916" spans="6:6">
      <c r="F47916" s="2423"/>
    </row>
    <row r="47917" spans="6:6">
      <c r="F47917" s="2423"/>
    </row>
    <row r="47918" spans="6:6">
      <c r="F47918" s="2423"/>
    </row>
    <row r="47919" spans="6:6">
      <c r="F47919" s="2423"/>
    </row>
    <row r="47920" spans="6:6">
      <c r="F47920" s="2423"/>
    </row>
    <row r="47921" spans="6:6">
      <c r="F47921" s="2423"/>
    </row>
    <row r="47922" spans="6:6">
      <c r="F47922" s="2423"/>
    </row>
    <row r="47923" spans="6:6">
      <c r="F47923" s="2423"/>
    </row>
    <row r="47924" spans="6:6">
      <c r="F47924" s="2423"/>
    </row>
    <row r="47925" spans="6:6">
      <c r="F47925" s="2423"/>
    </row>
    <row r="47926" spans="6:6">
      <c r="F47926" s="2423"/>
    </row>
    <row r="47927" spans="6:6">
      <c r="F47927" s="2423"/>
    </row>
    <row r="47928" spans="6:6">
      <c r="F47928" s="2423"/>
    </row>
    <row r="47929" spans="6:6">
      <c r="F47929" s="2423"/>
    </row>
    <row r="47930" spans="6:6">
      <c r="F47930" s="2423"/>
    </row>
    <row r="47931" spans="6:6">
      <c r="F47931" s="2423"/>
    </row>
    <row r="47932" spans="6:6">
      <c r="F47932" s="2423"/>
    </row>
    <row r="47933" spans="6:6">
      <c r="F47933" s="2423"/>
    </row>
    <row r="47934" spans="6:6">
      <c r="F47934" s="2423"/>
    </row>
    <row r="47935" spans="6:6">
      <c r="F47935" s="2423"/>
    </row>
    <row r="47936" spans="6:6">
      <c r="F47936" s="2423"/>
    </row>
    <row r="47937" spans="6:6">
      <c r="F47937" s="2423"/>
    </row>
    <row r="47938" spans="6:6">
      <c r="F47938" s="2423"/>
    </row>
    <row r="47939" spans="6:6">
      <c r="F47939" s="2423"/>
    </row>
    <row r="47940" spans="6:6">
      <c r="F47940" s="2423"/>
    </row>
    <row r="47941" spans="6:6">
      <c r="F47941" s="2423"/>
    </row>
    <row r="47942" spans="6:6">
      <c r="F47942" s="2423"/>
    </row>
    <row r="47943" spans="6:6">
      <c r="F47943" s="2423"/>
    </row>
    <row r="47944" spans="6:6">
      <c r="F47944" s="2423"/>
    </row>
    <row r="47945" spans="6:6">
      <c r="F47945" s="2423"/>
    </row>
    <row r="47946" spans="6:6">
      <c r="F47946" s="2423"/>
    </row>
    <row r="47947" spans="6:6">
      <c r="F47947" s="2423"/>
    </row>
    <row r="47948" spans="6:6">
      <c r="F47948" s="2423"/>
    </row>
    <row r="47949" spans="6:6">
      <c r="F47949" s="2423"/>
    </row>
    <row r="47950" spans="6:6">
      <c r="F47950" s="2423"/>
    </row>
    <row r="47951" spans="6:6">
      <c r="F47951" s="2423"/>
    </row>
    <row r="47952" spans="6:6">
      <c r="F47952" s="2423"/>
    </row>
    <row r="47953" spans="6:6">
      <c r="F47953" s="2423"/>
    </row>
    <row r="47954" spans="6:6">
      <c r="F47954" s="2423"/>
    </row>
    <row r="47955" spans="6:6">
      <c r="F47955" s="2423"/>
    </row>
    <row r="47956" spans="6:6">
      <c r="F47956" s="2423"/>
    </row>
    <row r="47957" spans="6:6">
      <c r="F47957" s="2423"/>
    </row>
    <row r="47958" spans="6:6">
      <c r="F47958" s="2423"/>
    </row>
    <row r="47959" spans="6:6">
      <c r="F47959" s="2423"/>
    </row>
    <row r="47960" spans="6:6">
      <c r="F47960" s="2423"/>
    </row>
    <row r="47961" spans="6:6">
      <c r="F47961" s="2423"/>
    </row>
    <row r="47962" spans="6:6">
      <c r="F47962" s="2423"/>
    </row>
    <row r="47963" spans="6:6">
      <c r="F47963" s="2423"/>
    </row>
    <row r="47964" spans="6:6">
      <c r="F47964" s="2423"/>
    </row>
    <row r="47965" spans="6:6">
      <c r="F47965" s="2423"/>
    </row>
    <row r="47966" spans="6:6">
      <c r="F47966" s="2423"/>
    </row>
    <row r="47967" spans="6:6">
      <c r="F47967" s="2423"/>
    </row>
    <row r="47968" spans="6:6">
      <c r="F47968" s="2423"/>
    </row>
    <row r="47969" spans="6:6">
      <c r="F47969" s="2423"/>
    </row>
    <row r="47970" spans="6:6">
      <c r="F47970" s="2423"/>
    </row>
    <row r="47971" spans="6:6">
      <c r="F47971" s="2423"/>
    </row>
    <row r="47972" spans="6:6">
      <c r="F47972" s="2423"/>
    </row>
    <row r="47973" spans="6:6">
      <c r="F47973" s="2423"/>
    </row>
    <row r="47974" spans="6:6">
      <c r="F47974" s="2423"/>
    </row>
    <row r="47975" spans="6:6">
      <c r="F47975" s="2423"/>
    </row>
    <row r="47976" spans="6:6">
      <c r="F47976" s="2423"/>
    </row>
    <row r="47977" spans="6:6">
      <c r="F47977" s="2423"/>
    </row>
    <row r="47978" spans="6:6">
      <c r="F47978" s="2423"/>
    </row>
    <row r="47979" spans="6:6">
      <c r="F47979" s="2423"/>
    </row>
    <row r="47980" spans="6:6">
      <c r="F47980" s="2423"/>
    </row>
    <row r="47981" spans="6:6">
      <c r="F47981" s="2423"/>
    </row>
    <row r="47982" spans="6:6">
      <c r="F47982" s="2423"/>
    </row>
    <row r="47983" spans="6:6">
      <c r="F47983" s="2423"/>
    </row>
    <row r="47984" spans="6:6">
      <c r="F47984" s="2423"/>
    </row>
    <row r="47985" spans="6:6">
      <c r="F47985" s="2423"/>
    </row>
    <row r="47986" spans="6:6">
      <c r="F47986" s="2423"/>
    </row>
    <row r="47987" spans="6:6">
      <c r="F47987" s="2423"/>
    </row>
    <row r="47988" spans="6:6">
      <c r="F47988" s="2423"/>
    </row>
    <row r="47989" spans="6:6">
      <c r="F47989" s="2423"/>
    </row>
    <row r="47990" spans="6:6">
      <c r="F47990" s="2423"/>
    </row>
    <row r="47991" spans="6:6">
      <c r="F47991" s="2423"/>
    </row>
    <row r="47992" spans="6:6">
      <c r="F47992" s="2423"/>
    </row>
    <row r="47993" spans="6:6">
      <c r="F47993" s="2423"/>
    </row>
    <row r="47994" spans="6:6">
      <c r="F47994" s="2423"/>
    </row>
    <row r="47995" spans="6:6">
      <c r="F47995" s="2423"/>
    </row>
    <row r="47996" spans="6:6">
      <c r="F47996" s="2423"/>
    </row>
    <row r="47997" spans="6:6">
      <c r="F47997" s="2423"/>
    </row>
    <row r="47998" spans="6:6">
      <c r="F47998" s="2423"/>
    </row>
    <row r="47999" spans="6:6">
      <c r="F47999" s="2423"/>
    </row>
    <row r="48000" spans="6:6">
      <c r="F48000" s="2423"/>
    </row>
    <row r="48001" spans="6:6">
      <c r="F48001" s="2423"/>
    </row>
    <row r="48002" spans="6:6">
      <c r="F48002" s="2423"/>
    </row>
    <row r="48003" spans="6:6">
      <c r="F48003" s="2423"/>
    </row>
    <row r="48004" spans="6:6">
      <c r="F48004" s="2423"/>
    </row>
    <row r="48005" spans="6:6">
      <c r="F48005" s="2423"/>
    </row>
    <row r="48006" spans="6:6">
      <c r="F48006" s="2423"/>
    </row>
    <row r="48007" spans="6:6">
      <c r="F48007" s="2423"/>
    </row>
    <row r="48008" spans="6:6">
      <c r="F48008" s="2423"/>
    </row>
    <row r="48009" spans="6:6">
      <c r="F48009" s="2423"/>
    </row>
    <row r="48010" spans="6:6">
      <c r="F48010" s="2423"/>
    </row>
    <row r="48011" spans="6:6">
      <c r="F48011" s="2423"/>
    </row>
    <row r="48012" spans="6:6">
      <c r="F48012" s="2423"/>
    </row>
    <row r="48013" spans="6:6">
      <c r="F48013" s="2423"/>
    </row>
    <row r="48014" spans="6:6">
      <c r="F48014" s="2423"/>
    </row>
    <row r="48015" spans="6:6">
      <c r="F48015" s="2423"/>
    </row>
    <row r="48016" spans="6:6">
      <c r="F48016" s="2423"/>
    </row>
    <row r="48017" spans="6:6">
      <c r="F48017" s="2423"/>
    </row>
    <row r="48018" spans="6:6">
      <c r="F48018" s="2423"/>
    </row>
    <row r="48019" spans="6:6">
      <c r="F48019" s="2423"/>
    </row>
    <row r="48020" spans="6:6">
      <c r="F48020" s="2423"/>
    </row>
    <row r="48021" spans="6:6">
      <c r="F48021" s="2423"/>
    </row>
    <row r="48022" spans="6:6">
      <c r="F48022" s="2423"/>
    </row>
    <row r="48023" spans="6:6">
      <c r="F48023" s="2423"/>
    </row>
    <row r="48024" spans="6:6">
      <c r="F48024" s="2423"/>
    </row>
    <row r="48025" spans="6:6">
      <c r="F48025" s="2423"/>
    </row>
    <row r="48026" spans="6:6">
      <c r="F48026" s="2423"/>
    </row>
    <row r="48027" spans="6:6">
      <c r="F48027" s="2423"/>
    </row>
    <row r="48028" spans="6:6">
      <c r="F48028" s="2423"/>
    </row>
    <row r="48029" spans="6:6">
      <c r="F48029" s="2423"/>
    </row>
    <row r="48030" spans="6:6">
      <c r="F48030" s="2423"/>
    </row>
    <row r="48031" spans="6:6">
      <c r="F48031" s="2423"/>
    </row>
    <row r="48032" spans="6:6">
      <c r="F48032" s="2423"/>
    </row>
    <row r="48033" spans="6:6">
      <c r="F48033" s="2423"/>
    </row>
    <row r="48034" spans="6:6">
      <c r="F48034" s="2423"/>
    </row>
    <row r="48035" spans="6:6">
      <c r="F48035" s="2423"/>
    </row>
    <row r="48036" spans="6:6">
      <c r="F48036" s="2423"/>
    </row>
    <row r="48037" spans="6:6">
      <c r="F48037" s="2423"/>
    </row>
    <row r="48038" spans="6:6">
      <c r="F48038" s="2423"/>
    </row>
    <row r="48039" spans="6:6">
      <c r="F48039" s="2423"/>
    </row>
    <row r="48040" spans="6:6">
      <c r="F48040" s="2423"/>
    </row>
    <row r="48041" spans="6:6">
      <c r="F48041" s="2423"/>
    </row>
    <row r="48042" spans="6:6">
      <c r="F48042" s="2423"/>
    </row>
    <row r="48043" spans="6:6">
      <c r="F48043" s="2423"/>
    </row>
    <row r="48044" spans="6:6">
      <c r="F48044" s="2423"/>
    </row>
    <row r="48045" spans="6:6">
      <c r="F48045" s="2423"/>
    </row>
    <row r="48046" spans="6:6">
      <c r="F48046" s="2423"/>
    </row>
    <row r="48047" spans="6:6">
      <c r="F48047" s="2423"/>
    </row>
    <row r="48048" spans="6:6">
      <c r="F48048" s="2423"/>
    </row>
    <row r="48049" spans="6:6">
      <c r="F48049" s="2423"/>
    </row>
    <row r="48050" spans="6:6">
      <c r="F48050" s="2423"/>
    </row>
    <row r="48051" spans="6:6">
      <c r="F48051" s="2423"/>
    </row>
    <row r="48052" spans="6:6">
      <c r="F48052" s="2423"/>
    </row>
    <row r="48053" spans="6:6">
      <c r="F48053" s="2423"/>
    </row>
    <row r="48054" spans="6:6">
      <c r="F48054" s="2423"/>
    </row>
    <row r="48055" spans="6:6">
      <c r="F48055" s="2423"/>
    </row>
    <row r="48056" spans="6:6">
      <c r="F48056" s="2423"/>
    </row>
    <row r="48057" spans="6:6">
      <c r="F48057" s="2423"/>
    </row>
    <row r="48058" spans="6:6">
      <c r="F48058" s="2423"/>
    </row>
    <row r="48059" spans="6:6">
      <c r="F48059" s="2423"/>
    </row>
    <row r="48060" spans="6:6">
      <c r="F48060" s="2423"/>
    </row>
    <row r="48061" spans="6:6">
      <c r="F48061" s="2423"/>
    </row>
    <row r="48062" spans="6:6">
      <c r="F48062" s="2423"/>
    </row>
    <row r="48063" spans="6:6">
      <c r="F48063" s="2423"/>
    </row>
    <row r="48064" spans="6:6">
      <c r="F48064" s="2423"/>
    </row>
    <row r="48065" spans="6:6">
      <c r="F48065" s="2423"/>
    </row>
    <row r="48066" spans="6:6">
      <c r="F48066" s="2423"/>
    </row>
    <row r="48067" spans="6:6">
      <c r="F48067" s="2423"/>
    </row>
    <row r="48068" spans="6:6">
      <c r="F48068" s="2423"/>
    </row>
    <row r="48069" spans="6:6">
      <c r="F48069" s="2423"/>
    </row>
    <row r="48070" spans="6:6">
      <c r="F48070" s="2423"/>
    </row>
    <row r="48071" spans="6:6">
      <c r="F48071" s="2423"/>
    </row>
    <row r="48072" spans="6:6">
      <c r="F48072" s="2423"/>
    </row>
    <row r="48073" spans="6:6">
      <c r="F48073" s="2423"/>
    </row>
    <row r="48074" spans="6:6">
      <c r="F48074" s="2423"/>
    </row>
    <row r="48075" spans="6:6">
      <c r="F48075" s="2423"/>
    </row>
    <row r="48076" spans="6:6">
      <c r="F48076" s="2423"/>
    </row>
    <row r="48077" spans="6:6">
      <c r="F48077" s="2423"/>
    </row>
    <row r="48078" spans="6:6">
      <c r="F48078" s="2423"/>
    </row>
    <row r="48079" spans="6:6">
      <c r="F48079" s="2423"/>
    </row>
    <row r="48080" spans="6:6">
      <c r="F48080" s="2423"/>
    </row>
    <row r="48081" spans="6:6">
      <c r="F48081" s="2423"/>
    </row>
    <row r="48082" spans="6:6">
      <c r="F48082" s="2423"/>
    </row>
    <row r="48083" spans="6:6">
      <c r="F48083" s="2423"/>
    </row>
    <row r="48084" spans="6:6">
      <c r="F48084" s="2423"/>
    </row>
    <row r="48085" spans="6:6">
      <c r="F48085" s="2423"/>
    </row>
    <row r="48086" spans="6:6">
      <c r="F48086" s="2423"/>
    </row>
    <row r="48087" spans="6:6">
      <c r="F48087" s="2423"/>
    </row>
    <row r="48088" spans="6:6">
      <c r="F48088" s="2423"/>
    </row>
    <row r="48089" spans="6:6">
      <c r="F48089" s="2423"/>
    </row>
    <row r="48090" spans="6:6">
      <c r="F48090" s="2423"/>
    </row>
    <row r="48091" spans="6:6">
      <c r="F48091" s="2423"/>
    </row>
    <row r="48092" spans="6:6">
      <c r="F48092" s="2423"/>
    </row>
    <row r="48093" spans="6:6">
      <c r="F48093" s="2423"/>
    </row>
    <row r="48094" spans="6:6">
      <c r="F48094" s="2423"/>
    </row>
    <row r="48095" spans="6:6">
      <c r="F48095" s="2423"/>
    </row>
    <row r="48096" spans="6:6">
      <c r="F48096" s="2423"/>
    </row>
    <row r="48097" spans="6:6">
      <c r="F48097" s="2423"/>
    </row>
    <row r="48098" spans="6:6">
      <c r="F48098" s="2423"/>
    </row>
    <row r="48099" spans="6:6">
      <c r="F48099" s="2423"/>
    </row>
    <row r="48100" spans="6:6">
      <c r="F48100" s="2423"/>
    </row>
    <row r="48101" spans="6:6">
      <c r="F48101" s="2423"/>
    </row>
    <row r="48102" spans="6:6">
      <c r="F48102" s="2423"/>
    </row>
    <row r="48103" spans="6:6">
      <c r="F48103" s="2423"/>
    </row>
    <row r="48104" spans="6:6">
      <c r="F48104" s="2423"/>
    </row>
    <row r="48105" spans="6:6">
      <c r="F48105" s="2423"/>
    </row>
    <row r="48106" spans="6:6">
      <c r="F48106" s="2423"/>
    </row>
    <row r="48107" spans="6:6">
      <c r="F48107" s="2423"/>
    </row>
    <row r="48108" spans="6:6">
      <c r="F48108" s="2423"/>
    </row>
    <row r="48109" spans="6:6">
      <c r="F48109" s="2423"/>
    </row>
    <row r="48110" spans="6:6">
      <c r="F48110" s="2423"/>
    </row>
    <row r="48111" spans="6:6">
      <c r="F48111" s="2423"/>
    </row>
    <row r="48112" spans="6:6">
      <c r="F48112" s="2423"/>
    </row>
    <row r="48113" spans="6:6">
      <c r="F48113" s="2423"/>
    </row>
    <row r="48114" spans="6:6">
      <c r="F48114" s="2423"/>
    </row>
    <row r="48115" spans="6:6">
      <c r="F48115" s="2423"/>
    </row>
    <row r="48116" spans="6:6">
      <c r="F48116" s="2423"/>
    </row>
    <row r="48117" spans="6:6">
      <c r="F48117" s="2423"/>
    </row>
    <row r="48118" spans="6:6">
      <c r="F48118" s="2423"/>
    </row>
    <row r="48119" spans="6:6">
      <c r="F48119" s="2423"/>
    </row>
    <row r="48120" spans="6:6">
      <c r="F48120" s="2423"/>
    </row>
    <row r="48121" spans="6:6">
      <c r="F48121" s="2423"/>
    </row>
    <row r="48122" spans="6:6">
      <c r="F48122" s="2423"/>
    </row>
    <row r="48123" spans="6:6">
      <c r="F48123" s="2423"/>
    </row>
    <row r="48124" spans="6:6">
      <c r="F48124" s="2423"/>
    </row>
    <row r="48125" spans="6:6">
      <c r="F48125" s="2423"/>
    </row>
    <row r="48126" spans="6:6">
      <c r="F48126" s="2423"/>
    </row>
    <row r="48127" spans="6:6">
      <c r="F48127" s="2423"/>
    </row>
    <row r="48128" spans="6:6">
      <c r="F48128" s="2423"/>
    </row>
    <row r="48129" spans="6:6">
      <c r="F48129" s="2423"/>
    </row>
    <row r="48130" spans="6:6">
      <c r="F48130" s="2423"/>
    </row>
    <row r="48131" spans="6:6">
      <c r="F48131" s="2423"/>
    </row>
    <row r="48132" spans="6:6">
      <c r="F48132" s="2423"/>
    </row>
    <row r="48133" spans="6:6">
      <c r="F48133" s="2423"/>
    </row>
    <row r="48134" spans="6:6">
      <c r="F48134" s="2423"/>
    </row>
    <row r="48135" spans="6:6">
      <c r="F48135" s="2423"/>
    </row>
    <row r="48136" spans="6:6">
      <c r="F48136" s="2423"/>
    </row>
    <row r="48137" spans="6:6">
      <c r="F48137" s="2423"/>
    </row>
    <row r="48138" spans="6:6">
      <c r="F48138" s="2423"/>
    </row>
    <row r="48139" spans="6:6">
      <c r="F48139" s="2423"/>
    </row>
    <row r="48140" spans="6:6">
      <c r="F48140" s="2423"/>
    </row>
    <row r="48141" spans="6:6">
      <c r="F48141" s="2423"/>
    </row>
    <row r="48142" spans="6:6">
      <c r="F48142" s="2423"/>
    </row>
    <row r="48143" spans="6:6">
      <c r="F48143" s="2423"/>
    </row>
    <row r="48144" spans="6:6">
      <c r="F48144" s="2423"/>
    </row>
    <row r="48145" spans="6:6">
      <c r="F48145" s="2423"/>
    </row>
    <row r="48146" spans="6:6">
      <c r="F48146" s="2423"/>
    </row>
    <row r="48147" spans="6:6">
      <c r="F48147" s="2423"/>
    </row>
    <row r="48148" spans="6:6">
      <c r="F48148" s="2423"/>
    </row>
    <row r="48149" spans="6:6">
      <c r="F48149" s="2423"/>
    </row>
    <row r="48150" spans="6:6">
      <c r="F48150" s="2423"/>
    </row>
    <row r="48151" spans="6:6">
      <c r="F48151" s="2423"/>
    </row>
    <row r="48152" spans="6:6">
      <c r="F48152" s="2423"/>
    </row>
    <row r="48153" spans="6:6">
      <c r="F48153" s="2423"/>
    </row>
    <row r="48154" spans="6:6">
      <c r="F48154" s="2423"/>
    </row>
    <row r="48155" spans="6:6">
      <c r="F48155" s="2423"/>
    </row>
    <row r="48156" spans="6:6">
      <c r="F48156" s="2423"/>
    </row>
    <row r="48157" spans="6:6">
      <c r="F48157" s="2423"/>
    </row>
    <row r="48158" spans="6:6">
      <c r="F48158" s="2423"/>
    </row>
    <row r="48159" spans="6:6">
      <c r="F48159" s="2423"/>
    </row>
    <row r="48160" spans="6:6">
      <c r="F48160" s="2423"/>
    </row>
    <row r="48161" spans="6:6">
      <c r="F48161" s="2423"/>
    </row>
    <row r="48162" spans="6:6">
      <c r="F48162" s="2423"/>
    </row>
    <row r="48163" spans="6:6">
      <c r="F48163" s="2423"/>
    </row>
    <row r="48164" spans="6:6">
      <c r="F48164" s="2423"/>
    </row>
    <row r="48165" spans="6:6">
      <c r="F48165" s="2423"/>
    </row>
    <row r="48166" spans="6:6">
      <c r="F48166" s="2423"/>
    </row>
    <row r="48167" spans="6:6">
      <c r="F48167" s="2423"/>
    </row>
    <row r="48168" spans="6:6">
      <c r="F48168" s="2423"/>
    </row>
    <row r="48169" spans="6:6">
      <c r="F48169" s="2423"/>
    </row>
    <row r="48170" spans="6:6">
      <c r="F48170" s="2423"/>
    </row>
    <row r="48171" spans="6:6">
      <c r="F48171" s="2423"/>
    </row>
    <row r="48172" spans="6:6">
      <c r="F48172" s="2423"/>
    </row>
    <row r="48173" spans="6:6">
      <c r="F48173" s="2423"/>
    </row>
    <row r="48174" spans="6:6">
      <c r="F48174" s="2423"/>
    </row>
    <row r="48175" spans="6:6">
      <c r="F48175" s="2423"/>
    </row>
    <row r="48176" spans="6:6">
      <c r="F48176" s="2423"/>
    </row>
    <row r="48177" spans="6:6">
      <c r="F48177" s="2423"/>
    </row>
    <row r="48178" spans="6:6">
      <c r="F48178" s="2423"/>
    </row>
    <row r="48179" spans="6:6">
      <c r="F48179" s="2423"/>
    </row>
    <row r="48180" spans="6:6">
      <c r="F48180" s="2423"/>
    </row>
    <row r="48181" spans="6:6">
      <c r="F48181" s="2423"/>
    </row>
    <row r="48182" spans="6:6">
      <c r="F48182" s="2423"/>
    </row>
    <row r="48183" spans="6:6">
      <c r="F48183" s="2423"/>
    </row>
    <row r="48184" spans="6:6">
      <c r="F48184" s="2423"/>
    </row>
    <row r="48185" spans="6:6">
      <c r="F48185" s="2423"/>
    </row>
    <row r="48186" spans="6:6">
      <c r="F48186" s="2423"/>
    </row>
    <row r="48187" spans="6:6">
      <c r="F48187" s="2423"/>
    </row>
    <row r="48188" spans="6:6">
      <c r="F48188" s="2423"/>
    </row>
    <row r="48189" spans="6:6">
      <c r="F48189" s="2423"/>
    </row>
    <row r="48190" spans="6:6">
      <c r="F48190" s="2423"/>
    </row>
    <row r="48191" spans="6:6">
      <c r="F48191" s="2423"/>
    </row>
    <row r="48192" spans="6:6">
      <c r="F48192" s="2423"/>
    </row>
    <row r="48193" spans="6:6">
      <c r="F48193" s="2423"/>
    </row>
    <row r="48194" spans="6:6">
      <c r="F48194" s="2423"/>
    </row>
    <row r="48195" spans="6:6">
      <c r="F48195" s="2423"/>
    </row>
    <row r="48196" spans="6:6">
      <c r="F48196" s="2423"/>
    </row>
    <row r="48197" spans="6:6">
      <c r="F48197" s="2423"/>
    </row>
    <row r="48198" spans="6:6">
      <c r="F48198" s="2423"/>
    </row>
    <row r="48199" spans="6:6">
      <c r="F48199" s="2423"/>
    </row>
    <row r="48200" spans="6:6">
      <c r="F48200" s="2423"/>
    </row>
    <row r="48201" spans="6:6">
      <c r="F48201" s="2423"/>
    </row>
    <row r="48202" spans="6:6">
      <c r="F48202" s="2423"/>
    </row>
    <row r="48203" spans="6:6">
      <c r="F48203" s="2423"/>
    </row>
    <row r="48204" spans="6:6">
      <c r="F48204" s="2423"/>
    </row>
    <row r="48205" spans="6:6">
      <c r="F48205" s="2423"/>
    </row>
    <row r="48206" spans="6:6">
      <c r="F48206" s="2423"/>
    </row>
    <row r="48207" spans="6:6">
      <c r="F48207" s="2423"/>
    </row>
    <row r="48208" spans="6:6">
      <c r="F48208" s="2423"/>
    </row>
    <row r="48209" spans="6:6">
      <c r="F48209" s="2423"/>
    </row>
    <row r="48210" spans="6:6">
      <c r="F48210" s="2423"/>
    </row>
    <row r="48211" spans="6:6">
      <c r="F48211" s="2423"/>
    </row>
    <row r="48212" spans="6:6">
      <c r="F48212" s="2423"/>
    </row>
    <row r="48213" spans="6:6">
      <c r="F48213" s="2423"/>
    </row>
    <row r="48214" spans="6:6">
      <c r="F48214" s="2423"/>
    </row>
    <row r="48215" spans="6:6">
      <c r="F48215" s="2423"/>
    </row>
    <row r="48216" spans="6:6">
      <c r="F48216" s="2423"/>
    </row>
    <row r="48217" spans="6:6">
      <c r="F48217" s="2423"/>
    </row>
    <row r="48218" spans="6:6">
      <c r="F48218" s="2423"/>
    </row>
    <row r="48219" spans="6:6">
      <c r="F48219" s="2423"/>
    </row>
    <row r="48220" spans="6:6">
      <c r="F48220" s="2423"/>
    </row>
    <row r="48221" spans="6:6">
      <c r="F48221" s="2423"/>
    </row>
    <row r="48222" spans="6:6">
      <c r="F48222" s="2423"/>
    </row>
    <row r="48223" spans="6:6">
      <c r="F48223" s="2423"/>
    </row>
    <row r="48224" spans="6:6">
      <c r="F48224" s="2423"/>
    </row>
    <row r="48225" spans="6:6">
      <c r="F48225" s="2423"/>
    </row>
    <row r="48226" spans="6:6">
      <c r="F48226" s="2423"/>
    </row>
    <row r="48227" spans="6:6">
      <c r="F48227" s="2423"/>
    </row>
    <row r="48228" spans="6:6">
      <c r="F48228" s="2423"/>
    </row>
    <row r="48229" spans="6:6">
      <c r="F48229" s="2423"/>
    </row>
    <row r="48230" spans="6:6">
      <c r="F48230" s="2423"/>
    </row>
    <row r="48231" spans="6:6">
      <c r="F48231" s="2423"/>
    </row>
    <row r="48232" spans="6:6">
      <c r="F48232" s="2423"/>
    </row>
    <row r="48233" spans="6:6">
      <c r="F48233" s="2423"/>
    </row>
    <row r="48234" spans="6:6">
      <c r="F48234" s="2423"/>
    </row>
    <row r="48235" spans="6:6">
      <c r="F48235" s="2423"/>
    </row>
    <row r="48236" spans="6:6">
      <c r="F48236" s="2423"/>
    </row>
    <row r="48237" spans="6:6">
      <c r="F48237" s="2423"/>
    </row>
    <row r="48238" spans="6:6">
      <c r="F48238" s="2423"/>
    </row>
    <row r="48239" spans="6:6">
      <c r="F48239" s="2423"/>
    </row>
    <row r="48240" spans="6:6">
      <c r="F48240" s="2423"/>
    </row>
    <row r="48241" spans="6:6">
      <c r="F48241" s="2423"/>
    </row>
    <row r="48242" spans="6:6">
      <c r="F48242" s="2423"/>
    </row>
    <row r="48243" spans="6:6">
      <c r="F48243" s="2423"/>
    </row>
    <row r="48244" spans="6:6">
      <c r="F48244" s="2423"/>
    </row>
    <row r="48245" spans="6:6">
      <c r="F48245" s="2423"/>
    </row>
    <row r="48246" spans="6:6">
      <c r="F48246" s="2423"/>
    </row>
    <row r="48247" spans="6:6">
      <c r="F48247" s="2423"/>
    </row>
    <row r="48248" spans="6:6">
      <c r="F48248" s="2423"/>
    </row>
    <row r="48249" spans="6:6">
      <c r="F48249" s="2423"/>
    </row>
    <row r="48250" spans="6:6">
      <c r="F48250" s="2423"/>
    </row>
    <row r="48251" spans="6:6">
      <c r="F48251" s="2423"/>
    </row>
    <row r="48252" spans="6:6">
      <c r="F48252" s="2423"/>
    </row>
    <row r="48253" spans="6:6">
      <c r="F48253" s="2423"/>
    </row>
    <row r="48254" spans="6:6">
      <c r="F48254" s="2423"/>
    </row>
    <row r="48255" spans="6:6">
      <c r="F48255" s="2423"/>
    </row>
    <row r="48256" spans="6:6">
      <c r="F48256" s="2423"/>
    </row>
    <row r="48257" spans="6:6">
      <c r="F48257" s="2423"/>
    </row>
    <row r="48258" spans="6:6">
      <c r="F48258" s="2423"/>
    </row>
    <row r="48259" spans="6:6">
      <c r="F48259" s="2423"/>
    </row>
    <row r="48260" spans="6:6">
      <c r="F48260" s="2423"/>
    </row>
    <row r="48261" spans="6:6">
      <c r="F48261" s="2423"/>
    </row>
    <row r="48262" spans="6:6">
      <c r="F48262" s="2423"/>
    </row>
    <row r="48263" spans="6:6">
      <c r="F48263" s="2423"/>
    </row>
    <row r="48264" spans="6:6">
      <c r="F48264" s="2423"/>
    </row>
    <row r="48265" spans="6:6">
      <c r="F48265" s="2423"/>
    </row>
    <row r="48266" spans="6:6">
      <c r="F48266" s="2423"/>
    </row>
    <row r="48267" spans="6:6">
      <c r="F48267" s="2423"/>
    </row>
    <row r="48268" spans="6:6">
      <c r="F48268" s="2423"/>
    </row>
    <row r="48269" spans="6:6">
      <c r="F48269" s="2423"/>
    </row>
    <row r="48270" spans="6:6">
      <c r="F48270" s="2423"/>
    </row>
    <row r="48271" spans="6:6">
      <c r="F48271" s="2423"/>
    </row>
    <row r="48272" spans="6:6">
      <c r="F48272" s="2423"/>
    </row>
    <row r="48273" spans="6:6">
      <c r="F48273" s="2423"/>
    </row>
    <row r="48274" spans="6:6">
      <c r="F48274" s="2423"/>
    </row>
    <row r="48275" spans="6:6">
      <c r="F48275" s="2423"/>
    </row>
    <row r="48276" spans="6:6">
      <c r="F48276" s="2423"/>
    </row>
    <row r="48277" spans="6:6">
      <c r="F48277" s="2423"/>
    </row>
    <row r="48278" spans="6:6">
      <c r="F48278" s="2423"/>
    </row>
    <row r="48279" spans="6:6">
      <c r="F48279" s="2423"/>
    </row>
    <row r="48280" spans="6:6">
      <c r="F48280" s="2423"/>
    </row>
    <row r="48281" spans="6:6">
      <c r="F48281" s="2423"/>
    </row>
    <row r="48282" spans="6:6">
      <c r="F48282" s="2423"/>
    </row>
    <row r="48283" spans="6:6">
      <c r="F48283" s="2423"/>
    </row>
    <row r="48284" spans="6:6">
      <c r="F48284" s="2423"/>
    </row>
    <row r="48285" spans="6:6">
      <c r="F48285" s="2423"/>
    </row>
    <row r="48286" spans="6:6">
      <c r="F48286" s="2423"/>
    </row>
    <row r="48287" spans="6:6">
      <c r="F48287" s="2423"/>
    </row>
    <row r="48288" spans="6:6">
      <c r="F48288" s="2423"/>
    </row>
    <row r="48289" spans="6:6">
      <c r="F48289" s="2423"/>
    </row>
    <row r="48290" spans="6:6">
      <c r="F48290" s="2423"/>
    </row>
    <row r="48291" spans="6:6">
      <c r="F48291" s="2423"/>
    </row>
    <row r="48292" spans="6:6">
      <c r="F48292" s="2423"/>
    </row>
    <row r="48293" spans="6:6">
      <c r="F48293" s="2423"/>
    </row>
    <row r="48294" spans="6:6">
      <c r="F48294" s="2423"/>
    </row>
    <row r="48295" spans="6:6">
      <c r="F48295" s="2423"/>
    </row>
    <row r="48296" spans="6:6">
      <c r="F48296" s="2423"/>
    </row>
    <row r="48297" spans="6:6">
      <c r="F48297" s="2423"/>
    </row>
    <row r="48298" spans="6:6">
      <c r="F48298" s="2423"/>
    </row>
    <row r="48299" spans="6:6">
      <c r="F48299" s="2423"/>
    </row>
    <row r="48300" spans="6:6">
      <c r="F48300" s="2423"/>
    </row>
    <row r="48301" spans="6:6">
      <c r="F48301" s="2423"/>
    </row>
    <row r="48302" spans="6:6">
      <c r="F48302" s="2423"/>
    </row>
    <row r="48303" spans="6:6">
      <c r="F48303" s="2423"/>
    </row>
    <row r="48304" spans="6:6">
      <c r="F48304" s="2423"/>
    </row>
    <row r="48305" spans="6:6">
      <c r="F48305" s="2423"/>
    </row>
    <row r="48306" spans="6:6">
      <c r="F48306" s="2423"/>
    </row>
    <row r="48307" spans="6:6">
      <c r="F48307" s="2423"/>
    </row>
    <row r="48308" spans="6:6">
      <c r="F48308" s="2423"/>
    </row>
    <row r="48309" spans="6:6">
      <c r="F48309" s="2423"/>
    </row>
    <row r="48310" spans="6:6">
      <c r="F48310" s="2423"/>
    </row>
    <row r="48311" spans="6:6">
      <c r="F48311" s="2423"/>
    </row>
    <row r="48312" spans="6:6">
      <c r="F48312" s="2423"/>
    </row>
    <row r="48313" spans="6:6">
      <c r="F48313" s="2423"/>
    </row>
    <row r="48314" spans="6:6">
      <c r="F48314" s="2423"/>
    </row>
    <row r="48315" spans="6:6">
      <c r="F48315" s="2423"/>
    </row>
    <row r="48316" spans="6:6">
      <c r="F48316" s="2423"/>
    </row>
    <row r="48317" spans="6:6">
      <c r="F48317" s="2423"/>
    </row>
    <row r="48318" spans="6:6">
      <c r="F48318" s="2423"/>
    </row>
    <row r="48319" spans="6:6">
      <c r="F48319" s="2423"/>
    </row>
    <row r="48320" spans="6:6">
      <c r="F48320" s="2423"/>
    </row>
    <row r="48321" spans="6:6">
      <c r="F48321" s="2423"/>
    </row>
    <row r="48322" spans="6:6">
      <c r="F48322" s="2423"/>
    </row>
    <row r="48323" spans="6:6">
      <c r="F48323" s="2423"/>
    </row>
    <row r="48324" spans="6:6">
      <c r="F48324" s="2423"/>
    </row>
    <row r="48325" spans="6:6">
      <c r="F48325" s="2423"/>
    </row>
    <row r="48326" spans="6:6">
      <c r="F48326" s="2423"/>
    </row>
    <row r="48327" spans="6:6">
      <c r="F48327" s="2423"/>
    </row>
    <row r="48328" spans="6:6">
      <c r="F48328" s="2423"/>
    </row>
    <row r="48329" spans="6:6">
      <c r="F48329" s="2423"/>
    </row>
    <row r="48330" spans="6:6">
      <c r="F48330" s="2423"/>
    </row>
    <row r="48331" spans="6:6">
      <c r="F48331" s="2423"/>
    </row>
    <row r="48332" spans="6:6">
      <c r="F48332" s="2423"/>
    </row>
    <row r="48333" spans="6:6">
      <c r="F48333" s="2423"/>
    </row>
    <row r="48334" spans="6:6">
      <c r="F48334" s="2423"/>
    </row>
    <row r="48335" spans="6:6">
      <c r="F48335" s="2423"/>
    </row>
    <row r="48336" spans="6:6">
      <c r="F48336" s="2423"/>
    </row>
    <row r="48337" spans="6:6">
      <c r="F48337" s="2423"/>
    </row>
    <row r="48338" spans="6:6">
      <c r="F48338" s="2423"/>
    </row>
    <row r="48339" spans="6:6">
      <c r="F48339" s="2423"/>
    </row>
    <row r="48340" spans="6:6">
      <c r="F48340" s="2423"/>
    </row>
    <row r="48341" spans="6:6">
      <c r="F48341" s="2423"/>
    </row>
    <row r="48342" spans="6:6">
      <c r="F48342" s="2423"/>
    </row>
    <row r="48343" spans="6:6">
      <c r="F48343" s="2423"/>
    </row>
    <row r="48344" spans="6:6">
      <c r="F48344" s="2423"/>
    </row>
    <row r="48345" spans="6:6">
      <c r="F48345" s="2423"/>
    </row>
    <row r="48346" spans="6:6">
      <c r="F48346" s="2423"/>
    </row>
    <row r="48347" spans="6:6">
      <c r="F48347" s="2423"/>
    </row>
    <row r="48348" spans="6:6">
      <c r="F48348" s="2423"/>
    </row>
    <row r="48349" spans="6:6">
      <c r="F48349" s="2423"/>
    </row>
    <row r="48350" spans="6:6">
      <c r="F48350" s="2423"/>
    </row>
    <row r="48351" spans="6:6">
      <c r="F48351" s="2423"/>
    </row>
    <row r="48352" spans="6:6">
      <c r="F48352" s="2423"/>
    </row>
    <row r="48353" spans="6:6">
      <c r="F48353" s="2423"/>
    </row>
    <row r="48354" spans="6:6">
      <c r="F48354" s="2423"/>
    </row>
    <row r="48355" spans="6:6">
      <c r="F48355" s="2423"/>
    </row>
    <row r="48356" spans="6:6">
      <c r="F48356" s="2423"/>
    </row>
    <row r="48357" spans="6:6">
      <c r="F48357" s="2423"/>
    </row>
    <row r="48358" spans="6:6">
      <c r="F48358" s="2423"/>
    </row>
    <row r="48359" spans="6:6">
      <c r="F48359" s="2423"/>
    </row>
    <row r="48360" spans="6:6">
      <c r="F48360" s="2423"/>
    </row>
    <row r="48361" spans="6:6">
      <c r="F48361" s="2423"/>
    </row>
    <row r="48362" spans="6:6">
      <c r="F48362" s="2423"/>
    </row>
    <row r="48363" spans="6:6">
      <c r="F48363" s="2423"/>
    </row>
    <row r="48364" spans="6:6">
      <c r="F48364" s="2423"/>
    </row>
    <row r="48365" spans="6:6">
      <c r="F48365" s="2423"/>
    </row>
    <row r="48366" spans="6:6">
      <c r="F48366" s="2423"/>
    </row>
    <row r="48367" spans="6:6">
      <c r="F48367" s="2423"/>
    </row>
    <row r="48368" spans="6:6">
      <c r="F48368" s="2423"/>
    </row>
    <row r="48369" spans="6:6">
      <c r="F48369" s="2423"/>
    </row>
    <row r="48370" spans="6:6">
      <c r="F48370" s="2423"/>
    </row>
    <row r="48371" spans="6:6">
      <c r="F48371" s="2423"/>
    </row>
    <row r="48372" spans="6:6">
      <c r="F48372" s="2423"/>
    </row>
    <row r="48373" spans="6:6">
      <c r="F48373" s="2423"/>
    </row>
    <row r="48374" spans="6:6">
      <c r="F48374" s="2423"/>
    </row>
    <row r="48375" spans="6:6">
      <c r="F48375" s="2423"/>
    </row>
    <row r="48376" spans="6:6">
      <c r="F48376" s="2423"/>
    </row>
    <row r="48377" spans="6:6">
      <c r="F48377" s="2423"/>
    </row>
    <row r="48378" spans="6:6">
      <c r="F48378" s="2423"/>
    </row>
    <row r="48379" spans="6:6">
      <c r="F48379" s="2423"/>
    </row>
    <row r="48380" spans="6:6">
      <c r="F48380" s="2423"/>
    </row>
    <row r="48381" spans="6:6">
      <c r="F48381" s="2423"/>
    </row>
    <row r="48382" spans="6:6">
      <c r="F48382" s="2423"/>
    </row>
    <row r="48383" spans="6:6">
      <c r="F48383" s="2423"/>
    </row>
    <row r="48384" spans="6:6">
      <c r="F48384" s="2423"/>
    </row>
    <row r="48385" spans="6:6">
      <c r="F48385" s="2423"/>
    </row>
    <row r="48386" spans="6:6">
      <c r="F48386" s="2423"/>
    </row>
    <row r="48387" spans="6:6">
      <c r="F48387" s="2423"/>
    </row>
    <row r="48388" spans="6:6">
      <c r="F48388" s="2423"/>
    </row>
    <row r="48389" spans="6:6">
      <c r="F48389" s="2423"/>
    </row>
    <row r="48390" spans="6:6">
      <c r="F48390" s="2423"/>
    </row>
    <row r="48391" spans="6:6">
      <c r="F48391" s="2423"/>
    </row>
    <row r="48392" spans="6:6">
      <c r="F48392" s="2423"/>
    </row>
    <row r="48393" spans="6:6">
      <c r="F48393" s="2423"/>
    </row>
    <row r="48394" spans="6:6">
      <c r="F48394" s="2423"/>
    </row>
    <row r="48395" spans="6:6">
      <c r="F48395" s="2423"/>
    </row>
    <row r="48396" spans="6:6">
      <c r="F48396" s="2423"/>
    </row>
    <row r="48397" spans="6:6">
      <c r="F48397" s="2423"/>
    </row>
    <row r="48398" spans="6:6">
      <c r="F48398" s="2423"/>
    </row>
    <row r="48399" spans="6:6">
      <c r="F48399" s="2423"/>
    </row>
    <row r="48400" spans="6:6">
      <c r="F48400" s="2423"/>
    </row>
    <row r="48401" spans="6:6">
      <c r="F48401" s="2423"/>
    </row>
    <row r="48402" spans="6:6">
      <c r="F48402" s="2423"/>
    </row>
    <row r="48403" spans="6:6">
      <c r="F48403" s="2423"/>
    </row>
    <row r="48404" spans="6:6">
      <c r="F48404" s="2423"/>
    </row>
    <row r="48405" spans="6:6">
      <c r="F48405" s="2423"/>
    </row>
    <row r="48406" spans="6:6">
      <c r="F48406" s="2423"/>
    </row>
    <row r="48407" spans="6:6">
      <c r="F48407" s="2423"/>
    </row>
    <row r="48408" spans="6:6">
      <c r="F48408" s="2423"/>
    </row>
    <row r="48409" spans="6:6">
      <c r="F48409" s="2423"/>
    </row>
    <row r="48410" spans="6:6">
      <c r="F48410" s="2423"/>
    </row>
    <row r="48411" spans="6:6">
      <c r="F48411" s="2423"/>
    </row>
    <row r="48412" spans="6:6">
      <c r="F48412" s="2423"/>
    </row>
    <row r="48413" spans="6:6">
      <c r="F48413" s="2423"/>
    </row>
    <row r="48414" spans="6:6">
      <c r="F48414" s="2423"/>
    </row>
    <row r="48415" spans="6:6">
      <c r="F48415" s="2423"/>
    </row>
    <row r="48416" spans="6:6">
      <c r="F48416" s="2423"/>
    </row>
    <row r="48417" spans="6:6">
      <c r="F48417" s="2423"/>
    </row>
    <row r="48418" spans="6:6">
      <c r="F48418" s="2423"/>
    </row>
    <row r="48419" spans="6:6">
      <c r="F48419" s="2423"/>
    </row>
    <row r="48420" spans="6:6">
      <c r="F48420" s="2423"/>
    </row>
    <row r="48421" spans="6:6">
      <c r="F48421" s="2423"/>
    </row>
    <row r="48422" spans="6:6">
      <c r="F48422" s="2423"/>
    </row>
    <row r="48423" spans="6:6">
      <c r="F48423" s="2423"/>
    </row>
    <row r="48424" spans="6:6">
      <c r="F48424" s="2423"/>
    </row>
    <row r="48425" spans="6:6">
      <c r="F48425" s="2423"/>
    </row>
    <row r="48426" spans="6:6">
      <c r="F48426" s="2423"/>
    </row>
    <row r="48427" spans="6:6">
      <c r="F48427" s="2423"/>
    </row>
    <row r="48428" spans="6:6">
      <c r="F48428" s="2423"/>
    </row>
    <row r="48429" spans="6:6">
      <c r="F48429" s="2423"/>
    </row>
    <row r="48430" spans="6:6">
      <c r="F48430" s="2423"/>
    </row>
    <row r="48431" spans="6:6">
      <c r="F48431" s="2423"/>
    </row>
    <row r="48432" spans="6:6">
      <c r="F48432" s="2423"/>
    </row>
    <row r="48433" spans="6:6">
      <c r="F48433" s="2423"/>
    </row>
    <row r="48434" spans="6:6">
      <c r="F48434" s="2423"/>
    </row>
    <row r="48435" spans="6:6">
      <c r="F48435" s="2423"/>
    </row>
    <row r="48436" spans="6:6">
      <c r="F48436" s="2423"/>
    </row>
    <row r="48437" spans="6:6">
      <c r="F48437" s="2423"/>
    </row>
    <row r="48438" spans="6:6">
      <c r="F48438" s="2423"/>
    </row>
    <row r="48439" spans="6:6">
      <c r="F48439" s="2423"/>
    </row>
    <row r="48440" spans="6:6">
      <c r="F48440" s="2423"/>
    </row>
    <row r="48441" spans="6:6">
      <c r="F48441" s="2423"/>
    </row>
    <row r="48442" spans="6:6">
      <c r="F48442" s="2423"/>
    </row>
    <row r="48443" spans="6:6">
      <c r="F48443" s="2423"/>
    </row>
    <row r="48444" spans="6:6">
      <c r="F48444" s="2423"/>
    </row>
    <row r="48445" spans="6:6">
      <c r="F48445" s="2423"/>
    </row>
    <row r="48446" spans="6:6">
      <c r="F48446" s="2423"/>
    </row>
    <row r="48447" spans="6:6">
      <c r="F48447" s="2423"/>
    </row>
    <row r="48448" spans="6:6">
      <c r="F48448" s="2423"/>
    </row>
    <row r="48449" spans="6:6">
      <c r="F48449" s="2423"/>
    </row>
    <row r="48450" spans="6:6">
      <c r="F48450" s="2423"/>
    </row>
    <row r="48451" spans="6:6">
      <c r="F48451" s="2423"/>
    </row>
    <row r="48452" spans="6:6">
      <c r="F48452" s="2423"/>
    </row>
    <row r="48453" spans="6:6">
      <c r="F48453" s="2423"/>
    </row>
    <row r="48454" spans="6:6">
      <c r="F48454" s="2423"/>
    </row>
    <row r="48455" spans="6:6">
      <c r="F48455" s="2423"/>
    </row>
    <row r="48456" spans="6:6">
      <c r="F48456" s="2423"/>
    </row>
    <row r="48457" spans="6:6">
      <c r="F48457" s="2423"/>
    </row>
    <row r="48458" spans="6:6">
      <c r="F48458" s="2423"/>
    </row>
    <row r="48459" spans="6:6">
      <c r="F48459" s="2423"/>
    </row>
    <row r="48460" spans="6:6">
      <c r="F48460" s="2423"/>
    </row>
    <row r="48461" spans="6:6">
      <c r="F48461" s="2423"/>
    </row>
    <row r="48462" spans="6:6">
      <c r="F48462" s="2423"/>
    </row>
    <row r="48463" spans="6:6">
      <c r="F48463" s="2423"/>
    </row>
    <row r="48464" spans="6:6">
      <c r="F48464" s="2423"/>
    </row>
    <row r="48465" spans="6:6">
      <c r="F48465" s="2423"/>
    </row>
    <row r="48466" spans="6:6">
      <c r="F48466" s="2423"/>
    </row>
    <row r="48467" spans="6:6">
      <c r="F48467" s="2423"/>
    </row>
    <row r="48468" spans="6:6">
      <c r="F48468" s="2423"/>
    </row>
    <row r="48469" spans="6:6">
      <c r="F48469" s="2423"/>
    </row>
    <row r="48470" spans="6:6">
      <c r="F48470" s="2423"/>
    </row>
    <row r="48471" spans="6:6">
      <c r="F48471" s="2423"/>
    </row>
    <row r="48472" spans="6:6">
      <c r="F48472" s="2423"/>
    </row>
    <row r="48473" spans="6:6">
      <c r="F48473" s="2423"/>
    </row>
    <row r="48474" spans="6:6">
      <c r="F48474" s="2423"/>
    </row>
    <row r="48475" spans="6:6">
      <c r="F48475" s="2423"/>
    </row>
    <row r="48476" spans="6:6">
      <c r="F48476" s="2423"/>
    </row>
    <row r="48477" spans="6:6">
      <c r="F48477" s="2423"/>
    </row>
    <row r="48478" spans="6:6">
      <c r="F48478" s="2423"/>
    </row>
    <row r="48479" spans="6:6">
      <c r="F48479" s="2423"/>
    </row>
    <row r="48480" spans="6:6">
      <c r="F48480" s="2423"/>
    </row>
    <row r="48481" spans="6:6">
      <c r="F48481" s="2423"/>
    </row>
    <row r="48482" spans="6:6">
      <c r="F48482" s="2423"/>
    </row>
    <row r="48483" spans="6:6">
      <c r="F48483" s="2423"/>
    </row>
    <row r="48484" spans="6:6">
      <c r="F48484" s="2423"/>
    </row>
    <row r="48485" spans="6:6">
      <c r="F48485" s="2423"/>
    </row>
    <row r="48486" spans="6:6">
      <c r="F48486" s="2423"/>
    </row>
    <row r="48487" spans="6:6">
      <c r="F48487" s="2423"/>
    </row>
    <row r="48488" spans="6:6">
      <c r="F48488" s="2423"/>
    </row>
    <row r="48489" spans="6:6">
      <c r="F48489" s="2423"/>
    </row>
    <row r="48490" spans="6:6">
      <c r="F48490" s="2423"/>
    </row>
    <row r="48491" spans="6:6">
      <c r="F48491" s="2423"/>
    </row>
    <row r="48492" spans="6:6">
      <c r="F48492" s="2423"/>
    </row>
    <row r="48493" spans="6:6">
      <c r="F48493" s="2423"/>
    </row>
    <row r="48494" spans="6:6">
      <c r="F48494" s="2423"/>
    </row>
    <row r="48495" spans="6:6">
      <c r="F48495" s="2423"/>
    </row>
    <row r="48496" spans="6:6">
      <c r="F48496" s="2423"/>
    </row>
    <row r="48497" spans="6:6">
      <c r="F48497" s="2423"/>
    </row>
    <row r="48498" spans="6:6">
      <c r="F48498" s="2423"/>
    </row>
    <row r="48499" spans="6:6">
      <c r="F48499" s="2423"/>
    </row>
    <row r="48500" spans="6:6">
      <c r="F48500" s="2423"/>
    </row>
    <row r="48501" spans="6:6">
      <c r="F48501" s="2423"/>
    </row>
    <row r="48502" spans="6:6">
      <c r="F48502" s="2423"/>
    </row>
    <row r="48503" spans="6:6">
      <c r="F48503" s="2423"/>
    </row>
    <row r="48504" spans="6:6">
      <c r="F48504" s="2423"/>
    </row>
    <row r="48505" spans="6:6">
      <c r="F48505" s="2423"/>
    </row>
    <row r="48506" spans="6:6">
      <c r="F48506" s="2423"/>
    </row>
    <row r="48507" spans="6:6">
      <c r="F48507" s="2423"/>
    </row>
    <row r="48508" spans="6:6">
      <c r="F48508" s="2423"/>
    </row>
    <row r="48509" spans="6:6">
      <c r="F48509" s="2423"/>
    </row>
    <row r="48510" spans="6:6">
      <c r="F48510" s="2423"/>
    </row>
    <row r="48511" spans="6:6">
      <c r="F48511" s="2423"/>
    </row>
    <row r="48512" spans="6:6">
      <c r="F48512" s="2423"/>
    </row>
    <row r="48513" spans="6:6">
      <c r="F48513" s="2423"/>
    </row>
    <row r="48514" spans="6:6">
      <c r="F48514" s="2423"/>
    </row>
    <row r="48515" spans="6:6">
      <c r="F48515" s="2423"/>
    </row>
    <row r="48516" spans="6:6">
      <c r="F48516" s="2423"/>
    </row>
    <row r="48517" spans="6:6">
      <c r="F48517" s="2423"/>
    </row>
    <row r="48518" spans="6:6">
      <c r="F48518" s="2423"/>
    </row>
    <row r="48519" spans="6:6">
      <c r="F48519" s="2423"/>
    </row>
    <row r="48520" spans="6:6">
      <c r="F48520" s="2423"/>
    </row>
    <row r="48521" spans="6:6">
      <c r="F48521" s="2423"/>
    </row>
    <row r="48522" spans="6:6">
      <c r="F48522" s="2423"/>
    </row>
    <row r="48523" spans="6:6">
      <c r="F48523" s="2423"/>
    </row>
    <row r="48524" spans="6:6">
      <c r="F48524" s="2423"/>
    </row>
    <row r="48525" spans="6:6">
      <c r="F48525" s="2423"/>
    </row>
    <row r="48526" spans="6:6">
      <c r="F48526" s="2423"/>
    </row>
    <row r="48527" spans="6:6">
      <c r="F48527" s="2423"/>
    </row>
    <row r="48528" spans="6:6">
      <c r="F48528" s="2423"/>
    </row>
    <row r="48529" spans="6:6">
      <c r="F48529" s="2423"/>
    </row>
    <row r="48530" spans="6:6">
      <c r="F48530" s="2423"/>
    </row>
    <row r="48531" spans="6:6">
      <c r="F48531" s="2423"/>
    </row>
    <row r="48532" spans="6:6">
      <c r="F48532" s="2423"/>
    </row>
    <row r="48533" spans="6:6">
      <c r="F48533" s="2423"/>
    </row>
    <row r="48534" spans="6:6">
      <c r="F48534" s="2423"/>
    </row>
    <row r="48535" spans="6:6">
      <c r="F48535" s="2423"/>
    </row>
    <row r="48536" spans="6:6">
      <c r="F48536" s="2423"/>
    </row>
    <row r="48537" spans="6:6">
      <c r="F48537" s="2423"/>
    </row>
    <row r="48538" spans="6:6">
      <c r="F48538" s="2423"/>
    </row>
    <row r="48539" spans="6:6">
      <c r="F48539" s="2423"/>
    </row>
    <row r="48540" spans="6:6">
      <c r="F48540" s="2423"/>
    </row>
    <row r="48541" spans="6:6">
      <c r="F48541" s="2423"/>
    </row>
    <row r="48542" spans="6:6">
      <c r="F48542" s="2423"/>
    </row>
    <row r="48543" spans="6:6">
      <c r="F48543" s="2423"/>
    </row>
    <row r="48544" spans="6:6">
      <c r="F48544" s="2423"/>
    </row>
    <row r="48545" spans="6:6">
      <c r="F48545" s="2423"/>
    </row>
    <row r="48546" spans="6:6">
      <c r="F48546" s="2423"/>
    </row>
    <row r="48547" spans="6:6">
      <c r="F48547" s="2423"/>
    </row>
    <row r="48548" spans="6:6">
      <c r="F48548" s="2423"/>
    </row>
    <row r="48549" spans="6:6">
      <c r="F48549" s="2423"/>
    </row>
    <row r="48550" spans="6:6">
      <c r="F48550" s="2423"/>
    </row>
    <row r="48551" spans="6:6">
      <c r="F48551" s="2423"/>
    </row>
    <row r="48552" spans="6:6">
      <c r="F48552" s="2423"/>
    </row>
    <row r="48553" spans="6:6">
      <c r="F48553" s="2423"/>
    </row>
    <row r="48554" spans="6:6">
      <c r="F48554" s="2423"/>
    </row>
    <row r="48555" spans="6:6">
      <c r="F48555" s="2423"/>
    </row>
    <row r="48556" spans="6:6">
      <c r="F48556" s="2423"/>
    </row>
    <row r="48557" spans="6:6">
      <c r="F48557" s="2423"/>
    </row>
    <row r="48558" spans="6:6">
      <c r="F48558" s="2423"/>
    </row>
    <row r="48559" spans="6:6">
      <c r="F48559" s="2423"/>
    </row>
    <row r="48560" spans="6:6">
      <c r="F48560" s="2423"/>
    </row>
    <row r="48561" spans="6:6">
      <c r="F48561" s="2423"/>
    </row>
    <row r="48562" spans="6:6">
      <c r="F48562" s="2423"/>
    </row>
    <row r="48563" spans="6:6">
      <c r="F48563" s="2423"/>
    </row>
    <row r="48564" spans="6:6">
      <c r="F48564" s="2423"/>
    </row>
    <row r="48565" spans="6:6">
      <c r="F48565" s="2423"/>
    </row>
    <row r="48566" spans="6:6">
      <c r="F48566" s="2423"/>
    </row>
    <row r="48567" spans="6:6">
      <c r="F48567" s="2423"/>
    </row>
    <row r="48568" spans="6:6">
      <c r="F48568" s="2423"/>
    </row>
    <row r="48569" spans="6:6">
      <c r="F48569" s="2423"/>
    </row>
    <row r="48570" spans="6:6">
      <c r="F48570" s="2423"/>
    </row>
    <row r="48571" spans="6:6">
      <c r="F48571" s="2423"/>
    </row>
    <row r="48572" spans="6:6">
      <c r="F48572" s="2423"/>
    </row>
    <row r="48573" spans="6:6">
      <c r="F48573" s="2423"/>
    </row>
    <row r="48574" spans="6:6">
      <c r="F48574" s="2423"/>
    </row>
    <row r="48575" spans="6:6">
      <c r="F48575" s="2423"/>
    </row>
    <row r="48576" spans="6:6">
      <c r="F48576" s="2423"/>
    </row>
    <row r="48577" spans="6:6">
      <c r="F48577" s="2423"/>
    </row>
    <row r="48578" spans="6:6">
      <c r="F48578" s="2423"/>
    </row>
    <row r="48579" spans="6:6">
      <c r="F48579" s="2423"/>
    </row>
    <row r="48580" spans="6:6">
      <c r="F48580" s="2423"/>
    </row>
    <row r="48581" spans="6:6">
      <c r="F48581" s="2423"/>
    </row>
    <row r="48582" spans="6:6">
      <c r="F48582" s="2423"/>
    </row>
    <row r="48583" spans="6:6">
      <c r="F48583" s="2423"/>
    </row>
    <row r="48584" spans="6:6">
      <c r="F48584" s="2423"/>
    </row>
    <row r="48585" spans="6:6">
      <c r="F48585" s="2423"/>
    </row>
    <row r="48586" spans="6:6">
      <c r="F48586" s="2423"/>
    </row>
    <row r="48587" spans="6:6">
      <c r="F48587" s="2423"/>
    </row>
    <row r="48588" spans="6:6">
      <c r="F48588" s="2423"/>
    </row>
    <row r="48589" spans="6:6">
      <c r="F48589" s="2423"/>
    </row>
    <row r="48590" spans="6:6">
      <c r="F48590" s="2423"/>
    </row>
    <row r="48591" spans="6:6">
      <c r="F48591" s="2423"/>
    </row>
    <row r="48592" spans="6:6">
      <c r="F48592" s="2423"/>
    </row>
    <row r="48593" spans="6:6">
      <c r="F48593" s="2423"/>
    </row>
    <row r="48594" spans="6:6">
      <c r="F48594" s="2423"/>
    </row>
    <row r="48595" spans="6:6">
      <c r="F48595" s="2423"/>
    </row>
    <row r="48596" spans="6:6">
      <c r="F48596" s="2423"/>
    </row>
    <row r="48597" spans="6:6">
      <c r="F48597" s="2423"/>
    </row>
    <row r="48598" spans="6:6">
      <c r="F48598" s="2423"/>
    </row>
    <row r="48599" spans="6:6">
      <c r="F48599" s="2423"/>
    </row>
    <row r="48600" spans="6:6">
      <c r="F48600" s="2423"/>
    </row>
    <row r="48601" spans="6:6">
      <c r="F48601" s="2423"/>
    </row>
    <row r="48602" spans="6:6">
      <c r="F48602" s="2423"/>
    </row>
    <row r="48603" spans="6:6">
      <c r="F48603" s="2423"/>
    </row>
    <row r="48604" spans="6:6">
      <c r="F48604" s="2423"/>
    </row>
    <row r="48605" spans="6:6">
      <c r="F48605" s="2423"/>
    </row>
    <row r="48606" spans="6:6">
      <c r="F48606" s="2423"/>
    </row>
    <row r="48607" spans="6:6">
      <c r="F48607" s="2423"/>
    </row>
    <row r="48608" spans="6:6">
      <c r="F48608" s="2423"/>
    </row>
    <row r="48609" spans="6:6">
      <c r="F48609" s="2423"/>
    </row>
    <row r="48610" spans="6:6">
      <c r="F48610" s="2423"/>
    </row>
    <row r="48611" spans="6:6">
      <c r="F48611" s="2423"/>
    </row>
    <row r="48612" spans="6:6">
      <c r="F48612" s="2423"/>
    </row>
    <row r="48613" spans="6:6">
      <c r="F48613" s="2423"/>
    </row>
    <row r="48614" spans="6:6">
      <c r="F48614" s="2423"/>
    </row>
    <row r="48615" spans="6:6">
      <c r="F48615" s="2423"/>
    </row>
    <row r="48616" spans="6:6">
      <c r="F48616" s="2423"/>
    </row>
    <row r="48617" spans="6:6">
      <c r="F48617" s="2423"/>
    </row>
    <row r="48618" spans="6:6">
      <c r="F48618" s="2423"/>
    </row>
    <row r="48619" spans="6:6">
      <c r="F48619" s="2423"/>
    </row>
    <row r="48620" spans="6:6">
      <c r="F48620" s="2423"/>
    </row>
    <row r="48621" spans="6:6">
      <c r="F48621" s="2423"/>
    </row>
    <row r="48622" spans="6:6">
      <c r="F48622" s="2423"/>
    </row>
    <row r="48623" spans="6:6">
      <c r="F48623" s="2423"/>
    </row>
    <row r="48624" spans="6:6">
      <c r="F48624" s="2423"/>
    </row>
    <row r="48625" spans="6:6">
      <c r="F48625" s="2423"/>
    </row>
    <row r="48626" spans="6:6">
      <c r="F48626" s="2423"/>
    </row>
    <row r="48627" spans="6:6">
      <c r="F48627" s="2423"/>
    </row>
    <row r="48628" spans="6:6">
      <c r="F48628" s="2423"/>
    </row>
    <row r="48629" spans="6:6">
      <c r="F48629" s="2423"/>
    </row>
    <row r="48630" spans="6:6">
      <c r="F48630" s="2423"/>
    </row>
    <row r="48631" spans="6:6">
      <c r="F48631" s="2423"/>
    </row>
    <row r="48632" spans="6:6">
      <c r="F48632" s="2423"/>
    </row>
    <row r="48633" spans="6:6">
      <c r="F48633" s="2423"/>
    </row>
    <row r="48634" spans="6:6">
      <c r="F48634" s="2423"/>
    </row>
    <row r="48635" spans="6:6">
      <c r="F48635" s="2423"/>
    </row>
    <row r="48636" spans="6:6">
      <c r="F48636" s="2423"/>
    </row>
    <row r="48637" spans="6:6">
      <c r="F48637" s="2423"/>
    </row>
    <row r="48638" spans="6:6">
      <c r="F48638" s="2423"/>
    </row>
    <row r="48639" spans="6:6">
      <c r="F48639" s="2423"/>
    </row>
    <row r="48640" spans="6:6">
      <c r="F48640" s="2423"/>
    </row>
    <row r="48641" spans="6:6">
      <c r="F48641" s="2423"/>
    </row>
    <row r="48642" spans="6:6">
      <c r="F48642" s="2423"/>
    </row>
    <row r="48643" spans="6:6">
      <c r="F48643" s="2423"/>
    </row>
    <row r="48644" spans="6:6">
      <c r="F48644" s="2423"/>
    </row>
    <row r="48645" spans="6:6">
      <c r="F48645" s="2423"/>
    </row>
    <row r="48646" spans="6:6">
      <c r="F48646" s="2423"/>
    </row>
    <row r="48647" spans="6:6">
      <c r="F48647" s="2423"/>
    </row>
    <row r="48648" spans="6:6">
      <c r="F48648" s="2423"/>
    </row>
    <row r="48649" spans="6:6">
      <c r="F48649" s="2423"/>
    </row>
    <row r="48650" spans="6:6">
      <c r="F48650" s="2423"/>
    </row>
    <row r="48651" spans="6:6">
      <c r="F48651" s="2423"/>
    </row>
    <row r="48652" spans="6:6">
      <c r="F48652" s="2423"/>
    </row>
    <row r="48653" spans="6:6">
      <c r="F48653" s="2423"/>
    </row>
    <row r="48654" spans="6:6">
      <c r="F48654" s="2423"/>
    </row>
    <row r="48655" spans="6:6">
      <c r="F48655" s="2423"/>
    </row>
    <row r="48656" spans="6:6">
      <c r="F48656" s="2423"/>
    </row>
    <row r="48657" spans="6:6">
      <c r="F48657" s="2423"/>
    </row>
    <row r="48658" spans="6:6">
      <c r="F48658" s="2423"/>
    </row>
    <row r="48659" spans="6:6">
      <c r="F48659" s="2423"/>
    </row>
    <row r="48660" spans="6:6">
      <c r="F48660" s="2423"/>
    </row>
    <row r="48661" spans="6:6">
      <c r="F48661" s="2423"/>
    </row>
    <row r="48662" spans="6:6">
      <c r="F48662" s="2423"/>
    </row>
    <row r="48663" spans="6:6">
      <c r="F48663" s="2423"/>
    </row>
    <row r="48664" spans="6:6">
      <c r="F48664" s="2423"/>
    </row>
    <row r="48665" spans="6:6">
      <c r="F48665" s="2423"/>
    </row>
    <row r="48666" spans="6:6">
      <c r="F48666" s="2423"/>
    </row>
    <row r="48667" spans="6:6">
      <c r="F48667" s="2423"/>
    </row>
    <row r="48668" spans="6:6">
      <c r="F48668" s="2423"/>
    </row>
    <row r="48669" spans="6:6">
      <c r="F48669" s="2423"/>
    </row>
    <row r="48670" spans="6:6">
      <c r="F48670" s="2423"/>
    </row>
    <row r="48671" spans="6:6">
      <c r="F48671" s="2423"/>
    </row>
    <row r="48672" spans="6:6">
      <c r="F48672" s="2423"/>
    </row>
    <row r="48673" spans="6:6">
      <c r="F48673" s="2423"/>
    </row>
    <row r="48674" spans="6:6">
      <c r="F48674" s="2423"/>
    </row>
    <row r="48675" spans="6:6">
      <c r="F48675" s="2423"/>
    </row>
    <row r="48676" spans="6:6">
      <c r="F48676" s="2423"/>
    </row>
    <row r="48677" spans="6:6">
      <c r="F48677" s="2423"/>
    </row>
    <row r="48678" spans="6:6">
      <c r="F48678" s="2423"/>
    </row>
    <row r="48679" spans="6:6">
      <c r="F48679" s="2423"/>
    </row>
    <row r="48680" spans="6:6">
      <c r="F48680" s="2423"/>
    </row>
    <row r="48681" spans="6:6">
      <c r="F48681" s="2423"/>
    </row>
    <row r="48682" spans="6:6">
      <c r="F48682" s="2423"/>
    </row>
    <row r="48683" spans="6:6">
      <c r="F48683" s="2423"/>
    </row>
    <row r="48684" spans="6:6">
      <c r="F48684" s="2423"/>
    </row>
    <row r="48685" spans="6:6">
      <c r="F48685" s="2423"/>
    </row>
    <row r="48686" spans="6:6">
      <c r="F48686" s="2423"/>
    </row>
    <row r="48687" spans="6:6">
      <c r="F48687" s="2423"/>
    </row>
    <row r="48688" spans="6:6">
      <c r="F48688" s="2423"/>
    </row>
    <row r="48689" spans="6:6">
      <c r="F48689" s="2423"/>
    </row>
    <row r="48690" spans="6:6">
      <c r="F48690" s="2423"/>
    </row>
    <row r="48691" spans="6:6">
      <c r="F48691" s="2423"/>
    </row>
    <row r="48692" spans="6:6">
      <c r="F48692" s="2423"/>
    </row>
    <row r="48693" spans="6:6">
      <c r="F48693" s="2423"/>
    </row>
    <row r="48694" spans="6:6">
      <c r="F48694" s="2423"/>
    </row>
    <row r="48695" spans="6:6">
      <c r="F48695" s="2423"/>
    </row>
    <row r="48696" spans="6:6">
      <c r="F48696" s="2423"/>
    </row>
    <row r="48697" spans="6:6">
      <c r="F48697" s="2423"/>
    </row>
    <row r="48698" spans="6:6">
      <c r="F48698" s="2423"/>
    </row>
    <row r="48699" spans="6:6">
      <c r="F48699" s="2423"/>
    </row>
    <row r="48700" spans="6:6">
      <c r="F48700" s="2423"/>
    </row>
    <row r="48701" spans="6:6">
      <c r="F48701" s="2423"/>
    </row>
    <row r="48702" spans="6:6">
      <c r="F48702" s="2423"/>
    </row>
    <row r="48703" spans="6:6">
      <c r="F48703" s="2423"/>
    </row>
    <row r="48704" spans="6:6">
      <c r="F48704" s="2423"/>
    </row>
    <row r="48705" spans="6:6">
      <c r="F48705" s="2423"/>
    </row>
    <row r="48706" spans="6:6">
      <c r="F48706" s="2423"/>
    </row>
    <row r="48707" spans="6:6">
      <c r="F48707" s="2423"/>
    </row>
    <row r="48708" spans="6:6">
      <c r="F48708" s="2423"/>
    </row>
    <row r="48709" spans="6:6">
      <c r="F48709" s="2423"/>
    </row>
    <row r="48710" spans="6:6">
      <c r="F48710" s="2423"/>
    </row>
    <row r="48711" spans="6:6">
      <c r="F48711" s="2423"/>
    </row>
    <row r="48712" spans="6:6">
      <c r="F48712" s="2423"/>
    </row>
    <row r="48713" spans="6:6">
      <c r="F48713" s="2423"/>
    </row>
    <row r="48714" spans="6:6">
      <c r="F48714" s="2423"/>
    </row>
    <row r="48715" spans="6:6">
      <c r="F48715" s="2423"/>
    </row>
    <row r="48716" spans="6:6">
      <c r="F48716" s="2423"/>
    </row>
    <row r="48717" spans="6:6">
      <c r="F48717" s="2423"/>
    </row>
    <row r="48718" spans="6:6">
      <c r="F48718" s="2423"/>
    </row>
    <row r="48719" spans="6:6">
      <c r="F48719" s="2423"/>
    </row>
    <row r="48720" spans="6:6">
      <c r="F48720" s="2423"/>
    </row>
    <row r="48721" spans="6:6">
      <c r="F48721" s="2423"/>
    </row>
    <row r="48722" spans="6:6">
      <c r="F48722" s="2423"/>
    </row>
    <row r="48723" spans="6:6">
      <c r="F48723" s="2423"/>
    </row>
    <row r="48724" spans="6:6">
      <c r="F48724" s="2423"/>
    </row>
    <row r="48725" spans="6:6">
      <c r="F48725" s="2423"/>
    </row>
    <row r="48726" spans="6:6">
      <c r="F48726" s="2423"/>
    </row>
    <row r="48727" spans="6:6">
      <c r="F48727" s="2423"/>
    </row>
    <row r="48728" spans="6:6">
      <c r="F48728" s="2423"/>
    </row>
    <row r="48729" spans="6:6">
      <c r="F48729" s="2423"/>
    </row>
    <row r="48730" spans="6:6">
      <c r="F48730" s="2423"/>
    </row>
    <row r="48731" spans="6:6">
      <c r="F48731" s="2423"/>
    </row>
    <row r="48732" spans="6:6">
      <c r="F48732" s="2423"/>
    </row>
    <row r="48733" spans="6:6">
      <c r="F48733" s="2423"/>
    </row>
    <row r="48734" spans="6:6">
      <c r="F48734" s="2423"/>
    </row>
    <row r="48735" spans="6:6">
      <c r="F48735" s="2423"/>
    </row>
    <row r="48736" spans="6:6">
      <c r="F48736" s="2423"/>
    </row>
    <row r="48737" spans="6:6">
      <c r="F48737" s="2423"/>
    </row>
    <row r="48738" spans="6:6">
      <c r="F48738" s="2423"/>
    </row>
    <row r="48739" spans="6:6">
      <c r="F48739" s="2423"/>
    </row>
    <row r="48740" spans="6:6">
      <c r="F48740" s="2423"/>
    </row>
    <row r="48741" spans="6:6">
      <c r="F48741" s="2423"/>
    </row>
    <row r="48742" spans="6:6">
      <c r="F48742" s="2423"/>
    </row>
    <row r="48743" spans="6:6">
      <c r="F48743" s="2423"/>
    </row>
    <row r="48744" spans="6:6">
      <c r="F48744" s="2423"/>
    </row>
    <row r="48745" spans="6:6">
      <c r="F48745" s="2423"/>
    </row>
    <row r="48746" spans="6:6">
      <c r="F48746" s="2423"/>
    </row>
    <row r="48747" spans="6:6">
      <c r="F48747" s="2423"/>
    </row>
    <row r="48748" spans="6:6">
      <c r="F48748" s="2423"/>
    </row>
    <row r="48749" spans="6:6">
      <c r="F48749" s="2423"/>
    </row>
    <row r="48750" spans="6:6">
      <c r="F48750" s="2423"/>
    </row>
    <row r="48751" spans="6:6">
      <c r="F48751" s="2423"/>
    </row>
    <row r="48752" spans="6:6">
      <c r="F48752" s="2423"/>
    </row>
    <row r="48753" spans="6:6">
      <c r="F48753" s="2423"/>
    </row>
    <row r="48754" spans="6:6">
      <c r="F48754" s="2423"/>
    </row>
    <row r="48755" spans="6:6">
      <c r="F48755" s="2423"/>
    </row>
    <row r="48756" spans="6:6">
      <c r="F48756" s="2423"/>
    </row>
    <row r="48757" spans="6:6">
      <c r="F48757" s="2423"/>
    </row>
    <row r="48758" spans="6:6">
      <c r="F48758" s="2423"/>
    </row>
    <row r="48759" spans="6:6">
      <c r="F48759" s="2423"/>
    </row>
    <row r="48760" spans="6:6">
      <c r="F48760" s="2423"/>
    </row>
    <row r="48761" spans="6:6">
      <c r="F48761" s="2423"/>
    </row>
    <row r="48762" spans="6:6">
      <c r="F48762" s="2423"/>
    </row>
    <row r="48763" spans="6:6">
      <c r="F48763" s="2423"/>
    </row>
    <row r="48764" spans="6:6">
      <c r="F48764" s="2423"/>
    </row>
    <row r="48765" spans="6:6">
      <c r="F48765" s="2423"/>
    </row>
    <row r="48766" spans="6:6">
      <c r="F48766" s="2423"/>
    </row>
    <row r="48767" spans="6:6">
      <c r="F48767" s="2423"/>
    </row>
    <row r="48768" spans="6:6">
      <c r="F48768" s="2423"/>
    </row>
    <row r="48769" spans="6:6">
      <c r="F48769" s="2423"/>
    </row>
    <row r="48770" spans="6:6">
      <c r="F48770" s="2423"/>
    </row>
    <row r="48771" spans="6:6">
      <c r="F48771" s="2423"/>
    </row>
    <row r="48772" spans="6:6">
      <c r="F48772" s="2423"/>
    </row>
    <row r="48773" spans="6:6">
      <c r="F48773" s="2423"/>
    </row>
    <row r="48774" spans="6:6">
      <c r="F48774" s="2423"/>
    </row>
    <row r="48775" spans="6:6">
      <c r="F48775" s="2423"/>
    </row>
    <row r="48776" spans="6:6">
      <c r="F48776" s="2423"/>
    </row>
    <row r="48777" spans="6:6">
      <c r="F48777" s="2423"/>
    </row>
    <row r="48778" spans="6:6">
      <c r="F48778" s="2423"/>
    </row>
    <row r="48779" spans="6:6">
      <c r="F48779" s="2423"/>
    </row>
    <row r="48780" spans="6:6">
      <c r="F48780" s="2423"/>
    </row>
    <row r="48781" spans="6:6">
      <c r="F48781" s="2423"/>
    </row>
    <row r="48782" spans="6:6">
      <c r="F48782" s="2423"/>
    </row>
    <row r="48783" spans="6:6">
      <c r="F48783" s="2423"/>
    </row>
    <row r="48784" spans="6:6">
      <c r="F48784" s="2423"/>
    </row>
    <row r="48785" spans="6:6">
      <c r="F48785" s="2423"/>
    </row>
    <row r="48786" spans="6:6">
      <c r="F48786" s="2423"/>
    </row>
    <row r="48787" spans="6:6">
      <c r="F48787" s="2423"/>
    </row>
    <row r="48788" spans="6:6">
      <c r="F48788" s="2423"/>
    </row>
    <row r="48789" spans="6:6">
      <c r="F48789" s="2423"/>
    </row>
    <row r="48790" spans="6:6">
      <c r="F48790" s="2423"/>
    </row>
    <row r="48791" spans="6:6">
      <c r="F48791" s="2423"/>
    </row>
    <row r="48792" spans="6:6">
      <c r="F48792" s="2423"/>
    </row>
    <row r="48793" spans="6:6">
      <c r="F48793" s="2423"/>
    </row>
    <row r="48794" spans="6:6">
      <c r="F48794" s="2423"/>
    </row>
    <row r="48795" spans="6:6">
      <c r="F48795" s="2423"/>
    </row>
    <row r="48796" spans="6:6">
      <c r="F48796" s="2423"/>
    </row>
    <row r="48797" spans="6:6">
      <c r="F48797" s="2423"/>
    </row>
    <row r="48798" spans="6:6">
      <c r="F48798" s="2423"/>
    </row>
    <row r="48799" spans="6:6">
      <c r="F48799" s="2423"/>
    </row>
    <row r="48800" spans="6:6">
      <c r="F48800" s="2423"/>
    </row>
    <row r="48801" spans="6:6">
      <c r="F48801" s="2423"/>
    </row>
    <row r="48802" spans="6:6">
      <c r="F48802" s="2423"/>
    </row>
    <row r="48803" spans="6:6">
      <c r="F48803" s="2423"/>
    </row>
    <row r="48804" spans="6:6">
      <c r="F48804" s="2423"/>
    </row>
    <row r="48805" spans="6:6">
      <c r="F48805" s="2423"/>
    </row>
    <row r="48806" spans="6:6">
      <c r="F48806" s="2423"/>
    </row>
    <row r="48807" spans="6:6">
      <c r="F48807" s="2423"/>
    </row>
    <row r="48808" spans="6:6">
      <c r="F48808" s="2423"/>
    </row>
    <row r="48809" spans="6:6">
      <c r="F48809" s="2423"/>
    </row>
    <row r="48810" spans="6:6">
      <c r="F48810" s="2423"/>
    </row>
    <row r="48811" spans="6:6">
      <c r="F48811" s="2423"/>
    </row>
    <row r="48812" spans="6:6">
      <c r="F48812" s="2423"/>
    </row>
    <row r="48813" spans="6:6">
      <c r="F48813" s="2423"/>
    </row>
    <row r="48814" spans="6:6">
      <c r="F48814" s="2423"/>
    </row>
    <row r="48815" spans="6:6">
      <c r="F48815" s="2423"/>
    </row>
    <row r="48816" spans="6:6">
      <c r="F48816" s="2423"/>
    </row>
    <row r="48817" spans="6:6">
      <c r="F48817" s="2423"/>
    </row>
    <row r="48818" spans="6:6">
      <c r="F48818" s="2423"/>
    </row>
    <row r="48819" spans="6:6">
      <c r="F48819" s="2423"/>
    </row>
    <row r="48820" spans="6:6">
      <c r="F48820" s="2423"/>
    </row>
    <row r="48821" spans="6:6">
      <c r="F48821" s="2423"/>
    </row>
    <row r="48822" spans="6:6">
      <c r="F48822" s="2423"/>
    </row>
    <row r="48823" spans="6:6">
      <c r="F48823" s="2423"/>
    </row>
    <row r="48824" spans="6:6">
      <c r="F48824" s="2423"/>
    </row>
    <row r="48825" spans="6:6">
      <c r="F48825" s="2423"/>
    </row>
    <row r="48826" spans="6:6">
      <c r="F48826" s="2423"/>
    </row>
    <row r="48827" spans="6:6">
      <c r="F48827" s="2423"/>
    </row>
    <row r="48828" spans="6:6">
      <c r="F48828" s="2423"/>
    </row>
    <row r="48829" spans="6:6">
      <c r="F48829" s="2423"/>
    </row>
    <row r="48830" spans="6:6">
      <c r="F48830" s="2423"/>
    </row>
    <row r="48831" spans="6:6">
      <c r="F48831" s="2423"/>
    </row>
    <row r="48832" spans="6:6">
      <c r="F48832" s="2423"/>
    </row>
    <row r="48833" spans="6:6">
      <c r="F48833" s="2423"/>
    </row>
    <row r="48834" spans="6:6">
      <c r="F48834" s="2423"/>
    </row>
    <row r="48835" spans="6:6">
      <c r="F48835" s="2423"/>
    </row>
    <row r="48836" spans="6:6">
      <c r="F48836" s="2423"/>
    </row>
    <row r="48837" spans="6:6">
      <c r="F48837" s="2423"/>
    </row>
    <row r="48838" spans="6:6">
      <c r="F48838" s="2423"/>
    </row>
    <row r="48839" spans="6:6">
      <c r="F48839" s="2423"/>
    </row>
    <row r="48840" spans="6:6">
      <c r="F48840" s="2423"/>
    </row>
    <row r="48841" spans="6:6">
      <c r="F48841" s="2423"/>
    </row>
    <row r="48842" spans="6:6">
      <c r="F48842" s="2423"/>
    </row>
    <row r="48843" spans="6:6">
      <c r="F48843" s="2423"/>
    </row>
    <row r="48844" spans="6:6">
      <c r="F48844" s="2423"/>
    </row>
    <row r="48845" spans="6:6">
      <c r="F48845" s="2423"/>
    </row>
    <row r="48846" spans="6:6">
      <c r="F48846" s="2423"/>
    </row>
    <row r="48847" spans="6:6">
      <c r="F48847" s="2423"/>
    </row>
    <row r="48848" spans="6:6">
      <c r="F48848" s="2423"/>
    </row>
    <row r="48849" spans="6:6">
      <c r="F48849" s="2423"/>
    </row>
    <row r="48850" spans="6:6">
      <c r="F48850" s="2423"/>
    </row>
    <row r="48851" spans="6:6">
      <c r="F48851" s="2423"/>
    </row>
    <row r="48852" spans="6:6">
      <c r="F48852" s="2423"/>
    </row>
    <row r="48853" spans="6:6">
      <c r="F48853" s="2423"/>
    </row>
    <row r="48854" spans="6:6">
      <c r="F48854" s="2423"/>
    </row>
    <row r="48855" spans="6:6">
      <c r="F48855" s="2423"/>
    </row>
    <row r="48856" spans="6:6">
      <c r="F48856" s="2423"/>
    </row>
    <row r="48857" spans="6:6">
      <c r="F48857" s="2423"/>
    </row>
    <row r="48858" spans="6:6">
      <c r="F48858" s="2423"/>
    </row>
    <row r="48859" spans="6:6">
      <c r="F48859" s="2423"/>
    </row>
    <row r="48860" spans="6:6">
      <c r="F48860" s="2423"/>
    </row>
    <row r="48861" spans="6:6">
      <c r="F48861" s="2423"/>
    </row>
    <row r="48862" spans="6:6">
      <c r="F48862" s="2423"/>
    </row>
    <row r="48863" spans="6:6">
      <c r="F48863" s="2423"/>
    </row>
    <row r="48864" spans="6:6">
      <c r="F48864" s="2423"/>
    </row>
    <row r="48865" spans="6:6">
      <c r="F48865" s="2423"/>
    </row>
    <row r="48866" spans="6:6">
      <c r="F48866" s="2423"/>
    </row>
    <row r="48867" spans="6:6">
      <c r="F48867" s="2423"/>
    </row>
    <row r="48868" spans="6:6">
      <c r="F48868" s="2423"/>
    </row>
    <row r="48869" spans="6:6">
      <c r="F48869" s="2423"/>
    </row>
    <row r="48870" spans="6:6">
      <c r="F48870" s="2423"/>
    </row>
    <row r="48871" spans="6:6">
      <c r="F48871" s="2423"/>
    </row>
    <row r="48872" spans="6:6">
      <c r="F48872" s="2423"/>
    </row>
    <row r="48873" spans="6:6">
      <c r="F48873" s="2423"/>
    </row>
    <row r="48874" spans="6:6">
      <c r="F48874" s="2423"/>
    </row>
    <row r="48875" spans="6:6">
      <c r="F48875" s="2423"/>
    </row>
    <row r="48876" spans="6:6">
      <c r="F48876" s="2423"/>
    </row>
    <row r="48877" spans="6:6">
      <c r="F48877" s="2423"/>
    </row>
    <row r="48878" spans="6:6">
      <c r="F48878" s="2423"/>
    </row>
    <row r="48879" spans="6:6">
      <c r="F48879" s="2423"/>
    </row>
    <row r="48880" spans="6:6">
      <c r="F48880" s="2423"/>
    </row>
    <row r="48881" spans="6:6">
      <c r="F48881" s="2423"/>
    </row>
    <row r="48882" spans="6:6">
      <c r="F48882" s="2423"/>
    </row>
    <row r="48883" spans="6:6">
      <c r="F48883" s="2423"/>
    </row>
    <row r="48884" spans="6:6">
      <c r="F48884" s="2423"/>
    </row>
    <row r="48885" spans="6:6">
      <c r="F48885" s="2423"/>
    </row>
    <row r="48886" spans="6:6">
      <c r="F48886" s="2423"/>
    </row>
    <row r="48887" spans="6:6">
      <c r="F48887" s="2423"/>
    </row>
    <row r="48888" spans="6:6">
      <c r="F48888" s="2423"/>
    </row>
    <row r="48889" spans="6:6">
      <c r="F48889" s="2423"/>
    </row>
    <row r="48890" spans="6:6">
      <c r="F48890" s="2423"/>
    </row>
    <row r="48891" spans="6:6">
      <c r="F48891" s="2423"/>
    </row>
    <row r="48892" spans="6:6">
      <c r="F48892" s="2423"/>
    </row>
    <row r="48893" spans="6:6">
      <c r="F48893" s="2423"/>
    </row>
    <row r="48894" spans="6:6">
      <c r="F48894" s="2423"/>
    </row>
    <row r="48895" spans="6:6">
      <c r="F48895" s="2423"/>
    </row>
    <row r="48896" spans="6:6">
      <c r="F48896" s="2423"/>
    </row>
    <row r="48897" spans="6:6">
      <c r="F48897" s="2423"/>
    </row>
    <row r="48898" spans="6:6">
      <c r="F48898" s="2423"/>
    </row>
    <row r="48899" spans="6:6">
      <c r="F48899" s="2423"/>
    </row>
    <row r="48900" spans="6:6">
      <c r="F48900" s="2423"/>
    </row>
    <row r="48901" spans="6:6">
      <c r="F48901" s="2423"/>
    </row>
    <row r="48902" spans="6:6">
      <c r="F48902" s="2423"/>
    </row>
    <row r="48903" spans="6:6">
      <c r="F48903" s="2423"/>
    </row>
    <row r="48904" spans="6:6">
      <c r="F48904" s="2423"/>
    </row>
    <row r="48905" spans="6:6">
      <c r="F48905" s="2423"/>
    </row>
    <row r="48906" spans="6:6">
      <c r="F48906" s="2423"/>
    </row>
    <row r="48907" spans="6:6">
      <c r="F48907" s="2423"/>
    </row>
    <row r="48908" spans="6:6">
      <c r="F48908" s="2423"/>
    </row>
    <row r="48909" spans="6:6">
      <c r="F48909" s="2423"/>
    </row>
    <row r="48910" spans="6:6">
      <c r="F48910" s="2423"/>
    </row>
    <row r="48911" spans="6:6">
      <c r="F48911" s="2423"/>
    </row>
    <row r="48912" spans="6:6">
      <c r="F48912" s="2423"/>
    </row>
    <row r="48913" spans="6:6">
      <c r="F48913" s="2423"/>
    </row>
    <row r="48914" spans="6:6">
      <c r="F48914" s="2423"/>
    </row>
    <row r="48915" spans="6:6">
      <c r="F48915" s="2423"/>
    </row>
    <row r="48916" spans="6:6">
      <c r="F48916" s="2423"/>
    </row>
    <row r="48917" spans="6:6">
      <c r="F48917" s="2423"/>
    </row>
    <row r="48918" spans="6:6">
      <c r="F48918" s="2423"/>
    </row>
    <row r="48919" spans="6:6">
      <c r="F48919" s="2423"/>
    </row>
    <row r="48920" spans="6:6">
      <c r="F48920" s="2423"/>
    </row>
    <row r="48921" spans="6:6">
      <c r="F48921" s="2423"/>
    </row>
    <row r="48922" spans="6:6">
      <c r="F48922" s="2423"/>
    </row>
    <row r="48923" spans="6:6">
      <c r="F48923" s="2423"/>
    </row>
    <row r="48924" spans="6:6">
      <c r="F48924" s="2423"/>
    </row>
    <row r="48925" spans="6:6">
      <c r="F48925" s="2423"/>
    </row>
    <row r="48926" spans="6:6">
      <c r="F48926" s="2423"/>
    </row>
    <row r="48927" spans="6:6">
      <c r="F48927" s="2423"/>
    </row>
    <row r="48928" spans="6:6">
      <c r="F48928" s="2423"/>
    </row>
    <row r="48929" spans="6:6">
      <c r="F48929" s="2423"/>
    </row>
    <row r="48930" spans="6:6">
      <c r="F48930" s="2423"/>
    </row>
    <row r="48931" spans="6:6">
      <c r="F48931" s="2423"/>
    </row>
    <row r="48932" spans="6:6">
      <c r="F48932" s="2423"/>
    </row>
    <row r="48933" spans="6:6">
      <c r="F48933" s="2423"/>
    </row>
    <row r="48934" spans="6:6">
      <c r="F48934" s="2423"/>
    </row>
    <row r="48935" spans="6:6">
      <c r="F48935" s="2423"/>
    </row>
    <row r="48936" spans="6:6">
      <c r="F48936" s="2423"/>
    </row>
    <row r="48937" spans="6:6">
      <c r="F48937" s="2423"/>
    </row>
    <row r="48938" spans="6:6">
      <c r="F48938" s="2423"/>
    </row>
    <row r="48939" spans="6:6">
      <c r="F48939" s="2423"/>
    </row>
    <row r="48940" spans="6:6">
      <c r="F48940" s="2423"/>
    </row>
    <row r="48941" spans="6:6">
      <c r="F48941" s="2423"/>
    </row>
    <row r="48942" spans="6:6">
      <c r="F48942" s="2423"/>
    </row>
    <row r="48943" spans="6:6">
      <c r="F48943" s="2423"/>
    </row>
    <row r="48944" spans="6:6">
      <c r="F48944" s="2423"/>
    </row>
    <row r="48945" spans="6:6">
      <c r="F48945" s="2423"/>
    </row>
    <row r="48946" spans="6:6">
      <c r="F48946" s="2423"/>
    </row>
    <row r="48947" spans="6:6">
      <c r="F48947" s="2423"/>
    </row>
    <row r="48948" spans="6:6">
      <c r="F48948" s="2423"/>
    </row>
    <row r="48949" spans="6:6">
      <c r="F48949" s="2423"/>
    </row>
    <row r="48950" spans="6:6">
      <c r="F48950" s="2423"/>
    </row>
    <row r="48951" spans="6:6">
      <c r="F48951" s="2423"/>
    </row>
    <row r="48952" spans="6:6">
      <c r="F48952" s="2423"/>
    </row>
    <row r="48953" spans="6:6">
      <c r="F48953" s="2423"/>
    </row>
    <row r="48954" spans="6:6">
      <c r="F48954" s="2423"/>
    </row>
    <row r="48955" spans="6:6">
      <c r="F48955" s="2423"/>
    </row>
    <row r="48956" spans="6:6">
      <c r="F48956" s="2423"/>
    </row>
    <row r="48957" spans="6:6">
      <c r="F48957" s="2423"/>
    </row>
    <row r="48958" spans="6:6">
      <c r="F48958" s="2423"/>
    </row>
    <row r="48959" spans="6:6">
      <c r="F48959" s="2423"/>
    </row>
    <row r="48960" spans="6:6">
      <c r="F48960" s="2423"/>
    </row>
    <row r="48961" spans="6:6">
      <c r="F48961" s="2423"/>
    </row>
    <row r="48962" spans="6:6">
      <c r="F48962" s="2423"/>
    </row>
    <row r="48963" spans="6:6">
      <c r="F48963" s="2423"/>
    </row>
    <row r="48964" spans="6:6">
      <c r="F48964" s="2423"/>
    </row>
    <row r="48965" spans="6:6">
      <c r="F48965" s="2423"/>
    </row>
    <row r="48966" spans="6:6">
      <c r="F48966" s="2423"/>
    </row>
    <row r="48967" spans="6:6">
      <c r="F48967" s="2423"/>
    </row>
    <row r="48968" spans="6:6">
      <c r="F48968" s="2423"/>
    </row>
    <row r="48969" spans="6:6">
      <c r="F48969" s="2423"/>
    </row>
    <row r="48970" spans="6:6">
      <c r="F48970" s="2423"/>
    </row>
    <row r="48971" spans="6:6">
      <c r="F48971" s="2423"/>
    </row>
    <row r="48972" spans="6:6">
      <c r="F48972" s="2423"/>
    </row>
    <row r="48973" spans="6:6">
      <c r="F48973" s="2423"/>
    </row>
    <row r="48974" spans="6:6">
      <c r="F48974" s="2423"/>
    </row>
    <row r="48975" spans="6:6">
      <c r="F48975" s="2423"/>
    </row>
    <row r="48976" spans="6:6">
      <c r="F48976" s="2423"/>
    </row>
    <row r="48977" spans="6:6">
      <c r="F48977" s="2423"/>
    </row>
    <row r="48978" spans="6:6">
      <c r="F48978" s="2423"/>
    </row>
    <row r="48979" spans="6:6">
      <c r="F48979" s="2423"/>
    </row>
    <row r="48980" spans="6:6">
      <c r="F48980" s="2423"/>
    </row>
    <row r="48981" spans="6:6">
      <c r="F48981" s="2423"/>
    </row>
    <row r="48982" spans="6:6">
      <c r="F48982" s="2423"/>
    </row>
    <row r="48983" spans="6:6">
      <c r="F48983" s="2423"/>
    </row>
    <row r="48984" spans="6:6">
      <c r="F48984" s="2423"/>
    </row>
    <row r="48985" spans="6:6">
      <c r="F48985" s="2423"/>
    </row>
    <row r="48986" spans="6:6">
      <c r="F48986" s="2423"/>
    </row>
    <row r="48987" spans="6:6">
      <c r="F48987" s="2423"/>
    </row>
    <row r="48988" spans="6:6">
      <c r="F48988" s="2423"/>
    </row>
    <row r="48989" spans="6:6">
      <c r="F48989" s="2423"/>
    </row>
    <row r="48990" spans="6:6">
      <c r="F48990" s="2423"/>
    </row>
    <row r="48991" spans="6:6">
      <c r="F48991" s="2423"/>
    </row>
    <row r="48992" spans="6:6">
      <c r="F48992" s="2423"/>
    </row>
    <row r="48993" spans="6:6">
      <c r="F48993" s="2423"/>
    </row>
    <row r="48994" spans="6:6">
      <c r="F48994" s="2423"/>
    </row>
    <row r="48995" spans="6:6">
      <c r="F48995" s="2423"/>
    </row>
    <row r="48996" spans="6:6">
      <c r="F48996" s="2423"/>
    </row>
    <row r="48997" spans="6:6">
      <c r="F48997" s="2423"/>
    </row>
    <row r="48998" spans="6:6">
      <c r="F48998" s="2423"/>
    </row>
    <row r="48999" spans="6:6">
      <c r="F48999" s="2423"/>
    </row>
    <row r="49000" spans="6:6">
      <c r="F49000" s="2423"/>
    </row>
    <row r="49001" spans="6:6">
      <c r="F49001" s="2423"/>
    </row>
    <row r="49002" spans="6:6">
      <c r="F49002" s="2423"/>
    </row>
    <row r="49003" spans="6:6">
      <c r="F49003" s="2423"/>
    </row>
    <row r="49004" spans="6:6">
      <c r="F49004" s="2423"/>
    </row>
    <row r="49005" spans="6:6">
      <c r="F49005" s="2423"/>
    </row>
    <row r="49006" spans="6:6">
      <c r="F49006" s="2423"/>
    </row>
    <row r="49007" spans="6:6">
      <c r="F49007" s="2423"/>
    </row>
    <row r="49008" spans="6:6">
      <c r="F49008" s="2423"/>
    </row>
    <row r="49009" spans="6:6">
      <c r="F49009" s="2423"/>
    </row>
    <row r="49010" spans="6:6">
      <c r="F49010" s="2423"/>
    </row>
    <row r="49011" spans="6:6">
      <c r="F49011" s="2423"/>
    </row>
    <row r="49012" spans="6:6">
      <c r="F49012" s="2423"/>
    </row>
    <row r="49013" spans="6:6">
      <c r="F49013" s="2423"/>
    </row>
    <row r="49014" spans="6:6">
      <c r="F49014" s="2423"/>
    </row>
    <row r="49015" spans="6:6">
      <c r="F49015" s="2423"/>
    </row>
    <row r="49016" spans="6:6">
      <c r="F49016" s="2423"/>
    </row>
    <row r="49017" spans="6:6">
      <c r="F49017" s="2423"/>
    </row>
    <row r="49018" spans="6:6">
      <c r="F49018" s="2423"/>
    </row>
    <row r="49019" spans="6:6">
      <c r="F49019" s="2423"/>
    </row>
    <row r="49020" spans="6:6">
      <c r="F49020" s="2423"/>
    </row>
    <row r="49021" spans="6:6">
      <c r="F49021" s="2423"/>
    </row>
    <row r="49022" spans="6:6">
      <c r="F49022" s="2423"/>
    </row>
    <row r="49023" spans="6:6">
      <c r="F49023" s="2423"/>
    </row>
    <row r="49024" spans="6:6">
      <c r="F49024" s="2423"/>
    </row>
    <row r="49025" spans="6:6">
      <c r="F49025" s="2423"/>
    </row>
    <row r="49026" spans="6:6">
      <c r="F49026" s="2423"/>
    </row>
    <row r="49027" spans="6:6">
      <c r="F49027" s="2423"/>
    </row>
    <row r="49028" spans="6:6">
      <c r="F49028" s="2423"/>
    </row>
    <row r="49029" spans="6:6">
      <c r="F49029" s="2423"/>
    </row>
    <row r="49030" spans="6:6">
      <c r="F49030" s="2423"/>
    </row>
    <row r="49031" spans="6:6">
      <c r="F49031" s="2423"/>
    </row>
    <row r="49032" spans="6:6">
      <c r="F49032" s="2423"/>
    </row>
    <row r="49033" spans="6:6">
      <c r="F49033" s="2423"/>
    </row>
    <row r="49034" spans="6:6">
      <c r="F49034" s="2423"/>
    </row>
    <row r="49035" spans="6:6">
      <c r="F49035" s="2423"/>
    </row>
    <row r="49036" spans="6:6">
      <c r="F49036" s="2423"/>
    </row>
    <row r="49037" spans="6:6">
      <c r="F49037" s="2423"/>
    </row>
    <row r="49038" spans="6:6">
      <c r="F49038" s="2423"/>
    </row>
    <row r="49039" spans="6:6">
      <c r="F49039" s="2423"/>
    </row>
    <row r="49040" spans="6:6">
      <c r="F49040" s="2423"/>
    </row>
    <row r="49041" spans="6:6">
      <c r="F49041" s="2423"/>
    </row>
    <row r="49042" spans="6:6">
      <c r="F49042" s="2423"/>
    </row>
    <row r="49043" spans="6:6">
      <c r="F49043" s="2423"/>
    </row>
    <row r="49044" spans="6:6">
      <c r="F49044" s="2423"/>
    </row>
    <row r="49045" spans="6:6">
      <c r="F49045" s="2423"/>
    </row>
    <row r="49046" spans="6:6">
      <c r="F49046" s="2423"/>
    </row>
    <row r="49047" spans="6:6">
      <c r="F49047" s="2423"/>
    </row>
    <row r="49048" spans="6:6">
      <c r="F49048" s="2423"/>
    </row>
    <row r="49049" spans="6:6">
      <c r="F49049" s="2423"/>
    </row>
    <row r="49050" spans="6:6">
      <c r="F49050" s="2423"/>
    </row>
    <row r="49051" spans="6:6">
      <c r="F49051" s="2423"/>
    </row>
    <row r="49052" spans="6:6">
      <c r="F49052" s="2423"/>
    </row>
    <row r="49053" spans="6:6">
      <c r="F49053" s="2423"/>
    </row>
    <row r="49054" spans="6:6">
      <c r="F49054" s="2423"/>
    </row>
    <row r="49055" spans="6:6">
      <c r="F49055" s="2423"/>
    </row>
    <row r="49056" spans="6:6">
      <c r="F49056" s="2423"/>
    </row>
    <row r="49057" spans="6:6">
      <c r="F49057" s="2423"/>
    </row>
    <row r="49058" spans="6:6">
      <c r="F49058" s="2423"/>
    </row>
    <row r="49059" spans="6:6">
      <c r="F49059" s="2423"/>
    </row>
    <row r="49060" spans="6:6">
      <c r="F49060" s="2423"/>
    </row>
    <row r="49061" spans="6:6">
      <c r="F49061" s="2423"/>
    </row>
    <row r="49062" spans="6:6">
      <c r="F49062" s="2423"/>
    </row>
    <row r="49063" spans="6:6">
      <c r="F49063" s="2423"/>
    </row>
    <row r="49064" spans="6:6">
      <c r="F49064" s="2423"/>
    </row>
    <row r="49065" spans="6:6">
      <c r="F49065" s="2423"/>
    </row>
    <row r="49066" spans="6:6">
      <c r="F49066" s="2423"/>
    </row>
    <row r="49067" spans="6:6">
      <c r="F49067" s="2423"/>
    </row>
    <row r="49068" spans="6:6">
      <c r="F49068" s="2423"/>
    </row>
    <row r="49069" spans="6:6">
      <c r="F49069" s="2423"/>
    </row>
    <row r="49070" spans="6:6">
      <c r="F49070" s="2423"/>
    </row>
    <row r="49071" spans="6:6">
      <c r="F49071" s="2423"/>
    </row>
    <row r="49072" spans="6:6">
      <c r="F49072" s="2423"/>
    </row>
    <row r="49073" spans="6:6">
      <c r="F49073" s="2423"/>
    </row>
    <row r="49074" spans="6:6">
      <c r="F49074" s="2423"/>
    </row>
    <row r="49075" spans="6:6">
      <c r="F49075" s="2423"/>
    </row>
    <row r="49076" spans="6:6">
      <c r="F49076" s="2423"/>
    </row>
    <row r="49077" spans="6:6">
      <c r="F49077" s="2423"/>
    </row>
    <row r="49078" spans="6:6">
      <c r="F49078" s="2423"/>
    </row>
    <row r="49079" spans="6:6">
      <c r="F49079" s="2423"/>
    </row>
    <row r="49080" spans="6:6">
      <c r="F49080" s="2423"/>
    </row>
    <row r="49081" spans="6:6">
      <c r="F49081" s="2423"/>
    </row>
    <row r="49082" spans="6:6">
      <c r="F49082" s="2423"/>
    </row>
    <row r="49083" spans="6:6">
      <c r="F49083" s="2423"/>
    </row>
    <row r="49084" spans="6:6">
      <c r="F49084" s="2423"/>
    </row>
    <row r="49085" spans="6:6">
      <c r="F49085" s="2423"/>
    </row>
    <row r="49086" spans="6:6">
      <c r="F49086" s="2423"/>
    </row>
    <row r="49087" spans="6:6">
      <c r="F49087" s="2423"/>
    </row>
    <row r="49088" spans="6:6">
      <c r="F49088" s="2423"/>
    </row>
    <row r="49089" spans="6:6">
      <c r="F49089" s="2423"/>
    </row>
    <row r="49090" spans="6:6">
      <c r="F49090" s="2423"/>
    </row>
    <row r="49091" spans="6:6">
      <c r="F49091" s="2423"/>
    </row>
    <row r="49092" spans="6:6">
      <c r="F49092" s="2423"/>
    </row>
    <row r="49093" spans="6:6">
      <c r="F49093" s="2423"/>
    </row>
    <row r="49094" spans="6:6">
      <c r="F49094" s="2423"/>
    </row>
    <row r="49095" spans="6:6">
      <c r="F49095" s="2423"/>
    </row>
    <row r="49096" spans="6:6">
      <c r="F49096" s="2423"/>
    </row>
    <row r="49097" spans="6:6">
      <c r="F49097" s="2423"/>
    </row>
    <row r="49098" spans="6:6">
      <c r="F49098" s="2423"/>
    </row>
    <row r="49099" spans="6:6">
      <c r="F49099" s="2423"/>
    </row>
    <row r="49100" spans="6:6">
      <c r="F49100" s="2423"/>
    </row>
    <row r="49101" spans="6:6">
      <c r="F49101" s="2423"/>
    </row>
    <row r="49102" spans="6:6">
      <c r="F49102" s="2423"/>
    </row>
    <row r="49103" spans="6:6">
      <c r="F49103" s="2423"/>
    </row>
    <row r="49104" spans="6:6">
      <c r="F49104" s="2423"/>
    </row>
    <row r="49105" spans="6:6">
      <c r="F49105" s="2423"/>
    </row>
    <row r="49106" spans="6:6">
      <c r="F49106" s="2423"/>
    </row>
    <row r="49107" spans="6:6">
      <c r="F49107" s="2423"/>
    </row>
    <row r="49108" spans="6:6">
      <c r="F49108" s="2423"/>
    </row>
    <row r="49109" spans="6:6">
      <c r="F49109" s="2423"/>
    </row>
    <row r="49110" spans="6:6">
      <c r="F49110" s="2423"/>
    </row>
    <row r="49111" spans="6:6">
      <c r="F49111" s="2423"/>
    </row>
    <row r="49112" spans="6:6">
      <c r="F49112" s="2423"/>
    </row>
    <row r="49113" spans="6:6">
      <c r="F49113" s="2423"/>
    </row>
    <row r="49114" spans="6:6">
      <c r="F49114" s="2423"/>
    </row>
    <row r="49115" spans="6:6">
      <c r="F49115" s="2423"/>
    </row>
    <row r="49116" spans="6:6">
      <c r="F49116" s="2423"/>
    </row>
    <row r="49117" spans="6:6">
      <c r="F49117" s="2423"/>
    </row>
    <row r="49118" spans="6:6">
      <c r="F49118" s="2423"/>
    </row>
    <row r="49119" spans="6:6">
      <c r="F49119" s="2423"/>
    </row>
    <row r="49120" spans="6:6">
      <c r="F49120" s="2423"/>
    </row>
    <row r="49121" spans="6:6">
      <c r="F49121" s="2423"/>
    </row>
    <row r="49122" spans="6:6">
      <c r="F49122" s="2423"/>
    </row>
    <row r="49123" spans="6:6">
      <c r="F49123" s="2423"/>
    </row>
    <row r="49124" spans="6:6">
      <c r="F49124" s="2423"/>
    </row>
    <row r="49125" spans="6:6">
      <c r="F49125" s="2423"/>
    </row>
    <row r="49126" spans="6:6">
      <c r="F49126" s="2423"/>
    </row>
    <row r="49127" spans="6:6">
      <c r="F49127" s="2423"/>
    </row>
    <row r="49128" spans="6:6">
      <c r="F49128" s="2423"/>
    </row>
    <row r="49129" spans="6:6">
      <c r="F49129" s="2423"/>
    </row>
    <row r="49130" spans="6:6">
      <c r="F49130" s="2423"/>
    </row>
    <row r="49131" spans="6:6">
      <c r="F49131" s="2423"/>
    </row>
    <row r="49132" spans="6:6">
      <c r="F49132" s="2423"/>
    </row>
    <row r="49133" spans="6:6">
      <c r="F49133" s="2423"/>
    </row>
    <row r="49134" spans="6:6">
      <c r="F49134" s="2423"/>
    </row>
    <row r="49135" spans="6:6">
      <c r="F49135" s="2423"/>
    </row>
    <row r="49136" spans="6:6">
      <c r="F49136" s="2423"/>
    </row>
    <row r="49137" spans="6:6">
      <c r="F49137" s="2423"/>
    </row>
    <row r="49138" spans="6:6">
      <c r="F49138" s="2423"/>
    </row>
    <row r="49139" spans="6:6">
      <c r="F49139" s="2423"/>
    </row>
    <row r="49140" spans="6:6">
      <c r="F49140" s="2423"/>
    </row>
    <row r="49141" spans="6:6">
      <c r="F49141" s="2423"/>
    </row>
    <row r="49142" spans="6:6">
      <c r="F49142" s="2423"/>
    </row>
    <row r="49143" spans="6:6">
      <c r="F49143" s="2423"/>
    </row>
    <row r="49144" spans="6:6">
      <c r="F49144" s="2423"/>
    </row>
    <row r="49145" spans="6:6">
      <c r="F49145" s="2423"/>
    </row>
    <row r="49146" spans="6:6">
      <c r="F49146" s="2423"/>
    </row>
    <row r="49147" spans="6:6">
      <c r="F49147" s="2423"/>
    </row>
    <row r="49148" spans="6:6">
      <c r="F49148" s="2423"/>
    </row>
    <row r="49149" spans="6:6">
      <c r="F49149" s="2423"/>
    </row>
    <row r="49150" spans="6:6">
      <c r="F49150" s="2423"/>
    </row>
    <row r="49151" spans="6:6">
      <c r="F49151" s="2423"/>
    </row>
    <row r="49152" spans="6:6">
      <c r="F49152" s="2423"/>
    </row>
    <row r="49153" spans="6:6">
      <c r="F49153" s="2423"/>
    </row>
    <row r="49154" spans="6:6">
      <c r="F49154" s="2423"/>
    </row>
    <row r="49155" spans="6:6">
      <c r="F49155" s="2423"/>
    </row>
    <row r="49156" spans="6:6">
      <c r="F49156" s="2423"/>
    </row>
    <row r="49157" spans="6:6">
      <c r="F49157" s="2423"/>
    </row>
    <row r="49158" spans="6:6">
      <c r="F49158" s="2423"/>
    </row>
    <row r="49159" spans="6:6">
      <c r="F49159" s="2423"/>
    </row>
    <row r="49160" spans="6:6">
      <c r="F49160" s="2423"/>
    </row>
    <row r="49161" spans="6:6">
      <c r="F49161" s="2423"/>
    </row>
    <row r="49162" spans="6:6">
      <c r="F49162" s="2423"/>
    </row>
    <row r="49163" spans="6:6">
      <c r="F49163" s="2423"/>
    </row>
    <row r="49164" spans="6:6">
      <c r="F49164" s="2423"/>
    </row>
    <row r="49165" spans="6:6">
      <c r="F49165" s="2423"/>
    </row>
    <row r="49166" spans="6:6">
      <c r="F49166" s="2423"/>
    </row>
    <row r="49167" spans="6:6">
      <c r="F49167" s="2423"/>
    </row>
    <row r="49168" spans="6:6">
      <c r="F49168" s="2423"/>
    </row>
    <row r="49169" spans="6:6">
      <c r="F49169" s="2423"/>
    </row>
    <row r="49170" spans="6:6">
      <c r="F49170" s="2423"/>
    </row>
    <row r="49171" spans="6:6">
      <c r="F49171" s="2423"/>
    </row>
    <row r="49172" spans="6:6">
      <c r="F49172" s="2423"/>
    </row>
    <row r="49173" spans="6:6">
      <c r="F49173" s="2423"/>
    </row>
    <row r="49174" spans="6:6">
      <c r="F49174" s="2423"/>
    </row>
    <row r="49175" spans="6:6">
      <c r="F49175" s="2423"/>
    </row>
    <row r="49176" spans="6:6">
      <c r="F49176" s="2423"/>
    </row>
    <row r="49177" spans="6:6">
      <c r="F49177" s="2423"/>
    </row>
    <row r="49178" spans="6:6">
      <c r="F49178" s="2423"/>
    </row>
    <row r="49179" spans="6:6">
      <c r="F49179" s="2423"/>
    </row>
    <row r="49180" spans="6:6">
      <c r="F49180" s="2423"/>
    </row>
    <row r="49181" spans="6:6">
      <c r="F49181" s="2423"/>
    </row>
    <row r="49182" spans="6:6">
      <c r="F49182" s="2423"/>
    </row>
    <row r="49183" spans="6:6">
      <c r="F49183" s="2423"/>
    </row>
    <row r="49184" spans="6:6">
      <c r="F49184" s="2423"/>
    </row>
    <row r="49185" spans="6:6">
      <c r="F49185" s="2423"/>
    </row>
    <row r="49186" spans="6:6">
      <c r="F49186" s="2423"/>
    </row>
    <row r="49187" spans="6:6">
      <c r="F49187" s="2423"/>
    </row>
    <row r="49188" spans="6:6">
      <c r="F49188" s="2423"/>
    </row>
    <row r="49189" spans="6:6">
      <c r="F49189" s="2423"/>
    </row>
    <row r="49190" spans="6:6">
      <c r="F49190" s="2423"/>
    </row>
    <row r="49191" spans="6:6">
      <c r="F49191" s="2423"/>
    </row>
    <row r="49192" spans="6:6">
      <c r="F49192" s="2423"/>
    </row>
    <row r="49193" spans="6:6">
      <c r="F49193" s="2423"/>
    </row>
    <row r="49194" spans="6:6">
      <c r="F49194" s="2423"/>
    </row>
    <row r="49195" spans="6:6">
      <c r="F49195" s="2423"/>
    </row>
    <row r="49196" spans="6:6">
      <c r="F49196" s="2423"/>
    </row>
    <row r="49197" spans="6:6">
      <c r="F49197" s="2423"/>
    </row>
    <row r="49198" spans="6:6">
      <c r="F49198" s="2423"/>
    </row>
    <row r="49199" spans="6:6">
      <c r="F49199" s="2423"/>
    </row>
    <row r="49200" spans="6:6">
      <c r="F49200" s="2423"/>
    </row>
    <row r="49201" spans="6:6">
      <c r="F49201" s="2423"/>
    </row>
    <row r="49202" spans="6:6">
      <c r="F49202" s="2423"/>
    </row>
    <row r="49203" spans="6:6">
      <c r="F49203" s="2423"/>
    </row>
    <row r="49204" spans="6:6">
      <c r="F49204" s="2423"/>
    </row>
    <row r="49205" spans="6:6">
      <c r="F49205" s="2423"/>
    </row>
    <row r="49206" spans="6:6">
      <c r="F49206" s="2423"/>
    </row>
    <row r="49207" spans="6:6">
      <c r="F49207" s="2423"/>
    </row>
    <row r="49208" spans="6:6">
      <c r="F49208" s="2423"/>
    </row>
    <row r="49209" spans="6:6">
      <c r="F49209" s="2423"/>
    </row>
    <row r="49210" spans="6:6">
      <c r="F49210" s="2423"/>
    </row>
    <row r="49211" spans="6:6">
      <c r="F49211" s="2423"/>
    </row>
    <row r="49212" spans="6:6">
      <c r="F49212" s="2423"/>
    </row>
    <row r="49213" spans="6:6">
      <c r="F49213" s="2423"/>
    </row>
    <row r="49214" spans="6:6">
      <c r="F49214" s="2423"/>
    </row>
    <row r="49215" spans="6:6">
      <c r="F49215" s="2423"/>
    </row>
    <row r="49216" spans="6:6">
      <c r="F49216" s="2423"/>
    </row>
    <row r="49217" spans="6:6">
      <c r="F49217" s="2423"/>
    </row>
    <row r="49218" spans="6:6">
      <c r="F49218" s="2423"/>
    </row>
    <row r="49219" spans="6:6">
      <c r="F49219" s="2423"/>
    </row>
    <row r="49220" spans="6:6">
      <c r="F49220" s="2423"/>
    </row>
    <row r="49221" spans="6:6">
      <c r="F49221" s="2423"/>
    </row>
    <row r="49222" spans="6:6">
      <c r="F49222" s="2423"/>
    </row>
    <row r="49223" spans="6:6">
      <c r="F49223" s="2423"/>
    </row>
    <row r="49224" spans="6:6">
      <c r="F49224" s="2423"/>
    </row>
    <row r="49225" spans="6:6">
      <c r="F49225" s="2423"/>
    </row>
    <row r="49226" spans="6:6">
      <c r="F49226" s="2423"/>
    </row>
    <row r="49227" spans="6:6">
      <c r="F49227" s="2423"/>
    </row>
    <row r="49228" spans="6:6">
      <c r="F49228" s="2423"/>
    </row>
    <row r="49229" spans="6:6">
      <c r="F49229" s="2423"/>
    </row>
    <row r="49230" spans="6:6">
      <c r="F49230" s="2423"/>
    </row>
    <row r="49231" spans="6:6">
      <c r="F49231" s="2423"/>
    </row>
    <row r="49232" spans="6:6">
      <c r="F49232" s="2423"/>
    </row>
    <row r="49233" spans="6:6">
      <c r="F49233" s="2423"/>
    </row>
    <row r="49234" spans="6:6">
      <c r="F49234" s="2423"/>
    </row>
    <row r="49235" spans="6:6">
      <c r="F49235" s="2423"/>
    </row>
    <row r="49236" spans="6:6">
      <c r="F49236" s="2423"/>
    </row>
    <row r="49237" spans="6:6">
      <c r="F49237" s="2423"/>
    </row>
    <row r="49238" spans="6:6">
      <c r="F49238" s="2423"/>
    </row>
    <row r="49239" spans="6:6">
      <c r="F49239" s="2423"/>
    </row>
    <row r="49240" spans="6:6">
      <c r="F49240" s="2423"/>
    </row>
    <row r="49241" spans="6:6">
      <c r="F49241" s="2423"/>
    </row>
    <row r="49242" spans="6:6">
      <c r="F49242" s="2423"/>
    </row>
    <row r="49243" spans="6:6">
      <c r="F49243" s="2423"/>
    </row>
    <row r="49244" spans="6:6">
      <c r="F49244" s="2423"/>
    </row>
    <row r="49245" spans="6:6">
      <c r="F49245" s="2423"/>
    </row>
    <row r="49246" spans="6:6">
      <c r="F49246" s="2423"/>
    </row>
    <row r="49247" spans="6:6">
      <c r="F49247" s="2423"/>
    </row>
    <row r="49248" spans="6:6">
      <c r="F49248" s="2423"/>
    </row>
    <row r="49249" spans="6:6">
      <c r="F49249" s="2423"/>
    </row>
    <row r="49250" spans="6:6">
      <c r="F49250" s="2423"/>
    </row>
    <row r="49251" spans="6:6">
      <c r="F49251" s="2423"/>
    </row>
    <row r="49252" spans="6:6">
      <c r="F49252" s="2423"/>
    </row>
    <row r="49253" spans="6:6">
      <c r="F49253" s="2423"/>
    </row>
    <row r="49254" spans="6:6">
      <c r="F49254" s="2423"/>
    </row>
    <row r="49255" spans="6:6">
      <c r="F49255" s="2423"/>
    </row>
    <row r="49256" spans="6:6">
      <c r="F49256" s="2423"/>
    </row>
    <row r="49257" spans="6:6">
      <c r="F49257" s="2423"/>
    </row>
    <row r="49258" spans="6:6">
      <c r="F49258" s="2423"/>
    </row>
    <row r="49259" spans="6:6">
      <c r="F49259" s="2423"/>
    </row>
    <row r="49260" spans="6:6">
      <c r="F49260" s="2423"/>
    </row>
    <row r="49261" spans="6:6">
      <c r="F49261" s="2423"/>
    </row>
    <row r="49262" spans="6:6">
      <c r="F49262" s="2423"/>
    </row>
    <row r="49263" spans="6:6">
      <c r="F49263" s="2423"/>
    </row>
    <row r="49264" spans="6:6">
      <c r="F49264" s="2423"/>
    </row>
    <row r="49265" spans="6:6">
      <c r="F49265" s="2423"/>
    </row>
    <row r="49266" spans="6:6">
      <c r="F49266" s="2423"/>
    </row>
    <row r="49267" spans="6:6">
      <c r="F49267" s="2423"/>
    </row>
    <row r="49268" spans="6:6">
      <c r="F49268" s="2423"/>
    </row>
    <row r="49269" spans="6:6">
      <c r="F49269" s="2423"/>
    </row>
    <row r="49270" spans="6:6">
      <c r="F49270" s="2423"/>
    </row>
    <row r="49271" spans="6:6">
      <c r="F49271" s="2423"/>
    </row>
    <row r="49272" spans="6:6">
      <c r="F49272" s="2423"/>
    </row>
    <row r="49273" spans="6:6">
      <c r="F49273" s="2423"/>
    </row>
    <row r="49274" spans="6:6">
      <c r="F49274" s="2423"/>
    </row>
    <row r="49275" spans="6:6">
      <c r="F49275" s="2423"/>
    </row>
    <row r="49276" spans="6:6">
      <c r="F49276" s="2423"/>
    </row>
    <row r="49277" spans="6:6">
      <c r="F49277" s="2423"/>
    </row>
    <row r="49278" spans="6:6">
      <c r="F49278" s="2423"/>
    </row>
    <row r="49279" spans="6:6">
      <c r="F49279" s="2423"/>
    </row>
    <row r="49280" spans="6:6">
      <c r="F49280" s="2423"/>
    </row>
    <row r="49281" spans="6:6">
      <c r="F49281" s="2423"/>
    </row>
    <row r="49282" spans="6:6">
      <c r="F49282" s="2423"/>
    </row>
    <row r="49283" spans="6:6">
      <c r="F49283" s="2423"/>
    </row>
    <row r="49284" spans="6:6">
      <c r="F49284" s="2423"/>
    </row>
    <row r="49285" spans="6:6">
      <c r="F49285" s="2423"/>
    </row>
    <row r="49286" spans="6:6">
      <c r="F49286" s="2423"/>
    </row>
    <row r="49287" spans="6:6">
      <c r="F49287" s="2423"/>
    </row>
    <row r="49288" spans="6:6">
      <c r="F49288" s="2423"/>
    </row>
    <row r="49289" spans="6:6">
      <c r="F49289" s="2423"/>
    </row>
    <row r="49290" spans="6:6">
      <c r="F49290" s="2423"/>
    </row>
    <row r="49291" spans="6:6">
      <c r="F49291" s="2423"/>
    </row>
    <row r="49292" spans="6:6">
      <c r="F49292" s="2423"/>
    </row>
    <row r="49293" spans="6:6">
      <c r="F49293" s="2423"/>
    </row>
    <row r="49294" spans="6:6">
      <c r="F49294" s="2423"/>
    </row>
    <row r="49295" spans="6:6">
      <c r="F49295" s="2423"/>
    </row>
    <row r="49296" spans="6:6">
      <c r="F49296" s="2423"/>
    </row>
    <row r="49297" spans="6:6">
      <c r="F49297" s="2423"/>
    </row>
    <row r="49298" spans="6:6">
      <c r="F49298" s="2423"/>
    </row>
    <row r="49299" spans="6:6">
      <c r="F49299" s="2423"/>
    </row>
    <row r="49300" spans="6:6">
      <c r="F49300" s="2423"/>
    </row>
    <row r="49301" spans="6:6">
      <c r="F49301" s="2423"/>
    </row>
    <row r="49302" spans="6:6">
      <c r="F49302" s="2423"/>
    </row>
    <row r="49303" spans="6:6">
      <c r="F49303" s="2423"/>
    </row>
    <row r="49304" spans="6:6">
      <c r="F49304" s="2423"/>
    </row>
    <row r="49305" spans="6:6">
      <c r="F49305" s="2423"/>
    </row>
    <row r="49306" spans="6:6">
      <c r="F49306" s="2423"/>
    </row>
    <row r="49307" spans="6:6">
      <c r="F49307" s="2423"/>
    </row>
    <row r="49308" spans="6:6">
      <c r="F49308" s="2423"/>
    </row>
    <row r="49309" spans="6:6">
      <c r="F49309" s="2423"/>
    </row>
    <row r="49310" spans="6:6">
      <c r="F49310" s="2423"/>
    </row>
    <row r="49311" spans="6:6">
      <c r="F49311" s="2423"/>
    </row>
    <row r="49312" spans="6:6">
      <c r="F49312" s="2423"/>
    </row>
    <row r="49313" spans="6:6">
      <c r="F49313" s="2423"/>
    </row>
    <row r="49314" spans="6:6">
      <c r="F49314" s="2423"/>
    </row>
    <row r="49315" spans="6:6">
      <c r="F49315" s="2423"/>
    </row>
    <row r="49316" spans="6:6">
      <c r="F49316" s="2423"/>
    </row>
    <row r="49317" spans="6:6">
      <c r="F49317" s="2423"/>
    </row>
    <row r="49318" spans="6:6">
      <c r="F49318" s="2423"/>
    </row>
    <row r="49319" spans="6:6">
      <c r="F49319" s="2423"/>
    </row>
    <row r="49320" spans="6:6">
      <c r="F49320" s="2423"/>
    </row>
    <row r="49321" spans="6:6">
      <c r="F49321" s="2423"/>
    </row>
    <row r="49322" spans="6:6">
      <c r="F49322" s="2423"/>
    </row>
    <row r="49323" spans="6:6">
      <c r="F49323" s="2423"/>
    </row>
    <row r="49324" spans="6:6">
      <c r="F49324" s="2423"/>
    </row>
    <row r="49325" spans="6:6">
      <c r="F49325" s="2423"/>
    </row>
    <row r="49326" spans="6:6">
      <c r="F49326" s="2423"/>
    </row>
    <row r="49327" spans="6:6">
      <c r="F49327" s="2423"/>
    </row>
    <row r="49328" spans="6:6">
      <c r="F49328" s="2423"/>
    </row>
    <row r="49329" spans="6:6">
      <c r="F49329" s="2423"/>
    </row>
    <row r="49330" spans="6:6">
      <c r="F49330" s="2423"/>
    </row>
    <row r="49331" spans="6:6">
      <c r="F49331" s="2423"/>
    </row>
    <row r="49332" spans="6:6">
      <c r="F49332" s="2423"/>
    </row>
    <row r="49333" spans="6:6">
      <c r="F49333" s="2423"/>
    </row>
    <row r="49334" spans="6:6">
      <c r="F49334" s="2423"/>
    </row>
    <row r="49335" spans="6:6">
      <c r="F49335" s="2423"/>
    </row>
    <row r="49336" spans="6:6">
      <c r="F49336" s="2423"/>
    </row>
    <row r="49337" spans="6:6">
      <c r="F49337" s="2423"/>
    </row>
    <row r="49338" spans="6:6">
      <c r="F49338" s="2423"/>
    </row>
    <row r="49339" spans="6:6">
      <c r="F49339" s="2423"/>
    </row>
    <row r="49340" spans="6:6">
      <c r="F49340" s="2423"/>
    </row>
    <row r="49341" spans="6:6">
      <c r="F49341" s="2423"/>
    </row>
    <row r="49342" spans="6:6">
      <c r="F49342" s="2423"/>
    </row>
    <row r="49343" spans="6:6">
      <c r="F49343" s="2423"/>
    </row>
    <row r="49344" spans="6:6">
      <c r="F49344" s="2423"/>
    </row>
    <row r="49345" spans="6:6">
      <c r="F49345" s="2423"/>
    </row>
    <row r="49346" spans="6:6">
      <c r="F49346" s="2423"/>
    </row>
    <row r="49347" spans="6:6">
      <c r="F49347" s="2423"/>
    </row>
    <row r="49348" spans="6:6">
      <c r="F49348" s="2423"/>
    </row>
    <row r="49349" spans="6:6">
      <c r="F49349" s="2423"/>
    </row>
    <row r="49350" spans="6:6">
      <c r="F49350" s="2423"/>
    </row>
    <row r="49351" spans="6:6">
      <c r="F49351" s="2423"/>
    </row>
    <row r="49352" spans="6:6">
      <c r="F49352" s="2423"/>
    </row>
    <row r="49353" spans="6:6">
      <c r="F49353" s="2423"/>
    </row>
    <row r="49354" spans="6:6">
      <c r="F49354" s="2423"/>
    </row>
    <row r="49355" spans="6:6">
      <c r="F49355" s="2423"/>
    </row>
    <row r="49356" spans="6:6">
      <c r="F49356" s="2423"/>
    </row>
    <row r="49357" spans="6:6">
      <c r="F49357" s="2423"/>
    </row>
    <row r="49358" spans="6:6">
      <c r="F49358" s="2423"/>
    </row>
    <row r="49359" spans="6:6">
      <c r="F49359" s="2423"/>
    </row>
    <row r="49360" spans="6:6">
      <c r="F49360" s="2423"/>
    </row>
    <row r="49361" spans="6:6">
      <c r="F49361" s="2423"/>
    </row>
    <row r="49362" spans="6:6">
      <c r="F49362" s="2423"/>
    </row>
    <row r="49363" spans="6:6">
      <c r="F49363" s="2423"/>
    </row>
    <row r="49364" spans="6:6">
      <c r="F49364" s="2423"/>
    </row>
    <row r="49365" spans="6:6">
      <c r="F49365" s="2423"/>
    </row>
    <row r="49366" spans="6:6">
      <c r="F49366" s="2423"/>
    </row>
    <row r="49367" spans="6:6">
      <c r="F49367" s="2423"/>
    </row>
    <row r="49368" spans="6:6">
      <c r="F49368" s="2423"/>
    </row>
    <row r="49369" spans="6:6">
      <c r="F49369" s="2423"/>
    </row>
    <row r="49370" spans="6:6">
      <c r="F49370" s="2423"/>
    </row>
    <row r="49371" spans="6:6">
      <c r="F49371" s="2423"/>
    </row>
    <row r="49372" spans="6:6">
      <c r="F49372" s="2423"/>
    </row>
    <row r="49373" spans="6:6">
      <c r="F49373" s="2423"/>
    </row>
    <row r="49374" spans="6:6">
      <c r="F49374" s="2423"/>
    </row>
    <row r="49375" spans="6:6">
      <c r="F49375" s="2423"/>
    </row>
    <row r="49376" spans="6:6">
      <c r="F49376" s="2423"/>
    </row>
    <row r="49377" spans="6:6">
      <c r="F49377" s="2423"/>
    </row>
    <row r="49378" spans="6:6">
      <c r="F49378" s="2423"/>
    </row>
    <row r="49379" spans="6:6">
      <c r="F49379" s="2423"/>
    </row>
    <row r="49380" spans="6:6">
      <c r="F49380" s="2423"/>
    </row>
    <row r="49381" spans="6:6">
      <c r="F49381" s="2423"/>
    </row>
    <row r="49382" spans="6:6">
      <c r="F49382" s="2423"/>
    </row>
    <row r="49383" spans="6:6">
      <c r="F49383" s="2423"/>
    </row>
    <row r="49384" spans="6:6">
      <c r="F49384" s="2423"/>
    </row>
    <row r="49385" spans="6:6">
      <c r="F49385" s="2423"/>
    </row>
    <row r="49386" spans="6:6">
      <c r="F49386" s="2423"/>
    </row>
    <row r="49387" spans="6:6">
      <c r="F49387" s="2423"/>
    </row>
    <row r="49388" spans="6:6">
      <c r="F49388" s="2423"/>
    </row>
    <row r="49389" spans="6:6">
      <c r="F49389" s="2423"/>
    </row>
    <row r="49390" spans="6:6">
      <c r="F49390" s="2423"/>
    </row>
    <row r="49391" spans="6:6">
      <c r="F49391" s="2423"/>
    </row>
    <row r="49392" spans="6:6">
      <c r="F49392" s="2423"/>
    </row>
    <row r="49393" spans="6:6">
      <c r="F49393" s="2423"/>
    </row>
    <row r="49394" spans="6:6">
      <c r="F49394" s="2423"/>
    </row>
    <row r="49395" spans="6:6">
      <c r="F49395" s="2423"/>
    </row>
    <row r="49396" spans="6:6">
      <c r="F49396" s="2423"/>
    </row>
    <row r="49397" spans="6:6">
      <c r="F49397" s="2423"/>
    </row>
    <row r="49398" spans="6:6">
      <c r="F49398" s="2423"/>
    </row>
    <row r="49399" spans="6:6">
      <c r="F49399" s="2423"/>
    </row>
    <row r="49400" spans="6:6">
      <c r="F49400" s="2423"/>
    </row>
    <row r="49401" spans="6:6">
      <c r="F49401" s="2423"/>
    </row>
    <row r="49402" spans="6:6">
      <c r="F49402" s="2423"/>
    </row>
    <row r="49403" spans="6:6">
      <c r="F49403" s="2423"/>
    </row>
    <row r="49404" spans="6:6">
      <c r="F49404" s="2423"/>
    </row>
    <row r="49405" spans="6:6">
      <c r="F49405" s="2423"/>
    </row>
    <row r="49406" spans="6:6">
      <c r="F49406" s="2423"/>
    </row>
    <row r="49407" spans="6:6">
      <c r="F49407" s="2423"/>
    </row>
    <row r="49408" spans="6:6">
      <c r="F49408" s="2423"/>
    </row>
    <row r="49409" spans="6:6">
      <c r="F49409" s="2423"/>
    </row>
    <row r="49410" spans="6:6">
      <c r="F49410" s="2423"/>
    </row>
    <row r="49411" spans="6:6">
      <c r="F49411" s="2423"/>
    </row>
    <row r="49412" spans="6:6">
      <c r="F49412" s="2423"/>
    </row>
    <row r="49413" spans="6:6">
      <c r="F49413" s="2423"/>
    </row>
    <row r="49414" spans="6:6">
      <c r="F49414" s="2423"/>
    </row>
    <row r="49415" spans="6:6">
      <c r="F49415" s="2423"/>
    </row>
    <row r="49416" spans="6:6">
      <c r="F49416" s="2423"/>
    </row>
    <row r="49417" spans="6:6">
      <c r="F49417" s="2423"/>
    </row>
    <row r="49418" spans="6:6">
      <c r="F49418" s="2423"/>
    </row>
    <row r="49419" spans="6:6">
      <c r="F49419" s="2423"/>
    </row>
    <row r="49420" spans="6:6">
      <c r="F49420" s="2423"/>
    </row>
    <row r="49421" spans="6:6">
      <c r="F49421" s="2423"/>
    </row>
    <row r="49422" spans="6:6">
      <c r="F49422" s="2423"/>
    </row>
    <row r="49423" spans="6:6">
      <c r="F49423" s="2423"/>
    </row>
    <row r="49424" spans="6:6">
      <c r="F49424" s="2423"/>
    </row>
    <row r="49425" spans="6:6">
      <c r="F49425" s="2423"/>
    </row>
    <row r="49426" spans="6:6">
      <c r="F49426" s="2423"/>
    </row>
    <row r="49427" spans="6:6">
      <c r="F49427" s="2423"/>
    </row>
    <row r="49428" spans="6:6">
      <c r="F49428" s="2423"/>
    </row>
    <row r="49429" spans="6:6">
      <c r="F49429" s="2423"/>
    </row>
    <row r="49430" spans="6:6">
      <c r="F49430" s="2423"/>
    </row>
    <row r="49431" spans="6:6">
      <c r="F49431" s="2423"/>
    </row>
    <row r="49432" spans="6:6">
      <c r="F49432" s="2423"/>
    </row>
    <row r="49433" spans="6:6">
      <c r="F49433" s="2423"/>
    </row>
    <row r="49434" spans="6:6">
      <c r="F49434" s="2423"/>
    </row>
    <row r="49435" spans="6:6">
      <c r="F49435" s="2423"/>
    </row>
    <row r="49436" spans="6:6">
      <c r="F49436" s="2423"/>
    </row>
    <row r="49437" spans="6:6">
      <c r="F49437" s="2423"/>
    </row>
    <row r="49438" spans="6:6">
      <c r="F49438" s="2423"/>
    </row>
    <row r="49439" spans="6:6">
      <c r="F49439" s="2423"/>
    </row>
    <row r="49440" spans="6:6">
      <c r="F49440" s="2423"/>
    </row>
    <row r="49441" spans="6:6">
      <c r="F49441" s="2423"/>
    </row>
    <row r="49442" spans="6:6">
      <c r="F49442" s="2423"/>
    </row>
    <row r="49443" spans="6:6">
      <c r="F49443" s="2423"/>
    </row>
    <row r="49444" spans="6:6">
      <c r="F49444" s="2423"/>
    </row>
    <row r="49445" spans="6:6">
      <c r="F49445" s="2423"/>
    </row>
    <row r="49446" spans="6:6">
      <c r="F49446" s="2423"/>
    </row>
    <row r="49447" spans="6:6">
      <c r="F49447" s="2423"/>
    </row>
    <row r="49448" spans="6:6">
      <c r="F49448" s="2423"/>
    </row>
    <row r="49449" spans="6:6">
      <c r="F49449" s="2423"/>
    </row>
    <row r="49450" spans="6:6">
      <c r="F49450" s="2423"/>
    </row>
    <row r="49451" spans="6:6">
      <c r="F49451" s="2423"/>
    </row>
    <row r="49452" spans="6:6">
      <c r="F49452" s="2423"/>
    </row>
    <row r="49453" spans="6:6">
      <c r="F49453" s="2423"/>
    </row>
    <row r="49454" spans="6:6">
      <c r="F49454" s="2423"/>
    </row>
    <row r="49455" spans="6:6">
      <c r="F49455" s="2423"/>
    </row>
    <row r="49456" spans="6:6">
      <c r="F49456" s="2423"/>
    </row>
    <row r="49457" spans="6:6">
      <c r="F49457" s="2423"/>
    </row>
    <row r="49458" spans="6:6">
      <c r="F49458" s="2423"/>
    </row>
    <row r="49459" spans="6:6">
      <c r="F49459" s="2423"/>
    </row>
    <row r="49460" spans="6:6">
      <c r="F49460" s="2423"/>
    </row>
    <row r="49461" spans="6:6">
      <c r="F49461" s="2423"/>
    </row>
    <row r="49462" spans="6:6">
      <c r="F49462" s="2423"/>
    </row>
    <row r="49463" spans="6:6">
      <c r="F49463" s="2423"/>
    </row>
    <row r="49464" spans="6:6">
      <c r="F49464" s="2423"/>
    </row>
    <row r="49465" spans="6:6">
      <c r="F49465" s="2423"/>
    </row>
    <row r="49466" spans="6:6">
      <c r="F49466" s="2423"/>
    </row>
    <row r="49467" spans="6:6">
      <c r="F49467" s="2423"/>
    </row>
    <row r="49468" spans="6:6">
      <c r="F49468" s="2423"/>
    </row>
    <row r="49469" spans="6:6">
      <c r="F49469" s="2423"/>
    </row>
    <row r="49470" spans="6:6">
      <c r="F49470" s="2423"/>
    </row>
    <row r="49471" spans="6:6">
      <c r="F49471" s="2423"/>
    </row>
    <row r="49472" spans="6:6">
      <c r="F49472" s="2423"/>
    </row>
    <row r="49473" spans="6:6">
      <c r="F49473" s="2423"/>
    </row>
    <row r="49474" spans="6:6">
      <c r="F49474" s="2423"/>
    </row>
    <row r="49475" spans="6:6">
      <c r="F49475" s="2423"/>
    </row>
    <row r="49476" spans="6:6">
      <c r="F49476" s="2423"/>
    </row>
    <row r="49477" spans="6:6">
      <c r="F49477" s="2423"/>
    </row>
    <row r="49478" spans="6:6">
      <c r="F49478" s="2423"/>
    </row>
    <row r="49479" spans="6:6">
      <c r="F49479" s="2423"/>
    </row>
    <row r="49480" spans="6:6">
      <c r="F49480" s="2423"/>
    </row>
    <row r="49481" spans="6:6">
      <c r="F49481" s="2423"/>
    </row>
    <row r="49482" spans="6:6">
      <c r="F49482" s="2423"/>
    </row>
    <row r="49483" spans="6:6">
      <c r="F49483" s="2423"/>
    </row>
    <row r="49484" spans="6:6">
      <c r="F49484" s="2423"/>
    </row>
    <row r="49485" spans="6:6">
      <c r="F49485" s="2423"/>
    </row>
    <row r="49486" spans="6:6">
      <c r="F49486" s="2423"/>
    </row>
    <row r="49487" spans="6:6">
      <c r="F49487" s="2423"/>
    </row>
    <row r="49488" spans="6:6">
      <c r="F49488" s="2423"/>
    </row>
    <row r="49489" spans="6:6">
      <c r="F49489" s="2423"/>
    </row>
    <row r="49490" spans="6:6">
      <c r="F49490" s="2423"/>
    </row>
    <row r="49491" spans="6:6">
      <c r="F49491" s="2423"/>
    </row>
    <row r="49492" spans="6:6">
      <c r="F49492" s="2423"/>
    </row>
    <row r="49493" spans="6:6">
      <c r="F49493" s="2423"/>
    </row>
    <row r="49494" spans="6:6">
      <c r="F49494" s="2423"/>
    </row>
    <row r="49495" spans="6:6">
      <c r="F49495" s="2423"/>
    </row>
    <row r="49496" spans="6:6">
      <c r="F49496" s="2423"/>
    </row>
    <row r="49497" spans="6:6">
      <c r="F49497" s="2423"/>
    </row>
    <row r="49498" spans="6:6">
      <c r="F49498" s="2423"/>
    </row>
    <row r="49499" spans="6:6">
      <c r="F49499" s="2423"/>
    </row>
    <row r="49500" spans="6:6">
      <c r="F49500" s="2423"/>
    </row>
    <row r="49501" spans="6:6">
      <c r="F49501" s="2423"/>
    </row>
    <row r="49502" spans="6:6">
      <c r="F49502" s="2423"/>
    </row>
    <row r="49503" spans="6:6">
      <c r="F49503" s="2423"/>
    </row>
    <row r="49504" spans="6:6">
      <c r="F49504" s="2423"/>
    </row>
    <row r="49505" spans="6:6">
      <c r="F49505" s="2423"/>
    </row>
    <row r="49506" spans="6:6">
      <c r="F49506" s="2423"/>
    </row>
    <row r="49507" spans="6:6">
      <c r="F49507" s="2423"/>
    </row>
    <row r="49508" spans="6:6">
      <c r="F49508" s="2423"/>
    </row>
    <row r="49509" spans="6:6">
      <c r="F49509" s="2423"/>
    </row>
    <row r="49510" spans="6:6">
      <c r="F49510" s="2423"/>
    </row>
    <row r="49511" spans="6:6">
      <c r="F49511" s="2423"/>
    </row>
    <row r="49512" spans="6:6">
      <c r="F49512" s="2423"/>
    </row>
    <row r="49513" spans="6:6">
      <c r="F49513" s="2423"/>
    </row>
    <row r="49514" spans="6:6">
      <c r="F49514" s="2423"/>
    </row>
    <row r="49515" spans="6:6">
      <c r="F49515" s="2423"/>
    </row>
    <row r="49516" spans="6:6">
      <c r="F49516" s="2423"/>
    </row>
    <row r="49517" spans="6:6">
      <c r="F49517" s="2423"/>
    </row>
    <row r="49518" spans="6:6">
      <c r="F49518" s="2423"/>
    </row>
    <row r="49519" spans="6:6">
      <c r="F49519" s="2423"/>
    </row>
    <row r="49520" spans="6:6">
      <c r="F49520" s="2423"/>
    </row>
    <row r="49521" spans="6:6">
      <c r="F49521" s="2423"/>
    </row>
    <row r="49522" spans="6:6">
      <c r="F49522" s="2423"/>
    </row>
    <row r="49523" spans="6:6">
      <c r="F49523" s="2423"/>
    </row>
    <row r="49524" spans="6:6">
      <c r="F49524" s="2423"/>
    </row>
    <row r="49525" spans="6:6">
      <c r="F49525" s="2423"/>
    </row>
    <row r="49526" spans="6:6">
      <c r="F49526" s="2423"/>
    </row>
    <row r="49527" spans="6:6">
      <c r="F49527" s="2423"/>
    </row>
    <row r="49528" spans="6:6">
      <c r="F49528" s="2423"/>
    </row>
    <row r="49529" spans="6:6">
      <c r="F49529" s="2423"/>
    </row>
    <row r="49530" spans="6:6">
      <c r="F49530" s="2423"/>
    </row>
    <row r="49531" spans="6:6">
      <c r="F49531" s="2423"/>
    </row>
    <row r="49532" spans="6:6">
      <c r="F49532" s="2423"/>
    </row>
    <row r="49533" spans="6:6">
      <c r="F49533" s="2423"/>
    </row>
    <row r="49534" spans="6:6">
      <c r="F49534" s="2423"/>
    </row>
    <row r="49535" spans="6:6">
      <c r="F49535" s="2423"/>
    </row>
    <row r="49536" spans="6:6">
      <c r="F49536" s="2423"/>
    </row>
    <row r="49537" spans="6:6">
      <c r="F49537" s="2423"/>
    </row>
    <row r="49538" spans="6:6">
      <c r="F49538" s="2423"/>
    </row>
    <row r="49539" spans="6:6">
      <c r="F49539" s="2423"/>
    </row>
    <row r="49540" spans="6:6">
      <c r="F49540" s="2423"/>
    </row>
    <row r="49541" spans="6:6">
      <c r="F49541" s="2423"/>
    </row>
    <row r="49542" spans="6:6">
      <c r="F49542" s="2423"/>
    </row>
    <row r="49543" spans="6:6">
      <c r="F49543" s="2423"/>
    </row>
    <row r="49544" spans="6:6">
      <c r="F49544" s="2423"/>
    </row>
    <row r="49545" spans="6:6">
      <c r="F49545" s="2423"/>
    </row>
    <row r="49546" spans="6:6">
      <c r="F49546" s="2423"/>
    </row>
    <row r="49547" spans="6:6">
      <c r="F49547" s="2423"/>
    </row>
    <row r="49548" spans="6:6">
      <c r="F49548" s="2423"/>
    </row>
    <row r="49549" spans="6:6">
      <c r="F49549" s="2423"/>
    </row>
    <row r="49550" spans="6:6">
      <c r="F49550" s="2423"/>
    </row>
    <row r="49551" spans="6:6">
      <c r="F49551" s="2423"/>
    </row>
    <row r="49552" spans="6:6">
      <c r="F49552" s="2423"/>
    </row>
    <row r="49553" spans="6:6">
      <c r="F49553" s="2423"/>
    </row>
    <row r="49554" spans="6:6">
      <c r="F49554" s="2423"/>
    </row>
    <row r="49555" spans="6:6">
      <c r="F49555" s="2423"/>
    </row>
    <row r="49556" spans="6:6">
      <c r="F49556" s="2423"/>
    </row>
    <row r="49557" spans="6:6">
      <c r="F49557" s="2423"/>
    </row>
    <row r="49558" spans="6:6">
      <c r="F49558" s="2423"/>
    </row>
    <row r="49559" spans="6:6">
      <c r="F49559" s="2423"/>
    </row>
    <row r="49560" spans="6:6">
      <c r="F49560" s="2423"/>
    </row>
    <row r="49561" spans="6:6">
      <c r="F49561" s="2423"/>
    </row>
    <row r="49562" spans="6:6">
      <c r="F49562" s="2423"/>
    </row>
    <row r="49563" spans="6:6">
      <c r="F49563" s="2423"/>
    </row>
    <row r="49564" spans="6:6">
      <c r="F49564" s="2423"/>
    </row>
    <row r="49565" spans="6:6">
      <c r="F49565" s="2423"/>
    </row>
    <row r="49566" spans="6:6">
      <c r="F49566" s="2423"/>
    </row>
    <row r="49567" spans="6:6">
      <c r="F49567" s="2423"/>
    </row>
    <row r="49568" spans="6:6">
      <c r="F49568" s="2423"/>
    </row>
    <row r="49569" spans="6:6">
      <c r="F49569" s="2423"/>
    </row>
    <row r="49570" spans="6:6">
      <c r="F49570" s="2423"/>
    </row>
    <row r="49571" spans="6:6">
      <c r="F49571" s="2423"/>
    </row>
    <row r="49572" spans="6:6">
      <c r="F49572" s="2423"/>
    </row>
    <row r="49573" spans="6:6">
      <c r="F49573" s="2423"/>
    </row>
    <row r="49574" spans="6:6">
      <c r="F49574" s="2423"/>
    </row>
    <row r="49575" spans="6:6">
      <c r="F49575" s="2423"/>
    </row>
    <row r="49576" spans="6:6">
      <c r="F49576" s="2423"/>
    </row>
    <row r="49577" spans="6:6">
      <c r="F49577" s="2423"/>
    </row>
    <row r="49578" spans="6:6">
      <c r="F49578" s="2423"/>
    </row>
    <row r="49579" spans="6:6">
      <c r="F49579" s="2423"/>
    </row>
    <row r="49580" spans="6:6">
      <c r="F49580" s="2423"/>
    </row>
    <row r="49581" spans="6:6">
      <c r="F49581" s="2423"/>
    </row>
    <row r="49582" spans="6:6">
      <c r="F49582" s="2423"/>
    </row>
    <row r="49583" spans="6:6">
      <c r="F49583" s="2423"/>
    </row>
    <row r="49584" spans="6:6">
      <c r="F49584" s="2423"/>
    </row>
    <row r="49585" spans="6:6">
      <c r="F49585" s="2423"/>
    </row>
    <row r="49586" spans="6:6">
      <c r="F49586" s="2423"/>
    </row>
    <row r="49587" spans="6:6">
      <c r="F49587" s="2423"/>
    </row>
    <row r="49588" spans="6:6">
      <c r="F49588" s="2423"/>
    </row>
    <row r="49589" spans="6:6">
      <c r="F49589" s="2423"/>
    </row>
    <row r="49590" spans="6:6">
      <c r="F49590" s="2423"/>
    </row>
    <row r="49591" spans="6:6">
      <c r="F49591" s="2423"/>
    </row>
    <row r="49592" spans="6:6">
      <c r="F49592" s="2423"/>
    </row>
    <row r="49593" spans="6:6">
      <c r="F49593" s="2423"/>
    </row>
    <row r="49594" spans="6:6">
      <c r="F49594" s="2423"/>
    </row>
    <row r="49595" spans="6:6">
      <c r="F49595" s="2423"/>
    </row>
    <row r="49596" spans="6:6">
      <c r="F49596" s="2423"/>
    </row>
    <row r="49597" spans="6:6">
      <c r="F49597" s="2423"/>
    </row>
    <row r="49598" spans="6:6">
      <c r="F49598" s="2423"/>
    </row>
    <row r="49599" spans="6:6">
      <c r="F49599" s="2423"/>
    </row>
    <row r="49600" spans="6:6">
      <c r="F49600" s="2423"/>
    </row>
    <row r="49601" spans="6:6">
      <c r="F49601" s="2423"/>
    </row>
    <row r="49602" spans="6:6">
      <c r="F49602" s="2423"/>
    </row>
    <row r="49603" spans="6:6">
      <c r="F49603" s="2423"/>
    </row>
    <row r="49604" spans="6:6">
      <c r="F49604" s="2423"/>
    </row>
    <row r="49605" spans="6:6">
      <c r="F49605" s="2423"/>
    </row>
    <row r="49606" spans="6:6">
      <c r="F49606" s="2423"/>
    </row>
    <row r="49607" spans="6:6">
      <c r="F49607" s="2423"/>
    </row>
    <row r="49608" spans="6:6">
      <c r="F49608" s="2423"/>
    </row>
    <row r="49609" spans="6:6">
      <c r="F49609" s="2423"/>
    </row>
    <row r="49610" spans="6:6">
      <c r="F49610" s="2423"/>
    </row>
    <row r="49611" spans="6:6">
      <c r="F49611" s="2423"/>
    </row>
    <row r="49612" spans="6:6">
      <c r="F49612" s="2423"/>
    </row>
    <row r="49613" spans="6:6">
      <c r="F49613" s="2423"/>
    </row>
    <row r="49614" spans="6:6">
      <c r="F49614" s="2423"/>
    </row>
    <row r="49615" spans="6:6">
      <c r="F49615" s="2423"/>
    </row>
    <row r="49616" spans="6:6">
      <c r="F49616" s="2423"/>
    </row>
    <row r="49617" spans="6:6">
      <c r="F49617" s="2423"/>
    </row>
    <row r="49618" spans="6:6">
      <c r="F49618" s="2423"/>
    </row>
    <row r="49619" spans="6:6">
      <c r="F49619" s="2423"/>
    </row>
    <row r="49620" spans="6:6">
      <c r="F49620" s="2423"/>
    </row>
    <row r="49621" spans="6:6">
      <c r="F49621" s="2423"/>
    </row>
    <row r="49622" spans="6:6">
      <c r="F49622" s="2423"/>
    </row>
    <row r="49623" spans="6:6">
      <c r="F49623" s="2423"/>
    </row>
    <row r="49624" spans="6:6">
      <c r="F49624" s="2423"/>
    </row>
    <row r="49625" spans="6:6">
      <c r="F49625" s="2423"/>
    </row>
    <row r="49626" spans="6:6">
      <c r="F49626" s="2423"/>
    </row>
    <row r="49627" spans="6:6">
      <c r="F49627" s="2423"/>
    </row>
    <row r="49628" spans="6:6">
      <c r="F49628" s="2423"/>
    </row>
    <row r="49629" spans="6:6">
      <c r="F49629" s="2423"/>
    </row>
    <row r="49630" spans="6:6">
      <c r="F49630" s="2423"/>
    </row>
    <row r="49631" spans="6:6">
      <c r="F49631" s="2423"/>
    </row>
    <row r="49632" spans="6:6">
      <c r="F49632" s="2423"/>
    </row>
    <row r="49633" spans="6:6">
      <c r="F49633" s="2423"/>
    </row>
    <row r="49634" spans="6:6">
      <c r="F49634" s="2423"/>
    </row>
    <row r="49635" spans="6:6">
      <c r="F49635" s="2423"/>
    </row>
    <row r="49636" spans="6:6">
      <c r="F49636" s="2423"/>
    </row>
    <row r="49637" spans="6:6">
      <c r="F49637" s="2423"/>
    </row>
    <row r="49638" spans="6:6">
      <c r="F49638" s="2423"/>
    </row>
    <row r="49639" spans="6:6">
      <c r="F49639" s="2423"/>
    </row>
    <row r="49640" spans="6:6">
      <c r="F49640" s="2423"/>
    </row>
    <row r="49641" spans="6:6">
      <c r="F49641" s="2423"/>
    </row>
    <row r="49642" spans="6:6">
      <c r="F49642" s="2423"/>
    </row>
    <row r="49643" spans="6:6">
      <c r="F49643" s="2423"/>
    </row>
    <row r="49644" spans="6:6">
      <c r="F49644" s="2423"/>
    </row>
    <row r="49645" spans="6:6">
      <c r="F49645" s="2423"/>
    </row>
    <row r="49646" spans="6:6">
      <c r="F49646" s="2423"/>
    </row>
    <row r="49647" spans="6:6">
      <c r="F49647" s="2423"/>
    </row>
    <row r="49648" spans="6:6">
      <c r="F49648" s="2423"/>
    </row>
    <row r="49649" spans="6:6">
      <c r="F49649" s="2423"/>
    </row>
    <row r="49650" spans="6:6">
      <c r="F49650" s="2423"/>
    </row>
    <row r="49651" spans="6:6">
      <c r="F49651" s="2423"/>
    </row>
    <row r="49652" spans="6:6">
      <c r="F49652" s="2423"/>
    </row>
    <row r="49653" spans="6:6">
      <c r="F49653" s="2423"/>
    </row>
    <row r="49654" spans="6:6">
      <c r="F49654" s="2423"/>
    </row>
    <row r="49655" spans="6:6">
      <c r="F49655" s="2423"/>
    </row>
    <row r="49656" spans="6:6">
      <c r="F49656" s="2423"/>
    </row>
    <row r="49657" spans="6:6">
      <c r="F49657" s="2423"/>
    </row>
    <row r="49658" spans="6:6">
      <c r="F49658" s="2423"/>
    </row>
    <row r="49659" spans="6:6">
      <c r="F49659" s="2423"/>
    </row>
    <row r="49660" spans="6:6">
      <c r="F49660" s="2423"/>
    </row>
    <row r="49661" spans="6:6">
      <c r="F49661" s="2423"/>
    </row>
    <row r="49662" spans="6:6">
      <c r="F49662" s="2423"/>
    </row>
    <row r="49663" spans="6:6">
      <c r="F49663" s="2423"/>
    </row>
    <row r="49664" spans="6:6">
      <c r="F49664" s="2423"/>
    </row>
    <row r="49665" spans="6:6">
      <c r="F49665" s="2423"/>
    </row>
    <row r="49666" spans="6:6">
      <c r="F49666" s="2423"/>
    </row>
    <row r="49667" spans="6:6">
      <c r="F49667" s="2423"/>
    </row>
    <row r="49668" spans="6:6">
      <c r="F49668" s="2423"/>
    </row>
    <row r="49669" spans="6:6">
      <c r="F49669" s="2423"/>
    </row>
    <row r="49670" spans="6:6">
      <c r="F49670" s="2423"/>
    </row>
    <row r="49671" spans="6:6">
      <c r="F49671" s="2423"/>
    </row>
    <row r="49672" spans="6:6">
      <c r="F49672" s="2423"/>
    </row>
    <row r="49673" spans="6:6">
      <c r="F49673" s="2423"/>
    </row>
    <row r="49674" spans="6:6">
      <c r="F49674" s="2423"/>
    </row>
    <row r="49675" spans="6:6">
      <c r="F49675" s="2423"/>
    </row>
    <row r="49676" spans="6:6">
      <c r="F49676" s="2423"/>
    </row>
    <row r="49677" spans="6:6">
      <c r="F49677" s="2423"/>
    </row>
    <row r="49678" spans="6:6">
      <c r="F49678" s="2423"/>
    </row>
    <row r="49679" spans="6:6">
      <c r="F49679" s="2423"/>
    </row>
    <row r="49680" spans="6:6">
      <c r="F49680" s="2423"/>
    </row>
    <row r="49681" spans="6:6">
      <c r="F49681" s="2423"/>
    </row>
    <row r="49682" spans="6:6">
      <c r="F49682" s="2423"/>
    </row>
    <row r="49683" spans="6:6">
      <c r="F49683" s="2423"/>
    </row>
    <row r="49684" spans="6:6">
      <c r="F49684" s="2423"/>
    </row>
    <row r="49685" spans="6:6">
      <c r="F49685" s="2423"/>
    </row>
    <row r="49686" spans="6:6">
      <c r="F49686" s="2423"/>
    </row>
    <row r="49687" spans="6:6">
      <c r="F49687" s="2423"/>
    </row>
    <row r="49688" spans="6:6">
      <c r="F49688" s="2423"/>
    </row>
    <row r="49689" spans="6:6">
      <c r="F49689" s="2423"/>
    </row>
    <row r="49690" spans="6:6">
      <c r="F49690" s="2423"/>
    </row>
    <row r="49691" spans="6:6">
      <c r="F49691" s="2423"/>
    </row>
    <row r="49692" spans="6:6">
      <c r="F49692" s="2423"/>
    </row>
    <row r="49693" spans="6:6">
      <c r="F49693" s="2423"/>
    </row>
    <row r="49694" spans="6:6">
      <c r="F49694" s="2423"/>
    </row>
    <row r="49695" spans="6:6">
      <c r="F49695" s="2423"/>
    </row>
    <row r="49696" spans="6:6">
      <c r="F49696" s="2423"/>
    </row>
    <row r="49697" spans="6:6">
      <c r="F49697" s="2423"/>
    </row>
    <row r="49698" spans="6:6">
      <c r="F49698" s="2423"/>
    </row>
    <row r="49699" spans="6:6">
      <c r="F49699" s="2423"/>
    </row>
    <row r="49700" spans="6:6">
      <c r="F49700" s="2423"/>
    </row>
    <row r="49701" spans="6:6">
      <c r="F49701" s="2423"/>
    </row>
    <row r="49702" spans="6:6">
      <c r="F49702" s="2423"/>
    </row>
    <row r="49703" spans="6:6">
      <c r="F49703" s="2423"/>
    </row>
    <row r="49704" spans="6:6">
      <c r="F49704" s="2423"/>
    </row>
    <row r="49705" spans="6:6">
      <c r="F49705" s="2423"/>
    </row>
    <row r="49706" spans="6:6">
      <c r="F49706" s="2423"/>
    </row>
    <row r="49707" spans="6:6">
      <c r="F49707" s="2423"/>
    </row>
    <row r="49708" spans="6:6">
      <c r="F49708" s="2423"/>
    </row>
    <row r="49709" spans="6:6">
      <c r="F49709" s="2423"/>
    </row>
    <row r="49710" spans="6:6">
      <c r="F49710" s="2423"/>
    </row>
    <row r="49711" spans="6:6">
      <c r="F49711" s="2423"/>
    </row>
    <row r="49712" spans="6:6">
      <c r="F49712" s="2423"/>
    </row>
    <row r="49713" spans="6:6">
      <c r="F49713" s="2423"/>
    </row>
    <row r="49714" spans="6:6">
      <c r="F49714" s="2423"/>
    </row>
    <row r="49715" spans="6:6">
      <c r="F49715" s="2423"/>
    </row>
    <row r="49716" spans="6:6">
      <c r="F49716" s="2423"/>
    </row>
    <row r="49717" spans="6:6">
      <c r="F49717" s="2423"/>
    </row>
    <row r="49718" spans="6:6">
      <c r="F49718" s="2423"/>
    </row>
    <row r="49719" spans="6:6">
      <c r="F49719" s="2423"/>
    </row>
    <row r="49720" spans="6:6">
      <c r="F49720" s="2423"/>
    </row>
    <row r="49721" spans="6:6">
      <c r="F49721" s="2423"/>
    </row>
    <row r="49722" spans="6:6">
      <c r="F49722" s="2423"/>
    </row>
    <row r="49723" spans="6:6">
      <c r="F49723" s="2423"/>
    </row>
    <row r="49724" spans="6:6">
      <c r="F49724" s="2423"/>
    </row>
    <row r="49725" spans="6:6">
      <c r="F49725" s="2423"/>
    </row>
    <row r="49726" spans="6:6">
      <c r="F49726" s="2423"/>
    </row>
    <row r="49727" spans="6:6">
      <c r="F49727" s="2423"/>
    </row>
    <row r="49728" spans="6:6">
      <c r="F49728" s="2423"/>
    </row>
    <row r="49729" spans="6:6">
      <c r="F49729" s="2423"/>
    </row>
    <row r="49730" spans="6:6">
      <c r="F49730" s="2423"/>
    </row>
    <row r="49731" spans="6:6">
      <c r="F49731" s="2423"/>
    </row>
    <row r="49732" spans="6:6">
      <c r="F49732" s="2423"/>
    </row>
    <row r="49733" spans="6:6">
      <c r="F49733" s="2423"/>
    </row>
    <row r="49734" spans="6:6">
      <c r="F49734" s="2423"/>
    </row>
    <row r="49735" spans="6:6">
      <c r="F49735" s="2423"/>
    </row>
    <row r="49736" spans="6:6">
      <c r="F49736" s="2423"/>
    </row>
    <row r="49737" spans="6:6">
      <c r="F49737" s="2423"/>
    </row>
    <row r="49738" spans="6:6">
      <c r="F49738" s="2423"/>
    </row>
    <row r="49739" spans="6:6">
      <c r="F49739" s="2423"/>
    </row>
    <row r="49740" spans="6:6">
      <c r="F49740" s="2423"/>
    </row>
    <row r="49741" spans="6:6">
      <c r="F49741" s="2423"/>
    </row>
    <row r="49742" spans="6:6">
      <c r="F49742" s="2423"/>
    </row>
    <row r="49743" spans="6:6">
      <c r="F49743" s="2423"/>
    </row>
    <row r="49744" spans="6:6">
      <c r="F49744" s="2423"/>
    </row>
    <row r="49745" spans="6:6">
      <c r="F49745" s="2423"/>
    </row>
    <row r="49746" spans="6:6">
      <c r="F49746" s="2423"/>
    </row>
    <row r="49747" spans="6:6">
      <c r="F49747" s="2423"/>
    </row>
    <row r="49748" spans="6:6">
      <c r="F49748" s="2423"/>
    </row>
    <row r="49749" spans="6:6">
      <c r="F49749" s="2423"/>
    </row>
    <row r="49750" spans="6:6">
      <c r="F49750" s="2423"/>
    </row>
    <row r="49751" spans="6:6">
      <c r="F49751" s="2423"/>
    </row>
    <row r="49752" spans="6:6">
      <c r="F49752" s="2423"/>
    </row>
    <row r="49753" spans="6:6">
      <c r="F49753" s="2423"/>
    </row>
    <row r="49754" spans="6:6">
      <c r="F49754" s="2423"/>
    </row>
    <row r="49755" spans="6:6">
      <c r="F49755" s="2423"/>
    </row>
    <row r="49756" spans="6:6">
      <c r="F49756" s="2423"/>
    </row>
    <row r="49757" spans="6:6">
      <c r="F49757" s="2423"/>
    </row>
    <row r="49758" spans="6:6">
      <c r="F49758" s="2423"/>
    </row>
    <row r="49759" spans="6:6">
      <c r="F49759" s="2423"/>
    </row>
    <row r="49760" spans="6:6">
      <c r="F49760" s="2423"/>
    </row>
    <row r="49761" spans="6:6">
      <c r="F49761" s="2423"/>
    </row>
    <row r="49762" spans="6:6">
      <c r="F49762" s="2423"/>
    </row>
    <row r="49763" spans="6:6">
      <c r="F49763" s="2423"/>
    </row>
    <row r="49764" spans="6:6">
      <c r="F49764" s="2423"/>
    </row>
    <row r="49765" spans="6:6">
      <c r="F49765" s="2423"/>
    </row>
    <row r="49766" spans="6:6">
      <c r="F49766" s="2423"/>
    </row>
    <row r="49767" spans="6:6">
      <c r="F49767" s="2423"/>
    </row>
    <row r="49768" spans="6:6">
      <c r="F49768" s="2423"/>
    </row>
    <row r="49769" spans="6:6">
      <c r="F49769" s="2423"/>
    </row>
    <row r="49770" spans="6:6">
      <c r="F49770" s="2423"/>
    </row>
    <row r="49771" spans="6:6">
      <c r="F49771" s="2423"/>
    </row>
    <row r="49772" spans="6:6">
      <c r="F49772" s="2423"/>
    </row>
    <row r="49773" spans="6:6">
      <c r="F49773" s="2423"/>
    </row>
    <row r="49774" spans="6:6">
      <c r="F49774" s="2423"/>
    </row>
    <row r="49775" spans="6:6">
      <c r="F49775" s="2423"/>
    </row>
    <row r="49776" spans="6:6">
      <c r="F49776" s="2423"/>
    </row>
    <row r="49777" spans="6:6">
      <c r="F49777" s="2423"/>
    </row>
    <row r="49778" spans="6:6">
      <c r="F49778" s="2423"/>
    </row>
    <row r="49779" spans="6:6">
      <c r="F49779" s="2423"/>
    </row>
    <row r="49780" spans="6:6">
      <c r="F49780" s="2423"/>
    </row>
    <row r="49781" spans="6:6">
      <c r="F49781" s="2423"/>
    </row>
    <row r="49782" spans="6:6">
      <c r="F49782" s="2423"/>
    </row>
    <row r="49783" spans="6:6">
      <c r="F49783" s="2423"/>
    </row>
    <row r="49784" spans="6:6">
      <c r="F49784" s="2423"/>
    </row>
    <row r="49785" spans="6:6">
      <c r="F49785" s="2423"/>
    </row>
    <row r="49786" spans="6:6">
      <c r="F49786" s="2423"/>
    </row>
    <row r="49787" spans="6:6">
      <c r="F49787" s="2423"/>
    </row>
    <row r="49788" spans="6:6">
      <c r="F49788" s="2423"/>
    </row>
    <row r="49789" spans="6:6">
      <c r="F49789" s="2423"/>
    </row>
    <row r="49790" spans="6:6">
      <c r="F49790" s="2423"/>
    </row>
    <row r="49791" spans="6:6">
      <c r="F49791" s="2423"/>
    </row>
    <row r="49792" spans="6:6">
      <c r="F49792" s="2423"/>
    </row>
    <row r="49793" spans="6:6">
      <c r="F49793" s="2423"/>
    </row>
    <row r="49794" spans="6:6">
      <c r="F49794" s="2423"/>
    </row>
    <row r="49795" spans="6:6">
      <c r="F49795" s="2423"/>
    </row>
    <row r="49796" spans="6:6">
      <c r="F49796" s="2423"/>
    </row>
    <row r="49797" spans="6:6">
      <c r="F49797" s="2423"/>
    </row>
    <row r="49798" spans="6:6">
      <c r="F49798" s="2423"/>
    </row>
    <row r="49799" spans="6:6">
      <c r="F49799" s="2423"/>
    </row>
    <row r="49800" spans="6:6">
      <c r="F49800" s="2423"/>
    </row>
    <row r="49801" spans="6:6">
      <c r="F49801" s="2423"/>
    </row>
    <row r="49802" spans="6:6">
      <c r="F49802" s="2423"/>
    </row>
    <row r="49803" spans="6:6">
      <c r="F49803" s="2423"/>
    </row>
    <row r="49804" spans="6:6">
      <c r="F49804" s="2423"/>
    </row>
    <row r="49805" spans="6:6">
      <c r="F49805" s="2423"/>
    </row>
    <row r="49806" spans="6:6">
      <c r="F49806" s="2423"/>
    </row>
    <row r="49807" spans="6:6">
      <c r="F49807" s="2423"/>
    </row>
    <row r="49808" spans="6:6">
      <c r="F49808" s="2423"/>
    </row>
    <row r="49809" spans="6:6">
      <c r="F49809" s="2423"/>
    </row>
    <row r="49810" spans="6:6">
      <c r="F49810" s="2423"/>
    </row>
    <row r="49811" spans="6:6">
      <c r="F49811" s="2423"/>
    </row>
    <row r="49812" spans="6:6">
      <c r="F49812" s="2423"/>
    </row>
    <row r="49813" spans="6:6">
      <c r="F49813" s="2423"/>
    </row>
    <row r="49814" spans="6:6">
      <c r="F49814" s="2423"/>
    </row>
    <row r="49815" spans="6:6">
      <c r="F49815" s="2423"/>
    </row>
    <row r="49816" spans="6:6">
      <c r="F49816" s="2423"/>
    </row>
    <row r="49817" spans="6:6">
      <c r="F49817" s="2423"/>
    </row>
    <row r="49818" spans="6:6">
      <c r="F49818" s="2423"/>
    </row>
    <row r="49819" spans="6:6">
      <c r="F49819" s="2423"/>
    </row>
    <row r="49820" spans="6:6">
      <c r="F49820" s="2423"/>
    </row>
    <row r="49821" spans="6:6">
      <c r="F49821" s="2423"/>
    </row>
    <row r="49822" spans="6:6">
      <c r="F49822" s="2423"/>
    </row>
    <row r="49823" spans="6:6">
      <c r="F49823" s="2423"/>
    </row>
    <row r="49824" spans="6:6">
      <c r="F49824" s="2423"/>
    </row>
    <row r="49825" spans="6:6">
      <c r="F49825" s="2423"/>
    </row>
    <row r="49826" spans="6:6">
      <c r="F49826" s="2423"/>
    </row>
    <row r="49827" spans="6:6">
      <c r="F49827" s="2423"/>
    </row>
    <row r="49828" spans="6:6">
      <c r="F49828" s="2423"/>
    </row>
    <row r="49829" spans="6:6">
      <c r="F49829" s="2423"/>
    </row>
    <row r="49830" spans="6:6">
      <c r="F49830" s="2423"/>
    </row>
    <row r="49831" spans="6:6">
      <c r="F49831" s="2423"/>
    </row>
    <row r="49832" spans="6:6">
      <c r="F49832" s="2423"/>
    </row>
    <row r="49833" spans="6:6">
      <c r="F49833" s="2423"/>
    </row>
    <row r="49834" spans="6:6">
      <c r="F49834" s="2423"/>
    </row>
    <row r="49835" spans="6:6">
      <c r="F49835" s="2423"/>
    </row>
    <row r="49836" spans="6:6">
      <c r="F49836" s="2423"/>
    </row>
    <row r="49837" spans="6:6">
      <c r="F49837" s="2423"/>
    </row>
    <row r="49838" spans="6:6">
      <c r="F49838" s="2423"/>
    </row>
    <row r="49839" spans="6:6">
      <c r="F49839" s="2423"/>
    </row>
    <row r="49840" spans="6:6">
      <c r="F49840" s="2423"/>
    </row>
    <row r="49841" spans="6:6">
      <c r="F49841" s="2423"/>
    </row>
    <row r="49842" spans="6:6">
      <c r="F49842" s="2423"/>
    </row>
    <row r="49843" spans="6:6">
      <c r="F49843" s="2423"/>
    </row>
    <row r="49844" spans="6:6">
      <c r="F49844" s="2423"/>
    </row>
    <row r="49845" spans="6:6">
      <c r="F49845" s="2423"/>
    </row>
    <row r="49846" spans="6:6">
      <c r="F49846" s="2423"/>
    </row>
    <row r="49847" spans="6:6">
      <c r="F49847" s="2423"/>
    </row>
    <row r="49848" spans="6:6">
      <c r="F49848" s="2423"/>
    </row>
    <row r="49849" spans="6:6">
      <c r="F49849" s="2423"/>
    </row>
    <row r="49850" spans="6:6">
      <c r="F49850" s="2423"/>
    </row>
    <row r="49851" spans="6:6">
      <c r="F49851" s="2423"/>
    </row>
    <row r="49852" spans="6:6">
      <c r="F49852" s="2423"/>
    </row>
    <row r="49853" spans="6:6">
      <c r="F49853" s="2423"/>
    </row>
    <row r="49854" spans="6:6">
      <c r="F49854" s="2423"/>
    </row>
    <row r="49855" spans="6:6">
      <c r="F49855" s="2423"/>
    </row>
    <row r="49856" spans="6:6">
      <c r="F49856" s="2423"/>
    </row>
    <row r="49857" spans="6:6">
      <c r="F49857" s="2423"/>
    </row>
    <row r="49858" spans="6:6">
      <c r="F49858" s="2423"/>
    </row>
    <row r="49859" spans="6:6">
      <c r="F49859" s="2423"/>
    </row>
    <row r="49860" spans="6:6">
      <c r="F49860" s="2423"/>
    </row>
    <row r="49861" spans="6:6">
      <c r="F49861" s="2423"/>
    </row>
    <row r="49862" spans="6:6">
      <c r="F49862" s="2423"/>
    </row>
    <row r="49863" spans="6:6">
      <c r="F49863" s="2423"/>
    </row>
    <row r="49864" spans="6:6">
      <c r="F49864" s="2423"/>
    </row>
    <row r="49865" spans="6:6">
      <c r="F49865" s="2423"/>
    </row>
    <row r="49866" spans="6:6">
      <c r="F49866" s="2423"/>
    </row>
    <row r="49867" spans="6:6">
      <c r="F49867" s="2423"/>
    </row>
    <row r="49868" spans="6:6">
      <c r="F49868" s="2423"/>
    </row>
    <row r="49869" spans="6:6">
      <c r="F49869" s="2423"/>
    </row>
    <row r="49870" spans="6:6">
      <c r="F49870" s="2423"/>
    </row>
    <row r="49871" spans="6:6">
      <c r="F49871" s="2423"/>
    </row>
    <row r="49872" spans="6:6">
      <c r="F49872" s="2423"/>
    </row>
    <row r="49873" spans="6:6">
      <c r="F49873" s="2423"/>
    </row>
    <row r="49874" spans="6:6">
      <c r="F49874" s="2423"/>
    </row>
    <row r="49875" spans="6:6">
      <c r="F49875" s="2423"/>
    </row>
    <row r="49876" spans="6:6">
      <c r="F49876" s="2423"/>
    </row>
    <row r="49877" spans="6:6">
      <c r="F49877" s="2423"/>
    </row>
    <row r="49878" spans="6:6">
      <c r="F49878" s="2423"/>
    </row>
    <row r="49879" spans="6:6">
      <c r="F49879" s="2423"/>
    </row>
    <row r="49880" spans="6:6">
      <c r="F49880" s="2423"/>
    </row>
    <row r="49881" spans="6:6">
      <c r="F49881" s="2423"/>
    </row>
    <row r="49882" spans="6:6">
      <c r="F49882" s="2423"/>
    </row>
    <row r="49883" spans="6:6">
      <c r="F49883" s="2423"/>
    </row>
    <row r="49884" spans="6:6">
      <c r="F49884" s="2423"/>
    </row>
    <row r="49885" spans="6:6">
      <c r="F49885" s="2423"/>
    </row>
    <row r="49886" spans="6:6">
      <c r="F49886" s="2423"/>
    </row>
    <row r="49887" spans="6:6">
      <c r="F49887" s="2423"/>
    </row>
    <row r="49888" spans="6:6">
      <c r="F49888" s="2423"/>
    </row>
    <row r="49889" spans="6:6">
      <c r="F49889" s="2423"/>
    </row>
    <row r="49890" spans="6:6">
      <c r="F49890" s="2423"/>
    </row>
    <row r="49891" spans="6:6">
      <c r="F49891" s="2423"/>
    </row>
    <row r="49892" spans="6:6">
      <c r="F49892" s="2423"/>
    </row>
    <row r="49893" spans="6:6">
      <c r="F49893" s="2423"/>
    </row>
    <row r="49894" spans="6:6">
      <c r="F49894" s="2423"/>
    </row>
    <row r="49895" spans="6:6">
      <c r="F49895" s="2423"/>
    </row>
    <row r="49896" spans="6:6">
      <c r="F49896" s="2423"/>
    </row>
    <row r="49897" spans="6:6">
      <c r="F49897" s="2423"/>
    </row>
    <row r="49898" spans="6:6">
      <c r="F49898" s="2423"/>
    </row>
    <row r="49899" spans="6:6">
      <c r="F49899" s="2423"/>
    </row>
    <row r="49900" spans="6:6">
      <c r="F49900" s="2423"/>
    </row>
    <row r="49901" spans="6:6">
      <c r="F49901" s="2423"/>
    </row>
    <row r="49902" spans="6:6">
      <c r="F49902" s="2423"/>
    </row>
    <row r="49903" spans="6:6">
      <c r="F49903" s="2423"/>
    </row>
    <row r="49904" spans="6:6">
      <c r="F49904" s="2423"/>
    </row>
    <row r="49905" spans="6:6">
      <c r="F49905" s="2423"/>
    </row>
    <row r="49906" spans="6:6">
      <c r="F49906" s="2423"/>
    </row>
    <row r="49907" spans="6:6">
      <c r="F49907" s="2423"/>
    </row>
    <row r="49908" spans="6:6">
      <c r="F49908" s="2423"/>
    </row>
    <row r="49909" spans="6:6">
      <c r="F49909" s="2423"/>
    </row>
    <row r="49910" spans="6:6">
      <c r="F49910" s="2423"/>
    </row>
    <row r="49911" spans="6:6">
      <c r="F49911" s="2423"/>
    </row>
    <row r="49912" spans="6:6">
      <c r="F49912" s="2423"/>
    </row>
    <row r="49913" spans="6:6">
      <c r="F49913" s="2423"/>
    </row>
    <row r="49914" spans="6:6">
      <c r="F49914" s="2423"/>
    </row>
    <row r="49915" spans="6:6">
      <c r="F49915" s="2423"/>
    </row>
    <row r="49916" spans="6:6">
      <c r="F49916" s="2423"/>
    </row>
    <row r="49917" spans="6:6">
      <c r="F49917" s="2423"/>
    </row>
    <row r="49918" spans="6:6">
      <c r="F49918" s="2423"/>
    </row>
    <row r="49919" spans="6:6">
      <c r="F49919" s="2423"/>
    </row>
    <row r="49920" spans="6:6">
      <c r="F49920" s="2423"/>
    </row>
    <row r="49921" spans="6:6">
      <c r="F49921" s="2423"/>
    </row>
    <row r="49922" spans="6:6">
      <c r="F49922" s="2423"/>
    </row>
    <row r="49923" spans="6:6">
      <c r="F49923" s="2423"/>
    </row>
    <row r="49924" spans="6:6">
      <c r="F49924" s="2423"/>
    </row>
    <row r="49925" spans="6:6">
      <c r="F49925" s="2423"/>
    </row>
    <row r="49926" spans="6:6">
      <c r="F49926" s="2423"/>
    </row>
    <row r="49927" spans="6:6">
      <c r="F49927" s="2423"/>
    </row>
    <row r="49928" spans="6:6">
      <c r="F49928" s="2423"/>
    </row>
    <row r="49929" spans="6:6">
      <c r="F49929" s="2423"/>
    </row>
    <row r="49930" spans="6:6">
      <c r="F49930" s="2423"/>
    </row>
    <row r="49931" spans="6:6">
      <c r="F49931" s="2423"/>
    </row>
    <row r="49932" spans="6:6">
      <c r="F49932" s="2423"/>
    </row>
    <row r="49933" spans="6:6">
      <c r="F49933" s="2423"/>
    </row>
    <row r="49934" spans="6:6">
      <c r="F49934" s="2423"/>
    </row>
    <row r="49935" spans="6:6">
      <c r="F49935" s="2423"/>
    </row>
    <row r="49936" spans="6:6">
      <c r="F49936" s="2423"/>
    </row>
    <row r="49937" spans="6:6">
      <c r="F49937" s="2423"/>
    </row>
    <row r="49938" spans="6:6">
      <c r="F49938" s="2423"/>
    </row>
    <row r="49939" spans="6:6">
      <c r="F49939" s="2423"/>
    </row>
    <row r="49940" spans="6:6">
      <c r="F49940" s="2423"/>
    </row>
    <row r="49941" spans="6:6">
      <c r="F49941" s="2423"/>
    </row>
    <row r="49942" spans="6:6">
      <c r="F49942" s="2423"/>
    </row>
    <row r="49943" spans="6:6">
      <c r="F49943" s="2423"/>
    </row>
    <row r="49944" spans="6:6">
      <c r="F49944" s="2423"/>
    </row>
    <row r="49945" spans="6:6">
      <c r="F49945" s="2423"/>
    </row>
    <row r="49946" spans="6:6">
      <c r="F49946" s="2423"/>
    </row>
    <row r="49947" spans="6:6">
      <c r="F49947" s="2423"/>
    </row>
    <row r="49948" spans="6:6">
      <c r="F49948" s="2423"/>
    </row>
    <row r="49949" spans="6:6">
      <c r="F49949" s="2423"/>
    </row>
    <row r="49950" spans="6:6">
      <c r="F49950" s="2423"/>
    </row>
    <row r="49951" spans="6:6">
      <c r="F49951" s="2423"/>
    </row>
    <row r="49952" spans="6:6">
      <c r="F49952" s="2423"/>
    </row>
    <row r="49953" spans="6:6">
      <c r="F49953" s="2423"/>
    </row>
    <row r="49954" spans="6:6">
      <c r="F49954" s="2423"/>
    </row>
    <row r="49955" spans="6:6">
      <c r="F49955" s="2423"/>
    </row>
    <row r="49956" spans="6:6">
      <c r="F49956" s="2423"/>
    </row>
    <row r="49957" spans="6:6">
      <c r="F49957" s="2423"/>
    </row>
    <row r="49958" spans="6:6">
      <c r="F49958" s="2423"/>
    </row>
    <row r="49959" spans="6:6">
      <c r="F49959" s="2423"/>
    </row>
    <row r="49960" spans="6:6">
      <c r="F49960" s="2423"/>
    </row>
    <row r="49961" spans="6:6">
      <c r="F49961" s="2423"/>
    </row>
    <row r="49962" spans="6:6">
      <c r="F49962" s="2423"/>
    </row>
    <row r="49963" spans="6:6">
      <c r="F49963" s="2423"/>
    </row>
    <row r="49964" spans="6:6">
      <c r="F49964" s="2423"/>
    </row>
    <row r="49965" spans="6:6">
      <c r="F49965" s="2423"/>
    </row>
    <row r="49966" spans="6:6">
      <c r="F49966" s="2423"/>
    </row>
    <row r="49967" spans="6:6">
      <c r="F49967" s="2423"/>
    </row>
    <row r="49968" spans="6:6">
      <c r="F49968" s="2423"/>
    </row>
    <row r="49969" spans="6:6">
      <c r="F49969" s="2423"/>
    </row>
    <row r="49970" spans="6:6">
      <c r="F49970" s="2423"/>
    </row>
    <row r="49971" spans="6:6">
      <c r="F49971" s="2423"/>
    </row>
    <row r="49972" spans="6:6">
      <c r="F49972" s="2423"/>
    </row>
    <row r="49973" spans="6:6">
      <c r="F49973" s="2423"/>
    </row>
    <row r="49974" spans="6:6">
      <c r="F49974" s="2423"/>
    </row>
    <row r="49975" spans="6:6">
      <c r="F49975" s="2423"/>
    </row>
    <row r="49976" spans="6:6">
      <c r="F49976" s="2423"/>
    </row>
    <row r="49977" spans="6:6">
      <c r="F49977" s="2423"/>
    </row>
    <row r="49978" spans="6:6">
      <c r="F49978" s="2423"/>
    </row>
    <row r="49979" spans="6:6">
      <c r="F49979" s="2423"/>
    </row>
    <row r="49980" spans="6:6">
      <c r="F49980" s="2423"/>
    </row>
    <row r="49981" spans="6:6">
      <c r="F49981" s="2423"/>
    </row>
    <row r="49982" spans="6:6">
      <c r="F49982" s="2423"/>
    </row>
    <row r="49983" spans="6:6">
      <c r="F49983" s="2423"/>
    </row>
    <row r="49984" spans="6:6">
      <c r="F49984" s="2423"/>
    </row>
    <row r="49985" spans="6:6">
      <c r="F49985" s="2423"/>
    </row>
    <row r="49986" spans="6:6">
      <c r="F49986" s="2423"/>
    </row>
    <row r="49987" spans="6:6">
      <c r="F49987" s="2423"/>
    </row>
    <row r="49988" spans="6:6">
      <c r="F49988" s="2423"/>
    </row>
    <row r="49989" spans="6:6">
      <c r="F49989" s="2423"/>
    </row>
    <row r="49990" spans="6:6">
      <c r="F49990" s="2423"/>
    </row>
    <row r="49991" spans="6:6">
      <c r="F49991" s="2423"/>
    </row>
    <row r="49992" spans="6:6">
      <c r="F49992" s="2423"/>
    </row>
    <row r="49993" spans="6:6">
      <c r="F49993" s="2423"/>
    </row>
    <row r="49994" spans="6:6">
      <c r="F49994" s="2423"/>
    </row>
    <row r="49995" spans="6:6">
      <c r="F49995" s="2423"/>
    </row>
    <row r="49996" spans="6:6">
      <c r="F49996" s="2423"/>
    </row>
    <row r="49997" spans="6:6">
      <c r="F49997" s="2423"/>
    </row>
    <row r="49998" spans="6:6">
      <c r="F49998" s="2423"/>
    </row>
    <row r="49999" spans="6:6">
      <c r="F49999" s="2423"/>
    </row>
    <row r="50000" spans="6:6">
      <c r="F50000" s="2423"/>
    </row>
    <row r="50001" spans="6:6">
      <c r="F50001" s="2423"/>
    </row>
    <row r="50002" spans="6:6">
      <c r="F50002" s="2423"/>
    </row>
    <row r="50003" spans="6:6">
      <c r="F50003" s="2423"/>
    </row>
    <row r="50004" spans="6:6">
      <c r="F50004" s="2423"/>
    </row>
    <row r="50005" spans="6:6">
      <c r="F50005" s="2423"/>
    </row>
    <row r="50006" spans="6:6">
      <c r="F50006" s="2423"/>
    </row>
    <row r="50007" spans="6:6">
      <c r="F50007" s="2423"/>
    </row>
    <row r="50008" spans="6:6">
      <c r="F50008" s="2423"/>
    </row>
    <row r="50009" spans="6:6">
      <c r="F50009" s="2423"/>
    </row>
    <row r="50010" spans="6:6">
      <c r="F50010" s="2423"/>
    </row>
    <row r="50011" spans="6:6">
      <c r="F50011" s="2423"/>
    </row>
    <row r="50012" spans="6:6">
      <c r="F50012" s="2423"/>
    </row>
    <row r="50013" spans="6:6">
      <c r="F50013" s="2423"/>
    </row>
    <row r="50014" spans="6:6">
      <c r="F50014" s="2423"/>
    </row>
    <row r="50015" spans="6:6">
      <c r="F50015" s="2423"/>
    </row>
    <row r="50016" spans="6:6">
      <c r="F50016" s="2423"/>
    </row>
    <row r="50017" spans="6:6">
      <c r="F50017" s="2423"/>
    </row>
    <row r="50018" spans="6:6">
      <c r="F50018" s="2423"/>
    </row>
    <row r="50019" spans="6:6">
      <c r="F50019" s="2423"/>
    </row>
    <row r="50020" spans="6:6">
      <c r="F50020" s="2423"/>
    </row>
    <row r="50021" spans="6:6">
      <c r="F50021" s="2423"/>
    </row>
    <row r="50022" spans="6:6">
      <c r="F50022" s="2423"/>
    </row>
    <row r="50023" spans="6:6">
      <c r="F50023" s="2423"/>
    </row>
    <row r="50024" spans="6:6">
      <c r="F50024" s="2423"/>
    </row>
    <row r="50025" spans="6:6">
      <c r="F50025" s="2423"/>
    </row>
    <row r="50026" spans="6:6">
      <c r="F50026" s="2423"/>
    </row>
    <row r="50027" spans="6:6">
      <c r="F50027" s="2423"/>
    </row>
    <row r="50028" spans="6:6">
      <c r="F50028" s="2423"/>
    </row>
    <row r="50029" spans="6:6">
      <c r="F50029" s="2423"/>
    </row>
    <row r="50030" spans="6:6">
      <c r="F50030" s="2423"/>
    </row>
    <row r="50031" spans="6:6">
      <c r="F50031" s="2423"/>
    </row>
    <row r="50032" spans="6:6">
      <c r="F50032" s="2423"/>
    </row>
    <row r="50033" spans="6:6">
      <c r="F50033" s="2423"/>
    </row>
    <row r="50034" spans="6:6">
      <c r="F50034" s="2423"/>
    </row>
    <row r="50035" spans="6:6">
      <c r="F50035" s="2423"/>
    </row>
    <row r="50036" spans="6:6">
      <c r="F50036" s="2423"/>
    </row>
    <row r="50037" spans="6:6">
      <c r="F50037" s="2423"/>
    </row>
    <row r="50038" spans="6:6">
      <c r="F50038" s="2423"/>
    </row>
    <row r="50039" spans="6:6">
      <c r="F50039" s="2423"/>
    </row>
    <row r="50040" spans="6:6">
      <c r="F50040" s="2423"/>
    </row>
    <row r="50041" spans="6:6">
      <c r="F50041" s="2423"/>
    </row>
    <row r="50042" spans="6:6">
      <c r="F50042" s="2423"/>
    </row>
    <row r="50043" spans="6:6">
      <c r="F50043" s="2423"/>
    </row>
    <row r="50044" spans="6:6">
      <c r="F50044" s="2423"/>
    </row>
    <row r="50045" spans="6:6">
      <c r="F50045" s="2423"/>
    </row>
    <row r="50046" spans="6:6">
      <c r="F50046" s="2423"/>
    </row>
    <row r="50047" spans="6:6">
      <c r="F50047" s="2423"/>
    </row>
    <row r="50048" spans="6:6">
      <c r="F50048" s="2423"/>
    </row>
    <row r="50049" spans="6:6">
      <c r="F50049" s="2423"/>
    </row>
    <row r="50050" spans="6:6">
      <c r="F50050" s="2423"/>
    </row>
    <row r="50051" spans="6:6">
      <c r="F50051" s="2423"/>
    </row>
    <row r="50052" spans="6:6">
      <c r="F50052" s="2423"/>
    </row>
    <row r="50053" spans="6:6">
      <c r="F50053" s="2423"/>
    </row>
    <row r="50054" spans="6:6">
      <c r="F50054" s="2423"/>
    </row>
    <row r="50055" spans="6:6">
      <c r="F50055" s="2423"/>
    </row>
    <row r="50056" spans="6:6">
      <c r="F50056" s="2423"/>
    </row>
    <row r="50057" spans="6:6">
      <c r="F50057" s="2423"/>
    </row>
    <row r="50058" spans="6:6">
      <c r="F50058" s="2423"/>
    </row>
    <row r="50059" spans="6:6">
      <c r="F50059" s="2423"/>
    </row>
    <row r="50060" spans="6:6">
      <c r="F50060" s="2423"/>
    </row>
    <row r="50061" spans="6:6">
      <c r="F50061" s="2423"/>
    </row>
    <row r="50062" spans="6:6">
      <c r="F50062" s="2423"/>
    </row>
    <row r="50063" spans="6:6">
      <c r="F50063" s="2423"/>
    </row>
    <row r="50064" spans="6:6">
      <c r="F50064" s="2423"/>
    </row>
    <row r="50065" spans="6:6">
      <c r="F50065" s="2423"/>
    </row>
    <row r="50066" spans="6:6">
      <c r="F50066" s="2423"/>
    </row>
    <row r="50067" spans="6:6">
      <c r="F50067" s="2423"/>
    </row>
    <row r="50068" spans="6:6">
      <c r="F50068" s="2423"/>
    </row>
    <row r="50069" spans="6:6">
      <c r="F50069" s="2423"/>
    </row>
    <row r="50070" spans="6:6">
      <c r="F50070" s="2423"/>
    </row>
    <row r="50071" spans="6:6">
      <c r="F50071" s="2423"/>
    </row>
    <row r="50072" spans="6:6">
      <c r="F50072" s="2423"/>
    </row>
    <row r="50073" spans="6:6">
      <c r="F50073" s="2423"/>
    </row>
    <row r="50074" spans="6:6">
      <c r="F50074" s="2423"/>
    </row>
    <row r="50075" spans="6:6">
      <c r="F50075" s="2423"/>
    </row>
    <row r="50076" spans="6:6">
      <c r="F50076" s="2423"/>
    </row>
    <row r="50077" spans="6:6">
      <c r="F50077" s="2423"/>
    </row>
    <row r="50078" spans="6:6">
      <c r="F50078" s="2423"/>
    </row>
    <row r="50079" spans="6:6">
      <c r="F50079" s="2423"/>
    </row>
    <row r="50080" spans="6:6">
      <c r="F50080" s="2423"/>
    </row>
    <row r="50081" spans="6:6">
      <c r="F50081" s="2423"/>
    </row>
    <row r="50082" spans="6:6">
      <c r="F50082" s="2423"/>
    </row>
    <row r="50083" spans="6:6">
      <c r="F50083" s="2423"/>
    </row>
    <row r="50084" spans="6:6">
      <c r="F50084" s="2423"/>
    </row>
    <row r="50085" spans="6:6">
      <c r="F50085" s="2423"/>
    </row>
    <row r="50086" spans="6:6">
      <c r="F50086" s="2423"/>
    </row>
    <row r="50087" spans="6:6">
      <c r="F50087" s="2423"/>
    </row>
    <row r="50088" spans="6:6">
      <c r="F50088" s="2423"/>
    </row>
    <row r="50089" spans="6:6">
      <c r="F50089" s="2423"/>
    </row>
    <row r="50090" spans="6:6">
      <c r="F50090" s="2423"/>
    </row>
    <row r="50091" spans="6:6">
      <c r="F50091" s="2423"/>
    </row>
    <row r="50092" spans="6:6">
      <c r="F50092" s="2423"/>
    </row>
    <row r="50093" spans="6:6">
      <c r="F50093" s="2423"/>
    </row>
    <row r="50094" spans="6:6">
      <c r="F50094" s="2423"/>
    </row>
    <row r="50095" spans="6:6">
      <c r="F50095" s="2423"/>
    </row>
    <row r="50096" spans="6:6">
      <c r="F50096" s="2423"/>
    </row>
    <row r="50097" spans="6:6">
      <c r="F50097" s="2423"/>
    </row>
    <row r="50098" spans="6:6">
      <c r="F50098" s="2423"/>
    </row>
    <row r="50099" spans="6:6">
      <c r="F50099" s="2423"/>
    </row>
    <row r="50100" spans="6:6">
      <c r="F50100" s="2423"/>
    </row>
    <row r="50101" spans="6:6">
      <c r="F50101" s="2423"/>
    </row>
    <row r="50102" spans="6:6">
      <c r="F50102" s="2423"/>
    </row>
    <row r="50103" spans="6:6">
      <c r="F50103" s="2423"/>
    </row>
    <row r="50104" spans="6:6">
      <c r="F50104" s="2423"/>
    </row>
    <row r="50105" spans="6:6">
      <c r="F50105" s="2423"/>
    </row>
    <row r="50106" spans="6:6">
      <c r="F50106" s="2423"/>
    </row>
    <row r="50107" spans="6:6">
      <c r="F50107" s="2423"/>
    </row>
    <row r="50108" spans="6:6">
      <c r="F50108" s="2423"/>
    </row>
    <row r="50109" spans="6:6">
      <c r="F50109" s="2423"/>
    </row>
    <row r="50110" spans="6:6">
      <c r="F50110" s="2423"/>
    </row>
    <row r="50111" spans="6:6">
      <c r="F50111" s="2423"/>
    </row>
    <row r="50112" spans="6:6">
      <c r="F50112" s="2423"/>
    </row>
    <row r="50113" spans="6:6">
      <c r="F50113" s="2423"/>
    </row>
    <row r="50114" spans="6:6">
      <c r="F50114" s="2423"/>
    </row>
    <row r="50115" spans="6:6">
      <c r="F50115" s="2423"/>
    </row>
    <row r="50116" spans="6:6">
      <c r="F50116" s="2423"/>
    </row>
    <row r="50117" spans="6:6">
      <c r="F50117" s="2423"/>
    </row>
    <row r="50118" spans="6:6">
      <c r="F50118" s="2423"/>
    </row>
    <row r="50119" spans="6:6">
      <c r="F50119" s="2423"/>
    </row>
    <row r="50120" spans="6:6">
      <c r="F50120" s="2423"/>
    </row>
    <row r="50121" spans="6:6">
      <c r="F50121" s="2423"/>
    </row>
    <row r="50122" spans="6:6">
      <c r="F50122" s="2423"/>
    </row>
    <row r="50123" spans="6:6">
      <c r="F50123" s="2423"/>
    </row>
    <row r="50124" spans="6:6">
      <c r="F50124" s="2423"/>
    </row>
    <row r="50125" spans="6:6">
      <c r="F50125" s="2423"/>
    </row>
    <row r="50126" spans="6:6">
      <c r="F50126" s="2423"/>
    </row>
    <row r="50127" spans="6:6">
      <c r="F50127" s="2423"/>
    </row>
    <row r="50128" spans="6:6">
      <c r="F50128" s="2423"/>
    </row>
    <row r="50129" spans="6:6">
      <c r="F50129" s="2423"/>
    </row>
    <row r="50130" spans="6:6">
      <c r="F50130" s="2423"/>
    </row>
    <row r="50131" spans="6:6">
      <c r="F50131" s="2423"/>
    </row>
    <row r="50132" spans="6:6">
      <c r="F50132" s="2423"/>
    </row>
    <row r="50133" spans="6:6">
      <c r="F50133" s="2423"/>
    </row>
    <row r="50134" spans="6:6">
      <c r="F50134" s="2423"/>
    </row>
    <row r="50135" spans="6:6">
      <c r="F50135" s="2423"/>
    </row>
    <row r="50136" spans="6:6">
      <c r="F50136" s="2423"/>
    </row>
    <row r="50137" spans="6:6">
      <c r="F50137" s="2423"/>
    </row>
    <row r="50138" spans="6:6">
      <c r="F50138" s="2423"/>
    </row>
    <row r="50139" spans="6:6">
      <c r="F50139" s="2423"/>
    </row>
    <row r="50140" spans="6:6">
      <c r="F50140" s="2423"/>
    </row>
    <row r="50141" spans="6:6">
      <c r="F50141" s="2423"/>
    </row>
    <row r="50142" spans="6:6">
      <c r="F50142" s="2423"/>
    </row>
    <row r="50143" spans="6:6">
      <c r="F50143" s="2423"/>
    </row>
    <row r="50144" spans="6:6">
      <c r="F50144" s="2423"/>
    </row>
    <row r="50145" spans="6:6">
      <c r="F50145" s="2423"/>
    </row>
    <row r="50146" spans="6:6">
      <c r="F50146" s="2423"/>
    </row>
    <row r="50147" spans="6:6">
      <c r="F50147" s="2423"/>
    </row>
    <row r="50148" spans="6:6">
      <c r="F50148" s="2423"/>
    </row>
    <row r="50149" spans="6:6">
      <c r="F50149" s="2423"/>
    </row>
    <row r="50150" spans="6:6">
      <c r="F50150" s="2423"/>
    </row>
    <row r="50151" spans="6:6">
      <c r="F50151" s="2423"/>
    </row>
    <row r="50152" spans="6:6">
      <c r="F50152" s="2423"/>
    </row>
    <row r="50153" spans="6:6">
      <c r="F50153" s="2423"/>
    </row>
    <row r="50154" spans="6:6">
      <c r="F50154" s="2423"/>
    </row>
    <row r="50155" spans="6:6">
      <c r="F50155" s="2423"/>
    </row>
    <row r="50156" spans="6:6">
      <c r="F50156" s="2423"/>
    </row>
    <row r="50157" spans="6:6">
      <c r="F50157" s="2423"/>
    </row>
    <row r="50158" spans="6:6">
      <c r="F50158" s="2423"/>
    </row>
    <row r="50159" spans="6:6">
      <c r="F50159" s="2423"/>
    </row>
    <row r="50160" spans="6:6">
      <c r="F50160" s="2423"/>
    </row>
    <row r="50161" spans="6:6">
      <c r="F50161" s="2423"/>
    </row>
    <row r="50162" spans="6:6">
      <c r="F50162" s="2423"/>
    </row>
    <row r="50163" spans="6:6">
      <c r="F50163" s="2423"/>
    </row>
    <row r="50164" spans="6:6">
      <c r="F50164" s="2423"/>
    </row>
    <row r="50165" spans="6:6">
      <c r="F50165" s="2423"/>
    </row>
    <row r="50166" spans="6:6">
      <c r="F50166" s="2423"/>
    </row>
    <row r="50167" spans="6:6">
      <c r="F50167" s="2423"/>
    </row>
    <row r="50168" spans="6:6">
      <c r="F50168" s="2423"/>
    </row>
    <row r="50169" spans="6:6">
      <c r="F50169" s="2423"/>
    </row>
    <row r="50170" spans="6:6">
      <c r="F50170" s="2423"/>
    </row>
    <row r="50171" spans="6:6">
      <c r="F50171" s="2423"/>
    </row>
    <row r="50172" spans="6:6">
      <c r="F50172" s="2423"/>
    </row>
    <row r="50173" spans="6:6">
      <c r="F50173" s="2423"/>
    </row>
    <row r="50174" spans="6:6">
      <c r="F50174" s="2423"/>
    </row>
    <row r="50175" spans="6:6">
      <c r="F50175" s="2423"/>
    </row>
    <row r="50176" spans="6:6">
      <c r="F50176" s="2423"/>
    </row>
    <row r="50177" spans="6:6">
      <c r="F50177" s="2423"/>
    </row>
    <row r="50178" spans="6:6">
      <c r="F50178" s="2423"/>
    </row>
    <row r="50179" spans="6:6">
      <c r="F50179" s="2423"/>
    </row>
    <row r="50180" spans="6:6">
      <c r="F50180" s="2423"/>
    </row>
    <row r="50181" spans="6:6">
      <c r="F50181" s="2423"/>
    </row>
    <row r="50182" spans="6:6">
      <c r="F50182" s="2423"/>
    </row>
    <row r="50183" spans="6:6">
      <c r="F50183" s="2423"/>
    </row>
    <row r="50184" spans="6:6">
      <c r="F50184" s="2423"/>
    </row>
    <row r="50185" spans="6:6">
      <c r="F50185" s="2423"/>
    </row>
    <row r="50186" spans="6:6">
      <c r="F50186" s="2423"/>
    </row>
    <row r="50187" spans="6:6">
      <c r="F50187" s="2423"/>
    </row>
    <row r="50188" spans="6:6">
      <c r="F50188" s="2423"/>
    </row>
    <row r="50189" spans="6:6">
      <c r="F50189" s="2423"/>
    </row>
    <row r="50190" spans="6:6">
      <c r="F50190" s="2423"/>
    </row>
    <row r="50191" spans="6:6">
      <c r="F50191" s="2423"/>
    </row>
    <row r="50192" spans="6:6">
      <c r="F50192" s="2423"/>
    </row>
    <row r="50193" spans="6:6">
      <c r="F50193" s="2423"/>
    </row>
    <row r="50194" spans="6:6">
      <c r="F50194" s="2423"/>
    </row>
    <row r="50195" spans="6:6">
      <c r="F50195" s="2423"/>
    </row>
    <row r="50196" spans="6:6">
      <c r="F50196" s="2423"/>
    </row>
    <row r="50197" spans="6:6">
      <c r="F50197" s="2423"/>
    </row>
    <row r="50198" spans="6:6">
      <c r="F50198" s="2423"/>
    </row>
    <row r="50199" spans="6:6">
      <c r="F50199" s="2423"/>
    </row>
    <row r="50200" spans="6:6">
      <c r="F50200" s="2423"/>
    </row>
    <row r="50201" spans="6:6">
      <c r="F50201" s="2423"/>
    </row>
    <row r="50202" spans="6:6">
      <c r="F50202" s="2423"/>
    </row>
    <row r="50203" spans="6:6">
      <c r="F50203" s="2423"/>
    </row>
    <row r="50204" spans="6:6">
      <c r="F50204" s="2423"/>
    </row>
    <row r="50205" spans="6:6">
      <c r="F50205" s="2423"/>
    </row>
    <row r="50206" spans="6:6">
      <c r="F50206" s="2423"/>
    </row>
    <row r="50207" spans="6:6">
      <c r="F50207" s="2423"/>
    </row>
    <row r="50208" spans="6:6">
      <c r="F50208" s="2423"/>
    </row>
    <row r="50209" spans="6:6">
      <c r="F50209" s="2423"/>
    </row>
    <row r="50210" spans="6:6">
      <c r="F50210" s="2423"/>
    </row>
    <row r="50211" spans="6:6">
      <c r="F50211" s="2423"/>
    </row>
    <row r="50212" spans="6:6">
      <c r="F50212" s="2423"/>
    </row>
    <row r="50213" spans="6:6">
      <c r="F50213" s="2423"/>
    </row>
    <row r="50214" spans="6:6">
      <c r="F50214" s="2423"/>
    </row>
    <row r="50215" spans="6:6">
      <c r="F50215" s="2423"/>
    </row>
    <row r="50216" spans="6:6">
      <c r="F50216" s="2423"/>
    </row>
    <row r="50217" spans="6:6">
      <c r="F50217" s="2423"/>
    </row>
    <row r="50218" spans="6:6">
      <c r="F50218" s="2423"/>
    </row>
    <row r="50219" spans="6:6">
      <c r="F50219" s="2423"/>
    </row>
    <row r="50220" spans="6:6">
      <c r="F50220" s="2423"/>
    </row>
    <row r="50221" spans="6:6">
      <c r="F50221" s="2423"/>
    </row>
    <row r="50222" spans="6:6">
      <c r="F50222" s="2423"/>
    </row>
    <row r="50223" spans="6:6">
      <c r="F50223" s="2423"/>
    </row>
    <row r="50224" spans="6:6">
      <c r="F50224" s="2423"/>
    </row>
    <row r="50225" spans="6:6">
      <c r="F50225" s="2423"/>
    </row>
    <row r="50226" spans="6:6">
      <c r="F50226" s="2423"/>
    </row>
    <row r="50227" spans="6:6">
      <c r="F50227" s="2423"/>
    </row>
    <row r="50228" spans="6:6">
      <c r="F50228" s="2423"/>
    </row>
    <row r="50229" spans="6:6">
      <c r="F50229" s="2423"/>
    </row>
    <row r="50230" spans="6:6">
      <c r="F50230" s="2423"/>
    </row>
    <row r="50231" spans="6:6">
      <c r="F50231" s="2423"/>
    </row>
    <row r="50232" spans="6:6">
      <c r="F50232" s="2423"/>
    </row>
    <row r="50233" spans="6:6">
      <c r="F50233" s="2423"/>
    </row>
    <row r="50234" spans="6:6">
      <c r="F50234" s="2423"/>
    </row>
    <row r="50235" spans="6:6">
      <c r="F50235" s="2423"/>
    </row>
    <row r="50236" spans="6:6">
      <c r="F50236" s="2423"/>
    </row>
    <row r="50237" spans="6:6">
      <c r="F50237" s="2423"/>
    </row>
    <row r="50238" spans="6:6">
      <c r="F50238" s="2423"/>
    </row>
    <row r="50239" spans="6:6">
      <c r="F50239" s="2423"/>
    </row>
    <row r="50240" spans="6:6">
      <c r="F50240" s="2423"/>
    </row>
    <row r="50241" spans="6:6">
      <c r="F50241" s="2423"/>
    </row>
    <row r="50242" spans="6:6">
      <c r="F50242" s="2423"/>
    </row>
    <row r="50243" spans="6:6">
      <c r="F50243" s="2423"/>
    </row>
    <row r="50244" spans="6:6">
      <c r="F50244" s="2423"/>
    </row>
    <row r="50245" spans="6:6">
      <c r="F50245" s="2423"/>
    </row>
    <row r="50246" spans="6:6">
      <c r="F50246" s="2423"/>
    </row>
    <row r="50247" spans="6:6">
      <c r="F50247" s="2423"/>
    </row>
    <row r="50248" spans="6:6">
      <c r="F50248" s="2423"/>
    </row>
    <row r="50249" spans="6:6">
      <c r="F50249" s="2423"/>
    </row>
    <row r="50250" spans="6:6">
      <c r="F50250" s="2423"/>
    </row>
    <row r="50251" spans="6:6">
      <c r="F50251" s="2423"/>
    </row>
    <row r="50252" spans="6:6">
      <c r="F50252" s="2423"/>
    </row>
    <row r="50253" spans="6:6">
      <c r="F50253" s="2423"/>
    </row>
    <row r="50254" spans="6:6">
      <c r="F50254" s="2423"/>
    </row>
    <row r="50255" spans="6:6">
      <c r="F50255" s="2423"/>
    </row>
    <row r="50256" spans="6:6">
      <c r="F50256" s="2423"/>
    </row>
    <row r="50257" spans="6:6">
      <c r="F50257" s="2423"/>
    </row>
    <row r="50258" spans="6:6">
      <c r="F50258" s="2423"/>
    </row>
    <row r="50259" spans="6:6">
      <c r="F50259" s="2423"/>
    </row>
    <row r="50260" spans="6:6">
      <c r="F50260" s="2423"/>
    </row>
    <row r="50261" spans="6:6">
      <c r="F50261" s="2423"/>
    </row>
    <row r="50262" spans="6:6">
      <c r="F50262" s="2423"/>
    </row>
    <row r="50263" spans="6:6">
      <c r="F50263" s="2423"/>
    </row>
    <row r="50264" spans="6:6">
      <c r="F50264" s="2423"/>
    </row>
    <row r="50265" spans="6:6">
      <c r="F50265" s="2423"/>
    </row>
    <row r="50266" spans="6:6">
      <c r="F50266" s="2423"/>
    </row>
    <row r="50267" spans="6:6">
      <c r="F50267" s="2423"/>
    </row>
    <row r="50268" spans="6:6">
      <c r="F50268" s="2423"/>
    </row>
    <row r="50269" spans="6:6">
      <c r="F50269" s="2423"/>
    </row>
    <row r="50270" spans="6:6">
      <c r="F50270" s="2423"/>
    </row>
    <row r="50271" spans="6:6">
      <c r="F50271" s="2423"/>
    </row>
    <row r="50272" spans="6:6">
      <c r="F50272" s="2423"/>
    </row>
    <row r="50273" spans="6:6">
      <c r="F50273" s="2423"/>
    </row>
    <row r="50274" spans="6:6">
      <c r="F50274" s="2423"/>
    </row>
    <row r="50275" spans="6:6">
      <c r="F50275" s="2423"/>
    </row>
    <row r="50276" spans="6:6">
      <c r="F50276" s="2423"/>
    </row>
    <row r="50277" spans="6:6">
      <c r="F50277" s="2423"/>
    </row>
    <row r="50278" spans="6:6">
      <c r="F50278" s="2423"/>
    </row>
    <row r="50279" spans="6:6">
      <c r="F50279" s="2423"/>
    </row>
    <row r="50280" spans="6:6">
      <c r="F50280" s="2423"/>
    </row>
    <row r="50281" spans="6:6">
      <c r="F50281" s="2423"/>
    </row>
    <row r="50282" spans="6:6">
      <c r="F50282" s="2423"/>
    </row>
    <row r="50283" spans="6:6">
      <c r="F50283" s="2423"/>
    </row>
    <row r="50284" spans="6:6">
      <c r="F50284" s="2423"/>
    </row>
    <row r="50285" spans="6:6">
      <c r="F50285" s="2423"/>
    </row>
    <row r="50286" spans="6:6">
      <c r="F50286" s="2423"/>
    </row>
    <row r="50287" spans="6:6">
      <c r="F50287" s="2423"/>
    </row>
    <row r="50288" spans="6:6">
      <c r="F50288" s="2423"/>
    </row>
    <row r="50289" spans="6:6">
      <c r="F50289" s="2423"/>
    </row>
    <row r="50290" spans="6:6">
      <c r="F50290" s="2423"/>
    </row>
    <row r="50291" spans="6:6">
      <c r="F50291" s="2423"/>
    </row>
    <row r="50292" spans="6:6">
      <c r="F50292" s="2423"/>
    </row>
    <row r="50293" spans="6:6">
      <c r="F50293" s="2423"/>
    </row>
    <row r="50294" spans="6:6">
      <c r="F50294" s="2423"/>
    </row>
    <row r="50295" spans="6:6">
      <c r="F50295" s="2423"/>
    </row>
    <row r="50296" spans="6:6">
      <c r="F50296" s="2423"/>
    </row>
    <row r="50297" spans="6:6">
      <c r="F50297" s="2423"/>
    </row>
    <row r="50298" spans="6:6">
      <c r="F50298" s="2423"/>
    </row>
    <row r="50299" spans="6:6">
      <c r="F50299" s="2423"/>
    </row>
    <row r="50300" spans="6:6">
      <c r="F50300" s="2423"/>
    </row>
    <row r="50301" spans="6:6">
      <c r="F50301" s="2423"/>
    </row>
    <row r="50302" spans="6:6">
      <c r="F50302" s="2423"/>
    </row>
    <row r="50303" spans="6:6">
      <c r="F50303" s="2423"/>
    </row>
    <row r="50304" spans="6:6">
      <c r="F50304" s="2423"/>
    </row>
    <row r="50305" spans="6:6">
      <c r="F50305" s="2423"/>
    </row>
    <row r="50306" spans="6:6">
      <c r="F50306" s="2423"/>
    </row>
    <row r="50307" spans="6:6">
      <c r="F50307" s="2423"/>
    </row>
    <row r="50308" spans="6:6">
      <c r="F50308" s="2423"/>
    </row>
    <row r="50309" spans="6:6">
      <c r="F50309" s="2423"/>
    </row>
    <row r="50310" spans="6:6">
      <c r="F50310" s="2423"/>
    </row>
    <row r="50311" spans="6:6">
      <c r="F50311" s="2423"/>
    </row>
    <row r="50312" spans="6:6">
      <c r="F50312" s="2423"/>
    </row>
    <row r="50313" spans="6:6">
      <c r="F50313" s="2423"/>
    </row>
    <row r="50314" spans="6:6">
      <c r="F50314" s="2423"/>
    </row>
    <row r="50315" spans="6:6">
      <c r="F50315" s="2423"/>
    </row>
    <row r="50316" spans="6:6">
      <c r="F50316" s="2423"/>
    </row>
    <row r="50317" spans="6:6">
      <c r="F50317" s="2423"/>
    </row>
    <row r="50318" spans="6:6">
      <c r="F50318" s="2423"/>
    </row>
    <row r="50319" spans="6:6">
      <c r="F50319" s="2423"/>
    </row>
    <row r="50320" spans="6:6">
      <c r="F50320" s="2423"/>
    </row>
    <row r="50321" spans="6:6">
      <c r="F50321" s="2423"/>
    </row>
    <row r="50322" spans="6:6">
      <c r="F50322" s="2423"/>
    </row>
    <row r="50323" spans="6:6">
      <c r="F50323" s="2423"/>
    </row>
    <row r="50324" spans="6:6">
      <c r="F50324" s="2423"/>
    </row>
    <row r="50325" spans="6:6">
      <c r="F50325" s="2423"/>
    </row>
    <row r="50326" spans="6:6">
      <c r="F50326" s="2423"/>
    </row>
    <row r="50327" spans="6:6">
      <c r="F50327" s="2423"/>
    </row>
    <row r="50328" spans="6:6">
      <c r="F50328" s="2423"/>
    </row>
    <row r="50329" spans="6:6">
      <c r="F50329" s="2423"/>
    </row>
    <row r="50330" spans="6:6">
      <c r="F50330" s="2423"/>
    </row>
    <row r="50331" spans="6:6">
      <c r="F50331" s="2423"/>
    </row>
    <row r="50332" spans="6:6">
      <c r="F50332" s="2423"/>
    </row>
    <row r="50333" spans="6:6">
      <c r="F50333" s="2423"/>
    </row>
    <row r="50334" spans="6:6">
      <c r="F50334" s="2423"/>
    </row>
    <row r="50335" spans="6:6">
      <c r="F50335" s="2423"/>
    </row>
    <row r="50336" spans="6:6">
      <c r="F50336" s="2423"/>
    </row>
    <row r="50337" spans="6:6">
      <c r="F50337" s="2423"/>
    </row>
    <row r="50338" spans="6:6">
      <c r="F50338" s="2423"/>
    </row>
    <row r="50339" spans="6:6">
      <c r="F50339" s="2423"/>
    </row>
    <row r="50340" spans="6:6">
      <c r="F50340" s="2423"/>
    </row>
    <row r="50341" spans="6:6">
      <c r="F50341" s="2423"/>
    </row>
    <row r="50342" spans="6:6">
      <c r="F50342" s="2423"/>
    </row>
    <row r="50343" spans="6:6">
      <c r="F50343" s="2423"/>
    </row>
    <row r="50344" spans="6:6">
      <c r="F50344" s="2423"/>
    </row>
    <row r="50345" spans="6:6">
      <c r="F50345" s="2423"/>
    </row>
    <row r="50346" spans="6:6">
      <c r="F50346" s="2423"/>
    </row>
    <row r="50347" spans="6:6">
      <c r="F50347" s="2423"/>
    </row>
    <row r="50348" spans="6:6">
      <c r="F50348" s="2423"/>
    </row>
    <row r="50349" spans="6:6">
      <c r="F50349" s="2423"/>
    </row>
    <row r="50350" spans="6:6">
      <c r="F50350" s="2423"/>
    </row>
    <row r="50351" spans="6:6">
      <c r="F50351" s="2423"/>
    </row>
    <row r="50352" spans="6:6">
      <c r="F50352" s="2423"/>
    </row>
    <row r="50353" spans="6:6">
      <c r="F50353" s="2423"/>
    </row>
    <row r="50354" spans="6:6">
      <c r="F50354" s="2423"/>
    </row>
    <row r="50355" spans="6:6">
      <c r="F50355" s="2423"/>
    </row>
    <row r="50356" spans="6:6">
      <c r="F50356" s="2423"/>
    </row>
    <row r="50357" spans="6:6">
      <c r="F50357" s="2423"/>
    </row>
    <row r="50358" spans="6:6">
      <c r="F50358" s="2423"/>
    </row>
    <row r="50359" spans="6:6">
      <c r="F50359" s="2423"/>
    </row>
    <row r="50360" spans="6:6">
      <c r="F50360" s="2423"/>
    </row>
    <row r="50361" spans="6:6">
      <c r="F50361" s="2423"/>
    </row>
    <row r="50362" spans="6:6">
      <c r="F50362" s="2423"/>
    </row>
    <row r="50363" spans="6:6">
      <c r="F50363" s="2423"/>
    </row>
    <row r="50364" spans="6:6">
      <c r="F50364" s="2423"/>
    </row>
    <row r="50365" spans="6:6">
      <c r="F50365" s="2423"/>
    </row>
    <row r="50366" spans="6:6">
      <c r="F50366" s="2423"/>
    </row>
    <row r="50367" spans="6:6">
      <c r="F50367" s="2423"/>
    </row>
    <row r="50368" spans="6:6">
      <c r="F50368" s="2423"/>
    </row>
    <row r="50369" spans="6:6">
      <c r="F50369" s="2423"/>
    </row>
    <row r="50370" spans="6:6">
      <c r="F50370" s="2423"/>
    </row>
    <row r="50371" spans="6:6">
      <c r="F50371" s="2423"/>
    </row>
    <row r="50372" spans="6:6">
      <c r="F50372" s="2423"/>
    </row>
    <row r="50373" spans="6:6">
      <c r="F50373" s="2423"/>
    </row>
    <row r="50374" spans="6:6">
      <c r="F50374" s="2423"/>
    </row>
    <row r="50375" spans="6:6">
      <c r="F50375" s="2423"/>
    </row>
    <row r="50376" spans="6:6">
      <c r="F50376" s="2423"/>
    </row>
    <row r="50377" spans="6:6">
      <c r="F50377" s="2423"/>
    </row>
    <row r="50378" spans="6:6">
      <c r="F50378" s="2423"/>
    </row>
    <row r="50379" spans="6:6">
      <c r="F50379" s="2423"/>
    </row>
    <row r="50380" spans="6:6">
      <c r="F50380" s="2423"/>
    </row>
    <row r="50381" spans="6:6">
      <c r="F50381" s="2423"/>
    </row>
    <row r="50382" spans="6:6">
      <c r="F50382" s="2423"/>
    </row>
    <row r="50383" spans="6:6">
      <c r="F50383" s="2423"/>
    </row>
    <row r="50384" spans="6:6">
      <c r="F50384" s="2423"/>
    </row>
    <row r="50385" spans="6:6">
      <c r="F50385" s="2423"/>
    </row>
    <row r="50386" spans="6:6">
      <c r="F50386" s="2423"/>
    </row>
    <row r="50387" spans="6:6">
      <c r="F50387" s="2423"/>
    </row>
    <row r="50388" spans="6:6">
      <c r="F50388" s="2423"/>
    </row>
    <row r="50389" spans="6:6">
      <c r="F50389" s="2423"/>
    </row>
    <row r="50390" spans="6:6">
      <c r="F50390" s="2423"/>
    </row>
    <row r="50391" spans="6:6">
      <c r="F50391" s="2423"/>
    </row>
    <row r="50392" spans="6:6">
      <c r="F50392" s="2423"/>
    </row>
    <row r="50393" spans="6:6">
      <c r="F50393" s="2423"/>
    </row>
    <row r="50394" spans="6:6">
      <c r="F50394" s="2423"/>
    </row>
    <row r="50395" spans="6:6">
      <c r="F50395" s="2423"/>
    </row>
    <row r="50396" spans="6:6">
      <c r="F50396" s="2423"/>
    </row>
    <row r="50397" spans="6:6">
      <c r="F50397" s="2423"/>
    </row>
    <row r="50398" spans="6:6">
      <c r="F50398" s="2423"/>
    </row>
    <row r="50399" spans="6:6">
      <c r="F50399" s="2423"/>
    </row>
    <row r="50400" spans="6:6">
      <c r="F50400" s="2423"/>
    </row>
    <row r="50401" spans="6:6">
      <c r="F50401" s="2423"/>
    </row>
    <row r="50402" spans="6:6">
      <c r="F50402" s="2423"/>
    </row>
    <row r="50403" spans="6:6">
      <c r="F50403" s="2423"/>
    </row>
    <row r="50404" spans="6:6">
      <c r="F50404" s="2423"/>
    </row>
    <row r="50405" spans="6:6">
      <c r="F50405" s="2423"/>
    </row>
    <row r="50406" spans="6:6">
      <c r="F50406" s="2423"/>
    </row>
    <row r="50407" spans="6:6">
      <c r="F50407" s="2423"/>
    </row>
    <row r="50408" spans="6:6">
      <c r="F50408" s="2423"/>
    </row>
    <row r="50409" spans="6:6">
      <c r="F50409" s="2423"/>
    </row>
    <row r="50410" spans="6:6">
      <c r="F50410" s="2423"/>
    </row>
    <row r="50411" spans="6:6">
      <c r="F50411" s="2423"/>
    </row>
    <row r="50412" spans="6:6">
      <c r="F50412" s="2423"/>
    </row>
    <row r="50413" spans="6:6">
      <c r="F50413" s="2423"/>
    </row>
    <row r="50414" spans="6:6">
      <c r="F50414" s="2423"/>
    </row>
    <row r="50415" spans="6:6">
      <c r="F50415" s="2423"/>
    </row>
    <row r="50416" spans="6:6">
      <c r="F50416" s="2423"/>
    </row>
    <row r="50417" spans="6:6">
      <c r="F50417" s="2423"/>
    </row>
    <row r="50418" spans="6:6">
      <c r="F50418" s="2423"/>
    </row>
    <row r="50419" spans="6:6">
      <c r="F50419" s="2423"/>
    </row>
    <row r="50420" spans="6:6">
      <c r="F50420" s="2423"/>
    </row>
    <row r="50421" spans="6:6">
      <c r="F50421" s="2423"/>
    </row>
    <row r="50422" spans="6:6">
      <c r="F50422" s="2423"/>
    </row>
    <row r="50423" spans="6:6">
      <c r="F50423" s="2423"/>
    </row>
    <row r="50424" spans="6:6">
      <c r="F50424" s="2423"/>
    </row>
    <row r="50425" spans="6:6">
      <c r="F50425" s="2423"/>
    </row>
    <row r="50426" spans="6:6">
      <c r="F50426" s="2423"/>
    </row>
    <row r="50427" spans="6:6">
      <c r="F50427" s="2423"/>
    </row>
    <row r="50428" spans="6:6">
      <c r="F50428" s="2423"/>
    </row>
    <row r="50429" spans="6:6">
      <c r="F50429" s="2423"/>
    </row>
    <row r="50430" spans="6:6">
      <c r="F50430" s="2423"/>
    </row>
    <row r="50431" spans="6:6">
      <c r="F50431" s="2423"/>
    </row>
    <row r="50432" spans="6:6">
      <c r="F50432" s="2423"/>
    </row>
    <row r="50433" spans="6:6">
      <c r="F50433" s="2423"/>
    </row>
    <row r="50434" spans="6:6">
      <c r="F50434" s="2423"/>
    </row>
    <row r="50435" spans="6:6">
      <c r="F50435" s="2423"/>
    </row>
    <row r="50436" spans="6:6">
      <c r="F50436" s="2423"/>
    </row>
    <row r="50437" spans="6:6">
      <c r="F50437" s="2423"/>
    </row>
    <row r="50438" spans="6:6">
      <c r="F50438" s="2423"/>
    </row>
    <row r="50439" spans="6:6">
      <c r="F50439" s="2423"/>
    </row>
    <row r="50440" spans="6:6">
      <c r="F50440" s="2423"/>
    </row>
    <row r="50441" spans="6:6">
      <c r="F50441" s="2423"/>
    </row>
    <row r="50442" spans="6:6">
      <c r="F50442" s="2423"/>
    </row>
    <row r="50443" spans="6:6">
      <c r="F50443" s="2423"/>
    </row>
    <row r="50444" spans="6:6">
      <c r="F50444" s="2423"/>
    </row>
    <row r="50445" spans="6:6">
      <c r="F50445" s="2423"/>
    </row>
    <row r="50446" spans="6:6">
      <c r="F50446" s="2423"/>
    </row>
    <row r="50447" spans="6:6">
      <c r="F50447" s="2423"/>
    </row>
    <row r="50448" spans="6:6">
      <c r="F50448" s="2423"/>
    </row>
    <row r="50449" spans="6:6">
      <c r="F50449" s="2423"/>
    </row>
    <row r="50450" spans="6:6">
      <c r="F50450" s="2423"/>
    </row>
    <row r="50451" spans="6:6">
      <c r="F50451" s="2423"/>
    </row>
    <row r="50452" spans="6:6">
      <c r="F50452" s="2423"/>
    </row>
    <row r="50453" spans="6:6">
      <c r="F50453" s="2423"/>
    </row>
    <row r="50454" spans="6:6">
      <c r="F50454" s="2423"/>
    </row>
    <row r="50455" spans="6:6">
      <c r="F50455" s="2423"/>
    </row>
    <row r="50456" spans="6:6">
      <c r="F50456" s="2423"/>
    </row>
    <row r="50457" spans="6:6">
      <c r="F50457" s="2423"/>
    </row>
    <row r="50458" spans="6:6">
      <c r="F50458" s="2423"/>
    </row>
    <row r="50459" spans="6:6">
      <c r="F50459" s="2423"/>
    </row>
    <row r="50460" spans="6:6">
      <c r="F50460" s="2423"/>
    </row>
    <row r="50461" spans="6:6">
      <c r="F50461" s="2423"/>
    </row>
    <row r="50462" spans="6:6">
      <c r="F50462" s="2423"/>
    </row>
    <row r="50463" spans="6:6">
      <c r="F50463" s="2423"/>
    </row>
    <row r="50464" spans="6:6">
      <c r="F50464" s="2423"/>
    </row>
    <row r="50465" spans="6:6">
      <c r="F50465" s="2423"/>
    </row>
    <row r="50466" spans="6:6">
      <c r="F50466" s="2423"/>
    </row>
    <row r="50467" spans="6:6">
      <c r="F50467" s="2423"/>
    </row>
    <row r="50468" spans="6:6">
      <c r="F50468" s="2423"/>
    </row>
    <row r="50469" spans="6:6">
      <c r="F50469" s="2423"/>
    </row>
    <row r="50470" spans="6:6">
      <c r="F50470" s="2423"/>
    </row>
    <row r="50471" spans="6:6">
      <c r="F50471" s="2423"/>
    </row>
    <row r="50472" spans="6:6">
      <c r="F50472" s="2423"/>
    </row>
    <row r="50473" spans="6:6">
      <c r="F50473" s="2423"/>
    </row>
    <row r="50474" spans="6:6">
      <c r="F50474" s="2423"/>
    </row>
    <row r="50475" spans="6:6">
      <c r="F50475" s="2423"/>
    </row>
    <row r="50476" spans="6:6">
      <c r="F50476" s="2423"/>
    </row>
    <row r="50477" spans="6:6">
      <c r="F50477" s="2423"/>
    </row>
    <row r="50478" spans="6:6">
      <c r="F50478" s="2423"/>
    </row>
    <row r="50479" spans="6:6">
      <c r="F50479" s="2423"/>
    </row>
    <row r="50480" spans="6:6">
      <c r="F50480" s="2423"/>
    </row>
    <row r="50481" spans="6:6">
      <c r="F50481" s="2423"/>
    </row>
    <row r="50482" spans="6:6">
      <c r="F50482" s="2423"/>
    </row>
    <row r="50483" spans="6:6">
      <c r="F50483" s="2423"/>
    </row>
    <row r="50484" spans="6:6">
      <c r="F50484" s="2423"/>
    </row>
    <row r="50485" spans="6:6">
      <c r="F50485" s="2423"/>
    </row>
    <row r="50486" spans="6:6">
      <c r="F50486" s="2423"/>
    </row>
    <row r="50487" spans="6:6">
      <c r="F50487" s="2423"/>
    </row>
    <row r="50488" spans="6:6">
      <c r="F50488" s="2423"/>
    </row>
    <row r="50489" spans="6:6">
      <c r="F50489" s="2423"/>
    </row>
    <row r="50490" spans="6:6">
      <c r="F50490" s="2423"/>
    </row>
    <row r="50491" spans="6:6">
      <c r="F50491" s="2423"/>
    </row>
    <row r="50492" spans="6:6">
      <c r="F50492" s="2423"/>
    </row>
    <row r="50493" spans="6:6">
      <c r="F50493" s="2423"/>
    </row>
    <row r="50494" spans="6:6">
      <c r="F50494" s="2423"/>
    </row>
    <row r="50495" spans="6:6">
      <c r="F50495" s="2423"/>
    </row>
    <row r="50496" spans="6:6">
      <c r="F50496" s="2423"/>
    </row>
    <row r="50497" spans="6:6">
      <c r="F50497" s="2423"/>
    </row>
    <row r="50498" spans="6:6">
      <c r="F50498" s="2423"/>
    </row>
    <row r="50499" spans="6:6">
      <c r="F50499" s="2423"/>
    </row>
    <row r="50500" spans="6:6">
      <c r="F50500" s="2423"/>
    </row>
    <row r="50501" spans="6:6">
      <c r="F50501" s="2423"/>
    </row>
    <row r="50502" spans="6:6">
      <c r="F50502" s="2423"/>
    </row>
    <row r="50503" spans="6:6">
      <c r="F50503" s="2423"/>
    </row>
    <row r="50504" spans="6:6">
      <c r="F50504" s="2423"/>
    </row>
    <row r="50505" spans="6:6">
      <c r="F50505" s="2423"/>
    </row>
    <row r="50506" spans="6:6">
      <c r="F50506" s="2423"/>
    </row>
    <row r="50507" spans="6:6">
      <c r="F50507" s="2423"/>
    </row>
    <row r="50508" spans="6:6">
      <c r="F50508" s="2423"/>
    </row>
    <row r="50509" spans="6:6">
      <c r="F50509" s="2423"/>
    </row>
    <row r="50510" spans="6:6">
      <c r="F50510" s="2423"/>
    </row>
    <row r="50511" spans="6:6">
      <c r="F50511" s="2423"/>
    </row>
    <row r="50512" spans="6:6">
      <c r="F50512" s="2423"/>
    </row>
    <row r="50513" spans="6:6">
      <c r="F50513" s="2423"/>
    </row>
    <row r="50514" spans="6:6">
      <c r="F50514" s="2423"/>
    </row>
    <row r="50515" spans="6:6">
      <c r="F50515" s="2423"/>
    </row>
    <row r="50516" spans="6:6">
      <c r="F50516" s="2423"/>
    </row>
    <row r="50517" spans="6:6">
      <c r="F50517" s="2423"/>
    </row>
    <row r="50518" spans="6:6">
      <c r="F50518" s="2423"/>
    </row>
    <row r="50519" spans="6:6">
      <c r="F50519" s="2423"/>
    </row>
    <row r="50520" spans="6:6">
      <c r="F50520" s="2423"/>
    </row>
    <row r="50521" spans="6:6">
      <c r="F50521" s="2423"/>
    </row>
    <row r="50522" spans="6:6">
      <c r="F50522" s="2423"/>
    </row>
    <row r="50523" spans="6:6">
      <c r="F50523" s="2423"/>
    </row>
    <row r="50524" spans="6:6">
      <c r="F50524" s="2423"/>
    </row>
    <row r="50525" spans="6:6">
      <c r="F50525" s="2423"/>
    </row>
    <row r="50526" spans="6:6">
      <c r="F50526" s="2423"/>
    </row>
    <row r="50527" spans="6:6">
      <c r="F50527" s="2423"/>
    </row>
    <row r="50528" spans="6:6">
      <c r="F50528" s="2423"/>
    </row>
    <row r="50529" spans="6:6">
      <c r="F50529" s="2423"/>
    </row>
    <row r="50530" spans="6:6">
      <c r="F50530" s="2423"/>
    </row>
    <row r="50531" spans="6:6">
      <c r="F50531" s="2423"/>
    </row>
    <row r="50532" spans="6:6">
      <c r="F50532" s="2423"/>
    </row>
    <row r="50533" spans="6:6">
      <c r="F50533" s="2423"/>
    </row>
    <row r="50534" spans="6:6">
      <c r="F50534" s="2423"/>
    </row>
    <row r="50535" spans="6:6">
      <c r="F50535" s="2423"/>
    </row>
    <row r="50536" spans="6:6">
      <c r="F50536" s="2423"/>
    </row>
    <row r="50537" spans="6:6">
      <c r="F50537" s="2423"/>
    </row>
    <row r="50538" spans="6:6">
      <c r="F50538" s="2423"/>
    </row>
    <row r="50539" spans="6:6">
      <c r="F50539" s="2423"/>
    </row>
    <row r="50540" spans="6:6">
      <c r="F50540" s="2423"/>
    </row>
    <row r="50541" spans="6:6">
      <c r="F50541" s="2423"/>
    </row>
    <row r="50542" spans="6:6">
      <c r="F50542" s="2423"/>
    </row>
    <row r="50543" spans="6:6">
      <c r="F50543" s="2423"/>
    </row>
    <row r="50544" spans="6:6">
      <c r="F50544" s="2423"/>
    </row>
    <row r="50545" spans="6:6">
      <c r="F50545" s="2423"/>
    </row>
    <row r="50546" spans="6:6">
      <c r="F50546" s="2423"/>
    </row>
    <row r="50547" spans="6:6">
      <c r="F50547" s="2423"/>
    </row>
    <row r="50548" spans="6:6">
      <c r="F50548" s="2423"/>
    </row>
    <row r="50549" spans="6:6">
      <c r="F50549" s="2423"/>
    </row>
    <row r="50550" spans="6:6">
      <c r="F50550" s="2423"/>
    </row>
    <row r="50551" spans="6:6">
      <c r="F50551" s="2423"/>
    </row>
    <row r="50552" spans="6:6">
      <c r="F50552" s="2423"/>
    </row>
    <row r="50553" spans="6:6">
      <c r="F50553" s="2423"/>
    </row>
    <row r="50554" spans="6:6">
      <c r="F50554" s="2423"/>
    </row>
    <row r="50555" spans="6:6">
      <c r="F50555" s="2423"/>
    </row>
    <row r="50556" spans="6:6">
      <c r="F50556" s="2423"/>
    </row>
    <row r="50557" spans="6:6">
      <c r="F50557" s="2423"/>
    </row>
    <row r="50558" spans="6:6">
      <c r="F50558" s="2423"/>
    </row>
    <row r="50559" spans="6:6">
      <c r="F50559" s="2423"/>
    </row>
    <row r="50560" spans="6:6">
      <c r="F50560" s="2423"/>
    </row>
    <row r="50561" spans="6:6">
      <c r="F50561" s="2423"/>
    </row>
    <row r="50562" spans="6:6">
      <c r="F50562" s="2423"/>
    </row>
    <row r="50563" spans="6:6">
      <c r="F50563" s="2423"/>
    </row>
    <row r="50564" spans="6:6">
      <c r="F50564" s="2423"/>
    </row>
    <row r="50565" spans="6:6">
      <c r="F50565" s="2423"/>
    </row>
    <row r="50566" spans="6:6">
      <c r="F50566" s="2423"/>
    </row>
    <row r="50567" spans="6:6">
      <c r="F50567" s="2423"/>
    </row>
    <row r="50568" spans="6:6">
      <c r="F50568" s="2423"/>
    </row>
    <row r="50569" spans="6:6">
      <c r="F50569" s="2423"/>
    </row>
    <row r="50570" spans="6:6">
      <c r="F50570" s="2423"/>
    </row>
    <row r="50571" spans="6:6">
      <c r="F50571" s="2423"/>
    </row>
    <row r="50572" spans="6:6">
      <c r="F50572" s="2423"/>
    </row>
    <row r="50573" spans="6:6">
      <c r="F50573" s="2423"/>
    </row>
    <row r="50574" spans="6:6">
      <c r="F50574" s="2423"/>
    </row>
    <row r="50575" spans="6:6">
      <c r="F50575" s="2423"/>
    </row>
    <row r="50576" spans="6:6">
      <c r="F50576" s="2423"/>
    </row>
    <row r="50577" spans="6:6">
      <c r="F50577" s="2423"/>
    </row>
    <row r="50578" spans="6:6">
      <c r="F50578" s="2423"/>
    </row>
    <row r="50579" spans="6:6">
      <c r="F50579" s="2423"/>
    </row>
    <row r="50580" spans="6:6">
      <c r="F50580" s="2423"/>
    </row>
    <row r="50581" spans="6:6">
      <c r="F50581" s="2423"/>
    </row>
    <row r="50582" spans="6:6">
      <c r="F50582" s="2423"/>
    </row>
    <row r="50583" spans="6:6">
      <c r="F50583" s="2423"/>
    </row>
    <row r="50584" spans="6:6">
      <c r="F50584" s="2423"/>
    </row>
    <row r="50585" spans="6:6">
      <c r="F50585" s="2423"/>
    </row>
    <row r="50586" spans="6:6">
      <c r="F50586" s="2423"/>
    </row>
    <row r="50587" spans="6:6">
      <c r="F50587" s="2423"/>
    </row>
    <row r="50588" spans="6:6">
      <c r="F50588" s="2423"/>
    </row>
    <row r="50589" spans="6:6">
      <c r="F50589" s="2423"/>
    </row>
    <row r="50590" spans="6:6">
      <c r="F50590" s="2423"/>
    </row>
    <row r="50591" spans="6:6">
      <c r="F50591" s="2423"/>
    </row>
    <row r="50592" spans="6:6">
      <c r="F50592" s="2423"/>
    </row>
    <row r="50593" spans="6:6">
      <c r="F50593" s="2423"/>
    </row>
    <row r="50594" spans="6:6">
      <c r="F50594" s="2423"/>
    </row>
    <row r="50595" spans="6:6">
      <c r="F50595" s="2423"/>
    </row>
    <row r="50596" spans="6:6">
      <c r="F50596" s="2423"/>
    </row>
    <row r="50597" spans="6:6">
      <c r="F50597" s="2423"/>
    </row>
    <row r="50598" spans="6:6">
      <c r="F50598" s="2423"/>
    </row>
    <row r="50599" spans="6:6">
      <c r="F50599" s="2423"/>
    </row>
    <row r="50600" spans="6:6">
      <c r="F50600" s="2423"/>
    </row>
    <row r="50601" spans="6:6">
      <c r="F50601" s="2423"/>
    </row>
    <row r="50602" spans="6:6">
      <c r="F50602" s="2423"/>
    </row>
    <row r="50603" spans="6:6">
      <c r="F50603" s="2423"/>
    </row>
    <row r="50604" spans="6:6">
      <c r="F50604" s="2423"/>
    </row>
    <row r="50605" spans="6:6">
      <c r="F50605" s="2423"/>
    </row>
    <row r="50606" spans="6:6">
      <c r="F50606" s="2423"/>
    </row>
    <row r="50607" spans="6:6">
      <c r="F50607" s="2423"/>
    </row>
    <row r="50608" spans="6:6">
      <c r="F50608" s="2423"/>
    </row>
    <row r="50609" spans="6:6">
      <c r="F50609" s="2423"/>
    </row>
    <row r="50610" spans="6:6">
      <c r="F50610" s="2423"/>
    </row>
    <row r="50611" spans="6:6">
      <c r="F50611" s="2423"/>
    </row>
    <row r="50612" spans="6:6">
      <c r="F50612" s="2423"/>
    </row>
    <row r="50613" spans="6:6">
      <c r="F50613" s="2423"/>
    </row>
    <row r="50614" spans="6:6">
      <c r="F50614" s="2423"/>
    </row>
    <row r="50615" spans="6:6">
      <c r="F50615" s="2423"/>
    </row>
    <row r="50616" spans="6:6">
      <c r="F50616" s="2423"/>
    </row>
    <row r="50617" spans="6:6">
      <c r="F50617" s="2423"/>
    </row>
    <row r="50618" spans="6:6">
      <c r="F50618" s="2423"/>
    </row>
    <row r="50619" spans="6:6">
      <c r="F50619" s="2423"/>
    </row>
    <row r="50620" spans="6:6">
      <c r="F50620" s="2423"/>
    </row>
    <row r="50621" spans="6:6">
      <c r="F50621" s="2423"/>
    </row>
    <row r="50622" spans="6:6">
      <c r="F50622" s="2423"/>
    </row>
    <row r="50623" spans="6:6">
      <c r="F50623" s="2423"/>
    </row>
    <row r="50624" spans="6:6">
      <c r="F50624" s="2423"/>
    </row>
    <row r="50625" spans="6:6">
      <c r="F50625" s="2423"/>
    </row>
    <row r="50626" spans="6:6">
      <c r="F50626" s="2423"/>
    </row>
    <row r="50627" spans="6:6">
      <c r="F50627" s="2423"/>
    </row>
    <row r="50628" spans="6:6">
      <c r="F50628" s="2423"/>
    </row>
    <row r="50629" spans="6:6">
      <c r="F50629" s="2423"/>
    </row>
    <row r="50630" spans="6:6">
      <c r="F50630" s="2423"/>
    </row>
    <row r="50631" spans="6:6">
      <c r="F50631" s="2423"/>
    </row>
    <row r="50632" spans="6:6">
      <c r="F50632" s="2423"/>
    </row>
    <row r="50633" spans="6:6">
      <c r="F50633" s="2423"/>
    </row>
    <row r="50634" spans="6:6">
      <c r="F50634" s="2423"/>
    </row>
    <row r="50635" spans="6:6">
      <c r="F50635" s="2423"/>
    </row>
    <row r="50636" spans="6:6">
      <c r="F50636" s="2423"/>
    </row>
    <row r="50637" spans="6:6">
      <c r="F50637" s="2423"/>
    </row>
    <row r="50638" spans="6:6">
      <c r="F50638" s="2423"/>
    </row>
    <row r="50639" spans="6:6">
      <c r="F50639" s="2423"/>
    </row>
    <row r="50640" spans="6:6">
      <c r="F50640" s="2423"/>
    </row>
    <row r="50641" spans="6:6">
      <c r="F50641" s="2423"/>
    </row>
    <row r="50642" spans="6:6">
      <c r="F50642" s="2423"/>
    </row>
    <row r="50643" spans="6:6">
      <c r="F50643" s="2423"/>
    </row>
    <row r="50644" spans="6:6">
      <c r="F50644" s="2423"/>
    </row>
    <row r="50645" spans="6:6">
      <c r="F50645" s="2423"/>
    </row>
    <row r="50646" spans="6:6">
      <c r="F50646" s="2423"/>
    </row>
    <row r="50647" spans="6:6">
      <c r="F50647" s="2423"/>
    </row>
    <row r="50648" spans="6:6">
      <c r="F50648" s="2423"/>
    </row>
    <row r="50649" spans="6:6">
      <c r="F50649" s="2423"/>
    </row>
    <row r="50650" spans="6:6">
      <c r="F50650" s="2423"/>
    </row>
    <row r="50651" spans="6:6">
      <c r="F50651" s="2423"/>
    </row>
    <row r="50652" spans="6:6">
      <c r="F50652" s="2423"/>
    </row>
    <row r="50653" spans="6:6">
      <c r="F50653" s="2423"/>
    </row>
    <row r="50654" spans="6:6">
      <c r="F50654" s="2423"/>
    </row>
    <row r="50655" spans="6:6">
      <c r="F50655" s="2423"/>
    </row>
    <row r="50656" spans="6:6">
      <c r="F50656" s="2423"/>
    </row>
    <row r="50657" spans="6:6">
      <c r="F50657" s="2423"/>
    </row>
    <row r="50658" spans="6:6">
      <c r="F50658" s="2423"/>
    </row>
    <row r="50659" spans="6:6">
      <c r="F50659" s="2423"/>
    </row>
    <row r="50660" spans="6:6">
      <c r="F50660" s="2423"/>
    </row>
    <row r="50661" spans="6:6">
      <c r="F50661" s="2423"/>
    </row>
    <row r="50662" spans="6:6">
      <c r="F50662" s="2423"/>
    </row>
    <row r="50663" spans="6:6">
      <c r="F50663" s="2423"/>
    </row>
    <row r="50664" spans="6:6">
      <c r="F50664" s="2423"/>
    </row>
    <row r="50665" spans="6:6">
      <c r="F50665" s="2423"/>
    </row>
    <row r="50666" spans="6:6">
      <c r="F50666" s="2423"/>
    </row>
    <row r="50667" spans="6:6">
      <c r="F50667" s="2423"/>
    </row>
    <row r="50668" spans="6:6">
      <c r="F50668" s="2423"/>
    </row>
    <row r="50669" spans="6:6">
      <c r="F50669" s="2423"/>
    </row>
    <row r="50670" spans="6:6">
      <c r="F50670" s="2423"/>
    </row>
    <row r="50671" spans="6:6">
      <c r="F50671" s="2423"/>
    </row>
    <row r="50672" spans="6:6">
      <c r="F50672" s="2423"/>
    </row>
    <row r="50673" spans="6:6">
      <c r="F50673" s="2423"/>
    </row>
    <row r="50674" spans="6:6">
      <c r="F50674" s="2423"/>
    </row>
    <row r="50675" spans="6:6">
      <c r="F50675" s="2423"/>
    </row>
    <row r="50676" spans="6:6">
      <c r="F50676" s="2423"/>
    </row>
    <row r="50677" spans="6:6">
      <c r="F50677" s="2423"/>
    </row>
    <row r="50678" spans="6:6">
      <c r="F50678" s="2423"/>
    </row>
    <row r="50679" spans="6:6">
      <c r="F50679" s="2423"/>
    </row>
    <row r="50680" spans="6:6">
      <c r="F50680" s="2423"/>
    </row>
    <row r="50681" spans="6:6">
      <c r="F50681" s="2423"/>
    </row>
    <row r="50682" spans="6:6">
      <c r="F50682" s="2423"/>
    </row>
    <row r="50683" spans="6:6">
      <c r="F50683" s="2423"/>
    </row>
    <row r="50684" spans="6:6">
      <c r="F50684" s="2423"/>
    </row>
    <row r="50685" spans="6:6">
      <c r="F50685" s="2423"/>
    </row>
    <row r="50686" spans="6:6">
      <c r="F50686" s="2423"/>
    </row>
    <row r="50687" spans="6:6">
      <c r="F50687" s="2423"/>
    </row>
    <row r="50688" spans="6:6">
      <c r="F50688" s="2423"/>
    </row>
    <row r="50689" spans="6:6">
      <c r="F50689" s="2423"/>
    </row>
    <row r="50690" spans="6:6">
      <c r="F50690" s="2423"/>
    </row>
    <row r="50691" spans="6:6">
      <c r="F50691" s="2423"/>
    </row>
    <row r="50692" spans="6:6">
      <c r="F50692" s="2423"/>
    </row>
    <row r="50693" spans="6:6">
      <c r="F50693" s="2423"/>
    </row>
    <row r="50694" spans="6:6">
      <c r="F50694" s="2423"/>
    </row>
    <row r="50695" spans="6:6">
      <c r="F50695" s="2423"/>
    </row>
    <row r="50696" spans="6:6">
      <c r="F50696" s="2423"/>
    </row>
    <row r="50697" spans="6:6">
      <c r="F50697" s="2423"/>
    </row>
    <row r="50698" spans="6:6">
      <c r="F50698" s="2423"/>
    </row>
    <row r="50699" spans="6:6">
      <c r="F50699" s="2423"/>
    </row>
    <row r="50700" spans="6:6">
      <c r="F50700" s="2423"/>
    </row>
    <row r="50701" spans="6:6">
      <c r="F50701" s="2423"/>
    </row>
    <row r="50702" spans="6:6">
      <c r="F50702" s="2423"/>
    </row>
    <row r="50703" spans="6:6">
      <c r="F50703" s="2423"/>
    </row>
    <row r="50704" spans="6:6">
      <c r="F50704" s="2423"/>
    </row>
    <row r="50705" spans="6:6">
      <c r="F50705" s="2423"/>
    </row>
    <row r="50706" spans="6:6">
      <c r="F50706" s="2423"/>
    </row>
    <row r="50707" spans="6:6">
      <c r="F50707" s="2423"/>
    </row>
    <row r="50708" spans="6:6">
      <c r="F50708" s="2423"/>
    </row>
    <row r="50709" spans="6:6">
      <c r="F50709" s="2423"/>
    </row>
    <row r="50710" spans="6:6">
      <c r="F50710" s="2423"/>
    </row>
    <row r="50711" spans="6:6">
      <c r="F50711" s="2423"/>
    </row>
    <row r="50712" spans="6:6">
      <c r="F50712" s="2423"/>
    </row>
    <row r="50713" spans="6:6">
      <c r="F50713" s="2423"/>
    </row>
    <row r="50714" spans="6:6">
      <c r="F50714" s="2423"/>
    </row>
    <row r="50715" spans="6:6">
      <c r="F50715" s="2423"/>
    </row>
    <row r="50716" spans="6:6">
      <c r="F50716" s="2423"/>
    </row>
    <row r="50717" spans="6:6">
      <c r="F50717" s="2423"/>
    </row>
    <row r="50718" spans="6:6">
      <c r="F50718" s="2423"/>
    </row>
    <row r="50719" spans="6:6">
      <c r="F50719" s="2423"/>
    </row>
    <row r="50720" spans="6:6">
      <c r="F50720" s="2423"/>
    </row>
    <row r="50721" spans="6:6">
      <c r="F50721" s="2423"/>
    </row>
    <row r="50722" spans="6:6">
      <c r="F50722" s="2423"/>
    </row>
    <row r="50723" spans="6:6">
      <c r="F50723" s="2423"/>
    </row>
    <row r="50724" spans="6:6">
      <c r="F50724" s="2423"/>
    </row>
    <row r="50725" spans="6:6">
      <c r="F50725" s="2423"/>
    </row>
    <row r="50726" spans="6:6">
      <c r="F50726" s="2423"/>
    </row>
    <row r="50727" spans="6:6">
      <c r="F50727" s="2423"/>
    </row>
    <row r="50728" spans="6:6">
      <c r="F50728" s="2423"/>
    </row>
    <row r="50729" spans="6:6">
      <c r="F50729" s="2423"/>
    </row>
    <row r="50730" spans="6:6">
      <c r="F50730" s="2423"/>
    </row>
    <row r="50731" spans="6:6">
      <c r="F50731" s="2423"/>
    </row>
    <row r="50732" spans="6:6">
      <c r="F50732" s="2423"/>
    </row>
    <row r="50733" spans="6:6">
      <c r="F50733" s="2423"/>
    </row>
    <row r="50734" spans="6:6">
      <c r="F50734" s="2423"/>
    </row>
    <row r="50735" spans="6:6">
      <c r="F50735" s="2423"/>
    </row>
    <row r="50736" spans="6:6">
      <c r="F50736" s="2423"/>
    </row>
    <row r="50737" spans="6:6">
      <c r="F50737" s="2423"/>
    </row>
    <row r="50738" spans="6:6">
      <c r="F50738" s="2423"/>
    </row>
    <row r="50739" spans="6:6">
      <c r="F50739" s="2423"/>
    </row>
    <row r="50740" spans="6:6">
      <c r="F50740" s="2423"/>
    </row>
    <row r="50741" spans="6:6">
      <c r="F50741" s="2423"/>
    </row>
    <row r="50742" spans="6:6">
      <c r="F50742" s="2423"/>
    </row>
    <row r="50743" spans="6:6">
      <c r="F50743" s="2423"/>
    </row>
    <row r="50744" spans="6:6">
      <c r="F50744" s="2423"/>
    </row>
    <row r="50745" spans="6:6">
      <c r="F50745" s="2423"/>
    </row>
    <row r="50746" spans="6:6">
      <c r="F50746" s="2423"/>
    </row>
    <row r="50747" spans="6:6">
      <c r="F50747" s="2423"/>
    </row>
    <row r="50748" spans="6:6">
      <c r="F50748" s="2423"/>
    </row>
    <row r="50749" spans="6:6">
      <c r="F50749" s="2423"/>
    </row>
    <row r="50750" spans="6:6">
      <c r="F50750" s="2423"/>
    </row>
    <row r="50751" spans="6:6">
      <c r="F50751" s="2423"/>
    </row>
    <row r="50752" spans="6:6">
      <c r="F50752" s="2423"/>
    </row>
    <row r="50753" spans="6:6">
      <c r="F50753" s="2423"/>
    </row>
    <row r="50754" spans="6:6">
      <c r="F50754" s="2423"/>
    </row>
    <row r="50755" spans="6:6">
      <c r="F50755" s="2423"/>
    </row>
    <row r="50756" spans="6:6">
      <c r="F50756" s="2423"/>
    </row>
    <row r="50757" spans="6:6">
      <c r="F50757" s="2423"/>
    </row>
    <row r="50758" spans="6:6">
      <c r="F50758" s="2423"/>
    </row>
    <row r="50759" spans="6:6">
      <c r="F50759" s="2423"/>
    </row>
    <row r="50760" spans="6:6">
      <c r="F50760" s="2423"/>
    </row>
    <row r="50761" spans="6:6">
      <c r="F50761" s="2423"/>
    </row>
    <row r="50762" spans="6:6">
      <c r="F50762" s="2423"/>
    </row>
    <row r="50763" spans="6:6">
      <c r="F50763" s="2423"/>
    </row>
    <row r="50764" spans="6:6">
      <c r="F50764" s="2423"/>
    </row>
    <row r="50765" spans="6:6">
      <c r="F50765" s="2423"/>
    </row>
    <row r="50766" spans="6:6">
      <c r="F50766" s="2423"/>
    </row>
    <row r="50767" spans="6:6">
      <c r="F50767" s="2423"/>
    </row>
    <row r="50768" spans="6:6">
      <c r="F50768" s="2423"/>
    </row>
    <row r="50769" spans="6:6">
      <c r="F50769" s="2423"/>
    </row>
    <row r="50770" spans="6:6">
      <c r="F50770" s="2423"/>
    </row>
    <row r="50771" spans="6:6">
      <c r="F50771" s="2423"/>
    </row>
    <row r="50772" spans="6:6">
      <c r="F50772" s="2423"/>
    </row>
    <row r="50773" spans="6:6">
      <c r="F50773" s="2423"/>
    </row>
    <row r="50774" spans="6:6">
      <c r="F50774" s="2423"/>
    </row>
    <row r="50775" spans="6:6">
      <c r="F50775" s="2423"/>
    </row>
    <row r="50776" spans="6:6">
      <c r="F50776" s="2423"/>
    </row>
    <row r="50777" spans="6:6">
      <c r="F50777" s="2423"/>
    </row>
    <row r="50778" spans="6:6">
      <c r="F50778" s="2423"/>
    </row>
    <row r="50779" spans="6:6">
      <c r="F50779" s="2423"/>
    </row>
    <row r="50780" spans="6:6">
      <c r="F50780" s="2423"/>
    </row>
    <row r="50781" spans="6:6">
      <c r="F50781" s="2423"/>
    </row>
    <row r="50782" spans="6:6">
      <c r="F50782" s="2423"/>
    </row>
    <row r="50783" spans="6:6">
      <c r="F50783" s="2423"/>
    </row>
    <row r="50784" spans="6:6">
      <c r="F50784" s="2423"/>
    </row>
    <row r="50785" spans="6:6">
      <c r="F50785" s="2423"/>
    </row>
    <row r="50786" spans="6:6">
      <c r="F50786" s="2423"/>
    </row>
    <row r="50787" spans="6:6">
      <c r="F50787" s="2423"/>
    </row>
    <row r="50788" spans="6:6">
      <c r="F50788" s="2423"/>
    </row>
    <row r="50789" spans="6:6">
      <c r="F50789" s="2423"/>
    </row>
    <row r="50790" spans="6:6">
      <c r="F50790" s="2423"/>
    </row>
    <row r="50791" spans="6:6">
      <c r="F50791" s="2423"/>
    </row>
    <row r="50792" spans="6:6">
      <c r="F50792" s="2423"/>
    </row>
    <row r="50793" spans="6:6">
      <c r="F50793" s="2423"/>
    </row>
    <row r="50794" spans="6:6">
      <c r="F50794" s="2423"/>
    </row>
    <row r="50795" spans="6:6">
      <c r="F50795" s="2423"/>
    </row>
    <row r="50796" spans="6:6">
      <c r="F50796" s="2423"/>
    </row>
    <row r="50797" spans="6:6">
      <c r="F50797" s="2423"/>
    </row>
    <row r="50798" spans="6:6">
      <c r="F50798" s="2423"/>
    </row>
    <row r="50799" spans="6:6">
      <c r="F50799" s="2423"/>
    </row>
    <row r="50800" spans="6:6">
      <c r="F50800" s="2423"/>
    </row>
    <row r="50801" spans="6:6">
      <c r="F50801" s="2423"/>
    </row>
    <row r="50802" spans="6:6">
      <c r="F50802" s="2423"/>
    </row>
    <row r="50803" spans="6:6">
      <c r="F50803" s="2423"/>
    </row>
    <row r="50804" spans="6:6">
      <c r="F50804" s="2423"/>
    </row>
    <row r="50805" spans="6:6">
      <c r="F50805" s="2423"/>
    </row>
    <row r="50806" spans="6:6">
      <c r="F50806" s="2423"/>
    </row>
    <row r="50807" spans="6:6">
      <c r="F50807" s="2423"/>
    </row>
    <row r="50808" spans="6:6">
      <c r="F50808" s="2423"/>
    </row>
    <row r="50809" spans="6:6">
      <c r="F50809" s="2423"/>
    </row>
    <row r="50810" spans="6:6">
      <c r="F50810" s="2423"/>
    </row>
    <row r="50811" spans="6:6">
      <c r="F50811" s="2423"/>
    </row>
    <row r="50812" spans="6:6">
      <c r="F50812" s="2423"/>
    </row>
    <row r="50813" spans="6:6">
      <c r="F50813" s="2423"/>
    </row>
    <row r="50814" spans="6:6">
      <c r="F50814" s="2423"/>
    </row>
    <row r="50815" spans="6:6">
      <c r="F50815" s="2423"/>
    </row>
    <row r="50816" spans="6:6">
      <c r="F50816" s="2423"/>
    </row>
    <row r="50817" spans="6:6">
      <c r="F50817" s="2423"/>
    </row>
    <row r="50818" spans="6:6">
      <c r="F50818" s="2423"/>
    </row>
    <row r="50819" spans="6:6">
      <c r="F50819" s="2423"/>
    </row>
    <row r="50820" spans="6:6">
      <c r="F50820" s="2423"/>
    </row>
    <row r="50821" spans="6:6">
      <c r="F50821" s="2423"/>
    </row>
    <row r="50822" spans="6:6">
      <c r="F50822" s="2423"/>
    </row>
    <row r="50823" spans="6:6">
      <c r="F50823" s="2423"/>
    </row>
    <row r="50824" spans="6:6">
      <c r="F50824" s="2423"/>
    </row>
    <row r="50825" spans="6:6">
      <c r="F50825" s="2423"/>
    </row>
    <row r="50826" spans="6:6">
      <c r="F50826" s="2423"/>
    </row>
    <row r="50827" spans="6:6">
      <c r="F50827" s="2423"/>
    </row>
    <row r="50828" spans="6:6">
      <c r="F50828" s="2423"/>
    </row>
    <row r="50829" spans="6:6">
      <c r="F50829" s="2423"/>
    </row>
    <row r="50830" spans="6:6">
      <c r="F50830" s="2423"/>
    </row>
    <row r="50831" spans="6:6">
      <c r="F50831" s="2423"/>
    </row>
    <row r="50832" spans="6:6">
      <c r="F50832" s="2423"/>
    </row>
    <row r="50833" spans="6:6">
      <c r="F50833" s="2423"/>
    </row>
    <row r="50834" spans="6:6">
      <c r="F50834" s="2423"/>
    </row>
    <row r="50835" spans="6:6">
      <c r="F50835" s="2423"/>
    </row>
    <row r="50836" spans="6:6">
      <c r="F50836" s="2423"/>
    </row>
    <row r="50837" spans="6:6">
      <c r="F50837" s="2423"/>
    </row>
    <row r="50838" spans="6:6">
      <c r="F50838" s="2423"/>
    </row>
    <row r="50839" spans="6:6">
      <c r="F50839" s="2423"/>
    </row>
    <row r="50840" spans="6:6">
      <c r="F50840" s="2423"/>
    </row>
    <row r="50841" spans="6:6">
      <c r="F50841" s="2423"/>
    </row>
    <row r="50842" spans="6:6">
      <c r="F50842" s="2423"/>
    </row>
    <row r="50843" spans="6:6">
      <c r="F50843" s="2423"/>
    </row>
    <row r="50844" spans="6:6">
      <c r="F50844" s="2423"/>
    </row>
    <row r="50845" spans="6:6">
      <c r="F50845" s="2423"/>
    </row>
    <row r="50846" spans="6:6">
      <c r="F50846" s="2423"/>
    </row>
    <row r="50847" spans="6:6">
      <c r="F50847" s="2423"/>
    </row>
    <row r="50848" spans="6:6">
      <c r="F50848" s="2423"/>
    </row>
    <row r="50849" spans="6:6">
      <c r="F50849" s="2423"/>
    </row>
    <row r="50850" spans="6:6">
      <c r="F50850" s="2423"/>
    </row>
    <row r="50851" spans="6:6">
      <c r="F50851" s="2423"/>
    </row>
    <row r="50852" spans="6:6">
      <c r="F50852" s="2423"/>
    </row>
    <row r="50853" spans="6:6">
      <c r="F50853" s="2423"/>
    </row>
    <row r="50854" spans="6:6">
      <c r="F50854" s="2423"/>
    </row>
    <row r="50855" spans="6:6">
      <c r="F50855" s="2423"/>
    </row>
    <row r="50856" spans="6:6">
      <c r="F50856" s="2423"/>
    </row>
    <row r="50857" spans="6:6">
      <c r="F50857" s="2423"/>
    </row>
    <row r="50858" spans="6:6">
      <c r="F50858" s="2423"/>
    </row>
    <row r="50859" spans="6:6">
      <c r="F50859" s="2423"/>
    </row>
    <row r="50860" spans="6:6">
      <c r="F50860" s="2423"/>
    </row>
    <row r="50861" spans="6:6">
      <c r="F50861" s="2423"/>
    </row>
    <row r="50862" spans="6:6">
      <c r="F50862" s="2423"/>
    </row>
    <row r="50863" spans="6:6">
      <c r="F50863" s="2423"/>
    </row>
    <row r="50864" spans="6:6">
      <c r="F50864" s="2423"/>
    </row>
    <row r="50865" spans="6:6">
      <c r="F50865" s="2423"/>
    </row>
    <row r="50866" spans="6:6">
      <c r="F50866" s="2423"/>
    </row>
    <row r="50867" spans="6:6">
      <c r="F50867" s="2423"/>
    </row>
    <row r="50868" spans="6:6">
      <c r="F50868" s="2423"/>
    </row>
    <row r="50869" spans="6:6">
      <c r="F50869" s="2423"/>
    </row>
    <row r="50870" spans="6:6">
      <c r="F50870" s="2423"/>
    </row>
    <row r="50871" spans="6:6">
      <c r="F50871" s="2423"/>
    </row>
    <row r="50872" spans="6:6">
      <c r="F50872" s="2423"/>
    </row>
    <row r="50873" spans="6:6">
      <c r="F50873" s="2423"/>
    </row>
    <row r="50874" spans="6:6">
      <c r="F50874" s="2423"/>
    </row>
    <row r="50875" spans="6:6">
      <c r="F50875" s="2423"/>
    </row>
    <row r="50876" spans="6:6">
      <c r="F50876" s="2423"/>
    </row>
    <row r="50877" spans="6:6">
      <c r="F50877" s="2423"/>
    </row>
    <row r="50878" spans="6:6">
      <c r="F50878" s="2423"/>
    </row>
    <row r="50879" spans="6:6">
      <c r="F50879" s="2423"/>
    </row>
    <row r="50880" spans="6:6">
      <c r="F50880" s="2423"/>
    </row>
    <row r="50881" spans="6:6">
      <c r="F50881" s="2423"/>
    </row>
    <row r="50882" spans="6:6">
      <c r="F50882" s="2423"/>
    </row>
    <row r="50883" spans="6:6">
      <c r="F50883" s="2423"/>
    </row>
    <row r="50884" spans="6:6">
      <c r="F50884" s="2423"/>
    </row>
    <row r="50885" spans="6:6">
      <c r="F50885" s="2423"/>
    </row>
    <row r="50886" spans="6:6">
      <c r="F50886" s="2423"/>
    </row>
    <row r="50887" spans="6:6">
      <c r="F50887" s="2423"/>
    </row>
    <row r="50888" spans="6:6">
      <c r="F50888" s="2423"/>
    </row>
    <row r="50889" spans="6:6">
      <c r="F50889" s="2423"/>
    </row>
    <row r="50890" spans="6:6">
      <c r="F50890" s="2423"/>
    </row>
    <row r="50891" spans="6:6">
      <c r="F50891" s="2423"/>
    </row>
    <row r="50892" spans="6:6">
      <c r="F50892" s="2423"/>
    </row>
    <row r="50893" spans="6:6">
      <c r="F50893" s="2423"/>
    </row>
    <row r="50894" spans="6:6">
      <c r="F50894" s="2423"/>
    </row>
    <row r="50895" spans="6:6">
      <c r="F50895" s="2423"/>
    </row>
    <row r="50896" spans="6:6">
      <c r="F50896" s="2423"/>
    </row>
    <row r="50897" spans="6:6">
      <c r="F50897" s="2423"/>
    </row>
    <row r="50898" spans="6:6">
      <c r="F50898" s="2423"/>
    </row>
    <row r="50899" spans="6:6">
      <c r="F50899" s="2423"/>
    </row>
    <row r="50900" spans="6:6">
      <c r="F50900" s="2423"/>
    </row>
    <row r="50901" spans="6:6">
      <c r="F50901" s="2423"/>
    </row>
    <row r="50902" spans="6:6">
      <c r="F50902" s="2423"/>
    </row>
    <row r="50903" spans="6:6">
      <c r="F50903" s="2423"/>
    </row>
    <row r="50904" spans="6:6">
      <c r="F50904" s="2423"/>
    </row>
    <row r="50905" spans="6:6">
      <c r="F50905" s="2423"/>
    </row>
    <row r="50906" spans="6:6">
      <c r="F50906" s="2423"/>
    </row>
    <row r="50907" spans="6:6">
      <c r="F50907" s="2423"/>
    </row>
    <row r="50908" spans="6:6">
      <c r="F50908" s="2423"/>
    </row>
    <row r="50909" spans="6:6">
      <c r="F50909" s="2423"/>
    </row>
    <row r="50910" spans="6:6">
      <c r="F50910" s="2423"/>
    </row>
    <row r="50911" spans="6:6">
      <c r="F50911" s="2423"/>
    </row>
    <row r="50912" spans="6:6">
      <c r="F50912" s="2423"/>
    </row>
    <row r="50913" spans="6:6">
      <c r="F50913" s="2423"/>
    </row>
    <row r="50914" spans="6:6">
      <c r="F50914" s="2423"/>
    </row>
    <row r="50915" spans="6:6">
      <c r="F50915" s="2423"/>
    </row>
    <row r="50916" spans="6:6">
      <c r="F50916" s="2423"/>
    </row>
    <row r="50917" spans="6:6">
      <c r="F50917" s="2423"/>
    </row>
    <row r="50918" spans="6:6">
      <c r="F50918" s="2423"/>
    </row>
    <row r="50919" spans="6:6">
      <c r="F50919" s="2423"/>
    </row>
    <row r="50920" spans="6:6">
      <c r="F50920" s="2423"/>
    </row>
    <row r="50921" spans="6:6">
      <c r="F50921" s="2423"/>
    </row>
    <row r="50922" spans="6:6">
      <c r="F50922" s="2423"/>
    </row>
    <row r="50923" spans="6:6">
      <c r="F50923" s="2423"/>
    </row>
    <row r="50924" spans="6:6">
      <c r="F50924" s="2423"/>
    </row>
    <row r="50925" spans="6:6">
      <c r="F50925" s="2423"/>
    </row>
    <row r="50926" spans="6:6">
      <c r="F50926" s="2423"/>
    </row>
    <row r="50927" spans="6:6">
      <c r="F50927" s="2423"/>
    </row>
    <row r="50928" spans="6:6">
      <c r="F50928" s="2423"/>
    </row>
    <row r="50929" spans="6:6">
      <c r="F50929" s="2423"/>
    </row>
    <row r="50930" spans="6:6">
      <c r="F50930" s="2423"/>
    </row>
    <row r="50931" spans="6:6">
      <c r="F50931" s="2423"/>
    </row>
    <row r="50932" spans="6:6">
      <c r="F50932" s="2423"/>
    </row>
    <row r="50933" spans="6:6">
      <c r="F50933" s="2423"/>
    </row>
    <row r="50934" spans="6:6">
      <c r="F50934" s="2423"/>
    </row>
    <row r="50935" spans="6:6">
      <c r="F50935" s="2423"/>
    </row>
    <row r="50936" spans="6:6">
      <c r="F50936" s="2423"/>
    </row>
    <row r="50937" spans="6:6">
      <c r="F50937" s="2423"/>
    </row>
    <row r="50938" spans="6:6">
      <c r="F50938" s="2423"/>
    </row>
    <row r="50939" spans="6:6">
      <c r="F50939" s="2423"/>
    </row>
    <row r="50940" spans="6:6">
      <c r="F50940" s="2423"/>
    </row>
    <row r="50941" spans="6:6">
      <c r="F50941" s="2423"/>
    </row>
    <row r="50942" spans="6:6">
      <c r="F50942" s="2423"/>
    </row>
    <row r="50943" spans="6:6">
      <c r="F50943" s="2423"/>
    </row>
    <row r="50944" spans="6:6">
      <c r="F50944" s="2423"/>
    </row>
    <row r="50945" spans="6:6">
      <c r="F50945" s="2423"/>
    </row>
    <row r="50946" spans="6:6">
      <c r="F50946" s="2423"/>
    </row>
    <row r="50947" spans="6:6">
      <c r="F50947" s="2423"/>
    </row>
    <row r="50948" spans="6:6">
      <c r="F50948" s="2423"/>
    </row>
    <row r="50949" spans="6:6">
      <c r="F50949" s="2423"/>
    </row>
    <row r="50950" spans="6:6">
      <c r="F50950" s="2423"/>
    </row>
    <row r="50951" spans="6:6">
      <c r="F50951" s="2423"/>
    </row>
    <row r="50952" spans="6:6">
      <c r="F50952" s="2423"/>
    </row>
    <row r="50953" spans="6:6">
      <c r="F50953" s="2423"/>
    </row>
    <row r="50954" spans="6:6">
      <c r="F50954" s="2423"/>
    </row>
    <row r="50955" spans="6:6">
      <c r="F50955" s="2423"/>
    </row>
    <row r="50956" spans="6:6">
      <c r="F50956" s="2423"/>
    </row>
    <row r="50957" spans="6:6">
      <c r="F50957" s="2423"/>
    </row>
    <row r="50958" spans="6:6">
      <c r="F50958" s="2423"/>
    </row>
    <row r="50959" spans="6:6">
      <c r="F50959" s="2423"/>
    </row>
    <row r="50960" spans="6:6">
      <c r="F50960" s="2423"/>
    </row>
    <row r="50961" spans="6:6">
      <c r="F50961" s="2423"/>
    </row>
    <row r="50962" spans="6:6">
      <c r="F50962" s="2423"/>
    </row>
    <row r="50963" spans="6:6">
      <c r="F50963" s="2423"/>
    </row>
    <row r="50964" spans="6:6">
      <c r="F50964" s="2423"/>
    </row>
    <row r="50965" spans="6:6">
      <c r="F50965" s="2423"/>
    </row>
    <row r="50966" spans="6:6">
      <c r="F50966" s="2423"/>
    </row>
    <row r="50967" spans="6:6">
      <c r="F50967" s="2423"/>
    </row>
    <row r="50968" spans="6:6">
      <c r="F50968" s="2423"/>
    </row>
    <row r="50969" spans="6:6">
      <c r="F50969" s="2423"/>
    </row>
    <row r="50970" spans="6:6">
      <c r="F50970" s="2423"/>
    </row>
    <row r="50971" spans="6:6">
      <c r="F50971" s="2423"/>
    </row>
    <row r="50972" spans="6:6">
      <c r="F50972" s="2423"/>
    </row>
    <row r="50973" spans="6:6">
      <c r="F50973" s="2423"/>
    </row>
    <row r="50974" spans="6:6">
      <c r="F50974" s="2423"/>
    </row>
    <row r="50975" spans="6:6">
      <c r="F50975" s="2423"/>
    </row>
    <row r="50976" spans="6:6">
      <c r="F50976" s="2423"/>
    </row>
    <row r="50977" spans="6:6">
      <c r="F50977" s="2423"/>
    </row>
    <row r="50978" spans="6:6">
      <c r="F50978" s="2423"/>
    </row>
    <row r="50979" spans="6:6">
      <c r="F50979" s="2423"/>
    </row>
    <row r="50980" spans="6:6">
      <c r="F50980" s="2423"/>
    </row>
    <row r="50981" spans="6:6">
      <c r="F50981" s="2423"/>
    </row>
    <row r="50982" spans="6:6">
      <c r="F50982" s="2423"/>
    </row>
    <row r="50983" spans="6:6">
      <c r="F50983" s="2423"/>
    </row>
    <row r="50984" spans="6:6">
      <c r="F50984" s="2423"/>
    </row>
    <row r="50985" spans="6:6">
      <c r="F50985" s="2423"/>
    </row>
    <row r="50986" spans="6:6">
      <c r="F50986" s="2423"/>
    </row>
    <row r="50987" spans="6:6">
      <c r="F50987" s="2423"/>
    </row>
    <row r="50988" spans="6:6">
      <c r="F50988" s="2423"/>
    </row>
    <row r="50989" spans="6:6">
      <c r="F50989" s="2423"/>
    </row>
    <row r="50990" spans="6:6">
      <c r="F50990" s="2423"/>
    </row>
    <row r="50991" spans="6:6">
      <c r="F50991" s="2423"/>
    </row>
    <row r="50992" spans="6:6">
      <c r="F50992" s="2423"/>
    </row>
    <row r="50993" spans="6:6">
      <c r="F50993" s="2423"/>
    </row>
    <row r="50994" spans="6:6">
      <c r="F50994" s="2423"/>
    </row>
    <row r="50995" spans="6:6">
      <c r="F50995" s="2423"/>
    </row>
    <row r="50996" spans="6:6">
      <c r="F50996" s="2423"/>
    </row>
    <row r="50997" spans="6:6">
      <c r="F50997" s="2423"/>
    </row>
    <row r="50998" spans="6:6">
      <c r="F50998" s="2423"/>
    </row>
    <row r="50999" spans="6:6">
      <c r="F50999" s="2423"/>
    </row>
    <row r="51000" spans="6:6">
      <c r="F51000" s="2423"/>
    </row>
    <row r="51001" spans="6:6">
      <c r="F51001" s="2423"/>
    </row>
    <row r="51002" spans="6:6">
      <c r="F51002" s="2423"/>
    </row>
    <row r="51003" spans="6:6">
      <c r="F51003" s="2423"/>
    </row>
    <row r="51004" spans="6:6">
      <c r="F51004" s="2423"/>
    </row>
    <row r="51005" spans="6:6">
      <c r="F51005" s="2423"/>
    </row>
    <row r="51006" spans="6:6">
      <c r="F51006" s="2423"/>
    </row>
    <row r="51007" spans="6:6">
      <c r="F51007" s="2423"/>
    </row>
    <row r="51008" spans="6:6">
      <c r="F51008" s="2423"/>
    </row>
    <row r="51009" spans="6:6">
      <c r="F51009" s="2423"/>
    </row>
    <row r="51010" spans="6:6">
      <c r="F51010" s="2423"/>
    </row>
    <row r="51011" spans="6:6">
      <c r="F51011" s="2423"/>
    </row>
    <row r="51012" spans="6:6">
      <c r="F51012" s="2423"/>
    </row>
    <row r="51013" spans="6:6">
      <c r="F51013" s="2423"/>
    </row>
    <row r="51014" spans="6:6">
      <c r="F51014" s="2423"/>
    </row>
    <row r="51015" spans="6:6">
      <c r="F51015" s="2423"/>
    </row>
    <row r="51016" spans="6:6">
      <c r="F51016" s="2423"/>
    </row>
    <row r="51017" spans="6:6">
      <c r="F51017" s="2423"/>
    </row>
    <row r="51018" spans="6:6">
      <c r="F51018" s="2423"/>
    </row>
    <row r="51019" spans="6:6">
      <c r="F51019" s="2423"/>
    </row>
    <row r="51020" spans="6:6">
      <c r="F51020" s="2423"/>
    </row>
    <row r="51021" spans="6:6">
      <c r="F51021" s="2423"/>
    </row>
    <row r="51022" spans="6:6">
      <c r="F51022" s="2423"/>
    </row>
    <row r="51023" spans="6:6">
      <c r="F51023" s="2423"/>
    </row>
    <row r="51024" spans="6:6">
      <c r="F51024" s="2423"/>
    </row>
    <row r="51025" spans="6:6">
      <c r="F51025" s="2423"/>
    </row>
    <row r="51026" spans="6:6">
      <c r="F51026" s="2423"/>
    </row>
    <row r="51027" spans="6:6">
      <c r="F51027" s="2423"/>
    </row>
    <row r="51028" spans="6:6">
      <c r="F51028" s="2423"/>
    </row>
    <row r="51029" spans="6:6">
      <c r="F51029" s="2423"/>
    </row>
    <row r="51030" spans="6:6">
      <c r="F51030" s="2423"/>
    </row>
    <row r="51031" spans="6:6">
      <c r="F51031" s="2423"/>
    </row>
    <row r="51032" spans="6:6">
      <c r="F51032" s="2423"/>
    </row>
    <row r="51033" spans="6:6">
      <c r="F51033" s="2423"/>
    </row>
    <row r="51034" spans="6:6">
      <c r="F51034" s="2423"/>
    </row>
    <row r="51035" spans="6:6">
      <c r="F51035" s="2423"/>
    </row>
    <row r="51036" spans="6:6">
      <c r="F51036" s="2423"/>
    </row>
    <row r="51037" spans="6:6">
      <c r="F51037" s="2423"/>
    </row>
    <row r="51038" spans="6:6">
      <c r="F51038" s="2423"/>
    </row>
    <row r="51039" spans="6:6">
      <c r="F51039" s="2423"/>
    </row>
    <row r="51040" spans="6:6">
      <c r="F51040" s="2423"/>
    </row>
    <row r="51041" spans="6:6">
      <c r="F51041" s="2423"/>
    </row>
    <row r="51042" spans="6:6">
      <c r="F51042" s="2423"/>
    </row>
    <row r="51043" spans="6:6">
      <c r="F51043" s="2423"/>
    </row>
    <row r="51044" spans="6:6">
      <c r="F51044" s="2423"/>
    </row>
    <row r="51045" spans="6:6">
      <c r="F51045" s="2423"/>
    </row>
    <row r="51046" spans="6:6">
      <c r="F51046" s="2423"/>
    </row>
    <row r="51047" spans="6:6">
      <c r="F51047" s="2423"/>
    </row>
    <row r="51048" spans="6:6">
      <c r="F51048" s="2423"/>
    </row>
    <row r="51049" spans="6:6">
      <c r="F51049" s="2423"/>
    </row>
    <row r="51050" spans="6:6">
      <c r="F51050" s="2423"/>
    </row>
    <row r="51051" spans="6:6">
      <c r="F51051" s="2423"/>
    </row>
    <row r="51052" spans="6:6">
      <c r="F51052" s="2423"/>
    </row>
    <row r="51053" spans="6:6">
      <c r="F51053" s="2423"/>
    </row>
    <row r="51054" spans="6:6">
      <c r="F51054" s="2423"/>
    </row>
    <row r="51055" spans="6:6">
      <c r="F51055" s="2423"/>
    </row>
    <row r="51056" spans="6:6">
      <c r="F51056" s="2423"/>
    </row>
    <row r="51057" spans="6:6">
      <c r="F51057" s="2423"/>
    </row>
    <row r="51058" spans="6:6">
      <c r="F51058" s="2423"/>
    </row>
    <row r="51059" spans="6:6">
      <c r="F51059" s="2423"/>
    </row>
    <row r="51060" spans="6:6">
      <c r="F51060" s="2423"/>
    </row>
    <row r="51061" spans="6:6">
      <c r="F51061" s="2423"/>
    </row>
    <row r="51062" spans="6:6">
      <c r="F51062" s="2423"/>
    </row>
    <row r="51063" spans="6:6">
      <c r="F51063" s="2423"/>
    </row>
    <row r="51064" spans="6:6">
      <c r="F51064" s="2423"/>
    </row>
    <row r="51065" spans="6:6">
      <c r="F51065" s="2423"/>
    </row>
    <row r="51066" spans="6:6">
      <c r="F51066" s="2423"/>
    </row>
    <row r="51067" spans="6:6">
      <c r="F51067" s="2423"/>
    </row>
    <row r="51068" spans="6:6">
      <c r="F51068" s="2423"/>
    </row>
    <row r="51069" spans="6:6">
      <c r="F51069" s="2423"/>
    </row>
    <row r="51070" spans="6:6">
      <c r="F51070" s="2423"/>
    </row>
    <row r="51071" spans="6:6">
      <c r="F51071" s="2423"/>
    </row>
    <row r="51072" spans="6:6">
      <c r="F51072" s="2423"/>
    </row>
    <row r="51073" spans="6:6">
      <c r="F51073" s="2423"/>
    </row>
    <row r="51074" spans="6:6">
      <c r="F51074" s="2423"/>
    </row>
    <row r="51075" spans="6:6">
      <c r="F51075" s="2423"/>
    </row>
    <row r="51076" spans="6:6">
      <c r="F51076" s="2423"/>
    </row>
    <row r="51077" spans="6:6">
      <c r="F51077" s="2423"/>
    </row>
    <row r="51078" spans="6:6">
      <c r="F51078" s="2423"/>
    </row>
    <row r="51079" spans="6:6">
      <c r="F51079" s="2423"/>
    </row>
    <row r="51080" spans="6:6">
      <c r="F51080" s="2423"/>
    </row>
    <row r="51081" spans="6:6">
      <c r="F51081" s="2423"/>
    </row>
    <row r="51082" spans="6:6">
      <c r="F51082" s="2423"/>
    </row>
    <row r="51083" spans="6:6">
      <c r="F51083" s="2423"/>
    </row>
    <row r="51084" spans="6:6">
      <c r="F51084" s="2423"/>
    </row>
    <row r="51085" spans="6:6">
      <c r="F51085" s="2423"/>
    </row>
    <row r="51086" spans="6:6">
      <c r="F51086" s="2423"/>
    </row>
    <row r="51087" spans="6:6">
      <c r="F51087" s="2423"/>
    </row>
    <row r="51088" spans="6:6">
      <c r="F51088" s="2423"/>
    </row>
    <row r="51089" spans="6:6">
      <c r="F51089" s="2423"/>
    </row>
    <row r="51090" spans="6:6">
      <c r="F51090" s="2423"/>
    </row>
    <row r="51091" spans="6:6">
      <c r="F51091" s="2423"/>
    </row>
    <row r="51092" spans="6:6">
      <c r="F51092" s="2423"/>
    </row>
    <row r="51093" spans="6:6">
      <c r="F51093" s="2423"/>
    </row>
    <row r="51094" spans="6:6">
      <c r="F51094" s="2423"/>
    </row>
    <row r="51095" spans="6:6">
      <c r="F51095" s="2423"/>
    </row>
    <row r="51096" spans="6:6">
      <c r="F51096" s="2423"/>
    </row>
    <row r="51097" spans="6:6">
      <c r="F51097" s="2423"/>
    </row>
    <row r="51098" spans="6:6">
      <c r="F51098" s="2423"/>
    </row>
    <row r="51099" spans="6:6">
      <c r="F51099" s="2423"/>
    </row>
    <row r="51100" spans="6:6">
      <c r="F51100" s="2423"/>
    </row>
    <row r="51101" spans="6:6">
      <c r="F51101" s="2423"/>
    </row>
    <row r="51102" spans="6:6">
      <c r="F51102" s="2423"/>
    </row>
    <row r="51103" spans="6:6">
      <c r="F51103" s="2423"/>
    </row>
    <row r="51104" spans="6:6">
      <c r="F51104" s="2423"/>
    </row>
    <row r="51105" spans="6:6">
      <c r="F51105" s="2423"/>
    </row>
    <row r="51106" spans="6:6">
      <c r="F51106" s="2423"/>
    </row>
    <row r="51107" spans="6:6">
      <c r="F51107" s="2423"/>
    </row>
    <row r="51108" spans="6:6">
      <c r="F51108" s="2423"/>
    </row>
    <row r="51109" spans="6:6">
      <c r="F51109" s="2423"/>
    </row>
    <row r="51110" spans="6:6">
      <c r="F51110" s="2423"/>
    </row>
    <row r="51111" spans="6:6">
      <c r="F51111" s="2423"/>
    </row>
    <row r="51112" spans="6:6">
      <c r="F51112" s="2423"/>
    </row>
    <row r="51113" spans="6:6">
      <c r="F51113" s="2423"/>
    </row>
    <row r="51114" spans="6:6">
      <c r="F51114" s="2423"/>
    </row>
    <row r="51115" spans="6:6">
      <c r="F51115" s="2423"/>
    </row>
    <row r="51116" spans="6:6">
      <c r="F51116" s="2423"/>
    </row>
    <row r="51117" spans="6:6">
      <c r="F51117" s="2423"/>
    </row>
    <row r="51118" spans="6:6">
      <c r="F51118" s="2423"/>
    </row>
    <row r="51119" spans="6:6">
      <c r="F51119" s="2423"/>
    </row>
    <row r="51120" spans="6:6">
      <c r="F51120" s="2423"/>
    </row>
    <row r="51121" spans="6:6">
      <c r="F51121" s="2423"/>
    </row>
    <row r="51122" spans="6:6">
      <c r="F51122" s="2423"/>
    </row>
    <row r="51123" spans="6:6">
      <c r="F51123" s="2423"/>
    </row>
    <row r="51124" spans="6:6">
      <c r="F51124" s="2423"/>
    </row>
    <row r="51125" spans="6:6">
      <c r="F51125" s="2423"/>
    </row>
    <row r="51126" spans="6:6">
      <c r="F51126" s="2423"/>
    </row>
    <row r="51127" spans="6:6">
      <c r="F51127" s="2423"/>
    </row>
    <row r="51128" spans="6:6">
      <c r="F51128" s="2423"/>
    </row>
    <row r="51129" spans="6:6">
      <c r="F51129" s="2423"/>
    </row>
    <row r="51130" spans="6:6">
      <c r="F51130" s="2423"/>
    </row>
    <row r="51131" spans="6:6">
      <c r="F51131" s="2423"/>
    </row>
    <row r="51132" spans="6:6">
      <c r="F51132" s="2423"/>
    </row>
    <row r="51133" spans="6:6">
      <c r="F51133" s="2423"/>
    </row>
    <row r="51134" spans="6:6">
      <c r="F51134" s="2423"/>
    </row>
    <row r="51135" spans="6:6">
      <c r="F51135" s="2423"/>
    </row>
    <row r="51136" spans="6:6">
      <c r="F51136" s="2423"/>
    </row>
    <row r="51137" spans="6:6">
      <c r="F51137" s="2423"/>
    </row>
    <row r="51138" spans="6:6">
      <c r="F51138" s="2423"/>
    </row>
    <row r="51139" spans="6:6">
      <c r="F51139" s="2423"/>
    </row>
    <row r="51140" spans="6:6">
      <c r="F51140" s="2423"/>
    </row>
    <row r="51141" spans="6:6">
      <c r="F51141" s="2423"/>
    </row>
    <row r="51142" spans="6:6">
      <c r="F51142" s="2423"/>
    </row>
    <row r="51143" spans="6:6">
      <c r="F51143" s="2423"/>
    </row>
    <row r="51144" spans="6:6">
      <c r="F51144" s="2423"/>
    </row>
    <row r="51145" spans="6:6">
      <c r="F51145" s="2423"/>
    </row>
    <row r="51146" spans="6:6">
      <c r="F51146" s="2423"/>
    </row>
    <row r="51147" spans="6:6">
      <c r="F51147" s="2423"/>
    </row>
    <row r="51148" spans="6:6">
      <c r="F51148" s="2423"/>
    </row>
    <row r="51149" spans="6:6">
      <c r="F51149" s="2423"/>
    </row>
    <row r="51150" spans="6:6">
      <c r="F51150" s="2423"/>
    </row>
    <row r="51151" spans="6:6">
      <c r="F51151" s="2423"/>
    </row>
    <row r="51152" spans="6:6">
      <c r="F51152" s="2423"/>
    </row>
    <row r="51153" spans="6:6">
      <c r="F51153" s="2423"/>
    </row>
    <row r="51154" spans="6:6">
      <c r="F51154" s="2423"/>
    </row>
    <row r="51155" spans="6:6">
      <c r="F51155" s="2423"/>
    </row>
    <row r="51156" spans="6:6">
      <c r="F51156" s="2423"/>
    </row>
    <row r="51157" spans="6:6">
      <c r="F51157" s="2423"/>
    </row>
    <row r="51158" spans="6:6">
      <c r="F51158" s="2423"/>
    </row>
    <row r="51159" spans="6:6">
      <c r="F51159" s="2423"/>
    </row>
    <row r="51160" spans="6:6">
      <c r="F51160" s="2423"/>
    </row>
    <row r="51161" spans="6:6">
      <c r="F51161" s="2423"/>
    </row>
    <row r="51162" spans="6:6">
      <c r="F51162" s="2423"/>
    </row>
    <row r="51163" spans="6:6">
      <c r="F51163" s="2423"/>
    </row>
    <row r="51164" spans="6:6">
      <c r="F51164" s="2423"/>
    </row>
    <row r="51165" spans="6:6">
      <c r="F51165" s="2423"/>
    </row>
    <row r="51166" spans="6:6">
      <c r="F51166" s="2423"/>
    </row>
    <row r="51167" spans="6:6">
      <c r="F51167" s="2423"/>
    </row>
    <row r="51168" spans="6:6">
      <c r="F51168" s="2423"/>
    </row>
    <row r="51169" spans="6:6">
      <c r="F51169" s="2423"/>
    </row>
    <row r="51170" spans="6:6">
      <c r="F51170" s="2423"/>
    </row>
    <row r="51171" spans="6:6">
      <c r="F51171" s="2423"/>
    </row>
    <row r="51172" spans="6:6">
      <c r="F51172" s="2423"/>
    </row>
    <row r="51173" spans="6:6">
      <c r="F51173" s="2423"/>
    </row>
    <row r="51174" spans="6:6">
      <c r="F51174" s="2423"/>
    </row>
    <row r="51175" spans="6:6">
      <c r="F51175" s="2423"/>
    </row>
    <row r="51176" spans="6:6">
      <c r="F51176" s="2423"/>
    </row>
    <row r="51177" spans="6:6">
      <c r="F51177" s="2423"/>
    </row>
    <row r="51178" spans="6:6">
      <c r="F51178" s="2423"/>
    </row>
    <row r="51179" spans="6:6">
      <c r="F51179" s="2423"/>
    </row>
    <row r="51180" spans="6:6">
      <c r="F51180" s="2423"/>
    </row>
    <row r="51181" spans="6:6">
      <c r="F51181" s="2423"/>
    </row>
    <row r="51182" spans="6:6">
      <c r="F51182" s="2423"/>
    </row>
    <row r="51183" spans="6:6">
      <c r="F51183" s="2423"/>
    </row>
    <row r="51184" spans="6:6">
      <c r="F51184" s="2423"/>
    </row>
    <row r="51185" spans="6:6">
      <c r="F51185" s="2423"/>
    </row>
    <row r="51186" spans="6:6">
      <c r="F51186" s="2423"/>
    </row>
    <row r="51187" spans="6:6">
      <c r="F51187" s="2423"/>
    </row>
    <row r="51188" spans="6:6">
      <c r="F51188" s="2423"/>
    </row>
    <row r="51189" spans="6:6">
      <c r="F51189" s="2423"/>
    </row>
    <row r="51190" spans="6:6">
      <c r="F51190" s="2423"/>
    </row>
    <row r="51191" spans="6:6">
      <c r="F51191" s="2423"/>
    </row>
    <row r="51192" spans="6:6">
      <c r="F51192" s="2423"/>
    </row>
    <row r="51193" spans="6:6">
      <c r="F51193" s="2423"/>
    </row>
    <row r="51194" spans="6:6">
      <c r="F51194" s="2423"/>
    </row>
    <row r="51195" spans="6:6">
      <c r="F51195" s="2423"/>
    </row>
    <row r="51196" spans="6:6">
      <c r="F51196" s="2423"/>
    </row>
    <row r="51197" spans="6:6">
      <c r="F51197" s="2423"/>
    </row>
    <row r="51198" spans="6:6">
      <c r="F51198" s="2423"/>
    </row>
    <row r="51199" spans="6:6">
      <c r="F51199" s="2423"/>
    </row>
    <row r="51200" spans="6:6">
      <c r="F51200" s="2423"/>
    </row>
    <row r="51201" spans="6:6">
      <c r="F51201" s="2423"/>
    </row>
    <row r="51202" spans="6:6">
      <c r="F51202" s="2423"/>
    </row>
    <row r="51203" spans="6:6">
      <c r="F51203" s="2423"/>
    </row>
    <row r="51204" spans="6:6">
      <c r="F51204" s="2423"/>
    </row>
    <row r="51205" spans="6:6">
      <c r="F51205" s="2423"/>
    </row>
    <row r="51206" spans="6:6">
      <c r="F51206" s="2423"/>
    </row>
    <row r="51207" spans="6:6">
      <c r="F51207" s="2423"/>
    </row>
    <row r="51208" spans="6:6">
      <c r="F51208" s="2423"/>
    </row>
    <row r="51209" spans="6:6">
      <c r="F51209" s="2423"/>
    </row>
    <row r="51210" spans="6:6">
      <c r="F51210" s="2423"/>
    </row>
    <row r="51211" spans="6:6">
      <c r="F51211" s="2423"/>
    </row>
    <row r="51212" spans="6:6">
      <c r="F51212" s="2423"/>
    </row>
    <row r="51213" spans="6:6">
      <c r="F51213" s="2423"/>
    </row>
    <row r="51214" spans="6:6">
      <c r="F51214" s="2423"/>
    </row>
    <row r="51215" spans="6:6">
      <c r="F51215" s="2423"/>
    </row>
    <row r="51216" spans="6:6">
      <c r="F51216" s="2423"/>
    </row>
    <row r="51217" spans="6:6">
      <c r="F51217" s="2423"/>
    </row>
    <row r="51218" spans="6:6">
      <c r="F51218" s="2423"/>
    </row>
    <row r="51219" spans="6:6">
      <c r="F51219" s="2423"/>
    </row>
    <row r="51220" spans="6:6">
      <c r="F51220" s="2423"/>
    </row>
    <row r="51221" spans="6:6">
      <c r="F51221" s="2423"/>
    </row>
    <row r="51222" spans="6:6">
      <c r="F51222" s="2423"/>
    </row>
    <row r="51223" spans="6:6">
      <c r="F51223" s="2423"/>
    </row>
    <row r="51224" spans="6:6">
      <c r="F51224" s="2423"/>
    </row>
    <row r="51225" spans="6:6">
      <c r="F51225" s="2423"/>
    </row>
    <row r="51226" spans="6:6">
      <c r="F51226" s="2423"/>
    </row>
    <row r="51227" spans="6:6">
      <c r="F51227" s="2423"/>
    </row>
    <row r="51228" spans="6:6">
      <c r="F51228" s="2423"/>
    </row>
    <row r="51229" spans="6:6">
      <c r="F51229" s="2423"/>
    </row>
    <row r="51230" spans="6:6">
      <c r="F51230" s="2423"/>
    </row>
    <row r="51231" spans="6:6">
      <c r="F51231" s="2423"/>
    </row>
    <row r="51232" spans="6:6">
      <c r="F51232" s="2423"/>
    </row>
    <row r="51233" spans="6:6">
      <c r="F51233" s="2423"/>
    </row>
    <row r="51234" spans="6:6">
      <c r="F51234" s="2423"/>
    </row>
    <row r="51235" spans="6:6">
      <c r="F51235" s="2423"/>
    </row>
    <row r="51236" spans="6:6">
      <c r="F51236" s="2423"/>
    </row>
    <row r="51237" spans="6:6">
      <c r="F51237" s="2423"/>
    </row>
    <row r="51238" spans="6:6">
      <c r="F51238" s="2423"/>
    </row>
    <row r="51239" spans="6:6">
      <c r="F51239" s="2423"/>
    </row>
    <row r="51240" spans="6:6">
      <c r="F51240" s="2423"/>
    </row>
    <row r="51241" spans="6:6">
      <c r="F51241" s="2423"/>
    </row>
    <row r="51242" spans="6:6">
      <c r="F51242" s="2423"/>
    </row>
    <row r="51243" spans="6:6">
      <c r="F51243" s="2423"/>
    </row>
    <row r="51244" spans="6:6">
      <c r="F51244" s="2423"/>
    </row>
    <row r="51245" spans="6:6">
      <c r="F51245" s="2423"/>
    </row>
    <row r="51246" spans="6:6">
      <c r="F51246" s="2423"/>
    </row>
    <row r="51247" spans="6:6">
      <c r="F51247" s="2423"/>
    </row>
    <row r="51248" spans="6:6">
      <c r="F51248" s="2423"/>
    </row>
    <row r="51249" spans="6:6">
      <c r="F51249" s="2423"/>
    </row>
    <row r="51250" spans="6:6">
      <c r="F51250" s="2423"/>
    </row>
    <row r="51251" spans="6:6">
      <c r="F51251" s="2423"/>
    </row>
    <row r="51252" spans="6:6">
      <c r="F51252" s="2423"/>
    </row>
    <row r="51253" spans="6:6">
      <c r="F51253" s="2423"/>
    </row>
    <row r="51254" spans="6:6">
      <c r="F51254" s="2423"/>
    </row>
    <row r="51255" spans="6:6">
      <c r="F51255" s="2423"/>
    </row>
    <row r="51256" spans="6:6">
      <c r="F51256" s="2423"/>
    </row>
    <row r="51257" spans="6:6">
      <c r="F51257" s="2423"/>
    </row>
    <row r="51258" spans="6:6">
      <c r="F51258" s="2423"/>
    </row>
    <row r="51259" spans="6:6">
      <c r="F51259" s="2423"/>
    </row>
    <row r="51260" spans="6:6">
      <c r="F51260" s="2423"/>
    </row>
    <row r="51261" spans="6:6">
      <c r="F51261" s="2423"/>
    </row>
    <row r="51262" spans="6:6">
      <c r="F51262" s="2423"/>
    </row>
    <row r="51263" spans="6:6">
      <c r="F51263" s="2423"/>
    </row>
    <row r="51264" spans="6:6">
      <c r="F51264" s="2423"/>
    </row>
    <row r="51265" spans="6:6">
      <c r="F51265" s="2423"/>
    </row>
    <row r="51266" spans="6:6">
      <c r="F51266" s="2423"/>
    </row>
    <row r="51267" spans="6:6">
      <c r="F51267" s="2423"/>
    </row>
    <row r="51268" spans="6:6">
      <c r="F51268" s="2423"/>
    </row>
    <row r="51269" spans="6:6">
      <c r="F51269" s="2423"/>
    </row>
    <row r="51270" spans="6:6">
      <c r="F51270" s="2423"/>
    </row>
    <row r="51271" spans="6:6">
      <c r="F51271" s="2423"/>
    </row>
    <row r="51272" spans="6:6">
      <c r="F51272" s="2423"/>
    </row>
    <row r="51273" spans="6:6">
      <c r="F51273" s="2423"/>
    </row>
    <row r="51274" spans="6:6">
      <c r="F51274" s="2423"/>
    </row>
    <row r="51275" spans="6:6">
      <c r="F51275" s="2423"/>
    </row>
    <row r="51276" spans="6:6">
      <c r="F51276" s="2423"/>
    </row>
    <row r="51277" spans="6:6">
      <c r="F51277" s="2423"/>
    </row>
    <row r="51278" spans="6:6">
      <c r="F51278" s="2423"/>
    </row>
    <row r="51279" spans="6:6">
      <c r="F51279" s="2423"/>
    </row>
    <row r="51280" spans="6:6">
      <c r="F51280" s="2423"/>
    </row>
    <row r="51281" spans="6:6">
      <c r="F51281" s="2423"/>
    </row>
    <row r="51282" spans="6:6">
      <c r="F51282" s="2423"/>
    </row>
    <row r="51283" spans="6:6">
      <c r="F51283" s="2423"/>
    </row>
    <row r="51284" spans="6:6">
      <c r="F51284" s="2423"/>
    </row>
    <row r="51285" spans="6:6">
      <c r="F51285" s="2423"/>
    </row>
    <row r="51286" spans="6:6">
      <c r="F51286" s="2423"/>
    </row>
    <row r="51287" spans="6:6">
      <c r="F51287" s="2423"/>
    </row>
    <row r="51288" spans="6:6">
      <c r="F51288" s="2423"/>
    </row>
    <row r="51289" spans="6:6">
      <c r="F51289" s="2423"/>
    </row>
    <row r="51290" spans="6:6">
      <c r="F51290" s="2423"/>
    </row>
    <row r="51291" spans="6:6">
      <c r="F51291" s="2423"/>
    </row>
    <row r="51292" spans="6:6">
      <c r="F51292" s="2423"/>
    </row>
    <row r="51293" spans="6:6">
      <c r="F51293" s="2423"/>
    </row>
    <row r="51294" spans="6:6">
      <c r="F51294" s="2423"/>
    </row>
    <row r="51295" spans="6:6">
      <c r="F51295" s="2423"/>
    </row>
    <row r="51296" spans="6:6">
      <c r="F51296" s="2423"/>
    </row>
    <row r="51297" spans="6:6">
      <c r="F51297" s="2423"/>
    </row>
    <row r="51298" spans="6:6">
      <c r="F51298" s="2423"/>
    </row>
    <row r="51299" spans="6:6">
      <c r="F51299" s="2423"/>
    </row>
    <row r="51300" spans="6:6">
      <c r="F51300" s="2423"/>
    </row>
    <row r="51301" spans="6:6">
      <c r="F51301" s="2423"/>
    </row>
    <row r="51302" spans="6:6">
      <c r="F51302" s="2423"/>
    </row>
    <row r="51303" spans="6:6">
      <c r="F51303" s="2423"/>
    </row>
    <row r="51304" spans="6:6">
      <c r="F51304" s="2423"/>
    </row>
    <row r="51305" spans="6:6">
      <c r="F51305" s="2423"/>
    </row>
    <row r="51306" spans="6:6">
      <c r="F51306" s="2423"/>
    </row>
    <row r="51307" spans="6:6">
      <c r="F51307" s="2423"/>
    </row>
    <row r="51308" spans="6:6">
      <c r="F51308" s="2423"/>
    </row>
    <row r="51309" spans="6:6">
      <c r="F51309" s="2423"/>
    </row>
    <row r="51310" spans="6:6">
      <c r="F51310" s="2423"/>
    </row>
    <row r="51311" spans="6:6">
      <c r="F51311" s="2423"/>
    </row>
    <row r="51312" spans="6:6">
      <c r="F51312" s="2423"/>
    </row>
    <row r="51313" spans="6:6">
      <c r="F51313" s="2423"/>
    </row>
    <row r="51314" spans="6:6">
      <c r="F51314" s="2423"/>
    </row>
    <row r="51315" spans="6:6">
      <c r="F51315" s="2423"/>
    </row>
    <row r="51316" spans="6:6">
      <c r="F51316" s="2423"/>
    </row>
    <row r="51317" spans="6:6">
      <c r="F51317" s="2423"/>
    </row>
    <row r="51318" spans="6:6">
      <c r="F51318" s="2423"/>
    </row>
    <row r="51319" spans="6:6">
      <c r="F51319" s="2423"/>
    </row>
    <row r="51320" spans="6:6">
      <c r="F51320" s="2423"/>
    </row>
    <row r="51321" spans="6:6">
      <c r="F51321" s="2423"/>
    </row>
    <row r="51322" spans="6:6">
      <c r="F51322" s="2423"/>
    </row>
    <row r="51323" spans="6:6">
      <c r="F51323" s="2423"/>
    </row>
    <row r="51324" spans="6:6">
      <c r="F51324" s="2423"/>
    </row>
    <row r="51325" spans="6:6">
      <c r="F51325" s="2423"/>
    </row>
    <row r="51326" spans="6:6">
      <c r="F51326" s="2423"/>
    </row>
    <row r="51327" spans="6:6">
      <c r="F51327" s="2423"/>
    </row>
    <row r="51328" spans="6:6">
      <c r="F51328" s="2423"/>
    </row>
    <row r="51329" spans="6:6">
      <c r="F51329" s="2423"/>
    </row>
    <row r="51330" spans="6:6">
      <c r="F51330" s="2423"/>
    </row>
    <row r="51331" spans="6:6">
      <c r="F51331" s="2423"/>
    </row>
    <row r="51332" spans="6:6">
      <c r="F51332" s="2423"/>
    </row>
    <row r="51333" spans="6:6">
      <c r="F51333" s="2423"/>
    </row>
    <row r="51334" spans="6:6">
      <c r="F51334" s="2423"/>
    </row>
    <row r="51335" spans="6:6">
      <c r="F51335" s="2423"/>
    </row>
    <row r="51336" spans="6:6">
      <c r="F51336" s="2423"/>
    </row>
    <row r="51337" spans="6:6">
      <c r="F51337" s="2423"/>
    </row>
    <row r="51338" spans="6:6">
      <c r="F51338" s="2423"/>
    </row>
    <row r="51339" spans="6:6">
      <c r="F51339" s="2423"/>
    </row>
    <row r="51340" spans="6:6">
      <c r="F51340" s="2423"/>
    </row>
    <row r="51341" spans="6:6">
      <c r="F51341" s="2423"/>
    </row>
    <row r="51342" spans="6:6">
      <c r="F51342" s="2423"/>
    </row>
    <row r="51343" spans="6:6">
      <c r="F51343" s="2423"/>
    </row>
    <row r="51344" spans="6:6">
      <c r="F51344" s="2423"/>
    </row>
    <row r="51345" spans="6:6">
      <c r="F51345" s="2423"/>
    </row>
    <row r="51346" spans="6:6">
      <c r="F51346" s="2423"/>
    </row>
    <row r="51347" spans="6:6">
      <c r="F51347" s="2423"/>
    </row>
    <row r="51348" spans="6:6">
      <c r="F51348" s="2423"/>
    </row>
    <row r="51349" spans="6:6">
      <c r="F51349" s="2423"/>
    </row>
    <row r="51350" spans="6:6">
      <c r="F51350" s="2423"/>
    </row>
    <row r="51351" spans="6:6">
      <c r="F51351" s="2423"/>
    </row>
    <row r="51352" spans="6:6">
      <c r="F51352" s="2423"/>
    </row>
    <row r="51353" spans="6:6">
      <c r="F51353" s="2423"/>
    </row>
    <row r="51354" spans="6:6">
      <c r="F51354" s="2423"/>
    </row>
    <row r="51355" spans="6:6">
      <c r="F51355" s="2423"/>
    </row>
    <row r="51356" spans="6:6">
      <c r="F51356" s="2423"/>
    </row>
    <row r="51357" spans="6:6">
      <c r="F51357" s="2423"/>
    </row>
    <row r="51358" spans="6:6">
      <c r="F51358" s="2423"/>
    </row>
    <row r="51359" spans="6:6">
      <c r="F51359" s="2423"/>
    </row>
    <row r="51360" spans="6:6">
      <c r="F51360" s="2423"/>
    </row>
    <row r="51361" spans="6:6">
      <c r="F51361" s="2423"/>
    </row>
    <row r="51362" spans="6:6">
      <c r="F51362" s="2423"/>
    </row>
    <row r="51363" spans="6:6">
      <c r="F51363" s="2423"/>
    </row>
    <row r="51364" spans="6:6">
      <c r="F51364" s="2423"/>
    </row>
    <row r="51365" spans="6:6">
      <c r="F51365" s="2423"/>
    </row>
    <row r="51366" spans="6:6">
      <c r="F51366" s="2423"/>
    </row>
    <row r="51367" spans="6:6">
      <c r="F51367" s="2423"/>
    </row>
    <row r="51368" spans="6:6">
      <c r="F51368" s="2423"/>
    </row>
    <row r="51369" spans="6:6">
      <c r="F51369" s="2423"/>
    </row>
    <row r="51370" spans="6:6">
      <c r="F51370" s="2423"/>
    </row>
    <row r="51371" spans="6:6">
      <c r="F51371" s="2423"/>
    </row>
    <row r="51372" spans="6:6">
      <c r="F51372" s="2423"/>
    </row>
    <row r="51373" spans="6:6">
      <c r="F51373" s="2423"/>
    </row>
    <row r="51374" spans="6:6">
      <c r="F51374" s="2423"/>
    </row>
    <row r="51375" spans="6:6">
      <c r="F51375" s="2423"/>
    </row>
    <row r="51376" spans="6:6">
      <c r="F51376" s="2423"/>
    </row>
    <row r="51377" spans="6:6">
      <c r="F51377" s="2423"/>
    </row>
    <row r="51378" spans="6:6">
      <c r="F51378" s="2423"/>
    </row>
    <row r="51379" spans="6:6">
      <c r="F51379" s="2423"/>
    </row>
    <row r="51380" spans="6:6">
      <c r="F51380" s="2423"/>
    </row>
    <row r="51381" spans="6:6">
      <c r="F51381" s="2423"/>
    </row>
    <row r="51382" spans="6:6">
      <c r="F51382" s="2423"/>
    </row>
    <row r="51383" spans="6:6">
      <c r="F51383" s="2423"/>
    </row>
    <row r="51384" spans="6:6">
      <c r="F51384" s="2423"/>
    </row>
    <row r="51385" spans="6:6">
      <c r="F51385" s="2423"/>
    </row>
    <row r="51386" spans="6:6">
      <c r="F51386" s="2423"/>
    </row>
    <row r="51387" spans="6:6">
      <c r="F51387" s="2423"/>
    </row>
    <row r="51388" spans="6:6">
      <c r="F51388" s="2423"/>
    </row>
    <row r="51389" spans="6:6">
      <c r="F51389" s="2423"/>
    </row>
    <row r="51390" spans="6:6">
      <c r="F51390" s="2423"/>
    </row>
    <row r="51391" spans="6:6">
      <c r="F51391" s="2423"/>
    </row>
    <row r="51392" spans="6:6">
      <c r="F51392" s="2423"/>
    </row>
    <row r="51393" spans="6:6">
      <c r="F51393" s="2423"/>
    </row>
    <row r="51394" spans="6:6">
      <c r="F51394" s="2423"/>
    </row>
    <row r="51395" spans="6:6">
      <c r="F51395" s="2423"/>
    </row>
    <row r="51396" spans="6:6">
      <c r="F51396" s="2423"/>
    </row>
    <row r="51397" spans="6:6">
      <c r="F51397" s="2423"/>
    </row>
    <row r="51398" spans="6:6">
      <c r="F51398" s="2423"/>
    </row>
    <row r="51399" spans="6:6">
      <c r="F51399" s="2423"/>
    </row>
    <row r="51400" spans="6:6">
      <c r="F51400" s="2423"/>
    </row>
    <row r="51401" spans="6:6">
      <c r="F51401" s="2423"/>
    </row>
    <row r="51402" spans="6:6">
      <c r="F51402" s="2423"/>
    </row>
    <row r="51403" spans="6:6">
      <c r="F51403" s="2423"/>
    </row>
    <row r="51404" spans="6:6">
      <c r="F51404" s="2423"/>
    </row>
    <row r="51405" spans="6:6">
      <c r="F51405" s="2423"/>
    </row>
    <row r="51406" spans="6:6">
      <c r="F51406" s="2423"/>
    </row>
    <row r="51407" spans="6:6">
      <c r="F51407" s="2423"/>
    </row>
    <row r="51408" spans="6:6">
      <c r="F51408" s="2423"/>
    </row>
    <row r="51409" spans="6:6">
      <c r="F51409" s="2423"/>
    </row>
    <row r="51410" spans="6:6">
      <c r="F51410" s="2423"/>
    </row>
    <row r="51411" spans="6:6">
      <c r="F51411" s="2423"/>
    </row>
    <row r="51412" spans="6:6">
      <c r="F51412" s="2423"/>
    </row>
    <row r="51413" spans="6:6">
      <c r="F51413" s="2423"/>
    </row>
    <row r="51414" spans="6:6">
      <c r="F51414" s="2423"/>
    </row>
    <row r="51415" spans="6:6">
      <c r="F51415" s="2423"/>
    </row>
    <row r="51416" spans="6:6">
      <c r="F51416" s="2423"/>
    </row>
    <row r="51417" spans="6:6">
      <c r="F51417" s="2423"/>
    </row>
    <row r="51418" spans="6:6">
      <c r="F51418" s="2423"/>
    </row>
    <row r="51419" spans="6:6">
      <c r="F51419" s="2423"/>
    </row>
    <row r="51420" spans="6:6">
      <c r="F51420" s="2423"/>
    </row>
    <row r="51421" spans="6:6">
      <c r="F51421" s="2423"/>
    </row>
    <row r="51422" spans="6:6">
      <c r="F51422" s="2423"/>
    </row>
    <row r="51423" spans="6:6">
      <c r="F51423" s="2423"/>
    </row>
    <row r="51424" spans="6:6">
      <c r="F51424" s="2423"/>
    </row>
    <row r="51425" spans="6:6">
      <c r="F51425" s="2423"/>
    </row>
    <row r="51426" spans="6:6">
      <c r="F51426" s="2423"/>
    </row>
    <row r="51427" spans="6:6">
      <c r="F51427" s="2423"/>
    </row>
    <row r="51428" spans="6:6">
      <c r="F51428" s="2423"/>
    </row>
    <row r="51429" spans="6:6">
      <c r="F51429" s="2423"/>
    </row>
    <row r="51430" spans="6:6">
      <c r="F51430" s="2423"/>
    </row>
    <row r="51431" spans="6:6">
      <c r="F51431" s="2423"/>
    </row>
    <row r="51432" spans="6:6">
      <c r="F51432" s="2423"/>
    </row>
    <row r="51433" spans="6:6">
      <c r="F51433" s="2423"/>
    </row>
    <row r="51434" spans="6:6">
      <c r="F51434" s="2423"/>
    </row>
    <row r="51435" spans="6:6">
      <c r="F51435" s="2423"/>
    </row>
    <row r="51436" spans="6:6">
      <c r="F51436" s="2423"/>
    </row>
    <row r="51437" spans="6:6">
      <c r="F51437" s="2423"/>
    </row>
    <row r="51438" spans="6:6">
      <c r="F51438" s="2423"/>
    </row>
    <row r="51439" spans="6:6">
      <c r="F51439" s="2423"/>
    </row>
    <row r="51440" spans="6:6">
      <c r="F51440" s="2423"/>
    </row>
    <row r="51441" spans="6:6">
      <c r="F51441" s="2423"/>
    </row>
    <row r="51442" spans="6:6">
      <c r="F51442" s="2423"/>
    </row>
    <row r="51443" spans="6:6">
      <c r="F51443" s="2423"/>
    </row>
    <row r="51444" spans="6:6">
      <c r="F51444" s="2423"/>
    </row>
    <row r="51445" spans="6:6">
      <c r="F51445" s="2423"/>
    </row>
    <row r="51446" spans="6:6">
      <c r="F51446" s="2423"/>
    </row>
    <row r="51447" spans="6:6">
      <c r="F51447" s="2423"/>
    </row>
    <row r="51448" spans="6:6">
      <c r="F51448" s="2423"/>
    </row>
    <row r="51449" spans="6:6">
      <c r="F51449" s="2423"/>
    </row>
    <row r="51450" spans="6:6">
      <c r="F51450" s="2423"/>
    </row>
    <row r="51451" spans="6:6">
      <c r="F51451" s="2423"/>
    </row>
    <row r="51452" spans="6:6">
      <c r="F51452" s="2423"/>
    </row>
    <row r="51453" spans="6:6">
      <c r="F51453" s="2423"/>
    </row>
    <row r="51454" spans="6:6">
      <c r="F51454" s="2423"/>
    </row>
    <row r="51455" spans="6:6">
      <c r="F51455" s="2423"/>
    </row>
    <row r="51456" spans="6:6">
      <c r="F51456" s="2423"/>
    </row>
    <row r="51457" spans="6:6">
      <c r="F51457" s="2423"/>
    </row>
    <row r="51458" spans="6:6">
      <c r="F51458" s="2423"/>
    </row>
    <row r="51459" spans="6:6">
      <c r="F51459" s="2423"/>
    </row>
    <row r="51460" spans="6:6">
      <c r="F51460" s="2423"/>
    </row>
    <row r="51461" spans="6:6">
      <c r="F51461" s="2423"/>
    </row>
    <row r="51462" spans="6:6">
      <c r="F51462" s="2423"/>
    </row>
    <row r="51463" spans="6:6">
      <c r="F51463" s="2423"/>
    </row>
    <row r="51464" spans="6:6">
      <c r="F51464" s="2423"/>
    </row>
    <row r="51465" spans="6:6">
      <c r="F51465" s="2423"/>
    </row>
    <row r="51466" spans="6:6">
      <c r="F51466" s="2423"/>
    </row>
    <row r="51467" spans="6:6">
      <c r="F51467" s="2423"/>
    </row>
    <row r="51468" spans="6:6">
      <c r="F51468" s="2423"/>
    </row>
    <row r="51469" spans="6:6">
      <c r="F51469" s="2423"/>
    </row>
    <row r="51470" spans="6:6">
      <c r="F51470" s="2423"/>
    </row>
    <row r="51471" spans="6:6">
      <c r="F51471" s="2423"/>
    </row>
    <row r="51472" spans="6:6">
      <c r="F51472" s="2423"/>
    </row>
    <row r="51473" spans="6:6">
      <c r="F51473" s="2423"/>
    </row>
    <row r="51474" spans="6:6">
      <c r="F51474" s="2423"/>
    </row>
    <row r="51475" spans="6:6">
      <c r="F51475" s="2423"/>
    </row>
    <row r="51476" spans="6:6">
      <c r="F51476" s="2423"/>
    </row>
    <row r="51477" spans="6:6">
      <c r="F51477" s="2423"/>
    </row>
    <row r="51478" spans="6:6">
      <c r="F51478" s="2423"/>
    </row>
    <row r="51479" spans="6:6">
      <c r="F51479" s="2423"/>
    </row>
    <row r="51480" spans="6:6">
      <c r="F51480" s="2423"/>
    </row>
    <row r="51481" spans="6:6">
      <c r="F51481" s="2423"/>
    </row>
    <row r="51482" spans="6:6">
      <c r="F51482" s="2423"/>
    </row>
    <row r="51483" spans="6:6">
      <c r="F51483" s="2423"/>
    </row>
    <row r="51484" spans="6:6">
      <c r="F51484" s="2423"/>
    </row>
    <row r="51485" spans="6:6">
      <c r="F51485" s="2423"/>
    </row>
    <row r="51486" spans="6:6">
      <c r="F51486" s="2423"/>
    </row>
    <row r="51487" spans="6:6">
      <c r="F51487" s="2423"/>
    </row>
    <row r="51488" spans="6:6">
      <c r="F51488" s="2423"/>
    </row>
    <row r="51489" spans="6:6">
      <c r="F51489" s="2423"/>
    </row>
    <row r="51490" spans="6:6">
      <c r="F51490" s="2423"/>
    </row>
    <row r="51491" spans="6:6">
      <c r="F51491" s="2423"/>
    </row>
    <row r="51492" spans="6:6">
      <c r="F51492" s="2423"/>
    </row>
    <row r="51493" spans="6:6">
      <c r="F51493" s="2423"/>
    </row>
    <row r="51494" spans="6:6">
      <c r="F51494" s="2423"/>
    </row>
    <row r="51495" spans="6:6">
      <c r="F51495" s="2423"/>
    </row>
    <row r="51496" spans="6:6">
      <c r="F51496" s="2423"/>
    </row>
    <row r="51497" spans="6:6">
      <c r="F51497" s="2423"/>
    </row>
    <row r="51498" spans="6:6">
      <c r="F51498" s="2423"/>
    </row>
    <row r="51499" spans="6:6">
      <c r="F51499" s="2423"/>
    </row>
    <row r="51500" spans="6:6">
      <c r="F51500" s="2423"/>
    </row>
    <row r="51501" spans="6:6">
      <c r="F51501" s="2423"/>
    </row>
    <row r="51502" spans="6:6">
      <c r="F51502" s="2423"/>
    </row>
    <row r="51503" spans="6:6">
      <c r="F51503" s="2423"/>
    </row>
    <row r="51504" spans="6:6">
      <c r="F51504" s="2423"/>
    </row>
    <row r="51505" spans="6:6">
      <c r="F51505" s="2423"/>
    </row>
    <row r="51506" spans="6:6">
      <c r="F51506" s="2423"/>
    </row>
    <row r="51507" spans="6:6">
      <c r="F51507" s="2423"/>
    </row>
    <row r="51508" spans="6:6">
      <c r="F51508" s="2423"/>
    </row>
    <row r="51509" spans="6:6">
      <c r="F51509" s="2423"/>
    </row>
    <row r="51510" spans="6:6">
      <c r="F51510" s="2423"/>
    </row>
    <row r="51511" spans="6:6">
      <c r="F51511" s="2423"/>
    </row>
    <row r="51512" spans="6:6">
      <c r="F51512" s="2423"/>
    </row>
    <row r="51513" spans="6:6">
      <c r="F51513" s="2423"/>
    </row>
    <row r="51514" spans="6:6">
      <c r="F51514" s="2423"/>
    </row>
    <row r="51515" spans="6:6">
      <c r="F51515" s="2423"/>
    </row>
    <row r="51516" spans="6:6">
      <c r="F51516" s="2423"/>
    </row>
    <row r="51517" spans="6:6">
      <c r="F51517" s="2423"/>
    </row>
    <row r="51518" spans="6:6">
      <c r="F51518" s="2423"/>
    </row>
    <row r="51519" spans="6:6">
      <c r="F51519" s="2423"/>
    </row>
    <row r="51520" spans="6:6">
      <c r="F51520" s="2423"/>
    </row>
    <row r="51521" spans="6:6">
      <c r="F51521" s="2423"/>
    </row>
    <row r="51522" spans="6:6">
      <c r="F51522" s="2423"/>
    </row>
    <row r="51523" spans="6:6">
      <c r="F51523" s="2423"/>
    </row>
    <row r="51524" spans="6:6">
      <c r="F51524" s="2423"/>
    </row>
    <row r="51525" spans="6:6">
      <c r="F51525" s="2423"/>
    </row>
    <row r="51526" spans="6:6">
      <c r="F51526" s="2423"/>
    </row>
    <row r="51527" spans="6:6">
      <c r="F51527" s="2423"/>
    </row>
    <row r="51528" spans="6:6">
      <c r="F51528" s="2423"/>
    </row>
    <row r="51529" spans="6:6">
      <c r="F51529" s="2423"/>
    </row>
    <row r="51530" spans="6:6">
      <c r="F51530" s="2423"/>
    </row>
    <row r="51531" spans="6:6">
      <c r="F51531" s="2423"/>
    </row>
    <row r="51532" spans="6:6">
      <c r="F51532" s="2423"/>
    </row>
    <row r="51533" spans="6:6">
      <c r="F51533" s="2423"/>
    </row>
    <row r="51534" spans="6:6">
      <c r="F51534" s="2423"/>
    </row>
    <row r="51535" spans="6:6">
      <c r="F51535" s="2423"/>
    </row>
    <row r="51536" spans="6:6">
      <c r="F51536" s="2423"/>
    </row>
    <row r="51537" spans="6:6">
      <c r="F51537" s="2423"/>
    </row>
    <row r="51538" spans="6:6">
      <c r="F51538" s="2423"/>
    </row>
    <row r="51539" spans="6:6">
      <c r="F51539" s="2423"/>
    </row>
    <row r="51540" spans="6:6">
      <c r="F51540" s="2423"/>
    </row>
    <row r="51541" spans="6:6">
      <c r="F51541" s="2423"/>
    </row>
    <row r="51542" spans="6:6">
      <c r="F51542" s="2423"/>
    </row>
    <row r="51543" spans="6:6">
      <c r="F51543" s="2423"/>
    </row>
    <row r="51544" spans="6:6">
      <c r="F51544" s="2423"/>
    </row>
    <row r="51545" spans="6:6">
      <c r="F51545" s="2423"/>
    </row>
    <row r="51546" spans="6:6">
      <c r="F51546" s="2423"/>
    </row>
    <row r="51547" spans="6:6">
      <c r="F51547" s="2423"/>
    </row>
    <row r="51548" spans="6:6">
      <c r="F51548" s="2423"/>
    </row>
    <row r="51549" spans="6:6">
      <c r="F51549" s="2423"/>
    </row>
    <row r="51550" spans="6:6">
      <c r="F51550" s="2423"/>
    </row>
    <row r="51551" spans="6:6">
      <c r="F51551" s="2423"/>
    </row>
    <row r="51552" spans="6:6">
      <c r="F51552" s="2423"/>
    </row>
    <row r="51553" spans="6:6">
      <c r="F51553" s="2423"/>
    </row>
    <row r="51554" spans="6:6">
      <c r="F51554" s="2423"/>
    </row>
    <row r="51555" spans="6:6">
      <c r="F51555" s="2423"/>
    </row>
    <row r="51556" spans="6:6">
      <c r="F51556" s="2423"/>
    </row>
    <row r="51557" spans="6:6">
      <c r="F51557" s="2423"/>
    </row>
    <row r="51558" spans="6:6">
      <c r="F51558" s="2423"/>
    </row>
    <row r="51559" spans="6:6">
      <c r="F51559" s="2423"/>
    </row>
    <row r="51560" spans="6:6">
      <c r="F51560" s="2423"/>
    </row>
    <row r="51561" spans="6:6">
      <c r="F51561" s="2423"/>
    </row>
    <row r="51562" spans="6:6">
      <c r="F51562" s="2423"/>
    </row>
    <row r="51563" spans="6:6">
      <c r="F51563" s="2423"/>
    </row>
    <row r="51564" spans="6:6">
      <c r="F51564" s="2423"/>
    </row>
    <row r="51565" spans="6:6">
      <c r="F51565" s="2423"/>
    </row>
    <row r="51566" spans="6:6">
      <c r="F51566" s="2423"/>
    </row>
    <row r="51567" spans="6:6">
      <c r="F51567" s="2423"/>
    </row>
    <row r="51568" spans="6:6">
      <c r="F51568" s="2423"/>
    </row>
    <row r="51569" spans="6:6">
      <c r="F51569" s="2423"/>
    </row>
    <row r="51570" spans="6:6">
      <c r="F51570" s="2423"/>
    </row>
    <row r="51571" spans="6:6">
      <c r="F51571" s="2423"/>
    </row>
    <row r="51572" spans="6:6">
      <c r="F51572" s="2423"/>
    </row>
    <row r="51573" spans="6:6">
      <c r="F51573" s="2423"/>
    </row>
    <row r="51574" spans="6:6">
      <c r="F51574" s="2423"/>
    </row>
    <row r="51575" spans="6:6">
      <c r="F51575" s="2423"/>
    </row>
    <row r="51576" spans="6:6">
      <c r="F51576" s="2423"/>
    </row>
    <row r="51577" spans="6:6">
      <c r="F51577" s="2423"/>
    </row>
    <row r="51578" spans="6:6">
      <c r="F51578" s="2423"/>
    </row>
    <row r="51579" spans="6:6">
      <c r="F51579" s="2423"/>
    </row>
    <row r="51580" spans="6:6">
      <c r="F51580" s="2423"/>
    </row>
    <row r="51581" spans="6:6">
      <c r="F51581" s="2423"/>
    </row>
    <row r="51582" spans="6:6">
      <c r="F51582" s="2423"/>
    </row>
    <row r="51583" spans="6:6">
      <c r="F51583" s="2423"/>
    </row>
    <row r="51584" spans="6:6">
      <c r="F51584" s="2423"/>
    </row>
    <row r="51585" spans="6:6">
      <c r="F51585" s="2423"/>
    </row>
    <row r="51586" spans="6:6">
      <c r="F51586" s="2423"/>
    </row>
    <row r="51587" spans="6:6">
      <c r="F51587" s="2423"/>
    </row>
    <row r="51588" spans="6:6">
      <c r="F51588" s="2423"/>
    </row>
    <row r="51589" spans="6:6">
      <c r="F51589" s="2423"/>
    </row>
    <row r="51590" spans="6:6">
      <c r="F51590" s="2423"/>
    </row>
    <row r="51591" spans="6:6">
      <c r="F51591" s="2423"/>
    </row>
    <row r="51592" spans="6:6">
      <c r="F51592" s="2423"/>
    </row>
    <row r="51593" spans="6:6">
      <c r="F51593" s="2423"/>
    </row>
    <row r="51594" spans="6:6">
      <c r="F51594" s="2423"/>
    </row>
    <row r="51595" spans="6:6">
      <c r="F51595" s="2423"/>
    </row>
    <row r="51596" spans="6:6">
      <c r="F51596" s="2423"/>
    </row>
    <row r="51597" spans="6:6">
      <c r="F51597" s="2423"/>
    </row>
    <row r="51598" spans="6:6">
      <c r="F51598" s="2423"/>
    </row>
    <row r="51599" spans="6:6">
      <c r="F51599" s="2423"/>
    </row>
    <row r="51600" spans="6:6">
      <c r="F51600" s="2423"/>
    </row>
    <row r="51601" spans="6:6">
      <c r="F51601" s="2423"/>
    </row>
    <row r="51602" spans="6:6">
      <c r="F51602" s="2423"/>
    </row>
    <row r="51603" spans="6:6">
      <c r="F51603" s="2423"/>
    </row>
    <row r="51604" spans="6:6">
      <c r="F51604" s="2423"/>
    </row>
    <row r="51605" spans="6:6">
      <c r="F51605" s="2423"/>
    </row>
    <row r="51606" spans="6:6">
      <c r="F51606" s="2423"/>
    </row>
    <row r="51607" spans="6:6">
      <c r="F51607" s="2423"/>
    </row>
    <row r="51608" spans="6:6">
      <c r="F51608" s="2423"/>
    </row>
    <row r="51609" spans="6:6">
      <c r="F51609" s="2423"/>
    </row>
    <row r="51610" spans="6:6">
      <c r="F51610" s="2423"/>
    </row>
    <row r="51611" spans="6:6">
      <c r="F51611" s="2423"/>
    </row>
    <row r="51612" spans="6:6">
      <c r="F51612" s="2423"/>
    </row>
    <row r="51613" spans="6:6">
      <c r="F51613" s="2423"/>
    </row>
    <row r="51614" spans="6:6">
      <c r="F51614" s="2423"/>
    </row>
    <row r="51615" spans="6:6">
      <c r="F51615" s="2423"/>
    </row>
    <row r="51616" spans="6:6">
      <c r="F51616" s="2423"/>
    </row>
    <row r="51617" spans="6:6">
      <c r="F51617" s="2423"/>
    </row>
    <row r="51618" spans="6:6">
      <c r="F51618" s="2423"/>
    </row>
    <row r="51619" spans="6:6">
      <c r="F51619" s="2423"/>
    </row>
    <row r="51620" spans="6:6">
      <c r="F51620" s="2423"/>
    </row>
    <row r="51621" spans="6:6">
      <c r="F51621" s="2423"/>
    </row>
    <row r="51622" spans="6:6">
      <c r="F51622" s="2423"/>
    </row>
    <row r="51623" spans="6:6">
      <c r="F51623" s="2423"/>
    </row>
    <row r="51624" spans="6:6">
      <c r="F51624" s="2423"/>
    </row>
    <row r="51625" spans="6:6">
      <c r="F51625" s="2423"/>
    </row>
    <row r="51626" spans="6:6">
      <c r="F51626" s="2423"/>
    </row>
    <row r="51627" spans="6:6">
      <c r="F51627" s="2423"/>
    </row>
    <row r="51628" spans="6:6">
      <c r="F51628" s="2423"/>
    </row>
    <row r="51629" spans="6:6">
      <c r="F51629" s="2423"/>
    </row>
    <row r="51630" spans="6:6">
      <c r="F51630" s="2423"/>
    </row>
    <row r="51631" spans="6:6">
      <c r="F51631" s="2423"/>
    </row>
    <row r="51632" spans="6:6">
      <c r="F51632" s="2423"/>
    </row>
    <row r="51633" spans="6:6">
      <c r="F51633" s="2423"/>
    </row>
    <row r="51634" spans="6:6">
      <c r="F51634" s="2423"/>
    </row>
    <row r="51635" spans="6:6">
      <c r="F51635" s="2423"/>
    </row>
    <row r="51636" spans="6:6">
      <c r="F51636" s="2423"/>
    </row>
    <row r="51637" spans="6:6">
      <c r="F51637" s="2423"/>
    </row>
    <row r="51638" spans="6:6">
      <c r="F51638" s="2423"/>
    </row>
    <row r="51639" spans="6:6">
      <c r="F51639" s="2423"/>
    </row>
    <row r="51640" spans="6:6">
      <c r="F51640" s="2423"/>
    </row>
    <row r="51641" spans="6:6">
      <c r="F51641" s="2423"/>
    </row>
    <row r="51642" spans="6:6">
      <c r="F51642" s="2423"/>
    </row>
    <row r="51643" spans="6:6">
      <c r="F51643" s="2423"/>
    </row>
    <row r="51644" spans="6:6">
      <c r="F51644" s="2423"/>
    </row>
    <row r="51645" spans="6:6">
      <c r="F51645" s="2423"/>
    </row>
    <row r="51646" spans="6:6">
      <c r="F51646" s="2423"/>
    </row>
    <row r="51647" spans="6:6">
      <c r="F51647" s="2423"/>
    </row>
    <row r="51648" spans="6:6">
      <c r="F51648" s="2423"/>
    </row>
    <row r="51649" spans="6:6">
      <c r="F51649" s="2423"/>
    </row>
    <row r="51650" spans="6:6">
      <c r="F51650" s="2423"/>
    </row>
    <row r="51651" spans="6:6">
      <c r="F51651" s="2423"/>
    </row>
    <row r="51652" spans="6:6">
      <c r="F51652" s="2423"/>
    </row>
    <row r="51653" spans="6:6">
      <c r="F51653" s="2423"/>
    </row>
    <row r="51654" spans="6:6">
      <c r="F51654" s="2423"/>
    </row>
    <row r="51655" spans="6:6">
      <c r="F51655" s="2423"/>
    </row>
    <row r="51656" spans="6:6">
      <c r="F51656" s="2423"/>
    </row>
    <row r="51657" spans="6:6">
      <c r="F51657" s="2423"/>
    </row>
    <row r="51658" spans="6:6">
      <c r="F51658" s="2423"/>
    </row>
    <row r="51659" spans="6:6">
      <c r="F51659" s="2423"/>
    </row>
    <row r="51660" spans="6:6">
      <c r="F51660" s="2423"/>
    </row>
    <row r="51661" spans="6:6">
      <c r="F51661" s="2423"/>
    </row>
    <row r="51662" spans="6:6">
      <c r="F51662" s="2423"/>
    </row>
    <row r="51663" spans="6:6">
      <c r="F51663" s="2423"/>
    </row>
    <row r="51664" spans="6:6">
      <c r="F51664" s="2423"/>
    </row>
    <row r="51665" spans="6:6">
      <c r="F51665" s="2423"/>
    </row>
    <row r="51666" spans="6:6">
      <c r="F51666" s="2423"/>
    </row>
    <row r="51667" spans="6:6">
      <c r="F51667" s="2423"/>
    </row>
    <row r="51668" spans="6:6">
      <c r="F51668" s="2423"/>
    </row>
    <row r="51669" spans="6:6">
      <c r="F51669" s="2423"/>
    </row>
    <row r="51670" spans="6:6">
      <c r="F51670" s="2423"/>
    </row>
    <row r="51671" spans="6:6">
      <c r="F51671" s="2423"/>
    </row>
    <row r="51672" spans="6:6">
      <c r="F51672" s="2423"/>
    </row>
    <row r="51673" spans="6:6">
      <c r="F51673" s="2423"/>
    </row>
    <row r="51674" spans="6:6">
      <c r="F51674" s="2423"/>
    </row>
    <row r="51675" spans="6:6">
      <c r="F51675" s="2423"/>
    </row>
    <row r="51676" spans="6:6">
      <c r="F51676" s="2423"/>
    </row>
    <row r="51677" spans="6:6">
      <c r="F51677" s="2423"/>
    </row>
    <row r="51678" spans="6:6">
      <c r="F51678" s="2423"/>
    </row>
    <row r="51679" spans="6:6">
      <c r="F51679" s="2423"/>
    </row>
    <row r="51680" spans="6:6">
      <c r="F51680" s="2423"/>
    </row>
    <row r="51681" spans="6:6">
      <c r="F51681" s="2423"/>
    </row>
    <row r="51682" spans="6:6">
      <c r="F51682" s="2423"/>
    </row>
    <row r="51683" spans="6:6">
      <c r="F51683" s="2423"/>
    </row>
    <row r="51684" spans="6:6">
      <c r="F51684" s="2423"/>
    </row>
    <row r="51685" spans="6:6">
      <c r="F51685" s="2423"/>
    </row>
    <row r="51686" spans="6:6">
      <c r="F51686" s="2423"/>
    </row>
    <row r="51687" spans="6:6">
      <c r="F51687" s="2423"/>
    </row>
    <row r="51688" spans="6:6">
      <c r="F51688" s="2423"/>
    </row>
    <row r="51689" spans="6:6">
      <c r="F51689" s="2423"/>
    </row>
    <row r="51690" spans="6:6">
      <c r="F51690" s="2423"/>
    </row>
    <row r="51691" spans="6:6">
      <c r="F51691" s="2423"/>
    </row>
    <row r="51692" spans="6:6">
      <c r="F51692" s="2423"/>
    </row>
    <row r="51693" spans="6:6">
      <c r="F51693" s="2423"/>
    </row>
    <row r="51694" spans="6:6">
      <c r="F51694" s="2423"/>
    </row>
    <row r="51695" spans="6:6">
      <c r="F51695" s="2423"/>
    </row>
    <row r="51696" spans="6:6">
      <c r="F51696" s="2423"/>
    </row>
    <row r="51697" spans="6:6">
      <c r="F51697" s="2423"/>
    </row>
    <row r="51698" spans="6:6">
      <c r="F51698" s="2423"/>
    </row>
    <row r="51699" spans="6:6">
      <c r="F51699" s="2423"/>
    </row>
    <row r="51700" spans="6:6">
      <c r="F51700" s="2423"/>
    </row>
    <row r="51701" spans="6:6">
      <c r="F51701" s="2423"/>
    </row>
    <row r="51702" spans="6:6">
      <c r="F51702" s="2423"/>
    </row>
    <row r="51703" spans="6:6">
      <c r="F51703" s="2423"/>
    </row>
    <row r="51704" spans="6:6">
      <c r="F51704" s="2423"/>
    </row>
    <row r="51705" spans="6:6">
      <c r="F51705" s="2423"/>
    </row>
    <row r="51706" spans="6:6">
      <c r="F51706" s="2423"/>
    </row>
    <row r="51707" spans="6:6">
      <c r="F51707" s="2423"/>
    </row>
    <row r="51708" spans="6:6">
      <c r="F51708" s="2423"/>
    </row>
    <row r="51709" spans="6:6">
      <c r="F51709" s="2423"/>
    </row>
    <row r="51710" spans="6:6">
      <c r="F51710" s="2423"/>
    </row>
    <row r="51711" spans="6:6">
      <c r="F51711" s="2423"/>
    </row>
    <row r="51712" spans="6:6">
      <c r="F51712" s="2423"/>
    </row>
    <row r="51713" spans="6:6">
      <c r="F51713" s="2423"/>
    </row>
    <row r="51714" spans="6:6">
      <c r="F51714" s="2423"/>
    </row>
    <row r="51715" spans="6:6">
      <c r="F51715" s="2423"/>
    </row>
    <row r="51716" spans="6:6">
      <c r="F51716" s="2423"/>
    </row>
    <row r="51717" spans="6:6">
      <c r="F51717" s="2423"/>
    </row>
    <row r="51718" spans="6:6">
      <c r="F51718" s="2423"/>
    </row>
    <row r="51719" spans="6:6">
      <c r="F51719" s="2423"/>
    </row>
    <row r="51720" spans="6:6">
      <c r="F51720" s="2423"/>
    </row>
    <row r="51721" spans="6:6">
      <c r="F51721" s="2423"/>
    </row>
    <row r="51722" spans="6:6">
      <c r="F51722" s="2423"/>
    </row>
    <row r="51723" spans="6:6">
      <c r="F51723" s="2423"/>
    </row>
    <row r="51724" spans="6:6">
      <c r="F51724" s="2423"/>
    </row>
    <row r="51725" spans="6:6">
      <c r="F51725" s="2423"/>
    </row>
    <row r="51726" spans="6:6">
      <c r="F51726" s="2423"/>
    </row>
    <row r="51727" spans="6:6">
      <c r="F51727" s="2423"/>
    </row>
    <row r="51728" spans="6:6">
      <c r="F51728" s="2423"/>
    </row>
    <row r="51729" spans="6:6">
      <c r="F51729" s="2423"/>
    </row>
    <row r="51730" spans="6:6">
      <c r="F51730" s="2423"/>
    </row>
    <row r="51731" spans="6:6">
      <c r="F51731" s="2423"/>
    </row>
    <row r="51732" spans="6:6">
      <c r="F51732" s="2423"/>
    </row>
    <row r="51733" spans="6:6">
      <c r="F51733" s="2423"/>
    </row>
    <row r="51734" spans="6:6">
      <c r="F51734" s="2423"/>
    </row>
    <row r="51735" spans="6:6">
      <c r="F51735" s="2423"/>
    </row>
    <row r="51736" spans="6:6">
      <c r="F51736" s="2423"/>
    </row>
    <row r="51737" spans="6:6">
      <c r="F51737" s="2423"/>
    </row>
    <row r="51738" spans="6:6">
      <c r="F51738" s="2423"/>
    </row>
    <row r="51739" spans="6:6">
      <c r="F51739" s="2423"/>
    </row>
    <row r="51740" spans="6:6">
      <c r="F51740" s="2423"/>
    </row>
    <row r="51741" spans="6:6">
      <c r="F51741" s="2423"/>
    </row>
    <row r="51742" spans="6:6">
      <c r="F51742" s="2423"/>
    </row>
    <row r="51743" spans="6:6">
      <c r="F51743" s="2423"/>
    </row>
    <row r="51744" spans="6:6">
      <c r="F51744" s="2423"/>
    </row>
    <row r="51745" spans="6:6">
      <c r="F51745" s="2423"/>
    </row>
    <row r="51746" spans="6:6">
      <c r="F51746" s="2423"/>
    </row>
    <row r="51747" spans="6:6">
      <c r="F51747" s="2423"/>
    </row>
    <row r="51748" spans="6:6">
      <c r="F51748" s="2423"/>
    </row>
    <row r="51749" spans="6:6">
      <c r="F51749" s="2423"/>
    </row>
    <row r="51750" spans="6:6">
      <c r="F51750" s="2423"/>
    </row>
    <row r="51751" spans="6:6">
      <c r="F51751" s="2423"/>
    </row>
    <row r="51752" spans="6:6">
      <c r="F51752" s="2423"/>
    </row>
    <row r="51753" spans="6:6">
      <c r="F51753" s="2423"/>
    </row>
    <row r="51754" spans="6:6">
      <c r="F51754" s="2423"/>
    </row>
    <row r="51755" spans="6:6">
      <c r="F51755" s="2423"/>
    </row>
    <row r="51756" spans="6:6">
      <c r="F51756" s="2423"/>
    </row>
    <row r="51757" spans="6:6">
      <c r="F51757" s="2423"/>
    </row>
    <row r="51758" spans="6:6">
      <c r="F51758" s="2423"/>
    </row>
    <row r="51759" spans="6:6">
      <c r="F51759" s="2423"/>
    </row>
    <row r="51760" spans="6:6">
      <c r="F51760" s="2423"/>
    </row>
    <row r="51761" spans="6:6">
      <c r="F51761" s="2423"/>
    </row>
    <row r="51762" spans="6:6">
      <c r="F51762" s="2423"/>
    </row>
    <row r="51763" spans="6:6">
      <c r="F51763" s="2423"/>
    </row>
    <row r="51764" spans="6:6">
      <c r="F51764" s="2423"/>
    </row>
    <row r="51765" spans="6:6">
      <c r="F51765" s="2423"/>
    </row>
    <row r="51766" spans="6:6">
      <c r="F51766" s="2423"/>
    </row>
    <row r="51767" spans="6:6">
      <c r="F51767" s="2423"/>
    </row>
    <row r="51768" spans="6:6">
      <c r="F51768" s="2423"/>
    </row>
    <row r="51769" spans="6:6">
      <c r="F51769" s="2423"/>
    </row>
    <row r="51770" spans="6:6">
      <c r="F51770" s="2423"/>
    </row>
    <row r="51771" spans="6:6">
      <c r="F51771" s="2423"/>
    </row>
    <row r="51772" spans="6:6">
      <c r="F51772" s="2423"/>
    </row>
    <row r="51773" spans="6:6">
      <c r="F51773" s="2423"/>
    </row>
    <row r="51774" spans="6:6">
      <c r="F51774" s="2423"/>
    </row>
    <row r="51775" spans="6:6">
      <c r="F51775" s="2423"/>
    </row>
    <row r="51776" spans="6:6">
      <c r="F51776" s="2423"/>
    </row>
    <row r="51777" spans="6:6">
      <c r="F51777" s="2423"/>
    </row>
    <row r="51778" spans="6:6">
      <c r="F51778" s="2423"/>
    </row>
    <row r="51779" spans="6:6">
      <c r="F51779" s="2423"/>
    </row>
    <row r="51780" spans="6:6">
      <c r="F51780" s="2423"/>
    </row>
    <row r="51781" spans="6:6">
      <c r="F51781" s="2423"/>
    </row>
    <row r="51782" spans="6:6">
      <c r="F51782" s="2423"/>
    </row>
    <row r="51783" spans="6:6">
      <c r="F51783" s="2423"/>
    </row>
    <row r="51784" spans="6:6">
      <c r="F51784" s="2423"/>
    </row>
    <row r="51785" spans="6:6">
      <c r="F51785" s="2423"/>
    </row>
    <row r="51786" spans="6:6">
      <c r="F51786" s="2423"/>
    </row>
    <row r="51787" spans="6:6">
      <c r="F51787" s="2423"/>
    </row>
    <row r="51788" spans="6:6">
      <c r="F51788" s="2423"/>
    </row>
    <row r="51789" spans="6:6">
      <c r="F51789" s="2423"/>
    </row>
    <row r="51790" spans="6:6">
      <c r="F51790" s="2423"/>
    </row>
    <row r="51791" spans="6:6">
      <c r="F51791" s="2423"/>
    </row>
    <row r="51792" spans="6:6">
      <c r="F51792" s="2423"/>
    </row>
    <row r="51793" spans="6:6">
      <c r="F51793" s="2423"/>
    </row>
    <row r="51794" spans="6:6">
      <c r="F51794" s="2423"/>
    </row>
    <row r="51795" spans="6:6">
      <c r="F51795" s="2423"/>
    </row>
    <row r="51796" spans="6:6">
      <c r="F51796" s="2423"/>
    </row>
    <row r="51797" spans="6:6">
      <c r="F51797" s="2423"/>
    </row>
    <row r="51798" spans="6:6">
      <c r="F51798" s="2423"/>
    </row>
    <row r="51799" spans="6:6">
      <c r="F51799" s="2423"/>
    </row>
    <row r="51800" spans="6:6">
      <c r="F51800" s="2423"/>
    </row>
    <row r="51801" spans="6:6">
      <c r="F51801" s="2423"/>
    </row>
    <row r="51802" spans="6:6">
      <c r="F51802" s="2423"/>
    </row>
    <row r="51803" spans="6:6">
      <c r="F51803" s="2423"/>
    </row>
    <row r="51804" spans="6:6">
      <c r="F51804" s="2423"/>
    </row>
    <row r="51805" spans="6:6">
      <c r="F51805" s="2423"/>
    </row>
    <row r="51806" spans="6:6">
      <c r="F51806" s="2423"/>
    </row>
    <row r="51807" spans="6:6">
      <c r="F51807" s="2423"/>
    </row>
    <row r="51808" spans="6:6">
      <c r="F51808" s="2423"/>
    </row>
    <row r="51809" spans="6:6">
      <c r="F51809" s="2423"/>
    </row>
    <row r="51810" spans="6:6">
      <c r="F51810" s="2423"/>
    </row>
    <row r="51811" spans="6:6">
      <c r="F51811" s="2423"/>
    </row>
    <row r="51812" spans="6:6">
      <c r="F51812" s="2423"/>
    </row>
    <row r="51813" spans="6:6">
      <c r="F51813" s="2423"/>
    </row>
    <row r="51814" spans="6:6">
      <c r="F51814" s="2423"/>
    </row>
    <row r="51815" spans="6:6">
      <c r="F51815" s="2423"/>
    </row>
    <row r="51816" spans="6:6">
      <c r="F51816" s="2423"/>
    </row>
    <row r="51817" spans="6:6">
      <c r="F51817" s="2423"/>
    </row>
    <row r="51818" spans="6:6">
      <c r="F51818" s="2423"/>
    </row>
    <row r="51819" spans="6:6">
      <c r="F51819" s="2423"/>
    </row>
    <row r="51820" spans="6:6">
      <c r="F51820" s="2423"/>
    </row>
    <row r="51821" spans="6:6">
      <c r="F51821" s="2423"/>
    </row>
    <row r="51822" spans="6:6">
      <c r="F51822" s="2423"/>
    </row>
    <row r="51823" spans="6:6">
      <c r="F51823" s="2423"/>
    </row>
    <row r="51824" spans="6:6">
      <c r="F51824" s="2423"/>
    </row>
    <row r="51825" spans="6:6">
      <c r="F51825" s="2423"/>
    </row>
    <row r="51826" spans="6:6">
      <c r="F51826" s="2423"/>
    </row>
    <row r="51827" spans="6:6">
      <c r="F51827" s="2423"/>
    </row>
    <row r="51828" spans="6:6">
      <c r="F51828" s="2423"/>
    </row>
    <row r="51829" spans="6:6">
      <c r="F51829" s="2423"/>
    </row>
    <row r="51830" spans="6:6">
      <c r="F51830" s="2423"/>
    </row>
    <row r="51831" spans="6:6">
      <c r="F51831" s="2423"/>
    </row>
    <row r="51832" spans="6:6">
      <c r="F51832" s="2423"/>
    </row>
    <row r="51833" spans="6:6">
      <c r="F51833" s="2423"/>
    </row>
    <row r="51834" spans="6:6">
      <c r="F51834" s="2423"/>
    </row>
    <row r="51835" spans="6:6">
      <c r="F51835" s="2423"/>
    </row>
    <row r="51836" spans="6:6">
      <c r="F51836" s="2423"/>
    </row>
    <row r="51837" spans="6:6">
      <c r="F51837" s="2423"/>
    </row>
    <row r="51838" spans="6:6">
      <c r="F51838" s="2423"/>
    </row>
    <row r="51839" spans="6:6">
      <c r="F51839" s="2423"/>
    </row>
    <row r="51840" spans="6:6">
      <c r="F51840" s="2423"/>
    </row>
    <row r="51841" spans="6:6">
      <c r="F51841" s="2423"/>
    </row>
    <row r="51842" spans="6:6">
      <c r="F51842" s="2423"/>
    </row>
    <row r="51843" spans="6:6">
      <c r="F51843" s="2423"/>
    </row>
    <row r="51844" spans="6:6">
      <c r="F51844" s="2423"/>
    </row>
    <row r="51845" spans="6:6">
      <c r="F51845" s="2423"/>
    </row>
    <row r="51846" spans="6:6">
      <c r="F51846" s="2423"/>
    </row>
    <row r="51847" spans="6:6">
      <c r="F51847" s="2423"/>
    </row>
    <row r="51848" spans="6:6">
      <c r="F51848" s="2423"/>
    </row>
    <row r="51849" spans="6:6">
      <c r="F51849" s="2423"/>
    </row>
    <row r="51850" spans="6:6">
      <c r="F51850" s="2423"/>
    </row>
    <row r="51851" spans="6:6">
      <c r="F51851" s="2423"/>
    </row>
    <row r="51852" spans="6:6">
      <c r="F51852" s="2423"/>
    </row>
    <row r="51853" spans="6:6">
      <c r="F51853" s="2423"/>
    </row>
    <row r="51854" spans="6:6">
      <c r="F51854" s="2423"/>
    </row>
    <row r="51855" spans="6:6">
      <c r="F51855" s="2423"/>
    </row>
    <row r="51856" spans="6:6">
      <c r="F51856" s="2423"/>
    </row>
    <row r="51857" spans="6:6">
      <c r="F51857" s="2423"/>
    </row>
    <row r="51858" spans="6:6">
      <c r="F51858" s="2423"/>
    </row>
    <row r="51859" spans="6:6">
      <c r="F51859" s="2423"/>
    </row>
    <row r="51860" spans="6:6">
      <c r="F51860" s="2423"/>
    </row>
    <row r="51861" spans="6:6">
      <c r="F51861" s="2423"/>
    </row>
    <row r="51862" spans="6:6">
      <c r="F51862" s="2423"/>
    </row>
    <row r="51863" spans="6:6">
      <c r="F51863" s="2423"/>
    </row>
    <row r="51864" spans="6:6">
      <c r="F51864" s="2423"/>
    </row>
    <row r="51865" spans="6:6">
      <c r="F51865" s="2423"/>
    </row>
    <row r="51866" spans="6:6">
      <c r="F51866" s="2423"/>
    </row>
    <row r="51867" spans="6:6">
      <c r="F51867" s="2423"/>
    </row>
    <row r="51868" spans="6:6">
      <c r="F51868" s="2423"/>
    </row>
    <row r="51869" spans="6:6">
      <c r="F51869" s="2423"/>
    </row>
    <row r="51870" spans="6:6">
      <c r="F51870" s="2423"/>
    </row>
    <row r="51871" spans="6:6">
      <c r="F51871" s="2423"/>
    </row>
    <row r="51872" spans="6:6">
      <c r="F51872" s="2423"/>
    </row>
    <row r="51873" spans="6:6">
      <c r="F51873" s="2423"/>
    </row>
    <row r="51874" spans="6:6">
      <c r="F51874" s="2423"/>
    </row>
    <row r="51875" spans="6:6">
      <c r="F51875" s="2423"/>
    </row>
    <row r="51876" spans="6:6">
      <c r="F51876" s="2423"/>
    </row>
    <row r="51877" spans="6:6">
      <c r="F51877" s="2423"/>
    </row>
    <row r="51878" spans="6:6">
      <c r="F51878" s="2423"/>
    </row>
    <row r="51879" spans="6:6">
      <c r="F51879" s="2423"/>
    </row>
    <row r="51880" spans="6:6">
      <c r="F51880" s="2423"/>
    </row>
    <row r="51881" spans="6:6">
      <c r="F51881" s="2423"/>
    </row>
    <row r="51882" spans="6:6">
      <c r="F51882" s="2423"/>
    </row>
    <row r="51883" spans="6:6">
      <c r="F51883" s="2423"/>
    </row>
    <row r="51884" spans="6:6">
      <c r="F51884" s="2423"/>
    </row>
    <row r="51885" spans="6:6">
      <c r="F51885" s="2423"/>
    </row>
    <row r="51886" spans="6:6">
      <c r="F51886" s="2423"/>
    </row>
    <row r="51887" spans="6:6">
      <c r="F51887" s="2423"/>
    </row>
    <row r="51888" spans="6:6">
      <c r="F51888" s="2423"/>
    </row>
    <row r="51889" spans="6:6">
      <c r="F51889" s="2423"/>
    </row>
    <row r="51890" spans="6:6">
      <c r="F51890" s="2423"/>
    </row>
    <row r="51891" spans="6:6">
      <c r="F51891" s="2423"/>
    </row>
    <row r="51892" spans="6:6">
      <c r="F51892" s="2423"/>
    </row>
    <row r="51893" spans="6:6">
      <c r="F51893" s="2423"/>
    </row>
    <row r="51894" spans="6:6">
      <c r="F51894" s="2423"/>
    </row>
    <row r="51895" spans="6:6">
      <c r="F51895" s="2423"/>
    </row>
    <row r="51896" spans="6:6">
      <c r="F51896" s="2423"/>
    </row>
    <row r="51897" spans="6:6">
      <c r="F51897" s="2423"/>
    </row>
    <row r="51898" spans="6:6">
      <c r="F51898" s="2423"/>
    </row>
    <row r="51899" spans="6:6">
      <c r="F51899" s="2423"/>
    </row>
    <row r="51900" spans="6:6">
      <c r="F51900" s="2423"/>
    </row>
    <row r="51901" spans="6:6">
      <c r="F51901" s="2423"/>
    </row>
    <row r="51902" spans="6:6">
      <c r="F51902" s="2423"/>
    </row>
    <row r="51903" spans="6:6">
      <c r="F51903" s="2423"/>
    </row>
    <row r="51904" spans="6:6">
      <c r="F51904" s="2423"/>
    </row>
    <row r="51905" spans="6:6">
      <c r="F51905" s="2423"/>
    </row>
    <row r="51906" spans="6:6">
      <c r="F51906" s="2423"/>
    </row>
    <row r="51907" spans="6:6">
      <c r="F51907" s="2423"/>
    </row>
    <row r="51908" spans="6:6">
      <c r="F51908" s="2423"/>
    </row>
    <row r="51909" spans="6:6">
      <c r="F51909" s="2423"/>
    </row>
    <row r="51910" spans="6:6">
      <c r="F51910" s="2423"/>
    </row>
    <row r="51911" spans="6:6">
      <c r="F51911" s="2423"/>
    </row>
    <row r="51912" spans="6:6">
      <c r="F51912" s="2423"/>
    </row>
    <row r="51913" spans="6:6">
      <c r="F51913" s="2423"/>
    </row>
    <row r="51914" spans="6:6">
      <c r="F51914" s="2423"/>
    </row>
    <row r="51915" spans="6:6">
      <c r="F51915" s="2423"/>
    </row>
    <row r="51916" spans="6:6">
      <c r="F51916" s="2423"/>
    </row>
    <row r="51917" spans="6:6">
      <c r="F51917" s="2423"/>
    </row>
    <row r="51918" spans="6:6">
      <c r="F51918" s="2423"/>
    </row>
    <row r="51919" spans="6:6">
      <c r="F51919" s="2423"/>
    </row>
    <row r="51920" spans="6:6">
      <c r="F51920" s="2423"/>
    </row>
    <row r="51921" spans="6:6">
      <c r="F51921" s="2423"/>
    </row>
    <row r="51922" spans="6:6">
      <c r="F51922" s="2423"/>
    </row>
    <row r="51923" spans="6:6">
      <c r="F51923" s="2423"/>
    </row>
    <row r="51924" spans="6:6">
      <c r="F51924" s="2423"/>
    </row>
    <row r="51925" spans="6:6">
      <c r="F51925" s="2423"/>
    </row>
    <row r="51926" spans="6:6">
      <c r="F51926" s="2423"/>
    </row>
    <row r="51927" spans="6:6">
      <c r="F51927" s="2423"/>
    </row>
    <row r="51928" spans="6:6">
      <c r="F51928" s="2423"/>
    </row>
    <row r="51929" spans="6:6">
      <c r="F51929" s="2423"/>
    </row>
    <row r="51930" spans="6:6">
      <c r="F51930" s="2423"/>
    </row>
    <row r="51931" spans="6:6">
      <c r="F51931" s="2423"/>
    </row>
    <row r="51932" spans="6:6">
      <c r="F51932" s="2423"/>
    </row>
    <row r="51933" spans="6:6">
      <c r="F51933" s="2423"/>
    </row>
    <row r="51934" spans="6:6">
      <c r="F51934" s="2423"/>
    </row>
    <row r="51935" spans="6:6">
      <c r="F51935" s="2423"/>
    </row>
    <row r="51936" spans="6:6">
      <c r="F51936" s="2423"/>
    </row>
    <row r="51937" spans="6:6">
      <c r="F51937" s="2423"/>
    </row>
    <row r="51938" spans="6:6">
      <c r="F51938" s="2423"/>
    </row>
    <row r="51939" spans="6:6">
      <c r="F51939" s="2423"/>
    </row>
    <row r="51940" spans="6:6">
      <c r="F51940" s="2423"/>
    </row>
    <row r="51941" spans="6:6">
      <c r="F51941" s="2423"/>
    </row>
    <row r="51942" spans="6:6">
      <c r="F51942" s="2423"/>
    </row>
    <row r="51943" spans="6:6">
      <c r="F51943" s="2423"/>
    </row>
    <row r="51944" spans="6:6">
      <c r="F51944" s="2423"/>
    </row>
    <row r="51945" spans="6:6">
      <c r="F51945" s="2423"/>
    </row>
    <row r="51946" spans="6:6">
      <c r="F51946" s="2423"/>
    </row>
    <row r="51947" spans="6:6">
      <c r="F51947" s="2423"/>
    </row>
    <row r="51948" spans="6:6">
      <c r="F51948" s="2423"/>
    </row>
    <row r="51949" spans="6:6">
      <c r="F51949" s="2423"/>
    </row>
    <row r="51950" spans="6:6">
      <c r="F51950" s="2423"/>
    </row>
    <row r="51951" spans="6:6">
      <c r="F51951" s="2423"/>
    </row>
    <row r="51952" spans="6:6">
      <c r="F51952" s="2423"/>
    </row>
    <row r="51953" spans="6:6">
      <c r="F51953" s="2423"/>
    </row>
    <row r="51954" spans="6:6">
      <c r="F51954" s="2423"/>
    </row>
    <row r="51955" spans="6:6">
      <c r="F51955" s="2423"/>
    </row>
    <row r="51956" spans="6:6">
      <c r="F51956" s="2423"/>
    </row>
    <row r="51957" spans="6:6">
      <c r="F51957" s="2423"/>
    </row>
    <row r="51958" spans="6:6">
      <c r="F51958" s="2423"/>
    </row>
    <row r="51959" spans="6:6">
      <c r="F51959" s="2423"/>
    </row>
    <row r="51960" spans="6:6">
      <c r="F51960" s="2423"/>
    </row>
    <row r="51961" spans="6:6">
      <c r="F51961" s="2423"/>
    </row>
    <row r="51962" spans="6:6">
      <c r="F51962" s="2423"/>
    </row>
    <row r="51963" spans="6:6">
      <c r="F51963" s="2423"/>
    </row>
    <row r="51964" spans="6:6">
      <c r="F51964" s="2423"/>
    </row>
    <row r="51965" spans="6:6">
      <c r="F51965" s="2423"/>
    </row>
    <row r="51966" spans="6:6">
      <c r="F51966" s="2423"/>
    </row>
    <row r="51967" spans="6:6">
      <c r="F51967" s="2423"/>
    </row>
    <row r="51968" spans="6:6">
      <c r="F51968" s="2423"/>
    </row>
    <row r="51969" spans="6:6">
      <c r="F51969" s="2423"/>
    </row>
    <row r="51970" spans="6:6">
      <c r="F51970" s="2423"/>
    </row>
    <row r="51971" spans="6:6">
      <c r="F51971" s="2423"/>
    </row>
    <row r="51972" spans="6:6">
      <c r="F51972" s="2423"/>
    </row>
    <row r="51973" spans="6:6">
      <c r="F51973" s="2423"/>
    </row>
    <row r="51974" spans="6:6">
      <c r="F51974" s="2423"/>
    </row>
    <row r="51975" spans="6:6">
      <c r="F51975" s="2423"/>
    </row>
    <row r="51976" spans="6:6">
      <c r="F51976" s="2423"/>
    </row>
    <row r="51977" spans="6:6">
      <c r="F51977" s="2423"/>
    </row>
    <row r="51978" spans="6:6">
      <c r="F51978" s="2423"/>
    </row>
    <row r="51979" spans="6:6">
      <c r="F51979" s="2423"/>
    </row>
    <row r="51980" spans="6:6">
      <c r="F51980" s="2423"/>
    </row>
    <row r="51981" spans="6:6">
      <c r="F51981" s="2423"/>
    </row>
    <row r="51982" spans="6:6">
      <c r="F51982" s="2423"/>
    </row>
    <row r="51983" spans="6:6">
      <c r="F51983" s="2423"/>
    </row>
    <row r="51984" spans="6:6">
      <c r="F51984" s="2423"/>
    </row>
    <row r="51985" spans="6:6">
      <c r="F51985" s="2423"/>
    </row>
    <row r="51986" spans="6:6">
      <c r="F51986" s="2423"/>
    </row>
    <row r="51987" spans="6:6">
      <c r="F51987" s="2423"/>
    </row>
    <row r="51988" spans="6:6">
      <c r="F51988" s="2423"/>
    </row>
    <row r="51989" spans="6:6">
      <c r="F51989" s="2423"/>
    </row>
    <row r="51990" spans="6:6">
      <c r="F51990" s="2423"/>
    </row>
    <row r="51991" spans="6:6">
      <c r="F51991" s="2423"/>
    </row>
    <row r="51992" spans="6:6">
      <c r="F51992" s="2423"/>
    </row>
    <row r="51993" spans="6:6">
      <c r="F51993" s="2423"/>
    </row>
    <row r="51994" spans="6:6">
      <c r="F51994" s="2423"/>
    </row>
    <row r="51995" spans="6:6">
      <c r="F51995" s="2423"/>
    </row>
    <row r="51996" spans="6:6">
      <c r="F51996" s="2423"/>
    </row>
    <row r="51997" spans="6:6">
      <c r="F51997" s="2423"/>
    </row>
    <row r="51998" spans="6:6">
      <c r="F51998" s="2423"/>
    </row>
    <row r="51999" spans="6:6">
      <c r="F51999" s="2423"/>
    </row>
    <row r="52000" spans="6:6">
      <c r="F52000" s="2423"/>
    </row>
    <row r="52001" spans="6:6">
      <c r="F52001" s="2423"/>
    </row>
    <row r="52002" spans="6:6">
      <c r="F52002" s="2423"/>
    </row>
    <row r="52003" spans="6:6">
      <c r="F52003" s="2423"/>
    </row>
    <row r="52004" spans="6:6">
      <c r="F52004" s="2423"/>
    </row>
    <row r="52005" spans="6:6">
      <c r="F52005" s="2423"/>
    </row>
    <row r="52006" spans="6:6">
      <c r="F52006" s="2423"/>
    </row>
    <row r="52007" spans="6:6">
      <c r="F52007" s="2423"/>
    </row>
    <row r="52008" spans="6:6">
      <c r="F52008" s="2423"/>
    </row>
    <row r="52009" spans="6:6">
      <c r="F52009" s="2423"/>
    </row>
    <row r="52010" spans="6:6">
      <c r="F52010" s="2423"/>
    </row>
    <row r="52011" spans="6:6">
      <c r="F52011" s="2423"/>
    </row>
    <row r="52012" spans="6:6">
      <c r="F52012" s="2423"/>
    </row>
    <row r="52013" spans="6:6">
      <c r="F52013" s="2423"/>
    </row>
    <row r="52014" spans="6:6">
      <c r="F52014" s="2423"/>
    </row>
    <row r="52015" spans="6:6">
      <c r="F52015" s="2423"/>
    </row>
    <row r="52016" spans="6:6">
      <c r="F52016" s="2423"/>
    </row>
    <row r="52017" spans="6:6">
      <c r="F52017" s="2423"/>
    </row>
    <row r="52018" spans="6:6">
      <c r="F52018" s="2423"/>
    </row>
    <row r="52019" spans="6:6">
      <c r="F52019" s="2423"/>
    </row>
    <row r="52020" spans="6:6">
      <c r="F52020" s="2423"/>
    </row>
    <row r="52021" spans="6:6">
      <c r="F52021" s="2423"/>
    </row>
    <row r="52022" spans="6:6">
      <c r="F52022" s="2423"/>
    </row>
    <row r="52023" spans="6:6">
      <c r="F52023" s="2423"/>
    </row>
    <row r="52024" spans="6:6">
      <c r="F52024" s="2423"/>
    </row>
    <row r="52025" spans="6:6">
      <c r="F52025" s="2423"/>
    </row>
    <row r="52026" spans="6:6">
      <c r="F52026" s="2423"/>
    </row>
    <row r="52027" spans="6:6">
      <c r="F52027" s="2423"/>
    </row>
    <row r="52028" spans="6:6">
      <c r="F52028" s="2423"/>
    </row>
    <row r="52029" spans="6:6">
      <c r="F52029" s="2423"/>
    </row>
    <row r="52030" spans="6:6">
      <c r="F52030" s="2423"/>
    </row>
    <row r="52031" spans="6:6">
      <c r="F52031" s="2423"/>
    </row>
    <row r="52032" spans="6:6">
      <c r="F52032" s="2423"/>
    </row>
    <row r="52033" spans="6:6">
      <c r="F52033" s="2423"/>
    </row>
    <row r="52034" spans="6:6">
      <c r="F52034" s="2423"/>
    </row>
    <row r="52035" spans="6:6">
      <c r="F52035" s="2423"/>
    </row>
    <row r="52036" spans="6:6">
      <c r="F52036" s="2423"/>
    </row>
    <row r="52037" spans="6:6">
      <c r="F52037" s="2423"/>
    </row>
    <row r="52038" spans="6:6">
      <c r="F52038" s="2423"/>
    </row>
    <row r="52039" spans="6:6">
      <c r="F52039" s="2423"/>
    </row>
    <row r="52040" spans="6:6">
      <c r="F52040" s="2423"/>
    </row>
    <row r="52041" spans="6:6">
      <c r="F52041" s="2423"/>
    </row>
    <row r="52042" spans="6:6">
      <c r="F52042" s="2423"/>
    </row>
    <row r="52043" spans="6:6">
      <c r="F52043" s="2423"/>
    </row>
    <row r="52044" spans="6:6">
      <c r="F52044" s="2423"/>
    </row>
    <row r="52045" spans="6:6">
      <c r="F52045" s="2423"/>
    </row>
    <row r="52046" spans="6:6">
      <c r="F52046" s="2423"/>
    </row>
    <row r="52047" spans="6:6">
      <c r="F52047" s="2423"/>
    </row>
    <row r="52048" spans="6:6">
      <c r="F52048" s="2423"/>
    </row>
    <row r="52049" spans="6:6">
      <c r="F52049" s="2423"/>
    </row>
    <row r="52050" spans="6:6">
      <c r="F52050" s="2423"/>
    </row>
    <row r="52051" spans="6:6">
      <c r="F52051" s="2423"/>
    </row>
    <row r="52052" spans="6:6">
      <c r="F52052" s="2423"/>
    </row>
    <row r="52053" spans="6:6">
      <c r="F52053" s="2423"/>
    </row>
    <row r="52054" spans="6:6">
      <c r="F52054" s="2423"/>
    </row>
    <row r="52055" spans="6:6">
      <c r="F52055" s="2423"/>
    </row>
    <row r="52056" spans="6:6">
      <c r="F52056" s="2423"/>
    </row>
    <row r="52057" spans="6:6">
      <c r="F52057" s="2423"/>
    </row>
    <row r="52058" spans="6:6">
      <c r="F52058" s="2423"/>
    </row>
    <row r="52059" spans="6:6">
      <c r="F52059" s="2423"/>
    </row>
    <row r="52060" spans="6:6">
      <c r="F52060" s="2423"/>
    </row>
    <row r="52061" spans="6:6">
      <c r="F52061" s="2423"/>
    </row>
    <row r="52062" spans="6:6">
      <c r="F52062" s="2423"/>
    </row>
    <row r="52063" spans="6:6">
      <c r="F52063" s="2423"/>
    </row>
    <row r="52064" spans="6:6">
      <c r="F52064" s="2423"/>
    </row>
    <row r="52065" spans="6:6">
      <c r="F52065" s="2423"/>
    </row>
    <row r="52066" spans="6:6">
      <c r="F52066" s="2423"/>
    </row>
    <row r="52067" spans="6:6">
      <c r="F52067" s="2423"/>
    </row>
    <row r="52068" spans="6:6">
      <c r="F52068" s="2423"/>
    </row>
    <row r="52069" spans="6:6">
      <c r="F52069" s="2423"/>
    </row>
    <row r="52070" spans="6:6">
      <c r="F52070" s="2423"/>
    </row>
    <row r="52071" spans="6:6">
      <c r="F52071" s="2423"/>
    </row>
    <row r="52072" spans="6:6">
      <c r="F52072" s="2423"/>
    </row>
    <row r="52073" spans="6:6">
      <c r="F52073" s="2423"/>
    </row>
    <row r="52074" spans="6:6">
      <c r="F52074" s="2423"/>
    </row>
    <row r="52075" spans="6:6">
      <c r="F52075" s="2423"/>
    </row>
    <row r="52076" spans="6:6">
      <c r="F52076" s="2423"/>
    </row>
    <row r="52077" spans="6:6">
      <c r="F52077" s="2423"/>
    </row>
    <row r="52078" spans="6:6">
      <c r="F52078" s="2423"/>
    </row>
    <row r="52079" spans="6:6">
      <c r="F52079" s="2423"/>
    </row>
    <row r="52080" spans="6:6">
      <c r="F52080" s="2423"/>
    </row>
    <row r="52081" spans="6:6">
      <c r="F52081" s="2423"/>
    </row>
    <row r="52082" spans="6:6">
      <c r="F52082" s="2423"/>
    </row>
    <row r="52083" spans="6:6">
      <c r="F52083" s="2423"/>
    </row>
    <row r="52084" spans="6:6">
      <c r="F52084" s="2423"/>
    </row>
    <row r="52085" spans="6:6">
      <c r="F52085" s="2423"/>
    </row>
    <row r="52086" spans="6:6">
      <c r="F52086" s="2423"/>
    </row>
    <row r="52087" spans="6:6">
      <c r="F52087" s="2423"/>
    </row>
    <row r="52088" spans="6:6">
      <c r="F52088" s="2423"/>
    </row>
    <row r="52089" spans="6:6">
      <c r="F52089" s="2423"/>
    </row>
    <row r="52090" spans="6:6">
      <c r="F52090" s="2423"/>
    </row>
    <row r="52091" spans="6:6">
      <c r="F52091" s="2423"/>
    </row>
    <row r="52092" spans="6:6">
      <c r="F52092" s="2423"/>
    </row>
    <row r="52093" spans="6:6">
      <c r="F52093" s="2423"/>
    </row>
    <row r="52094" spans="6:6">
      <c r="F52094" s="2423"/>
    </row>
    <row r="52095" spans="6:6">
      <c r="F52095" s="2423"/>
    </row>
    <row r="52096" spans="6:6">
      <c r="F52096" s="2423"/>
    </row>
    <row r="52097" spans="6:6">
      <c r="F52097" s="2423"/>
    </row>
    <row r="52098" spans="6:6">
      <c r="F52098" s="2423"/>
    </row>
    <row r="52099" spans="6:6">
      <c r="F52099" s="2423"/>
    </row>
    <row r="52100" spans="6:6">
      <c r="F52100" s="2423"/>
    </row>
    <row r="52101" spans="6:6">
      <c r="F52101" s="2423"/>
    </row>
    <row r="52102" spans="6:6">
      <c r="F52102" s="2423"/>
    </row>
    <row r="52103" spans="6:6">
      <c r="F52103" s="2423"/>
    </row>
    <row r="52104" spans="6:6">
      <c r="F52104" s="2423"/>
    </row>
    <row r="52105" spans="6:6">
      <c r="F52105" s="2423"/>
    </row>
    <row r="52106" spans="6:6">
      <c r="F52106" s="2423"/>
    </row>
    <row r="52107" spans="6:6">
      <c r="F52107" s="2423"/>
    </row>
    <row r="52108" spans="6:6">
      <c r="F52108" s="2423"/>
    </row>
    <row r="52109" spans="6:6">
      <c r="F52109" s="2423"/>
    </row>
    <row r="52110" spans="6:6">
      <c r="F52110" s="2423"/>
    </row>
    <row r="52111" spans="6:6">
      <c r="F52111" s="2423"/>
    </row>
    <row r="52112" spans="6:6">
      <c r="F52112" s="2423"/>
    </row>
    <row r="52113" spans="6:6">
      <c r="F52113" s="2423"/>
    </row>
    <row r="52114" spans="6:6">
      <c r="F52114" s="2423"/>
    </row>
    <row r="52115" spans="6:6">
      <c r="F52115" s="2423"/>
    </row>
    <row r="52116" spans="6:6">
      <c r="F52116" s="2423"/>
    </row>
    <row r="52117" spans="6:6">
      <c r="F52117" s="2423"/>
    </row>
    <row r="52118" spans="6:6">
      <c r="F52118" s="2423"/>
    </row>
    <row r="52119" spans="6:6">
      <c r="F52119" s="2423"/>
    </row>
    <row r="52120" spans="6:6">
      <c r="F52120" s="2423"/>
    </row>
    <row r="52121" spans="6:6">
      <c r="F52121" s="2423"/>
    </row>
    <row r="52122" spans="6:6">
      <c r="F52122" s="2423"/>
    </row>
    <row r="52123" spans="6:6">
      <c r="F52123" s="2423"/>
    </row>
    <row r="52124" spans="6:6">
      <c r="F52124" s="2423"/>
    </row>
    <row r="52125" spans="6:6">
      <c r="F52125" s="2423"/>
    </row>
    <row r="52126" spans="6:6">
      <c r="F52126" s="2423"/>
    </row>
    <row r="52127" spans="6:6">
      <c r="F52127" s="2423"/>
    </row>
    <row r="52128" spans="6:6">
      <c r="F52128" s="2423"/>
    </row>
    <row r="52129" spans="6:6">
      <c r="F52129" s="2423"/>
    </row>
    <row r="52130" spans="6:6">
      <c r="F52130" s="2423"/>
    </row>
    <row r="52131" spans="6:6">
      <c r="F52131" s="2423"/>
    </row>
    <row r="52132" spans="6:6">
      <c r="F52132" s="2423"/>
    </row>
    <row r="52133" spans="6:6">
      <c r="F52133" s="2423"/>
    </row>
    <row r="52134" spans="6:6">
      <c r="F52134" s="2423"/>
    </row>
    <row r="52135" spans="6:6">
      <c r="F52135" s="2423"/>
    </row>
    <row r="52136" spans="6:6">
      <c r="F52136" s="2423"/>
    </row>
    <row r="52137" spans="6:6">
      <c r="F52137" s="2423"/>
    </row>
    <row r="52138" spans="6:6">
      <c r="F52138" s="2423"/>
    </row>
    <row r="52139" spans="6:6">
      <c r="F52139" s="2423"/>
    </row>
    <row r="52140" spans="6:6">
      <c r="F52140" s="2423"/>
    </row>
    <row r="52141" spans="6:6">
      <c r="F52141" s="2423"/>
    </row>
    <row r="52142" spans="6:6">
      <c r="F52142" s="2423"/>
    </row>
    <row r="52143" spans="6:6">
      <c r="F52143" s="2423"/>
    </row>
    <row r="52144" spans="6:6">
      <c r="F52144" s="2423"/>
    </row>
    <row r="52145" spans="6:6">
      <c r="F52145" s="2423"/>
    </row>
    <row r="52146" spans="6:6">
      <c r="F52146" s="2423"/>
    </row>
    <row r="52147" spans="6:6">
      <c r="F52147" s="2423"/>
    </row>
    <row r="52148" spans="6:6">
      <c r="F52148" s="2423"/>
    </row>
    <row r="52149" spans="6:6">
      <c r="F52149" s="2423"/>
    </row>
    <row r="52150" spans="6:6">
      <c r="F52150" s="2423"/>
    </row>
    <row r="52151" spans="6:6">
      <c r="F52151" s="2423"/>
    </row>
    <row r="52152" spans="6:6">
      <c r="F52152" s="2423"/>
    </row>
    <row r="52153" spans="6:6">
      <c r="F52153" s="2423"/>
    </row>
    <row r="52154" spans="6:6">
      <c r="F52154" s="2423"/>
    </row>
    <row r="52155" spans="6:6">
      <c r="F52155" s="2423"/>
    </row>
    <row r="52156" spans="6:6">
      <c r="F52156" s="2423"/>
    </row>
    <row r="52157" spans="6:6">
      <c r="F52157" s="2423"/>
    </row>
    <row r="52158" spans="6:6">
      <c r="F52158" s="2423"/>
    </row>
    <row r="52159" spans="6:6">
      <c r="F52159" s="2423"/>
    </row>
    <row r="52160" spans="6:6">
      <c r="F52160" s="2423"/>
    </row>
    <row r="52161" spans="6:6">
      <c r="F52161" s="2423"/>
    </row>
    <row r="52162" spans="6:6">
      <c r="F52162" s="2423"/>
    </row>
    <row r="52163" spans="6:6">
      <c r="F52163" s="2423"/>
    </row>
    <row r="52164" spans="6:6">
      <c r="F52164" s="2423"/>
    </row>
    <row r="52165" spans="6:6">
      <c r="F52165" s="2423"/>
    </row>
    <row r="52166" spans="6:6">
      <c r="F52166" s="2423"/>
    </row>
    <row r="52167" spans="6:6">
      <c r="F52167" s="2423"/>
    </row>
    <row r="52168" spans="6:6">
      <c r="F52168" s="2423"/>
    </row>
    <row r="52169" spans="6:6">
      <c r="F52169" s="2423"/>
    </row>
    <row r="52170" spans="6:6">
      <c r="F52170" s="2423"/>
    </row>
    <row r="52171" spans="6:6">
      <c r="F52171" s="2423"/>
    </row>
    <row r="52172" spans="6:6">
      <c r="F52172" s="2423"/>
    </row>
    <row r="52173" spans="6:6">
      <c r="F52173" s="2423"/>
    </row>
    <row r="52174" spans="6:6">
      <c r="F52174" s="2423"/>
    </row>
    <row r="52175" spans="6:6">
      <c r="F52175" s="2423"/>
    </row>
    <row r="52176" spans="6:6">
      <c r="F52176" s="2423"/>
    </row>
    <row r="52177" spans="6:6">
      <c r="F52177" s="2423"/>
    </row>
    <row r="52178" spans="6:6">
      <c r="F52178" s="2423"/>
    </row>
    <row r="52179" spans="6:6">
      <c r="F52179" s="2423"/>
    </row>
    <row r="52180" spans="6:6">
      <c r="F52180" s="2423"/>
    </row>
    <row r="52181" spans="6:6">
      <c r="F52181" s="2423"/>
    </row>
    <row r="52182" spans="6:6">
      <c r="F52182" s="2423"/>
    </row>
    <row r="52183" spans="6:6">
      <c r="F52183" s="2423"/>
    </row>
    <row r="52184" spans="6:6">
      <c r="F52184" s="2423"/>
    </row>
    <row r="52185" spans="6:6">
      <c r="F52185" s="2423"/>
    </row>
    <row r="52186" spans="6:6">
      <c r="F52186" s="2423"/>
    </row>
    <row r="52187" spans="6:6">
      <c r="F52187" s="2423"/>
    </row>
    <row r="52188" spans="6:6">
      <c r="F52188" s="2423"/>
    </row>
    <row r="52189" spans="6:6">
      <c r="F52189" s="2423"/>
    </row>
    <row r="52190" spans="6:6">
      <c r="F52190" s="2423"/>
    </row>
    <row r="52191" spans="6:6">
      <c r="F52191" s="2423"/>
    </row>
    <row r="52192" spans="6:6">
      <c r="F52192" s="2423"/>
    </row>
    <row r="52193" spans="6:6">
      <c r="F52193" s="2423"/>
    </row>
    <row r="52194" spans="6:6">
      <c r="F52194" s="2423"/>
    </row>
    <row r="52195" spans="6:6">
      <c r="F52195" s="2423"/>
    </row>
    <row r="52196" spans="6:6">
      <c r="F52196" s="2423"/>
    </row>
    <row r="52197" spans="6:6">
      <c r="F52197" s="2423"/>
    </row>
    <row r="52198" spans="6:6">
      <c r="F52198" s="2423"/>
    </row>
    <row r="52199" spans="6:6">
      <c r="F52199" s="2423"/>
    </row>
    <row r="52200" spans="6:6">
      <c r="F52200" s="2423"/>
    </row>
    <row r="52201" spans="6:6">
      <c r="F52201" s="2423"/>
    </row>
    <row r="52202" spans="6:6">
      <c r="F52202" s="2423"/>
    </row>
    <row r="52203" spans="6:6">
      <c r="F52203" s="2423"/>
    </row>
    <row r="52204" spans="6:6">
      <c r="F52204" s="2423"/>
    </row>
    <row r="52205" spans="6:6">
      <c r="F52205" s="2423"/>
    </row>
    <row r="52206" spans="6:6">
      <c r="F52206" s="2423"/>
    </row>
    <row r="52207" spans="6:6">
      <c r="F52207" s="2423"/>
    </row>
    <row r="52208" spans="6:6">
      <c r="F52208" s="2423"/>
    </row>
    <row r="52209" spans="6:6">
      <c r="F52209" s="2423"/>
    </row>
    <row r="52210" spans="6:6">
      <c r="F52210" s="2423"/>
    </row>
    <row r="52211" spans="6:6">
      <c r="F52211" s="2423"/>
    </row>
    <row r="52212" spans="6:6">
      <c r="F52212" s="2423"/>
    </row>
    <row r="52213" spans="6:6">
      <c r="F52213" s="2423"/>
    </row>
    <row r="52214" spans="6:6">
      <c r="F52214" s="2423"/>
    </row>
    <row r="52215" spans="6:6">
      <c r="F52215" s="2423"/>
    </row>
    <row r="52216" spans="6:6">
      <c r="F52216" s="2423"/>
    </row>
    <row r="52217" spans="6:6">
      <c r="F52217" s="2423"/>
    </row>
    <row r="52218" spans="6:6">
      <c r="F52218" s="2423"/>
    </row>
    <row r="52219" spans="6:6">
      <c r="F52219" s="2423"/>
    </row>
    <row r="52220" spans="6:6">
      <c r="F52220" s="2423"/>
    </row>
    <row r="52221" spans="6:6">
      <c r="F52221" s="2423"/>
    </row>
    <row r="52222" spans="6:6">
      <c r="F52222" s="2423"/>
    </row>
    <row r="52223" spans="6:6">
      <c r="F52223" s="2423"/>
    </row>
    <row r="52224" spans="6:6">
      <c r="F52224" s="2423"/>
    </row>
    <row r="52225" spans="6:6">
      <c r="F52225" s="2423"/>
    </row>
    <row r="52226" spans="6:6">
      <c r="F52226" s="2423"/>
    </row>
    <row r="52227" spans="6:6">
      <c r="F52227" s="2423"/>
    </row>
    <row r="52228" spans="6:6">
      <c r="F52228" s="2423"/>
    </row>
    <row r="52229" spans="6:6">
      <c r="F52229" s="2423"/>
    </row>
    <row r="52230" spans="6:6">
      <c r="F52230" s="2423"/>
    </row>
    <row r="52231" spans="6:6">
      <c r="F52231" s="2423"/>
    </row>
    <row r="52232" spans="6:6">
      <c r="F52232" s="2423"/>
    </row>
    <row r="52233" spans="6:6">
      <c r="F52233" s="2423"/>
    </row>
    <row r="52234" spans="6:6">
      <c r="F52234" s="2423"/>
    </row>
    <row r="52235" spans="6:6">
      <c r="F52235" s="2423"/>
    </row>
    <row r="52236" spans="6:6">
      <c r="F52236" s="2423"/>
    </row>
    <row r="52237" spans="6:6">
      <c r="F52237" s="2423"/>
    </row>
    <row r="52238" spans="6:6">
      <c r="F52238" s="2423"/>
    </row>
    <row r="52239" spans="6:6">
      <c r="F52239" s="2423"/>
    </row>
    <row r="52240" spans="6:6">
      <c r="F52240" s="2423"/>
    </row>
    <row r="52241" spans="6:6">
      <c r="F52241" s="2423"/>
    </row>
    <row r="52242" spans="6:6">
      <c r="F52242" s="2423"/>
    </row>
    <row r="52243" spans="6:6">
      <c r="F52243" s="2423"/>
    </row>
    <row r="52244" spans="6:6">
      <c r="F52244" s="2423"/>
    </row>
    <row r="52245" spans="6:6">
      <c r="F52245" s="2423"/>
    </row>
    <row r="52246" spans="6:6">
      <c r="F52246" s="2423"/>
    </row>
    <row r="52247" spans="6:6">
      <c r="F52247" s="2423"/>
    </row>
    <row r="52248" spans="6:6">
      <c r="F52248" s="2423"/>
    </row>
    <row r="52249" spans="6:6">
      <c r="F52249" s="2423"/>
    </row>
    <row r="52250" spans="6:6">
      <c r="F52250" s="2423"/>
    </row>
    <row r="52251" spans="6:6">
      <c r="F52251" s="2423"/>
    </row>
    <row r="52252" spans="6:6">
      <c r="F52252" s="2423"/>
    </row>
    <row r="52253" spans="6:6">
      <c r="F52253" s="2423"/>
    </row>
    <row r="52254" spans="6:6">
      <c r="F52254" s="2423"/>
    </row>
    <row r="52255" spans="6:6">
      <c r="F52255" s="2423"/>
    </row>
    <row r="52256" spans="6:6">
      <c r="F52256" s="2423"/>
    </row>
    <row r="52257" spans="6:6">
      <c r="F52257" s="2423"/>
    </row>
    <row r="52258" spans="6:6">
      <c r="F52258" s="2423"/>
    </row>
    <row r="52259" spans="6:6">
      <c r="F52259" s="2423"/>
    </row>
    <row r="52260" spans="6:6">
      <c r="F52260" s="2423"/>
    </row>
    <row r="52261" spans="6:6">
      <c r="F52261" s="2423"/>
    </row>
    <row r="52262" spans="6:6">
      <c r="F52262" s="2423"/>
    </row>
    <row r="52263" spans="6:6">
      <c r="F52263" s="2423"/>
    </row>
    <row r="52264" spans="6:6">
      <c r="F52264" s="2423"/>
    </row>
    <row r="52265" spans="6:6">
      <c r="F52265" s="2423"/>
    </row>
    <row r="52266" spans="6:6">
      <c r="F52266" s="2423"/>
    </row>
    <row r="52267" spans="6:6">
      <c r="F52267" s="2423"/>
    </row>
    <row r="52268" spans="6:6">
      <c r="F52268" s="2423"/>
    </row>
    <row r="52269" spans="6:6">
      <c r="F52269" s="2423"/>
    </row>
    <row r="52270" spans="6:6">
      <c r="F52270" s="2423"/>
    </row>
    <row r="52271" spans="6:6">
      <c r="F52271" s="2423"/>
    </row>
    <row r="52272" spans="6:6">
      <c r="F52272" s="2423"/>
    </row>
    <row r="52273" spans="6:6">
      <c r="F52273" s="2423"/>
    </row>
    <row r="52274" spans="6:6">
      <c r="F52274" s="2423"/>
    </row>
    <row r="52275" spans="6:6">
      <c r="F52275" s="2423"/>
    </row>
    <row r="52276" spans="6:6">
      <c r="F52276" s="2423"/>
    </row>
    <row r="52277" spans="6:6">
      <c r="F52277" s="2423"/>
    </row>
    <row r="52278" spans="6:6">
      <c r="F52278" s="2423"/>
    </row>
    <row r="52279" spans="6:6">
      <c r="F52279" s="2423"/>
    </row>
    <row r="52280" spans="6:6">
      <c r="F52280" s="2423"/>
    </row>
    <row r="52281" spans="6:6">
      <c r="F52281" s="2423"/>
    </row>
    <row r="52282" spans="6:6">
      <c r="F52282" s="2423"/>
    </row>
    <row r="52283" spans="6:6">
      <c r="F52283" s="2423"/>
    </row>
    <row r="52284" spans="6:6">
      <c r="F52284" s="2423"/>
    </row>
    <row r="52285" spans="6:6">
      <c r="F52285" s="2423"/>
    </row>
    <row r="52286" spans="6:6">
      <c r="F52286" s="2423"/>
    </row>
    <row r="52287" spans="6:6">
      <c r="F52287" s="2423"/>
    </row>
    <row r="52288" spans="6:6">
      <c r="F52288" s="2423"/>
    </row>
    <row r="52289" spans="6:6">
      <c r="F52289" s="2423"/>
    </row>
    <row r="52290" spans="6:6">
      <c r="F52290" s="2423"/>
    </row>
    <row r="52291" spans="6:6">
      <c r="F52291" s="2423"/>
    </row>
    <row r="52292" spans="6:6">
      <c r="F52292" s="2423"/>
    </row>
    <row r="52293" spans="6:6">
      <c r="F52293" s="2423"/>
    </row>
    <row r="52294" spans="6:6">
      <c r="F52294" s="2423"/>
    </row>
    <row r="52295" spans="6:6">
      <c r="F52295" s="2423"/>
    </row>
    <row r="52296" spans="6:6">
      <c r="F52296" s="2423"/>
    </row>
    <row r="52297" spans="6:6">
      <c r="F52297" s="2423"/>
    </row>
    <row r="52298" spans="6:6">
      <c r="F52298" s="2423"/>
    </row>
    <row r="52299" spans="6:6">
      <c r="F52299" s="2423"/>
    </row>
    <row r="52300" spans="6:6">
      <c r="F52300" s="2423"/>
    </row>
    <row r="52301" spans="6:6">
      <c r="F52301" s="2423"/>
    </row>
    <row r="52302" spans="6:6">
      <c r="F52302" s="2423"/>
    </row>
    <row r="52303" spans="6:6">
      <c r="F52303" s="2423"/>
    </row>
    <row r="52304" spans="6:6">
      <c r="F52304" s="2423"/>
    </row>
    <row r="52305" spans="6:6">
      <c r="F52305" s="2423"/>
    </row>
    <row r="52306" spans="6:6">
      <c r="F52306" s="2423"/>
    </row>
    <row r="52307" spans="6:6">
      <c r="F52307" s="2423"/>
    </row>
    <row r="52308" spans="6:6">
      <c r="F52308" s="2423"/>
    </row>
    <row r="52309" spans="6:6">
      <c r="F52309" s="2423"/>
    </row>
    <row r="52310" spans="6:6">
      <c r="F52310" s="2423"/>
    </row>
    <row r="52311" spans="6:6">
      <c r="F52311" s="2423"/>
    </row>
    <row r="52312" spans="6:6">
      <c r="F52312" s="2423"/>
    </row>
    <row r="52313" spans="6:6">
      <c r="F52313" s="2423"/>
    </row>
    <row r="52314" spans="6:6">
      <c r="F52314" s="2423"/>
    </row>
    <row r="52315" spans="6:6">
      <c r="F52315" s="2423"/>
    </row>
    <row r="52316" spans="6:6">
      <c r="F52316" s="2423"/>
    </row>
    <row r="52317" spans="6:6">
      <c r="F52317" s="2423"/>
    </row>
    <row r="52318" spans="6:6">
      <c r="F52318" s="2423"/>
    </row>
    <row r="52319" spans="6:6">
      <c r="F52319" s="2423"/>
    </row>
    <row r="52320" spans="6:6">
      <c r="F52320" s="2423"/>
    </row>
    <row r="52321" spans="6:6">
      <c r="F52321" s="2423"/>
    </row>
    <row r="52322" spans="6:6">
      <c r="F52322" s="2423"/>
    </row>
    <row r="52323" spans="6:6">
      <c r="F52323" s="2423"/>
    </row>
    <row r="52324" spans="6:6">
      <c r="F52324" s="2423"/>
    </row>
    <row r="52325" spans="6:6">
      <c r="F52325" s="2423"/>
    </row>
    <row r="52326" spans="6:6">
      <c r="F52326" s="2423"/>
    </row>
    <row r="52327" spans="6:6">
      <c r="F52327" s="2423"/>
    </row>
    <row r="52328" spans="6:6">
      <c r="F52328" s="2423"/>
    </row>
    <row r="52329" spans="6:6">
      <c r="F52329" s="2423"/>
    </row>
    <row r="52330" spans="6:6">
      <c r="F52330" s="2423"/>
    </row>
    <row r="52331" spans="6:6">
      <c r="F52331" s="2423"/>
    </row>
    <row r="52332" spans="6:6">
      <c r="F52332" s="2423"/>
    </row>
    <row r="52333" spans="6:6">
      <c r="F52333" s="2423"/>
    </row>
    <row r="52334" spans="6:6">
      <c r="F52334" s="2423"/>
    </row>
    <row r="52335" spans="6:6">
      <c r="F52335" s="2423"/>
    </row>
    <row r="52336" spans="6:6">
      <c r="F52336" s="2423"/>
    </row>
    <row r="52337" spans="6:6">
      <c r="F52337" s="2423"/>
    </row>
    <row r="52338" spans="6:6">
      <c r="F52338" s="2423"/>
    </row>
    <row r="52339" spans="6:6">
      <c r="F52339" s="2423"/>
    </row>
    <row r="52340" spans="6:6">
      <c r="F52340" s="2423"/>
    </row>
    <row r="52341" spans="6:6">
      <c r="F52341" s="2423"/>
    </row>
    <row r="52342" spans="6:6">
      <c r="F52342" s="2423"/>
    </row>
    <row r="52343" spans="6:6">
      <c r="F52343" s="2423"/>
    </row>
    <row r="52344" spans="6:6">
      <c r="F52344" s="2423"/>
    </row>
    <row r="52345" spans="6:6">
      <c r="F52345" s="2423"/>
    </row>
    <row r="52346" spans="6:6">
      <c r="F52346" s="2423"/>
    </row>
    <row r="52347" spans="6:6">
      <c r="F52347" s="2423"/>
    </row>
    <row r="52348" spans="6:6">
      <c r="F52348" s="2423"/>
    </row>
    <row r="52349" spans="6:6">
      <c r="F52349" s="2423"/>
    </row>
    <row r="52350" spans="6:6">
      <c r="F52350" s="2423"/>
    </row>
    <row r="52351" spans="6:6">
      <c r="F52351" s="2423"/>
    </row>
    <row r="52352" spans="6:6">
      <c r="F52352" s="2423"/>
    </row>
    <row r="52353" spans="6:6">
      <c r="F52353" s="2423"/>
    </row>
    <row r="52354" spans="6:6">
      <c r="F52354" s="2423"/>
    </row>
    <row r="52355" spans="6:6">
      <c r="F52355" s="2423"/>
    </row>
    <row r="52356" spans="6:6">
      <c r="F52356" s="2423"/>
    </row>
    <row r="52357" spans="6:6">
      <c r="F52357" s="2423"/>
    </row>
    <row r="52358" spans="6:6">
      <c r="F52358" s="2423"/>
    </row>
    <row r="52359" spans="6:6">
      <c r="F52359" s="2423"/>
    </row>
    <row r="52360" spans="6:6">
      <c r="F52360" s="2423"/>
    </row>
    <row r="52361" spans="6:6">
      <c r="F52361" s="2423"/>
    </row>
    <row r="52362" spans="6:6">
      <c r="F52362" s="2423"/>
    </row>
    <row r="52363" spans="6:6">
      <c r="F52363" s="2423"/>
    </row>
    <row r="52364" spans="6:6">
      <c r="F52364" s="2423"/>
    </row>
    <row r="52365" spans="6:6">
      <c r="F52365" s="2423"/>
    </row>
    <row r="52366" spans="6:6">
      <c r="F52366" s="2423"/>
    </row>
    <row r="52367" spans="6:6">
      <c r="F52367" s="2423"/>
    </row>
    <row r="52368" spans="6:6">
      <c r="F52368" s="2423"/>
    </row>
    <row r="52369" spans="6:6">
      <c r="F52369" s="2423"/>
    </row>
    <row r="52370" spans="6:6">
      <c r="F52370" s="2423"/>
    </row>
    <row r="52371" spans="6:6">
      <c r="F52371" s="2423"/>
    </row>
    <row r="52372" spans="6:6">
      <c r="F52372" s="2423"/>
    </row>
    <row r="52373" spans="6:6">
      <c r="F52373" s="2423"/>
    </row>
    <row r="52374" spans="6:6">
      <c r="F52374" s="2423"/>
    </row>
    <row r="52375" spans="6:6">
      <c r="F52375" s="2423"/>
    </row>
    <row r="52376" spans="6:6">
      <c r="F52376" s="2423"/>
    </row>
    <row r="52377" spans="6:6">
      <c r="F52377" s="2423"/>
    </row>
    <row r="52378" spans="6:6">
      <c r="F52378" s="2423"/>
    </row>
    <row r="52379" spans="6:6">
      <c r="F52379" s="2423"/>
    </row>
    <row r="52380" spans="6:6">
      <c r="F52380" s="2423"/>
    </row>
    <row r="52381" spans="6:6">
      <c r="F52381" s="2423"/>
    </row>
    <row r="52382" spans="6:6">
      <c r="F52382" s="2423"/>
    </row>
    <row r="52383" spans="6:6">
      <c r="F52383" s="2423"/>
    </row>
    <row r="52384" spans="6:6">
      <c r="F52384" s="2423"/>
    </row>
    <row r="52385" spans="6:6">
      <c r="F52385" s="2423"/>
    </row>
    <row r="52386" spans="6:6">
      <c r="F52386" s="2423"/>
    </row>
    <row r="52387" spans="6:6">
      <c r="F52387" s="2423"/>
    </row>
    <row r="52388" spans="6:6">
      <c r="F52388" s="2423"/>
    </row>
    <row r="52389" spans="6:6">
      <c r="F52389" s="2423"/>
    </row>
    <row r="52390" spans="6:6">
      <c r="F52390" s="2423"/>
    </row>
    <row r="52391" spans="6:6">
      <c r="F52391" s="2423"/>
    </row>
    <row r="52392" spans="6:6">
      <c r="F52392" s="2423"/>
    </row>
    <row r="52393" spans="6:6">
      <c r="F52393" s="2423"/>
    </row>
    <row r="52394" spans="6:6">
      <c r="F52394" s="2423"/>
    </row>
    <row r="52395" spans="6:6">
      <c r="F52395" s="2423"/>
    </row>
    <row r="52396" spans="6:6">
      <c r="F52396" s="2423"/>
    </row>
    <row r="52397" spans="6:6">
      <c r="F52397" s="2423"/>
    </row>
    <row r="52398" spans="6:6">
      <c r="F52398" s="2423"/>
    </row>
    <row r="52399" spans="6:6">
      <c r="F52399" s="2423"/>
    </row>
    <row r="52400" spans="6:6">
      <c r="F52400" s="2423"/>
    </row>
    <row r="52401" spans="6:6">
      <c r="F52401" s="2423"/>
    </row>
    <row r="52402" spans="6:6">
      <c r="F52402" s="2423"/>
    </row>
    <row r="52403" spans="6:6">
      <c r="F52403" s="2423"/>
    </row>
    <row r="52404" spans="6:6">
      <c r="F52404" s="2423"/>
    </row>
    <row r="52405" spans="6:6">
      <c r="F52405" s="2423"/>
    </row>
    <row r="52406" spans="6:6">
      <c r="F52406" s="2423"/>
    </row>
    <row r="52407" spans="6:6">
      <c r="F52407" s="2423"/>
    </row>
    <row r="52408" spans="6:6">
      <c r="F52408" s="2423"/>
    </row>
    <row r="52409" spans="6:6">
      <c r="F52409" s="2423"/>
    </row>
    <row r="52410" spans="6:6">
      <c r="F52410" s="2423"/>
    </row>
    <row r="52411" spans="6:6">
      <c r="F52411" s="2423"/>
    </row>
    <row r="52412" spans="6:6">
      <c r="F52412" s="2423"/>
    </row>
    <row r="52413" spans="6:6">
      <c r="F52413" s="2423"/>
    </row>
    <row r="52414" spans="6:6">
      <c r="F52414" s="2423"/>
    </row>
    <row r="52415" spans="6:6">
      <c r="F52415" s="2423"/>
    </row>
    <row r="52416" spans="6:6">
      <c r="F52416" s="2423"/>
    </row>
    <row r="52417" spans="6:6">
      <c r="F52417" s="2423"/>
    </row>
    <row r="52418" spans="6:6">
      <c r="F52418" s="2423"/>
    </row>
    <row r="52419" spans="6:6">
      <c r="F52419" s="2423"/>
    </row>
    <row r="52420" spans="6:6">
      <c r="F52420" s="2423"/>
    </row>
    <row r="52421" spans="6:6">
      <c r="F52421" s="2423"/>
    </row>
    <row r="52422" spans="6:6">
      <c r="F52422" s="2423"/>
    </row>
    <row r="52423" spans="6:6">
      <c r="F52423" s="2423"/>
    </row>
    <row r="52424" spans="6:6">
      <c r="F52424" s="2423"/>
    </row>
    <row r="52425" spans="6:6">
      <c r="F52425" s="2423"/>
    </row>
    <row r="52426" spans="6:6">
      <c r="F52426" s="2423"/>
    </row>
    <row r="52427" spans="6:6">
      <c r="F52427" s="2423"/>
    </row>
    <row r="52428" spans="6:6">
      <c r="F52428" s="2423"/>
    </row>
    <row r="52429" spans="6:6">
      <c r="F52429" s="2423"/>
    </row>
    <row r="52430" spans="6:6">
      <c r="F52430" s="2423"/>
    </row>
    <row r="52431" spans="6:6">
      <c r="F52431" s="2423"/>
    </row>
    <row r="52432" spans="6:6">
      <c r="F52432" s="2423"/>
    </row>
    <row r="52433" spans="6:6">
      <c r="F52433" s="2423"/>
    </row>
    <row r="52434" spans="6:6">
      <c r="F52434" s="2423"/>
    </row>
    <row r="52435" spans="6:6">
      <c r="F52435" s="2423"/>
    </row>
    <row r="52436" spans="6:6">
      <c r="F52436" s="2423"/>
    </row>
    <row r="52437" spans="6:6">
      <c r="F52437" s="2423"/>
    </row>
    <row r="52438" spans="6:6">
      <c r="F52438" s="2423"/>
    </row>
    <row r="52439" spans="6:6">
      <c r="F52439" s="2423"/>
    </row>
    <row r="52440" spans="6:6">
      <c r="F52440" s="2423"/>
    </row>
    <row r="52441" spans="6:6">
      <c r="F52441" s="2423"/>
    </row>
    <row r="52442" spans="6:6">
      <c r="F52442" s="2423"/>
    </row>
    <row r="52443" spans="6:6">
      <c r="F52443" s="2423"/>
    </row>
    <row r="52444" spans="6:6">
      <c r="F52444" s="2423"/>
    </row>
    <row r="52445" spans="6:6">
      <c r="F52445" s="2423"/>
    </row>
    <row r="52446" spans="6:6">
      <c r="F52446" s="2423"/>
    </row>
    <row r="52447" spans="6:6">
      <c r="F52447" s="2423"/>
    </row>
    <row r="52448" spans="6:6">
      <c r="F52448" s="2423"/>
    </row>
    <row r="52449" spans="6:6">
      <c r="F52449" s="2423"/>
    </row>
    <row r="52450" spans="6:6">
      <c r="F52450" s="2423"/>
    </row>
    <row r="52451" spans="6:6">
      <c r="F52451" s="2423"/>
    </row>
    <row r="52452" spans="6:6">
      <c r="F52452" s="2423"/>
    </row>
    <row r="52453" spans="6:6">
      <c r="F52453" s="2423"/>
    </row>
    <row r="52454" spans="6:6">
      <c r="F52454" s="2423"/>
    </row>
    <row r="52455" spans="6:6">
      <c r="F52455" s="2423"/>
    </row>
    <row r="52456" spans="6:6">
      <c r="F52456" s="2423"/>
    </row>
    <row r="52457" spans="6:6">
      <c r="F52457" s="2423"/>
    </row>
    <row r="52458" spans="6:6">
      <c r="F52458" s="2423"/>
    </row>
    <row r="52459" spans="6:6">
      <c r="F52459" s="2423"/>
    </row>
    <row r="52460" spans="6:6">
      <c r="F52460" s="2423"/>
    </row>
    <row r="52461" spans="6:6">
      <c r="F52461" s="2423"/>
    </row>
    <row r="52462" spans="6:6">
      <c r="F52462" s="2423"/>
    </row>
    <row r="52463" spans="6:6">
      <c r="F52463" s="2423"/>
    </row>
    <row r="52464" spans="6:6">
      <c r="F52464" s="2423"/>
    </row>
    <row r="52465" spans="6:6">
      <c r="F52465" s="2423"/>
    </row>
    <row r="52466" spans="6:6">
      <c r="F52466" s="2423"/>
    </row>
    <row r="52467" spans="6:6">
      <c r="F52467" s="2423"/>
    </row>
    <row r="52468" spans="6:6">
      <c r="F52468" s="2423"/>
    </row>
    <row r="52469" spans="6:6">
      <c r="F52469" s="2423"/>
    </row>
    <row r="52470" spans="6:6">
      <c r="F52470" s="2423"/>
    </row>
    <row r="52471" spans="6:6">
      <c r="F52471" s="2423"/>
    </row>
    <row r="52472" spans="6:6">
      <c r="F52472" s="2423"/>
    </row>
    <row r="52473" spans="6:6">
      <c r="F52473" s="2423"/>
    </row>
    <row r="52474" spans="6:6">
      <c r="F52474" s="2423"/>
    </row>
    <row r="52475" spans="6:6">
      <c r="F52475" s="2423"/>
    </row>
    <row r="52476" spans="6:6">
      <c r="F52476" s="2423"/>
    </row>
    <row r="52477" spans="6:6">
      <c r="F52477" s="2423"/>
    </row>
    <row r="52478" spans="6:6">
      <c r="F52478" s="2423"/>
    </row>
    <row r="52479" spans="6:6">
      <c r="F52479" s="2423"/>
    </row>
    <row r="52480" spans="6:6">
      <c r="F52480" s="2423"/>
    </row>
    <row r="52481" spans="6:6">
      <c r="F52481" s="2423"/>
    </row>
    <row r="52482" spans="6:6">
      <c r="F52482" s="2423"/>
    </row>
    <row r="52483" spans="6:6">
      <c r="F52483" s="2423"/>
    </row>
    <row r="52484" spans="6:6">
      <c r="F52484" s="2423"/>
    </row>
    <row r="52485" spans="6:6">
      <c r="F52485" s="2423"/>
    </row>
    <row r="52486" spans="6:6">
      <c r="F52486" s="2423"/>
    </row>
    <row r="52487" spans="6:6">
      <c r="F52487" s="2423"/>
    </row>
    <row r="52488" spans="6:6">
      <c r="F52488" s="2423"/>
    </row>
    <row r="52489" spans="6:6">
      <c r="F52489" s="2423"/>
    </row>
    <row r="52490" spans="6:6">
      <c r="F52490" s="2423"/>
    </row>
    <row r="52491" spans="6:6">
      <c r="F52491" s="2423"/>
    </row>
    <row r="52492" spans="6:6">
      <c r="F52492" s="2423"/>
    </row>
    <row r="52493" spans="6:6">
      <c r="F52493" s="2423"/>
    </row>
    <row r="52494" spans="6:6">
      <c r="F52494" s="2423"/>
    </row>
    <row r="52495" spans="6:6">
      <c r="F52495" s="2423"/>
    </row>
    <row r="52496" spans="6:6">
      <c r="F52496" s="2423"/>
    </row>
    <row r="52497" spans="6:6">
      <c r="F52497" s="2423"/>
    </row>
    <row r="52498" spans="6:6">
      <c r="F52498" s="2423"/>
    </row>
    <row r="52499" spans="6:6">
      <c r="F52499" s="2423"/>
    </row>
    <row r="52500" spans="6:6">
      <c r="F52500" s="2423"/>
    </row>
    <row r="52501" spans="6:6">
      <c r="F52501" s="2423"/>
    </row>
    <row r="52502" spans="6:6">
      <c r="F52502" s="2423"/>
    </row>
    <row r="52503" spans="6:6">
      <c r="F52503" s="2423"/>
    </row>
    <row r="52504" spans="6:6">
      <c r="F52504" s="2423"/>
    </row>
    <row r="52505" spans="6:6">
      <c r="F52505" s="2423"/>
    </row>
    <row r="52506" spans="6:6">
      <c r="F52506" s="2423"/>
    </row>
    <row r="52507" spans="6:6">
      <c r="F52507" s="2423"/>
    </row>
    <row r="52508" spans="6:6">
      <c r="F52508" s="2423"/>
    </row>
    <row r="52509" spans="6:6">
      <c r="F52509" s="2423"/>
    </row>
    <row r="52510" spans="6:6">
      <c r="F52510" s="2423"/>
    </row>
    <row r="52511" spans="6:6">
      <c r="F52511" s="2423"/>
    </row>
    <row r="52512" spans="6:6">
      <c r="F52512" s="2423"/>
    </row>
    <row r="52513" spans="6:6">
      <c r="F52513" s="2423"/>
    </row>
    <row r="52514" spans="6:6">
      <c r="F52514" s="2423"/>
    </row>
    <row r="52515" spans="6:6">
      <c r="F52515" s="2423"/>
    </row>
    <row r="52516" spans="6:6">
      <c r="F52516" s="2423"/>
    </row>
    <row r="52517" spans="6:6">
      <c r="F52517" s="2423"/>
    </row>
    <row r="52518" spans="6:6">
      <c r="F52518" s="2423"/>
    </row>
    <row r="52519" spans="6:6">
      <c r="F52519" s="2423"/>
    </row>
    <row r="52520" spans="6:6">
      <c r="F52520" s="2423"/>
    </row>
    <row r="52521" spans="6:6">
      <c r="F52521" s="2423"/>
    </row>
    <row r="52522" spans="6:6">
      <c r="F52522" s="2423"/>
    </row>
    <row r="52523" spans="6:6">
      <c r="F52523" s="2423"/>
    </row>
    <row r="52524" spans="6:6">
      <c r="F52524" s="2423"/>
    </row>
    <row r="52525" spans="6:6">
      <c r="F52525" s="2423"/>
    </row>
    <row r="52526" spans="6:6">
      <c r="F52526" s="2423"/>
    </row>
    <row r="52527" spans="6:6">
      <c r="F52527" s="2423"/>
    </row>
    <row r="52528" spans="6:6">
      <c r="F52528" s="2423"/>
    </row>
    <row r="52529" spans="6:6">
      <c r="F52529" s="2423"/>
    </row>
    <row r="52530" spans="6:6">
      <c r="F52530" s="2423"/>
    </row>
    <row r="52531" spans="6:6">
      <c r="F52531" s="2423"/>
    </row>
    <row r="52532" spans="6:6">
      <c r="F52532" s="2423"/>
    </row>
    <row r="52533" spans="6:6">
      <c r="F52533" s="2423"/>
    </row>
    <row r="52534" spans="6:6">
      <c r="F52534" s="2423"/>
    </row>
    <row r="52535" spans="6:6">
      <c r="F52535" s="2423"/>
    </row>
    <row r="52536" spans="6:6">
      <c r="F52536" s="2423"/>
    </row>
    <row r="52537" spans="6:6">
      <c r="F52537" s="2423"/>
    </row>
    <row r="52538" spans="6:6">
      <c r="F52538" s="2423"/>
    </row>
    <row r="52539" spans="6:6">
      <c r="F52539" s="2423"/>
    </row>
    <row r="52540" spans="6:6">
      <c r="F52540" s="2423"/>
    </row>
    <row r="52541" spans="6:6">
      <c r="F52541" s="2423"/>
    </row>
    <row r="52542" spans="6:6">
      <c r="F52542" s="2423"/>
    </row>
    <row r="52543" spans="6:6">
      <c r="F52543" s="2423"/>
    </row>
    <row r="52544" spans="6:6">
      <c r="F52544" s="2423"/>
    </row>
    <row r="52545" spans="6:6">
      <c r="F52545" s="2423"/>
    </row>
    <row r="52546" spans="6:6">
      <c r="F52546" s="2423"/>
    </row>
    <row r="52547" spans="6:6">
      <c r="F52547" s="2423"/>
    </row>
    <row r="52548" spans="6:6">
      <c r="F52548" s="2423"/>
    </row>
    <row r="52549" spans="6:6">
      <c r="F52549" s="2423"/>
    </row>
    <row r="52550" spans="6:6">
      <c r="F52550" s="2423"/>
    </row>
    <row r="52551" spans="6:6">
      <c r="F52551" s="2423"/>
    </row>
    <row r="52552" spans="6:6">
      <c r="F52552" s="2423"/>
    </row>
    <row r="52553" spans="6:6">
      <c r="F52553" s="2423"/>
    </row>
    <row r="52554" spans="6:6">
      <c r="F52554" s="2423"/>
    </row>
    <row r="52555" spans="6:6">
      <c r="F52555" s="2423"/>
    </row>
    <row r="52556" spans="6:6">
      <c r="F52556" s="2423"/>
    </row>
    <row r="52557" spans="6:6">
      <c r="F52557" s="2423"/>
    </row>
    <row r="52558" spans="6:6">
      <c r="F52558" s="2423"/>
    </row>
    <row r="52559" spans="6:6">
      <c r="F52559" s="2423"/>
    </row>
    <row r="52560" spans="6:6">
      <c r="F52560" s="2423"/>
    </row>
    <row r="52561" spans="6:6">
      <c r="F52561" s="2423"/>
    </row>
    <row r="52562" spans="6:6">
      <c r="F52562" s="2423"/>
    </row>
    <row r="52563" spans="6:6">
      <c r="F52563" s="2423"/>
    </row>
    <row r="52564" spans="6:6">
      <c r="F52564" s="2423"/>
    </row>
    <row r="52565" spans="6:6">
      <c r="F52565" s="2423"/>
    </row>
    <row r="52566" spans="6:6">
      <c r="F52566" s="2423"/>
    </row>
    <row r="52567" spans="6:6">
      <c r="F52567" s="2423"/>
    </row>
    <row r="52568" spans="6:6">
      <c r="F52568" s="2423"/>
    </row>
    <row r="52569" spans="6:6">
      <c r="F52569" s="2423"/>
    </row>
    <row r="52570" spans="6:6">
      <c r="F52570" s="2423"/>
    </row>
    <row r="52571" spans="6:6">
      <c r="F52571" s="2423"/>
    </row>
    <row r="52572" spans="6:6">
      <c r="F52572" s="2423"/>
    </row>
    <row r="52573" spans="6:6">
      <c r="F52573" s="2423"/>
    </row>
    <row r="52574" spans="6:6">
      <c r="F52574" s="2423"/>
    </row>
    <row r="52575" spans="6:6">
      <c r="F52575" s="2423"/>
    </row>
    <row r="52576" spans="6:6">
      <c r="F52576" s="2423"/>
    </row>
    <row r="52577" spans="6:6">
      <c r="F52577" s="2423"/>
    </row>
    <row r="52578" spans="6:6">
      <c r="F52578" s="2423"/>
    </row>
    <row r="52579" spans="6:6">
      <c r="F52579" s="2423"/>
    </row>
    <row r="52580" spans="6:6">
      <c r="F52580" s="2423"/>
    </row>
    <row r="52581" spans="6:6">
      <c r="F52581" s="2423"/>
    </row>
    <row r="52582" spans="6:6">
      <c r="F52582" s="2423"/>
    </row>
    <row r="52583" spans="6:6">
      <c r="F52583" s="2423"/>
    </row>
    <row r="52584" spans="6:6">
      <c r="F52584" s="2423"/>
    </row>
    <row r="52585" spans="6:6">
      <c r="F52585" s="2423"/>
    </row>
    <row r="52586" spans="6:6">
      <c r="F52586" s="2423"/>
    </row>
    <row r="52587" spans="6:6">
      <c r="F52587" s="2423"/>
    </row>
    <row r="52588" spans="6:6">
      <c r="F52588" s="2423"/>
    </row>
    <row r="52589" spans="6:6">
      <c r="F52589" s="2423"/>
    </row>
    <row r="52590" spans="6:6">
      <c r="F52590" s="2423"/>
    </row>
    <row r="52591" spans="6:6">
      <c r="F52591" s="2423"/>
    </row>
    <row r="52592" spans="6:6">
      <c r="F52592" s="2423"/>
    </row>
    <row r="52593" spans="6:6">
      <c r="F52593" s="2423"/>
    </row>
    <row r="52594" spans="6:6">
      <c r="F52594" s="2423"/>
    </row>
    <row r="52595" spans="6:6">
      <c r="F52595" s="2423"/>
    </row>
    <row r="52596" spans="6:6">
      <c r="F52596" s="2423"/>
    </row>
    <row r="52597" spans="6:6">
      <c r="F52597" s="2423"/>
    </row>
    <row r="52598" spans="6:6">
      <c r="F52598" s="2423"/>
    </row>
    <row r="52599" spans="6:6">
      <c r="F52599" s="2423"/>
    </row>
    <row r="52600" spans="6:6">
      <c r="F52600" s="2423"/>
    </row>
    <row r="52601" spans="6:6">
      <c r="F52601" s="2423"/>
    </row>
    <row r="52602" spans="6:6">
      <c r="F52602" s="2423"/>
    </row>
    <row r="52603" spans="6:6">
      <c r="F52603" s="2423"/>
    </row>
    <row r="52604" spans="6:6">
      <c r="F52604" s="2423"/>
    </row>
    <row r="52605" spans="6:6">
      <c r="F52605" s="2423"/>
    </row>
    <row r="52606" spans="6:6">
      <c r="F52606" s="2423"/>
    </row>
    <row r="52607" spans="6:6">
      <c r="F52607" s="2423"/>
    </row>
    <row r="52608" spans="6:6">
      <c r="F52608" s="2423"/>
    </row>
    <row r="52609" spans="6:6">
      <c r="F52609" s="2423"/>
    </row>
    <row r="52610" spans="6:6">
      <c r="F52610" s="2423"/>
    </row>
    <row r="52611" spans="6:6">
      <c r="F52611" s="2423"/>
    </row>
    <row r="52612" spans="6:6">
      <c r="F52612" s="2423"/>
    </row>
    <row r="52613" spans="6:6">
      <c r="F52613" s="2423"/>
    </row>
    <row r="52614" spans="6:6">
      <c r="F52614" s="2423"/>
    </row>
    <row r="52615" spans="6:6">
      <c r="F52615" s="2423"/>
    </row>
    <row r="52616" spans="6:6">
      <c r="F52616" s="2423"/>
    </row>
    <row r="52617" spans="6:6">
      <c r="F52617" s="2423"/>
    </row>
    <row r="52618" spans="6:6">
      <c r="F52618" s="2423"/>
    </row>
    <row r="52619" spans="6:6">
      <c r="F52619" s="2423"/>
    </row>
    <row r="52620" spans="6:6">
      <c r="F52620" s="2423"/>
    </row>
    <row r="52621" spans="6:6">
      <c r="F52621" s="2423"/>
    </row>
    <row r="52622" spans="6:6">
      <c r="F52622" s="2423"/>
    </row>
    <row r="52623" spans="6:6">
      <c r="F52623" s="2423"/>
    </row>
    <row r="52624" spans="6:6">
      <c r="F52624" s="2423"/>
    </row>
    <row r="52625" spans="6:6">
      <c r="F52625" s="2423"/>
    </row>
    <row r="52626" spans="6:6">
      <c r="F52626" s="2423"/>
    </row>
    <row r="52627" spans="6:6">
      <c r="F52627" s="2423"/>
    </row>
    <row r="52628" spans="6:6">
      <c r="F52628" s="2423"/>
    </row>
    <row r="52629" spans="6:6">
      <c r="F52629" s="2423"/>
    </row>
    <row r="52630" spans="6:6">
      <c r="F52630" s="2423"/>
    </row>
    <row r="52631" spans="6:6">
      <c r="F52631" s="2423"/>
    </row>
    <row r="52632" spans="6:6">
      <c r="F52632" s="2423"/>
    </row>
    <row r="52633" spans="6:6">
      <c r="F52633" s="2423"/>
    </row>
    <row r="52634" spans="6:6">
      <c r="F52634" s="2423"/>
    </row>
    <row r="52635" spans="6:6">
      <c r="F52635" s="2423"/>
    </row>
    <row r="52636" spans="6:6">
      <c r="F52636" s="2423"/>
    </row>
    <row r="52637" spans="6:6">
      <c r="F52637" s="2423"/>
    </row>
    <row r="52638" spans="6:6">
      <c r="F52638" s="2423"/>
    </row>
    <row r="52639" spans="6:6">
      <c r="F52639" s="2423"/>
    </row>
    <row r="52640" spans="6:6">
      <c r="F52640" s="2423"/>
    </row>
    <row r="52641" spans="6:6">
      <c r="F52641" s="2423"/>
    </row>
    <row r="52642" spans="6:6">
      <c r="F52642" s="2423"/>
    </row>
    <row r="52643" spans="6:6">
      <c r="F52643" s="2423"/>
    </row>
    <row r="52644" spans="6:6">
      <c r="F52644" s="2423"/>
    </row>
    <row r="52645" spans="6:6">
      <c r="F52645" s="2423"/>
    </row>
    <row r="52646" spans="6:6">
      <c r="F52646" s="2423"/>
    </row>
    <row r="52647" spans="6:6">
      <c r="F52647" s="2423"/>
    </row>
    <row r="52648" spans="6:6">
      <c r="F52648" s="2423"/>
    </row>
    <row r="52649" spans="6:6">
      <c r="F52649" s="2423"/>
    </row>
    <row r="52650" spans="6:6">
      <c r="F52650" s="2423"/>
    </row>
    <row r="52651" spans="6:6">
      <c r="F52651" s="2423"/>
    </row>
    <row r="52652" spans="6:6">
      <c r="F52652" s="2423"/>
    </row>
    <row r="52653" spans="6:6">
      <c r="F52653" s="2423"/>
    </row>
    <row r="52654" spans="6:6">
      <c r="F52654" s="2423"/>
    </row>
    <row r="52655" spans="6:6">
      <c r="F52655" s="2423"/>
    </row>
    <row r="52656" spans="6:6">
      <c r="F52656" s="2423"/>
    </row>
    <row r="52657" spans="6:6">
      <c r="F52657" s="2423"/>
    </row>
    <row r="52658" spans="6:6">
      <c r="F52658" s="2423"/>
    </row>
    <row r="52659" spans="6:6">
      <c r="F52659" s="2423"/>
    </row>
    <row r="52660" spans="6:6">
      <c r="F52660" s="2423"/>
    </row>
    <row r="52661" spans="6:6">
      <c r="F52661" s="2423"/>
    </row>
    <row r="52662" spans="6:6">
      <c r="F52662" s="2423"/>
    </row>
    <row r="52663" spans="6:6">
      <c r="F52663" s="2423"/>
    </row>
    <row r="52664" spans="6:6">
      <c r="F52664" s="2423"/>
    </row>
    <row r="52665" spans="6:6">
      <c r="F52665" s="2423"/>
    </row>
    <row r="52666" spans="6:6">
      <c r="F52666" s="2423"/>
    </row>
    <row r="52667" spans="6:6">
      <c r="F52667" s="2423"/>
    </row>
    <row r="52668" spans="6:6">
      <c r="F52668" s="2423"/>
    </row>
    <row r="52669" spans="6:6">
      <c r="F52669" s="2423"/>
    </row>
    <row r="52670" spans="6:6">
      <c r="F52670" s="2423"/>
    </row>
    <row r="52671" spans="6:6">
      <c r="F52671" s="2423"/>
    </row>
    <row r="52672" spans="6:6">
      <c r="F52672" s="2423"/>
    </row>
    <row r="52673" spans="6:6">
      <c r="F52673" s="2423"/>
    </row>
    <row r="52674" spans="6:6">
      <c r="F52674" s="2423"/>
    </row>
    <row r="52675" spans="6:6">
      <c r="F52675" s="2423"/>
    </row>
    <row r="52676" spans="6:6">
      <c r="F52676" s="2423"/>
    </row>
    <row r="52677" spans="6:6">
      <c r="F52677" s="2423"/>
    </row>
    <row r="52678" spans="6:6">
      <c r="F52678" s="2423"/>
    </row>
    <row r="52679" spans="6:6">
      <c r="F52679" s="2423"/>
    </row>
    <row r="52680" spans="6:6">
      <c r="F52680" s="2423"/>
    </row>
    <row r="52681" spans="6:6">
      <c r="F52681" s="2423"/>
    </row>
    <row r="52682" spans="6:6">
      <c r="F52682" s="2423"/>
    </row>
    <row r="52683" spans="6:6">
      <c r="F52683" s="2423"/>
    </row>
    <row r="52684" spans="6:6">
      <c r="F52684" s="2423"/>
    </row>
    <row r="52685" spans="6:6">
      <c r="F52685" s="2423"/>
    </row>
    <row r="52686" spans="6:6">
      <c r="F52686" s="2423"/>
    </row>
    <row r="52687" spans="6:6">
      <c r="F52687" s="2423"/>
    </row>
    <row r="52688" spans="6:6">
      <c r="F52688" s="2423"/>
    </row>
    <row r="52689" spans="6:6">
      <c r="F52689" s="2423"/>
    </row>
    <row r="52690" spans="6:6">
      <c r="F52690" s="2423"/>
    </row>
    <row r="52691" spans="6:6">
      <c r="F52691" s="2423"/>
    </row>
    <row r="52692" spans="6:6">
      <c r="F52692" s="2423"/>
    </row>
    <row r="52693" spans="6:6">
      <c r="F52693" s="2423"/>
    </row>
    <row r="52694" spans="6:6">
      <c r="F52694" s="2423"/>
    </row>
    <row r="52695" spans="6:6">
      <c r="F52695" s="2423"/>
    </row>
    <row r="52696" spans="6:6">
      <c r="F52696" s="2423"/>
    </row>
    <row r="52697" spans="6:6">
      <c r="F52697" s="2423"/>
    </row>
    <row r="52698" spans="6:6">
      <c r="F52698" s="2423"/>
    </row>
    <row r="52699" spans="6:6">
      <c r="F52699" s="2423"/>
    </row>
    <row r="52700" spans="6:6">
      <c r="F52700" s="2423"/>
    </row>
    <row r="52701" spans="6:6">
      <c r="F52701" s="2423"/>
    </row>
    <row r="52702" spans="6:6">
      <c r="F52702" s="2423"/>
    </row>
    <row r="52703" spans="6:6">
      <c r="F52703" s="2423"/>
    </row>
    <row r="52704" spans="6:6">
      <c r="F52704" s="2423"/>
    </row>
    <row r="52705" spans="6:6">
      <c r="F52705" s="2423"/>
    </row>
    <row r="52706" spans="6:6">
      <c r="F52706" s="2423"/>
    </row>
    <row r="52707" spans="6:6">
      <c r="F52707" s="2423"/>
    </row>
    <row r="52708" spans="6:6">
      <c r="F52708" s="2423"/>
    </row>
    <row r="52709" spans="6:6">
      <c r="F52709" s="2423"/>
    </row>
    <row r="52710" spans="6:6">
      <c r="F52710" s="2423"/>
    </row>
    <row r="52711" spans="6:6">
      <c r="F52711" s="2423"/>
    </row>
    <row r="52712" spans="6:6">
      <c r="F52712" s="2423"/>
    </row>
    <row r="52713" spans="6:6">
      <c r="F52713" s="2423"/>
    </row>
    <row r="52714" spans="6:6">
      <c r="F52714" s="2423"/>
    </row>
    <row r="52715" spans="6:6">
      <c r="F52715" s="2423"/>
    </row>
    <row r="52716" spans="6:6">
      <c r="F52716" s="2423"/>
    </row>
    <row r="52717" spans="6:6">
      <c r="F52717" s="2423"/>
    </row>
    <row r="52718" spans="6:6">
      <c r="F52718" s="2423"/>
    </row>
    <row r="52719" spans="6:6">
      <c r="F52719" s="2423"/>
    </row>
    <row r="52720" spans="6:6">
      <c r="F52720" s="2423"/>
    </row>
    <row r="52721" spans="6:6">
      <c r="F52721" s="2423"/>
    </row>
    <row r="52722" spans="6:6">
      <c r="F52722" s="2423"/>
    </row>
    <row r="52723" spans="6:6">
      <c r="F52723" s="2423"/>
    </row>
    <row r="52724" spans="6:6">
      <c r="F52724" s="2423"/>
    </row>
    <row r="52725" spans="6:6">
      <c r="F52725" s="2423"/>
    </row>
    <row r="52726" spans="6:6">
      <c r="F52726" s="2423"/>
    </row>
    <row r="52727" spans="6:6">
      <c r="F52727" s="2423"/>
    </row>
    <row r="52728" spans="6:6">
      <c r="F52728" s="2423"/>
    </row>
    <row r="52729" spans="6:6">
      <c r="F52729" s="2423"/>
    </row>
    <row r="52730" spans="6:6">
      <c r="F52730" s="2423"/>
    </row>
    <row r="52731" spans="6:6">
      <c r="F52731" s="2423"/>
    </row>
    <row r="52732" spans="6:6">
      <c r="F52732" s="2423"/>
    </row>
    <row r="52733" spans="6:6">
      <c r="F52733" s="2423"/>
    </row>
    <row r="52734" spans="6:6">
      <c r="F52734" s="2423"/>
    </row>
    <row r="52735" spans="6:6">
      <c r="F52735" s="2423"/>
    </row>
    <row r="52736" spans="6:6">
      <c r="F52736" s="2423"/>
    </row>
    <row r="52737" spans="6:6">
      <c r="F52737" s="2423"/>
    </row>
    <row r="52738" spans="6:6">
      <c r="F52738" s="2423"/>
    </row>
    <row r="52739" spans="6:6">
      <c r="F52739" s="2423"/>
    </row>
    <row r="52740" spans="6:6">
      <c r="F52740" s="2423"/>
    </row>
    <row r="52741" spans="6:6">
      <c r="F52741" s="2423"/>
    </row>
    <row r="52742" spans="6:6">
      <c r="F52742" s="2423"/>
    </row>
    <row r="52743" spans="6:6">
      <c r="F52743" s="2423"/>
    </row>
    <row r="52744" spans="6:6">
      <c r="F52744" s="2423"/>
    </row>
    <row r="52745" spans="6:6">
      <c r="F52745" s="2423"/>
    </row>
    <row r="52746" spans="6:6">
      <c r="F52746" s="2423"/>
    </row>
    <row r="52747" spans="6:6">
      <c r="F52747" s="2423"/>
    </row>
    <row r="52748" spans="6:6">
      <c r="F52748" s="2423"/>
    </row>
    <row r="52749" spans="6:6">
      <c r="F52749" s="2423"/>
    </row>
    <row r="52750" spans="6:6">
      <c r="F52750" s="2423"/>
    </row>
    <row r="52751" spans="6:6">
      <c r="F52751" s="2423"/>
    </row>
    <row r="52752" spans="6:6">
      <c r="F52752" s="2423"/>
    </row>
    <row r="52753" spans="6:6">
      <c r="F52753" s="2423"/>
    </row>
    <row r="52754" spans="6:6">
      <c r="F52754" s="2423"/>
    </row>
    <row r="52755" spans="6:6">
      <c r="F52755" s="2423"/>
    </row>
    <row r="52756" spans="6:6">
      <c r="F52756" s="2423"/>
    </row>
    <row r="52757" spans="6:6">
      <c r="F52757" s="2423"/>
    </row>
    <row r="52758" spans="6:6">
      <c r="F52758" s="2423"/>
    </row>
    <row r="52759" spans="6:6">
      <c r="F52759" s="2423"/>
    </row>
    <row r="52760" spans="6:6">
      <c r="F52760" s="2423"/>
    </row>
    <row r="52761" spans="6:6">
      <c r="F52761" s="2423"/>
    </row>
    <row r="52762" spans="6:6">
      <c r="F52762" s="2423"/>
    </row>
    <row r="52763" spans="6:6">
      <c r="F52763" s="2423"/>
    </row>
    <row r="52764" spans="6:6">
      <c r="F52764" s="2423"/>
    </row>
    <row r="52765" spans="6:6">
      <c r="F52765" s="2423"/>
    </row>
    <row r="52766" spans="6:6">
      <c r="F52766" s="2423"/>
    </row>
    <row r="52767" spans="6:6">
      <c r="F52767" s="2423"/>
    </row>
    <row r="52768" spans="6:6">
      <c r="F52768" s="2423"/>
    </row>
    <row r="52769" spans="6:6">
      <c r="F52769" s="2423"/>
    </row>
    <row r="52770" spans="6:6">
      <c r="F52770" s="2423"/>
    </row>
    <row r="52771" spans="6:6">
      <c r="F52771" s="2423"/>
    </row>
    <row r="52772" spans="6:6">
      <c r="F52772" s="2423"/>
    </row>
    <row r="52773" spans="6:6">
      <c r="F52773" s="2423"/>
    </row>
    <row r="52774" spans="6:6">
      <c r="F52774" s="2423"/>
    </row>
    <row r="52775" spans="6:6">
      <c r="F52775" s="2423"/>
    </row>
    <row r="52776" spans="6:6">
      <c r="F52776" s="2423"/>
    </row>
    <row r="52777" spans="6:6">
      <c r="F52777" s="2423"/>
    </row>
    <row r="52778" spans="6:6">
      <c r="F52778" s="2423"/>
    </row>
    <row r="52779" spans="6:6">
      <c r="F52779" s="2423"/>
    </row>
    <row r="52780" spans="6:6">
      <c r="F52780" s="2423"/>
    </row>
    <row r="52781" spans="6:6">
      <c r="F52781" s="2423"/>
    </row>
    <row r="52782" spans="6:6">
      <c r="F52782" s="2423"/>
    </row>
    <row r="52783" spans="6:6">
      <c r="F52783" s="2423"/>
    </row>
    <row r="52784" spans="6:6">
      <c r="F52784" s="2423"/>
    </row>
    <row r="52785" spans="6:6">
      <c r="F52785" s="2423"/>
    </row>
    <row r="52786" spans="6:6">
      <c r="F52786" s="2423"/>
    </row>
    <row r="52787" spans="6:6">
      <c r="F52787" s="2423"/>
    </row>
    <row r="52788" spans="6:6">
      <c r="F52788" s="2423"/>
    </row>
    <row r="52789" spans="6:6">
      <c r="F52789" s="2423"/>
    </row>
    <row r="52790" spans="6:6">
      <c r="F52790" s="2423"/>
    </row>
    <row r="52791" spans="6:6">
      <c r="F52791" s="2423"/>
    </row>
    <row r="52792" spans="6:6">
      <c r="F52792" s="2423"/>
    </row>
    <row r="52793" spans="6:6">
      <c r="F52793" s="2423"/>
    </row>
    <row r="52794" spans="6:6">
      <c r="F52794" s="2423"/>
    </row>
    <row r="52795" spans="6:6">
      <c r="F52795" s="2423"/>
    </row>
    <row r="52796" spans="6:6">
      <c r="F52796" s="2423"/>
    </row>
    <row r="52797" spans="6:6">
      <c r="F52797" s="2423"/>
    </row>
    <row r="52798" spans="6:6">
      <c r="F52798" s="2423"/>
    </row>
    <row r="52799" spans="6:6">
      <c r="F52799" s="2423"/>
    </row>
    <row r="52800" spans="6:6">
      <c r="F52800" s="2423"/>
    </row>
    <row r="52801" spans="6:6">
      <c r="F52801" s="2423"/>
    </row>
    <row r="52802" spans="6:6">
      <c r="F52802" s="2423"/>
    </row>
    <row r="52803" spans="6:6">
      <c r="F52803" s="2423"/>
    </row>
    <row r="52804" spans="6:6">
      <c r="F52804" s="2423"/>
    </row>
    <row r="52805" spans="6:6">
      <c r="F52805" s="2423"/>
    </row>
    <row r="52806" spans="6:6">
      <c r="F52806" s="2423"/>
    </row>
    <row r="52807" spans="6:6">
      <c r="F52807" s="2423"/>
    </row>
    <row r="52808" spans="6:6">
      <c r="F52808" s="2423"/>
    </row>
    <row r="52809" spans="6:6">
      <c r="F52809" s="2423"/>
    </row>
    <row r="52810" spans="6:6">
      <c r="F52810" s="2423"/>
    </row>
    <row r="52811" spans="6:6">
      <c r="F52811" s="2423"/>
    </row>
    <row r="52812" spans="6:6">
      <c r="F52812" s="2423"/>
    </row>
    <row r="52813" spans="6:6">
      <c r="F52813" s="2423"/>
    </row>
    <row r="52814" spans="6:6">
      <c r="F52814" s="2423"/>
    </row>
    <row r="52815" spans="6:6">
      <c r="F52815" s="2423"/>
    </row>
    <row r="52816" spans="6:6">
      <c r="F52816" s="2423"/>
    </row>
    <row r="52817" spans="6:6">
      <c r="F52817" s="2423"/>
    </row>
    <row r="52818" spans="6:6">
      <c r="F52818" s="2423"/>
    </row>
    <row r="52819" spans="6:6">
      <c r="F52819" s="2423"/>
    </row>
    <row r="52820" spans="6:6">
      <c r="F52820" s="2423"/>
    </row>
    <row r="52821" spans="6:6">
      <c r="F52821" s="2423"/>
    </row>
    <row r="52822" spans="6:6">
      <c r="F52822" s="2423"/>
    </row>
    <row r="52823" spans="6:6">
      <c r="F52823" s="2423"/>
    </row>
    <row r="52824" spans="6:6">
      <c r="F52824" s="2423"/>
    </row>
    <row r="52825" spans="6:6">
      <c r="F52825" s="2423"/>
    </row>
    <row r="52826" spans="6:6">
      <c r="F52826" s="2423"/>
    </row>
    <row r="52827" spans="6:6">
      <c r="F52827" s="2423"/>
    </row>
    <row r="52828" spans="6:6">
      <c r="F52828" s="2423"/>
    </row>
    <row r="52829" spans="6:6">
      <c r="F52829" s="2423"/>
    </row>
    <row r="52830" spans="6:6">
      <c r="F52830" s="2423"/>
    </row>
    <row r="52831" spans="6:6">
      <c r="F52831" s="2423"/>
    </row>
    <row r="52832" spans="6:6">
      <c r="F52832" s="2423"/>
    </row>
    <row r="52833" spans="6:6">
      <c r="F52833" s="2423"/>
    </row>
    <row r="52834" spans="6:6">
      <c r="F52834" s="2423"/>
    </row>
    <row r="52835" spans="6:6">
      <c r="F52835" s="2423"/>
    </row>
    <row r="52836" spans="6:6">
      <c r="F52836" s="2423"/>
    </row>
    <row r="52837" spans="6:6">
      <c r="F52837" s="2423"/>
    </row>
    <row r="52838" spans="6:6">
      <c r="F52838" s="2423"/>
    </row>
    <row r="52839" spans="6:6">
      <c r="F52839" s="2423"/>
    </row>
    <row r="52840" spans="6:6">
      <c r="F52840" s="2423"/>
    </row>
    <row r="52841" spans="6:6">
      <c r="F52841" s="2423"/>
    </row>
    <row r="52842" spans="6:6">
      <c r="F52842" s="2423"/>
    </row>
    <row r="52843" spans="6:6">
      <c r="F52843" s="2423"/>
    </row>
    <row r="52844" spans="6:6">
      <c r="F52844" s="2423"/>
    </row>
    <row r="52845" spans="6:6">
      <c r="F52845" s="2423"/>
    </row>
    <row r="52846" spans="6:6">
      <c r="F52846" s="2423"/>
    </row>
    <row r="52847" spans="6:6">
      <c r="F52847" s="2423"/>
    </row>
    <row r="52848" spans="6:6">
      <c r="F52848" s="2423"/>
    </row>
    <row r="52849" spans="6:6">
      <c r="F52849" s="2423"/>
    </row>
    <row r="52850" spans="6:6">
      <c r="F52850" s="2423"/>
    </row>
    <row r="52851" spans="6:6">
      <c r="F52851" s="2423"/>
    </row>
    <row r="52852" spans="6:6">
      <c r="F52852" s="2423"/>
    </row>
    <row r="52853" spans="6:6">
      <c r="F52853" s="2423"/>
    </row>
    <row r="52854" spans="6:6">
      <c r="F52854" s="2423"/>
    </row>
    <row r="52855" spans="6:6">
      <c r="F52855" s="2423"/>
    </row>
    <row r="52856" spans="6:6">
      <c r="F52856" s="2423"/>
    </row>
    <row r="52857" spans="6:6">
      <c r="F52857" s="2423"/>
    </row>
    <row r="52858" spans="6:6">
      <c r="F52858" s="2423"/>
    </row>
    <row r="52859" spans="6:6">
      <c r="F52859" s="2423"/>
    </row>
    <row r="52860" spans="6:6">
      <c r="F52860" s="2423"/>
    </row>
    <row r="52861" spans="6:6">
      <c r="F52861" s="2423"/>
    </row>
    <row r="52862" spans="6:6">
      <c r="F52862" s="2423"/>
    </row>
    <row r="52863" spans="6:6">
      <c r="F52863" s="2423"/>
    </row>
    <row r="52864" spans="6:6">
      <c r="F52864" s="2423"/>
    </row>
    <row r="52865" spans="6:6">
      <c r="F52865" s="2423"/>
    </row>
    <row r="52866" spans="6:6">
      <c r="F52866" s="2423"/>
    </row>
    <row r="52867" spans="6:6">
      <c r="F52867" s="2423"/>
    </row>
    <row r="52868" spans="6:6">
      <c r="F52868" s="2423"/>
    </row>
    <row r="52869" spans="6:6">
      <c r="F52869" s="2423"/>
    </row>
    <row r="52870" spans="6:6">
      <c r="F52870" s="2423"/>
    </row>
    <row r="52871" spans="6:6">
      <c r="F52871" s="2423"/>
    </row>
    <row r="52872" spans="6:6">
      <c r="F52872" s="2423"/>
    </row>
    <row r="52873" spans="6:6">
      <c r="F52873" s="2423"/>
    </row>
    <row r="52874" spans="6:6">
      <c r="F52874" s="2423"/>
    </row>
    <row r="52875" spans="6:6">
      <c r="F52875" s="2423"/>
    </row>
    <row r="52876" spans="6:6">
      <c r="F52876" s="2423"/>
    </row>
    <row r="52877" spans="6:6">
      <c r="F52877" s="2423"/>
    </row>
    <row r="52878" spans="6:6">
      <c r="F52878" s="2423"/>
    </row>
    <row r="52879" spans="6:6">
      <c r="F52879" s="2423"/>
    </row>
    <row r="52880" spans="6:6">
      <c r="F52880" s="2423"/>
    </row>
    <row r="52881" spans="6:6">
      <c r="F52881" s="2423"/>
    </row>
    <row r="52882" spans="6:6">
      <c r="F52882" s="2423"/>
    </row>
    <row r="52883" spans="6:6">
      <c r="F52883" s="2423"/>
    </row>
    <row r="52884" spans="6:6">
      <c r="F52884" s="2423"/>
    </row>
    <row r="52885" spans="6:6">
      <c r="F52885" s="2423"/>
    </row>
    <row r="52886" spans="6:6">
      <c r="F52886" s="2423"/>
    </row>
    <row r="52887" spans="6:6">
      <c r="F52887" s="2423"/>
    </row>
    <row r="52888" spans="6:6">
      <c r="F52888" s="2423"/>
    </row>
    <row r="52889" spans="6:6">
      <c r="F52889" s="2423"/>
    </row>
    <row r="52890" spans="6:6">
      <c r="F52890" s="2423"/>
    </row>
    <row r="52891" spans="6:6">
      <c r="F52891" s="2423"/>
    </row>
    <row r="52892" spans="6:6">
      <c r="F52892" s="2423"/>
    </row>
    <row r="52893" spans="6:6">
      <c r="F52893" s="2423"/>
    </row>
    <row r="52894" spans="6:6">
      <c r="F52894" s="2423"/>
    </row>
    <row r="52895" spans="6:6">
      <c r="F52895" s="2423"/>
    </row>
    <row r="52896" spans="6:6">
      <c r="F52896" s="2423"/>
    </row>
    <row r="52897" spans="6:6">
      <c r="F52897" s="2423"/>
    </row>
    <row r="52898" spans="6:6">
      <c r="F52898" s="2423"/>
    </row>
    <row r="52899" spans="6:6">
      <c r="F52899" s="2423"/>
    </row>
    <row r="52900" spans="6:6">
      <c r="F52900" s="2423"/>
    </row>
    <row r="52901" spans="6:6">
      <c r="F52901" s="2423"/>
    </row>
    <row r="52902" spans="6:6">
      <c r="F52902" s="2423"/>
    </row>
    <row r="52903" spans="6:6">
      <c r="F52903" s="2423"/>
    </row>
    <row r="52904" spans="6:6">
      <c r="F52904" s="2423"/>
    </row>
    <row r="52905" spans="6:6">
      <c r="F52905" s="2423"/>
    </row>
    <row r="52906" spans="6:6">
      <c r="F52906" s="2423"/>
    </row>
    <row r="52907" spans="6:6">
      <c r="F52907" s="2423"/>
    </row>
    <row r="52908" spans="6:6">
      <c r="F52908" s="2423"/>
    </row>
    <row r="52909" spans="6:6">
      <c r="F52909" s="2423"/>
    </row>
    <row r="52910" spans="6:6">
      <c r="F52910" s="2423"/>
    </row>
    <row r="52911" spans="6:6">
      <c r="F52911" s="2423"/>
    </row>
    <row r="52912" spans="6:6">
      <c r="F52912" s="2423"/>
    </row>
    <row r="52913" spans="6:6">
      <c r="F52913" s="2423"/>
    </row>
    <row r="52914" spans="6:6">
      <c r="F52914" s="2423"/>
    </row>
    <row r="52915" spans="6:6">
      <c r="F52915" s="2423"/>
    </row>
    <row r="52916" spans="6:6">
      <c r="F52916" s="2423"/>
    </row>
    <row r="52917" spans="6:6">
      <c r="F52917" s="2423"/>
    </row>
    <row r="52918" spans="6:6">
      <c r="F52918" s="2423"/>
    </row>
    <row r="52919" spans="6:6">
      <c r="F52919" s="2423"/>
    </row>
    <row r="52920" spans="6:6">
      <c r="F52920" s="2423"/>
    </row>
    <row r="52921" spans="6:6">
      <c r="F52921" s="2423"/>
    </row>
    <row r="52922" spans="6:6">
      <c r="F52922" s="2423"/>
    </row>
    <row r="52923" spans="6:6">
      <c r="F52923" s="2423"/>
    </row>
    <row r="52924" spans="6:6">
      <c r="F52924" s="2423"/>
    </row>
    <row r="52925" spans="6:6">
      <c r="F52925" s="2423"/>
    </row>
    <row r="52926" spans="6:6">
      <c r="F52926" s="2423"/>
    </row>
    <row r="52927" spans="6:6">
      <c r="F52927" s="2423"/>
    </row>
    <row r="52928" spans="6:6">
      <c r="F52928" s="2423"/>
    </row>
    <row r="52929" spans="6:6">
      <c r="F52929" s="2423"/>
    </row>
    <row r="52930" spans="6:6">
      <c r="F52930" s="2423"/>
    </row>
    <row r="52931" spans="6:6">
      <c r="F52931" s="2423"/>
    </row>
    <row r="52932" spans="6:6">
      <c r="F52932" s="2423"/>
    </row>
    <row r="52933" spans="6:6">
      <c r="F52933" s="2423"/>
    </row>
    <row r="52934" spans="6:6">
      <c r="F52934" s="2423"/>
    </row>
    <row r="52935" spans="6:6">
      <c r="F52935" s="2423"/>
    </row>
    <row r="52936" spans="6:6">
      <c r="F52936" s="2423"/>
    </row>
    <row r="52937" spans="6:6">
      <c r="F52937" s="2423"/>
    </row>
    <row r="52938" spans="6:6">
      <c r="F52938" s="2423"/>
    </row>
    <row r="52939" spans="6:6">
      <c r="F52939" s="2423"/>
    </row>
    <row r="52940" spans="6:6">
      <c r="F52940" s="2423"/>
    </row>
    <row r="52941" spans="6:6">
      <c r="F52941" s="2423"/>
    </row>
    <row r="52942" spans="6:6">
      <c r="F52942" s="2423"/>
    </row>
    <row r="52943" spans="6:6">
      <c r="F52943" s="2423"/>
    </row>
    <row r="52944" spans="6:6">
      <c r="F52944" s="2423"/>
    </row>
    <row r="52945" spans="6:6">
      <c r="F52945" s="2423"/>
    </row>
    <row r="52946" spans="6:6">
      <c r="F52946" s="2423"/>
    </row>
    <row r="52947" spans="6:6">
      <c r="F52947" s="2423"/>
    </row>
    <row r="52948" spans="6:6">
      <c r="F52948" s="2423"/>
    </row>
    <row r="52949" spans="6:6">
      <c r="F52949" s="2423"/>
    </row>
    <row r="52950" spans="6:6">
      <c r="F52950" s="2423"/>
    </row>
    <row r="52951" spans="6:6">
      <c r="F52951" s="2423"/>
    </row>
    <row r="52952" spans="6:6">
      <c r="F52952" s="2423"/>
    </row>
    <row r="52953" spans="6:6">
      <c r="F52953" s="2423"/>
    </row>
    <row r="52954" spans="6:6">
      <c r="F52954" s="2423"/>
    </row>
    <row r="52955" spans="6:6">
      <c r="F52955" s="2423"/>
    </row>
    <row r="52956" spans="6:6">
      <c r="F52956" s="2423"/>
    </row>
    <row r="52957" spans="6:6">
      <c r="F52957" s="2423"/>
    </row>
    <row r="52958" spans="6:6">
      <c r="F52958" s="2423"/>
    </row>
    <row r="52959" spans="6:6">
      <c r="F52959" s="2423"/>
    </row>
    <row r="52960" spans="6:6">
      <c r="F52960" s="2423"/>
    </row>
    <row r="52961" spans="6:6">
      <c r="F52961" s="2423"/>
    </row>
    <row r="52962" spans="6:6">
      <c r="F52962" s="2423"/>
    </row>
    <row r="52963" spans="6:6">
      <c r="F52963" s="2423"/>
    </row>
    <row r="52964" spans="6:6">
      <c r="F52964" s="2423"/>
    </row>
    <row r="52965" spans="6:6">
      <c r="F52965" s="2423"/>
    </row>
    <row r="52966" spans="6:6">
      <c r="F52966" s="2423"/>
    </row>
    <row r="52967" spans="6:6">
      <c r="F52967" s="2423"/>
    </row>
    <row r="52968" spans="6:6">
      <c r="F52968" s="2423"/>
    </row>
    <row r="52969" spans="6:6">
      <c r="F52969" s="2423"/>
    </row>
    <row r="52970" spans="6:6">
      <c r="F52970" s="2423"/>
    </row>
    <row r="52971" spans="6:6">
      <c r="F52971" s="2423"/>
    </row>
    <row r="52972" spans="6:6">
      <c r="F52972" s="2423"/>
    </row>
    <row r="52973" spans="6:6">
      <c r="F52973" s="2423"/>
    </row>
    <row r="52974" spans="6:6">
      <c r="F52974" s="2423"/>
    </row>
    <row r="52975" spans="6:6">
      <c r="F52975" s="2423"/>
    </row>
    <row r="52976" spans="6:6">
      <c r="F52976" s="2423"/>
    </row>
    <row r="52977" spans="6:6">
      <c r="F52977" s="2423"/>
    </row>
    <row r="52978" spans="6:6">
      <c r="F52978" s="2423"/>
    </row>
    <row r="52979" spans="6:6">
      <c r="F52979" s="2423"/>
    </row>
    <row r="52980" spans="6:6">
      <c r="F52980" s="2423"/>
    </row>
    <row r="52981" spans="6:6">
      <c r="F52981" s="2423"/>
    </row>
    <row r="52982" spans="6:6">
      <c r="F52982" s="2423"/>
    </row>
    <row r="52983" spans="6:6">
      <c r="F52983" s="2423"/>
    </row>
    <row r="52984" spans="6:6">
      <c r="F52984" s="2423"/>
    </row>
    <row r="52985" spans="6:6">
      <c r="F52985" s="2423"/>
    </row>
    <row r="52986" spans="6:6">
      <c r="F52986" s="2423"/>
    </row>
    <row r="52987" spans="6:6">
      <c r="F52987" s="2423"/>
    </row>
    <row r="52988" spans="6:6">
      <c r="F52988" s="2423"/>
    </row>
    <row r="52989" spans="6:6">
      <c r="F52989" s="2423"/>
    </row>
    <row r="52990" spans="6:6">
      <c r="F52990" s="2423"/>
    </row>
    <row r="52991" spans="6:6">
      <c r="F52991" s="2423"/>
    </row>
    <row r="52992" spans="6:6">
      <c r="F52992" s="2423"/>
    </row>
    <row r="52993" spans="6:6">
      <c r="F52993" s="2423"/>
    </row>
    <row r="52994" spans="6:6">
      <c r="F52994" s="2423"/>
    </row>
    <row r="52995" spans="6:6">
      <c r="F52995" s="2423"/>
    </row>
    <row r="52996" spans="6:6">
      <c r="F52996" s="2423"/>
    </row>
    <row r="52997" spans="6:6">
      <c r="F52997" s="2423"/>
    </row>
    <row r="52998" spans="6:6">
      <c r="F52998" s="2423"/>
    </row>
    <row r="52999" spans="6:6">
      <c r="F52999" s="2423"/>
    </row>
    <row r="53000" spans="6:6">
      <c r="F53000" s="2423"/>
    </row>
    <row r="53001" spans="6:6">
      <c r="F53001" s="2423"/>
    </row>
    <row r="53002" spans="6:6">
      <c r="F53002" s="2423"/>
    </row>
    <row r="53003" spans="6:6">
      <c r="F53003" s="2423"/>
    </row>
    <row r="53004" spans="6:6">
      <c r="F53004" s="2423"/>
    </row>
    <row r="53005" spans="6:6">
      <c r="F53005" s="2423"/>
    </row>
    <row r="53006" spans="6:6">
      <c r="F53006" s="2423"/>
    </row>
    <row r="53007" spans="6:6">
      <c r="F53007" s="2423"/>
    </row>
    <row r="53008" spans="6:6">
      <c r="F53008" s="2423"/>
    </row>
    <row r="53009" spans="6:6">
      <c r="F53009" s="2423"/>
    </row>
    <row r="53010" spans="6:6">
      <c r="F53010" s="2423"/>
    </row>
    <row r="53011" spans="6:6">
      <c r="F53011" s="2423"/>
    </row>
    <row r="53012" spans="6:6">
      <c r="F53012" s="2423"/>
    </row>
    <row r="53013" spans="6:6">
      <c r="F53013" s="2423"/>
    </row>
    <row r="53014" spans="6:6">
      <c r="F53014" s="2423"/>
    </row>
    <row r="53015" spans="6:6">
      <c r="F53015" s="2423"/>
    </row>
    <row r="53016" spans="6:6">
      <c r="F53016" s="2423"/>
    </row>
    <row r="53017" spans="6:6">
      <c r="F53017" s="2423"/>
    </row>
    <row r="53018" spans="6:6">
      <c r="F53018" s="2423"/>
    </row>
    <row r="53019" spans="6:6">
      <c r="F53019" s="2423"/>
    </row>
    <row r="53020" spans="6:6">
      <c r="F53020" s="2423"/>
    </row>
    <row r="53021" spans="6:6">
      <c r="F53021" s="2423"/>
    </row>
    <row r="53022" spans="6:6">
      <c r="F53022" s="2423"/>
    </row>
    <row r="53023" spans="6:6">
      <c r="F53023" s="2423"/>
    </row>
    <row r="53024" spans="6:6">
      <c r="F53024" s="2423"/>
    </row>
    <row r="53025" spans="6:6">
      <c r="F53025" s="2423"/>
    </row>
    <row r="53026" spans="6:6">
      <c r="F53026" s="2423"/>
    </row>
    <row r="53027" spans="6:6">
      <c r="F53027" s="2423"/>
    </row>
    <row r="53028" spans="6:6">
      <c r="F53028" s="2423"/>
    </row>
    <row r="53029" spans="6:6">
      <c r="F53029" s="2423"/>
    </row>
    <row r="53030" spans="6:6">
      <c r="F53030" s="2423"/>
    </row>
    <row r="53031" spans="6:6">
      <c r="F53031" s="2423"/>
    </row>
    <row r="53032" spans="6:6">
      <c r="F53032" s="2423"/>
    </row>
    <row r="53033" spans="6:6">
      <c r="F53033" s="2423"/>
    </row>
    <row r="53034" spans="6:6">
      <c r="F53034" s="2423"/>
    </row>
    <row r="53035" spans="6:6">
      <c r="F53035" s="2423"/>
    </row>
    <row r="53036" spans="6:6">
      <c r="F53036" s="2423"/>
    </row>
    <row r="53037" spans="6:6">
      <c r="F53037" s="2423"/>
    </row>
    <row r="53038" spans="6:6">
      <c r="F53038" s="2423"/>
    </row>
    <row r="53039" spans="6:6">
      <c r="F53039" s="2423"/>
    </row>
    <row r="53040" spans="6:6">
      <c r="F53040" s="2423"/>
    </row>
    <row r="53041" spans="6:6">
      <c r="F53041" s="2423"/>
    </row>
    <row r="53042" spans="6:6">
      <c r="F53042" s="2423"/>
    </row>
    <row r="53043" spans="6:6">
      <c r="F53043" s="2423"/>
    </row>
    <row r="53044" spans="6:6">
      <c r="F53044" s="2423"/>
    </row>
    <row r="53045" spans="6:6">
      <c r="F53045" s="2423"/>
    </row>
    <row r="53046" spans="6:6">
      <c r="F53046" s="2423"/>
    </row>
    <row r="53047" spans="6:6">
      <c r="F53047" s="2423"/>
    </row>
    <row r="53048" spans="6:6">
      <c r="F53048" s="2423"/>
    </row>
    <row r="53049" spans="6:6">
      <c r="F53049" s="2423"/>
    </row>
    <row r="53050" spans="6:6">
      <c r="F53050" s="2423"/>
    </row>
    <row r="53051" spans="6:6">
      <c r="F53051" s="2423"/>
    </row>
    <row r="53052" spans="6:6">
      <c r="F53052" s="2423"/>
    </row>
    <row r="53053" spans="6:6">
      <c r="F53053" s="2423"/>
    </row>
    <row r="53054" spans="6:6">
      <c r="F53054" s="2423"/>
    </row>
    <row r="53055" spans="6:6">
      <c r="F53055" s="2423"/>
    </row>
    <row r="53056" spans="6:6">
      <c r="F53056" s="2423"/>
    </row>
    <row r="53057" spans="6:6">
      <c r="F53057" s="2423"/>
    </row>
    <row r="53058" spans="6:6">
      <c r="F53058" s="2423"/>
    </row>
    <row r="53059" spans="6:6">
      <c r="F53059" s="2423"/>
    </row>
    <row r="53060" spans="6:6">
      <c r="F53060" s="2423"/>
    </row>
    <row r="53061" spans="6:6">
      <c r="F53061" s="2423"/>
    </row>
    <row r="53062" spans="6:6">
      <c r="F53062" s="2423"/>
    </row>
    <row r="53063" spans="6:6">
      <c r="F53063" s="2423"/>
    </row>
    <row r="53064" spans="6:6">
      <c r="F53064" s="2423"/>
    </row>
    <row r="53065" spans="6:6">
      <c r="F53065" s="2423"/>
    </row>
    <row r="53066" spans="6:6">
      <c r="F53066" s="2423"/>
    </row>
    <row r="53067" spans="6:6">
      <c r="F53067" s="2423"/>
    </row>
    <row r="53068" spans="6:6">
      <c r="F53068" s="2423"/>
    </row>
    <row r="53069" spans="6:6">
      <c r="F53069" s="2423"/>
    </row>
    <row r="53070" spans="6:6">
      <c r="F53070" s="2423"/>
    </row>
    <row r="53071" spans="6:6">
      <c r="F53071" s="2423"/>
    </row>
    <row r="53072" spans="6:6">
      <c r="F53072" s="2423"/>
    </row>
    <row r="53073" spans="6:6">
      <c r="F53073" s="2423"/>
    </row>
    <row r="53074" spans="6:6">
      <c r="F53074" s="2423"/>
    </row>
    <row r="53075" spans="6:6">
      <c r="F53075" s="2423"/>
    </row>
    <row r="53076" spans="6:6">
      <c r="F53076" s="2423"/>
    </row>
    <row r="53077" spans="6:6">
      <c r="F53077" s="2423"/>
    </row>
    <row r="53078" spans="6:6">
      <c r="F53078" s="2423"/>
    </row>
    <row r="53079" spans="6:6">
      <c r="F53079" s="2423"/>
    </row>
    <row r="53080" spans="6:6">
      <c r="F53080" s="2423"/>
    </row>
    <row r="53081" spans="6:6">
      <c r="F53081" s="2423"/>
    </row>
    <row r="53082" spans="6:6">
      <c r="F53082" s="2423"/>
    </row>
    <row r="53083" spans="6:6">
      <c r="F53083" s="2423"/>
    </row>
    <row r="53084" spans="6:6">
      <c r="F53084" s="2423"/>
    </row>
    <row r="53085" spans="6:6">
      <c r="F53085" s="2423"/>
    </row>
    <row r="53086" spans="6:6">
      <c r="F53086" s="2423"/>
    </row>
    <row r="53087" spans="6:6">
      <c r="F53087" s="2423"/>
    </row>
    <row r="53088" spans="6:6">
      <c r="F53088" s="2423"/>
    </row>
    <row r="53089" spans="6:6">
      <c r="F53089" s="2423"/>
    </row>
    <row r="53090" spans="6:6">
      <c r="F53090" s="2423"/>
    </row>
    <row r="53091" spans="6:6">
      <c r="F53091" s="2423"/>
    </row>
    <row r="53092" spans="6:6">
      <c r="F53092" s="2423"/>
    </row>
    <row r="53093" spans="6:6">
      <c r="F53093" s="2423"/>
    </row>
    <row r="53094" spans="6:6">
      <c r="F53094" s="2423"/>
    </row>
    <row r="53095" spans="6:6">
      <c r="F53095" s="2423"/>
    </row>
    <row r="53096" spans="6:6">
      <c r="F53096" s="2423"/>
    </row>
    <row r="53097" spans="6:6">
      <c r="F53097" s="2423"/>
    </row>
    <row r="53098" spans="6:6">
      <c r="F53098" s="2423"/>
    </row>
    <row r="53099" spans="6:6">
      <c r="F53099" s="2423"/>
    </row>
    <row r="53100" spans="6:6">
      <c r="F53100" s="2423"/>
    </row>
    <row r="53101" spans="6:6">
      <c r="F53101" s="2423"/>
    </row>
    <row r="53102" spans="6:6">
      <c r="F53102" s="2423"/>
    </row>
    <row r="53103" spans="6:6">
      <c r="F53103" s="2423"/>
    </row>
    <row r="53104" spans="6:6">
      <c r="F53104" s="2423"/>
    </row>
    <row r="53105" spans="6:6">
      <c r="F53105" s="2423"/>
    </row>
    <row r="53106" spans="6:6">
      <c r="F53106" s="2423"/>
    </row>
    <row r="53107" spans="6:6">
      <c r="F53107" s="2423"/>
    </row>
    <row r="53108" spans="6:6">
      <c r="F53108" s="2423"/>
    </row>
    <row r="53109" spans="6:6">
      <c r="F53109" s="2423"/>
    </row>
    <row r="53110" spans="6:6">
      <c r="F53110" s="2423"/>
    </row>
    <row r="53111" spans="6:6">
      <c r="F53111" s="2423"/>
    </row>
    <row r="53112" spans="6:6">
      <c r="F53112" s="2423"/>
    </row>
    <row r="53113" spans="6:6">
      <c r="F53113" s="2423"/>
    </row>
    <row r="53114" spans="6:6">
      <c r="F53114" s="2423"/>
    </row>
    <row r="53115" spans="6:6">
      <c r="F53115" s="2423"/>
    </row>
    <row r="53116" spans="6:6">
      <c r="F53116" s="2423"/>
    </row>
    <row r="53117" spans="6:6">
      <c r="F53117" s="2423"/>
    </row>
    <row r="53118" spans="6:6">
      <c r="F53118" s="2423"/>
    </row>
    <row r="53119" spans="6:6">
      <c r="F53119" s="2423"/>
    </row>
    <row r="53120" spans="6:6">
      <c r="F53120" s="2423"/>
    </row>
    <row r="53121" spans="6:6">
      <c r="F53121" s="2423"/>
    </row>
    <row r="53122" spans="6:6">
      <c r="F53122" s="2423"/>
    </row>
    <row r="53123" spans="6:6">
      <c r="F53123" s="2423"/>
    </row>
    <row r="53124" spans="6:6">
      <c r="F53124" s="2423"/>
    </row>
    <row r="53125" spans="6:6">
      <c r="F53125" s="2423"/>
    </row>
    <row r="53126" spans="6:6">
      <c r="F53126" s="2423"/>
    </row>
    <row r="53127" spans="6:6">
      <c r="F53127" s="2423"/>
    </row>
    <row r="53128" spans="6:6">
      <c r="F53128" s="2423"/>
    </row>
    <row r="53129" spans="6:6">
      <c r="F53129" s="2423"/>
    </row>
    <row r="53130" spans="6:6">
      <c r="F53130" s="2423"/>
    </row>
    <row r="53131" spans="6:6">
      <c r="F53131" s="2423"/>
    </row>
    <row r="53132" spans="6:6">
      <c r="F53132" s="2423"/>
    </row>
    <row r="53133" spans="6:6">
      <c r="F53133" s="2423"/>
    </row>
    <row r="53134" spans="6:6">
      <c r="F53134" s="2423"/>
    </row>
    <row r="53135" spans="6:6">
      <c r="F53135" s="2423"/>
    </row>
    <row r="53136" spans="6:6">
      <c r="F53136" s="2423"/>
    </row>
    <row r="53137" spans="6:6">
      <c r="F53137" s="2423"/>
    </row>
    <row r="53138" spans="6:6">
      <c r="F53138" s="2423"/>
    </row>
    <row r="53139" spans="6:6">
      <c r="F53139" s="2423"/>
    </row>
    <row r="53140" spans="6:6">
      <c r="F53140" s="2423"/>
    </row>
    <row r="53141" spans="6:6">
      <c r="F53141" s="2423"/>
    </row>
    <row r="53142" spans="6:6">
      <c r="F53142" s="2423"/>
    </row>
    <row r="53143" spans="6:6">
      <c r="F53143" s="2423"/>
    </row>
    <row r="53144" spans="6:6">
      <c r="F53144" s="2423"/>
    </row>
    <row r="53145" spans="6:6">
      <c r="F53145" s="2423"/>
    </row>
    <row r="53146" spans="6:6">
      <c r="F53146" s="2423"/>
    </row>
    <row r="53147" spans="6:6">
      <c r="F53147" s="2423"/>
    </row>
    <row r="53148" spans="6:6">
      <c r="F53148" s="2423"/>
    </row>
    <row r="53149" spans="6:6">
      <c r="F53149" s="2423"/>
    </row>
    <row r="53150" spans="6:6">
      <c r="F53150" s="2423"/>
    </row>
    <row r="53151" spans="6:6">
      <c r="F53151" s="2423"/>
    </row>
    <row r="53152" spans="6:6">
      <c r="F53152" s="2423"/>
    </row>
    <row r="53153" spans="6:6">
      <c r="F53153" s="2423"/>
    </row>
    <row r="53154" spans="6:6">
      <c r="F53154" s="2423"/>
    </row>
    <row r="53155" spans="6:6">
      <c r="F53155" s="2423"/>
    </row>
    <row r="53156" spans="6:6">
      <c r="F53156" s="2423"/>
    </row>
    <row r="53157" spans="6:6">
      <c r="F53157" s="2423"/>
    </row>
    <row r="53158" spans="6:6">
      <c r="F53158" s="2423"/>
    </row>
    <row r="53159" spans="6:6">
      <c r="F53159" s="2423"/>
    </row>
    <row r="53160" spans="6:6">
      <c r="F53160" s="2423"/>
    </row>
    <row r="53161" spans="6:6">
      <c r="F53161" s="2423"/>
    </row>
    <row r="53162" spans="6:6">
      <c r="F53162" s="2423"/>
    </row>
    <row r="53163" spans="6:6">
      <c r="F53163" s="2423"/>
    </row>
    <row r="53164" spans="6:6">
      <c r="F53164" s="2423"/>
    </row>
    <row r="53165" spans="6:6">
      <c r="F53165" s="2423"/>
    </row>
    <row r="53166" spans="6:6">
      <c r="F53166" s="2423"/>
    </row>
    <row r="53167" spans="6:6">
      <c r="F53167" s="2423"/>
    </row>
    <row r="53168" spans="6:6">
      <c r="F53168" s="2423"/>
    </row>
    <row r="53169" spans="6:6">
      <c r="F53169" s="2423"/>
    </row>
    <row r="53170" spans="6:6">
      <c r="F53170" s="2423"/>
    </row>
    <row r="53171" spans="6:6">
      <c r="F53171" s="2423"/>
    </row>
    <row r="53172" spans="6:6">
      <c r="F53172" s="2423"/>
    </row>
    <row r="53173" spans="6:6">
      <c r="F53173" s="2423"/>
    </row>
    <row r="53174" spans="6:6">
      <c r="F53174" s="2423"/>
    </row>
    <row r="53175" spans="6:6">
      <c r="F53175" s="2423"/>
    </row>
    <row r="53176" spans="6:6">
      <c r="F53176" s="2423"/>
    </row>
    <row r="53177" spans="6:6">
      <c r="F53177" s="2423"/>
    </row>
    <row r="53178" spans="6:6">
      <c r="F53178" s="2423"/>
    </row>
    <row r="53179" spans="6:6">
      <c r="F53179" s="2423"/>
    </row>
    <row r="53180" spans="6:6">
      <c r="F53180" s="2423"/>
    </row>
    <row r="53181" spans="6:6">
      <c r="F53181" s="2423"/>
    </row>
    <row r="53182" spans="6:6">
      <c r="F53182" s="2423"/>
    </row>
    <row r="53183" spans="6:6">
      <c r="F53183" s="2423"/>
    </row>
    <row r="53184" spans="6:6">
      <c r="F53184" s="2423"/>
    </row>
    <row r="53185" spans="6:6">
      <c r="F53185" s="2423"/>
    </row>
    <row r="53186" spans="6:6">
      <c r="F53186" s="2423"/>
    </row>
    <row r="53187" spans="6:6">
      <c r="F53187" s="2423"/>
    </row>
    <row r="53188" spans="6:6">
      <c r="F53188" s="2423"/>
    </row>
    <row r="53189" spans="6:6">
      <c r="F53189" s="2423"/>
    </row>
    <row r="53190" spans="6:6">
      <c r="F53190" s="2423"/>
    </row>
    <row r="53191" spans="6:6">
      <c r="F53191" s="2423"/>
    </row>
    <row r="53192" spans="6:6">
      <c r="F53192" s="2423"/>
    </row>
    <row r="53193" spans="6:6">
      <c r="F53193" s="2423"/>
    </row>
    <row r="53194" spans="6:6">
      <c r="F53194" s="2423"/>
    </row>
    <row r="53195" spans="6:6">
      <c r="F53195" s="2423"/>
    </row>
    <row r="53196" spans="6:6">
      <c r="F53196" s="2423"/>
    </row>
    <row r="53197" spans="6:6">
      <c r="F53197" s="2423"/>
    </row>
    <row r="53198" spans="6:6">
      <c r="F53198" s="2423"/>
    </row>
    <row r="53199" spans="6:6">
      <c r="F53199" s="2423"/>
    </row>
    <row r="53200" spans="6:6">
      <c r="F53200" s="2423"/>
    </row>
    <row r="53201" spans="6:6">
      <c r="F53201" s="2423"/>
    </row>
    <row r="53202" spans="6:6">
      <c r="F53202" s="2423"/>
    </row>
    <row r="53203" spans="6:6">
      <c r="F53203" s="2423"/>
    </row>
    <row r="53204" spans="6:6">
      <c r="F53204" s="2423"/>
    </row>
    <row r="53205" spans="6:6">
      <c r="F53205" s="2423"/>
    </row>
    <row r="53206" spans="6:6">
      <c r="F53206" s="2423"/>
    </row>
    <row r="53207" spans="6:6">
      <c r="F53207" s="2423"/>
    </row>
    <row r="53208" spans="6:6">
      <c r="F53208" s="2423"/>
    </row>
    <row r="53209" spans="6:6">
      <c r="F53209" s="2423"/>
    </row>
    <row r="53210" spans="6:6">
      <c r="F53210" s="2423"/>
    </row>
    <row r="53211" spans="6:6">
      <c r="F53211" s="2423"/>
    </row>
    <row r="53212" spans="6:6">
      <c r="F53212" s="2423"/>
    </row>
    <row r="53213" spans="6:6">
      <c r="F53213" s="2423"/>
    </row>
    <row r="53214" spans="6:6">
      <c r="F53214" s="2423"/>
    </row>
    <row r="53215" spans="6:6">
      <c r="F53215" s="2423"/>
    </row>
    <row r="53216" spans="6:6">
      <c r="F53216" s="2423"/>
    </row>
    <row r="53217" spans="6:6">
      <c r="F53217" s="2423"/>
    </row>
    <row r="53218" spans="6:6">
      <c r="F53218" s="2423"/>
    </row>
    <row r="53219" spans="6:6">
      <c r="F53219" s="2423"/>
    </row>
    <row r="53220" spans="6:6">
      <c r="F53220" s="2423"/>
    </row>
    <row r="53221" spans="6:6">
      <c r="F53221" s="2423"/>
    </row>
    <row r="53222" spans="6:6">
      <c r="F53222" s="2423"/>
    </row>
    <row r="53223" spans="6:6">
      <c r="F53223" s="2423"/>
    </row>
    <row r="53224" spans="6:6">
      <c r="F53224" s="2423"/>
    </row>
    <row r="53225" spans="6:6">
      <c r="F53225" s="2423"/>
    </row>
    <row r="53226" spans="6:6">
      <c r="F53226" s="2423"/>
    </row>
    <row r="53227" spans="6:6">
      <c r="F53227" s="2423"/>
    </row>
    <row r="53228" spans="6:6">
      <c r="F53228" s="2423"/>
    </row>
    <row r="53229" spans="6:6">
      <c r="F53229" s="2423"/>
    </row>
    <row r="53230" spans="6:6">
      <c r="F53230" s="2423"/>
    </row>
    <row r="53231" spans="6:6">
      <c r="F53231" s="2423"/>
    </row>
    <row r="53232" spans="6:6">
      <c r="F53232" s="2423"/>
    </row>
    <row r="53233" spans="6:6">
      <c r="F53233" s="2423"/>
    </row>
    <row r="53234" spans="6:6">
      <c r="F53234" s="2423"/>
    </row>
    <row r="53235" spans="6:6">
      <c r="F53235" s="2423"/>
    </row>
    <row r="53236" spans="6:6">
      <c r="F53236" s="2423"/>
    </row>
    <row r="53237" spans="6:6">
      <c r="F53237" s="2423"/>
    </row>
    <row r="53238" spans="6:6">
      <c r="F53238" s="2423"/>
    </row>
    <row r="53239" spans="6:6">
      <c r="F53239" s="2423"/>
    </row>
    <row r="53240" spans="6:6">
      <c r="F53240" s="2423"/>
    </row>
    <row r="53241" spans="6:6">
      <c r="F53241" s="2423"/>
    </row>
    <row r="53242" spans="6:6">
      <c r="F53242" s="2423"/>
    </row>
    <row r="53243" spans="6:6">
      <c r="F53243" s="2423"/>
    </row>
    <row r="53244" spans="6:6">
      <c r="F53244" s="2423"/>
    </row>
    <row r="53245" spans="6:6">
      <c r="F53245" s="2423"/>
    </row>
    <row r="53246" spans="6:6">
      <c r="F53246" s="2423"/>
    </row>
    <row r="53247" spans="6:6">
      <c r="F53247" s="2423"/>
    </row>
    <row r="53248" spans="6:6">
      <c r="F53248" s="2423"/>
    </row>
    <row r="53249" spans="6:6">
      <c r="F53249" s="2423"/>
    </row>
    <row r="53250" spans="6:6">
      <c r="F53250" s="2423"/>
    </row>
    <row r="53251" spans="6:6">
      <c r="F53251" s="2423"/>
    </row>
    <row r="53252" spans="6:6">
      <c r="F53252" s="2423"/>
    </row>
    <row r="53253" spans="6:6">
      <c r="F53253" s="2423"/>
    </row>
    <row r="53254" spans="6:6">
      <c r="F53254" s="2423"/>
    </row>
    <row r="53255" spans="6:6">
      <c r="F53255" s="2423"/>
    </row>
    <row r="53256" spans="6:6">
      <c r="F53256" s="2423"/>
    </row>
    <row r="53257" spans="6:6">
      <c r="F53257" s="2423"/>
    </row>
    <row r="53258" spans="6:6">
      <c r="F53258" s="2423"/>
    </row>
    <row r="53259" spans="6:6">
      <c r="F53259" s="2423"/>
    </row>
    <row r="53260" spans="6:6">
      <c r="F53260" s="2423"/>
    </row>
    <row r="53261" spans="6:6">
      <c r="F53261" s="2423"/>
    </row>
    <row r="53262" spans="6:6">
      <c r="F53262" s="2423"/>
    </row>
    <row r="53263" spans="6:6">
      <c r="F53263" s="2423"/>
    </row>
    <row r="53264" spans="6:6">
      <c r="F53264" s="2423"/>
    </row>
    <row r="53265" spans="6:6">
      <c r="F53265" s="2423"/>
    </row>
    <row r="53266" spans="6:6">
      <c r="F53266" s="2423"/>
    </row>
    <row r="53267" spans="6:6">
      <c r="F53267" s="2423"/>
    </row>
    <row r="53268" spans="6:6">
      <c r="F53268" s="2423"/>
    </row>
    <row r="53269" spans="6:6">
      <c r="F53269" s="2423"/>
    </row>
    <row r="53270" spans="6:6">
      <c r="F53270" s="2423"/>
    </row>
    <row r="53271" spans="6:6">
      <c r="F53271" s="2423"/>
    </row>
    <row r="53272" spans="6:6">
      <c r="F53272" s="2423"/>
    </row>
    <row r="53273" spans="6:6">
      <c r="F53273" s="2423"/>
    </row>
    <row r="53274" spans="6:6">
      <c r="F53274" s="2423"/>
    </row>
    <row r="53275" spans="6:6">
      <c r="F53275" s="2423"/>
    </row>
    <row r="53276" spans="6:6">
      <c r="F53276" s="2423"/>
    </row>
    <row r="53277" spans="6:6">
      <c r="F53277" s="2423"/>
    </row>
    <row r="53278" spans="6:6">
      <c r="F53278" s="2423"/>
    </row>
    <row r="53279" spans="6:6">
      <c r="F53279" s="2423"/>
    </row>
    <row r="53280" spans="6:6">
      <c r="F53280" s="2423"/>
    </row>
    <row r="53281" spans="6:6">
      <c r="F53281" s="2423"/>
    </row>
    <row r="53282" spans="6:6">
      <c r="F53282" s="2423"/>
    </row>
    <row r="53283" spans="6:6">
      <c r="F53283" s="2423"/>
    </row>
    <row r="53284" spans="6:6">
      <c r="F53284" s="2423"/>
    </row>
    <row r="53285" spans="6:6">
      <c r="F53285" s="2423"/>
    </row>
    <row r="53286" spans="6:6">
      <c r="F53286" s="2423"/>
    </row>
    <row r="53287" spans="6:6">
      <c r="F53287" s="2423"/>
    </row>
    <row r="53288" spans="6:6">
      <c r="F53288" s="2423"/>
    </row>
    <row r="53289" spans="6:6">
      <c r="F53289" s="2423"/>
    </row>
    <row r="53290" spans="6:6">
      <c r="F53290" s="2423"/>
    </row>
    <row r="53291" spans="6:6">
      <c r="F53291" s="2423"/>
    </row>
    <row r="53292" spans="6:6">
      <c r="F53292" s="2423"/>
    </row>
    <row r="53293" spans="6:6">
      <c r="F53293" s="2423"/>
    </row>
    <row r="53294" spans="6:6">
      <c r="F53294" s="2423"/>
    </row>
    <row r="53295" spans="6:6">
      <c r="F53295" s="2423"/>
    </row>
    <row r="53296" spans="6:6">
      <c r="F53296" s="2423"/>
    </row>
    <row r="53297" spans="6:6">
      <c r="F53297" s="2423"/>
    </row>
    <row r="53298" spans="6:6">
      <c r="F53298" s="2423"/>
    </row>
    <row r="53299" spans="6:6">
      <c r="F53299" s="2423"/>
    </row>
    <row r="53300" spans="6:6">
      <c r="F53300" s="2423"/>
    </row>
    <row r="53301" spans="6:6">
      <c r="F53301" s="2423"/>
    </row>
    <row r="53302" spans="6:6">
      <c r="F53302" s="2423"/>
    </row>
    <row r="53303" spans="6:6">
      <c r="F53303" s="2423"/>
    </row>
    <row r="53304" spans="6:6">
      <c r="F53304" s="2423"/>
    </row>
    <row r="53305" spans="6:6">
      <c r="F53305" s="2423"/>
    </row>
    <row r="53306" spans="6:6">
      <c r="F53306" s="2423"/>
    </row>
    <row r="53307" spans="6:6">
      <c r="F53307" s="2423"/>
    </row>
    <row r="53308" spans="6:6">
      <c r="F53308" s="2423"/>
    </row>
    <row r="53309" spans="6:6">
      <c r="F53309" s="2423"/>
    </row>
    <row r="53310" spans="6:6">
      <c r="F53310" s="2423"/>
    </row>
    <row r="53311" spans="6:6">
      <c r="F53311" s="2423"/>
    </row>
    <row r="53312" spans="6:6">
      <c r="F53312" s="2423"/>
    </row>
    <row r="53313" spans="6:6">
      <c r="F53313" s="2423"/>
    </row>
    <row r="53314" spans="6:6">
      <c r="F53314" s="2423"/>
    </row>
    <row r="53315" spans="6:6">
      <c r="F53315" s="2423"/>
    </row>
    <row r="53316" spans="6:6">
      <c r="F53316" s="2423"/>
    </row>
    <row r="53317" spans="6:6">
      <c r="F53317" s="2423"/>
    </row>
    <row r="53318" spans="6:6">
      <c r="F53318" s="2423"/>
    </row>
    <row r="53319" spans="6:6">
      <c r="F53319" s="2423"/>
    </row>
    <row r="53320" spans="6:6">
      <c r="F53320" s="2423"/>
    </row>
    <row r="53321" spans="6:6">
      <c r="F53321" s="2423"/>
    </row>
    <row r="53322" spans="6:6">
      <c r="F53322" s="2423"/>
    </row>
    <row r="53323" spans="6:6">
      <c r="F53323" s="2423"/>
    </row>
    <row r="53324" spans="6:6">
      <c r="F53324" s="2423"/>
    </row>
    <row r="53325" spans="6:6">
      <c r="F53325" s="2423"/>
    </row>
    <row r="53326" spans="6:6">
      <c r="F53326" s="2423"/>
    </row>
    <row r="53327" spans="6:6">
      <c r="F53327" s="2423"/>
    </row>
    <row r="53328" spans="6:6">
      <c r="F53328" s="2423"/>
    </row>
    <row r="53329" spans="6:6">
      <c r="F53329" s="2423"/>
    </row>
    <row r="53330" spans="6:6">
      <c r="F53330" s="2423"/>
    </row>
    <row r="53331" spans="6:6">
      <c r="F53331" s="2423"/>
    </row>
    <row r="53332" spans="6:6">
      <c r="F53332" s="2423"/>
    </row>
    <row r="53333" spans="6:6">
      <c r="F53333" s="2423"/>
    </row>
    <row r="53334" spans="6:6">
      <c r="F53334" s="2423"/>
    </row>
    <row r="53335" spans="6:6">
      <c r="F53335" s="2423"/>
    </row>
    <row r="53336" spans="6:6">
      <c r="F53336" s="2423"/>
    </row>
    <row r="53337" spans="6:6">
      <c r="F53337" s="2423"/>
    </row>
    <row r="53338" spans="6:6">
      <c r="F53338" s="2423"/>
    </row>
    <row r="53339" spans="6:6">
      <c r="F53339" s="2423"/>
    </row>
    <row r="53340" spans="6:6">
      <c r="F53340" s="2423"/>
    </row>
    <row r="53341" spans="6:6">
      <c r="F53341" s="2423"/>
    </row>
    <row r="53342" spans="6:6">
      <c r="F53342" s="2423"/>
    </row>
    <row r="53343" spans="6:6">
      <c r="F53343" s="2423"/>
    </row>
    <row r="53344" spans="6:6">
      <c r="F53344" s="2423"/>
    </row>
    <row r="53345" spans="6:6">
      <c r="F53345" s="2423"/>
    </row>
    <row r="53346" spans="6:6">
      <c r="F53346" s="2423"/>
    </row>
    <row r="53347" spans="6:6">
      <c r="F53347" s="2423"/>
    </row>
    <row r="53348" spans="6:6">
      <c r="F53348" s="2423"/>
    </row>
    <row r="53349" spans="6:6">
      <c r="F53349" s="2423"/>
    </row>
    <row r="53350" spans="6:6">
      <c r="F53350" s="2423"/>
    </row>
    <row r="53351" spans="6:6">
      <c r="F53351" s="2423"/>
    </row>
    <row r="53352" spans="6:6">
      <c r="F53352" s="2423"/>
    </row>
    <row r="53353" spans="6:6">
      <c r="F53353" s="2423"/>
    </row>
    <row r="53354" spans="6:6">
      <c r="F53354" s="2423"/>
    </row>
    <row r="53355" spans="6:6">
      <c r="F53355" s="2423"/>
    </row>
    <row r="53356" spans="6:6">
      <c r="F53356" s="2423"/>
    </row>
    <row r="53357" spans="6:6">
      <c r="F53357" s="2423"/>
    </row>
    <row r="53358" spans="6:6">
      <c r="F53358" s="2423"/>
    </row>
    <row r="53359" spans="6:6">
      <c r="F53359" s="2423"/>
    </row>
    <row r="53360" spans="6:6">
      <c r="F53360" s="2423"/>
    </row>
    <row r="53361" spans="6:6">
      <c r="F53361" s="2423"/>
    </row>
    <row r="53362" spans="6:6">
      <c r="F53362" s="2423"/>
    </row>
    <row r="53363" spans="6:6">
      <c r="F53363" s="2423"/>
    </row>
    <row r="53364" spans="6:6">
      <c r="F53364" s="2423"/>
    </row>
    <row r="53365" spans="6:6">
      <c r="F53365" s="2423"/>
    </row>
    <row r="53366" spans="6:6">
      <c r="F53366" s="2423"/>
    </row>
    <row r="53367" spans="6:6">
      <c r="F53367" s="2423"/>
    </row>
    <row r="53368" spans="6:6">
      <c r="F53368" s="2423"/>
    </row>
    <row r="53369" spans="6:6">
      <c r="F53369" s="2423"/>
    </row>
    <row r="53370" spans="6:6">
      <c r="F53370" s="2423"/>
    </row>
    <row r="53371" spans="6:6">
      <c r="F53371" s="2423"/>
    </row>
    <row r="53372" spans="6:6">
      <c r="F53372" s="2423"/>
    </row>
    <row r="53373" spans="6:6">
      <c r="F53373" s="2423"/>
    </row>
    <row r="53374" spans="6:6">
      <c r="F53374" s="2423"/>
    </row>
    <row r="53375" spans="6:6">
      <c r="F53375" s="2423"/>
    </row>
    <row r="53376" spans="6:6">
      <c r="F53376" s="2423"/>
    </row>
    <row r="53377" spans="6:6">
      <c r="F53377" s="2423"/>
    </row>
    <row r="53378" spans="6:6">
      <c r="F53378" s="2423"/>
    </row>
    <row r="53379" spans="6:6">
      <c r="F53379" s="2423"/>
    </row>
    <row r="53380" spans="6:6">
      <c r="F53380" s="2423"/>
    </row>
    <row r="53381" spans="6:6">
      <c r="F53381" s="2423"/>
    </row>
    <row r="53382" spans="6:6">
      <c r="F53382" s="2423"/>
    </row>
    <row r="53383" spans="6:6">
      <c r="F53383" s="2423"/>
    </row>
    <row r="53384" spans="6:6">
      <c r="F53384" s="2423"/>
    </row>
    <row r="53385" spans="6:6">
      <c r="F53385" s="2423"/>
    </row>
    <row r="53386" spans="6:6">
      <c r="F53386" s="2423"/>
    </row>
    <row r="53387" spans="6:6">
      <c r="F53387" s="2423"/>
    </row>
    <row r="53388" spans="6:6">
      <c r="F53388" s="2423"/>
    </row>
    <row r="53389" spans="6:6">
      <c r="F53389" s="2423"/>
    </row>
    <row r="53390" spans="6:6">
      <c r="F53390" s="2423"/>
    </row>
    <row r="53391" spans="6:6">
      <c r="F53391" s="2423"/>
    </row>
    <row r="53392" spans="6:6">
      <c r="F53392" s="2423"/>
    </row>
    <row r="53393" spans="6:6">
      <c r="F53393" s="2423"/>
    </row>
    <row r="53394" spans="6:6">
      <c r="F53394" s="2423"/>
    </row>
    <row r="53395" spans="6:6">
      <c r="F53395" s="2423"/>
    </row>
    <row r="53396" spans="6:6">
      <c r="F53396" s="2423"/>
    </row>
    <row r="53397" spans="6:6">
      <c r="F53397" s="2423"/>
    </row>
    <row r="53398" spans="6:6">
      <c r="F53398" s="2423"/>
    </row>
    <row r="53399" spans="6:6">
      <c r="F53399" s="2423"/>
    </row>
    <row r="53400" spans="6:6">
      <c r="F53400" s="2423"/>
    </row>
    <row r="53401" spans="6:6">
      <c r="F53401" s="2423"/>
    </row>
    <row r="53402" spans="6:6">
      <c r="F53402" s="2423"/>
    </row>
    <row r="53403" spans="6:6">
      <c r="F53403" s="2423"/>
    </row>
    <row r="53404" spans="6:6">
      <c r="F53404" s="2423"/>
    </row>
    <row r="53405" spans="6:6">
      <c r="F53405" s="2423"/>
    </row>
    <row r="53406" spans="6:6">
      <c r="F53406" s="2423"/>
    </row>
    <row r="53407" spans="6:6">
      <c r="F53407" s="2423"/>
    </row>
    <row r="53408" spans="6:6">
      <c r="F53408" s="2423"/>
    </row>
    <row r="53409" spans="6:6">
      <c r="F53409" s="2423"/>
    </row>
    <row r="53410" spans="6:6">
      <c r="F53410" s="2423"/>
    </row>
    <row r="53411" spans="6:6">
      <c r="F53411" s="2423"/>
    </row>
    <row r="53412" spans="6:6">
      <c r="F53412" s="2423"/>
    </row>
    <row r="53413" spans="6:6">
      <c r="F53413" s="2423"/>
    </row>
    <row r="53414" spans="6:6">
      <c r="F53414" s="2423"/>
    </row>
    <row r="53415" spans="6:6">
      <c r="F53415" s="2423"/>
    </row>
    <row r="53416" spans="6:6">
      <c r="F53416" s="2423"/>
    </row>
    <row r="53417" spans="6:6">
      <c r="F53417" s="2423"/>
    </row>
    <row r="53418" spans="6:6">
      <c r="F53418" s="2423"/>
    </row>
    <row r="53419" spans="6:6">
      <c r="F53419" s="2423"/>
    </row>
    <row r="53420" spans="6:6">
      <c r="F53420" s="2423"/>
    </row>
    <row r="53421" spans="6:6">
      <c r="F53421" s="2423"/>
    </row>
    <row r="53422" spans="6:6">
      <c r="F53422" s="2423"/>
    </row>
    <row r="53423" spans="6:6">
      <c r="F53423" s="2423"/>
    </row>
    <row r="53424" spans="6:6">
      <c r="F53424" s="2423"/>
    </row>
    <row r="53425" spans="6:6">
      <c r="F53425" s="2423"/>
    </row>
    <row r="53426" spans="6:6">
      <c r="F53426" s="2423"/>
    </row>
    <row r="53427" spans="6:6">
      <c r="F53427" s="2423"/>
    </row>
    <row r="53428" spans="6:6">
      <c r="F53428" s="2423"/>
    </row>
    <row r="53429" spans="6:6">
      <c r="F53429" s="2423"/>
    </row>
    <row r="53430" spans="6:6">
      <c r="F53430" s="2423"/>
    </row>
    <row r="53431" spans="6:6">
      <c r="F53431" s="2423"/>
    </row>
    <row r="53432" spans="6:6">
      <c r="F53432" s="2423"/>
    </row>
    <row r="53433" spans="6:6">
      <c r="F53433" s="2423"/>
    </row>
    <row r="53434" spans="6:6">
      <c r="F53434" s="2423"/>
    </row>
    <row r="53435" spans="6:6">
      <c r="F53435" s="2423"/>
    </row>
    <row r="53436" spans="6:6">
      <c r="F53436" s="2423"/>
    </row>
    <row r="53437" spans="6:6">
      <c r="F53437" s="2423"/>
    </row>
    <row r="53438" spans="6:6">
      <c r="F53438" s="2423"/>
    </row>
    <row r="53439" spans="6:6">
      <c r="F53439" s="2423"/>
    </row>
    <row r="53440" spans="6:6">
      <c r="F53440" s="2423"/>
    </row>
    <row r="53441" spans="6:6">
      <c r="F53441" s="2423"/>
    </row>
    <row r="53442" spans="6:6">
      <c r="F53442" s="2423"/>
    </row>
    <row r="53443" spans="6:6">
      <c r="F53443" s="2423"/>
    </row>
    <row r="53444" spans="6:6">
      <c r="F53444" s="2423"/>
    </row>
    <row r="53445" spans="6:6">
      <c r="F53445" s="2423"/>
    </row>
    <row r="53446" spans="6:6">
      <c r="F53446" s="2423"/>
    </row>
    <row r="53447" spans="6:6">
      <c r="F53447" s="2423"/>
    </row>
    <row r="53448" spans="6:6">
      <c r="F53448" s="2423"/>
    </row>
    <row r="53449" spans="6:6">
      <c r="F53449" s="2423"/>
    </row>
    <row r="53450" spans="6:6">
      <c r="F53450" s="2423"/>
    </row>
    <row r="53451" spans="6:6">
      <c r="F53451" s="2423"/>
    </row>
    <row r="53452" spans="6:6">
      <c r="F53452" s="2423"/>
    </row>
    <row r="53453" spans="6:6">
      <c r="F53453" s="2423"/>
    </row>
    <row r="53454" spans="6:6">
      <c r="F53454" s="2423"/>
    </row>
    <row r="53455" spans="6:6">
      <c r="F53455" s="2423"/>
    </row>
    <row r="53456" spans="6:6">
      <c r="F53456" s="2423"/>
    </row>
    <row r="53457" spans="6:6">
      <c r="F53457" s="2423"/>
    </row>
    <row r="53458" spans="6:6">
      <c r="F53458" s="2423"/>
    </row>
    <row r="53459" spans="6:6">
      <c r="F53459" s="2423"/>
    </row>
    <row r="53460" spans="6:6">
      <c r="F53460" s="2423"/>
    </row>
    <row r="53461" spans="6:6">
      <c r="F53461" s="2423"/>
    </row>
    <row r="53462" spans="6:6">
      <c r="F53462" s="2423"/>
    </row>
    <row r="53463" spans="6:6">
      <c r="F53463" s="2423"/>
    </row>
    <row r="53464" spans="6:6">
      <c r="F53464" s="2423"/>
    </row>
    <row r="53465" spans="6:6">
      <c r="F53465" s="2423"/>
    </row>
    <row r="53466" spans="6:6">
      <c r="F53466" s="2423"/>
    </row>
    <row r="53467" spans="6:6">
      <c r="F53467" s="2423"/>
    </row>
    <row r="53468" spans="6:6">
      <c r="F53468" s="2423"/>
    </row>
    <row r="53469" spans="6:6">
      <c r="F53469" s="2423"/>
    </row>
    <row r="53470" spans="6:6">
      <c r="F53470" s="2423"/>
    </row>
    <row r="53471" spans="6:6">
      <c r="F53471" s="2423"/>
    </row>
    <row r="53472" spans="6:6">
      <c r="F53472" s="2423"/>
    </row>
    <row r="53473" spans="6:6">
      <c r="F53473" s="2423"/>
    </row>
    <row r="53474" spans="6:6">
      <c r="F53474" s="2423"/>
    </row>
    <row r="53475" spans="6:6">
      <c r="F53475" s="2423"/>
    </row>
    <row r="53476" spans="6:6">
      <c r="F53476" s="2423"/>
    </row>
    <row r="53477" spans="6:6">
      <c r="F53477" s="2423"/>
    </row>
    <row r="53478" spans="6:6">
      <c r="F53478" s="2423"/>
    </row>
    <row r="53479" spans="6:6">
      <c r="F53479" s="2423"/>
    </row>
    <row r="53480" spans="6:6">
      <c r="F53480" s="2423"/>
    </row>
    <row r="53481" spans="6:6">
      <c r="F53481" s="2423"/>
    </row>
    <row r="53482" spans="6:6">
      <c r="F53482" s="2423"/>
    </row>
    <row r="53483" spans="6:6">
      <c r="F53483" s="2423"/>
    </row>
    <row r="53484" spans="6:6">
      <c r="F53484" s="2423"/>
    </row>
    <row r="53485" spans="6:6">
      <c r="F53485" s="2423"/>
    </row>
    <row r="53486" spans="6:6">
      <c r="F53486" s="2423"/>
    </row>
    <row r="53487" spans="6:6">
      <c r="F53487" s="2423"/>
    </row>
    <row r="53488" spans="6:6">
      <c r="F53488" s="2423"/>
    </row>
    <row r="53489" spans="6:6">
      <c r="F53489" s="2423"/>
    </row>
    <row r="53490" spans="6:6">
      <c r="F53490" s="2423"/>
    </row>
    <row r="53491" spans="6:6">
      <c r="F53491" s="2423"/>
    </row>
    <row r="53492" spans="6:6">
      <c r="F53492" s="2423"/>
    </row>
    <row r="53493" spans="6:6">
      <c r="F53493" s="2423"/>
    </row>
    <row r="53494" spans="6:6">
      <c r="F53494" s="2423"/>
    </row>
    <row r="53495" spans="6:6">
      <c r="F53495" s="2423"/>
    </row>
    <row r="53496" spans="6:6">
      <c r="F53496" s="2423"/>
    </row>
    <row r="53497" spans="6:6">
      <c r="F53497" s="2423"/>
    </row>
    <row r="53498" spans="6:6">
      <c r="F53498" s="2423"/>
    </row>
    <row r="53499" spans="6:6">
      <c r="F53499" s="2423"/>
    </row>
    <row r="53500" spans="6:6">
      <c r="F53500" s="2423"/>
    </row>
    <row r="53501" spans="6:6">
      <c r="F53501" s="2423"/>
    </row>
    <row r="53502" spans="6:6">
      <c r="F53502" s="2423"/>
    </row>
    <row r="53503" spans="6:6">
      <c r="F53503" s="2423"/>
    </row>
    <row r="53504" spans="6:6">
      <c r="F53504" s="2423"/>
    </row>
    <row r="53505" spans="6:6">
      <c r="F53505" s="2423"/>
    </row>
    <row r="53506" spans="6:6">
      <c r="F53506" s="2423"/>
    </row>
    <row r="53507" spans="6:6">
      <c r="F53507" s="2423"/>
    </row>
    <row r="53508" spans="6:6">
      <c r="F53508" s="2423"/>
    </row>
    <row r="53509" spans="6:6">
      <c r="F53509" s="2423"/>
    </row>
    <row r="53510" spans="6:6">
      <c r="F53510" s="2423"/>
    </row>
    <row r="53511" spans="6:6">
      <c r="F53511" s="2423"/>
    </row>
    <row r="53512" spans="6:6">
      <c r="F53512" s="2423"/>
    </row>
    <row r="53513" spans="6:6">
      <c r="F53513" s="2423"/>
    </row>
    <row r="53514" spans="6:6">
      <c r="F53514" s="2423"/>
    </row>
    <row r="53515" spans="6:6">
      <c r="F53515" s="2423"/>
    </row>
    <row r="53516" spans="6:6">
      <c r="F53516" s="2423"/>
    </row>
    <row r="53517" spans="6:6">
      <c r="F53517" s="2423"/>
    </row>
    <row r="53518" spans="6:6">
      <c r="F53518" s="2423"/>
    </row>
    <row r="53519" spans="6:6">
      <c r="F53519" s="2423"/>
    </row>
    <row r="53520" spans="6:6">
      <c r="F53520" s="2423"/>
    </row>
    <row r="53521" spans="6:6">
      <c r="F53521" s="2423"/>
    </row>
    <row r="53522" spans="6:6">
      <c r="F53522" s="2423"/>
    </row>
    <row r="53523" spans="6:6">
      <c r="F53523" s="2423"/>
    </row>
    <row r="53524" spans="6:6">
      <c r="F53524" s="2423"/>
    </row>
    <row r="53525" spans="6:6">
      <c r="F53525" s="2423"/>
    </row>
    <row r="53526" spans="6:6">
      <c r="F53526" s="2423"/>
    </row>
    <row r="53527" spans="6:6">
      <c r="F53527" s="2423"/>
    </row>
    <row r="53528" spans="6:6">
      <c r="F53528" s="2423"/>
    </row>
    <row r="53529" spans="6:6">
      <c r="F53529" s="2423"/>
    </row>
    <row r="53530" spans="6:6">
      <c r="F53530" s="2423"/>
    </row>
    <row r="53531" spans="6:6">
      <c r="F53531" s="2423"/>
    </row>
    <row r="53532" spans="6:6">
      <c r="F53532" s="2423"/>
    </row>
    <row r="53533" spans="6:6">
      <c r="F53533" s="2423"/>
    </row>
    <row r="53534" spans="6:6">
      <c r="F53534" s="2423"/>
    </row>
    <row r="53535" spans="6:6">
      <c r="F53535" s="2423"/>
    </row>
    <row r="53536" spans="6:6">
      <c r="F53536" s="2423"/>
    </row>
    <row r="53537" spans="6:6">
      <c r="F53537" s="2423"/>
    </row>
    <row r="53538" spans="6:6">
      <c r="F53538" s="2423"/>
    </row>
    <row r="53539" spans="6:6">
      <c r="F53539" s="2423"/>
    </row>
    <row r="53540" spans="6:6">
      <c r="F53540" s="2423"/>
    </row>
    <row r="53541" spans="6:6">
      <c r="F53541" s="2423"/>
    </row>
    <row r="53542" spans="6:6">
      <c r="F53542" s="2423"/>
    </row>
    <row r="53543" spans="6:6">
      <c r="F53543" s="2423"/>
    </row>
    <row r="53544" spans="6:6">
      <c r="F53544" s="2423"/>
    </row>
    <row r="53545" spans="6:6">
      <c r="F53545" s="2423"/>
    </row>
    <row r="53546" spans="6:6">
      <c r="F53546" s="2423"/>
    </row>
    <row r="53547" spans="6:6">
      <c r="F53547" s="2423"/>
    </row>
    <row r="53548" spans="6:6">
      <c r="F53548" s="2423"/>
    </row>
    <row r="53549" spans="6:6">
      <c r="F53549" s="2423"/>
    </row>
    <row r="53550" spans="6:6">
      <c r="F53550" s="2423"/>
    </row>
    <row r="53551" spans="6:6">
      <c r="F53551" s="2423"/>
    </row>
    <row r="53552" spans="6:6">
      <c r="F53552" s="2423"/>
    </row>
    <row r="53553" spans="6:6">
      <c r="F53553" s="2423"/>
    </row>
    <row r="53554" spans="6:6">
      <c r="F53554" s="2423"/>
    </row>
    <row r="53555" spans="6:6">
      <c r="F53555" s="2423"/>
    </row>
    <row r="53556" spans="6:6">
      <c r="F53556" s="2423"/>
    </row>
    <row r="53557" spans="6:6">
      <c r="F53557" s="2423"/>
    </row>
    <row r="53558" spans="6:6">
      <c r="F53558" s="2423"/>
    </row>
    <row r="53559" spans="6:6">
      <c r="F53559" s="2423"/>
    </row>
    <row r="53560" spans="6:6">
      <c r="F53560" s="2423"/>
    </row>
    <row r="53561" spans="6:6">
      <c r="F53561" s="2423"/>
    </row>
    <row r="53562" spans="6:6">
      <c r="F53562" s="2423"/>
    </row>
    <row r="53563" spans="6:6">
      <c r="F53563" s="2423"/>
    </row>
    <row r="53564" spans="6:6">
      <c r="F53564" s="2423"/>
    </row>
    <row r="53565" spans="6:6">
      <c r="F53565" s="2423"/>
    </row>
    <row r="53566" spans="6:6">
      <c r="F53566" s="2423"/>
    </row>
    <row r="53567" spans="6:6">
      <c r="F53567" s="2423"/>
    </row>
    <row r="53568" spans="6:6">
      <c r="F53568" s="2423"/>
    </row>
    <row r="53569" spans="6:6">
      <c r="F53569" s="2423"/>
    </row>
    <row r="53570" spans="6:6">
      <c r="F53570" s="2423"/>
    </row>
    <row r="53571" spans="6:6">
      <c r="F53571" s="2423"/>
    </row>
    <row r="53572" spans="6:6">
      <c r="F53572" s="2423"/>
    </row>
    <row r="53573" spans="6:6">
      <c r="F53573" s="2423"/>
    </row>
    <row r="53574" spans="6:6">
      <c r="F53574" s="2423"/>
    </row>
    <row r="53575" spans="6:6">
      <c r="F53575" s="2423"/>
    </row>
    <row r="53576" spans="6:6">
      <c r="F53576" s="2423"/>
    </row>
    <row r="53577" spans="6:6">
      <c r="F53577" s="2423"/>
    </row>
    <row r="53578" spans="6:6">
      <c r="F53578" s="2423"/>
    </row>
    <row r="53579" spans="6:6">
      <c r="F53579" s="2423"/>
    </row>
    <row r="53580" spans="6:6">
      <c r="F53580" s="2423"/>
    </row>
    <row r="53581" spans="6:6">
      <c r="F53581" s="2423"/>
    </row>
    <row r="53582" spans="6:6">
      <c r="F53582" s="2423"/>
    </row>
    <row r="53583" spans="6:6">
      <c r="F53583" s="2423"/>
    </row>
    <row r="53584" spans="6:6">
      <c r="F53584" s="2423"/>
    </row>
    <row r="53585" spans="6:6">
      <c r="F53585" s="2423"/>
    </row>
    <row r="53586" spans="6:6">
      <c r="F53586" s="2423"/>
    </row>
    <row r="53587" spans="6:6">
      <c r="F53587" s="2423"/>
    </row>
    <row r="53588" spans="6:6">
      <c r="F53588" s="2423"/>
    </row>
    <row r="53589" spans="6:6">
      <c r="F53589" s="2423"/>
    </row>
    <row r="53590" spans="6:6">
      <c r="F53590" s="2423"/>
    </row>
    <row r="53591" spans="6:6">
      <c r="F53591" s="2423"/>
    </row>
    <row r="53592" spans="6:6">
      <c r="F53592" s="2423"/>
    </row>
    <row r="53593" spans="6:6">
      <c r="F53593" s="2423"/>
    </row>
    <row r="53594" spans="6:6">
      <c r="F53594" s="2423"/>
    </row>
    <row r="53595" spans="6:6">
      <c r="F53595" s="2423"/>
    </row>
    <row r="53596" spans="6:6">
      <c r="F53596" s="2423"/>
    </row>
    <row r="53597" spans="6:6">
      <c r="F53597" s="2423"/>
    </row>
    <row r="53598" spans="6:6">
      <c r="F53598" s="2423"/>
    </row>
    <row r="53599" spans="6:6">
      <c r="F53599" s="2423"/>
    </row>
    <row r="53600" spans="6:6">
      <c r="F53600" s="2423"/>
    </row>
    <row r="53601" spans="6:6">
      <c r="F53601" s="2423"/>
    </row>
    <row r="53602" spans="6:6">
      <c r="F53602" s="2423"/>
    </row>
    <row r="53603" spans="6:6">
      <c r="F53603" s="2423"/>
    </row>
    <row r="53604" spans="6:6">
      <c r="F53604" s="2423"/>
    </row>
    <row r="53605" spans="6:6">
      <c r="F53605" s="2423"/>
    </row>
    <row r="53606" spans="6:6">
      <c r="F53606" s="2423"/>
    </row>
    <row r="53607" spans="6:6">
      <c r="F53607" s="2423"/>
    </row>
    <row r="53608" spans="6:6">
      <c r="F53608" s="2423"/>
    </row>
    <row r="53609" spans="6:6">
      <c r="F53609" s="2423"/>
    </row>
    <row r="53610" spans="6:6">
      <c r="F53610" s="2423"/>
    </row>
    <row r="53611" spans="6:6">
      <c r="F53611" s="2423"/>
    </row>
    <row r="53612" spans="6:6">
      <c r="F53612" s="2423"/>
    </row>
    <row r="53613" spans="6:6">
      <c r="F53613" s="2423"/>
    </row>
    <row r="53614" spans="6:6">
      <c r="F53614" s="2423"/>
    </row>
    <row r="53615" spans="6:6">
      <c r="F53615" s="2423"/>
    </row>
    <row r="53616" spans="6:6">
      <c r="F53616" s="2423"/>
    </row>
    <row r="53617" spans="6:6">
      <c r="F53617" s="2423"/>
    </row>
    <row r="53618" spans="6:6">
      <c r="F53618" s="2423"/>
    </row>
    <row r="53619" spans="6:6">
      <c r="F53619" s="2423"/>
    </row>
    <row r="53620" spans="6:6">
      <c r="F53620" s="2423"/>
    </row>
    <row r="53621" spans="6:6">
      <c r="F53621" s="2423"/>
    </row>
    <row r="53622" spans="6:6">
      <c r="F53622" s="2423"/>
    </row>
    <row r="53623" spans="6:6">
      <c r="F53623" s="2423"/>
    </row>
    <row r="53624" spans="6:6">
      <c r="F53624" s="2423"/>
    </row>
    <row r="53625" spans="6:6">
      <c r="F53625" s="2423"/>
    </row>
    <row r="53626" spans="6:6">
      <c r="F53626" s="2423"/>
    </row>
    <row r="53627" spans="6:6">
      <c r="F53627" s="2423"/>
    </row>
    <row r="53628" spans="6:6">
      <c r="F53628" s="2423"/>
    </row>
    <row r="53629" spans="6:6">
      <c r="F53629" s="2423"/>
    </row>
    <row r="53630" spans="6:6">
      <c r="F53630" s="2423"/>
    </row>
    <row r="53631" spans="6:6">
      <c r="F53631" s="2423"/>
    </row>
    <row r="53632" spans="6:6">
      <c r="F53632" s="2423"/>
    </row>
    <row r="53633" spans="6:6">
      <c r="F53633" s="2423"/>
    </row>
    <row r="53634" spans="6:6">
      <c r="F53634" s="2423"/>
    </row>
    <row r="53635" spans="6:6">
      <c r="F53635" s="2423"/>
    </row>
    <row r="53636" spans="6:6">
      <c r="F53636" s="2423"/>
    </row>
    <row r="53637" spans="6:6">
      <c r="F53637" s="2423"/>
    </row>
    <row r="53638" spans="6:6">
      <c r="F53638" s="2423"/>
    </row>
    <row r="53639" spans="6:6">
      <c r="F53639" s="2423"/>
    </row>
    <row r="53640" spans="6:6">
      <c r="F53640" s="2423"/>
    </row>
    <row r="53641" spans="6:6">
      <c r="F53641" s="2423"/>
    </row>
    <row r="53642" spans="6:6">
      <c r="F53642" s="2423"/>
    </row>
    <row r="53643" spans="6:6">
      <c r="F53643" s="2423"/>
    </row>
    <row r="53644" spans="6:6">
      <c r="F53644" s="2423"/>
    </row>
    <row r="53645" spans="6:6">
      <c r="F53645" s="2423"/>
    </row>
    <row r="53646" spans="6:6">
      <c r="F53646" s="2423"/>
    </row>
    <row r="53647" spans="6:6">
      <c r="F53647" s="2423"/>
    </row>
    <row r="53648" spans="6:6">
      <c r="F53648" s="2423"/>
    </row>
    <row r="53649" spans="6:6">
      <c r="F53649" s="2423"/>
    </row>
    <row r="53650" spans="6:6">
      <c r="F53650" s="2423"/>
    </row>
    <row r="53651" spans="6:6">
      <c r="F53651" s="2423"/>
    </row>
    <row r="53652" spans="6:6">
      <c r="F53652" s="2423"/>
    </row>
    <row r="53653" spans="6:6">
      <c r="F53653" s="2423"/>
    </row>
    <row r="53654" spans="6:6">
      <c r="F53654" s="2423"/>
    </row>
    <row r="53655" spans="6:6">
      <c r="F53655" s="2423"/>
    </row>
    <row r="53656" spans="6:6">
      <c r="F53656" s="2423"/>
    </row>
    <row r="53657" spans="6:6">
      <c r="F53657" s="2423"/>
    </row>
    <row r="53658" spans="6:6">
      <c r="F53658" s="2423"/>
    </row>
    <row r="53659" spans="6:6">
      <c r="F53659" s="2423"/>
    </row>
    <row r="53660" spans="6:6">
      <c r="F53660" s="2423"/>
    </row>
    <row r="53661" spans="6:6">
      <c r="F53661" s="2423"/>
    </row>
    <row r="53662" spans="6:6">
      <c r="F53662" s="2423"/>
    </row>
    <row r="53663" spans="6:6">
      <c r="F53663" s="2423"/>
    </row>
    <row r="53664" spans="6:6">
      <c r="F53664" s="2423"/>
    </row>
    <row r="53665" spans="6:6">
      <c r="F53665" s="2423"/>
    </row>
    <row r="53666" spans="6:6">
      <c r="F53666" s="2423"/>
    </row>
    <row r="53667" spans="6:6">
      <c r="F53667" s="2423"/>
    </row>
    <row r="53668" spans="6:6">
      <c r="F53668" s="2423"/>
    </row>
    <row r="53669" spans="6:6">
      <c r="F53669" s="2423"/>
    </row>
    <row r="53670" spans="6:6">
      <c r="F53670" s="2423"/>
    </row>
    <row r="53671" spans="6:6">
      <c r="F53671" s="2423"/>
    </row>
    <row r="53672" spans="6:6">
      <c r="F53672" s="2423"/>
    </row>
    <row r="53673" spans="6:6">
      <c r="F53673" s="2423"/>
    </row>
    <row r="53674" spans="6:6">
      <c r="F53674" s="2423"/>
    </row>
    <row r="53675" spans="6:6">
      <c r="F53675" s="2423"/>
    </row>
    <row r="53676" spans="6:6">
      <c r="F53676" s="2423"/>
    </row>
    <row r="53677" spans="6:6">
      <c r="F53677" s="2423"/>
    </row>
    <row r="53678" spans="6:6">
      <c r="F53678" s="2423"/>
    </row>
    <row r="53679" spans="6:6">
      <c r="F53679" s="2423"/>
    </row>
    <row r="53680" spans="6:6">
      <c r="F53680" s="2423"/>
    </row>
    <row r="53681" spans="6:6">
      <c r="F53681" s="2423"/>
    </row>
    <row r="53682" spans="6:6">
      <c r="F53682" s="2423"/>
    </row>
    <row r="53683" spans="6:6">
      <c r="F53683" s="2423"/>
    </row>
    <row r="53684" spans="6:6">
      <c r="F53684" s="2423"/>
    </row>
    <row r="53685" spans="6:6">
      <c r="F53685" s="2423"/>
    </row>
    <row r="53686" spans="6:6">
      <c r="F53686" s="2423"/>
    </row>
    <row r="53687" spans="6:6">
      <c r="F53687" s="2423"/>
    </row>
    <row r="53688" spans="6:6">
      <c r="F53688" s="2423"/>
    </row>
    <row r="53689" spans="6:6">
      <c r="F53689" s="2423"/>
    </row>
    <row r="53690" spans="6:6">
      <c r="F53690" s="2423"/>
    </row>
    <row r="53691" spans="6:6">
      <c r="F53691" s="2423"/>
    </row>
    <row r="53692" spans="6:6">
      <c r="F53692" s="2423"/>
    </row>
    <row r="53693" spans="6:6">
      <c r="F53693" s="2423"/>
    </row>
    <row r="53694" spans="6:6">
      <c r="F53694" s="2423"/>
    </row>
    <row r="53695" spans="6:6">
      <c r="F53695" s="2423"/>
    </row>
    <row r="53696" spans="6:6">
      <c r="F53696" s="2423"/>
    </row>
    <row r="53697" spans="6:6">
      <c r="F53697" s="2423"/>
    </row>
    <row r="53698" spans="6:6">
      <c r="F53698" s="2423"/>
    </row>
    <row r="53699" spans="6:6">
      <c r="F53699" s="2423"/>
    </row>
    <row r="53700" spans="6:6">
      <c r="F53700" s="2423"/>
    </row>
    <row r="53701" spans="6:6">
      <c r="F53701" s="2423"/>
    </row>
    <row r="53702" spans="6:6">
      <c r="F53702" s="2423"/>
    </row>
    <row r="53703" spans="6:6">
      <c r="F53703" s="2423"/>
    </row>
    <row r="53704" spans="6:6">
      <c r="F53704" s="2423"/>
    </row>
    <row r="53705" spans="6:6">
      <c r="F53705" s="2423"/>
    </row>
    <row r="53706" spans="6:6">
      <c r="F53706" s="2423"/>
    </row>
    <row r="53707" spans="6:6">
      <c r="F53707" s="2423"/>
    </row>
    <row r="53708" spans="6:6">
      <c r="F53708" s="2423"/>
    </row>
    <row r="53709" spans="6:6">
      <c r="F53709" s="2423"/>
    </row>
    <row r="53710" spans="6:6">
      <c r="F53710" s="2423"/>
    </row>
    <row r="53711" spans="6:6">
      <c r="F53711" s="2423"/>
    </row>
    <row r="53712" spans="6:6">
      <c r="F53712" s="2423"/>
    </row>
    <row r="53713" spans="6:6">
      <c r="F53713" s="2423"/>
    </row>
    <row r="53714" spans="6:6">
      <c r="F53714" s="2423"/>
    </row>
    <row r="53715" spans="6:6">
      <c r="F53715" s="2423"/>
    </row>
    <row r="53716" spans="6:6">
      <c r="F53716" s="2423"/>
    </row>
    <row r="53717" spans="6:6">
      <c r="F53717" s="2423"/>
    </row>
    <row r="53718" spans="6:6">
      <c r="F53718" s="2423"/>
    </row>
    <row r="53719" spans="6:6">
      <c r="F53719" s="2423"/>
    </row>
    <row r="53720" spans="6:6">
      <c r="F53720" s="2423"/>
    </row>
    <row r="53721" spans="6:6">
      <c r="F53721" s="2423"/>
    </row>
    <row r="53722" spans="6:6">
      <c r="F53722" s="2423"/>
    </row>
    <row r="53723" spans="6:6">
      <c r="F53723" s="2423"/>
    </row>
    <row r="53724" spans="6:6">
      <c r="F53724" s="2423"/>
    </row>
    <row r="53725" spans="6:6">
      <c r="F53725" s="2423"/>
    </row>
    <row r="53726" spans="6:6">
      <c r="F53726" s="2423"/>
    </row>
    <row r="53727" spans="6:6">
      <c r="F53727" s="2423"/>
    </row>
    <row r="53728" spans="6:6">
      <c r="F53728" s="2423"/>
    </row>
    <row r="53729" spans="6:6">
      <c r="F53729" s="2423"/>
    </row>
    <row r="53730" spans="6:6">
      <c r="F53730" s="2423"/>
    </row>
    <row r="53731" spans="6:6">
      <c r="F53731" s="2423"/>
    </row>
    <row r="53732" spans="6:6">
      <c r="F53732" s="2423"/>
    </row>
    <row r="53733" spans="6:6">
      <c r="F53733" s="2423"/>
    </row>
    <row r="53734" spans="6:6">
      <c r="F53734" s="2423"/>
    </row>
    <row r="53735" spans="6:6">
      <c r="F53735" s="2423"/>
    </row>
    <row r="53736" spans="6:6">
      <c r="F53736" s="2423"/>
    </row>
    <row r="53737" spans="6:6">
      <c r="F53737" s="2423"/>
    </row>
    <row r="53738" spans="6:6">
      <c r="F53738" s="2423"/>
    </row>
    <row r="53739" spans="6:6">
      <c r="F53739" s="2423"/>
    </row>
    <row r="53740" spans="6:6">
      <c r="F53740" s="2423"/>
    </row>
    <row r="53741" spans="6:6">
      <c r="F53741" s="2423"/>
    </row>
    <row r="53742" spans="6:6">
      <c r="F53742" s="2423"/>
    </row>
    <row r="53743" spans="6:6">
      <c r="F53743" s="2423"/>
    </row>
    <row r="53744" spans="6:6">
      <c r="F53744" s="2423"/>
    </row>
    <row r="53745" spans="6:6">
      <c r="F53745" s="2423"/>
    </row>
    <row r="53746" spans="6:6">
      <c r="F53746" s="2423"/>
    </row>
    <row r="53747" spans="6:6">
      <c r="F53747" s="2423"/>
    </row>
    <row r="53748" spans="6:6">
      <c r="F53748" s="2423"/>
    </row>
    <row r="53749" spans="6:6">
      <c r="F53749" s="2423"/>
    </row>
    <row r="53750" spans="6:6">
      <c r="F53750" s="2423"/>
    </row>
    <row r="53751" spans="6:6">
      <c r="F53751" s="2423"/>
    </row>
    <row r="53752" spans="6:6">
      <c r="F53752" s="2423"/>
    </row>
    <row r="53753" spans="6:6">
      <c r="F53753" s="2423"/>
    </row>
    <row r="53754" spans="6:6">
      <c r="F53754" s="2423"/>
    </row>
    <row r="53755" spans="6:6">
      <c r="F53755" s="2423"/>
    </row>
    <row r="53756" spans="6:6">
      <c r="F53756" s="2423"/>
    </row>
    <row r="53757" spans="6:6">
      <c r="F53757" s="2423"/>
    </row>
    <row r="53758" spans="6:6">
      <c r="F53758" s="2423"/>
    </row>
    <row r="53759" spans="6:6">
      <c r="F53759" s="2423"/>
    </row>
    <row r="53760" spans="6:6">
      <c r="F53760" s="2423"/>
    </row>
    <row r="53761" spans="6:6">
      <c r="F53761" s="2423"/>
    </row>
    <row r="53762" spans="6:6">
      <c r="F53762" s="2423"/>
    </row>
    <row r="53763" spans="6:6">
      <c r="F53763" s="2423"/>
    </row>
    <row r="53764" spans="6:6">
      <c r="F53764" s="2423"/>
    </row>
    <row r="53765" spans="6:6">
      <c r="F53765" s="2423"/>
    </row>
    <row r="53766" spans="6:6">
      <c r="F53766" s="2423"/>
    </row>
    <row r="53767" spans="6:6">
      <c r="F53767" s="2423"/>
    </row>
    <row r="53768" spans="6:6">
      <c r="F53768" s="2423"/>
    </row>
    <row r="53769" spans="6:6">
      <c r="F53769" s="2423"/>
    </row>
    <row r="53770" spans="6:6">
      <c r="F53770" s="2423"/>
    </row>
    <row r="53771" spans="6:6">
      <c r="F53771" s="2423"/>
    </row>
    <row r="53772" spans="6:6">
      <c r="F53772" s="2423"/>
    </row>
    <row r="53773" spans="6:6">
      <c r="F53773" s="2423"/>
    </row>
    <row r="53774" spans="6:6">
      <c r="F53774" s="2423"/>
    </row>
    <row r="53775" spans="6:6">
      <c r="F53775" s="2423"/>
    </row>
    <row r="53776" spans="6:6">
      <c r="F53776" s="2423"/>
    </row>
    <row r="53777" spans="6:6">
      <c r="F53777" s="2423"/>
    </row>
    <row r="53778" spans="6:6">
      <c r="F53778" s="2423"/>
    </row>
    <row r="53779" spans="6:6">
      <c r="F53779" s="2423"/>
    </row>
    <row r="53780" spans="6:6">
      <c r="F53780" s="2423"/>
    </row>
    <row r="53781" spans="6:6">
      <c r="F53781" s="2423"/>
    </row>
    <row r="53782" spans="6:6">
      <c r="F53782" s="2423"/>
    </row>
    <row r="53783" spans="6:6">
      <c r="F53783" s="2423"/>
    </row>
    <row r="53784" spans="6:6">
      <c r="F53784" s="2423"/>
    </row>
    <row r="53785" spans="6:6">
      <c r="F53785" s="2423"/>
    </row>
    <row r="53786" spans="6:6">
      <c r="F53786" s="2423"/>
    </row>
    <row r="53787" spans="6:6">
      <c r="F53787" s="2423"/>
    </row>
    <row r="53788" spans="6:6">
      <c r="F53788" s="2423"/>
    </row>
    <row r="53789" spans="6:6">
      <c r="F53789" s="2423"/>
    </row>
    <row r="53790" spans="6:6">
      <c r="F53790" s="2423"/>
    </row>
    <row r="53791" spans="6:6">
      <c r="F53791" s="2423"/>
    </row>
    <row r="53792" spans="6:6">
      <c r="F53792" s="2423"/>
    </row>
    <row r="53793" spans="6:6">
      <c r="F53793" s="2423"/>
    </row>
    <row r="53794" spans="6:6">
      <c r="F53794" s="2423"/>
    </row>
    <row r="53795" spans="6:6">
      <c r="F53795" s="2423"/>
    </row>
    <row r="53796" spans="6:6">
      <c r="F53796" s="2423"/>
    </row>
    <row r="53797" spans="6:6">
      <c r="F53797" s="2423"/>
    </row>
    <row r="53798" spans="6:6">
      <c r="F53798" s="2423"/>
    </row>
    <row r="53799" spans="6:6">
      <c r="F53799" s="2423"/>
    </row>
    <row r="53800" spans="6:6">
      <c r="F53800" s="2423"/>
    </row>
    <row r="53801" spans="6:6">
      <c r="F53801" s="2423"/>
    </row>
    <row r="53802" spans="6:6">
      <c r="F53802" s="2423"/>
    </row>
    <row r="53803" spans="6:6">
      <c r="F53803" s="2423"/>
    </row>
    <row r="53804" spans="6:6">
      <c r="F53804" s="2423"/>
    </row>
    <row r="53805" spans="6:6">
      <c r="F53805" s="2423"/>
    </row>
    <row r="53806" spans="6:6">
      <c r="F53806" s="2423"/>
    </row>
    <row r="53807" spans="6:6">
      <c r="F53807" s="2423"/>
    </row>
    <row r="53808" spans="6:6">
      <c r="F53808" s="2423"/>
    </row>
    <row r="53809" spans="6:6">
      <c r="F53809" s="2423"/>
    </row>
    <row r="53810" spans="6:6">
      <c r="F53810" s="2423"/>
    </row>
    <row r="53811" spans="6:6">
      <c r="F53811" s="2423"/>
    </row>
    <row r="53812" spans="6:6">
      <c r="F53812" s="2423"/>
    </row>
    <row r="53813" spans="6:6">
      <c r="F53813" s="2423"/>
    </row>
    <row r="53814" spans="6:6">
      <c r="F53814" s="2423"/>
    </row>
    <row r="53815" spans="6:6">
      <c r="F53815" s="2423"/>
    </row>
    <row r="53816" spans="6:6">
      <c r="F53816" s="2423"/>
    </row>
    <row r="53817" spans="6:6">
      <c r="F53817" s="2423"/>
    </row>
    <row r="53818" spans="6:6">
      <c r="F53818" s="2423"/>
    </row>
    <row r="53819" spans="6:6">
      <c r="F53819" s="2423"/>
    </row>
    <row r="53820" spans="6:6">
      <c r="F53820" s="2423"/>
    </row>
    <row r="53821" spans="6:6">
      <c r="F53821" s="2423"/>
    </row>
    <row r="53822" spans="6:6">
      <c r="F53822" s="2423"/>
    </row>
    <row r="53823" spans="6:6">
      <c r="F53823" s="2423"/>
    </row>
    <row r="53824" spans="6:6">
      <c r="F53824" s="2423"/>
    </row>
    <row r="53825" spans="6:6">
      <c r="F53825" s="2423"/>
    </row>
    <row r="53826" spans="6:6">
      <c r="F53826" s="2423"/>
    </row>
    <row r="53827" spans="6:6">
      <c r="F53827" s="2423"/>
    </row>
    <row r="53828" spans="6:6">
      <c r="F53828" s="2423"/>
    </row>
    <row r="53829" spans="6:6">
      <c r="F53829" s="2423"/>
    </row>
    <row r="53830" spans="6:6">
      <c r="F53830" s="2423"/>
    </row>
    <row r="53831" spans="6:6">
      <c r="F53831" s="2423"/>
    </row>
    <row r="53832" spans="6:6">
      <c r="F53832" s="2423"/>
    </row>
    <row r="53833" spans="6:6">
      <c r="F53833" s="2423"/>
    </row>
    <row r="53834" spans="6:6">
      <c r="F53834" s="2423"/>
    </row>
    <row r="53835" spans="6:6">
      <c r="F53835" s="2423"/>
    </row>
    <row r="53836" spans="6:6">
      <c r="F53836" s="2423"/>
    </row>
    <row r="53837" spans="6:6">
      <c r="F53837" s="2423"/>
    </row>
    <row r="53838" spans="6:6">
      <c r="F53838" s="2423"/>
    </row>
    <row r="53839" spans="6:6">
      <c r="F53839" s="2423"/>
    </row>
    <row r="53840" spans="6:6">
      <c r="F53840" s="2423"/>
    </row>
    <row r="53841" spans="6:6">
      <c r="F53841" s="2423"/>
    </row>
    <row r="53842" spans="6:6">
      <c r="F53842" s="2423"/>
    </row>
    <row r="53843" spans="6:6">
      <c r="F53843" s="2423"/>
    </row>
    <row r="53844" spans="6:6">
      <c r="F53844" s="2423"/>
    </row>
    <row r="53845" spans="6:6">
      <c r="F53845" s="2423"/>
    </row>
    <row r="53846" spans="6:6">
      <c r="F53846" s="2423"/>
    </row>
    <row r="53847" spans="6:6">
      <c r="F53847" s="2423"/>
    </row>
    <row r="53848" spans="6:6">
      <c r="F53848" s="2423"/>
    </row>
    <row r="53849" spans="6:6">
      <c r="F53849" s="2423"/>
    </row>
    <row r="53850" spans="6:6">
      <c r="F53850" s="2423"/>
    </row>
    <row r="53851" spans="6:6">
      <c r="F53851" s="2423"/>
    </row>
    <row r="53852" spans="6:6">
      <c r="F53852" s="2423"/>
    </row>
    <row r="53853" spans="6:6">
      <c r="F53853" s="2423"/>
    </row>
    <row r="53854" spans="6:6">
      <c r="F53854" s="2423"/>
    </row>
    <row r="53855" spans="6:6">
      <c r="F53855" s="2423"/>
    </row>
    <row r="53856" spans="6:6">
      <c r="F53856" s="2423"/>
    </row>
    <row r="53857" spans="6:6">
      <c r="F53857" s="2423"/>
    </row>
    <row r="53858" spans="6:6">
      <c r="F53858" s="2423"/>
    </row>
    <row r="53859" spans="6:6">
      <c r="F53859" s="2423"/>
    </row>
    <row r="53860" spans="6:6">
      <c r="F53860" s="2423"/>
    </row>
    <row r="53861" spans="6:6">
      <c r="F53861" s="2423"/>
    </row>
    <row r="53862" spans="6:6">
      <c r="F53862" s="2423"/>
    </row>
    <row r="53863" spans="6:6">
      <c r="F53863" s="2423"/>
    </row>
    <row r="53864" spans="6:6">
      <c r="F53864" s="2423"/>
    </row>
    <row r="53865" spans="6:6">
      <c r="F53865" s="2423"/>
    </row>
    <row r="53866" spans="6:6">
      <c r="F53866" s="2423"/>
    </row>
    <row r="53867" spans="6:6">
      <c r="F53867" s="2423"/>
    </row>
    <row r="53868" spans="6:6">
      <c r="F53868" s="2423"/>
    </row>
    <row r="53869" spans="6:6">
      <c r="F53869" s="2423"/>
    </row>
    <row r="53870" spans="6:6">
      <c r="F53870" s="2423"/>
    </row>
    <row r="53871" spans="6:6">
      <c r="F53871" s="2423"/>
    </row>
    <row r="53872" spans="6:6">
      <c r="F53872" s="2423"/>
    </row>
    <row r="53873" spans="6:6">
      <c r="F53873" s="2423"/>
    </row>
    <row r="53874" spans="6:6">
      <c r="F53874" s="2423"/>
    </row>
    <row r="53875" spans="6:6">
      <c r="F53875" s="2423"/>
    </row>
    <row r="53876" spans="6:6">
      <c r="F53876" s="2423"/>
    </row>
    <row r="53877" spans="6:6">
      <c r="F53877" s="2423"/>
    </row>
    <row r="53878" spans="6:6">
      <c r="F53878" s="2423"/>
    </row>
    <row r="53879" spans="6:6">
      <c r="F53879" s="2423"/>
    </row>
    <row r="53880" spans="6:6">
      <c r="F53880" s="2423"/>
    </row>
    <row r="53881" spans="6:6">
      <c r="F53881" s="2423"/>
    </row>
    <row r="53882" spans="6:6">
      <c r="F53882" s="2423"/>
    </row>
    <row r="53883" spans="6:6">
      <c r="F53883" s="2423"/>
    </row>
    <row r="53884" spans="6:6">
      <c r="F53884" s="2423"/>
    </row>
    <row r="53885" spans="6:6">
      <c r="F53885" s="2423"/>
    </row>
    <row r="53886" spans="6:6">
      <c r="F53886" s="2423"/>
    </row>
    <row r="53887" spans="6:6">
      <c r="F53887" s="2423"/>
    </row>
    <row r="53888" spans="6:6">
      <c r="F53888" s="2423"/>
    </row>
    <row r="53889" spans="6:6">
      <c r="F53889" s="2423"/>
    </row>
    <row r="53890" spans="6:6">
      <c r="F53890" s="2423"/>
    </row>
    <row r="53891" spans="6:6">
      <c r="F53891" s="2423"/>
    </row>
    <row r="53892" spans="6:6">
      <c r="F53892" s="2423"/>
    </row>
    <row r="53893" spans="6:6">
      <c r="F53893" s="2423"/>
    </row>
    <row r="53894" spans="6:6">
      <c r="F53894" s="2423"/>
    </row>
    <row r="53895" spans="6:6">
      <c r="F53895" s="2423"/>
    </row>
    <row r="53896" spans="6:6">
      <c r="F53896" s="2423"/>
    </row>
    <row r="53897" spans="6:6">
      <c r="F53897" s="2423"/>
    </row>
    <row r="53898" spans="6:6">
      <c r="F53898" s="2423"/>
    </row>
    <row r="53899" spans="6:6">
      <c r="F53899" s="2423"/>
    </row>
    <row r="53900" spans="6:6">
      <c r="F53900" s="2423"/>
    </row>
    <row r="53901" spans="6:6">
      <c r="F53901" s="2423"/>
    </row>
    <row r="53902" spans="6:6">
      <c r="F53902" s="2423"/>
    </row>
    <row r="53903" spans="6:6">
      <c r="F53903" s="2423"/>
    </row>
    <row r="53904" spans="6:6">
      <c r="F53904" s="2423"/>
    </row>
    <row r="53905" spans="6:6">
      <c r="F53905" s="2423"/>
    </row>
    <row r="53906" spans="6:6">
      <c r="F53906" s="2423"/>
    </row>
    <row r="53907" spans="6:6">
      <c r="F53907" s="2423"/>
    </row>
    <row r="53908" spans="6:6">
      <c r="F53908" s="2423"/>
    </row>
    <row r="53909" spans="6:6">
      <c r="F53909" s="2423"/>
    </row>
    <row r="53910" spans="6:6">
      <c r="F53910" s="2423"/>
    </row>
    <row r="53911" spans="6:6">
      <c r="F53911" s="2423"/>
    </row>
    <row r="53912" spans="6:6">
      <c r="F53912" s="2423"/>
    </row>
    <row r="53913" spans="6:6">
      <c r="F53913" s="2423"/>
    </row>
    <row r="53914" spans="6:6">
      <c r="F53914" s="2423"/>
    </row>
    <row r="53915" spans="6:6">
      <c r="F53915" s="2423"/>
    </row>
    <row r="53916" spans="6:6">
      <c r="F53916" s="2423"/>
    </row>
    <row r="53917" spans="6:6">
      <c r="F53917" s="2423"/>
    </row>
    <row r="53918" spans="6:6">
      <c r="F53918" s="2423"/>
    </row>
    <row r="53919" spans="6:6">
      <c r="F53919" s="2423"/>
    </row>
    <row r="53920" spans="6:6">
      <c r="F53920" s="2423"/>
    </row>
    <row r="53921" spans="6:6">
      <c r="F53921" s="2423"/>
    </row>
    <row r="53922" spans="6:6">
      <c r="F53922" s="2423"/>
    </row>
    <row r="53923" spans="6:6">
      <c r="F53923" s="2423"/>
    </row>
    <row r="53924" spans="6:6">
      <c r="F53924" s="2423"/>
    </row>
    <row r="53925" spans="6:6">
      <c r="F53925" s="2423"/>
    </row>
    <row r="53926" spans="6:6">
      <c r="F53926" s="2423"/>
    </row>
    <row r="53927" spans="6:6">
      <c r="F53927" s="2423"/>
    </row>
    <row r="53928" spans="6:6">
      <c r="F53928" s="2423"/>
    </row>
    <row r="53929" spans="6:6">
      <c r="F53929" s="2423"/>
    </row>
    <row r="53930" spans="6:6">
      <c r="F53930" s="2423"/>
    </row>
    <row r="53931" spans="6:6">
      <c r="F53931" s="2423"/>
    </row>
    <row r="53932" spans="6:6">
      <c r="F53932" s="2423"/>
    </row>
    <row r="53933" spans="6:6">
      <c r="F53933" s="2423"/>
    </row>
    <row r="53934" spans="6:6">
      <c r="F53934" s="2423"/>
    </row>
    <row r="53935" spans="6:6">
      <c r="F53935" s="2423"/>
    </row>
    <row r="53936" spans="6:6">
      <c r="F53936" s="2423"/>
    </row>
    <row r="53937" spans="6:6">
      <c r="F53937" s="2423"/>
    </row>
    <row r="53938" spans="6:6">
      <c r="F53938" s="2423"/>
    </row>
    <row r="53939" spans="6:6">
      <c r="F53939" s="2423"/>
    </row>
    <row r="53940" spans="6:6">
      <c r="F53940" s="2423"/>
    </row>
    <row r="53941" spans="6:6">
      <c r="F53941" s="2423"/>
    </row>
    <row r="53942" spans="6:6">
      <c r="F53942" s="2423"/>
    </row>
    <row r="53943" spans="6:6">
      <c r="F53943" s="2423"/>
    </row>
    <row r="53944" spans="6:6">
      <c r="F53944" s="2423"/>
    </row>
    <row r="53945" spans="6:6">
      <c r="F53945" s="2423"/>
    </row>
    <row r="53946" spans="6:6">
      <c r="F53946" s="2423"/>
    </row>
    <row r="53947" spans="6:6">
      <c r="F53947" s="2423"/>
    </row>
    <row r="53948" spans="6:6">
      <c r="F53948" s="2423"/>
    </row>
    <row r="53949" spans="6:6">
      <c r="F53949" s="2423"/>
    </row>
    <row r="53950" spans="6:6">
      <c r="F53950" s="2423"/>
    </row>
    <row r="53951" spans="6:6">
      <c r="F53951" s="2423"/>
    </row>
    <row r="53952" spans="6:6">
      <c r="F53952" s="2423"/>
    </row>
    <row r="53953" spans="6:6">
      <c r="F53953" s="2423"/>
    </row>
    <row r="53954" spans="6:6">
      <c r="F53954" s="2423"/>
    </row>
    <row r="53955" spans="6:6">
      <c r="F53955" s="2423"/>
    </row>
    <row r="53956" spans="6:6">
      <c r="F53956" s="2423"/>
    </row>
    <row r="53957" spans="6:6">
      <c r="F53957" s="2423"/>
    </row>
    <row r="53958" spans="6:6">
      <c r="F53958" s="2423"/>
    </row>
    <row r="53959" spans="6:6">
      <c r="F53959" s="2423"/>
    </row>
    <row r="53960" spans="6:6">
      <c r="F53960" s="2423"/>
    </row>
    <row r="53961" spans="6:6">
      <c r="F53961" s="2423"/>
    </row>
    <row r="53962" spans="6:6">
      <c r="F53962" s="2423"/>
    </row>
    <row r="53963" spans="6:6">
      <c r="F53963" s="2423"/>
    </row>
    <row r="53964" spans="6:6">
      <c r="F53964" s="2423"/>
    </row>
    <row r="53965" spans="6:6">
      <c r="F53965" s="2423"/>
    </row>
    <row r="53966" spans="6:6">
      <c r="F53966" s="2423"/>
    </row>
    <row r="53967" spans="6:6">
      <c r="F53967" s="2423"/>
    </row>
    <row r="53968" spans="6:6">
      <c r="F53968" s="2423"/>
    </row>
    <row r="53969" spans="6:6">
      <c r="F53969" s="2423"/>
    </row>
    <row r="53970" spans="6:6">
      <c r="F53970" s="2423"/>
    </row>
    <row r="53971" spans="6:6">
      <c r="F53971" s="2423"/>
    </row>
    <row r="53972" spans="6:6">
      <c r="F53972" s="2423"/>
    </row>
    <row r="53973" spans="6:6">
      <c r="F53973" s="2423"/>
    </row>
    <row r="53974" spans="6:6">
      <c r="F53974" s="2423"/>
    </row>
    <row r="53975" spans="6:6">
      <c r="F53975" s="2423"/>
    </row>
    <row r="53976" spans="6:6">
      <c r="F53976" s="2423"/>
    </row>
    <row r="53977" spans="6:6">
      <c r="F53977" s="2423"/>
    </row>
    <row r="53978" spans="6:6">
      <c r="F53978" s="2423"/>
    </row>
    <row r="53979" spans="6:6">
      <c r="F53979" s="2423"/>
    </row>
    <row r="53980" spans="6:6">
      <c r="F53980" s="2423"/>
    </row>
    <row r="53981" spans="6:6">
      <c r="F53981" s="2423"/>
    </row>
    <row r="53982" spans="6:6">
      <c r="F53982" s="2423"/>
    </row>
    <row r="53983" spans="6:6">
      <c r="F53983" s="2423"/>
    </row>
    <row r="53984" spans="6:6">
      <c r="F53984" s="2423"/>
    </row>
    <row r="53985" spans="6:6">
      <c r="F53985" s="2423"/>
    </row>
    <row r="53986" spans="6:6">
      <c r="F53986" s="2423"/>
    </row>
    <row r="53987" spans="6:6">
      <c r="F53987" s="2423"/>
    </row>
    <row r="53988" spans="6:6">
      <c r="F53988" s="2423"/>
    </row>
    <row r="53989" spans="6:6">
      <c r="F53989" s="2423"/>
    </row>
    <row r="53990" spans="6:6">
      <c r="F53990" s="2423"/>
    </row>
    <row r="53991" spans="6:6">
      <c r="F53991" s="2423"/>
    </row>
    <row r="53992" spans="6:6">
      <c r="F53992" s="2423"/>
    </row>
    <row r="53993" spans="6:6">
      <c r="F53993" s="2423"/>
    </row>
    <row r="53994" spans="6:6">
      <c r="F53994" s="2423"/>
    </row>
    <row r="53995" spans="6:6">
      <c r="F53995" s="2423"/>
    </row>
    <row r="53996" spans="6:6">
      <c r="F53996" s="2423"/>
    </row>
    <row r="53997" spans="6:6">
      <c r="F53997" s="2423"/>
    </row>
    <row r="53998" spans="6:6">
      <c r="F53998" s="2423"/>
    </row>
    <row r="53999" spans="6:6">
      <c r="F53999" s="2423"/>
    </row>
    <row r="54000" spans="6:6">
      <c r="F54000" s="2423"/>
    </row>
    <row r="54001" spans="6:6">
      <c r="F54001" s="2423"/>
    </row>
    <row r="54002" spans="6:6">
      <c r="F54002" s="2423"/>
    </row>
    <row r="54003" spans="6:6">
      <c r="F54003" s="2423"/>
    </row>
    <row r="54004" spans="6:6">
      <c r="F54004" s="2423"/>
    </row>
    <row r="54005" spans="6:6">
      <c r="F54005" s="2423"/>
    </row>
    <row r="54006" spans="6:6">
      <c r="F54006" s="2423"/>
    </row>
    <row r="54007" spans="6:6">
      <c r="F54007" s="2423"/>
    </row>
    <row r="54008" spans="6:6">
      <c r="F54008" s="2423"/>
    </row>
    <row r="54009" spans="6:6">
      <c r="F54009" s="2423"/>
    </row>
    <row r="54010" spans="6:6">
      <c r="F54010" s="2423"/>
    </row>
    <row r="54011" spans="6:6">
      <c r="F54011" s="2423"/>
    </row>
    <row r="54012" spans="6:6">
      <c r="F54012" s="2423"/>
    </row>
    <row r="54013" spans="6:6">
      <c r="F54013" s="2423"/>
    </row>
    <row r="54014" spans="6:6">
      <c r="F54014" s="2423"/>
    </row>
    <row r="54015" spans="6:6">
      <c r="F54015" s="2423"/>
    </row>
    <row r="54016" spans="6:6">
      <c r="F54016" s="2423"/>
    </row>
    <row r="54017" spans="6:6">
      <c r="F54017" s="2423"/>
    </row>
    <row r="54018" spans="6:6">
      <c r="F54018" s="2423"/>
    </row>
    <row r="54019" spans="6:6">
      <c r="F54019" s="2423"/>
    </row>
    <row r="54020" spans="6:6">
      <c r="F54020" s="2423"/>
    </row>
    <row r="54021" spans="6:6">
      <c r="F54021" s="2423"/>
    </row>
    <row r="54022" spans="6:6">
      <c r="F54022" s="2423"/>
    </row>
    <row r="54023" spans="6:6">
      <c r="F54023" s="2423"/>
    </row>
    <row r="54024" spans="6:6">
      <c r="F54024" s="2423"/>
    </row>
    <row r="54025" spans="6:6">
      <c r="F54025" s="2423"/>
    </row>
    <row r="54026" spans="6:6">
      <c r="F54026" s="2423"/>
    </row>
    <row r="54027" spans="6:6">
      <c r="F54027" s="2423"/>
    </row>
    <row r="54028" spans="6:6">
      <c r="F54028" s="2423"/>
    </row>
    <row r="54029" spans="6:6">
      <c r="F54029" s="2423"/>
    </row>
    <row r="54030" spans="6:6">
      <c r="F54030" s="2423"/>
    </row>
    <row r="54031" spans="6:6">
      <c r="F54031" s="2423"/>
    </row>
    <row r="54032" spans="6:6">
      <c r="F54032" s="2423"/>
    </row>
    <row r="54033" spans="6:6">
      <c r="F54033" s="2423"/>
    </row>
    <row r="54034" spans="6:6">
      <c r="F54034" s="2423"/>
    </row>
    <row r="54035" spans="6:6">
      <c r="F54035" s="2423"/>
    </row>
    <row r="54036" spans="6:6">
      <c r="F54036" s="2423"/>
    </row>
    <row r="54037" spans="6:6">
      <c r="F54037" s="2423"/>
    </row>
    <row r="54038" spans="6:6">
      <c r="F54038" s="2423"/>
    </row>
    <row r="54039" spans="6:6">
      <c r="F54039" s="2423"/>
    </row>
    <row r="54040" spans="6:6">
      <c r="F54040" s="2423"/>
    </row>
    <row r="54041" spans="6:6">
      <c r="F54041" s="2423"/>
    </row>
    <row r="54042" spans="6:6">
      <c r="F54042" s="2423"/>
    </row>
    <row r="54043" spans="6:6">
      <c r="F54043" s="2423"/>
    </row>
    <row r="54044" spans="6:6">
      <c r="F54044" s="2423"/>
    </row>
    <row r="54045" spans="6:6">
      <c r="F54045" s="2423"/>
    </row>
    <row r="54046" spans="6:6">
      <c r="F54046" s="2423"/>
    </row>
    <row r="54047" spans="6:6">
      <c r="F54047" s="2423"/>
    </row>
    <row r="54048" spans="6:6">
      <c r="F54048" s="2423"/>
    </row>
    <row r="54049" spans="6:6">
      <c r="F54049" s="2423"/>
    </row>
    <row r="54050" spans="6:6">
      <c r="F54050" s="2423"/>
    </row>
    <row r="54051" spans="6:6">
      <c r="F54051" s="2423"/>
    </row>
    <row r="54052" spans="6:6">
      <c r="F54052" s="2423"/>
    </row>
    <row r="54053" spans="6:6">
      <c r="F54053" s="2423"/>
    </row>
    <row r="54054" spans="6:6">
      <c r="F54054" s="2423"/>
    </row>
    <row r="54055" spans="6:6">
      <c r="F54055" s="2423"/>
    </row>
    <row r="54056" spans="6:6">
      <c r="F54056" s="2423"/>
    </row>
    <row r="54057" spans="6:6">
      <c r="F54057" s="2423"/>
    </row>
    <row r="54058" spans="6:6">
      <c r="F54058" s="2423"/>
    </row>
    <row r="54059" spans="6:6">
      <c r="F54059" s="2423"/>
    </row>
    <row r="54060" spans="6:6">
      <c r="F54060" s="2423"/>
    </row>
    <row r="54061" spans="6:6">
      <c r="F54061" s="2423"/>
    </row>
    <row r="54062" spans="6:6">
      <c r="F54062" s="2423"/>
    </row>
    <row r="54063" spans="6:6">
      <c r="F54063" s="2423"/>
    </row>
    <row r="54064" spans="6:6">
      <c r="F54064" s="2423"/>
    </row>
    <row r="54065" spans="6:6">
      <c r="F54065" s="2423"/>
    </row>
    <row r="54066" spans="6:6">
      <c r="F54066" s="2423"/>
    </row>
    <row r="54067" spans="6:6">
      <c r="F54067" s="2423"/>
    </row>
    <row r="54068" spans="6:6">
      <c r="F54068" s="2423"/>
    </row>
    <row r="54069" spans="6:6">
      <c r="F54069" s="2423"/>
    </row>
    <row r="54070" spans="6:6">
      <c r="F54070" s="2423"/>
    </row>
    <row r="54071" spans="6:6">
      <c r="F54071" s="2423"/>
    </row>
    <row r="54072" spans="6:6">
      <c r="F54072" s="2423"/>
    </row>
    <row r="54073" spans="6:6">
      <c r="F54073" s="2423"/>
    </row>
    <row r="54074" spans="6:6">
      <c r="F54074" s="2423"/>
    </row>
    <row r="54075" spans="6:6">
      <c r="F54075" s="2423"/>
    </row>
    <row r="54076" spans="6:6">
      <c r="F54076" s="2423"/>
    </row>
    <row r="54077" spans="6:6">
      <c r="F54077" s="2423"/>
    </row>
    <row r="54078" spans="6:6">
      <c r="F54078" s="2423"/>
    </row>
    <row r="54079" spans="6:6">
      <c r="F54079" s="2423"/>
    </row>
    <row r="54080" spans="6:6">
      <c r="F54080" s="2423"/>
    </row>
    <row r="54081" spans="6:6">
      <c r="F54081" s="2423"/>
    </row>
    <row r="54082" spans="6:6">
      <c r="F54082" s="2423"/>
    </row>
    <row r="54083" spans="6:6">
      <c r="F54083" s="2423"/>
    </row>
    <row r="54084" spans="6:6">
      <c r="F54084" s="2423"/>
    </row>
    <row r="54085" spans="6:6">
      <c r="F54085" s="2423"/>
    </row>
    <row r="54086" spans="6:6">
      <c r="F54086" s="2423"/>
    </row>
    <row r="54087" spans="6:6">
      <c r="F54087" s="2423"/>
    </row>
    <row r="54088" spans="6:6">
      <c r="F54088" s="2423"/>
    </row>
    <row r="54089" spans="6:6">
      <c r="F54089" s="2423"/>
    </row>
    <row r="54090" spans="6:6">
      <c r="F54090" s="2423"/>
    </row>
    <row r="54091" spans="6:6">
      <c r="F54091" s="2423"/>
    </row>
    <row r="54092" spans="6:6">
      <c r="F54092" s="2423"/>
    </row>
    <row r="54093" spans="6:6">
      <c r="F54093" s="2423"/>
    </row>
    <row r="54094" spans="6:6">
      <c r="F54094" s="2423"/>
    </row>
    <row r="54095" spans="6:6">
      <c r="F54095" s="2423"/>
    </row>
    <row r="54096" spans="6:6">
      <c r="F54096" s="2423"/>
    </row>
    <row r="54097" spans="6:6">
      <c r="F54097" s="2423"/>
    </row>
    <row r="54098" spans="6:6">
      <c r="F54098" s="2423"/>
    </row>
    <row r="54099" spans="6:6">
      <c r="F54099" s="2423"/>
    </row>
    <row r="54100" spans="6:6">
      <c r="F54100" s="2423"/>
    </row>
    <row r="54101" spans="6:6">
      <c r="F54101" s="2423"/>
    </row>
    <row r="54102" spans="6:6">
      <c r="F54102" s="2423"/>
    </row>
    <row r="54103" spans="6:6">
      <c r="F54103" s="2423"/>
    </row>
    <row r="54104" spans="6:6">
      <c r="F54104" s="2423"/>
    </row>
    <row r="54105" spans="6:6">
      <c r="F54105" s="2423"/>
    </row>
    <row r="54106" spans="6:6">
      <c r="F54106" s="2423"/>
    </row>
    <row r="54107" spans="6:6">
      <c r="F54107" s="2423"/>
    </row>
    <row r="54108" spans="6:6">
      <c r="F54108" s="2423"/>
    </row>
    <row r="54109" spans="6:6">
      <c r="F54109" s="2423"/>
    </row>
    <row r="54110" spans="6:6">
      <c r="F54110" s="2423"/>
    </row>
    <row r="54111" spans="6:6">
      <c r="F54111" s="2423"/>
    </row>
    <row r="54112" spans="6:6">
      <c r="F54112" s="2423"/>
    </row>
    <row r="54113" spans="6:6">
      <c r="F54113" s="2423"/>
    </row>
    <row r="54114" spans="6:6">
      <c r="F54114" s="2423"/>
    </row>
    <row r="54115" spans="6:6">
      <c r="F54115" s="2423"/>
    </row>
    <row r="54116" spans="6:6">
      <c r="F54116" s="2423"/>
    </row>
    <row r="54117" spans="6:6">
      <c r="F54117" s="2423"/>
    </row>
    <row r="54118" spans="6:6">
      <c r="F54118" s="2423"/>
    </row>
    <row r="54119" spans="6:6">
      <c r="F54119" s="2423"/>
    </row>
    <row r="54120" spans="6:6">
      <c r="F54120" s="2423"/>
    </row>
    <row r="54121" spans="6:6">
      <c r="F54121" s="2423"/>
    </row>
    <row r="54122" spans="6:6">
      <c r="F54122" s="2423"/>
    </row>
    <row r="54123" spans="6:6">
      <c r="F54123" s="2423"/>
    </row>
    <row r="54124" spans="6:6">
      <c r="F54124" s="2423"/>
    </row>
    <row r="54125" spans="6:6">
      <c r="F54125" s="2423"/>
    </row>
    <row r="54126" spans="6:6">
      <c r="F54126" s="2423"/>
    </row>
    <row r="54127" spans="6:6">
      <c r="F54127" s="2423"/>
    </row>
    <row r="54128" spans="6:6">
      <c r="F54128" s="2423"/>
    </row>
    <row r="54129" spans="6:6">
      <c r="F54129" s="2423"/>
    </row>
    <row r="54130" spans="6:6">
      <c r="F54130" s="2423"/>
    </row>
    <row r="54131" spans="6:6">
      <c r="F54131" s="2423"/>
    </row>
    <row r="54132" spans="6:6">
      <c r="F54132" s="2423"/>
    </row>
    <row r="54133" spans="6:6">
      <c r="F54133" s="2423"/>
    </row>
    <row r="54134" spans="6:6">
      <c r="F54134" s="2423"/>
    </row>
    <row r="54135" spans="6:6">
      <c r="F54135" s="2423"/>
    </row>
    <row r="54136" spans="6:6">
      <c r="F54136" s="2423"/>
    </row>
    <row r="54137" spans="6:6">
      <c r="F54137" s="2423"/>
    </row>
    <row r="54138" spans="6:6">
      <c r="F54138" s="2423"/>
    </row>
    <row r="54139" spans="6:6">
      <c r="F54139" s="2423"/>
    </row>
    <row r="54140" spans="6:6">
      <c r="F54140" s="2423"/>
    </row>
    <row r="54141" spans="6:6">
      <c r="F54141" s="2423"/>
    </row>
    <row r="54142" spans="6:6">
      <c r="F54142" s="2423"/>
    </row>
    <row r="54143" spans="6:6">
      <c r="F54143" s="2423"/>
    </row>
    <row r="54144" spans="6:6">
      <c r="F54144" s="2423"/>
    </row>
    <row r="54145" spans="6:6">
      <c r="F54145" s="2423"/>
    </row>
    <row r="54146" spans="6:6">
      <c r="F54146" s="2423"/>
    </row>
    <row r="54147" spans="6:6">
      <c r="F54147" s="2423"/>
    </row>
    <row r="54148" spans="6:6">
      <c r="F54148" s="2423"/>
    </row>
    <row r="54149" spans="6:6">
      <c r="F54149" s="2423"/>
    </row>
    <row r="54150" spans="6:6">
      <c r="F54150" s="2423"/>
    </row>
    <row r="54151" spans="6:6">
      <c r="F54151" s="2423"/>
    </row>
    <row r="54152" spans="6:6">
      <c r="F54152" s="2423"/>
    </row>
    <row r="54153" spans="6:6">
      <c r="F54153" s="2423"/>
    </row>
    <row r="54154" spans="6:6">
      <c r="F54154" s="2423"/>
    </row>
    <row r="54155" spans="6:6">
      <c r="F54155" s="2423"/>
    </row>
    <row r="54156" spans="6:6">
      <c r="F54156" s="2423"/>
    </row>
    <row r="54157" spans="6:6">
      <c r="F54157" s="2423"/>
    </row>
    <row r="54158" spans="6:6">
      <c r="F54158" s="2423"/>
    </row>
    <row r="54159" spans="6:6">
      <c r="F54159" s="2423"/>
    </row>
    <row r="54160" spans="6:6">
      <c r="F54160" s="2423"/>
    </row>
    <row r="54161" spans="6:6">
      <c r="F54161" s="2423"/>
    </row>
    <row r="54162" spans="6:6">
      <c r="F54162" s="2423"/>
    </row>
    <row r="54163" spans="6:6">
      <c r="F54163" s="2423"/>
    </row>
    <row r="54164" spans="6:6">
      <c r="F54164" s="2423"/>
    </row>
    <row r="54165" spans="6:6">
      <c r="F54165" s="2423"/>
    </row>
    <row r="54166" spans="6:6">
      <c r="F54166" s="2423"/>
    </row>
    <row r="54167" spans="6:6">
      <c r="F54167" s="2423"/>
    </row>
    <row r="54168" spans="6:6">
      <c r="F54168" s="2423"/>
    </row>
    <row r="54169" spans="6:6">
      <c r="F54169" s="2423"/>
    </row>
    <row r="54170" spans="6:6">
      <c r="F54170" s="2423"/>
    </row>
    <row r="54171" spans="6:6">
      <c r="F54171" s="2423"/>
    </row>
    <row r="54172" spans="6:6">
      <c r="F54172" s="2423"/>
    </row>
    <row r="54173" spans="6:6">
      <c r="F54173" s="2423"/>
    </row>
    <row r="54174" spans="6:6">
      <c r="F54174" s="2423"/>
    </row>
    <row r="54175" spans="6:6">
      <c r="F54175" s="2423"/>
    </row>
    <row r="54176" spans="6:6">
      <c r="F54176" s="2423"/>
    </row>
    <row r="54177" spans="6:6">
      <c r="F54177" s="2423"/>
    </row>
    <row r="54178" spans="6:6">
      <c r="F54178" s="2423"/>
    </row>
    <row r="54179" spans="6:6">
      <c r="F54179" s="2423"/>
    </row>
    <row r="54180" spans="6:6">
      <c r="F54180" s="2423"/>
    </row>
    <row r="54181" spans="6:6">
      <c r="F54181" s="2423"/>
    </row>
    <row r="54182" spans="6:6">
      <c r="F54182" s="2423"/>
    </row>
    <row r="54183" spans="6:6">
      <c r="F54183" s="2423"/>
    </row>
    <row r="54184" spans="6:6">
      <c r="F54184" s="2423"/>
    </row>
    <row r="54185" spans="6:6">
      <c r="F54185" s="2423"/>
    </row>
    <row r="54186" spans="6:6">
      <c r="F54186" s="2423"/>
    </row>
    <row r="54187" spans="6:6">
      <c r="F54187" s="2423"/>
    </row>
    <row r="54188" spans="6:6">
      <c r="F54188" s="2423"/>
    </row>
    <row r="54189" spans="6:6">
      <c r="F54189" s="2423"/>
    </row>
    <row r="54190" spans="6:6">
      <c r="F54190" s="2423"/>
    </row>
    <row r="54191" spans="6:6">
      <c r="F54191" s="2423"/>
    </row>
    <row r="54192" spans="6:6">
      <c r="F54192" s="2423"/>
    </row>
    <row r="54193" spans="6:6">
      <c r="F54193" s="2423"/>
    </row>
    <row r="54194" spans="6:6">
      <c r="F54194" s="2423"/>
    </row>
    <row r="54195" spans="6:6">
      <c r="F54195" s="2423"/>
    </row>
    <row r="54196" spans="6:6">
      <c r="F54196" s="2423"/>
    </row>
    <row r="54197" spans="6:6">
      <c r="F54197" s="2423"/>
    </row>
    <row r="54198" spans="6:6">
      <c r="F54198" s="2423"/>
    </row>
    <row r="54199" spans="6:6">
      <c r="F54199" s="2423"/>
    </row>
    <row r="54200" spans="6:6">
      <c r="F54200" s="2423"/>
    </row>
    <row r="54201" spans="6:6">
      <c r="F54201" s="2423"/>
    </row>
    <row r="54202" spans="6:6">
      <c r="F54202" s="2423"/>
    </row>
    <row r="54203" spans="6:6">
      <c r="F54203" s="2423"/>
    </row>
    <row r="54204" spans="6:6">
      <c r="F54204" s="2423"/>
    </row>
    <row r="54205" spans="6:6">
      <c r="F54205" s="2423"/>
    </row>
    <row r="54206" spans="6:6">
      <c r="F54206" s="2423"/>
    </row>
    <row r="54207" spans="6:6">
      <c r="F54207" s="2423"/>
    </row>
    <row r="54208" spans="6:6">
      <c r="F54208" s="2423"/>
    </row>
    <row r="54209" spans="6:6">
      <c r="F54209" s="2423"/>
    </row>
    <row r="54210" spans="6:6">
      <c r="F54210" s="2423"/>
    </row>
    <row r="54211" spans="6:6">
      <c r="F54211" s="2423"/>
    </row>
    <row r="54212" spans="6:6">
      <c r="F54212" s="2423"/>
    </row>
    <row r="54213" spans="6:6">
      <c r="F54213" s="2423"/>
    </row>
    <row r="54214" spans="6:6">
      <c r="F54214" s="2423"/>
    </row>
    <row r="54215" spans="6:6">
      <c r="F54215" s="2423"/>
    </row>
    <row r="54216" spans="6:6">
      <c r="F54216" s="2423"/>
    </row>
    <row r="54217" spans="6:6">
      <c r="F54217" s="2423"/>
    </row>
    <row r="54218" spans="6:6">
      <c r="F54218" s="2423"/>
    </row>
    <row r="54219" spans="6:6">
      <c r="F54219" s="2423"/>
    </row>
    <row r="54220" spans="6:6">
      <c r="F54220" s="2423"/>
    </row>
    <row r="54221" spans="6:6">
      <c r="F54221" s="2423"/>
    </row>
    <row r="54222" spans="6:6">
      <c r="F54222" s="2423"/>
    </row>
    <row r="54223" spans="6:6">
      <c r="F54223" s="2423"/>
    </row>
    <row r="54224" spans="6:6">
      <c r="F54224" s="2423"/>
    </row>
    <row r="54225" spans="6:6">
      <c r="F54225" s="2423"/>
    </row>
    <row r="54226" spans="6:6">
      <c r="F54226" s="2423"/>
    </row>
    <row r="54227" spans="6:6">
      <c r="F54227" s="2423"/>
    </row>
    <row r="54228" spans="6:6">
      <c r="F54228" s="2423"/>
    </row>
    <row r="54229" spans="6:6">
      <c r="F54229" s="2423"/>
    </row>
    <row r="54230" spans="6:6">
      <c r="F54230" s="2423"/>
    </row>
    <row r="54231" spans="6:6">
      <c r="F54231" s="2423"/>
    </row>
    <row r="54232" spans="6:6">
      <c r="F54232" s="2423"/>
    </row>
    <row r="54233" spans="6:6">
      <c r="F54233" s="2423"/>
    </row>
    <row r="54234" spans="6:6">
      <c r="F54234" s="2423"/>
    </row>
    <row r="54235" spans="6:6">
      <c r="F54235" s="2423"/>
    </row>
    <row r="54236" spans="6:6">
      <c r="F54236" s="2423"/>
    </row>
    <row r="54237" spans="6:6">
      <c r="F54237" s="2423"/>
    </row>
    <row r="54238" spans="6:6">
      <c r="F54238" s="2423"/>
    </row>
    <row r="54239" spans="6:6">
      <c r="F54239" s="2423"/>
    </row>
    <row r="54240" spans="6:6">
      <c r="F54240" s="2423"/>
    </row>
    <row r="54241" spans="6:6">
      <c r="F54241" s="2423"/>
    </row>
    <row r="54242" spans="6:6">
      <c r="F54242" s="2423"/>
    </row>
    <row r="54243" spans="6:6">
      <c r="F54243" s="2423"/>
    </row>
    <row r="54244" spans="6:6">
      <c r="F54244" s="2423"/>
    </row>
    <row r="54245" spans="6:6">
      <c r="F54245" s="2423"/>
    </row>
    <row r="54246" spans="6:6">
      <c r="F54246" s="2423"/>
    </row>
    <row r="54247" spans="6:6">
      <c r="F54247" s="2423"/>
    </row>
    <row r="54248" spans="6:6">
      <c r="F54248" s="2423"/>
    </row>
    <row r="54249" spans="6:6">
      <c r="F54249" s="2423"/>
    </row>
    <row r="54250" spans="6:6">
      <c r="F54250" s="2423"/>
    </row>
    <row r="54251" spans="6:6">
      <c r="F54251" s="2423"/>
    </row>
    <row r="54252" spans="6:6">
      <c r="F54252" s="2423"/>
    </row>
    <row r="54253" spans="6:6">
      <c r="F54253" s="2423"/>
    </row>
    <row r="54254" spans="6:6">
      <c r="F54254" s="2423"/>
    </row>
    <row r="54255" spans="6:6">
      <c r="F54255" s="2423"/>
    </row>
    <row r="54256" spans="6:6">
      <c r="F54256" s="2423"/>
    </row>
    <row r="54257" spans="6:6">
      <c r="F54257" s="2423"/>
    </row>
    <row r="54258" spans="6:6">
      <c r="F54258" s="2423"/>
    </row>
    <row r="54259" spans="6:6">
      <c r="F54259" s="2423"/>
    </row>
    <row r="54260" spans="6:6">
      <c r="F54260" s="2423"/>
    </row>
    <row r="54261" spans="6:6">
      <c r="F54261" s="2423"/>
    </row>
    <row r="54262" spans="6:6">
      <c r="F54262" s="2423"/>
    </row>
    <row r="54263" spans="6:6">
      <c r="F54263" s="2423"/>
    </row>
    <row r="54264" spans="6:6">
      <c r="F54264" s="2423"/>
    </row>
    <row r="54265" spans="6:6">
      <c r="F54265" s="2423"/>
    </row>
    <row r="54266" spans="6:6">
      <c r="F54266" s="2423"/>
    </row>
    <row r="54267" spans="6:6">
      <c r="F54267" s="2423"/>
    </row>
    <row r="54268" spans="6:6">
      <c r="F54268" s="2423"/>
    </row>
    <row r="54269" spans="6:6">
      <c r="F54269" s="2423"/>
    </row>
    <row r="54270" spans="6:6">
      <c r="F54270" s="2423"/>
    </row>
    <row r="54271" spans="6:6">
      <c r="F54271" s="2423"/>
    </row>
    <row r="54272" spans="6:6">
      <c r="F54272" s="2423"/>
    </row>
    <row r="54273" spans="6:6">
      <c r="F54273" s="2423"/>
    </row>
    <row r="54274" spans="6:6">
      <c r="F54274" s="2423"/>
    </row>
    <row r="54275" spans="6:6">
      <c r="F54275" s="2423"/>
    </row>
    <row r="54276" spans="6:6">
      <c r="F54276" s="2423"/>
    </row>
    <row r="54277" spans="6:6">
      <c r="F54277" s="2423"/>
    </row>
    <row r="54278" spans="6:6">
      <c r="F54278" s="2423"/>
    </row>
    <row r="54279" spans="6:6">
      <c r="F54279" s="2423"/>
    </row>
    <row r="54280" spans="6:6">
      <c r="F54280" s="2423"/>
    </row>
    <row r="54281" spans="6:6">
      <c r="F54281" s="2423"/>
    </row>
    <row r="54282" spans="6:6">
      <c r="F54282" s="2423"/>
    </row>
    <row r="54283" spans="6:6">
      <c r="F54283" s="2423"/>
    </row>
    <row r="54284" spans="6:6">
      <c r="F54284" s="2423"/>
    </row>
    <row r="54285" spans="6:6">
      <c r="F54285" s="2423"/>
    </row>
    <row r="54286" spans="6:6">
      <c r="F54286" s="2423"/>
    </row>
    <row r="54287" spans="6:6">
      <c r="F54287" s="2423"/>
    </row>
    <row r="54288" spans="6:6">
      <c r="F54288" s="2423"/>
    </row>
    <row r="54289" spans="6:6">
      <c r="F54289" s="2423"/>
    </row>
    <row r="54290" spans="6:6">
      <c r="F54290" s="2423"/>
    </row>
    <row r="54291" spans="6:6">
      <c r="F54291" s="2423"/>
    </row>
    <row r="54292" spans="6:6">
      <c r="F54292" s="2423"/>
    </row>
    <row r="54293" spans="6:6">
      <c r="F54293" s="2423"/>
    </row>
    <row r="54294" spans="6:6">
      <c r="F54294" s="2423"/>
    </row>
    <row r="54295" spans="6:6">
      <c r="F54295" s="2423"/>
    </row>
    <row r="54296" spans="6:6">
      <c r="F54296" s="2423"/>
    </row>
    <row r="54297" spans="6:6">
      <c r="F54297" s="2423"/>
    </row>
    <row r="54298" spans="6:6">
      <c r="F54298" s="2423"/>
    </row>
    <row r="54299" spans="6:6">
      <c r="F54299" s="2423"/>
    </row>
    <row r="54300" spans="6:6">
      <c r="F54300" s="2423"/>
    </row>
    <row r="54301" spans="6:6">
      <c r="F54301" s="2423"/>
    </row>
    <row r="54302" spans="6:6">
      <c r="F54302" s="2423"/>
    </row>
    <row r="54303" spans="6:6">
      <c r="F54303" s="2423"/>
    </row>
    <row r="54304" spans="6:6">
      <c r="F54304" s="2423"/>
    </row>
    <row r="54305" spans="6:6">
      <c r="F54305" s="2423"/>
    </row>
    <row r="54306" spans="6:6">
      <c r="F54306" s="2423"/>
    </row>
    <row r="54307" spans="6:6">
      <c r="F54307" s="2423"/>
    </row>
    <row r="54308" spans="6:6">
      <c r="F54308" s="2423"/>
    </row>
    <row r="54309" spans="6:6">
      <c r="F54309" s="2423"/>
    </row>
    <row r="54310" spans="6:6">
      <c r="F54310" s="2423"/>
    </row>
    <row r="54311" spans="6:6">
      <c r="F54311" s="2423"/>
    </row>
    <row r="54312" spans="6:6">
      <c r="F54312" s="2423"/>
    </row>
    <row r="54313" spans="6:6">
      <c r="F54313" s="2423"/>
    </row>
    <row r="54314" spans="6:6">
      <c r="F54314" s="2423"/>
    </row>
    <row r="54315" spans="6:6">
      <c r="F54315" s="2423"/>
    </row>
    <row r="54316" spans="6:6">
      <c r="F54316" s="2423"/>
    </row>
    <row r="54317" spans="6:6">
      <c r="F54317" s="2423"/>
    </row>
    <row r="54318" spans="6:6">
      <c r="F54318" s="2423"/>
    </row>
    <row r="54319" spans="6:6">
      <c r="F54319" s="2423"/>
    </row>
    <row r="54320" spans="6:6">
      <c r="F54320" s="2423"/>
    </row>
    <row r="54321" spans="6:6">
      <c r="F54321" s="2423"/>
    </row>
    <row r="54322" spans="6:6">
      <c r="F54322" s="2423"/>
    </row>
    <row r="54323" spans="6:6">
      <c r="F54323" s="2423"/>
    </row>
    <row r="54324" spans="6:6">
      <c r="F54324" s="2423"/>
    </row>
    <row r="54325" spans="6:6">
      <c r="F54325" s="2423"/>
    </row>
    <row r="54326" spans="6:6">
      <c r="F54326" s="2423"/>
    </row>
    <row r="54327" spans="6:6">
      <c r="F54327" s="2423"/>
    </row>
    <row r="54328" spans="6:6">
      <c r="F54328" s="2423"/>
    </row>
    <row r="54329" spans="6:6">
      <c r="F54329" s="2423"/>
    </row>
    <row r="54330" spans="6:6">
      <c r="F54330" s="2423"/>
    </row>
    <row r="54331" spans="6:6">
      <c r="F54331" s="2423"/>
    </row>
    <row r="54332" spans="6:6">
      <c r="F54332" s="2423"/>
    </row>
    <row r="54333" spans="6:6">
      <c r="F54333" s="2423"/>
    </row>
    <row r="54334" spans="6:6">
      <c r="F54334" s="2423"/>
    </row>
    <row r="54335" spans="6:6">
      <c r="F54335" s="2423"/>
    </row>
    <row r="54336" spans="6:6">
      <c r="F54336" s="2423"/>
    </row>
    <row r="54337" spans="6:6">
      <c r="F54337" s="2423"/>
    </row>
    <row r="54338" spans="6:6">
      <c r="F54338" s="2423"/>
    </row>
    <row r="54339" spans="6:6">
      <c r="F54339" s="2423"/>
    </row>
    <row r="54340" spans="6:6">
      <c r="F54340" s="2423"/>
    </row>
    <row r="54341" spans="6:6">
      <c r="F54341" s="2423"/>
    </row>
    <row r="54342" spans="6:6">
      <c r="F54342" s="2423"/>
    </row>
    <row r="54343" spans="6:6">
      <c r="F54343" s="2423"/>
    </row>
    <row r="54344" spans="6:6">
      <c r="F54344" s="2423"/>
    </row>
    <row r="54345" spans="6:6">
      <c r="F54345" s="2423"/>
    </row>
    <row r="54346" spans="6:6">
      <c r="F54346" s="2423"/>
    </row>
    <row r="54347" spans="6:6">
      <c r="F54347" s="2423"/>
    </row>
    <row r="54348" spans="6:6">
      <c r="F54348" s="2423"/>
    </row>
    <row r="54349" spans="6:6">
      <c r="F54349" s="2423"/>
    </row>
    <row r="54350" spans="6:6">
      <c r="F54350" s="2423"/>
    </row>
    <row r="54351" spans="6:6">
      <c r="F54351" s="2423"/>
    </row>
    <row r="54352" spans="6:6">
      <c r="F54352" s="2423"/>
    </row>
    <row r="54353" spans="6:6">
      <c r="F54353" s="2423"/>
    </row>
    <row r="54354" spans="6:6">
      <c r="F54354" s="2423"/>
    </row>
    <row r="54355" spans="6:6">
      <c r="F54355" s="2423"/>
    </row>
    <row r="54356" spans="6:6">
      <c r="F54356" s="2423"/>
    </row>
    <row r="54357" spans="6:6">
      <c r="F54357" s="2423"/>
    </row>
    <row r="54358" spans="6:6">
      <c r="F54358" s="2423"/>
    </row>
    <row r="54359" spans="6:6">
      <c r="F54359" s="2423"/>
    </row>
    <row r="54360" spans="6:6">
      <c r="F54360" s="2423"/>
    </row>
    <row r="54361" spans="6:6">
      <c r="F54361" s="2423"/>
    </row>
    <row r="54362" spans="6:6">
      <c r="F54362" s="2423"/>
    </row>
    <row r="54363" spans="6:6">
      <c r="F54363" s="2423"/>
    </row>
    <row r="54364" spans="6:6">
      <c r="F54364" s="2423"/>
    </row>
    <row r="54365" spans="6:6">
      <c r="F54365" s="2423"/>
    </row>
    <row r="54366" spans="6:6">
      <c r="F54366" s="2423"/>
    </row>
    <row r="54367" spans="6:6">
      <c r="F54367" s="2423"/>
    </row>
    <row r="54368" spans="6:6">
      <c r="F54368" s="2423"/>
    </row>
    <row r="54369" spans="6:6">
      <c r="F54369" s="2423"/>
    </row>
    <row r="54370" spans="6:6">
      <c r="F54370" s="2423"/>
    </row>
    <row r="54371" spans="6:6">
      <c r="F54371" s="2423"/>
    </row>
    <row r="54372" spans="6:6">
      <c r="F54372" s="2423"/>
    </row>
    <row r="54373" spans="6:6">
      <c r="F54373" s="2423"/>
    </row>
    <row r="54374" spans="6:6">
      <c r="F54374" s="2423"/>
    </row>
    <row r="54375" spans="6:6">
      <c r="F54375" s="2423"/>
    </row>
    <row r="54376" spans="6:6">
      <c r="F54376" s="2423"/>
    </row>
    <row r="54377" spans="6:6">
      <c r="F54377" s="2423"/>
    </row>
    <row r="54378" spans="6:6">
      <c r="F54378" s="2423"/>
    </row>
    <row r="54379" spans="6:6">
      <c r="F54379" s="2423"/>
    </row>
    <row r="54380" spans="6:6">
      <c r="F54380" s="2423"/>
    </row>
    <row r="54381" spans="6:6">
      <c r="F54381" s="2423"/>
    </row>
    <row r="54382" spans="6:6">
      <c r="F54382" s="2423"/>
    </row>
    <row r="54383" spans="6:6">
      <c r="F54383" s="2423"/>
    </row>
    <row r="54384" spans="6:6">
      <c r="F54384" s="2423"/>
    </row>
    <row r="54385" spans="6:6">
      <c r="F54385" s="2423"/>
    </row>
    <row r="54386" spans="6:6">
      <c r="F54386" s="2423"/>
    </row>
    <row r="54387" spans="6:6">
      <c r="F54387" s="2423"/>
    </row>
    <row r="54388" spans="6:6">
      <c r="F54388" s="2423"/>
    </row>
    <row r="54389" spans="6:6">
      <c r="F54389" s="2423"/>
    </row>
    <row r="54390" spans="6:6">
      <c r="F54390" s="2423"/>
    </row>
    <row r="54391" spans="6:6">
      <c r="F54391" s="2423"/>
    </row>
    <row r="54392" spans="6:6">
      <c r="F54392" s="2423"/>
    </row>
    <row r="54393" spans="6:6">
      <c r="F54393" s="2423"/>
    </row>
    <row r="54394" spans="6:6">
      <c r="F54394" s="2423"/>
    </row>
    <row r="54395" spans="6:6">
      <c r="F54395" s="2423"/>
    </row>
    <row r="54396" spans="6:6">
      <c r="F54396" s="2423"/>
    </row>
    <row r="54397" spans="6:6">
      <c r="F54397" s="2423"/>
    </row>
    <row r="54398" spans="6:6">
      <c r="F54398" s="2423"/>
    </row>
    <row r="54399" spans="6:6">
      <c r="F54399" s="2423"/>
    </row>
    <row r="54400" spans="6:6">
      <c r="F54400" s="2423"/>
    </row>
    <row r="54401" spans="6:6">
      <c r="F54401" s="2423"/>
    </row>
    <row r="54402" spans="6:6">
      <c r="F54402" s="2423"/>
    </row>
    <row r="54403" spans="6:6">
      <c r="F54403" s="2423"/>
    </row>
    <row r="54404" spans="6:6">
      <c r="F54404" s="2423"/>
    </row>
    <row r="54405" spans="6:6">
      <c r="F54405" s="2423"/>
    </row>
    <row r="54406" spans="6:6">
      <c r="F54406" s="2423"/>
    </row>
    <row r="54407" spans="6:6">
      <c r="F54407" s="2423"/>
    </row>
    <row r="54408" spans="6:6">
      <c r="F54408" s="2423"/>
    </row>
    <row r="54409" spans="6:6">
      <c r="F54409" s="2423"/>
    </row>
    <row r="54410" spans="6:6">
      <c r="F54410" s="2423"/>
    </row>
    <row r="54411" spans="6:6">
      <c r="F54411" s="2423"/>
    </row>
    <row r="54412" spans="6:6">
      <c r="F54412" s="2423"/>
    </row>
    <row r="54413" spans="6:6">
      <c r="F54413" s="2423"/>
    </row>
    <row r="54414" spans="6:6">
      <c r="F54414" s="2423"/>
    </row>
    <row r="54415" spans="6:6">
      <c r="F54415" s="2423"/>
    </row>
    <row r="54416" spans="6:6">
      <c r="F54416" s="2423"/>
    </row>
    <row r="54417" spans="6:6">
      <c r="F54417" s="2423"/>
    </row>
    <row r="54418" spans="6:6">
      <c r="F54418" s="2423"/>
    </row>
    <row r="54419" spans="6:6">
      <c r="F54419" s="2423"/>
    </row>
    <row r="54420" spans="6:6">
      <c r="F54420" s="2423"/>
    </row>
    <row r="54421" spans="6:6">
      <c r="F54421" s="2423"/>
    </row>
    <row r="54422" spans="6:6">
      <c r="F54422" s="2423"/>
    </row>
    <row r="54423" spans="6:6">
      <c r="F54423" s="2423"/>
    </row>
    <row r="54424" spans="6:6">
      <c r="F54424" s="2423"/>
    </row>
    <row r="54425" spans="6:6">
      <c r="F54425" s="2423"/>
    </row>
    <row r="54426" spans="6:6">
      <c r="F54426" s="2423"/>
    </row>
    <row r="54427" spans="6:6">
      <c r="F54427" s="2423"/>
    </row>
    <row r="54428" spans="6:6">
      <c r="F54428" s="2423"/>
    </row>
    <row r="54429" spans="6:6">
      <c r="F54429" s="2423"/>
    </row>
    <row r="54430" spans="6:6">
      <c r="F54430" s="2423"/>
    </row>
    <row r="54431" spans="6:6">
      <c r="F54431" s="2423"/>
    </row>
    <row r="54432" spans="6:6">
      <c r="F54432" s="2423"/>
    </row>
    <row r="54433" spans="6:6">
      <c r="F54433" s="2423"/>
    </row>
    <row r="54434" spans="6:6">
      <c r="F54434" s="2423"/>
    </row>
    <row r="54435" spans="6:6">
      <c r="F54435" s="2423"/>
    </row>
    <row r="54436" spans="6:6">
      <c r="F54436" s="2423"/>
    </row>
    <row r="54437" spans="6:6">
      <c r="F54437" s="2423"/>
    </row>
    <row r="54438" spans="6:6">
      <c r="F54438" s="2423"/>
    </row>
    <row r="54439" spans="6:6">
      <c r="F54439" s="2423"/>
    </row>
    <row r="54440" spans="6:6">
      <c r="F54440" s="2423"/>
    </row>
    <row r="54441" spans="6:6">
      <c r="F54441" s="2423"/>
    </row>
    <row r="54442" spans="6:6">
      <c r="F54442" s="2423"/>
    </row>
    <row r="54443" spans="6:6">
      <c r="F54443" s="2423"/>
    </row>
    <row r="54444" spans="6:6">
      <c r="F54444" s="2423"/>
    </row>
    <row r="54445" spans="6:6">
      <c r="F54445" s="2423"/>
    </row>
    <row r="54446" spans="6:6">
      <c r="F54446" s="2423"/>
    </row>
    <row r="54447" spans="6:6">
      <c r="F54447" s="2423"/>
    </row>
    <row r="54448" spans="6:6">
      <c r="F54448" s="2423"/>
    </row>
    <row r="54449" spans="6:6">
      <c r="F54449" s="2423"/>
    </row>
    <row r="54450" spans="6:6">
      <c r="F54450" s="2423"/>
    </row>
    <row r="54451" spans="6:6">
      <c r="F54451" s="2423"/>
    </row>
    <row r="54452" spans="6:6">
      <c r="F54452" s="2423"/>
    </row>
    <row r="54453" spans="6:6">
      <c r="F54453" s="2423"/>
    </row>
    <row r="54454" spans="6:6">
      <c r="F54454" s="2423"/>
    </row>
    <row r="54455" spans="6:6">
      <c r="F54455" s="2423"/>
    </row>
    <row r="54456" spans="6:6">
      <c r="F54456" s="2423"/>
    </row>
    <row r="54457" spans="6:6">
      <c r="F54457" s="2423"/>
    </row>
    <row r="54458" spans="6:6">
      <c r="F54458" s="2423"/>
    </row>
    <row r="54459" spans="6:6">
      <c r="F54459" s="2423"/>
    </row>
    <row r="54460" spans="6:6">
      <c r="F54460" s="2423"/>
    </row>
    <row r="54461" spans="6:6">
      <c r="F54461" s="2423"/>
    </row>
    <row r="54462" spans="6:6">
      <c r="F54462" s="2423"/>
    </row>
    <row r="54463" spans="6:6">
      <c r="F54463" s="2423"/>
    </row>
    <row r="54464" spans="6:6">
      <c r="F54464" s="2423"/>
    </row>
    <row r="54465" spans="6:6">
      <c r="F54465" s="2423"/>
    </row>
    <row r="54466" spans="6:6">
      <c r="F54466" s="2423"/>
    </row>
    <row r="54467" spans="6:6">
      <c r="F54467" s="2423"/>
    </row>
    <row r="54468" spans="6:6">
      <c r="F54468" s="2423"/>
    </row>
    <row r="54469" spans="6:6">
      <c r="F54469" s="2423"/>
    </row>
    <row r="54470" spans="6:6">
      <c r="F54470" s="2423"/>
    </row>
    <row r="54471" spans="6:6">
      <c r="F54471" s="2423"/>
    </row>
    <row r="54472" spans="6:6">
      <c r="F54472" s="2423"/>
    </row>
    <row r="54473" spans="6:6">
      <c r="F54473" s="2423"/>
    </row>
    <row r="54474" spans="6:6">
      <c r="F54474" s="2423"/>
    </row>
    <row r="54475" spans="6:6">
      <c r="F54475" s="2423"/>
    </row>
    <row r="54476" spans="6:6">
      <c r="F54476" s="2423"/>
    </row>
    <row r="54477" spans="6:6">
      <c r="F54477" s="2423"/>
    </row>
    <row r="54478" spans="6:6">
      <c r="F54478" s="2423"/>
    </row>
    <row r="54479" spans="6:6">
      <c r="F54479" s="2423"/>
    </row>
    <row r="54480" spans="6:6">
      <c r="F54480" s="2423"/>
    </row>
    <row r="54481" spans="6:6">
      <c r="F54481" s="2423"/>
    </row>
    <row r="54482" spans="6:6">
      <c r="F54482" s="2423"/>
    </row>
    <row r="54483" spans="6:6">
      <c r="F54483" s="2423"/>
    </row>
    <row r="54484" spans="6:6">
      <c r="F54484" s="2423"/>
    </row>
    <row r="54485" spans="6:6">
      <c r="F54485" s="2423"/>
    </row>
    <row r="54486" spans="6:6">
      <c r="F54486" s="2423"/>
    </row>
    <row r="54487" spans="6:6">
      <c r="F54487" s="2423"/>
    </row>
    <row r="54488" spans="6:6">
      <c r="F54488" s="2423"/>
    </row>
    <row r="54489" spans="6:6">
      <c r="F54489" s="2423"/>
    </row>
    <row r="54490" spans="6:6">
      <c r="F54490" s="2423"/>
    </row>
    <row r="54491" spans="6:6">
      <c r="F54491" s="2423"/>
    </row>
    <row r="54492" spans="6:6">
      <c r="F54492" s="2423"/>
    </row>
    <row r="54493" spans="6:6">
      <c r="F54493" s="2423"/>
    </row>
    <row r="54494" spans="6:6">
      <c r="F54494" s="2423"/>
    </row>
    <row r="54495" spans="6:6">
      <c r="F54495" s="2423"/>
    </row>
    <row r="54496" spans="6:6">
      <c r="F54496" s="2423"/>
    </row>
    <row r="54497" spans="6:6">
      <c r="F54497" s="2423"/>
    </row>
    <row r="54498" spans="6:6">
      <c r="F54498" s="2423"/>
    </row>
    <row r="54499" spans="6:6">
      <c r="F54499" s="2423"/>
    </row>
    <row r="54500" spans="6:6">
      <c r="F54500" s="2423"/>
    </row>
    <row r="54501" spans="6:6">
      <c r="F54501" s="2423"/>
    </row>
    <row r="54502" spans="6:6">
      <c r="F54502" s="2423"/>
    </row>
    <row r="54503" spans="6:6">
      <c r="F54503" s="2423"/>
    </row>
    <row r="54504" spans="6:6">
      <c r="F54504" s="2423"/>
    </row>
    <row r="54505" spans="6:6">
      <c r="F54505" s="2423"/>
    </row>
    <row r="54506" spans="6:6">
      <c r="F54506" s="2423"/>
    </row>
    <row r="54507" spans="6:6">
      <c r="F54507" s="2423"/>
    </row>
    <row r="54508" spans="6:6">
      <c r="F54508" s="2423"/>
    </row>
    <row r="54509" spans="6:6">
      <c r="F54509" s="2423"/>
    </row>
    <row r="54510" spans="6:6">
      <c r="F54510" s="2423"/>
    </row>
    <row r="54511" spans="6:6">
      <c r="F54511" s="2423"/>
    </row>
    <row r="54512" spans="6:6">
      <c r="F54512" s="2423"/>
    </row>
    <row r="54513" spans="6:6">
      <c r="F54513" s="2423"/>
    </row>
    <row r="54514" spans="6:6">
      <c r="F54514" s="2423"/>
    </row>
    <row r="54515" spans="6:6">
      <c r="F54515" s="2423"/>
    </row>
    <row r="54516" spans="6:6">
      <c r="F54516" s="2423"/>
    </row>
    <row r="54517" spans="6:6">
      <c r="F54517" s="2423"/>
    </row>
    <row r="54518" spans="6:6">
      <c r="F54518" s="2423"/>
    </row>
    <row r="54519" spans="6:6">
      <c r="F54519" s="2423"/>
    </row>
    <row r="54520" spans="6:6">
      <c r="F54520" s="2423"/>
    </row>
    <row r="54521" spans="6:6">
      <c r="F54521" s="2423"/>
    </row>
    <row r="54522" spans="6:6">
      <c r="F54522" s="2423"/>
    </row>
    <row r="54523" spans="6:6">
      <c r="F54523" s="2423"/>
    </row>
    <row r="54524" spans="6:6">
      <c r="F54524" s="2423"/>
    </row>
    <row r="54525" spans="6:6">
      <c r="F54525" s="2423"/>
    </row>
    <row r="54526" spans="6:6">
      <c r="F54526" s="2423"/>
    </row>
    <row r="54527" spans="6:6">
      <c r="F54527" s="2423"/>
    </row>
    <row r="54528" spans="6:6">
      <c r="F54528" s="2423"/>
    </row>
    <row r="54529" spans="6:6">
      <c r="F54529" s="2423"/>
    </row>
    <row r="54530" spans="6:6">
      <c r="F54530" s="2423"/>
    </row>
    <row r="54531" spans="6:6">
      <c r="F54531" s="2423"/>
    </row>
    <row r="54532" spans="6:6">
      <c r="F54532" s="2423"/>
    </row>
    <row r="54533" spans="6:6">
      <c r="F54533" s="2423"/>
    </row>
    <row r="54534" spans="6:6">
      <c r="F54534" s="2423"/>
    </row>
    <row r="54535" spans="6:6">
      <c r="F54535" s="2423"/>
    </row>
    <row r="54536" spans="6:6">
      <c r="F54536" s="2423"/>
    </row>
    <row r="54537" spans="6:6">
      <c r="F54537" s="2423"/>
    </row>
    <row r="54538" spans="6:6">
      <c r="F54538" s="2423"/>
    </row>
    <row r="54539" spans="6:6">
      <c r="F54539" s="2423"/>
    </row>
    <row r="54540" spans="6:6">
      <c r="F54540" s="2423"/>
    </row>
    <row r="54541" spans="6:6">
      <c r="F54541" s="2423"/>
    </row>
    <row r="54542" spans="6:6">
      <c r="F54542" s="2423"/>
    </row>
    <row r="54543" spans="6:6">
      <c r="F54543" s="2423"/>
    </row>
    <row r="54544" spans="6:6">
      <c r="F54544" s="2423"/>
    </row>
    <row r="54545" spans="6:6">
      <c r="F54545" s="2423"/>
    </row>
    <row r="54546" spans="6:6">
      <c r="F54546" s="2423"/>
    </row>
    <row r="54547" spans="6:6">
      <c r="F54547" s="2423"/>
    </row>
    <row r="54548" spans="6:6">
      <c r="F54548" s="2423"/>
    </row>
    <row r="54549" spans="6:6">
      <c r="F54549" s="2423"/>
    </row>
    <row r="54550" spans="6:6">
      <c r="F54550" s="2423"/>
    </row>
    <row r="54551" spans="6:6">
      <c r="F54551" s="2423"/>
    </row>
    <row r="54552" spans="6:6">
      <c r="F54552" s="2423"/>
    </row>
    <row r="54553" spans="6:6">
      <c r="F54553" s="2423"/>
    </row>
    <row r="54554" spans="6:6">
      <c r="F54554" s="2423"/>
    </row>
    <row r="54555" spans="6:6">
      <c r="F54555" s="2423"/>
    </row>
    <row r="54556" spans="6:6">
      <c r="F54556" s="2423"/>
    </row>
    <row r="54557" spans="6:6">
      <c r="F54557" s="2423"/>
    </row>
    <row r="54558" spans="6:6">
      <c r="F54558" s="2423"/>
    </row>
    <row r="54559" spans="6:6">
      <c r="F54559" s="2423"/>
    </row>
    <row r="54560" spans="6:6">
      <c r="F54560" s="2423"/>
    </row>
    <row r="54561" spans="6:6">
      <c r="F54561" s="2423"/>
    </row>
    <row r="54562" spans="6:6">
      <c r="F54562" s="2423"/>
    </row>
    <row r="54563" spans="6:6">
      <c r="F54563" s="2423"/>
    </row>
    <row r="54564" spans="6:6">
      <c r="F54564" s="2423"/>
    </row>
    <row r="54565" spans="6:6">
      <c r="F54565" s="2423"/>
    </row>
    <row r="54566" spans="6:6">
      <c r="F54566" s="2423"/>
    </row>
    <row r="54567" spans="6:6">
      <c r="F54567" s="2423"/>
    </row>
    <row r="54568" spans="6:6">
      <c r="F54568" s="2423"/>
    </row>
    <row r="54569" spans="6:6">
      <c r="F54569" s="2423"/>
    </row>
    <row r="54570" spans="6:6">
      <c r="F54570" s="2423"/>
    </row>
    <row r="54571" spans="6:6">
      <c r="F54571" s="2423"/>
    </row>
    <row r="54572" spans="6:6">
      <c r="F54572" s="2423"/>
    </row>
    <row r="54573" spans="6:6">
      <c r="F54573" s="2423"/>
    </row>
    <row r="54574" spans="6:6">
      <c r="F54574" s="2423"/>
    </row>
    <row r="54575" spans="6:6">
      <c r="F54575" s="2423"/>
    </row>
    <row r="54576" spans="6:6">
      <c r="F54576" s="2423"/>
    </row>
    <row r="54577" spans="6:6">
      <c r="F54577" s="2423"/>
    </row>
    <row r="54578" spans="6:6">
      <c r="F54578" s="2423"/>
    </row>
    <row r="54579" spans="6:6">
      <c r="F54579" s="2423"/>
    </row>
    <row r="54580" spans="6:6">
      <c r="F54580" s="2423"/>
    </row>
    <row r="54581" spans="6:6">
      <c r="F54581" s="2423"/>
    </row>
    <row r="54582" spans="6:6">
      <c r="F54582" s="2423"/>
    </row>
    <row r="54583" spans="6:6">
      <c r="F54583" s="2423"/>
    </row>
    <row r="54584" spans="6:6">
      <c r="F54584" s="2423"/>
    </row>
    <row r="54585" spans="6:6">
      <c r="F54585" s="2423"/>
    </row>
    <row r="54586" spans="6:6">
      <c r="F54586" s="2423"/>
    </row>
    <row r="54587" spans="6:6">
      <c r="F54587" s="2423"/>
    </row>
    <row r="54588" spans="6:6">
      <c r="F54588" s="2423"/>
    </row>
    <row r="54589" spans="6:6">
      <c r="F54589" s="2423"/>
    </row>
    <row r="54590" spans="6:6">
      <c r="F54590" s="2423"/>
    </row>
    <row r="54591" spans="6:6">
      <c r="F54591" s="2423"/>
    </row>
    <row r="54592" spans="6:6">
      <c r="F54592" s="2423"/>
    </row>
    <row r="54593" spans="6:6">
      <c r="F54593" s="2423"/>
    </row>
    <row r="54594" spans="6:6">
      <c r="F54594" s="2423"/>
    </row>
    <row r="54595" spans="6:6">
      <c r="F54595" s="2423"/>
    </row>
    <row r="54596" spans="6:6">
      <c r="F54596" s="2423"/>
    </row>
    <row r="54597" spans="6:6">
      <c r="F54597" s="2423"/>
    </row>
    <row r="54598" spans="6:6">
      <c r="F54598" s="2423"/>
    </row>
    <row r="54599" spans="6:6">
      <c r="F54599" s="2423"/>
    </row>
    <row r="54600" spans="6:6">
      <c r="F54600" s="2423"/>
    </row>
    <row r="54601" spans="6:6">
      <c r="F54601" s="2423"/>
    </row>
    <row r="54602" spans="6:6">
      <c r="F54602" s="2423"/>
    </row>
    <row r="54603" spans="6:6">
      <c r="F54603" s="2423"/>
    </row>
    <row r="54604" spans="6:6">
      <c r="F54604" s="2423"/>
    </row>
    <row r="54605" spans="6:6">
      <c r="F54605" s="2423"/>
    </row>
    <row r="54606" spans="6:6">
      <c r="F54606" s="2423"/>
    </row>
    <row r="54607" spans="6:6">
      <c r="F54607" s="2423"/>
    </row>
    <row r="54608" spans="6:6">
      <c r="F54608" s="2423"/>
    </row>
    <row r="54609" spans="6:6">
      <c r="F54609" s="2423"/>
    </row>
    <row r="54610" spans="6:6">
      <c r="F54610" s="2423"/>
    </row>
    <row r="54611" spans="6:6">
      <c r="F54611" s="2423"/>
    </row>
    <row r="54612" spans="6:6">
      <c r="F54612" s="2423"/>
    </row>
    <row r="54613" spans="6:6">
      <c r="F54613" s="2423"/>
    </row>
    <row r="54614" spans="6:6">
      <c r="F54614" s="2423"/>
    </row>
    <row r="54615" spans="6:6">
      <c r="F54615" s="2423"/>
    </row>
    <row r="54616" spans="6:6">
      <c r="F54616" s="2423"/>
    </row>
    <row r="54617" spans="6:6">
      <c r="F54617" s="2423"/>
    </row>
    <row r="54618" spans="6:6">
      <c r="F54618" s="2423"/>
    </row>
    <row r="54619" spans="6:6">
      <c r="F54619" s="2423"/>
    </row>
    <row r="54620" spans="6:6">
      <c r="F54620" s="2423"/>
    </row>
    <row r="54621" spans="6:6">
      <c r="F54621" s="2423"/>
    </row>
    <row r="54622" spans="6:6">
      <c r="F54622" s="2423"/>
    </row>
    <row r="54623" spans="6:6">
      <c r="F54623" s="2423"/>
    </row>
    <row r="54624" spans="6:6">
      <c r="F54624" s="2423"/>
    </row>
    <row r="54625" spans="6:6">
      <c r="F54625" s="2423"/>
    </row>
    <row r="54626" spans="6:6">
      <c r="F54626" s="2423"/>
    </row>
    <row r="54627" spans="6:6">
      <c r="F54627" s="2423"/>
    </row>
    <row r="54628" spans="6:6">
      <c r="F54628" s="2423"/>
    </row>
    <row r="54629" spans="6:6">
      <c r="F54629" s="2423"/>
    </row>
    <row r="54630" spans="6:6">
      <c r="F54630" s="2423"/>
    </row>
    <row r="54631" spans="6:6">
      <c r="F54631" s="2423"/>
    </row>
    <row r="54632" spans="6:6">
      <c r="F54632" s="2423"/>
    </row>
    <row r="54633" spans="6:6">
      <c r="F54633" s="2423"/>
    </row>
    <row r="54634" spans="6:6">
      <c r="F54634" s="2423"/>
    </row>
    <row r="54635" spans="6:6">
      <c r="F54635" s="2423"/>
    </row>
    <row r="54636" spans="6:6">
      <c r="F54636" s="2423"/>
    </row>
    <row r="54637" spans="6:6">
      <c r="F54637" s="2423"/>
    </row>
    <row r="54638" spans="6:6">
      <c r="F54638" s="2423"/>
    </row>
    <row r="54639" spans="6:6">
      <c r="F54639" s="2423"/>
    </row>
    <row r="54640" spans="6:6">
      <c r="F54640" s="2423"/>
    </row>
    <row r="54641" spans="6:6">
      <c r="F54641" s="2423"/>
    </row>
    <row r="54642" spans="6:6">
      <c r="F54642" s="2423"/>
    </row>
    <row r="54643" spans="6:6">
      <c r="F54643" s="2423"/>
    </row>
    <row r="54644" spans="6:6">
      <c r="F54644" s="2423"/>
    </row>
    <row r="54645" spans="6:6">
      <c r="F54645" s="2423"/>
    </row>
    <row r="54646" spans="6:6">
      <c r="F54646" s="2423"/>
    </row>
    <row r="54647" spans="6:6">
      <c r="F54647" s="2423"/>
    </row>
    <row r="54648" spans="6:6">
      <c r="F54648" s="2423"/>
    </row>
    <row r="54649" spans="6:6">
      <c r="F54649" s="2423"/>
    </row>
    <row r="54650" spans="6:6">
      <c r="F54650" s="2423"/>
    </row>
    <row r="54651" spans="6:6">
      <c r="F54651" s="2423"/>
    </row>
    <row r="54652" spans="6:6">
      <c r="F54652" s="2423"/>
    </row>
    <row r="54653" spans="6:6">
      <c r="F54653" s="2423"/>
    </row>
    <row r="54654" spans="6:6">
      <c r="F54654" s="2423"/>
    </row>
    <row r="54655" spans="6:6">
      <c r="F54655" s="2423"/>
    </row>
    <row r="54656" spans="6:6">
      <c r="F54656" s="2423"/>
    </row>
    <row r="54657" spans="6:6">
      <c r="F54657" s="2423"/>
    </row>
    <row r="54658" spans="6:6">
      <c r="F54658" s="2423"/>
    </row>
    <row r="54659" spans="6:6">
      <c r="F54659" s="2423"/>
    </row>
    <row r="54660" spans="6:6">
      <c r="F54660" s="2423"/>
    </row>
    <row r="54661" spans="6:6">
      <c r="F54661" s="2423"/>
    </row>
    <row r="54662" spans="6:6">
      <c r="F54662" s="2423"/>
    </row>
    <row r="54663" spans="6:6">
      <c r="F54663" s="2423"/>
    </row>
    <row r="54664" spans="6:6">
      <c r="F54664" s="2423"/>
    </row>
    <row r="54665" spans="6:6">
      <c r="F54665" s="2423"/>
    </row>
    <row r="54666" spans="6:6">
      <c r="F54666" s="2423"/>
    </row>
    <row r="54667" spans="6:6">
      <c r="F54667" s="2423"/>
    </row>
    <row r="54668" spans="6:6">
      <c r="F54668" s="2423"/>
    </row>
    <row r="54669" spans="6:6">
      <c r="F54669" s="2423"/>
    </row>
    <row r="54670" spans="6:6">
      <c r="F54670" s="2423"/>
    </row>
    <row r="54671" spans="6:6">
      <c r="F54671" s="2423"/>
    </row>
    <row r="54672" spans="6:6">
      <c r="F54672" s="2423"/>
    </row>
    <row r="54673" spans="6:6">
      <c r="F54673" s="2423"/>
    </row>
    <row r="54674" spans="6:6">
      <c r="F54674" s="2423"/>
    </row>
    <row r="54675" spans="6:6">
      <c r="F54675" s="2423"/>
    </row>
    <row r="54676" spans="6:6">
      <c r="F54676" s="2423"/>
    </row>
    <row r="54677" spans="6:6">
      <c r="F54677" s="2423"/>
    </row>
    <row r="54678" spans="6:6">
      <c r="F54678" s="2423"/>
    </row>
    <row r="54679" spans="6:6">
      <c r="F54679" s="2423"/>
    </row>
    <row r="54680" spans="6:6">
      <c r="F54680" s="2423"/>
    </row>
    <row r="54681" spans="6:6">
      <c r="F54681" s="2423"/>
    </row>
    <row r="54682" spans="6:6">
      <c r="F54682" s="2423"/>
    </row>
    <row r="54683" spans="6:6">
      <c r="F54683" s="2423"/>
    </row>
    <row r="54684" spans="6:6">
      <c r="F54684" s="2423"/>
    </row>
    <row r="54685" spans="6:6">
      <c r="F54685" s="2423"/>
    </row>
    <row r="54686" spans="6:6">
      <c r="F54686" s="2423"/>
    </row>
    <row r="54687" spans="6:6">
      <c r="F54687" s="2423"/>
    </row>
    <row r="54688" spans="6:6">
      <c r="F54688" s="2423"/>
    </row>
    <row r="54689" spans="6:6">
      <c r="F54689" s="2423"/>
    </row>
    <row r="54690" spans="6:6">
      <c r="F54690" s="2423"/>
    </row>
    <row r="54691" spans="6:6">
      <c r="F54691" s="2423"/>
    </row>
    <row r="54692" spans="6:6">
      <c r="F54692" s="2423"/>
    </row>
    <row r="54693" spans="6:6">
      <c r="F54693" s="2423"/>
    </row>
    <row r="54694" spans="6:6">
      <c r="F54694" s="2423"/>
    </row>
    <row r="54695" spans="6:6">
      <c r="F54695" s="2423"/>
    </row>
    <row r="54696" spans="6:6">
      <c r="F54696" s="2423"/>
    </row>
    <row r="54697" spans="6:6">
      <c r="F54697" s="2423"/>
    </row>
    <row r="54698" spans="6:6">
      <c r="F54698" s="2423"/>
    </row>
    <row r="54699" spans="6:6">
      <c r="F54699" s="2423"/>
    </row>
    <row r="54700" spans="6:6">
      <c r="F54700" s="2423"/>
    </row>
    <row r="54701" spans="6:6">
      <c r="F54701" s="2423"/>
    </row>
    <row r="54702" spans="6:6">
      <c r="F54702" s="2423"/>
    </row>
    <row r="54703" spans="6:6">
      <c r="F54703" s="2423"/>
    </row>
    <row r="54704" spans="6:6">
      <c r="F54704" s="2423"/>
    </row>
    <row r="54705" spans="6:6">
      <c r="F54705" s="2423"/>
    </row>
    <row r="54706" spans="6:6">
      <c r="F54706" s="2423"/>
    </row>
    <row r="54707" spans="6:6">
      <c r="F54707" s="2423"/>
    </row>
    <row r="54708" spans="6:6">
      <c r="F54708" s="2423"/>
    </row>
    <row r="54709" spans="6:6">
      <c r="F54709" s="2423"/>
    </row>
    <row r="54710" spans="6:6">
      <c r="F54710" s="2423"/>
    </row>
    <row r="54711" spans="6:6">
      <c r="F54711" s="2423"/>
    </row>
    <row r="54712" spans="6:6">
      <c r="F54712" s="2423"/>
    </row>
    <row r="54713" spans="6:6">
      <c r="F54713" s="2423"/>
    </row>
    <row r="54714" spans="6:6">
      <c r="F54714" s="2423"/>
    </row>
    <row r="54715" spans="6:6">
      <c r="F54715" s="2423"/>
    </row>
    <row r="54716" spans="6:6">
      <c r="F54716" s="2423"/>
    </row>
    <row r="54717" spans="6:6">
      <c r="F54717" s="2423"/>
    </row>
    <row r="54718" spans="6:6">
      <c r="F54718" s="2423"/>
    </row>
    <row r="54719" spans="6:6">
      <c r="F54719" s="2423"/>
    </row>
    <row r="54720" spans="6:6">
      <c r="F54720" s="2423"/>
    </row>
    <row r="54721" spans="6:6">
      <c r="F54721" s="2423"/>
    </row>
    <row r="54722" spans="6:6">
      <c r="F54722" s="2423"/>
    </row>
    <row r="54723" spans="6:6">
      <c r="F54723" s="2423"/>
    </row>
    <row r="54724" spans="6:6">
      <c r="F54724" s="2423"/>
    </row>
    <row r="54725" spans="6:6">
      <c r="F54725" s="2423"/>
    </row>
    <row r="54726" spans="6:6">
      <c r="F54726" s="2423"/>
    </row>
    <row r="54727" spans="6:6">
      <c r="F54727" s="2423"/>
    </row>
    <row r="54728" spans="6:6">
      <c r="F54728" s="2423"/>
    </row>
    <row r="54729" spans="6:6">
      <c r="F54729" s="2423"/>
    </row>
    <row r="54730" spans="6:6">
      <c r="F54730" s="2423"/>
    </row>
    <row r="54731" spans="6:6">
      <c r="F54731" s="2423"/>
    </row>
    <row r="54732" spans="6:6">
      <c r="F54732" s="2423"/>
    </row>
    <row r="54733" spans="6:6">
      <c r="F54733" s="2423"/>
    </row>
    <row r="54734" spans="6:6">
      <c r="F54734" s="2423"/>
    </row>
    <row r="54735" spans="6:6">
      <c r="F54735" s="2423"/>
    </row>
    <row r="54736" spans="6:6">
      <c r="F54736" s="2423"/>
    </row>
    <row r="54737" spans="6:6">
      <c r="F54737" s="2423"/>
    </row>
    <row r="54738" spans="6:6">
      <c r="F54738" s="2423"/>
    </row>
    <row r="54739" spans="6:6">
      <c r="F54739" s="2423"/>
    </row>
    <row r="54740" spans="6:6">
      <c r="F54740" s="2423"/>
    </row>
    <row r="54741" spans="6:6">
      <c r="F54741" s="2423"/>
    </row>
    <row r="54742" spans="6:6">
      <c r="F54742" s="2423"/>
    </row>
    <row r="54743" spans="6:6">
      <c r="F54743" s="2423"/>
    </row>
    <row r="54744" spans="6:6">
      <c r="F54744" s="2423"/>
    </row>
    <row r="54745" spans="6:6">
      <c r="F54745" s="2423"/>
    </row>
    <row r="54746" spans="6:6">
      <c r="F54746" s="2423"/>
    </row>
    <row r="54747" spans="6:6">
      <c r="F54747" s="2423"/>
    </row>
    <row r="54748" spans="6:6">
      <c r="F54748" s="2423"/>
    </row>
    <row r="54749" spans="6:6">
      <c r="F54749" s="2423"/>
    </row>
    <row r="54750" spans="6:6">
      <c r="F54750" s="2423"/>
    </row>
    <row r="54751" spans="6:6">
      <c r="F54751" s="2423"/>
    </row>
    <row r="54752" spans="6:6">
      <c r="F54752" s="2423"/>
    </row>
    <row r="54753" spans="6:6">
      <c r="F54753" s="2423"/>
    </row>
    <row r="54754" spans="6:6">
      <c r="F54754" s="2423"/>
    </row>
    <row r="54755" spans="6:6">
      <c r="F54755" s="2423"/>
    </row>
    <row r="54756" spans="6:6">
      <c r="F54756" s="2423"/>
    </row>
    <row r="54757" spans="6:6">
      <c r="F54757" s="2423"/>
    </row>
    <row r="54758" spans="6:6">
      <c r="F54758" s="2423"/>
    </row>
    <row r="54759" spans="6:6">
      <c r="F54759" s="2423"/>
    </row>
    <row r="54760" spans="6:6">
      <c r="F54760" s="2423"/>
    </row>
    <row r="54761" spans="6:6">
      <c r="F54761" s="2423"/>
    </row>
    <row r="54762" spans="6:6">
      <c r="F54762" s="2423"/>
    </row>
    <row r="54763" spans="6:6">
      <c r="F54763" s="2423"/>
    </row>
    <row r="54764" spans="6:6">
      <c r="F54764" s="2423"/>
    </row>
    <row r="54765" spans="6:6">
      <c r="F54765" s="2423"/>
    </row>
    <row r="54766" spans="6:6">
      <c r="F54766" s="2423"/>
    </row>
    <row r="54767" spans="6:6">
      <c r="F54767" s="2423"/>
    </row>
    <row r="54768" spans="6:6">
      <c r="F54768" s="2423"/>
    </row>
    <row r="54769" spans="6:6">
      <c r="F54769" s="2423"/>
    </row>
    <row r="54770" spans="6:6">
      <c r="F54770" s="2423"/>
    </row>
    <row r="54771" spans="6:6">
      <c r="F54771" s="2423"/>
    </row>
    <row r="54772" spans="6:6">
      <c r="F54772" s="2423"/>
    </row>
    <row r="54773" spans="6:6">
      <c r="F54773" s="2423"/>
    </row>
    <row r="54774" spans="6:6">
      <c r="F54774" s="2423"/>
    </row>
    <row r="54775" spans="6:6">
      <c r="F54775" s="2423"/>
    </row>
    <row r="54776" spans="6:6">
      <c r="F54776" s="2423"/>
    </row>
    <row r="54777" spans="6:6">
      <c r="F54777" s="2423"/>
    </row>
    <row r="54778" spans="6:6">
      <c r="F54778" s="2423"/>
    </row>
    <row r="54779" spans="6:6">
      <c r="F54779" s="2423"/>
    </row>
    <row r="54780" spans="6:6">
      <c r="F54780" s="2423"/>
    </row>
    <row r="54781" spans="6:6">
      <c r="F54781" s="2423"/>
    </row>
    <row r="54782" spans="6:6">
      <c r="F54782" s="2423"/>
    </row>
    <row r="54783" spans="6:6">
      <c r="F54783" s="2423"/>
    </row>
    <row r="54784" spans="6:6">
      <c r="F54784" s="2423"/>
    </row>
    <row r="54785" spans="6:6">
      <c r="F54785" s="2423"/>
    </row>
    <row r="54786" spans="6:6">
      <c r="F54786" s="2423"/>
    </row>
    <row r="54787" spans="6:6">
      <c r="F54787" s="2423"/>
    </row>
    <row r="54788" spans="6:6">
      <c r="F54788" s="2423"/>
    </row>
    <row r="54789" spans="6:6">
      <c r="F54789" s="2423"/>
    </row>
    <row r="54790" spans="6:6">
      <c r="F54790" s="2423"/>
    </row>
    <row r="54791" spans="6:6">
      <c r="F54791" s="2423"/>
    </row>
    <row r="54792" spans="6:6">
      <c r="F54792" s="2423"/>
    </row>
    <row r="54793" spans="6:6">
      <c r="F54793" s="2423"/>
    </row>
    <row r="54794" spans="6:6">
      <c r="F54794" s="2423"/>
    </row>
    <row r="54795" spans="6:6">
      <c r="F54795" s="2423"/>
    </row>
    <row r="54796" spans="6:6">
      <c r="F54796" s="2423"/>
    </row>
    <row r="54797" spans="6:6">
      <c r="F54797" s="2423"/>
    </row>
    <row r="54798" spans="6:6">
      <c r="F54798" s="2423"/>
    </row>
    <row r="54799" spans="6:6">
      <c r="F54799" s="2423"/>
    </row>
    <row r="54800" spans="6:6">
      <c r="F54800" s="2423"/>
    </row>
    <row r="54801" spans="6:6">
      <c r="F54801" s="2423"/>
    </row>
    <row r="54802" spans="6:6">
      <c r="F54802" s="2423"/>
    </row>
    <row r="54803" spans="6:6">
      <c r="F54803" s="2423"/>
    </row>
    <row r="54804" spans="6:6">
      <c r="F54804" s="2423"/>
    </row>
    <row r="54805" spans="6:6">
      <c r="F54805" s="2423"/>
    </row>
    <row r="54806" spans="6:6">
      <c r="F54806" s="2423"/>
    </row>
    <row r="54807" spans="6:6">
      <c r="F54807" s="2423"/>
    </row>
    <row r="54808" spans="6:6">
      <c r="F54808" s="2423"/>
    </row>
    <row r="54809" spans="6:6">
      <c r="F54809" s="2423"/>
    </row>
    <row r="54810" spans="6:6">
      <c r="F54810" s="2423"/>
    </row>
    <row r="54811" spans="6:6">
      <c r="F54811" s="2423"/>
    </row>
    <row r="54812" spans="6:6">
      <c r="F54812" s="2423"/>
    </row>
    <row r="54813" spans="6:6">
      <c r="F54813" s="2423"/>
    </row>
    <row r="54814" spans="6:6">
      <c r="F54814" s="2423"/>
    </row>
    <row r="54815" spans="6:6">
      <c r="F54815" s="2423"/>
    </row>
    <row r="54816" spans="6:6">
      <c r="F54816" s="2423"/>
    </row>
    <row r="54817" spans="6:6">
      <c r="F54817" s="2423"/>
    </row>
    <row r="54818" spans="6:6">
      <c r="F54818" s="2423"/>
    </row>
    <row r="54819" spans="6:6">
      <c r="F54819" s="2423"/>
    </row>
    <row r="54820" spans="6:6">
      <c r="F54820" s="2423"/>
    </row>
    <row r="54821" spans="6:6">
      <c r="F54821" s="2423"/>
    </row>
    <row r="54822" spans="6:6">
      <c r="F54822" s="2423"/>
    </row>
    <row r="54823" spans="6:6">
      <c r="F54823" s="2423"/>
    </row>
    <row r="54824" spans="6:6">
      <c r="F54824" s="2423"/>
    </row>
    <row r="54825" spans="6:6">
      <c r="F54825" s="2423"/>
    </row>
    <row r="54826" spans="6:6">
      <c r="F54826" s="2423"/>
    </row>
    <row r="54827" spans="6:6">
      <c r="F54827" s="2423"/>
    </row>
    <row r="54828" spans="6:6">
      <c r="F54828" s="2423"/>
    </row>
    <row r="54829" spans="6:6">
      <c r="F54829" s="2423"/>
    </row>
    <row r="54830" spans="6:6">
      <c r="F54830" s="2423"/>
    </row>
    <row r="54831" spans="6:6">
      <c r="F54831" s="2423"/>
    </row>
    <row r="54832" spans="6:6">
      <c r="F54832" s="2423"/>
    </row>
    <row r="54833" spans="6:6">
      <c r="F54833" s="2423"/>
    </row>
    <row r="54834" spans="6:6">
      <c r="F54834" s="2423"/>
    </row>
    <row r="54835" spans="6:6">
      <c r="F54835" s="2423"/>
    </row>
    <row r="54836" spans="6:6">
      <c r="F54836" s="2423"/>
    </row>
    <row r="54837" spans="6:6">
      <c r="F54837" s="2423"/>
    </row>
    <row r="54838" spans="6:6">
      <c r="F54838" s="2423"/>
    </row>
    <row r="54839" spans="6:6">
      <c r="F54839" s="2423"/>
    </row>
    <row r="54840" spans="6:6">
      <c r="F54840" s="2423"/>
    </row>
    <row r="54841" spans="6:6">
      <c r="F54841" s="2423"/>
    </row>
    <row r="54842" spans="6:6">
      <c r="F54842" s="2423"/>
    </row>
    <row r="54843" spans="6:6">
      <c r="F54843" s="2423"/>
    </row>
    <row r="54844" spans="6:6">
      <c r="F54844" s="2423"/>
    </row>
    <row r="54845" spans="6:6">
      <c r="F54845" s="2423"/>
    </row>
    <row r="54846" spans="6:6">
      <c r="F54846" s="2423"/>
    </row>
    <row r="54847" spans="6:6">
      <c r="F54847" s="2423"/>
    </row>
    <row r="54848" spans="6:6">
      <c r="F54848" s="2423"/>
    </row>
    <row r="54849" spans="6:6">
      <c r="F54849" s="2423"/>
    </row>
    <row r="54850" spans="6:6">
      <c r="F54850" s="2423"/>
    </row>
    <row r="54851" spans="6:6">
      <c r="F54851" s="2423"/>
    </row>
    <row r="54852" spans="6:6">
      <c r="F54852" s="2423"/>
    </row>
    <row r="54853" spans="6:6">
      <c r="F54853" s="2423"/>
    </row>
    <row r="54854" spans="6:6">
      <c r="F54854" s="2423"/>
    </row>
    <row r="54855" spans="6:6">
      <c r="F54855" s="2423"/>
    </row>
    <row r="54856" spans="6:6">
      <c r="F54856" s="2423"/>
    </row>
    <row r="54857" spans="6:6">
      <c r="F54857" s="2423"/>
    </row>
    <row r="54858" spans="6:6">
      <c r="F54858" s="2423"/>
    </row>
    <row r="54859" spans="6:6">
      <c r="F54859" s="2423"/>
    </row>
    <row r="54860" spans="6:6">
      <c r="F54860" s="2423"/>
    </row>
    <row r="54861" spans="6:6">
      <c r="F54861" s="2423"/>
    </row>
    <row r="54862" spans="6:6">
      <c r="F54862" s="2423"/>
    </row>
    <row r="54863" spans="6:6">
      <c r="F54863" s="2423"/>
    </row>
    <row r="54864" spans="6:6">
      <c r="F54864" s="2423"/>
    </row>
    <row r="54865" spans="6:6">
      <c r="F54865" s="2423"/>
    </row>
    <row r="54866" spans="6:6">
      <c r="F54866" s="2423"/>
    </row>
    <row r="54867" spans="6:6">
      <c r="F54867" s="2423"/>
    </row>
    <row r="54868" spans="6:6">
      <c r="F54868" s="2423"/>
    </row>
    <row r="54869" spans="6:6">
      <c r="F54869" s="2423"/>
    </row>
    <row r="54870" spans="6:6">
      <c r="F54870" s="2423"/>
    </row>
    <row r="54871" spans="6:6">
      <c r="F54871" s="2423"/>
    </row>
    <row r="54872" spans="6:6">
      <c r="F54872" s="2423"/>
    </row>
    <row r="54873" spans="6:6">
      <c r="F54873" s="2423"/>
    </row>
    <row r="54874" spans="6:6">
      <c r="F54874" s="2423"/>
    </row>
    <row r="54875" spans="6:6">
      <c r="F54875" s="2423"/>
    </row>
    <row r="54876" spans="6:6">
      <c r="F54876" s="2423"/>
    </row>
    <row r="54877" spans="6:6">
      <c r="F54877" s="2423"/>
    </row>
    <row r="54878" spans="6:6">
      <c r="F54878" s="2423"/>
    </row>
    <row r="54879" spans="6:6">
      <c r="F54879" s="2423"/>
    </row>
    <row r="54880" spans="6:6">
      <c r="F54880" s="2423"/>
    </row>
    <row r="54881" spans="6:6">
      <c r="F54881" s="2423"/>
    </row>
    <row r="54882" spans="6:6">
      <c r="F54882" s="2423"/>
    </row>
    <row r="54883" spans="6:6">
      <c r="F54883" s="2423"/>
    </row>
    <row r="54884" spans="6:6">
      <c r="F54884" s="2423"/>
    </row>
    <row r="54885" spans="6:6">
      <c r="F54885" s="2423"/>
    </row>
    <row r="54886" spans="6:6">
      <c r="F54886" s="2423"/>
    </row>
    <row r="54887" spans="6:6">
      <c r="F54887" s="2423"/>
    </row>
    <row r="54888" spans="6:6">
      <c r="F54888" s="2423"/>
    </row>
    <row r="54889" spans="6:6">
      <c r="F54889" s="2423"/>
    </row>
    <row r="54890" spans="6:6">
      <c r="F54890" s="2423"/>
    </row>
    <row r="54891" spans="6:6">
      <c r="F54891" s="2423"/>
    </row>
    <row r="54892" spans="6:6">
      <c r="F54892" s="2423"/>
    </row>
    <row r="54893" spans="6:6">
      <c r="F54893" s="2423"/>
    </row>
    <row r="54894" spans="6:6">
      <c r="F54894" s="2423"/>
    </row>
    <row r="54895" spans="6:6">
      <c r="F54895" s="2423"/>
    </row>
    <row r="54896" spans="6:6">
      <c r="F54896" s="2423"/>
    </row>
    <row r="54897" spans="6:6">
      <c r="F54897" s="2423"/>
    </row>
    <row r="54898" spans="6:6">
      <c r="F54898" s="2423"/>
    </row>
    <row r="54899" spans="6:6">
      <c r="F54899" s="2423"/>
    </row>
    <row r="54900" spans="6:6">
      <c r="F54900" s="2423"/>
    </row>
    <row r="54901" spans="6:6">
      <c r="F54901" s="2423"/>
    </row>
    <row r="54902" spans="6:6">
      <c r="F54902" s="2423"/>
    </row>
    <row r="54903" spans="6:6">
      <c r="F54903" s="2423"/>
    </row>
    <row r="54904" spans="6:6">
      <c r="F54904" s="2423"/>
    </row>
    <row r="54905" spans="6:6">
      <c r="F54905" s="2423"/>
    </row>
    <row r="54906" spans="6:6">
      <c r="F54906" s="2423"/>
    </row>
    <row r="54907" spans="6:6">
      <c r="F54907" s="2423"/>
    </row>
    <row r="54908" spans="6:6">
      <c r="F54908" s="2423"/>
    </row>
    <row r="54909" spans="6:6">
      <c r="F54909" s="2423"/>
    </row>
    <row r="54910" spans="6:6">
      <c r="F54910" s="2423"/>
    </row>
    <row r="54911" spans="6:6">
      <c r="F54911" s="2423"/>
    </row>
    <row r="54912" spans="6:6">
      <c r="F54912" s="2423"/>
    </row>
    <row r="54913" spans="6:6">
      <c r="F54913" s="2423"/>
    </row>
    <row r="54914" spans="6:6">
      <c r="F54914" s="2423"/>
    </row>
    <row r="54915" spans="6:6">
      <c r="F54915" s="2423"/>
    </row>
    <row r="54916" spans="6:6">
      <c r="F54916" s="2423"/>
    </row>
    <row r="54917" spans="6:6">
      <c r="F54917" s="2423"/>
    </row>
    <row r="54918" spans="6:6">
      <c r="F54918" s="2423"/>
    </row>
    <row r="54919" spans="6:6">
      <c r="F54919" s="2423"/>
    </row>
    <row r="54920" spans="6:6">
      <c r="F54920" s="2423"/>
    </row>
    <row r="54921" spans="6:6">
      <c r="F54921" s="2423"/>
    </row>
    <row r="54922" spans="6:6">
      <c r="F54922" s="2423"/>
    </row>
    <row r="54923" spans="6:6">
      <c r="F54923" s="2423"/>
    </row>
    <row r="54924" spans="6:6">
      <c r="F54924" s="2423"/>
    </row>
    <row r="54925" spans="6:6">
      <c r="F54925" s="2423"/>
    </row>
    <row r="54926" spans="6:6">
      <c r="F54926" s="2423"/>
    </row>
    <row r="54927" spans="6:6">
      <c r="F54927" s="2423"/>
    </row>
    <row r="54928" spans="6:6">
      <c r="F54928" s="2423"/>
    </row>
    <row r="54929" spans="6:6">
      <c r="F54929" s="2423"/>
    </row>
    <row r="54930" spans="6:6">
      <c r="F54930" s="2423"/>
    </row>
    <row r="54931" spans="6:6">
      <c r="F54931" s="2423"/>
    </row>
    <row r="54932" spans="6:6">
      <c r="F54932" s="2423"/>
    </row>
    <row r="54933" spans="6:6">
      <c r="F54933" s="2423"/>
    </row>
    <row r="54934" spans="6:6">
      <c r="F54934" s="2423"/>
    </row>
    <row r="54935" spans="6:6">
      <c r="F54935" s="2423"/>
    </row>
    <row r="54936" spans="6:6">
      <c r="F54936" s="2423"/>
    </row>
    <row r="54937" spans="6:6">
      <c r="F54937" s="2423"/>
    </row>
    <row r="54938" spans="6:6">
      <c r="F54938" s="2423"/>
    </row>
    <row r="54939" spans="6:6">
      <c r="F54939" s="2423"/>
    </row>
    <row r="54940" spans="6:6">
      <c r="F54940" s="2423"/>
    </row>
    <row r="54941" spans="6:6">
      <c r="F54941" s="2423"/>
    </row>
    <row r="54942" spans="6:6">
      <c r="F54942" s="2423"/>
    </row>
    <row r="54943" spans="6:6">
      <c r="F54943" s="2423"/>
    </row>
    <row r="54944" spans="6:6">
      <c r="F54944" s="2423"/>
    </row>
    <row r="54945" spans="6:6">
      <c r="F54945" s="2423"/>
    </row>
    <row r="54946" spans="6:6">
      <c r="F54946" s="2423"/>
    </row>
    <row r="54947" spans="6:6">
      <c r="F54947" s="2423"/>
    </row>
    <row r="54948" spans="6:6">
      <c r="F54948" s="2423"/>
    </row>
    <row r="54949" spans="6:6">
      <c r="F54949" s="2423"/>
    </row>
    <row r="54950" spans="6:6">
      <c r="F54950" s="2423"/>
    </row>
    <row r="54951" spans="6:6">
      <c r="F54951" s="2423"/>
    </row>
    <row r="54952" spans="6:6">
      <c r="F54952" s="2423"/>
    </row>
    <row r="54953" spans="6:6">
      <c r="F54953" s="2423"/>
    </row>
    <row r="54954" spans="6:6">
      <c r="F54954" s="2423"/>
    </row>
    <row r="54955" spans="6:6">
      <c r="F54955" s="2423"/>
    </row>
    <row r="54956" spans="6:6">
      <c r="F54956" s="2423"/>
    </row>
    <row r="54957" spans="6:6">
      <c r="F54957" s="2423"/>
    </row>
    <row r="54958" spans="6:6">
      <c r="F54958" s="2423"/>
    </row>
    <row r="54959" spans="6:6">
      <c r="F54959" s="2423"/>
    </row>
    <row r="54960" spans="6:6">
      <c r="F54960" s="2423"/>
    </row>
    <row r="54961" spans="6:6">
      <c r="F54961" s="2423"/>
    </row>
    <row r="54962" spans="6:6">
      <c r="F54962" s="2423"/>
    </row>
    <row r="54963" spans="6:6">
      <c r="F54963" s="2423"/>
    </row>
    <row r="54964" spans="6:6">
      <c r="F54964" s="2423"/>
    </row>
    <row r="54965" spans="6:6">
      <c r="F54965" s="2423"/>
    </row>
    <row r="54966" spans="6:6">
      <c r="F54966" s="2423"/>
    </row>
    <row r="54967" spans="6:6">
      <c r="F54967" s="2423"/>
    </row>
    <row r="54968" spans="6:6">
      <c r="F54968" s="2423"/>
    </row>
    <row r="54969" spans="6:6">
      <c r="F54969" s="2423"/>
    </row>
    <row r="54970" spans="6:6">
      <c r="F54970" s="2423"/>
    </row>
    <row r="54971" spans="6:6">
      <c r="F54971" s="2423"/>
    </row>
    <row r="54972" spans="6:6">
      <c r="F54972" s="2423"/>
    </row>
    <row r="54973" spans="6:6">
      <c r="F54973" s="2423"/>
    </row>
    <row r="54974" spans="6:6">
      <c r="F54974" s="2423"/>
    </row>
    <row r="54975" spans="6:6">
      <c r="F54975" s="2423"/>
    </row>
    <row r="54976" spans="6:6">
      <c r="F54976" s="2423"/>
    </row>
    <row r="54977" spans="6:6">
      <c r="F54977" s="2423"/>
    </row>
    <row r="54978" spans="6:6">
      <c r="F54978" s="2423"/>
    </row>
    <row r="54979" spans="6:6">
      <c r="F54979" s="2423"/>
    </row>
    <row r="54980" spans="6:6">
      <c r="F54980" s="2423"/>
    </row>
    <row r="54981" spans="6:6">
      <c r="F54981" s="2423"/>
    </row>
    <row r="54982" spans="6:6">
      <c r="F54982" s="2423"/>
    </row>
    <row r="54983" spans="6:6">
      <c r="F54983" s="2423"/>
    </row>
    <row r="54984" spans="6:6">
      <c r="F54984" s="2423"/>
    </row>
    <row r="54985" spans="6:6">
      <c r="F54985" s="2423"/>
    </row>
    <row r="54986" spans="6:6">
      <c r="F54986" s="2423"/>
    </row>
    <row r="54987" spans="6:6">
      <c r="F54987" s="2423"/>
    </row>
    <row r="54988" spans="6:6">
      <c r="F54988" s="2423"/>
    </row>
    <row r="54989" spans="6:6">
      <c r="F54989" s="2423"/>
    </row>
    <row r="54990" spans="6:6">
      <c r="F54990" s="2423"/>
    </row>
    <row r="54991" spans="6:6">
      <c r="F54991" s="2423"/>
    </row>
    <row r="54992" spans="6:6">
      <c r="F54992" s="2423"/>
    </row>
    <row r="54993" spans="6:6">
      <c r="F54993" s="2423"/>
    </row>
    <row r="54994" spans="6:6">
      <c r="F54994" s="2423"/>
    </row>
    <row r="54995" spans="6:6">
      <c r="F54995" s="2423"/>
    </row>
    <row r="54996" spans="6:6">
      <c r="F54996" s="2423"/>
    </row>
    <row r="54997" spans="6:6">
      <c r="F54997" s="2423"/>
    </row>
    <row r="54998" spans="6:6">
      <c r="F54998" s="2423"/>
    </row>
    <row r="54999" spans="6:6">
      <c r="F54999" s="2423"/>
    </row>
    <row r="55000" spans="6:6">
      <c r="F55000" s="2423"/>
    </row>
    <row r="55001" spans="6:6">
      <c r="F55001" s="2423"/>
    </row>
    <row r="55002" spans="6:6">
      <c r="F55002" s="2423"/>
    </row>
    <row r="55003" spans="6:6">
      <c r="F55003" s="2423"/>
    </row>
    <row r="55004" spans="6:6">
      <c r="F55004" s="2423"/>
    </row>
    <row r="55005" spans="6:6">
      <c r="F55005" s="2423"/>
    </row>
    <row r="55006" spans="6:6">
      <c r="F55006" s="2423"/>
    </row>
    <row r="55007" spans="6:6">
      <c r="F55007" s="2423"/>
    </row>
    <row r="55008" spans="6:6">
      <c r="F55008" s="2423"/>
    </row>
    <row r="55009" spans="6:6">
      <c r="F55009" s="2423"/>
    </row>
    <row r="55010" spans="6:6">
      <c r="F55010" s="2423"/>
    </row>
    <row r="55011" spans="6:6">
      <c r="F55011" s="2423"/>
    </row>
    <row r="55012" spans="6:6">
      <c r="F55012" s="2423"/>
    </row>
    <row r="55013" spans="6:6">
      <c r="F55013" s="2423"/>
    </row>
    <row r="55014" spans="6:6">
      <c r="F55014" s="2423"/>
    </row>
    <row r="55015" spans="6:6">
      <c r="F55015" s="2423"/>
    </row>
    <row r="55016" spans="6:6">
      <c r="F55016" s="2423"/>
    </row>
    <row r="55017" spans="6:6">
      <c r="F55017" s="2423"/>
    </row>
    <row r="55018" spans="6:6">
      <c r="F55018" s="2423"/>
    </row>
    <row r="55019" spans="6:6">
      <c r="F55019" s="2423"/>
    </row>
    <row r="55020" spans="6:6">
      <c r="F55020" s="2423"/>
    </row>
    <row r="55021" spans="6:6">
      <c r="F55021" s="2423"/>
    </row>
    <row r="55022" spans="6:6">
      <c r="F55022" s="2423"/>
    </row>
    <row r="55023" spans="6:6">
      <c r="F55023" s="2423"/>
    </row>
    <row r="55024" spans="6:6">
      <c r="F55024" s="2423"/>
    </row>
    <row r="55025" spans="6:6">
      <c r="F55025" s="2423"/>
    </row>
    <row r="55026" spans="6:6">
      <c r="F55026" s="2423"/>
    </row>
    <row r="55027" spans="6:6">
      <c r="F55027" s="2423"/>
    </row>
    <row r="55028" spans="6:6">
      <c r="F55028" s="2423"/>
    </row>
    <row r="55029" spans="6:6">
      <c r="F55029" s="2423"/>
    </row>
    <row r="55030" spans="6:6">
      <c r="F55030" s="2423"/>
    </row>
    <row r="55031" spans="6:6">
      <c r="F55031" s="2423"/>
    </row>
    <row r="55032" spans="6:6">
      <c r="F55032" s="2423"/>
    </row>
    <row r="55033" spans="6:6">
      <c r="F55033" s="2423"/>
    </row>
    <row r="55034" spans="6:6">
      <c r="F55034" s="2423"/>
    </row>
    <row r="55035" spans="6:6">
      <c r="F55035" s="2423"/>
    </row>
    <row r="55036" spans="6:6">
      <c r="F55036" s="2423"/>
    </row>
    <row r="55037" spans="6:6">
      <c r="F55037" s="2423"/>
    </row>
    <row r="55038" spans="6:6">
      <c r="F55038" s="2423"/>
    </row>
    <row r="55039" spans="6:6">
      <c r="F55039" s="2423"/>
    </row>
    <row r="55040" spans="6:6">
      <c r="F55040" s="2423"/>
    </row>
    <row r="55041" spans="6:6">
      <c r="F55041" s="2423"/>
    </row>
    <row r="55042" spans="6:6">
      <c r="F55042" s="2423"/>
    </row>
    <row r="55043" spans="6:6">
      <c r="F55043" s="2423"/>
    </row>
    <row r="55044" spans="6:6">
      <c r="F55044" s="2423"/>
    </row>
    <row r="55045" spans="6:6">
      <c r="F55045" s="2423"/>
    </row>
    <row r="55046" spans="6:6">
      <c r="F55046" s="2423"/>
    </row>
    <row r="55047" spans="6:6">
      <c r="F55047" s="2423"/>
    </row>
    <row r="55048" spans="6:6">
      <c r="F55048" s="2423"/>
    </row>
    <row r="55049" spans="6:6">
      <c r="F55049" s="2423"/>
    </row>
    <row r="55050" spans="6:6">
      <c r="F55050" s="2423"/>
    </row>
    <row r="55051" spans="6:6">
      <c r="F55051" s="2423"/>
    </row>
    <row r="55052" spans="6:6">
      <c r="F55052" s="2423"/>
    </row>
    <row r="55053" spans="6:6">
      <c r="F55053" s="2423"/>
    </row>
    <row r="55054" spans="6:6">
      <c r="F55054" s="2423"/>
    </row>
    <row r="55055" spans="6:6">
      <c r="F55055" s="2423"/>
    </row>
    <row r="55056" spans="6:6">
      <c r="F55056" s="2423"/>
    </row>
    <row r="55057" spans="6:6">
      <c r="F55057" s="2423"/>
    </row>
    <row r="55058" spans="6:6">
      <c r="F55058" s="2423"/>
    </row>
    <row r="55059" spans="6:6">
      <c r="F55059" s="2423"/>
    </row>
    <row r="55060" spans="6:6">
      <c r="F55060" s="2423"/>
    </row>
    <row r="55061" spans="6:6">
      <c r="F55061" s="2423"/>
    </row>
    <row r="55062" spans="6:6">
      <c r="F55062" s="2423"/>
    </row>
    <row r="55063" spans="6:6">
      <c r="F55063" s="2423"/>
    </row>
    <row r="55064" spans="6:6">
      <c r="F55064" s="2423"/>
    </row>
    <row r="55065" spans="6:6">
      <c r="F55065" s="2423"/>
    </row>
    <row r="55066" spans="6:6">
      <c r="F55066" s="2423"/>
    </row>
    <row r="55067" spans="6:6">
      <c r="F55067" s="2423"/>
    </row>
    <row r="55068" spans="6:6">
      <c r="F55068" s="2423"/>
    </row>
    <row r="55069" spans="6:6">
      <c r="F55069" s="2423"/>
    </row>
    <row r="55070" spans="6:6">
      <c r="F55070" s="2423"/>
    </row>
    <row r="55071" spans="6:6">
      <c r="F55071" s="2423"/>
    </row>
    <row r="55072" spans="6:6">
      <c r="F55072" s="2423"/>
    </row>
    <row r="55073" spans="6:6">
      <c r="F55073" s="2423"/>
    </row>
    <row r="55074" spans="6:6">
      <c r="F55074" s="2423"/>
    </row>
    <row r="55075" spans="6:6">
      <c r="F55075" s="2423"/>
    </row>
    <row r="55076" spans="6:6">
      <c r="F55076" s="2423"/>
    </row>
    <row r="55077" spans="6:6">
      <c r="F55077" s="2423"/>
    </row>
    <row r="55078" spans="6:6">
      <c r="F55078" s="2423"/>
    </row>
    <row r="55079" spans="6:6">
      <c r="F55079" s="2423"/>
    </row>
    <row r="55080" spans="6:6">
      <c r="F55080" s="2423"/>
    </row>
    <row r="55081" spans="6:6">
      <c r="F55081" s="2423"/>
    </row>
    <row r="55082" spans="6:6">
      <c r="F55082" s="2423"/>
    </row>
    <row r="55083" spans="6:6">
      <c r="F55083" s="2423"/>
    </row>
    <row r="55084" spans="6:6">
      <c r="F55084" s="2423"/>
    </row>
    <row r="55085" spans="6:6">
      <c r="F55085" s="2423"/>
    </row>
    <row r="55086" spans="6:6">
      <c r="F55086" s="2423"/>
    </row>
    <row r="55087" spans="6:6">
      <c r="F55087" s="2423"/>
    </row>
    <row r="55088" spans="6:6">
      <c r="F55088" s="2423"/>
    </row>
    <row r="55089" spans="6:6">
      <c r="F55089" s="2423"/>
    </row>
    <row r="55090" spans="6:6">
      <c r="F55090" s="2423"/>
    </row>
    <row r="55091" spans="6:6">
      <c r="F55091" s="2423"/>
    </row>
    <row r="55092" spans="6:6">
      <c r="F55092" s="2423"/>
    </row>
    <row r="55093" spans="6:6">
      <c r="F55093" s="2423"/>
    </row>
    <row r="55094" spans="6:6">
      <c r="F55094" s="2423"/>
    </row>
    <row r="55095" spans="6:6">
      <c r="F55095" s="2423"/>
    </row>
    <row r="55096" spans="6:6">
      <c r="F55096" s="2423"/>
    </row>
    <row r="55097" spans="6:6">
      <c r="F55097" s="2423"/>
    </row>
    <row r="55098" spans="6:6">
      <c r="F55098" s="2423"/>
    </row>
    <row r="55099" spans="6:6">
      <c r="F55099" s="2423"/>
    </row>
    <row r="55100" spans="6:6">
      <c r="F55100" s="2423"/>
    </row>
    <row r="55101" spans="6:6">
      <c r="F55101" s="2423"/>
    </row>
    <row r="55102" spans="6:6">
      <c r="F55102" s="2423"/>
    </row>
    <row r="55103" spans="6:6">
      <c r="F55103" s="2423"/>
    </row>
    <row r="55104" spans="6:6">
      <c r="F55104" s="2423"/>
    </row>
    <row r="55105" spans="6:6">
      <c r="F55105" s="2423"/>
    </row>
    <row r="55106" spans="6:6">
      <c r="F55106" s="2423"/>
    </row>
    <row r="55107" spans="6:6">
      <c r="F55107" s="2423"/>
    </row>
    <row r="55108" spans="6:6">
      <c r="F55108" s="2423"/>
    </row>
    <row r="55109" spans="6:6">
      <c r="F55109" s="2423"/>
    </row>
    <row r="55110" spans="6:6">
      <c r="F55110" s="2423"/>
    </row>
    <row r="55111" spans="6:6">
      <c r="F55111" s="2423"/>
    </row>
    <row r="55112" spans="6:6">
      <c r="F55112" s="2423"/>
    </row>
    <row r="55113" spans="6:6">
      <c r="F55113" s="2423"/>
    </row>
    <row r="55114" spans="6:6">
      <c r="F55114" s="2423"/>
    </row>
    <row r="55115" spans="6:6">
      <c r="F55115" s="2423"/>
    </row>
    <row r="55116" spans="6:6">
      <c r="F55116" s="2423"/>
    </row>
    <row r="55117" spans="6:6">
      <c r="F55117" s="2423"/>
    </row>
    <row r="55118" spans="6:6">
      <c r="F55118" s="2423"/>
    </row>
    <row r="55119" spans="6:6">
      <c r="F55119" s="2423"/>
    </row>
    <row r="55120" spans="6:6">
      <c r="F55120" s="2423"/>
    </row>
    <row r="55121" spans="6:6">
      <c r="F55121" s="2423"/>
    </row>
    <row r="55122" spans="6:6">
      <c r="F55122" s="2423"/>
    </row>
    <row r="55123" spans="6:6">
      <c r="F55123" s="2423"/>
    </row>
    <row r="55124" spans="6:6">
      <c r="F55124" s="2423"/>
    </row>
    <row r="55125" spans="6:6">
      <c r="F55125" s="2423"/>
    </row>
    <row r="55126" spans="6:6">
      <c r="F55126" s="2423"/>
    </row>
    <row r="55127" spans="6:6">
      <c r="F55127" s="2423"/>
    </row>
    <row r="55128" spans="6:6">
      <c r="F55128" s="2423"/>
    </row>
    <row r="55129" spans="6:6">
      <c r="F55129" s="2423"/>
    </row>
    <row r="55130" spans="6:6">
      <c r="F55130" s="2423"/>
    </row>
    <row r="55131" spans="6:6">
      <c r="F55131" s="2423"/>
    </row>
    <row r="55132" spans="6:6">
      <c r="F55132" s="2423"/>
    </row>
    <row r="55133" spans="6:6">
      <c r="F55133" s="2423"/>
    </row>
    <row r="55134" spans="6:6">
      <c r="F55134" s="2423"/>
    </row>
    <row r="55135" spans="6:6">
      <c r="F55135" s="2423"/>
    </row>
    <row r="55136" spans="6:6">
      <c r="F55136" s="2423"/>
    </row>
    <row r="55137" spans="6:6">
      <c r="F55137" s="2423"/>
    </row>
    <row r="55138" spans="6:6">
      <c r="F55138" s="2423"/>
    </row>
    <row r="55139" spans="6:6">
      <c r="F55139" s="2423"/>
    </row>
    <row r="55140" spans="6:6">
      <c r="F55140" s="2423"/>
    </row>
    <row r="55141" spans="6:6">
      <c r="F55141" s="2423"/>
    </row>
    <row r="55142" spans="6:6">
      <c r="F55142" s="2423"/>
    </row>
    <row r="55143" spans="6:6">
      <c r="F55143" s="2423"/>
    </row>
    <row r="55144" spans="6:6">
      <c r="F55144" s="2423"/>
    </row>
    <row r="55145" spans="6:6">
      <c r="F55145" s="2423"/>
    </row>
    <row r="55146" spans="6:6">
      <c r="F55146" s="2423"/>
    </row>
    <row r="55147" spans="6:6">
      <c r="F55147" s="2423"/>
    </row>
    <row r="55148" spans="6:6">
      <c r="F55148" s="2423"/>
    </row>
    <row r="55149" spans="6:6">
      <c r="F55149" s="2423"/>
    </row>
    <row r="55150" spans="6:6">
      <c r="F55150" s="2423"/>
    </row>
    <row r="55151" spans="6:6">
      <c r="F55151" s="2423"/>
    </row>
    <row r="55152" spans="6:6">
      <c r="F55152" s="2423"/>
    </row>
    <row r="55153" spans="6:6">
      <c r="F55153" s="2423"/>
    </row>
    <row r="55154" spans="6:6">
      <c r="F55154" s="2423"/>
    </row>
    <row r="55155" spans="6:6">
      <c r="F55155" s="2423"/>
    </row>
    <row r="55156" spans="6:6">
      <c r="F55156" s="2423"/>
    </row>
    <row r="55157" spans="6:6">
      <c r="F55157" s="2423"/>
    </row>
    <row r="55158" spans="6:6">
      <c r="F55158" s="2423"/>
    </row>
    <row r="55159" spans="6:6">
      <c r="F55159" s="2423"/>
    </row>
    <row r="55160" spans="6:6">
      <c r="F55160" s="2423"/>
    </row>
    <row r="55161" spans="6:6">
      <c r="F55161" s="2423"/>
    </row>
    <row r="55162" spans="6:6">
      <c r="F55162" s="2423"/>
    </row>
    <row r="55163" spans="6:6">
      <c r="F55163" s="2423"/>
    </row>
    <row r="55164" spans="6:6">
      <c r="F55164" s="2423"/>
    </row>
    <row r="55165" spans="6:6">
      <c r="F55165" s="2423"/>
    </row>
    <row r="55166" spans="6:6">
      <c r="F55166" s="2423"/>
    </row>
    <row r="55167" spans="6:6">
      <c r="F55167" s="2423"/>
    </row>
    <row r="55168" spans="6:6">
      <c r="F55168" s="2423"/>
    </row>
    <row r="55169" spans="6:6">
      <c r="F55169" s="2423"/>
    </row>
    <row r="55170" spans="6:6">
      <c r="F55170" s="2423"/>
    </row>
    <row r="55171" spans="6:6">
      <c r="F55171" s="2423"/>
    </row>
    <row r="55172" spans="6:6">
      <c r="F55172" s="2423"/>
    </row>
    <row r="55173" spans="6:6">
      <c r="F55173" s="2423"/>
    </row>
    <row r="55174" spans="6:6">
      <c r="F55174" s="2423"/>
    </row>
    <row r="55175" spans="6:6">
      <c r="F55175" s="2423"/>
    </row>
    <row r="55176" spans="6:6">
      <c r="F55176" s="2423"/>
    </row>
    <row r="55177" spans="6:6">
      <c r="F55177" s="2423"/>
    </row>
    <row r="55178" spans="6:6">
      <c r="F55178" s="2423"/>
    </row>
    <row r="55179" spans="6:6">
      <c r="F55179" s="2423"/>
    </row>
    <row r="55180" spans="6:6">
      <c r="F55180" s="2423"/>
    </row>
    <row r="55181" spans="6:6">
      <c r="F55181" s="2423"/>
    </row>
    <row r="55182" spans="6:6">
      <c r="F55182" s="2423"/>
    </row>
    <row r="55183" spans="6:6">
      <c r="F55183" s="2423"/>
    </row>
    <row r="55184" spans="6:6">
      <c r="F55184" s="2423"/>
    </row>
    <row r="55185" spans="6:6">
      <c r="F55185" s="2423"/>
    </row>
    <row r="55186" spans="6:6">
      <c r="F55186" s="2423"/>
    </row>
    <row r="55187" spans="6:6">
      <c r="F55187" s="2423"/>
    </row>
    <row r="55188" spans="6:6">
      <c r="F55188" s="2423"/>
    </row>
    <row r="55189" spans="6:6">
      <c r="F55189" s="2423"/>
    </row>
    <row r="55190" spans="6:6">
      <c r="F55190" s="2423"/>
    </row>
    <row r="55191" spans="6:6">
      <c r="F55191" s="2423"/>
    </row>
    <row r="55192" spans="6:6">
      <c r="F55192" s="2423"/>
    </row>
    <row r="55193" spans="6:6">
      <c r="F55193" s="2423"/>
    </row>
    <row r="55194" spans="6:6">
      <c r="F55194" s="2423"/>
    </row>
    <row r="55195" spans="6:6">
      <c r="F55195" s="2423"/>
    </row>
    <row r="55196" spans="6:6">
      <c r="F55196" s="2423"/>
    </row>
    <row r="55197" spans="6:6">
      <c r="F55197" s="2423"/>
    </row>
    <row r="55198" spans="6:6">
      <c r="F55198" s="2423"/>
    </row>
    <row r="55199" spans="6:6">
      <c r="F55199" s="2423"/>
    </row>
    <row r="55200" spans="6:6">
      <c r="F55200" s="2423"/>
    </row>
    <row r="55201" spans="6:6">
      <c r="F55201" s="2423"/>
    </row>
    <row r="55202" spans="6:6">
      <c r="F55202" s="2423"/>
    </row>
    <row r="55203" spans="6:6">
      <c r="F55203" s="2423"/>
    </row>
    <row r="55204" spans="6:6">
      <c r="F55204" s="2423"/>
    </row>
    <row r="55205" spans="6:6">
      <c r="F55205" s="2423"/>
    </row>
    <row r="55206" spans="6:6">
      <c r="F55206" s="2423"/>
    </row>
    <row r="55207" spans="6:6">
      <c r="F55207" s="2423"/>
    </row>
    <row r="55208" spans="6:6">
      <c r="F55208" s="2423"/>
    </row>
    <row r="55209" spans="6:6">
      <c r="F55209" s="2423"/>
    </row>
    <row r="55210" spans="6:6">
      <c r="F55210" s="2423"/>
    </row>
    <row r="55211" spans="6:6">
      <c r="F55211" s="2423"/>
    </row>
    <row r="55212" spans="6:6">
      <c r="F55212" s="2423"/>
    </row>
    <row r="55213" spans="6:6">
      <c r="F55213" s="2423"/>
    </row>
    <row r="55214" spans="6:6">
      <c r="F55214" s="2423"/>
    </row>
    <row r="55215" spans="6:6">
      <c r="F55215" s="2423"/>
    </row>
    <row r="55216" spans="6:6">
      <c r="F55216" s="2423"/>
    </row>
    <row r="55217" spans="6:6">
      <c r="F55217" s="2423"/>
    </row>
    <row r="55218" spans="6:6">
      <c r="F55218" s="2423"/>
    </row>
    <row r="55219" spans="6:6">
      <c r="F55219" s="2423"/>
    </row>
    <row r="55220" spans="6:6">
      <c r="F55220" s="2423"/>
    </row>
    <row r="55221" spans="6:6">
      <c r="F55221" s="2423"/>
    </row>
    <row r="55222" spans="6:6">
      <c r="F55222" s="2423"/>
    </row>
    <row r="55223" spans="6:6">
      <c r="F55223" s="2423"/>
    </row>
    <row r="55224" spans="6:6">
      <c r="F55224" s="2423"/>
    </row>
    <row r="55225" spans="6:6">
      <c r="F55225" s="2423"/>
    </row>
    <row r="55226" spans="6:6">
      <c r="F55226" s="2423"/>
    </row>
    <row r="55227" spans="6:6">
      <c r="F55227" s="2423"/>
    </row>
    <row r="55228" spans="6:6">
      <c r="F55228" s="2423"/>
    </row>
    <row r="55229" spans="6:6">
      <c r="F55229" s="2423"/>
    </row>
    <row r="55230" spans="6:6">
      <c r="F55230" s="2423"/>
    </row>
    <row r="55231" spans="6:6">
      <c r="F55231" s="2423"/>
    </row>
    <row r="55232" spans="6:6">
      <c r="F55232" s="2423"/>
    </row>
    <row r="55233" spans="6:6">
      <c r="F55233" s="2423"/>
    </row>
    <row r="55234" spans="6:6">
      <c r="F55234" s="2423"/>
    </row>
    <row r="55235" spans="6:6">
      <c r="F55235" s="2423"/>
    </row>
    <row r="55236" spans="6:6">
      <c r="F55236" s="2423"/>
    </row>
    <row r="55237" spans="6:6">
      <c r="F55237" s="2423"/>
    </row>
    <row r="55238" spans="6:6">
      <c r="F55238" s="2423"/>
    </row>
    <row r="55239" spans="6:6">
      <c r="F55239" s="2423"/>
    </row>
    <row r="55240" spans="6:6">
      <c r="F55240" s="2423"/>
    </row>
    <row r="55241" spans="6:6">
      <c r="F55241" s="2423"/>
    </row>
    <row r="55242" spans="6:6">
      <c r="F55242" s="2423"/>
    </row>
    <row r="55243" spans="6:6">
      <c r="F55243" s="2423"/>
    </row>
    <row r="55244" spans="6:6">
      <c r="F55244" s="2423"/>
    </row>
    <row r="55245" spans="6:6">
      <c r="F55245" s="2423"/>
    </row>
    <row r="55246" spans="6:6">
      <c r="F55246" s="2423"/>
    </row>
    <row r="55247" spans="6:6">
      <c r="F55247" s="2423"/>
    </row>
    <row r="55248" spans="6:6">
      <c r="F55248" s="2423"/>
    </row>
    <row r="55249" spans="6:6">
      <c r="F55249" s="2423"/>
    </row>
    <row r="55250" spans="6:6">
      <c r="F55250" s="2423"/>
    </row>
    <row r="55251" spans="6:6">
      <c r="F55251" s="2423"/>
    </row>
    <row r="55252" spans="6:6">
      <c r="F55252" s="2423"/>
    </row>
    <row r="55253" spans="6:6">
      <c r="F55253" s="2423"/>
    </row>
    <row r="55254" spans="6:6">
      <c r="F55254" s="2423"/>
    </row>
    <row r="55255" spans="6:6">
      <c r="F55255" s="2423"/>
    </row>
    <row r="55256" spans="6:6">
      <c r="F55256" s="2423"/>
    </row>
    <row r="55257" spans="6:6">
      <c r="F55257" s="2423"/>
    </row>
    <row r="55258" spans="6:6">
      <c r="F55258" s="2423"/>
    </row>
    <row r="55259" spans="6:6">
      <c r="F55259" s="2423"/>
    </row>
    <row r="55260" spans="6:6">
      <c r="F55260" s="2423"/>
    </row>
    <row r="55261" spans="6:6">
      <c r="F55261" s="2423"/>
    </row>
    <row r="55262" spans="6:6">
      <c r="F55262" s="2423"/>
    </row>
    <row r="55263" spans="6:6">
      <c r="F55263" s="2423"/>
    </row>
    <row r="55264" spans="6:6">
      <c r="F55264" s="2423"/>
    </row>
    <row r="55265" spans="6:6">
      <c r="F55265" s="2423"/>
    </row>
    <row r="55266" spans="6:6">
      <c r="F55266" s="2423"/>
    </row>
    <row r="55267" spans="6:6">
      <c r="F55267" s="2423"/>
    </row>
    <row r="55268" spans="6:6">
      <c r="F55268" s="2423"/>
    </row>
    <row r="55269" spans="6:6">
      <c r="F55269" s="2423"/>
    </row>
    <row r="55270" spans="6:6">
      <c r="F55270" s="2423"/>
    </row>
    <row r="55271" spans="6:6">
      <c r="F55271" s="2423"/>
    </row>
    <row r="55272" spans="6:6">
      <c r="F55272" s="2423"/>
    </row>
    <row r="55273" spans="6:6">
      <c r="F55273" s="2423"/>
    </row>
    <row r="55274" spans="6:6">
      <c r="F55274" s="2423"/>
    </row>
    <row r="55275" spans="6:6">
      <c r="F55275" s="2423"/>
    </row>
    <row r="55276" spans="6:6">
      <c r="F55276" s="2423"/>
    </row>
    <row r="55277" spans="6:6">
      <c r="F55277" s="2423"/>
    </row>
    <row r="55278" spans="6:6">
      <c r="F55278" s="2423"/>
    </row>
    <row r="55279" spans="6:6">
      <c r="F55279" s="2423"/>
    </row>
    <row r="55280" spans="6:6">
      <c r="F55280" s="2423"/>
    </row>
    <row r="55281" spans="6:6">
      <c r="F55281" s="2423"/>
    </row>
    <row r="55282" spans="6:6">
      <c r="F55282" s="2423"/>
    </row>
    <row r="55283" spans="6:6">
      <c r="F55283" s="2423"/>
    </row>
    <row r="55284" spans="6:6">
      <c r="F55284" s="2423"/>
    </row>
    <row r="55285" spans="6:6">
      <c r="F55285" s="2423"/>
    </row>
    <row r="55286" spans="6:6">
      <c r="F55286" s="2423"/>
    </row>
    <row r="55287" spans="6:6">
      <c r="F55287" s="2423"/>
    </row>
    <row r="55288" spans="6:6">
      <c r="F55288" s="2423"/>
    </row>
    <row r="55289" spans="6:6">
      <c r="F55289" s="2423"/>
    </row>
    <row r="55290" spans="6:6">
      <c r="F55290" s="2423"/>
    </row>
    <row r="55291" spans="6:6">
      <c r="F55291" s="2423"/>
    </row>
    <row r="55292" spans="6:6">
      <c r="F55292" s="2423"/>
    </row>
    <row r="55293" spans="6:6">
      <c r="F55293" s="2423"/>
    </row>
    <row r="55294" spans="6:6">
      <c r="F55294" s="2423"/>
    </row>
    <row r="55295" spans="6:6">
      <c r="F55295" s="2423"/>
    </row>
    <row r="55296" spans="6:6">
      <c r="F55296" s="2423"/>
    </row>
    <row r="55297" spans="6:6">
      <c r="F55297" s="2423"/>
    </row>
    <row r="55298" spans="6:6">
      <c r="F55298" s="2423"/>
    </row>
    <row r="55299" spans="6:6">
      <c r="F55299" s="2423"/>
    </row>
    <row r="55300" spans="6:6">
      <c r="F55300" s="2423"/>
    </row>
    <row r="55301" spans="6:6">
      <c r="F55301" s="2423"/>
    </row>
    <row r="55302" spans="6:6">
      <c r="F55302" s="2423"/>
    </row>
    <row r="55303" spans="6:6">
      <c r="F55303" s="2423"/>
    </row>
    <row r="55304" spans="6:6">
      <c r="F55304" s="2423"/>
    </row>
    <row r="55305" spans="6:6">
      <c r="F55305" s="2423"/>
    </row>
    <row r="55306" spans="6:6">
      <c r="F55306" s="2423"/>
    </row>
    <row r="55307" spans="6:6">
      <c r="F55307" s="2423"/>
    </row>
    <row r="55308" spans="6:6">
      <c r="F55308" s="2423"/>
    </row>
    <row r="55309" spans="6:6">
      <c r="F55309" s="2423"/>
    </row>
    <row r="55310" spans="6:6">
      <c r="F55310" s="2423"/>
    </row>
    <row r="55311" spans="6:6">
      <c r="F55311" s="2423"/>
    </row>
    <row r="55312" spans="6:6">
      <c r="F55312" s="2423"/>
    </row>
    <row r="55313" spans="6:6">
      <c r="F55313" s="2423"/>
    </row>
    <row r="55314" spans="6:6">
      <c r="F55314" s="2423"/>
    </row>
    <row r="55315" spans="6:6">
      <c r="F55315" s="2423"/>
    </row>
    <row r="55316" spans="6:6">
      <c r="F55316" s="2423"/>
    </row>
    <row r="55317" spans="6:6">
      <c r="F55317" s="2423"/>
    </row>
    <row r="55318" spans="6:6">
      <c r="F55318" s="2423"/>
    </row>
    <row r="55319" spans="6:6">
      <c r="F55319" s="2423"/>
    </row>
    <row r="55320" spans="6:6">
      <c r="F55320" s="2423"/>
    </row>
    <row r="55321" spans="6:6">
      <c r="F55321" s="2423"/>
    </row>
    <row r="55322" spans="6:6">
      <c r="F55322" s="2423"/>
    </row>
    <row r="55323" spans="6:6">
      <c r="F55323" s="2423"/>
    </row>
    <row r="55324" spans="6:6">
      <c r="F55324" s="2423"/>
    </row>
    <row r="55325" spans="6:6">
      <c r="F55325" s="2423"/>
    </row>
    <row r="55326" spans="6:6">
      <c r="F55326" s="2423"/>
    </row>
    <row r="55327" spans="6:6">
      <c r="F55327" s="2423"/>
    </row>
    <row r="55328" spans="6:6">
      <c r="F55328" s="2423"/>
    </row>
    <row r="55329" spans="6:6">
      <c r="F55329" s="2423"/>
    </row>
    <row r="55330" spans="6:6">
      <c r="F55330" s="2423"/>
    </row>
    <row r="55331" spans="6:6">
      <c r="F55331" s="2423"/>
    </row>
    <row r="55332" spans="6:6">
      <c r="F55332" s="2423"/>
    </row>
    <row r="55333" spans="6:6">
      <c r="F55333" s="2423"/>
    </row>
    <row r="55334" spans="6:6">
      <c r="F55334" s="2423"/>
    </row>
    <row r="55335" spans="6:6">
      <c r="F55335" s="2423"/>
    </row>
    <row r="55336" spans="6:6">
      <c r="F55336" s="2423"/>
    </row>
    <row r="55337" spans="6:6">
      <c r="F55337" s="2423"/>
    </row>
    <row r="55338" spans="6:6">
      <c r="F55338" s="2423"/>
    </row>
    <row r="55339" spans="6:6">
      <c r="F55339" s="2423"/>
    </row>
    <row r="55340" spans="6:6">
      <c r="F55340" s="2423"/>
    </row>
    <row r="55341" spans="6:6">
      <c r="F55341" s="2423"/>
    </row>
    <row r="55342" spans="6:6">
      <c r="F55342" s="2423"/>
    </row>
    <row r="55343" spans="6:6">
      <c r="F55343" s="2423"/>
    </row>
    <row r="55344" spans="6:6">
      <c r="F55344" s="2423"/>
    </row>
    <row r="55345" spans="6:6">
      <c r="F55345" s="2423"/>
    </row>
    <row r="55346" spans="6:6">
      <c r="F55346" s="2423"/>
    </row>
    <row r="55347" spans="6:6">
      <c r="F55347" s="2423"/>
    </row>
    <row r="55348" spans="6:6">
      <c r="F55348" s="2423"/>
    </row>
    <row r="55349" spans="6:6">
      <c r="F55349" s="2423"/>
    </row>
    <row r="55350" spans="6:6">
      <c r="F55350" s="2423"/>
    </row>
    <row r="55351" spans="6:6">
      <c r="F55351" s="2423"/>
    </row>
    <row r="55352" spans="6:6">
      <c r="F55352" s="2423"/>
    </row>
    <row r="55353" spans="6:6">
      <c r="F55353" s="2423"/>
    </row>
    <row r="55354" spans="6:6">
      <c r="F55354" s="2423"/>
    </row>
    <row r="55355" spans="6:6">
      <c r="F55355" s="2423"/>
    </row>
    <row r="55356" spans="6:6">
      <c r="F55356" s="2423"/>
    </row>
    <row r="55357" spans="6:6">
      <c r="F55357" s="2423"/>
    </row>
    <row r="55358" spans="6:6">
      <c r="F55358" s="2423"/>
    </row>
    <row r="55359" spans="6:6">
      <c r="F55359" s="2423"/>
    </row>
    <row r="55360" spans="6:6">
      <c r="F55360" s="2423"/>
    </row>
    <row r="55361" spans="6:6">
      <c r="F55361" s="2423"/>
    </row>
    <row r="55362" spans="6:6">
      <c r="F55362" s="2423"/>
    </row>
    <row r="55363" spans="6:6">
      <c r="F55363" s="2423"/>
    </row>
    <row r="55364" spans="6:6">
      <c r="F55364" s="2423"/>
    </row>
    <row r="55365" spans="6:6">
      <c r="F55365" s="2423"/>
    </row>
    <row r="55366" spans="6:6">
      <c r="F55366" s="2423"/>
    </row>
    <row r="55367" spans="6:6">
      <c r="F55367" s="2423"/>
    </row>
    <row r="55368" spans="6:6">
      <c r="F55368" s="2423"/>
    </row>
    <row r="55369" spans="6:6">
      <c r="F55369" s="2423"/>
    </row>
    <row r="55370" spans="6:6">
      <c r="F55370" s="2423"/>
    </row>
    <row r="55371" spans="6:6">
      <c r="F55371" s="2423"/>
    </row>
    <row r="55372" spans="6:6">
      <c r="F55372" s="2423"/>
    </row>
    <row r="55373" spans="6:6">
      <c r="F55373" s="2423"/>
    </row>
    <row r="55374" spans="6:6">
      <c r="F55374" s="2423"/>
    </row>
    <row r="55375" spans="6:6">
      <c r="F55375" s="2423"/>
    </row>
    <row r="55376" spans="6:6">
      <c r="F55376" s="2423"/>
    </row>
    <row r="55377" spans="6:6">
      <c r="F55377" s="2423"/>
    </row>
    <row r="55378" spans="6:6">
      <c r="F55378" s="2423"/>
    </row>
    <row r="55379" spans="6:6">
      <c r="F55379" s="2423"/>
    </row>
    <row r="55380" spans="6:6">
      <c r="F55380" s="2423"/>
    </row>
    <row r="55381" spans="6:6">
      <c r="F55381" s="2423"/>
    </row>
    <row r="55382" spans="6:6">
      <c r="F55382" s="2423"/>
    </row>
    <row r="55383" spans="6:6">
      <c r="F55383" s="2423"/>
    </row>
    <row r="55384" spans="6:6">
      <c r="F55384" s="2423"/>
    </row>
    <row r="55385" spans="6:6">
      <c r="F55385" s="2423"/>
    </row>
    <row r="55386" spans="6:6">
      <c r="F55386" s="2423"/>
    </row>
    <row r="55387" spans="6:6">
      <c r="F55387" s="2423"/>
    </row>
    <row r="55388" spans="6:6">
      <c r="F55388" s="2423"/>
    </row>
    <row r="55389" spans="6:6">
      <c r="F55389" s="2423"/>
    </row>
    <row r="55390" spans="6:6">
      <c r="F55390" s="2423"/>
    </row>
    <row r="55391" spans="6:6">
      <c r="F55391" s="2423"/>
    </row>
    <row r="55392" spans="6:6">
      <c r="F55392" s="2423"/>
    </row>
    <row r="55393" spans="6:6">
      <c r="F55393" s="2423"/>
    </row>
    <row r="55394" spans="6:6">
      <c r="F55394" s="2423"/>
    </row>
    <row r="55395" spans="6:6">
      <c r="F55395" s="2423"/>
    </row>
    <row r="55396" spans="6:6">
      <c r="F55396" s="2423"/>
    </row>
    <row r="55397" spans="6:6">
      <c r="F55397" s="2423"/>
    </row>
    <row r="55398" spans="6:6">
      <c r="F55398" s="2423"/>
    </row>
    <row r="55399" spans="6:6">
      <c r="F55399" s="2423"/>
    </row>
    <row r="55400" spans="6:6">
      <c r="F55400" s="2423"/>
    </row>
    <row r="55401" spans="6:6">
      <c r="F55401" s="2423"/>
    </row>
    <row r="55402" spans="6:6">
      <c r="F55402" s="2423"/>
    </row>
    <row r="55403" spans="6:6">
      <c r="F55403" s="2423"/>
    </row>
    <row r="55404" spans="6:6">
      <c r="F55404" s="2423"/>
    </row>
    <row r="55405" spans="6:6">
      <c r="F55405" s="2423"/>
    </row>
    <row r="55406" spans="6:6">
      <c r="F55406" s="2423"/>
    </row>
    <row r="55407" spans="6:6">
      <c r="F55407" s="2423"/>
    </row>
    <row r="55408" spans="6:6">
      <c r="F55408" s="2423"/>
    </row>
    <row r="55409" spans="6:6">
      <c r="F55409" s="2423"/>
    </row>
    <row r="55410" spans="6:6">
      <c r="F55410" s="2423"/>
    </row>
    <row r="55411" spans="6:6">
      <c r="F55411" s="2423"/>
    </row>
    <row r="55412" spans="6:6">
      <c r="F55412" s="2423"/>
    </row>
    <row r="55413" spans="6:6">
      <c r="F55413" s="2423"/>
    </row>
    <row r="55414" spans="6:6">
      <c r="F55414" s="2423"/>
    </row>
    <row r="55415" spans="6:6">
      <c r="F55415" s="2423"/>
    </row>
    <row r="55416" spans="6:6">
      <c r="F55416" s="2423"/>
    </row>
    <row r="55417" spans="6:6">
      <c r="F55417" s="2423"/>
    </row>
    <row r="55418" spans="6:6">
      <c r="F55418" s="2423"/>
    </row>
    <row r="55419" spans="6:6">
      <c r="F55419" s="2423"/>
    </row>
    <row r="55420" spans="6:6">
      <c r="F55420" s="2423"/>
    </row>
    <row r="55421" spans="6:6">
      <c r="F55421" s="2423"/>
    </row>
    <row r="55422" spans="6:6">
      <c r="F55422" s="2423"/>
    </row>
    <row r="55423" spans="6:6">
      <c r="F55423" s="2423"/>
    </row>
    <row r="55424" spans="6:6">
      <c r="F55424" s="2423"/>
    </row>
    <row r="55425" spans="6:6">
      <c r="F55425" s="2423"/>
    </row>
    <row r="55426" spans="6:6">
      <c r="F55426" s="2423"/>
    </row>
    <row r="55427" spans="6:6">
      <c r="F55427" s="2423"/>
    </row>
    <row r="55428" spans="6:6">
      <c r="F55428" s="2423"/>
    </row>
    <row r="55429" spans="6:6">
      <c r="F55429" s="2423"/>
    </row>
    <row r="55430" spans="6:6">
      <c r="F55430" s="2423"/>
    </row>
    <row r="55431" spans="6:6">
      <c r="F55431" s="2423"/>
    </row>
    <row r="55432" spans="6:6">
      <c r="F55432" s="2423"/>
    </row>
    <row r="55433" spans="6:6">
      <c r="F55433" s="2423"/>
    </row>
    <row r="55434" spans="6:6">
      <c r="F55434" s="2423"/>
    </row>
    <row r="55435" spans="6:6">
      <c r="F55435" s="2423"/>
    </row>
    <row r="55436" spans="6:6">
      <c r="F55436" s="2423"/>
    </row>
    <row r="55437" spans="6:6">
      <c r="F55437" s="2423"/>
    </row>
    <row r="55438" spans="6:6">
      <c r="F55438" s="2423"/>
    </row>
    <row r="55439" spans="6:6">
      <c r="F55439" s="2423"/>
    </row>
    <row r="55440" spans="6:6">
      <c r="F55440" s="2423"/>
    </row>
    <row r="55441" spans="6:6">
      <c r="F55441" s="2423"/>
    </row>
    <row r="55442" spans="6:6">
      <c r="F55442" s="2423"/>
    </row>
    <row r="55443" spans="6:6">
      <c r="F55443" s="2423"/>
    </row>
    <row r="55444" spans="6:6">
      <c r="F55444" s="2423"/>
    </row>
    <row r="55445" spans="6:6">
      <c r="F55445" s="2423"/>
    </row>
    <row r="55446" spans="6:6">
      <c r="F55446" s="2423"/>
    </row>
    <row r="55447" spans="6:6">
      <c r="F55447" s="2423"/>
    </row>
    <row r="55448" spans="6:6">
      <c r="F55448" s="2423"/>
    </row>
    <row r="55449" spans="6:6">
      <c r="F55449" s="2423"/>
    </row>
    <row r="55450" spans="6:6">
      <c r="F55450" s="2423"/>
    </row>
    <row r="55451" spans="6:6">
      <c r="F55451" s="2423"/>
    </row>
    <row r="55452" spans="6:6">
      <c r="F55452" s="2423"/>
    </row>
    <row r="55453" spans="6:6">
      <c r="F55453" s="2423"/>
    </row>
    <row r="55454" spans="6:6">
      <c r="F55454" s="2423"/>
    </row>
    <row r="55455" spans="6:6">
      <c r="F55455" s="2423"/>
    </row>
    <row r="55456" spans="6:6">
      <c r="F55456" s="2423"/>
    </row>
    <row r="55457" spans="6:6">
      <c r="F55457" s="2423"/>
    </row>
    <row r="55458" spans="6:6">
      <c r="F55458" s="2423"/>
    </row>
    <row r="55459" spans="6:6">
      <c r="F55459" s="2423"/>
    </row>
    <row r="55460" spans="6:6">
      <c r="F55460" s="2423"/>
    </row>
    <row r="55461" spans="6:6">
      <c r="F55461" s="2423"/>
    </row>
    <row r="55462" spans="6:6">
      <c r="F55462" s="2423"/>
    </row>
    <row r="55463" spans="6:6">
      <c r="F55463" s="2423"/>
    </row>
    <row r="55464" spans="6:6">
      <c r="F55464" s="2423"/>
    </row>
    <row r="55465" spans="6:6">
      <c r="F55465" s="2423"/>
    </row>
    <row r="55466" spans="6:6">
      <c r="F55466" s="2423"/>
    </row>
    <row r="55467" spans="6:6">
      <c r="F55467" s="2423"/>
    </row>
    <row r="55468" spans="6:6">
      <c r="F55468" s="2423"/>
    </row>
    <row r="55469" spans="6:6">
      <c r="F55469" s="2423"/>
    </row>
    <row r="55470" spans="6:6">
      <c r="F55470" s="2423"/>
    </row>
    <row r="55471" spans="6:6">
      <c r="F55471" s="2423"/>
    </row>
    <row r="55472" spans="6:6">
      <c r="F55472" s="2423"/>
    </row>
    <row r="55473" spans="6:6">
      <c r="F55473" s="2423"/>
    </row>
    <row r="55474" spans="6:6">
      <c r="F55474" s="2423"/>
    </row>
    <row r="55475" spans="6:6">
      <c r="F55475" s="2423"/>
    </row>
    <row r="55476" spans="6:6">
      <c r="F55476" s="2423"/>
    </row>
    <row r="55477" spans="6:6">
      <c r="F55477" s="2423"/>
    </row>
    <row r="55478" spans="6:6">
      <c r="F55478" s="2423"/>
    </row>
    <row r="55479" spans="6:6">
      <c r="F55479" s="2423"/>
    </row>
    <row r="55480" spans="6:6">
      <c r="F55480" s="2423"/>
    </row>
    <row r="55481" spans="6:6">
      <c r="F55481" s="2423"/>
    </row>
    <row r="55482" spans="6:6">
      <c r="F55482" s="2423"/>
    </row>
    <row r="55483" spans="6:6">
      <c r="F55483" s="2423"/>
    </row>
    <row r="55484" spans="6:6">
      <c r="F55484" s="2423"/>
    </row>
    <row r="55485" spans="6:6">
      <c r="F55485" s="2423"/>
    </row>
    <row r="55486" spans="6:6">
      <c r="F55486" s="2423"/>
    </row>
    <row r="55487" spans="6:6">
      <c r="F55487" s="2423"/>
    </row>
    <row r="55488" spans="6:6">
      <c r="F55488" s="2423"/>
    </row>
    <row r="55489" spans="6:6">
      <c r="F55489" s="2423"/>
    </row>
    <row r="55490" spans="6:6">
      <c r="F55490" s="2423"/>
    </row>
    <row r="55491" spans="6:6">
      <c r="F55491" s="2423"/>
    </row>
    <row r="55492" spans="6:6">
      <c r="F55492" s="2423"/>
    </row>
    <row r="55493" spans="6:6">
      <c r="F55493" s="2423"/>
    </row>
    <row r="55494" spans="6:6">
      <c r="F55494" s="2423"/>
    </row>
    <row r="55495" spans="6:6">
      <c r="F55495" s="2423"/>
    </row>
    <row r="55496" spans="6:6">
      <c r="F55496" s="2423"/>
    </row>
    <row r="55497" spans="6:6">
      <c r="F55497" s="2423"/>
    </row>
    <row r="55498" spans="6:6">
      <c r="F55498" s="2423"/>
    </row>
    <row r="55499" spans="6:6">
      <c r="F55499" s="2423"/>
    </row>
    <row r="55500" spans="6:6">
      <c r="F55500" s="2423"/>
    </row>
    <row r="55501" spans="6:6">
      <c r="F55501" s="2423"/>
    </row>
    <row r="55502" spans="6:6">
      <c r="F55502" s="2423"/>
    </row>
    <row r="55503" spans="6:6">
      <c r="F55503" s="2423"/>
    </row>
    <row r="55504" spans="6:6">
      <c r="F55504" s="2423"/>
    </row>
    <row r="55505" spans="6:6">
      <c r="F55505" s="2423"/>
    </row>
    <row r="55506" spans="6:6">
      <c r="F55506" s="2423"/>
    </row>
    <row r="55507" spans="6:6">
      <c r="F55507" s="2423"/>
    </row>
    <row r="55508" spans="6:6">
      <c r="F55508" s="2423"/>
    </row>
    <row r="55509" spans="6:6">
      <c r="F55509" s="2423"/>
    </row>
    <row r="55510" spans="6:6">
      <c r="F55510" s="2423"/>
    </row>
    <row r="55511" spans="6:6">
      <c r="F55511" s="2423"/>
    </row>
    <row r="55512" spans="6:6">
      <c r="F55512" s="2423"/>
    </row>
    <row r="55513" spans="6:6">
      <c r="F55513" s="2423"/>
    </row>
    <row r="55514" spans="6:6">
      <c r="F55514" s="2423"/>
    </row>
    <row r="55515" spans="6:6">
      <c r="F55515" s="2423"/>
    </row>
    <row r="55516" spans="6:6">
      <c r="F55516" s="2423"/>
    </row>
    <row r="55517" spans="6:6">
      <c r="F55517" s="2423"/>
    </row>
    <row r="55518" spans="6:6">
      <c r="F55518" s="2423"/>
    </row>
    <row r="55519" spans="6:6">
      <c r="F55519" s="2423"/>
    </row>
    <row r="55520" spans="6:6">
      <c r="F55520" s="2423"/>
    </row>
    <row r="55521" spans="6:6">
      <c r="F55521" s="2423"/>
    </row>
    <row r="55522" spans="6:6">
      <c r="F55522" s="2423"/>
    </row>
    <row r="55523" spans="6:6">
      <c r="F55523" s="2423"/>
    </row>
    <row r="55524" spans="6:6">
      <c r="F55524" s="2423"/>
    </row>
    <row r="55525" spans="6:6">
      <c r="F55525" s="2423"/>
    </row>
    <row r="55526" spans="6:6">
      <c r="F55526" s="2423"/>
    </row>
    <row r="55527" spans="6:6">
      <c r="F55527" s="2423"/>
    </row>
    <row r="55528" spans="6:6">
      <c r="F55528" s="2423"/>
    </row>
    <row r="55529" spans="6:6">
      <c r="F55529" s="2423"/>
    </row>
    <row r="55530" spans="6:6">
      <c r="F55530" s="2423"/>
    </row>
    <row r="55531" spans="6:6">
      <c r="F55531" s="2423"/>
    </row>
    <row r="55532" spans="6:6">
      <c r="F55532" s="2423"/>
    </row>
    <row r="55533" spans="6:6">
      <c r="F55533" s="2423"/>
    </row>
    <row r="55534" spans="6:6">
      <c r="F55534" s="2423"/>
    </row>
    <row r="55535" spans="6:6">
      <c r="F55535" s="2423"/>
    </row>
    <row r="55536" spans="6:6">
      <c r="F55536" s="2423"/>
    </row>
    <row r="55537" spans="6:6">
      <c r="F55537" s="2423"/>
    </row>
    <row r="55538" spans="6:6">
      <c r="F55538" s="2423"/>
    </row>
    <row r="55539" spans="6:6">
      <c r="F55539" s="2423"/>
    </row>
    <row r="55540" spans="6:6">
      <c r="F55540" s="2423"/>
    </row>
    <row r="55541" spans="6:6">
      <c r="F55541" s="2423"/>
    </row>
    <row r="55542" spans="6:6">
      <c r="F55542" s="2423"/>
    </row>
    <row r="55543" spans="6:6">
      <c r="F55543" s="2423"/>
    </row>
    <row r="55544" spans="6:6">
      <c r="F55544" s="2423"/>
    </row>
    <row r="55545" spans="6:6">
      <c r="F55545" s="2423"/>
    </row>
    <row r="55546" spans="6:6">
      <c r="F55546" s="2423"/>
    </row>
    <row r="55547" spans="6:6">
      <c r="F55547" s="2423"/>
    </row>
    <row r="55548" spans="6:6">
      <c r="F55548" s="2423"/>
    </row>
    <row r="55549" spans="6:6">
      <c r="F55549" s="2423"/>
    </row>
    <row r="55550" spans="6:6">
      <c r="F55550" s="2423"/>
    </row>
    <row r="55551" spans="6:6">
      <c r="F55551" s="2423"/>
    </row>
    <row r="55552" spans="6:6">
      <c r="F55552" s="2423"/>
    </row>
    <row r="55553" spans="6:6">
      <c r="F55553" s="2423"/>
    </row>
    <row r="55554" spans="6:6">
      <c r="F55554" s="2423"/>
    </row>
    <row r="55555" spans="6:6">
      <c r="F55555" s="2423"/>
    </row>
    <row r="55556" spans="6:6">
      <c r="F55556" s="2423"/>
    </row>
    <row r="55557" spans="6:6">
      <c r="F55557" s="2423"/>
    </row>
    <row r="55558" spans="6:6">
      <c r="F55558" s="2423"/>
    </row>
    <row r="55559" spans="6:6">
      <c r="F55559" s="2423"/>
    </row>
    <row r="55560" spans="6:6">
      <c r="F55560" s="2423"/>
    </row>
    <row r="55561" spans="6:6">
      <c r="F55561" s="2423"/>
    </row>
    <row r="55562" spans="6:6">
      <c r="F55562" s="2423"/>
    </row>
    <row r="55563" spans="6:6">
      <c r="F55563" s="2423"/>
    </row>
    <row r="55564" spans="6:6">
      <c r="F55564" s="2423"/>
    </row>
    <row r="55565" spans="6:6">
      <c r="F55565" s="2423"/>
    </row>
    <row r="55566" spans="6:6">
      <c r="F55566" s="2423"/>
    </row>
    <row r="55567" spans="6:6">
      <c r="F55567" s="2423"/>
    </row>
    <row r="55568" spans="6:6">
      <c r="F55568" s="2423"/>
    </row>
    <row r="55569" spans="6:6">
      <c r="F55569" s="2423"/>
    </row>
    <row r="55570" spans="6:6">
      <c r="F55570" s="2423"/>
    </row>
    <row r="55571" spans="6:6">
      <c r="F55571" s="2423"/>
    </row>
    <row r="55572" spans="6:6">
      <c r="F55572" s="2423"/>
    </row>
    <row r="55573" spans="6:6">
      <c r="F55573" s="2423"/>
    </row>
    <row r="55574" spans="6:6">
      <c r="F55574" s="2423"/>
    </row>
    <row r="55575" spans="6:6">
      <c r="F55575" s="2423"/>
    </row>
    <row r="55576" spans="6:6">
      <c r="F55576" s="2423"/>
    </row>
    <row r="55577" spans="6:6">
      <c r="F55577" s="2423"/>
    </row>
    <row r="55578" spans="6:6">
      <c r="F55578" s="2423"/>
    </row>
    <row r="55579" spans="6:6">
      <c r="F55579" s="2423"/>
    </row>
    <row r="55580" spans="6:6">
      <c r="F55580" s="2423"/>
    </row>
    <row r="55581" spans="6:6">
      <c r="F55581" s="2423"/>
    </row>
    <row r="55582" spans="6:6">
      <c r="F55582" s="2423"/>
    </row>
    <row r="55583" spans="6:6">
      <c r="F55583" s="2423"/>
    </row>
    <row r="55584" spans="6:6">
      <c r="F55584" s="2423"/>
    </row>
    <row r="55585" spans="6:6">
      <c r="F55585" s="2423"/>
    </row>
    <row r="55586" spans="6:6">
      <c r="F55586" s="2423"/>
    </row>
    <row r="55587" spans="6:6">
      <c r="F55587" s="2423"/>
    </row>
    <row r="55588" spans="6:6">
      <c r="F55588" s="2423"/>
    </row>
    <row r="55589" spans="6:6">
      <c r="F55589" s="2423"/>
    </row>
    <row r="55590" spans="6:6">
      <c r="F55590" s="2423"/>
    </row>
    <row r="55591" spans="6:6">
      <c r="F55591" s="2423"/>
    </row>
    <row r="55592" spans="6:6">
      <c r="F55592" s="2423"/>
    </row>
    <row r="55593" spans="6:6">
      <c r="F55593" s="2423"/>
    </row>
    <row r="55594" spans="6:6">
      <c r="F55594" s="2423"/>
    </row>
    <row r="55595" spans="6:6">
      <c r="F55595" s="2423"/>
    </row>
    <row r="55596" spans="6:6">
      <c r="F55596" s="2423"/>
    </row>
    <row r="55597" spans="6:6">
      <c r="F55597" s="2423"/>
    </row>
    <row r="55598" spans="6:6">
      <c r="F55598" s="2423"/>
    </row>
    <row r="55599" spans="6:6">
      <c r="F55599" s="2423"/>
    </row>
    <row r="55600" spans="6:6">
      <c r="F55600" s="2423"/>
    </row>
    <row r="55601" spans="6:6">
      <c r="F55601" s="2423"/>
    </row>
    <row r="55602" spans="6:6">
      <c r="F55602" s="2423"/>
    </row>
    <row r="55603" spans="6:6">
      <c r="F55603" s="2423"/>
    </row>
    <row r="55604" spans="6:6">
      <c r="F55604" s="2423"/>
    </row>
    <row r="55605" spans="6:6">
      <c r="F55605" s="2423"/>
    </row>
    <row r="55606" spans="6:6">
      <c r="F55606" s="2423"/>
    </row>
    <row r="55607" spans="6:6">
      <c r="F55607" s="2423"/>
    </row>
    <row r="55608" spans="6:6">
      <c r="F55608" s="2423"/>
    </row>
    <row r="55609" spans="6:6">
      <c r="F55609" s="2423"/>
    </row>
    <row r="55610" spans="6:6">
      <c r="F55610" s="2423"/>
    </row>
    <row r="55611" spans="6:6">
      <c r="F55611" s="2423"/>
    </row>
    <row r="55612" spans="6:6">
      <c r="F55612" s="2423"/>
    </row>
    <row r="55613" spans="6:6">
      <c r="F55613" s="2423"/>
    </row>
    <row r="55614" spans="6:6">
      <c r="F55614" s="2423"/>
    </row>
    <row r="55615" spans="6:6">
      <c r="F55615" s="2423"/>
    </row>
    <row r="55616" spans="6:6">
      <c r="F55616" s="2423"/>
    </row>
    <row r="55617" spans="6:6">
      <c r="F55617" s="2423"/>
    </row>
    <row r="55618" spans="6:6">
      <c r="F55618" s="2423"/>
    </row>
    <row r="55619" spans="6:6">
      <c r="F55619" s="2423"/>
    </row>
    <row r="55620" spans="6:6">
      <c r="F55620" s="2423"/>
    </row>
    <row r="55621" spans="6:6">
      <c r="F55621" s="2423"/>
    </row>
    <row r="55622" spans="6:6">
      <c r="F55622" s="2423"/>
    </row>
    <row r="55623" spans="6:6">
      <c r="F55623" s="2423"/>
    </row>
    <row r="55624" spans="6:6">
      <c r="F55624" s="2423"/>
    </row>
    <row r="55625" spans="6:6">
      <c r="F55625" s="2423"/>
    </row>
    <row r="55626" spans="6:6">
      <c r="F55626" s="2423"/>
    </row>
    <row r="55627" spans="6:6">
      <c r="F55627" s="2423"/>
    </row>
    <row r="55628" spans="6:6">
      <c r="F55628" s="2423"/>
    </row>
    <row r="55629" spans="6:6">
      <c r="F55629" s="2423"/>
    </row>
    <row r="55630" spans="6:6">
      <c r="F55630" s="2423"/>
    </row>
    <row r="55631" spans="6:6">
      <c r="F55631" s="2423"/>
    </row>
    <row r="55632" spans="6:6">
      <c r="F55632" s="2423"/>
    </row>
    <row r="55633" spans="6:6">
      <c r="F55633" s="2423"/>
    </row>
    <row r="55634" spans="6:6">
      <c r="F55634" s="2423"/>
    </row>
    <row r="55635" spans="6:6">
      <c r="F55635" s="2423"/>
    </row>
    <row r="55636" spans="6:6">
      <c r="F55636" s="2423"/>
    </row>
    <row r="55637" spans="6:6">
      <c r="F55637" s="2423"/>
    </row>
    <row r="55638" spans="6:6">
      <c r="F55638" s="2423"/>
    </row>
    <row r="55639" spans="6:6">
      <c r="F55639" s="2423"/>
    </row>
    <row r="55640" spans="6:6">
      <c r="F55640" s="2423"/>
    </row>
    <row r="55641" spans="6:6">
      <c r="F55641" s="2423"/>
    </row>
    <row r="55642" spans="6:6">
      <c r="F55642" s="2423"/>
    </row>
    <row r="55643" spans="6:6">
      <c r="F55643" s="2423"/>
    </row>
    <row r="55644" spans="6:6">
      <c r="F55644" s="2423"/>
    </row>
    <row r="55645" spans="6:6">
      <c r="F55645" s="2423"/>
    </row>
    <row r="55646" spans="6:6">
      <c r="F55646" s="2423"/>
    </row>
    <row r="55647" spans="6:6">
      <c r="F55647" s="2423"/>
    </row>
    <row r="55648" spans="6:6">
      <c r="F55648" s="2423"/>
    </row>
    <row r="55649" spans="6:6">
      <c r="F55649" s="2423"/>
    </row>
    <row r="55650" spans="6:6">
      <c r="F55650" s="2423"/>
    </row>
    <row r="55651" spans="6:6">
      <c r="F55651" s="2423"/>
    </row>
    <row r="55652" spans="6:6">
      <c r="F55652" s="2423"/>
    </row>
    <row r="55653" spans="6:6">
      <c r="F55653" s="2423"/>
    </row>
    <row r="55654" spans="6:6">
      <c r="F55654" s="2423"/>
    </row>
    <row r="55655" spans="6:6">
      <c r="F55655" s="2423"/>
    </row>
    <row r="55656" spans="6:6">
      <c r="F55656" s="2423"/>
    </row>
    <row r="55657" spans="6:6">
      <c r="F55657" s="2423"/>
    </row>
    <row r="55658" spans="6:6">
      <c r="F55658" s="2423"/>
    </row>
    <row r="55659" spans="6:6">
      <c r="F55659" s="2423"/>
    </row>
    <row r="55660" spans="6:6">
      <c r="F55660" s="2423"/>
    </row>
    <row r="55661" spans="6:6">
      <c r="F55661" s="2423"/>
    </row>
    <row r="55662" spans="6:6">
      <c r="F55662" s="2423"/>
    </row>
    <row r="55663" spans="6:6">
      <c r="F55663" s="2423"/>
    </row>
    <row r="55664" spans="6:6">
      <c r="F55664" s="2423"/>
    </row>
    <row r="55665" spans="6:6">
      <c r="F55665" s="2423"/>
    </row>
    <row r="55666" spans="6:6">
      <c r="F55666" s="2423"/>
    </row>
    <row r="55667" spans="6:6">
      <c r="F55667" s="2423"/>
    </row>
    <row r="55668" spans="6:6">
      <c r="F55668" s="2423"/>
    </row>
    <row r="55669" spans="6:6">
      <c r="F55669" s="2423"/>
    </row>
    <row r="55670" spans="6:6">
      <c r="F55670" s="2423"/>
    </row>
    <row r="55671" spans="6:6">
      <c r="F55671" s="2423"/>
    </row>
    <row r="55672" spans="6:6">
      <c r="F55672" s="2423"/>
    </row>
    <row r="55673" spans="6:6">
      <c r="F55673" s="2423"/>
    </row>
    <row r="55674" spans="6:6">
      <c r="F55674" s="2423"/>
    </row>
    <row r="55675" spans="6:6">
      <c r="F55675" s="2423"/>
    </row>
    <row r="55676" spans="6:6">
      <c r="F55676" s="2423"/>
    </row>
    <row r="55677" spans="6:6">
      <c r="F55677" s="2423"/>
    </row>
    <row r="55678" spans="6:6">
      <c r="F55678" s="2423"/>
    </row>
    <row r="55679" spans="6:6">
      <c r="F55679" s="2423"/>
    </row>
    <row r="55680" spans="6:6">
      <c r="F55680" s="2423"/>
    </row>
    <row r="55681" spans="6:6">
      <c r="F55681" s="2423"/>
    </row>
    <row r="55682" spans="6:6">
      <c r="F55682" s="2423"/>
    </row>
    <row r="55683" spans="6:6">
      <c r="F55683" s="2423"/>
    </row>
    <row r="55684" spans="6:6">
      <c r="F55684" s="2423"/>
    </row>
    <row r="55685" spans="6:6">
      <c r="F55685" s="2423"/>
    </row>
    <row r="55686" spans="6:6">
      <c r="F55686" s="2423"/>
    </row>
    <row r="55687" spans="6:6">
      <c r="F55687" s="2423"/>
    </row>
    <row r="55688" spans="6:6">
      <c r="F55688" s="2423"/>
    </row>
    <row r="55689" spans="6:6">
      <c r="F55689" s="2423"/>
    </row>
    <row r="55690" spans="6:6">
      <c r="F55690" s="2423"/>
    </row>
    <row r="55691" spans="6:6">
      <c r="F55691" s="2423"/>
    </row>
    <row r="55692" spans="6:6">
      <c r="F55692" s="2423"/>
    </row>
    <row r="55693" spans="6:6">
      <c r="F55693" s="2423"/>
    </row>
    <row r="55694" spans="6:6">
      <c r="F55694" s="2423"/>
    </row>
    <row r="55695" spans="6:6">
      <c r="F55695" s="2423"/>
    </row>
    <row r="55696" spans="6:6">
      <c r="F55696" s="2423"/>
    </row>
    <row r="55697" spans="6:6">
      <c r="F55697" s="2423"/>
    </row>
    <row r="55698" spans="6:6">
      <c r="F55698" s="2423"/>
    </row>
    <row r="55699" spans="6:6">
      <c r="F55699" s="2423"/>
    </row>
    <row r="55700" spans="6:6">
      <c r="F55700" s="2423"/>
    </row>
    <row r="55701" spans="6:6">
      <c r="F55701" s="2423"/>
    </row>
    <row r="55702" spans="6:6">
      <c r="F55702" s="2423"/>
    </row>
    <row r="55703" spans="6:6">
      <c r="F55703" s="2423"/>
    </row>
    <row r="55704" spans="6:6">
      <c r="F55704" s="2423"/>
    </row>
    <row r="55705" spans="6:6">
      <c r="F55705" s="2423"/>
    </row>
    <row r="55706" spans="6:6">
      <c r="F55706" s="2423"/>
    </row>
    <row r="55707" spans="6:6">
      <c r="F55707" s="2423"/>
    </row>
    <row r="55708" spans="6:6">
      <c r="F55708" s="2423"/>
    </row>
    <row r="55709" spans="6:6">
      <c r="F55709" s="2423"/>
    </row>
    <row r="55710" spans="6:6">
      <c r="F55710" s="2423"/>
    </row>
    <row r="55711" spans="6:6">
      <c r="F55711" s="2423"/>
    </row>
    <row r="55712" spans="6:6">
      <c r="F55712" s="2423"/>
    </row>
    <row r="55713" spans="6:6">
      <c r="F55713" s="2423"/>
    </row>
    <row r="55714" spans="6:6">
      <c r="F55714" s="2423"/>
    </row>
    <row r="55715" spans="6:6">
      <c r="F55715" s="2423"/>
    </row>
    <row r="55716" spans="6:6">
      <c r="F55716" s="2423"/>
    </row>
    <row r="55717" spans="6:6">
      <c r="F55717" s="2423"/>
    </row>
    <row r="55718" spans="6:6">
      <c r="F55718" s="2423"/>
    </row>
    <row r="55719" spans="6:6">
      <c r="F55719" s="2423"/>
    </row>
    <row r="55720" spans="6:6">
      <c r="F55720" s="2423"/>
    </row>
    <row r="55721" spans="6:6">
      <c r="F55721" s="2423"/>
    </row>
    <row r="55722" spans="6:6">
      <c r="F55722" s="2423"/>
    </row>
    <row r="55723" spans="6:6">
      <c r="F55723" s="2423"/>
    </row>
    <row r="55724" spans="6:6">
      <c r="F55724" s="2423"/>
    </row>
    <row r="55725" spans="6:6">
      <c r="F55725" s="2423"/>
    </row>
    <row r="55726" spans="6:6">
      <c r="F55726" s="2423"/>
    </row>
    <row r="55727" spans="6:6">
      <c r="F55727" s="2423"/>
    </row>
    <row r="55728" spans="6:6">
      <c r="F55728" s="2423"/>
    </row>
    <row r="55729" spans="6:6">
      <c r="F55729" s="2423"/>
    </row>
    <row r="55730" spans="6:6">
      <c r="F55730" s="2423"/>
    </row>
    <row r="55731" spans="6:6">
      <c r="F55731" s="2423"/>
    </row>
    <row r="55732" spans="6:6">
      <c r="F55732" s="2423"/>
    </row>
    <row r="55733" spans="6:6">
      <c r="F55733" s="2423"/>
    </row>
    <row r="55734" spans="6:6">
      <c r="F55734" s="2423"/>
    </row>
    <row r="55735" spans="6:6">
      <c r="F55735" s="2423"/>
    </row>
    <row r="55736" spans="6:6">
      <c r="F55736" s="2423"/>
    </row>
    <row r="55737" spans="6:6">
      <c r="F55737" s="2423"/>
    </row>
    <row r="55738" spans="6:6">
      <c r="F55738" s="2423"/>
    </row>
    <row r="55739" spans="6:6">
      <c r="F55739" s="2423"/>
    </row>
    <row r="55740" spans="6:6">
      <c r="F55740" s="2423"/>
    </row>
    <row r="55741" spans="6:6">
      <c r="F55741" s="2423"/>
    </row>
    <row r="55742" spans="6:6">
      <c r="F55742" s="2423"/>
    </row>
    <row r="55743" spans="6:6">
      <c r="F55743" s="2423"/>
    </row>
    <row r="55744" spans="6:6">
      <c r="F55744" s="2423"/>
    </row>
    <row r="55745" spans="6:6">
      <c r="F55745" s="2423"/>
    </row>
    <row r="55746" spans="6:6">
      <c r="F55746" s="2423"/>
    </row>
    <row r="55747" spans="6:6">
      <c r="F55747" s="2423"/>
    </row>
    <row r="55748" spans="6:6">
      <c r="F55748" s="2423"/>
    </row>
    <row r="55749" spans="6:6">
      <c r="F55749" s="2423"/>
    </row>
    <row r="55750" spans="6:6">
      <c r="F55750" s="2423"/>
    </row>
    <row r="55751" spans="6:6">
      <c r="F55751" s="2423"/>
    </row>
    <row r="55752" spans="6:6">
      <c r="F55752" s="2423"/>
    </row>
    <row r="55753" spans="6:6">
      <c r="F55753" s="2423"/>
    </row>
    <row r="55754" spans="6:6">
      <c r="F55754" s="2423"/>
    </row>
    <row r="55755" spans="6:6">
      <c r="F55755" s="2423"/>
    </row>
    <row r="55756" spans="6:6">
      <c r="F55756" s="2423"/>
    </row>
    <row r="55757" spans="6:6">
      <c r="F55757" s="2423"/>
    </row>
    <row r="55758" spans="6:6">
      <c r="F55758" s="2423"/>
    </row>
    <row r="55759" spans="6:6">
      <c r="F55759" s="2423"/>
    </row>
    <row r="55760" spans="6:6">
      <c r="F55760" s="2423"/>
    </row>
    <row r="55761" spans="6:6">
      <c r="F55761" s="2423"/>
    </row>
    <row r="55762" spans="6:6">
      <c r="F55762" s="2423"/>
    </row>
    <row r="55763" spans="6:6">
      <c r="F55763" s="2423"/>
    </row>
    <row r="55764" spans="6:6">
      <c r="F55764" s="2423"/>
    </row>
    <row r="55765" spans="6:6">
      <c r="F55765" s="2423"/>
    </row>
    <row r="55766" spans="6:6">
      <c r="F55766" s="2423"/>
    </row>
    <row r="55767" spans="6:6">
      <c r="F55767" s="2423"/>
    </row>
    <row r="55768" spans="6:6">
      <c r="F55768" s="2423"/>
    </row>
    <row r="55769" spans="6:6">
      <c r="F55769" s="2423"/>
    </row>
    <row r="55770" spans="6:6">
      <c r="F55770" s="2423"/>
    </row>
    <row r="55771" spans="6:6">
      <c r="F55771" s="2423"/>
    </row>
    <row r="55772" spans="6:6">
      <c r="F55772" s="2423"/>
    </row>
    <row r="55773" spans="6:6">
      <c r="F55773" s="2423"/>
    </row>
    <row r="55774" spans="6:6">
      <c r="F55774" s="2423"/>
    </row>
    <row r="55775" spans="6:6">
      <c r="F55775" s="2423"/>
    </row>
    <row r="55776" spans="6:6">
      <c r="F55776" s="2423"/>
    </row>
    <row r="55777" spans="6:6">
      <c r="F55777" s="2423"/>
    </row>
    <row r="55778" spans="6:6">
      <c r="F55778" s="2423"/>
    </row>
    <row r="55779" spans="6:6">
      <c r="F55779" s="2423"/>
    </row>
    <row r="55780" spans="6:6">
      <c r="F55780" s="2423"/>
    </row>
    <row r="55781" spans="6:6">
      <c r="F55781" s="2423"/>
    </row>
    <row r="55782" spans="6:6">
      <c r="F55782" s="2423"/>
    </row>
    <row r="55783" spans="6:6">
      <c r="F55783" s="2423"/>
    </row>
    <row r="55784" spans="6:6">
      <c r="F55784" s="2423"/>
    </row>
    <row r="55785" spans="6:6">
      <c r="F55785" s="2423"/>
    </row>
    <row r="55786" spans="6:6">
      <c r="F55786" s="2423"/>
    </row>
    <row r="55787" spans="6:6">
      <c r="F55787" s="2423"/>
    </row>
    <row r="55788" spans="6:6">
      <c r="F55788" s="2423"/>
    </row>
    <row r="55789" spans="6:6">
      <c r="F55789" s="2423"/>
    </row>
    <row r="55790" spans="6:6">
      <c r="F55790" s="2423"/>
    </row>
    <row r="55791" spans="6:6">
      <c r="F55791" s="2423"/>
    </row>
    <row r="55792" spans="6:6">
      <c r="F55792" s="2423"/>
    </row>
    <row r="55793" spans="6:6">
      <c r="F55793" s="2423"/>
    </row>
    <row r="55794" spans="6:6">
      <c r="F55794" s="2423"/>
    </row>
    <row r="55795" spans="6:6">
      <c r="F55795" s="2423"/>
    </row>
    <row r="55796" spans="6:6">
      <c r="F55796" s="2423"/>
    </row>
    <row r="55797" spans="6:6">
      <c r="F55797" s="2423"/>
    </row>
    <row r="55798" spans="6:6">
      <c r="F55798" s="2423"/>
    </row>
    <row r="55799" spans="6:6">
      <c r="F55799" s="2423"/>
    </row>
    <row r="55800" spans="6:6">
      <c r="F55800" s="2423"/>
    </row>
    <row r="55801" spans="6:6">
      <c r="F55801" s="2423"/>
    </row>
    <row r="55802" spans="6:6">
      <c r="F55802" s="2423"/>
    </row>
    <row r="55803" spans="6:6">
      <c r="F55803" s="2423"/>
    </row>
    <row r="55804" spans="6:6">
      <c r="F55804" s="2423"/>
    </row>
    <row r="55805" spans="6:6">
      <c r="F55805" s="2423"/>
    </row>
    <row r="55806" spans="6:6">
      <c r="F55806" s="2423"/>
    </row>
    <row r="55807" spans="6:6">
      <c r="F55807" s="2423"/>
    </row>
    <row r="55808" spans="6:6">
      <c r="F55808" s="2423"/>
    </row>
    <row r="55809" spans="6:6">
      <c r="F55809" s="2423"/>
    </row>
    <row r="55810" spans="6:6">
      <c r="F55810" s="2423"/>
    </row>
    <row r="55811" spans="6:6">
      <c r="F55811" s="2423"/>
    </row>
    <row r="55812" spans="6:6">
      <c r="F55812" s="2423"/>
    </row>
    <row r="55813" spans="6:6">
      <c r="F55813" s="2423"/>
    </row>
    <row r="55814" spans="6:6">
      <c r="F55814" s="2423"/>
    </row>
    <row r="55815" spans="6:6">
      <c r="F55815" s="2423"/>
    </row>
    <row r="55816" spans="6:6">
      <c r="F55816" s="2423"/>
    </row>
    <row r="55817" spans="6:6">
      <c r="F55817" s="2423"/>
    </row>
    <row r="55818" spans="6:6">
      <c r="F55818" s="2423"/>
    </row>
    <row r="55819" spans="6:6">
      <c r="F55819" s="2423"/>
    </row>
    <row r="55820" spans="6:6">
      <c r="F55820" s="2423"/>
    </row>
    <row r="55821" spans="6:6">
      <c r="F55821" s="2423"/>
    </row>
    <row r="55822" spans="6:6">
      <c r="F55822" s="2423"/>
    </row>
    <row r="55823" spans="6:6">
      <c r="F55823" s="2423"/>
    </row>
    <row r="55824" spans="6:6">
      <c r="F55824" s="2423"/>
    </row>
    <row r="55825" spans="6:6">
      <c r="F55825" s="2423"/>
    </row>
    <row r="55826" spans="6:6">
      <c r="F55826" s="2423"/>
    </row>
    <row r="55827" spans="6:6">
      <c r="F55827" s="2423"/>
    </row>
    <row r="55828" spans="6:6">
      <c r="F55828" s="2423"/>
    </row>
    <row r="55829" spans="6:6">
      <c r="F55829" s="2423"/>
    </row>
    <row r="55830" spans="6:6">
      <c r="F55830" s="2423"/>
    </row>
    <row r="55831" spans="6:6">
      <c r="F55831" s="2423"/>
    </row>
    <row r="55832" spans="6:6">
      <c r="F55832" s="2423"/>
    </row>
    <row r="55833" spans="6:6">
      <c r="F55833" s="2423"/>
    </row>
    <row r="55834" spans="6:6">
      <c r="F55834" s="2423"/>
    </row>
    <row r="55835" spans="6:6">
      <c r="F55835" s="2423"/>
    </row>
    <row r="55836" spans="6:6">
      <c r="F55836" s="2423"/>
    </row>
    <row r="55837" spans="6:6">
      <c r="F55837" s="2423"/>
    </row>
    <row r="55838" spans="6:6">
      <c r="F55838" s="2423"/>
    </row>
    <row r="55839" spans="6:6">
      <c r="F55839" s="2423"/>
    </row>
    <row r="55840" spans="6:6">
      <c r="F55840" s="2423"/>
    </row>
    <row r="55841" spans="6:6">
      <c r="F55841" s="2423"/>
    </row>
    <row r="55842" spans="6:6">
      <c r="F55842" s="2423"/>
    </row>
    <row r="55843" spans="6:6">
      <c r="F55843" s="2423"/>
    </row>
    <row r="55844" spans="6:6">
      <c r="F55844" s="2423"/>
    </row>
    <row r="55845" spans="6:6">
      <c r="F55845" s="2423"/>
    </row>
    <row r="55846" spans="6:6">
      <c r="F55846" s="2423"/>
    </row>
    <row r="55847" spans="6:6">
      <c r="F55847" s="2423"/>
    </row>
    <row r="55848" spans="6:6">
      <c r="F55848" s="2423"/>
    </row>
    <row r="55849" spans="6:6">
      <c r="F55849" s="2423"/>
    </row>
    <row r="55850" spans="6:6">
      <c r="F55850" s="2423"/>
    </row>
    <row r="55851" spans="6:6">
      <c r="F55851" s="2423"/>
    </row>
    <row r="55852" spans="6:6">
      <c r="F55852" s="2423"/>
    </row>
    <row r="55853" spans="6:6">
      <c r="F55853" s="2423"/>
    </row>
    <row r="55854" spans="6:6">
      <c r="F55854" s="2423"/>
    </row>
    <row r="55855" spans="6:6">
      <c r="F55855" s="2423"/>
    </row>
    <row r="55856" spans="6:6">
      <c r="F55856" s="2423"/>
    </row>
    <row r="55857" spans="6:6">
      <c r="F55857" s="2423"/>
    </row>
    <row r="55858" spans="6:6">
      <c r="F55858" s="2423"/>
    </row>
    <row r="55859" spans="6:6">
      <c r="F55859" s="2423"/>
    </row>
    <row r="55860" spans="6:6">
      <c r="F55860" s="2423"/>
    </row>
    <row r="55861" spans="6:6">
      <c r="F55861" s="2423"/>
    </row>
    <row r="55862" spans="6:6">
      <c r="F55862" s="2423"/>
    </row>
    <row r="55863" spans="6:6">
      <c r="F55863" s="2423"/>
    </row>
    <row r="55864" spans="6:6">
      <c r="F55864" s="2423"/>
    </row>
    <row r="55865" spans="6:6">
      <c r="F55865" s="2423"/>
    </row>
    <row r="55866" spans="6:6">
      <c r="F55866" s="2423"/>
    </row>
    <row r="55867" spans="6:6">
      <c r="F55867" s="2423"/>
    </row>
    <row r="55868" spans="6:6">
      <c r="F55868" s="2423"/>
    </row>
    <row r="55869" spans="6:6">
      <c r="F55869" s="2423"/>
    </row>
    <row r="55870" spans="6:6">
      <c r="F55870" s="2423"/>
    </row>
    <row r="55871" spans="6:6">
      <c r="F55871" s="2423"/>
    </row>
    <row r="55872" spans="6:6">
      <c r="F55872" s="2423"/>
    </row>
    <row r="55873" spans="6:6">
      <c r="F55873" s="2423"/>
    </row>
    <row r="55874" spans="6:6">
      <c r="F55874" s="2423"/>
    </row>
    <row r="55875" spans="6:6">
      <c r="F55875" s="2423"/>
    </row>
    <row r="55876" spans="6:6">
      <c r="F55876" s="2423"/>
    </row>
    <row r="55877" spans="6:6">
      <c r="F55877" s="2423"/>
    </row>
    <row r="55878" spans="6:6">
      <c r="F55878" s="2423"/>
    </row>
    <row r="55879" spans="6:6">
      <c r="F55879" s="2423"/>
    </row>
    <row r="55880" spans="6:6">
      <c r="F55880" s="2423"/>
    </row>
    <row r="55881" spans="6:6">
      <c r="F55881" s="2423"/>
    </row>
    <row r="55882" spans="6:6">
      <c r="F55882" s="2423"/>
    </row>
    <row r="55883" spans="6:6">
      <c r="F55883" s="2423"/>
    </row>
    <row r="55884" spans="6:6">
      <c r="F55884" s="2423"/>
    </row>
    <row r="55885" spans="6:6">
      <c r="F55885" s="2423"/>
    </row>
    <row r="55886" spans="6:6">
      <c r="F55886" s="2423"/>
    </row>
    <row r="55887" spans="6:6">
      <c r="F55887" s="2423"/>
    </row>
    <row r="55888" spans="6:6">
      <c r="F55888" s="2423"/>
    </row>
    <row r="55889" spans="6:6">
      <c r="F55889" s="2423"/>
    </row>
    <row r="55890" spans="6:6">
      <c r="F55890" s="2423"/>
    </row>
    <row r="55891" spans="6:6">
      <c r="F55891" s="2423"/>
    </row>
    <row r="55892" spans="6:6">
      <c r="F55892" s="2423"/>
    </row>
    <row r="55893" spans="6:6">
      <c r="F55893" s="2423"/>
    </row>
    <row r="55894" spans="6:6">
      <c r="F55894" s="2423"/>
    </row>
    <row r="55895" spans="6:6">
      <c r="F55895" s="2423"/>
    </row>
    <row r="55896" spans="6:6">
      <c r="F55896" s="2423"/>
    </row>
    <row r="55897" spans="6:6">
      <c r="F55897" s="2423"/>
    </row>
    <row r="55898" spans="6:6">
      <c r="F55898" s="2423"/>
    </row>
    <row r="55899" spans="6:6">
      <c r="F55899" s="2423"/>
    </row>
    <row r="55900" spans="6:6">
      <c r="F55900" s="2423"/>
    </row>
    <row r="55901" spans="6:6">
      <c r="F55901" s="2423"/>
    </row>
    <row r="55902" spans="6:6">
      <c r="F55902" s="2423"/>
    </row>
    <row r="55903" spans="6:6">
      <c r="F55903" s="2423"/>
    </row>
    <row r="55904" spans="6:6">
      <c r="F55904" s="2423"/>
    </row>
    <row r="55905" spans="6:6">
      <c r="F55905" s="2423"/>
    </row>
    <row r="55906" spans="6:6">
      <c r="F55906" s="2423"/>
    </row>
    <row r="55907" spans="6:6">
      <c r="F55907" s="2423"/>
    </row>
    <row r="55908" spans="6:6">
      <c r="F55908" s="2423"/>
    </row>
    <row r="55909" spans="6:6">
      <c r="F55909" s="2423"/>
    </row>
    <row r="55910" spans="6:6">
      <c r="F55910" s="2423"/>
    </row>
    <row r="55911" spans="6:6">
      <c r="F55911" s="2423"/>
    </row>
    <row r="55912" spans="6:6">
      <c r="F55912" s="2423"/>
    </row>
    <row r="55913" spans="6:6">
      <c r="F55913" s="2423"/>
    </row>
    <row r="55914" spans="6:6">
      <c r="F55914" s="2423"/>
    </row>
    <row r="55915" spans="6:6">
      <c r="F55915" s="2423"/>
    </row>
    <row r="55916" spans="6:6">
      <c r="F55916" s="2423"/>
    </row>
    <row r="55917" spans="6:6">
      <c r="F55917" s="2423"/>
    </row>
    <row r="55918" spans="6:6">
      <c r="F55918" s="2423"/>
    </row>
    <row r="55919" spans="6:6">
      <c r="F55919" s="2423"/>
    </row>
    <row r="55920" spans="6:6">
      <c r="F55920" s="2423"/>
    </row>
    <row r="55921" spans="6:6">
      <c r="F55921" s="2423"/>
    </row>
    <row r="55922" spans="6:6">
      <c r="F55922" s="2423"/>
    </row>
    <row r="55923" spans="6:6">
      <c r="F55923" s="2423"/>
    </row>
    <row r="55924" spans="6:6">
      <c r="F55924" s="2423"/>
    </row>
    <row r="55925" spans="6:6">
      <c r="F55925" s="2423"/>
    </row>
    <row r="55926" spans="6:6">
      <c r="F55926" s="2423"/>
    </row>
    <row r="55927" spans="6:6">
      <c r="F55927" s="2423"/>
    </row>
    <row r="55928" spans="6:6">
      <c r="F55928" s="2423"/>
    </row>
    <row r="55929" spans="6:6">
      <c r="F55929" s="2423"/>
    </row>
    <row r="55930" spans="6:6">
      <c r="F55930" s="2423"/>
    </row>
    <row r="55931" spans="6:6">
      <c r="F55931" s="2423"/>
    </row>
    <row r="55932" spans="6:6">
      <c r="F55932" s="2423"/>
    </row>
    <row r="55933" spans="6:6">
      <c r="F55933" s="2423"/>
    </row>
    <row r="55934" spans="6:6">
      <c r="F55934" s="2423"/>
    </row>
    <row r="55935" spans="6:6">
      <c r="F55935" s="2423"/>
    </row>
    <row r="55936" spans="6:6">
      <c r="F55936" s="2423"/>
    </row>
    <row r="55937" spans="6:6">
      <c r="F55937" s="2423"/>
    </row>
    <row r="55938" spans="6:6">
      <c r="F55938" s="2423"/>
    </row>
    <row r="55939" spans="6:6">
      <c r="F55939" s="2423"/>
    </row>
    <row r="55940" spans="6:6">
      <c r="F55940" s="2423"/>
    </row>
    <row r="55941" spans="6:6">
      <c r="F55941" s="2423"/>
    </row>
    <row r="55942" spans="6:6">
      <c r="F55942" s="2423"/>
    </row>
    <row r="55943" spans="6:6">
      <c r="F55943" s="2423"/>
    </row>
    <row r="55944" spans="6:6">
      <c r="F55944" s="2423"/>
    </row>
    <row r="55945" spans="6:6">
      <c r="F55945" s="2423"/>
    </row>
    <row r="55946" spans="6:6">
      <c r="F55946" s="2423"/>
    </row>
    <row r="55947" spans="6:6">
      <c r="F55947" s="2423"/>
    </row>
    <row r="55948" spans="6:6">
      <c r="F55948" s="2423"/>
    </row>
    <row r="55949" spans="6:6">
      <c r="F55949" s="2423"/>
    </row>
    <row r="55950" spans="6:6">
      <c r="F55950" s="2423"/>
    </row>
    <row r="55951" spans="6:6">
      <c r="F55951" s="2423"/>
    </row>
    <row r="55952" spans="6:6">
      <c r="F55952" s="2423"/>
    </row>
    <row r="55953" spans="6:6">
      <c r="F55953" s="2423"/>
    </row>
    <row r="55954" spans="6:6">
      <c r="F55954" s="2423"/>
    </row>
    <row r="55955" spans="6:6">
      <c r="F55955" s="2423"/>
    </row>
    <row r="55956" spans="6:6">
      <c r="F55956" s="2423"/>
    </row>
    <row r="55957" spans="6:6">
      <c r="F55957" s="2423"/>
    </row>
    <row r="55958" spans="6:6">
      <c r="F55958" s="2423"/>
    </row>
    <row r="55959" spans="6:6">
      <c r="F55959" s="2423"/>
    </row>
    <row r="55960" spans="6:6">
      <c r="F55960" s="2423"/>
    </row>
    <row r="55961" spans="6:6">
      <c r="F55961" s="2423"/>
    </row>
    <row r="55962" spans="6:6">
      <c r="F55962" s="2423"/>
    </row>
    <row r="55963" spans="6:6">
      <c r="F55963" s="2423"/>
    </row>
    <row r="55964" spans="6:6">
      <c r="F55964" s="2423"/>
    </row>
    <row r="55965" spans="6:6">
      <c r="F55965" s="2423"/>
    </row>
    <row r="55966" spans="6:6">
      <c r="F55966" s="2423"/>
    </row>
    <row r="55967" spans="6:6">
      <c r="F55967" s="2423"/>
    </row>
    <row r="55968" spans="6:6">
      <c r="F55968" s="2423"/>
    </row>
    <row r="55969" spans="6:6">
      <c r="F55969" s="2423"/>
    </row>
    <row r="55970" spans="6:6">
      <c r="F55970" s="2423"/>
    </row>
    <row r="55971" spans="6:6">
      <c r="F55971" s="2423"/>
    </row>
    <row r="55972" spans="6:6">
      <c r="F55972" s="2423"/>
    </row>
    <row r="55973" spans="6:6">
      <c r="F55973" s="2423"/>
    </row>
    <row r="55974" spans="6:6">
      <c r="F55974" s="2423"/>
    </row>
    <row r="55975" spans="6:6">
      <c r="F55975" s="2423"/>
    </row>
    <row r="55976" spans="6:6">
      <c r="F55976" s="2423"/>
    </row>
    <row r="55977" spans="6:6">
      <c r="F55977" s="2423"/>
    </row>
    <row r="55978" spans="6:6">
      <c r="F55978" s="2423"/>
    </row>
    <row r="55979" spans="6:6">
      <c r="F55979" s="2423"/>
    </row>
    <row r="55980" spans="6:6">
      <c r="F55980" s="2423"/>
    </row>
    <row r="55981" spans="6:6">
      <c r="F55981" s="2423"/>
    </row>
    <row r="55982" spans="6:6">
      <c r="F55982" s="2423"/>
    </row>
    <row r="55983" spans="6:6">
      <c r="F55983" s="2423"/>
    </row>
    <row r="55984" spans="6:6">
      <c r="F55984" s="2423"/>
    </row>
    <row r="55985" spans="6:6">
      <c r="F55985" s="2423"/>
    </row>
    <row r="55986" spans="6:6">
      <c r="F55986" s="2423"/>
    </row>
    <row r="55987" spans="6:6">
      <c r="F55987" s="2423"/>
    </row>
    <row r="55988" spans="6:6">
      <c r="F55988" s="2423"/>
    </row>
    <row r="55989" spans="6:6">
      <c r="F55989" s="2423"/>
    </row>
    <row r="55990" spans="6:6">
      <c r="F55990" s="2423"/>
    </row>
    <row r="55991" spans="6:6">
      <c r="F55991" s="2423"/>
    </row>
    <row r="55992" spans="6:6">
      <c r="F55992" s="2423"/>
    </row>
    <row r="55993" spans="6:6">
      <c r="F55993" s="2423"/>
    </row>
    <row r="55994" spans="6:6">
      <c r="F55994" s="2423"/>
    </row>
    <row r="55995" spans="6:6">
      <c r="F55995" s="2423"/>
    </row>
    <row r="55996" spans="6:6">
      <c r="F55996" s="2423"/>
    </row>
    <row r="55997" spans="6:6">
      <c r="F55997" s="2423"/>
    </row>
    <row r="55998" spans="6:6">
      <c r="F55998" s="2423"/>
    </row>
    <row r="55999" spans="6:6">
      <c r="F55999" s="2423"/>
    </row>
    <row r="56000" spans="6:6">
      <c r="F56000" s="2423"/>
    </row>
    <row r="56001" spans="6:6">
      <c r="F56001" s="2423"/>
    </row>
    <row r="56002" spans="6:6">
      <c r="F56002" s="2423"/>
    </row>
    <row r="56003" spans="6:6">
      <c r="F56003" s="2423"/>
    </row>
    <row r="56004" spans="6:6">
      <c r="F56004" s="2423"/>
    </row>
    <row r="56005" spans="6:6">
      <c r="F56005" s="2423"/>
    </row>
    <row r="56006" spans="6:6">
      <c r="F56006" s="2423"/>
    </row>
    <row r="56007" spans="6:6">
      <c r="F56007" s="2423"/>
    </row>
    <row r="56008" spans="6:6">
      <c r="F56008" s="2423"/>
    </row>
    <row r="56009" spans="6:6">
      <c r="F56009" s="2423"/>
    </row>
    <row r="56010" spans="6:6">
      <c r="F56010" s="2423"/>
    </row>
    <row r="56011" spans="6:6">
      <c r="F56011" s="2423"/>
    </row>
    <row r="56012" spans="6:6">
      <c r="F56012" s="2423"/>
    </row>
    <row r="56013" spans="6:6">
      <c r="F56013" s="2423"/>
    </row>
    <row r="56014" spans="6:6">
      <c r="F56014" s="2423"/>
    </row>
    <row r="56015" spans="6:6">
      <c r="F56015" s="2423"/>
    </row>
    <row r="56016" spans="6:6">
      <c r="F56016" s="2423"/>
    </row>
    <row r="56017" spans="6:6">
      <c r="F56017" s="2423"/>
    </row>
    <row r="56018" spans="6:6">
      <c r="F56018" s="2423"/>
    </row>
    <row r="56019" spans="6:6">
      <c r="F56019" s="2423"/>
    </row>
    <row r="56020" spans="6:6">
      <c r="F56020" s="2423"/>
    </row>
    <row r="56021" spans="6:6">
      <c r="F56021" s="2423"/>
    </row>
    <row r="56022" spans="6:6">
      <c r="F56022" s="2423"/>
    </row>
    <row r="56023" spans="6:6">
      <c r="F56023" s="2423"/>
    </row>
    <row r="56024" spans="6:6">
      <c r="F56024" s="2423"/>
    </row>
    <row r="56025" spans="6:6">
      <c r="F56025" s="2423"/>
    </row>
    <row r="56026" spans="6:6">
      <c r="F56026" s="2423"/>
    </row>
    <row r="56027" spans="6:6">
      <c r="F56027" s="2423"/>
    </row>
    <row r="56028" spans="6:6">
      <c r="F56028" s="2423"/>
    </row>
    <row r="56029" spans="6:6">
      <c r="F56029" s="2423"/>
    </row>
    <row r="56030" spans="6:6">
      <c r="F56030" s="2423"/>
    </row>
    <row r="56031" spans="6:6">
      <c r="F56031" s="2423"/>
    </row>
    <row r="56032" spans="6:6">
      <c r="F56032" s="2423"/>
    </row>
    <row r="56033" spans="6:6">
      <c r="F56033" s="2423"/>
    </row>
    <row r="56034" spans="6:6">
      <c r="F56034" s="2423"/>
    </row>
    <row r="56035" spans="6:6">
      <c r="F56035" s="2423"/>
    </row>
    <row r="56036" spans="6:6">
      <c r="F56036" s="2423"/>
    </row>
    <row r="56037" spans="6:6">
      <c r="F56037" s="2423"/>
    </row>
    <row r="56038" spans="6:6">
      <c r="F56038" s="2423"/>
    </row>
    <row r="56039" spans="6:6">
      <c r="F56039" s="2423"/>
    </row>
    <row r="56040" spans="6:6">
      <c r="F56040" s="2423"/>
    </row>
    <row r="56041" spans="6:6">
      <c r="F56041" s="2423"/>
    </row>
    <row r="56042" spans="6:6">
      <c r="F56042" s="2423"/>
    </row>
    <row r="56043" spans="6:6">
      <c r="F56043" s="2423"/>
    </row>
    <row r="56044" spans="6:6">
      <c r="F56044" s="2423"/>
    </row>
    <row r="56045" spans="6:6">
      <c r="F56045" s="2423"/>
    </row>
    <row r="56046" spans="6:6">
      <c r="F56046" s="2423"/>
    </row>
    <row r="56047" spans="6:6">
      <c r="F56047" s="2423"/>
    </row>
    <row r="56048" spans="6:6">
      <c r="F56048" s="2423"/>
    </row>
    <row r="56049" spans="6:6">
      <c r="F56049" s="2423"/>
    </row>
    <row r="56050" spans="6:6">
      <c r="F56050" s="2423"/>
    </row>
    <row r="56051" spans="6:6">
      <c r="F56051" s="2423"/>
    </row>
    <row r="56052" spans="6:6">
      <c r="F56052" s="2423"/>
    </row>
    <row r="56053" spans="6:6">
      <c r="F56053" s="2423"/>
    </row>
    <row r="56054" spans="6:6">
      <c r="F56054" s="2423"/>
    </row>
    <row r="56055" spans="6:6">
      <c r="F56055" s="2423"/>
    </row>
    <row r="56056" spans="6:6">
      <c r="F56056" s="2423"/>
    </row>
    <row r="56057" spans="6:6">
      <c r="F56057" s="2423"/>
    </row>
    <row r="56058" spans="6:6">
      <c r="F56058" s="2423"/>
    </row>
    <row r="56059" spans="6:6">
      <c r="F56059" s="2423"/>
    </row>
    <row r="56060" spans="6:6">
      <c r="F56060" s="2423"/>
    </row>
    <row r="56061" spans="6:6">
      <c r="F56061" s="2423"/>
    </row>
    <row r="56062" spans="6:6">
      <c r="F56062" s="2423"/>
    </row>
    <row r="56063" spans="6:6">
      <c r="F56063" s="2423"/>
    </row>
    <row r="56064" spans="6:6">
      <c r="F56064" s="2423"/>
    </row>
    <row r="56065" spans="6:6">
      <c r="F56065" s="2423"/>
    </row>
    <row r="56066" spans="6:6">
      <c r="F56066" s="2423"/>
    </row>
    <row r="56067" spans="6:6">
      <c r="F56067" s="2423"/>
    </row>
    <row r="56068" spans="6:6">
      <c r="F56068" s="2423"/>
    </row>
    <row r="56069" spans="6:6">
      <c r="F56069" s="2423"/>
    </row>
    <row r="56070" spans="6:6">
      <c r="F56070" s="2423"/>
    </row>
    <row r="56071" spans="6:6">
      <c r="F56071" s="2423"/>
    </row>
    <row r="56072" spans="6:6">
      <c r="F56072" s="2423"/>
    </row>
    <row r="56073" spans="6:6">
      <c r="F56073" s="2423"/>
    </row>
    <row r="56074" spans="6:6">
      <c r="F56074" s="2423"/>
    </row>
    <row r="56075" spans="6:6">
      <c r="F56075" s="2423"/>
    </row>
    <row r="56076" spans="6:6">
      <c r="F56076" s="2423"/>
    </row>
    <row r="56077" spans="6:6">
      <c r="F56077" s="2423"/>
    </row>
    <row r="56078" spans="6:6">
      <c r="F56078" s="2423"/>
    </row>
    <row r="56079" spans="6:6">
      <c r="F56079" s="2423"/>
    </row>
    <row r="56080" spans="6:6">
      <c r="F56080" s="2423"/>
    </row>
    <row r="56081" spans="6:6">
      <c r="F56081" s="2423"/>
    </row>
    <row r="56082" spans="6:6">
      <c r="F56082" s="2423"/>
    </row>
    <row r="56083" spans="6:6">
      <c r="F56083" s="2423"/>
    </row>
    <row r="56084" spans="6:6">
      <c r="F56084" s="2423"/>
    </row>
    <row r="56085" spans="6:6">
      <c r="F56085" s="2423"/>
    </row>
    <row r="56086" spans="6:6">
      <c r="F56086" s="2423"/>
    </row>
    <row r="56087" spans="6:6">
      <c r="F56087" s="2423"/>
    </row>
    <row r="56088" spans="6:6">
      <c r="F56088" s="2423"/>
    </row>
    <row r="56089" spans="6:6">
      <c r="F56089" s="2423"/>
    </row>
    <row r="56090" spans="6:6">
      <c r="F56090" s="2423"/>
    </row>
    <row r="56091" spans="6:6">
      <c r="F56091" s="2423"/>
    </row>
    <row r="56092" spans="6:6">
      <c r="F56092" s="2423"/>
    </row>
    <row r="56093" spans="6:6">
      <c r="F56093" s="2423"/>
    </row>
    <row r="56094" spans="6:6">
      <c r="F56094" s="2423"/>
    </row>
    <row r="56095" spans="6:6">
      <c r="F56095" s="2423"/>
    </row>
    <row r="56096" spans="6:6">
      <c r="F56096" s="2423"/>
    </row>
    <row r="56097" spans="6:6">
      <c r="F56097" s="2423"/>
    </row>
    <row r="56098" spans="6:6">
      <c r="F56098" s="2423"/>
    </row>
    <row r="56099" spans="6:6">
      <c r="F56099" s="2423"/>
    </row>
    <row r="56100" spans="6:6">
      <c r="F56100" s="2423"/>
    </row>
    <row r="56101" spans="6:6">
      <c r="F56101" s="2423"/>
    </row>
    <row r="56102" spans="6:6">
      <c r="F56102" s="2423"/>
    </row>
    <row r="56103" spans="6:6">
      <c r="F56103" s="2423"/>
    </row>
    <row r="56104" spans="6:6">
      <c r="F56104" s="2423"/>
    </row>
    <row r="56105" spans="6:6">
      <c r="F56105" s="2423"/>
    </row>
    <row r="56106" spans="6:6">
      <c r="F56106" s="2423"/>
    </row>
    <row r="56107" spans="6:6">
      <c r="F56107" s="2423"/>
    </row>
    <row r="56108" spans="6:6">
      <c r="F56108" s="2423"/>
    </row>
    <row r="56109" spans="6:6">
      <c r="F56109" s="2423"/>
    </row>
    <row r="56110" spans="6:6">
      <c r="F56110" s="2423"/>
    </row>
    <row r="56111" spans="6:6">
      <c r="F56111" s="2423"/>
    </row>
    <row r="56112" spans="6:6">
      <c r="F56112" s="2423"/>
    </row>
    <row r="56113" spans="6:6">
      <c r="F56113" s="2423"/>
    </row>
    <row r="56114" spans="6:6">
      <c r="F56114" s="2423"/>
    </row>
    <row r="56115" spans="6:6">
      <c r="F56115" s="2423"/>
    </row>
    <row r="56116" spans="6:6">
      <c r="F56116" s="2423"/>
    </row>
    <row r="56117" spans="6:6">
      <c r="F56117" s="2423"/>
    </row>
    <row r="56118" spans="6:6">
      <c r="F56118" s="2423"/>
    </row>
    <row r="56119" spans="6:6">
      <c r="F56119" s="2423"/>
    </row>
    <row r="56120" spans="6:6">
      <c r="F56120" s="2423"/>
    </row>
    <row r="56121" spans="6:6">
      <c r="F56121" s="2423"/>
    </row>
    <row r="56122" spans="6:6">
      <c r="F56122" s="2423"/>
    </row>
    <row r="56123" spans="6:6">
      <c r="F56123" s="2423"/>
    </row>
    <row r="56124" spans="6:6">
      <c r="F56124" s="2423"/>
    </row>
    <row r="56125" spans="6:6">
      <c r="F56125" s="2423"/>
    </row>
    <row r="56126" spans="6:6">
      <c r="F56126" s="2423"/>
    </row>
    <row r="56127" spans="6:6">
      <c r="F56127" s="2423"/>
    </row>
    <row r="56128" spans="6:6">
      <c r="F56128" s="2423"/>
    </row>
    <row r="56129" spans="6:6">
      <c r="F56129" s="2423"/>
    </row>
    <row r="56130" spans="6:6">
      <c r="F56130" s="2423"/>
    </row>
    <row r="56131" spans="6:6">
      <c r="F56131" s="2423"/>
    </row>
    <row r="56132" spans="6:6">
      <c r="F56132" s="2423"/>
    </row>
    <row r="56133" spans="6:6">
      <c r="F56133" s="2423"/>
    </row>
    <row r="56134" spans="6:6">
      <c r="F56134" s="2423"/>
    </row>
    <row r="56135" spans="6:6">
      <c r="F56135" s="2423"/>
    </row>
    <row r="56136" spans="6:6">
      <c r="F56136" s="2423"/>
    </row>
    <row r="56137" spans="6:6">
      <c r="F56137" s="2423"/>
    </row>
    <row r="56138" spans="6:6">
      <c r="F56138" s="2423"/>
    </row>
    <row r="56139" spans="6:6">
      <c r="F56139" s="2423"/>
    </row>
    <row r="56140" spans="6:6">
      <c r="F56140" s="2423"/>
    </row>
    <row r="56141" spans="6:6">
      <c r="F56141" s="2423"/>
    </row>
    <row r="56142" spans="6:6">
      <c r="F56142" s="2423"/>
    </row>
    <row r="56143" spans="6:6">
      <c r="F56143" s="2423"/>
    </row>
    <row r="56144" spans="6:6">
      <c r="F56144" s="2423"/>
    </row>
    <row r="56145" spans="6:6">
      <c r="F56145" s="2423"/>
    </row>
    <row r="56146" spans="6:6">
      <c r="F56146" s="2423"/>
    </row>
    <row r="56147" spans="6:6">
      <c r="F56147" s="2423"/>
    </row>
    <row r="56148" spans="6:6">
      <c r="F56148" s="2423"/>
    </row>
    <row r="56149" spans="6:6">
      <c r="F56149" s="2423"/>
    </row>
    <row r="56150" spans="6:6">
      <c r="F56150" s="2423"/>
    </row>
    <row r="56151" spans="6:6">
      <c r="F56151" s="2423"/>
    </row>
    <row r="56152" spans="6:6">
      <c r="F56152" s="2423"/>
    </row>
    <row r="56153" spans="6:6">
      <c r="F56153" s="2423"/>
    </row>
    <row r="56154" spans="6:6">
      <c r="F56154" s="2423"/>
    </row>
    <row r="56155" spans="6:6">
      <c r="F56155" s="2423"/>
    </row>
    <row r="56156" spans="6:6">
      <c r="F56156" s="2423"/>
    </row>
    <row r="56157" spans="6:6">
      <c r="F56157" s="2423"/>
    </row>
    <row r="56158" spans="6:6">
      <c r="F56158" s="2423"/>
    </row>
    <row r="56159" spans="6:6">
      <c r="F56159" s="2423"/>
    </row>
    <row r="56160" spans="6:6">
      <c r="F56160" s="2423"/>
    </row>
    <row r="56161" spans="6:6">
      <c r="F56161" s="2423"/>
    </row>
    <row r="56162" spans="6:6">
      <c r="F56162" s="2423"/>
    </row>
    <row r="56163" spans="6:6">
      <c r="F56163" s="2423"/>
    </row>
    <row r="56164" spans="6:6">
      <c r="F56164" s="2423"/>
    </row>
    <row r="56165" spans="6:6">
      <c r="F56165" s="2423"/>
    </row>
    <row r="56166" spans="6:6">
      <c r="F56166" s="2423"/>
    </row>
    <row r="56167" spans="6:6">
      <c r="F56167" s="2423"/>
    </row>
    <row r="56168" spans="6:6">
      <c r="F56168" s="2423"/>
    </row>
    <row r="56169" spans="6:6">
      <c r="F56169" s="2423"/>
    </row>
    <row r="56170" spans="6:6">
      <c r="F56170" s="2423"/>
    </row>
    <row r="56171" spans="6:6">
      <c r="F56171" s="2423"/>
    </row>
    <row r="56172" spans="6:6">
      <c r="F56172" s="2423"/>
    </row>
    <row r="56173" spans="6:6">
      <c r="F56173" s="2423"/>
    </row>
    <row r="56174" spans="6:6">
      <c r="F56174" s="2423"/>
    </row>
    <row r="56175" spans="6:6">
      <c r="F56175" s="2423"/>
    </row>
    <row r="56176" spans="6:6">
      <c r="F56176" s="2423"/>
    </row>
    <row r="56177" spans="6:6">
      <c r="F56177" s="2423"/>
    </row>
    <row r="56178" spans="6:6">
      <c r="F56178" s="2423"/>
    </row>
    <row r="56179" spans="6:6">
      <c r="F56179" s="2423"/>
    </row>
    <row r="56180" spans="6:6">
      <c r="F56180" s="2423"/>
    </row>
    <row r="56181" spans="6:6">
      <c r="F56181" s="2423"/>
    </row>
    <row r="56182" spans="6:6">
      <c r="F56182" s="2423"/>
    </row>
    <row r="56183" spans="6:6">
      <c r="F56183" s="2423"/>
    </row>
    <row r="56184" spans="6:6">
      <c r="F56184" s="2423"/>
    </row>
    <row r="56185" spans="6:6">
      <c r="F56185" s="2423"/>
    </row>
    <row r="56186" spans="6:6">
      <c r="F56186" s="2423"/>
    </row>
    <row r="56187" spans="6:6">
      <c r="F56187" s="2423"/>
    </row>
    <row r="56188" spans="6:6">
      <c r="F56188" s="2423"/>
    </row>
    <row r="56189" spans="6:6">
      <c r="F56189" s="2423"/>
    </row>
    <row r="56190" spans="6:6">
      <c r="F56190" s="2423"/>
    </row>
    <row r="56191" spans="6:6">
      <c r="F56191" s="2423"/>
    </row>
    <row r="56192" spans="6:6">
      <c r="F56192" s="2423"/>
    </row>
    <row r="56193" spans="6:6">
      <c r="F56193" s="2423"/>
    </row>
    <row r="56194" spans="6:6">
      <c r="F56194" s="2423"/>
    </row>
    <row r="56195" spans="6:6">
      <c r="F56195" s="2423"/>
    </row>
    <row r="56196" spans="6:6">
      <c r="F56196" s="2423"/>
    </row>
    <row r="56197" spans="6:6">
      <c r="F56197" s="2423"/>
    </row>
    <row r="56198" spans="6:6">
      <c r="F56198" s="2423"/>
    </row>
    <row r="56199" spans="6:6">
      <c r="F56199" s="2423"/>
    </row>
    <row r="56200" spans="6:6">
      <c r="F56200" s="2423"/>
    </row>
    <row r="56201" spans="6:6">
      <c r="F56201" s="2423"/>
    </row>
    <row r="56202" spans="6:6">
      <c r="F56202" s="2423"/>
    </row>
    <row r="56203" spans="6:6">
      <c r="F56203" s="2423"/>
    </row>
    <row r="56204" spans="6:6">
      <c r="F56204" s="2423"/>
    </row>
    <row r="56205" spans="6:6">
      <c r="F56205" s="2423"/>
    </row>
    <row r="56206" spans="6:6">
      <c r="F56206" s="2423"/>
    </row>
    <row r="56207" spans="6:6">
      <c r="F56207" s="2423"/>
    </row>
    <row r="56208" spans="6:6">
      <c r="F56208" s="2423"/>
    </row>
    <row r="56209" spans="6:6">
      <c r="F56209" s="2423"/>
    </row>
    <row r="56210" spans="6:6">
      <c r="F56210" s="2423"/>
    </row>
    <row r="56211" spans="6:6">
      <c r="F56211" s="2423"/>
    </row>
    <row r="56212" spans="6:6">
      <c r="F56212" s="2423"/>
    </row>
    <row r="56213" spans="6:6">
      <c r="F56213" s="2423"/>
    </row>
    <row r="56214" spans="6:6">
      <c r="F56214" s="2423"/>
    </row>
    <row r="56215" spans="6:6">
      <c r="F56215" s="2423"/>
    </row>
    <row r="56216" spans="6:6">
      <c r="F56216" s="2423"/>
    </row>
    <row r="56217" spans="6:6">
      <c r="F56217" s="2423"/>
    </row>
    <row r="56218" spans="6:6">
      <c r="F56218" s="2423"/>
    </row>
    <row r="56219" spans="6:6">
      <c r="F56219" s="2423"/>
    </row>
    <row r="56220" spans="6:6">
      <c r="F56220" s="2423"/>
    </row>
    <row r="56221" spans="6:6">
      <c r="F56221" s="2423"/>
    </row>
    <row r="56222" spans="6:6">
      <c r="F56222" s="2423"/>
    </row>
    <row r="56223" spans="6:6">
      <c r="F56223" s="2423"/>
    </row>
    <row r="56224" spans="6:6">
      <c r="F56224" s="2423"/>
    </row>
    <row r="56225" spans="6:6">
      <c r="F56225" s="2423"/>
    </row>
    <row r="56226" spans="6:6">
      <c r="F56226" s="2423"/>
    </row>
    <row r="56227" spans="6:6">
      <c r="F56227" s="2423"/>
    </row>
    <row r="56228" spans="6:6">
      <c r="F56228" s="2423"/>
    </row>
    <row r="56229" spans="6:6">
      <c r="F56229" s="2423"/>
    </row>
    <row r="56230" spans="6:6">
      <c r="F56230" s="2423"/>
    </row>
    <row r="56231" spans="6:6">
      <c r="F56231" s="2423"/>
    </row>
    <row r="56232" spans="6:6">
      <c r="F56232" s="2423"/>
    </row>
    <row r="56233" spans="6:6">
      <c r="F56233" s="2423"/>
    </row>
    <row r="56234" spans="6:6">
      <c r="F56234" s="2423"/>
    </row>
    <row r="56235" spans="6:6">
      <c r="F56235" s="2423"/>
    </row>
    <row r="56236" spans="6:6">
      <c r="F56236" s="2423"/>
    </row>
    <row r="56237" spans="6:6">
      <c r="F56237" s="2423"/>
    </row>
    <row r="56238" spans="6:6">
      <c r="F56238" s="2423"/>
    </row>
    <row r="56239" spans="6:6">
      <c r="F56239" s="2423"/>
    </row>
    <row r="56240" spans="6:6">
      <c r="F56240" s="2423"/>
    </row>
    <row r="56241" spans="6:6">
      <c r="F56241" s="2423"/>
    </row>
    <row r="56242" spans="6:6">
      <c r="F56242" s="2423"/>
    </row>
    <row r="56243" spans="6:6">
      <c r="F56243" s="2423"/>
    </row>
    <row r="56244" spans="6:6">
      <c r="F56244" s="2423"/>
    </row>
    <row r="56245" spans="6:6">
      <c r="F56245" s="2423"/>
    </row>
    <row r="56246" spans="6:6">
      <c r="F56246" s="2423"/>
    </row>
    <row r="56247" spans="6:6">
      <c r="F56247" s="2423"/>
    </row>
    <row r="56248" spans="6:6">
      <c r="F56248" s="2423"/>
    </row>
    <row r="56249" spans="6:6">
      <c r="F56249" s="2423"/>
    </row>
    <row r="56250" spans="6:6">
      <c r="F56250" s="2423"/>
    </row>
    <row r="56251" spans="6:6">
      <c r="F56251" s="2423"/>
    </row>
    <row r="56252" spans="6:6">
      <c r="F56252" s="2423"/>
    </row>
    <row r="56253" spans="6:6">
      <c r="F56253" s="2423"/>
    </row>
    <row r="56254" spans="6:6">
      <c r="F56254" s="2423"/>
    </row>
    <row r="56255" spans="6:6">
      <c r="F56255" s="2423"/>
    </row>
    <row r="56256" spans="6:6">
      <c r="F56256" s="2423"/>
    </row>
    <row r="56257" spans="6:6">
      <c r="F56257" s="2423"/>
    </row>
    <row r="56258" spans="6:6">
      <c r="F56258" s="2423"/>
    </row>
    <row r="56259" spans="6:6">
      <c r="F56259" s="2423"/>
    </row>
    <row r="56260" spans="6:6">
      <c r="F56260" s="2423"/>
    </row>
    <row r="56261" spans="6:6">
      <c r="F56261" s="2423"/>
    </row>
    <row r="56262" spans="6:6">
      <c r="F56262" s="2423"/>
    </row>
    <row r="56263" spans="6:6">
      <c r="F56263" s="2423"/>
    </row>
    <row r="56264" spans="6:6">
      <c r="F56264" s="2423"/>
    </row>
    <row r="56265" spans="6:6">
      <c r="F56265" s="2423"/>
    </row>
    <row r="56266" spans="6:6">
      <c r="F56266" s="2423"/>
    </row>
    <row r="56267" spans="6:6">
      <c r="F56267" s="2423"/>
    </row>
    <row r="56268" spans="6:6">
      <c r="F56268" s="2423"/>
    </row>
    <row r="56269" spans="6:6">
      <c r="F56269" s="2423"/>
    </row>
    <row r="56270" spans="6:6">
      <c r="F56270" s="2423"/>
    </row>
    <row r="56271" spans="6:6">
      <c r="F56271" s="2423"/>
    </row>
    <row r="56272" spans="6:6">
      <c r="F56272" s="2423"/>
    </row>
    <row r="56273" spans="6:6">
      <c r="F56273" s="2423"/>
    </row>
    <row r="56274" spans="6:6">
      <c r="F56274" s="2423"/>
    </row>
    <row r="56275" spans="6:6">
      <c r="F56275" s="2423"/>
    </row>
    <row r="56276" spans="6:6">
      <c r="F56276" s="2423"/>
    </row>
    <row r="56277" spans="6:6">
      <c r="F56277" s="2423"/>
    </row>
    <row r="56278" spans="6:6">
      <c r="F56278" s="2423"/>
    </row>
    <row r="56279" spans="6:6">
      <c r="F56279" s="2423"/>
    </row>
    <row r="56280" spans="6:6">
      <c r="F56280" s="2423"/>
    </row>
    <row r="56281" spans="6:6">
      <c r="F56281" s="2423"/>
    </row>
    <row r="56282" spans="6:6">
      <c r="F56282" s="2423"/>
    </row>
    <row r="56283" spans="6:6">
      <c r="F56283" s="2423"/>
    </row>
    <row r="56284" spans="6:6">
      <c r="F56284" s="2423"/>
    </row>
    <row r="56285" spans="6:6">
      <c r="F56285" s="2423"/>
    </row>
    <row r="56286" spans="6:6">
      <c r="F56286" s="2423"/>
    </row>
    <row r="56287" spans="6:6">
      <c r="F56287" s="2423"/>
    </row>
    <row r="56288" spans="6:6">
      <c r="F56288" s="2423"/>
    </row>
    <row r="56289" spans="6:6">
      <c r="F56289" s="2423"/>
    </row>
    <row r="56290" spans="6:6">
      <c r="F56290" s="2423"/>
    </row>
    <row r="56291" spans="6:6">
      <c r="F56291" s="2423"/>
    </row>
    <row r="56292" spans="6:6">
      <c r="F56292" s="2423"/>
    </row>
    <row r="56293" spans="6:6">
      <c r="F56293" s="2423"/>
    </row>
    <row r="56294" spans="6:6">
      <c r="F56294" s="2423"/>
    </row>
    <row r="56295" spans="6:6">
      <c r="F56295" s="2423"/>
    </row>
    <row r="56296" spans="6:6">
      <c r="F56296" s="2423"/>
    </row>
    <row r="56297" spans="6:6">
      <c r="F56297" s="2423"/>
    </row>
    <row r="56298" spans="6:6">
      <c r="F56298" s="2423"/>
    </row>
    <row r="56299" spans="6:6">
      <c r="F56299" s="2423"/>
    </row>
    <row r="56300" spans="6:6">
      <c r="F56300" s="2423"/>
    </row>
    <row r="56301" spans="6:6">
      <c r="F56301" s="2423"/>
    </row>
    <row r="56302" spans="6:6">
      <c r="F56302" s="2423"/>
    </row>
    <row r="56303" spans="6:6">
      <c r="F56303" s="2423"/>
    </row>
    <row r="56304" spans="6:6">
      <c r="F56304" s="2423"/>
    </row>
    <row r="56305" spans="6:6">
      <c r="F56305" s="2423"/>
    </row>
    <row r="56306" spans="6:6">
      <c r="F56306" s="2423"/>
    </row>
    <row r="56307" spans="6:6">
      <c r="F56307" s="2423"/>
    </row>
    <row r="56308" spans="6:6">
      <c r="F56308" s="2423"/>
    </row>
    <row r="56309" spans="6:6">
      <c r="F56309" s="2423"/>
    </row>
    <row r="56310" spans="6:6">
      <c r="F56310" s="2423"/>
    </row>
    <row r="56311" spans="6:6">
      <c r="F56311" s="2423"/>
    </row>
    <row r="56312" spans="6:6">
      <c r="F56312" s="2423"/>
    </row>
    <row r="56313" spans="6:6">
      <c r="F56313" s="2423"/>
    </row>
    <row r="56314" spans="6:6">
      <c r="F56314" s="2423"/>
    </row>
    <row r="56315" spans="6:6">
      <c r="F56315" s="2423"/>
    </row>
    <row r="56316" spans="6:6">
      <c r="F56316" s="2423"/>
    </row>
    <row r="56317" spans="6:6">
      <c r="F56317" s="2423"/>
    </row>
    <row r="56318" spans="6:6">
      <c r="F56318" s="2423"/>
    </row>
    <row r="56319" spans="6:6">
      <c r="F56319" s="2423"/>
    </row>
    <row r="56320" spans="6:6">
      <c r="F56320" s="2423"/>
    </row>
    <row r="56321" spans="6:6">
      <c r="F56321" s="2423"/>
    </row>
    <row r="56322" spans="6:6">
      <c r="F56322" s="2423"/>
    </row>
    <row r="56323" spans="6:6">
      <c r="F56323" s="2423"/>
    </row>
    <row r="56324" spans="6:6">
      <c r="F56324" s="2423"/>
    </row>
    <row r="56325" spans="6:6">
      <c r="F56325" s="2423"/>
    </row>
    <row r="56326" spans="6:6">
      <c r="F56326" s="2423"/>
    </row>
    <row r="56327" spans="6:6">
      <c r="F56327" s="2423"/>
    </row>
    <row r="56328" spans="6:6">
      <c r="F56328" s="2423"/>
    </row>
    <row r="56329" spans="6:6">
      <c r="F56329" s="2423"/>
    </row>
    <row r="56330" spans="6:6">
      <c r="F56330" s="2423"/>
    </row>
    <row r="56331" spans="6:6">
      <c r="F56331" s="2423"/>
    </row>
    <row r="56332" spans="6:6">
      <c r="F56332" s="2423"/>
    </row>
    <row r="56333" spans="6:6">
      <c r="F56333" s="2423"/>
    </row>
    <row r="56334" spans="6:6">
      <c r="F56334" s="2423"/>
    </row>
    <row r="56335" spans="6:6">
      <c r="F56335" s="2423"/>
    </row>
    <row r="56336" spans="6:6">
      <c r="F56336" s="2423"/>
    </row>
    <row r="56337" spans="6:6">
      <c r="F56337" s="2423"/>
    </row>
    <row r="56338" spans="6:6">
      <c r="F56338" s="2423"/>
    </row>
    <row r="56339" spans="6:6">
      <c r="F56339" s="2423"/>
    </row>
    <row r="56340" spans="6:6">
      <c r="F56340" s="2423"/>
    </row>
    <row r="56341" spans="6:6">
      <c r="F56341" s="2423"/>
    </row>
    <row r="56342" spans="6:6">
      <c r="F56342" s="2423"/>
    </row>
    <row r="56343" spans="6:6">
      <c r="F56343" s="2423"/>
    </row>
    <row r="56344" spans="6:6">
      <c r="F56344" s="2423"/>
    </row>
    <row r="56345" spans="6:6">
      <c r="F56345" s="2423"/>
    </row>
    <row r="56346" spans="6:6">
      <c r="F56346" s="2423"/>
    </row>
    <row r="56347" spans="6:6">
      <c r="F56347" s="2423"/>
    </row>
    <row r="56348" spans="6:6">
      <c r="F56348" s="2423"/>
    </row>
    <row r="56349" spans="6:6">
      <c r="F56349" s="2423"/>
    </row>
    <row r="56350" spans="6:6">
      <c r="F56350" s="2423"/>
    </row>
    <row r="56351" spans="6:6">
      <c r="F56351" s="2423"/>
    </row>
    <row r="56352" spans="6:6">
      <c r="F56352" s="2423"/>
    </row>
    <row r="56353" spans="6:6">
      <c r="F56353" s="2423"/>
    </row>
    <row r="56354" spans="6:6">
      <c r="F56354" s="2423"/>
    </row>
    <row r="56355" spans="6:6">
      <c r="F56355" s="2423"/>
    </row>
    <row r="56356" spans="6:6">
      <c r="F56356" s="2423"/>
    </row>
    <row r="56357" spans="6:6">
      <c r="F56357" s="2423"/>
    </row>
    <row r="56358" spans="6:6">
      <c r="F56358" s="2423"/>
    </row>
    <row r="56359" spans="6:6">
      <c r="F56359" s="2423"/>
    </row>
    <row r="56360" spans="6:6">
      <c r="F56360" s="2423"/>
    </row>
    <row r="56361" spans="6:6">
      <c r="F56361" s="2423"/>
    </row>
    <row r="56362" spans="6:6">
      <c r="F56362" s="2423"/>
    </row>
    <row r="56363" spans="6:6">
      <c r="F56363" s="2423"/>
    </row>
    <row r="56364" spans="6:6">
      <c r="F56364" s="2423"/>
    </row>
    <row r="56365" spans="6:6">
      <c r="F56365" s="2423"/>
    </row>
    <row r="56366" spans="6:6">
      <c r="F56366" s="2423"/>
    </row>
    <row r="56367" spans="6:6">
      <c r="F56367" s="2423"/>
    </row>
    <row r="56368" spans="6:6">
      <c r="F56368" s="2423"/>
    </row>
    <row r="56369" spans="6:6">
      <c r="F56369" s="2423"/>
    </row>
    <row r="56370" spans="6:6">
      <c r="F56370" s="2423"/>
    </row>
    <row r="56371" spans="6:6">
      <c r="F56371" s="2423"/>
    </row>
    <row r="56372" spans="6:6">
      <c r="F56372" s="2423"/>
    </row>
    <row r="56373" spans="6:6">
      <c r="F56373" s="2423"/>
    </row>
    <row r="56374" spans="6:6">
      <c r="F56374" s="2423"/>
    </row>
    <row r="56375" spans="6:6">
      <c r="F56375" s="2423"/>
    </row>
    <row r="56376" spans="6:6">
      <c r="F56376" s="2423"/>
    </row>
    <row r="56377" spans="6:6">
      <c r="F56377" s="2423"/>
    </row>
    <row r="56378" spans="6:6">
      <c r="F56378" s="2423"/>
    </row>
    <row r="56379" spans="6:6">
      <c r="F56379" s="2423"/>
    </row>
    <row r="56380" spans="6:6">
      <c r="F56380" s="2423"/>
    </row>
    <row r="56381" spans="6:6">
      <c r="F56381" s="2423"/>
    </row>
    <row r="56382" spans="6:6">
      <c r="F56382" s="2423"/>
    </row>
    <row r="56383" spans="6:6">
      <c r="F56383" s="2423"/>
    </row>
    <row r="56384" spans="6:6">
      <c r="F56384" s="2423"/>
    </row>
    <row r="56385" spans="6:6">
      <c r="F56385" s="2423"/>
    </row>
    <row r="56386" spans="6:6">
      <c r="F56386" s="2423"/>
    </row>
    <row r="56387" spans="6:6">
      <c r="F56387" s="2423"/>
    </row>
    <row r="56388" spans="6:6">
      <c r="F56388" s="2423"/>
    </row>
    <row r="56389" spans="6:6">
      <c r="F56389" s="2423"/>
    </row>
    <row r="56390" spans="6:6">
      <c r="F56390" s="2423"/>
    </row>
    <row r="56391" spans="6:6">
      <c r="F56391" s="2423"/>
    </row>
    <row r="56392" spans="6:6">
      <c r="F56392" s="2423"/>
    </row>
    <row r="56393" spans="6:6">
      <c r="F56393" s="2423"/>
    </row>
    <row r="56394" spans="6:6">
      <c r="F56394" s="2423"/>
    </row>
    <row r="56395" spans="6:6">
      <c r="F56395" s="2423"/>
    </row>
    <row r="56396" spans="6:6">
      <c r="F56396" s="2423"/>
    </row>
    <row r="56397" spans="6:6">
      <c r="F56397" s="2423"/>
    </row>
    <row r="56398" spans="6:6">
      <c r="F56398" s="2423"/>
    </row>
    <row r="56399" spans="6:6">
      <c r="F56399" s="2423"/>
    </row>
    <row r="56400" spans="6:6">
      <c r="F56400" s="2423"/>
    </row>
    <row r="56401" spans="6:6">
      <c r="F56401" s="2423"/>
    </row>
    <row r="56402" spans="6:6">
      <c r="F56402" s="2423"/>
    </row>
    <row r="56403" spans="6:6">
      <c r="F56403" s="2423"/>
    </row>
    <row r="56404" spans="6:6">
      <c r="F56404" s="2423"/>
    </row>
    <row r="56405" spans="6:6">
      <c r="F56405" s="2423"/>
    </row>
    <row r="56406" spans="6:6">
      <c r="F56406" s="2423"/>
    </row>
    <row r="56407" spans="6:6">
      <c r="F56407" s="2423"/>
    </row>
    <row r="56408" spans="6:6">
      <c r="F56408" s="2423"/>
    </row>
    <row r="56409" spans="6:6">
      <c r="F56409" s="2423"/>
    </row>
    <row r="56410" spans="6:6">
      <c r="F56410" s="2423"/>
    </row>
    <row r="56411" spans="6:6">
      <c r="F56411" s="2423"/>
    </row>
    <row r="56412" spans="6:6">
      <c r="F56412" s="2423"/>
    </row>
    <row r="56413" spans="6:6">
      <c r="F56413" s="2423"/>
    </row>
    <row r="56414" spans="6:6">
      <c r="F56414" s="2423"/>
    </row>
    <row r="56415" spans="6:6">
      <c r="F56415" s="2423"/>
    </row>
    <row r="56416" spans="6:6">
      <c r="F56416" s="2423"/>
    </row>
    <row r="56417" spans="6:6">
      <c r="F56417" s="2423"/>
    </row>
    <row r="56418" spans="6:6">
      <c r="F56418" s="2423"/>
    </row>
    <row r="56419" spans="6:6">
      <c r="F56419" s="2423"/>
    </row>
    <row r="56420" spans="6:6">
      <c r="F56420" s="2423"/>
    </row>
    <row r="56421" spans="6:6">
      <c r="F56421" s="2423"/>
    </row>
    <row r="56422" spans="6:6">
      <c r="F56422" s="2423"/>
    </row>
    <row r="56423" spans="6:6">
      <c r="F56423" s="2423"/>
    </row>
    <row r="56424" spans="6:6">
      <c r="F56424" s="2423"/>
    </row>
    <row r="56425" spans="6:6">
      <c r="F56425" s="2423"/>
    </row>
    <row r="56426" spans="6:6">
      <c r="F56426" s="2423"/>
    </row>
    <row r="56427" spans="6:6">
      <c r="F56427" s="2423"/>
    </row>
    <row r="56428" spans="6:6">
      <c r="F56428" s="2423"/>
    </row>
    <row r="56429" spans="6:6">
      <c r="F56429" s="2423"/>
    </row>
    <row r="56430" spans="6:6">
      <c r="F56430" s="2423"/>
    </row>
    <row r="56431" spans="6:6">
      <c r="F56431" s="2423"/>
    </row>
    <row r="56432" spans="6:6">
      <c r="F56432" s="2423"/>
    </row>
    <row r="56433" spans="6:6">
      <c r="F56433" s="2423"/>
    </row>
    <row r="56434" spans="6:6">
      <c r="F56434" s="2423"/>
    </row>
    <row r="56435" spans="6:6">
      <c r="F56435" s="2423"/>
    </row>
    <row r="56436" spans="6:6">
      <c r="F56436" s="2423"/>
    </row>
    <row r="56437" spans="6:6">
      <c r="F56437" s="2423"/>
    </row>
    <row r="56438" spans="6:6">
      <c r="F56438" s="2423"/>
    </row>
    <row r="56439" spans="6:6">
      <c r="F56439" s="2423"/>
    </row>
    <row r="56440" spans="6:6">
      <c r="F56440" s="2423"/>
    </row>
    <row r="56441" spans="6:6">
      <c r="F56441" s="2423"/>
    </row>
    <row r="56442" spans="6:6">
      <c r="F56442" s="2423"/>
    </row>
    <row r="56443" spans="6:6">
      <c r="F56443" s="2423"/>
    </row>
    <row r="56444" spans="6:6">
      <c r="F56444" s="2423"/>
    </row>
    <row r="56445" spans="6:6">
      <c r="F56445" s="2423"/>
    </row>
    <row r="56446" spans="6:6">
      <c r="F56446" s="2423"/>
    </row>
    <row r="56447" spans="6:6">
      <c r="F56447" s="2423"/>
    </row>
    <row r="56448" spans="6:6">
      <c r="F56448" s="2423"/>
    </row>
    <row r="56449" spans="6:6">
      <c r="F56449" s="2423"/>
    </row>
    <row r="56450" spans="6:6">
      <c r="F56450" s="2423"/>
    </row>
    <row r="56451" spans="6:6">
      <c r="F56451" s="2423"/>
    </row>
    <row r="56452" spans="6:6">
      <c r="F56452" s="2423"/>
    </row>
    <row r="56453" spans="6:6">
      <c r="F56453" s="2423"/>
    </row>
    <row r="56454" spans="6:6">
      <c r="F56454" s="2423"/>
    </row>
    <row r="56455" spans="6:6">
      <c r="F56455" s="2423"/>
    </row>
    <row r="56456" spans="6:6">
      <c r="F56456" s="2423"/>
    </row>
    <row r="56457" spans="6:6">
      <c r="F56457" s="2423"/>
    </row>
    <row r="56458" spans="6:6">
      <c r="F56458" s="2423"/>
    </row>
    <row r="56459" spans="6:6">
      <c r="F56459" s="2423"/>
    </row>
    <row r="56460" spans="6:6">
      <c r="F56460" s="2423"/>
    </row>
    <row r="56461" spans="6:6">
      <c r="F56461" s="2423"/>
    </row>
    <row r="56462" spans="6:6">
      <c r="F56462" s="2423"/>
    </row>
    <row r="56463" spans="6:6">
      <c r="F56463" s="2423"/>
    </row>
    <row r="56464" spans="6:6">
      <c r="F56464" s="2423"/>
    </row>
    <row r="56465" spans="6:6">
      <c r="F56465" s="2423"/>
    </row>
    <row r="56466" spans="6:6">
      <c r="F56466" s="2423"/>
    </row>
    <row r="56467" spans="6:6">
      <c r="F56467" s="2423"/>
    </row>
    <row r="56468" spans="6:6">
      <c r="F56468" s="2423"/>
    </row>
    <row r="56469" spans="6:6">
      <c r="F56469" s="2423"/>
    </row>
    <row r="56470" spans="6:6">
      <c r="F56470" s="2423"/>
    </row>
    <row r="56471" spans="6:6">
      <c r="F56471" s="2423"/>
    </row>
    <row r="56472" spans="6:6">
      <c r="F56472" s="2423"/>
    </row>
    <row r="56473" spans="6:6">
      <c r="F56473" s="2423"/>
    </row>
    <row r="56474" spans="6:6">
      <c r="F56474" s="2423"/>
    </row>
    <row r="56475" spans="6:6">
      <c r="F56475" s="2423"/>
    </row>
    <row r="56476" spans="6:6">
      <c r="F56476" s="2423"/>
    </row>
    <row r="56477" spans="6:6">
      <c r="F56477" s="2423"/>
    </row>
    <row r="56478" spans="6:6">
      <c r="F56478" s="2423"/>
    </row>
    <row r="56479" spans="6:6">
      <c r="F56479" s="2423"/>
    </row>
    <row r="56480" spans="6:6">
      <c r="F56480" s="2423"/>
    </row>
    <row r="56481" spans="6:6">
      <c r="F56481" s="2423"/>
    </row>
    <row r="56482" spans="6:6">
      <c r="F56482" s="2423"/>
    </row>
    <row r="56483" spans="6:6">
      <c r="F56483" s="2423"/>
    </row>
    <row r="56484" spans="6:6">
      <c r="F56484" s="2423"/>
    </row>
    <row r="56485" spans="6:6">
      <c r="F56485" s="2423"/>
    </row>
    <row r="56486" spans="6:6">
      <c r="F56486" s="2423"/>
    </row>
    <row r="56487" spans="6:6">
      <c r="F56487" s="2423"/>
    </row>
    <row r="56488" spans="6:6">
      <c r="F56488" s="2423"/>
    </row>
    <row r="56489" spans="6:6">
      <c r="F56489" s="2423"/>
    </row>
    <row r="56490" spans="6:6">
      <c r="F56490" s="2423"/>
    </row>
    <row r="56491" spans="6:6">
      <c r="F56491" s="2423"/>
    </row>
    <row r="56492" spans="6:6">
      <c r="F56492" s="2423"/>
    </row>
    <row r="56493" spans="6:6">
      <c r="F56493" s="2423"/>
    </row>
    <row r="56494" spans="6:6">
      <c r="F56494" s="2423"/>
    </row>
    <row r="56495" spans="6:6">
      <c r="F56495" s="2423"/>
    </row>
    <row r="56496" spans="6:6">
      <c r="F56496" s="2423"/>
    </row>
    <row r="56497" spans="6:6">
      <c r="F56497" s="2423"/>
    </row>
    <row r="56498" spans="6:6">
      <c r="F56498" s="2423"/>
    </row>
    <row r="56499" spans="6:6">
      <c r="F56499" s="2423"/>
    </row>
    <row r="56500" spans="6:6">
      <c r="F56500" s="2423"/>
    </row>
    <row r="56501" spans="6:6">
      <c r="F56501" s="2423"/>
    </row>
    <row r="56502" spans="6:6">
      <c r="F56502" s="2423"/>
    </row>
    <row r="56503" spans="6:6">
      <c r="F56503" s="2423"/>
    </row>
    <row r="56504" spans="6:6">
      <c r="F56504" s="2423"/>
    </row>
    <row r="56505" spans="6:6">
      <c r="F56505" s="2423"/>
    </row>
    <row r="56506" spans="6:6">
      <c r="F56506" s="2423"/>
    </row>
    <row r="56507" spans="6:6">
      <c r="F56507" s="2423"/>
    </row>
    <row r="56508" spans="6:6">
      <c r="F56508" s="2423"/>
    </row>
    <row r="56509" spans="6:6">
      <c r="F56509" s="2423"/>
    </row>
    <row r="56510" spans="6:6">
      <c r="F56510" s="2423"/>
    </row>
    <row r="56511" spans="6:6">
      <c r="F56511" s="2423"/>
    </row>
    <row r="56512" spans="6:6">
      <c r="F56512" s="2423"/>
    </row>
    <row r="56513" spans="6:6">
      <c r="F56513" s="2423"/>
    </row>
    <row r="56514" spans="6:6">
      <c r="F56514" s="2423"/>
    </row>
    <row r="56515" spans="6:6">
      <c r="F56515" s="2423"/>
    </row>
    <row r="56516" spans="6:6">
      <c r="F56516" s="2423"/>
    </row>
    <row r="56517" spans="6:6">
      <c r="F56517" s="2423"/>
    </row>
    <row r="56518" spans="6:6">
      <c r="F56518" s="2423"/>
    </row>
    <row r="56519" spans="6:6">
      <c r="F56519" s="2423"/>
    </row>
    <row r="56520" spans="6:6">
      <c r="F56520" s="2423"/>
    </row>
    <row r="56521" spans="6:6">
      <c r="F56521" s="2423"/>
    </row>
    <row r="56522" spans="6:6">
      <c r="F56522" s="2423"/>
    </row>
    <row r="56523" spans="6:6">
      <c r="F56523" s="2423"/>
    </row>
    <row r="56524" spans="6:6">
      <c r="F56524" s="2423"/>
    </row>
    <row r="56525" spans="6:6">
      <c r="F56525" s="2423"/>
    </row>
    <row r="56526" spans="6:6">
      <c r="F56526" s="2423"/>
    </row>
    <row r="56527" spans="6:6">
      <c r="F56527" s="2423"/>
    </row>
    <row r="56528" spans="6:6">
      <c r="F56528" s="2423"/>
    </row>
    <row r="56529" spans="6:6">
      <c r="F56529" s="2423"/>
    </row>
    <row r="56530" spans="6:6">
      <c r="F56530" s="2423"/>
    </row>
    <row r="56531" spans="6:6">
      <c r="F56531" s="2423"/>
    </row>
    <row r="56532" spans="6:6">
      <c r="F56532" s="2423"/>
    </row>
    <row r="56533" spans="6:6">
      <c r="F56533" s="2423"/>
    </row>
    <row r="56534" spans="6:6">
      <c r="F56534" s="2423"/>
    </row>
    <row r="56535" spans="6:6">
      <c r="F56535" s="2423"/>
    </row>
    <row r="56536" spans="6:6">
      <c r="F56536" s="2423"/>
    </row>
    <row r="56537" spans="6:6">
      <c r="F56537" s="2423"/>
    </row>
    <row r="56538" spans="6:6">
      <c r="F56538" s="2423"/>
    </row>
    <row r="56539" spans="6:6">
      <c r="F56539" s="2423"/>
    </row>
    <row r="56540" spans="6:6">
      <c r="F56540" s="2423"/>
    </row>
    <row r="56541" spans="6:6">
      <c r="F56541" s="2423"/>
    </row>
    <row r="56542" spans="6:6">
      <c r="F56542" s="2423"/>
    </row>
    <row r="56543" spans="6:6">
      <c r="F56543" s="2423"/>
    </row>
    <row r="56544" spans="6:6">
      <c r="F56544" s="2423"/>
    </row>
    <row r="56545" spans="6:6">
      <c r="F56545" s="2423"/>
    </row>
    <row r="56546" spans="6:6">
      <c r="F56546" s="2423"/>
    </row>
    <row r="56547" spans="6:6">
      <c r="F56547" s="2423"/>
    </row>
    <row r="56548" spans="6:6">
      <c r="F56548" s="2423"/>
    </row>
    <row r="56549" spans="6:6">
      <c r="F56549" s="2423"/>
    </row>
    <row r="56550" spans="6:6">
      <c r="F56550" s="2423"/>
    </row>
    <row r="56551" spans="6:6">
      <c r="F56551" s="2423"/>
    </row>
    <row r="56552" spans="6:6">
      <c r="F56552" s="2423"/>
    </row>
    <row r="56553" spans="6:6">
      <c r="F56553" s="2423"/>
    </row>
    <row r="56554" spans="6:6">
      <c r="F56554" s="2423"/>
    </row>
    <row r="56555" spans="6:6">
      <c r="F56555" s="2423"/>
    </row>
    <row r="56556" spans="6:6">
      <c r="F56556" s="2423"/>
    </row>
    <row r="56557" spans="6:6">
      <c r="F56557" s="2423"/>
    </row>
    <row r="56558" spans="6:6">
      <c r="F56558" s="2423"/>
    </row>
    <row r="56559" spans="6:6">
      <c r="F56559" s="2423"/>
    </row>
    <row r="56560" spans="6:6">
      <c r="F56560" s="2423"/>
    </row>
    <row r="56561" spans="6:6">
      <c r="F56561" s="2423"/>
    </row>
    <row r="56562" spans="6:6">
      <c r="F56562" s="2423"/>
    </row>
    <row r="56563" spans="6:6">
      <c r="F56563" s="2423"/>
    </row>
    <row r="56564" spans="6:6">
      <c r="F56564" s="2423"/>
    </row>
    <row r="56565" spans="6:6">
      <c r="F56565" s="2423"/>
    </row>
    <row r="56566" spans="6:6">
      <c r="F56566" s="2423"/>
    </row>
    <row r="56567" spans="6:6">
      <c r="F56567" s="2423"/>
    </row>
    <row r="56568" spans="6:6">
      <c r="F56568" s="2423"/>
    </row>
    <row r="56569" spans="6:6">
      <c r="F56569" s="2423"/>
    </row>
    <row r="56570" spans="6:6">
      <c r="F56570" s="2423"/>
    </row>
    <row r="56571" spans="6:6">
      <c r="F56571" s="2423"/>
    </row>
    <row r="56572" spans="6:6">
      <c r="F56572" s="2423"/>
    </row>
    <row r="56573" spans="6:6">
      <c r="F56573" s="2423"/>
    </row>
    <row r="56574" spans="6:6">
      <c r="F56574" s="2423"/>
    </row>
    <row r="56575" spans="6:6">
      <c r="F56575" s="2423"/>
    </row>
    <row r="56576" spans="6:6">
      <c r="F56576" s="2423"/>
    </row>
    <row r="56577" spans="6:6">
      <c r="F56577" s="2423"/>
    </row>
    <row r="56578" spans="6:6">
      <c r="F56578" s="2423"/>
    </row>
    <row r="56579" spans="6:6">
      <c r="F56579" s="2423"/>
    </row>
    <row r="56580" spans="6:6">
      <c r="F56580" s="2423"/>
    </row>
    <row r="56581" spans="6:6">
      <c r="F56581" s="2423"/>
    </row>
    <row r="56582" spans="6:6">
      <c r="F56582" s="2423"/>
    </row>
    <row r="56583" spans="6:6">
      <c r="F56583" s="2423"/>
    </row>
    <row r="56584" spans="6:6">
      <c r="F56584" s="2423"/>
    </row>
    <row r="56585" spans="6:6">
      <c r="F56585" s="2423"/>
    </row>
    <row r="56586" spans="6:6">
      <c r="F56586" s="2423"/>
    </row>
    <row r="56587" spans="6:6">
      <c r="F56587" s="2423"/>
    </row>
    <row r="56588" spans="6:6">
      <c r="F56588" s="2423"/>
    </row>
    <row r="56589" spans="6:6">
      <c r="F56589" s="2423"/>
    </row>
    <row r="56590" spans="6:6">
      <c r="F56590" s="2423"/>
    </row>
    <row r="56591" spans="6:6">
      <c r="F56591" s="2423"/>
    </row>
    <row r="56592" spans="6:6">
      <c r="F56592" s="2423"/>
    </row>
    <row r="56593" spans="6:6">
      <c r="F56593" s="2423"/>
    </row>
    <row r="56594" spans="6:6">
      <c r="F56594" s="2423"/>
    </row>
    <row r="56595" spans="6:6">
      <c r="F56595" s="2423"/>
    </row>
    <row r="56596" spans="6:6">
      <c r="F56596" s="2423"/>
    </row>
    <row r="56597" spans="6:6">
      <c r="F56597" s="2423"/>
    </row>
    <row r="56598" spans="6:6">
      <c r="F56598" s="2423"/>
    </row>
    <row r="56599" spans="6:6">
      <c r="F56599" s="2423"/>
    </row>
    <row r="56600" spans="6:6">
      <c r="F56600" s="2423"/>
    </row>
    <row r="56601" spans="6:6">
      <c r="F56601" s="2423"/>
    </row>
    <row r="56602" spans="6:6">
      <c r="F56602" s="2423"/>
    </row>
    <row r="56603" spans="6:6">
      <c r="F56603" s="2423"/>
    </row>
    <row r="56604" spans="6:6">
      <c r="F56604" s="2423"/>
    </row>
    <row r="56605" spans="6:6">
      <c r="F56605" s="2423"/>
    </row>
    <row r="56606" spans="6:6">
      <c r="F56606" s="2423"/>
    </row>
    <row r="56607" spans="6:6">
      <c r="F56607" s="2423"/>
    </row>
    <row r="56608" spans="6:6">
      <c r="F56608" s="2423"/>
    </row>
    <row r="56609" spans="6:6">
      <c r="F56609" s="2423"/>
    </row>
    <row r="56610" spans="6:6">
      <c r="F56610" s="2423"/>
    </row>
    <row r="56611" spans="6:6">
      <c r="F56611" s="2423"/>
    </row>
    <row r="56612" spans="6:6">
      <c r="F56612" s="2423"/>
    </row>
    <row r="56613" spans="6:6">
      <c r="F56613" s="2423"/>
    </row>
    <row r="56614" spans="6:6">
      <c r="F56614" s="2423"/>
    </row>
    <row r="56615" spans="6:6">
      <c r="F56615" s="2423"/>
    </row>
    <row r="56616" spans="6:6">
      <c r="F56616" s="2423"/>
    </row>
    <row r="56617" spans="6:6">
      <c r="F56617" s="2423"/>
    </row>
    <row r="56618" spans="6:6">
      <c r="F56618" s="2423"/>
    </row>
    <row r="56619" spans="6:6">
      <c r="F56619" s="2423"/>
    </row>
    <row r="56620" spans="6:6">
      <c r="F56620" s="2423"/>
    </row>
    <row r="56621" spans="6:6">
      <c r="F56621" s="2423"/>
    </row>
    <row r="56622" spans="6:6">
      <c r="F56622" s="2423"/>
    </row>
    <row r="56623" spans="6:6">
      <c r="F56623" s="2423"/>
    </row>
    <row r="56624" spans="6:6">
      <c r="F56624" s="2423"/>
    </row>
    <row r="56625" spans="6:6">
      <c r="F56625" s="2423"/>
    </row>
    <row r="56626" spans="6:6">
      <c r="F56626" s="2423"/>
    </row>
    <row r="56627" spans="6:6">
      <c r="F56627" s="2423"/>
    </row>
    <row r="56628" spans="6:6">
      <c r="F56628" s="2423"/>
    </row>
    <row r="56629" spans="6:6">
      <c r="F56629" s="2423"/>
    </row>
    <row r="56630" spans="6:6">
      <c r="F56630" s="2423"/>
    </row>
    <row r="56631" spans="6:6">
      <c r="F56631" s="2423"/>
    </row>
    <row r="56632" spans="6:6">
      <c r="F56632" s="2423"/>
    </row>
    <row r="56633" spans="6:6">
      <c r="F56633" s="2423"/>
    </row>
    <row r="56634" spans="6:6">
      <c r="F56634" s="2423"/>
    </row>
    <row r="56635" spans="6:6">
      <c r="F56635" s="2423"/>
    </row>
    <row r="56636" spans="6:6">
      <c r="F56636" s="2423"/>
    </row>
    <row r="56637" spans="6:6">
      <c r="F56637" s="2423"/>
    </row>
    <row r="56638" spans="6:6">
      <c r="F56638" s="2423"/>
    </row>
    <row r="56639" spans="6:6">
      <c r="F56639" s="2423"/>
    </row>
    <row r="56640" spans="6:6">
      <c r="F56640" s="2423"/>
    </row>
    <row r="56641" spans="6:6">
      <c r="F56641" s="2423"/>
    </row>
    <row r="56642" spans="6:6">
      <c r="F56642" s="2423"/>
    </row>
    <row r="56643" spans="6:6">
      <c r="F56643" s="2423"/>
    </row>
    <row r="56644" spans="6:6">
      <c r="F56644" s="2423"/>
    </row>
    <row r="56645" spans="6:6">
      <c r="F56645" s="2423"/>
    </row>
    <row r="56646" spans="6:6">
      <c r="F56646" s="2423"/>
    </row>
    <row r="56647" spans="6:6">
      <c r="F56647" s="2423"/>
    </row>
    <row r="56648" spans="6:6">
      <c r="F56648" s="2423"/>
    </row>
    <row r="56649" spans="6:6">
      <c r="F56649" s="2423"/>
    </row>
    <row r="56650" spans="6:6">
      <c r="F56650" s="2423"/>
    </row>
    <row r="56651" spans="6:6">
      <c r="F56651" s="2423"/>
    </row>
    <row r="56652" spans="6:6">
      <c r="F56652" s="2423"/>
    </row>
    <row r="56653" spans="6:6">
      <c r="F56653" s="2423"/>
    </row>
    <row r="56654" spans="6:6">
      <c r="F56654" s="2423"/>
    </row>
    <row r="56655" spans="6:6">
      <c r="F56655" s="2423"/>
    </row>
    <row r="56656" spans="6:6">
      <c r="F56656" s="2423"/>
    </row>
    <row r="56657" spans="6:6">
      <c r="F56657" s="2423"/>
    </row>
    <row r="56658" spans="6:6">
      <c r="F56658" s="2423"/>
    </row>
    <row r="56659" spans="6:6">
      <c r="F56659" s="2423"/>
    </row>
    <row r="56660" spans="6:6">
      <c r="F56660" s="2423"/>
    </row>
    <row r="56661" spans="6:6">
      <c r="F56661" s="2423"/>
    </row>
    <row r="56662" spans="6:6">
      <c r="F56662" s="2423"/>
    </row>
    <row r="56663" spans="6:6">
      <c r="F56663" s="2423"/>
    </row>
    <row r="56664" spans="6:6">
      <c r="F56664" s="2423"/>
    </row>
    <row r="56665" spans="6:6">
      <c r="F56665" s="2423"/>
    </row>
    <row r="56666" spans="6:6">
      <c r="F56666" s="2423"/>
    </row>
    <row r="56667" spans="6:6">
      <c r="F56667" s="2423"/>
    </row>
    <row r="56668" spans="6:6">
      <c r="F56668" s="2423"/>
    </row>
    <row r="56669" spans="6:6">
      <c r="F56669" s="2423"/>
    </row>
    <row r="56670" spans="6:6">
      <c r="F56670" s="2423"/>
    </row>
    <row r="56671" spans="6:6">
      <c r="F56671" s="2423"/>
    </row>
    <row r="56672" spans="6:6">
      <c r="F56672" s="2423"/>
    </row>
    <row r="56673" spans="6:6">
      <c r="F56673" s="2423"/>
    </row>
    <row r="56674" spans="6:6">
      <c r="F56674" s="2423"/>
    </row>
    <row r="56675" spans="6:6">
      <c r="F56675" s="2423"/>
    </row>
    <row r="56676" spans="6:6">
      <c r="F56676" s="2423"/>
    </row>
    <row r="56677" spans="6:6">
      <c r="F56677" s="2423"/>
    </row>
    <row r="56678" spans="6:6">
      <c r="F56678" s="2423"/>
    </row>
    <row r="56679" spans="6:6">
      <c r="F56679" s="2423"/>
    </row>
    <row r="56680" spans="6:6">
      <c r="F56680" s="2423"/>
    </row>
    <row r="56681" spans="6:6">
      <c r="F56681" s="2423"/>
    </row>
    <row r="56682" spans="6:6">
      <c r="F56682" s="2423"/>
    </row>
    <row r="56683" spans="6:6">
      <c r="F56683" s="2423"/>
    </row>
    <row r="56684" spans="6:6">
      <c r="F56684" s="2423"/>
    </row>
    <row r="56685" spans="6:6">
      <c r="F56685" s="2423"/>
    </row>
    <row r="56686" spans="6:6">
      <c r="F56686" s="2423"/>
    </row>
    <row r="56687" spans="6:6">
      <c r="F56687" s="2423"/>
    </row>
    <row r="56688" spans="6:6">
      <c r="F56688" s="2423"/>
    </row>
    <row r="56689" spans="6:6">
      <c r="F56689" s="2423"/>
    </row>
    <row r="56690" spans="6:6">
      <c r="F56690" s="2423"/>
    </row>
    <row r="56691" spans="6:6">
      <c r="F56691" s="2423"/>
    </row>
    <row r="56692" spans="6:6">
      <c r="F56692" s="2423"/>
    </row>
    <row r="56693" spans="6:6">
      <c r="F56693" s="2423"/>
    </row>
    <row r="56694" spans="6:6">
      <c r="F56694" s="2423"/>
    </row>
    <row r="56695" spans="6:6">
      <c r="F56695" s="2423"/>
    </row>
    <row r="56696" spans="6:6">
      <c r="F56696" s="2423"/>
    </row>
    <row r="56697" spans="6:6">
      <c r="F56697" s="2423"/>
    </row>
    <row r="56698" spans="6:6">
      <c r="F56698" s="2423"/>
    </row>
    <row r="56699" spans="6:6">
      <c r="F56699" s="2423"/>
    </row>
    <row r="56700" spans="6:6">
      <c r="F56700" s="2423"/>
    </row>
    <row r="56701" spans="6:6">
      <c r="F56701" s="2423"/>
    </row>
    <row r="56702" spans="6:6">
      <c r="F56702" s="2423"/>
    </row>
    <row r="56703" spans="6:6">
      <c r="F56703" s="2423"/>
    </row>
    <row r="56704" spans="6:6">
      <c r="F56704" s="2423"/>
    </row>
    <row r="56705" spans="6:6">
      <c r="F56705" s="2423"/>
    </row>
    <row r="56706" spans="6:6">
      <c r="F56706" s="2423"/>
    </row>
    <row r="56707" spans="6:6">
      <c r="F56707" s="2423"/>
    </row>
    <row r="56708" spans="6:6">
      <c r="F56708" s="2423"/>
    </row>
    <row r="56709" spans="6:6">
      <c r="F56709" s="2423"/>
    </row>
    <row r="56710" spans="6:6">
      <c r="F56710" s="2423"/>
    </row>
    <row r="56711" spans="6:6">
      <c r="F56711" s="2423"/>
    </row>
    <row r="56712" spans="6:6">
      <c r="F56712" s="2423"/>
    </row>
    <row r="56713" spans="6:6">
      <c r="F56713" s="2423"/>
    </row>
    <row r="56714" spans="6:6">
      <c r="F56714" s="2423"/>
    </row>
    <row r="56715" spans="6:6">
      <c r="F56715" s="2423"/>
    </row>
    <row r="56716" spans="6:6">
      <c r="F56716" s="2423"/>
    </row>
    <row r="56717" spans="6:6">
      <c r="F56717" s="2423"/>
    </row>
    <row r="56718" spans="6:6">
      <c r="F56718" s="2423"/>
    </row>
    <row r="56719" spans="6:6">
      <c r="F56719" s="2423"/>
    </row>
    <row r="56720" spans="6:6">
      <c r="F56720" s="2423"/>
    </row>
    <row r="56721" spans="6:6">
      <c r="F56721" s="2423"/>
    </row>
    <row r="56722" spans="6:6">
      <c r="F56722" s="2423"/>
    </row>
    <row r="56723" spans="6:6">
      <c r="F56723" s="2423"/>
    </row>
    <row r="56724" spans="6:6">
      <c r="F56724" s="2423"/>
    </row>
    <row r="56725" spans="6:6">
      <c r="F56725" s="2423"/>
    </row>
    <row r="56726" spans="6:6">
      <c r="F56726" s="2423"/>
    </row>
    <row r="56727" spans="6:6">
      <c r="F56727" s="2423"/>
    </row>
    <row r="56728" spans="6:6">
      <c r="F56728" s="2423"/>
    </row>
    <row r="56729" spans="6:6">
      <c r="F56729" s="2423"/>
    </row>
    <row r="56730" spans="6:6">
      <c r="F56730" s="2423"/>
    </row>
    <row r="56731" spans="6:6">
      <c r="F56731" s="2423"/>
    </row>
    <row r="56732" spans="6:6">
      <c r="F56732" s="2423"/>
    </row>
    <row r="56733" spans="6:6">
      <c r="F56733" s="2423"/>
    </row>
    <row r="56734" spans="6:6">
      <c r="F56734" s="2423"/>
    </row>
    <row r="56735" spans="6:6">
      <c r="F56735" s="2423"/>
    </row>
    <row r="56736" spans="6:6">
      <c r="F56736" s="2423"/>
    </row>
    <row r="56737" spans="6:6">
      <c r="F56737" s="2423"/>
    </row>
    <row r="56738" spans="6:6">
      <c r="F56738" s="2423"/>
    </row>
    <row r="56739" spans="6:6">
      <c r="F56739" s="2423"/>
    </row>
    <row r="56740" spans="6:6">
      <c r="F56740" s="2423"/>
    </row>
    <row r="56741" spans="6:6">
      <c r="F56741" s="2423"/>
    </row>
    <row r="56742" spans="6:6">
      <c r="F56742" s="2423"/>
    </row>
    <row r="56743" spans="6:6">
      <c r="F56743" s="2423"/>
    </row>
    <row r="56744" spans="6:6">
      <c r="F56744" s="2423"/>
    </row>
    <row r="56745" spans="6:6">
      <c r="F56745" s="2423"/>
    </row>
    <row r="56746" spans="6:6">
      <c r="F56746" s="2423"/>
    </row>
    <row r="56747" spans="6:6">
      <c r="F56747" s="2423"/>
    </row>
    <row r="56748" spans="6:6">
      <c r="F56748" s="2423"/>
    </row>
    <row r="56749" spans="6:6">
      <c r="F56749" s="2423"/>
    </row>
    <row r="56750" spans="6:6">
      <c r="F56750" s="2423"/>
    </row>
    <row r="56751" spans="6:6">
      <c r="F56751" s="2423"/>
    </row>
    <row r="56752" spans="6:6">
      <c r="F56752" s="2423"/>
    </row>
    <row r="56753" spans="6:6">
      <c r="F56753" s="2423"/>
    </row>
    <row r="56754" spans="6:6">
      <c r="F56754" s="2423"/>
    </row>
    <row r="56755" spans="6:6">
      <c r="F56755" s="2423"/>
    </row>
    <row r="56756" spans="6:6">
      <c r="F56756" s="2423"/>
    </row>
    <row r="56757" spans="6:6">
      <c r="F56757" s="2423"/>
    </row>
    <row r="56758" spans="6:6">
      <c r="F56758" s="2423"/>
    </row>
    <row r="56759" spans="6:6">
      <c r="F56759" s="2423"/>
    </row>
    <row r="56760" spans="6:6">
      <c r="F56760" s="2423"/>
    </row>
    <row r="56761" spans="6:6">
      <c r="F56761" s="2423"/>
    </row>
    <row r="56762" spans="6:6">
      <c r="F56762" s="2423"/>
    </row>
    <row r="56763" spans="6:6">
      <c r="F56763" s="2423"/>
    </row>
    <row r="56764" spans="6:6">
      <c r="F56764" s="2423"/>
    </row>
    <row r="56765" spans="6:6">
      <c r="F56765" s="2423"/>
    </row>
    <row r="56766" spans="6:6">
      <c r="F56766" s="2423"/>
    </row>
    <row r="56767" spans="6:6">
      <c r="F56767" s="2423"/>
    </row>
    <row r="56768" spans="6:6">
      <c r="F56768" s="2423"/>
    </row>
    <row r="56769" spans="6:6">
      <c r="F56769" s="2423"/>
    </row>
    <row r="56770" spans="6:6">
      <c r="F56770" s="2423"/>
    </row>
    <row r="56771" spans="6:6">
      <c r="F56771" s="2423"/>
    </row>
    <row r="56772" spans="6:6">
      <c r="F56772" s="2423"/>
    </row>
    <row r="56773" spans="6:6">
      <c r="F56773" s="2423"/>
    </row>
    <row r="56774" spans="6:6">
      <c r="F56774" s="2423"/>
    </row>
    <row r="56775" spans="6:6">
      <c r="F56775" s="2423"/>
    </row>
    <row r="56776" spans="6:6">
      <c r="F56776" s="2423"/>
    </row>
    <row r="56777" spans="6:6">
      <c r="F56777" s="2423"/>
    </row>
    <row r="56778" spans="6:6">
      <c r="F56778" s="2423"/>
    </row>
    <row r="56779" spans="6:6">
      <c r="F56779" s="2423"/>
    </row>
    <row r="56780" spans="6:6">
      <c r="F56780" s="2423"/>
    </row>
    <row r="56781" spans="6:6">
      <c r="F56781" s="2423"/>
    </row>
    <row r="56782" spans="6:6">
      <c r="F56782" s="2423"/>
    </row>
    <row r="56783" spans="6:6">
      <c r="F56783" s="2423"/>
    </row>
    <row r="56784" spans="6:6">
      <c r="F56784" s="2423"/>
    </row>
    <row r="56785" spans="6:6">
      <c r="F56785" s="2423"/>
    </row>
    <row r="56786" spans="6:6">
      <c r="F56786" s="2423"/>
    </row>
    <row r="56787" spans="6:6">
      <c r="F56787" s="2423"/>
    </row>
    <row r="56788" spans="6:6">
      <c r="F56788" s="2423"/>
    </row>
    <row r="56789" spans="6:6">
      <c r="F56789" s="2423"/>
    </row>
    <row r="56790" spans="6:6">
      <c r="F56790" s="2423"/>
    </row>
    <row r="56791" spans="6:6">
      <c r="F56791" s="2423"/>
    </row>
    <row r="56792" spans="6:6">
      <c r="F56792" s="2423"/>
    </row>
    <row r="56793" spans="6:6">
      <c r="F56793" s="2423"/>
    </row>
    <row r="56794" spans="6:6">
      <c r="F56794" s="2423"/>
    </row>
    <row r="56795" spans="6:6">
      <c r="F56795" s="2423"/>
    </row>
    <row r="56796" spans="6:6">
      <c r="F56796" s="2423"/>
    </row>
    <row r="56797" spans="6:6">
      <c r="F56797" s="2423"/>
    </row>
    <row r="56798" spans="6:6">
      <c r="F56798" s="2423"/>
    </row>
    <row r="56799" spans="6:6">
      <c r="F56799" s="2423"/>
    </row>
    <row r="56800" spans="6:6">
      <c r="F56800" s="2423"/>
    </row>
    <row r="56801" spans="6:6">
      <c r="F56801" s="2423"/>
    </row>
    <row r="56802" spans="6:6">
      <c r="F56802" s="2423"/>
    </row>
    <row r="56803" spans="6:6">
      <c r="F56803" s="2423"/>
    </row>
    <row r="56804" spans="6:6">
      <c r="F56804" s="2423"/>
    </row>
    <row r="56805" spans="6:6">
      <c r="F56805" s="2423"/>
    </row>
    <row r="56806" spans="6:6">
      <c r="F56806" s="2423"/>
    </row>
    <row r="56807" spans="6:6">
      <c r="F56807" s="2423"/>
    </row>
    <row r="56808" spans="6:6">
      <c r="F56808" s="2423"/>
    </row>
    <row r="56809" spans="6:6">
      <c r="F56809" s="2423"/>
    </row>
    <row r="56810" spans="6:6">
      <c r="F56810" s="2423"/>
    </row>
    <row r="56811" spans="6:6">
      <c r="F56811" s="2423"/>
    </row>
    <row r="56812" spans="6:6">
      <c r="F56812" s="2423"/>
    </row>
    <row r="56813" spans="6:6">
      <c r="F56813" s="2423"/>
    </row>
    <row r="56814" spans="6:6">
      <c r="F56814" s="2423"/>
    </row>
    <row r="56815" spans="6:6">
      <c r="F56815" s="2423"/>
    </row>
    <row r="56816" spans="6:6">
      <c r="F56816" s="2423"/>
    </row>
    <row r="56817" spans="6:6">
      <c r="F56817" s="2423"/>
    </row>
    <row r="56818" spans="6:6">
      <c r="F56818" s="2423"/>
    </row>
    <row r="56819" spans="6:6">
      <c r="F56819" s="2423"/>
    </row>
    <row r="56820" spans="6:6">
      <c r="F56820" s="2423"/>
    </row>
    <row r="56821" spans="6:6">
      <c r="F56821" s="2423"/>
    </row>
    <row r="56822" spans="6:6">
      <c r="F56822" s="2423"/>
    </row>
    <row r="56823" spans="6:6">
      <c r="F56823" s="2423"/>
    </row>
    <row r="56824" spans="6:6">
      <c r="F56824" s="2423"/>
    </row>
    <row r="56825" spans="6:6">
      <c r="F56825" s="2423"/>
    </row>
    <row r="56826" spans="6:6">
      <c r="F56826" s="2423"/>
    </row>
    <row r="56827" spans="6:6">
      <c r="F56827" s="2423"/>
    </row>
    <row r="56828" spans="6:6">
      <c r="F56828" s="2423"/>
    </row>
    <row r="56829" spans="6:6">
      <c r="F56829" s="2423"/>
    </row>
    <row r="56830" spans="6:6">
      <c r="F56830" s="2423"/>
    </row>
    <row r="56831" spans="6:6">
      <c r="F56831" s="2423"/>
    </row>
    <row r="56832" spans="6:6">
      <c r="F56832" s="2423"/>
    </row>
    <row r="56833" spans="6:6">
      <c r="F56833" s="2423"/>
    </row>
    <row r="56834" spans="6:6">
      <c r="F56834" s="2423"/>
    </row>
    <row r="56835" spans="6:6">
      <c r="F56835" s="2423"/>
    </row>
    <row r="56836" spans="6:6">
      <c r="F56836" s="2423"/>
    </row>
    <row r="56837" spans="6:6">
      <c r="F56837" s="2423"/>
    </row>
    <row r="56838" spans="6:6">
      <c r="F56838" s="2423"/>
    </row>
    <row r="56839" spans="6:6">
      <c r="F56839" s="2423"/>
    </row>
    <row r="56840" spans="6:6">
      <c r="F56840" s="2423"/>
    </row>
    <row r="56841" spans="6:6">
      <c r="F56841" s="2423"/>
    </row>
    <row r="56842" spans="6:6">
      <c r="F56842" s="2423"/>
    </row>
    <row r="56843" spans="6:6">
      <c r="F56843" s="2423"/>
    </row>
    <row r="56844" spans="6:6">
      <c r="F56844" s="2423"/>
    </row>
    <row r="56845" spans="6:6">
      <c r="F56845" s="2423"/>
    </row>
    <row r="56846" spans="6:6">
      <c r="F56846" s="2423"/>
    </row>
    <row r="56847" spans="6:6">
      <c r="F56847" s="2423"/>
    </row>
    <row r="56848" spans="6:6">
      <c r="F56848" s="2423"/>
    </row>
    <row r="56849" spans="6:6">
      <c r="F56849" s="2423"/>
    </row>
    <row r="56850" spans="6:6">
      <c r="F56850" s="2423"/>
    </row>
    <row r="56851" spans="6:6">
      <c r="F56851" s="2423"/>
    </row>
    <row r="56852" spans="6:6">
      <c r="F56852" s="2423"/>
    </row>
    <row r="56853" spans="6:6">
      <c r="F56853" s="2423"/>
    </row>
    <row r="56854" spans="6:6">
      <c r="F56854" s="2423"/>
    </row>
    <row r="56855" spans="6:6">
      <c r="F56855" s="2423"/>
    </row>
    <row r="56856" spans="6:6">
      <c r="F56856" s="2423"/>
    </row>
    <row r="56857" spans="6:6">
      <c r="F56857" s="2423"/>
    </row>
    <row r="56858" spans="6:6">
      <c r="F56858" s="2423"/>
    </row>
    <row r="56859" spans="6:6">
      <c r="F56859" s="2423"/>
    </row>
    <row r="56860" spans="6:6">
      <c r="F56860" s="2423"/>
    </row>
    <row r="56861" spans="6:6">
      <c r="F56861" s="2423"/>
    </row>
    <row r="56862" spans="6:6">
      <c r="F56862" s="2423"/>
    </row>
    <row r="56863" spans="6:6">
      <c r="F56863" s="2423"/>
    </row>
    <row r="56864" spans="6:6">
      <c r="F56864" s="2423"/>
    </row>
    <row r="56865" spans="6:6">
      <c r="F56865" s="2423"/>
    </row>
    <row r="56866" spans="6:6">
      <c r="F56866" s="2423"/>
    </row>
    <row r="56867" spans="6:6">
      <c r="F56867" s="2423"/>
    </row>
    <row r="56868" spans="6:6">
      <c r="F56868" s="2423"/>
    </row>
    <row r="56869" spans="6:6">
      <c r="F56869" s="2423"/>
    </row>
    <row r="56870" spans="6:6">
      <c r="F56870" s="2423"/>
    </row>
    <row r="56871" spans="6:6">
      <c r="F56871" s="2423"/>
    </row>
    <row r="56872" spans="6:6">
      <c r="F56872" s="2423"/>
    </row>
    <row r="56873" spans="6:6">
      <c r="F56873" s="2423"/>
    </row>
    <row r="56874" spans="6:6">
      <c r="F56874" s="2423"/>
    </row>
    <row r="56875" spans="6:6">
      <c r="F56875" s="2423"/>
    </row>
    <row r="56876" spans="6:6">
      <c r="F56876" s="2423"/>
    </row>
    <row r="56877" spans="6:6">
      <c r="F56877" s="2423"/>
    </row>
    <row r="56878" spans="6:6">
      <c r="F56878" s="2423"/>
    </row>
    <row r="56879" spans="6:6">
      <c r="F56879" s="2423"/>
    </row>
    <row r="56880" spans="6:6">
      <c r="F56880" s="2423"/>
    </row>
    <row r="56881" spans="6:6">
      <c r="F56881" s="2423"/>
    </row>
    <row r="56882" spans="6:6">
      <c r="F56882" s="2423"/>
    </row>
    <row r="56883" spans="6:6">
      <c r="F56883" s="2423"/>
    </row>
    <row r="56884" spans="6:6">
      <c r="F56884" s="2423"/>
    </row>
    <row r="56885" spans="6:6">
      <c r="F56885" s="2423"/>
    </row>
    <row r="56886" spans="6:6">
      <c r="F56886" s="2423"/>
    </row>
    <row r="56887" spans="6:6">
      <c r="F56887" s="2423"/>
    </row>
    <row r="56888" spans="6:6">
      <c r="F56888" s="2423"/>
    </row>
    <row r="56889" spans="6:6">
      <c r="F56889" s="2423"/>
    </row>
    <row r="56890" spans="6:6">
      <c r="F56890" s="2423"/>
    </row>
    <row r="56891" spans="6:6">
      <c r="F56891" s="2423"/>
    </row>
    <row r="56892" spans="6:6">
      <c r="F56892" s="2423"/>
    </row>
    <row r="56893" spans="6:6">
      <c r="F56893" s="2423"/>
    </row>
    <row r="56894" spans="6:6">
      <c r="F56894" s="2423"/>
    </row>
    <row r="56895" spans="6:6">
      <c r="F56895" s="2423"/>
    </row>
    <row r="56896" spans="6:6">
      <c r="F56896" s="2423"/>
    </row>
    <row r="56897" spans="6:6">
      <c r="F56897" s="2423"/>
    </row>
    <row r="56898" spans="6:6">
      <c r="F56898" s="2423"/>
    </row>
    <row r="56899" spans="6:6">
      <c r="F56899" s="2423"/>
    </row>
    <row r="56900" spans="6:6">
      <c r="F56900" s="2423"/>
    </row>
    <row r="56901" spans="6:6">
      <c r="F56901" s="2423"/>
    </row>
    <row r="56902" spans="6:6">
      <c r="F56902" s="2423"/>
    </row>
    <row r="56903" spans="6:6">
      <c r="F56903" s="2423"/>
    </row>
    <row r="56904" spans="6:6">
      <c r="F56904" s="2423"/>
    </row>
    <row r="56905" spans="6:6">
      <c r="F56905" s="2423"/>
    </row>
    <row r="56906" spans="6:6">
      <c r="F56906" s="2423"/>
    </row>
    <row r="56907" spans="6:6">
      <c r="F56907" s="2423"/>
    </row>
    <row r="56908" spans="6:6">
      <c r="F56908" s="2423"/>
    </row>
    <row r="56909" spans="6:6">
      <c r="F56909" s="2423"/>
    </row>
    <row r="56910" spans="6:6">
      <c r="F56910" s="2423"/>
    </row>
    <row r="56911" spans="6:6">
      <c r="F56911" s="2423"/>
    </row>
    <row r="56912" spans="6:6">
      <c r="F56912" s="2423"/>
    </row>
    <row r="56913" spans="6:6">
      <c r="F56913" s="2423"/>
    </row>
    <row r="56914" spans="6:6">
      <c r="F56914" s="2423"/>
    </row>
    <row r="56915" spans="6:6">
      <c r="F56915" s="2423"/>
    </row>
    <row r="56916" spans="6:6">
      <c r="F56916" s="2423"/>
    </row>
    <row r="56917" spans="6:6">
      <c r="F56917" s="2423"/>
    </row>
    <row r="56918" spans="6:6">
      <c r="F56918" s="2423"/>
    </row>
    <row r="56919" spans="6:6">
      <c r="F56919" s="2423"/>
    </row>
    <row r="56920" spans="6:6">
      <c r="F56920" s="2423"/>
    </row>
    <row r="56921" spans="6:6">
      <c r="F56921" s="2423"/>
    </row>
    <row r="56922" spans="6:6">
      <c r="F56922" s="2423"/>
    </row>
    <row r="56923" spans="6:6">
      <c r="F56923" s="2423"/>
    </row>
    <row r="56924" spans="6:6">
      <c r="F56924" s="2423"/>
    </row>
    <row r="56925" spans="6:6">
      <c r="F56925" s="2423"/>
    </row>
    <row r="56926" spans="6:6">
      <c r="F56926" s="2423"/>
    </row>
    <row r="56927" spans="6:6">
      <c r="F56927" s="2423"/>
    </row>
    <row r="56928" spans="6:6">
      <c r="F56928" s="2423"/>
    </row>
    <row r="56929" spans="6:6">
      <c r="F56929" s="2423"/>
    </row>
    <row r="56930" spans="6:6">
      <c r="F56930" s="2423"/>
    </row>
    <row r="56931" spans="6:6">
      <c r="F56931" s="2423"/>
    </row>
    <row r="56932" spans="6:6">
      <c r="F56932" s="2423"/>
    </row>
    <row r="56933" spans="6:6">
      <c r="F56933" s="2423"/>
    </row>
    <row r="56934" spans="6:6">
      <c r="F56934" s="2423"/>
    </row>
    <row r="56935" spans="6:6">
      <c r="F56935" s="2423"/>
    </row>
    <row r="56936" spans="6:6">
      <c r="F56936" s="2423"/>
    </row>
    <row r="56937" spans="6:6">
      <c r="F56937" s="2423"/>
    </row>
    <row r="56938" spans="6:6">
      <c r="F56938" s="2423"/>
    </row>
    <row r="56939" spans="6:6">
      <c r="F56939" s="2423"/>
    </row>
    <row r="56940" spans="6:6">
      <c r="F56940" s="2423"/>
    </row>
    <row r="56941" spans="6:6">
      <c r="F56941" s="2423"/>
    </row>
    <row r="56942" spans="6:6">
      <c r="F56942" s="2423"/>
    </row>
    <row r="56943" spans="6:6">
      <c r="F56943" s="2423"/>
    </row>
    <row r="56944" spans="6:6">
      <c r="F56944" s="2423"/>
    </row>
    <row r="56945" spans="6:6">
      <c r="F56945" s="2423"/>
    </row>
    <row r="56946" spans="6:6">
      <c r="F56946" s="2423"/>
    </row>
    <row r="56947" spans="6:6">
      <c r="F56947" s="2423"/>
    </row>
    <row r="56948" spans="6:6">
      <c r="F56948" s="2423"/>
    </row>
    <row r="56949" spans="6:6">
      <c r="F56949" s="2423"/>
    </row>
    <row r="56950" spans="6:6">
      <c r="F56950" s="2423"/>
    </row>
    <row r="56951" spans="6:6">
      <c r="F56951" s="2423"/>
    </row>
    <row r="56952" spans="6:6">
      <c r="F56952" s="2423"/>
    </row>
    <row r="56953" spans="6:6">
      <c r="F56953" s="2423"/>
    </row>
    <row r="56954" spans="6:6">
      <c r="F56954" s="2423"/>
    </row>
    <row r="56955" spans="6:6">
      <c r="F56955" s="2423"/>
    </row>
    <row r="56956" spans="6:6">
      <c r="F56956" s="2423"/>
    </row>
    <row r="56957" spans="6:6">
      <c r="F56957" s="2423"/>
    </row>
    <row r="56958" spans="6:6">
      <c r="F56958" s="2423"/>
    </row>
    <row r="56959" spans="6:6">
      <c r="F56959" s="2423"/>
    </row>
    <row r="56960" spans="6:6">
      <c r="F56960" s="2423"/>
    </row>
    <row r="56961" spans="6:6">
      <c r="F56961" s="2423"/>
    </row>
    <row r="56962" spans="6:6">
      <c r="F56962" s="2423"/>
    </row>
    <row r="56963" spans="6:6">
      <c r="F56963" s="2423"/>
    </row>
    <row r="56964" spans="6:6">
      <c r="F56964" s="2423"/>
    </row>
    <row r="56965" spans="6:6">
      <c r="F56965" s="2423"/>
    </row>
    <row r="56966" spans="6:6">
      <c r="F56966" s="2423"/>
    </row>
    <row r="56967" spans="6:6">
      <c r="F56967" s="2423"/>
    </row>
    <row r="56968" spans="6:6">
      <c r="F56968" s="2423"/>
    </row>
    <row r="56969" spans="6:6">
      <c r="F56969" s="2423"/>
    </row>
    <row r="56970" spans="6:6">
      <c r="F56970" s="2423"/>
    </row>
    <row r="56971" spans="6:6">
      <c r="F56971" s="2423"/>
    </row>
    <row r="56972" spans="6:6">
      <c r="F56972" s="2423"/>
    </row>
    <row r="56973" spans="6:6">
      <c r="F56973" s="2423"/>
    </row>
    <row r="56974" spans="6:6">
      <c r="F56974" s="2423"/>
    </row>
    <row r="56975" spans="6:6">
      <c r="F56975" s="2423"/>
    </row>
    <row r="56976" spans="6:6">
      <c r="F56976" s="2423"/>
    </row>
    <row r="56977" spans="6:6">
      <c r="F56977" s="2423"/>
    </row>
    <row r="56978" spans="6:6">
      <c r="F56978" s="2423"/>
    </row>
    <row r="56979" spans="6:6">
      <c r="F56979" s="2423"/>
    </row>
    <row r="56980" spans="6:6">
      <c r="F56980" s="2423"/>
    </row>
    <row r="56981" spans="6:6">
      <c r="F56981" s="2423"/>
    </row>
    <row r="56982" spans="6:6">
      <c r="F56982" s="2423"/>
    </row>
    <row r="56983" spans="6:6">
      <c r="F56983" s="2423"/>
    </row>
    <row r="56984" spans="6:6">
      <c r="F56984" s="2423"/>
    </row>
    <row r="56985" spans="6:6">
      <c r="F56985" s="2423"/>
    </row>
    <row r="56986" spans="6:6">
      <c r="F56986" s="2423"/>
    </row>
    <row r="56987" spans="6:6">
      <c r="F56987" s="2423"/>
    </row>
    <row r="56988" spans="6:6">
      <c r="F56988" s="2423"/>
    </row>
    <row r="56989" spans="6:6">
      <c r="F56989" s="2423"/>
    </row>
    <row r="56990" spans="6:6">
      <c r="F56990" s="2423"/>
    </row>
    <row r="56991" spans="6:6">
      <c r="F56991" s="2423"/>
    </row>
    <row r="56992" spans="6:6">
      <c r="F56992" s="2423"/>
    </row>
    <row r="56993" spans="6:6">
      <c r="F56993" s="2423"/>
    </row>
    <row r="56994" spans="6:6">
      <c r="F56994" s="2423"/>
    </row>
    <row r="56995" spans="6:6">
      <c r="F56995" s="2423"/>
    </row>
    <row r="56996" spans="6:6">
      <c r="F56996" s="2423"/>
    </row>
    <row r="56997" spans="6:6">
      <c r="F56997" s="2423"/>
    </row>
    <row r="56998" spans="6:6">
      <c r="F56998" s="2423"/>
    </row>
    <row r="56999" spans="6:6">
      <c r="F56999" s="2423"/>
    </row>
    <row r="57000" spans="6:6">
      <c r="F57000" s="2423"/>
    </row>
    <row r="57001" spans="6:6">
      <c r="F57001" s="2423"/>
    </row>
    <row r="57002" spans="6:6">
      <c r="F57002" s="2423"/>
    </row>
    <row r="57003" spans="6:6">
      <c r="F57003" s="2423"/>
    </row>
    <row r="57004" spans="6:6">
      <c r="F57004" s="2423"/>
    </row>
    <row r="57005" spans="6:6">
      <c r="F57005" s="2423"/>
    </row>
    <row r="57006" spans="6:6">
      <c r="F57006" s="2423"/>
    </row>
    <row r="57007" spans="6:6">
      <c r="F57007" s="2423"/>
    </row>
    <row r="57008" spans="6:6">
      <c r="F57008" s="2423"/>
    </row>
    <row r="57009" spans="6:6">
      <c r="F57009" s="2423"/>
    </row>
    <row r="57010" spans="6:6">
      <c r="F57010" s="2423"/>
    </row>
    <row r="57011" spans="6:6">
      <c r="F57011" s="2423"/>
    </row>
    <row r="57012" spans="6:6">
      <c r="F57012" s="2423"/>
    </row>
    <row r="57013" spans="6:6">
      <c r="F57013" s="2423"/>
    </row>
    <row r="57014" spans="6:6">
      <c r="F57014" s="2423"/>
    </row>
    <row r="57015" spans="6:6">
      <c r="F57015" s="2423"/>
    </row>
    <row r="57016" spans="6:6">
      <c r="F57016" s="2423"/>
    </row>
    <row r="57017" spans="6:6">
      <c r="F57017" s="2423"/>
    </row>
    <row r="57018" spans="6:6">
      <c r="F57018" s="2423"/>
    </row>
    <row r="57019" spans="6:6">
      <c r="F57019" s="2423"/>
    </row>
    <row r="57020" spans="6:6">
      <c r="F57020" s="2423"/>
    </row>
    <row r="57021" spans="6:6">
      <c r="F57021" s="2423"/>
    </row>
    <row r="57022" spans="6:6">
      <c r="F57022" s="2423"/>
    </row>
    <row r="57023" spans="6:6">
      <c r="F57023" s="2423"/>
    </row>
    <row r="57024" spans="6:6">
      <c r="F57024" s="2423"/>
    </row>
    <row r="57025" spans="6:6">
      <c r="F57025" s="2423"/>
    </row>
    <row r="57026" spans="6:6">
      <c r="F57026" s="2423"/>
    </row>
    <row r="57027" spans="6:6">
      <c r="F57027" s="2423"/>
    </row>
    <row r="57028" spans="6:6">
      <c r="F57028" s="2423"/>
    </row>
    <row r="57029" spans="6:6">
      <c r="F57029" s="2423"/>
    </row>
    <row r="57030" spans="6:6">
      <c r="F57030" s="2423"/>
    </row>
    <row r="57031" spans="6:6">
      <c r="F57031" s="2423"/>
    </row>
    <row r="57032" spans="6:6">
      <c r="F57032" s="2423"/>
    </row>
    <row r="57033" spans="6:6">
      <c r="F57033" s="2423"/>
    </row>
    <row r="57034" spans="6:6">
      <c r="F57034" s="2423"/>
    </row>
    <row r="57035" spans="6:6">
      <c r="F57035" s="2423"/>
    </row>
    <row r="57036" spans="6:6">
      <c r="F57036" s="2423"/>
    </row>
    <row r="57037" spans="6:6">
      <c r="F57037" s="2423"/>
    </row>
    <row r="57038" spans="6:6">
      <c r="F57038" s="2423"/>
    </row>
    <row r="57039" spans="6:6">
      <c r="F57039" s="2423"/>
    </row>
    <row r="57040" spans="6:6">
      <c r="F57040" s="2423"/>
    </row>
    <row r="57041" spans="6:6">
      <c r="F57041" s="2423"/>
    </row>
    <row r="57042" spans="6:6">
      <c r="F57042" s="2423"/>
    </row>
    <row r="57043" spans="6:6">
      <c r="F57043" s="2423"/>
    </row>
    <row r="57044" spans="6:6">
      <c r="F57044" s="2423"/>
    </row>
    <row r="57045" spans="6:6">
      <c r="F57045" s="2423"/>
    </row>
    <row r="57046" spans="6:6">
      <c r="F57046" s="2423"/>
    </row>
    <row r="57047" spans="6:6">
      <c r="F57047" s="2423"/>
    </row>
    <row r="57048" spans="6:6">
      <c r="F57048" s="2423"/>
    </row>
    <row r="57049" spans="6:6">
      <c r="F57049" s="2423"/>
    </row>
    <row r="57050" spans="6:6">
      <c r="F57050" s="2423"/>
    </row>
    <row r="57051" spans="6:6">
      <c r="F57051" s="2423"/>
    </row>
    <row r="57052" spans="6:6">
      <c r="F57052" s="2423"/>
    </row>
    <row r="57053" spans="6:6">
      <c r="F57053" s="2423"/>
    </row>
    <row r="57054" spans="6:6">
      <c r="F57054" s="2423"/>
    </row>
    <row r="57055" spans="6:6">
      <c r="F57055" s="2423"/>
    </row>
    <row r="57056" spans="6:6">
      <c r="F57056" s="2423"/>
    </row>
    <row r="57057" spans="6:6">
      <c r="F57057" s="2423"/>
    </row>
    <row r="57058" spans="6:6">
      <c r="F57058" s="2423"/>
    </row>
    <row r="57059" spans="6:6">
      <c r="F57059" s="2423"/>
    </row>
    <row r="57060" spans="6:6">
      <c r="F57060" s="2423"/>
    </row>
    <row r="57061" spans="6:6">
      <c r="F57061" s="2423"/>
    </row>
    <row r="57062" spans="6:6">
      <c r="F57062" s="2423"/>
    </row>
    <row r="57063" spans="6:6">
      <c r="F57063" s="2423"/>
    </row>
    <row r="57064" spans="6:6">
      <c r="F57064" s="2423"/>
    </row>
    <row r="57065" spans="6:6">
      <c r="F57065" s="2423"/>
    </row>
    <row r="57066" spans="6:6">
      <c r="F57066" s="2423"/>
    </row>
    <row r="57067" spans="6:6">
      <c r="F57067" s="2423"/>
    </row>
    <row r="57068" spans="6:6">
      <c r="F57068" s="2423"/>
    </row>
    <row r="57069" spans="6:6">
      <c r="F57069" s="2423"/>
    </row>
    <row r="57070" spans="6:6">
      <c r="F57070" s="2423"/>
    </row>
    <row r="57071" spans="6:6">
      <c r="F57071" s="2423"/>
    </row>
    <row r="57072" spans="6:6">
      <c r="F57072" s="2423"/>
    </row>
    <row r="57073" spans="6:6">
      <c r="F57073" s="2423"/>
    </row>
    <row r="57074" spans="6:6">
      <c r="F57074" s="2423"/>
    </row>
    <row r="57075" spans="6:6">
      <c r="F57075" s="2423"/>
    </row>
    <row r="57076" spans="6:6">
      <c r="F57076" s="2423"/>
    </row>
    <row r="57077" spans="6:6">
      <c r="F57077" s="2423"/>
    </row>
    <row r="57078" spans="6:6">
      <c r="F57078" s="2423"/>
    </row>
    <row r="57079" spans="6:6">
      <c r="F57079" s="2423"/>
    </row>
    <row r="57080" spans="6:6">
      <c r="F57080" s="2423"/>
    </row>
    <row r="57081" spans="6:6">
      <c r="F57081" s="2423"/>
    </row>
    <row r="57082" spans="6:6">
      <c r="F57082" s="2423"/>
    </row>
    <row r="57083" spans="6:6">
      <c r="F57083" s="2423"/>
    </row>
    <row r="57084" spans="6:6">
      <c r="F57084" s="2423"/>
    </row>
    <row r="57085" spans="6:6">
      <c r="F57085" s="2423"/>
    </row>
    <row r="57086" spans="6:6">
      <c r="F57086" s="2423"/>
    </row>
    <row r="57087" spans="6:6">
      <c r="F57087" s="2423"/>
    </row>
    <row r="57088" spans="6:6">
      <c r="F57088" s="2423"/>
    </row>
    <row r="57089" spans="6:6">
      <c r="F57089" s="2423"/>
    </row>
    <row r="57090" spans="6:6">
      <c r="F57090" s="2423"/>
    </row>
    <row r="57091" spans="6:6">
      <c r="F57091" s="2423"/>
    </row>
    <row r="57092" spans="6:6">
      <c r="F57092" s="2423"/>
    </row>
    <row r="57093" spans="6:6">
      <c r="F57093" s="2423"/>
    </row>
    <row r="57094" spans="6:6">
      <c r="F57094" s="2423"/>
    </row>
    <row r="57095" spans="6:6">
      <c r="F57095" s="2423"/>
    </row>
    <row r="57096" spans="6:6">
      <c r="F57096" s="2423"/>
    </row>
    <row r="57097" spans="6:6">
      <c r="F57097" s="2423"/>
    </row>
    <row r="57098" spans="6:6">
      <c r="F57098" s="2423"/>
    </row>
    <row r="57099" spans="6:6">
      <c r="F57099" s="2423"/>
    </row>
    <row r="57100" spans="6:6">
      <c r="F57100" s="2423"/>
    </row>
    <row r="57101" spans="6:6">
      <c r="F57101" s="2423"/>
    </row>
    <row r="57102" spans="6:6">
      <c r="F57102" s="2423"/>
    </row>
    <row r="57103" spans="6:6">
      <c r="F57103" s="2423"/>
    </row>
    <row r="57104" spans="6:6">
      <c r="F57104" s="2423"/>
    </row>
    <row r="57105" spans="6:6">
      <c r="F57105" s="2423"/>
    </row>
    <row r="57106" spans="6:6">
      <c r="F57106" s="2423"/>
    </row>
    <row r="57107" spans="6:6">
      <c r="F57107" s="2423"/>
    </row>
    <row r="57108" spans="6:6">
      <c r="F57108" s="2423"/>
    </row>
    <row r="57109" spans="6:6">
      <c r="F57109" s="2423"/>
    </row>
    <row r="57110" spans="6:6">
      <c r="F57110" s="2423"/>
    </row>
    <row r="57111" spans="6:6">
      <c r="F57111" s="2423"/>
    </row>
    <row r="57112" spans="6:6">
      <c r="F57112" s="2423"/>
    </row>
    <row r="57113" spans="6:6">
      <c r="F57113" s="2423"/>
    </row>
    <row r="57114" spans="6:6">
      <c r="F57114" s="2423"/>
    </row>
    <row r="57115" spans="6:6">
      <c r="F57115" s="2423"/>
    </row>
    <row r="57116" spans="6:6">
      <c r="F57116" s="2423"/>
    </row>
    <row r="57117" spans="6:6">
      <c r="F57117" s="2423"/>
    </row>
    <row r="57118" spans="6:6">
      <c r="F57118" s="2423"/>
    </row>
    <row r="57119" spans="6:6">
      <c r="F57119" s="2423"/>
    </row>
    <row r="57120" spans="6:6">
      <c r="F57120" s="2423"/>
    </row>
    <row r="57121" spans="6:6">
      <c r="F57121" s="2423"/>
    </row>
    <row r="57122" spans="6:6">
      <c r="F57122" s="2423"/>
    </row>
    <row r="57123" spans="6:6">
      <c r="F57123" s="2423"/>
    </row>
    <row r="57124" spans="6:6">
      <c r="F57124" s="2423"/>
    </row>
    <row r="57125" spans="6:6">
      <c r="F57125" s="2423"/>
    </row>
    <row r="57126" spans="6:6">
      <c r="F57126" s="2423"/>
    </row>
    <row r="57127" spans="6:6">
      <c r="F57127" s="2423"/>
    </row>
    <row r="57128" spans="6:6">
      <c r="F57128" s="2423"/>
    </row>
    <row r="57129" spans="6:6">
      <c r="F57129" s="2423"/>
    </row>
    <row r="57130" spans="6:6">
      <c r="F57130" s="2423"/>
    </row>
    <row r="57131" spans="6:6">
      <c r="F57131" s="2423"/>
    </row>
    <row r="57132" spans="6:6">
      <c r="F57132" s="2423"/>
    </row>
    <row r="57133" spans="6:6">
      <c r="F57133" s="2423"/>
    </row>
    <row r="57134" spans="6:6">
      <c r="F57134" s="2423"/>
    </row>
    <row r="57135" spans="6:6">
      <c r="F57135" s="2423"/>
    </row>
    <row r="57136" spans="6:6">
      <c r="F57136" s="2423"/>
    </row>
    <row r="57137" spans="6:6">
      <c r="F57137" s="2423"/>
    </row>
    <row r="57138" spans="6:6">
      <c r="F57138" s="2423"/>
    </row>
    <row r="57139" spans="6:6">
      <c r="F57139" s="2423"/>
    </row>
    <row r="57140" spans="6:6">
      <c r="F57140" s="2423"/>
    </row>
    <row r="57141" spans="6:6">
      <c r="F57141" s="2423"/>
    </row>
    <row r="57142" spans="6:6">
      <c r="F57142" s="2423"/>
    </row>
    <row r="57143" spans="6:6">
      <c r="F57143" s="2423"/>
    </row>
    <row r="57144" spans="6:6">
      <c r="F57144" s="2423"/>
    </row>
    <row r="57145" spans="6:6">
      <c r="F57145" s="2423"/>
    </row>
    <row r="57146" spans="6:6">
      <c r="F57146" s="2423"/>
    </row>
    <row r="57147" spans="6:6">
      <c r="F57147" s="2423"/>
    </row>
    <row r="57148" spans="6:6">
      <c r="F57148" s="2423"/>
    </row>
    <row r="57149" spans="6:6">
      <c r="F57149" s="2423"/>
    </row>
    <row r="57150" spans="6:6">
      <c r="F57150" s="2423"/>
    </row>
    <row r="57151" spans="6:6">
      <c r="F57151" s="2423"/>
    </row>
    <row r="57152" spans="6:6">
      <c r="F57152" s="2423"/>
    </row>
    <row r="57153" spans="6:6">
      <c r="F57153" s="2423"/>
    </row>
    <row r="57154" spans="6:6">
      <c r="F57154" s="2423"/>
    </row>
    <row r="57155" spans="6:6">
      <c r="F57155" s="2423"/>
    </row>
    <row r="57156" spans="6:6">
      <c r="F57156" s="2423"/>
    </row>
    <row r="57157" spans="6:6">
      <c r="F57157" s="2423"/>
    </row>
    <row r="57158" spans="6:6">
      <c r="F57158" s="2423"/>
    </row>
    <row r="57159" spans="6:6">
      <c r="F57159" s="2423"/>
    </row>
    <row r="57160" spans="6:6">
      <c r="F57160" s="2423"/>
    </row>
    <row r="57161" spans="6:6">
      <c r="F57161" s="2423"/>
    </row>
    <row r="57162" spans="6:6">
      <c r="F57162" s="2423"/>
    </row>
    <row r="57163" spans="6:6">
      <c r="F57163" s="2423"/>
    </row>
    <row r="57164" spans="6:6">
      <c r="F57164" s="2423"/>
    </row>
    <row r="57165" spans="6:6">
      <c r="F57165" s="2423"/>
    </row>
    <row r="57166" spans="6:6">
      <c r="F57166" s="2423"/>
    </row>
    <row r="57167" spans="6:6">
      <c r="F57167" s="2423"/>
    </row>
    <row r="57168" spans="6:6">
      <c r="F57168" s="2423"/>
    </row>
    <row r="57169" spans="6:6">
      <c r="F57169" s="2423"/>
    </row>
    <row r="57170" spans="6:6">
      <c r="F57170" s="2423"/>
    </row>
    <row r="57171" spans="6:6">
      <c r="F57171" s="2423"/>
    </row>
    <row r="57172" spans="6:6">
      <c r="F57172" s="2423"/>
    </row>
    <row r="57173" spans="6:6">
      <c r="F57173" s="2423"/>
    </row>
    <row r="57174" spans="6:6">
      <c r="F57174" s="2423"/>
    </row>
    <row r="57175" spans="6:6">
      <c r="F57175" s="2423"/>
    </row>
    <row r="57176" spans="6:6">
      <c r="F57176" s="2423"/>
    </row>
    <row r="57177" spans="6:6">
      <c r="F57177" s="2423"/>
    </row>
    <row r="57178" spans="6:6">
      <c r="F57178" s="2423"/>
    </row>
    <row r="57179" spans="6:6">
      <c r="F57179" s="2423"/>
    </row>
    <row r="57180" spans="6:6">
      <c r="F57180" s="2423"/>
    </row>
    <row r="57181" spans="6:6">
      <c r="F57181" s="2423"/>
    </row>
    <row r="57182" spans="6:6">
      <c r="F57182" s="2423"/>
    </row>
    <row r="57183" spans="6:6">
      <c r="F57183" s="2423"/>
    </row>
    <row r="57184" spans="6:6">
      <c r="F57184" s="2423"/>
    </row>
    <row r="57185" spans="6:6">
      <c r="F57185" s="2423"/>
    </row>
    <row r="57186" spans="6:6">
      <c r="F57186" s="2423"/>
    </row>
    <row r="57187" spans="6:6">
      <c r="F57187" s="2423"/>
    </row>
    <row r="57188" spans="6:6">
      <c r="F57188" s="2423"/>
    </row>
    <row r="57189" spans="6:6">
      <c r="F57189" s="2423"/>
    </row>
    <row r="57190" spans="6:6">
      <c r="F57190" s="2423"/>
    </row>
    <row r="57191" spans="6:6">
      <c r="F57191" s="2423"/>
    </row>
    <row r="57192" spans="6:6">
      <c r="F57192" s="2423"/>
    </row>
    <row r="57193" spans="6:6">
      <c r="F57193" s="2423"/>
    </row>
    <row r="57194" spans="6:6">
      <c r="F57194" s="2423"/>
    </row>
    <row r="57195" spans="6:6">
      <c r="F57195" s="2423"/>
    </row>
    <row r="57196" spans="6:6">
      <c r="F57196" s="2423"/>
    </row>
    <row r="57197" spans="6:6">
      <c r="F57197" s="2423"/>
    </row>
    <row r="57198" spans="6:6">
      <c r="F57198" s="2423"/>
    </row>
    <row r="57199" spans="6:6">
      <c r="F57199" s="2423"/>
    </row>
    <row r="57200" spans="6:6">
      <c r="F57200" s="2423"/>
    </row>
    <row r="57201" spans="6:6">
      <c r="F57201" s="2423"/>
    </row>
    <row r="57202" spans="6:6">
      <c r="F57202" s="2423"/>
    </row>
    <row r="57203" spans="6:6">
      <c r="F57203" s="2423"/>
    </row>
    <row r="57204" spans="6:6">
      <c r="F57204" s="2423"/>
    </row>
    <row r="57205" spans="6:6">
      <c r="F57205" s="2423"/>
    </row>
    <row r="57206" spans="6:6">
      <c r="F57206" s="2423"/>
    </row>
    <row r="57207" spans="6:6">
      <c r="F57207" s="2423"/>
    </row>
    <row r="57208" spans="6:6">
      <c r="F57208" s="2423"/>
    </row>
    <row r="57209" spans="6:6">
      <c r="F57209" s="2423"/>
    </row>
    <row r="57210" spans="6:6">
      <c r="F57210" s="2423"/>
    </row>
    <row r="57211" spans="6:6">
      <c r="F57211" s="2423"/>
    </row>
    <row r="57212" spans="6:6">
      <c r="F57212" s="2423"/>
    </row>
    <row r="57213" spans="6:6">
      <c r="F57213" s="2423"/>
    </row>
    <row r="57214" spans="6:6">
      <c r="F57214" s="2423"/>
    </row>
    <row r="57215" spans="6:6">
      <c r="F57215" s="2423"/>
    </row>
    <row r="57216" spans="6:6">
      <c r="F57216" s="2423"/>
    </row>
    <row r="57217" spans="6:6">
      <c r="F57217" s="2423"/>
    </row>
    <row r="57218" spans="6:6">
      <c r="F57218" s="2423"/>
    </row>
    <row r="57219" spans="6:6">
      <c r="F57219" s="2423"/>
    </row>
    <row r="57220" spans="6:6">
      <c r="F57220" s="2423"/>
    </row>
    <row r="57221" spans="6:6">
      <c r="F57221" s="2423"/>
    </row>
    <row r="57222" spans="6:6">
      <c r="F57222" s="2423"/>
    </row>
    <row r="57223" spans="6:6">
      <c r="F57223" s="2423"/>
    </row>
    <row r="57224" spans="6:6">
      <c r="F57224" s="2423"/>
    </row>
    <row r="57225" spans="6:6">
      <c r="F57225" s="2423"/>
    </row>
    <row r="57226" spans="6:6">
      <c r="F57226" s="2423"/>
    </row>
    <row r="57227" spans="6:6">
      <c r="F57227" s="2423"/>
    </row>
    <row r="57228" spans="6:6">
      <c r="F57228" s="2423"/>
    </row>
    <row r="57229" spans="6:6">
      <c r="F57229" s="2423"/>
    </row>
    <row r="57230" spans="6:6">
      <c r="F57230" s="2423"/>
    </row>
    <row r="57231" spans="6:6">
      <c r="F57231" s="2423"/>
    </row>
    <row r="57232" spans="6:6">
      <c r="F57232" s="2423"/>
    </row>
    <row r="57233" spans="6:6">
      <c r="F57233" s="2423"/>
    </row>
    <row r="57234" spans="6:6">
      <c r="F57234" s="2423"/>
    </row>
    <row r="57235" spans="6:6">
      <c r="F57235" s="2423"/>
    </row>
    <row r="57236" spans="6:6">
      <c r="F57236" s="2423"/>
    </row>
    <row r="57237" spans="6:6">
      <c r="F57237" s="2423"/>
    </row>
    <row r="57238" spans="6:6">
      <c r="F57238" s="2423"/>
    </row>
    <row r="57239" spans="6:6">
      <c r="F57239" s="2423"/>
    </row>
    <row r="57240" spans="6:6">
      <c r="F57240" s="2423"/>
    </row>
    <row r="57241" spans="6:6">
      <c r="F57241" s="2423"/>
    </row>
    <row r="57242" spans="6:6">
      <c r="F57242" s="2423"/>
    </row>
    <row r="57243" spans="6:6">
      <c r="F57243" s="2423"/>
    </row>
    <row r="57244" spans="6:6">
      <c r="F57244" s="2423"/>
    </row>
    <row r="57245" spans="6:6">
      <c r="F57245" s="2423"/>
    </row>
    <row r="57246" spans="6:6">
      <c r="F57246" s="2423"/>
    </row>
    <row r="57247" spans="6:6">
      <c r="F57247" s="2423"/>
    </row>
    <row r="57248" spans="6:6">
      <c r="F57248" s="2423"/>
    </row>
    <row r="57249" spans="6:6">
      <c r="F57249" s="2423"/>
    </row>
    <row r="57250" spans="6:6">
      <c r="F57250" s="2423"/>
    </row>
    <row r="57251" spans="6:6">
      <c r="F57251" s="2423"/>
    </row>
    <row r="57252" spans="6:6">
      <c r="F57252" s="2423"/>
    </row>
    <row r="57253" spans="6:6">
      <c r="F57253" s="2423"/>
    </row>
    <row r="57254" spans="6:6">
      <c r="F57254" s="2423"/>
    </row>
    <row r="57255" spans="6:6">
      <c r="F57255" s="2423"/>
    </row>
    <row r="57256" spans="6:6">
      <c r="F57256" s="2423"/>
    </row>
    <row r="57257" spans="6:6">
      <c r="F57257" s="2423"/>
    </row>
    <row r="57258" spans="6:6">
      <c r="F57258" s="2423"/>
    </row>
    <row r="57259" spans="6:6">
      <c r="F57259" s="2423"/>
    </row>
    <row r="57260" spans="6:6">
      <c r="F57260" s="2423"/>
    </row>
    <row r="57261" spans="6:6">
      <c r="F57261" s="2423"/>
    </row>
    <row r="57262" spans="6:6">
      <c r="F57262" s="2423"/>
    </row>
    <row r="57263" spans="6:6">
      <c r="F57263" s="2423"/>
    </row>
    <row r="57264" spans="6:6">
      <c r="F57264" s="2423"/>
    </row>
    <row r="57265" spans="6:6">
      <c r="F57265" s="2423"/>
    </row>
    <row r="57266" spans="6:6">
      <c r="F57266" s="2423"/>
    </row>
    <row r="57267" spans="6:6">
      <c r="F57267" s="2423"/>
    </row>
    <row r="57268" spans="6:6">
      <c r="F57268" s="2423"/>
    </row>
    <row r="57269" spans="6:6">
      <c r="F57269" s="2423"/>
    </row>
    <row r="57270" spans="6:6">
      <c r="F57270" s="2423"/>
    </row>
    <row r="57271" spans="6:6">
      <c r="F57271" s="2423"/>
    </row>
    <row r="57272" spans="6:6">
      <c r="F57272" s="2423"/>
    </row>
    <row r="57273" spans="6:6">
      <c r="F57273" s="2423"/>
    </row>
    <row r="57274" spans="6:6">
      <c r="F57274" s="2423"/>
    </row>
    <row r="57275" spans="6:6">
      <c r="F57275" s="2423"/>
    </row>
    <row r="57276" spans="6:6">
      <c r="F57276" s="2423"/>
    </row>
    <row r="57277" spans="6:6">
      <c r="F57277" s="2423"/>
    </row>
    <row r="57278" spans="6:6">
      <c r="F57278" s="2423"/>
    </row>
    <row r="57279" spans="6:6">
      <c r="F57279" s="2423"/>
    </row>
    <row r="57280" spans="6:6">
      <c r="F57280" s="2423"/>
    </row>
    <row r="57281" spans="6:6">
      <c r="F57281" s="2423"/>
    </row>
    <row r="57282" spans="6:6">
      <c r="F57282" s="2423"/>
    </row>
    <row r="57283" spans="6:6">
      <c r="F57283" s="2423"/>
    </row>
    <row r="57284" spans="6:6">
      <c r="F57284" s="2423"/>
    </row>
    <row r="57285" spans="6:6">
      <c r="F57285" s="2423"/>
    </row>
    <row r="57286" spans="6:6">
      <c r="F57286" s="2423"/>
    </row>
    <row r="57287" spans="6:6">
      <c r="F57287" s="2423"/>
    </row>
    <row r="57288" spans="6:6">
      <c r="F57288" s="2423"/>
    </row>
    <row r="57289" spans="6:6">
      <c r="F57289" s="2423"/>
    </row>
    <row r="57290" spans="6:6">
      <c r="F57290" s="2423"/>
    </row>
    <row r="57291" spans="6:6">
      <c r="F57291" s="2423"/>
    </row>
    <row r="57292" spans="6:6">
      <c r="F57292" s="2423"/>
    </row>
    <row r="57293" spans="6:6">
      <c r="F57293" s="2423"/>
    </row>
    <row r="57294" spans="6:6">
      <c r="F57294" s="2423"/>
    </row>
    <row r="57295" spans="6:6">
      <c r="F57295" s="2423"/>
    </row>
    <row r="57296" spans="6:6">
      <c r="F57296" s="2423"/>
    </row>
    <row r="57297" spans="6:6">
      <c r="F57297" s="2423"/>
    </row>
    <row r="57298" spans="6:6">
      <c r="F57298" s="2423"/>
    </row>
    <row r="57299" spans="6:6">
      <c r="F57299" s="2423"/>
    </row>
    <row r="57300" spans="6:6">
      <c r="F57300" s="2423"/>
    </row>
    <row r="57301" spans="6:6">
      <c r="F57301" s="2423"/>
    </row>
    <row r="57302" spans="6:6">
      <c r="F57302" s="2423"/>
    </row>
    <row r="57303" spans="6:6">
      <c r="F57303" s="2423"/>
    </row>
    <row r="57304" spans="6:6">
      <c r="F57304" s="2423"/>
    </row>
    <row r="57305" spans="6:6">
      <c r="F57305" s="2423"/>
    </row>
    <row r="57306" spans="6:6">
      <c r="F57306" s="2423"/>
    </row>
    <row r="57307" spans="6:6">
      <c r="F57307" s="2423"/>
    </row>
    <row r="57308" spans="6:6">
      <c r="F57308" s="2423"/>
    </row>
    <row r="57309" spans="6:6">
      <c r="F57309" s="2423"/>
    </row>
    <row r="57310" spans="6:6">
      <c r="F57310" s="2423"/>
    </row>
    <row r="57311" spans="6:6">
      <c r="F57311" s="2423"/>
    </row>
    <row r="57312" spans="6:6">
      <c r="F57312" s="2423"/>
    </row>
    <row r="57313" spans="6:6">
      <c r="F57313" s="2423"/>
    </row>
    <row r="57314" spans="6:6">
      <c r="F57314" s="2423"/>
    </row>
    <row r="57315" spans="6:6">
      <c r="F57315" s="2423"/>
    </row>
    <row r="57316" spans="6:6">
      <c r="F57316" s="2423"/>
    </row>
    <row r="57317" spans="6:6">
      <c r="F57317" s="2423"/>
    </row>
    <row r="57318" spans="6:6">
      <c r="F57318" s="2423"/>
    </row>
    <row r="57319" spans="6:6">
      <c r="F57319" s="2423"/>
    </row>
    <row r="57320" spans="6:6">
      <c r="F57320" s="2423"/>
    </row>
    <row r="57321" spans="6:6">
      <c r="F57321" s="2423"/>
    </row>
    <row r="57322" spans="6:6">
      <c r="F57322" s="2423"/>
    </row>
    <row r="57323" spans="6:6">
      <c r="F57323" s="2423"/>
    </row>
    <row r="57324" spans="6:6">
      <c r="F57324" s="2423"/>
    </row>
    <row r="57325" spans="6:6">
      <c r="F57325" s="2423"/>
    </row>
    <row r="57326" spans="6:6">
      <c r="F57326" s="2423"/>
    </row>
    <row r="57327" spans="6:6">
      <c r="F57327" s="2423"/>
    </row>
    <row r="57328" spans="6:6">
      <c r="F57328" s="2423"/>
    </row>
    <row r="57329" spans="6:6">
      <c r="F57329" s="2423"/>
    </row>
    <row r="57330" spans="6:6">
      <c r="F57330" s="2423"/>
    </row>
    <row r="57331" spans="6:6">
      <c r="F57331" s="2423"/>
    </row>
    <row r="57332" spans="6:6">
      <c r="F57332" s="2423"/>
    </row>
    <row r="57333" spans="6:6">
      <c r="F57333" s="2423"/>
    </row>
    <row r="57334" spans="6:6">
      <c r="F57334" s="2423"/>
    </row>
    <row r="57335" spans="6:6">
      <c r="F57335" s="2423"/>
    </row>
    <row r="57336" spans="6:6">
      <c r="F57336" s="2423"/>
    </row>
    <row r="57337" spans="6:6">
      <c r="F57337" s="2423"/>
    </row>
    <row r="57338" spans="6:6">
      <c r="F57338" s="2423"/>
    </row>
    <row r="57339" spans="6:6">
      <c r="F57339" s="2423"/>
    </row>
    <row r="57340" spans="6:6">
      <c r="F57340" s="2423"/>
    </row>
    <row r="57341" spans="6:6">
      <c r="F57341" s="2423"/>
    </row>
    <row r="57342" spans="6:6">
      <c r="F57342" s="2423"/>
    </row>
    <row r="57343" spans="6:6">
      <c r="F57343" s="2423"/>
    </row>
    <row r="57344" spans="6:6">
      <c r="F57344" s="2423"/>
    </row>
    <row r="57345" spans="6:6">
      <c r="F57345" s="2423"/>
    </row>
    <row r="57346" spans="6:6">
      <c r="F57346" s="2423"/>
    </row>
    <row r="57347" spans="6:6">
      <c r="F57347" s="2423"/>
    </row>
    <row r="57348" spans="6:6">
      <c r="F57348" s="2423"/>
    </row>
    <row r="57349" spans="6:6">
      <c r="F57349" s="2423"/>
    </row>
    <row r="57350" spans="6:6">
      <c r="F57350" s="2423"/>
    </row>
    <row r="57351" spans="6:6">
      <c r="F57351" s="2423"/>
    </row>
    <row r="57352" spans="6:6">
      <c r="F57352" s="2423"/>
    </row>
    <row r="57353" spans="6:6">
      <c r="F57353" s="2423"/>
    </row>
    <row r="57354" spans="6:6">
      <c r="F57354" s="2423"/>
    </row>
    <row r="57355" spans="6:6">
      <c r="F57355" s="2423"/>
    </row>
    <row r="57356" spans="6:6">
      <c r="F57356" s="2423"/>
    </row>
    <row r="57357" spans="6:6">
      <c r="F57357" s="2423"/>
    </row>
    <row r="57358" spans="6:6">
      <c r="F57358" s="2423"/>
    </row>
    <row r="57359" spans="6:6">
      <c r="F57359" s="2423"/>
    </row>
    <row r="57360" spans="6:6">
      <c r="F57360" s="2423"/>
    </row>
    <row r="57361" spans="6:6">
      <c r="F57361" s="2423"/>
    </row>
    <row r="57362" spans="6:6">
      <c r="F57362" s="2423"/>
    </row>
    <row r="57363" spans="6:6">
      <c r="F57363" s="2423"/>
    </row>
    <row r="57364" spans="6:6">
      <c r="F57364" s="2423"/>
    </row>
    <row r="57365" spans="6:6">
      <c r="F57365" s="2423"/>
    </row>
    <row r="57366" spans="6:6">
      <c r="F57366" s="2423"/>
    </row>
    <row r="57367" spans="6:6">
      <c r="F57367" s="2423"/>
    </row>
    <row r="57368" spans="6:6">
      <c r="F57368" s="2423"/>
    </row>
    <row r="57369" spans="6:6">
      <c r="F57369" s="2423"/>
    </row>
    <row r="57370" spans="6:6">
      <c r="F57370" s="2423"/>
    </row>
    <row r="57371" spans="6:6">
      <c r="F57371" s="2423"/>
    </row>
    <row r="57372" spans="6:6">
      <c r="F57372" s="2423"/>
    </row>
    <row r="57373" spans="6:6">
      <c r="F57373" s="2423"/>
    </row>
    <row r="57374" spans="6:6">
      <c r="F57374" s="2423"/>
    </row>
    <row r="57375" spans="6:6">
      <c r="F57375" s="2423"/>
    </row>
    <row r="57376" spans="6:6">
      <c r="F57376" s="2423"/>
    </row>
    <row r="57377" spans="6:6">
      <c r="F57377" s="2423"/>
    </row>
    <row r="57378" spans="6:6">
      <c r="F57378" s="2423"/>
    </row>
    <row r="57379" spans="6:6">
      <c r="F57379" s="2423"/>
    </row>
    <row r="57380" spans="6:6">
      <c r="F57380" s="2423"/>
    </row>
    <row r="57381" spans="6:6">
      <c r="F57381" s="2423"/>
    </row>
    <row r="57382" spans="6:6">
      <c r="F57382" s="2423"/>
    </row>
    <row r="57383" spans="6:6">
      <c r="F57383" s="2423"/>
    </row>
    <row r="57384" spans="6:6">
      <c r="F57384" s="2423"/>
    </row>
    <row r="57385" spans="6:6">
      <c r="F57385" s="2423"/>
    </row>
    <row r="57386" spans="6:6">
      <c r="F57386" s="2423"/>
    </row>
    <row r="57387" spans="6:6">
      <c r="F57387" s="2423"/>
    </row>
    <row r="57388" spans="6:6">
      <c r="F57388" s="2423"/>
    </row>
    <row r="57389" spans="6:6">
      <c r="F57389" s="2423"/>
    </row>
    <row r="57390" spans="6:6">
      <c r="F57390" s="2423"/>
    </row>
    <row r="57391" spans="6:6">
      <c r="F57391" s="2423"/>
    </row>
    <row r="57392" spans="6:6">
      <c r="F57392" s="2423"/>
    </row>
    <row r="57393" spans="6:6">
      <c r="F57393" s="2423"/>
    </row>
    <row r="57394" spans="6:6">
      <c r="F57394" s="2423"/>
    </row>
    <row r="57395" spans="6:6">
      <c r="F57395" s="2423"/>
    </row>
    <row r="57396" spans="6:6">
      <c r="F57396" s="2423"/>
    </row>
    <row r="57397" spans="6:6">
      <c r="F57397" s="2423"/>
    </row>
    <row r="57398" spans="6:6">
      <c r="F57398" s="2423"/>
    </row>
    <row r="57399" spans="6:6">
      <c r="F57399" s="2423"/>
    </row>
    <row r="57400" spans="6:6">
      <c r="F57400" s="2423"/>
    </row>
    <row r="57401" spans="6:6">
      <c r="F57401" s="2423"/>
    </row>
    <row r="57402" spans="6:6">
      <c r="F57402" s="2423"/>
    </row>
    <row r="57403" spans="6:6">
      <c r="F57403" s="2423"/>
    </row>
    <row r="57404" spans="6:6">
      <c r="F57404" s="2423"/>
    </row>
    <row r="57405" spans="6:6">
      <c r="F57405" s="2423"/>
    </row>
    <row r="57406" spans="6:6">
      <c r="F57406" s="2423"/>
    </row>
    <row r="57407" spans="6:6">
      <c r="F57407" s="2423"/>
    </row>
    <row r="57408" spans="6:6">
      <c r="F57408" s="2423"/>
    </row>
    <row r="57409" spans="6:6">
      <c r="F57409" s="2423"/>
    </row>
    <row r="57410" spans="6:6">
      <c r="F57410" s="2423"/>
    </row>
    <row r="57411" spans="6:6">
      <c r="F57411" s="2423"/>
    </row>
    <row r="57412" spans="6:6">
      <c r="F57412" s="2423"/>
    </row>
    <row r="57413" spans="6:6">
      <c r="F57413" s="2423"/>
    </row>
    <row r="57414" spans="6:6">
      <c r="F57414" s="2423"/>
    </row>
    <row r="57415" spans="6:6">
      <c r="F57415" s="2423"/>
    </row>
    <row r="57416" spans="6:6">
      <c r="F57416" s="2423"/>
    </row>
    <row r="57417" spans="6:6">
      <c r="F57417" s="2423"/>
    </row>
    <row r="57418" spans="6:6">
      <c r="F57418" s="2423"/>
    </row>
    <row r="57419" spans="6:6">
      <c r="F57419" s="2423"/>
    </row>
    <row r="57420" spans="6:6">
      <c r="F57420" s="2423"/>
    </row>
    <row r="57421" spans="6:6">
      <c r="F57421" s="2423"/>
    </row>
    <row r="57422" spans="6:6">
      <c r="F57422" s="2423"/>
    </row>
    <row r="57423" spans="6:6">
      <c r="F57423" s="2423"/>
    </row>
    <row r="57424" spans="6:6">
      <c r="F57424" s="2423"/>
    </row>
    <row r="57425" spans="6:6">
      <c r="F57425" s="2423"/>
    </row>
    <row r="57426" spans="6:6">
      <c r="F57426" s="2423"/>
    </row>
    <row r="57427" spans="6:6">
      <c r="F57427" s="2423"/>
    </row>
    <row r="57428" spans="6:6">
      <c r="F57428" s="2423"/>
    </row>
    <row r="57429" spans="6:6">
      <c r="F57429" s="2423"/>
    </row>
    <row r="57430" spans="6:6">
      <c r="F57430" s="2423"/>
    </row>
    <row r="57431" spans="6:6">
      <c r="F57431" s="2423"/>
    </row>
    <row r="57432" spans="6:6">
      <c r="F57432" s="2423"/>
    </row>
    <row r="57433" spans="6:6">
      <c r="F57433" s="2423"/>
    </row>
    <row r="57434" spans="6:6">
      <c r="F57434" s="2423"/>
    </row>
    <row r="57435" spans="6:6">
      <c r="F57435" s="2423"/>
    </row>
    <row r="57436" spans="6:6">
      <c r="F57436" s="2423"/>
    </row>
    <row r="57437" spans="6:6">
      <c r="F57437" s="2423"/>
    </row>
    <row r="57438" spans="6:6">
      <c r="F57438" s="2423"/>
    </row>
    <row r="57439" spans="6:6">
      <c r="F57439" s="2423"/>
    </row>
    <row r="57440" spans="6:6">
      <c r="F57440" s="2423"/>
    </row>
    <row r="57441" spans="6:6">
      <c r="F57441" s="2423"/>
    </row>
    <row r="57442" spans="6:6">
      <c r="F57442" s="2423"/>
    </row>
    <row r="57443" spans="6:6">
      <c r="F57443" s="2423"/>
    </row>
    <row r="57444" spans="6:6">
      <c r="F57444" s="2423"/>
    </row>
    <row r="57445" spans="6:6">
      <c r="F57445" s="2423"/>
    </row>
    <row r="57446" spans="6:6">
      <c r="F57446" s="2423"/>
    </row>
    <row r="57447" spans="6:6">
      <c r="F57447" s="2423"/>
    </row>
    <row r="57448" spans="6:6">
      <c r="F57448" s="2423"/>
    </row>
    <row r="57449" spans="6:6">
      <c r="F57449" s="2423"/>
    </row>
    <row r="57450" spans="6:6">
      <c r="F57450" s="2423"/>
    </row>
    <row r="57451" spans="6:6">
      <c r="F57451" s="2423"/>
    </row>
    <row r="57452" spans="6:6">
      <c r="F57452" s="2423"/>
    </row>
    <row r="57453" spans="6:6">
      <c r="F57453" s="2423"/>
    </row>
    <row r="57454" spans="6:6">
      <c r="F57454" s="2423"/>
    </row>
    <row r="57455" spans="6:6">
      <c r="F57455" s="2423"/>
    </row>
    <row r="57456" spans="6:6">
      <c r="F57456" s="2423"/>
    </row>
    <row r="57457" spans="6:6">
      <c r="F57457" s="2423"/>
    </row>
    <row r="57458" spans="6:6">
      <c r="F57458" s="2423"/>
    </row>
    <row r="57459" spans="6:6">
      <c r="F57459" s="2423"/>
    </row>
    <row r="57460" spans="6:6">
      <c r="F57460" s="2423"/>
    </row>
    <row r="57461" spans="6:6">
      <c r="F57461" s="2423"/>
    </row>
    <row r="57462" spans="6:6">
      <c r="F57462" s="2423"/>
    </row>
    <row r="57463" spans="6:6">
      <c r="F57463" s="2423"/>
    </row>
    <row r="57464" spans="6:6">
      <c r="F57464" s="2423"/>
    </row>
    <row r="57465" spans="6:6">
      <c r="F57465" s="2423"/>
    </row>
    <row r="57466" spans="6:6">
      <c r="F57466" s="2423"/>
    </row>
    <row r="57467" spans="6:6">
      <c r="F57467" s="2423"/>
    </row>
    <row r="57468" spans="6:6">
      <c r="F57468" s="2423"/>
    </row>
    <row r="57469" spans="6:6">
      <c r="F57469" s="2423"/>
    </row>
    <row r="57470" spans="6:6">
      <c r="F57470" s="2423"/>
    </row>
    <row r="57471" spans="6:6">
      <c r="F57471" s="2423"/>
    </row>
    <row r="57472" spans="6:6">
      <c r="F57472" s="2423"/>
    </row>
    <row r="57473" spans="6:6">
      <c r="F57473" s="2423"/>
    </row>
    <row r="57474" spans="6:6">
      <c r="F57474" s="2423"/>
    </row>
    <row r="57475" spans="6:6">
      <c r="F57475" s="2423"/>
    </row>
    <row r="57476" spans="6:6">
      <c r="F57476" s="2423"/>
    </row>
    <row r="57477" spans="6:6">
      <c r="F57477" s="2423"/>
    </row>
    <row r="57478" spans="6:6">
      <c r="F57478" s="2423"/>
    </row>
    <row r="57479" spans="6:6">
      <c r="F57479" s="2423"/>
    </row>
    <row r="57480" spans="6:6">
      <c r="F57480" s="2423"/>
    </row>
    <row r="57481" spans="6:6">
      <c r="F57481" s="2423"/>
    </row>
    <row r="57482" spans="6:6">
      <c r="F57482" s="2423"/>
    </row>
    <row r="57483" spans="6:6">
      <c r="F57483" s="2423"/>
    </row>
    <row r="57484" spans="6:6">
      <c r="F57484" s="2423"/>
    </row>
    <row r="57485" spans="6:6">
      <c r="F57485" s="2423"/>
    </row>
    <row r="57486" spans="6:6">
      <c r="F57486" s="2423"/>
    </row>
    <row r="57487" spans="6:6">
      <c r="F57487" s="2423"/>
    </row>
    <row r="57488" spans="6:6">
      <c r="F57488" s="2423"/>
    </row>
    <row r="57489" spans="6:6">
      <c r="F57489" s="2423"/>
    </row>
    <row r="57490" spans="6:6">
      <c r="F57490" s="2423"/>
    </row>
    <row r="57491" spans="6:6">
      <c r="F57491" s="2423"/>
    </row>
    <row r="57492" spans="6:6">
      <c r="F57492" s="2423"/>
    </row>
    <row r="57493" spans="6:6">
      <c r="F57493" s="2423"/>
    </row>
    <row r="57494" spans="6:6">
      <c r="F57494" s="2423"/>
    </row>
    <row r="57495" spans="6:6">
      <c r="F57495" s="2423"/>
    </row>
    <row r="57496" spans="6:6">
      <c r="F57496" s="2423"/>
    </row>
    <row r="57497" spans="6:6">
      <c r="F57497" s="2423"/>
    </row>
    <row r="57498" spans="6:6">
      <c r="F57498" s="2423"/>
    </row>
    <row r="57499" spans="6:6">
      <c r="F57499" s="2423"/>
    </row>
    <row r="57500" spans="6:6">
      <c r="F57500" s="2423"/>
    </row>
    <row r="57501" spans="6:6">
      <c r="F57501" s="2423"/>
    </row>
    <row r="57502" spans="6:6">
      <c r="F57502" s="2423"/>
    </row>
    <row r="57503" spans="6:6">
      <c r="F57503" s="2423"/>
    </row>
    <row r="57504" spans="6:6">
      <c r="F57504" s="2423"/>
    </row>
    <row r="57505" spans="6:6">
      <c r="F57505" s="2423"/>
    </row>
    <row r="57506" spans="6:6">
      <c r="F57506" s="2423"/>
    </row>
    <row r="57507" spans="6:6">
      <c r="F57507" s="2423"/>
    </row>
    <row r="57508" spans="6:6">
      <c r="F57508" s="2423"/>
    </row>
    <row r="57509" spans="6:6">
      <c r="F57509" s="2423"/>
    </row>
    <row r="57510" spans="6:6">
      <c r="F57510" s="2423"/>
    </row>
    <row r="57511" spans="6:6">
      <c r="F57511" s="2423"/>
    </row>
    <row r="57512" spans="6:6">
      <c r="F57512" s="2423"/>
    </row>
    <row r="57513" spans="6:6">
      <c r="F57513" s="2423"/>
    </row>
    <row r="57514" spans="6:6">
      <c r="F57514" s="2423"/>
    </row>
    <row r="57515" spans="6:6">
      <c r="F57515" s="2423"/>
    </row>
    <row r="57516" spans="6:6">
      <c r="F57516" s="2423"/>
    </row>
    <row r="57517" spans="6:6">
      <c r="F57517" s="2423"/>
    </row>
    <row r="57518" spans="6:6">
      <c r="F57518" s="2423"/>
    </row>
    <row r="57519" spans="6:6">
      <c r="F57519" s="2423"/>
    </row>
    <row r="57520" spans="6:6">
      <c r="F57520" s="2423"/>
    </row>
    <row r="57521" spans="6:6">
      <c r="F57521" s="2423"/>
    </row>
    <row r="57522" spans="6:6">
      <c r="F57522" s="2423"/>
    </row>
    <row r="57523" spans="6:6">
      <c r="F57523" s="2423"/>
    </row>
    <row r="57524" spans="6:6">
      <c r="F57524" s="2423"/>
    </row>
    <row r="57525" spans="6:6">
      <c r="F57525" s="2423"/>
    </row>
    <row r="57526" spans="6:6">
      <c r="F57526" s="2423"/>
    </row>
    <row r="57527" spans="6:6">
      <c r="F57527" s="2423"/>
    </row>
    <row r="57528" spans="6:6">
      <c r="F57528" s="2423"/>
    </row>
    <row r="57529" spans="6:6">
      <c r="F57529" s="2423"/>
    </row>
    <row r="57530" spans="6:6">
      <c r="F57530" s="2423"/>
    </row>
    <row r="57531" spans="6:6">
      <c r="F57531" s="2423"/>
    </row>
    <row r="57532" spans="6:6">
      <c r="F57532" s="2423"/>
    </row>
    <row r="57533" spans="6:6">
      <c r="F57533" s="2423"/>
    </row>
    <row r="57534" spans="6:6">
      <c r="F57534" s="2423"/>
    </row>
    <row r="57535" spans="6:6">
      <c r="F57535" s="2423"/>
    </row>
    <row r="57536" spans="6:6">
      <c r="F57536" s="2423"/>
    </row>
    <row r="57537" spans="6:6">
      <c r="F57537" s="2423"/>
    </row>
    <row r="57538" spans="6:6">
      <c r="F57538" s="2423"/>
    </row>
    <row r="57539" spans="6:6">
      <c r="F57539" s="2423"/>
    </row>
    <row r="57540" spans="6:6">
      <c r="F57540" s="2423"/>
    </row>
    <row r="57541" spans="6:6">
      <c r="F57541" s="2423"/>
    </row>
    <row r="57542" spans="6:6">
      <c r="F57542" s="2423"/>
    </row>
    <row r="57543" spans="6:6">
      <c r="F57543" s="2423"/>
    </row>
    <row r="57544" spans="6:6">
      <c r="F57544" s="2423"/>
    </row>
    <row r="57545" spans="6:6">
      <c r="F57545" s="2423"/>
    </row>
    <row r="57546" spans="6:6">
      <c r="F57546" s="2423"/>
    </row>
    <row r="57547" spans="6:6">
      <c r="F57547" s="2423"/>
    </row>
    <row r="57548" spans="6:6">
      <c r="F57548" s="2423"/>
    </row>
    <row r="57549" spans="6:6">
      <c r="F57549" s="2423"/>
    </row>
    <row r="57550" spans="6:6">
      <c r="F57550" s="2423"/>
    </row>
    <row r="57551" spans="6:6">
      <c r="F57551" s="2423"/>
    </row>
    <row r="57552" spans="6:6">
      <c r="F57552" s="2423"/>
    </row>
    <row r="57553" spans="6:6">
      <c r="F57553" s="2423"/>
    </row>
    <row r="57554" spans="6:6">
      <c r="F57554" s="2423"/>
    </row>
    <row r="57555" spans="6:6">
      <c r="F57555" s="2423"/>
    </row>
    <row r="57556" spans="6:6">
      <c r="F57556" s="2423"/>
    </row>
    <row r="57557" spans="6:6">
      <c r="F57557" s="2423"/>
    </row>
    <row r="57558" spans="6:6">
      <c r="F57558" s="2423"/>
    </row>
    <row r="57559" spans="6:6">
      <c r="F57559" s="2423"/>
    </row>
    <row r="57560" spans="6:6">
      <c r="F57560" s="2423"/>
    </row>
    <row r="57561" spans="6:6">
      <c r="F57561" s="2423"/>
    </row>
    <row r="57562" spans="6:6">
      <c r="F57562" s="2423"/>
    </row>
    <row r="57563" spans="6:6">
      <c r="F57563" s="2423"/>
    </row>
    <row r="57564" spans="6:6">
      <c r="F57564" s="2423"/>
    </row>
    <row r="57565" spans="6:6">
      <c r="F57565" s="2423"/>
    </row>
    <row r="57566" spans="6:6">
      <c r="F57566" s="2423"/>
    </row>
    <row r="57567" spans="6:6">
      <c r="F57567" s="2423"/>
    </row>
    <row r="57568" spans="6:6">
      <c r="F57568" s="2423"/>
    </row>
    <row r="57569" spans="6:6">
      <c r="F57569" s="2423"/>
    </row>
    <row r="57570" spans="6:6">
      <c r="F57570" s="2423"/>
    </row>
    <row r="57571" spans="6:6">
      <c r="F57571" s="2423"/>
    </row>
    <row r="57572" spans="6:6">
      <c r="F57572" s="2423"/>
    </row>
    <row r="57573" spans="6:6">
      <c r="F57573" s="2423"/>
    </row>
    <row r="57574" spans="6:6">
      <c r="F57574" s="2423"/>
    </row>
    <row r="57575" spans="6:6">
      <c r="F57575" s="2423"/>
    </row>
    <row r="57576" spans="6:6">
      <c r="F57576" s="2423"/>
    </row>
    <row r="57577" spans="6:6">
      <c r="F57577" s="2423"/>
    </row>
    <row r="57578" spans="6:6">
      <c r="F57578" s="2423"/>
    </row>
    <row r="57579" spans="6:6">
      <c r="F57579" s="2423"/>
    </row>
    <row r="57580" spans="6:6">
      <c r="F57580" s="2423"/>
    </row>
    <row r="57581" spans="6:6">
      <c r="F57581" s="2423"/>
    </row>
    <row r="57582" spans="6:6">
      <c r="F57582" s="2423"/>
    </row>
    <row r="57583" spans="6:6">
      <c r="F57583" s="2423"/>
    </row>
    <row r="57584" spans="6:6">
      <c r="F57584" s="2423"/>
    </row>
    <row r="57585" spans="6:6">
      <c r="F57585" s="2423"/>
    </row>
    <row r="57586" spans="6:6">
      <c r="F57586" s="2423"/>
    </row>
    <row r="57587" spans="6:6">
      <c r="F57587" s="2423"/>
    </row>
    <row r="57588" spans="6:6">
      <c r="F57588" s="2423"/>
    </row>
    <row r="57589" spans="6:6">
      <c r="F57589" s="2423"/>
    </row>
    <row r="57590" spans="6:6">
      <c r="F57590" s="2423"/>
    </row>
    <row r="57591" spans="6:6">
      <c r="F57591" s="2423"/>
    </row>
    <row r="57592" spans="6:6">
      <c r="F57592" s="2423"/>
    </row>
    <row r="57593" spans="6:6">
      <c r="F57593" s="2423"/>
    </row>
    <row r="57594" spans="6:6">
      <c r="F57594" s="2423"/>
    </row>
    <row r="57595" spans="6:6">
      <c r="F57595" s="2423"/>
    </row>
    <row r="57596" spans="6:6">
      <c r="F57596" s="2423"/>
    </row>
    <row r="57597" spans="6:6">
      <c r="F57597" s="2423"/>
    </row>
    <row r="57598" spans="6:6">
      <c r="F57598" s="2423"/>
    </row>
    <row r="57599" spans="6:6">
      <c r="F57599" s="2423"/>
    </row>
    <row r="57600" spans="6:6">
      <c r="F57600" s="2423"/>
    </row>
    <row r="57601" spans="6:6">
      <c r="F57601" s="2423"/>
    </row>
    <row r="57602" spans="6:6">
      <c r="F57602" s="2423"/>
    </row>
    <row r="57603" spans="6:6">
      <c r="F57603" s="2423"/>
    </row>
    <row r="57604" spans="6:6">
      <c r="F57604" s="2423"/>
    </row>
    <row r="57605" spans="6:6">
      <c r="F57605" s="2423"/>
    </row>
    <row r="57606" spans="6:6">
      <c r="F57606" s="2423"/>
    </row>
    <row r="57607" spans="6:6">
      <c r="F57607" s="2423"/>
    </row>
    <row r="57608" spans="6:6">
      <c r="F57608" s="2423"/>
    </row>
    <row r="57609" spans="6:6">
      <c r="F57609" s="2423"/>
    </row>
    <row r="57610" spans="6:6">
      <c r="F57610" s="2423"/>
    </row>
    <row r="57611" spans="6:6">
      <c r="F57611" s="2423"/>
    </row>
    <row r="57612" spans="6:6">
      <c r="F57612" s="2423"/>
    </row>
    <row r="57613" spans="6:6">
      <c r="F57613" s="2423"/>
    </row>
    <row r="57614" spans="6:6">
      <c r="F57614" s="2423"/>
    </row>
    <row r="57615" spans="6:6">
      <c r="F57615" s="2423"/>
    </row>
    <row r="57616" spans="6:6">
      <c r="F57616" s="2423"/>
    </row>
    <row r="57617" spans="6:6">
      <c r="F57617" s="2423"/>
    </row>
    <row r="57618" spans="6:6">
      <c r="F57618" s="2423"/>
    </row>
    <row r="57619" spans="6:6">
      <c r="F57619" s="2423"/>
    </row>
    <row r="57620" spans="6:6">
      <c r="F57620" s="2423"/>
    </row>
    <row r="57621" spans="6:6">
      <c r="F57621" s="2423"/>
    </row>
    <row r="57622" spans="6:6">
      <c r="F57622" s="2423"/>
    </row>
    <row r="57623" spans="6:6">
      <c r="F57623" s="2423"/>
    </row>
    <row r="57624" spans="6:6">
      <c r="F57624" s="2423"/>
    </row>
    <row r="57625" spans="6:6">
      <c r="F57625" s="2423"/>
    </row>
    <row r="57626" spans="6:6">
      <c r="F57626" s="2423"/>
    </row>
    <row r="57627" spans="6:6">
      <c r="F57627" s="2423"/>
    </row>
    <row r="57628" spans="6:6">
      <c r="F57628" s="2423"/>
    </row>
    <row r="57629" spans="6:6">
      <c r="F57629" s="2423"/>
    </row>
    <row r="57630" spans="6:6">
      <c r="F57630" s="2423"/>
    </row>
    <row r="57631" spans="6:6">
      <c r="F57631" s="2423"/>
    </row>
    <row r="57632" spans="6:6">
      <c r="F57632" s="2423"/>
    </row>
    <row r="57633" spans="6:6">
      <c r="F57633" s="2423"/>
    </row>
    <row r="57634" spans="6:6">
      <c r="F57634" s="2423"/>
    </row>
    <row r="57635" spans="6:6">
      <c r="F57635" s="2423"/>
    </row>
    <row r="57636" spans="6:6">
      <c r="F57636" s="2423"/>
    </row>
    <row r="57637" spans="6:6">
      <c r="F57637" s="2423"/>
    </row>
    <row r="57638" spans="6:6">
      <c r="F57638" s="2423"/>
    </row>
    <row r="57639" spans="6:6">
      <c r="F57639" s="2423"/>
    </row>
    <row r="57640" spans="6:6">
      <c r="F57640" s="2423"/>
    </row>
    <row r="57641" spans="6:6">
      <c r="F57641" s="2423"/>
    </row>
    <row r="57642" spans="6:6">
      <c r="F57642" s="2423"/>
    </row>
    <row r="57643" spans="6:6">
      <c r="F57643" s="2423"/>
    </row>
    <row r="57644" spans="6:6">
      <c r="F57644" s="2423"/>
    </row>
    <row r="57645" spans="6:6">
      <c r="F57645" s="2423"/>
    </row>
    <row r="57646" spans="6:6">
      <c r="F57646" s="2423"/>
    </row>
    <row r="57647" spans="6:6">
      <c r="F57647" s="2423"/>
    </row>
    <row r="57648" spans="6:6">
      <c r="F57648" s="2423"/>
    </row>
    <row r="57649" spans="6:6">
      <c r="F57649" s="2423"/>
    </row>
    <row r="57650" spans="6:6">
      <c r="F57650" s="2423"/>
    </row>
    <row r="57651" spans="6:6">
      <c r="F57651" s="2423"/>
    </row>
    <row r="57652" spans="6:6">
      <c r="F57652" s="2423"/>
    </row>
    <row r="57653" spans="6:6">
      <c r="F57653" s="2423"/>
    </row>
    <row r="57654" spans="6:6">
      <c r="F57654" s="2423"/>
    </row>
    <row r="57655" spans="6:6">
      <c r="F57655" s="2423"/>
    </row>
    <row r="57656" spans="6:6">
      <c r="F57656" s="2423"/>
    </row>
    <row r="57657" spans="6:6">
      <c r="F57657" s="2423"/>
    </row>
    <row r="57658" spans="6:6">
      <c r="F57658" s="2423"/>
    </row>
    <row r="57659" spans="6:6">
      <c r="F57659" s="2423"/>
    </row>
    <row r="57660" spans="6:6">
      <c r="F57660" s="2423"/>
    </row>
    <row r="57661" spans="6:6">
      <c r="F57661" s="2423"/>
    </row>
    <row r="57662" spans="6:6">
      <c r="F57662" s="2423"/>
    </row>
    <row r="57663" spans="6:6">
      <c r="F57663" s="2423"/>
    </row>
    <row r="57664" spans="6:6">
      <c r="F57664" s="2423"/>
    </row>
    <row r="57665" spans="6:6">
      <c r="F57665" s="2423"/>
    </row>
    <row r="57666" spans="6:6">
      <c r="F57666" s="2423"/>
    </row>
    <row r="57667" spans="6:6">
      <c r="F57667" s="2423"/>
    </row>
    <row r="57668" spans="6:6">
      <c r="F57668" s="2423"/>
    </row>
    <row r="57669" spans="6:6">
      <c r="F57669" s="2423"/>
    </row>
    <row r="57670" spans="6:6">
      <c r="F57670" s="2423"/>
    </row>
    <row r="57671" spans="6:6">
      <c r="F57671" s="2423"/>
    </row>
    <row r="57672" spans="6:6">
      <c r="F57672" s="2423"/>
    </row>
    <row r="57673" spans="6:6">
      <c r="F57673" s="2423"/>
    </row>
    <row r="57674" spans="6:6">
      <c r="F57674" s="2423"/>
    </row>
    <row r="57675" spans="6:6">
      <c r="F57675" s="2423"/>
    </row>
    <row r="57676" spans="6:6">
      <c r="F57676" s="2423"/>
    </row>
    <row r="57677" spans="6:6">
      <c r="F57677" s="2423"/>
    </row>
    <row r="57678" spans="6:6">
      <c r="F57678" s="2423"/>
    </row>
    <row r="57679" spans="6:6">
      <c r="F57679" s="2423"/>
    </row>
    <row r="57680" spans="6:6">
      <c r="F57680" s="2423"/>
    </row>
    <row r="57681" spans="6:6">
      <c r="F57681" s="2423"/>
    </row>
    <row r="57682" spans="6:6">
      <c r="F57682" s="2423"/>
    </row>
    <row r="57683" spans="6:6">
      <c r="F57683" s="2423"/>
    </row>
    <row r="57684" spans="6:6">
      <c r="F57684" s="2423"/>
    </row>
    <row r="57685" spans="6:6">
      <c r="F57685" s="2423"/>
    </row>
    <row r="57686" spans="6:6">
      <c r="F57686" s="2423"/>
    </row>
    <row r="57687" spans="6:6">
      <c r="F57687" s="2423"/>
    </row>
    <row r="57688" spans="6:6">
      <c r="F57688" s="2423"/>
    </row>
    <row r="57689" spans="6:6">
      <c r="F57689" s="2423"/>
    </row>
    <row r="57690" spans="6:6">
      <c r="F57690" s="2423"/>
    </row>
    <row r="57691" spans="6:6">
      <c r="F57691" s="2423"/>
    </row>
    <row r="57692" spans="6:6">
      <c r="F57692" s="2423"/>
    </row>
    <row r="57693" spans="6:6">
      <c r="F57693" s="2423"/>
    </row>
    <row r="57694" spans="6:6">
      <c r="F57694" s="2423"/>
    </row>
    <row r="57695" spans="6:6">
      <c r="F57695" s="2423"/>
    </row>
    <row r="57696" spans="6:6">
      <c r="F57696" s="2423"/>
    </row>
    <row r="57697" spans="6:6">
      <c r="F57697" s="2423"/>
    </row>
    <row r="57698" spans="6:6">
      <c r="F57698" s="2423"/>
    </row>
    <row r="57699" spans="6:6">
      <c r="F57699" s="2423"/>
    </row>
    <row r="57700" spans="6:6">
      <c r="F57700" s="2423"/>
    </row>
    <row r="57701" spans="6:6">
      <c r="F57701" s="2423"/>
    </row>
    <row r="57702" spans="6:6">
      <c r="F57702" s="2423"/>
    </row>
    <row r="57703" spans="6:6">
      <c r="F57703" s="2423"/>
    </row>
    <row r="57704" spans="6:6">
      <c r="F57704" s="2423"/>
    </row>
    <row r="57705" spans="6:6">
      <c r="F57705" s="2423"/>
    </row>
    <row r="57706" spans="6:6">
      <c r="F57706" s="2423"/>
    </row>
    <row r="57707" spans="6:6">
      <c r="F57707" s="2423"/>
    </row>
    <row r="57708" spans="6:6">
      <c r="F57708" s="2423"/>
    </row>
    <row r="57709" spans="6:6">
      <c r="F57709" s="2423"/>
    </row>
    <row r="57710" spans="6:6">
      <c r="F57710" s="2423"/>
    </row>
    <row r="57711" spans="6:6">
      <c r="F57711" s="2423"/>
    </row>
    <row r="57712" spans="6:6">
      <c r="F57712" s="2423"/>
    </row>
    <row r="57713" spans="6:6">
      <c r="F57713" s="2423"/>
    </row>
    <row r="57714" spans="6:6">
      <c r="F57714" s="2423"/>
    </row>
    <row r="57715" spans="6:6">
      <c r="F57715" s="2423"/>
    </row>
    <row r="57716" spans="6:6">
      <c r="F57716" s="2423"/>
    </row>
    <row r="57717" spans="6:6">
      <c r="F57717" s="2423"/>
    </row>
    <row r="57718" spans="6:6">
      <c r="F57718" s="2423"/>
    </row>
    <row r="57719" spans="6:6">
      <c r="F57719" s="2423"/>
    </row>
    <row r="57720" spans="6:6">
      <c r="F57720" s="2423"/>
    </row>
    <row r="57721" spans="6:6">
      <c r="F57721" s="2423"/>
    </row>
    <row r="57722" spans="6:6">
      <c r="F57722" s="2423"/>
    </row>
    <row r="57723" spans="6:6">
      <c r="F57723" s="2423"/>
    </row>
    <row r="57724" spans="6:6">
      <c r="F57724" s="2423"/>
    </row>
    <row r="57725" spans="6:6">
      <c r="F57725" s="2423"/>
    </row>
    <row r="57726" spans="6:6">
      <c r="F57726" s="2423"/>
    </row>
    <row r="57727" spans="6:6">
      <c r="F57727" s="2423"/>
    </row>
    <row r="57728" spans="6:6">
      <c r="F57728" s="2423"/>
    </row>
    <row r="57729" spans="6:6">
      <c r="F57729" s="2423"/>
    </row>
    <row r="57730" spans="6:6">
      <c r="F57730" s="2423"/>
    </row>
    <row r="57731" spans="6:6">
      <c r="F57731" s="2423"/>
    </row>
    <row r="57732" spans="6:6">
      <c r="F57732" s="2423"/>
    </row>
    <row r="57733" spans="6:6">
      <c r="F57733" s="2423"/>
    </row>
    <row r="57734" spans="6:6">
      <c r="F57734" s="2423"/>
    </row>
    <row r="57735" spans="6:6">
      <c r="F57735" s="2423"/>
    </row>
    <row r="57736" spans="6:6">
      <c r="F57736" s="2423"/>
    </row>
    <row r="57737" spans="6:6">
      <c r="F57737" s="2423"/>
    </row>
    <row r="57738" spans="6:6">
      <c r="F57738" s="2423"/>
    </row>
    <row r="57739" spans="6:6">
      <c r="F57739" s="2423"/>
    </row>
    <row r="57740" spans="6:6">
      <c r="F57740" s="2423"/>
    </row>
    <row r="57741" spans="6:6">
      <c r="F57741" s="2423"/>
    </row>
    <row r="57742" spans="6:6">
      <c r="F57742" s="2423"/>
    </row>
    <row r="57743" spans="6:6">
      <c r="F57743" s="2423"/>
    </row>
    <row r="57744" spans="6:6">
      <c r="F57744" s="2423"/>
    </row>
    <row r="57745" spans="6:6">
      <c r="F57745" s="2423"/>
    </row>
    <row r="57746" spans="6:6">
      <c r="F57746" s="2423"/>
    </row>
    <row r="57747" spans="6:6">
      <c r="F57747" s="2423"/>
    </row>
    <row r="57748" spans="6:6">
      <c r="F57748" s="2423"/>
    </row>
    <row r="57749" spans="6:6">
      <c r="F57749" s="2423"/>
    </row>
    <row r="57750" spans="6:6">
      <c r="F57750" s="2423"/>
    </row>
    <row r="57751" spans="6:6">
      <c r="F57751" s="2423"/>
    </row>
    <row r="57752" spans="6:6">
      <c r="F57752" s="2423"/>
    </row>
    <row r="57753" spans="6:6">
      <c r="F57753" s="2423"/>
    </row>
    <row r="57754" spans="6:6">
      <c r="F57754" s="2423"/>
    </row>
    <row r="57755" spans="6:6">
      <c r="F57755" s="2423"/>
    </row>
    <row r="57756" spans="6:6">
      <c r="F57756" s="2423"/>
    </row>
    <row r="57757" spans="6:6">
      <c r="F57757" s="2423"/>
    </row>
    <row r="57758" spans="6:6">
      <c r="F57758" s="2423"/>
    </row>
    <row r="57759" spans="6:6">
      <c r="F57759" s="2423"/>
    </row>
    <row r="57760" spans="6:6">
      <c r="F57760" s="2423"/>
    </row>
    <row r="57761" spans="6:6">
      <c r="F57761" s="2423"/>
    </row>
    <row r="57762" spans="6:6">
      <c r="F57762" s="2423"/>
    </row>
    <row r="57763" spans="6:6">
      <c r="F57763" s="2423"/>
    </row>
    <row r="57764" spans="6:6">
      <c r="F57764" s="2423"/>
    </row>
    <row r="57765" spans="6:6">
      <c r="F57765" s="2423"/>
    </row>
    <row r="57766" spans="6:6">
      <c r="F57766" s="2423"/>
    </row>
    <row r="57767" spans="6:6">
      <c r="F57767" s="2423"/>
    </row>
    <row r="57768" spans="6:6">
      <c r="F57768" s="2423"/>
    </row>
    <row r="57769" spans="6:6">
      <c r="F57769" s="2423"/>
    </row>
    <row r="57770" spans="6:6">
      <c r="F57770" s="2423"/>
    </row>
    <row r="57771" spans="6:6">
      <c r="F57771" s="2423"/>
    </row>
    <row r="57772" spans="6:6">
      <c r="F57772" s="2423"/>
    </row>
    <row r="57773" spans="6:6">
      <c r="F57773" s="2423"/>
    </row>
    <row r="57774" spans="6:6">
      <c r="F57774" s="2423"/>
    </row>
    <row r="57775" spans="6:6">
      <c r="F57775" s="2423"/>
    </row>
    <row r="57776" spans="6:6">
      <c r="F57776" s="2423"/>
    </row>
    <row r="57777" spans="6:6">
      <c r="F57777" s="2423"/>
    </row>
    <row r="57778" spans="6:6">
      <c r="F57778" s="2423"/>
    </row>
    <row r="57779" spans="6:6">
      <c r="F57779" s="2423"/>
    </row>
    <row r="57780" spans="6:6">
      <c r="F57780" s="2423"/>
    </row>
    <row r="57781" spans="6:6">
      <c r="F57781" s="2423"/>
    </row>
    <row r="57782" spans="6:6">
      <c r="F57782" s="2423"/>
    </row>
    <row r="57783" spans="6:6">
      <c r="F57783" s="2423"/>
    </row>
    <row r="57784" spans="6:6">
      <c r="F57784" s="2423"/>
    </row>
    <row r="57785" spans="6:6">
      <c r="F57785" s="2423"/>
    </row>
    <row r="57786" spans="6:6">
      <c r="F57786" s="2423"/>
    </row>
    <row r="57787" spans="6:6">
      <c r="F57787" s="2423"/>
    </row>
    <row r="57788" spans="6:6">
      <c r="F57788" s="2423"/>
    </row>
    <row r="57789" spans="6:6">
      <c r="F57789" s="2423"/>
    </row>
    <row r="57790" spans="6:6">
      <c r="F57790" s="2423"/>
    </row>
    <row r="57791" spans="6:6">
      <c r="F57791" s="2423"/>
    </row>
    <row r="57792" spans="6:6">
      <c r="F57792" s="2423"/>
    </row>
    <row r="57793" spans="6:6">
      <c r="F57793" s="2423"/>
    </row>
    <row r="57794" spans="6:6">
      <c r="F57794" s="2423"/>
    </row>
    <row r="57795" spans="6:6">
      <c r="F57795" s="2423"/>
    </row>
    <row r="57796" spans="6:6">
      <c r="F57796" s="2423"/>
    </row>
    <row r="57797" spans="6:6">
      <c r="F57797" s="2423"/>
    </row>
    <row r="57798" spans="6:6">
      <c r="F57798" s="2423"/>
    </row>
    <row r="57799" spans="6:6">
      <c r="F57799" s="2423"/>
    </row>
    <row r="57800" spans="6:6">
      <c r="F57800" s="2423"/>
    </row>
    <row r="57801" spans="6:6">
      <c r="F57801" s="2423"/>
    </row>
    <row r="57802" spans="6:6">
      <c r="F57802" s="2423"/>
    </row>
    <row r="57803" spans="6:6">
      <c r="F57803" s="2423"/>
    </row>
    <row r="57804" spans="6:6">
      <c r="F57804" s="2423"/>
    </row>
    <row r="57805" spans="6:6">
      <c r="F57805" s="2423"/>
    </row>
    <row r="57806" spans="6:6">
      <c r="F57806" s="2423"/>
    </row>
    <row r="57807" spans="6:6">
      <c r="F57807" s="2423"/>
    </row>
    <row r="57808" spans="6:6">
      <c r="F57808" s="2423"/>
    </row>
    <row r="57809" spans="6:6">
      <c r="F57809" s="2423"/>
    </row>
    <row r="57810" spans="6:6">
      <c r="F57810" s="2423"/>
    </row>
    <row r="57811" spans="6:6">
      <c r="F57811" s="2423"/>
    </row>
    <row r="57812" spans="6:6">
      <c r="F57812" s="2423"/>
    </row>
    <row r="57813" spans="6:6">
      <c r="F57813" s="2423"/>
    </row>
    <row r="57814" spans="6:6">
      <c r="F57814" s="2423"/>
    </row>
    <row r="57815" spans="6:6">
      <c r="F57815" s="2423"/>
    </row>
    <row r="57816" spans="6:6">
      <c r="F57816" s="2423"/>
    </row>
    <row r="57817" spans="6:6">
      <c r="F57817" s="2423"/>
    </row>
    <row r="57818" spans="6:6">
      <c r="F57818" s="2423"/>
    </row>
    <row r="57819" spans="6:6">
      <c r="F57819" s="2423"/>
    </row>
    <row r="57820" spans="6:6">
      <c r="F57820" s="2423"/>
    </row>
    <row r="57821" spans="6:6">
      <c r="F57821" s="2423"/>
    </row>
    <row r="57822" spans="6:6">
      <c r="F57822" s="2423"/>
    </row>
    <row r="57823" spans="6:6">
      <c r="F57823" s="2423"/>
    </row>
    <row r="57824" spans="6:6">
      <c r="F57824" s="2423"/>
    </row>
    <row r="57825" spans="6:6">
      <c r="F57825" s="2423"/>
    </row>
    <row r="57826" spans="6:6">
      <c r="F57826" s="2423"/>
    </row>
    <row r="57827" spans="6:6">
      <c r="F57827" s="2423"/>
    </row>
    <row r="57828" spans="6:6">
      <c r="F57828" s="2423"/>
    </row>
    <row r="57829" spans="6:6">
      <c r="F57829" s="2423"/>
    </row>
    <row r="57830" spans="6:6">
      <c r="F57830" s="2423"/>
    </row>
    <row r="57831" spans="6:6">
      <c r="F57831" s="2423"/>
    </row>
    <row r="57832" spans="6:6">
      <c r="F57832" s="2423"/>
    </row>
    <row r="57833" spans="6:6">
      <c r="F57833" s="2423"/>
    </row>
    <row r="57834" spans="6:6">
      <c r="F57834" s="2423"/>
    </row>
    <row r="57835" spans="6:6">
      <c r="F57835" s="2423"/>
    </row>
    <row r="57836" spans="6:6">
      <c r="F57836" s="2423"/>
    </row>
    <row r="57837" spans="6:6">
      <c r="F57837" s="2423"/>
    </row>
    <row r="57838" spans="6:6">
      <c r="F57838" s="2423"/>
    </row>
    <row r="57839" spans="6:6">
      <c r="F57839" s="2423"/>
    </row>
    <row r="57840" spans="6:6">
      <c r="F57840" s="2423"/>
    </row>
    <row r="57841" spans="6:6">
      <c r="F57841" s="2423"/>
    </row>
    <row r="57842" spans="6:6">
      <c r="F57842" s="2423"/>
    </row>
    <row r="57843" spans="6:6">
      <c r="F57843" s="2423"/>
    </row>
    <row r="57844" spans="6:6">
      <c r="F57844" s="2423"/>
    </row>
    <row r="57845" spans="6:6">
      <c r="F57845" s="2423"/>
    </row>
    <row r="57846" spans="6:6">
      <c r="F57846" s="2423"/>
    </row>
    <row r="57847" spans="6:6">
      <c r="F57847" s="2423"/>
    </row>
    <row r="57848" spans="6:6">
      <c r="F57848" s="2423"/>
    </row>
    <row r="57849" spans="6:6">
      <c r="F57849" s="2423"/>
    </row>
    <row r="57850" spans="6:6">
      <c r="F57850" s="2423"/>
    </row>
    <row r="57851" spans="6:6">
      <c r="F57851" s="2423"/>
    </row>
    <row r="57852" spans="6:6">
      <c r="F57852" s="2423"/>
    </row>
    <row r="57853" spans="6:6">
      <c r="F57853" s="2423"/>
    </row>
    <row r="57854" spans="6:6">
      <c r="F57854" s="2423"/>
    </row>
    <row r="57855" spans="6:6">
      <c r="F57855" s="2423"/>
    </row>
    <row r="57856" spans="6:6">
      <c r="F57856" s="2423"/>
    </row>
    <row r="57857" spans="6:6">
      <c r="F57857" s="2423"/>
    </row>
    <row r="57858" spans="6:6">
      <c r="F57858" s="2423"/>
    </row>
    <row r="57859" spans="6:6">
      <c r="F57859" s="2423"/>
    </row>
    <row r="57860" spans="6:6">
      <c r="F57860" s="2423"/>
    </row>
    <row r="57861" spans="6:6">
      <c r="F57861" s="2423"/>
    </row>
    <row r="57862" spans="6:6">
      <c r="F57862" s="2423"/>
    </row>
    <row r="57863" spans="6:6">
      <c r="F57863" s="2423"/>
    </row>
    <row r="57864" spans="6:6">
      <c r="F57864" s="2423"/>
    </row>
    <row r="57865" spans="6:6">
      <c r="F57865" s="2423"/>
    </row>
    <row r="57866" spans="6:6">
      <c r="F57866" s="2423"/>
    </row>
    <row r="57867" spans="6:6">
      <c r="F57867" s="2423"/>
    </row>
    <row r="57868" spans="6:6">
      <c r="F57868" s="2423"/>
    </row>
    <row r="57869" spans="6:6">
      <c r="F57869" s="2423"/>
    </row>
    <row r="57870" spans="6:6">
      <c r="F57870" s="2423"/>
    </row>
    <row r="57871" spans="6:6">
      <c r="F57871" s="2423"/>
    </row>
    <row r="57872" spans="6:6">
      <c r="F57872" s="2423"/>
    </row>
    <row r="57873" spans="6:6">
      <c r="F57873" s="2423"/>
    </row>
    <row r="57874" spans="6:6">
      <c r="F57874" s="2423"/>
    </row>
    <row r="57875" spans="6:6">
      <c r="F57875" s="2423"/>
    </row>
    <row r="57876" spans="6:6">
      <c r="F57876" s="2423"/>
    </row>
    <row r="57877" spans="6:6">
      <c r="F57877" s="2423"/>
    </row>
    <row r="57878" spans="6:6">
      <c r="F57878" s="2423"/>
    </row>
    <row r="57879" spans="6:6">
      <c r="F57879" s="2423"/>
    </row>
    <row r="57880" spans="6:6">
      <c r="F57880" s="2423"/>
    </row>
    <row r="57881" spans="6:6">
      <c r="F57881" s="2423"/>
    </row>
    <row r="57882" spans="6:6">
      <c r="F57882" s="2423"/>
    </row>
    <row r="57883" spans="6:6">
      <c r="F57883" s="2423"/>
    </row>
    <row r="57884" spans="6:6">
      <c r="F57884" s="2423"/>
    </row>
    <row r="57885" spans="6:6">
      <c r="F57885" s="2423"/>
    </row>
    <row r="57886" spans="6:6">
      <c r="F57886" s="2423"/>
    </row>
    <row r="57887" spans="6:6">
      <c r="F57887" s="2423"/>
    </row>
    <row r="57888" spans="6:6">
      <c r="F57888" s="2423"/>
    </row>
    <row r="57889" spans="6:6">
      <c r="F57889" s="2423"/>
    </row>
    <row r="57890" spans="6:6">
      <c r="F57890" s="2423"/>
    </row>
    <row r="57891" spans="6:6">
      <c r="F57891" s="2423"/>
    </row>
    <row r="57892" spans="6:6">
      <c r="F57892" s="2423"/>
    </row>
    <row r="57893" spans="6:6">
      <c r="F57893" s="2423"/>
    </row>
    <row r="57894" spans="6:6">
      <c r="F57894" s="2423"/>
    </row>
    <row r="57895" spans="6:6">
      <c r="F57895" s="2423"/>
    </row>
    <row r="57896" spans="6:6">
      <c r="F57896" s="2423"/>
    </row>
    <row r="57897" spans="6:6">
      <c r="F57897" s="2423"/>
    </row>
    <row r="57898" spans="6:6">
      <c r="F57898" s="2423"/>
    </row>
    <row r="57899" spans="6:6">
      <c r="F57899" s="2423"/>
    </row>
    <row r="57900" spans="6:6">
      <c r="F57900" s="2423"/>
    </row>
    <row r="57901" spans="6:6">
      <c r="F57901" s="2423"/>
    </row>
    <row r="57902" spans="6:6">
      <c r="F57902" s="2423"/>
    </row>
    <row r="57903" spans="6:6">
      <c r="F57903" s="2423"/>
    </row>
    <row r="57904" spans="6:6">
      <c r="F57904" s="2423"/>
    </row>
    <row r="57905" spans="6:6">
      <c r="F57905" s="2423"/>
    </row>
    <row r="57906" spans="6:6">
      <c r="F57906" s="2423"/>
    </row>
    <row r="57907" spans="6:6">
      <c r="F57907" s="2423"/>
    </row>
    <row r="57908" spans="6:6">
      <c r="F57908" s="2423"/>
    </row>
    <row r="57909" spans="6:6">
      <c r="F57909" s="2423"/>
    </row>
    <row r="57910" spans="6:6">
      <c r="F57910" s="2423"/>
    </row>
    <row r="57911" spans="6:6">
      <c r="F57911" s="2423"/>
    </row>
    <row r="57912" spans="6:6">
      <c r="F57912" s="2423"/>
    </row>
    <row r="57913" spans="6:6">
      <c r="F57913" s="2423"/>
    </row>
    <row r="57914" spans="6:6">
      <c r="F57914" s="2423"/>
    </row>
    <row r="57915" spans="6:6">
      <c r="F57915" s="2423"/>
    </row>
    <row r="57916" spans="6:6">
      <c r="F57916" s="2423"/>
    </row>
    <row r="57917" spans="6:6">
      <c r="F57917" s="2423"/>
    </row>
    <row r="57918" spans="6:6">
      <c r="F57918" s="2423"/>
    </row>
    <row r="57919" spans="6:6">
      <c r="F57919" s="2423"/>
    </row>
    <row r="57920" spans="6:6">
      <c r="F57920" s="2423"/>
    </row>
    <row r="57921" spans="6:6">
      <c r="F57921" s="2423"/>
    </row>
    <row r="57922" spans="6:6">
      <c r="F57922" s="2423"/>
    </row>
    <row r="57923" spans="6:6">
      <c r="F57923" s="2423"/>
    </row>
    <row r="57924" spans="6:6">
      <c r="F57924" s="2423"/>
    </row>
    <row r="57925" spans="6:6">
      <c r="F57925" s="2423"/>
    </row>
    <row r="57926" spans="6:6">
      <c r="F57926" s="2423"/>
    </row>
    <row r="57927" spans="6:6">
      <c r="F57927" s="2423"/>
    </row>
    <row r="57928" spans="6:6">
      <c r="F57928" s="2423"/>
    </row>
    <row r="57929" spans="6:6">
      <c r="F57929" s="2423"/>
    </row>
    <row r="57930" spans="6:6">
      <c r="F57930" s="2423"/>
    </row>
    <row r="57931" spans="6:6">
      <c r="F57931" s="2423"/>
    </row>
    <row r="57932" spans="6:6">
      <c r="F57932" s="2423"/>
    </row>
    <row r="57933" spans="6:6">
      <c r="F57933" s="2423"/>
    </row>
    <row r="57934" spans="6:6">
      <c r="F57934" s="2423"/>
    </row>
    <row r="57935" spans="6:6">
      <c r="F57935" s="2423"/>
    </row>
    <row r="57936" spans="6:6">
      <c r="F57936" s="2423"/>
    </row>
    <row r="57937" spans="6:6">
      <c r="F57937" s="2423"/>
    </row>
    <row r="57938" spans="6:6">
      <c r="F57938" s="2423"/>
    </row>
    <row r="57939" spans="6:6">
      <c r="F57939" s="2423"/>
    </row>
    <row r="57940" spans="6:6">
      <c r="F57940" s="2423"/>
    </row>
    <row r="57941" spans="6:6">
      <c r="F57941" s="2423"/>
    </row>
    <row r="57942" spans="6:6">
      <c r="F57942" s="2423"/>
    </row>
    <row r="57943" spans="6:6">
      <c r="F57943" s="2423"/>
    </row>
    <row r="57944" spans="6:6">
      <c r="F57944" s="2423"/>
    </row>
    <row r="57945" spans="6:6">
      <c r="F57945" s="2423"/>
    </row>
    <row r="57946" spans="6:6">
      <c r="F57946" s="2423"/>
    </row>
    <row r="57947" spans="6:6">
      <c r="F57947" s="2423"/>
    </row>
    <row r="57948" spans="6:6">
      <c r="F57948" s="2423"/>
    </row>
    <row r="57949" spans="6:6">
      <c r="F57949" s="2423"/>
    </row>
    <row r="57950" spans="6:6">
      <c r="F57950" s="2423"/>
    </row>
    <row r="57951" spans="6:6">
      <c r="F57951" s="2423"/>
    </row>
    <row r="57952" spans="6:6">
      <c r="F57952" s="2423"/>
    </row>
    <row r="57953" spans="6:6">
      <c r="F57953" s="2423"/>
    </row>
    <row r="57954" spans="6:6">
      <c r="F57954" s="2423"/>
    </row>
    <row r="57955" spans="6:6">
      <c r="F57955" s="2423"/>
    </row>
    <row r="57956" spans="6:6">
      <c r="F57956" s="2423"/>
    </row>
    <row r="57957" spans="6:6">
      <c r="F57957" s="2423"/>
    </row>
    <row r="57958" spans="6:6">
      <c r="F57958" s="2423"/>
    </row>
    <row r="57959" spans="6:6">
      <c r="F57959" s="2423"/>
    </row>
    <row r="57960" spans="6:6">
      <c r="F57960" s="2423"/>
    </row>
    <row r="57961" spans="6:6">
      <c r="F57961" s="2423"/>
    </row>
    <row r="57962" spans="6:6">
      <c r="F57962" s="2423"/>
    </row>
    <row r="57963" spans="6:6">
      <c r="F57963" s="2423"/>
    </row>
    <row r="57964" spans="6:6">
      <c r="F57964" s="2423"/>
    </row>
    <row r="57965" spans="6:6">
      <c r="F57965" s="2423"/>
    </row>
    <row r="57966" spans="6:6">
      <c r="F57966" s="2423"/>
    </row>
    <row r="57967" spans="6:6">
      <c r="F57967" s="2423"/>
    </row>
    <row r="57968" spans="6:6">
      <c r="F57968" s="2423"/>
    </row>
    <row r="57969" spans="6:6">
      <c r="F57969" s="2423"/>
    </row>
    <row r="57970" spans="6:6">
      <c r="F57970" s="2423"/>
    </row>
    <row r="57971" spans="6:6">
      <c r="F57971" s="2423"/>
    </row>
    <row r="57972" spans="6:6">
      <c r="F57972" s="2423"/>
    </row>
    <row r="57973" spans="6:6">
      <c r="F57973" s="2423"/>
    </row>
    <row r="57974" spans="6:6">
      <c r="F57974" s="2423"/>
    </row>
    <row r="57975" spans="6:6">
      <c r="F57975" s="2423"/>
    </row>
    <row r="57976" spans="6:6">
      <c r="F57976" s="2423"/>
    </row>
    <row r="57977" spans="6:6">
      <c r="F57977" s="2423"/>
    </row>
    <row r="57978" spans="6:6">
      <c r="F57978" s="2423"/>
    </row>
    <row r="57979" spans="6:6">
      <c r="F57979" s="2423"/>
    </row>
    <row r="57980" spans="6:6">
      <c r="F57980" s="2423"/>
    </row>
    <row r="57981" spans="6:6">
      <c r="F57981" s="2423"/>
    </row>
    <row r="57982" spans="6:6">
      <c r="F57982" s="2423"/>
    </row>
    <row r="57983" spans="6:6">
      <c r="F57983" s="2423"/>
    </row>
    <row r="57984" spans="6:6">
      <c r="F57984" s="2423"/>
    </row>
    <row r="57985" spans="6:6">
      <c r="F57985" s="2423"/>
    </row>
    <row r="57986" spans="6:6">
      <c r="F57986" s="2423"/>
    </row>
    <row r="57987" spans="6:6">
      <c r="F57987" s="2423"/>
    </row>
    <row r="57988" spans="6:6">
      <c r="F57988" s="2423"/>
    </row>
    <row r="57989" spans="6:6">
      <c r="F57989" s="2423"/>
    </row>
    <row r="57990" spans="6:6">
      <c r="F57990" s="2423"/>
    </row>
    <row r="57991" spans="6:6">
      <c r="F57991" s="2423"/>
    </row>
    <row r="57992" spans="6:6">
      <c r="F57992" s="2423"/>
    </row>
    <row r="57993" spans="6:6">
      <c r="F57993" s="2423"/>
    </row>
    <row r="57994" spans="6:6">
      <c r="F57994" s="2423"/>
    </row>
    <row r="57995" spans="6:6">
      <c r="F57995" s="2423"/>
    </row>
    <row r="57996" spans="6:6">
      <c r="F57996" s="2423"/>
    </row>
    <row r="57997" spans="6:6">
      <c r="F57997" s="2423"/>
    </row>
    <row r="57998" spans="6:6">
      <c r="F57998" s="2423"/>
    </row>
    <row r="57999" spans="6:6">
      <c r="F57999" s="2423"/>
    </row>
    <row r="58000" spans="6:6">
      <c r="F58000" s="2423"/>
    </row>
    <row r="58001" spans="6:6">
      <c r="F58001" s="2423"/>
    </row>
    <row r="58002" spans="6:6">
      <c r="F58002" s="2423"/>
    </row>
    <row r="58003" spans="6:6">
      <c r="F58003" s="2423"/>
    </row>
    <row r="58004" spans="6:6">
      <c r="F58004" s="2423"/>
    </row>
    <row r="58005" spans="6:6">
      <c r="F58005" s="2423"/>
    </row>
    <row r="58006" spans="6:6">
      <c r="F58006" s="2423"/>
    </row>
    <row r="58007" spans="6:6">
      <c r="F58007" s="2423"/>
    </row>
    <row r="58008" spans="6:6">
      <c r="F58008" s="2423"/>
    </row>
    <row r="58009" spans="6:6">
      <c r="F58009" s="2423"/>
    </row>
    <row r="58010" spans="6:6">
      <c r="F58010" s="2423"/>
    </row>
    <row r="58011" spans="6:6">
      <c r="F58011" s="2423"/>
    </row>
    <row r="58012" spans="6:6">
      <c r="F58012" s="2423"/>
    </row>
    <row r="58013" spans="6:6">
      <c r="F58013" s="2423"/>
    </row>
    <row r="58014" spans="6:6">
      <c r="F58014" s="2423"/>
    </row>
    <row r="58015" spans="6:6">
      <c r="F58015" s="2423"/>
    </row>
    <row r="58016" spans="6:6">
      <c r="F58016" s="2423"/>
    </row>
    <row r="58017" spans="6:6">
      <c r="F58017" s="2423"/>
    </row>
    <row r="58018" spans="6:6">
      <c r="F58018" s="2423"/>
    </row>
    <row r="58019" spans="6:6">
      <c r="F58019" s="2423"/>
    </row>
    <row r="58020" spans="6:6">
      <c r="F58020" s="2423"/>
    </row>
    <row r="58021" spans="6:6">
      <c r="F58021" s="2423"/>
    </row>
    <row r="58022" spans="6:6">
      <c r="F58022" s="2423"/>
    </row>
    <row r="58023" spans="6:6">
      <c r="F58023" s="2423"/>
    </row>
    <row r="58024" spans="6:6">
      <c r="F58024" s="2423"/>
    </row>
    <row r="58025" spans="6:6">
      <c r="F58025" s="2423"/>
    </row>
    <row r="58026" spans="6:6">
      <c r="F58026" s="2423"/>
    </row>
    <row r="58027" spans="6:6">
      <c r="F58027" s="2423"/>
    </row>
    <row r="58028" spans="6:6">
      <c r="F58028" s="2423"/>
    </row>
    <row r="58029" spans="6:6">
      <c r="F58029" s="2423"/>
    </row>
    <row r="58030" spans="6:6">
      <c r="F58030" s="2423"/>
    </row>
    <row r="58031" spans="6:6">
      <c r="F58031" s="2423"/>
    </row>
    <row r="58032" spans="6:6">
      <c r="F58032" s="2423"/>
    </row>
    <row r="58033" spans="6:6">
      <c r="F58033" s="2423"/>
    </row>
    <row r="58034" spans="6:6">
      <c r="F58034" s="2423"/>
    </row>
    <row r="58035" spans="6:6">
      <c r="F58035" s="2423"/>
    </row>
    <row r="58036" spans="6:6">
      <c r="F58036" s="2423"/>
    </row>
    <row r="58037" spans="6:6">
      <c r="F58037" s="2423"/>
    </row>
    <row r="58038" spans="6:6">
      <c r="F58038" s="2423"/>
    </row>
    <row r="58039" spans="6:6">
      <c r="F58039" s="2423"/>
    </row>
    <row r="58040" spans="6:6">
      <c r="F58040" s="2423"/>
    </row>
    <row r="58041" spans="6:6">
      <c r="F58041" s="2423"/>
    </row>
    <row r="58042" spans="6:6">
      <c r="F58042" s="2423"/>
    </row>
    <row r="58043" spans="6:6">
      <c r="F58043" s="2423"/>
    </row>
    <row r="58044" spans="6:6">
      <c r="F58044" s="2423"/>
    </row>
    <row r="58045" spans="6:6">
      <c r="F58045" s="2423"/>
    </row>
    <row r="58046" spans="6:6">
      <c r="F58046" s="2423"/>
    </row>
    <row r="58047" spans="6:6">
      <c r="F58047" s="2423"/>
    </row>
    <row r="58048" spans="6:6">
      <c r="F58048" s="2423"/>
    </row>
    <row r="58049" spans="6:6">
      <c r="F58049" s="2423"/>
    </row>
    <row r="58050" spans="6:6">
      <c r="F58050" s="2423"/>
    </row>
    <row r="58051" spans="6:6">
      <c r="F58051" s="2423"/>
    </row>
    <row r="58052" spans="6:6">
      <c r="F58052" s="2423"/>
    </row>
    <row r="58053" spans="6:6">
      <c r="F58053" s="2423"/>
    </row>
    <row r="58054" spans="6:6">
      <c r="F58054" s="2423"/>
    </row>
    <row r="58055" spans="6:6">
      <c r="F58055" s="2423"/>
    </row>
    <row r="58056" spans="6:6">
      <c r="F58056" s="2423"/>
    </row>
    <row r="58057" spans="6:6">
      <c r="F58057" s="2423"/>
    </row>
    <row r="58058" spans="6:6">
      <c r="F58058" s="2423"/>
    </row>
    <row r="58059" spans="6:6">
      <c r="F58059" s="2423"/>
    </row>
    <row r="58060" spans="6:6">
      <c r="F58060" s="2423"/>
    </row>
    <row r="58061" spans="6:6">
      <c r="F58061" s="2423"/>
    </row>
    <row r="58062" spans="6:6">
      <c r="F58062" s="2423"/>
    </row>
    <row r="58063" spans="6:6">
      <c r="F58063" s="2423"/>
    </row>
    <row r="58064" spans="6:6">
      <c r="F58064" s="2423"/>
    </row>
    <row r="58065" spans="6:6">
      <c r="F58065" s="2423"/>
    </row>
    <row r="58066" spans="6:6">
      <c r="F58066" s="2423"/>
    </row>
    <row r="58067" spans="6:6">
      <c r="F58067" s="2423"/>
    </row>
    <row r="58068" spans="6:6">
      <c r="F58068" s="2423"/>
    </row>
    <row r="58069" spans="6:6">
      <c r="F58069" s="2423"/>
    </row>
    <row r="58070" spans="6:6">
      <c r="F58070" s="2423"/>
    </row>
    <row r="58071" spans="6:6">
      <c r="F58071" s="2423"/>
    </row>
    <row r="58072" spans="6:6">
      <c r="F58072" s="2423"/>
    </row>
    <row r="58073" spans="6:6">
      <c r="F58073" s="2423"/>
    </row>
    <row r="58074" spans="6:6">
      <c r="F58074" s="2423"/>
    </row>
    <row r="58075" spans="6:6">
      <c r="F58075" s="2423"/>
    </row>
    <row r="58076" spans="6:6">
      <c r="F58076" s="2423"/>
    </row>
    <row r="58077" spans="6:6">
      <c r="F58077" s="2423"/>
    </row>
    <row r="58078" spans="6:6">
      <c r="F58078" s="2423"/>
    </row>
    <row r="58079" spans="6:6">
      <c r="F58079" s="2423"/>
    </row>
    <row r="58080" spans="6:6">
      <c r="F58080" s="2423"/>
    </row>
    <row r="58081" spans="6:6">
      <c r="F58081" s="2423"/>
    </row>
    <row r="58082" spans="6:6">
      <c r="F58082" s="2423"/>
    </row>
    <row r="58083" spans="6:6">
      <c r="F58083" s="2423"/>
    </row>
    <row r="58084" spans="6:6">
      <c r="F58084" s="2423"/>
    </row>
    <row r="58085" spans="6:6">
      <c r="F58085" s="2423"/>
    </row>
    <row r="58086" spans="6:6">
      <c r="F58086" s="2423"/>
    </row>
    <row r="58087" spans="6:6">
      <c r="F58087" s="2423"/>
    </row>
    <row r="58088" spans="6:6">
      <c r="F58088" s="2423"/>
    </row>
    <row r="58089" spans="6:6">
      <c r="F58089" s="2423"/>
    </row>
    <row r="58090" spans="6:6">
      <c r="F58090" s="2423"/>
    </row>
    <row r="58091" spans="6:6">
      <c r="F58091" s="2423"/>
    </row>
    <row r="58092" spans="6:6">
      <c r="F58092" s="2423"/>
    </row>
    <row r="58093" spans="6:6">
      <c r="F58093" s="2423"/>
    </row>
    <row r="58094" spans="6:6">
      <c r="F58094" s="2423"/>
    </row>
    <row r="58095" spans="6:6">
      <c r="F58095" s="2423"/>
    </row>
    <row r="58096" spans="6:6">
      <c r="F58096" s="2423"/>
    </row>
    <row r="58097" spans="6:6">
      <c r="F58097" s="2423"/>
    </row>
    <row r="58098" spans="6:6">
      <c r="F58098" s="2423"/>
    </row>
    <row r="58099" spans="6:6">
      <c r="F58099" s="2423"/>
    </row>
    <row r="58100" spans="6:6">
      <c r="F58100" s="2423"/>
    </row>
    <row r="58101" spans="6:6">
      <c r="F58101" s="2423"/>
    </row>
    <row r="58102" spans="6:6">
      <c r="F58102" s="2423"/>
    </row>
    <row r="58103" spans="6:6">
      <c r="F58103" s="2423"/>
    </row>
    <row r="58104" spans="6:6">
      <c r="F58104" s="2423"/>
    </row>
    <row r="58105" spans="6:6">
      <c r="F58105" s="2423"/>
    </row>
    <row r="58106" spans="6:6">
      <c r="F58106" s="2423"/>
    </row>
    <row r="58107" spans="6:6">
      <c r="F58107" s="2423"/>
    </row>
    <row r="58108" spans="6:6">
      <c r="F58108" s="2423"/>
    </row>
    <row r="58109" spans="6:6">
      <c r="F58109" s="2423"/>
    </row>
    <row r="58110" spans="6:6">
      <c r="F58110" s="2423"/>
    </row>
    <row r="58111" spans="6:6">
      <c r="F58111" s="2423"/>
    </row>
    <row r="58112" spans="6:6">
      <c r="F58112" s="2423"/>
    </row>
    <row r="58113" spans="6:6">
      <c r="F58113" s="2423"/>
    </row>
    <row r="58114" spans="6:6">
      <c r="F58114" s="2423"/>
    </row>
    <row r="58115" spans="6:6">
      <c r="F58115" s="2423"/>
    </row>
    <row r="58116" spans="6:6">
      <c r="F58116" s="2423"/>
    </row>
    <row r="58117" spans="6:6">
      <c r="F58117" s="2423"/>
    </row>
    <row r="58118" spans="6:6">
      <c r="F58118" s="2423"/>
    </row>
    <row r="58119" spans="6:6">
      <c r="F58119" s="2423"/>
    </row>
    <row r="58120" spans="6:6">
      <c r="F58120" s="2423"/>
    </row>
    <row r="58121" spans="6:6">
      <c r="F58121" s="2423"/>
    </row>
    <row r="58122" spans="6:6">
      <c r="F58122" s="2423"/>
    </row>
    <row r="58123" spans="6:6">
      <c r="F58123" s="2423"/>
    </row>
    <row r="58124" spans="6:6">
      <c r="F58124" s="2423"/>
    </row>
    <row r="58125" spans="6:6">
      <c r="F58125" s="2423"/>
    </row>
    <row r="58126" spans="6:6">
      <c r="F58126" s="2423"/>
    </row>
    <row r="58127" spans="6:6">
      <c r="F58127" s="2423"/>
    </row>
    <row r="58128" spans="6:6">
      <c r="F58128" s="2423"/>
    </row>
    <row r="58129" spans="6:6">
      <c r="F58129" s="2423"/>
    </row>
    <row r="58130" spans="6:6">
      <c r="F58130" s="2423"/>
    </row>
    <row r="58131" spans="6:6">
      <c r="F58131" s="2423"/>
    </row>
    <row r="58132" spans="6:6">
      <c r="F58132" s="2423"/>
    </row>
    <row r="58133" spans="6:6">
      <c r="F58133" s="2423"/>
    </row>
    <row r="58134" spans="6:6">
      <c r="F58134" s="2423"/>
    </row>
    <row r="58135" spans="6:6">
      <c r="F58135" s="2423"/>
    </row>
    <row r="58136" spans="6:6">
      <c r="F58136" s="2423"/>
    </row>
    <row r="58137" spans="6:6">
      <c r="F58137" s="2423"/>
    </row>
    <row r="58138" spans="6:6">
      <c r="F58138" s="2423"/>
    </row>
    <row r="58139" spans="6:6">
      <c r="F58139" s="2423"/>
    </row>
    <row r="58140" spans="6:6">
      <c r="F58140" s="2423"/>
    </row>
    <row r="58141" spans="6:6">
      <c r="F58141" s="2423"/>
    </row>
    <row r="58142" spans="6:6">
      <c r="F58142" s="2423"/>
    </row>
    <row r="58143" spans="6:6">
      <c r="F58143" s="2423"/>
    </row>
    <row r="58144" spans="6:6">
      <c r="F58144" s="2423"/>
    </row>
    <row r="58145" spans="6:6">
      <c r="F58145" s="2423"/>
    </row>
    <row r="58146" spans="6:6">
      <c r="F58146" s="2423"/>
    </row>
    <row r="58147" spans="6:6">
      <c r="F58147" s="2423"/>
    </row>
    <row r="58148" spans="6:6">
      <c r="F58148" s="2423"/>
    </row>
    <row r="58149" spans="6:6">
      <c r="F58149" s="2423"/>
    </row>
    <row r="58150" spans="6:6">
      <c r="F58150" s="2423"/>
    </row>
    <row r="58151" spans="6:6">
      <c r="F58151" s="2423"/>
    </row>
    <row r="58152" spans="6:6">
      <c r="F58152" s="2423"/>
    </row>
    <row r="58153" spans="6:6">
      <c r="F58153" s="2423"/>
    </row>
    <row r="58154" spans="6:6">
      <c r="F58154" s="2423"/>
    </row>
    <row r="58155" spans="6:6">
      <c r="F58155" s="2423"/>
    </row>
    <row r="58156" spans="6:6">
      <c r="F58156" s="2423"/>
    </row>
    <row r="58157" spans="6:6">
      <c r="F58157" s="2423"/>
    </row>
    <row r="58158" spans="6:6">
      <c r="F58158" s="2423"/>
    </row>
    <row r="58159" spans="6:6">
      <c r="F58159" s="2423"/>
    </row>
    <row r="58160" spans="6:6">
      <c r="F58160" s="2423"/>
    </row>
    <row r="58161" spans="6:6">
      <c r="F58161" s="2423"/>
    </row>
    <row r="58162" spans="6:6">
      <c r="F58162" s="2423"/>
    </row>
    <row r="58163" spans="6:6">
      <c r="F58163" s="2423"/>
    </row>
    <row r="58164" spans="6:6">
      <c r="F58164" s="2423"/>
    </row>
    <row r="58165" spans="6:6">
      <c r="F58165" s="2423"/>
    </row>
    <row r="58166" spans="6:6">
      <c r="F58166" s="2423"/>
    </row>
    <row r="58167" spans="6:6">
      <c r="F58167" s="2423"/>
    </row>
    <row r="58168" spans="6:6">
      <c r="F58168" s="2423"/>
    </row>
    <row r="58169" spans="6:6">
      <c r="F58169" s="2423"/>
    </row>
    <row r="58170" spans="6:6">
      <c r="F58170" s="2423"/>
    </row>
    <row r="58171" spans="6:6">
      <c r="F58171" s="2423"/>
    </row>
    <row r="58172" spans="6:6">
      <c r="F58172" s="2423"/>
    </row>
    <row r="58173" spans="6:6">
      <c r="F58173" s="2423"/>
    </row>
    <row r="58174" spans="6:6">
      <c r="F58174" s="2423"/>
    </row>
    <row r="58175" spans="6:6">
      <c r="F58175" s="2423"/>
    </row>
    <row r="58176" spans="6:6">
      <c r="F58176" s="2423"/>
    </row>
    <row r="58177" spans="6:6">
      <c r="F58177" s="2423"/>
    </row>
    <row r="58178" spans="6:6">
      <c r="F58178" s="2423"/>
    </row>
    <row r="58179" spans="6:6">
      <c r="F58179" s="2423"/>
    </row>
    <row r="58180" spans="6:6">
      <c r="F58180" s="2423"/>
    </row>
    <row r="58181" spans="6:6">
      <c r="F58181" s="2423"/>
    </row>
    <row r="58182" spans="6:6">
      <c r="F58182" s="2423"/>
    </row>
    <row r="58183" spans="6:6">
      <c r="F58183" s="2423"/>
    </row>
    <row r="58184" spans="6:6">
      <c r="F58184" s="2423"/>
    </row>
    <row r="58185" spans="6:6">
      <c r="F58185" s="2423"/>
    </row>
    <row r="58186" spans="6:6">
      <c r="F58186" s="2423"/>
    </row>
    <row r="58187" spans="6:6">
      <c r="F58187" s="2423"/>
    </row>
    <row r="58188" spans="6:6">
      <c r="F58188" s="2423"/>
    </row>
    <row r="58189" spans="6:6">
      <c r="F58189" s="2423"/>
    </row>
    <row r="58190" spans="6:6">
      <c r="F58190" s="2423"/>
    </row>
    <row r="58191" spans="6:6">
      <c r="F58191" s="2423"/>
    </row>
    <row r="58192" spans="6:6">
      <c r="F58192" s="2423"/>
    </row>
    <row r="58193" spans="6:6">
      <c r="F58193" s="2423"/>
    </row>
    <row r="58194" spans="6:6">
      <c r="F58194" s="2423"/>
    </row>
    <row r="58195" spans="6:6">
      <c r="F58195" s="2423"/>
    </row>
    <row r="58196" spans="6:6">
      <c r="F58196" s="2423"/>
    </row>
    <row r="58197" spans="6:6">
      <c r="F58197" s="2423"/>
    </row>
    <row r="58198" spans="6:6">
      <c r="F58198" s="2423"/>
    </row>
    <row r="58199" spans="6:6">
      <c r="F58199" s="2423"/>
    </row>
    <row r="58200" spans="6:6">
      <c r="F58200" s="2423"/>
    </row>
    <row r="58201" spans="6:6">
      <c r="F58201" s="2423"/>
    </row>
    <row r="58202" spans="6:6">
      <c r="F58202" s="2423"/>
    </row>
    <row r="58203" spans="6:6">
      <c r="F58203" s="2423"/>
    </row>
    <row r="58204" spans="6:6">
      <c r="F58204" s="2423"/>
    </row>
    <row r="58205" spans="6:6">
      <c r="F58205" s="2423"/>
    </row>
    <row r="58206" spans="6:6">
      <c r="F58206" s="2423"/>
    </row>
    <row r="58207" spans="6:6">
      <c r="F58207" s="2423"/>
    </row>
    <row r="58208" spans="6:6">
      <c r="F58208" s="2423"/>
    </row>
    <row r="58209" spans="6:6">
      <c r="F58209" s="2423"/>
    </row>
    <row r="58210" spans="6:6">
      <c r="F58210" s="2423"/>
    </row>
    <row r="58211" spans="6:6">
      <c r="F58211" s="2423"/>
    </row>
    <row r="58212" spans="6:6">
      <c r="F58212" s="2423"/>
    </row>
    <row r="58213" spans="6:6">
      <c r="F58213" s="2423"/>
    </row>
    <row r="58214" spans="6:6">
      <c r="F58214" s="2423"/>
    </row>
    <row r="58215" spans="6:6">
      <c r="F58215" s="2423"/>
    </row>
    <row r="58216" spans="6:6">
      <c r="F58216" s="2423"/>
    </row>
    <row r="58217" spans="6:6">
      <c r="F58217" s="2423"/>
    </row>
    <row r="58218" spans="6:6">
      <c r="F58218" s="2423"/>
    </row>
    <row r="58219" spans="6:6">
      <c r="F58219" s="2423"/>
    </row>
    <row r="58220" spans="6:6">
      <c r="F58220" s="2423"/>
    </row>
    <row r="58221" spans="6:6">
      <c r="F58221" s="2423"/>
    </row>
    <row r="58222" spans="6:6">
      <c r="F58222" s="2423"/>
    </row>
    <row r="58223" spans="6:6">
      <c r="F58223" s="2423"/>
    </row>
    <row r="58224" spans="6:6">
      <c r="F58224" s="2423"/>
    </row>
    <row r="58225" spans="6:6">
      <c r="F58225" s="2423"/>
    </row>
    <row r="58226" spans="6:6">
      <c r="F58226" s="2423"/>
    </row>
    <row r="58227" spans="6:6">
      <c r="F58227" s="2423"/>
    </row>
    <row r="58228" spans="6:6">
      <c r="F58228" s="2423"/>
    </row>
    <row r="58229" spans="6:6">
      <c r="F58229" s="2423"/>
    </row>
    <row r="58230" spans="6:6">
      <c r="F58230" s="2423"/>
    </row>
    <row r="58231" spans="6:6">
      <c r="F58231" s="2423"/>
    </row>
    <row r="58232" spans="6:6">
      <c r="F58232" s="2423"/>
    </row>
    <row r="58233" spans="6:6">
      <c r="F58233" s="2423"/>
    </row>
    <row r="58234" spans="6:6">
      <c r="F58234" s="2423"/>
    </row>
    <row r="58235" spans="6:6">
      <c r="F58235" s="2423"/>
    </row>
    <row r="58236" spans="6:6">
      <c r="F58236" s="2423"/>
    </row>
    <row r="58237" spans="6:6">
      <c r="F58237" s="2423"/>
    </row>
    <row r="58238" spans="6:6">
      <c r="F58238" s="2423"/>
    </row>
    <row r="58239" spans="6:6">
      <c r="F58239" s="2423"/>
    </row>
    <row r="58240" spans="6:6">
      <c r="F58240" s="2423"/>
    </row>
    <row r="58241" spans="6:6">
      <c r="F58241" s="2423"/>
    </row>
    <row r="58242" spans="6:6">
      <c r="F58242" s="2423"/>
    </row>
    <row r="58243" spans="6:6">
      <c r="F58243" s="2423"/>
    </row>
    <row r="58244" spans="6:6">
      <c r="F58244" s="2423"/>
    </row>
    <row r="58245" spans="6:6">
      <c r="F58245" s="2423"/>
    </row>
    <row r="58246" spans="6:6">
      <c r="F58246" s="2423"/>
    </row>
    <row r="58247" spans="6:6">
      <c r="F58247" s="2423"/>
    </row>
    <row r="58248" spans="6:6">
      <c r="F58248" s="2423"/>
    </row>
    <row r="58249" spans="6:6">
      <c r="F58249" s="2423"/>
    </row>
    <row r="58250" spans="6:6">
      <c r="F58250" s="2423"/>
    </row>
    <row r="58251" spans="6:6">
      <c r="F58251" s="2423"/>
    </row>
    <row r="58252" spans="6:6">
      <c r="F58252" s="2423"/>
    </row>
    <row r="58253" spans="6:6">
      <c r="F58253" s="2423"/>
    </row>
    <row r="58254" spans="6:6">
      <c r="F58254" s="2423"/>
    </row>
    <row r="58255" spans="6:6">
      <c r="F58255" s="2423"/>
    </row>
    <row r="58256" spans="6:6">
      <c r="F58256" s="2423"/>
    </row>
    <row r="58257" spans="6:6">
      <c r="F58257" s="2423"/>
    </row>
    <row r="58258" spans="6:6">
      <c r="F58258" s="2423"/>
    </row>
    <row r="58259" spans="6:6">
      <c r="F58259" s="2423"/>
    </row>
    <row r="58260" spans="6:6">
      <c r="F58260" s="2423"/>
    </row>
    <row r="58261" spans="6:6">
      <c r="F58261" s="2423"/>
    </row>
    <row r="58262" spans="6:6">
      <c r="F58262" s="2423"/>
    </row>
    <row r="58263" spans="6:6">
      <c r="F58263" s="2423"/>
    </row>
    <row r="58264" spans="6:6">
      <c r="F58264" s="2423"/>
    </row>
    <row r="58265" spans="6:6">
      <c r="F58265" s="2423"/>
    </row>
    <row r="58266" spans="6:6">
      <c r="F58266" s="2423"/>
    </row>
    <row r="58267" spans="6:6">
      <c r="F58267" s="2423"/>
    </row>
    <row r="58268" spans="6:6">
      <c r="F58268" s="2423"/>
    </row>
    <row r="58269" spans="6:6">
      <c r="F58269" s="2423"/>
    </row>
    <row r="58270" spans="6:6">
      <c r="F58270" s="2423"/>
    </row>
    <row r="58271" spans="6:6">
      <c r="F58271" s="2423"/>
    </row>
    <row r="58272" spans="6:6">
      <c r="F58272" s="2423"/>
    </row>
    <row r="58273" spans="6:6">
      <c r="F58273" s="2423"/>
    </row>
    <row r="58274" spans="6:6">
      <c r="F58274" s="2423"/>
    </row>
    <row r="58275" spans="6:6">
      <c r="F58275" s="2423"/>
    </row>
    <row r="58276" spans="6:6">
      <c r="F58276" s="2423"/>
    </row>
    <row r="58277" spans="6:6">
      <c r="F58277" s="2423"/>
    </row>
    <row r="58278" spans="6:6">
      <c r="F58278" s="2423"/>
    </row>
    <row r="58279" spans="6:6">
      <c r="F58279" s="2423"/>
    </row>
    <row r="58280" spans="6:6">
      <c r="F58280" s="2423"/>
    </row>
    <row r="58281" spans="6:6">
      <c r="F58281" s="2423"/>
    </row>
    <row r="58282" spans="6:6">
      <c r="F58282" s="2423"/>
    </row>
    <row r="58283" spans="6:6">
      <c r="F58283" s="2423"/>
    </row>
    <row r="58284" spans="6:6">
      <c r="F58284" s="2423"/>
    </row>
    <row r="58285" spans="6:6">
      <c r="F58285" s="2423"/>
    </row>
    <row r="58286" spans="6:6">
      <c r="F58286" s="2423"/>
    </row>
    <row r="58287" spans="6:6">
      <c r="F58287" s="2423"/>
    </row>
    <row r="58288" spans="6:6">
      <c r="F58288" s="2423"/>
    </row>
    <row r="58289" spans="6:6">
      <c r="F58289" s="2423"/>
    </row>
    <row r="58290" spans="6:6">
      <c r="F58290" s="2423"/>
    </row>
    <row r="58291" spans="6:6">
      <c r="F58291" s="2423"/>
    </row>
    <row r="58292" spans="6:6">
      <c r="F58292" s="2423"/>
    </row>
    <row r="58293" spans="6:6">
      <c r="F58293" s="2423"/>
    </row>
    <row r="58294" spans="6:6">
      <c r="F58294" s="2423"/>
    </row>
    <row r="58295" spans="6:6">
      <c r="F58295" s="2423"/>
    </row>
    <row r="58296" spans="6:6">
      <c r="F58296" s="2423"/>
    </row>
    <row r="58297" spans="6:6">
      <c r="F58297" s="2423"/>
    </row>
    <row r="58298" spans="6:6">
      <c r="F58298" s="2423"/>
    </row>
    <row r="58299" spans="6:6">
      <c r="F58299" s="2423"/>
    </row>
    <row r="58300" spans="6:6">
      <c r="F58300" s="2423"/>
    </row>
    <row r="58301" spans="6:6">
      <c r="F58301" s="2423"/>
    </row>
    <row r="58302" spans="6:6">
      <c r="F58302" s="2423"/>
    </row>
    <row r="58303" spans="6:6">
      <c r="F58303" s="2423"/>
    </row>
    <row r="58304" spans="6:6">
      <c r="F58304" s="2423"/>
    </row>
    <row r="58305" spans="6:6">
      <c r="F58305" s="2423"/>
    </row>
    <row r="58306" spans="6:6">
      <c r="F58306" s="2423"/>
    </row>
    <row r="58307" spans="6:6">
      <c r="F58307" s="2423"/>
    </row>
    <row r="58308" spans="6:6">
      <c r="F58308" s="2423"/>
    </row>
    <row r="58309" spans="6:6">
      <c r="F58309" s="2423"/>
    </row>
    <row r="58310" spans="6:6">
      <c r="F58310" s="2423"/>
    </row>
    <row r="58311" spans="6:6">
      <c r="F58311" s="2423"/>
    </row>
    <row r="58312" spans="6:6">
      <c r="F58312" s="2423"/>
    </row>
    <row r="58313" spans="6:6">
      <c r="F58313" s="2423"/>
    </row>
    <row r="58314" spans="6:6">
      <c r="F58314" s="2423"/>
    </row>
    <row r="58315" spans="6:6">
      <c r="F58315" s="2423"/>
    </row>
    <row r="58316" spans="6:6">
      <c r="F58316" s="2423"/>
    </row>
    <row r="58317" spans="6:6">
      <c r="F58317" s="2423"/>
    </row>
    <row r="58318" spans="6:6">
      <c r="F58318" s="2423"/>
    </row>
    <row r="58319" spans="6:6">
      <c r="F58319" s="2423"/>
    </row>
    <row r="58320" spans="6:6">
      <c r="F58320" s="2423"/>
    </row>
    <row r="58321" spans="6:6">
      <c r="F58321" s="2423"/>
    </row>
    <row r="58322" spans="6:6">
      <c r="F58322" s="2423"/>
    </row>
    <row r="58323" spans="6:6">
      <c r="F58323" s="2423"/>
    </row>
    <row r="58324" spans="6:6">
      <c r="F58324" s="2423"/>
    </row>
    <row r="58325" spans="6:6">
      <c r="F58325" s="2423"/>
    </row>
    <row r="58326" spans="6:6">
      <c r="F58326" s="2423"/>
    </row>
    <row r="58327" spans="6:6">
      <c r="F58327" s="2423"/>
    </row>
    <row r="58328" spans="6:6">
      <c r="F58328" s="2423"/>
    </row>
    <row r="58329" spans="6:6">
      <c r="F58329" s="2423"/>
    </row>
    <row r="58330" spans="6:6">
      <c r="F58330" s="2423"/>
    </row>
    <row r="58331" spans="6:6">
      <c r="F58331" s="2423"/>
    </row>
    <row r="58332" spans="6:6">
      <c r="F58332" s="2423"/>
    </row>
    <row r="58333" spans="6:6">
      <c r="F58333" s="2423"/>
    </row>
    <row r="58334" spans="6:6">
      <c r="F58334" s="2423"/>
    </row>
    <row r="58335" spans="6:6">
      <c r="F58335" s="2423"/>
    </row>
    <row r="58336" spans="6:6">
      <c r="F58336" s="2423"/>
    </row>
    <row r="58337" spans="6:6">
      <c r="F58337" s="2423"/>
    </row>
    <row r="58338" spans="6:6">
      <c r="F58338" s="2423"/>
    </row>
    <row r="58339" spans="6:6">
      <c r="F58339" s="2423"/>
    </row>
    <row r="58340" spans="6:6">
      <c r="F58340" s="2423"/>
    </row>
    <row r="58341" spans="6:6">
      <c r="F58341" s="2423"/>
    </row>
    <row r="58342" spans="6:6">
      <c r="F58342" s="2423"/>
    </row>
    <row r="58343" spans="6:6">
      <c r="F58343" s="2423"/>
    </row>
    <row r="58344" spans="6:6">
      <c r="F58344" s="2423"/>
    </row>
    <row r="58345" spans="6:6">
      <c r="F58345" s="2423"/>
    </row>
    <row r="58346" spans="6:6">
      <c r="F58346" s="2423"/>
    </row>
    <row r="58347" spans="6:6">
      <c r="F58347" s="2423"/>
    </row>
    <row r="58348" spans="6:6">
      <c r="F58348" s="2423"/>
    </row>
    <row r="58349" spans="6:6">
      <c r="F58349" s="2423"/>
    </row>
    <row r="58350" spans="6:6">
      <c r="F58350" s="2423"/>
    </row>
    <row r="58351" spans="6:6">
      <c r="F58351" s="2423"/>
    </row>
    <row r="58352" spans="6:6">
      <c r="F58352" s="2423"/>
    </row>
    <row r="58353" spans="6:6">
      <c r="F58353" s="2423"/>
    </row>
    <row r="58354" spans="6:6">
      <c r="F58354" s="2423"/>
    </row>
    <row r="58355" spans="6:6">
      <c r="F58355" s="2423"/>
    </row>
    <row r="58356" spans="6:6">
      <c r="F58356" s="2423"/>
    </row>
    <row r="58357" spans="6:6">
      <c r="F58357" s="2423"/>
    </row>
    <row r="58358" spans="6:6">
      <c r="F58358" s="2423"/>
    </row>
    <row r="58359" spans="6:6">
      <c r="F58359" s="2423"/>
    </row>
    <row r="58360" spans="6:6">
      <c r="F58360" s="2423"/>
    </row>
    <row r="58361" spans="6:6">
      <c r="F58361" s="2423"/>
    </row>
    <row r="58362" spans="6:6">
      <c r="F58362" s="2423"/>
    </row>
    <row r="58363" spans="6:6">
      <c r="F58363" s="2423"/>
    </row>
    <row r="58364" spans="6:6">
      <c r="F58364" s="2423"/>
    </row>
    <row r="58365" spans="6:6">
      <c r="F58365" s="2423"/>
    </row>
    <row r="58366" spans="6:6">
      <c r="F58366" s="2423"/>
    </row>
    <row r="58367" spans="6:6">
      <c r="F58367" s="2423"/>
    </row>
    <row r="58368" spans="6:6">
      <c r="F58368" s="2423"/>
    </row>
    <row r="58369" spans="6:6">
      <c r="F58369" s="2423"/>
    </row>
    <row r="58370" spans="6:6">
      <c r="F58370" s="2423"/>
    </row>
    <row r="58371" spans="6:6">
      <c r="F58371" s="2423"/>
    </row>
    <row r="58372" spans="6:6">
      <c r="F58372" s="2423"/>
    </row>
    <row r="58373" spans="6:6">
      <c r="F58373" s="2423"/>
    </row>
    <row r="58374" spans="6:6">
      <c r="F58374" s="2423"/>
    </row>
    <row r="58375" spans="6:6">
      <c r="F58375" s="2423"/>
    </row>
    <row r="58376" spans="6:6">
      <c r="F58376" s="2423"/>
    </row>
    <row r="58377" spans="6:6">
      <c r="F58377" s="2423"/>
    </row>
    <row r="58378" spans="6:6">
      <c r="F58378" s="2423"/>
    </row>
    <row r="58379" spans="6:6">
      <c r="F58379" s="2423"/>
    </row>
    <row r="58380" spans="6:6">
      <c r="F58380" s="2423"/>
    </row>
    <row r="58381" spans="6:6">
      <c r="F58381" s="2423"/>
    </row>
    <row r="58382" spans="6:6">
      <c r="F58382" s="2423"/>
    </row>
    <row r="58383" spans="6:6">
      <c r="F58383" s="2423"/>
    </row>
    <row r="58384" spans="6:6">
      <c r="F58384" s="2423"/>
    </row>
    <row r="58385" spans="6:6">
      <c r="F58385" s="2423"/>
    </row>
    <row r="58386" spans="6:6">
      <c r="F58386" s="2423"/>
    </row>
    <row r="58387" spans="6:6">
      <c r="F58387" s="2423"/>
    </row>
    <row r="58388" spans="6:6">
      <c r="F58388" s="2423"/>
    </row>
    <row r="58389" spans="6:6">
      <c r="F58389" s="2423"/>
    </row>
    <row r="58390" spans="6:6">
      <c r="F58390" s="2423"/>
    </row>
    <row r="58391" spans="6:6">
      <c r="F58391" s="2423"/>
    </row>
    <row r="58392" spans="6:6">
      <c r="F58392" s="2423"/>
    </row>
    <row r="58393" spans="6:6">
      <c r="F58393" s="2423"/>
    </row>
    <row r="58394" spans="6:6">
      <c r="F58394" s="2423"/>
    </row>
    <row r="58395" spans="6:6">
      <c r="F58395" s="2423"/>
    </row>
    <row r="58396" spans="6:6">
      <c r="F58396" s="2423"/>
    </row>
    <row r="58397" spans="6:6">
      <c r="F58397" s="2423"/>
    </row>
    <row r="58398" spans="6:6">
      <c r="F58398" s="2423"/>
    </row>
    <row r="58399" spans="6:6">
      <c r="F58399" s="2423"/>
    </row>
    <row r="58400" spans="6:6">
      <c r="F58400" s="2423"/>
    </row>
    <row r="58401" spans="6:6">
      <c r="F58401" s="2423"/>
    </row>
    <row r="58402" spans="6:6">
      <c r="F58402" s="2423"/>
    </row>
    <row r="58403" spans="6:6">
      <c r="F58403" s="2423"/>
    </row>
    <row r="58404" spans="6:6">
      <c r="F58404" s="2423"/>
    </row>
    <row r="58405" spans="6:6">
      <c r="F58405" s="2423"/>
    </row>
    <row r="58406" spans="6:6">
      <c r="F58406" s="2423"/>
    </row>
    <row r="58407" spans="6:6">
      <c r="F58407" s="2423"/>
    </row>
    <row r="58408" spans="6:6">
      <c r="F58408" s="2423"/>
    </row>
    <row r="58409" spans="6:6">
      <c r="F58409" s="2423"/>
    </row>
    <row r="58410" spans="6:6">
      <c r="F58410" s="2423"/>
    </row>
    <row r="58411" spans="6:6">
      <c r="F58411" s="2423"/>
    </row>
    <row r="58412" spans="6:6">
      <c r="F58412" s="2423"/>
    </row>
    <row r="58413" spans="6:6">
      <c r="F58413" s="2423"/>
    </row>
    <row r="58414" spans="6:6">
      <c r="F58414" s="2423"/>
    </row>
    <row r="58415" spans="6:6">
      <c r="F58415" s="2423"/>
    </row>
    <row r="58416" spans="6:6">
      <c r="F58416" s="2423"/>
    </row>
    <row r="58417" spans="6:6">
      <c r="F58417" s="2423"/>
    </row>
    <row r="58418" spans="6:6">
      <c r="F58418" s="2423"/>
    </row>
    <row r="58419" spans="6:6">
      <c r="F58419" s="2423"/>
    </row>
    <row r="58420" spans="6:6">
      <c r="F58420" s="2423"/>
    </row>
    <row r="58421" spans="6:6">
      <c r="F58421" s="2423"/>
    </row>
    <row r="58422" spans="6:6">
      <c r="F58422" s="2423"/>
    </row>
    <row r="58423" spans="6:6">
      <c r="F58423" s="2423"/>
    </row>
    <row r="58424" spans="6:6">
      <c r="F58424" s="2423"/>
    </row>
    <row r="58425" spans="6:6">
      <c r="F58425" s="2423"/>
    </row>
    <row r="58426" spans="6:6">
      <c r="F58426" s="2423"/>
    </row>
    <row r="58427" spans="6:6">
      <c r="F58427" s="2423"/>
    </row>
    <row r="58428" spans="6:6">
      <c r="F58428" s="2423"/>
    </row>
    <row r="58429" spans="6:6">
      <c r="F58429" s="2423"/>
    </row>
    <row r="58430" spans="6:6">
      <c r="F58430" s="2423"/>
    </row>
    <row r="58431" spans="6:6">
      <c r="F58431" s="2423"/>
    </row>
    <row r="58432" spans="6:6">
      <c r="F58432" s="2423"/>
    </row>
    <row r="58433" spans="6:6">
      <c r="F58433" s="2423"/>
    </row>
    <row r="58434" spans="6:6">
      <c r="F58434" s="2423"/>
    </row>
    <row r="58435" spans="6:6">
      <c r="F58435" s="2423"/>
    </row>
    <row r="58436" spans="6:6">
      <c r="F58436" s="2423"/>
    </row>
    <row r="58437" spans="6:6">
      <c r="F58437" s="2423"/>
    </row>
    <row r="58438" spans="6:6">
      <c r="F58438" s="2423"/>
    </row>
    <row r="58439" spans="6:6">
      <c r="F58439" s="2423"/>
    </row>
    <row r="58440" spans="6:6">
      <c r="F58440" s="2423"/>
    </row>
    <row r="58441" spans="6:6">
      <c r="F58441" s="2423"/>
    </row>
    <row r="58442" spans="6:6">
      <c r="F58442" s="2423"/>
    </row>
    <row r="58443" spans="6:6">
      <c r="F58443" s="2423"/>
    </row>
    <row r="58444" spans="6:6">
      <c r="F58444" s="2423"/>
    </row>
    <row r="58445" spans="6:6">
      <c r="F58445" s="2423"/>
    </row>
    <row r="58446" spans="6:6">
      <c r="F58446" s="2423"/>
    </row>
    <row r="58447" spans="6:6">
      <c r="F58447" s="2423"/>
    </row>
    <row r="58448" spans="6:6">
      <c r="F58448" s="2423"/>
    </row>
    <row r="58449" spans="6:6">
      <c r="F58449" s="2423"/>
    </row>
    <row r="58450" spans="6:6">
      <c r="F58450" s="2423"/>
    </row>
    <row r="58451" spans="6:6">
      <c r="F58451" s="2423"/>
    </row>
    <row r="58452" spans="6:6">
      <c r="F58452" s="2423"/>
    </row>
    <row r="58453" spans="6:6">
      <c r="F58453" s="2423"/>
    </row>
    <row r="58454" spans="6:6">
      <c r="F58454" s="2423"/>
    </row>
    <row r="58455" spans="6:6">
      <c r="F58455" s="2423"/>
    </row>
    <row r="58456" spans="6:6">
      <c r="F58456" s="2423"/>
    </row>
    <row r="58457" spans="6:6">
      <c r="F58457" s="2423"/>
    </row>
    <row r="58458" spans="6:6">
      <c r="F58458" s="2423"/>
    </row>
    <row r="58459" spans="6:6">
      <c r="F58459" s="2423"/>
    </row>
    <row r="58460" spans="6:6">
      <c r="F58460" s="2423"/>
    </row>
    <row r="58461" spans="6:6">
      <c r="F58461" s="2423"/>
    </row>
    <row r="58462" spans="6:6">
      <c r="F58462" s="2423"/>
    </row>
    <row r="58463" spans="6:6">
      <c r="F58463" s="2423"/>
    </row>
    <row r="58464" spans="6:6">
      <c r="F58464" s="2423"/>
    </row>
    <row r="58465" spans="6:6">
      <c r="F58465" s="2423"/>
    </row>
    <row r="58466" spans="6:6">
      <c r="F58466" s="2423"/>
    </row>
    <row r="58467" spans="6:6">
      <c r="F58467" s="2423"/>
    </row>
    <row r="58468" spans="6:6">
      <c r="F58468" s="2423"/>
    </row>
    <row r="58469" spans="6:6">
      <c r="F58469" s="2423"/>
    </row>
    <row r="58470" spans="6:6">
      <c r="F58470" s="2423"/>
    </row>
    <row r="58471" spans="6:6">
      <c r="F58471" s="2423"/>
    </row>
    <row r="58472" spans="6:6">
      <c r="F58472" s="2423"/>
    </row>
    <row r="58473" spans="6:6">
      <c r="F58473" s="2423"/>
    </row>
    <row r="58474" spans="6:6">
      <c r="F58474" s="2423"/>
    </row>
    <row r="58475" spans="6:6">
      <c r="F58475" s="2423"/>
    </row>
    <row r="58476" spans="6:6">
      <c r="F58476" s="2423"/>
    </row>
    <row r="58477" spans="6:6">
      <c r="F58477" s="2423"/>
    </row>
    <row r="58478" spans="6:6">
      <c r="F58478" s="2423"/>
    </row>
    <row r="58479" spans="6:6">
      <c r="F58479" s="2423"/>
    </row>
    <row r="58480" spans="6:6">
      <c r="F58480" s="2423"/>
    </row>
    <row r="58481" spans="6:6">
      <c r="F58481" s="2423"/>
    </row>
    <row r="58482" spans="6:6">
      <c r="F58482" s="2423"/>
    </row>
    <row r="58483" spans="6:6">
      <c r="F58483" s="2423"/>
    </row>
    <row r="58484" spans="6:6">
      <c r="F58484" s="2423"/>
    </row>
    <row r="58485" spans="6:6">
      <c r="F58485" s="2423"/>
    </row>
    <row r="58486" spans="6:6">
      <c r="F58486" s="2423"/>
    </row>
    <row r="58487" spans="6:6">
      <c r="F58487" s="2423"/>
    </row>
    <row r="58488" spans="6:6">
      <c r="F58488" s="2423"/>
    </row>
    <row r="58489" spans="6:6">
      <c r="F58489" s="2423"/>
    </row>
    <row r="58490" spans="6:6">
      <c r="F58490" s="2423"/>
    </row>
    <row r="58491" spans="6:6">
      <c r="F58491" s="2423"/>
    </row>
    <row r="58492" spans="6:6">
      <c r="F58492" s="2423"/>
    </row>
    <row r="58493" spans="6:6">
      <c r="F58493" s="2423"/>
    </row>
    <row r="58494" spans="6:6">
      <c r="F58494" s="2423"/>
    </row>
    <row r="58495" spans="6:6">
      <c r="F58495" s="2423"/>
    </row>
    <row r="58496" spans="6:6">
      <c r="F58496" s="2423"/>
    </row>
    <row r="58497" spans="6:6">
      <c r="F58497" s="2423"/>
    </row>
    <row r="58498" spans="6:6">
      <c r="F58498" s="2423"/>
    </row>
    <row r="58499" spans="6:6">
      <c r="F58499" s="2423"/>
    </row>
    <row r="58500" spans="6:6">
      <c r="F58500" s="2423"/>
    </row>
    <row r="58501" spans="6:6">
      <c r="F58501" s="2423"/>
    </row>
    <row r="58502" spans="6:6">
      <c r="F58502" s="2423"/>
    </row>
    <row r="58503" spans="6:6">
      <c r="F58503" s="2423"/>
    </row>
    <row r="58504" spans="6:6">
      <c r="F58504" s="2423"/>
    </row>
    <row r="58505" spans="6:6">
      <c r="F58505" s="2423"/>
    </row>
    <row r="58506" spans="6:6">
      <c r="F58506" s="2423"/>
    </row>
    <row r="58507" spans="6:6">
      <c r="F58507" s="2423"/>
    </row>
    <row r="58508" spans="6:6">
      <c r="F58508" s="2423"/>
    </row>
    <row r="58509" spans="6:6">
      <c r="F58509" s="2423"/>
    </row>
    <row r="58510" spans="6:6">
      <c r="F58510" s="2423"/>
    </row>
    <row r="58511" spans="6:6">
      <c r="F58511" s="2423"/>
    </row>
    <row r="58512" spans="6:6">
      <c r="F58512" s="2423"/>
    </row>
    <row r="58513" spans="6:6">
      <c r="F58513" s="2423"/>
    </row>
    <row r="58514" spans="6:6">
      <c r="F58514" s="2423"/>
    </row>
    <row r="58515" spans="6:6">
      <c r="F58515" s="2423"/>
    </row>
    <row r="58516" spans="6:6">
      <c r="F58516" s="2423"/>
    </row>
    <row r="58517" spans="6:6">
      <c r="F58517" s="2423"/>
    </row>
    <row r="58518" spans="6:6">
      <c r="F58518" s="2423"/>
    </row>
    <row r="58519" spans="6:6">
      <c r="F58519" s="2423"/>
    </row>
    <row r="58520" spans="6:6">
      <c r="F58520" s="2423"/>
    </row>
    <row r="58521" spans="6:6">
      <c r="F58521" s="2423"/>
    </row>
    <row r="58522" spans="6:6">
      <c r="F58522" s="2423"/>
    </row>
    <row r="58523" spans="6:6">
      <c r="F58523" s="2423"/>
    </row>
    <row r="58524" spans="6:6">
      <c r="F58524" s="2423"/>
    </row>
    <row r="58525" spans="6:6">
      <c r="F58525" s="2423"/>
    </row>
    <row r="58526" spans="6:6">
      <c r="F58526" s="2423"/>
    </row>
    <row r="58527" spans="6:6">
      <c r="F58527" s="2423"/>
    </row>
    <row r="58528" spans="6:6">
      <c r="F58528" s="2423"/>
    </row>
    <row r="58529" spans="6:6">
      <c r="F58529" s="2423"/>
    </row>
    <row r="58530" spans="6:6">
      <c r="F58530" s="2423"/>
    </row>
    <row r="58531" spans="6:6">
      <c r="F58531" s="2423"/>
    </row>
    <row r="58532" spans="6:6">
      <c r="F58532" s="2423"/>
    </row>
    <row r="58533" spans="6:6">
      <c r="F58533" s="2423"/>
    </row>
    <row r="58534" spans="6:6">
      <c r="F58534" s="2423"/>
    </row>
    <row r="58535" spans="6:6">
      <c r="F58535" s="2423"/>
    </row>
    <row r="58536" spans="6:6">
      <c r="F58536" s="2423"/>
    </row>
    <row r="58537" spans="6:6">
      <c r="F58537" s="2423"/>
    </row>
    <row r="58538" spans="6:6">
      <c r="F58538" s="2423"/>
    </row>
    <row r="58539" spans="6:6">
      <c r="F58539" s="2423"/>
    </row>
    <row r="58540" spans="6:6">
      <c r="F58540" s="2423"/>
    </row>
    <row r="58541" spans="6:6">
      <c r="F58541" s="2423"/>
    </row>
    <row r="58542" spans="6:6">
      <c r="F58542" s="2423"/>
    </row>
    <row r="58543" spans="6:6">
      <c r="F58543" s="2423"/>
    </row>
    <row r="58544" spans="6:6">
      <c r="F58544" s="2423"/>
    </row>
    <row r="58545" spans="6:6">
      <c r="F58545" s="2423"/>
    </row>
    <row r="58546" spans="6:6">
      <c r="F58546" s="2423"/>
    </row>
    <row r="58547" spans="6:6">
      <c r="F58547" s="2423"/>
    </row>
    <row r="58548" spans="6:6">
      <c r="F58548" s="2423"/>
    </row>
    <row r="58549" spans="6:6">
      <c r="F58549" s="2423"/>
    </row>
    <row r="58550" spans="6:6">
      <c r="F58550" s="2423"/>
    </row>
    <row r="58551" spans="6:6">
      <c r="F58551" s="2423"/>
    </row>
    <row r="58552" spans="6:6">
      <c r="F58552" s="2423"/>
    </row>
    <row r="58553" spans="6:6">
      <c r="F58553" s="2423"/>
    </row>
    <row r="58554" spans="6:6">
      <c r="F58554" s="2423"/>
    </row>
    <row r="58555" spans="6:6">
      <c r="F58555" s="2423"/>
    </row>
    <row r="58556" spans="6:6">
      <c r="F58556" s="2423"/>
    </row>
    <row r="58557" spans="6:6">
      <c r="F58557" s="2423"/>
    </row>
    <row r="58558" spans="6:6">
      <c r="F58558" s="2423"/>
    </row>
    <row r="58559" spans="6:6">
      <c r="F58559" s="2423"/>
    </row>
    <row r="58560" spans="6:6">
      <c r="F58560" s="2423"/>
    </row>
    <row r="58561" spans="6:6">
      <c r="F58561" s="2423"/>
    </row>
    <row r="58562" spans="6:6">
      <c r="F58562" s="2423"/>
    </row>
    <row r="58563" spans="6:6">
      <c r="F58563" s="2423"/>
    </row>
    <row r="58564" spans="6:6">
      <c r="F58564" s="2423"/>
    </row>
    <row r="58565" spans="6:6">
      <c r="F58565" s="2423"/>
    </row>
    <row r="58566" spans="6:6">
      <c r="F58566" s="2423"/>
    </row>
    <row r="58567" spans="6:6">
      <c r="F58567" s="2423"/>
    </row>
    <row r="58568" spans="6:6">
      <c r="F58568" s="2423"/>
    </row>
    <row r="58569" spans="6:6">
      <c r="F58569" s="2423"/>
    </row>
    <row r="58570" spans="6:6">
      <c r="F58570" s="2423"/>
    </row>
    <row r="58571" spans="6:6">
      <c r="F58571" s="2423"/>
    </row>
    <row r="58572" spans="6:6">
      <c r="F58572" s="2423"/>
    </row>
    <row r="58573" spans="6:6">
      <c r="F58573" s="2423"/>
    </row>
    <row r="58574" spans="6:6">
      <c r="F58574" s="2423"/>
    </row>
    <row r="58575" spans="6:6">
      <c r="F58575" s="2423"/>
    </row>
    <row r="58576" spans="6:6">
      <c r="F58576" s="2423"/>
    </row>
    <row r="58577" spans="6:6">
      <c r="F58577" s="2423"/>
    </row>
    <row r="58578" spans="6:6">
      <c r="F58578" s="2423"/>
    </row>
    <row r="58579" spans="6:6">
      <c r="F58579" s="2423"/>
    </row>
    <row r="58580" spans="6:6">
      <c r="F58580" s="2423"/>
    </row>
    <row r="58581" spans="6:6">
      <c r="F58581" s="2423"/>
    </row>
    <row r="58582" spans="6:6">
      <c r="F58582" s="2423"/>
    </row>
    <row r="58583" spans="6:6">
      <c r="F58583" s="2423"/>
    </row>
    <row r="58584" spans="6:6">
      <c r="F58584" s="2423"/>
    </row>
    <row r="58585" spans="6:6">
      <c r="F58585" s="2423"/>
    </row>
    <row r="58586" spans="6:6">
      <c r="F58586" s="2423"/>
    </row>
    <row r="58587" spans="6:6">
      <c r="F58587" s="2423"/>
    </row>
    <row r="58588" spans="6:6">
      <c r="F58588" s="2423"/>
    </row>
    <row r="58589" spans="6:6">
      <c r="F58589" s="2423"/>
    </row>
    <row r="58590" spans="6:6">
      <c r="F58590" s="2423"/>
    </row>
    <row r="58591" spans="6:6">
      <c r="F58591" s="2423"/>
    </row>
    <row r="58592" spans="6:6">
      <c r="F58592" s="2423"/>
    </row>
    <row r="58593" spans="6:6">
      <c r="F58593" s="2423"/>
    </row>
    <row r="58594" spans="6:6">
      <c r="F58594" s="2423"/>
    </row>
    <row r="58595" spans="6:6">
      <c r="F58595" s="2423"/>
    </row>
    <row r="58596" spans="6:6">
      <c r="F58596" s="2423"/>
    </row>
    <row r="58597" spans="6:6">
      <c r="F58597" s="2423"/>
    </row>
    <row r="58598" spans="6:6">
      <c r="F58598" s="2423"/>
    </row>
    <row r="58599" spans="6:6">
      <c r="F58599" s="2423"/>
    </row>
    <row r="58600" spans="6:6">
      <c r="F58600" s="2423"/>
    </row>
    <row r="58601" spans="6:6">
      <c r="F58601" s="2423"/>
    </row>
    <row r="58602" spans="6:6">
      <c r="F58602" s="2423"/>
    </row>
    <row r="58603" spans="6:6">
      <c r="F58603" s="2423"/>
    </row>
    <row r="58604" spans="6:6">
      <c r="F58604" s="2423"/>
    </row>
    <row r="58605" spans="6:6">
      <c r="F58605" s="2423"/>
    </row>
    <row r="58606" spans="6:6">
      <c r="F58606" s="2423"/>
    </row>
    <row r="58607" spans="6:6">
      <c r="F58607" s="2423"/>
    </row>
    <row r="58608" spans="6:6">
      <c r="F58608" s="2423"/>
    </row>
    <row r="58609" spans="6:6">
      <c r="F58609" s="2423"/>
    </row>
    <row r="58610" spans="6:6">
      <c r="F58610" s="2423"/>
    </row>
    <row r="58611" spans="6:6">
      <c r="F58611" s="2423"/>
    </row>
    <row r="58612" spans="6:6">
      <c r="F58612" s="2423"/>
    </row>
    <row r="58613" spans="6:6">
      <c r="F58613" s="2423"/>
    </row>
    <row r="58614" spans="6:6">
      <c r="F58614" s="2423"/>
    </row>
    <row r="58615" spans="6:6">
      <c r="F58615" s="2423"/>
    </row>
    <row r="58616" spans="6:6">
      <c r="F58616" s="2423"/>
    </row>
    <row r="58617" spans="6:6">
      <c r="F58617" s="2423"/>
    </row>
    <row r="58618" spans="6:6">
      <c r="F58618" s="2423"/>
    </row>
    <row r="58619" spans="6:6">
      <c r="F58619" s="2423"/>
    </row>
    <row r="58620" spans="6:6">
      <c r="F58620" s="2423"/>
    </row>
    <row r="58621" spans="6:6">
      <c r="F58621" s="2423"/>
    </row>
    <row r="58622" spans="6:6">
      <c r="F58622" s="2423"/>
    </row>
    <row r="58623" spans="6:6">
      <c r="F58623" s="2423"/>
    </row>
    <row r="58624" spans="6:6">
      <c r="F58624" s="2423"/>
    </row>
    <row r="58625" spans="6:6">
      <c r="F58625" s="2423"/>
    </row>
    <row r="58626" spans="6:6">
      <c r="F58626" s="2423"/>
    </row>
    <row r="58627" spans="6:6">
      <c r="F58627" s="2423"/>
    </row>
    <row r="58628" spans="6:6">
      <c r="F58628" s="2423"/>
    </row>
    <row r="58629" spans="6:6">
      <c r="F58629" s="2423"/>
    </row>
    <row r="58630" spans="6:6">
      <c r="F58630" s="2423"/>
    </row>
    <row r="58631" spans="6:6">
      <c r="F58631" s="2423"/>
    </row>
    <row r="58632" spans="6:6">
      <c r="F58632" s="2423"/>
    </row>
    <row r="58633" spans="6:6">
      <c r="F58633" s="2423"/>
    </row>
    <row r="58634" spans="6:6">
      <c r="F58634" s="2423"/>
    </row>
    <row r="58635" spans="6:6">
      <c r="F58635" s="2423"/>
    </row>
    <row r="58636" spans="6:6">
      <c r="F58636" s="2423"/>
    </row>
    <row r="58637" spans="6:6">
      <c r="F58637" s="2423"/>
    </row>
    <row r="58638" spans="6:6">
      <c r="F58638" s="2423"/>
    </row>
    <row r="58639" spans="6:6">
      <c r="F58639" s="2423"/>
    </row>
    <row r="58640" spans="6:6">
      <c r="F58640" s="2423"/>
    </row>
    <row r="58641" spans="6:6">
      <c r="F58641" s="2423"/>
    </row>
    <row r="58642" spans="6:6">
      <c r="F58642" s="2423"/>
    </row>
    <row r="58643" spans="6:6">
      <c r="F58643" s="2423"/>
    </row>
    <row r="58644" spans="6:6">
      <c r="F58644" s="2423"/>
    </row>
    <row r="58645" spans="6:6">
      <c r="F58645" s="2423"/>
    </row>
    <row r="58646" spans="6:6">
      <c r="F58646" s="2423"/>
    </row>
    <row r="58647" spans="6:6">
      <c r="F58647" s="2423"/>
    </row>
    <row r="58648" spans="6:6">
      <c r="F58648" s="2423"/>
    </row>
    <row r="58649" spans="6:6">
      <c r="F58649" s="2423"/>
    </row>
    <row r="58650" spans="6:6">
      <c r="F58650" s="2423"/>
    </row>
    <row r="58651" spans="6:6">
      <c r="F58651" s="2423"/>
    </row>
    <row r="58652" spans="6:6">
      <c r="F58652" s="2423"/>
    </row>
    <row r="58653" spans="6:6">
      <c r="F58653" s="2423"/>
    </row>
    <row r="58654" spans="6:6">
      <c r="F58654" s="2423"/>
    </row>
    <row r="58655" spans="6:6">
      <c r="F58655" s="2423"/>
    </row>
    <row r="58656" spans="6:6">
      <c r="F58656" s="2423"/>
    </row>
    <row r="58657" spans="6:6">
      <c r="F58657" s="2423"/>
    </row>
    <row r="58658" spans="6:6">
      <c r="F58658" s="2423"/>
    </row>
    <row r="58659" spans="6:6">
      <c r="F58659" s="2423"/>
    </row>
    <row r="58660" spans="6:6">
      <c r="F58660" s="2423"/>
    </row>
    <row r="58661" spans="6:6">
      <c r="F58661" s="2423"/>
    </row>
    <row r="58662" spans="6:6">
      <c r="F58662" s="2423"/>
    </row>
    <row r="58663" spans="6:6">
      <c r="F58663" s="2423"/>
    </row>
    <row r="58664" spans="6:6">
      <c r="F58664" s="2423"/>
    </row>
    <row r="58665" spans="6:6">
      <c r="F58665" s="2423"/>
    </row>
    <row r="58666" spans="6:6">
      <c r="F58666" s="2423"/>
    </row>
    <row r="58667" spans="6:6">
      <c r="F58667" s="2423"/>
    </row>
    <row r="58668" spans="6:6">
      <c r="F58668" s="2423"/>
    </row>
    <row r="58669" spans="6:6">
      <c r="F58669" s="2423"/>
    </row>
    <row r="58670" spans="6:6">
      <c r="F58670" s="2423"/>
    </row>
    <row r="58671" spans="6:6">
      <c r="F58671" s="2423"/>
    </row>
    <row r="58672" spans="6:6">
      <c r="F58672" s="2423"/>
    </row>
    <row r="58673" spans="6:6">
      <c r="F58673" s="2423"/>
    </row>
    <row r="58674" spans="6:6">
      <c r="F58674" s="2423"/>
    </row>
    <row r="58675" spans="6:6">
      <c r="F58675" s="2423"/>
    </row>
    <row r="58676" spans="6:6">
      <c r="F58676" s="2423"/>
    </row>
    <row r="58677" spans="6:6">
      <c r="F58677" s="2423"/>
    </row>
    <row r="58678" spans="6:6">
      <c r="F58678" s="2423"/>
    </row>
    <row r="58679" spans="6:6">
      <c r="F58679" s="2423"/>
    </row>
    <row r="58680" spans="6:6">
      <c r="F58680" s="2423"/>
    </row>
    <row r="58681" spans="6:6">
      <c r="F58681" s="2423"/>
    </row>
    <row r="58682" spans="6:6">
      <c r="F58682" s="2423"/>
    </row>
    <row r="58683" spans="6:6">
      <c r="F58683" s="2423"/>
    </row>
    <row r="58684" spans="6:6">
      <c r="F58684" s="2423"/>
    </row>
    <row r="58685" spans="6:6">
      <c r="F58685" s="2423"/>
    </row>
    <row r="58686" spans="6:6">
      <c r="F58686" s="2423"/>
    </row>
    <row r="58687" spans="6:6">
      <c r="F58687" s="2423"/>
    </row>
    <row r="58688" spans="6:6">
      <c r="F58688" s="2423"/>
    </row>
    <row r="58689" spans="6:6">
      <c r="F58689" s="2423"/>
    </row>
    <row r="58690" spans="6:6">
      <c r="F58690" s="2423"/>
    </row>
    <row r="58691" spans="6:6">
      <c r="F58691" s="2423"/>
    </row>
    <row r="58692" spans="6:6">
      <c r="F58692" s="2423"/>
    </row>
    <row r="58693" spans="6:6">
      <c r="F58693" s="2423"/>
    </row>
    <row r="58694" spans="6:6">
      <c r="F58694" s="2423"/>
    </row>
    <row r="58695" spans="6:6">
      <c r="F58695" s="2423"/>
    </row>
    <row r="58696" spans="6:6">
      <c r="F58696" s="2423"/>
    </row>
    <row r="58697" spans="6:6">
      <c r="F58697" s="2423"/>
    </row>
    <row r="58698" spans="6:6">
      <c r="F58698" s="2423"/>
    </row>
    <row r="58699" spans="6:6">
      <c r="F58699" s="2423"/>
    </row>
    <row r="58700" spans="6:6">
      <c r="F58700" s="2423"/>
    </row>
    <row r="58701" spans="6:6">
      <c r="F58701" s="2423"/>
    </row>
    <row r="58702" spans="6:6">
      <c r="F58702" s="2423"/>
    </row>
    <row r="58703" spans="6:6">
      <c r="F58703" s="2423"/>
    </row>
    <row r="58704" spans="6:6">
      <c r="F58704" s="2423"/>
    </row>
    <row r="58705" spans="6:6">
      <c r="F58705" s="2423"/>
    </row>
    <row r="58706" spans="6:6">
      <c r="F58706" s="2423"/>
    </row>
    <row r="58707" spans="6:6">
      <c r="F58707" s="2423"/>
    </row>
    <row r="58708" spans="6:6">
      <c r="F58708" s="2423"/>
    </row>
    <row r="58709" spans="6:6">
      <c r="F58709" s="2423"/>
    </row>
    <row r="58710" spans="6:6">
      <c r="F58710" s="2423"/>
    </row>
    <row r="58711" spans="6:6">
      <c r="F58711" s="2423"/>
    </row>
    <row r="58712" spans="6:6">
      <c r="F58712" s="2423"/>
    </row>
    <row r="58713" spans="6:6">
      <c r="F58713" s="2423"/>
    </row>
    <row r="58714" spans="6:6">
      <c r="F58714" s="2423"/>
    </row>
    <row r="58715" spans="6:6">
      <c r="F58715" s="2423"/>
    </row>
    <row r="58716" spans="6:6">
      <c r="F58716" s="2423"/>
    </row>
    <row r="58717" spans="6:6">
      <c r="F58717" s="2423"/>
    </row>
    <row r="58718" spans="6:6">
      <c r="F58718" s="2423"/>
    </row>
    <row r="58719" spans="6:6">
      <c r="F58719" s="2423"/>
    </row>
    <row r="58720" spans="6:6">
      <c r="F58720" s="2423"/>
    </row>
    <row r="58721" spans="6:6">
      <c r="F58721" s="2423"/>
    </row>
    <row r="58722" spans="6:6">
      <c r="F58722" s="2423"/>
    </row>
    <row r="58723" spans="6:6">
      <c r="F58723" s="2423"/>
    </row>
    <row r="58724" spans="6:6">
      <c r="F58724" s="2423"/>
    </row>
    <row r="58725" spans="6:6">
      <c r="F58725" s="2423"/>
    </row>
    <row r="58726" spans="6:6">
      <c r="F58726" s="2423"/>
    </row>
    <row r="58727" spans="6:6">
      <c r="F58727" s="2423"/>
    </row>
    <row r="58728" spans="6:6">
      <c r="F58728" s="2423"/>
    </row>
    <row r="58729" spans="6:6">
      <c r="F58729" s="2423"/>
    </row>
    <row r="58730" spans="6:6">
      <c r="F58730" s="2423"/>
    </row>
    <row r="58731" spans="6:6">
      <c r="F58731" s="2423"/>
    </row>
    <row r="58732" spans="6:6">
      <c r="F58732" s="2423"/>
    </row>
    <row r="58733" spans="6:6">
      <c r="F58733" s="2423"/>
    </row>
    <row r="58734" spans="6:6">
      <c r="F58734" s="2423"/>
    </row>
    <row r="58735" spans="6:6">
      <c r="F58735" s="2423"/>
    </row>
    <row r="58736" spans="6:6">
      <c r="F58736" s="2423"/>
    </row>
    <row r="58737" spans="6:6">
      <c r="F58737" s="2423"/>
    </row>
    <row r="58738" spans="6:6">
      <c r="F58738" s="2423"/>
    </row>
    <row r="58739" spans="6:6">
      <c r="F58739" s="2423"/>
    </row>
    <row r="58740" spans="6:6">
      <c r="F58740" s="2423"/>
    </row>
    <row r="58741" spans="6:6">
      <c r="F58741" s="2423"/>
    </row>
    <row r="58742" spans="6:6">
      <c r="F58742" s="2423"/>
    </row>
    <row r="58743" spans="6:6">
      <c r="F58743" s="2423"/>
    </row>
    <row r="58744" spans="6:6">
      <c r="F58744" s="2423"/>
    </row>
    <row r="58745" spans="6:6">
      <c r="F58745" s="2423"/>
    </row>
    <row r="58746" spans="6:6">
      <c r="F58746" s="2423"/>
    </row>
    <row r="58747" spans="6:6">
      <c r="F58747" s="2423"/>
    </row>
    <row r="58748" spans="6:6">
      <c r="F58748" s="2423"/>
    </row>
    <row r="58749" spans="6:6">
      <c r="F58749" s="2423"/>
    </row>
    <row r="58750" spans="6:6">
      <c r="F58750" s="2423"/>
    </row>
    <row r="58751" spans="6:6">
      <c r="F58751" s="2423"/>
    </row>
    <row r="58752" spans="6:6">
      <c r="F58752" s="2423"/>
    </row>
    <row r="58753" spans="6:6">
      <c r="F58753" s="2423"/>
    </row>
    <row r="58754" spans="6:6">
      <c r="F58754" s="2423"/>
    </row>
    <row r="58755" spans="6:6">
      <c r="F58755" s="2423"/>
    </row>
    <row r="58756" spans="6:6">
      <c r="F58756" s="2423"/>
    </row>
    <row r="58757" spans="6:6">
      <c r="F58757" s="2423"/>
    </row>
    <row r="58758" spans="6:6">
      <c r="F58758" s="2423"/>
    </row>
    <row r="58759" spans="6:6">
      <c r="F58759" s="2423"/>
    </row>
    <row r="58760" spans="6:6">
      <c r="F58760" s="2423"/>
    </row>
    <row r="58761" spans="6:6">
      <c r="F58761" s="2423"/>
    </row>
    <row r="58762" spans="6:6">
      <c r="F58762" s="2423"/>
    </row>
    <row r="58763" spans="6:6">
      <c r="F58763" s="2423"/>
    </row>
    <row r="58764" spans="6:6">
      <c r="F58764" s="2423"/>
    </row>
    <row r="58765" spans="6:6">
      <c r="F58765" s="2423"/>
    </row>
    <row r="58766" spans="6:6">
      <c r="F58766" s="2423"/>
    </row>
    <row r="58767" spans="6:6">
      <c r="F58767" s="2423"/>
    </row>
    <row r="58768" spans="6:6">
      <c r="F58768" s="2423"/>
    </row>
    <row r="58769" spans="6:6">
      <c r="F58769" s="2423"/>
    </row>
    <row r="58770" spans="6:6">
      <c r="F58770" s="2423"/>
    </row>
    <row r="58771" spans="6:6">
      <c r="F58771" s="2423"/>
    </row>
    <row r="58772" spans="6:6">
      <c r="F58772" s="2423"/>
    </row>
    <row r="58773" spans="6:6">
      <c r="F58773" s="2423"/>
    </row>
    <row r="58774" spans="6:6">
      <c r="F58774" s="2423"/>
    </row>
    <row r="58775" spans="6:6">
      <c r="F58775" s="2423"/>
    </row>
    <row r="58776" spans="6:6">
      <c r="F58776" s="2423"/>
    </row>
    <row r="58777" spans="6:6">
      <c r="F58777" s="2423"/>
    </row>
    <row r="58778" spans="6:6">
      <c r="F58778" s="2423"/>
    </row>
    <row r="58779" spans="6:6">
      <c r="F58779" s="2423"/>
    </row>
    <row r="58780" spans="6:6">
      <c r="F58780" s="2423"/>
    </row>
    <row r="58781" spans="6:6">
      <c r="F58781" s="2423"/>
    </row>
    <row r="58782" spans="6:6">
      <c r="F58782" s="2423"/>
    </row>
    <row r="58783" spans="6:6">
      <c r="F58783" s="2423"/>
    </row>
    <row r="58784" spans="6:6">
      <c r="F58784" s="2423"/>
    </row>
    <row r="58785" spans="6:6">
      <c r="F58785" s="2423"/>
    </row>
    <row r="58786" spans="6:6">
      <c r="F58786" s="2423"/>
    </row>
    <row r="58787" spans="6:6">
      <c r="F58787" s="2423"/>
    </row>
    <row r="58788" spans="6:6">
      <c r="F58788" s="2423"/>
    </row>
    <row r="58789" spans="6:6">
      <c r="F58789" s="2423"/>
    </row>
    <row r="58790" spans="6:6">
      <c r="F58790" s="2423"/>
    </row>
    <row r="58791" spans="6:6">
      <c r="F58791" s="2423"/>
    </row>
    <row r="58792" spans="6:6">
      <c r="F58792" s="2423"/>
    </row>
    <row r="58793" spans="6:6">
      <c r="F58793" s="2423"/>
    </row>
    <row r="58794" spans="6:6">
      <c r="F58794" s="2423"/>
    </row>
    <row r="58795" spans="6:6">
      <c r="F58795" s="2423"/>
    </row>
    <row r="58796" spans="6:6">
      <c r="F58796" s="2423"/>
    </row>
    <row r="58797" spans="6:6">
      <c r="F58797" s="2423"/>
    </row>
    <row r="58798" spans="6:6">
      <c r="F58798" s="2423"/>
    </row>
    <row r="58799" spans="6:6">
      <c r="F58799" s="2423"/>
    </row>
    <row r="58800" spans="6:6">
      <c r="F58800" s="2423"/>
    </row>
    <row r="58801" spans="6:6">
      <c r="F58801" s="2423"/>
    </row>
    <row r="58802" spans="6:6">
      <c r="F58802" s="2423"/>
    </row>
    <row r="58803" spans="6:6">
      <c r="F58803" s="2423"/>
    </row>
    <row r="58804" spans="6:6">
      <c r="F58804" s="2423"/>
    </row>
    <row r="58805" spans="6:6">
      <c r="F58805" s="2423"/>
    </row>
    <row r="58806" spans="6:6">
      <c r="F58806" s="2423"/>
    </row>
    <row r="58807" spans="6:6">
      <c r="F58807" s="2423"/>
    </row>
    <row r="58808" spans="6:6">
      <c r="F58808" s="2423"/>
    </row>
    <row r="58809" spans="6:6">
      <c r="F58809" s="2423"/>
    </row>
    <row r="58810" spans="6:6">
      <c r="F58810" s="2423"/>
    </row>
    <row r="58811" spans="6:6">
      <c r="F58811" s="2423"/>
    </row>
    <row r="58812" spans="6:6">
      <c r="F58812" s="2423"/>
    </row>
    <row r="58813" spans="6:6">
      <c r="F58813" s="2423"/>
    </row>
    <row r="58814" spans="6:6">
      <c r="F58814" s="2423"/>
    </row>
    <row r="58815" spans="6:6">
      <c r="F58815" s="2423"/>
    </row>
    <row r="58816" spans="6:6">
      <c r="F58816" s="2423"/>
    </row>
    <row r="58817" spans="6:6">
      <c r="F58817" s="2423"/>
    </row>
    <row r="58818" spans="6:6">
      <c r="F58818" s="2423"/>
    </row>
    <row r="58819" spans="6:6">
      <c r="F58819" s="2423"/>
    </row>
    <row r="58820" spans="6:6">
      <c r="F58820" s="2423"/>
    </row>
    <row r="58821" spans="6:6">
      <c r="F58821" s="2423"/>
    </row>
    <row r="58822" spans="6:6">
      <c r="F58822" s="2423"/>
    </row>
    <row r="58823" spans="6:6">
      <c r="F58823" s="2423"/>
    </row>
    <row r="58824" spans="6:6">
      <c r="F58824" s="2423"/>
    </row>
    <row r="58825" spans="6:6">
      <c r="F58825" s="2423"/>
    </row>
    <row r="58826" spans="6:6">
      <c r="F58826" s="2423"/>
    </row>
    <row r="58827" spans="6:6">
      <c r="F58827" s="2423"/>
    </row>
    <row r="58828" spans="6:6">
      <c r="F58828" s="2423"/>
    </row>
    <row r="58829" spans="6:6">
      <c r="F58829" s="2423"/>
    </row>
    <row r="58830" spans="6:6">
      <c r="F58830" s="2423"/>
    </row>
    <row r="58831" spans="6:6">
      <c r="F58831" s="2423"/>
    </row>
    <row r="58832" spans="6:6">
      <c r="F58832" s="2423"/>
    </row>
    <row r="58833" spans="6:6">
      <c r="F58833" s="2423"/>
    </row>
    <row r="58834" spans="6:6">
      <c r="F58834" s="2423"/>
    </row>
    <row r="58835" spans="6:6">
      <c r="F58835" s="2423"/>
    </row>
    <row r="58836" spans="6:6">
      <c r="F58836" s="2423"/>
    </row>
    <row r="58837" spans="6:6">
      <c r="F58837" s="2423"/>
    </row>
    <row r="58838" spans="6:6">
      <c r="F58838" s="2423"/>
    </row>
    <row r="58839" spans="6:6">
      <c r="F58839" s="2423"/>
    </row>
    <row r="58840" spans="6:6">
      <c r="F58840" s="2423"/>
    </row>
    <row r="58841" spans="6:6">
      <c r="F58841" s="2423"/>
    </row>
    <row r="58842" spans="6:6">
      <c r="F58842" s="2423"/>
    </row>
    <row r="58843" spans="6:6">
      <c r="F58843" s="2423"/>
    </row>
    <row r="58844" spans="6:6">
      <c r="F58844" s="2423"/>
    </row>
    <row r="58845" spans="6:6">
      <c r="F58845" s="2423"/>
    </row>
    <row r="58846" spans="6:6">
      <c r="F58846" s="2423"/>
    </row>
    <row r="58847" spans="6:6">
      <c r="F58847" s="2423"/>
    </row>
    <row r="58848" spans="6:6">
      <c r="F58848" s="2423"/>
    </row>
    <row r="58849" spans="6:6">
      <c r="F58849" s="2423"/>
    </row>
    <row r="58850" spans="6:6">
      <c r="F58850" s="2423"/>
    </row>
    <row r="58851" spans="6:6">
      <c r="F58851" s="2423"/>
    </row>
    <row r="58852" spans="6:6">
      <c r="F58852" s="2423"/>
    </row>
    <row r="58853" spans="6:6">
      <c r="F58853" s="2423"/>
    </row>
    <row r="58854" spans="6:6">
      <c r="F58854" s="2423"/>
    </row>
    <row r="58855" spans="6:6">
      <c r="F58855" s="2423"/>
    </row>
    <row r="58856" spans="6:6">
      <c r="F58856" s="2423"/>
    </row>
    <row r="58857" spans="6:6">
      <c r="F58857" s="2423"/>
    </row>
    <row r="58858" spans="6:6">
      <c r="F58858" s="2423"/>
    </row>
    <row r="58859" spans="6:6">
      <c r="F58859" s="2423"/>
    </row>
    <row r="58860" spans="6:6">
      <c r="F58860" s="2423"/>
    </row>
    <row r="58861" spans="6:6">
      <c r="F58861" s="2423"/>
    </row>
    <row r="58862" spans="6:6">
      <c r="F58862" s="2423"/>
    </row>
    <row r="58863" spans="6:6">
      <c r="F58863" s="2423"/>
    </row>
    <row r="58864" spans="6:6">
      <c r="F58864" s="2423"/>
    </row>
    <row r="58865" spans="6:6">
      <c r="F58865" s="2423"/>
    </row>
    <row r="58866" spans="6:6">
      <c r="F58866" s="2423"/>
    </row>
    <row r="58867" spans="6:6">
      <c r="F58867" s="2423"/>
    </row>
    <row r="58868" spans="6:6">
      <c r="F58868" s="2423"/>
    </row>
    <row r="58869" spans="6:6">
      <c r="F58869" s="2423"/>
    </row>
    <row r="58870" spans="6:6">
      <c r="F58870" s="2423"/>
    </row>
    <row r="58871" spans="6:6">
      <c r="F58871" s="2423"/>
    </row>
    <row r="58872" spans="6:6">
      <c r="F58872" s="2423"/>
    </row>
    <row r="58873" spans="6:6">
      <c r="F58873" s="2423"/>
    </row>
    <row r="58874" spans="6:6">
      <c r="F58874" s="2423"/>
    </row>
    <row r="58875" spans="6:6">
      <c r="F58875" s="2423"/>
    </row>
    <row r="58876" spans="6:6">
      <c r="F58876" s="2423"/>
    </row>
    <row r="58877" spans="6:6">
      <c r="F58877" s="2423"/>
    </row>
    <row r="58878" spans="6:6">
      <c r="F58878" s="2423"/>
    </row>
    <row r="58879" spans="6:6">
      <c r="F58879" s="2423"/>
    </row>
    <row r="58880" spans="6:6">
      <c r="F58880" s="2423"/>
    </row>
    <row r="58881" spans="6:6">
      <c r="F58881" s="2423"/>
    </row>
    <row r="58882" spans="6:6">
      <c r="F58882" s="2423"/>
    </row>
    <row r="58883" spans="6:6">
      <c r="F58883" s="2423"/>
    </row>
    <row r="58884" spans="6:6">
      <c r="F58884" s="2423"/>
    </row>
    <row r="58885" spans="6:6">
      <c r="F58885" s="2423"/>
    </row>
    <row r="58886" spans="6:6">
      <c r="F58886" s="2423"/>
    </row>
    <row r="58887" spans="6:6">
      <c r="F58887" s="2423"/>
    </row>
    <row r="58888" spans="6:6">
      <c r="F58888" s="2423"/>
    </row>
    <row r="58889" spans="6:6">
      <c r="F58889" s="2423"/>
    </row>
    <row r="58890" spans="6:6">
      <c r="F58890" s="2423"/>
    </row>
    <row r="58891" spans="6:6">
      <c r="F58891" s="2423"/>
    </row>
    <row r="58892" spans="6:6">
      <c r="F58892" s="2423"/>
    </row>
    <row r="58893" spans="6:6">
      <c r="F58893" s="2423"/>
    </row>
    <row r="58894" spans="6:6">
      <c r="F58894" s="2423"/>
    </row>
    <row r="58895" spans="6:6">
      <c r="F58895" s="2423"/>
    </row>
    <row r="58896" spans="6:6">
      <c r="F58896" s="2423"/>
    </row>
    <row r="58897" spans="6:6">
      <c r="F58897" s="2423"/>
    </row>
    <row r="58898" spans="6:6">
      <c r="F58898" s="2423"/>
    </row>
    <row r="58899" spans="6:6">
      <c r="F58899" s="2423"/>
    </row>
    <row r="58900" spans="6:6">
      <c r="F58900" s="2423"/>
    </row>
    <row r="58901" spans="6:6">
      <c r="F58901" s="2423"/>
    </row>
    <row r="58902" spans="6:6">
      <c r="F58902" s="2423"/>
    </row>
    <row r="58903" spans="6:6">
      <c r="F58903" s="2423"/>
    </row>
    <row r="58904" spans="6:6">
      <c r="F58904" s="2423"/>
    </row>
    <row r="58905" spans="6:6">
      <c r="F58905" s="2423"/>
    </row>
    <row r="58906" spans="6:6">
      <c r="F58906" s="2423"/>
    </row>
    <row r="58907" spans="6:6">
      <c r="F58907" s="2423"/>
    </row>
    <row r="58908" spans="6:6">
      <c r="F58908" s="2423"/>
    </row>
    <row r="58909" spans="6:6">
      <c r="F58909" s="2423"/>
    </row>
    <row r="58910" spans="6:6">
      <c r="F58910" s="2423"/>
    </row>
    <row r="58911" spans="6:6">
      <c r="F58911" s="2423"/>
    </row>
    <row r="58912" spans="6:6">
      <c r="F58912" s="2423"/>
    </row>
    <row r="58913" spans="6:6">
      <c r="F58913" s="2423"/>
    </row>
    <row r="58914" spans="6:6">
      <c r="F58914" s="2423"/>
    </row>
    <row r="58915" spans="6:6">
      <c r="F58915" s="2423"/>
    </row>
    <row r="58916" spans="6:6">
      <c r="F58916" s="2423"/>
    </row>
    <row r="58917" spans="6:6">
      <c r="F58917" s="2423"/>
    </row>
    <row r="58918" spans="6:6">
      <c r="F58918" s="2423"/>
    </row>
    <row r="58919" spans="6:6">
      <c r="F58919" s="2423"/>
    </row>
    <row r="58920" spans="6:6">
      <c r="F58920" s="2423"/>
    </row>
    <row r="58921" spans="6:6">
      <c r="F58921" s="2423"/>
    </row>
    <row r="58922" spans="6:6">
      <c r="F58922" s="2423"/>
    </row>
    <row r="58923" spans="6:6">
      <c r="F58923" s="2423"/>
    </row>
    <row r="58924" spans="6:6">
      <c r="F58924" s="2423"/>
    </row>
    <row r="58925" spans="6:6">
      <c r="F58925" s="2423"/>
    </row>
    <row r="58926" spans="6:6">
      <c r="F58926" s="2423"/>
    </row>
    <row r="58927" spans="6:6">
      <c r="F58927" s="2423"/>
    </row>
    <row r="58928" spans="6:6">
      <c r="F58928" s="2423"/>
    </row>
    <row r="58929" spans="6:6">
      <c r="F58929" s="2423"/>
    </row>
    <row r="58930" spans="6:6">
      <c r="F58930" s="2423"/>
    </row>
    <row r="58931" spans="6:6">
      <c r="F58931" s="2423"/>
    </row>
    <row r="58932" spans="6:6">
      <c r="F58932" s="2423"/>
    </row>
    <row r="58933" spans="6:6">
      <c r="F58933" s="2423"/>
    </row>
    <row r="58934" spans="6:6">
      <c r="F58934" s="2423"/>
    </row>
    <row r="58935" spans="6:6">
      <c r="F58935" s="2423"/>
    </row>
    <row r="58936" spans="6:6">
      <c r="F58936" s="2423"/>
    </row>
    <row r="58937" spans="6:6">
      <c r="F58937" s="2423"/>
    </row>
    <row r="58938" spans="6:6">
      <c r="F58938" s="2423"/>
    </row>
    <row r="58939" spans="6:6">
      <c r="F58939" s="2423"/>
    </row>
    <row r="58940" spans="6:6">
      <c r="F58940" s="2423"/>
    </row>
    <row r="58941" spans="6:6">
      <c r="F58941" s="2423"/>
    </row>
    <row r="58942" spans="6:6">
      <c r="F58942" s="2423"/>
    </row>
    <row r="58943" spans="6:6">
      <c r="F58943" s="2423"/>
    </row>
    <row r="58944" spans="6:6">
      <c r="F58944" s="2423"/>
    </row>
    <row r="58945" spans="6:6">
      <c r="F58945" s="2423"/>
    </row>
    <row r="58946" spans="6:6">
      <c r="F58946" s="2423"/>
    </row>
    <row r="58947" spans="6:6">
      <c r="F58947" s="2423"/>
    </row>
    <row r="58948" spans="6:6">
      <c r="F58948" s="2423"/>
    </row>
    <row r="58949" spans="6:6">
      <c r="F58949" s="2423"/>
    </row>
    <row r="58950" spans="6:6">
      <c r="F58950" s="2423"/>
    </row>
    <row r="58951" spans="6:6">
      <c r="F58951" s="2423"/>
    </row>
    <row r="58952" spans="6:6">
      <c r="F58952" s="2423"/>
    </row>
    <row r="58953" spans="6:6">
      <c r="F58953" s="2423"/>
    </row>
    <row r="58954" spans="6:6">
      <c r="F58954" s="2423"/>
    </row>
    <row r="58955" spans="6:6">
      <c r="F58955" s="2423"/>
    </row>
    <row r="58956" spans="6:6">
      <c r="F58956" s="2423"/>
    </row>
    <row r="58957" spans="6:6">
      <c r="F58957" s="2423"/>
    </row>
    <row r="58958" spans="6:6">
      <c r="F58958" s="2423"/>
    </row>
    <row r="58959" spans="6:6">
      <c r="F58959" s="2423"/>
    </row>
    <row r="58960" spans="6:6">
      <c r="F58960" s="2423"/>
    </row>
    <row r="58961" spans="6:6">
      <c r="F58961" s="2423"/>
    </row>
    <row r="58962" spans="6:6">
      <c r="F58962" s="2423"/>
    </row>
    <row r="58963" spans="6:6">
      <c r="F58963" s="2423"/>
    </row>
    <row r="58964" spans="6:6">
      <c r="F58964" s="2423"/>
    </row>
    <row r="58965" spans="6:6">
      <c r="F58965" s="2423"/>
    </row>
    <row r="58966" spans="6:6">
      <c r="F58966" s="2423"/>
    </row>
    <row r="58967" spans="6:6">
      <c r="F58967" s="2423"/>
    </row>
    <row r="58968" spans="6:6">
      <c r="F58968" s="2423"/>
    </row>
    <row r="58969" spans="6:6">
      <c r="F58969" s="2423"/>
    </row>
    <row r="58970" spans="6:6">
      <c r="F58970" s="2423"/>
    </row>
    <row r="58971" spans="6:6">
      <c r="F58971" s="2423"/>
    </row>
    <row r="58972" spans="6:6">
      <c r="F58972" s="2423"/>
    </row>
    <row r="58973" spans="6:6">
      <c r="F58973" s="2423"/>
    </row>
    <row r="58974" spans="6:6">
      <c r="F58974" s="2423"/>
    </row>
    <row r="58975" spans="6:6">
      <c r="F58975" s="2423"/>
    </row>
    <row r="58976" spans="6:6">
      <c r="F58976" s="2423"/>
    </row>
    <row r="58977" spans="6:6">
      <c r="F58977" s="2423"/>
    </row>
    <row r="58978" spans="6:6">
      <c r="F58978" s="2423"/>
    </row>
    <row r="58979" spans="6:6">
      <c r="F58979" s="2423"/>
    </row>
    <row r="58980" spans="6:6">
      <c r="F58980" s="2423"/>
    </row>
    <row r="58981" spans="6:6">
      <c r="F58981" s="2423"/>
    </row>
    <row r="58982" spans="6:6">
      <c r="F58982" s="2423"/>
    </row>
    <row r="58983" spans="6:6">
      <c r="F58983" s="2423"/>
    </row>
    <row r="58984" spans="6:6">
      <c r="F58984" s="2423"/>
    </row>
    <row r="58985" spans="6:6">
      <c r="F58985" s="2423"/>
    </row>
    <row r="58986" spans="6:6">
      <c r="F58986" s="2423"/>
    </row>
    <row r="58987" spans="6:6">
      <c r="F58987" s="2423"/>
    </row>
    <row r="58988" spans="6:6">
      <c r="F58988" s="2423"/>
    </row>
    <row r="58989" spans="6:6">
      <c r="F58989" s="2423"/>
    </row>
    <row r="58990" spans="6:6">
      <c r="F58990" s="2423"/>
    </row>
    <row r="58991" spans="6:6">
      <c r="F58991" s="2423"/>
    </row>
    <row r="58992" spans="6:6">
      <c r="F58992" s="2423"/>
    </row>
    <row r="58993" spans="6:6">
      <c r="F58993" s="2423"/>
    </row>
    <row r="58994" spans="6:6">
      <c r="F58994" s="2423"/>
    </row>
    <row r="58995" spans="6:6">
      <c r="F58995" s="2423"/>
    </row>
    <row r="58996" spans="6:6">
      <c r="F58996" s="2423"/>
    </row>
    <row r="58997" spans="6:6">
      <c r="F58997" s="2423"/>
    </row>
    <row r="58998" spans="6:6">
      <c r="F58998" s="2423"/>
    </row>
    <row r="58999" spans="6:6">
      <c r="F58999" s="2423"/>
    </row>
    <row r="59000" spans="6:6">
      <c r="F59000" s="2423"/>
    </row>
    <row r="59001" spans="6:6">
      <c r="F59001" s="2423"/>
    </row>
    <row r="59002" spans="6:6">
      <c r="F59002" s="2423"/>
    </row>
    <row r="59003" spans="6:6">
      <c r="F59003" s="2423"/>
    </row>
    <row r="59004" spans="6:6">
      <c r="F59004" s="2423"/>
    </row>
    <row r="59005" spans="6:6">
      <c r="F59005" s="2423"/>
    </row>
    <row r="59006" spans="6:6">
      <c r="F59006" s="2423"/>
    </row>
    <row r="59007" spans="6:6">
      <c r="F59007" s="2423"/>
    </row>
    <row r="59008" spans="6:6">
      <c r="F59008" s="2423"/>
    </row>
    <row r="59009" spans="6:6">
      <c r="F59009" s="2423"/>
    </row>
    <row r="59010" spans="6:6">
      <c r="F59010" s="2423"/>
    </row>
    <row r="59011" spans="6:6">
      <c r="F59011" s="2423"/>
    </row>
    <row r="59012" spans="6:6">
      <c r="F59012" s="2423"/>
    </row>
    <row r="59013" spans="6:6">
      <c r="F59013" s="2423"/>
    </row>
    <row r="59014" spans="6:6">
      <c r="F59014" s="2423"/>
    </row>
    <row r="59015" spans="6:6">
      <c r="F59015" s="2423"/>
    </row>
    <row r="59016" spans="6:6">
      <c r="F59016" s="2423"/>
    </row>
    <row r="59017" spans="6:6">
      <c r="F59017" s="2423"/>
    </row>
    <row r="59018" spans="6:6">
      <c r="F59018" s="2423"/>
    </row>
    <row r="59019" spans="6:6">
      <c r="F59019" s="2423"/>
    </row>
    <row r="59020" spans="6:6">
      <c r="F59020" s="2423"/>
    </row>
    <row r="59021" spans="6:6">
      <c r="F59021" s="2423"/>
    </row>
    <row r="59022" spans="6:6">
      <c r="F59022" s="2423"/>
    </row>
    <row r="59023" spans="6:6">
      <c r="F59023" s="2423"/>
    </row>
    <row r="59024" spans="6:6">
      <c r="F59024" s="2423"/>
    </row>
    <row r="59025" spans="6:6">
      <c r="F59025" s="2423"/>
    </row>
    <row r="59026" spans="6:6">
      <c r="F59026" s="2423"/>
    </row>
    <row r="59027" spans="6:6">
      <c r="F59027" s="2423"/>
    </row>
    <row r="59028" spans="6:6">
      <c r="F59028" s="2423"/>
    </row>
    <row r="59029" spans="6:6">
      <c r="F59029" s="2423"/>
    </row>
    <row r="59030" spans="6:6">
      <c r="F59030" s="2423"/>
    </row>
    <row r="59031" spans="6:6">
      <c r="F59031" s="2423"/>
    </row>
    <row r="59032" spans="6:6">
      <c r="F59032" s="2423"/>
    </row>
    <row r="59033" spans="6:6">
      <c r="F59033" s="2423"/>
    </row>
    <row r="59034" spans="6:6">
      <c r="F59034" s="2423"/>
    </row>
    <row r="59035" spans="6:6">
      <c r="F59035" s="2423"/>
    </row>
    <row r="59036" spans="6:6">
      <c r="F59036" s="2423"/>
    </row>
    <row r="59037" spans="6:6">
      <c r="F59037" s="2423"/>
    </row>
    <row r="59038" spans="6:6">
      <c r="F59038" s="2423"/>
    </row>
    <row r="59039" spans="6:6">
      <c r="F59039" s="2423"/>
    </row>
    <row r="59040" spans="6:6">
      <c r="F59040" s="2423"/>
    </row>
    <row r="59041" spans="6:6">
      <c r="F59041" s="2423"/>
    </row>
    <row r="59042" spans="6:6">
      <c r="F59042" s="2423"/>
    </row>
    <row r="59043" spans="6:6">
      <c r="F59043" s="2423"/>
    </row>
    <row r="59044" spans="6:6">
      <c r="F59044" s="2423"/>
    </row>
    <row r="59045" spans="6:6">
      <c r="F59045" s="2423"/>
    </row>
    <row r="59046" spans="6:6">
      <c r="F59046" s="2423"/>
    </row>
    <row r="59047" spans="6:6">
      <c r="F59047" s="2423"/>
    </row>
    <row r="59048" spans="6:6">
      <c r="F59048" s="2423"/>
    </row>
    <row r="59049" spans="6:6">
      <c r="F59049" s="2423"/>
    </row>
    <row r="59050" spans="6:6">
      <c r="F59050" s="2423"/>
    </row>
    <row r="59051" spans="6:6">
      <c r="F59051" s="2423"/>
    </row>
    <row r="59052" spans="6:6">
      <c r="F59052" s="2423"/>
    </row>
    <row r="59053" spans="6:6">
      <c r="F59053" s="2423"/>
    </row>
    <row r="59054" spans="6:6">
      <c r="F59054" s="2423"/>
    </row>
    <row r="59055" spans="6:6">
      <c r="F59055" s="2423"/>
    </row>
    <row r="59056" spans="6:6">
      <c r="F59056" s="2423"/>
    </row>
    <row r="59057" spans="6:6">
      <c r="F59057" s="2423"/>
    </row>
    <row r="59058" spans="6:6">
      <c r="F59058" s="2423"/>
    </row>
    <row r="59059" spans="6:6">
      <c r="F59059" s="2423"/>
    </row>
    <row r="59060" spans="6:6">
      <c r="F59060" s="2423"/>
    </row>
    <row r="59061" spans="6:6">
      <c r="F59061" s="2423"/>
    </row>
    <row r="59062" spans="6:6">
      <c r="F59062" s="2423"/>
    </row>
    <row r="59063" spans="6:6">
      <c r="F59063" s="2423"/>
    </row>
    <row r="59064" spans="6:6">
      <c r="F59064" s="2423"/>
    </row>
    <row r="59065" spans="6:6">
      <c r="F59065" s="2423"/>
    </row>
    <row r="59066" spans="6:6">
      <c r="F59066" s="2423"/>
    </row>
    <row r="59067" spans="6:6">
      <c r="F59067" s="2423"/>
    </row>
    <row r="59068" spans="6:6">
      <c r="F59068" s="2423"/>
    </row>
    <row r="59069" spans="6:6">
      <c r="F59069" s="2423"/>
    </row>
    <row r="59070" spans="6:6">
      <c r="F59070" s="2423"/>
    </row>
    <row r="59071" spans="6:6">
      <c r="F59071" s="2423"/>
    </row>
    <row r="59072" spans="6:6">
      <c r="F59072" s="2423"/>
    </row>
    <row r="59073" spans="6:6">
      <c r="F59073" s="2423"/>
    </row>
    <row r="59074" spans="6:6">
      <c r="F59074" s="2423"/>
    </row>
    <row r="59075" spans="6:6">
      <c r="F59075" s="2423"/>
    </row>
    <row r="59076" spans="6:6">
      <c r="F59076" s="2423"/>
    </row>
    <row r="59077" spans="6:6">
      <c r="F59077" s="2423"/>
    </row>
    <row r="59078" spans="6:6">
      <c r="F59078" s="2423"/>
    </row>
    <row r="59079" spans="6:6">
      <c r="F59079" s="2423"/>
    </row>
    <row r="59080" spans="6:6">
      <c r="F59080" s="2423"/>
    </row>
    <row r="59081" spans="6:6">
      <c r="F59081" s="2423"/>
    </row>
    <row r="59082" spans="6:6">
      <c r="F59082" s="2423"/>
    </row>
    <row r="59083" spans="6:6">
      <c r="F59083" s="2423"/>
    </row>
    <row r="59084" spans="6:6">
      <c r="F59084" s="2423"/>
    </row>
    <row r="59085" spans="6:6">
      <c r="F59085" s="2423"/>
    </row>
    <row r="59086" spans="6:6">
      <c r="F59086" s="2423"/>
    </row>
    <row r="59087" spans="6:6">
      <c r="F59087" s="2423"/>
    </row>
    <row r="59088" spans="6:6">
      <c r="F59088" s="2423"/>
    </row>
    <row r="59089" spans="6:6">
      <c r="F59089" s="2423"/>
    </row>
    <row r="59090" spans="6:6">
      <c r="F59090" s="2423"/>
    </row>
    <row r="59091" spans="6:6">
      <c r="F59091" s="2423"/>
    </row>
    <row r="59092" spans="6:6">
      <c r="F59092" s="2423"/>
    </row>
    <row r="59093" spans="6:6">
      <c r="F59093" s="2423"/>
    </row>
    <row r="59094" spans="6:6">
      <c r="F59094" s="2423"/>
    </row>
    <row r="59095" spans="6:6">
      <c r="F59095" s="2423"/>
    </row>
    <row r="59096" spans="6:6">
      <c r="F59096" s="2423"/>
    </row>
    <row r="59097" spans="6:6">
      <c r="F59097" s="2423"/>
    </row>
    <row r="59098" spans="6:6">
      <c r="F59098" s="2423"/>
    </row>
    <row r="59099" spans="6:6">
      <c r="F59099" s="2423"/>
    </row>
    <row r="59100" spans="6:6">
      <c r="F59100" s="2423"/>
    </row>
    <row r="59101" spans="6:6">
      <c r="F59101" s="2423"/>
    </row>
    <row r="59102" spans="6:6">
      <c r="F59102" s="2423"/>
    </row>
    <row r="59103" spans="6:6">
      <c r="F59103" s="2423"/>
    </row>
    <row r="59104" spans="6:6">
      <c r="F59104" s="2423"/>
    </row>
    <row r="59105" spans="6:6">
      <c r="F59105" s="2423"/>
    </row>
    <row r="59106" spans="6:6">
      <c r="F59106" s="2423"/>
    </row>
    <row r="59107" spans="6:6">
      <c r="F59107" s="2423"/>
    </row>
    <row r="59108" spans="6:6">
      <c r="F59108" s="2423"/>
    </row>
    <row r="59109" spans="6:6">
      <c r="F59109" s="2423"/>
    </row>
    <row r="59110" spans="6:6">
      <c r="F59110" s="2423"/>
    </row>
    <row r="59111" spans="6:6">
      <c r="F59111" s="2423"/>
    </row>
    <row r="59112" spans="6:6">
      <c r="F59112" s="2423"/>
    </row>
    <row r="59113" spans="6:6">
      <c r="F59113" s="2423"/>
    </row>
    <row r="59114" spans="6:6">
      <c r="F59114" s="2423"/>
    </row>
    <row r="59115" spans="6:6">
      <c r="F59115" s="2423"/>
    </row>
    <row r="59116" spans="6:6">
      <c r="F59116" s="2423"/>
    </row>
    <row r="59117" spans="6:6">
      <c r="F59117" s="2423"/>
    </row>
    <row r="59118" spans="6:6">
      <c r="F59118" s="2423"/>
    </row>
    <row r="59119" spans="6:6">
      <c r="F59119" s="2423"/>
    </row>
    <row r="59120" spans="6:6">
      <c r="F59120" s="2423"/>
    </row>
    <row r="59121" spans="6:6">
      <c r="F59121" s="2423"/>
    </row>
    <row r="59122" spans="6:6">
      <c r="F59122" s="2423"/>
    </row>
    <row r="59123" spans="6:6">
      <c r="F59123" s="2423"/>
    </row>
    <row r="59124" spans="6:6">
      <c r="F59124" s="2423"/>
    </row>
    <row r="59125" spans="6:6">
      <c r="F59125" s="2423"/>
    </row>
    <row r="59126" spans="6:6">
      <c r="F59126" s="2423"/>
    </row>
    <row r="59127" spans="6:6">
      <c r="F59127" s="2423"/>
    </row>
    <row r="59128" spans="6:6">
      <c r="F59128" s="2423"/>
    </row>
    <row r="59129" spans="6:6">
      <c r="F59129" s="2423"/>
    </row>
    <row r="59130" spans="6:6">
      <c r="F59130" s="2423"/>
    </row>
    <row r="59131" spans="6:6">
      <c r="F59131" s="2423"/>
    </row>
    <row r="59132" spans="6:6">
      <c r="F59132" s="2423"/>
    </row>
    <row r="59133" spans="6:6">
      <c r="F59133" s="2423"/>
    </row>
    <row r="59134" spans="6:6">
      <c r="F59134" s="2423"/>
    </row>
    <row r="59135" spans="6:6">
      <c r="F59135" s="2423"/>
    </row>
    <row r="59136" spans="6:6">
      <c r="F59136" s="2423"/>
    </row>
    <row r="59137" spans="6:6">
      <c r="F59137" s="2423"/>
    </row>
    <row r="59138" spans="6:6">
      <c r="F59138" s="2423"/>
    </row>
    <row r="59139" spans="6:6">
      <c r="F59139" s="2423"/>
    </row>
    <row r="59140" spans="6:6">
      <c r="F59140" s="2423"/>
    </row>
    <row r="59141" spans="6:6">
      <c r="F59141" s="2423"/>
    </row>
    <row r="59142" spans="6:6">
      <c r="F59142" s="2423"/>
    </row>
    <row r="59143" spans="6:6">
      <c r="F59143" s="2423"/>
    </row>
    <row r="59144" spans="6:6">
      <c r="F59144" s="2423"/>
    </row>
    <row r="59145" spans="6:6">
      <c r="F59145" s="2423"/>
    </row>
    <row r="59146" spans="6:6">
      <c r="F59146" s="2423"/>
    </row>
    <row r="59147" spans="6:6">
      <c r="F59147" s="2423"/>
    </row>
    <row r="59148" spans="6:6">
      <c r="F59148" s="2423"/>
    </row>
    <row r="59149" spans="6:6">
      <c r="F59149" s="2423"/>
    </row>
    <row r="59150" spans="6:6">
      <c r="F59150" s="2423"/>
    </row>
    <row r="59151" spans="6:6">
      <c r="F59151" s="2423"/>
    </row>
    <row r="59152" spans="6:6">
      <c r="F59152" s="2423"/>
    </row>
    <row r="59153" spans="6:6">
      <c r="F59153" s="2423"/>
    </row>
    <row r="59154" spans="6:6">
      <c r="F59154" s="2423"/>
    </row>
    <row r="59155" spans="6:6">
      <c r="F59155" s="2423"/>
    </row>
    <row r="59156" spans="6:6">
      <c r="F59156" s="2423"/>
    </row>
    <row r="59157" spans="6:6">
      <c r="F59157" s="2423"/>
    </row>
    <row r="59158" spans="6:6">
      <c r="F59158" s="2423"/>
    </row>
    <row r="59159" spans="6:6">
      <c r="F59159" s="2423"/>
    </row>
    <row r="59160" spans="6:6">
      <c r="F59160" s="2423"/>
    </row>
    <row r="59161" spans="6:6">
      <c r="F59161" s="2423"/>
    </row>
    <row r="59162" spans="6:6">
      <c r="F59162" s="2423"/>
    </row>
    <row r="59163" spans="6:6">
      <c r="F59163" s="2423"/>
    </row>
    <row r="59164" spans="6:6">
      <c r="F59164" s="2423"/>
    </row>
    <row r="59165" spans="6:6">
      <c r="F59165" s="2423"/>
    </row>
    <row r="59166" spans="6:6">
      <c r="F59166" s="2423"/>
    </row>
    <row r="59167" spans="6:6">
      <c r="F59167" s="2423"/>
    </row>
    <row r="59168" spans="6:6">
      <c r="F59168" s="2423"/>
    </row>
    <row r="59169" spans="6:6">
      <c r="F59169" s="2423"/>
    </row>
    <row r="59170" spans="6:6">
      <c r="F59170" s="2423"/>
    </row>
    <row r="59171" spans="6:6">
      <c r="F59171" s="2423"/>
    </row>
    <row r="59172" spans="6:6">
      <c r="F59172" s="2423"/>
    </row>
    <row r="59173" spans="6:6">
      <c r="F59173" s="2423"/>
    </row>
    <row r="59174" spans="6:6">
      <c r="F59174" s="2423"/>
    </row>
    <row r="59175" spans="6:6">
      <c r="F59175" s="2423"/>
    </row>
    <row r="59176" spans="6:6">
      <c r="F59176" s="2423"/>
    </row>
    <row r="59177" spans="6:6">
      <c r="F59177" s="2423"/>
    </row>
    <row r="59178" spans="6:6">
      <c r="F59178" s="2423"/>
    </row>
    <row r="59179" spans="6:6">
      <c r="F59179" s="2423"/>
    </row>
    <row r="59180" spans="6:6">
      <c r="F59180" s="2423"/>
    </row>
    <row r="59181" spans="6:6">
      <c r="F59181" s="2423"/>
    </row>
    <row r="59182" spans="6:6">
      <c r="F59182" s="2423"/>
    </row>
    <row r="59183" spans="6:6">
      <c r="F59183" s="2423"/>
    </row>
    <row r="59184" spans="6:6">
      <c r="F59184" s="2423"/>
    </row>
    <row r="59185" spans="6:6">
      <c r="F59185" s="2423"/>
    </row>
    <row r="59186" spans="6:6">
      <c r="F59186" s="2423"/>
    </row>
    <row r="59187" spans="6:6">
      <c r="F59187" s="2423"/>
    </row>
    <row r="59188" spans="6:6">
      <c r="F59188" s="2423"/>
    </row>
    <row r="59189" spans="6:6">
      <c r="F59189" s="2423"/>
    </row>
    <row r="59190" spans="6:6">
      <c r="F59190" s="2423"/>
    </row>
    <row r="59191" spans="6:6">
      <c r="F59191" s="2423"/>
    </row>
    <row r="59192" spans="6:6">
      <c r="F59192" s="2423"/>
    </row>
    <row r="59193" spans="6:6">
      <c r="F59193" s="2423"/>
    </row>
    <row r="59194" spans="6:6">
      <c r="F59194" s="2423"/>
    </row>
    <row r="59195" spans="6:6">
      <c r="F59195" s="2423"/>
    </row>
    <row r="59196" spans="6:6">
      <c r="F59196" s="2423"/>
    </row>
    <row r="59197" spans="6:6">
      <c r="F59197" s="2423"/>
    </row>
    <row r="59198" spans="6:6">
      <c r="F59198" s="2423"/>
    </row>
    <row r="59199" spans="6:6">
      <c r="F59199" s="2423"/>
    </row>
    <row r="59200" spans="6:6">
      <c r="F59200" s="2423"/>
    </row>
    <row r="59201" spans="6:6">
      <c r="F59201" s="2423"/>
    </row>
    <row r="59202" spans="6:6">
      <c r="F59202" s="2423"/>
    </row>
    <row r="59203" spans="6:6">
      <c r="F59203" s="2423"/>
    </row>
    <row r="59204" spans="6:6">
      <c r="F59204" s="2423"/>
    </row>
    <row r="59205" spans="6:6">
      <c r="F59205" s="2423"/>
    </row>
    <row r="59206" spans="6:6">
      <c r="F59206" s="2423"/>
    </row>
    <row r="59207" spans="6:6">
      <c r="F59207" s="2423"/>
    </row>
    <row r="59208" spans="6:6">
      <c r="F59208" s="2423"/>
    </row>
    <row r="59209" spans="6:6">
      <c r="F59209" s="2423"/>
    </row>
    <row r="59210" spans="6:6">
      <c r="F59210" s="2423"/>
    </row>
    <row r="59211" spans="6:6">
      <c r="F59211" s="2423"/>
    </row>
    <row r="59212" spans="6:6">
      <c r="F59212" s="2423"/>
    </row>
    <row r="59213" spans="6:6">
      <c r="F59213" s="2423"/>
    </row>
    <row r="59214" spans="6:6">
      <c r="F59214" s="2423"/>
    </row>
    <row r="59215" spans="6:6">
      <c r="F59215" s="2423"/>
    </row>
    <row r="59216" spans="6:6">
      <c r="F59216" s="2423"/>
    </row>
    <row r="59217" spans="6:6">
      <c r="F59217" s="2423"/>
    </row>
    <row r="59218" spans="6:6">
      <c r="F59218" s="2423"/>
    </row>
    <row r="59219" spans="6:6">
      <c r="F59219" s="2423"/>
    </row>
    <row r="59220" spans="6:6">
      <c r="F59220" s="2423"/>
    </row>
    <row r="59221" spans="6:6">
      <c r="F59221" s="2423"/>
    </row>
    <row r="59222" spans="6:6">
      <c r="F59222" s="2423"/>
    </row>
    <row r="59223" spans="6:6">
      <c r="F59223" s="2423"/>
    </row>
    <row r="59224" spans="6:6">
      <c r="F59224" s="2423"/>
    </row>
    <row r="59225" spans="6:6">
      <c r="F59225" s="2423"/>
    </row>
    <row r="59226" spans="6:6">
      <c r="F59226" s="2423"/>
    </row>
    <row r="59227" spans="6:6">
      <c r="F59227" s="2423"/>
    </row>
    <row r="59228" spans="6:6">
      <c r="F59228" s="2423"/>
    </row>
    <row r="59229" spans="6:6">
      <c r="F59229" s="2423"/>
    </row>
    <row r="59230" spans="6:6">
      <c r="F59230" s="2423"/>
    </row>
    <row r="59231" spans="6:6">
      <c r="F59231" s="2423"/>
    </row>
    <row r="59232" spans="6:6">
      <c r="F59232" s="2423"/>
    </row>
    <row r="59233" spans="6:6">
      <c r="F59233" s="2423"/>
    </row>
    <row r="59234" spans="6:6">
      <c r="F59234" s="2423"/>
    </row>
    <row r="59235" spans="6:6">
      <c r="F59235" s="2423"/>
    </row>
    <row r="59236" spans="6:6">
      <c r="F59236" s="2423"/>
    </row>
    <row r="59237" spans="6:6">
      <c r="F59237" s="2423"/>
    </row>
    <row r="59238" spans="6:6">
      <c r="F59238" s="2423"/>
    </row>
    <row r="59239" spans="6:6">
      <c r="F59239" s="2423"/>
    </row>
    <row r="59240" spans="6:6">
      <c r="F59240" s="2423"/>
    </row>
    <row r="59241" spans="6:6">
      <c r="F59241" s="2423"/>
    </row>
    <row r="59242" spans="6:6">
      <c r="F59242" s="2423"/>
    </row>
    <row r="59243" spans="6:6">
      <c r="F59243" s="2423"/>
    </row>
    <row r="59244" spans="6:6">
      <c r="F59244" s="2423"/>
    </row>
    <row r="59245" spans="6:6">
      <c r="F59245" s="2423"/>
    </row>
    <row r="59246" spans="6:6">
      <c r="F59246" s="2423"/>
    </row>
    <row r="59247" spans="6:6">
      <c r="F59247" s="2423"/>
    </row>
    <row r="59248" spans="6:6">
      <c r="F59248" s="2423"/>
    </row>
    <row r="59249" spans="6:6">
      <c r="F59249" s="2423"/>
    </row>
    <row r="59250" spans="6:6">
      <c r="F59250" s="2423"/>
    </row>
    <row r="59251" spans="6:6">
      <c r="F59251" s="2423"/>
    </row>
    <row r="59252" spans="6:6">
      <c r="F59252" s="2423"/>
    </row>
    <row r="59253" spans="6:6">
      <c r="F59253" s="2423"/>
    </row>
    <row r="59254" spans="6:6">
      <c r="F59254" s="2423"/>
    </row>
    <row r="59255" spans="6:6">
      <c r="F59255" s="2423"/>
    </row>
    <row r="59256" spans="6:6">
      <c r="F59256" s="2423"/>
    </row>
    <row r="59257" spans="6:6">
      <c r="F59257" s="2423"/>
    </row>
    <row r="59258" spans="6:6">
      <c r="F59258" s="2423"/>
    </row>
    <row r="59259" spans="6:6">
      <c r="F59259" s="2423"/>
    </row>
    <row r="59260" spans="6:6">
      <c r="F59260" s="2423"/>
    </row>
    <row r="59261" spans="6:6">
      <c r="F59261" s="2423"/>
    </row>
    <row r="59262" spans="6:6">
      <c r="F59262" s="2423"/>
    </row>
    <row r="59263" spans="6:6">
      <c r="F59263" s="2423"/>
    </row>
    <row r="59264" spans="6:6">
      <c r="F59264" s="2423"/>
    </row>
    <row r="59265" spans="6:6">
      <c r="F59265" s="2423"/>
    </row>
    <row r="59266" spans="6:6">
      <c r="F59266" s="2423"/>
    </row>
    <row r="59267" spans="6:6">
      <c r="F59267" s="2423"/>
    </row>
    <row r="59268" spans="6:6">
      <c r="F59268" s="2423"/>
    </row>
    <row r="59269" spans="6:6">
      <c r="F59269" s="2423"/>
    </row>
    <row r="59270" spans="6:6">
      <c r="F59270" s="2423"/>
    </row>
    <row r="59271" spans="6:6">
      <c r="F59271" s="2423"/>
    </row>
    <row r="59272" spans="6:6">
      <c r="F59272" s="2423"/>
    </row>
    <row r="59273" spans="6:6">
      <c r="F59273" s="2423"/>
    </row>
    <row r="59274" spans="6:6">
      <c r="F59274" s="2423"/>
    </row>
    <row r="59275" spans="6:6">
      <c r="F59275" s="2423"/>
    </row>
    <row r="59276" spans="6:6">
      <c r="F59276" s="2423"/>
    </row>
    <row r="59277" spans="6:6">
      <c r="F59277" s="2423"/>
    </row>
    <row r="59278" spans="6:6">
      <c r="F59278" s="2423"/>
    </row>
    <row r="59279" spans="6:6">
      <c r="F59279" s="2423"/>
    </row>
    <row r="59280" spans="6:6">
      <c r="F59280" s="2423"/>
    </row>
    <row r="59281" spans="6:6">
      <c r="F59281" s="2423"/>
    </row>
    <row r="59282" spans="6:6">
      <c r="F59282" s="2423"/>
    </row>
    <row r="59283" spans="6:6">
      <c r="F59283" s="2423"/>
    </row>
    <row r="59284" spans="6:6">
      <c r="F59284" s="2423"/>
    </row>
    <row r="59285" spans="6:6">
      <c r="F59285" s="2423"/>
    </row>
    <row r="59286" spans="6:6">
      <c r="F59286" s="2423"/>
    </row>
    <row r="59287" spans="6:6">
      <c r="F59287" s="2423"/>
    </row>
    <row r="59288" spans="6:6">
      <c r="F59288" s="2423"/>
    </row>
    <row r="59289" spans="6:6">
      <c r="F59289" s="2423"/>
    </row>
    <row r="59290" spans="6:6">
      <c r="F59290" s="2423"/>
    </row>
    <row r="59291" spans="6:6">
      <c r="F59291" s="2423"/>
    </row>
    <row r="59292" spans="6:6">
      <c r="F59292" s="2423"/>
    </row>
    <row r="59293" spans="6:6">
      <c r="F59293" s="2423"/>
    </row>
    <row r="59294" spans="6:6">
      <c r="F59294" s="2423"/>
    </row>
    <row r="59295" spans="6:6">
      <c r="F59295" s="2423"/>
    </row>
    <row r="59296" spans="6:6">
      <c r="F59296" s="2423"/>
    </row>
    <row r="59297" spans="6:6">
      <c r="F59297" s="2423"/>
    </row>
    <row r="59298" spans="6:6">
      <c r="F59298" s="2423"/>
    </row>
    <row r="59299" spans="6:6">
      <c r="F59299" s="2423"/>
    </row>
    <row r="59300" spans="6:6">
      <c r="F59300" s="2423"/>
    </row>
    <row r="59301" spans="6:6">
      <c r="F59301" s="2423"/>
    </row>
    <row r="59302" spans="6:6">
      <c r="F59302" s="2423"/>
    </row>
    <row r="59303" spans="6:6">
      <c r="F59303" s="2423"/>
    </row>
    <row r="59304" spans="6:6">
      <c r="F59304" s="2423"/>
    </row>
    <row r="59305" spans="6:6">
      <c r="F59305" s="2423"/>
    </row>
    <row r="59306" spans="6:6">
      <c r="F59306" s="2423"/>
    </row>
    <row r="59307" spans="6:6">
      <c r="F59307" s="2423"/>
    </row>
    <row r="59308" spans="6:6">
      <c r="F59308" s="2423"/>
    </row>
    <row r="59309" spans="6:6">
      <c r="F59309" s="2423"/>
    </row>
    <row r="59310" spans="6:6">
      <c r="F59310" s="2423"/>
    </row>
    <row r="59311" spans="6:6">
      <c r="F59311" s="2423"/>
    </row>
    <row r="59312" spans="6:6">
      <c r="F59312" s="2423"/>
    </row>
    <row r="59313" spans="6:6">
      <c r="F59313" s="2423"/>
    </row>
    <row r="59314" spans="6:6">
      <c r="F59314" s="2423"/>
    </row>
    <row r="59315" spans="6:6">
      <c r="F59315" s="2423"/>
    </row>
    <row r="59316" spans="6:6">
      <c r="F59316" s="2423"/>
    </row>
    <row r="59317" spans="6:6">
      <c r="F59317" s="2423"/>
    </row>
    <row r="59318" spans="6:6">
      <c r="F59318" s="2423"/>
    </row>
    <row r="59319" spans="6:6">
      <c r="F59319" s="2423"/>
    </row>
    <row r="59320" spans="6:6">
      <c r="F59320" s="2423"/>
    </row>
    <row r="59321" spans="6:6">
      <c r="F59321" s="2423"/>
    </row>
    <row r="59322" spans="6:6">
      <c r="F59322" s="2423"/>
    </row>
    <row r="59323" spans="6:6">
      <c r="F59323" s="2423"/>
    </row>
    <row r="59324" spans="6:6">
      <c r="F59324" s="2423"/>
    </row>
    <row r="59325" spans="6:6">
      <c r="F59325" s="2423"/>
    </row>
    <row r="59326" spans="6:6">
      <c r="F59326" s="2423"/>
    </row>
    <row r="59327" spans="6:6">
      <c r="F59327" s="2423"/>
    </row>
    <row r="59328" spans="6:6">
      <c r="F59328" s="2423"/>
    </row>
    <row r="59329" spans="6:6">
      <c r="F59329" s="2423"/>
    </row>
    <row r="59330" spans="6:6">
      <c r="F59330" s="2423"/>
    </row>
    <row r="59331" spans="6:6">
      <c r="F59331" s="2423"/>
    </row>
    <row r="59332" spans="6:6">
      <c r="F59332" s="2423"/>
    </row>
    <row r="59333" spans="6:6">
      <c r="F59333" s="2423"/>
    </row>
    <row r="59334" spans="6:6">
      <c r="F59334" s="2423"/>
    </row>
    <row r="59335" spans="6:6">
      <c r="F59335" s="2423"/>
    </row>
    <row r="59336" spans="6:6">
      <c r="F59336" s="2423"/>
    </row>
    <row r="59337" spans="6:6">
      <c r="F59337" s="2423"/>
    </row>
    <row r="59338" spans="6:6">
      <c r="F59338" s="2423"/>
    </row>
    <row r="59339" spans="6:6">
      <c r="F59339" s="2423"/>
    </row>
    <row r="59340" spans="6:6">
      <c r="F59340" s="2423"/>
    </row>
    <row r="59341" spans="6:6">
      <c r="F59341" s="2423"/>
    </row>
    <row r="59342" spans="6:6">
      <c r="F59342" s="2423"/>
    </row>
    <row r="59343" spans="6:6">
      <c r="F59343" s="2423"/>
    </row>
    <row r="59344" spans="6:6">
      <c r="F59344" s="2423"/>
    </row>
    <row r="59345" spans="6:6">
      <c r="F59345" s="2423"/>
    </row>
    <row r="59346" spans="6:6">
      <c r="F59346" s="2423"/>
    </row>
    <row r="59347" spans="6:6">
      <c r="F59347" s="2423"/>
    </row>
    <row r="59348" spans="6:6">
      <c r="F59348" s="2423"/>
    </row>
    <row r="59349" spans="6:6">
      <c r="F59349" s="2423"/>
    </row>
    <row r="59350" spans="6:6">
      <c r="F59350" s="2423"/>
    </row>
    <row r="59351" spans="6:6">
      <c r="F59351" s="2423"/>
    </row>
    <row r="59352" spans="6:6">
      <c r="F59352" s="2423"/>
    </row>
    <row r="59353" spans="6:6">
      <c r="F59353" s="2423"/>
    </row>
    <row r="59354" spans="6:6">
      <c r="F59354" s="2423"/>
    </row>
    <row r="59355" spans="6:6">
      <c r="F59355" s="2423"/>
    </row>
    <row r="59356" spans="6:6">
      <c r="F59356" s="2423"/>
    </row>
    <row r="59357" spans="6:6">
      <c r="F59357" s="2423"/>
    </row>
    <row r="59358" spans="6:6">
      <c r="F59358" s="2423"/>
    </row>
    <row r="59359" spans="6:6">
      <c r="F59359" s="2423"/>
    </row>
    <row r="59360" spans="6:6">
      <c r="F59360" s="2423"/>
    </row>
    <row r="59361" spans="6:6">
      <c r="F59361" s="2423"/>
    </row>
    <row r="59362" spans="6:6">
      <c r="F59362" s="2423"/>
    </row>
    <row r="59363" spans="6:6">
      <c r="F59363" s="2423"/>
    </row>
    <row r="59364" spans="6:6">
      <c r="F59364" s="2423"/>
    </row>
    <row r="59365" spans="6:6">
      <c r="F59365" s="2423"/>
    </row>
    <row r="59366" spans="6:6">
      <c r="F59366" s="2423"/>
    </row>
    <row r="59367" spans="6:6">
      <c r="F59367" s="2423"/>
    </row>
    <row r="59368" spans="6:6">
      <c r="F59368" s="2423"/>
    </row>
    <row r="59369" spans="6:6">
      <c r="F59369" s="2423"/>
    </row>
    <row r="59370" spans="6:6">
      <c r="F59370" s="2423"/>
    </row>
    <row r="59371" spans="6:6">
      <c r="F59371" s="2423"/>
    </row>
    <row r="59372" spans="6:6">
      <c r="F59372" s="2423"/>
    </row>
    <row r="59373" spans="6:6">
      <c r="F59373" s="2423"/>
    </row>
    <row r="59374" spans="6:6">
      <c r="F59374" s="2423"/>
    </row>
    <row r="59375" spans="6:6">
      <c r="F59375" s="2423"/>
    </row>
    <row r="59376" spans="6:6">
      <c r="F59376" s="2423"/>
    </row>
    <row r="59377" spans="6:6">
      <c r="F59377" s="2423"/>
    </row>
    <row r="59378" spans="6:6">
      <c r="F59378" s="2423"/>
    </row>
    <row r="59379" spans="6:6">
      <c r="F59379" s="2423"/>
    </row>
    <row r="59380" spans="6:6">
      <c r="F59380" s="2423"/>
    </row>
    <row r="59381" spans="6:6">
      <c r="F59381" s="2423"/>
    </row>
    <row r="59382" spans="6:6">
      <c r="F59382" s="2423"/>
    </row>
    <row r="59383" spans="6:6">
      <c r="F59383" s="2423"/>
    </row>
    <row r="59384" spans="6:6">
      <c r="F59384" s="2423"/>
    </row>
    <row r="59385" spans="6:6">
      <c r="F59385" s="2423"/>
    </row>
    <row r="59386" spans="6:6">
      <c r="F59386" s="2423"/>
    </row>
    <row r="59387" spans="6:6">
      <c r="F59387" s="2423"/>
    </row>
    <row r="59388" spans="6:6">
      <c r="F59388" s="2423"/>
    </row>
    <row r="59389" spans="6:6">
      <c r="F59389" s="2423"/>
    </row>
    <row r="59390" spans="6:6">
      <c r="F59390" s="2423"/>
    </row>
    <row r="59391" spans="6:6">
      <c r="F59391" s="2423"/>
    </row>
    <row r="59392" spans="6:6">
      <c r="F59392" s="2423"/>
    </row>
    <row r="59393" spans="6:6">
      <c r="F59393" s="2423"/>
    </row>
    <row r="59394" spans="6:6">
      <c r="F59394" s="2423"/>
    </row>
    <row r="59395" spans="6:6">
      <c r="F59395" s="2423"/>
    </row>
    <row r="59396" spans="6:6">
      <c r="F59396" s="2423"/>
    </row>
    <row r="59397" spans="6:6">
      <c r="F59397" s="2423"/>
    </row>
    <row r="59398" spans="6:6">
      <c r="F59398" s="2423"/>
    </row>
    <row r="59399" spans="6:6">
      <c r="F59399" s="2423"/>
    </row>
    <row r="59400" spans="6:6">
      <c r="F59400" s="2423"/>
    </row>
    <row r="59401" spans="6:6">
      <c r="F59401" s="2423"/>
    </row>
    <row r="59402" spans="6:6">
      <c r="F59402" s="2423"/>
    </row>
    <row r="59403" spans="6:6">
      <c r="F59403" s="2423"/>
    </row>
    <row r="59404" spans="6:6">
      <c r="F59404" s="2423"/>
    </row>
    <row r="59405" spans="6:6">
      <c r="F59405" s="2423"/>
    </row>
    <row r="59406" spans="6:6">
      <c r="F59406" s="2423"/>
    </row>
    <row r="59407" spans="6:6">
      <c r="F59407" s="2423"/>
    </row>
    <row r="59408" spans="6:6">
      <c r="F59408" s="2423"/>
    </row>
    <row r="59409" spans="6:6">
      <c r="F59409" s="2423"/>
    </row>
    <row r="59410" spans="6:6">
      <c r="F59410" s="2423"/>
    </row>
    <row r="59411" spans="6:6">
      <c r="F59411" s="2423"/>
    </row>
    <row r="59412" spans="6:6">
      <c r="F59412" s="2423"/>
    </row>
    <row r="59413" spans="6:6">
      <c r="F59413" s="2423"/>
    </row>
    <row r="59414" spans="6:6">
      <c r="F59414" s="2423"/>
    </row>
    <row r="59415" spans="6:6">
      <c r="F59415" s="2423"/>
    </row>
    <row r="59416" spans="6:6">
      <c r="F59416" s="2423"/>
    </row>
    <row r="59417" spans="6:6">
      <c r="F59417" s="2423"/>
    </row>
    <row r="59418" spans="6:6">
      <c r="F59418" s="2423"/>
    </row>
    <row r="59419" spans="6:6">
      <c r="F59419" s="2423"/>
    </row>
    <row r="59420" spans="6:6">
      <c r="F59420" s="2423"/>
    </row>
    <row r="59421" spans="6:6">
      <c r="F59421" s="2423"/>
    </row>
    <row r="59422" spans="6:6">
      <c r="F59422" s="2423"/>
    </row>
    <row r="59423" spans="6:6">
      <c r="F59423" s="2423"/>
    </row>
    <row r="59424" spans="6:6">
      <c r="F59424" s="2423"/>
    </row>
    <row r="59425" spans="6:6">
      <c r="F59425" s="2423"/>
    </row>
    <row r="59426" spans="6:6">
      <c r="F59426" s="2423"/>
    </row>
    <row r="59427" spans="6:6">
      <c r="F59427" s="2423"/>
    </row>
    <row r="59428" spans="6:6">
      <c r="F59428" s="2423"/>
    </row>
    <row r="59429" spans="6:6">
      <c r="F59429" s="2423"/>
    </row>
    <row r="59430" spans="6:6">
      <c r="F59430" s="2423"/>
    </row>
    <row r="59431" spans="6:6">
      <c r="F59431" s="2423"/>
    </row>
    <row r="59432" spans="6:6">
      <c r="F59432" s="2423"/>
    </row>
    <row r="59433" spans="6:6">
      <c r="F59433" s="2423"/>
    </row>
    <row r="59434" spans="6:6">
      <c r="F59434" s="2423"/>
    </row>
    <row r="59435" spans="6:6">
      <c r="F59435" s="2423"/>
    </row>
    <row r="59436" spans="6:6">
      <c r="F59436" s="2423"/>
    </row>
    <row r="59437" spans="6:6">
      <c r="F59437" s="2423"/>
    </row>
    <row r="59438" spans="6:6">
      <c r="F59438" s="2423"/>
    </row>
    <row r="59439" spans="6:6">
      <c r="F59439" s="2423"/>
    </row>
    <row r="59440" spans="6:6">
      <c r="F59440" s="2423"/>
    </row>
    <row r="59441" spans="6:6">
      <c r="F59441" s="2423"/>
    </row>
    <row r="59442" spans="6:6">
      <c r="F59442" s="2423"/>
    </row>
    <row r="59443" spans="6:6">
      <c r="F59443" s="2423"/>
    </row>
    <row r="59444" spans="6:6">
      <c r="F59444" s="2423"/>
    </row>
    <row r="59445" spans="6:6">
      <c r="F59445" s="2423"/>
    </row>
    <row r="59446" spans="6:6">
      <c r="F59446" s="2423"/>
    </row>
    <row r="59447" spans="6:6">
      <c r="F59447" s="2423"/>
    </row>
    <row r="59448" spans="6:6">
      <c r="F59448" s="2423"/>
    </row>
    <row r="59449" spans="6:6">
      <c r="F59449" s="2423"/>
    </row>
    <row r="59450" spans="6:6">
      <c r="F59450" s="2423"/>
    </row>
    <row r="59451" spans="6:6">
      <c r="F59451" s="2423"/>
    </row>
    <row r="59452" spans="6:6">
      <c r="F59452" s="2423"/>
    </row>
    <row r="59453" spans="6:6">
      <c r="F59453" s="2423"/>
    </row>
    <row r="59454" spans="6:6">
      <c r="F59454" s="2423"/>
    </row>
    <row r="59455" spans="6:6">
      <c r="F59455" s="2423"/>
    </row>
    <row r="59456" spans="6:6">
      <c r="F59456" s="2423"/>
    </row>
    <row r="59457" spans="6:6">
      <c r="F59457" s="2423"/>
    </row>
    <row r="59458" spans="6:6">
      <c r="F59458" s="2423"/>
    </row>
    <row r="59459" spans="6:6">
      <c r="F59459" s="2423"/>
    </row>
    <row r="59460" spans="6:6">
      <c r="F59460" s="2423"/>
    </row>
    <row r="59461" spans="6:6">
      <c r="F59461" s="2423"/>
    </row>
    <row r="59462" spans="6:6">
      <c r="F59462" s="2423"/>
    </row>
    <row r="59463" spans="6:6">
      <c r="F59463" s="2423"/>
    </row>
    <row r="59464" spans="6:6">
      <c r="F59464" s="2423"/>
    </row>
    <row r="59465" spans="6:6">
      <c r="F59465" s="2423"/>
    </row>
    <row r="59466" spans="6:6">
      <c r="F59466" s="2423"/>
    </row>
    <row r="59467" spans="6:6">
      <c r="F59467" s="2423"/>
    </row>
    <row r="59468" spans="6:6">
      <c r="F59468" s="2423"/>
    </row>
    <row r="59469" spans="6:6">
      <c r="F59469" s="2423"/>
    </row>
    <row r="59470" spans="6:6">
      <c r="F59470" s="2423"/>
    </row>
    <row r="59471" spans="6:6">
      <c r="F59471" s="2423"/>
    </row>
    <row r="59472" spans="6:6">
      <c r="F59472" s="2423"/>
    </row>
    <row r="59473" spans="6:6">
      <c r="F59473" s="2423"/>
    </row>
    <row r="59474" spans="6:6">
      <c r="F59474" s="2423"/>
    </row>
    <row r="59475" spans="6:6">
      <c r="F59475" s="2423"/>
    </row>
    <row r="59476" spans="6:6">
      <c r="F59476" s="2423"/>
    </row>
    <row r="59477" spans="6:6">
      <c r="F59477" s="2423"/>
    </row>
    <row r="59478" spans="6:6">
      <c r="F59478" s="2423"/>
    </row>
    <row r="59479" spans="6:6">
      <c r="F59479" s="2423"/>
    </row>
    <row r="59480" spans="6:6">
      <c r="F59480" s="2423"/>
    </row>
    <row r="59481" spans="6:6">
      <c r="F59481" s="2423"/>
    </row>
    <row r="59482" spans="6:6">
      <c r="F59482" s="2423"/>
    </row>
    <row r="59483" spans="6:6">
      <c r="F59483" s="2423"/>
    </row>
    <row r="59484" spans="6:6">
      <c r="F59484" s="2423"/>
    </row>
    <row r="59485" spans="6:6">
      <c r="F59485" s="2423"/>
    </row>
    <row r="59486" spans="6:6">
      <c r="F59486" s="2423"/>
    </row>
    <row r="59487" spans="6:6">
      <c r="F59487" s="2423"/>
    </row>
    <row r="59488" spans="6:6">
      <c r="F59488" s="2423"/>
    </row>
    <row r="59489" spans="6:6">
      <c r="F59489" s="2423"/>
    </row>
    <row r="59490" spans="6:6">
      <c r="F59490" s="2423"/>
    </row>
    <row r="59491" spans="6:6">
      <c r="F59491" s="2423"/>
    </row>
    <row r="59492" spans="6:6">
      <c r="F59492" s="2423"/>
    </row>
    <row r="59493" spans="6:6">
      <c r="F59493" s="2423"/>
    </row>
    <row r="59494" spans="6:6">
      <c r="F59494" s="2423"/>
    </row>
    <row r="59495" spans="6:6">
      <c r="F59495" s="2423"/>
    </row>
    <row r="59496" spans="6:6">
      <c r="F59496" s="2423"/>
    </row>
    <row r="59497" spans="6:6">
      <c r="F59497" s="2423"/>
    </row>
    <row r="59498" spans="6:6">
      <c r="F59498" s="2423"/>
    </row>
    <row r="59499" spans="6:6">
      <c r="F59499" s="2423"/>
    </row>
    <row r="59500" spans="6:6">
      <c r="F59500" s="2423"/>
    </row>
    <row r="59501" spans="6:6">
      <c r="F59501" s="2423"/>
    </row>
    <row r="59502" spans="6:6">
      <c r="F59502" s="2423"/>
    </row>
    <row r="59503" spans="6:6">
      <c r="F59503" s="2423"/>
    </row>
    <row r="59504" spans="6:6">
      <c r="F59504" s="2423"/>
    </row>
    <row r="59505" spans="6:6">
      <c r="F59505" s="2423"/>
    </row>
    <row r="59506" spans="6:6">
      <c r="F59506" s="2423"/>
    </row>
    <row r="59507" spans="6:6">
      <c r="F59507" s="2423"/>
    </row>
    <row r="59508" spans="6:6">
      <c r="F59508" s="2423"/>
    </row>
    <row r="59509" spans="6:6">
      <c r="F59509" s="2423"/>
    </row>
    <row r="59510" spans="6:6">
      <c r="F59510" s="2423"/>
    </row>
    <row r="59511" spans="6:6">
      <c r="F59511" s="2423"/>
    </row>
    <row r="59512" spans="6:6">
      <c r="F59512" s="2423"/>
    </row>
    <row r="59513" spans="6:6">
      <c r="F59513" s="2423"/>
    </row>
    <row r="59514" spans="6:6">
      <c r="F59514" s="2423"/>
    </row>
    <row r="59515" spans="6:6">
      <c r="F59515" s="2423"/>
    </row>
    <row r="59516" spans="6:6">
      <c r="F59516" s="2423"/>
    </row>
    <row r="59517" spans="6:6">
      <c r="F59517" s="2423"/>
    </row>
    <row r="59518" spans="6:6">
      <c r="F59518" s="2423"/>
    </row>
    <row r="59519" spans="6:6">
      <c r="F59519" s="2423"/>
    </row>
    <row r="59520" spans="6:6">
      <c r="F59520" s="2423"/>
    </row>
    <row r="59521" spans="6:6">
      <c r="F59521" s="2423"/>
    </row>
    <row r="59522" spans="6:6">
      <c r="F59522" s="2423"/>
    </row>
    <row r="59523" spans="6:6">
      <c r="F59523" s="2423"/>
    </row>
    <row r="59524" spans="6:6">
      <c r="F59524" s="2423"/>
    </row>
    <row r="59525" spans="6:6">
      <c r="F59525" s="2423"/>
    </row>
    <row r="59526" spans="6:6">
      <c r="F59526" s="2423"/>
    </row>
    <row r="59527" spans="6:6">
      <c r="F59527" s="2423"/>
    </row>
    <row r="59528" spans="6:6">
      <c r="F59528" s="2423"/>
    </row>
    <row r="59529" spans="6:6">
      <c r="F59529" s="2423"/>
    </row>
    <row r="59530" spans="6:6">
      <c r="F59530" s="2423"/>
    </row>
    <row r="59531" spans="6:6">
      <c r="F59531" s="2423"/>
    </row>
    <row r="59532" spans="6:6">
      <c r="F59532" s="2423"/>
    </row>
    <row r="59533" spans="6:6">
      <c r="F59533" s="2423"/>
    </row>
    <row r="59534" spans="6:6">
      <c r="F59534" s="2423"/>
    </row>
    <row r="59535" spans="6:6">
      <c r="F59535" s="2423"/>
    </row>
    <row r="59536" spans="6:6">
      <c r="F59536" s="2423"/>
    </row>
    <row r="59537" spans="6:6">
      <c r="F59537" s="2423"/>
    </row>
    <row r="59538" spans="6:6">
      <c r="F59538" s="2423"/>
    </row>
    <row r="59539" spans="6:6">
      <c r="F59539" s="2423"/>
    </row>
    <row r="59540" spans="6:6">
      <c r="F59540" s="2423"/>
    </row>
    <row r="59541" spans="6:6">
      <c r="F59541" s="2423"/>
    </row>
    <row r="59542" spans="6:6">
      <c r="F59542" s="2423"/>
    </row>
    <row r="59543" spans="6:6">
      <c r="F59543" s="2423"/>
    </row>
    <row r="59544" spans="6:6">
      <c r="F59544" s="2423"/>
    </row>
    <row r="59545" spans="6:6">
      <c r="F59545" s="2423"/>
    </row>
    <row r="59546" spans="6:6">
      <c r="F59546" s="2423"/>
    </row>
    <row r="59547" spans="6:6">
      <c r="F59547" s="2423"/>
    </row>
    <row r="59548" spans="6:6">
      <c r="F59548" s="2423"/>
    </row>
    <row r="59549" spans="6:6">
      <c r="F59549" s="2423"/>
    </row>
    <row r="59550" spans="6:6">
      <c r="F59550" s="2423"/>
    </row>
    <row r="59551" spans="6:6">
      <c r="F59551" s="2423"/>
    </row>
    <row r="59552" spans="6:6">
      <c r="F59552" s="2423"/>
    </row>
    <row r="59553" spans="6:6">
      <c r="F59553" s="2423"/>
    </row>
    <row r="59554" spans="6:6">
      <c r="F59554" s="2423"/>
    </row>
    <row r="59555" spans="6:6">
      <c r="F59555" s="2423"/>
    </row>
    <row r="59556" spans="6:6">
      <c r="F59556" s="2423"/>
    </row>
    <row r="59557" spans="6:6">
      <c r="F59557" s="2423"/>
    </row>
    <row r="59558" spans="6:6">
      <c r="F59558" s="2423"/>
    </row>
    <row r="59559" spans="6:6">
      <c r="F59559" s="2423"/>
    </row>
    <row r="59560" spans="6:6">
      <c r="F59560" s="2423"/>
    </row>
    <row r="59561" spans="6:6">
      <c r="F59561" s="2423"/>
    </row>
    <row r="59562" spans="6:6">
      <c r="F59562" s="2423"/>
    </row>
    <row r="59563" spans="6:6">
      <c r="F59563" s="2423"/>
    </row>
    <row r="59564" spans="6:6">
      <c r="F59564" s="2423"/>
    </row>
    <row r="59565" spans="6:6">
      <c r="F59565" s="2423"/>
    </row>
    <row r="59566" spans="6:6">
      <c r="F59566" s="2423"/>
    </row>
    <row r="59567" spans="6:6">
      <c r="F59567" s="2423"/>
    </row>
    <row r="59568" spans="6:6">
      <c r="F59568" s="2423"/>
    </row>
    <row r="59569" spans="6:6">
      <c r="F59569" s="2423"/>
    </row>
    <row r="59570" spans="6:6">
      <c r="F59570" s="2423"/>
    </row>
    <row r="59571" spans="6:6">
      <c r="F59571" s="2423"/>
    </row>
    <row r="59572" spans="6:6">
      <c r="F59572" s="2423"/>
    </row>
    <row r="59573" spans="6:6">
      <c r="F59573" s="2423"/>
    </row>
    <row r="59574" spans="6:6">
      <c r="F59574" s="2423"/>
    </row>
    <row r="59575" spans="6:6">
      <c r="F59575" s="2423"/>
    </row>
    <row r="59576" spans="6:6">
      <c r="F59576" s="2423"/>
    </row>
    <row r="59577" spans="6:6">
      <c r="F59577" s="2423"/>
    </row>
    <row r="59578" spans="6:6">
      <c r="F59578" s="2423"/>
    </row>
    <row r="59579" spans="6:6">
      <c r="F59579" s="2423"/>
    </row>
    <row r="59580" spans="6:6">
      <c r="F59580" s="2423"/>
    </row>
    <row r="59581" spans="6:6">
      <c r="F59581" s="2423"/>
    </row>
    <row r="59582" spans="6:6">
      <c r="F59582" s="2423"/>
    </row>
    <row r="59583" spans="6:6">
      <c r="F59583" s="2423"/>
    </row>
    <row r="59584" spans="6:6">
      <c r="F59584" s="2423"/>
    </row>
    <row r="59585" spans="6:6">
      <c r="F59585" s="2423"/>
    </row>
    <row r="59586" spans="6:6">
      <c r="F59586" s="2423"/>
    </row>
    <row r="59587" spans="6:6">
      <c r="F59587" s="2423"/>
    </row>
    <row r="59588" spans="6:6">
      <c r="F59588" s="2423"/>
    </row>
    <row r="59589" spans="6:6">
      <c r="F59589" s="2423"/>
    </row>
    <row r="59590" spans="6:6">
      <c r="F59590" s="2423"/>
    </row>
    <row r="59591" spans="6:6">
      <c r="F59591" s="2423"/>
    </row>
    <row r="59592" spans="6:6">
      <c r="F59592" s="2423"/>
    </row>
    <row r="59593" spans="6:6">
      <c r="F59593" s="2423"/>
    </row>
    <row r="59594" spans="6:6">
      <c r="F59594" s="2423"/>
    </row>
    <row r="59595" spans="6:6">
      <c r="F59595" s="2423"/>
    </row>
    <row r="59596" spans="6:6">
      <c r="F59596" s="2423"/>
    </row>
    <row r="59597" spans="6:6">
      <c r="F59597" s="2423"/>
    </row>
    <row r="59598" spans="6:6">
      <c r="F59598" s="2423"/>
    </row>
    <row r="59599" spans="6:6">
      <c r="F59599" s="2423"/>
    </row>
    <row r="59600" spans="6:6">
      <c r="F59600" s="2423"/>
    </row>
    <row r="59601" spans="6:6">
      <c r="F59601" s="2423"/>
    </row>
    <row r="59602" spans="6:6">
      <c r="F59602" s="2423"/>
    </row>
    <row r="59603" spans="6:6">
      <c r="F59603" s="2423"/>
    </row>
    <row r="59604" spans="6:6">
      <c r="F59604" s="2423"/>
    </row>
    <row r="59605" spans="6:6">
      <c r="F59605" s="2423"/>
    </row>
    <row r="59606" spans="6:6">
      <c r="F59606" s="2423"/>
    </row>
    <row r="59607" spans="6:6">
      <c r="F59607" s="2423"/>
    </row>
    <row r="59608" spans="6:6">
      <c r="F59608" s="2423"/>
    </row>
    <row r="59609" spans="6:6">
      <c r="F59609" s="2423"/>
    </row>
    <row r="59610" spans="6:6">
      <c r="F59610" s="2423"/>
    </row>
    <row r="59611" spans="6:6">
      <c r="F59611" s="2423"/>
    </row>
    <row r="59612" spans="6:6">
      <c r="F59612" s="2423"/>
    </row>
    <row r="59613" spans="6:6">
      <c r="F59613" s="2423"/>
    </row>
    <row r="59614" spans="6:6">
      <c r="F59614" s="2423"/>
    </row>
    <row r="59615" spans="6:6">
      <c r="F59615" s="2423"/>
    </row>
    <row r="59616" spans="6:6">
      <c r="F59616" s="2423"/>
    </row>
    <row r="59617" spans="6:6">
      <c r="F59617" s="2423"/>
    </row>
    <row r="59618" spans="6:6">
      <c r="F59618" s="2423"/>
    </row>
    <row r="59619" spans="6:6">
      <c r="F59619" s="2423"/>
    </row>
    <row r="59620" spans="6:6">
      <c r="F59620" s="2423"/>
    </row>
    <row r="59621" spans="6:6">
      <c r="F59621" s="2423"/>
    </row>
    <row r="59622" spans="6:6">
      <c r="F59622" s="2423"/>
    </row>
    <row r="59623" spans="6:6">
      <c r="F59623" s="2423"/>
    </row>
    <row r="59624" spans="6:6">
      <c r="F59624" s="2423"/>
    </row>
    <row r="59625" spans="6:6">
      <c r="F59625" s="2423"/>
    </row>
    <row r="59626" spans="6:6">
      <c r="F59626" s="2423"/>
    </row>
    <row r="59627" spans="6:6">
      <c r="F59627" s="2423"/>
    </row>
    <row r="59628" spans="6:6">
      <c r="F59628" s="2423"/>
    </row>
    <row r="59629" spans="6:6">
      <c r="F59629" s="2423"/>
    </row>
    <row r="59630" spans="6:6">
      <c r="F59630" s="2423"/>
    </row>
    <row r="59631" spans="6:6">
      <c r="F59631" s="2423"/>
    </row>
    <row r="59632" spans="6:6">
      <c r="F59632" s="2423"/>
    </row>
    <row r="59633" spans="6:6">
      <c r="F59633" s="2423"/>
    </row>
    <row r="59634" spans="6:6">
      <c r="F59634" s="2423"/>
    </row>
    <row r="59635" spans="6:6">
      <c r="F59635" s="2423"/>
    </row>
    <row r="59636" spans="6:6">
      <c r="F59636" s="2423"/>
    </row>
    <row r="59637" spans="6:6">
      <c r="F59637" s="2423"/>
    </row>
    <row r="59638" spans="6:6">
      <c r="F59638" s="2423"/>
    </row>
    <row r="59639" spans="6:6">
      <c r="F59639" s="2423"/>
    </row>
    <row r="59640" spans="6:6">
      <c r="F59640" s="2423"/>
    </row>
    <row r="59641" spans="6:6">
      <c r="F59641" s="2423"/>
    </row>
    <row r="59642" spans="6:6">
      <c r="F59642" s="2423"/>
    </row>
    <row r="59643" spans="6:6">
      <c r="F59643" s="2423"/>
    </row>
    <row r="59644" spans="6:6">
      <c r="F59644" s="2423"/>
    </row>
    <row r="59645" spans="6:6">
      <c r="F59645" s="2423"/>
    </row>
    <row r="59646" spans="6:6">
      <c r="F59646" s="2423"/>
    </row>
    <row r="59647" spans="6:6">
      <c r="F59647" s="2423"/>
    </row>
    <row r="59648" spans="6:6">
      <c r="F59648" s="2423"/>
    </row>
    <row r="59649" spans="6:6">
      <c r="F59649" s="2423"/>
    </row>
    <row r="59650" spans="6:6">
      <c r="F59650" s="2423"/>
    </row>
    <row r="59651" spans="6:6">
      <c r="F59651" s="2423"/>
    </row>
    <row r="59652" spans="6:6">
      <c r="F59652" s="2423"/>
    </row>
    <row r="59653" spans="6:6">
      <c r="F59653" s="2423"/>
    </row>
    <row r="59654" spans="6:6">
      <c r="F59654" s="2423"/>
    </row>
    <row r="59655" spans="6:6">
      <c r="F59655" s="2423"/>
    </row>
    <row r="59656" spans="6:6">
      <c r="F59656" s="2423"/>
    </row>
    <row r="59657" spans="6:6">
      <c r="F59657" s="2423"/>
    </row>
    <row r="59658" spans="6:6">
      <c r="F59658" s="2423"/>
    </row>
    <row r="59659" spans="6:6">
      <c r="F59659" s="2423"/>
    </row>
    <row r="59660" spans="6:6">
      <c r="F59660" s="2423"/>
    </row>
    <row r="59661" spans="6:6">
      <c r="F59661" s="2423"/>
    </row>
    <row r="59662" spans="6:6">
      <c r="F59662" s="2423"/>
    </row>
    <row r="59663" spans="6:6">
      <c r="F59663" s="2423"/>
    </row>
    <row r="59664" spans="6:6">
      <c r="F59664" s="2423"/>
    </row>
    <row r="59665" spans="6:6">
      <c r="F59665" s="2423"/>
    </row>
    <row r="59666" spans="6:6">
      <c r="F59666" s="2423"/>
    </row>
    <row r="59667" spans="6:6">
      <c r="F59667" s="2423"/>
    </row>
    <row r="59668" spans="6:6">
      <c r="F59668" s="2423"/>
    </row>
    <row r="59669" spans="6:6">
      <c r="F59669" s="2423"/>
    </row>
    <row r="59670" spans="6:6">
      <c r="F59670" s="2423"/>
    </row>
    <row r="59671" spans="6:6">
      <c r="F59671" s="2423"/>
    </row>
    <row r="59672" spans="6:6">
      <c r="F59672" s="2423"/>
    </row>
    <row r="59673" spans="6:6">
      <c r="F59673" s="2423"/>
    </row>
    <row r="59674" spans="6:6">
      <c r="F59674" s="2423"/>
    </row>
    <row r="59675" spans="6:6">
      <c r="F59675" s="2423"/>
    </row>
    <row r="59676" spans="6:6">
      <c r="F59676" s="2423"/>
    </row>
    <row r="59677" spans="6:6">
      <c r="F59677" s="2423"/>
    </row>
    <row r="59678" spans="6:6">
      <c r="F59678" s="2423"/>
    </row>
    <row r="59679" spans="6:6">
      <c r="F59679" s="2423"/>
    </row>
    <row r="59680" spans="6:6">
      <c r="F59680" s="2423"/>
    </row>
    <row r="59681" spans="6:6">
      <c r="F59681" s="2423"/>
    </row>
    <row r="59682" spans="6:6">
      <c r="F59682" s="2423"/>
    </row>
    <row r="59683" spans="6:6">
      <c r="F59683" s="2423"/>
    </row>
    <row r="59684" spans="6:6">
      <c r="F59684" s="2423"/>
    </row>
    <row r="59685" spans="6:6">
      <c r="F59685" s="2423"/>
    </row>
    <row r="59686" spans="6:6">
      <c r="F59686" s="2423"/>
    </row>
    <row r="59687" spans="6:6">
      <c r="F59687" s="2423"/>
    </row>
    <row r="59688" spans="6:6">
      <c r="F59688" s="2423"/>
    </row>
    <row r="59689" spans="6:6">
      <c r="F59689" s="2423"/>
    </row>
    <row r="59690" spans="6:6">
      <c r="F59690" s="2423"/>
    </row>
    <row r="59691" spans="6:6">
      <c r="F59691" s="2423"/>
    </row>
    <row r="59692" spans="6:6">
      <c r="F59692" s="2423"/>
    </row>
    <row r="59693" spans="6:6">
      <c r="F59693" s="2423"/>
    </row>
    <row r="59694" spans="6:6">
      <c r="F59694" s="2423"/>
    </row>
    <row r="59695" spans="6:6">
      <c r="F59695" s="2423"/>
    </row>
    <row r="59696" spans="6:6">
      <c r="F59696" s="2423"/>
    </row>
    <row r="59697" spans="6:6">
      <c r="F59697" s="2423"/>
    </row>
    <row r="59698" spans="6:6">
      <c r="F59698" s="2423"/>
    </row>
    <row r="59699" spans="6:6">
      <c r="F59699" s="2423"/>
    </row>
    <row r="59700" spans="6:6">
      <c r="F59700" s="2423"/>
    </row>
    <row r="59701" spans="6:6">
      <c r="F59701" s="2423"/>
    </row>
    <row r="59702" spans="6:6">
      <c r="F59702" s="2423"/>
    </row>
    <row r="59703" spans="6:6">
      <c r="F59703" s="2423"/>
    </row>
    <row r="59704" spans="6:6">
      <c r="F59704" s="2423"/>
    </row>
    <row r="59705" spans="6:6">
      <c r="F59705" s="2423"/>
    </row>
    <row r="59706" spans="6:6">
      <c r="F59706" s="2423"/>
    </row>
    <row r="59707" spans="6:6">
      <c r="F59707" s="2423"/>
    </row>
    <row r="59708" spans="6:6">
      <c r="F59708" s="2423"/>
    </row>
    <row r="59709" spans="6:6">
      <c r="F59709" s="2423"/>
    </row>
    <row r="59710" spans="6:6">
      <c r="F59710" s="2423"/>
    </row>
    <row r="59711" spans="6:6">
      <c r="F59711" s="2423"/>
    </row>
    <row r="59712" spans="6:6">
      <c r="F59712" s="2423"/>
    </row>
    <row r="59713" spans="6:6">
      <c r="F59713" s="2423"/>
    </row>
    <row r="59714" spans="6:6">
      <c r="F59714" s="2423"/>
    </row>
    <row r="59715" spans="6:6">
      <c r="F59715" s="2423"/>
    </row>
    <row r="59716" spans="6:6">
      <c r="F59716" s="2423"/>
    </row>
    <row r="59717" spans="6:6">
      <c r="F59717" s="2423"/>
    </row>
    <row r="59718" spans="6:6">
      <c r="F59718" s="2423"/>
    </row>
    <row r="59719" spans="6:6">
      <c r="F59719" s="2423"/>
    </row>
    <row r="59720" spans="6:6">
      <c r="F59720" s="2423"/>
    </row>
    <row r="59721" spans="6:6">
      <c r="F59721" s="2423"/>
    </row>
    <row r="59722" spans="6:6">
      <c r="F59722" s="2423"/>
    </row>
    <row r="59723" spans="6:6">
      <c r="F59723" s="2423"/>
    </row>
    <row r="59724" spans="6:6">
      <c r="F59724" s="2423"/>
    </row>
    <row r="59725" spans="6:6">
      <c r="F59725" s="2423"/>
    </row>
    <row r="59726" spans="6:6">
      <c r="F59726" s="2423"/>
    </row>
    <row r="59727" spans="6:6">
      <c r="F59727" s="2423"/>
    </row>
    <row r="59728" spans="6:6">
      <c r="F59728" s="2423"/>
    </row>
    <row r="59729" spans="6:6">
      <c r="F59729" s="2423"/>
    </row>
    <row r="59730" spans="6:6">
      <c r="F59730" s="2423"/>
    </row>
    <row r="59731" spans="6:6">
      <c r="F59731" s="2423"/>
    </row>
    <row r="59732" spans="6:6">
      <c r="F59732" s="2423"/>
    </row>
    <row r="59733" spans="6:6">
      <c r="F59733" s="2423"/>
    </row>
    <row r="59734" spans="6:6">
      <c r="F59734" s="2423"/>
    </row>
    <row r="59735" spans="6:6">
      <c r="F59735" s="2423"/>
    </row>
    <row r="59736" spans="6:6">
      <c r="F59736" s="2423"/>
    </row>
    <row r="59737" spans="6:6">
      <c r="F59737" s="2423"/>
    </row>
    <row r="59738" spans="6:6">
      <c r="F59738" s="2423"/>
    </row>
    <row r="59739" spans="6:6">
      <c r="F59739" s="2423"/>
    </row>
    <row r="59740" spans="6:6">
      <c r="F59740" s="2423"/>
    </row>
    <row r="59741" spans="6:6">
      <c r="F59741" s="2423"/>
    </row>
    <row r="59742" spans="6:6">
      <c r="F59742" s="2423"/>
    </row>
    <row r="59743" spans="6:6">
      <c r="F59743" s="2423"/>
    </row>
    <row r="59744" spans="6:6">
      <c r="F59744" s="2423"/>
    </row>
    <row r="59745" spans="6:6">
      <c r="F59745" s="2423"/>
    </row>
    <row r="59746" spans="6:6">
      <c r="F59746" s="2423"/>
    </row>
    <row r="59747" spans="6:6">
      <c r="F59747" s="2423"/>
    </row>
    <row r="59748" spans="6:6">
      <c r="F59748" s="2423"/>
    </row>
    <row r="59749" spans="6:6">
      <c r="F59749" s="2423"/>
    </row>
    <row r="59750" spans="6:6">
      <c r="F59750" s="2423"/>
    </row>
    <row r="59751" spans="6:6">
      <c r="F59751" s="2423"/>
    </row>
    <row r="59752" spans="6:6">
      <c r="F59752" s="2423"/>
    </row>
    <row r="59753" spans="6:6">
      <c r="F59753" s="2423"/>
    </row>
    <row r="59754" spans="6:6">
      <c r="F59754" s="2423"/>
    </row>
    <row r="59755" spans="6:6">
      <c r="F59755" s="2423"/>
    </row>
    <row r="59756" spans="6:6">
      <c r="F59756" s="2423"/>
    </row>
    <row r="59757" spans="6:6">
      <c r="F59757" s="2423"/>
    </row>
    <row r="59758" spans="6:6">
      <c r="F59758" s="2423"/>
    </row>
    <row r="59759" spans="6:6">
      <c r="F59759" s="2423"/>
    </row>
    <row r="59760" spans="6:6">
      <c r="F59760" s="2423"/>
    </row>
    <row r="59761" spans="6:6">
      <c r="F59761" s="2423"/>
    </row>
    <row r="59762" spans="6:6">
      <c r="F59762" s="2423"/>
    </row>
    <row r="59763" spans="6:6">
      <c r="F59763" s="2423"/>
    </row>
    <row r="59764" spans="6:6">
      <c r="F59764" s="2423"/>
    </row>
    <row r="59765" spans="6:6">
      <c r="F59765" s="2423"/>
    </row>
    <row r="59766" spans="6:6">
      <c r="F59766" s="2423"/>
    </row>
    <row r="59767" spans="6:6">
      <c r="F59767" s="2423"/>
    </row>
    <row r="59768" spans="6:6">
      <c r="F59768" s="2423"/>
    </row>
    <row r="59769" spans="6:6">
      <c r="F59769" s="2423"/>
    </row>
    <row r="59770" spans="6:6">
      <c r="F59770" s="2423"/>
    </row>
    <row r="59771" spans="6:6">
      <c r="F59771" s="2423"/>
    </row>
    <row r="59772" spans="6:6">
      <c r="F59772" s="2423"/>
    </row>
    <row r="59773" spans="6:6">
      <c r="F59773" s="2423"/>
    </row>
    <row r="59774" spans="6:6">
      <c r="F59774" s="2423"/>
    </row>
    <row r="59775" spans="6:6">
      <c r="F59775" s="2423"/>
    </row>
    <row r="59776" spans="6:6">
      <c r="F59776" s="2423"/>
    </row>
    <row r="59777" spans="6:6">
      <c r="F59777" s="2423"/>
    </row>
    <row r="59778" spans="6:6">
      <c r="F59778" s="2423"/>
    </row>
    <row r="59779" spans="6:6">
      <c r="F59779" s="2423"/>
    </row>
    <row r="59780" spans="6:6">
      <c r="F59780" s="2423"/>
    </row>
    <row r="59781" spans="6:6">
      <c r="F59781" s="2423"/>
    </row>
    <row r="59782" spans="6:6">
      <c r="F59782" s="2423"/>
    </row>
    <row r="59783" spans="6:6">
      <c r="F59783" s="2423"/>
    </row>
    <row r="59784" spans="6:6">
      <c r="F59784" s="2423"/>
    </row>
    <row r="59785" spans="6:6">
      <c r="F59785" s="2423"/>
    </row>
    <row r="59786" spans="6:6">
      <c r="F59786" s="2423"/>
    </row>
    <row r="59787" spans="6:6">
      <c r="F59787" s="2423"/>
    </row>
    <row r="59788" spans="6:6">
      <c r="F59788" s="2423"/>
    </row>
    <row r="59789" spans="6:6">
      <c r="F59789" s="2423"/>
    </row>
    <row r="59790" spans="6:6">
      <c r="F59790" s="2423"/>
    </row>
    <row r="59791" spans="6:6">
      <c r="F59791" s="2423"/>
    </row>
    <row r="59792" spans="6:6">
      <c r="F59792" s="2423"/>
    </row>
    <row r="59793" spans="6:6">
      <c r="F59793" s="2423"/>
    </row>
    <row r="59794" spans="6:6">
      <c r="F59794" s="2423"/>
    </row>
    <row r="59795" spans="6:6">
      <c r="F59795" s="2423"/>
    </row>
    <row r="59796" spans="6:6">
      <c r="F59796" s="2423"/>
    </row>
    <row r="59797" spans="6:6">
      <c r="F59797" s="2423"/>
    </row>
    <row r="59798" spans="6:6">
      <c r="F59798" s="2423"/>
    </row>
    <row r="59799" spans="6:6">
      <c r="F59799" s="2423"/>
    </row>
    <row r="59800" spans="6:6">
      <c r="F59800" s="2423"/>
    </row>
    <row r="59801" spans="6:6">
      <c r="F59801" s="2423"/>
    </row>
    <row r="59802" spans="6:6">
      <c r="F59802" s="2423"/>
    </row>
    <row r="59803" spans="6:6">
      <c r="F59803" s="2423"/>
    </row>
    <row r="59804" spans="6:6">
      <c r="F59804" s="2423"/>
    </row>
    <row r="59805" spans="6:6">
      <c r="F59805" s="2423"/>
    </row>
    <row r="59806" spans="6:6">
      <c r="F59806" s="2423"/>
    </row>
    <row r="59807" spans="6:6">
      <c r="F59807" s="2423"/>
    </row>
    <row r="59808" spans="6:6">
      <c r="F59808" s="2423"/>
    </row>
    <row r="59809" spans="6:6">
      <c r="F59809" s="2423"/>
    </row>
    <row r="59810" spans="6:6">
      <c r="F59810" s="2423"/>
    </row>
    <row r="59811" spans="6:6">
      <c r="F59811" s="2423"/>
    </row>
    <row r="59812" spans="6:6">
      <c r="F59812" s="2423"/>
    </row>
    <row r="59813" spans="6:6">
      <c r="F59813" s="2423"/>
    </row>
    <row r="59814" spans="6:6">
      <c r="F59814" s="2423"/>
    </row>
    <row r="59815" spans="6:6">
      <c r="F59815" s="2423"/>
    </row>
    <row r="59816" spans="6:6">
      <c r="F59816" s="2423"/>
    </row>
    <row r="59817" spans="6:6">
      <c r="F59817" s="2423"/>
    </row>
    <row r="59818" spans="6:6">
      <c r="F59818" s="2423"/>
    </row>
    <row r="59819" spans="6:6">
      <c r="F59819" s="2423"/>
    </row>
    <row r="59820" spans="6:6">
      <c r="F59820" s="2423"/>
    </row>
    <row r="59821" spans="6:6">
      <c r="F59821" s="2423"/>
    </row>
    <row r="59822" spans="6:6">
      <c r="F59822" s="2423"/>
    </row>
    <row r="59823" spans="6:6">
      <c r="F59823" s="2423"/>
    </row>
    <row r="59824" spans="6:6">
      <c r="F59824" s="2423"/>
    </row>
    <row r="59825" spans="6:6">
      <c r="F59825" s="2423"/>
    </row>
    <row r="59826" spans="6:6">
      <c r="F59826" s="2423"/>
    </row>
    <row r="59827" spans="6:6">
      <c r="F59827" s="2423"/>
    </row>
    <row r="59828" spans="6:6">
      <c r="F59828" s="2423"/>
    </row>
    <row r="59829" spans="6:6">
      <c r="F59829" s="2423"/>
    </row>
    <row r="59830" spans="6:6">
      <c r="F59830" s="2423"/>
    </row>
    <row r="59831" spans="6:6">
      <c r="F59831" s="2423"/>
    </row>
    <row r="59832" spans="6:6">
      <c r="F59832" s="2423"/>
    </row>
    <row r="59833" spans="6:6">
      <c r="F59833" s="2423"/>
    </row>
    <row r="59834" spans="6:6">
      <c r="F59834" s="2423"/>
    </row>
    <row r="59835" spans="6:6">
      <c r="F59835" s="2423"/>
    </row>
    <row r="59836" spans="6:6">
      <c r="F59836" s="2423"/>
    </row>
    <row r="59837" spans="6:6">
      <c r="F59837" s="2423"/>
    </row>
    <row r="59838" spans="6:6">
      <c r="F59838" s="2423"/>
    </row>
    <row r="59839" spans="6:6">
      <c r="F59839" s="2423"/>
    </row>
    <row r="59840" spans="6:6">
      <c r="F59840" s="2423"/>
    </row>
    <row r="59841" spans="6:6">
      <c r="F59841" s="2423"/>
    </row>
    <row r="59842" spans="6:6">
      <c r="F59842" s="2423"/>
    </row>
    <row r="59843" spans="6:6">
      <c r="F59843" s="2423"/>
    </row>
    <row r="59844" spans="6:6">
      <c r="F59844" s="2423"/>
    </row>
    <row r="59845" spans="6:6">
      <c r="F59845" s="2423"/>
    </row>
    <row r="59846" spans="6:6">
      <c r="F59846" s="2423"/>
    </row>
    <row r="59847" spans="6:6">
      <c r="F59847" s="2423"/>
    </row>
    <row r="59848" spans="6:6">
      <c r="F59848" s="2423"/>
    </row>
    <row r="59849" spans="6:6">
      <c r="F59849" s="2423"/>
    </row>
    <row r="59850" spans="6:6">
      <c r="F59850" s="2423"/>
    </row>
    <row r="59851" spans="6:6">
      <c r="F59851" s="2423"/>
    </row>
    <row r="59852" spans="6:6">
      <c r="F59852" s="2423"/>
    </row>
    <row r="59853" spans="6:6">
      <c r="F59853" s="2423"/>
    </row>
    <row r="59854" spans="6:6">
      <c r="F59854" s="2423"/>
    </row>
    <row r="59855" spans="6:6">
      <c r="F59855" s="2423"/>
    </row>
    <row r="59856" spans="6:6">
      <c r="F59856" s="2423"/>
    </row>
    <row r="59857" spans="6:6">
      <c r="F59857" s="2423"/>
    </row>
    <row r="59858" spans="6:6">
      <c r="F59858" s="2423"/>
    </row>
    <row r="59859" spans="6:6">
      <c r="F59859" s="2423"/>
    </row>
    <row r="59860" spans="6:6">
      <c r="F59860" s="2423"/>
    </row>
    <row r="59861" spans="6:6">
      <c r="F59861" s="2423"/>
    </row>
    <row r="59862" spans="6:6">
      <c r="F59862" s="2423"/>
    </row>
    <row r="59863" spans="6:6">
      <c r="F59863" s="2423"/>
    </row>
    <row r="59864" spans="6:6">
      <c r="F59864" s="2423"/>
    </row>
    <row r="59865" spans="6:6">
      <c r="F59865" s="2423"/>
    </row>
    <row r="59866" spans="6:6">
      <c r="F59866" s="2423"/>
    </row>
    <row r="59867" spans="6:6">
      <c r="F59867" s="2423"/>
    </row>
    <row r="59868" spans="6:6">
      <c r="F59868" s="2423"/>
    </row>
    <row r="59869" spans="6:6">
      <c r="F59869" s="2423"/>
    </row>
    <row r="59870" spans="6:6">
      <c r="F59870" s="2423"/>
    </row>
    <row r="59871" spans="6:6">
      <c r="F59871" s="2423"/>
    </row>
    <row r="59872" spans="6:6">
      <c r="F59872" s="2423"/>
    </row>
    <row r="59873" spans="6:6">
      <c r="F59873" s="2423"/>
    </row>
    <row r="59874" spans="6:6">
      <c r="F59874" s="2423"/>
    </row>
    <row r="59875" spans="6:6">
      <c r="F59875" s="2423"/>
    </row>
    <row r="59876" spans="6:6">
      <c r="F59876" s="2423"/>
    </row>
    <row r="59877" spans="6:6">
      <c r="F59877" s="2423"/>
    </row>
    <row r="59878" spans="6:6">
      <c r="F59878" s="2423"/>
    </row>
    <row r="59879" spans="6:6">
      <c r="F59879" s="2423"/>
    </row>
    <row r="59880" spans="6:6">
      <c r="F59880" s="2423"/>
    </row>
    <row r="59881" spans="6:6">
      <c r="F59881" s="2423"/>
    </row>
    <row r="59882" spans="6:6">
      <c r="F59882" s="2423"/>
    </row>
    <row r="59883" spans="6:6">
      <c r="F59883" s="2423"/>
    </row>
    <row r="59884" spans="6:6">
      <c r="F59884" s="2423"/>
    </row>
    <row r="59885" spans="6:6">
      <c r="F59885" s="2423"/>
    </row>
    <row r="59886" spans="6:6">
      <c r="F59886" s="2423"/>
    </row>
    <row r="59887" spans="6:6">
      <c r="F59887" s="2423"/>
    </row>
    <row r="59888" spans="6:6">
      <c r="F59888" s="2423"/>
    </row>
    <row r="59889" spans="6:6">
      <c r="F59889" s="2423"/>
    </row>
    <row r="59890" spans="6:6">
      <c r="F59890" s="2423"/>
    </row>
    <row r="59891" spans="6:6">
      <c r="F59891" s="2423"/>
    </row>
    <row r="59892" spans="6:6">
      <c r="F59892" s="2423"/>
    </row>
    <row r="59893" spans="6:6">
      <c r="F59893" s="2423"/>
    </row>
    <row r="59894" spans="6:6">
      <c r="F59894" s="2423"/>
    </row>
    <row r="59895" spans="6:6">
      <c r="F59895" s="2423"/>
    </row>
    <row r="59896" spans="6:6">
      <c r="F59896" s="2423"/>
    </row>
    <row r="59897" spans="6:6">
      <c r="F59897" s="2423"/>
    </row>
    <row r="59898" spans="6:6">
      <c r="F59898" s="2423"/>
    </row>
    <row r="59899" spans="6:6">
      <c r="F59899" s="2423"/>
    </row>
    <row r="59900" spans="6:6">
      <c r="F59900" s="2423"/>
    </row>
    <row r="59901" spans="6:6">
      <c r="F59901" s="2423"/>
    </row>
    <row r="59902" spans="6:6">
      <c r="F59902" s="2423"/>
    </row>
    <row r="59903" spans="6:6">
      <c r="F59903" s="2423"/>
    </row>
    <row r="59904" spans="6:6">
      <c r="F59904" s="2423"/>
    </row>
    <row r="59905" spans="6:6">
      <c r="F59905" s="2423"/>
    </row>
    <row r="59906" spans="6:6">
      <c r="F59906" s="2423"/>
    </row>
    <row r="59907" spans="6:6">
      <c r="F59907" s="2423"/>
    </row>
    <row r="59908" spans="6:6">
      <c r="F59908" s="2423"/>
    </row>
    <row r="59909" spans="6:6">
      <c r="F59909" s="2423"/>
    </row>
    <row r="59910" spans="6:6">
      <c r="F59910" s="2423"/>
    </row>
    <row r="59911" spans="6:6">
      <c r="F59911" s="2423"/>
    </row>
    <row r="59912" spans="6:6">
      <c r="F59912" s="2423"/>
    </row>
    <row r="59913" spans="6:6">
      <c r="F59913" s="2423"/>
    </row>
    <row r="59914" spans="6:6">
      <c r="F59914" s="2423"/>
    </row>
    <row r="59915" spans="6:6">
      <c r="F59915" s="2423"/>
    </row>
    <row r="59916" spans="6:6">
      <c r="F59916" s="2423"/>
    </row>
    <row r="59917" spans="6:6">
      <c r="F59917" s="2423"/>
    </row>
    <row r="59918" spans="6:6">
      <c r="F59918" s="2423"/>
    </row>
    <row r="59919" spans="6:6">
      <c r="F59919" s="2423"/>
    </row>
    <row r="59920" spans="6:6">
      <c r="F59920" s="2423"/>
    </row>
    <row r="59921" spans="6:6">
      <c r="F59921" s="2423"/>
    </row>
    <row r="59922" spans="6:6">
      <c r="F59922" s="2423"/>
    </row>
    <row r="59923" spans="6:6">
      <c r="F59923" s="2423"/>
    </row>
    <row r="59924" spans="6:6">
      <c r="F59924" s="2423"/>
    </row>
    <row r="59925" spans="6:6">
      <c r="F59925" s="2423"/>
    </row>
    <row r="59926" spans="6:6">
      <c r="F59926" s="2423"/>
    </row>
    <row r="59927" spans="6:6">
      <c r="F59927" s="2423"/>
    </row>
    <row r="59928" spans="6:6">
      <c r="F59928" s="2423"/>
    </row>
    <row r="59929" spans="6:6">
      <c r="F59929" s="2423"/>
    </row>
    <row r="59930" spans="6:6">
      <c r="F59930" s="2423"/>
    </row>
    <row r="59931" spans="6:6">
      <c r="F59931" s="2423"/>
    </row>
    <row r="59932" spans="6:6">
      <c r="F59932" s="2423"/>
    </row>
    <row r="59933" spans="6:6">
      <c r="F59933" s="2423"/>
    </row>
    <row r="59934" spans="6:6">
      <c r="F59934" s="2423"/>
    </row>
    <row r="59935" spans="6:6">
      <c r="F59935" s="2423"/>
    </row>
    <row r="59936" spans="6:6">
      <c r="F59936" s="2423"/>
    </row>
    <row r="59937" spans="6:6">
      <c r="F59937" s="2423"/>
    </row>
    <row r="59938" spans="6:6">
      <c r="F59938" s="2423"/>
    </row>
    <row r="59939" spans="6:6">
      <c r="F59939" s="2423"/>
    </row>
    <row r="59940" spans="6:6">
      <c r="F59940" s="2423"/>
    </row>
    <row r="59941" spans="6:6">
      <c r="F59941" s="2423"/>
    </row>
    <row r="59942" spans="6:6">
      <c r="F59942" s="2423"/>
    </row>
    <row r="59943" spans="6:6">
      <c r="F59943" s="2423"/>
    </row>
    <row r="59944" spans="6:6">
      <c r="F59944" s="2423"/>
    </row>
    <row r="59945" spans="6:6">
      <c r="F59945" s="2423"/>
    </row>
    <row r="59946" spans="6:6">
      <c r="F59946" s="2423"/>
    </row>
    <row r="59947" spans="6:6">
      <c r="F59947" s="2423"/>
    </row>
    <row r="59948" spans="6:6">
      <c r="F59948" s="2423"/>
    </row>
    <row r="59949" spans="6:6">
      <c r="F59949" s="2423"/>
    </row>
    <row r="59950" spans="6:6">
      <c r="F59950" s="2423"/>
    </row>
    <row r="59951" spans="6:6">
      <c r="F59951" s="2423"/>
    </row>
    <row r="59952" spans="6:6">
      <c r="F59952" s="2423"/>
    </row>
    <row r="59953" spans="6:6">
      <c r="F59953" s="2423"/>
    </row>
    <row r="59954" spans="6:6">
      <c r="F59954" s="2423"/>
    </row>
    <row r="59955" spans="6:6">
      <c r="F59955" s="2423"/>
    </row>
    <row r="59956" spans="6:6">
      <c r="F59956" s="2423"/>
    </row>
    <row r="59957" spans="6:6">
      <c r="F59957" s="2423"/>
    </row>
    <row r="59958" spans="6:6">
      <c r="F59958" s="2423"/>
    </row>
    <row r="59959" spans="6:6">
      <c r="F59959" s="2423"/>
    </row>
    <row r="59960" spans="6:6">
      <c r="F59960" s="2423"/>
    </row>
    <row r="59961" spans="6:6">
      <c r="F59961" s="2423"/>
    </row>
    <row r="59962" spans="6:6">
      <c r="F59962" s="2423"/>
    </row>
    <row r="59963" spans="6:6">
      <c r="F59963" s="2423"/>
    </row>
    <row r="59964" spans="6:6">
      <c r="F59964" s="2423"/>
    </row>
    <row r="59965" spans="6:6">
      <c r="F59965" s="2423"/>
    </row>
    <row r="59966" spans="6:6">
      <c r="F59966" s="2423"/>
    </row>
    <row r="59967" spans="6:6">
      <c r="F59967" s="2423"/>
    </row>
    <row r="59968" spans="6:6">
      <c r="F59968" s="2423"/>
    </row>
    <row r="59969" spans="6:6">
      <c r="F59969" s="2423"/>
    </row>
    <row r="59970" spans="6:6">
      <c r="F59970" s="2423"/>
    </row>
    <row r="59971" spans="6:6">
      <c r="F59971" s="2423"/>
    </row>
    <row r="59972" spans="6:6">
      <c r="F59972" s="2423"/>
    </row>
    <row r="59973" spans="6:6">
      <c r="F59973" s="2423"/>
    </row>
    <row r="59974" spans="6:6">
      <c r="F59974" s="2423"/>
    </row>
    <row r="59975" spans="6:6">
      <c r="F59975" s="2423"/>
    </row>
    <row r="59976" spans="6:6">
      <c r="F59976" s="2423"/>
    </row>
    <row r="59977" spans="6:6">
      <c r="F59977" s="2423"/>
    </row>
    <row r="59978" spans="6:6">
      <c r="F59978" s="2423"/>
    </row>
    <row r="59979" spans="6:6">
      <c r="F59979" s="2423"/>
    </row>
    <row r="59980" spans="6:6">
      <c r="F59980" s="2423"/>
    </row>
    <row r="59981" spans="6:6">
      <c r="F59981" s="2423"/>
    </row>
    <row r="59982" spans="6:6">
      <c r="F59982" s="2423"/>
    </row>
    <row r="59983" spans="6:6">
      <c r="F59983" s="2423"/>
    </row>
    <row r="59984" spans="6:6">
      <c r="F59984" s="2423"/>
    </row>
    <row r="59985" spans="6:6">
      <c r="F59985" s="2423"/>
    </row>
    <row r="59986" spans="6:6">
      <c r="F59986" s="2423"/>
    </row>
    <row r="59987" spans="6:6">
      <c r="F59987" s="2423"/>
    </row>
    <row r="59988" spans="6:6">
      <c r="F59988" s="2423"/>
    </row>
    <row r="59989" spans="6:6">
      <c r="F59989" s="2423"/>
    </row>
    <row r="59990" spans="6:6">
      <c r="F59990" s="2423"/>
    </row>
    <row r="59991" spans="6:6">
      <c r="F59991" s="2423"/>
    </row>
    <row r="59992" spans="6:6">
      <c r="F59992" s="2423"/>
    </row>
    <row r="59993" spans="6:6">
      <c r="F59993" s="2423"/>
    </row>
    <row r="59994" spans="6:6">
      <c r="F59994" s="2423"/>
    </row>
    <row r="59995" spans="6:6">
      <c r="F59995" s="2423"/>
    </row>
    <row r="59996" spans="6:6">
      <c r="F59996" s="2423"/>
    </row>
    <row r="59997" spans="6:6">
      <c r="F59997" s="2423"/>
    </row>
    <row r="59998" spans="6:6">
      <c r="F59998" s="2423"/>
    </row>
    <row r="59999" spans="6:6">
      <c r="F59999" s="2423"/>
    </row>
    <row r="60000" spans="6:6">
      <c r="F60000" s="2423"/>
    </row>
    <row r="60001" spans="6:6">
      <c r="F60001" s="2423"/>
    </row>
    <row r="60002" spans="6:6">
      <c r="F60002" s="2423"/>
    </row>
    <row r="60003" spans="6:6">
      <c r="F60003" s="2423"/>
    </row>
    <row r="60004" spans="6:6">
      <c r="F60004" s="2423"/>
    </row>
    <row r="60005" spans="6:6">
      <c r="F60005" s="2423"/>
    </row>
    <row r="60006" spans="6:6">
      <c r="F60006" s="2423"/>
    </row>
    <row r="60007" spans="6:6">
      <c r="F60007" s="2423"/>
    </row>
    <row r="60008" spans="6:6">
      <c r="F60008" s="2423"/>
    </row>
    <row r="60009" spans="6:6">
      <c r="F60009" s="2423"/>
    </row>
    <row r="60010" spans="6:6">
      <c r="F60010" s="2423"/>
    </row>
    <row r="60011" spans="6:6">
      <c r="F60011" s="2423"/>
    </row>
    <row r="60012" spans="6:6">
      <c r="F60012" s="2423"/>
    </row>
    <row r="60013" spans="6:6">
      <c r="F60013" s="2423"/>
    </row>
    <row r="60014" spans="6:6">
      <c r="F60014" s="2423"/>
    </row>
    <row r="60015" spans="6:6">
      <c r="F60015" s="2423"/>
    </row>
    <row r="60016" spans="6:6">
      <c r="F60016" s="2423"/>
    </row>
    <row r="60017" spans="6:6">
      <c r="F60017" s="2423"/>
    </row>
    <row r="60018" spans="6:6">
      <c r="F60018" s="2423"/>
    </row>
    <row r="60019" spans="6:6">
      <c r="F60019" s="2423"/>
    </row>
    <row r="60020" spans="6:6">
      <c r="F60020" s="2423"/>
    </row>
    <row r="60021" spans="6:6">
      <c r="F60021" s="2423"/>
    </row>
    <row r="60022" spans="6:6">
      <c r="F60022" s="2423"/>
    </row>
    <row r="60023" spans="6:6">
      <c r="F60023" s="2423"/>
    </row>
    <row r="60024" spans="6:6">
      <c r="F60024" s="2423"/>
    </row>
    <row r="60025" spans="6:6">
      <c r="F60025" s="2423"/>
    </row>
    <row r="60026" spans="6:6">
      <c r="F60026" s="2423"/>
    </row>
    <row r="60027" spans="6:6">
      <c r="F60027" s="2423"/>
    </row>
    <row r="60028" spans="6:6">
      <c r="F60028" s="2423"/>
    </row>
    <row r="60029" spans="6:6">
      <c r="F60029" s="2423"/>
    </row>
    <row r="60030" spans="6:6">
      <c r="F60030" s="2423"/>
    </row>
    <row r="60031" spans="6:6">
      <c r="F60031" s="2423"/>
    </row>
    <row r="60032" spans="6:6">
      <c r="F60032" s="2423"/>
    </row>
    <row r="60033" spans="6:6">
      <c r="F60033" s="2423"/>
    </row>
    <row r="60034" spans="6:6">
      <c r="F60034" s="2423"/>
    </row>
    <row r="60035" spans="6:6">
      <c r="F60035" s="2423"/>
    </row>
    <row r="60036" spans="6:6">
      <c r="F60036" s="2423"/>
    </row>
    <row r="60037" spans="6:6">
      <c r="F60037" s="2423"/>
    </row>
    <row r="60038" spans="6:6">
      <c r="F60038" s="2423"/>
    </row>
    <row r="60039" spans="6:6">
      <c r="F60039" s="2423"/>
    </row>
    <row r="60040" spans="6:6">
      <c r="F60040" s="2423"/>
    </row>
    <row r="60041" spans="6:6">
      <c r="F60041" s="2423"/>
    </row>
    <row r="60042" spans="6:6">
      <c r="F60042" s="2423"/>
    </row>
    <row r="60043" spans="6:6">
      <c r="F60043" s="2423"/>
    </row>
    <row r="60044" spans="6:6">
      <c r="F60044" s="2423"/>
    </row>
    <row r="60045" spans="6:6">
      <c r="F60045" s="2423"/>
    </row>
    <row r="60046" spans="6:6">
      <c r="F60046" s="2423"/>
    </row>
    <row r="60047" spans="6:6">
      <c r="F60047" s="2423"/>
    </row>
    <row r="60048" spans="6:6">
      <c r="F60048" s="2423"/>
    </row>
    <row r="60049" spans="6:6">
      <c r="F60049" s="2423"/>
    </row>
    <row r="60050" spans="6:6">
      <c r="F60050" s="2423"/>
    </row>
    <row r="60051" spans="6:6">
      <c r="F60051" s="2423"/>
    </row>
    <row r="60052" spans="6:6">
      <c r="F60052" s="2423"/>
    </row>
    <row r="60053" spans="6:6">
      <c r="F60053" s="2423"/>
    </row>
    <row r="60054" spans="6:6">
      <c r="F60054" s="2423"/>
    </row>
    <row r="60055" spans="6:6">
      <c r="F60055" s="2423"/>
    </row>
    <row r="60056" spans="6:6">
      <c r="F60056" s="2423"/>
    </row>
    <row r="60057" spans="6:6">
      <c r="F60057" s="2423"/>
    </row>
    <row r="60058" spans="6:6">
      <c r="F60058" s="2423"/>
    </row>
    <row r="60059" spans="6:6">
      <c r="F60059" s="2423"/>
    </row>
    <row r="60060" spans="6:6">
      <c r="F60060" s="2423"/>
    </row>
    <row r="60061" spans="6:6">
      <c r="F60061" s="2423"/>
    </row>
    <row r="60062" spans="6:6">
      <c r="F60062" s="2423"/>
    </row>
    <row r="60063" spans="6:6">
      <c r="F60063" s="2423"/>
    </row>
    <row r="60064" spans="6:6">
      <c r="F60064" s="2423"/>
    </row>
    <row r="60065" spans="6:6">
      <c r="F60065" s="2423"/>
    </row>
    <row r="60066" spans="6:6">
      <c r="F60066" s="2423"/>
    </row>
    <row r="60067" spans="6:6">
      <c r="F60067" s="2423"/>
    </row>
    <row r="60068" spans="6:6">
      <c r="F60068" s="2423"/>
    </row>
    <row r="60069" spans="6:6">
      <c r="F60069" s="2423"/>
    </row>
    <row r="60070" spans="6:6">
      <c r="F60070" s="2423"/>
    </row>
    <row r="60071" spans="6:6">
      <c r="F60071" s="2423"/>
    </row>
    <row r="60072" spans="6:6">
      <c r="F60072" s="2423"/>
    </row>
    <row r="60073" spans="6:6">
      <c r="F60073" s="2423"/>
    </row>
    <row r="60074" spans="6:6">
      <c r="F60074" s="2423"/>
    </row>
    <row r="60075" spans="6:6">
      <c r="F60075" s="2423"/>
    </row>
    <row r="60076" spans="6:6">
      <c r="F60076" s="2423"/>
    </row>
    <row r="60077" spans="6:6">
      <c r="F60077" s="2423"/>
    </row>
    <row r="60078" spans="6:6">
      <c r="F60078" s="2423"/>
    </row>
    <row r="60079" spans="6:6">
      <c r="F60079" s="2423"/>
    </row>
    <row r="60080" spans="6:6">
      <c r="F60080" s="2423"/>
    </row>
    <row r="60081" spans="6:6">
      <c r="F60081" s="2423"/>
    </row>
    <row r="60082" spans="6:6">
      <c r="F60082" s="2423"/>
    </row>
    <row r="60083" spans="6:6">
      <c r="F60083" s="2423"/>
    </row>
    <row r="60084" spans="6:6">
      <c r="F60084" s="2423"/>
    </row>
    <row r="60085" spans="6:6">
      <c r="F60085" s="2423"/>
    </row>
    <row r="60086" spans="6:6">
      <c r="F60086" s="2423"/>
    </row>
    <row r="60087" spans="6:6">
      <c r="F60087" s="2423"/>
    </row>
    <row r="60088" spans="6:6">
      <c r="F60088" s="2423"/>
    </row>
    <row r="60089" spans="6:6">
      <c r="F60089" s="2423"/>
    </row>
    <row r="60090" spans="6:6">
      <c r="F60090" s="2423"/>
    </row>
    <row r="60091" spans="6:6">
      <c r="F60091" s="2423"/>
    </row>
    <row r="60092" spans="6:6">
      <c r="F60092" s="2423"/>
    </row>
    <row r="60093" spans="6:6">
      <c r="F60093" s="2423"/>
    </row>
    <row r="60094" spans="6:6">
      <c r="F60094" s="2423"/>
    </row>
    <row r="60095" spans="6:6">
      <c r="F60095" s="2423"/>
    </row>
    <row r="60096" spans="6:6">
      <c r="F60096" s="2423"/>
    </row>
    <row r="60097" spans="6:6">
      <c r="F60097" s="2423"/>
    </row>
    <row r="60098" spans="6:6">
      <c r="F60098" s="2423"/>
    </row>
    <row r="60099" spans="6:6">
      <c r="F60099" s="2423"/>
    </row>
    <row r="60100" spans="6:6">
      <c r="F60100" s="2423"/>
    </row>
    <row r="60101" spans="6:6">
      <c r="F60101" s="2423"/>
    </row>
    <row r="60102" spans="6:6">
      <c r="F60102" s="2423"/>
    </row>
    <row r="60103" spans="6:6">
      <c r="F60103" s="2423"/>
    </row>
    <row r="60104" spans="6:6">
      <c r="F60104" s="2423"/>
    </row>
    <row r="60105" spans="6:6">
      <c r="F60105" s="2423"/>
    </row>
    <row r="60106" spans="6:6">
      <c r="F60106" s="2423"/>
    </row>
    <row r="60107" spans="6:6">
      <c r="F60107" s="2423"/>
    </row>
    <row r="60108" spans="6:6">
      <c r="F60108" s="2423"/>
    </row>
    <row r="60109" spans="6:6">
      <c r="F60109" s="2423"/>
    </row>
    <row r="60110" spans="6:6">
      <c r="F60110" s="2423"/>
    </row>
    <row r="60111" spans="6:6">
      <c r="F60111" s="2423"/>
    </row>
    <row r="60112" spans="6:6">
      <c r="F60112" s="2423"/>
    </row>
    <row r="60113" spans="6:6">
      <c r="F60113" s="2423"/>
    </row>
    <row r="60114" spans="6:6">
      <c r="F60114" s="2423"/>
    </row>
    <row r="60115" spans="6:6">
      <c r="F60115" s="2423"/>
    </row>
    <row r="60116" spans="6:6">
      <c r="F60116" s="2423"/>
    </row>
    <row r="60117" spans="6:6">
      <c r="F60117" s="2423"/>
    </row>
    <row r="60118" spans="6:6">
      <c r="F60118" s="2423"/>
    </row>
    <row r="60119" spans="6:6">
      <c r="F60119" s="2423"/>
    </row>
    <row r="60120" spans="6:6">
      <c r="F60120" s="2423"/>
    </row>
    <row r="60121" spans="6:6">
      <c r="F60121" s="2423"/>
    </row>
    <row r="60122" spans="6:6">
      <c r="F60122" s="2423"/>
    </row>
    <row r="60123" spans="6:6">
      <c r="F60123" s="2423"/>
    </row>
    <row r="60124" spans="6:6">
      <c r="F60124" s="2423"/>
    </row>
    <row r="60125" spans="6:6">
      <c r="F60125" s="2423"/>
    </row>
    <row r="60126" spans="6:6">
      <c r="F60126" s="2423"/>
    </row>
    <row r="60127" spans="6:6">
      <c r="F60127" s="2423"/>
    </row>
    <row r="60128" spans="6:6">
      <c r="F60128" s="2423"/>
    </row>
    <row r="60129" spans="6:6">
      <c r="F60129" s="2423"/>
    </row>
    <row r="60130" spans="6:6">
      <c r="F60130" s="2423"/>
    </row>
    <row r="60131" spans="6:6">
      <c r="F60131" s="2423"/>
    </row>
    <row r="60132" spans="6:6">
      <c r="F60132" s="2423"/>
    </row>
    <row r="60133" spans="6:6">
      <c r="F60133" s="2423"/>
    </row>
    <row r="60134" spans="6:6">
      <c r="F60134" s="2423"/>
    </row>
    <row r="60135" spans="6:6">
      <c r="F60135" s="2423"/>
    </row>
    <row r="60136" spans="6:6">
      <c r="F60136" s="2423"/>
    </row>
    <row r="60137" spans="6:6">
      <c r="F60137" s="2423"/>
    </row>
    <row r="60138" spans="6:6">
      <c r="F60138" s="2423"/>
    </row>
    <row r="60139" spans="6:6">
      <c r="F60139" s="2423"/>
    </row>
    <row r="60140" spans="6:6">
      <c r="F60140" s="2423"/>
    </row>
    <row r="60141" spans="6:6">
      <c r="F60141" s="2423"/>
    </row>
    <row r="60142" spans="6:6">
      <c r="F60142" s="2423"/>
    </row>
    <row r="60143" spans="6:6">
      <c r="F60143" s="2423"/>
    </row>
    <row r="60144" spans="6:6">
      <c r="F60144" s="2423"/>
    </row>
    <row r="60145" spans="6:6">
      <c r="F60145" s="2423"/>
    </row>
    <row r="60146" spans="6:6">
      <c r="F60146" s="2423"/>
    </row>
    <row r="60147" spans="6:6">
      <c r="F60147" s="2423"/>
    </row>
    <row r="60148" spans="6:6">
      <c r="F60148" s="2423"/>
    </row>
    <row r="60149" spans="6:6">
      <c r="F60149" s="2423"/>
    </row>
    <row r="60150" spans="6:6">
      <c r="F60150" s="2423"/>
    </row>
    <row r="60151" spans="6:6">
      <c r="F60151" s="2423"/>
    </row>
    <row r="60152" spans="6:6">
      <c r="F60152" s="2423"/>
    </row>
    <row r="60153" spans="6:6">
      <c r="F60153" s="2423"/>
    </row>
    <row r="60154" spans="6:6">
      <c r="F60154" s="2423"/>
    </row>
    <row r="60155" spans="6:6">
      <c r="F60155" s="2423"/>
    </row>
    <row r="60156" spans="6:6">
      <c r="F60156" s="2423"/>
    </row>
    <row r="60157" spans="6:6">
      <c r="F60157" s="2423"/>
    </row>
    <row r="60158" spans="6:6">
      <c r="F60158" s="2423"/>
    </row>
    <row r="60159" spans="6:6">
      <c r="F60159" s="2423"/>
    </row>
    <row r="60160" spans="6:6">
      <c r="F60160" s="2423"/>
    </row>
    <row r="60161" spans="6:6">
      <c r="F60161" s="2423"/>
    </row>
    <row r="60162" spans="6:6">
      <c r="F60162" s="2423"/>
    </row>
    <row r="60163" spans="6:6">
      <c r="F60163" s="2423"/>
    </row>
    <row r="60164" spans="6:6">
      <c r="F60164" s="2423"/>
    </row>
    <row r="60165" spans="6:6">
      <c r="F60165" s="2423"/>
    </row>
    <row r="60166" spans="6:6">
      <c r="F60166" s="2423"/>
    </row>
    <row r="60167" spans="6:6">
      <c r="F60167" s="2423"/>
    </row>
    <row r="60168" spans="6:6">
      <c r="F60168" s="2423"/>
    </row>
    <row r="60169" spans="6:6">
      <c r="F60169" s="2423"/>
    </row>
    <row r="60170" spans="6:6">
      <c r="F60170" s="2423"/>
    </row>
    <row r="60171" spans="6:6">
      <c r="F60171" s="2423"/>
    </row>
    <row r="60172" spans="6:6">
      <c r="F60172" s="2423"/>
    </row>
    <row r="60173" spans="6:6">
      <c r="F60173" s="2423"/>
    </row>
    <row r="60174" spans="6:6">
      <c r="F60174" s="2423"/>
    </row>
    <row r="60175" spans="6:6">
      <c r="F60175" s="2423"/>
    </row>
    <row r="60176" spans="6:6">
      <c r="F60176" s="2423"/>
    </row>
    <row r="60177" spans="6:6">
      <c r="F60177" s="2423"/>
    </row>
    <row r="60178" spans="6:6">
      <c r="F60178" s="2423"/>
    </row>
    <row r="60179" spans="6:6">
      <c r="F60179" s="2423"/>
    </row>
    <row r="60180" spans="6:6">
      <c r="F60180" s="2423"/>
    </row>
    <row r="60181" spans="6:6">
      <c r="F60181" s="2423"/>
    </row>
    <row r="60182" spans="6:6">
      <c r="F60182" s="2423"/>
    </row>
    <row r="60183" spans="6:6">
      <c r="F60183" s="2423"/>
    </row>
    <row r="60184" spans="6:6">
      <c r="F60184" s="2423"/>
    </row>
    <row r="60185" spans="6:6">
      <c r="F60185" s="2423"/>
    </row>
    <row r="60186" spans="6:6">
      <c r="F60186" s="2423"/>
    </row>
    <row r="60187" spans="6:6">
      <c r="F60187" s="2423"/>
    </row>
    <row r="60188" spans="6:6">
      <c r="F60188" s="2423"/>
    </row>
    <row r="60189" spans="6:6">
      <c r="F60189" s="2423"/>
    </row>
    <row r="60190" spans="6:6">
      <c r="F60190" s="2423"/>
    </row>
    <row r="60191" spans="6:6">
      <c r="F60191" s="2423"/>
    </row>
    <row r="60192" spans="6:6">
      <c r="F60192" s="2423"/>
    </row>
    <row r="60193" spans="6:6">
      <c r="F60193" s="2423"/>
    </row>
    <row r="60194" spans="6:6">
      <c r="F60194" s="2423"/>
    </row>
    <row r="60195" spans="6:6">
      <c r="F60195" s="2423"/>
    </row>
    <row r="60196" spans="6:6">
      <c r="F60196" s="2423"/>
    </row>
    <row r="60197" spans="6:6">
      <c r="F60197" s="2423"/>
    </row>
    <row r="60198" spans="6:6">
      <c r="F60198" s="2423"/>
    </row>
    <row r="60199" spans="6:6">
      <c r="F60199" s="2423"/>
    </row>
    <row r="60200" spans="6:6">
      <c r="F60200" s="2423"/>
    </row>
    <row r="60201" spans="6:6">
      <c r="F60201" s="2423"/>
    </row>
    <row r="60202" spans="6:6">
      <c r="F60202" s="2423"/>
    </row>
    <row r="60203" spans="6:6">
      <c r="F60203" s="2423"/>
    </row>
    <row r="60204" spans="6:6">
      <c r="F60204" s="2423"/>
    </row>
    <row r="60205" spans="6:6">
      <c r="F60205" s="2423"/>
    </row>
    <row r="60206" spans="6:6">
      <c r="F60206" s="2423"/>
    </row>
    <row r="60207" spans="6:6">
      <c r="F60207" s="2423"/>
    </row>
    <row r="60208" spans="6:6">
      <c r="F60208" s="2423"/>
    </row>
    <row r="60209" spans="6:6">
      <c r="F60209" s="2423"/>
    </row>
    <row r="60210" spans="6:6">
      <c r="F60210" s="2423"/>
    </row>
    <row r="60211" spans="6:6">
      <c r="F60211" s="2423"/>
    </row>
    <row r="60212" spans="6:6">
      <c r="F60212" s="2423"/>
    </row>
    <row r="60213" spans="6:6">
      <c r="F60213" s="2423"/>
    </row>
    <row r="60214" spans="6:6">
      <c r="F60214" s="2423"/>
    </row>
    <row r="60215" spans="6:6">
      <c r="F60215" s="2423"/>
    </row>
    <row r="60216" spans="6:6">
      <c r="F60216" s="2423"/>
    </row>
    <row r="60217" spans="6:6">
      <c r="F60217" s="2423"/>
    </row>
    <row r="60218" spans="6:6">
      <c r="F60218" s="2423"/>
    </row>
    <row r="60219" spans="6:6">
      <c r="F60219" s="2423"/>
    </row>
    <row r="60220" spans="6:6">
      <c r="F60220" s="2423"/>
    </row>
    <row r="60221" spans="6:6">
      <c r="F60221" s="2423"/>
    </row>
    <row r="60222" spans="6:6">
      <c r="F60222" s="2423"/>
    </row>
    <row r="60223" spans="6:6">
      <c r="F60223" s="2423"/>
    </row>
    <row r="60224" spans="6:6">
      <c r="F60224" s="2423"/>
    </row>
    <row r="60225" spans="6:6">
      <c r="F60225" s="2423"/>
    </row>
    <row r="60226" spans="6:6">
      <c r="F60226" s="2423"/>
    </row>
    <row r="60227" spans="6:6">
      <c r="F60227" s="2423"/>
    </row>
    <row r="60228" spans="6:6">
      <c r="F60228" s="2423"/>
    </row>
    <row r="60229" spans="6:6">
      <c r="F60229" s="2423"/>
    </row>
    <row r="60230" spans="6:6">
      <c r="F60230" s="2423"/>
    </row>
    <row r="60231" spans="6:6">
      <c r="F60231" s="2423"/>
    </row>
    <row r="60232" spans="6:6">
      <c r="F60232" s="2423"/>
    </row>
    <row r="60233" spans="6:6">
      <c r="F60233" s="2423"/>
    </row>
    <row r="60234" spans="6:6">
      <c r="F60234" s="2423"/>
    </row>
    <row r="60235" spans="6:6">
      <c r="F60235" s="2423"/>
    </row>
    <row r="60236" spans="6:6">
      <c r="F60236" s="2423"/>
    </row>
    <row r="60237" spans="6:6">
      <c r="F60237" s="2423"/>
    </row>
    <row r="60238" spans="6:6">
      <c r="F60238" s="2423"/>
    </row>
    <row r="60239" spans="6:6">
      <c r="F60239" s="2423"/>
    </row>
    <row r="60240" spans="6:6">
      <c r="F60240" s="2423"/>
    </row>
    <row r="60241" spans="6:6">
      <c r="F60241" s="2423"/>
    </row>
    <row r="60242" spans="6:6">
      <c r="F60242" s="2423"/>
    </row>
    <row r="60243" spans="6:6">
      <c r="F60243" s="2423"/>
    </row>
    <row r="60244" spans="6:6">
      <c r="F60244" s="2423"/>
    </row>
    <row r="60245" spans="6:6">
      <c r="F60245" s="2423"/>
    </row>
    <row r="60246" spans="6:6">
      <c r="F60246" s="2423"/>
    </row>
    <row r="60247" spans="6:6">
      <c r="F60247" s="2423"/>
    </row>
    <row r="60248" spans="6:6">
      <c r="F60248" s="2423"/>
    </row>
    <row r="60249" spans="6:6">
      <c r="F60249" s="2423"/>
    </row>
    <row r="60250" spans="6:6">
      <c r="F60250" s="2423"/>
    </row>
    <row r="60251" spans="6:6">
      <c r="F60251" s="2423"/>
    </row>
    <row r="60252" spans="6:6">
      <c r="F60252" s="2423"/>
    </row>
    <row r="60253" spans="6:6">
      <c r="F60253" s="2423"/>
    </row>
    <row r="60254" spans="6:6">
      <c r="F60254" s="2423"/>
    </row>
    <row r="60255" spans="6:6">
      <c r="F60255" s="2423"/>
    </row>
    <row r="60256" spans="6:6">
      <c r="F60256" s="2423"/>
    </row>
    <row r="60257" spans="6:6">
      <c r="F60257" s="2423"/>
    </row>
    <row r="60258" spans="6:6">
      <c r="F60258" s="2423"/>
    </row>
    <row r="60259" spans="6:6">
      <c r="F60259" s="2423"/>
    </row>
    <row r="60260" spans="6:6">
      <c r="F60260" s="2423"/>
    </row>
    <row r="60261" spans="6:6">
      <c r="F60261" s="2423"/>
    </row>
    <row r="60262" spans="6:6">
      <c r="F60262" s="2423"/>
    </row>
    <row r="60263" spans="6:6">
      <c r="F60263" s="2423"/>
    </row>
    <row r="60264" spans="6:6">
      <c r="F60264" s="2423"/>
    </row>
    <row r="60265" spans="6:6">
      <c r="F60265" s="2423"/>
    </row>
    <row r="60266" spans="6:6">
      <c r="F60266" s="2423"/>
    </row>
    <row r="60267" spans="6:6">
      <c r="F60267" s="2423"/>
    </row>
    <row r="60268" spans="6:6">
      <c r="F60268" s="2423"/>
    </row>
    <row r="60269" spans="6:6">
      <c r="F60269" s="2423"/>
    </row>
    <row r="60270" spans="6:6">
      <c r="F60270" s="2423"/>
    </row>
    <row r="60271" spans="6:6">
      <c r="F60271" s="2423"/>
    </row>
    <row r="60272" spans="6:6">
      <c r="F60272" s="2423"/>
    </row>
    <row r="60273" spans="6:6">
      <c r="F60273" s="2423"/>
    </row>
    <row r="60274" spans="6:6">
      <c r="F60274" s="2423"/>
    </row>
    <row r="60275" spans="6:6">
      <c r="F60275" s="2423"/>
    </row>
    <row r="60276" spans="6:6">
      <c r="F60276" s="2423"/>
    </row>
    <row r="60277" spans="6:6">
      <c r="F60277" s="2423"/>
    </row>
    <row r="60278" spans="6:6">
      <c r="F60278" s="2423"/>
    </row>
    <row r="60279" spans="6:6">
      <c r="F60279" s="2423"/>
    </row>
    <row r="60280" spans="6:6">
      <c r="F60280" s="2423"/>
    </row>
    <row r="60281" spans="6:6">
      <c r="F60281" s="2423"/>
    </row>
    <row r="60282" spans="6:6">
      <c r="F60282" s="2423"/>
    </row>
    <row r="60283" spans="6:6">
      <c r="F60283" s="2423"/>
    </row>
    <row r="60284" spans="6:6">
      <c r="F60284" s="2423"/>
    </row>
    <row r="60285" spans="6:6">
      <c r="F60285" s="2423"/>
    </row>
    <row r="60286" spans="6:6">
      <c r="F60286" s="2423"/>
    </row>
    <row r="60287" spans="6:6">
      <c r="F60287" s="2423"/>
    </row>
    <row r="60288" spans="6:6">
      <c r="F60288" s="2423"/>
    </row>
    <row r="60289" spans="6:6">
      <c r="F60289" s="2423"/>
    </row>
    <row r="60290" spans="6:6">
      <c r="F60290" s="2423"/>
    </row>
    <row r="60291" spans="6:6">
      <c r="F60291" s="2423"/>
    </row>
    <row r="60292" spans="6:6">
      <c r="F60292" s="2423"/>
    </row>
    <row r="60293" spans="6:6">
      <c r="F60293" s="2423"/>
    </row>
    <row r="60294" spans="6:6">
      <c r="F60294" s="2423"/>
    </row>
    <row r="60295" spans="6:6">
      <c r="F60295" s="2423"/>
    </row>
    <row r="60296" spans="6:6">
      <c r="F60296" s="2423"/>
    </row>
    <row r="60297" spans="6:6">
      <c r="F60297" s="2423"/>
    </row>
    <row r="60298" spans="6:6">
      <c r="F60298" s="2423"/>
    </row>
    <row r="60299" spans="6:6">
      <c r="F60299" s="2423"/>
    </row>
    <row r="60300" spans="6:6">
      <c r="F60300" s="2423"/>
    </row>
    <row r="60301" spans="6:6">
      <c r="F60301" s="2423"/>
    </row>
    <row r="60302" spans="6:6">
      <c r="F60302" s="2423"/>
    </row>
    <row r="60303" spans="6:6">
      <c r="F60303" s="2423"/>
    </row>
    <row r="60304" spans="6:6">
      <c r="F60304" s="2423"/>
    </row>
    <row r="60305" spans="6:6">
      <c r="F60305" s="2423"/>
    </row>
    <row r="60306" spans="6:6">
      <c r="F60306" s="2423"/>
    </row>
    <row r="60307" spans="6:6">
      <c r="F60307" s="2423"/>
    </row>
    <row r="60308" spans="6:6">
      <c r="F60308" s="2423"/>
    </row>
    <row r="60309" spans="6:6">
      <c r="F60309" s="2423"/>
    </row>
    <row r="60310" spans="6:6">
      <c r="F60310" s="2423"/>
    </row>
    <row r="60311" spans="6:6">
      <c r="F60311" s="2423"/>
    </row>
    <row r="60312" spans="6:6">
      <c r="F60312" s="2423"/>
    </row>
    <row r="60313" spans="6:6">
      <c r="F60313" s="2423"/>
    </row>
    <row r="60314" spans="6:6">
      <c r="F60314" s="2423"/>
    </row>
    <row r="60315" spans="6:6">
      <c r="F60315" s="2423"/>
    </row>
    <row r="60316" spans="6:6">
      <c r="F60316" s="2423"/>
    </row>
    <row r="60317" spans="6:6">
      <c r="F60317" s="2423"/>
    </row>
    <row r="60318" spans="6:6">
      <c r="F60318" s="2423"/>
    </row>
    <row r="60319" spans="6:6">
      <c r="F60319" s="2423"/>
    </row>
    <row r="60320" spans="6:6">
      <c r="F60320" s="2423"/>
    </row>
    <row r="60321" spans="6:6">
      <c r="F60321" s="2423"/>
    </row>
    <row r="60322" spans="6:6">
      <c r="F60322" s="2423"/>
    </row>
    <row r="60323" spans="6:6">
      <c r="F60323" s="2423"/>
    </row>
    <row r="60324" spans="6:6">
      <c r="F60324" s="2423"/>
    </row>
    <row r="60325" spans="6:6">
      <c r="F60325" s="2423"/>
    </row>
    <row r="60326" spans="6:6">
      <c r="F60326" s="2423"/>
    </row>
    <row r="60327" spans="6:6">
      <c r="F60327" s="2423"/>
    </row>
    <row r="60328" spans="6:6">
      <c r="F60328" s="2423"/>
    </row>
    <row r="60329" spans="6:6">
      <c r="F60329" s="2423"/>
    </row>
    <row r="60330" spans="6:6">
      <c r="F60330" s="2423"/>
    </row>
    <row r="60331" spans="6:6">
      <c r="F60331" s="2423"/>
    </row>
    <row r="60332" spans="6:6">
      <c r="F60332" s="2423"/>
    </row>
    <row r="60333" spans="6:6">
      <c r="F60333" s="2423"/>
    </row>
    <row r="60334" spans="6:6">
      <c r="F60334" s="2423"/>
    </row>
    <row r="60335" spans="6:6">
      <c r="F60335" s="2423"/>
    </row>
    <row r="60336" spans="6:6">
      <c r="F60336" s="2423"/>
    </row>
    <row r="60337" spans="6:6">
      <c r="F60337" s="2423"/>
    </row>
    <row r="60338" spans="6:6">
      <c r="F60338" s="2423"/>
    </row>
    <row r="60339" spans="6:6">
      <c r="F60339" s="2423"/>
    </row>
    <row r="60340" spans="6:6">
      <c r="F60340" s="2423"/>
    </row>
    <row r="60341" spans="6:6">
      <c r="F60341" s="2423"/>
    </row>
    <row r="60342" spans="6:6">
      <c r="F60342" s="2423"/>
    </row>
    <row r="60343" spans="6:6">
      <c r="F60343" s="2423"/>
    </row>
    <row r="60344" spans="6:6">
      <c r="F60344" s="2423"/>
    </row>
    <row r="60345" spans="6:6">
      <c r="F60345" s="2423"/>
    </row>
    <row r="60346" spans="6:6">
      <c r="F60346" s="2423"/>
    </row>
    <row r="60347" spans="6:6">
      <c r="F60347" s="2423"/>
    </row>
    <row r="60348" spans="6:6">
      <c r="F60348" s="2423"/>
    </row>
    <row r="60349" spans="6:6">
      <c r="F60349" s="2423"/>
    </row>
    <row r="60350" spans="6:6">
      <c r="F60350" s="2423"/>
    </row>
    <row r="60351" spans="6:6">
      <c r="F60351" s="2423"/>
    </row>
    <row r="60352" spans="6:6">
      <c r="F60352" s="2423"/>
    </row>
    <row r="60353" spans="6:6">
      <c r="F60353" s="2423"/>
    </row>
    <row r="60354" spans="6:6">
      <c r="F60354" s="2423"/>
    </row>
    <row r="60355" spans="6:6">
      <c r="F60355" s="2423"/>
    </row>
    <row r="60356" spans="6:6">
      <c r="F60356" s="2423"/>
    </row>
    <row r="60357" spans="6:6">
      <c r="F60357" s="2423"/>
    </row>
    <row r="60358" spans="6:6">
      <c r="F60358" s="2423"/>
    </row>
    <row r="60359" spans="6:6">
      <c r="F60359" s="2423"/>
    </row>
    <row r="60360" spans="6:6">
      <c r="F60360" s="2423"/>
    </row>
    <row r="60361" spans="6:6">
      <c r="F60361" s="2423"/>
    </row>
    <row r="60362" spans="6:6">
      <c r="F60362" s="2423"/>
    </row>
    <row r="60363" spans="6:6">
      <c r="F60363" s="2423"/>
    </row>
    <row r="60364" spans="6:6">
      <c r="F60364" s="2423"/>
    </row>
    <row r="60365" spans="6:6">
      <c r="F60365" s="2423"/>
    </row>
    <row r="60366" spans="6:6">
      <c r="F60366" s="2423"/>
    </row>
    <row r="60367" spans="6:6">
      <c r="F60367" s="2423"/>
    </row>
    <row r="60368" spans="6:6">
      <c r="F60368" s="2423"/>
    </row>
    <row r="60369" spans="6:6">
      <c r="F60369" s="2423"/>
    </row>
    <row r="60370" spans="6:6">
      <c r="F60370" s="2423"/>
    </row>
    <row r="60371" spans="6:6">
      <c r="F60371" s="2423"/>
    </row>
    <row r="60372" spans="6:6">
      <c r="F60372" s="2423"/>
    </row>
    <row r="60373" spans="6:6">
      <c r="F60373" s="2423"/>
    </row>
    <row r="60374" spans="6:6">
      <c r="F60374" s="2423"/>
    </row>
    <row r="60375" spans="6:6">
      <c r="F60375" s="2423"/>
    </row>
    <row r="60376" spans="6:6">
      <c r="F60376" s="2423"/>
    </row>
    <row r="60377" spans="6:6">
      <c r="F60377" s="2423"/>
    </row>
    <row r="60378" spans="6:6">
      <c r="F60378" s="2423"/>
    </row>
    <row r="60379" spans="6:6">
      <c r="F60379" s="2423"/>
    </row>
    <row r="60380" spans="6:6">
      <c r="F60380" s="2423"/>
    </row>
    <row r="60381" spans="6:6">
      <c r="F60381" s="2423"/>
    </row>
    <row r="60382" spans="6:6">
      <c r="F60382" s="2423"/>
    </row>
    <row r="60383" spans="6:6">
      <c r="F60383" s="2423"/>
    </row>
    <row r="60384" spans="6:6">
      <c r="F60384" s="2423"/>
    </row>
    <row r="60385" spans="6:6">
      <c r="F60385" s="2423"/>
    </row>
    <row r="60386" spans="6:6">
      <c r="F60386" s="2423"/>
    </row>
    <row r="60387" spans="6:6">
      <c r="F60387" s="2423"/>
    </row>
    <row r="60388" spans="6:6">
      <c r="F60388" s="2423"/>
    </row>
    <row r="60389" spans="6:6">
      <c r="F60389" s="2423"/>
    </row>
    <row r="60390" spans="6:6">
      <c r="F60390" s="2423"/>
    </row>
    <row r="60391" spans="6:6">
      <c r="F60391" s="2423"/>
    </row>
    <row r="60392" spans="6:6">
      <c r="F60392" s="2423"/>
    </row>
    <row r="60393" spans="6:6">
      <c r="F60393" s="2423"/>
    </row>
    <row r="60394" spans="6:6">
      <c r="F60394" s="2423"/>
    </row>
    <row r="60395" spans="6:6">
      <c r="F60395" s="2423"/>
    </row>
    <row r="60396" spans="6:6">
      <c r="F60396" s="2423"/>
    </row>
    <row r="60397" spans="6:6">
      <c r="F60397" s="2423"/>
    </row>
    <row r="60398" spans="6:6">
      <c r="F60398" s="2423"/>
    </row>
    <row r="60399" spans="6:6">
      <c r="F60399" s="2423"/>
    </row>
    <row r="60400" spans="6:6">
      <c r="F60400" s="2423"/>
    </row>
    <row r="60401" spans="6:6">
      <c r="F60401" s="2423"/>
    </row>
    <row r="60402" spans="6:6">
      <c r="F60402" s="2423"/>
    </row>
    <row r="60403" spans="6:6">
      <c r="F60403" s="2423"/>
    </row>
    <row r="60404" spans="6:6">
      <c r="F60404" s="2423"/>
    </row>
    <row r="60405" spans="6:6">
      <c r="F60405" s="2423"/>
    </row>
    <row r="60406" spans="6:6">
      <c r="F60406" s="2423"/>
    </row>
    <row r="60407" spans="6:6">
      <c r="F60407" s="2423"/>
    </row>
    <row r="60408" spans="6:6">
      <c r="F60408" s="2423"/>
    </row>
    <row r="60409" spans="6:6">
      <c r="F60409" s="2423"/>
    </row>
    <row r="60410" spans="6:6">
      <c r="F60410" s="2423"/>
    </row>
    <row r="60411" spans="6:6">
      <c r="F60411" s="2423"/>
    </row>
    <row r="60412" spans="6:6">
      <c r="F60412" s="2423"/>
    </row>
    <row r="60413" spans="6:6">
      <c r="F60413" s="2423"/>
    </row>
    <row r="60414" spans="6:6">
      <c r="F60414" s="2423"/>
    </row>
    <row r="60415" spans="6:6">
      <c r="F60415" s="2423"/>
    </row>
    <row r="60416" spans="6:6">
      <c r="F60416" s="2423"/>
    </row>
    <row r="60417" spans="6:6">
      <c r="F60417" s="2423"/>
    </row>
    <row r="60418" spans="6:6">
      <c r="F60418" s="2423"/>
    </row>
    <row r="60419" spans="6:6">
      <c r="F60419" s="2423"/>
    </row>
    <row r="60420" spans="6:6">
      <c r="F60420" s="2423"/>
    </row>
    <row r="60421" spans="6:6">
      <c r="F60421" s="2423"/>
    </row>
    <row r="60422" spans="6:6">
      <c r="F60422" s="2423"/>
    </row>
    <row r="60423" spans="6:6">
      <c r="F60423" s="2423"/>
    </row>
    <row r="60424" spans="6:6">
      <c r="F60424" s="2423"/>
    </row>
    <row r="60425" spans="6:6">
      <c r="F60425" s="2423"/>
    </row>
    <row r="60426" spans="6:6">
      <c r="F60426" s="2423"/>
    </row>
    <row r="60427" spans="6:6">
      <c r="F60427" s="2423"/>
    </row>
    <row r="60428" spans="6:6">
      <c r="F60428" s="2423"/>
    </row>
    <row r="60429" spans="6:6">
      <c r="F60429" s="2423"/>
    </row>
    <row r="60430" spans="6:6">
      <c r="F60430" s="2423"/>
    </row>
    <row r="60431" spans="6:6">
      <c r="F60431" s="2423"/>
    </row>
    <row r="60432" spans="6:6">
      <c r="F60432" s="2423"/>
    </row>
    <row r="60433" spans="6:6">
      <c r="F60433" s="2423"/>
    </row>
    <row r="60434" spans="6:6">
      <c r="F60434" s="2423"/>
    </row>
    <row r="60435" spans="6:6">
      <c r="F60435" s="2423"/>
    </row>
    <row r="60436" spans="6:6">
      <c r="F60436" s="2423"/>
    </row>
    <row r="60437" spans="6:6">
      <c r="F60437" s="2423"/>
    </row>
    <row r="60438" spans="6:6">
      <c r="F60438" s="2423"/>
    </row>
    <row r="60439" spans="6:6">
      <c r="F60439" s="2423"/>
    </row>
    <row r="60440" spans="6:6">
      <c r="F60440" s="2423"/>
    </row>
    <row r="60441" spans="6:6">
      <c r="F60441" s="2423"/>
    </row>
    <row r="60442" spans="6:6">
      <c r="F60442" s="2423"/>
    </row>
    <row r="60443" spans="6:6">
      <c r="F60443" s="2423"/>
    </row>
    <row r="60444" spans="6:6">
      <c r="F60444" s="2423"/>
    </row>
    <row r="60445" spans="6:6">
      <c r="F60445" s="2423"/>
    </row>
    <row r="60446" spans="6:6">
      <c r="F60446" s="2423"/>
    </row>
    <row r="60447" spans="6:6">
      <c r="F60447" s="2423"/>
    </row>
    <row r="60448" spans="6:6">
      <c r="F60448" s="2423"/>
    </row>
    <row r="60449" spans="6:6">
      <c r="F60449" s="2423"/>
    </row>
    <row r="60450" spans="6:6">
      <c r="F60450" s="2423"/>
    </row>
    <row r="60451" spans="6:6">
      <c r="F60451" s="2423"/>
    </row>
    <row r="60452" spans="6:6">
      <c r="F60452" s="2423"/>
    </row>
    <row r="60453" spans="6:6">
      <c r="F60453" s="2423"/>
    </row>
    <row r="60454" spans="6:6">
      <c r="F60454" s="2423"/>
    </row>
    <row r="60455" spans="6:6">
      <c r="F60455" s="2423"/>
    </row>
    <row r="60456" spans="6:6">
      <c r="F60456" s="2423"/>
    </row>
    <row r="60457" spans="6:6">
      <c r="F60457" s="2423"/>
    </row>
    <row r="60458" spans="6:6">
      <c r="F60458" s="2423"/>
    </row>
    <row r="60459" spans="6:6">
      <c r="F60459" s="2423"/>
    </row>
    <row r="60460" spans="6:6">
      <c r="F60460" s="2423"/>
    </row>
    <row r="60461" spans="6:6">
      <c r="F60461" s="2423"/>
    </row>
    <row r="60462" spans="6:6">
      <c r="F60462" s="2423"/>
    </row>
    <row r="60463" spans="6:6">
      <c r="F60463" s="2423"/>
    </row>
    <row r="60464" spans="6:6">
      <c r="F60464" s="2423"/>
    </row>
    <row r="60465" spans="6:6">
      <c r="F60465" s="2423"/>
    </row>
    <row r="60466" spans="6:6">
      <c r="F60466" s="2423"/>
    </row>
    <row r="60467" spans="6:6">
      <c r="F60467" s="2423"/>
    </row>
    <row r="60468" spans="6:6">
      <c r="F60468" s="2423"/>
    </row>
    <row r="60469" spans="6:6">
      <c r="F60469" s="2423"/>
    </row>
    <row r="60470" spans="6:6">
      <c r="F60470" s="2423"/>
    </row>
    <row r="60471" spans="6:6">
      <c r="F60471" s="2423"/>
    </row>
    <row r="60472" spans="6:6">
      <c r="F60472" s="2423"/>
    </row>
    <row r="60473" spans="6:6">
      <c r="F60473" s="2423"/>
    </row>
    <row r="60474" spans="6:6">
      <c r="F60474" s="2423"/>
    </row>
    <row r="60475" spans="6:6">
      <c r="F60475" s="2423"/>
    </row>
    <row r="60476" spans="6:6">
      <c r="F60476" s="2423"/>
    </row>
    <row r="60477" spans="6:6">
      <c r="F60477" s="2423"/>
    </row>
    <row r="60478" spans="6:6">
      <c r="F60478" s="2423"/>
    </row>
    <row r="60479" spans="6:6">
      <c r="F60479" s="2423"/>
    </row>
    <row r="60480" spans="6:6">
      <c r="F60480" s="2423"/>
    </row>
    <row r="60481" spans="6:6">
      <c r="F60481" s="2423"/>
    </row>
    <row r="60482" spans="6:6">
      <c r="F60482" s="2423"/>
    </row>
    <row r="60483" spans="6:6">
      <c r="F60483" s="2423"/>
    </row>
    <row r="60484" spans="6:6">
      <c r="F60484" s="2423"/>
    </row>
    <row r="60485" spans="6:6">
      <c r="F60485" s="2423"/>
    </row>
    <row r="60486" spans="6:6">
      <c r="F60486" s="2423"/>
    </row>
    <row r="60487" spans="6:6">
      <c r="F60487" s="2423"/>
    </row>
    <row r="60488" spans="6:6">
      <c r="F60488" s="2423"/>
    </row>
    <row r="60489" spans="6:6">
      <c r="F60489" s="2423"/>
    </row>
    <row r="60490" spans="6:6">
      <c r="F60490" s="2423"/>
    </row>
    <row r="60491" spans="6:6">
      <c r="F60491" s="2423"/>
    </row>
    <row r="60492" spans="6:6">
      <c r="F60492" s="2423"/>
    </row>
    <row r="60493" spans="6:6">
      <c r="F60493" s="2423"/>
    </row>
    <row r="60494" spans="6:6">
      <c r="F60494" s="2423"/>
    </row>
    <row r="60495" spans="6:6">
      <c r="F60495" s="2423"/>
    </row>
    <row r="60496" spans="6:6">
      <c r="F60496" s="2423"/>
    </row>
    <row r="60497" spans="6:6">
      <c r="F60497" s="2423"/>
    </row>
    <row r="60498" spans="6:6">
      <c r="F60498" s="2423"/>
    </row>
    <row r="60499" spans="6:6">
      <c r="F60499" s="2423"/>
    </row>
    <row r="60500" spans="6:6">
      <c r="F60500" s="2423"/>
    </row>
    <row r="60501" spans="6:6">
      <c r="F60501" s="2423"/>
    </row>
    <row r="60502" spans="6:6">
      <c r="F60502" s="2423"/>
    </row>
    <row r="60503" spans="6:6">
      <c r="F60503" s="2423"/>
    </row>
    <row r="60504" spans="6:6">
      <c r="F60504" s="2423"/>
    </row>
    <row r="60505" spans="6:6">
      <c r="F60505" s="2423"/>
    </row>
    <row r="60506" spans="6:6">
      <c r="F60506" s="2423"/>
    </row>
    <row r="60507" spans="6:6">
      <c r="F60507" s="2423"/>
    </row>
    <row r="60508" spans="6:6">
      <c r="F60508" s="2423"/>
    </row>
    <row r="60509" spans="6:6">
      <c r="F60509" s="2423"/>
    </row>
    <row r="60510" spans="6:6">
      <c r="F60510" s="2423"/>
    </row>
    <row r="60511" spans="6:6">
      <c r="F60511" s="2423"/>
    </row>
    <row r="60512" spans="6:6">
      <c r="F60512" s="2423"/>
    </row>
    <row r="60513" spans="6:6">
      <c r="F60513" s="2423"/>
    </row>
    <row r="60514" spans="6:6">
      <c r="F60514" s="2423"/>
    </row>
    <row r="60515" spans="6:6">
      <c r="F60515" s="2423"/>
    </row>
    <row r="60516" spans="6:6">
      <c r="F60516" s="2423"/>
    </row>
    <row r="60517" spans="6:6">
      <c r="F60517" s="2423"/>
    </row>
    <row r="60518" spans="6:6">
      <c r="F60518" s="2423"/>
    </row>
    <row r="60519" spans="6:6">
      <c r="F60519" s="2423"/>
    </row>
    <row r="60520" spans="6:6">
      <c r="F60520" s="2423"/>
    </row>
    <row r="60521" spans="6:6">
      <c r="F60521" s="2423"/>
    </row>
    <row r="60522" spans="6:6">
      <c r="F60522" s="2423"/>
    </row>
    <row r="60523" spans="6:6">
      <c r="F60523" s="2423"/>
    </row>
    <row r="60524" spans="6:6">
      <c r="F60524" s="2423"/>
    </row>
    <row r="60525" spans="6:6">
      <c r="F60525" s="2423"/>
    </row>
    <row r="60526" spans="6:6">
      <c r="F60526" s="2423"/>
    </row>
    <row r="60527" spans="6:6">
      <c r="F60527" s="2423"/>
    </row>
    <row r="60528" spans="6:6">
      <c r="F60528" s="2423"/>
    </row>
    <row r="60529" spans="6:6">
      <c r="F60529" s="2423"/>
    </row>
    <row r="60530" spans="6:6">
      <c r="F60530" s="2423"/>
    </row>
    <row r="60531" spans="6:6">
      <c r="F60531" s="2423"/>
    </row>
    <row r="60532" spans="6:6">
      <c r="F60532" s="2423"/>
    </row>
    <row r="60533" spans="6:6">
      <c r="F60533" s="2423"/>
    </row>
    <row r="60534" spans="6:6">
      <c r="F60534" s="2423"/>
    </row>
    <row r="60535" spans="6:6">
      <c r="F60535" s="2423"/>
    </row>
    <row r="60536" spans="6:6">
      <c r="F60536" s="2423"/>
    </row>
    <row r="60537" spans="6:6">
      <c r="F60537" s="2423"/>
    </row>
    <row r="60538" spans="6:6">
      <c r="F60538" s="2423"/>
    </row>
    <row r="60539" spans="6:6">
      <c r="F60539" s="2423"/>
    </row>
    <row r="60540" spans="6:6">
      <c r="F60540" s="2423"/>
    </row>
    <row r="60541" spans="6:6">
      <c r="F60541" s="2423"/>
    </row>
    <row r="60542" spans="6:6">
      <c r="F60542" s="2423"/>
    </row>
    <row r="60543" spans="6:6">
      <c r="F60543" s="2423"/>
    </row>
    <row r="60544" spans="6:6">
      <c r="F60544" s="2423"/>
    </row>
    <row r="60545" spans="6:6">
      <c r="F60545" s="2423"/>
    </row>
    <row r="60546" spans="6:6">
      <c r="F60546" s="2423"/>
    </row>
    <row r="60547" spans="6:6">
      <c r="F60547" s="2423"/>
    </row>
    <row r="60548" spans="6:6">
      <c r="F60548" s="2423"/>
    </row>
    <row r="60549" spans="6:6">
      <c r="F60549" s="2423"/>
    </row>
    <row r="60550" spans="6:6">
      <c r="F60550" s="2423"/>
    </row>
    <row r="60551" spans="6:6">
      <c r="F60551" s="2423"/>
    </row>
    <row r="60552" spans="6:6">
      <c r="F60552" s="2423"/>
    </row>
    <row r="60553" spans="6:6">
      <c r="F60553" s="2423"/>
    </row>
    <row r="60554" spans="6:6">
      <c r="F60554" s="2423"/>
    </row>
    <row r="60555" spans="6:6">
      <c r="F60555" s="2423"/>
    </row>
    <row r="60556" spans="6:6">
      <c r="F60556" s="2423"/>
    </row>
    <row r="60557" spans="6:6">
      <c r="F60557" s="2423"/>
    </row>
    <row r="60558" spans="6:6">
      <c r="F60558" s="2423"/>
    </row>
    <row r="60559" spans="6:6">
      <c r="F60559" s="2423"/>
    </row>
    <row r="60560" spans="6:6">
      <c r="F60560" s="2423"/>
    </row>
    <row r="60561" spans="6:6">
      <c r="F60561" s="2423"/>
    </row>
    <row r="60562" spans="6:6">
      <c r="F60562" s="2423"/>
    </row>
    <row r="60563" spans="6:6">
      <c r="F60563" s="2423"/>
    </row>
    <row r="60564" spans="6:6">
      <c r="F60564" s="2423"/>
    </row>
    <row r="60565" spans="6:6">
      <c r="F60565" s="2423"/>
    </row>
    <row r="60566" spans="6:6">
      <c r="F60566" s="2423"/>
    </row>
    <row r="60567" spans="6:6">
      <c r="F60567" s="2423"/>
    </row>
    <row r="60568" spans="6:6">
      <c r="F60568" s="2423"/>
    </row>
    <row r="60569" spans="6:6">
      <c r="F60569" s="2423"/>
    </row>
    <row r="60570" spans="6:6">
      <c r="F60570" s="2423"/>
    </row>
    <row r="60571" spans="6:6">
      <c r="F60571" s="2423"/>
    </row>
    <row r="60572" spans="6:6">
      <c r="F60572" s="2423"/>
    </row>
    <row r="60573" spans="6:6">
      <c r="F60573" s="2423"/>
    </row>
    <row r="60574" spans="6:6">
      <c r="F60574" s="2423"/>
    </row>
    <row r="60575" spans="6:6">
      <c r="F60575" s="2423"/>
    </row>
    <row r="60576" spans="6:6">
      <c r="F60576" s="2423"/>
    </row>
    <row r="60577" spans="6:6">
      <c r="F60577" s="2423"/>
    </row>
    <row r="60578" spans="6:6">
      <c r="F60578" s="2423"/>
    </row>
    <row r="60579" spans="6:6">
      <c r="F60579" s="2423"/>
    </row>
    <row r="60580" spans="6:6">
      <c r="F60580" s="2423"/>
    </row>
    <row r="60581" spans="6:6">
      <c r="F60581" s="2423"/>
    </row>
    <row r="60582" spans="6:6">
      <c r="F60582" s="2423"/>
    </row>
    <row r="60583" spans="6:6">
      <c r="F60583" s="2423"/>
    </row>
    <row r="60584" spans="6:6">
      <c r="F60584" s="2423"/>
    </row>
    <row r="60585" spans="6:6">
      <c r="F60585" s="2423"/>
    </row>
    <row r="60586" spans="6:6">
      <c r="F60586" s="2423"/>
    </row>
    <row r="60587" spans="6:6">
      <c r="F60587" s="2423"/>
    </row>
    <row r="60588" spans="6:6">
      <c r="F60588" s="2423"/>
    </row>
    <row r="60589" spans="6:6">
      <c r="F60589" s="2423"/>
    </row>
    <row r="60590" spans="6:6">
      <c r="F60590" s="2423"/>
    </row>
    <row r="60591" spans="6:6">
      <c r="F60591" s="2423"/>
    </row>
    <row r="60592" spans="6:6">
      <c r="F60592" s="2423"/>
    </row>
    <row r="60593" spans="6:6">
      <c r="F60593" s="2423"/>
    </row>
    <row r="60594" spans="6:6">
      <c r="F60594" s="2423"/>
    </row>
    <row r="60595" spans="6:6">
      <c r="F60595" s="2423"/>
    </row>
    <row r="60596" spans="6:6">
      <c r="F60596" s="2423"/>
    </row>
    <row r="60597" spans="6:6">
      <c r="F60597" s="2423"/>
    </row>
    <row r="60598" spans="6:6">
      <c r="F60598" s="2423"/>
    </row>
    <row r="60599" spans="6:6">
      <c r="F60599" s="2423"/>
    </row>
    <row r="60600" spans="6:6">
      <c r="F60600" s="2423"/>
    </row>
    <row r="60601" spans="6:6">
      <c r="F60601" s="2423"/>
    </row>
    <row r="60602" spans="6:6">
      <c r="F60602" s="2423"/>
    </row>
    <row r="60603" spans="6:6">
      <c r="F60603" s="2423"/>
    </row>
    <row r="60604" spans="6:6">
      <c r="F60604" s="2423"/>
    </row>
    <row r="60605" spans="6:6">
      <c r="F60605" s="2423"/>
    </row>
    <row r="60606" spans="6:6">
      <c r="F60606" s="2423"/>
    </row>
    <row r="60607" spans="6:6">
      <c r="F60607" s="2423"/>
    </row>
    <row r="60608" spans="6:6">
      <c r="F60608" s="2423"/>
    </row>
    <row r="60609" spans="6:6">
      <c r="F60609" s="2423"/>
    </row>
    <row r="60610" spans="6:6">
      <c r="F60610" s="2423"/>
    </row>
    <row r="60611" spans="6:6">
      <c r="F60611" s="2423"/>
    </row>
    <row r="60612" spans="6:6">
      <c r="F60612" s="2423"/>
    </row>
    <row r="60613" spans="6:6">
      <c r="F60613" s="2423"/>
    </row>
    <row r="60614" spans="6:6">
      <c r="F60614" s="2423"/>
    </row>
    <row r="60615" spans="6:6">
      <c r="F60615" s="2423"/>
    </row>
    <row r="60616" spans="6:6">
      <c r="F60616" s="2423"/>
    </row>
    <row r="60617" spans="6:6">
      <c r="F60617" s="2423"/>
    </row>
    <row r="60618" spans="6:6">
      <c r="F60618" s="2423"/>
    </row>
    <row r="60619" spans="6:6">
      <c r="F60619" s="2423"/>
    </row>
    <row r="60620" spans="6:6">
      <c r="F60620" s="2423"/>
    </row>
    <row r="60621" spans="6:6">
      <c r="F60621" s="2423"/>
    </row>
    <row r="60622" spans="6:6">
      <c r="F60622" s="2423"/>
    </row>
    <row r="60623" spans="6:6">
      <c r="F60623" s="2423"/>
    </row>
    <row r="60624" spans="6:6">
      <c r="F60624" s="2423"/>
    </row>
    <row r="60625" spans="6:6">
      <c r="F60625" s="2423"/>
    </row>
    <row r="60626" spans="6:6">
      <c r="F60626" s="2423"/>
    </row>
    <row r="60627" spans="6:6">
      <c r="F60627" s="2423"/>
    </row>
    <row r="60628" spans="6:6">
      <c r="F60628" s="2423"/>
    </row>
    <row r="60629" spans="6:6">
      <c r="F60629" s="2423"/>
    </row>
    <row r="60630" spans="6:6">
      <c r="F60630" s="2423"/>
    </row>
    <row r="60631" spans="6:6">
      <c r="F60631" s="2423"/>
    </row>
    <row r="60632" spans="6:6">
      <c r="F60632" s="2423"/>
    </row>
    <row r="60633" spans="6:6">
      <c r="F60633" s="2423"/>
    </row>
    <row r="60634" spans="6:6">
      <c r="F60634" s="2423"/>
    </row>
    <row r="60635" spans="6:6">
      <c r="F60635" s="2423"/>
    </row>
    <row r="60636" spans="6:6">
      <c r="F60636" s="2423"/>
    </row>
    <row r="60637" spans="6:6">
      <c r="F60637" s="2423"/>
    </row>
    <row r="60638" spans="6:6">
      <c r="F60638" s="2423"/>
    </row>
    <row r="60639" spans="6:6">
      <c r="F60639" s="2423"/>
    </row>
    <row r="60640" spans="6:6">
      <c r="F60640" s="2423"/>
    </row>
    <row r="60641" spans="6:6">
      <c r="F60641" s="2423"/>
    </row>
    <row r="60642" spans="6:6">
      <c r="F60642" s="2423"/>
    </row>
    <row r="60643" spans="6:6">
      <c r="F60643" s="2423"/>
    </row>
    <row r="60644" spans="6:6">
      <c r="F60644" s="2423"/>
    </row>
    <row r="60645" spans="6:6">
      <c r="F60645" s="2423"/>
    </row>
    <row r="60646" spans="6:6">
      <c r="F60646" s="2423"/>
    </row>
    <row r="60647" spans="6:6">
      <c r="F60647" s="2423"/>
    </row>
    <row r="60648" spans="6:6">
      <c r="F60648" s="2423"/>
    </row>
    <row r="60649" spans="6:6">
      <c r="F60649" s="2423"/>
    </row>
    <row r="60650" spans="6:6">
      <c r="F60650" s="2423"/>
    </row>
    <row r="60651" spans="6:6">
      <c r="F60651" s="2423"/>
    </row>
    <row r="60652" spans="6:6">
      <c r="F60652" s="2423"/>
    </row>
    <row r="60653" spans="6:6">
      <c r="F60653" s="2423"/>
    </row>
    <row r="60654" spans="6:6">
      <c r="F60654" s="2423"/>
    </row>
    <row r="60655" spans="6:6">
      <c r="F60655" s="2423"/>
    </row>
    <row r="60656" spans="6:6">
      <c r="F60656" s="2423"/>
    </row>
    <row r="60657" spans="6:6">
      <c r="F60657" s="2423"/>
    </row>
    <row r="60658" spans="6:6">
      <c r="F60658" s="2423"/>
    </row>
    <row r="60659" spans="6:6">
      <c r="F60659" s="2423"/>
    </row>
    <row r="60660" spans="6:6">
      <c r="F60660" s="2423"/>
    </row>
    <row r="60661" spans="6:6">
      <c r="F60661" s="2423"/>
    </row>
    <row r="60662" spans="6:6">
      <c r="F60662" s="2423"/>
    </row>
    <row r="60663" spans="6:6">
      <c r="F60663" s="2423"/>
    </row>
    <row r="60664" spans="6:6">
      <c r="F60664" s="2423"/>
    </row>
    <row r="60665" spans="6:6">
      <c r="F60665" s="2423"/>
    </row>
    <row r="60666" spans="6:6">
      <c r="F60666" s="2423"/>
    </row>
    <row r="60667" spans="6:6">
      <c r="F60667" s="2423"/>
    </row>
    <row r="60668" spans="6:6">
      <c r="F60668" s="2423"/>
    </row>
    <row r="60669" spans="6:6">
      <c r="F60669" s="2423"/>
    </row>
    <row r="60670" spans="6:6">
      <c r="F60670" s="2423"/>
    </row>
    <row r="60671" spans="6:6">
      <c r="F60671" s="2423"/>
    </row>
    <row r="60672" spans="6:6">
      <c r="F60672" s="2423"/>
    </row>
    <row r="60673" spans="6:6">
      <c r="F60673" s="2423"/>
    </row>
    <row r="60674" spans="6:6">
      <c r="F60674" s="2423"/>
    </row>
    <row r="60675" spans="6:6">
      <c r="F60675" s="2423"/>
    </row>
    <row r="60676" spans="6:6">
      <c r="F60676" s="2423"/>
    </row>
    <row r="60677" spans="6:6">
      <c r="F60677" s="2423"/>
    </row>
    <row r="60678" spans="6:6">
      <c r="F60678" s="2423"/>
    </row>
    <row r="60679" spans="6:6">
      <c r="F60679" s="2423"/>
    </row>
    <row r="60680" spans="6:6">
      <c r="F60680" s="2423"/>
    </row>
    <row r="60681" spans="6:6">
      <c r="F60681" s="2423"/>
    </row>
    <row r="60682" spans="6:6">
      <c r="F60682" s="2423"/>
    </row>
    <row r="60683" spans="6:6">
      <c r="F60683" s="2423"/>
    </row>
    <row r="60684" spans="6:6">
      <c r="F60684" s="2423"/>
    </row>
    <row r="60685" spans="6:6">
      <c r="F60685" s="2423"/>
    </row>
    <row r="60686" spans="6:6">
      <c r="F60686" s="2423"/>
    </row>
    <row r="60687" spans="6:6">
      <c r="F60687" s="2423"/>
    </row>
    <row r="60688" spans="6:6">
      <c r="F60688" s="2423"/>
    </row>
    <row r="60689" spans="6:6">
      <c r="F60689" s="2423"/>
    </row>
    <row r="60690" spans="6:6">
      <c r="F60690" s="2423"/>
    </row>
    <row r="60691" spans="6:6">
      <c r="F60691" s="2423"/>
    </row>
    <row r="60692" spans="6:6">
      <c r="F60692" s="2423"/>
    </row>
    <row r="60693" spans="6:6">
      <c r="F60693" s="2423"/>
    </row>
    <row r="60694" spans="6:6">
      <c r="F60694" s="2423"/>
    </row>
    <row r="60695" spans="6:6">
      <c r="F60695" s="2423"/>
    </row>
    <row r="60696" spans="6:6">
      <c r="F60696" s="2423"/>
    </row>
    <row r="60697" spans="6:6">
      <c r="F60697" s="2423"/>
    </row>
    <row r="60698" spans="6:6">
      <c r="F60698" s="2423"/>
    </row>
    <row r="60699" spans="6:6">
      <c r="F60699" s="2423"/>
    </row>
    <row r="60700" spans="6:6">
      <c r="F60700" s="2423"/>
    </row>
    <row r="60701" spans="6:6">
      <c r="F60701" s="2423"/>
    </row>
    <row r="60702" spans="6:6">
      <c r="F60702" s="2423"/>
    </row>
    <row r="60703" spans="6:6">
      <c r="F60703" s="2423"/>
    </row>
    <row r="60704" spans="6:6">
      <c r="F60704" s="2423"/>
    </row>
    <row r="60705" spans="6:6">
      <c r="F60705" s="2423"/>
    </row>
    <row r="60706" spans="6:6">
      <c r="F60706" s="2423"/>
    </row>
    <row r="60707" spans="6:6">
      <c r="F60707" s="2423"/>
    </row>
    <row r="60708" spans="6:6">
      <c r="F60708" s="2423"/>
    </row>
    <row r="60709" spans="6:6">
      <c r="F60709" s="2423"/>
    </row>
    <row r="60710" spans="6:6">
      <c r="F60710" s="2423"/>
    </row>
    <row r="60711" spans="6:6">
      <c r="F60711" s="2423"/>
    </row>
    <row r="60712" spans="6:6">
      <c r="F60712" s="2423"/>
    </row>
    <row r="60713" spans="6:6">
      <c r="F60713" s="2423"/>
    </row>
    <row r="60714" spans="6:6">
      <c r="F60714" s="2423"/>
    </row>
    <row r="60715" spans="6:6">
      <c r="F60715" s="2423"/>
    </row>
    <row r="60716" spans="6:6">
      <c r="F60716" s="2423"/>
    </row>
    <row r="60717" spans="6:6">
      <c r="F60717" s="2423"/>
    </row>
    <row r="60718" spans="6:6">
      <c r="F60718" s="2423"/>
    </row>
    <row r="60719" spans="6:6">
      <c r="F60719" s="2423"/>
    </row>
    <row r="60720" spans="6:6">
      <c r="F60720" s="2423"/>
    </row>
    <row r="60721" spans="6:6">
      <c r="F60721" s="2423"/>
    </row>
    <row r="60722" spans="6:6">
      <c r="F60722" s="2423"/>
    </row>
    <row r="60723" spans="6:6">
      <c r="F60723" s="2423"/>
    </row>
    <row r="60724" spans="6:6">
      <c r="F60724" s="2423"/>
    </row>
    <row r="60725" spans="6:6">
      <c r="F60725" s="2423"/>
    </row>
    <row r="60726" spans="6:6">
      <c r="F60726" s="2423"/>
    </row>
    <row r="60727" spans="6:6">
      <c r="F60727" s="2423"/>
    </row>
    <row r="60728" spans="6:6">
      <c r="F60728" s="2423"/>
    </row>
    <row r="60729" spans="6:6">
      <c r="F60729" s="2423"/>
    </row>
    <row r="60730" spans="6:6">
      <c r="F60730" s="2423"/>
    </row>
    <row r="60731" spans="6:6">
      <c r="F60731" s="2423"/>
    </row>
    <row r="60732" spans="6:6">
      <c r="F60732" s="2423"/>
    </row>
    <row r="60733" spans="6:6">
      <c r="F60733" s="2423"/>
    </row>
    <row r="60734" spans="6:6">
      <c r="F60734" s="2423"/>
    </row>
    <row r="60735" spans="6:6">
      <c r="F60735" s="2423"/>
    </row>
    <row r="60736" spans="6:6">
      <c r="F60736" s="2423"/>
    </row>
    <row r="60737" spans="6:6">
      <c r="F60737" s="2423"/>
    </row>
    <row r="60738" spans="6:6">
      <c r="F60738" s="2423"/>
    </row>
    <row r="60739" spans="6:6">
      <c r="F60739" s="2423"/>
    </row>
    <row r="60740" spans="6:6">
      <c r="F60740" s="2423"/>
    </row>
    <row r="60741" spans="6:6">
      <c r="F60741" s="2423"/>
    </row>
    <row r="60742" spans="6:6">
      <c r="F60742" s="2423"/>
    </row>
    <row r="60743" spans="6:6">
      <c r="F60743" s="2423"/>
    </row>
    <row r="60744" spans="6:6">
      <c r="F60744" s="2423"/>
    </row>
    <row r="60745" spans="6:6">
      <c r="F60745" s="2423"/>
    </row>
    <row r="60746" spans="6:6">
      <c r="F60746" s="2423"/>
    </row>
    <row r="60747" spans="6:6">
      <c r="F60747" s="2423"/>
    </row>
    <row r="60748" spans="6:6">
      <c r="F60748" s="2423"/>
    </row>
    <row r="60749" spans="6:6">
      <c r="F60749" s="2423"/>
    </row>
    <row r="60750" spans="6:6">
      <c r="F60750" s="2423"/>
    </row>
    <row r="60751" spans="6:6">
      <c r="F60751" s="2423"/>
    </row>
    <row r="60752" spans="6:6">
      <c r="F60752" s="2423"/>
    </row>
    <row r="60753" spans="6:6">
      <c r="F60753" s="2423"/>
    </row>
    <row r="60754" spans="6:6">
      <c r="F60754" s="2423"/>
    </row>
    <row r="60755" spans="6:6">
      <c r="F60755" s="2423"/>
    </row>
    <row r="60756" spans="6:6">
      <c r="F60756" s="2423"/>
    </row>
    <row r="60757" spans="6:6">
      <c r="F60757" s="2423"/>
    </row>
    <row r="60758" spans="6:6">
      <c r="F60758" s="2423"/>
    </row>
    <row r="60759" spans="6:6">
      <c r="F60759" s="2423"/>
    </row>
    <row r="60760" spans="6:6">
      <c r="F60760" s="2423"/>
    </row>
    <row r="60761" spans="6:6">
      <c r="F60761" s="2423"/>
    </row>
    <row r="60762" spans="6:6">
      <c r="F60762" s="2423"/>
    </row>
    <row r="60763" spans="6:6">
      <c r="F60763" s="2423"/>
    </row>
    <row r="60764" spans="6:6">
      <c r="F60764" s="2423"/>
    </row>
    <row r="60765" spans="6:6">
      <c r="F60765" s="2423"/>
    </row>
    <row r="60766" spans="6:6">
      <c r="F60766" s="2423"/>
    </row>
    <row r="60767" spans="6:6">
      <c r="F60767" s="2423"/>
    </row>
    <row r="60768" spans="6:6">
      <c r="F60768" s="2423"/>
    </row>
    <row r="60769" spans="6:6">
      <c r="F60769" s="2423"/>
    </row>
    <row r="60770" spans="6:6">
      <c r="F60770" s="2423"/>
    </row>
    <row r="60771" spans="6:6">
      <c r="F60771" s="2423"/>
    </row>
    <row r="60772" spans="6:6">
      <c r="F60772" s="2423"/>
    </row>
    <row r="60773" spans="6:6">
      <c r="F60773" s="2423"/>
    </row>
    <row r="60774" spans="6:6">
      <c r="F60774" s="2423"/>
    </row>
    <row r="60775" spans="6:6">
      <c r="F60775" s="2423"/>
    </row>
    <row r="60776" spans="6:6">
      <c r="F60776" s="2423"/>
    </row>
    <row r="60777" spans="6:6">
      <c r="F60777" s="2423"/>
    </row>
    <row r="60778" spans="6:6">
      <c r="F60778" s="2423"/>
    </row>
    <row r="60779" spans="6:6">
      <c r="F60779" s="2423"/>
    </row>
    <row r="60780" spans="6:6">
      <c r="F60780" s="2423"/>
    </row>
    <row r="60781" spans="6:6">
      <c r="F60781" s="2423"/>
    </row>
    <row r="60782" spans="6:6">
      <c r="F60782" s="2423"/>
    </row>
    <row r="60783" spans="6:6">
      <c r="F60783" s="2423"/>
    </row>
    <row r="60784" spans="6:6">
      <c r="F60784" s="2423"/>
    </row>
    <row r="60785" spans="6:6">
      <c r="F60785" s="2423"/>
    </row>
    <row r="60786" spans="6:6">
      <c r="F60786" s="2423"/>
    </row>
    <row r="60787" spans="6:6">
      <c r="F60787" s="2423"/>
    </row>
    <row r="60788" spans="6:6">
      <c r="F60788" s="2423"/>
    </row>
    <row r="60789" spans="6:6">
      <c r="F60789" s="2423"/>
    </row>
    <row r="60790" spans="6:6">
      <c r="F60790" s="2423"/>
    </row>
    <row r="60791" spans="6:6">
      <c r="F60791" s="2423"/>
    </row>
    <row r="60792" spans="6:6">
      <c r="F60792" s="2423"/>
    </row>
    <row r="60793" spans="6:6">
      <c r="F60793" s="2423"/>
    </row>
    <row r="60794" spans="6:6">
      <c r="F60794" s="2423"/>
    </row>
    <row r="60795" spans="6:6">
      <c r="F60795" s="2423"/>
    </row>
    <row r="60796" spans="6:6">
      <c r="F60796" s="2423"/>
    </row>
    <row r="60797" spans="6:6">
      <c r="F60797" s="2423"/>
    </row>
    <row r="60798" spans="6:6">
      <c r="F60798" s="2423"/>
    </row>
    <row r="60799" spans="6:6">
      <c r="F60799" s="2423"/>
    </row>
    <row r="60800" spans="6:6">
      <c r="F60800" s="2423"/>
    </row>
    <row r="60801" spans="6:6">
      <c r="F60801" s="2423"/>
    </row>
    <row r="60802" spans="6:6">
      <c r="F60802" s="2423"/>
    </row>
    <row r="60803" spans="6:6">
      <c r="F60803" s="2423"/>
    </row>
    <row r="60804" spans="6:6">
      <c r="F60804" s="2423"/>
    </row>
    <row r="60805" spans="6:6">
      <c r="F60805" s="2423"/>
    </row>
    <row r="60806" spans="6:6">
      <c r="F60806" s="2423"/>
    </row>
    <row r="60807" spans="6:6">
      <c r="F60807" s="2423"/>
    </row>
    <row r="60808" spans="6:6">
      <c r="F60808" s="2423"/>
    </row>
    <row r="60809" spans="6:6">
      <c r="F60809" s="2423"/>
    </row>
    <row r="60810" spans="6:6">
      <c r="F60810" s="2423"/>
    </row>
    <row r="60811" spans="6:6">
      <c r="F60811" s="2423"/>
    </row>
    <row r="60812" spans="6:6">
      <c r="F60812" s="2423"/>
    </row>
    <row r="60813" spans="6:6">
      <c r="F60813" s="2423"/>
    </row>
    <row r="60814" spans="6:6">
      <c r="F60814" s="2423"/>
    </row>
    <row r="60815" spans="6:6">
      <c r="F60815" s="2423"/>
    </row>
    <row r="60816" spans="6:6">
      <c r="F60816" s="2423"/>
    </row>
    <row r="60817" spans="6:6">
      <c r="F60817" s="2423"/>
    </row>
    <row r="60818" spans="6:6">
      <c r="F60818" s="2423"/>
    </row>
    <row r="60819" spans="6:6">
      <c r="F60819" s="2423"/>
    </row>
    <row r="60820" spans="6:6">
      <c r="F60820" s="2423"/>
    </row>
    <row r="60821" spans="6:6">
      <c r="F60821" s="2423"/>
    </row>
    <row r="60822" spans="6:6">
      <c r="F60822" s="2423"/>
    </row>
    <row r="60823" spans="6:6">
      <c r="F60823" s="2423"/>
    </row>
    <row r="60824" spans="6:6">
      <c r="F60824" s="2423"/>
    </row>
    <row r="60825" spans="6:6">
      <c r="F60825" s="2423"/>
    </row>
    <row r="60826" spans="6:6">
      <c r="F60826" s="2423"/>
    </row>
    <row r="60827" spans="6:6">
      <c r="F60827" s="2423"/>
    </row>
    <row r="60828" spans="6:6">
      <c r="F60828" s="2423"/>
    </row>
    <row r="60829" spans="6:6">
      <c r="F60829" s="2423"/>
    </row>
    <row r="60830" spans="6:6">
      <c r="F60830" s="2423"/>
    </row>
    <row r="60831" spans="6:6">
      <c r="F60831" s="2423"/>
    </row>
    <row r="60832" spans="6:6">
      <c r="F60832" s="2423"/>
    </row>
    <row r="60833" spans="6:6">
      <c r="F60833" s="2423"/>
    </row>
    <row r="60834" spans="6:6">
      <c r="F60834" s="2423"/>
    </row>
    <row r="60835" spans="6:6">
      <c r="F60835" s="2423"/>
    </row>
    <row r="60836" spans="6:6">
      <c r="F60836" s="2423"/>
    </row>
    <row r="60837" spans="6:6">
      <c r="F60837" s="2423"/>
    </row>
    <row r="60838" spans="6:6">
      <c r="F60838" s="2423"/>
    </row>
    <row r="60839" spans="6:6">
      <c r="F60839" s="2423"/>
    </row>
    <row r="60840" spans="6:6">
      <c r="F60840" s="2423"/>
    </row>
    <row r="60841" spans="6:6">
      <c r="F60841" s="2423"/>
    </row>
    <row r="60842" spans="6:6">
      <c r="F60842" s="2423"/>
    </row>
    <row r="60843" spans="6:6">
      <c r="F60843" s="2423"/>
    </row>
    <row r="60844" spans="6:6">
      <c r="F60844" s="2423"/>
    </row>
    <row r="60845" spans="6:6">
      <c r="F60845" s="2423"/>
    </row>
    <row r="60846" spans="6:6">
      <c r="F60846" s="2423"/>
    </row>
    <row r="60847" spans="6:6">
      <c r="F60847" s="2423"/>
    </row>
    <row r="60848" spans="6:6">
      <c r="F60848" s="2423"/>
    </row>
    <row r="60849" spans="6:6">
      <c r="F60849" s="2423"/>
    </row>
    <row r="60850" spans="6:6">
      <c r="F60850" s="2423"/>
    </row>
    <row r="60851" spans="6:6">
      <c r="F60851" s="2423"/>
    </row>
    <row r="60852" spans="6:6">
      <c r="F60852" s="2423"/>
    </row>
    <row r="60853" spans="6:6">
      <c r="F60853" s="2423"/>
    </row>
    <row r="60854" spans="6:6">
      <c r="F60854" s="2423"/>
    </row>
    <row r="60855" spans="6:6">
      <c r="F60855" s="2423"/>
    </row>
    <row r="60856" spans="6:6">
      <c r="F60856" s="2423"/>
    </row>
    <row r="60857" spans="6:6">
      <c r="F60857" s="2423"/>
    </row>
    <row r="60858" spans="6:6">
      <c r="F60858" s="2423"/>
    </row>
    <row r="60859" spans="6:6">
      <c r="F60859" s="2423"/>
    </row>
    <row r="60860" spans="6:6">
      <c r="F60860" s="2423"/>
    </row>
    <row r="60861" spans="6:6">
      <c r="F60861" s="2423"/>
    </row>
    <row r="60862" spans="6:6">
      <c r="F60862" s="2423"/>
    </row>
    <row r="60863" spans="6:6">
      <c r="F60863" s="2423"/>
    </row>
    <row r="60864" spans="6:6">
      <c r="F60864" s="2423"/>
    </row>
    <row r="60865" spans="6:6">
      <c r="F60865" s="2423"/>
    </row>
    <row r="60866" spans="6:6">
      <c r="F60866" s="2423"/>
    </row>
    <row r="60867" spans="6:6">
      <c r="F60867" s="2423"/>
    </row>
    <row r="60868" spans="6:6">
      <c r="F60868" s="2423"/>
    </row>
    <row r="60869" spans="6:6">
      <c r="F60869" s="2423"/>
    </row>
    <row r="60870" spans="6:6">
      <c r="F60870" s="2423"/>
    </row>
    <row r="60871" spans="6:6">
      <c r="F60871" s="2423"/>
    </row>
    <row r="60872" spans="6:6">
      <c r="F60872" s="2423"/>
    </row>
    <row r="60873" spans="6:6">
      <c r="F60873" s="2423"/>
    </row>
    <row r="60874" spans="6:6">
      <c r="F60874" s="2423"/>
    </row>
    <row r="60875" spans="6:6">
      <c r="F60875" s="2423"/>
    </row>
    <row r="60876" spans="6:6">
      <c r="F60876" s="2423"/>
    </row>
    <row r="60877" spans="6:6">
      <c r="F60877" s="2423"/>
    </row>
    <row r="60878" spans="6:6">
      <c r="F60878" s="2423"/>
    </row>
    <row r="60879" spans="6:6">
      <c r="F60879" s="2423"/>
    </row>
    <row r="60880" spans="6:6">
      <c r="F60880" s="2423"/>
    </row>
    <row r="60881" spans="6:6">
      <c r="F60881" s="2423"/>
    </row>
    <row r="60882" spans="6:6">
      <c r="F60882" s="2423"/>
    </row>
    <row r="60883" spans="6:6">
      <c r="F60883" s="2423"/>
    </row>
    <row r="60884" spans="6:6">
      <c r="F60884" s="2423"/>
    </row>
    <row r="60885" spans="6:6">
      <c r="F60885" s="2423"/>
    </row>
    <row r="60886" spans="6:6">
      <c r="F60886" s="2423"/>
    </row>
    <row r="60887" spans="6:6">
      <c r="F60887" s="2423"/>
    </row>
    <row r="60888" spans="6:6">
      <c r="F60888" s="2423"/>
    </row>
    <row r="60889" spans="6:6">
      <c r="F60889" s="2423"/>
    </row>
    <row r="60890" spans="6:6">
      <c r="F60890" s="2423"/>
    </row>
    <row r="60891" spans="6:6">
      <c r="F60891" s="2423"/>
    </row>
    <row r="60892" spans="6:6">
      <c r="F60892" s="2423"/>
    </row>
    <row r="60893" spans="6:6">
      <c r="F60893" s="2423"/>
    </row>
    <row r="60894" spans="6:6">
      <c r="F60894" s="2423"/>
    </row>
    <row r="60895" spans="6:6">
      <c r="F60895" s="2423"/>
    </row>
    <row r="60896" spans="6:6">
      <c r="F60896" s="2423"/>
    </row>
    <row r="60897" spans="6:6">
      <c r="F60897" s="2423"/>
    </row>
    <row r="60898" spans="6:6">
      <c r="F60898" s="2423"/>
    </row>
    <row r="60899" spans="6:6">
      <c r="F60899" s="2423"/>
    </row>
    <row r="60900" spans="6:6">
      <c r="F60900" s="2423"/>
    </row>
    <row r="60901" spans="6:6">
      <c r="F60901" s="2423"/>
    </row>
    <row r="60902" spans="6:6">
      <c r="F60902" s="2423"/>
    </row>
    <row r="60903" spans="6:6">
      <c r="F60903" s="2423"/>
    </row>
    <row r="60904" spans="6:6">
      <c r="F60904" s="2423"/>
    </row>
    <row r="60905" spans="6:6">
      <c r="F60905" s="2423"/>
    </row>
    <row r="60906" spans="6:6">
      <c r="F60906" s="2423"/>
    </row>
    <row r="60907" spans="6:6">
      <c r="F60907" s="2423"/>
    </row>
    <row r="60908" spans="6:6">
      <c r="F60908" s="2423"/>
    </row>
    <row r="60909" spans="6:6">
      <c r="F60909" s="2423"/>
    </row>
    <row r="60910" spans="6:6">
      <c r="F60910" s="2423"/>
    </row>
    <row r="60911" spans="6:6">
      <c r="F60911" s="2423"/>
    </row>
    <row r="60912" spans="6:6">
      <c r="F60912" s="2423"/>
    </row>
    <row r="60913" spans="6:6">
      <c r="F60913" s="2423"/>
    </row>
    <row r="60914" spans="6:6">
      <c r="F60914" s="2423"/>
    </row>
    <row r="60915" spans="6:6">
      <c r="F60915" s="2423"/>
    </row>
    <row r="60916" spans="6:6">
      <c r="F60916" s="2423"/>
    </row>
    <row r="60917" spans="6:6">
      <c r="F60917" s="2423"/>
    </row>
    <row r="60918" spans="6:6">
      <c r="F60918" s="2423"/>
    </row>
    <row r="60919" spans="6:6">
      <c r="F60919" s="2423"/>
    </row>
    <row r="60920" spans="6:6">
      <c r="F60920" s="2423"/>
    </row>
    <row r="60921" spans="6:6">
      <c r="F60921" s="2423"/>
    </row>
    <row r="60922" spans="6:6">
      <c r="F60922" s="2423"/>
    </row>
    <row r="60923" spans="6:6">
      <c r="F60923" s="2423"/>
    </row>
    <row r="60924" spans="6:6">
      <c r="F60924" s="2423"/>
    </row>
    <row r="60925" spans="6:6">
      <c r="F60925" s="2423"/>
    </row>
    <row r="60926" spans="6:6">
      <c r="F60926" s="2423"/>
    </row>
    <row r="60927" spans="6:6">
      <c r="F60927" s="2423"/>
    </row>
    <row r="60928" spans="6:6">
      <c r="F60928" s="2423"/>
    </row>
    <row r="60929" spans="6:6">
      <c r="F60929" s="2423"/>
    </row>
    <row r="60930" spans="6:6">
      <c r="F60930" s="2423"/>
    </row>
    <row r="60931" spans="6:6">
      <c r="F60931" s="2423"/>
    </row>
    <row r="60932" spans="6:6">
      <c r="F60932" s="2423"/>
    </row>
    <row r="60933" spans="6:6">
      <c r="F60933" s="2423"/>
    </row>
    <row r="60934" spans="6:6">
      <c r="F60934" s="2423"/>
    </row>
    <row r="60935" spans="6:6">
      <c r="F60935" s="2423"/>
    </row>
    <row r="60936" spans="6:6">
      <c r="F60936" s="2423"/>
    </row>
    <row r="60937" spans="6:6">
      <c r="F60937" s="2423"/>
    </row>
    <row r="60938" spans="6:6">
      <c r="F60938" s="2423"/>
    </row>
    <row r="60939" spans="6:6">
      <c r="F60939" s="2423"/>
    </row>
    <row r="60940" spans="6:6">
      <c r="F60940" s="2423"/>
    </row>
    <row r="60941" spans="6:6">
      <c r="F60941" s="2423"/>
    </row>
    <row r="60942" spans="6:6">
      <c r="F60942" s="2423"/>
    </row>
    <row r="60943" spans="6:6">
      <c r="F60943" s="2423"/>
    </row>
    <row r="60944" spans="6:6">
      <c r="F60944" s="2423"/>
    </row>
    <row r="60945" spans="6:6">
      <c r="F60945" s="2423"/>
    </row>
    <row r="60946" spans="6:6">
      <c r="F60946" s="2423"/>
    </row>
    <row r="60947" spans="6:6">
      <c r="F60947" s="2423"/>
    </row>
    <row r="60948" spans="6:6">
      <c r="F60948" s="2423"/>
    </row>
    <row r="60949" spans="6:6">
      <c r="F60949" s="2423"/>
    </row>
    <row r="60950" spans="6:6">
      <c r="F60950" s="2423"/>
    </row>
    <row r="60951" spans="6:6">
      <c r="F60951" s="2423"/>
    </row>
    <row r="60952" spans="6:6">
      <c r="F60952" s="2423"/>
    </row>
    <row r="60953" spans="6:6">
      <c r="F60953" s="2423"/>
    </row>
    <row r="60954" spans="6:6">
      <c r="F60954" s="2423"/>
    </row>
    <row r="60955" spans="6:6">
      <c r="F60955" s="2423"/>
    </row>
    <row r="60956" spans="6:6">
      <c r="F60956" s="2423"/>
    </row>
    <row r="60957" spans="6:6">
      <c r="F60957" s="2423"/>
    </row>
    <row r="60958" spans="6:6">
      <c r="F60958" s="2423"/>
    </row>
    <row r="60959" spans="6:6">
      <c r="F60959" s="2423"/>
    </row>
    <row r="60960" spans="6:6">
      <c r="F60960" s="2423"/>
    </row>
    <row r="60961" spans="6:6">
      <c r="F60961" s="2423"/>
    </row>
    <row r="60962" spans="6:6">
      <c r="F60962" s="2423"/>
    </row>
    <row r="60963" spans="6:6">
      <c r="F60963" s="2423"/>
    </row>
    <row r="60964" spans="6:6">
      <c r="F60964" s="2423"/>
    </row>
    <row r="60965" spans="6:6">
      <c r="F60965" s="2423"/>
    </row>
    <row r="60966" spans="6:6">
      <c r="F60966" s="2423"/>
    </row>
    <row r="60967" spans="6:6">
      <c r="F60967" s="2423"/>
    </row>
    <row r="60968" spans="6:6">
      <c r="F60968" s="2423"/>
    </row>
    <row r="60969" spans="6:6">
      <c r="F60969" s="2423"/>
    </row>
    <row r="60970" spans="6:6">
      <c r="F60970" s="2423"/>
    </row>
    <row r="60971" spans="6:6">
      <c r="F60971" s="2423"/>
    </row>
    <row r="60972" spans="6:6">
      <c r="F60972" s="2423"/>
    </row>
    <row r="60973" spans="6:6">
      <c r="F60973" s="2423"/>
    </row>
    <row r="60974" spans="6:6">
      <c r="F60974" s="2423"/>
    </row>
    <row r="60975" spans="6:6">
      <c r="F60975" s="2423"/>
    </row>
    <row r="60976" spans="6:6">
      <c r="F60976" s="2423"/>
    </row>
    <row r="60977" spans="6:6">
      <c r="F60977" s="2423"/>
    </row>
    <row r="60978" spans="6:6">
      <c r="F60978" s="2423"/>
    </row>
    <row r="60979" spans="6:6">
      <c r="F60979" s="2423"/>
    </row>
    <row r="60980" spans="6:6">
      <c r="F60980" s="2423"/>
    </row>
    <row r="60981" spans="6:6">
      <c r="F60981" s="2423"/>
    </row>
    <row r="60982" spans="6:6">
      <c r="F60982" s="2423"/>
    </row>
    <row r="60983" spans="6:6">
      <c r="F60983" s="2423"/>
    </row>
    <row r="60984" spans="6:6">
      <c r="F60984" s="2423"/>
    </row>
    <row r="60985" spans="6:6">
      <c r="F60985" s="2423"/>
    </row>
    <row r="60986" spans="6:6">
      <c r="F60986" s="2423"/>
    </row>
    <row r="60987" spans="6:6">
      <c r="F60987" s="2423"/>
    </row>
    <row r="60988" spans="6:6">
      <c r="F60988" s="2423"/>
    </row>
    <row r="60989" spans="6:6">
      <c r="F60989" s="2423"/>
    </row>
    <row r="60990" spans="6:6">
      <c r="F60990" s="2423"/>
    </row>
    <row r="60991" spans="6:6">
      <c r="F60991" s="2423"/>
    </row>
    <row r="60992" spans="6:6">
      <c r="F60992" s="2423"/>
    </row>
    <row r="60993" spans="6:6">
      <c r="F60993" s="2423"/>
    </row>
    <row r="60994" spans="6:6">
      <c r="F60994" s="2423"/>
    </row>
    <row r="60995" spans="6:6">
      <c r="F60995" s="2423"/>
    </row>
    <row r="60996" spans="6:6">
      <c r="F60996" s="2423"/>
    </row>
    <row r="60997" spans="6:6">
      <c r="F60997" s="2423"/>
    </row>
    <row r="60998" spans="6:6">
      <c r="F60998" s="2423"/>
    </row>
    <row r="60999" spans="6:6">
      <c r="F60999" s="2423"/>
    </row>
    <row r="61000" spans="6:6">
      <c r="F61000" s="2423"/>
    </row>
    <row r="61001" spans="6:6">
      <c r="F61001" s="2423"/>
    </row>
    <row r="61002" spans="6:6">
      <c r="F61002" s="2423"/>
    </row>
    <row r="61003" spans="6:6">
      <c r="F61003" s="2423"/>
    </row>
    <row r="61004" spans="6:6">
      <c r="F61004" s="2423"/>
    </row>
    <row r="61005" spans="6:6">
      <c r="F61005" s="2423"/>
    </row>
    <row r="61006" spans="6:6">
      <c r="F61006" s="2423"/>
    </row>
    <row r="61007" spans="6:6">
      <c r="F61007" s="2423"/>
    </row>
    <row r="61008" spans="6:6">
      <c r="F61008" s="2423"/>
    </row>
    <row r="61009" spans="6:6">
      <c r="F61009" s="2423"/>
    </row>
    <row r="61010" spans="6:6">
      <c r="F61010" s="2423"/>
    </row>
    <row r="61011" spans="6:6">
      <c r="F61011" s="2423"/>
    </row>
    <row r="61012" spans="6:6">
      <c r="F61012" s="2423"/>
    </row>
    <row r="61013" spans="6:6">
      <c r="F61013" s="2423"/>
    </row>
    <row r="61014" spans="6:6">
      <c r="F61014" s="2423"/>
    </row>
    <row r="61015" spans="6:6">
      <c r="F61015" s="2423"/>
    </row>
    <row r="61016" spans="6:6">
      <c r="F61016" s="2423"/>
    </row>
    <row r="61017" spans="6:6">
      <c r="F61017" s="2423"/>
    </row>
    <row r="61018" spans="6:6">
      <c r="F61018" s="2423"/>
    </row>
    <row r="61019" spans="6:6">
      <c r="F61019" s="2423"/>
    </row>
    <row r="61020" spans="6:6">
      <c r="F61020" s="2423"/>
    </row>
    <row r="61021" spans="6:6">
      <c r="F61021" s="2423"/>
    </row>
    <row r="61022" spans="6:6">
      <c r="F61022" s="2423"/>
    </row>
    <row r="61023" spans="6:6">
      <c r="F61023" s="2423"/>
    </row>
    <row r="61024" spans="6:6">
      <c r="F61024" s="2423"/>
    </row>
    <row r="61025" spans="6:6">
      <c r="F61025" s="2423"/>
    </row>
    <row r="61026" spans="6:6">
      <c r="F61026" s="2423"/>
    </row>
    <row r="61027" spans="6:6">
      <c r="F61027" s="2423"/>
    </row>
    <row r="61028" spans="6:6">
      <c r="F61028" s="2423"/>
    </row>
    <row r="61029" spans="6:6">
      <c r="F61029" s="2423"/>
    </row>
    <row r="61030" spans="6:6">
      <c r="F61030" s="2423"/>
    </row>
    <row r="61031" spans="6:6">
      <c r="F61031" s="2423"/>
    </row>
    <row r="61032" spans="6:6">
      <c r="F61032" s="2423"/>
    </row>
    <row r="61033" spans="6:6">
      <c r="F61033" s="2423"/>
    </row>
    <row r="61034" spans="6:6">
      <c r="F61034" s="2423"/>
    </row>
    <row r="61035" spans="6:6">
      <c r="F61035" s="2423"/>
    </row>
    <row r="61036" spans="6:6">
      <c r="F61036" s="2423"/>
    </row>
    <row r="61037" spans="6:6">
      <c r="F61037" s="2423"/>
    </row>
    <row r="61038" spans="6:6">
      <c r="F61038" s="2423"/>
    </row>
    <row r="61039" spans="6:6">
      <c r="F61039" s="2423"/>
    </row>
    <row r="61040" spans="6:6">
      <c r="F61040" s="2423"/>
    </row>
    <row r="61041" spans="6:6">
      <c r="F61041" s="2423"/>
    </row>
    <row r="61042" spans="6:6">
      <c r="F61042" s="2423"/>
    </row>
    <row r="61043" spans="6:6">
      <c r="F61043" s="2423"/>
    </row>
    <row r="61044" spans="6:6">
      <c r="F61044" s="2423"/>
    </row>
    <row r="61045" spans="6:6">
      <c r="F61045" s="2423"/>
    </row>
    <row r="61046" spans="6:6">
      <c r="F61046" s="2423"/>
    </row>
    <row r="61047" spans="6:6">
      <c r="F61047" s="2423"/>
    </row>
    <row r="61048" spans="6:6">
      <c r="F61048" s="2423"/>
    </row>
    <row r="61049" spans="6:6">
      <c r="F61049" s="2423"/>
    </row>
    <row r="61050" spans="6:6">
      <c r="F61050" s="2423"/>
    </row>
    <row r="61051" spans="6:6">
      <c r="F61051" s="2423"/>
    </row>
    <row r="61052" spans="6:6">
      <c r="F61052" s="2423"/>
    </row>
    <row r="61053" spans="6:6">
      <c r="F61053" s="2423"/>
    </row>
    <row r="61054" spans="6:6">
      <c r="F61054" s="2423"/>
    </row>
    <row r="61055" spans="6:6">
      <c r="F61055" s="2423"/>
    </row>
    <row r="61056" spans="6:6">
      <c r="F61056" s="2423"/>
    </row>
    <row r="61057" spans="6:6">
      <c r="F61057" s="2423"/>
    </row>
    <row r="61058" spans="6:6">
      <c r="F61058" s="2423"/>
    </row>
    <row r="61059" spans="6:6">
      <c r="F61059" s="2423"/>
    </row>
    <row r="61060" spans="6:6">
      <c r="F61060" s="2423"/>
    </row>
    <row r="61061" spans="6:6">
      <c r="F61061" s="2423"/>
    </row>
    <row r="61062" spans="6:6">
      <c r="F61062" s="2423"/>
    </row>
    <row r="61063" spans="6:6">
      <c r="F61063" s="2423"/>
    </row>
    <row r="61064" spans="6:6">
      <c r="F61064" s="2423"/>
    </row>
    <row r="61065" spans="6:6">
      <c r="F61065" s="2423"/>
    </row>
    <row r="61066" spans="6:6">
      <c r="F61066" s="2423"/>
    </row>
    <row r="61067" spans="6:6">
      <c r="F61067" s="2423"/>
    </row>
    <row r="61068" spans="6:6">
      <c r="F61068" s="2423"/>
    </row>
    <row r="61069" spans="6:6">
      <c r="F61069" s="2423"/>
    </row>
    <row r="61070" spans="6:6">
      <c r="F61070" s="2423"/>
    </row>
    <row r="61071" spans="6:6">
      <c r="F61071" s="2423"/>
    </row>
    <row r="61072" spans="6:6">
      <c r="F61072" s="2423"/>
    </row>
    <row r="61073" spans="6:6">
      <c r="F61073" s="2423"/>
    </row>
    <row r="61074" spans="6:6">
      <c r="F61074" s="2423"/>
    </row>
    <row r="61075" spans="6:6">
      <c r="F61075" s="2423"/>
    </row>
    <row r="61076" spans="6:6">
      <c r="F61076" s="2423"/>
    </row>
    <row r="61077" spans="6:6">
      <c r="F61077" s="2423"/>
    </row>
    <row r="61078" spans="6:6">
      <c r="F61078" s="2423"/>
    </row>
    <row r="61079" spans="6:6">
      <c r="F61079" s="2423"/>
    </row>
    <row r="61080" spans="6:6">
      <c r="F61080" s="2423"/>
    </row>
    <row r="61081" spans="6:6">
      <c r="F61081" s="2423"/>
    </row>
    <row r="61082" spans="6:6">
      <c r="F61082" s="2423"/>
    </row>
    <row r="61083" spans="6:6">
      <c r="F61083" s="2423"/>
    </row>
    <row r="61084" spans="6:6">
      <c r="F61084" s="2423"/>
    </row>
    <row r="61085" spans="6:6">
      <c r="F61085" s="2423"/>
    </row>
    <row r="61086" spans="6:6">
      <c r="F61086" s="2423"/>
    </row>
    <row r="61087" spans="6:6">
      <c r="F61087" s="2423"/>
    </row>
    <row r="61088" spans="6:6">
      <c r="F61088" s="2423"/>
    </row>
    <row r="61089" spans="6:6">
      <c r="F61089" s="2423"/>
    </row>
    <row r="61090" spans="6:6">
      <c r="F61090" s="2423"/>
    </row>
    <row r="61091" spans="6:6">
      <c r="F61091" s="2423"/>
    </row>
    <row r="61092" spans="6:6">
      <c r="F61092" s="2423"/>
    </row>
    <row r="61093" spans="6:6">
      <c r="F61093" s="2423"/>
    </row>
    <row r="61094" spans="6:6">
      <c r="F61094" s="2423"/>
    </row>
    <row r="61095" spans="6:6">
      <c r="F61095" s="2423"/>
    </row>
    <row r="61096" spans="6:6">
      <c r="F61096" s="2423"/>
    </row>
    <row r="61097" spans="6:6">
      <c r="F61097" s="2423"/>
    </row>
    <row r="61098" spans="6:6">
      <c r="F61098" s="2423"/>
    </row>
    <row r="61099" spans="6:6">
      <c r="F61099" s="2423"/>
    </row>
    <row r="61100" spans="6:6">
      <c r="F61100" s="2423"/>
    </row>
    <row r="61101" spans="6:6">
      <c r="F61101" s="2423"/>
    </row>
    <row r="61102" spans="6:6">
      <c r="F61102" s="2423"/>
    </row>
    <row r="61103" spans="6:6">
      <c r="F61103" s="2423"/>
    </row>
    <row r="61104" spans="6:6">
      <c r="F61104" s="2423"/>
    </row>
    <row r="61105" spans="6:6">
      <c r="F61105" s="2423"/>
    </row>
    <row r="61106" spans="6:6">
      <c r="F61106" s="2423"/>
    </row>
    <row r="61107" spans="6:6">
      <c r="F61107" s="2423"/>
    </row>
    <row r="61108" spans="6:6">
      <c r="F61108" s="2423"/>
    </row>
    <row r="61109" spans="6:6">
      <c r="F61109" s="2423"/>
    </row>
    <row r="61110" spans="6:6">
      <c r="F61110" s="2423"/>
    </row>
    <row r="61111" spans="6:6">
      <c r="F61111" s="2423"/>
    </row>
    <row r="61112" spans="6:6">
      <c r="F61112" s="2423"/>
    </row>
    <row r="61113" spans="6:6">
      <c r="F61113" s="2423"/>
    </row>
    <row r="61114" spans="6:6">
      <c r="F61114" s="2423"/>
    </row>
    <row r="61115" spans="6:6">
      <c r="F61115" s="2423"/>
    </row>
    <row r="61116" spans="6:6">
      <c r="F61116" s="2423"/>
    </row>
    <row r="61117" spans="6:6">
      <c r="F61117" s="2423"/>
    </row>
    <row r="61118" spans="6:6">
      <c r="F61118" s="2423"/>
    </row>
    <row r="61119" spans="6:6">
      <c r="F61119" s="2423"/>
    </row>
    <row r="61120" spans="6:6">
      <c r="F61120" s="2423"/>
    </row>
    <row r="61121" spans="6:6">
      <c r="F61121" s="2423"/>
    </row>
    <row r="61122" spans="6:6">
      <c r="F61122" s="2423"/>
    </row>
    <row r="61123" spans="6:6">
      <c r="F61123" s="2423"/>
    </row>
    <row r="61124" spans="6:6">
      <c r="F61124" s="2423"/>
    </row>
    <row r="61125" spans="6:6">
      <c r="F61125" s="2423"/>
    </row>
    <row r="61126" spans="6:6">
      <c r="F61126" s="2423"/>
    </row>
    <row r="61127" spans="6:6">
      <c r="F61127" s="2423"/>
    </row>
    <row r="61128" spans="6:6">
      <c r="F61128" s="2423"/>
    </row>
    <row r="61129" spans="6:6">
      <c r="F61129" s="2423"/>
    </row>
    <row r="61130" spans="6:6">
      <c r="F61130" s="2423"/>
    </row>
    <row r="61131" spans="6:6">
      <c r="F61131" s="2423"/>
    </row>
    <row r="61132" spans="6:6">
      <c r="F61132" s="2423"/>
    </row>
    <row r="61133" spans="6:6">
      <c r="F61133" s="2423"/>
    </row>
    <row r="61134" spans="6:6">
      <c r="F61134" s="2423"/>
    </row>
    <row r="61135" spans="6:6">
      <c r="F61135" s="2423"/>
    </row>
    <row r="61136" spans="6:6">
      <c r="F61136" s="2423"/>
    </row>
    <row r="61137" spans="6:6">
      <c r="F61137" s="2423"/>
    </row>
    <row r="61138" spans="6:6">
      <c r="F61138" s="2423"/>
    </row>
    <row r="61139" spans="6:6">
      <c r="F61139" s="2423"/>
    </row>
    <row r="61140" spans="6:6">
      <c r="F61140" s="2423"/>
    </row>
    <row r="61141" spans="6:6">
      <c r="F61141" s="2423"/>
    </row>
    <row r="61142" spans="6:6">
      <c r="F61142" s="2423"/>
    </row>
    <row r="61143" spans="6:6">
      <c r="F61143" s="2423"/>
    </row>
    <row r="61144" spans="6:6">
      <c r="F61144" s="2423"/>
    </row>
    <row r="61145" spans="6:6">
      <c r="F61145" s="2423"/>
    </row>
    <row r="61146" spans="6:6">
      <c r="F61146" s="2423"/>
    </row>
    <row r="61147" spans="6:6">
      <c r="F61147" s="2423"/>
    </row>
    <row r="61148" spans="6:6">
      <c r="F61148" s="2423"/>
    </row>
    <row r="61149" spans="6:6">
      <c r="F61149" s="2423"/>
    </row>
    <row r="61150" spans="6:6">
      <c r="F61150" s="2423"/>
    </row>
    <row r="61151" spans="6:6">
      <c r="F61151" s="2423"/>
    </row>
    <row r="61152" spans="6:6">
      <c r="F61152" s="2423"/>
    </row>
    <row r="61153" spans="6:6">
      <c r="F61153" s="2423"/>
    </row>
    <row r="61154" spans="6:6">
      <c r="F61154" s="2423"/>
    </row>
    <row r="61155" spans="6:6">
      <c r="F61155" s="2423"/>
    </row>
    <row r="61156" spans="6:6">
      <c r="F61156" s="2423"/>
    </row>
    <row r="61157" spans="6:6">
      <c r="F61157" s="2423"/>
    </row>
    <row r="61158" spans="6:6">
      <c r="F61158" s="2423"/>
    </row>
    <row r="61159" spans="6:6">
      <c r="F61159" s="2423"/>
    </row>
    <row r="61160" spans="6:6">
      <c r="F61160" s="2423"/>
    </row>
    <row r="61161" spans="6:6">
      <c r="F61161" s="2423"/>
    </row>
    <row r="61162" spans="6:6">
      <c r="F61162" s="2423"/>
    </row>
    <row r="61163" spans="6:6">
      <c r="F61163" s="2423"/>
    </row>
    <row r="61164" spans="6:6">
      <c r="F61164" s="2423"/>
    </row>
    <row r="61165" spans="6:6">
      <c r="F61165" s="2423"/>
    </row>
    <row r="61166" spans="6:6">
      <c r="F61166" s="2423"/>
    </row>
    <row r="61167" spans="6:6">
      <c r="F61167" s="2423"/>
    </row>
    <row r="61168" spans="6:6">
      <c r="F61168" s="2423"/>
    </row>
    <row r="61169" spans="6:6">
      <c r="F61169" s="2423"/>
    </row>
    <row r="61170" spans="6:6">
      <c r="F61170" s="2423"/>
    </row>
    <row r="61171" spans="6:6">
      <c r="F61171" s="2423"/>
    </row>
    <row r="61172" spans="6:6">
      <c r="F61172" s="2423"/>
    </row>
    <row r="61173" spans="6:6">
      <c r="F61173" s="2423"/>
    </row>
    <row r="61174" spans="6:6">
      <c r="F61174" s="2423"/>
    </row>
    <row r="61175" spans="6:6">
      <c r="F61175" s="2423"/>
    </row>
    <row r="61176" spans="6:6">
      <c r="F61176" s="2423"/>
    </row>
    <row r="61177" spans="6:6">
      <c r="F61177" s="2423"/>
    </row>
    <row r="61178" spans="6:6">
      <c r="F61178" s="2423"/>
    </row>
    <row r="61179" spans="6:6">
      <c r="F61179" s="2423"/>
    </row>
    <row r="61180" spans="6:6">
      <c r="F61180" s="2423"/>
    </row>
    <row r="61181" spans="6:6">
      <c r="F61181" s="2423"/>
    </row>
    <row r="61182" spans="6:6">
      <c r="F61182" s="2423"/>
    </row>
    <row r="61183" spans="6:6">
      <c r="F61183" s="2423"/>
    </row>
    <row r="61184" spans="6:6">
      <c r="F61184" s="2423"/>
    </row>
    <row r="61185" spans="6:6">
      <c r="F61185" s="2423"/>
    </row>
    <row r="61186" spans="6:6">
      <c r="F61186" s="2423"/>
    </row>
    <row r="61187" spans="6:6">
      <c r="F61187" s="2423"/>
    </row>
    <row r="61188" spans="6:6">
      <c r="F61188" s="2423"/>
    </row>
    <row r="61189" spans="6:6">
      <c r="F61189" s="2423"/>
    </row>
    <row r="61190" spans="6:6">
      <c r="F61190" s="2423"/>
    </row>
    <row r="61191" spans="6:6">
      <c r="F61191" s="2423"/>
    </row>
    <row r="61192" spans="6:6">
      <c r="F61192" s="2423"/>
    </row>
    <row r="61193" spans="6:6">
      <c r="F61193" s="2423"/>
    </row>
    <row r="61194" spans="6:6">
      <c r="F61194" s="2423"/>
    </row>
    <row r="61195" spans="6:6">
      <c r="F61195" s="2423"/>
    </row>
    <row r="61196" spans="6:6">
      <c r="F61196" s="2423"/>
    </row>
    <row r="61197" spans="6:6">
      <c r="F61197" s="2423"/>
    </row>
    <row r="61198" spans="6:6">
      <c r="F61198" s="2423"/>
    </row>
    <row r="61199" spans="6:6">
      <c r="F61199" s="2423"/>
    </row>
    <row r="61200" spans="6:6">
      <c r="F61200" s="2423"/>
    </row>
    <row r="61201" spans="6:6">
      <c r="F61201" s="2423"/>
    </row>
    <row r="61202" spans="6:6">
      <c r="F61202" s="2423"/>
    </row>
    <row r="61203" spans="6:6">
      <c r="F61203" s="2423"/>
    </row>
    <row r="61204" spans="6:6">
      <c r="F61204" s="2423"/>
    </row>
    <row r="61205" spans="6:6">
      <c r="F61205" s="2423"/>
    </row>
    <row r="61206" spans="6:6">
      <c r="F61206" s="2423"/>
    </row>
    <row r="61207" spans="6:6">
      <c r="F61207" s="2423"/>
    </row>
    <row r="61208" spans="6:6">
      <c r="F61208" s="2423"/>
    </row>
    <row r="61209" spans="6:6">
      <c r="F61209" s="2423"/>
    </row>
    <row r="61210" spans="6:6">
      <c r="F61210" s="2423"/>
    </row>
    <row r="61211" spans="6:6">
      <c r="F61211" s="2423"/>
    </row>
    <row r="61212" spans="6:6">
      <c r="F61212" s="2423"/>
    </row>
    <row r="61213" spans="6:6">
      <c r="F61213" s="2423"/>
    </row>
    <row r="61214" spans="6:6">
      <c r="F61214" s="2423"/>
    </row>
    <row r="61215" spans="6:6">
      <c r="F61215" s="2423"/>
    </row>
    <row r="61216" spans="6:6">
      <c r="F61216" s="2423"/>
    </row>
    <row r="61217" spans="6:6">
      <c r="F61217" s="2423"/>
    </row>
    <row r="61218" spans="6:6">
      <c r="F61218" s="2423"/>
    </row>
    <row r="61219" spans="6:6">
      <c r="F61219" s="2423"/>
    </row>
    <row r="61220" spans="6:6">
      <c r="F61220" s="2423"/>
    </row>
    <row r="61221" spans="6:6">
      <c r="F61221" s="2423"/>
    </row>
    <row r="61222" spans="6:6">
      <c r="F61222" s="2423"/>
    </row>
    <row r="61223" spans="6:6">
      <c r="F61223" s="2423"/>
    </row>
    <row r="61224" spans="6:6">
      <c r="F61224" s="2423"/>
    </row>
    <row r="61225" spans="6:6">
      <c r="F61225" s="2423"/>
    </row>
    <row r="61226" spans="6:6">
      <c r="F61226" s="2423"/>
    </row>
    <row r="61227" spans="6:6">
      <c r="F61227" s="2423"/>
    </row>
    <row r="61228" spans="6:6">
      <c r="F61228" s="2423"/>
    </row>
    <row r="61229" spans="6:6">
      <c r="F61229" s="2423"/>
    </row>
    <row r="61230" spans="6:6">
      <c r="F61230" s="2423"/>
    </row>
    <row r="61231" spans="6:6">
      <c r="F61231" s="2423"/>
    </row>
    <row r="61232" spans="6:6">
      <c r="F61232" s="2423"/>
    </row>
    <row r="61233" spans="6:6">
      <c r="F61233" s="2423"/>
    </row>
    <row r="61234" spans="6:6">
      <c r="F61234" s="2423"/>
    </row>
    <row r="61235" spans="6:6">
      <c r="F61235" s="2423"/>
    </row>
    <row r="61236" spans="6:6">
      <c r="F61236" s="2423"/>
    </row>
    <row r="61237" spans="6:6">
      <c r="F61237" s="2423"/>
    </row>
    <row r="61238" spans="6:6">
      <c r="F61238" s="2423"/>
    </row>
    <row r="61239" spans="6:6">
      <c r="F61239" s="2423"/>
    </row>
    <row r="61240" spans="6:6">
      <c r="F61240" s="2423"/>
    </row>
    <row r="61241" spans="6:6">
      <c r="F61241" s="2423"/>
    </row>
    <row r="61242" spans="6:6">
      <c r="F61242" s="2423"/>
    </row>
    <row r="61243" spans="6:6">
      <c r="F61243" s="2423"/>
    </row>
    <row r="61244" spans="6:6">
      <c r="F61244" s="2423"/>
    </row>
    <row r="61245" spans="6:6">
      <c r="F61245" s="2423"/>
    </row>
    <row r="61246" spans="6:6">
      <c r="F61246" s="2423"/>
    </row>
    <row r="61247" spans="6:6">
      <c r="F61247" s="2423"/>
    </row>
    <row r="61248" spans="6:6">
      <c r="F61248" s="2423"/>
    </row>
    <row r="61249" spans="6:6">
      <c r="F61249" s="2423"/>
    </row>
    <row r="61250" spans="6:6">
      <c r="F61250" s="2423"/>
    </row>
    <row r="61251" spans="6:6">
      <c r="F61251" s="2423"/>
    </row>
    <row r="61252" spans="6:6">
      <c r="F61252" s="2423"/>
    </row>
    <row r="61253" spans="6:6">
      <c r="F61253" s="2423"/>
    </row>
    <row r="61254" spans="6:6">
      <c r="F61254" s="2423"/>
    </row>
    <row r="61255" spans="6:6">
      <c r="F61255" s="2423"/>
    </row>
    <row r="61256" spans="6:6">
      <c r="F61256" s="2423"/>
    </row>
    <row r="61257" spans="6:6">
      <c r="F61257" s="2423"/>
    </row>
    <row r="61258" spans="6:6">
      <c r="F61258" s="2423"/>
    </row>
    <row r="61259" spans="6:6">
      <c r="F61259" s="2423"/>
    </row>
    <row r="61260" spans="6:6">
      <c r="F61260" s="2423"/>
    </row>
    <row r="61261" spans="6:6">
      <c r="F61261" s="2423"/>
    </row>
    <row r="61262" spans="6:6">
      <c r="F61262" s="2423"/>
    </row>
    <row r="61263" spans="6:6">
      <c r="F61263" s="2423"/>
    </row>
    <row r="61264" spans="6:6">
      <c r="F61264" s="2423"/>
    </row>
    <row r="61265" spans="6:6">
      <c r="F61265" s="2423"/>
    </row>
    <row r="61266" spans="6:6">
      <c r="F61266" s="2423"/>
    </row>
    <row r="61267" spans="6:6">
      <c r="F61267" s="2423"/>
    </row>
    <row r="61268" spans="6:6">
      <c r="F61268" s="2423"/>
    </row>
    <row r="61269" spans="6:6">
      <c r="F61269" s="2423"/>
    </row>
    <row r="61270" spans="6:6">
      <c r="F61270" s="2423"/>
    </row>
    <row r="61271" spans="6:6">
      <c r="F61271" s="2423"/>
    </row>
    <row r="61272" spans="6:6">
      <c r="F61272" s="2423"/>
    </row>
    <row r="61273" spans="6:6">
      <c r="F61273" s="2423"/>
    </row>
    <row r="61274" spans="6:6">
      <c r="F61274" s="2423"/>
    </row>
    <row r="61275" spans="6:6">
      <c r="F61275" s="2423"/>
    </row>
    <row r="61276" spans="6:6">
      <c r="F61276" s="2423"/>
    </row>
    <row r="61277" spans="6:6">
      <c r="F61277" s="2423"/>
    </row>
    <row r="61278" spans="6:6">
      <c r="F61278" s="2423"/>
    </row>
    <row r="61279" spans="6:6">
      <c r="F61279" s="2423"/>
    </row>
    <row r="61280" spans="6:6">
      <c r="F61280" s="2423"/>
    </row>
    <row r="61281" spans="6:6">
      <c r="F61281" s="2423"/>
    </row>
    <row r="61282" spans="6:6">
      <c r="F61282" s="2423"/>
    </row>
    <row r="61283" spans="6:6">
      <c r="F61283" s="2423"/>
    </row>
    <row r="61284" spans="6:6">
      <c r="F61284" s="2423"/>
    </row>
    <row r="61285" spans="6:6">
      <c r="F61285" s="2423"/>
    </row>
    <row r="61286" spans="6:6">
      <c r="F61286" s="2423"/>
    </row>
    <row r="61287" spans="6:6">
      <c r="F61287" s="2423"/>
    </row>
    <row r="61288" spans="6:6">
      <c r="F61288" s="2423"/>
    </row>
    <row r="61289" spans="6:6">
      <c r="F61289" s="2423"/>
    </row>
    <row r="61290" spans="6:6">
      <c r="F61290" s="2423"/>
    </row>
    <row r="61291" spans="6:6">
      <c r="F61291" s="2423"/>
    </row>
    <row r="61292" spans="6:6">
      <c r="F61292" s="2423"/>
    </row>
    <row r="61293" spans="6:6">
      <c r="F61293" s="2423"/>
    </row>
    <row r="61294" spans="6:6">
      <c r="F61294" s="2423"/>
    </row>
    <row r="61295" spans="6:6">
      <c r="F61295" s="2423"/>
    </row>
    <row r="61296" spans="6:6">
      <c r="F61296" s="2423"/>
    </row>
    <row r="61297" spans="6:6">
      <c r="F61297" s="2423"/>
    </row>
    <row r="61298" spans="6:6">
      <c r="F61298" s="2423"/>
    </row>
    <row r="61299" spans="6:6">
      <c r="F61299" s="2423"/>
    </row>
    <row r="61300" spans="6:6">
      <c r="F61300" s="2423"/>
    </row>
    <row r="61301" spans="6:6">
      <c r="F61301" s="2423"/>
    </row>
    <row r="61302" spans="6:6">
      <c r="F61302" s="2423"/>
    </row>
    <row r="61303" spans="6:6">
      <c r="F61303" s="2423"/>
    </row>
    <row r="61304" spans="6:6">
      <c r="F61304" s="2423"/>
    </row>
    <row r="61305" spans="6:6">
      <c r="F61305" s="2423"/>
    </row>
    <row r="61306" spans="6:6">
      <c r="F61306" s="2423"/>
    </row>
    <row r="61307" spans="6:6">
      <c r="F61307" s="2423"/>
    </row>
    <row r="61308" spans="6:6">
      <c r="F61308" s="2423"/>
    </row>
    <row r="61309" spans="6:6">
      <c r="F61309" s="2423"/>
    </row>
    <row r="61310" spans="6:6">
      <c r="F61310" s="2423"/>
    </row>
    <row r="61311" spans="6:6">
      <c r="F61311" s="2423"/>
    </row>
    <row r="61312" spans="6:6">
      <c r="F61312" s="2423"/>
    </row>
    <row r="61313" spans="6:6">
      <c r="F61313" s="2423"/>
    </row>
    <row r="61314" spans="6:6">
      <c r="F61314" s="2423"/>
    </row>
    <row r="61315" spans="6:6">
      <c r="F61315" s="2423"/>
    </row>
    <row r="61316" spans="6:6">
      <c r="F61316" s="2423"/>
    </row>
    <row r="61317" spans="6:6">
      <c r="F61317" s="2423"/>
    </row>
    <row r="61318" spans="6:6">
      <c r="F61318" s="2423"/>
    </row>
    <row r="61319" spans="6:6">
      <c r="F61319" s="2423"/>
    </row>
    <row r="61320" spans="6:6">
      <c r="F61320" s="2423"/>
    </row>
    <row r="61321" spans="6:6">
      <c r="F61321" s="2423"/>
    </row>
    <row r="61322" spans="6:6">
      <c r="F61322" s="2423"/>
    </row>
    <row r="61323" spans="6:6">
      <c r="F61323" s="2423"/>
    </row>
    <row r="61324" spans="6:6">
      <c r="F61324" s="2423"/>
    </row>
    <row r="61325" spans="6:6">
      <c r="F61325" s="2423"/>
    </row>
    <row r="61326" spans="6:6">
      <c r="F61326" s="2423"/>
    </row>
    <row r="61327" spans="6:6">
      <c r="F61327" s="2423"/>
    </row>
    <row r="61328" spans="6:6">
      <c r="F61328" s="2423"/>
    </row>
    <row r="61329" spans="6:6">
      <c r="F61329" s="2423"/>
    </row>
    <row r="61330" spans="6:6">
      <c r="F61330" s="2423"/>
    </row>
    <row r="61331" spans="6:6">
      <c r="F61331" s="2423"/>
    </row>
    <row r="61332" spans="6:6">
      <c r="F61332" s="2423"/>
    </row>
    <row r="61333" spans="6:6">
      <c r="F61333" s="2423"/>
    </row>
    <row r="61334" spans="6:6">
      <c r="F61334" s="2423"/>
    </row>
    <row r="61335" spans="6:6">
      <c r="F61335" s="2423"/>
    </row>
    <row r="61336" spans="6:6">
      <c r="F61336" s="2423"/>
    </row>
    <row r="61337" spans="6:6">
      <c r="F61337" s="2423"/>
    </row>
    <row r="61338" spans="6:6">
      <c r="F61338" s="2423"/>
    </row>
    <row r="61339" spans="6:6">
      <c r="F61339" s="2423"/>
    </row>
    <row r="61340" spans="6:6">
      <c r="F61340" s="2423"/>
    </row>
    <row r="61341" spans="6:6">
      <c r="F61341" s="2423"/>
    </row>
    <row r="61342" spans="6:6">
      <c r="F61342" s="2423"/>
    </row>
    <row r="61343" spans="6:6">
      <c r="F61343" s="2423"/>
    </row>
    <row r="61344" spans="6:6">
      <c r="F61344" s="2423"/>
    </row>
    <row r="61345" spans="6:6">
      <c r="F61345" s="2423"/>
    </row>
    <row r="61346" spans="6:6">
      <c r="F61346" s="2423"/>
    </row>
    <row r="61347" spans="6:6">
      <c r="F61347" s="2423"/>
    </row>
    <row r="61348" spans="6:6">
      <c r="F61348" s="2423"/>
    </row>
    <row r="61349" spans="6:6">
      <c r="F61349" s="2423"/>
    </row>
    <row r="61350" spans="6:6">
      <c r="F61350" s="2423"/>
    </row>
    <row r="61351" spans="6:6">
      <c r="F61351" s="2423"/>
    </row>
    <row r="61352" spans="6:6">
      <c r="F61352" s="2423"/>
    </row>
    <row r="61353" spans="6:6">
      <c r="F61353" s="2423"/>
    </row>
    <row r="61354" spans="6:6">
      <c r="F61354" s="2423"/>
    </row>
    <row r="61355" spans="6:6">
      <c r="F61355" s="2423"/>
    </row>
    <row r="61356" spans="6:6">
      <c r="F61356" s="2423"/>
    </row>
    <row r="61357" spans="6:6">
      <c r="F61357" s="2423"/>
    </row>
    <row r="61358" spans="6:6">
      <c r="F61358" s="2423"/>
    </row>
    <row r="61359" spans="6:6">
      <c r="F61359" s="2423"/>
    </row>
    <row r="61360" spans="6:6">
      <c r="F61360" s="2423"/>
    </row>
    <row r="61361" spans="6:6">
      <c r="F61361" s="2423"/>
    </row>
    <row r="61362" spans="6:6">
      <c r="F61362" s="2423"/>
    </row>
    <row r="61363" spans="6:6">
      <c r="F61363" s="2423"/>
    </row>
    <row r="61364" spans="6:6">
      <c r="F61364" s="2423"/>
    </row>
    <row r="61365" spans="6:6">
      <c r="F61365" s="2423"/>
    </row>
    <row r="61366" spans="6:6">
      <c r="F61366" s="2423"/>
    </row>
    <row r="61367" spans="6:6">
      <c r="F61367" s="2423"/>
    </row>
    <row r="61368" spans="6:6">
      <c r="F61368" s="2423"/>
    </row>
    <row r="61369" spans="6:6">
      <c r="F61369" s="2423"/>
    </row>
    <row r="61370" spans="6:6">
      <c r="F61370" s="2423"/>
    </row>
    <row r="61371" spans="6:6">
      <c r="F61371" s="2423"/>
    </row>
    <row r="61372" spans="6:6">
      <c r="F61372" s="2423"/>
    </row>
    <row r="61373" spans="6:6">
      <c r="F61373" s="2423"/>
    </row>
    <row r="61374" spans="6:6">
      <c r="F61374" s="2423"/>
    </row>
    <row r="61375" spans="6:6">
      <c r="F61375" s="2423"/>
    </row>
    <row r="61376" spans="6:6">
      <c r="F61376" s="2423"/>
    </row>
    <row r="61377" spans="6:6">
      <c r="F61377" s="2423"/>
    </row>
    <row r="61378" spans="6:6">
      <c r="F61378" s="2423"/>
    </row>
    <row r="61379" spans="6:6">
      <c r="F61379" s="2423"/>
    </row>
    <row r="61380" spans="6:6">
      <c r="F61380" s="2423"/>
    </row>
    <row r="61381" spans="6:6">
      <c r="F61381" s="2423"/>
    </row>
    <row r="61382" spans="6:6">
      <c r="F61382" s="2423"/>
    </row>
    <row r="61383" spans="6:6">
      <c r="F61383" s="2423"/>
    </row>
    <row r="61384" spans="6:6">
      <c r="F61384" s="2423"/>
    </row>
    <row r="61385" spans="6:6">
      <c r="F61385" s="2423"/>
    </row>
    <row r="61386" spans="6:6">
      <c r="F61386" s="2423"/>
    </row>
    <row r="61387" spans="6:6">
      <c r="F61387" s="2423"/>
    </row>
    <row r="61388" spans="6:6">
      <c r="F61388" s="2423"/>
    </row>
    <row r="61389" spans="6:6">
      <c r="F61389" s="2423"/>
    </row>
    <row r="61390" spans="6:6">
      <c r="F61390" s="2423"/>
    </row>
    <row r="61391" spans="6:6">
      <c r="F61391" s="2423"/>
    </row>
    <row r="61392" spans="6:6">
      <c r="F61392" s="2423"/>
    </row>
    <row r="61393" spans="6:6">
      <c r="F61393" s="2423"/>
    </row>
    <row r="61394" spans="6:6">
      <c r="F61394" s="2423"/>
    </row>
    <row r="61395" spans="6:6">
      <c r="F61395" s="2423"/>
    </row>
    <row r="61396" spans="6:6">
      <c r="F61396" s="2423"/>
    </row>
    <row r="61397" spans="6:6">
      <c r="F61397" s="2423"/>
    </row>
    <row r="61398" spans="6:6">
      <c r="F61398" s="2423"/>
    </row>
    <row r="61399" spans="6:6">
      <c r="F61399" s="2423"/>
    </row>
    <row r="61400" spans="6:6">
      <c r="F61400" s="2423"/>
    </row>
    <row r="61401" spans="6:6">
      <c r="F61401" s="2423"/>
    </row>
    <row r="61402" spans="6:6">
      <c r="F61402" s="2423"/>
    </row>
    <row r="61403" spans="6:6">
      <c r="F61403" s="2423"/>
    </row>
    <row r="61404" spans="6:6">
      <c r="F61404" s="2423"/>
    </row>
    <row r="61405" spans="6:6">
      <c r="F61405" s="2423"/>
    </row>
    <row r="61406" spans="6:6">
      <c r="F61406" s="2423"/>
    </row>
    <row r="61407" spans="6:6">
      <c r="F61407" s="2423"/>
    </row>
    <row r="61408" spans="6:6">
      <c r="F61408" s="2423"/>
    </row>
    <row r="61409" spans="6:6">
      <c r="F61409" s="2423"/>
    </row>
    <row r="61410" spans="6:6">
      <c r="F61410" s="2423"/>
    </row>
    <row r="61411" spans="6:6">
      <c r="F61411" s="2423"/>
    </row>
    <row r="61412" spans="6:6">
      <c r="F61412" s="2423"/>
    </row>
    <row r="61413" spans="6:6">
      <c r="F61413" s="2423"/>
    </row>
    <row r="61414" spans="6:6">
      <c r="F61414" s="2423"/>
    </row>
    <row r="61415" spans="6:6">
      <c r="F61415" s="2423"/>
    </row>
    <row r="61416" spans="6:6">
      <c r="F61416" s="2423"/>
    </row>
    <row r="61417" spans="6:6">
      <c r="F61417" s="2423"/>
    </row>
    <row r="61418" spans="6:6">
      <c r="F61418" s="2423"/>
    </row>
    <row r="61419" spans="6:6">
      <c r="F61419" s="2423"/>
    </row>
    <row r="61420" spans="6:6">
      <c r="F61420" s="2423"/>
    </row>
    <row r="61421" spans="6:6">
      <c r="F61421" s="2423"/>
    </row>
    <row r="61422" spans="6:6">
      <c r="F61422" s="2423"/>
    </row>
    <row r="61423" spans="6:6">
      <c r="F61423" s="2423"/>
    </row>
    <row r="61424" spans="6:6">
      <c r="F61424" s="2423"/>
    </row>
    <row r="61425" spans="6:6">
      <c r="F61425" s="2423"/>
    </row>
    <row r="61426" spans="6:6">
      <c r="F61426" s="2423"/>
    </row>
    <row r="61427" spans="6:6">
      <c r="F61427" s="2423"/>
    </row>
    <row r="61428" spans="6:6">
      <c r="F61428" s="2423"/>
    </row>
    <row r="61429" spans="6:6">
      <c r="F61429" s="2423"/>
    </row>
    <row r="61430" spans="6:6">
      <c r="F61430" s="2423"/>
    </row>
    <row r="61431" spans="6:6">
      <c r="F61431" s="2423"/>
    </row>
    <row r="61432" spans="6:6">
      <c r="F61432" s="2423"/>
    </row>
    <row r="61433" spans="6:6">
      <c r="F61433" s="2423"/>
    </row>
    <row r="61434" spans="6:6">
      <c r="F61434" s="2423"/>
    </row>
    <row r="61435" spans="6:6">
      <c r="F61435" s="2423"/>
    </row>
    <row r="61436" spans="6:6">
      <c r="F61436" s="2423"/>
    </row>
    <row r="61437" spans="6:6">
      <c r="F61437" s="2423"/>
    </row>
    <row r="61438" spans="6:6">
      <c r="F61438" s="2423"/>
    </row>
    <row r="61439" spans="6:6">
      <c r="F61439" s="2423"/>
    </row>
    <row r="61440" spans="6:6">
      <c r="F61440" s="2423"/>
    </row>
    <row r="61441" spans="6:6">
      <c r="F61441" s="2423"/>
    </row>
    <row r="61442" spans="6:6">
      <c r="F61442" s="2423"/>
    </row>
    <row r="61443" spans="6:6">
      <c r="F61443" s="2423"/>
    </row>
    <row r="61444" spans="6:6">
      <c r="F61444" s="2423"/>
    </row>
    <row r="61445" spans="6:6">
      <c r="F61445" s="2423"/>
    </row>
    <row r="61446" spans="6:6">
      <c r="F61446" s="2423"/>
    </row>
    <row r="61447" spans="6:6">
      <c r="F61447" s="2423"/>
    </row>
    <row r="61448" spans="6:6">
      <c r="F61448" s="2423"/>
    </row>
    <row r="61449" spans="6:6">
      <c r="F61449" s="2423"/>
    </row>
    <row r="61450" spans="6:6">
      <c r="F61450" s="2423"/>
    </row>
    <row r="61451" spans="6:6">
      <c r="F61451" s="2423"/>
    </row>
    <row r="61452" spans="6:6">
      <c r="F61452" s="2423"/>
    </row>
    <row r="61453" spans="6:6">
      <c r="F61453" s="2423"/>
    </row>
    <row r="61454" spans="6:6">
      <c r="F61454" s="2423"/>
    </row>
    <row r="61455" spans="6:6">
      <c r="F61455" s="2423"/>
    </row>
    <row r="61456" spans="6:6">
      <c r="F61456" s="2423"/>
    </row>
    <row r="61457" spans="6:6">
      <c r="F61457" s="2423"/>
    </row>
    <row r="61458" spans="6:6">
      <c r="F61458" s="2423"/>
    </row>
    <row r="61459" spans="6:6">
      <c r="F61459" s="2423"/>
    </row>
    <row r="61460" spans="6:6">
      <c r="F61460" s="2423"/>
    </row>
    <row r="61461" spans="6:6">
      <c r="F61461" s="2423"/>
    </row>
    <row r="61462" spans="6:6">
      <c r="F61462" s="2423"/>
    </row>
    <row r="61463" spans="6:6">
      <c r="F61463" s="2423"/>
    </row>
    <row r="61464" spans="6:6">
      <c r="F61464" s="2423"/>
    </row>
    <row r="61465" spans="6:6">
      <c r="F61465" s="2423"/>
    </row>
    <row r="61466" spans="6:6">
      <c r="F61466" s="2423"/>
    </row>
    <row r="61467" spans="6:6">
      <c r="F61467" s="2423"/>
    </row>
    <row r="61468" spans="6:6">
      <c r="F61468" s="2423"/>
    </row>
    <row r="61469" spans="6:6">
      <c r="F61469" s="2423"/>
    </row>
    <row r="61470" spans="6:6">
      <c r="F61470" s="2423"/>
    </row>
    <row r="61471" spans="6:6">
      <c r="F61471" s="2423"/>
    </row>
    <row r="61472" spans="6:6">
      <c r="F61472" s="2423"/>
    </row>
    <row r="61473" spans="6:6">
      <c r="F61473" s="2423"/>
    </row>
    <row r="61474" spans="6:6">
      <c r="F61474" s="2423"/>
    </row>
    <row r="61475" spans="6:6">
      <c r="F61475" s="2423"/>
    </row>
    <row r="61476" spans="6:6">
      <c r="F61476" s="2423"/>
    </row>
    <row r="61477" spans="6:6">
      <c r="F61477" s="2423"/>
    </row>
    <row r="61478" spans="6:6">
      <c r="F61478" s="2423"/>
    </row>
    <row r="61479" spans="6:6">
      <c r="F61479" s="2423"/>
    </row>
    <row r="61480" spans="6:6">
      <c r="F61480" s="2423"/>
    </row>
    <row r="61481" spans="6:6">
      <c r="F61481" s="2423"/>
    </row>
    <row r="61482" spans="6:6">
      <c r="F61482" s="2423"/>
    </row>
    <row r="61483" spans="6:6">
      <c r="F61483" s="2423"/>
    </row>
    <row r="61484" spans="6:6">
      <c r="F61484" s="2423"/>
    </row>
    <row r="61485" spans="6:6">
      <c r="F61485" s="2423"/>
    </row>
    <row r="61486" spans="6:6">
      <c r="F61486" s="2423"/>
    </row>
    <row r="61487" spans="6:6">
      <c r="F61487" s="2423"/>
    </row>
    <row r="61488" spans="6:6">
      <c r="F61488" s="2423"/>
    </row>
    <row r="61489" spans="6:6">
      <c r="F61489" s="2423"/>
    </row>
    <row r="61490" spans="6:6">
      <c r="F61490" s="2423"/>
    </row>
    <row r="61491" spans="6:6">
      <c r="F61491" s="2423"/>
    </row>
    <row r="61492" spans="6:6">
      <c r="F61492" s="2423"/>
    </row>
    <row r="61493" spans="6:6">
      <c r="F61493" s="2423"/>
    </row>
    <row r="61494" spans="6:6">
      <c r="F61494" s="2423"/>
    </row>
    <row r="61495" spans="6:6">
      <c r="F61495" s="2423"/>
    </row>
    <row r="61496" spans="6:6">
      <c r="F61496" s="2423"/>
    </row>
    <row r="61497" spans="6:6">
      <c r="F61497" s="2423"/>
    </row>
    <row r="61498" spans="6:6">
      <c r="F61498" s="2423"/>
    </row>
    <row r="61499" spans="6:6">
      <c r="F61499" s="2423"/>
    </row>
    <row r="61500" spans="6:6">
      <c r="F61500" s="2423"/>
    </row>
    <row r="61501" spans="6:6">
      <c r="F61501" s="2423"/>
    </row>
    <row r="61502" spans="6:6">
      <c r="F61502" s="2423"/>
    </row>
    <row r="61503" spans="6:6">
      <c r="F61503" s="2423"/>
    </row>
    <row r="61504" spans="6:6">
      <c r="F61504" s="2423"/>
    </row>
    <row r="61505" spans="6:6">
      <c r="F61505" s="2423"/>
    </row>
    <row r="61506" spans="6:6">
      <c r="F61506" s="2423"/>
    </row>
    <row r="61507" spans="6:6">
      <c r="F61507" s="2423"/>
    </row>
    <row r="61508" spans="6:6">
      <c r="F61508" s="2423"/>
    </row>
    <row r="61509" spans="6:6">
      <c r="F61509" s="2423"/>
    </row>
    <row r="61510" spans="6:6">
      <c r="F61510" s="2423"/>
    </row>
    <row r="61511" spans="6:6">
      <c r="F61511" s="2423"/>
    </row>
    <row r="61512" spans="6:6">
      <c r="F61512" s="2423"/>
    </row>
    <row r="61513" spans="6:6">
      <c r="F61513" s="2423"/>
    </row>
    <row r="61514" spans="6:6">
      <c r="F61514" s="2423"/>
    </row>
    <row r="61515" spans="6:6">
      <c r="F61515" s="2423"/>
    </row>
    <row r="61516" spans="6:6">
      <c r="F61516" s="2423"/>
    </row>
    <row r="61517" spans="6:6">
      <c r="F61517" s="2423"/>
    </row>
    <row r="61518" spans="6:6">
      <c r="F61518" s="2423"/>
    </row>
    <row r="61519" spans="6:6">
      <c r="F61519" s="2423"/>
    </row>
    <row r="61520" spans="6:6">
      <c r="F61520" s="2423"/>
    </row>
    <row r="61521" spans="6:6">
      <c r="F61521" s="2423"/>
    </row>
    <row r="61522" spans="6:6">
      <c r="F61522" s="2423"/>
    </row>
    <row r="61523" spans="6:6">
      <c r="F61523" s="2423"/>
    </row>
    <row r="61524" spans="6:6">
      <c r="F61524" s="2423"/>
    </row>
    <row r="61525" spans="6:6">
      <c r="F61525" s="2423"/>
    </row>
    <row r="61526" spans="6:6">
      <c r="F61526" s="2423"/>
    </row>
    <row r="61527" spans="6:6">
      <c r="F61527" s="2423"/>
    </row>
    <row r="61528" spans="6:6">
      <c r="F61528" s="2423"/>
    </row>
    <row r="61529" spans="6:6">
      <c r="F61529" s="2423"/>
    </row>
    <row r="61530" spans="6:6">
      <c r="F61530" s="2423"/>
    </row>
    <row r="61531" spans="6:6">
      <c r="F61531" s="2423"/>
    </row>
    <row r="61532" spans="6:6">
      <c r="F61532" s="2423"/>
    </row>
    <row r="61533" spans="6:6">
      <c r="F61533" s="2423"/>
    </row>
    <row r="61534" spans="6:6">
      <c r="F61534" s="2423"/>
    </row>
    <row r="61535" spans="6:6">
      <c r="F61535" s="2423"/>
    </row>
    <row r="61536" spans="6:6">
      <c r="F61536" s="2423"/>
    </row>
    <row r="61537" spans="6:6">
      <c r="F61537" s="2423"/>
    </row>
    <row r="61538" spans="6:6">
      <c r="F61538" s="2423"/>
    </row>
    <row r="61539" spans="6:6">
      <c r="F61539" s="2423"/>
    </row>
    <row r="61540" spans="6:6">
      <c r="F61540" s="2423"/>
    </row>
    <row r="61541" spans="6:6">
      <c r="F61541" s="2423"/>
    </row>
    <row r="61542" spans="6:6">
      <c r="F61542" s="2423"/>
    </row>
    <row r="61543" spans="6:6">
      <c r="F61543" s="2423"/>
    </row>
    <row r="61544" spans="6:6">
      <c r="F61544" s="2423"/>
    </row>
    <row r="61545" spans="6:6">
      <c r="F61545" s="2423"/>
    </row>
    <row r="61546" spans="6:6">
      <c r="F61546" s="2423"/>
    </row>
    <row r="61547" spans="6:6">
      <c r="F61547" s="2423"/>
    </row>
    <row r="61548" spans="6:6">
      <c r="F61548" s="2423"/>
    </row>
    <row r="61549" spans="6:6">
      <c r="F61549" s="2423"/>
    </row>
    <row r="61550" spans="6:6">
      <c r="F61550" s="2423"/>
    </row>
    <row r="61551" spans="6:6">
      <c r="F61551" s="2423"/>
    </row>
    <row r="61552" spans="6:6">
      <c r="F61552" s="2423"/>
    </row>
    <row r="61553" spans="6:6">
      <c r="F61553" s="2423"/>
    </row>
    <row r="61554" spans="6:6">
      <c r="F61554" s="2423"/>
    </row>
    <row r="61555" spans="6:6">
      <c r="F61555" s="2423"/>
    </row>
    <row r="61556" spans="6:6">
      <c r="F61556" s="2423"/>
    </row>
    <row r="61557" spans="6:6">
      <c r="F61557" s="2423"/>
    </row>
    <row r="61558" spans="6:6">
      <c r="F61558" s="2423"/>
    </row>
    <row r="61559" spans="6:6">
      <c r="F61559" s="2423"/>
    </row>
    <row r="61560" spans="6:6">
      <c r="F61560" s="2423"/>
    </row>
    <row r="61561" spans="6:6">
      <c r="F61561" s="2423"/>
    </row>
    <row r="61562" spans="6:6">
      <c r="F61562" s="2423"/>
    </row>
    <row r="61563" spans="6:6">
      <c r="F61563" s="2423"/>
    </row>
    <row r="61564" spans="6:6">
      <c r="F61564" s="2423"/>
    </row>
    <row r="61565" spans="6:6">
      <c r="F61565" s="2423"/>
    </row>
    <row r="61566" spans="6:6">
      <c r="F61566" s="2423"/>
    </row>
    <row r="61567" spans="6:6">
      <c r="F61567" s="2423"/>
    </row>
    <row r="61568" spans="6:6">
      <c r="F61568" s="2423"/>
    </row>
    <row r="61569" spans="6:6">
      <c r="F61569" s="2423"/>
    </row>
    <row r="61570" spans="6:6">
      <c r="F61570" s="2423"/>
    </row>
    <row r="61571" spans="6:6">
      <c r="F61571" s="2423"/>
    </row>
    <row r="61572" spans="6:6">
      <c r="F61572" s="2423"/>
    </row>
    <row r="61573" spans="6:6">
      <c r="F61573" s="2423"/>
    </row>
    <row r="61574" spans="6:6">
      <c r="F61574" s="2423"/>
    </row>
    <row r="61575" spans="6:6">
      <c r="F61575" s="2423"/>
    </row>
    <row r="61576" spans="6:6">
      <c r="F61576" s="2423"/>
    </row>
    <row r="61577" spans="6:6">
      <c r="F61577" s="2423"/>
    </row>
    <row r="61578" spans="6:6">
      <c r="F61578" s="2423"/>
    </row>
    <row r="61579" spans="6:6">
      <c r="F61579" s="2423"/>
    </row>
    <row r="61580" spans="6:6">
      <c r="F61580" s="2423"/>
    </row>
    <row r="61581" spans="6:6">
      <c r="F61581" s="2423"/>
    </row>
    <row r="61582" spans="6:6">
      <c r="F61582" s="2423"/>
    </row>
    <row r="61583" spans="6:6">
      <c r="F61583" s="2423"/>
    </row>
    <row r="61584" spans="6:6">
      <c r="F61584" s="2423"/>
    </row>
    <row r="61585" spans="6:6">
      <c r="F61585" s="2423"/>
    </row>
    <row r="61586" spans="6:6">
      <c r="F61586" s="2423"/>
    </row>
    <row r="61587" spans="6:6">
      <c r="F61587" s="2423"/>
    </row>
    <row r="61588" spans="6:6">
      <c r="F61588" s="2423"/>
    </row>
    <row r="61589" spans="6:6">
      <c r="F61589" s="2423"/>
    </row>
    <row r="61590" spans="6:6">
      <c r="F61590" s="2423"/>
    </row>
    <row r="61591" spans="6:6">
      <c r="F61591" s="2423"/>
    </row>
    <row r="61592" spans="6:6">
      <c r="F61592" s="2423"/>
    </row>
    <row r="61593" spans="6:6">
      <c r="F61593" s="2423"/>
    </row>
    <row r="61594" spans="6:6">
      <c r="F61594" s="2423"/>
    </row>
    <row r="61595" spans="6:6">
      <c r="F61595" s="2423"/>
    </row>
    <row r="61596" spans="6:6">
      <c r="F61596" s="2423"/>
    </row>
    <row r="61597" spans="6:6">
      <c r="F61597" s="2423"/>
    </row>
    <row r="61598" spans="6:6">
      <c r="F61598" s="2423"/>
    </row>
    <row r="61599" spans="6:6">
      <c r="F61599" s="2423"/>
    </row>
    <row r="61600" spans="6:6">
      <c r="F61600" s="2423"/>
    </row>
    <row r="61601" spans="6:6">
      <c r="F61601" s="2423"/>
    </row>
    <row r="61602" spans="6:6">
      <c r="F61602" s="2423"/>
    </row>
    <row r="61603" spans="6:6">
      <c r="F61603" s="2423"/>
    </row>
    <row r="61604" spans="6:6">
      <c r="F61604" s="2423"/>
    </row>
    <row r="61605" spans="6:6">
      <c r="F61605" s="2423"/>
    </row>
    <row r="61606" spans="6:6">
      <c r="F61606" s="2423"/>
    </row>
    <row r="61607" spans="6:6">
      <c r="F61607" s="2423"/>
    </row>
    <row r="61608" spans="6:6">
      <c r="F61608" s="2423"/>
    </row>
    <row r="61609" spans="6:6">
      <c r="F61609" s="2423"/>
    </row>
    <row r="61610" spans="6:6">
      <c r="F61610" s="2423"/>
    </row>
    <row r="61611" spans="6:6">
      <c r="F61611" s="2423"/>
    </row>
    <row r="61612" spans="6:6">
      <c r="F61612" s="2423"/>
    </row>
    <row r="61613" spans="6:6">
      <c r="F61613" s="2423"/>
    </row>
    <row r="61614" spans="6:6">
      <c r="F61614" s="2423"/>
    </row>
    <row r="61615" spans="6:6">
      <c r="F61615" s="2423"/>
    </row>
    <row r="61616" spans="6:6">
      <c r="F61616" s="2423"/>
    </row>
    <row r="61617" spans="6:6">
      <c r="F61617" s="2423"/>
    </row>
    <row r="61618" spans="6:6">
      <c r="F61618" s="2423"/>
    </row>
    <row r="61619" spans="6:6">
      <c r="F61619" s="2423"/>
    </row>
    <row r="61620" spans="6:6">
      <c r="F61620" s="2423"/>
    </row>
    <row r="61621" spans="6:6">
      <c r="F61621" s="2423"/>
    </row>
    <row r="61622" spans="6:6">
      <c r="F61622" s="2423"/>
    </row>
    <row r="61623" spans="6:6">
      <c r="F61623" s="2423"/>
    </row>
    <row r="61624" spans="6:6">
      <c r="F61624" s="2423"/>
    </row>
    <row r="61625" spans="6:6">
      <c r="F61625" s="2423"/>
    </row>
    <row r="61626" spans="6:6">
      <c r="F61626" s="2423"/>
    </row>
    <row r="61627" spans="6:6">
      <c r="F61627" s="2423"/>
    </row>
    <row r="61628" spans="6:6">
      <c r="F61628" s="2423"/>
    </row>
    <row r="61629" spans="6:6">
      <c r="F61629" s="2423"/>
    </row>
    <row r="61630" spans="6:6">
      <c r="F61630" s="2423"/>
    </row>
    <row r="61631" spans="6:6">
      <c r="F61631" s="2423"/>
    </row>
    <row r="61632" spans="6:6">
      <c r="F61632" s="2423"/>
    </row>
    <row r="61633" spans="6:6">
      <c r="F61633" s="2423"/>
    </row>
    <row r="61634" spans="6:6">
      <c r="F61634" s="2423"/>
    </row>
    <row r="61635" spans="6:6">
      <c r="F61635" s="2423"/>
    </row>
    <row r="61636" spans="6:6">
      <c r="F61636" s="2423"/>
    </row>
    <row r="61637" spans="6:6">
      <c r="F61637" s="2423"/>
    </row>
    <row r="61638" spans="6:6">
      <c r="F61638" s="2423"/>
    </row>
    <row r="61639" spans="6:6">
      <c r="F61639" s="2423"/>
    </row>
    <row r="61640" spans="6:6">
      <c r="F61640" s="2423"/>
    </row>
    <row r="61641" spans="6:6">
      <c r="F61641" s="2423"/>
    </row>
    <row r="61642" spans="6:6">
      <c r="F61642" s="2423"/>
    </row>
    <row r="61643" spans="6:6">
      <c r="F61643" s="2423"/>
    </row>
    <row r="61644" spans="6:6">
      <c r="F61644" s="2423"/>
    </row>
    <row r="61645" spans="6:6">
      <c r="F61645" s="2423"/>
    </row>
    <row r="61646" spans="6:6">
      <c r="F61646" s="2423"/>
    </row>
    <row r="61647" spans="6:6">
      <c r="F61647" s="2423"/>
    </row>
    <row r="61648" spans="6:6">
      <c r="F61648" s="2423"/>
    </row>
    <row r="61649" spans="6:6">
      <c r="F61649" s="2423"/>
    </row>
    <row r="61650" spans="6:6">
      <c r="F61650" s="2423"/>
    </row>
    <row r="61651" spans="6:6">
      <c r="F61651" s="2423"/>
    </row>
    <row r="61652" spans="6:6">
      <c r="F61652" s="2423"/>
    </row>
    <row r="61653" spans="6:6">
      <c r="F61653" s="2423"/>
    </row>
    <row r="61654" spans="6:6">
      <c r="F61654" s="2423"/>
    </row>
    <row r="61655" spans="6:6">
      <c r="F61655" s="2423"/>
    </row>
    <row r="61656" spans="6:6">
      <c r="F61656" s="2423"/>
    </row>
    <row r="61657" spans="6:6">
      <c r="F61657" s="2423"/>
    </row>
    <row r="61658" spans="6:6">
      <c r="F61658" s="2423"/>
    </row>
    <row r="61659" spans="6:6">
      <c r="F61659" s="2423"/>
    </row>
    <row r="61660" spans="6:6">
      <c r="F61660" s="2423"/>
    </row>
    <row r="61661" spans="6:6">
      <c r="F61661" s="2423"/>
    </row>
    <row r="61662" spans="6:6">
      <c r="F61662" s="2423"/>
    </row>
    <row r="61663" spans="6:6">
      <c r="F61663" s="2423"/>
    </row>
    <row r="61664" spans="6:6">
      <c r="F61664" s="2423"/>
    </row>
    <row r="61665" spans="6:6">
      <c r="F61665" s="2423"/>
    </row>
    <row r="61666" spans="6:6">
      <c r="F61666" s="2423"/>
    </row>
    <row r="61667" spans="6:6">
      <c r="F61667" s="2423"/>
    </row>
    <row r="61668" spans="6:6">
      <c r="F61668" s="2423"/>
    </row>
    <row r="61669" spans="6:6">
      <c r="F61669" s="2423"/>
    </row>
    <row r="61670" spans="6:6">
      <c r="F61670" s="2423"/>
    </row>
    <row r="61671" spans="6:6">
      <c r="F61671" s="2423"/>
    </row>
    <row r="61672" spans="6:6">
      <c r="F61672" s="2423"/>
    </row>
    <row r="61673" spans="6:6">
      <c r="F61673" s="2423"/>
    </row>
    <row r="61674" spans="6:6">
      <c r="F61674" s="2423"/>
    </row>
    <row r="61675" spans="6:6">
      <c r="F61675" s="2423"/>
    </row>
    <row r="61676" spans="6:6">
      <c r="F61676" s="2423"/>
    </row>
    <row r="61677" spans="6:6">
      <c r="F61677" s="2423"/>
    </row>
    <row r="61678" spans="6:6">
      <c r="F61678" s="2423"/>
    </row>
    <row r="61679" spans="6:6">
      <c r="F61679" s="2423"/>
    </row>
    <row r="61680" spans="6:6">
      <c r="F61680" s="2423"/>
    </row>
    <row r="61681" spans="6:6">
      <c r="F61681" s="2423"/>
    </row>
    <row r="61682" spans="6:6">
      <c r="F61682" s="2423"/>
    </row>
    <row r="61683" spans="6:6">
      <c r="F61683" s="2423"/>
    </row>
    <row r="61684" spans="6:6">
      <c r="F61684" s="2423"/>
    </row>
    <row r="61685" spans="6:6">
      <c r="F61685" s="2423"/>
    </row>
    <row r="61686" spans="6:6">
      <c r="F61686" s="2423"/>
    </row>
    <row r="61687" spans="6:6">
      <c r="F61687" s="2423"/>
    </row>
    <row r="61688" spans="6:6">
      <c r="F61688" s="2423"/>
    </row>
    <row r="61689" spans="6:6">
      <c r="F61689" s="2423"/>
    </row>
    <row r="61690" spans="6:6">
      <c r="F61690" s="2423"/>
    </row>
    <row r="61691" spans="6:6">
      <c r="F61691" s="2423"/>
    </row>
    <row r="61692" spans="6:6">
      <c r="F61692" s="2423"/>
    </row>
    <row r="61693" spans="6:6">
      <c r="F61693" s="2423"/>
    </row>
    <row r="61694" spans="6:6">
      <c r="F61694" s="2423"/>
    </row>
    <row r="61695" spans="6:6">
      <c r="F61695" s="2423"/>
    </row>
    <row r="61696" spans="6:6">
      <c r="F61696" s="2423"/>
    </row>
    <row r="61697" spans="6:6">
      <c r="F61697" s="2423"/>
    </row>
    <row r="61698" spans="6:6">
      <c r="F61698" s="2423"/>
    </row>
    <row r="61699" spans="6:6">
      <c r="F61699" s="2423"/>
    </row>
    <row r="61700" spans="6:6">
      <c r="F61700" s="2423"/>
    </row>
    <row r="61701" spans="6:6">
      <c r="F61701" s="2423"/>
    </row>
    <row r="61702" spans="6:6">
      <c r="F61702" s="2423"/>
    </row>
    <row r="61703" spans="6:6">
      <c r="F61703" s="2423"/>
    </row>
    <row r="61704" spans="6:6">
      <c r="F61704" s="2423"/>
    </row>
    <row r="61705" spans="6:6">
      <c r="F61705" s="2423"/>
    </row>
    <row r="61706" spans="6:6">
      <c r="F61706" s="2423"/>
    </row>
    <row r="61707" spans="6:6">
      <c r="F61707" s="2423"/>
    </row>
    <row r="61708" spans="6:6">
      <c r="F61708" s="2423"/>
    </row>
    <row r="61709" spans="6:6">
      <c r="F61709" s="2423"/>
    </row>
    <row r="61710" spans="6:6">
      <c r="F61710" s="2423"/>
    </row>
    <row r="61711" spans="6:6">
      <c r="F61711" s="2423"/>
    </row>
    <row r="61712" spans="6:6">
      <c r="F61712" s="2423"/>
    </row>
    <row r="61713" spans="6:6">
      <c r="F61713" s="2423"/>
    </row>
    <row r="61714" spans="6:6">
      <c r="F61714" s="2423"/>
    </row>
    <row r="61715" spans="6:6">
      <c r="F61715" s="2423"/>
    </row>
    <row r="61716" spans="6:6">
      <c r="F61716" s="2423"/>
    </row>
    <row r="61717" spans="6:6">
      <c r="F61717" s="2423"/>
    </row>
    <row r="61718" spans="6:6">
      <c r="F61718" s="2423"/>
    </row>
    <row r="61719" spans="6:6">
      <c r="F61719" s="2423"/>
    </row>
    <row r="61720" spans="6:6">
      <c r="F61720" s="2423"/>
    </row>
    <row r="61721" spans="6:6">
      <c r="F61721" s="2423"/>
    </row>
    <row r="61722" spans="6:6">
      <c r="F61722" s="2423"/>
    </row>
    <row r="61723" spans="6:6">
      <c r="F61723" s="2423"/>
    </row>
    <row r="61724" spans="6:6">
      <c r="F61724" s="2423"/>
    </row>
    <row r="61725" spans="6:6">
      <c r="F61725" s="2423"/>
    </row>
    <row r="61726" spans="6:6">
      <c r="F61726" s="2423"/>
    </row>
    <row r="61727" spans="6:6">
      <c r="F61727" s="2423"/>
    </row>
    <row r="61728" spans="6:6">
      <c r="F61728" s="2423"/>
    </row>
    <row r="61729" spans="6:6">
      <c r="F61729" s="2423"/>
    </row>
    <row r="61730" spans="6:6">
      <c r="F61730" s="2423"/>
    </row>
    <row r="61731" spans="6:6">
      <c r="F61731" s="2423"/>
    </row>
    <row r="61732" spans="6:6">
      <c r="F61732" s="2423"/>
    </row>
    <row r="61733" spans="6:6">
      <c r="F61733" s="2423"/>
    </row>
    <row r="61734" spans="6:6">
      <c r="F61734" s="2423"/>
    </row>
    <row r="61735" spans="6:6">
      <c r="F61735" s="2423"/>
    </row>
    <row r="61736" spans="6:6">
      <c r="F61736" s="2423"/>
    </row>
    <row r="61737" spans="6:6">
      <c r="F61737" s="2423"/>
    </row>
    <row r="61738" spans="6:6">
      <c r="F61738" s="2423"/>
    </row>
    <row r="61739" spans="6:6">
      <c r="F61739" s="2423"/>
    </row>
    <row r="61740" spans="6:6">
      <c r="F61740" s="2423"/>
    </row>
    <row r="61741" spans="6:6">
      <c r="F61741" s="2423"/>
    </row>
    <row r="61742" spans="6:6">
      <c r="F61742" s="2423"/>
    </row>
    <row r="61743" spans="6:6">
      <c r="F61743" s="2423"/>
    </row>
    <row r="61744" spans="6:6">
      <c r="F61744" s="2423"/>
    </row>
    <row r="61745" spans="6:6">
      <c r="F61745" s="2423"/>
    </row>
    <row r="61746" spans="6:6">
      <c r="F61746" s="2423"/>
    </row>
    <row r="61747" spans="6:6">
      <c r="F61747" s="2423"/>
    </row>
    <row r="61748" spans="6:6">
      <c r="F61748" s="2423"/>
    </row>
    <row r="61749" spans="6:6">
      <c r="F61749" s="2423"/>
    </row>
    <row r="61750" spans="6:6">
      <c r="F61750" s="2423"/>
    </row>
    <row r="61751" spans="6:6">
      <c r="F61751" s="2423"/>
    </row>
    <row r="61752" spans="6:6">
      <c r="F61752" s="2423"/>
    </row>
    <row r="61753" spans="6:6">
      <c r="F61753" s="2423"/>
    </row>
    <row r="61754" spans="6:6">
      <c r="F61754" s="2423"/>
    </row>
    <row r="61755" spans="6:6">
      <c r="F61755" s="2423"/>
    </row>
    <row r="61756" spans="6:6">
      <c r="F61756" s="2423"/>
    </row>
    <row r="61757" spans="6:6">
      <c r="F61757" s="2423"/>
    </row>
    <row r="61758" spans="6:6">
      <c r="F61758" s="2423"/>
    </row>
    <row r="61759" spans="6:6">
      <c r="F61759" s="2423"/>
    </row>
    <row r="61760" spans="6:6">
      <c r="F61760" s="2423"/>
    </row>
    <row r="61761" spans="6:6">
      <c r="F61761" s="2423"/>
    </row>
    <row r="61762" spans="6:6">
      <c r="F61762" s="2423"/>
    </row>
    <row r="61763" spans="6:6">
      <c r="F61763" s="2423"/>
    </row>
    <row r="61764" spans="6:6">
      <c r="F61764" s="2423"/>
    </row>
    <row r="61765" spans="6:6">
      <c r="F61765" s="2423"/>
    </row>
    <row r="61766" spans="6:6">
      <c r="F61766" s="2423"/>
    </row>
    <row r="61767" spans="6:6">
      <c r="F61767" s="2423"/>
    </row>
    <row r="61768" spans="6:6">
      <c r="F61768" s="2423"/>
    </row>
    <row r="61769" spans="6:6">
      <c r="F61769" s="2423"/>
    </row>
    <row r="61770" spans="6:6">
      <c r="F61770" s="2423"/>
    </row>
    <row r="61771" spans="6:6">
      <c r="F61771" s="2423"/>
    </row>
    <row r="61772" spans="6:6">
      <c r="F61772" s="2423"/>
    </row>
    <row r="61773" spans="6:6">
      <c r="F61773" s="2423"/>
    </row>
    <row r="61774" spans="6:6">
      <c r="F61774" s="2423"/>
    </row>
    <row r="61775" spans="6:6">
      <c r="F61775" s="2423"/>
    </row>
    <row r="61776" spans="6:6">
      <c r="F61776" s="2423"/>
    </row>
    <row r="61777" spans="6:6">
      <c r="F61777" s="2423"/>
    </row>
    <row r="61778" spans="6:6">
      <c r="F61778" s="2423"/>
    </row>
    <row r="61779" spans="6:6">
      <c r="F61779" s="2423"/>
    </row>
    <row r="61780" spans="6:6">
      <c r="F61780" s="2423"/>
    </row>
    <row r="61781" spans="6:6">
      <c r="F61781" s="2423"/>
    </row>
    <row r="61782" spans="6:6">
      <c r="F61782" s="2423"/>
    </row>
    <row r="61783" spans="6:6">
      <c r="F61783" s="2423"/>
    </row>
    <row r="61784" spans="6:6">
      <c r="F61784" s="2423"/>
    </row>
    <row r="61785" spans="6:6">
      <c r="F61785" s="2423"/>
    </row>
    <row r="61786" spans="6:6">
      <c r="F61786" s="2423"/>
    </row>
    <row r="61787" spans="6:6">
      <c r="F61787" s="2423"/>
    </row>
    <row r="61788" spans="6:6">
      <c r="F61788" s="2423"/>
    </row>
    <row r="61789" spans="6:6">
      <c r="F61789" s="2423"/>
    </row>
    <row r="61790" spans="6:6">
      <c r="F61790" s="2423"/>
    </row>
    <row r="61791" spans="6:6">
      <c r="F61791" s="2423"/>
    </row>
    <row r="61792" spans="6:6">
      <c r="F61792" s="2423"/>
    </row>
    <row r="61793" spans="6:6">
      <c r="F61793" s="2423"/>
    </row>
    <row r="61794" spans="6:6">
      <c r="F61794" s="2423"/>
    </row>
    <row r="61795" spans="6:6">
      <c r="F61795" s="2423"/>
    </row>
    <row r="61796" spans="6:6">
      <c r="F61796" s="2423"/>
    </row>
    <row r="61797" spans="6:6">
      <c r="F61797" s="2423"/>
    </row>
    <row r="61798" spans="6:6">
      <c r="F61798" s="2423"/>
    </row>
    <row r="61799" spans="6:6">
      <c r="F61799" s="2423"/>
    </row>
    <row r="61800" spans="6:6">
      <c r="F61800" s="2423"/>
    </row>
    <row r="61801" spans="6:6">
      <c r="F61801" s="2423"/>
    </row>
    <row r="61802" spans="6:6">
      <c r="F61802" s="2423"/>
    </row>
    <row r="61803" spans="6:6">
      <c r="F61803" s="2423"/>
    </row>
    <row r="61804" spans="6:6">
      <c r="F61804" s="2423"/>
    </row>
    <row r="61805" spans="6:6">
      <c r="F61805" s="2423"/>
    </row>
    <row r="61806" spans="6:6">
      <c r="F61806" s="2423"/>
    </row>
    <row r="61807" spans="6:6">
      <c r="F61807" s="2423"/>
    </row>
    <row r="61808" spans="6:6">
      <c r="F61808" s="2423"/>
    </row>
    <row r="61809" spans="6:6">
      <c r="F61809" s="2423"/>
    </row>
    <row r="61810" spans="6:6">
      <c r="F61810" s="2423"/>
    </row>
    <row r="61811" spans="6:6">
      <c r="F61811" s="2423"/>
    </row>
    <row r="61812" spans="6:6">
      <c r="F61812" s="2423"/>
    </row>
    <row r="61813" spans="6:6">
      <c r="F61813" s="2423"/>
    </row>
    <row r="61814" spans="6:6">
      <c r="F61814" s="2423"/>
    </row>
    <row r="61815" spans="6:6">
      <c r="F61815" s="2423"/>
    </row>
    <row r="61816" spans="6:6">
      <c r="F61816" s="2423"/>
    </row>
    <row r="61817" spans="6:6">
      <c r="F61817" s="2423"/>
    </row>
    <row r="61818" spans="6:6">
      <c r="F61818" s="2423"/>
    </row>
    <row r="61819" spans="6:6">
      <c r="F61819" s="2423"/>
    </row>
    <row r="61820" spans="6:6">
      <c r="F61820" s="2423"/>
    </row>
    <row r="61821" spans="6:6">
      <c r="F61821" s="2423"/>
    </row>
    <row r="61822" spans="6:6">
      <c r="F61822" s="2423"/>
    </row>
    <row r="61823" spans="6:6">
      <c r="F61823" s="2423"/>
    </row>
    <row r="61824" spans="6:6">
      <c r="F61824" s="2423"/>
    </row>
    <row r="61825" spans="6:6">
      <c r="F61825" s="2423"/>
    </row>
    <row r="61826" spans="6:6">
      <c r="F61826" s="2423"/>
    </row>
    <row r="61827" spans="6:6">
      <c r="F61827" s="2423"/>
    </row>
    <row r="61828" spans="6:6">
      <c r="F61828" s="2423"/>
    </row>
    <row r="61829" spans="6:6">
      <c r="F61829" s="2423"/>
    </row>
    <row r="61830" spans="6:6">
      <c r="F61830" s="2423"/>
    </row>
    <row r="61831" spans="6:6">
      <c r="F61831" s="2423"/>
    </row>
    <row r="61832" spans="6:6">
      <c r="F61832" s="2423"/>
    </row>
    <row r="61833" spans="6:6">
      <c r="F61833" s="2423"/>
    </row>
    <row r="61834" spans="6:6">
      <c r="F61834" s="2423"/>
    </row>
    <row r="61835" spans="6:6">
      <c r="F61835" s="2423"/>
    </row>
    <row r="61836" spans="6:6">
      <c r="F61836" s="2423"/>
    </row>
    <row r="61837" spans="6:6">
      <c r="F61837" s="2423"/>
    </row>
    <row r="61838" spans="6:6">
      <c r="F61838" s="2423"/>
    </row>
    <row r="61839" spans="6:6">
      <c r="F61839" s="2423"/>
    </row>
    <row r="61840" spans="6:6">
      <c r="F61840" s="2423"/>
    </row>
    <row r="61841" spans="6:6">
      <c r="F61841" s="2423"/>
    </row>
    <row r="61842" spans="6:6">
      <c r="F61842" s="2423"/>
    </row>
    <row r="61843" spans="6:6">
      <c r="F61843" s="2423"/>
    </row>
    <row r="61844" spans="6:6">
      <c r="F61844" s="2423"/>
    </row>
    <row r="61845" spans="6:6">
      <c r="F61845" s="2423"/>
    </row>
    <row r="61846" spans="6:6">
      <c r="F61846" s="2423"/>
    </row>
    <row r="61847" spans="6:6">
      <c r="F61847" s="2423"/>
    </row>
    <row r="61848" spans="6:6">
      <c r="F61848" s="2423"/>
    </row>
    <row r="61849" spans="6:6">
      <c r="F61849" s="2423"/>
    </row>
    <row r="61850" spans="6:6">
      <c r="F61850" s="2423"/>
    </row>
    <row r="61851" spans="6:6">
      <c r="F61851" s="2423"/>
    </row>
    <row r="61852" spans="6:6">
      <c r="F61852" s="2423"/>
    </row>
    <row r="61853" spans="6:6">
      <c r="F61853" s="2423"/>
    </row>
    <row r="61854" spans="6:6">
      <c r="F61854" s="2423"/>
    </row>
    <row r="61855" spans="6:6">
      <c r="F61855" s="2423"/>
    </row>
    <row r="61856" spans="6:6">
      <c r="F61856" s="2423"/>
    </row>
    <row r="61857" spans="6:6">
      <c r="F61857" s="2423"/>
    </row>
    <row r="61858" spans="6:6">
      <c r="F61858" s="2423"/>
    </row>
    <row r="61859" spans="6:6">
      <c r="F61859" s="2423"/>
    </row>
    <row r="61860" spans="6:6">
      <c r="F61860" s="2423"/>
    </row>
    <row r="61861" spans="6:6">
      <c r="F61861" s="2423"/>
    </row>
    <row r="61862" spans="6:6">
      <c r="F61862" s="2423"/>
    </row>
    <row r="61863" spans="6:6">
      <c r="F61863" s="2423"/>
    </row>
    <row r="61864" spans="6:6">
      <c r="F61864" s="2423"/>
    </row>
    <row r="61865" spans="6:6">
      <c r="F61865" s="2423"/>
    </row>
    <row r="61866" spans="6:6">
      <c r="F61866" s="2423"/>
    </row>
    <row r="61867" spans="6:6">
      <c r="F61867" s="2423"/>
    </row>
    <row r="61868" spans="6:6">
      <c r="F61868" s="2423"/>
    </row>
    <row r="61869" spans="6:6">
      <c r="F61869" s="2423"/>
    </row>
    <row r="61870" spans="6:6">
      <c r="F61870" s="2423"/>
    </row>
    <row r="61871" spans="6:6">
      <c r="F61871" s="2423"/>
    </row>
    <row r="61872" spans="6:6">
      <c r="F61872" s="2423"/>
    </row>
    <row r="61873" spans="6:6">
      <c r="F61873" s="2423"/>
    </row>
    <row r="61874" spans="6:6">
      <c r="F61874" s="2423"/>
    </row>
    <row r="61875" spans="6:6">
      <c r="F61875" s="2423"/>
    </row>
    <row r="61876" spans="6:6">
      <c r="F61876" s="2423"/>
    </row>
    <row r="61877" spans="6:6">
      <c r="F61877" s="2423"/>
    </row>
    <row r="61878" spans="6:6">
      <c r="F61878" s="2423"/>
    </row>
    <row r="61879" spans="6:6">
      <c r="F61879" s="2423"/>
    </row>
    <row r="61880" spans="6:6">
      <c r="F61880" s="2423"/>
    </row>
    <row r="61881" spans="6:6">
      <c r="F61881" s="2423"/>
    </row>
    <row r="61882" spans="6:6">
      <c r="F61882" s="2423"/>
    </row>
    <row r="61883" spans="6:6">
      <c r="F61883" s="2423"/>
    </row>
    <row r="61884" spans="6:6">
      <c r="F61884" s="2423"/>
    </row>
    <row r="61885" spans="6:6">
      <c r="F61885" s="2423"/>
    </row>
    <row r="61886" spans="6:6">
      <c r="F61886" s="2423"/>
    </row>
    <row r="61887" spans="6:6">
      <c r="F61887" s="2423"/>
    </row>
    <row r="61888" spans="6:6">
      <c r="F61888" s="2423"/>
    </row>
    <row r="61889" spans="6:6">
      <c r="F61889" s="2423"/>
    </row>
    <row r="61890" spans="6:6">
      <c r="F61890" s="2423"/>
    </row>
    <row r="61891" spans="6:6">
      <c r="F61891" s="2423"/>
    </row>
    <row r="61892" spans="6:6">
      <c r="F61892" s="2423"/>
    </row>
    <row r="61893" spans="6:6">
      <c r="F61893" s="2423"/>
    </row>
    <row r="61894" spans="6:6">
      <c r="F61894" s="2423"/>
    </row>
    <row r="61895" spans="6:6">
      <c r="F61895" s="2423"/>
    </row>
    <row r="61896" spans="6:6">
      <c r="F61896" s="2423"/>
    </row>
    <row r="61897" spans="6:6">
      <c r="F61897" s="2423"/>
    </row>
    <row r="61898" spans="6:6">
      <c r="F61898" s="2423"/>
    </row>
    <row r="61899" spans="6:6">
      <c r="F61899" s="2423"/>
    </row>
    <row r="61900" spans="6:6">
      <c r="F61900" s="2423"/>
    </row>
    <row r="61901" spans="6:6">
      <c r="F61901" s="2423"/>
    </row>
    <row r="61902" spans="6:6">
      <c r="F61902" s="2423"/>
    </row>
    <row r="61903" spans="6:6">
      <c r="F61903" s="2423"/>
    </row>
    <row r="61904" spans="6:6">
      <c r="F61904" s="2423"/>
    </row>
    <row r="61905" spans="6:6">
      <c r="F61905" s="2423"/>
    </row>
    <row r="61906" spans="6:6">
      <c r="F61906" s="2423"/>
    </row>
    <row r="61907" spans="6:6">
      <c r="F61907" s="2423"/>
    </row>
    <row r="61908" spans="6:6">
      <c r="F61908" s="2423"/>
    </row>
    <row r="61909" spans="6:6">
      <c r="F61909" s="2423"/>
    </row>
    <row r="61910" spans="6:6">
      <c r="F61910" s="2423"/>
    </row>
    <row r="61911" spans="6:6">
      <c r="F61911" s="2423"/>
    </row>
    <row r="61912" spans="6:6">
      <c r="F61912" s="2423"/>
    </row>
    <row r="61913" spans="6:6">
      <c r="F61913" s="2423"/>
    </row>
    <row r="61914" spans="6:6">
      <c r="F61914" s="2423"/>
    </row>
    <row r="61915" spans="6:6">
      <c r="F61915" s="2423"/>
    </row>
    <row r="61916" spans="6:6">
      <c r="F61916" s="2423"/>
    </row>
    <row r="61917" spans="6:6">
      <c r="F61917" s="2423"/>
    </row>
    <row r="61918" spans="6:6">
      <c r="F61918" s="2423"/>
    </row>
    <row r="61919" spans="6:6">
      <c r="F61919" s="2423"/>
    </row>
    <row r="61920" spans="6:6">
      <c r="F61920" s="2423"/>
    </row>
    <row r="61921" spans="6:6">
      <c r="F61921" s="2423"/>
    </row>
    <row r="61922" spans="6:6">
      <c r="F61922" s="2423"/>
    </row>
    <row r="61923" spans="6:6">
      <c r="F61923" s="2423"/>
    </row>
    <row r="61924" spans="6:6">
      <c r="F61924" s="2423"/>
    </row>
    <row r="61925" spans="6:6">
      <c r="F61925" s="2423"/>
    </row>
    <row r="61926" spans="6:6">
      <c r="F61926" s="2423"/>
    </row>
    <row r="61927" spans="6:6">
      <c r="F61927" s="2423"/>
    </row>
    <row r="61928" spans="6:6">
      <c r="F61928" s="2423"/>
    </row>
    <row r="61929" spans="6:6">
      <c r="F61929" s="2423"/>
    </row>
    <row r="61930" spans="6:6">
      <c r="F61930" s="2423"/>
    </row>
    <row r="61931" spans="6:6">
      <c r="F61931" s="2423"/>
    </row>
    <row r="61932" spans="6:6">
      <c r="F61932" s="2423"/>
    </row>
    <row r="61933" spans="6:6">
      <c r="F61933" s="2423"/>
    </row>
    <row r="61934" spans="6:6">
      <c r="F61934" s="2423"/>
    </row>
    <row r="61935" spans="6:6">
      <c r="F61935" s="2423"/>
    </row>
    <row r="61936" spans="6:6">
      <c r="F61936" s="2423"/>
    </row>
    <row r="61937" spans="6:6">
      <c r="F61937" s="2423"/>
    </row>
    <row r="61938" spans="6:6">
      <c r="F61938" s="2423"/>
    </row>
    <row r="61939" spans="6:6">
      <c r="F61939" s="2423"/>
    </row>
    <row r="61940" spans="6:6">
      <c r="F61940" s="2423"/>
    </row>
    <row r="61941" spans="6:6">
      <c r="F61941" s="2423"/>
    </row>
    <row r="61942" spans="6:6">
      <c r="F61942" s="2423"/>
    </row>
    <row r="61943" spans="6:6">
      <c r="F61943" s="2423"/>
    </row>
    <row r="61944" spans="6:6">
      <c r="F61944" s="2423"/>
    </row>
    <row r="61945" spans="6:6">
      <c r="F61945" s="2423"/>
    </row>
    <row r="61946" spans="6:6">
      <c r="F61946" s="2423"/>
    </row>
    <row r="61947" spans="6:6">
      <c r="F61947" s="2423"/>
    </row>
    <row r="61948" spans="6:6">
      <c r="F61948" s="2423"/>
    </row>
    <row r="61949" spans="6:6">
      <c r="F61949" s="2423"/>
    </row>
    <row r="61950" spans="6:6">
      <c r="F61950" s="2423"/>
    </row>
    <row r="61951" spans="6:6">
      <c r="F61951" s="2423"/>
    </row>
    <row r="61952" spans="6:6">
      <c r="F61952" s="2423"/>
    </row>
    <row r="61953" spans="6:6">
      <c r="F61953" s="2423"/>
    </row>
    <row r="61954" spans="6:6">
      <c r="F61954" s="2423"/>
    </row>
    <row r="61955" spans="6:6">
      <c r="F61955" s="2423"/>
    </row>
    <row r="61956" spans="6:6">
      <c r="F61956" s="2423"/>
    </row>
    <row r="61957" spans="6:6">
      <c r="F61957" s="2423"/>
    </row>
    <row r="61958" spans="6:6">
      <c r="F61958" s="2423"/>
    </row>
    <row r="61959" spans="6:6">
      <c r="F61959" s="2423"/>
    </row>
    <row r="61960" spans="6:6">
      <c r="F61960" s="2423"/>
    </row>
    <row r="61961" spans="6:6">
      <c r="F61961" s="2423"/>
    </row>
    <row r="61962" spans="6:6">
      <c r="F61962" s="2423"/>
    </row>
    <row r="61963" spans="6:6">
      <c r="F61963" s="2423"/>
    </row>
    <row r="61964" spans="6:6">
      <c r="F61964" s="2423"/>
    </row>
    <row r="61965" spans="6:6">
      <c r="F61965" s="2423"/>
    </row>
    <row r="61966" spans="6:6">
      <c r="F61966" s="2423"/>
    </row>
    <row r="61967" spans="6:6">
      <c r="F61967" s="2423"/>
    </row>
    <row r="61968" spans="6:6">
      <c r="F61968" s="2423"/>
    </row>
    <row r="61969" spans="6:6">
      <c r="F61969" s="2423"/>
    </row>
    <row r="61970" spans="6:6">
      <c r="F61970" s="2423"/>
    </row>
    <row r="61971" spans="6:6">
      <c r="F61971" s="2423"/>
    </row>
    <row r="61972" spans="6:6">
      <c r="F61972" s="2423"/>
    </row>
    <row r="61973" spans="6:6">
      <c r="F61973" s="2423"/>
    </row>
    <row r="61974" spans="6:6">
      <c r="F61974" s="2423"/>
    </row>
    <row r="61975" spans="6:6">
      <c r="F61975" s="2423"/>
    </row>
    <row r="61976" spans="6:6">
      <c r="F61976" s="2423"/>
    </row>
    <row r="61977" spans="6:6">
      <c r="F61977" s="2423"/>
    </row>
    <row r="61978" spans="6:6">
      <c r="F61978" s="2423"/>
    </row>
    <row r="61979" spans="6:6">
      <c r="F61979" s="2423"/>
    </row>
    <row r="61980" spans="6:6">
      <c r="F61980" s="2423"/>
    </row>
    <row r="61981" spans="6:6">
      <c r="F61981" s="2423"/>
    </row>
    <row r="61982" spans="6:6">
      <c r="F61982" s="2423"/>
    </row>
    <row r="61983" spans="6:6">
      <c r="F61983" s="2423"/>
    </row>
    <row r="61984" spans="6:6">
      <c r="F61984" s="2423"/>
    </row>
    <row r="61985" spans="6:6">
      <c r="F61985" s="2423"/>
    </row>
    <row r="61986" spans="6:6">
      <c r="F61986" s="2423"/>
    </row>
    <row r="61987" spans="6:6">
      <c r="F61987" s="2423"/>
    </row>
    <row r="61988" spans="6:6">
      <c r="F61988" s="2423"/>
    </row>
    <row r="61989" spans="6:6">
      <c r="F61989" s="2423"/>
    </row>
    <row r="61990" spans="6:6">
      <c r="F61990" s="2423"/>
    </row>
    <row r="61991" spans="6:6">
      <c r="F61991" s="2423"/>
    </row>
    <row r="61992" spans="6:6">
      <c r="F61992" s="2423"/>
    </row>
    <row r="61993" spans="6:6">
      <c r="F61993" s="2423"/>
    </row>
    <row r="61994" spans="6:6">
      <c r="F61994" s="2423"/>
    </row>
    <row r="61995" spans="6:6">
      <c r="F61995" s="2423"/>
    </row>
    <row r="61996" spans="6:6">
      <c r="F61996" s="2423"/>
    </row>
    <row r="61997" spans="6:6">
      <c r="F61997" s="2423"/>
    </row>
    <row r="61998" spans="6:6">
      <c r="F61998" s="2423"/>
    </row>
    <row r="61999" spans="6:6">
      <c r="F61999" s="2423"/>
    </row>
    <row r="62000" spans="6:6">
      <c r="F62000" s="2423"/>
    </row>
    <row r="62001" spans="6:6">
      <c r="F62001" s="2423"/>
    </row>
    <row r="62002" spans="6:6">
      <c r="F62002" s="2423"/>
    </row>
    <row r="62003" spans="6:6">
      <c r="F62003" s="2423"/>
    </row>
    <row r="62004" spans="6:6">
      <c r="F62004" s="2423"/>
    </row>
    <row r="62005" spans="6:6">
      <c r="F62005" s="2423"/>
    </row>
    <row r="62006" spans="6:6">
      <c r="F62006" s="2423"/>
    </row>
    <row r="62007" spans="6:6">
      <c r="F62007" s="2423"/>
    </row>
    <row r="62008" spans="6:6">
      <c r="F62008" s="2423"/>
    </row>
    <row r="62009" spans="6:6">
      <c r="F62009" s="2423"/>
    </row>
    <row r="62010" spans="6:6">
      <c r="F62010" s="2423"/>
    </row>
    <row r="62011" spans="6:6">
      <c r="F62011" s="2423"/>
    </row>
    <row r="62012" spans="6:6">
      <c r="F62012" s="2423"/>
    </row>
    <row r="62013" spans="6:6">
      <c r="F62013" s="2423"/>
    </row>
    <row r="62014" spans="6:6">
      <c r="F62014" s="2423"/>
    </row>
    <row r="62015" spans="6:6">
      <c r="F62015" s="2423"/>
    </row>
    <row r="62016" spans="6:6">
      <c r="F62016" s="2423"/>
    </row>
    <row r="62017" spans="6:6">
      <c r="F62017" s="2423"/>
    </row>
    <row r="62018" spans="6:6">
      <c r="F62018" s="2423"/>
    </row>
    <row r="62019" spans="6:6">
      <c r="F62019" s="2423"/>
    </row>
    <row r="62020" spans="6:6">
      <c r="F62020" s="2423"/>
    </row>
    <row r="62021" spans="6:6">
      <c r="F62021" s="2423"/>
    </row>
    <row r="62022" spans="6:6">
      <c r="F62022" s="2423"/>
    </row>
    <row r="62023" spans="6:6">
      <c r="F62023" s="2423"/>
    </row>
    <row r="62024" spans="6:6">
      <c r="F62024" s="2423"/>
    </row>
    <row r="62025" spans="6:6">
      <c r="F62025" s="2423"/>
    </row>
    <row r="62026" spans="6:6">
      <c r="F62026" s="2423"/>
    </row>
    <row r="62027" spans="6:6">
      <c r="F62027" s="2423"/>
    </row>
    <row r="62028" spans="6:6">
      <c r="F62028" s="2423"/>
    </row>
    <row r="62029" spans="6:6">
      <c r="F62029" s="2423"/>
    </row>
    <row r="62030" spans="6:6">
      <c r="F62030" s="2423"/>
    </row>
    <row r="62031" spans="6:6">
      <c r="F62031" s="2423"/>
    </row>
    <row r="62032" spans="6:6">
      <c r="F62032" s="2423"/>
    </row>
    <row r="62033" spans="6:6">
      <c r="F62033" s="2423"/>
    </row>
    <row r="62034" spans="6:6">
      <c r="F62034" s="2423"/>
    </row>
    <row r="62035" spans="6:6">
      <c r="F62035" s="2423"/>
    </row>
    <row r="62036" spans="6:6">
      <c r="F62036" s="2423"/>
    </row>
    <row r="62037" spans="6:6">
      <c r="F62037" s="2423"/>
    </row>
    <row r="62038" spans="6:6">
      <c r="F62038" s="2423"/>
    </row>
    <row r="62039" spans="6:6">
      <c r="F62039" s="2423"/>
    </row>
    <row r="62040" spans="6:6">
      <c r="F62040" s="2423"/>
    </row>
    <row r="62041" spans="6:6">
      <c r="F62041" s="2423"/>
    </row>
    <row r="62042" spans="6:6">
      <c r="F62042" s="2423"/>
    </row>
    <row r="62043" spans="6:6">
      <c r="F62043" s="2423"/>
    </row>
    <row r="62044" spans="6:6">
      <c r="F62044" s="2423"/>
    </row>
    <row r="62045" spans="6:6">
      <c r="F62045" s="2423"/>
    </row>
    <row r="62046" spans="6:6">
      <c r="F62046" s="2423"/>
    </row>
    <row r="62047" spans="6:6">
      <c r="F62047" s="2423"/>
    </row>
    <row r="62048" spans="6:6">
      <c r="F62048" s="2423"/>
    </row>
    <row r="62049" spans="6:6">
      <c r="F62049" s="2423"/>
    </row>
    <row r="62050" spans="6:6">
      <c r="F62050" s="2423"/>
    </row>
    <row r="62051" spans="6:6">
      <c r="F62051" s="2423"/>
    </row>
    <row r="62052" spans="6:6">
      <c r="F62052" s="2423"/>
    </row>
    <row r="62053" spans="6:6">
      <c r="F62053" s="2423"/>
    </row>
    <row r="62054" spans="6:6">
      <c r="F62054" s="2423"/>
    </row>
    <row r="62055" spans="6:6">
      <c r="F62055" s="2423"/>
    </row>
    <row r="62056" spans="6:6">
      <c r="F62056" s="2423"/>
    </row>
    <row r="62057" spans="6:6">
      <c r="F62057" s="2423"/>
    </row>
    <row r="62058" spans="6:6">
      <c r="F62058" s="2423"/>
    </row>
    <row r="62059" spans="6:6">
      <c r="F62059" s="2423"/>
    </row>
    <row r="62060" spans="6:6">
      <c r="F62060" s="2423"/>
    </row>
    <row r="62061" spans="6:6">
      <c r="F62061" s="2423"/>
    </row>
    <row r="62062" spans="6:6">
      <c r="F62062" s="2423"/>
    </row>
    <row r="62063" spans="6:6">
      <c r="F62063" s="2423"/>
    </row>
    <row r="62064" spans="6:6">
      <c r="F62064" s="2423"/>
    </row>
    <row r="62065" spans="6:6">
      <c r="F62065" s="2423"/>
    </row>
    <row r="62066" spans="6:6">
      <c r="F62066" s="2423"/>
    </row>
    <row r="62067" spans="6:6">
      <c r="F62067" s="2423"/>
    </row>
    <row r="62068" spans="6:6">
      <c r="F62068" s="2423"/>
    </row>
    <row r="62069" spans="6:6">
      <c r="F62069" s="2423"/>
    </row>
    <row r="62070" spans="6:6">
      <c r="F62070" s="2423"/>
    </row>
    <row r="62071" spans="6:6">
      <c r="F62071" s="2423"/>
    </row>
    <row r="62072" spans="6:6">
      <c r="F62072" s="2423"/>
    </row>
    <row r="62073" spans="6:6">
      <c r="F62073" s="2423"/>
    </row>
    <row r="62074" spans="6:6">
      <c r="F62074" s="2423"/>
    </row>
    <row r="62075" spans="6:6">
      <c r="F62075" s="2423"/>
    </row>
    <row r="62076" spans="6:6">
      <c r="F62076" s="2423"/>
    </row>
    <row r="62077" spans="6:6">
      <c r="F62077" s="2423"/>
    </row>
    <row r="62078" spans="6:6">
      <c r="F62078" s="2423"/>
    </row>
    <row r="62079" spans="6:6">
      <c r="F62079" s="2423"/>
    </row>
    <row r="62080" spans="6:6">
      <c r="F62080" s="2423"/>
    </row>
    <row r="62081" spans="6:6">
      <c r="F62081" s="2423"/>
    </row>
    <row r="62082" spans="6:6">
      <c r="F62082" s="2423"/>
    </row>
    <row r="62083" spans="6:6">
      <c r="F62083" s="2423"/>
    </row>
    <row r="62084" spans="6:6">
      <c r="F62084" s="2423"/>
    </row>
    <row r="62085" spans="6:6">
      <c r="F62085" s="2423"/>
    </row>
    <row r="62086" spans="6:6">
      <c r="F62086" s="2423"/>
    </row>
    <row r="62087" spans="6:6">
      <c r="F62087" s="2423"/>
    </row>
    <row r="62088" spans="6:6">
      <c r="F62088" s="2423"/>
    </row>
    <row r="62089" spans="6:6">
      <c r="F62089" s="2423"/>
    </row>
    <row r="62090" spans="6:6">
      <c r="F62090" s="2423"/>
    </row>
    <row r="62091" spans="6:6">
      <c r="F62091" s="2423"/>
    </row>
    <row r="62092" spans="6:6">
      <c r="F62092" s="2423"/>
    </row>
    <row r="62093" spans="6:6">
      <c r="F62093" s="2423"/>
    </row>
    <row r="62094" spans="6:6">
      <c r="F62094" s="2423"/>
    </row>
    <row r="62095" spans="6:6">
      <c r="F62095" s="2423"/>
    </row>
    <row r="62096" spans="6:6">
      <c r="F62096" s="2423"/>
    </row>
    <row r="62097" spans="6:6">
      <c r="F62097" s="2423"/>
    </row>
    <row r="62098" spans="6:6">
      <c r="F62098" s="2423"/>
    </row>
    <row r="62099" spans="6:6">
      <c r="F62099" s="2423"/>
    </row>
    <row r="62100" spans="6:6">
      <c r="F62100" s="2423"/>
    </row>
    <row r="62101" spans="6:6">
      <c r="F62101" s="2423"/>
    </row>
    <row r="62102" spans="6:6">
      <c r="F62102" s="2423"/>
    </row>
    <row r="62103" spans="6:6">
      <c r="F62103" s="2423"/>
    </row>
    <row r="62104" spans="6:6">
      <c r="F62104" s="2423"/>
    </row>
    <row r="62105" spans="6:6">
      <c r="F62105" s="2423"/>
    </row>
    <row r="62106" spans="6:6">
      <c r="F62106" s="2423"/>
    </row>
    <row r="62107" spans="6:6">
      <c r="F62107" s="2423"/>
    </row>
    <row r="62108" spans="6:6">
      <c r="F62108" s="2423"/>
    </row>
    <row r="62109" spans="6:6">
      <c r="F62109" s="2423"/>
    </row>
    <row r="62110" spans="6:6">
      <c r="F62110" s="2423"/>
    </row>
    <row r="62111" spans="6:6">
      <c r="F62111" s="2423"/>
    </row>
    <row r="62112" spans="6:6">
      <c r="F62112" s="2423"/>
    </row>
    <row r="62113" spans="6:6">
      <c r="F62113" s="2423"/>
    </row>
    <row r="62114" spans="6:6">
      <c r="F62114" s="2423"/>
    </row>
    <row r="62115" spans="6:6">
      <c r="F62115" s="2423"/>
    </row>
    <row r="62116" spans="6:6">
      <c r="F62116" s="2423"/>
    </row>
    <row r="62117" spans="6:6">
      <c r="F62117" s="2423"/>
    </row>
    <row r="62118" spans="6:6">
      <c r="F62118" s="2423"/>
    </row>
    <row r="62119" spans="6:6">
      <c r="F62119" s="2423"/>
    </row>
    <row r="62120" spans="6:6">
      <c r="F62120" s="2423"/>
    </row>
    <row r="62121" spans="6:6">
      <c r="F62121" s="2423"/>
    </row>
    <row r="62122" spans="6:6">
      <c r="F62122" s="2423"/>
    </row>
    <row r="62123" spans="6:6">
      <c r="F62123" s="2423"/>
    </row>
    <row r="62124" spans="6:6">
      <c r="F62124" s="2423"/>
    </row>
    <row r="62125" spans="6:6">
      <c r="F62125" s="2423"/>
    </row>
    <row r="62126" spans="6:6">
      <c r="F62126" s="2423"/>
    </row>
    <row r="62127" spans="6:6">
      <c r="F62127" s="2423"/>
    </row>
    <row r="62128" spans="6:6">
      <c r="F62128" s="2423"/>
    </row>
    <row r="62129" spans="6:6">
      <c r="F62129" s="2423"/>
    </row>
    <row r="62130" spans="6:6">
      <c r="F62130" s="2423"/>
    </row>
    <row r="62131" spans="6:6">
      <c r="F62131" s="2423"/>
    </row>
    <row r="62132" spans="6:6">
      <c r="F62132" s="2423"/>
    </row>
    <row r="62133" spans="6:6">
      <c r="F62133" s="2423"/>
    </row>
    <row r="62134" spans="6:6">
      <c r="F62134" s="2423"/>
    </row>
    <row r="62135" spans="6:6">
      <c r="F62135" s="2423"/>
    </row>
    <row r="62136" spans="6:6">
      <c r="F62136" s="2423"/>
    </row>
    <row r="62137" spans="6:6">
      <c r="F62137" s="2423"/>
    </row>
    <row r="62138" spans="6:6">
      <c r="F62138" s="2423"/>
    </row>
    <row r="62139" spans="6:6">
      <c r="F62139" s="2423"/>
    </row>
    <row r="62140" spans="6:6">
      <c r="F62140" s="2423"/>
    </row>
    <row r="62141" spans="6:6">
      <c r="F62141" s="2423"/>
    </row>
    <row r="62142" spans="6:6">
      <c r="F62142" s="2423"/>
    </row>
    <row r="62143" spans="6:6">
      <c r="F62143" s="2423"/>
    </row>
    <row r="62144" spans="6:6">
      <c r="F62144" s="2423"/>
    </row>
    <row r="62145" spans="6:6">
      <c r="F62145" s="2423"/>
    </row>
    <row r="62146" spans="6:6">
      <c r="F62146" s="2423"/>
    </row>
    <row r="62147" spans="6:6">
      <c r="F62147" s="2423"/>
    </row>
    <row r="62148" spans="6:6">
      <c r="F62148" s="2423"/>
    </row>
    <row r="62149" spans="6:6">
      <c r="F62149" s="2423"/>
    </row>
    <row r="62150" spans="6:6">
      <c r="F62150" s="2423"/>
    </row>
    <row r="62151" spans="6:6">
      <c r="F62151" s="2423"/>
    </row>
    <row r="62152" spans="6:6">
      <c r="F62152" s="2423"/>
    </row>
    <row r="62153" spans="6:6">
      <c r="F62153" s="2423"/>
    </row>
    <row r="62154" spans="6:6">
      <c r="F62154" s="2423"/>
    </row>
    <row r="62155" spans="6:6">
      <c r="F62155" s="2423"/>
    </row>
    <row r="62156" spans="6:6">
      <c r="F62156" s="2423"/>
    </row>
    <row r="62157" spans="6:6">
      <c r="F62157" s="2423"/>
    </row>
    <row r="62158" spans="6:6">
      <c r="F62158" s="2423"/>
    </row>
    <row r="62159" spans="6:6">
      <c r="F62159" s="2423"/>
    </row>
    <row r="62160" spans="6:6">
      <c r="F62160" s="2423"/>
    </row>
    <row r="62161" spans="6:6">
      <c r="F62161" s="2423"/>
    </row>
    <row r="62162" spans="6:6">
      <c r="F62162" s="2423"/>
    </row>
    <row r="62163" spans="6:6">
      <c r="F62163" s="2423"/>
    </row>
    <row r="62164" spans="6:6">
      <c r="F62164" s="2423"/>
    </row>
    <row r="62165" spans="6:6">
      <c r="F62165" s="2423"/>
    </row>
    <row r="62166" spans="6:6">
      <c r="F62166" s="2423"/>
    </row>
    <row r="62167" spans="6:6">
      <c r="F62167" s="2423"/>
    </row>
    <row r="62168" spans="6:6">
      <c r="F62168" s="2423"/>
    </row>
    <row r="62169" spans="6:6">
      <c r="F62169" s="2423"/>
    </row>
    <row r="62170" spans="6:6">
      <c r="F62170" s="2423"/>
    </row>
    <row r="62171" spans="6:6">
      <c r="F62171" s="2423"/>
    </row>
    <row r="62172" spans="6:6">
      <c r="F62172" s="2423"/>
    </row>
    <row r="62173" spans="6:6">
      <c r="F62173" s="2423"/>
    </row>
    <row r="62174" spans="6:6">
      <c r="F62174" s="2423"/>
    </row>
    <row r="62175" spans="6:6">
      <c r="F62175" s="2423"/>
    </row>
    <row r="62176" spans="6:6">
      <c r="F62176" s="2423"/>
    </row>
    <row r="62177" spans="6:6">
      <c r="F62177" s="2423"/>
    </row>
    <row r="62178" spans="6:6">
      <c r="F62178" s="2423"/>
    </row>
    <row r="62179" spans="6:6">
      <c r="F62179" s="2423"/>
    </row>
    <row r="62180" spans="6:6">
      <c r="F62180" s="2423"/>
    </row>
    <row r="62181" spans="6:6">
      <c r="F62181" s="2423"/>
    </row>
    <row r="62182" spans="6:6">
      <c r="F62182" s="2423"/>
    </row>
    <row r="62183" spans="6:6">
      <c r="F62183" s="2423"/>
    </row>
    <row r="62184" spans="6:6">
      <c r="F62184" s="2423"/>
    </row>
    <row r="62185" spans="6:6">
      <c r="F62185" s="2423"/>
    </row>
    <row r="62186" spans="6:6">
      <c r="F62186" s="2423"/>
    </row>
    <row r="62187" spans="6:6">
      <c r="F62187" s="2423"/>
    </row>
    <row r="62188" spans="6:6">
      <c r="F62188" s="2423"/>
    </row>
    <row r="62189" spans="6:6">
      <c r="F62189" s="2423"/>
    </row>
    <row r="62190" spans="6:6">
      <c r="F62190" s="2423"/>
    </row>
    <row r="62191" spans="6:6">
      <c r="F62191" s="2423"/>
    </row>
    <row r="62192" spans="6:6">
      <c r="F62192" s="2423"/>
    </row>
    <row r="62193" spans="6:6">
      <c r="F62193" s="2423"/>
    </row>
    <row r="62194" spans="6:6">
      <c r="F62194" s="2423"/>
    </row>
    <row r="62195" spans="6:6">
      <c r="F62195" s="2423"/>
    </row>
    <row r="62196" spans="6:6">
      <c r="F62196" s="2423"/>
    </row>
    <row r="62197" spans="6:6">
      <c r="F62197" s="2423"/>
    </row>
    <row r="62198" spans="6:6">
      <c r="F62198" s="2423"/>
    </row>
    <row r="62199" spans="6:6">
      <c r="F62199" s="2423"/>
    </row>
    <row r="62200" spans="6:6">
      <c r="F62200" s="2423"/>
    </row>
    <row r="62201" spans="6:6">
      <c r="F62201" s="2423"/>
    </row>
    <row r="62202" spans="6:6">
      <c r="F62202" s="2423"/>
    </row>
    <row r="62203" spans="6:6">
      <c r="F62203" s="2423"/>
    </row>
    <row r="62204" spans="6:6">
      <c r="F62204" s="2423"/>
    </row>
    <row r="62205" spans="6:6">
      <c r="F62205" s="2423"/>
    </row>
    <row r="62206" spans="6:6">
      <c r="F62206" s="2423"/>
    </row>
    <row r="62207" spans="6:6">
      <c r="F62207" s="2423"/>
    </row>
    <row r="62208" spans="6:6">
      <c r="F62208" s="2423"/>
    </row>
    <row r="62209" spans="6:6">
      <c r="F62209" s="2423"/>
    </row>
    <row r="62210" spans="6:6">
      <c r="F62210" s="2423"/>
    </row>
    <row r="62211" spans="6:6">
      <c r="F62211" s="2423"/>
    </row>
    <row r="62212" spans="6:6">
      <c r="F62212" s="2423"/>
    </row>
    <row r="62213" spans="6:6">
      <c r="F62213" s="2423"/>
    </row>
    <row r="62214" spans="6:6">
      <c r="F62214" s="2423"/>
    </row>
    <row r="62215" spans="6:6">
      <c r="F62215" s="2423"/>
    </row>
    <row r="62216" spans="6:6">
      <c r="F62216" s="2423"/>
    </row>
    <row r="62217" spans="6:6">
      <c r="F62217" s="2423"/>
    </row>
    <row r="62218" spans="6:6">
      <c r="F62218" s="2423"/>
    </row>
    <row r="62219" spans="6:6">
      <c r="F62219" s="2423"/>
    </row>
    <row r="62220" spans="6:6">
      <c r="F62220" s="2423"/>
    </row>
    <row r="62221" spans="6:6">
      <c r="F62221" s="2423"/>
    </row>
    <row r="62222" spans="6:6">
      <c r="F62222" s="2423"/>
    </row>
    <row r="62223" spans="6:6">
      <c r="F62223" s="2423"/>
    </row>
    <row r="62224" spans="6:6">
      <c r="F62224" s="2423"/>
    </row>
    <row r="62225" spans="6:6">
      <c r="F62225" s="2423"/>
    </row>
    <row r="62226" spans="6:6">
      <c r="F62226" s="2423"/>
    </row>
    <row r="62227" spans="6:6">
      <c r="F62227" s="2423"/>
    </row>
    <row r="62228" spans="6:6">
      <c r="F62228" s="2423"/>
    </row>
    <row r="62229" spans="6:6">
      <c r="F62229" s="2423"/>
    </row>
    <row r="62230" spans="6:6">
      <c r="F62230" s="2423"/>
    </row>
    <row r="62231" spans="6:6">
      <c r="F62231" s="2423"/>
    </row>
    <row r="62232" spans="6:6">
      <c r="F62232" s="2423"/>
    </row>
    <row r="62233" spans="6:6">
      <c r="F62233" s="2423"/>
    </row>
    <row r="62234" spans="6:6">
      <c r="F62234" s="2423"/>
    </row>
    <row r="62235" spans="6:6">
      <c r="F62235" s="2423"/>
    </row>
    <row r="62236" spans="6:6">
      <c r="F62236" s="2423"/>
    </row>
    <row r="62237" spans="6:6">
      <c r="F62237" s="2423"/>
    </row>
    <row r="62238" spans="6:6">
      <c r="F62238" s="2423"/>
    </row>
    <row r="62239" spans="6:6">
      <c r="F62239" s="2423"/>
    </row>
    <row r="62240" spans="6:6">
      <c r="F62240" s="2423"/>
    </row>
    <row r="62241" spans="6:6">
      <c r="F62241" s="2423"/>
    </row>
    <row r="62242" spans="6:6">
      <c r="F62242" s="2423"/>
    </row>
    <row r="62243" spans="6:6">
      <c r="F62243" s="2423"/>
    </row>
    <row r="62244" spans="6:6">
      <c r="F62244" s="2423"/>
    </row>
    <row r="62245" spans="6:6">
      <c r="F62245" s="2423"/>
    </row>
    <row r="62246" spans="6:6">
      <c r="F62246" s="2423"/>
    </row>
    <row r="62247" spans="6:6">
      <c r="F62247" s="2423"/>
    </row>
    <row r="62248" spans="6:6">
      <c r="F62248" s="2423"/>
    </row>
    <row r="62249" spans="6:6">
      <c r="F62249" s="2423"/>
    </row>
    <row r="62250" spans="6:6">
      <c r="F62250" s="2423"/>
    </row>
    <row r="62251" spans="6:6">
      <c r="F62251" s="2423"/>
    </row>
    <row r="62252" spans="6:6">
      <c r="F62252" s="2423"/>
    </row>
    <row r="62253" spans="6:6">
      <c r="F62253" s="2423"/>
    </row>
    <row r="62254" spans="6:6">
      <c r="F62254" s="2423"/>
    </row>
    <row r="62255" spans="6:6">
      <c r="F62255" s="2423"/>
    </row>
    <row r="62256" spans="6:6">
      <c r="F62256" s="2423"/>
    </row>
    <row r="62257" spans="6:6">
      <c r="F62257" s="2423"/>
    </row>
    <row r="62258" spans="6:6">
      <c r="F62258" s="2423"/>
    </row>
    <row r="62259" spans="6:6">
      <c r="F62259" s="2423"/>
    </row>
    <row r="62260" spans="6:6">
      <c r="F62260" s="2423"/>
    </row>
    <row r="62261" spans="6:6">
      <c r="F62261" s="2423"/>
    </row>
    <row r="62262" spans="6:6">
      <c r="F62262" s="2423"/>
    </row>
    <row r="62263" spans="6:6">
      <c r="F62263" s="2423"/>
    </row>
    <row r="62264" spans="6:6">
      <c r="F62264" s="2423"/>
    </row>
    <row r="62265" spans="6:6">
      <c r="F62265" s="2423"/>
    </row>
    <row r="62266" spans="6:6">
      <c r="F62266" s="2423"/>
    </row>
    <row r="62267" spans="6:6">
      <c r="F62267" s="2423"/>
    </row>
    <row r="62268" spans="6:6">
      <c r="F62268" s="2423"/>
    </row>
    <row r="62269" spans="6:6">
      <c r="F62269" s="2423"/>
    </row>
    <row r="62270" spans="6:6">
      <c r="F62270" s="2423"/>
    </row>
    <row r="62271" spans="6:6">
      <c r="F62271" s="2423"/>
    </row>
    <row r="62272" spans="6:6">
      <c r="F62272" s="2423"/>
    </row>
    <row r="62273" spans="6:6">
      <c r="F62273" s="2423"/>
    </row>
    <row r="62274" spans="6:6">
      <c r="F62274" s="2423"/>
    </row>
    <row r="62275" spans="6:6">
      <c r="F62275" s="2423"/>
    </row>
    <row r="62276" spans="6:6">
      <c r="F62276" s="2423"/>
    </row>
    <row r="62277" spans="6:6">
      <c r="F62277" s="2423"/>
    </row>
    <row r="62278" spans="6:6">
      <c r="F62278" s="2423"/>
    </row>
    <row r="62279" spans="6:6">
      <c r="F62279" s="2423"/>
    </row>
    <row r="62280" spans="6:6">
      <c r="F62280" s="2423"/>
    </row>
    <row r="62281" spans="6:6">
      <c r="F62281" s="2423"/>
    </row>
    <row r="62282" spans="6:6">
      <c r="F62282" s="2423"/>
    </row>
    <row r="62283" spans="6:6">
      <c r="F62283" s="2423"/>
    </row>
    <row r="62284" spans="6:6">
      <c r="F62284" s="2423"/>
    </row>
    <row r="62285" spans="6:6">
      <c r="F62285" s="2423"/>
    </row>
    <row r="62286" spans="6:6">
      <c r="F62286" s="2423"/>
    </row>
    <row r="62287" spans="6:6">
      <c r="F62287" s="2423"/>
    </row>
    <row r="62288" spans="6:6">
      <c r="F62288" s="2423"/>
    </row>
    <row r="62289" spans="6:6">
      <c r="F62289" s="2423"/>
    </row>
    <row r="62290" spans="6:6">
      <c r="F62290" s="2423"/>
    </row>
    <row r="62291" spans="6:6">
      <c r="F62291" s="2423"/>
    </row>
    <row r="62292" spans="6:6">
      <c r="F62292" s="2423"/>
    </row>
    <row r="62293" spans="6:6">
      <c r="F62293" s="2423"/>
    </row>
    <row r="62294" spans="6:6">
      <c r="F62294" s="2423"/>
    </row>
    <row r="62295" spans="6:6">
      <c r="F62295" s="2423"/>
    </row>
    <row r="62296" spans="6:6">
      <c r="F62296" s="2423"/>
    </row>
    <row r="62297" spans="6:6">
      <c r="F62297" s="2423"/>
    </row>
    <row r="62298" spans="6:6">
      <c r="F62298" s="2423"/>
    </row>
    <row r="62299" spans="6:6">
      <c r="F62299" s="2423"/>
    </row>
    <row r="62300" spans="6:6">
      <c r="F62300" s="2423"/>
    </row>
    <row r="62301" spans="6:6">
      <c r="F62301" s="2423"/>
    </row>
    <row r="62302" spans="6:6">
      <c r="F62302" s="2423"/>
    </row>
    <row r="62303" spans="6:6">
      <c r="F62303" s="2423"/>
    </row>
    <row r="62304" spans="6:6">
      <c r="F62304" s="2423"/>
    </row>
    <row r="62305" spans="6:6">
      <c r="F62305" s="2423"/>
    </row>
    <row r="62306" spans="6:6">
      <c r="F62306" s="2423"/>
    </row>
    <row r="62307" spans="6:6">
      <c r="F62307" s="2423"/>
    </row>
    <row r="62308" spans="6:6">
      <c r="F62308" s="2423"/>
    </row>
    <row r="62309" spans="6:6">
      <c r="F62309" s="2423"/>
    </row>
    <row r="62310" spans="6:6">
      <c r="F62310" s="2423"/>
    </row>
    <row r="62311" spans="6:6">
      <c r="F62311" s="2423"/>
    </row>
    <row r="62312" spans="6:6">
      <c r="F62312" s="2423"/>
    </row>
    <row r="62313" spans="6:6">
      <c r="F62313" s="2423"/>
    </row>
    <row r="62314" spans="6:6">
      <c r="F62314" s="2423"/>
    </row>
    <row r="62315" spans="6:6">
      <c r="F62315" s="2423"/>
    </row>
    <row r="62316" spans="6:6">
      <c r="F62316" s="2423"/>
    </row>
    <row r="62317" spans="6:6">
      <c r="F62317" s="2423"/>
    </row>
    <row r="62318" spans="6:6">
      <c r="F62318" s="2423"/>
    </row>
    <row r="62319" spans="6:6">
      <c r="F62319" s="2423"/>
    </row>
    <row r="62320" spans="6:6">
      <c r="F62320" s="2423"/>
    </row>
    <row r="62321" spans="6:6">
      <c r="F62321" s="2423"/>
    </row>
    <row r="62322" spans="6:6">
      <c r="F62322" s="2423"/>
    </row>
    <row r="62323" spans="6:6">
      <c r="F62323" s="2423"/>
    </row>
    <row r="62324" spans="6:6">
      <c r="F62324" s="2423"/>
    </row>
    <row r="62325" spans="6:6">
      <c r="F62325" s="2423"/>
    </row>
    <row r="62326" spans="6:6">
      <c r="F62326" s="2423"/>
    </row>
    <row r="62327" spans="6:6">
      <c r="F62327" s="2423"/>
    </row>
    <row r="62328" spans="6:6">
      <c r="F62328" s="2423"/>
    </row>
    <row r="62329" spans="6:6">
      <c r="F62329" s="2423"/>
    </row>
    <row r="62330" spans="6:6">
      <c r="F62330" s="2423"/>
    </row>
    <row r="62331" spans="6:6">
      <c r="F62331" s="2423"/>
    </row>
    <row r="62332" spans="6:6">
      <c r="F62332" s="2423"/>
    </row>
    <row r="62333" spans="6:6">
      <c r="F62333" s="2423"/>
    </row>
    <row r="62334" spans="6:6">
      <c r="F62334" s="2423"/>
    </row>
    <row r="62335" spans="6:6">
      <c r="F62335" s="2423"/>
    </row>
    <row r="62336" spans="6:6">
      <c r="F62336" s="2423"/>
    </row>
    <row r="62337" spans="6:6">
      <c r="F62337" s="2423"/>
    </row>
    <row r="62338" spans="6:6">
      <c r="F62338" s="2423"/>
    </row>
    <row r="62339" spans="6:6">
      <c r="F62339" s="2423"/>
    </row>
    <row r="62340" spans="6:6">
      <c r="F62340" s="2423"/>
    </row>
    <row r="62341" spans="6:6">
      <c r="F62341" s="2423"/>
    </row>
    <row r="62342" spans="6:6">
      <c r="F62342" s="2423"/>
    </row>
    <row r="62343" spans="6:6">
      <c r="F62343" s="2423"/>
    </row>
    <row r="62344" spans="6:6">
      <c r="F62344" s="2423"/>
    </row>
    <row r="62345" spans="6:6">
      <c r="F62345" s="2423"/>
    </row>
    <row r="62346" spans="6:6">
      <c r="F62346" s="2423"/>
    </row>
    <row r="62347" spans="6:6">
      <c r="F62347" s="2423"/>
    </row>
    <row r="62348" spans="6:6">
      <c r="F62348" s="2423"/>
    </row>
    <row r="62349" spans="6:6">
      <c r="F62349" s="2423"/>
    </row>
    <row r="62350" spans="6:6">
      <c r="F62350" s="2423"/>
    </row>
    <row r="62351" spans="6:6">
      <c r="F62351" s="2423"/>
    </row>
    <row r="62352" spans="6:6">
      <c r="F62352" s="2423"/>
    </row>
    <row r="62353" spans="6:6">
      <c r="F62353" s="2423"/>
    </row>
    <row r="62354" spans="6:6">
      <c r="F62354" s="2423"/>
    </row>
    <row r="62355" spans="6:6">
      <c r="F62355" s="2423"/>
    </row>
    <row r="62356" spans="6:6">
      <c r="F62356" s="2423"/>
    </row>
    <row r="62357" spans="6:6">
      <c r="F62357" s="2423"/>
    </row>
    <row r="62358" spans="6:6">
      <c r="F62358" s="2423"/>
    </row>
    <row r="62359" spans="6:6">
      <c r="F62359" s="2423"/>
    </row>
    <row r="62360" spans="6:6">
      <c r="F62360" s="2423"/>
    </row>
    <row r="62361" spans="6:6">
      <c r="F62361" s="2423"/>
    </row>
    <row r="62362" spans="6:6">
      <c r="F62362" s="2423"/>
    </row>
    <row r="62363" spans="6:6">
      <c r="F62363" s="2423"/>
    </row>
    <row r="62364" spans="6:6">
      <c r="F62364" s="2423"/>
    </row>
    <row r="62365" spans="6:6">
      <c r="F62365" s="2423"/>
    </row>
    <row r="62366" spans="6:6">
      <c r="F62366" s="2423"/>
    </row>
    <row r="62367" spans="6:6">
      <c r="F62367" s="2423"/>
    </row>
    <row r="62368" spans="6:6">
      <c r="F62368" s="2423"/>
    </row>
    <row r="62369" spans="6:6">
      <c r="F62369" s="2423"/>
    </row>
    <row r="62370" spans="6:6">
      <c r="F62370" s="2423"/>
    </row>
    <row r="62371" spans="6:6">
      <c r="F62371" s="2423"/>
    </row>
    <row r="62372" spans="6:6">
      <c r="F62372" s="2423"/>
    </row>
    <row r="62373" spans="6:6">
      <c r="F62373" s="2423"/>
    </row>
    <row r="62374" spans="6:6">
      <c r="F62374" s="2423"/>
    </row>
    <row r="62375" spans="6:6">
      <c r="F62375" s="2423"/>
    </row>
    <row r="62376" spans="6:6">
      <c r="F62376" s="2423"/>
    </row>
    <row r="62377" spans="6:6">
      <c r="F62377" s="2423"/>
    </row>
    <row r="62378" spans="6:6">
      <c r="F62378" s="2423"/>
    </row>
    <row r="62379" spans="6:6">
      <c r="F62379" s="2423"/>
    </row>
    <row r="62380" spans="6:6">
      <c r="F62380" s="2423"/>
    </row>
    <row r="62381" spans="6:6">
      <c r="F62381" s="2423"/>
    </row>
    <row r="62382" spans="6:6">
      <c r="F62382" s="2423"/>
    </row>
    <row r="62383" spans="6:6">
      <c r="F62383" s="2423"/>
    </row>
    <row r="62384" spans="6:6">
      <c r="F62384" s="2423"/>
    </row>
    <row r="62385" spans="6:6">
      <c r="F62385" s="2423"/>
    </row>
    <row r="62386" spans="6:6">
      <c r="F62386" s="2423"/>
    </row>
    <row r="62387" spans="6:6">
      <c r="F62387" s="2423"/>
    </row>
    <row r="62388" spans="6:6">
      <c r="F62388" s="2423"/>
    </row>
    <row r="62389" spans="6:6">
      <c r="F62389" s="2423"/>
    </row>
    <row r="62390" spans="6:6">
      <c r="F62390" s="2423"/>
    </row>
    <row r="62391" spans="6:6">
      <c r="F62391" s="2423"/>
    </row>
    <row r="62392" spans="6:6">
      <c r="F62392" s="2423"/>
    </row>
    <row r="62393" spans="6:6">
      <c r="F62393" s="2423"/>
    </row>
    <row r="62394" spans="6:6">
      <c r="F62394" s="2423"/>
    </row>
    <row r="62395" spans="6:6">
      <c r="F62395" s="2423"/>
    </row>
    <row r="62396" spans="6:6">
      <c r="F62396" s="2423"/>
    </row>
    <row r="62397" spans="6:6">
      <c r="F62397" s="2423"/>
    </row>
    <row r="62398" spans="6:6">
      <c r="F62398" s="2423"/>
    </row>
    <row r="62399" spans="6:6">
      <c r="F62399" s="2423"/>
    </row>
    <row r="62400" spans="6:6">
      <c r="F62400" s="2423"/>
    </row>
    <row r="62401" spans="6:6">
      <c r="F62401" s="2423"/>
    </row>
    <row r="62402" spans="6:6">
      <c r="F62402" s="2423"/>
    </row>
    <row r="62403" spans="6:6">
      <c r="F62403" s="2423"/>
    </row>
    <row r="62404" spans="6:6">
      <c r="F62404" s="2423"/>
    </row>
    <row r="62405" spans="6:6">
      <c r="F62405" s="2423"/>
    </row>
    <row r="62406" spans="6:6">
      <c r="F62406" s="2423"/>
    </row>
    <row r="62407" spans="6:6">
      <c r="F62407" s="2423"/>
    </row>
    <row r="62408" spans="6:6">
      <c r="F62408" s="2423"/>
    </row>
    <row r="62409" spans="6:6">
      <c r="F62409" s="2423"/>
    </row>
    <row r="62410" spans="6:6">
      <c r="F62410" s="2423"/>
    </row>
    <row r="62411" spans="6:6">
      <c r="F62411" s="2423"/>
    </row>
    <row r="62412" spans="6:6">
      <c r="F62412" s="2423"/>
    </row>
    <row r="62413" spans="6:6">
      <c r="F62413" s="2423"/>
    </row>
    <row r="62414" spans="6:6">
      <c r="F62414" s="2423"/>
    </row>
    <row r="62415" spans="6:6">
      <c r="F62415" s="2423"/>
    </row>
    <row r="62416" spans="6:6">
      <c r="F62416" s="2423"/>
    </row>
    <row r="62417" spans="6:6">
      <c r="F62417" s="2423"/>
    </row>
    <row r="62418" spans="6:6">
      <c r="F62418" s="2423"/>
    </row>
    <row r="62419" spans="6:6">
      <c r="F62419" s="2423"/>
    </row>
    <row r="62420" spans="6:6">
      <c r="F62420" s="2423"/>
    </row>
    <row r="62421" spans="6:6">
      <c r="F62421" s="2423"/>
    </row>
    <row r="62422" spans="6:6">
      <c r="F62422" s="2423"/>
    </row>
    <row r="62423" spans="6:6">
      <c r="F62423" s="2423"/>
    </row>
    <row r="62424" spans="6:6">
      <c r="F62424" s="2423"/>
    </row>
    <row r="62425" spans="6:6">
      <c r="F62425" s="2423"/>
    </row>
    <row r="62426" spans="6:6">
      <c r="F62426" s="2423"/>
    </row>
    <row r="62427" spans="6:6">
      <c r="F62427" s="2423"/>
    </row>
    <row r="62428" spans="6:6">
      <c r="F62428" s="2423"/>
    </row>
    <row r="62429" spans="6:6">
      <c r="F62429" s="2423"/>
    </row>
    <row r="62430" spans="6:6">
      <c r="F62430" s="2423"/>
    </row>
    <row r="62431" spans="6:6">
      <c r="F62431" s="2423"/>
    </row>
    <row r="62432" spans="6:6">
      <c r="F62432" s="2423"/>
    </row>
    <row r="62433" spans="6:6">
      <c r="F62433" s="2423"/>
    </row>
    <row r="62434" spans="6:6">
      <c r="F62434" s="2423"/>
    </row>
    <row r="62435" spans="6:6">
      <c r="F62435" s="2423"/>
    </row>
    <row r="62436" spans="6:6">
      <c r="F62436" s="2423"/>
    </row>
    <row r="62437" spans="6:6">
      <c r="F62437" s="2423"/>
    </row>
    <row r="62438" spans="6:6">
      <c r="F62438" s="2423"/>
    </row>
    <row r="62439" spans="6:6">
      <c r="F62439" s="2423"/>
    </row>
    <row r="62440" spans="6:6">
      <c r="F62440" s="2423"/>
    </row>
    <row r="62441" spans="6:6">
      <c r="F62441" s="2423"/>
    </row>
    <row r="62442" spans="6:6">
      <c r="F62442" s="2423"/>
    </row>
    <row r="62443" spans="6:6">
      <c r="F62443" s="2423"/>
    </row>
    <row r="62444" spans="6:6">
      <c r="F62444" s="2423"/>
    </row>
    <row r="62445" spans="6:6">
      <c r="F62445" s="2423"/>
    </row>
    <row r="62446" spans="6:6">
      <c r="F62446" s="2423"/>
    </row>
    <row r="62447" spans="6:6">
      <c r="F62447" s="2423"/>
    </row>
    <row r="62448" spans="6:6">
      <c r="F62448" s="2423"/>
    </row>
    <row r="62449" spans="6:6">
      <c r="F62449" s="2423"/>
    </row>
    <row r="62450" spans="6:6">
      <c r="F62450" s="2423"/>
    </row>
    <row r="62451" spans="6:6">
      <c r="F62451" s="2423"/>
    </row>
    <row r="62452" spans="6:6">
      <c r="F62452" s="2423"/>
    </row>
    <row r="62453" spans="6:6">
      <c r="F62453" s="2423"/>
    </row>
    <row r="62454" spans="6:6">
      <c r="F62454" s="2423"/>
    </row>
    <row r="62455" spans="6:6">
      <c r="F62455" s="2423"/>
    </row>
    <row r="62456" spans="6:6">
      <c r="F62456" s="2423"/>
    </row>
    <row r="62457" spans="6:6">
      <c r="F62457" s="2423"/>
    </row>
    <row r="62458" spans="6:6">
      <c r="F62458" s="2423"/>
    </row>
    <row r="62459" spans="6:6">
      <c r="F62459" s="2423"/>
    </row>
    <row r="62460" spans="6:6">
      <c r="F62460" s="2423"/>
    </row>
    <row r="62461" spans="6:6">
      <c r="F62461" s="2423"/>
    </row>
    <row r="62462" spans="6:6">
      <c r="F62462" s="2423"/>
    </row>
    <row r="62463" spans="6:6">
      <c r="F62463" s="2423"/>
    </row>
    <row r="62464" spans="6:6">
      <c r="F62464" s="2423"/>
    </row>
    <row r="62465" spans="6:6">
      <c r="F62465" s="2423"/>
    </row>
    <row r="62466" spans="6:6">
      <c r="F62466" s="2423"/>
    </row>
    <row r="62467" spans="6:6">
      <c r="F62467" s="2423"/>
    </row>
    <row r="62468" spans="6:6">
      <c r="F62468" s="2423"/>
    </row>
    <row r="62469" spans="6:6">
      <c r="F62469" s="2423"/>
    </row>
    <row r="62470" spans="6:6">
      <c r="F62470" s="2423"/>
    </row>
    <row r="62471" spans="6:6">
      <c r="F62471" s="2423"/>
    </row>
    <row r="62472" spans="6:6">
      <c r="F62472" s="2423"/>
    </row>
    <row r="62473" spans="6:6">
      <c r="F62473" s="2423"/>
    </row>
    <row r="62474" spans="6:6">
      <c r="F62474" s="2423"/>
    </row>
    <row r="62475" spans="6:6">
      <c r="F62475" s="2423"/>
    </row>
    <row r="62476" spans="6:6">
      <c r="F62476" s="2423"/>
    </row>
    <row r="62477" spans="6:6">
      <c r="F62477" s="2423"/>
    </row>
    <row r="62478" spans="6:6">
      <c r="F62478" s="2423"/>
    </row>
    <row r="62479" spans="6:6">
      <c r="F62479" s="2423"/>
    </row>
    <row r="62480" spans="6:6">
      <c r="F62480" s="2423"/>
    </row>
    <row r="62481" spans="6:6">
      <c r="F62481" s="2423"/>
    </row>
    <row r="62482" spans="6:6">
      <c r="F62482" s="2423"/>
    </row>
    <row r="62483" spans="6:6">
      <c r="F62483" s="2423"/>
    </row>
    <row r="62484" spans="6:6">
      <c r="F62484" s="2423"/>
    </row>
    <row r="62485" spans="6:6">
      <c r="F62485" s="2423"/>
    </row>
    <row r="62486" spans="6:6">
      <c r="F62486" s="2423"/>
    </row>
    <row r="62487" spans="6:6">
      <c r="F62487" s="2423"/>
    </row>
    <row r="62488" spans="6:6">
      <c r="F62488" s="2423"/>
    </row>
    <row r="62489" spans="6:6">
      <c r="F62489" s="2423"/>
    </row>
    <row r="62490" spans="6:6">
      <c r="F62490" s="2423"/>
    </row>
    <row r="62491" spans="6:6">
      <c r="F62491" s="2423"/>
    </row>
    <row r="62492" spans="6:6">
      <c r="F62492" s="2423"/>
    </row>
    <row r="62493" spans="6:6">
      <c r="F62493" s="2423"/>
    </row>
    <row r="62494" spans="6:6">
      <c r="F62494" s="2423"/>
    </row>
    <row r="62495" spans="6:6">
      <c r="F62495" s="2423"/>
    </row>
    <row r="62496" spans="6:6">
      <c r="F62496" s="2423"/>
    </row>
    <row r="62497" spans="6:6">
      <c r="F62497" s="2423"/>
    </row>
    <row r="62498" spans="6:6">
      <c r="F62498" s="2423"/>
    </row>
    <row r="62499" spans="6:6">
      <c r="F62499" s="2423"/>
    </row>
    <row r="62500" spans="6:6">
      <c r="F62500" s="2423"/>
    </row>
    <row r="62501" spans="6:6">
      <c r="F62501" s="2423"/>
    </row>
    <row r="62502" spans="6:6">
      <c r="F62502" s="2423"/>
    </row>
    <row r="62503" spans="6:6">
      <c r="F62503" s="2423"/>
    </row>
    <row r="62504" spans="6:6">
      <c r="F62504" s="2423"/>
    </row>
    <row r="62505" spans="6:6">
      <c r="F62505" s="2423"/>
    </row>
    <row r="62506" spans="6:6">
      <c r="F62506" s="2423"/>
    </row>
    <row r="62507" spans="6:6">
      <c r="F62507" s="2423"/>
    </row>
    <row r="62508" spans="6:6">
      <c r="F62508" s="2423"/>
    </row>
    <row r="62509" spans="6:6">
      <c r="F62509" s="2423"/>
    </row>
    <row r="62510" spans="6:6">
      <c r="F62510" s="2423"/>
    </row>
    <row r="62511" spans="6:6">
      <c r="F62511" s="2423"/>
    </row>
    <row r="62512" spans="6:6">
      <c r="F62512" s="2423"/>
    </row>
    <row r="62513" spans="6:6">
      <c r="F62513" s="2423"/>
    </row>
    <row r="62514" spans="6:6">
      <c r="F62514" s="2423"/>
    </row>
    <row r="62515" spans="6:6">
      <c r="F62515" s="2423"/>
    </row>
    <row r="62516" spans="6:6">
      <c r="F62516" s="2423"/>
    </row>
    <row r="62517" spans="6:6">
      <c r="F62517" s="2423"/>
    </row>
    <row r="62518" spans="6:6">
      <c r="F62518" s="2423"/>
    </row>
    <row r="62519" spans="6:6">
      <c r="F62519" s="2423"/>
    </row>
    <row r="62520" spans="6:6">
      <c r="F62520" s="2423"/>
    </row>
    <row r="62521" spans="6:6">
      <c r="F62521" s="2423"/>
    </row>
    <row r="62522" spans="6:6">
      <c r="F62522" s="2423"/>
    </row>
    <row r="62523" spans="6:6">
      <c r="F62523" s="2423"/>
    </row>
    <row r="62524" spans="6:6">
      <c r="F62524" s="2423"/>
    </row>
    <row r="62525" spans="6:6">
      <c r="F62525" s="2423"/>
    </row>
    <row r="62526" spans="6:6">
      <c r="F62526" s="2423"/>
    </row>
    <row r="62527" spans="6:6">
      <c r="F62527" s="2423"/>
    </row>
    <row r="62528" spans="6:6">
      <c r="F62528" s="2423"/>
    </row>
    <row r="62529" spans="6:6">
      <c r="F62529" s="2423"/>
    </row>
    <row r="62530" spans="6:6">
      <c r="F62530" s="2423"/>
    </row>
    <row r="62531" spans="6:6">
      <c r="F62531" s="2423"/>
    </row>
    <row r="62532" spans="6:6">
      <c r="F62532" s="2423"/>
    </row>
    <row r="62533" spans="6:6">
      <c r="F62533" s="2423"/>
    </row>
    <row r="62534" spans="6:6">
      <c r="F62534" s="2423"/>
    </row>
    <row r="62535" spans="6:6">
      <c r="F62535" s="2423"/>
    </row>
    <row r="62536" spans="6:6">
      <c r="F62536" s="2423"/>
    </row>
    <row r="62537" spans="6:6">
      <c r="F62537" s="2423"/>
    </row>
    <row r="62538" spans="6:6">
      <c r="F62538" s="2423"/>
    </row>
    <row r="62539" spans="6:6">
      <c r="F62539" s="2423"/>
    </row>
    <row r="62540" spans="6:6">
      <c r="F62540" s="2423"/>
    </row>
    <row r="62541" spans="6:6">
      <c r="F62541" s="2423"/>
    </row>
    <row r="62542" spans="6:6">
      <c r="F62542" s="2423"/>
    </row>
    <row r="62543" spans="6:6">
      <c r="F62543" s="2423"/>
    </row>
    <row r="62544" spans="6:6">
      <c r="F62544" s="2423"/>
    </row>
    <row r="62545" spans="6:6">
      <c r="F62545" s="2423"/>
    </row>
    <row r="62546" spans="6:6">
      <c r="F62546" s="2423"/>
    </row>
    <row r="62547" spans="6:6">
      <c r="F62547" s="2423"/>
    </row>
    <row r="62548" spans="6:6">
      <c r="F62548" s="2423"/>
    </row>
    <row r="62549" spans="6:6">
      <c r="F62549" s="2423"/>
    </row>
    <row r="62550" spans="6:6">
      <c r="F62550" s="2423"/>
    </row>
    <row r="62551" spans="6:6">
      <c r="F62551" s="2423"/>
    </row>
    <row r="62552" spans="6:6">
      <c r="F62552" s="2423"/>
    </row>
    <row r="62553" spans="6:6">
      <c r="F62553" s="2423"/>
    </row>
    <row r="62554" spans="6:6">
      <c r="F62554" s="2423"/>
    </row>
    <row r="62555" spans="6:6">
      <c r="F62555" s="2423"/>
    </row>
    <row r="62556" spans="6:6">
      <c r="F62556" s="2423"/>
    </row>
    <row r="62557" spans="6:6">
      <c r="F62557" s="2423"/>
    </row>
    <row r="62558" spans="6:6">
      <c r="F62558" s="2423"/>
    </row>
    <row r="62559" spans="6:6">
      <c r="F62559" s="2423"/>
    </row>
    <row r="62560" spans="6:6">
      <c r="F62560" s="2423"/>
    </row>
    <row r="62561" spans="6:6">
      <c r="F62561" s="2423"/>
    </row>
    <row r="62562" spans="6:6">
      <c r="F62562" s="2423"/>
    </row>
    <row r="62563" spans="6:6">
      <c r="F62563" s="2423"/>
    </row>
    <row r="62564" spans="6:6">
      <c r="F62564" s="2423"/>
    </row>
    <row r="62565" spans="6:6">
      <c r="F62565" s="2423"/>
    </row>
    <row r="62566" spans="6:6">
      <c r="F62566" s="2423"/>
    </row>
    <row r="62567" spans="6:6">
      <c r="F62567" s="2423"/>
    </row>
    <row r="62568" spans="6:6">
      <c r="F62568" s="2423"/>
    </row>
    <row r="62569" spans="6:6">
      <c r="F62569" s="2423"/>
    </row>
    <row r="62570" spans="6:6">
      <c r="F62570" s="2423"/>
    </row>
    <row r="62571" spans="6:6">
      <c r="F62571" s="2423"/>
    </row>
    <row r="62572" spans="6:6">
      <c r="F62572" s="2423"/>
    </row>
    <row r="62573" spans="6:6">
      <c r="F62573" s="2423"/>
    </row>
    <row r="62574" spans="6:6">
      <c r="F62574" s="2423"/>
    </row>
    <row r="62575" spans="6:6">
      <c r="F62575" s="2423"/>
    </row>
    <row r="62576" spans="6:6">
      <c r="F62576" s="2423"/>
    </row>
    <row r="62577" spans="6:6">
      <c r="F62577" s="2423"/>
    </row>
    <row r="62578" spans="6:6">
      <c r="F62578" s="2423"/>
    </row>
    <row r="62579" spans="6:6">
      <c r="F62579" s="2423"/>
    </row>
    <row r="62580" spans="6:6">
      <c r="F62580" s="2423"/>
    </row>
    <row r="62581" spans="6:6">
      <c r="F62581" s="2423"/>
    </row>
    <row r="62582" spans="6:6">
      <c r="F62582" s="2423"/>
    </row>
    <row r="62583" spans="6:6">
      <c r="F62583" s="2423"/>
    </row>
    <row r="62584" spans="6:6">
      <c r="F62584" s="2423"/>
    </row>
    <row r="62585" spans="6:6">
      <c r="F62585" s="2423"/>
    </row>
    <row r="62586" spans="6:6">
      <c r="F62586" s="2423"/>
    </row>
    <row r="62587" spans="6:6">
      <c r="F62587" s="2423"/>
    </row>
    <row r="62588" spans="6:6">
      <c r="F62588" s="2423"/>
    </row>
    <row r="62589" spans="6:6">
      <c r="F62589" s="2423"/>
    </row>
    <row r="62590" spans="6:6">
      <c r="F62590" s="2423"/>
    </row>
    <row r="62591" spans="6:6">
      <c r="F62591" s="2423"/>
    </row>
    <row r="62592" spans="6:6">
      <c r="F62592" s="2423"/>
    </row>
    <row r="62593" spans="6:6">
      <c r="F62593" s="2423"/>
    </row>
    <row r="62594" spans="6:6">
      <c r="F62594" s="2423"/>
    </row>
    <row r="62595" spans="6:6">
      <c r="F62595" s="2423"/>
    </row>
    <row r="62596" spans="6:6">
      <c r="F62596" s="2423"/>
    </row>
    <row r="62597" spans="6:6">
      <c r="F62597" s="2423"/>
    </row>
    <row r="62598" spans="6:6">
      <c r="F62598" s="2423"/>
    </row>
    <row r="62599" spans="6:6">
      <c r="F62599" s="2423"/>
    </row>
    <row r="62600" spans="6:6">
      <c r="F62600" s="2423"/>
    </row>
    <row r="62601" spans="6:6">
      <c r="F62601" s="2423"/>
    </row>
    <row r="62602" spans="6:6">
      <c r="F62602" s="2423"/>
    </row>
    <row r="62603" spans="6:6">
      <c r="F62603" s="2423"/>
    </row>
    <row r="62604" spans="6:6">
      <c r="F62604" s="2423"/>
    </row>
    <row r="62605" spans="6:6">
      <c r="F62605" s="2423"/>
    </row>
    <row r="62606" spans="6:6">
      <c r="F62606" s="2423"/>
    </row>
    <row r="62607" spans="6:6">
      <c r="F62607" s="2423"/>
    </row>
    <row r="62608" spans="6:6">
      <c r="F62608" s="2423"/>
    </row>
    <row r="62609" spans="6:6">
      <c r="F62609" s="2423"/>
    </row>
    <row r="62610" spans="6:6">
      <c r="F62610" s="2423"/>
    </row>
    <row r="62611" spans="6:6">
      <c r="F62611" s="2423"/>
    </row>
    <row r="62612" spans="6:6">
      <c r="F62612" s="2423"/>
    </row>
    <row r="62613" spans="6:6">
      <c r="F62613" s="2423"/>
    </row>
    <row r="62614" spans="6:6">
      <c r="F62614" s="2423"/>
    </row>
    <row r="62615" spans="6:6">
      <c r="F62615" s="2423"/>
    </row>
    <row r="62616" spans="6:6">
      <c r="F62616" s="2423"/>
    </row>
    <row r="62617" spans="6:6">
      <c r="F62617" s="2423"/>
    </row>
    <row r="62618" spans="6:6">
      <c r="F62618" s="2423"/>
    </row>
    <row r="62619" spans="6:6">
      <c r="F62619" s="2423"/>
    </row>
    <row r="62620" spans="6:6">
      <c r="F62620" s="2423"/>
    </row>
    <row r="62621" spans="6:6">
      <c r="F62621" s="2423"/>
    </row>
    <row r="62622" spans="6:6">
      <c r="F62622" s="2423"/>
    </row>
    <row r="62623" spans="6:6">
      <c r="F62623" s="2423"/>
    </row>
    <row r="62624" spans="6:6">
      <c r="F62624" s="2423"/>
    </row>
    <row r="62625" spans="6:6">
      <c r="F62625" s="2423"/>
    </row>
    <row r="62626" spans="6:6">
      <c r="F62626" s="2423"/>
    </row>
    <row r="62627" spans="6:6">
      <c r="F62627" s="2423"/>
    </row>
    <row r="62628" spans="6:6">
      <c r="F62628" s="2423"/>
    </row>
    <row r="62629" spans="6:6">
      <c r="F62629" s="2423"/>
    </row>
    <row r="62630" spans="6:6">
      <c r="F62630" s="2423"/>
    </row>
    <row r="62631" spans="6:6">
      <c r="F62631" s="2423"/>
    </row>
    <row r="62632" spans="6:6">
      <c r="F62632" s="2423"/>
    </row>
    <row r="62633" spans="6:6">
      <c r="F62633" s="2423"/>
    </row>
    <row r="62634" spans="6:6">
      <c r="F62634" s="2423"/>
    </row>
    <row r="62635" spans="6:6">
      <c r="F62635" s="2423"/>
    </row>
    <row r="62636" spans="6:6">
      <c r="F62636" s="2423"/>
    </row>
    <row r="62637" spans="6:6">
      <c r="F62637" s="2423"/>
    </row>
    <row r="62638" spans="6:6">
      <c r="F62638" s="2423"/>
    </row>
    <row r="62639" spans="6:6">
      <c r="F62639" s="2423"/>
    </row>
    <row r="62640" spans="6:6">
      <c r="F62640" s="2423"/>
    </row>
    <row r="62641" spans="6:6">
      <c r="F62641" s="2423"/>
    </row>
    <row r="62642" spans="6:6">
      <c r="F62642" s="2423"/>
    </row>
    <row r="62643" spans="6:6">
      <c r="F62643" s="2423"/>
    </row>
    <row r="62644" spans="6:6">
      <c r="F62644" s="2423"/>
    </row>
    <row r="62645" spans="6:6">
      <c r="F62645" s="2423"/>
    </row>
    <row r="62646" spans="6:6">
      <c r="F62646" s="2423"/>
    </row>
    <row r="62647" spans="6:6">
      <c r="F62647" s="2423"/>
    </row>
    <row r="62648" spans="6:6">
      <c r="F62648" s="2423"/>
    </row>
    <row r="62649" spans="6:6">
      <c r="F62649" s="2423"/>
    </row>
    <row r="62650" spans="6:6">
      <c r="F62650" s="2423"/>
    </row>
    <row r="62651" spans="6:6">
      <c r="F62651" s="2423"/>
    </row>
    <row r="62652" spans="6:6">
      <c r="F62652" s="2423"/>
    </row>
    <row r="62653" spans="6:6">
      <c r="F62653" s="2423"/>
    </row>
    <row r="62654" spans="6:6">
      <c r="F62654" s="2423"/>
    </row>
    <row r="62655" spans="6:6">
      <c r="F62655" s="2423"/>
    </row>
    <row r="62656" spans="6:6">
      <c r="F62656" s="2423"/>
    </row>
    <row r="62657" spans="6:6">
      <c r="F62657" s="2423"/>
    </row>
    <row r="62658" spans="6:6">
      <c r="F62658" s="2423"/>
    </row>
    <row r="62659" spans="6:6">
      <c r="F62659" s="2423"/>
    </row>
    <row r="62660" spans="6:6">
      <c r="F62660" s="2423"/>
    </row>
    <row r="62661" spans="6:6">
      <c r="F62661" s="2423"/>
    </row>
    <row r="62662" spans="6:6">
      <c r="F62662" s="2423"/>
    </row>
    <row r="62663" spans="6:6">
      <c r="F62663" s="2423"/>
    </row>
    <row r="62664" spans="6:6">
      <c r="F62664" s="2423"/>
    </row>
    <row r="62665" spans="6:6">
      <c r="F62665" s="2423"/>
    </row>
    <row r="62666" spans="6:6">
      <c r="F62666" s="2423"/>
    </row>
    <row r="62667" spans="6:6">
      <c r="F62667" s="2423"/>
    </row>
    <row r="62668" spans="6:6">
      <c r="F62668" s="2423"/>
    </row>
    <row r="62669" spans="6:6">
      <c r="F62669" s="2423"/>
    </row>
    <row r="62670" spans="6:6">
      <c r="F62670" s="2423"/>
    </row>
    <row r="62671" spans="6:6">
      <c r="F62671" s="2423"/>
    </row>
    <row r="62672" spans="6:6">
      <c r="F62672" s="2423"/>
    </row>
    <row r="62673" spans="6:6">
      <c r="F62673" s="2423"/>
    </row>
    <row r="62674" spans="6:6">
      <c r="F62674" s="2423"/>
    </row>
    <row r="62675" spans="6:6">
      <c r="F62675" s="2423"/>
    </row>
    <row r="62676" spans="6:6">
      <c r="F62676" s="2423"/>
    </row>
    <row r="62677" spans="6:6">
      <c r="F62677" s="2423"/>
    </row>
    <row r="62678" spans="6:6">
      <c r="F62678" s="2423"/>
    </row>
    <row r="62679" spans="6:6">
      <c r="F62679" s="2423"/>
    </row>
    <row r="62680" spans="6:6">
      <c r="F62680" s="2423"/>
    </row>
    <row r="62681" spans="6:6">
      <c r="F62681" s="2423"/>
    </row>
    <row r="62682" spans="6:6">
      <c r="F62682" s="2423"/>
    </row>
    <row r="62683" spans="6:6">
      <c r="F62683" s="2423"/>
    </row>
    <row r="62684" spans="6:6">
      <c r="F62684" s="2423"/>
    </row>
    <row r="62685" spans="6:6">
      <c r="F62685" s="2423"/>
    </row>
    <row r="62686" spans="6:6">
      <c r="F62686" s="2423"/>
    </row>
    <row r="62687" spans="6:6">
      <c r="F62687" s="2423"/>
    </row>
    <row r="62688" spans="6:6">
      <c r="F62688" s="2423"/>
    </row>
    <row r="62689" spans="6:6">
      <c r="F62689" s="2423"/>
    </row>
    <row r="62690" spans="6:6">
      <c r="F62690" s="2423"/>
    </row>
    <row r="62691" spans="6:6">
      <c r="F62691" s="2423"/>
    </row>
    <row r="62692" spans="6:6">
      <c r="F62692" s="2423"/>
    </row>
    <row r="62693" spans="6:6">
      <c r="F62693" s="2423"/>
    </row>
    <row r="62694" spans="6:6">
      <c r="F62694" s="2423"/>
    </row>
    <row r="62695" spans="6:6">
      <c r="F62695" s="2423"/>
    </row>
    <row r="62696" spans="6:6">
      <c r="F62696" s="2423"/>
    </row>
    <row r="62697" spans="6:6">
      <c r="F62697" s="2423"/>
    </row>
    <row r="62698" spans="6:6">
      <c r="F62698" s="2423"/>
    </row>
    <row r="62699" spans="6:6">
      <c r="F62699" s="2423"/>
    </row>
    <row r="62700" spans="6:6">
      <c r="F62700" s="2423"/>
    </row>
    <row r="62701" spans="6:6">
      <c r="F62701" s="2423"/>
    </row>
    <row r="62702" spans="6:6">
      <c r="F62702" s="2423"/>
    </row>
    <row r="62703" spans="6:6">
      <c r="F62703" s="2423"/>
    </row>
    <row r="62704" spans="6:6">
      <c r="F62704" s="2423"/>
    </row>
    <row r="62705" spans="6:6">
      <c r="F62705" s="2423"/>
    </row>
    <row r="62706" spans="6:6">
      <c r="F62706" s="2423"/>
    </row>
    <row r="62707" spans="6:6">
      <c r="F62707" s="2423"/>
    </row>
    <row r="62708" spans="6:6">
      <c r="F62708" s="2423"/>
    </row>
    <row r="62709" spans="6:6">
      <c r="F62709" s="2423"/>
    </row>
    <row r="62710" spans="6:6">
      <c r="F62710" s="2423"/>
    </row>
    <row r="62711" spans="6:6">
      <c r="F62711" s="2423"/>
    </row>
    <row r="62712" spans="6:6">
      <c r="F62712" s="2423"/>
    </row>
    <row r="62713" spans="6:6">
      <c r="F62713" s="2423"/>
    </row>
    <row r="62714" spans="6:6">
      <c r="F62714" s="2423"/>
    </row>
    <row r="62715" spans="6:6">
      <c r="F62715" s="2423"/>
    </row>
    <row r="62716" spans="6:6">
      <c r="F62716" s="2423"/>
    </row>
    <row r="62717" spans="6:6">
      <c r="F62717" s="2423"/>
    </row>
    <row r="62718" spans="6:6">
      <c r="F62718" s="2423"/>
    </row>
    <row r="62719" spans="6:6">
      <c r="F62719" s="2423"/>
    </row>
    <row r="62720" spans="6:6">
      <c r="F62720" s="2423"/>
    </row>
    <row r="62721" spans="6:6">
      <c r="F62721" s="2423"/>
    </row>
    <row r="62722" spans="6:6">
      <c r="F62722" s="2423"/>
    </row>
    <row r="62723" spans="6:6">
      <c r="F62723" s="2423"/>
    </row>
    <row r="62724" spans="6:6">
      <c r="F62724" s="2423"/>
    </row>
    <row r="62725" spans="6:6">
      <c r="F62725" s="2423"/>
    </row>
    <row r="62726" spans="6:6">
      <c r="F62726" s="2423"/>
    </row>
    <row r="62727" spans="6:6">
      <c r="F62727" s="2423"/>
    </row>
    <row r="62728" spans="6:6">
      <c r="F62728" s="2423"/>
    </row>
    <row r="62729" spans="6:6">
      <c r="F62729" s="2423"/>
    </row>
    <row r="62730" spans="6:6">
      <c r="F62730" s="2423"/>
    </row>
    <row r="62731" spans="6:6">
      <c r="F62731" s="2423"/>
    </row>
    <row r="62732" spans="6:6">
      <c r="F62732" s="2423"/>
    </row>
    <row r="62733" spans="6:6">
      <c r="F62733" s="2423"/>
    </row>
    <row r="62734" spans="6:6">
      <c r="F62734" s="2423"/>
    </row>
    <row r="62735" spans="6:6">
      <c r="F62735" s="2423"/>
    </row>
    <row r="62736" spans="6:6">
      <c r="F62736" s="2423"/>
    </row>
    <row r="62737" spans="6:6">
      <c r="F62737" s="2423"/>
    </row>
    <row r="62738" spans="6:6">
      <c r="F62738" s="2423"/>
    </row>
    <row r="62739" spans="6:6">
      <c r="F62739" s="2423"/>
    </row>
    <row r="62740" spans="6:6">
      <c r="F62740" s="2423"/>
    </row>
    <row r="62741" spans="6:6">
      <c r="F62741" s="2423"/>
    </row>
    <row r="62742" spans="6:6">
      <c r="F62742" s="2423"/>
    </row>
    <row r="62743" spans="6:6">
      <c r="F62743" s="2423"/>
    </row>
    <row r="62744" spans="6:6">
      <c r="F62744" s="2423"/>
    </row>
    <row r="62745" spans="6:6">
      <c r="F62745" s="2423"/>
    </row>
    <row r="62746" spans="6:6">
      <c r="F62746" s="2423"/>
    </row>
    <row r="62747" spans="6:6">
      <c r="F62747" s="2423"/>
    </row>
    <row r="62748" spans="6:6">
      <c r="F62748" s="2423"/>
    </row>
    <row r="62749" spans="6:6">
      <c r="F62749" s="2423"/>
    </row>
    <row r="62750" spans="6:6">
      <c r="F62750" s="2423"/>
    </row>
    <row r="62751" spans="6:6">
      <c r="F62751" s="2423"/>
    </row>
    <row r="62752" spans="6:6">
      <c r="F62752" s="2423"/>
    </row>
    <row r="62753" spans="6:6">
      <c r="F62753" s="2423"/>
    </row>
    <row r="62754" spans="6:6">
      <c r="F62754" s="2423"/>
    </row>
    <row r="62755" spans="6:6">
      <c r="F62755" s="2423"/>
    </row>
    <row r="62756" spans="6:6">
      <c r="F62756" s="2423"/>
    </row>
    <row r="62757" spans="6:6">
      <c r="F62757" s="2423"/>
    </row>
    <row r="62758" spans="6:6">
      <c r="F62758" s="2423"/>
    </row>
    <row r="62759" spans="6:6">
      <c r="F62759" s="2423"/>
    </row>
    <row r="62760" spans="6:6">
      <c r="F62760" s="2423"/>
    </row>
    <row r="62761" spans="6:6">
      <c r="F62761" s="2423"/>
    </row>
    <row r="62762" spans="6:6">
      <c r="F62762" s="2423"/>
    </row>
    <row r="62763" spans="6:6">
      <c r="F62763" s="2423"/>
    </row>
    <row r="62764" spans="6:6">
      <c r="F62764" s="2423"/>
    </row>
    <row r="62765" spans="6:6">
      <c r="F62765" s="2423"/>
    </row>
    <row r="62766" spans="6:6">
      <c r="F62766" s="2423"/>
    </row>
    <row r="62767" spans="6:6">
      <c r="F62767" s="2423"/>
    </row>
    <row r="62768" spans="6:6">
      <c r="F62768" s="2423"/>
    </row>
    <row r="62769" spans="6:6">
      <c r="F62769" s="2423"/>
    </row>
    <row r="62770" spans="6:6">
      <c r="F62770" s="2423"/>
    </row>
    <row r="62771" spans="6:6">
      <c r="F62771" s="2423"/>
    </row>
    <row r="62772" spans="6:6">
      <c r="F62772" s="2423"/>
    </row>
    <row r="62773" spans="6:6">
      <c r="F62773" s="2423"/>
    </row>
    <row r="62774" spans="6:6">
      <c r="F62774" s="2423"/>
    </row>
    <row r="62775" spans="6:6">
      <c r="F62775" s="2423"/>
    </row>
    <row r="62776" spans="6:6">
      <c r="F62776" s="2423"/>
    </row>
    <row r="62777" spans="6:6">
      <c r="F62777" s="2423"/>
    </row>
    <row r="62778" spans="6:6">
      <c r="F62778" s="2423"/>
    </row>
    <row r="62779" spans="6:6">
      <c r="F62779" s="2423"/>
    </row>
    <row r="62780" spans="6:6">
      <c r="F62780" s="2423"/>
    </row>
    <row r="62781" spans="6:6">
      <c r="F62781" s="2423"/>
    </row>
    <row r="62782" spans="6:6">
      <c r="F62782" s="2423"/>
    </row>
    <row r="62783" spans="6:6">
      <c r="F62783" s="2423"/>
    </row>
    <row r="62784" spans="6:6">
      <c r="F62784" s="2423"/>
    </row>
    <row r="62785" spans="6:6">
      <c r="F62785" s="2423"/>
    </row>
    <row r="62786" spans="6:6">
      <c r="F62786" s="2423"/>
    </row>
    <row r="62787" spans="6:6">
      <c r="F62787" s="2423"/>
    </row>
    <row r="62788" spans="6:6">
      <c r="F62788" s="2423"/>
    </row>
    <row r="62789" spans="6:6">
      <c r="F62789" s="2423"/>
    </row>
    <row r="62790" spans="6:6">
      <c r="F62790" s="2423"/>
    </row>
    <row r="62791" spans="6:6">
      <c r="F62791" s="2423"/>
    </row>
    <row r="62792" spans="6:6">
      <c r="F62792" s="2423"/>
    </row>
    <row r="62793" spans="6:6">
      <c r="F62793" s="2423"/>
    </row>
    <row r="62794" spans="6:6">
      <c r="F62794" s="2423"/>
    </row>
    <row r="62795" spans="6:6">
      <c r="F62795" s="2423"/>
    </row>
    <row r="62796" spans="6:6">
      <c r="F62796" s="2423"/>
    </row>
    <row r="62797" spans="6:6">
      <c r="F62797" s="2423"/>
    </row>
    <row r="62798" spans="6:6">
      <c r="F62798" s="2423"/>
    </row>
    <row r="62799" spans="6:6">
      <c r="F62799" s="2423"/>
    </row>
    <row r="62800" spans="6:6">
      <c r="F62800" s="2423"/>
    </row>
    <row r="62801" spans="6:6">
      <c r="F62801" s="2423"/>
    </row>
    <row r="62802" spans="6:6">
      <c r="F62802" s="2423"/>
    </row>
    <row r="62803" spans="6:6">
      <c r="F62803" s="2423"/>
    </row>
    <row r="62804" spans="6:6">
      <c r="F62804" s="2423"/>
    </row>
    <row r="62805" spans="6:6">
      <c r="F62805" s="2423"/>
    </row>
    <row r="62806" spans="6:6">
      <c r="F62806" s="2423"/>
    </row>
    <row r="62807" spans="6:6">
      <c r="F62807" s="2423"/>
    </row>
    <row r="62808" spans="6:6">
      <c r="F62808" s="2423"/>
    </row>
    <row r="62809" spans="6:6">
      <c r="F62809" s="2423"/>
    </row>
    <row r="62810" spans="6:6">
      <c r="F62810" s="2423"/>
    </row>
    <row r="62811" spans="6:6">
      <c r="F62811" s="2423"/>
    </row>
    <row r="62812" spans="6:6">
      <c r="F62812" s="2423"/>
    </row>
    <row r="62813" spans="6:6">
      <c r="F62813" s="2423"/>
    </row>
    <row r="62814" spans="6:6">
      <c r="F62814" s="2423"/>
    </row>
    <row r="62815" spans="6:6">
      <c r="F62815" s="2423"/>
    </row>
    <row r="62816" spans="6:6">
      <c r="F62816" s="2423"/>
    </row>
    <row r="62817" spans="6:6">
      <c r="F62817" s="2423"/>
    </row>
    <row r="62818" spans="6:6">
      <c r="F62818" s="2423"/>
    </row>
    <row r="62819" spans="6:6">
      <c r="F62819" s="2423"/>
    </row>
    <row r="62820" spans="6:6">
      <c r="F62820" s="2423"/>
    </row>
    <row r="62821" spans="6:6">
      <c r="F62821" s="2423"/>
    </row>
    <row r="62822" spans="6:6">
      <c r="F62822" s="2423"/>
    </row>
    <row r="62823" spans="6:6">
      <c r="F62823" s="2423"/>
    </row>
    <row r="62824" spans="6:6">
      <c r="F62824" s="2423"/>
    </row>
    <row r="62825" spans="6:6">
      <c r="F62825" s="2423"/>
    </row>
    <row r="62826" spans="6:6">
      <c r="F62826" s="2423"/>
    </row>
    <row r="62827" spans="6:6">
      <c r="F62827" s="2423"/>
    </row>
    <row r="62828" spans="6:6">
      <c r="F62828" s="2423"/>
    </row>
    <row r="62829" spans="6:6">
      <c r="F62829" s="2423"/>
    </row>
    <row r="62830" spans="6:6">
      <c r="F62830" s="2423"/>
    </row>
    <row r="62831" spans="6:6">
      <c r="F62831" s="2423"/>
    </row>
    <row r="62832" spans="6:6">
      <c r="F62832" s="2423"/>
    </row>
    <row r="62833" spans="6:6">
      <c r="F62833" s="2423"/>
    </row>
    <row r="62834" spans="6:6">
      <c r="F62834" s="2423"/>
    </row>
    <row r="62835" spans="6:6">
      <c r="F62835" s="2423"/>
    </row>
    <row r="62836" spans="6:6">
      <c r="F62836" s="2423"/>
    </row>
    <row r="62837" spans="6:6">
      <c r="F62837" s="2423"/>
    </row>
    <row r="62838" spans="6:6">
      <c r="F62838" s="2423"/>
    </row>
    <row r="62839" spans="6:6">
      <c r="F62839" s="2423"/>
    </row>
    <row r="62840" spans="6:6">
      <c r="F62840" s="2423"/>
    </row>
    <row r="62841" spans="6:6">
      <c r="F62841" s="2423"/>
    </row>
    <row r="62842" spans="6:6">
      <c r="F62842" s="2423"/>
    </row>
    <row r="62843" spans="6:6">
      <c r="F62843" s="2423"/>
    </row>
    <row r="62844" spans="6:6">
      <c r="F62844" s="2423"/>
    </row>
    <row r="62845" spans="6:6">
      <c r="F62845" s="2423"/>
    </row>
    <row r="62846" spans="6:6">
      <c r="F62846" s="2423"/>
    </row>
    <row r="62847" spans="6:6">
      <c r="F62847" s="2423"/>
    </row>
    <row r="62848" spans="6:6">
      <c r="F62848" s="2423"/>
    </row>
    <row r="62849" spans="6:6">
      <c r="F62849" s="2423"/>
    </row>
    <row r="62850" spans="6:6">
      <c r="F62850" s="2423"/>
    </row>
    <row r="62851" spans="6:6">
      <c r="F62851" s="2423"/>
    </row>
    <row r="62852" spans="6:6">
      <c r="F62852" s="2423"/>
    </row>
    <row r="62853" spans="6:6">
      <c r="F62853" s="2423"/>
    </row>
    <row r="62854" spans="6:6">
      <c r="F62854" s="2423"/>
    </row>
    <row r="62855" spans="6:6">
      <c r="F62855" s="2423"/>
    </row>
    <row r="62856" spans="6:6">
      <c r="F62856" s="2423"/>
    </row>
    <row r="62857" spans="6:6">
      <c r="F62857" s="2423"/>
    </row>
    <row r="62858" spans="6:6">
      <c r="F62858" s="2423"/>
    </row>
    <row r="62859" spans="6:6">
      <c r="F62859" s="2423"/>
    </row>
    <row r="62860" spans="6:6">
      <c r="F62860" s="2423"/>
    </row>
    <row r="62861" spans="6:6">
      <c r="F62861" s="2423"/>
    </row>
    <row r="62862" spans="6:6">
      <c r="F62862" s="2423"/>
    </row>
    <row r="62863" spans="6:6">
      <c r="F62863" s="2423"/>
    </row>
    <row r="62864" spans="6:6">
      <c r="F62864" s="2423"/>
    </row>
    <row r="62865" spans="6:6">
      <c r="F62865" s="2423"/>
    </row>
    <row r="62866" spans="6:6">
      <c r="F62866" s="2423"/>
    </row>
    <row r="62867" spans="6:6">
      <c r="F62867" s="2423"/>
    </row>
    <row r="62868" spans="6:6">
      <c r="F62868" s="2423"/>
    </row>
    <row r="62869" spans="6:6">
      <c r="F62869" s="2423"/>
    </row>
    <row r="62870" spans="6:6">
      <c r="F62870" s="2423"/>
    </row>
    <row r="62871" spans="6:6">
      <c r="F62871" s="2423"/>
    </row>
    <row r="62872" spans="6:6">
      <c r="F62872" s="2423"/>
    </row>
    <row r="62873" spans="6:6">
      <c r="F62873" s="2423"/>
    </row>
    <row r="62874" spans="6:6">
      <c r="F62874" s="2423"/>
    </row>
    <row r="62875" spans="6:6">
      <c r="F62875" s="2423"/>
    </row>
    <row r="62876" spans="6:6">
      <c r="F62876" s="2423"/>
    </row>
    <row r="62877" spans="6:6">
      <c r="F62877" s="2423"/>
    </row>
    <row r="62878" spans="6:6">
      <c r="F62878" s="2423"/>
    </row>
    <row r="62879" spans="6:6">
      <c r="F62879" s="2423"/>
    </row>
    <row r="62880" spans="6:6">
      <c r="F62880" s="2423"/>
    </row>
    <row r="62881" spans="6:6">
      <c r="F62881" s="2423"/>
    </row>
    <row r="62882" spans="6:6">
      <c r="F62882" s="2423"/>
    </row>
    <row r="62883" spans="6:6">
      <c r="F62883" s="2423"/>
    </row>
    <row r="62884" spans="6:6">
      <c r="F62884" s="2423"/>
    </row>
    <row r="62885" spans="6:6">
      <c r="F62885" s="2423"/>
    </row>
    <row r="62886" spans="6:6">
      <c r="F62886" s="2423"/>
    </row>
    <row r="62887" spans="6:6">
      <c r="F62887" s="2423"/>
    </row>
    <row r="62888" spans="6:6">
      <c r="F62888" s="2423"/>
    </row>
    <row r="62889" spans="6:6">
      <c r="F62889" s="2423"/>
    </row>
    <row r="62890" spans="6:6">
      <c r="F62890" s="2423"/>
    </row>
    <row r="62891" spans="6:6">
      <c r="F62891" s="2423"/>
    </row>
    <row r="62892" spans="6:6">
      <c r="F62892" s="2423"/>
    </row>
    <row r="62893" spans="6:6">
      <c r="F62893" s="2423"/>
    </row>
    <row r="62894" spans="6:6">
      <c r="F62894" s="2423"/>
    </row>
    <row r="62895" spans="6:6">
      <c r="F62895" s="2423"/>
    </row>
    <row r="62896" spans="6:6">
      <c r="F62896" s="2423"/>
    </row>
    <row r="62897" spans="6:6">
      <c r="F62897" s="2423"/>
    </row>
    <row r="62898" spans="6:6">
      <c r="F62898" s="2423"/>
    </row>
    <row r="62899" spans="6:6">
      <c r="F62899" s="2423"/>
    </row>
    <row r="62900" spans="6:6">
      <c r="F62900" s="2423"/>
    </row>
    <row r="62901" spans="6:6">
      <c r="F62901" s="2423"/>
    </row>
    <row r="62902" spans="6:6">
      <c r="F62902" s="2423"/>
    </row>
    <row r="62903" spans="6:6">
      <c r="F62903" s="2423"/>
    </row>
    <row r="62904" spans="6:6">
      <c r="F62904" s="2423"/>
    </row>
    <row r="62905" spans="6:6">
      <c r="F62905" s="2423"/>
    </row>
    <row r="62906" spans="6:6">
      <c r="F62906" s="2423"/>
    </row>
    <row r="62907" spans="6:6">
      <c r="F62907" s="2423"/>
    </row>
    <row r="62908" spans="6:6">
      <c r="F62908" s="2423"/>
    </row>
    <row r="62909" spans="6:6">
      <c r="F62909" s="2423"/>
    </row>
    <row r="62910" spans="6:6">
      <c r="F62910" s="2423"/>
    </row>
    <row r="62911" spans="6:6">
      <c r="F62911" s="2423"/>
    </row>
    <row r="62912" spans="6:6">
      <c r="F62912" s="2423"/>
    </row>
    <row r="62913" spans="6:6">
      <c r="F62913" s="2423"/>
    </row>
    <row r="62914" spans="6:6">
      <c r="F62914" s="2423"/>
    </row>
    <row r="62915" spans="6:6">
      <c r="F62915" s="2423"/>
    </row>
    <row r="62916" spans="6:6">
      <c r="F62916" s="2423"/>
    </row>
    <row r="62917" spans="6:6">
      <c r="F62917" s="2423"/>
    </row>
    <row r="62918" spans="6:6">
      <c r="F62918" s="2423"/>
    </row>
    <row r="62919" spans="6:6">
      <c r="F62919" s="2423"/>
    </row>
    <row r="62920" spans="6:6">
      <c r="F62920" s="2423"/>
    </row>
    <row r="62921" spans="6:6">
      <c r="F62921" s="2423"/>
    </row>
    <row r="62922" spans="6:6">
      <c r="F62922" s="2423"/>
    </row>
    <row r="62923" spans="6:6">
      <c r="F62923" s="2423"/>
    </row>
    <row r="62924" spans="6:6">
      <c r="F62924" s="2423"/>
    </row>
    <row r="62925" spans="6:6">
      <c r="F62925" s="2423"/>
    </row>
    <row r="62926" spans="6:6">
      <c r="F62926" s="2423"/>
    </row>
    <row r="62927" spans="6:6">
      <c r="F62927" s="2423"/>
    </row>
    <row r="62928" spans="6:6">
      <c r="F62928" s="2423"/>
    </row>
    <row r="62929" spans="6:6">
      <c r="F62929" s="2423"/>
    </row>
    <row r="62930" spans="6:6">
      <c r="F62930" s="2423"/>
    </row>
    <row r="62931" spans="6:6">
      <c r="F62931" s="2423"/>
    </row>
    <row r="62932" spans="6:6">
      <c r="F62932" s="2423"/>
    </row>
    <row r="62933" spans="6:6">
      <c r="F62933" s="2423"/>
    </row>
    <row r="62934" spans="6:6">
      <c r="F62934" s="2423"/>
    </row>
    <row r="62935" spans="6:6">
      <c r="F62935" s="2423"/>
    </row>
    <row r="62936" spans="6:6">
      <c r="F62936" s="2423"/>
    </row>
    <row r="62937" spans="6:6">
      <c r="F62937" s="2423"/>
    </row>
    <row r="62938" spans="6:6">
      <c r="F62938" s="2423"/>
    </row>
    <row r="62939" spans="6:6">
      <c r="F62939" s="2423"/>
    </row>
    <row r="62940" spans="6:6">
      <c r="F62940" s="2423"/>
    </row>
    <row r="62941" spans="6:6">
      <c r="F62941" s="2423"/>
    </row>
    <row r="62942" spans="6:6">
      <c r="F62942" s="2423"/>
    </row>
    <row r="62943" spans="6:6">
      <c r="F62943" s="2423"/>
    </row>
    <row r="62944" spans="6:6">
      <c r="F62944" s="2423"/>
    </row>
    <row r="62945" spans="6:6">
      <c r="F62945" s="2423"/>
    </row>
    <row r="62946" spans="6:6">
      <c r="F62946" s="2423"/>
    </row>
    <row r="62947" spans="6:6">
      <c r="F62947" s="2423"/>
    </row>
    <row r="62948" spans="6:6">
      <c r="F62948" s="2423"/>
    </row>
    <row r="62949" spans="6:6">
      <c r="F62949" s="2423"/>
    </row>
    <row r="62950" spans="6:6">
      <c r="F62950" s="2423"/>
    </row>
    <row r="62951" spans="6:6">
      <c r="F62951" s="2423"/>
    </row>
    <row r="62952" spans="6:6">
      <c r="F62952" s="2423"/>
    </row>
    <row r="62953" spans="6:6">
      <c r="F62953" s="2423"/>
    </row>
    <row r="62954" spans="6:6">
      <c r="F62954" s="2423"/>
    </row>
    <row r="62955" spans="6:6">
      <c r="F62955" s="2423"/>
    </row>
    <row r="62956" spans="6:6">
      <c r="F62956" s="2423"/>
    </row>
    <row r="62957" spans="6:6">
      <c r="F62957" s="2423"/>
    </row>
    <row r="62958" spans="6:6">
      <c r="F62958" s="2423"/>
    </row>
    <row r="62959" spans="6:6">
      <c r="F62959" s="2423"/>
    </row>
    <row r="62960" spans="6:6">
      <c r="F62960" s="2423"/>
    </row>
    <row r="62961" spans="6:6">
      <c r="F62961" s="2423"/>
    </row>
    <row r="62962" spans="6:6">
      <c r="F62962" s="2423"/>
    </row>
    <row r="62963" spans="6:6">
      <c r="F62963" s="2423"/>
    </row>
    <row r="62964" spans="6:6">
      <c r="F62964" s="2423"/>
    </row>
    <row r="62965" spans="6:6">
      <c r="F62965" s="2423"/>
    </row>
    <row r="62966" spans="6:6">
      <c r="F62966" s="2423"/>
    </row>
    <row r="62967" spans="6:6">
      <c r="F62967" s="2423"/>
    </row>
    <row r="62968" spans="6:6">
      <c r="F62968" s="2423"/>
    </row>
    <row r="62969" spans="6:6">
      <c r="F62969" s="2423"/>
    </row>
    <row r="62970" spans="6:6">
      <c r="F62970" s="2423"/>
    </row>
    <row r="62971" spans="6:6">
      <c r="F62971" s="2423"/>
    </row>
    <row r="62972" spans="6:6">
      <c r="F62972" s="2423"/>
    </row>
    <row r="62973" spans="6:6">
      <c r="F62973" s="2423"/>
    </row>
    <row r="62974" spans="6:6">
      <c r="F62974" s="2423"/>
    </row>
    <row r="62975" spans="6:6">
      <c r="F62975" s="2423"/>
    </row>
    <row r="62976" spans="6:6">
      <c r="F62976" s="2423"/>
    </row>
    <row r="62977" spans="6:6">
      <c r="F62977" s="2423"/>
    </row>
    <row r="62978" spans="6:6">
      <c r="F62978" s="2423"/>
    </row>
    <row r="62979" spans="6:6">
      <c r="F62979" s="2423"/>
    </row>
    <row r="62980" spans="6:6">
      <c r="F62980" s="2423"/>
    </row>
    <row r="62981" spans="6:6">
      <c r="F62981" s="2423"/>
    </row>
    <row r="62982" spans="6:6">
      <c r="F62982" s="2423"/>
    </row>
    <row r="62983" spans="6:6">
      <c r="F62983" s="2423"/>
    </row>
    <row r="62984" spans="6:6">
      <c r="F62984" s="2423"/>
    </row>
    <row r="62985" spans="6:6">
      <c r="F62985" s="2423"/>
    </row>
    <row r="62986" spans="6:6">
      <c r="F62986" s="2423"/>
    </row>
    <row r="62987" spans="6:6">
      <c r="F62987" s="2423"/>
    </row>
    <row r="62988" spans="6:6">
      <c r="F62988" s="2423"/>
    </row>
    <row r="62989" spans="6:6">
      <c r="F62989" s="2423"/>
    </row>
    <row r="62990" spans="6:6">
      <c r="F62990" s="2423"/>
    </row>
    <row r="62991" spans="6:6">
      <c r="F62991" s="2423"/>
    </row>
    <row r="62992" spans="6:6">
      <c r="F62992" s="2423"/>
    </row>
    <row r="62993" spans="6:6">
      <c r="F62993" s="2423"/>
    </row>
    <row r="62994" spans="6:6">
      <c r="F62994" s="2423"/>
    </row>
    <row r="62995" spans="6:6">
      <c r="F62995" s="2423"/>
    </row>
    <row r="62996" spans="6:6">
      <c r="F62996" s="2423"/>
    </row>
    <row r="62997" spans="6:6">
      <c r="F62997" s="2423"/>
    </row>
    <row r="62998" spans="6:6">
      <c r="F62998" s="2423"/>
    </row>
    <row r="62999" spans="6:6">
      <c r="F62999" s="2423"/>
    </row>
    <row r="63000" spans="6:6">
      <c r="F63000" s="2423"/>
    </row>
    <row r="63001" spans="6:6">
      <c r="F63001" s="2423"/>
    </row>
    <row r="63002" spans="6:6">
      <c r="F63002" s="2423"/>
    </row>
    <row r="63003" spans="6:6">
      <c r="F63003" s="2423"/>
    </row>
    <row r="63004" spans="6:6">
      <c r="F63004" s="2423"/>
    </row>
    <row r="63005" spans="6:6">
      <c r="F63005" s="2423"/>
    </row>
    <row r="63006" spans="6:6">
      <c r="F63006" s="2423"/>
    </row>
    <row r="63007" spans="6:6">
      <c r="F63007" s="2423"/>
    </row>
    <row r="63008" spans="6:6">
      <c r="F63008" s="2423"/>
    </row>
    <row r="63009" spans="6:6">
      <c r="F63009" s="2423"/>
    </row>
    <row r="63010" spans="6:6">
      <c r="F63010" s="2423"/>
    </row>
    <row r="63011" spans="6:6">
      <c r="F63011" s="2423"/>
    </row>
    <row r="63012" spans="6:6">
      <c r="F63012" s="2423"/>
    </row>
    <row r="63013" spans="6:6">
      <c r="F63013" s="2423"/>
    </row>
    <row r="63014" spans="6:6">
      <c r="F63014" s="2423"/>
    </row>
    <row r="63015" spans="6:6">
      <c r="F63015" s="2423"/>
    </row>
    <row r="63016" spans="6:6">
      <c r="F63016" s="2423"/>
    </row>
    <row r="63017" spans="6:6">
      <c r="F63017" s="2423"/>
    </row>
    <row r="63018" spans="6:6">
      <c r="F63018" s="2423"/>
    </row>
    <row r="63019" spans="6:6">
      <c r="F63019" s="2423"/>
    </row>
    <row r="63020" spans="6:6">
      <c r="F63020" s="2423"/>
    </row>
    <row r="63021" spans="6:6">
      <c r="F63021" s="2423"/>
    </row>
    <row r="63022" spans="6:6">
      <c r="F63022" s="2423"/>
    </row>
    <row r="63023" spans="6:6">
      <c r="F63023" s="2423"/>
    </row>
    <row r="63024" spans="6:6">
      <c r="F63024" s="2423"/>
    </row>
    <row r="63025" spans="6:6">
      <c r="F63025" s="2423"/>
    </row>
    <row r="63026" spans="6:6">
      <c r="F63026" s="2423"/>
    </row>
    <row r="63027" spans="6:6">
      <c r="F63027" s="2423"/>
    </row>
    <row r="63028" spans="6:6">
      <c r="F63028" s="2423"/>
    </row>
    <row r="63029" spans="6:6">
      <c r="F63029" s="2423"/>
    </row>
    <row r="63030" spans="6:6">
      <c r="F63030" s="2423"/>
    </row>
    <row r="63031" spans="6:6">
      <c r="F63031" s="2423"/>
    </row>
    <row r="63032" spans="6:6">
      <c r="F63032" s="2423"/>
    </row>
    <row r="63033" spans="6:6">
      <c r="F63033" s="2423"/>
    </row>
    <row r="63034" spans="6:6">
      <c r="F63034" s="2423"/>
    </row>
    <row r="63035" spans="6:6">
      <c r="F63035" s="2423"/>
    </row>
    <row r="63036" spans="6:6">
      <c r="F63036" s="2423"/>
    </row>
    <row r="63037" spans="6:6">
      <c r="F63037" s="2423"/>
    </row>
    <row r="63038" spans="6:6">
      <c r="F63038" s="2423"/>
    </row>
    <row r="63039" spans="6:6">
      <c r="F63039" s="2423"/>
    </row>
    <row r="63040" spans="6:6">
      <c r="F63040" s="2423"/>
    </row>
    <row r="63041" spans="6:6">
      <c r="F63041" s="2423"/>
    </row>
    <row r="63042" spans="6:6">
      <c r="F63042" s="2423"/>
    </row>
    <row r="63043" spans="6:6">
      <c r="F63043" s="2423"/>
    </row>
    <row r="63044" spans="6:6">
      <c r="F63044" s="2423"/>
    </row>
    <row r="63045" spans="6:6">
      <c r="F63045" s="2423"/>
    </row>
    <row r="63046" spans="6:6">
      <c r="F63046" s="2423"/>
    </row>
    <row r="63047" spans="6:6">
      <c r="F63047" s="2423"/>
    </row>
    <row r="63048" spans="6:6">
      <c r="F63048" s="2423"/>
    </row>
    <row r="63049" spans="6:6">
      <c r="F63049" s="2423"/>
    </row>
    <row r="63050" spans="6:6">
      <c r="F63050" s="2423"/>
    </row>
    <row r="63051" spans="6:6">
      <c r="F63051" s="2423"/>
    </row>
    <row r="63052" spans="6:6">
      <c r="F63052" s="2423"/>
    </row>
    <row r="63053" spans="6:6">
      <c r="F63053" s="2423"/>
    </row>
    <row r="63054" spans="6:6">
      <c r="F63054" s="2423"/>
    </row>
    <row r="63055" spans="6:6">
      <c r="F63055" s="2423"/>
    </row>
    <row r="63056" spans="6:6">
      <c r="F63056" s="2423"/>
    </row>
    <row r="63057" spans="6:6">
      <c r="F63057" s="2423"/>
    </row>
    <row r="63058" spans="6:6">
      <c r="F63058" s="2423"/>
    </row>
    <row r="63059" spans="6:6">
      <c r="F63059" s="2423"/>
    </row>
    <row r="63060" spans="6:6">
      <c r="F63060" s="2423"/>
    </row>
    <row r="63061" spans="6:6">
      <c r="F63061" s="2423"/>
    </row>
    <row r="63062" spans="6:6">
      <c r="F63062" s="2423"/>
    </row>
    <row r="63063" spans="6:6">
      <c r="F63063" s="2423"/>
    </row>
    <row r="63064" spans="6:6">
      <c r="F63064" s="2423"/>
    </row>
    <row r="63065" spans="6:6">
      <c r="F63065" s="2423"/>
    </row>
    <row r="63066" spans="6:6">
      <c r="F63066" s="2423"/>
    </row>
    <row r="63067" spans="6:6">
      <c r="F63067" s="2423"/>
    </row>
    <row r="63068" spans="6:6">
      <c r="F63068" s="2423"/>
    </row>
    <row r="63069" spans="6:6">
      <c r="F63069" s="2423"/>
    </row>
    <row r="63070" spans="6:6">
      <c r="F63070" s="2423"/>
    </row>
    <row r="63071" spans="6:6">
      <c r="F63071" s="2423"/>
    </row>
    <row r="63072" spans="6:6">
      <c r="F63072" s="2423"/>
    </row>
    <row r="63073" spans="6:6">
      <c r="F63073" s="2423"/>
    </row>
    <row r="63074" spans="6:6">
      <c r="F63074" s="2423"/>
    </row>
    <row r="63075" spans="6:6">
      <c r="F63075" s="2423"/>
    </row>
    <row r="63076" spans="6:6">
      <c r="F63076" s="2423"/>
    </row>
    <row r="63077" spans="6:6">
      <c r="F63077" s="2423"/>
    </row>
    <row r="63078" spans="6:6">
      <c r="F63078" s="2423"/>
    </row>
    <row r="63079" spans="6:6">
      <c r="F63079" s="2423"/>
    </row>
    <row r="63080" spans="6:6">
      <c r="F63080" s="2423"/>
    </row>
    <row r="63081" spans="6:6">
      <c r="F63081" s="2423"/>
    </row>
    <row r="63082" spans="6:6">
      <c r="F63082" s="2423"/>
    </row>
    <row r="63083" spans="6:6">
      <c r="F63083" s="2423"/>
    </row>
    <row r="63084" spans="6:6">
      <c r="F63084" s="2423"/>
    </row>
    <row r="63085" spans="6:6">
      <c r="F63085" s="2423"/>
    </row>
    <row r="63086" spans="6:6">
      <c r="F63086" s="2423"/>
    </row>
    <row r="63087" spans="6:6">
      <c r="F63087" s="2423"/>
    </row>
    <row r="63088" spans="6:6">
      <c r="F63088" s="2423"/>
    </row>
    <row r="63089" spans="6:6">
      <c r="F63089" s="2423"/>
    </row>
    <row r="63090" spans="6:6">
      <c r="F63090" s="2423"/>
    </row>
    <row r="63091" spans="6:6">
      <c r="F63091" s="2423"/>
    </row>
    <row r="63092" spans="6:6">
      <c r="F63092" s="2423"/>
    </row>
    <row r="63093" spans="6:6">
      <c r="F63093" s="2423"/>
    </row>
    <row r="63094" spans="6:6">
      <c r="F63094" s="2423"/>
    </row>
    <row r="63095" spans="6:6">
      <c r="F63095" s="2423"/>
    </row>
    <row r="63096" spans="6:6">
      <c r="F63096" s="2423"/>
    </row>
    <row r="63097" spans="6:6">
      <c r="F63097" s="2423"/>
    </row>
    <row r="63098" spans="6:6">
      <c r="F63098" s="2423"/>
    </row>
    <row r="63099" spans="6:6">
      <c r="F63099" s="2423"/>
    </row>
    <row r="63100" spans="6:6">
      <c r="F63100" s="2423"/>
    </row>
    <row r="63101" spans="6:6">
      <c r="F63101" s="2423"/>
    </row>
    <row r="63102" spans="6:6">
      <c r="F63102" s="2423"/>
    </row>
    <row r="63103" spans="6:6">
      <c r="F63103" s="2423"/>
    </row>
    <row r="63104" spans="6:6">
      <c r="F63104" s="2423"/>
    </row>
    <row r="63105" spans="6:6">
      <c r="F63105" s="2423"/>
    </row>
    <row r="63106" spans="6:6">
      <c r="F63106" s="2423"/>
    </row>
    <row r="63107" spans="6:6">
      <c r="F63107" s="2423"/>
    </row>
    <row r="63108" spans="6:6">
      <c r="F63108" s="2423"/>
    </row>
    <row r="63109" spans="6:6">
      <c r="F63109" s="2423"/>
    </row>
    <row r="63110" spans="6:6">
      <c r="F63110" s="2423"/>
    </row>
    <row r="63111" spans="6:6">
      <c r="F63111" s="2423"/>
    </row>
    <row r="63112" spans="6:6">
      <c r="F63112" s="2423"/>
    </row>
    <row r="63113" spans="6:6">
      <c r="F63113" s="2423"/>
    </row>
    <row r="63114" spans="6:6">
      <c r="F63114" s="2423"/>
    </row>
    <row r="63115" spans="6:6">
      <c r="F63115" s="2423"/>
    </row>
    <row r="63116" spans="6:6">
      <c r="F63116" s="2423"/>
    </row>
    <row r="63117" spans="6:6">
      <c r="F63117" s="2423"/>
    </row>
    <row r="63118" spans="6:6">
      <c r="F63118" s="2423"/>
    </row>
    <row r="63119" spans="6:6">
      <c r="F63119" s="2423"/>
    </row>
    <row r="63120" spans="6:6">
      <c r="F63120" s="2423"/>
    </row>
    <row r="63121" spans="6:6">
      <c r="F63121" s="2423"/>
    </row>
    <row r="63122" spans="6:6">
      <c r="F63122" s="2423"/>
    </row>
    <row r="63123" spans="6:6">
      <c r="F63123" s="2423"/>
    </row>
    <row r="63124" spans="6:6">
      <c r="F63124" s="2423"/>
    </row>
    <row r="63125" spans="6:6">
      <c r="F63125" s="2423"/>
    </row>
    <row r="63126" spans="6:6">
      <c r="F63126" s="2423"/>
    </row>
    <row r="63127" spans="6:6">
      <c r="F63127" s="2423"/>
    </row>
    <row r="63128" spans="6:6">
      <c r="F63128" s="2423"/>
    </row>
    <row r="63129" spans="6:6">
      <c r="F63129" s="2423"/>
    </row>
    <row r="63130" spans="6:6">
      <c r="F63130" s="2423"/>
    </row>
    <row r="63131" spans="6:6">
      <c r="F63131" s="2423"/>
    </row>
    <row r="63132" spans="6:6">
      <c r="F63132" s="2423"/>
    </row>
    <row r="63133" spans="6:6">
      <c r="F63133" s="2423"/>
    </row>
    <row r="63134" spans="6:6">
      <c r="F63134" s="2423"/>
    </row>
    <row r="63135" spans="6:6">
      <c r="F63135" s="2423"/>
    </row>
    <row r="63136" spans="6:6">
      <c r="F63136" s="2423"/>
    </row>
    <row r="63137" spans="6:6">
      <c r="F63137" s="2423"/>
    </row>
    <row r="63138" spans="6:6">
      <c r="F63138" s="2423"/>
    </row>
    <row r="63139" spans="6:6">
      <c r="F63139" s="2423"/>
    </row>
    <row r="63140" spans="6:6">
      <c r="F63140" s="2423"/>
    </row>
    <row r="63141" spans="6:6">
      <c r="F63141" s="2423"/>
    </row>
    <row r="63142" spans="6:6">
      <c r="F63142" s="2423"/>
    </row>
    <row r="63143" spans="6:6">
      <c r="F63143" s="2423"/>
    </row>
    <row r="63144" spans="6:6">
      <c r="F63144" s="2423"/>
    </row>
    <row r="63145" spans="6:6">
      <c r="F63145" s="2423"/>
    </row>
    <row r="63146" spans="6:6">
      <c r="F63146" s="2423"/>
    </row>
    <row r="63147" spans="6:6">
      <c r="F63147" s="2423"/>
    </row>
    <row r="63148" spans="6:6">
      <c r="F63148" s="2423"/>
    </row>
    <row r="63149" spans="6:6">
      <c r="F63149" s="2423"/>
    </row>
    <row r="63150" spans="6:6">
      <c r="F63150" s="2423"/>
    </row>
    <row r="63151" spans="6:6">
      <c r="F63151" s="2423"/>
    </row>
    <row r="63152" spans="6:6">
      <c r="F63152" s="2423"/>
    </row>
    <row r="63153" spans="6:6">
      <c r="F63153" s="2423"/>
    </row>
    <row r="63154" spans="6:6">
      <c r="F63154" s="2423"/>
    </row>
    <row r="63155" spans="6:6">
      <c r="F63155" s="2423"/>
    </row>
    <row r="63156" spans="6:6">
      <c r="F63156" s="2423"/>
    </row>
    <row r="63157" spans="6:6">
      <c r="F63157" s="2423"/>
    </row>
    <row r="63158" spans="6:6">
      <c r="F63158" s="2423"/>
    </row>
    <row r="63159" spans="6:6">
      <c r="F63159" s="2423"/>
    </row>
    <row r="63160" spans="6:6">
      <c r="F63160" s="2423"/>
    </row>
    <row r="63161" spans="6:6">
      <c r="F63161" s="2423"/>
    </row>
    <row r="63162" spans="6:6">
      <c r="F63162" s="2423"/>
    </row>
    <row r="63163" spans="6:6">
      <c r="F63163" s="2423"/>
    </row>
    <row r="63164" spans="6:6">
      <c r="F63164" s="2423"/>
    </row>
    <row r="63165" spans="6:6">
      <c r="F63165" s="2423"/>
    </row>
    <row r="63166" spans="6:6">
      <c r="F63166" s="2423"/>
    </row>
    <row r="63167" spans="6:6">
      <c r="F63167" s="2423"/>
    </row>
    <row r="63168" spans="6:6">
      <c r="F63168" s="2423"/>
    </row>
    <row r="63169" spans="6:6">
      <c r="F63169" s="2423"/>
    </row>
    <row r="63170" spans="6:6">
      <c r="F63170" s="2423"/>
    </row>
    <row r="63171" spans="6:6">
      <c r="F63171" s="2423"/>
    </row>
    <row r="63172" spans="6:6">
      <c r="F63172" s="2423"/>
    </row>
    <row r="63173" spans="6:6">
      <c r="F63173" s="2423"/>
    </row>
    <row r="63174" spans="6:6">
      <c r="F63174" s="2423"/>
    </row>
    <row r="63175" spans="6:6">
      <c r="F63175" s="2423"/>
    </row>
    <row r="63176" spans="6:6">
      <c r="F63176" s="2423"/>
    </row>
    <row r="63177" spans="6:6">
      <c r="F63177" s="2423"/>
    </row>
    <row r="63178" spans="6:6">
      <c r="F63178" s="2423"/>
    </row>
    <row r="63179" spans="6:6">
      <c r="F63179" s="2423"/>
    </row>
    <row r="63180" spans="6:6">
      <c r="F63180" s="2423"/>
    </row>
    <row r="63181" spans="6:6">
      <c r="F63181" s="2423"/>
    </row>
    <row r="63182" spans="6:6">
      <c r="F63182" s="2423"/>
    </row>
    <row r="63183" spans="6:6">
      <c r="F63183" s="2423"/>
    </row>
    <row r="63184" spans="6:6">
      <c r="F63184" s="2423"/>
    </row>
    <row r="63185" spans="6:6">
      <c r="F63185" s="2423"/>
    </row>
    <row r="63186" spans="6:6">
      <c r="F63186" s="2423"/>
    </row>
    <row r="63187" spans="6:6">
      <c r="F63187" s="2423"/>
    </row>
    <row r="63188" spans="6:6">
      <c r="F63188" s="2423"/>
    </row>
    <row r="63189" spans="6:6">
      <c r="F63189" s="2423"/>
    </row>
    <row r="63190" spans="6:6">
      <c r="F63190" s="2423"/>
    </row>
    <row r="63191" spans="6:6">
      <c r="F63191" s="2423"/>
    </row>
    <row r="63192" spans="6:6">
      <c r="F63192" s="2423"/>
    </row>
    <row r="63193" spans="6:6">
      <c r="F63193" s="2423"/>
    </row>
    <row r="63194" spans="6:6">
      <c r="F63194" s="2423"/>
    </row>
    <row r="63195" spans="6:6">
      <c r="F63195" s="2423"/>
    </row>
    <row r="63196" spans="6:6">
      <c r="F63196" s="2423"/>
    </row>
    <row r="63197" spans="6:6">
      <c r="F63197" s="2423"/>
    </row>
    <row r="63198" spans="6:6">
      <c r="F63198" s="2423"/>
    </row>
    <row r="63199" spans="6:6">
      <c r="F63199" s="2423"/>
    </row>
    <row r="63200" spans="6:6">
      <c r="F63200" s="2423"/>
    </row>
    <row r="63201" spans="6:6">
      <c r="F63201" s="2423"/>
    </row>
    <row r="63202" spans="6:6">
      <c r="F63202" s="2423"/>
    </row>
    <row r="63203" spans="6:6">
      <c r="F63203" s="2423"/>
    </row>
    <row r="63204" spans="6:6">
      <c r="F63204" s="2423"/>
    </row>
    <row r="63205" spans="6:6">
      <c r="F63205" s="2423"/>
    </row>
    <row r="63206" spans="6:6">
      <c r="F63206" s="2423"/>
    </row>
    <row r="63207" spans="6:6">
      <c r="F63207" s="2423"/>
    </row>
    <row r="63208" spans="6:6">
      <c r="F63208" s="2423"/>
    </row>
    <row r="63209" spans="6:6">
      <c r="F63209" s="2423"/>
    </row>
    <row r="63210" spans="6:6">
      <c r="F63210" s="2423"/>
    </row>
    <row r="63211" spans="6:6">
      <c r="F63211" s="2423"/>
    </row>
    <row r="63212" spans="6:6">
      <c r="F63212" s="2423"/>
    </row>
    <row r="63213" spans="6:6">
      <c r="F63213" s="2423"/>
    </row>
    <row r="63214" spans="6:6">
      <c r="F63214" s="2423"/>
    </row>
    <row r="63215" spans="6:6">
      <c r="F63215" s="2423"/>
    </row>
    <row r="63216" spans="6:6">
      <c r="F63216" s="2423"/>
    </row>
    <row r="63217" spans="6:6">
      <c r="F63217" s="2423"/>
    </row>
    <row r="63218" spans="6:6">
      <c r="F63218" s="2423"/>
    </row>
    <row r="63219" spans="6:6">
      <c r="F63219" s="2423"/>
    </row>
    <row r="63220" spans="6:6">
      <c r="F63220" s="2423"/>
    </row>
    <row r="63221" spans="6:6">
      <c r="F63221" s="2423"/>
    </row>
    <row r="63222" spans="6:6">
      <c r="F63222" s="2423"/>
    </row>
    <row r="63223" spans="6:6">
      <c r="F63223" s="2423"/>
    </row>
    <row r="63224" spans="6:6">
      <c r="F63224" s="2423"/>
    </row>
    <row r="63225" spans="6:6">
      <c r="F63225" s="2423"/>
    </row>
    <row r="63226" spans="6:6">
      <c r="F63226" s="2423"/>
    </row>
    <row r="63227" spans="6:6">
      <c r="F63227" s="2423"/>
    </row>
    <row r="63228" spans="6:6">
      <c r="F63228" s="2423"/>
    </row>
    <row r="63229" spans="6:6">
      <c r="F63229" s="2423"/>
    </row>
    <row r="63230" spans="6:6">
      <c r="F63230" s="2423"/>
    </row>
    <row r="63231" spans="6:6">
      <c r="F63231" s="2423"/>
    </row>
    <row r="63232" spans="6:6">
      <c r="F63232" s="2423"/>
    </row>
    <row r="63233" spans="6:6">
      <c r="F63233" s="2423"/>
    </row>
    <row r="63234" spans="6:6">
      <c r="F63234" s="2423"/>
    </row>
    <row r="63235" spans="6:6">
      <c r="F63235" s="2423"/>
    </row>
    <row r="63236" spans="6:6">
      <c r="F63236" s="2423"/>
    </row>
    <row r="63237" spans="6:6">
      <c r="F63237" s="2423"/>
    </row>
    <row r="63238" spans="6:6">
      <c r="F63238" s="2423"/>
    </row>
    <row r="63239" spans="6:6">
      <c r="F63239" s="2423"/>
    </row>
    <row r="63240" spans="6:6">
      <c r="F63240" s="2423"/>
    </row>
    <row r="63241" spans="6:6">
      <c r="F63241" s="2423"/>
    </row>
    <row r="63242" spans="6:6">
      <c r="F63242" s="2423"/>
    </row>
    <row r="63243" spans="6:6">
      <c r="F63243" s="2423"/>
    </row>
    <row r="63244" spans="6:6">
      <c r="F63244" s="2423"/>
    </row>
    <row r="63245" spans="6:6">
      <c r="F63245" s="2423"/>
    </row>
    <row r="63246" spans="6:6">
      <c r="F63246" s="2423"/>
    </row>
    <row r="63247" spans="6:6">
      <c r="F63247" s="2423"/>
    </row>
    <row r="63248" spans="6:6">
      <c r="F63248" s="2423"/>
    </row>
    <row r="63249" spans="6:6">
      <c r="F63249" s="2423"/>
    </row>
    <row r="63250" spans="6:6">
      <c r="F63250" s="2423"/>
    </row>
    <row r="63251" spans="6:6">
      <c r="F63251" s="2423"/>
    </row>
    <row r="63252" spans="6:6">
      <c r="F63252" s="2423"/>
    </row>
    <row r="63253" spans="6:6">
      <c r="F63253" s="2423"/>
    </row>
    <row r="63254" spans="6:6">
      <c r="F63254" s="2423"/>
    </row>
    <row r="63255" spans="6:6">
      <c r="F63255" s="2423"/>
    </row>
    <row r="63256" spans="6:6">
      <c r="F63256" s="2423"/>
    </row>
    <row r="63257" spans="6:6">
      <c r="F63257" s="2423"/>
    </row>
    <row r="63258" spans="6:6">
      <c r="F63258" s="2423"/>
    </row>
    <row r="63259" spans="6:6">
      <c r="F63259" s="2423"/>
    </row>
    <row r="63260" spans="6:6">
      <c r="F63260" s="2423"/>
    </row>
    <row r="63261" spans="6:6">
      <c r="F63261" s="2423"/>
    </row>
    <row r="63262" spans="6:6">
      <c r="F63262" s="2423"/>
    </row>
    <row r="63263" spans="6:6">
      <c r="F63263" s="2423"/>
    </row>
    <row r="63264" spans="6:6">
      <c r="F63264" s="2423"/>
    </row>
    <row r="63265" spans="6:6">
      <c r="F63265" s="2423"/>
    </row>
    <row r="63266" spans="6:6">
      <c r="F63266" s="2423"/>
    </row>
    <row r="63267" spans="6:6">
      <c r="F63267" s="2423"/>
    </row>
    <row r="63268" spans="6:6">
      <c r="F63268" s="2423"/>
    </row>
    <row r="63269" spans="6:6">
      <c r="F63269" s="2423"/>
    </row>
    <row r="63270" spans="6:6">
      <c r="F63270" s="2423"/>
    </row>
    <row r="63271" spans="6:6">
      <c r="F63271" s="2423"/>
    </row>
    <row r="63272" spans="6:6">
      <c r="F63272" s="2423"/>
    </row>
    <row r="63273" spans="6:6">
      <c r="F63273" s="2423"/>
    </row>
    <row r="63274" spans="6:6">
      <c r="F63274" s="2423"/>
    </row>
    <row r="63275" spans="6:6">
      <c r="F63275" s="2423"/>
    </row>
    <row r="63276" spans="6:6">
      <c r="F63276" s="2423"/>
    </row>
    <row r="63277" spans="6:6">
      <c r="F63277" s="2423"/>
    </row>
    <row r="63278" spans="6:6">
      <c r="F63278" s="2423"/>
    </row>
    <row r="63279" spans="6:6">
      <c r="F63279" s="2423"/>
    </row>
    <row r="63280" spans="6:6">
      <c r="F63280" s="2423"/>
    </row>
    <row r="63281" spans="6:6">
      <c r="F63281" s="2423"/>
    </row>
    <row r="63282" spans="6:6">
      <c r="F63282" s="2423"/>
    </row>
    <row r="63283" spans="6:6">
      <c r="F63283" s="2423"/>
    </row>
    <row r="63284" spans="6:6">
      <c r="F63284" s="2423"/>
    </row>
    <row r="63285" spans="6:6">
      <c r="F63285" s="2423"/>
    </row>
    <row r="63286" spans="6:6">
      <c r="F63286" s="2423"/>
    </row>
    <row r="63287" spans="6:6">
      <c r="F63287" s="2423"/>
    </row>
    <row r="63288" spans="6:6">
      <c r="F63288" s="2423"/>
    </row>
    <row r="63289" spans="6:6">
      <c r="F63289" s="2423"/>
    </row>
    <row r="63290" spans="6:6">
      <c r="F63290" s="2423"/>
    </row>
    <row r="63291" spans="6:6">
      <c r="F63291" s="2423"/>
    </row>
    <row r="63292" spans="6:6">
      <c r="F63292" s="2423"/>
    </row>
    <row r="63293" spans="6:6">
      <c r="F63293" s="2423"/>
    </row>
    <row r="63294" spans="6:6">
      <c r="F63294" s="2423"/>
    </row>
    <row r="63295" spans="6:6">
      <c r="F63295" s="2423"/>
    </row>
    <row r="63296" spans="6:6">
      <c r="F63296" s="2423"/>
    </row>
    <row r="63297" spans="6:6">
      <c r="F63297" s="2423"/>
    </row>
    <row r="63298" spans="6:6">
      <c r="F63298" s="2423"/>
    </row>
    <row r="63299" spans="6:6">
      <c r="F63299" s="2423"/>
    </row>
    <row r="63300" spans="6:6">
      <c r="F63300" s="2423"/>
    </row>
    <row r="63301" spans="6:6">
      <c r="F63301" s="2423"/>
    </row>
    <row r="63302" spans="6:6">
      <c r="F63302" s="2423"/>
    </row>
    <row r="63303" spans="6:6">
      <c r="F63303" s="2423"/>
    </row>
    <row r="63304" spans="6:6">
      <c r="F63304" s="2423"/>
    </row>
    <row r="63305" spans="6:6">
      <c r="F63305" s="2423"/>
    </row>
    <row r="63306" spans="6:6">
      <c r="F63306" s="2423"/>
    </row>
    <row r="63307" spans="6:6">
      <c r="F63307" s="2423"/>
    </row>
    <row r="63308" spans="6:6">
      <c r="F63308" s="2423"/>
    </row>
    <row r="63309" spans="6:6">
      <c r="F63309" s="2423"/>
    </row>
    <row r="63310" spans="6:6">
      <c r="F63310" s="2423"/>
    </row>
    <row r="63311" spans="6:6">
      <c r="F63311" s="2423"/>
    </row>
    <row r="63312" spans="6:6">
      <c r="F63312" s="2423"/>
    </row>
    <row r="63313" spans="6:6">
      <c r="F63313" s="2423"/>
    </row>
    <row r="63314" spans="6:6">
      <c r="F63314" s="2423"/>
    </row>
    <row r="63315" spans="6:6">
      <c r="F63315" s="2423"/>
    </row>
    <row r="63316" spans="6:6">
      <c r="F63316" s="2423"/>
    </row>
    <row r="63317" spans="6:6">
      <c r="F63317" s="2423"/>
    </row>
    <row r="63318" spans="6:6">
      <c r="F63318" s="2423"/>
    </row>
    <row r="63319" spans="6:6">
      <c r="F63319" s="2423"/>
    </row>
    <row r="63320" spans="6:6">
      <c r="F63320" s="2423"/>
    </row>
    <row r="63321" spans="6:6">
      <c r="F63321" s="2423"/>
    </row>
    <row r="63322" spans="6:6">
      <c r="F63322" s="2423"/>
    </row>
    <row r="63323" spans="6:6">
      <c r="F63323" s="2423"/>
    </row>
    <row r="63324" spans="6:6">
      <c r="F63324" s="2423"/>
    </row>
    <row r="63325" spans="6:6">
      <c r="F63325" s="2423"/>
    </row>
    <row r="63326" spans="6:6">
      <c r="F63326" s="2423"/>
    </row>
    <row r="63327" spans="6:6">
      <c r="F63327" s="2423"/>
    </row>
    <row r="63328" spans="6:6">
      <c r="F63328" s="2423"/>
    </row>
    <row r="63329" spans="6:6">
      <c r="F63329" s="2423"/>
    </row>
    <row r="63330" spans="6:6">
      <c r="F63330" s="2423"/>
    </row>
    <row r="63331" spans="6:6">
      <c r="F63331" s="2423"/>
    </row>
    <row r="63332" spans="6:6">
      <c r="F63332" s="2423"/>
    </row>
    <row r="63333" spans="6:6">
      <c r="F63333" s="2423"/>
    </row>
    <row r="63334" spans="6:6">
      <c r="F63334" s="2423"/>
    </row>
    <row r="63335" spans="6:6">
      <c r="F63335" s="2423"/>
    </row>
    <row r="63336" spans="6:6">
      <c r="F63336" s="2423"/>
    </row>
    <row r="63337" spans="6:6">
      <c r="F63337" s="2423"/>
    </row>
    <row r="63338" spans="6:6">
      <c r="F63338" s="2423"/>
    </row>
    <row r="63339" spans="6:6">
      <c r="F63339" s="2423"/>
    </row>
    <row r="63340" spans="6:6">
      <c r="F63340" s="2423"/>
    </row>
    <row r="63341" spans="6:6">
      <c r="F63341" s="2423"/>
    </row>
    <row r="63342" spans="6:6">
      <c r="F63342" s="2423"/>
    </row>
    <row r="63343" spans="6:6">
      <c r="F63343" s="2423"/>
    </row>
    <row r="63344" spans="6:6">
      <c r="F63344" s="2423"/>
    </row>
    <row r="63345" spans="6:6">
      <c r="F63345" s="2423"/>
    </row>
    <row r="63346" spans="6:6">
      <c r="F63346" s="2423"/>
    </row>
    <row r="63347" spans="6:6">
      <c r="F63347" s="2423"/>
    </row>
    <row r="63348" spans="6:6">
      <c r="F63348" s="2423"/>
    </row>
    <row r="63349" spans="6:6">
      <c r="F63349" s="2423"/>
    </row>
    <row r="63350" spans="6:6">
      <c r="F63350" s="2423"/>
    </row>
    <row r="63351" spans="6:6">
      <c r="F63351" s="2423"/>
    </row>
    <row r="63352" spans="6:6">
      <c r="F63352" s="2423"/>
    </row>
    <row r="63353" spans="6:6">
      <c r="F63353" s="2423"/>
    </row>
    <row r="63354" spans="6:6">
      <c r="F63354" s="2423"/>
    </row>
    <row r="63355" spans="6:6">
      <c r="F63355" s="2423"/>
    </row>
    <row r="63356" spans="6:6">
      <c r="F63356" s="2423"/>
    </row>
    <row r="63357" spans="6:6">
      <c r="F63357" s="2423"/>
    </row>
    <row r="63358" spans="6:6">
      <c r="F63358" s="2423"/>
    </row>
    <row r="63359" spans="6:6">
      <c r="F63359" s="2423"/>
    </row>
    <row r="63360" spans="6:6">
      <c r="F63360" s="2423"/>
    </row>
    <row r="63361" spans="6:6">
      <c r="F63361" s="2423"/>
    </row>
    <row r="63362" spans="6:6">
      <c r="F63362" s="2423"/>
    </row>
    <row r="63363" spans="6:6">
      <c r="F63363" s="2423"/>
    </row>
    <row r="63364" spans="6:6">
      <c r="F63364" s="2423"/>
    </row>
    <row r="63365" spans="6:6">
      <c r="F63365" s="2423"/>
    </row>
    <row r="63366" spans="6:6">
      <c r="F63366" s="2423"/>
    </row>
    <row r="63367" spans="6:6">
      <c r="F63367" s="2423"/>
    </row>
    <row r="63368" spans="6:6">
      <c r="F63368" s="2423"/>
    </row>
    <row r="63369" spans="6:6">
      <c r="F63369" s="2423"/>
    </row>
    <row r="63370" spans="6:6">
      <c r="F63370" s="2423"/>
    </row>
    <row r="63371" spans="6:6">
      <c r="F63371" s="2423"/>
    </row>
    <row r="63372" spans="6:6">
      <c r="F63372" s="2423"/>
    </row>
    <row r="63373" spans="6:6">
      <c r="F63373" s="2423"/>
    </row>
    <row r="63374" spans="6:6">
      <c r="F63374" s="2423"/>
    </row>
    <row r="63375" spans="6:6">
      <c r="F63375" s="2423"/>
    </row>
    <row r="63376" spans="6:6">
      <c r="F63376" s="2423"/>
    </row>
    <row r="63377" spans="6:6">
      <c r="F63377" s="2423"/>
    </row>
    <row r="63378" spans="6:6">
      <c r="F63378" s="2423"/>
    </row>
    <row r="63379" spans="6:6">
      <c r="F63379" s="2423"/>
    </row>
    <row r="63380" spans="6:6">
      <c r="F63380" s="2423"/>
    </row>
    <row r="63381" spans="6:6">
      <c r="F63381" s="2423"/>
    </row>
    <row r="63382" spans="6:6">
      <c r="F63382" s="2423"/>
    </row>
    <row r="63383" spans="6:6">
      <c r="F63383" s="2423"/>
    </row>
    <row r="63384" spans="6:6">
      <c r="F63384" s="2423"/>
    </row>
    <row r="63385" spans="6:6">
      <c r="F63385" s="2423"/>
    </row>
    <row r="63386" spans="6:6">
      <c r="F63386" s="2423"/>
    </row>
    <row r="63387" spans="6:6">
      <c r="F63387" s="2423"/>
    </row>
    <row r="63388" spans="6:6">
      <c r="F63388" s="2423"/>
    </row>
    <row r="63389" spans="6:6">
      <c r="F63389" s="2423"/>
    </row>
    <row r="63390" spans="6:6">
      <c r="F63390" s="2423"/>
    </row>
    <row r="63391" spans="6:6">
      <c r="F63391" s="2423"/>
    </row>
    <row r="63392" spans="6:6">
      <c r="F63392" s="2423"/>
    </row>
    <row r="63393" spans="6:6">
      <c r="F63393" s="2423"/>
    </row>
    <row r="63394" spans="6:6">
      <c r="F63394" s="2423"/>
    </row>
    <row r="63395" spans="6:6">
      <c r="F63395" s="2423"/>
    </row>
    <row r="63396" spans="6:6">
      <c r="F63396" s="2423"/>
    </row>
    <row r="63397" spans="6:6">
      <c r="F63397" s="2423"/>
    </row>
    <row r="63398" spans="6:6">
      <c r="F63398" s="2423"/>
    </row>
    <row r="63399" spans="6:6">
      <c r="F63399" s="2423"/>
    </row>
    <row r="63400" spans="6:6">
      <c r="F63400" s="2423"/>
    </row>
    <row r="63401" spans="6:6">
      <c r="F63401" s="2423"/>
    </row>
    <row r="63402" spans="6:6">
      <c r="F63402" s="2423"/>
    </row>
    <row r="63403" spans="6:6">
      <c r="F63403" s="2423"/>
    </row>
    <row r="63404" spans="6:6">
      <c r="F63404" s="2423"/>
    </row>
    <row r="63405" spans="6:6">
      <c r="F63405" s="2423"/>
    </row>
    <row r="63406" spans="6:6">
      <c r="F63406" s="2423"/>
    </row>
    <row r="63407" spans="6:6">
      <c r="F63407" s="2423"/>
    </row>
    <row r="63408" spans="6:6">
      <c r="F63408" s="2423"/>
    </row>
    <row r="63409" spans="6:6">
      <c r="F63409" s="2423"/>
    </row>
    <row r="63410" spans="6:6">
      <c r="F63410" s="2423"/>
    </row>
    <row r="63411" spans="6:6">
      <c r="F63411" s="2423"/>
    </row>
    <row r="63412" spans="6:6">
      <c r="F63412" s="2423"/>
    </row>
    <row r="63413" spans="6:6">
      <c r="F63413" s="2423"/>
    </row>
    <row r="63414" spans="6:6">
      <c r="F63414" s="2423"/>
    </row>
    <row r="63415" spans="6:6">
      <c r="F63415" s="2423"/>
    </row>
    <row r="63416" spans="6:6">
      <c r="F63416" s="2423"/>
    </row>
    <row r="63417" spans="6:6">
      <c r="F63417" s="2423"/>
    </row>
    <row r="63418" spans="6:6">
      <c r="F63418" s="2423"/>
    </row>
    <row r="63419" spans="6:6">
      <c r="F63419" s="2423"/>
    </row>
    <row r="63420" spans="6:6">
      <c r="F63420" s="2423"/>
    </row>
    <row r="63421" spans="6:6">
      <c r="F63421" s="2423"/>
    </row>
    <row r="63422" spans="6:6">
      <c r="F63422" s="2423"/>
    </row>
    <row r="63423" spans="6:6">
      <c r="F63423" s="2423"/>
    </row>
    <row r="63424" spans="6:6">
      <c r="F63424" s="2423"/>
    </row>
    <row r="63425" spans="6:6">
      <c r="F63425" s="2423"/>
    </row>
    <row r="63426" spans="6:6">
      <c r="F63426" s="2423"/>
    </row>
    <row r="63427" spans="6:6">
      <c r="F63427" s="2423"/>
    </row>
    <row r="63428" spans="6:6">
      <c r="F63428" s="2423"/>
    </row>
    <row r="63429" spans="6:6">
      <c r="F63429" s="2423"/>
    </row>
    <row r="63430" spans="6:6">
      <c r="F63430" s="2423"/>
    </row>
    <row r="63431" spans="6:6">
      <c r="F63431" s="2423"/>
    </row>
    <row r="63432" spans="6:6">
      <c r="F63432" s="2423"/>
    </row>
    <row r="63433" spans="6:6">
      <c r="F63433" s="2423"/>
    </row>
    <row r="63434" spans="6:6">
      <c r="F63434" s="2423"/>
    </row>
    <row r="63435" spans="6:6">
      <c r="F63435" s="2423"/>
    </row>
    <row r="63436" spans="6:6">
      <c r="F63436" s="2423"/>
    </row>
    <row r="63437" spans="6:6">
      <c r="F63437" s="2423"/>
    </row>
    <row r="63438" spans="6:6">
      <c r="F63438" s="2423"/>
    </row>
    <row r="63439" spans="6:6">
      <c r="F63439" s="2423"/>
    </row>
    <row r="63440" spans="6:6">
      <c r="F63440" s="2423"/>
    </row>
    <row r="63441" spans="6:6">
      <c r="F63441" s="2423"/>
    </row>
    <row r="63442" spans="6:6">
      <c r="F63442" s="2423"/>
    </row>
    <row r="63443" spans="6:6">
      <c r="F63443" s="2423"/>
    </row>
    <row r="63444" spans="6:6">
      <c r="F63444" s="2423"/>
    </row>
    <row r="63445" spans="6:6">
      <c r="F63445" s="2423"/>
    </row>
    <row r="63446" spans="6:6">
      <c r="F63446" s="2423"/>
    </row>
    <row r="63447" spans="6:6">
      <c r="F63447" s="2423"/>
    </row>
    <row r="63448" spans="6:6">
      <c r="F63448" s="2423"/>
    </row>
    <row r="63449" spans="6:6">
      <c r="F63449" s="2423"/>
    </row>
    <row r="63450" spans="6:6">
      <c r="F63450" s="2423"/>
    </row>
    <row r="63451" spans="6:6">
      <c r="F63451" s="2423"/>
    </row>
    <row r="63452" spans="6:6">
      <c r="F63452" s="2423"/>
    </row>
    <row r="63453" spans="6:6">
      <c r="F63453" s="2423"/>
    </row>
    <row r="63454" spans="6:6">
      <c r="F63454" s="2423"/>
    </row>
    <row r="63455" spans="6:6">
      <c r="F63455" s="2423"/>
    </row>
    <row r="63456" spans="6:6">
      <c r="F63456" s="2423"/>
    </row>
    <row r="63457" spans="6:6">
      <c r="F63457" s="2423"/>
    </row>
    <row r="63458" spans="6:6">
      <c r="F63458" s="2423"/>
    </row>
    <row r="63459" spans="6:6">
      <c r="F63459" s="2423"/>
    </row>
    <row r="63460" spans="6:6">
      <c r="F63460" s="2423"/>
    </row>
    <row r="63461" spans="6:6">
      <c r="F63461" s="2423"/>
    </row>
    <row r="63462" spans="6:6">
      <c r="F63462" s="2423"/>
    </row>
    <row r="63463" spans="6:6">
      <c r="F63463" s="2423"/>
    </row>
    <row r="63464" spans="6:6">
      <c r="F63464" s="2423"/>
    </row>
    <row r="63465" spans="6:6">
      <c r="F63465" s="2423"/>
    </row>
    <row r="63466" spans="6:6">
      <c r="F63466" s="2423"/>
    </row>
    <row r="63467" spans="6:6">
      <c r="F63467" s="2423"/>
    </row>
    <row r="63468" spans="6:6">
      <c r="F63468" s="2423"/>
    </row>
    <row r="63469" spans="6:6">
      <c r="F63469" s="2423"/>
    </row>
    <row r="63470" spans="6:6">
      <c r="F63470" s="2423"/>
    </row>
    <row r="63471" spans="6:6">
      <c r="F63471" s="2423"/>
    </row>
    <row r="63472" spans="6:6">
      <c r="F63472" s="2423"/>
    </row>
    <row r="63473" spans="6:6">
      <c r="F63473" s="2423"/>
    </row>
    <row r="63474" spans="6:6">
      <c r="F63474" s="2423"/>
    </row>
    <row r="63475" spans="6:6">
      <c r="F63475" s="2423"/>
    </row>
    <row r="63476" spans="6:6">
      <c r="F63476" s="2423"/>
    </row>
    <row r="63477" spans="6:6">
      <c r="F63477" s="2423"/>
    </row>
    <row r="63478" spans="6:6">
      <c r="F63478" s="2423"/>
    </row>
    <row r="63479" spans="6:6">
      <c r="F63479" s="2423"/>
    </row>
    <row r="63480" spans="6:6">
      <c r="F63480" s="2423"/>
    </row>
    <row r="63481" spans="6:6">
      <c r="F63481" s="2423"/>
    </row>
    <row r="63482" spans="6:6">
      <c r="F63482" s="2423"/>
    </row>
    <row r="63483" spans="6:6">
      <c r="F63483" s="2423"/>
    </row>
    <row r="63484" spans="6:6">
      <c r="F63484" s="2423"/>
    </row>
    <row r="63485" spans="6:6">
      <c r="F63485" s="2423"/>
    </row>
    <row r="63486" spans="6:6">
      <c r="F63486" s="2423"/>
    </row>
    <row r="63487" spans="6:6">
      <c r="F63487" s="2423"/>
    </row>
    <row r="63488" spans="6:6">
      <c r="F63488" s="2423"/>
    </row>
    <row r="63489" spans="6:6">
      <c r="F63489" s="2423"/>
    </row>
    <row r="63490" spans="6:6">
      <c r="F63490" s="2423"/>
    </row>
    <row r="63491" spans="6:6">
      <c r="F63491" s="2423"/>
    </row>
    <row r="63492" spans="6:6">
      <c r="F63492" s="2423"/>
    </row>
    <row r="63493" spans="6:6">
      <c r="F63493" s="2423"/>
    </row>
    <row r="63494" spans="6:6">
      <c r="F63494" s="2423"/>
    </row>
    <row r="63495" spans="6:6">
      <c r="F63495" s="2423"/>
    </row>
    <row r="63496" spans="6:6">
      <c r="F63496" s="2423"/>
    </row>
    <row r="63497" spans="6:6">
      <c r="F63497" s="2423"/>
    </row>
    <row r="63498" spans="6:6">
      <c r="F63498" s="2423"/>
    </row>
    <row r="63499" spans="6:6">
      <c r="F63499" s="2423"/>
    </row>
    <row r="63500" spans="6:6">
      <c r="F63500" s="2423"/>
    </row>
    <row r="63501" spans="6:6">
      <c r="F63501" s="2423"/>
    </row>
    <row r="63502" spans="6:6">
      <c r="F63502" s="2423"/>
    </row>
    <row r="63503" spans="6:6">
      <c r="F63503" s="2423"/>
    </row>
    <row r="63504" spans="6:6">
      <c r="F63504" s="2423"/>
    </row>
    <row r="63505" spans="6:6">
      <c r="F63505" s="2423"/>
    </row>
    <row r="63506" spans="6:6">
      <c r="F63506" s="2423"/>
    </row>
    <row r="63507" spans="6:6">
      <c r="F63507" s="2423"/>
    </row>
    <row r="63508" spans="6:6">
      <c r="F63508" s="2423"/>
    </row>
    <row r="63509" spans="6:6">
      <c r="F63509" s="2423"/>
    </row>
    <row r="63510" spans="6:6">
      <c r="F63510" s="2423"/>
    </row>
    <row r="63511" spans="6:6">
      <c r="F63511" s="2423"/>
    </row>
    <row r="63512" spans="6:6">
      <c r="F63512" s="2423"/>
    </row>
    <row r="63513" spans="6:6">
      <c r="F63513" s="2423"/>
    </row>
    <row r="63514" spans="6:6">
      <c r="F63514" s="2423"/>
    </row>
    <row r="63515" spans="6:6">
      <c r="F63515" s="2423"/>
    </row>
    <row r="63516" spans="6:6">
      <c r="F63516" s="2423"/>
    </row>
    <row r="63517" spans="6:6">
      <c r="F63517" s="2423"/>
    </row>
    <row r="63518" spans="6:6">
      <c r="F63518" s="2423"/>
    </row>
    <row r="63519" spans="6:6">
      <c r="F63519" s="2423"/>
    </row>
    <row r="63520" spans="6:6">
      <c r="F63520" s="2423"/>
    </row>
    <row r="63521" spans="6:6">
      <c r="F63521" s="2423"/>
    </row>
    <row r="63522" spans="6:6">
      <c r="F63522" s="2423"/>
    </row>
    <row r="63523" spans="6:6">
      <c r="F63523" s="2423"/>
    </row>
    <row r="63524" spans="6:6">
      <c r="F63524" s="2423"/>
    </row>
    <row r="63525" spans="6:6">
      <c r="F63525" s="2423"/>
    </row>
    <row r="63526" spans="6:6">
      <c r="F63526" s="2423"/>
    </row>
    <row r="63527" spans="6:6">
      <c r="F63527" s="2423"/>
    </row>
    <row r="63528" spans="6:6">
      <c r="F63528" s="2423"/>
    </row>
    <row r="63529" spans="6:6">
      <c r="F63529" s="2423"/>
    </row>
    <row r="63530" spans="6:6">
      <c r="F63530" s="2423"/>
    </row>
    <row r="63531" spans="6:6">
      <c r="F63531" s="2423"/>
    </row>
    <row r="63532" spans="6:6">
      <c r="F63532" s="2423"/>
    </row>
    <row r="63533" spans="6:6">
      <c r="F63533" s="2423"/>
    </row>
    <row r="63534" spans="6:6">
      <c r="F63534" s="2423"/>
    </row>
    <row r="63535" spans="6:6">
      <c r="F63535" s="2423"/>
    </row>
    <row r="63536" spans="6:6">
      <c r="F63536" s="2423"/>
    </row>
    <row r="63537" spans="6:6">
      <c r="F63537" s="2423"/>
    </row>
    <row r="63538" spans="6:6">
      <c r="F63538" s="2423"/>
    </row>
    <row r="63539" spans="6:6">
      <c r="F63539" s="2423"/>
    </row>
    <row r="63540" spans="6:6">
      <c r="F63540" s="2423"/>
    </row>
    <row r="63541" spans="6:6">
      <c r="F63541" s="2423"/>
    </row>
    <row r="63542" spans="6:6">
      <c r="F63542" s="2423"/>
    </row>
    <row r="63543" spans="6:6">
      <c r="F63543" s="2423"/>
    </row>
    <row r="63544" spans="6:6">
      <c r="F63544" s="2423"/>
    </row>
    <row r="63545" spans="6:6">
      <c r="F63545" s="2423"/>
    </row>
    <row r="63546" spans="6:6">
      <c r="F63546" s="2423"/>
    </row>
    <row r="63547" spans="6:6">
      <c r="F63547" s="2423"/>
    </row>
    <row r="63548" spans="6:6">
      <c r="F63548" s="2423"/>
    </row>
    <row r="63549" spans="6:6">
      <c r="F63549" s="2423"/>
    </row>
    <row r="63550" spans="6:6">
      <c r="F63550" s="2423"/>
    </row>
    <row r="63551" spans="6:6">
      <c r="F63551" s="2423"/>
    </row>
    <row r="63552" spans="6:6">
      <c r="F63552" s="2423"/>
    </row>
    <row r="63553" spans="6:6">
      <c r="F63553" s="2423"/>
    </row>
    <row r="63554" spans="6:6">
      <c r="F63554" s="2423"/>
    </row>
    <row r="63555" spans="6:6">
      <c r="F63555" s="2423"/>
    </row>
    <row r="63556" spans="6:6">
      <c r="F63556" s="2423"/>
    </row>
    <row r="63557" spans="6:6">
      <c r="F63557" s="2423"/>
    </row>
    <row r="63558" spans="6:6">
      <c r="F63558" s="2423"/>
    </row>
    <row r="63559" spans="6:6">
      <c r="F63559" s="2423"/>
    </row>
    <row r="63560" spans="6:6">
      <c r="F63560" s="2423"/>
    </row>
    <row r="63561" spans="6:6">
      <c r="F63561" s="2423"/>
    </row>
    <row r="63562" spans="6:6">
      <c r="F63562" s="2423"/>
    </row>
    <row r="63563" spans="6:6">
      <c r="F63563" s="2423"/>
    </row>
    <row r="63564" spans="6:6">
      <c r="F63564" s="2423"/>
    </row>
    <row r="63565" spans="6:6">
      <c r="F63565" s="2423"/>
    </row>
    <row r="63566" spans="6:6">
      <c r="F63566" s="2423"/>
    </row>
    <row r="63567" spans="6:6">
      <c r="F63567" s="2423"/>
    </row>
    <row r="63568" spans="6:6">
      <c r="F63568" s="2423"/>
    </row>
    <row r="63569" spans="6:6">
      <c r="F63569" s="2423"/>
    </row>
    <row r="63570" spans="6:6">
      <c r="F63570" s="2423"/>
    </row>
    <row r="63571" spans="6:6">
      <c r="F63571" s="2423"/>
    </row>
    <row r="63572" spans="6:6">
      <c r="F63572" s="2423"/>
    </row>
    <row r="63573" spans="6:6">
      <c r="F63573" s="2423"/>
    </row>
    <row r="63574" spans="6:6">
      <c r="F63574" s="2423"/>
    </row>
    <row r="63575" spans="6:6">
      <c r="F63575" s="2423"/>
    </row>
    <row r="63576" spans="6:6">
      <c r="F63576" s="2423"/>
    </row>
    <row r="63577" spans="6:6">
      <c r="F63577" s="2423"/>
    </row>
    <row r="63578" spans="6:6">
      <c r="F63578" s="2423"/>
    </row>
    <row r="63579" spans="6:6">
      <c r="F63579" s="2423"/>
    </row>
    <row r="63580" spans="6:6">
      <c r="F63580" s="2423"/>
    </row>
    <row r="63581" spans="6:6">
      <c r="F63581" s="2423"/>
    </row>
    <row r="63582" spans="6:6">
      <c r="F63582" s="2423"/>
    </row>
    <row r="63583" spans="6:6">
      <c r="F63583" s="2423"/>
    </row>
    <row r="63584" spans="6:6">
      <c r="F63584" s="2423"/>
    </row>
    <row r="63585" spans="6:6">
      <c r="F63585" s="2423"/>
    </row>
    <row r="63586" spans="6:6">
      <c r="F63586" s="2423"/>
    </row>
    <row r="63587" spans="6:6">
      <c r="F63587" s="2423"/>
    </row>
    <row r="63588" spans="6:6">
      <c r="F63588" s="2423"/>
    </row>
    <row r="63589" spans="6:6">
      <c r="F63589" s="2423"/>
    </row>
    <row r="63590" spans="6:6">
      <c r="F63590" s="2423"/>
    </row>
    <row r="63591" spans="6:6">
      <c r="F63591" s="2423"/>
    </row>
    <row r="63592" spans="6:6">
      <c r="F63592" s="2423"/>
    </row>
    <row r="63593" spans="6:6">
      <c r="F63593" s="2423"/>
    </row>
    <row r="63594" spans="6:6">
      <c r="F63594" s="2423"/>
    </row>
    <row r="63595" spans="6:6">
      <c r="F63595" s="2423"/>
    </row>
    <row r="63596" spans="6:6">
      <c r="F63596" s="2423"/>
    </row>
    <row r="63597" spans="6:6">
      <c r="F63597" s="2423"/>
    </row>
    <row r="63598" spans="6:6">
      <c r="F63598" s="2423"/>
    </row>
    <row r="63599" spans="6:6">
      <c r="F63599" s="2423"/>
    </row>
    <row r="63600" spans="6:6">
      <c r="F63600" s="2423"/>
    </row>
    <row r="63601" spans="6:6">
      <c r="F63601" s="2423"/>
    </row>
    <row r="63602" spans="6:6">
      <c r="F63602" s="2423"/>
    </row>
    <row r="63603" spans="6:6">
      <c r="F63603" s="2423"/>
    </row>
    <row r="63604" spans="6:6">
      <c r="F63604" s="2423"/>
    </row>
    <row r="63605" spans="6:6">
      <c r="F63605" s="2423"/>
    </row>
    <row r="63606" spans="6:6">
      <c r="F63606" s="2423"/>
    </row>
    <row r="63607" spans="6:6">
      <c r="F63607" s="2423"/>
    </row>
    <row r="63608" spans="6:6">
      <c r="F63608" s="2423"/>
    </row>
    <row r="63609" spans="6:6">
      <c r="F63609" s="2423"/>
    </row>
    <row r="63610" spans="6:6">
      <c r="F63610" s="2423"/>
    </row>
    <row r="63611" spans="6:6">
      <c r="F63611" s="2423"/>
    </row>
    <row r="63612" spans="6:6">
      <c r="F63612" s="2423"/>
    </row>
    <row r="63613" spans="6:6">
      <c r="F63613" s="2423"/>
    </row>
    <row r="63614" spans="6:6">
      <c r="F63614" s="2423"/>
    </row>
    <row r="63615" spans="6:6">
      <c r="F63615" s="2423"/>
    </row>
    <row r="63616" spans="6:6">
      <c r="F63616" s="2423"/>
    </row>
    <row r="63617" spans="6:6">
      <c r="F63617" s="2423"/>
    </row>
    <row r="63618" spans="6:6">
      <c r="F63618" s="2423"/>
    </row>
    <row r="63619" spans="6:6">
      <c r="F63619" s="2423"/>
    </row>
    <row r="63620" spans="6:6">
      <c r="F63620" s="2423"/>
    </row>
    <row r="63621" spans="6:6">
      <c r="F63621" s="2423"/>
    </row>
    <row r="63622" spans="6:6">
      <c r="F63622" s="2423"/>
    </row>
    <row r="63623" spans="6:6">
      <c r="F63623" s="2423"/>
    </row>
    <row r="63624" spans="6:6">
      <c r="F63624" s="2423"/>
    </row>
    <row r="63625" spans="6:6">
      <c r="F63625" s="2423"/>
    </row>
    <row r="63626" spans="6:6">
      <c r="F63626" s="2423"/>
    </row>
    <row r="63627" spans="6:6">
      <c r="F63627" s="2423"/>
    </row>
    <row r="63628" spans="6:6">
      <c r="F63628" s="2423"/>
    </row>
    <row r="63629" spans="6:6">
      <c r="F63629" s="2423"/>
    </row>
    <row r="63630" spans="6:6">
      <c r="F63630" s="2423"/>
    </row>
    <row r="63631" spans="6:6">
      <c r="F63631" s="2423"/>
    </row>
    <row r="63632" spans="6:6">
      <c r="F63632" s="2423"/>
    </row>
    <row r="63633" spans="6:6">
      <c r="F63633" s="2423"/>
    </row>
    <row r="63634" spans="6:6">
      <c r="F63634" s="2423"/>
    </row>
    <row r="63635" spans="6:6">
      <c r="F63635" s="2423"/>
    </row>
    <row r="63636" spans="6:6">
      <c r="F63636" s="2423"/>
    </row>
    <row r="63637" spans="6:6">
      <c r="F63637" s="2423"/>
    </row>
    <row r="63638" spans="6:6">
      <c r="F63638" s="2423"/>
    </row>
    <row r="63639" spans="6:6">
      <c r="F63639" s="2423"/>
    </row>
    <row r="63640" spans="6:6">
      <c r="F63640" s="2423"/>
    </row>
    <row r="63641" spans="6:6">
      <c r="F63641" s="2423"/>
    </row>
    <row r="63642" spans="6:6">
      <c r="F63642" s="2423"/>
    </row>
    <row r="63643" spans="6:6">
      <c r="F63643" s="2423"/>
    </row>
    <row r="63644" spans="6:6">
      <c r="F63644" s="2423"/>
    </row>
    <row r="63645" spans="6:6">
      <c r="F63645" s="2423"/>
    </row>
    <row r="63646" spans="6:6">
      <c r="F63646" s="2423"/>
    </row>
    <row r="63647" spans="6:6">
      <c r="F63647" s="2423"/>
    </row>
    <row r="63648" spans="6:6">
      <c r="F63648" s="2423"/>
    </row>
    <row r="63649" spans="6:6">
      <c r="F63649" s="2423"/>
    </row>
    <row r="63650" spans="6:6">
      <c r="F63650" s="2423"/>
    </row>
    <row r="63651" spans="6:6">
      <c r="F63651" s="2423"/>
    </row>
    <row r="63652" spans="6:6">
      <c r="F63652" s="2423"/>
    </row>
    <row r="63653" spans="6:6">
      <c r="F63653" s="2423"/>
    </row>
    <row r="63654" spans="6:6">
      <c r="F63654" s="2423"/>
    </row>
    <row r="63655" spans="6:6">
      <c r="F63655" s="2423"/>
    </row>
    <row r="63656" spans="6:6">
      <c r="F63656" s="2423"/>
    </row>
    <row r="63657" spans="6:6">
      <c r="F63657" s="2423"/>
    </row>
    <row r="63658" spans="6:6">
      <c r="F63658" s="2423"/>
    </row>
    <row r="63659" spans="6:6">
      <c r="F63659" s="2423"/>
    </row>
    <row r="63660" spans="6:6">
      <c r="F63660" s="2423"/>
    </row>
    <row r="63661" spans="6:6">
      <c r="F63661" s="2423"/>
    </row>
    <row r="63662" spans="6:6">
      <c r="F63662" s="2423"/>
    </row>
    <row r="63663" spans="6:6">
      <c r="F63663" s="2423"/>
    </row>
    <row r="63664" spans="6:6">
      <c r="F63664" s="2423"/>
    </row>
    <row r="63665" spans="6:6">
      <c r="F63665" s="2423"/>
    </row>
    <row r="63666" spans="6:6">
      <c r="F63666" s="2423"/>
    </row>
    <row r="63667" spans="6:6">
      <c r="F63667" s="2423"/>
    </row>
    <row r="63668" spans="6:6">
      <c r="F63668" s="2423"/>
    </row>
    <row r="63669" spans="6:6">
      <c r="F63669" s="2423"/>
    </row>
    <row r="63670" spans="6:6">
      <c r="F63670" s="2423"/>
    </row>
    <row r="63671" spans="6:6">
      <c r="F63671" s="2423"/>
    </row>
    <row r="63672" spans="6:6">
      <c r="F63672" s="2423"/>
    </row>
    <row r="63673" spans="6:6">
      <c r="F63673" s="2423"/>
    </row>
    <row r="63674" spans="6:6">
      <c r="F63674" s="2423"/>
    </row>
    <row r="63675" spans="6:6">
      <c r="F63675" s="2423"/>
    </row>
    <row r="63676" spans="6:6">
      <c r="F63676" s="2423"/>
    </row>
    <row r="63677" spans="6:6">
      <c r="F63677" s="2423"/>
    </row>
    <row r="63678" spans="6:6">
      <c r="F63678" s="2423"/>
    </row>
    <row r="63679" spans="6:6">
      <c r="F63679" s="2423"/>
    </row>
    <row r="63680" spans="6:6">
      <c r="F63680" s="2423"/>
    </row>
    <row r="63681" spans="6:6">
      <c r="F63681" s="2423"/>
    </row>
    <row r="63682" spans="6:6">
      <c r="F63682" s="2423"/>
    </row>
    <row r="63683" spans="6:6">
      <c r="F63683" s="2423"/>
    </row>
    <row r="63684" spans="6:6">
      <c r="F63684" s="2423"/>
    </row>
    <row r="63685" spans="6:6">
      <c r="F63685" s="2423"/>
    </row>
    <row r="63686" spans="6:6">
      <c r="F63686" s="2423"/>
    </row>
    <row r="63687" spans="6:6">
      <c r="F63687" s="2423"/>
    </row>
    <row r="63688" spans="6:6">
      <c r="F63688" s="2423"/>
    </row>
    <row r="63689" spans="6:6">
      <c r="F63689" s="2423"/>
    </row>
    <row r="63690" spans="6:6">
      <c r="F63690" s="2423"/>
    </row>
    <row r="63691" spans="6:6">
      <c r="F63691" s="2423"/>
    </row>
    <row r="63692" spans="6:6">
      <c r="F63692" s="2423"/>
    </row>
    <row r="63693" spans="6:6">
      <c r="F63693" s="2423"/>
    </row>
    <row r="63694" spans="6:6">
      <c r="F63694" s="2423"/>
    </row>
    <row r="63695" spans="6:6">
      <c r="F63695" s="2423"/>
    </row>
    <row r="63696" spans="6:6">
      <c r="F63696" s="2423"/>
    </row>
    <row r="63697" spans="6:6">
      <c r="F63697" s="2423"/>
    </row>
    <row r="63698" spans="6:6">
      <c r="F63698" s="2423"/>
    </row>
    <row r="63699" spans="6:6">
      <c r="F63699" s="2423"/>
    </row>
    <row r="63700" spans="6:6">
      <c r="F63700" s="2423"/>
    </row>
    <row r="63701" spans="6:6">
      <c r="F63701" s="2423"/>
    </row>
    <row r="63702" spans="6:6">
      <c r="F63702" s="2423"/>
    </row>
    <row r="63703" spans="6:6">
      <c r="F63703" s="2423"/>
    </row>
    <row r="63704" spans="6:6">
      <c r="F63704" s="2423"/>
    </row>
    <row r="63705" spans="6:6">
      <c r="F63705" s="2423"/>
    </row>
    <row r="63706" spans="6:6">
      <c r="F63706" s="2423"/>
    </row>
    <row r="63707" spans="6:6">
      <c r="F63707" s="2423"/>
    </row>
    <row r="63708" spans="6:6">
      <c r="F63708" s="2423"/>
    </row>
    <row r="63709" spans="6:6">
      <c r="F63709" s="2423"/>
    </row>
    <row r="63710" spans="6:6">
      <c r="F63710" s="2423"/>
    </row>
    <row r="63711" spans="6:6">
      <c r="F63711" s="2423"/>
    </row>
    <row r="63712" spans="6:6">
      <c r="F63712" s="2423"/>
    </row>
    <row r="63713" spans="6:6">
      <c r="F63713" s="2423"/>
    </row>
    <row r="63714" spans="6:6">
      <c r="F63714" s="2423"/>
    </row>
    <row r="63715" spans="6:6">
      <c r="F63715" s="2423"/>
    </row>
    <row r="63716" spans="6:6">
      <c r="F63716" s="2423"/>
    </row>
    <row r="63717" spans="6:6">
      <c r="F63717" s="2423"/>
    </row>
    <row r="63718" spans="6:6">
      <c r="F63718" s="2423"/>
    </row>
    <row r="63719" spans="6:6">
      <c r="F63719" s="2423"/>
    </row>
    <row r="63720" spans="6:6">
      <c r="F63720" s="2423"/>
    </row>
    <row r="63721" spans="6:6">
      <c r="F63721" s="2423"/>
    </row>
    <row r="63722" spans="6:6">
      <c r="F63722" s="2423"/>
    </row>
    <row r="63723" spans="6:6">
      <c r="F63723" s="2423"/>
    </row>
    <row r="63724" spans="6:6">
      <c r="F63724" s="2423"/>
    </row>
    <row r="63725" spans="6:6">
      <c r="F63725" s="2423"/>
    </row>
    <row r="63726" spans="6:6">
      <c r="F63726" s="2423"/>
    </row>
    <row r="63727" spans="6:6">
      <c r="F63727" s="2423"/>
    </row>
    <row r="63728" spans="6:6">
      <c r="F63728" s="2423"/>
    </row>
    <row r="63729" spans="6:6">
      <c r="F63729" s="2423"/>
    </row>
    <row r="63730" spans="6:6">
      <c r="F63730" s="2423"/>
    </row>
    <row r="63731" spans="6:6">
      <c r="F63731" s="2423"/>
    </row>
    <row r="63732" spans="6:6">
      <c r="F63732" s="2423"/>
    </row>
    <row r="63733" spans="6:6">
      <c r="F63733" s="2423"/>
    </row>
    <row r="63734" spans="6:6">
      <c r="F63734" s="2423"/>
    </row>
    <row r="63735" spans="6:6">
      <c r="F63735" s="2423"/>
    </row>
    <row r="63736" spans="6:6">
      <c r="F63736" s="2423"/>
    </row>
    <row r="63737" spans="6:6">
      <c r="F63737" s="2423"/>
    </row>
    <row r="63738" spans="6:6">
      <c r="F63738" s="2423"/>
    </row>
    <row r="63739" spans="6:6">
      <c r="F63739" s="2423"/>
    </row>
    <row r="63740" spans="6:6">
      <c r="F63740" s="2423"/>
    </row>
    <row r="63741" spans="6:6">
      <c r="F63741" s="2423"/>
    </row>
    <row r="63742" spans="6:6">
      <c r="F63742" s="2423"/>
    </row>
    <row r="63743" spans="6:6">
      <c r="F63743" s="2423"/>
    </row>
    <row r="63744" spans="6:6">
      <c r="F63744" s="2423"/>
    </row>
    <row r="63745" spans="6:6">
      <c r="F63745" s="2423"/>
    </row>
    <row r="63746" spans="6:6">
      <c r="F63746" s="2423"/>
    </row>
    <row r="63747" spans="6:6">
      <c r="F63747" s="2423"/>
    </row>
    <row r="63748" spans="6:6">
      <c r="F63748" s="2423"/>
    </row>
    <row r="63749" spans="6:6">
      <c r="F63749" s="2423"/>
    </row>
    <row r="63750" spans="6:6">
      <c r="F63750" s="2423"/>
    </row>
    <row r="63751" spans="6:6">
      <c r="F63751" s="2423"/>
    </row>
    <row r="63752" spans="6:6">
      <c r="F63752" s="2423"/>
    </row>
    <row r="63753" spans="6:6">
      <c r="F63753" s="2423"/>
    </row>
    <row r="63754" spans="6:6">
      <c r="F63754" s="2423"/>
    </row>
    <row r="63755" spans="6:6">
      <c r="F63755" s="2423"/>
    </row>
    <row r="63756" spans="6:6">
      <c r="F63756" s="2423"/>
    </row>
    <row r="63757" spans="6:6">
      <c r="F63757" s="2423"/>
    </row>
    <row r="63758" spans="6:6">
      <c r="F63758" s="2423"/>
    </row>
    <row r="63759" spans="6:6">
      <c r="F63759" s="2423"/>
    </row>
    <row r="63760" spans="6:6">
      <c r="F63760" s="2423"/>
    </row>
    <row r="63761" spans="6:6">
      <c r="F63761" s="2423"/>
    </row>
    <row r="63762" spans="6:6">
      <c r="F63762" s="2423"/>
    </row>
    <row r="63763" spans="6:6">
      <c r="F63763" s="2423"/>
    </row>
    <row r="63764" spans="6:6">
      <c r="F63764" s="2423"/>
    </row>
    <row r="63765" spans="6:6">
      <c r="F63765" s="2423"/>
    </row>
    <row r="63766" spans="6:6">
      <c r="F63766" s="2423"/>
    </row>
    <row r="63767" spans="6:6">
      <c r="F63767" s="2423"/>
    </row>
    <row r="63768" spans="6:6">
      <c r="F63768" s="2423"/>
    </row>
    <row r="63769" spans="6:6">
      <c r="F63769" s="2423"/>
    </row>
    <row r="63770" spans="6:6">
      <c r="F63770" s="2423"/>
    </row>
    <row r="63771" spans="6:6">
      <c r="F63771" s="2423"/>
    </row>
    <row r="63772" spans="6:6">
      <c r="F63772" s="2423"/>
    </row>
    <row r="63773" spans="6:6">
      <c r="F63773" s="2423"/>
    </row>
    <row r="63774" spans="6:6">
      <c r="F63774" s="2423"/>
    </row>
    <row r="63775" spans="6:6">
      <c r="F63775" s="2423"/>
    </row>
    <row r="63776" spans="6:6">
      <c r="F63776" s="2423"/>
    </row>
    <row r="63777" spans="6:6">
      <c r="F63777" s="2423"/>
    </row>
    <row r="63778" spans="6:6">
      <c r="F63778" s="2423"/>
    </row>
    <row r="63779" spans="6:6">
      <c r="F63779" s="2423"/>
    </row>
    <row r="63780" spans="6:6">
      <c r="F63780" s="2423"/>
    </row>
    <row r="63781" spans="6:6">
      <c r="F63781" s="2423"/>
    </row>
    <row r="63782" spans="6:6">
      <c r="F63782" s="2423"/>
    </row>
    <row r="63783" spans="6:6">
      <c r="F63783" s="2423"/>
    </row>
    <row r="63784" spans="6:6">
      <c r="F63784" s="2423"/>
    </row>
    <row r="63785" spans="6:6">
      <c r="F63785" s="2423"/>
    </row>
    <row r="63786" spans="6:6">
      <c r="F63786" s="2423"/>
    </row>
    <row r="63787" spans="6:6">
      <c r="F63787" s="2423"/>
    </row>
    <row r="63788" spans="6:6">
      <c r="F63788" s="2423"/>
    </row>
    <row r="63789" spans="6:6">
      <c r="F63789" s="2423"/>
    </row>
    <row r="63790" spans="6:6">
      <c r="F63790" s="2423"/>
    </row>
    <row r="63791" spans="6:6">
      <c r="F63791" s="2423"/>
    </row>
    <row r="63792" spans="6:6">
      <c r="F63792" s="2423"/>
    </row>
    <row r="63793" spans="6:6">
      <c r="F63793" s="2423"/>
    </row>
    <row r="63794" spans="6:6">
      <c r="F63794" s="2423"/>
    </row>
    <row r="63795" spans="6:6">
      <c r="F63795" s="2423"/>
    </row>
    <row r="63796" spans="6:6">
      <c r="F63796" s="2423"/>
    </row>
    <row r="63797" spans="6:6">
      <c r="F63797" s="2423"/>
    </row>
    <row r="63798" spans="6:6">
      <c r="F63798" s="2423"/>
    </row>
    <row r="63799" spans="6:6">
      <c r="F63799" s="2423"/>
    </row>
    <row r="63800" spans="6:6">
      <c r="F63800" s="2423"/>
    </row>
    <row r="63801" spans="6:6">
      <c r="F63801" s="2423"/>
    </row>
    <row r="63802" spans="6:6">
      <c r="F63802" s="2423"/>
    </row>
    <row r="63803" spans="6:6">
      <c r="F63803" s="2423"/>
    </row>
    <row r="63804" spans="6:6">
      <c r="F63804" s="2423"/>
    </row>
    <row r="63805" spans="6:6">
      <c r="F63805" s="2423"/>
    </row>
    <row r="63806" spans="6:6">
      <c r="F63806" s="2423"/>
    </row>
    <row r="63807" spans="6:6">
      <c r="F63807" s="2423"/>
    </row>
    <row r="63808" spans="6:6">
      <c r="F63808" s="2423"/>
    </row>
    <row r="63809" spans="6:6">
      <c r="F63809" s="2423"/>
    </row>
    <row r="63810" spans="6:6">
      <c r="F63810" s="2423"/>
    </row>
    <row r="63811" spans="6:6">
      <c r="F63811" s="2423"/>
    </row>
    <row r="63812" spans="6:6">
      <c r="F63812" s="2423"/>
    </row>
    <row r="63813" spans="6:6">
      <c r="F63813" s="2423"/>
    </row>
    <row r="63814" spans="6:6">
      <c r="F63814" s="2423"/>
    </row>
    <row r="63815" spans="6:6">
      <c r="F63815" s="2423"/>
    </row>
    <row r="63816" spans="6:6">
      <c r="F63816" s="2423"/>
    </row>
    <row r="63817" spans="6:6">
      <c r="F63817" s="2423"/>
    </row>
    <row r="63818" spans="6:6">
      <c r="F63818" s="2423"/>
    </row>
    <row r="63819" spans="6:6">
      <c r="F63819" s="2423"/>
    </row>
    <row r="63820" spans="6:6">
      <c r="F63820" s="2423"/>
    </row>
    <row r="63821" spans="6:6">
      <c r="F63821" s="2423"/>
    </row>
    <row r="63822" spans="6:6">
      <c r="F63822" s="2423"/>
    </row>
    <row r="63823" spans="6:6">
      <c r="F63823" s="2423"/>
    </row>
    <row r="63824" spans="6:6">
      <c r="F63824" s="2423"/>
    </row>
    <row r="63825" spans="6:6">
      <c r="F63825" s="2423"/>
    </row>
    <row r="63826" spans="6:6">
      <c r="F63826" s="2423"/>
    </row>
    <row r="63827" spans="6:6">
      <c r="F63827" s="2423"/>
    </row>
    <row r="63828" spans="6:6">
      <c r="F63828" s="2423"/>
    </row>
    <row r="63829" spans="6:6">
      <c r="F63829" s="2423"/>
    </row>
    <row r="63830" spans="6:6">
      <c r="F63830" s="2423"/>
    </row>
    <row r="63831" spans="6:6">
      <c r="F63831" s="2423"/>
    </row>
    <row r="63832" spans="6:6">
      <c r="F63832" s="2423"/>
    </row>
    <row r="63833" spans="6:6">
      <c r="F63833" s="2423"/>
    </row>
    <row r="63834" spans="6:6">
      <c r="F63834" s="2423"/>
    </row>
    <row r="63835" spans="6:6">
      <c r="F63835" s="2423"/>
    </row>
    <row r="63836" spans="6:6">
      <c r="F63836" s="2423"/>
    </row>
    <row r="63837" spans="6:6">
      <c r="F63837" s="2423"/>
    </row>
    <row r="63838" spans="6:6">
      <c r="F63838" s="2423"/>
    </row>
    <row r="63839" spans="6:6">
      <c r="F63839" s="2423"/>
    </row>
    <row r="63840" spans="6:6">
      <c r="F63840" s="2423"/>
    </row>
    <row r="63841" spans="6:6">
      <c r="F63841" s="2423"/>
    </row>
    <row r="63842" spans="6:6">
      <c r="F63842" s="2423"/>
    </row>
    <row r="63843" spans="6:6">
      <c r="F63843" s="2423"/>
    </row>
    <row r="63844" spans="6:6">
      <c r="F63844" s="2423"/>
    </row>
    <row r="63845" spans="6:6">
      <c r="F63845" s="2423"/>
    </row>
    <row r="63846" spans="6:6">
      <c r="F63846" s="2423"/>
    </row>
    <row r="63847" spans="6:6">
      <c r="F63847" s="2423"/>
    </row>
    <row r="63848" spans="6:6">
      <c r="F63848" s="2423"/>
    </row>
    <row r="63849" spans="6:6">
      <c r="F63849" s="2423"/>
    </row>
    <row r="63850" spans="6:6">
      <c r="F63850" s="2423"/>
    </row>
    <row r="63851" spans="6:6">
      <c r="F63851" s="2423"/>
    </row>
    <row r="63852" spans="6:6">
      <c r="F63852" s="2423"/>
    </row>
    <row r="63853" spans="6:6">
      <c r="F63853" s="2423"/>
    </row>
    <row r="63854" spans="6:6">
      <c r="F63854" s="2423"/>
    </row>
    <row r="63855" spans="6:6">
      <c r="F63855" s="2423"/>
    </row>
    <row r="63856" spans="6:6">
      <c r="F63856" s="2423"/>
    </row>
    <row r="63857" spans="6:6">
      <c r="F63857" s="2423"/>
    </row>
    <row r="63858" spans="6:6">
      <c r="F63858" s="2423"/>
    </row>
    <row r="63859" spans="6:6">
      <c r="F63859" s="2423"/>
    </row>
    <row r="63860" spans="6:6">
      <c r="F63860" s="2423"/>
    </row>
    <row r="63861" spans="6:6">
      <c r="F63861" s="2423"/>
    </row>
    <row r="63862" spans="6:6">
      <c r="F63862" s="2423"/>
    </row>
    <row r="63863" spans="6:6">
      <c r="F63863" s="2423"/>
    </row>
    <row r="63864" spans="6:6">
      <c r="F63864" s="2423"/>
    </row>
    <row r="63865" spans="6:6">
      <c r="F63865" s="2423"/>
    </row>
    <row r="63866" spans="6:6">
      <c r="F63866" s="2423"/>
    </row>
    <row r="63867" spans="6:6">
      <c r="F63867" s="2423"/>
    </row>
    <row r="63868" spans="6:6">
      <c r="F63868" s="2423"/>
    </row>
    <row r="63869" spans="6:6">
      <c r="F63869" s="2423"/>
    </row>
    <row r="63870" spans="6:6">
      <c r="F63870" s="2423"/>
    </row>
    <row r="63871" spans="6:6">
      <c r="F63871" s="2423"/>
    </row>
    <row r="63872" spans="6:6">
      <c r="F63872" s="2423"/>
    </row>
    <row r="63873" spans="6:6">
      <c r="F63873" s="2423"/>
    </row>
    <row r="63874" spans="6:6">
      <c r="F63874" s="2423"/>
    </row>
    <row r="63875" spans="6:6">
      <c r="F63875" s="2423"/>
    </row>
    <row r="63876" spans="6:6">
      <c r="F63876" s="2423"/>
    </row>
    <row r="63877" spans="6:6">
      <c r="F63877" s="2423"/>
    </row>
    <row r="63878" spans="6:6">
      <c r="F63878" s="2423"/>
    </row>
    <row r="63879" spans="6:6">
      <c r="F63879" s="2423"/>
    </row>
    <row r="63880" spans="6:6">
      <c r="F63880" s="2423"/>
    </row>
    <row r="63881" spans="6:6">
      <c r="F63881" s="2423"/>
    </row>
    <row r="63882" spans="6:6">
      <c r="F63882" s="2423"/>
    </row>
    <row r="63883" spans="6:6">
      <c r="F63883" s="2423"/>
    </row>
    <row r="63884" spans="6:6">
      <c r="F63884" s="2423"/>
    </row>
    <row r="63885" spans="6:6">
      <c r="F63885" s="2423"/>
    </row>
    <row r="63886" spans="6:6">
      <c r="F63886" s="2423"/>
    </row>
    <row r="63887" spans="6:6">
      <c r="F63887" s="2423"/>
    </row>
    <row r="63888" spans="6:6">
      <c r="F63888" s="2423"/>
    </row>
    <row r="63889" spans="6:6">
      <c r="F63889" s="2423"/>
    </row>
    <row r="63890" spans="6:6">
      <c r="F63890" s="2423"/>
    </row>
    <row r="63891" spans="6:6">
      <c r="F63891" s="2423"/>
    </row>
    <row r="63892" spans="6:6">
      <c r="F63892" s="2423"/>
    </row>
    <row r="63893" spans="6:6">
      <c r="F63893" s="2423"/>
    </row>
    <row r="63894" spans="6:6">
      <c r="F63894" s="2423"/>
    </row>
    <row r="63895" spans="6:6">
      <c r="F63895" s="2423"/>
    </row>
    <row r="63896" spans="6:6">
      <c r="F63896" s="2423"/>
    </row>
    <row r="63897" spans="6:6">
      <c r="F63897" s="2423"/>
    </row>
    <row r="63898" spans="6:6">
      <c r="F63898" s="2423"/>
    </row>
    <row r="63899" spans="6:6">
      <c r="F63899" s="2423"/>
    </row>
    <row r="63900" spans="6:6">
      <c r="F63900" s="2423"/>
    </row>
    <row r="63901" spans="6:6">
      <c r="F63901" s="2423"/>
    </row>
    <row r="63902" spans="6:6">
      <c r="F63902" s="2423"/>
    </row>
    <row r="63903" spans="6:6">
      <c r="F63903" s="2423"/>
    </row>
    <row r="63904" spans="6:6">
      <c r="F63904" s="2423"/>
    </row>
    <row r="63905" spans="6:6">
      <c r="F63905" s="2423"/>
    </row>
    <row r="63906" spans="6:6">
      <c r="F63906" s="2423"/>
    </row>
    <row r="63907" spans="6:6">
      <c r="F63907" s="2423"/>
    </row>
    <row r="63908" spans="6:6">
      <c r="F63908" s="2423"/>
    </row>
    <row r="63909" spans="6:6">
      <c r="F63909" s="2423"/>
    </row>
    <row r="63910" spans="6:6">
      <c r="F63910" s="2423"/>
    </row>
    <row r="63911" spans="6:6">
      <c r="F63911" s="2423"/>
    </row>
    <row r="63912" spans="6:6">
      <c r="F63912" s="2423"/>
    </row>
    <row r="63913" spans="6:6">
      <c r="F63913" s="2423"/>
    </row>
    <row r="63914" spans="6:6">
      <c r="F63914" s="2423"/>
    </row>
    <row r="63915" spans="6:6">
      <c r="F63915" s="2423"/>
    </row>
    <row r="63916" spans="6:6">
      <c r="F63916" s="2423"/>
    </row>
    <row r="63917" spans="6:6">
      <c r="F63917" s="2423"/>
    </row>
    <row r="63918" spans="6:6">
      <c r="F63918" s="2423"/>
    </row>
    <row r="63919" spans="6:6">
      <c r="F63919" s="2423"/>
    </row>
    <row r="63920" spans="6:6">
      <c r="F63920" s="2423"/>
    </row>
    <row r="63921" spans="6:6">
      <c r="F63921" s="2423"/>
    </row>
    <row r="63922" spans="6:6">
      <c r="F63922" s="2423"/>
    </row>
    <row r="63923" spans="6:6">
      <c r="F63923" s="2423"/>
    </row>
    <row r="63924" spans="6:6">
      <c r="F63924" s="2423"/>
    </row>
    <row r="63925" spans="6:6">
      <c r="F63925" s="2423"/>
    </row>
    <row r="63926" spans="6:6">
      <c r="F63926" s="2423"/>
    </row>
    <row r="63927" spans="6:6">
      <c r="F63927" s="2423"/>
    </row>
    <row r="63928" spans="6:6">
      <c r="F63928" s="2423"/>
    </row>
    <row r="63929" spans="6:6">
      <c r="F63929" s="2423"/>
    </row>
    <row r="63930" spans="6:6">
      <c r="F63930" s="2423"/>
    </row>
    <row r="63931" spans="6:6">
      <c r="F63931" s="2423"/>
    </row>
    <row r="63932" spans="6:6">
      <c r="F63932" s="2423"/>
    </row>
    <row r="63933" spans="6:6">
      <c r="F63933" s="2423"/>
    </row>
    <row r="63934" spans="6:6">
      <c r="F63934" s="2423"/>
    </row>
    <row r="63935" spans="6:6">
      <c r="F63935" s="2423"/>
    </row>
    <row r="63936" spans="6:6">
      <c r="F63936" s="2423"/>
    </row>
    <row r="63937" spans="6:6">
      <c r="F63937" s="2423"/>
    </row>
    <row r="63938" spans="6:6">
      <c r="F63938" s="2423"/>
    </row>
    <row r="63939" spans="6:6">
      <c r="F63939" s="2423"/>
    </row>
    <row r="63940" spans="6:6">
      <c r="F63940" s="2423"/>
    </row>
    <row r="63941" spans="6:6">
      <c r="F63941" s="2423"/>
    </row>
    <row r="63942" spans="6:6">
      <c r="F63942" s="2423"/>
    </row>
    <row r="63943" spans="6:6">
      <c r="F63943" s="2423"/>
    </row>
    <row r="63944" spans="6:6">
      <c r="F63944" s="2423"/>
    </row>
    <row r="63945" spans="6:6">
      <c r="F63945" s="2423"/>
    </row>
    <row r="63946" spans="6:6">
      <c r="F63946" s="2423"/>
    </row>
    <row r="63947" spans="6:6">
      <c r="F63947" s="2423"/>
    </row>
    <row r="63948" spans="6:6">
      <c r="F63948" s="2423"/>
    </row>
    <row r="63949" spans="6:6">
      <c r="F63949" s="2423"/>
    </row>
    <row r="63950" spans="6:6">
      <c r="F63950" s="2423"/>
    </row>
    <row r="63951" spans="6:6">
      <c r="F63951" s="2423"/>
    </row>
    <row r="63952" spans="6:6">
      <c r="F63952" s="2423"/>
    </row>
    <row r="63953" spans="6:6">
      <c r="F63953" s="2423"/>
    </row>
    <row r="63954" spans="6:6">
      <c r="F63954" s="2423"/>
    </row>
    <row r="63955" spans="6:6">
      <c r="F63955" s="2423"/>
    </row>
    <row r="63956" spans="6:6">
      <c r="F63956" s="2423"/>
    </row>
    <row r="63957" spans="6:6">
      <c r="F63957" s="2423"/>
    </row>
    <row r="63958" spans="6:6">
      <c r="F63958" s="2423"/>
    </row>
    <row r="63959" spans="6:6">
      <c r="F63959" s="2423"/>
    </row>
    <row r="63960" spans="6:6">
      <c r="F63960" s="2423"/>
    </row>
    <row r="63961" spans="6:6">
      <c r="F63961" s="2423"/>
    </row>
    <row r="63962" spans="6:6">
      <c r="F63962" s="2423"/>
    </row>
    <row r="63963" spans="6:6">
      <c r="F63963" s="2423"/>
    </row>
    <row r="63964" spans="6:6">
      <c r="F63964" s="2423"/>
    </row>
    <row r="63965" spans="6:6">
      <c r="F63965" s="2423"/>
    </row>
    <row r="63966" spans="6:6">
      <c r="F63966" s="2423"/>
    </row>
    <row r="63967" spans="6:6">
      <c r="F63967" s="2423"/>
    </row>
    <row r="63968" spans="6:6">
      <c r="F63968" s="2423"/>
    </row>
    <row r="63969" spans="6:6">
      <c r="F63969" s="2423"/>
    </row>
    <row r="63970" spans="6:6">
      <c r="F63970" s="2423"/>
    </row>
    <row r="63971" spans="6:6">
      <c r="F63971" s="2423"/>
    </row>
    <row r="63972" spans="6:6">
      <c r="F63972" s="2423"/>
    </row>
    <row r="63973" spans="6:6">
      <c r="F63973" s="2423"/>
    </row>
    <row r="63974" spans="6:6">
      <c r="F63974" s="2423"/>
    </row>
    <row r="63975" spans="6:6">
      <c r="F63975" s="2423"/>
    </row>
    <row r="63976" spans="6:6">
      <c r="F63976" s="2423"/>
    </row>
    <row r="63977" spans="6:6">
      <c r="F63977" s="2423"/>
    </row>
    <row r="63978" spans="6:6">
      <c r="F63978" s="2423"/>
    </row>
    <row r="63979" spans="6:6">
      <c r="F63979" s="2423"/>
    </row>
    <row r="63980" spans="6:6">
      <c r="F63980" s="2423"/>
    </row>
    <row r="63981" spans="6:6">
      <c r="F63981" s="2423"/>
    </row>
    <row r="63982" spans="6:6">
      <c r="F63982" s="2423"/>
    </row>
    <row r="63983" spans="6:6">
      <c r="F63983" s="2423"/>
    </row>
    <row r="63984" spans="6:6">
      <c r="F63984" s="2423"/>
    </row>
    <row r="63985" spans="6:6">
      <c r="F63985" s="2423"/>
    </row>
    <row r="63986" spans="6:6">
      <c r="F63986" s="2423"/>
    </row>
    <row r="63987" spans="6:6">
      <c r="F63987" s="2423"/>
    </row>
    <row r="63988" spans="6:6">
      <c r="F63988" s="2423"/>
    </row>
    <row r="63989" spans="6:6">
      <c r="F63989" s="2423"/>
    </row>
    <row r="63990" spans="6:6">
      <c r="F63990" s="2423"/>
    </row>
    <row r="63991" spans="6:6">
      <c r="F63991" s="2423"/>
    </row>
    <row r="63992" spans="6:6">
      <c r="F63992" s="2423"/>
    </row>
    <row r="63993" spans="6:6">
      <c r="F63993" s="2423"/>
    </row>
    <row r="63994" spans="6:6">
      <c r="F63994" s="2423"/>
    </row>
    <row r="63995" spans="6:6">
      <c r="F63995" s="2423"/>
    </row>
    <row r="63996" spans="6:6">
      <c r="F63996" s="2423"/>
    </row>
    <row r="63997" spans="6:6">
      <c r="F63997" s="2423"/>
    </row>
    <row r="63998" spans="6:6">
      <c r="F63998" s="2423"/>
    </row>
    <row r="63999" spans="6:6">
      <c r="F63999" s="2423"/>
    </row>
    <row r="64000" spans="6:6">
      <c r="F64000" s="2423"/>
    </row>
    <row r="64001" spans="6:6">
      <c r="F64001" s="2423"/>
    </row>
    <row r="64002" spans="6:6">
      <c r="F64002" s="2423"/>
    </row>
    <row r="64003" spans="6:6">
      <c r="F64003" s="2423"/>
    </row>
    <row r="64004" spans="6:6">
      <c r="F64004" s="2423"/>
    </row>
    <row r="64005" spans="6:6">
      <c r="F64005" s="2423"/>
    </row>
    <row r="64006" spans="6:6">
      <c r="F64006" s="2423"/>
    </row>
    <row r="64007" spans="6:6">
      <c r="F64007" s="2423"/>
    </row>
    <row r="64008" spans="6:6">
      <c r="F64008" s="2423"/>
    </row>
    <row r="64009" spans="6:6">
      <c r="F64009" s="2423"/>
    </row>
    <row r="64010" spans="6:6">
      <c r="F64010" s="2423"/>
    </row>
    <row r="64011" spans="6:6">
      <c r="F64011" s="2423"/>
    </row>
    <row r="64012" spans="6:6">
      <c r="F64012" s="2423"/>
    </row>
    <row r="64013" spans="6:6">
      <c r="F64013" s="2423"/>
    </row>
    <row r="64014" spans="6:6">
      <c r="F64014" s="2423"/>
    </row>
    <row r="64015" spans="6:6">
      <c r="F64015" s="2423"/>
    </row>
    <row r="64016" spans="6:6">
      <c r="F64016" s="2423"/>
    </row>
    <row r="64017" spans="6:6">
      <c r="F64017" s="2423"/>
    </row>
    <row r="64018" spans="6:6">
      <c r="F64018" s="2423"/>
    </row>
    <row r="64019" spans="6:6">
      <c r="F64019" s="2423"/>
    </row>
    <row r="64020" spans="6:6">
      <c r="F64020" s="2423"/>
    </row>
    <row r="64021" spans="6:6">
      <c r="F64021" s="2423"/>
    </row>
    <row r="64022" spans="6:6">
      <c r="F64022" s="2423"/>
    </row>
    <row r="64023" spans="6:6">
      <c r="F64023" s="2423"/>
    </row>
    <row r="64024" spans="6:6">
      <c r="F64024" s="2423"/>
    </row>
    <row r="64025" spans="6:6">
      <c r="F64025" s="2423"/>
    </row>
    <row r="64026" spans="6:6">
      <c r="F64026" s="2423"/>
    </row>
    <row r="64027" spans="6:6">
      <c r="F64027" s="2423"/>
    </row>
    <row r="64028" spans="6:6">
      <c r="F64028" s="2423"/>
    </row>
    <row r="64029" spans="6:6">
      <c r="F64029" s="2423"/>
    </row>
    <row r="64030" spans="6:6">
      <c r="F64030" s="2423"/>
    </row>
    <row r="64031" spans="6:6">
      <c r="F64031" s="2423"/>
    </row>
    <row r="64032" spans="6:6">
      <c r="F64032" s="2423"/>
    </row>
    <row r="64033" spans="6:6">
      <c r="F64033" s="2423"/>
    </row>
    <row r="64034" spans="6:6">
      <c r="F64034" s="2423"/>
    </row>
    <row r="64035" spans="6:6">
      <c r="F64035" s="2423"/>
    </row>
    <row r="64036" spans="6:6">
      <c r="F64036" s="2423"/>
    </row>
    <row r="64037" spans="6:6">
      <c r="F64037" s="2423"/>
    </row>
    <row r="64038" spans="6:6">
      <c r="F64038" s="2423"/>
    </row>
    <row r="64039" spans="6:6">
      <c r="F64039" s="2423"/>
    </row>
    <row r="64040" spans="6:6">
      <c r="F64040" s="2423"/>
    </row>
    <row r="64041" spans="6:6">
      <c r="F64041" s="2423"/>
    </row>
    <row r="64042" spans="6:6">
      <c r="F64042" s="2423"/>
    </row>
    <row r="64043" spans="6:6">
      <c r="F64043" s="2423"/>
    </row>
    <row r="64044" spans="6:6">
      <c r="F64044" s="2423"/>
    </row>
    <row r="64045" spans="6:6">
      <c r="F64045" s="2423"/>
    </row>
    <row r="64046" spans="6:6">
      <c r="F64046" s="2423"/>
    </row>
    <row r="64047" spans="6:6">
      <c r="F64047" s="2423"/>
    </row>
    <row r="64048" spans="6:6">
      <c r="F64048" s="2423"/>
    </row>
    <row r="64049" spans="6:6">
      <c r="F64049" s="2423"/>
    </row>
    <row r="64050" spans="6:6">
      <c r="F64050" s="2423"/>
    </row>
    <row r="64051" spans="6:6">
      <c r="F64051" s="2423"/>
    </row>
    <row r="64052" spans="6:6">
      <c r="F64052" s="2423"/>
    </row>
    <row r="64053" spans="6:6">
      <c r="F64053" s="2423"/>
    </row>
    <row r="64054" spans="6:6">
      <c r="F64054" s="2423"/>
    </row>
    <row r="64055" spans="6:6">
      <c r="F64055" s="2423"/>
    </row>
    <row r="64056" spans="6:6">
      <c r="F64056" s="2423"/>
    </row>
    <row r="64057" spans="6:6">
      <c r="F64057" s="2423"/>
    </row>
    <row r="64058" spans="6:6">
      <c r="F64058" s="2423"/>
    </row>
    <row r="64059" spans="6:6">
      <c r="F64059" s="2423"/>
    </row>
    <row r="64060" spans="6:6">
      <c r="F64060" s="2423"/>
    </row>
    <row r="64061" spans="6:6">
      <c r="F64061" s="2423"/>
    </row>
    <row r="64062" spans="6:6">
      <c r="F64062" s="2423"/>
    </row>
    <row r="64063" spans="6:6">
      <c r="F64063" s="2423"/>
    </row>
    <row r="64064" spans="6:6">
      <c r="F64064" s="2423"/>
    </row>
    <row r="64065" spans="6:6">
      <c r="F64065" s="2423"/>
    </row>
    <row r="64066" spans="6:6">
      <c r="F64066" s="2423"/>
    </row>
    <row r="64067" spans="6:6">
      <c r="F64067" s="2423"/>
    </row>
    <row r="64068" spans="6:6">
      <c r="F64068" s="2423"/>
    </row>
    <row r="64069" spans="6:6">
      <c r="F64069" s="2423"/>
    </row>
    <row r="64070" spans="6:6">
      <c r="F64070" s="2423"/>
    </row>
    <row r="64071" spans="6:6">
      <c r="F64071" s="2423"/>
    </row>
    <row r="64072" spans="6:6">
      <c r="F64072" s="2423"/>
    </row>
    <row r="64073" spans="6:6">
      <c r="F64073" s="2423"/>
    </row>
    <row r="64074" spans="6:6">
      <c r="F64074" s="2423"/>
    </row>
    <row r="64075" spans="6:6">
      <c r="F64075" s="2423"/>
    </row>
    <row r="64076" spans="6:6">
      <c r="F64076" s="2423"/>
    </row>
    <row r="64077" spans="6:6">
      <c r="F64077" s="2423"/>
    </row>
    <row r="64078" spans="6:6">
      <c r="F64078" s="2423"/>
    </row>
    <row r="64079" spans="6:6">
      <c r="F64079" s="2423"/>
    </row>
    <row r="64080" spans="6:6">
      <c r="F64080" s="2423"/>
    </row>
    <row r="64081" spans="6:6">
      <c r="F64081" s="2423"/>
    </row>
    <row r="64082" spans="6:6">
      <c r="F64082" s="2423"/>
    </row>
    <row r="64083" spans="6:6">
      <c r="F64083" s="2423"/>
    </row>
    <row r="64084" spans="6:6">
      <c r="F64084" s="2423"/>
    </row>
    <row r="64085" spans="6:6">
      <c r="F64085" s="2423"/>
    </row>
    <row r="64086" spans="6:6">
      <c r="F64086" s="2423"/>
    </row>
    <row r="64087" spans="6:6">
      <c r="F64087" s="2423"/>
    </row>
    <row r="64088" spans="6:6">
      <c r="F64088" s="2423"/>
    </row>
    <row r="64089" spans="6:6">
      <c r="F64089" s="2423"/>
    </row>
    <row r="64090" spans="6:6">
      <c r="F64090" s="2423"/>
    </row>
    <row r="64091" spans="6:6">
      <c r="F64091" s="2423"/>
    </row>
    <row r="64092" spans="6:6">
      <c r="F64092" s="2423"/>
    </row>
    <row r="64093" spans="6:6">
      <c r="F64093" s="2423"/>
    </row>
    <row r="64094" spans="6:6">
      <c r="F64094" s="2423"/>
    </row>
    <row r="64095" spans="6:6">
      <c r="F64095" s="2423"/>
    </row>
    <row r="64096" spans="6:6">
      <c r="F64096" s="2423"/>
    </row>
    <row r="64097" spans="6:6">
      <c r="F64097" s="2423"/>
    </row>
    <row r="64098" spans="6:6">
      <c r="F64098" s="2423"/>
    </row>
    <row r="64099" spans="6:6">
      <c r="F64099" s="2423"/>
    </row>
    <row r="64100" spans="6:6">
      <c r="F64100" s="2423"/>
    </row>
    <row r="64101" spans="6:6">
      <c r="F64101" s="2423"/>
    </row>
    <row r="64102" spans="6:6">
      <c r="F64102" s="2423"/>
    </row>
    <row r="64103" spans="6:6">
      <c r="F64103" s="2423"/>
    </row>
    <row r="64104" spans="6:6">
      <c r="F64104" s="2423"/>
    </row>
    <row r="64105" spans="6:6">
      <c r="F64105" s="2423"/>
    </row>
    <row r="64106" spans="6:6">
      <c r="F64106" s="2423"/>
    </row>
    <row r="64107" spans="6:6">
      <c r="F64107" s="2423"/>
    </row>
    <row r="64108" spans="6:6">
      <c r="F64108" s="2423"/>
    </row>
    <row r="64109" spans="6:6">
      <c r="F64109" s="2423"/>
    </row>
    <row r="64110" spans="6:6">
      <c r="F64110" s="2423"/>
    </row>
    <row r="64111" spans="6:6">
      <c r="F64111" s="2423"/>
    </row>
    <row r="64112" spans="6:6">
      <c r="F64112" s="2423"/>
    </row>
    <row r="64113" spans="6:6">
      <c r="F64113" s="2423"/>
    </row>
    <row r="64114" spans="6:6">
      <c r="F64114" s="2423"/>
    </row>
    <row r="64115" spans="6:6">
      <c r="F64115" s="2423"/>
    </row>
    <row r="64116" spans="6:6">
      <c r="F64116" s="2423"/>
    </row>
    <row r="64117" spans="6:6">
      <c r="F64117" s="2423"/>
    </row>
    <row r="64118" spans="6:6">
      <c r="F64118" s="2423"/>
    </row>
    <row r="64119" spans="6:6">
      <c r="F64119" s="2423"/>
    </row>
    <row r="64120" spans="6:6">
      <c r="F64120" s="2423"/>
    </row>
    <row r="64121" spans="6:6">
      <c r="F64121" s="2423"/>
    </row>
    <row r="64122" spans="6:6">
      <c r="F64122" s="2423"/>
    </row>
    <row r="64123" spans="6:6">
      <c r="F64123" s="2423"/>
    </row>
    <row r="64124" spans="6:6">
      <c r="F64124" s="2423"/>
    </row>
    <row r="64125" spans="6:6">
      <c r="F64125" s="2423"/>
    </row>
    <row r="64126" spans="6:6">
      <c r="F64126" s="2423"/>
    </row>
    <row r="64127" spans="6:6">
      <c r="F64127" s="2423"/>
    </row>
    <row r="64128" spans="6:6">
      <c r="F64128" s="2423"/>
    </row>
    <row r="64129" spans="6:6">
      <c r="F64129" s="2423"/>
    </row>
    <row r="64130" spans="6:6">
      <c r="F64130" s="2423"/>
    </row>
    <row r="64131" spans="6:6">
      <c r="F64131" s="2423"/>
    </row>
    <row r="64132" spans="6:6">
      <c r="F64132" s="2423"/>
    </row>
    <row r="64133" spans="6:6">
      <c r="F64133" s="2423"/>
    </row>
    <row r="64134" spans="6:6">
      <c r="F64134" s="2423"/>
    </row>
    <row r="64135" spans="6:6">
      <c r="F64135" s="2423"/>
    </row>
    <row r="64136" spans="6:6">
      <c r="F64136" s="2423"/>
    </row>
    <row r="64137" spans="6:6">
      <c r="F64137" s="2423"/>
    </row>
    <row r="64138" spans="6:6">
      <c r="F64138" s="2423"/>
    </row>
    <row r="64139" spans="6:6">
      <c r="F64139" s="2423"/>
    </row>
    <row r="64140" spans="6:6">
      <c r="F64140" s="2423"/>
    </row>
    <row r="64141" spans="6:6">
      <c r="F64141" s="2423"/>
    </row>
    <row r="64142" spans="6:6">
      <c r="F64142" s="2423"/>
    </row>
    <row r="64143" spans="6:6">
      <c r="F64143" s="2423"/>
    </row>
    <row r="64144" spans="6:6">
      <c r="F64144" s="2423"/>
    </row>
    <row r="64145" spans="6:6">
      <c r="F64145" s="2423"/>
    </row>
    <row r="64146" spans="6:6">
      <c r="F64146" s="2423"/>
    </row>
    <row r="64147" spans="6:6">
      <c r="F64147" s="2423"/>
    </row>
    <row r="64148" spans="6:6">
      <c r="F64148" s="2423"/>
    </row>
    <row r="64149" spans="6:6">
      <c r="F64149" s="2423"/>
    </row>
    <row r="64150" spans="6:6">
      <c r="F64150" s="2423"/>
    </row>
    <row r="64151" spans="6:6">
      <c r="F64151" s="2423"/>
    </row>
    <row r="64152" spans="6:6">
      <c r="F64152" s="2423"/>
    </row>
    <row r="64153" spans="6:6">
      <c r="F64153" s="2423"/>
    </row>
    <row r="64154" spans="6:6">
      <c r="F64154" s="2423"/>
    </row>
    <row r="64155" spans="6:6">
      <c r="F64155" s="2423"/>
    </row>
    <row r="64156" spans="6:6">
      <c r="F64156" s="2423"/>
    </row>
    <row r="64157" spans="6:6">
      <c r="F64157" s="2423"/>
    </row>
    <row r="64158" spans="6:6">
      <c r="F64158" s="2423"/>
    </row>
    <row r="64159" spans="6:6">
      <c r="F64159" s="2423"/>
    </row>
    <row r="64160" spans="6:6">
      <c r="F64160" s="2423"/>
    </row>
    <row r="64161" spans="6:6">
      <c r="F64161" s="2423"/>
    </row>
    <row r="64162" spans="6:6">
      <c r="F64162" s="2423"/>
    </row>
    <row r="64163" spans="6:6">
      <c r="F64163" s="2423"/>
    </row>
    <row r="64164" spans="6:6">
      <c r="F64164" s="2423"/>
    </row>
    <row r="64165" spans="6:6">
      <c r="F64165" s="2423"/>
    </row>
    <row r="64166" spans="6:6">
      <c r="F64166" s="2423"/>
    </row>
    <row r="64167" spans="6:6">
      <c r="F64167" s="2423"/>
    </row>
    <row r="64168" spans="6:6">
      <c r="F64168" s="2423"/>
    </row>
    <row r="64169" spans="6:6">
      <c r="F64169" s="2423"/>
    </row>
    <row r="64170" spans="6:6">
      <c r="F64170" s="2423"/>
    </row>
    <row r="64171" spans="6:6">
      <c r="F64171" s="2423"/>
    </row>
    <row r="64172" spans="6:6">
      <c r="F64172" s="2423"/>
    </row>
    <row r="64173" spans="6:6">
      <c r="F64173" s="2423"/>
    </row>
    <row r="64174" spans="6:6">
      <c r="F64174" s="2423"/>
    </row>
    <row r="64175" spans="6:6">
      <c r="F64175" s="2423"/>
    </row>
    <row r="64176" spans="6:6">
      <c r="F64176" s="2423"/>
    </row>
    <row r="64177" spans="6:6">
      <c r="F64177" s="2423"/>
    </row>
    <row r="64178" spans="6:6">
      <c r="F64178" s="2423"/>
    </row>
    <row r="64179" spans="6:6">
      <c r="F64179" s="2423"/>
    </row>
    <row r="64180" spans="6:6">
      <c r="F64180" s="2423"/>
    </row>
    <row r="64181" spans="6:6">
      <c r="F64181" s="2423"/>
    </row>
    <row r="64182" spans="6:6">
      <c r="F64182" s="2423"/>
    </row>
    <row r="64183" spans="6:6">
      <c r="F64183" s="2423"/>
    </row>
    <row r="64184" spans="6:6">
      <c r="F64184" s="2423"/>
    </row>
    <row r="64185" spans="6:6">
      <c r="F64185" s="2423"/>
    </row>
    <row r="64186" spans="6:6">
      <c r="F64186" s="2423"/>
    </row>
    <row r="64187" spans="6:6">
      <c r="F64187" s="2423"/>
    </row>
    <row r="64188" spans="6:6">
      <c r="F64188" s="2423"/>
    </row>
    <row r="64189" spans="6:6">
      <c r="F64189" s="2423"/>
    </row>
    <row r="64190" spans="6:6">
      <c r="F64190" s="2423"/>
    </row>
    <row r="64191" spans="6:6">
      <c r="F64191" s="2423"/>
    </row>
    <row r="64192" spans="6:6">
      <c r="F64192" s="2423"/>
    </row>
    <row r="64193" spans="6:6">
      <c r="F64193" s="2423"/>
    </row>
    <row r="64194" spans="6:6">
      <c r="F64194" s="2423"/>
    </row>
    <row r="64195" spans="6:6">
      <c r="F64195" s="2423"/>
    </row>
    <row r="64196" spans="6:6">
      <c r="F64196" s="2423"/>
    </row>
    <row r="64197" spans="6:6">
      <c r="F64197" s="2423"/>
    </row>
    <row r="64198" spans="6:6">
      <c r="F64198" s="2423"/>
    </row>
    <row r="64199" spans="6:6">
      <c r="F64199" s="2423"/>
    </row>
    <row r="64200" spans="6:6">
      <c r="F64200" s="2423"/>
    </row>
    <row r="64201" spans="6:6">
      <c r="F64201" s="2423"/>
    </row>
    <row r="64202" spans="6:6">
      <c r="F64202" s="2423"/>
    </row>
    <row r="64203" spans="6:6">
      <c r="F64203" s="2423"/>
    </row>
    <row r="64204" spans="6:6">
      <c r="F64204" s="2423"/>
    </row>
    <row r="64205" spans="6:6">
      <c r="F64205" s="2423"/>
    </row>
    <row r="64206" spans="6:6">
      <c r="F64206" s="2423"/>
    </row>
    <row r="64207" spans="6:6">
      <c r="F64207" s="2423"/>
    </row>
    <row r="64208" spans="6:6">
      <c r="F64208" s="2423"/>
    </row>
    <row r="64209" spans="6:6">
      <c r="F64209" s="2423"/>
    </row>
    <row r="64210" spans="6:6">
      <c r="F64210" s="2423"/>
    </row>
    <row r="64211" spans="6:6">
      <c r="F64211" s="2423"/>
    </row>
    <row r="64212" spans="6:6">
      <c r="F64212" s="2423"/>
    </row>
    <row r="64213" spans="6:6">
      <c r="F64213" s="2423"/>
    </row>
    <row r="64214" spans="6:6">
      <c r="F64214" s="2423"/>
    </row>
    <row r="64215" spans="6:6">
      <c r="F64215" s="2423"/>
    </row>
    <row r="64216" spans="6:6">
      <c r="F64216" s="2423"/>
    </row>
    <row r="64217" spans="6:6">
      <c r="F64217" s="2423"/>
    </row>
    <row r="64218" spans="6:6">
      <c r="F64218" s="2423"/>
    </row>
    <row r="64219" spans="6:6">
      <c r="F64219" s="2423"/>
    </row>
    <row r="64220" spans="6:6">
      <c r="F64220" s="2423"/>
    </row>
    <row r="64221" spans="6:6">
      <c r="F64221" s="2423"/>
    </row>
    <row r="64222" spans="6:6">
      <c r="F64222" s="2423"/>
    </row>
    <row r="64223" spans="6:6">
      <c r="F64223" s="2423"/>
    </row>
    <row r="64224" spans="6:6">
      <c r="F64224" s="2423"/>
    </row>
    <row r="64225" spans="6:6">
      <c r="F64225" s="2423"/>
    </row>
    <row r="64226" spans="6:6">
      <c r="F64226" s="2423"/>
    </row>
    <row r="64227" spans="6:6">
      <c r="F64227" s="2423"/>
    </row>
    <row r="64228" spans="6:6">
      <c r="F64228" s="2423"/>
    </row>
    <row r="64229" spans="6:6">
      <c r="F64229" s="2423"/>
    </row>
    <row r="64230" spans="6:6">
      <c r="F64230" s="2423"/>
    </row>
    <row r="64231" spans="6:6">
      <c r="F64231" s="2423"/>
    </row>
    <row r="64232" spans="6:6">
      <c r="F64232" s="2423"/>
    </row>
    <row r="64233" spans="6:6">
      <c r="F64233" s="2423"/>
    </row>
    <row r="64234" spans="6:6">
      <c r="F64234" s="2423"/>
    </row>
    <row r="64235" spans="6:6">
      <c r="F64235" s="2423"/>
    </row>
    <row r="64236" spans="6:6">
      <c r="F64236" s="2423"/>
    </row>
    <row r="64237" spans="6:6">
      <c r="F64237" s="2423"/>
    </row>
    <row r="64238" spans="6:6">
      <c r="F64238" s="2423"/>
    </row>
    <row r="64239" spans="6:6">
      <c r="F64239" s="2423"/>
    </row>
    <row r="64240" spans="6:6">
      <c r="F64240" s="2423"/>
    </row>
    <row r="64241" spans="6:6">
      <c r="F64241" s="2423"/>
    </row>
    <row r="64242" spans="6:6">
      <c r="F64242" s="2423"/>
    </row>
    <row r="64243" spans="6:6">
      <c r="F64243" s="2423"/>
    </row>
    <row r="64244" spans="6:6">
      <c r="F64244" s="2423"/>
    </row>
    <row r="64245" spans="6:6">
      <c r="F64245" s="2423"/>
    </row>
    <row r="64246" spans="6:6">
      <c r="F64246" s="2423"/>
    </row>
    <row r="64247" spans="6:6">
      <c r="F64247" s="2423"/>
    </row>
    <row r="64248" spans="6:6">
      <c r="F64248" s="2423"/>
    </row>
    <row r="64249" spans="6:6">
      <c r="F64249" s="2423"/>
    </row>
    <row r="64250" spans="6:6">
      <c r="F64250" s="2423"/>
    </row>
    <row r="64251" spans="6:6">
      <c r="F64251" s="2423"/>
    </row>
    <row r="64252" spans="6:6">
      <c r="F64252" s="2423"/>
    </row>
    <row r="64253" spans="6:6">
      <c r="F64253" s="2423"/>
    </row>
    <row r="64254" spans="6:6">
      <c r="F64254" s="2423"/>
    </row>
    <row r="64255" spans="6:6">
      <c r="F64255" s="2423"/>
    </row>
    <row r="64256" spans="6:6">
      <c r="F64256" s="2423"/>
    </row>
    <row r="64257" spans="6:6">
      <c r="F64257" s="2423"/>
    </row>
    <row r="64258" spans="6:6">
      <c r="F64258" s="2423"/>
    </row>
    <row r="64259" spans="6:6">
      <c r="F64259" s="2423"/>
    </row>
    <row r="64260" spans="6:6">
      <c r="F64260" s="2423"/>
    </row>
    <row r="64261" spans="6:6">
      <c r="F64261" s="2423"/>
    </row>
    <row r="64262" spans="6:6">
      <c r="F64262" s="2423"/>
    </row>
    <row r="64263" spans="6:6">
      <c r="F64263" s="2423"/>
    </row>
    <row r="64264" spans="6:6">
      <c r="F64264" s="2423"/>
    </row>
    <row r="64265" spans="6:6">
      <c r="F64265" s="2423"/>
    </row>
    <row r="64266" spans="6:6">
      <c r="F64266" s="2423"/>
    </row>
    <row r="64267" spans="6:6">
      <c r="F64267" s="2423"/>
    </row>
    <row r="64268" spans="6:6">
      <c r="F64268" s="2423"/>
    </row>
    <row r="64269" spans="6:6">
      <c r="F64269" s="2423"/>
    </row>
    <row r="64270" spans="6:6">
      <c r="F64270" s="2423"/>
    </row>
    <row r="64271" spans="6:6">
      <c r="F64271" s="2423"/>
    </row>
    <row r="64272" spans="6:6">
      <c r="F64272" s="2423"/>
    </row>
    <row r="64273" spans="6:6">
      <c r="F64273" s="2423"/>
    </row>
    <row r="64274" spans="6:6">
      <c r="F64274" s="2423"/>
    </row>
    <row r="64275" spans="6:6">
      <c r="F64275" s="2423"/>
    </row>
    <row r="64276" spans="6:6">
      <c r="F64276" s="2423"/>
    </row>
    <row r="64277" spans="6:6">
      <c r="F64277" s="2423"/>
    </row>
    <row r="64278" spans="6:6">
      <c r="F64278" s="2423"/>
    </row>
    <row r="64279" spans="6:6">
      <c r="F64279" s="2423"/>
    </row>
    <row r="64280" spans="6:6">
      <c r="F64280" s="2423"/>
    </row>
    <row r="64281" spans="6:6">
      <c r="F64281" s="2423"/>
    </row>
    <row r="64282" spans="6:6">
      <c r="F64282" s="2423"/>
    </row>
    <row r="64283" spans="6:6">
      <c r="F64283" s="2423"/>
    </row>
    <row r="64284" spans="6:6">
      <c r="F64284" s="2423"/>
    </row>
    <row r="64285" spans="6:6">
      <c r="F64285" s="2423"/>
    </row>
    <row r="64286" spans="6:6">
      <c r="F64286" s="2423"/>
    </row>
    <row r="64287" spans="6:6">
      <c r="F64287" s="2423"/>
    </row>
    <row r="64288" spans="6:6">
      <c r="F64288" s="2423"/>
    </row>
    <row r="64289" spans="6:6">
      <c r="F64289" s="2423"/>
    </row>
    <row r="64290" spans="6:6">
      <c r="F64290" s="2423"/>
    </row>
    <row r="64291" spans="6:6">
      <c r="F64291" s="2423"/>
    </row>
    <row r="64292" spans="6:6">
      <c r="F64292" s="2423"/>
    </row>
    <row r="64293" spans="6:6">
      <c r="F64293" s="2423"/>
    </row>
    <row r="64294" spans="6:6">
      <c r="F64294" s="2423"/>
    </row>
    <row r="64295" spans="6:6">
      <c r="F64295" s="2423"/>
    </row>
    <row r="64296" spans="6:6">
      <c r="F64296" s="2423"/>
    </row>
    <row r="64297" spans="6:6">
      <c r="F64297" s="2423"/>
    </row>
    <row r="64298" spans="6:6">
      <c r="F64298" s="2423"/>
    </row>
    <row r="64299" spans="6:6">
      <c r="F64299" s="2423"/>
    </row>
    <row r="64300" spans="6:6">
      <c r="F64300" s="2423"/>
    </row>
    <row r="64301" spans="6:6">
      <c r="F64301" s="2423"/>
    </row>
    <row r="64302" spans="6:6">
      <c r="F64302" s="2423"/>
    </row>
    <row r="64303" spans="6:6">
      <c r="F64303" s="2423"/>
    </row>
    <row r="64304" spans="6:6">
      <c r="F64304" s="2423"/>
    </row>
    <row r="64305" spans="6:6">
      <c r="F64305" s="2423"/>
    </row>
    <row r="64306" spans="6:6">
      <c r="F64306" s="2423"/>
    </row>
    <row r="64307" spans="6:6">
      <c r="F64307" s="2423"/>
    </row>
    <row r="64308" spans="6:6">
      <c r="F64308" s="2423"/>
    </row>
    <row r="64309" spans="6:6">
      <c r="F64309" s="2423"/>
    </row>
    <row r="64310" spans="6:6">
      <c r="F64310" s="2423"/>
    </row>
    <row r="64311" spans="6:6">
      <c r="F64311" s="2423"/>
    </row>
    <row r="64312" spans="6:6">
      <c r="F64312" s="2423"/>
    </row>
    <row r="64313" spans="6:6">
      <c r="F64313" s="2423"/>
    </row>
    <row r="64314" spans="6:6">
      <c r="F64314" s="2423"/>
    </row>
    <row r="64315" spans="6:6">
      <c r="F64315" s="2423"/>
    </row>
    <row r="64316" spans="6:6">
      <c r="F64316" s="2423"/>
    </row>
    <row r="64317" spans="6:6">
      <c r="F64317" s="2423"/>
    </row>
    <row r="64318" spans="6:6">
      <c r="F64318" s="2423"/>
    </row>
    <row r="64319" spans="6:6">
      <c r="F64319" s="2423"/>
    </row>
    <row r="64320" spans="6:6">
      <c r="F64320" s="2423"/>
    </row>
    <row r="64321" spans="6:6">
      <c r="F64321" s="2423"/>
    </row>
    <row r="64322" spans="6:6">
      <c r="F64322" s="2423"/>
    </row>
    <row r="64323" spans="6:6">
      <c r="F64323" s="2423"/>
    </row>
    <row r="64324" spans="6:6">
      <c r="F64324" s="2423"/>
    </row>
    <row r="64325" spans="6:6">
      <c r="F64325" s="2423"/>
    </row>
    <row r="64326" spans="6:6">
      <c r="F64326" s="2423"/>
    </row>
    <row r="64327" spans="6:6">
      <c r="F64327" s="2423"/>
    </row>
    <row r="64328" spans="6:6">
      <c r="F64328" s="2423"/>
    </row>
    <row r="64329" spans="6:6">
      <c r="F64329" s="2423"/>
    </row>
    <row r="64330" spans="6:6">
      <c r="F64330" s="2423"/>
    </row>
    <row r="64331" spans="6:6">
      <c r="F64331" s="2423"/>
    </row>
    <row r="64332" spans="6:6">
      <c r="F64332" s="2423"/>
    </row>
    <row r="64333" spans="6:6">
      <c r="F64333" s="2423"/>
    </row>
    <row r="64334" spans="6:6">
      <c r="F64334" s="2423"/>
    </row>
    <row r="64335" spans="6:6">
      <c r="F64335" s="2423"/>
    </row>
    <row r="64336" spans="6:6">
      <c r="F64336" s="2423"/>
    </row>
    <row r="64337" spans="6:6">
      <c r="F64337" s="2423"/>
    </row>
    <row r="64338" spans="6:6">
      <c r="F64338" s="2423"/>
    </row>
    <row r="64339" spans="6:6">
      <c r="F64339" s="2423"/>
    </row>
    <row r="64340" spans="6:6">
      <c r="F64340" s="2423"/>
    </row>
    <row r="64341" spans="6:6">
      <c r="F64341" s="2423"/>
    </row>
    <row r="64342" spans="6:6">
      <c r="F64342" s="2423"/>
    </row>
    <row r="64343" spans="6:6">
      <c r="F64343" s="2423"/>
    </row>
    <row r="64344" spans="6:6">
      <c r="F64344" s="2423"/>
    </row>
    <row r="64345" spans="6:6">
      <c r="F64345" s="2423"/>
    </row>
    <row r="64346" spans="6:6">
      <c r="F64346" s="2423"/>
    </row>
    <row r="64347" spans="6:6">
      <c r="F64347" s="2423"/>
    </row>
    <row r="64348" spans="6:6">
      <c r="F64348" s="2423"/>
    </row>
    <row r="64349" spans="6:6">
      <c r="F64349" s="2423"/>
    </row>
    <row r="64350" spans="6:6">
      <c r="F64350" s="2423"/>
    </row>
    <row r="64351" spans="6:6">
      <c r="F64351" s="2423"/>
    </row>
    <row r="64352" spans="6:6">
      <c r="F64352" s="2423"/>
    </row>
    <row r="64353" spans="6:6">
      <c r="F64353" s="2423"/>
    </row>
    <row r="64354" spans="6:6">
      <c r="F64354" s="2423"/>
    </row>
    <row r="64355" spans="6:6">
      <c r="F64355" s="2423"/>
    </row>
    <row r="64356" spans="6:6">
      <c r="F64356" s="2423"/>
    </row>
    <row r="64357" spans="6:6">
      <c r="F64357" s="2423"/>
    </row>
    <row r="64358" spans="6:6">
      <c r="F64358" s="2423"/>
    </row>
    <row r="64359" spans="6:6">
      <c r="F64359" s="2423"/>
    </row>
    <row r="64360" spans="6:6">
      <c r="F64360" s="2423"/>
    </row>
    <row r="64361" spans="6:6">
      <c r="F64361" s="2423"/>
    </row>
    <row r="64362" spans="6:6">
      <c r="F64362" s="2423"/>
    </row>
    <row r="64363" spans="6:6">
      <c r="F64363" s="2423"/>
    </row>
    <row r="64364" spans="6:6">
      <c r="F64364" s="2423"/>
    </row>
    <row r="64365" spans="6:6">
      <c r="F64365" s="2423"/>
    </row>
    <row r="64366" spans="6:6">
      <c r="F64366" s="2423"/>
    </row>
    <row r="64367" spans="6:6">
      <c r="F64367" s="2423"/>
    </row>
    <row r="64368" spans="6:6">
      <c r="F64368" s="2423"/>
    </row>
    <row r="64369" spans="6:6">
      <c r="F64369" s="2423"/>
    </row>
    <row r="64370" spans="6:6">
      <c r="F64370" s="2423"/>
    </row>
    <row r="64371" spans="6:6">
      <c r="F64371" s="2423"/>
    </row>
    <row r="64372" spans="6:6">
      <c r="F64372" s="2423"/>
    </row>
    <row r="64373" spans="6:6">
      <c r="F64373" s="2423"/>
    </row>
    <row r="64374" spans="6:6">
      <c r="F64374" s="2423"/>
    </row>
    <row r="64375" spans="6:6">
      <c r="F64375" s="2423"/>
    </row>
    <row r="64376" spans="6:6">
      <c r="F64376" s="2423"/>
    </row>
    <row r="64377" spans="6:6">
      <c r="F64377" s="2423"/>
    </row>
    <row r="64378" spans="6:6">
      <c r="F64378" s="2423"/>
    </row>
    <row r="64379" spans="6:6">
      <c r="F64379" s="2423"/>
    </row>
    <row r="64380" spans="6:6">
      <c r="F64380" s="2423"/>
    </row>
    <row r="64381" spans="6:6">
      <c r="F64381" s="2423"/>
    </row>
    <row r="64382" spans="6:6">
      <c r="F64382" s="2423"/>
    </row>
    <row r="64383" spans="6:6">
      <c r="F64383" s="2423"/>
    </row>
    <row r="64384" spans="6:6">
      <c r="F64384" s="2423"/>
    </row>
    <row r="64385" spans="6:6">
      <c r="F64385" s="2423"/>
    </row>
    <row r="64386" spans="6:6">
      <c r="F64386" s="2423"/>
    </row>
    <row r="64387" spans="6:6">
      <c r="F64387" s="2423"/>
    </row>
    <row r="64388" spans="6:6">
      <c r="F64388" s="2423"/>
    </row>
    <row r="64389" spans="6:6">
      <c r="F64389" s="2423"/>
    </row>
    <row r="64390" spans="6:6">
      <c r="F64390" s="2423"/>
    </row>
    <row r="64391" spans="6:6">
      <c r="F64391" s="2423"/>
    </row>
    <row r="64392" spans="6:6">
      <c r="F64392" s="2423"/>
    </row>
    <row r="64393" spans="6:6">
      <c r="F64393" s="2423"/>
    </row>
    <row r="64394" spans="6:6">
      <c r="F64394" s="2423"/>
    </row>
    <row r="64395" spans="6:6">
      <c r="F64395" s="2423"/>
    </row>
    <row r="64396" spans="6:6">
      <c r="F64396" s="2423"/>
    </row>
    <row r="64397" spans="6:6">
      <c r="F64397" s="2423"/>
    </row>
    <row r="64398" spans="6:6">
      <c r="F64398" s="2423"/>
    </row>
    <row r="64399" spans="6:6">
      <c r="F64399" s="2423"/>
    </row>
    <row r="64400" spans="6:6">
      <c r="F64400" s="2423"/>
    </row>
    <row r="64401" spans="6:6">
      <c r="F64401" s="2423"/>
    </row>
    <row r="64402" spans="6:6">
      <c r="F64402" s="2423"/>
    </row>
    <row r="64403" spans="6:6">
      <c r="F64403" s="2423"/>
    </row>
    <row r="64404" spans="6:6">
      <c r="F64404" s="2423"/>
    </row>
    <row r="64405" spans="6:6">
      <c r="F64405" s="2423"/>
    </row>
    <row r="64406" spans="6:6">
      <c r="F64406" s="2423"/>
    </row>
    <row r="64407" spans="6:6">
      <c r="F64407" s="2423"/>
    </row>
    <row r="64408" spans="6:6">
      <c r="F64408" s="2423"/>
    </row>
    <row r="64409" spans="6:6">
      <c r="F64409" s="2423"/>
    </row>
    <row r="64410" spans="6:6">
      <c r="F64410" s="2423"/>
    </row>
    <row r="64411" spans="6:6">
      <c r="F64411" s="2423"/>
    </row>
    <row r="64412" spans="6:6">
      <c r="F64412" s="2423"/>
    </row>
    <row r="64413" spans="6:6">
      <c r="F64413" s="2423"/>
    </row>
    <row r="64414" spans="6:6">
      <c r="F64414" s="2423"/>
    </row>
    <row r="64415" spans="6:6">
      <c r="F64415" s="2423"/>
    </row>
    <row r="64416" spans="6:6">
      <c r="F64416" s="2423"/>
    </row>
    <row r="64417" spans="6:6">
      <c r="F64417" s="2423"/>
    </row>
    <row r="64418" spans="6:6">
      <c r="F64418" s="2423"/>
    </row>
    <row r="64419" spans="6:6">
      <c r="F64419" s="2423"/>
    </row>
    <row r="64420" spans="6:6">
      <c r="F64420" s="2423"/>
    </row>
    <row r="64421" spans="6:6">
      <c r="F64421" s="2423"/>
    </row>
    <row r="64422" spans="6:6">
      <c r="F64422" s="2423"/>
    </row>
    <row r="64423" spans="6:6">
      <c r="F64423" s="2423"/>
    </row>
    <row r="64424" spans="6:6">
      <c r="F64424" s="2423"/>
    </row>
    <row r="64425" spans="6:6">
      <c r="F64425" s="2423"/>
    </row>
    <row r="64426" spans="6:6">
      <c r="F64426" s="2423"/>
    </row>
    <row r="64427" spans="6:6">
      <c r="F64427" s="2423"/>
    </row>
    <row r="64428" spans="6:6">
      <c r="F64428" s="2423"/>
    </row>
    <row r="64429" spans="6:6">
      <c r="F64429" s="2423"/>
    </row>
    <row r="64430" spans="6:6">
      <c r="F64430" s="2423"/>
    </row>
    <row r="64431" spans="6:6">
      <c r="F64431" s="2423"/>
    </row>
    <row r="64432" spans="6:6">
      <c r="F64432" s="2423"/>
    </row>
    <row r="64433" spans="6:6">
      <c r="F64433" s="2423"/>
    </row>
    <row r="64434" spans="6:6">
      <c r="F64434" s="2423"/>
    </row>
    <row r="64435" spans="6:6">
      <c r="F64435" s="2423"/>
    </row>
    <row r="64436" spans="6:6">
      <c r="F64436" s="2423"/>
    </row>
    <row r="64437" spans="6:6">
      <c r="F64437" s="2423"/>
    </row>
    <row r="64438" spans="6:6">
      <c r="F64438" s="2423"/>
    </row>
    <row r="64439" spans="6:6">
      <c r="F64439" s="2423"/>
    </row>
    <row r="64440" spans="6:6">
      <c r="F64440" s="2423"/>
    </row>
    <row r="64441" spans="6:6">
      <c r="F64441" s="2423"/>
    </row>
    <row r="64442" spans="6:6">
      <c r="F64442" s="2423"/>
    </row>
    <row r="64443" spans="6:6">
      <c r="F64443" s="2423"/>
    </row>
    <row r="64444" spans="6:6">
      <c r="F64444" s="2423"/>
    </row>
    <row r="64445" spans="6:6">
      <c r="F64445" s="2423"/>
    </row>
    <row r="64446" spans="6:6">
      <c r="F64446" s="2423"/>
    </row>
    <row r="64447" spans="6:6">
      <c r="F64447" s="2423"/>
    </row>
    <row r="64448" spans="6:6">
      <c r="F64448" s="2423"/>
    </row>
    <row r="64449" spans="6:6">
      <c r="F64449" s="2423"/>
    </row>
    <row r="64450" spans="6:6">
      <c r="F64450" s="2423"/>
    </row>
    <row r="64451" spans="6:6">
      <c r="F64451" s="2423"/>
    </row>
    <row r="64452" spans="6:6">
      <c r="F64452" s="2423"/>
    </row>
    <row r="64453" spans="6:6">
      <c r="F64453" s="2423"/>
    </row>
    <row r="64454" spans="6:6">
      <c r="F64454" s="2423"/>
    </row>
    <row r="64455" spans="6:6">
      <c r="F64455" s="2423"/>
    </row>
    <row r="64456" spans="6:6">
      <c r="F64456" s="2423"/>
    </row>
    <row r="64457" spans="6:6">
      <c r="F64457" s="2423"/>
    </row>
    <row r="64458" spans="6:6">
      <c r="F64458" s="2423"/>
    </row>
    <row r="64459" spans="6:6">
      <c r="F64459" s="2423"/>
    </row>
    <row r="64460" spans="6:6">
      <c r="F64460" s="2423"/>
    </row>
    <row r="64461" spans="6:6">
      <c r="F64461" s="2423"/>
    </row>
    <row r="64462" spans="6:6">
      <c r="F64462" s="2423"/>
    </row>
    <row r="64463" spans="6:6">
      <c r="F64463" s="2423"/>
    </row>
    <row r="64464" spans="6:6">
      <c r="F64464" s="2423"/>
    </row>
    <row r="64465" spans="6:6">
      <c r="F64465" s="2423"/>
    </row>
    <row r="64466" spans="6:6">
      <c r="F64466" s="2423"/>
    </row>
    <row r="64467" spans="6:6">
      <c r="F64467" s="2423"/>
    </row>
    <row r="64468" spans="6:6">
      <c r="F64468" s="2423"/>
    </row>
    <row r="64469" spans="6:6">
      <c r="F64469" s="2423"/>
    </row>
    <row r="64470" spans="6:6">
      <c r="F64470" s="2423"/>
    </row>
    <row r="64471" spans="6:6">
      <c r="F64471" s="2423"/>
    </row>
    <row r="64472" spans="6:6">
      <c r="F64472" s="2423"/>
    </row>
    <row r="64473" spans="6:6">
      <c r="F64473" s="2423"/>
    </row>
    <row r="64474" spans="6:6">
      <c r="F64474" s="2423"/>
    </row>
    <row r="64475" spans="6:6">
      <c r="F64475" s="2423"/>
    </row>
    <row r="64476" spans="6:6">
      <c r="F64476" s="2423"/>
    </row>
    <row r="64477" spans="6:6">
      <c r="F64477" s="2423"/>
    </row>
    <row r="64478" spans="6:6">
      <c r="F64478" s="2423"/>
    </row>
    <row r="64479" spans="6:6">
      <c r="F64479" s="2423"/>
    </row>
    <row r="64480" spans="6:6">
      <c r="F64480" s="2423"/>
    </row>
    <row r="64481" spans="6:6">
      <c r="F64481" s="2423"/>
    </row>
    <row r="64482" spans="6:6">
      <c r="F64482" s="2423"/>
    </row>
    <row r="64483" spans="6:6">
      <c r="F64483" s="2423"/>
    </row>
    <row r="64484" spans="6:6">
      <c r="F64484" s="2423"/>
    </row>
    <row r="64485" spans="6:6">
      <c r="F64485" s="2423"/>
    </row>
    <row r="64486" spans="6:6">
      <c r="F64486" s="2423"/>
    </row>
    <row r="64487" spans="6:6">
      <c r="F64487" s="2423"/>
    </row>
    <row r="64488" spans="6:6">
      <c r="F64488" s="2423"/>
    </row>
    <row r="64489" spans="6:6">
      <c r="F64489" s="2423"/>
    </row>
    <row r="64490" spans="6:6">
      <c r="F64490" s="2423"/>
    </row>
    <row r="64491" spans="6:6">
      <c r="F64491" s="2423"/>
    </row>
    <row r="64492" spans="6:6">
      <c r="F64492" s="2423"/>
    </row>
    <row r="64493" spans="6:6">
      <c r="F64493" s="2423"/>
    </row>
    <row r="64494" spans="6:6">
      <c r="F64494" s="2423"/>
    </row>
    <row r="64495" spans="6:6">
      <c r="F64495" s="2423"/>
    </row>
    <row r="64496" spans="6:6">
      <c r="F64496" s="2423"/>
    </row>
    <row r="64497" spans="6:6">
      <c r="F64497" s="2423"/>
    </row>
    <row r="64498" spans="6:6">
      <c r="F64498" s="2423"/>
    </row>
    <row r="64499" spans="6:6">
      <c r="F64499" s="2423"/>
    </row>
    <row r="64500" spans="6:6">
      <c r="F64500" s="2423"/>
    </row>
    <row r="64501" spans="6:6">
      <c r="F64501" s="2423"/>
    </row>
    <row r="64502" spans="6:6">
      <c r="F64502" s="2423"/>
    </row>
    <row r="64503" spans="6:6">
      <c r="F64503" s="2423"/>
    </row>
    <row r="64504" spans="6:6">
      <c r="F64504" s="2423"/>
    </row>
    <row r="64505" spans="6:6">
      <c r="F64505" s="2423"/>
    </row>
    <row r="64506" spans="6:6">
      <c r="F64506" s="2423"/>
    </row>
    <row r="64507" spans="6:6">
      <c r="F64507" s="2423"/>
    </row>
    <row r="64508" spans="6:6">
      <c r="F64508" s="2423"/>
    </row>
    <row r="64509" spans="6:6">
      <c r="F64509" s="2423"/>
    </row>
    <row r="64510" spans="6:6">
      <c r="F64510" s="2423"/>
    </row>
    <row r="64511" spans="6:6">
      <c r="F64511" s="2423"/>
    </row>
    <row r="64512" spans="6:6">
      <c r="F64512" s="2423"/>
    </row>
    <row r="64513" spans="6:6">
      <c r="F64513" s="2423"/>
    </row>
    <row r="64514" spans="6:6">
      <c r="F64514" s="2423"/>
    </row>
    <row r="64515" spans="6:6">
      <c r="F64515" s="2423"/>
    </row>
    <row r="64516" spans="6:6">
      <c r="F64516" s="2423"/>
    </row>
    <row r="64517" spans="6:6">
      <c r="F64517" s="2423"/>
    </row>
    <row r="64518" spans="6:6">
      <c r="F64518" s="2423"/>
    </row>
    <row r="64519" spans="6:6">
      <c r="F64519" s="2423"/>
    </row>
    <row r="64520" spans="6:6">
      <c r="F64520" s="2423"/>
    </row>
    <row r="64521" spans="6:6">
      <c r="F64521" s="2423"/>
    </row>
    <row r="64522" spans="6:6">
      <c r="F64522" s="2423"/>
    </row>
    <row r="64523" spans="6:6">
      <c r="F64523" s="2423"/>
    </row>
    <row r="64524" spans="6:6">
      <c r="F64524" s="2423"/>
    </row>
    <row r="64525" spans="6:6">
      <c r="F64525" s="2423"/>
    </row>
    <row r="64526" spans="6:6">
      <c r="F64526" s="2423"/>
    </row>
    <row r="64527" spans="6:6">
      <c r="F64527" s="2423"/>
    </row>
    <row r="64528" spans="6:6">
      <c r="F64528" s="2423"/>
    </row>
    <row r="64529" spans="6:6">
      <c r="F64529" s="2423"/>
    </row>
    <row r="64530" spans="6:6">
      <c r="F64530" s="2423"/>
    </row>
    <row r="64531" spans="6:6">
      <c r="F64531" s="2423"/>
    </row>
    <row r="64532" spans="6:6">
      <c r="F64532" s="2423"/>
    </row>
    <row r="64533" spans="6:6">
      <c r="F64533" s="2423"/>
    </row>
    <row r="64534" spans="6:6">
      <c r="F64534" s="2423"/>
    </row>
    <row r="64535" spans="6:6">
      <c r="F64535" s="2423"/>
    </row>
    <row r="64536" spans="6:6">
      <c r="F64536" s="2423"/>
    </row>
    <row r="64537" spans="6:6">
      <c r="F64537" s="2423"/>
    </row>
    <row r="64538" spans="6:6">
      <c r="F64538" s="2423"/>
    </row>
    <row r="64539" spans="6:6">
      <c r="F64539" s="2423"/>
    </row>
    <row r="64540" spans="6:6">
      <c r="F64540" s="2423"/>
    </row>
    <row r="64541" spans="6:6">
      <c r="F64541" s="2423"/>
    </row>
    <row r="64542" spans="6:6">
      <c r="F64542" s="2423"/>
    </row>
    <row r="64543" spans="6:6">
      <c r="F64543" s="2423"/>
    </row>
    <row r="64544" spans="6:6">
      <c r="F64544" s="2423"/>
    </row>
    <row r="64545" spans="6:6">
      <c r="F64545" s="2423"/>
    </row>
    <row r="64546" spans="6:6">
      <c r="F64546" s="2423"/>
    </row>
    <row r="64547" spans="6:6">
      <c r="F64547" s="2423"/>
    </row>
    <row r="64548" spans="6:6">
      <c r="F64548" s="2423"/>
    </row>
    <row r="64549" spans="6:6">
      <c r="F64549" s="2423"/>
    </row>
    <row r="64550" spans="6:6">
      <c r="F64550" s="2423"/>
    </row>
    <row r="64551" spans="6:6">
      <c r="F64551" s="2423"/>
    </row>
    <row r="64552" spans="6:6">
      <c r="F64552" s="2423"/>
    </row>
    <row r="64553" spans="6:6">
      <c r="F64553" s="2423"/>
    </row>
    <row r="64554" spans="6:6">
      <c r="F64554" s="2423"/>
    </row>
    <row r="64555" spans="6:6">
      <c r="F64555" s="2423"/>
    </row>
    <row r="64556" spans="6:6">
      <c r="F64556" s="2423"/>
    </row>
    <row r="64557" spans="6:6">
      <c r="F64557" s="2423"/>
    </row>
    <row r="64558" spans="6:6">
      <c r="F64558" s="2423"/>
    </row>
    <row r="64559" spans="6:6">
      <c r="F64559" s="2423"/>
    </row>
    <row r="64560" spans="6:6">
      <c r="F64560" s="2423"/>
    </row>
    <row r="64561" spans="6:6">
      <c r="F64561" s="2423"/>
    </row>
    <row r="64562" spans="6:6">
      <c r="F64562" s="2423"/>
    </row>
    <row r="64563" spans="6:6">
      <c r="F64563" s="2423"/>
    </row>
    <row r="64564" spans="6:6">
      <c r="F64564" s="2423"/>
    </row>
    <row r="64565" spans="6:6">
      <c r="F64565" s="2423"/>
    </row>
    <row r="64566" spans="6:6">
      <c r="F64566" s="2423"/>
    </row>
    <row r="64567" spans="6:6">
      <c r="F64567" s="2423"/>
    </row>
    <row r="64568" spans="6:6">
      <c r="F64568" s="2423"/>
    </row>
    <row r="64569" spans="6:6">
      <c r="F64569" s="2423"/>
    </row>
    <row r="64570" spans="6:6">
      <c r="F64570" s="2423"/>
    </row>
    <row r="64571" spans="6:6">
      <c r="F64571" s="2423"/>
    </row>
    <row r="64572" spans="6:6">
      <c r="F64572" s="2423"/>
    </row>
    <row r="64573" spans="6:6">
      <c r="F64573" s="2423"/>
    </row>
    <row r="64574" spans="6:6">
      <c r="F64574" s="2423"/>
    </row>
    <row r="64575" spans="6:6">
      <c r="F64575" s="2423"/>
    </row>
    <row r="64576" spans="6:6">
      <c r="F64576" s="2423"/>
    </row>
    <row r="64577" spans="6:6">
      <c r="F64577" s="2423"/>
    </row>
    <row r="64578" spans="6:6">
      <c r="F64578" s="2423"/>
    </row>
    <row r="64579" spans="6:6">
      <c r="F64579" s="2423"/>
    </row>
    <row r="64580" spans="6:6">
      <c r="F64580" s="2423"/>
    </row>
    <row r="64581" spans="6:6">
      <c r="F64581" s="2423"/>
    </row>
    <row r="64582" spans="6:6">
      <c r="F64582" s="2423"/>
    </row>
    <row r="64583" spans="6:6">
      <c r="F64583" s="2423"/>
    </row>
    <row r="64584" spans="6:6">
      <c r="F64584" s="2423"/>
    </row>
    <row r="64585" spans="6:6">
      <c r="F64585" s="2423"/>
    </row>
    <row r="64586" spans="6:6">
      <c r="F64586" s="2423"/>
    </row>
    <row r="64587" spans="6:6">
      <c r="F64587" s="2423"/>
    </row>
    <row r="64588" spans="6:6">
      <c r="F64588" s="2423"/>
    </row>
    <row r="64589" spans="6:6">
      <c r="F64589" s="2423"/>
    </row>
    <row r="64590" spans="6:6">
      <c r="F64590" s="2423"/>
    </row>
    <row r="64591" spans="6:6">
      <c r="F64591" s="2423"/>
    </row>
    <row r="64592" spans="6:6">
      <c r="F64592" s="2423"/>
    </row>
    <row r="64593" spans="6:6">
      <c r="F64593" s="2423"/>
    </row>
    <row r="64594" spans="6:6">
      <c r="F64594" s="2423"/>
    </row>
    <row r="64595" spans="6:6">
      <c r="F64595" s="2423"/>
    </row>
    <row r="64596" spans="6:6">
      <c r="F64596" s="2423"/>
    </row>
    <row r="64597" spans="6:6">
      <c r="F64597" s="2423"/>
    </row>
    <row r="64598" spans="6:6">
      <c r="F64598" s="2423"/>
    </row>
    <row r="64599" spans="6:6">
      <c r="F64599" s="2423"/>
    </row>
    <row r="64600" spans="6:6">
      <c r="F64600" s="2423"/>
    </row>
    <row r="64601" spans="6:6">
      <c r="F64601" s="2423"/>
    </row>
    <row r="64602" spans="6:6">
      <c r="F64602" s="2423"/>
    </row>
    <row r="64603" spans="6:6">
      <c r="F64603" s="2423"/>
    </row>
    <row r="64604" spans="6:6">
      <c r="F64604" s="2423"/>
    </row>
    <row r="64605" spans="6:6">
      <c r="F64605" s="2423"/>
    </row>
    <row r="64606" spans="6:6">
      <c r="F64606" s="2423"/>
    </row>
    <row r="64607" spans="6:6">
      <c r="F64607" s="2423"/>
    </row>
    <row r="64608" spans="6:6">
      <c r="F64608" s="2423"/>
    </row>
    <row r="64609" spans="6:6">
      <c r="F64609" s="2423"/>
    </row>
    <row r="64610" spans="6:6">
      <c r="F64610" s="2423"/>
    </row>
    <row r="64611" spans="6:6">
      <c r="F64611" s="2423"/>
    </row>
    <row r="64612" spans="6:6">
      <c r="F64612" s="2423"/>
    </row>
    <row r="64613" spans="6:6">
      <c r="F64613" s="2423"/>
    </row>
    <row r="64614" spans="6:6">
      <c r="F64614" s="2423"/>
    </row>
    <row r="64615" spans="6:6">
      <c r="F64615" s="2423"/>
    </row>
    <row r="64616" spans="6:6">
      <c r="F64616" s="2423"/>
    </row>
    <row r="64617" spans="6:6">
      <c r="F64617" s="2423"/>
    </row>
    <row r="64618" spans="6:6">
      <c r="F64618" s="2423"/>
    </row>
    <row r="64619" spans="6:6">
      <c r="F64619" s="2423"/>
    </row>
    <row r="64620" spans="6:6">
      <c r="F64620" s="2423"/>
    </row>
    <row r="64621" spans="6:6">
      <c r="F64621" s="2423"/>
    </row>
    <row r="64622" spans="6:6">
      <c r="F64622" s="2423"/>
    </row>
    <row r="64623" spans="6:6">
      <c r="F64623" s="2423"/>
    </row>
    <row r="64624" spans="6:6">
      <c r="F64624" s="2423"/>
    </row>
    <row r="64625" spans="6:6">
      <c r="F64625" s="2423"/>
    </row>
    <row r="64626" spans="6:6">
      <c r="F64626" s="2423"/>
    </row>
    <row r="64627" spans="6:6">
      <c r="F64627" s="2423"/>
    </row>
    <row r="64628" spans="6:6">
      <c r="F64628" s="2423"/>
    </row>
    <row r="64629" spans="6:6">
      <c r="F64629" s="2423"/>
    </row>
    <row r="64630" spans="6:6">
      <c r="F64630" s="2423"/>
    </row>
    <row r="64631" spans="6:6">
      <c r="F64631" s="2423"/>
    </row>
    <row r="64632" spans="6:6">
      <c r="F64632" s="2423"/>
    </row>
    <row r="64633" spans="6:6">
      <c r="F64633" s="2423"/>
    </row>
    <row r="64634" spans="6:6">
      <c r="F64634" s="2423"/>
    </row>
    <row r="64635" spans="6:6">
      <c r="F64635" s="2423"/>
    </row>
    <row r="64636" spans="6:6">
      <c r="F64636" s="2423"/>
    </row>
    <row r="64637" spans="6:6">
      <c r="F64637" s="2423"/>
    </row>
    <row r="64638" spans="6:6">
      <c r="F64638" s="2423"/>
    </row>
    <row r="64639" spans="6:6">
      <c r="F64639" s="2423"/>
    </row>
    <row r="64640" spans="6:6">
      <c r="F64640" s="2423"/>
    </row>
    <row r="64641" spans="6:6">
      <c r="F64641" s="2423"/>
    </row>
    <row r="64642" spans="6:6">
      <c r="F64642" s="2423"/>
    </row>
    <row r="64643" spans="6:6">
      <c r="F64643" s="2423"/>
    </row>
    <row r="64644" spans="6:6">
      <c r="F64644" s="2423"/>
    </row>
    <row r="64645" spans="6:6">
      <c r="F64645" s="2423"/>
    </row>
    <row r="64646" spans="6:6">
      <c r="F64646" s="2423"/>
    </row>
    <row r="64647" spans="6:6">
      <c r="F64647" s="2423"/>
    </row>
    <row r="64648" spans="6:6">
      <c r="F64648" s="2423"/>
    </row>
    <row r="64649" spans="6:6">
      <c r="F64649" s="2423"/>
    </row>
    <row r="64650" spans="6:6">
      <c r="F64650" s="2423"/>
    </row>
    <row r="64651" spans="6:6">
      <c r="F64651" s="2423"/>
    </row>
    <row r="64652" spans="6:6">
      <c r="F64652" s="2423"/>
    </row>
    <row r="64653" spans="6:6">
      <c r="F64653" s="2423"/>
    </row>
    <row r="64654" spans="6:6">
      <c r="F64654" s="2423"/>
    </row>
    <row r="64655" spans="6:6">
      <c r="F64655" s="2423"/>
    </row>
    <row r="64656" spans="6:6">
      <c r="F64656" s="2423"/>
    </row>
    <row r="64657" spans="6:6">
      <c r="F64657" s="2423"/>
    </row>
    <row r="64658" spans="6:6">
      <c r="F64658" s="2423"/>
    </row>
    <row r="64659" spans="6:6">
      <c r="F64659" s="2423"/>
    </row>
    <row r="64660" spans="6:6">
      <c r="F64660" s="2423"/>
    </row>
    <row r="64661" spans="6:6">
      <c r="F64661" s="2423"/>
    </row>
    <row r="64662" spans="6:6">
      <c r="F64662" s="2423"/>
    </row>
    <row r="64663" spans="6:6">
      <c r="F64663" s="2423"/>
    </row>
    <row r="64664" spans="6:6">
      <c r="F64664" s="2423"/>
    </row>
    <row r="64665" spans="6:6">
      <c r="F64665" s="2423"/>
    </row>
    <row r="64666" spans="6:6">
      <c r="F64666" s="2423"/>
    </row>
    <row r="64667" spans="6:6">
      <c r="F64667" s="2423"/>
    </row>
    <row r="64668" spans="6:6">
      <c r="F64668" s="2423"/>
    </row>
    <row r="64669" spans="6:6">
      <c r="F64669" s="2423"/>
    </row>
    <row r="64670" spans="6:6">
      <c r="F64670" s="2423"/>
    </row>
    <row r="64671" spans="6:6">
      <c r="F64671" s="2423"/>
    </row>
    <row r="64672" spans="6:6">
      <c r="F64672" s="2423"/>
    </row>
    <row r="64673" spans="6:6">
      <c r="F64673" s="2423"/>
    </row>
    <row r="64674" spans="6:6">
      <c r="F64674" s="2423"/>
    </row>
    <row r="64675" spans="6:6">
      <c r="F64675" s="2423"/>
    </row>
    <row r="64676" spans="6:6">
      <c r="F64676" s="2423"/>
    </row>
    <row r="64677" spans="6:6">
      <c r="F64677" s="2423"/>
    </row>
    <row r="64678" spans="6:6">
      <c r="F64678" s="2423"/>
    </row>
    <row r="64679" spans="6:6">
      <c r="F64679" s="2423"/>
    </row>
    <row r="64680" spans="6:6">
      <c r="F64680" s="2423"/>
    </row>
    <row r="64681" spans="6:6">
      <c r="F64681" s="2423"/>
    </row>
    <row r="64682" spans="6:6">
      <c r="F64682" s="2423"/>
    </row>
    <row r="64683" spans="6:6">
      <c r="F64683" s="2423"/>
    </row>
    <row r="64684" spans="6:6">
      <c r="F64684" s="2423"/>
    </row>
    <row r="64685" spans="6:6">
      <c r="F64685" s="2423"/>
    </row>
    <row r="64686" spans="6:6">
      <c r="F64686" s="2423"/>
    </row>
    <row r="64687" spans="6:6">
      <c r="F64687" s="2423"/>
    </row>
    <row r="64688" spans="6:6">
      <c r="F64688" s="2423"/>
    </row>
    <row r="64689" spans="6:6">
      <c r="F64689" s="2423"/>
    </row>
    <row r="64690" spans="6:6">
      <c r="F64690" s="2423"/>
    </row>
    <row r="64691" spans="6:6">
      <c r="F64691" s="2423"/>
    </row>
    <row r="64692" spans="6:6">
      <c r="F64692" s="2423"/>
    </row>
    <row r="64693" spans="6:6">
      <c r="F64693" s="2423"/>
    </row>
    <row r="64694" spans="6:6">
      <c r="F64694" s="2423"/>
    </row>
    <row r="64695" spans="6:6">
      <c r="F64695" s="2423"/>
    </row>
    <row r="64696" spans="6:6">
      <c r="F64696" s="2423"/>
    </row>
    <row r="64697" spans="6:6">
      <c r="F64697" s="2423"/>
    </row>
    <row r="64698" spans="6:6">
      <c r="F64698" s="2423"/>
    </row>
    <row r="64699" spans="6:6">
      <c r="F64699" s="2423"/>
    </row>
    <row r="64700" spans="6:6">
      <c r="F64700" s="2423"/>
    </row>
    <row r="64701" spans="6:6">
      <c r="F64701" s="2423"/>
    </row>
    <row r="64702" spans="6:6">
      <c r="F64702" s="2423"/>
    </row>
    <row r="64703" spans="6:6">
      <c r="F64703" s="2423"/>
    </row>
    <row r="64704" spans="6:6">
      <c r="F64704" s="2423"/>
    </row>
    <row r="64705" spans="6:6">
      <c r="F64705" s="2423"/>
    </row>
    <row r="64706" spans="6:6">
      <c r="F64706" s="2423"/>
    </row>
    <row r="64707" spans="6:6">
      <c r="F64707" s="2423"/>
    </row>
    <row r="64708" spans="6:6">
      <c r="F64708" s="2423"/>
    </row>
    <row r="64709" spans="6:6">
      <c r="F64709" s="2423"/>
    </row>
    <row r="64710" spans="6:6">
      <c r="F64710" s="2423"/>
    </row>
    <row r="64711" spans="6:6">
      <c r="F64711" s="2423"/>
    </row>
    <row r="64712" spans="6:6">
      <c r="F64712" s="2423"/>
    </row>
    <row r="64713" spans="6:6">
      <c r="F64713" s="2423"/>
    </row>
    <row r="64714" spans="6:6">
      <c r="F64714" s="2423"/>
    </row>
    <row r="64715" spans="6:6">
      <c r="F64715" s="2423"/>
    </row>
    <row r="64716" spans="6:6">
      <c r="F64716" s="2423"/>
    </row>
    <row r="64717" spans="6:6">
      <c r="F64717" s="2423"/>
    </row>
    <row r="64718" spans="6:6">
      <c r="F64718" s="2423"/>
    </row>
    <row r="64719" spans="6:6">
      <c r="F64719" s="2423"/>
    </row>
    <row r="64720" spans="6:6">
      <c r="F64720" s="2423"/>
    </row>
    <row r="64721" spans="6:6">
      <c r="F64721" s="2423"/>
    </row>
    <row r="64722" spans="6:6">
      <c r="F64722" s="2423"/>
    </row>
    <row r="64723" spans="6:6">
      <c r="F64723" s="2423"/>
    </row>
    <row r="64724" spans="6:6">
      <c r="F64724" s="2423"/>
    </row>
    <row r="64725" spans="6:6">
      <c r="F64725" s="2423"/>
    </row>
    <row r="64726" spans="6:6">
      <c r="F64726" s="2423"/>
    </row>
    <row r="64727" spans="6:6">
      <c r="F64727" s="2423"/>
    </row>
    <row r="64728" spans="6:6">
      <c r="F64728" s="2423"/>
    </row>
    <row r="64729" spans="6:6">
      <c r="F64729" s="2423"/>
    </row>
    <row r="64730" spans="6:6">
      <c r="F64730" s="2423"/>
    </row>
    <row r="64731" spans="6:6">
      <c r="F64731" s="2423"/>
    </row>
    <row r="64732" spans="6:6">
      <c r="F64732" s="2423"/>
    </row>
    <row r="64733" spans="6:6">
      <c r="F64733" s="2423"/>
    </row>
    <row r="64734" spans="6:6">
      <c r="F64734" s="2423"/>
    </row>
    <row r="64735" spans="6:6">
      <c r="F64735" s="2423"/>
    </row>
    <row r="64736" spans="6:6">
      <c r="F64736" s="2423"/>
    </row>
    <row r="64737" spans="6:6">
      <c r="F64737" s="2423"/>
    </row>
    <row r="64738" spans="6:6">
      <c r="F64738" s="2423"/>
    </row>
    <row r="64739" spans="6:6">
      <c r="F64739" s="2423"/>
    </row>
    <row r="64740" spans="6:6">
      <c r="F64740" s="2423"/>
    </row>
    <row r="64741" spans="6:6">
      <c r="F64741" s="2423"/>
    </row>
    <row r="64742" spans="6:6">
      <c r="F64742" s="2423"/>
    </row>
    <row r="64743" spans="6:6">
      <c r="F64743" s="2423"/>
    </row>
    <row r="64744" spans="6:6">
      <c r="F64744" s="2423"/>
    </row>
    <row r="64745" spans="6:6">
      <c r="F64745" s="2423"/>
    </row>
    <row r="64746" spans="6:6">
      <c r="F64746" s="2423"/>
    </row>
    <row r="64747" spans="6:6">
      <c r="F64747" s="2423"/>
    </row>
    <row r="64748" spans="6:6">
      <c r="F64748" s="2423"/>
    </row>
    <row r="64749" spans="6:6">
      <c r="F64749" s="2423"/>
    </row>
    <row r="64750" spans="6:6">
      <c r="F64750" s="2423"/>
    </row>
    <row r="64751" spans="6:6">
      <c r="F64751" s="2423"/>
    </row>
    <row r="64752" spans="6:6">
      <c r="F64752" s="2423"/>
    </row>
    <row r="64753" spans="6:6">
      <c r="F64753" s="2423"/>
    </row>
    <row r="64754" spans="6:6">
      <c r="F64754" s="2423"/>
    </row>
    <row r="64755" spans="6:6">
      <c r="F64755" s="2423"/>
    </row>
    <row r="64756" spans="6:6">
      <c r="F64756" s="2423"/>
    </row>
    <row r="64757" spans="6:6">
      <c r="F64757" s="2423"/>
    </row>
    <row r="64758" spans="6:6">
      <c r="F64758" s="2423"/>
    </row>
    <row r="64759" spans="6:6">
      <c r="F64759" s="2423"/>
    </row>
    <row r="64760" spans="6:6">
      <c r="F64760" s="2423"/>
    </row>
    <row r="64761" spans="6:6">
      <c r="F64761" s="2423"/>
    </row>
    <row r="64762" spans="6:6">
      <c r="F64762" s="2423"/>
    </row>
    <row r="64763" spans="6:6">
      <c r="F64763" s="2423"/>
    </row>
    <row r="64764" spans="6:6">
      <c r="F64764" s="2423"/>
    </row>
    <row r="64765" spans="6:6">
      <c r="F64765" s="2423"/>
    </row>
    <row r="64766" spans="6:6">
      <c r="F64766" s="2423"/>
    </row>
    <row r="64767" spans="6:6">
      <c r="F64767" s="2423"/>
    </row>
    <row r="64768" spans="6:6">
      <c r="F64768" s="2423"/>
    </row>
    <row r="64769" spans="6:6">
      <c r="F64769" s="2423"/>
    </row>
    <row r="64770" spans="6:6">
      <c r="F64770" s="2423"/>
    </row>
    <row r="64771" spans="6:6">
      <c r="F64771" s="2423"/>
    </row>
    <row r="64772" spans="6:6">
      <c r="F64772" s="2423"/>
    </row>
    <row r="64773" spans="6:6">
      <c r="F64773" s="2423"/>
    </row>
    <row r="64774" spans="6:6">
      <c r="F64774" s="2423"/>
    </row>
    <row r="64775" spans="6:6">
      <c r="F64775" s="2423"/>
    </row>
    <row r="64776" spans="6:6">
      <c r="F64776" s="2423"/>
    </row>
    <row r="64777" spans="6:6">
      <c r="F64777" s="2423"/>
    </row>
    <row r="64778" spans="6:6">
      <c r="F64778" s="2423"/>
    </row>
    <row r="64779" spans="6:6">
      <c r="F64779" s="2423"/>
    </row>
    <row r="64780" spans="6:6">
      <c r="F64780" s="2423"/>
    </row>
    <row r="64781" spans="6:6">
      <c r="F64781" s="2423"/>
    </row>
    <row r="64782" spans="6:6">
      <c r="F64782" s="2423"/>
    </row>
    <row r="64783" spans="6:6">
      <c r="F64783" s="2423"/>
    </row>
    <row r="64784" spans="6:6">
      <c r="F64784" s="2423"/>
    </row>
    <row r="64785" spans="6:6">
      <c r="F64785" s="2423"/>
    </row>
    <row r="64786" spans="6:6">
      <c r="F64786" s="2423"/>
    </row>
    <row r="64787" spans="6:6">
      <c r="F64787" s="2423"/>
    </row>
    <row r="64788" spans="6:6">
      <c r="F64788" s="2423"/>
    </row>
    <row r="64789" spans="6:6">
      <c r="F64789" s="2423"/>
    </row>
    <row r="64790" spans="6:6">
      <c r="F64790" s="2423"/>
    </row>
    <row r="64791" spans="6:6">
      <c r="F64791" s="2423"/>
    </row>
    <row r="64792" spans="6:6">
      <c r="F64792" s="2423"/>
    </row>
    <row r="64793" spans="6:6">
      <c r="F64793" s="2423"/>
    </row>
    <row r="64794" spans="6:6">
      <c r="F64794" s="2423"/>
    </row>
    <row r="64795" spans="6:6">
      <c r="F64795" s="2423"/>
    </row>
    <row r="64796" spans="6:6">
      <c r="F64796" s="2423"/>
    </row>
    <row r="64797" spans="6:6">
      <c r="F64797" s="2423"/>
    </row>
    <row r="64798" spans="6:6">
      <c r="F64798" s="2423"/>
    </row>
    <row r="64799" spans="6:6">
      <c r="F64799" s="2423"/>
    </row>
    <row r="64800" spans="6:6">
      <c r="F64800" s="2423"/>
    </row>
    <row r="64801" spans="6:6">
      <c r="F64801" s="2423"/>
    </row>
    <row r="64802" spans="6:6">
      <c r="F64802" s="2423"/>
    </row>
    <row r="64803" spans="6:6">
      <c r="F64803" s="2423"/>
    </row>
    <row r="64804" spans="6:6">
      <c r="F64804" s="2423"/>
    </row>
    <row r="64805" spans="6:6">
      <c r="F64805" s="2423"/>
    </row>
    <row r="64806" spans="6:6">
      <c r="F64806" s="2423"/>
    </row>
    <row r="64807" spans="6:6">
      <c r="F64807" s="2423"/>
    </row>
    <row r="64808" spans="6:6">
      <c r="F64808" s="2423"/>
    </row>
    <row r="64809" spans="6:6">
      <c r="F64809" s="2423"/>
    </row>
    <row r="64810" spans="6:6">
      <c r="F64810" s="2423"/>
    </row>
    <row r="64811" spans="6:6">
      <c r="F64811" s="2423"/>
    </row>
    <row r="64812" spans="6:6">
      <c r="F64812" s="2423"/>
    </row>
    <row r="64813" spans="6:6">
      <c r="F64813" s="2423"/>
    </row>
    <row r="64814" spans="6:6">
      <c r="F64814" s="2423"/>
    </row>
    <row r="64815" spans="6:6">
      <c r="F64815" s="2423"/>
    </row>
    <row r="64816" spans="6:6">
      <c r="F64816" s="2423"/>
    </row>
    <row r="64817" spans="6:6">
      <c r="F64817" s="2423"/>
    </row>
    <row r="64818" spans="6:6">
      <c r="F64818" s="2423"/>
    </row>
    <row r="64819" spans="6:6">
      <c r="F64819" s="2423"/>
    </row>
    <row r="64820" spans="6:6">
      <c r="F64820" s="2423"/>
    </row>
    <row r="64821" spans="6:6">
      <c r="F64821" s="2423"/>
    </row>
    <row r="64822" spans="6:6">
      <c r="F64822" s="2423"/>
    </row>
    <row r="64823" spans="6:6">
      <c r="F64823" s="2423"/>
    </row>
    <row r="64824" spans="6:6">
      <c r="F64824" s="2423"/>
    </row>
    <row r="64825" spans="6:6">
      <c r="F64825" s="2423"/>
    </row>
    <row r="64826" spans="6:6">
      <c r="F64826" s="2423"/>
    </row>
    <row r="64827" spans="6:6">
      <c r="F64827" s="2423"/>
    </row>
    <row r="64828" spans="6:6">
      <c r="F64828" s="2423"/>
    </row>
    <row r="64829" spans="6:6">
      <c r="F64829" s="2423"/>
    </row>
    <row r="64830" spans="6:6">
      <c r="F64830" s="2423"/>
    </row>
    <row r="64831" spans="6:6">
      <c r="F64831" s="2423"/>
    </row>
    <row r="64832" spans="6:6">
      <c r="F64832" s="2423"/>
    </row>
    <row r="64833" spans="6:6">
      <c r="F64833" s="2423"/>
    </row>
    <row r="64834" spans="6:6">
      <c r="F64834" s="2423"/>
    </row>
    <row r="64835" spans="6:6">
      <c r="F64835" s="2423"/>
    </row>
    <row r="64836" spans="6:6">
      <c r="F64836" s="2423"/>
    </row>
    <row r="64837" spans="6:6">
      <c r="F64837" s="2423"/>
    </row>
    <row r="64838" spans="6:6">
      <c r="F64838" s="2423"/>
    </row>
    <row r="64839" spans="6:6">
      <c r="F64839" s="2423"/>
    </row>
    <row r="64840" spans="6:6">
      <c r="F64840" s="2423"/>
    </row>
    <row r="64841" spans="6:6">
      <c r="F64841" s="2423"/>
    </row>
    <row r="64842" spans="6:6">
      <c r="F64842" s="2423"/>
    </row>
    <row r="64843" spans="6:6">
      <c r="F64843" s="2423"/>
    </row>
    <row r="64844" spans="6:6">
      <c r="F64844" s="2423"/>
    </row>
    <row r="64845" spans="6:6">
      <c r="F64845" s="2423"/>
    </row>
    <row r="64846" spans="6:6">
      <c r="F64846" s="2423"/>
    </row>
    <row r="64847" spans="6:6">
      <c r="F64847" s="2423"/>
    </row>
    <row r="64848" spans="6:6">
      <c r="F64848" s="2423"/>
    </row>
    <row r="64849" spans="6:6">
      <c r="F64849" s="2423"/>
    </row>
    <row r="64850" spans="6:6">
      <c r="F64850" s="2423"/>
    </row>
    <row r="64851" spans="6:6">
      <c r="F64851" s="2423"/>
    </row>
    <row r="64852" spans="6:6">
      <c r="F64852" s="2423"/>
    </row>
    <row r="64853" spans="6:6">
      <c r="F64853" s="2423"/>
    </row>
    <row r="64854" spans="6:6">
      <c r="F64854" s="2423"/>
    </row>
    <row r="64855" spans="6:6">
      <c r="F64855" s="2423"/>
    </row>
    <row r="64856" spans="6:6">
      <c r="F64856" s="2423"/>
    </row>
    <row r="64857" spans="6:6">
      <c r="F64857" s="2423"/>
    </row>
    <row r="64858" spans="6:6">
      <c r="F64858" s="2423"/>
    </row>
    <row r="64859" spans="6:6">
      <c r="F64859" s="2423"/>
    </row>
    <row r="64860" spans="6:6">
      <c r="F64860" s="2423"/>
    </row>
    <row r="64861" spans="6:6">
      <c r="F64861" s="2423"/>
    </row>
    <row r="64862" spans="6:6">
      <c r="F64862" s="2423"/>
    </row>
    <row r="64863" spans="6:6">
      <c r="F64863" s="2423"/>
    </row>
    <row r="64864" spans="6:6">
      <c r="F64864" s="2423"/>
    </row>
    <row r="64865" spans="6:6">
      <c r="F64865" s="2423"/>
    </row>
    <row r="64866" spans="6:6">
      <c r="F64866" s="2423"/>
    </row>
    <row r="64867" spans="6:6">
      <c r="F64867" s="2423"/>
    </row>
    <row r="64868" spans="6:6">
      <c r="F64868" s="2423"/>
    </row>
    <row r="64869" spans="6:6">
      <c r="F64869" s="2423"/>
    </row>
    <row r="64870" spans="6:6">
      <c r="F64870" s="2423"/>
    </row>
    <row r="64871" spans="6:6">
      <c r="F64871" s="2423"/>
    </row>
    <row r="64872" spans="6:6">
      <c r="F64872" s="2423"/>
    </row>
    <row r="64873" spans="6:6">
      <c r="F64873" s="2423"/>
    </row>
    <row r="64874" spans="6:6">
      <c r="F64874" s="2423"/>
    </row>
    <row r="64875" spans="6:6">
      <c r="F64875" s="2423"/>
    </row>
    <row r="64876" spans="6:6">
      <c r="F64876" s="2423"/>
    </row>
    <row r="64877" spans="6:6">
      <c r="F64877" s="2423"/>
    </row>
    <row r="64878" spans="6:6">
      <c r="F64878" s="2423"/>
    </row>
    <row r="64879" spans="6:6">
      <c r="F64879" s="2423"/>
    </row>
    <row r="64880" spans="6:6">
      <c r="F64880" s="2423"/>
    </row>
    <row r="64881" spans="6:6">
      <c r="F64881" s="2423"/>
    </row>
    <row r="64882" spans="6:6">
      <c r="F64882" s="2423"/>
    </row>
    <row r="64883" spans="6:6">
      <c r="F64883" s="2423"/>
    </row>
    <row r="64884" spans="6:6">
      <c r="F64884" s="2423"/>
    </row>
    <row r="64885" spans="6:6">
      <c r="F64885" s="2423"/>
    </row>
    <row r="64886" spans="6:6">
      <c r="F64886" s="2423"/>
    </row>
    <row r="64887" spans="6:6">
      <c r="F64887" s="2423"/>
    </row>
    <row r="64888" spans="6:6">
      <c r="F64888" s="2423"/>
    </row>
    <row r="64889" spans="6:6">
      <c r="F64889" s="2423"/>
    </row>
    <row r="64890" spans="6:6">
      <c r="F64890" s="2423"/>
    </row>
    <row r="64891" spans="6:6">
      <c r="F64891" s="2423"/>
    </row>
    <row r="64892" spans="6:6">
      <c r="F64892" s="2423"/>
    </row>
    <row r="64893" spans="6:6">
      <c r="F64893" s="2423"/>
    </row>
    <row r="64894" spans="6:6">
      <c r="F64894" s="2423"/>
    </row>
    <row r="64895" spans="6:6">
      <c r="F64895" s="2423"/>
    </row>
    <row r="64896" spans="6:6">
      <c r="F64896" s="2423"/>
    </row>
    <row r="64897" spans="6:6">
      <c r="F64897" s="2423"/>
    </row>
    <row r="64898" spans="6:6">
      <c r="F64898" s="2423"/>
    </row>
    <row r="64899" spans="6:6">
      <c r="F64899" s="2423"/>
    </row>
    <row r="64900" spans="6:6">
      <c r="F64900" s="2423"/>
    </row>
    <row r="64901" spans="6:6">
      <c r="F64901" s="2423"/>
    </row>
    <row r="64902" spans="6:6">
      <c r="F64902" s="2423"/>
    </row>
    <row r="64903" spans="6:6">
      <c r="F64903" s="2423"/>
    </row>
    <row r="64904" spans="6:6">
      <c r="F64904" s="2423"/>
    </row>
    <row r="64905" spans="6:6">
      <c r="F64905" s="2423"/>
    </row>
    <row r="64906" spans="6:6">
      <c r="F64906" s="2423"/>
    </row>
    <row r="64907" spans="6:6">
      <c r="F64907" s="2423"/>
    </row>
    <row r="64908" spans="6:6">
      <c r="F64908" s="2423"/>
    </row>
    <row r="64909" spans="6:6">
      <c r="F64909" s="2423"/>
    </row>
    <row r="64910" spans="6:6">
      <c r="F64910" s="2423"/>
    </row>
    <row r="64911" spans="6:6">
      <c r="F64911" s="2423"/>
    </row>
    <row r="64912" spans="6:6">
      <c r="F64912" s="2423"/>
    </row>
    <row r="64913" spans="6:6">
      <c r="F64913" s="2423"/>
    </row>
    <row r="64914" spans="6:6">
      <c r="F64914" s="2423"/>
    </row>
    <row r="64915" spans="6:6">
      <c r="F64915" s="2423"/>
    </row>
    <row r="64916" spans="6:6">
      <c r="F64916" s="2423"/>
    </row>
    <row r="64917" spans="6:6">
      <c r="F64917" s="2423"/>
    </row>
    <row r="64918" spans="6:6">
      <c r="F64918" s="2423"/>
    </row>
    <row r="64919" spans="6:6">
      <c r="F64919" s="2423"/>
    </row>
    <row r="64920" spans="6:6">
      <c r="F64920" s="2423"/>
    </row>
    <row r="64921" spans="6:6">
      <c r="F64921" s="2423"/>
    </row>
    <row r="64922" spans="6:6">
      <c r="F64922" s="2423"/>
    </row>
    <row r="64923" spans="6:6">
      <c r="F64923" s="2423"/>
    </row>
    <row r="64924" spans="6:6">
      <c r="F64924" s="2423"/>
    </row>
    <row r="64925" spans="6:6">
      <c r="F64925" s="2423"/>
    </row>
    <row r="64926" spans="6:6">
      <c r="F64926" s="2423"/>
    </row>
    <row r="64927" spans="6:6">
      <c r="F64927" s="2423"/>
    </row>
    <row r="64928" spans="6:6">
      <c r="F64928" s="2423"/>
    </row>
    <row r="64929" spans="6:6">
      <c r="F64929" s="2423"/>
    </row>
    <row r="64930" spans="6:6">
      <c r="F64930" s="2423"/>
    </row>
    <row r="64931" spans="6:6">
      <c r="F64931" s="2423"/>
    </row>
    <row r="64932" spans="6:6">
      <c r="F64932" s="2423"/>
    </row>
    <row r="64933" spans="6:6">
      <c r="F64933" s="2423"/>
    </row>
    <row r="64934" spans="6:6">
      <c r="F64934" s="2423"/>
    </row>
    <row r="64935" spans="6:6">
      <c r="F64935" s="2423"/>
    </row>
    <row r="64936" spans="6:6">
      <c r="F64936" s="2423"/>
    </row>
    <row r="64937" spans="6:6">
      <c r="F64937" s="2423"/>
    </row>
    <row r="64938" spans="6:6">
      <c r="F64938" s="2423"/>
    </row>
    <row r="64939" spans="6:6">
      <c r="F64939" s="2423"/>
    </row>
    <row r="64940" spans="6:6">
      <c r="F64940" s="2423"/>
    </row>
    <row r="64941" spans="6:6">
      <c r="F64941" s="2423"/>
    </row>
    <row r="64942" spans="6:6">
      <c r="F64942" s="2423"/>
    </row>
    <row r="64943" spans="6:6">
      <c r="F64943" s="2423"/>
    </row>
    <row r="64944" spans="6:6">
      <c r="F64944" s="2423"/>
    </row>
    <row r="64945" spans="6:6">
      <c r="F64945" s="2423"/>
    </row>
    <row r="64946" spans="6:6">
      <c r="F64946" s="2423"/>
    </row>
    <row r="64947" spans="6:6">
      <c r="F64947" s="2423"/>
    </row>
    <row r="64948" spans="6:6">
      <c r="F64948" s="2423"/>
    </row>
    <row r="64949" spans="6:6">
      <c r="F64949" s="2423"/>
    </row>
    <row r="64950" spans="6:6">
      <c r="F64950" s="2423"/>
    </row>
    <row r="64951" spans="6:6">
      <c r="F64951" s="2423"/>
    </row>
    <row r="64952" spans="6:6">
      <c r="F64952" s="2423"/>
    </row>
    <row r="64953" spans="6:6">
      <c r="F64953" s="2423"/>
    </row>
    <row r="64954" spans="6:6">
      <c r="F64954" s="2423"/>
    </row>
    <row r="64955" spans="6:6">
      <c r="F64955" s="2423"/>
    </row>
    <row r="64956" spans="6:6">
      <c r="F64956" s="2423"/>
    </row>
    <row r="64957" spans="6:6">
      <c r="F64957" s="2423"/>
    </row>
    <row r="64958" spans="6:6">
      <c r="F64958" s="2423"/>
    </row>
    <row r="64959" spans="6:6">
      <c r="F64959" s="2423"/>
    </row>
    <row r="64960" spans="6:6">
      <c r="F64960" s="2423"/>
    </row>
    <row r="64961" spans="6:6">
      <c r="F64961" s="2423"/>
    </row>
    <row r="64962" spans="6:6">
      <c r="F64962" s="2423"/>
    </row>
    <row r="64963" spans="6:6">
      <c r="F64963" s="2423"/>
    </row>
    <row r="64964" spans="6:6">
      <c r="F64964" s="2423"/>
    </row>
    <row r="64965" spans="6:6">
      <c r="F64965" s="2423"/>
    </row>
    <row r="64966" spans="6:6">
      <c r="F64966" s="2423"/>
    </row>
    <row r="64967" spans="6:6">
      <c r="F64967" s="2423"/>
    </row>
    <row r="64968" spans="6:6">
      <c r="F64968" s="2423"/>
    </row>
    <row r="64969" spans="6:6">
      <c r="F64969" s="2423"/>
    </row>
    <row r="64970" spans="6:6">
      <c r="F64970" s="2423"/>
    </row>
    <row r="64971" spans="6:6">
      <c r="F64971" s="2423"/>
    </row>
    <row r="64972" spans="6:6">
      <c r="F64972" s="2423"/>
    </row>
    <row r="64973" spans="6:6">
      <c r="F64973" s="2423"/>
    </row>
    <row r="64974" spans="6:6">
      <c r="F64974" s="2423"/>
    </row>
    <row r="64975" spans="6:6">
      <c r="F64975" s="2423"/>
    </row>
    <row r="64976" spans="6:6">
      <c r="F64976" s="2423"/>
    </row>
    <row r="64977" spans="6:6">
      <c r="F64977" s="2423"/>
    </row>
    <row r="64978" spans="6:6">
      <c r="F64978" s="2423"/>
    </row>
    <row r="64979" spans="6:6">
      <c r="F64979" s="2423"/>
    </row>
    <row r="64980" spans="6:6">
      <c r="F64980" s="2423"/>
    </row>
    <row r="64981" spans="6:6">
      <c r="F64981" s="2423"/>
    </row>
    <row r="64982" spans="6:6">
      <c r="F64982" s="2423"/>
    </row>
    <row r="64983" spans="6:6">
      <c r="F64983" s="2423"/>
    </row>
    <row r="64984" spans="6:6">
      <c r="F64984" s="2423"/>
    </row>
    <row r="64985" spans="6:6">
      <c r="F64985" s="2423"/>
    </row>
    <row r="64986" spans="6:6">
      <c r="F64986" s="2423"/>
    </row>
    <row r="64987" spans="6:6">
      <c r="F64987" s="2423"/>
    </row>
    <row r="64988" spans="6:6">
      <c r="F64988" s="2423"/>
    </row>
    <row r="64989" spans="6:6">
      <c r="F64989" s="2423"/>
    </row>
    <row r="64990" spans="6:6">
      <c r="F64990" s="2423"/>
    </row>
    <row r="64991" spans="6:6">
      <c r="F64991" s="2423"/>
    </row>
    <row r="64992" spans="6:6">
      <c r="F64992" s="2423"/>
    </row>
    <row r="64993" spans="6:6">
      <c r="F64993" s="2423"/>
    </row>
    <row r="64994" spans="6:6">
      <c r="F64994" s="2423"/>
    </row>
    <row r="64995" spans="6:6">
      <c r="F64995" s="2423"/>
    </row>
    <row r="64996" spans="6:6">
      <c r="F64996" s="2423"/>
    </row>
    <row r="64997" spans="6:6">
      <c r="F64997" s="2423"/>
    </row>
    <row r="64998" spans="6:6">
      <c r="F64998" s="2423"/>
    </row>
    <row r="64999" spans="6:6">
      <c r="F64999" s="2423"/>
    </row>
    <row r="65000" spans="6:6">
      <c r="F65000" s="2423"/>
    </row>
    <row r="65001" spans="6:6">
      <c r="F65001" s="2423"/>
    </row>
    <row r="65002" spans="6:6">
      <c r="F65002" s="2423"/>
    </row>
    <row r="65003" spans="6:6">
      <c r="F65003" s="2423"/>
    </row>
    <row r="65004" spans="6:6">
      <c r="F65004" s="2423"/>
    </row>
    <row r="65005" spans="6:6">
      <c r="F65005" s="2423"/>
    </row>
    <row r="65006" spans="6:6">
      <c r="F65006" s="2423"/>
    </row>
    <row r="65007" spans="6:6">
      <c r="F65007" s="2423"/>
    </row>
    <row r="65008" spans="6:6">
      <c r="F65008" s="2423"/>
    </row>
    <row r="65009" spans="6:6">
      <c r="F65009" s="2423"/>
    </row>
    <row r="65010" spans="6:6">
      <c r="F65010" s="2423"/>
    </row>
    <row r="65011" spans="6:6">
      <c r="F65011" s="2423"/>
    </row>
    <row r="65012" spans="6:6">
      <c r="F65012" s="2423"/>
    </row>
    <row r="65013" spans="6:6">
      <c r="F65013" s="2423"/>
    </row>
    <row r="65014" spans="6:6">
      <c r="F65014" s="2423"/>
    </row>
    <row r="65015" spans="6:6">
      <c r="F65015" s="2423"/>
    </row>
    <row r="65016" spans="6:6">
      <c r="F65016" s="2423"/>
    </row>
    <row r="65017" spans="6:6">
      <c r="F65017" s="2423"/>
    </row>
    <row r="65018" spans="6:6">
      <c r="F65018" s="2423"/>
    </row>
    <row r="65019" spans="6:6">
      <c r="F65019" s="2423"/>
    </row>
    <row r="65020" spans="6:6">
      <c r="F65020" s="2423"/>
    </row>
    <row r="65021" spans="6:6">
      <c r="F65021" s="2423"/>
    </row>
    <row r="65022" spans="6:6">
      <c r="F65022" s="2423"/>
    </row>
    <row r="65023" spans="6:6">
      <c r="F65023" s="2423"/>
    </row>
    <row r="65024" spans="6:6">
      <c r="F65024" s="2423"/>
    </row>
    <row r="65025" spans="6:6">
      <c r="F65025" s="2423"/>
    </row>
    <row r="65026" spans="6:6">
      <c r="F65026" s="2423"/>
    </row>
    <row r="65027" spans="6:6">
      <c r="F65027" s="2423"/>
    </row>
    <row r="65028" spans="6:6">
      <c r="F65028" s="2423"/>
    </row>
    <row r="65029" spans="6:6">
      <c r="F65029" s="2423"/>
    </row>
    <row r="65030" spans="6:6">
      <c r="F65030" s="2423"/>
    </row>
    <row r="65031" spans="6:6">
      <c r="F65031" s="2423"/>
    </row>
    <row r="65032" spans="6:6">
      <c r="F65032" s="2423"/>
    </row>
    <row r="65033" spans="6:6">
      <c r="F65033" s="2423"/>
    </row>
    <row r="65034" spans="6:6">
      <c r="F65034" s="2423"/>
    </row>
    <row r="65035" spans="6:6">
      <c r="F65035" s="2423"/>
    </row>
    <row r="65036" spans="6:6">
      <c r="F65036" s="2423"/>
    </row>
    <row r="65037" spans="6:6">
      <c r="F65037" s="2423"/>
    </row>
    <row r="65038" spans="6:6">
      <c r="F65038" s="2423"/>
    </row>
    <row r="65039" spans="6:6">
      <c r="F65039" s="2423"/>
    </row>
    <row r="65040" spans="6:6">
      <c r="F65040" s="2423"/>
    </row>
    <row r="65041" spans="6:6">
      <c r="F65041" s="2423"/>
    </row>
    <row r="65042" spans="6:6">
      <c r="F65042" s="2423"/>
    </row>
    <row r="65043" spans="6:6">
      <c r="F65043" s="2423"/>
    </row>
    <row r="65044" spans="6:6">
      <c r="F65044" s="2423"/>
    </row>
    <row r="65045" spans="6:6">
      <c r="F65045" s="2423"/>
    </row>
    <row r="65046" spans="6:6">
      <c r="F65046" s="2423"/>
    </row>
    <row r="65047" spans="6:6">
      <c r="F65047" s="2423"/>
    </row>
    <row r="65048" spans="6:6">
      <c r="F65048" s="2423"/>
    </row>
    <row r="65049" spans="6:6">
      <c r="F65049" s="2423"/>
    </row>
    <row r="65050" spans="6:6">
      <c r="F65050" s="2423"/>
    </row>
    <row r="65051" spans="6:6">
      <c r="F65051" s="2423"/>
    </row>
    <row r="65052" spans="6:6">
      <c r="F65052" s="2423"/>
    </row>
    <row r="65053" spans="6:6">
      <c r="F65053" s="2423"/>
    </row>
    <row r="65054" spans="6:6">
      <c r="F65054" s="2423"/>
    </row>
    <row r="65055" spans="6:6">
      <c r="F65055" s="2423"/>
    </row>
    <row r="65056" spans="6:6">
      <c r="F65056" s="2423"/>
    </row>
    <row r="65057" spans="6:6">
      <c r="F65057" s="2423"/>
    </row>
    <row r="65058" spans="6:6">
      <c r="F65058" s="2423"/>
    </row>
    <row r="65059" spans="6:6">
      <c r="F65059" s="2423"/>
    </row>
    <row r="65060" spans="6:6">
      <c r="F65060" s="2423"/>
    </row>
    <row r="65061" spans="6:6">
      <c r="F65061" s="2423"/>
    </row>
    <row r="65062" spans="6:6">
      <c r="F65062" s="2423"/>
    </row>
    <row r="65063" spans="6:6">
      <c r="F65063" s="2423"/>
    </row>
    <row r="65064" spans="6:6">
      <c r="F65064" s="2423"/>
    </row>
    <row r="65065" spans="6:6">
      <c r="F65065" s="2423"/>
    </row>
    <row r="65066" spans="6:6">
      <c r="F65066" s="2423"/>
    </row>
    <row r="65067" spans="6:6">
      <c r="F65067" s="2423"/>
    </row>
    <row r="65068" spans="6:6">
      <c r="F65068" s="2423"/>
    </row>
    <row r="65069" spans="6:6">
      <c r="F65069" s="2423"/>
    </row>
    <row r="65070" spans="6:6">
      <c r="F65070" s="2423"/>
    </row>
    <row r="65071" spans="6:6">
      <c r="F65071" s="2423"/>
    </row>
    <row r="65072" spans="6:6">
      <c r="F65072" s="2423"/>
    </row>
    <row r="65073" spans="6:6">
      <c r="F65073" s="2423"/>
    </row>
    <row r="65074" spans="6:6">
      <c r="F65074" s="2423"/>
    </row>
    <row r="65075" spans="6:6">
      <c r="F65075" s="2423"/>
    </row>
    <row r="65076" spans="6:6">
      <c r="F65076" s="2423"/>
    </row>
    <row r="65077" spans="6:6">
      <c r="F65077" s="2423"/>
    </row>
    <row r="65078" spans="6:6">
      <c r="F65078" s="2423"/>
    </row>
    <row r="65079" spans="6:6">
      <c r="F65079" s="2423"/>
    </row>
    <row r="65080" spans="6:6">
      <c r="F65080" s="2423"/>
    </row>
    <row r="65081" spans="6:6">
      <c r="F65081" s="2423"/>
    </row>
    <row r="65082" spans="6:6">
      <c r="F65082" s="2423"/>
    </row>
    <row r="65083" spans="6:6">
      <c r="F65083" s="2423"/>
    </row>
    <row r="65084" spans="6:6">
      <c r="F65084" s="2423"/>
    </row>
    <row r="65085" spans="6:6">
      <c r="F65085" s="2423"/>
    </row>
    <row r="65086" spans="6:6">
      <c r="F65086" s="2423"/>
    </row>
    <row r="65087" spans="6:6">
      <c r="F65087" s="2423"/>
    </row>
    <row r="65088" spans="6:6">
      <c r="F65088" s="2423"/>
    </row>
    <row r="65089" spans="6:6">
      <c r="F65089" s="2423"/>
    </row>
    <row r="65090" spans="6:6">
      <c r="F65090" s="2423"/>
    </row>
    <row r="65091" spans="6:6">
      <c r="F65091" s="2423"/>
    </row>
    <row r="65092" spans="6:6">
      <c r="F65092" s="2423"/>
    </row>
    <row r="65093" spans="6:6">
      <c r="F65093" s="2423"/>
    </row>
    <row r="65094" spans="6:6">
      <c r="F65094" s="2423"/>
    </row>
    <row r="65095" spans="6:6">
      <c r="F65095" s="2423"/>
    </row>
    <row r="65096" spans="6:6">
      <c r="F65096" s="2423"/>
    </row>
    <row r="65097" spans="6:6">
      <c r="F65097" s="2423"/>
    </row>
    <row r="65098" spans="6:6">
      <c r="F65098" s="2423"/>
    </row>
    <row r="65099" spans="6:6">
      <c r="F65099" s="2423"/>
    </row>
    <row r="65100" spans="6:6">
      <c r="F65100" s="2423"/>
    </row>
    <row r="65101" spans="6:6">
      <c r="F65101" s="2423"/>
    </row>
    <row r="65102" spans="6:6">
      <c r="F65102" s="2423"/>
    </row>
    <row r="65103" spans="6:6">
      <c r="F65103" s="2423"/>
    </row>
    <row r="65104" spans="6:6">
      <c r="F65104" s="2423"/>
    </row>
    <row r="65105" spans="6:6">
      <c r="F65105" s="2423"/>
    </row>
    <row r="65106" spans="6:6">
      <c r="F65106" s="2423"/>
    </row>
    <row r="65107" spans="6:6">
      <c r="F65107" s="2423"/>
    </row>
    <row r="65108" spans="6:6">
      <c r="F65108" s="2423"/>
    </row>
    <row r="65109" spans="6:6">
      <c r="F65109" s="2423"/>
    </row>
    <row r="65110" spans="6:6">
      <c r="F65110" s="2423"/>
    </row>
    <row r="65111" spans="6:6">
      <c r="F65111" s="2423"/>
    </row>
    <row r="65112" spans="6:6">
      <c r="F65112" s="2423"/>
    </row>
    <row r="65113" spans="6:6">
      <c r="F65113" s="2423"/>
    </row>
    <row r="65114" spans="6:6">
      <c r="F65114" s="2423"/>
    </row>
    <row r="65115" spans="6:6">
      <c r="F65115" s="2423"/>
    </row>
    <row r="65116" spans="6:6">
      <c r="F65116" s="2423"/>
    </row>
    <row r="65117" spans="6:6">
      <c r="F65117" s="2423"/>
    </row>
    <row r="65118" spans="6:6">
      <c r="F65118" s="2423"/>
    </row>
    <row r="65119" spans="6:6">
      <c r="F65119" s="2423"/>
    </row>
    <row r="65120" spans="6:6">
      <c r="F65120" s="2423"/>
    </row>
    <row r="65121" spans="6:6">
      <c r="F65121" s="2423"/>
    </row>
    <row r="65122" spans="6:6">
      <c r="F65122" s="2423"/>
    </row>
    <row r="65123" spans="6:6">
      <c r="F65123" s="2423"/>
    </row>
    <row r="65124" spans="6:6">
      <c r="F65124" s="2423"/>
    </row>
    <row r="65125" spans="6:6">
      <c r="F65125" s="2423"/>
    </row>
    <row r="65126" spans="6:6">
      <c r="F65126" s="2423"/>
    </row>
    <row r="65127" spans="6:6">
      <c r="F65127" s="2423"/>
    </row>
    <row r="65128" spans="6:6">
      <c r="F65128" s="2423"/>
    </row>
    <row r="65129" spans="6:6">
      <c r="F65129" s="2423"/>
    </row>
    <row r="65130" spans="6:6">
      <c r="F65130" s="2423"/>
    </row>
    <row r="65131" spans="6:6">
      <c r="F65131" s="2423"/>
    </row>
    <row r="65132" spans="6:6">
      <c r="F65132" s="2423"/>
    </row>
    <row r="65133" spans="6:6">
      <c r="F65133" s="2423"/>
    </row>
    <row r="65134" spans="6:6">
      <c r="F65134" s="2423"/>
    </row>
    <row r="65135" spans="6:6">
      <c r="F65135" s="2423"/>
    </row>
    <row r="65136" spans="6:6">
      <c r="F65136" s="2423"/>
    </row>
    <row r="65137" spans="6:6">
      <c r="F65137" s="2423"/>
    </row>
    <row r="65138" spans="6:6">
      <c r="F65138" s="2423"/>
    </row>
    <row r="65139" spans="6:6">
      <c r="F65139" s="2423"/>
    </row>
    <row r="65140" spans="6:6">
      <c r="F65140" s="2423"/>
    </row>
    <row r="65141" spans="6:6">
      <c r="F65141" s="2423"/>
    </row>
    <row r="65142" spans="6:6">
      <c r="F65142" s="2423"/>
    </row>
    <row r="65143" spans="6:6">
      <c r="F65143" s="2423"/>
    </row>
    <row r="65144" spans="6:6">
      <c r="F65144" s="2423"/>
    </row>
    <row r="65145" spans="6:6">
      <c r="F65145" s="2423"/>
    </row>
    <row r="65146" spans="6:6">
      <c r="F65146" s="2423"/>
    </row>
    <row r="65147" spans="6:6">
      <c r="F65147" s="2423"/>
    </row>
    <row r="65148" spans="6:6">
      <c r="F65148" s="2423"/>
    </row>
    <row r="65149" spans="6:6">
      <c r="F65149" s="2423"/>
    </row>
    <row r="65150" spans="6:6">
      <c r="F65150" s="2423"/>
    </row>
    <row r="65151" spans="6:6">
      <c r="F65151" s="2423"/>
    </row>
    <row r="65152" spans="6:6">
      <c r="F65152" s="2423"/>
    </row>
    <row r="65153" spans="6:6">
      <c r="F65153" s="2423"/>
    </row>
    <row r="65154" spans="6:6">
      <c r="F65154" s="2423"/>
    </row>
    <row r="65155" spans="6:6">
      <c r="F65155" s="2423"/>
    </row>
    <row r="65156" spans="6:6">
      <c r="F65156" s="2423"/>
    </row>
    <row r="65157" spans="6:6">
      <c r="F65157" s="2423"/>
    </row>
    <row r="65158" spans="6:6">
      <c r="F65158" s="2423"/>
    </row>
    <row r="65159" spans="6:6">
      <c r="F65159" s="2423"/>
    </row>
    <row r="65160" spans="6:6">
      <c r="F65160" s="2423"/>
    </row>
    <row r="65161" spans="6:6">
      <c r="F65161" s="2423"/>
    </row>
    <row r="65162" spans="6:6">
      <c r="F65162" s="2423"/>
    </row>
    <row r="65163" spans="6:6">
      <c r="F65163" s="2423"/>
    </row>
    <row r="65164" spans="6:6">
      <c r="F65164" s="2423"/>
    </row>
    <row r="65165" spans="6:6">
      <c r="F65165" s="2423"/>
    </row>
    <row r="65166" spans="6:6">
      <c r="F65166" s="2423"/>
    </row>
    <row r="65167" spans="6:6">
      <c r="F65167" s="2423"/>
    </row>
    <row r="65168" spans="6:6">
      <c r="F65168" s="2423"/>
    </row>
    <row r="65169" spans="6:6">
      <c r="F65169" s="2423"/>
    </row>
    <row r="65170" spans="6:6">
      <c r="F65170" s="2423"/>
    </row>
    <row r="65171" spans="6:6">
      <c r="F65171" s="2423"/>
    </row>
    <row r="65172" spans="6:6">
      <c r="F65172" s="2423"/>
    </row>
    <row r="65173" spans="6:6">
      <c r="F65173" s="2423"/>
    </row>
    <row r="65174" spans="6:6">
      <c r="F65174" s="2423"/>
    </row>
    <row r="65175" spans="6:6">
      <c r="F65175" s="2423"/>
    </row>
    <row r="65176" spans="6:6">
      <c r="F65176" s="2423"/>
    </row>
    <row r="65177" spans="6:6">
      <c r="F65177" s="2423"/>
    </row>
    <row r="65178" spans="6:6">
      <c r="F65178" s="2423"/>
    </row>
    <row r="65179" spans="6:6">
      <c r="F65179" s="2423"/>
    </row>
    <row r="65180" spans="6:6">
      <c r="F65180" s="2423"/>
    </row>
    <row r="65181" spans="6:6">
      <c r="F65181" s="2423"/>
    </row>
    <row r="65182" spans="6:6">
      <c r="F65182" s="2423"/>
    </row>
    <row r="65183" spans="6:6">
      <c r="F65183" s="2423"/>
    </row>
    <row r="65184" spans="6:6">
      <c r="F65184" s="2423"/>
    </row>
    <row r="65185" spans="6:6">
      <c r="F65185" s="2423"/>
    </row>
    <row r="65186" spans="6:6">
      <c r="F65186" s="2423"/>
    </row>
    <row r="65187" spans="6:6">
      <c r="F65187" s="2423"/>
    </row>
    <row r="65188" spans="6:6">
      <c r="F65188" s="2423"/>
    </row>
    <row r="65189" spans="6:6">
      <c r="F65189" s="2423"/>
    </row>
    <row r="65190" spans="6:6">
      <c r="F65190" s="2423"/>
    </row>
    <row r="65191" spans="6:6">
      <c r="F65191" s="2423"/>
    </row>
    <row r="65192" spans="6:6">
      <c r="F65192" s="2423"/>
    </row>
    <row r="65193" spans="6:6">
      <c r="F65193" s="2423"/>
    </row>
    <row r="65194" spans="6:6">
      <c r="F65194" s="2423"/>
    </row>
    <row r="65195" spans="6:6">
      <c r="F65195" s="2423"/>
    </row>
    <row r="65196" spans="6:6">
      <c r="F65196" s="2423"/>
    </row>
    <row r="65197" spans="6:6">
      <c r="F65197" s="2423"/>
    </row>
    <row r="65198" spans="6:6">
      <c r="F65198" s="2423"/>
    </row>
    <row r="65199" spans="6:6">
      <c r="F65199" s="2423"/>
    </row>
    <row r="65200" spans="6:6">
      <c r="F65200" s="2423"/>
    </row>
    <row r="65201" spans="6:6">
      <c r="F65201" s="2423"/>
    </row>
    <row r="65202" spans="6:6">
      <c r="F65202" s="2423"/>
    </row>
    <row r="65203" spans="6:6">
      <c r="F65203" s="2423"/>
    </row>
    <row r="65204" spans="6:6">
      <c r="F65204" s="2423"/>
    </row>
    <row r="65205" spans="6:6">
      <c r="F65205" s="2423"/>
    </row>
    <row r="65206" spans="6:6">
      <c r="F65206" s="2423"/>
    </row>
    <row r="65207" spans="6:6">
      <c r="F65207" s="2423"/>
    </row>
    <row r="65208" spans="6:6">
      <c r="F65208" s="2423"/>
    </row>
    <row r="65209" spans="6:6">
      <c r="F65209" s="2423"/>
    </row>
    <row r="65210" spans="6:6">
      <c r="F65210" s="2423"/>
    </row>
    <row r="65211" spans="6:6">
      <c r="F65211" s="2423"/>
    </row>
    <row r="65212" spans="6:6">
      <c r="F65212" s="2423"/>
    </row>
    <row r="65213" spans="6:6">
      <c r="F65213" s="2423"/>
    </row>
    <row r="65214" spans="6:6">
      <c r="F65214" s="2423"/>
    </row>
    <row r="65215" spans="6:6">
      <c r="F65215" s="2423"/>
    </row>
    <row r="65216" spans="6:6">
      <c r="F65216" s="2423"/>
    </row>
    <row r="65217" spans="6:6">
      <c r="F65217" s="2423"/>
    </row>
    <row r="65218" spans="6:6">
      <c r="F65218" s="2423"/>
    </row>
    <row r="65219" spans="6:6">
      <c r="F65219" s="2423"/>
    </row>
    <row r="65220" spans="6:6">
      <c r="F65220" s="2423"/>
    </row>
    <row r="65221" spans="6:6">
      <c r="F65221" s="2423"/>
    </row>
    <row r="65222" spans="6:6">
      <c r="F65222" s="2423"/>
    </row>
    <row r="65223" spans="6:6">
      <c r="F65223" s="2423"/>
    </row>
    <row r="65224" spans="6:6">
      <c r="F65224" s="2423"/>
    </row>
    <row r="65225" spans="6:6">
      <c r="F65225" s="2423"/>
    </row>
    <row r="65226" spans="6:6">
      <c r="F65226" s="2423"/>
    </row>
    <row r="65227" spans="6:6">
      <c r="F65227" s="2423"/>
    </row>
    <row r="65228" spans="6:6">
      <c r="F65228" s="2423"/>
    </row>
    <row r="65229" spans="6:6">
      <c r="F65229" s="2423"/>
    </row>
    <row r="65230" spans="6:6">
      <c r="F65230" s="2423"/>
    </row>
    <row r="65231" spans="6:6">
      <c r="F65231" s="2423"/>
    </row>
    <row r="65232" spans="6:6">
      <c r="F65232" s="2423"/>
    </row>
    <row r="65233" spans="6:6">
      <c r="F65233" s="2423"/>
    </row>
    <row r="65234" spans="6:6">
      <c r="F65234" s="2423"/>
    </row>
    <row r="65235" spans="6:6">
      <c r="F65235" s="2423"/>
    </row>
    <row r="65236" spans="6:6">
      <c r="F65236" s="2423"/>
    </row>
    <row r="65237" spans="6:6">
      <c r="F65237" s="2423"/>
    </row>
    <row r="65238" spans="6:6">
      <c r="F65238" s="2423"/>
    </row>
    <row r="65239" spans="6:6">
      <c r="F65239" s="2423"/>
    </row>
    <row r="65240" spans="6:6">
      <c r="F65240" s="2423"/>
    </row>
    <row r="65241" spans="6:6">
      <c r="F65241" s="2423"/>
    </row>
    <row r="65242" spans="6:6">
      <c r="F65242" s="2423"/>
    </row>
    <row r="65243" spans="6:6">
      <c r="F65243" s="2423"/>
    </row>
    <row r="65244" spans="6:6">
      <c r="F65244" s="2423"/>
    </row>
    <row r="65245" spans="6:6">
      <c r="F65245" s="2423"/>
    </row>
    <row r="65246" spans="6:6">
      <c r="F65246" s="2423"/>
    </row>
    <row r="65247" spans="6:6">
      <c r="F65247" s="2423"/>
    </row>
    <row r="65248" spans="6:6">
      <c r="F65248" s="2423"/>
    </row>
    <row r="65249" spans="6:6">
      <c r="F65249" s="2423"/>
    </row>
    <row r="65250" spans="6:6">
      <c r="F65250" s="2423"/>
    </row>
    <row r="65251" spans="6:6">
      <c r="F65251" s="2423"/>
    </row>
    <row r="65252" spans="6:6">
      <c r="F65252" s="2423"/>
    </row>
    <row r="65253" spans="6:6">
      <c r="F65253" s="2423"/>
    </row>
    <row r="65254" spans="6:6">
      <c r="F65254" s="2423"/>
    </row>
    <row r="65255" spans="6:6">
      <c r="F65255" s="2423"/>
    </row>
    <row r="65256" spans="6:6">
      <c r="F65256" s="2423"/>
    </row>
    <row r="65257" spans="6:6">
      <c r="F65257" s="2423"/>
    </row>
    <row r="65258" spans="6:6">
      <c r="F65258" s="2423"/>
    </row>
    <row r="65259" spans="6:6">
      <c r="F65259" s="2423"/>
    </row>
    <row r="65260" spans="6:6">
      <c r="F65260" s="2423"/>
    </row>
    <row r="65261" spans="6:6">
      <c r="F65261" s="2423"/>
    </row>
    <row r="65262" spans="6:6">
      <c r="F65262" s="2423"/>
    </row>
    <row r="65263" spans="6:6">
      <c r="F65263" s="2423"/>
    </row>
    <row r="65264" spans="6:6">
      <c r="F65264" s="2423"/>
    </row>
    <row r="65265" spans="6:6">
      <c r="F65265" s="2423"/>
    </row>
    <row r="65266" spans="6:6">
      <c r="F65266" s="2423"/>
    </row>
    <row r="65267" spans="6:6">
      <c r="F65267" s="2423"/>
    </row>
    <row r="65268" spans="6:6">
      <c r="F65268" s="2423"/>
    </row>
    <row r="65269" spans="6:6">
      <c r="F65269" s="2423"/>
    </row>
    <row r="65270" spans="6:6">
      <c r="F65270" s="2423"/>
    </row>
    <row r="65271" spans="6:6">
      <c r="F65271" s="2423"/>
    </row>
    <row r="65272" spans="6:6">
      <c r="F65272" s="2423"/>
    </row>
    <row r="65273" spans="6:6">
      <c r="F65273" s="2423"/>
    </row>
    <row r="65274" spans="6:6">
      <c r="F65274" s="2423"/>
    </row>
    <row r="65275" spans="6:6">
      <c r="F65275" s="2423"/>
    </row>
    <row r="65276" spans="6:6">
      <c r="F65276" s="2423"/>
    </row>
    <row r="65277" spans="6:6">
      <c r="F65277" s="2423"/>
    </row>
    <row r="65278" spans="6:6">
      <c r="F65278" s="2423"/>
    </row>
    <row r="65279" spans="6:6">
      <c r="F65279" s="2423"/>
    </row>
    <row r="65280" spans="6:6">
      <c r="F65280" s="2423"/>
    </row>
    <row r="65281" spans="6:6">
      <c r="F65281" s="2423"/>
    </row>
    <row r="65282" spans="6:6">
      <c r="F65282" s="2423"/>
    </row>
    <row r="65283" spans="6:6">
      <c r="F65283" s="2423"/>
    </row>
    <row r="65284" spans="6:6">
      <c r="F65284" s="2423"/>
    </row>
    <row r="65285" spans="6:6">
      <c r="F65285" s="2423"/>
    </row>
    <row r="65286" spans="6:6">
      <c r="F65286" s="2423"/>
    </row>
    <row r="65287" spans="6:6">
      <c r="F65287" s="2423"/>
    </row>
    <row r="65288" spans="6:6">
      <c r="F65288" s="2423"/>
    </row>
    <row r="65289" spans="6:6">
      <c r="F65289" s="2423"/>
    </row>
    <row r="65290" spans="6:6">
      <c r="F65290" s="2423"/>
    </row>
    <row r="65291" spans="6:6">
      <c r="F65291" s="2423"/>
    </row>
    <row r="65292" spans="6:6">
      <c r="F65292" s="2423"/>
    </row>
    <row r="65293" spans="6:6">
      <c r="F65293" s="2423"/>
    </row>
    <row r="65294" spans="6:6">
      <c r="F65294" s="2423"/>
    </row>
    <row r="65295" spans="6:6">
      <c r="F65295" s="2423"/>
    </row>
    <row r="65296" spans="6:6">
      <c r="F65296" s="2423"/>
    </row>
    <row r="65297" spans="6:6">
      <c r="F65297" s="2423"/>
    </row>
    <row r="65298" spans="6:6">
      <c r="F65298" s="2423"/>
    </row>
    <row r="65299" spans="6:6">
      <c r="F65299" s="2423"/>
    </row>
    <row r="65300" spans="6:6">
      <c r="F65300" s="2423"/>
    </row>
    <row r="65301" spans="6:6">
      <c r="F65301" s="2423"/>
    </row>
    <row r="65302" spans="6:6">
      <c r="F65302" s="2423"/>
    </row>
    <row r="65303" spans="6:6">
      <c r="F65303" s="2423"/>
    </row>
    <row r="65304" spans="6:6">
      <c r="F65304" s="2423"/>
    </row>
    <row r="65305" spans="6:6">
      <c r="F65305" s="2423"/>
    </row>
    <row r="65306" spans="6:6">
      <c r="F65306" s="2423"/>
    </row>
    <row r="65307" spans="6:6">
      <c r="F65307" s="2423"/>
    </row>
    <row r="65308" spans="6:6">
      <c r="F65308" s="2423"/>
    </row>
    <row r="65309" spans="6:6">
      <c r="F65309" s="2423"/>
    </row>
    <row r="65310" spans="6:6">
      <c r="F65310" s="2423"/>
    </row>
    <row r="65311" spans="6:6">
      <c r="F65311" s="2423"/>
    </row>
    <row r="65312" spans="6:6">
      <c r="F65312" s="2423"/>
    </row>
    <row r="65313" spans="6:6">
      <c r="F65313" s="2423"/>
    </row>
    <row r="65314" spans="6:6">
      <c r="F65314" s="2423"/>
    </row>
    <row r="65315" spans="6:6">
      <c r="F65315" s="2423"/>
    </row>
    <row r="65316" spans="6:6">
      <c r="F65316" s="2423"/>
    </row>
    <row r="65317" spans="6:6">
      <c r="F65317" s="2423"/>
    </row>
    <row r="65318" spans="6:6">
      <c r="F65318" s="2423"/>
    </row>
    <row r="65319" spans="6:6">
      <c r="F65319" s="2423"/>
    </row>
    <row r="65320" spans="6:6">
      <c r="F65320" s="2423"/>
    </row>
    <row r="65321" spans="6:6">
      <c r="F65321" s="2423"/>
    </row>
    <row r="65322" spans="6:6">
      <c r="F65322" s="2423"/>
    </row>
    <row r="65323" spans="6:6">
      <c r="F65323" s="2423"/>
    </row>
    <row r="65324" spans="6:6">
      <c r="F65324" s="2423"/>
    </row>
    <row r="65325" spans="6:6">
      <c r="F65325" s="2423"/>
    </row>
    <row r="65326" spans="6:6">
      <c r="F65326" s="2423"/>
    </row>
    <row r="65327" spans="6:6">
      <c r="F65327" s="2423"/>
    </row>
    <row r="65328" spans="6:6">
      <c r="F65328" s="2423"/>
    </row>
    <row r="65329" spans="6:6">
      <c r="F65329" s="2423"/>
    </row>
    <row r="65330" spans="6:6">
      <c r="F65330" s="2423"/>
    </row>
    <row r="65331" spans="6:6">
      <c r="F65331" s="2423"/>
    </row>
    <row r="65332" spans="6:6">
      <c r="F65332" s="2423"/>
    </row>
    <row r="65333" spans="6:6">
      <c r="F65333" s="2423"/>
    </row>
    <row r="65334" spans="6:6">
      <c r="F65334" s="2423"/>
    </row>
    <row r="65335" spans="6:6">
      <c r="F65335" s="2423"/>
    </row>
    <row r="65336" spans="6:6">
      <c r="F65336" s="2423"/>
    </row>
    <row r="65337" spans="6:6">
      <c r="F65337" s="2423"/>
    </row>
    <row r="65338" spans="6:6">
      <c r="F65338" s="2423"/>
    </row>
    <row r="65339" spans="6:6">
      <c r="F65339" s="2423"/>
    </row>
    <row r="65340" spans="6:6">
      <c r="F65340" s="2423"/>
    </row>
    <row r="65341" spans="6:6">
      <c r="F65341" s="2423"/>
    </row>
    <row r="65342" spans="6:6">
      <c r="F65342" s="2423"/>
    </row>
    <row r="65343" spans="6:6">
      <c r="F65343" s="2423"/>
    </row>
    <row r="65344" spans="6:6">
      <c r="F65344" s="2423"/>
    </row>
    <row r="65345" spans="6:6">
      <c r="F65345" s="2423"/>
    </row>
    <row r="65346" spans="6:6">
      <c r="F65346" s="2423"/>
    </row>
    <row r="65347" spans="6:6">
      <c r="F65347" s="2423"/>
    </row>
    <row r="65348" spans="6:6">
      <c r="F65348" s="2423"/>
    </row>
    <row r="65349" spans="6:6">
      <c r="F65349" s="2423"/>
    </row>
    <row r="65350" spans="6:6">
      <c r="F65350" s="2423"/>
    </row>
    <row r="65351" spans="6:6">
      <c r="F65351" s="2423"/>
    </row>
    <row r="65352" spans="6:6">
      <c r="F65352" s="2423"/>
    </row>
    <row r="65353" spans="6:6">
      <c r="F65353" s="2423"/>
    </row>
    <row r="65354" spans="6:6">
      <c r="F65354" s="2423"/>
    </row>
    <row r="65355" spans="6:6">
      <c r="F65355" s="2423"/>
    </row>
    <row r="65356" spans="6:6">
      <c r="F65356" s="2423"/>
    </row>
    <row r="65357" spans="6:6">
      <c r="F65357" s="2423"/>
    </row>
    <row r="65358" spans="6:6">
      <c r="F65358" s="2423"/>
    </row>
    <row r="65359" spans="6:6">
      <c r="F65359" s="2423"/>
    </row>
    <row r="65360" spans="6:6">
      <c r="F65360" s="2423"/>
    </row>
    <row r="65361" spans="6:6">
      <c r="F65361" s="2423"/>
    </row>
    <row r="65362" spans="6:6">
      <c r="F65362" s="2423"/>
    </row>
    <row r="65363" spans="6:6">
      <c r="F65363" s="2423"/>
    </row>
    <row r="65364" spans="6:6">
      <c r="F65364" s="2423"/>
    </row>
    <row r="65365" spans="6:6">
      <c r="F65365" s="2423"/>
    </row>
    <row r="65366" spans="6:6">
      <c r="F65366" s="2423"/>
    </row>
    <row r="65367" spans="6:6">
      <c r="F65367" s="2423"/>
    </row>
    <row r="65368" spans="6:6">
      <c r="F65368" s="2423"/>
    </row>
    <row r="65369" spans="6:6">
      <c r="F65369" s="2423"/>
    </row>
    <row r="65370" spans="6:6">
      <c r="F65370" s="2423"/>
    </row>
    <row r="65371" spans="6:6">
      <c r="F65371" s="2423"/>
    </row>
    <row r="65372" spans="6:6">
      <c r="F65372" s="2423"/>
    </row>
    <row r="65373" spans="6:6">
      <c r="F65373" s="2423"/>
    </row>
    <row r="65374" spans="6:6">
      <c r="F65374" s="2423"/>
    </row>
    <row r="65375" spans="6:6">
      <c r="F65375" s="2423"/>
    </row>
    <row r="65376" spans="6:6">
      <c r="F65376" s="2423"/>
    </row>
    <row r="65377" spans="6:6">
      <c r="F65377" s="2423"/>
    </row>
    <row r="65378" spans="6:6">
      <c r="F65378" s="2423"/>
    </row>
    <row r="65379" spans="6:6">
      <c r="F65379" s="2423"/>
    </row>
    <row r="65380" spans="6:6">
      <c r="F65380" s="2423"/>
    </row>
    <row r="65381" spans="6:6">
      <c r="F65381" s="2423"/>
    </row>
    <row r="65382" spans="6:6">
      <c r="F65382" s="2423"/>
    </row>
    <row r="65383" spans="6:6">
      <c r="F65383" s="2423"/>
    </row>
    <row r="65384" spans="6:6">
      <c r="F65384" s="2423"/>
    </row>
    <row r="65385" spans="6:6">
      <c r="F65385" s="2423"/>
    </row>
    <row r="65386" spans="6:6">
      <c r="F65386" s="2423"/>
    </row>
    <row r="65387" spans="6:6">
      <c r="F65387" s="2423"/>
    </row>
    <row r="65388" spans="6:6">
      <c r="F65388" s="2423"/>
    </row>
    <row r="65389" spans="6:6">
      <c r="F65389" s="2423"/>
    </row>
    <row r="65390" spans="6:6">
      <c r="F65390" s="2423"/>
    </row>
    <row r="65391" spans="6:6">
      <c r="F65391" s="2423"/>
    </row>
    <row r="65392" spans="6:6">
      <c r="F65392" s="2423"/>
    </row>
    <row r="65393" spans="6:6">
      <c r="F65393" s="2423"/>
    </row>
    <row r="65394" spans="6:6">
      <c r="F65394" s="2423"/>
    </row>
    <row r="65395" spans="6:6">
      <c r="F65395" s="2423"/>
    </row>
    <row r="65396" spans="6:6">
      <c r="F65396" s="2423"/>
    </row>
    <row r="65397" spans="6:6">
      <c r="F65397" s="2423"/>
    </row>
    <row r="65398" spans="6:6">
      <c r="F65398" s="2423"/>
    </row>
    <row r="65399" spans="6:6">
      <c r="F65399" s="2423"/>
    </row>
    <row r="65400" spans="6:6">
      <c r="F65400" s="2423"/>
    </row>
    <row r="65401" spans="6:6">
      <c r="F65401" s="2423"/>
    </row>
    <row r="65402" spans="6:6">
      <c r="F65402" s="2423"/>
    </row>
    <row r="65403" spans="6:6">
      <c r="F65403" s="2423"/>
    </row>
    <row r="65404" spans="6:6">
      <c r="F65404" s="2423"/>
    </row>
    <row r="65405" spans="6:6">
      <c r="F65405" s="2423"/>
    </row>
    <row r="65406" spans="6:6">
      <c r="F65406" s="2423"/>
    </row>
    <row r="65407" spans="6:6">
      <c r="F65407" s="2423"/>
    </row>
    <row r="65408" spans="6:6">
      <c r="F65408" s="2423"/>
    </row>
    <row r="65409" spans="6:6">
      <c r="F65409" s="2423"/>
    </row>
    <row r="65410" spans="6:6">
      <c r="F65410" s="2423"/>
    </row>
    <row r="65411" spans="6:6">
      <c r="F65411" s="2423"/>
    </row>
    <row r="65412" spans="6:6">
      <c r="F65412" s="2423"/>
    </row>
    <row r="65413" spans="6:6">
      <c r="F65413" s="2423"/>
    </row>
    <row r="65414" spans="6:6">
      <c r="F65414" s="2423"/>
    </row>
    <row r="65415" spans="6:6">
      <c r="F65415" s="2423"/>
    </row>
    <row r="65416" spans="6:6">
      <c r="F65416" s="2423"/>
    </row>
    <row r="65417" spans="6:6">
      <c r="F65417" s="2423"/>
    </row>
    <row r="65418" spans="6:6">
      <c r="F65418" s="2423"/>
    </row>
    <row r="65419" spans="6:6">
      <c r="F65419" s="2423"/>
    </row>
    <row r="65420" spans="6:6">
      <c r="F65420" s="2423"/>
    </row>
    <row r="65421" spans="6:6">
      <c r="F65421" s="2423"/>
    </row>
    <row r="65422" spans="6:6">
      <c r="F65422" s="2423"/>
    </row>
    <row r="65423" spans="6:6">
      <c r="F65423" s="2423"/>
    </row>
    <row r="65424" spans="6:6">
      <c r="F65424" s="2423"/>
    </row>
    <row r="65425" spans="6:6">
      <c r="F65425" s="2423"/>
    </row>
    <row r="65426" spans="6:6">
      <c r="F65426" s="2423"/>
    </row>
    <row r="65427" spans="6:6">
      <c r="F65427" s="2423"/>
    </row>
    <row r="65428" spans="6:6">
      <c r="F65428" s="2423"/>
    </row>
    <row r="65429" spans="6:6">
      <c r="F65429" s="2423"/>
    </row>
    <row r="65430" spans="6:6">
      <c r="F65430" s="2423"/>
    </row>
    <row r="65431" spans="6:6">
      <c r="F65431" s="2423"/>
    </row>
    <row r="65432" spans="6:6">
      <c r="F65432" s="2423"/>
    </row>
    <row r="65433" spans="6:6">
      <c r="F65433" s="2423"/>
    </row>
    <row r="65434" spans="6:6">
      <c r="F65434" s="2423"/>
    </row>
    <row r="65435" spans="6:6">
      <c r="F65435" s="2423"/>
    </row>
    <row r="65436" spans="6:6">
      <c r="F65436" s="2423"/>
    </row>
    <row r="65437" spans="6:6">
      <c r="F65437" s="2423"/>
    </row>
    <row r="65438" spans="6:6">
      <c r="F65438" s="2423"/>
    </row>
    <row r="65439" spans="6:6">
      <c r="F65439" s="2423"/>
    </row>
    <row r="65440" spans="6:6">
      <c r="F65440" s="2423"/>
    </row>
    <row r="65441" spans="6:6">
      <c r="F65441" s="2423"/>
    </row>
    <row r="65442" spans="6:6">
      <c r="F65442" s="2423"/>
    </row>
    <row r="65443" spans="6:6">
      <c r="F65443" s="2423"/>
    </row>
    <row r="65444" spans="6:6">
      <c r="F65444" s="2423"/>
    </row>
    <row r="65445" spans="6:6">
      <c r="F65445" s="2423"/>
    </row>
    <row r="65446" spans="6:6">
      <c r="F65446" s="2423"/>
    </row>
    <row r="65447" spans="6:6">
      <c r="F65447" s="2423"/>
    </row>
    <row r="65448" spans="6:6">
      <c r="F65448" s="2423"/>
    </row>
    <row r="65449" spans="6:6">
      <c r="F65449" s="2423"/>
    </row>
    <row r="65450" spans="6:6">
      <c r="F65450" s="2423"/>
    </row>
    <row r="65451" spans="6:6">
      <c r="F65451" s="2423"/>
    </row>
    <row r="65452" spans="6:6">
      <c r="F65452" s="2423"/>
    </row>
    <row r="65453" spans="6:6">
      <c r="F65453" s="2423"/>
    </row>
  </sheetData>
  <autoFilter ref="C14:N31">
    <extLst/>
  </autoFilter>
  <mergeCells count="5">
    <mergeCell ref="H9:I9"/>
    <mergeCell ref="N9:O9"/>
    <mergeCell ref="S9:T9"/>
    <mergeCell ref="S10:T10"/>
    <mergeCell ref="B9:D11"/>
  </mergeCells>
  <pageMargins left="0.354330708661417" right="0.15748031496063" top="0.590551181102362" bottom="0.393700787401575" header="0.511811023622047" footer="0.31496062992126"/>
  <pageSetup paperSize="9" scale="65" orientation="landscape"/>
  <headerFooter alignWithMargins="0">
    <oddFooter>&amp;R&amp;"Arial,Bold"&amp;26B</oddFooter>
  </headerFooter>
  <drawing r:id="rId1"/>
  <legacyDrawing r:id="rId2"/>
  <oleObjects>
    <mc:AlternateContent xmlns:mc="http://schemas.openxmlformats.org/markup-compatibility/2006">
      <mc:Choice Requires="x14">
        <oleObject shapeId="308232" progId="Paint.Picture" r:id="rId3">
          <objectPr defaultSize="0" r:id="rId4">
            <anchor moveWithCells="1">
              <from>
                <xdr:col>5</xdr:col>
                <xdr:colOff>450850</xdr:colOff>
                <xdr:row>11</xdr:row>
                <xdr:rowOff>19050</xdr:rowOff>
              </from>
              <to>
                <xdr:col>5</xdr:col>
                <xdr:colOff>615950</xdr:colOff>
                <xdr:row>12</xdr:row>
                <xdr:rowOff>12700</xdr:rowOff>
              </to>
            </anchor>
          </objectPr>
        </oleObject>
      </mc:Choice>
      <mc:Fallback>
        <oleObject shapeId="308232" progId="Paint.Picture" r:id="rId3"/>
      </mc:Fallback>
    </mc:AlternateContent>
    <mc:AlternateContent xmlns:mc="http://schemas.openxmlformats.org/markup-compatibility/2006">
      <mc:Choice Requires="x14">
        <oleObject shapeId="308233" progId="Paint.Picture" r:id="rId5">
          <objectPr defaultSize="0" r:id="rId6">
            <anchor moveWithCells="1">
              <from>
                <xdr:col>17</xdr:col>
                <xdr:colOff>488950</xdr:colOff>
                <xdr:row>11</xdr:row>
                <xdr:rowOff>19050</xdr:rowOff>
              </from>
              <to>
                <xdr:col>17</xdr:col>
                <xdr:colOff>685800</xdr:colOff>
                <xdr:row>12</xdr:row>
                <xdr:rowOff>38100</xdr:rowOff>
              </to>
            </anchor>
          </objectPr>
        </oleObject>
      </mc:Choice>
      <mc:Fallback>
        <oleObject shapeId="308233" progId="Paint.Picture" r:id="rId5"/>
      </mc:Fallback>
    </mc:AlternateContent>
    <mc:AlternateContent xmlns:mc="http://schemas.openxmlformats.org/markup-compatibility/2006">
      <mc:Choice Requires="x14">
        <oleObject shapeId="308234" progId="Paint.Picture" r:id="rId7">
          <objectPr defaultSize="0" r:id="rId8">
            <anchor moveWithCells="1">
              <from>
                <xdr:col>8</xdr:col>
                <xdr:colOff>469900</xdr:colOff>
                <xdr:row>41</xdr:row>
                <xdr:rowOff>88900</xdr:rowOff>
              </from>
              <to>
                <xdr:col>8</xdr:col>
                <xdr:colOff>628650</xdr:colOff>
                <xdr:row>42</xdr:row>
                <xdr:rowOff>107950</xdr:rowOff>
              </to>
            </anchor>
          </objectPr>
        </oleObject>
      </mc:Choice>
      <mc:Fallback>
        <oleObject shapeId="308234" progId="Paint.Picture" r:id="rId7"/>
      </mc:Fallback>
    </mc:AlternateContent>
    <mc:AlternateContent xmlns:mc="http://schemas.openxmlformats.org/markup-compatibility/2006">
      <mc:Choice Requires="x14">
        <oleObject shapeId="4576620" progId="Paint.Picture" r:id="rId9">
          <objectPr defaultSize="0" r:id="rId6">
            <anchor moveWithCells="1">
              <from>
                <xdr:col>16</xdr:col>
                <xdr:colOff>469900</xdr:colOff>
                <xdr:row>11</xdr:row>
                <xdr:rowOff>38100</xdr:rowOff>
              </from>
              <to>
                <xdr:col>16</xdr:col>
                <xdr:colOff>660400</xdr:colOff>
                <xdr:row>12</xdr:row>
                <xdr:rowOff>44450</xdr:rowOff>
              </to>
            </anchor>
          </objectPr>
        </oleObject>
      </mc:Choice>
      <mc:Fallback>
        <oleObject shapeId="4576620" progId="Paint.Picture" r:id="rId9"/>
      </mc:Fallback>
    </mc:AlternateContent>
  </oleObjec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65433"/>
  <sheetViews>
    <sheetView tabSelected="1" topLeftCell="K31" workbookViewId="0">
      <selection activeCell="O39" sqref="O39"/>
    </sheetView>
  </sheetViews>
  <sheetFormatPr defaultColWidth="9.13541666666667" defaultRowHeight="13.2"/>
  <cols>
    <col min="1" max="1" width="3" style="101" customWidth="1"/>
    <col min="2" max="2" width="2.69791666666667" style="101" customWidth="1"/>
    <col min="3" max="3" width="7.34375" style="101" customWidth="1"/>
    <col min="4" max="4" width="29.8125" style="101" customWidth="1"/>
    <col min="5" max="5" width="5.23958333333333" style="101" customWidth="1"/>
    <col min="6" max="6" width="18.75" style="101" customWidth="1"/>
    <col min="7" max="7" width="5.375" style="101" customWidth="1"/>
    <col min="8" max="8" width="15.1354166666667" style="101" customWidth="1"/>
    <col min="9" max="9" width="6.75" style="101" customWidth="1"/>
    <col min="10" max="10" width="15.1354166666667" style="101" customWidth="1"/>
    <col min="11" max="11" width="6.89583333333333" style="101" customWidth="1"/>
    <col min="12" max="12" width="18.125" style="101" customWidth="1"/>
    <col min="13" max="13" width="17.375" style="101" customWidth="1" outlineLevel="1"/>
    <col min="14" max="14" width="6.59375" style="101" customWidth="1" outlineLevel="1"/>
    <col min="15" max="15" width="17.8333333333333" style="101" customWidth="1" outlineLevel="1"/>
    <col min="16" max="16" width="17.375" style="101" customWidth="1" outlineLevel="1"/>
    <col min="17" max="17" width="6.73958333333333" style="101" customWidth="1" outlineLevel="1"/>
    <col min="18" max="18" width="17.6770833333333" style="101" customWidth="1"/>
    <col min="19" max="19" width="19.625" style="101" customWidth="1"/>
    <col min="20" max="20" width="16.9270833333333" style="101" customWidth="1"/>
    <col min="21" max="21" width="9.29166666666667" style="101" customWidth="1"/>
    <col min="22" max="22" width="9.13541666666667" style="101"/>
    <col min="23" max="23" width="15.4270833333333" style="101" customWidth="1"/>
    <col min="24" max="16384" width="9.13541666666667" style="101"/>
  </cols>
  <sheetData>
    <row r="1" s="101" customFormat="1" spans="2:17">
      <c r="B1" s="110"/>
      <c r="C1" s="101"/>
      <c r="D1" s="101"/>
      <c r="E1" s="101"/>
      <c r="F1" s="101"/>
      <c r="G1" s="101"/>
      <c r="H1" s="101"/>
      <c r="Q1" s="137"/>
    </row>
    <row r="2" s="101" customFormat="1" ht="15.6" spans="2:21">
      <c r="B2" s="3686" t="str">
        <f>'F1'!B2</f>
        <v>KAP LIASTA NIRWAN SYAFRUDIN &amp; REKAN</v>
      </c>
      <c r="C2" s="1198"/>
      <c r="D2" s="1198"/>
      <c r="E2" s="1198"/>
      <c r="F2" s="1198"/>
      <c r="G2" s="1198"/>
      <c r="H2" s="1198"/>
      <c r="I2" s="1198"/>
      <c r="J2" s="1198"/>
      <c r="K2" s="1198"/>
      <c r="L2" s="1198"/>
      <c r="M2" s="1198"/>
      <c r="N2" s="1198"/>
      <c r="O2" s="1198"/>
      <c r="P2" s="1198"/>
      <c r="Q2" s="1198"/>
      <c r="R2" s="1198"/>
      <c r="S2" s="1198" t="s">
        <v>481</v>
      </c>
      <c r="T2" s="1198" t="s">
        <v>482</v>
      </c>
      <c r="U2" s="3019" t="s">
        <v>483</v>
      </c>
    </row>
    <row r="3" s="101" customFormat="1" spans="2:21">
      <c r="B3" s="1199"/>
      <c r="C3" s="1200"/>
      <c r="D3" s="1200"/>
      <c r="E3" s="1200"/>
      <c r="F3" s="1200"/>
      <c r="G3" s="1200"/>
      <c r="H3" s="1200"/>
      <c r="I3" s="1200"/>
      <c r="J3" s="1200"/>
      <c r="K3" s="1200"/>
      <c r="L3" s="1200"/>
      <c r="M3" s="1200"/>
      <c r="N3" s="1200"/>
      <c r="O3" s="1200"/>
      <c r="P3" s="1200"/>
      <c r="Q3" s="1200"/>
      <c r="R3" s="1200"/>
      <c r="S3" s="1200"/>
      <c r="T3" s="1238">
        <v>45173</v>
      </c>
      <c r="U3" s="3020" t="s">
        <v>735</v>
      </c>
    </row>
    <row r="4" s="101" customFormat="1" spans="2:21">
      <c r="B4" s="1199" t="s">
        <v>1227</v>
      </c>
      <c r="C4" s="1200"/>
      <c r="D4" s="2472" t="str">
        <f>A!D4</f>
        <v>PT INTAN GIRI ABADI</v>
      </c>
      <c r="E4" s="1200"/>
      <c r="F4" s="1200"/>
      <c r="G4" s="1200"/>
      <c r="H4" s="1200"/>
      <c r="I4" s="1200"/>
      <c r="J4" s="1200"/>
      <c r="K4" s="1200"/>
      <c r="L4" s="1200"/>
      <c r="M4" s="1200"/>
      <c r="N4" s="1200"/>
      <c r="O4" s="1200"/>
      <c r="P4" s="1200"/>
      <c r="Q4" s="1200"/>
      <c r="R4" s="1200"/>
      <c r="S4" s="1200" t="s">
        <v>487</v>
      </c>
      <c r="T4" s="1200" t="s">
        <v>482</v>
      </c>
      <c r="U4" s="3020" t="s">
        <v>488</v>
      </c>
    </row>
    <row r="5" s="101" customFormat="1" ht="9.6" customHeight="1" spans="2:21">
      <c r="B5" s="1199"/>
      <c r="C5" s="1200"/>
      <c r="D5" s="1200"/>
      <c r="E5" s="1200"/>
      <c r="F5" s="1200"/>
      <c r="G5" s="1200"/>
      <c r="H5" s="1200"/>
      <c r="I5" s="1200"/>
      <c r="J5" s="1200"/>
      <c r="K5" s="1200"/>
      <c r="L5" s="1200"/>
      <c r="M5" s="1200"/>
      <c r="N5" s="1200"/>
      <c r="O5" s="1200"/>
      <c r="P5" s="1200"/>
      <c r="Q5" s="1200"/>
      <c r="R5" s="1200"/>
      <c r="S5" s="1200"/>
      <c r="T5" s="1200"/>
      <c r="U5" s="3020"/>
    </row>
    <row r="6" s="101" customFormat="1" spans="2:21">
      <c r="B6" s="1199"/>
      <c r="C6" s="1200"/>
      <c r="D6" s="1200"/>
      <c r="E6" s="1200"/>
      <c r="F6" s="1200"/>
      <c r="G6" s="1200"/>
      <c r="H6" s="1200"/>
      <c r="I6" s="1200"/>
      <c r="J6" s="1200"/>
      <c r="K6" s="1200"/>
      <c r="L6" s="1200"/>
      <c r="M6" s="1200"/>
      <c r="N6" s="1200"/>
      <c r="O6" s="1200"/>
      <c r="P6" s="1200"/>
      <c r="Q6" s="1200"/>
      <c r="R6" s="1200"/>
      <c r="S6" s="1200"/>
      <c r="T6" s="1200"/>
      <c r="U6" s="3020" t="s">
        <v>491</v>
      </c>
    </row>
    <row r="7" s="101" customFormat="1" spans="2:21">
      <c r="B7" s="1201" t="s">
        <v>900</v>
      </c>
      <c r="C7" s="1202"/>
      <c r="D7" s="3687" t="s">
        <v>390</v>
      </c>
      <c r="E7" s="1202"/>
      <c r="F7" s="1202"/>
      <c r="G7" s="1202"/>
      <c r="H7" s="1202"/>
      <c r="I7" s="1202"/>
      <c r="J7" s="1202"/>
      <c r="K7" s="1202"/>
      <c r="L7" s="1202"/>
      <c r="M7" s="1202"/>
      <c r="N7" s="1202"/>
      <c r="O7" s="1202"/>
      <c r="P7" s="1202"/>
      <c r="Q7" s="1202"/>
      <c r="R7" s="1202"/>
      <c r="S7" s="1202"/>
      <c r="T7" s="1202"/>
      <c r="U7" s="3748" t="str">
        <f>+L11</f>
        <v>31 Desember 2022</v>
      </c>
    </row>
    <row r="8" s="101" customFormat="1" ht="13.95"/>
    <row r="9" s="101" customFormat="1" spans="2:21">
      <c r="B9" s="3688" t="s">
        <v>492</v>
      </c>
      <c r="C9" s="3689"/>
      <c r="D9" s="3690"/>
      <c r="E9" s="3691" t="s">
        <v>1283</v>
      </c>
      <c r="F9" s="3692"/>
      <c r="G9" s="3691" t="s">
        <v>1284</v>
      </c>
      <c r="H9" s="3693" t="s">
        <v>1285</v>
      </c>
      <c r="I9" s="3727"/>
      <c r="J9" s="3728"/>
      <c r="K9" s="3692"/>
      <c r="L9" s="3692"/>
      <c r="M9" s="3692"/>
      <c r="N9" s="3729"/>
      <c r="O9" s="3693" t="s">
        <v>1286</v>
      </c>
      <c r="P9" s="3728"/>
      <c r="Q9" s="3692"/>
      <c r="R9" s="3691"/>
      <c r="S9" s="3692"/>
      <c r="T9" s="3749" t="str">
        <f>+L11</f>
        <v>31 Desember 2022</v>
      </c>
      <c r="U9" s="3750"/>
    </row>
    <row r="10" s="101" customFormat="1" spans="2:21">
      <c r="B10" s="3694"/>
      <c r="C10" s="3695"/>
      <c r="D10" s="3696"/>
      <c r="E10" s="3158" t="s">
        <v>1287</v>
      </c>
      <c r="F10" s="3697" t="s">
        <v>1229</v>
      </c>
      <c r="G10" s="3698"/>
      <c r="H10" s="3699" t="s">
        <v>1231</v>
      </c>
      <c r="I10" s="3730" t="s">
        <v>1288</v>
      </c>
      <c r="J10" s="3731" t="s">
        <v>1232</v>
      </c>
      <c r="K10" s="3698"/>
      <c r="L10" s="3697" t="s">
        <v>1233</v>
      </c>
      <c r="M10" s="3697" t="s">
        <v>1233</v>
      </c>
      <c r="N10" s="3698"/>
      <c r="O10" s="3699" t="s">
        <v>1231</v>
      </c>
      <c r="P10" s="3731" t="s">
        <v>1232</v>
      </c>
      <c r="Q10" s="3698"/>
      <c r="R10" s="3158" t="s">
        <v>1233</v>
      </c>
      <c r="S10" s="3697" t="s">
        <v>1233</v>
      </c>
      <c r="T10" s="3751" t="s">
        <v>1234</v>
      </c>
      <c r="U10" s="3752"/>
    </row>
    <row r="11" s="101" customFormat="1" ht="13.95" spans="2:21">
      <c r="B11" s="3700"/>
      <c r="C11" s="3701"/>
      <c r="D11" s="3702"/>
      <c r="E11" s="3703"/>
      <c r="F11" s="3704" t="s">
        <v>270</v>
      </c>
      <c r="G11" s="3705"/>
      <c r="H11" s="3706"/>
      <c r="I11" s="3732"/>
      <c r="J11" s="3733"/>
      <c r="K11" s="3704"/>
      <c r="L11" s="3704" t="str">
        <f>F11</f>
        <v>31 Desember 2022</v>
      </c>
      <c r="M11" s="3704" t="e">
        <f>+R11</f>
        <v>#VALUE!</v>
      </c>
      <c r="N11" s="3704" t="s">
        <v>1235</v>
      </c>
      <c r="O11" s="3706"/>
      <c r="P11" s="3733"/>
      <c r="Q11" s="3704" t="s">
        <v>1235</v>
      </c>
      <c r="R11" s="3705" t="e">
        <f>+L11-365</f>
        <v>#VALUE!</v>
      </c>
      <c r="S11" s="3704" t="e">
        <f>+R11-365</f>
        <v>#VALUE!</v>
      </c>
      <c r="T11" s="3753" t="s">
        <v>151</v>
      </c>
      <c r="U11" s="3754" t="s">
        <v>1236</v>
      </c>
    </row>
    <row r="12" s="101" customFormat="1" spans="1:21">
      <c r="A12" s="3707"/>
      <c r="B12" s="100"/>
      <c r="C12" s="100"/>
      <c r="D12" s="153"/>
      <c r="E12" s="102"/>
      <c r="F12" s="131"/>
      <c r="G12" s="102"/>
      <c r="H12" s="131"/>
      <c r="I12" s="102"/>
      <c r="J12" s="102"/>
      <c r="K12" s="131"/>
      <c r="L12" s="131"/>
      <c r="M12" s="2063"/>
      <c r="N12" s="153"/>
      <c r="O12" s="152"/>
      <c r="P12" s="153"/>
      <c r="Q12" s="152"/>
      <c r="R12" s="153"/>
      <c r="S12" s="153"/>
      <c r="T12" s="161"/>
      <c r="U12" s="2067"/>
    </row>
    <row r="13" s="101" customFormat="1" spans="1:21">
      <c r="A13" s="3707"/>
      <c r="B13" s="101"/>
      <c r="C13" s="100" t="s">
        <v>390</v>
      </c>
      <c r="D13" s="130"/>
      <c r="E13" s="131" t="s">
        <v>735</v>
      </c>
      <c r="F13" s="131">
        <f>F21</f>
        <v>2119615270.2</v>
      </c>
      <c r="G13" s="131" t="s">
        <v>1289</v>
      </c>
      <c r="H13" s="131">
        <v>50000000</v>
      </c>
      <c r="I13" s="131">
        <v>2</v>
      </c>
      <c r="J13" s="131"/>
      <c r="K13" s="131">
        <v>2</v>
      </c>
      <c r="L13" s="131">
        <f t="shared" ref="J13:U13" si="0">L21</f>
        <v>2119615270.2</v>
      </c>
      <c r="M13" s="131">
        <f t="shared" si="0"/>
        <v>1205578095.27479</v>
      </c>
      <c r="N13" s="131">
        <f t="shared" si="0"/>
        <v>0</v>
      </c>
      <c r="O13" s="131">
        <f t="shared" si="0"/>
        <v>0</v>
      </c>
      <c r="P13" s="131">
        <f t="shared" si="0"/>
        <v>0</v>
      </c>
      <c r="Q13" s="131">
        <f t="shared" si="0"/>
        <v>0</v>
      </c>
      <c r="R13" s="131">
        <f t="shared" si="0"/>
        <v>1205578095.27479</v>
      </c>
      <c r="S13" s="131">
        <f t="shared" si="0"/>
        <v>1233508998.39333</v>
      </c>
      <c r="T13" s="131">
        <f t="shared" si="0"/>
        <v>914037174.92521</v>
      </c>
      <c r="U13" s="131">
        <f t="shared" si="0"/>
        <v>0.741005680636104</v>
      </c>
    </row>
    <row r="14" s="101" customFormat="1" spans="3:21">
      <c r="C14" s="100"/>
      <c r="D14" s="3708"/>
      <c r="E14" s="3709"/>
      <c r="F14" s="3709"/>
      <c r="G14" s="3709" t="s">
        <v>1290</v>
      </c>
      <c r="H14" s="3709"/>
      <c r="I14" s="3709">
        <v>3</v>
      </c>
      <c r="J14" s="3709"/>
      <c r="K14" s="3709"/>
      <c r="L14" s="3734"/>
      <c r="M14" s="3735"/>
      <c r="N14" s="3734"/>
      <c r="O14" s="131"/>
      <c r="P14" s="3736"/>
      <c r="Q14" s="131"/>
      <c r="R14" s="3736"/>
      <c r="S14" s="102"/>
      <c r="T14" s="131"/>
      <c r="U14" s="3735"/>
    </row>
    <row r="15" s="101" customFormat="1" spans="3:21">
      <c r="C15" s="100"/>
      <c r="D15" s="3708"/>
      <c r="E15" s="3709"/>
      <c r="F15" s="3709"/>
      <c r="G15" s="3709"/>
      <c r="H15" s="3709"/>
      <c r="I15" s="3709">
        <v>4</v>
      </c>
      <c r="J15" s="3709"/>
      <c r="K15" s="3709"/>
      <c r="L15" s="3734"/>
      <c r="M15" s="3735"/>
      <c r="N15" s="3734"/>
      <c r="O15" s="131"/>
      <c r="P15" s="3736"/>
      <c r="Q15" s="131"/>
      <c r="R15" s="3736"/>
      <c r="S15" s="102"/>
      <c r="T15" s="131"/>
      <c r="U15" s="3735"/>
    </row>
    <row r="16" s="101" customFormat="1" spans="3:21">
      <c r="C16" s="100"/>
      <c r="D16" s="3708"/>
      <c r="E16" s="3709"/>
      <c r="F16" s="3709"/>
      <c r="G16" s="3709"/>
      <c r="H16" s="3709"/>
      <c r="I16" s="3709">
        <v>8</v>
      </c>
      <c r="J16" s="3709"/>
      <c r="K16" s="3709"/>
      <c r="L16" s="3734"/>
      <c r="M16" s="3735"/>
      <c r="N16" s="3734"/>
      <c r="O16" s="131"/>
      <c r="P16" s="3736"/>
      <c r="Q16" s="131"/>
      <c r="R16" s="3736"/>
      <c r="S16" s="102"/>
      <c r="T16" s="131"/>
      <c r="U16" s="3735"/>
    </row>
    <row r="17" s="101" customFormat="1" spans="3:21">
      <c r="C17" s="100"/>
      <c r="D17" s="3708"/>
      <c r="E17" s="3709"/>
      <c r="F17" s="3709"/>
      <c r="G17" s="3709"/>
      <c r="H17" s="3709"/>
      <c r="I17" s="3709"/>
      <c r="J17" s="3709"/>
      <c r="K17" s="3709"/>
      <c r="L17" s="3734"/>
      <c r="M17" s="3735"/>
      <c r="N17" s="3734"/>
      <c r="O17" s="131"/>
      <c r="P17" s="3736"/>
      <c r="Q17" s="131"/>
      <c r="R17" s="3736"/>
      <c r="S17" s="102"/>
      <c r="T17" s="131"/>
      <c r="U17" s="3735"/>
    </row>
    <row r="18" s="101" customFormat="1" spans="3:21">
      <c r="C18" s="100"/>
      <c r="D18" s="3708"/>
      <c r="E18" s="3709"/>
      <c r="F18" s="3709"/>
      <c r="G18" s="3709" t="s">
        <v>1291</v>
      </c>
      <c r="H18" s="3709"/>
      <c r="I18" s="3709">
        <v>15</v>
      </c>
      <c r="J18" s="3709"/>
      <c r="K18" s="3709"/>
      <c r="L18" s="3734"/>
      <c r="M18" s="3735"/>
      <c r="N18" s="3734"/>
      <c r="O18" s="131"/>
      <c r="P18" s="3736"/>
      <c r="Q18" s="131"/>
      <c r="R18" s="3736"/>
      <c r="S18" s="102"/>
      <c r="T18" s="131"/>
      <c r="U18" s="3735"/>
    </row>
    <row r="19" s="101" customFormat="1" spans="3:21">
      <c r="C19" s="100"/>
      <c r="D19" s="3708"/>
      <c r="E19" s="3709"/>
      <c r="F19" s="3709"/>
      <c r="G19" s="3709"/>
      <c r="H19" s="3709"/>
      <c r="I19" s="3709"/>
      <c r="J19" s="3709"/>
      <c r="K19" s="3709"/>
      <c r="L19" s="3734"/>
      <c r="M19" s="3735"/>
      <c r="N19" s="3734"/>
      <c r="O19" s="131"/>
      <c r="P19" s="3736"/>
      <c r="Q19" s="131"/>
      <c r="R19" s="3736"/>
      <c r="S19" s="102"/>
      <c r="T19" s="131"/>
      <c r="U19" s="3735"/>
    </row>
    <row r="20" s="101" customFormat="1" spans="2:21">
      <c r="B20" s="2497"/>
      <c r="C20" s="186"/>
      <c r="D20" s="289"/>
      <c r="E20" s="311"/>
      <c r="F20" s="3710"/>
      <c r="G20" s="311"/>
      <c r="H20" s="3710"/>
      <c r="I20" s="3710"/>
      <c r="J20" s="3710"/>
      <c r="K20" s="311"/>
      <c r="L20" s="143"/>
      <c r="M20" s="137"/>
      <c r="N20" s="147"/>
      <c r="O20" s="174"/>
      <c r="P20" s="230"/>
      <c r="Q20" s="296"/>
      <c r="R20" s="304"/>
      <c r="S20"/>
      <c r="T20" s="296"/>
      <c r="U20" s="2067"/>
    </row>
    <row r="21" s="101" customFormat="1" spans="2:22">
      <c r="B21" s="3711"/>
      <c r="C21" s="205" t="s">
        <v>151</v>
      </c>
      <c r="D21" s="205"/>
      <c r="E21" s="3712" t="s">
        <v>171</v>
      </c>
      <c r="F21" s="3713">
        <v>2119615270.2</v>
      </c>
      <c r="G21" s="3713"/>
      <c r="H21" s="3714"/>
      <c r="I21" s="3714"/>
      <c r="J21" s="3714"/>
      <c r="K21" s="3712"/>
      <c r="L21" s="3713">
        <v>2119615270.2</v>
      </c>
      <c r="M21" s="3713">
        <v>1205578095.27479</v>
      </c>
      <c r="N21" s="3713"/>
      <c r="O21" s="3714">
        <v>0</v>
      </c>
      <c r="P21" s="3714">
        <v>0</v>
      </c>
      <c r="Q21" s="3755"/>
      <c r="R21" s="3713">
        <v>1205578095.27479</v>
      </c>
      <c r="S21" s="3713">
        <v>1233508998.39333</v>
      </c>
      <c r="T21" s="3713">
        <v>914037174.92521</v>
      </c>
      <c r="U21" s="3756">
        <v>0.741005680636104</v>
      </c>
      <c r="V21" s="100"/>
    </row>
    <row r="22" s="101" customFormat="1" spans="5:21">
      <c r="E22" s="132"/>
      <c r="F22" s="139">
        <f>+F21-'F1'!E17</f>
        <v>0</v>
      </c>
      <c r="G22" s="132"/>
      <c r="H22" s="199"/>
      <c r="I22" s="199"/>
      <c r="J22" s="199"/>
      <c r="K22" s="132"/>
      <c r="L22" s="139">
        <f>+L21-'F1'!J17-'F1'!J18</f>
        <v>0</v>
      </c>
      <c r="M22" s="137">
        <f>M21-'F1'!K17-'F1'!K18</f>
        <v>0</v>
      </c>
      <c r="N22" s="137"/>
      <c r="O22" s="229"/>
      <c r="P22" s="229"/>
      <c r="Q22" s="137"/>
      <c r="R22" s="139">
        <f>+R21-'F1'!P17</f>
        <v>0</v>
      </c>
      <c r="S22">
        <f>SUM('F1'!Q17:Q18)-S21</f>
        <v>0</v>
      </c>
      <c r="U22" s="103"/>
    </row>
    <row r="23" s="101" customFormat="1" spans="6:19">
      <c r="F23" s="2423"/>
      <c r="G23" s="101"/>
      <c r="H23" s="101"/>
      <c r="M23" s="101" t="s">
        <v>649</v>
      </c>
      <c r="N23" s="101"/>
      <c r="O23" s="101"/>
      <c r="P23" s="101"/>
      <c r="Q23"/>
      <c r="R23"/>
      <c r="S23" s="3156" t="s">
        <v>650</v>
      </c>
    </row>
    <row r="24" s="101" customFormat="1" spans="6:22">
      <c r="F24" s="2423"/>
      <c r="G24" s="101"/>
      <c r="H24" s="101"/>
      <c r="V24" s="103"/>
    </row>
    <row r="25" s="101" customFormat="1" spans="3:22">
      <c r="C25" t="s">
        <v>649</v>
      </c>
      <c r="D25" s="2879" t="str">
        <f>+'F1'!C46</f>
        <v>Sesuai dengan Saldo Buku Besar Periode 31 Desember 2022 &amp; 2021</v>
      </c>
      <c r="F25" s="2423"/>
      <c r="G25" s="101"/>
      <c r="H25" s="101"/>
      <c r="V25" s="103"/>
    </row>
    <row r="26" s="101" customFormat="1" spans="3:22">
      <c r="C26" t="s">
        <v>650</v>
      </c>
      <c r="D26" s="2879" t="str">
        <f>+'F1'!C47</f>
        <v>Sesuai dengan Saldo Audit Periode Sebelumnya</v>
      </c>
      <c r="F26" s="2423"/>
      <c r="G26" s="101"/>
      <c r="H26" s="101"/>
      <c r="V26" s="103"/>
    </row>
    <row r="27" s="101" customFormat="1" spans="3:22">
      <c r="C27" t="s">
        <v>187</v>
      </c>
      <c r="D27" s="2879" t="str">
        <f>+'F1'!C48</f>
        <v>Rumus dan Formula Perhitungan telah Diperiksa</v>
      </c>
      <c r="F27" s="2423"/>
      <c r="G27" s="101"/>
      <c r="H27" s="101"/>
      <c r="V27" s="103"/>
    </row>
    <row r="28" s="101" customFormat="1" spans="3:22">
      <c r="C28" t="s">
        <v>651</v>
      </c>
      <c r="D28" s="2879" t="str">
        <f>+'F1'!C49</f>
        <v>Check to Bank Statements as of December 31, 2022 &amp; 2021</v>
      </c>
      <c r="F28" s="2423"/>
      <c r="G28" s="101"/>
      <c r="H28" s="101"/>
      <c r="R28" s="3757" t="s">
        <v>1292</v>
      </c>
      <c r="S28" s="101"/>
      <c r="T28" s="101"/>
      <c r="U28" s="100"/>
      <c r="V28" s="103"/>
    </row>
    <row r="29" s="101" customFormat="1" spans="4:18">
      <c r="D29"/>
      <c r="E29" s="101"/>
      <c r="F29" s="2423"/>
      <c r="G29" s="101"/>
      <c r="H29" s="101"/>
      <c r="M29" s="137"/>
      <c r="N29" s="101"/>
      <c r="O29" s="101"/>
      <c r="P29" s="101"/>
      <c r="Q29" s="101"/>
      <c r="R29" s="3757" t="s">
        <v>1293</v>
      </c>
    </row>
    <row r="30" s="101" customFormat="1" spans="1:21">
      <c r="A30" s="137"/>
      <c r="B30"/>
      <c r="C30"/>
      <c r="D30"/>
      <c r="E30"/>
      <c r="F30"/>
      <c r="G30"/>
      <c r="H30"/>
      <c r="I30"/>
      <c r="J30"/>
      <c r="K30"/>
      <c r="L30"/>
      <c r="M30"/>
      <c r="N30"/>
      <c r="O30"/>
      <c r="P30"/>
      <c r="Q30"/>
      <c r="R30" s="3758" t="s">
        <v>1294</v>
      </c>
      <c r="S30"/>
      <c r="T30"/>
      <c r="U30"/>
    </row>
    <row r="31" s="101" customFormat="1" spans="1:21">
      <c r="A31" s="137"/>
      <c r="B31" s="3715" t="s">
        <v>1257</v>
      </c>
      <c r="C31" s="3716"/>
      <c r="D31" s="3716"/>
      <c r="E31" s="3716"/>
      <c r="F31" s="3716"/>
      <c r="G31" s="3716"/>
      <c r="H31" s="3716"/>
      <c r="I31" s="3716"/>
      <c r="J31" s="3716"/>
      <c r="K31" s="3716"/>
      <c r="L31" s="3716"/>
      <c r="M31" s="3716"/>
      <c r="N31" s="3716"/>
      <c r="O31" s="3716"/>
      <c r="P31" s="3716"/>
      <c r="Q31" s="3716"/>
      <c r="R31" s="3716"/>
      <c r="S31" s="3716"/>
      <c r="T31" s="3716"/>
      <c r="U31" s="3759"/>
    </row>
    <row r="32" s="101" customFormat="1" spans="1:21">
      <c r="A32" s="137"/>
      <c r="B32" s="3717"/>
      <c r="C32" s="3718" t="s">
        <v>142</v>
      </c>
      <c r="D32" s="3718" t="s">
        <v>1258</v>
      </c>
      <c r="E32" s="3718"/>
      <c r="F32" s="3718"/>
      <c r="G32" s="3718"/>
      <c r="H32" s="3718"/>
      <c r="I32" s="3718"/>
      <c r="J32" s="3718"/>
      <c r="K32" s="3718"/>
      <c r="L32" s="3718"/>
      <c r="M32" s="3718"/>
      <c r="N32" s="3718"/>
      <c r="O32" s="3718"/>
      <c r="P32" s="3718"/>
      <c r="Q32" s="3718"/>
      <c r="R32" s="3718"/>
      <c r="S32" s="3718"/>
      <c r="T32" s="3718"/>
      <c r="U32" s="3760"/>
    </row>
    <row r="33" s="101" customFormat="1" spans="1:21">
      <c r="A33" s="137"/>
      <c r="B33" s="3717"/>
      <c r="C33" s="3718"/>
      <c r="D33" s="3718"/>
      <c r="E33" s="3718"/>
      <c r="F33" s="3718"/>
      <c r="G33" s="3718"/>
      <c r="H33" s="3718"/>
      <c r="I33" s="3718"/>
      <c r="J33" s="3718"/>
      <c r="K33" s="3718"/>
      <c r="L33" s="3718"/>
      <c r="M33" s="3718"/>
      <c r="N33" s="3718" t="s">
        <v>953</v>
      </c>
      <c r="O33" s="3718" t="s">
        <v>1295</v>
      </c>
      <c r="P33" s="3737" t="s">
        <v>1296</v>
      </c>
      <c r="T33" s="3718">
        <v>80</v>
      </c>
      <c r="U33" s="3718"/>
    </row>
    <row r="34" s="101" customFormat="1" spans="1:21">
      <c r="A34" s="137"/>
      <c r="B34" s="3717" t="s">
        <v>1259</v>
      </c>
      <c r="C34" s="3718"/>
      <c r="D34" s="3718"/>
      <c r="E34" s="3718"/>
      <c r="F34" s="3718"/>
      <c r="G34" s="3718"/>
      <c r="H34" s="3718"/>
      <c r="I34" s="3718"/>
      <c r="J34" s="3718"/>
      <c r="K34" s="5045" t="s">
        <v>451</v>
      </c>
      <c r="L34" s="3718"/>
      <c r="M34" s="5045" t="s">
        <v>452</v>
      </c>
      <c r="N34" s="3718" t="s">
        <v>953</v>
      </c>
      <c r="O34" s="3718" t="s">
        <v>1297</v>
      </c>
      <c r="P34" s="3737" t="s">
        <v>836</v>
      </c>
      <c r="T34" s="3720">
        <v>30</v>
      </c>
      <c r="U34" s="3718"/>
    </row>
    <row r="35" s="101" customFormat="1" spans="2:21">
      <c r="B35" s="3717"/>
      <c r="C35" s="3718"/>
      <c r="D35" s="3718"/>
      <c r="E35" s="3718"/>
      <c r="F35" s="3718"/>
      <c r="G35" s="3718"/>
      <c r="H35" s="3719" t="str">
        <f>F11</f>
        <v>31 Desember 2022</v>
      </c>
      <c r="I35" s="3719"/>
      <c r="J35" s="3719" t="e">
        <f>M11</f>
        <v>#VALUE!</v>
      </c>
      <c r="K35" s="3738" t="s">
        <v>1236</v>
      </c>
      <c r="L35" s="3739" t="e">
        <f>+S11</f>
        <v>#VALUE!</v>
      </c>
      <c r="M35" s="3738" t="s">
        <v>1236</v>
      </c>
      <c r="N35" s="3718"/>
      <c r="O35" s="3718"/>
      <c r="P35" s="3737" t="s">
        <v>1298</v>
      </c>
      <c r="T35" s="3718">
        <f>T33-T34</f>
        <v>50</v>
      </c>
      <c r="U35" s="3718"/>
    </row>
    <row r="36" s="101" customFormat="1" ht="9.6" customHeight="1" spans="2:21">
      <c r="B36" s="3717"/>
      <c r="C36" s="3718"/>
      <c r="D36" s="3718"/>
      <c r="E36" s="3718"/>
      <c r="F36" s="3718"/>
      <c r="G36" s="3718"/>
      <c r="H36" s="3718"/>
      <c r="I36" s="3718"/>
      <c r="J36" s="3718"/>
      <c r="K36" s="3716"/>
      <c r="L36" s="3716"/>
      <c r="M36" s="3716"/>
      <c r="N36" s="3718"/>
      <c r="O36" s="3718"/>
      <c r="P36" s="3718"/>
      <c r="T36" s="3718"/>
      <c r="U36" s="3718"/>
    </row>
    <row r="37" s="101" customFormat="1" spans="2:21">
      <c r="B37" s="3717"/>
      <c r="C37" s="3718" t="s">
        <v>1260</v>
      </c>
      <c r="D37" s="3718"/>
      <c r="E37" s="3718"/>
      <c r="F37" s="3718"/>
      <c r="G37" s="3718"/>
      <c r="H37" s="3718">
        <f>+'F1'!E17</f>
        <v>2119615270.2</v>
      </c>
      <c r="I37" s="3718"/>
      <c r="J37" s="3718">
        <f>+'[75]BS22'!$I$17</f>
        <v>487368498.393332</v>
      </c>
      <c r="K37" s="3740">
        <f t="shared" ref="K37:K40" si="1">(H37-J37)/J37</f>
        <v>3.34910191608109</v>
      </c>
      <c r="L37" s="3718">
        <f>+[75]ARAPWIP!$G$38</f>
        <v>759421490</v>
      </c>
      <c r="M37" s="3740">
        <f t="shared" ref="M37:M40" si="2">(J37-L37)/L37</f>
        <v>-0.358237151817587</v>
      </c>
      <c r="N37" s="3718"/>
      <c r="O37" s="3718"/>
      <c r="P37" s="3718"/>
      <c r="T37" s="3718"/>
      <c r="U37" s="3718"/>
    </row>
    <row r="38" s="101" customFormat="1" spans="2:21">
      <c r="B38" s="3717"/>
      <c r="C38" s="3718" t="s">
        <v>1261</v>
      </c>
      <c r="D38" s="3718"/>
      <c r="E38" s="3718"/>
      <c r="F38" s="3718"/>
      <c r="G38" s="3718"/>
      <c r="H38" s="3720">
        <f>J37</f>
        <v>487368498.393332</v>
      </c>
      <c r="I38" s="3720"/>
      <c r="J38" s="3720">
        <f>+R21</f>
        <v>1205578095.27479</v>
      </c>
      <c r="K38" s="3740">
        <f t="shared" si="1"/>
        <v>-0.595738757776414</v>
      </c>
      <c r="L38" s="3720">
        <f>+[75]ARAPWIP!$F$38</f>
        <v>487368498.393332</v>
      </c>
      <c r="M38" s="3740">
        <f t="shared" si="2"/>
        <v>1.47364796709086</v>
      </c>
      <c r="N38" s="3718"/>
      <c r="O38" s="3718"/>
      <c r="P38" s="129" t="s">
        <v>584</v>
      </c>
      <c r="T38" s="3718"/>
      <c r="U38" s="3718"/>
    </row>
    <row r="39" s="101" customFormat="1" spans="2:21">
      <c r="B39" s="3717"/>
      <c r="C39" s="3718" t="s">
        <v>1262</v>
      </c>
      <c r="D39" s="3718"/>
      <c r="E39" s="3718"/>
      <c r="F39" s="3718"/>
      <c r="G39" s="3718"/>
      <c r="H39" s="3718">
        <f>(H37+H38)/2</f>
        <v>1303491884.29667</v>
      </c>
      <c r="I39" s="3718"/>
      <c r="J39" s="3718">
        <f>(J37+J38)/2</f>
        <v>846473296.834061</v>
      </c>
      <c r="K39" s="3740">
        <f t="shared" si="1"/>
        <v>0.539909042815555</v>
      </c>
      <c r="L39" s="3718">
        <f>(L37+L38)/2</f>
        <v>623394994.196666</v>
      </c>
      <c r="M39" s="3740">
        <f t="shared" si="2"/>
        <v>0.357844231529102</v>
      </c>
      <c r="N39" s="3718" t="s">
        <v>953</v>
      </c>
      <c r="O39" s="3718" t="s">
        <v>1299</v>
      </c>
      <c r="P39" s="184" t="s">
        <v>636</v>
      </c>
      <c r="T39" s="3718">
        <v>5</v>
      </c>
      <c r="U39" s="3718"/>
    </row>
    <row r="40" s="101" customFormat="1" spans="2:21">
      <c r="B40" s="3717"/>
      <c r="C40" s="3718" t="s">
        <v>393</v>
      </c>
      <c r="D40" s="3718"/>
      <c r="E40" s="3718"/>
      <c r="F40" s="3718"/>
      <c r="G40" s="3718"/>
      <c r="H40" s="3718">
        <f>+'F3'!K13</f>
        <v>7474615453.59131</v>
      </c>
      <c r="I40" s="3718"/>
      <c r="J40" s="3718">
        <f>+'F3'!L13</f>
        <v>5551498722</v>
      </c>
      <c r="K40" s="3740">
        <f t="shared" si="1"/>
        <v>0.346413973576217</v>
      </c>
      <c r="L40" s="3718">
        <f>'F30'!R13</f>
        <v>12507006890.5</v>
      </c>
      <c r="M40" s="3740">
        <f t="shared" si="2"/>
        <v>-0.55612891472725</v>
      </c>
      <c r="N40" s="3718" t="s">
        <v>953</v>
      </c>
      <c r="O40" s="3718" t="s">
        <v>1300</v>
      </c>
      <c r="P40" s="184" t="s">
        <v>637</v>
      </c>
      <c r="T40" s="3720">
        <v>6</v>
      </c>
      <c r="U40" s="3718"/>
    </row>
    <row r="41" s="101" customFormat="1" spans="2:21">
      <c r="B41" s="3717"/>
      <c r="C41" s="3718"/>
      <c r="D41" s="3718"/>
      <c r="E41" s="3718"/>
      <c r="F41" s="3718"/>
      <c r="G41" s="3718"/>
      <c r="H41" s="3718"/>
      <c r="I41" s="3718"/>
      <c r="J41" s="3718"/>
      <c r="K41" s="3740"/>
      <c r="L41" s="3718"/>
      <c r="M41" s="3740"/>
      <c r="N41" s="3718"/>
      <c r="O41" s="3718"/>
      <c r="P41" s="3737" t="s">
        <v>1301</v>
      </c>
      <c r="Q41" s="3718"/>
      <c r="T41" s="3718">
        <f>T39+T40</f>
        <v>11</v>
      </c>
      <c r="U41" s="3718"/>
    </row>
    <row r="42" s="101" customFormat="1" spans="2:21">
      <c r="B42" s="3717"/>
      <c r="C42" s="3718"/>
      <c r="D42" s="3718"/>
      <c r="E42" s="3718"/>
      <c r="F42" s="3718"/>
      <c r="G42" s="3718"/>
      <c r="H42" s="3718"/>
      <c r="I42" s="3718"/>
      <c r="J42" s="3718"/>
      <c r="K42" s="3740"/>
      <c r="L42" s="3718"/>
      <c r="M42" s="3740"/>
      <c r="N42" s="3718"/>
      <c r="O42" s="3718"/>
      <c r="P42" s="100" t="s">
        <v>855</v>
      </c>
      <c r="Q42" s="3718"/>
      <c r="T42" s="3761">
        <f>T35-T41</f>
        <v>39</v>
      </c>
      <c r="U42" s="3718"/>
    </row>
    <row r="43" s="101" customFormat="1" spans="2:21">
      <c r="B43" s="3717"/>
      <c r="C43" s="3721" t="s">
        <v>1263</v>
      </c>
      <c r="D43" s="3720"/>
      <c r="E43" s="3718"/>
      <c r="F43" s="3718"/>
      <c r="G43" s="3718"/>
      <c r="H43" s="3718"/>
      <c r="I43" s="3718"/>
      <c r="J43" s="3718"/>
      <c r="K43" s="3740"/>
      <c r="L43" s="3718"/>
      <c r="M43" s="3740"/>
      <c r="N43" s="3718"/>
      <c r="O43" s="3718"/>
      <c r="Q43" s="3718"/>
      <c r="T43" s="3718"/>
      <c r="U43" s="3718"/>
    </row>
    <row r="44" s="101" customFormat="1" spans="2:21">
      <c r="B44" s="3717"/>
      <c r="C44" s="3718"/>
      <c r="D44" s="3718"/>
      <c r="E44" s="3718"/>
      <c r="F44" s="3718"/>
      <c r="G44" s="3718"/>
      <c r="H44" s="3718"/>
      <c r="I44" s="3718"/>
      <c r="J44" s="3718"/>
      <c r="K44" s="3740"/>
      <c r="L44" s="3718"/>
      <c r="M44" s="3740"/>
      <c r="N44" s="3718"/>
      <c r="O44" s="3718"/>
      <c r="Q44" s="3718"/>
      <c r="T44" s="3718"/>
      <c r="U44" s="3718"/>
    </row>
    <row r="45" s="101" customFormat="1" spans="2:21">
      <c r="B45" s="3717"/>
      <c r="C45" s="3718" t="s">
        <v>1264</v>
      </c>
      <c r="D45" s="3718"/>
      <c r="E45" s="3718" t="s">
        <v>210</v>
      </c>
      <c r="F45" s="3718" t="s">
        <v>393</v>
      </c>
      <c r="G45" s="3718"/>
      <c r="H45" s="3720">
        <f>H40</f>
        <v>7474615453.59131</v>
      </c>
      <c r="I45" s="3720"/>
      <c r="J45" s="3720">
        <f>J40</f>
        <v>5551498722</v>
      </c>
      <c r="K45" s="3740">
        <f>(H45-J45)/J45</f>
        <v>0.346413973576217</v>
      </c>
      <c r="L45" s="3720">
        <f>L40</f>
        <v>12507006890.5</v>
      </c>
      <c r="M45" s="3740">
        <f>(J45-L45)/L45</f>
        <v>-0.55612891472725</v>
      </c>
      <c r="N45" s="3718"/>
      <c r="O45" s="3718"/>
      <c r="P45" s="184" t="s">
        <v>639</v>
      </c>
      <c r="Q45" s="3718"/>
      <c r="T45" s="3718"/>
      <c r="U45" s="3718"/>
    </row>
    <row r="46" s="101" customFormat="1" spans="2:21">
      <c r="B46" s="3717"/>
      <c r="C46" s="3718"/>
      <c r="D46" s="3718"/>
      <c r="E46" s="3718"/>
      <c r="F46" s="3718" t="s">
        <v>1265</v>
      </c>
      <c r="G46" s="3718"/>
      <c r="H46" s="3718">
        <f>H39</f>
        <v>1303491884.29667</v>
      </c>
      <c r="I46" s="3718"/>
      <c r="J46" s="3718">
        <f>J39</f>
        <v>846473296.834061</v>
      </c>
      <c r="K46" s="3740"/>
      <c r="L46" s="3718">
        <f>L39</f>
        <v>623394994.196666</v>
      </c>
      <c r="M46" s="3740"/>
      <c r="N46" s="3718" t="s">
        <v>953</v>
      </c>
      <c r="O46" s="3718"/>
      <c r="P46" s="3718" t="s">
        <v>589</v>
      </c>
      <c r="Q46" s="3718"/>
      <c r="T46" s="3718">
        <v>2</v>
      </c>
      <c r="U46" s="3718"/>
    </row>
    <row r="47" s="101" customFormat="1" spans="2:21">
      <c r="B47" s="3717"/>
      <c r="C47" s="3718"/>
      <c r="D47" s="3718"/>
      <c r="E47" s="3718"/>
      <c r="F47" s="3718"/>
      <c r="G47" s="3718"/>
      <c r="H47" s="3718"/>
      <c r="I47" s="3718"/>
      <c r="J47" s="3718"/>
      <c r="K47" s="3740"/>
      <c r="L47" s="3718"/>
      <c r="M47" s="3740"/>
      <c r="N47" s="3718" t="s">
        <v>953</v>
      </c>
      <c r="O47" s="3718"/>
      <c r="P47" s="3718" t="s">
        <v>590</v>
      </c>
      <c r="Q47" s="3718"/>
      <c r="T47" s="3718">
        <v>1</v>
      </c>
      <c r="U47" s="3718"/>
    </row>
    <row r="48" s="101" customFormat="1" spans="2:21">
      <c r="B48" s="3717"/>
      <c r="C48" s="3718"/>
      <c r="D48" s="3718"/>
      <c r="E48" s="3718" t="s">
        <v>210</v>
      </c>
      <c r="F48" s="3718"/>
      <c r="G48" s="3718"/>
      <c r="H48" s="3718">
        <f>H45/H46</f>
        <v>5.73430148943692</v>
      </c>
      <c r="I48" s="3718"/>
      <c r="J48" s="3718">
        <f>J45/J46</f>
        <v>6.55838612129107</v>
      </c>
      <c r="K48" s="3740"/>
      <c r="L48" s="3718">
        <f>L45/L46</f>
        <v>20.0627323076552</v>
      </c>
      <c r="M48" s="3740"/>
      <c r="N48" s="3718"/>
      <c r="O48" s="3718"/>
      <c r="P48" s="101" t="s">
        <v>1302</v>
      </c>
      <c r="Q48" s="3718"/>
      <c r="T48" s="3761">
        <f>T46-T47</f>
        <v>1</v>
      </c>
      <c r="U48" s="3718"/>
    </row>
    <row r="49" s="101" customFormat="1" spans="2:21">
      <c r="B49" s="3717"/>
      <c r="C49" s="3718"/>
      <c r="D49" s="3718"/>
      <c r="E49" s="3718"/>
      <c r="F49" s="3718"/>
      <c r="G49" s="3718"/>
      <c r="H49" s="3718"/>
      <c r="I49" s="3718"/>
      <c r="J49" s="3718"/>
      <c r="K49" s="3740"/>
      <c r="L49" s="3718"/>
      <c r="M49" s="3740"/>
      <c r="N49" s="3718"/>
      <c r="O49" s="3718"/>
      <c r="P49" s="100" t="s">
        <v>1303</v>
      </c>
      <c r="Q49" s="3718"/>
      <c r="T49" s="3762">
        <f>T42+T48</f>
        <v>40</v>
      </c>
      <c r="U49" s="3718"/>
    </row>
    <row r="50" s="101" customFormat="1" spans="2:21">
      <c r="B50" s="3717"/>
      <c r="C50" s="3718" t="s">
        <v>1266</v>
      </c>
      <c r="D50" s="3718"/>
      <c r="E50" s="3718" t="s">
        <v>210</v>
      </c>
      <c r="F50" s="3718"/>
      <c r="G50" s="3718"/>
      <c r="H50" s="3720">
        <v>360</v>
      </c>
      <c r="I50" s="3720"/>
      <c r="J50" s="3720">
        <v>360</v>
      </c>
      <c r="K50" s="3740"/>
      <c r="L50" s="3720">
        <v>360</v>
      </c>
      <c r="M50" s="3740"/>
      <c r="N50" s="3718"/>
      <c r="O50" s="3718"/>
      <c r="Q50" s="3718"/>
      <c r="T50" s="3718"/>
      <c r="U50" s="3718"/>
    </row>
    <row r="51" s="101" customFormat="1" spans="2:21">
      <c r="B51" s="3717"/>
      <c r="C51" s="3718"/>
      <c r="D51" s="3718"/>
      <c r="E51" s="3718"/>
      <c r="F51" s="3718"/>
      <c r="G51" s="3718"/>
      <c r="H51" s="3718">
        <f>H48</f>
        <v>5.73430148943692</v>
      </c>
      <c r="I51" s="3718"/>
      <c r="J51" s="3718">
        <f>J48</f>
        <v>6.55838612129107</v>
      </c>
      <c r="K51" s="3740"/>
      <c r="L51" s="3718">
        <f>L48</f>
        <v>20.0627323076552</v>
      </c>
      <c r="M51" s="3740"/>
      <c r="N51" s="3718"/>
      <c r="O51" s="3718"/>
      <c r="Q51" s="3718"/>
      <c r="T51" s="3718"/>
      <c r="U51" s="3718"/>
    </row>
    <row r="52" s="101" customFormat="1" spans="2:21">
      <c r="B52" s="3717"/>
      <c r="C52" s="3718"/>
      <c r="D52" s="3718"/>
      <c r="E52" s="3718"/>
      <c r="F52" s="3718"/>
      <c r="G52" s="3718"/>
      <c r="H52" s="3718"/>
      <c r="I52" s="3718"/>
      <c r="J52" s="3718"/>
      <c r="K52" s="3718"/>
      <c r="L52" s="3718"/>
      <c r="M52" s="3718"/>
      <c r="N52" s="3718"/>
      <c r="O52" s="3718"/>
      <c r="P52" s="3718" t="s">
        <v>1304</v>
      </c>
      <c r="Q52" s="3718"/>
      <c r="T52" s="3718"/>
      <c r="U52" s="3718"/>
    </row>
    <row r="53" s="101" customFormat="1" spans="2:21">
      <c r="B53" s="3717"/>
      <c r="C53" s="3718" t="s">
        <v>1267</v>
      </c>
      <c r="D53" s="3718"/>
      <c r="E53" s="3718" t="s">
        <v>210</v>
      </c>
      <c r="F53" s="3718"/>
      <c r="G53" s="3718"/>
      <c r="H53" s="3722">
        <f>H50/H51</f>
        <v>62.7800963488144</v>
      </c>
      <c r="I53" s="3722"/>
      <c r="J53" s="3722">
        <f>J50/J51</f>
        <v>54.89155309586</v>
      </c>
      <c r="K53" s="3741" t="s">
        <v>1268</v>
      </c>
      <c r="L53" s="3722">
        <f>L50/L51</f>
        <v>17.9437174597917</v>
      </c>
      <c r="M53" s="3741" t="s">
        <v>1268</v>
      </c>
      <c r="N53" s="3718" t="s">
        <v>953</v>
      </c>
      <c r="O53" s="3718"/>
      <c r="P53" s="134" t="s">
        <v>712</v>
      </c>
      <c r="Q53" s="3718"/>
      <c r="T53" s="3718">
        <v>1</v>
      </c>
      <c r="U53" s="3718"/>
    </row>
    <row r="54" s="101" customFormat="1" spans="2:21">
      <c r="B54" s="3717"/>
      <c r="C54" s="3718"/>
      <c r="D54" s="3718"/>
      <c r="E54" s="3718"/>
      <c r="F54" s="3718"/>
      <c r="G54" s="3718"/>
      <c r="H54" s="3723"/>
      <c r="I54" s="3723"/>
      <c r="J54" s="3723"/>
      <c r="K54" s="3723"/>
      <c r="L54" s="3718"/>
      <c r="M54" s="3718"/>
      <c r="N54" s="3718" t="s">
        <v>953</v>
      </c>
      <c r="O54" s="3718"/>
      <c r="P54" s="3742" t="s">
        <v>820</v>
      </c>
      <c r="Q54" s="3763"/>
      <c r="R54" s="3764"/>
      <c r="S54" s="3764"/>
      <c r="T54" s="3763"/>
      <c r="U54" s="3763" t="s">
        <v>1305</v>
      </c>
    </row>
    <row r="55" s="101" customFormat="1" spans="2:21">
      <c r="B55" s="3717"/>
      <c r="C55" s="3718"/>
      <c r="D55" s="3718" t="s">
        <v>1269</v>
      </c>
      <c r="E55" s="3718"/>
      <c r="F55" s="3718"/>
      <c r="G55" s="3718"/>
      <c r="H55" s="3718"/>
      <c r="I55" s="3718"/>
      <c r="J55" s="3718"/>
      <c r="K55" s="3718"/>
      <c r="L55" s="3723"/>
      <c r="M55" s="3723"/>
      <c r="N55" s="3723"/>
      <c r="O55" s="3723"/>
      <c r="P55" s="3743" t="s">
        <v>1306</v>
      </c>
      <c r="Q55" s="3765"/>
      <c r="R55" s="3766"/>
      <c r="S55" s="3766"/>
      <c r="T55" s="3721">
        <f>T49-T53</f>
        <v>39</v>
      </c>
      <c r="U55" s="3718"/>
    </row>
    <row r="56" s="101" customFormat="1" spans="2:21">
      <c r="B56" s="3717"/>
      <c r="C56" s="3718"/>
      <c r="D56" s="3718" t="s">
        <v>1270</v>
      </c>
      <c r="E56" s="3718"/>
      <c r="F56" s="3718"/>
      <c r="G56" s="3718"/>
      <c r="H56" s="3718"/>
      <c r="I56" s="3718"/>
      <c r="J56" s="3718"/>
      <c r="K56" s="3718"/>
      <c r="L56" s="3718"/>
      <c r="M56" s="3718"/>
      <c r="N56" s="3718"/>
      <c r="O56" s="3718"/>
      <c r="Q56" s="3720"/>
      <c r="R56" s="3766"/>
      <c r="S56" s="3766"/>
      <c r="T56" s="3720"/>
      <c r="U56" s="3718"/>
    </row>
    <row r="57" s="101" customFormat="1" spans="2:21">
      <c r="B57" s="3717"/>
      <c r="C57" s="3718"/>
      <c r="D57" s="3718"/>
      <c r="E57" s="3718"/>
      <c r="F57" s="3718"/>
      <c r="G57" s="3718"/>
      <c r="H57" s="3718"/>
      <c r="I57" s="3718"/>
      <c r="J57" s="3718"/>
      <c r="K57" s="3718"/>
      <c r="L57" s="3718"/>
      <c r="M57" s="3718"/>
      <c r="N57" s="3718"/>
      <c r="O57" s="3718"/>
      <c r="P57" s="3744" t="s">
        <v>643</v>
      </c>
      <c r="Q57" s="3764"/>
      <c r="R57" s="3764"/>
      <c r="S57" s="3764"/>
      <c r="T57" s="3764"/>
      <c r="U57" s="3764"/>
    </row>
    <row r="58" s="101" customFormat="1" ht="15.6" spans="2:21">
      <c r="B58" s="3717"/>
      <c r="C58" s="3718"/>
      <c r="D58" s="3724" t="s">
        <v>1202</v>
      </c>
      <c r="E58" s="3718"/>
      <c r="F58" s="3718"/>
      <c r="G58" s="3718"/>
      <c r="H58" s="3725">
        <v>45199</v>
      </c>
      <c r="I58" s="3725"/>
      <c r="J58" s="3745">
        <v>2022</v>
      </c>
      <c r="K58" s="3746"/>
      <c r="L58" s="3745">
        <v>2021</v>
      </c>
      <c r="M58" s="3745">
        <f>+L58-1</f>
        <v>2020</v>
      </c>
      <c r="N58" s="3718" t="s">
        <v>953</v>
      </c>
      <c r="O58" s="3738"/>
      <c r="P58" s="3747" t="s">
        <v>644</v>
      </c>
      <c r="Q58" s="3763"/>
      <c r="R58" s="3764"/>
      <c r="S58" s="3764"/>
      <c r="T58" s="3763">
        <v>2</v>
      </c>
      <c r="U58" s="3763" t="s">
        <v>1305</v>
      </c>
    </row>
    <row r="59" s="101" customFormat="1" ht="13.95" spans="2:21">
      <c r="B59" s="3717"/>
      <c r="C59" s="3718"/>
      <c r="D59" s="3718" t="e">
        <f>+#REF!</f>
        <v>#REF!</v>
      </c>
      <c r="E59" s="3718"/>
      <c r="F59" s="3718"/>
      <c r="G59" s="3718"/>
      <c r="H59" s="3718">
        <v>0</v>
      </c>
      <c r="I59" s="3718"/>
      <c r="J59" s="3718" t="e">
        <f>+#REF!</f>
        <v>#REF!</v>
      </c>
      <c r="K59" s="3718"/>
      <c r="L59" s="3718" t="e">
        <f>+#REF!</f>
        <v>#REF!</v>
      </c>
      <c r="M59" s="3718" t="e">
        <f>+#REF!</f>
        <v>#REF!</v>
      </c>
      <c r="N59" s="3738"/>
      <c r="O59" s="3738"/>
      <c r="P59" s="3744" t="s">
        <v>645</v>
      </c>
      <c r="Q59" s="3767"/>
      <c r="R59" s="3767"/>
      <c r="S59" s="3764"/>
      <c r="T59" s="3768">
        <f>T55+T58</f>
        <v>41</v>
      </c>
      <c r="U59" s="3763" t="s">
        <v>1305</v>
      </c>
    </row>
    <row r="60" s="101" customFormat="1" spans="2:15">
      <c r="B60" s="3717"/>
      <c r="C60" s="3718"/>
      <c r="D60" s="3718" t="e">
        <f>+#REF!</f>
        <v>#REF!</v>
      </c>
      <c r="E60" s="3718"/>
      <c r="F60" s="3718"/>
      <c r="G60" s="3718"/>
      <c r="H60" s="3718">
        <v>0</v>
      </c>
      <c r="I60" s="3718"/>
      <c r="J60" s="3718" t="e">
        <f>+#REF!</f>
        <v>#REF!</v>
      </c>
      <c r="K60" s="3718"/>
      <c r="L60" s="3718" t="e">
        <f>+#REF!</f>
        <v>#REF!</v>
      </c>
      <c r="M60" s="3718" t="e">
        <f>+#REF!</f>
        <v>#REF!</v>
      </c>
      <c r="N60" s="3738"/>
      <c r="O60" s="3738"/>
    </row>
    <row r="61" s="101" customFormat="1" spans="2:21">
      <c r="B61" s="3717"/>
      <c r="C61" s="3718"/>
      <c r="D61" s="3718" t="e">
        <f>+#REF!</f>
        <v>#REF!</v>
      </c>
      <c r="E61" s="3718"/>
      <c r="F61" s="3718"/>
      <c r="G61" s="3718"/>
      <c r="H61" s="3718">
        <v>0</v>
      </c>
      <c r="I61" s="3718"/>
      <c r="J61" s="3718" t="e">
        <f>+#REF!</f>
        <v>#REF!</v>
      </c>
      <c r="K61" s="3718"/>
      <c r="L61" s="3718" t="e">
        <f>+#REF!</f>
        <v>#REF!</v>
      </c>
      <c r="M61" s="3718" t="e">
        <f>+#REF!</f>
        <v>#REF!</v>
      </c>
      <c r="N61" s="3738"/>
      <c r="O61" s="3738"/>
      <c r="P61" s="3738"/>
      <c r="Q61" s="3738"/>
      <c r="R61" s="3738"/>
      <c r="S61" s="3718"/>
      <c r="T61" s="3718"/>
      <c r="U61" s="3760"/>
    </row>
    <row r="62" s="101" customFormat="1" spans="2:21">
      <c r="B62" s="3717"/>
      <c r="C62" s="3718"/>
      <c r="D62" s="3718" t="e">
        <f>+#REF!</f>
        <v>#REF!</v>
      </c>
      <c r="E62" s="3718"/>
      <c r="F62" s="3718"/>
      <c r="G62" s="3718"/>
      <c r="H62" s="3718">
        <v>0</v>
      </c>
      <c r="I62" s="3718"/>
      <c r="J62" s="3718" t="e">
        <f>+#REF!</f>
        <v>#REF!</v>
      </c>
      <c r="K62" s="3718"/>
      <c r="L62" s="3718" t="e">
        <f>+#REF!</f>
        <v>#REF!</v>
      </c>
      <c r="M62" s="3718" t="e">
        <f>+#REF!</f>
        <v>#REF!</v>
      </c>
      <c r="N62" s="3738"/>
      <c r="O62" s="3738"/>
      <c r="P62" s="3738"/>
      <c r="Q62" s="3738"/>
      <c r="R62" s="3738"/>
      <c r="S62" s="3718"/>
      <c r="T62" s="3718"/>
      <c r="U62" s="3760"/>
    </row>
    <row r="63" s="101" customFormat="1" spans="2:21">
      <c r="B63" s="3717"/>
      <c r="C63" s="3718"/>
      <c r="D63" s="3718" t="e">
        <f>+#REF!</f>
        <v>#REF!</v>
      </c>
      <c r="E63" s="3718"/>
      <c r="F63" s="3726" t="s">
        <v>1271</v>
      </c>
      <c r="G63" s="3718"/>
      <c r="H63" s="3718">
        <v>0</v>
      </c>
      <c r="I63" s="3718"/>
      <c r="J63" s="3718" t="e">
        <f>+#REF!</f>
        <v>#REF!</v>
      </c>
      <c r="K63" s="3718"/>
      <c r="L63" s="3718" t="e">
        <f>+#REF!</f>
        <v>#REF!</v>
      </c>
      <c r="M63" s="3718" t="e">
        <f>+#REF!</f>
        <v>#REF!</v>
      </c>
      <c r="N63" s="3738"/>
      <c r="O63" s="3738"/>
      <c r="P63" s="3738"/>
      <c r="Q63" s="3738"/>
      <c r="R63" s="3738"/>
      <c r="S63" s="3718"/>
      <c r="T63" s="3718"/>
      <c r="U63" s="3760"/>
    </row>
    <row r="64" s="101" customFormat="1" spans="2:21">
      <c r="B64" s="3717"/>
      <c r="C64" s="3718"/>
      <c r="D64" s="3718" t="e">
        <f>+#REF!</f>
        <v>#REF!</v>
      </c>
      <c r="E64" s="3718"/>
      <c r="F64" s="3718"/>
      <c r="G64" s="3718"/>
      <c r="H64" s="3718">
        <v>0</v>
      </c>
      <c r="I64" s="3718"/>
      <c r="J64" s="3718" t="e">
        <f>+#REF!</f>
        <v>#REF!</v>
      </c>
      <c r="K64" s="3718"/>
      <c r="L64" s="3718" t="e">
        <f>+#REF!</f>
        <v>#REF!</v>
      </c>
      <c r="M64" s="3718" t="e">
        <f>+#REF!</f>
        <v>#REF!</v>
      </c>
      <c r="N64" s="3738"/>
      <c r="O64" s="3738"/>
      <c r="P64" s="3738"/>
      <c r="Q64" s="3738"/>
      <c r="R64" s="3738"/>
      <c r="S64" s="3718"/>
      <c r="T64" s="3718"/>
      <c r="U64" s="3760"/>
    </row>
    <row r="65" s="101" customFormat="1" spans="2:21">
      <c r="B65" s="3717"/>
      <c r="C65" s="3718"/>
      <c r="D65" s="3718" t="e">
        <f>+#REF!</f>
        <v>#REF!</v>
      </c>
      <c r="E65" s="3718"/>
      <c r="F65" s="3718"/>
      <c r="G65" s="3718"/>
      <c r="H65" s="3718">
        <v>0</v>
      </c>
      <c r="I65" s="3718"/>
      <c r="J65" s="3718" t="e">
        <f>+#REF!</f>
        <v>#REF!</v>
      </c>
      <c r="K65" s="3718"/>
      <c r="L65" s="3718" t="e">
        <f>+#REF!</f>
        <v>#REF!</v>
      </c>
      <c r="M65" s="3718" t="e">
        <f>+#REF!</f>
        <v>#REF!</v>
      </c>
      <c r="N65" s="3738"/>
      <c r="O65" s="3738"/>
      <c r="P65" s="3738"/>
      <c r="Q65" s="3738"/>
      <c r="R65" s="3738"/>
      <c r="S65" s="3718"/>
      <c r="T65" s="3718"/>
      <c r="U65" s="3760"/>
    </row>
    <row r="66" s="101" customFormat="1" spans="2:21">
      <c r="B66" s="3717"/>
      <c r="C66" s="3718"/>
      <c r="D66" s="3718" t="e">
        <f>+#REF!</f>
        <v>#REF!</v>
      </c>
      <c r="E66" s="3718"/>
      <c r="F66" s="3718"/>
      <c r="G66" s="3718"/>
      <c r="H66" s="3718">
        <v>0</v>
      </c>
      <c r="I66" s="3718"/>
      <c r="J66" s="3718" t="e">
        <f>+#REF!</f>
        <v>#REF!</v>
      </c>
      <c r="K66" s="3718"/>
      <c r="L66" s="3718" t="e">
        <f>+#REF!</f>
        <v>#REF!</v>
      </c>
      <c r="M66" s="3718" t="e">
        <f>+#REF!</f>
        <v>#REF!</v>
      </c>
      <c r="N66" s="3738"/>
      <c r="O66" s="3738"/>
      <c r="P66" s="3738"/>
      <c r="Q66" s="3738"/>
      <c r="R66" s="3738"/>
      <c r="S66" s="3718"/>
      <c r="T66" s="3718"/>
      <c r="U66" s="3760"/>
    </row>
    <row r="67" s="101" customFormat="1" spans="2:21">
      <c r="B67" s="3717"/>
      <c r="C67" s="3718"/>
      <c r="D67" s="3718" t="e">
        <f>+#REF!</f>
        <v>#REF!</v>
      </c>
      <c r="E67" s="3718"/>
      <c r="F67" s="3718"/>
      <c r="G67" s="3718"/>
      <c r="H67" s="3718">
        <v>0</v>
      </c>
      <c r="I67" s="3718"/>
      <c r="J67" s="3718" t="e">
        <f>+#REF!</f>
        <v>#REF!</v>
      </c>
      <c r="K67" s="3718"/>
      <c r="L67" s="3718" t="e">
        <f>+#REF!</f>
        <v>#REF!</v>
      </c>
      <c r="M67" s="3718" t="e">
        <f>+#REF!</f>
        <v>#REF!</v>
      </c>
      <c r="N67" s="3738"/>
      <c r="O67" s="3738"/>
      <c r="P67" s="3738"/>
      <c r="Q67" s="3738"/>
      <c r="R67" s="3738"/>
      <c r="S67" s="3718"/>
      <c r="T67" s="3718"/>
      <c r="U67" s="3760"/>
    </row>
    <row r="68" s="101" customFormat="1" spans="2:21">
      <c r="B68" s="3717"/>
      <c r="C68" s="3718"/>
      <c r="D68" s="3718" t="e">
        <f>+#REF!</f>
        <v>#REF!</v>
      </c>
      <c r="E68" s="3718"/>
      <c r="F68" s="3718"/>
      <c r="G68" s="3718"/>
      <c r="H68" s="3718">
        <v>0</v>
      </c>
      <c r="I68" s="3718"/>
      <c r="J68" s="3718" t="e">
        <f>+#REF!</f>
        <v>#REF!</v>
      </c>
      <c r="K68" s="3718"/>
      <c r="L68" s="3718" t="e">
        <f>+#REF!</f>
        <v>#REF!</v>
      </c>
      <c r="M68" s="3718" t="e">
        <f>+#REF!</f>
        <v>#REF!</v>
      </c>
      <c r="N68" s="3738"/>
      <c r="O68" s="3738"/>
      <c r="P68" s="3738"/>
      <c r="Q68" s="3738"/>
      <c r="R68" s="3738"/>
      <c r="S68" s="3718"/>
      <c r="T68" s="3718"/>
      <c r="U68" s="3760"/>
    </row>
    <row r="69" s="101" customFormat="1" spans="2:21">
      <c r="B69" s="3717"/>
      <c r="C69" s="3718"/>
      <c r="D69" s="3718" t="e">
        <f>+#REF!</f>
        <v>#REF!</v>
      </c>
      <c r="E69" s="3718"/>
      <c r="F69" s="3718"/>
      <c r="G69" s="3718"/>
      <c r="H69" s="3718">
        <v>0</v>
      </c>
      <c r="I69" s="3718"/>
      <c r="J69" s="3718" t="e">
        <f>+#REF!</f>
        <v>#REF!</v>
      </c>
      <c r="K69" s="3718"/>
      <c r="L69" s="3718" t="e">
        <f>+#REF!</f>
        <v>#REF!</v>
      </c>
      <c r="M69" s="3718" t="e">
        <f>+#REF!</f>
        <v>#REF!</v>
      </c>
      <c r="N69" s="3738"/>
      <c r="O69" s="3738"/>
      <c r="P69" s="3738"/>
      <c r="Q69" s="3738"/>
      <c r="R69" s="3738"/>
      <c r="S69" s="3718"/>
      <c r="T69" s="3718"/>
      <c r="U69" s="3760"/>
    </row>
    <row r="70" s="101" customFormat="1" spans="2:21">
      <c r="B70" s="3717"/>
      <c r="C70" s="3718"/>
      <c r="D70" s="3718" t="e">
        <f>+#REF!</f>
        <v>#REF!</v>
      </c>
      <c r="E70" s="3718"/>
      <c r="F70" s="3718"/>
      <c r="G70" s="3718"/>
      <c r="H70" s="3718">
        <v>0</v>
      </c>
      <c r="I70" s="3718"/>
      <c r="J70" s="3718" t="e">
        <f>+#REF!</f>
        <v>#REF!</v>
      </c>
      <c r="K70" s="3718"/>
      <c r="L70" s="3718" t="e">
        <f>+#REF!</f>
        <v>#REF!</v>
      </c>
      <c r="M70" s="3718" t="e">
        <f>+#REF!</f>
        <v>#REF!</v>
      </c>
      <c r="N70" s="3738"/>
      <c r="O70" s="3738"/>
      <c r="P70" s="3738"/>
      <c r="Q70" s="3738"/>
      <c r="R70" s="3738"/>
      <c r="S70" s="3718"/>
      <c r="T70" s="3718"/>
      <c r="U70" s="3760"/>
    </row>
    <row r="71" s="101" customFormat="1" spans="2:21">
      <c r="B71" s="3717"/>
      <c r="C71" s="3718"/>
      <c r="D71" s="3718" t="e">
        <f>+#REF!</f>
        <v>#REF!</v>
      </c>
      <c r="E71" s="3718"/>
      <c r="F71" s="3718"/>
      <c r="G71" s="3718"/>
      <c r="H71" s="3718">
        <v>0</v>
      </c>
      <c r="I71" s="3718"/>
      <c r="J71" s="3718" t="e">
        <f>+#REF!</f>
        <v>#REF!</v>
      </c>
      <c r="K71" s="3718"/>
      <c r="L71" s="3718" t="e">
        <f>+#REF!</f>
        <v>#REF!</v>
      </c>
      <c r="M71" s="3718" t="e">
        <f>+#REF!</f>
        <v>#REF!</v>
      </c>
      <c r="N71" s="3738"/>
      <c r="O71" s="3738"/>
      <c r="P71" s="3738"/>
      <c r="Q71" s="3738"/>
      <c r="R71" s="3738"/>
      <c r="S71" s="3718"/>
      <c r="T71" s="3718"/>
      <c r="U71" s="3760"/>
    </row>
    <row r="72" s="101" customFormat="1" spans="2:21">
      <c r="B72" s="3717"/>
      <c r="C72" s="3718"/>
      <c r="D72" s="3718" t="e">
        <f>+#REF!</f>
        <v>#REF!</v>
      </c>
      <c r="E72" s="3718"/>
      <c r="F72" s="3718"/>
      <c r="G72" s="3718"/>
      <c r="H72" s="3718">
        <v>0</v>
      </c>
      <c r="I72" s="3718"/>
      <c r="J72" s="3718">
        <v>0</v>
      </c>
      <c r="K72" s="3718"/>
      <c r="L72" s="3718" t="e">
        <f>+#REF!</f>
        <v>#REF!</v>
      </c>
      <c r="M72" s="3718" t="e">
        <f>+#REF!</f>
        <v>#REF!</v>
      </c>
      <c r="N72" s="3738"/>
      <c r="O72" s="3738"/>
      <c r="P72" s="3738"/>
      <c r="Q72" s="3738"/>
      <c r="R72" s="3738"/>
      <c r="S72" s="3718"/>
      <c r="T72" s="3718"/>
      <c r="U72" s="3760"/>
    </row>
    <row r="73" s="101" customFormat="1" spans="2:21">
      <c r="B73" s="3717"/>
      <c r="C73" s="3718"/>
      <c r="D73" s="3718"/>
      <c r="E73" s="3718"/>
      <c r="F73" s="3718"/>
      <c r="G73" s="3718"/>
      <c r="H73" s="3720"/>
      <c r="I73" s="3720"/>
      <c r="J73" s="3720"/>
      <c r="K73" s="3720"/>
      <c r="L73" s="3720"/>
      <c r="M73" s="3720"/>
      <c r="N73" s="3738"/>
      <c r="O73" s="3738"/>
      <c r="P73" s="3738"/>
      <c r="Q73" s="3738"/>
      <c r="R73" s="3738"/>
      <c r="S73" s="3718"/>
      <c r="T73" s="3718"/>
      <c r="U73" s="3760"/>
    </row>
    <row r="74" s="101" customFormat="1" spans="2:21">
      <c r="B74" s="3717"/>
      <c r="C74" s="3718"/>
      <c r="D74" s="3718" t="s">
        <v>151</v>
      </c>
      <c r="E74" s="3718"/>
      <c r="F74" s="3718"/>
      <c r="G74" s="3718"/>
      <c r="H74" s="3718">
        <f>SUM(H59:H73)</f>
        <v>0</v>
      </c>
      <c r="I74" s="3718"/>
      <c r="J74" s="3718" t="e">
        <f>SUM(J59:J73)</f>
        <v>#REF!</v>
      </c>
      <c r="K74" s="3718">
        <f>SUM(K59:K73)</f>
        <v>0</v>
      </c>
      <c r="L74" s="3718" t="e">
        <f>SUM(L59:L73)</f>
        <v>#REF!</v>
      </c>
      <c r="M74" s="3718" t="e">
        <f>SUM(M59:M73)</f>
        <v>#REF!</v>
      </c>
      <c r="N74" s="3738"/>
      <c r="O74" s="3738"/>
      <c r="P74" s="3738"/>
      <c r="Q74" s="3738"/>
      <c r="R74" s="3738"/>
      <c r="S74" s="3718"/>
      <c r="T74" s="3718"/>
      <c r="U74" s="3760"/>
    </row>
    <row r="75" s="101" customFormat="1" spans="2:21">
      <c r="B75" s="3717"/>
      <c r="C75" s="3718"/>
      <c r="D75" s="3737"/>
      <c r="E75" s="3737"/>
      <c r="F75" s="3737"/>
      <c r="G75" s="3737"/>
      <c r="H75" s="3737"/>
      <c r="I75" s="3737"/>
      <c r="J75" s="3737"/>
      <c r="K75" s="3718"/>
      <c r="L75" s="3718"/>
      <c r="M75" s="3718"/>
      <c r="N75" s="3738"/>
      <c r="O75" s="3738"/>
      <c r="P75" s="3738"/>
      <c r="Q75" s="3738"/>
      <c r="R75" s="3738"/>
      <c r="S75" s="3718"/>
      <c r="T75" s="3718"/>
      <c r="U75" s="3760"/>
    </row>
    <row r="76" s="101" customFormat="1" spans="2:21">
      <c r="B76" s="3717"/>
      <c r="C76" s="3718"/>
      <c r="D76" s="3737" t="s">
        <v>1272</v>
      </c>
      <c r="E76" s="3737"/>
      <c r="F76" s="3769">
        <v>2022</v>
      </c>
      <c r="G76" s="3769"/>
      <c r="H76" s="3769">
        <v>2021</v>
      </c>
      <c r="I76" s="3769"/>
      <c r="J76" s="3737"/>
      <c r="K76" s="3718"/>
      <c r="L76" s="3718"/>
      <c r="M76" s="3718"/>
      <c r="N76" s="3718"/>
      <c r="O76" s="3718"/>
      <c r="P76" s="3718"/>
      <c r="Q76" s="3718"/>
      <c r="R76" s="3718"/>
      <c r="S76" s="3718"/>
      <c r="T76" s="3718"/>
      <c r="U76" s="3760"/>
    </row>
    <row r="77" s="101" customFormat="1" spans="2:21">
      <c r="B77" s="3717"/>
      <c r="C77" s="3718"/>
      <c r="D77" s="3718" t="s">
        <v>1273</v>
      </c>
      <c r="E77" s="3718"/>
      <c r="F77" s="3718"/>
      <c r="G77" s="3718"/>
      <c r="H77" s="3718"/>
      <c r="I77" s="3718"/>
      <c r="J77" s="3718"/>
      <c r="K77" s="3718"/>
      <c r="L77" s="3718"/>
      <c r="M77" s="3718"/>
      <c r="N77" s="3718"/>
      <c r="O77" s="3718"/>
      <c r="P77" s="3718"/>
      <c r="Q77" s="3718"/>
      <c r="R77" s="3718"/>
      <c r="S77" s="3718"/>
      <c r="T77" s="3718"/>
      <c r="U77" s="3760"/>
    </row>
    <row r="78" s="101" customFormat="1" spans="2:21">
      <c r="B78" s="3717"/>
      <c r="C78" s="3718"/>
      <c r="D78" s="3718" t="s">
        <v>1274</v>
      </c>
      <c r="E78" s="3718"/>
      <c r="F78" s="3718"/>
      <c r="G78" s="3718"/>
      <c r="H78" s="3718"/>
      <c r="I78" s="3718"/>
      <c r="J78" s="3718"/>
      <c r="K78" s="3718"/>
      <c r="L78" s="3718"/>
      <c r="M78" s="3718"/>
      <c r="N78" s="3718"/>
      <c r="O78" s="3718"/>
      <c r="P78" s="3718"/>
      <c r="Q78" s="3718"/>
      <c r="R78" s="3718"/>
      <c r="S78" s="3718"/>
      <c r="T78" s="3718"/>
      <c r="U78" s="3760"/>
    </row>
    <row r="79" s="101" customFormat="1" spans="2:21">
      <c r="B79" s="3717"/>
      <c r="C79" s="3718"/>
      <c r="D79" s="3718" t="s">
        <v>1275</v>
      </c>
      <c r="E79" s="3718"/>
      <c r="F79" s="3718"/>
      <c r="G79" s="3718"/>
      <c r="H79" s="3718"/>
      <c r="I79" s="3718"/>
      <c r="J79" s="3718"/>
      <c r="K79" s="3718"/>
      <c r="L79" s="3718"/>
      <c r="M79" s="3718"/>
      <c r="N79" s="3718"/>
      <c r="O79" s="3718"/>
      <c r="P79" s="3718"/>
      <c r="Q79" s="3718"/>
      <c r="R79" s="3718"/>
      <c r="S79" s="3718"/>
      <c r="T79" s="3718"/>
      <c r="U79" s="3760"/>
    </row>
    <row r="80" s="101" customFormat="1" spans="2:21">
      <c r="B80" s="3717"/>
      <c r="C80" s="3718"/>
      <c r="D80" s="3718" t="s">
        <v>1276</v>
      </c>
      <c r="E80" s="3718"/>
      <c r="F80" s="3718"/>
      <c r="G80" s="3718"/>
      <c r="H80" s="3718"/>
      <c r="I80" s="3718"/>
      <c r="J80" s="3718"/>
      <c r="K80" s="3718"/>
      <c r="L80" s="3718"/>
      <c r="M80" s="3718"/>
      <c r="N80" s="3718"/>
      <c r="O80" s="3718"/>
      <c r="P80" s="3718"/>
      <c r="Q80" s="3718"/>
      <c r="R80" s="3718"/>
      <c r="S80" s="3718"/>
      <c r="T80" s="3718"/>
      <c r="U80" s="3760"/>
    </row>
    <row r="81" s="101" customFormat="1" spans="2:21">
      <c r="B81" s="3717"/>
      <c r="C81" s="3718"/>
      <c r="D81" s="3718" t="s">
        <v>1277</v>
      </c>
      <c r="E81" s="3718"/>
      <c r="F81" s="3718"/>
      <c r="G81" s="3718"/>
      <c r="H81" s="3718"/>
      <c r="I81" s="3718"/>
      <c r="J81" s="3718"/>
      <c r="K81" s="3718"/>
      <c r="L81" s="3718"/>
      <c r="M81" s="3718"/>
      <c r="N81" s="3718"/>
      <c r="O81" s="3718"/>
      <c r="P81" s="3718"/>
      <c r="Q81" s="3718"/>
      <c r="R81" s="3718"/>
      <c r="S81" s="3718"/>
      <c r="T81" s="3718"/>
      <c r="U81" s="3760"/>
    </row>
    <row r="82" s="101" customFormat="1" spans="2:21">
      <c r="B82" s="3717"/>
      <c r="C82" s="3718"/>
      <c r="D82" s="3718" t="s">
        <v>1278</v>
      </c>
      <c r="E82" s="3718"/>
      <c r="F82" s="3718"/>
      <c r="G82" s="3718"/>
      <c r="H82" s="3718"/>
      <c r="I82" s="3718"/>
      <c r="J82" s="3718"/>
      <c r="K82" s="3718"/>
      <c r="L82" s="3718"/>
      <c r="M82" s="3718"/>
      <c r="N82" s="3718"/>
      <c r="O82" s="3718"/>
      <c r="P82" s="3718"/>
      <c r="Q82" s="3718"/>
      <c r="R82" s="3718"/>
      <c r="S82" s="3718"/>
      <c r="T82" s="3718"/>
      <c r="U82" s="3760"/>
    </row>
    <row r="83" s="101" customFormat="1" spans="2:21">
      <c r="B83" s="3717"/>
      <c r="C83" s="3718"/>
      <c r="D83" s="3718"/>
      <c r="E83" s="3718"/>
      <c r="F83" s="3718"/>
      <c r="G83" s="3718"/>
      <c r="H83" s="3718"/>
      <c r="I83" s="3718"/>
      <c r="J83" s="3718"/>
      <c r="K83" s="3718"/>
      <c r="L83" s="3718"/>
      <c r="M83" s="3718"/>
      <c r="N83" s="3718"/>
      <c r="O83" s="3718"/>
      <c r="P83" s="3718"/>
      <c r="Q83" s="3718"/>
      <c r="R83" s="3718"/>
      <c r="S83" s="3718"/>
      <c r="T83" s="3718"/>
      <c r="U83" s="3760"/>
    </row>
    <row r="84" s="101" customFormat="1" spans="2:21">
      <c r="B84" s="3717" t="s">
        <v>1279</v>
      </c>
      <c r="C84" s="3718" t="s">
        <v>1280</v>
      </c>
      <c r="D84" s="3718"/>
      <c r="E84" s="3718"/>
      <c r="F84" s="3718"/>
      <c r="G84" s="3718"/>
      <c r="H84" s="3718"/>
      <c r="I84" s="3718"/>
      <c r="J84" s="3718"/>
      <c r="K84" s="3718"/>
      <c r="L84" s="3718"/>
      <c r="M84" s="3718"/>
      <c r="N84" s="3718"/>
      <c r="O84" s="3718"/>
      <c r="P84" s="3718"/>
      <c r="Q84" s="3718"/>
      <c r="R84" s="3718"/>
      <c r="S84" s="3718"/>
      <c r="T84" s="3718"/>
      <c r="U84" s="3760"/>
    </row>
    <row r="85" s="101" customFormat="1" spans="2:21">
      <c r="B85" s="3717"/>
      <c r="C85" s="3718"/>
      <c r="D85" s="3718"/>
      <c r="E85" s="3718"/>
      <c r="F85" s="3718"/>
      <c r="G85" s="3718"/>
      <c r="H85" s="3718"/>
      <c r="I85" s="3718"/>
      <c r="J85" s="3718"/>
      <c r="K85" s="3718"/>
      <c r="L85" s="3718"/>
      <c r="M85" s="3718"/>
      <c r="N85" s="3718"/>
      <c r="O85" s="3718"/>
      <c r="P85" s="3718"/>
      <c r="Q85" s="3718"/>
      <c r="R85" s="3718"/>
      <c r="S85" s="3718"/>
      <c r="T85" s="3718"/>
      <c r="U85" s="3760"/>
    </row>
    <row r="86" s="101" customFormat="1" spans="2:21">
      <c r="B86" s="3770" t="s">
        <v>952</v>
      </c>
      <c r="C86" s="3718"/>
      <c r="D86" s="3718"/>
      <c r="E86" s="3771" t="s">
        <v>953</v>
      </c>
      <c r="F86" s="3718" t="s">
        <v>954</v>
      </c>
      <c r="G86" s="3771"/>
      <c r="H86" s="3718" t="s">
        <v>955</v>
      </c>
      <c r="I86" s="3718"/>
      <c r="J86" s="3718"/>
      <c r="K86" s="3718"/>
      <c r="L86" s="3718"/>
      <c r="M86" s="3718"/>
      <c r="N86" s="3718"/>
      <c r="O86" s="3718"/>
      <c r="P86" s="3718"/>
      <c r="Q86" s="3718"/>
      <c r="R86" s="3718"/>
      <c r="S86" s="3718"/>
      <c r="T86" s="3718"/>
      <c r="U86" s="3760"/>
    </row>
    <row r="87" s="101" customFormat="1" ht="9.6" customHeight="1" spans="2:21">
      <c r="B87" s="3717"/>
      <c r="C87" s="3718"/>
      <c r="D87" s="3718"/>
      <c r="E87" s="3718"/>
      <c r="F87" s="3718"/>
      <c r="G87" s="3718"/>
      <c r="H87" s="3718"/>
      <c r="I87" s="3718"/>
      <c r="J87" s="3718"/>
      <c r="K87" s="3718"/>
      <c r="L87" s="3718"/>
      <c r="M87" s="3718"/>
      <c r="N87" s="3718"/>
      <c r="O87" s="3718"/>
      <c r="P87" s="3718"/>
      <c r="Q87" s="3718"/>
      <c r="R87" s="3718"/>
      <c r="S87" s="3718"/>
      <c r="T87" s="3718"/>
      <c r="U87" s="3760"/>
    </row>
    <row r="88" s="101" customFormat="1" spans="2:21">
      <c r="B88" s="3717"/>
      <c r="C88" s="3718"/>
      <c r="D88" s="3718"/>
      <c r="E88" s="3718" t="s">
        <v>1281</v>
      </c>
      <c r="F88" s="3718"/>
      <c r="G88" s="3718"/>
      <c r="H88" s="3718"/>
      <c r="I88" s="3718"/>
      <c r="J88" s="3718"/>
      <c r="K88" s="3718"/>
      <c r="L88" s="3718"/>
      <c r="M88" s="3718"/>
      <c r="N88" s="3718"/>
      <c r="O88" s="3718"/>
      <c r="P88" s="3718"/>
      <c r="Q88" s="3718"/>
      <c r="R88" s="3718"/>
      <c r="S88" s="3718"/>
      <c r="T88" s="3718"/>
      <c r="U88" s="3760"/>
    </row>
    <row r="89" s="101" customFormat="1" spans="2:21">
      <c r="B89" s="3717"/>
      <c r="C89" s="3718"/>
      <c r="D89" s="3718"/>
      <c r="E89" s="3718"/>
      <c r="F89" s="3718"/>
      <c r="G89" s="3718"/>
      <c r="H89" s="3718"/>
      <c r="I89" s="3718"/>
      <c r="J89" s="3718"/>
      <c r="K89" s="3718"/>
      <c r="L89" s="3718"/>
      <c r="M89" s="3718"/>
      <c r="N89" s="3718"/>
      <c r="O89" s="3718"/>
      <c r="P89" s="3718"/>
      <c r="Q89" s="3718"/>
      <c r="R89" s="3718"/>
      <c r="S89" s="3718"/>
      <c r="T89" s="3718"/>
      <c r="U89" s="3760"/>
    </row>
    <row r="90" s="101" customFormat="1" spans="2:21">
      <c r="B90" s="3717"/>
      <c r="C90" s="3718"/>
      <c r="D90" s="3718"/>
      <c r="E90" s="3718"/>
      <c r="F90" s="3718"/>
      <c r="G90" s="3718"/>
      <c r="H90" s="3718"/>
      <c r="I90" s="3718"/>
      <c r="J90" s="3718"/>
      <c r="K90" s="3718"/>
      <c r="L90" s="3718"/>
      <c r="M90" s="3718"/>
      <c r="N90" s="3718"/>
      <c r="O90" s="3718"/>
      <c r="P90" s="3718"/>
      <c r="Q90" s="3718"/>
      <c r="R90" s="3718"/>
      <c r="S90" s="3718"/>
      <c r="T90" s="3718"/>
      <c r="U90" s="3760"/>
    </row>
    <row r="91" s="101" customFormat="1" spans="1:21">
      <c r="A91" s="137"/>
      <c r="B91" s="3717" t="s">
        <v>1282</v>
      </c>
      <c r="C91" s="3718"/>
      <c r="D91" s="3718"/>
      <c r="E91" s="3718"/>
      <c r="F91" s="3718"/>
      <c r="G91" s="3718"/>
      <c r="H91" s="3718"/>
      <c r="I91" s="3718"/>
      <c r="J91" s="3718"/>
      <c r="K91" s="3718"/>
      <c r="L91" s="3718"/>
      <c r="M91" s="3718"/>
      <c r="N91" s="3718"/>
      <c r="O91" s="3718"/>
      <c r="P91" s="3718"/>
      <c r="Q91" s="3718"/>
      <c r="R91" s="3718"/>
      <c r="S91" s="3718"/>
      <c r="T91" s="3718"/>
      <c r="U91" s="3760"/>
    </row>
    <row r="92" s="101" customFormat="1" spans="1:21">
      <c r="A92" s="137"/>
      <c r="B92" s="3772"/>
      <c r="C92" s="3720"/>
      <c r="D92" s="3720"/>
      <c r="E92" s="3720"/>
      <c r="F92" s="3720"/>
      <c r="G92" s="3720"/>
      <c r="H92" s="3720"/>
      <c r="I92" s="3720"/>
      <c r="J92" s="3720"/>
      <c r="K92" s="3720"/>
      <c r="L92" s="3720"/>
      <c r="M92" s="3720"/>
      <c r="N92" s="3720"/>
      <c r="O92" s="3720"/>
      <c r="P92" s="3720"/>
      <c r="Q92" s="3720"/>
      <c r="R92" s="3720"/>
      <c r="S92" s="3720"/>
      <c r="T92" s="3720"/>
      <c r="U92" s="3773"/>
    </row>
    <row r="93" s="101" customFormat="1" spans="1:21">
      <c r="A93" s="137"/>
      <c r="B93"/>
      <c r="C93"/>
      <c r="D93"/>
      <c r="E93"/>
      <c r="F93"/>
      <c r="G93"/>
      <c r="H93"/>
      <c r="I93"/>
      <c r="J93"/>
      <c r="K93"/>
      <c r="L93"/>
      <c r="M93"/>
      <c r="N93"/>
      <c r="O93"/>
      <c r="P93"/>
      <c r="Q93"/>
      <c r="R93"/>
      <c r="S93"/>
      <c r="T93"/>
      <c r="U93"/>
    </row>
    <row r="94" s="101" customFormat="1" spans="2:21">
      <c r="B94"/>
      <c r="C94"/>
      <c r="D94"/>
      <c r="E94"/>
      <c r="F94"/>
      <c r="G94"/>
      <c r="H94"/>
      <c r="I94"/>
      <c r="J94"/>
      <c r="K94"/>
      <c r="L94"/>
      <c r="M94"/>
      <c r="N94"/>
      <c r="O94"/>
      <c r="P94"/>
      <c r="Q94"/>
      <c r="R94"/>
      <c r="S94"/>
      <c r="T94"/>
      <c r="U94"/>
    </row>
    <row r="95" s="101" customFormat="1" spans="6:6">
      <c r="F95" s="2423"/>
    </row>
    <row r="96" s="101" customFormat="1" spans="6:6">
      <c r="F96" s="2423"/>
    </row>
    <row r="97" s="101" customFormat="1" spans="6:6">
      <c r="F97" s="2423"/>
    </row>
    <row r="98" s="101" customFormat="1" spans="6:6">
      <c r="F98" s="2423"/>
    </row>
    <row r="99" s="101" customFormat="1" spans="6:6">
      <c r="F99" s="2423"/>
    </row>
    <row r="100" s="101" customFormat="1" spans="6:6">
      <c r="F100" s="2423"/>
    </row>
    <row r="101" s="101" customFormat="1" spans="6:6">
      <c r="F101" s="2423"/>
    </row>
    <row r="102" s="101" customFormat="1" spans="6:6">
      <c r="F102" s="2423"/>
    </row>
    <row r="103" s="101" customFormat="1" spans="6:6">
      <c r="F103" s="2423"/>
    </row>
    <row r="104" s="101" customFormat="1" spans="6:6">
      <c r="F104" s="2423"/>
    </row>
    <row r="105" s="101" customFormat="1" spans="6:6">
      <c r="F105" s="2423"/>
    </row>
    <row r="106" s="101" customFormat="1" spans="6:6">
      <c r="F106" s="2423"/>
    </row>
    <row r="107" s="101" customFormat="1" spans="6:6">
      <c r="F107" s="2423"/>
    </row>
    <row r="108" s="101" customFormat="1" spans="6:6">
      <c r="F108" s="2423"/>
    </row>
    <row r="109" s="101" customFormat="1" spans="6:6">
      <c r="F109" s="2423"/>
    </row>
    <row r="110" s="101" customFormat="1" spans="6:6">
      <c r="F110" s="2423"/>
    </row>
    <row r="111" s="101" customFormat="1" spans="6:6">
      <c r="F111" s="2423"/>
    </row>
    <row r="112" s="101" customFormat="1" spans="6:6">
      <c r="F112" s="2423"/>
    </row>
    <row r="113" s="101" customFormat="1" spans="6:6">
      <c r="F113" s="2423"/>
    </row>
    <row r="114" s="101" customFormat="1" spans="6:6">
      <c r="F114" s="2423"/>
    </row>
    <row r="115" s="101" customFormat="1" spans="6:6">
      <c r="F115" s="2423"/>
    </row>
    <row r="116" s="101" customFormat="1" spans="6:6">
      <c r="F116" s="2423"/>
    </row>
    <row r="117" s="101" customFormat="1" spans="6:6">
      <c r="F117" s="2423"/>
    </row>
    <row r="118" s="101" customFormat="1" spans="6:6">
      <c r="F118" s="2423"/>
    </row>
    <row r="119" s="101" customFormat="1" spans="6:6">
      <c r="F119" s="2423"/>
    </row>
    <row r="120" s="101" customFormat="1" spans="6:6">
      <c r="F120" s="2423"/>
    </row>
    <row r="121" s="101" customFormat="1" spans="6:6">
      <c r="F121" s="2423"/>
    </row>
    <row r="122" s="101" customFormat="1" spans="6:6">
      <c r="F122" s="2423"/>
    </row>
    <row r="123" s="101" customFormat="1" spans="6:6">
      <c r="F123" s="2423"/>
    </row>
    <row r="124" s="101" customFormat="1" spans="6:6">
      <c r="F124" s="2423"/>
    </row>
    <row r="125" s="101" customFormat="1" spans="6:6">
      <c r="F125" s="2423"/>
    </row>
    <row r="126" s="101" customFormat="1" spans="6:6">
      <c r="F126" s="2423"/>
    </row>
    <row r="127" s="101" customFormat="1" spans="6:6">
      <c r="F127" s="2423"/>
    </row>
    <row r="128" s="101" customFormat="1" spans="6:6">
      <c r="F128" s="2423"/>
    </row>
    <row r="129" s="101" customFormat="1" spans="6:6">
      <c r="F129" s="2423"/>
    </row>
    <row r="130" s="101" customFormat="1" spans="6:6">
      <c r="F130" s="2423"/>
    </row>
    <row r="131" s="101" customFormat="1" spans="6:6">
      <c r="F131" s="2423"/>
    </row>
    <row r="132" s="101" customFormat="1" spans="6:6">
      <c r="F132" s="2423"/>
    </row>
    <row r="133" s="101" customFormat="1" spans="6:6">
      <c r="F133" s="2423"/>
    </row>
    <row r="134" s="101" customFormat="1" spans="6:6">
      <c r="F134" s="2423"/>
    </row>
    <row r="135" s="101" customFormat="1" spans="6:6">
      <c r="F135" s="2423"/>
    </row>
    <row r="136" s="101" customFormat="1" spans="6:6">
      <c r="F136" s="2423"/>
    </row>
    <row r="137" s="101" customFormat="1" spans="6:6">
      <c r="F137" s="2423"/>
    </row>
    <row r="138" s="101" customFormat="1" spans="6:6">
      <c r="F138" s="2423"/>
    </row>
    <row r="139" s="101" customFormat="1" spans="6:6">
      <c r="F139" s="2423"/>
    </row>
    <row r="140" s="101" customFormat="1" spans="6:6">
      <c r="F140" s="2423"/>
    </row>
    <row r="141" s="101" customFormat="1" spans="6:6">
      <c r="F141" s="2423"/>
    </row>
    <row r="142" s="101" customFormat="1" spans="6:6">
      <c r="F142" s="2423"/>
    </row>
    <row r="143" s="101" customFormat="1" spans="6:6">
      <c r="F143" s="2423"/>
    </row>
    <row r="144" s="101" customFormat="1" spans="6:6">
      <c r="F144" s="2423"/>
    </row>
    <row r="145" s="101" customFormat="1" spans="6:6">
      <c r="F145" s="2423"/>
    </row>
    <row r="146" s="101" customFormat="1" spans="6:6">
      <c r="F146" s="2423"/>
    </row>
    <row r="147" s="101" customFormat="1" spans="6:6">
      <c r="F147" s="2423"/>
    </row>
    <row r="148" s="101" customFormat="1" spans="6:6">
      <c r="F148" s="2423"/>
    </row>
    <row r="149" s="101" customFormat="1" spans="6:6">
      <c r="F149" s="2423"/>
    </row>
    <row r="150" s="101" customFormat="1" spans="6:6">
      <c r="F150" s="2423"/>
    </row>
    <row r="151" s="101" customFormat="1" spans="6:6">
      <c r="F151" s="2423"/>
    </row>
    <row r="152" s="101" customFormat="1" spans="6:6">
      <c r="F152" s="2423"/>
    </row>
    <row r="153" s="101" customFormat="1" spans="6:6">
      <c r="F153" s="2423"/>
    </row>
    <row r="154" s="101" customFormat="1" spans="6:6">
      <c r="F154" s="2423"/>
    </row>
    <row r="155" s="101" customFormat="1" spans="6:6">
      <c r="F155" s="2423"/>
    </row>
    <row r="156" s="101" customFormat="1" spans="6:6">
      <c r="F156" s="2423"/>
    </row>
    <row r="157" s="101" customFormat="1" spans="6:6">
      <c r="F157" s="2423"/>
    </row>
    <row r="158" s="101" customFormat="1" spans="6:6">
      <c r="F158" s="2423"/>
    </row>
    <row r="159" s="101" customFormat="1" spans="6:6">
      <c r="F159" s="2423"/>
    </row>
    <row r="160" s="101" customFormat="1" spans="6:6">
      <c r="F160" s="2423"/>
    </row>
    <row r="161" s="101" customFormat="1" spans="6:6">
      <c r="F161" s="2423"/>
    </row>
    <row r="162" s="101" customFormat="1" spans="6:6">
      <c r="F162" s="2423"/>
    </row>
    <row r="163" s="101" customFormat="1" spans="6:6">
      <c r="F163" s="2423"/>
    </row>
    <row r="164" s="101" customFormat="1" spans="6:6">
      <c r="F164" s="2423"/>
    </row>
    <row r="165" s="101" customFormat="1" spans="6:6">
      <c r="F165" s="2423"/>
    </row>
    <row r="166" s="101" customFormat="1" spans="6:6">
      <c r="F166" s="2423"/>
    </row>
    <row r="167" s="101" customFormat="1" spans="6:6">
      <c r="F167" s="2423"/>
    </row>
    <row r="168" s="101" customFormat="1" spans="6:6">
      <c r="F168" s="2423"/>
    </row>
    <row r="169" s="101" customFormat="1" spans="6:6">
      <c r="F169" s="2423"/>
    </row>
    <row r="170" s="101" customFormat="1" spans="6:6">
      <c r="F170" s="2423"/>
    </row>
    <row r="171" s="101" customFormat="1" spans="6:6">
      <c r="F171" s="2423"/>
    </row>
    <row r="172" s="101" customFormat="1" spans="6:6">
      <c r="F172" s="2423"/>
    </row>
    <row r="173" s="101" customFormat="1" spans="6:6">
      <c r="F173" s="2423"/>
    </row>
    <row r="174" s="101" customFormat="1" spans="6:6">
      <c r="F174" s="2423"/>
    </row>
    <row r="175" s="101" customFormat="1" spans="6:6">
      <c r="F175" s="2423"/>
    </row>
    <row r="176" s="101" customFormat="1" spans="6:6">
      <c r="F176" s="2423"/>
    </row>
    <row r="177" s="101" customFormat="1" spans="6:6">
      <c r="F177" s="2423"/>
    </row>
    <row r="178" s="101" customFormat="1" spans="6:6">
      <c r="F178" s="2423"/>
    </row>
    <row r="179" s="101" customFormat="1" spans="6:6">
      <c r="F179" s="2423"/>
    </row>
    <row r="180" s="101" customFormat="1" spans="6:6">
      <c r="F180" s="2423"/>
    </row>
    <row r="181" s="101" customFormat="1" spans="6:6">
      <c r="F181" s="2423"/>
    </row>
    <row r="182" s="101" customFormat="1" spans="6:6">
      <c r="F182" s="2423"/>
    </row>
    <row r="183" s="101" customFormat="1" spans="6:6">
      <c r="F183" s="2423"/>
    </row>
    <row r="184" s="101" customFormat="1" spans="6:6">
      <c r="F184" s="2423"/>
    </row>
    <row r="185" s="101" customFormat="1" spans="6:6">
      <c r="F185" s="2423"/>
    </row>
    <row r="186" s="101" customFormat="1" spans="6:6">
      <c r="F186" s="2423"/>
    </row>
    <row r="187" s="101" customFormat="1" spans="6:6">
      <c r="F187" s="2423"/>
    </row>
    <row r="188" s="101" customFormat="1" spans="6:6">
      <c r="F188" s="2423"/>
    </row>
    <row r="189" s="101" customFormat="1" spans="6:6">
      <c r="F189" s="2423"/>
    </row>
    <row r="190" s="101" customFormat="1" spans="6:6">
      <c r="F190" s="2423"/>
    </row>
    <row r="191" s="101" customFormat="1" spans="6:6">
      <c r="F191" s="2423"/>
    </row>
    <row r="192" s="101" customFormat="1" spans="6:6">
      <c r="F192" s="2423"/>
    </row>
    <row r="193" s="101" customFormat="1" spans="6:6">
      <c r="F193" s="2423"/>
    </row>
    <row r="194" s="101" customFormat="1" spans="6:6">
      <c r="F194" s="2423"/>
    </row>
    <row r="195" s="101" customFormat="1" spans="6:6">
      <c r="F195" s="2423"/>
    </row>
    <row r="196" s="101" customFormat="1" spans="6:6">
      <c r="F196" s="2423"/>
    </row>
    <row r="197" s="101" customFormat="1" spans="6:6">
      <c r="F197" s="2423"/>
    </row>
    <row r="198" s="101" customFormat="1" spans="6:6">
      <c r="F198" s="2423"/>
    </row>
    <row r="199" s="101" customFormat="1" spans="6:6">
      <c r="F199" s="2423"/>
    </row>
    <row r="200" s="101" customFormat="1" spans="6:6">
      <c r="F200" s="2423"/>
    </row>
    <row r="201" s="101" customFormat="1" spans="6:6">
      <c r="F201" s="2423"/>
    </row>
    <row r="202" s="101" customFormat="1" spans="6:6">
      <c r="F202" s="2423"/>
    </row>
    <row r="203" s="101" customFormat="1" spans="6:6">
      <c r="F203" s="2423"/>
    </row>
    <row r="204" s="101" customFormat="1" spans="6:6">
      <c r="F204" s="2423"/>
    </row>
    <row r="205" s="101" customFormat="1" spans="6:6">
      <c r="F205" s="2423"/>
    </row>
    <row r="206" s="101" customFormat="1" spans="6:6">
      <c r="F206" s="2423"/>
    </row>
    <row r="207" s="101" customFormat="1" spans="6:6">
      <c r="F207" s="2423"/>
    </row>
    <row r="208" s="101" customFormat="1" spans="6:6">
      <c r="F208" s="2423"/>
    </row>
    <row r="209" s="101" customFormat="1" spans="6:6">
      <c r="F209" s="2423"/>
    </row>
    <row r="210" s="101" customFormat="1" spans="6:6">
      <c r="F210" s="2423"/>
    </row>
    <row r="211" s="101" customFormat="1" spans="6:6">
      <c r="F211" s="2423"/>
    </row>
    <row r="212" s="101" customFormat="1" spans="6:6">
      <c r="F212" s="2423"/>
    </row>
    <row r="213" s="101" customFormat="1" spans="6:6">
      <c r="F213" s="2423"/>
    </row>
    <row r="214" s="101" customFormat="1" spans="6:6">
      <c r="F214" s="2423"/>
    </row>
    <row r="215" s="101" customFormat="1" spans="6:6">
      <c r="F215" s="2423"/>
    </row>
    <row r="216" s="101" customFormat="1" spans="6:6">
      <c r="F216" s="2423"/>
    </row>
    <row r="217" s="101" customFormat="1" spans="6:6">
      <c r="F217" s="2423"/>
    </row>
    <row r="218" s="101" customFormat="1" spans="6:6">
      <c r="F218" s="2423"/>
    </row>
    <row r="219" s="101" customFormat="1" spans="6:6">
      <c r="F219" s="2423"/>
    </row>
    <row r="220" s="101" customFormat="1" spans="6:6">
      <c r="F220" s="2423"/>
    </row>
    <row r="221" s="101" customFormat="1" spans="6:6">
      <c r="F221" s="2423"/>
    </row>
    <row r="222" s="101" customFormat="1" spans="6:6">
      <c r="F222" s="2423"/>
    </row>
    <row r="223" s="101" customFormat="1" spans="6:6">
      <c r="F223" s="2423"/>
    </row>
    <row r="224" s="101" customFormat="1" spans="6:6">
      <c r="F224" s="2423"/>
    </row>
    <row r="225" s="101" customFormat="1" spans="6:6">
      <c r="F225" s="2423"/>
    </row>
    <row r="226" s="101" customFormat="1" spans="6:6">
      <c r="F226" s="2423"/>
    </row>
    <row r="227" s="101" customFormat="1" spans="6:6">
      <c r="F227" s="2423"/>
    </row>
    <row r="228" s="101" customFormat="1" spans="6:6">
      <c r="F228" s="2423"/>
    </row>
    <row r="229" s="101" customFormat="1" spans="6:6">
      <c r="F229" s="2423"/>
    </row>
    <row r="230" s="101" customFormat="1" spans="6:6">
      <c r="F230" s="2423"/>
    </row>
    <row r="231" s="101" customFormat="1" spans="6:6">
      <c r="F231" s="2423"/>
    </row>
    <row r="232" s="101" customFormat="1" spans="6:6">
      <c r="F232" s="2423"/>
    </row>
    <row r="233" s="101" customFormat="1" spans="6:6">
      <c r="F233" s="2423"/>
    </row>
    <row r="234" s="101" customFormat="1" spans="6:6">
      <c r="F234" s="2423"/>
    </row>
    <row r="235" s="101" customFormat="1" spans="6:6">
      <c r="F235" s="2423"/>
    </row>
    <row r="236" s="101" customFormat="1" spans="6:6">
      <c r="F236" s="2423"/>
    </row>
    <row r="237" s="101" customFormat="1" spans="6:6">
      <c r="F237" s="2423"/>
    </row>
    <row r="238" s="101" customFormat="1" spans="6:6">
      <c r="F238" s="2423"/>
    </row>
    <row r="239" s="101" customFormat="1" spans="6:6">
      <c r="F239" s="2423"/>
    </row>
    <row r="240" s="101" customFormat="1" spans="6:6">
      <c r="F240" s="2423"/>
    </row>
    <row r="241" s="101" customFormat="1" spans="6:6">
      <c r="F241" s="2423"/>
    </row>
    <row r="242" s="101" customFormat="1" spans="6:6">
      <c r="F242" s="2423"/>
    </row>
    <row r="243" s="101" customFormat="1" spans="6:6">
      <c r="F243" s="2423"/>
    </row>
    <row r="244" s="101" customFormat="1" spans="6:6">
      <c r="F244" s="2423"/>
    </row>
    <row r="245" s="101" customFormat="1" spans="6:6">
      <c r="F245" s="2423"/>
    </row>
    <row r="246" s="101" customFormat="1" spans="6:6">
      <c r="F246" s="2423"/>
    </row>
    <row r="247" s="101" customFormat="1" spans="6:6">
      <c r="F247" s="2423"/>
    </row>
    <row r="248" s="101" customFormat="1" spans="6:6">
      <c r="F248" s="2423"/>
    </row>
    <row r="249" s="101" customFormat="1" spans="6:6">
      <c r="F249" s="2423"/>
    </row>
    <row r="250" s="101" customFormat="1" spans="6:6">
      <c r="F250" s="2423"/>
    </row>
    <row r="251" s="101" customFormat="1" spans="6:6">
      <c r="F251" s="2423"/>
    </row>
    <row r="252" s="101" customFormat="1" spans="6:6">
      <c r="F252" s="2423"/>
    </row>
    <row r="253" s="101" customFormat="1" spans="6:6">
      <c r="F253" s="2423"/>
    </row>
    <row r="254" s="101" customFormat="1" spans="6:6">
      <c r="F254" s="2423"/>
    </row>
    <row r="255" s="101" customFormat="1" spans="6:6">
      <c r="F255" s="2423"/>
    </row>
    <row r="256" s="101" customFormat="1" spans="6:6">
      <c r="F256" s="2423"/>
    </row>
    <row r="257" s="101" customFormat="1" spans="6:6">
      <c r="F257" s="2423"/>
    </row>
    <row r="258" s="101" customFormat="1" spans="6:6">
      <c r="F258" s="2423"/>
    </row>
    <row r="259" s="101" customFormat="1" spans="6:6">
      <c r="F259" s="2423"/>
    </row>
    <row r="260" s="101" customFormat="1" spans="6:6">
      <c r="F260" s="2423"/>
    </row>
    <row r="261" s="101" customFormat="1" spans="6:6">
      <c r="F261" s="2423"/>
    </row>
    <row r="262" s="101" customFormat="1" spans="6:6">
      <c r="F262" s="2423"/>
    </row>
    <row r="263" s="101" customFormat="1" spans="6:6">
      <c r="F263" s="2423"/>
    </row>
    <row r="264" s="101" customFormat="1" spans="6:6">
      <c r="F264" s="2423"/>
    </row>
    <row r="265" s="101" customFormat="1" spans="6:6">
      <c r="F265" s="2423"/>
    </row>
    <row r="266" s="101" customFormat="1" spans="6:6">
      <c r="F266" s="2423"/>
    </row>
    <row r="267" s="101" customFormat="1" spans="6:6">
      <c r="F267" s="2423"/>
    </row>
    <row r="268" s="101" customFormat="1" spans="6:6">
      <c r="F268" s="2423"/>
    </row>
    <row r="269" s="101" customFormat="1" spans="6:6">
      <c r="F269" s="2423"/>
    </row>
    <row r="270" s="101" customFormat="1" spans="6:6">
      <c r="F270" s="2423"/>
    </row>
    <row r="271" s="101" customFormat="1" spans="6:6">
      <c r="F271" s="2423"/>
    </row>
    <row r="272" s="101" customFormat="1" spans="6:6">
      <c r="F272" s="2423"/>
    </row>
    <row r="273" s="101" customFormat="1" spans="6:6">
      <c r="F273" s="2423"/>
    </row>
    <row r="274" s="101" customFormat="1" spans="6:6">
      <c r="F274" s="2423"/>
    </row>
    <row r="275" s="101" customFormat="1" spans="6:6">
      <c r="F275" s="2423"/>
    </row>
    <row r="276" s="101" customFormat="1" spans="6:6">
      <c r="F276" s="2423"/>
    </row>
    <row r="277" s="101" customFormat="1" spans="6:6">
      <c r="F277" s="2423"/>
    </row>
    <row r="278" s="101" customFormat="1" spans="6:6">
      <c r="F278" s="2423"/>
    </row>
    <row r="279" s="101" customFormat="1" spans="6:6">
      <c r="F279" s="2423"/>
    </row>
    <row r="280" s="101" customFormat="1" spans="6:6">
      <c r="F280" s="2423"/>
    </row>
    <row r="281" s="101" customFormat="1" spans="6:6">
      <c r="F281" s="2423"/>
    </row>
    <row r="282" s="101" customFormat="1" spans="6:6">
      <c r="F282" s="2423"/>
    </row>
    <row r="283" s="101" customFormat="1" spans="6:6">
      <c r="F283" s="2423"/>
    </row>
    <row r="284" s="101" customFormat="1" spans="6:6">
      <c r="F284" s="2423"/>
    </row>
    <row r="285" s="101" customFormat="1" spans="6:6">
      <c r="F285" s="2423"/>
    </row>
    <row r="286" s="101" customFormat="1" spans="6:6">
      <c r="F286" s="2423"/>
    </row>
    <row r="287" s="101" customFormat="1" spans="6:6">
      <c r="F287" s="2423"/>
    </row>
    <row r="288" s="101" customFormat="1" spans="6:6">
      <c r="F288" s="2423"/>
    </row>
    <row r="289" s="101" customFormat="1" spans="6:6">
      <c r="F289" s="2423"/>
    </row>
    <row r="290" s="101" customFormat="1" spans="6:6">
      <c r="F290" s="2423"/>
    </row>
    <row r="291" s="101" customFormat="1" spans="6:6">
      <c r="F291" s="2423"/>
    </row>
    <row r="292" s="101" customFormat="1" spans="6:6">
      <c r="F292" s="2423"/>
    </row>
    <row r="293" s="101" customFormat="1" spans="6:6">
      <c r="F293" s="2423"/>
    </row>
    <row r="294" s="101" customFormat="1" spans="6:6">
      <c r="F294" s="2423"/>
    </row>
    <row r="295" s="101" customFormat="1" spans="6:6">
      <c r="F295" s="2423"/>
    </row>
    <row r="296" s="101" customFormat="1" spans="6:6">
      <c r="F296" s="2423"/>
    </row>
    <row r="297" s="101" customFormat="1" spans="6:6">
      <c r="F297" s="2423"/>
    </row>
    <row r="298" s="101" customFormat="1" spans="6:6">
      <c r="F298" s="2423"/>
    </row>
    <row r="299" s="101" customFormat="1" spans="6:6">
      <c r="F299" s="2423"/>
    </row>
    <row r="300" s="101" customFormat="1" spans="6:6">
      <c r="F300" s="2423"/>
    </row>
    <row r="301" s="101" customFormat="1" spans="6:6">
      <c r="F301" s="2423"/>
    </row>
    <row r="302" s="101" customFormat="1" spans="6:6">
      <c r="F302" s="2423"/>
    </row>
    <row r="303" s="101" customFormat="1" spans="6:6">
      <c r="F303" s="2423"/>
    </row>
    <row r="304" s="101" customFormat="1" spans="6:6">
      <c r="F304" s="2423"/>
    </row>
    <row r="305" s="101" customFormat="1" spans="6:6">
      <c r="F305" s="2423"/>
    </row>
    <row r="306" s="101" customFormat="1" spans="6:6">
      <c r="F306" s="2423"/>
    </row>
    <row r="307" s="101" customFormat="1" spans="6:6">
      <c r="F307" s="2423"/>
    </row>
    <row r="308" s="101" customFormat="1" spans="6:6">
      <c r="F308" s="2423"/>
    </row>
    <row r="309" s="101" customFormat="1" spans="6:6">
      <c r="F309" s="2423"/>
    </row>
    <row r="310" s="101" customFormat="1" spans="6:6">
      <c r="F310" s="2423"/>
    </row>
    <row r="311" s="101" customFormat="1" spans="6:6">
      <c r="F311" s="2423"/>
    </row>
    <row r="312" s="101" customFormat="1" spans="6:6">
      <c r="F312" s="2423"/>
    </row>
    <row r="313" s="101" customFormat="1" spans="6:6">
      <c r="F313" s="2423"/>
    </row>
    <row r="314" s="101" customFormat="1" spans="6:6">
      <c r="F314" s="2423"/>
    </row>
    <row r="315" s="101" customFormat="1" spans="6:6">
      <c r="F315" s="2423"/>
    </row>
    <row r="316" s="101" customFormat="1" spans="6:6">
      <c r="F316" s="2423"/>
    </row>
    <row r="317" s="101" customFormat="1" spans="6:6">
      <c r="F317" s="2423"/>
    </row>
    <row r="318" s="101" customFormat="1" spans="6:6">
      <c r="F318" s="2423"/>
    </row>
    <row r="319" s="101" customFormat="1" spans="6:6">
      <c r="F319" s="2423"/>
    </row>
    <row r="320" s="101" customFormat="1" spans="6:6">
      <c r="F320" s="2423"/>
    </row>
    <row r="321" s="101" customFormat="1" spans="6:6">
      <c r="F321" s="2423"/>
    </row>
    <row r="322" s="101" customFormat="1" spans="6:6">
      <c r="F322" s="2423"/>
    </row>
    <row r="323" s="101" customFormat="1" spans="6:6">
      <c r="F323" s="2423"/>
    </row>
    <row r="324" s="101" customFormat="1" spans="6:6">
      <c r="F324" s="2423"/>
    </row>
    <row r="325" s="101" customFormat="1" spans="6:6">
      <c r="F325" s="2423"/>
    </row>
    <row r="326" s="101" customFormat="1" spans="6:6">
      <c r="F326" s="2423"/>
    </row>
    <row r="327" s="101" customFormat="1" spans="6:6">
      <c r="F327" s="2423"/>
    </row>
    <row r="328" s="101" customFormat="1" spans="6:6">
      <c r="F328" s="2423"/>
    </row>
    <row r="329" s="101" customFormat="1" spans="6:6">
      <c r="F329" s="2423"/>
    </row>
    <row r="330" s="101" customFormat="1" spans="6:6">
      <c r="F330" s="2423"/>
    </row>
    <row r="331" s="101" customFormat="1" spans="6:6">
      <c r="F331" s="2423"/>
    </row>
    <row r="332" s="101" customFormat="1" spans="6:6">
      <c r="F332" s="2423"/>
    </row>
    <row r="333" s="101" customFormat="1" spans="6:6">
      <c r="F333" s="2423"/>
    </row>
    <row r="334" s="101" customFormat="1" spans="6:6">
      <c r="F334" s="2423"/>
    </row>
    <row r="335" s="101" customFormat="1" spans="6:6">
      <c r="F335" s="2423"/>
    </row>
    <row r="336" s="101" customFormat="1" spans="6:6">
      <c r="F336" s="2423"/>
    </row>
    <row r="337" s="101" customFormat="1" spans="6:6">
      <c r="F337" s="2423"/>
    </row>
    <row r="338" s="101" customFormat="1" spans="6:6">
      <c r="F338" s="2423"/>
    </row>
    <row r="339" s="101" customFormat="1" spans="6:6">
      <c r="F339" s="2423"/>
    </row>
    <row r="340" s="101" customFormat="1" spans="6:6">
      <c r="F340" s="2423"/>
    </row>
    <row r="341" s="101" customFormat="1" spans="6:6">
      <c r="F341" s="2423"/>
    </row>
    <row r="342" s="101" customFormat="1" spans="6:6">
      <c r="F342" s="2423"/>
    </row>
    <row r="343" s="101" customFormat="1" spans="6:6">
      <c r="F343" s="2423"/>
    </row>
    <row r="344" s="101" customFormat="1" spans="6:6">
      <c r="F344" s="2423"/>
    </row>
    <row r="345" s="101" customFormat="1" spans="6:6">
      <c r="F345" s="2423"/>
    </row>
    <row r="346" s="101" customFormat="1" spans="6:6">
      <c r="F346" s="2423"/>
    </row>
    <row r="347" s="101" customFormat="1" spans="6:6">
      <c r="F347" s="2423"/>
    </row>
    <row r="348" s="101" customFormat="1" spans="6:6">
      <c r="F348" s="2423"/>
    </row>
    <row r="349" s="101" customFormat="1" spans="6:6">
      <c r="F349" s="2423"/>
    </row>
    <row r="350" s="101" customFormat="1" spans="6:6">
      <c r="F350" s="2423"/>
    </row>
    <row r="351" s="101" customFormat="1" spans="6:6">
      <c r="F351" s="2423"/>
    </row>
    <row r="352" s="101" customFormat="1" spans="6:6">
      <c r="F352" s="2423"/>
    </row>
    <row r="353" s="101" customFormat="1" spans="6:6">
      <c r="F353" s="2423"/>
    </row>
    <row r="354" s="101" customFormat="1" spans="6:6">
      <c r="F354" s="2423"/>
    </row>
    <row r="355" s="101" customFormat="1" spans="6:6">
      <c r="F355" s="2423"/>
    </row>
    <row r="356" s="101" customFormat="1" spans="6:6">
      <c r="F356" s="2423"/>
    </row>
    <row r="357" s="101" customFormat="1" spans="6:6">
      <c r="F357" s="2423"/>
    </row>
    <row r="358" s="101" customFormat="1" spans="6:6">
      <c r="F358" s="2423"/>
    </row>
    <row r="359" s="101" customFormat="1" spans="6:6">
      <c r="F359" s="2423"/>
    </row>
    <row r="360" s="101" customFormat="1" spans="6:6">
      <c r="F360" s="2423"/>
    </row>
    <row r="361" s="101" customFormat="1" spans="6:6">
      <c r="F361" s="2423"/>
    </row>
    <row r="362" s="101" customFormat="1" spans="6:6">
      <c r="F362" s="2423"/>
    </row>
    <row r="363" s="101" customFormat="1" spans="6:6">
      <c r="F363" s="2423"/>
    </row>
    <row r="364" s="101" customFormat="1" spans="6:6">
      <c r="F364" s="2423"/>
    </row>
    <row r="365" s="101" customFormat="1" spans="6:6">
      <c r="F365" s="2423"/>
    </row>
    <row r="366" s="101" customFormat="1" spans="6:6">
      <c r="F366" s="2423"/>
    </row>
    <row r="367" s="101" customFormat="1" spans="6:6">
      <c r="F367" s="2423"/>
    </row>
    <row r="368" s="101" customFormat="1" spans="6:6">
      <c r="F368" s="2423"/>
    </row>
    <row r="369" s="101" customFormat="1" spans="6:6">
      <c r="F369" s="2423"/>
    </row>
    <row r="370" s="101" customFormat="1" spans="6:6">
      <c r="F370" s="2423"/>
    </row>
    <row r="371" s="101" customFormat="1" spans="6:6">
      <c r="F371" s="2423"/>
    </row>
    <row r="372" s="101" customFormat="1" spans="6:6">
      <c r="F372" s="2423"/>
    </row>
    <row r="373" s="101" customFormat="1" spans="6:6">
      <c r="F373" s="2423"/>
    </row>
    <row r="374" s="101" customFormat="1" spans="6:6">
      <c r="F374" s="2423"/>
    </row>
    <row r="375" s="101" customFormat="1" spans="6:6">
      <c r="F375" s="2423"/>
    </row>
    <row r="376" s="101" customFormat="1" spans="6:6">
      <c r="F376" s="2423"/>
    </row>
    <row r="377" s="101" customFormat="1" spans="6:6">
      <c r="F377" s="2423"/>
    </row>
    <row r="378" s="101" customFormat="1" spans="6:6">
      <c r="F378" s="2423"/>
    </row>
    <row r="379" s="101" customFormat="1" spans="6:6">
      <c r="F379" s="2423"/>
    </row>
    <row r="380" s="101" customFormat="1" spans="6:6">
      <c r="F380" s="2423"/>
    </row>
    <row r="381" s="101" customFormat="1" spans="6:6">
      <c r="F381" s="2423"/>
    </row>
    <row r="382" s="101" customFormat="1" spans="6:6">
      <c r="F382" s="2423"/>
    </row>
    <row r="383" s="101" customFormat="1" spans="6:6">
      <c r="F383" s="2423"/>
    </row>
    <row r="384" s="101" customFormat="1" spans="6:6">
      <c r="F384" s="2423"/>
    </row>
    <row r="385" s="101" customFormat="1" spans="6:6">
      <c r="F385" s="2423"/>
    </row>
    <row r="386" s="101" customFormat="1" spans="6:6">
      <c r="F386" s="2423"/>
    </row>
    <row r="387" s="101" customFormat="1" spans="6:6">
      <c r="F387" s="2423"/>
    </row>
    <row r="388" s="101" customFormat="1" spans="6:6">
      <c r="F388" s="2423"/>
    </row>
    <row r="389" s="101" customFormat="1" spans="6:6">
      <c r="F389" s="2423"/>
    </row>
    <row r="390" s="101" customFormat="1" spans="6:6">
      <c r="F390" s="2423"/>
    </row>
    <row r="391" s="101" customFormat="1" spans="6:6">
      <c r="F391" s="2423"/>
    </row>
    <row r="392" s="101" customFormat="1" spans="6:6">
      <c r="F392" s="2423"/>
    </row>
    <row r="393" s="101" customFormat="1" spans="6:6">
      <c r="F393" s="2423"/>
    </row>
    <row r="394" s="101" customFormat="1" spans="6:6">
      <c r="F394" s="2423"/>
    </row>
    <row r="395" s="101" customFormat="1" spans="6:6">
      <c r="F395" s="2423"/>
    </row>
    <row r="396" s="101" customFormat="1" spans="6:6">
      <c r="F396" s="2423"/>
    </row>
    <row r="397" s="101" customFormat="1" spans="6:6">
      <c r="F397" s="2423"/>
    </row>
    <row r="398" s="101" customFormat="1" spans="6:6">
      <c r="F398" s="2423"/>
    </row>
    <row r="399" s="101" customFormat="1" spans="6:6">
      <c r="F399" s="2423"/>
    </row>
    <row r="400" s="101" customFormat="1" spans="6:6">
      <c r="F400" s="2423"/>
    </row>
    <row r="401" s="101" customFormat="1" spans="6:6">
      <c r="F401" s="2423"/>
    </row>
    <row r="402" s="101" customFormat="1" spans="6:6">
      <c r="F402" s="2423"/>
    </row>
    <row r="403" s="101" customFormat="1" spans="6:6">
      <c r="F403" s="2423"/>
    </row>
    <row r="404" s="101" customFormat="1" spans="6:6">
      <c r="F404" s="2423"/>
    </row>
    <row r="405" s="101" customFormat="1" spans="6:6">
      <c r="F405" s="2423"/>
    </row>
    <row r="406" s="101" customFormat="1" spans="6:6">
      <c r="F406" s="2423"/>
    </row>
    <row r="407" s="101" customFormat="1" spans="6:6">
      <c r="F407" s="2423"/>
    </row>
    <row r="408" s="101" customFormat="1" spans="6:6">
      <c r="F408" s="2423"/>
    </row>
    <row r="409" s="101" customFormat="1" spans="6:6">
      <c r="F409" s="2423"/>
    </row>
    <row r="410" s="101" customFormat="1" spans="6:6">
      <c r="F410" s="2423"/>
    </row>
    <row r="411" s="101" customFormat="1" spans="6:6">
      <c r="F411" s="2423"/>
    </row>
    <row r="412" s="101" customFormat="1" spans="6:6">
      <c r="F412" s="2423"/>
    </row>
    <row r="413" s="101" customFormat="1" spans="6:6">
      <c r="F413" s="2423"/>
    </row>
    <row r="414" s="101" customFormat="1" spans="6:6">
      <c r="F414" s="2423"/>
    </row>
    <row r="415" s="101" customFormat="1" spans="6:6">
      <c r="F415" s="2423"/>
    </row>
    <row r="416" s="101" customFormat="1" spans="6:6">
      <c r="F416" s="2423"/>
    </row>
    <row r="417" s="101" customFormat="1" spans="6:6">
      <c r="F417" s="2423"/>
    </row>
    <row r="418" s="101" customFormat="1" spans="6:6">
      <c r="F418" s="2423"/>
    </row>
    <row r="419" s="101" customFormat="1" spans="6:6">
      <c r="F419" s="2423"/>
    </row>
    <row r="420" s="101" customFormat="1" spans="6:6">
      <c r="F420" s="2423"/>
    </row>
    <row r="421" s="101" customFormat="1" spans="6:6">
      <c r="F421" s="2423"/>
    </row>
    <row r="422" s="101" customFormat="1" spans="6:6">
      <c r="F422" s="2423"/>
    </row>
    <row r="423" s="101" customFormat="1" spans="6:6">
      <c r="F423" s="2423"/>
    </row>
    <row r="424" s="101" customFormat="1" spans="6:6">
      <c r="F424" s="2423"/>
    </row>
    <row r="425" s="101" customFormat="1" spans="6:6">
      <c r="F425" s="2423"/>
    </row>
    <row r="426" s="101" customFormat="1" spans="6:6">
      <c r="F426" s="2423"/>
    </row>
    <row r="427" s="101" customFormat="1" spans="6:6">
      <c r="F427" s="2423"/>
    </row>
    <row r="428" s="101" customFormat="1" spans="6:6">
      <c r="F428" s="2423"/>
    </row>
    <row r="429" s="101" customFormat="1" spans="6:6">
      <c r="F429" s="2423"/>
    </row>
    <row r="430" s="101" customFormat="1" spans="6:6">
      <c r="F430" s="2423"/>
    </row>
    <row r="431" s="101" customFormat="1" spans="6:6">
      <c r="F431" s="2423"/>
    </row>
    <row r="432" s="101" customFormat="1" spans="6:6">
      <c r="F432" s="2423"/>
    </row>
    <row r="433" s="101" customFormat="1" spans="6:6">
      <c r="F433" s="2423"/>
    </row>
    <row r="434" s="101" customFormat="1" spans="6:6">
      <c r="F434" s="2423"/>
    </row>
    <row r="435" s="101" customFormat="1" spans="6:6">
      <c r="F435" s="2423"/>
    </row>
    <row r="436" s="101" customFormat="1" spans="6:6">
      <c r="F436" s="2423"/>
    </row>
    <row r="437" s="101" customFormat="1" spans="6:6">
      <c r="F437" s="2423"/>
    </row>
    <row r="438" s="101" customFormat="1" spans="6:6">
      <c r="F438" s="2423"/>
    </row>
    <row r="439" s="101" customFormat="1" spans="6:6">
      <c r="F439" s="2423"/>
    </row>
    <row r="440" s="101" customFormat="1" spans="6:6">
      <c r="F440" s="2423"/>
    </row>
    <row r="441" s="101" customFormat="1" spans="6:6">
      <c r="F441" s="2423"/>
    </row>
    <row r="442" s="101" customFormat="1" spans="6:6">
      <c r="F442" s="2423"/>
    </row>
    <row r="443" s="101" customFormat="1" spans="6:6">
      <c r="F443" s="2423"/>
    </row>
    <row r="444" s="101" customFormat="1" spans="6:6">
      <c r="F444" s="2423"/>
    </row>
    <row r="445" s="101" customFormat="1" spans="6:6">
      <c r="F445" s="2423"/>
    </row>
    <row r="446" s="101" customFormat="1" spans="6:6">
      <c r="F446" s="2423"/>
    </row>
    <row r="447" s="101" customFormat="1" spans="6:6">
      <c r="F447" s="2423"/>
    </row>
    <row r="448" s="101" customFormat="1" spans="6:6">
      <c r="F448" s="2423"/>
    </row>
    <row r="449" s="101" customFormat="1" spans="6:6">
      <c r="F449" s="2423"/>
    </row>
    <row r="450" s="101" customFormat="1" spans="6:6">
      <c r="F450" s="2423"/>
    </row>
    <row r="451" s="101" customFormat="1" spans="6:6">
      <c r="F451" s="2423"/>
    </row>
    <row r="452" s="101" customFormat="1" spans="6:6">
      <c r="F452" s="2423"/>
    </row>
    <row r="453" s="101" customFormat="1" spans="6:6">
      <c r="F453" s="2423"/>
    </row>
    <row r="454" s="101" customFormat="1" spans="6:6">
      <c r="F454" s="2423"/>
    </row>
    <row r="455" s="101" customFormat="1" spans="6:6">
      <c r="F455" s="2423"/>
    </row>
    <row r="456" s="101" customFormat="1" spans="6:6">
      <c r="F456" s="2423"/>
    </row>
    <row r="457" s="101" customFormat="1" spans="6:6">
      <c r="F457" s="2423"/>
    </row>
    <row r="458" s="101" customFormat="1" spans="6:6">
      <c r="F458" s="2423"/>
    </row>
    <row r="459" s="101" customFormat="1" spans="6:6">
      <c r="F459" s="2423"/>
    </row>
    <row r="460" s="101" customFormat="1" spans="6:6">
      <c r="F460" s="2423"/>
    </row>
    <row r="461" s="101" customFormat="1" spans="6:6">
      <c r="F461" s="2423"/>
    </row>
    <row r="462" s="101" customFormat="1" spans="6:6">
      <c r="F462" s="2423"/>
    </row>
    <row r="463" s="101" customFormat="1" spans="6:6">
      <c r="F463" s="2423"/>
    </row>
    <row r="464" s="101" customFormat="1" spans="6:6">
      <c r="F464" s="2423"/>
    </row>
    <row r="465" s="101" customFormat="1" spans="6:6">
      <c r="F465" s="2423"/>
    </row>
    <row r="466" s="101" customFormat="1" spans="6:6">
      <c r="F466" s="2423"/>
    </row>
    <row r="467" s="101" customFormat="1" spans="6:6">
      <c r="F467" s="2423"/>
    </row>
    <row r="468" s="101" customFormat="1" spans="6:6">
      <c r="F468" s="2423"/>
    </row>
    <row r="469" s="101" customFormat="1" spans="6:6">
      <c r="F469" s="2423"/>
    </row>
    <row r="470" s="101" customFormat="1" spans="6:6">
      <c r="F470" s="2423"/>
    </row>
    <row r="471" s="101" customFormat="1" spans="6:6">
      <c r="F471" s="2423"/>
    </row>
    <row r="472" s="101" customFormat="1" spans="6:6">
      <c r="F472" s="2423"/>
    </row>
    <row r="473" s="101" customFormat="1" spans="6:6">
      <c r="F473" s="2423"/>
    </row>
    <row r="474" s="101" customFormat="1" spans="6:6">
      <c r="F474" s="2423"/>
    </row>
    <row r="475" s="101" customFormat="1" spans="6:6">
      <c r="F475" s="2423"/>
    </row>
    <row r="476" s="101" customFormat="1" spans="6:6">
      <c r="F476" s="2423"/>
    </row>
    <row r="477" s="101" customFormat="1" spans="6:6">
      <c r="F477" s="2423"/>
    </row>
    <row r="478" s="101" customFormat="1" spans="6:6">
      <c r="F478" s="2423"/>
    </row>
    <row r="479" s="101" customFormat="1" spans="6:6">
      <c r="F479" s="2423"/>
    </row>
    <row r="480" s="101" customFormat="1" spans="6:6">
      <c r="F480" s="2423"/>
    </row>
    <row r="481" s="101" customFormat="1" spans="6:6">
      <c r="F481" s="2423"/>
    </row>
    <row r="482" s="101" customFormat="1" spans="6:6">
      <c r="F482" s="2423"/>
    </row>
    <row r="483" s="101" customFormat="1" spans="6:6">
      <c r="F483" s="2423"/>
    </row>
    <row r="484" s="101" customFormat="1" spans="6:6">
      <c r="F484" s="2423"/>
    </row>
    <row r="485" s="101" customFormat="1" spans="6:6">
      <c r="F485" s="2423"/>
    </row>
    <row r="486" s="101" customFormat="1" spans="6:6">
      <c r="F486" s="2423"/>
    </row>
    <row r="487" s="101" customFormat="1" spans="6:6">
      <c r="F487" s="2423"/>
    </row>
    <row r="488" s="101" customFormat="1" spans="6:6">
      <c r="F488" s="2423"/>
    </row>
    <row r="489" s="101" customFormat="1" spans="6:6">
      <c r="F489" s="2423"/>
    </row>
    <row r="490" s="101" customFormat="1" spans="6:6">
      <c r="F490" s="2423"/>
    </row>
    <row r="491" s="101" customFormat="1" spans="6:6">
      <c r="F491" s="2423"/>
    </row>
    <row r="492" s="101" customFormat="1" spans="6:6">
      <c r="F492" s="2423"/>
    </row>
    <row r="493" s="101" customFormat="1" spans="6:6">
      <c r="F493" s="2423"/>
    </row>
    <row r="494" s="101" customFormat="1" spans="6:6">
      <c r="F494" s="2423"/>
    </row>
    <row r="495" s="101" customFormat="1" spans="6:6">
      <c r="F495" s="2423"/>
    </row>
    <row r="496" s="101" customFormat="1" spans="6:6">
      <c r="F496" s="2423"/>
    </row>
    <row r="497" s="101" customFormat="1" spans="6:6">
      <c r="F497" s="2423"/>
    </row>
    <row r="498" s="101" customFormat="1" spans="6:6">
      <c r="F498" s="2423"/>
    </row>
    <row r="499" s="101" customFormat="1" spans="6:6">
      <c r="F499" s="2423"/>
    </row>
    <row r="500" s="101" customFormat="1" spans="6:6">
      <c r="F500" s="2423"/>
    </row>
    <row r="501" s="101" customFormat="1" spans="6:6">
      <c r="F501" s="2423"/>
    </row>
    <row r="502" s="101" customFormat="1" spans="6:6">
      <c r="F502" s="2423"/>
    </row>
    <row r="503" s="101" customFormat="1" spans="6:6">
      <c r="F503" s="2423"/>
    </row>
    <row r="504" s="101" customFormat="1" spans="6:6">
      <c r="F504" s="2423"/>
    </row>
    <row r="505" s="101" customFormat="1" spans="6:6">
      <c r="F505" s="2423"/>
    </row>
    <row r="506" s="101" customFormat="1" spans="6:6">
      <c r="F506" s="2423"/>
    </row>
    <row r="507" s="101" customFormat="1" spans="6:6">
      <c r="F507" s="2423"/>
    </row>
    <row r="508" s="101" customFormat="1" spans="6:6">
      <c r="F508" s="2423"/>
    </row>
    <row r="509" s="101" customFormat="1" spans="6:6">
      <c r="F509" s="2423"/>
    </row>
    <row r="510" s="101" customFormat="1" spans="6:6">
      <c r="F510" s="2423"/>
    </row>
    <row r="511" s="101" customFormat="1" spans="6:6">
      <c r="F511" s="2423"/>
    </row>
    <row r="512" s="101" customFormat="1" spans="6:6">
      <c r="F512" s="2423"/>
    </row>
    <row r="513" s="101" customFormat="1" spans="6:6">
      <c r="F513" s="2423"/>
    </row>
    <row r="514" s="101" customFormat="1" spans="6:6">
      <c r="F514" s="2423"/>
    </row>
    <row r="515" s="101" customFormat="1" spans="6:6">
      <c r="F515" s="2423"/>
    </row>
    <row r="516" s="101" customFormat="1" spans="6:6">
      <c r="F516" s="2423"/>
    </row>
    <row r="517" s="101" customFormat="1" spans="6:6">
      <c r="F517" s="2423"/>
    </row>
    <row r="518" s="101" customFormat="1" spans="6:6">
      <c r="F518" s="2423"/>
    </row>
    <row r="519" s="101" customFormat="1" spans="6:6">
      <c r="F519" s="2423"/>
    </row>
    <row r="520" s="101" customFormat="1" spans="6:6">
      <c r="F520" s="2423"/>
    </row>
    <row r="521" s="101" customFormat="1" spans="6:6">
      <c r="F521" s="2423"/>
    </row>
    <row r="522" s="101" customFormat="1" spans="6:6">
      <c r="F522" s="2423"/>
    </row>
    <row r="523" s="101" customFormat="1" spans="6:6">
      <c r="F523" s="2423"/>
    </row>
    <row r="524" s="101" customFormat="1" spans="6:6">
      <c r="F524" s="2423"/>
    </row>
    <row r="525" s="101" customFormat="1" spans="6:6">
      <c r="F525" s="2423"/>
    </row>
    <row r="526" s="101" customFormat="1" spans="6:6">
      <c r="F526" s="2423"/>
    </row>
    <row r="527" s="101" customFormat="1" spans="6:6">
      <c r="F527" s="2423"/>
    </row>
    <row r="528" s="101" customFormat="1" spans="6:6">
      <c r="F528" s="2423"/>
    </row>
    <row r="529" s="101" customFormat="1" spans="6:6">
      <c r="F529" s="2423"/>
    </row>
    <row r="530" s="101" customFormat="1" spans="6:6">
      <c r="F530" s="2423"/>
    </row>
    <row r="531" s="101" customFormat="1" spans="6:6">
      <c r="F531" s="2423"/>
    </row>
    <row r="532" s="101" customFormat="1" spans="6:6">
      <c r="F532" s="2423"/>
    </row>
    <row r="533" s="101" customFormat="1" spans="6:6">
      <c r="F533" s="2423"/>
    </row>
    <row r="534" s="101" customFormat="1" spans="6:6">
      <c r="F534" s="2423"/>
    </row>
    <row r="535" s="101" customFormat="1" spans="6:6">
      <c r="F535" s="2423"/>
    </row>
    <row r="536" s="101" customFormat="1" spans="6:6">
      <c r="F536" s="2423"/>
    </row>
    <row r="537" s="101" customFormat="1" spans="6:6">
      <c r="F537" s="2423"/>
    </row>
    <row r="538" s="101" customFormat="1" spans="6:6">
      <c r="F538" s="2423"/>
    </row>
    <row r="539" s="101" customFormat="1" spans="6:6">
      <c r="F539" s="2423"/>
    </row>
    <row r="540" s="101" customFormat="1" spans="6:6">
      <c r="F540" s="2423"/>
    </row>
    <row r="541" s="101" customFormat="1" spans="6:6">
      <c r="F541" s="2423"/>
    </row>
    <row r="542" s="101" customFormat="1" spans="6:6">
      <c r="F542" s="2423"/>
    </row>
    <row r="543" s="101" customFormat="1" spans="6:6">
      <c r="F543" s="2423"/>
    </row>
    <row r="544" s="101" customFormat="1" spans="6:6">
      <c r="F544" s="2423"/>
    </row>
    <row r="545" s="101" customFormat="1" spans="6:6">
      <c r="F545" s="2423"/>
    </row>
    <row r="546" s="101" customFormat="1" spans="6:6">
      <c r="F546" s="2423"/>
    </row>
    <row r="547" s="101" customFormat="1" spans="6:6">
      <c r="F547" s="2423"/>
    </row>
    <row r="548" s="101" customFormat="1" spans="6:6">
      <c r="F548" s="2423"/>
    </row>
    <row r="549" s="101" customFormat="1" spans="6:6">
      <c r="F549" s="2423"/>
    </row>
    <row r="550" s="101" customFormat="1" spans="6:6">
      <c r="F550" s="2423"/>
    </row>
    <row r="551" s="101" customFormat="1" spans="6:6">
      <c r="F551" s="2423"/>
    </row>
    <row r="552" s="101" customFormat="1" spans="6:6">
      <c r="F552" s="2423"/>
    </row>
    <row r="553" s="101" customFormat="1" spans="6:6">
      <c r="F553" s="2423"/>
    </row>
    <row r="554" s="101" customFormat="1" spans="6:6">
      <c r="F554" s="2423"/>
    </row>
    <row r="555" s="101" customFormat="1" spans="6:6">
      <c r="F555" s="2423"/>
    </row>
    <row r="556" s="101" customFormat="1" spans="6:6">
      <c r="F556" s="2423"/>
    </row>
    <row r="557" s="101" customFormat="1" spans="6:6">
      <c r="F557" s="2423"/>
    </row>
    <row r="558" s="101" customFormat="1" spans="6:6">
      <c r="F558" s="2423"/>
    </row>
    <row r="559" s="101" customFormat="1" spans="6:6">
      <c r="F559" s="2423"/>
    </row>
    <row r="560" s="101" customFormat="1" spans="6:6">
      <c r="F560" s="2423"/>
    </row>
    <row r="561" s="101" customFormat="1" spans="6:6">
      <c r="F561" s="2423"/>
    </row>
    <row r="562" s="101" customFormat="1" spans="6:6">
      <c r="F562" s="2423"/>
    </row>
    <row r="563" s="101" customFormat="1" spans="6:6">
      <c r="F563" s="2423"/>
    </row>
    <row r="564" s="101" customFormat="1" spans="6:6">
      <c r="F564" s="2423"/>
    </row>
    <row r="565" s="101" customFormat="1" spans="6:6">
      <c r="F565" s="2423"/>
    </row>
    <row r="566" s="101" customFormat="1" spans="6:6">
      <c r="F566" s="2423"/>
    </row>
    <row r="567" s="101" customFormat="1" spans="6:6">
      <c r="F567" s="2423"/>
    </row>
    <row r="568" s="101" customFormat="1" spans="6:6">
      <c r="F568" s="2423"/>
    </row>
    <row r="569" s="101" customFormat="1" spans="6:6">
      <c r="F569" s="2423"/>
    </row>
    <row r="570" s="101" customFormat="1" spans="6:6">
      <c r="F570" s="2423"/>
    </row>
    <row r="571" s="101" customFormat="1" spans="6:6">
      <c r="F571" s="2423"/>
    </row>
    <row r="572" s="101" customFormat="1" spans="6:6">
      <c r="F572" s="2423"/>
    </row>
    <row r="573" s="101" customFormat="1" spans="6:6">
      <c r="F573" s="2423"/>
    </row>
    <row r="574" s="101" customFormat="1" spans="6:6">
      <c r="F574" s="2423"/>
    </row>
    <row r="575" s="101" customFormat="1" spans="6:6">
      <c r="F575" s="2423"/>
    </row>
    <row r="576" s="101" customFormat="1" spans="6:6">
      <c r="F576" s="2423"/>
    </row>
    <row r="577" s="101" customFormat="1" spans="6:6">
      <c r="F577" s="2423"/>
    </row>
    <row r="578" s="101" customFormat="1" spans="6:6">
      <c r="F578" s="2423"/>
    </row>
    <row r="579" s="101" customFormat="1" spans="6:6">
      <c r="F579" s="2423"/>
    </row>
    <row r="580" s="101" customFormat="1" spans="6:6">
      <c r="F580" s="2423"/>
    </row>
    <row r="581" s="101" customFormat="1" spans="6:6">
      <c r="F581" s="2423"/>
    </row>
    <row r="582" s="101" customFormat="1" spans="6:6">
      <c r="F582" s="2423"/>
    </row>
    <row r="583" s="101" customFormat="1" spans="6:6">
      <c r="F583" s="2423"/>
    </row>
    <row r="584" s="101" customFormat="1" spans="6:6">
      <c r="F584" s="2423"/>
    </row>
    <row r="585" s="101" customFormat="1" spans="6:6">
      <c r="F585" s="2423"/>
    </row>
    <row r="586" s="101" customFormat="1" spans="6:6">
      <c r="F586" s="2423"/>
    </row>
    <row r="587" s="101" customFormat="1" spans="6:6">
      <c r="F587" s="2423"/>
    </row>
    <row r="588" s="101" customFormat="1" spans="6:6">
      <c r="F588" s="2423"/>
    </row>
    <row r="589" s="101" customFormat="1" spans="6:6">
      <c r="F589" s="2423"/>
    </row>
    <row r="590" s="101" customFormat="1" spans="6:6">
      <c r="F590" s="2423"/>
    </row>
    <row r="591" s="101" customFormat="1" spans="6:6">
      <c r="F591" s="2423"/>
    </row>
    <row r="592" s="101" customFormat="1" spans="6:6">
      <c r="F592" s="2423"/>
    </row>
    <row r="593" s="101" customFormat="1" spans="6:6">
      <c r="F593" s="2423"/>
    </row>
    <row r="594" s="101" customFormat="1" spans="6:6">
      <c r="F594" s="2423"/>
    </row>
    <row r="595" s="101" customFormat="1" spans="6:6">
      <c r="F595" s="2423"/>
    </row>
    <row r="596" s="101" customFormat="1" spans="6:6">
      <c r="F596" s="2423"/>
    </row>
    <row r="597" s="101" customFormat="1" spans="6:6">
      <c r="F597" s="2423"/>
    </row>
    <row r="598" s="101" customFormat="1" spans="6:6">
      <c r="F598" s="2423"/>
    </row>
    <row r="599" s="101" customFormat="1" spans="6:6">
      <c r="F599" s="2423"/>
    </row>
    <row r="600" s="101" customFormat="1" spans="6:6">
      <c r="F600" s="2423"/>
    </row>
    <row r="601" s="101" customFormat="1" spans="6:6">
      <c r="F601" s="2423"/>
    </row>
    <row r="602" s="101" customFormat="1" spans="6:6">
      <c r="F602" s="2423"/>
    </row>
    <row r="603" s="101" customFormat="1" spans="6:6">
      <c r="F603" s="2423"/>
    </row>
    <row r="604" s="101" customFormat="1" spans="6:6">
      <c r="F604" s="2423"/>
    </row>
    <row r="605" s="101" customFormat="1" spans="6:6">
      <c r="F605" s="2423"/>
    </row>
    <row r="606" s="101" customFormat="1" spans="6:6">
      <c r="F606" s="2423"/>
    </row>
    <row r="607" s="101" customFormat="1" spans="6:6">
      <c r="F607" s="2423"/>
    </row>
    <row r="608" s="101" customFormat="1" spans="6:6">
      <c r="F608" s="2423"/>
    </row>
    <row r="609" s="101" customFormat="1" spans="6:6">
      <c r="F609" s="2423"/>
    </row>
    <row r="610" s="101" customFormat="1" spans="6:6">
      <c r="F610" s="2423"/>
    </row>
    <row r="611" s="101" customFormat="1" spans="6:6">
      <c r="F611" s="2423"/>
    </row>
    <row r="612" s="101" customFormat="1" spans="6:6">
      <c r="F612" s="2423"/>
    </row>
    <row r="613" s="101" customFormat="1" spans="6:6">
      <c r="F613" s="2423"/>
    </row>
    <row r="614" s="101" customFormat="1" spans="6:6">
      <c r="F614" s="2423"/>
    </row>
    <row r="615" s="101" customFormat="1" spans="6:6">
      <c r="F615" s="2423"/>
    </row>
    <row r="616" s="101" customFormat="1" spans="6:6">
      <c r="F616" s="2423"/>
    </row>
    <row r="617" s="101" customFormat="1" spans="6:6">
      <c r="F617" s="2423"/>
    </row>
    <row r="618" s="101" customFormat="1" spans="6:6">
      <c r="F618" s="2423"/>
    </row>
    <row r="619" s="101" customFormat="1" spans="6:6">
      <c r="F619" s="2423"/>
    </row>
    <row r="620" s="101" customFormat="1" spans="6:6">
      <c r="F620" s="2423"/>
    </row>
    <row r="621" s="101" customFormat="1" spans="6:6">
      <c r="F621" s="2423"/>
    </row>
    <row r="622" s="101" customFormat="1" spans="6:6">
      <c r="F622" s="2423"/>
    </row>
    <row r="623" s="101" customFormat="1" spans="6:6">
      <c r="F623" s="2423"/>
    </row>
    <row r="624" s="101" customFormat="1" spans="6:6">
      <c r="F624" s="2423"/>
    </row>
    <row r="625" s="101" customFormat="1" spans="6:6">
      <c r="F625" s="2423"/>
    </row>
    <row r="626" s="101" customFormat="1" spans="6:6">
      <c r="F626" s="2423"/>
    </row>
    <row r="627" s="101" customFormat="1" spans="6:6">
      <c r="F627" s="2423"/>
    </row>
    <row r="628" s="101" customFormat="1" spans="6:6">
      <c r="F628" s="2423"/>
    </row>
    <row r="629" s="101" customFormat="1" spans="6:6">
      <c r="F629" s="2423"/>
    </row>
    <row r="630" s="101" customFormat="1" spans="6:6">
      <c r="F630" s="2423"/>
    </row>
    <row r="631" s="101" customFormat="1" spans="6:6">
      <c r="F631" s="2423"/>
    </row>
    <row r="632" s="101" customFormat="1" spans="6:6">
      <c r="F632" s="2423"/>
    </row>
    <row r="633" s="101" customFormat="1" spans="6:6">
      <c r="F633" s="2423"/>
    </row>
    <row r="634" s="101" customFormat="1" spans="6:6">
      <c r="F634" s="2423"/>
    </row>
    <row r="635" s="101" customFormat="1" spans="6:6">
      <c r="F635" s="2423"/>
    </row>
    <row r="636" s="101" customFormat="1" spans="6:6">
      <c r="F636" s="2423"/>
    </row>
    <row r="637" s="101" customFormat="1" spans="6:6">
      <c r="F637" s="2423"/>
    </row>
    <row r="638" s="101" customFormat="1" spans="6:6">
      <c r="F638" s="2423"/>
    </row>
    <row r="639" s="101" customFormat="1" spans="6:6">
      <c r="F639" s="2423"/>
    </row>
    <row r="640" s="101" customFormat="1" spans="6:6">
      <c r="F640" s="2423"/>
    </row>
    <row r="641" s="101" customFormat="1" spans="6:6">
      <c r="F641" s="2423"/>
    </row>
    <row r="642" s="101" customFormat="1" spans="6:6">
      <c r="F642" s="2423"/>
    </row>
    <row r="643" s="101" customFormat="1" spans="6:6">
      <c r="F643" s="2423"/>
    </row>
    <row r="644" s="101" customFormat="1" spans="6:6">
      <c r="F644" s="2423"/>
    </row>
    <row r="645" s="101" customFormat="1" spans="6:6">
      <c r="F645" s="2423"/>
    </row>
    <row r="646" s="101" customFormat="1" spans="6:6">
      <c r="F646" s="2423"/>
    </row>
    <row r="647" s="101" customFormat="1" spans="6:6">
      <c r="F647" s="2423"/>
    </row>
    <row r="648" s="101" customFormat="1" spans="6:6">
      <c r="F648" s="2423"/>
    </row>
    <row r="649" s="101" customFormat="1" spans="6:6">
      <c r="F649" s="2423"/>
    </row>
    <row r="650" s="101" customFormat="1" spans="6:6">
      <c r="F650" s="2423"/>
    </row>
    <row r="651" s="101" customFormat="1" spans="6:6">
      <c r="F651" s="2423"/>
    </row>
    <row r="652" s="101" customFormat="1" spans="6:6">
      <c r="F652" s="2423"/>
    </row>
    <row r="653" s="101" customFormat="1" spans="6:6">
      <c r="F653" s="2423"/>
    </row>
    <row r="654" s="101" customFormat="1" spans="6:6">
      <c r="F654" s="2423"/>
    </row>
    <row r="655" s="101" customFormat="1" spans="6:6">
      <c r="F655" s="2423"/>
    </row>
    <row r="656" s="101" customFormat="1" spans="6:6">
      <c r="F656" s="2423"/>
    </row>
    <row r="657" s="101" customFormat="1" spans="6:6">
      <c r="F657" s="2423"/>
    </row>
    <row r="658" s="101" customFormat="1" spans="6:6">
      <c r="F658" s="2423"/>
    </row>
    <row r="659" s="101" customFormat="1" spans="6:6">
      <c r="F659" s="2423"/>
    </row>
    <row r="660" s="101" customFormat="1" spans="6:6">
      <c r="F660" s="2423"/>
    </row>
    <row r="661" s="101" customFormat="1" spans="6:6">
      <c r="F661" s="2423"/>
    </row>
    <row r="662" s="101" customFormat="1" spans="6:6">
      <c r="F662" s="2423"/>
    </row>
    <row r="663" s="101" customFormat="1" spans="6:6">
      <c r="F663" s="2423"/>
    </row>
    <row r="664" s="101" customFormat="1" spans="6:6">
      <c r="F664" s="2423"/>
    </row>
    <row r="665" s="101" customFormat="1" spans="6:6">
      <c r="F665" s="2423"/>
    </row>
    <row r="666" s="101" customFormat="1" spans="6:6">
      <c r="F666" s="2423"/>
    </row>
    <row r="667" s="101" customFormat="1" spans="6:6">
      <c r="F667" s="2423"/>
    </row>
    <row r="668" s="101" customFormat="1" spans="6:6">
      <c r="F668" s="2423"/>
    </row>
    <row r="669" s="101" customFormat="1" spans="6:6">
      <c r="F669" s="2423"/>
    </row>
    <row r="670" s="101" customFormat="1" spans="6:6">
      <c r="F670" s="2423"/>
    </row>
    <row r="671" s="101" customFormat="1" spans="6:6">
      <c r="F671" s="2423"/>
    </row>
    <row r="672" s="101" customFormat="1" spans="6:6">
      <c r="F672" s="2423"/>
    </row>
    <row r="673" s="101" customFormat="1" spans="6:6">
      <c r="F673" s="2423"/>
    </row>
    <row r="674" s="101" customFormat="1" spans="6:6">
      <c r="F674" s="2423"/>
    </row>
    <row r="675" s="101" customFormat="1" spans="6:6">
      <c r="F675" s="2423"/>
    </row>
    <row r="676" s="101" customFormat="1" spans="6:6">
      <c r="F676" s="2423"/>
    </row>
    <row r="677" s="101" customFormat="1" spans="6:6">
      <c r="F677" s="2423"/>
    </row>
    <row r="678" s="101" customFormat="1" spans="6:6">
      <c r="F678" s="2423"/>
    </row>
    <row r="679" s="101" customFormat="1" spans="6:6">
      <c r="F679" s="2423"/>
    </row>
    <row r="680" s="101" customFormat="1" spans="6:6">
      <c r="F680" s="2423"/>
    </row>
    <row r="681" s="101" customFormat="1" spans="6:6">
      <c r="F681" s="2423"/>
    </row>
    <row r="682" s="101" customFormat="1" spans="6:6">
      <c r="F682" s="2423"/>
    </row>
    <row r="683" s="101" customFormat="1" spans="6:6">
      <c r="F683" s="2423"/>
    </row>
    <row r="684" s="101" customFormat="1" spans="6:6">
      <c r="F684" s="2423"/>
    </row>
    <row r="685" s="101" customFormat="1" spans="6:6">
      <c r="F685" s="2423"/>
    </row>
    <row r="686" s="101" customFormat="1" spans="6:6">
      <c r="F686" s="2423"/>
    </row>
    <row r="687" s="101" customFormat="1" spans="6:6">
      <c r="F687" s="2423"/>
    </row>
    <row r="688" s="101" customFormat="1" spans="6:6">
      <c r="F688" s="2423"/>
    </row>
    <row r="689" s="101" customFormat="1" spans="6:6">
      <c r="F689" s="2423"/>
    </row>
    <row r="690" s="101" customFormat="1" spans="6:6">
      <c r="F690" s="2423"/>
    </row>
    <row r="691" s="101" customFormat="1" spans="6:6">
      <c r="F691" s="2423"/>
    </row>
    <row r="692" s="101" customFormat="1" spans="6:6">
      <c r="F692" s="2423"/>
    </row>
    <row r="693" s="101" customFormat="1" spans="6:6">
      <c r="F693" s="2423"/>
    </row>
    <row r="694" s="101" customFormat="1" spans="6:6">
      <c r="F694" s="2423"/>
    </row>
    <row r="695" s="101" customFormat="1" spans="6:6">
      <c r="F695" s="2423"/>
    </row>
    <row r="696" s="101" customFormat="1" spans="6:6">
      <c r="F696" s="2423"/>
    </row>
    <row r="697" s="101" customFormat="1" spans="6:6">
      <c r="F697" s="2423"/>
    </row>
    <row r="698" s="101" customFormat="1" spans="6:6">
      <c r="F698" s="2423"/>
    </row>
    <row r="699" s="101" customFormat="1" spans="6:6">
      <c r="F699" s="2423"/>
    </row>
    <row r="700" s="101" customFormat="1" spans="6:6">
      <c r="F700" s="2423"/>
    </row>
    <row r="701" s="101" customFormat="1" spans="6:6">
      <c r="F701" s="2423"/>
    </row>
    <row r="702" s="101" customFormat="1" spans="6:6">
      <c r="F702" s="2423"/>
    </row>
    <row r="703" s="101" customFormat="1" spans="6:6">
      <c r="F703" s="2423"/>
    </row>
    <row r="704" s="101" customFormat="1" spans="6:6">
      <c r="F704" s="2423"/>
    </row>
    <row r="705" s="101" customFormat="1" spans="6:6">
      <c r="F705" s="2423"/>
    </row>
    <row r="706" s="101" customFormat="1" spans="6:6">
      <c r="F706" s="2423"/>
    </row>
    <row r="707" s="101" customFormat="1" spans="6:6">
      <c r="F707" s="2423"/>
    </row>
    <row r="708" s="101" customFormat="1" spans="6:6">
      <c r="F708" s="2423"/>
    </row>
    <row r="709" s="101" customFormat="1" spans="6:6">
      <c r="F709" s="2423"/>
    </row>
    <row r="710" s="101" customFormat="1" spans="6:6">
      <c r="F710" s="2423"/>
    </row>
    <row r="711" s="101" customFormat="1" spans="6:6">
      <c r="F711" s="2423"/>
    </row>
    <row r="712" s="101" customFormat="1" spans="6:6">
      <c r="F712" s="2423"/>
    </row>
    <row r="713" s="101" customFormat="1" spans="6:6">
      <c r="F713" s="2423"/>
    </row>
    <row r="714" s="101" customFormat="1" spans="6:6">
      <c r="F714" s="2423"/>
    </row>
    <row r="715" s="101" customFormat="1" spans="6:6">
      <c r="F715" s="2423"/>
    </row>
    <row r="716" s="101" customFormat="1" spans="6:6">
      <c r="F716" s="2423"/>
    </row>
    <row r="717" s="101" customFormat="1" spans="6:6">
      <c r="F717" s="2423"/>
    </row>
    <row r="718" s="101" customFormat="1" spans="6:6">
      <c r="F718" s="2423"/>
    </row>
    <row r="719" s="101" customFormat="1" spans="6:6">
      <c r="F719" s="2423"/>
    </row>
    <row r="720" s="101" customFormat="1" spans="6:6">
      <c r="F720" s="2423"/>
    </row>
    <row r="721" s="101" customFormat="1" spans="6:6">
      <c r="F721" s="2423"/>
    </row>
    <row r="722" s="101" customFormat="1" spans="6:6">
      <c r="F722" s="2423"/>
    </row>
    <row r="723" s="101" customFormat="1" spans="6:6">
      <c r="F723" s="2423"/>
    </row>
    <row r="724" s="101" customFormat="1" spans="6:6">
      <c r="F724" s="2423"/>
    </row>
    <row r="725" s="101" customFormat="1" spans="6:6">
      <c r="F725" s="2423"/>
    </row>
    <row r="726" s="101" customFormat="1" spans="6:6">
      <c r="F726" s="2423"/>
    </row>
    <row r="727" s="101" customFormat="1" spans="6:6">
      <c r="F727" s="2423"/>
    </row>
    <row r="728" s="101" customFormat="1" spans="6:6">
      <c r="F728" s="2423"/>
    </row>
    <row r="729" s="101" customFormat="1" spans="6:6">
      <c r="F729" s="2423"/>
    </row>
    <row r="730" s="101" customFormat="1" spans="6:6">
      <c r="F730" s="2423"/>
    </row>
    <row r="731" s="101" customFormat="1" spans="6:6">
      <c r="F731" s="2423"/>
    </row>
    <row r="732" s="101" customFormat="1" spans="6:6">
      <c r="F732" s="2423"/>
    </row>
    <row r="733" s="101" customFormat="1" spans="6:6">
      <c r="F733" s="2423"/>
    </row>
    <row r="734" s="101" customFormat="1" spans="6:6">
      <c r="F734" s="2423"/>
    </row>
    <row r="735" s="101" customFormat="1" spans="6:6">
      <c r="F735" s="2423"/>
    </row>
    <row r="736" s="101" customFormat="1" spans="6:6">
      <c r="F736" s="2423"/>
    </row>
    <row r="737" s="101" customFormat="1" spans="6:6">
      <c r="F737" s="2423"/>
    </row>
    <row r="738" s="101" customFormat="1" spans="6:6">
      <c r="F738" s="2423"/>
    </row>
    <row r="739" s="101" customFormat="1" spans="6:6">
      <c r="F739" s="2423"/>
    </row>
    <row r="740" s="101" customFormat="1" spans="6:6">
      <c r="F740" s="2423"/>
    </row>
    <row r="741" s="101" customFormat="1" spans="6:6">
      <c r="F741" s="2423"/>
    </row>
    <row r="742" s="101" customFormat="1" spans="6:6">
      <c r="F742" s="2423"/>
    </row>
    <row r="743" s="101" customFormat="1" spans="6:6">
      <c r="F743" s="2423"/>
    </row>
    <row r="744" s="101" customFormat="1" spans="6:6">
      <c r="F744" s="2423"/>
    </row>
    <row r="745" s="101" customFormat="1" spans="6:6">
      <c r="F745" s="2423"/>
    </row>
    <row r="746" s="101" customFormat="1" spans="6:6">
      <c r="F746" s="2423"/>
    </row>
    <row r="747" s="101" customFormat="1" spans="6:6">
      <c r="F747" s="2423"/>
    </row>
    <row r="748" s="101" customFormat="1" spans="6:6">
      <c r="F748" s="2423"/>
    </row>
    <row r="749" s="101" customFormat="1" spans="6:6">
      <c r="F749" s="2423"/>
    </row>
    <row r="750" s="101" customFormat="1" spans="6:6">
      <c r="F750" s="2423"/>
    </row>
    <row r="751" s="101" customFormat="1" spans="6:6">
      <c r="F751" s="2423"/>
    </row>
    <row r="752" s="101" customFormat="1" spans="6:6">
      <c r="F752" s="2423"/>
    </row>
    <row r="753" s="101" customFormat="1" spans="6:6">
      <c r="F753" s="2423"/>
    </row>
    <row r="754" s="101" customFormat="1" spans="6:6">
      <c r="F754" s="2423"/>
    </row>
    <row r="755" s="101" customFormat="1" spans="6:6">
      <c r="F755" s="2423"/>
    </row>
    <row r="756" s="101" customFormat="1" spans="6:6">
      <c r="F756" s="2423"/>
    </row>
    <row r="757" s="101" customFormat="1" spans="6:6">
      <c r="F757" s="2423"/>
    </row>
    <row r="758" s="101" customFormat="1" spans="6:6">
      <c r="F758" s="2423"/>
    </row>
    <row r="759" s="101" customFormat="1" spans="6:6">
      <c r="F759" s="2423"/>
    </row>
    <row r="760" s="101" customFormat="1" spans="6:6">
      <c r="F760" s="2423"/>
    </row>
    <row r="761" s="101" customFormat="1" spans="6:6">
      <c r="F761" s="2423"/>
    </row>
    <row r="762" s="101" customFormat="1" spans="6:6">
      <c r="F762" s="2423"/>
    </row>
    <row r="763" s="101" customFormat="1" spans="6:6">
      <c r="F763" s="2423"/>
    </row>
    <row r="764" s="101" customFormat="1" spans="6:6">
      <c r="F764" s="2423"/>
    </row>
    <row r="765" s="101" customFormat="1" spans="6:6">
      <c r="F765" s="2423"/>
    </row>
    <row r="766" s="101" customFormat="1" spans="6:6">
      <c r="F766" s="2423"/>
    </row>
    <row r="767" s="101" customFormat="1" spans="6:6">
      <c r="F767" s="2423"/>
    </row>
    <row r="768" s="101" customFormat="1" spans="6:6">
      <c r="F768" s="2423"/>
    </row>
    <row r="769" s="101" customFormat="1" spans="6:6">
      <c r="F769" s="2423"/>
    </row>
    <row r="770" s="101" customFormat="1" spans="6:6">
      <c r="F770" s="2423"/>
    </row>
    <row r="771" s="101" customFormat="1" spans="6:6">
      <c r="F771" s="2423"/>
    </row>
    <row r="772" s="101" customFormat="1" spans="6:6">
      <c r="F772" s="2423"/>
    </row>
    <row r="773" s="101" customFormat="1" spans="6:6">
      <c r="F773" s="2423"/>
    </row>
    <row r="774" s="101" customFormat="1" spans="6:6">
      <c r="F774" s="2423"/>
    </row>
    <row r="775" s="101" customFormat="1" spans="6:6">
      <c r="F775" s="2423"/>
    </row>
    <row r="776" s="101" customFormat="1" spans="6:6">
      <c r="F776" s="2423"/>
    </row>
    <row r="777" s="101" customFormat="1" spans="6:6">
      <c r="F777" s="2423"/>
    </row>
    <row r="778" s="101" customFormat="1" spans="6:6">
      <c r="F778" s="2423"/>
    </row>
    <row r="779" s="101" customFormat="1" spans="6:6">
      <c r="F779" s="2423"/>
    </row>
    <row r="780" s="101" customFormat="1" spans="6:6">
      <c r="F780" s="2423"/>
    </row>
    <row r="781" s="101" customFormat="1" spans="6:6">
      <c r="F781" s="2423"/>
    </row>
    <row r="782" s="101" customFormat="1" spans="6:6">
      <c r="F782" s="2423"/>
    </row>
    <row r="783" s="101" customFormat="1" spans="6:6">
      <c r="F783" s="2423"/>
    </row>
    <row r="784" s="101" customFormat="1" spans="6:6">
      <c r="F784" s="2423"/>
    </row>
    <row r="785" s="101" customFormat="1" spans="6:6">
      <c r="F785" s="2423"/>
    </row>
    <row r="786" s="101" customFormat="1" spans="6:6">
      <c r="F786" s="2423"/>
    </row>
    <row r="787" s="101" customFormat="1" spans="6:6">
      <c r="F787" s="2423"/>
    </row>
    <row r="788" s="101" customFormat="1" spans="6:6">
      <c r="F788" s="2423"/>
    </row>
    <row r="789" s="101" customFormat="1" spans="6:6">
      <c r="F789" s="2423"/>
    </row>
    <row r="790" s="101" customFormat="1" spans="6:6">
      <c r="F790" s="2423"/>
    </row>
    <row r="791" s="101" customFormat="1" spans="6:6">
      <c r="F791" s="2423"/>
    </row>
    <row r="792" s="101" customFormat="1" spans="6:6">
      <c r="F792" s="2423"/>
    </row>
    <row r="793" s="101" customFormat="1" spans="6:6">
      <c r="F793" s="2423"/>
    </row>
    <row r="794" s="101" customFormat="1" spans="6:6">
      <c r="F794" s="2423"/>
    </row>
    <row r="795" s="101" customFormat="1" spans="6:6">
      <c r="F795" s="2423"/>
    </row>
    <row r="796" s="101" customFormat="1" spans="6:6">
      <c r="F796" s="2423"/>
    </row>
    <row r="797" s="101" customFormat="1" spans="6:6">
      <c r="F797" s="2423"/>
    </row>
    <row r="798" s="101" customFormat="1" spans="6:6">
      <c r="F798" s="2423"/>
    </row>
    <row r="799" s="101" customFormat="1" spans="6:6">
      <c r="F799" s="2423"/>
    </row>
    <row r="800" s="101" customFormat="1" spans="6:6">
      <c r="F800" s="2423"/>
    </row>
    <row r="801" s="101" customFormat="1" spans="6:6">
      <c r="F801" s="2423"/>
    </row>
    <row r="802" s="101" customFormat="1" spans="6:6">
      <c r="F802" s="2423"/>
    </row>
    <row r="803" s="101" customFormat="1" spans="6:6">
      <c r="F803" s="2423"/>
    </row>
    <row r="804" s="101" customFormat="1" spans="6:6">
      <c r="F804" s="2423"/>
    </row>
    <row r="805" s="101" customFormat="1" spans="6:6">
      <c r="F805" s="2423"/>
    </row>
    <row r="806" s="101" customFormat="1" spans="6:6">
      <c r="F806" s="2423"/>
    </row>
    <row r="807" s="101" customFormat="1" spans="6:6">
      <c r="F807" s="2423"/>
    </row>
    <row r="808" s="101" customFormat="1" spans="6:6">
      <c r="F808" s="2423"/>
    </row>
    <row r="809" s="101" customFormat="1" spans="6:6">
      <c r="F809" s="2423"/>
    </row>
    <row r="810" s="101" customFormat="1" spans="6:6">
      <c r="F810" s="2423"/>
    </row>
    <row r="811" s="101" customFormat="1" spans="6:6">
      <c r="F811" s="2423"/>
    </row>
    <row r="812" s="101" customFormat="1" spans="6:6">
      <c r="F812" s="2423"/>
    </row>
    <row r="813" s="101" customFormat="1" spans="6:6">
      <c r="F813" s="2423"/>
    </row>
    <row r="814" s="101" customFormat="1" spans="6:6">
      <c r="F814" s="2423"/>
    </row>
    <row r="815" s="101" customFormat="1" spans="6:6">
      <c r="F815" s="2423"/>
    </row>
    <row r="816" s="101" customFormat="1" spans="6:6">
      <c r="F816" s="2423"/>
    </row>
    <row r="817" s="101" customFormat="1" spans="6:6">
      <c r="F817" s="2423"/>
    </row>
    <row r="818" s="101" customFormat="1" spans="6:6">
      <c r="F818" s="2423"/>
    </row>
    <row r="819" s="101" customFormat="1" spans="6:6">
      <c r="F819" s="2423"/>
    </row>
    <row r="820" s="101" customFormat="1" spans="6:6">
      <c r="F820" s="2423"/>
    </row>
    <row r="821" s="101" customFormat="1" spans="6:6">
      <c r="F821" s="2423"/>
    </row>
    <row r="822" s="101" customFormat="1" spans="6:6">
      <c r="F822" s="2423"/>
    </row>
    <row r="823" s="101" customFormat="1" spans="6:6">
      <c r="F823" s="2423"/>
    </row>
    <row r="824" s="101" customFormat="1" spans="6:6">
      <c r="F824" s="2423"/>
    </row>
    <row r="825" s="101" customFormat="1" spans="6:6">
      <c r="F825" s="2423"/>
    </row>
    <row r="826" s="101" customFormat="1" spans="6:6">
      <c r="F826" s="2423"/>
    </row>
    <row r="827" s="101" customFormat="1" spans="6:6">
      <c r="F827" s="2423"/>
    </row>
    <row r="828" s="101" customFormat="1" spans="6:6">
      <c r="F828" s="2423"/>
    </row>
    <row r="829" s="101" customFormat="1" spans="6:6">
      <c r="F829" s="2423"/>
    </row>
    <row r="830" s="101" customFormat="1" spans="6:6">
      <c r="F830" s="2423"/>
    </row>
    <row r="831" s="101" customFormat="1" spans="6:6">
      <c r="F831" s="2423"/>
    </row>
    <row r="832" s="101" customFormat="1" spans="6:6">
      <c r="F832" s="2423"/>
    </row>
    <row r="833" s="101" customFormat="1" spans="6:6">
      <c r="F833" s="2423"/>
    </row>
    <row r="834" s="101" customFormat="1" spans="6:6">
      <c r="F834" s="2423"/>
    </row>
    <row r="835" s="101" customFormat="1" spans="6:6">
      <c r="F835" s="2423"/>
    </row>
    <row r="836" s="101" customFormat="1" spans="6:6">
      <c r="F836" s="2423"/>
    </row>
    <row r="837" s="101" customFormat="1" spans="6:6">
      <c r="F837" s="2423"/>
    </row>
    <row r="838" s="101" customFormat="1" spans="6:6">
      <c r="F838" s="2423"/>
    </row>
    <row r="839" s="101" customFormat="1" spans="6:6">
      <c r="F839" s="2423"/>
    </row>
    <row r="840" s="101" customFormat="1" spans="6:6">
      <c r="F840" s="2423"/>
    </row>
    <row r="841" s="101" customFormat="1" spans="6:6">
      <c r="F841" s="2423"/>
    </row>
    <row r="842" s="101" customFormat="1" spans="6:6">
      <c r="F842" s="2423"/>
    </row>
    <row r="843" s="101" customFormat="1" spans="6:6">
      <c r="F843" s="2423"/>
    </row>
    <row r="844" s="101" customFormat="1" spans="6:6">
      <c r="F844" s="2423"/>
    </row>
    <row r="845" s="101" customFormat="1" spans="6:6">
      <c r="F845" s="2423"/>
    </row>
    <row r="846" s="101" customFormat="1" spans="6:6">
      <c r="F846" s="2423"/>
    </row>
    <row r="847" s="101" customFormat="1" spans="6:6">
      <c r="F847" s="2423"/>
    </row>
    <row r="848" s="101" customFormat="1" spans="6:6">
      <c r="F848" s="2423"/>
    </row>
    <row r="849" s="101" customFormat="1" spans="6:6">
      <c r="F849" s="2423"/>
    </row>
    <row r="850" s="101" customFormat="1" spans="6:6">
      <c r="F850" s="2423"/>
    </row>
    <row r="851" s="101" customFormat="1" spans="6:6">
      <c r="F851" s="2423"/>
    </row>
    <row r="852" s="101" customFormat="1" spans="6:6">
      <c r="F852" s="2423"/>
    </row>
    <row r="853" s="101" customFormat="1" spans="6:6">
      <c r="F853" s="2423"/>
    </row>
    <row r="854" s="101" customFormat="1" spans="6:6">
      <c r="F854" s="2423"/>
    </row>
    <row r="855" s="101" customFormat="1" spans="6:6">
      <c r="F855" s="2423"/>
    </row>
    <row r="856" s="101" customFormat="1" spans="6:6">
      <c r="F856" s="2423"/>
    </row>
    <row r="857" s="101" customFormat="1" spans="6:6">
      <c r="F857" s="2423"/>
    </row>
    <row r="858" s="101" customFormat="1" spans="6:6">
      <c r="F858" s="2423"/>
    </row>
    <row r="859" s="101" customFormat="1" spans="6:6">
      <c r="F859" s="2423"/>
    </row>
    <row r="860" s="101" customFormat="1" spans="6:6">
      <c r="F860" s="2423"/>
    </row>
    <row r="861" s="101" customFormat="1" spans="6:6">
      <c r="F861" s="2423"/>
    </row>
    <row r="862" s="101" customFormat="1" spans="6:6">
      <c r="F862" s="2423"/>
    </row>
    <row r="863" s="101" customFormat="1" spans="6:6">
      <c r="F863" s="2423"/>
    </row>
    <row r="864" s="101" customFormat="1" spans="6:6">
      <c r="F864" s="2423"/>
    </row>
    <row r="865" s="101" customFormat="1" spans="6:6">
      <c r="F865" s="2423"/>
    </row>
    <row r="866" s="101" customFormat="1" spans="6:6">
      <c r="F866" s="2423"/>
    </row>
    <row r="867" s="101" customFormat="1" spans="6:6">
      <c r="F867" s="2423"/>
    </row>
    <row r="868" s="101" customFormat="1" spans="6:6">
      <c r="F868" s="2423"/>
    </row>
    <row r="869" s="101" customFormat="1" spans="6:6">
      <c r="F869" s="2423"/>
    </row>
    <row r="870" s="101" customFormat="1" spans="6:6">
      <c r="F870" s="2423"/>
    </row>
    <row r="871" s="101" customFormat="1" spans="6:6">
      <c r="F871" s="2423"/>
    </row>
    <row r="872" s="101" customFormat="1" spans="6:6">
      <c r="F872" s="2423"/>
    </row>
    <row r="873" s="101" customFormat="1" spans="6:6">
      <c r="F873" s="2423"/>
    </row>
    <row r="874" s="101" customFormat="1" spans="6:6">
      <c r="F874" s="2423"/>
    </row>
    <row r="875" s="101" customFormat="1" spans="6:6">
      <c r="F875" s="2423"/>
    </row>
    <row r="876" s="101" customFormat="1" spans="6:6">
      <c r="F876" s="2423"/>
    </row>
    <row r="877" s="101" customFormat="1" spans="6:6">
      <c r="F877" s="2423"/>
    </row>
    <row r="878" s="101" customFormat="1" spans="6:6">
      <c r="F878" s="2423"/>
    </row>
    <row r="879" s="101" customFormat="1" spans="6:6">
      <c r="F879" s="2423"/>
    </row>
    <row r="880" s="101" customFormat="1" spans="6:6">
      <c r="F880" s="2423"/>
    </row>
    <row r="881" s="101" customFormat="1" spans="6:6">
      <c r="F881" s="2423"/>
    </row>
    <row r="882" s="101" customFormat="1" spans="6:6">
      <c r="F882" s="2423"/>
    </row>
    <row r="883" s="101" customFormat="1" spans="6:6">
      <c r="F883" s="2423"/>
    </row>
    <row r="884" s="101" customFormat="1" spans="6:6">
      <c r="F884" s="2423"/>
    </row>
    <row r="885" s="101" customFormat="1" spans="6:6">
      <c r="F885" s="2423"/>
    </row>
    <row r="886" s="101" customFormat="1" spans="6:6">
      <c r="F886" s="2423"/>
    </row>
    <row r="887" s="101" customFormat="1" spans="6:6">
      <c r="F887" s="2423"/>
    </row>
    <row r="888" s="101" customFormat="1" spans="6:6">
      <c r="F888" s="2423"/>
    </row>
    <row r="889" s="101" customFormat="1" spans="6:6">
      <c r="F889" s="2423"/>
    </row>
    <row r="890" s="101" customFormat="1" spans="6:6">
      <c r="F890" s="2423"/>
    </row>
    <row r="891" s="101" customFormat="1" spans="6:6">
      <c r="F891" s="2423"/>
    </row>
    <row r="892" s="101" customFormat="1" spans="6:6">
      <c r="F892" s="2423"/>
    </row>
    <row r="893" s="101" customFormat="1" spans="6:6">
      <c r="F893" s="2423"/>
    </row>
    <row r="894" s="101" customFormat="1" spans="6:6">
      <c r="F894" s="2423"/>
    </row>
    <row r="895" s="101" customFormat="1" spans="6:6">
      <c r="F895" s="2423"/>
    </row>
    <row r="896" s="101" customFormat="1" spans="6:6">
      <c r="F896" s="2423"/>
    </row>
    <row r="897" s="101" customFormat="1" spans="6:6">
      <c r="F897" s="2423"/>
    </row>
    <row r="898" s="101" customFormat="1" spans="6:6">
      <c r="F898" s="2423"/>
    </row>
    <row r="899" s="101" customFormat="1" spans="6:6">
      <c r="F899" s="2423"/>
    </row>
    <row r="900" s="101" customFormat="1" spans="6:6">
      <c r="F900" s="2423"/>
    </row>
    <row r="901" s="101" customFormat="1" spans="6:6">
      <c r="F901" s="2423"/>
    </row>
    <row r="902" s="101" customFormat="1" spans="6:6">
      <c r="F902" s="2423"/>
    </row>
    <row r="903" s="101" customFormat="1" spans="6:6">
      <c r="F903" s="2423"/>
    </row>
    <row r="904" s="101" customFormat="1" spans="6:6">
      <c r="F904" s="2423"/>
    </row>
    <row r="905" s="101" customFormat="1" spans="6:6">
      <c r="F905" s="2423"/>
    </row>
    <row r="906" s="101" customFormat="1" spans="6:6">
      <c r="F906" s="2423"/>
    </row>
    <row r="907" s="101" customFormat="1" spans="6:6">
      <c r="F907" s="2423"/>
    </row>
    <row r="908" s="101" customFormat="1" spans="6:6">
      <c r="F908" s="2423"/>
    </row>
    <row r="909" s="101" customFormat="1" spans="6:6">
      <c r="F909" s="2423"/>
    </row>
    <row r="910" s="101" customFormat="1" spans="6:6">
      <c r="F910" s="2423"/>
    </row>
    <row r="911" s="101" customFormat="1" spans="6:6">
      <c r="F911" s="2423"/>
    </row>
    <row r="912" s="101" customFormat="1" spans="6:6">
      <c r="F912" s="2423"/>
    </row>
    <row r="913" s="101" customFormat="1" spans="6:6">
      <c r="F913" s="2423"/>
    </row>
    <row r="914" s="101" customFormat="1" spans="6:6">
      <c r="F914" s="2423"/>
    </row>
    <row r="915" s="101" customFormat="1" spans="6:6">
      <c r="F915" s="2423"/>
    </row>
    <row r="916" s="101" customFormat="1" spans="6:6">
      <c r="F916" s="2423"/>
    </row>
    <row r="917" s="101" customFormat="1" spans="6:6">
      <c r="F917" s="2423"/>
    </row>
    <row r="918" s="101" customFormat="1" spans="6:6">
      <c r="F918" s="2423"/>
    </row>
    <row r="919" s="101" customFormat="1" spans="6:6">
      <c r="F919" s="2423"/>
    </row>
    <row r="920" s="101" customFormat="1" spans="6:6">
      <c r="F920" s="2423"/>
    </row>
    <row r="921" s="101" customFormat="1" spans="6:6">
      <c r="F921" s="2423"/>
    </row>
    <row r="922" s="101" customFormat="1" spans="6:6">
      <c r="F922" s="2423"/>
    </row>
    <row r="923" s="101" customFormat="1" spans="6:6">
      <c r="F923" s="2423"/>
    </row>
    <row r="924" s="101" customFormat="1" spans="6:6">
      <c r="F924" s="2423"/>
    </row>
    <row r="925" s="101" customFormat="1" spans="6:6">
      <c r="F925" s="2423"/>
    </row>
    <row r="926" s="101" customFormat="1" spans="6:6">
      <c r="F926" s="2423"/>
    </row>
    <row r="927" s="101" customFormat="1" spans="6:6">
      <c r="F927" s="2423"/>
    </row>
    <row r="928" s="101" customFormat="1" spans="6:6">
      <c r="F928" s="2423"/>
    </row>
    <row r="929" s="101" customFormat="1" spans="6:6">
      <c r="F929" s="2423"/>
    </row>
    <row r="930" s="101" customFormat="1" spans="6:6">
      <c r="F930" s="2423"/>
    </row>
    <row r="931" s="101" customFormat="1" spans="6:6">
      <c r="F931" s="2423"/>
    </row>
    <row r="932" s="101" customFormat="1" spans="6:6">
      <c r="F932" s="2423"/>
    </row>
    <row r="933" s="101" customFormat="1" spans="6:6">
      <c r="F933" s="2423"/>
    </row>
    <row r="934" s="101" customFormat="1" spans="6:6">
      <c r="F934" s="2423"/>
    </row>
    <row r="935" s="101" customFormat="1" spans="6:6">
      <c r="F935" s="2423"/>
    </row>
    <row r="936" s="101" customFormat="1" spans="6:6">
      <c r="F936" s="2423"/>
    </row>
    <row r="937" s="101" customFormat="1" spans="6:6">
      <c r="F937" s="2423"/>
    </row>
    <row r="938" s="101" customFormat="1" spans="6:6">
      <c r="F938" s="2423"/>
    </row>
    <row r="939" s="101" customFormat="1" spans="6:6">
      <c r="F939" s="2423"/>
    </row>
    <row r="940" s="101" customFormat="1" spans="6:6">
      <c r="F940" s="2423"/>
    </row>
    <row r="941" s="101" customFormat="1" spans="6:6">
      <c r="F941" s="2423"/>
    </row>
    <row r="942" s="101" customFormat="1" spans="6:6">
      <c r="F942" s="2423"/>
    </row>
    <row r="943" s="101" customFormat="1" spans="6:6">
      <c r="F943" s="2423"/>
    </row>
    <row r="944" s="101" customFormat="1" spans="6:6">
      <c r="F944" s="2423"/>
    </row>
    <row r="945" s="101" customFormat="1" spans="6:6">
      <c r="F945" s="2423"/>
    </row>
    <row r="946" s="101" customFormat="1" spans="6:6">
      <c r="F946" s="2423"/>
    </row>
    <row r="947" s="101" customFormat="1" spans="6:6">
      <c r="F947" s="2423"/>
    </row>
    <row r="948" s="101" customFormat="1" spans="6:6">
      <c r="F948" s="2423"/>
    </row>
    <row r="949" s="101" customFormat="1" spans="6:6">
      <c r="F949" s="2423"/>
    </row>
    <row r="950" s="101" customFormat="1" spans="6:6">
      <c r="F950" s="2423"/>
    </row>
    <row r="951" s="101" customFormat="1" spans="6:6">
      <c r="F951" s="2423"/>
    </row>
    <row r="952" s="101" customFormat="1" spans="6:6">
      <c r="F952" s="2423"/>
    </row>
    <row r="953" s="101" customFormat="1" spans="6:6">
      <c r="F953" s="2423"/>
    </row>
    <row r="954" s="101" customFormat="1" spans="6:6">
      <c r="F954" s="2423"/>
    </row>
    <row r="955" s="101" customFormat="1" spans="6:6">
      <c r="F955" s="2423"/>
    </row>
    <row r="956" s="101" customFormat="1" spans="6:6">
      <c r="F956" s="2423"/>
    </row>
    <row r="957" s="101" customFormat="1" spans="6:6">
      <c r="F957" s="2423"/>
    </row>
    <row r="958" s="101" customFormat="1" spans="6:6">
      <c r="F958" s="2423"/>
    </row>
    <row r="959" s="101" customFormat="1" spans="6:6">
      <c r="F959" s="2423"/>
    </row>
    <row r="960" s="101" customFormat="1" spans="6:6">
      <c r="F960" s="2423"/>
    </row>
    <row r="961" s="101" customFormat="1" spans="6:6">
      <c r="F961" s="2423"/>
    </row>
    <row r="962" s="101" customFormat="1" spans="6:6">
      <c r="F962" s="2423"/>
    </row>
    <row r="963" s="101" customFormat="1" spans="6:6">
      <c r="F963" s="2423"/>
    </row>
    <row r="964" s="101" customFormat="1" spans="6:6">
      <c r="F964" s="2423"/>
    </row>
    <row r="965" s="101" customFormat="1" spans="6:6">
      <c r="F965" s="2423"/>
    </row>
    <row r="966" s="101" customFormat="1" spans="6:6">
      <c r="F966" s="2423"/>
    </row>
    <row r="967" s="101" customFormat="1" spans="6:6">
      <c r="F967" s="2423"/>
    </row>
    <row r="968" s="101" customFormat="1" spans="6:6">
      <c r="F968" s="2423"/>
    </row>
    <row r="969" s="101" customFormat="1" spans="6:6">
      <c r="F969" s="2423"/>
    </row>
    <row r="970" s="101" customFormat="1" spans="6:6">
      <c r="F970" s="2423"/>
    </row>
    <row r="971" s="101" customFormat="1" spans="6:6">
      <c r="F971" s="2423"/>
    </row>
    <row r="972" s="101" customFormat="1" spans="6:6">
      <c r="F972" s="2423"/>
    </row>
    <row r="973" s="101" customFormat="1" spans="6:6">
      <c r="F973" s="2423"/>
    </row>
    <row r="974" s="101" customFormat="1" spans="6:6">
      <c r="F974" s="2423"/>
    </row>
    <row r="975" s="101" customFormat="1" spans="6:6">
      <c r="F975" s="2423"/>
    </row>
    <row r="976" s="101" customFormat="1" spans="6:6">
      <c r="F976" s="2423"/>
    </row>
    <row r="977" s="101" customFormat="1" spans="6:6">
      <c r="F977" s="2423"/>
    </row>
    <row r="978" s="101" customFormat="1" spans="6:6">
      <c r="F978" s="2423"/>
    </row>
    <row r="979" s="101" customFormat="1" spans="6:6">
      <c r="F979" s="2423"/>
    </row>
    <row r="980" s="101" customFormat="1" spans="6:6">
      <c r="F980" s="2423"/>
    </row>
    <row r="981" s="101" customFormat="1" spans="6:6">
      <c r="F981" s="2423"/>
    </row>
    <row r="982" s="101" customFormat="1" spans="6:6">
      <c r="F982" s="2423"/>
    </row>
    <row r="983" s="101" customFormat="1" spans="6:6">
      <c r="F983" s="2423"/>
    </row>
    <row r="984" s="101" customFormat="1" spans="6:6">
      <c r="F984" s="2423"/>
    </row>
    <row r="985" s="101" customFormat="1" spans="6:6">
      <c r="F985" s="2423"/>
    </row>
    <row r="986" s="101" customFormat="1" spans="6:6">
      <c r="F986" s="2423"/>
    </row>
    <row r="987" s="101" customFormat="1" spans="6:6">
      <c r="F987" s="2423"/>
    </row>
    <row r="988" s="101" customFormat="1" spans="6:6">
      <c r="F988" s="2423"/>
    </row>
    <row r="989" s="101" customFormat="1" spans="6:6">
      <c r="F989" s="2423"/>
    </row>
    <row r="990" s="101" customFormat="1" spans="6:6">
      <c r="F990" s="2423"/>
    </row>
    <row r="991" s="101" customFormat="1" spans="6:6">
      <c r="F991" s="2423"/>
    </row>
    <row r="992" s="101" customFormat="1" spans="6:6">
      <c r="F992" s="2423"/>
    </row>
    <row r="993" s="101" customFormat="1" spans="6:6">
      <c r="F993" s="2423"/>
    </row>
    <row r="994" s="101" customFormat="1" spans="6:6">
      <c r="F994" s="2423"/>
    </row>
    <row r="995" s="101" customFormat="1" spans="6:6">
      <c r="F995" s="2423"/>
    </row>
    <row r="996" s="101" customFormat="1" spans="6:6">
      <c r="F996" s="2423"/>
    </row>
    <row r="997" s="101" customFormat="1" spans="6:6">
      <c r="F997" s="2423"/>
    </row>
    <row r="998" s="101" customFormat="1" spans="6:6">
      <c r="F998" s="2423"/>
    </row>
    <row r="999" s="101" customFormat="1" spans="6:6">
      <c r="F999" s="2423"/>
    </row>
    <row r="1000" s="101" customFormat="1" spans="6:6">
      <c r="F1000" s="2423"/>
    </row>
    <row r="1001" s="101" customFormat="1" spans="6:6">
      <c r="F1001" s="2423"/>
    </row>
    <row r="1002" s="101" customFormat="1" spans="6:6">
      <c r="F1002" s="2423"/>
    </row>
    <row r="1003" s="101" customFormat="1" spans="6:6">
      <c r="F1003" s="2423"/>
    </row>
    <row r="1004" s="101" customFormat="1" spans="6:6">
      <c r="F1004" s="2423"/>
    </row>
    <row r="1005" s="101" customFormat="1" spans="6:6">
      <c r="F1005" s="2423"/>
    </row>
    <row r="1006" s="101" customFormat="1" spans="6:6">
      <c r="F1006" s="2423"/>
    </row>
    <row r="1007" s="101" customFormat="1" spans="6:6">
      <c r="F1007" s="2423"/>
    </row>
    <row r="1008" s="101" customFormat="1" spans="6:6">
      <c r="F1008" s="2423"/>
    </row>
    <row r="1009" s="101" customFormat="1" spans="6:6">
      <c r="F1009" s="2423"/>
    </row>
    <row r="1010" s="101" customFormat="1" spans="6:6">
      <c r="F1010" s="2423"/>
    </row>
    <row r="1011" s="101" customFormat="1" spans="6:6">
      <c r="F1011" s="2423"/>
    </row>
    <row r="1012" s="101" customFormat="1" spans="6:6">
      <c r="F1012" s="2423"/>
    </row>
    <row r="1013" s="101" customFormat="1" spans="6:6">
      <c r="F1013" s="2423"/>
    </row>
    <row r="1014" s="101" customFormat="1" spans="6:6">
      <c r="F1014" s="2423"/>
    </row>
    <row r="1015" s="101" customFormat="1" spans="6:6">
      <c r="F1015" s="2423"/>
    </row>
    <row r="1016" s="101" customFormat="1" spans="6:6">
      <c r="F1016" s="2423"/>
    </row>
    <row r="1017" s="101" customFormat="1" spans="6:6">
      <c r="F1017" s="2423"/>
    </row>
    <row r="1018" s="101" customFormat="1" spans="6:6">
      <c r="F1018" s="2423"/>
    </row>
    <row r="1019" s="101" customFormat="1" spans="6:6">
      <c r="F1019" s="2423"/>
    </row>
    <row r="1020" s="101" customFormat="1" spans="6:6">
      <c r="F1020" s="2423"/>
    </row>
    <row r="1021" s="101" customFormat="1" spans="6:6">
      <c r="F1021" s="2423"/>
    </row>
    <row r="1022" s="101" customFormat="1" spans="6:6">
      <c r="F1022" s="2423"/>
    </row>
    <row r="1023" s="101" customFormat="1" spans="6:6">
      <c r="F1023" s="2423"/>
    </row>
    <row r="1024" s="101" customFormat="1" spans="6:6">
      <c r="F1024" s="2423"/>
    </row>
    <row r="1025" s="101" customFormat="1" spans="6:6">
      <c r="F1025" s="2423"/>
    </row>
    <row r="1026" s="101" customFormat="1" spans="6:6">
      <c r="F1026" s="2423"/>
    </row>
    <row r="1027" s="101" customFormat="1" spans="6:6">
      <c r="F1027" s="2423"/>
    </row>
    <row r="1028" s="101" customFormat="1" spans="6:6">
      <c r="F1028" s="2423"/>
    </row>
    <row r="1029" s="101" customFormat="1" spans="6:6">
      <c r="F1029" s="2423"/>
    </row>
    <row r="1030" s="101" customFormat="1" spans="6:6">
      <c r="F1030" s="2423"/>
    </row>
    <row r="1031" s="101" customFormat="1" spans="6:6">
      <c r="F1031" s="2423"/>
    </row>
    <row r="1032" s="101" customFormat="1" spans="6:6">
      <c r="F1032" s="2423"/>
    </row>
    <row r="1033" s="101" customFormat="1" spans="6:6">
      <c r="F1033" s="2423"/>
    </row>
    <row r="1034" s="101" customFormat="1" spans="6:6">
      <c r="F1034" s="2423"/>
    </row>
    <row r="1035" s="101" customFormat="1" spans="6:6">
      <c r="F1035" s="2423"/>
    </row>
    <row r="1036" s="101" customFormat="1" spans="6:6">
      <c r="F1036" s="2423"/>
    </row>
    <row r="1037" s="101" customFormat="1" spans="6:6">
      <c r="F1037" s="2423"/>
    </row>
    <row r="1038" s="101" customFormat="1" spans="6:6">
      <c r="F1038" s="2423"/>
    </row>
    <row r="1039" s="101" customFormat="1" spans="6:6">
      <c r="F1039" s="2423"/>
    </row>
    <row r="1040" s="101" customFormat="1" spans="6:6">
      <c r="F1040" s="2423"/>
    </row>
    <row r="1041" s="101" customFormat="1" spans="6:6">
      <c r="F1041" s="2423"/>
    </row>
    <row r="1042" s="101" customFormat="1" spans="6:6">
      <c r="F1042" s="2423"/>
    </row>
    <row r="1043" s="101" customFormat="1" spans="6:6">
      <c r="F1043" s="2423"/>
    </row>
    <row r="1044" s="101" customFormat="1" spans="6:6">
      <c r="F1044" s="2423"/>
    </row>
    <row r="1045" s="101" customFormat="1" spans="6:6">
      <c r="F1045" s="2423"/>
    </row>
    <row r="1046" s="101" customFormat="1" spans="6:6">
      <c r="F1046" s="2423"/>
    </row>
    <row r="1047" s="101" customFormat="1" spans="6:6">
      <c r="F1047" s="2423"/>
    </row>
    <row r="1048" s="101" customFormat="1" spans="6:6">
      <c r="F1048" s="2423"/>
    </row>
    <row r="1049" s="101" customFormat="1" spans="6:6">
      <c r="F1049" s="2423"/>
    </row>
    <row r="1050" s="101" customFormat="1" spans="6:6">
      <c r="F1050" s="2423"/>
    </row>
    <row r="1051" s="101" customFormat="1" spans="6:6">
      <c r="F1051" s="2423"/>
    </row>
    <row r="1052" s="101" customFormat="1" spans="6:6">
      <c r="F1052" s="2423"/>
    </row>
    <row r="1053" s="101" customFormat="1" spans="6:6">
      <c r="F1053" s="2423"/>
    </row>
    <row r="1054" s="101" customFormat="1" spans="6:6">
      <c r="F1054" s="2423"/>
    </row>
    <row r="1055" s="101" customFormat="1" spans="6:6">
      <c r="F1055" s="2423"/>
    </row>
    <row r="1056" s="101" customFormat="1" spans="6:6">
      <c r="F1056" s="2423"/>
    </row>
    <row r="1057" s="101" customFormat="1" spans="6:6">
      <c r="F1057" s="2423"/>
    </row>
    <row r="1058" s="101" customFormat="1" spans="6:6">
      <c r="F1058" s="2423"/>
    </row>
    <row r="1059" s="101" customFormat="1" spans="6:6">
      <c r="F1059" s="2423"/>
    </row>
    <row r="1060" s="101" customFormat="1" spans="6:6">
      <c r="F1060" s="2423"/>
    </row>
    <row r="1061" s="101" customFormat="1" spans="6:6">
      <c r="F1061" s="2423"/>
    </row>
    <row r="1062" s="101" customFormat="1" spans="6:6">
      <c r="F1062" s="2423"/>
    </row>
    <row r="1063" s="101" customFormat="1" spans="6:6">
      <c r="F1063" s="2423"/>
    </row>
    <row r="1064" s="101" customFormat="1" spans="6:6">
      <c r="F1064" s="2423"/>
    </row>
    <row r="1065" s="101" customFormat="1" spans="6:6">
      <c r="F1065" s="2423"/>
    </row>
    <row r="1066" s="101" customFormat="1" spans="6:6">
      <c r="F1066" s="2423"/>
    </row>
    <row r="1067" s="101" customFormat="1" spans="6:6">
      <c r="F1067" s="2423"/>
    </row>
    <row r="1068" s="101" customFormat="1" spans="6:6">
      <c r="F1068" s="2423"/>
    </row>
    <row r="1069" s="101" customFormat="1" spans="6:6">
      <c r="F1069" s="2423"/>
    </row>
    <row r="1070" s="101" customFormat="1" spans="6:6">
      <c r="F1070" s="2423"/>
    </row>
    <row r="1071" s="101" customFormat="1" spans="6:6">
      <c r="F1071" s="2423"/>
    </row>
    <row r="1072" s="101" customFormat="1" spans="6:6">
      <c r="F1072" s="2423"/>
    </row>
    <row r="1073" s="101" customFormat="1" spans="6:6">
      <c r="F1073" s="2423"/>
    </row>
    <row r="1074" s="101" customFormat="1" spans="6:6">
      <c r="F1074" s="2423"/>
    </row>
    <row r="1075" s="101" customFormat="1" spans="6:6">
      <c r="F1075" s="2423"/>
    </row>
    <row r="1076" s="101" customFormat="1" spans="6:6">
      <c r="F1076" s="2423"/>
    </row>
    <row r="1077" s="101" customFormat="1" spans="6:6">
      <c r="F1077" s="2423"/>
    </row>
    <row r="1078" s="101" customFormat="1" spans="6:6">
      <c r="F1078" s="2423"/>
    </row>
    <row r="1079" s="101" customFormat="1" spans="6:6">
      <c r="F1079" s="2423"/>
    </row>
    <row r="1080" s="101" customFormat="1" spans="6:6">
      <c r="F1080" s="2423"/>
    </row>
    <row r="1081" s="101" customFormat="1" spans="6:6">
      <c r="F1081" s="2423"/>
    </row>
    <row r="1082" s="101" customFormat="1" spans="6:6">
      <c r="F1082" s="2423"/>
    </row>
    <row r="1083" s="101" customFormat="1" spans="6:6">
      <c r="F1083" s="2423"/>
    </row>
    <row r="1084" s="101" customFormat="1" spans="6:6">
      <c r="F1084" s="2423"/>
    </row>
    <row r="1085" s="101" customFormat="1" spans="6:6">
      <c r="F1085" s="2423"/>
    </row>
    <row r="1086" s="101" customFormat="1" spans="6:6">
      <c r="F1086" s="2423"/>
    </row>
    <row r="1087" s="101" customFormat="1" spans="6:6">
      <c r="F1087" s="2423"/>
    </row>
    <row r="1088" s="101" customFormat="1" spans="6:6">
      <c r="F1088" s="2423"/>
    </row>
    <row r="1089" s="101" customFormat="1" spans="6:6">
      <c r="F1089" s="2423"/>
    </row>
    <row r="1090" s="101" customFormat="1" spans="6:6">
      <c r="F1090" s="2423"/>
    </row>
    <row r="1091" s="101" customFormat="1" spans="6:6">
      <c r="F1091" s="2423"/>
    </row>
    <row r="1092" s="101" customFormat="1" spans="6:6">
      <c r="F1092" s="2423"/>
    </row>
    <row r="1093" s="101" customFormat="1" spans="6:6">
      <c r="F1093" s="2423"/>
    </row>
    <row r="1094" s="101" customFormat="1" spans="6:6">
      <c r="F1094" s="2423"/>
    </row>
    <row r="1095" s="101" customFormat="1" spans="6:6">
      <c r="F1095" s="2423"/>
    </row>
    <row r="1096" s="101" customFormat="1" spans="6:6">
      <c r="F1096" s="2423"/>
    </row>
    <row r="1097" s="101" customFormat="1" spans="6:6">
      <c r="F1097" s="2423"/>
    </row>
    <row r="1098" s="101" customFormat="1" spans="6:6">
      <c r="F1098" s="2423"/>
    </row>
    <row r="1099" s="101" customFormat="1" spans="6:6">
      <c r="F1099" s="2423"/>
    </row>
    <row r="1100" s="101" customFormat="1" spans="6:6">
      <c r="F1100" s="2423"/>
    </row>
    <row r="1101" s="101" customFormat="1" spans="6:6">
      <c r="F1101" s="2423"/>
    </row>
    <row r="1102" s="101" customFormat="1" spans="6:6">
      <c r="F1102" s="2423"/>
    </row>
    <row r="1103" s="101" customFormat="1" spans="6:6">
      <c r="F1103" s="2423"/>
    </row>
    <row r="1104" s="101" customFormat="1" spans="6:6">
      <c r="F1104" s="2423"/>
    </row>
    <row r="1105" s="101" customFormat="1" spans="6:6">
      <c r="F1105" s="2423"/>
    </row>
    <row r="1106" s="101" customFormat="1" spans="6:6">
      <c r="F1106" s="2423"/>
    </row>
    <row r="1107" s="101" customFormat="1" spans="6:6">
      <c r="F1107" s="2423"/>
    </row>
    <row r="1108" s="101" customFormat="1" spans="6:6">
      <c r="F1108" s="2423"/>
    </row>
    <row r="1109" s="101" customFormat="1" spans="6:6">
      <c r="F1109" s="2423"/>
    </row>
    <row r="1110" s="101" customFormat="1" spans="6:6">
      <c r="F1110" s="2423"/>
    </row>
    <row r="1111" s="101" customFormat="1" spans="6:6">
      <c r="F1111" s="2423"/>
    </row>
    <row r="1112" s="101" customFormat="1" spans="6:6">
      <c r="F1112" s="2423"/>
    </row>
    <row r="1113" s="101" customFormat="1" spans="6:6">
      <c r="F1113" s="2423"/>
    </row>
    <row r="1114" s="101" customFormat="1" spans="6:6">
      <c r="F1114" s="2423"/>
    </row>
    <row r="1115" s="101" customFormat="1" spans="6:6">
      <c r="F1115" s="2423"/>
    </row>
    <row r="1116" s="101" customFormat="1" spans="6:6">
      <c r="F1116" s="2423"/>
    </row>
    <row r="1117" s="101" customFormat="1" spans="6:6">
      <c r="F1117" s="2423"/>
    </row>
    <row r="1118" s="101" customFormat="1" spans="6:6">
      <c r="F1118" s="2423"/>
    </row>
    <row r="1119" s="101" customFormat="1" spans="6:6">
      <c r="F1119" s="2423"/>
    </row>
    <row r="1120" s="101" customFormat="1" spans="6:6">
      <c r="F1120" s="2423"/>
    </row>
    <row r="1121" s="101" customFormat="1" spans="6:6">
      <c r="F1121" s="2423"/>
    </row>
    <row r="1122" s="101" customFormat="1" spans="6:6">
      <c r="F1122" s="2423"/>
    </row>
    <row r="1123" s="101" customFormat="1" spans="6:6">
      <c r="F1123" s="2423"/>
    </row>
    <row r="1124" s="101" customFormat="1" spans="6:6">
      <c r="F1124" s="2423"/>
    </row>
    <row r="1125" s="101" customFormat="1" spans="6:6">
      <c r="F1125" s="2423"/>
    </row>
    <row r="1126" s="101" customFormat="1" spans="6:6">
      <c r="F1126" s="2423"/>
    </row>
    <row r="1127" s="101" customFormat="1" spans="6:6">
      <c r="F1127" s="2423"/>
    </row>
    <row r="1128" s="101" customFormat="1" spans="6:6">
      <c r="F1128" s="2423"/>
    </row>
    <row r="1129" s="101" customFormat="1" spans="6:6">
      <c r="F1129" s="2423"/>
    </row>
    <row r="1130" s="101" customFormat="1" spans="6:6">
      <c r="F1130" s="2423"/>
    </row>
    <row r="1131" s="101" customFormat="1" spans="6:6">
      <c r="F1131" s="2423"/>
    </row>
    <row r="1132" s="101" customFormat="1" spans="6:6">
      <c r="F1132" s="2423"/>
    </row>
    <row r="1133" s="101" customFormat="1" spans="6:6">
      <c r="F1133" s="2423"/>
    </row>
    <row r="1134" s="101" customFormat="1" spans="6:6">
      <c r="F1134" s="2423"/>
    </row>
    <row r="1135" s="101" customFormat="1" spans="6:6">
      <c r="F1135" s="2423"/>
    </row>
    <row r="1136" s="101" customFormat="1" spans="6:6">
      <c r="F1136" s="2423"/>
    </row>
    <row r="1137" s="101" customFormat="1" spans="6:6">
      <c r="F1137" s="2423"/>
    </row>
    <row r="1138" s="101" customFormat="1" spans="6:6">
      <c r="F1138" s="2423"/>
    </row>
    <row r="1139" s="101" customFormat="1" spans="6:6">
      <c r="F1139" s="2423"/>
    </row>
    <row r="1140" s="101" customFormat="1" spans="6:6">
      <c r="F1140" s="2423"/>
    </row>
    <row r="1141" s="101" customFormat="1" spans="6:6">
      <c r="F1141" s="2423"/>
    </row>
    <row r="1142" s="101" customFormat="1" spans="6:6">
      <c r="F1142" s="2423"/>
    </row>
    <row r="1143" s="101" customFormat="1" spans="6:6">
      <c r="F1143" s="2423"/>
    </row>
    <row r="1144" s="101" customFormat="1" spans="6:6">
      <c r="F1144" s="2423"/>
    </row>
    <row r="1145" s="101" customFormat="1" spans="6:6">
      <c r="F1145" s="2423"/>
    </row>
    <row r="1146" s="101" customFormat="1" spans="6:6">
      <c r="F1146" s="2423"/>
    </row>
    <row r="1147" s="101" customFormat="1" spans="6:6">
      <c r="F1147" s="2423"/>
    </row>
    <row r="1148" s="101" customFormat="1" spans="6:6">
      <c r="F1148" s="2423"/>
    </row>
    <row r="1149" s="101" customFormat="1" spans="6:6">
      <c r="F1149" s="2423"/>
    </row>
    <row r="1150" s="101" customFormat="1" spans="6:6">
      <c r="F1150" s="2423"/>
    </row>
    <row r="1151" s="101" customFormat="1" spans="6:6">
      <c r="F1151" s="2423"/>
    </row>
    <row r="1152" s="101" customFormat="1" spans="6:6">
      <c r="F1152" s="2423"/>
    </row>
    <row r="1153" s="101" customFormat="1" spans="6:6">
      <c r="F1153" s="2423"/>
    </row>
    <row r="1154" s="101" customFormat="1" spans="6:6">
      <c r="F1154" s="2423"/>
    </row>
    <row r="1155" s="101" customFormat="1" spans="6:6">
      <c r="F1155" s="2423"/>
    </row>
    <row r="1156" s="101" customFormat="1" spans="6:6">
      <c r="F1156" s="2423"/>
    </row>
    <row r="1157" s="101" customFormat="1" spans="6:6">
      <c r="F1157" s="2423"/>
    </row>
    <row r="1158" s="101" customFormat="1" spans="6:6">
      <c r="F1158" s="2423"/>
    </row>
    <row r="1159" s="101" customFormat="1" spans="6:6">
      <c r="F1159" s="2423"/>
    </row>
    <row r="1160" s="101" customFormat="1" spans="6:6">
      <c r="F1160" s="2423"/>
    </row>
    <row r="1161" s="101" customFormat="1" spans="6:6">
      <c r="F1161" s="2423"/>
    </row>
    <row r="1162" s="101" customFormat="1" spans="6:6">
      <c r="F1162" s="2423"/>
    </row>
    <row r="1163" s="101" customFormat="1" spans="6:6">
      <c r="F1163" s="2423"/>
    </row>
    <row r="1164" s="101" customFormat="1" spans="6:6">
      <c r="F1164" s="2423"/>
    </row>
    <row r="1165" s="101" customFormat="1" spans="6:6">
      <c r="F1165" s="2423"/>
    </row>
    <row r="1166" s="101" customFormat="1" spans="6:6">
      <c r="F1166" s="2423"/>
    </row>
    <row r="1167" s="101" customFormat="1" spans="6:6">
      <c r="F1167" s="2423"/>
    </row>
    <row r="1168" s="101" customFormat="1" spans="6:6">
      <c r="F1168" s="2423"/>
    </row>
    <row r="1169" s="101" customFormat="1" spans="6:6">
      <c r="F1169" s="2423"/>
    </row>
    <row r="1170" s="101" customFormat="1" spans="6:6">
      <c r="F1170" s="2423"/>
    </row>
    <row r="1171" s="101" customFormat="1" spans="6:6">
      <c r="F1171" s="2423"/>
    </row>
    <row r="1172" s="101" customFormat="1" spans="6:6">
      <c r="F1172" s="2423"/>
    </row>
    <row r="1173" s="101" customFormat="1" spans="6:6">
      <c r="F1173" s="2423"/>
    </row>
    <row r="1174" s="101" customFormat="1" spans="6:6">
      <c r="F1174" s="2423"/>
    </row>
    <row r="1175" s="101" customFormat="1" spans="6:6">
      <c r="F1175" s="2423"/>
    </row>
    <row r="1176" s="101" customFormat="1" spans="6:6">
      <c r="F1176" s="2423"/>
    </row>
    <row r="1177" s="101" customFormat="1" spans="6:6">
      <c r="F1177" s="2423"/>
    </row>
    <row r="1178" s="101" customFormat="1" spans="6:6">
      <c r="F1178" s="2423"/>
    </row>
    <row r="1179" s="101" customFormat="1" spans="6:6">
      <c r="F1179" s="2423"/>
    </row>
    <row r="1180" s="101" customFormat="1" spans="6:6">
      <c r="F1180" s="2423"/>
    </row>
    <row r="1181" s="101" customFormat="1" spans="6:6">
      <c r="F1181" s="2423"/>
    </row>
    <row r="1182" s="101" customFormat="1" spans="6:6">
      <c r="F1182" s="2423"/>
    </row>
    <row r="1183" s="101" customFormat="1" spans="6:6">
      <c r="F1183" s="2423"/>
    </row>
    <row r="1184" s="101" customFormat="1" spans="6:6">
      <c r="F1184" s="2423"/>
    </row>
    <row r="1185" s="101" customFormat="1" spans="6:6">
      <c r="F1185" s="2423"/>
    </row>
    <row r="1186" s="101" customFormat="1" spans="6:6">
      <c r="F1186" s="2423"/>
    </row>
    <row r="1187" s="101" customFormat="1" spans="6:6">
      <c r="F1187" s="2423"/>
    </row>
    <row r="1188" s="101" customFormat="1" spans="6:6">
      <c r="F1188" s="2423"/>
    </row>
    <row r="1189" s="101" customFormat="1" spans="6:6">
      <c r="F1189" s="2423"/>
    </row>
    <row r="1190" s="101" customFormat="1" spans="6:6">
      <c r="F1190" s="2423"/>
    </row>
    <row r="1191" s="101" customFormat="1" spans="6:6">
      <c r="F1191" s="2423"/>
    </row>
    <row r="1192" s="101" customFormat="1" spans="6:6">
      <c r="F1192" s="2423"/>
    </row>
    <row r="1193" s="101" customFormat="1" spans="6:6">
      <c r="F1193" s="2423"/>
    </row>
    <row r="1194" s="101" customFormat="1" spans="6:6">
      <c r="F1194" s="2423"/>
    </row>
    <row r="1195" s="101" customFormat="1" spans="6:6">
      <c r="F1195" s="2423"/>
    </row>
    <row r="1196" s="101" customFormat="1" spans="6:6">
      <c r="F1196" s="2423"/>
    </row>
    <row r="1197" s="101" customFormat="1" spans="6:6">
      <c r="F1197" s="2423"/>
    </row>
    <row r="1198" s="101" customFormat="1" spans="6:6">
      <c r="F1198" s="2423"/>
    </row>
    <row r="1199" s="101" customFormat="1" spans="6:6">
      <c r="F1199" s="2423"/>
    </row>
    <row r="1200" s="101" customFormat="1" spans="6:6">
      <c r="F1200" s="2423"/>
    </row>
    <row r="1201" s="101" customFormat="1" spans="6:6">
      <c r="F1201" s="2423"/>
    </row>
    <row r="1202" s="101" customFormat="1" spans="6:6">
      <c r="F1202" s="2423"/>
    </row>
    <row r="1203" s="101" customFormat="1" spans="6:6">
      <c r="F1203" s="2423"/>
    </row>
    <row r="1204" s="101" customFormat="1" spans="6:6">
      <c r="F1204" s="2423"/>
    </row>
    <row r="1205" s="101" customFormat="1" spans="6:6">
      <c r="F1205" s="2423"/>
    </row>
    <row r="1206" s="101" customFormat="1" spans="6:6">
      <c r="F1206" s="2423"/>
    </row>
    <row r="1207" s="101" customFormat="1" spans="6:6">
      <c r="F1207" s="2423"/>
    </row>
    <row r="1208" s="101" customFormat="1" spans="6:6">
      <c r="F1208" s="2423"/>
    </row>
    <row r="1209" s="101" customFormat="1" spans="6:6">
      <c r="F1209" s="2423"/>
    </row>
    <row r="1210" s="101" customFormat="1" spans="6:6">
      <c r="F1210" s="2423"/>
    </row>
    <row r="1211" s="101" customFormat="1" spans="6:6">
      <c r="F1211" s="2423"/>
    </row>
    <row r="1212" s="101" customFormat="1" spans="6:6">
      <c r="F1212" s="2423"/>
    </row>
    <row r="1213" s="101" customFormat="1" spans="6:6">
      <c r="F1213" s="2423"/>
    </row>
    <row r="1214" s="101" customFormat="1" spans="6:6">
      <c r="F1214" s="2423"/>
    </row>
    <row r="1215" s="101" customFormat="1" spans="6:6">
      <c r="F1215" s="2423"/>
    </row>
    <row r="1216" s="101" customFormat="1" spans="6:6">
      <c r="F1216" s="2423"/>
    </row>
    <row r="1217" s="101" customFormat="1" spans="6:6">
      <c r="F1217" s="2423"/>
    </row>
    <row r="1218" s="101" customFormat="1" spans="6:6">
      <c r="F1218" s="2423"/>
    </row>
    <row r="1219" s="101" customFormat="1" spans="6:6">
      <c r="F1219" s="2423"/>
    </row>
    <row r="1220" s="101" customFormat="1" spans="6:6">
      <c r="F1220" s="2423"/>
    </row>
    <row r="1221" s="101" customFormat="1" spans="6:6">
      <c r="F1221" s="2423"/>
    </row>
    <row r="1222" s="101" customFormat="1" spans="6:6">
      <c r="F1222" s="2423"/>
    </row>
    <row r="1223" s="101" customFormat="1" spans="6:6">
      <c r="F1223" s="2423"/>
    </row>
    <row r="1224" s="101" customFormat="1" spans="6:6">
      <c r="F1224" s="2423"/>
    </row>
    <row r="1225" s="101" customFormat="1" spans="6:6">
      <c r="F1225" s="2423"/>
    </row>
    <row r="1226" s="101" customFormat="1" spans="6:6">
      <c r="F1226" s="2423"/>
    </row>
    <row r="1227" s="101" customFormat="1" spans="6:6">
      <c r="F1227" s="2423"/>
    </row>
    <row r="1228" s="101" customFormat="1" spans="6:6">
      <c r="F1228" s="2423"/>
    </row>
    <row r="1229" s="101" customFormat="1" spans="6:6">
      <c r="F1229" s="2423"/>
    </row>
    <row r="1230" s="101" customFormat="1" spans="6:6">
      <c r="F1230" s="2423"/>
    </row>
    <row r="1231" s="101" customFormat="1" spans="6:6">
      <c r="F1231" s="2423"/>
    </row>
    <row r="1232" s="101" customFormat="1" spans="6:6">
      <c r="F1232" s="2423"/>
    </row>
    <row r="1233" s="101" customFormat="1" spans="6:6">
      <c r="F1233" s="2423"/>
    </row>
    <row r="1234" s="101" customFormat="1" spans="6:6">
      <c r="F1234" s="2423"/>
    </row>
    <row r="1235" s="101" customFormat="1" spans="6:6">
      <c r="F1235" s="2423"/>
    </row>
    <row r="1236" s="101" customFormat="1" spans="6:6">
      <c r="F1236" s="2423"/>
    </row>
    <row r="1237" s="101" customFormat="1" spans="6:6">
      <c r="F1237" s="2423"/>
    </row>
    <row r="1238" s="101" customFormat="1" spans="6:6">
      <c r="F1238" s="2423"/>
    </row>
    <row r="1239" s="101" customFormat="1" spans="6:6">
      <c r="F1239" s="2423"/>
    </row>
    <row r="1240" s="101" customFormat="1" spans="6:6">
      <c r="F1240" s="2423"/>
    </row>
    <row r="1241" s="101" customFormat="1" spans="6:6">
      <c r="F1241" s="2423"/>
    </row>
    <row r="1242" s="101" customFormat="1" spans="6:6">
      <c r="F1242" s="2423"/>
    </row>
    <row r="1243" s="101" customFormat="1" spans="6:6">
      <c r="F1243" s="2423"/>
    </row>
    <row r="1244" s="101" customFormat="1" spans="6:6">
      <c r="F1244" s="2423"/>
    </row>
    <row r="1245" s="101" customFormat="1" spans="6:6">
      <c r="F1245" s="2423"/>
    </row>
    <row r="1246" s="101" customFormat="1" spans="6:6">
      <c r="F1246" s="2423"/>
    </row>
    <row r="1247" s="101" customFormat="1" spans="6:6">
      <c r="F1247" s="2423"/>
    </row>
    <row r="1248" s="101" customFormat="1" spans="6:6">
      <c r="F1248" s="2423"/>
    </row>
    <row r="1249" s="101" customFormat="1" spans="6:6">
      <c r="F1249" s="2423"/>
    </row>
    <row r="1250" s="101" customFormat="1" spans="6:6">
      <c r="F1250" s="2423"/>
    </row>
    <row r="1251" s="101" customFormat="1" spans="6:6">
      <c r="F1251" s="2423"/>
    </row>
    <row r="1252" s="101" customFormat="1" spans="6:6">
      <c r="F1252" s="2423"/>
    </row>
    <row r="1253" s="101" customFormat="1" spans="6:6">
      <c r="F1253" s="2423"/>
    </row>
    <row r="1254" s="101" customFormat="1" spans="6:6">
      <c r="F1254" s="2423"/>
    </row>
    <row r="1255" s="101" customFormat="1" spans="6:6">
      <c r="F1255" s="2423"/>
    </row>
    <row r="1256" s="101" customFormat="1" spans="6:6">
      <c r="F1256" s="2423"/>
    </row>
    <row r="1257" s="101" customFormat="1" spans="6:6">
      <c r="F1257" s="2423"/>
    </row>
    <row r="1258" s="101" customFormat="1" spans="6:6">
      <c r="F1258" s="2423"/>
    </row>
    <row r="1259" s="101" customFormat="1" spans="6:6">
      <c r="F1259" s="2423"/>
    </row>
    <row r="1260" s="101" customFormat="1" spans="6:6">
      <c r="F1260" s="2423"/>
    </row>
    <row r="1261" s="101" customFormat="1" spans="6:6">
      <c r="F1261" s="2423"/>
    </row>
    <row r="1262" s="101" customFormat="1" spans="6:6">
      <c r="F1262" s="2423"/>
    </row>
    <row r="1263" s="101" customFormat="1" spans="6:6">
      <c r="F1263" s="2423"/>
    </row>
    <row r="1264" s="101" customFormat="1" spans="6:6">
      <c r="F1264" s="2423"/>
    </row>
    <row r="1265" s="101" customFormat="1" spans="6:6">
      <c r="F1265" s="2423"/>
    </row>
    <row r="1266" s="101" customFormat="1" spans="6:6">
      <c r="F1266" s="2423"/>
    </row>
    <row r="1267" s="101" customFormat="1" spans="6:6">
      <c r="F1267" s="2423"/>
    </row>
    <row r="1268" s="101" customFormat="1" spans="6:6">
      <c r="F1268" s="2423"/>
    </row>
    <row r="1269" s="101" customFormat="1" spans="6:6">
      <c r="F1269" s="2423"/>
    </row>
    <row r="1270" s="101" customFormat="1" spans="6:6">
      <c r="F1270" s="2423"/>
    </row>
    <row r="1271" s="101" customFormat="1" spans="6:6">
      <c r="F1271" s="2423"/>
    </row>
    <row r="1272" s="101" customFormat="1" spans="6:6">
      <c r="F1272" s="2423"/>
    </row>
    <row r="1273" s="101" customFormat="1" spans="6:6">
      <c r="F1273" s="2423"/>
    </row>
    <row r="1274" s="101" customFormat="1" spans="6:6">
      <c r="F1274" s="2423"/>
    </row>
    <row r="1275" s="101" customFormat="1" spans="6:6">
      <c r="F1275" s="2423"/>
    </row>
    <row r="1276" s="101" customFormat="1" spans="6:6">
      <c r="F1276" s="2423"/>
    </row>
    <row r="1277" s="101" customFormat="1" spans="6:6">
      <c r="F1277" s="2423"/>
    </row>
    <row r="1278" s="101" customFormat="1" spans="6:6">
      <c r="F1278" s="2423"/>
    </row>
    <row r="1279" s="101" customFormat="1" spans="6:6">
      <c r="F1279" s="2423"/>
    </row>
    <row r="1280" s="101" customFormat="1" spans="6:6">
      <c r="F1280" s="2423"/>
    </row>
    <row r="1281" s="101" customFormat="1" spans="6:6">
      <c r="F1281" s="2423"/>
    </row>
    <row r="1282" s="101" customFormat="1" spans="6:6">
      <c r="F1282" s="2423"/>
    </row>
    <row r="1283" s="101" customFormat="1" spans="6:6">
      <c r="F1283" s="2423"/>
    </row>
    <row r="1284" s="101" customFormat="1" spans="6:6">
      <c r="F1284" s="2423"/>
    </row>
    <row r="1285" s="101" customFormat="1" spans="6:6">
      <c r="F1285" s="2423"/>
    </row>
    <row r="1286" s="101" customFormat="1" spans="6:6">
      <c r="F1286" s="2423"/>
    </row>
    <row r="1287" s="101" customFormat="1" spans="6:6">
      <c r="F1287" s="2423"/>
    </row>
    <row r="1288" s="101" customFormat="1" spans="6:6">
      <c r="F1288" s="2423"/>
    </row>
    <row r="1289" s="101" customFormat="1" spans="6:6">
      <c r="F1289" s="2423"/>
    </row>
    <row r="1290" s="101" customFormat="1" spans="6:6">
      <c r="F1290" s="2423"/>
    </row>
    <row r="1291" s="101" customFormat="1" spans="6:6">
      <c r="F1291" s="2423"/>
    </row>
    <row r="1292" s="101" customFormat="1" spans="6:6">
      <c r="F1292" s="2423"/>
    </row>
    <row r="1293" s="101" customFormat="1" spans="6:6">
      <c r="F1293" s="2423"/>
    </row>
    <row r="1294" s="101" customFormat="1" spans="6:6">
      <c r="F1294" s="2423"/>
    </row>
    <row r="1295" s="101" customFormat="1" spans="6:6">
      <c r="F1295" s="2423"/>
    </row>
    <row r="1296" s="101" customFormat="1" spans="6:6">
      <c r="F1296" s="2423"/>
    </row>
    <row r="1297" s="101" customFormat="1" spans="6:6">
      <c r="F1297" s="2423"/>
    </row>
    <row r="1298" s="101" customFormat="1" spans="6:6">
      <c r="F1298" s="2423"/>
    </row>
    <row r="1299" s="101" customFormat="1" spans="6:6">
      <c r="F1299" s="2423"/>
    </row>
    <row r="1300" s="101" customFormat="1" spans="6:6">
      <c r="F1300" s="2423"/>
    </row>
    <row r="1301" s="101" customFormat="1" spans="6:6">
      <c r="F1301" s="2423"/>
    </row>
    <row r="1302" s="101" customFormat="1" spans="6:6">
      <c r="F1302" s="2423"/>
    </row>
    <row r="1303" s="101" customFormat="1" spans="6:6">
      <c r="F1303" s="2423"/>
    </row>
    <row r="1304" s="101" customFormat="1" spans="6:6">
      <c r="F1304" s="2423"/>
    </row>
    <row r="1305" s="101" customFormat="1" spans="6:6">
      <c r="F1305" s="2423"/>
    </row>
    <row r="1306" s="101" customFormat="1" spans="6:6">
      <c r="F1306" s="2423"/>
    </row>
    <row r="1307" s="101" customFormat="1" spans="6:6">
      <c r="F1307" s="2423"/>
    </row>
    <row r="1308" s="101" customFormat="1" spans="6:6">
      <c r="F1308" s="2423"/>
    </row>
    <row r="1309" s="101" customFormat="1" spans="6:6">
      <c r="F1309" s="2423"/>
    </row>
    <row r="1310" s="101" customFormat="1" spans="6:6">
      <c r="F1310" s="2423"/>
    </row>
    <row r="1311" s="101" customFormat="1" spans="6:6">
      <c r="F1311" s="2423"/>
    </row>
    <row r="1312" s="101" customFormat="1" spans="6:6">
      <c r="F1312" s="2423"/>
    </row>
    <row r="1313" s="101" customFormat="1" spans="6:6">
      <c r="F1313" s="2423"/>
    </row>
    <row r="1314" s="101" customFormat="1" spans="6:6">
      <c r="F1314" s="2423"/>
    </row>
    <row r="1315" s="101" customFormat="1" spans="6:6">
      <c r="F1315" s="2423"/>
    </row>
    <row r="1316" s="101" customFormat="1" spans="6:6">
      <c r="F1316" s="2423"/>
    </row>
    <row r="1317" s="101" customFormat="1" spans="6:6">
      <c r="F1317" s="2423"/>
    </row>
    <row r="1318" s="101" customFormat="1" spans="6:6">
      <c r="F1318" s="2423"/>
    </row>
    <row r="1319" s="101" customFormat="1" spans="6:6">
      <c r="F1319" s="2423"/>
    </row>
    <row r="1320" s="101" customFormat="1" spans="6:6">
      <c r="F1320" s="2423"/>
    </row>
    <row r="1321" s="101" customFormat="1" spans="6:6">
      <c r="F1321" s="2423"/>
    </row>
    <row r="1322" s="101" customFormat="1" spans="6:6">
      <c r="F1322" s="2423"/>
    </row>
    <row r="1323" s="101" customFormat="1" spans="6:6">
      <c r="F1323" s="2423"/>
    </row>
    <row r="1324" s="101" customFormat="1" spans="6:6">
      <c r="F1324" s="2423"/>
    </row>
    <row r="1325" s="101" customFormat="1" spans="6:6">
      <c r="F1325" s="2423"/>
    </row>
    <row r="1326" s="101" customFormat="1" spans="6:6">
      <c r="F1326" s="2423"/>
    </row>
    <row r="1327" s="101" customFormat="1" spans="6:6">
      <c r="F1327" s="2423"/>
    </row>
    <row r="1328" s="101" customFormat="1" spans="6:6">
      <c r="F1328" s="2423"/>
    </row>
    <row r="1329" s="101" customFormat="1" spans="6:6">
      <c r="F1329" s="2423"/>
    </row>
    <row r="1330" s="101" customFormat="1" spans="6:6">
      <c r="F1330" s="2423"/>
    </row>
    <row r="1331" s="101" customFormat="1" spans="6:6">
      <c r="F1331" s="2423"/>
    </row>
    <row r="1332" s="101" customFormat="1" spans="6:6">
      <c r="F1332" s="2423"/>
    </row>
    <row r="1333" s="101" customFormat="1" spans="6:6">
      <c r="F1333" s="2423"/>
    </row>
    <row r="1334" s="101" customFormat="1" spans="6:6">
      <c r="F1334" s="2423"/>
    </row>
    <row r="1335" s="101" customFormat="1" spans="6:6">
      <c r="F1335" s="2423"/>
    </row>
    <row r="1336" s="101" customFormat="1" spans="6:6">
      <c r="F1336" s="2423"/>
    </row>
    <row r="1337" s="101" customFormat="1" spans="6:6">
      <c r="F1337" s="2423"/>
    </row>
    <row r="1338" s="101" customFormat="1" spans="6:6">
      <c r="F1338" s="2423"/>
    </row>
    <row r="1339" s="101" customFormat="1" spans="6:6">
      <c r="F1339" s="2423"/>
    </row>
    <row r="1340" s="101" customFormat="1" spans="6:6">
      <c r="F1340" s="2423"/>
    </row>
    <row r="1341" s="101" customFormat="1" spans="6:6">
      <c r="F1341" s="2423"/>
    </row>
    <row r="1342" s="101" customFormat="1" spans="6:6">
      <c r="F1342" s="2423"/>
    </row>
    <row r="1343" s="101" customFormat="1" spans="6:6">
      <c r="F1343" s="2423"/>
    </row>
    <row r="1344" s="101" customFormat="1" spans="6:6">
      <c r="F1344" s="2423"/>
    </row>
    <row r="1345" s="101" customFormat="1" spans="6:6">
      <c r="F1345" s="2423"/>
    </row>
    <row r="1346" s="101" customFormat="1" spans="6:6">
      <c r="F1346" s="2423"/>
    </row>
    <row r="1347" s="101" customFormat="1" spans="6:6">
      <c r="F1347" s="2423"/>
    </row>
    <row r="1348" s="101" customFormat="1" spans="6:6">
      <c r="F1348" s="2423"/>
    </row>
    <row r="1349" s="101" customFormat="1" spans="6:6">
      <c r="F1349" s="2423"/>
    </row>
    <row r="1350" s="101" customFormat="1" spans="6:6">
      <c r="F1350" s="2423"/>
    </row>
    <row r="1351" s="101" customFormat="1" spans="6:6">
      <c r="F1351" s="2423"/>
    </row>
    <row r="1352" s="101" customFormat="1" spans="6:6">
      <c r="F1352" s="2423"/>
    </row>
    <row r="1353" s="101" customFormat="1" spans="6:6">
      <c r="F1353" s="2423"/>
    </row>
    <row r="1354" s="101" customFormat="1" spans="6:6">
      <c r="F1354" s="2423"/>
    </row>
    <row r="1355" s="101" customFormat="1" spans="6:6">
      <c r="F1355" s="2423"/>
    </row>
    <row r="1356" s="101" customFormat="1" spans="6:6">
      <c r="F1356" s="2423"/>
    </row>
    <row r="1357" s="101" customFormat="1" spans="6:6">
      <c r="F1357" s="2423"/>
    </row>
    <row r="1358" s="101" customFormat="1" spans="6:6">
      <c r="F1358" s="2423"/>
    </row>
    <row r="1359" s="101" customFormat="1" spans="6:6">
      <c r="F1359" s="2423"/>
    </row>
    <row r="1360" s="101" customFormat="1" spans="6:6">
      <c r="F1360" s="2423"/>
    </row>
    <row r="1361" s="101" customFormat="1" spans="6:6">
      <c r="F1361" s="2423"/>
    </row>
    <row r="1362" s="101" customFormat="1" spans="6:6">
      <c r="F1362" s="2423"/>
    </row>
    <row r="1363" s="101" customFormat="1" spans="6:6">
      <c r="F1363" s="2423"/>
    </row>
    <row r="1364" s="101" customFormat="1" spans="6:6">
      <c r="F1364" s="2423"/>
    </row>
    <row r="1365" s="101" customFormat="1" spans="6:6">
      <c r="F1365" s="2423"/>
    </row>
    <row r="1366" s="101" customFormat="1" spans="6:6">
      <c r="F1366" s="2423"/>
    </row>
    <row r="1367" s="101" customFormat="1" spans="6:6">
      <c r="F1367" s="2423"/>
    </row>
    <row r="1368" s="101" customFormat="1" spans="6:6">
      <c r="F1368" s="2423"/>
    </row>
    <row r="1369" s="101" customFormat="1" spans="6:6">
      <c r="F1369" s="2423"/>
    </row>
    <row r="1370" s="101" customFormat="1" spans="6:6">
      <c r="F1370" s="2423"/>
    </row>
    <row r="1371" s="101" customFormat="1" spans="6:6">
      <c r="F1371" s="2423"/>
    </row>
    <row r="1372" s="101" customFormat="1" spans="6:6">
      <c r="F1372" s="2423"/>
    </row>
    <row r="1373" s="101" customFormat="1" spans="6:6">
      <c r="F1373" s="2423"/>
    </row>
    <row r="1374" s="101" customFormat="1" spans="6:6">
      <c r="F1374" s="2423"/>
    </row>
    <row r="1375" s="101" customFormat="1" spans="6:6">
      <c r="F1375" s="2423"/>
    </row>
    <row r="1376" s="101" customFormat="1" spans="6:6">
      <c r="F1376" s="2423"/>
    </row>
    <row r="1377" s="101" customFormat="1" spans="6:6">
      <c r="F1377" s="2423"/>
    </row>
    <row r="1378" s="101" customFormat="1" spans="6:6">
      <c r="F1378" s="2423"/>
    </row>
    <row r="1379" s="101" customFormat="1" spans="6:6">
      <c r="F1379" s="2423"/>
    </row>
    <row r="1380" s="101" customFormat="1" spans="6:6">
      <c r="F1380" s="2423"/>
    </row>
    <row r="1381" s="101" customFormat="1" spans="6:6">
      <c r="F1381" s="2423"/>
    </row>
    <row r="1382" s="101" customFormat="1" spans="6:6">
      <c r="F1382" s="2423"/>
    </row>
    <row r="1383" s="101" customFormat="1" spans="6:6">
      <c r="F1383" s="2423"/>
    </row>
    <row r="1384" s="101" customFormat="1" spans="6:6">
      <c r="F1384" s="2423"/>
    </row>
    <row r="1385" s="101" customFormat="1" spans="6:6">
      <c r="F1385" s="2423"/>
    </row>
    <row r="1386" s="101" customFormat="1" spans="6:6">
      <c r="F1386" s="2423"/>
    </row>
    <row r="1387" s="101" customFormat="1" spans="6:6">
      <c r="F1387" s="2423"/>
    </row>
    <row r="1388" s="101" customFormat="1" spans="6:6">
      <c r="F1388" s="2423"/>
    </row>
    <row r="1389" s="101" customFormat="1" spans="6:6">
      <c r="F1389" s="2423"/>
    </row>
    <row r="1390" s="101" customFormat="1" spans="6:6">
      <c r="F1390" s="2423"/>
    </row>
    <row r="1391" s="101" customFormat="1" spans="6:6">
      <c r="F1391" s="2423"/>
    </row>
    <row r="1392" s="101" customFormat="1" spans="6:6">
      <c r="F1392" s="2423"/>
    </row>
    <row r="1393" s="101" customFormat="1" spans="6:6">
      <c r="F1393" s="2423"/>
    </row>
    <row r="1394" s="101" customFormat="1" spans="6:6">
      <c r="F1394" s="2423"/>
    </row>
    <row r="1395" s="101" customFormat="1" spans="6:6">
      <c r="F1395" s="2423"/>
    </row>
    <row r="1396" s="101" customFormat="1" spans="6:6">
      <c r="F1396" s="2423"/>
    </row>
    <row r="1397" s="101" customFormat="1" spans="6:6">
      <c r="F1397" s="2423"/>
    </row>
    <row r="1398" s="101" customFormat="1" spans="6:6">
      <c r="F1398" s="2423"/>
    </row>
    <row r="1399" s="101" customFormat="1" spans="6:6">
      <c r="F1399" s="2423"/>
    </row>
    <row r="1400" s="101" customFormat="1" spans="6:6">
      <c r="F1400" s="2423"/>
    </row>
    <row r="1401" s="101" customFormat="1" spans="6:6">
      <c r="F1401" s="2423"/>
    </row>
    <row r="1402" s="101" customFormat="1" spans="6:6">
      <c r="F1402" s="2423"/>
    </row>
    <row r="1403" s="101" customFormat="1" spans="6:6">
      <c r="F1403" s="2423"/>
    </row>
    <row r="1404" s="101" customFormat="1" spans="6:6">
      <c r="F1404" s="2423"/>
    </row>
    <row r="1405" s="101" customFormat="1" spans="6:6">
      <c r="F1405" s="2423"/>
    </row>
    <row r="1406" s="101" customFormat="1" spans="6:6">
      <c r="F1406" s="2423"/>
    </row>
    <row r="1407" s="101" customFormat="1" spans="6:6">
      <c r="F1407" s="2423"/>
    </row>
    <row r="1408" s="101" customFormat="1" spans="6:6">
      <c r="F1408" s="2423"/>
    </row>
    <row r="1409" s="101" customFormat="1" spans="6:6">
      <c r="F1409" s="2423"/>
    </row>
    <row r="1410" s="101" customFormat="1" spans="6:6">
      <c r="F1410" s="2423"/>
    </row>
    <row r="1411" s="101" customFormat="1" spans="6:6">
      <c r="F1411" s="2423"/>
    </row>
    <row r="1412" s="101" customFormat="1" spans="6:6">
      <c r="F1412" s="2423"/>
    </row>
    <row r="1413" s="101" customFormat="1" spans="6:6">
      <c r="F1413" s="2423"/>
    </row>
    <row r="1414" s="101" customFormat="1" spans="6:6">
      <c r="F1414" s="2423"/>
    </row>
    <row r="1415" s="101" customFormat="1" spans="6:6">
      <c r="F1415" s="2423"/>
    </row>
    <row r="1416" s="101" customFormat="1" spans="6:6">
      <c r="F1416" s="2423"/>
    </row>
    <row r="1417" s="101" customFormat="1" spans="6:6">
      <c r="F1417" s="2423"/>
    </row>
    <row r="1418" s="101" customFormat="1" spans="6:6">
      <c r="F1418" s="2423"/>
    </row>
    <row r="1419" s="101" customFormat="1" spans="6:6">
      <c r="F1419" s="2423"/>
    </row>
    <row r="1420" s="101" customFormat="1" spans="6:6">
      <c r="F1420" s="2423"/>
    </row>
    <row r="1421" s="101" customFormat="1" spans="6:6">
      <c r="F1421" s="2423"/>
    </row>
    <row r="1422" s="101" customFormat="1" spans="6:6">
      <c r="F1422" s="2423"/>
    </row>
    <row r="1423" s="101" customFormat="1" spans="6:6">
      <c r="F1423" s="2423"/>
    </row>
    <row r="1424" s="101" customFormat="1" spans="6:6">
      <c r="F1424" s="2423"/>
    </row>
    <row r="1425" s="101" customFormat="1" spans="6:6">
      <c r="F1425" s="2423"/>
    </row>
    <row r="1426" s="101" customFormat="1" spans="6:6">
      <c r="F1426" s="2423"/>
    </row>
    <row r="1427" s="101" customFormat="1" spans="6:6">
      <c r="F1427" s="2423"/>
    </row>
    <row r="1428" s="101" customFormat="1" spans="6:6">
      <c r="F1428" s="2423"/>
    </row>
    <row r="1429" s="101" customFormat="1" spans="6:6">
      <c r="F1429" s="2423"/>
    </row>
    <row r="1430" s="101" customFormat="1" spans="6:6">
      <c r="F1430" s="2423"/>
    </row>
    <row r="1431" s="101" customFormat="1" spans="6:6">
      <c r="F1431" s="2423"/>
    </row>
    <row r="1432" s="101" customFormat="1" spans="6:6">
      <c r="F1432" s="2423"/>
    </row>
    <row r="1433" s="101" customFormat="1" spans="6:6">
      <c r="F1433" s="2423"/>
    </row>
    <row r="1434" s="101" customFormat="1" spans="6:6">
      <c r="F1434" s="2423"/>
    </row>
    <row r="1435" s="101" customFormat="1" spans="6:6">
      <c r="F1435" s="2423"/>
    </row>
    <row r="1436" s="101" customFormat="1" spans="6:6">
      <c r="F1436" s="2423"/>
    </row>
    <row r="1437" s="101" customFormat="1" spans="6:6">
      <c r="F1437" s="2423"/>
    </row>
    <row r="1438" s="101" customFormat="1" spans="6:6">
      <c r="F1438" s="2423"/>
    </row>
    <row r="1439" s="101" customFormat="1" spans="6:6">
      <c r="F1439" s="2423"/>
    </row>
    <row r="1440" s="101" customFormat="1" spans="6:6">
      <c r="F1440" s="2423"/>
    </row>
    <row r="1441" s="101" customFormat="1" spans="6:6">
      <c r="F1441" s="2423"/>
    </row>
    <row r="1442" s="101" customFormat="1" spans="6:6">
      <c r="F1442" s="2423"/>
    </row>
    <row r="1443" s="101" customFormat="1" spans="6:6">
      <c r="F1443" s="2423"/>
    </row>
    <row r="1444" s="101" customFormat="1" spans="6:6">
      <c r="F1444" s="2423"/>
    </row>
    <row r="1445" s="101" customFormat="1" spans="6:6">
      <c r="F1445" s="2423"/>
    </row>
    <row r="1446" s="101" customFormat="1" spans="6:6">
      <c r="F1446" s="2423"/>
    </row>
    <row r="1447" s="101" customFormat="1" spans="6:6">
      <c r="F1447" s="2423"/>
    </row>
    <row r="1448" s="101" customFormat="1" spans="6:6">
      <c r="F1448" s="2423"/>
    </row>
    <row r="1449" s="101" customFormat="1" spans="6:6">
      <c r="F1449" s="2423"/>
    </row>
    <row r="1450" s="101" customFormat="1" spans="6:6">
      <c r="F1450" s="2423"/>
    </row>
    <row r="1451" s="101" customFormat="1" spans="6:6">
      <c r="F1451" s="2423"/>
    </row>
    <row r="1452" s="101" customFormat="1" spans="6:6">
      <c r="F1452" s="2423"/>
    </row>
    <row r="1453" s="101" customFormat="1" spans="6:6">
      <c r="F1453" s="2423"/>
    </row>
    <row r="1454" s="101" customFormat="1" spans="6:6">
      <c r="F1454" s="2423"/>
    </row>
    <row r="1455" s="101" customFormat="1" spans="6:6">
      <c r="F1455" s="2423"/>
    </row>
    <row r="1456" s="101" customFormat="1" spans="6:6">
      <c r="F1456" s="2423"/>
    </row>
    <row r="1457" s="101" customFormat="1" spans="6:6">
      <c r="F1457" s="2423"/>
    </row>
    <row r="1458" s="101" customFormat="1" spans="6:6">
      <c r="F1458" s="2423"/>
    </row>
    <row r="1459" s="101" customFormat="1" spans="6:6">
      <c r="F1459" s="2423"/>
    </row>
    <row r="1460" s="101" customFormat="1" spans="6:6">
      <c r="F1460" s="2423"/>
    </row>
    <row r="1461" s="101" customFormat="1" spans="6:6">
      <c r="F1461" s="2423"/>
    </row>
    <row r="1462" s="101" customFormat="1" spans="6:6">
      <c r="F1462" s="2423"/>
    </row>
    <row r="1463" s="101" customFormat="1" spans="6:6">
      <c r="F1463" s="2423"/>
    </row>
    <row r="1464" s="101" customFormat="1" spans="6:6">
      <c r="F1464" s="2423"/>
    </row>
    <row r="1465" s="101" customFormat="1" spans="6:6">
      <c r="F1465" s="2423"/>
    </row>
    <row r="1466" s="101" customFormat="1" spans="6:6">
      <c r="F1466" s="2423"/>
    </row>
    <row r="1467" s="101" customFormat="1" spans="6:6">
      <c r="F1467" s="2423"/>
    </row>
    <row r="1468" s="101" customFormat="1" spans="6:6">
      <c r="F1468" s="2423"/>
    </row>
    <row r="1469" s="101" customFormat="1" spans="6:6">
      <c r="F1469" s="2423"/>
    </row>
    <row r="1470" s="101" customFormat="1" spans="6:6">
      <c r="F1470" s="2423"/>
    </row>
    <row r="1471" s="101" customFormat="1" spans="6:6">
      <c r="F1471" s="2423"/>
    </row>
    <row r="1472" s="101" customFormat="1" spans="6:6">
      <c r="F1472" s="2423"/>
    </row>
    <row r="1473" s="101" customFormat="1" spans="6:6">
      <c r="F1473" s="2423"/>
    </row>
    <row r="1474" s="101" customFormat="1" spans="6:6">
      <c r="F1474" s="2423"/>
    </row>
    <row r="1475" s="101" customFormat="1" spans="6:6">
      <c r="F1475" s="2423"/>
    </row>
    <row r="1476" s="101" customFormat="1" spans="6:6">
      <c r="F1476" s="2423"/>
    </row>
    <row r="1477" s="101" customFormat="1" spans="6:6">
      <c r="F1477" s="2423"/>
    </row>
    <row r="1478" s="101" customFormat="1" spans="6:6">
      <c r="F1478" s="2423"/>
    </row>
    <row r="1479" s="101" customFormat="1" spans="6:6">
      <c r="F1479" s="2423"/>
    </row>
    <row r="1480" s="101" customFormat="1" spans="6:6">
      <c r="F1480" s="2423"/>
    </row>
    <row r="1481" s="101" customFormat="1" spans="6:6">
      <c r="F1481" s="2423"/>
    </row>
    <row r="1482" s="101" customFormat="1" spans="6:6">
      <c r="F1482" s="2423"/>
    </row>
    <row r="1483" s="101" customFormat="1" spans="6:6">
      <c r="F1483" s="2423"/>
    </row>
    <row r="1484" s="101" customFormat="1" spans="6:6">
      <c r="F1484" s="2423"/>
    </row>
    <row r="1485" s="101" customFormat="1" spans="6:6">
      <c r="F1485" s="2423"/>
    </row>
    <row r="1486" s="101" customFormat="1" spans="6:6">
      <c r="F1486" s="2423"/>
    </row>
    <row r="1487" s="101" customFormat="1" spans="6:6">
      <c r="F1487" s="2423"/>
    </row>
    <row r="1488" s="101" customFormat="1" spans="6:6">
      <c r="F1488" s="2423"/>
    </row>
    <row r="1489" s="101" customFormat="1" spans="6:6">
      <c r="F1489" s="2423"/>
    </row>
    <row r="1490" s="101" customFormat="1" spans="6:6">
      <c r="F1490" s="2423"/>
    </row>
    <row r="1491" s="101" customFormat="1" spans="6:6">
      <c r="F1491" s="2423"/>
    </row>
    <row r="1492" s="101" customFormat="1" spans="6:6">
      <c r="F1492" s="2423"/>
    </row>
    <row r="1493" s="101" customFormat="1" spans="6:6">
      <c r="F1493" s="2423"/>
    </row>
    <row r="1494" s="101" customFormat="1" spans="6:6">
      <c r="F1494" s="2423"/>
    </row>
    <row r="1495" s="101" customFormat="1" spans="6:6">
      <c r="F1495" s="2423"/>
    </row>
    <row r="1496" s="101" customFormat="1" spans="6:6">
      <c r="F1496" s="2423"/>
    </row>
    <row r="1497" s="101" customFormat="1" spans="6:6">
      <c r="F1497" s="2423"/>
    </row>
    <row r="1498" s="101" customFormat="1" spans="6:6">
      <c r="F1498" s="2423"/>
    </row>
    <row r="1499" s="101" customFormat="1" spans="6:6">
      <c r="F1499" s="2423"/>
    </row>
    <row r="1500" s="101" customFormat="1" spans="6:6">
      <c r="F1500" s="2423"/>
    </row>
    <row r="1501" s="101" customFormat="1" spans="6:6">
      <c r="F1501" s="2423"/>
    </row>
    <row r="1502" s="101" customFormat="1" spans="6:6">
      <c r="F1502" s="2423"/>
    </row>
    <row r="1503" s="101" customFormat="1" spans="6:6">
      <c r="F1503" s="2423"/>
    </row>
    <row r="1504" s="101" customFormat="1" spans="6:6">
      <c r="F1504" s="2423"/>
    </row>
    <row r="1505" s="101" customFormat="1" spans="6:6">
      <c r="F1505" s="2423"/>
    </row>
    <row r="1506" s="101" customFormat="1" spans="6:6">
      <c r="F1506" s="2423"/>
    </row>
    <row r="1507" s="101" customFormat="1" spans="6:6">
      <c r="F1507" s="2423"/>
    </row>
    <row r="1508" s="101" customFormat="1" spans="6:6">
      <c r="F1508" s="2423"/>
    </row>
    <row r="1509" s="101" customFormat="1" spans="6:6">
      <c r="F1509" s="2423"/>
    </row>
    <row r="1510" s="101" customFormat="1" spans="6:6">
      <c r="F1510" s="2423"/>
    </row>
    <row r="1511" s="101" customFormat="1" spans="6:6">
      <c r="F1511" s="2423"/>
    </row>
    <row r="1512" s="101" customFormat="1" spans="6:6">
      <c r="F1512" s="2423"/>
    </row>
    <row r="1513" s="101" customFormat="1" spans="6:6">
      <c r="F1513" s="2423"/>
    </row>
    <row r="1514" s="101" customFormat="1" spans="6:6">
      <c r="F1514" s="2423"/>
    </row>
    <row r="1515" s="101" customFormat="1" spans="6:6">
      <c r="F1515" s="2423"/>
    </row>
    <row r="1516" s="101" customFormat="1" spans="6:6">
      <c r="F1516" s="2423"/>
    </row>
    <row r="1517" s="101" customFormat="1" spans="6:6">
      <c r="F1517" s="2423"/>
    </row>
    <row r="1518" s="101" customFormat="1" spans="6:6">
      <c r="F1518" s="2423"/>
    </row>
    <row r="1519" s="101" customFormat="1" spans="6:6">
      <c r="F1519" s="2423"/>
    </row>
    <row r="1520" s="101" customFormat="1" spans="6:6">
      <c r="F1520" s="2423"/>
    </row>
    <row r="1521" s="101" customFormat="1" spans="6:6">
      <c r="F1521" s="2423"/>
    </row>
    <row r="1522" s="101" customFormat="1" spans="6:6">
      <c r="F1522" s="2423"/>
    </row>
    <row r="1523" s="101" customFormat="1" spans="6:6">
      <c r="F1523" s="2423"/>
    </row>
    <row r="1524" s="101" customFormat="1" spans="6:6">
      <c r="F1524" s="2423"/>
    </row>
    <row r="1525" s="101" customFormat="1" spans="6:6">
      <c r="F1525" s="2423"/>
    </row>
    <row r="1526" s="101" customFormat="1" spans="6:6">
      <c r="F1526" s="2423"/>
    </row>
    <row r="1527" s="101" customFormat="1" spans="6:6">
      <c r="F1527" s="2423"/>
    </row>
    <row r="1528" s="101" customFormat="1" spans="6:6">
      <c r="F1528" s="2423"/>
    </row>
    <row r="1529" s="101" customFormat="1" spans="6:6">
      <c r="F1529" s="2423"/>
    </row>
    <row r="1530" s="101" customFormat="1" spans="6:6">
      <c r="F1530" s="2423"/>
    </row>
    <row r="1531" s="101" customFormat="1" spans="6:6">
      <c r="F1531" s="2423"/>
    </row>
    <row r="1532" s="101" customFormat="1" spans="6:6">
      <c r="F1532" s="2423"/>
    </row>
    <row r="1533" s="101" customFormat="1" spans="6:6">
      <c r="F1533" s="2423"/>
    </row>
    <row r="1534" s="101" customFormat="1" spans="6:6">
      <c r="F1534" s="2423"/>
    </row>
    <row r="1535" s="101" customFormat="1" spans="6:6">
      <c r="F1535" s="2423"/>
    </row>
    <row r="1536" s="101" customFormat="1" spans="6:6">
      <c r="F1536" s="2423"/>
    </row>
    <row r="1537" s="101" customFormat="1" spans="6:6">
      <c r="F1537" s="2423"/>
    </row>
    <row r="1538" s="101" customFormat="1" spans="6:6">
      <c r="F1538" s="2423"/>
    </row>
    <row r="1539" s="101" customFormat="1" spans="6:6">
      <c r="F1539" s="2423"/>
    </row>
    <row r="1540" s="101" customFormat="1" spans="6:6">
      <c r="F1540" s="2423"/>
    </row>
    <row r="1541" s="101" customFormat="1" spans="6:6">
      <c r="F1541" s="2423"/>
    </row>
    <row r="1542" s="101" customFormat="1" spans="6:6">
      <c r="F1542" s="2423"/>
    </row>
    <row r="1543" s="101" customFormat="1" spans="6:6">
      <c r="F1543" s="2423"/>
    </row>
    <row r="1544" s="101" customFormat="1" spans="6:6">
      <c r="F1544" s="2423"/>
    </row>
    <row r="1545" s="101" customFormat="1" spans="6:6">
      <c r="F1545" s="2423"/>
    </row>
    <row r="1546" s="101" customFormat="1" spans="6:6">
      <c r="F1546" s="2423"/>
    </row>
    <row r="1547" s="101" customFormat="1" spans="6:6">
      <c r="F1547" s="2423"/>
    </row>
    <row r="1548" s="101" customFormat="1" spans="6:6">
      <c r="F1548" s="2423"/>
    </row>
    <row r="1549" s="101" customFormat="1" spans="6:6">
      <c r="F1549" s="2423"/>
    </row>
    <row r="1550" s="101" customFormat="1" spans="6:6">
      <c r="F1550" s="2423"/>
    </row>
    <row r="1551" s="101" customFormat="1" spans="6:6">
      <c r="F1551" s="2423"/>
    </row>
    <row r="1552" s="101" customFormat="1" spans="6:6">
      <c r="F1552" s="2423"/>
    </row>
    <row r="1553" s="101" customFormat="1" spans="6:6">
      <c r="F1553" s="2423"/>
    </row>
    <row r="1554" s="101" customFormat="1" spans="6:6">
      <c r="F1554" s="2423"/>
    </row>
    <row r="1555" s="101" customFormat="1" spans="6:6">
      <c r="F1555" s="2423"/>
    </row>
    <row r="1556" s="101" customFormat="1" spans="6:6">
      <c r="F1556" s="2423"/>
    </row>
    <row r="1557" s="101" customFormat="1" spans="6:6">
      <c r="F1557" s="2423"/>
    </row>
    <row r="1558" s="101" customFormat="1" spans="6:6">
      <c r="F1558" s="2423"/>
    </row>
    <row r="1559" s="101" customFormat="1" spans="6:6">
      <c r="F1559" s="2423"/>
    </row>
    <row r="1560" s="101" customFormat="1" spans="6:6">
      <c r="F1560" s="2423"/>
    </row>
    <row r="1561" s="101" customFormat="1" spans="6:6">
      <c r="F1561" s="2423"/>
    </row>
    <row r="1562" s="101" customFormat="1" spans="6:6">
      <c r="F1562" s="2423"/>
    </row>
    <row r="1563" s="101" customFormat="1" spans="6:6">
      <c r="F1563" s="2423"/>
    </row>
    <row r="1564" s="101" customFormat="1" spans="6:6">
      <c r="F1564" s="2423"/>
    </row>
    <row r="1565" s="101" customFormat="1" spans="6:6">
      <c r="F1565" s="2423"/>
    </row>
    <row r="1566" s="101" customFormat="1" spans="6:6">
      <c r="F1566" s="2423"/>
    </row>
    <row r="1567" s="101" customFormat="1" spans="6:6">
      <c r="F1567" s="2423"/>
    </row>
    <row r="1568" s="101" customFormat="1" spans="6:6">
      <c r="F1568" s="2423"/>
    </row>
    <row r="1569" s="101" customFormat="1" spans="6:6">
      <c r="F1569" s="2423"/>
    </row>
    <row r="1570" s="101" customFormat="1" spans="6:6">
      <c r="F1570" s="2423"/>
    </row>
    <row r="1571" s="101" customFormat="1" spans="6:6">
      <c r="F1571" s="2423"/>
    </row>
    <row r="1572" s="101" customFormat="1" spans="6:6">
      <c r="F1572" s="2423"/>
    </row>
    <row r="1573" s="101" customFormat="1" spans="6:6">
      <c r="F1573" s="2423"/>
    </row>
    <row r="1574" s="101" customFormat="1" spans="6:6">
      <c r="F1574" s="2423"/>
    </row>
    <row r="1575" s="101" customFormat="1" spans="6:6">
      <c r="F1575" s="2423"/>
    </row>
    <row r="1576" s="101" customFormat="1" spans="6:6">
      <c r="F1576" s="2423"/>
    </row>
    <row r="1577" s="101" customFormat="1" spans="6:6">
      <c r="F1577" s="2423"/>
    </row>
    <row r="1578" s="101" customFormat="1" spans="6:6">
      <c r="F1578" s="2423"/>
    </row>
    <row r="1579" s="101" customFormat="1" spans="6:6">
      <c r="F1579" s="2423"/>
    </row>
    <row r="1580" s="101" customFormat="1" spans="6:6">
      <c r="F1580" s="2423"/>
    </row>
    <row r="1581" s="101" customFormat="1" spans="6:6">
      <c r="F1581" s="2423"/>
    </row>
    <row r="1582" s="101" customFormat="1" spans="6:6">
      <c r="F1582" s="2423"/>
    </row>
    <row r="1583" s="101" customFormat="1" spans="6:6">
      <c r="F1583" s="2423"/>
    </row>
    <row r="1584" s="101" customFormat="1" spans="6:6">
      <c r="F1584" s="2423"/>
    </row>
    <row r="1585" s="101" customFormat="1" spans="6:6">
      <c r="F1585" s="2423"/>
    </row>
    <row r="1586" s="101" customFormat="1" spans="6:6">
      <c r="F1586" s="2423"/>
    </row>
    <row r="1587" s="101" customFormat="1" spans="6:6">
      <c r="F1587" s="2423"/>
    </row>
    <row r="1588" s="101" customFormat="1" spans="6:6">
      <c r="F1588" s="2423"/>
    </row>
    <row r="1589" s="101" customFormat="1" spans="6:6">
      <c r="F1589" s="2423"/>
    </row>
    <row r="1590" s="101" customFormat="1" spans="6:6">
      <c r="F1590" s="2423"/>
    </row>
    <row r="1591" s="101" customFormat="1" spans="6:6">
      <c r="F1591" s="2423"/>
    </row>
    <row r="1592" s="101" customFormat="1" spans="6:6">
      <c r="F1592" s="2423"/>
    </row>
    <row r="1593" s="101" customFormat="1" spans="6:6">
      <c r="F1593" s="2423"/>
    </row>
    <row r="1594" s="101" customFormat="1" spans="6:6">
      <c r="F1594" s="2423"/>
    </row>
    <row r="1595" s="101" customFormat="1" spans="6:6">
      <c r="F1595" s="2423"/>
    </row>
    <row r="1596" s="101" customFormat="1" spans="6:6">
      <c r="F1596" s="2423"/>
    </row>
    <row r="1597" s="101" customFormat="1" spans="6:6">
      <c r="F1597" s="2423"/>
    </row>
    <row r="1598" s="101" customFormat="1" spans="6:6">
      <c r="F1598" s="2423"/>
    </row>
    <row r="1599" s="101" customFormat="1" spans="6:6">
      <c r="F1599" s="2423"/>
    </row>
    <row r="1600" s="101" customFormat="1" spans="6:6">
      <c r="F1600" s="2423"/>
    </row>
    <row r="1601" s="101" customFormat="1" spans="6:6">
      <c r="F1601" s="2423"/>
    </row>
    <row r="1602" s="101" customFormat="1" spans="6:6">
      <c r="F1602" s="2423"/>
    </row>
    <row r="1603" s="101" customFormat="1" spans="6:6">
      <c r="F1603" s="2423"/>
    </row>
    <row r="1604" s="101" customFormat="1" spans="6:6">
      <c r="F1604" s="2423"/>
    </row>
    <row r="1605" s="101" customFormat="1" spans="6:6">
      <c r="F1605" s="2423"/>
    </row>
    <row r="1606" s="101" customFormat="1" spans="6:6">
      <c r="F1606" s="2423"/>
    </row>
    <row r="1607" s="101" customFormat="1" spans="6:6">
      <c r="F1607" s="2423"/>
    </row>
    <row r="1608" s="101" customFormat="1" spans="6:6">
      <c r="F1608" s="2423"/>
    </row>
    <row r="1609" s="101" customFormat="1" spans="6:6">
      <c r="F1609" s="2423"/>
    </row>
    <row r="1610" s="101" customFormat="1" spans="6:6">
      <c r="F1610" s="2423"/>
    </row>
    <row r="1611" s="101" customFormat="1" spans="6:6">
      <c r="F1611" s="2423"/>
    </row>
    <row r="1612" s="101" customFormat="1" spans="6:6">
      <c r="F1612" s="2423"/>
    </row>
    <row r="1613" s="101" customFormat="1" spans="6:6">
      <c r="F1613" s="2423"/>
    </row>
    <row r="1614" s="101" customFormat="1" spans="6:6">
      <c r="F1614" s="2423"/>
    </row>
    <row r="1615" s="101" customFormat="1" spans="6:6">
      <c r="F1615" s="2423"/>
    </row>
    <row r="1616" s="101" customFormat="1" spans="6:6">
      <c r="F1616" s="2423"/>
    </row>
    <row r="1617" s="101" customFormat="1" spans="6:6">
      <c r="F1617" s="2423"/>
    </row>
    <row r="1618" s="101" customFormat="1" spans="6:6">
      <c r="F1618" s="2423"/>
    </row>
    <row r="1619" s="101" customFormat="1" spans="6:6">
      <c r="F1619" s="2423"/>
    </row>
    <row r="1620" s="101" customFormat="1" spans="6:6">
      <c r="F1620" s="2423"/>
    </row>
    <row r="1621" s="101" customFormat="1" spans="6:6">
      <c r="F1621" s="2423"/>
    </row>
    <row r="1622" s="101" customFormat="1" spans="6:6">
      <c r="F1622" s="2423"/>
    </row>
    <row r="1623" s="101" customFormat="1" spans="6:6">
      <c r="F1623" s="2423"/>
    </row>
    <row r="1624" s="101" customFormat="1" spans="6:6">
      <c r="F1624" s="2423"/>
    </row>
    <row r="1625" s="101" customFormat="1" spans="6:6">
      <c r="F1625" s="2423"/>
    </row>
    <row r="1626" s="101" customFormat="1" spans="6:6">
      <c r="F1626" s="2423"/>
    </row>
    <row r="1627" s="101" customFormat="1" spans="6:6">
      <c r="F1627" s="2423"/>
    </row>
    <row r="1628" s="101" customFormat="1" spans="6:6">
      <c r="F1628" s="2423"/>
    </row>
    <row r="1629" s="101" customFormat="1" spans="6:6">
      <c r="F1629" s="2423"/>
    </row>
    <row r="1630" s="101" customFormat="1" spans="6:6">
      <c r="F1630" s="2423"/>
    </row>
    <row r="1631" s="101" customFormat="1" spans="6:6">
      <c r="F1631" s="2423"/>
    </row>
    <row r="1632" s="101" customFormat="1" spans="6:6">
      <c r="F1632" s="2423"/>
    </row>
    <row r="1633" s="101" customFormat="1" spans="6:6">
      <c r="F1633" s="2423"/>
    </row>
    <row r="1634" s="101" customFormat="1" spans="6:6">
      <c r="F1634" s="2423"/>
    </row>
    <row r="1635" s="101" customFormat="1" spans="6:6">
      <c r="F1635" s="2423"/>
    </row>
    <row r="1636" s="101" customFormat="1" spans="6:6">
      <c r="F1636" s="2423"/>
    </row>
    <row r="1637" s="101" customFormat="1" spans="6:6">
      <c r="F1637" s="2423"/>
    </row>
    <row r="1638" s="101" customFormat="1" spans="6:6">
      <c r="F1638" s="2423"/>
    </row>
    <row r="1639" s="101" customFormat="1" spans="6:6">
      <c r="F1639" s="2423"/>
    </row>
    <row r="1640" s="101" customFormat="1" spans="6:6">
      <c r="F1640" s="2423"/>
    </row>
    <row r="1641" s="101" customFormat="1" spans="6:6">
      <c r="F1641" s="2423"/>
    </row>
    <row r="1642" s="101" customFormat="1" spans="6:6">
      <c r="F1642" s="2423"/>
    </row>
    <row r="1643" s="101" customFormat="1" spans="6:6">
      <c r="F1643" s="2423"/>
    </row>
    <row r="1644" s="101" customFormat="1" spans="6:6">
      <c r="F1644" s="2423"/>
    </row>
    <row r="1645" s="101" customFormat="1" spans="6:6">
      <c r="F1645" s="2423"/>
    </row>
    <row r="1646" s="101" customFormat="1" spans="6:6">
      <c r="F1646" s="2423"/>
    </row>
    <row r="1647" s="101" customFormat="1" spans="6:6">
      <c r="F1647" s="2423"/>
    </row>
    <row r="1648" s="101" customFormat="1" spans="6:6">
      <c r="F1648" s="2423"/>
    </row>
    <row r="1649" s="101" customFormat="1" spans="6:6">
      <c r="F1649" s="2423"/>
    </row>
    <row r="1650" s="101" customFormat="1" spans="6:6">
      <c r="F1650" s="2423"/>
    </row>
    <row r="1651" s="101" customFormat="1" spans="6:6">
      <c r="F1651" s="2423"/>
    </row>
    <row r="1652" s="101" customFormat="1" spans="6:6">
      <c r="F1652" s="2423"/>
    </row>
    <row r="1653" s="101" customFormat="1" spans="6:6">
      <c r="F1653" s="2423"/>
    </row>
    <row r="1654" s="101" customFormat="1" spans="6:6">
      <c r="F1654" s="2423"/>
    </row>
    <row r="1655" s="101" customFormat="1" spans="6:6">
      <c r="F1655" s="2423"/>
    </row>
    <row r="1656" s="101" customFormat="1" spans="6:6">
      <c r="F1656" s="2423"/>
    </row>
    <row r="1657" s="101" customFormat="1" spans="6:6">
      <c r="F1657" s="2423"/>
    </row>
    <row r="1658" s="101" customFormat="1" spans="6:6">
      <c r="F1658" s="2423"/>
    </row>
    <row r="1659" s="101" customFormat="1" spans="6:6">
      <c r="F1659" s="2423"/>
    </row>
    <row r="1660" s="101" customFormat="1" spans="6:6">
      <c r="F1660" s="2423"/>
    </row>
    <row r="1661" s="101" customFormat="1" spans="6:6">
      <c r="F1661" s="2423"/>
    </row>
    <row r="1662" s="101" customFormat="1" spans="6:6">
      <c r="F1662" s="2423"/>
    </row>
    <row r="1663" s="101" customFormat="1" spans="6:6">
      <c r="F1663" s="2423"/>
    </row>
    <row r="1664" s="101" customFormat="1" spans="6:6">
      <c r="F1664" s="2423"/>
    </row>
    <row r="1665" s="101" customFormat="1" spans="6:6">
      <c r="F1665" s="2423"/>
    </row>
    <row r="1666" s="101" customFormat="1" spans="6:6">
      <c r="F1666" s="2423"/>
    </row>
    <row r="1667" s="101" customFormat="1" spans="6:6">
      <c r="F1667" s="2423"/>
    </row>
    <row r="1668" s="101" customFormat="1" spans="6:6">
      <c r="F1668" s="2423"/>
    </row>
    <row r="1669" s="101" customFormat="1" spans="6:6">
      <c r="F1669" s="2423"/>
    </row>
    <row r="1670" s="101" customFormat="1" spans="6:6">
      <c r="F1670" s="2423"/>
    </row>
    <row r="1671" s="101" customFormat="1" spans="6:6">
      <c r="F1671" s="2423"/>
    </row>
    <row r="1672" s="101" customFormat="1" spans="6:6">
      <c r="F1672" s="2423"/>
    </row>
    <row r="1673" s="101" customFormat="1" spans="6:6">
      <c r="F1673" s="2423"/>
    </row>
    <row r="1674" s="101" customFormat="1" spans="6:6">
      <c r="F1674" s="2423"/>
    </row>
    <row r="1675" s="101" customFormat="1" spans="6:6">
      <c r="F1675" s="2423"/>
    </row>
    <row r="1676" s="101" customFormat="1" spans="6:6">
      <c r="F1676" s="2423"/>
    </row>
    <row r="1677" s="101" customFormat="1" spans="6:6">
      <c r="F1677" s="2423"/>
    </row>
    <row r="1678" s="101" customFormat="1" spans="6:6">
      <c r="F1678" s="2423"/>
    </row>
    <row r="1679" s="101" customFormat="1" spans="6:6">
      <c r="F1679" s="2423"/>
    </row>
    <row r="1680" s="101" customFormat="1" spans="6:6">
      <c r="F1680" s="2423"/>
    </row>
    <row r="1681" s="101" customFormat="1" spans="6:6">
      <c r="F1681" s="2423"/>
    </row>
    <row r="1682" s="101" customFormat="1" spans="6:6">
      <c r="F1682" s="2423"/>
    </row>
    <row r="1683" s="101" customFormat="1" spans="6:6">
      <c r="F1683" s="2423"/>
    </row>
    <row r="1684" s="101" customFormat="1" spans="6:6">
      <c r="F1684" s="2423"/>
    </row>
    <row r="1685" s="101" customFormat="1" spans="6:6">
      <c r="F1685" s="2423"/>
    </row>
    <row r="1686" s="101" customFormat="1" spans="6:6">
      <c r="F1686" s="2423"/>
    </row>
    <row r="1687" s="101" customFormat="1" spans="6:6">
      <c r="F1687" s="2423"/>
    </row>
    <row r="1688" s="101" customFormat="1" spans="6:6">
      <c r="F1688" s="2423"/>
    </row>
    <row r="1689" s="101" customFormat="1" spans="6:6">
      <c r="F1689" s="2423"/>
    </row>
    <row r="1690" s="101" customFormat="1" spans="6:6">
      <c r="F1690" s="2423"/>
    </row>
    <row r="1691" s="101" customFormat="1" spans="6:6">
      <c r="F1691" s="2423"/>
    </row>
    <row r="1692" s="101" customFormat="1" spans="6:6">
      <c r="F1692" s="2423"/>
    </row>
    <row r="1693" s="101" customFormat="1" spans="6:6">
      <c r="F1693" s="2423"/>
    </row>
    <row r="1694" s="101" customFormat="1" spans="6:6">
      <c r="F1694" s="2423"/>
    </row>
    <row r="1695" s="101" customFormat="1" spans="6:6">
      <c r="F1695" s="2423"/>
    </row>
    <row r="1696" s="101" customFormat="1" spans="6:6">
      <c r="F1696" s="2423"/>
    </row>
    <row r="1697" s="101" customFormat="1" spans="6:6">
      <c r="F1697" s="2423"/>
    </row>
    <row r="1698" s="101" customFormat="1" spans="6:6">
      <c r="F1698" s="2423"/>
    </row>
    <row r="1699" s="101" customFormat="1" spans="6:6">
      <c r="F1699" s="2423"/>
    </row>
    <row r="1700" s="101" customFormat="1" spans="6:6">
      <c r="F1700" s="2423"/>
    </row>
    <row r="1701" s="101" customFormat="1" spans="6:6">
      <c r="F1701" s="2423"/>
    </row>
    <row r="1702" s="101" customFormat="1" spans="6:6">
      <c r="F1702" s="2423"/>
    </row>
    <row r="1703" s="101" customFormat="1" spans="6:6">
      <c r="F1703" s="2423"/>
    </row>
    <row r="1704" s="101" customFormat="1" spans="6:6">
      <c r="F1704" s="2423"/>
    </row>
    <row r="1705" s="101" customFormat="1" spans="6:6">
      <c r="F1705" s="2423"/>
    </row>
    <row r="1706" s="101" customFormat="1" spans="6:6">
      <c r="F1706" s="2423"/>
    </row>
    <row r="1707" s="101" customFormat="1" spans="6:6">
      <c r="F1707" s="2423"/>
    </row>
    <row r="1708" s="101" customFormat="1" spans="6:6">
      <c r="F1708" s="2423"/>
    </row>
    <row r="1709" s="101" customFormat="1" spans="6:6">
      <c r="F1709" s="2423"/>
    </row>
    <row r="1710" s="101" customFormat="1" spans="6:6">
      <c r="F1710" s="2423"/>
    </row>
    <row r="1711" s="101" customFormat="1" spans="6:6">
      <c r="F1711" s="2423"/>
    </row>
    <row r="1712" s="101" customFormat="1" spans="6:6">
      <c r="F1712" s="2423"/>
    </row>
    <row r="1713" s="101" customFormat="1" spans="6:6">
      <c r="F1713" s="2423"/>
    </row>
    <row r="1714" s="101" customFormat="1" spans="6:6">
      <c r="F1714" s="2423"/>
    </row>
    <row r="1715" s="101" customFormat="1" spans="6:6">
      <c r="F1715" s="2423"/>
    </row>
    <row r="1716" s="101" customFormat="1" spans="6:6">
      <c r="F1716" s="2423"/>
    </row>
    <row r="1717" s="101" customFormat="1" spans="6:6">
      <c r="F1717" s="2423"/>
    </row>
    <row r="1718" s="101" customFormat="1" spans="6:6">
      <c r="F1718" s="2423"/>
    </row>
    <row r="1719" s="101" customFormat="1" spans="6:6">
      <c r="F1719" s="2423"/>
    </row>
    <row r="1720" s="101" customFormat="1" spans="6:6">
      <c r="F1720" s="2423"/>
    </row>
    <row r="1721" s="101" customFormat="1" spans="6:6">
      <c r="F1721" s="2423"/>
    </row>
    <row r="1722" s="101" customFormat="1" spans="6:6">
      <c r="F1722" s="2423"/>
    </row>
    <row r="1723" s="101" customFormat="1" spans="6:6">
      <c r="F1723" s="2423"/>
    </row>
    <row r="1724" s="101" customFormat="1" spans="6:6">
      <c r="F1724" s="2423"/>
    </row>
    <row r="1725" s="101" customFormat="1" spans="6:6">
      <c r="F1725" s="2423"/>
    </row>
    <row r="1726" s="101" customFormat="1" spans="6:6">
      <c r="F1726" s="2423"/>
    </row>
    <row r="1727" s="101" customFormat="1" spans="6:6">
      <c r="F1727" s="2423"/>
    </row>
    <row r="1728" s="101" customFormat="1" spans="6:6">
      <c r="F1728" s="2423"/>
    </row>
    <row r="1729" s="101" customFormat="1" spans="6:6">
      <c r="F1729" s="2423"/>
    </row>
    <row r="1730" s="101" customFormat="1" spans="6:6">
      <c r="F1730" s="2423"/>
    </row>
    <row r="1731" s="101" customFormat="1" spans="6:6">
      <c r="F1731" s="2423"/>
    </row>
    <row r="1732" s="101" customFormat="1" spans="6:6">
      <c r="F1732" s="2423"/>
    </row>
    <row r="1733" s="101" customFormat="1" spans="6:6">
      <c r="F1733" s="2423"/>
    </row>
    <row r="1734" s="101" customFormat="1" spans="6:6">
      <c r="F1734" s="2423"/>
    </row>
    <row r="1735" s="101" customFormat="1" spans="6:6">
      <c r="F1735" s="2423"/>
    </row>
    <row r="1736" s="101" customFormat="1" spans="6:6">
      <c r="F1736" s="2423"/>
    </row>
    <row r="1737" s="101" customFormat="1" spans="6:6">
      <c r="F1737" s="2423"/>
    </row>
    <row r="1738" s="101" customFormat="1" spans="6:6">
      <c r="F1738" s="2423"/>
    </row>
    <row r="1739" s="101" customFormat="1" spans="6:6">
      <c r="F1739" s="2423"/>
    </row>
    <row r="1740" s="101" customFormat="1" spans="6:6">
      <c r="F1740" s="2423"/>
    </row>
    <row r="1741" s="101" customFormat="1" spans="6:6">
      <c r="F1741" s="2423"/>
    </row>
    <row r="1742" s="101" customFormat="1" spans="6:6">
      <c r="F1742" s="2423"/>
    </row>
    <row r="1743" s="101" customFormat="1" spans="6:6">
      <c r="F1743" s="2423"/>
    </row>
    <row r="1744" s="101" customFormat="1" spans="6:6">
      <c r="F1744" s="2423"/>
    </row>
    <row r="1745" s="101" customFormat="1" spans="6:6">
      <c r="F1745" s="2423"/>
    </row>
    <row r="1746" s="101" customFormat="1" spans="6:6">
      <c r="F1746" s="2423"/>
    </row>
    <row r="1747" s="101" customFormat="1" spans="6:6">
      <c r="F1747" s="2423"/>
    </row>
    <row r="1748" s="101" customFormat="1" spans="6:6">
      <c r="F1748" s="2423"/>
    </row>
    <row r="1749" s="101" customFormat="1" spans="6:6">
      <c r="F1749" s="2423"/>
    </row>
    <row r="1750" s="101" customFormat="1" spans="6:6">
      <c r="F1750" s="2423"/>
    </row>
    <row r="1751" s="101" customFormat="1" spans="6:6">
      <c r="F1751" s="2423"/>
    </row>
    <row r="1752" s="101" customFormat="1" spans="6:6">
      <c r="F1752" s="2423"/>
    </row>
    <row r="1753" s="101" customFormat="1" spans="6:6">
      <c r="F1753" s="2423"/>
    </row>
    <row r="1754" s="101" customFormat="1" spans="6:6">
      <c r="F1754" s="2423"/>
    </row>
    <row r="1755" s="101" customFormat="1" spans="6:6">
      <c r="F1755" s="2423"/>
    </row>
    <row r="1756" s="101" customFormat="1" spans="6:6">
      <c r="F1756" s="2423"/>
    </row>
    <row r="1757" s="101" customFormat="1" spans="6:6">
      <c r="F1757" s="2423"/>
    </row>
    <row r="1758" s="101" customFormat="1" spans="6:6">
      <c r="F1758" s="2423"/>
    </row>
    <row r="1759" s="101" customFormat="1" spans="6:6">
      <c r="F1759" s="2423"/>
    </row>
    <row r="1760" s="101" customFormat="1" spans="6:6">
      <c r="F1760" s="2423"/>
    </row>
    <row r="1761" s="101" customFormat="1" spans="6:6">
      <c r="F1761" s="2423"/>
    </row>
    <row r="1762" s="101" customFormat="1" spans="6:6">
      <c r="F1762" s="2423"/>
    </row>
    <row r="1763" s="101" customFormat="1" spans="6:6">
      <c r="F1763" s="2423"/>
    </row>
    <row r="1764" s="101" customFormat="1" spans="6:6">
      <c r="F1764" s="2423"/>
    </row>
    <row r="1765" s="101" customFormat="1" spans="6:6">
      <c r="F1765" s="2423"/>
    </row>
    <row r="1766" s="101" customFormat="1" spans="6:6">
      <c r="F1766" s="2423"/>
    </row>
    <row r="1767" s="101" customFormat="1" spans="6:6">
      <c r="F1767" s="2423"/>
    </row>
    <row r="1768" s="101" customFormat="1" spans="6:6">
      <c r="F1768" s="2423"/>
    </row>
    <row r="1769" s="101" customFormat="1" spans="6:6">
      <c r="F1769" s="2423"/>
    </row>
    <row r="1770" s="101" customFormat="1" spans="6:6">
      <c r="F1770" s="2423"/>
    </row>
    <row r="1771" s="101" customFormat="1" spans="6:6">
      <c r="F1771" s="2423"/>
    </row>
    <row r="1772" s="101" customFormat="1" spans="6:6">
      <c r="F1772" s="2423"/>
    </row>
    <row r="1773" s="101" customFormat="1" spans="6:6">
      <c r="F1773" s="2423"/>
    </row>
    <row r="1774" s="101" customFormat="1" spans="6:6">
      <c r="F1774" s="2423"/>
    </row>
    <row r="1775" s="101" customFormat="1" spans="6:6">
      <c r="F1775" s="2423"/>
    </row>
    <row r="1776" s="101" customFormat="1" spans="6:6">
      <c r="F1776" s="2423"/>
    </row>
    <row r="1777" s="101" customFormat="1" spans="6:6">
      <c r="F1777" s="2423"/>
    </row>
    <row r="1778" s="101" customFormat="1" spans="6:6">
      <c r="F1778" s="2423"/>
    </row>
    <row r="1779" s="101" customFormat="1" spans="6:6">
      <c r="F1779" s="2423"/>
    </row>
    <row r="1780" s="101" customFormat="1" spans="6:6">
      <c r="F1780" s="2423"/>
    </row>
    <row r="1781" s="101" customFormat="1" spans="6:6">
      <c r="F1781" s="2423"/>
    </row>
    <row r="1782" s="101" customFormat="1" spans="6:6">
      <c r="F1782" s="2423"/>
    </row>
    <row r="1783" s="101" customFormat="1" spans="6:6">
      <c r="F1783" s="2423"/>
    </row>
    <row r="1784" s="101" customFormat="1" spans="6:6">
      <c r="F1784" s="2423"/>
    </row>
    <row r="1785" s="101" customFormat="1" spans="6:6">
      <c r="F1785" s="2423"/>
    </row>
    <row r="1786" s="101" customFormat="1" spans="6:6">
      <c r="F1786" s="2423"/>
    </row>
    <row r="1787" s="101" customFormat="1" spans="6:6">
      <c r="F1787" s="2423"/>
    </row>
    <row r="1788" s="101" customFormat="1" spans="6:6">
      <c r="F1788" s="2423"/>
    </row>
    <row r="1789" s="101" customFormat="1" spans="6:6">
      <c r="F1789" s="2423"/>
    </row>
    <row r="1790" s="101" customFormat="1" spans="6:6">
      <c r="F1790" s="2423"/>
    </row>
    <row r="1791" s="101" customFormat="1" spans="6:6">
      <c r="F1791" s="2423"/>
    </row>
    <row r="1792" s="101" customFormat="1" spans="6:6">
      <c r="F1792" s="2423"/>
    </row>
    <row r="1793" s="101" customFormat="1" spans="6:6">
      <c r="F1793" s="2423"/>
    </row>
    <row r="1794" s="101" customFormat="1" spans="6:6">
      <c r="F1794" s="2423"/>
    </row>
    <row r="1795" s="101" customFormat="1" spans="6:6">
      <c r="F1795" s="2423"/>
    </row>
    <row r="1796" s="101" customFormat="1" spans="6:6">
      <c r="F1796" s="2423"/>
    </row>
    <row r="1797" s="101" customFormat="1" spans="6:6">
      <c r="F1797" s="2423"/>
    </row>
    <row r="1798" s="101" customFormat="1" spans="6:6">
      <c r="F1798" s="2423"/>
    </row>
    <row r="1799" s="101" customFormat="1" spans="6:6">
      <c r="F1799" s="2423"/>
    </row>
    <row r="1800" s="101" customFormat="1" spans="6:6">
      <c r="F1800" s="2423"/>
    </row>
    <row r="1801" s="101" customFormat="1" spans="6:6">
      <c r="F1801" s="2423"/>
    </row>
    <row r="1802" s="101" customFormat="1" spans="6:6">
      <c r="F1802" s="2423"/>
    </row>
    <row r="1803" s="101" customFormat="1" spans="6:6">
      <c r="F1803" s="2423"/>
    </row>
    <row r="1804" s="101" customFormat="1" spans="6:6">
      <c r="F1804" s="2423"/>
    </row>
    <row r="1805" s="101" customFormat="1" spans="6:6">
      <c r="F1805" s="2423"/>
    </row>
    <row r="1806" s="101" customFormat="1" spans="6:6">
      <c r="F1806" s="2423"/>
    </row>
    <row r="1807" s="101" customFormat="1" spans="6:6">
      <c r="F1807" s="2423"/>
    </row>
    <row r="1808" s="101" customFormat="1" spans="6:6">
      <c r="F1808" s="2423"/>
    </row>
    <row r="1809" s="101" customFormat="1" spans="6:6">
      <c r="F1809" s="2423"/>
    </row>
    <row r="1810" s="101" customFormat="1" spans="6:6">
      <c r="F1810" s="2423"/>
    </row>
    <row r="1811" s="101" customFormat="1" spans="6:6">
      <c r="F1811" s="2423"/>
    </row>
    <row r="1812" s="101" customFormat="1" spans="6:6">
      <c r="F1812" s="2423"/>
    </row>
    <row r="1813" s="101" customFormat="1" spans="6:6">
      <c r="F1813" s="2423"/>
    </row>
    <row r="1814" s="101" customFormat="1" spans="6:6">
      <c r="F1814" s="2423"/>
    </row>
    <row r="1815" s="101" customFormat="1" spans="6:6">
      <c r="F1815" s="2423"/>
    </row>
    <row r="1816" s="101" customFormat="1" spans="6:6">
      <c r="F1816" s="2423"/>
    </row>
    <row r="1817" s="101" customFormat="1" spans="6:6">
      <c r="F1817" s="2423"/>
    </row>
    <row r="1818" s="101" customFormat="1" spans="6:6">
      <c r="F1818" s="2423"/>
    </row>
    <row r="1819" s="101" customFormat="1" spans="6:6">
      <c r="F1819" s="2423"/>
    </row>
    <row r="1820" s="101" customFormat="1" spans="6:6">
      <c r="F1820" s="2423"/>
    </row>
    <row r="1821" s="101" customFormat="1" spans="6:6">
      <c r="F1821" s="2423"/>
    </row>
    <row r="1822" s="101" customFormat="1" spans="6:6">
      <c r="F1822" s="2423"/>
    </row>
    <row r="1823" s="101" customFormat="1" spans="6:6">
      <c r="F1823" s="2423"/>
    </row>
    <row r="1824" s="101" customFormat="1" spans="6:6">
      <c r="F1824" s="2423"/>
    </row>
    <row r="1825" s="101" customFormat="1" spans="6:6">
      <c r="F1825" s="2423"/>
    </row>
    <row r="1826" s="101" customFormat="1" spans="6:6">
      <c r="F1826" s="2423"/>
    </row>
    <row r="1827" s="101" customFormat="1" spans="6:6">
      <c r="F1827" s="2423"/>
    </row>
    <row r="1828" s="101" customFormat="1" spans="6:6">
      <c r="F1828" s="2423"/>
    </row>
    <row r="1829" s="101" customFormat="1" spans="6:6">
      <c r="F1829" s="2423"/>
    </row>
    <row r="1830" s="101" customFormat="1" spans="6:6">
      <c r="F1830" s="2423"/>
    </row>
    <row r="1831" s="101" customFormat="1" spans="6:6">
      <c r="F1831" s="2423"/>
    </row>
    <row r="1832" s="101" customFormat="1" spans="6:6">
      <c r="F1832" s="2423"/>
    </row>
    <row r="1833" s="101" customFormat="1" spans="6:6">
      <c r="F1833" s="2423"/>
    </row>
    <row r="1834" s="101" customFormat="1" spans="6:6">
      <c r="F1834" s="2423"/>
    </row>
    <row r="1835" s="101" customFormat="1" spans="6:6">
      <c r="F1835" s="2423"/>
    </row>
    <row r="1836" s="101" customFormat="1" spans="6:6">
      <c r="F1836" s="2423"/>
    </row>
    <row r="1837" s="101" customFormat="1" spans="6:6">
      <c r="F1837" s="2423"/>
    </row>
    <row r="1838" s="101" customFormat="1" spans="6:6">
      <c r="F1838" s="2423"/>
    </row>
    <row r="1839" s="101" customFormat="1" spans="6:6">
      <c r="F1839" s="2423"/>
    </row>
    <row r="1840" s="101" customFormat="1" spans="6:6">
      <c r="F1840" s="2423"/>
    </row>
    <row r="1841" s="101" customFormat="1" spans="6:6">
      <c r="F1841" s="2423"/>
    </row>
    <row r="1842" s="101" customFormat="1" spans="6:6">
      <c r="F1842" s="2423"/>
    </row>
    <row r="1843" s="101" customFormat="1" spans="6:6">
      <c r="F1843" s="2423"/>
    </row>
    <row r="1844" s="101" customFormat="1" spans="6:6">
      <c r="F1844" s="2423"/>
    </row>
    <row r="1845" s="101" customFormat="1" spans="6:6">
      <c r="F1845" s="2423"/>
    </row>
    <row r="1846" s="101" customFormat="1" spans="6:6">
      <c r="F1846" s="2423"/>
    </row>
    <row r="1847" s="101" customFormat="1" spans="6:6">
      <c r="F1847" s="2423"/>
    </row>
    <row r="1848" s="101" customFormat="1" spans="6:6">
      <c r="F1848" s="2423"/>
    </row>
    <row r="1849" s="101" customFormat="1" spans="6:6">
      <c r="F1849" s="2423"/>
    </row>
    <row r="1850" s="101" customFormat="1" spans="6:6">
      <c r="F1850" s="2423"/>
    </row>
    <row r="1851" s="101" customFormat="1" spans="6:6">
      <c r="F1851" s="2423"/>
    </row>
    <row r="1852" s="101" customFormat="1" spans="6:6">
      <c r="F1852" s="2423"/>
    </row>
    <row r="1853" s="101" customFormat="1" spans="6:6">
      <c r="F1853" s="2423"/>
    </row>
    <row r="1854" s="101" customFormat="1" spans="6:6">
      <c r="F1854" s="2423"/>
    </row>
    <row r="1855" s="101" customFormat="1" spans="6:6">
      <c r="F1855" s="2423"/>
    </row>
    <row r="1856" s="101" customFormat="1" spans="6:6">
      <c r="F1856" s="2423"/>
    </row>
    <row r="1857" s="101" customFormat="1" spans="6:6">
      <c r="F1857" s="2423"/>
    </row>
    <row r="1858" s="101" customFormat="1" spans="6:6">
      <c r="F1858" s="2423"/>
    </row>
    <row r="1859" s="101" customFormat="1" spans="6:6">
      <c r="F1859" s="2423"/>
    </row>
    <row r="1860" s="101" customFormat="1" spans="6:6">
      <c r="F1860" s="2423"/>
    </row>
    <row r="1861" s="101" customFormat="1" spans="6:6">
      <c r="F1861" s="2423"/>
    </row>
    <row r="1862" s="101" customFormat="1" spans="6:6">
      <c r="F1862" s="2423"/>
    </row>
    <row r="1863" s="101" customFormat="1" spans="6:6">
      <c r="F1863" s="2423"/>
    </row>
    <row r="1864" s="101" customFormat="1" spans="6:6">
      <c r="F1864" s="2423"/>
    </row>
    <row r="1865" s="101" customFormat="1" spans="6:6">
      <c r="F1865" s="2423"/>
    </row>
    <row r="1866" s="101" customFormat="1" spans="6:6">
      <c r="F1866" s="2423"/>
    </row>
    <row r="1867" s="101" customFormat="1" spans="6:6">
      <c r="F1867" s="2423"/>
    </row>
    <row r="1868" s="101" customFormat="1" spans="6:6">
      <c r="F1868" s="2423"/>
    </row>
    <row r="1869" s="101" customFormat="1" spans="6:6">
      <c r="F1869" s="2423"/>
    </row>
    <row r="1870" s="101" customFormat="1" spans="6:6">
      <c r="F1870" s="2423"/>
    </row>
    <row r="1871" s="101" customFormat="1" spans="6:6">
      <c r="F1871" s="2423"/>
    </row>
    <row r="1872" s="101" customFormat="1" spans="6:6">
      <c r="F1872" s="2423"/>
    </row>
    <row r="1873" s="101" customFormat="1" spans="6:6">
      <c r="F1873" s="2423"/>
    </row>
    <row r="1874" s="101" customFormat="1" spans="6:6">
      <c r="F1874" s="2423"/>
    </row>
    <row r="1875" s="101" customFormat="1" spans="6:6">
      <c r="F1875" s="2423"/>
    </row>
    <row r="1876" s="101" customFormat="1" spans="6:6">
      <c r="F1876" s="2423"/>
    </row>
    <row r="1877" s="101" customFormat="1" spans="6:6">
      <c r="F1877" s="2423"/>
    </row>
    <row r="1878" s="101" customFormat="1" spans="6:6">
      <c r="F1878" s="2423"/>
    </row>
    <row r="1879" s="101" customFormat="1" spans="6:6">
      <c r="F1879" s="2423"/>
    </row>
    <row r="1880" s="101" customFormat="1" spans="6:6">
      <c r="F1880" s="2423"/>
    </row>
    <row r="1881" s="101" customFormat="1" spans="6:6">
      <c r="F1881" s="2423"/>
    </row>
    <row r="1882" s="101" customFormat="1" spans="6:6">
      <c r="F1882" s="2423"/>
    </row>
    <row r="1883" s="101" customFormat="1" spans="6:6">
      <c r="F1883" s="2423"/>
    </row>
    <row r="1884" s="101" customFormat="1" spans="6:6">
      <c r="F1884" s="2423"/>
    </row>
    <row r="1885" s="101" customFormat="1" spans="6:6">
      <c r="F1885" s="2423"/>
    </row>
    <row r="1886" s="101" customFormat="1" spans="6:6">
      <c r="F1886" s="2423"/>
    </row>
    <row r="1887" s="101" customFormat="1" spans="6:6">
      <c r="F1887" s="2423"/>
    </row>
    <row r="1888" s="101" customFormat="1" spans="6:6">
      <c r="F1888" s="2423"/>
    </row>
    <row r="1889" s="101" customFormat="1" spans="6:6">
      <c r="F1889" s="2423"/>
    </row>
    <row r="1890" s="101" customFormat="1" spans="6:6">
      <c r="F1890" s="2423"/>
    </row>
    <row r="1891" s="101" customFormat="1" spans="6:6">
      <c r="F1891" s="2423"/>
    </row>
    <row r="1892" s="101" customFormat="1" spans="6:6">
      <c r="F1892" s="2423"/>
    </row>
    <row r="1893" s="101" customFormat="1" spans="6:6">
      <c r="F1893" s="2423"/>
    </row>
    <row r="1894" s="101" customFormat="1" spans="6:6">
      <c r="F1894" s="2423"/>
    </row>
    <row r="1895" s="101" customFormat="1" spans="6:6">
      <c r="F1895" s="2423"/>
    </row>
    <row r="1896" s="101" customFormat="1" spans="6:6">
      <c r="F1896" s="2423"/>
    </row>
    <row r="1897" s="101" customFormat="1" spans="6:6">
      <c r="F1897" s="2423"/>
    </row>
    <row r="1898" s="101" customFormat="1" spans="6:6">
      <c r="F1898" s="2423"/>
    </row>
    <row r="1899" s="101" customFormat="1" spans="6:6">
      <c r="F1899" s="2423"/>
    </row>
    <row r="1900" s="101" customFormat="1" spans="6:6">
      <c r="F1900" s="2423"/>
    </row>
    <row r="1901" s="101" customFormat="1" spans="6:6">
      <c r="F1901" s="2423"/>
    </row>
    <row r="1902" s="101" customFormat="1" spans="6:6">
      <c r="F1902" s="2423"/>
    </row>
    <row r="1903" s="101" customFormat="1" spans="6:6">
      <c r="F1903" s="2423"/>
    </row>
    <row r="1904" s="101" customFormat="1" spans="6:6">
      <c r="F1904" s="2423"/>
    </row>
    <row r="1905" s="101" customFormat="1" spans="6:6">
      <c r="F1905" s="2423"/>
    </row>
    <row r="1906" s="101" customFormat="1" spans="6:6">
      <c r="F1906" s="2423"/>
    </row>
    <row r="1907" s="101" customFormat="1" spans="6:6">
      <c r="F1907" s="2423"/>
    </row>
    <row r="1908" s="101" customFormat="1" spans="6:6">
      <c r="F1908" s="2423"/>
    </row>
    <row r="1909" s="101" customFormat="1" spans="6:6">
      <c r="F1909" s="2423"/>
    </row>
    <row r="1910" s="101" customFormat="1" spans="6:6">
      <c r="F1910" s="2423"/>
    </row>
    <row r="1911" s="101" customFormat="1" spans="6:6">
      <c r="F1911" s="2423"/>
    </row>
    <row r="1912" s="101" customFormat="1" spans="6:6">
      <c r="F1912" s="2423"/>
    </row>
    <row r="1913" s="101" customFormat="1" spans="6:6">
      <c r="F1913" s="2423"/>
    </row>
    <row r="1914" s="101" customFormat="1" spans="6:6">
      <c r="F1914" s="2423"/>
    </row>
    <row r="1915" s="101" customFormat="1" spans="6:6">
      <c r="F1915" s="2423"/>
    </row>
    <row r="1916" s="101" customFormat="1" spans="6:6">
      <c r="F1916" s="2423"/>
    </row>
    <row r="1917" s="101" customFormat="1" spans="6:6">
      <c r="F1917" s="2423"/>
    </row>
    <row r="1918" s="101" customFormat="1" spans="6:6">
      <c r="F1918" s="2423"/>
    </row>
    <row r="1919" s="101" customFormat="1" spans="6:6">
      <c r="F1919" s="2423"/>
    </row>
    <row r="1920" s="101" customFormat="1" spans="6:6">
      <c r="F1920" s="2423"/>
    </row>
    <row r="1921" s="101" customFormat="1" spans="6:6">
      <c r="F1921" s="2423"/>
    </row>
    <row r="1922" s="101" customFormat="1" spans="6:6">
      <c r="F1922" s="2423"/>
    </row>
    <row r="1923" s="101" customFormat="1" spans="6:6">
      <c r="F1923" s="2423"/>
    </row>
    <row r="1924" s="101" customFormat="1" spans="6:6">
      <c r="F1924" s="2423"/>
    </row>
    <row r="1925" s="101" customFormat="1" spans="6:6">
      <c r="F1925" s="2423"/>
    </row>
    <row r="1926" s="101" customFormat="1" spans="6:6">
      <c r="F1926" s="2423"/>
    </row>
    <row r="1927" s="101" customFormat="1" spans="6:6">
      <c r="F1927" s="2423"/>
    </row>
    <row r="1928" s="101" customFormat="1" spans="6:6">
      <c r="F1928" s="2423"/>
    </row>
    <row r="1929" s="101" customFormat="1" spans="6:6">
      <c r="F1929" s="2423"/>
    </row>
    <row r="1930" s="101" customFormat="1" spans="6:6">
      <c r="F1930" s="2423"/>
    </row>
    <row r="1931" s="101" customFormat="1" spans="6:6">
      <c r="F1931" s="2423"/>
    </row>
    <row r="1932" s="101" customFormat="1" spans="6:6">
      <c r="F1932" s="2423"/>
    </row>
    <row r="1933" s="101" customFormat="1" spans="6:6">
      <c r="F1933" s="2423"/>
    </row>
    <row r="1934" s="101" customFormat="1" spans="6:6">
      <c r="F1934" s="2423"/>
    </row>
    <row r="1935" s="101" customFormat="1" spans="6:6">
      <c r="F1935" s="2423"/>
    </row>
    <row r="1936" s="101" customFormat="1" spans="6:6">
      <c r="F1936" s="2423"/>
    </row>
    <row r="1937" s="101" customFormat="1" spans="6:6">
      <c r="F1937" s="2423"/>
    </row>
    <row r="1938" s="101" customFormat="1" spans="6:6">
      <c r="F1938" s="2423"/>
    </row>
    <row r="1939" s="101" customFormat="1" spans="6:6">
      <c r="F1939" s="2423"/>
    </row>
    <row r="1940" s="101" customFormat="1" spans="6:6">
      <c r="F1940" s="2423"/>
    </row>
    <row r="1941" s="101" customFormat="1" spans="6:6">
      <c r="F1941" s="2423"/>
    </row>
    <row r="1942" s="101" customFormat="1" spans="6:6">
      <c r="F1942" s="2423"/>
    </row>
    <row r="1943" s="101" customFormat="1" spans="6:6">
      <c r="F1943" s="2423"/>
    </row>
    <row r="1944" s="101" customFormat="1" spans="6:6">
      <c r="F1944" s="2423"/>
    </row>
    <row r="1945" s="101" customFormat="1" spans="6:6">
      <c r="F1945" s="2423"/>
    </row>
    <row r="1946" s="101" customFormat="1" spans="6:6">
      <c r="F1946" s="2423"/>
    </row>
    <row r="1947" s="101" customFormat="1" spans="6:6">
      <c r="F1947" s="2423"/>
    </row>
    <row r="1948" s="101" customFormat="1" spans="6:6">
      <c r="F1948" s="2423"/>
    </row>
    <row r="1949" s="101" customFormat="1" spans="6:6">
      <c r="F1949" s="2423"/>
    </row>
    <row r="1950" s="101" customFormat="1" spans="6:6">
      <c r="F1950" s="2423"/>
    </row>
    <row r="1951" s="101" customFormat="1" spans="6:6">
      <c r="F1951" s="2423"/>
    </row>
    <row r="1952" s="101" customFormat="1" spans="6:6">
      <c r="F1952" s="2423"/>
    </row>
    <row r="1953" s="101" customFormat="1" spans="6:6">
      <c r="F1953" s="2423"/>
    </row>
    <row r="1954" s="101" customFormat="1" spans="6:6">
      <c r="F1954" s="2423"/>
    </row>
    <row r="1955" s="101" customFormat="1" spans="6:6">
      <c r="F1955" s="2423"/>
    </row>
    <row r="1956" s="101" customFormat="1" spans="6:6">
      <c r="F1956" s="2423"/>
    </row>
    <row r="1957" s="101" customFormat="1" spans="6:6">
      <c r="F1957" s="2423"/>
    </row>
    <row r="1958" s="101" customFormat="1" spans="6:6">
      <c r="F1958" s="2423"/>
    </row>
    <row r="1959" s="101" customFormat="1" spans="6:6">
      <c r="F1959" s="2423"/>
    </row>
    <row r="1960" s="101" customFormat="1" spans="6:6">
      <c r="F1960" s="2423"/>
    </row>
    <row r="1961" s="101" customFormat="1" spans="6:6">
      <c r="F1961" s="2423"/>
    </row>
    <row r="1962" s="101" customFormat="1" spans="6:6">
      <c r="F1962" s="2423"/>
    </row>
    <row r="1963" s="101" customFormat="1" spans="6:6">
      <c r="F1963" s="2423"/>
    </row>
    <row r="1964" s="101" customFormat="1" spans="6:6">
      <c r="F1964" s="2423"/>
    </row>
    <row r="1965" s="101" customFormat="1" spans="6:6">
      <c r="F1965" s="2423"/>
    </row>
    <row r="1966" s="101" customFormat="1" spans="6:6">
      <c r="F1966" s="2423"/>
    </row>
    <row r="1967" s="101" customFormat="1" spans="6:6">
      <c r="F1967" s="2423"/>
    </row>
    <row r="1968" s="101" customFormat="1" spans="6:6">
      <c r="F1968" s="2423"/>
    </row>
    <row r="1969" s="101" customFormat="1" spans="6:6">
      <c r="F1969" s="2423"/>
    </row>
    <row r="1970" s="101" customFormat="1" spans="6:6">
      <c r="F1970" s="2423"/>
    </row>
    <row r="1971" s="101" customFormat="1" spans="6:6">
      <c r="F1971" s="2423"/>
    </row>
    <row r="1972" s="101" customFormat="1" spans="6:6">
      <c r="F1972" s="2423"/>
    </row>
    <row r="1973" s="101" customFormat="1" spans="6:6">
      <c r="F1973" s="2423"/>
    </row>
    <row r="1974" s="101" customFormat="1" spans="6:6">
      <c r="F1974" s="2423"/>
    </row>
    <row r="1975" s="101" customFormat="1" spans="6:6">
      <c r="F1975" s="2423"/>
    </row>
    <row r="1976" s="101" customFormat="1" spans="6:6">
      <c r="F1976" s="2423"/>
    </row>
    <row r="1977" s="101" customFormat="1" spans="6:6">
      <c r="F1977" s="2423"/>
    </row>
    <row r="1978" s="101" customFormat="1" spans="6:6">
      <c r="F1978" s="2423"/>
    </row>
    <row r="1979" s="101" customFormat="1" spans="6:6">
      <c r="F1979" s="2423"/>
    </row>
    <row r="1980" s="101" customFormat="1" spans="6:6">
      <c r="F1980" s="2423"/>
    </row>
    <row r="1981" s="101" customFormat="1" spans="6:6">
      <c r="F1981" s="2423"/>
    </row>
    <row r="1982" s="101" customFormat="1" spans="6:6">
      <c r="F1982" s="2423"/>
    </row>
    <row r="1983" s="101" customFormat="1" spans="6:6">
      <c r="F1983" s="2423"/>
    </row>
    <row r="1984" s="101" customFormat="1" spans="6:6">
      <c r="F1984" s="2423"/>
    </row>
    <row r="1985" s="101" customFormat="1" spans="6:6">
      <c r="F1985" s="2423"/>
    </row>
    <row r="1986" s="101" customFormat="1" spans="6:6">
      <c r="F1986" s="2423"/>
    </row>
    <row r="1987" s="101" customFormat="1" spans="6:6">
      <c r="F1987" s="2423"/>
    </row>
    <row r="1988" s="101" customFormat="1" spans="6:6">
      <c r="F1988" s="2423"/>
    </row>
    <row r="1989" s="101" customFormat="1" spans="6:6">
      <c r="F1989" s="2423"/>
    </row>
    <row r="1990" s="101" customFormat="1" spans="6:6">
      <c r="F1990" s="2423"/>
    </row>
    <row r="1991" s="101" customFormat="1" spans="6:6">
      <c r="F1991" s="2423"/>
    </row>
    <row r="1992" s="101" customFormat="1" spans="6:6">
      <c r="F1992" s="2423"/>
    </row>
    <row r="1993" s="101" customFormat="1" spans="6:6">
      <c r="F1993" s="2423"/>
    </row>
    <row r="1994" s="101" customFormat="1" spans="6:6">
      <c r="F1994" s="2423"/>
    </row>
    <row r="1995" s="101" customFormat="1" spans="6:6">
      <c r="F1995" s="2423"/>
    </row>
    <row r="1996" s="101" customFormat="1" spans="6:6">
      <c r="F1996" s="2423"/>
    </row>
    <row r="1997" s="101" customFormat="1" spans="6:6">
      <c r="F1997" s="2423"/>
    </row>
    <row r="1998" s="101" customFormat="1" spans="6:6">
      <c r="F1998" s="2423"/>
    </row>
    <row r="1999" s="101" customFormat="1" spans="6:6">
      <c r="F1999" s="2423"/>
    </row>
    <row r="2000" s="101" customFormat="1" spans="6:6">
      <c r="F2000" s="2423"/>
    </row>
    <row r="2001" s="101" customFormat="1" spans="6:6">
      <c r="F2001" s="2423"/>
    </row>
    <row r="2002" s="101" customFormat="1" spans="6:6">
      <c r="F2002" s="2423"/>
    </row>
    <row r="2003" s="101" customFormat="1" spans="6:6">
      <c r="F2003" s="2423"/>
    </row>
    <row r="2004" s="101" customFormat="1" spans="6:6">
      <c r="F2004" s="2423"/>
    </row>
    <row r="2005" s="101" customFormat="1" spans="6:6">
      <c r="F2005" s="2423"/>
    </row>
    <row r="2006" s="101" customFormat="1" spans="6:6">
      <c r="F2006" s="2423"/>
    </row>
    <row r="2007" s="101" customFormat="1" spans="6:6">
      <c r="F2007" s="2423"/>
    </row>
    <row r="2008" s="101" customFormat="1" spans="6:6">
      <c r="F2008" s="2423"/>
    </row>
    <row r="2009" s="101" customFormat="1" spans="6:6">
      <c r="F2009" s="2423"/>
    </row>
    <row r="2010" s="101" customFormat="1" spans="6:6">
      <c r="F2010" s="2423"/>
    </row>
    <row r="2011" s="101" customFormat="1" spans="6:6">
      <c r="F2011" s="2423"/>
    </row>
    <row r="2012" s="101" customFormat="1" spans="6:6">
      <c r="F2012" s="2423"/>
    </row>
    <row r="2013" s="101" customFormat="1" spans="6:6">
      <c r="F2013" s="2423"/>
    </row>
    <row r="2014" s="101" customFormat="1" spans="6:6">
      <c r="F2014" s="2423"/>
    </row>
    <row r="2015" s="101" customFormat="1" spans="6:6">
      <c r="F2015" s="2423"/>
    </row>
    <row r="2016" s="101" customFormat="1" spans="6:6">
      <c r="F2016" s="2423"/>
    </row>
    <row r="2017" s="101" customFormat="1" spans="6:6">
      <c r="F2017" s="2423"/>
    </row>
    <row r="2018" s="101" customFormat="1" spans="6:6">
      <c r="F2018" s="2423"/>
    </row>
    <row r="2019" s="101" customFormat="1" spans="6:6">
      <c r="F2019" s="2423"/>
    </row>
    <row r="2020" s="101" customFormat="1" spans="6:6">
      <c r="F2020" s="2423"/>
    </row>
    <row r="2021" s="101" customFormat="1" spans="6:6">
      <c r="F2021" s="2423"/>
    </row>
    <row r="2022" s="101" customFormat="1" spans="6:6">
      <c r="F2022" s="2423"/>
    </row>
    <row r="2023" s="101" customFormat="1" spans="6:6">
      <c r="F2023" s="2423"/>
    </row>
    <row r="2024" s="101" customFormat="1" spans="6:6">
      <c r="F2024" s="2423"/>
    </row>
    <row r="2025" s="101" customFormat="1" spans="6:6">
      <c r="F2025" s="2423"/>
    </row>
    <row r="2026" s="101" customFormat="1" spans="6:6">
      <c r="F2026" s="2423"/>
    </row>
    <row r="2027" s="101" customFormat="1" spans="6:6">
      <c r="F2027" s="2423"/>
    </row>
    <row r="2028" s="101" customFormat="1" spans="6:6">
      <c r="F2028" s="2423"/>
    </row>
    <row r="2029" s="101" customFormat="1" spans="6:6">
      <c r="F2029" s="2423"/>
    </row>
    <row r="2030" s="101" customFormat="1" spans="6:6">
      <c r="F2030" s="2423"/>
    </row>
    <row r="2031" s="101" customFormat="1" spans="6:6">
      <c r="F2031" s="2423"/>
    </row>
    <row r="2032" s="101" customFormat="1" spans="6:6">
      <c r="F2032" s="2423"/>
    </row>
    <row r="2033" s="101" customFormat="1" spans="6:6">
      <c r="F2033" s="2423"/>
    </row>
    <row r="2034" s="101" customFormat="1" spans="6:6">
      <c r="F2034" s="2423"/>
    </row>
    <row r="2035" s="101" customFormat="1" spans="6:6">
      <c r="F2035" s="2423"/>
    </row>
    <row r="2036" s="101" customFormat="1" spans="6:6">
      <c r="F2036" s="2423"/>
    </row>
    <row r="2037" s="101" customFormat="1" spans="6:6">
      <c r="F2037" s="2423"/>
    </row>
    <row r="2038" s="101" customFormat="1" spans="6:6">
      <c r="F2038" s="2423"/>
    </row>
    <row r="2039" s="101" customFormat="1" spans="6:6">
      <c r="F2039" s="2423"/>
    </row>
    <row r="2040" s="101" customFormat="1" spans="6:6">
      <c r="F2040" s="2423"/>
    </row>
    <row r="2041" s="101" customFormat="1" spans="6:6">
      <c r="F2041" s="2423"/>
    </row>
    <row r="2042" s="101" customFormat="1" spans="6:6">
      <c r="F2042" s="2423"/>
    </row>
    <row r="2043" s="101" customFormat="1" spans="6:6">
      <c r="F2043" s="2423"/>
    </row>
    <row r="2044" s="101" customFormat="1" spans="6:6">
      <c r="F2044" s="2423"/>
    </row>
    <row r="2045" s="101" customFormat="1" spans="6:6">
      <c r="F2045" s="2423"/>
    </row>
    <row r="2046" s="101" customFormat="1" spans="6:6">
      <c r="F2046" s="2423"/>
    </row>
    <row r="2047" s="101" customFormat="1" spans="6:6">
      <c r="F2047" s="2423"/>
    </row>
    <row r="2048" s="101" customFormat="1" spans="6:6">
      <c r="F2048" s="2423"/>
    </row>
    <row r="2049" s="101" customFormat="1" spans="6:6">
      <c r="F2049" s="2423"/>
    </row>
    <row r="2050" s="101" customFormat="1" spans="6:6">
      <c r="F2050" s="2423"/>
    </row>
    <row r="2051" s="101" customFormat="1" spans="6:6">
      <c r="F2051" s="2423"/>
    </row>
    <row r="2052" s="101" customFormat="1" spans="6:6">
      <c r="F2052" s="2423"/>
    </row>
    <row r="2053" s="101" customFormat="1" spans="6:6">
      <c r="F2053" s="2423"/>
    </row>
    <row r="2054" s="101" customFormat="1" spans="6:6">
      <c r="F2054" s="2423"/>
    </row>
    <row r="2055" s="101" customFormat="1" spans="6:6">
      <c r="F2055" s="2423"/>
    </row>
    <row r="2056" s="101" customFormat="1" spans="6:6">
      <c r="F2056" s="2423"/>
    </row>
    <row r="2057" s="101" customFormat="1" spans="6:6">
      <c r="F2057" s="2423"/>
    </row>
    <row r="2058" s="101" customFormat="1" spans="6:6">
      <c r="F2058" s="2423"/>
    </row>
    <row r="2059" s="101" customFormat="1" spans="6:6">
      <c r="F2059" s="2423"/>
    </row>
    <row r="2060" s="101" customFormat="1" spans="6:6">
      <c r="F2060" s="2423"/>
    </row>
    <row r="2061" s="101" customFormat="1" spans="6:6">
      <c r="F2061" s="2423"/>
    </row>
    <row r="2062" s="101" customFormat="1" spans="6:6">
      <c r="F2062" s="2423"/>
    </row>
    <row r="2063" s="101" customFormat="1" spans="6:6">
      <c r="F2063" s="2423"/>
    </row>
    <row r="2064" s="101" customFormat="1" spans="6:6">
      <c r="F2064" s="2423"/>
    </row>
    <row r="2065" s="101" customFormat="1" spans="6:6">
      <c r="F2065" s="2423"/>
    </row>
    <row r="2066" s="101" customFormat="1" spans="6:6">
      <c r="F2066" s="2423"/>
    </row>
    <row r="2067" s="101" customFormat="1" spans="6:6">
      <c r="F2067" s="2423"/>
    </row>
    <row r="2068" s="101" customFormat="1" spans="6:6">
      <c r="F2068" s="2423"/>
    </row>
    <row r="2069" s="101" customFormat="1" spans="6:6">
      <c r="F2069" s="2423"/>
    </row>
    <row r="2070" s="101" customFormat="1" spans="6:6">
      <c r="F2070" s="2423"/>
    </row>
    <row r="2071" s="101" customFormat="1" spans="6:6">
      <c r="F2071" s="2423"/>
    </row>
    <row r="2072" s="101" customFormat="1" spans="6:6">
      <c r="F2072" s="2423"/>
    </row>
    <row r="2073" s="101" customFormat="1" spans="6:6">
      <c r="F2073" s="2423"/>
    </row>
    <row r="2074" s="101" customFormat="1" spans="6:6">
      <c r="F2074" s="2423"/>
    </row>
    <row r="2075" s="101" customFormat="1" spans="6:6">
      <c r="F2075" s="2423"/>
    </row>
    <row r="2076" s="101" customFormat="1" spans="6:6">
      <c r="F2076" s="2423"/>
    </row>
    <row r="2077" s="101" customFormat="1" spans="6:6">
      <c r="F2077" s="2423"/>
    </row>
    <row r="2078" s="101" customFormat="1" spans="6:6">
      <c r="F2078" s="2423"/>
    </row>
    <row r="2079" s="101" customFormat="1" spans="6:6">
      <c r="F2079" s="2423"/>
    </row>
    <row r="2080" s="101" customFormat="1" spans="6:6">
      <c r="F2080" s="2423"/>
    </row>
    <row r="2081" s="101" customFormat="1" spans="6:6">
      <c r="F2081" s="2423"/>
    </row>
    <row r="2082" s="101" customFormat="1" spans="6:6">
      <c r="F2082" s="2423"/>
    </row>
    <row r="2083" s="101" customFormat="1" spans="6:6">
      <c r="F2083" s="2423"/>
    </row>
    <row r="2084" s="101" customFormat="1" spans="6:6">
      <c r="F2084" s="2423"/>
    </row>
    <row r="2085" s="101" customFormat="1" spans="6:6">
      <c r="F2085" s="2423"/>
    </row>
    <row r="2086" s="101" customFormat="1" spans="6:6">
      <c r="F2086" s="2423"/>
    </row>
    <row r="2087" s="101" customFormat="1" spans="6:6">
      <c r="F2087" s="2423"/>
    </row>
    <row r="2088" s="101" customFormat="1" spans="6:6">
      <c r="F2088" s="2423"/>
    </row>
    <row r="2089" s="101" customFormat="1" spans="6:6">
      <c r="F2089" s="2423"/>
    </row>
    <row r="2090" s="101" customFormat="1" spans="6:6">
      <c r="F2090" s="2423"/>
    </row>
    <row r="2091" s="101" customFormat="1" spans="6:6">
      <c r="F2091" s="2423"/>
    </row>
    <row r="2092" s="101" customFormat="1" spans="6:6">
      <c r="F2092" s="2423"/>
    </row>
    <row r="2093" s="101" customFormat="1" spans="6:6">
      <c r="F2093" s="2423"/>
    </row>
    <row r="2094" s="101" customFormat="1" spans="6:6">
      <c r="F2094" s="2423"/>
    </row>
    <row r="2095" s="101" customFormat="1" spans="6:6">
      <c r="F2095" s="2423"/>
    </row>
    <row r="2096" s="101" customFormat="1" spans="6:6">
      <c r="F2096" s="2423"/>
    </row>
    <row r="2097" s="101" customFormat="1" spans="6:6">
      <c r="F2097" s="2423"/>
    </row>
    <row r="2098" s="101" customFormat="1" spans="6:6">
      <c r="F2098" s="2423"/>
    </row>
    <row r="2099" s="101" customFormat="1" spans="6:6">
      <c r="F2099" s="2423"/>
    </row>
    <row r="2100" s="101" customFormat="1" spans="6:6">
      <c r="F2100" s="2423"/>
    </row>
    <row r="2101" s="101" customFormat="1" spans="6:6">
      <c r="F2101" s="2423"/>
    </row>
    <row r="2102" s="101" customFormat="1" spans="6:6">
      <c r="F2102" s="2423"/>
    </row>
    <row r="2103" s="101" customFormat="1" spans="6:6">
      <c r="F2103" s="2423"/>
    </row>
    <row r="2104" s="101" customFormat="1" spans="6:6">
      <c r="F2104" s="2423"/>
    </row>
    <row r="2105" s="101" customFormat="1" spans="6:6">
      <c r="F2105" s="2423"/>
    </row>
    <row r="2106" s="101" customFormat="1" spans="6:6">
      <c r="F2106" s="2423"/>
    </row>
    <row r="2107" s="101" customFormat="1" spans="6:6">
      <c r="F2107" s="2423"/>
    </row>
    <row r="2108" s="101" customFormat="1" spans="6:6">
      <c r="F2108" s="2423"/>
    </row>
    <row r="2109" s="101" customFormat="1" spans="6:6">
      <c r="F2109" s="2423"/>
    </row>
    <row r="2110" s="101" customFormat="1" spans="6:6">
      <c r="F2110" s="2423"/>
    </row>
    <row r="2111" s="101" customFormat="1" spans="6:6">
      <c r="F2111" s="2423"/>
    </row>
    <row r="2112" s="101" customFormat="1" spans="6:6">
      <c r="F2112" s="2423"/>
    </row>
    <row r="2113" s="101" customFormat="1" spans="6:6">
      <c r="F2113" s="2423"/>
    </row>
    <row r="2114" s="101" customFormat="1" spans="6:6">
      <c r="F2114" s="2423"/>
    </row>
    <row r="2115" s="101" customFormat="1" spans="6:6">
      <c r="F2115" s="2423"/>
    </row>
    <row r="2116" s="101" customFormat="1" spans="6:6">
      <c r="F2116" s="2423"/>
    </row>
    <row r="2117" s="101" customFormat="1" spans="6:6">
      <c r="F2117" s="2423"/>
    </row>
    <row r="2118" s="101" customFormat="1" spans="6:6">
      <c r="F2118" s="2423"/>
    </row>
    <row r="2119" s="101" customFormat="1" spans="6:6">
      <c r="F2119" s="2423"/>
    </row>
    <row r="2120" s="101" customFormat="1" spans="6:6">
      <c r="F2120" s="2423"/>
    </row>
    <row r="2121" s="101" customFormat="1" spans="6:6">
      <c r="F2121" s="2423"/>
    </row>
    <row r="2122" s="101" customFormat="1" spans="6:6">
      <c r="F2122" s="2423"/>
    </row>
    <row r="2123" s="101" customFormat="1" spans="6:6">
      <c r="F2123" s="2423"/>
    </row>
    <row r="2124" s="101" customFormat="1" spans="6:6">
      <c r="F2124" s="2423"/>
    </row>
    <row r="2125" s="101" customFormat="1" spans="6:6">
      <c r="F2125" s="2423"/>
    </row>
    <row r="2126" s="101" customFormat="1" spans="6:6">
      <c r="F2126" s="2423"/>
    </row>
    <row r="2127" s="101" customFormat="1" spans="6:6">
      <c r="F2127" s="2423"/>
    </row>
    <row r="2128" s="101" customFormat="1" spans="6:6">
      <c r="F2128" s="2423"/>
    </row>
    <row r="2129" s="101" customFormat="1" spans="6:6">
      <c r="F2129" s="2423"/>
    </row>
    <row r="2130" s="101" customFormat="1" spans="6:6">
      <c r="F2130" s="2423"/>
    </row>
    <row r="2131" s="101" customFormat="1" spans="6:6">
      <c r="F2131" s="2423"/>
    </row>
    <row r="2132" s="101" customFormat="1" spans="6:6">
      <c r="F2132" s="2423"/>
    </row>
    <row r="2133" s="101" customFormat="1" spans="6:6">
      <c r="F2133" s="2423"/>
    </row>
    <row r="2134" s="101" customFormat="1" spans="6:6">
      <c r="F2134" s="2423"/>
    </row>
    <row r="2135" s="101" customFormat="1" spans="6:6">
      <c r="F2135" s="2423"/>
    </row>
    <row r="2136" s="101" customFormat="1" spans="6:6">
      <c r="F2136" s="2423"/>
    </row>
    <row r="2137" s="101" customFormat="1" spans="6:6">
      <c r="F2137" s="2423"/>
    </row>
    <row r="2138" s="101" customFormat="1" spans="6:6">
      <c r="F2138" s="2423"/>
    </row>
    <row r="2139" s="101" customFormat="1" spans="6:6">
      <c r="F2139" s="2423"/>
    </row>
    <row r="2140" s="101" customFormat="1" spans="6:6">
      <c r="F2140" s="2423"/>
    </row>
    <row r="2141" s="101" customFormat="1" spans="6:6">
      <c r="F2141" s="2423"/>
    </row>
    <row r="2142" s="101" customFormat="1" spans="6:6">
      <c r="F2142" s="2423"/>
    </row>
    <row r="2143" s="101" customFormat="1" spans="6:6">
      <c r="F2143" s="2423"/>
    </row>
    <row r="2144" s="101" customFormat="1" spans="6:6">
      <c r="F2144" s="2423"/>
    </row>
    <row r="2145" s="101" customFormat="1" spans="6:6">
      <c r="F2145" s="2423"/>
    </row>
    <row r="2146" s="101" customFormat="1" spans="6:6">
      <c r="F2146" s="2423"/>
    </row>
    <row r="2147" s="101" customFormat="1" spans="6:6">
      <c r="F2147" s="2423"/>
    </row>
    <row r="2148" s="101" customFormat="1" spans="6:6">
      <c r="F2148" s="2423"/>
    </row>
    <row r="2149" s="101" customFormat="1" spans="6:6">
      <c r="F2149" s="2423"/>
    </row>
    <row r="2150" s="101" customFormat="1" spans="6:6">
      <c r="F2150" s="2423"/>
    </row>
    <row r="2151" s="101" customFormat="1" spans="6:6">
      <c r="F2151" s="2423"/>
    </row>
    <row r="2152" s="101" customFormat="1" spans="6:6">
      <c r="F2152" s="2423"/>
    </row>
    <row r="2153" s="101" customFormat="1" spans="6:6">
      <c r="F2153" s="2423"/>
    </row>
    <row r="2154" s="101" customFormat="1" spans="6:6">
      <c r="F2154" s="2423"/>
    </row>
    <row r="2155" s="101" customFormat="1" spans="6:6">
      <c r="F2155" s="2423"/>
    </row>
    <row r="2156" s="101" customFormat="1" spans="6:6">
      <c r="F2156" s="2423"/>
    </row>
    <row r="2157" s="101" customFormat="1" spans="6:6">
      <c r="F2157" s="2423"/>
    </row>
    <row r="2158" s="101" customFormat="1" spans="6:6">
      <c r="F2158" s="2423"/>
    </row>
    <row r="2159" s="101" customFormat="1" spans="6:6">
      <c r="F2159" s="2423"/>
    </row>
    <row r="2160" s="101" customFormat="1" spans="6:6">
      <c r="F2160" s="2423"/>
    </row>
    <row r="2161" s="101" customFormat="1" spans="6:6">
      <c r="F2161" s="2423"/>
    </row>
    <row r="2162" s="101" customFormat="1" spans="6:6">
      <c r="F2162" s="2423"/>
    </row>
    <row r="2163" s="101" customFormat="1" spans="6:6">
      <c r="F2163" s="2423"/>
    </row>
    <row r="2164" s="101" customFormat="1" spans="6:6">
      <c r="F2164" s="2423"/>
    </row>
    <row r="2165" s="101" customFormat="1" spans="6:6">
      <c r="F2165" s="2423"/>
    </row>
    <row r="2166" s="101" customFormat="1" spans="6:6">
      <c r="F2166" s="2423"/>
    </row>
    <row r="2167" s="101" customFormat="1" spans="6:6">
      <c r="F2167" s="2423"/>
    </row>
    <row r="2168" s="101" customFormat="1" spans="6:6">
      <c r="F2168" s="2423"/>
    </row>
    <row r="2169" s="101" customFormat="1" spans="6:6">
      <c r="F2169" s="2423"/>
    </row>
    <row r="2170" s="101" customFormat="1" spans="6:6">
      <c r="F2170" s="2423"/>
    </row>
    <row r="2171" s="101" customFormat="1" spans="6:6">
      <c r="F2171" s="2423"/>
    </row>
    <row r="2172" s="101" customFormat="1" spans="6:6">
      <c r="F2172" s="2423"/>
    </row>
    <row r="2173" s="101" customFormat="1" spans="6:6">
      <c r="F2173" s="2423"/>
    </row>
    <row r="2174" s="101" customFormat="1" spans="6:6">
      <c r="F2174" s="2423"/>
    </row>
    <row r="2175" s="101" customFormat="1" spans="6:6">
      <c r="F2175" s="2423"/>
    </row>
    <row r="2176" s="101" customFormat="1" spans="6:6">
      <c r="F2176" s="2423"/>
    </row>
    <row r="2177" s="101" customFormat="1" spans="6:6">
      <c r="F2177" s="2423"/>
    </row>
    <row r="2178" s="101" customFormat="1" spans="6:6">
      <c r="F2178" s="2423"/>
    </row>
    <row r="2179" s="101" customFormat="1" spans="6:6">
      <c r="F2179" s="2423"/>
    </row>
    <row r="2180" s="101" customFormat="1" spans="6:6">
      <c r="F2180" s="2423"/>
    </row>
    <row r="2181" s="101" customFormat="1" spans="6:6">
      <c r="F2181" s="2423"/>
    </row>
    <row r="2182" s="101" customFormat="1" spans="6:6">
      <c r="F2182" s="2423"/>
    </row>
    <row r="2183" s="101" customFormat="1" spans="6:6">
      <c r="F2183" s="2423"/>
    </row>
    <row r="2184" s="101" customFormat="1" spans="6:6">
      <c r="F2184" s="2423"/>
    </row>
    <row r="2185" s="101" customFormat="1" spans="6:6">
      <c r="F2185" s="2423"/>
    </row>
    <row r="2186" s="101" customFormat="1" spans="6:6">
      <c r="F2186" s="2423"/>
    </row>
    <row r="2187" s="101" customFormat="1" spans="6:6">
      <c r="F2187" s="2423"/>
    </row>
    <row r="2188" s="101" customFormat="1" spans="6:6">
      <c r="F2188" s="2423"/>
    </row>
    <row r="2189" s="101" customFormat="1" spans="6:6">
      <c r="F2189" s="2423"/>
    </row>
    <row r="2190" s="101" customFormat="1" spans="6:6">
      <c r="F2190" s="2423"/>
    </row>
    <row r="2191" s="101" customFormat="1" spans="6:6">
      <c r="F2191" s="2423"/>
    </row>
    <row r="2192" s="101" customFormat="1" spans="6:6">
      <c r="F2192" s="2423"/>
    </row>
    <row r="2193" s="101" customFormat="1" spans="6:6">
      <c r="F2193" s="2423"/>
    </row>
    <row r="2194" s="101" customFormat="1" spans="6:6">
      <c r="F2194" s="2423"/>
    </row>
    <row r="2195" s="101" customFormat="1" spans="6:6">
      <c r="F2195" s="2423"/>
    </row>
    <row r="2196" s="101" customFormat="1" spans="6:6">
      <c r="F2196" s="2423"/>
    </row>
    <row r="2197" s="101" customFormat="1" spans="6:6">
      <c r="F2197" s="2423"/>
    </row>
    <row r="2198" s="101" customFormat="1" spans="6:6">
      <c r="F2198" s="2423"/>
    </row>
    <row r="2199" s="101" customFormat="1" spans="6:6">
      <c r="F2199" s="2423"/>
    </row>
    <row r="2200" s="101" customFormat="1" spans="6:6">
      <c r="F2200" s="2423"/>
    </row>
    <row r="2201" s="101" customFormat="1" spans="6:6">
      <c r="F2201" s="2423"/>
    </row>
    <row r="2202" s="101" customFormat="1" spans="6:6">
      <c r="F2202" s="2423"/>
    </row>
    <row r="2203" s="101" customFormat="1" spans="6:6">
      <c r="F2203" s="2423"/>
    </row>
    <row r="2204" s="101" customFormat="1" spans="6:6">
      <c r="F2204" s="2423"/>
    </row>
    <row r="2205" s="101" customFormat="1" spans="6:6">
      <c r="F2205" s="2423"/>
    </row>
    <row r="2206" s="101" customFormat="1" spans="6:6">
      <c r="F2206" s="2423"/>
    </row>
    <row r="2207" s="101" customFormat="1" spans="6:6">
      <c r="F2207" s="2423"/>
    </row>
    <row r="2208" s="101" customFormat="1" spans="6:6">
      <c r="F2208" s="2423"/>
    </row>
    <row r="2209" s="101" customFormat="1" spans="6:6">
      <c r="F2209" s="2423"/>
    </row>
    <row r="2210" s="101" customFormat="1" spans="6:6">
      <c r="F2210" s="2423"/>
    </row>
    <row r="2211" s="101" customFormat="1" spans="6:6">
      <c r="F2211" s="2423"/>
    </row>
    <row r="2212" s="101" customFormat="1" spans="6:6">
      <c r="F2212" s="2423"/>
    </row>
    <row r="2213" s="101" customFormat="1" spans="6:6">
      <c r="F2213" s="2423"/>
    </row>
    <row r="2214" s="101" customFormat="1" spans="6:6">
      <c r="F2214" s="2423"/>
    </row>
    <row r="2215" s="101" customFormat="1" spans="6:6">
      <c r="F2215" s="2423"/>
    </row>
    <row r="2216" s="101" customFormat="1" spans="6:6">
      <c r="F2216" s="2423"/>
    </row>
    <row r="2217" s="101" customFormat="1" spans="6:6">
      <c r="F2217" s="2423"/>
    </row>
    <row r="2218" s="101" customFormat="1" spans="6:6">
      <c r="F2218" s="2423"/>
    </row>
    <row r="2219" s="101" customFormat="1" spans="6:6">
      <c r="F2219" s="2423"/>
    </row>
    <row r="2220" s="101" customFormat="1" spans="6:6">
      <c r="F2220" s="2423"/>
    </row>
    <row r="2221" s="101" customFormat="1" spans="6:6">
      <c r="F2221" s="2423"/>
    </row>
    <row r="2222" s="101" customFormat="1" spans="6:6">
      <c r="F2222" s="2423"/>
    </row>
    <row r="2223" s="101" customFormat="1" spans="6:6">
      <c r="F2223" s="2423"/>
    </row>
    <row r="2224" s="101" customFormat="1" spans="6:6">
      <c r="F2224" s="2423"/>
    </row>
    <row r="2225" s="101" customFormat="1" spans="6:6">
      <c r="F2225" s="2423"/>
    </row>
    <row r="2226" s="101" customFormat="1" spans="6:6">
      <c r="F2226" s="2423"/>
    </row>
    <row r="2227" s="101" customFormat="1" spans="6:6">
      <c r="F2227" s="2423"/>
    </row>
    <row r="2228" s="101" customFormat="1" spans="6:6">
      <c r="F2228" s="2423"/>
    </row>
    <row r="2229" s="101" customFormat="1" spans="6:6">
      <c r="F2229" s="2423"/>
    </row>
    <row r="2230" s="101" customFormat="1" spans="6:6">
      <c r="F2230" s="2423"/>
    </row>
    <row r="2231" s="101" customFormat="1" spans="6:6">
      <c r="F2231" s="2423"/>
    </row>
    <row r="2232" s="101" customFormat="1" spans="6:6">
      <c r="F2232" s="2423"/>
    </row>
    <row r="2233" s="101" customFormat="1" spans="6:6">
      <c r="F2233" s="2423"/>
    </row>
    <row r="2234" s="101" customFormat="1" spans="6:6">
      <c r="F2234" s="2423"/>
    </row>
    <row r="2235" s="101" customFormat="1" spans="6:6">
      <c r="F2235" s="2423"/>
    </row>
    <row r="2236" s="101" customFormat="1" spans="6:6">
      <c r="F2236" s="2423"/>
    </row>
    <row r="2237" s="101" customFormat="1" spans="6:6">
      <c r="F2237" s="2423"/>
    </row>
    <row r="2238" s="101" customFormat="1" spans="6:6">
      <c r="F2238" s="2423"/>
    </row>
    <row r="2239" s="101" customFormat="1" spans="6:6">
      <c r="F2239" s="2423"/>
    </row>
    <row r="2240" s="101" customFormat="1" spans="6:6">
      <c r="F2240" s="2423"/>
    </row>
    <row r="2241" s="101" customFormat="1" spans="6:6">
      <c r="F2241" s="2423"/>
    </row>
    <row r="2242" s="101" customFormat="1" spans="6:6">
      <c r="F2242" s="2423"/>
    </row>
    <row r="2243" s="101" customFormat="1" spans="6:6">
      <c r="F2243" s="2423"/>
    </row>
    <row r="2244" s="101" customFormat="1" spans="6:6">
      <c r="F2244" s="2423"/>
    </row>
    <row r="2245" s="101" customFormat="1" spans="6:6">
      <c r="F2245" s="2423"/>
    </row>
    <row r="2246" s="101" customFormat="1" spans="6:6">
      <c r="F2246" s="2423"/>
    </row>
    <row r="2247" s="101" customFormat="1" spans="6:6">
      <c r="F2247" s="2423"/>
    </row>
    <row r="2248" s="101" customFormat="1" spans="6:6">
      <c r="F2248" s="2423"/>
    </row>
    <row r="2249" s="101" customFormat="1" spans="6:6">
      <c r="F2249" s="2423"/>
    </row>
    <row r="2250" s="101" customFormat="1" spans="6:6">
      <c r="F2250" s="2423"/>
    </row>
    <row r="2251" s="101" customFormat="1" spans="6:6">
      <c r="F2251" s="2423"/>
    </row>
    <row r="2252" s="101" customFormat="1" spans="6:6">
      <c r="F2252" s="2423"/>
    </row>
    <row r="2253" s="101" customFormat="1" spans="6:6">
      <c r="F2253" s="2423"/>
    </row>
    <row r="2254" s="101" customFormat="1" spans="6:6">
      <c r="F2254" s="2423"/>
    </row>
    <row r="2255" s="101" customFormat="1" spans="6:6">
      <c r="F2255" s="2423"/>
    </row>
    <row r="2256" s="101" customFormat="1" spans="6:6">
      <c r="F2256" s="2423"/>
    </row>
    <row r="2257" s="101" customFormat="1" spans="6:6">
      <c r="F2257" s="2423"/>
    </row>
    <row r="2258" s="101" customFormat="1" spans="6:6">
      <c r="F2258" s="2423"/>
    </row>
    <row r="2259" s="101" customFormat="1" spans="6:6">
      <c r="F2259" s="2423"/>
    </row>
    <row r="2260" s="101" customFormat="1" spans="6:6">
      <c r="F2260" s="2423"/>
    </row>
    <row r="2261" s="101" customFormat="1" spans="6:6">
      <c r="F2261" s="2423"/>
    </row>
    <row r="2262" s="101" customFormat="1" spans="6:6">
      <c r="F2262" s="2423"/>
    </row>
    <row r="2263" s="101" customFormat="1" spans="6:6">
      <c r="F2263" s="2423"/>
    </row>
    <row r="2264" s="101" customFormat="1" spans="6:6">
      <c r="F2264" s="2423"/>
    </row>
    <row r="2265" s="101" customFormat="1" spans="6:6">
      <c r="F2265" s="2423"/>
    </row>
    <row r="2266" s="101" customFormat="1" spans="6:6">
      <c r="F2266" s="2423"/>
    </row>
    <row r="2267" s="101" customFormat="1" spans="6:6">
      <c r="F2267" s="2423"/>
    </row>
    <row r="2268" s="101" customFormat="1" spans="6:6">
      <c r="F2268" s="2423"/>
    </row>
    <row r="2269" s="101" customFormat="1" spans="6:6">
      <c r="F2269" s="2423"/>
    </row>
    <row r="2270" s="101" customFormat="1" spans="6:6">
      <c r="F2270" s="2423"/>
    </row>
    <row r="2271" s="101" customFormat="1" spans="6:6">
      <c r="F2271" s="2423"/>
    </row>
    <row r="2272" s="101" customFormat="1" spans="6:6">
      <c r="F2272" s="2423"/>
    </row>
    <row r="2273" s="101" customFormat="1" spans="6:6">
      <c r="F2273" s="2423"/>
    </row>
    <row r="2274" s="101" customFormat="1" spans="6:6">
      <c r="F2274" s="2423"/>
    </row>
    <row r="2275" s="101" customFormat="1" spans="6:6">
      <c r="F2275" s="2423"/>
    </row>
    <row r="2276" s="101" customFormat="1" spans="6:6">
      <c r="F2276" s="2423"/>
    </row>
    <row r="2277" s="101" customFormat="1" spans="6:6">
      <c r="F2277" s="2423"/>
    </row>
    <row r="2278" s="101" customFormat="1" spans="6:6">
      <c r="F2278" s="2423"/>
    </row>
    <row r="2279" s="101" customFormat="1" spans="6:6">
      <c r="F2279" s="2423"/>
    </row>
    <row r="2280" s="101" customFormat="1" spans="6:6">
      <c r="F2280" s="2423"/>
    </row>
    <row r="2281" s="101" customFormat="1" spans="6:6">
      <c r="F2281" s="2423"/>
    </row>
    <row r="2282" s="101" customFormat="1" spans="6:6">
      <c r="F2282" s="2423"/>
    </row>
    <row r="2283" s="101" customFormat="1" spans="6:6">
      <c r="F2283" s="2423"/>
    </row>
    <row r="2284" s="101" customFormat="1" spans="6:6">
      <c r="F2284" s="2423"/>
    </row>
    <row r="2285" s="101" customFormat="1" spans="6:6">
      <c r="F2285" s="2423"/>
    </row>
    <row r="2286" s="101" customFormat="1" spans="6:6">
      <c r="F2286" s="2423"/>
    </row>
    <row r="2287" s="101" customFormat="1" spans="6:6">
      <c r="F2287" s="2423"/>
    </row>
    <row r="2288" s="101" customFormat="1" spans="6:6">
      <c r="F2288" s="2423"/>
    </row>
    <row r="2289" s="101" customFormat="1" spans="6:6">
      <c r="F2289" s="2423"/>
    </row>
    <row r="2290" s="101" customFormat="1" spans="6:6">
      <c r="F2290" s="2423"/>
    </row>
    <row r="2291" s="101" customFormat="1" spans="6:6">
      <c r="F2291" s="2423"/>
    </row>
    <row r="2292" s="101" customFormat="1" spans="6:6">
      <c r="F2292" s="2423"/>
    </row>
    <row r="2293" s="101" customFormat="1" spans="6:6">
      <c r="F2293" s="2423"/>
    </row>
    <row r="2294" s="101" customFormat="1" spans="6:6">
      <c r="F2294" s="2423"/>
    </row>
    <row r="2295" s="101" customFormat="1" spans="6:6">
      <c r="F2295" s="2423"/>
    </row>
    <row r="2296" s="101" customFormat="1" spans="6:6">
      <c r="F2296" s="2423"/>
    </row>
    <row r="2297" s="101" customFormat="1" spans="6:6">
      <c r="F2297" s="2423"/>
    </row>
    <row r="2298" s="101" customFormat="1" spans="6:6">
      <c r="F2298" s="2423"/>
    </row>
    <row r="2299" s="101" customFormat="1" spans="6:6">
      <c r="F2299" s="2423"/>
    </row>
    <row r="2300" s="101" customFormat="1" spans="6:6">
      <c r="F2300" s="2423"/>
    </row>
    <row r="2301" s="101" customFormat="1" spans="6:6">
      <c r="F2301" s="2423"/>
    </row>
    <row r="2302" s="101" customFormat="1" spans="6:6">
      <c r="F2302" s="2423"/>
    </row>
    <row r="2303" s="101" customFormat="1" spans="6:6">
      <c r="F2303" s="2423"/>
    </row>
    <row r="2304" s="101" customFormat="1" spans="6:6">
      <c r="F2304" s="2423"/>
    </row>
    <row r="2305" s="101" customFormat="1" spans="6:6">
      <c r="F2305" s="2423"/>
    </row>
    <row r="2306" s="101" customFormat="1" spans="6:6">
      <c r="F2306" s="2423"/>
    </row>
    <row r="2307" s="101" customFormat="1" spans="6:6">
      <c r="F2307" s="2423"/>
    </row>
    <row r="2308" s="101" customFormat="1" spans="6:6">
      <c r="F2308" s="2423"/>
    </row>
    <row r="2309" s="101" customFormat="1" spans="6:6">
      <c r="F2309" s="2423"/>
    </row>
    <row r="2310" s="101" customFormat="1" spans="6:6">
      <c r="F2310" s="2423"/>
    </row>
    <row r="2311" s="101" customFormat="1" spans="6:6">
      <c r="F2311" s="2423"/>
    </row>
    <row r="2312" s="101" customFormat="1" spans="6:6">
      <c r="F2312" s="2423"/>
    </row>
    <row r="2313" s="101" customFormat="1" spans="6:6">
      <c r="F2313" s="2423"/>
    </row>
    <row r="2314" s="101" customFormat="1" spans="6:6">
      <c r="F2314" s="2423"/>
    </row>
    <row r="2315" s="101" customFormat="1" spans="6:6">
      <c r="F2315" s="2423"/>
    </row>
    <row r="2316" s="101" customFormat="1" spans="6:6">
      <c r="F2316" s="2423"/>
    </row>
    <row r="2317" s="101" customFormat="1" spans="6:6">
      <c r="F2317" s="2423"/>
    </row>
    <row r="2318" s="101" customFormat="1" spans="6:6">
      <c r="F2318" s="2423"/>
    </row>
    <row r="2319" s="101" customFormat="1" spans="6:6">
      <c r="F2319" s="2423"/>
    </row>
    <row r="2320" s="101" customFormat="1" spans="6:6">
      <c r="F2320" s="2423"/>
    </row>
    <row r="2321" s="101" customFormat="1" spans="6:6">
      <c r="F2321" s="2423"/>
    </row>
    <row r="2322" s="101" customFormat="1" spans="6:6">
      <c r="F2322" s="2423"/>
    </row>
    <row r="2323" s="101" customFormat="1" spans="6:6">
      <c r="F2323" s="2423"/>
    </row>
    <row r="2324" s="101" customFormat="1" spans="6:6">
      <c r="F2324" s="2423"/>
    </row>
    <row r="2325" s="101" customFormat="1" spans="6:6">
      <c r="F2325" s="2423"/>
    </row>
    <row r="2326" s="101" customFormat="1" spans="6:6">
      <c r="F2326" s="2423"/>
    </row>
    <row r="2327" s="101" customFormat="1" spans="6:6">
      <c r="F2327" s="2423"/>
    </row>
    <row r="2328" s="101" customFormat="1" spans="6:6">
      <c r="F2328" s="2423"/>
    </row>
    <row r="2329" s="101" customFormat="1" spans="6:6">
      <c r="F2329" s="2423"/>
    </row>
    <row r="2330" s="101" customFormat="1" spans="6:6">
      <c r="F2330" s="2423"/>
    </row>
    <row r="2331" s="101" customFormat="1" spans="6:6">
      <c r="F2331" s="2423"/>
    </row>
    <row r="2332" s="101" customFormat="1" spans="6:6">
      <c r="F2332" s="2423"/>
    </row>
    <row r="2333" s="101" customFormat="1" spans="6:6">
      <c r="F2333" s="2423"/>
    </row>
    <row r="2334" s="101" customFormat="1" spans="6:6">
      <c r="F2334" s="2423"/>
    </row>
    <row r="2335" s="101" customFormat="1" spans="6:6">
      <c r="F2335" s="2423"/>
    </row>
    <row r="2336" s="101" customFormat="1" spans="6:6">
      <c r="F2336" s="2423"/>
    </row>
    <row r="2337" s="101" customFormat="1" spans="6:6">
      <c r="F2337" s="2423"/>
    </row>
    <row r="2338" s="101" customFormat="1" spans="6:6">
      <c r="F2338" s="2423"/>
    </row>
    <row r="2339" s="101" customFormat="1" spans="6:6">
      <c r="F2339" s="2423"/>
    </row>
    <row r="2340" s="101" customFormat="1" spans="6:6">
      <c r="F2340" s="2423"/>
    </row>
    <row r="2341" s="101" customFormat="1" spans="6:6">
      <c r="F2341" s="2423"/>
    </row>
    <row r="2342" s="101" customFormat="1" spans="6:6">
      <c r="F2342" s="2423"/>
    </row>
    <row r="2343" s="101" customFormat="1" spans="6:6">
      <c r="F2343" s="2423"/>
    </row>
    <row r="2344" s="101" customFormat="1" spans="6:6">
      <c r="F2344" s="2423"/>
    </row>
    <row r="2345" s="101" customFormat="1" spans="6:6">
      <c r="F2345" s="2423"/>
    </row>
    <row r="2346" s="101" customFormat="1" spans="6:6">
      <c r="F2346" s="2423"/>
    </row>
    <row r="2347" s="101" customFormat="1" spans="6:6">
      <c r="F2347" s="2423"/>
    </row>
    <row r="2348" s="101" customFormat="1" spans="6:6">
      <c r="F2348" s="2423"/>
    </row>
    <row r="2349" s="101" customFormat="1" spans="6:6">
      <c r="F2349" s="2423"/>
    </row>
    <row r="2350" s="101" customFormat="1" spans="6:6">
      <c r="F2350" s="2423"/>
    </row>
    <row r="2351" s="101" customFormat="1" spans="6:6">
      <c r="F2351" s="2423"/>
    </row>
    <row r="2352" s="101" customFormat="1" spans="6:6">
      <c r="F2352" s="2423"/>
    </row>
    <row r="2353" s="101" customFormat="1" spans="6:6">
      <c r="F2353" s="2423"/>
    </row>
    <row r="2354" s="101" customFormat="1" spans="6:6">
      <c r="F2354" s="2423"/>
    </row>
    <row r="2355" s="101" customFormat="1" spans="6:6">
      <c r="F2355" s="2423"/>
    </row>
    <row r="2356" s="101" customFormat="1" spans="6:6">
      <c r="F2356" s="2423"/>
    </row>
    <row r="2357" s="101" customFormat="1" spans="6:6">
      <c r="F2357" s="2423"/>
    </row>
    <row r="2358" s="101" customFormat="1" spans="6:6">
      <c r="F2358" s="2423"/>
    </row>
    <row r="2359" s="101" customFormat="1" spans="6:6">
      <c r="F2359" s="2423"/>
    </row>
    <row r="2360" s="101" customFormat="1" spans="6:6">
      <c r="F2360" s="2423"/>
    </row>
    <row r="2361" s="101" customFormat="1" spans="6:6">
      <c r="F2361" s="2423"/>
    </row>
    <row r="2362" s="101" customFormat="1" spans="6:6">
      <c r="F2362" s="2423"/>
    </row>
    <row r="2363" s="101" customFormat="1" spans="6:6">
      <c r="F2363" s="2423"/>
    </row>
    <row r="2364" s="101" customFormat="1" spans="6:6">
      <c r="F2364" s="2423"/>
    </row>
    <row r="2365" s="101" customFormat="1" spans="6:6">
      <c r="F2365" s="2423"/>
    </row>
    <row r="2366" s="101" customFormat="1" spans="6:6">
      <c r="F2366" s="2423"/>
    </row>
    <row r="2367" s="101" customFormat="1" spans="6:6">
      <c r="F2367" s="2423"/>
    </row>
    <row r="2368" s="101" customFormat="1" spans="6:6">
      <c r="F2368" s="2423"/>
    </row>
    <row r="2369" s="101" customFormat="1" spans="6:6">
      <c r="F2369" s="2423"/>
    </row>
    <row r="2370" s="101" customFormat="1" spans="6:6">
      <c r="F2370" s="2423"/>
    </row>
    <row r="2371" s="101" customFormat="1" spans="6:6">
      <c r="F2371" s="2423"/>
    </row>
    <row r="2372" s="101" customFormat="1" spans="6:6">
      <c r="F2372" s="2423"/>
    </row>
    <row r="2373" s="101" customFormat="1" spans="6:6">
      <c r="F2373" s="2423"/>
    </row>
    <row r="2374" s="101" customFormat="1" spans="6:6">
      <c r="F2374" s="2423"/>
    </row>
    <row r="2375" s="101" customFormat="1" spans="6:6">
      <c r="F2375" s="2423"/>
    </row>
    <row r="2376" s="101" customFormat="1" spans="6:6">
      <c r="F2376" s="2423"/>
    </row>
    <row r="2377" s="101" customFormat="1" spans="6:6">
      <c r="F2377" s="2423"/>
    </row>
    <row r="2378" s="101" customFormat="1" spans="6:6">
      <c r="F2378" s="2423"/>
    </row>
    <row r="2379" s="101" customFormat="1" spans="6:6">
      <c r="F2379" s="2423"/>
    </row>
    <row r="2380" s="101" customFormat="1" spans="6:6">
      <c r="F2380" s="2423"/>
    </row>
    <row r="2381" s="101" customFormat="1" spans="6:6">
      <c r="F2381" s="2423"/>
    </row>
    <row r="2382" s="101" customFormat="1" spans="6:6">
      <c r="F2382" s="2423"/>
    </row>
    <row r="2383" s="101" customFormat="1" spans="6:6">
      <c r="F2383" s="2423"/>
    </row>
    <row r="2384" s="101" customFormat="1" spans="6:6">
      <c r="F2384" s="2423"/>
    </row>
    <row r="2385" s="101" customFormat="1" spans="6:6">
      <c r="F2385" s="2423"/>
    </row>
    <row r="2386" s="101" customFormat="1" spans="6:6">
      <c r="F2386" s="2423"/>
    </row>
    <row r="2387" s="101" customFormat="1" spans="6:6">
      <c r="F2387" s="2423"/>
    </row>
    <row r="2388" s="101" customFormat="1" spans="6:6">
      <c r="F2388" s="2423"/>
    </row>
    <row r="2389" s="101" customFormat="1" spans="6:6">
      <c r="F2389" s="2423"/>
    </row>
    <row r="2390" s="101" customFormat="1" spans="6:6">
      <c r="F2390" s="2423"/>
    </row>
    <row r="2391" s="101" customFormat="1" spans="6:6">
      <c r="F2391" s="2423"/>
    </row>
    <row r="2392" s="101" customFormat="1" spans="6:6">
      <c r="F2392" s="2423"/>
    </row>
    <row r="2393" s="101" customFormat="1" spans="6:6">
      <c r="F2393" s="2423"/>
    </row>
    <row r="2394" s="101" customFormat="1" spans="6:6">
      <c r="F2394" s="2423"/>
    </row>
    <row r="2395" s="101" customFormat="1" spans="6:6">
      <c r="F2395" s="2423"/>
    </row>
    <row r="2396" s="101" customFormat="1" spans="6:6">
      <c r="F2396" s="2423"/>
    </row>
    <row r="2397" s="101" customFormat="1" spans="6:6">
      <c r="F2397" s="2423"/>
    </row>
    <row r="2398" s="101" customFormat="1" spans="6:6">
      <c r="F2398" s="2423"/>
    </row>
    <row r="2399" s="101" customFormat="1" spans="6:6">
      <c r="F2399" s="2423"/>
    </row>
    <row r="2400" s="101" customFormat="1" spans="6:6">
      <c r="F2400" s="2423"/>
    </row>
    <row r="2401" s="101" customFormat="1" spans="6:6">
      <c r="F2401" s="2423"/>
    </row>
    <row r="2402" s="101" customFormat="1" spans="6:6">
      <c r="F2402" s="2423"/>
    </row>
    <row r="2403" s="101" customFormat="1" spans="6:6">
      <c r="F2403" s="2423"/>
    </row>
    <row r="2404" s="101" customFormat="1" spans="6:6">
      <c r="F2404" s="2423"/>
    </row>
    <row r="2405" s="101" customFormat="1" spans="6:6">
      <c r="F2405" s="2423"/>
    </row>
    <row r="2406" s="101" customFormat="1" spans="6:6">
      <c r="F2406" s="2423"/>
    </row>
    <row r="2407" s="101" customFormat="1" spans="6:6">
      <c r="F2407" s="2423"/>
    </row>
    <row r="2408" s="101" customFormat="1" spans="6:6">
      <c r="F2408" s="2423"/>
    </row>
    <row r="2409" s="101" customFormat="1" spans="6:6">
      <c r="F2409" s="2423"/>
    </row>
    <row r="2410" s="101" customFormat="1" spans="6:6">
      <c r="F2410" s="2423"/>
    </row>
    <row r="2411" s="101" customFormat="1" spans="6:6">
      <c r="F2411" s="2423"/>
    </row>
    <row r="2412" s="101" customFormat="1" spans="6:6">
      <c r="F2412" s="2423"/>
    </row>
    <row r="2413" s="101" customFormat="1" spans="6:6">
      <c r="F2413" s="2423"/>
    </row>
    <row r="2414" s="101" customFormat="1" spans="6:6">
      <c r="F2414" s="2423"/>
    </row>
    <row r="2415" s="101" customFormat="1" spans="6:6">
      <c r="F2415" s="2423"/>
    </row>
    <row r="2416" s="101" customFormat="1" spans="6:6">
      <c r="F2416" s="2423"/>
    </row>
    <row r="2417" s="101" customFormat="1" spans="6:6">
      <c r="F2417" s="2423"/>
    </row>
    <row r="2418" s="101" customFormat="1" spans="6:6">
      <c r="F2418" s="2423"/>
    </row>
    <row r="2419" s="101" customFormat="1" spans="6:6">
      <c r="F2419" s="2423"/>
    </row>
    <row r="2420" s="101" customFormat="1" spans="6:6">
      <c r="F2420" s="2423"/>
    </row>
    <row r="2421" s="101" customFormat="1" spans="6:6">
      <c r="F2421" s="2423"/>
    </row>
    <row r="2422" s="101" customFormat="1" spans="6:6">
      <c r="F2422" s="2423"/>
    </row>
    <row r="2423" s="101" customFormat="1" spans="6:6">
      <c r="F2423" s="2423"/>
    </row>
    <row r="2424" s="101" customFormat="1" spans="6:6">
      <c r="F2424" s="2423"/>
    </row>
    <row r="2425" s="101" customFormat="1" spans="6:6">
      <c r="F2425" s="2423"/>
    </row>
    <row r="2426" s="101" customFormat="1" spans="6:6">
      <c r="F2426" s="2423"/>
    </row>
    <row r="2427" s="101" customFormat="1" spans="6:6">
      <c r="F2427" s="2423"/>
    </row>
    <row r="2428" s="101" customFormat="1" spans="6:6">
      <c r="F2428" s="2423"/>
    </row>
    <row r="2429" s="101" customFormat="1" spans="6:6">
      <c r="F2429" s="2423"/>
    </row>
    <row r="2430" s="101" customFormat="1" spans="6:6">
      <c r="F2430" s="2423"/>
    </row>
    <row r="2431" s="101" customFormat="1" spans="6:6">
      <c r="F2431" s="2423"/>
    </row>
    <row r="2432" s="101" customFormat="1" spans="6:6">
      <c r="F2432" s="2423"/>
    </row>
    <row r="2433" s="101" customFormat="1" spans="6:6">
      <c r="F2433" s="2423"/>
    </row>
    <row r="2434" s="101" customFormat="1" spans="6:6">
      <c r="F2434" s="2423"/>
    </row>
    <row r="2435" s="101" customFormat="1" spans="6:6">
      <c r="F2435" s="2423"/>
    </row>
    <row r="2436" s="101" customFormat="1" spans="6:6">
      <c r="F2436" s="2423"/>
    </row>
    <row r="2437" s="101" customFormat="1" spans="6:6">
      <c r="F2437" s="2423"/>
    </row>
    <row r="2438" s="101" customFormat="1" spans="6:6">
      <c r="F2438" s="2423"/>
    </row>
    <row r="2439" s="101" customFormat="1" spans="6:6">
      <c r="F2439" s="2423"/>
    </row>
    <row r="2440" s="101" customFormat="1" spans="6:6">
      <c r="F2440" s="2423"/>
    </row>
    <row r="2441" s="101" customFormat="1" spans="6:6">
      <c r="F2441" s="2423"/>
    </row>
    <row r="2442" s="101" customFormat="1" spans="6:6">
      <c r="F2442" s="2423"/>
    </row>
    <row r="2443" s="101" customFormat="1" spans="6:6">
      <c r="F2443" s="2423"/>
    </row>
    <row r="2444" s="101" customFormat="1" spans="6:6">
      <c r="F2444" s="2423"/>
    </row>
    <row r="2445" s="101" customFormat="1" spans="6:6">
      <c r="F2445" s="2423"/>
    </row>
    <row r="2446" s="101" customFormat="1" spans="6:6">
      <c r="F2446" s="2423"/>
    </row>
    <row r="2447" s="101" customFormat="1" spans="6:6">
      <c r="F2447" s="2423"/>
    </row>
    <row r="2448" s="101" customFormat="1" spans="6:6">
      <c r="F2448" s="2423"/>
    </row>
    <row r="2449" s="101" customFormat="1" spans="6:6">
      <c r="F2449" s="2423"/>
    </row>
    <row r="2450" s="101" customFormat="1" spans="6:6">
      <c r="F2450" s="2423"/>
    </row>
    <row r="2451" s="101" customFormat="1" spans="6:6">
      <c r="F2451" s="2423"/>
    </row>
    <row r="2452" s="101" customFormat="1" spans="6:6">
      <c r="F2452" s="2423"/>
    </row>
    <row r="2453" s="101" customFormat="1" spans="6:6">
      <c r="F2453" s="2423"/>
    </row>
    <row r="2454" s="101" customFormat="1" spans="6:6">
      <c r="F2454" s="2423"/>
    </row>
    <row r="2455" s="101" customFormat="1" spans="6:6">
      <c r="F2455" s="2423"/>
    </row>
    <row r="2456" s="101" customFormat="1" spans="6:6">
      <c r="F2456" s="2423"/>
    </row>
    <row r="2457" s="101" customFormat="1" spans="6:6">
      <c r="F2457" s="2423"/>
    </row>
    <row r="2458" s="101" customFormat="1" spans="6:6">
      <c r="F2458" s="2423"/>
    </row>
    <row r="2459" s="101" customFormat="1" spans="6:6">
      <c r="F2459" s="2423"/>
    </row>
    <row r="2460" s="101" customFormat="1" spans="6:6">
      <c r="F2460" s="2423"/>
    </row>
    <row r="2461" s="101" customFormat="1" spans="6:6">
      <c r="F2461" s="2423"/>
    </row>
    <row r="2462" s="101" customFormat="1" spans="6:6">
      <c r="F2462" s="2423"/>
    </row>
    <row r="2463" s="101" customFormat="1" spans="6:6">
      <c r="F2463" s="2423"/>
    </row>
    <row r="2464" s="101" customFormat="1" spans="6:6">
      <c r="F2464" s="2423"/>
    </row>
    <row r="2465" s="101" customFormat="1" spans="6:6">
      <c r="F2465" s="2423"/>
    </row>
    <row r="2466" s="101" customFormat="1" spans="6:6">
      <c r="F2466" s="2423"/>
    </row>
    <row r="2467" s="101" customFormat="1" spans="6:6">
      <c r="F2467" s="2423"/>
    </row>
    <row r="2468" s="101" customFormat="1" spans="6:6">
      <c r="F2468" s="2423"/>
    </row>
    <row r="2469" s="101" customFormat="1" spans="6:6">
      <c r="F2469" s="2423"/>
    </row>
    <row r="2470" s="101" customFormat="1" spans="6:6">
      <c r="F2470" s="2423"/>
    </row>
    <row r="2471" s="101" customFormat="1" spans="6:6">
      <c r="F2471" s="2423"/>
    </row>
    <row r="2472" s="101" customFormat="1" spans="6:6">
      <c r="F2472" s="2423"/>
    </row>
    <row r="2473" s="101" customFormat="1" spans="6:6">
      <c r="F2473" s="2423"/>
    </row>
    <row r="2474" s="101" customFormat="1" spans="6:6">
      <c r="F2474" s="2423"/>
    </row>
    <row r="2475" s="101" customFormat="1" spans="6:6">
      <c r="F2475" s="2423"/>
    </row>
    <row r="2476" s="101" customFormat="1" spans="6:6">
      <c r="F2476" s="2423"/>
    </row>
    <row r="2477" s="101" customFormat="1" spans="6:6">
      <c r="F2477" s="2423"/>
    </row>
    <row r="2478" s="101" customFormat="1" spans="6:6">
      <c r="F2478" s="2423"/>
    </row>
    <row r="2479" s="101" customFormat="1" spans="6:6">
      <c r="F2479" s="2423"/>
    </row>
    <row r="2480" s="101" customFormat="1" spans="6:6">
      <c r="F2480" s="2423"/>
    </row>
    <row r="2481" s="101" customFormat="1" spans="6:6">
      <c r="F2481" s="2423"/>
    </row>
    <row r="2482" s="101" customFormat="1" spans="6:6">
      <c r="F2482" s="2423"/>
    </row>
    <row r="2483" s="101" customFormat="1" spans="6:6">
      <c r="F2483" s="2423"/>
    </row>
    <row r="2484" s="101" customFormat="1" spans="6:6">
      <c r="F2484" s="2423"/>
    </row>
    <row r="2485" s="101" customFormat="1" spans="6:6">
      <c r="F2485" s="2423"/>
    </row>
    <row r="2486" s="101" customFormat="1" spans="6:6">
      <c r="F2486" s="2423"/>
    </row>
    <row r="2487" s="101" customFormat="1" spans="6:6">
      <c r="F2487" s="2423"/>
    </row>
    <row r="2488" s="101" customFormat="1" spans="6:6">
      <c r="F2488" s="2423"/>
    </row>
    <row r="2489" s="101" customFormat="1" spans="6:6">
      <c r="F2489" s="2423"/>
    </row>
    <row r="2490" s="101" customFormat="1" spans="6:6">
      <c r="F2490" s="2423"/>
    </row>
    <row r="2491" s="101" customFormat="1" spans="6:6">
      <c r="F2491" s="2423"/>
    </row>
    <row r="2492" s="101" customFormat="1" spans="6:6">
      <c r="F2492" s="2423"/>
    </row>
    <row r="2493" s="101" customFormat="1" spans="6:6">
      <c r="F2493" s="2423"/>
    </row>
    <row r="2494" s="101" customFormat="1" spans="6:6">
      <c r="F2494" s="2423"/>
    </row>
    <row r="2495" s="101" customFormat="1" spans="6:6">
      <c r="F2495" s="2423"/>
    </row>
    <row r="2496" s="101" customFormat="1" spans="6:6">
      <c r="F2496" s="2423"/>
    </row>
    <row r="2497" s="101" customFormat="1" spans="6:6">
      <c r="F2497" s="2423"/>
    </row>
    <row r="2498" s="101" customFormat="1" spans="6:6">
      <c r="F2498" s="2423"/>
    </row>
    <row r="2499" s="101" customFormat="1" spans="6:6">
      <c r="F2499" s="2423"/>
    </row>
    <row r="2500" s="101" customFormat="1" spans="6:6">
      <c r="F2500" s="2423"/>
    </row>
    <row r="2501" s="101" customFormat="1" spans="6:6">
      <c r="F2501" s="2423"/>
    </row>
    <row r="2502" s="101" customFormat="1" spans="6:6">
      <c r="F2502" s="2423"/>
    </row>
    <row r="2503" s="101" customFormat="1" spans="6:6">
      <c r="F2503" s="2423"/>
    </row>
    <row r="2504" s="101" customFormat="1" spans="6:6">
      <c r="F2504" s="2423"/>
    </row>
    <row r="2505" s="101" customFormat="1" spans="6:6">
      <c r="F2505" s="2423"/>
    </row>
    <row r="2506" s="101" customFormat="1" spans="6:6">
      <c r="F2506" s="2423"/>
    </row>
    <row r="2507" s="101" customFormat="1" spans="6:6">
      <c r="F2507" s="2423"/>
    </row>
    <row r="2508" s="101" customFormat="1" spans="6:6">
      <c r="F2508" s="2423"/>
    </row>
    <row r="2509" s="101" customFormat="1" spans="6:6">
      <c r="F2509" s="2423"/>
    </row>
    <row r="2510" s="101" customFormat="1" spans="6:6">
      <c r="F2510" s="2423"/>
    </row>
    <row r="2511" s="101" customFormat="1" spans="6:6">
      <c r="F2511" s="2423"/>
    </row>
    <row r="2512" s="101" customFormat="1" spans="6:6">
      <c r="F2512" s="2423"/>
    </row>
    <row r="2513" s="101" customFormat="1" spans="6:6">
      <c r="F2513" s="2423"/>
    </row>
    <row r="2514" s="101" customFormat="1" spans="6:6">
      <c r="F2514" s="2423"/>
    </row>
    <row r="2515" s="101" customFormat="1" spans="6:6">
      <c r="F2515" s="2423"/>
    </row>
    <row r="2516" s="101" customFormat="1" spans="6:6">
      <c r="F2516" s="2423"/>
    </row>
    <row r="2517" s="101" customFormat="1" spans="6:6">
      <c r="F2517" s="2423"/>
    </row>
    <row r="2518" s="101" customFormat="1" spans="6:6">
      <c r="F2518" s="2423"/>
    </row>
    <row r="2519" s="101" customFormat="1" spans="6:6">
      <c r="F2519" s="2423"/>
    </row>
    <row r="2520" s="101" customFormat="1" spans="6:6">
      <c r="F2520" s="2423"/>
    </row>
    <row r="2521" s="101" customFormat="1" spans="6:6">
      <c r="F2521" s="2423"/>
    </row>
    <row r="2522" s="101" customFormat="1" spans="6:6">
      <c r="F2522" s="2423"/>
    </row>
    <row r="2523" s="101" customFormat="1" spans="6:6">
      <c r="F2523" s="2423"/>
    </row>
    <row r="2524" s="101" customFormat="1" spans="6:6">
      <c r="F2524" s="2423"/>
    </row>
    <row r="2525" s="101" customFormat="1" spans="6:6">
      <c r="F2525" s="2423"/>
    </row>
    <row r="2526" s="101" customFormat="1" spans="6:6">
      <c r="F2526" s="2423"/>
    </row>
    <row r="2527" s="101" customFormat="1" spans="6:6">
      <c r="F2527" s="2423"/>
    </row>
    <row r="2528" s="101" customFormat="1" spans="6:6">
      <c r="F2528" s="2423"/>
    </row>
    <row r="2529" s="101" customFormat="1" spans="6:6">
      <c r="F2529" s="2423"/>
    </row>
    <row r="2530" s="101" customFormat="1" spans="6:6">
      <c r="F2530" s="2423"/>
    </row>
    <row r="2531" s="101" customFormat="1" spans="6:6">
      <c r="F2531" s="2423"/>
    </row>
    <row r="2532" s="101" customFormat="1" spans="6:6">
      <c r="F2532" s="2423"/>
    </row>
    <row r="2533" s="101" customFormat="1" spans="6:6">
      <c r="F2533" s="2423"/>
    </row>
    <row r="2534" s="101" customFormat="1" spans="6:6">
      <c r="F2534" s="2423"/>
    </row>
    <row r="2535" s="101" customFormat="1" spans="6:6">
      <c r="F2535" s="2423"/>
    </row>
    <row r="2536" s="101" customFormat="1" spans="6:6">
      <c r="F2536" s="2423"/>
    </row>
    <row r="2537" s="101" customFormat="1" spans="6:6">
      <c r="F2537" s="2423"/>
    </row>
    <row r="2538" s="101" customFormat="1" spans="6:6">
      <c r="F2538" s="2423"/>
    </row>
    <row r="2539" s="101" customFormat="1" spans="6:6">
      <c r="F2539" s="2423"/>
    </row>
    <row r="2540" s="101" customFormat="1" spans="6:6">
      <c r="F2540" s="2423"/>
    </row>
    <row r="2541" s="101" customFormat="1" spans="6:6">
      <c r="F2541" s="2423"/>
    </row>
    <row r="2542" s="101" customFormat="1" spans="6:6">
      <c r="F2542" s="2423"/>
    </row>
    <row r="2543" s="101" customFormat="1" spans="6:6">
      <c r="F2543" s="2423"/>
    </row>
    <row r="2544" s="101" customFormat="1" spans="6:6">
      <c r="F2544" s="2423"/>
    </row>
    <row r="2545" s="101" customFormat="1" spans="6:6">
      <c r="F2545" s="2423"/>
    </row>
    <row r="2546" s="101" customFormat="1" spans="6:6">
      <c r="F2546" s="2423"/>
    </row>
    <row r="2547" s="101" customFormat="1" spans="6:6">
      <c r="F2547" s="2423"/>
    </row>
    <row r="2548" s="101" customFormat="1" spans="6:6">
      <c r="F2548" s="2423"/>
    </row>
    <row r="2549" s="101" customFormat="1" spans="6:6">
      <c r="F2549" s="2423"/>
    </row>
    <row r="2550" s="101" customFormat="1" spans="6:6">
      <c r="F2550" s="2423"/>
    </row>
    <row r="2551" s="101" customFormat="1" spans="6:6">
      <c r="F2551" s="2423"/>
    </row>
    <row r="2552" s="101" customFormat="1" spans="6:6">
      <c r="F2552" s="2423"/>
    </row>
    <row r="2553" s="101" customFormat="1" spans="6:6">
      <c r="F2553" s="2423"/>
    </row>
    <row r="2554" s="101" customFormat="1" spans="6:6">
      <c r="F2554" s="2423"/>
    </row>
    <row r="2555" s="101" customFormat="1" spans="6:6">
      <c r="F2555" s="2423"/>
    </row>
    <row r="2556" s="101" customFormat="1" spans="6:6">
      <c r="F2556" s="2423"/>
    </row>
    <row r="2557" s="101" customFormat="1" spans="6:6">
      <c r="F2557" s="2423"/>
    </row>
    <row r="2558" s="101" customFormat="1" spans="6:6">
      <c r="F2558" s="2423"/>
    </row>
    <row r="2559" s="101" customFormat="1" spans="6:6">
      <c r="F2559" s="2423"/>
    </row>
    <row r="2560" s="101" customFormat="1" spans="6:6">
      <c r="F2560" s="2423"/>
    </row>
    <row r="2561" s="101" customFormat="1" spans="6:6">
      <c r="F2561" s="2423"/>
    </row>
    <row r="2562" s="101" customFormat="1" spans="6:6">
      <c r="F2562" s="2423"/>
    </row>
    <row r="2563" s="101" customFormat="1" spans="6:6">
      <c r="F2563" s="2423"/>
    </row>
    <row r="2564" s="101" customFormat="1" spans="6:6">
      <c r="F2564" s="2423"/>
    </row>
    <row r="2565" s="101" customFormat="1" spans="6:6">
      <c r="F2565" s="2423"/>
    </row>
    <row r="2566" s="101" customFormat="1" spans="6:6">
      <c r="F2566" s="2423"/>
    </row>
    <row r="2567" s="101" customFormat="1" spans="6:6">
      <c r="F2567" s="2423"/>
    </row>
    <row r="2568" s="101" customFormat="1" spans="6:6">
      <c r="F2568" s="2423"/>
    </row>
    <row r="2569" s="101" customFormat="1" spans="6:6">
      <c r="F2569" s="2423"/>
    </row>
    <row r="2570" s="101" customFormat="1" spans="6:6">
      <c r="F2570" s="2423"/>
    </row>
    <row r="2571" s="101" customFormat="1" spans="6:6">
      <c r="F2571" s="2423"/>
    </row>
    <row r="2572" s="101" customFormat="1" spans="6:6">
      <c r="F2572" s="2423"/>
    </row>
    <row r="2573" s="101" customFormat="1" spans="6:6">
      <c r="F2573" s="2423"/>
    </row>
    <row r="2574" s="101" customFormat="1" spans="6:6">
      <c r="F2574" s="2423"/>
    </row>
    <row r="2575" s="101" customFormat="1" spans="6:6">
      <c r="F2575" s="2423"/>
    </row>
    <row r="2576" s="101" customFormat="1" spans="6:6">
      <c r="F2576" s="2423"/>
    </row>
    <row r="2577" s="101" customFormat="1" spans="6:6">
      <c r="F2577" s="2423"/>
    </row>
    <row r="2578" s="101" customFormat="1" spans="6:6">
      <c r="F2578" s="2423"/>
    </row>
    <row r="2579" s="101" customFormat="1" spans="6:6">
      <c r="F2579" s="2423"/>
    </row>
    <row r="2580" s="101" customFormat="1" spans="6:6">
      <c r="F2580" s="2423"/>
    </row>
    <row r="2581" s="101" customFormat="1" spans="6:6">
      <c r="F2581" s="2423"/>
    </row>
    <row r="2582" s="101" customFormat="1" spans="6:6">
      <c r="F2582" s="2423"/>
    </row>
    <row r="2583" s="101" customFormat="1" spans="6:6">
      <c r="F2583" s="2423"/>
    </row>
    <row r="2584" s="101" customFormat="1" spans="6:6">
      <c r="F2584" s="2423"/>
    </row>
    <row r="2585" s="101" customFormat="1" spans="6:6">
      <c r="F2585" s="2423"/>
    </row>
    <row r="2586" s="101" customFormat="1" spans="6:6">
      <c r="F2586" s="2423"/>
    </row>
    <row r="2587" s="101" customFormat="1" spans="6:6">
      <c r="F2587" s="2423"/>
    </row>
    <row r="2588" s="101" customFormat="1" spans="6:6">
      <c r="F2588" s="2423"/>
    </row>
    <row r="2589" s="101" customFormat="1" spans="6:6">
      <c r="F2589" s="2423"/>
    </row>
    <row r="2590" s="101" customFormat="1" spans="6:6">
      <c r="F2590" s="2423"/>
    </row>
    <row r="2591" s="101" customFormat="1" spans="6:6">
      <c r="F2591" s="2423"/>
    </row>
    <row r="2592" s="101" customFormat="1" spans="6:6">
      <c r="F2592" s="2423"/>
    </row>
    <row r="2593" s="101" customFormat="1" spans="6:6">
      <c r="F2593" s="2423"/>
    </row>
    <row r="2594" s="101" customFormat="1" spans="6:6">
      <c r="F2594" s="2423"/>
    </row>
    <row r="2595" s="101" customFormat="1" spans="6:6">
      <c r="F2595" s="2423"/>
    </row>
    <row r="2596" s="101" customFormat="1" spans="6:6">
      <c r="F2596" s="2423"/>
    </row>
    <row r="2597" s="101" customFormat="1" spans="6:6">
      <c r="F2597" s="2423"/>
    </row>
    <row r="2598" s="101" customFormat="1" spans="6:6">
      <c r="F2598" s="2423"/>
    </row>
    <row r="2599" s="101" customFormat="1" spans="6:6">
      <c r="F2599" s="2423"/>
    </row>
    <row r="2600" s="101" customFormat="1" spans="6:6">
      <c r="F2600" s="2423"/>
    </row>
    <row r="2601" s="101" customFormat="1" spans="6:6">
      <c r="F2601" s="2423"/>
    </row>
    <row r="2602" s="101" customFormat="1" spans="6:6">
      <c r="F2602" s="2423"/>
    </row>
    <row r="2603" s="101" customFormat="1" spans="6:6">
      <c r="F2603" s="2423"/>
    </row>
    <row r="2604" s="101" customFormat="1" spans="6:6">
      <c r="F2604" s="2423"/>
    </row>
    <row r="2605" s="101" customFormat="1" spans="6:6">
      <c r="F2605" s="2423"/>
    </row>
    <row r="2606" s="101" customFormat="1" spans="6:6">
      <c r="F2606" s="2423"/>
    </row>
    <row r="2607" s="101" customFormat="1" spans="6:6">
      <c r="F2607" s="2423"/>
    </row>
    <row r="2608" s="101" customFormat="1" spans="6:6">
      <c r="F2608" s="2423"/>
    </row>
    <row r="2609" s="101" customFormat="1" spans="6:6">
      <c r="F2609" s="2423"/>
    </row>
    <row r="2610" s="101" customFormat="1" spans="6:6">
      <c r="F2610" s="2423"/>
    </row>
    <row r="2611" s="101" customFormat="1" spans="6:6">
      <c r="F2611" s="2423"/>
    </row>
    <row r="2612" s="101" customFormat="1" spans="6:6">
      <c r="F2612" s="2423"/>
    </row>
    <row r="2613" s="101" customFormat="1" spans="6:6">
      <c r="F2613" s="2423"/>
    </row>
    <row r="2614" s="101" customFormat="1" spans="6:6">
      <c r="F2614" s="2423"/>
    </row>
    <row r="2615" s="101" customFormat="1" spans="6:6">
      <c r="F2615" s="2423"/>
    </row>
    <row r="2616" s="101" customFormat="1" spans="6:6">
      <c r="F2616" s="2423"/>
    </row>
    <row r="2617" s="101" customFormat="1" spans="6:6">
      <c r="F2617" s="2423"/>
    </row>
    <row r="2618" s="101" customFormat="1" spans="6:6">
      <c r="F2618" s="2423"/>
    </row>
    <row r="2619" s="101" customFormat="1" spans="6:6">
      <c r="F2619" s="2423"/>
    </row>
    <row r="2620" s="101" customFormat="1" spans="6:6">
      <c r="F2620" s="2423"/>
    </row>
    <row r="2621" s="101" customFormat="1" spans="6:6">
      <c r="F2621" s="2423"/>
    </row>
    <row r="2622" s="101" customFormat="1" spans="6:6">
      <c r="F2622" s="2423"/>
    </row>
    <row r="2623" s="101" customFormat="1" spans="6:6">
      <c r="F2623" s="2423"/>
    </row>
    <row r="2624" s="101" customFormat="1" spans="6:6">
      <c r="F2624" s="2423"/>
    </row>
    <row r="2625" s="101" customFormat="1" spans="6:6">
      <c r="F2625" s="2423"/>
    </row>
    <row r="2626" s="101" customFormat="1" spans="6:6">
      <c r="F2626" s="2423"/>
    </row>
    <row r="2627" s="101" customFormat="1" spans="6:6">
      <c r="F2627" s="2423"/>
    </row>
    <row r="2628" s="101" customFormat="1" spans="6:6">
      <c r="F2628" s="2423"/>
    </row>
    <row r="2629" s="101" customFormat="1" spans="6:6">
      <c r="F2629" s="2423"/>
    </row>
    <row r="2630" s="101" customFormat="1" spans="6:6">
      <c r="F2630" s="2423"/>
    </row>
    <row r="2631" s="101" customFormat="1" spans="6:6">
      <c r="F2631" s="2423"/>
    </row>
    <row r="2632" s="101" customFormat="1" spans="6:6">
      <c r="F2632" s="2423"/>
    </row>
    <row r="2633" s="101" customFormat="1" spans="6:6">
      <c r="F2633" s="2423"/>
    </row>
    <row r="2634" s="101" customFormat="1" spans="6:6">
      <c r="F2634" s="2423"/>
    </row>
    <row r="2635" s="101" customFormat="1" spans="6:6">
      <c r="F2635" s="2423"/>
    </row>
    <row r="2636" s="101" customFormat="1" spans="6:6">
      <c r="F2636" s="2423"/>
    </row>
    <row r="2637" s="101" customFormat="1" spans="6:6">
      <c r="F2637" s="2423"/>
    </row>
    <row r="2638" s="101" customFormat="1" spans="6:6">
      <c r="F2638" s="2423"/>
    </row>
    <row r="2639" s="101" customFormat="1" spans="6:6">
      <c r="F2639" s="2423"/>
    </row>
    <row r="2640" s="101" customFormat="1" spans="6:6">
      <c r="F2640" s="2423"/>
    </row>
    <row r="2641" s="101" customFormat="1" spans="6:6">
      <c r="F2641" s="2423"/>
    </row>
    <row r="2642" s="101" customFormat="1" spans="6:6">
      <c r="F2642" s="2423"/>
    </row>
    <row r="2643" s="101" customFormat="1" spans="6:6">
      <c r="F2643" s="2423"/>
    </row>
    <row r="2644" s="101" customFormat="1" spans="6:6">
      <c r="F2644" s="2423"/>
    </row>
    <row r="2645" s="101" customFormat="1" spans="6:6">
      <c r="F2645" s="2423"/>
    </row>
    <row r="2646" s="101" customFormat="1" spans="6:6">
      <c r="F2646" s="2423"/>
    </row>
    <row r="2647" s="101" customFormat="1" spans="6:6">
      <c r="F2647" s="2423"/>
    </row>
    <row r="2648" s="101" customFormat="1" spans="6:6">
      <c r="F2648" s="2423"/>
    </row>
    <row r="2649" s="101" customFormat="1" spans="6:6">
      <c r="F2649" s="2423"/>
    </row>
    <row r="2650" s="101" customFormat="1" spans="6:6">
      <c r="F2650" s="2423"/>
    </row>
    <row r="2651" s="101" customFormat="1" spans="6:6">
      <c r="F2651" s="2423"/>
    </row>
    <row r="2652" s="101" customFormat="1" spans="6:6">
      <c r="F2652" s="2423"/>
    </row>
    <row r="2653" s="101" customFormat="1" spans="6:6">
      <c r="F2653" s="2423"/>
    </row>
    <row r="2654" s="101" customFormat="1" spans="6:6">
      <c r="F2654" s="2423"/>
    </row>
    <row r="2655" s="101" customFormat="1" spans="6:6">
      <c r="F2655" s="2423"/>
    </row>
    <row r="2656" s="101" customFormat="1" spans="6:6">
      <c r="F2656" s="2423"/>
    </row>
    <row r="2657" s="101" customFormat="1" spans="6:6">
      <c r="F2657" s="2423"/>
    </row>
    <row r="2658" s="101" customFormat="1" spans="6:6">
      <c r="F2658" s="2423"/>
    </row>
    <row r="2659" s="101" customFormat="1" spans="6:6">
      <c r="F2659" s="2423"/>
    </row>
    <row r="2660" s="101" customFormat="1" spans="6:6">
      <c r="F2660" s="2423"/>
    </row>
    <row r="2661" s="101" customFormat="1" spans="6:6">
      <c r="F2661" s="2423"/>
    </row>
    <row r="2662" s="101" customFormat="1" spans="6:6">
      <c r="F2662" s="2423"/>
    </row>
    <row r="2663" s="101" customFormat="1" spans="6:6">
      <c r="F2663" s="2423"/>
    </row>
    <row r="2664" s="101" customFormat="1" spans="6:6">
      <c r="F2664" s="2423"/>
    </row>
    <row r="2665" s="101" customFormat="1" spans="6:6">
      <c r="F2665" s="2423"/>
    </row>
    <row r="2666" s="101" customFormat="1" spans="6:6">
      <c r="F2666" s="2423"/>
    </row>
    <row r="2667" s="101" customFormat="1" spans="6:6">
      <c r="F2667" s="2423"/>
    </row>
    <row r="2668" s="101" customFormat="1" spans="6:6">
      <c r="F2668" s="2423"/>
    </row>
    <row r="2669" s="101" customFormat="1" spans="6:6">
      <c r="F2669" s="2423"/>
    </row>
    <row r="2670" s="101" customFormat="1" spans="6:6">
      <c r="F2670" s="2423"/>
    </row>
    <row r="2671" s="101" customFormat="1" spans="6:6">
      <c r="F2671" s="2423"/>
    </row>
    <row r="2672" s="101" customFormat="1" spans="6:6">
      <c r="F2672" s="2423"/>
    </row>
    <row r="2673" s="101" customFormat="1" spans="6:6">
      <c r="F2673" s="2423"/>
    </row>
    <row r="2674" s="101" customFormat="1" spans="6:6">
      <c r="F2674" s="2423"/>
    </row>
    <row r="2675" s="101" customFormat="1" spans="6:6">
      <c r="F2675" s="2423"/>
    </row>
    <row r="2676" s="101" customFormat="1" spans="6:6">
      <c r="F2676" s="2423"/>
    </row>
    <row r="2677" s="101" customFormat="1" spans="6:6">
      <c r="F2677" s="2423"/>
    </row>
    <row r="2678" s="101" customFormat="1" spans="6:6">
      <c r="F2678" s="2423"/>
    </row>
    <row r="2679" s="101" customFormat="1" spans="6:6">
      <c r="F2679" s="2423"/>
    </row>
    <row r="2680" s="101" customFormat="1" spans="6:6">
      <c r="F2680" s="2423"/>
    </row>
    <row r="2681" s="101" customFormat="1" spans="6:6">
      <c r="F2681" s="2423"/>
    </row>
    <row r="2682" s="101" customFormat="1" spans="6:6">
      <c r="F2682" s="2423"/>
    </row>
    <row r="2683" s="101" customFormat="1" spans="6:6">
      <c r="F2683" s="2423"/>
    </row>
    <row r="2684" s="101" customFormat="1" spans="6:6">
      <c r="F2684" s="2423"/>
    </row>
    <row r="2685" s="101" customFormat="1" spans="6:6">
      <c r="F2685" s="2423"/>
    </row>
    <row r="2686" s="101" customFormat="1" spans="6:6">
      <c r="F2686" s="2423"/>
    </row>
    <row r="2687" s="101" customFormat="1" spans="6:6">
      <c r="F2687" s="2423"/>
    </row>
    <row r="2688" s="101" customFormat="1" spans="6:6">
      <c r="F2688" s="2423"/>
    </row>
    <row r="2689" s="101" customFormat="1" spans="6:6">
      <c r="F2689" s="2423"/>
    </row>
    <row r="2690" s="101" customFormat="1" spans="6:6">
      <c r="F2690" s="2423"/>
    </row>
    <row r="2691" s="101" customFormat="1" spans="6:6">
      <c r="F2691" s="2423"/>
    </row>
    <row r="2692" s="101" customFormat="1" spans="6:6">
      <c r="F2692" s="2423"/>
    </row>
    <row r="2693" s="101" customFormat="1" spans="6:6">
      <c r="F2693" s="2423"/>
    </row>
    <row r="2694" s="101" customFormat="1" spans="6:6">
      <c r="F2694" s="2423"/>
    </row>
    <row r="2695" s="101" customFormat="1" spans="6:6">
      <c r="F2695" s="2423"/>
    </row>
    <row r="2696" s="101" customFormat="1" spans="6:6">
      <c r="F2696" s="2423"/>
    </row>
    <row r="2697" s="101" customFormat="1" spans="6:6">
      <c r="F2697" s="2423"/>
    </row>
    <row r="2698" s="101" customFormat="1" spans="6:6">
      <c r="F2698" s="2423"/>
    </row>
    <row r="2699" s="101" customFormat="1" spans="6:6">
      <c r="F2699" s="2423"/>
    </row>
    <row r="2700" s="101" customFormat="1" spans="6:6">
      <c r="F2700" s="2423"/>
    </row>
    <row r="2701" s="101" customFormat="1" spans="6:6">
      <c r="F2701" s="2423"/>
    </row>
    <row r="2702" s="101" customFormat="1" spans="6:6">
      <c r="F2702" s="2423"/>
    </row>
    <row r="2703" s="101" customFormat="1" spans="6:6">
      <c r="F2703" s="2423"/>
    </row>
    <row r="2704" s="101" customFormat="1" spans="6:6">
      <c r="F2704" s="2423"/>
    </row>
    <row r="2705" s="101" customFormat="1" spans="6:6">
      <c r="F2705" s="2423"/>
    </row>
    <row r="2706" s="101" customFormat="1" spans="6:6">
      <c r="F2706" s="2423"/>
    </row>
    <row r="2707" s="101" customFormat="1" spans="6:6">
      <c r="F2707" s="2423"/>
    </row>
    <row r="2708" s="101" customFormat="1" spans="6:6">
      <c r="F2708" s="2423"/>
    </row>
    <row r="2709" s="101" customFormat="1" spans="6:6">
      <c r="F2709" s="2423"/>
    </row>
    <row r="2710" s="101" customFormat="1" spans="6:6">
      <c r="F2710" s="2423"/>
    </row>
    <row r="2711" s="101" customFormat="1" spans="6:6">
      <c r="F2711" s="2423"/>
    </row>
    <row r="2712" s="101" customFormat="1" spans="6:6">
      <c r="F2712" s="2423"/>
    </row>
    <row r="2713" s="101" customFormat="1" spans="6:6">
      <c r="F2713" s="2423"/>
    </row>
    <row r="2714" s="101" customFormat="1" spans="6:6">
      <c r="F2714" s="2423"/>
    </row>
    <row r="2715" s="101" customFormat="1" spans="6:6">
      <c r="F2715" s="2423"/>
    </row>
    <row r="2716" s="101" customFormat="1" spans="6:6">
      <c r="F2716" s="2423"/>
    </row>
    <row r="2717" s="101" customFormat="1" spans="6:6">
      <c r="F2717" s="2423"/>
    </row>
    <row r="2718" s="101" customFormat="1" spans="6:6">
      <c r="F2718" s="2423"/>
    </row>
    <row r="2719" s="101" customFormat="1" spans="6:6">
      <c r="F2719" s="2423"/>
    </row>
    <row r="2720" s="101" customFormat="1" spans="6:6">
      <c r="F2720" s="2423"/>
    </row>
    <row r="2721" s="101" customFormat="1" spans="6:6">
      <c r="F2721" s="2423"/>
    </row>
    <row r="2722" s="101" customFormat="1" spans="6:6">
      <c r="F2722" s="2423"/>
    </row>
    <row r="2723" s="101" customFormat="1" spans="6:6">
      <c r="F2723" s="2423"/>
    </row>
    <row r="2724" s="101" customFormat="1" spans="6:6">
      <c r="F2724" s="2423"/>
    </row>
    <row r="2725" s="101" customFormat="1" spans="6:6">
      <c r="F2725" s="2423"/>
    </row>
    <row r="2726" s="101" customFormat="1" spans="6:6">
      <c r="F2726" s="2423"/>
    </row>
    <row r="2727" s="101" customFormat="1" spans="6:6">
      <c r="F2727" s="2423"/>
    </row>
    <row r="2728" s="101" customFormat="1" spans="6:6">
      <c r="F2728" s="2423"/>
    </row>
    <row r="2729" s="101" customFormat="1" spans="6:6">
      <c r="F2729" s="2423"/>
    </row>
    <row r="2730" s="101" customFormat="1" spans="6:6">
      <c r="F2730" s="2423"/>
    </row>
    <row r="2731" s="101" customFormat="1" spans="6:6">
      <c r="F2731" s="2423"/>
    </row>
    <row r="2732" s="101" customFormat="1" spans="6:6">
      <c r="F2732" s="2423"/>
    </row>
    <row r="2733" s="101" customFormat="1" spans="6:6">
      <c r="F2733" s="2423"/>
    </row>
    <row r="2734" s="101" customFormat="1" spans="6:6">
      <c r="F2734" s="2423"/>
    </row>
    <row r="2735" s="101" customFormat="1" spans="6:6">
      <c r="F2735" s="2423"/>
    </row>
    <row r="2736" s="101" customFormat="1" spans="6:6">
      <c r="F2736" s="2423"/>
    </row>
    <row r="2737" s="101" customFormat="1" spans="6:6">
      <c r="F2737" s="2423"/>
    </row>
    <row r="2738" s="101" customFormat="1" spans="6:6">
      <c r="F2738" s="2423"/>
    </row>
    <row r="2739" s="101" customFormat="1" spans="6:6">
      <c r="F2739" s="2423"/>
    </row>
    <row r="2740" s="101" customFormat="1" spans="6:6">
      <c r="F2740" s="2423"/>
    </row>
    <row r="2741" s="101" customFormat="1" spans="6:6">
      <c r="F2741" s="2423"/>
    </row>
    <row r="2742" s="101" customFormat="1" spans="6:6">
      <c r="F2742" s="2423"/>
    </row>
    <row r="2743" s="101" customFormat="1" spans="6:6">
      <c r="F2743" s="2423"/>
    </row>
    <row r="2744" s="101" customFormat="1" spans="6:6">
      <c r="F2744" s="2423"/>
    </row>
    <row r="2745" s="101" customFormat="1" spans="6:6">
      <c r="F2745" s="2423"/>
    </row>
    <row r="2746" s="101" customFormat="1" spans="6:6">
      <c r="F2746" s="2423"/>
    </row>
    <row r="2747" s="101" customFormat="1" spans="6:6">
      <c r="F2747" s="2423"/>
    </row>
    <row r="2748" s="101" customFormat="1" spans="6:6">
      <c r="F2748" s="2423"/>
    </row>
    <row r="2749" s="101" customFormat="1" spans="6:6">
      <c r="F2749" s="2423"/>
    </row>
    <row r="2750" s="101" customFormat="1" spans="6:6">
      <c r="F2750" s="2423"/>
    </row>
    <row r="2751" s="101" customFormat="1" spans="6:6">
      <c r="F2751" s="2423"/>
    </row>
    <row r="2752" s="101" customFormat="1" spans="6:6">
      <c r="F2752" s="2423"/>
    </row>
    <row r="2753" s="101" customFormat="1" spans="6:6">
      <c r="F2753" s="2423"/>
    </row>
    <row r="2754" s="101" customFormat="1" spans="6:6">
      <c r="F2754" s="2423"/>
    </row>
    <row r="2755" s="101" customFormat="1" spans="6:6">
      <c r="F2755" s="2423"/>
    </row>
    <row r="2756" s="101" customFormat="1" spans="6:6">
      <c r="F2756" s="2423"/>
    </row>
    <row r="2757" s="101" customFormat="1" spans="6:6">
      <c r="F2757" s="2423"/>
    </row>
    <row r="2758" s="101" customFormat="1" spans="6:6">
      <c r="F2758" s="2423"/>
    </row>
    <row r="2759" s="101" customFormat="1" spans="6:6">
      <c r="F2759" s="2423"/>
    </row>
    <row r="2760" s="101" customFormat="1" spans="6:6">
      <c r="F2760" s="2423"/>
    </row>
    <row r="2761" s="101" customFormat="1" spans="6:6">
      <c r="F2761" s="2423"/>
    </row>
    <row r="2762" s="101" customFormat="1" spans="6:6">
      <c r="F2762" s="2423"/>
    </row>
    <row r="2763" s="101" customFormat="1" spans="6:6">
      <c r="F2763" s="2423"/>
    </row>
    <row r="2764" s="101" customFormat="1" spans="6:6">
      <c r="F2764" s="2423"/>
    </row>
    <row r="2765" s="101" customFormat="1" spans="6:6">
      <c r="F2765" s="2423"/>
    </row>
    <row r="2766" s="101" customFormat="1" spans="6:6">
      <c r="F2766" s="2423"/>
    </row>
    <row r="2767" s="101" customFormat="1" spans="6:6">
      <c r="F2767" s="2423"/>
    </row>
    <row r="2768" s="101" customFormat="1" spans="6:6">
      <c r="F2768" s="2423"/>
    </row>
    <row r="2769" s="101" customFormat="1" spans="6:6">
      <c r="F2769" s="2423"/>
    </row>
    <row r="2770" s="101" customFormat="1" spans="6:6">
      <c r="F2770" s="2423"/>
    </row>
    <row r="2771" s="101" customFormat="1" spans="6:6">
      <c r="F2771" s="2423"/>
    </row>
    <row r="2772" s="101" customFormat="1" spans="6:6">
      <c r="F2772" s="2423"/>
    </row>
    <row r="2773" s="101" customFormat="1" spans="6:6">
      <c r="F2773" s="2423"/>
    </row>
    <row r="2774" s="101" customFormat="1" spans="6:6">
      <c r="F2774" s="2423"/>
    </row>
    <row r="2775" s="101" customFormat="1" spans="6:6">
      <c r="F2775" s="2423"/>
    </row>
    <row r="2776" s="101" customFormat="1" spans="6:6">
      <c r="F2776" s="2423"/>
    </row>
    <row r="2777" s="101" customFormat="1" spans="6:6">
      <c r="F2777" s="2423"/>
    </row>
    <row r="2778" s="101" customFormat="1" spans="6:6">
      <c r="F2778" s="2423"/>
    </row>
    <row r="2779" s="101" customFormat="1" spans="6:6">
      <c r="F2779" s="2423"/>
    </row>
    <row r="2780" s="101" customFormat="1" spans="6:6">
      <c r="F2780" s="2423"/>
    </row>
    <row r="2781" s="101" customFormat="1" spans="6:6">
      <c r="F2781" s="2423"/>
    </row>
    <row r="2782" s="101" customFormat="1" spans="6:6">
      <c r="F2782" s="2423"/>
    </row>
    <row r="2783" s="101" customFormat="1" spans="6:6">
      <c r="F2783" s="2423"/>
    </row>
    <row r="2784" s="101" customFormat="1" spans="6:6">
      <c r="F2784" s="2423"/>
    </row>
    <row r="2785" s="101" customFormat="1" spans="6:6">
      <c r="F2785" s="2423"/>
    </row>
    <row r="2786" s="101" customFormat="1" spans="6:6">
      <c r="F2786" s="2423"/>
    </row>
    <row r="2787" s="101" customFormat="1" spans="6:6">
      <c r="F2787" s="2423"/>
    </row>
    <row r="2788" s="101" customFormat="1" spans="6:6">
      <c r="F2788" s="2423"/>
    </row>
    <row r="2789" s="101" customFormat="1" spans="6:6">
      <c r="F2789" s="2423"/>
    </row>
    <row r="2790" s="101" customFormat="1" spans="6:6">
      <c r="F2790" s="2423"/>
    </row>
    <row r="2791" s="101" customFormat="1" spans="6:6">
      <c r="F2791" s="2423"/>
    </row>
    <row r="2792" s="101" customFormat="1" spans="6:6">
      <c r="F2792" s="2423"/>
    </row>
    <row r="2793" s="101" customFormat="1" spans="6:6">
      <c r="F2793" s="2423"/>
    </row>
    <row r="2794" s="101" customFormat="1" spans="6:6">
      <c r="F2794" s="2423"/>
    </row>
    <row r="2795" s="101" customFormat="1" spans="6:6">
      <c r="F2795" s="2423"/>
    </row>
    <row r="2796" s="101" customFormat="1" spans="6:6">
      <c r="F2796" s="2423"/>
    </row>
    <row r="2797" s="101" customFormat="1" spans="6:6">
      <c r="F2797" s="2423"/>
    </row>
    <row r="2798" s="101" customFormat="1" spans="6:6">
      <c r="F2798" s="2423"/>
    </row>
    <row r="2799" s="101" customFormat="1" spans="6:6">
      <c r="F2799" s="2423"/>
    </row>
    <row r="2800" s="101" customFormat="1" spans="6:6">
      <c r="F2800" s="2423"/>
    </row>
    <row r="2801" s="101" customFormat="1" spans="6:6">
      <c r="F2801" s="2423"/>
    </row>
    <row r="2802" s="101" customFormat="1" spans="6:6">
      <c r="F2802" s="2423"/>
    </row>
    <row r="2803" s="101" customFormat="1" spans="6:6">
      <c r="F2803" s="2423"/>
    </row>
    <row r="2804" s="101" customFormat="1" spans="6:6">
      <c r="F2804" s="2423"/>
    </row>
    <row r="2805" s="101" customFormat="1" spans="6:6">
      <c r="F2805" s="2423"/>
    </row>
    <row r="2806" s="101" customFormat="1" spans="6:6">
      <c r="F2806" s="2423"/>
    </row>
    <row r="2807" s="101" customFormat="1" spans="6:6">
      <c r="F2807" s="2423"/>
    </row>
    <row r="2808" s="101" customFormat="1" spans="6:6">
      <c r="F2808" s="2423"/>
    </row>
    <row r="2809" s="101" customFormat="1" spans="6:6">
      <c r="F2809" s="2423"/>
    </row>
    <row r="2810" s="101" customFormat="1" spans="6:6">
      <c r="F2810" s="2423"/>
    </row>
    <row r="2811" s="101" customFormat="1" spans="6:6">
      <c r="F2811" s="2423"/>
    </row>
    <row r="2812" s="101" customFormat="1" spans="6:6">
      <c r="F2812" s="2423"/>
    </row>
    <row r="2813" s="101" customFormat="1" spans="6:6">
      <c r="F2813" s="2423"/>
    </row>
    <row r="2814" s="101" customFormat="1" spans="6:6">
      <c r="F2814" s="2423"/>
    </row>
    <row r="2815" s="101" customFormat="1" spans="6:6">
      <c r="F2815" s="2423"/>
    </row>
    <row r="2816" s="101" customFormat="1" spans="6:6">
      <c r="F2816" s="2423"/>
    </row>
    <row r="2817" s="101" customFormat="1" spans="6:6">
      <c r="F2817" s="2423"/>
    </row>
    <row r="2818" s="101" customFormat="1" spans="6:6">
      <c r="F2818" s="2423"/>
    </row>
    <row r="2819" s="101" customFormat="1" spans="6:6">
      <c r="F2819" s="2423"/>
    </row>
    <row r="2820" s="101" customFormat="1" spans="6:6">
      <c r="F2820" s="2423"/>
    </row>
    <row r="2821" s="101" customFormat="1" spans="6:6">
      <c r="F2821" s="2423"/>
    </row>
    <row r="2822" s="101" customFormat="1" spans="6:6">
      <c r="F2822" s="2423"/>
    </row>
    <row r="2823" s="101" customFormat="1" spans="6:6">
      <c r="F2823" s="2423"/>
    </row>
    <row r="2824" s="101" customFormat="1" spans="6:6">
      <c r="F2824" s="2423"/>
    </row>
    <row r="2825" s="101" customFormat="1" spans="6:6">
      <c r="F2825" s="2423"/>
    </row>
    <row r="2826" s="101" customFormat="1" spans="6:6">
      <c r="F2826" s="2423"/>
    </row>
    <row r="2827" s="101" customFormat="1" spans="6:6">
      <c r="F2827" s="2423"/>
    </row>
    <row r="2828" s="101" customFormat="1" spans="6:6">
      <c r="F2828" s="2423"/>
    </row>
    <row r="2829" s="101" customFormat="1" spans="6:6">
      <c r="F2829" s="2423"/>
    </row>
    <row r="2830" s="101" customFormat="1" spans="6:6">
      <c r="F2830" s="2423"/>
    </row>
    <row r="2831" s="101" customFormat="1" spans="6:6">
      <c r="F2831" s="2423"/>
    </row>
    <row r="2832" s="101" customFormat="1" spans="6:6">
      <c r="F2832" s="2423"/>
    </row>
    <row r="2833" s="101" customFormat="1" spans="6:6">
      <c r="F2833" s="2423"/>
    </row>
    <row r="2834" s="101" customFormat="1" spans="6:6">
      <c r="F2834" s="2423"/>
    </row>
    <row r="2835" s="101" customFormat="1" spans="6:6">
      <c r="F2835" s="2423"/>
    </row>
    <row r="2836" s="101" customFormat="1" spans="6:6">
      <c r="F2836" s="2423"/>
    </row>
    <row r="2837" s="101" customFormat="1" spans="6:6">
      <c r="F2837" s="2423"/>
    </row>
    <row r="2838" s="101" customFormat="1" spans="6:6">
      <c r="F2838" s="2423"/>
    </row>
    <row r="2839" s="101" customFormat="1" spans="6:6">
      <c r="F2839" s="2423"/>
    </row>
    <row r="2840" s="101" customFormat="1" spans="6:6">
      <c r="F2840" s="2423"/>
    </row>
    <row r="2841" s="101" customFormat="1" spans="6:6">
      <c r="F2841" s="2423"/>
    </row>
    <row r="2842" s="101" customFormat="1" spans="6:6">
      <c r="F2842" s="2423"/>
    </row>
    <row r="2843" s="101" customFormat="1" spans="6:6">
      <c r="F2843" s="2423"/>
    </row>
    <row r="2844" s="101" customFormat="1" spans="6:6">
      <c r="F2844" s="2423"/>
    </row>
    <row r="2845" s="101" customFormat="1" spans="6:6">
      <c r="F2845" s="2423"/>
    </row>
    <row r="2846" s="101" customFormat="1" spans="6:6">
      <c r="F2846" s="2423"/>
    </row>
    <row r="2847" s="101" customFormat="1" spans="6:6">
      <c r="F2847" s="2423"/>
    </row>
    <row r="2848" s="101" customFormat="1" spans="6:6">
      <c r="F2848" s="2423"/>
    </row>
    <row r="2849" s="101" customFormat="1" spans="6:6">
      <c r="F2849" s="2423"/>
    </row>
    <row r="2850" s="101" customFormat="1" spans="6:6">
      <c r="F2850" s="2423"/>
    </row>
    <row r="2851" s="101" customFormat="1" spans="6:6">
      <c r="F2851" s="2423"/>
    </row>
    <row r="2852" s="101" customFormat="1" spans="6:6">
      <c r="F2852" s="2423"/>
    </row>
    <row r="2853" s="101" customFormat="1" spans="6:6">
      <c r="F2853" s="2423"/>
    </row>
    <row r="2854" s="101" customFormat="1" spans="6:6">
      <c r="F2854" s="2423"/>
    </row>
    <row r="2855" s="101" customFormat="1" spans="6:6">
      <c r="F2855" s="2423"/>
    </row>
    <row r="2856" s="101" customFormat="1" spans="6:6">
      <c r="F2856" s="2423"/>
    </row>
    <row r="2857" s="101" customFormat="1" spans="6:6">
      <c r="F2857" s="2423"/>
    </row>
    <row r="2858" s="101" customFormat="1" spans="6:6">
      <c r="F2858" s="2423"/>
    </row>
    <row r="2859" s="101" customFormat="1" spans="6:6">
      <c r="F2859" s="2423"/>
    </row>
    <row r="2860" s="101" customFormat="1" spans="6:6">
      <c r="F2860" s="2423"/>
    </row>
    <row r="2861" s="101" customFormat="1" spans="6:6">
      <c r="F2861" s="2423"/>
    </row>
    <row r="2862" s="101" customFormat="1" spans="6:6">
      <c r="F2862" s="2423"/>
    </row>
    <row r="2863" s="101" customFormat="1" spans="6:6">
      <c r="F2863" s="2423"/>
    </row>
    <row r="2864" s="101" customFormat="1" spans="6:6">
      <c r="F2864" s="2423"/>
    </row>
    <row r="2865" s="101" customFormat="1" spans="6:6">
      <c r="F2865" s="2423"/>
    </row>
    <row r="2866" s="101" customFormat="1" spans="6:6">
      <c r="F2866" s="2423"/>
    </row>
    <row r="2867" s="101" customFormat="1" spans="6:6">
      <c r="F2867" s="2423"/>
    </row>
    <row r="2868" s="101" customFormat="1" spans="6:6">
      <c r="F2868" s="2423"/>
    </row>
    <row r="2869" s="101" customFormat="1" spans="6:6">
      <c r="F2869" s="2423"/>
    </row>
    <row r="2870" s="101" customFormat="1" spans="6:6">
      <c r="F2870" s="2423"/>
    </row>
    <row r="2871" s="101" customFormat="1" spans="6:6">
      <c r="F2871" s="2423"/>
    </row>
    <row r="2872" s="101" customFormat="1" spans="6:6">
      <c r="F2872" s="2423"/>
    </row>
    <row r="2873" s="101" customFormat="1" spans="6:6">
      <c r="F2873" s="2423"/>
    </row>
    <row r="2874" s="101" customFormat="1" spans="6:6">
      <c r="F2874" s="2423"/>
    </row>
    <row r="2875" s="101" customFormat="1" spans="6:6">
      <c r="F2875" s="2423"/>
    </row>
    <row r="2876" s="101" customFormat="1" spans="6:6">
      <c r="F2876" s="2423"/>
    </row>
    <row r="2877" s="101" customFormat="1" spans="6:6">
      <c r="F2877" s="2423"/>
    </row>
    <row r="2878" s="101" customFormat="1" spans="6:6">
      <c r="F2878" s="2423"/>
    </row>
    <row r="2879" s="101" customFormat="1" spans="6:6">
      <c r="F2879" s="2423"/>
    </row>
    <row r="2880" s="101" customFormat="1" spans="6:6">
      <c r="F2880" s="2423"/>
    </row>
    <row r="2881" s="101" customFormat="1" spans="6:6">
      <c r="F2881" s="2423"/>
    </row>
    <row r="2882" s="101" customFormat="1" spans="6:6">
      <c r="F2882" s="2423"/>
    </row>
    <row r="2883" s="101" customFormat="1" spans="6:6">
      <c r="F2883" s="2423"/>
    </row>
    <row r="2884" s="101" customFormat="1" spans="6:6">
      <c r="F2884" s="2423"/>
    </row>
    <row r="2885" s="101" customFormat="1" spans="6:6">
      <c r="F2885" s="2423"/>
    </row>
    <row r="2886" s="101" customFormat="1" spans="6:6">
      <c r="F2886" s="2423"/>
    </row>
    <row r="2887" s="101" customFormat="1" spans="6:6">
      <c r="F2887" s="2423"/>
    </row>
    <row r="2888" s="101" customFormat="1" spans="6:6">
      <c r="F2888" s="2423"/>
    </row>
    <row r="2889" s="101" customFormat="1" spans="6:6">
      <c r="F2889" s="2423"/>
    </row>
    <row r="2890" s="101" customFormat="1" spans="6:6">
      <c r="F2890" s="2423"/>
    </row>
    <row r="2891" s="101" customFormat="1" spans="6:6">
      <c r="F2891" s="2423"/>
    </row>
    <row r="2892" s="101" customFormat="1" spans="6:6">
      <c r="F2892" s="2423"/>
    </row>
    <row r="2893" s="101" customFormat="1" spans="6:6">
      <c r="F2893" s="2423"/>
    </row>
    <row r="2894" s="101" customFormat="1" spans="6:6">
      <c r="F2894" s="2423"/>
    </row>
    <row r="2895" s="101" customFormat="1" spans="6:6">
      <c r="F2895" s="2423"/>
    </row>
    <row r="2896" s="101" customFormat="1" spans="6:6">
      <c r="F2896" s="2423"/>
    </row>
    <row r="2897" s="101" customFormat="1" spans="6:6">
      <c r="F2897" s="2423"/>
    </row>
    <row r="2898" s="101" customFormat="1" spans="6:6">
      <c r="F2898" s="2423"/>
    </row>
    <row r="2899" s="101" customFormat="1" spans="6:6">
      <c r="F2899" s="2423"/>
    </row>
    <row r="2900" s="101" customFormat="1" spans="6:6">
      <c r="F2900" s="2423"/>
    </row>
    <row r="2901" s="101" customFormat="1" spans="6:6">
      <c r="F2901" s="2423"/>
    </row>
    <row r="2902" s="101" customFormat="1" spans="6:6">
      <c r="F2902" s="2423"/>
    </row>
    <row r="2903" s="101" customFormat="1" spans="6:6">
      <c r="F2903" s="2423"/>
    </row>
    <row r="2904" s="101" customFormat="1" spans="6:6">
      <c r="F2904" s="2423"/>
    </row>
    <row r="2905" s="101" customFormat="1" spans="6:6">
      <c r="F2905" s="2423"/>
    </row>
    <row r="2906" s="101" customFormat="1" spans="6:6">
      <c r="F2906" s="2423"/>
    </row>
    <row r="2907" s="101" customFormat="1" spans="6:6">
      <c r="F2907" s="2423"/>
    </row>
    <row r="2908" s="101" customFormat="1" spans="6:6">
      <c r="F2908" s="2423"/>
    </row>
    <row r="2909" s="101" customFormat="1" spans="6:6">
      <c r="F2909" s="2423"/>
    </row>
    <row r="2910" s="101" customFormat="1" spans="6:6">
      <c r="F2910" s="2423"/>
    </row>
    <row r="2911" s="101" customFormat="1" spans="6:6">
      <c r="F2911" s="2423"/>
    </row>
    <row r="2912" s="101" customFormat="1" spans="6:6">
      <c r="F2912" s="2423"/>
    </row>
    <row r="2913" s="101" customFormat="1" spans="6:6">
      <c r="F2913" s="2423"/>
    </row>
    <row r="2914" s="101" customFormat="1" spans="6:6">
      <c r="F2914" s="2423"/>
    </row>
    <row r="2915" s="101" customFormat="1" spans="6:6">
      <c r="F2915" s="2423"/>
    </row>
    <row r="2916" s="101" customFormat="1" spans="6:6">
      <c r="F2916" s="2423"/>
    </row>
    <row r="2917" s="101" customFormat="1" spans="6:6">
      <c r="F2917" s="2423"/>
    </row>
    <row r="2918" s="101" customFormat="1" spans="6:6">
      <c r="F2918" s="2423"/>
    </row>
    <row r="2919" s="101" customFormat="1" spans="6:6">
      <c r="F2919" s="2423"/>
    </row>
    <row r="2920" s="101" customFormat="1" spans="6:6">
      <c r="F2920" s="2423"/>
    </row>
    <row r="2921" s="101" customFormat="1" spans="6:6">
      <c r="F2921" s="2423"/>
    </row>
    <row r="2922" s="101" customFormat="1" spans="6:6">
      <c r="F2922" s="2423"/>
    </row>
    <row r="2923" s="101" customFormat="1" spans="6:6">
      <c r="F2923" s="2423"/>
    </row>
    <row r="2924" s="101" customFormat="1" spans="6:6">
      <c r="F2924" s="2423"/>
    </row>
    <row r="2925" s="101" customFormat="1" spans="6:6">
      <c r="F2925" s="2423"/>
    </row>
    <row r="2926" s="101" customFormat="1" spans="6:6">
      <c r="F2926" s="2423"/>
    </row>
    <row r="2927" s="101" customFormat="1" spans="6:6">
      <c r="F2927" s="2423"/>
    </row>
    <row r="2928" s="101" customFormat="1" spans="6:6">
      <c r="F2928" s="2423"/>
    </row>
    <row r="2929" s="101" customFormat="1" spans="6:6">
      <c r="F2929" s="2423"/>
    </row>
    <row r="2930" s="101" customFormat="1" spans="6:6">
      <c r="F2930" s="2423"/>
    </row>
    <row r="2931" s="101" customFormat="1" spans="6:6">
      <c r="F2931" s="2423"/>
    </row>
    <row r="2932" s="101" customFormat="1" spans="6:6">
      <c r="F2932" s="2423"/>
    </row>
    <row r="2933" s="101" customFormat="1" spans="6:6">
      <c r="F2933" s="2423"/>
    </row>
    <row r="2934" s="101" customFormat="1" spans="6:6">
      <c r="F2934" s="2423"/>
    </row>
    <row r="2935" s="101" customFormat="1" spans="6:6">
      <c r="F2935" s="2423"/>
    </row>
    <row r="2936" s="101" customFormat="1" spans="6:6">
      <c r="F2936" s="2423"/>
    </row>
    <row r="2937" s="101" customFormat="1" spans="6:6">
      <c r="F2937" s="2423"/>
    </row>
    <row r="2938" s="101" customFormat="1" spans="6:6">
      <c r="F2938" s="2423"/>
    </row>
    <row r="2939" s="101" customFormat="1" spans="6:6">
      <c r="F2939" s="2423"/>
    </row>
    <row r="2940" s="101" customFormat="1" spans="6:6">
      <c r="F2940" s="2423"/>
    </row>
    <row r="2941" s="101" customFormat="1" spans="6:6">
      <c r="F2941" s="2423"/>
    </row>
    <row r="2942" s="101" customFormat="1" spans="6:6">
      <c r="F2942" s="2423"/>
    </row>
    <row r="2943" s="101" customFormat="1" spans="6:6">
      <c r="F2943" s="2423"/>
    </row>
    <row r="2944" s="101" customFormat="1" spans="6:6">
      <c r="F2944" s="2423"/>
    </row>
    <row r="2945" s="101" customFormat="1" spans="6:6">
      <c r="F2945" s="2423"/>
    </row>
    <row r="2946" s="101" customFormat="1" spans="6:6">
      <c r="F2946" s="2423"/>
    </row>
    <row r="2947" s="101" customFormat="1" spans="6:6">
      <c r="F2947" s="2423"/>
    </row>
    <row r="2948" s="101" customFormat="1" spans="6:6">
      <c r="F2948" s="2423"/>
    </row>
    <row r="2949" s="101" customFormat="1" spans="6:6">
      <c r="F2949" s="2423"/>
    </row>
    <row r="2950" s="101" customFormat="1" spans="6:6">
      <c r="F2950" s="2423"/>
    </row>
    <row r="2951" s="101" customFormat="1" spans="6:6">
      <c r="F2951" s="2423"/>
    </row>
    <row r="2952" s="101" customFormat="1" spans="6:6">
      <c r="F2952" s="2423"/>
    </row>
    <row r="2953" s="101" customFormat="1" spans="6:6">
      <c r="F2953" s="2423"/>
    </row>
    <row r="2954" s="101" customFormat="1" spans="6:6">
      <c r="F2954" s="2423"/>
    </row>
    <row r="2955" s="101" customFormat="1" spans="6:6">
      <c r="F2955" s="2423"/>
    </row>
    <row r="2956" s="101" customFormat="1" spans="6:6">
      <c r="F2956" s="2423"/>
    </row>
    <row r="2957" s="101" customFormat="1" spans="6:6">
      <c r="F2957" s="2423"/>
    </row>
    <row r="2958" s="101" customFormat="1" spans="6:6">
      <c r="F2958" s="2423"/>
    </row>
    <row r="2959" s="101" customFormat="1" spans="6:6">
      <c r="F2959" s="2423"/>
    </row>
    <row r="2960" s="101" customFormat="1" spans="6:6">
      <c r="F2960" s="2423"/>
    </row>
    <row r="2961" s="101" customFormat="1" spans="6:6">
      <c r="F2961" s="2423"/>
    </row>
    <row r="2962" s="101" customFormat="1" spans="6:6">
      <c r="F2962" s="2423"/>
    </row>
    <row r="2963" s="101" customFormat="1" spans="6:6">
      <c r="F2963" s="2423"/>
    </row>
    <row r="2964" s="101" customFormat="1" spans="6:6">
      <c r="F2964" s="2423"/>
    </row>
    <row r="2965" s="101" customFormat="1" spans="6:6">
      <c r="F2965" s="2423"/>
    </row>
    <row r="2966" s="101" customFormat="1" spans="6:6">
      <c r="F2966" s="2423"/>
    </row>
    <row r="2967" s="101" customFormat="1" spans="6:6">
      <c r="F2967" s="2423"/>
    </row>
    <row r="2968" s="101" customFormat="1" spans="6:6">
      <c r="F2968" s="2423"/>
    </row>
    <row r="2969" s="101" customFormat="1" spans="6:6">
      <c r="F2969" s="2423"/>
    </row>
    <row r="2970" s="101" customFormat="1" spans="6:6">
      <c r="F2970" s="2423"/>
    </row>
    <row r="2971" s="101" customFormat="1" spans="6:6">
      <c r="F2971" s="2423"/>
    </row>
    <row r="2972" s="101" customFormat="1" spans="6:6">
      <c r="F2972" s="2423"/>
    </row>
    <row r="2973" s="101" customFormat="1" spans="6:6">
      <c r="F2973" s="2423"/>
    </row>
    <row r="2974" s="101" customFormat="1" spans="6:6">
      <c r="F2974" s="2423"/>
    </row>
    <row r="2975" s="101" customFormat="1" spans="6:6">
      <c r="F2975" s="2423"/>
    </row>
    <row r="2976" s="101" customFormat="1" spans="6:6">
      <c r="F2976" s="2423"/>
    </row>
    <row r="2977" s="101" customFormat="1" spans="6:6">
      <c r="F2977" s="2423"/>
    </row>
    <row r="2978" s="101" customFormat="1" spans="6:6">
      <c r="F2978" s="2423"/>
    </row>
    <row r="2979" s="101" customFormat="1" spans="6:6">
      <c r="F2979" s="2423"/>
    </row>
    <row r="2980" s="101" customFormat="1" spans="6:6">
      <c r="F2980" s="2423"/>
    </row>
    <row r="2981" s="101" customFormat="1" spans="6:6">
      <c r="F2981" s="2423"/>
    </row>
    <row r="2982" s="101" customFormat="1" spans="6:6">
      <c r="F2982" s="2423"/>
    </row>
    <row r="2983" s="101" customFormat="1" spans="6:6">
      <c r="F2983" s="2423"/>
    </row>
    <row r="2984" s="101" customFormat="1" spans="6:6">
      <c r="F2984" s="2423"/>
    </row>
    <row r="2985" s="101" customFormat="1" spans="6:6">
      <c r="F2985" s="2423"/>
    </row>
    <row r="2986" s="101" customFormat="1" spans="6:6">
      <c r="F2986" s="2423"/>
    </row>
    <row r="2987" s="101" customFormat="1" spans="6:6">
      <c r="F2987" s="2423"/>
    </row>
    <row r="2988" s="101" customFormat="1" spans="6:6">
      <c r="F2988" s="2423"/>
    </row>
    <row r="2989" s="101" customFormat="1" spans="6:6">
      <c r="F2989" s="2423"/>
    </row>
    <row r="2990" s="101" customFormat="1" spans="6:6">
      <c r="F2990" s="2423"/>
    </row>
    <row r="2991" s="101" customFormat="1" spans="6:6">
      <c r="F2991" s="2423"/>
    </row>
    <row r="2992" s="101" customFormat="1" spans="6:6">
      <c r="F2992" s="2423"/>
    </row>
    <row r="2993" s="101" customFormat="1" spans="6:6">
      <c r="F2993" s="2423"/>
    </row>
    <row r="2994" s="101" customFormat="1" spans="6:6">
      <c r="F2994" s="2423"/>
    </row>
    <row r="2995" s="101" customFormat="1" spans="6:6">
      <c r="F2995" s="2423"/>
    </row>
    <row r="2996" s="101" customFormat="1" spans="6:6">
      <c r="F2996" s="2423"/>
    </row>
    <row r="2997" s="101" customFormat="1" spans="6:6">
      <c r="F2997" s="2423"/>
    </row>
    <row r="2998" s="101" customFormat="1" spans="6:6">
      <c r="F2998" s="2423"/>
    </row>
    <row r="2999" s="101" customFormat="1" spans="6:6">
      <c r="F2999" s="2423"/>
    </row>
    <row r="3000" s="101" customFormat="1" spans="6:6">
      <c r="F3000" s="2423"/>
    </row>
    <row r="3001" s="101" customFormat="1" spans="6:6">
      <c r="F3001" s="2423"/>
    </row>
    <row r="3002" s="101" customFormat="1" spans="6:6">
      <c r="F3002" s="2423"/>
    </row>
    <row r="3003" s="101" customFormat="1" spans="6:6">
      <c r="F3003" s="2423"/>
    </row>
    <row r="3004" s="101" customFormat="1" spans="6:6">
      <c r="F3004" s="2423"/>
    </row>
    <row r="3005" s="101" customFormat="1" spans="6:6">
      <c r="F3005" s="2423"/>
    </row>
    <row r="3006" s="101" customFormat="1" spans="6:6">
      <c r="F3006" s="2423"/>
    </row>
    <row r="3007" s="101" customFormat="1" spans="6:6">
      <c r="F3007" s="2423"/>
    </row>
    <row r="3008" s="101" customFormat="1" spans="6:6">
      <c r="F3008" s="2423"/>
    </row>
    <row r="3009" s="101" customFormat="1" spans="6:6">
      <c r="F3009" s="2423"/>
    </row>
    <row r="3010" s="101" customFormat="1" spans="6:6">
      <c r="F3010" s="2423"/>
    </row>
    <row r="3011" s="101" customFormat="1" spans="6:6">
      <c r="F3011" s="2423"/>
    </row>
    <row r="3012" s="101" customFormat="1" spans="6:6">
      <c r="F3012" s="2423"/>
    </row>
    <row r="3013" s="101" customFormat="1" spans="6:6">
      <c r="F3013" s="2423"/>
    </row>
    <row r="3014" s="101" customFormat="1" spans="6:6">
      <c r="F3014" s="2423"/>
    </row>
    <row r="3015" s="101" customFormat="1" spans="6:6">
      <c r="F3015" s="2423"/>
    </row>
    <row r="3016" s="101" customFormat="1" spans="6:6">
      <c r="F3016" s="2423"/>
    </row>
    <row r="3017" s="101" customFormat="1" spans="6:6">
      <c r="F3017" s="2423"/>
    </row>
    <row r="3018" s="101" customFormat="1" spans="6:6">
      <c r="F3018" s="2423"/>
    </row>
    <row r="3019" s="101" customFormat="1" spans="6:6">
      <c r="F3019" s="2423"/>
    </row>
    <row r="3020" s="101" customFormat="1" spans="6:6">
      <c r="F3020" s="2423"/>
    </row>
    <row r="3021" s="101" customFormat="1" spans="6:6">
      <c r="F3021" s="2423"/>
    </row>
    <row r="3022" s="101" customFormat="1" spans="6:6">
      <c r="F3022" s="2423"/>
    </row>
    <row r="3023" s="101" customFormat="1" spans="6:6">
      <c r="F3023" s="2423"/>
    </row>
    <row r="3024" s="101" customFormat="1" spans="6:6">
      <c r="F3024" s="2423"/>
    </row>
    <row r="3025" s="101" customFormat="1" spans="6:6">
      <c r="F3025" s="2423"/>
    </row>
    <row r="3026" s="101" customFormat="1" spans="6:6">
      <c r="F3026" s="2423"/>
    </row>
    <row r="3027" s="101" customFormat="1" spans="6:6">
      <c r="F3027" s="2423"/>
    </row>
    <row r="3028" s="101" customFormat="1" spans="6:6">
      <c r="F3028" s="2423"/>
    </row>
    <row r="3029" s="101" customFormat="1" spans="6:6">
      <c r="F3029" s="2423"/>
    </row>
    <row r="3030" s="101" customFormat="1" spans="6:6">
      <c r="F3030" s="2423"/>
    </row>
    <row r="3031" s="101" customFormat="1" spans="6:6">
      <c r="F3031" s="2423"/>
    </row>
    <row r="3032" s="101" customFormat="1" spans="6:6">
      <c r="F3032" s="2423"/>
    </row>
    <row r="3033" s="101" customFormat="1" spans="6:6">
      <c r="F3033" s="2423"/>
    </row>
    <row r="3034" s="101" customFormat="1" spans="6:6">
      <c r="F3034" s="2423"/>
    </row>
    <row r="3035" s="101" customFormat="1" spans="6:6">
      <c r="F3035" s="2423"/>
    </row>
    <row r="3036" s="101" customFormat="1" spans="6:6">
      <c r="F3036" s="2423"/>
    </row>
    <row r="3037" s="101" customFormat="1" spans="6:6">
      <c r="F3037" s="2423"/>
    </row>
    <row r="3038" s="101" customFormat="1" spans="6:6">
      <c r="F3038" s="2423"/>
    </row>
    <row r="3039" s="101" customFormat="1" spans="6:6">
      <c r="F3039" s="2423"/>
    </row>
    <row r="3040" s="101" customFormat="1" spans="6:6">
      <c r="F3040" s="2423"/>
    </row>
    <row r="3041" s="101" customFormat="1" spans="6:6">
      <c r="F3041" s="2423"/>
    </row>
    <row r="3042" s="101" customFormat="1" spans="6:6">
      <c r="F3042" s="2423"/>
    </row>
    <row r="3043" s="101" customFormat="1" spans="6:6">
      <c r="F3043" s="2423"/>
    </row>
    <row r="3044" s="101" customFormat="1" spans="6:6">
      <c r="F3044" s="2423"/>
    </row>
    <row r="3045" s="101" customFormat="1" spans="6:6">
      <c r="F3045" s="2423"/>
    </row>
    <row r="3046" s="101" customFormat="1" spans="6:6">
      <c r="F3046" s="2423"/>
    </row>
    <row r="3047" s="101" customFormat="1" spans="6:6">
      <c r="F3047" s="2423"/>
    </row>
    <row r="3048" s="101" customFormat="1" spans="6:6">
      <c r="F3048" s="2423"/>
    </row>
    <row r="3049" s="101" customFormat="1" spans="6:6">
      <c r="F3049" s="2423"/>
    </row>
    <row r="3050" s="101" customFormat="1" spans="6:6">
      <c r="F3050" s="2423"/>
    </row>
    <row r="3051" s="101" customFormat="1" spans="6:6">
      <c r="F3051" s="2423"/>
    </row>
    <row r="3052" s="101" customFormat="1" spans="6:6">
      <c r="F3052" s="2423"/>
    </row>
    <row r="3053" s="101" customFormat="1" spans="6:6">
      <c r="F3053" s="2423"/>
    </row>
    <row r="3054" s="101" customFormat="1" spans="6:6">
      <c r="F3054" s="2423"/>
    </row>
    <row r="3055" s="101" customFormat="1" spans="6:6">
      <c r="F3055" s="2423"/>
    </row>
    <row r="3056" s="101" customFormat="1" spans="6:6">
      <c r="F3056" s="2423"/>
    </row>
    <row r="3057" s="101" customFormat="1" spans="6:6">
      <c r="F3057" s="2423"/>
    </row>
    <row r="3058" s="101" customFormat="1" spans="6:6">
      <c r="F3058" s="2423"/>
    </row>
    <row r="3059" s="101" customFormat="1" spans="6:6">
      <c r="F3059" s="2423"/>
    </row>
    <row r="3060" s="101" customFormat="1" spans="6:6">
      <c r="F3060" s="2423"/>
    </row>
    <row r="3061" s="101" customFormat="1" spans="6:6">
      <c r="F3061" s="2423"/>
    </row>
    <row r="3062" s="101" customFormat="1" spans="6:6">
      <c r="F3062" s="2423"/>
    </row>
    <row r="3063" s="101" customFormat="1" spans="6:6">
      <c r="F3063" s="2423"/>
    </row>
    <row r="3064" s="101" customFormat="1" spans="6:6">
      <c r="F3064" s="2423"/>
    </row>
    <row r="3065" s="101" customFormat="1" spans="6:6">
      <c r="F3065" s="2423"/>
    </row>
    <row r="3066" s="101" customFormat="1" spans="6:6">
      <c r="F3066" s="2423"/>
    </row>
    <row r="3067" s="101" customFormat="1" spans="6:6">
      <c r="F3067" s="2423"/>
    </row>
    <row r="3068" s="101" customFormat="1" spans="6:6">
      <c r="F3068" s="2423"/>
    </row>
    <row r="3069" s="101" customFormat="1" spans="6:6">
      <c r="F3069" s="2423"/>
    </row>
    <row r="3070" s="101" customFormat="1" spans="6:6">
      <c r="F3070" s="2423"/>
    </row>
    <row r="3071" s="101" customFormat="1" spans="6:6">
      <c r="F3071" s="2423"/>
    </row>
    <row r="3072" s="101" customFormat="1" spans="6:6">
      <c r="F3072" s="2423"/>
    </row>
    <row r="3073" s="101" customFormat="1" spans="6:6">
      <c r="F3073" s="2423"/>
    </row>
    <row r="3074" s="101" customFormat="1" spans="6:6">
      <c r="F3074" s="2423"/>
    </row>
    <row r="3075" s="101" customFormat="1" spans="6:6">
      <c r="F3075" s="2423"/>
    </row>
    <row r="3076" s="101" customFormat="1" spans="6:6">
      <c r="F3076" s="2423"/>
    </row>
    <row r="3077" s="101" customFormat="1" spans="6:6">
      <c r="F3077" s="2423"/>
    </row>
    <row r="3078" s="101" customFormat="1" spans="6:6">
      <c r="F3078" s="2423"/>
    </row>
    <row r="3079" s="101" customFormat="1" spans="6:6">
      <c r="F3079" s="2423"/>
    </row>
    <row r="3080" s="101" customFormat="1" spans="6:6">
      <c r="F3080" s="2423"/>
    </row>
    <row r="3081" s="101" customFormat="1" spans="6:6">
      <c r="F3081" s="2423"/>
    </row>
    <row r="3082" s="101" customFormat="1" spans="6:6">
      <c r="F3082" s="2423"/>
    </row>
    <row r="3083" s="101" customFormat="1" spans="6:6">
      <c r="F3083" s="2423"/>
    </row>
    <row r="3084" s="101" customFormat="1" spans="6:6">
      <c r="F3084" s="2423"/>
    </row>
    <row r="3085" s="101" customFormat="1" spans="6:6">
      <c r="F3085" s="2423"/>
    </row>
    <row r="3086" s="101" customFormat="1" spans="6:6">
      <c r="F3086" s="2423"/>
    </row>
    <row r="3087" s="101" customFormat="1" spans="6:6">
      <c r="F3087" s="2423"/>
    </row>
    <row r="3088" s="101" customFormat="1" spans="6:6">
      <c r="F3088" s="2423"/>
    </row>
    <row r="3089" s="101" customFormat="1" spans="6:6">
      <c r="F3089" s="2423"/>
    </row>
    <row r="3090" s="101" customFormat="1" spans="6:6">
      <c r="F3090" s="2423"/>
    </row>
    <row r="3091" s="101" customFormat="1" spans="6:6">
      <c r="F3091" s="2423"/>
    </row>
    <row r="3092" s="101" customFormat="1" spans="6:6">
      <c r="F3092" s="2423"/>
    </row>
    <row r="3093" s="101" customFormat="1" spans="6:6">
      <c r="F3093" s="2423"/>
    </row>
    <row r="3094" s="101" customFormat="1" spans="6:6">
      <c r="F3094" s="2423"/>
    </row>
    <row r="3095" s="101" customFormat="1" spans="6:6">
      <c r="F3095" s="2423"/>
    </row>
    <row r="3096" s="101" customFormat="1" spans="6:6">
      <c r="F3096" s="2423"/>
    </row>
    <row r="3097" s="101" customFormat="1" spans="6:6">
      <c r="F3097" s="2423"/>
    </row>
    <row r="3098" s="101" customFormat="1" spans="6:6">
      <c r="F3098" s="2423"/>
    </row>
    <row r="3099" s="101" customFormat="1" spans="6:6">
      <c r="F3099" s="2423"/>
    </row>
    <row r="3100" s="101" customFormat="1" spans="6:6">
      <c r="F3100" s="2423"/>
    </row>
    <row r="3101" s="101" customFormat="1" spans="6:6">
      <c r="F3101" s="2423"/>
    </row>
    <row r="3102" s="101" customFormat="1" spans="6:6">
      <c r="F3102" s="2423"/>
    </row>
    <row r="3103" s="101" customFormat="1" spans="6:6">
      <c r="F3103" s="2423"/>
    </row>
    <row r="3104" s="101" customFormat="1" spans="6:6">
      <c r="F3104" s="2423"/>
    </row>
    <row r="3105" s="101" customFormat="1" spans="6:6">
      <c r="F3105" s="2423"/>
    </row>
    <row r="3106" s="101" customFormat="1" spans="6:6">
      <c r="F3106" s="2423"/>
    </row>
    <row r="3107" s="101" customFormat="1" spans="6:6">
      <c r="F3107" s="2423"/>
    </row>
    <row r="3108" s="101" customFormat="1" spans="6:6">
      <c r="F3108" s="2423"/>
    </row>
    <row r="3109" s="101" customFormat="1" spans="6:6">
      <c r="F3109" s="2423"/>
    </row>
    <row r="3110" s="101" customFormat="1" spans="6:6">
      <c r="F3110" s="2423"/>
    </row>
    <row r="3111" s="101" customFormat="1" spans="6:6">
      <c r="F3111" s="2423"/>
    </row>
    <row r="3112" s="101" customFormat="1" spans="6:6">
      <c r="F3112" s="2423"/>
    </row>
    <row r="3113" s="101" customFormat="1" spans="6:6">
      <c r="F3113" s="2423"/>
    </row>
    <row r="3114" s="101" customFormat="1" spans="6:6">
      <c r="F3114" s="2423"/>
    </row>
    <row r="3115" s="101" customFormat="1" spans="6:6">
      <c r="F3115" s="2423"/>
    </row>
    <row r="3116" s="101" customFormat="1" spans="6:6">
      <c r="F3116" s="2423"/>
    </row>
    <row r="3117" s="101" customFormat="1" spans="6:6">
      <c r="F3117" s="2423"/>
    </row>
    <row r="3118" s="101" customFormat="1" spans="6:6">
      <c r="F3118" s="2423"/>
    </row>
    <row r="3119" s="101" customFormat="1" spans="6:6">
      <c r="F3119" s="2423"/>
    </row>
    <row r="3120" s="101" customFormat="1" spans="6:6">
      <c r="F3120" s="2423"/>
    </row>
    <row r="3121" s="101" customFormat="1" spans="6:6">
      <c r="F3121" s="2423"/>
    </row>
    <row r="3122" s="101" customFormat="1" spans="6:6">
      <c r="F3122" s="2423"/>
    </row>
    <row r="3123" s="101" customFormat="1" spans="6:6">
      <c r="F3123" s="2423"/>
    </row>
    <row r="3124" s="101" customFormat="1" spans="6:6">
      <c r="F3124" s="2423"/>
    </row>
    <row r="3125" s="101" customFormat="1" spans="6:6">
      <c r="F3125" s="2423"/>
    </row>
    <row r="3126" s="101" customFormat="1" spans="6:6">
      <c r="F3126" s="2423"/>
    </row>
    <row r="3127" s="101" customFormat="1" spans="6:6">
      <c r="F3127" s="2423"/>
    </row>
    <row r="3128" s="101" customFormat="1" spans="6:6">
      <c r="F3128" s="2423"/>
    </row>
    <row r="3129" s="101" customFormat="1" spans="6:6">
      <c r="F3129" s="2423"/>
    </row>
    <row r="3130" s="101" customFormat="1" spans="6:6">
      <c r="F3130" s="2423"/>
    </row>
    <row r="3131" s="101" customFormat="1" spans="6:6">
      <c r="F3131" s="2423"/>
    </row>
    <row r="3132" s="101" customFormat="1" spans="6:6">
      <c r="F3132" s="2423"/>
    </row>
    <row r="3133" s="101" customFormat="1" spans="6:6">
      <c r="F3133" s="2423"/>
    </row>
    <row r="3134" s="101" customFormat="1" spans="6:6">
      <c r="F3134" s="2423"/>
    </row>
    <row r="3135" s="101" customFormat="1" spans="6:6">
      <c r="F3135" s="2423"/>
    </row>
    <row r="3136" s="101" customFormat="1" spans="6:6">
      <c r="F3136" s="2423"/>
    </row>
    <row r="3137" s="101" customFormat="1" spans="6:6">
      <c r="F3137" s="2423"/>
    </row>
    <row r="3138" s="101" customFormat="1" spans="6:6">
      <c r="F3138" s="2423"/>
    </row>
    <row r="3139" s="101" customFormat="1" spans="6:6">
      <c r="F3139" s="2423"/>
    </row>
    <row r="3140" s="101" customFormat="1" spans="6:6">
      <c r="F3140" s="2423"/>
    </row>
    <row r="3141" s="101" customFormat="1" spans="6:6">
      <c r="F3141" s="2423"/>
    </row>
    <row r="3142" s="101" customFormat="1" spans="6:6">
      <c r="F3142" s="2423"/>
    </row>
    <row r="3143" s="101" customFormat="1" spans="6:6">
      <c r="F3143" s="2423"/>
    </row>
    <row r="3144" s="101" customFormat="1" spans="6:6">
      <c r="F3144" s="2423"/>
    </row>
    <row r="3145" s="101" customFormat="1" spans="6:6">
      <c r="F3145" s="2423"/>
    </row>
    <row r="3146" s="101" customFormat="1" spans="6:6">
      <c r="F3146" s="2423"/>
    </row>
    <row r="3147" s="101" customFormat="1" spans="6:6">
      <c r="F3147" s="2423"/>
    </row>
    <row r="3148" s="101" customFormat="1" spans="6:6">
      <c r="F3148" s="2423"/>
    </row>
    <row r="3149" s="101" customFormat="1" spans="6:6">
      <c r="F3149" s="2423"/>
    </row>
    <row r="3150" s="101" customFormat="1" spans="6:6">
      <c r="F3150" s="2423"/>
    </row>
    <row r="3151" s="101" customFormat="1" spans="6:6">
      <c r="F3151" s="2423"/>
    </row>
    <row r="3152" s="101" customFormat="1" spans="6:6">
      <c r="F3152" s="2423"/>
    </row>
    <row r="3153" s="101" customFormat="1" spans="6:6">
      <c r="F3153" s="2423"/>
    </row>
    <row r="3154" s="101" customFormat="1" spans="6:6">
      <c r="F3154" s="2423"/>
    </row>
    <row r="3155" s="101" customFormat="1" spans="6:6">
      <c r="F3155" s="2423"/>
    </row>
    <row r="3156" s="101" customFormat="1" spans="6:6">
      <c r="F3156" s="2423"/>
    </row>
    <row r="3157" s="101" customFormat="1" spans="6:6">
      <c r="F3157" s="2423"/>
    </row>
    <row r="3158" s="101" customFormat="1" spans="6:6">
      <c r="F3158" s="2423"/>
    </row>
    <row r="3159" s="101" customFormat="1" spans="6:6">
      <c r="F3159" s="2423"/>
    </row>
    <row r="3160" s="101" customFormat="1" spans="6:6">
      <c r="F3160" s="2423"/>
    </row>
    <row r="3161" s="101" customFormat="1" spans="6:6">
      <c r="F3161" s="2423"/>
    </row>
    <row r="3162" s="101" customFormat="1" spans="6:6">
      <c r="F3162" s="2423"/>
    </row>
    <row r="3163" s="101" customFormat="1" spans="6:6">
      <c r="F3163" s="2423"/>
    </row>
    <row r="3164" s="101" customFormat="1" spans="6:6">
      <c r="F3164" s="2423"/>
    </row>
    <row r="3165" s="101" customFormat="1" spans="6:6">
      <c r="F3165" s="2423"/>
    </row>
    <row r="3166" s="101" customFormat="1" spans="6:6">
      <c r="F3166" s="2423"/>
    </row>
    <row r="3167" s="101" customFormat="1" spans="6:6">
      <c r="F3167" s="2423"/>
    </row>
    <row r="3168" s="101" customFormat="1" spans="6:6">
      <c r="F3168" s="2423"/>
    </row>
    <row r="3169" s="101" customFormat="1" spans="6:6">
      <c r="F3169" s="2423"/>
    </row>
    <row r="3170" s="101" customFormat="1" spans="6:6">
      <c r="F3170" s="2423"/>
    </row>
    <row r="3171" s="101" customFormat="1" spans="6:6">
      <c r="F3171" s="2423"/>
    </row>
    <row r="3172" s="101" customFormat="1" spans="6:6">
      <c r="F3172" s="2423"/>
    </row>
    <row r="3173" s="101" customFormat="1" spans="6:6">
      <c r="F3173" s="2423"/>
    </row>
    <row r="3174" s="101" customFormat="1" spans="6:6">
      <c r="F3174" s="2423"/>
    </row>
    <row r="3175" s="101" customFormat="1" spans="6:6">
      <c r="F3175" s="2423"/>
    </row>
    <row r="3176" s="101" customFormat="1" spans="6:6">
      <c r="F3176" s="2423"/>
    </row>
    <row r="3177" s="101" customFormat="1" spans="6:6">
      <c r="F3177" s="2423"/>
    </row>
    <row r="3178" s="101" customFormat="1" spans="6:6">
      <c r="F3178" s="2423"/>
    </row>
    <row r="3179" s="101" customFormat="1" spans="6:6">
      <c r="F3179" s="2423"/>
    </row>
    <row r="3180" s="101" customFormat="1" spans="6:6">
      <c r="F3180" s="2423"/>
    </row>
    <row r="3181" s="101" customFormat="1" spans="6:6">
      <c r="F3181" s="2423"/>
    </row>
    <row r="3182" s="101" customFormat="1" spans="6:6">
      <c r="F3182" s="2423"/>
    </row>
    <row r="3183" s="101" customFormat="1" spans="6:6">
      <c r="F3183" s="2423"/>
    </row>
    <row r="3184" s="101" customFormat="1" spans="6:6">
      <c r="F3184" s="2423"/>
    </row>
    <row r="3185" s="101" customFormat="1" spans="6:6">
      <c r="F3185" s="2423"/>
    </row>
    <row r="3186" s="101" customFormat="1" spans="6:6">
      <c r="F3186" s="2423"/>
    </row>
    <row r="3187" s="101" customFormat="1" spans="6:6">
      <c r="F3187" s="2423"/>
    </row>
    <row r="3188" s="101" customFormat="1" spans="6:6">
      <c r="F3188" s="2423"/>
    </row>
    <row r="3189" s="101" customFormat="1" spans="6:6">
      <c r="F3189" s="2423"/>
    </row>
    <row r="3190" s="101" customFormat="1" spans="6:6">
      <c r="F3190" s="2423"/>
    </row>
    <row r="3191" s="101" customFormat="1" spans="6:6">
      <c r="F3191" s="2423"/>
    </row>
    <row r="3192" s="101" customFormat="1" spans="6:6">
      <c r="F3192" s="2423"/>
    </row>
    <row r="3193" s="101" customFormat="1" spans="6:6">
      <c r="F3193" s="2423"/>
    </row>
    <row r="3194" s="101" customFormat="1" spans="6:6">
      <c r="F3194" s="2423"/>
    </row>
    <row r="3195" s="101" customFormat="1" spans="6:6">
      <c r="F3195" s="2423"/>
    </row>
    <row r="3196" s="101" customFormat="1" spans="6:6">
      <c r="F3196" s="2423"/>
    </row>
    <row r="3197" s="101" customFormat="1" spans="6:6">
      <c r="F3197" s="2423"/>
    </row>
    <row r="3198" s="101" customFormat="1" spans="6:6">
      <c r="F3198" s="2423"/>
    </row>
    <row r="3199" s="101" customFormat="1" spans="6:6">
      <c r="F3199" s="2423"/>
    </row>
    <row r="3200" s="101" customFormat="1" spans="6:6">
      <c r="F3200" s="2423"/>
    </row>
    <row r="3201" s="101" customFormat="1" spans="6:6">
      <c r="F3201" s="2423"/>
    </row>
    <row r="3202" s="101" customFormat="1" spans="6:6">
      <c r="F3202" s="2423"/>
    </row>
    <row r="3203" s="101" customFormat="1" spans="6:6">
      <c r="F3203" s="2423"/>
    </row>
    <row r="3204" s="101" customFormat="1" spans="6:6">
      <c r="F3204" s="2423"/>
    </row>
    <row r="3205" s="101" customFormat="1" spans="6:6">
      <c r="F3205" s="2423"/>
    </row>
    <row r="3206" s="101" customFormat="1" spans="6:6">
      <c r="F3206" s="2423"/>
    </row>
    <row r="3207" s="101" customFormat="1" spans="6:6">
      <c r="F3207" s="2423"/>
    </row>
    <row r="3208" s="101" customFormat="1" spans="6:6">
      <c r="F3208" s="2423"/>
    </row>
    <row r="3209" s="101" customFormat="1" spans="6:6">
      <c r="F3209" s="2423"/>
    </row>
    <row r="3210" s="101" customFormat="1" spans="6:6">
      <c r="F3210" s="2423"/>
    </row>
    <row r="3211" s="101" customFormat="1" spans="6:6">
      <c r="F3211" s="2423"/>
    </row>
    <row r="3212" s="101" customFormat="1" spans="6:6">
      <c r="F3212" s="2423"/>
    </row>
    <row r="3213" s="101" customFormat="1" spans="6:6">
      <c r="F3213" s="2423"/>
    </row>
    <row r="3214" s="101" customFormat="1" spans="6:6">
      <c r="F3214" s="2423"/>
    </row>
    <row r="3215" s="101" customFormat="1" spans="6:6">
      <c r="F3215" s="2423"/>
    </row>
    <row r="3216" s="101" customFormat="1" spans="6:6">
      <c r="F3216" s="2423"/>
    </row>
    <row r="3217" s="101" customFormat="1" spans="6:6">
      <c r="F3217" s="2423"/>
    </row>
    <row r="3218" s="101" customFormat="1" spans="6:6">
      <c r="F3218" s="2423"/>
    </row>
    <row r="3219" s="101" customFormat="1" spans="6:6">
      <c r="F3219" s="2423"/>
    </row>
    <row r="3220" s="101" customFormat="1" spans="6:6">
      <c r="F3220" s="2423"/>
    </row>
    <row r="3221" s="101" customFormat="1" spans="6:6">
      <c r="F3221" s="2423"/>
    </row>
    <row r="3222" s="101" customFormat="1" spans="6:6">
      <c r="F3222" s="2423"/>
    </row>
    <row r="3223" s="101" customFormat="1" spans="6:6">
      <c r="F3223" s="2423"/>
    </row>
    <row r="3224" s="101" customFormat="1" spans="6:6">
      <c r="F3224" s="2423"/>
    </row>
    <row r="3225" s="101" customFormat="1" spans="6:6">
      <c r="F3225" s="2423"/>
    </row>
    <row r="3226" s="101" customFormat="1" spans="6:6">
      <c r="F3226" s="2423"/>
    </row>
    <row r="3227" s="101" customFormat="1" spans="6:6">
      <c r="F3227" s="2423"/>
    </row>
    <row r="3228" s="101" customFormat="1" spans="6:6">
      <c r="F3228" s="2423"/>
    </row>
    <row r="3229" s="101" customFormat="1" spans="6:6">
      <c r="F3229" s="2423"/>
    </row>
    <row r="3230" s="101" customFormat="1" spans="6:6">
      <c r="F3230" s="2423"/>
    </row>
    <row r="3231" s="101" customFormat="1" spans="6:6">
      <c r="F3231" s="2423"/>
    </row>
    <row r="3232" s="101" customFormat="1" spans="6:6">
      <c r="F3232" s="2423"/>
    </row>
    <row r="3233" s="101" customFormat="1" spans="6:6">
      <c r="F3233" s="2423"/>
    </row>
    <row r="3234" s="101" customFormat="1" spans="6:6">
      <c r="F3234" s="2423"/>
    </row>
    <row r="3235" s="101" customFormat="1" spans="6:6">
      <c r="F3235" s="2423"/>
    </row>
    <row r="3236" s="101" customFormat="1" spans="6:6">
      <c r="F3236" s="2423"/>
    </row>
    <row r="3237" s="101" customFormat="1" spans="6:6">
      <c r="F3237" s="2423"/>
    </row>
    <row r="3238" s="101" customFormat="1" spans="6:6">
      <c r="F3238" s="2423"/>
    </row>
    <row r="3239" s="101" customFormat="1" spans="6:6">
      <c r="F3239" s="2423"/>
    </row>
    <row r="3240" s="101" customFormat="1" spans="6:6">
      <c r="F3240" s="2423"/>
    </row>
    <row r="3241" s="101" customFormat="1" spans="6:6">
      <c r="F3241" s="2423"/>
    </row>
    <row r="3242" s="101" customFormat="1" spans="6:6">
      <c r="F3242" s="2423"/>
    </row>
    <row r="3243" s="101" customFormat="1" spans="6:6">
      <c r="F3243" s="2423"/>
    </row>
    <row r="3244" s="101" customFormat="1" spans="6:6">
      <c r="F3244" s="2423"/>
    </row>
    <row r="3245" s="101" customFormat="1" spans="6:6">
      <c r="F3245" s="2423"/>
    </row>
    <row r="3246" s="101" customFormat="1" spans="6:6">
      <c r="F3246" s="2423"/>
    </row>
    <row r="3247" s="101" customFormat="1" spans="6:6">
      <c r="F3247" s="2423"/>
    </row>
    <row r="3248" s="101" customFormat="1" spans="6:6">
      <c r="F3248" s="2423"/>
    </row>
    <row r="3249" s="101" customFormat="1" spans="6:6">
      <c r="F3249" s="2423"/>
    </row>
    <row r="3250" s="101" customFormat="1" spans="6:6">
      <c r="F3250" s="2423"/>
    </row>
    <row r="3251" s="101" customFormat="1" spans="6:6">
      <c r="F3251" s="2423"/>
    </row>
    <row r="3252" s="101" customFormat="1" spans="6:6">
      <c r="F3252" s="2423"/>
    </row>
    <row r="3253" s="101" customFormat="1" spans="6:6">
      <c r="F3253" s="2423"/>
    </row>
    <row r="3254" s="101" customFormat="1" spans="6:6">
      <c r="F3254" s="2423"/>
    </row>
    <row r="3255" s="101" customFormat="1" spans="6:6">
      <c r="F3255" s="2423"/>
    </row>
    <row r="3256" s="101" customFormat="1" spans="6:6">
      <c r="F3256" s="2423"/>
    </row>
    <row r="3257" s="101" customFormat="1" spans="6:6">
      <c r="F3257" s="2423"/>
    </row>
    <row r="3258" s="101" customFormat="1" spans="6:6">
      <c r="F3258" s="2423"/>
    </row>
    <row r="3259" s="101" customFormat="1" spans="6:6">
      <c r="F3259" s="2423"/>
    </row>
    <row r="3260" s="101" customFormat="1" spans="6:6">
      <c r="F3260" s="2423"/>
    </row>
    <row r="3261" s="101" customFormat="1" spans="6:6">
      <c r="F3261" s="2423"/>
    </row>
    <row r="3262" s="101" customFormat="1" spans="6:6">
      <c r="F3262" s="2423"/>
    </row>
    <row r="3263" s="101" customFormat="1" spans="6:6">
      <c r="F3263" s="2423"/>
    </row>
    <row r="3264" s="101" customFormat="1" spans="6:6">
      <c r="F3264" s="2423"/>
    </row>
    <row r="3265" s="101" customFormat="1" spans="6:6">
      <c r="F3265" s="2423"/>
    </row>
    <row r="3266" s="101" customFormat="1" spans="6:6">
      <c r="F3266" s="2423"/>
    </row>
    <row r="3267" s="101" customFormat="1" spans="6:6">
      <c r="F3267" s="2423"/>
    </row>
    <row r="3268" s="101" customFormat="1" spans="6:6">
      <c r="F3268" s="2423"/>
    </row>
    <row r="3269" s="101" customFormat="1" spans="6:6">
      <c r="F3269" s="2423"/>
    </row>
    <row r="3270" s="101" customFormat="1" spans="6:6">
      <c r="F3270" s="2423"/>
    </row>
    <row r="3271" s="101" customFormat="1" spans="6:6">
      <c r="F3271" s="2423"/>
    </row>
    <row r="3272" s="101" customFormat="1" spans="6:6">
      <c r="F3272" s="2423"/>
    </row>
    <row r="3273" s="101" customFormat="1" spans="6:6">
      <c r="F3273" s="2423"/>
    </row>
    <row r="3274" s="101" customFormat="1" spans="6:6">
      <c r="F3274" s="2423"/>
    </row>
    <row r="3275" s="101" customFormat="1" spans="6:6">
      <c r="F3275" s="2423"/>
    </row>
    <row r="3276" s="101" customFormat="1" spans="6:6">
      <c r="F3276" s="2423"/>
    </row>
    <row r="3277" s="101" customFormat="1" spans="6:6">
      <c r="F3277" s="2423"/>
    </row>
    <row r="3278" s="101" customFormat="1" spans="6:6">
      <c r="F3278" s="2423"/>
    </row>
    <row r="3279" s="101" customFormat="1" spans="6:6">
      <c r="F3279" s="2423"/>
    </row>
    <row r="3280" s="101" customFormat="1" spans="6:6">
      <c r="F3280" s="2423"/>
    </row>
    <row r="3281" s="101" customFormat="1" spans="6:6">
      <c r="F3281" s="2423"/>
    </row>
    <row r="3282" s="101" customFormat="1" spans="6:6">
      <c r="F3282" s="2423"/>
    </row>
    <row r="3283" s="101" customFormat="1" spans="6:6">
      <c r="F3283" s="2423"/>
    </row>
    <row r="3284" s="101" customFormat="1" spans="6:6">
      <c r="F3284" s="2423"/>
    </row>
    <row r="3285" s="101" customFormat="1" spans="6:6">
      <c r="F3285" s="2423"/>
    </row>
    <row r="3286" s="101" customFormat="1" spans="6:6">
      <c r="F3286" s="2423"/>
    </row>
    <row r="3287" s="101" customFormat="1" spans="6:6">
      <c r="F3287" s="2423"/>
    </row>
    <row r="3288" s="101" customFormat="1" spans="6:6">
      <c r="F3288" s="2423"/>
    </row>
    <row r="3289" s="101" customFormat="1" spans="6:6">
      <c r="F3289" s="2423"/>
    </row>
    <row r="3290" s="101" customFormat="1" spans="6:6">
      <c r="F3290" s="2423"/>
    </row>
    <row r="3291" s="101" customFormat="1" spans="6:6">
      <c r="F3291" s="2423"/>
    </row>
    <row r="3292" s="101" customFormat="1" spans="6:6">
      <c r="F3292" s="2423"/>
    </row>
    <row r="3293" s="101" customFormat="1" spans="6:6">
      <c r="F3293" s="2423"/>
    </row>
    <row r="3294" s="101" customFormat="1" spans="6:6">
      <c r="F3294" s="2423"/>
    </row>
    <row r="3295" s="101" customFormat="1" spans="6:6">
      <c r="F3295" s="2423"/>
    </row>
    <row r="3296" s="101" customFormat="1" spans="6:6">
      <c r="F3296" s="2423"/>
    </row>
    <row r="3297" s="101" customFormat="1" spans="6:6">
      <c r="F3297" s="2423"/>
    </row>
    <row r="3298" s="101" customFormat="1" spans="6:6">
      <c r="F3298" s="2423"/>
    </row>
    <row r="3299" s="101" customFormat="1" spans="6:6">
      <c r="F3299" s="2423"/>
    </row>
    <row r="3300" s="101" customFormat="1" spans="6:6">
      <c r="F3300" s="2423"/>
    </row>
    <row r="3301" s="101" customFormat="1" spans="6:6">
      <c r="F3301" s="2423"/>
    </row>
    <row r="3302" s="101" customFormat="1" spans="6:6">
      <c r="F3302" s="2423"/>
    </row>
    <row r="3303" s="101" customFormat="1" spans="6:6">
      <c r="F3303" s="2423"/>
    </row>
    <row r="3304" s="101" customFormat="1" spans="6:6">
      <c r="F3304" s="2423"/>
    </row>
    <row r="3305" s="101" customFormat="1" spans="6:6">
      <c r="F3305" s="2423"/>
    </row>
    <row r="3306" s="101" customFormat="1" spans="6:6">
      <c r="F3306" s="2423"/>
    </row>
    <row r="3307" s="101" customFormat="1" spans="6:6">
      <c r="F3307" s="2423"/>
    </row>
    <row r="3308" s="101" customFormat="1" spans="6:6">
      <c r="F3308" s="2423"/>
    </row>
    <row r="3309" s="101" customFormat="1" spans="6:6">
      <c r="F3309" s="2423"/>
    </row>
    <row r="3310" s="101" customFormat="1" spans="6:6">
      <c r="F3310" s="2423"/>
    </row>
    <row r="3311" s="101" customFormat="1" spans="6:6">
      <c r="F3311" s="2423"/>
    </row>
    <row r="3312" s="101" customFormat="1" spans="6:6">
      <c r="F3312" s="2423"/>
    </row>
    <row r="3313" s="101" customFormat="1" spans="6:6">
      <c r="F3313" s="2423"/>
    </row>
    <row r="3314" s="101" customFormat="1" spans="6:6">
      <c r="F3314" s="2423"/>
    </row>
    <row r="3315" s="101" customFormat="1" spans="6:6">
      <c r="F3315" s="2423"/>
    </row>
    <row r="3316" s="101" customFormat="1" spans="6:6">
      <c r="F3316" s="2423"/>
    </row>
    <row r="3317" s="101" customFormat="1" spans="6:6">
      <c r="F3317" s="2423"/>
    </row>
    <row r="3318" s="101" customFormat="1" spans="6:6">
      <c r="F3318" s="2423"/>
    </row>
    <row r="3319" s="101" customFormat="1" spans="6:6">
      <c r="F3319" s="2423"/>
    </row>
    <row r="3320" s="101" customFormat="1" spans="6:6">
      <c r="F3320" s="2423"/>
    </row>
    <row r="3321" s="101" customFormat="1" spans="6:6">
      <c r="F3321" s="2423"/>
    </row>
    <row r="3322" s="101" customFormat="1" spans="6:6">
      <c r="F3322" s="2423"/>
    </row>
    <row r="3323" s="101" customFormat="1" spans="6:6">
      <c r="F3323" s="2423"/>
    </row>
    <row r="3324" s="101" customFormat="1" spans="6:6">
      <c r="F3324" s="2423"/>
    </row>
    <row r="3325" s="101" customFormat="1" spans="6:6">
      <c r="F3325" s="2423"/>
    </row>
    <row r="3326" s="101" customFormat="1" spans="6:6">
      <c r="F3326" s="2423"/>
    </row>
    <row r="3327" s="101" customFormat="1" spans="6:6">
      <c r="F3327" s="2423"/>
    </row>
    <row r="3328" s="101" customFormat="1" spans="6:6">
      <c r="F3328" s="2423"/>
    </row>
    <row r="3329" s="101" customFormat="1" spans="6:6">
      <c r="F3329" s="2423"/>
    </row>
    <row r="3330" s="101" customFormat="1" spans="6:6">
      <c r="F3330" s="2423"/>
    </row>
    <row r="3331" s="101" customFormat="1" spans="6:6">
      <c r="F3331" s="2423"/>
    </row>
    <row r="3332" s="101" customFormat="1" spans="6:6">
      <c r="F3332" s="2423"/>
    </row>
    <row r="3333" s="101" customFormat="1" spans="6:6">
      <c r="F3333" s="2423"/>
    </row>
    <row r="3334" s="101" customFormat="1" spans="6:6">
      <c r="F3334" s="2423"/>
    </row>
    <row r="3335" s="101" customFormat="1" spans="6:6">
      <c r="F3335" s="2423"/>
    </row>
    <row r="3336" s="101" customFormat="1" spans="6:6">
      <c r="F3336" s="2423"/>
    </row>
    <row r="3337" s="101" customFormat="1" spans="6:6">
      <c r="F3337" s="2423"/>
    </row>
    <row r="3338" s="101" customFormat="1" spans="6:6">
      <c r="F3338" s="2423"/>
    </row>
    <row r="3339" s="101" customFormat="1" spans="6:6">
      <c r="F3339" s="2423"/>
    </row>
    <row r="3340" s="101" customFormat="1" spans="6:6">
      <c r="F3340" s="2423"/>
    </row>
    <row r="3341" s="101" customFormat="1" spans="6:6">
      <c r="F3341" s="2423"/>
    </row>
    <row r="3342" s="101" customFormat="1" spans="6:6">
      <c r="F3342" s="2423"/>
    </row>
    <row r="3343" s="101" customFormat="1" spans="6:6">
      <c r="F3343" s="2423"/>
    </row>
    <row r="3344" s="101" customFormat="1" spans="6:6">
      <c r="F3344" s="2423"/>
    </row>
    <row r="3345" s="101" customFormat="1" spans="6:6">
      <c r="F3345" s="2423"/>
    </row>
    <row r="3346" s="101" customFormat="1" spans="6:6">
      <c r="F3346" s="2423"/>
    </row>
    <row r="3347" s="101" customFormat="1" spans="6:6">
      <c r="F3347" s="2423"/>
    </row>
    <row r="3348" s="101" customFormat="1" spans="6:6">
      <c r="F3348" s="2423"/>
    </row>
    <row r="3349" s="101" customFormat="1" spans="6:6">
      <c r="F3349" s="2423"/>
    </row>
    <row r="3350" s="101" customFormat="1" spans="6:6">
      <c r="F3350" s="2423"/>
    </row>
    <row r="3351" s="101" customFormat="1" spans="6:6">
      <c r="F3351" s="2423"/>
    </row>
    <row r="3352" s="101" customFormat="1" spans="6:6">
      <c r="F3352" s="2423"/>
    </row>
    <row r="3353" s="101" customFormat="1" spans="6:6">
      <c r="F3353" s="2423"/>
    </row>
    <row r="3354" s="101" customFormat="1" spans="6:6">
      <c r="F3354" s="2423"/>
    </row>
    <row r="3355" s="101" customFormat="1" spans="6:6">
      <c r="F3355" s="2423"/>
    </row>
    <row r="3356" s="101" customFormat="1" spans="6:6">
      <c r="F3356" s="2423"/>
    </row>
    <row r="3357" s="101" customFormat="1" spans="6:6">
      <c r="F3357" s="2423"/>
    </row>
    <row r="3358" s="101" customFormat="1" spans="6:6">
      <c r="F3358" s="2423"/>
    </row>
    <row r="3359" s="101" customFormat="1" spans="6:6">
      <c r="F3359" s="2423"/>
    </row>
    <row r="3360" s="101" customFormat="1" spans="6:6">
      <c r="F3360" s="2423"/>
    </row>
    <row r="3361" s="101" customFormat="1" spans="6:6">
      <c r="F3361" s="2423"/>
    </row>
    <row r="3362" s="101" customFormat="1" spans="6:6">
      <c r="F3362" s="2423"/>
    </row>
    <row r="3363" s="101" customFormat="1" spans="6:6">
      <c r="F3363" s="2423"/>
    </row>
    <row r="3364" s="101" customFormat="1" spans="6:6">
      <c r="F3364" s="2423"/>
    </row>
    <row r="3365" s="101" customFormat="1" spans="6:6">
      <c r="F3365" s="2423"/>
    </row>
    <row r="3366" s="101" customFormat="1" spans="6:6">
      <c r="F3366" s="2423"/>
    </row>
    <row r="3367" s="101" customFormat="1" spans="6:6">
      <c r="F3367" s="2423"/>
    </row>
    <row r="3368" s="101" customFormat="1" spans="6:6">
      <c r="F3368" s="2423"/>
    </row>
    <row r="3369" s="101" customFormat="1" spans="6:6">
      <c r="F3369" s="2423"/>
    </row>
    <row r="3370" s="101" customFormat="1" spans="6:6">
      <c r="F3370" s="2423"/>
    </row>
    <row r="3371" s="101" customFormat="1" spans="6:6">
      <c r="F3371" s="2423"/>
    </row>
    <row r="3372" s="101" customFormat="1" spans="6:6">
      <c r="F3372" s="2423"/>
    </row>
    <row r="3373" s="101" customFormat="1" spans="6:6">
      <c r="F3373" s="2423"/>
    </row>
    <row r="3374" s="101" customFormat="1" spans="6:6">
      <c r="F3374" s="2423"/>
    </row>
    <row r="3375" s="101" customFormat="1" spans="6:6">
      <c r="F3375" s="2423"/>
    </row>
    <row r="3376" s="101" customFormat="1" spans="6:6">
      <c r="F3376" s="2423"/>
    </row>
    <row r="3377" s="101" customFormat="1" spans="6:6">
      <c r="F3377" s="2423"/>
    </row>
    <row r="3378" s="101" customFormat="1" spans="6:6">
      <c r="F3378" s="2423"/>
    </row>
    <row r="3379" s="101" customFormat="1" spans="6:6">
      <c r="F3379" s="2423"/>
    </row>
    <row r="3380" s="101" customFormat="1" spans="6:6">
      <c r="F3380" s="2423"/>
    </row>
    <row r="3381" s="101" customFormat="1" spans="6:6">
      <c r="F3381" s="2423"/>
    </row>
    <row r="3382" s="101" customFormat="1" spans="6:6">
      <c r="F3382" s="2423"/>
    </row>
    <row r="3383" s="101" customFormat="1" spans="6:6">
      <c r="F3383" s="2423"/>
    </row>
    <row r="3384" s="101" customFormat="1" spans="6:6">
      <c r="F3384" s="2423"/>
    </row>
    <row r="3385" s="101" customFormat="1" spans="6:6">
      <c r="F3385" s="2423"/>
    </row>
    <row r="3386" s="101" customFormat="1" spans="6:6">
      <c r="F3386" s="2423"/>
    </row>
    <row r="3387" s="101" customFormat="1" spans="6:6">
      <c r="F3387" s="2423"/>
    </row>
    <row r="3388" s="101" customFormat="1" spans="6:6">
      <c r="F3388" s="2423"/>
    </row>
    <row r="3389" s="101" customFormat="1" spans="6:6">
      <c r="F3389" s="2423"/>
    </row>
    <row r="3390" s="101" customFormat="1" spans="6:6">
      <c r="F3390" s="2423"/>
    </row>
    <row r="3391" s="101" customFormat="1" spans="6:6">
      <c r="F3391" s="2423"/>
    </row>
    <row r="3392" s="101" customFormat="1" spans="6:6">
      <c r="F3392" s="2423"/>
    </row>
    <row r="3393" s="101" customFormat="1" spans="6:6">
      <c r="F3393" s="2423"/>
    </row>
    <row r="3394" s="101" customFormat="1" spans="6:6">
      <c r="F3394" s="2423"/>
    </row>
    <row r="3395" s="101" customFormat="1" spans="6:6">
      <c r="F3395" s="2423"/>
    </row>
    <row r="3396" s="101" customFormat="1" spans="6:6">
      <c r="F3396" s="2423"/>
    </row>
    <row r="3397" s="101" customFormat="1" spans="6:6">
      <c r="F3397" s="2423"/>
    </row>
    <row r="3398" s="101" customFormat="1" spans="6:6">
      <c r="F3398" s="2423"/>
    </row>
    <row r="3399" s="101" customFormat="1" spans="6:6">
      <c r="F3399" s="2423"/>
    </row>
    <row r="3400" s="101" customFormat="1" spans="6:6">
      <c r="F3400" s="2423"/>
    </row>
    <row r="3401" s="101" customFormat="1" spans="6:6">
      <c r="F3401" s="2423"/>
    </row>
    <row r="3402" s="101" customFormat="1" spans="6:6">
      <c r="F3402" s="2423"/>
    </row>
    <row r="3403" s="101" customFormat="1" spans="6:6">
      <c r="F3403" s="2423"/>
    </row>
    <row r="3404" s="101" customFormat="1" spans="6:6">
      <c r="F3404" s="2423"/>
    </row>
    <row r="3405" s="101" customFormat="1" spans="6:6">
      <c r="F3405" s="2423"/>
    </row>
    <row r="3406" s="101" customFormat="1" spans="6:6">
      <c r="F3406" s="2423"/>
    </row>
    <row r="3407" s="101" customFormat="1" spans="6:6">
      <c r="F3407" s="2423"/>
    </row>
    <row r="3408" s="101" customFormat="1" spans="6:6">
      <c r="F3408" s="2423"/>
    </row>
    <row r="3409" s="101" customFormat="1" spans="6:6">
      <c r="F3409" s="2423"/>
    </row>
    <row r="3410" s="101" customFormat="1" spans="6:6">
      <c r="F3410" s="2423"/>
    </row>
    <row r="3411" s="101" customFormat="1" spans="6:6">
      <c r="F3411" s="2423"/>
    </row>
    <row r="3412" s="101" customFormat="1" spans="6:6">
      <c r="F3412" s="2423"/>
    </row>
    <row r="3413" s="101" customFormat="1" spans="6:6">
      <c r="F3413" s="2423"/>
    </row>
    <row r="3414" s="101" customFormat="1" spans="6:6">
      <c r="F3414" s="2423"/>
    </row>
    <row r="3415" s="101" customFormat="1" spans="6:6">
      <c r="F3415" s="2423"/>
    </row>
    <row r="3416" s="101" customFormat="1" spans="6:6">
      <c r="F3416" s="2423"/>
    </row>
    <row r="3417" s="101" customFormat="1" spans="6:6">
      <c r="F3417" s="2423"/>
    </row>
    <row r="3418" s="101" customFormat="1" spans="6:6">
      <c r="F3418" s="2423"/>
    </row>
    <row r="3419" s="101" customFormat="1" spans="6:6">
      <c r="F3419" s="2423"/>
    </row>
    <row r="3420" s="101" customFormat="1" spans="6:6">
      <c r="F3420" s="2423"/>
    </row>
    <row r="3421" s="101" customFormat="1" spans="6:6">
      <c r="F3421" s="2423"/>
    </row>
    <row r="3422" s="101" customFormat="1" spans="6:6">
      <c r="F3422" s="2423"/>
    </row>
    <row r="3423" s="101" customFormat="1" spans="6:6">
      <c r="F3423" s="2423"/>
    </row>
    <row r="3424" s="101" customFormat="1" spans="6:6">
      <c r="F3424" s="2423"/>
    </row>
    <row r="3425" s="101" customFormat="1" spans="6:6">
      <c r="F3425" s="2423"/>
    </row>
    <row r="3426" s="101" customFormat="1" spans="6:6">
      <c r="F3426" s="2423"/>
    </row>
    <row r="3427" s="101" customFormat="1" spans="6:6">
      <c r="F3427" s="2423"/>
    </row>
    <row r="3428" s="101" customFormat="1" spans="6:6">
      <c r="F3428" s="2423"/>
    </row>
    <row r="3429" s="101" customFormat="1" spans="6:6">
      <c r="F3429" s="2423"/>
    </row>
    <row r="3430" s="101" customFormat="1" spans="6:6">
      <c r="F3430" s="2423"/>
    </row>
    <row r="3431" s="101" customFormat="1" spans="6:6">
      <c r="F3431" s="2423"/>
    </row>
    <row r="3432" s="101" customFormat="1" spans="6:6">
      <c r="F3432" s="2423"/>
    </row>
    <row r="3433" s="101" customFormat="1" spans="6:6">
      <c r="F3433" s="2423"/>
    </row>
    <row r="3434" s="101" customFormat="1" spans="6:6">
      <c r="F3434" s="2423"/>
    </row>
    <row r="3435" s="101" customFormat="1" spans="6:6">
      <c r="F3435" s="2423"/>
    </row>
    <row r="3436" s="101" customFormat="1" spans="6:6">
      <c r="F3436" s="2423"/>
    </row>
    <row r="3437" s="101" customFormat="1" spans="6:6">
      <c r="F3437" s="2423"/>
    </row>
    <row r="3438" s="101" customFormat="1" spans="6:6">
      <c r="F3438" s="2423"/>
    </row>
    <row r="3439" s="101" customFormat="1" spans="6:6">
      <c r="F3439" s="2423"/>
    </row>
    <row r="3440" s="101" customFormat="1" spans="6:6">
      <c r="F3440" s="2423"/>
    </row>
    <row r="3441" s="101" customFormat="1" spans="6:6">
      <c r="F3441" s="2423"/>
    </row>
    <row r="3442" s="101" customFormat="1" spans="6:6">
      <c r="F3442" s="2423"/>
    </row>
    <row r="3443" s="101" customFormat="1" spans="6:6">
      <c r="F3443" s="2423"/>
    </row>
    <row r="3444" s="101" customFormat="1" spans="6:6">
      <c r="F3444" s="2423"/>
    </row>
    <row r="3445" s="101" customFormat="1" spans="6:6">
      <c r="F3445" s="2423"/>
    </row>
    <row r="3446" s="101" customFormat="1" spans="6:6">
      <c r="F3446" s="2423"/>
    </row>
    <row r="3447" s="101" customFormat="1" spans="6:6">
      <c r="F3447" s="2423"/>
    </row>
    <row r="3448" s="101" customFormat="1" spans="6:6">
      <c r="F3448" s="2423"/>
    </row>
    <row r="3449" s="101" customFormat="1" spans="6:6">
      <c r="F3449" s="2423"/>
    </row>
    <row r="3450" s="101" customFormat="1" spans="6:6">
      <c r="F3450" s="2423"/>
    </row>
    <row r="3451" s="101" customFormat="1" spans="6:6">
      <c r="F3451" s="2423"/>
    </row>
    <row r="3452" s="101" customFormat="1" spans="6:6">
      <c r="F3452" s="2423"/>
    </row>
    <row r="3453" s="101" customFormat="1" spans="6:6">
      <c r="F3453" s="2423"/>
    </row>
    <row r="3454" s="101" customFormat="1" spans="6:6">
      <c r="F3454" s="2423"/>
    </row>
    <row r="3455" s="101" customFormat="1" spans="6:6">
      <c r="F3455" s="2423"/>
    </row>
    <row r="3456" s="101" customFormat="1" spans="6:6">
      <c r="F3456" s="2423"/>
    </row>
    <row r="3457" s="101" customFormat="1" spans="6:6">
      <c r="F3457" s="2423"/>
    </row>
    <row r="3458" s="101" customFormat="1" spans="6:6">
      <c r="F3458" s="2423"/>
    </row>
    <row r="3459" s="101" customFormat="1" spans="6:6">
      <c r="F3459" s="2423"/>
    </row>
    <row r="3460" s="101" customFormat="1" spans="6:6">
      <c r="F3460" s="2423"/>
    </row>
    <row r="3461" s="101" customFormat="1" spans="6:6">
      <c r="F3461" s="2423"/>
    </row>
    <row r="3462" s="101" customFormat="1" spans="6:6">
      <c r="F3462" s="2423"/>
    </row>
    <row r="3463" s="101" customFormat="1" spans="6:6">
      <c r="F3463" s="2423"/>
    </row>
    <row r="3464" s="101" customFormat="1" spans="6:6">
      <c r="F3464" s="2423"/>
    </row>
    <row r="3465" s="101" customFormat="1" spans="6:6">
      <c r="F3465" s="2423"/>
    </row>
    <row r="3466" s="101" customFormat="1" spans="6:6">
      <c r="F3466" s="2423"/>
    </row>
    <row r="3467" s="101" customFormat="1" spans="6:6">
      <c r="F3467" s="2423"/>
    </row>
    <row r="3468" s="101" customFormat="1" spans="6:6">
      <c r="F3468" s="2423"/>
    </row>
    <row r="3469" s="101" customFormat="1" spans="6:6">
      <c r="F3469" s="2423"/>
    </row>
    <row r="3470" s="101" customFormat="1" spans="6:6">
      <c r="F3470" s="2423"/>
    </row>
    <row r="3471" s="101" customFormat="1" spans="6:6">
      <c r="F3471" s="2423"/>
    </row>
    <row r="3472" s="101" customFormat="1" spans="6:6">
      <c r="F3472" s="2423"/>
    </row>
    <row r="3473" s="101" customFormat="1" spans="6:6">
      <c r="F3473" s="2423"/>
    </row>
    <row r="3474" s="101" customFormat="1" spans="6:6">
      <c r="F3474" s="2423"/>
    </row>
    <row r="3475" s="101" customFormat="1" spans="6:6">
      <c r="F3475" s="2423"/>
    </row>
    <row r="3476" s="101" customFormat="1" spans="6:6">
      <c r="F3476" s="2423"/>
    </row>
    <row r="3477" s="101" customFormat="1" spans="6:6">
      <c r="F3477" s="2423"/>
    </row>
    <row r="3478" s="101" customFormat="1" spans="6:6">
      <c r="F3478" s="2423"/>
    </row>
    <row r="3479" s="101" customFormat="1" spans="6:6">
      <c r="F3479" s="2423"/>
    </row>
    <row r="3480" s="101" customFormat="1" spans="6:6">
      <c r="F3480" s="2423"/>
    </row>
    <row r="3481" s="101" customFormat="1" spans="6:6">
      <c r="F3481" s="2423"/>
    </row>
    <row r="3482" s="101" customFormat="1" spans="6:6">
      <c r="F3482" s="2423"/>
    </row>
    <row r="3483" s="101" customFormat="1" spans="6:6">
      <c r="F3483" s="2423"/>
    </row>
    <row r="3484" s="101" customFormat="1" spans="6:6">
      <c r="F3484" s="2423"/>
    </row>
    <row r="3485" s="101" customFormat="1" spans="6:6">
      <c r="F3485" s="2423"/>
    </row>
    <row r="3486" s="101" customFormat="1" spans="6:6">
      <c r="F3486" s="2423"/>
    </row>
    <row r="3487" s="101" customFormat="1" spans="6:6">
      <c r="F3487" s="2423"/>
    </row>
    <row r="3488" s="101" customFormat="1" spans="6:6">
      <c r="F3488" s="2423"/>
    </row>
    <row r="3489" s="101" customFormat="1" spans="6:6">
      <c r="F3489" s="2423"/>
    </row>
    <row r="3490" s="101" customFormat="1" spans="6:6">
      <c r="F3490" s="2423"/>
    </row>
    <row r="3491" s="101" customFormat="1" spans="6:6">
      <c r="F3491" s="2423"/>
    </row>
    <row r="3492" s="101" customFormat="1" spans="6:6">
      <c r="F3492" s="2423"/>
    </row>
    <row r="3493" s="101" customFormat="1" spans="6:6">
      <c r="F3493" s="2423"/>
    </row>
    <row r="3494" s="101" customFormat="1" spans="6:6">
      <c r="F3494" s="2423"/>
    </row>
    <row r="3495" s="101" customFormat="1" spans="6:6">
      <c r="F3495" s="2423"/>
    </row>
    <row r="3496" s="101" customFormat="1" spans="6:6">
      <c r="F3496" s="2423"/>
    </row>
    <row r="3497" s="101" customFormat="1" spans="6:6">
      <c r="F3497" s="2423"/>
    </row>
    <row r="3498" s="101" customFormat="1" spans="6:6">
      <c r="F3498" s="2423"/>
    </row>
    <row r="3499" s="101" customFormat="1" spans="6:6">
      <c r="F3499" s="2423"/>
    </row>
    <row r="3500" s="101" customFormat="1" spans="6:6">
      <c r="F3500" s="2423"/>
    </row>
    <row r="3501" s="101" customFormat="1" spans="6:6">
      <c r="F3501" s="2423"/>
    </row>
    <row r="3502" s="101" customFormat="1" spans="6:6">
      <c r="F3502" s="2423"/>
    </row>
    <row r="3503" s="101" customFormat="1" spans="6:6">
      <c r="F3503" s="2423"/>
    </row>
    <row r="3504" s="101" customFormat="1" spans="6:6">
      <c r="F3504" s="2423"/>
    </row>
    <row r="3505" s="101" customFormat="1" spans="6:6">
      <c r="F3505" s="2423"/>
    </row>
    <row r="3506" s="101" customFormat="1" spans="6:6">
      <c r="F3506" s="2423"/>
    </row>
    <row r="3507" s="101" customFormat="1" spans="6:6">
      <c r="F3507" s="2423"/>
    </row>
    <row r="3508" s="101" customFormat="1" spans="6:6">
      <c r="F3508" s="2423"/>
    </row>
    <row r="3509" s="101" customFormat="1" spans="6:6">
      <c r="F3509" s="2423"/>
    </row>
    <row r="3510" s="101" customFormat="1" spans="6:6">
      <c r="F3510" s="2423"/>
    </row>
    <row r="3511" s="101" customFormat="1" spans="6:6">
      <c r="F3511" s="2423"/>
    </row>
    <row r="3512" s="101" customFormat="1" spans="6:6">
      <c r="F3512" s="2423"/>
    </row>
    <row r="3513" s="101" customFormat="1" spans="6:6">
      <c r="F3513" s="2423"/>
    </row>
    <row r="3514" s="101" customFormat="1" spans="6:6">
      <c r="F3514" s="2423"/>
    </row>
    <row r="3515" s="101" customFormat="1" spans="6:6">
      <c r="F3515" s="2423"/>
    </row>
    <row r="3516" s="101" customFormat="1" spans="6:6">
      <c r="F3516" s="2423"/>
    </row>
    <row r="3517" s="101" customFormat="1" spans="6:6">
      <c r="F3517" s="2423"/>
    </row>
    <row r="3518" s="101" customFormat="1" spans="6:6">
      <c r="F3518" s="2423"/>
    </row>
    <row r="3519" s="101" customFormat="1" spans="6:6">
      <c r="F3519" s="2423"/>
    </row>
    <row r="3520" s="101" customFormat="1" spans="6:6">
      <c r="F3520" s="2423"/>
    </row>
    <row r="3521" s="101" customFormat="1" spans="6:6">
      <c r="F3521" s="2423"/>
    </row>
    <row r="3522" s="101" customFormat="1" spans="6:6">
      <c r="F3522" s="2423"/>
    </row>
    <row r="3523" s="101" customFormat="1" spans="6:6">
      <c r="F3523" s="2423"/>
    </row>
    <row r="3524" s="101" customFormat="1" spans="6:6">
      <c r="F3524" s="2423"/>
    </row>
    <row r="3525" s="101" customFormat="1" spans="6:6">
      <c r="F3525" s="2423"/>
    </row>
    <row r="3526" s="101" customFormat="1" spans="6:6">
      <c r="F3526" s="2423"/>
    </row>
    <row r="3527" s="101" customFormat="1" spans="6:6">
      <c r="F3527" s="2423"/>
    </row>
    <row r="3528" s="101" customFormat="1" spans="6:6">
      <c r="F3528" s="2423"/>
    </row>
    <row r="3529" s="101" customFormat="1" spans="6:6">
      <c r="F3529" s="2423"/>
    </row>
    <row r="3530" s="101" customFormat="1" spans="6:6">
      <c r="F3530" s="2423"/>
    </row>
    <row r="3531" s="101" customFormat="1" spans="6:6">
      <c r="F3531" s="2423"/>
    </row>
    <row r="3532" s="101" customFormat="1" spans="6:6">
      <c r="F3532" s="2423"/>
    </row>
    <row r="3533" s="101" customFormat="1" spans="6:6">
      <c r="F3533" s="2423"/>
    </row>
    <row r="3534" s="101" customFormat="1" spans="6:6">
      <c r="F3534" s="2423"/>
    </row>
    <row r="3535" s="101" customFormat="1" spans="6:6">
      <c r="F3535" s="2423"/>
    </row>
    <row r="3536" s="101" customFormat="1" spans="6:6">
      <c r="F3536" s="2423"/>
    </row>
    <row r="3537" s="101" customFormat="1" spans="6:6">
      <c r="F3537" s="2423"/>
    </row>
    <row r="3538" s="101" customFormat="1" spans="6:6">
      <c r="F3538" s="2423"/>
    </row>
    <row r="3539" s="101" customFormat="1" spans="6:6">
      <c r="F3539" s="2423"/>
    </row>
    <row r="3540" s="101" customFormat="1" spans="6:6">
      <c r="F3540" s="2423"/>
    </row>
    <row r="3541" s="101" customFormat="1" spans="6:6">
      <c r="F3541" s="2423"/>
    </row>
    <row r="3542" s="101" customFormat="1" spans="6:6">
      <c r="F3542" s="2423"/>
    </row>
    <row r="3543" s="101" customFormat="1" spans="6:6">
      <c r="F3543" s="2423"/>
    </row>
    <row r="3544" s="101" customFormat="1" spans="6:6">
      <c r="F3544" s="2423"/>
    </row>
    <row r="3545" s="101" customFormat="1" spans="6:6">
      <c r="F3545" s="2423"/>
    </row>
    <row r="3546" s="101" customFormat="1" spans="6:6">
      <c r="F3546" s="2423"/>
    </row>
    <row r="3547" s="101" customFormat="1" spans="6:6">
      <c r="F3547" s="2423"/>
    </row>
    <row r="3548" s="101" customFormat="1" spans="6:6">
      <c r="F3548" s="2423"/>
    </row>
    <row r="3549" s="101" customFormat="1" spans="6:6">
      <c r="F3549" s="2423"/>
    </row>
    <row r="3550" s="101" customFormat="1" spans="6:6">
      <c r="F3550" s="2423"/>
    </row>
    <row r="3551" s="101" customFormat="1" spans="6:6">
      <c r="F3551" s="2423"/>
    </row>
    <row r="3552" s="101" customFormat="1" spans="6:6">
      <c r="F3552" s="2423"/>
    </row>
    <row r="3553" s="101" customFormat="1" spans="6:6">
      <c r="F3553" s="2423"/>
    </row>
    <row r="3554" s="101" customFormat="1" spans="6:6">
      <c r="F3554" s="2423"/>
    </row>
    <row r="3555" s="101" customFormat="1" spans="6:6">
      <c r="F3555" s="2423"/>
    </row>
    <row r="3556" s="101" customFormat="1" spans="6:6">
      <c r="F3556" s="2423"/>
    </row>
    <row r="3557" s="101" customFormat="1" spans="6:6">
      <c r="F3557" s="2423"/>
    </row>
    <row r="3558" s="101" customFormat="1" spans="6:6">
      <c r="F3558" s="2423"/>
    </row>
    <row r="3559" s="101" customFormat="1" spans="6:6">
      <c r="F3559" s="2423"/>
    </row>
    <row r="3560" s="101" customFormat="1" spans="6:6">
      <c r="F3560" s="2423"/>
    </row>
    <row r="3561" s="101" customFormat="1" spans="6:6">
      <c r="F3561" s="2423"/>
    </row>
    <row r="3562" s="101" customFormat="1" spans="6:6">
      <c r="F3562" s="2423"/>
    </row>
    <row r="3563" s="101" customFormat="1" spans="6:6">
      <c r="F3563" s="2423"/>
    </row>
    <row r="3564" s="101" customFormat="1" spans="6:6">
      <c r="F3564" s="2423"/>
    </row>
    <row r="3565" s="101" customFormat="1" spans="6:6">
      <c r="F3565" s="2423"/>
    </row>
    <row r="3566" s="101" customFormat="1" spans="6:6">
      <c r="F3566" s="2423"/>
    </row>
    <row r="3567" s="101" customFormat="1" spans="6:6">
      <c r="F3567" s="2423"/>
    </row>
    <row r="3568" s="101" customFormat="1" spans="6:6">
      <c r="F3568" s="2423"/>
    </row>
    <row r="3569" s="101" customFormat="1" spans="6:6">
      <c r="F3569" s="2423"/>
    </row>
    <row r="3570" s="101" customFormat="1" spans="6:6">
      <c r="F3570" s="2423"/>
    </row>
    <row r="3571" s="101" customFormat="1" spans="6:6">
      <c r="F3571" s="2423"/>
    </row>
    <row r="3572" s="101" customFormat="1" spans="6:6">
      <c r="F3572" s="2423"/>
    </row>
    <row r="3573" s="101" customFormat="1" spans="6:6">
      <c r="F3573" s="2423"/>
    </row>
    <row r="3574" s="101" customFormat="1" spans="6:6">
      <c r="F3574" s="2423"/>
    </row>
    <row r="3575" s="101" customFormat="1" spans="6:6">
      <c r="F3575" s="2423"/>
    </row>
    <row r="3576" s="101" customFormat="1" spans="6:6">
      <c r="F3576" s="2423"/>
    </row>
    <row r="3577" s="101" customFormat="1" spans="6:6">
      <c r="F3577" s="2423"/>
    </row>
    <row r="3578" s="101" customFormat="1" spans="6:6">
      <c r="F3578" s="2423"/>
    </row>
    <row r="3579" s="101" customFormat="1" spans="6:6">
      <c r="F3579" s="2423"/>
    </row>
    <row r="3580" s="101" customFormat="1" spans="6:6">
      <c r="F3580" s="2423"/>
    </row>
    <row r="3581" s="101" customFormat="1" spans="6:6">
      <c r="F3581" s="2423"/>
    </row>
    <row r="3582" s="101" customFormat="1" spans="6:6">
      <c r="F3582" s="2423"/>
    </row>
    <row r="3583" s="101" customFormat="1" spans="6:6">
      <c r="F3583" s="2423"/>
    </row>
    <row r="3584" s="101" customFormat="1" spans="6:6">
      <c r="F3584" s="2423"/>
    </row>
    <row r="3585" s="101" customFormat="1" spans="6:6">
      <c r="F3585" s="2423"/>
    </row>
    <row r="3586" s="101" customFormat="1" spans="6:6">
      <c r="F3586" s="2423"/>
    </row>
    <row r="3587" s="101" customFormat="1" spans="6:6">
      <c r="F3587" s="2423"/>
    </row>
    <row r="3588" s="101" customFormat="1" spans="6:6">
      <c r="F3588" s="2423"/>
    </row>
    <row r="3589" s="101" customFormat="1" spans="6:6">
      <c r="F3589" s="2423"/>
    </row>
    <row r="3590" s="101" customFormat="1" spans="6:6">
      <c r="F3590" s="2423"/>
    </row>
    <row r="3591" s="101" customFormat="1" spans="6:6">
      <c r="F3591" s="2423"/>
    </row>
    <row r="3592" s="101" customFormat="1" spans="6:6">
      <c r="F3592" s="2423"/>
    </row>
    <row r="3593" s="101" customFormat="1" spans="6:6">
      <c r="F3593" s="2423"/>
    </row>
    <row r="3594" s="101" customFormat="1" spans="6:6">
      <c r="F3594" s="2423"/>
    </row>
    <row r="3595" s="101" customFormat="1" spans="6:6">
      <c r="F3595" s="2423"/>
    </row>
    <row r="3596" s="101" customFormat="1" spans="6:6">
      <c r="F3596" s="2423"/>
    </row>
    <row r="3597" s="101" customFormat="1" spans="6:6">
      <c r="F3597" s="2423"/>
    </row>
    <row r="3598" s="101" customFormat="1" spans="6:6">
      <c r="F3598" s="2423"/>
    </row>
    <row r="3599" s="101" customFormat="1" spans="6:6">
      <c r="F3599" s="2423"/>
    </row>
    <row r="3600" s="101" customFormat="1" spans="6:6">
      <c r="F3600" s="2423"/>
    </row>
    <row r="3601" s="101" customFormat="1" spans="6:6">
      <c r="F3601" s="2423"/>
    </row>
    <row r="3602" s="101" customFormat="1" spans="6:6">
      <c r="F3602" s="2423"/>
    </row>
    <row r="3603" s="101" customFormat="1" spans="6:6">
      <c r="F3603" s="2423"/>
    </row>
    <row r="3604" s="101" customFormat="1" spans="6:6">
      <c r="F3604" s="2423"/>
    </row>
    <row r="3605" s="101" customFormat="1" spans="6:6">
      <c r="F3605" s="2423"/>
    </row>
    <row r="3606" s="101" customFormat="1" spans="6:6">
      <c r="F3606" s="2423"/>
    </row>
    <row r="3607" s="101" customFormat="1" spans="6:6">
      <c r="F3607" s="2423"/>
    </row>
    <row r="3608" s="101" customFormat="1" spans="6:6">
      <c r="F3608" s="2423"/>
    </row>
    <row r="3609" s="101" customFormat="1" spans="6:6">
      <c r="F3609" s="2423"/>
    </row>
    <row r="3610" s="101" customFormat="1" spans="6:6">
      <c r="F3610" s="2423"/>
    </row>
    <row r="3611" s="101" customFormat="1" spans="6:6">
      <c r="F3611" s="2423"/>
    </row>
    <row r="3612" s="101" customFormat="1" spans="6:6">
      <c r="F3612" s="2423"/>
    </row>
    <row r="3613" s="101" customFormat="1" spans="6:6">
      <c r="F3613" s="2423"/>
    </row>
    <row r="3614" s="101" customFormat="1" spans="6:6">
      <c r="F3614" s="2423"/>
    </row>
    <row r="3615" s="101" customFormat="1" spans="6:6">
      <c r="F3615" s="2423"/>
    </row>
    <row r="3616" s="101" customFormat="1" spans="6:6">
      <c r="F3616" s="2423"/>
    </row>
    <row r="3617" s="101" customFormat="1" spans="6:6">
      <c r="F3617" s="2423"/>
    </row>
    <row r="3618" s="101" customFormat="1" spans="6:6">
      <c r="F3618" s="2423"/>
    </row>
    <row r="3619" s="101" customFormat="1" spans="6:6">
      <c r="F3619" s="2423"/>
    </row>
    <row r="3620" s="101" customFormat="1" spans="6:6">
      <c r="F3620" s="2423"/>
    </row>
    <row r="3621" s="101" customFormat="1" spans="6:6">
      <c r="F3621" s="2423"/>
    </row>
    <row r="3622" s="101" customFormat="1" spans="6:6">
      <c r="F3622" s="2423"/>
    </row>
    <row r="3623" s="101" customFormat="1" spans="6:6">
      <c r="F3623" s="2423"/>
    </row>
    <row r="3624" s="101" customFormat="1" spans="6:6">
      <c r="F3624" s="2423"/>
    </row>
    <row r="3625" s="101" customFormat="1" spans="6:6">
      <c r="F3625" s="2423"/>
    </row>
    <row r="3626" s="101" customFormat="1" spans="6:6">
      <c r="F3626" s="2423"/>
    </row>
    <row r="3627" s="101" customFormat="1" spans="6:6">
      <c r="F3627" s="2423"/>
    </row>
    <row r="3628" s="101" customFormat="1" spans="6:6">
      <c r="F3628" s="2423"/>
    </row>
    <row r="3629" s="101" customFormat="1" spans="6:6">
      <c r="F3629" s="2423"/>
    </row>
    <row r="3630" s="101" customFormat="1" spans="6:6">
      <c r="F3630" s="2423"/>
    </row>
    <row r="3631" s="101" customFormat="1" spans="6:6">
      <c r="F3631" s="2423"/>
    </row>
    <row r="3632" s="101" customFormat="1" spans="6:6">
      <c r="F3632" s="2423"/>
    </row>
    <row r="3633" s="101" customFormat="1" spans="6:6">
      <c r="F3633" s="2423"/>
    </row>
    <row r="3634" s="101" customFormat="1" spans="6:6">
      <c r="F3634" s="2423"/>
    </row>
    <row r="3635" s="101" customFormat="1" spans="6:6">
      <c r="F3635" s="2423"/>
    </row>
    <row r="3636" s="101" customFormat="1" spans="6:6">
      <c r="F3636" s="2423"/>
    </row>
    <row r="3637" s="101" customFormat="1" spans="6:6">
      <c r="F3637" s="2423"/>
    </row>
    <row r="3638" s="101" customFormat="1" spans="6:6">
      <c r="F3638" s="2423"/>
    </row>
    <row r="3639" s="101" customFormat="1" spans="6:6">
      <c r="F3639" s="2423"/>
    </row>
    <row r="3640" s="101" customFormat="1" spans="6:6">
      <c r="F3640" s="2423"/>
    </row>
    <row r="3641" s="101" customFormat="1" spans="6:6">
      <c r="F3641" s="2423"/>
    </row>
    <row r="3642" s="101" customFormat="1" spans="6:6">
      <c r="F3642" s="2423"/>
    </row>
    <row r="3643" s="101" customFormat="1" spans="6:6">
      <c r="F3643" s="2423"/>
    </row>
    <row r="3644" s="101" customFormat="1" spans="6:6">
      <c r="F3644" s="2423"/>
    </row>
    <row r="3645" s="101" customFormat="1" spans="6:6">
      <c r="F3645" s="2423"/>
    </row>
    <row r="3646" s="101" customFormat="1" spans="6:6">
      <c r="F3646" s="2423"/>
    </row>
    <row r="3647" s="101" customFormat="1" spans="6:6">
      <c r="F3647" s="2423"/>
    </row>
    <row r="3648" s="101" customFormat="1" spans="6:6">
      <c r="F3648" s="2423"/>
    </row>
    <row r="3649" s="101" customFormat="1" spans="6:6">
      <c r="F3649" s="2423"/>
    </row>
    <row r="3650" s="101" customFormat="1" spans="6:6">
      <c r="F3650" s="2423"/>
    </row>
    <row r="3651" s="101" customFormat="1" spans="6:6">
      <c r="F3651" s="2423"/>
    </row>
    <row r="3652" s="101" customFormat="1" spans="6:6">
      <c r="F3652" s="2423"/>
    </row>
    <row r="3653" s="101" customFormat="1" spans="6:6">
      <c r="F3653" s="2423"/>
    </row>
    <row r="3654" s="101" customFormat="1" spans="6:6">
      <c r="F3654" s="2423"/>
    </row>
    <row r="3655" s="101" customFormat="1" spans="6:6">
      <c r="F3655" s="2423"/>
    </row>
    <row r="3656" s="101" customFormat="1" spans="6:6">
      <c r="F3656" s="2423"/>
    </row>
    <row r="3657" s="101" customFormat="1" spans="6:6">
      <c r="F3657" s="2423"/>
    </row>
    <row r="3658" s="101" customFormat="1" spans="6:6">
      <c r="F3658" s="2423"/>
    </row>
    <row r="3659" s="101" customFormat="1" spans="6:6">
      <c r="F3659" s="2423"/>
    </row>
    <row r="3660" s="101" customFormat="1" spans="6:6">
      <c r="F3660" s="2423"/>
    </row>
    <row r="3661" s="101" customFormat="1" spans="6:6">
      <c r="F3661" s="2423"/>
    </row>
    <row r="3662" s="101" customFormat="1" spans="6:6">
      <c r="F3662" s="2423"/>
    </row>
    <row r="3663" s="101" customFormat="1" spans="6:6">
      <c r="F3663" s="2423"/>
    </row>
    <row r="3664" s="101" customFormat="1" spans="6:6">
      <c r="F3664" s="2423"/>
    </row>
    <row r="3665" s="101" customFormat="1" spans="6:6">
      <c r="F3665" s="2423"/>
    </row>
    <row r="3666" s="101" customFormat="1" spans="6:6">
      <c r="F3666" s="2423"/>
    </row>
    <row r="3667" s="101" customFormat="1" spans="6:6">
      <c r="F3667" s="2423"/>
    </row>
    <row r="3668" s="101" customFormat="1" spans="6:6">
      <c r="F3668" s="2423"/>
    </row>
    <row r="3669" s="101" customFormat="1" spans="6:6">
      <c r="F3669" s="2423"/>
    </row>
    <row r="3670" s="101" customFormat="1" spans="6:6">
      <c r="F3670" s="2423"/>
    </row>
    <row r="3671" s="101" customFormat="1" spans="6:6">
      <c r="F3671" s="2423"/>
    </row>
    <row r="3672" s="101" customFormat="1" spans="6:6">
      <c r="F3672" s="2423"/>
    </row>
    <row r="3673" s="101" customFormat="1" spans="6:6">
      <c r="F3673" s="2423"/>
    </row>
    <row r="3674" s="101" customFormat="1" spans="6:6">
      <c r="F3674" s="2423"/>
    </row>
    <row r="3675" s="101" customFormat="1" spans="6:6">
      <c r="F3675" s="2423"/>
    </row>
    <row r="3676" s="101" customFormat="1" spans="6:6">
      <c r="F3676" s="2423"/>
    </row>
    <row r="3677" s="101" customFormat="1" spans="6:6">
      <c r="F3677" s="2423"/>
    </row>
    <row r="3678" s="101" customFormat="1" spans="6:6">
      <c r="F3678" s="2423"/>
    </row>
    <row r="3679" s="101" customFormat="1" spans="6:6">
      <c r="F3679" s="2423"/>
    </row>
    <row r="3680" s="101" customFormat="1" spans="6:6">
      <c r="F3680" s="2423"/>
    </row>
    <row r="3681" s="101" customFormat="1" spans="6:6">
      <c r="F3681" s="2423"/>
    </row>
    <row r="3682" s="101" customFormat="1" spans="6:6">
      <c r="F3682" s="2423"/>
    </row>
    <row r="3683" s="101" customFormat="1" spans="6:6">
      <c r="F3683" s="2423"/>
    </row>
    <row r="3684" s="101" customFormat="1" spans="6:6">
      <c r="F3684" s="2423"/>
    </row>
    <row r="3685" s="101" customFormat="1" spans="6:6">
      <c r="F3685" s="2423"/>
    </row>
    <row r="3686" s="101" customFormat="1" spans="6:6">
      <c r="F3686" s="2423"/>
    </row>
    <row r="3687" s="101" customFormat="1" spans="6:6">
      <c r="F3687" s="2423"/>
    </row>
    <row r="3688" s="101" customFormat="1" spans="6:6">
      <c r="F3688" s="2423"/>
    </row>
    <row r="3689" s="101" customFormat="1" spans="6:6">
      <c r="F3689" s="2423"/>
    </row>
    <row r="3690" s="101" customFormat="1" spans="6:6">
      <c r="F3690" s="2423"/>
    </row>
    <row r="3691" s="101" customFormat="1" spans="6:6">
      <c r="F3691" s="2423"/>
    </row>
    <row r="3692" s="101" customFormat="1" spans="6:6">
      <c r="F3692" s="2423"/>
    </row>
    <row r="3693" s="101" customFormat="1" spans="6:6">
      <c r="F3693" s="2423"/>
    </row>
    <row r="3694" s="101" customFormat="1" spans="6:6">
      <c r="F3694" s="2423"/>
    </row>
    <row r="3695" s="101" customFormat="1" spans="6:6">
      <c r="F3695" s="2423"/>
    </row>
    <row r="3696" s="101" customFormat="1" spans="6:6">
      <c r="F3696" s="2423"/>
    </row>
    <row r="3697" s="101" customFormat="1" spans="6:6">
      <c r="F3697" s="2423"/>
    </row>
    <row r="3698" s="101" customFormat="1" spans="6:6">
      <c r="F3698" s="2423"/>
    </row>
    <row r="3699" s="101" customFormat="1" spans="6:6">
      <c r="F3699" s="2423"/>
    </row>
    <row r="3700" s="101" customFormat="1" spans="6:6">
      <c r="F3700" s="2423"/>
    </row>
    <row r="3701" s="101" customFormat="1" spans="6:6">
      <c r="F3701" s="2423"/>
    </row>
    <row r="3702" s="101" customFormat="1" spans="6:6">
      <c r="F3702" s="2423"/>
    </row>
    <row r="3703" s="101" customFormat="1" spans="6:6">
      <c r="F3703" s="2423"/>
    </row>
    <row r="3704" s="101" customFormat="1" spans="6:6">
      <c r="F3704" s="2423"/>
    </row>
    <row r="3705" s="101" customFormat="1" spans="6:6">
      <c r="F3705" s="2423"/>
    </row>
    <row r="3706" s="101" customFormat="1" spans="6:6">
      <c r="F3706" s="2423"/>
    </row>
    <row r="3707" s="101" customFormat="1" spans="6:6">
      <c r="F3707" s="2423"/>
    </row>
    <row r="3708" s="101" customFormat="1" spans="6:6">
      <c r="F3708" s="2423"/>
    </row>
    <row r="3709" s="101" customFormat="1" spans="6:6">
      <c r="F3709" s="2423"/>
    </row>
    <row r="3710" s="101" customFormat="1" spans="6:6">
      <c r="F3710" s="2423"/>
    </row>
    <row r="3711" s="101" customFormat="1" spans="6:6">
      <c r="F3711" s="2423"/>
    </row>
    <row r="3712" s="101" customFormat="1" spans="6:6">
      <c r="F3712" s="2423"/>
    </row>
    <row r="3713" s="101" customFormat="1" spans="6:6">
      <c r="F3713" s="2423"/>
    </row>
    <row r="3714" s="101" customFormat="1" spans="6:6">
      <c r="F3714" s="2423"/>
    </row>
    <row r="3715" s="101" customFormat="1" spans="6:6">
      <c r="F3715" s="2423"/>
    </row>
    <row r="3716" s="101" customFormat="1" spans="6:6">
      <c r="F3716" s="2423"/>
    </row>
    <row r="3717" s="101" customFormat="1" spans="6:6">
      <c r="F3717" s="2423"/>
    </row>
    <row r="3718" s="101" customFormat="1" spans="6:6">
      <c r="F3718" s="2423"/>
    </row>
    <row r="3719" s="101" customFormat="1" spans="6:6">
      <c r="F3719" s="2423"/>
    </row>
    <row r="3720" s="101" customFormat="1" spans="6:6">
      <c r="F3720" s="2423"/>
    </row>
    <row r="3721" s="101" customFormat="1" spans="6:6">
      <c r="F3721" s="2423"/>
    </row>
    <row r="3722" s="101" customFormat="1" spans="6:6">
      <c r="F3722" s="2423"/>
    </row>
    <row r="3723" s="101" customFormat="1" spans="6:6">
      <c r="F3723" s="2423"/>
    </row>
    <row r="3724" s="101" customFormat="1" spans="6:6">
      <c r="F3724" s="2423"/>
    </row>
    <row r="3725" s="101" customFormat="1" spans="6:6">
      <c r="F3725" s="2423"/>
    </row>
    <row r="3726" s="101" customFormat="1" spans="6:6">
      <c r="F3726" s="2423"/>
    </row>
    <row r="3727" s="101" customFormat="1" spans="6:6">
      <c r="F3727" s="2423"/>
    </row>
    <row r="3728" s="101" customFormat="1" spans="6:6">
      <c r="F3728" s="2423"/>
    </row>
    <row r="3729" s="101" customFormat="1" spans="6:6">
      <c r="F3729" s="2423"/>
    </row>
    <row r="3730" s="101" customFormat="1" spans="6:6">
      <c r="F3730" s="2423"/>
    </row>
    <row r="3731" s="101" customFormat="1" spans="6:6">
      <c r="F3731" s="2423"/>
    </row>
    <row r="3732" s="101" customFormat="1" spans="6:6">
      <c r="F3732" s="2423"/>
    </row>
    <row r="3733" s="101" customFormat="1" spans="6:6">
      <c r="F3733" s="2423"/>
    </row>
    <row r="3734" s="101" customFormat="1" spans="6:6">
      <c r="F3734" s="2423"/>
    </row>
    <row r="3735" s="101" customFormat="1" spans="6:6">
      <c r="F3735" s="2423"/>
    </row>
    <row r="3736" s="101" customFormat="1" spans="6:6">
      <c r="F3736" s="2423"/>
    </row>
    <row r="3737" s="101" customFormat="1" spans="6:6">
      <c r="F3737" s="2423"/>
    </row>
    <row r="3738" s="101" customFormat="1" spans="6:6">
      <c r="F3738" s="2423"/>
    </row>
    <row r="3739" s="101" customFormat="1" spans="6:6">
      <c r="F3739" s="2423"/>
    </row>
    <row r="3740" s="101" customFormat="1" spans="6:6">
      <c r="F3740" s="2423"/>
    </row>
    <row r="3741" s="101" customFormat="1" spans="6:6">
      <c r="F3741" s="2423"/>
    </row>
    <row r="3742" s="101" customFormat="1" spans="6:6">
      <c r="F3742" s="2423"/>
    </row>
    <row r="3743" s="101" customFormat="1" spans="6:6">
      <c r="F3743" s="2423"/>
    </row>
    <row r="3744" s="101" customFormat="1" spans="6:6">
      <c r="F3744" s="2423"/>
    </row>
    <row r="3745" s="101" customFormat="1" spans="6:6">
      <c r="F3745" s="2423"/>
    </row>
    <row r="3746" s="101" customFormat="1" spans="6:6">
      <c r="F3746" s="2423"/>
    </row>
    <row r="3747" s="101" customFormat="1" spans="6:6">
      <c r="F3747" s="2423"/>
    </row>
    <row r="3748" s="101" customFormat="1" spans="6:6">
      <c r="F3748" s="2423"/>
    </row>
    <row r="3749" s="101" customFormat="1" spans="6:6">
      <c r="F3749" s="2423"/>
    </row>
    <row r="3750" s="101" customFormat="1" spans="6:6">
      <c r="F3750" s="2423"/>
    </row>
    <row r="3751" s="101" customFormat="1" spans="6:6">
      <c r="F3751" s="2423"/>
    </row>
    <row r="3752" s="101" customFormat="1" spans="6:6">
      <c r="F3752" s="2423"/>
    </row>
    <row r="3753" s="101" customFormat="1" spans="6:6">
      <c r="F3753" s="2423"/>
    </row>
    <row r="3754" s="101" customFormat="1" spans="6:6">
      <c r="F3754" s="2423"/>
    </row>
    <row r="3755" s="101" customFormat="1" spans="6:6">
      <c r="F3755" s="2423"/>
    </row>
    <row r="3756" s="101" customFormat="1" spans="6:6">
      <c r="F3756" s="2423"/>
    </row>
    <row r="3757" s="101" customFormat="1" spans="6:6">
      <c r="F3757" s="2423"/>
    </row>
    <row r="3758" s="101" customFormat="1" spans="6:6">
      <c r="F3758" s="2423"/>
    </row>
    <row r="3759" s="101" customFormat="1" spans="6:6">
      <c r="F3759" s="2423"/>
    </row>
    <row r="3760" s="101" customFormat="1" spans="6:6">
      <c r="F3760" s="2423"/>
    </row>
    <row r="3761" s="101" customFormat="1" spans="6:6">
      <c r="F3761" s="2423"/>
    </row>
    <row r="3762" s="101" customFormat="1" spans="6:6">
      <c r="F3762" s="2423"/>
    </row>
    <row r="3763" s="101" customFormat="1" spans="6:6">
      <c r="F3763" s="2423"/>
    </row>
    <row r="3764" s="101" customFormat="1" spans="6:6">
      <c r="F3764" s="2423"/>
    </row>
    <row r="3765" s="101" customFormat="1" spans="6:6">
      <c r="F3765" s="2423"/>
    </row>
    <row r="3766" s="101" customFormat="1" spans="6:6">
      <c r="F3766" s="2423"/>
    </row>
    <row r="3767" s="101" customFormat="1" spans="6:6">
      <c r="F3767" s="2423"/>
    </row>
    <row r="3768" s="101" customFormat="1" spans="6:6">
      <c r="F3768" s="2423"/>
    </row>
    <row r="3769" s="101" customFormat="1" spans="6:6">
      <c r="F3769" s="2423"/>
    </row>
    <row r="3770" s="101" customFormat="1" spans="6:6">
      <c r="F3770" s="2423"/>
    </row>
    <row r="3771" s="101" customFormat="1" spans="6:6">
      <c r="F3771" s="2423"/>
    </row>
    <row r="3772" s="101" customFormat="1" spans="6:6">
      <c r="F3772" s="2423"/>
    </row>
    <row r="3773" s="101" customFormat="1" spans="6:6">
      <c r="F3773" s="2423"/>
    </row>
    <row r="3774" s="101" customFormat="1" spans="6:6">
      <c r="F3774" s="2423"/>
    </row>
    <row r="3775" s="101" customFormat="1" spans="6:6">
      <c r="F3775" s="2423"/>
    </row>
    <row r="3776" s="101" customFormat="1" spans="6:6">
      <c r="F3776" s="2423"/>
    </row>
    <row r="3777" s="101" customFormat="1" spans="6:6">
      <c r="F3777" s="2423"/>
    </row>
    <row r="3778" s="101" customFormat="1" spans="6:6">
      <c r="F3778" s="2423"/>
    </row>
    <row r="3779" s="101" customFormat="1" spans="6:6">
      <c r="F3779" s="2423"/>
    </row>
    <row r="3780" s="101" customFormat="1" spans="6:6">
      <c r="F3780" s="2423"/>
    </row>
    <row r="3781" s="101" customFormat="1" spans="6:6">
      <c r="F3781" s="2423"/>
    </row>
    <row r="3782" s="101" customFormat="1" spans="6:6">
      <c r="F3782" s="2423"/>
    </row>
    <row r="3783" s="101" customFormat="1" spans="6:6">
      <c r="F3783" s="2423"/>
    </row>
    <row r="3784" s="101" customFormat="1" spans="6:6">
      <c r="F3784" s="2423"/>
    </row>
    <row r="3785" s="101" customFormat="1" spans="6:6">
      <c r="F3785" s="2423"/>
    </row>
    <row r="3786" s="101" customFormat="1" spans="6:6">
      <c r="F3786" s="2423"/>
    </row>
    <row r="3787" s="101" customFormat="1" spans="6:6">
      <c r="F3787" s="2423"/>
    </row>
    <row r="3788" s="101" customFormat="1" spans="6:6">
      <c r="F3788" s="2423"/>
    </row>
    <row r="3789" s="101" customFormat="1" spans="6:6">
      <c r="F3789" s="2423"/>
    </row>
    <row r="3790" s="101" customFormat="1" spans="6:6">
      <c r="F3790" s="2423"/>
    </row>
    <row r="3791" s="101" customFormat="1" spans="6:6">
      <c r="F3791" s="2423"/>
    </row>
    <row r="3792" s="101" customFormat="1" spans="6:6">
      <c r="F3792" s="2423"/>
    </row>
    <row r="3793" s="101" customFormat="1" spans="6:6">
      <c r="F3793" s="2423"/>
    </row>
    <row r="3794" s="101" customFormat="1" spans="6:6">
      <c r="F3794" s="2423"/>
    </row>
    <row r="3795" s="101" customFormat="1" spans="6:6">
      <c r="F3795" s="2423"/>
    </row>
    <row r="3796" s="101" customFormat="1" spans="6:6">
      <c r="F3796" s="2423"/>
    </row>
    <row r="3797" s="101" customFormat="1" spans="6:6">
      <c r="F3797" s="2423"/>
    </row>
    <row r="3798" s="101" customFormat="1" spans="6:6">
      <c r="F3798" s="2423"/>
    </row>
    <row r="3799" s="101" customFormat="1" spans="6:6">
      <c r="F3799" s="2423"/>
    </row>
    <row r="3800" s="101" customFormat="1" spans="6:6">
      <c r="F3800" s="2423"/>
    </row>
    <row r="3801" s="101" customFormat="1" spans="6:6">
      <c r="F3801" s="2423"/>
    </row>
    <row r="3802" s="101" customFormat="1" spans="6:6">
      <c r="F3802" s="2423"/>
    </row>
    <row r="3803" s="101" customFormat="1" spans="6:6">
      <c r="F3803" s="2423"/>
    </row>
    <row r="3804" s="101" customFormat="1" spans="6:6">
      <c r="F3804" s="2423"/>
    </row>
    <row r="3805" s="101" customFormat="1" spans="6:6">
      <c r="F3805" s="2423"/>
    </row>
    <row r="3806" s="101" customFormat="1" spans="6:6">
      <c r="F3806" s="2423"/>
    </row>
    <row r="3807" s="101" customFormat="1" spans="6:6">
      <c r="F3807" s="2423"/>
    </row>
    <row r="3808" s="101" customFormat="1" spans="6:6">
      <c r="F3808" s="2423"/>
    </row>
    <row r="3809" s="101" customFormat="1" spans="6:6">
      <c r="F3809" s="2423"/>
    </row>
    <row r="3810" s="101" customFormat="1" spans="6:6">
      <c r="F3810" s="2423"/>
    </row>
    <row r="3811" s="101" customFormat="1" spans="6:6">
      <c r="F3811" s="2423"/>
    </row>
    <row r="3812" s="101" customFormat="1" spans="6:6">
      <c r="F3812" s="2423"/>
    </row>
    <row r="3813" s="101" customFormat="1" spans="6:6">
      <c r="F3813" s="2423"/>
    </row>
    <row r="3814" s="101" customFormat="1" spans="6:6">
      <c r="F3814" s="2423"/>
    </row>
    <row r="3815" s="101" customFormat="1" spans="6:6">
      <c r="F3815" s="2423"/>
    </row>
    <row r="3816" s="101" customFormat="1" spans="6:6">
      <c r="F3816" s="2423"/>
    </row>
    <row r="3817" s="101" customFormat="1" spans="6:6">
      <c r="F3817" s="2423"/>
    </row>
    <row r="3818" s="101" customFormat="1" spans="6:6">
      <c r="F3818" s="2423"/>
    </row>
    <row r="3819" s="101" customFormat="1" spans="6:6">
      <c r="F3819" s="2423"/>
    </row>
    <row r="3820" s="101" customFormat="1" spans="6:6">
      <c r="F3820" s="2423"/>
    </row>
    <row r="3821" s="101" customFormat="1" spans="6:6">
      <c r="F3821" s="2423"/>
    </row>
    <row r="3822" s="101" customFormat="1" spans="6:6">
      <c r="F3822" s="2423"/>
    </row>
    <row r="3823" s="101" customFormat="1" spans="6:6">
      <c r="F3823" s="2423"/>
    </row>
    <row r="3824" s="101" customFormat="1" spans="6:6">
      <c r="F3824" s="2423"/>
    </row>
    <row r="3825" s="101" customFormat="1" spans="6:6">
      <c r="F3825" s="2423"/>
    </row>
    <row r="3826" s="101" customFormat="1" spans="6:6">
      <c r="F3826" s="2423"/>
    </row>
    <row r="3827" s="101" customFormat="1" spans="6:6">
      <c r="F3827" s="2423"/>
    </row>
    <row r="3828" s="101" customFormat="1" spans="6:6">
      <c r="F3828" s="2423"/>
    </row>
    <row r="3829" s="101" customFormat="1" spans="6:6">
      <c r="F3829" s="2423"/>
    </row>
    <row r="3830" s="101" customFormat="1" spans="6:6">
      <c r="F3830" s="2423"/>
    </row>
    <row r="3831" s="101" customFormat="1" spans="6:6">
      <c r="F3831" s="2423"/>
    </row>
    <row r="3832" s="101" customFormat="1" spans="6:6">
      <c r="F3832" s="2423"/>
    </row>
    <row r="3833" s="101" customFormat="1" spans="6:6">
      <c r="F3833" s="2423"/>
    </row>
    <row r="3834" s="101" customFormat="1" spans="6:6">
      <c r="F3834" s="2423"/>
    </row>
    <row r="3835" s="101" customFormat="1" spans="6:6">
      <c r="F3835" s="2423"/>
    </row>
    <row r="3836" s="101" customFormat="1" spans="6:6">
      <c r="F3836" s="2423"/>
    </row>
    <row r="3837" s="101" customFormat="1" spans="6:6">
      <c r="F3837" s="2423"/>
    </row>
    <row r="3838" s="101" customFormat="1" spans="6:6">
      <c r="F3838" s="2423"/>
    </row>
    <row r="3839" s="101" customFormat="1" spans="6:6">
      <c r="F3839" s="2423"/>
    </row>
    <row r="3840" s="101" customFormat="1" spans="6:6">
      <c r="F3840" s="2423"/>
    </row>
    <row r="3841" s="101" customFormat="1" spans="6:6">
      <c r="F3841" s="2423"/>
    </row>
    <row r="3842" s="101" customFormat="1" spans="6:6">
      <c r="F3842" s="2423"/>
    </row>
    <row r="3843" s="101" customFormat="1" spans="6:6">
      <c r="F3843" s="2423"/>
    </row>
    <row r="3844" s="101" customFormat="1" spans="6:6">
      <c r="F3844" s="2423"/>
    </row>
    <row r="3845" s="101" customFormat="1" spans="6:6">
      <c r="F3845" s="2423"/>
    </row>
    <row r="3846" s="101" customFormat="1" spans="6:6">
      <c r="F3846" s="2423"/>
    </row>
    <row r="3847" s="101" customFormat="1" spans="6:6">
      <c r="F3847" s="2423"/>
    </row>
    <row r="3848" s="101" customFormat="1" spans="6:6">
      <c r="F3848" s="2423"/>
    </row>
    <row r="3849" s="101" customFormat="1" spans="6:6">
      <c r="F3849" s="2423"/>
    </row>
    <row r="3850" s="101" customFormat="1" spans="6:6">
      <c r="F3850" s="2423"/>
    </row>
    <row r="3851" s="101" customFormat="1" spans="6:6">
      <c r="F3851" s="2423"/>
    </row>
    <row r="3852" s="101" customFormat="1" spans="6:6">
      <c r="F3852" s="2423"/>
    </row>
    <row r="3853" s="101" customFormat="1" spans="6:6">
      <c r="F3853" s="2423"/>
    </row>
    <row r="3854" s="101" customFormat="1" spans="6:6">
      <c r="F3854" s="2423"/>
    </row>
    <row r="3855" s="101" customFormat="1" spans="6:6">
      <c r="F3855" s="2423"/>
    </row>
    <row r="3856" s="101" customFormat="1" spans="6:6">
      <c r="F3856" s="2423"/>
    </row>
    <row r="3857" s="101" customFormat="1" spans="6:6">
      <c r="F3857" s="2423"/>
    </row>
    <row r="3858" s="101" customFormat="1" spans="6:6">
      <c r="F3858" s="2423"/>
    </row>
    <row r="3859" s="101" customFormat="1" spans="6:6">
      <c r="F3859" s="2423"/>
    </row>
    <row r="3860" s="101" customFormat="1" spans="6:6">
      <c r="F3860" s="2423"/>
    </row>
    <row r="3861" s="101" customFormat="1" spans="6:6">
      <c r="F3861" s="2423"/>
    </row>
    <row r="3862" s="101" customFormat="1" spans="6:6">
      <c r="F3862" s="2423"/>
    </row>
    <row r="3863" s="101" customFormat="1" spans="6:6">
      <c r="F3863" s="2423"/>
    </row>
    <row r="3864" s="101" customFormat="1" spans="6:6">
      <c r="F3864" s="2423"/>
    </row>
    <row r="3865" s="101" customFormat="1" spans="6:6">
      <c r="F3865" s="2423"/>
    </row>
    <row r="3866" s="101" customFormat="1" spans="6:6">
      <c r="F3866" s="2423"/>
    </row>
    <row r="3867" s="101" customFormat="1" spans="6:6">
      <c r="F3867" s="2423"/>
    </row>
    <row r="3868" s="101" customFormat="1" spans="6:6">
      <c r="F3868" s="2423"/>
    </row>
    <row r="3869" s="101" customFormat="1" spans="6:6">
      <c r="F3869" s="2423"/>
    </row>
    <row r="3870" s="101" customFormat="1" spans="6:6">
      <c r="F3870" s="2423"/>
    </row>
    <row r="3871" s="101" customFormat="1" spans="6:6">
      <c r="F3871" s="2423"/>
    </row>
    <row r="3872" s="101" customFormat="1" spans="6:6">
      <c r="F3872" s="2423"/>
    </row>
    <row r="3873" s="101" customFormat="1" spans="6:6">
      <c r="F3873" s="2423"/>
    </row>
    <row r="3874" s="101" customFormat="1" spans="6:6">
      <c r="F3874" s="2423"/>
    </row>
    <row r="3875" s="101" customFormat="1" spans="6:6">
      <c r="F3875" s="2423"/>
    </row>
    <row r="3876" s="101" customFormat="1" spans="6:6">
      <c r="F3876" s="2423"/>
    </row>
    <row r="3877" s="101" customFormat="1" spans="6:6">
      <c r="F3877" s="2423"/>
    </row>
    <row r="3878" s="101" customFormat="1" spans="6:6">
      <c r="F3878" s="2423"/>
    </row>
    <row r="3879" s="101" customFormat="1" spans="6:6">
      <c r="F3879" s="2423"/>
    </row>
    <row r="3880" s="101" customFormat="1" spans="6:6">
      <c r="F3880" s="2423"/>
    </row>
    <row r="3881" s="101" customFormat="1" spans="6:6">
      <c r="F3881" s="2423"/>
    </row>
    <row r="3882" s="101" customFormat="1" spans="6:6">
      <c r="F3882" s="2423"/>
    </row>
    <row r="3883" s="101" customFormat="1" spans="6:6">
      <c r="F3883" s="2423"/>
    </row>
    <row r="3884" s="101" customFormat="1" spans="6:6">
      <c r="F3884" s="2423"/>
    </row>
    <row r="3885" s="101" customFormat="1" spans="6:6">
      <c r="F3885" s="2423"/>
    </row>
    <row r="3886" s="101" customFormat="1" spans="6:6">
      <c r="F3886" s="2423"/>
    </row>
    <row r="3887" s="101" customFormat="1" spans="6:6">
      <c r="F3887" s="2423"/>
    </row>
    <row r="3888" s="101" customFormat="1" spans="6:6">
      <c r="F3888" s="2423"/>
    </row>
    <row r="3889" s="101" customFormat="1" spans="6:6">
      <c r="F3889" s="2423"/>
    </row>
    <row r="3890" s="101" customFormat="1" spans="6:6">
      <c r="F3890" s="2423"/>
    </row>
    <row r="3891" s="101" customFormat="1" spans="6:6">
      <c r="F3891" s="2423"/>
    </row>
    <row r="3892" s="101" customFormat="1" spans="6:6">
      <c r="F3892" s="2423"/>
    </row>
    <row r="3893" s="101" customFormat="1" spans="6:6">
      <c r="F3893" s="2423"/>
    </row>
    <row r="3894" s="101" customFormat="1" spans="6:6">
      <c r="F3894" s="2423"/>
    </row>
    <row r="3895" s="101" customFormat="1" spans="6:6">
      <c r="F3895" s="2423"/>
    </row>
    <row r="3896" s="101" customFormat="1" spans="6:6">
      <c r="F3896" s="2423"/>
    </row>
    <row r="3897" s="101" customFormat="1" spans="6:6">
      <c r="F3897" s="2423"/>
    </row>
    <row r="3898" s="101" customFormat="1" spans="6:6">
      <c r="F3898" s="2423"/>
    </row>
    <row r="3899" s="101" customFormat="1" spans="6:6">
      <c r="F3899" s="2423"/>
    </row>
    <row r="3900" s="101" customFormat="1" spans="6:6">
      <c r="F3900" s="2423"/>
    </row>
    <row r="3901" s="101" customFormat="1" spans="6:6">
      <c r="F3901" s="2423"/>
    </row>
    <row r="3902" s="101" customFormat="1" spans="6:6">
      <c r="F3902" s="2423"/>
    </row>
    <row r="3903" s="101" customFormat="1" spans="6:6">
      <c r="F3903" s="2423"/>
    </row>
    <row r="3904" s="101" customFormat="1" spans="6:6">
      <c r="F3904" s="2423"/>
    </row>
    <row r="3905" s="101" customFormat="1" spans="6:6">
      <c r="F3905" s="2423"/>
    </row>
    <row r="3906" s="101" customFormat="1" spans="6:6">
      <c r="F3906" s="2423"/>
    </row>
    <row r="3907" s="101" customFormat="1" spans="6:6">
      <c r="F3907" s="2423"/>
    </row>
    <row r="3908" s="101" customFormat="1" spans="6:6">
      <c r="F3908" s="2423"/>
    </row>
    <row r="3909" s="101" customFormat="1" spans="6:6">
      <c r="F3909" s="2423"/>
    </row>
    <row r="3910" s="101" customFormat="1" spans="6:6">
      <c r="F3910" s="2423"/>
    </row>
    <row r="3911" s="101" customFormat="1" spans="6:6">
      <c r="F3911" s="2423"/>
    </row>
    <row r="3912" s="101" customFormat="1" spans="6:6">
      <c r="F3912" s="2423"/>
    </row>
    <row r="3913" s="101" customFormat="1" spans="6:6">
      <c r="F3913" s="2423"/>
    </row>
    <row r="3914" s="101" customFormat="1" spans="6:6">
      <c r="F3914" s="2423"/>
    </row>
    <row r="3915" s="101" customFormat="1" spans="6:6">
      <c r="F3915" s="2423"/>
    </row>
    <row r="3916" s="101" customFormat="1" spans="6:6">
      <c r="F3916" s="2423"/>
    </row>
    <row r="3917" s="101" customFormat="1" spans="6:6">
      <c r="F3917" s="2423"/>
    </row>
    <row r="3918" s="101" customFormat="1" spans="6:6">
      <c r="F3918" s="2423"/>
    </row>
    <row r="3919" s="101" customFormat="1" spans="6:6">
      <c r="F3919" s="2423"/>
    </row>
    <row r="3920" s="101" customFormat="1" spans="6:6">
      <c r="F3920" s="2423"/>
    </row>
    <row r="3921" s="101" customFormat="1" spans="6:6">
      <c r="F3921" s="2423"/>
    </row>
    <row r="3922" s="101" customFormat="1" spans="6:6">
      <c r="F3922" s="2423"/>
    </row>
    <row r="3923" s="101" customFormat="1" spans="6:6">
      <c r="F3923" s="2423"/>
    </row>
    <row r="3924" s="101" customFormat="1" spans="6:6">
      <c r="F3924" s="2423"/>
    </row>
    <row r="3925" s="101" customFormat="1" spans="6:6">
      <c r="F3925" s="2423"/>
    </row>
    <row r="3926" s="101" customFormat="1" spans="6:6">
      <c r="F3926" s="2423"/>
    </row>
    <row r="3927" s="101" customFormat="1" spans="6:6">
      <c r="F3927" s="2423"/>
    </row>
    <row r="3928" s="101" customFormat="1" spans="6:6">
      <c r="F3928" s="2423"/>
    </row>
    <row r="3929" s="101" customFormat="1" spans="6:6">
      <c r="F3929" s="2423"/>
    </row>
    <row r="3930" s="101" customFormat="1" spans="6:6">
      <c r="F3930" s="2423"/>
    </row>
    <row r="3931" s="101" customFormat="1" spans="6:6">
      <c r="F3931" s="2423"/>
    </row>
    <row r="3932" s="101" customFormat="1" spans="6:6">
      <c r="F3932" s="2423"/>
    </row>
    <row r="3933" s="101" customFormat="1" spans="6:6">
      <c r="F3933" s="2423"/>
    </row>
    <row r="3934" s="101" customFormat="1" spans="6:6">
      <c r="F3934" s="2423"/>
    </row>
    <row r="3935" s="101" customFormat="1" spans="6:6">
      <c r="F3935" s="2423"/>
    </row>
    <row r="3936" s="101" customFormat="1" spans="6:6">
      <c r="F3936" s="2423"/>
    </row>
    <row r="3937" s="101" customFormat="1" spans="6:6">
      <c r="F3937" s="2423"/>
    </row>
    <row r="3938" s="101" customFormat="1" spans="6:6">
      <c r="F3938" s="2423"/>
    </row>
    <row r="3939" s="101" customFormat="1" spans="6:6">
      <c r="F3939" s="2423"/>
    </row>
    <row r="3940" s="101" customFormat="1" spans="6:6">
      <c r="F3940" s="2423"/>
    </row>
    <row r="3941" s="101" customFormat="1" spans="6:6">
      <c r="F3941" s="2423"/>
    </row>
    <row r="3942" s="101" customFormat="1" spans="6:6">
      <c r="F3942" s="2423"/>
    </row>
    <row r="3943" s="101" customFormat="1" spans="6:6">
      <c r="F3943" s="2423"/>
    </row>
    <row r="3944" s="101" customFormat="1" spans="6:6">
      <c r="F3944" s="2423"/>
    </row>
    <row r="3945" s="101" customFormat="1" spans="6:6">
      <c r="F3945" s="2423"/>
    </row>
    <row r="3946" s="101" customFormat="1" spans="6:6">
      <c r="F3946" s="2423"/>
    </row>
    <row r="3947" s="101" customFormat="1" spans="6:6">
      <c r="F3947" s="2423"/>
    </row>
    <row r="3948" s="101" customFormat="1" spans="6:6">
      <c r="F3948" s="2423"/>
    </row>
    <row r="3949" s="101" customFormat="1" spans="6:6">
      <c r="F3949" s="2423"/>
    </row>
    <row r="3950" s="101" customFormat="1" spans="6:6">
      <c r="F3950" s="2423"/>
    </row>
    <row r="3951" s="101" customFormat="1" spans="6:6">
      <c r="F3951" s="2423"/>
    </row>
    <row r="3952" s="101" customFormat="1" spans="6:6">
      <c r="F3952" s="2423"/>
    </row>
    <row r="3953" s="101" customFormat="1" spans="6:6">
      <c r="F3953" s="2423"/>
    </row>
    <row r="3954" s="101" customFormat="1" spans="6:6">
      <c r="F3954" s="2423"/>
    </row>
    <row r="3955" s="101" customFormat="1" spans="6:6">
      <c r="F3955" s="2423"/>
    </row>
    <row r="3956" s="101" customFormat="1" spans="6:6">
      <c r="F3956" s="2423"/>
    </row>
    <row r="3957" s="101" customFormat="1" spans="6:6">
      <c r="F3957" s="2423"/>
    </row>
    <row r="3958" s="101" customFormat="1" spans="6:6">
      <c r="F3958" s="2423"/>
    </row>
    <row r="3959" s="101" customFormat="1" spans="6:6">
      <c r="F3959" s="2423"/>
    </row>
    <row r="3960" s="101" customFormat="1" spans="6:6">
      <c r="F3960" s="2423"/>
    </row>
    <row r="3961" s="101" customFormat="1" spans="6:6">
      <c r="F3961" s="2423"/>
    </row>
    <row r="3962" s="101" customFormat="1" spans="6:6">
      <c r="F3962" s="2423"/>
    </row>
    <row r="3963" s="101" customFormat="1" spans="6:6">
      <c r="F3963" s="2423"/>
    </row>
    <row r="3964" s="101" customFormat="1" spans="6:6">
      <c r="F3964" s="2423"/>
    </row>
    <row r="3965" s="101" customFormat="1" spans="6:6">
      <c r="F3965" s="2423"/>
    </row>
    <row r="3966" s="101" customFormat="1" spans="6:6">
      <c r="F3966" s="2423"/>
    </row>
    <row r="3967" s="101" customFormat="1" spans="6:6">
      <c r="F3967" s="2423"/>
    </row>
    <row r="3968" s="101" customFormat="1" spans="6:6">
      <c r="F3968" s="2423"/>
    </row>
    <row r="3969" s="101" customFormat="1" spans="6:6">
      <c r="F3969" s="2423"/>
    </row>
    <row r="3970" s="101" customFormat="1" spans="6:6">
      <c r="F3970" s="2423"/>
    </row>
    <row r="3971" s="101" customFormat="1" spans="6:6">
      <c r="F3971" s="2423"/>
    </row>
    <row r="3972" s="101" customFormat="1" spans="6:6">
      <c r="F3972" s="2423"/>
    </row>
    <row r="3973" s="101" customFormat="1" spans="6:6">
      <c r="F3973" s="2423"/>
    </row>
    <row r="3974" s="101" customFormat="1" spans="6:6">
      <c r="F3974" s="2423"/>
    </row>
    <row r="3975" s="101" customFormat="1" spans="6:6">
      <c r="F3975" s="2423"/>
    </row>
    <row r="3976" s="101" customFormat="1" spans="6:6">
      <c r="F3976" s="2423"/>
    </row>
    <row r="3977" s="101" customFormat="1" spans="6:6">
      <c r="F3977" s="2423"/>
    </row>
    <row r="3978" s="101" customFormat="1" spans="6:6">
      <c r="F3978" s="2423"/>
    </row>
    <row r="3979" s="101" customFormat="1" spans="6:6">
      <c r="F3979" s="2423"/>
    </row>
    <row r="3980" s="101" customFormat="1" spans="6:6">
      <c r="F3980" s="2423"/>
    </row>
    <row r="3981" s="101" customFormat="1" spans="6:6">
      <c r="F3981" s="2423"/>
    </row>
    <row r="3982" s="101" customFormat="1" spans="6:6">
      <c r="F3982" s="2423"/>
    </row>
    <row r="3983" s="101" customFormat="1" spans="6:6">
      <c r="F3983" s="2423"/>
    </row>
    <row r="3984" s="101" customFormat="1" spans="6:6">
      <c r="F3984" s="2423"/>
    </row>
    <row r="3985" s="101" customFormat="1" spans="6:6">
      <c r="F3985" s="2423"/>
    </row>
    <row r="3986" s="101" customFormat="1" spans="6:6">
      <c r="F3986" s="2423"/>
    </row>
    <row r="3987" s="101" customFormat="1" spans="6:6">
      <c r="F3987" s="2423"/>
    </row>
    <row r="3988" s="101" customFormat="1" spans="6:6">
      <c r="F3988" s="2423"/>
    </row>
    <row r="3989" s="101" customFormat="1" spans="6:6">
      <c r="F3989" s="2423"/>
    </row>
    <row r="3990" s="101" customFormat="1" spans="6:6">
      <c r="F3990" s="2423"/>
    </row>
    <row r="3991" s="101" customFormat="1" spans="6:6">
      <c r="F3991" s="2423"/>
    </row>
    <row r="3992" s="101" customFormat="1" spans="6:6">
      <c r="F3992" s="2423"/>
    </row>
    <row r="3993" s="101" customFormat="1" spans="6:6">
      <c r="F3993" s="2423"/>
    </row>
    <row r="3994" s="101" customFormat="1" spans="6:6">
      <c r="F3994" s="2423"/>
    </row>
    <row r="3995" s="101" customFormat="1" spans="6:6">
      <c r="F3995" s="2423"/>
    </row>
    <row r="3996" s="101" customFormat="1" spans="6:6">
      <c r="F3996" s="2423"/>
    </row>
    <row r="3997" s="101" customFormat="1" spans="6:6">
      <c r="F3997" s="2423"/>
    </row>
    <row r="3998" s="101" customFormat="1" spans="6:6">
      <c r="F3998" s="2423"/>
    </row>
    <row r="3999" s="101" customFormat="1" spans="6:6">
      <c r="F3999" s="2423"/>
    </row>
    <row r="4000" s="101" customFormat="1" spans="6:6">
      <c r="F4000" s="2423"/>
    </row>
    <row r="4001" s="101" customFormat="1" spans="6:6">
      <c r="F4001" s="2423"/>
    </row>
    <row r="4002" s="101" customFormat="1" spans="6:6">
      <c r="F4002" s="2423"/>
    </row>
    <row r="4003" s="101" customFormat="1" spans="6:6">
      <c r="F4003" s="2423"/>
    </row>
    <row r="4004" s="101" customFormat="1" spans="6:6">
      <c r="F4004" s="2423"/>
    </row>
    <row r="4005" s="101" customFormat="1" spans="6:6">
      <c r="F4005" s="2423"/>
    </row>
    <row r="4006" s="101" customFormat="1" spans="6:6">
      <c r="F4006" s="2423"/>
    </row>
    <row r="4007" s="101" customFormat="1" spans="6:6">
      <c r="F4007" s="2423"/>
    </row>
    <row r="4008" s="101" customFormat="1" spans="6:6">
      <c r="F4008" s="2423"/>
    </row>
    <row r="4009" s="101" customFormat="1" spans="6:6">
      <c r="F4009" s="2423"/>
    </row>
    <row r="4010" s="101" customFormat="1" spans="6:6">
      <c r="F4010" s="2423"/>
    </row>
    <row r="4011" s="101" customFormat="1" spans="6:6">
      <c r="F4011" s="2423"/>
    </row>
    <row r="4012" s="101" customFormat="1" spans="6:6">
      <c r="F4012" s="2423"/>
    </row>
    <row r="4013" s="101" customFormat="1" spans="6:6">
      <c r="F4013" s="2423"/>
    </row>
    <row r="4014" s="101" customFormat="1" spans="6:6">
      <c r="F4014" s="2423"/>
    </row>
    <row r="4015" s="101" customFormat="1" spans="6:6">
      <c r="F4015" s="2423"/>
    </row>
    <row r="4016" s="101" customFormat="1" spans="6:6">
      <c r="F4016" s="2423"/>
    </row>
    <row r="4017" s="101" customFormat="1" spans="6:6">
      <c r="F4017" s="2423"/>
    </row>
    <row r="4018" s="101" customFormat="1" spans="6:6">
      <c r="F4018" s="2423"/>
    </row>
    <row r="4019" s="101" customFormat="1" spans="6:6">
      <c r="F4019" s="2423"/>
    </row>
    <row r="4020" s="101" customFormat="1" spans="6:6">
      <c r="F4020" s="2423"/>
    </row>
    <row r="4021" s="101" customFormat="1" spans="6:6">
      <c r="F4021" s="2423"/>
    </row>
    <row r="4022" s="101" customFormat="1" spans="6:6">
      <c r="F4022" s="2423"/>
    </row>
    <row r="4023" s="101" customFormat="1" spans="6:6">
      <c r="F4023" s="2423"/>
    </row>
    <row r="4024" s="101" customFormat="1" spans="6:6">
      <c r="F4024" s="2423"/>
    </row>
    <row r="4025" s="101" customFormat="1" spans="6:6">
      <c r="F4025" s="2423"/>
    </row>
    <row r="4026" s="101" customFormat="1" spans="6:6">
      <c r="F4026" s="2423"/>
    </row>
    <row r="4027" s="101" customFormat="1" spans="6:6">
      <c r="F4027" s="2423"/>
    </row>
    <row r="4028" s="101" customFormat="1" spans="6:6">
      <c r="F4028" s="2423"/>
    </row>
    <row r="4029" s="101" customFormat="1" spans="6:6">
      <c r="F4029" s="2423"/>
    </row>
    <row r="4030" s="101" customFormat="1" spans="6:6">
      <c r="F4030" s="2423"/>
    </row>
    <row r="4031" s="101" customFormat="1" spans="6:6">
      <c r="F4031" s="2423"/>
    </row>
    <row r="4032" s="101" customFormat="1" spans="6:6">
      <c r="F4032" s="2423"/>
    </row>
    <row r="4033" s="101" customFormat="1" spans="6:6">
      <c r="F4033" s="2423"/>
    </row>
    <row r="4034" s="101" customFormat="1" spans="6:6">
      <c r="F4034" s="2423"/>
    </row>
    <row r="4035" s="101" customFormat="1" spans="6:6">
      <c r="F4035" s="2423"/>
    </row>
    <row r="4036" s="101" customFormat="1" spans="6:6">
      <c r="F4036" s="2423"/>
    </row>
    <row r="4037" s="101" customFormat="1" spans="6:6">
      <c r="F4037" s="2423"/>
    </row>
    <row r="4038" s="101" customFormat="1" spans="6:6">
      <c r="F4038" s="2423"/>
    </row>
    <row r="4039" s="101" customFormat="1" spans="6:6">
      <c r="F4039" s="2423"/>
    </row>
    <row r="4040" s="101" customFormat="1" spans="6:6">
      <c r="F4040" s="2423"/>
    </row>
    <row r="4041" s="101" customFormat="1" spans="6:6">
      <c r="F4041" s="2423"/>
    </row>
    <row r="4042" s="101" customFormat="1" spans="6:6">
      <c r="F4042" s="2423"/>
    </row>
    <row r="4043" s="101" customFormat="1" spans="6:6">
      <c r="F4043" s="2423"/>
    </row>
    <row r="4044" s="101" customFormat="1" spans="6:6">
      <c r="F4044" s="2423"/>
    </row>
    <row r="4045" s="101" customFormat="1" spans="6:6">
      <c r="F4045" s="2423"/>
    </row>
    <row r="4046" s="101" customFormat="1" spans="6:6">
      <c r="F4046" s="2423"/>
    </row>
    <row r="4047" s="101" customFormat="1" spans="6:6">
      <c r="F4047" s="2423"/>
    </row>
    <row r="4048" s="101" customFormat="1" spans="6:6">
      <c r="F4048" s="2423"/>
    </row>
    <row r="4049" s="101" customFormat="1" spans="6:6">
      <c r="F4049" s="2423"/>
    </row>
    <row r="4050" s="101" customFormat="1" spans="6:6">
      <c r="F4050" s="2423"/>
    </row>
    <row r="4051" s="101" customFormat="1" spans="6:6">
      <c r="F4051" s="2423"/>
    </row>
    <row r="4052" s="101" customFormat="1" spans="6:6">
      <c r="F4052" s="2423"/>
    </row>
    <row r="4053" s="101" customFormat="1" spans="6:6">
      <c r="F4053" s="2423"/>
    </row>
    <row r="4054" s="101" customFormat="1" spans="6:6">
      <c r="F4054" s="2423"/>
    </row>
    <row r="4055" s="101" customFormat="1" spans="6:6">
      <c r="F4055" s="2423"/>
    </row>
    <row r="4056" s="101" customFormat="1" spans="6:6">
      <c r="F4056" s="2423"/>
    </row>
    <row r="4057" s="101" customFormat="1" spans="6:6">
      <c r="F4057" s="2423"/>
    </row>
    <row r="4058" s="101" customFormat="1" spans="6:6">
      <c r="F4058" s="2423"/>
    </row>
    <row r="4059" s="101" customFormat="1" spans="6:6">
      <c r="F4059" s="2423"/>
    </row>
    <row r="4060" s="101" customFormat="1" spans="6:6">
      <c r="F4060" s="2423"/>
    </row>
    <row r="4061" s="101" customFormat="1" spans="6:6">
      <c r="F4061" s="2423"/>
    </row>
    <row r="4062" s="101" customFormat="1" spans="6:6">
      <c r="F4062" s="2423"/>
    </row>
    <row r="4063" s="101" customFormat="1" spans="6:6">
      <c r="F4063" s="2423"/>
    </row>
    <row r="4064" s="101" customFormat="1" spans="6:6">
      <c r="F4064" s="2423"/>
    </row>
    <row r="4065" s="101" customFormat="1" spans="6:6">
      <c r="F4065" s="2423"/>
    </row>
    <row r="4066" s="101" customFormat="1" spans="6:6">
      <c r="F4066" s="2423"/>
    </row>
    <row r="4067" s="101" customFormat="1" spans="6:6">
      <c r="F4067" s="2423"/>
    </row>
    <row r="4068" s="101" customFormat="1" spans="6:6">
      <c r="F4068" s="2423"/>
    </row>
    <row r="4069" s="101" customFormat="1" spans="6:6">
      <c r="F4069" s="2423"/>
    </row>
    <row r="4070" s="101" customFormat="1" spans="6:6">
      <c r="F4070" s="2423"/>
    </row>
    <row r="4071" s="101" customFormat="1" spans="6:6">
      <c r="F4071" s="2423"/>
    </row>
    <row r="4072" s="101" customFormat="1" spans="6:6">
      <c r="F4072" s="2423"/>
    </row>
    <row r="4073" s="101" customFormat="1" spans="6:6">
      <c r="F4073" s="2423"/>
    </row>
    <row r="4074" s="101" customFormat="1" spans="6:6">
      <c r="F4074" s="2423"/>
    </row>
    <row r="4075" s="101" customFormat="1" spans="6:6">
      <c r="F4075" s="2423"/>
    </row>
    <row r="4076" s="101" customFormat="1" spans="6:6">
      <c r="F4076" s="2423"/>
    </row>
    <row r="4077" s="101" customFormat="1" spans="6:6">
      <c r="F4077" s="2423"/>
    </row>
    <row r="4078" s="101" customFormat="1" spans="6:6">
      <c r="F4078" s="2423"/>
    </row>
    <row r="4079" s="101" customFormat="1" spans="6:6">
      <c r="F4079" s="2423"/>
    </row>
    <row r="4080" s="101" customFormat="1" spans="6:6">
      <c r="F4080" s="2423"/>
    </row>
    <row r="4081" s="101" customFormat="1" spans="6:6">
      <c r="F4081" s="2423"/>
    </row>
    <row r="4082" s="101" customFormat="1" spans="6:6">
      <c r="F4082" s="2423"/>
    </row>
    <row r="4083" s="101" customFormat="1" spans="6:6">
      <c r="F4083" s="2423"/>
    </row>
    <row r="4084" s="101" customFormat="1" spans="6:6">
      <c r="F4084" s="2423"/>
    </row>
    <row r="4085" s="101" customFormat="1" spans="6:6">
      <c r="F4085" s="2423"/>
    </row>
    <row r="4086" s="101" customFormat="1" spans="6:6">
      <c r="F4086" s="2423"/>
    </row>
    <row r="4087" s="101" customFormat="1" spans="6:6">
      <c r="F4087" s="2423"/>
    </row>
    <row r="4088" s="101" customFormat="1" spans="6:6">
      <c r="F4088" s="2423"/>
    </row>
    <row r="4089" s="101" customFormat="1" spans="6:6">
      <c r="F4089" s="2423"/>
    </row>
    <row r="4090" s="101" customFormat="1" spans="6:6">
      <c r="F4090" s="2423"/>
    </row>
    <row r="4091" s="101" customFormat="1" spans="6:6">
      <c r="F4091" s="2423"/>
    </row>
    <row r="4092" s="101" customFormat="1" spans="6:6">
      <c r="F4092" s="2423"/>
    </row>
    <row r="4093" s="101" customFormat="1" spans="6:6">
      <c r="F4093" s="2423"/>
    </row>
    <row r="4094" s="101" customFormat="1" spans="6:6">
      <c r="F4094" s="2423"/>
    </row>
    <row r="4095" s="101" customFormat="1" spans="6:6">
      <c r="F4095" s="2423"/>
    </row>
    <row r="4096" s="101" customFormat="1" spans="6:6">
      <c r="F4096" s="2423"/>
    </row>
    <row r="4097" s="101" customFormat="1" spans="6:6">
      <c r="F4097" s="2423"/>
    </row>
    <row r="4098" s="101" customFormat="1" spans="6:6">
      <c r="F4098" s="2423"/>
    </row>
    <row r="4099" s="101" customFormat="1" spans="6:6">
      <c r="F4099" s="2423"/>
    </row>
    <row r="4100" s="101" customFormat="1" spans="6:6">
      <c r="F4100" s="2423"/>
    </row>
    <row r="4101" s="101" customFormat="1" spans="6:6">
      <c r="F4101" s="2423"/>
    </row>
    <row r="4102" s="101" customFormat="1" spans="6:6">
      <c r="F4102" s="2423"/>
    </row>
    <row r="4103" s="101" customFormat="1" spans="6:6">
      <c r="F4103" s="2423"/>
    </row>
    <row r="4104" s="101" customFormat="1" spans="6:6">
      <c r="F4104" s="2423"/>
    </row>
    <row r="4105" s="101" customFormat="1" spans="6:6">
      <c r="F4105" s="2423"/>
    </row>
    <row r="4106" s="101" customFormat="1" spans="6:6">
      <c r="F4106" s="2423"/>
    </row>
    <row r="4107" s="101" customFormat="1" spans="6:6">
      <c r="F4107" s="2423"/>
    </row>
    <row r="4108" s="101" customFormat="1" spans="6:6">
      <c r="F4108" s="2423"/>
    </row>
    <row r="4109" s="101" customFormat="1" spans="6:6">
      <c r="F4109" s="2423"/>
    </row>
    <row r="4110" s="101" customFormat="1" spans="6:6">
      <c r="F4110" s="2423"/>
    </row>
    <row r="4111" s="101" customFormat="1" spans="6:6">
      <c r="F4111" s="2423"/>
    </row>
    <row r="4112" s="101" customFormat="1" spans="6:6">
      <c r="F4112" s="2423"/>
    </row>
    <row r="4113" s="101" customFormat="1" spans="6:6">
      <c r="F4113" s="2423"/>
    </row>
    <row r="4114" s="101" customFormat="1" spans="6:6">
      <c r="F4114" s="2423"/>
    </row>
    <row r="4115" s="101" customFormat="1" spans="6:6">
      <c r="F4115" s="2423"/>
    </row>
    <row r="4116" s="101" customFormat="1" spans="6:6">
      <c r="F4116" s="2423"/>
    </row>
    <row r="4117" s="101" customFormat="1" spans="6:6">
      <c r="F4117" s="2423"/>
    </row>
    <row r="4118" s="101" customFormat="1" spans="6:6">
      <c r="F4118" s="2423"/>
    </row>
    <row r="4119" s="101" customFormat="1" spans="6:6">
      <c r="F4119" s="2423"/>
    </row>
    <row r="4120" s="101" customFormat="1" spans="6:6">
      <c r="F4120" s="2423"/>
    </row>
    <row r="4121" s="101" customFormat="1" spans="6:6">
      <c r="F4121" s="2423"/>
    </row>
    <row r="4122" s="101" customFormat="1" spans="6:6">
      <c r="F4122" s="2423"/>
    </row>
    <row r="4123" s="101" customFormat="1" spans="6:6">
      <c r="F4123" s="2423"/>
    </row>
    <row r="4124" s="101" customFormat="1" spans="6:6">
      <c r="F4124" s="2423"/>
    </row>
    <row r="4125" s="101" customFormat="1" spans="6:6">
      <c r="F4125" s="2423"/>
    </row>
    <row r="4126" s="101" customFormat="1" spans="6:6">
      <c r="F4126" s="2423"/>
    </row>
    <row r="4127" s="101" customFormat="1" spans="6:6">
      <c r="F4127" s="2423"/>
    </row>
    <row r="4128" s="101" customFormat="1" spans="6:6">
      <c r="F4128" s="2423"/>
    </row>
    <row r="4129" s="101" customFormat="1" spans="6:6">
      <c r="F4129" s="2423"/>
    </row>
    <row r="4130" s="101" customFormat="1" spans="6:6">
      <c r="F4130" s="2423"/>
    </row>
    <row r="4131" s="101" customFormat="1" spans="6:6">
      <c r="F4131" s="2423"/>
    </row>
    <row r="4132" s="101" customFormat="1" spans="6:6">
      <c r="F4132" s="2423"/>
    </row>
    <row r="4133" s="101" customFormat="1" spans="6:6">
      <c r="F4133" s="2423"/>
    </row>
    <row r="4134" s="101" customFormat="1" spans="6:6">
      <c r="F4134" s="2423"/>
    </row>
    <row r="4135" s="101" customFormat="1" spans="6:6">
      <c r="F4135" s="2423"/>
    </row>
    <row r="4136" s="101" customFormat="1" spans="6:6">
      <c r="F4136" s="2423"/>
    </row>
    <row r="4137" s="101" customFormat="1" spans="6:6">
      <c r="F4137" s="2423"/>
    </row>
    <row r="4138" s="101" customFormat="1" spans="6:6">
      <c r="F4138" s="2423"/>
    </row>
    <row r="4139" s="101" customFormat="1" spans="6:6">
      <c r="F4139" s="2423"/>
    </row>
    <row r="4140" s="101" customFormat="1" spans="6:6">
      <c r="F4140" s="2423"/>
    </row>
    <row r="4141" s="101" customFormat="1" spans="6:6">
      <c r="F4141" s="2423"/>
    </row>
    <row r="4142" s="101" customFormat="1" spans="6:6">
      <c r="F4142" s="2423"/>
    </row>
    <row r="4143" s="101" customFormat="1" spans="6:6">
      <c r="F4143" s="2423"/>
    </row>
    <row r="4144" s="101" customFormat="1" spans="6:6">
      <c r="F4144" s="2423"/>
    </row>
    <row r="4145" s="101" customFormat="1" spans="6:6">
      <c r="F4145" s="2423"/>
    </row>
    <row r="4146" s="101" customFormat="1" spans="6:6">
      <c r="F4146" s="2423"/>
    </row>
    <row r="4147" s="101" customFormat="1" spans="6:6">
      <c r="F4147" s="2423"/>
    </row>
    <row r="4148" s="101" customFormat="1" spans="6:6">
      <c r="F4148" s="2423"/>
    </row>
    <row r="4149" s="101" customFormat="1" spans="6:6">
      <c r="F4149" s="2423"/>
    </row>
    <row r="4150" s="101" customFormat="1" spans="6:6">
      <c r="F4150" s="2423"/>
    </row>
    <row r="4151" s="101" customFormat="1" spans="6:6">
      <c r="F4151" s="2423"/>
    </row>
    <row r="4152" s="101" customFormat="1" spans="6:6">
      <c r="F4152" s="2423"/>
    </row>
    <row r="4153" s="101" customFormat="1" spans="6:6">
      <c r="F4153" s="2423"/>
    </row>
    <row r="4154" s="101" customFormat="1" spans="6:6">
      <c r="F4154" s="2423"/>
    </row>
    <row r="4155" s="101" customFormat="1" spans="6:6">
      <c r="F4155" s="2423"/>
    </row>
    <row r="4156" s="101" customFormat="1" spans="6:6">
      <c r="F4156" s="2423"/>
    </row>
    <row r="4157" s="101" customFormat="1" spans="6:6">
      <c r="F4157" s="2423"/>
    </row>
    <row r="4158" s="101" customFormat="1" spans="6:6">
      <c r="F4158" s="2423"/>
    </row>
    <row r="4159" s="101" customFormat="1" spans="6:6">
      <c r="F4159" s="2423"/>
    </row>
    <row r="4160" s="101" customFormat="1" spans="6:6">
      <c r="F4160" s="2423"/>
    </row>
    <row r="4161" s="101" customFormat="1" spans="6:6">
      <c r="F4161" s="2423"/>
    </row>
    <row r="4162" s="101" customFormat="1" spans="6:6">
      <c r="F4162" s="2423"/>
    </row>
    <row r="4163" s="101" customFormat="1" spans="6:6">
      <c r="F4163" s="2423"/>
    </row>
    <row r="4164" s="101" customFormat="1" spans="6:6">
      <c r="F4164" s="2423"/>
    </row>
    <row r="4165" s="101" customFormat="1" spans="6:6">
      <c r="F4165" s="2423"/>
    </row>
    <row r="4166" s="101" customFormat="1" spans="6:6">
      <c r="F4166" s="2423"/>
    </row>
    <row r="4167" s="101" customFormat="1" spans="6:6">
      <c r="F4167" s="2423"/>
    </row>
    <row r="4168" s="101" customFormat="1" spans="6:6">
      <c r="F4168" s="2423"/>
    </row>
    <row r="4169" s="101" customFormat="1" spans="6:6">
      <c r="F4169" s="2423"/>
    </row>
    <row r="4170" s="101" customFormat="1" spans="6:6">
      <c r="F4170" s="2423"/>
    </row>
    <row r="4171" s="101" customFormat="1" spans="6:6">
      <c r="F4171" s="2423"/>
    </row>
    <row r="4172" s="101" customFormat="1" spans="6:6">
      <c r="F4172" s="2423"/>
    </row>
    <row r="4173" s="101" customFormat="1" spans="6:6">
      <c r="F4173" s="2423"/>
    </row>
    <row r="4174" s="101" customFormat="1" spans="6:6">
      <c r="F4174" s="2423"/>
    </row>
    <row r="4175" s="101" customFormat="1" spans="6:6">
      <c r="F4175" s="2423"/>
    </row>
    <row r="4176" s="101" customFormat="1" spans="6:6">
      <c r="F4176" s="2423"/>
    </row>
    <row r="4177" s="101" customFormat="1" spans="6:6">
      <c r="F4177" s="2423"/>
    </row>
    <row r="4178" s="101" customFormat="1" spans="6:6">
      <c r="F4178" s="2423"/>
    </row>
    <row r="4179" s="101" customFormat="1" spans="6:6">
      <c r="F4179" s="2423"/>
    </row>
    <row r="4180" s="101" customFormat="1" spans="6:6">
      <c r="F4180" s="2423"/>
    </row>
    <row r="4181" s="101" customFormat="1" spans="6:6">
      <c r="F4181" s="2423"/>
    </row>
    <row r="4182" s="101" customFormat="1" spans="6:6">
      <c r="F4182" s="2423"/>
    </row>
    <row r="4183" s="101" customFormat="1" spans="6:6">
      <c r="F4183" s="2423"/>
    </row>
    <row r="4184" s="101" customFormat="1" spans="6:6">
      <c r="F4184" s="2423"/>
    </row>
    <row r="4185" s="101" customFormat="1" spans="6:6">
      <c r="F4185" s="2423"/>
    </row>
    <row r="4186" s="101" customFormat="1" spans="6:6">
      <c r="F4186" s="2423"/>
    </row>
    <row r="4187" s="101" customFormat="1" spans="6:6">
      <c r="F4187" s="2423"/>
    </row>
    <row r="4188" s="101" customFormat="1" spans="6:6">
      <c r="F4188" s="2423"/>
    </row>
    <row r="4189" s="101" customFormat="1" spans="6:6">
      <c r="F4189" s="2423"/>
    </row>
    <row r="4190" s="101" customFormat="1" spans="6:6">
      <c r="F4190" s="2423"/>
    </row>
    <row r="4191" s="101" customFormat="1" spans="6:6">
      <c r="F4191" s="2423"/>
    </row>
    <row r="4192" s="101" customFormat="1" spans="6:6">
      <c r="F4192" s="2423"/>
    </row>
    <row r="4193" s="101" customFormat="1" spans="6:6">
      <c r="F4193" s="2423"/>
    </row>
    <row r="4194" s="101" customFormat="1" spans="6:6">
      <c r="F4194" s="2423"/>
    </row>
    <row r="4195" s="101" customFormat="1" spans="6:6">
      <c r="F4195" s="2423"/>
    </row>
    <row r="4196" s="101" customFormat="1" spans="6:6">
      <c r="F4196" s="2423"/>
    </row>
    <row r="4197" s="101" customFormat="1" spans="6:6">
      <c r="F4197" s="2423"/>
    </row>
    <row r="4198" s="101" customFormat="1" spans="6:6">
      <c r="F4198" s="2423"/>
    </row>
    <row r="4199" s="101" customFormat="1" spans="6:6">
      <c r="F4199" s="2423"/>
    </row>
    <row r="4200" s="101" customFormat="1" spans="6:6">
      <c r="F4200" s="2423"/>
    </row>
    <row r="4201" s="101" customFormat="1" spans="6:6">
      <c r="F4201" s="2423"/>
    </row>
    <row r="4202" s="101" customFormat="1" spans="6:6">
      <c r="F4202" s="2423"/>
    </row>
    <row r="4203" s="101" customFormat="1" spans="6:6">
      <c r="F4203" s="2423"/>
    </row>
    <row r="4204" s="101" customFormat="1" spans="6:6">
      <c r="F4204" s="2423"/>
    </row>
    <row r="4205" s="101" customFormat="1" spans="6:6">
      <c r="F4205" s="2423"/>
    </row>
    <row r="4206" s="101" customFormat="1" spans="6:6">
      <c r="F4206" s="2423"/>
    </row>
    <row r="4207" s="101" customFormat="1" spans="6:6">
      <c r="F4207" s="2423"/>
    </row>
    <row r="4208" s="101" customFormat="1" spans="6:6">
      <c r="F4208" s="2423"/>
    </row>
    <row r="4209" s="101" customFormat="1" spans="6:6">
      <c r="F4209" s="2423"/>
    </row>
    <row r="4210" s="101" customFormat="1" spans="6:6">
      <c r="F4210" s="2423"/>
    </row>
    <row r="4211" s="101" customFormat="1" spans="6:6">
      <c r="F4211" s="2423"/>
    </row>
    <row r="4212" s="101" customFormat="1" spans="6:6">
      <c r="F4212" s="2423"/>
    </row>
    <row r="4213" s="101" customFormat="1" spans="6:6">
      <c r="F4213" s="2423"/>
    </row>
    <row r="4214" s="101" customFormat="1" spans="6:6">
      <c r="F4214" s="2423"/>
    </row>
    <row r="4215" s="101" customFormat="1" spans="6:6">
      <c r="F4215" s="2423"/>
    </row>
    <row r="4216" s="101" customFormat="1" spans="6:6">
      <c r="F4216" s="2423"/>
    </row>
    <row r="4217" s="101" customFormat="1" spans="6:6">
      <c r="F4217" s="2423"/>
    </row>
    <row r="4218" s="101" customFormat="1" spans="6:6">
      <c r="F4218" s="2423"/>
    </row>
    <row r="4219" s="101" customFormat="1" spans="6:6">
      <c r="F4219" s="2423"/>
    </row>
    <row r="4220" s="101" customFormat="1" spans="6:6">
      <c r="F4220" s="2423"/>
    </row>
    <row r="4221" s="101" customFormat="1" spans="6:6">
      <c r="F4221" s="2423"/>
    </row>
    <row r="4222" s="101" customFormat="1" spans="6:6">
      <c r="F4222" s="2423"/>
    </row>
    <row r="4223" s="101" customFormat="1" spans="6:6">
      <c r="F4223" s="2423"/>
    </row>
    <row r="4224" s="101" customFormat="1" spans="6:6">
      <c r="F4224" s="2423"/>
    </row>
    <row r="4225" s="101" customFormat="1" spans="6:6">
      <c r="F4225" s="2423"/>
    </row>
    <row r="4226" s="101" customFormat="1" spans="6:6">
      <c r="F4226" s="2423"/>
    </row>
    <row r="4227" s="101" customFormat="1" spans="6:6">
      <c r="F4227" s="2423"/>
    </row>
    <row r="4228" s="101" customFormat="1" spans="6:6">
      <c r="F4228" s="2423"/>
    </row>
    <row r="4229" s="101" customFormat="1" spans="6:6">
      <c r="F4229" s="2423"/>
    </row>
    <row r="4230" s="101" customFormat="1" spans="6:6">
      <c r="F4230" s="2423"/>
    </row>
    <row r="4231" s="101" customFormat="1" spans="6:6">
      <c r="F4231" s="2423"/>
    </row>
    <row r="4232" s="101" customFormat="1" spans="6:6">
      <c r="F4232" s="2423"/>
    </row>
    <row r="4233" s="101" customFormat="1" spans="6:6">
      <c r="F4233" s="2423"/>
    </row>
    <row r="4234" s="101" customFormat="1" spans="6:6">
      <c r="F4234" s="2423"/>
    </row>
    <row r="4235" s="101" customFormat="1" spans="6:6">
      <c r="F4235" s="2423"/>
    </row>
    <row r="4236" s="101" customFormat="1" spans="6:6">
      <c r="F4236" s="2423"/>
    </row>
    <row r="4237" s="101" customFormat="1" spans="6:6">
      <c r="F4237" s="2423"/>
    </row>
    <row r="4238" s="101" customFormat="1" spans="6:6">
      <c r="F4238" s="2423"/>
    </row>
    <row r="4239" s="101" customFormat="1" spans="6:6">
      <c r="F4239" s="2423"/>
    </row>
    <row r="4240" s="101" customFormat="1" spans="6:6">
      <c r="F4240" s="2423"/>
    </row>
    <row r="4241" s="101" customFormat="1" spans="6:6">
      <c r="F4241" s="2423"/>
    </row>
    <row r="4242" s="101" customFormat="1" spans="6:6">
      <c r="F4242" s="2423"/>
    </row>
    <row r="4243" s="101" customFormat="1" spans="6:6">
      <c r="F4243" s="2423"/>
    </row>
    <row r="4244" s="101" customFormat="1" spans="6:6">
      <c r="F4244" s="2423"/>
    </row>
    <row r="4245" s="101" customFormat="1" spans="6:6">
      <c r="F4245" s="2423"/>
    </row>
    <row r="4246" s="101" customFormat="1" spans="6:6">
      <c r="F4246" s="2423"/>
    </row>
    <row r="4247" s="101" customFormat="1" spans="6:6">
      <c r="F4247" s="2423"/>
    </row>
    <row r="4248" s="101" customFormat="1" spans="6:6">
      <c r="F4248" s="2423"/>
    </row>
    <row r="4249" s="101" customFormat="1" spans="6:6">
      <c r="F4249" s="2423"/>
    </row>
    <row r="4250" s="101" customFormat="1" spans="6:6">
      <c r="F4250" s="2423"/>
    </row>
    <row r="4251" s="101" customFormat="1" spans="6:6">
      <c r="F4251" s="2423"/>
    </row>
    <row r="4252" s="101" customFormat="1" spans="6:6">
      <c r="F4252" s="2423"/>
    </row>
    <row r="4253" s="101" customFormat="1" spans="6:6">
      <c r="F4253" s="2423"/>
    </row>
    <row r="4254" s="101" customFormat="1" spans="6:6">
      <c r="F4254" s="2423"/>
    </row>
    <row r="4255" s="101" customFormat="1" spans="6:6">
      <c r="F4255" s="2423"/>
    </row>
    <row r="4256" s="101" customFormat="1" spans="6:6">
      <c r="F4256" s="2423"/>
    </row>
    <row r="4257" s="101" customFormat="1" spans="6:6">
      <c r="F4257" s="2423"/>
    </row>
    <row r="4258" s="101" customFormat="1" spans="6:6">
      <c r="F4258" s="2423"/>
    </row>
    <row r="4259" s="101" customFormat="1" spans="6:6">
      <c r="F4259" s="2423"/>
    </row>
    <row r="4260" s="101" customFormat="1" spans="6:6">
      <c r="F4260" s="2423"/>
    </row>
    <row r="4261" s="101" customFormat="1" spans="6:6">
      <c r="F4261" s="2423"/>
    </row>
    <row r="4262" s="101" customFormat="1" spans="6:6">
      <c r="F4262" s="2423"/>
    </row>
    <row r="4263" s="101" customFormat="1" spans="6:6">
      <c r="F4263" s="2423"/>
    </row>
    <row r="4264" s="101" customFormat="1" spans="6:6">
      <c r="F4264" s="2423"/>
    </row>
    <row r="4265" s="101" customFormat="1" spans="6:6">
      <c r="F4265" s="2423"/>
    </row>
    <row r="4266" s="101" customFormat="1" spans="6:6">
      <c r="F4266" s="2423"/>
    </row>
    <row r="4267" s="101" customFormat="1" spans="6:6">
      <c r="F4267" s="2423"/>
    </row>
    <row r="4268" s="101" customFormat="1" spans="6:6">
      <c r="F4268" s="2423"/>
    </row>
    <row r="4269" s="101" customFormat="1" spans="6:6">
      <c r="F4269" s="2423"/>
    </row>
    <row r="4270" s="101" customFormat="1" spans="6:6">
      <c r="F4270" s="2423"/>
    </row>
    <row r="4271" s="101" customFormat="1" spans="6:6">
      <c r="F4271" s="2423"/>
    </row>
    <row r="4272" s="101" customFormat="1" spans="6:6">
      <c r="F4272" s="2423"/>
    </row>
    <row r="4273" s="101" customFormat="1" spans="6:6">
      <c r="F4273" s="2423"/>
    </row>
    <row r="4274" s="101" customFormat="1" spans="6:6">
      <c r="F4274" s="2423"/>
    </row>
    <row r="4275" s="101" customFormat="1" spans="6:6">
      <c r="F4275" s="2423"/>
    </row>
    <row r="4276" s="101" customFormat="1" spans="6:6">
      <c r="F4276" s="2423"/>
    </row>
    <row r="4277" s="101" customFormat="1" spans="6:6">
      <c r="F4277" s="2423"/>
    </row>
    <row r="4278" s="101" customFormat="1" spans="6:6">
      <c r="F4278" s="2423"/>
    </row>
    <row r="4279" s="101" customFormat="1" spans="6:6">
      <c r="F4279" s="2423"/>
    </row>
    <row r="4280" s="101" customFormat="1" spans="6:6">
      <c r="F4280" s="2423"/>
    </row>
    <row r="4281" s="101" customFormat="1" spans="6:6">
      <c r="F4281" s="2423"/>
    </row>
    <row r="4282" s="101" customFormat="1" spans="6:6">
      <c r="F4282" s="2423"/>
    </row>
    <row r="4283" s="101" customFormat="1" spans="6:6">
      <c r="F4283" s="2423"/>
    </row>
    <row r="4284" s="101" customFormat="1" spans="6:6">
      <c r="F4284" s="2423"/>
    </row>
    <row r="4285" s="101" customFormat="1" spans="6:6">
      <c r="F4285" s="2423"/>
    </row>
    <row r="4286" s="101" customFormat="1" spans="6:6">
      <c r="F4286" s="2423"/>
    </row>
    <row r="4287" s="101" customFormat="1" spans="6:6">
      <c r="F4287" s="2423"/>
    </row>
    <row r="4288" s="101" customFormat="1" spans="6:6">
      <c r="F4288" s="2423"/>
    </row>
    <row r="4289" s="101" customFormat="1" spans="6:6">
      <c r="F4289" s="2423"/>
    </row>
    <row r="4290" s="101" customFormat="1" spans="6:6">
      <c r="F4290" s="2423"/>
    </row>
    <row r="4291" s="101" customFormat="1" spans="6:6">
      <c r="F4291" s="2423"/>
    </row>
    <row r="4292" s="101" customFormat="1" spans="6:6">
      <c r="F4292" s="2423"/>
    </row>
    <row r="4293" s="101" customFormat="1" spans="6:6">
      <c r="F4293" s="2423"/>
    </row>
    <row r="4294" s="101" customFormat="1" spans="6:6">
      <c r="F4294" s="2423"/>
    </row>
    <row r="4295" s="101" customFormat="1" spans="6:6">
      <c r="F4295" s="2423"/>
    </row>
    <row r="4296" s="101" customFormat="1" spans="6:6">
      <c r="F4296" s="2423"/>
    </row>
    <row r="4297" s="101" customFormat="1" spans="6:6">
      <c r="F4297" s="2423"/>
    </row>
    <row r="4298" s="101" customFormat="1" spans="6:6">
      <c r="F4298" s="2423"/>
    </row>
    <row r="4299" s="101" customFormat="1" spans="6:6">
      <c r="F4299" s="2423"/>
    </row>
    <row r="4300" s="101" customFormat="1" spans="6:6">
      <c r="F4300" s="2423"/>
    </row>
    <row r="4301" s="101" customFormat="1" spans="6:6">
      <c r="F4301" s="2423"/>
    </row>
    <row r="4302" s="101" customFormat="1" spans="6:6">
      <c r="F4302" s="2423"/>
    </row>
    <row r="4303" s="101" customFormat="1" spans="6:6">
      <c r="F4303" s="2423"/>
    </row>
    <row r="4304" s="101" customFormat="1" spans="6:6">
      <c r="F4304" s="2423"/>
    </row>
    <row r="4305" s="101" customFormat="1" spans="6:6">
      <c r="F4305" s="2423"/>
    </row>
    <row r="4306" s="101" customFormat="1" spans="6:6">
      <c r="F4306" s="2423"/>
    </row>
    <row r="4307" s="101" customFormat="1" spans="6:6">
      <c r="F4307" s="2423"/>
    </row>
    <row r="4308" s="101" customFormat="1" spans="6:6">
      <c r="F4308" s="2423"/>
    </row>
    <row r="4309" s="101" customFormat="1" spans="6:6">
      <c r="F4309" s="2423"/>
    </row>
    <row r="4310" s="101" customFormat="1" spans="6:6">
      <c r="F4310" s="2423"/>
    </row>
    <row r="4311" s="101" customFormat="1" spans="6:6">
      <c r="F4311" s="2423"/>
    </row>
    <row r="4312" s="101" customFormat="1" spans="6:6">
      <c r="F4312" s="2423"/>
    </row>
    <row r="4313" s="101" customFormat="1" spans="6:6">
      <c r="F4313" s="2423"/>
    </row>
    <row r="4314" s="101" customFormat="1" spans="6:6">
      <c r="F4314" s="2423"/>
    </row>
    <row r="4315" s="101" customFormat="1" spans="6:6">
      <c r="F4315" s="2423"/>
    </row>
    <row r="4316" s="101" customFormat="1" spans="6:6">
      <c r="F4316" s="2423"/>
    </row>
    <row r="4317" s="101" customFormat="1" spans="6:6">
      <c r="F4317" s="2423"/>
    </row>
    <row r="4318" s="101" customFormat="1" spans="6:6">
      <c r="F4318" s="2423"/>
    </row>
    <row r="4319" s="101" customFormat="1" spans="6:6">
      <c r="F4319" s="2423"/>
    </row>
    <row r="4320" s="101" customFormat="1" spans="6:6">
      <c r="F4320" s="2423"/>
    </row>
    <row r="4321" s="101" customFormat="1" spans="6:6">
      <c r="F4321" s="2423"/>
    </row>
    <row r="4322" s="101" customFormat="1" spans="6:6">
      <c r="F4322" s="2423"/>
    </row>
    <row r="4323" s="101" customFormat="1" spans="6:6">
      <c r="F4323" s="2423"/>
    </row>
    <row r="4324" s="101" customFormat="1" spans="6:6">
      <c r="F4324" s="2423"/>
    </row>
    <row r="4325" s="101" customFormat="1" spans="6:6">
      <c r="F4325" s="2423"/>
    </row>
    <row r="4326" s="101" customFormat="1" spans="6:6">
      <c r="F4326" s="2423"/>
    </row>
    <row r="4327" s="101" customFormat="1" spans="6:6">
      <c r="F4327" s="2423"/>
    </row>
    <row r="4328" s="101" customFormat="1" spans="6:6">
      <c r="F4328" s="2423"/>
    </row>
    <row r="4329" s="101" customFormat="1" spans="6:6">
      <c r="F4329" s="2423"/>
    </row>
    <row r="4330" s="101" customFormat="1" spans="6:6">
      <c r="F4330" s="2423"/>
    </row>
    <row r="4331" s="101" customFormat="1" spans="6:6">
      <c r="F4331" s="2423"/>
    </row>
    <row r="4332" s="101" customFormat="1" spans="6:6">
      <c r="F4332" s="2423"/>
    </row>
    <row r="4333" s="101" customFormat="1" spans="6:6">
      <c r="F4333" s="2423"/>
    </row>
    <row r="4334" s="101" customFormat="1" spans="6:6">
      <c r="F4334" s="2423"/>
    </row>
    <row r="4335" s="101" customFormat="1" spans="6:6">
      <c r="F4335" s="2423"/>
    </row>
    <row r="4336" s="101" customFormat="1" spans="6:6">
      <c r="F4336" s="2423"/>
    </row>
    <row r="4337" s="101" customFormat="1" spans="6:6">
      <c r="F4337" s="2423"/>
    </row>
    <row r="4338" s="101" customFormat="1" spans="6:6">
      <c r="F4338" s="2423"/>
    </row>
    <row r="4339" s="101" customFormat="1" spans="6:6">
      <c r="F4339" s="2423"/>
    </row>
    <row r="4340" s="101" customFormat="1" spans="6:6">
      <c r="F4340" s="2423"/>
    </row>
    <row r="4341" s="101" customFormat="1" spans="6:6">
      <c r="F4341" s="2423"/>
    </row>
    <row r="4342" s="101" customFormat="1" spans="6:6">
      <c r="F4342" s="2423"/>
    </row>
    <row r="4343" s="101" customFormat="1" spans="6:6">
      <c r="F4343" s="2423"/>
    </row>
    <row r="4344" s="101" customFormat="1" spans="6:6">
      <c r="F4344" s="2423"/>
    </row>
    <row r="4345" s="101" customFormat="1" spans="6:6">
      <c r="F4345" s="2423"/>
    </row>
    <row r="4346" s="101" customFormat="1" spans="6:6">
      <c r="F4346" s="2423"/>
    </row>
    <row r="4347" s="101" customFormat="1" spans="6:6">
      <c r="F4347" s="2423"/>
    </row>
    <row r="4348" s="101" customFormat="1" spans="6:6">
      <c r="F4348" s="2423"/>
    </row>
    <row r="4349" s="101" customFormat="1" spans="6:6">
      <c r="F4349" s="2423"/>
    </row>
    <row r="4350" s="101" customFormat="1" spans="6:6">
      <c r="F4350" s="2423"/>
    </row>
    <row r="4351" s="101" customFormat="1" spans="6:6">
      <c r="F4351" s="2423"/>
    </row>
    <row r="4352" s="101" customFormat="1" spans="6:6">
      <c r="F4352" s="2423"/>
    </row>
    <row r="4353" s="101" customFormat="1" spans="6:6">
      <c r="F4353" s="2423"/>
    </row>
    <row r="4354" s="101" customFormat="1" spans="6:6">
      <c r="F4354" s="2423"/>
    </row>
    <row r="4355" s="101" customFormat="1" spans="6:6">
      <c r="F4355" s="2423"/>
    </row>
    <row r="4356" s="101" customFormat="1" spans="6:6">
      <c r="F4356" s="2423"/>
    </row>
    <row r="4357" s="101" customFormat="1" spans="6:6">
      <c r="F4357" s="2423"/>
    </row>
    <row r="4358" s="101" customFormat="1" spans="6:6">
      <c r="F4358" s="2423"/>
    </row>
    <row r="4359" s="101" customFormat="1" spans="6:6">
      <c r="F4359" s="2423"/>
    </row>
    <row r="4360" s="101" customFormat="1" spans="6:6">
      <c r="F4360" s="2423"/>
    </row>
    <row r="4361" s="101" customFormat="1" spans="6:6">
      <c r="F4361" s="2423"/>
    </row>
    <row r="4362" s="101" customFormat="1" spans="6:6">
      <c r="F4362" s="2423"/>
    </row>
    <row r="4363" s="101" customFormat="1" spans="6:6">
      <c r="F4363" s="2423"/>
    </row>
    <row r="4364" s="101" customFormat="1" spans="6:6">
      <c r="F4364" s="2423"/>
    </row>
    <row r="4365" s="101" customFormat="1" spans="6:6">
      <c r="F4365" s="2423"/>
    </row>
    <row r="4366" s="101" customFormat="1" spans="6:6">
      <c r="F4366" s="2423"/>
    </row>
    <row r="4367" s="101" customFormat="1" spans="6:6">
      <c r="F4367" s="2423"/>
    </row>
    <row r="4368" s="101" customFormat="1" spans="6:6">
      <c r="F4368" s="2423"/>
    </row>
    <row r="4369" s="101" customFormat="1" spans="6:6">
      <c r="F4369" s="2423"/>
    </row>
    <row r="4370" s="101" customFormat="1" spans="6:6">
      <c r="F4370" s="2423"/>
    </row>
    <row r="4371" s="101" customFormat="1" spans="6:6">
      <c r="F4371" s="2423"/>
    </row>
    <row r="4372" s="101" customFormat="1" spans="6:6">
      <c r="F4372" s="2423"/>
    </row>
    <row r="4373" s="101" customFormat="1" spans="6:6">
      <c r="F4373" s="2423"/>
    </row>
    <row r="4374" s="101" customFormat="1" spans="6:6">
      <c r="F4374" s="2423"/>
    </row>
    <row r="4375" s="101" customFormat="1" spans="6:6">
      <c r="F4375" s="2423"/>
    </row>
    <row r="4376" s="101" customFormat="1" spans="6:6">
      <c r="F4376" s="2423"/>
    </row>
    <row r="4377" s="101" customFormat="1" spans="6:6">
      <c r="F4377" s="2423"/>
    </row>
    <row r="4378" s="101" customFormat="1" spans="6:6">
      <c r="F4378" s="2423"/>
    </row>
    <row r="4379" s="101" customFormat="1" spans="6:6">
      <c r="F4379" s="2423"/>
    </row>
    <row r="4380" s="101" customFormat="1" spans="6:6">
      <c r="F4380" s="2423"/>
    </row>
    <row r="4381" s="101" customFormat="1" spans="6:6">
      <c r="F4381" s="2423"/>
    </row>
    <row r="4382" s="101" customFormat="1" spans="6:6">
      <c r="F4382" s="2423"/>
    </row>
    <row r="4383" s="101" customFormat="1" spans="6:6">
      <c r="F4383" s="2423"/>
    </row>
    <row r="4384" s="101" customFormat="1" spans="6:6">
      <c r="F4384" s="2423"/>
    </row>
    <row r="4385" s="101" customFormat="1" spans="6:6">
      <c r="F4385" s="2423"/>
    </row>
    <row r="4386" s="101" customFormat="1" spans="6:6">
      <c r="F4386" s="2423"/>
    </row>
    <row r="4387" s="101" customFormat="1" spans="6:6">
      <c r="F4387" s="2423"/>
    </row>
    <row r="4388" s="101" customFormat="1" spans="6:6">
      <c r="F4388" s="2423"/>
    </row>
    <row r="4389" s="101" customFormat="1" spans="6:6">
      <c r="F4389" s="2423"/>
    </row>
    <row r="4390" s="101" customFormat="1" spans="6:6">
      <c r="F4390" s="2423"/>
    </row>
    <row r="4391" s="101" customFormat="1" spans="6:6">
      <c r="F4391" s="2423"/>
    </row>
    <row r="4392" s="101" customFormat="1" spans="6:6">
      <c r="F4392" s="2423"/>
    </row>
    <row r="4393" s="101" customFormat="1" spans="6:6">
      <c r="F4393" s="2423"/>
    </row>
    <row r="4394" s="101" customFormat="1" spans="6:6">
      <c r="F4394" s="2423"/>
    </row>
    <row r="4395" s="101" customFormat="1" spans="6:6">
      <c r="F4395" s="2423"/>
    </row>
    <row r="4396" s="101" customFormat="1" spans="6:6">
      <c r="F4396" s="2423"/>
    </row>
    <row r="4397" s="101" customFormat="1" spans="6:6">
      <c r="F4397" s="2423"/>
    </row>
    <row r="4398" s="101" customFormat="1" spans="6:6">
      <c r="F4398" s="2423"/>
    </row>
    <row r="4399" s="101" customFormat="1" spans="6:6">
      <c r="F4399" s="2423"/>
    </row>
    <row r="4400" s="101" customFormat="1" spans="6:6">
      <c r="F4400" s="2423"/>
    </row>
    <row r="4401" s="101" customFormat="1" spans="6:6">
      <c r="F4401" s="2423"/>
    </row>
    <row r="4402" s="101" customFormat="1" spans="6:6">
      <c r="F4402" s="2423"/>
    </row>
    <row r="4403" s="101" customFormat="1" spans="6:6">
      <c r="F4403" s="2423"/>
    </row>
    <row r="4404" s="101" customFormat="1" spans="6:6">
      <c r="F4404" s="2423"/>
    </row>
    <row r="4405" s="101" customFormat="1" spans="6:6">
      <c r="F4405" s="2423"/>
    </row>
    <row r="4406" s="101" customFormat="1" spans="6:6">
      <c r="F4406" s="2423"/>
    </row>
    <row r="4407" s="101" customFormat="1" spans="6:6">
      <c r="F4407" s="2423"/>
    </row>
    <row r="4408" s="101" customFormat="1" spans="6:6">
      <c r="F4408" s="2423"/>
    </row>
    <row r="4409" s="101" customFormat="1" spans="6:6">
      <c r="F4409" s="2423"/>
    </row>
    <row r="4410" s="101" customFormat="1" spans="6:6">
      <c r="F4410" s="2423"/>
    </row>
    <row r="4411" s="101" customFormat="1" spans="6:6">
      <c r="F4411" s="2423"/>
    </row>
    <row r="4412" s="101" customFormat="1" spans="6:6">
      <c r="F4412" s="2423"/>
    </row>
    <row r="4413" s="101" customFormat="1" spans="6:6">
      <c r="F4413" s="2423"/>
    </row>
    <row r="4414" s="101" customFormat="1" spans="6:6">
      <c r="F4414" s="2423"/>
    </row>
    <row r="4415" s="101" customFormat="1" spans="6:6">
      <c r="F4415" s="2423"/>
    </row>
    <row r="4416" s="101" customFormat="1" spans="6:6">
      <c r="F4416" s="2423"/>
    </row>
    <row r="4417" s="101" customFormat="1" spans="6:6">
      <c r="F4417" s="2423"/>
    </row>
    <row r="4418" s="101" customFormat="1" spans="6:6">
      <c r="F4418" s="2423"/>
    </row>
    <row r="4419" s="101" customFormat="1" spans="6:6">
      <c r="F4419" s="2423"/>
    </row>
    <row r="4420" s="101" customFormat="1" spans="6:6">
      <c r="F4420" s="2423"/>
    </row>
    <row r="4421" s="101" customFormat="1" spans="6:6">
      <c r="F4421" s="2423"/>
    </row>
    <row r="4422" s="101" customFormat="1" spans="6:6">
      <c r="F4422" s="2423"/>
    </row>
    <row r="4423" s="101" customFormat="1" spans="6:6">
      <c r="F4423" s="2423"/>
    </row>
    <row r="4424" s="101" customFormat="1" spans="6:6">
      <c r="F4424" s="2423"/>
    </row>
    <row r="4425" s="101" customFormat="1" spans="6:6">
      <c r="F4425" s="2423"/>
    </row>
    <row r="4426" s="101" customFormat="1" spans="6:6">
      <c r="F4426" s="2423"/>
    </row>
    <row r="4427" s="101" customFormat="1" spans="6:6">
      <c r="F4427" s="2423"/>
    </row>
    <row r="4428" s="101" customFormat="1" spans="6:6">
      <c r="F4428" s="2423"/>
    </row>
    <row r="4429" s="101" customFormat="1" spans="6:6">
      <c r="F4429" s="2423"/>
    </row>
    <row r="4430" s="101" customFormat="1" spans="6:6">
      <c r="F4430" s="2423"/>
    </row>
    <row r="4431" s="101" customFormat="1" spans="6:6">
      <c r="F4431" s="2423"/>
    </row>
    <row r="4432" s="101" customFormat="1" spans="6:6">
      <c r="F4432" s="2423"/>
    </row>
    <row r="4433" s="101" customFormat="1" spans="6:6">
      <c r="F4433" s="2423"/>
    </row>
    <row r="4434" s="101" customFormat="1" spans="6:6">
      <c r="F4434" s="2423"/>
    </row>
    <row r="4435" s="101" customFormat="1" spans="6:6">
      <c r="F4435" s="2423"/>
    </row>
    <row r="4436" s="101" customFormat="1" spans="6:6">
      <c r="F4436" s="2423"/>
    </row>
    <row r="4437" s="101" customFormat="1" spans="6:6">
      <c r="F4437" s="2423"/>
    </row>
    <row r="4438" s="101" customFormat="1" spans="6:6">
      <c r="F4438" s="2423"/>
    </row>
    <row r="4439" s="101" customFormat="1" spans="6:6">
      <c r="F4439" s="2423"/>
    </row>
    <row r="4440" s="101" customFormat="1" spans="6:6">
      <c r="F4440" s="2423"/>
    </row>
    <row r="4441" s="101" customFormat="1" spans="6:6">
      <c r="F4441" s="2423"/>
    </row>
    <row r="4442" s="101" customFormat="1" spans="6:6">
      <c r="F4442" s="2423"/>
    </row>
    <row r="4443" s="101" customFormat="1" spans="6:6">
      <c r="F4443" s="2423"/>
    </row>
    <row r="4444" s="101" customFormat="1" spans="6:6">
      <c r="F4444" s="2423"/>
    </row>
    <row r="4445" s="101" customFormat="1" spans="6:6">
      <c r="F4445" s="2423"/>
    </row>
    <row r="4446" s="101" customFormat="1" spans="6:6">
      <c r="F4446" s="2423"/>
    </row>
    <row r="4447" s="101" customFormat="1" spans="6:6">
      <c r="F4447" s="2423"/>
    </row>
    <row r="4448" s="101" customFormat="1" spans="6:6">
      <c r="F4448" s="2423"/>
    </row>
    <row r="4449" s="101" customFormat="1" spans="6:6">
      <c r="F4449" s="2423"/>
    </row>
    <row r="4450" s="101" customFormat="1" spans="6:6">
      <c r="F4450" s="2423"/>
    </row>
    <row r="4451" s="101" customFormat="1" spans="6:6">
      <c r="F4451" s="2423"/>
    </row>
    <row r="4452" s="101" customFormat="1" spans="6:6">
      <c r="F4452" s="2423"/>
    </row>
    <row r="4453" s="101" customFormat="1" spans="6:6">
      <c r="F4453" s="2423"/>
    </row>
    <row r="4454" s="101" customFormat="1" spans="6:6">
      <c r="F4454" s="2423"/>
    </row>
    <row r="4455" s="101" customFormat="1" spans="6:6">
      <c r="F4455" s="2423"/>
    </row>
    <row r="4456" s="101" customFormat="1" spans="6:6">
      <c r="F4456" s="2423"/>
    </row>
    <row r="4457" s="101" customFormat="1" spans="6:6">
      <c r="F4457" s="2423"/>
    </row>
    <row r="4458" s="101" customFormat="1" spans="6:6">
      <c r="F4458" s="2423"/>
    </row>
    <row r="4459" s="101" customFormat="1" spans="6:6">
      <c r="F4459" s="2423"/>
    </row>
    <row r="4460" s="101" customFormat="1" spans="6:6">
      <c r="F4460" s="2423"/>
    </row>
    <row r="4461" s="101" customFormat="1" spans="6:6">
      <c r="F4461" s="2423"/>
    </row>
    <row r="4462" s="101" customFormat="1" spans="6:6">
      <c r="F4462" s="2423"/>
    </row>
    <row r="4463" s="101" customFormat="1" spans="6:6">
      <c r="F4463" s="2423"/>
    </row>
    <row r="4464" s="101" customFormat="1" spans="6:6">
      <c r="F4464" s="2423"/>
    </row>
    <row r="4465" s="101" customFormat="1" spans="6:6">
      <c r="F4465" s="2423"/>
    </row>
    <row r="4466" s="101" customFormat="1" spans="6:6">
      <c r="F4466" s="2423"/>
    </row>
    <row r="4467" s="101" customFormat="1" spans="6:6">
      <c r="F4467" s="2423"/>
    </row>
    <row r="4468" s="101" customFormat="1" spans="6:6">
      <c r="F4468" s="2423"/>
    </row>
    <row r="4469" s="101" customFormat="1" spans="6:6">
      <c r="F4469" s="2423"/>
    </row>
    <row r="4470" s="101" customFormat="1" spans="6:6">
      <c r="F4470" s="2423"/>
    </row>
    <row r="4471" s="101" customFormat="1" spans="6:6">
      <c r="F4471" s="2423"/>
    </row>
    <row r="4472" s="101" customFormat="1" spans="6:6">
      <c r="F4472" s="2423"/>
    </row>
    <row r="4473" s="101" customFormat="1" spans="6:6">
      <c r="F4473" s="2423"/>
    </row>
    <row r="4474" s="101" customFormat="1" spans="6:6">
      <c r="F4474" s="2423"/>
    </row>
    <row r="4475" s="101" customFormat="1" spans="6:6">
      <c r="F4475" s="2423"/>
    </row>
    <row r="4476" s="101" customFormat="1" spans="6:6">
      <c r="F4476" s="2423"/>
    </row>
    <row r="4477" s="101" customFormat="1" spans="6:6">
      <c r="F4477" s="2423"/>
    </row>
    <row r="4478" s="101" customFormat="1" spans="6:6">
      <c r="F4478" s="2423"/>
    </row>
    <row r="4479" s="101" customFormat="1" spans="6:6">
      <c r="F4479" s="2423"/>
    </row>
    <row r="4480" s="101" customFormat="1" spans="6:6">
      <c r="F4480" s="2423"/>
    </row>
    <row r="4481" s="101" customFormat="1" spans="6:6">
      <c r="F4481" s="2423"/>
    </row>
    <row r="4482" s="101" customFormat="1" spans="6:6">
      <c r="F4482" s="2423"/>
    </row>
    <row r="4483" s="101" customFormat="1" spans="6:6">
      <c r="F4483" s="2423"/>
    </row>
    <row r="4484" s="101" customFormat="1" spans="6:6">
      <c r="F4484" s="2423"/>
    </row>
    <row r="4485" s="101" customFormat="1" spans="6:6">
      <c r="F4485" s="2423"/>
    </row>
    <row r="4486" s="101" customFormat="1" spans="6:6">
      <c r="F4486" s="2423"/>
    </row>
    <row r="4487" s="101" customFormat="1" spans="6:6">
      <c r="F4487" s="2423"/>
    </row>
    <row r="4488" s="101" customFormat="1" spans="6:6">
      <c r="F4488" s="2423"/>
    </row>
    <row r="4489" s="101" customFormat="1" spans="6:6">
      <c r="F4489" s="2423"/>
    </row>
    <row r="4490" s="101" customFormat="1" spans="6:6">
      <c r="F4490" s="2423"/>
    </row>
    <row r="4491" s="101" customFormat="1" spans="6:6">
      <c r="F4491" s="2423"/>
    </row>
    <row r="4492" s="101" customFormat="1" spans="6:6">
      <c r="F4492" s="2423"/>
    </row>
    <row r="4493" s="101" customFormat="1" spans="6:6">
      <c r="F4493" s="2423"/>
    </row>
    <row r="4494" s="101" customFormat="1" spans="6:6">
      <c r="F4494" s="2423"/>
    </row>
    <row r="4495" s="101" customFormat="1" spans="6:6">
      <c r="F4495" s="2423"/>
    </row>
    <row r="4496" s="101" customFormat="1" spans="6:6">
      <c r="F4496" s="2423"/>
    </row>
    <row r="4497" s="101" customFormat="1" spans="6:6">
      <c r="F4497" s="2423"/>
    </row>
    <row r="4498" s="101" customFormat="1" spans="6:6">
      <c r="F4498" s="2423"/>
    </row>
    <row r="4499" s="101" customFormat="1" spans="6:6">
      <c r="F4499" s="2423"/>
    </row>
    <row r="4500" s="101" customFormat="1" spans="6:6">
      <c r="F4500" s="2423"/>
    </row>
    <row r="4501" s="101" customFormat="1" spans="6:6">
      <c r="F4501" s="2423"/>
    </row>
    <row r="4502" s="101" customFormat="1" spans="6:6">
      <c r="F4502" s="2423"/>
    </row>
    <row r="4503" s="101" customFormat="1" spans="6:6">
      <c r="F4503" s="2423"/>
    </row>
    <row r="4504" s="101" customFormat="1" spans="6:6">
      <c r="F4504" s="2423"/>
    </row>
    <row r="4505" s="101" customFormat="1" spans="6:6">
      <c r="F4505" s="2423"/>
    </row>
    <row r="4506" s="101" customFormat="1" spans="6:6">
      <c r="F4506" s="2423"/>
    </row>
    <row r="4507" s="101" customFormat="1" spans="6:6">
      <c r="F4507" s="2423"/>
    </row>
    <row r="4508" s="101" customFormat="1" spans="6:6">
      <c r="F4508" s="2423"/>
    </row>
    <row r="4509" s="101" customFormat="1" spans="6:6">
      <c r="F4509" s="2423"/>
    </row>
    <row r="4510" s="101" customFormat="1" spans="6:6">
      <c r="F4510" s="2423"/>
    </row>
    <row r="4511" s="101" customFormat="1" spans="6:6">
      <c r="F4511" s="2423"/>
    </row>
    <row r="4512" s="101" customFormat="1" spans="6:6">
      <c r="F4512" s="2423"/>
    </row>
    <row r="4513" s="101" customFormat="1" spans="6:6">
      <c r="F4513" s="2423"/>
    </row>
    <row r="4514" s="101" customFormat="1" spans="6:6">
      <c r="F4514" s="2423"/>
    </row>
    <row r="4515" s="101" customFormat="1" spans="6:6">
      <c r="F4515" s="2423"/>
    </row>
    <row r="4516" s="101" customFormat="1" spans="6:6">
      <c r="F4516" s="2423"/>
    </row>
    <row r="4517" s="101" customFormat="1" spans="6:6">
      <c r="F4517" s="2423"/>
    </row>
    <row r="4518" s="101" customFormat="1" spans="6:6">
      <c r="F4518" s="2423"/>
    </row>
    <row r="4519" s="101" customFormat="1" spans="6:6">
      <c r="F4519" s="2423"/>
    </row>
    <row r="4520" s="101" customFormat="1" spans="6:6">
      <c r="F4520" s="2423"/>
    </row>
    <row r="4521" s="101" customFormat="1" spans="6:6">
      <c r="F4521" s="2423"/>
    </row>
    <row r="4522" s="101" customFormat="1" spans="6:6">
      <c r="F4522" s="2423"/>
    </row>
    <row r="4523" s="101" customFormat="1" spans="6:6">
      <c r="F4523" s="2423"/>
    </row>
    <row r="4524" s="101" customFormat="1" spans="6:6">
      <c r="F4524" s="2423"/>
    </row>
    <row r="4525" s="101" customFormat="1" spans="6:6">
      <c r="F4525" s="2423"/>
    </row>
    <row r="4526" s="101" customFormat="1" spans="6:6">
      <c r="F4526" s="2423"/>
    </row>
    <row r="4527" s="101" customFormat="1" spans="6:6">
      <c r="F4527" s="2423"/>
    </row>
    <row r="4528" s="101" customFormat="1" spans="6:6">
      <c r="F4528" s="2423"/>
    </row>
    <row r="4529" s="101" customFormat="1" spans="6:6">
      <c r="F4529" s="2423"/>
    </row>
    <row r="4530" s="101" customFormat="1" spans="6:6">
      <c r="F4530" s="2423"/>
    </row>
    <row r="4531" s="101" customFormat="1" spans="6:6">
      <c r="F4531" s="2423"/>
    </row>
    <row r="4532" s="101" customFormat="1" spans="6:6">
      <c r="F4532" s="2423"/>
    </row>
    <row r="4533" s="101" customFormat="1" spans="6:6">
      <c r="F4533" s="2423"/>
    </row>
    <row r="4534" s="101" customFormat="1" spans="6:6">
      <c r="F4534" s="2423"/>
    </row>
    <row r="4535" s="101" customFormat="1" spans="6:6">
      <c r="F4535" s="2423"/>
    </row>
    <row r="4536" s="101" customFormat="1" spans="6:6">
      <c r="F4536" s="2423"/>
    </row>
    <row r="4537" s="101" customFormat="1" spans="6:6">
      <c r="F4537" s="2423"/>
    </row>
    <row r="4538" s="101" customFormat="1" spans="6:6">
      <c r="F4538" s="2423"/>
    </row>
    <row r="4539" s="101" customFormat="1" spans="6:6">
      <c r="F4539" s="2423"/>
    </row>
    <row r="4540" s="101" customFormat="1" spans="6:6">
      <c r="F4540" s="2423"/>
    </row>
    <row r="4541" s="101" customFormat="1" spans="6:6">
      <c r="F4541" s="2423"/>
    </row>
    <row r="4542" s="101" customFormat="1" spans="6:6">
      <c r="F4542" s="2423"/>
    </row>
    <row r="4543" s="101" customFormat="1" spans="6:6">
      <c r="F4543" s="2423"/>
    </row>
    <row r="4544" s="101" customFormat="1" spans="6:6">
      <c r="F4544" s="2423"/>
    </row>
    <row r="4545" s="101" customFormat="1" spans="6:6">
      <c r="F4545" s="2423"/>
    </row>
    <row r="4546" s="101" customFormat="1" spans="6:6">
      <c r="F4546" s="2423"/>
    </row>
    <row r="4547" s="101" customFormat="1" spans="6:6">
      <c r="F4547" s="2423"/>
    </row>
    <row r="4548" s="101" customFormat="1" spans="6:6">
      <c r="F4548" s="2423"/>
    </row>
    <row r="4549" s="101" customFormat="1" spans="6:6">
      <c r="F4549" s="2423"/>
    </row>
    <row r="4550" s="101" customFormat="1" spans="6:6">
      <c r="F4550" s="2423"/>
    </row>
    <row r="4551" s="101" customFormat="1" spans="6:6">
      <c r="F4551" s="2423"/>
    </row>
    <row r="4552" s="101" customFormat="1" spans="6:6">
      <c r="F4552" s="2423"/>
    </row>
    <row r="4553" s="101" customFormat="1" spans="6:6">
      <c r="F4553" s="2423"/>
    </row>
    <row r="4554" s="101" customFormat="1" spans="6:6">
      <c r="F4554" s="2423"/>
    </row>
    <row r="4555" s="101" customFormat="1" spans="6:6">
      <c r="F4555" s="2423"/>
    </row>
    <row r="4556" s="101" customFormat="1" spans="6:6">
      <c r="F4556" s="2423"/>
    </row>
    <row r="4557" s="101" customFormat="1" spans="6:6">
      <c r="F4557" s="2423"/>
    </row>
    <row r="4558" s="101" customFormat="1" spans="6:6">
      <c r="F4558" s="2423"/>
    </row>
    <row r="4559" s="101" customFormat="1" spans="6:6">
      <c r="F4559" s="2423"/>
    </row>
    <row r="4560" s="101" customFormat="1" spans="6:6">
      <c r="F4560" s="2423"/>
    </row>
    <row r="4561" s="101" customFormat="1" spans="6:6">
      <c r="F4561" s="2423"/>
    </row>
    <row r="4562" s="101" customFormat="1" spans="6:6">
      <c r="F4562" s="2423"/>
    </row>
    <row r="4563" s="101" customFormat="1" spans="6:6">
      <c r="F4563" s="2423"/>
    </row>
    <row r="4564" s="101" customFormat="1" spans="6:6">
      <c r="F4564" s="2423"/>
    </row>
    <row r="4565" s="101" customFormat="1" spans="6:6">
      <c r="F4565" s="2423"/>
    </row>
    <row r="4566" s="101" customFormat="1" spans="6:6">
      <c r="F4566" s="2423"/>
    </row>
    <row r="4567" s="101" customFormat="1" spans="6:6">
      <c r="F4567" s="2423"/>
    </row>
    <row r="4568" s="101" customFormat="1" spans="6:6">
      <c r="F4568" s="2423"/>
    </row>
    <row r="4569" s="101" customFormat="1" spans="6:6">
      <c r="F4569" s="2423"/>
    </row>
    <row r="4570" s="101" customFormat="1" spans="6:6">
      <c r="F4570" s="2423"/>
    </row>
    <row r="4571" s="101" customFormat="1" spans="6:6">
      <c r="F4571" s="2423"/>
    </row>
    <row r="4572" s="101" customFormat="1" spans="6:6">
      <c r="F4572" s="2423"/>
    </row>
    <row r="4573" s="101" customFormat="1" spans="6:6">
      <c r="F4573" s="2423"/>
    </row>
    <row r="4574" s="101" customFormat="1" spans="6:6">
      <c r="F4574" s="2423"/>
    </row>
    <row r="4575" s="101" customFormat="1" spans="6:6">
      <c r="F4575" s="2423"/>
    </row>
    <row r="4576" s="101" customFormat="1" spans="6:6">
      <c r="F4576" s="2423"/>
    </row>
    <row r="4577" s="101" customFormat="1" spans="6:6">
      <c r="F4577" s="2423"/>
    </row>
    <row r="4578" s="101" customFormat="1" spans="6:6">
      <c r="F4578" s="2423"/>
    </row>
    <row r="4579" s="101" customFormat="1" spans="6:6">
      <c r="F4579" s="2423"/>
    </row>
    <row r="4580" s="101" customFormat="1" spans="6:6">
      <c r="F4580" s="2423"/>
    </row>
    <row r="4581" s="101" customFormat="1" spans="6:6">
      <c r="F4581" s="2423"/>
    </row>
    <row r="4582" s="101" customFormat="1" spans="6:6">
      <c r="F4582" s="2423"/>
    </row>
    <row r="4583" s="101" customFormat="1" spans="6:6">
      <c r="F4583" s="2423"/>
    </row>
    <row r="4584" s="101" customFormat="1" spans="6:6">
      <c r="F4584" s="2423"/>
    </row>
    <row r="4585" s="101" customFormat="1" spans="6:6">
      <c r="F4585" s="2423"/>
    </row>
    <row r="4586" s="101" customFormat="1" spans="6:6">
      <c r="F4586" s="2423"/>
    </row>
    <row r="4587" s="101" customFormat="1" spans="6:6">
      <c r="F4587" s="2423"/>
    </row>
    <row r="4588" s="101" customFormat="1" spans="6:6">
      <c r="F4588" s="2423"/>
    </row>
    <row r="4589" s="101" customFormat="1" spans="6:6">
      <c r="F4589" s="2423"/>
    </row>
    <row r="4590" s="101" customFormat="1" spans="6:6">
      <c r="F4590" s="2423"/>
    </row>
    <row r="4591" s="101" customFormat="1" spans="6:6">
      <c r="F4591" s="2423"/>
    </row>
    <row r="4592" s="101" customFormat="1" spans="6:6">
      <c r="F4592" s="2423"/>
    </row>
    <row r="4593" s="101" customFormat="1" spans="6:6">
      <c r="F4593" s="2423"/>
    </row>
    <row r="4594" s="101" customFormat="1" spans="6:6">
      <c r="F4594" s="2423"/>
    </row>
    <row r="4595" s="101" customFormat="1" spans="6:6">
      <c r="F4595" s="2423"/>
    </row>
    <row r="4596" s="101" customFormat="1" spans="6:6">
      <c r="F4596" s="2423"/>
    </row>
    <row r="4597" s="101" customFormat="1" spans="6:6">
      <c r="F4597" s="2423"/>
    </row>
    <row r="4598" s="101" customFormat="1" spans="6:6">
      <c r="F4598" s="2423"/>
    </row>
    <row r="4599" s="101" customFormat="1" spans="6:6">
      <c r="F4599" s="2423"/>
    </row>
    <row r="4600" s="101" customFormat="1" spans="6:6">
      <c r="F4600" s="2423"/>
    </row>
    <row r="4601" s="101" customFormat="1" spans="6:6">
      <c r="F4601" s="2423"/>
    </row>
    <row r="4602" s="101" customFormat="1" spans="6:6">
      <c r="F4602" s="2423"/>
    </row>
    <row r="4603" s="101" customFormat="1" spans="6:6">
      <c r="F4603" s="2423"/>
    </row>
    <row r="4604" s="101" customFormat="1" spans="6:6">
      <c r="F4604" s="2423"/>
    </row>
    <row r="4605" s="101" customFormat="1" spans="6:6">
      <c r="F4605" s="2423"/>
    </row>
    <row r="4606" s="101" customFormat="1" spans="6:6">
      <c r="F4606" s="2423"/>
    </row>
    <row r="4607" s="101" customFormat="1" spans="6:6">
      <c r="F4607" s="2423"/>
    </row>
    <row r="4608" s="101" customFormat="1" spans="6:6">
      <c r="F4608" s="2423"/>
    </row>
    <row r="4609" s="101" customFormat="1" spans="6:6">
      <c r="F4609" s="2423"/>
    </row>
    <row r="4610" s="101" customFormat="1" spans="6:6">
      <c r="F4610" s="2423"/>
    </row>
    <row r="4611" s="101" customFormat="1" spans="6:6">
      <c r="F4611" s="2423"/>
    </row>
    <row r="4612" s="101" customFormat="1" spans="6:6">
      <c r="F4612" s="2423"/>
    </row>
    <row r="4613" s="101" customFormat="1" spans="6:6">
      <c r="F4613" s="2423"/>
    </row>
    <row r="4614" s="101" customFormat="1" spans="6:6">
      <c r="F4614" s="2423"/>
    </row>
    <row r="4615" s="101" customFormat="1" spans="6:6">
      <c r="F4615" s="2423"/>
    </row>
    <row r="4616" s="101" customFormat="1" spans="6:6">
      <c r="F4616" s="2423"/>
    </row>
    <row r="4617" s="101" customFormat="1" spans="6:6">
      <c r="F4617" s="2423"/>
    </row>
    <row r="4618" s="101" customFormat="1" spans="6:6">
      <c r="F4618" s="2423"/>
    </row>
    <row r="4619" s="101" customFormat="1" spans="6:6">
      <c r="F4619" s="2423"/>
    </row>
    <row r="4620" s="101" customFormat="1" spans="6:6">
      <c r="F4620" s="2423"/>
    </row>
    <row r="4621" s="101" customFormat="1" spans="6:6">
      <c r="F4621" s="2423"/>
    </row>
    <row r="4622" s="101" customFormat="1" spans="6:6">
      <c r="F4622" s="2423"/>
    </row>
    <row r="4623" s="101" customFormat="1" spans="6:6">
      <c r="F4623" s="2423"/>
    </row>
    <row r="4624" s="101" customFormat="1" spans="6:6">
      <c r="F4624" s="2423"/>
    </row>
    <row r="4625" s="101" customFormat="1" spans="6:6">
      <c r="F4625" s="2423"/>
    </row>
    <row r="4626" s="101" customFormat="1" spans="6:6">
      <c r="F4626" s="2423"/>
    </row>
    <row r="4627" s="101" customFormat="1" spans="6:6">
      <c r="F4627" s="2423"/>
    </row>
    <row r="4628" s="101" customFormat="1" spans="6:6">
      <c r="F4628" s="2423"/>
    </row>
    <row r="4629" s="101" customFormat="1" spans="6:6">
      <c r="F4629" s="2423"/>
    </row>
    <row r="4630" s="101" customFormat="1" spans="6:6">
      <c r="F4630" s="2423"/>
    </row>
    <row r="4631" s="101" customFormat="1" spans="6:6">
      <c r="F4631" s="2423"/>
    </row>
    <row r="4632" s="101" customFormat="1" spans="6:6">
      <c r="F4632" s="2423"/>
    </row>
    <row r="4633" s="101" customFormat="1" spans="6:6">
      <c r="F4633" s="2423"/>
    </row>
    <row r="4634" s="101" customFormat="1" spans="6:6">
      <c r="F4634" s="2423"/>
    </row>
    <row r="4635" s="101" customFormat="1" spans="6:6">
      <c r="F4635" s="2423"/>
    </row>
    <row r="4636" s="101" customFormat="1" spans="6:6">
      <c r="F4636" s="2423"/>
    </row>
    <row r="4637" s="101" customFormat="1" spans="6:6">
      <c r="F4637" s="2423"/>
    </row>
    <row r="4638" s="101" customFormat="1" spans="6:6">
      <c r="F4638" s="2423"/>
    </row>
    <row r="4639" s="101" customFormat="1" spans="6:6">
      <c r="F4639" s="2423"/>
    </row>
    <row r="4640" s="101" customFormat="1" spans="6:6">
      <c r="F4640" s="2423"/>
    </row>
    <row r="4641" s="101" customFormat="1" spans="6:6">
      <c r="F4641" s="2423"/>
    </row>
    <row r="4642" s="101" customFormat="1" spans="6:6">
      <c r="F4642" s="2423"/>
    </row>
    <row r="4643" s="101" customFormat="1" spans="6:6">
      <c r="F4643" s="2423"/>
    </row>
    <row r="4644" s="101" customFormat="1" spans="6:6">
      <c r="F4644" s="2423"/>
    </row>
    <row r="4645" s="101" customFormat="1" spans="6:6">
      <c r="F4645" s="2423"/>
    </row>
    <row r="4646" s="101" customFormat="1" spans="6:6">
      <c r="F4646" s="2423"/>
    </row>
    <row r="4647" s="101" customFormat="1" spans="6:6">
      <c r="F4647" s="2423"/>
    </row>
    <row r="4648" s="101" customFormat="1" spans="6:6">
      <c r="F4648" s="2423"/>
    </row>
    <row r="4649" s="101" customFormat="1" spans="6:6">
      <c r="F4649" s="2423"/>
    </row>
    <row r="4650" s="101" customFormat="1" spans="6:6">
      <c r="F4650" s="2423"/>
    </row>
    <row r="4651" s="101" customFormat="1" spans="6:6">
      <c r="F4651" s="2423"/>
    </row>
    <row r="4652" s="101" customFormat="1" spans="6:6">
      <c r="F4652" s="2423"/>
    </row>
    <row r="4653" s="101" customFormat="1" spans="6:6">
      <c r="F4653" s="2423"/>
    </row>
    <row r="4654" s="101" customFormat="1" spans="6:6">
      <c r="F4654" s="2423"/>
    </row>
    <row r="4655" s="101" customFormat="1" spans="6:6">
      <c r="F4655" s="2423"/>
    </row>
    <row r="4656" s="101" customFormat="1" spans="6:6">
      <c r="F4656" s="2423"/>
    </row>
    <row r="4657" s="101" customFormat="1" spans="6:6">
      <c r="F4657" s="2423"/>
    </row>
    <row r="4658" s="101" customFormat="1" spans="6:6">
      <c r="F4658" s="2423"/>
    </row>
    <row r="4659" s="101" customFormat="1" spans="6:6">
      <c r="F4659" s="2423"/>
    </row>
    <row r="4660" s="101" customFormat="1" spans="6:6">
      <c r="F4660" s="2423"/>
    </row>
    <row r="4661" s="101" customFormat="1" spans="6:6">
      <c r="F4661" s="2423"/>
    </row>
    <row r="4662" s="101" customFormat="1" spans="6:6">
      <c r="F4662" s="2423"/>
    </row>
    <row r="4663" s="101" customFormat="1" spans="6:6">
      <c r="F4663" s="2423"/>
    </row>
    <row r="4664" s="101" customFormat="1" spans="6:6">
      <c r="F4664" s="2423"/>
    </row>
    <row r="4665" s="101" customFormat="1" spans="6:6">
      <c r="F4665" s="2423"/>
    </row>
    <row r="4666" s="101" customFormat="1" spans="6:6">
      <c r="F4666" s="2423"/>
    </row>
    <row r="4667" s="101" customFormat="1" spans="6:6">
      <c r="F4667" s="2423"/>
    </row>
    <row r="4668" s="101" customFormat="1" spans="6:6">
      <c r="F4668" s="2423"/>
    </row>
    <row r="4669" s="101" customFormat="1" spans="6:6">
      <c r="F4669" s="2423"/>
    </row>
    <row r="4670" s="101" customFormat="1" spans="6:6">
      <c r="F4670" s="2423"/>
    </row>
    <row r="4671" s="101" customFormat="1" spans="6:6">
      <c r="F4671" s="2423"/>
    </row>
    <row r="4672" s="101" customFormat="1" spans="6:6">
      <c r="F4672" s="2423"/>
    </row>
    <row r="4673" s="101" customFormat="1" spans="6:6">
      <c r="F4673" s="2423"/>
    </row>
    <row r="4674" s="101" customFormat="1" spans="6:6">
      <c r="F4674" s="2423"/>
    </row>
    <row r="4675" s="101" customFormat="1" spans="6:6">
      <c r="F4675" s="2423"/>
    </row>
    <row r="4676" s="101" customFormat="1" spans="6:6">
      <c r="F4676" s="2423"/>
    </row>
    <row r="4677" s="101" customFormat="1" spans="6:6">
      <c r="F4677" s="2423"/>
    </row>
    <row r="4678" s="101" customFormat="1" spans="6:6">
      <c r="F4678" s="2423"/>
    </row>
    <row r="4679" s="101" customFormat="1" spans="6:6">
      <c r="F4679" s="2423"/>
    </row>
    <row r="4680" s="101" customFormat="1" spans="6:6">
      <c r="F4680" s="2423"/>
    </row>
    <row r="4681" s="101" customFormat="1" spans="6:6">
      <c r="F4681" s="2423"/>
    </row>
    <row r="4682" s="101" customFormat="1" spans="6:6">
      <c r="F4682" s="2423"/>
    </row>
    <row r="4683" s="101" customFormat="1" spans="6:6">
      <c r="F4683" s="2423"/>
    </row>
    <row r="4684" s="101" customFormat="1" spans="6:6">
      <c r="F4684" s="2423"/>
    </row>
    <row r="4685" s="101" customFormat="1" spans="6:6">
      <c r="F4685" s="2423"/>
    </row>
    <row r="4686" s="101" customFormat="1" spans="6:6">
      <c r="F4686" s="2423"/>
    </row>
    <row r="4687" s="101" customFormat="1" spans="6:6">
      <c r="F4687" s="2423"/>
    </row>
    <row r="4688" s="101" customFormat="1" spans="6:6">
      <c r="F4688" s="2423"/>
    </row>
    <row r="4689" s="101" customFormat="1" spans="6:6">
      <c r="F4689" s="2423"/>
    </row>
    <row r="4690" s="101" customFormat="1" spans="6:6">
      <c r="F4690" s="2423"/>
    </row>
    <row r="4691" s="101" customFormat="1" spans="6:6">
      <c r="F4691" s="2423"/>
    </row>
    <row r="4692" s="101" customFormat="1" spans="6:6">
      <c r="F4692" s="2423"/>
    </row>
    <row r="4693" s="101" customFormat="1" spans="6:6">
      <c r="F4693" s="2423"/>
    </row>
    <row r="4694" s="101" customFormat="1" spans="6:6">
      <c r="F4694" s="2423"/>
    </row>
    <row r="4695" s="101" customFormat="1" spans="6:6">
      <c r="F4695" s="2423"/>
    </row>
    <row r="4696" s="101" customFormat="1" spans="6:6">
      <c r="F4696" s="2423"/>
    </row>
    <row r="4697" s="101" customFormat="1" spans="6:6">
      <c r="F4697" s="2423"/>
    </row>
    <row r="4698" s="101" customFormat="1" spans="6:6">
      <c r="F4698" s="2423"/>
    </row>
    <row r="4699" s="101" customFormat="1" spans="6:6">
      <c r="F4699" s="2423"/>
    </row>
    <row r="4700" s="101" customFormat="1" spans="6:6">
      <c r="F4700" s="2423"/>
    </row>
    <row r="4701" s="101" customFormat="1" spans="6:6">
      <c r="F4701" s="2423"/>
    </row>
    <row r="4702" s="101" customFormat="1" spans="6:6">
      <c r="F4702" s="2423"/>
    </row>
    <row r="4703" s="101" customFormat="1" spans="6:6">
      <c r="F4703" s="2423"/>
    </row>
    <row r="4704" s="101" customFormat="1" spans="6:6">
      <c r="F4704" s="2423"/>
    </row>
    <row r="4705" s="101" customFormat="1" spans="6:6">
      <c r="F4705" s="2423"/>
    </row>
    <row r="4706" s="101" customFormat="1" spans="6:6">
      <c r="F4706" s="2423"/>
    </row>
    <row r="4707" s="101" customFormat="1" spans="6:6">
      <c r="F4707" s="2423"/>
    </row>
    <row r="4708" s="101" customFormat="1" spans="6:6">
      <c r="F4708" s="2423"/>
    </row>
    <row r="4709" s="101" customFormat="1" spans="6:6">
      <c r="F4709" s="2423"/>
    </row>
    <row r="4710" s="101" customFormat="1" spans="6:6">
      <c r="F4710" s="2423"/>
    </row>
    <row r="4711" s="101" customFormat="1" spans="6:6">
      <c r="F4711" s="2423"/>
    </row>
    <row r="4712" s="101" customFormat="1" spans="6:6">
      <c r="F4712" s="2423"/>
    </row>
    <row r="4713" s="101" customFormat="1" spans="6:6">
      <c r="F4713" s="2423"/>
    </row>
    <row r="4714" s="101" customFormat="1" spans="6:6">
      <c r="F4714" s="2423"/>
    </row>
    <row r="4715" s="101" customFormat="1" spans="6:6">
      <c r="F4715" s="2423"/>
    </row>
    <row r="4716" s="101" customFormat="1" spans="6:6">
      <c r="F4716" s="2423"/>
    </row>
    <row r="4717" s="101" customFormat="1" spans="6:6">
      <c r="F4717" s="2423"/>
    </row>
    <row r="4718" s="101" customFormat="1" spans="6:6">
      <c r="F4718" s="2423"/>
    </row>
    <row r="4719" s="101" customFormat="1" spans="6:6">
      <c r="F4719" s="2423"/>
    </row>
    <row r="4720" s="101" customFormat="1" spans="6:6">
      <c r="F4720" s="2423"/>
    </row>
    <row r="4721" s="101" customFormat="1" spans="6:6">
      <c r="F4721" s="2423"/>
    </row>
    <row r="4722" s="101" customFormat="1" spans="6:6">
      <c r="F4722" s="2423"/>
    </row>
    <row r="4723" s="101" customFormat="1" spans="6:6">
      <c r="F4723" s="2423"/>
    </row>
    <row r="4724" s="101" customFormat="1" spans="6:6">
      <c r="F4724" s="2423"/>
    </row>
    <row r="4725" s="101" customFormat="1" spans="6:6">
      <c r="F4725" s="2423"/>
    </row>
    <row r="4726" s="101" customFormat="1" spans="6:6">
      <c r="F4726" s="2423"/>
    </row>
    <row r="4727" s="101" customFormat="1" spans="6:6">
      <c r="F4727" s="2423"/>
    </row>
    <row r="4728" s="101" customFormat="1" spans="6:6">
      <c r="F4728" s="2423"/>
    </row>
    <row r="4729" s="101" customFormat="1" spans="6:6">
      <c r="F4729" s="2423"/>
    </row>
    <row r="4730" s="101" customFormat="1" spans="6:6">
      <c r="F4730" s="2423"/>
    </row>
    <row r="4731" s="101" customFormat="1" spans="6:6">
      <c r="F4731" s="2423"/>
    </row>
    <row r="4732" s="101" customFormat="1" spans="6:6">
      <c r="F4732" s="2423"/>
    </row>
    <row r="4733" s="101" customFormat="1" spans="6:6">
      <c r="F4733" s="2423"/>
    </row>
    <row r="4734" s="101" customFormat="1" spans="6:6">
      <c r="F4734" s="2423"/>
    </row>
    <row r="4735" s="101" customFormat="1" spans="6:6">
      <c r="F4735" s="2423"/>
    </row>
    <row r="4736" s="101" customFormat="1" spans="6:6">
      <c r="F4736" s="2423"/>
    </row>
    <row r="4737" s="101" customFormat="1" spans="6:6">
      <c r="F4737" s="2423"/>
    </row>
    <row r="4738" s="101" customFormat="1" spans="6:6">
      <c r="F4738" s="2423"/>
    </row>
    <row r="4739" s="101" customFormat="1" spans="6:6">
      <c r="F4739" s="2423"/>
    </row>
    <row r="4740" s="101" customFormat="1" spans="6:6">
      <c r="F4740" s="2423"/>
    </row>
    <row r="4741" s="101" customFormat="1" spans="6:6">
      <c r="F4741" s="2423"/>
    </row>
    <row r="4742" s="101" customFormat="1" spans="6:6">
      <c r="F4742" s="2423"/>
    </row>
    <row r="4743" s="101" customFormat="1" spans="6:6">
      <c r="F4743" s="2423"/>
    </row>
    <row r="4744" s="101" customFormat="1" spans="6:6">
      <c r="F4744" s="2423"/>
    </row>
    <row r="4745" s="101" customFormat="1" spans="6:6">
      <c r="F4745" s="2423"/>
    </row>
    <row r="4746" s="101" customFormat="1" spans="6:6">
      <c r="F4746" s="2423"/>
    </row>
    <row r="4747" s="101" customFormat="1" spans="6:6">
      <c r="F4747" s="2423"/>
    </row>
    <row r="4748" s="101" customFormat="1" spans="6:6">
      <c r="F4748" s="2423"/>
    </row>
    <row r="4749" s="101" customFormat="1" spans="6:6">
      <c r="F4749" s="2423"/>
    </row>
    <row r="4750" s="101" customFormat="1" spans="6:6">
      <c r="F4750" s="2423"/>
    </row>
    <row r="4751" s="101" customFormat="1" spans="6:6">
      <c r="F4751" s="2423"/>
    </row>
    <row r="4752" s="101" customFormat="1" spans="6:6">
      <c r="F4752" s="2423"/>
    </row>
    <row r="4753" s="101" customFormat="1" spans="6:6">
      <c r="F4753" s="2423"/>
    </row>
    <row r="4754" s="101" customFormat="1" spans="6:6">
      <c r="F4754" s="2423"/>
    </row>
    <row r="4755" s="101" customFormat="1" spans="6:6">
      <c r="F4755" s="2423"/>
    </row>
    <row r="4756" s="101" customFormat="1" spans="6:6">
      <c r="F4756" s="2423"/>
    </row>
    <row r="4757" s="101" customFormat="1" spans="6:6">
      <c r="F4757" s="2423"/>
    </row>
    <row r="4758" s="101" customFormat="1" spans="6:6">
      <c r="F4758" s="2423"/>
    </row>
    <row r="4759" s="101" customFormat="1" spans="6:6">
      <c r="F4759" s="2423"/>
    </row>
    <row r="4760" s="101" customFormat="1" spans="6:6">
      <c r="F4760" s="2423"/>
    </row>
    <row r="4761" s="101" customFormat="1" spans="6:6">
      <c r="F4761" s="2423"/>
    </row>
    <row r="4762" s="101" customFormat="1" spans="6:6">
      <c r="F4762" s="2423"/>
    </row>
    <row r="4763" s="101" customFormat="1" spans="6:6">
      <c r="F4763" s="2423"/>
    </row>
    <row r="4764" s="101" customFormat="1" spans="6:6">
      <c r="F4764" s="2423"/>
    </row>
    <row r="4765" s="101" customFormat="1" spans="6:6">
      <c r="F4765" s="2423"/>
    </row>
    <row r="4766" s="101" customFormat="1" spans="6:6">
      <c r="F4766" s="2423"/>
    </row>
    <row r="4767" s="101" customFormat="1" spans="6:6">
      <c r="F4767" s="2423"/>
    </row>
    <row r="4768" s="101" customFormat="1" spans="6:6">
      <c r="F4768" s="2423"/>
    </row>
    <row r="4769" s="101" customFormat="1" spans="6:6">
      <c r="F4769" s="2423"/>
    </row>
    <row r="4770" s="101" customFormat="1" spans="6:6">
      <c r="F4770" s="2423"/>
    </row>
    <row r="4771" s="101" customFormat="1" spans="6:6">
      <c r="F4771" s="2423"/>
    </row>
    <row r="4772" s="101" customFormat="1" spans="6:6">
      <c r="F4772" s="2423"/>
    </row>
    <row r="4773" s="101" customFormat="1" spans="6:6">
      <c r="F4773" s="2423"/>
    </row>
    <row r="4774" s="101" customFormat="1" spans="6:6">
      <c r="F4774" s="2423"/>
    </row>
    <row r="4775" s="101" customFormat="1" spans="6:6">
      <c r="F4775" s="2423"/>
    </row>
    <row r="4776" s="101" customFormat="1" spans="6:6">
      <c r="F4776" s="2423"/>
    </row>
    <row r="4777" s="101" customFormat="1" spans="6:6">
      <c r="F4777" s="2423"/>
    </row>
    <row r="4778" s="101" customFormat="1" spans="6:6">
      <c r="F4778" s="2423"/>
    </row>
    <row r="4779" s="101" customFormat="1" spans="6:6">
      <c r="F4779" s="2423"/>
    </row>
    <row r="4780" s="101" customFormat="1" spans="6:6">
      <c r="F4780" s="2423"/>
    </row>
    <row r="4781" s="101" customFormat="1" spans="6:6">
      <c r="F4781" s="2423"/>
    </row>
    <row r="4782" s="101" customFormat="1" spans="6:6">
      <c r="F4782" s="2423"/>
    </row>
    <row r="4783" s="101" customFormat="1" spans="6:6">
      <c r="F4783" s="2423"/>
    </row>
    <row r="4784" s="101" customFormat="1" spans="6:6">
      <c r="F4784" s="2423"/>
    </row>
    <row r="4785" s="101" customFormat="1" spans="6:6">
      <c r="F4785" s="2423"/>
    </row>
    <row r="4786" s="101" customFormat="1" spans="6:6">
      <c r="F4786" s="2423"/>
    </row>
    <row r="4787" s="101" customFormat="1" spans="6:6">
      <c r="F4787" s="2423"/>
    </row>
    <row r="4788" s="101" customFormat="1" spans="6:6">
      <c r="F4788" s="2423"/>
    </row>
    <row r="4789" s="101" customFormat="1" spans="6:6">
      <c r="F4789" s="2423"/>
    </row>
    <row r="4790" s="101" customFormat="1" spans="6:6">
      <c r="F4790" s="2423"/>
    </row>
    <row r="4791" s="101" customFormat="1" spans="6:6">
      <c r="F4791" s="2423"/>
    </row>
    <row r="4792" s="101" customFormat="1" spans="6:6">
      <c r="F4792" s="2423"/>
    </row>
    <row r="4793" s="101" customFormat="1" spans="6:6">
      <c r="F4793" s="2423"/>
    </row>
    <row r="4794" s="101" customFormat="1" spans="6:6">
      <c r="F4794" s="2423"/>
    </row>
    <row r="4795" s="101" customFormat="1" spans="6:6">
      <c r="F4795" s="2423"/>
    </row>
    <row r="4796" s="101" customFormat="1" spans="6:6">
      <c r="F4796" s="2423"/>
    </row>
    <row r="4797" s="101" customFormat="1" spans="6:6">
      <c r="F4797" s="2423"/>
    </row>
    <row r="4798" s="101" customFormat="1" spans="6:6">
      <c r="F4798" s="2423"/>
    </row>
    <row r="4799" s="101" customFormat="1" spans="6:6">
      <c r="F4799" s="2423"/>
    </row>
    <row r="4800" s="101" customFormat="1" spans="6:6">
      <c r="F4800" s="2423"/>
    </row>
    <row r="4801" s="101" customFormat="1" spans="6:6">
      <c r="F4801" s="2423"/>
    </row>
    <row r="4802" s="101" customFormat="1" spans="6:6">
      <c r="F4802" s="2423"/>
    </row>
    <row r="4803" s="101" customFormat="1" spans="6:6">
      <c r="F4803" s="2423"/>
    </row>
    <row r="4804" s="101" customFormat="1" spans="6:6">
      <c r="F4804" s="2423"/>
    </row>
    <row r="4805" s="101" customFormat="1" spans="6:6">
      <c r="F4805" s="2423"/>
    </row>
    <row r="4806" s="101" customFormat="1" spans="6:6">
      <c r="F4806" s="2423"/>
    </row>
    <row r="4807" s="101" customFormat="1" spans="6:6">
      <c r="F4807" s="2423"/>
    </row>
    <row r="4808" s="101" customFormat="1" spans="6:6">
      <c r="F4808" s="2423"/>
    </row>
    <row r="4809" s="101" customFormat="1" spans="6:6">
      <c r="F4809" s="2423"/>
    </row>
    <row r="4810" s="101" customFormat="1" spans="6:6">
      <c r="F4810" s="2423"/>
    </row>
    <row r="4811" s="101" customFormat="1" spans="6:6">
      <c r="F4811" s="2423"/>
    </row>
    <row r="4812" s="101" customFormat="1" spans="6:6">
      <c r="F4812" s="2423"/>
    </row>
    <row r="4813" s="101" customFormat="1" spans="6:6">
      <c r="F4813" s="2423"/>
    </row>
    <row r="4814" s="101" customFormat="1" spans="6:6">
      <c r="F4814" s="2423"/>
    </row>
    <row r="4815" s="101" customFormat="1" spans="6:6">
      <c r="F4815" s="2423"/>
    </row>
    <row r="4816" s="101" customFormat="1" spans="6:6">
      <c r="F4816" s="2423"/>
    </row>
    <row r="4817" s="101" customFormat="1" spans="6:6">
      <c r="F4817" s="2423"/>
    </row>
    <row r="4818" s="101" customFormat="1" spans="6:6">
      <c r="F4818" s="2423"/>
    </row>
    <row r="4819" s="101" customFormat="1" spans="6:6">
      <c r="F4819" s="2423"/>
    </row>
    <row r="4820" s="101" customFormat="1" spans="6:6">
      <c r="F4820" s="2423"/>
    </row>
    <row r="4821" s="101" customFormat="1" spans="6:6">
      <c r="F4821" s="2423"/>
    </row>
    <row r="4822" s="101" customFormat="1" spans="6:6">
      <c r="F4822" s="2423"/>
    </row>
    <row r="4823" s="101" customFormat="1" spans="6:6">
      <c r="F4823" s="2423"/>
    </row>
    <row r="4824" s="101" customFormat="1" spans="6:6">
      <c r="F4824" s="2423"/>
    </row>
    <row r="4825" s="101" customFormat="1" spans="6:6">
      <c r="F4825" s="2423"/>
    </row>
    <row r="4826" s="101" customFormat="1" spans="6:6">
      <c r="F4826" s="2423"/>
    </row>
    <row r="4827" s="101" customFormat="1" spans="6:6">
      <c r="F4827" s="2423"/>
    </row>
    <row r="4828" s="101" customFormat="1" spans="6:6">
      <c r="F4828" s="2423"/>
    </row>
    <row r="4829" s="101" customFormat="1" spans="6:6">
      <c r="F4829" s="2423"/>
    </row>
    <row r="4830" s="101" customFormat="1" spans="6:6">
      <c r="F4830" s="2423"/>
    </row>
    <row r="4831" s="101" customFormat="1" spans="6:6">
      <c r="F4831" s="2423"/>
    </row>
    <row r="4832" s="101" customFormat="1" spans="6:6">
      <c r="F4832" s="2423"/>
    </row>
    <row r="4833" s="101" customFormat="1" spans="6:6">
      <c r="F4833" s="2423"/>
    </row>
    <row r="4834" s="101" customFormat="1" spans="6:6">
      <c r="F4834" s="2423"/>
    </row>
    <row r="4835" s="101" customFormat="1" spans="6:6">
      <c r="F4835" s="2423"/>
    </row>
    <row r="4836" s="101" customFormat="1" spans="6:6">
      <c r="F4836" s="2423"/>
    </row>
    <row r="4837" s="101" customFormat="1" spans="6:6">
      <c r="F4837" s="2423"/>
    </row>
    <row r="4838" s="101" customFormat="1" spans="6:6">
      <c r="F4838" s="2423"/>
    </row>
    <row r="4839" s="101" customFormat="1" spans="6:6">
      <c r="F4839" s="2423"/>
    </row>
    <row r="4840" s="101" customFormat="1" spans="6:6">
      <c r="F4840" s="2423"/>
    </row>
    <row r="4841" s="101" customFormat="1" spans="6:6">
      <c r="F4841" s="2423"/>
    </row>
    <row r="4842" s="101" customFormat="1" spans="6:6">
      <c r="F4842" s="2423"/>
    </row>
    <row r="4843" s="101" customFormat="1" spans="6:6">
      <c r="F4843" s="2423"/>
    </row>
    <row r="4844" s="101" customFormat="1" spans="6:6">
      <c r="F4844" s="2423"/>
    </row>
    <row r="4845" s="101" customFormat="1" spans="6:6">
      <c r="F4845" s="2423"/>
    </row>
    <row r="4846" s="101" customFormat="1" spans="6:6">
      <c r="F4846" s="2423"/>
    </row>
    <row r="4847" s="101" customFormat="1" spans="6:6">
      <c r="F4847" s="2423"/>
    </row>
    <row r="4848" s="101" customFormat="1" spans="6:6">
      <c r="F4848" s="2423"/>
    </row>
    <row r="4849" s="101" customFormat="1" spans="6:6">
      <c r="F4849" s="2423"/>
    </row>
    <row r="4850" s="101" customFormat="1" spans="6:6">
      <c r="F4850" s="2423"/>
    </row>
    <row r="4851" s="101" customFormat="1" spans="6:6">
      <c r="F4851" s="2423"/>
    </row>
    <row r="4852" s="101" customFormat="1" spans="6:6">
      <c r="F4852" s="2423"/>
    </row>
    <row r="4853" s="101" customFormat="1" spans="6:6">
      <c r="F4853" s="2423"/>
    </row>
    <row r="4854" s="101" customFormat="1" spans="6:6">
      <c r="F4854" s="2423"/>
    </row>
    <row r="4855" s="101" customFormat="1" spans="6:6">
      <c r="F4855" s="2423"/>
    </row>
    <row r="4856" s="101" customFormat="1" spans="6:6">
      <c r="F4856" s="2423"/>
    </row>
    <row r="4857" s="101" customFormat="1" spans="6:6">
      <c r="F4857" s="2423"/>
    </row>
    <row r="4858" s="101" customFormat="1" spans="6:6">
      <c r="F4858" s="2423"/>
    </row>
    <row r="4859" s="101" customFormat="1" spans="6:6">
      <c r="F4859" s="2423"/>
    </row>
    <row r="4860" s="101" customFormat="1" spans="6:6">
      <c r="F4860" s="2423"/>
    </row>
    <row r="4861" s="101" customFormat="1" spans="6:6">
      <c r="F4861" s="2423"/>
    </row>
    <row r="4862" s="101" customFormat="1" spans="6:6">
      <c r="F4862" s="2423"/>
    </row>
    <row r="4863" s="101" customFormat="1" spans="6:6">
      <c r="F4863" s="2423"/>
    </row>
    <row r="4864" s="101" customFormat="1" spans="6:6">
      <c r="F4864" s="2423"/>
    </row>
    <row r="4865" s="101" customFormat="1" spans="6:6">
      <c r="F4865" s="2423"/>
    </row>
    <row r="4866" s="101" customFormat="1" spans="6:6">
      <c r="F4866" s="2423"/>
    </row>
    <row r="4867" s="101" customFormat="1" spans="6:6">
      <c r="F4867" s="2423"/>
    </row>
    <row r="4868" s="101" customFormat="1" spans="6:6">
      <c r="F4868" s="2423"/>
    </row>
    <row r="4869" s="101" customFormat="1" spans="6:6">
      <c r="F4869" s="2423"/>
    </row>
    <row r="4870" s="101" customFormat="1" spans="6:6">
      <c r="F4870" s="2423"/>
    </row>
    <row r="4871" s="101" customFormat="1" spans="6:6">
      <c r="F4871" s="2423"/>
    </row>
    <row r="4872" s="101" customFormat="1" spans="6:6">
      <c r="F4872" s="2423"/>
    </row>
    <row r="4873" s="101" customFormat="1" spans="6:6">
      <c r="F4873" s="2423"/>
    </row>
    <row r="4874" s="101" customFormat="1" spans="6:6">
      <c r="F4874" s="2423"/>
    </row>
    <row r="4875" s="101" customFormat="1" spans="6:6">
      <c r="F4875" s="2423"/>
    </row>
    <row r="4876" s="101" customFormat="1" spans="6:6">
      <c r="F4876" s="2423"/>
    </row>
    <row r="4877" s="101" customFormat="1" spans="6:6">
      <c r="F4877" s="2423"/>
    </row>
    <row r="4878" s="101" customFormat="1" spans="6:6">
      <c r="F4878" s="2423"/>
    </row>
    <row r="4879" s="101" customFormat="1" spans="6:6">
      <c r="F4879" s="2423"/>
    </row>
    <row r="4880" s="101" customFormat="1" spans="6:6">
      <c r="F4880" s="2423"/>
    </row>
    <row r="4881" s="101" customFormat="1" spans="6:6">
      <c r="F4881" s="2423"/>
    </row>
    <row r="4882" s="101" customFormat="1" spans="6:6">
      <c r="F4882" s="2423"/>
    </row>
    <row r="4883" s="101" customFormat="1" spans="6:6">
      <c r="F4883" s="2423"/>
    </row>
    <row r="4884" s="101" customFormat="1" spans="6:6">
      <c r="F4884" s="2423"/>
    </row>
    <row r="4885" s="101" customFormat="1" spans="6:6">
      <c r="F4885" s="2423"/>
    </row>
    <row r="4886" s="101" customFormat="1" spans="6:6">
      <c r="F4886" s="2423"/>
    </row>
    <row r="4887" s="101" customFormat="1" spans="6:6">
      <c r="F4887" s="2423"/>
    </row>
    <row r="4888" s="101" customFormat="1" spans="6:6">
      <c r="F4888" s="2423"/>
    </row>
    <row r="4889" s="101" customFormat="1" spans="6:6">
      <c r="F4889" s="2423"/>
    </row>
    <row r="4890" s="101" customFormat="1" spans="6:6">
      <c r="F4890" s="2423"/>
    </row>
    <row r="4891" s="101" customFormat="1" spans="6:6">
      <c r="F4891" s="2423"/>
    </row>
    <row r="4892" s="101" customFormat="1" spans="6:6">
      <c r="F4892" s="2423"/>
    </row>
    <row r="4893" s="101" customFormat="1" spans="6:6">
      <c r="F4893" s="2423"/>
    </row>
    <row r="4894" s="101" customFormat="1" spans="6:6">
      <c r="F4894" s="2423"/>
    </row>
    <row r="4895" s="101" customFormat="1" spans="6:6">
      <c r="F4895" s="2423"/>
    </row>
    <row r="4896" s="101" customFormat="1" spans="6:6">
      <c r="F4896" s="2423"/>
    </row>
    <row r="4897" s="101" customFormat="1" spans="6:6">
      <c r="F4897" s="2423"/>
    </row>
    <row r="4898" s="101" customFormat="1" spans="6:6">
      <c r="F4898" s="2423"/>
    </row>
    <row r="4899" s="101" customFormat="1" spans="6:6">
      <c r="F4899" s="2423"/>
    </row>
    <row r="4900" s="101" customFormat="1" spans="6:6">
      <c r="F4900" s="2423"/>
    </row>
    <row r="4901" s="101" customFormat="1" spans="6:6">
      <c r="F4901" s="2423"/>
    </row>
    <row r="4902" s="101" customFormat="1" spans="6:6">
      <c r="F4902" s="2423"/>
    </row>
    <row r="4903" s="101" customFormat="1" spans="6:6">
      <c r="F4903" s="2423"/>
    </row>
    <row r="4904" s="101" customFormat="1" spans="6:6">
      <c r="F4904" s="2423"/>
    </row>
    <row r="4905" s="101" customFormat="1" spans="6:6">
      <c r="F4905" s="2423"/>
    </row>
    <row r="4906" s="101" customFormat="1" spans="6:6">
      <c r="F4906" s="2423"/>
    </row>
    <row r="4907" s="101" customFormat="1" spans="6:6">
      <c r="F4907" s="2423"/>
    </row>
    <row r="4908" s="101" customFormat="1" spans="6:6">
      <c r="F4908" s="2423"/>
    </row>
    <row r="4909" s="101" customFormat="1" spans="6:6">
      <c r="F4909" s="2423"/>
    </row>
    <row r="4910" s="101" customFormat="1" spans="6:6">
      <c r="F4910" s="2423"/>
    </row>
    <row r="4911" s="101" customFormat="1" spans="6:6">
      <c r="F4911" s="2423"/>
    </row>
    <row r="4912" s="101" customFormat="1" spans="6:6">
      <c r="F4912" s="2423"/>
    </row>
    <row r="4913" s="101" customFormat="1" spans="6:6">
      <c r="F4913" s="2423"/>
    </row>
    <row r="4914" s="101" customFormat="1" spans="6:6">
      <c r="F4914" s="2423"/>
    </row>
    <row r="4915" s="101" customFormat="1" spans="6:6">
      <c r="F4915" s="2423"/>
    </row>
    <row r="4916" s="101" customFormat="1" spans="6:6">
      <c r="F4916" s="2423"/>
    </row>
    <row r="4917" s="101" customFormat="1" spans="6:6">
      <c r="F4917" s="2423"/>
    </row>
    <row r="4918" s="101" customFormat="1" spans="6:6">
      <c r="F4918" s="2423"/>
    </row>
    <row r="4919" s="101" customFormat="1" spans="6:6">
      <c r="F4919" s="2423"/>
    </row>
    <row r="4920" s="101" customFormat="1" spans="6:6">
      <c r="F4920" s="2423"/>
    </row>
    <row r="4921" s="101" customFormat="1" spans="6:6">
      <c r="F4921" s="2423"/>
    </row>
    <row r="4922" s="101" customFormat="1" spans="6:6">
      <c r="F4922" s="2423"/>
    </row>
    <row r="4923" s="101" customFormat="1" spans="6:6">
      <c r="F4923" s="2423"/>
    </row>
    <row r="4924" s="101" customFormat="1" spans="6:6">
      <c r="F4924" s="2423"/>
    </row>
    <row r="4925" s="101" customFormat="1" spans="6:6">
      <c r="F4925" s="2423"/>
    </row>
    <row r="4926" s="101" customFormat="1" spans="6:6">
      <c r="F4926" s="2423"/>
    </row>
    <row r="4927" s="101" customFormat="1" spans="6:6">
      <c r="F4927" s="2423"/>
    </row>
    <row r="4928" s="101" customFormat="1" spans="6:6">
      <c r="F4928" s="2423"/>
    </row>
    <row r="4929" s="101" customFormat="1" spans="6:6">
      <c r="F4929" s="2423"/>
    </row>
    <row r="4930" s="101" customFormat="1" spans="6:6">
      <c r="F4930" s="2423"/>
    </row>
    <row r="4931" s="101" customFormat="1" spans="6:6">
      <c r="F4931" s="2423"/>
    </row>
    <row r="4932" s="101" customFormat="1" spans="6:6">
      <c r="F4932" s="2423"/>
    </row>
    <row r="4933" s="101" customFormat="1" spans="6:6">
      <c r="F4933" s="2423"/>
    </row>
    <row r="4934" s="101" customFormat="1" spans="6:6">
      <c r="F4934" s="2423"/>
    </row>
    <row r="4935" s="101" customFormat="1" spans="6:6">
      <c r="F4935" s="2423"/>
    </row>
    <row r="4936" s="101" customFormat="1" spans="6:6">
      <c r="F4936" s="2423"/>
    </row>
    <row r="4937" s="101" customFormat="1" spans="6:6">
      <c r="F4937" s="2423"/>
    </row>
    <row r="4938" s="101" customFormat="1" spans="6:6">
      <c r="F4938" s="2423"/>
    </row>
    <row r="4939" s="101" customFormat="1" spans="6:6">
      <c r="F4939" s="2423"/>
    </row>
    <row r="4940" s="101" customFormat="1" spans="6:6">
      <c r="F4940" s="2423"/>
    </row>
    <row r="4941" s="101" customFormat="1" spans="6:6">
      <c r="F4941" s="2423"/>
    </row>
    <row r="4942" s="101" customFormat="1" spans="6:6">
      <c r="F4942" s="2423"/>
    </row>
    <row r="4943" s="101" customFormat="1" spans="6:6">
      <c r="F4943" s="2423"/>
    </row>
    <row r="4944" s="101" customFormat="1" spans="6:6">
      <c r="F4944" s="2423"/>
    </row>
    <row r="4945" s="101" customFormat="1" spans="6:6">
      <c r="F4945" s="2423"/>
    </row>
    <row r="4946" s="101" customFormat="1" spans="6:6">
      <c r="F4946" s="2423"/>
    </row>
    <row r="4947" s="101" customFormat="1" spans="6:6">
      <c r="F4947" s="2423"/>
    </row>
    <row r="4948" s="101" customFormat="1" spans="6:6">
      <c r="F4948" s="2423"/>
    </row>
    <row r="4949" s="101" customFormat="1" spans="6:6">
      <c r="F4949" s="2423"/>
    </row>
    <row r="4950" s="101" customFormat="1" spans="6:6">
      <c r="F4950" s="2423"/>
    </row>
    <row r="4951" s="101" customFormat="1" spans="6:6">
      <c r="F4951" s="2423"/>
    </row>
    <row r="4952" s="101" customFormat="1" spans="6:6">
      <c r="F4952" s="2423"/>
    </row>
    <row r="4953" s="101" customFormat="1" spans="6:6">
      <c r="F4953" s="2423"/>
    </row>
    <row r="4954" s="101" customFormat="1" spans="6:6">
      <c r="F4954" s="2423"/>
    </row>
    <row r="4955" s="101" customFormat="1" spans="6:6">
      <c r="F4955" s="2423"/>
    </row>
    <row r="4956" s="101" customFormat="1" spans="6:6">
      <c r="F4956" s="2423"/>
    </row>
    <row r="4957" s="101" customFormat="1" spans="6:6">
      <c r="F4957" s="2423"/>
    </row>
    <row r="4958" s="101" customFormat="1" spans="6:6">
      <c r="F4958" s="2423"/>
    </row>
    <row r="4959" s="101" customFormat="1" spans="6:6">
      <c r="F4959" s="2423"/>
    </row>
    <row r="4960" s="101" customFormat="1" spans="6:6">
      <c r="F4960" s="2423"/>
    </row>
    <row r="4961" s="101" customFormat="1" spans="6:6">
      <c r="F4961" s="2423"/>
    </row>
    <row r="4962" s="101" customFormat="1" spans="6:6">
      <c r="F4962" s="2423"/>
    </row>
    <row r="4963" s="101" customFormat="1" spans="6:6">
      <c r="F4963" s="2423"/>
    </row>
    <row r="4964" s="101" customFormat="1" spans="6:6">
      <c r="F4964" s="2423"/>
    </row>
    <row r="4965" s="101" customFormat="1" spans="6:6">
      <c r="F4965" s="2423"/>
    </row>
    <row r="4966" s="101" customFormat="1" spans="6:6">
      <c r="F4966" s="2423"/>
    </row>
    <row r="4967" s="101" customFormat="1" spans="6:6">
      <c r="F4967" s="2423"/>
    </row>
    <row r="4968" s="101" customFormat="1" spans="6:6">
      <c r="F4968" s="2423"/>
    </row>
    <row r="4969" s="101" customFormat="1" spans="6:6">
      <c r="F4969" s="2423"/>
    </row>
    <row r="4970" s="101" customFormat="1" spans="6:6">
      <c r="F4970" s="2423"/>
    </row>
    <row r="4971" s="101" customFormat="1" spans="6:6">
      <c r="F4971" s="2423"/>
    </row>
    <row r="4972" s="101" customFormat="1" spans="6:6">
      <c r="F4972" s="2423"/>
    </row>
    <row r="4973" s="101" customFormat="1" spans="6:6">
      <c r="F4973" s="2423"/>
    </row>
    <row r="4974" s="101" customFormat="1" spans="6:6">
      <c r="F4974" s="2423"/>
    </row>
    <row r="4975" s="101" customFormat="1" spans="6:6">
      <c r="F4975" s="2423"/>
    </row>
    <row r="4976" s="101" customFormat="1" spans="6:6">
      <c r="F4976" s="2423"/>
    </row>
    <row r="4977" s="101" customFormat="1" spans="6:6">
      <c r="F4977" s="2423"/>
    </row>
    <row r="4978" s="101" customFormat="1" spans="6:6">
      <c r="F4978" s="2423"/>
    </row>
    <row r="4979" s="101" customFormat="1" spans="6:6">
      <c r="F4979" s="2423"/>
    </row>
    <row r="4980" s="101" customFormat="1" spans="6:6">
      <c r="F4980" s="2423"/>
    </row>
    <row r="4981" s="101" customFormat="1" spans="6:6">
      <c r="F4981" s="2423"/>
    </row>
    <row r="4982" s="101" customFormat="1" spans="6:6">
      <c r="F4982" s="2423"/>
    </row>
    <row r="4983" s="101" customFormat="1" spans="6:6">
      <c r="F4983" s="2423"/>
    </row>
    <row r="4984" s="101" customFormat="1" spans="6:6">
      <c r="F4984" s="2423"/>
    </row>
    <row r="4985" s="101" customFormat="1" spans="6:6">
      <c r="F4985" s="2423"/>
    </row>
    <row r="4986" s="101" customFormat="1" spans="6:6">
      <c r="F4986" s="2423"/>
    </row>
    <row r="4987" s="101" customFormat="1" spans="6:6">
      <c r="F4987" s="2423"/>
    </row>
    <row r="4988" s="101" customFormat="1" spans="6:6">
      <c r="F4988" s="2423"/>
    </row>
    <row r="4989" s="101" customFormat="1" spans="6:6">
      <c r="F4989" s="2423"/>
    </row>
    <row r="4990" s="101" customFormat="1" spans="6:6">
      <c r="F4990" s="2423"/>
    </row>
    <row r="4991" s="101" customFormat="1" spans="6:6">
      <c r="F4991" s="2423"/>
    </row>
    <row r="4992" s="101" customFormat="1" spans="6:6">
      <c r="F4992" s="2423"/>
    </row>
    <row r="4993" s="101" customFormat="1" spans="6:6">
      <c r="F4993" s="2423"/>
    </row>
    <row r="4994" s="101" customFormat="1" spans="6:6">
      <c r="F4994" s="2423"/>
    </row>
    <row r="4995" s="101" customFormat="1" spans="6:6">
      <c r="F4995" s="2423"/>
    </row>
    <row r="4996" s="101" customFormat="1" spans="6:6">
      <c r="F4996" s="2423"/>
    </row>
    <row r="4997" s="101" customFormat="1" spans="6:6">
      <c r="F4997" s="2423"/>
    </row>
    <row r="4998" s="101" customFormat="1" spans="6:6">
      <c r="F4998" s="2423"/>
    </row>
    <row r="4999" s="101" customFormat="1" spans="6:6">
      <c r="F4999" s="2423"/>
    </row>
    <row r="5000" s="101" customFormat="1" spans="6:6">
      <c r="F5000" s="2423"/>
    </row>
    <row r="5001" s="101" customFormat="1" spans="6:6">
      <c r="F5001" s="2423"/>
    </row>
    <row r="5002" s="101" customFormat="1" spans="6:6">
      <c r="F5002" s="2423"/>
    </row>
    <row r="5003" s="101" customFormat="1" spans="6:6">
      <c r="F5003" s="2423"/>
    </row>
    <row r="5004" s="101" customFormat="1" spans="6:6">
      <c r="F5004" s="2423"/>
    </row>
    <row r="5005" s="101" customFormat="1" spans="6:6">
      <c r="F5005" s="2423"/>
    </row>
    <row r="5006" s="101" customFormat="1" spans="6:6">
      <c r="F5006" s="2423"/>
    </row>
    <row r="5007" s="101" customFormat="1" spans="6:6">
      <c r="F5007" s="2423"/>
    </row>
    <row r="5008" s="101" customFormat="1" spans="6:6">
      <c r="F5008" s="2423"/>
    </row>
    <row r="5009" s="101" customFormat="1" spans="6:6">
      <c r="F5009" s="2423"/>
    </row>
    <row r="5010" s="101" customFormat="1" spans="6:6">
      <c r="F5010" s="2423"/>
    </row>
    <row r="5011" s="101" customFormat="1" spans="6:6">
      <c r="F5011" s="2423"/>
    </row>
    <row r="5012" s="101" customFormat="1" spans="6:6">
      <c r="F5012" s="2423"/>
    </row>
    <row r="5013" s="101" customFormat="1" spans="6:6">
      <c r="F5013" s="2423"/>
    </row>
    <row r="5014" s="101" customFormat="1" spans="6:6">
      <c r="F5014" s="2423"/>
    </row>
    <row r="5015" s="101" customFormat="1" spans="6:6">
      <c r="F5015" s="2423"/>
    </row>
    <row r="5016" s="101" customFormat="1" spans="6:6">
      <c r="F5016" s="2423"/>
    </row>
    <row r="5017" s="101" customFormat="1" spans="6:6">
      <c r="F5017" s="2423"/>
    </row>
    <row r="5018" s="101" customFormat="1" spans="6:6">
      <c r="F5018" s="2423"/>
    </row>
    <row r="5019" s="101" customFormat="1" spans="6:6">
      <c r="F5019" s="2423"/>
    </row>
    <row r="5020" s="101" customFormat="1" spans="6:6">
      <c r="F5020" s="2423"/>
    </row>
    <row r="5021" s="101" customFormat="1" spans="6:6">
      <c r="F5021" s="2423"/>
    </row>
    <row r="5022" s="101" customFormat="1" spans="6:6">
      <c r="F5022" s="2423"/>
    </row>
    <row r="5023" s="101" customFormat="1" spans="6:6">
      <c r="F5023" s="2423"/>
    </row>
    <row r="5024" s="101" customFormat="1" spans="6:6">
      <c r="F5024" s="2423"/>
    </row>
    <row r="5025" s="101" customFormat="1" spans="6:6">
      <c r="F5025" s="2423"/>
    </row>
    <row r="5026" s="101" customFormat="1" spans="6:6">
      <c r="F5026" s="2423"/>
    </row>
    <row r="5027" s="101" customFormat="1" spans="6:6">
      <c r="F5027" s="2423"/>
    </row>
    <row r="5028" s="101" customFormat="1" spans="6:6">
      <c r="F5028" s="2423"/>
    </row>
    <row r="5029" s="101" customFormat="1" spans="6:6">
      <c r="F5029" s="2423"/>
    </row>
    <row r="5030" s="101" customFormat="1" spans="6:6">
      <c r="F5030" s="2423"/>
    </row>
    <row r="5031" s="101" customFormat="1" spans="6:6">
      <c r="F5031" s="2423"/>
    </row>
    <row r="5032" s="101" customFormat="1" spans="6:6">
      <c r="F5032" s="2423"/>
    </row>
    <row r="5033" s="101" customFormat="1" spans="6:6">
      <c r="F5033" s="2423"/>
    </row>
    <row r="5034" s="101" customFormat="1" spans="6:6">
      <c r="F5034" s="2423"/>
    </row>
    <row r="5035" s="101" customFormat="1" spans="6:6">
      <c r="F5035" s="2423"/>
    </row>
    <row r="5036" s="101" customFormat="1" spans="6:6">
      <c r="F5036" s="2423"/>
    </row>
    <row r="5037" s="101" customFormat="1" spans="6:6">
      <c r="F5037" s="2423"/>
    </row>
    <row r="5038" s="101" customFormat="1" spans="6:6">
      <c r="F5038" s="2423"/>
    </row>
    <row r="5039" s="101" customFormat="1" spans="6:6">
      <c r="F5039" s="2423"/>
    </row>
    <row r="5040" s="101" customFormat="1" spans="6:6">
      <c r="F5040" s="2423"/>
    </row>
    <row r="5041" s="101" customFormat="1" spans="6:6">
      <c r="F5041" s="2423"/>
    </row>
    <row r="5042" s="101" customFormat="1" spans="6:6">
      <c r="F5042" s="2423"/>
    </row>
    <row r="5043" s="101" customFormat="1" spans="6:6">
      <c r="F5043" s="2423"/>
    </row>
    <row r="5044" s="101" customFormat="1" spans="6:6">
      <c r="F5044" s="2423"/>
    </row>
    <row r="5045" s="101" customFormat="1" spans="6:6">
      <c r="F5045" s="2423"/>
    </row>
    <row r="5046" s="101" customFormat="1" spans="6:6">
      <c r="F5046" s="2423"/>
    </row>
    <row r="5047" s="101" customFormat="1" spans="6:6">
      <c r="F5047" s="2423"/>
    </row>
    <row r="5048" s="101" customFormat="1" spans="6:6">
      <c r="F5048" s="2423"/>
    </row>
    <row r="5049" s="101" customFormat="1" spans="6:6">
      <c r="F5049" s="2423"/>
    </row>
    <row r="5050" s="101" customFormat="1" spans="6:6">
      <c r="F5050" s="2423"/>
    </row>
    <row r="5051" s="101" customFormat="1" spans="6:6">
      <c r="F5051" s="2423"/>
    </row>
    <row r="5052" s="101" customFormat="1" spans="6:6">
      <c r="F5052" s="2423"/>
    </row>
    <row r="5053" s="101" customFormat="1" spans="6:6">
      <c r="F5053" s="2423"/>
    </row>
    <row r="5054" s="101" customFormat="1" spans="6:6">
      <c r="F5054" s="2423"/>
    </row>
    <row r="5055" s="101" customFormat="1" spans="6:6">
      <c r="F5055" s="2423"/>
    </row>
    <row r="5056" s="101" customFormat="1" spans="6:6">
      <c r="F5056" s="2423"/>
    </row>
    <row r="5057" s="101" customFormat="1" spans="6:6">
      <c r="F5057" s="2423"/>
    </row>
    <row r="5058" s="101" customFormat="1" spans="6:6">
      <c r="F5058" s="2423"/>
    </row>
    <row r="5059" s="101" customFormat="1" spans="6:6">
      <c r="F5059" s="2423"/>
    </row>
    <row r="5060" s="101" customFormat="1" spans="6:6">
      <c r="F5060" s="2423"/>
    </row>
    <row r="5061" s="101" customFormat="1" spans="6:6">
      <c r="F5061" s="2423"/>
    </row>
    <row r="5062" s="101" customFormat="1" spans="6:6">
      <c r="F5062" s="2423"/>
    </row>
    <row r="5063" s="101" customFormat="1" spans="6:6">
      <c r="F5063" s="2423"/>
    </row>
    <row r="5064" s="101" customFormat="1" spans="6:6">
      <c r="F5064" s="2423"/>
    </row>
    <row r="5065" s="101" customFormat="1" spans="6:6">
      <c r="F5065" s="2423"/>
    </row>
    <row r="5066" s="101" customFormat="1" spans="6:6">
      <c r="F5066" s="2423"/>
    </row>
    <row r="5067" s="101" customFormat="1" spans="6:6">
      <c r="F5067" s="2423"/>
    </row>
    <row r="5068" s="101" customFormat="1" spans="6:6">
      <c r="F5068" s="2423"/>
    </row>
    <row r="5069" s="101" customFormat="1" spans="6:6">
      <c r="F5069" s="2423"/>
    </row>
    <row r="5070" s="101" customFormat="1" spans="6:6">
      <c r="F5070" s="2423"/>
    </row>
    <row r="5071" s="101" customFormat="1" spans="6:6">
      <c r="F5071" s="2423"/>
    </row>
    <row r="5072" s="101" customFormat="1" spans="6:6">
      <c r="F5072" s="2423"/>
    </row>
    <row r="5073" s="101" customFormat="1" spans="6:6">
      <c r="F5073" s="2423"/>
    </row>
    <row r="5074" s="101" customFormat="1" spans="6:6">
      <c r="F5074" s="2423"/>
    </row>
    <row r="5075" s="101" customFormat="1" spans="6:6">
      <c r="F5075" s="2423"/>
    </row>
    <row r="5076" s="101" customFormat="1" spans="6:6">
      <c r="F5076" s="2423"/>
    </row>
    <row r="5077" s="101" customFormat="1" spans="6:6">
      <c r="F5077" s="2423"/>
    </row>
    <row r="5078" s="101" customFormat="1" spans="6:6">
      <c r="F5078" s="2423"/>
    </row>
    <row r="5079" s="101" customFormat="1" spans="6:6">
      <c r="F5079" s="2423"/>
    </row>
    <row r="5080" s="101" customFormat="1" spans="6:6">
      <c r="F5080" s="2423"/>
    </row>
    <row r="5081" s="101" customFormat="1" spans="6:6">
      <c r="F5081" s="2423"/>
    </row>
    <row r="5082" s="101" customFormat="1" spans="6:6">
      <c r="F5082" s="2423"/>
    </row>
    <row r="5083" s="101" customFormat="1" spans="6:6">
      <c r="F5083" s="2423"/>
    </row>
    <row r="5084" s="101" customFormat="1" spans="6:6">
      <c r="F5084" s="2423"/>
    </row>
    <row r="5085" s="101" customFormat="1" spans="6:6">
      <c r="F5085" s="2423"/>
    </row>
    <row r="5086" s="101" customFormat="1" spans="6:6">
      <c r="F5086" s="2423"/>
    </row>
    <row r="5087" s="101" customFormat="1" spans="6:6">
      <c r="F5087" s="2423"/>
    </row>
    <row r="5088" s="101" customFormat="1" spans="6:6">
      <c r="F5088" s="2423"/>
    </row>
    <row r="5089" s="101" customFormat="1" spans="6:6">
      <c r="F5089" s="2423"/>
    </row>
    <row r="5090" s="101" customFormat="1" spans="6:6">
      <c r="F5090" s="2423"/>
    </row>
    <row r="5091" s="101" customFormat="1" spans="6:6">
      <c r="F5091" s="2423"/>
    </row>
    <row r="5092" s="101" customFormat="1" spans="6:6">
      <c r="F5092" s="2423"/>
    </row>
    <row r="5093" s="101" customFormat="1" spans="6:6">
      <c r="F5093" s="2423"/>
    </row>
    <row r="5094" s="101" customFormat="1" spans="6:6">
      <c r="F5094" s="2423"/>
    </row>
    <row r="5095" s="101" customFormat="1" spans="6:6">
      <c r="F5095" s="2423"/>
    </row>
    <row r="5096" s="101" customFormat="1" spans="6:6">
      <c r="F5096" s="2423"/>
    </row>
    <row r="5097" s="101" customFormat="1" spans="6:6">
      <c r="F5097" s="2423"/>
    </row>
    <row r="5098" s="101" customFormat="1" spans="6:6">
      <c r="F5098" s="2423"/>
    </row>
    <row r="5099" s="101" customFormat="1" spans="6:6">
      <c r="F5099" s="2423"/>
    </row>
    <row r="5100" s="101" customFormat="1" spans="6:6">
      <c r="F5100" s="2423"/>
    </row>
    <row r="5101" s="101" customFormat="1" spans="6:6">
      <c r="F5101" s="2423"/>
    </row>
    <row r="5102" s="101" customFormat="1" spans="6:6">
      <c r="F5102" s="2423"/>
    </row>
    <row r="5103" s="101" customFormat="1" spans="6:6">
      <c r="F5103" s="2423"/>
    </row>
    <row r="5104" s="101" customFormat="1" spans="6:6">
      <c r="F5104" s="2423"/>
    </row>
    <row r="5105" s="101" customFormat="1" spans="6:6">
      <c r="F5105" s="2423"/>
    </row>
    <row r="5106" s="101" customFormat="1" spans="6:6">
      <c r="F5106" s="2423"/>
    </row>
    <row r="5107" s="101" customFormat="1" spans="6:6">
      <c r="F5107" s="2423"/>
    </row>
    <row r="5108" s="101" customFormat="1" spans="6:6">
      <c r="F5108" s="2423"/>
    </row>
    <row r="5109" s="101" customFormat="1" spans="6:6">
      <c r="F5109" s="2423"/>
    </row>
    <row r="5110" s="101" customFormat="1" spans="6:6">
      <c r="F5110" s="2423"/>
    </row>
    <row r="5111" s="101" customFormat="1" spans="6:6">
      <c r="F5111" s="2423"/>
    </row>
    <row r="5112" s="101" customFormat="1" spans="6:6">
      <c r="F5112" s="2423"/>
    </row>
    <row r="5113" s="101" customFormat="1" spans="6:6">
      <c r="F5113" s="2423"/>
    </row>
    <row r="5114" s="101" customFormat="1" spans="6:6">
      <c r="F5114" s="2423"/>
    </row>
    <row r="5115" s="101" customFormat="1" spans="6:6">
      <c r="F5115" s="2423"/>
    </row>
    <row r="5116" s="101" customFormat="1" spans="6:6">
      <c r="F5116" s="2423"/>
    </row>
    <row r="5117" s="101" customFormat="1" spans="6:6">
      <c r="F5117" s="2423"/>
    </row>
    <row r="5118" s="101" customFormat="1" spans="6:6">
      <c r="F5118" s="2423"/>
    </row>
    <row r="5119" s="101" customFormat="1" spans="6:6">
      <c r="F5119" s="2423"/>
    </row>
    <row r="5120" s="101" customFormat="1" spans="6:6">
      <c r="F5120" s="2423"/>
    </row>
    <row r="5121" s="101" customFormat="1" spans="6:6">
      <c r="F5121" s="2423"/>
    </row>
    <row r="5122" s="101" customFormat="1" spans="6:6">
      <c r="F5122" s="2423"/>
    </row>
    <row r="5123" s="101" customFormat="1" spans="6:6">
      <c r="F5123" s="2423"/>
    </row>
    <row r="5124" s="101" customFormat="1" spans="6:6">
      <c r="F5124" s="2423"/>
    </row>
    <row r="5125" s="101" customFormat="1" spans="6:6">
      <c r="F5125" s="2423"/>
    </row>
    <row r="5126" s="101" customFormat="1" spans="6:6">
      <c r="F5126" s="2423"/>
    </row>
    <row r="5127" s="101" customFormat="1" spans="6:6">
      <c r="F5127" s="2423"/>
    </row>
    <row r="5128" s="101" customFormat="1" spans="6:6">
      <c r="F5128" s="2423"/>
    </row>
    <row r="5129" s="101" customFormat="1" spans="6:6">
      <c r="F5129" s="2423"/>
    </row>
    <row r="5130" s="101" customFormat="1" spans="6:6">
      <c r="F5130" s="2423"/>
    </row>
    <row r="5131" s="101" customFormat="1" spans="6:6">
      <c r="F5131" s="2423"/>
    </row>
    <row r="5132" s="101" customFormat="1" spans="6:6">
      <c r="F5132" s="2423"/>
    </row>
    <row r="5133" s="101" customFormat="1" spans="6:6">
      <c r="F5133" s="2423"/>
    </row>
    <row r="5134" s="101" customFormat="1" spans="6:6">
      <c r="F5134" s="2423"/>
    </row>
    <row r="5135" s="101" customFormat="1" spans="6:6">
      <c r="F5135" s="2423"/>
    </row>
    <row r="5136" s="101" customFormat="1" spans="6:6">
      <c r="F5136" s="2423"/>
    </row>
    <row r="5137" s="101" customFormat="1" spans="6:6">
      <c r="F5137" s="2423"/>
    </row>
    <row r="5138" s="101" customFormat="1" spans="6:6">
      <c r="F5138" s="2423"/>
    </row>
    <row r="5139" s="101" customFormat="1" spans="6:6">
      <c r="F5139" s="2423"/>
    </row>
    <row r="5140" s="101" customFormat="1" spans="6:6">
      <c r="F5140" s="2423"/>
    </row>
    <row r="5141" s="101" customFormat="1" spans="6:6">
      <c r="F5141" s="2423"/>
    </row>
    <row r="5142" s="101" customFormat="1" spans="6:6">
      <c r="F5142" s="2423"/>
    </row>
    <row r="5143" s="101" customFormat="1" spans="6:6">
      <c r="F5143" s="2423"/>
    </row>
    <row r="5144" s="101" customFormat="1" spans="6:6">
      <c r="F5144" s="2423"/>
    </row>
    <row r="5145" s="101" customFormat="1" spans="6:6">
      <c r="F5145" s="2423"/>
    </row>
    <row r="5146" s="101" customFormat="1" spans="6:6">
      <c r="F5146" s="2423"/>
    </row>
    <row r="5147" s="101" customFormat="1" spans="6:6">
      <c r="F5147" s="2423"/>
    </row>
    <row r="5148" s="101" customFormat="1" spans="6:6">
      <c r="F5148" s="2423"/>
    </row>
    <row r="5149" s="101" customFormat="1" spans="6:6">
      <c r="F5149" s="2423"/>
    </row>
    <row r="5150" s="101" customFormat="1" spans="6:6">
      <c r="F5150" s="2423"/>
    </row>
    <row r="5151" s="101" customFormat="1" spans="6:6">
      <c r="F5151" s="2423"/>
    </row>
    <row r="5152" s="101" customFormat="1" spans="6:6">
      <c r="F5152" s="2423"/>
    </row>
    <row r="5153" s="101" customFormat="1" spans="6:6">
      <c r="F5153" s="2423"/>
    </row>
    <row r="5154" s="101" customFormat="1" spans="6:6">
      <c r="F5154" s="2423"/>
    </row>
    <row r="5155" s="101" customFormat="1" spans="6:6">
      <c r="F5155" s="2423"/>
    </row>
    <row r="5156" s="101" customFormat="1" spans="6:6">
      <c r="F5156" s="2423"/>
    </row>
    <row r="5157" s="101" customFormat="1" spans="6:6">
      <c r="F5157" s="2423"/>
    </row>
    <row r="5158" s="101" customFormat="1" spans="6:6">
      <c r="F5158" s="2423"/>
    </row>
    <row r="5159" s="101" customFormat="1" spans="6:6">
      <c r="F5159" s="2423"/>
    </row>
    <row r="5160" s="101" customFormat="1" spans="6:6">
      <c r="F5160" s="2423"/>
    </row>
    <row r="5161" s="101" customFormat="1" spans="6:6">
      <c r="F5161" s="2423"/>
    </row>
    <row r="5162" s="101" customFormat="1" spans="6:6">
      <c r="F5162" s="2423"/>
    </row>
    <row r="5163" s="101" customFormat="1" spans="6:6">
      <c r="F5163" s="2423"/>
    </row>
    <row r="5164" s="101" customFormat="1" spans="6:6">
      <c r="F5164" s="2423"/>
    </row>
    <row r="5165" s="101" customFormat="1" spans="6:6">
      <c r="F5165" s="2423"/>
    </row>
    <row r="5166" s="101" customFormat="1" spans="6:6">
      <c r="F5166" s="2423"/>
    </row>
    <row r="5167" s="101" customFormat="1" spans="6:6">
      <c r="F5167" s="2423"/>
    </row>
    <row r="5168" s="101" customFormat="1" spans="6:6">
      <c r="F5168" s="2423"/>
    </row>
    <row r="5169" s="101" customFormat="1" spans="6:6">
      <c r="F5169" s="2423"/>
    </row>
    <row r="5170" s="101" customFormat="1" spans="6:6">
      <c r="F5170" s="2423"/>
    </row>
    <row r="5171" s="101" customFormat="1" spans="6:6">
      <c r="F5171" s="2423"/>
    </row>
    <row r="5172" s="101" customFormat="1" spans="6:6">
      <c r="F5172" s="2423"/>
    </row>
    <row r="5173" s="101" customFormat="1" spans="6:6">
      <c r="F5173" s="2423"/>
    </row>
    <row r="5174" s="101" customFormat="1" spans="6:6">
      <c r="F5174" s="2423"/>
    </row>
    <row r="5175" s="101" customFormat="1" spans="6:6">
      <c r="F5175" s="2423"/>
    </row>
    <row r="5176" s="101" customFormat="1" spans="6:6">
      <c r="F5176" s="2423"/>
    </row>
    <row r="5177" s="101" customFormat="1" spans="6:6">
      <c r="F5177" s="2423"/>
    </row>
    <row r="5178" s="101" customFormat="1" spans="6:6">
      <c r="F5178" s="2423"/>
    </row>
    <row r="5179" s="101" customFormat="1" spans="6:6">
      <c r="F5179" s="2423"/>
    </row>
    <row r="5180" s="101" customFormat="1" spans="6:6">
      <c r="F5180" s="2423"/>
    </row>
    <row r="5181" s="101" customFormat="1" spans="6:6">
      <c r="F5181" s="2423"/>
    </row>
    <row r="5182" s="101" customFormat="1" spans="6:6">
      <c r="F5182" s="2423"/>
    </row>
    <row r="5183" s="101" customFormat="1" spans="6:6">
      <c r="F5183" s="2423"/>
    </row>
    <row r="5184" s="101" customFormat="1" spans="6:6">
      <c r="F5184" s="2423"/>
    </row>
    <row r="5185" s="101" customFormat="1" spans="6:6">
      <c r="F5185" s="2423"/>
    </row>
    <row r="5186" s="101" customFormat="1" spans="6:6">
      <c r="F5186" s="2423"/>
    </row>
    <row r="5187" s="101" customFormat="1" spans="6:6">
      <c r="F5187" s="2423"/>
    </row>
    <row r="5188" s="101" customFormat="1" spans="6:6">
      <c r="F5188" s="2423"/>
    </row>
    <row r="5189" s="101" customFormat="1" spans="6:6">
      <c r="F5189" s="2423"/>
    </row>
    <row r="5190" s="101" customFormat="1" spans="6:6">
      <c r="F5190" s="2423"/>
    </row>
    <row r="5191" s="101" customFormat="1" spans="6:6">
      <c r="F5191" s="2423"/>
    </row>
    <row r="5192" s="101" customFormat="1" spans="6:6">
      <c r="F5192" s="2423"/>
    </row>
    <row r="5193" s="101" customFormat="1" spans="6:6">
      <c r="F5193" s="2423"/>
    </row>
    <row r="5194" s="101" customFormat="1" spans="6:6">
      <c r="F5194" s="2423"/>
    </row>
    <row r="5195" s="101" customFormat="1" spans="6:6">
      <c r="F5195" s="2423"/>
    </row>
    <row r="5196" s="101" customFormat="1" spans="6:6">
      <c r="F5196" s="2423"/>
    </row>
    <row r="5197" s="101" customFormat="1" spans="6:6">
      <c r="F5197" s="2423"/>
    </row>
    <row r="5198" s="101" customFormat="1" spans="6:6">
      <c r="F5198" s="2423"/>
    </row>
    <row r="5199" s="101" customFormat="1" spans="6:6">
      <c r="F5199" s="2423"/>
    </row>
    <row r="5200" s="101" customFormat="1" spans="6:6">
      <c r="F5200" s="2423"/>
    </row>
    <row r="5201" s="101" customFormat="1" spans="6:6">
      <c r="F5201" s="2423"/>
    </row>
    <row r="5202" s="101" customFormat="1" spans="6:6">
      <c r="F5202" s="2423"/>
    </row>
    <row r="5203" s="101" customFormat="1" spans="6:6">
      <c r="F5203" s="2423"/>
    </row>
    <row r="5204" s="101" customFormat="1" spans="6:6">
      <c r="F5204" s="2423"/>
    </row>
    <row r="5205" s="101" customFormat="1" spans="6:6">
      <c r="F5205" s="2423"/>
    </row>
    <row r="5206" s="101" customFormat="1" spans="6:6">
      <c r="F5206" s="2423"/>
    </row>
    <row r="5207" s="101" customFormat="1" spans="6:6">
      <c r="F5207" s="2423"/>
    </row>
    <row r="5208" s="101" customFormat="1" spans="6:6">
      <c r="F5208" s="2423"/>
    </row>
    <row r="5209" s="101" customFormat="1" spans="6:6">
      <c r="F5209" s="2423"/>
    </row>
    <row r="5210" s="101" customFormat="1" spans="6:6">
      <c r="F5210" s="2423"/>
    </row>
    <row r="5211" s="101" customFormat="1" spans="6:6">
      <c r="F5211" s="2423"/>
    </row>
    <row r="5212" s="101" customFormat="1" spans="6:6">
      <c r="F5212" s="2423"/>
    </row>
    <row r="5213" s="101" customFormat="1" spans="6:6">
      <c r="F5213" s="2423"/>
    </row>
    <row r="5214" s="101" customFormat="1" spans="6:6">
      <c r="F5214" s="2423"/>
    </row>
    <row r="5215" s="101" customFormat="1" spans="6:6">
      <c r="F5215" s="2423"/>
    </row>
    <row r="5216" s="101" customFormat="1" spans="6:6">
      <c r="F5216" s="2423"/>
    </row>
    <row r="5217" s="101" customFormat="1" spans="6:6">
      <c r="F5217" s="2423"/>
    </row>
    <row r="5218" s="101" customFormat="1" spans="6:6">
      <c r="F5218" s="2423"/>
    </row>
    <row r="5219" s="101" customFormat="1" spans="6:6">
      <c r="F5219" s="2423"/>
    </row>
    <row r="5220" s="101" customFormat="1" spans="6:6">
      <c r="F5220" s="2423"/>
    </row>
    <row r="5221" s="101" customFormat="1" spans="6:6">
      <c r="F5221" s="2423"/>
    </row>
    <row r="5222" s="101" customFormat="1" spans="6:6">
      <c r="F5222" s="2423"/>
    </row>
    <row r="5223" s="101" customFormat="1" spans="6:6">
      <c r="F5223" s="2423"/>
    </row>
    <row r="5224" s="101" customFormat="1" spans="6:6">
      <c r="F5224" s="2423"/>
    </row>
    <row r="5225" s="101" customFormat="1" spans="6:6">
      <c r="F5225" s="2423"/>
    </row>
    <row r="5226" s="101" customFormat="1" spans="6:6">
      <c r="F5226" s="2423"/>
    </row>
    <row r="5227" s="101" customFormat="1" spans="6:6">
      <c r="F5227" s="2423"/>
    </row>
    <row r="5228" s="101" customFormat="1" spans="6:6">
      <c r="F5228" s="2423"/>
    </row>
    <row r="5229" s="101" customFormat="1" spans="6:6">
      <c r="F5229" s="2423"/>
    </row>
    <row r="5230" s="101" customFormat="1" spans="6:6">
      <c r="F5230" s="2423"/>
    </row>
    <row r="5231" s="101" customFormat="1" spans="6:6">
      <c r="F5231" s="2423"/>
    </row>
    <row r="5232" s="101" customFormat="1" spans="6:6">
      <c r="F5232" s="2423"/>
    </row>
    <row r="5233" s="101" customFormat="1" spans="6:6">
      <c r="F5233" s="2423"/>
    </row>
    <row r="5234" s="101" customFormat="1" spans="6:6">
      <c r="F5234" s="2423"/>
    </row>
    <row r="5235" s="101" customFormat="1" spans="6:6">
      <c r="F5235" s="2423"/>
    </row>
    <row r="5236" s="101" customFormat="1" spans="6:6">
      <c r="F5236" s="2423"/>
    </row>
    <row r="5237" s="101" customFormat="1" spans="6:6">
      <c r="F5237" s="2423"/>
    </row>
    <row r="5238" s="101" customFormat="1" spans="6:6">
      <c r="F5238" s="2423"/>
    </row>
    <row r="5239" s="101" customFormat="1" spans="6:6">
      <c r="F5239" s="2423"/>
    </row>
    <row r="5240" s="101" customFormat="1" spans="6:6">
      <c r="F5240" s="2423"/>
    </row>
    <row r="5241" s="101" customFormat="1" spans="6:6">
      <c r="F5241" s="2423"/>
    </row>
    <row r="5242" s="101" customFormat="1" spans="6:6">
      <c r="F5242" s="2423"/>
    </row>
    <row r="5243" s="101" customFormat="1" spans="6:6">
      <c r="F5243" s="2423"/>
    </row>
    <row r="5244" s="101" customFormat="1" spans="6:6">
      <c r="F5244" s="2423"/>
    </row>
    <row r="5245" s="101" customFormat="1" spans="6:6">
      <c r="F5245" s="2423"/>
    </row>
    <row r="5246" s="101" customFormat="1" spans="6:6">
      <c r="F5246" s="2423"/>
    </row>
    <row r="5247" s="101" customFormat="1" spans="6:6">
      <c r="F5247" s="2423"/>
    </row>
    <row r="5248" s="101" customFormat="1" spans="6:6">
      <c r="F5248" s="2423"/>
    </row>
    <row r="5249" s="101" customFormat="1" spans="6:6">
      <c r="F5249" s="2423"/>
    </row>
    <row r="5250" s="101" customFormat="1" spans="6:6">
      <c r="F5250" s="2423"/>
    </row>
    <row r="5251" s="101" customFormat="1" spans="6:6">
      <c r="F5251" s="2423"/>
    </row>
    <row r="5252" s="101" customFormat="1" spans="6:6">
      <c r="F5252" s="2423"/>
    </row>
    <row r="5253" s="101" customFormat="1" spans="6:6">
      <c r="F5253" s="2423"/>
    </row>
    <row r="5254" s="101" customFormat="1" spans="6:6">
      <c r="F5254" s="2423"/>
    </row>
    <row r="5255" s="101" customFormat="1" spans="6:6">
      <c r="F5255" s="2423"/>
    </row>
    <row r="5256" s="101" customFormat="1" spans="6:6">
      <c r="F5256" s="2423"/>
    </row>
    <row r="5257" s="101" customFormat="1" spans="6:6">
      <c r="F5257" s="2423"/>
    </row>
    <row r="5258" s="101" customFormat="1" spans="6:6">
      <c r="F5258" s="2423"/>
    </row>
    <row r="5259" s="101" customFormat="1" spans="6:6">
      <c r="F5259" s="2423"/>
    </row>
    <row r="5260" s="101" customFormat="1" spans="6:6">
      <c r="F5260" s="2423"/>
    </row>
    <row r="5261" s="101" customFormat="1" spans="6:6">
      <c r="F5261" s="2423"/>
    </row>
    <row r="5262" s="101" customFormat="1" spans="6:6">
      <c r="F5262" s="2423"/>
    </row>
    <row r="5263" s="101" customFormat="1" spans="6:6">
      <c r="F5263" s="2423"/>
    </row>
    <row r="5264" s="101" customFormat="1" spans="6:6">
      <c r="F5264" s="2423"/>
    </row>
    <row r="5265" s="101" customFormat="1" spans="6:6">
      <c r="F5265" s="2423"/>
    </row>
    <row r="5266" s="101" customFormat="1" spans="6:6">
      <c r="F5266" s="2423"/>
    </row>
    <row r="5267" s="101" customFormat="1" spans="6:6">
      <c r="F5267" s="2423"/>
    </row>
    <row r="5268" s="101" customFormat="1" spans="6:6">
      <c r="F5268" s="2423"/>
    </row>
    <row r="5269" s="101" customFormat="1" spans="6:6">
      <c r="F5269" s="2423"/>
    </row>
    <row r="5270" s="101" customFormat="1" spans="6:6">
      <c r="F5270" s="2423"/>
    </row>
    <row r="5271" s="101" customFormat="1" spans="6:6">
      <c r="F5271" s="2423"/>
    </row>
    <row r="5272" s="101" customFormat="1" spans="6:6">
      <c r="F5272" s="2423"/>
    </row>
    <row r="5273" s="101" customFormat="1" spans="6:6">
      <c r="F5273" s="2423"/>
    </row>
    <row r="5274" s="101" customFormat="1" spans="6:6">
      <c r="F5274" s="2423"/>
    </row>
    <row r="5275" s="101" customFormat="1" spans="6:6">
      <c r="F5275" s="2423"/>
    </row>
    <row r="5276" s="101" customFormat="1" spans="6:6">
      <c r="F5276" s="2423"/>
    </row>
    <row r="5277" s="101" customFormat="1" spans="6:6">
      <c r="F5277" s="2423"/>
    </row>
    <row r="5278" s="101" customFormat="1" spans="6:6">
      <c r="F5278" s="2423"/>
    </row>
    <row r="5279" s="101" customFormat="1" spans="6:6">
      <c r="F5279" s="2423"/>
    </row>
    <row r="5280" s="101" customFormat="1" spans="6:6">
      <c r="F5280" s="2423"/>
    </row>
    <row r="5281" s="101" customFormat="1" spans="6:6">
      <c r="F5281" s="2423"/>
    </row>
    <row r="5282" s="101" customFormat="1" spans="6:6">
      <c r="F5282" s="2423"/>
    </row>
    <row r="5283" s="101" customFormat="1" spans="6:6">
      <c r="F5283" s="2423"/>
    </row>
    <row r="5284" s="101" customFormat="1" spans="6:6">
      <c r="F5284" s="2423"/>
    </row>
    <row r="5285" s="101" customFormat="1" spans="6:6">
      <c r="F5285" s="2423"/>
    </row>
    <row r="5286" s="101" customFormat="1" spans="6:6">
      <c r="F5286" s="2423"/>
    </row>
    <row r="5287" s="101" customFormat="1" spans="6:6">
      <c r="F5287" s="2423"/>
    </row>
    <row r="5288" s="101" customFormat="1" spans="6:6">
      <c r="F5288" s="2423"/>
    </row>
    <row r="5289" s="101" customFormat="1" spans="6:6">
      <c r="F5289" s="2423"/>
    </row>
    <row r="5290" s="101" customFormat="1" spans="6:6">
      <c r="F5290" s="2423"/>
    </row>
    <row r="5291" s="101" customFormat="1" spans="6:6">
      <c r="F5291" s="2423"/>
    </row>
    <row r="5292" s="101" customFormat="1" spans="6:6">
      <c r="F5292" s="2423"/>
    </row>
    <row r="5293" s="101" customFormat="1" spans="6:6">
      <c r="F5293" s="2423"/>
    </row>
    <row r="5294" s="101" customFormat="1" spans="6:6">
      <c r="F5294" s="2423"/>
    </row>
    <row r="5295" s="101" customFormat="1" spans="6:6">
      <c r="F5295" s="2423"/>
    </row>
    <row r="5296" s="101" customFormat="1" spans="6:6">
      <c r="F5296" s="2423"/>
    </row>
    <row r="5297" s="101" customFormat="1" spans="6:6">
      <c r="F5297" s="2423"/>
    </row>
    <row r="5298" s="101" customFormat="1" spans="6:6">
      <c r="F5298" s="2423"/>
    </row>
    <row r="5299" s="101" customFormat="1" spans="6:6">
      <c r="F5299" s="2423"/>
    </row>
    <row r="5300" s="101" customFormat="1" spans="6:6">
      <c r="F5300" s="2423"/>
    </row>
    <row r="5301" s="101" customFormat="1" spans="6:6">
      <c r="F5301" s="2423"/>
    </row>
    <row r="5302" s="101" customFormat="1" spans="6:6">
      <c r="F5302" s="2423"/>
    </row>
    <row r="5303" s="101" customFormat="1" spans="6:6">
      <c r="F5303" s="2423"/>
    </row>
    <row r="5304" s="101" customFormat="1" spans="6:6">
      <c r="F5304" s="2423"/>
    </row>
    <row r="5305" s="101" customFormat="1" spans="6:6">
      <c r="F5305" s="2423"/>
    </row>
    <row r="5306" s="101" customFormat="1" spans="6:6">
      <c r="F5306" s="2423"/>
    </row>
    <row r="5307" s="101" customFormat="1" spans="6:6">
      <c r="F5307" s="2423"/>
    </row>
    <row r="5308" s="101" customFormat="1" spans="6:6">
      <c r="F5308" s="2423"/>
    </row>
    <row r="5309" s="101" customFormat="1" spans="6:6">
      <c r="F5309" s="2423"/>
    </row>
    <row r="5310" s="101" customFormat="1" spans="6:6">
      <c r="F5310" s="2423"/>
    </row>
    <row r="5311" s="101" customFormat="1" spans="6:6">
      <c r="F5311" s="2423"/>
    </row>
    <row r="5312" s="101" customFormat="1" spans="6:6">
      <c r="F5312" s="2423"/>
    </row>
    <row r="5313" s="101" customFormat="1" spans="6:6">
      <c r="F5313" s="2423"/>
    </row>
    <row r="5314" s="101" customFormat="1" spans="6:6">
      <c r="F5314" s="2423"/>
    </row>
    <row r="5315" s="101" customFormat="1" spans="6:6">
      <c r="F5315" s="2423"/>
    </row>
    <row r="5316" s="101" customFormat="1" spans="6:6">
      <c r="F5316" s="2423"/>
    </row>
    <row r="5317" s="101" customFormat="1" spans="6:6">
      <c r="F5317" s="2423"/>
    </row>
    <row r="5318" s="101" customFormat="1" spans="6:6">
      <c r="F5318" s="2423"/>
    </row>
    <row r="5319" s="101" customFormat="1" spans="6:6">
      <c r="F5319" s="2423"/>
    </row>
    <row r="5320" s="101" customFormat="1" spans="6:6">
      <c r="F5320" s="2423"/>
    </row>
    <row r="5321" s="101" customFormat="1" spans="6:6">
      <c r="F5321" s="2423"/>
    </row>
    <row r="5322" s="101" customFormat="1" spans="6:6">
      <c r="F5322" s="2423"/>
    </row>
    <row r="5323" s="101" customFormat="1" spans="6:6">
      <c r="F5323" s="2423"/>
    </row>
    <row r="5324" s="101" customFormat="1" spans="6:6">
      <c r="F5324" s="2423"/>
    </row>
    <row r="5325" s="101" customFormat="1" spans="6:6">
      <c r="F5325" s="2423"/>
    </row>
    <row r="5326" s="101" customFormat="1" spans="6:6">
      <c r="F5326" s="2423"/>
    </row>
    <row r="5327" s="101" customFormat="1" spans="6:6">
      <c r="F5327" s="2423"/>
    </row>
    <row r="5328" s="101" customFormat="1" spans="6:6">
      <c r="F5328" s="2423"/>
    </row>
    <row r="5329" s="101" customFormat="1" spans="6:6">
      <c r="F5329" s="2423"/>
    </row>
    <row r="5330" s="101" customFormat="1" spans="6:6">
      <c r="F5330" s="2423"/>
    </row>
    <row r="5331" s="101" customFormat="1" spans="6:6">
      <c r="F5331" s="2423"/>
    </row>
    <row r="5332" s="101" customFormat="1" spans="6:6">
      <c r="F5332" s="2423"/>
    </row>
    <row r="5333" s="101" customFormat="1" spans="6:6">
      <c r="F5333" s="2423"/>
    </row>
    <row r="5334" s="101" customFormat="1" spans="6:6">
      <c r="F5334" s="2423"/>
    </row>
    <row r="5335" s="101" customFormat="1" spans="6:6">
      <c r="F5335" s="2423"/>
    </row>
    <row r="5336" s="101" customFormat="1" spans="6:6">
      <c r="F5336" s="2423"/>
    </row>
    <row r="5337" s="101" customFormat="1" spans="6:6">
      <c r="F5337" s="2423"/>
    </row>
    <row r="5338" s="101" customFormat="1" spans="6:6">
      <c r="F5338" s="2423"/>
    </row>
    <row r="5339" s="101" customFormat="1" spans="6:6">
      <c r="F5339" s="2423"/>
    </row>
    <row r="5340" s="101" customFormat="1" spans="6:6">
      <c r="F5340" s="2423"/>
    </row>
    <row r="5341" s="101" customFormat="1" spans="6:6">
      <c r="F5341" s="2423"/>
    </row>
    <row r="5342" s="101" customFormat="1" spans="6:6">
      <c r="F5342" s="2423"/>
    </row>
    <row r="5343" s="101" customFormat="1" spans="6:6">
      <c r="F5343" s="2423"/>
    </row>
    <row r="5344" s="101" customFormat="1" spans="6:6">
      <c r="F5344" s="2423"/>
    </row>
    <row r="5345" s="101" customFormat="1" spans="6:6">
      <c r="F5345" s="2423"/>
    </row>
    <row r="5346" s="101" customFormat="1" spans="6:6">
      <c r="F5346" s="2423"/>
    </row>
    <row r="5347" s="101" customFormat="1" spans="6:6">
      <c r="F5347" s="2423"/>
    </row>
    <row r="5348" s="101" customFormat="1" spans="6:6">
      <c r="F5348" s="2423"/>
    </row>
    <row r="5349" s="101" customFormat="1" spans="6:6">
      <c r="F5349" s="2423"/>
    </row>
    <row r="5350" s="101" customFormat="1" spans="6:6">
      <c r="F5350" s="2423"/>
    </row>
    <row r="5351" s="101" customFormat="1" spans="6:6">
      <c r="F5351" s="2423"/>
    </row>
    <row r="5352" s="101" customFormat="1" spans="6:6">
      <c r="F5352" s="2423"/>
    </row>
    <row r="5353" s="101" customFormat="1" spans="6:6">
      <c r="F5353" s="2423"/>
    </row>
    <row r="5354" s="101" customFormat="1" spans="6:6">
      <c r="F5354" s="2423"/>
    </row>
    <row r="5355" s="101" customFormat="1" spans="6:6">
      <c r="F5355" s="2423"/>
    </row>
    <row r="5356" s="101" customFormat="1" spans="6:6">
      <c r="F5356" s="2423"/>
    </row>
    <row r="5357" s="101" customFormat="1" spans="6:6">
      <c r="F5357" s="2423"/>
    </row>
    <row r="5358" s="101" customFormat="1" spans="6:6">
      <c r="F5358" s="2423"/>
    </row>
    <row r="5359" s="101" customFormat="1" spans="6:6">
      <c r="F5359" s="2423"/>
    </row>
    <row r="5360" s="101" customFormat="1" spans="6:6">
      <c r="F5360" s="2423"/>
    </row>
    <row r="5361" s="101" customFormat="1" spans="6:6">
      <c r="F5361" s="2423"/>
    </row>
    <row r="5362" s="101" customFormat="1" spans="6:6">
      <c r="F5362" s="2423"/>
    </row>
    <row r="5363" s="101" customFormat="1" spans="6:6">
      <c r="F5363" s="2423"/>
    </row>
    <row r="5364" s="101" customFormat="1" spans="6:6">
      <c r="F5364" s="2423"/>
    </row>
    <row r="5365" s="101" customFormat="1" spans="6:6">
      <c r="F5365" s="2423"/>
    </row>
    <row r="5366" s="101" customFormat="1" spans="6:6">
      <c r="F5366" s="2423"/>
    </row>
    <row r="5367" s="101" customFormat="1" spans="6:6">
      <c r="F5367" s="2423"/>
    </row>
    <row r="5368" s="101" customFormat="1" spans="6:6">
      <c r="F5368" s="2423"/>
    </row>
    <row r="5369" s="101" customFormat="1" spans="6:6">
      <c r="F5369" s="2423"/>
    </row>
    <row r="5370" s="101" customFormat="1" spans="6:6">
      <c r="F5370" s="2423"/>
    </row>
    <row r="5371" s="101" customFormat="1" spans="6:6">
      <c r="F5371" s="2423"/>
    </row>
    <row r="5372" s="101" customFormat="1" spans="6:6">
      <c r="F5372" s="2423"/>
    </row>
    <row r="5373" s="101" customFormat="1" spans="6:6">
      <c r="F5373" s="2423"/>
    </row>
    <row r="5374" s="101" customFormat="1" spans="6:6">
      <c r="F5374" s="2423"/>
    </row>
    <row r="5375" s="101" customFormat="1" spans="6:6">
      <c r="F5375" s="2423"/>
    </row>
    <row r="5376" s="101" customFormat="1" spans="6:6">
      <c r="F5376" s="2423"/>
    </row>
    <row r="5377" s="101" customFormat="1" spans="6:6">
      <c r="F5377" s="2423"/>
    </row>
    <row r="5378" s="101" customFormat="1" spans="6:6">
      <c r="F5378" s="2423"/>
    </row>
    <row r="5379" s="101" customFormat="1" spans="6:6">
      <c r="F5379" s="2423"/>
    </row>
    <row r="5380" s="101" customFormat="1" spans="6:6">
      <c r="F5380" s="2423"/>
    </row>
    <row r="5381" s="101" customFormat="1" spans="6:6">
      <c r="F5381" s="2423"/>
    </row>
    <row r="5382" s="101" customFormat="1" spans="6:6">
      <c r="F5382" s="2423"/>
    </row>
    <row r="5383" s="101" customFormat="1" spans="6:6">
      <c r="F5383" s="2423"/>
    </row>
    <row r="5384" s="101" customFormat="1" spans="6:6">
      <c r="F5384" s="2423"/>
    </row>
    <row r="5385" s="101" customFormat="1" spans="6:6">
      <c r="F5385" s="2423"/>
    </row>
    <row r="5386" s="101" customFormat="1" spans="6:6">
      <c r="F5386" s="2423"/>
    </row>
    <row r="5387" s="101" customFormat="1" spans="6:6">
      <c r="F5387" s="2423"/>
    </row>
    <row r="5388" s="101" customFormat="1" spans="6:6">
      <c r="F5388" s="2423"/>
    </row>
    <row r="5389" s="101" customFormat="1" spans="6:6">
      <c r="F5389" s="2423"/>
    </row>
    <row r="5390" s="101" customFormat="1" spans="6:6">
      <c r="F5390" s="2423"/>
    </row>
    <row r="5391" s="101" customFormat="1" spans="6:6">
      <c r="F5391" s="2423"/>
    </row>
    <row r="5392" s="101" customFormat="1" spans="6:6">
      <c r="F5392" s="2423"/>
    </row>
    <row r="5393" s="101" customFormat="1" spans="6:6">
      <c r="F5393" s="2423"/>
    </row>
    <row r="5394" s="101" customFormat="1" spans="6:6">
      <c r="F5394" s="2423"/>
    </row>
    <row r="5395" s="101" customFormat="1" spans="6:6">
      <c r="F5395" s="2423"/>
    </row>
    <row r="5396" s="101" customFormat="1" spans="6:6">
      <c r="F5396" s="2423"/>
    </row>
    <row r="5397" s="101" customFormat="1" spans="6:6">
      <c r="F5397" s="2423"/>
    </row>
    <row r="5398" s="101" customFormat="1" spans="6:6">
      <c r="F5398" s="2423"/>
    </row>
    <row r="5399" s="101" customFormat="1" spans="6:6">
      <c r="F5399" s="2423"/>
    </row>
    <row r="5400" s="101" customFormat="1" spans="6:6">
      <c r="F5400" s="2423"/>
    </row>
    <row r="5401" s="101" customFormat="1" spans="6:6">
      <c r="F5401" s="2423"/>
    </row>
    <row r="5402" s="101" customFormat="1" spans="6:6">
      <c r="F5402" s="2423"/>
    </row>
    <row r="5403" s="101" customFormat="1" spans="6:6">
      <c r="F5403" s="2423"/>
    </row>
    <row r="5404" s="101" customFormat="1" spans="6:6">
      <c r="F5404" s="2423"/>
    </row>
    <row r="5405" s="101" customFormat="1" spans="6:6">
      <c r="F5405" s="2423"/>
    </row>
    <row r="5406" s="101" customFormat="1" spans="6:6">
      <c r="F5406" s="2423"/>
    </row>
    <row r="5407" s="101" customFormat="1" spans="6:6">
      <c r="F5407" s="2423"/>
    </row>
    <row r="5408" s="101" customFormat="1" spans="6:6">
      <c r="F5408" s="2423"/>
    </row>
    <row r="5409" s="101" customFormat="1" spans="6:6">
      <c r="F5409" s="2423"/>
    </row>
    <row r="5410" s="101" customFormat="1" spans="6:6">
      <c r="F5410" s="2423"/>
    </row>
    <row r="5411" s="101" customFormat="1" spans="6:6">
      <c r="F5411" s="2423"/>
    </row>
    <row r="5412" s="101" customFormat="1" spans="6:6">
      <c r="F5412" s="2423"/>
    </row>
    <row r="5413" s="101" customFormat="1" spans="6:6">
      <c r="F5413" s="2423"/>
    </row>
    <row r="5414" s="101" customFormat="1" spans="6:6">
      <c r="F5414" s="2423"/>
    </row>
    <row r="5415" s="101" customFormat="1" spans="6:6">
      <c r="F5415" s="2423"/>
    </row>
    <row r="5416" s="101" customFormat="1" spans="6:6">
      <c r="F5416" s="2423"/>
    </row>
    <row r="5417" s="101" customFormat="1" spans="6:6">
      <c r="F5417" s="2423"/>
    </row>
    <row r="5418" s="101" customFormat="1" spans="6:6">
      <c r="F5418" s="2423"/>
    </row>
    <row r="5419" s="101" customFormat="1" spans="6:6">
      <c r="F5419" s="2423"/>
    </row>
    <row r="5420" s="101" customFormat="1" spans="6:6">
      <c r="F5420" s="2423"/>
    </row>
    <row r="5421" s="101" customFormat="1" spans="6:6">
      <c r="F5421" s="2423"/>
    </row>
    <row r="5422" s="101" customFormat="1" spans="6:6">
      <c r="F5422" s="2423"/>
    </row>
    <row r="5423" s="101" customFormat="1" spans="6:6">
      <c r="F5423" s="2423"/>
    </row>
    <row r="5424" s="101" customFormat="1" spans="6:6">
      <c r="F5424" s="2423"/>
    </row>
    <row r="5425" s="101" customFormat="1" spans="6:6">
      <c r="F5425" s="2423"/>
    </row>
    <row r="5426" s="101" customFormat="1" spans="6:6">
      <c r="F5426" s="2423"/>
    </row>
    <row r="5427" s="101" customFormat="1" spans="6:6">
      <c r="F5427" s="2423"/>
    </row>
    <row r="5428" s="101" customFormat="1" spans="6:6">
      <c r="F5428" s="2423"/>
    </row>
    <row r="5429" s="101" customFormat="1" spans="6:6">
      <c r="F5429" s="2423"/>
    </row>
    <row r="5430" s="101" customFormat="1" spans="6:6">
      <c r="F5430" s="2423"/>
    </row>
    <row r="5431" s="101" customFormat="1" spans="6:6">
      <c r="F5431" s="2423"/>
    </row>
    <row r="5432" s="101" customFormat="1" spans="6:6">
      <c r="F5432" s="2423"/>
    </row>
    <row r="5433" s="101" customFormat="1" spans="6:6">
      <c r="F5433" s="2423"/>
    </row>
    <row r="5434" s="101" customFormat="1" spans="6:6">
      <c r="F5434" s="2423"/>
    </row>
    <row r="5435" s="101" customFormat="1" spans="6:6">
      <c r="F5435" s="2423"/>
    </row>
    <row r="5436" s="101" customFormat="1" spans="6:6">
      <c r="F5436" s="2423"/>
    </row>
    <row r="5437" s="101" customFormat="1" spans="6:6">
      <c r="F5437" s="2423"/>
    </row>
    <row r="5438" s="101" customFormat="1" spans="6:6">
      <c r="F5438" s="2423"/>
    </row>
    <row r="5439" s="101" customFormat="1" spans="6:6">
      <c r="F5439" s="2423"/>
    </row>
    <row r="5440" s="101" customFormat="1" spans="6:6">
      <c r="F5440" s="2423"/>
    </row>
    <row r="5441" s="101" customFormat="1" spans="6:6">
      <c r="F5441" s="2423"/>
    </row>
    <row r="5442" s="101" customFormat="1" spans="6:6">
      <c r="F5442" s="2423"/>
    </row>
    <row r="5443" s="101" customFormat="1" spans="6:6">
      <c r="F5443" s="2423"/>
    </row>
    <row r="5444" s="101" customFormat="1" spans="6:6">
      <c r="F5444" s="2423"/>
    </row>
    <row r="5445" s="101" customFormat="1" spans="6:6">
      <c r="F5445" s="2423"/>
    </row>
    <row r="5446" s="101" customFormat="1" spans="6:6">
      <c r="F5446" s="2423"/>
    </row>
    <row r="5447" s="101" customFormat="1" spans="6:6">
      <c r="F5447" s="2423"/>
    </row>
    <row r="5448" s="101" customFormat="1" spans="6:6">
      <c r="F5448" s="2423"/>
    </row>
    <row r="5449" s="101" customFormat="1" spans="6:6">
      <c r="F5449" s="2423"/>
    </row>
    <row r="5450" s="101" customFormat="1" spans="6:6">
      <c r="F5450" s="2423"/>
    </row>
    <row r="5451" s="101" customFormat="1" spans="6:6">
      <c r="F5451" s="2423"/>
    </row>
    <row r="5452" s="101" customFormat="1" spans="6:6">
      <c r="F5452" s="2423"/>
    </row>
    <row r="5453" s="101" customFormat="1" spans="6:6">
      <c r="F5453" s="2423"/>
    </row>
    <row r="5454" s="101" customFormat="1" spans="6:6">
      <c r="F5454" s="2423"/>
    </row>
    <row r="5455" s="101" customFormat="1" spans="6:6">
      <c r="F5455" s="2423"/>
    </row>
    <row r="5456" s="101" customFormat="1" spans="6:6">
      <c r="F5456" s="2423"/>
    </row>
    <row r="5457" s="101" customFormat="1" spans="6:6">
      <c r="F5457" s="2423"/>
    </row>
    <row r="5458" s="101" customFormat="1" spans="6:6">
      <c r="F5458" s="2423"/>
    </row>
    <row r="5459" s="101" customFormat="1" spans="6:6">
      <c r="F5459" s="2423"/>
    </row>
    <row r="5460" s="101" customFormat="1" spans="6:6">
      <c r="F5460" s="2423"/>
    </row>
    <row r="5461" s="101" customFormat="1" spans="6:6">
      <c r="F5461" s="2423"/>
    </row>
    <row r="5462" s="101" customFormat="1" spans="6:6">
      <c r="F5462" s="2423"/>
    </row>
    <row r="5463" s="101" customFormat="1" spans="6:6">
      <c r="F5463" s="2423"/>
    </row>
    <row r="5464" s="101" customFormat="1" spans="6:6">
      <c r="F5464" s="2423"/>
    </row>
    <row r="5465" s="101" customFormat="1" spans="6:6">
      <c r="F5465" s="2423"/>
    </row>
    <row r="5466" s="101" customFormat="1" spans="6:6">
      <c r="F5466" s="2423"/>
    </row>
    <row r="5467" s="101" customFormat="1" spans="6:6">
      <c r="F5467" s="2423"/>
    </row>
    <row r="5468" s="101" customFormat="1" spans="6:6">
      <c r="F5468" s="2423"/>
    </row>
    <row r="5469" s="101" customFormat="1" spans="6:6">
      <c r="F5469" s="2423"/>
    </row>
    <row r="5470" s="101" customFormat="1" spans="6:6">
      <c r="F5470" s="2423"/>
    </row>
    <row r="5471" s="101" customFormat="1" spans="6:6">
      <c r="F5471" s="2423"/>
    </row>
    <row r="5472" s="101" customFormat="1" spans="6:6">
      <c r="F5472" s="2423"/>
    </row>
    <row r="5473" s="101" customFormat="1" spans="6:6">
      <c r="F5473" s="2423"/>
    </row>
    <row r="5474" s="101" customFormat="1" spans="6:6">
      <c r="F5474" s="2423"/>
    </row>
    <row r="5475" s="101" customFormat="1" spans="6:6">
      <c r="F5475" s="2423"/>
    </row>
    <row r="5476" s="101" customFormat="1" spans="6:6">
      <c r="F5476" s="2423"/>
    </row>
    <row r="5477" s="101" customFormat="1" spans="6:6">
      <c r="F5477" s="2423"/>
    </row>
    <row r="5478" s="101" customFormat="1" spans="6:6">
      <c r="F5478" s="2423"/>
    </row>
    <row r="5479" s="101" customFormat="1" spans="6:6">
      <c r="F5479" s="2423"/>
    </row>
    <row r="5480" s="101" customFormat="1" spans="6:6">
      <c r="F5480" s="2423"/>
    </row>
    <row r="5481" s="101" customFormat="1" spans="6:6">
      <c r="F5481" s="2423"/>
    </row>
    <row r="5482" s="101" customFormat="1" spans="6:6">
      <c r="F5482" s="2423"/>
    </row>
    <row r="5483" s="101" customFormat="1" spans="6:6">
      <c r="F5483" s="2423"/>
    </row>
    <row r="5484" s="101" customFormat="1" spans="6:6">
      <c r="F5484" s="2423"/>
    </row>
    <row r="5485" s="101" customFormat="1" spans="6:6">
      <c r="F5485" s="2423"/>
    </row>
    <row r="5486" s="101" customFormat="1" spans="6:6">
      <c r="F5486" s="2423"/>
    </row>
    <row r="5487" s="101" customFormat="1" spans="6:6">
      <c r="F5487" s="2423"/>
    </row>
    <row r="5488" s="101" customFormat="1" spans="6:6">
      <c r="F5488" s="2423"/>
    </row>
    <row r="5489" s="101" customFormat="1" spans="6:6">
      <c r="F5489" s="2423"/>
    </row>
    <row r="5490" s="101" customFormat="1" spans="6:6">
      <c r="F5490" s="2423"/>
    </row>
    <row r="5491" s="101" customFormat="1" spans="6:6">
      <c r="F5491" s="2423"/>
    </row>
    <row r="5492" s="101" customFormat="1" spans="6:6">
      <c r="F5492" s="2423"/>
    </row>
    <row r="5493" s="101" customFormat="1" spans="6:6">
      <c r="F5493" s="2423"/>
    </row>
    <row r="5494" s="101" customFormat="1" spans="6:6">
      <c r="F5494" s="2423"/>
    </row>
    <row r="5495" s="101" customFormat="1" spans="6:6">
      <c r="F5495" s="2423"/>
    </row>
    <row r="5496" s="101" customFormat="1" spans="6:6">
      <c r="F5496" s="2423"/>
    </row>
    <row r="5497" s="101" customFormat="1" spans="6:6">
      <c r="F5497" s="2423"/>
    </row>
    <row r="5498" s="101" customFormat="1" spans="6:6">
      <c r="F5498" s="2423"/>
    </row>
    <row r="5499" s="101" customFormat="1" spans="6:6">
      <c r="F5499" s="2423"/>
    </row>
    <row r="5500" s="101" customFormat="1" spans="6:6">
      <c r="F5500" s="2423"/>
    </row>
    <row r="5501" s="101" customFormat="1" spans="6:6">
      <c r="F5501" s="2423"/>
    </row>
    <row r="5502" s="101" customFormat="1" spans="6:6">
      <c r="F5502" s="2423"/>
    </row>
    <row r="5503" s="101" customFormat="1" spans="6:6">
      <c r="F5503" s="2423"/>
    </row>
    <row r="5504" s="101" customFormat="1" spans="6:6">
      <c r="F5504" s="2423"/>
    </row>
    <row r="5505" s="101" customFormat="1" spans="6:6">
      <c r="F5505" s="2423"/>
    </row>
    <row r="5506" s="101" customFormat="1" spans="6:6">
      <c r="F5506" s="2423"/>
    </row>
    <row r="5507" s="101" customFormat="1" spans="6:6">
      <c r="F5507" s="2423"/>
    </row>
    <row r="5508" s="101" customFormat="1" spans="6:6">
      <c r="F5508" s="2423"/>
    </row>
    <row r="5509" s="101" customFormat="1" spans="6:6">
      <c r="F5509" s="2423"/>
    </row>
    <row r="5510" s="101" customFormat="1" spans="6:6">
      <c r="F5510" s="2423"/>
    </row>
    <row r="5511" s="101" customFormat="1" spans="6:6">
      <c r="F5511" s="2423"/>
    </row>
    <row r="5512" s="101" customFormat="1" spans="6:6">
      <c r="F5512" s="2423"/>
    </row>
    <row r="5513" s="101" customFormat="1" spans="6:6">
      <c r="F5513" s="2423"/>
    </row>
    <row r="5514" s="101" customFormat="1" spans="6:6">
      <c r="F5514" s="2423"/>
    </row>
    <row r="5515" s="101" customFormat="1" spans="6:6">
      <c r="F5515" s="2423"/>
    </row>
    <row r="5516" s="101" customFormat="1" spans="6:6">
      <c r="F5516" s="2423"/>
    </row>
    <row r="5517" s="101" customFormat="1" spans="6:6">
      <c r="F5517" s="2423"/>
    </row>
    <row r="5518" s="101" customFormat="1" spans="6:6">
      <c r="F5518" s="2423"/>
    </row>
    <row r="5519" s="101" customFormat="1" spans="6:6">
      <c r="F5519" s="2423"/>
    </row>
    <row r="5520" s="101" customFormat="1" spans="6:6">
      <c r="F5520" s="2423"/>
    </row>
    <row r="5521" s="101" customFormat="1" spans="6:6">
      <c r="F5521" s="2423"/>
    </row>
    <row r="5522" s="101" customFormat="1" spans="6:6">
      <c r="F5522" s="2423"/>
    </row>
    <row r="5523" s="101" customFormat="1" spans="6:6">
      <c r="F5523" s="2423"/>
    </row>
    <row r="5524" s="101" customFormat="1" spans="6:6">
      <c r="F5524" s="2423"/>
    </row>
    <row r="5525" s="101" customFormat="1" spans="6:6">
      <c r="F5525" s="2423"/>
    </row>
    <row r="5526" s="101" customFormat="1" spans="6:6">
      <c r="F5526" s="2423"/>
    </row>
    <row r="5527" s="101" customFormat="1" spans="6:6">
      <c r="F5527" s="2423"/>
    </row>
    <row r="5528" s="101" customFormat="1" spans="6:6">
      <c r="F5528" s="2423"/>
    </row>
    <row r="5529" s="101" customFormat="1" spans="6:6">
      <c r="F5529" s="2423"/>
    </row>
    <row r="5530" s="101" customFormat="1" spans="6:6">
      <c r="F5530" s="2423"/>
    </row>
    <row r="5531" s="101" customFormat="1" spans="6:6">
      <c r="F5531" s="2423"/>
    </row>
    <row r="5532" s="101" customFormat="1" spans="6:6">
      <c r="F5532" s="2423"/>
    </row>
    <row r="5533" s="101" customFormat="1" spans="6:6">
      <c r="F5533" s="2423"/>
    </row>
    <row r="5534" s="101" customFormat="1" spans="6:6">
      <c r="F5534" s="2423"/>
    </row>
    <row r="5535" s="101" customFormat="1" spans="6:6">
      <c r="F5535" s="2423"/>
    </row>
    <row r="5536" s="101" customFormat="1" spans="6:6">
      <c r="F5536" s="2423"/>
    </row>
    <row r="5537" s="101" customFormat="1" spans="6:6">
      <c r="F5537" s="2423"/>
    </row>
    <row r="5538" s="101" customFormat="1" spans="6:6">
      <c r="F5538" s="2423"/>
    </row>
    <row r="5539" s="101" customFormat="1" spans="6:6">
      <c r="F5539" s="2423"/>
    </row>
    <row r="5540" s="101" customFormat="1" spans="6:6">
      <c r="F5540" s="2423"/>
    </row>
    <row r="5541" s="101" customFormat="1" spans="6:6">
      <c r="F5541" s="2423"/>
    </row>
    <row r="5542" s="101" customFormat="1" spans="6:6">
      <c r="F5542" s="2423"/>
    </row>
    <row r="5543" s="101" customFormat="1" spans="6:6">
      <c r="F5543" s="2423"/>
    </row>
    <row r="5544" s="101" customFormat="1" spans="6:6">
      <c r="F5544" s="2423"/>
    </row>
    <row r="5545" s="101" customFormat="1" spans="6:6">
      <c r="F5545" s="2423"/>
    </row>
    <row r="5546" s="101" customFormat="1" spans="6:6">
      <c r="F5546" s="2423"/>
    </row>
    <row r="5547" s="101" customFormat="1" spans="6:6">
      <c r="F5547" s="2423"/>
    </row>
    <row r="5548" s="101" customFormat="1" spans="6:6">
      <c r="F5548" s="2423"/>
    </row>
    <row r="5549" s="101" customFormat="1" spans="6:6">
      <c r="F5549" s="2423"/>
    </row>
    <row r="5550" s="101" customFormat="1" spans="6:6">
      <c r="F5550" s="2423"/>
    </row>
    <row r="5551" s="101" customFormat="1" spans="6:6">
      <c r="F5551" s="2423"/>
    </row>
    <row r="5552" s="101" customFormat="1" spans="6:6">
      <c r="F5552" s="2423"/>
    </row>
    <row r="5553" s="101" customFormat="1" spans="6:6">
      <c r="F5553" s="2423"/>
    </row>
    <row r="5554" s="101" customFormat="1" spans="6:6">
      <c r="F5554" s="2423"/>
    </row>
    <row r="5555" s="101" customFormat="1" spans="6:6">
      <c r="F5555" s="2423"/>
    </row>
    <row r="5556" s="101" customFormat="1" spans="6:6">
      <c r="F5556" s="2423"/>
    </row>
    <row r="5557" s="101" customFormat="1" spans="6:6">
      <c r="F5557" s="2423"/>
    </row>
    <row r="5558" s="101" customFormat="1" spans="6:6">
      <c r="F5558" s="2423"/>
    </row>
    <row r="5559" s="101" customFormat="1" spans="6:6">
      <c r="F5559" s="2423"/>
    </row>
    <row r="5560" s="101" customFormat="1" spans="6:6">
      <c r="F5560" s="2423"/>
    </row>
    <row r="5561" s="101" customFormat="1" spans="6:6">
      <c r="F5561" s="2423"/>
    </row>
    <row r="5562" s="101" customFormat="1" spans="6:6">
      <c r="F5562" s="2423"/>
    </row>
    <row r="5563" s="101" customFormat="1" spans="6:6">
      <c r="F5563" s="2423"/>
    </row>
    <row r="5564" s="101" customFormat="1" spans="6:6">
      <c r="F5564" s="2423"/>
    </row>
    <row r="5565" s="101" customFormat="1" spans="6:6">
      <c r="F5565" s="2423"/>
    </row>
    <row r="5566" s="101" customFormat="1" spans="6:6">
      <c r="F5566" s="2423"/>
    </row>
    <row r="5567" s="101" customFormat="1" spans="6:6">
      <c r="F5567" s="2423"/>
    </row>
    <row r="5568" s="101" customFormat="1" spans="6:6">
      <c r="F5568" s="2423"/>
    </row>
    <row r="5569" s="101" customFormat="1" spans="6:6">
      <c r="F5569" s="2423"/>
    </row>
    <row r="5570" s="101" customFormat="1" spans="6:6">
      <c r="F5570" s="2423"/>
    </row>
    <row r="5571" s="101" customFormat="1" spans="6:6">
      <c r="F5571" s="2423"/>
    </row>
    <row r="5572" s="101" customFormat="1" spans="6:6">
      <c r="F5572" s="2423"/>
    </row>
    <row r="5573" s="101" customFormat="1" spans="6:6">
      <c r="F5573" s="2423"/>
    </row>
    <row r="5574" s="101" customFormat="1" spans="6:6">
      <c r="F5574" s="2423"/>
    </row>
    <row r="5575" s="101" customFormat="1" spans="6:6">
      <c r="F5575" s="2423"/>
    </row>
    <row r="5576" s="101" customFormat="1" spans="6:6">
      <c r="F5576" s="2423"/>
    </row>
    <row r="5577" s="101" customFormat="1" spans="6:6">
      <c r="F5577" s="2423"/>
    </row>
    <row r="5578" s="101" customFormat="1" spans="6:6">
      <c r="F5578" s="2423"/>
    </row>
    <row r="5579" s="101" customFormat="1" spans="6:6">
      <c r="F5579" s="2423"/>
    </row>
    <row r="5580" s="101" customFormat="1" spans="6:6">
      <c r="F5580" s="2423"/>
    </row>
    <row r="5581" s="101" customFormat="1" spans="6:6">
      <c r="F5581" s="2423"/>
    </row>
    <row r="5582" s="101" customFormat="1" spans="6:6">
      <c r="F5582" s="2423"/>
    </row>
    <row r="5583" s="101" customFormat="1" spans="6:6">
      <c r="F5583" s="2423"/>
    </row>
    <row r="5584" s="101" customFormat="1" spans="6:6">
      <c r="F5584" s="2423"/>
    </row>
    <row r="5585" s="101" customFormat="1" spans="6:6">
      <c r="F5585" s="2423"/>
    </row>
    <row r="5586" s="101" customFormat="1" spans="6:6">
      <c r="F5586" s="2423"/>
    </row>
    <row r="5587" s="101" customFormat="1" spans="6:6">
      <c r="F5587" s="2423"/>
    </row>
    <row r="5588" s="101" customFormat="1" spans="6:6">
      <c r="F5588" s="2423"/>
    </row>
    <row r="5589" s="101" customFormat="1" spans="6:6">
      <c r="F5589" s="2423"/>
    </row>
    <row r="5590" s="101" customFormat="1" spans="6:6">
      <c r="F5590" s="2423"/>
    </row>
    <row r="5591" s="101" customFormat="1" spans="6:6">
      <c r="F5591" s="2423"/>
    </row>
    <row r="5592" s="101" customFormat="1" spans="6:6">
      <c r="F5592" s="2423"/>
    </row>
    <row r="5593" s="101" customFormat="1" spans="6:6">
      <c r="F5593" s="2423"/>
    </row>
    <row r="5594" s="101" customFormat="1" spans="6:6">
      <c r="F5594" s="2423"/>
    </row>
    <row r="5595" s="101" customFormat="1" spans="6:6">
      <c r="F5595" s="2423"/>
    </row>
    <row r="5596" s="101" customFormat="1" spans="6:6">
      <c r="F5596" s="2423"/>
    </row>
    <row r="5597" s="101" customFormat="1" spans="6:6">
      <c r="F5597" s="2423"/>
    </row>
    <row r="5598" s="101" customFormat="1" spans="6:6">
      <c r="F5598" s="2423"/>
    </row>
    <row r="5599" s="101" customFormat="1" spans="6:6">
      <c r="F5599" s="2423"/>
    </row>
    <row r="5600" s="101" customFormat="1" spans="6:6">
      <c r="F5600" s="2423"/>
    </row>
    <row r="5601" s="101" customFormat="1" spans="6:6">
      <c r="F5601" s="2423"/>
    </row>
    <row r="5602" s="101" customFormat="1" spans="6:6">
      <c r="F5602" s="2423"/>
    </row>
    <row r="5603" s="101" customFormat="1" spans="6:6">
      <c r="F5603" s="2423"/>
    </row>
    <row r="5604" s="101" customFormat="1" spans="6:6">
      <c r="F5604" s="2423"/>
    </row>
    <row r="5605" s="101" customFormat="1" spans="6:6">
      <c r="F5605" s="2423"/>
    </row>
    <row r="5606" s="101" customFormat="1" spans="6:6">
      <c r="F5606" s="2423"/>
    </row>
    <row r="5607" s="101" customFormat="1" spans="6:6">
      <c r="F5607" s="2423"/>
    </row>
    <row r="5608" s="101" customFormat="1" spans="6:6">
      <c r="F5608" s="2423"/>
    </row>
    <row r="5609" s="101" customFormat="1" spans="6:6">
      <c r="F5609" s="2423"/>
    </row>
    <row r="5610" s="101" customFormat="1" spans="6:6">
      <c r="F5610" s="2423"/>
    </row>
    <row r="5611" s="101" customFormat="1" spans="6:6">
      <c r="F5611" s="2423"/>
    </row>
    <row r="5612" s="101" customFormat="1" spans="6:6">
      <c r="F5612" s="2423"/>
    </row>
    <row r="5613" s="101" customFormat="1" spans="6:6">
      <c r="F5613" s="2423"/>
    </row>
    <row r="5614" s="101" customFormat="1" spans="6:6">
      <c r="F5614" s="2423"/>
    </row>
    <row r="5615" s="101" customFormat="1" spans="6:6">
      <c r="F5615" s="2423"/>
    </row>
    <row r="5616" s="101" customFormat="1" spans="6:6">
      <c r="F5616" s="2423"/>
    </row>
    <row r="5617" s="101" customFormat="1" spans="6:6">
      <c r="F5617" s="2423"/>
    </row>
    <row r="5618" s="101" customFormat="1" spans="6:6">
      <c r="F5618" s="2423"/>
    </row>
    <row r="5619" s="101" customFormat="1" spans="6:6">
      <c r="F5619" s="2423"/>
    </row>
    <row r="5620" s="101" customFormat="1" spans="6:6">
      <c r="F5620" s="2423"/>
    </row>
    <row r="5621" s="101" customFormat="1" spans="6:6">
      <c r="F5621" s="2423"/>
    </row>
    <row r="5622" s="101" customFormat="1" spans="6:6">
      <c r="F5622" s="2423"/>
    </row>
    <row r="5623" s="101" customFormat="1" spans="6:6">
      <c r="F5623" s="2423"/>
    </row>
    <row r="5624" s="101" customFormat="1" spans="6:6">
      <c r="F5624" s="2423"/>
    </row>
    <row r="5625" s="101" customFormat="1" spans="6:6">
      <c r="F5625" s="2423"/>
    </row>
    <row r="5626" s="101" customFormat="1" spans="6:6">
      <c r="F5626" s="2423"/>
    </row>
    <row r="5627" s="101" customFormat="1" spans="6:6">
      <c r="F5627" s="2423"/>
    </row>
    <row r="5628" s="101" customFormat="1" spans="6:6">
      <c r="F5628" s="2423"/>
    </row>
    <row r="5629" s="101" customFormat="1" spans="6:6">
      <c r="F5629" s="2423"/>
    </row>
    <row r="5630" s="101" customFormat="1" spans="6:6">
      <c r="F5630" s="2423"/>
    </row>
    <row r="5631" s="101" customFormat="1" spans="6:6">
      <c r="F5631" s="2423"/>
    </row>
    <row r="5632" s="101" customFormat="1" spans="6:6">
      <c r="F5632" s="2423"/>
    </row>
    <row r="5633" s="101" customFormat="1" spans="6:6">
      <c r="F5633" s="2423"/>
    </row>
    <row r="5634" s="101" customFormat="1" spans="6:6">
      <c r="F5634" s="2423"/>
    </row>
    <row r="5635" s="101" customFormat="1" spans="6:6">
      <c r="F5635" s="2423"/>
    </row>
    <row r="5636" s="101" customFormat="1" spans="6:6">
      <c r="F5636" s="2423"/>
    </row>
    <row r="5637" s="101" customFormat="1" spans="6:6">
      <c r="F5637" s="2423"/>
    </row>
    <row r="5638" s="101" customFormat="1" spans="6:6">
      <c r="F5638" s="2423"/>
    </row>
    <row r="5639" s="101" customFormat="1" spans="6:6">
      <c r="F5639" s="2423"/>
    </row>
    <row r="5640" s="101" customFormat="1" spans="6:6">
      <c r="F5640" s="2423"/>
    </row>
    <row r="5641" s="101" customFormat="1" spans="6:6">
      <c r="F5641" s="2423"/>
    </row>
    <row r="5642" s="101" customFormat="1" spans="6:6">
      <c r="F5642" s="2423"/>
    </row>
    <row r="5643" s="101" customFormat="1" spans="6:6">
      <c r="F5643" s="2423"/>
    </row>
    <row r="5644" s="101" customFormat="1" spans="6:6">
      <c r="F5644" s="2423"/>
    </row>
    <row r="5645" s="101" customFormat="1" spans="6:6">
      <c r="F5645" s="2423"/>
    </row>
    <row r="5646" s="101" customFormat="1" spans="6:6">
      <c r="F5646" s="2423"/>
    </row>
    <row r="5647" s="101" customFormat="1" spans="6:6">
      <c r="F5647" s="2423"/>
    </row>
    <row r="5648" s="101" customFormat="1" spans="6:6">
      <c r="F5648" s="2423"/>
    </row>
    <row r="5649" s="101" customFormat="1" spans="6:6">
      <c r="F5649" s="2423"/>
    </row>
    <row r="5650" s="101" customFormat="1" spans="6:6">
      <c r="F5650" s="2423"/>
    </row>
    <row r="5651" s="101" customFormat="1" spans="6:6">
      <c r="F5651" s="2423"/>
    </row>
    <row r="5652" s="101" customFormat="1" spans="6:6">
      <c r="F5652" s="2423"/>
    </row>
    <row r="5653" s="101" customFormat="1" spans="6:6">
      <c r="F5653" s="2423"/>
    </row>
    <row r="5654" s="101" customFormat="1" spans="6:6">
      <c r="F5654" s="2423"/>
    </row>
    <row r="5655" s="101" customFormat="1" spans="6:6">
      <c r="F5655" s="2423"/>
    </row>
    <row r="5656" s="101" customFormat="1" spans="6:6">
      <c r="F5656" s="2423"/>
    </row>
    <row r="5657" s="101" customFormat="1" spans="6:6">
      <c r="F5657" s="2423"/>
    </row>
    <row r="5658" s="101" customFormat="1" spans="6:6">
      <c r="F5658" s="2423"/>
    </row>
    <row r="5659" s="101" customFormat="1" spans="6:6">
      <c r="F5659" s="2423"/>
    </row>
    <row r="5660" s="101" customFormat="1" spans="6:6">
      <c r="F5660" s="2423"/>
    </row>
    <row r="5661" s="101" customFormat="1" spans="6:6">
      <c r="F5661" s="2423"/>
    </row>
    <row r="5662" s="101" customFormat="1" spans="6:6">
      <c r="F5662" s="2423"/>
    </row>
    <row r="5663" s="101" customFormat="1" spans="6:6">
      <c r="F5663" s="2423"/>
    </row>
    <row r="5664" s="101" customFormat="1" spans="6:6">
      <c r="F5664" s="2423"/>
    </row>
    <row r="5665" s="101" customFormat="1" spans="6:6">
      <c r="F5665" s="2423"/>
    </row>
    <row r="5666" s="101" customFormat="1" spans="6:6">
      <c r="F5666" s="2423"/>
    </row>
    <row r="5667" s="101" customFormat="1" spans="6:6">
      <c r="F5667" s="2423"/>
    </row>
    <row r="5668" s="101" customFormat="1" spans="6:6">
      <c r="F5668" s="2423"/>
    </row>
    <row r="5669" s="101" customFormat="1" spans="6:6">
      <c r="F5669" s="2423"/>
    </row>
    <row r="5670" s="101" customFormat="1" spans="6:6">
      <c r="F5670" s="2423"/>
    </row>
    <row r="5671" s="101" customFormat="1" spans="6:6">
      <c r="F5671" s="2423"/>
    </row>
    <row r="5672" s="101" customFormat="1" spans="6:6">
      <c r="F5672" s="2423"/>
    </row>
    <row r="5673" s="101" customFormat="1" spans="6:6">
      <c r="F5673" s="2423"/>
    </row>
    <row r="5674" s="101" customFormat="1" spans="6:6">
      <c r="F5674" s="2423"/>
    </row>
    <row r="5675" s="101" customFormat="1" spans="6:6">
      <c r="F5675" s="2423"/>
    </row>
    <row r="5676" s="101" customFormat="1" spans="6:6">
      <c r="F5676" s="2423"/>
    </row>
    <row r="5677" s="101" customFormat="1" spans="6:6">
      <c r="F5677" s="2423"/>
    </row>
    <row r="5678" s="101" customFormat="1" spans="6:6">
      <c r="F5678" s="2423"/>
    </row>
    <row r="5679" s="101" customFormat="1" spans="6:6">
      <c r="F5679" s="2423"/>
    </row>
    <row r="5680" s="101" customFormat="1" spans="6:6">
      <c r="F5680" s="2423"/>
    </row>
    <row r="5681" s="101" customFormat="1" spans="6:6">
      <c r="F5681" s="2423"/>
    </row>
    <row r="5682" s="101" customFormat="1" spans="6:6">
      <c r="F5682" s="2423"/>
    </row>
    <row r="5683" s="101" customFormat="1" spans="6:6">
      <c r="F5683" s="2423"/>
    </row>
    <row r="5684" s="101" customFormat="1" spans="6:6">
      <c r="F5684" s="2423"/>
    </row>
    <row r="5685" s="101" customFormat="1" spans="6:6">
      <c r="F5685" s="2423"/>
    </row>
    <row r="5686" s="101" customFormat="1" spans="6:6">
      <c r="F5686" s="2423"/>
    </row>
    <row r="5687" s="101" customFormat="1" spans="6:6">
      <c r="F5687" s="2423"/>
    </row>
    <row r="5688" s="101" customFormat="1" spans="6:6">
      <c r="F5688" s="2423"/>
    </row>
    <row r="5689" s="101" customFormat="1" spans="6:6">
      <c r="F5689" s="2423"/>
    </row>
    <row r="5690" s="101" customFormat="1" spans="6:6">
      <c r="F5690" s="2423"/>
    </row>
    <row r="5691" s="101" customFormat="1" spans="6:6">
      <c r="F5691" s="2423"/>
    </row>
    <row r="5692" s="101" customFormat="1" spans="6:6">
      <c r="F5692" s="2423"/>
    </row>
    <row r="5693" s="101" customFormat="1" spans="6:6">
      <c r="F5693" s="2423"/>
    </row>
    <row r="5694" s="101" customFormat="1" spans="6:6">
      <c r="F5694" s="2423"/>
    </row>
    <row r="5695" s="101" customFormat="1" spans="6:6">
      <c r="F5695" s="2423"/>
    </row>
    <row r="5696" s="101" customFormat="1" spans="6:6">
      <c r="F5696" s="2423"/>
    </row>
    <row r="5697" s="101" customFormat="1" spans="6:6">
      <c r="F5697" s="2423"/>
    </row>
    <row r="5698" s="101" customFormat="1" spans="6:6">
      <c r="F5698" s="2423"/>
    </row>
    <row r="5699" s="101" customFormat="1" spans="6:6">
      <c r="F5699" s="2423"/>
    </row>
    <row r="5700" s="101" customFormat="1" spans="6:6">
      <c r="F5700" s="2423"/>
    </row>
    <row r="5701" s="101" customFormat="1" spans="6:6">
      <c r="F5701" s="2423"/>
    </row>
    <row r="5702" s="101" customFormat="1" spans="6:6">
      <c r="F5702" s="2423"/>
    </row>
    <row r="5703" s="101" customFormat="1" spans="6:6">
      <c r="F5703" s="2423"/>
    </row>
    <row r="5704" s="101" customFormat="1" spans="6:6">
      <c r="F5704" s="2423"/>
    </row>
    <row r="5705" s="101" customFormat="1" spans="6:6">
      <c r="F5705" s="2423"/>
    </row>
    <row r="5706" s="101" customFormat="1" spans="6:6">
      <c r="F5706" s="2423"/>
    </row>
    <row r="5707" s="101" customFormat="1" spans="6:6">
      <c r="F5707" s="2423"/>
    </row>
    <row r="5708" s="101" customFormat="1" spans="6:6">
      <c r="F5708" s="2423"/>
    </row>
    <row r="5709" s="101" customFormat="1" spans="6:6">
      <c r="F5709" s="2423"/>
    </row>
    <row r="5710" s="101" customFormat="1" spans="6:6">
      <c r="F5710" s="2423"/>
    </row>
    <row r="5711" s="101" customFormat="1" spans="6:6">
      <c r="F5711" s="2423"/>
    </row>
    <row r="5712" s="101" customFormat="1" spans="6:6">
      <c r="F5712" s="2423"/>
    </row>
    <row r="5713" s="101" customFormat="1" spans="6:6">
      <c r="F5713" s="2423"/>
    </row>
    <row r="5714" s="101" customFormat="1" spans="6:6">
      <c r="F5714" s="2423"/>
    </row>
    <row r="5715" s="101" customFormat="1" spans="6:6">
      <c r="F5715" s="2423"/>
    </row>
    <row r="5716" s="101" customFormat="1" spans="6:6">
      <c r="F5716" s="2423"/>
    </row>
    <row r="5717" s="101" customFormat="1" spans="6:6">
      <c r="F5717" s="2423"/>
    </row>
    <row r="5718" s="101" customFormat="1" spans="6:6">
      <c r="F5718" s="2423"/>
    </row>
    <row r="5719" s="101" customFormat="1" spans="6:6">
      <c r="F5719" s="2423"/>
    </row>
    <row r="5720" s="101" customFormat="1" spans="6:6">
      <c r="F5720" s="2423"/>
    </row>
    <row r="5721" s="101" customFormat="1" spans="6:6">
      <c r="F5721" s="2423"/>
    </row>
    <row r="5722" s="101" customFormat="1" spans="6:6">
      <c r="F5722" s="2423"/>
    </row>
    <row r="5723" s="101" customFormat="1" spans="6:6">
      <c r="F5723" s="2423"/>
    </row>
    <row r="5724" s="101" customFormat="1" spans="6:6">
      <c r="F5724" s="2423"/>
    </row>
    <row r="5725" s="101" customFormat="1" spans="6:6">
      <c r="F5725" s="2423"/>
    </row>
    <row r="5726" s="101" customFormat="1" spans="6:6">
      <c r="F5726" s="2423"/>
    </row>
    <row r="5727" s="101" customFormat="1" spans="6:6">
      <c r="F5727" s="2423"/>
    </row>
    <row r="5728" s="101" customFormat="1" spans="6:6">
      <c r="F5728" s="2423"/>
    </row>
    <row r="5729" s="101" customFormat="1" spans="6:6">
      <c r="F5729" s="2423"/>
    </row>
    <row r="5730" s="101" customFormat="1" spans="6:6">
      <c r="F5730" s="2423"/>
    </row>
    <row r="5731" s="101" customFormat="1" spans="6:6">
      <c r="F5731" s="2423"/>
    </row>
    <row r="5732" s="101" customFormat="1" spans="6:6">
      <c r="F5732" s="2423"/>
    </row>
    <row r="5733" s="101" customFormat="1" spans="6:6">
      <c r="F5733" s="2423"/>
    </row>
    <row r="5734" s="101" customFormat="1" spans="6:6">
      <c r="F5734" s="2423"/>
    </row>
    <row r="5735" s="101" customFormat="1" spans="6:6">
      <c r="F5735" s="2423"/>
    </row>
    <row r="5736" s="101" customFormat="1" spans="6:6">
      <c r="F5736" s="2423"/>
    </row>
    <row r="5737" s="101" customFormat="1" spans="6:6">
      <c r="F5737" s="2423"/>
    </row>
    <row r="5738" s="101" customFormat="1" spans="6:6">
      <c r="F5738" s="2423"/>
    </row>
    <row r="5739" s="101" customFormat="1" spans="6:6">
      <c r="F5739" s="2423"/>
    </row>
    <row r="5740" s="101" customFormat="1" spans="6:6">
      <c r="F5740" s="2423"/>
    </row>
    <row r="5741" s="101" customFormat="1" spans="6:6">
      <c r="F5741" s="2423"/>
    </row>
    <row r="5742" s="101" customFormat="1" spans="6:6">
      <c r="F5742" s="2423"/>
    </row>
    <row r="5743" s="101" customFormat="1" spans="6:6">
      <c r="F5743" s="2423"/>
    </row>
    <row r="5744" s="101" customFormat="1" spans="6:6">
      <c r="F5744" s="2423"/>
    </row>
    <row r="5745" s="101" customFormat="1" spans="6:6">
      <c r="F5745" s="2423"/>
    </row>
    <row r="5746" s="101" customFormat="1" spans="6:6">
      <c r="F5746" s="2423"/>
    </row>
    <row r="5747" s="101" customFormat="1" spans="6:6">
      <c r="F5747" s="2423"/>
    </row>
    <row r="5748" s="101" customFormat="1" spans="6:6">
      <c r="F5748" s="2423"/>
    </row>
    <row r="5749" s="101" customFormat="1" spans="6:6">
      <c r="F5749" s="2423"/>
    </row>
    <row r="5750" s="101" customFormat="1" spans="6:6">
      <c r="F5750" s="2423"/>
    </row>
    <row r="5751" s="101" customFormat="1" spans="6:6">
      <c r="F5751" s="2423"/>
    </row>
    <row r="5752" s="101" customFormat="1" spans="6:6">
      <c r="F5752" s="2423"/>
    </row>
    <row r="5753" s="101" customFormat="1" spans="6:6">
      <c r="F5753" s="2423"/>
    </row>
    <row r="5754" s="101" customFormat="1" spans="6:6">
      <c r="F5754" s="2423"/>
    </row>
    <row r="5755" s="101" customFormat="1" spans="6:6">
      <c r="F5755" s="2423"/>
    </row>
    <row r="5756" s="101" customFormat="1" spans="6:6">
      <c r="F5756" s="2423"/>
    </row>
    <row r="5757" s="101" customFormat="1" spans="6:6">
      <c r="F5757" s="2423"/>
    </row>
    <row r="5758" s="101" customFormat="1" spans="6:6">
      <c r="F5758" s="2423"/>
    </row>
    <row r="5759" s="101" customFormat="1" spans="6:6">
      <c r="F5759" s="2423"/>
    </row>
    <row r="5760" s="101" customFormat="1" spans="6:6">
      <c r="F5760" s="2423"/>
    </row>
    <row r="5761" s="101" customFormat="1" spans="6:6">
      <c r="F5761" s="2423"/>
    </row>
    <row r="5762" s="101" customFormat="1" spans="6:6">
      <c r="F5762" s="2423"/>
    </row>
    <row r="5763" s="101" customFormat="1" spans="6:6">
      <c r="F5763" s="2423"/>
    </row>
    <row r="5764" s="101" customFormat="1" spans="6:6">
      <c r="F5764" s="2423"/>
    </row>
    <row r="5765" s="101" customFormat="1" spans="6:6">
      <c r="F5765" s="2423"/>
    </row>
    <row r="5766" s="101" customFormat="1" spans="6:6">
      <c r="F5766" s="2423"/>
    </row>
    <row r="5767" s="101" customFormat="1" spans="6:6">
      <c r="F5767" s="2423"/>
    </row>
    <row r="5768" s="101" customFormat="1" spans="6:6">
      <c r="F5768" s="2423"/>
    </row>
    <row r="5769" s="101" customFormat="1" spans="6:6">
      <c r="F5769" s="2423"/>
    </row>
    <row r="5770" s="101" customFormat="1" spans="6:6">
      <c r="F5770" s="2423"/>
    </row>
    <row r="5771" s="101" customFormat="1" spans="6:6">
      <c r="F5771" s="2423"/>
    </row>
    <row r="5772" s="101" customFormat="1" spans="6:6">
      <c r="F5772" s="2423"/>
    </row>
    <row r="5773" s="101" customFormat="1" spans="6:6">
      <c r="F5773" s="2423"/>
    </row>
    <row r="5774" s="101" customFormat="1" spans="6:6">
      <c r="F5774" s="2423"/>
    </row>
    <row r="5775" s="101" customFormat="1" spans="6:6">
      <c r="F5775" s="2423"/>
    </row>
    <row r="5776" s="101" customFormat="1" spans="6:6">
      <c r="F5776" s="2423"/>
    </row>
    <row r="5777" s="101" customFormat="1" spans="6:6">
      <c r="F5777" s="2423"/>
    </row>
    <row r="5778" s="101" customFormat="1" spans="6:6">
      <c r="F5778" s="2423"/>
    </row>
    <row r="5779" s="101" customFormat="1" spans="6:6">
      <c r="F5779" s="2423"/>
    </row>
    <row r="5780" s="101" customFormat="1" spans="6:6">
      <c r="F5780" s="2423"/>
    </row>
    <row r="5781" s="101" customFormat="1" spans="6:6">
      <c r="F5781" s="2423"/>
    </row>
    <row r="5782" s="101" customFormat="1" spans="6:6">
      <c r="F5782" s="2423"/>
    </row>
    <row r="5783" s="101" customFormat="1" spans="6:6">
      <c r="F5783" s="2423"/>
    </row>
    <row r="5784" s="101" customFormat="1" spans="6:6">
      <c r="F5784" s="2423"/>
    </row>
    <row r="5785" s="101" customFormat="1" spans="6:6">
      <c r="F5785" s="2423"/>
    </row>
    <row r="5786" s="101" customFormat="1" spans="6:6">
      <c r="F5786" s="2423"/>
    </row>
    <row r="5787" s="101" customFormat="1" spans="6:6">
      <c r="F5787" s="2423"/>
    </row>
    <row r="5788" s="101" customFormat="1" spans="6:6">
      <c r="F5788" s="2423"/>
    </row>
    <row r="5789" s="101" customFormat="1" spans="6:6">
      <c r="F5789" s="2423"/>
    </row>
    <row r="5790" s="101" customFormat="1" spans="6:6">
      <c r="F5790" s="2423"/>
    </row>
    <row r="5791" s="101" customFormat="1" spans="6:6">
      <c r="F5791" s="2423"/>
    </row>
    <row r="5792" s="101" customFormat="1" spans="6:6">
      <c r="F5792" s="2423"/>
    </row>
    <row r="5793" s="101" customFormat="1" spans="6:6">
      <c r="F5793" s="2423"/>
    </row>
    <row r="5794" s="101" customFormat="1" spans="6:6">
      <c r="F5794" s="2423"/>
    </row>
    <row r="5795" s="101" customFormat="1" spans="6:6">
      <c r="F5795" s="2423"/>
    </row>
    <row r="5796" s="101" customFormat="1" spans="6:6">
      <c r="F5796" s="2423"/>
    </row>
    <row r="5797" s="101" customFormat="1" spans="6:6">
      <c r="F5797" s="2423"/>
    </row>
    <row r="5798" s="101" customFormat="1" spans="6:6">
      <c r="F5798" s="2423"/>
    </row>
    <row r="5799" s="101" customFormat="1" spans="6:6">
      <c r="F5799" s="2423"/>
    </row>
    <row r="5800" s="101" customFormat="1" spans="6:6">
      <c r="F5800" s="2423"/>
    </row>
    <row r="5801" s="101" customFormat="1" spans="6:6">
      <c r="F5801" s="2423"/>
    </row>
    <row r="5802" s="101" customFormat="1" spans="6:6">
      <c r="F5802" s="2423"/>
    </row>
    <row r="5803" s="101" customFormat="1" spans="6:6">
      <c r="F5803" s="2423"/>
    </row>
    <row r="5804" s="101" customFormat="1" spans="6:6">
      <c r="F5804" s="2423"/>
    </row>
    <row r="5805" s="101" customFormat="1" spans="6:6">
      <c r="F5805" s="2423"/>
    </row>
    <row r="5806" s="101" customFormat="1" spans="6:6">
      <c r="F5806" s="2423"/>
    </row>
    <row r="5807" s="101" customFormat="1" spans="6:6">
      <c r="F5807" s="2423"/>
    </row>
    <row r="5808" s="101" customFormat="1" spans="6:6">
      <c r="F5808" s="2423"/>
    </row>
    <row r="5809" s="101" customFormat="1" spans="6:6">
      <c r="F5809" s="2423"/>
    </row>
    <row r="5810" s="101" customFormat="1" spans="6:6">
      <c r="F5810" s="2423"/>
    </row>
    <row r="5811" s="101" customFormat="1" spans="6:6">
      <c r="F5811" s="2423"/>
    </row>
    <row r="5812" s="101" customFormat="1" spans="6:6">
      <c r="F5812" s="2423"/>
    </row>
    <row r="5813" s="101" customFormat="1" spans="6:6">
      <c r="F5813" s="2423"/>
    </row>
    <row r="5814" s="101" customFormat="1" spans="6:6">
      <c r="F5814" s="2423"/>
    </row>
    <row r="5815" s="101" customFormat="1" spans="6:6">
      <c r="F5815" s="2423"/>
    </row>
    <row r="5816" s="101" customFormat="1" spans="6:6">
      <c r="F5816" s="2423"/>
    </row>
    <row r="5817" s="101" customFormat="1" spans="6:6">
      <c r="F5817" s="2423"/>
    </row>
    <row r="5818" s="101" customFormat="1" spans="6:6">
      <c r="F5818" s="2423"/>
    </row>
    <row r="5819" s="101" customFormat="1" spans="6:6">
      <c r="F5819" s="2423"/>
    </row>
    <row r="5820" s="101" customFormat="1" spans="6:6">
      <c r="F5820" s="2423"/>
    </row>
    <row r="5821" s="101" customFormat="1" spans="6:6">
      <c r="F5821" s="2423"/>
    </row>
    <row r="5822" s="101" customFormat="1" spans="6:6">
      <c r="F5822" s="2423"/>
    </row>
    <row r="5823" s="101" customFormat="1" spans="6:6">
      <c r="F5823" s="2423"/>
    </row>
    <row r="5824" s="101" customFormat="1" spans="6:6">
      <c r="F5824" s="2423"/>
    </row>
    <row r="5825" s="101" customFormat="1" spans="6:6">
      <c r="F5825" s="2423"/>
    </row>
    <row r="5826" s="101" customFormat="1" spans="6:6">
      <c r="F5826" s="2423"/>
    </row>
    <row r="5827" s="101" customFormat="1" spans="6:6">
      <c r="F5827" s="2423"/>
    </row>
    <row r="5828" s="101" customFormat="1" spans="6:6">
      <c r="F5828" s="2423"/>
    </row>
    <row r="5829" s="101" customFormat="1" spans="6:6">
      <c r="F5829" s="2423"/>
    </row>
    <row r="5830" s="101" customFormat="1" spans="6:6">
      <c r="F5830" s="2423"/>
    </row>
    <row r="5831" s="101" customFormat="1" spans="6:6">
      <c r="F5831" s="2423"/>
    </row>
    <row r="5832" s="101" customFormat="1" spans="6:6">
      <c r="F5832" s="2423"/>
    </row>
    <row r="5833" s="101" customFormat="1" spans="6:6">
      <c r="F5833" s="2423"/>
    </row>
    <row r="5834" s="101" customFormat="1" spans="6:6">
      <c r="F5834" s="2423"/>
    </row>
    <row r="5835" s="101" customFormat="1" spans="6:6">
      <c r="F5835" s="2423"/>
    </row>
    <row r="5836" s="101" customFormat="1" spans="6:6">
      <c r="F5836" s="2423"/>
    </row>
    <row r="5837" s="101" customFormat="1" spans="6:6">
      <c r="F5837" s="2423"/>
    </row>
    <row r="5838" s="101" customFormat="1" spans="6:6">
      <c r="F5838" s="2423"/>
    </row>
    <row r="5839" s="101" customFormat="1" spans="6:6">
      <c r="F5839" s="2423"/>
    </row>
    <row r="5840" s="101" customFormat="1" spans="6:6">
      <c r="F5840" s="2423"/>
    </row>
    <row r="5841" s="101" customFormat="1" spans="6:6">
      <c r="F5841" s="2423"/>
    </row>
    <row r="5842" s="101" customFormat="1" spans="6:6">
      <c r="F5842" s="2423"/>
    </row>
    <row r="5843" s="101" customFormat="1" spans="6:6">
      <c r="F5843" s="2423"/>
    </row>
    <row r="5844" s="101" customFormat="1" spans="6:6">
      <c r="F5844" s="2423"/>
    </row>
    <row r="5845" s="101" customFormat="1" spans="6:6">
      <c r="F5845" s="2423"/>
    </row>
    <row r="5846" s="101" customFormat="1" spans="6:6">
      <c r="F5846" s="2423"/>
    </row>
    <row r="5847" s="101" customFormat="1" spans="6:6">
      <c r="F5847" s="2423"/>
    </row>
    <row r="5848" s="101" customFormat="1" spans="6:6">
      <c r="F5848" s="2423"/>
    </row>
    <row r="5849" s="101" customFormat="1" spans="6:6">
      <c r="F5849" s="2423"/>
    </row>
    <row r="5850" s="101" customFormat="1" spans="6:6">
      <c r="F5850" s="2423"/>
    </row>
    <row r="5851" s="101" customFormat="1" spans="6:6">
      <c r="F5851" s="2423"/>
    </row>
    <row r="5852" s="101" customFormat="1" spans="6:6">
      <c r="F5852" s="2423"/>
    </row>
    <row r="5853" s="101" customFormat="1" spans="6:6">
      <c r="F5853" s="2423"/>
    </row>
    <row r="5854" s="101" customFormat="1" spans="6:6">
      <c r="F5854" s="2423"/>
    </row>
    <row r="5855" s="101" customFormat="1" spans="6:6">
      <c r="F5855" s="2423"/>
    </row>
    <row r="5856" s="101" customFormat="1" spans="6:6">
      <c r="F5856" s="2423"/>
    </row>
    <row r="5857" s="101" customFormat="1" spans="6:6">
      <c r="F5857" s="2423"/>
    </row>
    <row r="5858" s="101" customFormat="1" spans="6:6">
      <c r="F5858" s="2423"/>
    </row>
    <row r="5859" s="101" customFormat="1" spans="6:6">
      <c r="F5859" s="2423"/>
    </row>
    <row r="5860" s="101" customFormat="1" spans="6:6">
      <c r="F5860" s="2423"/>
    </row>
    <row r="5861" s="101" customFormat="1" spans="6:6">
      <c r="F5861" s="2423"/>
    </row>
    <row r="5862" s="101" customFormat="1" spans="6:6">
      <c r="F5862" s="2423"/>
    </row>
    <row r="5863" s="101" customFormat="1" spans="6:6">
      <c r="F5863" s="2423"/>
    </row>
    <row r="5864" s="101" customFormat="1" spans="6:6">
      <c r="F5864" s="2423"/>
    </row>
    <row r="5865" s="101" customFormat="1" spans="6:6">
      <c r="F5865" s="2423"/>
    </row>
    <row r="5866" s="101" customFormat="1" spans="6:6">
      <c r="F5866" s="2423"/>
    </row>
    <row r="5867" s="101" customFormat="1" spans="6:6">
      <c r="F5867" s="2423"/>
    </row>
    <row r="5868" s="101" customFormat="1" spans="6:6">
      <c r="F5868" s="2423"/>
    </row>
    <row r="5869" s="101" customFormat="1" spans="6:6">
      <c r="F5869" s="2423"/>
    </row>
    <row r="5870" s="101" customFormat="1" spans="6:6">
      <c r="F5870" s="2423"/>
    </row>
    <row r="5871" s="101" customFormat="1" spans="6:6">
      <c r="F5871" s="2423"/>
    </row>
    <row r="5872" s="101" customFormat="1" spans="6:6">
      <c r="F5872" s="2423"/>
    </row>
    <row r="5873" s="101" customFormat="1" spans="6:6">
      <c r="F5873" s="2423"/>
    </row>
    <row r="5874" s="101" customFormat="1" spans="6:6">
      <c r="F5874" s="2423"/>
    </row>
    <row r="5875" s="101" customFormat="1" spans="6:6">
      <c r="F5875" s="2423"/>
    </row>
    <row r="5876" s="101" customFormat="1" spans="6:6">
      <c r="F5876" s="2423"/>
    </row>
    <row r="5877" s="101" customFormat="1" spans="6:6">
      <c r="F5877" s="2423"/>
    </row>
    <row r="5878" s="101" customFormat="1" spans="6:6">
      <c r="F5878" s="2423"/>
    </row>
    <row r="5879" s="101" customFormat="1" spans="6:6">
      <c r="F5879" s="2423"/>
    </row>
    <row r="5880" s="101" customFormat="1" spans="6:6">
      <c r="F5880" s="2423"/>
    </row>
    <row r="5881" s="101" customFormat="1" spans="6:6">
      <c r="F5881" s="2423"/>
    </row>
    <row r="5882" s="101" customFormat="1" spans="6:6">
      <c r="F5882" s="2423"/>
    </row>
    <row r="5883" s="101" customFormat="1" spans="6:6">
      <c r="F5883" s="2423"/>
    </row>
    <row r="5884" s="101" customFormat="1" spans="6:6">
      <c r="F5884" s="2423"/>
    </row>
    <row r="5885" s="101" customFormat="1" spans="6:6">
      <c r="F5885" s="2423"/>
    </row>
    <row r="5886" s="101" customFormat="1" spans="6:6">
      <c r="F5886" s="2423"/>
    </row>
    <row r="5887" s="101" customFormat="1" spans="6:6">
      <c r="F5887" s="2423"/>
    </row>
    <row r="5888" s="101" customFormat="1" spans="6:6">
      <c r="F5888" s="2423"/>
    </row>
    <row r="5889" s="101" customFormat="1" spans="6:6">
      <c r="F5889" s="2423"/>
    </row>
    <row r="5890" s="101" customFormat="1" spans="6:6">
      <c r="F5890" s="2423"/>
    </row>
    <row r="5891" s="101" customFormat="1" spans="6:6">
      <c r="F5891" s="2423"/>
    </row>
    <row r="5892" s="101" customFormat="1" spans="6:6">
      <c r="F5892" s="2423"/>
    </row>
    <row r="5893" s="101" customFormat="1" spans="6:6">
      <c r="F5893" s="2423"/>
    </row>
    <row r="5894" s="101" customFormat="1" spans="6:6">
      <c r="F5894" s="2423"/>
    </row>
    <row r="5895" s="101" customFormat="1" spans="6:6">
      <c r="F5895" s="2423"/>
    </row>
    <row r="5896" s="101" customFormat="1" spans="6:6">
      <c r="F5896" s="2423"/>
    </row>
    <row r="5897" s="101" customFormat="1" spans="6:6">
      <c r="F5897" s="2423"/>
    </row>
    <row r="5898" s="101" customFormat="1" spans="6:6">
      <c r="F5898" s="2423"/>
    </row>
    <row r="5899" s="101" customFormat="1" spans="6:6">
      <c r="F5899" s="2423"/>
    </row>
    <row r="5900" s="101" customFormat="1" spans="6:6">
      <c r="F5900" s="2423"/>
    </row>
    <row r="5901" s="101" customFormat="1" spans="6:6">
      <c r="F5901" s="2423"/>
    </row>
    <row r="5902" s="101" customFormat="1" spans="6:6">
      <c r="F5902" s="2423"/>
    </row>
    <row r="5903" s="101" customFormat="1" spans="6:6">
      <c r="F5903" s="2423"/>
    </row>
    <row r="5904" s="101" customFormat="1" spans="6:6">
      <c r="F5904" s="2423"/>
    </row>
    <row r="5905" s="101" customFormat="1" spans="6:6">
      <c r="F5905" s="2423"/>
    </row>
    <row r="5906" s="101" customFormat="1" spans="6:6">
      <c r="F5906" s="2423"/>
    </row>
    <row r="5907" s="101" customFormat="1" spans="6:6">
      <c r="F5907" s="2423"/>
    </row>
    <row r="5908" s="101" customFormat="1" spans="6:6">
      <c r="F5908" s="2423"/>
    </row>
    <row r="5909" s="101" customFormat="1" spans="6:6">
      <c r="F5909" s="2423"/>
    </row>
    <row r="5910" s="101" customFormat="1" spans="6:6">
      <c r="F5910" s="2423"/>
    </row>
    <row r="5911" s="101" customFormat="1" spans="6:6">
      <c r="F5911" s="2423"/>
    </row>
    <row r="5912" s="101" customFormat="1" spans="6:6">
      <c r="F5912" s="2423"/>
    </row>
    <row r="5913" s="101" customFormat="1" spans="6:6">
      <c r="F5913" s="2423"/>
    </row>
    <row r="5914" s="101" customFormat="1" spans="6:6">
      <c r="F5914" s="2423"/>
    </row>
    <row r="5915" s="101" customFormat="1" spans="6:6">
      <c r="F5915" s="2423"/>
    </row>
    <row r="5916" s="101" customFormat="1" spans="6:6">
      <c r="F5916" s="2423"/>
    </row>
    <row r="5917" s="101" customFormat="1" spans="6:6">
      <c r="F5917" s="2423"/>
    </row>
    <row r="5918" s="101" customFormat="1" spans="6:6">
      <c r="F5918" s="2423"/>
    </row>
    <row r="5919" s="101" customFormat="1" spans="6:6">
      <c r="F5919" s="2423"/>
    </row>
    <row r="5920" s="101" customFormat="1" spans="6:6">
      <c r="F5920" s="2423"/>
    </row>
    <row r="5921" s="101" customFormat="1" spans="6:6">
      <c r="F5921" s="2423"/>
    </row>
    <row r="5922" s="101" customFormat="1" spans="6:6">
      <c r="F5922" s="2423"/>
    </row>
    <row r="5923" s="101" customFormat="1" spans="6:6">
      <c r="F5923" s="2423"/>
    </row>
    <row r="5924" s="101" customFormat="1" spans="6:6">
      <c r="F5924" s="2423"/>
    </row>
    <row r="5925" s="101" customFormat="1" spans="6:6">
      <c r="F5925" s="2423"/>
    </row>
    <row r="5926" s="101" customFormat="1" spans="6:6">
      <c r="F5926" s="2423"/>
    </row>
    <row r="5927" s="101" customFormat="1" spans="6:6">
      <c r="F5927" s="2423"/>
    </row>
    <row r="5928" s="101" customFormat="1" spans="6:6">
      <c r="F5928" s="2423"/>
    </row>
    <row r="5929" s="101" customFormat="1" spans="6:6">
      <c r="F5929" s="2423"/>
    </row>
    <row r="5930" s="101" customFormat="1" spans="6:6">
      <c r="F5930" s="2423"/>
    </row>
    <row r="5931" s="101" customFormat="1" spans="6:6">
      <c r="F5931" s="2423"/>
    </row>
    <row r="5932" s="101" customFormat="1" spans="6:6">
      <c r="F5932" s="2423"/>
    </row>
    <row r="5933" s="101" customFormat="1" spans="6:6">
      <c r="F5933" s="2423"/>
    </row>
    <row r="5934" s="101" customFormat="1" spans="6:6">
      <c r="F5934" s="2423"/>
    </row>
    <row r="5935" s="101" customFormat="1" spans="6:6">
      <c r="F5935" s="2423"/>
    </row>
    <row r="5936" s="101" customFormat="1" spans="6:6">
      <c r="F5936" s="2423"/>
    </row>
    <row r="5937" s="101" customFormat="1" spans="6:6">
      <c r="F5937" s="2423"/>
    </row>
    <row r="5938" s="101" customFormat="1" spans="6:6">
      <c r="F5938" s="2423"/>
    </row>
    <row r="5939" s="101" customFormat="1" spans="6:6">
      <c r="F5939" s="2423"/>
    </row>
    <row r="5940" s="101" customFormat="1" spans="6:6">
      <c r="F5940" s="2423"/>
    </row>
    <row r="5941" s="101" customFormat="1" spans="6:6">
      <c r="F5941" s="2423"/>
    </row>
    <row r="5942" s="101" customFormat="1" spans="6:6">
      <c r="F5942" s="2423"/>
    </row>
    <row r="5943" s="101" customFormat="1" spans="6:6">
      <c r="F5943" s="2423"/>
    </row>
    <row r="5944" s="101" customFormat="1" spans="6:6">
      <c r="F5944" s="2423"/>
    </row>
    <row r="5945" s="101" customFormat="1" spans="6:6">
      <c r="F5945" s="2423"/>
    </row>
    <row r="5946" s="101" customFormat="1" spans="6:6">
      <c r="F5946" s="2423"/>
    </row>
    <row r="5947" s="101" customFormat="1" spans="6:6">
      <c r="F5947" s="2423"/>
    </row>
    <row r="5948" s="101" customFormat="1" spans="6:6">
      <c r="F5948" s="2423"/>
    </row>
    <row r="5949" s="101" customFormat="1" spans="6:6">
      <c r="F5949" s="2423"/>
    </row>
    <row r="5950" s="101" customFormat="1" spans="6:6">
      <c r="F5950" s="2423"/>
    </row>
    <row r="5951" s="101" customFormat="1" spans="6:6">
      <c r="F5951" s="2423"/>
    </row>
    <row r="5952" s="101" customFormat="1" spans="6:6">
      <c r="F5952" s="2423"/>
    </row>
    <row r="5953" s="101" customFormat="1" spans="6:6">
      <c r="F5953" s="2423"/>
    </row>
    <row r="5954" s="101" customFormat="1" spans="6:6">
      <c r="F5954" s="2423"/>
    </row>
    <row r="5955" s="101" customFormat="1" spans="6:6">
      <c r="F5955" s="2423"/>
    </row>
    <row r="5956" s="101" customFormat="1" spans="6:6">
      <c r="F5956" s="2423"/>
    </row>
    <row r="5957" s="101" customFormat="1" spans="6:6">
      <c r="F5957" s="2423"/>
    </row>
    <row r="5958" s="101" customFormat="1" spans="6:6">
      <c r="F5958" s="2423"/>
    </row>
    <row r="5959" s="101" customFormat="1" spans="6:6">
      <c r="F5959" s="2423"/>
    </row>
    <row r="5960" s="101" customFormat="1" spans="6:6">
      <c r="F5960" s="2423"/>
    </row>
    <row r="5961" s="101" customFormat="1" spans="6:6">
      <c r="F5961" s="2423"/>
    </row>
    <row r="5962" s="101" customFormat="1" spans="6:6">
      <c r="F5962" s="2423"/>
    </row>
    <row r="5963" s="101" customFormat="1" spans="6:6">
      <c r="F5963" s="2423"/>
    </row>
    <row r="5964" s="101" customFormat="1" spans="6:6">
      <c r="F5964" s="2423"/>
    </row>
    <row r="5965" s="101" customFormat="1" spans="6:6">
      <c r="F5965" s="2423"/>
    </row>
    <row r="5966" s="101" customFormat="1" spans="6:6">
      <c r="F5966" s="2423"/>
    </row>
    <row r="5967" s="101" customFormat="1" spans="6:6">
      <c r="F5967" s="2423"/>
    </row>
    <row r="5968" s="101" customFormat="1" spans="6:6">
      <c r="F5968" s="2423"/>
    </row>
    <row r="5969" s="101" customFormat="1" spans="6:6">
      <c r="F5969" s="2423"/>
    </row>
    <row r="5970" s="101" customFormat="1" spans="6:6">
      <c r="F5970" s="2423"/>
    </row>
    <row r="5971" s="101" customFormat="1" spans="6:6">
      <c r="F5971" s="2423"/>
    </row>
    <row r="5972" s="101" customFormat="1" spans="6:6">
      <c r="F5972" s="2423"/>
    </row>
    <row r="5973" s="101" customFormat="1" spans="6:6">
      <c r="F5973" s="2423"/>
    </row>
    <row r="5974" s="101" customFormat="1" spans="6:6">
      <c r="F5974" s="2423"/>
    </row>
    <row r="5975" s="101" customFormat="1" spans="6:6">
      <c r="F5975" s="2423"/>
    </row>
    <row r="5976" s="101" customFormat="1" spans="6:6">
      <c r="F5976" s="2423"/>
    </row>
    <row r="5977" s="101" customFormat="1" spans="6:6">
      <c r="F5977" s="2423"/>
    </row>
    <row r="5978" s="101" customFormat="1" spans="6:6">
      <c r="F5978" s="2423"/>
    </row>
    <row r="5979" s="101" customFormat="1" spans="6:6">
      <c r="F5979" s="2423"/>
    </row>
    <row r="5980" s="101" customFormat="1" spans="6:6">
      <c r="F5980" s="2423"/>
    </row>
    <row r="5981" s="101" customFormat="1" spans="6:6">
      <c r="F5981" s="2423"/>
    </row>
    <row r="5982" s="101" customFormat="1" spans="6:6">
      <c r="F5982" s="2423"/>
    </row>
    <row r="5983" s="101" customFormat="1" spans="6:6">
      <c r="F5983" s="2423"/>
    </row>
    <row r="5984" s="101" customFormat="1" spans="6:6">
      <c r="F5984" s="2423"/>
    </row>
    <row r="5985" s="101" customFormat="1" spans="6:6">
      <c r="F5985" s="2423"/>
    </row>
    <row r="5986" s="101" customFormat="1" spans="6:6">
      <c r="F5986" s="2423"/>
    </row>
    <row r="5987" s="101" customFormat="1" spans="6:6">
      <c r="F5987" s="2423"/>
    </row>
    <row r="5988" s="101" customFormat="1" spans="6:6">
      <c r="F5988" s="2423"/>
    </row>
    <row r="5989" s="101" customFormat="1" spans="6:6">
      <c r="F5989" s="2423"/>
    </row>
    <row r="5990" s="101" customFormat="1" spans="6:6">
      <c r="F5990" s="2423"/>
    </row>
    <row r="5991" s="101" customFormat="1" spans="6:6">
      <c r="F5991" s="2423"/>
    </row>
    <row r="5992" s="101" customFormat="1" spans="6:6">
      <c r="F5992" s="2423"/>
    </row>
    <row r="5993" s="101" customFormat="1" spans="6:6">
      <c r="F5993" s="2423"/>
    </row>
    <row r="5994" s="101" customFormat="1" spans="6:6">
      <c r="F5994" s="2423"/>
    </row>
    <row r="5995" s="101" customFormat="1" spans="6:6">
      <c r="F5995" s="2423"/>
    </row>
    <row r="5996" s="101" customFormat="1" spans="6:6">
      <c r="F5996" s="2423"/>
    </row>
    <row r="5997" s="101" customFormat="1" spans="6:6">
      <c r="F5997" s="2423"/>
    </row>
    <row r="5998" s="101" customFormat="1" spans="6:6">
      <c r="F5998" s="2423"/>
    </row>
    <row r="5999" s="101" customFormat="1" spans="6:6">
      <c r="F5999" s="2423"/>
    </row>
    <row r="6000" s="101" customFormat="1" spans="6:6">
      <c r="F6000" s="2423"/>
    </row>
    <row r="6001" s="101" customFormat="1" spans="6:6">
      <c r="F6001" s="2423"/>
    </row>
    <row r="6002" s="101" customFormat="1" spans="6:6">
      <c r="F6002" s="2423"/>
    </row>
    <row r="6003" s="101" customFormat="1" spans="6:6">
      <c r="F6003" s="2423"/>
    </row>
    <row r="6004" s="101" customFormat="1" spans="6:6">
      <c r="F6004" s="2423"/>
    </row>
    <row r="6005" s="101" customFormat="1" spans="6:6">
      <c r="F6005" s="2423"/>
    </row>
    <row r="6006" s="101" customFormat="1" spans="6:6">
      <c r="F6006" s="2423"/>
    </row>
    <row r="6007" s="101" customFormat="1" spans="6:6">
      <c r="F6007" s="2423"/>
    </row>
    <row r="6008" s="101" customFormat="1" spans="6:6">
      <c r="F6008" s="2423"/>
    </row>
    <row r="6009" s="101" customFormat="1" spans="6:6">
      <c r="F6009" s="2423"/>
    </row>
    <row r="6010" s="101" customFormat="1" spans="6:6">
      <c r="F6010" s="2423"/>
    </row>
    <row r="6011" s="101" customFormat="1" spans="6:6">
      <c r="F6011" s="2423"/>
    </row>
    <row r="6012" s="101" customFormat="1" spans="6:6">
      <c r="F6012" s="2423"/>
    </row>
    <row r="6013" s="101" customFormat="1" spans="6:6">
      <c r="F6013" s="2423"/>
    </row>
    <row r="6014" s="101" customFormat="1" spans="6:6">
      <c r="F6014" s="2423"/>
    </row>
    <row r="6015" s="101" customFormat="1" spans="6:6">
      <c r="F6015" s="2423"/>
    </row>
    <row r="6016" s="101" customFormat="1" spans="6:6">
      <c r="F6016" s="2423"/>
    </row>
    <row r="6017" s="101" customFormat="1" spans="6:6">
      <c r="F6017" s="2423"/>
    </row>
    <row r="6018" s="101" customFormat="1" spans="6:6">
      <c r="F6018" s="2423"/>
    </row>
    <row r="6019" s="101" customFormat="1" spans="6:6">
      <c r="F6019" s="2423"/>
    </row>
    <row r="6020" s="101" customFormat="1" spans="6:6">
      <c r="F6020" s="2423"/>
    </row>
    <row r="6021" s="101" customFormat="1" spans="6:6">
      <c r="F6021" s="2423"/>
    </row>
    <row r="6022" s="101" customFormat="1" spans="6:6">
      <c r="F6022" s="2423"/>
    </row>
    <row r="6023" s="101" customFormat="1" spans="6:6">
      <c r="F6023" s="2423"/>
    </row>
    <row r="6024" s="101" customFormat="1" spans="6:6">
      <c r="F6024" s="2423"/>
    </row>
    <row r="6025" s="101" customFormat="1" spans="6:6">
      <c r="F6025" s="2423"/>
    </row>
    <row r="6026" s="101" customFormat="1" spans="6:6">
      <c r="F6026" s="2423"/>
    </row>
    <row r="6027" s="101" customFormat="1" spans="6:6">
      <c r="F6027" s="2423"/>
    </row>
    <row r="6028" s="101" customFormat="1" spans="6:6">
      <c r="F6028" s="2423"/>
    </row>
    <row r="6029" s="101" customFormat="1" spans="6:6">
      <c r="F6029" s="2423"/>
    </row>
    <row r="6030" s="101" customFormat="1" spans="6:6">
      <c r="F6030" s="2423"/>
    </row>
    <row r="6031" s="101" customFormat="1" spans="6:6">
      <c r="F6031" s="2423"/>
    </row>
    <row r="6032" s="101" customFormat="1" spans="6:6">
      <c r="F6032" s="2423"/>
    </row>
    <row r="6033" s="101" customFormat="1" spans="6:6">
      <c r="F6033" s="2423"/>
    </row>
    <row r="6034" s="101" customFormat="1" spans="6:6">
      <c r="F6034" s="2423"/>
    </row>
    <row r="6035" s="101" customFormat="1" spans="6:6">
      <c r="F6035" s="2423"/>
    </row>
    <row r="6036" s="101" customFormat="1" spans="6:6">
      <c r="F6036" s="2423"/>
    </row>
    <row r="6037" s="101" customFormat="1" spans="6:6">
      <c r="F6037" s="2423"/>
    </row>
    <row r="6038" s="101" customFormat="1" spans="6:6">
      <c r="F6038" s="2423"/>
    </row>
    <row r="6039" s="101" customFormat="1" spans="6:6">
      <c r="F6039" s="2423"/>
    </row>
    <row r="6040" s="101" customFormat="1" spans="6:6">
      <c r="F6040" s="2423"/>
    </row>
    <row r="6041" s="101" customFormat="1" spans="6:6">
      <c r="F6041" s="2423"/>
    </row>
    <row r="6042" s="101" customFormat="1" spans="6:6">
      <c r="F6042" s="2423"/>
    </row>
    <row r="6043" s="101" customFormat="1" spans="6:6">
      <c r="F6043" s="2423"/>
    </row>
    <row r="6044" s="101" customFormat="1" spans="6:6">
      <c r="F6044" s="2423"/>
    </row>
    <row r="6045" s="101" customFormat="1" spans="6:6">
      <c r="F6045" s="2423"/>
    </row>
    <row r="6046" s="101" customFormat="1" spans="6:6">
      <c r="F6046" s="2423"/>
    </row>
    <row r="6047" s="101" customFormat="1" spans="6:6">
      <c r="F6047" s="2423"/>
    </row>
    <row r="6048" s="101" customFormat="1" spans="6:6">
      <c r="F6048" s="2423"/>
    </row>
    <row r="6049" s="101" customFormat="1" spans="6:6">
      <c r="F6049" s="2423"/>
    </row>
    <row r="6050" s="101" customFormat="1" spans="6:6">
      <c r="F6050" s="2423"/>
    </row>
    <row r="6051" s="101" customFormat="1" spans="6:6">
      <c r="F6051" s="2423"/>
    </row>
    <row r="6052" s="101" customFormat="1" spans="6:6">
      <c r="F6052" s="2423"/>
    </row>
    <row r="6053" s="101" customFormat="1" spans="6:6">
      <c r="F6053" s="2423"/>
    </row>
    <row r="6054" s="101" customFormat="1" spans="6:6">
      <c r="F6054" s="2423"/>
    </row>
    <row r="6055" s="101" customFormat="1" spans="6:6">
      <c r="F6055" s="2423"/>
    </row>
    <row r="6056" s="101" customFormat="1" spans="6:6">
      <c r="F6056" s="2423"/>
    </row>
    <row r="6057" s="101" customFormat="1" spans="6:6">
      <c r="F6057" s="2423"/>
    </row>
    <row r="6058" s="101" customFormat="1" spans="6:6">
      <c r="F6058" s="2423"/>
    </row>
    <row r="6059" s="101" customFormat="1" spans="6:6">
      <c r="F6059" s="2423"/>
    </row>
    <row r="6060" s="101" customFormat="1" spans="6:6">
      <c r="F6060" s="2423"/>
    </row>
    <row r="6061" s="101" customFormat="1" spans="6:6">
      <c r="F6061" s="2423"/>
    </row>
    <row r="6062" s="101" customFormat="1" spans="6:6">
      <c r="F6062" s="2423"/>
    </row>
    <row r="6063" s="101" customFormat="1" spans="6:6">
      <c r="F6063" s="2423"/>
    </row>
    <row r="6064" s="101" customFormat="1" spans="6:6">
      <c r="F6064" s="2423"/>
    </row>
    <row r="6065" s="101" customFormat="1" spans="6:6">
      <c r="F6065" s="2423"/>
    </row>
    <row r="6066" s="101" customFormat="1" spans="6:6">
      <c r="F6066" s="2423"/>
    </row>
    <row r="6067" s="101" customFormat="1" spans="6:6">
      <c r="F6067" s="2423"/>
    </row>
    <row r="6068" s="101" customFormat="1" spans="6:6">
      <c r="F6068" s="2423"/>
    </row>
    <row r="6069" s="101" customFormat="1" spans="6:6">
      <c r="F6069" s="2423"/>
    </row>
    <row r="6070" s="101" customFormat="1" spans="6:6">
      <c r="F6070" s="2423"/>
    </row>
    <row r="6071" s="101" customFormat="1" spans="6:6">
      <c r="F6071" s="2423"/>
    </row>
    <row r="6072" s="101" customFormat="1" spans="6:6">
      <c r="F6072" s="2423"/>
    </row>
    <row r="6073" s="101" customFormat="1" spans="6:6">
      <c r="F6073" s="2423"/>
    </row>
    <row r="6074" s="101" customFormat="1" spans="6:6">
      <c r="F6074" s="2423"/>
    </row>
    <row r="6075" s="101" customFormat="1" spans="6:6">
      <c r="F6075" s="2423"/>
    </row>
    <row r="6076" s="101" customFormat="1" spans="6:6">
      <c r="F6076" s="2423"/>
    </row>
    <row r="6077" s="101" customFormat="1" spans="6:6">
      <c r="F6077" s="2423"/>
    </row>
    <row r="6078" s="101" customFormat="1" spans="6:6">
      <c r="F6078" s="2423"/>
    </row>
    <row r="6079" s="101" customFormat="1" spans="6:6">
      <c r="F6079" s="2423"/>
    </row>
    <row r="6080" s="101" customFormat="1" spans="6:6">
      <c r="F6080" s="2423"/>
    </row>
    <row r="6081" s="101" customFormat="1" spans="6:6">
      <c r="F6081" s="2423"/>
    </row>
    <row r="6082" s="101" customFormat="1" spans="6:6">
      <c r="F6082" s="2423"/>
    </row>
    <row r="6083" s="101" customFormat="1" spans="6:6">
      <c r="F6083" s="2423"/>
    </row>
    <row r="6084" s="101" customFormat="1" spans="6:6">
      <c r="F6084" s="2423"/>
    </row>
    <row r="6085" s="101" customFormat="1" spans="6:6">
      <c r="F6085" s="2423"/>
    </row>
    <row r="6086" s="101" customFormat="1" spans="6:6">
      <c r="F6086" s="2423"/>
    </row>
    <row r="6087" s="101" customFormat="1" spans="6:6">
      <c r="F6087" s="2423"/>
    </row>
    <row r="6088" s="101" customFormat="1" spans="6:6">
      <c r="F6088" s="2423"/>
    </row>
    <row r="6089" s="101" customFormat="1" spans="6:6">
      <c r="F6089" s="2423"/>
    </row>
    <row r="6090" s="101" customFormat="1" spans="6:6">
      <c r="F6090" s="2423"/>
    </row>
    <row r="6091" s="101" customFormat="1" spans="6:6">
      <c r="F6091" s="2423"/>
    </row>
    <row r="6092" s="101" customFormat="1" spans="6:6">
      <c r="F6092" s="2423"/>
    </row>
    <row r="6093" s="101" customFormat="1" spans="6:6">
      <c r="F6093" s="2423"/>
    </row>
    <row r="6094" s="101" customFormat="1" spans="6:6">
      <c r="F6094" s="2423"/>
    </row>
    <row r="6095" s="101" customFormat="1" spans="6:6">
      <c r="F6095" s="2423"/>
    </row>
    <row r="6096" s="101" customFormat="1" spans="6:6">
      <c r="F6096" s="2423"/>
    </row>
    <row r="6097" s="101" customFormat="1" spans="6:6">
      <c r="F6097" s="2423"/>
    </row>
    <row r="6098" s="101" customFormat="1" spans="6:6">
      <c r="F6098" s="2423"/>
    </row>
    <row r="6099" s="101" customFormat="1" spans="6:6">
      <c r="F6099" s="2423"/>
    </row>
    <row r="6100" s="101" customFormat="1" spans="6:6">
      <c r="F6100" s="2423"/>
    </row>
    <row r="6101" s="101" customFormat="1" spans="6:6">
      <c r="F6101" s="2423"/>
    </row>
    <row r="6102" s="101" customFormat="1" spans="6:6">
      <c r="F6102" s="2423"/>
    </row>
    <row r="6103" s="101" customFormat="1" spans="6:6">
      <c r="F6103" s="2423"/>
    </row>
    <row r="6104" s="101" customFormat="1" spans="6:6">
      <c r="F6104" s="2423"/>
    </row>
    <row r="6105" s="101" customFormat="1" spans="6:6">
      <c r="F6105" s="2423"/>
    </row>
    <row r="6106" s="101" customFormat="1" spans="6:6">
      <c r="F6106" s="2423"/>
    </row>
    <row r="6107" s="101" customFormat="1" spans="6:6">
      <c r="F6107" s="2423"/>
    </row>
    <row r="6108" s="101" customFormat="1" spans="6:6">
      <c r="F6108" s="2423"/>
    </row>
    <row r="6109" s="101" customFormat="1" spans="6:6">
      <c r="F6109" s="2423"/>
    </row>
    <row r="6110" s="101" customFormat="1" spans="6:6">
      <c r="F6110" s="2423"/>
    </row>
    <row r="6111" s="101" customFormat="1" spans="6:6">
      <c r="F6111" s="2423"/>
    </row>
    <row r="6112" s="101" customFormat="1" spans="6:6">
      <c r="F6112" s="2423"/>
    </row>
    <row r="6113" s="101" customFormat="1" spans="6:6">
      <c r="F6113" s="2423"/>
    </row>
    <row r="6114" s="101" customFormat="1" spans="6:6">
      <c r="F6114" s="2423"/>
    </row>
    <row r="6115" s="101" customFormat="1" spans="6:6">
      <c r="F6115" s="2423"/>
    </row>
    <row r="6116" s="101" customFormat="1" spans="6:6">
      <c r="F6116" s="2423"/>
    </row>
    <row r="6117" s="101" customFormat="1" spans="6:6">
      <c r="F6117" s="2423"/>
    </row>
    <row r="6118" s="101" customFormat="1" spans="6:6">
      <c r="F6118" s="2423"/>
    </row>
    <row r="6119" s="101" customFormat="1" spans="6:6">
      <c r="F6119" s="2423"/>
    </row>
    <row r="6120" s="101" customFormat="1" spans="6:6">
      <c r="F6120" s="2423"/>
    </row>
    <row r="6121" s="101" customFormat="1" spans="6:6">
      <c r="F6121" s="2423"/>
    </row>
    <row r="6122" s="101" customFormat="1" spans="6:6">
      <c r="F6122" s="2423"/>
    </row>
    <row r="6123" s="101" customFormat="1" spans="6:6">
      <c r="F6123" s="2423"/>
    </row>
    <row r="6124" s="101" customFormat="1" spans="6:6">
      <c r="F6124" s="2423"/>
    </row>
    <row r="6125" s="101" customFormat="1" spans="6:6">
      <c r="F6125" s="2423"/>
    </row>
    <row r="6126" s="101" customFormat="1" spans="6:6">
      <c r="F6126" s="2423"/>
    </row>
    <row r="6127" s="101" customFormat="1" spans="6:6">
      <c r="F6127" s="2423"/>
    </row>
    <row r="6128" s="101" customFormat="1" spans="6:6">
      <c r="F6128" s="2423"/>
    </row>
    <row r="6129" s="101" customFormat="1" spans="6:6">
      <c r="F6129" s="2423"/>
    </row>
    <row r="6130" s="101" customFormat="1" spans="6:6">
      <c r="F6130" s="2423"/>
    </row>
    <row r="6131" s="101" customFormat="1" spans="6:6">
      <c r="F6131" s="2423"/>
    </row>
    <row r="6132" s="101" customFormat="1" spans="6:6">
      <c r="F6132" s="2423"/>
    </row>
    <row r="6133" s="101" customFormat="1" spans="6:6">
      <c r="F6133" s="2423"/>
    </row>
    <row r="6134" s="101" customFormat="1" spans="6:6">
      <c r="F6134" s="2423"/>
    </row>
    <row r="6135" s="101" customFormat="1" spans="6:6">
      <c r="F6135" s="2423"/>
    </row>
    <row r="6136" s="101" customFormat="1" spans="6:6">
      <c r="F6136" s="2423"/>
    </row>
    <row r="6137" s="101" customFormat="1" spans="6:6">
      <c r="F6137" s="2423"/>
    </row>
    <row r="6138" s="101" customFormat="1" spans="6:6">
      <c r="F6138" s="2423"/>
    </row>
    <row r="6139" s="101" customFormat="1" spans="6:6">
      <c r="F6139" s="2423"/>
    </row>
    <row r="6140" s="101" customFormat="1" spans="6:6">
      <c r="F6140" s="2423"/>
    </row>
    <row r="6141" s="101" customFormat="1" spans="6:6">
      <c r="F6141" s="2423"/>
    </row>
    <row r="6142" s="101" customFormat="1" spans="6:6">
      <c r="F6142" s="2423"/>
    </row>
    <row r="6143" s="101" customFormat="1" spans="6:6">
      <c r="F6143" s="2423"/>
    </row>
    <row r="6144" s="101" customFormat="1" spans="6:6">
      <c r="F6144" s="2423"/>
    </row>
    <row r="6145" s="101" customFormat="1" spans="6:6">
      <c r="F6145" s="2423"/>
    </row>
    <row r="6146" s="101" customFormat="1" spans="6:6">
      <c r="F6146" s="2423"/>
    </row>
    <row r="6147" s="101" customFormat="1" spans="6:6">
      <c r="F6147" s="2423"/>
    </row>
    <row r="6148" s="101" customFormat="1" spans="6:6">
      <c r="F6148" s="2423"/>
    </row>
    <row r="6149" s="101" customFormat="1" spans="6:6">
      <c r="F6149" s="2423"/>
    </row>
    <row r="6150" s="101" customFormat="1" spans="6:6">
      <c r="F6150" s="2423"/>
    </row>
    <row r="6151" s="101" customFormat="1" spans="6:6">
      <c r="F6151" s="2423"/>
    </row>
    <row r="6152" s="101" customFormat="1" spans="6:6">
      <c r="F6152" s="2423"/>
    </row>
    <row r="6153" s="101" customFormat="1" spans="6:6">
      <c r="F6153" s="2423"/>
    </row>
    <row r="6154" s="101" customFormat="1" spans="6:6">
      <c r="F6154" s="2423"/>
    </row>
    <row r="6155" s="101" customFormat="1" spans="6:6">
      <c r="F6155" s="2423"/>
    </row>
    <row r="6156" s="101" customFormat="1" spans="6:6">
      <c r="F6156" s="2423"/>
    </row>
    <row r="6157" s="101" customFormat="1" spans="6:6">
      <c r="F6157" s="2423"/>
    </row>
    <row r="6158" s="101" customFormat="1" spans="6:6">
      <c r="F6158" s="2423"/>
    </row>
    <row r="6159" s="101" customFormat="1" spans="6:6">
      <c r="F6159" s="2423"/>
    </row>
    <row r="6160" s="101" customFormat="1" spans="6:6">
      <c r="F6160" s="2423"/>
    </row>
    <row r="6161" s="101" customFormat="1" spans="6:6">
      <c r="F6161" s="2423"/>
    </row>
    <row r="6162" s="101" customFormat="1" spans="6:6">
      <c r="F6162" s="2423"/>
    </row>
    <row r="6163" s="101" customFormat="1" spans="6:6">
      <c r="F6163" s="2423"/>
    </row>
    <row r="6164" s="101" customFormat="1" spans="6:6">
      <c r="F6164" s="2423"/>
    </row>
    <row r="6165" s="101" customFormat="1" spans="6:6">
      <c r="F6165" s="2423"/>
    </row>
    <row r="6166" s="101" customFormat="1" spans="6:6">
      <c r="F6166" s="2423"/>
    </row>
    <row r="6167" s="101" customFormat="1" spans="6:6">
      <c r="F6167" s="2423"/>
    </row>
    <row r="6168" s="101" customFormat="1" spans="6:6">
      <c r="F6168" s="2423"/>
    </row>
    <row r="6169" s="101" customFormat="1" spans="6:6">
      <c r="F6169" s="2423"/>
    </row>
    <row r="6170" s="101" customFormat="1" spans="6:6">
      <c r="F6170" s="2423"/>
    </row>
    <row r="6171" s="101" customFormat="1" spans="6:6">
      <c r="F6171" s="2423"/>
    </row>
    <row r="6172" s="101" customFormat="1" spans="6:6">
      <c r="F6172" s="2423"/>
    </row>
    <row r="6173" s="101" customFormat="1" spans="6:6">
      <c r="F6173" s="2423"/>
    </row>
    <row r="6174" s="101" customFormat="1" spans="6:6">
      <c r="F6174" s="2423"/>
    </row>
    <row r="6175" s="101" customFormat="1" spans="6:6">
      <c r="F6175" s="2423"/>
    </row>
    <row r="6176" s="101" customFormat="1" spans="6:6">
      <c r="F6176" s="2423"/>
    </row>
    <row r="6177" s="101" customFormat="1" spans="6:6">
      <c r="F6177" s="2423"/>
    </row>
    <row r="6178" s="101" customFormat="1" spans="6:6">
      <c r="F6178" s="2423"/>
    </row>
    <row r="6179" s="101" customFormat="1" spans="6:6">
      <c r="F6179" s="2423"/>
    </row>
    <row r="6180" s="101" customFormat="1" spans="6:6">
      <c r="F6180" s="2423"/>
    </row>
    <row r="6181" s="101" customFormat="1" spans="6:6">
      <c r="F6181" s="2423"/>
    </row>
    <row r="6182" s="101" customFormat="1" spans="6:6">
      <c r="F6182" s="2423"/>
    </row>
    <row r="6183" s="101" customFormat="1" spans="6:6">
      <c r="F6183" s="2423"/>
    </row>
    <row r="6184" s="101" customFormat="1" spans="6:6">
      <c r="F6184" s="2423"/>
    </row>
    <row r="6185" s="101" customFormat="1" spans="6:6">
      <c r="F6185" s="2423"/>
    </row>
    <row r="6186" s="101" customFormat="1" spans="6:6">
      <c r="F6186" s="2423"/>
    </row>
    <row r="6187" s="101" customFormat="1" spans="6:6">
      <c r="F6187" s="2423"/>
    </row>
    <row r="6188" s="101" customFormat="1" spans="6:6">
      <c r="F6188" s="2423"/>
    </row>
    <row r="6189" s="101" customFormat="1" spans="6:6">
      <c r="F6189" s="2423"/>
    </row>
    <row r="6190" s="101" customFormat="1" spans="6:6">
      <c r="F6190" s="2423"/>
    </row>
    <row r="6191" s="101" customFormat="1" spans="6:6">
      <c r="F6191" s="2423"/>
    </row>
    <row r="6192" s="101" customFormat="1" spans="6:6">
      <c r="F6192" s="2423"/>
    </row>
    <row r="6193" s="101" customFormat="1" spans="6:6">
      <c r="F6193" s="2423"/>
    </row>
    <row r="6194" s="101" customFormat="1" spans="6:6">
      <c r="F6194" s="2423"/>
    </row>
    <row r="6195" s="101" customFormat="1" spans="6:6">
      <c r="F6195" s="2423"/>
    </row>
    <row r="6196" s="101" customFormat="1" spans="6:6">
      <c r="F6196" s="2423"/>
    </row>
    <row r="6197" s="101" customFormat="1" spans="6:6">
      <c r="F6197" s="2423"/>
    </row>
    <row r="6198" s="101" customFormat="1" spans="6:6">
      <c r="F6198" s="2423"/>
    </row>
    <row r="6199" s="101" customFormat="1" spans="6:6">
      <c r="F6199" s="2423"/>
    </row>
    <row r="6200" s="101" customFormat="1" spans="6:6">
      <c r="F6200" s="2423"/>
    </row>
    <row r="6201" s="101" customFormat="1" spans="6:6">
      <c r="F6201" s="2423"/>
    </row>
    <row r="6202" s="101" customFormat="1" spans="6:6">
      <c r="F6202" s="2423"/>
    </row>
    <row r="6203" s="101" customFormat="1" spans="6:6">
      <c r="F6203" s="2423"/>
    </row>
    <row r="6204" s="101" customFormat="1" spans="6:6">
      <c r="F6204" s="2423"/>
    </row>
    <row r="6205" s="101" customFormat="1" spans="6:6">
      <c r="F6205" s="2423"/>
    </row>
    <row r="6206" s="101" customFormat="1" spans="6:6">
      <c r="F6206" s="2423"/>
    </row>
    <row r="6207" s="101" customFormat="1" spans="6:6">
      <c r="F6207" s="2423"/>
    </row>
    <row r="6208" s="101" customFormat="1" spans="6:6">
      <c r="F6208" s="2423"/>
    </row>
    <row r="6209" s="101" customFormat="1" spans="6:6">
      <c r="F6209" s="2423"/>
    </row>
    <row r="6210" s="101" customFormat="1" spans="6:6">
      <c r="F6210" s="2423"/>
    </row>
    <row r="6211" s="101" customFormat="1" spans="6:6">
      <c r="F6211" s="2423"/>
    </row>
    <row r="6212" s="101" customFormat="1" spans="6:6">
      <c r="F6212" s="2423"/>
    </row>
    <row r="6213" s="101" customFormat="1" spans="6:6">
      <c r="F6213" s="2423"/>
    </row>
    <row r="6214" s="101" customFormat="1" spans="6:6">
      <c r="F6214" s="2423"/>
    </row>
    <row r="6215" s="101" customFormat="1" spans="6:6">
      <c r="F6215" s="2423"/>
    </row>
    <row r="6216" s="101" customFormat="1" spans="6:6">
      <c r="F6216" s="2423"/>
    </row>
    <row r="6217" s="101" customFormat="1" spans="6:6">
      <c r="F6217" s="2423"/>
    </row>
    <row r="6218" s="101" customFormat="1" spans="6:6">
      <c r="F6218" s="2423"/>
    </row>
    <row r="6219" s="101" customFormat="1" spans="6:6">
      <c r="F6219" s="2423"/>
    </row>
    <row r="6220" s="101" customFormat="1" spans="6:6">
      <c r="F6220" s="2423"/>
    </row>
    <row r="6221" s="101" customFormat="1" spans="6:6">
      <c r="F6221" s="2423"/>
    </row>
    <row r="6222" s="101" customFormat="1" spans="6:6">
      <c r="F6222" s="2423"/>
    </row>
    <row r="6223" s="101" customFormat="1" spans="6:6">
      <c r="F6223" s="2423"/>
    </row>
    <row r="6224" s="101" customFormat="1" spans="6:6">
      <c r="F6224" s="2423"/>
    </row>
    <row r="6225" s="101" customFormat="1" spans="6:6">
      <c r="F6225" s="2423"/>
    </row>
    <row r="6226" s="101" customFormat="1" spans="6:6">
      <c r="F6226" s="2423"/>
    </row>
    <row r="6227" s="101" customFormat="1" spans="6:6">
      <c r="F6227" s="2423"/>
    </row>
    <row r="6228" s="101" customFormat="1" spans="6:6">
      <c r="F6228" s="2423"/>
    </row>
    <row r="6229" s="101" customFormat="1" spans="6:6">
      <c r="F6229" s="2423"/>
    </row>
    <row r="6230" s="101" customFormat="1" spans="6:6">
      <c r="F6230" s="2423"/>
    </row>
    <row r="6231" s="101" customFormat="1" spans="6:6">
      <c r="F6231" s="2423"/>
    </row>
    <row r="6232" s="101" customFormat="1" spans="6:6">
      <c r="F6232" s="2423"/>
    </row>
    <row r="6233" s="101" customFormat="1" spans="6:6">
      <c r="F6233" s="2423"/>
    </row>
    <row r="6234" s="101" customFormat="1" spans="6:6">
      <c r="F6234" s="2423"/>
    </row>
    <row r="6235" s="101" customFormat="1" spans="6:6">
      <c r="F6235" s="2423"/>
    </row>
    <row r="6236" s="101" customFormat="1" spans="6:6">
      <c r="F6236" s="2423"/>
    </row>
    <row r="6237" s="101" customFormat="1" spans="6:6">
      <c r="F6237" s="2423"/>
    </row>
    <row r="6238" s="101" customFormat="1" spans="6:6">
      <c r="F6238" s="2423"/>
    </row>
    <row r="6239" s="101" customFormat="1" spans="6:6">
      <c r="F6239" s="2423"/>
    </row>
    <row r="6240" s="101" customFormat="1" spans="6:6">
      <c r="F6240" s="2423"/>
    </row>
    <row r="6241" s="101" customFormat="1" spans="6:6">
      <c r="F6241" s="2423"/>
    </row>
    <row r="6242" s="101" customFormat="1" spans="6:6">
      <c r="F6242" s="2423"/>
    </row>
    <row r="6243" s="101" customFormat="1" spans="6:6">
      <c r="F6243" s="2423"/>
    </row>
    <row r="6244" s="101" customFormat="1" spans="6:6">
      <c r="F6244" s="2423"/>
    </row>
    <row r="6245" s="101" customFormat="1" spans="6:6">
      <c r="F6245" s="2423"/>
    </row>
    <row r="6246" s="101" customFormat="1" spans="6:6">
      <c r="F6246" s="2423"/>
    </row>
    <row r="6247" s="101" customFormat="1" spans="6:6">
      <c r="F6247" s="2423"/>
    </row>
    <row r="6248" s="101" customFormat="1" spans="6:6">
      <c r="F6248" s="2423"/>
    </row>
    <row r="6249" s="101" customFormat="1" spans="6:6">
      <c r="F6249" s="2423"/>
    </row>
    <row r="6250" s="101" customFormat="1" spans="6:6">
      <c r="F6250" s="2423"/>
    </row>
    <row r="6251" s="101" customFormat="1" spans="6:6">
      <c r="F6251" s="2423"/>
    </row>
    <row r="6252" s="101" customFormat="1" spans="6:6">
      <c r="F6252" s="2423"/>
    </row>
    <row r="6253" s="101" customFormat="1" spans="6:6">
      <c r="F6253" s="2423"/>
    </row>
    <row r="6254" s="101" customFormat="1" spans="6:6">
      <c r="F6254" s="2423"/>
    </row>
    <row r="6255" s="101" customFormat="1" spans="6:6">
      <c r="F6255" s="2423"/>
    </row>
    <row r="6256" s="101" customFormat="1" spans="6:6">
      <c r="F6256" s="2423"/>
    </row>
    <row r="6257" s="101" customFormat="1" spans="6:6">
      <c r="F6257" s="2423"/>
    </row>
    <row r="6258" s="101" customFormat="1" spans="6:6">
      <c r="F6258" s="2423"/>
    </row>
    <row r="6259" s="101" customFormat="1" spans="6:6">
      <c r="F6259" s="2423"/>
    </row>
    <row r="6260" s="101" customFormat="1" spans="6:6">
      <c r="F6260" s="2423"/>
    </row>
    <row r="6261" s="101" customFormat="1" spans="6:6">
      <c r="F6261" s="2423"/>
    </row>
    <row r="6262" s="101" customFormat="1" spans="6:6">
      <c r="F6262" s="2423"/>
    </row>
    <row r="6263" s="101" customFormat="1" spans="6:6">
      <c r="F6263" s="2423"/>
    </row>
    <row r="6264" s="101" customFormat="1" spans="6:6">
      <c r="F6264" s="2423"/>
    </row>
    <row r="6265" s="101" customFormat="1" spans="6:6">
      <c r="F6265" s="2423"/>
    </row>
    <row r="6266" s="101" customFormat="1" spans="6:6">
      <c r="F6266" s="2423"/>
    </row>
    <row r="6267" s="101" customFormat="1" spans="6:6">
      <c r="F6267" s="2423"/>
    </row>
    <row r="6268" s="101" customFormat="1" spans="6:6">
      <c r="F6268" s="2423"/>
    </row>
    <row r="6269" s="101" customFormat="1" spans="6:6">
      <c r="F6269" s="2423"/>
    </row>
    <row r="6270" s="101" customFormat="1" spans="6:6">
      <c r="F6270" s="2423"/>
    </row>
    <row r="6271" s="101" customFormat="1" spans="6:6">
      <c r="F6271" s="2423"/>
    </row>
    <row r="6272" s="101" customFormat="1" spans="6:6">
      <c r="F6272" s="2423"/>
    </row>
    <row r="6273" s="101" customFormat="1" spans="6:6">
      <c r="F6273" s="2423"/>
    </row>
    <row r="6274" s="101" customFormat="1" spans="6:6">
      <c r="F6274" s="2423"/>
    </row>
    <row r="6275" s="101" customFormat="1" spans="6:6">
      <c r="F6275" s="2423"/>
    </row>
    <row r="6276" s="101" customFormat="1" spans="6:6">
      <c r="F6276" s="2423"/>
    </row>
    <row r="6277" s="101" customFormat="1" spans="6:6">
      <c r="F6277" s="2423"/>
    </row>
    <row r="6278" s="101" customFormat="1" spans="6:6">
      <c r="F6278" s="2423"/>
    </row>
    <row r="6279" s="101" customFormat="1" spans="6:6">
      <c r="F6279" s="2423"/>
    </row>
    <row r="6280" s="101" customFormat="1" spans="6:6">
      <c r="F6280" s="2423"/>
    </row>
    <row r="6281" s="101" customFormat="1" spans="6:6">
      <c r="F6281" s="2423"/>
    </row>
    <row r="6282" s="101" customFormat="1" spans="6:6">
      <c r="F6282" s="2423"/>
    </row>
    <row r="6283" s="101" customFormat="1" spans="6:6">
      <c r="F6283" s="2423"/>
    </row>
    <row r="6284" s="101" customFormat="1" spans="6:6">
      <c r="F6284" s="2423"/>
    </row>
    <row r="6285" s="101" customFormat="1" spans="6:6">
      <c r="F6285" s="2423"/>
    </row>
    <row r="6286" s="101" customFormat="1" spans="6:6">
      <c r="F6286" s="2423"/>
    </row>
    <row r="6287" s="101" customFormat="1" spans="6:6">
      <c r="F6287" s="2423"/>
    </row>
    <row r="6288" s="101" customFormat="1" spans="6:6">
      <c r="F6288" s="2423"/>
    </row>
    <row r="6289" s="101" customFormat="1" spans="6:6">
      <c r="F6289" s="2423"/>
    </row>
    <row r="6290" s="101" customFormat="1" spans="6:6">
      <c r="F6290" s="2423"/>
    </row>
    <row r="6291" s="101" customFormat="1" spans="6:6">
      <c r="F6291" s="2423"/>
    </row>
    <row r="6292" s="101" customFormat="1" spans="6:6">
      <c r="F6292" s="2423"/>
    </row>
    <row r="6293" s="101" customFormat="1" spans="6:6">
      <c r="F6293" s="2423"/>
    </row>
    <row r="6294" s="101" customFormat="1" spans="6:6">
      <c r="F6294" s="2423"/>
    </row>
    <row r="6295" s="101" customFormat="1" spans="6:6">
      <c r="F6295" s="2423"/>
    </row>
    <row r="6296" s="101" customFormat="1" spans="6:6">
      <c r="F6296" s="2423"/>
    </row>
    <row r="6297" s="101" customFormat="1" spans="6:6">
      <c r="F6297" s="2423"/>
    </row>
    <row r="6298" s="101" customFormat="1" spans="6:6">
      <c r="F6298" s="2423"/>
    </row>
    <row r="6299" s="101" customFormat="1" spans="6:6">
      <c r="F6299" s="2423"/>
    </row>
    <row r="6300" s="101" customFormat="1" spans="6:6">
      <c r="F6300" s="2423"/>
    </row>
    <row r="6301" s="101" customFormat="1" spans="6:6">
      <c r="F6301" s="2423"/>
    </row>
    <row r="6302" s="101" customFormat="1" spans="6:6">
      <c r="F6302" s="2423"/>
    </row>
    <row r="6303" s="101" customFormat="1" spans="6:6">
      <c r="F6303" s="2423"/>
    </row>
    <row r="6304" s="101" customFormat="1" spans="6:6">
      <c r="F6304" s="2423"/>
    </row>
    <row r="6305" s="101" customFormat="1" spans="6:6">
      <c r="F6305" s="2423"/>
    </row>
    <row r="6306" s="101" customFormat="1" spans="6:6">
      <c r="F6306" s="2423"/>
    </row>
    <row r="6307" s="101" customFormat="1" spans="6:6">
      <c r="F6307" s="2423"/>
    </row>
    <row r="6308" s="101" customFormat="1" spans="6:6">
      <c r="F6308" s="2423"/>
    </row>
    <row r="6309" s="101" customFormat="1" spans="6:6">
      <c r="F6309" s="2423"/>
    </row>
    <row r="6310" s="101" customFormat="1" spans="6:6">
      <c r="F6310" s="2423"/>
    </row>
    <row r="6311" s="101" customFormat="1" spans="6:6">
      <c r="F6311" s="2423"/>
    </row>
    <row r="6312" s="101" customFormat="1" spans="6:6">
      <c r="F6312" s="2423"/>
    </row>
    <row r="6313" s="101" customFormat="1" spans="6:6">
      <c r="F6313" s="2423"/>
    </row>
    <row r="6314" s="101" customFormat="1" spans="6:6">
      <c r="F6314" s="2423"/>
    </row>
    <row r="6315" s="101" customFormat="1" spans="6:6">
      <c r="F6315" s="2423"/>
    </row>
    <row r="6316" s="101" customFormat="1" spans="6:6">
      <c r="F6316" s="2423"/>
    </row>
    <row r="6317" s="101" customFormat="1" spans="6:6">
      <c r="F6317" s="2423"/>
    </row>
    <row r="6318" s="101" customFormat="1" spans="6:6">
      <c r="F6318" s="2423"/>
    </row>
    <row r="6319" s="101" customFormat="1" spans="6:6">
      <c r="F6319" s="2423"/>
    </row>
    <row r="6320" s="101" customFormat="1" spans="6:6">
      <c r="F6320" s="2423"/>
    </row>
    <row r="6321" s="101" customFormat="1" spans="6:6">
      <c r="F6321" s="2423"/>
    </row>
    <row r="6322" s="101" customFormat="1" spans="6:6">
      <c r="F6322" s="2423"/>
    </row>
    <row r="6323" s="101" customFormat="1" spans="6:6">
      <c r="F6323" s="2423"/>
    </row>
    <row r="6324" s="101" customFormat="1" spans="6:6">
      <c r="F6324" s="2423"/>
    </row>
    <row r="6325" s="101" customFormat="1" spans="6:6">
      <c r="F6325" s="2423"/>
    </row>
    <row r="6326" s="101" customFormat="1" spans="6:6">
      <c r="F6326" s="2423"/>
    </row>
    <row r="6327" s="101" customFormat="1" spans="6:6">
      <c r="F6327" s="2423"/>
    </row>
    <row r="6328" s="101" customFormat="1" spans="6:6">
      <c r="F6328" s="2423"/>
    </row>
    <row r="6329" s="101" customFormat="1" spans="6:6">
      <c r="F6329" s="2423"/>
    </row>
    <row r="6330" s="101" customFormat="1" spans="6:6">
      <c r="F6330" s="2423"/>
    </row>
    <row r="6331" s="101" customFormat="1" spans="6:6">
      <c r="F6331" s="2423"/>
    </row>
    <row r="6332" s="101" customFormat="1" spans="6:6">
      <c r="F6332" s="2423"/>
    </row>
    <row r="6333" s="101" customFormat="1" spans="6:6">
      <c r="F6333" s="2423"/>
    </row>
    <row r="6334" s="101" customFormat="1" spans="6:6">
      <c r="F6334" s="2423"/>
    </row>
    <row r="6335" s="101" customFormat="1" spans="6:6">
      <c r="F6335" s="2423"/>
    </row>
    <row r="6336" s="101" customFormat="1" spans="6:6">
      <c r="F6336" s="2423"/>
    </row>
    <row r="6337" s="101" customFormat="1" spans="6:6">
      <c r="F6337" s="2423"/>
    </row>
    <row r="6338" s="101" customFormat="1" spans="6:6">
      <c r="F6338" s="2423"/>
    </row>
    <row r="6339" s="101" customFormat="1" spans="6:6">
      <c r="F6339" s="2423"/>
    </row>
    <row r="6340" s="101" customFormat="1" spans="6:6">
      <c r="F6340" s="2423"/>
    </row>
    <row r="6341" s="101" customFormat="1" spans="6:6">
      <c r="F6341" s="2423"/>
    </row>
    <row r="6342" s="101" customFormat="1" spans="6:6">
      <c r="F6342" s="2423"/>
    </row>
    <row r="6343" s="101" customFormat="1" spans="6:6">
      <c r="F6343" s="2423"/>
    </row>
    <row r="6344" s="101" customFormat="1" spans="6:6">
      <c r="F6344" s="2423"/>
    </row>
    <row r="6345" s="101" customFormat="1" spans="6:6">
      <c r="F6345" s="2423"/>
    </row>
    <row r="6346" s="101" customFormat="1" spans="6:6">
      <c r="F6346" s="2423"/>
    </row>
    <row r="6347" s="101" customFormat="1" spans="6:6">
      <c r="F6347" s="2423"/>
    </row>
    <row r="6348" s="101" customFormat="1" spans="6:6">
      <c r="F6348" s="2423"/>
    </row>
    <row r="6349" s="101" customFormat="1" spans="6:6">
      <c r="F6349" s="2423"/>
    </row>
    <row r="6350" s="101" customFormat="1" spans="6:6">
      <c r="F6350" s="2423"/>
    </row>
    <row r="6351" s="101" customFormat="1" spans="6:6">
      <c r="F6351" s="2423"/>
    </row>
    <row r="6352" s="101" customFormat="1" spans="6:6">
      <c r="F6352" s="2423"/>
    </row>
    <row r="6353" s="101" customFormat="1" spans="6:6">
      <c r="F6353" s="2423"/>
    </row>
    <row r="6354" s="101" customFormat="1" spans="6:6">
      <c r="F6354" s="2423"/>
    </row>
    <row r="6355" s="101" customFormat="1" spans="6:6">
      <c r="F6355" s="2423"/>
    </row>
    <row r="6356" s="101" customFormat="1" spans="6:6">
      <c r="F6356" s="2423"/>
    </row>
    <row r="6357" s="101" customFormat="1" spans="6:6">
      <c r="F6357" s="2423"/>
    </row>
    <row r="6358" s="101" customFormat="1" spans="6:6">
      <c r="F6358" s="2423"/>
    </row>
    <row r="6359" s="101" customFormat="1" spans="6:6">
      <c r="F6359" s="2423"/>
    </row>
    <row r="6360" s="101" customFormat="1" spans="6:6">
      <c r="F6360" s="2423"/>
    </row>
    <row r="6361" s="101" customFormat="1" spans="6:6">
      <c r="F6361" s="2423"/>
    </row>
    <row r="6362" s="101" customFormat="1" spans="6:6">
      <c r="F6362" s="2423"/>
    </row>
    <row r="6363" s="101" customFormat="1" spans="6:6">
      <c r="F6363" s="2423"/>
    </row>
    <row r="6364" s="101" customFormat="1" spans="6:6">
      <c r="F6364" s="2423"/>
    </row>
    <row r="6365" s="101" customFormat="1" spans="6:6">
      <c r="F6365" s="2423"/>
    </row>
    <row r="6366" s="101" customFormat="1" spans="6:6">
      <c r="F6366" s="2423"/>
    </row>
    <row r="6367" s="101" customFormat="1" spans="6:6">
      <c r="F6367" s="2423"/>
    </row>
    <row r="6368" s="101" customFormat="1" spans="6:6">
      <c r="F6368" s="2423"/>
    </row>
    <row r="6369" s="101" customFormat="1" spans="6:6">
      <c r="F6369" s="2423"/>
    </row>
    <row r="6370" s="101" customFormat="1" spans="6:6">
      <c r="F6370" s="2423"/>
    </row>
    <row r="6371" s="101" customFormat="1" spans="6:6">
      <c r="F6371" s="2423"/>
    </row>
    <row r="6372" s="101" customFormat="1" spans="6:6">
      <c r="F6372" s="2423"/>
    </row>
    <row r="6373" s="101" customFormat="1" spans="6:6">
      <c r="F6373" s="2423"/>
    </row>
    <row r="6374" s="101" customFormat="1" spans="6:6">
      <c r="F6374" s="2423"/>
    </row>
    <row r="6375" s="101" customFormat="1" spans="6:6">
      <c r="F6375" s="2423"/>
    </row>
    <row r="6376" s="101" customFormat="1" spans="6:6">
      <c r="F6376" s="2423"/>
    </row>
    <row r="6377" s="101" customFormat="1" spans="6:6">
      <c r="F6377" s="2423"/>
    </row>
    <row r="6378" s="101" customFormat="1" spans="6:6">
      <c r="F6378" s="2423"/>
    </row>
    <row r="6379" s="101" customFormat="1" spans="6:6">
      <c r="F6379" s="2423"/>
    </row>
    <row r="6380" s="101" customFormat="1" spans="6:6">
      <c r="F6380" s="2423"/>
    </row>
    <row r="6381" s="101" customFormat="1" spans="6:6">
      <c r="F6381" s="2423"/>
    </row>
    <row r="6382" s="101" customFormat="1" spans="6:6">
      <c r="F6382" s="2423"/>
    </row>
    <row r="6383" s="101" customFormat="1" spans="6:6">
      <c r="F6383" s="2423"/>
    </row>
    <row r="6384" s="101" customFormat="1" spans="6:6">
      <c r="F6384" s="2423"/>
    </row>
    <row r="6385" s="101" customFormat="1" spans="6:6">
      <c r="F6385" s="2423"/>
    </row>
    <row r="6386" s="101" customFormat="1" spans="6:6">
      <c r="F6386" s="2423"/>
    </row>
    <row r="6387" s="101" customFormat="1" spans="6:6">
      <c r="F6387" s="2423"/>
    </row>
    <row r="6388" s="101" customFormat="1" spans="6:6">
      <c r="F6388" s="2423"/>
    </row>
    <row r="6389" s="101" customFormat="1" spans="6:6">
      <c r="F6389" s="2423"/>
    </row>
    <row r="6390" s="101" customFormat="1" spans="6:6">
      <c r="F6390" s="2423"/>
    </row>
    <row r="6391" s="101" customFormat="1" spans="6:6">
      <c r="F6391" s="2423"/>
    </row>
    <row r="6392" s="101" customFormat="1" spans="6:6">
      <c r="F6392" s="2423"/>
    </row>
    <row r="6393" s="101" customFormat="1" spans="6:6">
      <c r="F6393" s="2423"/>
    </row>
    <row r="6394" s="101" customFormat="1" spans="6:6">
      <c r="F6394" s="2423"/>
    </row>
    <row r="6395" s="101" customFormat="1" spans="6:6">
      <c r="F6395" s="2423"/>
    </row>
    <row r="6396" s="101" customFormat="1" spans="6:6">
      <c r="F6396" s="2423"/>
    </row>
    <row r="6397" s="101" customFormat="1" spans="6:6">
      <c r="F6397" s="2423"/>
    </row>
    <row r="6398" s="101" customFormat="1" spans="6:6">
      <c r="F6398" s="2423"/>
    </row>
    <row r="6399" s="101" customFormat="1" spans="6:6">
      <c r="F6399" s="2423"/>
    </row>
    <row r="6400" s="101" customFormat="1" spans="6:6">
      <c r="F6400" s="2423"/>
    </row>
    <row r="6401" s="101" customFormat="1" spans="6:6">
      <c r="F6401" s="2423"/>
    </row>
    <row r="6402" s="101" customFormat="1" spans="6:6">
      <c r="F6402" s="2423"/>
    </row>
    <row r="6403" s="101" customFormat="1" spans="6:6">
      <c r="F6403" s="2423"/>
    </row>
    <row r="6404" s="101" customFormat="1" spans="6:6">
      <c r="F6404" s="2423"/>
    </row>
    <row r="6405" s="101" customFormat="1" spans="6:6">
      <c r="F6405" s="2423"/>
    </row>
    <row r="6406" s="101" customFormat="1" spans="6:6">
      <c r="F6406" s="2423"/>
    </row>
    <row r="6407" s="101" customFormat="1" spans="6:6">
      <c r="F6407" s="2423"/>
    </row>
    <row r="6408" s="101" customFormat="1" spans="6:6">
      <c r="F6408" s="2423"/>
    </row>
    <row r="6409" s="101" customFormat="1" spans="6:6">
      <c r="F6409" s="2423"/>
    </row>
    <row r="6410" s="101" customFormat="1" spans="6:6">
      <c r="F6410" s="2423"/>
    </row>
    <row r="6411" s="101" customFormat="1" spans="6:6">
      <c r="F6411" s="2423"/>
    </row>
    <row r="6412" s="101" customFormat="1" spans="6:6">
      <c r="F6412" s="2423"/>
    </row>
    <row r="6413" s="101" customFormat="1" spans="6:6">
      <c r="F6413" s="2423"/>
    </row>
    <row r="6414" s="101" customFormat="1" spans="6:6">
      <c r="F6414" s="2423"/>
    </row>
    <row r="6415" s="101" customFormat="1" spans="6:6">
      <c r="F6415" s="2423"/>
    </row>
    <row r="6416" s="101" customFormat="1" spans="6:6">
      <c r="F6416" s="2423"/>
    </row>
    <row r="6417" s="101" customFormat="1" spans="6:6">
      <c r="F6417" s="2423"/>
    </row>
    <row r="6418" s="101" customFormat="1" spans="6:6">
      <c r="F6418" s="2423"/>
    </row>
    <row r="6419" s="101" customFormat="1" spans="6:6">
      <c r="F6419" s="2423"/>
    </row>
    <row r="6420" s="101" customFormat="1" spans="6:6">
      <c r="F6420" s="2423"/>
    </row>
    <row r="6421" s="101" customFormat="1" spans="6:6">
      <c r="F6421" s="2423"/>
    </row>
    <row r="6422" s="101" customFormat="1" spans="6:6">
      <c r="F6422" s="2423"/>
    </row>
    <row r="6423" s="101" customFormat="1" spans="6:6">
      <c r="F6423" s="2423"/>
    </row>
    <row r="6424" s="101" customFormat="1" spans="6:6">
      <c r="F6424" s="2423"/>
    </row>
    <row r="6425" s="101" customFormat="1" spans="6:6">
      <c r="F6425" s="2423"/>
    </row>
    <row r="6426" s="101" customFormat="1" spans="6:6">
      <c r="F6426" s="2423"/>
    </row>
    <row r="6427" s="101" customFormat="1" spans="6:6">
      <c r="F6427" s="2423"/>
    </row>
    <row r="6428" s="101" customFormat="1" spans="6:6">
      <c r="F6428" s="2423"/>
    </row>
    <row r="6429" s="101" customFormat="1" spans="6:6">
      <c r="F6429" s="2423"/>
    </row>
    <row r="6430" s="101" customFormat="1" spans="6:6">
      <c r="F6430" s="2423"/>
    </row>
    <row r="6431" s="101" customFormat="1" spans="6:6">
      <c r="F6431" s="2423"/>
    </row>
    <row r="6432" s="101" customFormat="1" spans="6:6">
      <c r="F6432" s="2423"/>
    </row>
    <row r="6433" s="101" customFormat="1" spans="6:6">
      <c r="F6433" s="2423"/>
    </row>
    <row r="6434" s="101" customFormat="1" spans="6:6">
      <c r="F6434" s="2423"/>
    </row>
    <row r="6435" s="101" customFormat="1" spans="6:6">
      <c r="F6435" s="2423"/>
    </row>
    <row r="6436" s="101" customFormat="1" spans="6:6">
      <c r="F6436" s="2423"/>
    </row>
    <row r="6437" s="101" customFormat="1" spans="6:6">
      <c r="F6437" s="2423"/>
    </row>
    <row r="6438" s="101" customFormat="1" spans="6:6">
      <c r="F6438" s="2423"/>
    </row>
    <row r="6439" s="101" customFormat="1" spans="6:6">
      <c r="F6439" s="2423"/>
    </row>
    <row r="6440" s="101" customFormat="1" spans="6:6">
      <c r="F6440" s="2423"/>
    </row>
    <row r="6441" s="101" customFormat="1" spans="6:6">
      <c r="F6441" s="2423"/>
    </row>
    <row r="6442" s="101" customFormat="1" spans="6:6">
      <c r="F6442" s="2423"/>
    </row>
    <row r="6443" s="101" customFormat="1" spans="6:6">
      <c r="F6443" s="2423"/>
    </row>
    <row r="6444" s="101" customFormat="1" spans="6:6">
      <c r="F6444" s="2423"/>
    </row>
    <row r="6445" s="101" customFormat="1" spans="6:6">
      <c r="F6445" s="2423"/>
    </row>
    <row r="6446" s="101" customFormat="1" spans="6:6">
      <c r="F6446" s="2423"/>
    </row>
    <row r="6447" s="101" customFormat="1" spans="6:6">
      <c r="F6447" s="2423"/>
    </row>
    <row r="6448" s="101" customFormat="1" spans="6:6">
      <c r="F6448" s="2423"/>
    </row>
    <row r="6449" s="101" customFormat="1" spans="6:6">
      <c r="F6449" s="2423"/>
    </row>
    <row r="6450" s="101" customFormat="1" spans="6:6">
      <c r="F6450" s="2423"/>
    </row>
    <row r="6451" s="101" customFormat="1" spans="6:6">
      <c r="F6451" s="2423"/>
    </row>
    <row r="6452" s="101" customFormat="1" spans="6:6">
      <c r="F6452" s="2423"/>
    </row>
    <row r="6453" s="101" customFormat="1" spans="6:6">
      <c r="F6453" s="2423"/>
    </row>
    <row r="6454" s="101" customFormat="1" spans="6:6">
      <c r="F6454" s="2423"/>
    </row>
    <row r="6455" s="101" customFormat="1" spans="6:6">
      <c r="F6455" s="2423"/>
    </row>
    <row r="6456" s="101" customFormat="1" spans="6:6">
      <c r="F6456" s="2423"/>
    </row>
    <row r="6457" s="101" customFormat="1" spans="6:6">
      <c r="F6457" s="2423"/>
    </row>
    <row r="6458" s="101" customFormat="1" spans="6:6">
      <c r="F6458" s="2423"/>
    </row>
    <row r="6459" s="101" customFormat="1" spans="6:6">
      <c r="F6459" s="2423"/>
    </row>
    <row r="6460" s="101" customFormat="1" spans="6:6">
      <c r="F6460" s="2423"/>
    </row>
    <row r="6461" s="101" customFormat="1" spans="6:6">
      <c r="F6461" s="2423"/>
    </row>
    <row r="6462" s="101" customFormat="1" spans="6:6">
      <c r="F6462" s="2423"/>
    </row>
    <row r="6463" s="101" customFormat="1" spans="6:6">
      <c r="F6463" s="2423"/>
    </row>
    <row r="6464" s="101" customFormat="1" spans="6:6">
      <c r="F6464" s="2423"/>
    </row>
    <row r="6465" s="101" customFormat="1" spans="6:6">
      <c r="F6465" s="2423"/>
    </row>
    <row r="6466" s="101" customFormat="1" spans="6:6">
      <c r="F6466" s="2423"/>
    </row>
    <row r="6467" s="101" customFormat="1" spans="6:6">
      <c r="F6467" s="2423"/>
    </row>
    <row r="6468" s="101" customFormat="1" spans="6:6">
      <c r="F6468" s="2423"/>
    </row>
    <row r="6469" s="101" customFormat="1" spans="6:6">
      <c r="F6469" s="2423"/>
    </row>
    <row r="6470" s="101" customFormat="1" spans="6:6">
      <c r="F6470" s="2423"/>
    </row>
    <row r="6471" s="101" customFormat="1" spans="6:6">
      <c r="F6471" s="2423"/>
    </row>
    <row r="6472" s="101" customFormat="1" spans="6:6">
      <c r="F6472" s="2423"/>
    </row>
    <row r="6473" s="101" customFormat="1" spans="6:6">
      <c r="F6473" s="2423"/>
    </row>
    <row r="6474" s="101" customFormat="1" spans="6:6">
      <c r="F6474" s="2423"/>
    </row>
    <row r="6475" s="101" customFormat="1" spans="6:6">
      <c r="F6475" s="2423"/>
    </row>
    <row r="6476" s="101" customFormat="1" spans="6:6">
      <c r="F6476" s="2423"/>
    </row>
    <row r="6477" s="101" customFormat="1" spans="6:6">
      <c r="F6477" s="2423"/>
    </row>
    <row r="6478" s="101" customFormat="1" spans="6:6">
      <c r="F6478" s="2423"/>
    </row>
    <row r="6479" s="101" customFormat="1" spans="6:6">
      <c r="F6479" s="2423"/>
    </row>
    <row r="6480" s="101" customFormat="1" spans="6:6">
      <c r="F6480" s="2423"/>
    </row>
    <row r="6481" s="101" customFormat="1" spans="6:6">
      <c r="F6481" s="2423"/>
    </row>
    <row r="6482" s="101" customFormat="1" spans="6:6">
      <c r="F6482" s="2423"/>
    </row>
    <row r="6483" s="101" customFormat="1" spans="6:6">
      <c r="F6483" s="2423"/>
    </row>
    <row r="6484" s="101" customFormat="1" spans="6:6">
      <c r="F6484" s="2423"/>
    </row>
    <row r="6485" s="101" customFormat="1" spans="6:6">
      <c r="F6485" s="2423"/>
    </row>
    <row r="6486" s="101" customFormat="1" spans="6:6">
      <c r="F6486" s="2423"/>
    </row>
    <row r="6487" s="101" customFormat="1" spans="6:6">
      <c r="F6487" s="2423"/>
    </row>
    <row r="6488" s="101" customFormat="1" spans="6:6">
      <c r="F6488" s="2423"/>
    </row>
    <row r="6489" s="101" customFormat="1" spans="6:6">
      <c r="F6489" s="2423"/>
    </row>
    <row r="6490" s="101" customFormat="1" spans="6:6">
      <c r="F6490" s="2423"/>
    </row>
    <row r="6491" s="101" customFormat="1" spans="6:6">
      <c r="F6491" s="2423"/>
    </row>
    <row r="6492" s="101" customFormat="1" spans="6:6">
      <c r="F6492" s="2423"/>
    </row>
    <row r="6493" s="101" customFormat="1" spans="6:6">
      <c r="F6493" s="2423"/>
    </row>
    <row r="6494" s="101" customFormat="1" spans="6:6">
      <c r="F6494" s="2423"/>
    </row>
    <row r="6495" s="101" customFormat="1" spans="6:6">
      <c r="F6495" s="2423"/>
    </row>
    <row r="6496" s="101" customFormat="1" spans="6:6">
      <c r="F6496" s="2423"/>
    </row>
    <row r="6497" s="101" customFormat="1" spans="6:6">
      <c r="F6497" s="2423"/>
    </row>
    <row r="6498" s="101" customFormat="1" spans="6:6">
      <c r="F6498" s="2423"/>
    </row>
    <row r="6499" s="101" customFormat="1" spans="6:6">
      <c r="F6499" s="2423"/>
    </row>
    <row r="6500" s="101" customFormat="1" spans="6:6">
      <c r="F6500" s="2423"/>
    </row>
    <row r="6501" s="101" customFormat="1" spans="6:6">
      <c r="F6501" s="2423"/>
    </row>
    <row r="6502" s="101" customFormat="1" spans="6:6">
      <c r="F6502" s="2423"/>
    </row>
    <row r="6503" s="101" customFormat="1" spans="6:6">
      <c r="F6503" s="2423"/>
    </row>
    <row r="6504" s="101" customFormat="1" spans="6:6">
      <c r="F6504" s="2423"/>
    </row>
    <row r="6505" s="101" customFormat="1" spans="6:6">
      <c r="F6505" s="2423"/>
    </row>
    <row r="6506" s="101" customFormat="1" spans="6:6">
      <c r="F6506" s="2423"/>
    </row>
    <row r="6507" s="101" customFormat="1" spans="6:6">
      <c r="F6507" s="2423"/>
    </row>
    <row r="6508" s="101" customFormat="1" spans="6:6">
      <c r="F6508" s="2423"/>
    </row>
    <row r="6509" s="101" customFormat="1" spans="6:6">
      <c r="F6509" s="2423"/>
    </row>
    <row r="6510" s="101" customFormat="1" spans="6:6">
      <c r="F6510" s="2423"/>
    </row>
    <row r="6511" s="101" customFormat="1" spans="6:6">
      <c r="F6511" s="2423"/>
    </row>
    <row r="6512" s="101" customFormat="1" spans="6:6">
      <c r="F6512" s="2423"/>
    </row>
    <row r="6513" s="101" customFormat="1" spans="6:6">
      <c r="F6513" s="2423"/>
    </row>
    <row r="6514" s="101" customFormat="1" spans="6:6">
      <c r="F6514" s="2423"/>
    </row>
    <row r="6515" s="101" customFormat="1" spans="6:6">
      <c r="F6515" s="2423"/>
    </row>
    <row r="6516" s="101" customFormat="1" spans="6:6">
      <c r="F6516" s="2423"/>
    </row>
    <row r="6517" s="101" customFormat="1" spans="6:6">
      <c r="F6517" s="2423"/>
    </row>
    <row r="6518" s="101" customFormat="1" spans="6:6">
      <c r="F6518" s="2423"/>
    </row>
    <row r="6519" s="101" customFormat="1" spans="6:6">
      <c r="F6519" s="2423"/>
    </row>
    <row r="6520" s="101" customFormat="1" spans="6:6">
      <c r="F6520" s="2423"/>
    </row>
    <row r="6521" s="101" customFormat="1" spans="6:6">
      <c r="F6521" s="2423"/>
    </row>
    <row r="6522" s="101" customFormat="1" spans="6:6">
      <c r="F6522" s="2423"/>
    </row>
    <row r="6523" s="101" customFormat="1" spans="6:6">
      <c r="F6523" s="2423"/>
    </row>
    <row r="6524" s="101" customFormat="1" spans="6:6">
      <c r="F6524" s="2423"/>
    </row>
    <row r="6525" s="101" customFormat="1" spans="6:6">
      <c r="F6525" s="2423"/>
    </row>
    <row r="6526" s="101" customFormat="1" spans="6:6">
      <c r="F6526" s="2423"/>
    </row>
    <row r="6527" s="101" customFormat="1" spans="6:6">
      <c r="F6527" s="2423"/>
    </row>
    <row r="6528" s="101" customFormat="1" spans="6:6">
      <c r="F6528" s="2423"/>
    </row>
    <row r="6529" s="101" customFormat="1" spans="6:6">
      <c r="F6529" s="2423"/>
    </row>
    <row r="6530" s="101" customFormat="1" spans="6:6">
      <c r="F6530" s="2423"/>
    </row>
    <row r="6531" s="101" customFormat="1" spans="6:6">
      <c r="F6531" s="2423"/>
    </row>
    <row r="6532" s="101" customFormat="1" spans="6:6">
      <c r="F6532" s="2423"/>
    </row>
    <row r="6533" s="101" customFormat="1" spans="6:6">
      <c r="F6533" s="2423"/>
    </row>
    <row r="6534" s="101" customFormat="1" spans="6:6">
      <c r="F6534" s="2423"/>
    </row>
    <row r="6535" s="101" customFormat="1" spans="6:6">
      <c r="F6535" s="2423"/>
    </row>
    <row r="6536" s="101" customFormat="1" spans="6:6">
      <c r="F6536" s="2423"/>
    </row>
    <row r="6537" s="101" customFormat="1" spans="6:6">
      <c r="F6537" s="2423"/>
    </row>
    <row r="6538" s="101" customFormat="1" spans="6:6">
      <c r="F6538" s="2423"/>
    </row>
    <row r="6539" s="101" customFormat="1" spans="6:6">
      <c r="F6539" s="2423"/>
    </row>
    <row r="6540" s="101" customFormat="1" spans="6:6">
      <c r="F6540" s="2423"/>
    </row>
    <row r="6541" s="101" customFormat="1" spans="6:6">
      <c r="F6541" s="2423"/>
    </row>
    <row r="6542" s="101" customFormat="1" spans="6:6">
      <c r="F6542" s="2423"/>
    </row>
    <row r="6543" s="101" customFormat="1" spans="6:6">
      <c r="F6543" s="2423"/>
    </row>
    <row r="6544" s="101" customFormat="1" spans="6:6">
      <c r="F6544" s="2423"/>
    </row>
    <row r="6545" s="101" customFormat="1" spans="6:6">
      <c r="F6545" s="2423"/>
    </row>
    <row r="6546" s="101" customFormat="1" spans="6:6">
      <c r="F6546" s="2423"/>
    </row>
    <row r="6547" s="101" customFormat="1" spans="6:6">
      <c r="F6547" s="2423"/>
    </row>
    <row r="6548" s="101" customFormat="1" spans="6:6">
      <c r="F6548" s="2423"/>
    </row>
    <row r="6549" s="101" customFormat="1" spans="6:6">
      <c r="F6549" s="2423"/>
    </row>
    <row r="6550" s="101" customFormat="1" spans="6:6">
      <c r="F6550" s="2423"/>
    </row>
    <row r="6551" s="101" customFormat="1" spans="6:6">
      <c r="F6551" s="2423"/>
    </row>
    <row r="6552" s="101" customFormat="1" spans="6:6">
      <c r="F6552" s="2423"/>
    </row>
    <row r="6553" s="101" customFormat="1" spans="6:6">
      <c r="F6553" s="2423"/>
    </row>
    <row r="6554" s="101" customFormat="1" spans="6:6">
      <c r="F6554" s="2423"/>
    </row>
    <row r="6555" s="101" customFormat="1" spans="6:6">
      <c r="F6555" s="2423"/>
    </row>
    <row r="6556" s="101" customFormat="1" spans="6:6">
      <c r="F6556" s="2423"/>
    </row>
    <row r="6557" s="101" customFormat="1" spans="6:6">
      <c r="F6557" s="2423"/>
    </row>
    <row r="6558" s="101" customFormat="1" spans="6:6">
      <c r="F6558" s="2423"/>
    </row>
    <row r="6559" s="101" customFormat="1" spans="6:6">
      <c r="F6559" s="2423"/>
    </row>
    <row r="6560" s="101" customFormat="1" spans="6:6">
      <c r="F6560" s="2423"/>
    </row>
    <row r="6561" s="101" customFormat="1" spans="6:6">
      <c r="F6561" s="2423"/>
    </row>
    <row r="6562" s="101" customFormat="1" spans="6:6">
      <c r="F6562" s="2423"/>
    </row>
    <row r="6563" s="101" customFormat="1" spans="6:6">
      <c r="F6563" s="2423"/>
    </row>
    <row r="6564" s="101" customFormat="1" spans="6:6">
      <c r="F6564" s="2423"/>
    </row>
    <row r="6565" s="101" customFormat="1" spans="6:6">
      <c r="F6565" s="2423"/>
    </row>
    <row r="6566" s="101" customFormat="1" spans="6:6">
      <c r="F6566" s="2423"/>
    </row>
    <row r="6567" s="101" customFormat="1" spans="6:6">
      <c r="F6567" s="2423"/>
    </row>
    <row r="6568" s="101" customFormat="1" spans="6:6">
      <c r="F6568" s="2423"/>
    </row>
    <row r="6569" s="101" customFormat="1" spans="6:6">
      <c r="F6569" s="2423"/>
    </row>
    <row r="6570" s="101" customFormat="1" spans="6:6">
      <c r="F6570" s="2423"/>
    </row>
    <row r="6571" s="101" customFormat="1" spans="6:6">
      <c r="F6571" s="2423"/>
    </row>
    <row r="6572" s="101" customFormat="1" spans="6:6">
      <c r="F6572" s="2423"/>
    </row>
    <row r="6573" s="101" customFormat="1" spans="6:6">
      <c r="F6573" s="2423"/>
    </row>
    <row r="6574" s="101" customFormat="1" spans="6:6">
      <c r="F6574" s="2423"/>
    </row>
    <row r="6575" s="101" customFormat="1" spans="6:6">
      <c r="F6575" s="2423"/>
    </row>
    <row r="6576" s="101" customFormat="1" spans="6:6">
      <c r="F6576" s="2423"/>
    </row>
    <row r="6577" s="101" customFormat="1" spans="6:6">
      <c r="F6577" s="2423"/>
    </row>
    <row r="6578" s="101" customFormat="1" spans="6:6">
      <c r="F6578" s="2423"/>
    </row>
    <row r="6579" s="101" customFormat="1" spans="6:6">
      <c r="F6579" s="2423"/>
    </row>
    <row r="6580" s="101" customFormat="1" spans="6:6">
      <c r="F6580" s="2423"/>
    </row>
    <row r="6581" s="101" customFormat="1" spans="6:6">
      <c r="F6581" s="2423"/>
    </row>
    <row r="6582" s="101" customFormat="1" spans="6:6">
      <c r="F6582" s="2423"/>
    </row>
    <row r="6583" s="101" customFormat="1" spans="6:6">
      <c r="F6583" s="2423"/>
    </row>
    <row r="6584" s="101" customFormat="1" spans="6:6">
      <c r="F6584" s="2423"/>
    </row>
    <row r="6585" s="101" customFormat="1" spans="6:6">
      <c r="F6585" s="2423"/>
    </row>
    <row r="6586" s="101" customFormat="1" spans="6:6">
      <c r="F6586" s="2423"/>
    </row>
    <row r="6587" s="101" customFormat="1" spans="6:6">
      <c r="F6587" s="2423"/>
    </row>
    <row r="6588" s="101" customFormat="1" spans="6:6">
      <c r="F6588" s="2423"/>
    </row>
    <row r="6589" s="101" customFormat="1" spans="6:6">
      <c r="F6589" s="2423"/>
    </row>
    <row r="6590" s="101" customFormat="1" spans="6:6">
      <c r="F6590" s="2423"/>
    </row>
    <row r="6591" s="101" customFormat="1" spans="6:6">
      <c r="F6591" s="2423"/>
    </row>
    <row r="6592" s="101" customFormat="1" spans="6:6">
      <c r="F6592" s="2423"/>
    </row>
    <row r="6593" s="101" customFormat="1" spans="6:6">
      <c r="F6593" s="2423"/>
    </row>
    <row r="6594" s="101" customFormat="1" spans="6:6">
      <c r="F6594" s="2423"/>
    </row>
    <row r="6595" s="101" customFormat="1" spans="6:6">
      <c r="F6595" s="2423"/>
    </row>
    <row r="6596" s="101" customFormat="1" spans="6:6">
      <c r="F6596" s="2423"/>
    </row>
    <row r="6597" s="101" customFormat="1" spans="6:6">
      <c r="F6597" s="2423"/>
    </row>
    <row r="6598" s="101" customFormat="1" spans="6:6">
      <c r="F6598" s="2423"/>
    </row>
    <row r="6599" s="101" customFormat="1" spans="6:6">
      <c r="F6599" s="2423"/>
    </row>
    <row r="6600" s="101" customFormat="1" spans="6:6">
      <c r="F6600" s="2423"/>
    </row>
    <row r="6601" s="101" customFormat="1" spans="6:6">
      <c r="F6601" s="2423"/>
    </row>
    <row r="6602" s="101" customFormat="1" spans="6:6">
      <c r="F6602" s="2423"/>
    </row>
    <row r="6603" s="101" customFormat="1" spans="6:6">
      <c r="F6603" s="2423"/>
    </row>
    <row r="6604" s="101" customFormat="1" spans="6:6">
      <c r="F6604" s="2423"/>
    </row>
    <row r="6605" s="101" customFormat="1" spans="6:6">
      <c r="F6605" s="2423"/>
    </row>
    <row r="6606" s="101" customFormat="1" spans="6:6">
      <c r="F6606" s="2423"/>
    </row>
    <row r="6607" s="101" customFormat="1" spans="6:6">
      <c r="F6607" s="2423"/>
    </row>
    <row r="6608" s="101" customFormat="1" spans="6:6">
      <c r="F6608" s="2423"/>
    </row>
    <row r="6609" s="101" customFormat="1" spans="6:6">
      <c r="F6609" s="2423"/>
    </row>
    <row r="6610" s="101" customFormat="1" spans="6:6">
      <c r="F6610" s="2423"/>
    </row>
    <row r="6611" s="101" customFormat="1" spans="6:6">
      <c r="F6611" s="2423"/>
    </row>
    <row r="6612" s="101" customFormat="1" spans="6:6">
      <c r="F6612" s="2423"/>
    </row>
    <row r="6613" s="101" customFormat="1" spans="6:6">
      <c r="F6613" s="2423"/>
    </row>
    <row r="6614" s="101" customFormat="1" spans="6:6">
      <c r="F6614" s="2423"/>
    </row>
    <row r="6615" s="101" customFormat="1" spans="6:6">
      <c r="F6615" s="2423"/>
    </row>
    <row r="6616" s="101" customFormat="1" spans="6:6">
      <c r="F6616" s="2423"/>
    </row>
    <row r="6617" s="101" customFormat="1" spans="6:6">
      <c r="F6617" s="2423"/>
    </row>
    <row r="6618" s="101" customFormat="1" spans="6:6">
      <c r="F6618" s="2423"/>
    </row>
    <row r="6619" s="101" customFormat="1" spans="6:6">
      <c r="F6619" s="2423"/>
    </row>
    <row r="6620" s="101" customFormat="1" spans="6:6">
      <c r="F6620" s="2423"/>
    </row>
    <row r="6621" s="101" customFormat="1" spans="6:6">
      <c r="F6621" s="2423"/>
    </row>
    <row r="6622" s="101" customFormat="1" spans="6:6">
      <c r="F6622" s="2423"/>
    </row>
    <row r="6623" s="101" customFormat="1" spans="6:6">
      <c r="F6623" s="2423"/>
    </row>
    <row r="6624" s="101" customFormat="1" spans="6:6">
      <c r="F6624" s="2423"/>
    </row>
    <row r="6625" s="101" customFormat="1" spans="6:6">
      <c r="F6625" s="2423"/>
    </row>
    <row r="6626" s="101" customFormat="1" spans="6:6">
      <c r="F6626" s="2423"/>
    </row>
    <row r="6627" s="101" customFormat="1" spans="6:6">
      <c r="F6627" s="2423"/>
    </row>
    <row r="6628" s="101" customFormat="1" spans="6:6">
      <c r="F6628" s="2423"/>
    </row>
    <row r="6629" s="101" customFormat="1" spans="6:6">
      <c r="F6629" s="2423"/>
    </row>
    <row r="6630" s="101" customFormat="1" spans="6:6">
      <c r="F6630" s="2423"/>
    </row>
    <row r="6631" s="101" customFormat="1" spans="6:6">
      <c r="F6631" s="2423"/>
    </row>
    <row r="6632" s="101" customFormat="1" spans="6:6">
      <c r="F6632" s="2423"/>
    </row>
    <row r="6633" s="101" customFormat="1" spans="6:6">
      <c r="F6633" s="2423"/>
    </row>
    <row r="6634" s="101" customFormat="1" spans="6:6">
      <c r="F6634" s="2423"/>
    </row>
    <row r="6635" s="101" customFormat="1" spans="6:6">
      <c r="F6635" s="2423"/>
    </row>
    <row r="6636" s="101" customFormat="1" spans="6:6">
      <c r="F6636" s="2423"/>
    </row>
    <row r="6637" s="101" customFormat="1" spans="6:6">
      <c r="F6637" s="2423"/>
    </row>
    <row r="6638" s="101" customFormat="1" spans="6:6">
      <c r="F6638" s="2423"/>
    </row>
    <row r="6639" s="101" customFormat="1" spans="6:6">
      <c r="F6639" s="2423"/>
    </row>
    <row r="6640" s="101" customFormat="1" spans="6:6">
      <c r="F6640" s="2423"/>
    </row>
    <row r="6641" s="101" customFormat="1" spans="6:6">
      <c r="F6641" s="2423"/>
    </row>
    <row r="6642" s="101" customFormat="1" spans="6:6">
      <c r="F6642" s="2423"/>
    </row>
    <row r="6643" s="101" customFormat="1" spans="6:6">
      <c r="F6643" s="2423"/>
    </row>
    <row r="6644" s="101" customFormat="1" spans="6:6">
      <c r="F6644" s="2423"/>
    </row>
    <row r="6645" s="101" customFormat="1" spans="6:6">
      <c r="F6645" s="2423"/>
    </row>
    <row r="6646" s="101" customFormat="1" spans="6:6">
      <c r="F6646" s="2423"/>
    </row>
    <row r="6647" s="101" customFormat="1" spans="6:6">
      <c r="F6647" s="2423"/>
    </row>
    <row r="6648" s="101" customFormat="1" spans="6:6">
      <c r="F6648" s="2423"/>
    </row>
    <row r="6649" s="101" customFormat="1" spans="6:6">
      <c r="F6649" s="2423"/>
    </row>
    <row r="6650" s="101" customFormat="1" spans="6:6">
      <c r="F6650" s="2423"/>
    </row>
    <row r="6651" s="101" customFormat="1" spans="6:6">
      <c r="F6651" s="2423"/>
    </row>
    <row r="6652" s="101" customFormat="1" spans="6:6">
      <c r="F6652" s="2423"/>
    </row>
    <row r="6653" s="101" customFormat="1" spans="6:6">
      <c r="F6653" s="2423"/>
    </row>
    <row r="6654" s="101" customFormat="1" spans="6:6">
      <c r="F6654" s="2423"/>
    </row>
    <row r="6655" s="101" customFormat="1" spans="6:6">
      <c r="F6655" s="2423"/>
    </row>
    <row r="6656" s="101" customFormat="1" spans="6:6">
      <c r="F6656" s="2423"/>
    </row>
    <row r="6657" s="101" customFormat="1" spans="6:6">
      <c r="F6657" s="2423"/>
    </row>
    <row r="6658" s="101" customFormat="1" spans="6:6">
      <c r="F6658" s="2423"/>
    </row>
    <row r="6659" s="101" customFormat="1" spans="6:6">
      <c r="F6659" s="2423"/>
    </row>
    <row r="6660" s="101" customFormat="1" spans="6:6">
      <c r="F6660" s="2423"/>
    </row>
    <row r="6661" s="101" customFormat="1" spans="6:6">
      <c r="F6661" s="2423"/>
    </row>
    <row r="6662" s="101" customFormat="1" spans="6:6">
      <c r="F6662" s="2423"/>
    </row>
    <row r="6663" s="101" customFormat="1" spans="6:6">
      <c r="F6663" s="2423"/>
    </row>
    <row r="6664" s="101" customFormat="1" spans="6:6">
      <c r="F6664" s="2423"/>
    </row>
    <row r="6665" s="101" customFormat="1" spans="6:6">
      <c r="F6665" s="2423"/>
    </row>
    <row r="6666" s="101" customFormat="1" spans="6:6">
      <c r="F6666" s="2423"/>
    </row>
    <row r="6667" s="101" customFormat="1" spans="6:6">
      <c r="F6667" s="2423"/>
    </row>
    <row r="6668" s="101" customFormat="1" spans="6:6">
      <c r="F6668" s="2423"/>
    </row>
    <row r="6669" s="101" customFormat="1" spans="6:6">
      <c r="F6669" s="2423"/>
    </row>
    <row r="6670" s="101" customFormat="1" spans="6:6">
      <c r="F6670" s="2423"/>
    </row>
    <row r="6671" s="101" customFormat="1" spans="6:6">
      <c r="F6671" s="2423"/>
    </row>
    <row r="6672" s="101" customFormat="1" spans="6:6">
      <c r="F6672" s="2423"/>
    </row>
    <row r="6673" s="101" customFormat="1" spans="6:6">
      <c r="F6673" s="2423"/>
    </row>
    <row r="6674" s="101" customFormat="1" spans="6:6">
      <c r="F6674" s="2423"/>
    </row>
    <row r="6675" s="101" customFormat="1" spans="6:6">
      <c r="F6675" s="2423"/>
    </row>
    <row r="6676" s="101" customFormat="1" spans="6:6">
      <c r="F6676" s="2423"/>
    </row>
    <row r="6677" s="101" customFormat="1" spans="6:6">
      <c r="F6677" s="2423"/>
    </row>
    <row r="6678" s="101" customFormat="1" spans="6:6">
      <c r="F6678" s="2423"/>
    </row>
    <row r="6679" s="101" customFormat="1" spans="6:6">
      <c r="F6679" s="2423"/>
    </row>
    <row r="6680" s="101" customFormat="1" spans="6:6">
      <c r="F6680" s="2423"/>
    </row>
    <row r="6681" s="101" customFormat="1" spans="6:6">
      <c r="F6681" s="2423"/>
    </row>
    <row r="6682" s="101" customFormat="1" spans="6:6">
      <c r="F6682" s="2423"/>
    </row>
    <row r="6683" s="101" customFormat="1" spans="6:6">
      <c r="F6683" s="2423"/>
    </row>
    <row r="6684" s="101" customFormat="1" spans="6:6">
      <c r="F6684" s="2423"/>
    </row>
    <row r="6685" s="101" customFormat="1" spans="6:6">
      <c r="F6685" s="2423"/>
    </row>
    <row r="6686" s="101" customFormat="1" spans="6:6">
      <c r="F6686" s="2423"/>
    </row>
    <row r="6687" s="101" customFormat="1" spans="6:6">
      <c r="F6687" s="2423"/>
    </row>
    <row r="6688" s="101" customFormat="1" spans="6:6">
      <c r="F6688" s="2423"/>
    </row>
    <row r="6689" s="101" customFormat="1" spans="6:6">
      <c r="F6689" s="2423"/>
    </row>
    <row r="6690" s="101" customFormat="1" spans="6:6">
      <c r="F6690" s="2423"/>
    </row>
    <row r="6691" s="101" customFormat="1" spans="6:6">
      <c r="F6691" s="2423"/>
    </row>
    <row r="6692" s="101" customFormat="1" spans="6:6">
      <c r="F6692" s="2423"/>
    </row>
    <row r="6693" s="101" customFormat="1" spans="6:6">
      <c r="F6693" s="2423"/>
    </row>
    <row r="6694" s="101" customFormat="1" spans="6:6">
      <c r="F6694" s="2423"/>
    </row>
    <row r="6695" s="101" customFormat="1" spans="6:6">
      <c r="F6695" s="2423"/>
    </row>
    <row r="6696" s="101" customFormat="1" spans="6:6">
      <c r="F6696" s="2423"/>
    </row>
    <row r="6697" s="101" customFormat="1" spans="6:6">
      <c r="F6697" s="2423"/>
    </row>
    <row r="6698" s="101" customFormat="1" spans="6:6">
      <c r="F6698" s="2423"/>
    </row>
    <row r="6699" s="101" customFormat="1" spans="6:6">
      <c r="F6699" s="2423"/>
    </row>
    <row r="6700" s="101" customFormat="1" spans="6:6">
      <c r="F6700" s="2423"/>
    </row>
    <row r="6701" s="101" customFormat="1" spans="6:6">
      <c r="F6701" s="2423"/>
    </row>
    <row r="6702" s="101" customFormat="1" spans="6:6">
      <c r="F6702" s="2423"/>
    </row>
    <row r="6703" s="101" customFormat="1" spans="6:6">
      <c r="F6703" s="2423"/>
    </row>
    <row r="6704" s="101" customFormat="1" spans="6:6">
      <c r="F6704" s="2423"/>
    </row>
    <row r="6705" s="101" customFormat="1" spans="6:6">
      <c r="F6705" s="2423"/>
    </row>
    <row r="6706" s="101" customFormat="1" spans="6:6">
      <c r="F6706" s="2423"/>
    </row>
    <row r="6707" s="101" customFormat="1" spans="6:6">
      <c r="F6707" s="2423"/>
    </row>
    <row r="6708" s="101" customFormat="1" spans="6:6">
      <c r="F6708" s="2423"/>
    </row>
    <row r="6709" s="101" customFormat="1" spans="6:6">
      <c r="F6709" s="2423"/>
    </row>
    <row r="6710" s="101" customFormat="1" spans="6:6">
      <c r="F6710" s="2423"/>
    </row>
    <row r="6711" s="101" customFormat="1" spans="6:6">
      <c r="F6711" s="2423"/>
    </row>
    <row r="6712" s="101" customFormat="1" spans="6:6">
      <c r="F6712" s="2423"/>
    </row>
    <row r="6713" s="101" customFormat="1" spans="6:6">
      <c r="F6713" s="2423"/>
    </row>
    <row r="6714" s="101" customFormat="1" spans="6:6">
      <c r="F6714" s="2423"/>
    </row>
    <row r="6715" s="101" customFormat="1" spans="6:6">
      <c r="F6715" s="2423"/>
    </row>
    <row r="6716" s="101" customFormat="1" spans="6:6">
      <c r="F6716" s="2423"/>
    </row>
    <row r="6717" s="101" customFormat="1" spans="6:6">
      <c r="F6717" s="2423"/>
    </row>
    <row r="6718" s="101" customFormat="1" spans="6:6">
      <c r="F6718" s="2423"/>
    </row>
    <row r="6719" s="101" customFormat="1" spans="6:6">
      <c r="F6719" s="2423"/>
    </row>
    <row r="6720" s="101" customFormat="1" spans="6:6">
      <c r="F6720" s="2423"/>
    </row>
    <row r="6721" s="101" customFormat="1" spans="6:6">
      <c r="F6721" s="2423"/>
    </row>
    <row r="6722" s="101" customFormat="1" spans="6:6">
      <c r="F6722" s="2423"/>
    </row>
    <row r="6723" s="101" customFormat="1" spans="6:6">
      <c r="F6723" s="2423"/>
    </row>
    <row r="6724" s="101" customFormat="1" spans="6:6">
      <c r="F6724" s="2423"/>
    </row>
    <row r="6725" s="101" customFormat="1" spans="6:6">
      <c r="F6725" s="2423"/>
    </row>
    <row r="6726" s="101" customFormat="1" spans="6:6">
      <c r="F6726" s="2423"/>
    </row>
    <row r="6727" s="101" customFormat="1" spans="6:6">
      <c r="F6727" s="2423"/>
    </row>
    <row r="6728" s="101" customFormat="1" spans="6:6">
      <c r="F6728" s="2423"/>
    </row>
    <row r="6729" s="101" customFormat="1" spans="6:6">
      <c r="F6729" s="2423"/>
    </row>
    <row r="6730" s="101" customFormat="1" spans="6:6">
      <c r="F6730" s="2423"/>
    </row>
    <row r="6731" s="101" customFormat="1" spans="6:6">
      <c r="F6731" s="2423"/>
    </row>
    <row r="6732" s="101" customFormat="1" spans="6:6">
      <c r="F6732" s="2423"/>
    </row>
    <row r="6733" s="101" customFormat="1" spans="6:6">
      <c r="F6733" s="2423"/>
    </row>
    <row r="6734" s="101" customFormat="1" spans="6:6">
      <c r="F6734" s="2423"/>
    </row>
    <row r="6735" s="101" customFormat="1" spans="6:6">
      <c r="F6735" s="2423"/>
    </row>
    <row r="6736" s="101" customFormat="1" spans="6:6">
      <c r="F6736" s="2423"/>
    </row>
    <row r="6737" s="101" customFormat="1" spans="6:6">
      <c r="F6737" s="2423"/>
    </row>
    <row r="6738" s="101" customFormat="1" spans="6:6">
      <c r="F6738" s="2423"/>
    </row>
    <row r="6739" s="101" customFormat="1" spans="6:6">
      <c r="F6739" s="2423"/>
    </row>
    <row r="6740" s="101" customFormat="1" spans="6:6">
      <c r="F6740" s="2423"/>
    </row>
    <row r="6741" s="101" customFormat="1" spans="6:6">
      <c r="F6741" s="2423"/>
    </row>
    <row r="6742" s="101" customFormat="1" spans="6:6">
      <c r="F6742" s="2423"/>
    </row>
    <row r="6743" s="101" customFormat="1" spans="6:6">
      <c r="F6743" s="2423"/>
    </row>
    <row r="6744" s="101" customFormat="1" spans="6:6">
      <c r="F6744" s="2423"/>
    </row>
    <row r="6745" s="101" customFormat="1" spans="6:6">
      <c r="F6745" s="2423"/>
    </row>
    <row r="6746" s="101" customFormat="1" spans="6:6">
      <c r="F6746" s="2423"/>
    </row>
    <row r="6747" s="101" customFormat="1" spans="6:6">
      <c r="F6747" s="2423"/>
    </row>
    <row r="6748" s="101" customFormat="1" spans="6:6">
      <c r="F6748" s="2423"/>
    </row>
    <row r="6749" s="101" customFormat="1" spans="6:6">
      <c r="F6749" s="2423"/>
    </row>
    <row r="6750" s="101" customFormat="1" spans="6:6">
      <c r="F6750" s="2423"/>
    </row>
    <row r="6751" s="101" customFormat="1" spans="6:6">
      <c r="F6751" s="2423"/>
    </row>
    <row r="6752" s="101" customFormat="1" spans="6:6">
      <c r="F6752" s="2423"/>
    </row>
    <row r="6753" s="101" customFormat="1" spans="6:6">
      <c r="F6753" s="2423"/>
    </row>
    <row r="6754" s="101" customFormat="1" spans="6:6">
      <c r="F6754" s="2423"/>
    </row>
    <row r="6755" s="101" customFormat="1" spans="6:6">
      <c r="F6755" s="2423"/>
    </row>
    <row r="6756" s="101" customFormat="1" spans="6:6">
      <c r="F6756" s="2423"/>
    </row>
    <row r="6757" s="101" customFormat="1" spans="6:6">
      <c r="F6757" s="2423"/>
    </row>
    <row r="6758" s="101" customFormat="1" spans="6:6">
      <c r="F6758" s="2423"/>
    </row>
    <row r="6759" s="101" customFormat="1" spans="6:6">
      <c r="F6759" s="2423"/>
    </row>
    <row r="6760" s="101" customFormat="1" spans="6:6">
      <c r="F6760" s="2423"/>
    </row>
    <row r="6761" s="101" customFormat="1" spans="6:6">
      <c r="F6761" s="2423"/>
    </row>
    <row r="6762" s="101" customFormat="1" spans="6:6">
      <c r="F6762" s="2423"/>
    </row>
    <row r="6763" s="101" customFormat="1" spans="6:6">
      <c r="F6763" s="2423"/>
    </row>
    <row r="6764" s="101" customFormat="1" spans="6:6">
      <c r="F6764" s="2423"/>
    </row>
    <row r="6765" s="101" customFormat="1" spans="6:6">
      <c r="F6765" s="2423"/>
    </row>
    <row r="6766" s="101" customFormat="1" spans="6:6">
      <c r="F6766" s="2423"/>
    </row>
    <row r="6767" s="101" customFormat="1" spans="6:6">
      <c r="F6767" s="2423"/>
    </row>
    <row r="6768" s="101" customFormat="1" spans="6:6">
      <c r="F6768" s="2423"/>
    </row>
    <row r="6769" s="101" customFormat="1" spans="6:6">
      <c r="F6769" s="2423"/>
    </row>
    <row r="6770" s="101" customFormat="1" spans="6:6">
      <c r="F6770" s="2423"/>
    </row>
    <row r="6771" s="101" customFormat="1" spans="6:6">
      <c r="F6771" s="2423"/>
    </row>
    <row r="6772" s="101" customFormat="1" spans="6:6">
      <c r="F6772" s="2423"/>
    </row>
    <row r="6773" s="101" customFormat="1" spans="6:6">
      <c r="F6773" s="2423"/>
    </row>
    <row r="6774" s="101" customFormat="1" spans="6:6">
      <c r="F6774" s="2423"/>
    </row>
    <row r="6775" s="101" customFormat="1" spans="6:6">
      <c r="F6775" s="2423"/>
    </row>
    <row r="6776" s="101" customFormat="1" spans="6:6">
      <c r="F6776" s="2423"/>
    </row>
    <row r="6777" s="101" customFormat="1" spans="6:6">
      <c r="F6777" s="2423"/>
    </row>
    <row r="6778" s="101" customFormat="1" spans="6:6">
      <c r="F6778" s="2423"/>
    </row>
    <row r="6779" s="101" customFormat="1" spans="6:6">
      <c r="F6779" s="2423"/>
    </row>
    <row r="6780" s="101" customFormat="1" spans="6:6">
      <c r="F6780" s="2423"/>
    </row>
    <row r="6781" s="101" customFormat="1" spans="6:6">
      <c r="F6781" s="2423"/>
    </row>
    <row r="6782" s="101" customFormat="1" spans="6:6">
      <c r="F6782" s="2423"/>
    </row>
    <row r="6783" s="101" customFormat="1" spans="6:6">
      <c r="F6783" s="2423"/>
    </row>
    <row r="6784" s="101" customFormat="1" spans="6:6">
      <c r="F6784" s="2423"/>
    </row>
    <row r="6785" s="101" customFormat="1" spans="6:6">
      <c r="F6785" s="2423"/>
    </row>
    <row r="6786" s="101" customFormat="1" spans="6:6">
      <c r="F6786" s="2423"/>
    </row>
    <row r="6787" s="101" customFormat="1" spans="6:6">
      <c r="F6787" s="2423"/>
    </row>
    <row r="6788" s="101" customFormat="1" spans="6:6">
      <c r="F6788" s="2423"/>
    </row>
    <row r="6789" s="101" customFormat="1" spans="6:6">
      <c r="F6789" s="2423"/>
    </row>
    <row r="6790" s="101" customFormat="1" spans="6:6">
      <c r="F6790" s="2423"/>
    </row>
    <row r="6791" s="101" customFormat="1" spans="6:6">
      <c r="F6791" s="2423"/>
    </row>
    <row r="6792" s="101" customFormat="1" spans="6:6">
      <c r="F6792" s="2423"/>
    </row>
    <row r="6793" s="101" customFormat="1" spans="6:6">
      <c r="F6793" s="2423"/>
    </row>
    <row r="6794" s="101" customFormat="1" spans="6:6">
      <c r="F6794" s="2423"/>
    </row>
    <row r="6795" s="101" customFormat="1" spans="6:6">
      <c r="F6795" s="2423"/>
    </row>
    <row r="6796" s="101" customFormat="1" spans="6:6">
      <c r="F6796" s="2423"/>
    </row>
    <row r="6797" s="101" customFormat="1" spans="6:6">
      <c r="F6797" s="2423"/>
    </row>
    <row r="6798" s="101" customFormat="1" spans="6:6">
      <c r="F6798" s="2423"/>
    </row>
    <row r="6799" s="101" customFormat="1" spans="6:6">
      <c r="F6799" s="2423"/>
    </row>
    <row r="6800" s="101" customFormat="1" spans="6:6">
      <c r="F6800" s="2423"/>
    </row>
    <row r="6801" s="101" customFormat="1" spans="6:6">
      <c r="F6801" s="2423"/>
    </row>
    <row r="6802" s="101" customFormat="1" spans="6:6">
      <c r="F6802" s="2423"/>
    </row>
    <row r="6803" s="101" customFormat="1" spans="6:6">
      <c r="F6803" s="2423"/>
    </row>
    <row r="6804" s="101" customFormat="1" spans="6:6">
      <c r="F6804" s="2423"/>
    </row>
    <row r="6805" s="101" customFormat="1" spans="6:6">
      <c r="F6805" s="2423"/>
    </row>
    <row r="6806" s="101" customFormat="1" spans="6:6">
      <c r="F6806" s="2423"/>
    </row>
    <row r="6807" s="101" customFormat="1" spans="6:6">
      <c r="F6807" s="2423"/>
    </row>
    <row r="6808" s="101" customFormat="1" spans="6:6">
      <c r="F6808" s="2423"/>
    </row>
    <row r="6809" s="101" customFormat="1" spans="6:6">
      <c r="F6809" s="2423"/>
    </row>
    <row r="6810" s="101" customFormat="1" spans="6:6">
      <c r="F6810" s="2423"/>
    </row>
    <row r="6811" s="101" customFormat="1" spans="6:6">
      <c r="F6811" s="2423"/>
    </row>
    <row r="6812" s="101" customFormat="1" spans="6:6">
      <c r="F6812" s="2423"/>
    </row>
    <row r="6813" s="101" customFormat="1" spans="6:6">
      <c r="F6813" s="2423"/>
    </row>
    <row r="6814" s="101" customFormat="1" spans="6:6">
      <c r="F6814" s="2423"/>
    </row>
    <row r="6815" s="101" customFormat="1" spans="6:6">
      <c r="F6815" s="2423"/>
    </row>
    <row r="6816" s="101" customFormat="1" spans="6:6">
      <c r="F6816" s="2423"/>
    </row>
    <row r="6817" s="101" customFormat="1" spans="6:6">
      <c r="F6817" s="2423"/>
    </row>
    <row r="6818" s="101" customFormat="1" spans="6:6">
      <c r="F6818" s="2423"/>
    </row>
    <row r="6819" s="101" customFormat="1" spans="6:6">
      <c r="F6819" s="2423"/>
    </row>
    <row r="6820" s="101" customFormat="1" spans="6:6">
      <c r="F6820" s="2423"/>
    </row>
    <row r="6821" s="101" customFormat="1" spans="6:6">
      <c r="F6821" s="2423"/>
    </row>
    <row r="6822" s="101" customFormat="1" spans="6:6">
      <c r="F6822" s="2423"/>
    </row>
    <row r="6823" s="101" customFormat="1" spans="6:6">
      <c r="F6823" s="2423"/>
    </row>
    <row r="6824" s="101" customFormat="1" spans="6:6">
      <c r="F6824" s="2423"/>
    </row>
    <row r="6825" s="101" customFormat="1" spans="6:6">
      <c r="F6825" s="2423"/>
    </row>
    <row r="6826" s="101" customFormat="1" spans="6:6">
      <c r="F6826" s="2423"/>
    </row>
    <row r="6827" s="101" customFormat="1" spans="6:6">
      <c r="F6827" s="2423"/>
    </row>
    <row r="6828" s="101" customFormat="1" spans="6:6">
      <c r="F6828" s="2423"/>
    </row>
    <row r="6829" s="101" customFormat="1" spans="6:6">
      <c r="F6829" s="2423"/>
    </row>
    <row r="6830" s="101" customFormat="1" spans="6:6">
      <c r="F6830" s="2423"/>
    </row>
    <row r="6831" s="101" customFormat="1" spans="6:6">
      <c r="F6831" s="2423"/>
    </row>
    <row r="6832" s="101" customFormat="1" spans="6:6">
      <c r="F6832" s="2423"/>
    </row>
    <row r="6833" s="101" customFormat="1" spans="6:6">
      <c r="F6833" s="2423"/>
    </row>
    <row r="6834" s="101" customFormat="1" spans="6:6">
      <c r="F6834" s="2423"/>
    </row>
    <row r="6835" s="101" customFormat="1" spans="6:6">
      <c r="F6835" s="2423"/>
    </row>
    <row r="6836" s="101" customFormat="1" spans="6:6">
      <c r="F6836" s="2423"/>
    </row>
    <row r="6837" s="101" customFormat="1" spans="6:6">
      <c r="F6837" s="2423"/>
    </row>
    <row r="6838" s="101" customFormat="1" spans="6:6">
      <c r="F6838" s="2423"/>
    </row>
    <row r="6839" s="101" customFormat="1" spans="6:6">
      <c r="F6839" s="2423"/>
    </row>
    <row r="6840" s="101" customFormat="1" spans="6:6">
      <c r="F6840" s="2423"/>
    </row>
    <row r="6841" s="101" customFormat="1" spans="6:6">
      <c r="F6841" s="2423"/>
    </row>
    <row r="6842" s="101" customFormat="1" spans="6:6">
      <c r="F6842" s="2423"/>
    </row>
    <row r="6843" s="101" customFormat="1" spans="6:6">
      <c r="F6843" s="2423"/>
    </row>
    <row r="6844" s="101" customFormat="1" spans="6:6">
      <c r="F6844" s="2423"/>
    </row>
    <row r="6845" s="101" customFormat="1" spans="6:6">
      <c r="F6845" s="2423"/>
    </row>
    <row r="6846" s="101" customFormat="1" spans="6:6">
      <c r="F6846" s="2423"/>
    </row>
    <row r="6847" s="101" customFormat="1" spans="6:6">
      <c r="F6847" s="2423"/>
    </row>
    <row r="6848" s="101" customFormat="1" spans="6:6">
      <c r="F6848" s="2423"/>
    </row>
    <row r="6849" s="101" customFormat="1" spans="6:6">
      <c r="F6849" s="2423"/>
    </row>
    <row r="6850" s="101" customFormat="1" spans="6:6">
      <c r="F6850" s="2423"/>
    </row>
    <row r="6851" s="101" customFormat="1" spans="6:6">
      <c r="F6851" s="2423"/>
    </row>
    <row r="6852" s="101" customFormat="1" spans="6:6">
      <c r="F6852" s="2423"/>
    </row>
    <row r="6853" s="101" customFormat="1" spans="6:6">
      <c r="F6853" s="2423"/>
    </row>
    <row r="6854" s="101" customFormat="1" spans="6:6">
      <c r="F6854" s="2423"/>
    </row>
    <row r="6855" s="101" customFormat="1" spans="6:6">
      <c r="F6855" s="2423"/>
    </row>
    <row r="6856" s="101" customFormat="1" spans="6:6">
      <c r="F6856" s="2423"/>
    </row>
    <row r="6857" s="101" customFormat="1" spans="6:6">
      <c r="F6857" s="2423"/>
    </row>
    <row r="6858" s="101" customFormat="1" spans="6:6">
      <c r="F6858" s="2423"/>
    </row>
    <row r="6859" s="101" customFormat="1" spans="6:6">
      <c r="F6859" s="2423"/>
    </row>
    <row r="6860" s="101" customFormat="1" spans="6:6">
      <c r="F6860" s="2423"/>
    </row>
    <row r="6861" s="101" customFormat="1" spans="6:6">
      <c r="F6861" s="2423"/>
    </row>
    <row r="6862" s="101" customFormat="1" spans="6:6">
      <c r="F6862" s="2423"/>
    </row>
    <row r="6863" s="101" customFormat="1" spans="6:6">
      <c r="F6863" s="2423"/>
    </row>
    <row r="6864" s="101" customFormat="1" spans="6:6">
      <c r="F6864" s="2423"/>
    </row>
    <row r="6865" s="101" customFormat="1" spans="6:6">
      <c r="F6865" s="2423"/>
    </row>
    <row r="6866" s="101" customFormat="1" spans="6:6">
      <c r="F6866" s="2423"/>
    </row>
    <row r="6867" s="101" customFormat="1" spans="6:6">
      <c r="F6867" s="2423"/>
    </row>
    <row r="6868" s="101" customFormat="1" spans="6:6">
      <c r="F6868" s="2423"/>
    </row>
    <row r="6869" s="101" customFormat="1" spans="6:6">
      <c r="F6869" s="2423"/>
    </row>
    <row r="6870" s="101" customFormat="1" spans="6:6">
      <c r="F6870" s="2423"/>
    </row>
    <row r="6871" s="101" customFormat="1" spans="6:6">
      <c r="F6871" s="2423"/>
    </row>
    <row r="6872" s="101" customFormat="1" spans="6:6">
      <c r="F6872" s="2423"/>
    </row>
    <row r="6873" s="101" customFormat="1" spans="6:6">
      <c r="F6873" s="2423"/>
    </row>
    <row r="6874" s="101" customFormat="1" spans="6:6">
      <c r="F6874" s="2423"/>
    </row>
    <row r="6875" s="101" customFormat="1" spans="6:6">
      <c r="F6875" s="2423"/>
    </row>
    <row r="6876" s="101" customFormat="1" spans="6:6">
      <c r="F6876" s="2423"/>
    </row>
    <row r="6877" s="101" customFormat="1" spans="6:6">
      <c r="F6877" s="2423"/>
    </row>
    <row r="6878" s="101" customFormat="1" spans="6:6">
      <c r="F6878" s="2423"/>
    </row>
    <row r="6879" s="101" customFormat="1" spans="6:6">
      <c r="F6879" s="2423"/>
    </row>
    <row r="6880" s="101" customFormat="1" spans="6:6">
      <c r="F6880" s="2423"/>
    </row>
    <row r="6881" s="101" customFormat="1" spans="6:6">
      <c r="F6881" s="2423"/>
    </row>
    <row r="6882" s="101" customFormat="1" spans="6:6">
      <c r="F6882" s="2423"/>
    </row>
    <row r="6883" s="101" customFormat="1" spans="6:6">
      <c r="F6883" s="2423"/>
    </row>
    <row r="6884" s="101" customFormat="1" spans="6:6">
      <c r="F6884" s="2423"/>
    </row>
    <row r="6885" s="101" customFormat="1" spans="6:6">
      <c r="F6885" s="2423"/>
    </row>
    <row r="6886" s="101" customFormat="1" spans="6:6">
      <c r="F6886" s="2423"/>
    </row>
    <row r="6887" s="101" customFormat="1" spans="6:6">
      <c r="F6887" s="2423"/>
    </row>
    <row r="6888" s="101" customFormat="1" spans="6:6">
      <c r="F6888" s="2423"/>
    </row>
    <row r="6889" s="101" customFormat="1" spans="6:6">
      <c r="F6889" s="2423"/>
    </row>
    <row r="6890" s="101" customFormat="1" spans="6:6">
      <c r="F6890" s="2423"/>
    </row>
    <row r="6891" s="101" customFormat="1" spans="6:6">
      <c r="F6891" s="2423"/>
    </row>
    <row r="6892" s="101" customFormat="1" spans="6:6">
      <c r="F6892" s="2423"/>
    </row>
    <row r="6893" s="101" customFormat="1" spans="6:6">
      <c r="F6893" s="2423"/>
    </row>
    <row r="6894" s="101" customFormat="1" spans="6:6">
      <c r="F6894" s="2423"/>
    </row>
    <row r="6895" s="101" customFormat="1" spans="6:6">
      <c r="F6895" s="2423"/>
    </row>
    <row r="6896" s="101" customFormat="1" spans="6:6">
      <c r="F6896" s="2423"/>
    </row>
    <row r="6897" s="101" customFormat="1" spans="6:6">
      <c r="F6897" s="2423"/>
    </row>
    <row r="6898" s="101" customFormat="1" spans="6:6">
      <c r="F6898" s="2423"/>
    </row>
    <row r="6899" s="101" customFormat="1" spans="6:6">
      <c r="F6899" s="2423"/>
    </row>
    <row r="6900" s="101" customFormat="1" spans="6:6">
      <c r="F6900" s="2423"/>
    </row>
    <row r="6901" s="101" customFormat="1" spans="6:6">
      <c r="F6901" s="2423"/>
    </row>
    <row r="6902" s="101" customFormat="1" spans="6:6">
      <c r="F6902" s="2423"/>
    </row>
    <row r="6903" s="101" customFormat="1" spans="6:6">
      <c r="F6903" s="2423"/>
    </row>
    <row r="6904" s="101" customFormat="1" spans="6:6">
      <c r="F6904" s="2423"/>
    </row>
    <row r="6905" s="101" customFormat="1" spans="6:6">
      <c r="F6905" s="2423"/>
    </row>
    <row r="6906" s="101" customFormat="1" spans="6:6">
      <c r="F6906" s="2423"/>
    </row>
    <row r="6907" s="101" customFormat="1" spans="6:6">
      <c r="F6907" s="2423"/>
    </row>
    <row r="6908" s="101" customFormat="1" spans="6:6">
      <c r="F6908" s="2423"/>
    </row>
    <row r="6909" s="101" customFormat="1" spans="6:6">
      <c r="F6909" s="2423"/>
    </row>
    <row r="6910" s="101" customFormat="1" spans="6:6">
      <c r="F6910" s="2423"/>
    </row>
    <row r="6911" s="101" customFormat="1" spans="6:6">
      <c r="F6911" s="2423"/>
    </row>
    <row r="6912" s="101" customFormat="1" spans="6:6">
      <c r="F6912" s="2423"/>
    </row>
    <row r="6913" s="101" customFormat="1" spans="6:6">
      <c r="F6913" s="2423"/>
    </row>
    <row r="6914" s="101" customFormat="1" spans="6:6">
      <c r="F6914" s="2423"/>
    </row>
    <row r="6915" s="101" customFormat="1" spans="6:6">
      <c r="F6915" s="2423"/>
    </row>
    <row r="6916" s="101" customFormat="1" spans="6:6">
      <c r="F6916" s="2423"/>
    </row>
    <row r="6917" s="101" customFormat="1" spans="6:6">
      <c r="F6917" s="2423"/>
    </row>
    <row r="6918" s="101" customFormat="1" spans="6:6">
      <c r="F6918" s="2423"/>
    </row>
    <row r="6919" s="101" customFormat="1" spans="6:6">
      <c r="F6919" s="2423"/>
    </row>
    <row r="6920" s="101" customFormat="1" spans="6:6">
      <c r="F6920" s="2423"/>
    </row>
    <row r="6921" s="101" customFormat="1" spans="6:6">
      <c r="F6921" s="2423"/>
    </row>
    <row r="6922" s="101" customFormat="1" spans="6:6">
      <c r="F6922" s="2423"/>
    </row>
    <row r="6923" s="101" customFormat="1" spans="6:6">
      <c r="F6923" s="2423"/>
    </row>
    <row r="6924" s="101" customFormat="1" spans="6:6">
      <c r="F6924" s="2423"/>
    </row>
    <row r="6925" s="101" customFormat="1" spans="6:6">
      <c r="F6925" s="2423"/>
    </row>
    <row r="6926" s="101" customFormat="1" spans="6:6">
      <c r="F6926" s="2423"/>
    </row>
    <row r="6927" s="101" customFormat="1" spans="6:6">
      <c r="F6927" s="2423"/>
    </row>
    <row r="6928" s="101" customFormat="1" spans="6:6">
      <c r="F6928" s="2423"/>
    </row>
    <row r="6929" s="101" customFormat="1" spans="6:6">
      <c r="F6929" s="2423"/>
    </row>
    <row r="6930" s="101" customFormat="1" spans="6:6">
      <c r="F6930" s="2423"/>
    </row>
    <row r="6931" s="101" customFormat="1" spans="6:6">
      <c r="F6931" s="2423"/>
    </row>
    <row r="6932" s="101" customFormat="1" spans="6:6">
      <c r="F6932" s="2423"/>
    </row>
    <row r="6933" s="101" customFormat="1" spans="6:6">
      <c r="F6933" s="2423"/>
    </row>
    <row r="6934" s="101" customFormat="1" spans="6:6">
      <c r="F6934" s="2423"/>
    </row>
    <row r="6935" s="101" customFormat="1" spans="6:6">
      <c r="F6935" s="2423"/>
    </row>
    <row r="6936" s="101" customFormat="1" spans="6:6">
      <c r="F6936" s="2423"/>
    </row>
    <row r="6937" s="101" customFormat="1" spans="6:6">
      <c r="F6937" s="2423"/>
    </row>
    <row r="6938" s="101" customFormat="1" spans="6:6">
      <c r="F6938" s="2423"/>
    </row>
    <row r="6939" s="101" customFormat="1" spans="6:6">
      <c r="F6939" s="2423"/>
    </row>
    <row r="6940" s="101" customFormat="1" spans="6:6">
      <c r="F6940" s="2423"/>
    </row>
    <row r="6941" s="101" customFormat="1" spans="6:6">
      <c r="F6941" s="2423"/>
    </row>
    <row r="6942" s="101" customFormat="1" spans="6:6">
      <c r="F6942" s="2423"/>
    </row>
    <row r="6943" s="101" customFormat="1" spans="6:6">
      <c r="F6943" s="2423"/>
    </row>
    <row r="6944" s="101" customFormat="1" spans="6:6">
      <c r="F6944" s="2423"/>
    </row>
    <row r="6945" s="101" customFormat="1" spans="6:6">
      <c r="F6945" s="2423"/>
    </row>
    <row r="6946" s="101" customFormat="1" spans="6:6">
      <c r="F6946" s="2423"/>
    </row>
    <row r="6947" s="101" customFormat="1" spans="6:6">
      <c r="F6947" s="2423"/>
    </row>
    <row r="6948" s="101" customFormat="1" spans="6:6">
      <c r="F6948" s="2423"/>
    </row>
    <row r="6949" s="101" customFormat="1" spans="6:6">
      <c r="F6949" s="2423"/>
    </row>
    <row r="6950" s="101" customFormat="1" spans="6:6">
      <c r="F6950" s="2423"/>
    </row>
    <row r="6951" s="101" customFormat="1" spans="6:6">
      <c r="F6951" s="2423"/>
    </row>
    <row r="6952" s="101" customFormat="1" spans="6:6">
      <c r="F6952" s="2423"/>
    </row>
    <row r="6953" s="101" customFormat="1" spans="6:6">
      <c r="F6953" s="2423"/>
    </row>
    <row r="6954" s="101" customFormat="1" spans="6:6">
      <c r="F6954" s="2423"/>
    </row>
    <row r="6955" s="101" customFormat="1" spans="6:6">
      <c r="F6955" s="2423"/>
    </row>
    <row r="6956" s="101" customFormat="1" spans="6:6">
      <c r="F6956" s="2423"/>
    </row>
    <row r="6957" s="101" customFormat="1" spans="6:6">
      <c r="F6957" s="2423"/>
    </row>
    <row r="6958" s="101" customFormat="1" spans="6:6">
      <c r="F6958" s="2423"/>
    </row>
    <row r="6959" s="101" customFormat="1" spans="6:6">
      <c r="F6959" s="2423"/>
    </row>
    <row r="6960" s="101" customFormat="1" spans="6:6">
      <c r="F6960" s="2423"/>
    </row>
    <row r="6961" s="101" customFormat="1" spans="6:6">
      <c r="F6961" s="2423"/>
    </row>
    <row r="6962" s="101" customFormat="1" spans="6:6">
      <c r="F6962" s="2423"/>
    </row>
    <row r="6963" s="101" customFormat="1" spans="6:6">
      <c r="F6963" s="2423"/>
    </row>
    <row r="6964" s="101" customFormat="1" spans="6:6">
      <c r="F6964" s="2423"/>
    </row>
    <row r="6965" s="101" customFormat="1" spans="6:6">
      <c r="F6965" s="2423"/>
    </row>
    <row r="6966" s="101" customFormat="1" spans="6:6">
      <c r="F6966" s="2423"/>
    </row>
    <row r="6967" s="101" customFormat="1" spans="6:6">
      <c r="F6967" s="2423"/>
    </row>
    <row r="6968" s="101" customFormat="1" spans="6:6">
      <c r="F6968" s="2423"/>
    </row>
    <row r="6969" s="101" customFormat="1" spans="6:6">
      <c r="F6969" s="2423"/>
    </row>
    <row r="6970" s="101" customFormat="1" spans="6:6">
      <c r="F6970" s="2423"/>
    </row>
    <row r="6971" s="101" customFormat="1" spans="6:6">
      <c r="F6971" s="2423"/>
    </row>
    <row r="6972" s="101" customFormat="1" spans="6:6">
      <c r="F6972" s="2423"/>
    </row>
    <row r="6973" s="101" customFormat="1" spans="6:6">
      <c r="F6973" s="2423"/>
    </row>
    <row r="6974" s="101" customFormat="1" spans="6:6">
      <c r="F6974" s="2423"/>
    </row>
    <row r="6975" s="101" customFormat="1" spans="6:6">
      <c r="F6975" s="2423"/>
    </row>
    <row r="6976" s="101" customFormat="1" spans="6:6">
      <c r="F6976" s="2423"/>
    </row>
    <row r="6977" s="101" customFormat="1" spans="6:6">
      <c r="F6977" s="2423"/>
    </row>
    <row r="6978" s="101" customFormat="1" spans="6:6">
      <c r="F6978" s="2423"/>
    </row>
    <row r="6979" s="101" customFormat="1" spans="6:6">
      <c r="F6979" s="2423"/>
    </row>
    <row r="6980" s="101" customFormat="1" spans="6:6">
      <c r="F6980" s="2423"/>
    </row>
    <row r="6981" s="101" customFormat="1" spans="6:6">
      <c r="F6981" s="2423"/>
    </row>
    <row r="6982" s="101" customFormat="1" spans="6:6">
      <c r="F6982" s="2423"/>
    </row>
    <row r="6983" s="101" customFormat="1" spans="6:6">
      <c r="F6983" s="2423"/>
    </row>
    <row r="6984" s="101" customFormat="1" spans="6:6">
      <c r="F6984" s="2423"/>
    </row>
    <row r="6985" s="101" customFormat="1" spans="6:6">
      <c r="F6985" s="2423"/>
    </row>
    <row r="6986" s="101" customFormat="1" spans="6:6">
      <c r="F6986" s="2423"/>
    </row>
    <row r="6987" s="101" customFormat="1" spans="6:6">
      <c r="F6987" s="2423"/>
    </row>
    <row r="6988" s="101" customFormat="1" spans="6:6">
      <c r="F6988" s="2423"/>
    </row>
    <row r="6989" s="101" customFormat="1" spans="6:6">
      <c r="F6989" s="2423"/>
    </row>
    <row r="6990" s="101" customFormat="1" spans="6:6">
      <c r="F6990" s="2423"/>
    </row>
    <row r="6991" s="101" customFormat="1" spans="6:6">
      <c r="F6991" s="2423"/>
    </row>
    <row r="6992" s="101" customFormat="1" spans="6:6">
      <c r="F6992" s="2423"/>
    </row>
    <row r="6993" s="101" customFormat="1" spans="6:6">
      <c r="F6993" s="2423"/>
    </row>
    <row r="6994" s="101" customFormat="1" spans="6:6">
      <c r="F6994" s="2423"/>
    </row>
    <row r="6995" s="101" customFormat="1" spans="6:6">
      <c r="F6995" s="2423"/>
    </row>
    <row r="6996" s="101" customFormat="1" spans="6:6">
      <c r="F6996" s="2423"/>
    </row>
    <row r="6997" s="101" customFormat="1" spans="6:6">
      <c r="F6997" s="2423"/>
    </row>
    <row r="6998" s="101" customFormat="1" spans="6:6">
      <c r="F6998" s="2423"/>
    </row>
    <row r="6999" s="101" customFormat="1" spans="6:6">
      <c r="F6999" s="2423"/>
    </row>
    <row r="7000" s="101" customFormat="1" spans="6:6">
      <c r="F7000" s="2423"/>
    </row>
    <row r="7001" s="101" customFormat="1" spans="6:6">
      <c r="F7001" s="2423"/>
    </row>
    <row r="7002" s="101" customFormat="1" spans="6:6">
      <c r="F7002" s="2423"/>
    </row>
    <row r="7003" s="101" customFormat="1" spans="6:6">
      <c r="F7003" s="2423"/>
    </row>
    <row r="7004" s="101" customFormat="1" spans="6:6">
      <c r="F7004" s="2423"/>
    </row>
    <row r="7005" s="101" customFormat="1" spans="6:6">
      <c r="F7005" s="2423"/>
    </row>
    <row r="7006" s="101" customFormat="1" spans="6:6">
      <c r="F7006" s="2423"/>
    </row>
    <row r="7007" s="101" customFormat="1" spans="6:6">
      <c r="F7007" s="2423"/>
    </row>
    <row r="7008" s="101" customFormat="1" spans="6:6">
      <c r="F7008" s="2423"/>
    </row>
    <row r="7009" s="101" customFormat="1" spans="6:6">
      <c r="F7009" s="2423"/>
    </row>
    <row r="7010" s="101" customFormat="1" spans="6:6">
      <c r="F7010" s="2423"/>
    </row>
    <row r="7011" s="101" customFormat="1" spans="6:6">
      <c r="F7011" s="2423"/>
    </row>
    <row r="7012" s="101" customFormat="1" spans="6:6">
      <c r="F7012" s="2423"/>
    </row>
    <row r="7013" s="101" customFormat="1" spans="6:6">
      <c r="F7013" s="2423"/>
    </row>
    <row r="7014" s="101" customFormat="1" spans="6:6">
      <c r="F7014" s="2423"/>
    </row>
    <row r="7015" s="101" customFormat="1" spans="6:6">
      <c r="F7015" s="2423"/>
    </row>
    <row r="7016" s="101" customFormat="1" spans="6:6">
      <c r="F7016" s="2423"/>
    </row>
    <row r="7017" s="101" customFormat="1" spans="6:6">
      <c r="F7017" s="2423"/>
    </row>
    <row r="7018" s="101" customFormat="1" spans="6:6">
      <c r="F7018" s="2423"/>
    </row>
    <row r="7019" s="101" customFormat="1" spans="6:6">
      <c r="F7019" s="2423"/>
    </row>
    <row r="7020" s="101" customFormat="1" spans="6:6">
      <c r="F7020" s="2423"/>
    </row>
    <row r="7021" s="101" customFormat="1" spans="6:6">
      <c r="F7021" s="2423"/>
    </row>
    <row r="7022" s="101" customFormat="1" spans="6:6">
      <c r="F7022" s="2423"/>
    </row>
    <row r="7023" s="101" customFormat="1" spans="6:6">
      <c r="F7023" s="2423"/>
    </row>
    <row r="7024" s="101" customFormat="1" spans="6:6">
      <c r="F7024" s="2423"/>
    </row>
    <row r="7025" s="101" customFormat="1" spans="6:6">
      <c r="F7025" s="2423"/>
    </row>
    <row r="7026" s="101" customFormat="1" spans="6:6">
      <c r="F7026" s="2423"/>
    </row>
    <row r="7027" s="101" customFormat="1" spans="6:6">
      <c r="F7027" s="2423"/>
    </row>
    <row r="7028" s="101" customFormat="1" spans="6:6">
      <c r="F7028" s="2423"/>
    </row>
    <row r="7029" s="101" customFormat="1" spans="6:6">
      <c r="F7029" s="2423"/>
    </row>
    <row r="7030" s="101" customFormat="1" spans="6:6">
      <c r="F7030" s="2423"/>
    </row>
    <row r="7031" s="101" customFormat="1" spans="6:6">
      <c r="F7031" s="2423"/>
    </row>
    <row r="7032" s="101" customFormat="1" spans="6:6">
      <c r="F7032" s="2423"/>
    </row>
    <row r="7033" s="101" customFormat="1" spans="6:6">
      <c r="F7033" s="2423"/>
    </row>
    <row r="7034" s="101" customFormat="1" spans="6:6">
      <c r="F7034" s="2423"/>
    </row>
    <row r="7035" s="101" customFormat="1" spans="6:6">
      <c r="F7035" s="2423"/>
    </row>
    <row r="7036" s="101" customFormat="1" spans="6:6">
      <c r="F7036" s="2423"/>
    </row>
    <row r="7037" s="101" customFormat="1" spans="6:6">
      <c r="F7037" s="2423"/>
    </row>
    <row r="7038" s="101" customFormat="1" spans="6:6">
      <c r="F7038" s="2423"/>
    </row>
    <row r="7039" s="101" customFormat="1" spans="6:6">
      <c r="F7039" s="2423"/>
    </row>
    <row r="7040" s="101" customFormat="1" spans="6:6">
      <c r="F7040" s="2423"/>
    </row>
    <row r="7041" s="101" customFormat="1" spans="6:6">
      <c r="F7041" s="2423"/>
    </row>
    <row r="7042" s="101" customFormat="1" spans="6:6">
      <c r="F7042" s="2423"/>
    </row>
    <row r="7043" s="101" customFormat="1" spans="6:6">
      <c r="F7043" s="2423"/>
    </row>
    <row r="7044" s="101" customFormat="1" spans="6:6">
      <c r="F7044" s="2423"/>
    </row>
    <row r="7045" s="101" customFormat="1" spans="6:6">
      <c r="F7045" s="2423"/>
    </row>
    <row r="7046" s="101" customFormat="1" spans="6:6">
      <c r="F7046" s="2423"/>
    </row>
    <row r="7047" s="101" customFormat="1" spans="6:6">
      <c r="F7047" s="2423"/>
    </row>
    <row r="7048" s="101" customFormat="1" spans="6:6">
      <c r="F7048" s="2423"/>
    </row>
    <row r="7049" s="101" customFormat="1" spans="6:6">
      <c r="F7049" s="2423"/>
    </row>
    <row r="7050" s="101" customFormat="1" spans="6:6">
      <c r="F7050" s="2423"/>
    </row>
    <row r="7051" s="101" customFormat="1" spans="6:6">
      <c r="F7051" s="2423"/>
    </row>
    <row r="7052" s="101" customFormat="1" spans="6:6">
      <c r="F7052" s="2423"/>
    </row>
    <row r="7053" s="101" customFormat="1" spans="6:6">
      <c r="F7053" s="2423"/>
    </row>
    <row r="7054" s="101" customFormat="1" spans="6:6">
      <c r="F7054" s="2423"/>
    </row>
    <row r="7055" s="101" customFormat="1" spans="6:6">
      <c r="F7055" s="2423"/>
    </row>
    <row r="7056" s="101" customFormat="1" spans="6:6">
      <c r="F7056" s="2423"/>
    </row>
    <row r="7057" s="101" customFormat="1" spans="6:6">
      <c r="F7057" s="2423"/>
    </row>
    <row r="7058" s="101" customFormat="1" spans="6:6">
      <c r="F7058" s="2423"/>
    </row>
    <row r="7059" s="101" customFormat="1" spans="6:6">
      <c r="F7059" s="2423"/>
    </row>
    <row r="7060" s="101" customFormat="1" spans="6:6">
      <c r="F7060" s="2423"/>
    </row>
    <row r="7061" s="101" customFormat="1" spans="6:6">
      <c r="F7061" s="2423"/>
    </row>
    <row r="7062" s="101" customFormat="1" spans="6:6">
      <c r="F7062" s="2423"/>
    </row>
    <row r="7063" s="101" customFormat="1" spans="6:6">
      <c r="F7063" s="2423"/>
    </row>
    <row r="7064" s="101" customFormat="1" spans="6:6">
      <c r="F7064" s="2423"/>
    </row>
    <row r="7065" s="101" customFormat="1" spans="6:6">
      <c r="F7065" s="2423"/>
    </row>
    <row r="7066" s="101" customFormat="1" spans="6:6">
      <c r="F7066" s="2423"/>
    </row>
    <row r="7067" s="101" customFormat="1" spans="6:6">
      <c r="F7067" s="2423"/>
    </row>
    <row r="7068" s="101" customFormat="1" spans="6:6">
      <c r="F7068" s="2423"/>
    </row>
    <row r="7069" s="101" customFormat="1" spans="6:6">
      <c r="F7069" s="2423"/>
    </row>
    <row r="7070" s="101" customFormat="1" spans="6:6">
      <c r="F7070" s="2423"/>
    </row>
    <row r="7071" s="101" customFormat="1" spans="6:6">
      <c r="F7071" s="2423"/>
    </row>
    <row r="7072" s="101" customFormat="1" spans="6:6">
      <c r="F7072" s="2423"/>
    </row>
    <row r="7073" s="101" customFormat="1" spans="6:6">
      <c r="F7073" s="2423"/>
    </row>
    <row r="7074" s="101" customFormat="1" spans="6:6">
      <c r="F7074" s="2423"/>
    </row>
    <row r="7075" s="101" customFormat="1" spans="6:6">
      <c r="F7075" s="2423"/>
    </row>
    <row r="7076" s="101" customFormat="1" spans="6:6">
      <c r="F7076" s="2423"/>
    </row>
    <row r="7077" s="101" customFormat="1" spans="6:6">
      <c r="F7077" s="2423"/>
    </row>
    <row r="7078" s="101" customFormat="1" spans="6:6">
      <c r="F7078" s="2423"/>
    </row>
    <row r="7079" s="101" customFormat="1" spans="6:6">
      <c r="F7079" s="2423"/>
    </row>
    <row r="7080" s="101" customFormat="1" spans="6:6">
      <c r="F7080" s="2423"/>
    </row>
    <row r="7081" s="101" customFormat="1" spans="6:6">
      <c r="F7081" s="2423"/>
    </row>
    <row r="7082" s="101" customFormat="1" spans="6:6">
      <c r="F7082" s="2423"/>
    </row>
    <row r="7083" s="101" customFormat="1" spans="6:6">
      <c r="F7083" s="2423"/>
    </row>
    <row r="7084" s="101" customFormat="1" spans="6:6">
      <c r="F7084" s="2423"/>
    </row>
    <row r="7085" s="101" customFormat="1" spans="6:6">
      <c r="F7085" s="2423"/>
    </row>
    <row r="7086" s="101" customFormat="1" spans="6:6">
      <c r="F7086" s="2423"/>
    </row>
    <row r="7087" s="101" customFormat="1" spans="6:6">
      <c r="F7087" s="2423"/>
    </row>
    <row r="7088" s="101" customFormat="1" spans="6:6">
      <c r="F7088" s="2423"/>
    </row>
    <row r="7089" s="101" customFormat="1" spans="6:6">
      <c r="F7089" s="2423"/>
    </row>
    <row r="7090" s="101" customFormat="1" spans="6:6">
      <c r="F7090" s="2423"/>
    </row>
    <row r="7091" s="101" customFormat="1" spans="6:6">
      <c r="F7091" s="2423"/>
    </row>
    <row r="7092" s="101" customFormat="1" spans="6:6">
      <c r="F7092" s="2423"/>
    </row>
    <row r="7093" s="101" customFormat="1" spans="6:6">
      <c r="F7093" s="2423"/>
    </row>
    <row r="7094" s="101" customFormat="1" spans="6:6">
      <c r="F7094" s="2423"/>
    </row>
    <row r="7095" s="101" customFormat="1" spans="6:6">
      <c r="F7095" s="2423"/>
    </row>
    <row r="7096" s="101" customFormat="1" spans="6:6">
      <c r="F7096" s="2423"/>
    </row>
    <row r="7097" s="101" customFormat="1" spans="6:6">
      <c r="F7097" s="2423"/>
    </row>
    <row r="7098" s="101" customFormat="1" spans="6:6">
      <c r="F7098" s="2423"/>
    </row>
    <row r="7099" s="101" customFormat="1" spans="6:6">
      <c r="F7099" s="2423"/>
    </row>
    <row r="7100" s="101" customFormat="1" spans="6:6">
      <c r="F7100" s="2423"/>
    </row>
    <row r="7101" s="101" customFormat="1" spans="6:6">
      <c r="F7101" s="2423"/>
    </row>
    <row r="7102" s="101" customFormat="1" spans="6:6">
      <c r="F7102" s="2423"/>
    </row>
    <row r="7103" s="101" customFormat="1" spans="6:6">
      <c r="F7103" s="2423"/>
    </row>
    <row r="7104" s="101" customFormat="1" spans="6:6">
      <c r="F7104" s="2423"/>
    </row>
    <row r="7105" s="101" customFormat="1" spans="6:6">
      <c r="F7105" s="2423"/>
    </row>
    <row r="7106" s="101" customFormat="1" spans="6:6">
      <c r="F7106" s="2423"/>
    </row>
    <row r="7107" s="101" customFormat="1" spans="6:6">
      <c r="F7107" s="2423"/>
    </row>
    <row r="7108" s="101" customFormat="1" spans="6:6">
      <c r="F7108" s="2423"/>
    </row>
    <row r="7109" s="101" customFormat="1" spans="6:6">
      <c r="F7109" s="2423"/>
    </row>
    <row r="7110" s="101" customFormat="1" spans="6:6">
      <c r="F7110" s="2423"/>
    </row>
    <row r="7111" s="101" customFormat="1" spans="6:6">
      <c r="F7111" s="2423"/>
    </row>
    <row r="7112" s="101" customFormat="1" spans="6:6">
      <c r="F7112" s="2423"/>
    </row>
    <row r="7113" s="101" customFormat="1" spans="6:6">
      <c r="F7113" s="2423"/>
    </row>
    <row r="7114" s="101" customFormat="1" spans="6:6">
      <c r="F7114" s="2423"/>
    </row>
    <row r="7115" s="101" customFormat="1" spans="6:6">
      <c r="F7115" s="2423"/>
    </row>
    <row r="7116" s="101" customFormat="1" spans="6:6">
      <c r="F7116" s="2423"/>
    </row>
    <row r="7117" s="101" customFormat="1" spans="6:6">
      <c r="F7117" s="2423"/>
    </row>
    <row r="7118" s="101" customFormat="1" spans="6:6">
      <c r="F7118" s="2423"/>
    </row>
    <row r="7119" s="101" customFormat="1" spans="6:6">
      <c r="F7119" s="2423"/>
    </row>
    <row r="7120" s="101" customFormat="1" spans="6:6">
      <c r="F7120" s="2423"/>
    </row>
    <row r="7121" s="101" customFormat="1" spans="6:6">
      <c r="F7121" s="2423"/>
    </row>
    <row r="7122" s="101" customFormat="1" spans="6:6">
      <c r="F7122" s="2423"/>
    </row>
    <row r="7123" s="101" customFormat="1" spans="6:6">
      <c r="F7123" s="2423"/>
    </row>
    <row r="7124" s="101" customFormat="1" spans="6:6">
      <c r="F7124" s="2423"/>
    </row>
    <row r="7125" s="101" customFormat="1" spans="6:6">
      <c r="F7125" s="2423"/>
    </row>
    <row r="7126" s="101" customFormat="1" spans="6:6">
      <c r="F7126" s="2423"/>
    </row>
    <row r="7127" s="101" customFormat="1" spans="6:6">
      <c r="F7127" s="2423"/>
    </row>
    <row r="7128" s="101" customFormat="1" spans="6:6">
      <c r="F7128" s="2423"/>
    </row>
    <row r="7129" s="101" customFormat="1" spans="6:6">
      <c r="F7129" s="2423"/>
    </row>
    <row r="7130" s="101" customFormat="1" spans="6:6">
      <c r="F7130" s="2423"/>
    </row>
    <row r="7131" s="101" customFormat="1" spans="6:6">
      <c r="F7131" s="2423"/>
    </row>
    <row r="7132" s="101" customFormat="1" spans="6:6">
      <c r="F7132" s="2423"/>
    </row>
    <row r="7133" s="101" customFormat="1" spans="6:6">
      <c r="F7133" s="2423"/>
    </row>
    <row r="7134" s="101" customFormat="1" spans="6:6">
      <c r="F7134" s="2423"/>
    </row>
    <row r="7135" s="101" customFormat="1" spans="6:6">
      <c r="F7135" s="2423"/>
    </row>
    <row r="7136" s="101" customFormat="1" spans="6:6">
      <c r="F7136" s="2423"/>
    </row>
    <row r="7137" s="101" customFormat="1" spans="6:6">
      <c r="F7137" s="2423"/>
    </row>
    <row r="7138" s="101" customFormat="1" spans="6:6">
      <c r="F7138" s="2423"/>
    </row>
    <row r="7139" s="101" customFormat="1" spans="6:6">
      <c r="F7139" s="2423"/>
    </row>
    <row r="7140" s="101" customFormat="1" spans="6:6">
      <c r="F7140" s="2423"/>
    </row>
    <row r="7141" s="101" customFormat="1" spans="6:6">
      <c r="F7141" s="2423"/>
    </row>
    <row r="7142" s="101" customFormat="1" spans="6:6">
      <c r="F7142" s="2423"/>
    </row>
    <row r="7143" s="101" customFormat="1" spans="6:6">
      <c r="F7143" s="2423"/>
    </row>
    <row r="7144" s="101" customFormat="1" spans="6:6">
      <c r="F7144" s="2423"/>
    </row>
    <row r="7145" s="101" customFormat="1" spans="6:6">
      <c r="F7145" s="2423"/>
    </row>
    <row r="7146" s="101" customFormat="1" spans="6:6">
      <c r="F7146" s="2423"/>
    </row>
    <row r="7147" s="101" customFormat="1" spans="6:6">
      <c r="F7147" s="2423"/>
    </row>
    <row r="7148" s="101" customFormat="1" spans="6:6">
      <c r="F7148" s="2423"/>
    </row>
    <row r="7149" s="101" customFormat="1" spans="6:6">
      <c r="F7149" s="2423"/>
    </row>
    <row r="7150" s="101" customFormat="1" spans="6:6">
      <c r="F7150" s="2423"/>
    </row>
    <row r="7151" s="101" customFormat="1" spans="6:6">
      <c r="F7151" s="2423"/>
    </row>
    <row r="7152" s="101" customFormat="1" spans="6:6">
      <c r="F7152" s="2423"/>
    </row>
    <row r="7153" s="101" customFormat="1" spans="6:6">
      <c r="F7153" s="2423"/>
    </row>
    <row r="7154" s="101" customFormat="1" spans="6:6">
      <c r="F7154" s="2423"/>
    </row>
    <row r="7155" s="101" customFormat="1" spans="6:6">
      <c r="F7155" s="2423"/>
    </row>
    <row r="7156" s="101" customFormat="1" spans="6:6">
      <c r="F7156" s="2423"/>
    </row>
    <row r="7157" s="101" customFormat="1" spans="6:6">
      <c r="F7157" s="2423"/>
    </row>
    <row r="7158" s="101" customFormat="1" spans="6:6">
      <c r="F7158" s="2423"/>
    </row>
    <row r="7159" s="101" customFormat="1" spans="6:6">
      <c r="F7159" s="2423"/>
    </row>
    <row r="7160" s="101" customFormat="1" spans="6:6">
      <c r="F7160" s="2423"/>
    </row>
    <row r="7161" s="101" customFormat="1" spans="6:6">
      <c r="F7161" s="2423"/>
    </row>
    <row r="7162" s="101" customFormat="1" spans="6:6">
      <c r="F7162" s="2423"/>
    </row>
    <row r="7163" s="101" customFormat="1" spans="6:6">
      <c r="F7163" s="2423"/>
    </row>
    <row r="7164" s="101" customFormat="1" spans="6:6">
      <c r="F7164" s="2423"/>
    </row>
    <row r="7165" s="101" customFormat="1" spans="6:6">
      <c r="F7165" s="2423"/>
    </row>
    <row r="7166" s="101" customFormat="1" spans="6:6">
      <c r="F7166" s="2423"/>
    </row>
    <row r="7167" s="101" customFormat="1" spans="6:6">
      <c r="F7167" s="2423"/>
    </row>
    <row r="7168" s="101" customFormat="1" spans="6:6">
      <c r="F7168" s="2423"/>
    </row>
    <row r="7169" s="101" customFormat="1" spans="6:6">
      <c r="F7169" s="2423"/>
    </row>
    <row r="7170" s="101" customFormat="1" spans="6:6">
      <c r="F7170" s="2423"/>
    </row>
    <row r="7171" s="101" customFormat="1" spans="6:6">
      <c r="F7171" s="2423"/>
    </row>
    <row r="7172" s="101" customFormat="1" spans="6:6">
      <c r="F7172" s="2423"/>
    </row>
    <row r="7173" s="101" customFormat="1" spans="6:6">
      <c r="F7173" s="2423"/>
    </row>
    <row r="7174" s="101" customFormat="1" spans="6:6">
      <c r="F7174" s="2423"/>
    </row>
    <row r="7175" s="101" customFormat="1" spans="6:6">
      <c r="F7175" s="2423"/>
    </row>
    <row r="7176" s="101" customFormat="1" spans="6:6">
      <c r="F7176" s="2423"/>
    </row>
    <row r="7177" s="101" customFormat="1" spans="6:6">
      <c r="F7177" s="2423"/>
    </row>
    <row r="7178" s="101" customFormat="1" spans="6:6">
      <c r="F7178" s="2423"/>
    </row>
    <row r="7179" s="101" customFormat="1" spans="6:6">
      <c r="F7179" s="2423"/>
    </row>
    <row r="7180" s="101" customFormat="1" spans="6:6">
      <c r="F7180" s="2423"/>
    </row>
    <row r="7181" s="101" customFormat="1" spans="6:6">
      <c r="F7181" s="2423"/>
    </row>
    <row r="7182" s="101" customFormat="1" spans="6:6">
      <c r="F7182" s="2423"/>
    </row>
    <row r="7183" s="101" customFormat="1" spans="6:6">
      <c r="F7183" s="2423"/>
    </row>
    <row r="7184" s="101" customFormat="1" spans="6:6">
      <c r="F7184" s="2423"/>
    </row>
    <row r="7185" s="101" customFormat="1" spans="6:6">
      <c r="F7185" s="2423"/>
    </row>
    <row r="7186" s="101" customFormat="1" spans="6:6">
      <c r="F7186" s="2423"/>
    </row>
    <row r="7187" s="101" customFormat="1" spans="6:6">
      <c r="F7187" s="2423"/>
    </row>
    <row r="7188" s="101" customFormat="1" spans="6:6">
      <c r="F7188" s="2423"/>
    </row>
    <row r="7189" s="101" customFormat="1" spans="6:6">
      <c r="F7189" s="2423"/>
    </row>
    <row r="7190" s="101" customFormat="1" spans="6:6">
      <c r="F7190" s="2423"/>
    </row>
    <row r="7191" s="101" customFormat="1" spans="6:6">
      <c r="F7191" s="2423"/>
    </row>
    <row r="7192" s="101" customFormat="1" spans="6:6">
      <c r="F7192" s="2423"/>
    </row>
    <row r="7193" s="101" customFormat="1" spans="6:6">
      <c r="F7193" s="2423"/>
    </row>
    <row r="7194" s="101" customFormat="1" spans="6:6">
      <c r="F7194" s="2423"/>
    </row>
    <row r="7195" s="101" customFormat="1" spans="6:6">
      <c r="F7195" s="2423"/>
    </row>
    <row r="7196" s="101" customFormat="1" spans="6:6">
      <c r="F7196" s="2423"/>
    </row>
    <row r="7197" s="101" customFormat="1" spans="6:6">
      <c r="F7197" s="2423"/>
    </row>
    <row r="7198" s="101" customFormat="1" spans="6:6">
      <c r="F7198" s="2423"/>
    </row>
    <row r="7199" s="101" customFormat="1" spans="6:6">
      <c r="F7199" s="2423"/>
    </row>
    <row r="7200" s="101" customFormat="1" spans="6:6">
      <c r="F7200" s="2423"/>
    </row>
    <row r="7201" s="101" customFormat="1" spans="6:6">
      <c r="F7201" s="2423"/>
    </row>
    <row r="7202" s="101" customFormat="1" spans="6:6">
      <c r="F7202" s="2423"/>
    </row>
    <row r="7203" s="101" customFormat="1" spans="6:6">
      <c r="F7203" s="2423"/>
    </row>
    <row r="7204" s="101" customFormat="1" spans="6:6">
      <c r="F7204" s="2423"/>
    </row>
    <row r="7205" s="101" customFormat="1" spans="6:6">
      <c r="F7205" s="2423"/>
    </row>
    <row r="7206" s="101" customFormat="1" spans="6:6">
      <c r="F7206" s="2423"/>
    </row>
    <row r="7207" s="101" customFormat="1" spans="6:6">
      <c r="F7207" s="2423"/>
    </row>
    <row r="7208" s="101" customFormat="1" spans="6:6">
      <c r="F7208" s="2423"/>
    </row>
    <row r="7209" s="101" customFormat="1" spans="6:6">
      <c r="F7209" s="2423"/>
    </row>
    <row r="7210" s="101" customFormat="1" spans="6:6">
      <c r="F7210" s="2423"/>
    </row>
    <row r="7211" s="101" customFormat="1" spans="6:6">
      <c r="F7211" s="2423"/>
    </row>
    <row r="7212" s="101" customFormat="1" spans="6:6">
      <c r="F7212" s="2423"/>
    </row>
    <row r="7213" s="101" customFormat="1" spans="6:6">
      <c r="F7213" s="2423"/>
    </row>
    <row r="7214" s="101" customFormat="1" spans="6:6">
      <c r="F7214" s="2423"/>
    </row>
    <row r="7215" s="101" customFormat="1" spans="6:6">
      <c r="F7215" s="2423"/>
    </row>
    <row r="7216" s="101" customFormat="1" spans="6:6">
      <c r="F7216" s="2423"/>
    </row>
    <row r="7217" s="101" customFormat="1" spans="6:6">
      <c r="F7217" s="2423"/>
    </row>
    <row r="7218" s="101" customFormat="1" spans="6:6">
      <c r="F7218" s="2423"/>
    </row>
    <row r="7219" s="101" customFormat="1" spans="6:6">
      <c r="F7219" s="2423"/>
    </row>
    <row r="7220" s="101" customFormat="1" spans="6:6">
      <c r="F7220" s="2423"/>
    </row>
    <row r="7221" s="101" customFormat="1" spans="6:6">
      <c r="F7221" s="2423"/>
    </row>
    <row r="7222" s="101" customFormat="1" spans="6:6">
      <c r="F7222" s="2423"/>
    </row>
    <row r="7223" s="101" customFormat="1" spans="6:6">
      <c r="F7223" s="2423"/>
    </row>
    <row r="7224" s="101" customFormat="1" spans="6:6">
      <c r="F7224" s="2423"/>
    </row>
    <row r="7225" s="101" customFormat="1" spans="6:6">
      <c r="F7225" s="2423"/>
    </row>
    <row r="7226" s="101" customFormat="1" spans="6:6">
      <c r="F7226" s="2423"/>
    </row>
    <row r="7227" s="101" customFormat="1" spans="6:6">
      <c r="F7227" s="2423"/>
    </row>
    <row r="7228" s="101" customFormat="1" spans="6:6">
      <c r="F7228" s="2423"/>
    </row>
    <row r="7229" s="101" customFormat="1" spans="6:6">
      <c r="F7229" s="2423"/>
    </row>
    <row r="7230" s="101" customFormat="1" spans="6:6">
      <c r="F7230" s="2423"/>
    </row>
    <row r="7231" s="101" customFormat="1" spans="6:6">
      <c r="F7231" s="2423"/>
    </row>
    <row r="7232" s="101" customFormat="1" spans="6:6">
      <c r="F7232" s="2423"/>
    </row>
    <row r="7233" s="101" customFormat="1" spans="6:6">
      <c r="F7233" s="2423"/>
    </row>
    <row r="7234" s="101" customFormat="1" spans="6:6">
      <c r="F7234" s="2423"/>
    </row>
    <row r="7235" s="101" customFormat="1" spans="6:6">
      <c r="F7235" s="2423"/>
    </row>
    <row r="7236" s="101" customFormat="1" spans="6:6">
      <c r="F7236" s="2423"/>
    </row>
    <row r="7237" s="101" customFormat="1" spans="6:6">
      <c r="F7237" s="2423"/>
    </row>
    <row r="7238" s="101" customFormat="1" spans="6:6">
      <c r="F7238" s="2423"/>
    </row>
    <row r="7239" s="101" customFormat="1" spans="6:6">
      <c r="F7239" s="2423"/>
    </row>
    <row r="7240" s="101" customFormat="1" spans="6:6">
      <c r="F7240" s="2423"/>
    </row>
    <row r="7241" s="101" customFormat="1" spans="6:6">
      <c r="F7241" s="2423"/>
    </row>
    <row r="7242" s="101" customFormat="1" spans="6:6">
      <c r="F7242" s="2423"/>
    </row>
    <row r="7243" s="101" customFormat="1" spans="6:6">
      <c r="F7243" s="2423"/>
    </row>
    <row r="7244" s="101" customFormat="1" spans="6:6">
      <c r="F7244" s="2423"/>
    </row>
    <row r="7245" s="101" customFormat="1" spans="6:6">
      <c r="F7245" s="2423"/>
    </row>
    <row r="7246" s="101" customFormat="1" spans="6:6">
      <c r="F7246" s="2423"/>
    </row>
    <row r="7247" s="101" customFormat="1" spans="6:6">
      <c r="F7247" s="2423"/>
    </row>
    <row r="7248" s="101" customFormat="1" spans="6:6">
      <c r="F7248" s="2423"/>
    </row>
    <row r="7249" s="101" customFormat="1" spans="6:6">
      <c r="F7249" s="2423"/>
    </row>
    <row r="7250" s="101" customFormat="1" spans="6:6">
      <c r="F7250" s="2423"/>
    </row>
    <row r="7251" s="101" customFormat="1" spans="6:6">
      <c r="F7251" s="2423"/>
    </row>
    <row r="7252" s="101" customFormat="1" spans="6:6">
      <c r="F7252" s="2423"/>
    </row>
    <row r="7253" s="101" customFormat="1" spans="6:6">
      <c r="F7253" s="2423"/>
    </row>
    <row r="7254" s="101" customFormat="1" spans="6:6">
      <c r="F7254" s="2423"/>
    </row>
    <row r="7255" s="101" customFormat="1" spans="6:6">
      <c r="F7255" s="2423"/>
    </row>
    <row r="7256" s="101" customFormat="1" spans="6:6">
      <c r="F7256" s="2423"/>
    </row>
    <row r="7257" s="101" customFormat="1" spans="6:6">
      <c r="F7257" s="2423"/>
    </row>
    <row r="7258" s="101" customFormat="1" spans="6:6">
      <c r="F7258" s="2423"/>
    </row>
    <row r="7259" s="101" customFormat="1" spans="6:6">
      <c r="F7259" s="2423"/>
    </row>
    <row r="7260" s="101" customFormat="1" spans="6:6">
      <c r="F7260" s="2423"/>
    </row>
    <row r="7261" s="101" customFormat="1" spans="6:6">
      <c r="F7261" s="2423"/>
    </row>
    <row r="7262" s="101" customFormat="1" spans="6:6">
      <c r="F7262" s="2423"/>
    </row>
    <row r="7263" s="101" customFormat="1" spans="6:6">
      <c r="F7263" s="2423"/>
    </row>
    <row r="7264" s="101" customFormat="1" spans="6:6">
      <c r="F7264" s="2423"/>
    </row>
    <row r="7265" s="101" customFormat="1" spans="6:6">
      <c r="F7265" s="2423"/>
    </row>
    <row r="7266" s="101" customFormat="1" spans="6:6">
      <c r="F7266" s="2423"/>
    </row>
    <row r="7267" s="101" customFormat="1" spans="6:6">
      <c r="F7267" s="2423"/>
    </row>
    <row r="7268" s="101" customFormat="1" spans="6:6">
      <c r="F7268" s="2423"/>
    </row>
    <row r="7269" s="101" customFormat="1" spans="6:6">
      <c r="F7269" s="2423"/>
    </row>
    <row r="7270" s="101" customFormat="1" spans="6:6">
      <c r="F7270" s="2423"/>
    </row>
    <row r="7271" s="101" customFormat="1" spans="6:6">
      <c r="F7271" s="2423"/>
    </row>
    <row r="7272" s="101" customFormat="1" spans="6:6">
      <c r="F7272" s="2423"/>
    </row>
    <row r="7273" s="101" customFormat="1" spans="6:6">
      <c r="F7273" s="2423"/>
    </row>
    <row r="7274" s="101" customFormat="1" spans="6:6">
      <c r="F7274" s="2423"/>
    </row>
    <row r="7275" s="101" customFormat="1" spans="6:6">
      <c r="F7275" s="2423"/>
    </row>
    <row r="7276" s="101" customFormat="1" spans="6:6">
      <c r="F7276" s="2423"/>
    </row>
    <row r="7277" s="101" customFormat="1" spans="6:6">
      <c r="F7277" s="2423"/>
    </row>
    <row r="7278" s="101" customFormat="1" spans="6:6">
      <c r="F7278" s="2423"/>
    </row>
    <row r="7279" s="101" customFormat="1" spans="6:6">
      <c r="F7279" s="2423"/>
    </row>
    <row r="7280" s="101" customFormat="1" spans="6:6">
      <c r="F7280" s="2423"/>
    </row>
    <row r="7281" s="101" customFormat="1" spans="6:6">
      <c r="F7281" s="2423"/>
    </row>
    <row r="7282" s="101" customFormat="1" spans="6:6">
      <c r="F7282" s="2423"/>
    </row>
    <row r="7283" s="101" customFormat="1" spans="6:6">
      <c r="F7283" s="2423"/>
    </row>
    <row r="7284" s="101" customFormat="1" spans="6:6">
      <c r="F7284" s="2423"/>
    </row>
    <row r="7285" s="101" customFormat="1" spans="6:6">
      <c r="F7285" s="2423"/>
    </row>
    <row r="7286" s="101" customFormat="1" spans="6:6">
      <c r="F7286" s="2423"/>
    </row>
    <row r="7287" s="101" customFormat="1" spans="6:6">
      <c r="F7287" s="2423"/>
    </row>
    <row r="7288" s="101" customFormat="1" spans="6:6">
      <c r="F7288" s="2423"/>
    </row>
    <row r="7289" s="101" customFormat="1" spans="6:6">
      <c r="F7289" s="2423"/>
    </row>
    <row r="7290" s="101" customFormat="1" spans="6:6">
      <c r="F7290" s="2423"/>
    </row>
    <row r="7291" s="101" customFormat="1" spans="6:6">
      <c r="F7291" s="2423"/>
    </row>
    <row r="7292" s="101" customFormat="1" spans="6:6">
      <c r="F7292" s="2423"/>
    </row>
    <row r="7293" s="101" customFormat="1" spans="6:6">
      <c r="F7293" s="2423"/>
    </row>
    <row r="7294" s="101" customFormat="1" spans="6:6">
      <c r="F7294" s="2423"/>
    </row>
    <row r="7295" s="101" customFormat="1" spans="6:6">
      <c r="F7295" s="2423"/>
    </row>
    <row r="7296" s="101" customFormat="1" spans="6:6">
      <c r="F7296" s="2423"/>
    </row>
    <row r="7297" s="101" customFormat="1" spans="6:6">
      <c r="F7297" s="2423"/>
    </row>
    <row r="7298" s="101" customFormat="1" spans="6:6">
      <c r="F7298" s="2423"/>
    </row>
    <row r="7299" s="101" customFormat="1" spans="6:6">
      <c r="F7299" s="2423"/>
    </row>
    <row r="7300" s="101" customFormat="1" spans="6:6">
      <c r="F7300" s="2423"/>
    </row>
    <row r="7301" s="101" customFormat="1" spans="6:6">
      <c r="F7301" s="2423"/>
    </row>
    <row r="7302" s="101" customFormat="1" spans="6:6">
      <c r="F7302" s="2423"/>
    </row>
    <row r="7303" s="101" customFormat="1" spans="6:6">
      <c r="F7303" s="2423"/>
    </row>
    <row r="7304" s="101" customFormat="1" spans="6:6">
      <c r="F7304" s="2423"/>
    </row>
    <row r="7305" s="101" customFormat="1" spans="6:6">
      <c r="F7305" s="2423"/>
    </row>
    <row r="7306" s="101" customFormat="1" spans="6:6">
      <c r="F7306" s="2423"/>
    </row>
    <row r="7307" s="101" customFormat="1" spans="6:6">
      <c r="F7307" s="2423"/>
    </row>
    <row r="7308" s="101" customFormat="1" spans="6:6">
      <c r="F7308" s="2423"/>
    </row>
    <row r="7309" s="101" customFormat="1" spans="6:6">
      <c r="F7309" s="2423"/>
    </row>
    <row r="7310" s="101" customFormat="1" spans="6:6">
      <c r="F7310" s="2423"/>
    </row>
    <row r="7311" s="101" customFormat="1" spans="6:6">
      <c r="F7311" s="2423"/>
    </row>
    <row r="7312" s="101" customFormat="1" spans="6:6">
      <c r="F7312" s="2423"/>
    </row>
    <row r="7313" s="101" customFormat="1" spans="6:6">
      <c r="F7313" s="2423"/>
    </row>
    <row r="7314" s="101" customFormat="1" spans="6:6">
      <c r="F7314" s="2423"/>
    </row>
    <row r="7315" s="101" customFormat="1" spans="6:6">
      <c r="F7315" s="2423"/>
    </row>
    <row r="7316" s="101" customFormat="1" spans="6:6">
      <c r="F7316" s="2423"/>
    </row>
    <row r="7317" s="101" customFormat="1" spans="6:6">
      <c r="F7317" s="2423"/>
    </row>
    <row r="7318" s="101" customFormat="1" spans="6:6">
      <c r="F7318" s="2423"/>
    </row>
    <row r="7319" s="101" customFormat="1" spans="6:6">
      <c r="F7319" s="2423"/>
    </row>
    <row r="7320" s="101" customFormat="1" spans="6:6">
      <c r="F7320" s="2423"/>
    </row>
    <row r="7321" s="101" customFormat="1" spans="6:6">
      <c r="F7321" s="2423"/>
    </row>
    <row r="7322" s="101" customFormat="1" spans="6:6">
      <c r="F7322" s="2423"/>
    </row>
    <row r="7323" s="101" customFormat="1" spans="6:6">
      <c r="F7323" s="2423"/>
    </row>
    <row r="7324" s="101" customFormat="1" spans="6:6">
      <c r="F7324" s="2423"/>
    </row>
    <row r="7325" s="101" customFormat="1" spans="6:6">
      <c r="F7325" s="2423"/>
    </row>
    <row r="7326" s="101" customFormat="1" spans="6:6">
      <c r="F7326" s="2423"/>
    </row>
    <row r="7327" s="101" customFormat="1" spans="6:6">
      <c r="F7327" s="2423"/>
    </row>
    <row r="7328" s="101" customFormat="1" spans="6:6">
      <c r="F7328" s="2423"/>
    </row>
    <row r="7329" s="101" customFormat="1" spans="6:6">
      <c r="F7329" s="2423"/>
    </row>
    <row r="7330" s="101" customFormat="1" spans="6:6">
      <c r="F7330" s="2423"/>
    </row>
    <row r="7331" s="101" customFormat="1" spans="6:6">
      <c r="F7331" s="2423"/>
    </row>
    <row r="7332" s="101" customFormat="1" spans="6:6">
      <c r="F7332" s="2423"/>
    </row>
    <row r="7333" s="101" customFormat="1" spans="6:6">
      <c r="F7333" s="2423"/>
    </row>
    <row r="7334" s="101" customFormat="1" spans="6:6">
      <c r="F7334" s="2423"/>
    </row>
    <row r="7335" s="101" customFormat="1" spans="6:6">
      <c r="F7335" s="2423"/>
    </row>
    <row r="7336" s="101" customFormat="1" spans="6:6">
      <c r="F7336" s="2423"/>
    </row>
    <row r="7337" s="101" customFormat="1" spans="6:6">
      <c r="F7337" s="2423"/>
    </row>
    <row r="7338" s="101" customFormat="1" spans="6:6">
      <c r="F7338" s="2423"/>
    </row>
    <row r="7339" s="101" customFormat="1" spans="6:6">
      <c r="F7339" s="2423"/>
    </row>
    <row r="7340" s="101" customFormat="1" spans="6:6">
      <c r="F7340" s="2423"/>
    </row>
    <row r="7341" s="101" customFormat="1" spans="6:6">
      <c r="F7341" s="2423"/>
    </row>
    <row r="7342" s="101" customFormat="1" spans="6:6">
      <c r="F7342" s="2423"/>
    </row>
    <row r="7343" s="101" customFormat="1" spans="6:6">
      <c r="F7343" s="2423"/>
    </row>
    <row r="7344" s="101" customFormat="1" spans="6:6">
      <c r="F7344" s="2423"/>
    </row>
    <row r="7345" s="101" customFormat="1" spans="6:6">
      <c r="F7345" s="2423"/>
    </row>
    <row r="7346" s="101" customFormat="1" spans="6:6">
      <c r="F7346" s="2423"/>
    </row>
    <row r="7347" s="101" customFormat="1" spans="6:6">
      <c r="F7347" s="2423"/>
    </row>
    <row r="7348" s="101" customFormat="1" spans="6:6">
      <c r="F7348" s="2423"/>
    </row>
    <row r="7349" s="101" customFormat="1" spans="6:6">
      <c r="F7349" s="2423"/>
    </row>
    <row r="7350" s="101" customFormat="1" spans="6:6">
      <c r="F7350" s="2423"/>
    </row>
    <row r="7351" s="101" customFormat="1" spans="6:6">
      <c r="F7351" s="2423"/>
    </row>
    <row r="7352" s="101" customFormat="1" spans="6:6">
      <c r="F7352" s="2423"/>
    </row>
    <row r="7353" s="101" customFormat="1" spans="6:6">
      <c r="F7353" s="2423"/>
    </row>
    <row r="7354" s="101" customFormat="1" spans="6:6">
      <c r="F7354" s="2423"/>
    </row>
    <row r="7355" s="101" customFormat="1" spans="6:6">
      <c r="F7355" s="2423"/>
    </row>
    <row r="7356" s="101" customFormat="1" spans="6:6">
      <c r="F7356" s="2423"/>
    </row>
    <row r="7357" s="101" customFormat="1" spans="6:6">
      <c r="F7357" s="2423"/>
    </row>
    <row r="7358" s="101" customFormat="1" spans="6:6">
      <c r="F7358" s="2423"/>
    </row>
    <row r="7359" s="101" customFormat="1" spans="6:6">
      <c r="F7359" s="2423"/>
    </row>
    <row r="7360" s="101" customFormat="1" spans="6:6">
      <c r="F7360" s="2423"/>
    </row>
    <row r="7361" s="101" customFormat="1" spans="6:6">
      <c r="F7361" s="2423"/>
    </row>
    <row r="7362" s="101" customFormat="1" spans="6:6">
      <c r="F7362" s="2423"/>
    </row>
    <row r="7363" s="101" customFormat="1" spans="6:6">
      <c r="F7363" s="2423"/>
    </row>
    <row r="7364" s="101" customFormat="1" spans="6:6">
      <c r="F7364" s="2423"/>
    </row>
    <row r="7365" s="101" customFormat="1" spans="6:6">
      <c r="F7365" s="2423"/>
    </row>
    <row r="7366" s="101" customFormat="1" spans="6:6">
      <c r="F7366" s="2423"/>
    </row>
    <row r="7367" s="101" customFormat="1" spans="6:6">
      <c r="F7367" s="2423"/>
    </row>
    <row r="7368" s="101" customFormat="1" spans="6:6">
      <c r="F7368" s="2423"/>
    </row>
    <row r="7369" s="101" customFormat="1" spans="6:6">
      <c r="F7369" s="2423"/>
    </row>
    <row r="7370" s="101" customFormat="1" spans="6:6">
      <c r="F7370" s="2423"/>
    </row>
    <row r="7371" s="101" customFormat="1" spans="6:6">
      <c r="F7371" s="2423"/>
    </row>
    <row r="7372" s="101" customFormat="1" spans="6:6">
      <c r="F7372" s="2423"/>
    </row>
    <row r="7373" s="101" customFormat="1" spans="6:6">
      <c r="F7373" s="2423"/>
    </row>
    <row r="7374" s="101" customFormat="1" spans="6:6">
      <c r="F7374" s="2423"/>
    </row>
    <row r="7375" s="101" customFormat="1" spans="6:6">
      <c r="F7375" s="2423"/>
    </row>
    <row r="7376" s="101" customFormat="1" spans="6:6">
      <c r="F7376" s="2423"/>
    </row>
    <row r="7377" s="101" customFormat="1" spans="6:6">
      <c r="F7377" s="2423"/>
    </row>
    <row r="7378" s="101" customFormat="1" spans="6:6">
      <c r="F7378" s="2423"/>
    </row>
    <row r="7379" s="101" customFormat="1" spans="6:6">
      <c r="F7379" s="2423"/>
    </row>
    <row r="7380" s="101" customFormat="1" spans="6:6">
      <c r="F7380" s="2423"/>
    </row>
    <row r="7381" s="101" customFormat="1" spans="6:6">
      <c r="F7381" s="2423"/>
    </row>
    <row r="7382" s="101" customFormat="1" spans="6:6">
      <c r="F7382" s="2423"/>
    </row>
    <row r="7383" s="101" customFormat="1" spans="6:6">
      <c r="F7383" s="2423"/>
    </row>
    <row r="7384" s="101" customFormat="1" spans="6:6">
      <c r="F7384" s="2423"/>
    </row>
    <row r="7385" s="101" customFormat="1" spans="6:6">
      <c r="F7385" s="2423"/>
    </row>
    <row r="7386" s="101" customFormat="1" spans="6:6">
      <c r="F7386" s="2423"/>
    </row>
    <row r="7387" s="101" customFormat="1" spans="6:6">
      <c r="F7387" s="2423"/>
    </row>
    <row r="7388" s="101" customFormat="1" spans="6:6">
      <c r="F7388" s="2423"/>
    </row>
    <row r="7389" s="101" customFormat="1" spans="6:6">
      <c r="F7389" s="2423"/>
    </row>
    <row r="7390" s="101" customFormat="1" spans="6:6">
      <c r="F7390" s="2423"/>
    </row>
    <row r="7391" s="101" customFormat="1" spans="6:6">
      <c r="F7391" s="2423"/>
    </row>
    <row r="7392" s="101" customFormat="1" spans="6:6">
      <c r="F7392" s="2423"/>
    </row>
    <row r="7393" s="101" customFormat="1" spans="6:6">
      <c r="F7393" s="2423"/>
    </row>
    <row r="7394" s="101" customFormat="1" spans="6:6">
      <c r="F7394" s="2423"/>
    </row>
    <row r="7395" s="101" customFormat="1" spans="6:6">
      <c r="F7395" s="2423"/>
    </row>
    <row r="7396" s="101" customFormat="1" spans="6:6">
      <c r="F7396" s="2423"/>
    </row>
    <row r="7397" s="101" customFormat="1" spans="6:6">
      <c r="F7397" s="2423"/>
    </row>
    <row r="7398" s="101" customFormat="1" spans="6:6">
      <c r="F7398" s="2423"/>
    </row>
    <row r="7399" s="101" customFormat="1" spans="6:6">
      <c r="F7399" s="2423"/>
    </row>
    <row r="7400" s="101" customFormat="1" spans="6:6">
      <c r="F7400" s="2423"/>
    </row>
    <row r="7401" s="101" customFormat="1" spans="6:6">
      <c r="F7401" s="2423"/>
    </row>
    <row r="7402" s="101" customFormat="1" spans="6:6">
      <c r="F7402" s="2423"/>
    </row>
    <row r="7403" s="101" customFormat="1" spans="6:6">
      <c r="F7403" s="2423"/>
    </row>
    <row r="7404" s="101" customFormat="1" spans="6:6">
      <c r="F7404" s="2423"/>
    </row>
    <row r="7405" s="101" customFormat="1" spans="6:6">
      <c r="F7405" s="2423"/>
    </row>
    <row r="7406" s="101" customFormat="1" spans="6:6">
      <c r="F7406" s="2423"/>
    </row>
    <row r="7407" s="101" customFormat="1" spans="6:6">
      <c r="F7407" s="2423"/>
    </row>
    <row r="7408" s="101" customFormat="1" spans="6:6">
      <c r="F7408" s="2423"/>
    </row>
    <row r="7409" s="101" customFormat="1" spans="6:6">
      <c r="F7409" s="2423"/>
    </row>
    <row r="7410" s="101" customFormat="1" spans="6:6">
      <c r="F7410" s="2423"/>
    </row>
    <row r="7411" s="101" customFormat="1" spans="6:6">
      <c r="F7411" s="2423"/>
    </row>
    <row r="7412" s="101" customFormat="1" spans="6:6">
      <c r="F7412" s="2423"/>
    </row>
    <row r="7413" s="101" customFormat="1" spans="6:6">
      <c r="F7413" s="2423"/>
    </row>
    <row r="7414" s="101" customFormat="1" spans="6:6">
      <c r="F7414" s="2423"/>
    </row>
    <row r="7415" s="101" customFormat="1" spans="6:6">
      <c r="F7415" s="2423"/>
    </row>
    <row r="7416" s="101" customFormat="1" spans="6:6">
      <c r="F7416" s="2423"/>
    </row>
    <row r="7417" s="101" customFormat="1" spans="6:6">
      <c r="F7417" s="2423"/>
    </row>
    <row r="7418" s="101" customFormat="1" spans="6:6">
      <c r="F7418" s="2423"/>
    </row>
    <row r="7419" s="101" customFormat="1" spans="6:6">
      <c r="F7419" s="2423"/>
    </row>
    <row r="7420" s="101" customFormat="1" spans="6:6">
      <c r="F7420" s="2423"/>
    </row>
    <row r="7421" s="101" customFormat="1" spans="6:6">
      <c r="F7421" s="2423"/>
    </row>
    <row r="7422" s="101" customFormat="1" spans="6:6">
      <c r="F7422" s="2423"/>
    </row>
    <row r="7423" s="101" customFormat="1" spans="6:6">
      <c r="F7423" s="2423"/>
    </row>
    <row r="7424" s="101" customFormat="1" spans="6:6">
      <c r="F7424" s="2423"/>
    </row>
    <row r="7425" s="101" customFormat="1" spans="6:6">
      <c r="F7425" s="2423"/>
    </row>
    <row r="7426" s="101" customFormat="1" spans="6:6">
      <c r="F7426" s="2423"/>
    </row>
    <row r="7427" s="101" customFormat="1" spans="6:6">
      <c r="F7427" s="2423"/>
    </row>
    <row r="7428" s="101" customFormat="1" spans="6:6">
      <c r="F7428" s="2423"/>
    </row>
    <row r="7429" s="101" customFormat="1" spans="6:6">
      <c r="F7429" s="2423"/>
    </row>
    <row r="7430" s="101" customFormat="1" spans="6:6">
      <c r="F7430" s="2423"/>
    </row>
    <row r="7431" s="101" customFormat="1" spans="6:6">
      <c r="F7431" s="2423"/>
    </row>
    <row r="7432" s="101" customFormat="1" spans="6:6">
      <c r="F7432" s="2423"/>
    </row>
    <row r="7433" s="101" customFormat="1" spans="6:6">
      <c r="F7433" s="2423"/>
    </row>
    <row r="7434" s="101" customFormat="1" spans="6:6">
      <c r="F7434" s="2423"/>
    </row>
    <row r="7435" s="101" customFormat="1" spans="6:6">
      <c r="F7435" s="2423"/>
    </row>
    <row r="7436" s="101" customFormat="1" spans="6:6">
      <c r="F7436" s="2423"/>
    </row>
    <row r="7437" s="101" customFormat="1" spans="6:6">
      <c r="F7437" s="2423"/>
    </row>
    <row r="7438" s="101" customFormat="1" spans="6:6">
      <c r="F7438" s="2423"/>
    </row>
    <row r="7439" s="101" customFormat="1" spans="6:6">
      <c r="F7439" s="2423"/>
    </row>
    <row r="7440" s="101" customFormat="1" spans="6:6">
      <c r="F7440" s="2423"/>
    </row>
    <row r="7441" s="101" customFormat="1" spans="6:6">
      <c r="F7441" s="2423"/>
    </row>
    <row r="7442" s="101" customFormat="1" spans="6:6">
      <c r="F7442" s="2423"/>
    </row>
    <row r="7443" s="101" customFormat="1" spans="6:6">
      <c r="F7443" s="2423"/>
    </row>
    <row r="7444" s="101" customFormat="1" spans="6:6">
      <c r="F7444" s="2423"/>
    </row>
    <row r="7445" s="101" customFormat="1" spans="6:6">
      <c r="F7445" s="2423"/>
    </row>
    <row r="7446" s="101" customFormat="1" spans="6:6">
      <c r="F7446" s="2423"/>
    </row>
    <row r="7447" s="101" customFormat="1" spans="6:6">
      <c r="F7447" s="2423"/>
    </row>
    <row r="7448" s="101" customFormat="1" spans="6:6">
      <c r="F7448" s="2423"/>
    </row>
    <row r="7449" s="101" customFormat="1" spans="6:6">
      <c r="F7449" s="2423"/>
    </row>
    <row r="7450" s="101" customFormat="1" spans="6:6">
      <c r="F7450" s="2423"/>
    </row>
    <row r="7451" s="101" customFormat="1" spans="6:6">
      <c r="F7451" s="2423"/>
    </row>
    <row r="7452" s="101" customFormat="1" spans="6:6">
      <c r="F7452" s="2423"/>
    </row>
    <row r="7453" s="101" customFormat="1" spans="6:6">
      <c r="F7453" s="2423"/>
    </row>
    <row r="7454" s="101" customFormat="1" spans="6:6">
      <c r="F7454" s="2423"/>
    </row>
    <row r="7455" s="101" customFormat="1" spans="6:6">
      <c r="F7455" s="2423"/>
    </row>
    <row r="7456" s="101" customFormat="1" spans="6:6">
      <c r="F7456" s="2423"/>
    </row>
    <row r="7457" s="101" customFormat="1" spans="6:6">
      <c r="F7457" s="2423"/>
    </row>
    <row r="7458" s="101" customFormat="1" spans="6:6">
      <c r="F7458" s="2423"/>
    </row>
    <row r="7459" s="101" customFormat="1" spans="6:6">
      <c r="F7459" s="2423"/>
    </row>
    <row r="7460" s="101" customFormat="1" spans="6:6">
      <c r="F7460" s="2423"/>
    </row>
    <row r="7461" s="101" customFormat="1" spans="6:6">
      <c r="F7461" s="2423"/>
    </row>
    <row r="7462" s="101" customFormat="1" spans="6:6">
      <c r="F7462" s="2423"/>
    </row>
    <row r="7463" s="101" customFormat="1" spans="6:6">
      <c r="F7463" s="2423"/>
    </row>
    <row r="7464" s="101" customFormat="1" spans="6:6">
      <c r="F7464" s="2423"/>
    </row>
    <row r="7465" s="101" customFormat="1" spans="6:6">
      <c r="F7465" s="2423"/>
    </row>
    <row r="7466" s="101" customFormat="1" spans="6:6">
      <c r="F7466" s="2423"/>
    </row>
    <row r="7467" s="101" customFormat="1" spans="6:6">
      <c r="F7467" s="2423"/>
    </row>
    <row r="7468" s="101" customFormat="1" spans="6:6">
      <c r="F7468" s="2423"/>
    </row>
    <row r="7469" s="101" customFormat="1" spans="6:6">
      <c r="F7469" s="2423"/>
    </row>
    <row r="7470" s="101" customFormat="1" spans="6:6">
      <c r="F7470" s="2423"/>
    </row>
    <row r="7471" s="101" customFormat="1" spans="6:6">
      <c r="F7471" s="2423"/>
    </row>
    <row r="7472" s="101" customFormat="1" spans="6:6">
      <c r="F7472" s="2423"/>
    </row>
    <row r="7473" s="101" customFormat="1" spans="6:6">
      <c r="F7473" s="2423"/>
    </row>
    <row r="7474" s="101" customFormat="1" spans="6:6">
      <c r="F7474" s="2423"/>
    </row>
    <row r="7475" s="101" customFormat="1" spans="6:6">
      <c r="F7475" s="2423"/>
    </row>
    <row r="7476" s="101" customFormat="1" spans="6:6">
      <c r="F7476" s="2423"/>
    </row>
    <row r="7477" s="101" customFormat="1" spans="6:6">
      <c r="F7477" s="2423"/>
    </row>
    <row r="7478" s="101" customFormat="1" spans="6:6">
      <c r="F7478" s="2423"/>
    </row>
    <row r="7479" s="101" customFormat="1" spans="6:6">
      <c r="F7479" s="2423"/>
    </row>
    <row r="7480" s="101" customFormat="1" spans="6:6">
      <c r="F7480" s="2423"/>
    </row>
    <row r="7481" s="101" customFormat="1" spans="6:6">
      <c r="F7481" s="2423"/>
    </row>
    <row r="7482" s="101" customFormat="1" spans="6:6">
      <c r="F7482" s="2423"/>
    </row>
    <row r="7483" s="101" customFormat="1" spans="6:6">
      <c r="F7483" s="2423"/>
    </row>
    <row r="7484" s="101" customFormat="1" spans="6:6">
      <c r="F7484" s="2423"/>
    </row>
    <row r="7485" s="101" customFormat="1" spans="6:6">
      <c r="F7485" s="2423"/>
    </row>
    <row r="7486" s="101" customFormat="1" spans="6:6">
      <c r="F7486" s="2423"/>
    </row>
    <row r="7487" s="101" customFormat="1" spans="6:6">
      <c r="F7487" s="2423"/>
    </row>
    <row r="7488" s="101" customFormat="1" spans="6:6">
      <c r="F7488" s="2423"/>
    </row>
    <row r="7489" s="101" customFormat="1" spans="6:6">
      <c r="F7489" s="2423"/>
    </row>
    <row r="7490" s="101" customFormat="1" spans="6:6">
      <c r="F7490" s="2423"/>
    </row>
    <row r="7491" s="101" customFormat="1" spans="6:6">
      <c r="F7491" s="2423"/>
    </row>
    <row r="7492" s="101" customFormat="1" spans="6:6">
      <c r="F7492" s="2423"/>
    </row>
    <row r="7493" s="101" customFormat="1" spans="6:6">
      <c r="F7493" s="2423"/>
    </row>
    <row r="7494" s="101" customFormat="1" spans="6:6">
      <c r="F7494" s="2423"/>
    </row>
    <row r="7495" s="101" customFormat="1" spans="6:6">
      <c r="F7495" s="2423"/>
    </row>
    <row r="7496" s="101" customFormat="1" spans="6:6">
      <c r="F7496" s="2423"/>
    </row>
    <row r="7497" s="101" customFormat="1" spans="6:6">
      <c r="F7497" s="2423"/>
    </row>
    <row r="7498" s="101" customFormat="1" spans="6:6">
      <c r="F7498" s="2423"/>
    </row>
    <row r="7499" s="101" customFormat="1" spans="6:6">
      <c r="F7499" s="2423"/>
    </row>
    <row r="7500" s="101" customFormat="1" spans="6:6">
      <c r="F7500" s="2423"/>
    </row>
    <row r="7501" s="101" customFormat="1" spans="6:6">
      <c r="F7501" s="2423"/>
    </row>
    <row r="7502" s="101" customFormat="1" spans="6:6">
      <c r="F7502" s="2423"/>
    </row>
    <row r="7503" s="101" customFormat="1" spans="6:6">
      <c r="F7503" s="2423"/>
    </row>
    <row r="7504" s="101" customFormat="1" spans="6:6">
      <c r="F7504" s="2423"/>
    </row>
    <row r="7505" s="101" customFormat="1" spans="6:6">
      <c r="F7505" s="2423"/>
    </row>
    <row r="7506" s="101" customFormat="1" spans="6:6">
      <c r="F7506" s="2423"/>
    </row>
    <row r="7507" s="101" customFormat="1" spans="6:6">
      <c r="F7507" s="2423"/>
    </row>
    <row r="7508" s="101" customFormat="1" spans="6:6">
      <c r="F7508" s="2423"/>
    </row>
    <row r="7509" s="101" customFormat="1" spans="6:6">
      <c r="F7509" s="2423"/>
    </row>
    <row r="7510" s="101" customFormat="1" spans="6:6">
      <c r="F7510" s="2423"/>
    </row>
    <row r="7511" s="101" customFormat="1" spans="6:6">
      <c r="F7511" s="2423"/>
    </row>
    <row r="7512" s="101" customFormat="1" spans="6:6">
      <c r="F7512" s="2423"/>
    </row>
    <row r="7513" s="101" customFormat="1" spans="6:6">
      <c r="F7513" s="2423"/>
    </row>
    <row r="7514" s="101" customFormat="1" spans="6:6">
      <c r="F7514" s="2423"/>
    </row>
    <row r="7515" s="101" customFormat="1" spans="6:6">
      <c r="F7515" s="2423"/>
    </row>
    <row r="7516" s="101" customFormat="1" spans="6:6">
      <c r="F7516" s="2423"/>
    </row>
    <row r="7517" s="101" customFormat="1" spans="6:6">
      <c r="F7517" s="2423"/>
    </row>
    <row r="7518" s="101" customFormat="1" spans="6:6">
      <c r="F7518" s="2423"/>
    </row>
    <row r="7519" s="101" customFormat="1" spans="6:6">
      <c r="F7519" s="2423"/>
    </row>
    <row r="7520" s="101" customFormat="1" spans="6:6">
      <c r="F7520" s="2423"/>
    </row>
    <row r="7521" s="101" customFormat="1" spans="6:6">
      <c r="F7521" s="2423"/>
    </row>
    <row r="7522" s="101" customFormat="1" spans="6:6">
      <c r="F7522" s="2423"/>
    </row>
    <row r="7523" s="101" customFormat="1" spans="6:6">
      <c r="F7523" s="2423"/>
    </row>
    <row r="7524" s="101" customFormat="1" spans="6:6">
      <c r="F7524" s="2423"/>
    </row>
    <row r="7525" s="101" customFormat="1" spans="6:6">
      <c r="F7525" s="2423"/>
    </row>
    <row r="7526" s="101" customFormat="1" spans="6:6">
      <c r="F7526" s="2423"/>
    </row>
    <row r="7527" s="101" customFormat="1" spans="6:6">
      <c r="F7527" s="2423"/>
    </row>
    <row r="7528" s="101" customFormat="1" spans="6:6">
      <c r="F7528" s="2423"/>
    </row>
    <row r="7529" s="101" customFormat="1" spans="6:6">
      <c r="F7529" s="2423"/>
    </row>
    <row r="7530" s="101" customFormat="1" spans="6:6">
      <c r="F7530" s="2423"/>
    </row>
    <row r="7531" s="101" customFormat="1" spans="6:6">
      <c r="F7531" s="2423"/>
    </row>
    <row r="7532" s="101" customFormat="1" spans="6:6">
      <c r="F7532" s="2423"/>
    </row>
    <row r="7533" s="101" customFormat="1" spans="6:6">
      <c r="F7533" s="2423"/>
    </row>
    <row r="7534" s="101" customFormat="1" spans="6:6">
      <c r="F7534" s="2423"/>
    </row>
    <row r="7535" s="101" customFormat="1" spans="6:6">
      <c r="F7535" s="2423"/>
    </row>
    <row r="7536" s="101" customFormat="1" spans="6:6">
      <c r="F7536" s="2423"/>
    </row>
    <row r="7537" s="101" customFormat="1" spans="6:6">
      <c r="F7537" s="2423"/>
    </row>
    <row r="7538" s="101" customFormat="1" spans="6:6">
      <c r="F7538" s="2423"/>
    </row>
    <row r="7539" s="101" customFormat="1" spans="6:6">
      <c r="F7539" s="2423"/>
    </row>
    <row r="7540" s="101" customFormat="1" spans="6:6">
      <c r="F7540" s="2423"/>
    </row>
    <row r="7541" s="101" customFormat="1" spans="6:6">
      <c r="F7541" s="2423"/>
    </row>
    <row r="7542" s="101" customFormat="1" spans="6:6">
      <c r="F7542" s="2423"/>
    </row>
    <row r="7543" s="101" customFormat="1" spans="6:6">
      <c r="F7543" s="2423"/>
    </row>
    <row r="7544" s="101" customFormat="1" spans="6:6">
      <c r="F7544" s="2423"/>
    </row>
    <row r="7545" s="101" customFormat="1" spans="6:6">
      <c r="F7545" s="2423"/>
    </row>
    <row r="7546" s="101" customFormat="1" spans="6:6">
      <c r="F7546" s="2423"/>
    </row>
    <row r="7547" s="101" customFormat="1" spans="6:6">
      <c r="F7547" s="2423"/>
    </row>
    <row r="7548" s="101" customFormat="1" spans="6:6">
      <c r="F7548" s="2423"/>
    </row>
    <row r="7549" s="101" customFormat="1" spans="6:6">
      <c r="F7549" s="2423"/>
    </row>
    <row r="7550" s="101" customFormat="1" spans="6:6">
      <c r="F7550" s="2423"/>
    </row>
    <row r="7551" s="101" customFormat="1" spans="6:6">
      <c r="F7551" s="2423"/>
    </row>
    <row r="7552" s="101" customFormat="1" spans="6:6">
      <c r="F7552" s="2423"/>
    </row>
    <row r="7553" s="101" customFormat="1" spans="6:6">
      <c r="F7553" s="2423"/>
    </row>
    <row r="7554" s="101" customFormat="1" spans="6:6">
      <c r="F7554" s="2423"/>
    </row>
    <row r="7555" s="101" customFormat="1" spans="6:6">
      <c r="F7555" s="2423"/>
    </row>
    <row r="7556" s="101" customFormat="1" spans="6:6">
      <c r="F7556" s="2423"/>
    </row>
    <row r="7557" s="101" customFormat="1" spans="6:6">
      <c r="F7557" s="2423"/>
    </row>
    <row r="7558" s="101" customFormat="1" spans="6:6">
      <c r="F7558" s="2423"/>
    </row>
    <row r="7559" s="101" customFormat="1" spans="6:6">
      <c r="F7559" s="2423"/>
    </row>
    <row r="7560" s="101" customFormat="1" spans="6:6">
      <c r="F7560" s="2423"/>
    </row>
    <row r="7561" s="101" customFormat="1" spans="6:6">
      <c r="F7561" s="2423"/>
    </row>
    <row r="7562" s="101" customFormat="1" spans="6:6">
      <c r="F7562" s="2423"/>
    </row>
    <row r="7563" s="101" customFormat="1" spans="6:6">
      <c r="F7563" s="2423"/>
    </row>
    <row r="7564" s="101" customFormat="1" spans="6:6">
      <c r="F7564" s="2423"/>
    </row>
    <row r="7565" s="101" customFormat="1" spans="6:6">
      <c r="F7565" s="2423"/>
    </row>
    <row r="7566" s="101" customFormat="1" spans="6:6">
      <c r="F7566" s="2423"/>
    </row>
    <row r="7567" s="101" customFormat="1" spans="6:6">
      <c r="F7567" s="2423"/>
    </row>
    <row r="7568" s="101" customFormat="1" spans="6:6">
      <c r="F7568" s="2423"/>
    </row>
    <row r="7569" s="101" customFormat="1" spans="6:6">
      <c r="F7569" s="2423"/>
    </row>
    <row r="7570" s="101" customFormat="1" spans="6:6">
      <c r="F7570" s="2423"/>
    </row>
    <row r="7571" s="101" customFormat="1" spans="6:6">
      <c r="F7571" s="2423"/>
    </row>
    <row r="7572" s="101" customFormat="1" spans="6:6">
      <c r="F7572" s="2423"/>
    </row>
    <row r="7573" s="101" customFormat="1" spans="6:6">
      <c r="F7573" s="2423"/>
    </row>
    <row r="7574" s="101" customFormat="1" spans="6:6">
      <c r="F7574" s="2423"/>
    </row>
    <row r="7575" s="101" customFormat="1" spans="6:6">
      <c r="F7575" s="2423"/>
    </row>
    <row r="7576" s="101" customFormat="1" spans="6:6">
      <c r="F7576" s="2423"/>
    </row>
    <row r="7577" s="101" customFormat="1" spans="6:6">
      <c r="F7577" s="2423"/>
    </row>
    <row r="7578" s="101" customFormat="1" spans="6:6">
      <c r="F7578" s="2423"/>
    </row>
    <row r="7579" s="101" customFormat="1" spans="6:6">
      <c r="F7579" s="2423"/>
    </row>
    <row r="7580" s="101" customFormat="1" spans="6:6">
      <c r="F7580" s="2423"/>
    </row>
    <row r="7581" s="101" customFormat="1" spans="6:6">
      <c r="F7581" s="2423"/>
    </row>
    <row r="7582" s="101" customFormat="1" spans="6:6">
      <c r="F7582" s="2423"/>
    </row>
    <row r="7583" s="101" customFormat="1" spans="6:6">
      <c r="F7583" s="2423"/>
    </row>
    <row r="7584" s="101" customFormat="1" spans="6:6">
      <c r="F7584" s="2423"/>
    </row>
    <row r="7585" s="101" customFormat="1" spans="6:6">
      <c r="F7585" s="2423"/>
    </row>
    <row r="7586" s="101" customFormat="1" spans="6:6">
      <c r="F7586" s="2423"/>
    </row>
    <row r="7587" s="101" customFormat="1" spans="6:6">
      <c r="F7587" s="2423"/>
    </row>
    <row r="7588" s="101" customFormat="1" spans="6:6">
      <c r="F7588" s="2423"/>
    </row>
    <row r="7589" s="101" customFormat="1" spans="6:6">
      <c r="F7589" s="2423"/>
    </row>
    <row r="7590" s="101" customFormat="1" spans="6:6">
      <c r="F7590" s="2423"/>
    </row>
    <row r="7591" s="101" customFormat="1" spans="6:6">
      <c r="F7591" s="2423"/>
    </row>
    <row r="7592" s="101" customFormat="1" spans="6:6">
      <c r="F7592" s="2423"/>
    </row>
    <row r="7593" s="101" customFormat="1" spans="6:6">
      <c r="F7593" s="2423"/>
    </row>
    <row r="7594" s="101" customFormat="1" spans="6:6">
      <c r="F7594" s="2423"/>
    </row>
    <row r="7595" s="101" customFormat="1" spans="6:6">
      <c r="F7595" s="2423"/>
    </row>
    <row r="7596" s="101" customFormat="1" spans="6:6">
      <c r="F7596" s="2423"/>
    </row>
    <row r="7597" s="101" customFormat="1" spans="6:6">
      <c r="F7597" s="2423"/>
    </row>
    <row r="7598" s="101" customFormat="1" spans="6:6">
      <c r="F7598" s="2423"/>
    </row>
    <row r="7599" s="101" customFormat="1" spans="6:6">
      <c r="F7599" s="2423"/>
    </row>
    <row r="7600" s="101" customFormat="1" spans="6:6">
      <c r="F7600" s="2423"/>
    </row>
    <row r="7601" s="101" customFormat="1" spans="6:6">
      <c r="F7601" s="2423"/>
    </row>
    <row r="7602" s="101" customFormat="1" spans="6:6">
      <c r="F7602" s="2423"/>
    </row>
    <row r="7603" s="101" customFormat="1" spans="6:6">
      <c r="F7603" s="2423"/>
    </row>
    <row r="7604" s="101" customFormat="1" spans="6:6">
      <c r="F7604" s="2423"/>
    </row>
    <row r="7605" s="101" customFormat="1" spans="6:6">
      <c r="F7605" s="2423"/>
    </row>
    <row r="7606" s="101" customFormat="1" spans="6:6">
      <c r="F7606" s="2423"/>
    </row>
    <row r="7607" s="101" customFormat="1" spans="6:6">
      <c r="F7607" s="2423"/>
    </row>
    <row r="7608" s="101" customFormat="1" spans="6:6">
      <c r="F7608" s="2423"/>
    </row>
    <row r="7609" s="101" customFormat="1" spans="6:6">
      <c r="F7609" s="2423"/>
    </row>
    <row r="7610" s="101" customFormat="1" spans="6:6">
      <c r="F7610" s="2423"/>
    </row>
    <row r="7611" s="101" customFormat="1" spans="6:6">
      <c r="F7611" s="2423"/>
    </row>
    <row r="7612" s="101" customFormat="1" spans="6:6">
      <c r="F7612" s="2423"/>
    </row>
    <row r="7613" s="101" customFormat="1" spans="6:6">
      <c r="F7613" s="2423"/>
    </row>
    <row r="7614" s="101" customFormat="1" spans="6:6">
      <c r="F7614" s="2423"/>
    </row>
    <row r="7615" s="101" customFormat="1" spans="6:6">
      <c r="F7615" s="2423"/>
    </row>
    <row r="7616" s="101" customFormat="1" spans="6:6">
      <c r="F7616" s="2423"/>
    </row>
    <row r="7617" s="101" customFormat="1" spans="6:6">
      <c r="F7617" s="2423"/>
    </row>
    <row r="7618" s="101" customFormat="1" spans="6:6">
      <c r="F7618" s="2423"/>
    </row>
    <row r="7619" s="101" customFormat="1" spans="6:6">
      <c r="F7619" s="2423"/>
    </row>
    <row r="7620" s="101" customFormat="1" spans="6:6">
      <c r="F7620" s="2423"/>
    </row>
    <row r="7621" s="101" customFormat="1" spans="6:6">
      <c r="F7621" s="2423"/>
    </row>
    <row r="7622" s="101" customFormat="1" spans="6:6">
      <c r="F7622" s="2423"/>
    </row>
    <row r="7623" s="101" customFormat="1" spans="6:6">
      <c r="F7623" s="2423"/>
    </row>
    <row r="7624" s="101" customFormat="1" spans="6:6">
      <c r="F7624" s="2423"/>
    </row>
    <row r="7625" s="101" customFormat="1" spans="6:6">
      <c r="F7625" s="2423"/>
    </row>
    <row r="7626" s="101" customFormat="1" spans="6:6">
      <c r="F7626" s="2423"/>
    </row>
    <row r="7627" s="101" customFormat="1" spans="6:6">
      <c r="F7627" s="2423"/>
    </row>
    <row r="7628" s="101" customFormat="1" spans="6:6">
      <c r="F7628" s="2423"/>
    </row>
    <row r="7629" s="101" customFormat="1" spans="6:6">
      <c r="F7629" s="2423"/>
    </row>
    <row r="7630" s="101" customFormat="1" spans="6:6">
      <c r="F7630" s="2423"/>
    </row>
    <row r="7631" s="101" customFormat="1" spans="6:6">
      <c r="F7631" s="2423"/>
    </row>
    <row r="7632" s="101" customFormat="1" spans="6:6">
      <c r="F7632" s="2423"/>
    </row>
    <row r="7633" s="101" customFormat="1" spans="6:6">
      <c r="F7633" s="2423"/>
    </row>
    <row r="7634" s="101" customFormat="1" spans="6:6">
      <c r="F7634" s="2423"/>
    </row>
    <row r="7635" s="101" customFormat="1" spans="6:6">
      <c r="F7635" s="2423"/>
    </row>
    <row r="7636" s="101" customFormat="1" spans="6:6">
      <c r="F7636" s="2423"/>
    </row>
    <row r="7637" s="101" customFormat="1" spans="6:6">
      <c r="F7637" s="2423"/>
    </row>
    <row r="7638" s="101" customFormat="1" spans="6:6">
      <c r="F7638" s="2423"/>
    </row>
    <row r="7639" s="101" customFormat="1" spans="6:6">
      <c r="F7639" s="2423"/>
    </row>
    <row r="7640" s="101" customFormat="1" spans="6:6">
      <c r="F7640" s="2423"/>
    </row>
    <row r="7641" s="101" customFormat="1" spans="6:6">
      <c r="F7641" s="2423"/>
    </row>
    <row r="7642" s="101" customFormat="1" spans="6:6">
      <c r="F7642" s="2423"/>
    </row>
    <row r="7643" s="101" customFormat="1" spans="6:6">
      <c r="F7643" s="2423"/>
    </row>
    <row r="7644" s="101" customFormat="1" spans="6:6">
      <c r="F7644" s="2423"/>
    </row>
    <row r="7645" s="101" customFormat="1" spans="6:6">
      <c r="F7645" s="2423"/>
    </row>
    <row r="7646" s="101" customFormat="1" spans="6:6">
      <c r="F7646" s="2423"/>
    </row>
    <row r="7647" s="101" customFormat="1" spans="6:6">
      <c r="F7647" s="2423"/>
    </row>
    <row r="7648" s="101" customFormat="1" spans="6:6">
      <c r="F7648" s="2423"/>
    </row>
    <row r="7649" s="101" customFormat="1" spans="6:6">
      <c r="F7649" s="2423"/>
    </row>
    <row r="7650" s="101" customFormat="1" spans="6:6">
      <c r="F7650" s="2423"/>
    </row>
    <row r="7651" s="101" customFormat="1" spans="6:6">
      <c r="F7651" s="2423"/>
    </row>
    <row r="7652" s="101" customFormat="1" spans="6:6">
      <c r="F7652" s="2423"/>
    </row>
    <row r="7653" s="101" customFormat="1" spans="6:6">
      <c r="F7653" s="2423"/>
    </row>
    <row r="7654" s="101" customFormat="1" spans="6:6">
      <c r="F7654" s="2423"/>
    </row>
    <row r="7655" s="101" customFormat="1" spans="6:6">
      <c r="F7655" s="2423"/>
    </row>
    <row r="7656" s="101" customFormat="1" spans="6:6">
      <c r="F7656" s="2423"/>
    </row>
    <row r="7657" s="101" customFormat="1" spans="6:6">
      <c r="F7657" s="2423"/>
    </row>
    <row r="7658" s="101" customFormat="1" spans="6:6">
      <c r="F7658" s="2423"/>
    </row>
    <row r="7659" s="101" customFormat="1" spans="6:6">
      <c r="F7659" s="2423"/>
    </row>
    <row r="7660" s="101" customFormat="1" spans="6:6">
      <c r="F7660" s="2423"/>
    </row>
    <row r="7661" s="101" customFormat="1" spans="6:6">
      <c r="F7661" s="2423"/>
    </row>
    <row r="7662" s="101" customFormat="1" spans="6:6">
      <c r="F7662" s="2423"/>
    </row>
    <row r="7663" s="101" customFormat="1" spans="6:6">
      <c r="F7663" s="2423"/>
    </row>
    <row r="7664" s="101" customFormat="1" spans="6:6">
      <c r="F7664" s="2423"/>
    </row>
    <row r="7665" s="101" customFormat="1" spans="6:6">
      <c r="F7665" s="2423"/>
    </row>
    <row r="7666" s="101" customFormat="1" spans="6:6">
      <c r="F7666" s="2423"/>
    </row>
    <row r="7667" s="101" customFormat="1" spans="6:6">
      <c r="F7667" s="2423"/>
    </row>
    <row r="7668" s="101" customFormat="1" spans="6:6">
      <c r="F7668" s="2423"/>
    </row>
    <row r="7669" s="101" customFormat="1" spans="6:6">
      <c r="F7669" s="2423"/>
    </row>
    <row r="7670" s="101" customFormat="1" spans="6:6">
      <c r="F7670" s="2423"/>
    </row>
    <row r="7671" s="101" customFormat="1" spans="6:6">
      <c r="F7671" s="2423"/>
    </row>
    <row r="7672" s="101" customFormat="1" spans="6:6">
      <c r="F7672" s="2423"/>
    </row>
    <row r="7673" s="101" customFormat="1" spans="6:6">
      <c r="F7673" s="2423"/>
    </row>
    <row r="7674" s="101" customFormat="1" spans="6:6">
      <c r="F7674" s="2423"/>
    </row>
    <row r="7675" s="101" customFormat="1" spans="6:6">
      <c r="F7675" s="2423"/>
    </row>
    <row r="7676" s="101" customFormat="1" spans="6:6">
      <c r="F7676" s="2423"/>
    </row>
    <row r="7677" s="101" customFormat="1" spans="6:6">
      <c r="F7677" s="2423"/>
    </row>
    <row r="7678" s="101" customFormat="1" spans="6:6">
      <c r="F7678" s="2423"/>
    </row>
    <row r="7679" s="101" customFormat="1" spans="6:6">
      <c r="F7679" s="2423"/>
    </row>
    <row r="7680" s="101" customFormat="1" spans="6:6">
      <c r="F7680" s="2423"/>
    </row>
    <row r="7681" s="101" customFormat="1" spans="6:6">
      <c r="F7681" s="2423"/>
    </row>
    <row r="7682" s="101" customFormat="1" spans="6:6">
      <c r="F7682" s="2423"/>
    </row>
    <row r="7683" s="101" customFormat="1" spans="6:6">
      <c r="F7683" s="2423"/>
    </row>
    <row r="7684" s="101" customFormat="1" spans="6:6">
      <c r="F7684" s="2423"/>
    </row>
    <row r="7685" s="101" customFormat="1" spans="6:6">
      <c r="F7685" s="2423"/>
    </row>
    <row r="7686" s="101" customFormat="1" spans="6:6">
      <c r="F7686" s="2423"/>
    </row>
    <row r="7687" s="101" customFormat="1" spans="6:6">
      <c r="F7687" s="2423"/>
    </row>
    <row r="7688" s="101" customFormat="1" spans="6:6">
      <c r="F7688" s="2423"/>
    </row>
    <row r="7689" s="101" customFormat="1" spans="6:6">
      <c r="F7689" s="2423"/>
    </row>
    <row r="7690" s="101" customFormat="1" spans="6:6">
      <c r="F7690" s="2423"/>
    </row>
    <row r="7691" s="101" customFormat="1" spans="6:6">
      <c r="F7691" s="2423"/>
    </row>
    <row r="7692" s="101" customFormat="1" spans="6:6">
      <c r="F7692" s="2423"/>
    </row>
    <row r="7693" s="101" customFormat="1" spans="6:6">
      <c r="F7693" s="2423"/>
    </row>
    <row r="7694" s="101" customFormat="1" spans="6:6">
      <c r="F7694" s="2423"/>
    </row>
    <row r="7695" s="101" customFormat="1" spans="6:6">
      <c r="F7695" s="2423"/>
    </row>
    <row r="7696" s="101" customFormat="1" spans="6:6">
      <c r="F7696" s="2423"/>
    </row>
    <row r="7697" s="101" customFormat="1" spans="6:6">
      <c r="F7697" s="2423"/>
    </row>
    <row r="7698" s="101" customFormat="1" spans="6:6">
      <c r="F7698" s="2423"/>
    </row>
    <row r="7699" s="101" customFormat="1" spans="6:6">
      <c r="F7699" s="2423"/>
    </row>
    <row r="7700" s="101" customFormat="1" spans="6:6">
      <c r="F7700" s="2423"/>
    </row>
    <row r="7701" s="101" customFormat="1" spans="6:6">
      <c r="F7701" s="2423"/>
    </row>
    <row r="7702" s="101" customFormat="1" spans="6:6">
      <c r="F7702" s="2423"/>
    </row>
    <row r="7703" s="101" customFormat="1" spans="6:6">
      <c r="F7703" s="2423"/>
    </row>
    <row r="7704" s="101" customFormat="1" spans="6:6">
      <c r="F7704" s="2423"/>
    </row>
    <row r="7705" s="101" customFormat="1" spans="6:6">
      <c r="F7705" s="2423"/>
    </row>
    <row r="7706" s="101" customFormat="1" spans="6:6">
      <c r="F7706" s="2423"/>
    </row>
    <row r="7707" s="101" customFormat="1" spans="6:6">
      <c r="F7707" s="2423"/>
    </row>
    <row r="7708" s="101" customFormat="1" spans="6:6">
      <c r="F7708" s="2423"/>
    </row>
    <row r="7709" s="101" customFormat="1" spans="6:6">
      <c r="F7709" s="2423"/>
    </row>
    <row r="7710" s="101" customFormat="1" spans="6:6">
      <c r="F7710" s="2423"/>
    </row>
    <row r="7711" s="101" customFormat="1" spans="6:6">
      <c r="F7711" s="2423"/>
    </row>
    <row r="7712" s="101" customFormat="1" spans="6:6">
      <c r="F7712" s="2423"/>
    </row>
    <row r="7713" s="101" customFormat="1" spans="6:6">
      <c r="F7713" s="2423"/>
    </row>
    <row r="7714" s="101" customFormat="1" spans="6:6">
      <c r="F7714" s="2423"/>
    </row>
    <row r="7715" s="101" customFormat="1" spans="6:6">
      <c r="F7715" s="2423"/>
    </row>
    <row r="7716" s="101" customFormat="1" spans="6:6">
      <c r="F7716" s="2423"/>
    </row>
    <row r="7717" s="101" customFormat="1" spans="6:6">
      <c r="F7717" s="2423"/>
    </row>
    <row r="7718" s="101" customFormat="1" spans="6:6">
      <c r="F7718" s="2423"/>
    </row>
    <row r="7719" s="101" customFormat="1" spans="6:6">
      <c r="F7719" s="2423"/>
    </row>
    <row r="7720" s="101" customFormat="1" spans="6:6">
      <c r="F7720" s="2423"/>
    </row>
    <row r="7721" s="101" customFormat="1" spans="6:6">
      <c r="F7721" s="2423"/>
    </row>
    <row r="7722" s="101" customFormat="1" spans="6:6">
      <c r="F7722" s="2423"/>
    </row>
    <row r="7723" s="101" customFormat="1" spans="6:6">
      <c r="F7723" s="2423"/>
    </row>
    <row r="7724" s="101" customFormat="1" spans="6:6">
      <c r="F7724" s="2423"/>
    </row>
    <row r="7725" s="101" customFormat="1" spans="6:6">
      <c r="F7725" s="2423"/>
    </row>
    <row r="7726" s="101" customFormat="1" spans="6:6">
      <c r="F7726" s="2423"/>
    </row>
    <row r="7727" s="101" customFormat="1" spans="6:6">
      <c r="F7727" s="2423"/>
    </row>
    <row r="7728" s="101" customFormat="1" spans="6:6">
      <c r="F7728" s="2423"/>
    </row>
    <row r="7729" s="101" customFormat="1" spans="6:6">
      <c r="F7729" s="2423"/>
    </row>
    <row r="7730" s="101" customFormat="1" spans="6:6">
      <c r="F7730" s="2423"/>
    </row>
    <row r="7731" s="101" customFormat="1" spans="6:6">
      <c r="F7731" s="2423"/>
    </row>
    <row r="7732" s="101" customFormat="1" spans="6:6">
      <c r="F7732" s="2423"/>
    </row>
    <row r="7733" s="101" customFormat="1" spans="6:6">
      <c r="F7733" s="2423"/>
    </row>
    <row r="7734" s="101" customFormat="1" spans="6:6">
      <c r="F7734" s="2423"/>
    </row>
    <row r="7735" s="101" customFormat="1" spans="6:6">
      <c r="F7735" s="2423"/>
    </row>
    <row r="7736" s="101" customFormat="1" spans="6:6">
      <c r="F7736" s="2423"/>
    </row>
    <row r="7737" s="101" customFormat="1" spans="6:6">
      <c r="F7737" s="2423"/>
    </row>
    <row r="7738" s="101" customFormat="1" spans="6:6">
      <c r="F7738" s="2423"/>
    </row>
    <row r="7739" s="101" customFormat="1" spans="6:6">
      <c r="F7739" s="2423"/>
    </row>
    <row r="7740" s="101" customFormat="1" spans="6:6">
      <c r="F7740" s="2423"/>
    </row>
    <row r="7741" s="101" customFormat="1" spans="6:6">
      <c r="F7741" s="2423"/>
    </row>
    <row r="7742" s="101" customFormat="1" spans="6:6">
      <c r="F7742" s="2423"/>
    </row>
    <row r="7743" s="101" customFormat="1" spans="6:6">
      <c r="F7743" s="2423"/>
    </row>
    <row r="7744" s="101" customFormat="1" spans="6:6">
      <c r="F7744" s="2423"/>
    </row>
    <row r="7745" s="101" customFormat="1" spans="6:6">
      <c r="F7745" s="2423"/>
    </row>
    <row r="7746" s="101" customFormat="1" spans="6:6">
      <c r="F7746" s="2423"/>
    </row>
    <row r="7747" s="101" customFormat="1" spans="6:6">
      <c r="F7747" s="2423"/>
    </row>
    <row r="7748" s="101" customFormat="1" spans="6:6">
      <c r="F7748" s="2423"/>
    </row>
    <row r="7749" s="101" customFormat="1" spans="6:6">
      <c r="F7749" s="2423"/>
    </row>
    <row r="7750" s="101" customFormat="1" spans="6:6">
      <c r="F7750" s="2423"/>
    </row>
    <row r="7751" s="101" customFormat="1" spans="6:6">
      <c r="F7751" s="2423"/>
    </row>
    <row r="7752" s="101" customFormat="1" spans="6:6">
      <c r="F7752" s="2423"/>
    </row>
    <row r="7753" s="101" customFormat="1" spans="6:6">
      <c r="F7753" s="2423"/>
    </row>
    <row r="7754" s="101" customFormat="1" spans="6:6">
      <c r="F7754" s="2423"/>
    </row>
    <row r="7755" s="101" customFormat="1" spans="6:6">
      <c r="F7755" s="2423"/>
    </row>
    <row r="7756" s="101" customFormat="1" spans="6:6">
      <c r="F7756" s="2423"/>
    </row>
    <row r="7757" s="101" customFormat="1" spans="6:6">
      <c r="F7757" s="2423"/>
    </row>
    <row r="7758" s="101" customFormat="1" spans="6:6">
      <c r="F7758" s="2423"/>
    </row>
    <row r="7759" s="101" customFormat="1" spans="6:6">
      <c r="F7759" s="2423"/>
    </row>
    <row r="7760" s="101" customFormat="1" spans="6:6">
      <c r="F7760" s="2423"/>
    </row>
    <row r="7761" s="101" customFormat="1" spans="6:6">
      <c r="F7761" s="2423"/>
    </row>
    <row r="7762" s="101" customFormat="1" spans="6:6">
      <c r="F7762" s="2423"/>
    </row>
    <row r="7763" s="101" customFormat="1" spans="6:6">
      <c r="F7763" s="2423"/>
    </row>
    <row r="7764" s="101" customFormat="1" spans="6:6">
      <c r="F7764" s="2423"/>
    </row>
    <row r="7765" s="101" customFormat="1" spans="6:6">
      <c r="F7765" s="2423"/>
    </row>
    <row r="7766" s="101" customFormat="1" spans="6:6">
      <c r="F7766" s="2423"/>
    </row>
    <row r="7767" s="101" customFormat="1" spans="6:6">
      <c r="F7767" s="2423"/>
    </row>
    <row r="7768" s="101" customFormat="1" spans="6:6">
      <c r="F7768" s="2423"/>
    </row>
    <row r="7769" s="101" customFormat="1" spans="6:6">
      <c r="F7769" s="2423"/>
    </row>
    <row r="7770" s="101" customFormat="1" spans="6:6">
      <c r="F7770" s="2423"/>
    </row>
    <row r="7771" s="101" customFormat="1" spans="6:6">
      <c r="F7771" s="2423"/>
    </row>
    <row r="7772" s="101" customFormat="1" spans="6:6">
      <c r="F7772" s="2423"/>
    </row>
    <row r="7773" s="101" customFormat="1" spans="6:6">
      <c r="F7773" s="2423"/>
    </row>
    <row r="7774" s="101" customFormat="1" spans="6:6">
      <c r="F7774" s="2423"/>
    </row>
    <row r="7775" s="101" customFormat="1" spans="6:6">
      <c r="F7775" s="2423"/>
    </row>
    <row r="7776" s="101" customFormat="1" spans="6:6">
      <c r="F7776" s="2423"/>
    </row>
    <row r="7777" s="101" customFormat="1" spans="6:6">
      <c r="F7777" s="2423"/>
    </row>
    <row r="7778" s="101" customFormat="1" spans="6:6">
      <c r="F7778" s="2423"/>
    </row>
    <row r="7779" s="101" customFormat="1" spans="6:6">
      <c r="F7779" s="2423"/>
    </row>
    <row r="7780" s="101" customFormat="1" spans="6:6">
      <c r="F7780" s="2423"/>
    </row>
    <row r="7781" s="101" customFormat="1" spans="6:6">
      <c r="F7781" s="2423"/>
    </row>
    <row r="7782" s="101" customFormat="1" spans="6:6">
      <c r="F7782" s="2423"/>
    </row>
    <row r="7783" s="101" customFormat="1" spans="6:6">
      <c r="F7783" s="2423"/>
    </row>
    <row r="7784" s="101" customFormat="1" spans="6:6">
      <c r="F7784" s="2423"/>
    </row>
    <row r="7785" s="101" customFormat="1" spans="6:6">
      <c r="F7785" s="2423"/>
    </row>
    <row r="7786" s="101" customFormat="1" spans="6:6">
      <c r="F7786" s="2423"/>
    </row>
    <row r="7787" s="101" customFormat="1" spans="6:6">
      <c r="F7787" s="2423"/>
    </row>
    <row r="7788" s="101" customFormat="1" spans="6:6">
      <c r="F7788" s="2423"/>
    </row>
    <row r="7789" s="101" customFormat="1" spans="6:6">
      <c r="F7789" s="2423"/>
    </row>
    <row r="7790" s="101" customFormat="1" spans="6:6">
      <c r="F7790" s="2423"/>
    </row>
    <row r="7791" s="101" customFormat="1" spans="6:6">
      <c r="F7791" s="2423"/>
    </row>
    <row r="7792" s="101" customFormat="1" spans="6:6">
      <c r="F7792" s="2423"/>
    </row>
    <row r="7793" s="101" customFormat="1" spans="6:6">
      <c r="F7793" s="2423"/>
    </row>
    <row r="7794" s="101" customFormat="1" spans="6:6">
      <c r="F7794" s="2423"/>
    </row>
    <row r="7795" s="101" customFormat="1" spans="6:6">
      <c r="F7795" s="2423"/>
    </row>
    <row r="7796" s="101" customFormat="1" spans="6:6">
      <c r="F7796" s="2423"/>
    </row>
    <row r="7797" s="101" customFormat="1" spans="6:6">
      <c r="F7797" s="2423"/>
    </row>
    <row r="7798" s="101" customFormat="1" spans="6:6">
      <c r="F7798" s="2423"/>
    </row>
    <row r="7799" s="101" customFormat="1" spans="6:6">
      <c r="F7799" s="2423"/>
    </row>
    <row r="7800" s="101" customFormat="1" spans="6:6">
      <c r="F7800" s="2423"/>
    </row>
    <row r="7801" s="101" customFormat="1" spans="6:6">
      <c r="F7801" s="2423"/>
    </row>
    <row r="7802" s="101" customFormat="1" spans="6:6">
      <c r="F7802" s="2423"/>
    </row>
    <row r="7803" s="101" customFormat="1" spans="6:6">
      <c r="F7803" s="2423"/>
    </row>
    <row r="7804" s="101" customFormat="1" spans="6:6">
      <c r="F7804" s="2423"/>
    </row>
    <row r="7805" s="101" customFormat="1" spans="6:6">
      <c r="F7805" s="2423"/>
    </row>
    <row r="7806" s="101" customFormat="1" spans="6:6">
      <c r="F7806" s="2423"/>
    </row>
    <row r="7807" s="101" customFormat="1" spans="6:6">
      <c r="F7807" s="2423"/>
    </row>
    <row r="7808" s="101" customFormat="1" spans="6:6">
      <c r="F7808" s="2423"/>
    </row>
    <row r="7809" s="101" customFormat="1" spans="6:6">
      <c r="F7809" s="2423"/>
    </row>
    <row r="7810" s="101" customFormat="1" spans="6:6">
      <c r="F7810" s="2423"/>
    </row>
    <row r="7811" s="101" customFormat="1" spans="6:6">
      <c r="F7811" s="2423"/>
    </row>
    <row r="7812" s="101" customFormat="1" spans="6:6">
      <c r="F7812" s="2423"/>
    </row>
    <row r="7813" s="101" customFormat="1" spans="6:6">
      <c r="F7813" s="2423"/>
    </row>
    <row r="7814" s="101" customFormat="1" spans="6:6">
      <c r="F7814" s="2423"/>
    </row>
    <row r="7815" s="101" customFormat="1" spans="6:6">
      <c r="F7815" s="2423"/>
    </row>
    <row r="7816" s="101" customFormat="1" spans="6:6">
      <c r="F7816" s="2423"/>
    </row>
    <row r="7817" s="101" customFormat="1" spans="6:6">
      <c r="F7817" s="2423"/>
    </row>
    <row r="7818" s="101" customFormat="1" spans="6:6">
      <c r="F7818" s="2423"/>
    </row>
    <row r="7819" s="101" customFormat="1" spans="6:6">
      <c r="F7819" s="2423"/>
    </row>
    <row r="7820" s="101" customFormat="1" spans="6:6">
      <c r="F7820" s="2423"/>
    </row>
    <row r="7821" s="101" customFormat="1" spans="6:6">
      <c r="F7821" s="2423"/>
    </row>
    <row r="7822" s="101" customFormat="1" spans="6:6">
      <c r="F7822" s="2423"/>
    </row>
    <row r="7823" s="101" customFormat="1" spans="6:6">
      <c r="F7823" s="2423"/>
    </row>
    <row r="7824" s="101" customFormat="1" spans="6:6">
      <c r="F7824" s="2423"/>
    </row>
    <row r="7825" s="101" customFormat="1" spans="6:6">
      <c r="F7825" s="2423"/>
    </row>
    <row r="7826" s="101" customFormat="1" spans="6:6">
      <c r="F7826" s="2423"/>
    </row>
    <row r="7827" s="101" customFormat="1" spans="6:6">
      <c r="F7827" s="2423"/>
    </row>
    <row r="7828" s="101" customFormat="1" spans="6:6">
      <c r="F7828" s="2423"/>
    </row>
    <row r="7829" s="101" customFormat="1" spans="6:6">
      <c r="F7829" s="2423"/>
    </row>
    <row r="7830" s="101" customFormat="1" spans="6:6">
      <c r="F7830" s="2423"/>
    </row>
    <row r="7831" s="101" customFormat="1" spans="6:6">
      <c r="F7831" s="2423"/>
    </row>
    <row r="7832" s="101" customFormat="1" spans="6:6">
      <c r="F7832" s="2423"/>
    </row>
    <row r="7833" s="101" customFormat="1" spans="6:6">
      <c r="F7833" s="2423"/>
    </row>
    <row r="7834" s="101" customFormat="1" spans="6:6">
      <c r="F7834" s="2423"/>
    </row>
    <row r="7835" s="101" customFormat="1" spans="6:6">
      <c r="F7835" s="2423"/>
    </row>
    <row r="7836" s="101" customFormat="1" spans="6:6">
      <c r="F7836" s="2423"/>
    </row>
    <row r="7837" s="101" customFormat="1" spans="6:6">
      <c r="F7837" s="2423"/>
    </row>
    <row r="7838" s="101" customFormat="1" spans="6:6">
      <c r="F7838" s="2423"/>
    </row>
    <row r="7839" s="101" customFormat="1" spans="6:6">
      <c r="F7839" s="2423"/>
    </row>
    <row r="7840" s="101" customFormat="1" spans="6:6">
      <c r="F7840" s="2423"/>
    </row>
    <row r="7841" s="101" customFormat="1" spans="6:6">
      <c r="F7841" s="2423"/>
    </row>
    <row r="7842" s="101" customFormat="1" spans="6:6">
      <c r="F7842" s="2423"/>
    </row>
    <row r="7843" s="101" customFormat="1" spans="6:6">
      <c r="F7843" s="2423"/>
    </row>
    <row r="7844" s="101" customFormat="1" spans="6:6">
      <c r="F7844" s="2423"/>
    </row>
    <row r="7845" s="101" customFormat="1" spans="6:6">
      <c r="F7845" s="2423"/>
    </row>
    <row r="7846" s="101" customFormat="1" spans="6:6">
      <c r="F7846" s="2423"/>
    </row>
    <row r="7847" s="101" customFormat="1" spans="6:6">
      <c r="F7847" s="2423"/>
    </row>
    <row r="7848" s="101" customFormat="1" spans="6:6">
      <c r="F7848" s="2423"/>
    </row>
    <row r="7849" s="101" customFormat="1" spans="6:6">
      <c r="F7849" s="2423"/>
    </row>
    <row r="7850" s="101" customFormat="1" spans="6:6">
      <c r="F7850" s="2423"/>
    </row>
    <row r="7851" s="101" customFormat="1" spans="6:6">
      <c r="F7851" s="2423"/>
    </row>
    <row r="7852" s="101" customFormat="1" spans="6:6">
      <c r="F7852" s="2423"/>
    </row>
    <row r="7853" s="101" customFormat="1" spans="6:6">
      <c r="F7853" s="2423"/>
    </row>
    <row r="7854" s="101" customFormat="1" spans="6:6">
      <c r="F7854" s="2423"/>
    </row>
    <row r="7855" s="101" customFormat="1" spans="6:6">
      <c r="F7855" s="2423"/>
    </row>
    <row r="7856" s="101" customFormat="1" spans="6:6">
      <c r="F7856" s="2423"/>
    </row>
    <row r="7857" s="101" customFormat="1" spans="6:6">
      <c r="F7857" s="2423"/>
    </row>
    <row r="7858" s="101" customFormat="1" spans="6:6">
      <c r="F7858" s="2423"/>
    </row>
    <row r="7859" s="101" customFormat="1" spans="6:6">
      <c r="F7859" s="2423"/>
    </row>
    <row r="7860" s="101" customFormat="1" spans="6:6">
      <c r="F7860" s="2423"/>
    </row>
    <row r="7861" s="101" customFormat="1" spans="6:6">
      <c r="F7861" s="2423"/>
    </row>
    <row r="7862" s="101" customFormat="1" spans="6:6">
      <c r="F7862" s="2423"/>
    </row>
    <row r="7863" s="101" customFormat="1" spans="6:6">
      <c r="F7863" s="2423"/>
    </row>
    <row r="7864" s="101" customFormat="1" spans="6:6">
      <c r="F7864" s="2423"/>
    </row>
    <row r="7865" s="101" customFormat="1" spans="6:6">
      <c r="F7865" s="2423"/>
    </row>
    <row r="7866" s="101" customFormat="1" spans="6:6">
      <c r="F7866" s="2423"/>
    </row>
    <row r="7867" s="101" customFormat="1" spans="6:6">
      <c r="F7867" s="2423"/>
    </row>
    <row r="7868" s="101" customFormat="1" spans="6:6">
      <c r="F7868" s="2423"/>
    </row>
    <row r="7869" s="101" customFormat="1" spans="6:6">
      <c r="F7869" s="2423"/>
    </row>
    <row r="7870" s="101" customFormat="1" spans="6:6">
      <c r="F7870" s="2423"/>
    </row>
    <row r="7871" s="101" customFormat="1" spans="6:6">
      <c r="F7871" s="2423"/>
    </row>
    <row r="7872" s="101" customFormat="1" spans="6:6">
      <c r="F7872" s="2423"/>
    </row>
    <row r="7873" s="101" customFormat="1" spans="6:6">
      <c r="F7873" s="2423"/>
    </row>
    <row r="7874" s="101" customFormat="1" spans="6:6">
      <c r="F7874" s="2423"/>
    </row>
    <row r="7875" s="101" customFormat="1" spans="6:6">
      <c r="F7875" s="2423"/>
    </row>
    <row r="7876" s="101" customFormat="1" spans="6:6">
      <c r="F7876" s="2423"/>
    </row>
    <row r="7877" s="101" customFormat="1" spans="6:6">
      <c r="F7877" s="2423"/>
    </row>
    <row r="7878" s="101" customFormat="1" spans="6:6">
      <c r="F7878" s="2423"/>
    </row>
    <row r="7879" s="101" customFormat="1" spans="6:6">
      <c r="F7879" s="2423"/>
    </row>
    <row r="7880" s="101" customFormat="1" spans="6:6">
      <c r="F7880" s="2423"/>
    </row>
    <row r="7881" s="101" customFormat="1" spans="6:6">
      <c r="F7881" s="2423"/>
    </row>
    <row r="7882" s="101" customFormat="1" spans="6:6">
      <c r="F7882" s="2423"/>
    </row>
    <row r="7883" s="101" customFormat="1" spans="6:6">
      <c r="F7883" s="2423"/>
    </row>
    <row r="7884" s="101" customFormat="1" spans="6:6">
      <c r="F7884" s="2423"/>
    </row>
    <row r="7885" s="101" customFormat="1" spans="6:6">
      <c r="F7885" s="2423"/>
    </row>
    <row r="7886" s="101" customFormat="1" spans="6:6">
      <c r="F7886" s="2423"/>
    </row>
    <row r="7887" s="101" customFormat="1" spans="6:6">
      <c r="F7887" s="2423"/>
    </row>
    <row r="7888" s="101" customFormat="1" spans="6:6">
      <c r="F7888" s="2423"/>
    </row>
    <row r="7889" s="101" customFormat="1" spans="6:6">
      <c r="F7889" s="2423"/>
    </row>
    <row r="7890" s="101" customFormat="1" spans="6:6">
      <c r="F7890" s="2423"/>
    </row>
    <row r="7891" s="101" customFormat="1" spans="6:6">
      <c r="F7891" s="2423"/>
    </row>
    <row r="7892" s="101" customFormat="1" spans="6:6">
      <c r="F7892" s="2423"/>
    </row>
    <row r="7893" s="101" customFormat="1" spans="6:6">
      <c r="F7893" s="2423"/>
    </row>
    <row r="7894" s="101" customFormat="1" spans="6:6">
      <c r="F7894" s="2423"/>
    </row>
    <row r="7895" s="101" customFormat="1" spans="6:6">
      <c r="F7895" s="2423"/>
    </row>
    <row r="7896" s="101" customFormat="1" spans="6:6">
      <c r="F7896" s="2423"/>
    </row>
    <row r="7897" s="101" customFormat="1" spans="6:6">
      <c r="F7897" s="2423"/>
    </row>
    <row r="7898" s="101" customFormat="1" spans="6:6">
      <c r="F7898" s="2423"/>
    </row>
    <row r="7899" s="101" customFormat="1" spans="6:6">
      <c r="F7899" s="2423"/>
    </row>
    <row r="7900" s="101" customFormat="1" spans="6:6">
      <c r="F7900" s="2423"/>
    </row>
    <row r="7901" s="101" customFormat="1" spans="6:6">
      <c r="F7901" s="2423"/>
    </row>
    <row r="7902" s="101" customFormat="1" spans="6:6">
      <c r="F7902" s="2423"/>
    </row>
    <row r="7903" s="101" customFormat="1" spans="6:6">
      <c r="F7903" s="2423"/>
    </row>
    <row r="7904" s="101" customFormat="1" spans="6:6">
      <c r="F7904" s="2423"/>
    </row>
    <row r="7905" s="101" customFormat="1" spans="6:6">
      <c r="F7905" s="2423"/>
    </row>
    <row r="7906" s="101" customFormat="1" spans="6:6">
      <c r="F7906" s="2423"/>
    </row>
    <row r="7907" s="101" customFormat="1" spans="6:6">
      <c r="F7907" s="2423"/>
    </row>
    <row r="7908" s="101" customFormat="1" spans="6:6">
      <c r="F7908" s="2423"/>
    </row>
    <row r="7909" s="101" customFormat="1" spans="6:6">
      <c r="F7909" s="2423"/>
    </row>
    <row r="7910" s="101" customFormat="1" spans="6:6">
      <c r="F7910" s="2423"/>
    </row>
    <row r="7911" s="101" customFormat="1" spans="6:6">
      <c r="F7911" s="2423"/>
    </row>
    <row r="7912" s="101" customFormat="1" spans="6:6">
      <c r="F7912" s="2423"/>
    </row>
    <row r="7913" s="101" customFormat="1" spans="6:6">
      <c r="F7913" s="2423"/>
    </row>
    <row r="7914" s="101" customFormat="1" spans="6:6">
      <c r="F7914" s="2423"/>
    </row>
    <row r="7915" s="101" customFormat="1" spans="6:6">
      <c r="F7915" s="2423"/>
    </row>
    <row r="7916" s="101" customFormat="1" spans="6:6">
      <c r="F7916" s="2423"/>
    </row>
    <row r="7917" s="101" customFormat="1" spans="6:6">
      <c r="F7917" s="2423"/>
    </row>
    <row r="7918" s="101" customFormat="1" spans="6:6">
      <c r="F7918" s="2423"/>
    </row>
    <row r="7919" s="101" customFormat="1" spans="6:6">
      <c r="F7919" s="2423"/>
    </row>
    <row r="7920" s="101" customFormat="1" spans="6:6">
      <c r="F7920" s="2423"/>
    </row>
    <row r="7921" s="101" customFormat="1" spans="6:6">
      <c r="F7921" s="2423"/>
    </row>
    <row r="7922" s="101" customFormat="1" spans="6:6">
      <c r="F7922" s="2423"/>
    </row>
    <row r="7923" s="101" customFormat="1" spans="6:6">
      <c r="F7923" s="2423"/>
    </row>
    <row r="7924" s="101" customFormat="1" spans="6:6">
      <c r="F7924" s="2423"/>
    </row>
    <row r="7925" s="101" customFormat="1" spans="6:6">
      <c r="F7925" s="2423"/>
    </row>
    <row r="7926" s="101" customFormat="1" spans="6:6">
      <c r="F7926" s="2423"/>
    </row>
    <row r="7927" s="101" customFormat="1" spans="6:6">
      <c r="F7927" s="2423"/>
    </row>
    <row r="7928" s="101" customFormat="1" spans="6:6">
      <c r="F7928" s="2423"/>
    </row>
    <row r="7929" s="101" customFormat="1" spans="6:6">
      <c r="F7929" s="2423"/>
    </row>
    <row r="7930" s="101" customFormat="1" spans="6:6">
      <c r="F7930" s="2423"/>
    </row>
    <row r="7931" s="101" customFormat="1" spans="6:6">
      <c r="F7931" s="2423"/>
    </row>
    <row r="7932" s="101" customFormat="1" spans="6:6">
      <c r="F7932" s="2423"/>
    </row>
    <row r="7933" s="101" customFormat="1" spans="6:6">
      <c r="F7933" s="2423"/>
    </row>
    <row r="7934" s="101" customFormat="1" spans="6:6">
      <c r="F7934" s="2423"/>
    </row>
    <row r="7935" s="101" customFormat="1" spans="6:6">
      <c r="F7935" s="2423"/>
    </row>
    <row r="7936" s="101" customFormat="1" spans="6:6">
      <c r="F7936" s="2423"/>
    </row>
    <row r="7937" s="101" customFormat="1" spans="6:6">
      <c r="F7937" s="2423"/>
    </row>
    <row r="7938" s="101" customFormat="1" spans="6:6">
      <c r="F7938" s="2423"/>
    </row>
    <row r="7939" s="101" customFormat="1" spans="6:6">
      <c r="F7939" s="2423"/>
    </row>
    <row r="7940" s="101" customFormat="1" spans="6:6">
      <c r="F7940" s="2423"/>
    </row>
    <row r="7941" s="101" customFormat="1" spans="6:6">
      <c r="F7941" s="2423"/>
    </row>
    <row r="7942" s="101" customFormat="1" spans="6:6">
      <c r="F7942" s="2423"/>
    </row>
    <row r="7943" s="101" customFormat="1" spans="6:6">
      <c r="F7943" s="2423"/>
    </row>
    <row r="7944" s="101" customFormat="1" spans="6:6">
      <c r="F7944" s="2423"/>
    </row>
    <row r="7945" s="101" customFormat="1" spans="6:6">
      <c r="F7945" s="2423"/>
    </row>
    <row r="7946" s="101" customFormat="1" spans="6:6">
      <c r="F7946" s="2423"/>
    </row>
    <row r="7947" s="101" customFormat="1" spans="6:6">
      <c r="F7947" s="2423"/>
    </row>
    <row r="7948" s="101" customFormat="1" spans="6:6">
      <c r="F7948" s="2423"/>
    </row>
    <row r="7949" s="101" customFormat="1" spans="6:6">
      <c r="F7949" s="2423"/>
    </row>
    <row r="7950" s="101" customFormat="1" spans="6:6">
      <c r="F7950" s="2423"/>
    </row>
    <row r="7951" s="101" customFormat="1" spans="6:6">
      <c r="F7951" s="2423"/>
    </row>
    <row r="7952" s="101" customFormat="1" spans="6:6">
      <c r="F7952" s="2423"/>
    </row>
    <row r="7953" s="101" customFormat="1" spans="6:6">
      <c r="F7953" s="2423"/>
    </row>
    <row r="7954" s="101" customFormat="1" spans="6:6">
      <c r="F7954" s="2423"/>
    </row>
    <row r="7955" s="101" customFormat="1" spans="6:6">
      <c r="F7955" s="2423"/>
    </row>
    <row r="7956" s="101" customFormat="1" spans="6:6">
      <c r="F7956" s="2423"/>
    </row>
    <row r="7957" s="101" customFormat="1" spans="6:6">
      <c r="F7957" s="2423"/>
    </row>
    <row r="7958" s="101" customFormat="1" spans="6:6">
      <c r="F7958" s="2423"/>
    </row>
    <row r="7959" s="101" customFormat="1" spans="6:6">
      <c r="F7959" s="2423"/>
    </row>
    <row r="7960" s="101" customFormat="1" spans="6:6">
      <c r="F7960" s="2423"/>
    </row>
    <row r="7961" s="101" customFormat="1" spans="6:6">
      <c r="F7961" s="2423"/>
    </row>
    <row r="7962" s="101" customFormat="1" spans="6:6">
      <c r="F7962" s="2423"/>
    </row>
    <row r="7963" s="101" customFormat="1" spans="6:6">
      <c r="F7963" s="2423"/>
    </row>
    <row r="7964" s="101" customFormat="1" spans="6:6">
      <c r="F7964" s="2423"/>
    </row>
    <row r="7965" s="101" customFormat="1" spans="6:6">
      <c r="F7965" s="2423"/>
    </row>
    <row r="7966" s="101" customFormat="1" spans="6:6">
      <c r="F7966" s="2423"/>
    </row>
    <row r="7967" s="101" customFormat="1" spans="6:6">
      <c r="F7967" s="2423"/>
    </row>
    <row r="7968" s="101" customFormat="1" spans="6:6">
      <c r="F7968" s="2423"/>
    </row>
    <row r="7969" s="101" customFormat="1" spans="6:6">
      <c r="F7969" s="2423"/>
    </row>
    <row r="7970" s="101" customFormat="1" spans="6:6">
      <c r="F7970" s="2423"/>
    </row>
    <row r="7971" s="101" customFormat="1" spans="6:6">
      <c r="F7971" s="2423"/>
    </row>
    <row r="7972" s="101" customFormat="1" spans="6:6">
      <c r="F7972" s="2423"/>
    </row>
    <row r="7973" s="101" customFormat="1" spans="6:6">
      <c r="F7973" s="2423"/>
    </row>
    <row r="7974" s="101" customFormat="1" spans="6:6">
      <c r="F7974" s="2423"/>
    </row>
    <row r="7975" s="101" customFormat="1" spans="6:6">
      <c r="F7975" s="2423"/>
    </row>
    <row r="7976" s="101" customFormat="1" spans="6:6">
      <c r="F7976" s="2423"/>
    </row>
    <row r="7977" s="101" customFormat="1" spans="6:6">
      <c r="F7977" s="2423"/>
    </row>
    <row r="7978" s="101" customFormat="1" spans="6:6">
      <c r="F7978" s="2423"/>
    </row>
    <row r="7979" s="101" customFormat="1" spans="6:6">
      <c r="F7979" s="2423"/>
    </row>
    <row r="7980" s="101" customFormat="1" spans="6:6">
      <c r="F7980" s="2423"/>
    </row>
    <row r="7981" s="101" customFormat="1" spans="6:6">
      <c r="F7981" s="2423"/>
    </row>
    <row r="7982" s="101" customFormat="1" spans="6:6">
      <c r="F7982" s="2423"/>
    </row>
    <row r="7983" s="101" customFormat="1" spans="6:6">
      <c r="F7983" s="2423"/>
    </row>
    <row r="7984" s="101" customFormat="1" spans="6:6">
      <c r="F7984" s="2423"/>
    </row>
    <row r="7985" s="101" customFormat="1" spans="6:6">
      <c r="F7985" s="2423"/>
    </row>
    <row r="7986" s="101" customFormat="1" spans="6:6">
      <c r="F7986" s="2423"/>
    </row>
    <row r="7987" s="101" customFormat="1" spans="6:6">
      <c r="F7987" s="2423"/>
    </row>
    <row r="7988" s="101" customFormat="1" spans="6:6">
      <c r="F7988" s="2423"/>
    </row>
    <row r="7989" s="101" customFormat="1" spans="6:6">
      <c r="F7989" s="2423"/>
    </row>
    <row r="7990" s="101" customFormat="1" spans="6:6">
      <c r="F7990" s="2423"/>
    </row>
    <row r="7991" s="101" customFormat="1" spans="6:6">
      <c r="F7991" s="2423"/>
    </row>
    <row r="7992" s="101" customFormat="1" spans="6:6">
      <c r="F7992" s="2423"/>
    </row>
    <row r="7993" s="101" customFormat="1" spans="6:6">
      <c r="F7993" s="2423"/>
    </row>
    <row r="7994" s="101" customFormat="1" spans="6:6">
      <c r="F7994" s="2423"/>
    </row>
    <row r="7995" s="101" customFormat="1" spans="6:6">
      <c r="F7995" s="2423"/>
    </row>
    <row r="7996" s="101" customFormat="1" spans="6:6">
      <c r="F7996" s="2423"/>
    </row>
    <row r="7997" s="101" customFormat="1" spans="6:6">
      <c r="F7997" s="2423"/>
    </row>
    <row r="7998" s="101" customFormat="1" spans="6:6">
      <c r="F7998" s="2423"/>
    </row>
    <row r="7999" s="101" customFormat="1" spans="6:6">
      <c r="F7999" s="2423"/>
    </row>
    <row r="8000" s="101" customFormat="1" spans="6:6">
      <c r="F8000" s="2423"/>
    </row>
    <row r="8001" s="101" customFormat="1" spans="6:6">
      <c r="F8001" s="2423"/>
    </row>
    <row r="8002" s="101" customFormat="1" spans="6:6">
      <c r="F8002" s="2423"/>
    </row>
    <row r="8003" s="101" customFormat="1" spans="6:6">
      <c r="F8003" s="2423"/>
    </row>
    <row r="8004" s="101" customFormat="1" spans="6:6">
      <c r="F8004" s="2423"/>
    </row>
    <row r="8005" s="101" customFormat="1" spans="6:6">
      <c r="F8005" s="2423"/>
    </row>
    <row r="8006" s="101" customFormat="1" spans="6:6">
      <c r="F8006" s="2423"/>
    </row>
    <row r="8007" s="101" customFormat="1" spans="6:6">
      <c r="F8007" s="2423"/>
    </row>
    <row r="8008" s="101" customFormat="1" spans="6:6">
      <c r="F8008" s="2423"/>
    </row>
    <row r="8009" s="101" customFormat="1" spans="6:6">
      <c r="F8009" s="2423"/>
    </row>
    <row r="8010" s="101" customFormat="1" spans="6:6">
      <c r="F8010" s="2423"/>
    </row>
    <row r="8011" s="101" customFormat="1" spans="6:6">
      <c r="F8011" s="2423"/>
    </row>
    <row r="8012" s="101" customFormat="1" spans="6:6">
      <c r="F8012" s="2423"/>
    </row>
    <row r="8013" s="101" customFormat="1" spans="6:6">
      <c r="F8013" s="2423"/>
    </row>
    <row r="8014" s="101" customFormat="1" spans="6:6">
      <c r="F8014" s="2423"/>
    </row>
    <row r="8015" s="101" customFormat="1" spans="6:6">
      <c r="F8015" s="2423"/>
    </row>
    <row r="8016" s="101" customFormat="1" spans="6:6">
      <c r="F8016" s="2423"/>
    </row>
    <row r="8017" s="101" customFormat="1" spans="6:6">
      <c r="F8017" s="2423"/>
    </row>
    <row r="8018" s="101" customFormat="1" spans="6:6">
      <c r="F8018" s="2423"/>
    </row>
    <row r="8019" s="101" customFormat="1" spans="6:6">
      <c r="F8019" s="2423"/>
    </row>
    <row r="8020" s="101" customFormat="1" spans="6:6">
      <c r="F8020" s="2423"/>
    </row>
    <row r="8021" s="101" customFormat="1" spans="6:6">
      <c r="F8021" s="2423"/>
    </row>
    <row r="8022" s="101" customFormat="1" spans="6:6">
      <c r="F8022" s="2423"/>
    </row>
    <row r="8023" s="101" customFormat="1" spans="6:6">
      <c r="F8023" s="2423"/>
    </row>
    <row r="8024" s="101" customFormat="1" spans="6:6">
      <c r="F8024" s="2423"/>
    </row>
    <row r="8025" s="101" customFormat="1" spans="6:6">
      <c r="F8025" s="2423"/>
    </row>
    <row r="8026" s="101" customFormat="1" spans="6:6">
      <c r="F8026" s="2423"/>
    </row>
    <row r="8027" s="101" customFormat="1" spans="6:6">
      <c r="F8027" s="2423"/>
    </row>
    <row r="8028" s="101" customFormat="1" spans="6:6">
      <c r="F8028" s="2423"/>
    </row>
    <row r="8029" s="101" customFormat="1" spans="6:6">
      <c r="F8029" s="2423"/>
    </row>
    <row r="8030" s="101" customFormat="1" spans="6:6">
      <c r="F8030" s="2423"/>
    </row>
    <row r="8031" s="101" customFormat="1" spans="6:6">
      <c r="F8031" s="2423"/>
    </row>
    <row r="8032" s="101" customFormat="1" spans="6:6">
      <c r="F8032" s="2423"/>
    </row>
    <row r="8033" s="101" customFormat="1" spans="6:6">
      <c r="F8033" s="2423"/>
    </row>
    <row r="8034" s="101" customFormat="1" spans="6:6">
      <c r="F8034" s="2423"/>
    </row>
    <row r="8035" s="101" customFormat="1" spans="6:6">
      <c r="F8035" s="2423"/>
    </row>
    <row r="8036" s="101" customFormat="1" spans="6:6">
      <c r="F8036" s="2423"/>
    </row>
    <row r="8037" s="101" customFormat="1" spans="6:6">
      <c r="F8037" s="2423"/>
    </row>
    <row r="8038" s="101" customFormat="1" spans="6:6">
      <c r="F8038" s="2423"/>
    </row>
    <row r="8039" s="101" customFormat="1" spans="6:6">
      <c r="F8039" s="2423"/>
    </row>
    <row r="8040" s="101" customFormat="1" spans="6:6">
      <c r="F8040" s="2423"/>
    </row>
    <row r="8041" s="101" customFormat="1" spans="6:6">
      <c r="F8041" s="2423"/>
    </row>
    <row r="8042" s="101" customFormat="1" spans="6:6">
      <c r="F8042" s="2423"/>
    </row>
    <row r="8043" s="101" customFormat="1" spans="6:6">
      <c r="F8043" s="2423"/>
    </row>
    <row r="8044" s="101" customFormat="1" spans="6:6">
      <c r="F8044" s="2423"/>
    </row>
    <row r="8045" s="101" customFormat="1" spans="6:6">
      <c r="F8045" s="2423"/>
    </row>
    <row r="8046" s="101" customFormat="1" spans="6:6">
      <c r="F8046" s="2423"/>
    </row>
    <row r="8047" s="101" customFormat="1" spans="6:6">
      <c r="F8047" s="2423"/>
    </row>
    <row r="8048" s="101" customFormat="1" spans="6:6">
      <c r="F8048" s="2423"/>
    </row>
    <row r="8049" s="101" customFormat="1" spans="6:6">
      <c r="F8049" s="2423"/>
    </row>
    <row r="8050" s="101" customFormat="1" spans="6:6">
      <c r="F8050" s="2423"/>
    </row>
    <row r="8051" s="101" customFormat="1" spans="6:6">
      <c r="F8051" s="2423"/>
    </row>
    <row r="8052" s="101" customFormat="1" spans="6:6">
      <c r="F8052" s="2423"/>
    </row>
    <row r="8053" s="101" customFormat="1" spans="6:6">
      <c r="F8053" s="2423"/>
    </row>
    <row r="8054" s="101" customFormat="1" spans="6:6">
      <c r="F8054" s="2423"/>
    </row>
    <row r="8055" s="101" customFormat="1" spans="6:6">
      <c r="F8055" s="2423"/>
    </row>
    <row r="8056" s="101" customFormat="1" spans="6:6">
      <c r="F8056" s="2423"/>
    </row>
    <row r="8057" s="101" customFormat="1" spans="6:6">
      <c r="F8057" s="2423"/>
    </row>
    <row r="8058" s="101" customFormat="1" spans="6:6">
      <c r="F8058" s="2423"/>
    </row>
    <row r="8059" s="101" customFormat="1" spans="6:6">
      <c r="F8059" s="2423"/>
    </row>
    <row r="8060" s="101" customFormat="1" spans="6:6">
      <c r="F8060" s="2423"/>
    </row>
    <row r="8061" s="101" customFormat="1" spans="6:6">
      <c r="F8061" s="2423"/>
    </row>
    <row r="8062" s="101" customFormat="1" spans="6:6">
      <c r="F8062" s="2423"/>
    </row>
    <row r="8063" s="101" customFormat="1" spans="6:6">
      <c r="F8063" s="2423"/>
    </row>
    <row r="8064" s="101" customFormat="1" spans="6:6">
      <c r="F8064" s="2423"/>
    </row>
    <row r="8065" s="101" customFormat="1" spans="6:6">
      <c r="F8065" s="2423"/>
    </row>
    <row r="8066" s="101" customFormat="1" spans="6:6">
      <c r="F8066" s="2423"/>
    </row>
    <row r="8067" s="101" customFormat="1" spans="6:6">
      <c r="F8067" s="2423"/>
    </row>
    <row r="8068" s="101" customFormat="1" spans="6:6">
      <c r="F8068" s="2423"/>
    </row>
    <row r="8069" s="101" customFormat="1" spans="6:6">
      <c r="F8069" s="2423"/>
    </row>
    <row r="8070" s="101" customFormat="1" spans="6:6">
      <c r="F8070" s="2423"/>
    </row>
    <row r="8071" s="101" customFormat="1" spans="6:6">
      <c r="F8071" s="2423"/>
    </row>
    <row r="8072" s="101" customFormat="1" spans="6:6">
      <c r="F8072" s="2423"/>
    </row>
    <row r="8073" s="101" customFormat="1" spans="6:6">
      <c r="F8073" s="2423"/>
    </row>
    <row r="8074" s="101" customFormat="1" spans="6:6">
      <c r="F8074" s="2423"/>
    </row>
    <row r="8075" s="101" customFormat="1" spans="6:6">
      <c r="F8075" s="2423"/>
    </row>
    <row r="8076" s="101" customFormat="1" spans="6:6">
      <c r="F8076" s="2423"/>
    </row>
    <row r="8077" s="101" customFormat="1" spans="6:6">
      <c r="F8077" s="2423"/>
    </row>
    <row r="8078" s="101" customFormat="1" spans="6:6">
      <c r="F8078" s="2423"/>
    </row>
    <row r="8079" s="101" customFormat="1" spans="6:6">
      <c r="F8079" s="2423"/>
    </row>
    <row r="8080" s="101" customFormat="1" spans="6:6">
      <c r="F8080" s="2423"/>
    </row>
    <row r="8081" s="101" customFormat="1" spans="6:6">
      <c r="F8081" s="2423"/>
    </row>
    <row r="8082" s="101" customFormat="1" spans="6:6">
      <c r="F8082" s="2423"/>
    </row>
    <row r="8083" s="101" customFormat="1" spans="6:6">
      <c r="F8083" s="2423"/>
    </row>
    <row r="8084" s="101" customFormat="1" spans="6:6">
      <c r="F8084" s="2423"/>
    </row>
    <row r="8085" s="101" customFormat="1" spans="6:6">
      <c r="F8085" s="2423"/>
    </row>
    <row r="8086" s="101" customFormat="1" spans="6:6">
      <c r="F8086" s="2423"/>
    </row>
    <row r="8087" s="101" customFormat="1" spans="6:6">
      <c r="F8087" s="2423"/>
    </row>
    <row r="8088" s="101" customFormat="1" spans="6:6">
      <c r="F8088" s="2423"/>
    </row>
    <row r="8089" s="101" customFormat="1" spans="6:6">
      <c r="F8089" s="2423"/>
    </row>
    <row r="8090" s="101" customFormat="1" spans="6:6">
      <c r="F8090" s="2423"/>
    </row>
    <row r="8091" s="101" customFormat="1" spans="6:6">
      <c r="F8091" s="2423"/>
    </row>
    <row r="8092" s="101" customFormat="1" spans="6:6">
      <c r="F8092" s="2423"/>
    </row>
    <row r="8093" s="101" customFormat="1" spans="6:6">
      <c r="F8093" s="2423"/>
    </row>
    <row r="8094" s="101" customFormat="1" spans="6:6">
      <c r="F8094" s="2423"/>
    </row>
    <row r="8095" s="101" customFormat="1" spans="6:6">
      <c r="F8095" s="2423"/>
    </row>
    <row r="8096" s="101" customFormat="1" spans="6:6">
      <c r="F8096" s="2423"/>
    </row>
    <row r="8097" s="101" customFormat="1" spans="6:6">
      <c r="F8097" s="2423"/>
    </row>
    <row r="8098" s="101" customFormat="1" spans="6:6">
      <c r="F8098" s="2423"/>
    </row>
    <row r="8099" s="101" customFormat="1" spans="6:6">
      <c r="F8099" s="2423"/>
    </row>
    <row r="8100" s="101" customFormat="1" spans="6:6">
      <c r="F8100" s="2423"/>
    </row>
    <row r="8101" s="101" customFormat="1" spans="6:6">
      <c r="F8101" s="2423"/>
    </row>
    <row r="8102" s="101" customFormat="1" spans="6:6">
      <c r="F8102" s="2423"/>
    </row>
    <row r="8103" s="101" customFormat="1" spans="6:6">
      <c r="F8103" s="2423"/>
    </row>
    <row r="8104" s="101" customFormat="1" spans="6:6">
      <c r="F8104" s="2423"/>
    </row>
    <row r="8105" s="101" customFormat="1" spans="6:6">
      <c r="F8105" s="2423"/>
    </row>
    <row r="8106" s="101" customFormat="1" spans="6:6">
      <c r="F8106" s="2423"/>
    </row>
    <row r="8107" s="101" customFormat="1" spans="6:6">
      <c r="F8107" s="2423"/>
    </row>
    <row r="8108" s="101" customFormat="1" spans="6:6">
      <c r="F8108" s="2423"/>
    </row>
    <row r="8109" s="101" customFormat="1" spans="6:6">
      <c r="F8109" s="2423"/>
    </row>
    <row r="8110" s="101" customFormat="1" spans="6:6">
      <c r="F8110" s="2423"/>
    </row>
    <row r="8111" s="101" customFormat="1" spans="6:6">
      <c r="F8111" s="2423"/>
    </row>
    <row r="8112" s="101" customFormat="1" spans="6:6">
      <c r="F8112" s="2423"/>
    </row>
    <row r="8113" s="101" customFormat="1" spans="6:6">
      <c r="F8113" s="2423"/>
    </row>
    <row r="8114" s="101" customFormat="1" spans="6:6">
      <c r="F8114" s="2423"/>
    </row>
    <row r="8115" s="101" customFormat="1" spans="6:6">
      <c r="F8115" s="2423"/>
    </row>
    <row r="8116" s="101" customFormat="1" spans="6:6">
      <c r="F8116" s="2423"/>
    </row>
    <row r="8117" s="101" customFormat="1" spans="6:6">
      <c r="F8117" s="2423"/>
    </row>
    <row r="8118" s="101" customFormat="1" spans="6:6">
      <c r="F8118" s="2423"/>
    </row>
    <row r="8119" s="101" customFormat="1" spans="6:6">
      <c r="F8119" s="2423"/>
    </row>
    <row r="8120" s="101" customFormat="1" spans="6:6">
      <c r="F8120" s="2423"/>
    </row>
    <row r="8121" s="101" customFormat="1" spans="6:6">
      <c r="F8121" s="2423"/>
    </row>
    <row r="8122" s="101" customFormat="1" spans="6:6">
      <c r="F8122" s="2423"/>
    </row>
    <row r="8123" s="101" customFormat="1" spans="6:6">
      <c r="F8123" s="2423"/>
    </row>
    <row r="8124" s="101" customFormat="1" spans="6:6">
      <c r="F8124" s="2423"/>
    </row>
    <row r="8125" s="101" customFormat="1" spans="6:6">
      <c r="F8125" s="2423"/>
    </row>
    <row r="8126" s="101" customFormat="1" spans="6:6">
      <c r="F8126" s="2423"/>
    </row>
    <row r="8127" s="101" customFormat="1" spans="6:6">
      <c r="F8127" s="2423"/>
    </row>
    <row r="8128" s="101" customFormat="1" spans="6:6">
      <c r="F8128" s="2423"/>
    </row>
    <row r="8129" s="101" customFormat="1" spans="6:6">
      <c r="F8129" s="2423"/>
    </row>
    <row r="8130" s="101" customFormat="1" spans="6:6">
      <c r="F8130" s="2423"/>
    </row>
    <row r="8131" s="101" customFormat="1" spans="6:6">
      <c r="F8131" s="2423"/>
    </row>
    <row r="8132" s="101" customFormat="1" spans="6:6">
      <c r="F8132" s="2423"/>
    </row>
    <row r="8133" s="101" customFormat="1" spans="6:6">
      <c r="F8133" s="2423"/>
    </row>
    <row r="8134" s="101" customFormat="1" spans="6:6">
      <c r="F8134" s="2423"/>
    </row>
    <row r="8135" s="101" customFormat="1" spans="6:6">
      <c r="F8135" s="2423"/>
    </row>
    <row r="8136" s="101" customFormat="1" spans="6:6">
      <c r="F8136" s="2423"/>
    </row>
    <row r="8137" s="101" customFormat="1" spans="6:6">
      <c r="F8137" s="2423"/>
    </row>
    <row r="8138" s="101" customFormat="1" spans="6:6">
      <c r="F8138" s="2423"/>
    </row>
    <row r="8139" s="101" customFormat="1" spans="6:6">
      <c r="F8139" s="2423"/>
    </row>
    <row r="8140" s="101" customFormat="1" spans="6:6">
      <c r="F8140" s="2423"/>
    </row>
    <row r="8141" s="101" customFormat="1" spans="6:6">
      <c r="F8141" s="2423"/>
    </row>
    <row r="8142" s="101" customFormat="1" spans="6:6">
      <c r="F8142" s="2423"/>
    </row>
    <row r="8143" s="101" customFormat="1" spans="6:6">
      <c r="F8143" s="2423"/>
    </row>
    <row r="8144" s="101" customFormat="1" spans="6:6">
      <c r="F8144" s="2423"/>
    </row>
    <row r="8145" s="101" customFormat="1" spans="6:6">
      <c r="F8145" s="2423"/>
    </row>
    <row r="8146" s="101" customFormat="1" spans="6:6">
      <c r="F8146" s="2423"/>
    </row>
    <row r="8147" s="101" customFormat="1" spans="6:6">
      <c r="F8147" s="2423"/>
    </row>
    <row r="8148" s="101" customFormat="1" spans="6:6">
      <c r="F8148" s="2423"/>
    </row>
    <row r="8149" s="101" customFormat="1" spans="6:6">
      <c r="F8149" s="2423"/>
    </row>
    <row r="8150" s="101" customFormat="1" spans="6:6">
      <c r="F8150" s="2423"/>
    </row>
    <row r="8151" s="101" customFormat="1" spans="6:6">
      <c r="F8151" s="2423"/>
    </row>
    <row r="8152" s="101" customFormat="1" spans="6:6">
      <c r="F8152" s="2423"/>
    </row>
    <row r="8153" s="101" customFormat="1" spans="6:6">
      <c r="F8153" s="2423"/>
    </row>
    <row r="8154" s="101" customFormat="1" spans="6:6">
      <c r="F8154" s="2423"/>
    </row>
    <row r="8155" s="101" customFormat="1" spans="6:6">
      <c r="F8155" s="2423"/>
    </row>
    <row r="8156" s="101" customFormat="1" spans="6:6">
      <c r="F8156" s="2423"/>
    </row>
    <row r="8157" s="101" customFormat="1" spans="6:6">
      <c r="F8157" s="2423"/>
    </row>
    <row r="8158" s="101" customFormat="1" spans="6:6">
      <c r="F8158" s="2423"/>
    </row>
    <row r="8159" s="101" customFormat="1" spans="6:6">
      <c r="F8159" s="2423"/>
    </row>
    <row r="8160" s="101" customFormat="1" spans="6:6">
      <c r="F8160" s="2423"/>
    </row>
    <row r="8161" s="101" customFormat="1" spans="6:6">
      <c r="F8161" s="2423"/>
    </row>
    <row r="8162" s="101" customFormat="1" spans="6:6">
      <c r="F8162" s="2423"/>
    </row>
    <row r="8163" s="101" customFormat="1" spans="6:6">
      <c r="F8163" s="2423"/>
    </row>
    <row r="8164" s="101" customFormat="1" spans="6:6">
      <c r="F8164" s="2423"/>
    </row>
    <row r="8165" s="101" customFormat="1" spans="6:6">
      <c r="F8165" s="2423"/>
    </row>
    <row r="8166" s="101" customFormat="1" spans="6:6">
      <c r="F8166" s="2423"/>
    </row>
    <row r="8167" s="101" customFormat="1" spans="6:6">
      <c r="F8167" s="2423"/>
    </row>
    <row r="8168" s="101" customFormat="1" spans="6:6">
      <c r="F8168" s="2423"/>
    </row>
    <row r="8169" s="101" customFormat="1" spans="6:6">
      <c r="F8169" s="2423"/>
    </row>
    <row r="8170" s="101" customFormat="1" spans="6:6">
      <c r="F8170" s="2423"/>
    </row>
    <row r="8171" s="101" customFormat="1" spans="6:6">
      <c r="F8171" s="2423"/>
    </row>
    <row r="8172" s="101" customFormat="1" spans="6:6">
      <c r="F8172" s="2423"/>
    </row>
    <row r="8173" s="101" customFormat="1" spans="6:6">
      <c r="F8173" s="2423"/>
    </row>
    <row r="8174" s="101" customFormat="1" spans="6:6">
      <c r="F8174" s="2423"/>
    </row>
    <row r="8175" s="101" customFormat="1" spans="6:6">
      <c r="F8175" s="2423"/>
    </row>
    <row r="8176" s="101" customFormat="1" spans="6:6">
      <c r="F8176" s="2423"/>
    </row>
    <row r="8177" s="101" customFormat="1" spans="6:6">
      <c r="F8177" s="2423"/>
    </row>
    <row r="8178" s="101" customFormat="1" spans="6:6">
      <c r="F8178" s="2423"/>
    </row>
    <row r="8179" s="101" customFormat="1" spans="6:6">
      <c r="F8179" s="2423"/>
    </row>
    <row r="8180" s="101" customFormat="1" spans="6:6">
      <c r="F8180" s="2423"/>
    </row>
    <row r="8181" s="101" customFormat="1" spans="6:6">
      <c r="F8181" s="2423"/>
    </row>
    <row r="8182" s="101" customFormat="1" spans="6:6">
      <c r="F8182" s="2423"/>
    </row>
    <row r="8183" s="101" customFormat="1" spans="6:6">
      <c r="F8183" s="2423"/>
    </row>
    <row r="8184" s="101" customFormat="1" spans="6:6">
      <c r="F8184" s="2423"/>
    </row>
    <row r="8185" s="101" customFormat="1" spans="6:6">
      <c r="F8185" s="2423"/>
    </row>
    <row r="8186" s="101" customFormat="1" spans="6:6">
      <c r="F8186" s="2423"/>
    </row>
    <row r="8187" s="101" customFormat="1" spans="6:6">
      <c r="F8187" s="2423"/>
    </row>
    <row r="8188" s="101" customFormat="1" spans="6:6">
      <c r="F8188" s="2423"/>
    </row>
    <row r="8189" s="101" customFormat="1" spans="6:6">
      <c r="F8189" s="2423"/>
    </row>
    <row r="8190" s="101" customFormat="1" spans="6:6">
      <c r="F8190" s="2423"/>
    </row>
    <row r="8191" s="101" customFormat="1" spans="6:6">
      <c r="F8191" s="2423"/>
    </row>
    <row r="8192" s="101" customFormat="1" spans="6:6">
      <c r="F8192" s="2423"/>
    </row>
    <row r="8193" s="101" customFormat="1" spans="6:6">
      <c r="F8193" s="2423"/>
    </row>
    <row r="8194" s="101" customFormat="1" spans="6:6">
      <c r="F8194" s="2423"/>
    </row>
    <row r="8195" s="101" customFormat="1" spans="6:6">
      <c r="F8195" s="2423"/>
    </row>
    <row r="8196" s="101" customFormat="1" spans="6:6">
      <c r="F8196" s="2423"/>
    </row>
    <row r="8197" s="101" customFormat="1" spans="6:6">
      <c r="F8197" s="2423"/>
    </row>
    <row r="8198" s="101" customFormat="1" spans="6:6">
      <c r="F8198" s="2423"/>
    </row>
    <row r="8199" s="101" customFormat="1" spans="6:6">
      <c r="F8199" s="2423"/>
    </row>
    <row r="8200" s="101" customFormat="1" spans="6:6">
      <c r="F8200" s="2423"/>
    </row>
    <row r="8201" s="101" customFormat="1" spans="6:6">
      <c r="F8201" s="2423"/>
    </row>
    <row r="8202" s="101" customFormat="1" spans="6:6">
      <c r="F8202" s="2423"/>
    </row>
    <row r="8203" s="101" customFormat="1" spans="6:6">
      <c r="F8203" s="2423"/>
    </row>
    <row r="8204" s="101" customFormat="1" spans="6:6">
      <c r="F8204" s="2423"/>
    </row>
    <row r="8205" s="101" customFormat="1" spans="6:6">
      <c r="F8205" s="2423"/>
    </row>
    <row r="8206" s="101" customFormat="1" spans="6:6">
      <c r="F8206" s="2423"/>
    </row>
    <row r="8207" s="101" customFormat="1" spans="6:6">
      <c r="F8207" s="2423"/>
    </row>
    <row r="8208" s="101" customFormat="1" spans="6:6">
      <c r="F8208" s="2423"/>
    </row>
    <row r="8209" s="101" customFormat="1" spans="6:6">
      <c r="F8209" s="2423"/>
    </row>
    <row r="8210" s="101" customFormat="1" spans="6:6">
      <c r="F8210" s="2423"/>
    </row>
    <row r="8211" s="101" customFormat="1" spans="6:6">
      <c r="F8211" s="2423"/>
    </row>
    <row r="8212" s="101" customFormat="1" spans="6:6">
      <c r="F8212" s="2423"/>
    </row>
    <row r="8213" s="101" customFormat="1" spans="6:6">
      <c r="F8213" s="2423"/>
    </row>
    <row r="8214" s="101" customFormat="1" spans="6:6">
      <c r="F8214" s="2423"/>
    </row>
    <row r="8215" s="101" customFormat="1" spans="6:6">
      <c r="F8215" s="2423"/>
    </row>
    <row r="8216" s="101" customFormat="1" spans="6:6">
      <c r="F8216" s="2423"/>
    </row>
    <row r="8217" s="101" customFormat="1" spans="6:6">
      <c r="F8217" s="2423"/>
    </row>
    <row r="8218" s="101" customFormat="1" spans="6:6">
      <c r="F8218" s="2423"/>
    </row>
    <row r="8219" s="101" customFormat="1" spans="6:6">
      <c r="F8219" s="2423"/>
    </row>
    <row r="8220" s="101" customFormat="1" spans="6:6">
      <c r="F8220" s="2423"/>
    </row>
    <row r="8221" s="101" customFormat="1" spans="6:6">
      <c r="F8221" s="2423"/>
    </row>
    <row r="8222" s="101" customFormat="1" spans="6:6">
      <c r="F8222" s="2423"/>
    </row>
    <row r="8223" s="101" customFormat="1" spans="6:6">
      <c r="F8223" s="2423"/>
    </row>
    <row r="8224" s="101" customFormat="1" spans="6:6">
      <c r="F8224" s="2423"/>
    </row>
    <row r="8225" s="101" customFormat="1" spans="6:6">
      <c r="F8225" s="2423"/>
    </row>
    <row r="8226" s="101" customFormat="1" spans="6:6">
      <c r="F8226" s="2423"/>
    </row>
    <row r="8227" s="101" customFormat="1" spans="6:6">
      <c r="F8227" s="2423"/>
    </row>
    <row r="8228" s="101" customFormat="1" spans="6:6">
      <c r="F8228" s="2423"/>
    </row>
    <row r="8229" s="101" customFormat="1" spans="6:6">
      <c r="F8229" s="2423"/>
    </row>
    <row r="8230" s="101" customFormat="1" spans="6:6">
      <c r="F8230" s="2423"/>
    </row>
    <row r="8231" s="101" customFormat="1" spans="6:6">
      <c r="F8231" s="2423"/>
    </row>
    <row r="8232" s="101" customFormat="1" spans="6:6">
      <c r="F8232" s="2423"/>
    </row>
    <row r="8233" s="101" customFormat="1" spans="6:6">
      <c r="F8233" s="2423"/>
    </row>
    <row r="8234" s="101" customFormat="1" spans="6:6">
      <c r="F8234" s="2423"/>
    </row>
    <row r="8235" s="101" customFormat="1" spans="6:6">
      <c r="F8235" s="2423"/>
    </row>
    <row r="8236" s="101" customFormat="1" spans="6:6">
      <c r="F8236" s="2423"/>
    </row>
    <row r="8237" s="101" customFormat="1" spans="6:6">
      <c r="F8237" s="2423"/>
    </row>
    <row r="8238" s="101" customFormat="1" spans="6:6">
      <c r="F8238" s="2423"/>
    </row>
    <row r="8239" s="101" customFormat="1" spans="6:6">
      <c r="F8239" s="2423"/>
    </row>
    <row r="8240" s="101" customFormat="1" spans="6:6">
      <c r="F8240" s="2423"/>
    </row>
    <row r="8241" s="101" customFormat="1" spans="6:6">
      <c r="F8241" s="2423"/>
    </row>
    <row r="8242" s="101" customFormat="1" spans="6:6">
      <c r="F8242" s="2423"/>
    </row>
    <row r="8243" s="101" customFormat="1" spans="6:6">
      <c r="F8243" s="2423"/>
    </row>
    <row r="8244" s="101" customFormat="1" spans="6:6">
      <c r="F8244" s="2423"/>
    </row>
    <row r="8245" s="101" customFormat="1" spans="6:6">
      <c r="F8245" s="2423"/>
    </row>
    <row r="8246" s="101" customFormat="1" spans="6:6">
      <c r="F8246" s="2423"/>
    </row>
    <row r="8247" s="101" customFormat="1" spans="6:6">
      <c r="F8247" s="2423"/>
    </row>
    <row r="8248" s="101" customFormat="1" spans="6:6">
      <c r="F8248" s="2423"/>
    </row>
    <row r="8249" s="101" customFormat="1" spans="6:6">
      <c r="F8249" s="2423"/>
    </row>
    <row r="8250" s="101" customFormat="1" spans="6:6">
      <c r="F8250" s="2423"/>
    </row>
    <row r="8251" s="101" customFormat="1" spans="6:6">
      <c r="F8251" s="2423"/>
    </row>
    <row r="8252" s="101" customFormat="1" spans="6:6">
      <c r="F8252" s="2423"/>
    </row>
    <row r="8253" s="101" customFormat="1" spans="6:6">
      <c r="F8253" s="2423"/>
    </row>
    <row r="8254" s="101" customFormat="1" spans="6:6">
      <c r="F8254" s="2423"/>
    </row>
    <row r="8255" s="101" customFormat="1" spans="6:6">
      <c r="F8255" s="2423"/>
    </row>
    <row r="8256" s="101" customFormat="1" spans="6:6">
      <c r="F8256" s="2423"/>
    </row>
    <row r="8257" s="101" customFormat="1" spans="6:6">
      <c r="F8257" s="2423"/>
    </row>
    <row r="8258" s="101" customFormat="1" spans="6:6">
      <c r="F8258" s="2423"/>
    </row>
    <row r="8259" s="101" customFormat="1" spans="6:6">
      <c r="F8259" s="2423"/>
    </row>
    <row r="8260" s="101" customFormat="1" spans="6:6">
      <c r="F8260" s="2423"/>
    </row>
    <row r="8261" s="101" customFormat="1" spans="6:6">
      <c r="F8261" s="2423"/>
    </row>
    <row r="8262" s="101" customFormat="1" spans="6:6">
      <c r="F8262" s="2423"/>
    </row>
    <row r="8263" s="101" customFormat="1" spans="6:6">
      <c r="F8263" s="2423"/>
    </row>
    <row r="8264" s="101" customFormat="1" spans="6:6">
      <c r="F8264" s="2423"/>
    </row>
    <row r="8265" s="101" customFormat="1" spans="6:6">
      <c r="F8265" s="2423"/>
    </row>
    <row r="8266" s="101" customFormat="1" spans="6:6">
      <c r="F8266" s="2423"/>
    </row>
    <row r="8267" s="101" customFormat="1" spans="6:6">
      <c r="F8267" s="2423"/>
    </row>
    <row r="8268" s="101" customFormat="1" spans="6:6">
      <c r="F8268" s="2423"/>
    </row>
    <row r="8269" s="101" customFormat="1" spans="6:6">
      <c r="F8269" s="2423"/>
    </row>
    <row r="8270" s="101" customFormat="1" spans="6:6">
      <c r="F8270" s="2423"/>
    </row>
    <row r="8271" s="101" customFormat="1" spans="6:6">
      <c r="F8271" s="2423"/>
    </row>
    <row r="8272" s="101" customFormat="1" spans="6:6">
      <c r="F8272" s="2423"/>
    </row>
    <row r="8273" s="101" customFormat="1" spans="6:6">
      <c r="F8273" s="2423"/>
    </row>
    <row r="8274" s="101" customFormat="1" spans="6:6">
      <c r="F8274" s="2423"/>
    </row>
    <row r="8275" s="101" customFormat="1" spans="6:6">
      <c r="F8275" s="2423"/>
    </row>
    <row r="8276" s="101" customFormat="1" spans="6:6">
      <c r="F8276" s="2423"/>
    </row>
    <row r="8277" s="101" customFormat="1" spans="6:6">
      <c r="F8277" s="2423"/>
    </row>
    <row r="8278" s="101" customFormat="1" spans="6:6">
      <c r="F8278" s="2423"/>
    </row>
    <row r="8279" s="101" customFormat="1" spans="6:6">
      <c r="F8279" s="2423"/>
    </row>
    <row r="8280" s="101" customFormat="1" spans="6:6">
      <c r="F8280" s="2423"/>
    </row>
    <row r="8281" s="101" customFormat="1" spans="6:6">
      <c r="F8281" s="2423"/>
    </row>
    <row r="8282" s="101" customFormat="1" spans="6:6">
      <c r="F8282" s="2423"/>
    </row>
    <row r="8283" s="101" customFormat="1" spans="6:6">
      <c r="F8283" s="2423"/>
    </row>
    <row r="8284" s="101" customFormat="1" spans="6:6">
      <c r="F8284" s="2423"/>
    </row>
    <row r="8285" s="101" customFormat="1" spans="6:6">
      <c r="F8285" s="2423"/>
    </row>
    <row r="8286" s="101" customFormat="1" spans="6:6">
      <c r="F8286" s="2423"/>
    </row>
    <row r="8287" s="101" customFormat="1" spans="6:6">
      <c r="F8287" s="2423"/>
    </row>
    <row r="8288" s="101" customFormat="1" spans="6:6">
      <c r="F8288" s="2423"/>
    </row>
    <row r="8289" s="101" customFormat="1" spans="6:6">
      <c r="F8289" s="2423"/>
    </row>
    <row r="8290" s="101" customFormat="1" spans="6:6">
      <c r="F8290" s="2423"/>
    </row>
    <row r="8291" s="101" customFormat="1" spans="6:6">
      <c r="F8291" s="2423"/>
    </row>
    <row r="8292" s="101" customFormat="1" spans="6:6">
      <c r="F8292" s="2423"/>
    </row>
    <row r="8293" s="101" customFormat="1" spans="6:6">
      <c r="F8293" s="2423"/>
    </row>
    <row r="8294" s="101" customFormat="1" spans="6:6">
      <c r="F8294" s="2423"/>
    </row>
    <row r="8295" s="101" customFormat="1" spans="6:6">
      <c r="F8295" s="2423"/>
    </row>
    <row r="8296" s="101" customFormat="1" spans="6:6">
      <c r="F8296" s="2423"/>
    </row>
    <row r="8297" s="101" customFormat="1" spans="6:6">
      <c r="F8297" s="2423"/>
    </row>
    <row r="8298" s="101" customFormat="1" spans="6:6">
      <c r="F8298" s="2423"/>
    </row>
    <row r="8299" s="101" customFormat="1" spans="6:6">
      <c r="F8299" s="2423"/>
    </row>
    <row r="8300" s="101" customFormat="1" spans="6:6">
      <c r="F8300" s="2423"/>
    </row>
    <row r="8301" s="101" customFormat="1" spans="6:6">
      <c r="F8301" s="2423"/>
    </row>
    <row r="8302" s="101" customFormat="1" spans="6:6">
      <c r="F8302" s="2423"/>
    </row>
    <row r="8303" s="101" customFormat="1" spans="6:6">
      <c r="F8303" s="2423"/>
    </row>
    <row r="8304" s="101" customFormat="1" spans="6:6">
      <c r="F8304" s="2423"/>
    </row>
    <row r="8305" s="101" customFormat="1" spans="6:6">
      <c r="F8305" s="2423"/>
    </row>
    <row r="8306" s="101" customFormat="1" spans="6:6">
      <c r="F8306" s="2423"/>
    </row>
    <row r="8307" s="101" customFormat="1" spans="6:6">
      <c r="F8307" s="2423"/>
    </row>
    <row r="8308" s="101" customFormat="1" spans="6:6">
      <c r="F8308" s="2423"/>
    </row>
    <row r="8309" s="101" customFormat="1" spans="6:6">
      <c r="F8309" s="2423"/>
    </row>
    <row r="8310" s="101" customFormat="1" spans="6:6">
      <c r="F8310" s="2423"/>
    </row>
    <row r="8311" s="101" customFormat="1" spans="6:6">
      <c r="F8311" s="2423"/>
    </row>
    <row r="8312" s="101" customFormat="1" spans="6:6">
      <c r="F8312" s="2423"/>
    </row>
    <row r="8313" s="101" customFormat="1" spans="6:6">
      <c r="F8313" s="2423"/>
    </row>
    <row r="8314" s="101" customFormat="1" spans="6:6">
      <c r="F8314" s="2423"/>
    </row>
    <row r="8315" s="101" customFormat="1" spans="6:6">
      <c r="F8315" s="2423"/>
    </row>
    <row r="8316" s="101" customFormat="1" spans="6:6">
      <c r="F8316" s="2423"/>
    </row>
    <row r="8317" s="101" customFormat="1" spans="6:6">
      <c r="F8317" s="2423"/>
    </row>
    <row r="8318" s="101" customFormat="1" spans="6:6">
      <c r="F8318" s="2423"/>
    </row>
    <row r="8319" s="101" customFormat="1" spans="6:6">
      <c r="F8319" s="2423"/>
    </row>
    <row r="8320" s="101" customFormat="1" spans="6:6">
      <c r="F8320" s="2423"/>
    </row>
    <row r="8321" s="101" customFormat="1" spans="6:6">
      <c r="F8321" s="2423"/>
    </row>
    <row r="8322" s="101" customFormat="1" spans="6:6">
      <c r="F8322" s="2423"/>
    </row>
    <row r="8323" s="101" customFormat="1" spans="6:6">
      <c r="F8323" s="2423"/>
    </row>
    <row r="8324" s="101" customFormat="1" spans="6:6">
      <c r="F8324" s="2423"/>
    </row>
    <row r="8325" s="101" customFormat="1" spans="6:6">
      <c r="F8325" s="2423"/>
    </row>
    <row r="8326" s="101" customFormat="1" spans="6:6">
      <c r="F8326" s="2423"/>
    </row>
    <row r="8327" s="101" customFormat="1" spans="6:6">
      <c r="F8327" s="2423"/>
    </row>
    <row r="8328" s="101" customFormat="1" spans="6:6">
      <c r="F8328" s="2423"/>
    </row>
    <row r="8329" s="101" customFormat="1" spans="6:6">
      <c r="F8329" s="2423"/>
    </row>
    <row r="8330" s="101" customFormat="1" spans="6:6">
      <c r="F8330" s="2423"/>
    </row>
    <row r="8331" s="101" customFormat="1" spans="6:6">
      <c r="F8331" s="2423"/>
    </row>
    <row r="8332" s="101" customFormat="1" spans="6:6">
      <c r="F8332" s="2423"/>
    </row>
    <row r="8333" s="101" customFormat="1" spans="6:6">
      <c r="F8333" s="2423"/>
    </row>
    <row r="8334" s="101" customFormat="1" spans="6:6">
      <c r="F8334" s="2423"/>
    </row>
    <row r="8335" s="101" customFormat="1" spans="6:6">
      <c r="F8335" s="2423"/>
    </row>
    <row r="8336" s="101" customFormat="1" spans="6:6">
      <c r="F8336" s="2423"/>
    </row>
    <row r="8337" s="101" customFormat="1" spans="6:6">
      <c r="F8337" s="2423"/>
    </row>
    <row r="8338" s="101" customFormat="1" spans="6:6">
      <c r="F8338" s="2423"/>
    </row>
    <row r="8339" s="101" customFormat="1" spans="6:6">
      <c r="F8339" s="2423"/>
    </row>
    <row r="8340" s="101" customFormat="1" spans="6:6">
      <c r="F8340" s="2423"/>
    </row>
    <row r="8341" s="101" customFormat="1" spans="6:6">
      <c r="F8341" s="2423"/>
    </row>
    <row r="8342" s="101" customFormat="1" spans="6:6">
      <c r="F8342" s="2423"/>
    </row>
    <row r="8343" s="101" customFormat="1" spans="6:6">
      <c r="F8343" s="2423"/>
    </row>
    <row r="8344" s="101" customFormat="1" spans="6:6">
      <c r="F8344" s="2423"/>
    </row>
    <row r="8345" s="101" customFormat="1" spans="6:6">
      <c r="F8345" s="2423"/>
    </row>
    <row r="8346" s="101" customFormat="1" spans="6:6">
      <c r="F8346" s="2423"/>
    </row>
    <row r="8347" s="101" customFormat="1" spans="6:6">
      <c r="F8347" s="2423"/>
    </row>
    <row r="8348" s="101" customFormat="1" spans="6:6">
      <c r="F8348" s="2423"/>
    </row>
    <row r="8349" s="101" customFormat="1" spans="6:6">
      <c r="F8349" s="2423"/>
    </row>
    <row r="8350" s="101" customFormat="1" spans="6:6">
      <c r="F8350" s="2423"/>
    </row>
    <row r="8351" s="101" customFormat="1" spans="6:6">
      <c r="F8351" s="2423"/>
    </row>
    <row r="8352" s="101" customFormat="1" spans="6:6">
      <c r="F8352" s="2423"/>
    </row>
    <row r="8353" s="101" customFormat="1" spans="6:6">
      <c r="F8353" s="2423"/>
    </row>
    <row r="8354" s="101" customFormat="1" spans="6:6">
      <c r="F8354" s="2423"/>
    </row>
    <row r="8355" s="101" customFormat="1" spans="6:6">
      <c r="F8355" s="2423"/>
    </row>
    <row r="8356" s="101" customFormat="1" spans="6:6">
      <c r="F8356" s="2423"/>
    </row>
    <row r="8357" s="101" customFormat="1" spans="6:6">
      <c r="F8357" s="2423"/>
    </row>
    <row r="8358" s="101" customFormat="1" spans="6:6">
      <c r="F8358" s="2423"/>
    </row>
    <row r="8359" s="101" customFormat="1" spans="6:6">
      <c r="F8359" s="2423"/>
    </row>
    <row r="8360" s="101" customFormat="1" spans="6:6">
      <c r="F8360" s="2423"/>
    </row>
    <row r="8361" s="101" customFormat="1" spans="6:6">
      <c r="F8361" s="2423"/>
    </row>
    <row r="8362" s="101" customFormat="1" spans="6:6">
      <c r="F8362" s="2423"/>
    </row>
    <row r="8363" s="101" customFormat="1" spans="6:6">
      <c r="F8363" s="2423"/>
    </row>
    <row r="8364" s="101" customFormat="1" spans="6:6">
      <c r="F8364" s="2423"/>
    </row>
    <row r="8365" s="101" customFormat="1" spans="6:6">
      <c r="F8365" s="2423"/>
    </row>
    <row r="8366" s="101" customFormat="1" spans="6:6">
      <c r="F8366" s="2423"/>
    </row>
    <row r="8367" s="101" customFormat="1" spans="6:6">
      <c r="F8367" s="2423"/>
    </row>
    <row r="8368" s="101" customFormat="1" spans="6:6">
      <c r="F8368" s="2423"/>
    </row>
    <row r="8369" s="101" customFormat="1" spans="6:6">
      <c r="F8369" s="2423"/>
    </row>
    <row r="8370" s="101" customFormat="1" spans="6:6">
      <c r="F8370" s="2423"/>
    </row>
    <row r="8371" s="101" customFormat="1" spans="6:6">
      <c r="F8371" s="2423"/>
    </row>
    <row r="8372" s="101" customFormat="1" spans="6:6">
      <c r="F8372" s="2423"/>
    </row>
    <row r="8373" s="101" customFormat="1" spans="6:6">
      <c r="F8373" s="2423"/>
    </row>
    <row r="8374" s="101" customFormat="1" spans="6:6">
      <c r="F8374" s="2423"/>
    </row>
    <row r="8375" s="101" customFormat="1" spans="6:6">
      <c r="F8375" s="2423"/>
    </row>
    <row r="8376" s="101" customFormat="1" spans="6:6">
      <c r="F8376" s="2423"/>
    </row>
    <row r="8377" s="101" customFormat="1" spans="6:6">
      <c r="F8377" s="2423"/>
    </row>
    <row r="8378" s="101" customFormat="1" spans="6:6">
      <c r="F8378" s="2423"/>
    </row>
    <row r="8379" s="101" customFormat="1" spans="6:6">
      <c r="F8379" s="2423"/>
    </row>
    <row r="8380" s="101" customFormat="1" spans="6:6">
      <c r="F8380" s="2423"/>
    </row>
    <row r="8381" s="101" customFormat="1" spans="6:6">
      <c r="F8381" s="2423"/>
    </row>
    <row r="8382" s="101" customFormat="1" spans="6:6">
      <c r="F8382" s="2423"/>
    </row>
    <row r="8383" s="101" customFormat="1" spans="6:6">
      <c r="F8383" s="2423"/>
    </row>
    <row r="8384" s="101" customFormat="1" spans="6:6">
      <c r="F8384" s="2423"/>
    </row>
    <row r="8385" s="101" customFormat="1" spans="6:6">
      <c r="F8385" s="2423"/>
    </row>
    <row r="8386" s="101" customFormat="1" spans="6:6">
      <c r="F8386" s="2423"/>
    </row>
    <row r="8387" s="101" customFormat="1" spans="6:6">
      <c r="F8387" s="2423"/>
    </row>
    <row r="8388" s="101" customFormat="1" spans="6:6">
      <c r="F8388" s="2423"/>
    </row>
    <row r="8389" s="101" customFormat="1" spans="6:6">
      <c r="F8389" s="2423"/>
    </row>
    <row r="8390" s="101" customFormat="1" spans="6:6">
      <c r="F8390" s="2423"/>
    </row>
    <row r="8391" s="101" customFormat="1" spans="6:6">
      <c r="F8391" s="2423"/>
    </row>
    <row r="8392" s="101" customFormat="1" spans="6:6">
      <c r="F8392" s="2423"/>
    </row>
    <row r="8393" s="101" customFormat="1" spans="6:6">
      <c r="F8393" s="2423"/>
    </row>
    <row r="8394" s="101" customFormat="1" spans="6:6">
      <c r="F8394" s="2423"/>
    </row>
    <row r="8395" s="101" customFormat="1" spans="6:6">
      <c r="F8395" s="2423"/>
    </row>
    <row r="8396" s="101" customFormat="1" spans="6:6">
      <c r="F8396" s="2423"/>
    </row>
    <row r="8397" s="101" customFormat="1" spans="6:6">
      <c r="F8397" s="2423"/>
    </row>
    <row r="8398" s="101" customFormat="1" spans="6:6">
      <c r="F8398" s="2423"/>
    </row>
    <row r="8399" s="101" customFormat="1" spans="6:6">
      <c r="F8399" s="2423"/>
    </row>
    <row r="8400" s="101" customFormat="1" spans="6:6">
      <c r="F8400" s="2423"/>
    </row>
    <row r="8401" s="101" customFormat="1" spans="6:6">
      <c r="F8401" s="2423"/>
    </row>
    <row r="8402" s="101" customFormat="1" spans="6:6">
      <c r="F8402" s="2423"/>
    </row>
    <row r="8403" s="101" customFormat="1" spans="6:6">
      <c r="F8403" s="2423"/>
    </row>
    <row r="8404" s="101" customFormat="1" spans="6:6">
      <c r="F8404" s="2423"/>
    </row>
    <row r="8405" s="101" customFormat="1" spans="6:6">
      <c r="F8405" s="2423"/>
    </row>
    <row r="8406" s="101" customFormat="1" spans="6:6">
      <c r="F8406" s="2423"/>
    </row>
    <row r="8407" s="101" customFormat="1" spans="6:6">
      <c r="F8407" s="2423"/>
    </row>
    <row r="8408" s="101" customFormat="1" spans="6:6">
      <c r="F8408" s="2423"/>
    </row>
    <row r="8409" s="101" customFormat="1" spans="6:6">
      <c r="F8409" s="2423"/>
    </row>
    <row r="8410" s="101" customFormat="1" spans="6:6">
      <c r="F8410" s="2423"/>
    </row>
    <row r="8411" s="101" customFormat="1" spans="6:6">
      <c r="F8411" s="2423"/>
    </row>
    <row r="8412" s="101" customFormat="1" spans="6:6">
      <c r="F8412" s="2423"/>
    </row>
    <row r="8413" s="101" customFormat="1" spans="6:6">
      <c r="F8413" s="2423"/>
    </row>
    <row r="8414" s="101" customFormat="1" spans="6:6">
      <c r="F8414" s="2423"/>
    </row>
    <row r="8415" s="101" customFormat="1" spans="6:6">
      <c r="F8415" s="2423"/>
    </row>
    <row r="8416" s="101" customFormat="1" spans="6:6">
      <c r="F8416" s="2423"/>
    </row>
    <row r="8417" s="101" customFormat="1" spans="6:6">
      <c r="F8417" s="2423"/>
    </row>
    <row r="8418" s="101" customFormat="1" spans="6:6">
      <c r="F8418" s="2423"/>
    </row>
    <row r="8419" s="101" customFormat="1" spans="6:6">
      <c r="F8419" s="2423"/>
    </row>
    <row r="8420" s="101" customFormat="1" spans="6:6">
      <c r="F8420" s="2423"/>
    </row>
    <row r="8421" s="101" customFormat="1" spans="6:6">
      <c r="F8421" s="2423"/>
    </row>
    <row r="8422" s="101" customFormat="1" spans="6:6">
      <c r="F8422" s="2423"/>
    </row>
    <row r="8423" s="101" customFormat="1" spans="6:6">
      <c r="F8423" s="2423"/>
    </row>
    <row r="8424" s="101" customFormat="1" spans="6:6">
      <c r="F8424" s="2423"/>
    </row>
    <row r="8425" s="101" customFormat="1" spans="6:6">
      <c r="F8425" s="2423"/>
    </row>
    <row r="8426" s="101" customFormat="1" spans="6:6">
      <c r="F8426" s="2423"/>
    </row>
    <row r="8427" s="101" customFormat="1" spans="6:6">
      <c r="F8427" s="2423"/>
    </row>
    <row r="8428" s="101" customFormat="1" spans="6:6">
      <c r="F8428" s="2423"/>
    </row>
    <row r="8429" s="101" customFormat="1" spans="6:6">
      <c r="F8429" s="2423"/>
    </row>
    <row r="8430" s="101" customFormat="1" spans="6:6">
      <c r="F8430" s="2423"/>
    </row>
    <row r="8431" s="101" customFormat="1" spans="6:6">
      <c r="F8431" s="2423"/>
    </row>
    <row r="8432" s="101" customFormat="1" spans="6:6">
      <c r="F8432" s="2423"/>
    </row>
    <row r="8433" s="101" customFormat="1" spans="6:6">
      <c r="F8433" s="2423"/>
    </row>
    <row r="8434" s="101" customFormat="1" spans="6:6">
      <c r="F8434" s="2423"/>
    </row>
    <row r="8435" s="101" customFormat="1" spans="6:6">
      <c r="F8435" s="2423"/>
    </row>
    <row r="8436" s="101" customFormat="1" spans="6:6">
      <c r="F8436" s="2423"/>
    </row>
    <row r="8437" s="101" customFormat="1" spans="6:6">
      <c r="F8437" s="2423"/>
    </row>
    <row r="8438" s="101" customFormat="1" spans="6:6">
      <c r="F8438" s="2423"/>
    </row>
    <row r="8439" s="101" customFormat="1" spans="6:6">
      <c r="F8439" s="2423"/>
    </row>
    <row r="8440" s="101" customFormat="1" spans="6:6">
      <c r="F8440" s="2423"/>
    </row>
    <row r="8441" s="101" customFormat="1" spans="6:6">
      <c r="F8441" s="2423"/>
    </row>
    <row r="8442" s="101" customFormat="1" spans="6:6">
      <c r="F8442" s="2423"/>
    </row>
    <row r="8443" s="101" customFormat="1" spans="6:6">
      <c r="F8443" s="2423"/>
    </row>
    <row r="8444" s="101" customFormat="1" spans="6:6">
      <c r="F8444" s="2423"/>
    </row>
    <row r="8445" s="101" customFormat="1" spans="6:6">
      <c r="F8445" s="2423"/>
    </row>
    <row r="8446" s="101" customFormat="1" spans="6:6">
      <c r="F8446" s="2423"/>
    </row>
    <row r="8447" s="101" customFormat="1" spans="6:6">
      <c r="F8447" s="2423"/>
    </row>
    <row r="8448" s="101" customFormat="1" spans="6:6">
      <c r="F8448" s="2423"/>
    </row>
    <row r="8449" s="101" customFormat="1" spans="6:6">
      <c r="F8449" s="2423"/>
    </row>
    <row r="8450" s="101" customFormat="1" spans="6:6">
      <c r="F8450" s="2423"/>
    </row>
    <row r="8451" s="101" customFormat="1" spans="6:6">
      <c r="F8451" s="2423"/>
    </row>
    <row r="8452" s="101" customFormat="1" spans="6:6">
      <c r="F8452" s="2423"/>
    </row>
    <row r="8453" s="101" customFormat="1" spans="6:6">
      <c r="F8453" s="2423"/>
    </row>
    <row r="8454" s="101" customFormat="1" spans="6:6">
      <c r="F8454" s="2423"/>
    </row>
    <row r="8455" s="101" customFormat="1" spans="6:6">
      <c r="F8455" s="2423"/>
    </row>
    <row r="8456" s="101" customFormat="1" spans="6:6">
      <c r="F8456" s="2423"/>
    </row>
    <row r="8457" s="101" customFormat="1" spans="6:6">
      <c r="F8457" s="2423"/>
    </row>
    <row r="8458" s="101" customFormat="1" spans="6:6">
      <c r="F8458" s="2423"/>
    </row>
    <row r="8459" s="101" customFormat="1" spans="6:6">
      <c r="F8459" s="2423"/>
    </row>
    <row r="8460" s="101" customFormat="1" spans="6:6">
      <c r="F8460" s="2423"/>
    </row>
    <row r="8461" s="101" customFormat="1" spans="6:6">
      <c r="F8461" s="2423"/>
    </row>
    <row r="8462" s="101" customFormat="1" spans="6:6">
      <c r="F8462" s="2423"/>
    </row>
    <row r="8463" s="101" customFormat="1" spans="6:6">
      <c r="F8463" s="2423"/>
    </row>
    <row r="8464" s="101" customFormat="1" spans="6:6">
      <c r="F8464" s="2423"/>
    </row>
    <row r="8465" s="101" customFormat="1" spans="6:6">
      <c r="F8465" s="2423"/>
    </row>
    <row r="8466" s="101" customFormat="1" spans="6:6">
      <c r="F8466" s="2423"/>
    </row>
    <row r="8467" s="101" customFormat="1" spans="6:6">
      <c r="F8467" s="2423"/>
    </row>
    <row r="8468" s="101" customFormat="1" spans="6:6">
      <c r="F8468" s="2423"/>
    </row>
    <row r="8469" s="101" customFormat="1" spans="6:6">
      <c r="F8469" s="2423"/>
    </row>
    <row r="8470" s="101" customFormat="1" spans="6:6">
      <c r="F8470" s="2423"/>
    </row>
    <row r="8471" s="101" customFormat="1" spans="6:6">
      <c r="F8471" s="2423"/>
    </row>
    <row r="8472" s="101" customFormat="1" spans="6:6">
      <c r="F8472" s="2423"/>
    </row>
    <row r="8473" s="101" customFormat="1" spans="6:6">
      <c r="F8473" s="2423"/>
    </row>
    <row r="8474" s="101" customFormat="1" spans="6:6">
      <c r="F8474" s="2423"/>
    </row>
    <row r="8475" s="101" customFormat="1" spans="6:6">
      <c r="F8475" s="2423"/>
    </row>
    <row r="8476" s="101" customFormat="1" spans="6:6">
      <c r="F8476" s="2423"/>
    </row>
    <row r="8477" s="101" customFormat="1" spans="6:6">
      <c r="F8477" s="2423"/>
    </row>
    <row r="8478" s="101" customFormat="1" spans="6:6">
      <c r="F8478" s="2423"/>
    </row>
    <row r="8479" s="101" customFormat="1" spans="6:6">
      <c r="F8479" s="2423"/>
    </row>
    <row r="8480" s="101" customFormat="1" spans="6:6">
      <c r="F8480" s="2423"/>
    </row>
    <row r="8481" s="101" customFormat="1" spans="6:6">
      <c r="F8481" s="2423"/>
    </row>
    <row r="8482" s="101" customFormat="1" spans="6:6">
      <c r="F8482" s="2423"/>
    </row>
    <row r="8483" s="101" customFormat="1" spans="6:6">
      <c r="F8483" s="2423"/>
    </row>
    <row r="8484" s="101" customFormat="1" spans="6:6">
      <c r="F8484" s="2423"/>
    </row>
    <row r="8485" s="101" customFormat="1" spans="6:6">
      <c r="F8485" s="2423"/>
    </row>
    <row r="8486" s="101" customFormat="1" spans="6:6">
      <c r="F8486" s="2423"/>
    </row>
    <row r="8487" s="101" customFormat="1" spans="6:6">
      <c r="F8487" s="2423"/>
    </row>
    <row r="8488" s="101" customFormat="1" spans="6:6">
      <c r="F8488" s="2423"/>
    </row>
    <row r="8489" s="101" customFormat="1" spans="6:6">
      <c r="F8489" s="2423"/>
    </row>
    <row r="8490" s="101" customFormat="1" spans="6:6">
      <c r="F8490" s="2423"/>
    </row>
    <row r="8491" s="101" customFormat="1" spans="6:6">
      <c r="F8491" s="2423"/>
    </row>
    <row r="8492" s="101" customFormat="1" spans="6:6">
      <c r="F8492" s="2423"/>
    </row>
    <row r="8493" s="101" customFormat="1" spans="6:6">
      <c r="F8493" s="2423"/>
    </row>
    <row r="8494" s="101" customFormat="1" spans="6:6">
      <c r="F8494" s="2423"/>
    </row>
    <row r="8495" s="101" customFormat="1" spans="6:6">
      <c r="F8495" s="2423"/>
    </row>
    <row r="8496" s="101" customFormat="1" spans="6:6">
      <c r="F8496" s="2423"/>
    </row>
    <row r="8497" s="101" customFormat="1" spans="6:6">
      <c r="F8497" s="2423"/>
    </row>
    <row r="8498" s="101" customFormat="1" spans="6:6">
      <c r="F8498" s="2423"/>
    </row>
    <row r="8499" s="101" customFormat="1" spans="6:6">
      <c r="F8499" s="2423"/>
    </row>
    <row r="8500" s="101" customFormat="1" spans="6:6">
      <c r="F8500" s="2423"/>
    </row>
    <row r="8501" s="101" customFormat="1" spans="6:6">
      <c r="F8501" s="2423"/>
    </row>
    <row r="8502" s="101" customFormat="1" spans="6:6">
      <c r="F8502" s="2423"/>
    </row>
    <row r="8503" s="101" customFormat="1" spans="6:6">
      <c r="F8503" s="2423"/>
    </row>
    <row r="8504" s="101" customFormat="1" spans="6:6">
      <c r="F8504" s="2423"/>
    </row>
    <row r="8505" s="101" customFormat="1" spans="6:6">
      <c r="F8505" s="2423"/>
    </row>
    <row r="8506" s="101" customFormat="1" spans="6:6">
      <c r="F8506" s="2423"/>
    </row>
    <row r="8507" s="101" customFormat="1" spans="6:6">
      <c r="F8507" s="2423"/>
    </row>
    <row r="8508" s="101" customFormat="1" spans="6:6">
      <c r="F8508" s="2423"/>
    </row>
    <row r="8509" s="101" customFormat="1" spans="6:6">
      <c r="F8509" s="2423"/>
    </row>
    <row r="8510" s="101" customFormat="1" spans="6:6">
      <c r="F8510" s="2423"/>
    </row>
    <row r="8511" s="101" customFormat="1" spans="6:6">
      <c r="F8511" s="2423"/>
    </row>
    <row r="8512" s="101" customFormat="1" spans="6:6">
      <c r="F8512" s="2423"/>
    </row>
    <row r="8513" s="101" customFormat="1" spans="6:6">
      <c r="F8513" s="2423"/>
    </row>
    <row r="8514" s="101" customFormat="1" spans="6:6">
      <c r="F8514" s="2423"/>
    </row>
    <row r="8515" s="101" customFormat="1" spans="6:6">
      <c r="F8515" s="2423"/>
    </row>
    <row r="8516" s="101" customFormat="1" spans="6:6">
      <c r="F8516" s="2423"/>
    </row>
    <row r="8517" s="101" customFormat="1" spans="6:6">
      <c r="F8517" s="2423"/>
    </row>
    <row r="8518" s="101" customFormat="1" spans="6:6">
      <c r="F8518" s="2423"/>
    </row>
    <row r="8519" s="101" customFormat="1" spans="6:6">
      <c r="F8519" s="2423"/>
    </row>
    <row r="8520" s="101" customFormat="1" spans="6:6">
      <c r="F8520" s="2423"/>
    </row>
    <row r="8521" s="101" customFormat="1" spans="6:6">
      <c r="F8521" s="2423"/>
    </row>
    <row r="8522" s="101" customFormat="1" spans="6:6">
      <c r="F8522" s="2423"/>
    </row>
    <row r="8523" s="101" customFormat="1" spans="6:6">
      <c r="F8523" s="2423"/>
    </row>
    <row r="8524" s="101" customFormat="1" spans="6:6">
      <c r="F8524" s="2423"/>
    </row>
    <row r="8525" s="101" customFormat="1" spans="6:6">
      <c r="F8525" s="2423"/>
    </row>
    <row r="8526" s="101" customFormat="1" spans="6:6">
      <c r="F8526" s="2423"/>
    </row>
    <row r="8527" s="101" customFormat="1" spans="6:6">
      <c r="F8527" s="2423"/>
    </row>
    <row r="8528" s="101" customFormat="1" spans="6:6">
      <c r="F8528" s="2423"/>
    </row>
    <row r="8529" s="101" customFormat="1" spans="6:6">
      <c r="F8529" s="2423"/>
    </row>
    <row r="8530" s="101" customFormat="1" spans="6:6">
      <c r="F8530" s="2423"/>
    </row>
    <row r="8531" s="101" customFormat="1" spans="6:6">
      <c r="F8531" s="2423"/>
    </row>
    <row r="8532" s="101" customFormat="1" spans="6:6">
      <c r="F8532" s="2423"/>
    </row>
    <row r="8533" s="101" customFormat="1" spans="6:6">
      <c r="F8533" s="2423"/>
    </row>
    <row r="8534" s="101" customFormat="1" spans="6:6">
      <c r="F8534" s="2423"/>
    </row>
    <row r="8535" s="101" customFormat="1" spans="6:6">
      <c r="F8535" s="2423"/>
    </row>
    <row r="8536" s="101" customFormat="1" spans="6:6">
      <c r="F8536" s="2423"/>
    </row>
    <row r="8537" s="101" customFormat="1" spans="6:6">
      <c r="F8537" s="2423"/>
    </row>
    <row r="8538" s="101" customFormat="1" spans="6:6">
      <c r="F8538" s="2423"/>
    </row>
    <row r="8539" s="101" customFormat="1" spans="6:6">
      <c r="F8539" s="2423"/>
    </row>
    <row r="8540" s="101" customFormat="1" spans="6:6">
      <c r="F8540" s="2423"/>
    </row>
    <row r="8541" s="101" customFormat="1" spans="6:6">
      <c r="F8541" s="2423"/>
    </row>
    <row r="8542" s="101" customFormat="1" spans="6:6">
      <c r="F8542" s="2423"/>
    </row>
    <row r="8543" s="101" customFormat="1" spans="6:6">
      <c r="F8543" s="2423"/>
    </row>
    <row r="8544" s="101" customFormat="1" spans="6:6">
      <c r="F8544" s="2423"/>
    </row>
    <row r="8545" s="101" customFormat="1" spans="6:6">
      <c r="F8545" s="2423"/>
    </row>
    <row r="8546" s="101" customFormat="1" spans="6:6">
      <c r="F8546" s="2423"/>
    </row>
    <row r="8547" s="101" customFormat="1" spans="6:6">
      <c r="F8547" s="2423"/>
    </row>
    <row r="8548" s="101" customFormat="1" spans="6:6">
      <c r="F8548" s="2423"/>
    </row>
    <row r="8549" s="101" customFormat="1" spans="6:6">
      <c r="F8549" s="2423"/>
    </row>
    <row r="8550" s="101" customFormat="1" spans="6:6">
      <c r="F8550" s="2423"/>
    </row>
    <row r="8551" s="101" customFormat="1" spans="6:6">
      <c r="F8551" s="2423"/>
    </row>
    <row r="8552" s="101" customFormat="1" spans="6:6">
      <c r="F8552" s="2423"/>
    </row>
    <row r="8553" s="101" customFormat="1" spans="6:6">
      <c r="F8553" s="2423"/>
    </row>
    <row r="8554" s="101" customFormat="1" spans="6:6">
      <c r="F8554" s="2423"/>
    </row>
    <row r="8555" s="101" customFormat="1" spans="6:6">
      <c r="F8555" s="2423"/>
    </row>
    <row r="8556" s="101" customFormat="1" spans="6:6">
      <c r="F8556" s="2423"/>
    </row>
    <row r="8557" s="101" customFormat="1" spans="6:6">
      <c r="F8557" s="2423"/>
    </row>
    <row r="8558" s="101" customFormat="1" spans="6:6">
      <c r="F8558" s="2423"/>
    </row>
    <row r="8559" s="101" customFormat="1" spans="6:6">
      <c r="F8559" s="2423"/>
    </row>
    <row r="8560" s="101" customFormat="1" spans="6:6">
      <c r="F8560" s="2423"/>
    </row>
    <row r="8561" s="101" customFormat="1" spans="6:6">
      <c r="F8561" s="2423"/>
    </row>
    <row r="8562" s="101" customFormat="1" spans="6:6">
      <c r="F8562" s="2423"/>
    </row>
    <row r="8563" s="101" customFormat="1" spans="6:6">
      <c r="F8563" s="2423"/>
    </row>
    <row r="8564" s="101" customFormat="1" spans="6:6">
      <c r="F8564" s="2423"/>
    </row>
    <row r="8565" s="101" customFormat="1" spans="6:6">
      <c r="F8565" s="2423"/>
    </row>
    <row r="8566" s="101" customFormat="1" spans="6:6">
      <c r="F8566" s="2423"/>
    </row>
    <row r="8567" s="101" customFormat="1" spans="6:6">
      <c r="F8567" s="2423"/>
    </row>
    <row r="8568" s="101" customFormat="1" spans="6:6">
      <c r="F8568" s="2423"/>
    </row>
    <row r="8569" s="101" customFormat="1" spans="6:6">
      <c r="F8569" s="2423"/>
    </row>
    <row r="8570" s="101" customFormat="1" spans="6:6">
      <c r="F8570" s="2423"/>
    </row>
    <row r="8571" s="101" customFormat="1" spans="6:6">
      <c r="F8571" s="2423"/>
    </row>
    <row r="8572" s="101" customFormat="1" spans="6:6">
      <c r="F8572" s="2423"/>
    </row>
    <row r="8573" s="101" customFormat="1" spans="6:6">
      <c r="F8573" s="2423"/>
    </row>
    <row r="8574" s="101" customFormat="1" spans="6:6">
      <c r="F8574" s="2423"/>
    </row>
    <row r="8575" s="101" customFormat="1" spans="6:6">
      <c r="F8575" s="2423"/>
    </row>
    <row r="8576" s="101" customFormat="1" spans="6:6">
      <c r="F8576" s="2423"/>
    </row>
    <row r="8577" s="101" customFormat="1" spans="6:6">
      <c r="F8577" s="2423"/>
    </row>
    <row r="8578" s="101" customFormat="1" spans="6:6">
      <c r="F8578" s="2423"/>
    </row>
    <row r="8579" s="101" customFormat="1" spans="6:6">
      <c r="F8579" s="2423"/>
    </row>
    <row r="8580" s="101" customFormat="1" spans="6:6">
      <c r="F8580" s="2423"/>
    </row>
    <row r="8581" s="101" customFormat="1" spans="6:6">
      <c r="F8581" s="2423"/>
    </row>
    <row r="8582" s="101" customFormat="1" spans="6:6">
      <c r="F8582" s="2423"/>
    </row>
    <row r="8583" s="101" customFormat="1" spans="6:6">
      <c r="F8583" s="2423"/>
    </row>
    <row r="8584" s="101" customFormat="1" spans="6:6">
      <c r="F8584" s="2423"/>
    </row>
    <row r="8585" s="101" customFormat="1" spans="6:6">
      <c r="F8585" s="2423"/>
    </row>
    <row r="8586" s="101" customFormat="1" spans="6:6">
      <c r="F8586" s="2423"/>
    </row>
    <row r="8587" s="101" customFormat="1" spans="6:6">
      <c r="F8587" s="2423"/>
    </row>
    <row r="8588" s="101" customFormat="1" spans="6:6">
      <c r="F8588" s="2423"/>
    </row>
    <row r="8589" s="101" customFormat="1" spans="6:6">
      <c r="F8589" s="2423"/>
    </row>
    <row r="8590" s="101" customFormat="1" spans="6:6">
      <c r="F8590" s="2423"/>
    </row>
    <row r="8591" s="101" customFormat="1" spans="6:6">
      <c r="F8591" s="2423"/>
    </row>
    <row r="8592" s="101" customFormat="1" spans="6:6">
      <c r="F8592" s="2423"/>
    </row>
    <row r="8593" s="101" customFormat="1" spans="6:6">
      <c r="F8593" s="2423"/>
    </row>
    <row r="8594" s="101" customFormat="1" spans="6:6">
      <c r="F8594" s="2423"/>
    </row>
    <row r="8595" s="101" customFormat="1" spans="6:6">
      <c r="F8595" s="2423"/>
    </row>
    <row r="8596" s="101" customFormat="1" spans="6:6">
      <c r="F8596" s="2423"/>
    </row>
    <row r="8597" s="101" customFormat="1" spans="6:6">
      <c r="F8597" s="2423"/>
    </row>
    <row r="8598" s="101" customFormat="1" spans="6:6">
      <c r="F8598" s="2423"/>
    </row>
    <row r="8599" s="101" customFormat="1" spans="6:6">
      <c r="F8599" s="2423"/>
    </row>
    <row r="8600" s="101" customFormat="1" spans="6:6">
      <c r="F8600" s="2423"/>
    </row>
    <row r="8601" s="101" customFormat="1" spans="6:6">
      <c r="F8601" s="2423"/>
    </row>
    <row r="8602" s="101" customFormat="1" spans="6:6">
      <c r="F8602" s="2423"/>
    </row>
    <row r="8603" s="101" customFormat="1" spans="6:6">
      <c r="F8603" s="2423"/>
    </row>
    <row r="8604" s="101" customFormat="1" spans="6:6">
      <c r="F8604" s="2423"/>
    </row>
    <row r="8605" s="101" customFormat="1" spans="6:6">
      <c r="F8605" s="2423"/>
    </row>
    <row r="8606" s="101" customFormat="1" spans="6:6">
      <c r="F8606" s="2423"/>
    </row>
    <row r="8607" s="101" customFormat="1" spans="6:6">
      <c r="F8607" s="2423"/>
    </row>
    <row r="8608" s="101" customFormat="1" spans="6:6">
      <c r="F8608" s="2423"/>
    </row>
    <row r="8609" s="101" customFormat="1" spans="6:6">
      <c r="F8609" s="2423"/>
    </row>
    <row r="8610" s="101" customFormat="1" spans="6:6">
      <c r="F8610" s="2423"/>
    </row>
    <row r="8611" s="101" customFormat="1" spans="6:6">
      <c r="F8611" s="2423"/>
    </row>
    <row r="8612" s="101" customFormat="1" spans="6:6">
      <c r="F8612" s="2423"/>
    </row>
    <row r="8613" s="101" customFormat="1" spans="6:6">
      <c r="F8613" s="2423"/>
    </row>
    <row r="8614" s="101" customFormat="1" spans="6:6">
      <c r="F8614" s="2423"/>
    </row>
    <row r="8615" s="101" customFormat="1" spans="6:6">
      <c r="F8615" s="2423"/>
    </row>
    <row r="8616" s="101" customFormat="1" spans="6:6">
      <c r="F8616" s="2423"/>
    </row>
    <row r="8617" s="101" customFormat="1" spans="6:6">
      <c r="F8617" s="2423"/>
    </row>
    <row r="8618" s="101" customFormat="1" spans="6:6">
      <c r="F8618" s="2423"/>
    </row>
    <row r="8619" s="101" customFormat="1" spans="6:6">
      <c r="F8619" s="2423"/>
    </row>
    <row r="8620" s="101" customFormat="1" spans="6:6">
      <c r="F8620" s="2423"/>
    </row>
    <row r="8621" s="101" customFormat="1" spans="6:6">
      <c r="F8621" s="2423"/>
    </row>
    <row r="8622" s="101" customFormat="1" spans="6:6">
      <c r="F8622" s="2423"/>
    </row>
    <row r="8623" s="101" customFormat="1" spans="6:6">
      <c r="F8623" s="2423"/>
    </row>
    <row r="8624" s="101" customFormat="1" spans="6:6">
      <c r="F8624" s="2423"/>
    </row>
    <row r="8625" s="101" customFormat="1" spans="6:6">
      <c r="F8625" s="2423"/>
    </row>
    <row r="8626" s="101" customFormat="1" spans="6:6">
      <c r="F8626" s="2423"/>
    </row>
    <row r="8627" s="101" customFormat="1" spans="6:6">
      <c r="F8627" s="2423"/>
    </row>
    <row r="8628" s="101" customFormat="1" spans="6:6">
      <c r="F8628" s="2423"/>
    </row>
    <row r="8629" s="101" customFormat="1" spans="6:6">
      <c r="F8629" s="2423"/>
    </row>
    <row r="8630" s="101" customFormat="1" spans="6:6">
      <c r="F8630" s="2423"/>
    </row>
    <row r="8631" s="101" customFormat="1" spans="6:6">
      <c r="F8631" s="2423"/>
    </row>
    <row r="8632" s="101" customFormat="1" spans="6:6">
      <c r="F8632" s="2423"/>
    </row>
    <row r="8633" s="101" customFormat="1" spans="6:6">
      <c r="F8633" s="2423"/>
    </row>
    <row r="8634" s="101" customFormat="1" spans="6:6">
      <c r="F8634" s="2423"/>
    </row>
    <row r="8635" s="101" customFormat="1" spans="6:6">
      <c r="F8635" s="2423"/>
    </row>
    <row r="8636" s="101" customFormat="1" spans="6:6">
      <c r="F8636" s="2423"/>
    </row>
    <row r="8637" s="101" customFormat="1" spans="6:6">
      <c r="F8637" s="2423"/>
    </row>
    <row r="8638" s="101" customFormat="1" spans="6:6">
      <c r="F8638" s="2423"/>
    </row>
    <row r="8639" s="101" customFormat="1" spans="6:6">
      <c r="F8639" s="2423"/>
    </row>
    <row r="8640" s="101" customFormat="1" spans="6:6">
      <c r="F8640" s="2423"/>
    </row>
    <row r="8641" s="101" customFormat="1" spans="6:6">
      <c r="F8641" s="2423"/>
    </row>
    <row r="8642" s="101" customFormat="1" spans="6:6">
      <c r="F8642" s="2423"/>
    </row>
    <row r="8643" s="101" customFormat="1" spans="6:6">
      <c r="F8643" s="2423"/>
    </row>
    <row r="8644" s="101" customFormat="1" spans="6:6">
      <c r="F8644" s="2423"/>
    </row>
    <row r="8645" s="101" customFormat="1" spans="6:6">
      <c r="F8645" s="2423"/>
    </row>
    <row r="8646" s="101" customFormat="1" spans="6:6">
      <c r="F8646" s="2423"/>
    </row>
    <row r="8647" s="101" customFormat="1" spans="6:6">
      <c r="F8647" s="2423"/>
    </row>
    <row r="8648" s="101" customFormat="1" spans="6:6">
      <c r="F8648" s="2423"/>
    </row>
    <row r="8649" s="101" customFormat="1" spans="6:6">
      <c r="F8649" s="2423"/>
    </row>
    <row r="8650" s="101" customFormat="1" spans="6:6">
      <c r="F8650" s="2423"/>
    </row>
    <row r="8651" s="101" customFormat="1" spans="6:6">
      <c r="F8651" s="2423"/>
    </row>
    <row r="8652" s="101" customFormat="1" spans="6:6">
      <c r="F8652" s="2423"/>
    </row>
    <row r="8653" s="101" customFormat="1" spans="6:6">
      <c r="F8653" s="2423"/>
    </row>
    <row r="8654" s="101" customFormat="1" spans="6:6">
      <c r="F8654" s="2423"/>
    </row>
    <row r="8655" s="101" customFormat="1" spans="6:6">
      <c r="F8655" s="2423"/>
    </row>
    <row r="8656" s="101" customFormat="1" spans="6:6">
      <c r="F8656" s="2423"/>
    </row>
    <row r="8657" s="101" customFormat="1" spans="6:6">
      <c r="F8657" s="2423"/>
    </row>
    <row r="8658" s="101" customFormat="1" spans="6:6">
      <c r="F8658" s="2423"/>
    </row>
    <row r="8659" s="101" customFormat="1" spans="6:6">
      <c r="F8659" s="2423"/>
    </row>
    <row r="8660" s="101" customFormat="1" spans="6:6">
      <c r="F8660" s="2423"/>
    </row>
    <row r="8661" s="101" customFormat="1" spans="6:6">
      <c r="F8661" s="2423"/>
    </row>
    <row r="8662" s="101" customFormat="1" spans="6:6">
      <c r="F8662" s="2423"/>
    </row>
    <row r="8663" s="101" customFormat="1" spans="6:6">
      <c r="F8663" s="2423"/>
    </row>
    <row r="8664" s="101" customFormat="1" spans="6:6">
      <c r="F8664" s="2423"/>
    </row>
    <row r="8665" s="101" customFormat="1" spans="6:6">
      <c r="F8665" s="2423"/>
    </row>
    <row r="8666" s="101" customFormat="1" spans="6:6">
      <c r="F8666" s="2423"/>
    </row>
    <row r="8667" s="101" customFormat="1" spans="6:6">
      <c r="F8667" s="2423"/>
    </row>
    <row r="8668" s="101" customFormat="1" spans="6:6">
      <c r="F8668" s="2423"/>
    </row>
    <row r="8669" s="101" customFormat="1" spans="6:6">
      <c r="F8669" s="2423"/>
    </row>
    <row r="8670" s="101" customFormat="1" spans="6:6">
      <c r="F8670" s="2423"/>
    </row>
    <row r="8671" s="101" customFormat="1" spans="6:6">
      <c r="F8671" s="2423"/>
    </row>
    <row r="8672" s="101" customFormat="1" spans="6:6">
      <c r="F8672" s="2423"/>
    </row>
    <row r="8673" s="101" customFormat="1" spans="6:6">
      <c r="F8673" s="2423"/>
    </row>
    <row r="8674" s="101" customFormat="1" spans="6:6">
      <c r="F8674" s="2423"/>
    </row>
    <row r="8675" s="101" customFormat="1" spans="6:6">
      <c r="F8675" s="2423"/>
    </row>
    <row r="8676" s="101" customFormat="1" spans="6:6">
      <c r="F8676" s="2423"/>
    </row>
    <row r="8677" s="101" customFormat="1" spans="6:6">
      <c r="F8677" s="2423"/>
    </row>
    <row r="8678" s="101" customFormat="1" spans="6:6">
      <c r="F8678" s="2423"/>
    </row>
    <row r="8679" s="101" customFormat="1" spans="6:6">
      <c r="F8679" s="2423"/>
    </row>
    <row r="8680" s="101" customFormat="1" spans="6:6">
      <c r="F8680" s="2423"/>
    </row>
    <row r="8681" s="101" customFormat="1" spans="6:6">
      <c r="F8681" s="2423"/>
    </row>
    <row r="8682" s="101" customFormat="1" spans="6:6">
      <c r="F8682" s="2423"/>
    </row>
    <row r="8683" s="101" customFormat="1" spans="6:6">
      <c r="F8683" s="2423"/>
    </row>
    <row r="8684" s="101" customFormat="1" spans="6:6">
      <c r="F8684" s="2423"/>
    </row>
    <row r="8685" s="101" customFormat="1" spans="6:6">
      <c r="F8685" s="2423"/>
    </row>
    <row r="8686" s="101" customFormat="1" spans="6:6">
      <c r="F8686" s="2423"/>
    </row>
    <row r="8687" s="101" customFormat="1" spans="6:6">
      <c r="F8687" s="2423"/>
    </row>
    <row r="8688" s="101" customFormat="1" spans="6:6">
      <c r="F8688" s="2423"/>
    </row>
    <row r="8689" s="101" customFormat="1" spans="6:6">
      <c r="F8689" s="2423"/>
    </row>
    <row r="8690" s="101" customFormat="1" spans="6:6">
      <c r="F8690" s="2423"/>
    </row>
    <row r="8691" s="101" customFormat="1" spans="6:6">
      <c r="F8691" s="2423"/>
    </row>
    <row r="8692" s="101" customFormat="1" spans="6:6">
      <c r="F8692" s="2423"/>
    </row>
    <row r="8693" s="101" customFormat="1" spans="6:6">
      <c r="F8693" s="2423"/>
    </row>
    <row r="8694" s="101" customFormat="1" spans="6:6">
      <c r="F8694" s="2423"/>
    </row>
    <row r="8695" s="101" customFormat="1" spans="6:6">
      <c r="F8695" s="2423"/>
    </row>
    <row r="8696" s="101" customFormat="1" spans="6:6">
      <c r="F8696" s="2423"/>
    </row>
    <row r="8697" s="101" customFormat="1" spans="6:6">
      <c r="F8697" s="2423"/>
    </row>
    <row r="8698" s="101" customFormat="1" spans="6:6">
      <c r="F8698" s="2423"/>
    </row>
    <row r="8699" s="101" customFormat="1" spans="6:6">
      <c r="F8699" s="2423"/>
    </row>
    <row r="8700" s="101" customFormat="1" spans="6:6">
      <c r="F8700" s="2423"/>
    </row>
    <row r="8701" s="101" customFormat="1" spans="6:6">
      <c r="F8701" s="2423"/>
    </row>
    <row r="8702" s="101" customFormat="1" spans="6:6">
      <c r="F8702" s="2423"/>
    </row>
    <row r="8703" s="101" customFormat="1" spans="6:6">
      <c r="F8703" s="2423"/>
    </row>
    <row r="8704" s="101" customFormat="1" spans="6:6">
      <c r="F8704" s="2423"/>
    </row>
    <row r="8705" s="101" customFormat="1" spans="6:6">
      <c r="F8705" s="2423"/>
    </row>
    <row r="8706" s="101" customFormat="1" spans="6:6">
      <c r="F8706" s="2423"/>
    </row>
    <row r="8707" s="101" customFormat="1" spans="6:6">
      <c r="F8707" s="2423"/>
    </row>
    <row r="8708" s="101" customFormat="1" spans="6:6">
      <c r="F8708" s="2423"/>
    </row>
    <row r="8709" s="101" customFormat="1" spans="6:6">
      <c r="F8709" s="2423"/>
    </row>
    <row r="8710" s="101" customFormat="1" spans="6:6">
      <c r="F8710" s="2423"/>
    </row>
    <row r="8711" s="101" customFormat="1" spans="6:6">
      <c r="F8711" s="2423"/>
    </row>
    <row r="8712" s="101" customFormat="1" spans="6:6">
      <c r="F8712" s="2423"/>
    </row>
    <row r="8713" s="101" customFormat="1" spans="6:6">
      <c r="F8713" s="2423"/>
    </row>
    <row r="8714" s="101" customFormat="1" spans="6:6">
      <c r="F8714" s="2423"/>
    </row>
    <row r="8715" s="101" customFormat="1" spans="6:6">
      <c r="F8715" s="2423"/>
    </row>
    <row r="8716" s="101" customFormat="1" spans="6:6">
      <c r="F8716" s="2423"/>
    </row>
    <row r="8717" s="101" customFormat="1" spans="6:6">
      <c r="F8717" s="2423"/>
    </row>
    <row r="8718" s="101" customFormat="1" spans="6:6">
      <c r="F8718" s="2423"/>
    </row>
    <row r="8719" s="101" customFormat="1" spans="6:6">
      <c r="F8719" s="2423"/>
    </row>
    <row r="8720" s="101" customFormat="1" spans="6:6">
      <c r="F8720" s="2423"/>
    </row>
    <row r="8721" s="101" customFormat="1" spans="6:6">
      <c r="F8721" s="2423"/>
    </row>
    <row r="8722" s="101" customFormat="1" spans="6:6">
      <c r="F8722" s="2423"/>
    </row>
    <row r="8723" s="101" customFormat="1" spans="6:6">
      <c r="F8723" s="2423"/>
    </row>
    <row r="8724" s="101" customFormat="1" spans="6:6">
      <c r="F8724" s="2423"/>
    </row>
    <row r="8725" s="101" customFormat="1" spans="6:6">
      <c r="F8725" s="2423"/>
    </row>
    <row r="8726" s="101" customFormat="1" spans="6:6">
      <c r="F8726" s="2423"/>
    </row>
    <row r="8727" s="101" customFormat="1" spans="6:6">
      <c r="F8727" s="2423"/>
    </row>
    <row r="8728" s="101" customFormat="1" spans="6:6">
      <c r="F8728" s="2423"/>
    </row>
    <row r="8729" s="101" customFormat="1" spans="6:6">
      <c r="F8729" s="2423"/>
    </row>
    <row r="8730" s="101" customFormat="1" spans="6:6">
      <c r="F8730" s="2423"/>
    </row>
    <row r="8731" s="101" customFormat="1" spans="6:6">
      <c r="F8731" s="2423"/>
    </row>
    <row r="8732" s="101" customFormat="1" spans="6:6">
      <c r="F8732" s="2423"/>
    </row>
    <row r="8733" s="101" customFormat="1" spans="6:6">
      <c r="F8733" s="2423"/>
    </row>
    <row r="8734" s="101" customFormat="1" spans="6:6">
      <c r="F8734" s="2423"/>
    </row>
    <row r="8735" s="101" customFormat="1" spans="6:6">
      <c r="F8735" s="2423"/>
    </row>
    <row r="8736" s="101" customFormat="1" spans="6:6">
      <c r="F8736" s="2423"/>
    </row>
    <row r="8737" s="101" customFormat="1" spans="6:6">
      <c r="F8737" s="2423"/>
    </row>
    <row r="8738" s="101" customFormat="1" spans="6:6">
      <c r="F8738" s="2423"/>
    </row>
    <row r="8739" s="101" customFormat="1" spans="6:6">
      <c r="F8739" s="2423"/>
    </row>
    <row r="8740" s="101" customFormat="1" spans="6:6">
      <c r="F8740" s="2423"/>
    </row>
    <row r="8741" s="101" customFormat="1" spans="6:6">
      <c r="F8741" s="2423"/>
    </row>
    <row r="8742" s="101" customFormat="1" spans="6:6">
      <c r="F8742" s="2423"/>
    </row>
    <row r="8743" s="101" customFormat="1" spans="6:6">
      <c r="F8743" s="2423"/>
    </row>
    <row r="8744" s="101" customFormat="1" spans="6:6">
      <c r="F8744" s="2423"/>
    </row>
    <row r="8745" s="101" customFormat="1" spans="6:6">
      <c r="F8745" s="2423"/>
    </row>
    <row r="8746" s="101" customFormat="1" spans="6:6">
      <c r="F8746" s="2423"/>
    </row>
    <row r="8747" s="101" customFormat="1" spans="6:6">
      <c r="F8747" s="2423"/>
    </row>
    <row r="8748" s="101" customFormat="1" spans="6:6">
      <c r="F8748" s="2423"/>
    </row>
    <row r="8749" s="101" customFormat="1" spans="6:6">
      <c r="F8749" s="2423"/>
    </row>
    <row r="8750" s="101" customFormat="1" spans="6:6">
      <c r="F8750" s="2423"/>
    </row>
    <row r="8751" s="101" customFormat="1" spans="6:6">
      <c r="F8751" s="2423"/>
    </row>
    <row r="8752" s="101" customFormat="1" spans="6:6">
      <c r="F8752" s="2423"/>
    </row>
    <row r="8753" s="101" customFormat="1" spans="6:6">
      <c r="F8753" s="2423"/>
    </row>
    <row r="8754" s="101" customFormat="1" spans="6:6">
      <c r="F8754" s="2423"/>
    </row>
    <row r="8755" s="101" customFormat="1" spans="6:6">
      <c r="F8755" s="2423"/>
    </row>
    <row r="8756" s="101" customFormat="1" spans="6:6">
      <c r="F8756" s="2423"/>
    </row>
    <row r="8757" s="101" customFormat="1" spans="6:6">
      <c r="F8757" s="2423"/>
    </row>
    <row r="8758" s="101" customFormat="1" spans="6:6">
      <c r="F8758" s="2423"/>
    </row>
    <row r="8759" s="101" customFormat="1" spans="6:6">
      <c r="F8759" s="2423"/>
    </row>
    <row r="8760" s="101" customFormat="1" spans="6:6">
      <c r="F8760" s="2423"/>
    </row>
    <row r="8761" s="101" customFormat="1" spans="6:6">
      <c r="F8761" s="2423"/>
    </row>
    <row r="8762" s="101" customFormat="1" spans="6:6">
      <c r="F8762" s="2423"/>
    </row>
    <row r="8763" s="101" customFormat="1" spans="6:6">
      <c r="F8763" s="2423"/>
    </row>
    <row r="8764" s="101" customFormat="1" spans="6:6">
      <c r="F8764" s="2423"/>
    </row>
    <row r="8765" s="101" customFormat="1" spans="6:6">
      <c r="F8765" s="2423"/>
    </row>
    <row r="8766" s="101" customFormat="1" spans="6:6">
      <c r="F8766" s="2423"/>
    </row>
    <row r="8767" s="101" customFormat="1" spans="6:6">
      <c r="F8767" s="2423"/>
    </row>
    <row r="8768" s="101" customFormat="1" spans="6:6">
      <c r="F8768" s="2423"/>
    </row>
    <row r="8769" s="101" customFormat="1" spans="6:6">
      <c r="F8769" s="2423"/>
    </row>
    <row r="8770" s="101" customFormat="1" spans="6:6">
      <c r="F8770" s="2423"/>
    </row>
    <row r="8771" s="101" customFormat="1" spans="6:6">
      <c r="F8771" s="2423"/>
    </row>
    <row r="8772" s="101" customFormat="1" spans="6:6">
      <c r="F8772" s="2423"/>
    </row>
    <row r="8773" s="101" customFormat="1" spans="6:6">
      <c r="F8773" s="2423"/>
    </row>
    <row r="8774" s="101" customFormat="1" spans="6:6">
      <c r="F8774" s="2423"/>
    </row>
    <row r="8775" s="101" customFormat="1" spans="6:6">
      <c r="F8775" s="2423"/>
    </row>
    <row r="8776" s="101" customFormat="1" spans="6:6">
      <c r="F8776" s="2423"/>
    </row>
    <row r="8777" s="101" customFormat="1" spans="6:6">
      <c r="F8777" s="2423"/>
    </row>
    <row r="8778" s="101" customFormat="1" spans="6:6">
      <c r="F8778" s="2423"/>
    </row>
    <row r="8779" s="101" customFormat="1" spans="6:6">
      <c r="F8779" s="2423"/>
    </row>
    <row r="8780" s="101" customFormat="1" spans="6:6">
      <c r="F8780" s="2423"/>
    </row>
    <row r="8781" s="101" customFormat="1" spans="6:6">
      <c r="F8781" s="2423"/>
    </row>
    <row r="8782" s="101" customFormat="1" spans="6:6">
      <c r="F8782" s="2423"/>
    </row>
    <row r="8783" s="101" customFormat="1" spans="6:6">
      <c r="F8783" s="2423"/>
    </row>
    <row r="8784" s="101" customFormat="1" spans="6:6">
      <c r="F8784" s="2423"/>
    </row>
    <row r="8785" s="101" customFormat="1" spans="6:6">
      <c r="F8785" s="2423"/>
    </row>
    <row r="8786" s="101" customFormat="1" spans="6:6">
      <c r="F8786" s="2423"/>
    </row>
    <row r="8787" s="101" customFormat="1" spans="6:6">
      <c r="F8787" s="2423"/>
    </row>
    <row r="8788" s="101" customFormat="1" spans="6:6">
      <c r="F8788" s="2423"/>
    </row>
    <row r="8789" s="101" customFormat="1" spans="6:6">
      <c r="F8789" s="2423"/>
    </row>
    <row r="8790" s="101" customFormat="1" spans="6:6">
      <c r="F8790" s="2423"/>
    </row>
    <row r="8791" s="101" customFormat="1" spans="6:6">
      <c r="F8791" s="2423"/>
    </row>
    <row r="8792" s="101" customFormat="1" spans="6:6">
      <c r="F8792" s="2423"/>
    </row>
    <row r="8793" s="101" customFormat="1" spans="6:6">
      <c r="F8793" s="2423"/>
    </row>
    <row r="8794" s="101" customFormat="1" spans="6:6">
      <c r="F8794" s="2423"/>
    </row>
    <row r="8795" s="101" customFormat="1" spans="6:6">
      <c r="F8795" s="2423"/>
    </row>
    <row r="8796" s="101" customFormat="1" spans="6:6">
      <c r="F8796" s="2423"/>
    </row>
    <row r="8797" s="101" customFormat="1" spans="6:6">
      <c r="F8797" s="2423"/>
    </row>
    <row r="8798" s="101" customFormat="1" spans="6:6">
      <c r="F8798" s="2423"/>
    </row>
    <row r="8799" s="101" customFormat="1" spans="6:6">
      <c r="F8799" s="2423"/>
    </row>
    <row r="8800" s="101" customFormat="1" spans="6:6">
      <c r="F8800" s="2423"/>
    </row>
    <row r="8801" s="101" customFormat="1" spans="6:6">
      <c r="F8801" s="2423"/>
    </row>
    <row r="8802" s="101" customFormat="1" spans="6:6">
      <c r="F8802" s="2423"/>
    </row>
    <row r="8803" s="101" customFormat="1" spans="6:6">
      <c r="F8803" s="2423"/>
    </row>
    <row r="8804" s="101" customFormat="1" spans="6:6">
      <c r="F8804" s="2423"/>
    </row>
    <row r="8805" s="101" customFormat="1" spans="6:6">
      <c r="F8805" s="2423"/>
    </row>
    <row r="8806" s="101" customFormat="1" spans="6:6">
      <c r="F8806" s="2423"/>
    </row>
    <row r="8807" s="101" customFormat="1" spans="6:6">
      <c r="F8807" s="2423"/>
    </row>
    <row r="8808" s="101" customFormat="1" spans="6:6">
      <c r="F8808" s="2423"/>
    </row>
    <row r="8809" s="101" customFormat="1" spans="6:6">
      <c r="F8809" s="2423"/>
    </row>
    <row r="8810" s="101" customFormat="1" spans="6:6">
      <c r="F8810" s="2423"/>
    </row>
    <row r="8811" s="101" customFormat="1" spans="6:6">
      <c r="F8811" s="2423"/>
    </row>
    <row r="8812" s="101" customFormat="1" spans="6:6">
      <c r="F8812" s="2423"/>
    </row>
    <row r="8813" s="101" customFormat="1" spans="6:6">
      <c r="F8813" s="2423"/>
    </row>
    <row r="8814" s="101" customFormat="1" spans="6:6">
      <c r="F8814" s="2423"/>
    </row>
    <row r="8815" s="101" customFormat="1" spans="6:6">
      <c r="F8815" s="2423"/>
    </row>
    <row r="8816" s="101" customFormat="1" spans="6:6">
      <c r="F8816" s="2423"/>
    </row>
    <row r="8817" s="101" customFormat="1" spans="6:6">
      <c r="F8817" s="2423"/>
    </row>
    <row r="8818" s="101" customFormat="1" spans="6:6">
      <c r="F8818" s="2423"/>
    </row>
    <row r="8819" s="101" customFormat="1" spans="6:6">
      <c r="F8819" s="2423"/>
    </row>
    <row r="8820" s="101" customFormat="1" spans="6:6">
      <c r="F8820" s="2423"/>
    </row>
    <row r="8821" s="101" customFormat="1" spans="6:6">
      <c r="F8821" s="2423"/>
    </row>
    <row r="8822" s="101" customFormat="1" spans="6:6">
      <c r="F8822" s="2423"/>
    </row>
    <row r="8823" s="101" customFormat="1" spans="6:6">
      <c r="F8823" s="2423"/>
    </row>
    <row r="8824" s="101" customFormat="1" spans="6:6">
      <c r="F8824" s="2423"/>
    </row>
    <row r="8825" s="101" customFormat="1" spans="6:6">
      <c r="F8825" s="2423"/>
    </row>
    <row r="8826" s="101" customFormat="1" spans="6:6">
      <c r="F8826" s="2423"/>
    </row>
    <row r="8827" s="101" customFormat="1" spans="6:6">
      <c r="F8827" s="2423"/>
    </row>
    <row r="8828" s="101" customFormat="1" spans="6:6">
      <c r="F8828" s="2423"/>
    </row>
    <row r="8829" s="101" customFormat="1" spans="6:6">
      <c r="F8829" s="2423"/>
    </row>
    <row r="8830" s="101" customFormat="1" spans="6:6">
      <c r="F8830" s="2423"/>
    </row>
    <row r="8831" s="101" customFormat="1" spans="6:6">
      <c r="F8831" s="2423"/>
    </row>
    <row r="8832" s="101" customFormat="1" spans="6:6">
      <c r="F8832" s="2423"/>
    </row>
    <row r="8833" s="101" customFormat="1" spans="6:6">
      <c r="F8833" s="2423"/>
    </row>
    <row r="8834" s="101" customFormat="1" spans="6:6">
      <c r="F8834" s="2423"/>
    </row>
    <row r="8835" s="101" customFormat="1" spans="6:6">
      <c r="F8835" s="2423"/>
    </row>
    <row r="8836" s="101" customFormat="1" spans="6:6">
      <c r="F8836" s="2423"/>
    </row>
    <row r="8837" s="101" customFormat="1" spans="6:6">
      <c r="F8837" s="2423"/>
    </row>
    <row r="8838" s="101" customFormat="1" spans="6:6">
      <c r="F8838" s="2423"/>
    </row>
    <row r="8839" s="101" customFormat="1" spans="6:6">
      <c r="F8839" s="2423"/>
    </row>
    <row r="8840" s="101" customFormat="1" spans="6:6">
      <c r="F8840" s="2423"/>
    </row>
    <row r="8841" s="101" customFormat="1" spans="6:6">
      <c r="F8841" s="2423"/>
    </row>
    <row r="8842" s="101" customFormat="1" spans="6:6">
      <c r="F8842" s="2423"/>
    </row>
    <row r="8843" s="101" customFormat="1" spans="6:6">
      <c r="F8843" s="2423"/>
    </row>
    <row r="8844" s="101" customFormat="1" spans="6:6">
      <c r="F8844" s="2423"/>
    </row>
    <row r="8845" s="101" customFormat="1" spans="6:6">
      <c r="F8845" s="2423"/>
    </row>
    <row r="8846" s="101" customFormat="1" spans="6:6">
      <c r="F8846" s="2423"/>
    </row>
    <row r="8847" s="101" customFormat="1" spans="6:6">
      <c r="F8847" s="2423"/>
    </row>
    <row r="8848" s="101" customFormat="1" spans="6:6">
      <c r="F8848" s="2423"/>
    </row>
    <row r="8849" s="101" customFormat="1" spans="6:6">
      <c r="F8849" s="2423"/>
    </row>
    <row r="8850" s="101" customFormat="1" spans="6:6">
      <c r="F8850" s="2423"/>
    </row>
    <row r="8851" s="101" customFormat="1" spans="6:6">
      <c r="F8851" s="2423"/>
    </row>
    <row r="8852" s="101" customFormat="1" spans="6:6">
      <c r="F8852" s="2423"/>
    </row>
    <row r="8853" s="101" customFormat="1" spans="6:6">
      <c r="F8853" s="2423"/>
    </row>
    <row r="8854" s="101" customFormat="1" spans="6:6">
      <c r="F8854" s="2423"/>
    </row>
    <row r="8855" s="101" customFormat="1" spans="6:6">
      <c r="F8855" s="2423"/>
    </row>
    <row r="8856" s="101" customFormat="1" spans="6:6">
      <c r="F8856" s="2423"/>
    </row>
    <row r="8857" s="101" customFormat="1" spans="6:6">
      <c r="F8857" s="2423"/>
    </row>
    <row r="8858" s="101" customFormat="1" spans="6:6">
      <c r="F8858" s="2423"/>
    </row>
    <row r="8859" s="101" customFormat="1" spans="6:6">
      <c r="F8859" s="2423"/>
    </row>
    <row r="8860" s="101" customFormat="1" spans="6:6">
      <c r="F8860" s="2423"/>
    </row>
    <row r="8861" s="101" customFormat="1" spans="6:6">
      <c r="F8861" s="2423"/>
    </row>
    <row r="8862" s="101" customFormat="1" spans="6:6">
      <c r="F8862" s="2423"/>
    </row>
    <row r="8863" s="101" customFormat="1" spans="6:6">
      <c r="F8863" s="2423"/>
    </row>
    <row r="8864" s="101" customFormat="1" spans="6:6">
      <c r="F8864" s="2423"/>
    </row>
    <row r="8865" s="101" customFormat="1" spans="6:6">
      <c r="F8865" s="2423"/>
    </row>
    <row r="8866" s="101" customFormat="1" spans="6:6">
      <c r="F8866" s="2423"/>
    </row>
    <row r="8867" s="101" customFormat="1" spans="6:6">
      <c r="F8867" s="2423"/>
    </row>
    <row r="8868" s="101" customFormat="1" spans="6:6">
      <c r="F8868" s="2423"/>
    </row>
    <row r="8869" s="101" customFormat="1" spans="6:6">
      <c r="F8869" s="2423"/>
    </row>
    <row r="8870" s="101" customFormat="1" spans="6:6">
      <c r="F8870" s="2423"/>
    </row>
    <row r="8871" s="101" customFormat="1" spans="6:6">
      <c r="F8871" s="2423"/>
    </row>
    <row r="8872" s="101" customFormat="1" spans="6:6">
      <c r="F8872" s="2423"/>
    </row>
    <row r="8873" s="101" customFormat="1" spans="6:6">
      <c r="F8873" s="2423"/>
    </row>
    <row r="8874" s="101" customFormat="1" spans="6:6">
      <c r="F8874" s="2423"/>
    </row>
    <row r="8875" s="101" customFormat="1" spans="6:6">
      <c r="F8875" s="2423"/>
    </row>
    <row r="8876" s="101" customFormat="1" spans="6:6">
      <c r="F8876" s="2423"/>
    </row>
    <row r="8877" s="101" customFormat="1" spans="6:6">
      <c r="F8877" s="2423"/>
    </row>
    <row r="8878" s="101" customFormat="1" spans="6:6">
      <c r="F8878" s="2423"/>
    </row>
    <row r="8879" s="101" customFormat="1" spans="6:6">
      <c r="F8879" s="2423"/>
    </row>
    <row r="8880" s="101" customFormat="1" spans="6:6">
      <c r="F8880" s="2423"/>
    </row>
    <row r="8881" s="101" customFormat="1" spans="6:6">
      <c r="F8881" s="2423"/>
    </row>
    <row r="8882" s="101" customFormat="1" spans="6:6">
      <c r="F8882" s="2423"/>
    </row>
    <row r="8883" s="101" customFormat="1" spans="6:6">
      <c r="F8883" s="2423"/>
    </row>
    <row r="8884" s="101" customFormat="1" spans="6:6">
      <c r="F8884" s="2423"/>
    </row>
    <row r="8885" s="101" customFormat="1" spans="6:6">
      <c r="F8885" s="2423"/>
    </row>
    <row r="8886" s="101" customFormat="1" spans="6:6">
      <c r="F8886" s="2423"/>
    </row>
    <row r="8887" s="101" customFormat="1" spans="6:6">
      <c r="F8887" s="2423"/>
    </row>
    <row r="8888" s="101" customFormat="1" spans="6:6">
      <c r="F8888" s="2423"/>
    </row>
    <row r="8889" s="101" customFormat="1" spans="6:6">
      <c r="F8889" s="2423"/>
    </row>
    <row r="8890" s="101" customFormat="1" spans="6:6">
      <c r="F8890" s="2423"/>
    </row>
    <row r="8891" s="101" customFormat="1" spans="6:6">
      <c r="F8891" s="2423"/>
    </row>
    <row r="8892" s="101" customFormat="1" spans="6:6">
      <c r="F8892" s="2423"/>
    </row>
    <row r="8893" s="101" customFormat="1" spans="6:6">
      <c r="F8893" s="2423"/>
    </row>
    <row r="8894" s="101" customFormat="1" spans="6:6">
      <c r="F8894" s="2423"/>
    </row>
    <row r="8895" s="101" customFormat="1" spans="6:6">
      <c r="F8895" s="2423"/>
    </row>
    <row r="8896" s="101" customFormat="1" spans="6:6">
      <c r="F8896" s="2423"/>
    </row>
    <row r="8897" s="101" customFormat="1" spans="6:6">
      <c r="F8897" s="2423"/>
    </row>
    <row r="8898" s="101" customFormat="1" spans="6:6">
      <c r="F8898" s="2423"/>
    </row>
    <row r="8899" s="101" customFormat="1" spans="6:6">
      <c r="F8899" s="2423"/>
    </row>
    <row r="8900" s="101" customFormat="1" spans="6:6">
      <c r="F8900" s="2423"/>
    </row>
    <row r="8901" s="101" customFormat="1" spans="6:6">
      <c r="F8901" s="2423"/>
    </row>
    <row r="8902" s="101" customFormat="1" spans="6:6">
      <c r="F8902" s="2423"/>
    </row>
    <row r="8903" s="101" customFormat="1" spans="6:6">
      <c r="F8903" s="2423"/>
    </row>
    <row r="8904" s="101" customFormat="1" spans="6:6">
      <c r="F8904" s="2423"/>
    </row>
    <row r="8905" s="101" customFormat="1" spans="6:6">
      <c r="F8905" s="2423"/>
    </row>
    <row r="8906" s="101" customFormat="1" spans="6:6">
      <c r="F8906" s="2423"/>
    </row>
    <row r="8907" s="101" customFormat="1" spans="6:6">
      <c r="F8907" s="2423"/>
    </row>
    <row r="8908" s="101" customFormat="1" spans="6:6">
      <c r="F8908" s="2423"/>
    </row>
    <row r="8909" s="101" customFormat="1" spans="6:6">
      <c r="F8909" s="2423"/>
    </row>
    <row r="8910" s="101" customFormat="1" spans="6:6">
      <c r="F8910" s="2423"/>
    </row>
    <row r="8911" s="101" customFormat="1" spans="6:6">
      <c r="F8911" s="2423"/>
    </row>
    <row r="8912" s="101" customFormat="1" spans="6:6">
      <c r="F8912" s="2423"/>
    </row>
    <row r="8913" s="101" customFormat="1" spans="6:6">
      <c r="F8913" s="2423"/>
    </row>
    <row r="8914" s="101" customFormat="1" spans="6:6">
      <c r="F8914" s="2423"/>
    </row>
    <row r="8915" s="101" customFormat="1" spans="6:6">
      <c r="F8915" s="2423"/>
    </row>
    <row r="8916" s="101" customFormat="1" spans="6:6">
      <c r="F8916" s="2423"/>
    </row>
    <row r="8917" s="101" customFormat="1" spans="6:6">
      <c r="F8917" s="2423"/>
    </row>
    <row r="8918" s="101" customFormat="1" spans="6:6">
      <c r="F8918" s="2423"/>
    </row>
    <row r="8919" s="101" customFormat="1" spans="6:6">
      <c r="F8919" s="2423"/>
    </row>
    <row r="8920" s="101" customFormat="1" spans="6:6">
      <c r="F8920" s="2423"/>
    </row>
    <row r="8921" s="101" customFormat="1" spans="6:6">
      <c r="F8921" s="2423"/>
    </row>
    <row r="8922" s="101" customFormat="1" spans="6:6">
      <c r="F8922" s="2423"/>
    </row>
    <row r="8923" s="101" customFormat="1" spans="6:6">
      <c r="F8923" s="2423"/>
    </row>
    <row r="8924" s="101" customFormat="1" spans="6:6">
      <c r="F8924" s="2423"/>
    </row>
    <row r="8925" s="101" customFormat="1" spans="6:6">
      <c r="F8925" s="2423"/>
    </row>
    <row r="8926" s="101" customFormat="1" spans="6:6">
      <c r="F8926" s="2423"/>
    </row>
    <row r="8927" s="101" customFormat="1" spans="6:6">
      <c r="F8927" s="2423"/>
    </row>
    <row r="8928" s="101" customFormat="1" spans="6:6">
      <c r="F8928" s="2423"/>
    </row>
    <row r="8929" s="101" customFormat="1" spans="6:6">
      <c r="F8929" s="2423"/>
    </row>
    <row r="8930" s="101" customFormat="1" spans="6:6">
      <c r="F8930" s="2423"/>
    </row>
    <row r="8931" s="101" customFormat="1" spans="6:6">
      <c r="F8931" s="2423"/>
    </row>
    <row r="8932" s="101" customFormat="1" spans="6:6">
      <c r="F8932" s="2423"/>
    </row>
    <row r="8933" s="101" customFormat="1" spans="6:6">
      <c r="F8933" s="2423"/>
    </row>
    <row r="8934" s="101" customFormat="1" spans="6:6">
      <c r="F8934" s="2423"/>
    </row>
    <row r="8935" s="101" customFormat="1" spans="6:6">
      <c r="F8935" s="2423"/>
    </row>
    <row r="8936" s="101" customFormat="1" spans="6:6">
      <c r="F8936" s="2423"/>
    </row>
    <row r="8937" s="101" customFormat="1" spans="6:6">
      <c r="F8937" s="2423"/>
    </row>
    <row r="8938" s="101" customFormat="1" spans="6:6">
      <c r="F8938" s="2423"/>
    </row>
    <row r="8939" s="101" customFormat="1" spans="6:6">
      <c r="F8939" s="2423"/>
    </row>
    <row r="8940" s="101" customFormat="1" spans="6:6">
      <c r="F8940" s="2423"/>
    </row>
    <row r="8941" s="101" customFormat="1" spans="6:6">
      <c r="F8941" s="2423"/>
    </row>
    <row r="8942" s="101" customFormat="1" spans="6:6">
      <c r="F8942" s="2423"/>
    </row>
    <row r="8943" s="101" customFormat="1" spans="6:6">
      <c r="F8943" s="2423"/>
    </row>
    <row r="8944" s="101" customFormat="1" spans="6:6">
      <c r="F8944" s="2423"/>
    </row>
    <row r="8945" s="101" customFormat="1" spans="6:6">
      <c r="F8945" s="2423"/>
    </row>
    <row r="8946" s="101" customFormat="1" spans="6:6">
      <c r="F8946" s="2423"/>
    </row>
    <row r="8947" s="101" customFormat="1" spans="6:6">
      <c r="F8947" s="2423"/>
    </row>
    <row r="8948" s="101" customFormat="1" spans="6:6">
      <c r="F8948" s="2423"/>
    </row>
    <row r="8949" s="101" customFormat="1" spans="6:6">
      <c r="F8949" s="2423"/>
    </row>
    <row r="8950" s="101" customFormat="1" spans="6:6">
      <c r="F8950" s="2423"/>
    </row>
    <row r="8951" s="101" customFormat="1" spans="6:6">
      <c r="F8951" s="2423"/>
    </row>
    <row r="8952" s="101" customFormat="1" spans="6:6">
      <c r="F8952" s="2423"/>
    </row>
    <row r="8953" s="101" customFormat="1" spans="6:6">
      <c r="F8953" s="2423"/>
    </row>
    <row r="8954" s="101" customFormat="1" spans="6:6">
      <c r="F8954" s="2423"/>
    </row>
    <row r="8955" s="101" customFormat="1" spans="6:6">
      <c r="F8955" s="2423"/>
    </row>
    <row r="8956" s="101" customFormat="1" spans="6:6">
      <c r="F8956" s="2423"/>
    </row>
    <row r="8957" s="101" customFormat="1" spans="6:6">
      <c r="F8957" s="2423"/>
    </row>
    <row r="8958" s="101" customFormat="1" spans="6:6">
      <c r="F8958" s="2423"/>
    </row>
    <row r="8959" s="101" customFormat="1" spans="6:6">
      <c r="F8959" s="2423"/>
    </row>
    <row r="8960" s="101" customFormat="1" spans="6:6">
      <c r="F8960" s="2423"/>
    </row>
    <row r="8961" s="101" customFormat="1" spans="6:6">
      <c r="F8961" s="2423"/>
    </row>
    <row r="8962" s="101" customFormat="1" spans="6:6">
      <c r="F8962" s="2423"/>
    </row>
    <row r="8963" s="101" customFormat="1" spans="6:6">
      <c r="F8963" s="2423"/>
    </row>
    <row r="8964" s="101" customFormat="1" spans="6:6">
      <c r="F8964" s="2423"/>
    </row>
    <row r="8965" s="101" customFormat="1" spans="6:6">
      <c r="F8965" s="2423"/>
    </row>
    <row r="8966" s="101" customFormat="1" spans="6:6">
      <c r="F8966" s="2423"/>
    </row>
    <row r="8967" s="101" customFormat="1" spans="6:6">
      <c r="F8967" s="2423"/>
    </row>
    <row r="8968" s="101" customFormat="1" spans="6:6">
      <c r="F8968" s="2423"/>
    </row>
    <row r="8969" s="101" customFormat="1" spans="6:6">
      <c r="F8969" s="2423"/>
    </row>
    <row r="8970" s="101" customFormat="1" spans="6:6">
      <c r="F8970" s="2423"/>
    </row>
    <row r="8971" s="101" customFormat="1" spans="6:6">
      <c r="F8971" s="2423"/>
    </row>
    <row r="8972" s="101" customFormat="1" spans="6:6">
      <c r="F8972" s="2423"/>
    </row>
    <row r="8973" s="101" customFormat="1" spans="6:6">
      <c r="F8973" s="2423"/>
    </row>
    <row r="8974" s="101" customFormat="1" spans="6:6">
      <c r="F8974" s="2423"/>
    </row>
    <row r="8975" s="101" customFormat="1" spans="6:6">
      <c r="F8975" s="2423"/>
    </row>
    <row r="8976" s="101" customFormat="1" spans="6:6">
      <c r="F8976" s="2423"/>
    </row>
    <row r="8977" s="101" customFormat="1" spans="6:6">
      <c r="F8977" s="2423"/>
    </row>
    <row r="8978" s="101" customFormat="1" spans="6:6">
      <c r="F8978" s="2423"/>
    </row>
    <row r="8979" s="101" customFormat="1" spans="6:6">
      <c r="F8979" s="2423"/>
    </row>
    <row r="8980" s="101" customFormat="1" spans="6:6">
      <c r="F8980" s="2423"/>
    </row>
    <row r="8981" s="101" customFormat="1" spans="6:6">
      <c r="F8981" s="2423"/>
    </row>
    <row r="8982" s="101" customFormat="1" spans="6:6">
      <c r="F8982" s="2423"/>
    </row>
    <row r="8983" s="101" customFormat="1" spans="6:6">
      <c r="F8983" s="2423"/>
    </row>
    <row r="8984" s="101" customFormat="1" spans="6:6">
      <c r="F8984" s="2423"/>
    </row>
    <row r="8985" s="101" customFormat="1" spans="6:6">
      <c r="F8985" s="2423"/>
    </row>
    <row r="8986" s="101" customFormat="1" spans="6:6">
      <c r="F8986" s="2423"/>
    </row>
    <row r="8987" s="101" customFormat="1" spans="6:6">
      <c r="F8987" s="2423"/>
    </row>
    <row r="8988" s="101" customFormat="1" spans="6:6">
      <c r="F8988" s="2423"/>
    </row>
    <row r="8989" s="101" customFormat="1" spans="6:6">
      <c r="F8989" s="2423"/>
    </row>
    <row r="8990" s="101" customFormat="1" spans="6:6">
      <c r="F8990" s="2423"/>
    </row>
    <row r="8991" s="101" customFormat="1" spans="6:6">
      <c r="F8991" s="2423"/>
    </row>
    <row r="8992" s="101" customFormat="1" spans="6:6">
      <c r="F8992" s="2423"/>
    </row>
    <row r="8993" s="101" customFormat="1" spans="6:6">
      <c r="F8993" s="2423"/>
    </row>
    <row r="8994" s="101" customFormat="1" spans="6:6">
      <c r="F8994" s="2423"/>
    </row>
    <row r="8995" s="101" customFormat="1" spans="6:6">
      <c r="F8995" s="2423"/>
    </row>
    <row r="8996" s="101" customFormat="1" spans="6:6">
      <c r="F8996" s="2423"/>
    </row>
    <row r="8997" s="101" customFormat="1" spans="6:6">
      <c r="F8997" s="2423"/>
    </row>
    <row r="8998" s="101" customFormat="1" spans="6:6">
      <c r="F8998" s="2423"/>
    </row>
    <row r="8999" s="101" customFormat="1" spans="6:6">
      <c r="F8999" s="2423"/>
    </row>
    <row r="9000" s="101" customFormat="1" spans="6:6">
      <c r="F9000" s="2423"/>
    </row>
    <row r="9001" s="101" customFormat="1" spans="6:6">
      <c r="F9001" s="2423"/>
    </row>
    <row r="9002" s="101" customFormat="1" spans="6:6">
      <c r="F9002" s="2423"/>
    </row>
    <row r="9003" s="101" customFormat="1" spans="6:6">
      <c r="F9003" s="2423"/>
    </row>
    <row r="9004" s="101" customFormat="1" spans="6:6">
      <c r="F9004" s="2423"/>
    </row>
    <row r="9005" s="101" customFormat="1" spans="6:6">
      <c r="F9005" s="2423"/>
    </row>
    <row r="9006" s="101" customFormat="1" spans="6:6">
      <c r="F9006" s="2423"/>
    </row>
    <row r="9007" s="101" customFormat="1" spans="6:6">
      <c r="F9007" s="2423"/>
    </row>
    <row r="9008" s="101" customFormat="1" spans="6:6">
      <c r="F9008" s="2423"/>
    </row>
    <row r="9009" s="101" customFormat="1" spans="6:6">
      <c r="F9009" s="2423"/>
    </row>
    <row r="9010" s="101" customFormat="1" spans="6:6">
      <c r="F9010" s="2423"/>
    </row>
    <row r="9011" s="101" customFormat="1" spans="6:6">
      <c r="F9011" s="2423"/>
    </row>
    <row r="9012" s="101" customFormat="1" spans="6:6">
      <c r="F9012" s="2423"/>
    </row>
    <row r="9013" s="101" customFormat="1" spans="6:6">
      <c r="F9013" s="2423"/>
    </row>
    <row r="9014" s="101" customFormat="1" spans="6:6">
      <c r="F9014" s="2423"/>
    </row>
    <row r="9015" s="101" customFormat="1" spans="6:6">
      <c r="F9015" s="2423"/>
    </row>
    <row r="9016" s="101" customFormat="1" spans="6:6">
      <c r="F9016" s="2423"/>
    </row>
    <row r="9017" s="101" customFormat="1" spans="6:6">
      <c r="F9017" s="2423"/>
    </row>
    <row r="9018" s="101" customFormat="1" spans="6:6">
      <c r="F9018" s="2423"/>
    </row>
    <row r="9019" s="101" customFormat="1" spans="6:6">
      <c r="F9019" s="2423"/>
    </row>
    <row r="9020" s="101" customFormat="1" spans="6:6">
      <c r="F9020" s="2423"/>
    </row>
    <row r="9021" s="101" customFormat="1" spans="6:6">
      <c r="F9021" s="2423"/>
    </row>
    <row r="9022" s="101" customFormat="1" spans="6:6">
      <c r="F9022" s="2423"/>
    </row>
    <row r="9023" s="101" customFormat="1" spans="6:6">
      <c r="F9023" s="2423"/>
    </row>
    <row r="9024" s="101" customFormat="1" spans="6:6">
      <c r="F9024" s="2423"/>
    </row>
    <row r="9025" s="101" customFormat="1" spans="6:6">
      <c r="F9025" s="2423"/>
    </row>
    <row r="9026" s="101" customFormat="1" spans="6:6">
      <c r="F9026" s="2423"/>
    </row>
    <row r="9027" s="101" customFormat="1" spans="6:6">
      <c r="F9027" s="2423"/>
    </row>
    <row r="9028" s="101" customFormat="1" spans="6:6">
      <c r="F9028" s="2423"/>
    </row>
    <row r="9029" s="101" customFormat="1" spans="6:6">
      <c r="F9029" s="2423"/>
    </row>
    <row r="9030" s="101" customFormat="1" spans="6:6">
      <c r="F9030" s="2423"/>
    </row>
    <row r="9031" s="101" customFormat="1" spans="6:6">
      <c r="F9031" s="2423"/>
    </row>
    <row r="9032" s="101" customFormat="1" spans="6:6">
      <c r="F9032" s="2423"/>
    </row>
    <row r="9033" s="101" customFormat="1" spans="6:6">
      <c r="F9033" s="2423"/>
    </row>
    <row r="9034" s="101" customFormat="1" spans="6:6">
      <c r="F9034" s="2423"/>
    </row>
    <row r="9035" s="101" customFormat="1" spans="6:6">
      <c r="F9035" s="2423"/>
    </row>
    <row r="9036" s="101" customFormat="1" spans="6:6">
      <c r="F9036" s="2423"/>
    </row>
    <row r="9037" s="101" customFormat="1" spans="6:6">
      <c r="F9037" s="2423"/>
    </row>
    <row r="9038" s="101" customFormat="1" spans="6:6">
      <c r="F9038" s="2423"/>
    </row>
    <row r="9039" s="101" customFormat="1" spans="6:6">
      <c r="F9039" s="2423"/>
    </row>
    <row r="9040" s="101" customFormat="1" spans="6:6">
      <c r="F9040" s="2423"/>
    </row>
    <row r="9041" s="101" customFormat="1" spans="6:6">
      <c r="F9041" s="2423"/>
    </row>
    <row r="9042" s="101" customFormat="1" spans="6:6">
      <c r="F9042" s="2423"/>
    </row>
    <row r="9043" s="101" customFormat="1" spans="6:6">
      <c r="F9043" s="2423"/>
    </row>
    <row r="9044" s="101" customFormat="1" spans="6:6">
      <c r="F9044" s="2423"/>
    </row>
    <row r="9045" s="101" customFormat="1" spans="6:6">
      <c r="F9045" s="2423"/>
    </row>
    <row r="9046" s="101" customFormat="1" spans="6:6">
      <c r="F9046" s="2423"/>
    </row>
    <row r="9047" s="101" customFormat="1" spans="6:6">
      <c r="F9047" s="2423"/>
    </row>
    <row r="9048" s="101" customFormat="1" spans="6:6">
      <c r="F9048" s="2423"/>
    </row>
    <row r="9049" s="101" customFormat="1" spans="6:6">
      <c r="F9049" s="2423"/>
    </row>
    <row r="9050" s="101" customFormat="1" spans="6:6">
      <c r="F9050" s="2423"/>
    </row>
    <row r="9051" s="101" customFormat="1" spans="6:6">
      <c r="F9051" s="2423"/>
    </row>
    <row r="9052" s="101" customFormat="1" spans="6:6">
      <c r="F9052" s="2423"/>
    </row>
    <row r="9053" s="101" customFormat="1" spans="6:6">
      <c r="F9053" s="2423"/>
    </row>
    <row r="9054" s="101" customFormat="1" spans="6:6">
      <c r="F9054" s="2423"/>
    </row>
    <row r="9055" s="101" customFormat="1" spans="6:6">
      <c r="F9055" s="2423"/>
    </row>
    <row r="9056" s="101" customFormat="1" spans="6:6">
      <c r="F9056" s="2423"/>
    </row>
    <row r="9057" s="101" customFormat="1" spans="6:6">
      <c r="F9057" s="2423"/>
    </row>
    <row r="9058" s="101" customFormat="1" spans="6:6">
      <c r="F9058" s="2423"/>
    </row>
    <row r="9059" s="101" customFormat="1" spans="6:6">
      <c r="F9059" s="2423"/>
    </row>
    <row r="9060" s="101" customFormat="1" spans="6:6">
      <c r="F9060" s="2423"/>
    </row>
    <row r="9061" s="101" customFormat="1" spans="6:6">
      <c r="F9061" s="2423"/>
    </row>
    <row r="9062" s="101" customFormat="1" spans="6:6">
      <c r="F9062" s="2423"/>
    </row>
    <row r="9063" s="101" customFormat="1" spans="6:6">
      <c r="F9063" s="2423"/>
    </row>
    <row r="9064" s="101" customFormat="1" spans="6:6">
      <c r="F9064" s="2423"/>
    </row>
    <row r="9065" s="101" customFormat="1" spans="6:6">
      <c r="F9065" s="2423"/>
    </row>
    <row r="9066" s="101" customFormat="1" spans="6:6">
      <c r="F9066" s="2423"/>
    </row>
    <row r="9067" s="101" customFormat="1" spans="6:6">
      <c r="F9067" s="2423"/>
    </row>
    <row r="9068" s="101" customFormat="1" spans="6:6">
      <c r="F9068" s="2423"/>
    </row>
    <row r="9069" s="101" customFormat="1" spans="6:6">
      <c r="F9069" s="2423"/>
    </row>
    <row r="9070" s="101" customFormat="1" spans="6:6">
      <c r="F9070" s="2423"/>
    </row>
    <row r="9071" s="101" customFormat="1" spans="6:6">
      <c r="F9071" s="2423"/>
    </row>
    <row r="9072" s="101" customFormat="1" spans="6:6">
      <c r="F9072" s="2423"/>
    </row>
    <row r="9073" s="101" customFormat="1" spans="6:6">
      <c r="F9073" s="2423"/>
    </row>
    <row r="9074" s="101" customFormat="1" spans="6:6">
      <c r="F9074" s="2423"/>
    </row>
    <row r="9075" s="101" customFormat="1" spans="6:6">
      <c r="F9075" s="2423"/>
    </row>
    <row r="9076" s="101" customFormat="1" spans="6:6">
      <c r="F9076" s="2423"/>
    </row>
    <row r="9077" s="101" customFormat="1" spans="6:6">
      <c r="F9077" s="2423"/>
    </row>
    <row r="9078" s="101" customFormat="1" spans="6:6">
      <c r="F9078" s="2423"/>
    </row>
    <row r="9079" s="101" customFormat="1" spans="6:6">
      <c r="F9079" s="2423"/>
    </row>
    <row r="9080" s="101" customFormat="1" spans="6:6">
      <c r="F9080" s="2423"/>
    </row>
    <row r="9081" s="101" customFormat="1" spans="6:6">
      <c r="F9081" s="2423"/>
    </row>
    <row r="9082" s="101" customFormat="1" spans="6:6">
      <c r="F9082" s="2423"/>
    </row>
    <row r="9083" s="101" customFormat="1" spans="6:6">
      <c r="F9083" s="2423"/>
    </row>
    <row r="9084" s="101" customFormat="1" spans="6:6">
      <c r="F9084" s="2423"/>
    </row>
    <row r="9085" s="101" customFormat="1" spans="6:6">
      <c r="F9085" s="2423"/>
    </row>
    <row r="9086" s="101" customFormat="1" spans="6:6">
      <c r="F9086" s="2423"/>
    </row>
    <row r="9087" s="101" customFormat="1" spans="6:6">
      <c r="F9087" s="2423"/>
    </row>
    <row r="9088" s="101" customFormat="1" spans="6:6">
      <c r="F9088" s="2423"/>
    </row>
    <row r="9089" s="101" customFormat="1" spans="6:6">
      <c r="F9089" s="2423"/>
    </row>
    <row r="9090" s="101" customFormat="1" spans="6:6">
      <c r="F9090" s="2423"/>
    </row>
    <row r="9091" s="101" customFormat="1" spans="6:6">
      <c r="F9091" s="2423"/>
    </row>
    <row r="9092" s="101" customFormat="1" spans="6:6">
      <c r="F9092" s="2423"/>
    </row>
    <row r="9093" s="101" customFormat="1" spans="6:6">
      <c r="F9093" s="2423"/>
    </row>
    <row r="9094" s="101" customFormat="1" spans="6:6">
      <c r="F9094" s="2423"/>
    </row>
    <row r="9095" s="101" customFormat="1" spans="6:6">
      <c r="F9095" s="2423"/>
    </row>
    <row r="9096" s="101" customFormat="1" spans="6:6">
      <c r="F9096" s="2423"/>
    </row>
    <row r="9097" s="101" customFormat="1" spans="6:6">
      <c r="F9097" s="2423"/>
    </row>
    <row r="9098" s="101" customFormat="1" spans="6:6">
      <c r="F9098" s="2423"/>
    </row>
    <row r="9099" s="101" customFormat="1" spans="6:6">
      <c r="F9099" s="2423"/>
    </row>
    <row r="9100" s="101" customFormat="1" spans="6:6">
      <c r="F9100" s="2423"/>
    </row>
    <row r="9101" s="101" customFormat="1" spans="6:6">
      <c r="F9101" s="2423"/>
    </row>
    <row r="9102" s="101" customFormat="1" spans="6:6">
      <c r="F9102" s="2423"/>
    </row>
    <row r="9103" s="101" customFormat="1" spans="6:6">
      <c r="F9103" s="2423"/>
    </row>
    <row r="9104" s="101" customFormat="1" spans="6:6">
      <c r="F9104" s="2423"/>
    </row>
    <row r="9105" s="101" customFormat="1" spans="6:6">
      <c r="F9105" s="2423"/>
    </row>
    <row r="9106" s="101" customFormat="1" spans="6:6">
      <c r="F9106" s="2423"/>
    </row>
    <row r="9107" s="101" customFormat="1" spans="6:6">
      <c r="F9107" s="2423"/>
    </row>
    <row r="9108" s="101" customFormat="1" spans="6:6">
      <c r="F9108" s="2423"/>
    </row>
    <row r="9109" s="101" customFormat="1" spans="6:6">
      <c r="F9109" s="2423"/>
    </row>
    <row r="9110" s="101" customFormat="1" spans="6:6">
      <c r="F9110" s="2423"/>
    </row>
    <row r="9111" s="101" customFormat="1" spans="6:6">
      <c r="F9111" s="2423"/>
    </row>
    <row r="9112" s="101" customFormat="1" spans="6:6">
      <c r="F9112" s="2423"/>
    </row>
    <row r="9113" s="101" customFormat="1" spans="6:6">
      <c r="F9113" s="2423"/>
    </row>
    <row r="9114" s="101" customFormat="1" spans="6:6">
      <c r="F9114" s="2423"/>
    </row>
    <row r="9115" s="101" customFormat="1" spans="6:6">
      <c r="F9115" s="2423"/>
    </row>
    <row r="9116" s="101" customFormat="1" spans="6:6">
      <c r="F9116" s="2423"/>
    </row>
    <row r="9117" s="101" customFormat="1" spans="6:6">
      <c r="F9117" s="2423"/>
    </row>
    <row r="9118" s="101" customFormat="1" spans="6:6">
      <c r="F9118" s="2423"/>
    </row>
    <row r="9119" s="101" customFormat="1" spans="6:6">
      <c r="F9119" s="2423"/>
    </row>
    <row r="9120" s="101" customFormat="1" spans="6:6">
      <c r="F9120" s="2423"/>
    </row>
    <row r="9121" s="101" customFormat="1" spans="6:6">
      <c r="F9121" s="2423"/>
    </row>
    <row r="9122" s="101" customFormat="1" spans="6:6">
      <c r="F9122" s="2423"/>
    </row>
    <row r="9123" s="101" customFormat="1" spans="6:6">
      <c r="F9123" s="2423"/>
    </row>
    <row r="9124" s="101" customFormat="1" spans="6:6">
      <c r="F9124" s="2423"/>
    </row>
    <row r="9125" s="101" customFormat="1" spans="6:6">
      <c r="F9125" s="2423"/>
    </row>
    <row r="9126" s="101" customFormat="1" spans="6:6">
      <c r="F9126" s="2423"/>
    </row>
    <row r="9127" s="101" customFormat="1" spans="6:6">
      <c r="F9127" s="2423"/>
    </row>
    <row r="9128" s="101" customFormat="1" spans="6:6">
      <c r="F9128" s="2423"/>
    </row>
    <row r="9129" s="101" customFormat="1" spans="6:6">
      <c r="F9129" s="2423"/>
    </row>
    <row r="9130" s="101" customFormat="1" spans="6:6">
      <c r="F9130" s="2423"/>
    </row>
    <row r="9131" s="101" customFormat="1" spans="6:6">
      <c r="F9131" s="2423"/>
    </row>
    <row r="9132" s="101" customFormat="1" spans="6:6">
      <c r="F9132" s="2423"/>
    </row>
    <row r="9133" s="101" customFormat="1" spans="6:6">
      <c r="F9133" s="2423"/>
    </row>
    <row r="9134" s="101" customFormat="1" spans="6:6">
      <c r="F9134" s="2423"/>
    </row>
    <row r="9135" s="101" customFormat="1" spans="6:6">
      <c r="F9135" s="2423"/>
    </row>
    <row r="9136" s="101" customFormat="1" spans="6:6">
      <c r="F9136" s="2423"/>
    </row>
    <row r="9137" s="101" customFormat="1" spans="6:6">
      <c r="F9137" s="2423"/>
    </row>
    <row r="9138" s="101" customFormat="1" spans="6:6">
      <c r="F9138" s="2423"/>
    </row>
    <row r="9139" s="101" customFormat="1" spans="6:6">
      <c r="F9139" s="2423"/>
    </row>
    <row r="9140" s="101" customFormat="1" spans="6:6">
      <c r="F9140" s="2423"/>
    </row>
    <row r="9141" s="101" customFormat="1" spans="6:6">
      <c r="F9141" s="2423"/>
    </row>
    <row r="9142" s="101" customFormat="1" spans="6:6">
      <c r="F9142" s="2423"/>
    </row>
    <row r="9143" s="101" customFormat="1" spans="6:6">
      <c r="F9143" s="2423"/>
    </row>
    <row r="9144" s="101" customFormat="1" spans="6:6">
      <c r="F9144" s="2423"/>
    </row>
    <row r="9145" s="101" customFormat="1" spans="6:6">
      <c r="F9145" s="2423"/>
    </row>
    <row r="9146" s="101" customFormat="1" spans="6:6">
      <c r="F9146" s="2423"/>
    </row>
    <row r="9147" s="101" customFormat="1" spans="6:6">
      <c r="F9147" s="2423"/>
    </row>
    <row r="9148" s="101" customFormat="1" spans="6:6">
      <c r="F9148" s="2423"/>
    </row>
    <row r="9149" s="101" customFormat="1" spans="6:6">
      <c r="F9149" s="2423"/>
    </row>
    <row r="9150" s="101" customFormat="1" spans="6:6">
      <c r="F9150" s="2423"/>
    </row>
    <row r="9151" s="101" customFormat="1" spans="6:6">
      <c r="F9151" s="2423"/>
    </row>
    <row r="9152" s="101" customFormat="1" spans="6:6">
      <c r="F9152" s="2423"/>
    </row>
    <row r="9153" s="101" customFormat="1" spans="6:6">
      <c r="F9153" s="2423"/>
    </row>
    <row r="9154" s="101" customFormat="1" spans="6:6">
      <c r="F9154" s="2423"/>
    </row>
    <row r="9155" s="101" customFormat="1" spans="6:6">
      <c r="F9155" s="2423"/>
    </row>
    <row r="9156" s="101" customFormat="1" spans="6:6">
      <c r="F9156" s="2423"/>
    </row>
    <row r="9157" s="101" customFormat="1" spans="6:6">
      <c r="F9157" s="2423"/>
    </row>
    <row r="9158" s="101" customFormat="1" spans="6:6">
      <c r="F9158" s="2423"/>
    </row>
    <row r="9159" s="101" customFormat="1" spans="6:6">
      <c r="F9159" s="2423"/>
    </row>
    <row r="9160" s="101" customFormat="1" spans="6:6">
      <c r="F9160" s="2423"/>
    </row>
    <row r="9161" s="101" customFormat="1" spans="6:6">
      <c r="F9161" s="2423"/>
    </row>
    <row r="9162" s="101" customFormat="1" spans="6:6">
      <c r="F9162" s="2423"/>
    </row>
    <row r="9163" s="101" customFormat="1" spans="6:6">
      <c r="F9163" s="2423"/>
    </row>
    <row r="9164" s="101" customFormat="1" spans="6:6">
      <c r="F9164" s="2423"/>
    </row>
    <row r="9165" s="101" customFormat="1" spans="6:6">
      <c r="F9165" s="2423"/>
    </row>
    <row r="9166" s="101" customFormat="1" spans="6:6">
      <c r="F9166" s="2423"/>
    </row>
    <row r="9167" s="101" customFormat="1" spans="6:6">
      <c r="F9167" s="2423"/>
    </row>
    <row r="9168" s="101" customFormat="1" spans="6:6">
      <c r="F9168" s="2423"/>
    </row>
    <row r="9169" s="101" customFormat="1" spans="6:6">
      <c r="F9169" s="2423"/>
    </row>
    <row r="9170" s="101" customFormat="1" spans="6:6">
      <c r="F9170" s="2423"/>
    </row>
    <row r="9171" s="101" customFormat="1" spans="6:6">
      <c r="F9171" s="2423"/>
    </row>
    <row r="9172" s="101" customFormat="1" spans="6:6">
      <c r="F9172" s="2423"/>
    </row>
    <row r="9173" s="101" customFormat="1" spans="6:6">
      <c r="F9173" s="2423"/>
    </row>
    <row r="9174" s="101" customFormat="1" spans="6:6">
      <c r="F9174" s="2423"/>
    </row>
    <row r="9175" s="101" customFormat="1" spans="6:6">
      <c r="F9175" s="2423"/>
    </row>
    <row r="9176" s="101" customFormat="1" spans="6:6">
      <c r="F9176" s="2423"/>
    </row>
    <row r="9177" s="101" customFormat="1" spans="6:6">
      <c r="F9177" s="2423"/>
    </row>
    <row r="9178" s="101" customFormat="1" spans="6:6">
      <c r="F9178" s="2423"/>
    </row>
    <row r="9179" s="101" customFormat="1" spans="6:6">
      <c r="F9179" s="2423"/>
    </row>
    <row r="9180" s="101" customFormat="1" spans="6:6">
      <c r="F9180" s="2423"/>
    </row>
    <row r="9181" s="101" customFormat="1" spans="6:6">
      <c r="F9181" s="2423"/>
    </row>
    <row r="9182" s="101" customFormat="1" spans="6:6">
      <c r="F9182" s="2423"/>
    </row>
    <row r="9183" s="101" customFormat="1" spans="6:6">
      <c r="F9183" s="2423"/>
    </row>
    <row r="9184" s="101" customFormat="1" spans="6:6">
      <c r="F9184" s="2423"/>
    </row>
    <row r="9185" s="101" customFormat="1" spans="6:6">
      <c r="F9185" s="2423"/>
    </row>
    <row r="9186" s="101" customFormat="1" spans="6:6">
      <c r="F9186" s="2423"/>
    </row>
    <row r="9187" s="101" customFormat="1" spans="6:6">
      <c r="F9187" s="2423"/>
    </row>
    <row r="9188" s="101" customFormat="1" spans="6:6">
      <c r="F9188" s="2423"/>
    </row>
    <row r="9189" s="101" customFormat="1" spans="6:6">
      <c r="F9189" s="2423"/>
    </row>
    <row r="9190" s="101" customFormat="1" spans="6:6">
      <c r="F9190" s="2423"/>
    </row>
    <row r="9191" s="101" customFormat="1" spans="6:6">
      <c r="F9191" s="2423"/>
    </row>
    <row r="9192" s="101" customFormat="1" spans="6:6">
      <c r="F9192" s="2423"/>
    </row>
    <row r="9193" s="101" customFormat="1" spans="6:6">
      <c r="F9193" s="2423"/>
    </row>
    <row r="9194" s="101" customFormat="1" spans="6:6">
      <c r="F9194" s="2423"/>
    </row>
    <row r="9195" s="101" customFormat="1" spans="6:6">
      <c r="F9195" s="2423"/>
    </row>
    <row r="9196" s="101" customFormat="1" spans="6:6">
      <c r="F9196" s="2423"/>
    </row>
    <row r="9197" s="101" customFormat="1" spans="6:6">
      <c r="F9197" s="2423"/>
    </row>
    <row r="9198" s="101" customFormat="1" spans="6:6">
      <c r="F9198" s="2423"/>
    </row>
    <row r="9199" s="101" customFormat="1" spans="6:6">
      <c r="F9199" s="2423"/>
    </row>
    <row r="9200" s="101" customFormat="1" spans="6:6">
      <c r="F9200" s="2423"/>
    </row>
    <row r="9201" s="101" customFormat="1" spans="6:6">
      <c r="F9201" s="2423"/>
    </row>
    <row r="9202" s="101" customFormat="1" spans="6:6">
      <c r="F9202" s="2423"/>
    </row>
    <row r="9203" s="101" customFormat="1" spans="6:6">
      <c r="F9203" s="2423"/>
    </row>
    <row r="9204" s="101" customFormat="1" spans="6:6">
      <c r="F9204" s="2423"/>
    </row>
    <row r="9205" s="101" customFormat="1" spans="6:6">
      <c r="F9205" s="2423"/>
    </row>
    <row r="9206" s="101" customFormat="1" spans="6:6">
      <c r="F9206" s="2423"/>
    </row>
    <row r="9207" s="101" customFormat="1" spans="6:6">
      <c r="F9207" s="2423"/>
    </row>
    <row r="9208" s="101" customFormat="1" spans="6:6">
      <c r="F9208" s="2423"/>
    </row>
    <row r="9209" s="101" customFormat="1" spans="6:6">
      <c r="F9209" s="2423"/>
    </row>
    <row r="9210" s="101" customFormat="1" spans="6:6">
      <c r="F9210" s="2423"/>
    </row>
    <row r="9211" s="101" customFormat="1" spans="6:6">
      <c r="F9211" s="2423"/>
    </row>
    <row r="9212" s="101" customFormat="1" spans="6:6">
      <c r="F9212" s="2423"/>
    </row>
    <row r="9213" s="101" customFormat="1" spans="6:6">
      <c r="F9213" s="2423"/>
    </row>
    <row r="9214" s="101" customFormat="1" spans="6:6">
      <c r="F9214" s="2423"/>
    </row>
    <row r="9215" s="101" customFormat="1" spans="6:6">
      <c r="F9215" s="2423"/>
    </row>
    <row r="9216" s="101" customFormat="1" spans="6:6">
      <c r="F9216" s="2423"/>
    </row>
    <row r="9217" s="101" customFormat="1" spans="6:6">
      <c r="F9217" s="2423"/>
    </row>
    <row r="9218" s="101" customFormat="1" spans="6:6">
      <c r="F9218" s="2423"/>
    </row>
    <row r="9219" s="101" customFormat="1" spans="6:6">
      <c r="F9219" s="2423"/>
    </row>
    <row r="9220" s="101" customFormat="1" spans="6:6">
      <c r="F9220" s="2423"/>
    </row>
    <row r="9221" s="101" customFormat="1" spans="6:6">
      <c r="F9221" s="2423"/>
    </row>
    <row r="9222" s="101" customFormat="1" spans="6:6">
      <c r="F9222" s="2423"/>
    </row>
    <row r="9223" s="101" customFormat="1" spans="6:6">
      <c r="F9223" s="2423"/>
    </row>
    <row r="9224" s="101" customFormat="1" spans="6:6">
      <c r="F9224" s="2423"/>
    </row>
    <row r="9225" s="101" customFormat="1" spans="6:6">
      <c r="F9225" s="2423"/>
    </row>
    <row r="9226" s="101" customFormat="1" spans="6:6">
      <c r="F9226" s="2423"/>
    </row>
    <row r="9227" s="101" customFormat="1" spans="6:6">
      <c r="F9227" s="2423"/>
    </row>
    <row r="9228" s="101" customFormat="1" spans="6:6">
      <c r="F9228" s="2423"/>
    </row>
    <row r="9229" s="101" customFormat="1" spans="6:6">
      <c r="F9229" s="2423"/>
    </row>
    <row r="9230" s="101" customFormat="1" spans="6:6">
      <c r="F9230" s="2423"/>
    </row>
    <row r="9231" s="101" customFormat="1" spans="6:6">
      <c r="F9231" s="2423"/>
    </row>
    <row r="9232" s="101" customFormat="1" spans="6:6">
      <c r="F9232" s="2423"/>
    </row>
    <row r="9233" s="101" customFormat="1" spans="6:6">
      <c r="F9233" s="2423"/>
    </row>
    <row r="9234" s="101" customFormat="1" spans="6:6">
      <c r="F9234" s="2423"/>
    </row>
    <row r="9235" s="101" customFormat="1" spans="6:6">
      <c r="F9235" s="2423"/>
    </row>
    <row r="9236" s="101" customFormat="1" spans="6:6">
      <c r="F9236" s="2423"/>
    </row>
    <row r="9237" s="101" customFormat="1" spans="6:6">
      <c r="F9237" s="2423"/>
    </row>
    <row r="9238" s="101" customFormat="1" spans="6:6">
      <c r="F9238" s="2423"/>
    </row>
    <row r="9239" s="101" customFormat="1" spans="6:6">
      <c r="F9239" s="2423"/>
    </row>
    <row r="9240" s="101" customFormat="1" spans="6:6">
      <c r="F9240" s="2423"/>
    </row>
    <row r="9241" s="101" customFormat="1" spans="6:6">
      <c r="F9241" s="2423"/>
    </row>
    <row r="9242" s="101" customFormat="1" spans="6:6">
      <c r="F9242" s="2423"/>
    </row>
    <row r="9243" s="101" customFormat="1" spans="6:6">
      <c r="F9243" s="2423"/>
    </row>
    <row r="9244" s="101" customFormat="1" spans="6:6">
      <c r="F9244" s="2423"/>
    </row>
    <row r="9245" s="101" customFormat="1" spans="6:6">
      <c r="F9245" s="2423"/>
    </row>
    <row r="9246" s="101" customFormat="1" spans="6:6">
      <c r="F9246" s="2423"/>
    </row>
    <row r="9247" s="101" customFormat="1" spans="6:6">
      <c r="F9247" s="2423"/>
    </row>
    <row r="9248" s="101" customFormat="1" spans="6:6">
      <c r="F9248" s="2423"/>
    </row>
    <row r="9249" s="101" customFormat="1" spans="6:6">
      <c r="F9249" s="2423"/>
    </row>
    <row r="9250" s="101" customFormat="1" spans="6:6">
      <c r="F9250" s="2423"/>
    </row>
    <row r="9251" s="101" customFormat="1" spans="6:6">
      <c r="F9251" s="2423"/>
    </row>
    <row r="9252" s="101" customFormat="1" spans="6:6">
      <c r="F9252" s="2423"/>
    </row>
    <row r="9253" s="101" customFormat="1" spans="6:6">
      <c r="F9253" s="2423"/>
    </row>
    <row r="9254" s="101" customFormat="1" spans="6:6">
      <c r="F9254" s="2423"/>
    </row>
    <row r="9255" s="101" customFormat="1" spans="6:6">
      <c r="F9255" s="2423"/>
    </row>
    <row r="9256" s="101" customFormat="1" spans="6:6">
      <c r="F9256" s="2423"/>
    </row>
    <row r="9257" s="101" customFormat="1" spans="6:6">
      <c r="F9257" s="2423"/>
    </row>
    <row r="9258" s="101" customFormat="1" spans="6:6">
      <c r="F9258" s="2423"/>
    </row>
    <row r="9259" s="101" customFormat="1" spans="6:6">
      <c r="F9259" s="2423"/>
    </row>
    <row r="9260" s="101" customFormat="1" spans="6:6">
      <c r="F9260" s="2423"/>
    </row>
    <row r="9261" s="101" customFormat="1" spans="6:6">
      <c r="F9261" s="2423"/>
    </row>
    <row r="9262" s="101" customFormat="1" spans="6:6">
      <c r="F9262" s="2423"/>
    </row>
    <row r="9263" s="101" customFormat="1" spans="6:6">
      <c r="F9263" s="2423"/>
    </row>
    <row r="9264" s="101" customFormat="1" spans="6:6">
      <c r="F9264" s="2423"/>
    </row>
    <row r="9265" s="101" customFormat="1" spans="6:6">
      <c r="F9265" s="2423"/>
    </row>
    <row r="9266" s="101" customFormat="1" spans="6:6">
      <c r="F9266" s="2423"/>
    </row>
    <row r="9267" s="101" customFormat="1" spans="6:6">
      <c r="F9267" s="2423"/>
    </row>
    <row r="9268" s="101" customFormat="1" spans="6:6">
      <c r="F9268" s="2423"/>
    </row>
    <row r="9269" s="101" customFormat="1" spans="6:6">
      <c r="F9269" s="2423"/>
    </row>
    <row r="9270" s="101" customFormat="1" spans="6:6">
      <c r="F9270" s="2423"/>
    </row>
    <row r="9271" s="101" customFormat="1" spans="6:6">
      <c r="F9271" s="2423"/>
    </row>
    <row r="9272" s="101" customFormat="1" spans="6:6">
      <c r="F9272" s="2423"/>
    </row>
    <row r="9273" s="101" customFormat="1" spans="6:6">
      <c r="F9273" s="2423"/>
    </row>
    <row r="9274" s="101" customFormat="1" spans="6:6">
      <c r="F9274" s="2423"/>
    </row>
    <row r="9275" s="101" customFormat="1" spans="6:6">
      <c r="F9275" s="2423"/>
    </row>
    <row r="9276" s="101" customFormat="1" spans="6:6">
      <c r="F9276" s="2423"/>
    </row>
    <row r="9277" s="101" customFormat="1" spans="6:6">
      <c r="F9277" s="2423"/>
    </row>
    <row r="9278" s="101" customFormat="1" spans="6:6">
      <c r="F9278" s="2423"/>
    </row>
    <row r="9279" s="101" customFormat="1" spans="6:6">
      <c r="F9279" s="2423"/>
    </row>
    <row r="9280" s="101" customFormat="1" spans="6:6">
      <c r="F9280" s="2423"/>
    </row>
    <row r="9281" s="101" customFormat="1" spans="6:6">
      <c r="F9281" s="2423"/>
    </row>
    <row r="9282" s="101" customFormat="1" spans="6:6">
      <c r="F9282" s="2423"/>
    </row>
    <row r="9283" s="101" customFormat="1" spans="6:6">
      <c r="F9283" s="2423"/>
    </row>
    <row r="9284" s="101" customFormat="1" spans="6:6">
      <c r="F9284" s="2423"/>
    </row>
    <row r="9285" s="101" customFormat="1" spans="6:6">
      <c r="F9285" s="2423"/>
    </row>
    <row r="9286" s="101" customFormat="1" spans="6:6">
      <c r="F9286" s="2423"/>
    </row>
    <row r="9287" s="101" customFormat="1" spans="6:6">
      <c r="F9287" s="2423"/>
    </row>
    <row r="9288" s="101" customFormat="1" spans="6:6">
      <c r="F9288" s="2423"/>
    </row>
    <row r="9289" s="101" customFormat="1" spans="6:6">
      <c r="F9289" s="2423"/>
    </row>
    <row r="9290" s="101" customFormat="1" spans="6:6">
      <c r="F9290" s="2423"/>
    </row>
    <row r="9291" s="101" customFormat="1" spans="6:6">
      <c r="F9291" s="2423"/>
    </row>
    <row r="9292" s="101" customFormat="1" spans="6:6">
      <c r="F9292" s="2423"/>
    </row>
    <row r="9293" s="101" customFormat="1" spans="6:6">
      <c r="F9293" s="2423"/>
    </row>
    <row r="9294" s="101" customFormat="1" spans="6:6">
      <c r="F9294" s="2423"/>
    </row>
    <row r="9295" s="101" customFormat="1" spans="6:6">
      <c r="F9295" s="2423"/>
    </row>
    <row r="9296" s="101" customFormat="1" spans="6:6">
      <c r="F9296" s="2423"/>
    </row>
    <row r="9297" s="101" customFormat="1" spans="6:6">
      <c r="F9297" s="2423"/>
    </row>
    <row r="9298" s="101" customFormat="1" spans="6:6">
      <c r="F9298" s="2423"/>
    </row>
    <row r="9299" s="101" customFormat="1" spans="6:6">
      <c r="F9299" s="2423"/>
    </row>
    <row r="9300" s="101" customFormat="1" spans="6:6">
      <c r="F9300" s="2423"/>
    </row>
    <row r="9301" s="101" customFormat="1" spans="6:6">
      <c r="F9301" s="2423"/>
    </row>
    <row r="9302" s="101" customFormat="1" spans="6:6">
      <c r="F9302" s="2423"/>
    </row>
    <row r="9303" s="101" customFormat="1" spans="6:6">
      <c r="F9303" s="2423"/>
    </row>
    <row r="9304" s="101" customFormat="1" spans="6:6">
      <c r="F9304" s="2423"/>
    </row>
    <row r="9305" s="101" customFormat="1" spans="6:6">
      <c r="F9305" s="2423"/>
    </row>
    <row r="9306" s="101" customFormat="1" spans="6:6">
      <c r="F9306" s="2423"/>
    </row>
    <row r="9307" s="101" customFormat="1" spans="6:6">
      <c r="F9307" s="2423"/>
    </row>
    <row r="9308" s="101" customFormat="1" spans="6:6">
      <c r="F9308" s="2423"/>
    </row>
    <row r="9309" s="101" customFormat="1" spans="6:6">
      <c r="F9309" s="2423"/>
    </row>
    <row r="9310" s="101" customFormat="1" spans="6:6">
      <c r="F9310" s="2423"/>
    </row>
    <row r="9311" s="101" customFormat="1" spans="6:6">
      <c r="F9311" s="2423"/>
    </row>
    <row r="9312" s="101" customFormat="1" spans="6:6">
      <c r="F9312" s="2423"/>
    </row>
    <row r="9313" s="101" customFormat="1" spans="6:6">
      <c r="F9313" s="2423"/>
    </row>
    <row r="9314" s="101" customFormat="1" spans="6:6">
      <c r="F9314" s="2423"/>
    </row>
    <row r="9315" s="101" customFormat="1" spans="6:6">
      <c r="F9315" s="2423"/>
    </row>
    <row r="9316" s="101" customFormat="1" spans="6:6">
      <c r="F9316" s="2423"/>
    </row>
    <row r="9317" s="101" customFormat="1" spans="6:6">
      <c r="F9317" s="2423"/>
    </row>
    <row r="9318" s="101" customFormat="1" spans="6:6">
      <c r="F9318" s="2423"/>
    </row>
    <row r="9319" s="101" customFormat="1" spans="6:6">
      <c r="F9319" s="2423"/>
    </row>
    <row r="9320" s="101" customFormat="1" spans="6:6">
      <c r="F9320" s="2423"/>
    </row>
    <row r="9321" s="101" customFormat="1" spans="6:6">
      <c r="F9321" s="2423"/>
    </row>
    <row r="9322" s="101" customFormat="1" spans="6:6">
      <c r="F9322" s="2423"/>
    </row>
    <row r="9323" s="101" customFormat="1" spans="6:6">
      <c r="F9323" s="2423"/>
    </row>
    <row r="9324" s="101" customFormat="1" spans="6:6">
      <c r="F9324" s="2423"/>
    </row>
    <row r="9325" s="101" customFormat="1" spans="6:6">
      <c r="F9325" s="2423"/>
    </row>
    <row r="9326" s="101" customFormat="1" spans="6:6">
      <c r="F9326" s="2423"/>
    </row>
    <row r="9327" s="101" customFormat="1" spans="6:6">
      <c r="F9327" s="2423"/>
    </row>
    <row r="9328" s="101" customFormat="1" spans="6:6">
      <c r="F9328" s="2423"/>
    </row>
    <row r="9329" s="101" customFormat="1" spans="6:6">
      <c r="F9329" s="2423"/>
    </row>
    <row r="9330" s="101" customFormat="1" spans="6:6">
      <c r="F9330" s="2423"/>
    </row>
    <row r="9331" s="101" customFormat="1" spans="6:6">
      <c r="F9331" s="2423"/>
    </row>
    <row r="9332" s="101" customFormat="1" spans="6:6">
      <c r="F9332" s="2423"/>
    </row>
    <row r="9333" s="101" customFormat="1" spans="6:6">
      <c r="F9333" s="2423"/>
    </row>
    <row r="9334" s="101" customFormat="1" spans="6:6">
      <c r="F9334" s="2423"/>
    </row>
    <row r="9335" s="101" customFormat="1" spans="6:6">
      <c r="F9335" s="2423"/>
    </row>
    <row r="9336" s="101" customFormat="1" spans="6:6">
      <c r="F9336" s="2423"/>
    </row>
    <row r="9337" s="101" customFormat="1" spans="6:6">
      <c r="F9337" s="2423"/>
    </row>
    <row r="9338" s="101" customFormat="1" spans="6:6">
      <c r="F9338" s="2423"/>
    </row>
    <row r="9339" s="101" customFormat="1" spans="6:6">
      <c r="F9339" s="2423"/>
    </row>
    <row r="9340" s="101" customFormat="1" spans="6:6">
      <c r="F9340" s="2423"/>
    </row>
    <row r="9341" s="101" customFormat="1" spans="6:6">
      <c r="F9341" s="2423"/>
    </row>
    <row r="9342" s="101" customFormat="1" spans="6:6">
      <c r="F9342" s="2423"/>
    </row>
    <row r="9343" s="101" customFormat="1" spans="6:6">
      <c r="F9343" s="2423"/>
    </row>
    <row r="9344" s="101" customFormat="1" spans="6:6">
      <c r="F9344" s="2423"/>
    </row>
    <row r="9345" s="101" customFormat="1" spans="6:6">
      <c r="F9345" s="2423"/>
    </row>
    <row r="9346" s="101" customFormat="1" spans="6:6">
      <c r="F9346" s="2423"/>
    </row>
    <row r="9347" s="101" customFormat="1" spans="6:6">
      <c r="F9347" s="2423"/>
    </row>
    <row r="9348" s="101" customFormat="1" spans="6:6">
      <c r="F9348" s="2423"/>
    </row>
    <row r="9349" s="101" customFormat="1" spans="6:6">
      <c r="F9349" s="2423"/>
    </row>
    <row r="9350" s="101" customFormat="1" spans="6:6">
      <c r="F9350" s="2423"/>
    </row>
    <row r="9351" s="101" customFormat="1" spans="6:6">
      <c r="F9351" s="2423"/>
    </row>
    <row r="9352" s="101" customFormat="1" spans="6:6">
      <c r="F9352" s="2423"/>
    </row>
    <row r="9353" s="101" customFormat="1" spans="6:6">
      <c r="F9353" s="2423"/>
    </row>
    <row r="9354" s="101" customFormat="1" spans="6:6">
      <c r="F9354" s="2423"/>
    </row>
    <row r="9355" s="101" customFormat="1" spans="6:6">
      <c r="F9355" s="2423"/>
    </row>
    <row r="9356" s="101" customFormat="1" spans="6:6">
      <c r="F9356" s="2423"/>
    </row>
    <row r="9357" s="101" customFormat="1" spans="6:6">
      <c r="F9357" s="2423"/>
    </row>
    <row r="9358" s="101" customFormat="1" spans="6:6">
      <c r="F9358" s="2423"/>
    </row>
    <row r="9359" s="101" customFormat="1" spans="6:6">
      <c r="F9359" s="2423"/>
    </row>
    <row r="9360" s="101" customFormat="1" spans="6:6">
      <c r="F9360" s="2423"/>
    </row>
    <row r="9361" s="101" customFormat="1" spans="6:6">
      <c r="F9361" s="2423"/>
    </row>
    <row r="9362" s="101" customFormat="1" spans="6:6">
      <c r="F9362" s="2423"/>
    </row>
    <row r="9363" s="101" customFormat="1" spans="6:6">
      <c r="F9363" s="2423"/>
    </row>
    <row r="9364" s="101" customFormat="1" spans="6:6">
      <c r="F9364" s="2423"/>
    </row>
    <row r="9365" s="101" customFormat="1" spans="6:6">
      <c r="F9365" s="2423"/>
    </row>
    <row r="9366" s="101" customFormat="1" spans="6:6">
      <c r="F9366" s="2423"/>
    </row>
    <row r="9367" s="101" customFormat="1" spans="6:6">
      <c r="F9367" s="2423"/>
    </row>
    <row r="9368" s="101" customFormat="1" spans="6:6">
      <c r="F9368" s="2423"/>
    </row>
    <row r="9369" s="101" customFormat="1" spans="6:6">
      <c r="F9369" s="2423"/>
    </row>
    <row r="9370" s="101" customFormat="1" spans="6:6">
      <c r="F9370" s="2423"/>
    </row>
    <row r="9371" s="101" customFormat="1" spans="6:6">
      <c r="F9371" s="2423"/>
    </row>
    <row r="9372" s="101" customFormat="1" spans="6:6">
      <c r="F9372" s="2423"/>
    </row>
    <row r="9373" s="101" customFormat="1" spans="6:6">
      <c r="F9373" s="2423"/>
    </row>
    <row r="9374" s="101" customFormat="1" spans="6:6">
      <c r="F9374" s="2423"/>
    </row>
    <row r="9375" s="101" customFormat="1" spans="6:6">
      <c r="F9375" s="2423"/>
    </row>
    <row r="9376" s="101" customFormat="1" spans="6:6">
      <c r="F9376" s="2423"/>
    </row>
    <row r="9377" s="101" customFormat="1" spans="6:6">
      <c r="F9377" s="2423"/>
    </row>
    <row r="9378" s="101" customFormat="1" spans="6:6">
      <c r="F9378" s="2423"/>
    </row>
    <row r="9379" s="101" customFormat="1" spans="6:6">
      <c r="F9379" s="2423"/>
    </row>
    <row r="9380" s="101" customFormat="1" spans="6:6">
      <c r="F9380" s="2423"/>
    </row>
    <row r="9381" s="101" customFormat="1" spans="6:6">
      <c r="F9381" s="2423"/>
    </row>
    <row r="9382" s="101" customFormat="1" spans="6:6">
      <c r="F9382" s="2423"/>
    </row>
    <row r="9383" s="101" customFormat="1" spans="6:6">
      <c r="F9383" s="2423"/>
    </row>
    <row r="9384" s="101" customFormat="1" spans="6:6">
      <c r="F9384" s="2423"/>
    </row>
    <row r="9385" s="101" customFormat="1" spans="6:6">
      <c r="F9385" s="2423"/>
    </row>
    <row r="9386" s="101" customFormat="1" spans="6:6">
      <c r="F9386" s="2423"/>
    </row>
    <row r="9387" s="101" customFormat="1" spans="6:6">
      <c r="F9387" s="2423"/>
    </row>
    <row r="9388" s="101" customFormat="1" spans="6:6">
      <c r="F9388" s="2423"/>
    </row>
    <row r="9389" s="101" customFormat="1" spans="6:6">
      <c r="F9389" s="2423"/>
    </row>
    <row r="9390" s="101" customFormat="1" spans="6:6">
      <c r="F9390" s="2423"/>
    </row>
    <row r="9391" s="101" customFormat="1" spans="6:6">
      <c r="F9391" s="2423"/>
    </row>
    <row r="9392" s="101" customFormat="1" spans="6:6">
      <c r="F9392" s="2423"/>
    </row>
    <row r="9393" s="101" customFormat="1" spans="6:6">
      <c r="F9393" s="2423"/>
    </row>
    <row r="9394" s="101" customFormat="1" spans="6:6">
      <c r="F9394" s="2423"/>
    </row>
    <row r="9395" s="101" customFormat="1" spans="6:6">
      <c r="F9395" s="2423"/>
    </row>
    <row r="9396" s="101" customFormat="1" spans="6:6">
      <c r="F9396" s="2423"/>
    </row>
    <row r="9397" s="101" customFormat="1" spans="6:6">
      <c r="F9397" s="2423"/>
    </row>
    <row r="9398" s="101" customFormat="1" spans="6:6">
      <c r="F9398" s="2423"/>
    </row>
    <row r="9399" s="101" customFormat="1" spans="6:6">
      <c r="F9399" s="2423"/>
    </row>
    <row r="9400" s="101" customFormat="1" spans="6:6">
      <c r="F9400" s="2423"/>
    </row>
    <row r="9401" s="101" customFormat="1" spans="6:6">
      <c r="F9401" s="2423"/>
    </row>
    <row r="9402" s="101" customFormat="1" spans="6:6">
      <c r="F9402" s="2423"/>
    </row>
    <row r="9403" s="101" customFormat="1" spans="6:6">
      <c r="F9403" s="2423"/>
    </row>
    <row r="9404" s="101" customFormat="1" spans="6:6">
      <c r="F9404" s="2423"/>
    </row>
    <row r="9405" s="101" customFormat="1" spans="6:6">
      <c r="F9405" s="2423"/>
    </row>
    <row r="9406" s="101" customFormat="1" spans="6:6">
      <c r="F9406" s="2423"/>
    </row>
    <row r="9407" s="101" customFormat="1" spans="6:6">
      <c r="F9407" s="2423"/>
    </row>
    <row r="9408" s="101" customFormat="1" spans="6:6">
      <c r="F9408" s="2423"/>
    </row>
    <row r="9409" s="101" customFormat="1" spans="6:6">
      <c r="F9409" s="2423"/>
    </row>
    <row r="9410" s="101" customFormat="1" spans="6:6">
      <c r="F9410" s="2423"/>
    </row>
    <row r="9411" s="101" customFormat="1" spans="6:6">
      <c r="F9411" s="2423"/>
    </row>
    <row r="9412" s="101" customFormat="1" spans="6:6">
      <c r="F9412" s="2423"/>
    </row>
    <row r="9413" s="101" customFormat="1" spans="6:6">
      <c r="F9413" s="2423"/>
    </row>
    <row r="9414" s="101" customFormat="1" spans="6:6">
      <c r="F9414" s="2423"/>
    </row>
    <row r="9415" s="101" customFormat="1" spans="6:6">
      <c r="F9415" s="2423"/>
    </row>
    <row r="9416" s="101" customFormat="1" spans="6:6">
      <c r="F9416" s="2423"/>
    </row>
    <row r="9417" s="101" customFormat="1" spans="6:6">
      <c r="F9417" s="2423"/>
    </row>
    <row r="9418" s="101" customFormat="1" spans="6:6">
      <c r="F9418" s="2423"/>
    </row>
    <row r="9419" s="101" customFormat="1" spans="6:6">
      <c r="F9419" s="2423"/>
    </row>
    <row r="9420" s="101" customFormat="1" spans="6:6">
      <c r="F9420" s="2423"/>
    </row>
    <row r="9421" s="101" customFormat="1" spans="6:6">
      <c r="F9421" s="2423"/>
    </row>
    <row r="9422" s="101" customFormat="1" spans="6:6">
      <c r="F9422" s="2423"/>
    </row>
    <row r="9423" s="101" customFormat="1" spans="6:6">
      <c r="F9423" s="2423"/>
    </row>
    <row r="9424" s="101" customFormat="1" spans="6:6">
      <c r="F9424" s="2423"/>
    </row>
    <row r="9425" s="101" customFormat="1" spans="6:6">
      <c r="F9425" s="2423"/>
    </row>
    <row r="9426" s="101" customFormat="1" spans="6:6">
      <c r="F9426" s="2423"/>
    </row>
    <row r="9427" s="101" customFormat="1" spans="6:6">
      <c r="F9427" s="2423"/>
    </row>
    <row r="9428" s="101" customFormat="1" spans="6:6">
      <c r="F9428" s="2423"/>
    </row>
    <row r="9429" s="101" customFormat="1" spans="6:6">
      <c r="F9429" s="2423"/>
    </row>
    <row r="9430" s="101" customFormat="1" spans="6:6">
      <c r="F9430" s="2423"/>
    </row>
    <row r="9431" s="101" customFormat="1" spans="6:6">
      <c r="F9431" s="2423"/>
    </row>
    <row r="9432" s="101" customFormat="1" spans="6:6">
      <c r="F9432" s="2423"/>
    </row>
    <row r="9433" s="101" customFormat="1" spans="6:6">
      <c r="F9433" s="2423"/>
    </row>
    <row r="9434" s="101" customFormat="1" spans="6:6">
      <c r="F9434" s="2423"/>
    </row>
    <row r="9435" s="101" customFormat="1" spans="6:6">
      <c r="F9435" s="2423"/>
    </row>
    <row r="9436" s="101" customFormat="1" spans="6:6">
      <c r="F9436" s="2423"/>
    </row>
    <row r="9437" s="101" customFormat="1" spans="6:6">
      <c r="F9437" s="2423"/>
    </row>
    <row r="9438" s="101" customFormat="1" spans="6:6">
      <c r="F9438" s="2423"/>
    </row>
    <row r="9439" s="101" customFormat="1" spans="6:6">
      <c r="F9439" s="2423"/>
    </row>
    <row r="9440" s="101" customFormat="1" spans="6:6">
      <c r="F9440" s="2423"/>
    </row>
    <row r="9441" s="101" customFormat="1" spans="6:6">
      <c r="F9441" s="2423"/>
    </row>
    <row r="9442" s="101" customFormat="1" spans="6:6">
      <c r="F9442" s="2423"/>
    </row>
    <row r="9443" s="101" customFormat="1" spans="6:6">
      <c r="F9443" s="2423"/>
    </row>
    <row r="9444" s="101" customFormat="1" spans="6:6">
      <c r="F9444" s="2423"/>
    </row>
    <row r="9445" s="101" customFormat="1" spans="6:6">
      <c r="F9445" s="2423"/>
    </row>
    <row r="9446" s="101" customFormat="1" spans="6:6">
      <c r="F9446" s="2423"/>
    </row>
    <row r="9447" s="101" customFormat="1" spans="6:6">
      <c r="F9447" s="2423"/>
    </row>
    <row r="9448" s="101" customFormat="1" spans="6:6">
      <c r="F9448" s="2423"/>
    </row>
    <row r="9449" s="101" customFormat="1" spans="6:6">
      <c r="F9449" s="2423"/>
    </row>
    <row r="9450" s="101" customFormat="1" spans="6:6">
      <c r="F9450" s="2423"/>
    </row>
    <row r="9451" s="101" customFormat="1" spans="6:6">
      <c r="F9451" s="2423"/>
    </row>
    <row r="9452" s="101" customFormat="1" spans="6:6">
      <c r="F9452" s="2423"/>
    </row>
    <row r="9453" s="101" customFormat="1" spans="6:6">
      <c r="F9453" s="2423"/>
    </row>
    <row r="9454" s="101" customFormat="1" spans="6:6">
      <c r="F9454" s="2423"/>
    </row>
    <row r="9455" s="101" customFormat="1" spans="6:6">
      <c r="F9455" s="2423"/>
    </row>
    <row r="9456" s="101" customFormat="1" spans="6:6">
      <c r="F9456" s="2423"/>
    </row>
    <row r="9457" s="101" customFormat="1" spans="6:6">
      <c r="F9457" s="2423"/>
    </row>
    <row r="9458" s="101" customFormat="1" spans="6:6">
      <c r="F9458" s="2423"/>
    </row>
    <row r="9459" s="101" customFormat="1" spans="6:6">
      <c r="F9459" s="2423"/>
    </row>
    <row r="9460" s="101" customFormat="1" spans="6:6">
      <c r="F9460" s="2423"/>
    </row>
    <row r="9461" s="101" customFormat="1" spans="6:6">
      <c r="F9461" s="2423"/>
    </row>
    <row r="9462" s="101" customFormat="1" spans="6:6">
      <c r="F9462" s="2423"/>
    </row>
    <row r="9463" s="101" customFormat="1" spans="6:6">
      <c r="F9463" s="2423"/>
    </row>
    <row r="9464" s="101" customFormat="1" spans="6:6">
      <c r="F9464" s="2423"/>
    </row>
    <row r="9465" s="101" customFormat="1" spans="6:6">
      <c r="F9465" s="2423"/>
    </row>
    <row r="9466" s="101" customFormat="1" spans="6:6">
      <c r="F9466" s="2423"/>
    </row>
    <row r="9467" s="101" customFormat="1" spans="6:6">
      <c r="F9467" s="2423"/>
    </row>
    <row r="9468" s="101" customFormat="1" spans="6:6">
      <c r="F9468" s="2423"/>
    </row>
    <row r="9469" s="101" customFormat="1" spans="6:6">
      <c r="F9469" s="2423"/>
    </row>
    <row r="9470" s="101" customFormat="1" spans="6:6">
      <c r="F9470" s="2423"/>
    </row>
    <row r="9471" s="101" customFormat="1" spans="6:6">
      <c r="F9471" s="2423"/>
    </row>
    <row r="9472" s="101" customFormat="1" spans="6:6">
      <c r="F9472" s="2423"/>
    </row>
    <row r="9473" s="101" customFormat="1" spans="6:6">
      <c r="F9473" s="2423"/>
    </row>
    <row r="9474" s="101" customFormat="1" spans="6:6">
      <c r="F9474" s="2423"/>
    </row>
    <row r="9475" s="101" customFormat="1" spans="6:6">
      <c r="F9475" s="2423"/>
    </row>
    <row r="9476" s="101" customFormat="1" spans="6:6">
      <c r="F9476" s="2423"/>
    </row>
    <row r="9477" s="101" customFormat="1" spans="6:6">
      <c r="F9477" s="2423"/>
    </row>
    <row r="9478" s="101" customFormat="1" spans="6:6">
      <c r="F9478" s="2423"/>
    </row>
    <row r="9479" s="101" customFormat="1" spans="6:6">
      <c r="F9479" s="2423"/>
    </row>
    <row r="9480" s="101" customFormat="1" spans="6:6">
      <c r="F9480" s="2423"/>
    </row>
    <row r="9481" s="101" customFormat="1" spans="6:6">
      <c r="F9481" s="2423"/>
    </row>
    <row r="9482" s="101" customFormat="1" spans="6:6">
      <c r="F9482" s="2423"/>
    </row>
    <row r="9483" s="101" customFormat="1" spans="6:6">
      <c r="F9483" s="2423"/>
    </row>
    <row r="9484" s="101" customFormat="1" spans="6:6">
      <c r="F9484" s="2423"/>
    </row>
    <row r="9485" s="101" customFormat="1" spans="6:6">
      <c r="F9485" s="2423"/>
    </row>
    <row r="9486" s="101" customFormat="1" spans="6:6">
      <c r="F9486" s="2423"/>
    </row>
    <row r="9487" s="101" customFormat="1" spans="6:6">
      <c r="F9487" s="2423"/>
    </row>
    <row r="9488" s="101" customFormat="1" spans="6:6">
      <c r="F9488" s="2423"/>
    </row>
    <row r="9489" s="101" customFormat="1" spans="6:6">
      <c r="F9489" s="2423"/>
    </row>
    <row r="9490" s="101" customFormat="1" spans="6:6">
      <c r="F9490" s="2423"/>
    </row>
    <row r="9491" s="101" customFormat="1" spans="6:6">
      <c r="F9491" s="2423"/>
    </row>
    <row r="9492" s="101" customFormat="1" spans="6:6">
      <c r="F9492" s="2423"/>
    </row>
    <row r="9493" s="101" customFormat="1" spans="6:6">
      <c r="F9493" s="2423"/>
    </row>
    <row r="9494" s="101" customFormat="1" spans="6:6">
      <c r="F9494" s="2423"/>
    </row>
    <row r="9495" s="101" customFormat="1" spans="6:6">
      <c r="F9495" s="2423"/>
    </row>
    <row r="9496" s="101" customFormat="1" spans="6:6">
      <c r="F9496" s="2423"/>
    </row>
    <row r="9497" s="101" customFormat="1" spans="6:6">
      <c r="F9497" s="2423"/>
    </row>
    <row r="9498" s="101" customFormat="1" spans="6:6">
      <c r="F9498" s="2423"/>
    </row>
    <row r="9499" s="101" customFormat="1" spans="6:6">
      <c r="F9499" s="2423"/>
    </row>
    <row r="9500" s="101" customFormat="1" spans="6:6">
      <c r="F9500" s="2423"/>
    </row>
    <row r="9501" s="101" customFormat="1" spans="6:6">
      <c r="F9501" s="2423"/>
    </row>
    <row r="9502" s="101" customFormat="1" spans="6:6">
      <c r="F9502" s="2423"/>
    </row>
    <row r="9503" s="101" customFormat="1" spans="6:6">
      <c r="F9503" s="2423"/>
    </row>
    <row r="9504" s="101" customFormat="1" spans="6:6">
      <c r="F9504" s="2423"/>
    </row>
    <row r="9505" s="101" customFormat="1" spans="6:6">
      <c r="F9505" s="2423"/>
    </row>
    <row r="9506" s="101" customFormat="1" spans="6:6">
      <c r="F9506" s="2423"/>
    </row>
    <row r="9507" s="101" customFormat="1" spans="6:6">
      <c r="F9507" s="2423"/>
    </row>
    <row r="9508" s="101" customFormat="1" spans="6:6">
      <c r="F9508" s="2423"/>
    </row>
    <row r="9509" s="101" customFormat="1" spans="6:6">
      <c r="F9509" s="2423"/>
    </row>
    <row r="9510" s="101" customFormat="1" spans="6:6">
      <c r="F9510" s="2423"/>
    </row>
    <row r="9511" s="101" customFormat="1" spans="6:6">
      <c r="F9511" s="2423"/>
    </row>
    <row r="9512" s="101" customFormat="1" spans="6:6">
      <c r="F9512" s="2423"/>
    </row>
    <row r="9513" s="101" customFormat="1" spans="6:6">
      <c r="F9513" s="2423"/>
    </row>
    <row r="9514" s="101" customFormat="1" spans="6:6">
      <c r="F9514" s="2423"/>
    </row>
    <row r="9515" s="101" customFormat="1" spans="6:6">
      <c r="F9515" s="2423"/>
    </row>
    <row r="9516" s="101" customFormat="1" spans="6:6">
      <c r="F9516" s="2423"/>
    </row>
    <row r="9517" s="101" customFormat="1" spans="6:6">
      <c r="F9517" s="2423"/>
    </row>
    <row r="9518" s="101" customFormat="1" spans="6:6">
      <c r="F9518" s="2423"/>
    </row>
    <row r="9519" s="101" customFormat="1" spans="6:6">
      <c r="F9519" s="2423"/>
    </row>
    <row r="9520" s="101" customFormat="1" spans="6:6">
      <c r="F9520" s="2423"/>
    </row>
    <row r="9521" s="101" customFormat="1" spans="6:6">
      <c r="F9521" s="2423"/>
    </row>
    <row r="9522" s="101" customFormat="1" spans="6:6">
      <c r="F9522" s="2423"/>
    </row>
    <row r="9523" s="101" customFormat="1" spans="6:6">
      <c r="F9523" s="2423"/>
    </row>
    <row r="9524" s="101" customFormat="1" spans="6:6">
      <c r="F9524" s="2423"/>
    </row>
    <row r="9525" s="101" customFormat="1" spans="6:6">
      <c r="F9525" s="2423"/>
    </row>
    <row r="9526" s="101" customFormat="1" spans="6:6">
      <c r="F9526" s="2423"/>
    </row>
    <row r="9527" s="101" customFormat="1" spans="6:6">
      <c r="F9527" s="2423"/>
    </row>
    <row r="9528" s="101" customFormat="1" spans="6:6">
      <c r="F9528" s="2423"/>
    </row>
    <row r="9529" s="101" customFormat="1" spans="6:6">
      <c r="F9529" s="2423"/>
    </row>
    <row r="9530" s="101" customFormat="1" spans="6:6">
      <c r="F9530" s="2423"/>
    </row>
    <row r="9531" s="101" customFormat="1" spans="6:6">
      <c r="F9531" s="2423"/>
    </row>
    <row r="9532" s="101" customFormat="1" spans="6:6">
      <c r="F9532" s="2423"/>
    </row>
    <row r="9533" s="101" customFormat="1" spans="6:6">
      <c r="F9533" s="2423"/>
    </row>
    <row r="9534" s="101" customFormat="1" spans="6:6">
      <c r="F9534" s="2423"/>
    </row>
    <row r="9535" s="101" customFormat="1" spans="6:6">
      <c r="F9535" s="2423"/>
    </row>
    <row r="9536" s="101" customFormat="1" spans="6:6">
      <c r="F9536" s="2423"/>
    </row>
    <row r="9537" s="101" customFormat="1" spans="6:6">
      <c r="F9537" s="2423"/>
    </row>
    <row r="9538" s="101" customFormat="1" spans="6:6">
      <c r="F9538" s="2423"/>
    </row>
    <row r="9539" s="101" customFormat="1" spans="6:6">
      <c r="F9539" s="2423"/>
    </row>
    <row r="9540" s="101" customFormat="1" spans="6:6">
      <c r="F9540" s="2423"/>
    </row>
    <row r="9541" s="101" customFormat="1" spans="6:6">
      <c r="F9541" s="2423"/>
    </row>
    <row r="9542" s="101" customFormat="1" spans="6:6">
      <c r="F9542" s="2423"/>
    </row>
    <row r="9543" s="101" customFormat="1" spans="6:6">
      <c r="F9543" s="2423"/>
    </row>
    <row r="9544" s="101" customFormat="1" spans="6:6">
      <c r="F9544" s="2423"/>
    </row>
    <row r="9545" s="101" customFormat="1" spans="6:6">
      <c r="F9545" s="2423"/>
    </row>
    <row r="9546" s="101" customFormat="1" spans="6:6">
      <c r="F9546" s="2423"/>
    </row>
    <row r="9547" s="101" customFormat="1" spans="6:6">
      <c r="F9547" s="2423"/>
    </row>
    <row r="9548" s="101" customFormat="1" spans="6:6">
      <c r="F9548" s="2423"/>
    </row>
    <row r="9549" s="101" customFormat="1" spans="6:6">
      <c r="F9549" s="2423"/>
    </row>
    <row r="9550" s="101" customFormat="1" spans="6:6">
      <c r="F9550" s="2423"/>
    </row>
    <row r="9551" s="101" customFormat="1" spans="6:6">
      <c r="F9551" s="2423"/>
    </row>
    <row r="9552" s="101" customFormat="1" spans="6:6">
      <c r="F9552" s="2423"/>
    </row>
    <row r="9553" s="101" customFormat="1" spans="6:6">
      <c r="F9553" s="2423"/>
    </row>
    <row r="9554" s="101" customFormat="1" spans="6:6">
      <c r="F9554" s="2423"/>
    </row>
    <row r="9555" s="101" customFormat="1" spans="6:6">
      <c r="F9555" s="2423"/>
    </row>
    <row r="9556" s="101" customFormat="1" spans="6:6">
      <c r="F9556" s="2423"/>
    </row>
    <row r="9557" s="101" customFormat="1" spans="6:6">
      <c r="F9557" s="2423"/>
    </row>
    <row r="9558" s="101" customFormat="1" spans="6:6">
      <c r="F9558" s="2423"/>
    </row>
    <row r="9559" s="101" customFormat="1" spans="6:6">
      <c r="F9559" s="2423"/>
    </row>
    <row r="9560" s="101" customFormat="1" spans="6:6">
      <c r="F9560" s="2423"/>
    </row>
    <row r="9561" s="101" customFormat="1" spans="6:6">
      <c r="F9561" s="2423"/>
    </row>
    <row r="9562" s="101" customFormat="1" spans="6:6">
      <c r="F9562" s="2423"/>
    </row>
    <row r="9563" s="101" customFormat="1" spans="6:6">
      <c r="F9563" s="2423"/>
    </row>
    <row r="9564" s="101" customFormat="1" spans="6:6">
      <c r="F9564" s="2423"/>
    </row>
    <row r="9565" s="101" customFormat="1" spans="6:6">
      <c r="F9565" s="2423"/>
    </row>
    <row r="9566" s="101" customFormat="1" spans="6:6">
      <c r="F9566" s="2423"/>
    </row>
    <row r="9567" s="101" customFormat="1" spans="6:6">
      <c r="F9567" s="2423"/>
    </row>
    <row r="9568" s="101" customFormat="1" spans="6:6">
      <c r="F9568" s="2423"/>
    </row>
    <row r="9569" s="101" customFormat="1" spans="6:6">
      <c r="F9569" s="2423"/>
    </row>
    <row r="9570" s="101" customFormat="1" spans="6:6">
      <c r="F9570" s="2423"/>
    </row>
    <row r="9571" s="101" customFormat="1" spans="6:6">
      <c r="F9571" s="2423"/>
    </row>
    <row r="9572" s="101" customFormat="1" spans="6:6">
      <c r="F9572" s="2423"/>
    </row>
    <row r="9573" s="101" customFormat="1" spans="6:6">
      <c r="F9573" s="2423"/>
    </row>
    <row r="9574" s="101" customFormat="1" spans="6:6">
      <c r="F9574" s="2423"/>
    </row>
    <row r="9575" s="101" customFormat="1" spans="6:6">
      <c r="F9575" s="2423"/>
    </row>
    <row r="9576" s="101" customFormat="1" spans="6:6">
      <c r="F9576" s="2423"/>
    </row>
    <row r="9577" s="101" customFormat="1" spans="6:6">
      <c r="F9577" s="2423"/>
    </row>
    <row r="9578" s="101" customFormat="1" spans="6:6">
      <c r="F9578" s="2423"/>
    </row>
    <row r="9579" s="101" customFormat="1" spans="6:6">
      <c r="F9579" s="2423"/>
    </row>
    <row r="9580" s="101" customFormat="1" spans="6:6">
      <c r="F9580" s="2423"/>
    </row>
    <row r="9581" s="101" customFormat="1" spans="6:6">
      <c r="F9581" s="2423"/>
    </row>
    <row r="9582" s="101" customFormat="1" spans="6:6">
      <c r="F9582" s="2423"/>
    </row>
    <row r="9583" s="101" customFormat="1" spans="6:6">
      <c r="F9583" s="2423"/>
    </row>
    <row r="9584" s="101" customFormat="1" spans="6:6">
      <c r="F9584" s="2423"/>
    </row>
    <row r="9585" s="101" customFormat="1" spans="6:6">
      <c r="F9585" s="2423"/>
    </row>
    <row r="9586" s="101" customFormat="1" spans="6:6">
      <c r="F9586" s="2423"/>
    </row>
    <row r="9587" s="101" customFormat="1" spans="6:6">
      <c r="F9587" s="2423"/>
    </row>
    <row r="9588" s="101" customFormat="1" spans="6:6">
      <c r="F9588" s="2423"/>
    </row>
    <row r="9589" s="101" customFormat="1" spans="6:6">
      <c r="F9589" s="2423"/>
    </row>
    <row r="9590" s="101" customFormat="1" spans="6:6">
      <c r="F9590" s="2423"/>
    </row>
    <row r="9591" s="101" customFormat="1" spans="6:6">
      <c r="F9591" s="2423"/>
    </row>
    <row r="9592" s="101" customFormat="1" spans="6:6">
      <c r="F9592" s="2423"/>
    </row>
    <row r="9593" s="101" customFormat="1" spans="6:6">
      <c r="F9593" s="2423"/>
    </row>
    <row r="9594" s="101" customFormat="1" spans="6:6">
      <c r="F9594" s="2423"/>
    </row>
    <row r="9595" s="101" customFormat="1" spans="6:6">
      <c r="F9595" s="2423"/>
    </row>
    <row r="9596" s="101" customFormat="1" spans="6:6">
      <c r="F9596" s="2423"/>
    </row>
    <row r="9597" s="101" customFormat="1" spans="6:6">
      <c r="F9597" s="2423"/>
    </row>
    <row r="9598" s="101" customFormat="1" spans="6:6">
      <c r="F9598" s="2423"/>
    </row>
    <row r="9599" s="101" customFormat="1" spans="6:6">
      <c r="F9599" s="2423"/>
    </row>
    <row r="9600" s="101" customFormat="1" spans="6:6">
      <c r="F9600" s="2423"/>
    </row>
    <row r="9601" s="101" customFormat="1" spans="6:6">
      <c r="F9601" s="2423"/>
    </row>
    <row r="9602" s="101" customFormat="1" spans="6:6">
      <c r="F9602" s="2423"/>
    </row>
    <row r="9603" s="101" customFormat="1" spans="6:6">
      <c r="F9603" s="2423"/>
    </row>
    <row r="9604" s="101" customFormat="1" spans="6:6">
      <c r="F9604" s="2423"/>
    </row>
    <row r="9605" s="101" customFormat="1" spans="6:6">
      <c r="F9605" s="2423"/>
    </row>
    <row r="9606" s="101" customFormat="1" spans="6:6">
      <c r="F9606" s="2423"/>
    </row>
    <row r="9607" s="101" customFormat="1" spans="6:6">
      <c r="F9607" s="2423"/>
    </row>
    <row r="9608" s="101" customFormat="1" spans="6:6">
      <c r="F9608" s="2423"/>
    </row>
    <row r="9609" s="101" customFormat="1" spans="6:6">
      <c r="F9609" s="2423"/>
    </row>
    <row r="9610" s="101" customFormat="1" spans="6:6">
      <c r="F9610" s="2423"/>
    </row>
    <row r="9611" s="101" customFormat="1" spans="6:6">
      <c r="F9611" s="2423"/>
    </row>
    <row r="9612" s="101" customFormat="1" spans="6:6">
      <c r="F9612" s="2423"/>
    </row>
    <row r="9613" s="101" customFormat="1" spans="6:6">
      <c r="F9613" s="2423"/>
    </row>
    <row r="9614" s="101" customFormat="1" spans="6:6">
      <c r="F9614" s="2423"/>
    </row>
    <row r="9615" s="101" customFormat="1" spans="6:6">
      <c r="F9615" s="2423"/>
    </row>
    <row r="9616" s="101" customFormat="1" spans="6:6">
      <c r="F9616" s="2423"/>
    </row>
    <row r="9617" s="101" customFormat="1" spans="6:6">
      <c r="F9617" s="2423"/>
    </row>
    <row r="9618" s="101" customFormat="1" spans="6:6">
      <c r="F9618" s="2423"/>
    </row>
    <row r="9619" s="101" customFormat="1" spans="6:6">
      <c r="F9619" s="2423"/>
    </row>
    <row r="9620" s="101" customFormat="1" spans="6:6">
      <c r="F9620" s="2423"/>
    </row>
    <row r="9621" s="101" customFormat="1" spans="6:6">
      <c r="F9621" s="2423"/>
    </row>
    <row r="9622" s="101" customFormat="1" spans="6:6">
      <c r="F9622" s="2423"/>
    </row>
    <row r="9623" s="101" customFormat="1" spans="6:6">
      <c r="F9623" s="2423"/>
    </row>
    <row r="9624" s="101" customFormat="1" spans="6:6">
      <c r="F9624" s="2423"/>
    </row>
    <row r="9625" s="101" customFormat="1" spans="6:6">
      <c r="F9625" s="2423"/>
    </row>
    <row r="9626" s="101" customFormat="1" spans="6:6">
      <c r="F9626" s="2423"/>
    </row>
    <row r="9627" s="101" customFormat="1" spans="6:6">
      <c r="F9627" s="2423"/>
    </row>
    <row r="9628" s="101" customFormat="1" spans="6:6">
      <c r="F9628" s="2423"/>
    </row>
    <row r="9629" s="101" customFormat="1" spans="6:6">
      <c r="F9629" s="2423"/>
    </row>
    <row r="9630" s="101" customFormat="1" spans="6:6">
      <c r="F9630" s="2423"/>
    </row>
    <row r="9631" s="101" customFormat="1" spans="6:6">
      <c r="F9631" s="2423"/>
    </row>
    <row r="9632" s="101" customFormat="1" spans="6:6">
      <c r="F9632" s="2423"/>
    </row>
    <row r="9633" s="101" customFormat="1" spans="6:6">
      <c r="F9633" s="2423"/>
    </row>
    <row r="9634" s="101" customFormat="1" spans="6:6">
      <c r="F9634" s="2423"/>
    </row>
    <row r="9635" s="101" customFormat="1" spans="6:6">
      <c r="F9635" s="2423"/>
    </row>
    <row r="9636" s="101" customFormat="1" spans="6:6">
      <c r="F9636" s="2423"/>
    </row>
    <row r="9637" s="101" customFormat="1" spans="6:6">
      <c r="F9637" s="2423"/>
    </row>
    <row r="9638" s="101" customFormat="1" spans="6:6">
      <c r="F9638" s="2423"/>
    </row>
    <row r="9639" s="101" customFormat="1" spans="6:6">
      <c r="F9639" s="2423"/>
    </row>
    <row r="9640" s="101" customFormat="1" spans="6:6">
      <c r="F9640" s="2423"/>
    </row>
    <row r="9641" s="101" customFormat="1" spans="6:6">
      <c r="F9641" s="2423"/>
    </row>
    <row r="9642" s="101" customFormat="1" spans="6:6">
      <c r="F9642" s="2423"/>
    </row>
    <row r="9643" s="101" customFormat="1" spans="6:6">
      <c r="F9643" s="2423"/>
    </row>
    <row r="9644" s="101" customFormat="1" spans="6:6">
      <c r="F9644" s="2423"/>
    </row>
    <row r="9645" s="101" customFormat="1" spans="6:6">
      <c r="F9645" s="2423"/>
    </row>
    <row r="9646" s="101" customFormat="1" spans="6:6">
      <c r="F9646" s="2423"/>
    </row>
    <row r="9647" s="101" customFormat="1" spans="6:6">
      <c r="F9647" s="2423"/>
    </row>
    <row r="9648" s="101" customFormat="1" spans="6:6">
      <c r="F9648" s="2423"/>
    </row>
    <row r="9649" s="101" customFormat="1" spans="6:6">
      <c r="F9649" s="2423"/>
    </row>
    <row r="9650" s="101" customFormat="1" spans="6:6">
      <c r="F9650" s="2423"/>
    </row>
    <row r="9651" s="101" customFormat="1" spans="6:6">
      <c r="F9651" s="2423"/>
    </row>
    <row r="9652" s="101" customFormat="1" spans="6:6">
      <c r="F9652" s="2423"/>
    </row>
    <row r="9653" s="101" customFormat="1" spans="6:6">
      <c r="F9653" s="2423"/>
    </row>
    <row r="9654" s="101" customFormat="1" spans="6:6">
      <c r="F9654" s="2423"/>
    </row>
    <row r="9655" s="101" customFormat="1" spans="6:6">
      <c r="F9655" s="2423"/>
    </row>
    <row r="9656" s="101" customFormat="1" spans="6:6">
      <c r="F9656" s="2423"/>
    </row>
    <row r="9657" s="101" customFormat="1" spans="6:6">
      <c r="F9657" s="2423"/>
    </row>
    <row r="9658" s="101" customFormat="1" spans="6:6">
      <c r="F9658" s="2423"/>
    </row>
    <row r="9659" s="101" customFormat="1" spans="6:6">
      <c r="F9659" s="2423"/>
    </row>
    <row r="9660" s="101" customFormat="1" spans="6:6">
      <c r="F9660" s="2423"/>
    </row>
    <row r="9661" s="101" customFormat="1" spans="6:6">
      <c r="F9661" s="2423"/>
    </row>
    <row r="9662" s="101" customFormat="1" spans="6:6">
      <c r="F9662" s="2423"/>
    </row>
    <row r="9663" s="101" customFormat="1" spans="6:6">
      <c r="F9663" s="2423"/>
    </row>
    <row r="9664" s="101" customFormat="1" spans="6:6">
      <c r="F9664" s="2423"/>
    </row>
    <row r="9665" s="101" customFormat="1" spans="6:6">
      <c r="F9665" s="2423"/>
    </row>
    <row r="9666" s="101" customFormat="1" spans="6:6">
      <c r="F9666" s="2423"/>
    </row>
    <row r="9667" s="101" customFormat="1" spans="6:6">
      <c r="F9667" s="2423"/>
    </row>
    <row r="9668" s="101" customFormat="1" spans="6:6">
      <c r="F9668" s="2423"/>
    </row>
    <row r="9669" s="101" customFormat="1" spans="6:6">
      <c r="F9669" s="2423"/>
    </row>
    <row r="9670" s="101" customFormat="1" spans="6:6">
      <c r="F9670" s="2423"/>
    </row>
    <row r="9671" s="101" customFormat="1" spans="6:6">
      <c r="F9671" s="2423"/>
    </row>
    <row r="9672" s="101" customFormat="1" spans="6:6">
      <c r="F9672" s="2423"/>
    </row>
    <row r="9673" s="101" customFormat="1" spans="6:6">
      <c r="F9673" s="2423"/>
    </row>
    <row r="9674" s="101" customFormat="1" spans="6:6">
      <c r="F9674" s="2423"/>
    </row>
    <row r="9675" s="101" customFormat="1" spans="6:6">
      <c r="F9675" s="2423"/>
    </row>
    <row r="9676" s="101" customFormat="1" spans="6:6">
      <c r="F9676" s="2423"/>
    </row>
    <row r="9677" s="101" customFormat="1" spans="6:6">
      <c r="F9677" s="2423"/>
    </row>
    <row r="9678" s="101" customFormat="1" spans="6:6">
      <c r="F9678" s="2423"/>
    </row>
    <row r="9679" s="101" customFormat="1" spans="6:6">
      <c r="F9679" s="2423"/>
    </row>
    <row r="9680" s="101" customFormat="1" spans="6:6">
      <c r="F9680" s="2423"/>
    </row>
    <row r="9681" s="101" customFormat="1" spans="6:6">
      <c r="F9681" s="2423"/>
    </row>
    <row r="9682" s="101" customFormat="1" spans="6:6">
      <c r="F9682" s="2423"/>
    </row>
    <row r="9683" s="101" customFormat="1" spans="6:6">
      <c r="F9683" s="2423"/>
    </row>
    <row r="9684" s="101" customFormat="1" spans="6:6">
      <c r="F9684" s="2423"/>
    </row>
    <row r="9685" s="101" customFormat="1" spans="6:6">
      <c r="F9685" s="2423"/>
    </row>
    <row r="9686" s="101" customFormat="1" spans="6:6">
      <c r="F9686" s="2423"/>
    </row>
    <row r="9687" s="101" customFormat="1" spans="6:6">
      <c r="F9687" s="2423"/>
    </row>
    <row r="9688" s="101" customFormat="1" spans="6:6">
      <c r="F9688" s="2423"/>
    </row>
    <row r="9689" s="101" customFormat="1" spans="6:6">
      <c r="F9689" s="2423"/>
    </row>
    <row r="9690" s="101" customFormat="1" spans="6:6">
      <c r="F9690" s="2423"/>
    </row>
    <row r="9691" s="101" customFormat="1" spans="6:6">
      <c r="F9691" s="2423"/>
    </row>
    <row r="9692" s="101" customFormat="1" spans="6:6">
      <c r="F9692" s="2423"/>
    </row>
    <row r="9693" s="101" customFormat="1" spans="6:6">
      <c r="F9693" s="2423"/>
    </row>
    <row r="9694" s="101" customFormat="1" spans="6:6">
      <c r="F9694" s="2423"/>
    </row>
    <row r="9695" s="101" customFormat="1" spans="6:6">
      <c r="F9695" s="2423"/>
    </row>
    <row r="9696" s="101" customFormat="1" spans="6:6">
      <c r="F9696" s="2423"/>
    </row>
    <row r="9697" s="101" customFormat="1" spans="6:6">
      <c r="F9697" s="2423"/>
    </row>
    <row r="9698" s="101" customFormat="1" spans="6:6">
      <c r="F9698" s="2423"/>
    </row>
    <row r="9699" s="101" customFormat="1" spans="6:6">
      <c r="F9699" s="2423"/>
    </row>
    <row r="9700" s="101" customFormat="1" spans="6:6">
      <c r="F9700" s="2423"/>
    </row>
    <row r="9701" s="101" customFormat="1" spans="6:6">
      <c r="F9701" s="2423"/>
    </row>
    <row r="9702" s="101" customFormat="1" spans="6:6">
      <c r="F9702" s="2423"/>
    </row>
    <row r="9703" s="101" customFormat="1" spans="6:6">
      <c r="F9703" s="2423"/>
    </row>
    <row r="9704" s="101" customFormat="1" spans="6:6">
      <c r="F9704" s="2423"/>
    </row>
    <row r="9705" s="101" customFormat="1" spans="6:6">
      <c r="F9705" s="2423"/>
    </row>
    <row r="9706" s="101" customFormat="1" spans="6:6">
      <c r="F9706" s="2423"/>
    </row>
    <row r="9707" s="101" customFormat="1" spans="6:6">
      <c r="F9707" s="2423"/>
    </row>
    <row r="9708" s="101" customFormat="1" spans="6:6">
      <c r="F9708" s="2423"/>
    </row>
    <row r="9709" s="101" customFormat="1" spans="6:6">
      <c r="F9709" s="2423"/>
    </row>
    <row r="9710" s="101" customFormat="1" spans="6:6">
      <c r="F9710" s="2423"/>
    </row>
    <row r="9711" s="101" customFormat="1" spans="6:6">
      <c r="F9711" s="2423"/>
    </row>
    <row r="9712" s="101" customFormat="1" spans="6:6">
      <c r="F9712" s="2423"/>
    </row>
    <row r="9713" s="101" customFormat="1" spans="6:6">
      <c r="F9713" s="2423"/>
    </row>
    <row r="9714" s="101" customFormat="1" spans="6:6">
      <c r="F9714" s="2423"/>
    </row>
    <row r="9715" s="101" customFormat="1" spans="6:6">
      <c r="F9715" s="2423"/>
    </row>
    <row r="9716" s="101" customFormat="1" spans="6:6">
      <c r="F9716" s="2423"/>
    </row>
    <row r="9717" s="101" customFormat="1" spans="6:6">
      <c r="F9717" s="2423"/>
    </row>
    <row r="9718" s="101" customFormat="1" spans="6:6">
      <c r="F9718" s="2423"/>
    </row>
    <row r="9719" s="101" customFormat="1" spans="6:6">
      <c r="F9719" s="2423"/>
    </row>
    <row r="9720" s="101" customFormat="1" spans="6:6">
      <c r="F9720" s="2423"/>
    </row>
    <row r="9721" s="101" customFormat="1" spans="6:6">
      <c r="F9721" s="2423"/>
    </row>
    <row r="9722" s="101" customFormat="1" spans="6:6">
      <c r="F9722" s="2423"/>
    </row>
    <row r="9723" s="101" customFormat="1" spans="6:6">
      <c r="F9723" s="2423"/>
    </row>
    <row r="9724" s="101" customFormat="1" spans="6:6">
      <c r="F9724" s="2423"/>
    </row>
    <row r="9725" s="101" customFormat="1" spans="6:6">
      <c r="F9725" s="2423"/>
    </row>
    <row r="9726" s="101" customFormat="1" spans="6:6">
      <c r="F9726" s="2423"/>
    </row>
    <row r="9727" s="101" customFormat="1" spans="6:6">
      <c r="F9727" s="2423"/>
    </row>
    <row r="9728" s="101" customFormat="1" spans="6:6">
      <c r="F9728" s="2423"/>
    </row>
    <row r="9729" s="101" customFormat="1" spans="6:6">
      <c r="F9729" s="2423"/>
    </row>
    <row r="9730" s="101" customFormat="1" spans="6:6">
      <c r="F9730" s="2423"/>
    </row>
    <row r="9731" s="101" customFormat="1" spans="6:6">
      <c r="F9731" s="2423"/>
    </row>
    <row r="9732" s="101" customFormat="1" spans="6:6">
      <c r="F9732" s="2423"/>
    </row>
    <row r="9733" s="101" customFormat="1" spans="6:6">
      <c r="F9733" s="2423"/>
    </row>
    <row r="9734" s="101" customFormat="1" spans="6:6">
      <c r="F9734" s="2423"/>
    </row>
    <row r="9735" s="101" customFormat="1" spans="6:6">
      <c r="F9735" s="2423"/>
    </row>
    <row r="9736" s="101" customFormat="1" spans="6:6">
      <c r="F9736" s="2423"/>
    </row>
    <row r="9737" s="101" customFormat="1" spans="6:6">
      <c r="F9737" s="2423"/>
    </row>
    <row r="9738" s="101" customFormat="1" spans="6:6">
      <c r="F9738" s="2423"/>
    </row>
    <row r="9739" s="101" customFormat="1" spans="6:6">
      <c r="F9739" s="2423"/>
    </row>
    <row r="9740" s="101" customFormat="1" spans="6:6">
      <c r="F9740" s="2423"/>
    </row>
    <row r="9741" s="101" customFormat="1" spans="6:6">
      <c r="F9741" s="2423"/>
    </row>
    <row r="9742" s="101" customFormat="1" spans="6:6">
      <c r="F9742" s="2423"/>
    </row>
    <row r="9743" s="101" customFormat="1" spans="6:6">
      <c r="F9743" s="2423"/>
    </row>
    <row r="9744" s="101" customFormat="1" spans="6:6">
      <c r="F9744" s="2423"/>
    </row>
    <row r="9745" s="101" customFormat="1" spans="6:6">
      <c r="F9745" s="2423"/>
    </row>
    <row r="9746" s="101" customFormat="1" spans="6:6">
      <c r="F9746" s="2423"/>
    </row>
    <row r="9747" s="101" customFormat="1" spans="6:6">
      <c r="F9747" s="2423"/>
    </row>
    <row r="9748" s="101" customFormat="1" spans="6:6">
      <c r="F9748" s="2423"/>
    </row>
    <row r="9749" s="101" customFormat="1" spans="6:6">
      <c r="F9749" s="2423"/>
    </row>
    <row r="9750" s="101" customFormat="1" spans="6:6">
      <c r="F9750" s="2423"/>
    </row>
    <row r="9751" s="101" customFormat="1" spans="6:6">
      <c r="F9751" s="2423"/>
    </row>
    <row r="9752" s="101" customFormat="1" spans="6:6">
      <c r="F9752" s="2423"/>
    </row>
    <row r="9753" s="101" customFormat="1" spans="6:6">
      <c r="F9753" s="2423"/>
    </row>
    <row r="9754" s="101" customFormat="1" spans="6:6">
      <c r="F9754" s="2423"/>
    </row>
    <row r="9755" s="101" customFormat="1" spans="6:6">
      <c r="F9755" s="2423"/>
    </row>
    <row r="9756" s="101" customFormat="1" spans="6:6">
      <c r="F9756" s="2423"/>
    </row>
    <row r="9757" s="101" customFormat="1" spans="6:6">
      <c r="F9757" s="2423"/>
    </row>
    <row r="9758" s="101" customFormat="1" spans="6:6">
      <c r="F9758" s="2423"/>
    </row>
    <row r="9759" s="101" customFormat="1" spans="6:6">
      <c r="F9759" s="2423"/>
    </row>
    <row r="9760" s="101" customFormat="1" spans="6:6">
      <c r="F9760" s="2423"/>
    </row>
    <row r="9761" s="101" customFormat="1" spans="6:6">
      <c r="F9761" s="2423"/>
    </row>
    <row r="9762" s="101" customFormat="1" spans="6:6">
      <c r="F9762" s="2423"/>
    </row>
    <row r="9763" s="101" customFormat="1" spans="6:6">
      <c r="F9763" s="2423"/>
    </row>
    <row r="9764" s="101" customFormat="1" spans="6:6">
      <c r="F9764" s="2423"/>
    </row>
    <row r="9765" s="101" customFormat="1" spans="6:6">
      <c r="F9765" s="2423"/>
    </row>
    <row r="9766" s="101" customFormat="1" spans="6:6">
      <c r="F9766" s="2423"/>
    </row>
    <row r="9767" s="101" customFormat="1" spans="6:6">
      <c r="F9767" s="2423"/>
    </row>
    <row r="9768" s="101" customFormat="1" spans="6:6">
      <c r="F9768" s="2423"/>
    </row>
    <row r="9769" s="101" customFormat="1" spans="6:6">
      <c r="F9769" s="2423"/>
    </row>
    <row r="9770" s="101" customFormat="1" spans="6:6">
      <c r="F9770" s="2423"/>
    </row>
    <row r="9771" s="101" customFormat="1" spans="6:6">
      <c r="F9771" s="2423"/>
    </row>
    <row r="9772" s="101" customFormat="1" spans="6:6">
      <c r="F9772" s="2423"/>
    </row>
    <row r="9773" s="101" customFormat="1" spans="6:6">
      <c r="F9773" s="2423"/>
    </row>
    <row r="9774" s="101" customFormat="1" spans="6:6">
      <c r="F9774" s="2423"/>
    </row>
    <row r="9775" s="101" customFormat="1" spans="6:6">
      <c r="F9775" s="2423"/>
    </row>
    <row r="9776" s="101" customFormat="1" spans="6:6">
      <c r="F9776" s="2423"/>
    </row>
    <row r="9777" s="101" customFormat="1" spans="6:6">
      <c r="F9777" s="2423"/>
    </row>
    <row r="9778" s="101" customFormat="1" spans="6:6">
      <c r="F9778" s="2423"/>
    </row>
    <row r="9779" s="101" customFormat="1" spans="6:6">
      <c r="F9779" s="2423"/>
    </row>
    <row r="9780" s="101" customFormat="1" spans="6:6">
      <c r="F9780" s="2423"/>
    </row>
    <row r="9781" s="101" customFormat="1" spans="6:6">
      <c r="F9781" s="2423"/>
    </row>
    <row r="9782" s="101" customFormat="1" spans="6:6">
      <c r="F9782" s="2423"/>
    </row>
    <row r="9783" s="101" customFormat="1" spans="6:6">
      <c r="F9783" s="2423"/>
    </row>
    <row r="9784" s="101" customFormat="1" spans="6:6">
      <c r="F9784" s="2423"/>
    </row>
    <row r="9785" s="101" customFormat="1" spans="6:6">
      <c r="F9785" s="2423"/>
    </row>
    <row r="9786" s="101" customFormat="1" spans="6:6">
      <c r="F9786" s="2423"/>
    </row>
    <row r="9787" s="101" customFormat="1" spans="6:6">
      <c r="F9787" s="2423"/>
    </row>
    <row r="9788" s="101" customFormat="1" spans="6:6">
      <c r="F9788" s="2423"/>
    </row>
    <row r="9789" s="101" customFormat="1" spans="6:6">
      <c r="F9789" s="2423"/>
    </row>
    <row r="9790" s="101" customFormat="1" spans="6:6">
      <c r="F9790" s="2423"/>
    </row>
    <row r="9791" s="101" customFormat="1" spans="6:6">
      <c r="F9791" s="2423"/>
    </row>
    <row r="9792" s="101" customFormat="1" spans="6:6">
      <c r="F9792" s="2423"/>
    </row>
    <row r="9793" s="101" customFormat="1" spans="6:6">
      <c r="F9793" s="2423"/>
    </row>
    <row r="9794" s="101" customFormat="1" spans="6:6">
      <c r="F9794" s="2423"/>
    </row>
    <row r="9795" s="101" customFormat="1" spans="6:6">
      <c r="F9795" s="2423"/>
    </row>
    <row r="9796" s="101" customFormat="1" spans="6:6">
      <c r="F9796" s="2423"/>
    </row>
    <row r="9797" s="101" customFormat="1" spans="6:6">
      <c r="F9797" s="2423"/>
    </row>
    <row r="9798" s="101" customFormat="1" spans="6:6">
      <c r="F9798" s="2423"/>
    </row>
    <row r="9799" s="101" customFormat="1" spans="6:6">
      <c r="F9799" s="2423"/>
    </row>
    <row r="9800" s="101" customFormat="1" spans="6:6">
      <c r="F9800" s="2423"/>
    </row>
    <row r="9801" s="101" customFormat="1" spans="6:6">
      <c r="F9801" s="2423"/>
    </row>
    <row r="9802" s="101" customFormat="1" spans="6:6">
      <c r="F9802" s="2423"/>
    </row>
    <row r="9803" s="101" customFormat="1" spans="6:6">
      <c r="F9803" s="2423"/>
    </row>
    <row r="9804" s="101" customFormat="1" spans="6:6">
      <c r="F9804" s="2423"/>
    </row>
    <row r="9805" s="101" customFormat="1" spans="6:6">
      <c r="F9805" s="2423"/>
    </row>
    <row r="9806" s="101" customFormat="1" spans="6:6">
      <c r="F9806" s="2423"/>
    </row>
    <row r="9807" s="101" customFormat="1" spans="6:6">
      <c r="F9807" s="2423"/>
    </row>
    <row r="9808" s="101" customFormat="1" spans="6:6">
      <c r="F9808" s="2423"/>
    </row>
    <row r="9809" s="101" customFormat="1" spans="6:6">
      <c r="F9809" s="2423"/>
    </row>
    <row r="9810" s="101" customFormat="1" spans="6:6">
      <c r="F9810" s="2423"/>
    </row>
    <row r="9811" s="101" customFormat="1" spans="6:6">
      <c r="F9811" s="2423"/>
    </row>
    <row r="9812" s="101" customFormat="1" spans="6:6">
      <c r="F9812" s="2423"/>
    </row>
    <row r="9813" s="101" customFormat="1" spans="6:6">
      <c r="F9813" s="2423"/>
    </row>
    <row r="9814" s="101" customFormat="1" spans="6:6">
      <c r="F9814" s="2423"/>
    </row>
    <row r="9815" s="101" customFormat="1" spans="6:6">
      <c r="F9815" s="2423"/>
    </row>
    <row r="9816" s="101" customFormat="1" spans="6:6">
      <c r="F9816" s="2423"/>
    </row>
    <row r="9817" s="101" customFormat="1" spans="6:6">
      <c r="F9817" s="2423"/>
    </row>
    <row r="9818" s="101" customFormat="1" spans="6:6">
      <c r="F9818" s="2423"/>
    </row>
    <row r="9819" s="101" customFormat="1" spans="6:6">
      <c r="F9819" s="2423"/>
    </row>
    <row r="9820" s="101" customFormat="1" spans="6:6">
      <c r="F9820" s="2423"/>
    </row>
    <row r="9821" s="101" customFormat="1" spans="6:6">
      <c r="F9821" s="2423"/>
    </row>
    <row r="9822" s="101" customFormat="1" spans="6:6">
      <c r="F9822" s="2423"/>
    </row>
    <row r="9823" s="101" customFormat="1" spans="6:6">
      <c r="F9823" s="2423"/>
    </row>
    <row r="9824" s="101" customFormat="1" spans="6:6">
      <c r="F9824" s="2423"/>
    </row>
    <row r="9825" s="101" customFormat="1" spans="6:6">
      <c r="F9825" s="2423"/>
    </row>
    <row r="9826" s="101" customFormat="1" spans="6:6">
      <c r="F9826" s="2423"/>
    </row>
    <row r="9827" s="101" customFormat="1" spans="6:6">
      <c r="F9827" s="2423"/>
    </row>
    <row r="9828" s="101" customFormat="1" spans="6:6">
      <c r="F9828" s="2423"/>
    </row>
    <row r="9829" s="101" customFormat="1" spans="6:6">
      <c r="F9829" s="2423"/>
    </row>
    <row r="9830" s="101" customFormat="1" spans="6:6">
      <c r="F9830" s="2423"/>
    </row>
    <row r="9831" s="101" customFormat="1" spans="6:6">
      <c r="F9831" s="2423"/>
    </row>
    <row r="9832" s="101" customFormat="1" spans="6:6">
      <c r="F9832" s="2423"/>
    </row>
    <row r="9833" s="101" customFormat="1" spans="6:6">
      <c r="F9833" s="2423"/>
    </row>
    <row r="9834" s="101" customFormat="1" spans="6:6">
      <c r="F9834" s="2423"/>
    </row>
    <row r="9835" s="101" customFormat="1" spans="6:6">
      <c r="F9835" s="2423"/>
    </row>
    <row r="9836" s="101" customFormat="1" spans="6:6">
      <c r="F9836" s="2423"/>
    </row>
    <row r="9837" s="101" customFormat="1" spans="6:6">
      <c r="F9837" s="2423"/>
    </row>
    <row r="9838" s="101" customFormat="1" spans="6:6">
      <c r="F9838" s="2423"/>
    </row>
    <row r="9839" s="101" customFormat="1" spans="6:6">
      <c r="F9839" s="2423"/>
    </row>
    <row r="9840" s="101" customFormat="1" spans="6:6">
      <c r="F9840" s="2423"/>
    </row>
    <row r="9841" s="101" customFormat="1" spans="6:6">
      <c r="F9841" s="2423"/>
    </row>
    <row r="9842" s="101" customFormat="1" spans="6:6">
      <c r="F9842" s="2423"/>
    </row>
    <row r="9843" s="101" customFormat="1" spans="6:6">
      <c r="F9843" s="2423"/>
    </row>
    <row r="9844" s="101" customFormat="1" spans="6:6">
      <c r="F9844" s="2423"/>
    </row>
    <row r="9845" s="101" customFormat="1" spans="6:6">
      <c r="F9845" s="2423"/>
    </row>
    <row r="9846" s="101" customFormat="1" spans="6:6">
      <c r="F9846" s="2423"/>
    </row>
    <row r="9847" s="101" customFormat="1" spans="6:6">
      <c r="F9847" s="2423"/>
    </row>
    <row r="9848" s="101" customFormat="1" spans="6:6">
      <c r="F9848" s="2423"/>
    </row>
    <row r="9849" s="101" customFormat="1" spans="6:6">
      <c r="F9849" s="2423"/>
    </row>
    <row r="9850" s="101" customFormat="1" spans="6:6">
      <c r="F9850" s="2423"/>
    </row>
    <row r="9851" s="101" customFormat="1" spans="6:6">
      <c r="F9851" s="2423"/>
    </row>
    <row r="9852" s="101" customFormat="1" spans="6:6">
      <c r="F9852" s="2423"/>
    </row>
    <row r="9853" s="101" customFormat="1" spans="6:6">
      <c r="F9853" s="2423"/>
    </row>
    <row r="9854" s="101" customFormat="1" spans="6:6">
      <c r="F9854" s="2423"/>
    </row>
    <row r="9855" s="101" customFormat="1" spans="6:6">
      <c r="F9855" s="2423"/>
    </row>
    <row r="9856" s="101" customFormat="1" spans="6:6">
      <c r="F9856" s="2423"/>
    </row>
    <row r="9857" s="101" customFormat="1" spans="6:6">
      <c r="F9857" s="2423"/>
    </row>
    <row r="9858" s="101" customFormat="1" spans="6:6">
      <c r="F9858" s="2423"/>
    </row>
    <row r="9859" s="101" customFormat="1" spans="6:6">
      <c r="F9859" s="2423"/>
    </row>
    <row r="9860" s="101" customFormat="1" spans="6:6">
      <c r="F9860" s="2423"/>
    </row>
    <row r="9861" s="101" customFormat="1" spans="6:6">
      <c r="F9861" s="2423"/>
    </row>
    <row r="9862" s="101" customFormat="1" spans="6:6">
      <c r="F9862" s="2423"/>
    </row>
    <row r="9863" s="101" customFormat="1" spans="6:6">
      <c r="F9863" s="2423"/>
    </row>
    <row r="9864" s="101" customFormat="1" spans="6:6">
      <c r="F9864" s="2423"/>
    </row>
    <row r="9865" s="101" customFormat="1" spans="6:6">
      <c r="F9865" s="2423"/>
    </row>
    <row r="9866" s="101" customFormat="1" spans="6:6">
      <c r="F9866" s="2423"/>
    </row>
    <row r="9867" s="101" customFormat="1" spans="6:6">
      <c r="F9867" s="2423"/>
    </row>
    <row r="9868" s="101" customFormat="1" spans="6:6">
      <c r="F9868" s="2423"/>
    </row>
    <row r="9869" s="101" customFormat="1" spans="6:6">
      <c r="F9869" s="2423"/>
    </row>
    <row r="9870" s="101" customFormat="1" spans="6:6">
      <c r="F9870" s="2423"/>
    </row>
    <row r="9871" s="101" customFormat="1" spans="6:6">
      <c r="F9871" s="2423"/>
    </row>
    <row r="9872" s="101" customFormat="1" spans="6:6">
      <c r="F9872" s="2423"/>
    </row>
    <row r="9873" s="101" customFormat="1" spans="6:6">
      <c r="F9873" s="2423"/>
    </row>
    <row r="9874" s="101" customFormat="1" spans="6:6">
      <c r="F9874" s="2423"/>
    </row>
    <row r="9875" s="101" customFormat="1" spans="6:6">
      <c r="F9875" s="2423"/>
    </row>
    <row r="9876" s="101" customFormat="1" spans="6:6">
      <c r="F9876" s="2423"/>
    </row>
    <row r="9877" s="101" customFormat="1" spans="6:6">
      <c r="F9877" s="2423"/>
    </row>
    <row r="9878" s="101" customFormat="1" spans="6:6">
      <c r="F9878" s="2423"/>
    </row>
    <row r="9879" s="101" customFormat="1" spans="6:6">
      <c r="F9879" s="2423"/>
    </row>
    <row r="9880" s="101" customFormat="1" spans="6:6">
      <c r="F9880" s="2423"/>
    </row>
    <row r="9881" s="101" customFormat="1" spans="6:6">
      <c r="F9881" s="2423"/>
    </row>
    <row r="9882" s="101" customFormat="1" spans="6:6">
      <c r="F9882" s="2423"/>
    </row>
    <row r="9883" s="101" customFormat="1" spans="6:6">
      <c r="F9883" s="2423"/>
    </row>
    <row r="9884" s="101" customFormat="1" spans="6:6">
      <c r="F9884" s="2423"/>
    </row>
    <row r="9885" s="101" customFormat="1" spans="6:6">
      <c r="F9885" s="2423"/>
    </row>
    <row r="9886" s="101" customFormat="1" spans="6:6">
      <c r="F9886" s="2423"/>
    </row>
    <row r="9887" s="101" customFormat="1" spans="6:6">
      <c r="F9887" s="2423"/>
    </row>
    <row r="9888" s="101" customFormat="1" spans="6:6">
      <c r="F9888" s="2423"/>
    </row>
    <row r="9889" s="101" customFormat="1" spans="6:6">
      <c r="F9889" s="2423"/>
    </row>
    <row r="9890" s="101" customFormat="1" spans="6:6">
      <c r="F9890" s="2423"/>
    </row>
    <row r="9891" s="101" customFormat="1" spans="6:6">
      <c r="F9891" s="2423"/>
    </row>
    <row r="9892" s="101" customFormat="1" spans="6:6">
      <c r="F9892" s="2423"/>
    </row>
    <row r="9893" s="101" customFormat="1" spans="6:6">
      <c r="F9893" s="2423"/>
    </row>
    <row r="9894" s="101" customFormat="1" spans="6:6">
      <c r="F9894" s="2423"/>
    </row>
    <row r="9895" s="101" customFormat="1" spans="6:6">
      <c r="F9895" s="2423"/>
    </row>
    <row r="9896" s="101" customFormat="1" spans="6:6">
      <c r="F9896" s="2423"/>
    </row>
    <row r="9897" s="101" customFormat="1" spans="6:6">
      <c r="F9897" s="2423"/>
    </row>
    <row r="9898" s="101" customFormat="1" spans="6:6">
      <c r="F9898" s="2423"/>
    </row>
    <row r="9899" s="101" customFormat="1" spans="6:6">
      <c r="F9899" s="2423"/>
    </row>
    <row r="9900" s="101" customFormat="1" spans="6:6">
      <c r="F9900" s="2423"/>
    </row>
    <row r="9901" s="101" customFormat="1" spans="6:6">
      <c r="F9901" s="2423"/>
    </row>
    <row r="9902" s="101" customFormat="1" spans="6:6">
      <c r="F9902" s="2423"/>
    </row>
    <row r="9903" s="101" customFormat="1" spans="6:6">
      <c r="F9903" s="2423"/>
    </row>
    <row r="9904" s="101" customFormat="1" spans="6:6">
      <c r="F9904" s="2423"/>
    </row>
    <row r="9905" s="101" customFormat="1" spans="6:6">
      <c r="F9905" s="2423"/>
    </row>
    <row r="9906" s="101" customFormat="1" spans="6:6">
      <c r="F9906" s="2423"/>
    </row>
    <row r="9907" s="101" customFormat="1" spans="6:6">
      <c r="F9907" s="2423"/>
    </row>
    <row r="9908" s="101" customFormat="1" spans="6:6">
      <c r="F9908" s="2423"/>
    </row>
    <row r="9909" s="101" customFormat="1" spans="6:6">
      <c r="F9909" s="2423"/>
    </row>
    <row r="9910" s="101" customFormat="1" spans="6:6">
      <c r="F9910" s="2423"/>
    </row>
    <row r="9911" s="101" customFormat="1" spans="6:6">
      <c r="F9911" s="2423"/>
    </row>
    <row r="9912" s="101" customFormat="1" spans="6:6">
      <c r="F9912" s="2423"/>
    </row>
    <row r="9913" s="101" customFormat="1" spans="6:6">
      <c r="F9913" s="2423"/>
    </row>
    <row r="9914" s="101" customFormat="1" spans="6:6">
      <c r="F9914" s="2423"/>
    </row>
    <row r="9915" s="101" customFormat="1" spans="6:6">
      <c r="F9915" s="2423"/>
    </row>
    <row r="9916" s="101" customFormat="1" spans="6:6">
      <c r="F9916" s="2423"/>
    </row>
    <row r="9917" s="101" customFormat="1" spans="6:6">
      <c r="F9917" s="2423"/>
    </row>
    <row r="9918" s="101" customFormat="1" spans="6:6">
      <c r="F9918" s="2423"/>
    </row>
    <row r="9919" s="101" customFormat="1" spans="6:6">
      <c r="F9919" s="2423"/>
    </row>
    <row r="9920" s="101" customFormat="1" spans="6:6">
      <c r="F9920" s="2423"/>
    </row>
    <row r="9921" s="101" customFormat="1" spans="6:6">
      <c r="F9921" s="2423"/>
    </row>
    <row r="9922" s="101" customFormat="1" spans="6:6">
      <c r="F9922" s="2423"/>
    </row>
    <row r="9923" s="101" customFormat="1" spans="6:6">
      <c r="F9923" s="2423"/>
    </row>
    <row r="9924" s="101" customFormat="1" spans="6:6">
      <c r="F9924" s="2423"/>
    </row>
    <row r="9925" s="101" customFormat="1" spans="6:6">
      <c r="F9925" s="2423"/>
    </row>
    <row r="9926" s="101" customFormat="1" spans="6:6">
      <c r="F9926" s="2423"/>
    </row>
    <row r="9927" s="101" customFormat="1" spans="6:6">
      <c r="F9927" s="2423"/>
    </row>
    <row r="9928" s="101" customFormat="1" spans="6:6">
      <c r="F9928" s="2423"/>
    </row>
    <row r="9929" s="101" customFormat="1" spans="6:6">
      <c r="F9929" s="2423"/>
    </row>
    <row r="9930" s="101" customFormat="1" spans="6:6">
      <c r="F9930" s="2423"/>
    </row>
    <row r="9931" s="101" customFormat="1" spans="6:6">
      <c r="F9931" s="2423"/>
    </row>
    <row r="9932" s="101" customFormat="1" spans="6:6">
      <c r="F9932" s="2423"/>
    </row>
    <row r="9933" s="101" customFormat="1" spans="6:6">
      <c r="F9933" s="2423"/>
    </row>
    <row r="9934" s="101" customFormat="1" spans="6:6">
      <c r="F9934" s="2423"/>
    </row>
    <row r="9935" s="101" customFormat="1" spans="6:6">
      <c r="F9935" s="2423"/>
    </row>
    <row r="9936" s="101" customFormat="1" spans="6:6">
      <c r="F9936" s="2423"/>
    </row>
    <row r="9937" s="101" customFormat="1" spans="6:6">
      <c r="F9937" s="2423"/>
    </row>
    <row r="9938" s="101" customFormat="1" spans="6:6">
      <c r="F9938" s="2423"/>
    </row>
    <row r="9939" s="101" customFormat="1" spans="6:6">
      <c r="F9939" s="2423"/>
    </row>
    <row r="9940" s="101" customFormat="1" spans="6:6">
      <c r="F9940" s="2423"/>
    </row>
    <row r="9941" s="101" customFormat="1" spans="6:6">
      <c r="F9941" s="2423"/>
    </row>
    <row r="9942" s="101" customFormat="1" spans="6:6">
      <c r="F9942" s="2423"/>
    </row>
    <row r="9943" s="101" customFormat="1" spans="6:6">
      <c r="F9943" s="2423"/>
    </row>
    <row r="9944" s="101" customFormat="1" spans="6:6">
      <c r="F9944" s="2423"/>
    </row>
    <row r="9945" s="101" customFormat="1" spans="6:6">
      <c r="F9945" s="2423"/>
    </row>
    <row r="9946" s="101" customFormat="1" spans="6:6">
      <c r="F9946" s="2423"/>
    </row>
    <row r="9947" s="101" customFormat="1" spans="6:6">
      <c r="F9947" s="2423"/>
    </row>
    <row r="9948" s="101" customFormat="1" spans="6:6">
      <c r="F9948" s="2423"/>
    </row>
    <row r="9949" s="101" customFormat="1" spans="6:6">
      <c r="F9949" s="2423"/>
    </row>
    <row r="9950" s="101" customFormat="1" spans="6:6">
      <c r="F9950" s="2423"/>
    </row>
    <row r="9951" s="101" customFormat="1" spans="6:6">
      <c r="F9951" s="2423"/>
    </row>
    <row r="9952" s="101" customFormat="1" spans="6:6">
      <c r="F9952" s="2423"/>
    </row>
    <row r="9953" s="101" customFormat="1" spans="6:6">
      <c r="F9953" s="2423"/>
    </row>
    <row r="9954" s="101" customFormat="1" spans="6:6">
      <c r="F9954" s="2423"/>
    </row>
    <row r="9955" s="101" customFormat="1" spans="6:6">
      <c r="F9955" s="2423"/>
    </row>
    <row r="9956" s="101" customFormat="1" spans="6:6">
      <c r="F9956" s="2423"/>
    </row>
    <row r="9957" s="101" customFormat="1" spans="6:6">
      <c r="F9957" s="2423"/>
    </row>
    <row r="9958" s="101" customFormat="1" spans="6:6">
      <c r="F9958" s="2423"/>
    </row>
    <row r="9959" s="101" customFormat="1" spans="6:6">
      <c r="F9959" s="2423"/>
    </row>
    <row r="9960" s="101" customFormat="1" spans="6:6">
      <c r="F9960" s="2423"/>
    </row>
    <row r="9961" s="101" customFormat="1" spans="6:6">
      <c r="F9961" s="2423"/>
    </row>
    <row r="9962" s="101" customFormat="1" spans="6:6">
      <c r="F9962" s="2423"/>
    </row>
    <row r="9963" s="101" customFormat="1" spans="6:6">
      <c r="F9963" s="2423"/>
    </row>
    <row r="9964" s="101" customFormat="1" spans="6:6">
      <c r="F9964" s="2423"/>
    </row>
    <row r="9965" s="101" customFormat="1" spans="6:6">
      <c r="F9965" s="2423"/>
    </row>
    <row r="9966" s="101" customFormat="1" spans="6:6">
      <c r="F9966" s="2423"/>
    </row>
    <row r="9967" s="101" customFormat="1" spans="6:6">
      <c r="F9967" s="2423"/>
    </row>
    <row r="9968" s="101" customFormat="1" spans="6:6">
      <c r="F9968" s="2423"/>
    </row>
    <row r="9969" s="101" customFormat="1" spans="6:6">
      <c r="F9969" s="2423"/>
    </row>
    <row r="9970" s="101" customFormat="1" spans="6:6">
      <c r="F9970" s="2423"/>
    </row>
    <row r="9971" s="101" customFormat="1" spans="6:6">
      <c r="F9971" s="2423"/>
    </row>
    <row r="9972" s="101" customFormat="1" spans="6:6">
      <c r="F9972" s="2423"/>
    </row>
    <row r="9973" s="101" customFormat="1" spans="6:6">
      <c r="F9973" s="2423"/>
    </row>
    <row r="9974" s="101" customFormat="1" spans="6:6">
      <c r="F9974" s="2423"/>
    </row>
    <row r="9975" s="101" customFormat="1" spans="6:6">
      <c r="F9975" s="2423"/>
    </row>
    <row r="9976" s="101" customFormat="1" spans="6:6">
      <c r="F9976" s="2423"/>
    </row>
    <row r="9977" s="101" customFormat="1" spans="6:6">
      <c r="F9977" s="2423"/>
    </row>
    <row r="9978" s="101" customFormat="1" spans="6:6">
      <c r="F9978" s="2423"/>
    </row>
    <row r="9979" s="101" customFormat="1" spans="6:6">
      <c r="F9979" s="2423"/>
    </row>
    <row r="9980" s="101" customFormat="1" spans="6:6">
      <c r="F9980" s="2423"/>
    </row>
    <row r="9981" s="101" customFormat="1" spans="6:6">
      <c r="F9981" s="2423"/>
    </row>
    <row r="9982" s="101" customFormat="1" spans="6:6">
      <c r="F9982" s="2423"/>
    </row>
    <row r="9983" s="101" customFormat="1" spans="6:6">
      <c r="F9983" s="2423"/>
    </row>
    <row r="9984" s="101" customFormat="1" spans="6:6">
      <c r="F9984" s="2423"/>
    </row>
    <row r="9985" s="101" customFormat="1" spans="6:6">
      <c r="F9985" s="2423"/>
    </row>
    <row r="9986" s="101" customFormat="1" spans="6:6">
      <c r="F9986" s="2423"/>
    </row>
    <row r="9987" s="101" customFormat="1" spans="6:6">
      <c r="F9987" s="2423"/>
    </row>
    <row r="9988" s="101" customFormat="1" spans="6:6">
      <c r="F9988" s="2423"/>
    </row>
    <row r="9989" s="101" customFormat="1" spans="6:6">
      <c r="F9989" s="2423"/>
    </row>
    <row r="9990" s="101" customFormat="1" spans="6:6">
      <c r="F9990" s="2423"/>
    </row>
    <row r="9991" s="101" customFormat="1" spans="6:6">
      <c r="F9991" s="2423"/>
    </row>
    <row r="9992" s="101" customFormat="1" spans="6:6">
      <c r="F9992" s="2423"/>
    </row>
    <row r="9993" s="101" customFormat="1" spans="6:6">
      <c r="F9993" s="2423"/>
    </row>
    <row r="9994" s="101" customFormat="1" spans="6:6">
      <c r="F9994" s="2423"/>
    </row>
    <row r="9995" s="101" customFormat="1" spans="6:6">
      <c r="F9995" s="2423"/>
    </row>
    <row r="9996" s="101" customFormat="1" spans="6:6">
      <c r="F9996" s="2423"/>
    </row>
    <row r="9997" s="101" customFormat="1" spans="6:6">
      <c r="F9997" s="2423"/>
    </row>
    <row r="9998" s="101" customFormat="1" spans="6:6">
      <c r="F9998" s="2423"/>
    </row>
    <row r="9999" s="101" customFormat="1" spans="6:6">
      <c r="F9999" s="2423"/>
    </row>
    <row r="10000" s="101" customFormat="1" spans="6:6">
      <c r="F10000" s="2423"/>
    </row>
    <row r="10001" s="101" customFormat="1" spans="6:6">
      <c r="F10001" s="2423"/>
    </row>
    <row r="10002" s="101" customFormat="1" spans="6:6">
      <c r="F10002" s="2423"/>
    </row>
    <row r="10003" s="101" customFormat="1" spans="6:6">
      <c r="F10003" s="2423"/>
    </row>
    <row r="10004" s="101" customFormat="1" spans="6:6">
      <c r="F10004" s="2423"/>
    </row>
    <row r="10005" s="101" customFormat="1" spans="6:6">
      <c r="F10005" s="2423"/>
    </row>
    <row r="10006" s="101" customFormat="1" spans="6:6">
      <c r="F10006" s="2423"/>
    </row>
    <row r="10007" s="101" customFormat="1" spans="6:6">
      <c r="F10007" s="2423"/>
    </row>
    <row r="10008" s="101" customFormat="1" spans="6:6">
      <c r="F10008" s="2423"/>
    </row>
    <row r="10009" s="101" customFormat="1" spans="6:6">
      <c r="F10009" s="2423"/>
    </row>
    <row r="10010" s="101" customFormat="1" spans="6:6">
      <c r="F10010" s="2423"/>
    </row>
    <row r="10011" s="101" customFormat="1" spans="6:6">
      <c r="F10011" s="2423"/>
    </row>
    <row r="10012" s="101" customFormat="1" spans="6:6">
      <c r="F10012" s="2423"/>
    </row>
    <row r="10013" s="101" customFormat="1" spans="6:6">
      <c r="F10013" s="2423"/>
    </row>
    <row r="10014" s="101" customFormat="1" spans="6:6">
      <c r="F10014" s="2423"/>
    </row>
    <row r="10015" s="101" customFormat="1" spans="6:6">
      <c r="F10015" s="2423"/>
    </row>
    <row r="10016" s="101" customFormat="1" spans="6:6">
      <c r="F10016" s="2423"/>
    </row>
    <row r="10017" s="101" customFormat="1" spans="6:6">
      <c r="F10017" s="2423"/>
    </row>
    <row r="10018" s="101" customFormat="1" spans="6:6">
      <c r="F10018" s="2423"/>
    </row>
    <row r="10019" s="101" customFormat="1" spans="6:6">
      <c r="F10019" s="2423"/>
    </row>
    <row r="10020" s="101" customFormat="1" spans="6:6">
      <c r="F10020" s="2423"/>
    </row>
    <row r="10021" s="101" customFormat="1" spans="6:6">
      <c r="F10021" s="2423"/>
    </row>
    <row r="10022" s="101" customFormat="1" spans="6:6">
      <c r="F10022" s="2423"/>
    </row>
    <row r="10023" s="101" customFormat="1" spans="6:6">
      <c r="F10023" s="2423"/>
    </row>
    <row r="10024" s="101" customFormat="1" spans="6:6">
      <c r="F10024" s="2423"/>
    </row>
    <row r="10025" s="101" customFormat="1" spans="6:6">
      <c r="F10025" s="2423"/>
    </row>
    <row r="10026" s="101" customFormat="1" spans="6:6">
      <c r="F10026" s="2423"/>
    </row>
    <row r="10027" s="101" customFormat="1" spans="6:6">
      <c r="F10027" s="2423"/>
    </row>
    <row r="10028" s="101" customFormat="1" spans="6:6">
      <c r="F10028" s="2423"/>
    </row>
    <row r="10029" s="101" customFormat="1" spans="6:6">
      <c r="F10029" s="2423"/>
    </row>
    <row r="10030" s="101" customFormat="1" spans="6:6">
      <c r="F10030" s="2423"/>
    </row>
    <row r="10031" s="101" customFormat="1" spans="6:6">
      <c r="F10031" s="2423"/>
    </row>
    <row r="10032" s="101" customFormat="1" spans="6:6">
      <c r="F10032" s="2423"/>
    </row>
    <row r="10033" s="101" customFormat="1" spans="6:6">
      <c r="F10033" s="2423"/>
    </row>
    <row r="10034" s="101" customFormat="1" spans="6:6">
      <c r="F10034" s="2423"/>
    </row>
    <row r="10035" s="101" customFormat="1" spans="6:6">
      <c r="F10035" s="2423"/>
    </row>
    <row r="10036" s="101" customFormat="1" spans="6:6">
      <c r="F10036" s="2423"/>
    </row>
    <row r="10037" s="101" customFormat="1" spans="6:6">
      <c r="F10037" s="2423"/>
    </row>
    <row r="10038" s="101" customFormat="1" spans="6:6">
      <c r="F10038" s="2423"/>
    </row>
    <row r="10039" s="101" customFormat="1" spans="6:6">
      <c r="F10039" s="2423"/>
    </row>
    <row r="10040" s="101" customFormat="1" spans="6:6">
      <c r="F10040" s="2423"/>
    </row>
    <row r="10041" s="101" customFormat="1" spans="6:6">
      <c r="F10041" s="2423"/>
    </row>
    <row r="10042" s="101" customFormat="1" spans="6:6">
      <c r="F10042" s="2423"/>
    </row>
    <row r="10043" s="101" customFormat="1" spans="6:6">
      <c r="F10043" s="2423"/>
    </row>
    <row r="10044" s="101" customFormat="1" spans="6:6">
      <c r="F10044" s="2423"/>
    </row>
    <row r="10045" s="101" customFormat="1" spans="6:6">
      <c r="F10045" s="2423"/>
    </row>
    <row r="10046" s="101" customFormat="1" spans="6:6">
      <c r="F10046" s="2423"/>
    </row>
    <row r="10047" s="101" customFormat="1" spans="6:6">
      <c r="F10047" s="2423"/>
    </row>
    <row r="10048" s="101" customFormat="1" spans="6:6">
      <c r="F10048" s="2423"/>
    </row>
    <row r="10049" s="101" customFormat="1" spans="6:6">
      <c r="F10049" s="2423"/>
    </row>
    <row r="10050" s="101" customFormat="1" spans="6:6">
      <c r="F10050" s="2423"/>
    </row>
    <row r="10051" s="101" customFormat="1" spans="6:6">
      <c r="F10051" s="2423"/>
    </row>
    <row r="10052" s="101" customFormat="1" spans="6:6">
      <c r="F10052" s="2423"/>
    </row>
    <row r="10053" s="101" customFormat="1" spans="6:6">
      <c r="F10053" s="2423"/>
    </row>
    <row r="10054" s="101" customFormat="1" spans="6:6">
      <c r="F10054" s="2423"/>
    </row>
    <row r="10055" s="101" customFormat="1" spans="6:6">
      <c r="F10055" s="2423"/>
    </row>
    <row r="10056" s="101" customFormat="1" spans="6:6">
      <c r="F10056" s="2423"/>
    </row>
    <row r="10057" s="101" customFormat="1" spans="6:6">
      <c r="F10057" s="2423"/>
    </row>
    <row r="10058" s="101" customFormat="1" spans="6:6">
      <c r="F10058" s="2423"/>
    </row>
    <row r="10059" s="101" customFormat="1" spans="6:6">
      <c r="F10059" s="2423"/>
    </row>
    <row r="10060" s="101" customFormat="1" spans="6:6">
      <c r="F10060" s="2423"/>
    </row>
    <row r="10061" s="101" customFormat="1" spans="6:6">
      <c r="F10061" s="2423"/>
    </row>
    <row r="10062" s="101" customFormat="1" spans="6:6">
      <c r="F10062" s="2423"/>
    </row>
    <row r="10063" s="101" customFormat="1" spans="6:6">
      <c r="F10063" s="2423"/>
    </row>
    <row r="10064" s="101" customFormat="1" spans="6:6">
      <c r="F10064" s="2423"/>
    </row>
    <row r="10065" s="101" customFormat="1" spans="6:6">
      <c r="F10065" s="2423"/>
    </row>
    <row r="10066" s="101" customFormat="1" spans="6:6">
      <c r="F10066" s="2423"/>
    </row>
    <row r="10067" s="101" customFormat="1" spans="6:6">
      <c r="F10067" s="2423"/>
    </row>
    <row r="10068" s="101" customFormat="1" spans="6:6">
      <c r="F10068" s="2423"/>
    </row>
    <row r="10069" s="101" customFormat="1" spans="6:6">
      <c r="F10069" s="2423"/>
    </row>
    <row r="10070" s="101" customFormat="1" spans="6:6">
      <c r="F10070" s="2423"/>
    </row>
    <row r="10071" s="101" customFormat="1" spans="6:6">
      <c r="F10071" s="2423"/>
    </row>
    <row r="10072" s="101" customFormat="1" spans="6:6">
      <c r="F10072" s="2423"/>
    </row>
    <row r="10073" s="101" customFormat="1" spans="6:6">
      <c r="F10073" s="2423"/>
    </row>
    <row r="10074" s="101" customFormat="1" spans="6:6">
      <c r="F10074" s="2423"/>
    </row>
    <row r="10075" s="101" customFormat="1" spans="6:6">
      <c r="F10075" s="2423"/>
    </row>
    <row r="10076" s="101" customFormat="1" spans="6:6">
      <c r="F10076" s="2423"/>
    </row>
    <row r="10077" s="101" customFormat="1" spans="6:6">
      <c r="F10077" s="2423"/>
    </row>
    <row r="10078" s="101" customFormat="1" spans="6:6">
      <c r="F10078" s="2423"/>
    </row>
    <row r="10079" s="101" customFormat="1" spans="6:6">
      <c r="F10079" s="2423"/>
    </row>
    <row r="10080" s="101" customFormat="1" spans="6:6">
      <c r="F10080" s="2423"/>
    </row>
    <row r="10081" s="101" customFormat="1" spans="6:6">
      <c r="F10081" s="2423"/>
    </row>
    <row r="10082" s="101" customFormat="1" spans="6:6">
      <c r="F10082" s="2423"/>
    </row>
    <row r="10083" s="101" customFormat="1" spans="6:6">
      <c r="F10083" s="2423"/>
    </row>
    <row r="10084" s="101" customFormat="1" spans="6:6">
      <c r="F10084" s="2423"/>
    </row>
    <row r="10085" s="101" customFormat="1" spans="6:6">
      <c r="F10085" s="2423"/>
    </row>
    <row r="10086" s="101" customFormat="1" spans="6:6">
      <c r="F10086" s="2423"/>
    </row>
    <row r="10087" s="101" customFormat="1" spans="6:6">
      <c r="F10087" s="2423"/>
    </row>
    <row r="10088" s="101" customFormat="1" spans="6:6">
      <c r="F10088" s="2423"/>
    </row>
    <row r="10089" s="101" customFormat="1" spans="6:6">
      <c r="F10089" s="2423"/>
    </row>
    <row r="10090" s="101" customFormat="1" spans="6:6">
      <c r="F10090" s="2423"/>
    </row>
    <row r="10091" s="101" customFormat="1" spans="6:6">
      <c r="F10091" s="2423"/>
    </row>
    <row r="10092" s="101" customFormat="1" spans="6:6">
      <c r="F10092" s="2423"/>
    </row>
    <row r="10093" s="101" customFormat="1" spans="6:6">
      <c r="F10093" s="2423"/>
    </row>
    <row r="10094" s="101" customFormat="1" spans="6:6">
      <c r="F10094" s="2423"/>
    </row>
    <row r="10095" s="101" customFormat="1" spans="6:6">
      <c r="F10095" s="2423"/>
    </row>
    <row r="10096" s="101" customFormat="1" spans="6:6">
      <c r="F10096" s="2423"/>
    </row>
    <row r="10097" s="101" customFormat="1" spans="6:6">
      <c r="F10097" s="2423"/>
    </row>
    <row r="10098" s="101" customFormat="1" spans="6:6">
      <c r="F10098" s="2423"/>
    </row>
    <row r="10099" s="101" customFormat="1" spans="6:6">
      <c r="F10099" s="2423"/>
    </row>
    <row r="10100" s="101" customFormat="1" spans="6:6">
      <c r="F10100" s="2423"/>
    </row>
    <row r="10101" s="101" customFormat="1" spans="6:6">
      <c r="F10101" s="2423"/>
    </row>
    <row r="10102" s="101" customFormat="1" spans="6:6">
      <c r="F10102" s="2423"/>
    </row>
    <row r="10103" s="101" customFormat="1" spans="6:6">
      <c r="F10103" s="2423"/>
    </row>
    <row r="10104" s="101" customFormat="1" spans="6:6">
      <c r="F10104" s="2423"/>
    </row>
    <row r="10105" s="101" customFormat="1" spans="6:6">
      <c r="F10105" s="2423"/>
    </row>
    <row r="10106" s="101" customFormat="1" spans="6:6">
      <c r="F10106" s="2423"/>
    </row>
    <row r="10107" s="101" customFormat="1" spans="6:6">
      <c r="F10107" s="2423"/>
    </row>
    <row r="10108" s="101" customFormat="1" spans="6:6">
      <c r="F10108" s="2423"/>
    </row>
    <row r="10109" s="101" customFormat="1" spans="6:6">
      <c r="F10109" s="2423"/>
    </row>
    <row r="10110" s="101" customFormat="1" spans="6:6">
      <c r="F10110" s="2423"/>
    </row>
    <row r="10111" s="101" customFormat="1" spans="6:6">
      <c r="F10111" s="2423"/>
    </row>
    <row r="10112" s="101" customFormat="1" spans="6:6">
      <c r="F10112" s="2423"/>
    </row>
    <row r="10113" s="101" customFormat="1" spans="6:6">
      <c r="F10113" s="2423"/>
    </row>
    <row r="10114" s="101" customFormat="1" spans="6:6">
      <c r="F10114" s="2423"/>
    </row>
    <row r="10115" s="101" customFormat="1" spans="6:6">
      <c r="F10115" s="2423"/>
    </row>
    <row r="10116" s="101" customFormat="1" spans="6:6">
      <c r="F10116" s="2423"/>
    </row>
    <row r="10117" s="101" customFormat="1" spans="6:6">
      <c r="F10117" s="2423"/>
    </row>
    <row r="10118" s="101" customFormat="1" spans="6:6">
      <c r="F10118" s="2423"/>
    </row>
    <row r="10119" s="101" customFormat="1" spans="6:6">
      <c r="F10119" s="2423"/>
    </row>
    <row r="10120" s="101" customFormat="1" spans="6:6">
      <c r="F10120" s="2423"/>
    </row>
    <row r="10121" s="101" customFormat="1" spans="6:6">
      <c r="F10121" s="2423"/>
    </row>
    <row r="10122" s="101" customFormat="1" spans="6:6">
      <c r="F10122" s="2423"/>
    </row>
    <row r="10123" s="101" customFormat="1" spans="6:6">
      <c r="F10123" s="2423"/>
    </row>
    <row r="10124" s="101" customFormat="1" spans="6:6">
      <c r="F10124" s="2423"/>
    </row>
    <row r="10125" s="101" customFormat="1" spans="6:6">
      <c r="F10125" s="2423"/>
    </row>
    <row r="10126" s="101" customFormat="1" spans="6:6">
      <c r="F10126" s="2423"/>
    </row>
    <row r="10127" s="101" customFormat="1" spans="6:6">
      <c r="F10127" s="2423"/>
    </row>
    <row r="10128" s="101" customFormat="1" spans="6:6">
      <c r="F10128" s="2423"/>
    </row>
    <row r="10129" s="101" customFormat="1" spans="6:6">
      <c r="F10129" s="2423"/>
    </row>
    <row r="10130" s="101" customFormat="1" spans="6:6">
      <c r="F10130" s="2423"/>
    </row>
    <row r="10131" s="101" customFormat="1" spans="6:6">
      <c r="F10131" s="2423"/>
    </row>
    <row r="10132" s="101" customFormat="1" spans="6:6">
      <c r="F10132" s="2423"/>
    </row>
    <row r="10133" s="101" customFormat="1" spans="6:6">
      <c r="F10133" s="2423"/>
    </row>
    <row r="10134" s="101" customFormat="1" spans="6:6">
      <c r="F10134" s="2423"/>
    </row>
    <row r="10135" s="101" customFormat="1" spans="6:6">
      <c r="F10135" s="2423"/>
    </row>
    <row r="10136" s="101" customFormat="1" spans="6:6">
      <c r="F10136" s="2423"/>
    </row>
    <row r="10137" s="101" customFormat="1" spans="6:6">
      <c r="F10137" s="2423"/>
    </row>
    <row r="10138" s="101" customFormat="1" spans="6:6">
      <c r="F10138" s="2423"/>
    </row>
    <row r="10139" s="101" customFormat="1" spans="6:6">
      <c r="F10139" s="2423"/>
    </row>
    <row r="10140" s="101" customFormat="1" spans="6:6">
      <c r="F10140" s="2423"/>
    </row>
    <row r="10141" s="101" customFormat="1" spans="6:6">
      <c r="F10141" s="2423"/>
    </row>
    <row r="10142" s="101" customFormat="1" spans="6:6">
      <c r="F10142" s="2423"/>
    </row>
    <row r="10143" s="101" customFormat="1" spans="6:6">
      <c r="F10143" s="2423"/>
    </row>
    <row r="10144" s="101" customFormat="1" spans="6:6">
      <c r="F10144" s="2423"/>
    </row>
    <row r="10145" s="101" customFormat="1" spans="6:6">
      <c r="F10145" s="2423"/>
    </row>
    <row r="10146" s="101" customFormat="1" spans="6:6">
      <c r="F10146" s="2423"/>
    </row>
    <row r="10147" s="101" customFormat="1" spans="6:6">
      <c r="F10147" s="2423"/>
    </row>
    <row r="10148" s="101" customFormat="1" spans="6:6">
      <c r="F10148" s="2423"/>
    </row>
    <row r="10149" s="101" customFormat="1" spans="6:6">
      <c r="F10149" s="2423"/>
    </row>
    <row r="10150" s="101" customFormat="1" spans="6:6">
      <c r="F10150" s="2423"/>
    </row>
    <row r="10151" s="101" customFormat="1" spans="6:6">
      <c r="F10151" s="2423"/>
    </row>
    <row r="10152" s="101" customFormat="1" spans="6:6">
      <c r="F10152" s="2423"/>
    </row>
    <row r="10153" s="101" customFormat="1" spans="6:6">
      <c r="F10153" s="2423"/>
    </row>
    <row r="10154" s="101" customFormat="1" spans="6:6">
      <c r="F10154" s="2423"/>
    </row>
    <row r="10155" s="101" customFormat="1" spans="6:6">
      <c r="F10155" s="2423"/>
    </row>
    <row r="10156" s="101" customFormat="1" spans="6:6">
      <c r="F10156" s="2423"/>
    </row>
    <row r="10157" s="101" customFormat="1" spans="6:6">
      <c r="F10157" s="2423"/>
    </row>
    <row r="10158" s="101" customFormat="1" spans="6:6">
      <c r="F10158" s="2423"/>
    </row>
    <row r="10159" s="101" customFormat="1" spans="6:6">
      <c r="F10159" s="2423"/>
    </row>
    <row r="10160" s="101" customFormat="1" spans="6:6">
      <c r="F10160" s="2423"/>
    </row>
    <row r="10161" s="101" customFormat="1" spans="6:6">
      <c r="F10161" s="2423"/>
    </row>
    <row r="10162" s="101" customFormat="1" spans="6:6">
      <c r="F10162" s="2423"/>
    </row>
    <row r="10163" s="101" customFormat="1" spans="6:6">
      <c r="F10163" s="2423"/>
    </row>
    <row r="10164" s="101" customFormat="1" spans="6:6">
      <c r="F10164" s="2423"/>
    </row>
    <row r="10165" s="101" customFormat="1" spans="6:6">
      <c r="F10165" s="2423"/>
    </row>
    <row r="10166" s="101" customFormat="1" spans="6:6">
      <c r="F10166" s="2423"/>
    </row>
    <row r="10167" s="101" customFormat="1" spans="6:6">
      <c r="F10167" s="2423"/>
    </row>
    <row r="10168" s="101" customFormat="1" spans="6:6">
      <c r="F10168" s="2423"/>
    </row>
    <row r="10169" s="101" customFormat="1" spans="6:6">
      <c r="F10169" s="2423"/>
    </row>
    <row r="10170" s="101" customFormat="1" spans="6:6">
      <c r="F10170" s="2423"/>
    </row>
    <row r="10171" s="101" customFormat="1" spans="6:6">
      <c r="F10171" s="2423"/>
    </row>
    <row r="10172" s="101" customFormat="1" spans="6:6">
      <c r="F10172" s="2423"/>
    </row>
    <row r="10173" s="101" customFormat="1" spans="6:6">
      <c r="F10173" s="2423"/>
    </row>
    <row r="10174" s="101" customFormat="1" spans="6:6">
      <c r="F10174" s="2423"/>
    </row>
    <row r="10175" s="101" customFormat="1" spans="6:6">
      <c r="F10175" s="2423"/>
    </row>
    <row r="10176" s="101" customFormat="1" spans="6:6">
      <c r="F10176" s="2423"/>
    </row>
    <row r="10177" s="101" customFormat="1" spans="6:6">
      <c r="F10177" s="2423"/>
    </row>
    <row r="10178" s="101" customFormat="1" spans="6:6">
      <c r="F10178" s="2423"/>
    </row>
    <row r="10179" s="101" customFormat="1" spans="6:6">
      <c r="F10179" s="2423"/>
    </row>
    <row r="10180" s="101" customFormat="1" spans="6:6">
      <c r="F10180" s="2423"/>
    </row>
    <row r="10181" s="101" customFormat="1" spans="6:6">
      <c r="F10181" s="2423"/>
    </row>
    <row r="10182" s="101" customFormat="1" spans="6:6">
      <c r="F10182" s="2423"/>
    </row>
    <row r="10183" s="101" customFormat="1" spans="6:6">
      <c r="F10183" s="2423"/>
    </row>
    <row r="10184" s="101" customFormat="1" spans="6:6">
      <c r="F10184" s="2423"/>
    </row>
    <row r="10185" s="101" customFormat="1" spans="6:6">
      <c r="F10185" s="2423"/>
    </row>
    <row r="10186" s="101" customFormat="1" spans="6:6">
      <c r="F10186" s="2423"/>
    </row>
    <row r="10187" s="101" customFormat="1" spans="6:6">
      <c r="F10187" s="2423"/>
    </row>
    <row r="10188" s="101" customFormat="1" spans="6:6">
      <c r="F10188" s="2423"/>
    </row>
    <row r="10189" s="101" customFormat="1" spans="6:6">
      <c r="F10189" s="2423"/>
    </row>
    <row r="10190" s="101" customFormat="1" spans="6:6">
      <c r="F10190" s="2423"/>
    </row>
    <row r="10191" s="101" customFormat="1" spans="6:6">
      <c r="F10191" s="2423"/>
    </row>
    <row r="10192" s="101" customFormat="1" spans="6:6">
      <c r="F10192" s="2423"/>
    </row>
    <row r="10193" s="101" customFormat="1" spans="6:6">
      <c r="F10193" s="2423"/>
    </row>
    <row r="10194" s="101" customFormat="1" spans="6:6">
      <c r="F10194" s="2423"/>
    </row>
    <row r="10195" s="101" customFormat="1" spans="6:6">
      <c r="F10195" s="2423"/>
    </row>
    <row r="10196" s="101" customFormat="1" spans="6:6">
      <c r="F10196" s="2423"/>
    </row>
    <row r="10197" s="101" customFormat="1" spans="6:6">
      <c r="F10197" s="2423"/>
    </row>
    <row r="10198" s="101" customFormat="1" spans="6:6">
      <c r="F10198" s="2423"/>
    </row>
    <row r="10199" s="101" customFormat="1" spans="6:6">
      <c r="F10199" s="2423"/>
    </row>
    <row r="10200" s="101" customFormat="1" spans="6:6">
      <c r="F10200" s="2423"/>
    </row>
    <row r="10201" s="101" customFormat="1" spans="6:6">
      <c r="F10201" s="2423"/>
    </row>
    <row r="10202" s="101" customFormat="1" spans="6:6">
      <c r="F10202" s="2423"/>
    </row>
    <row r="10203" s="101" customFormat="1" spans="6:6">
      <c r="F10203" s="2423"/>
    </row>
    <row r="10204" s="101" customFormat="1" spans="6:6">
      <c r="F10204" s="2423"/>
    </row>
    <row r="10205" s="101" customFormat="1" spans="6:6">
      <c r="F10205" s="2423"/>
    </row>
    <row r="10206" s="101" customFormat="1" spans="6:6">
      <c r="F10206" s="2423"/>
    </row>
    <row r="10207" s="101" customFormat="1" spans="6:6">
      <c r="F10207" s="2423"/>
    </row>
    <row r="10208" s="101" customFormat="1" spans="6:6">
      <c r="F10208" s="2423"/>
    </row>
    <row r="10209" s="101" customFormat="1" spans="6:6">
      <c r="F10209" s="2423"/>
    </row>
    <row r="10210" s="101" customFormat="1" spans="6:6">
      <c r="F10210" s="2423"/>
    </row>
    <row r="10211" s="101" customFormat="1" spans="6:6">
      <c r="F10211" s="2423"/>
    </row>
    <row r="10212" s="101" customFormat="1" spans="6:6">
      <c r="F10212" s="2423"/>
    </row>
    <row r="10213" s="101" customFormat="1" spans="6:6">
      <c r="F10213" s="2423"/>
    </row>
    <row r="10214" s="101" customFormat="1" spans="6:6">
      <c r="F10214" s="2423"/>
    </row>
    <row r="10215" s="101" customFormat="1" spans="6:6">
      <c r="F10215" s="2423"/>
    </row>
    <row r="10216" s="101" customFormat="1" spans="6:6">
      <c r="F10216" s="2423"/>
    </row>
    <row r="10217" s="101" customFormat="1" spans="6:6">
      <c r="F10217" s="2423"/>
    </row>
    <row r="10218" s="101" customFormat="1" spans="6:6">
      <c r="F10218" s="2423"/>
    </row>
    <row r="10219" s="101" customFormat="1" spans="6:6">
      <c r="F10219" s="2423"/>
    </row>
    <row r="10220" s="101" customFormat="1" spans="6:6">
      <c r="F10220" s="2423"/>
    </row>
    <row r="10221" s="101" customFormat="1" spans="6:6">
      <c r="F10221" s="2423"/>
    </row>
    <row r="10222" s="101" customFormat="1" spans="6:6">
      <c r="F10222" s="2423"/>
    </row>
    <row r="10223" s="101" customFormat="1" spans="6:6">
      <c r="F10223" s="2423"/>
    </row>
    <row r="10224" s="101" customFormat="1" spans="6:6">
      <c r="F10224" s="2423"/>
    </row>
    <row r="10225" s="101" customFormat="1" spans="6:6">
      <c r="F10225" s="2423"/>
    </row>
    <row r="10226" s="101" customFormat="1" spans="6:6">
      <c r="F10226" s="2423"/>
    </row>
    <row r="10227" s="101" customFormat="1" spans="6:6">
      <c r="F10227" s="2423"/>
    </row>
    <row r="10228" s="101" customFormat="1" spans="6:6">
      <c r="F10228" s="2423"/>
    </row>
    <row r="10229" s="101" customFormat="1" spans="6:6">
      <c r="F10229" s="2423"/>
    </row>
    <row r="10230" s="101" customFormat="1" spans="6:6">
      <c r="F10230" s="2423"/>
    </row>
    <row r="10231" s="101" customFormat="1" spans="6:6">
      <c r="F10231" s="2423"/>
    </row>
    <row r="10232" s="101" customFormat="1" spans="6:6">
      <c r="F10232" s="2423"/>
    </row>
    <row r="10233" s="101" customFormat="1" spans="6:6">
      <c r="F10233" s="2423"/>
    </row>
    <row r="10234" s="101" customFormat="1" spans="6:6">
      <c r="F10234" s="2423"/>
    </row>
    <row r="10235" s="101" customFormat="1" spans="6:6">
      <c r="F10235" s="2423"/>
    </row>
    <row r="10236" s="101" customFormat="1" spans="6:6">
      <c r="F10236" s="2423"/>
    </row>
    <row r="10237" s="101" customFormat="1" spans="6:6">
      <c r="F10237" s="2423"/>
    </row>
    <row r="10238" s="101" customFormat="1" spans="6:6">
      <c r="F10238" s="2423"/>
    </row>
    <row r="10239" s="101" customFormat="1" spans="6:6">
      <c r="F10239" s="2423"/>
    </row>
    <row r="10240" s="101" customFormat="1" spans="6:6">
      <c r="F10240" s="2423"/>
    </row>
    <row r="10241" s="101" customFormat="1" spans="6:6">
      <c r="F10241" s="2423"/>
    </row>
    <row r="10242" s="101" customFormat="1" spans="6:6">
      <c r="F10242" s="2423"/>
    </row>
    <row r="10243" s="101" customFormat="1" spans="6:6">
      <c r="F10243" s="2423"/>
    </row>
    <row r="10244" s="101" customFormat="1" spans="6:6">
      <c r="F10244" s="2423"/>
    </row>
    <row r="10245" s="101" customFormat="1" spans="6:6">
      <c r="F10245" s="2423"/>
    </row>
    <row r="10246" s="101" customFormat="1" spans="6:6">
      <c r="F10246" s="2423"/>
    </row>
    <row r="10247" s="101" customFormat="1" spans="6:6">
      <c r="F10247" s="2423"/>
    </row>
    <row r="10248" s="101" customFormat="1" spans="6:6">
      <c r="F10248" s="2423"/>
    </row>
    <row r="10249" s="101" customFormat="1" spans="6:6">
      <c r="F10249" s="2423"/>
    </row>
    <row r="10250" s="101" customFormat="1" spans="6:6">
      <c r="F10250" s="2423"/>
    </row>
    <row r="10251" s="101" customFormat="1" spans="6:6">
      <c r="F10251" s="2423"/>
    </row>
    <row r="10252" s="101" customFormat="1" spans="6:6">
      <c r="F10252" s="2423"/>
    </row>
    <row r="10253" s="101" customFormat="1" spans="6:6">
      <c r="F10253" s="2423"/>
    </row>
    <row r="10254" s="101" customFormat="1" spans="6:6">
      <c r="F10254" s="2423"/>
    </row>
    <row r="10255" s="101" customFormat="1" spans="6:6">
      <c r="F10255" s="2423"/>
    </row>
    <row r="10256" s="101" customFormat="1" spans="6:6">
      <c r="F10256" s="2423"/>
    </row>
    <row r="10257" s="101" customFormat="1" spans="6:6">
      <c r="F10257" s="2423"/>
    </row>
    <row r="10258" s="101" customFormat="1" spans="6:6">
      <c r="F10258" s="2423"/>
    </row>
    <row r="10259" s="101" customFormat="1" spans="6:6">
      <c r="F10259" s="2423"/>
    </row>
    <row r="10260" s="101" customFormat="1" spans="6:6">
      <c r="F10260" s="2423"/>
    </row>
    <row r="10261" s="101" customFormat="1" spans="6:6">
      <c r="F10261" s="2423"/>
    </row>
    <row r="10262" s="101" customFormat="1" spans="6:6">
      <c r="F10262" s="2423"/>
    </row>
    <row r="10263" s="101" customFormat="1" spans="6:6">
      <c r="F10263" s="2423"/>
    </row>
    <row r="10264" s="101" customFormat="1" spans="6:6">
      <c r="F10264" s="2423"/>
    </row>
    <row r="10265" s="101" customFormat="1" spans="6:6">
      <c r="F10265" s="2423"/>
    </row>
    <row r="10266" s="101" customFormat="1" spans="6:6">
      <c r="F10266" s="2423"/>
    </row>
    <row r="10267" s="101" customFormat="1" spans="6:6">
      <c r="F10267" s="2423"/>
    </row>
    <row r="10268" s="101" customFormat="1" spans="6:6">
      <c r="F10268" s="2423"/>
    </row>
    <row r="10269" s="101" customFormat="1" spans="6:6">
      <c r="F10269" s="2423"/>
    </row>
    <row r="10270" s="101" customFormat="1" spans="6:6">
      <c r="F10270" s="2423"/>
    </row>
    <row r="10271" s="101" customFormat="1" spans="6:6">
      <c r="F10271" s="2423"/>
    </row>
    <row r="10272" s="101" customFormat="1" spans="6:6">
      <c r="F10272" s="2423"/>
    </row>
    <row r="10273" s="101" customFormat="1" spans="6:6">
      <c r="F10273" s="2423"/>
    </row>
    <row r="10274" s="101" customFormat="1" spans="6:6">
      <c r="F10274" s="2423"/>
    </row>
    <row r="10275" s="101" customFormat="1" spans="6:6">
      <c r="F10275" s="2423"/>
    </row>
    <row r="10276" s="101" customFormat="1" spans="6:6">
      <c r="F10276" s="2423"/>
    </row>
    <row r="10277" s="101" customFormat="1" spans="6:6">
      <c r="F10277" s="2423"/>
    </row>
    <row r="10278" s="101" customFormat="1" spans="6:6">
      <c r="F10278" s="2423"/>
    </row>
    <row r="10279" s="101" customFormat="1" spans="6:6">
      <c r="F10279" s="2423"/>
    </row>
    <row r="10280" s="101" customFormat="1" spans="6:6">
      <c r="F10280" s="2423"/>
    </row>
    <row r="10281" s="101" customFormat="1" spans="6:6">
      <c r="F10281" s="2423"/>
    </row>
    <row r="10282" s="101" customFormat="1" spans="6:6">
      <c r="F10282" s="2423"/>
    </row>
    <row r="10283" s="101" customFormat="1" spans="6:6">
      <c r="F10283" s="2423"/>
    </row>
    <row r="10284" s="101" customFormat="1" spans="6:6">
      <c r="F10284" s="2423"/>
    </row>
    <row r="10285" s="101" customFormat="1" spans="6:6">
      <c r="F10285" s="2423"/>
    </row>
    <row r="10286" s="101" customFormat="1" spans="6:6">
      <c r="F10286" s="2423"/>
    </row>
    <row r="10287" s="101" customFormat="1" spans="6:6">
      <c r="F10287" s="2423"/>
    </row>
    <row r="10288" s="101" customFormat="1" spans="6:6">
      <c r="F10288" s="2423"/>
    </row>
    <row r="10289" s="101" customFormat="1" spans="6:6">
      <c r="F10289" s="2423"/>
    </row>
    <row r="10290" s="101" customFormat="1" spans="6:6">
      <c r="F10290" s="2423"/>
    </row>
    <row r="10291" s="101" customFormat="1" spans="6:6">
      <c r="F10291" s="2423"/>
    </row>
    <row r="10292" s="101" customFormat="1" spans="6:6">
      <c r="F10292" s="2423"/>
    </row>
    <row r="10293" s="101" customFormat="1" spans="6:6">
      <c r="F10293" s="2423"/>
    </row>
    <row r="10294" s="101" customFormat="1" spans="6:6">
      <c r="F10294" s="2423"/>
    </row>
    <row r="10295" s="101" customFormat="1" spans="6:6">
      <c r="F10295" s="2423"/>
    </row>
    <row r="10296" s="101" customFormat="1" spans="6:6">
      <c r="F10296" s="2423"/>
    </row>
    <row r="10297" s="101" customFormat="1" spans="6:6">
      <c r="F10297" s="2423"/>
    </row>
    <row r="10298" s="101" customFormat="1" spans="6:6">
      <c r="F10298" s="2423"/>
    </row>
    <row r="10299" s="101" customFormat="1" spans="6:6">
      <c r="F10299" s="2423"/>
    </row>
    <row r="10300" s="101" customFormat="1" spans="6:6">
      <c r="F10300" s="2423"/>
    </row>
    <row r="10301" s="101" customFormat="1" spans="6:6">
      <c r="F10301" s="2423"/>
    </row>
    <row r="10302" s="101" customFormat="1" spans="6:6">
      <c r="F10302" s="2423"/>
    </row>
    <row r="10303" s="101" customFormat="1" spans="6:6">
      <c r="F10303" s="2423"/>
    </row>
    <row r="10304" s="101" customFormat="1" spans="6:6">
      <c r="F10304" s="2423"/>
    </row>
    <row r="10305" s="101" customFormat="1" spans="6:6">
      <c r="F10305" s="2423"/>
    </row>
    <row r="10306" s="101" customFormat="1" spans="6:6">
      <c r="F10306" s="2423"/>
    </row>
    <row r="10307" s="101" customFormat="1" spans="6:6">
      <c r="F10307" s="2423"/>
    </row>
    <row r="10308" s="101" customFormat="1" spans="6:6">
      <c r="F10308" s="2423"/>
    </row>
    <row r="10309" s="101" customFormat="1" spans="6:6">
      <c r="F10309" s="2423"/>
    </row>
    <row r="10310" s="101" customFormat="1" spans="6:6">
      <c r="F10310" s="2423"/>
    </row>
    <row r="10311" s="101" customFormat="1" spans="6:6">
      <c r="F10311" s="2423"/>
    </row>
    <row r="10312" s="101" customFormat="1" spans="6:6">
      <c r="F10312" s="2423"/>
    </row>
    <row r="10313" s="101" customFormat="1" spans="6:6">
      <c r="F10313" s="2423"/>
    </row>
    <row r="10314" s="101" customFormat="1" spans="6:6">
      <c r="F10314" s="2423"/>
    </row>
    <row r="10315" s="101" customFormat="1" spans="6:6">
      <c r="F10315" s="2423"/>
    </row>
    <row r="10316" s="101" customFormat="1" spans="6:6">
      <c r="F10316" s="2423"/>
    </row>
    <row r="10317" s="101" customFormat="1" spans="6:6">
      <c r="F10317" s="2423"/>
    </row>
    <row r="10318" s="101" customFormat="1" spans="6:6">
      <c r="F10318" s="2423"/>
    </row>
    <row r="10319" s="101" customFormat="1" spans="6:6">
      <c r="F10319" s="2423"/>
    </row>
    <row r="10320" s="101" customFormat="1" spans="6:6">
      <c r="F10320" s="2423"/>
    </row>
    <row r="10321" s="101" customFormat="1" spans="6:6">
      <c r="F10321" s="2423"/>
    </row>
    <row r="10322" s="101" customFormat="1" spans="6:6">
      <c r="F10322" s="2423"/>
    </row>
    <row r="10323" s="101" customFormat="1" spans="6:6">
      <c r="F10323" s="2423"/>
    </row>
    <row r="10324" s="101" customFormat="1" spans="6:6">
      <c r="F10324" s="2423"/>
    </row>
    <row r="10325" s="101" customFormat="1" spans="6:6">
      <c r="F10325" s="2423"/>
    </row>
    <row r="10326" s="101" customFormat="1" spans="6:6">
      <c r="F10326" s="2423"/>
    </row>
    <row r="10327" s="101" customFormat="1" spans="6:6">
      <c r="F10327" s="2423"/>
    </row>
    <row r="10328" s="101" customFormat="1" spans="6:6">
      <c r="F10328" s="2423"/>
    </row>
    <row r="10329" s="101" customFormat="1" spans="6:6">
      <c r="F10329" s="2423"/>
    </row>
    <row r="10330" s="101" customFormat="1" spans="6:6">
      <c r="F10330" s="2423"/>
    </row>
    <row r="10331" s="101" customFormat="1" spans="6:6">
      <c r="F10331" s="2423"/>
    </row>
    <row r="10332" s="101" customFormat="1" spans="6:6">
      <c r="F10332" s="2423"/>
    </row>
    <row r="10333" s="101" customFormat="1" spans="6:6">
      <c r="F10333" s="2423"/>
    </row>
    <row r="10334" s="101" customFormat="1" spans="6:6">
      <c r="F10334" s="2423"/>
    </row>
    <row r="10335" s="101" customFormat="1" spans="6:6">
      <c r="F10335" s="2423"/>
    </row>
    <row r="10336" s="101" customFormat="1" spans="6:6">
      <c r="F10336" s="2423"/>
    </row>
    <row r="10337" s="101" customFormat="1" spans="6:6">
      <c r="F10337" s="2423"/>
    </row>
    <row r="10338" s="101" customFormat="1" spans="6:6">
      <c r="F10338" s="2423"/>
    </row>
    <row r="10339" s="101" customFormat="1" spans="6:6">
      <c r="F10339" s="2423"/>
    </row>
    <row r="10340" s="101" customFormat="1" spans="6:6">
      <c r="F10340" s="2423"/>
    </row>
    <row r="10341" s="101" customFormat="1" spans="6:6">
      <c r="F10341" s="2423"/>
    </row>
    <row r="10342" s="101" customFormat="1" spans="6:6">
      <c r="F10342" s="2423"/>
    </row>
    <row r="10343" s="101" customFormat="1" spans="6:6">
      <c r="F10343" s="2423"/>
    </row>
    <row r="10344" s="101" customFormat="1" spans="6:6">
      <c r="F10344" s="2423"/>
    </row>
    <row r="10345" s="101" customFormat="1" spans="6:6">
      <c r="F10345" s="2423"/>
    </row>
    <row r="10346" s="101" customFormat="1" spans="6:6">
      <c r="F10346" s="2423"/>
    </row>
    <row r="10347" s="101" customFormat="1" spans="6:6">
      <c r="F10347" s="2423"/>
    </row>
    <row r="10348" s="101" customFormat="1" spans="6:6">
      <c r="F10348" s="2423"/>
    </row>
    <row r="10349" s="101" customFormat="1" spans="6:6">
      <c r="F10349" s="2423"/>
    </row>
    <row r="10350" s="101" customFormat="1" spans="6:6">
      <c r="F10350" s="2423"/>
    </row>
    <row r="10351" s="101" customFormat="1" spans="6:6">
      <c r="F10351" s="2423"/>
    </row>
    <row r="10352" s="101" customFormat="1" spans="6:6">
      <c r="F10352" s="2423"/>
    </row>
    <row r="10353" s="101" customFormat="1" spans="6:6">
      <c r="F10353" s="2423"/>
    </row>
    <row r="10354" s="101" customFormat="1" spans="6:6">
      <c r="F10354" s="2423"/>
    </row>
    <row r="10355" s="101" customFormat="1" spans="6:6">
      <c r="F10355" s="2423"/>
    </row>
    <row r="10356" s="101" customFormat="1" spans="6:6">
      <c r="F10356" s="2423"/>
    </row>
    <row r="10357" s="101" customFormat="1" spans="6:6">
      <c r="F10357" s="2423"/>
    </row>
    <row r="10358" s="101" customFormat="1" spans="6:6">
      <c r="F10358" s="2423"/>
    </row>
    <row r="10359" s="101" customFormat="1" spans="6:6">
      <c r="F10359" s="2423"/>
    </row>
    <row r="10360" s="101" customFormat="1" spans="6:6">
      <c r="F10360" s="2423"/>
    </row>
    <row r="10361" s="101" customFormat="1" spans="6:6">
      <c r="F10361" s="2423"/>
    </row>
    <row r="10362" s="101" customFormat="1" spans="6:6">
      <c r="F10362" s="2423"/>
    </row>
    <row r="10363" s="101" customFormat="1" spans="6:6">
      <c r="F10363" s="2423"/>
    </row>
    <row r="10364" s="101" customFormat="1" spans="6:6">
      <c r="F10364" s="2423"/>
    </row>
    <row r="10365" s="101" customFormat="1" spans="6:6">
      <c r="F10365" s="2423"/>
    </row>
    <row r="10366" s="101" customFormat="1" spans="6:6">
      <c r="F10366" s="2423"/>
    </row>
    <row r="10367" s="101" customFormat="1" spans="6:6">
      <c r="F10367" s="2423"/>
    </row>
    <row r="10368" s="101" customFormat="1" spans="6:6">
      <c r="F10368" s="2423"/>
    </row>
    <row r="10369" s="101" customFormat="1" spans="6:6">
      <c r="F10369" s="2423"/>
    </row>
    <row r="10370" s="101" customFormat="1" spans="6:6">
      <c r="F10370" s="2423"/>
    </row>
    <row r="10371" s="101" customFormat="1" spans="6:6">
      <c r="F10371" s="2423"/>
    </row>
    <row r="10372" s="101" customFormat="1" spans="6:6">
      <c r="F10372" s="2423"/>
    </row>
    <row r="10373" s="101" customFormat="1" spans="6:6">
      <c r="F10373" s="2423"/>
    </row>
    <row r="10374" s="101" customFormat="1" spans="6:6">
      <c r="F10374" s="2423"/>
    </row>
    <row r="10375" s="101" customFormat="1" spans="6:6">
      <c r="F10375" s="2423"/>
    </row>
    <row r="10376" s="101" customFormat="1" spans="6:6">
      <c r="F10376" s="2423"/>
    </row>
    <row r="10377" s="101" customFormat="1" spans="6:6">
      <c r="F10377" s="2423"/>
    </row>
    <row r="10378" s="101" customFormat="1" spans="6:6">
      <c r="F10378" s="2423"/>
    </row>
    <row r="10379" s="101" customFormat="1" spans="6:6">
      <c r="F10379" s="2423"/>
    </row>
    <row r="10380" s="101" customFormat="1" spans="6:6">
      <c r="F10380" s="2423"/>
    </row>
    <row r="10381" s="101" customFormat="1" spans="6:6">
      <c r="F10381" s="2423"/>
    </row>
    <row r="10382" s="101" customFormat="1" spans="6:6">
      <c r="F10382" s="2423"/>
    </row>
    <row r="10383" s="101" customFormat="1" spans="6:6">
      <c r="F10383" s="2423"/>
    </row>
    <row r="10384" s="101" customFormat="1" spans="6:6">
      <c r="F10384" s="2423"/>
    </row>
    <row r="10385" s="101" customFormat="1" spans="6:6">
      <c r="F10385" s="2423"/>
    </row>
    <row r="10386" s="101" customFormat="1" spans="6:6">
      <c r="F10386" s="2423"/>
    </row>
    <row r="10387" s="101" customFormat="1" spans="6:6">
      <c r="F10387" s="2423"/>
    </row>
    <row r="10388" s="101" customFormat="1" spans="6:6">
      <c r="F10388" s="2423"/>
    </row>
    <row r="10389" s="101" customFormat="1" spans="6:6">
      <c r="F10389" s="2423"/>
    </row>
    <row r="10390" s="101" customFormat="1" spans="6:6">
      <c r="F10390" s="2423"/>
    </row>
    <row r="10391" s="101" customFormat="1" spans="6:6">
      <c r="F10391" s="2423"/>
    </row>
    <row r="10392" s="101" customFormat="1" spans="6:6">
      <c r="F10392" s="2423"/>
    </row>
    <row r="10393" s="101" customFormat="1" spans="6:6">
      <c r="F10393" s="2423"/>
    </row>
    <row r="10394" s="101" customFormat="1" spans="6:6">
      <c r="F10394" s="2423"/>
    </row>
    <row r="10395" s="101" customFormat="1" spans="6:6">
      <c r="F10395" s="2423"/>
    </row>
    <row r="10396" s="101" customFormat="1" spans="6:6">
      <c r="F10396" s="2423"/>
    </row>
    <row r="10397" s="101" customFormat="1" spans="6:6">
      <c r="F10397" s="2423"/>
    </row>
    <row r="10398" s="101" customFormat="1" spans="6:6">
      <c r="F10398" s="2423"/>
    </row>
    <row r="10399" s="101" customFormat="1" spans="6:6">
      <c r="F10399" s="2423"/>
    </row>
    <row r="10400" s="101" customFormat="1" spans="6:6">
      <c r="F10400" s="2423"/>
    </row>
    <row r="10401" s="101" customFormat="1" spans="6:6">
      <c r="F10401" s="2423"/>
    </row>
    <row r="10402" s="101" customFormat="1" spans="6:6">
      <c r="F10402" s="2423"/>
    </row>
    <row r="10403" s="101" customFormat="1" spans="6:6">
      <c r="F10403" s="2423"/>
    </row>
    <row r="10404" s="101" customFormat="1" spans="6:6">
      <c r="F10404" s="2423"/>
    </row>
    <row r="10405" s="101" customFormat="1" spans="6:6">
      <c r="F10405" s="2423"/>
    </row>
    <row r="10406" s="101" customFormat="1" spans="6:6">
      <c r="F10406" s="2423"/>
    </row>
    <row r="10407" s="101" customFormat="1" spans="6:6">
      <c r="F10407" s="2423"/>
    </row>
    <row r="10408" s="101" customFormat="1" spans="6:6">
      <c r="F10408" s="2423"/>
    </row>
    <row r="10409" s="101" customFormat="1" spans="6:6">
      <c r="F10409" s="2423"/>
    </row>
    <row r="10410" s="101" customFormat="1" spans="6:6">
      <c r="F10410" s="2423"/>
    </row>
    <row r="10411" s="101" customFormat="1" spans="6:6">
      <c r="F10411" s="2423"/>
    </row>
    <row r="10412" s="101" customFormat="1" spans="6:6">
      <c r="F10412" s="2423"/>
    </row>
    <row r="10413" s="101" customFormat="1" spans="6:6">
      <c r="F10413" s="2423"/>
    </row>
    <row r="10414" s="101" customFormat="1" spans="6:6">
      <c r="F10414" s="2423"/>
    </row>
    <row r="10415" s="101" customFormat="1" spans="6:6">
      <c r="F10415" s="2423"/>
    </row>
    <row r="10416" s="101" customFormat="1" spans="6:6">
      <c r="F10416" s="2423"/>
    </row>
    <row r="10417" s="101" customFormat="1" spans="6:6">
      <c r="F10417" s="2423"/>
    </row>
    <row r="10418" s="101" customFormat="1" spans="6:6">
      <c r="F10418" s="2423"/>
    </row>
    <row r="10419" s="101" customFormat="1" spans="6:6">
      <c r="F10419" s="2423"/>
    </row>
    <row r="10420" s="101" customFormat="1" spans="6:6">
      <c r="F10420" s="2423"/>
    </row>
    <row r="10421" s="101" customFormat="1" spans="6:6">
      <c r="F10421" s="2423"/>
    </row>
    <row r="10422" s="101" customFormat="1" spans="6:6">
      <c r="F10422" s="2423"/>
    </row>
    <row r="10423" s="101" customFormat="1" spans="6:6">
      <c r="F10423" s="2423"/>
    </row>
    <row r="10424" s="101" customFormat="1" spans="6:6">
      <c r="F10424" s="2423"/>
    </row>
    <row r="10425" s="101" customFormat="1" spans="6:6">
      <c r="F10425" s="2423"/>
    </row>
    <row r="10426" s="101" customFormat="1" spans="6:6">
      <c r="F10426" s="2423"/>
    </row>
    <row r="10427" s="101" customFormat="1" spans="6:6">
      <c r="F10427" s="2423"/>
    </row>
    <row r="10428" s="101" customFormat="1" spans="6:6">
      <c r="F10428" s="2423"/>
    </row>
    <row r="10429" s="101" customFormat="1" spans="6:6">
      <c r="F10429" s="2423"/>
    </row>
    <row r="10430" s="101" customFormat="1" spans="6:6">
      <c r="F10430" s="2423"/>
    </row>
    <row r="10431" s="101" customFormat="1" spans="6:6">
      <c r="F10431" s="2423"/>
    </row>
    <row r="10432" s="101" customFormat="1" spans="6:6">
      <c r="F10432" s="2423"/>
    </row>
    <row r="10433" s="101" customFormat="1" spans="6:6">
      <c r="F10433" s="2423"/>
    </row>
    <row r="10434" s="101" customFormat="1" spans="6:6">
      <c r="F10434" s="2423"/>
    </row>
    <row r="10435" s="101" customFormat="1" spans="6:6">
      <c r="F10435" s="2423"/>
    </row>
    <row r="10436" s="101" customFormat="1" spans="6:6">
      <c r="F10436" s="2423"/>
    </row>
    <row r="10437" s="101" customFormat="1" spans="6:6">
      <c r="F10437" s="2423"/>
    </row>
    <row r="10438" s="101" customFormat="1" spans="6:6">
      <c r="F10438" s="2423"/>
    </row>
    <row r="10439" s="101" customFormat="1" spans="6:6">
      <c r="F10439" s="2423"/>
    </row>
    <row r="10440" s="101" customFormat="1" spans="6:6">
      <c r="F10440" s="2423"/>
    </row>
    <row r="10441" s="101" customFormat="1" spans="6:6">
      <c r="F10441" s="2423"/>
    </row>
    <row r="10442" s="101" customFormat="1" spans="6:6">
      <c r="F10442" s="2423"/>
    </row>
    <row r="10443" s="101" customFormat="1" spans="6:6">
      <c r="F10443" s="2423"/>
    </row>
    <row r="10444" s="101" customFormat="1" spans="6:6">
      <c r="F10444" s="2423"/>
    </row>
    <row r="10445" s="101" customFormat="1" spans="6:6">
      <c r="F10445" s="2423"/>
    </row>
    <row r="10446" s="101" customFormat="1" spans="6:6">
      <c r="F10446" s="2423"/>
    </row>
    <row r="10447" s="101" customFormat="1" spans="6:6">
      <c r="F10447" s="2423"/>
    </row>
    <row r="10448" s="101" customFormat="1" spans="6:6">
      <c r="F10448" s="2423"/>
    </row>
    <row r="10449" s="101" customFormat="1" spans="6:6">
      <c r="F10449" s="2423"/>
    </row>
    <row r="10450" s="101" customFormat="1" spans="6:6">
      <c r="F10450" s="2423"/>
    </row>
    <row r="10451" s="101" customFormat="1" spans="6:6">
      <c r="F10451" s="2423"/>
    </row>
    <row r="10452" s="101" customFormat="1" spans="6:6">
      <c r="F10452" s="2423"/>
    </row>
    <row r="10453" s="101" customFormat="1" spans="6:6">
      <c r="F10453" s="2423"/>
    </row>
    <row r="10454" s="101" customFormat="1" spans="6:6">
      <c r="F10454" s="2423"/>
    </row>
    <row r="10455" s="101" customFormat="1" spans="6:6">
      <c r="F10455" s="2423"/>
    </row>
    <row r="10456" s="101" customFormat="1" spans="6:6">
      <c r="F10456" s="2423"/>
    </row>
    <row r="10457" s="101" customFormat="1" spans="6:6">
      <c r="F10457" s="2423"/>
    </row>
    <row r="10458" s="101" customFormat="1" spans="6:6">
      <c r="F10458" s="2423"/>
    </row>
    <row r="10459" s="101" customFormat="1" spans="6:6">
      <c r="F10459" s="2423"/>
    </row>
    <row r="10460" s="101" customFormat="1" spans="6:6">
      <c r="F10460" s="2423"/>
    </row>
    <row r="10461" s="101" customFormat="1" spans="6:6">
      <c r="F10461" s="2423"/>
    </row>
    <row r="10462" s="101" customFormat="1" spans="6:6">
      <c r="F10462" s="2423"/>
    </row>
    <row r="10463" s="101" customFormat="1" spans="6:6">
      <c r="F10463" s="2423"/>
    </row>
    <row r="10464" s="101" customFormat="1" spans="6:6">
      <c r="F10464" s="2423"/>
    </row>
    <row r="10465" s="101" customFormat="1" spans="6:6">
      <c r="F10465" s="2423"/>
    </row>
    <row r="10466" s="101" customFormat="1" spans="6:6">
      <c r="F10466" s="2423"/>
    </row>
    <row r="10467" s="101" customFormat="1" spans="6:6">
      <c r="F10467" s="2423"/>
    </row>
    <row r="10468" s="101" customFormat="1" spans="6:6">
      <c r="F10468" s="2423"/>
    </row>
    <row r="10469" s="101" customFormat="1" spans="6:6">
      <c r="F10469" s="2423"/>
    </row>
    <row r="10470" s="101" customFormat="1" spans="6:6">
      <c r="F10470" s="2423"/>
    </row>
    <row r="10471" s="101" customFormat="1" spans="6:6">
      <c r="F10471" s="2423"/>
    </row>
    <row r="10472" s="101" customFormat="1" spans="6:6">
      <c r="F10472" s="2423"/>
    </row>
    <row r="10473" s="101" customFormat="1" spans="6:6">
      <c r="F10473" s="2423"/>
    </row>
    <row r="10474" s="101" customFormat="1" spans="6:6">
      <c r="F10474" s="2423"/>
    </row>
    <row r="10475" s="101" customFormat="1" spans="6:6">
      <c r="F10475" s="2423"/>
    </row>
    <row r="10476" s="101" customFormat="1" spans="6:6">
      <c r="F10476" s="2423"/>
    </row>
    <row r="10477" s="101" customFormat="1" spans="6:6">
      <c r="F10477" s="2423"/>
    </row>
    <row r="10478" s="101" customFormat="1" spans="6:6">
      <c r="F10478" s="2423"/>
    </row>
    <row r="10479" s="101" customFormat="1" spans="6:6">
      <c r="F10479" s="2423"/>
    </row>
    <row r="10480" s="101" customFormat="1" spans="6:6">
      <c r="F10480" s="2423"/>
    </row>
    <row r="10481" s="101" customFormat="1" spans="6:6">
      <c r="F10481" s="2423"/>
    </row>
    <row r="10482" s="101" customFormat="1" spans="6:6">
      <c r="F10482" s="2423"/>
    </row>
    <row r="10483" s="101" customFormat="1" spans="6:6">
      <c r="F10483" s="2423"/>
    </row>
    <row r="10484" s="101" customFormat="1" spans="6:6">
      <c r="F10484" s="2423"/>
    </row>
    <row r="10485" s="101" customFormat="1" spans="6:6">
      <c r="F10485" s="2423"/>
    </row>
    <row r="10486" s="101" customFormat="1" spans="6:6">
      <c r="F10486" s="2423"/>
    </row>
    <row r="10487" s="101" customFormat="1" spans="6:6">
      <c r="F10487" s="2423"/>
    </row>
    <row r="10488" s="101" customFormat="1" spans="6:6">
      <c r="F10488" s="2423"/>
    </row>
    <row r="10489" s="101" customFormat="1" spans="6:6">
      <c r="F10489" s="2423"/>
    </row>
    <row r="10490" s="101" customFormat="1" spans="6:6">
      <c r="F10490" s="2423"/>
    </row>
    <row r="10491" s="101" customFormat="1" spans="6:6">
      <c r="F10491" s="2423"/>
    </row>
    <row r="10492" s="101" customFormat="1" spans="6:6">
      <c r="F10492" s="2423"/>
    </row>
    <row r="10493" s="101" customFormat="1" spans="6:6">
      <c r="F10493" s="2423"/>
    </row>
    <row r="10494" s="101" customFormat="1" spans="6:6">
      <c r="F10494" s="2423"/>
    </row>
    <row r="10495" s="101" customFormat="1" spans="6:6">
      <c r="F10495" s="2423"/>
    </row>
    <row r="10496" s="101" customFormat="1" spans="6:6">
      <c r="F10496" s="2423"/>
    </row>
    <row r="10497" s="101" customFormat="1" spans="6:6">
      <c r="F10497" s="2423"/>
    </row>
    <row r="10498" s="101" customFormat="1" spans="6:6">
      <c r="F10498" s="2423"/>
    </row>
    <row r="10499" s="101" customFormat="1" spans="6:6">
      <c r="F10499" s="2423"/>
    </row>
    <row r="10500" s="101" customFormat="1" spans="6:6">
      <c r="F10500" s="2423"/>
    </row>
    <row r="10501" s="101" customFormat="1" spans="6:6">
      <c r="F10501" s="2423"/>
    </row>
    <row r="10502" s="101" customFormat="1" spans="6:6">
      <c r="F10502" s="2423"/>
    </row>
    <row r="10503" s="101" customFormat="1" spans="6:6">
      <c r="F10503" s="2423"/>
    </row>
    <row r="10504" s="101" customFormat="1" spans="6:6">
      <c r="F10504" s="2423"/>
    </row>
    <row r="10505" s="101" customFormat="1" spans="6:6">
      <c r="F10505" s="2423"/>
    </row>
    <row r="10506" s="101" customFormat="1" spans="6:6">
      <c r="F10506" s="2423"/>
    </row>
    <row r="10507" s="101" customFormat="1" spans="6:6">
      <c r="F10507" s="2423"/>
    </row>
    <row r="10508" s="101" customFormat="1" spans="6:6">
      <c r="F10508" s="2423"/>
    </row>
    <row r="10509" s="101" customFormat="1" spans="6:6">
      <c r="F10509" s="2423"/>
    </row>
    <row r="10510" s="101" customFormat="1" spans="6:6">
      <c r="F10510" s="2423"/>
    </row>
    <row r="10511" s="101" customFormat="1" spans="6:6">
      <c r="F10511" s="2423"/>
    </row>
    <row r="10512" s="101" customFormat="1" spans="6:6">
      <c r="F10512" s="2423"/>
    </row>
    <row r="10513" s="101" customFormat="1" spans="6:6">
      <c r="F10513" s="2423"/>
    </row>
    <row r="10514" s="101" customFormat="1" spans="6:6">
      <c r="F10514" s="2423"/>
    </row>
    <row r="10515" s="101" customFormat="1" spans="6:6">
      <c r="F10515" s="2423"/>
    </row>
    <row r="10516" s="101" customFormat="1" spans="6:6">
      <c r="F10516" s="2423"/>
    </row>
    <row r="10517" s="101" customFormat="1" spans="6:6">
      <c r="F10517" s="2423"/>
    </row>
    <row r="10518" s="101" customFormat="1" spans="6:6">
      <c r="F10518" s="2423"/>
    </row>
    <row r="10519" s="101" customFormat="1" spans="6:6">
      <c r="F10519" s="2423"/>
    </row>
    <row r="10520" s="101" customFormat="1" spans="6:6">
      <c r="F10520" s="2423"/>
    </row>
    <row r="10521" s="101" customFormat="1" spans="6:6">
      <c r="F10521" s="2423"/>
    </row>
    <row r="10522" s="101" customFormat="1" spans="6:6">
      <c r="F10522" s="2423"/>
    </row>
    <row r="10523" s="101" customFormat="1" spans="6:6">
      <c r="F10523" s="2423"/>
    </row>
    <row r="10524" s="101" customFormat="1" spans="6:6">
      <c r="F10524" s="2423"/>
    </row>
    <row r="10525" s="101" customFormat="1" spans="6:6">
      <c r="F10525" s="2423"/>
    </row>
    <row r="10526" s="101" customFormat="1" spans="6:6">
      <c r="F10526" s="2423"/>
    </row>
    <row r="10527" s="101" customFormat="1" spans="6:6">
      <c r="F10527" s="2423"/>
    </row>
    <row r="10528" s="101" customFormat="1" spans="6:6">
      <c r="F10528" s="2423"/>
    </row>
    <row r="10529" s="101" customFormat="1" spans="6:6">
      <c r="F10529" s="2423"/>
    </row>
    <row r="10530" s="101" customFormat="1" spans="6:6">
      <c r="F10530" s="2423"/>
    </row>
    <row r="10531" s="101" customFormat="1" spans="6:6">
      <c r="F10531" s="2423"/>
    </row>
    <row r="10532" s="101" customFormat="1" spans="6:6">
      <c r="F10532" s="2423"/>
    </row>
    <row r="10533" s="101" customFormat="1" spans="6:6">
      <c r="F10533" s="2423"/>
    </row>
    <row r="10534" s="101" customFormat="1" spans="6:6">
      <c r="F10534" s="2423"/>
    </row>
    <row r="10535" s="101" customFormat="1" spans="6:6">
      <c r="F10535" s="2423"/>
    </row>
    <row r="10536" s="101" customFormat="1" spans="6:6">
      <c r="F10536" s="2423"/>
    </row>
    <row r="10537" s="101" customFormat="1" spans="6:6">
      <c r="F10537" s="2423"/>
    </row>
    <row r="10538" s="101" customFormat="1" spans="6:6">
      <c r="F10538" s="2423"/>
    </row>
    <row r="10539" s="101" customFormat="1" spans="6:6">
      <c r="F10539" s="2423"/>
    </row>
    <row r="10540" s="101" customFormat="1" spans="6:6">
      <c r="F10540" s="2423"/>
    </row>
    <row r="10541" s="101" customFormat="1" spans="6:6">
      <c r="F10541" s="2423"/>
    </row>
    <row r="10542" s="101" customFormat="1" spans="6:6">
      <c r="F10542" s="2423"/>
    </row>
    <row r="10543" s="101" customFormat="1" spans="6:6">
      <c r="F10543" s="2423"/>
    </row>
    <row r="10544" s="101" customFormat="1" spans="6:6">
      <c r="F10544" s="2423"/>
    </row>
    <row r="10545" s="101" customFormat="1" spans="6:6">
      <c r="F10545" s="2423"/>
    </row>
    <row r="10546" s="101" customFormat="1" spans="6:6">
      <c r="F10546" s="2423"/>
    </row>
    <row r="10547" s="101" customFormat="1" spans="6:6">
      <c r="F10547" s="2423"/>
    </row>
    <row r="10548" s="101" customFormat="1" spans="6:6">
      <c r="F10548" s="2423"/>
    </row>
    <row r="10549" s="101" customFormat="1" spans="6:6">
      <c r="F10549" s="2423"/>
    </row>
    <row r="10550" s="101" customFormat="1" spans="6:6">
      <c r="F10550" s="2423"/>
    </row>
    <row r="10551" s="101" customFormat="1" spans="6:6">
      <c r="F10551" s="2423"/>
    </row>
    <row r="10552" s="101" customFormat="1" spans="6:6">
      <c r="F10552" s="2423"/>
    </row>
    <row r="10553" s="101" customFormat="1" spans="6:6">
      <c r="F10553" s="2423"/>
    </row>
    <row r="10554" s="101" customFormat="1" spans="6:6">
      <c r="F10554" s="2423"/>
    </row>
    <row r="10555" s="101" customFormat="1" spans="6:6">
      <c r="F10555" s="2423"/>
    </row>
    <row r="10556" s="101" customFormat="1" spans="6:6">
      <c r="F10556" s="2423"/>
    </row>
    <row r="10557" s="101" customFormat="1" spans="6:6">
      <c r="F10557" s="2423"/>
    </row>
    <row r="10558" s="101" customFormat="1" spans="6:6">
      <c r="F10558" s="2423"/>
    </row>
    <row r="10559" s="101" customFormat="1" spans="6:6">
      <c r="F10559" s="2423"/>
    </row>
    <row r="10560" s="101" customFormat="1" spans="6:6">
      <c r="F10560" s="2423"/>
    </row>
    <row r="10561" s="101" customFormat="1" spans="6:6">
      <c r="F10561" s="2423"/>
    </row>
    <row r="10562" s="101" customFormat="1" spans="6:6">
      <c r="F10562" s="2423"/>
    </row>
    <row r="10563" s="101" customFormat="1" spans="6:6">
      <c r="F10563" s="2423"/>
    </row>
    <row r="10564" s="101" customFormat="1" spans="6:6">
      <c r="F10564" s="2423"/>
    </row>
    <row r="10565" s="101" customFormat="1" spans="6:6">
      <c r="F10565" s="2423"/>
    </row>
    <row r="10566" s="101" customFormat="1" spans="6:6">
      <c r="F10566" s="2423"/>
    </row>
    <row r="10567" s="101" customFormat="1" spans="6:6">
      <c r="F10567" s="2423"/>
    </row>
    <row r="10568" s="101" customFormat="1" spans="6:6">
      <c r="F10568" s="2423"/>
    </row>
    <row r="10569" s="101" customFormat="1" spans="6:6">
      <c r="F10569" s="2423"/>
    </row>
    <row r="10570" s="101" customFormat="1" spans="6:6">
      <c r="F10570" s="2423"/>
    </row>
    <row r="10571" s="101" customFormat="1" spans="6:6">
      <c r="F10571" s="2423"/>
    </row>
    <row r="10572" s="101" customFormat="1" spans="6:6">
      <c r="F10572" s="2423"/>
    </row>
    <row r="10573" s="101" customFormat="1" spans="6:6">
      <c r="F10573" s="2423"/>
    </row>
    <row r="10574" s="101" customFormat="1" spans="6:6">
      <c r="F10574" s="2423"/>
    </row>
    <row r="10575" s="101" customFormat="1" spans="6:6">
      <c r="F10575" s="2423"/>
    </row>
    <row r="10576" s="101" customFormat="1" spans="6:6">
      <c r="F10576" s="2423"/>
    </row>
    <row r="10577" s="101" customFormat="1" spans="6:6">
      <c r="F10577" s="2423"/>
    </row>
    <row r="10578" s="101" customFormat="1" spans="6:6">
      <c r="F10578" s="2423"/>
    </row>
    <row r="10579" s="101" customFormat="1" spans="6:6">
      <c r="F10579" s="2423"/>
    </row>
    <row r="10580" s="101" customFormat="1" spans="6:6">
      <c r="F10580" s="2423"/>
    </row>
    <row r="10581" s="101" customFormat="1" spans="6:6">
      <c r="F10581" s="2423"/>
    </row>
    <row r="10582" s="101" customFormat="1" spans="6:6">
      <c r="F10582" s="2423"/>
    </row>
    <row r="10583" s="101" customFormat="1" spans="6:6">
      <c r="F10583" s="2423"/>
    </row>
    <row r="10584" s="101" customFormat="1" spans="6:6">
      <c r="F10584" s="2423"/>
    </row>
    <row r="10585" s="101" customFormat="1" spans="6:6">
      <c r="F10585" s="2423"/>
    </row>
    <row r="10586" s="101" customFormat="1" spans="6:6">
      <c r="F10586" s="2423"/>
    </row>
    <row r="10587" s="101" customFormat="1" spans="6:6">
      <c r="F10587" s="2423"/>
    </row>
    <row r="10588" s="101" customFormat="1" spans="6:6">
      <c r="F10588" s="2423"/>
    </row>
    <row r="10589" s="101" customFormat="1" spans="6:6">
      <c r="F10589" s="2423"/>
    </row>
    <row r="10590" s="101" customFormat="1" spans="6:6">
      <c r="F10590" s="2423"/>
    </row>
    <row r="10591" s="101" customFormat="1" spans="6:6">
      <c r="F10591" s="2423"/>
    </row>
    <row r="10592" s="101" customFormat="1" spans="6:6">
      <c r="F10592" s="2423"/>
    </row>
    <row r="10593" s="101" customFormat="1" spans="6:6">
      <c r="F10593" s="2423"/>
    </row>
    <row r="10594" s="101" customFormat="1" spans="6:6">
      <c r="F10594" s="2423"/>
    </row>
    <row r="10595" s="101" customFormat="1" spans="6:6">
      <c r="F10595" s="2423"/>
    </row>
    <row r="10596" s="101" customFormat="1" spans="6:6">
      <c r="F10596" s="2423"/>
    </row>
    <row r="10597" s="101" customFormat="1" spans="6:6">
      <c r="F10597" s="2423"/>
    </row>
    <row r="10598" s="101" customFormat="1" spans="6:6">
      <c r="F10598" s="2423"/>
    </row>
    <row r="10599" s="101" customFormat="1" spans="6:6">
      <c r="F10599" s="2423"/>
    </row>
    <row r="10600" s="101" customFormat="1" spans="6:6">
      <c r="F10600" s="2423"/>
    </row>
    <row r="10601" s="101" customFormat="1" spans="6:6">
      <c r="F10601" s="2423"/>
    </row>
    <row r="10602" s="101" customFormat="1" spans="6:6">
      <c r="F10602" s="2423"/>
    </row>
    <row r="10603" s="101" customFormat="1" spans="6:6">
      <c r="F10603" s="2423"/>
    </row>
    <row r="10604" s="101" customFormat="1" spans="6:6">
      <c r="F10604" s="2423"/>
    </row>
    <row r="10605" s="101" customFormat="1" spans="6:6">
      <c r="F10605" s="2423"/>
    </row>
    <row r="10606" s="101" customFormat="1" spans="6:6">
      <c r="F10606" s="2423"/>
    </row>
    <row r="10607" s="101" customFormat="1" spans="6:6">
      <c r="F10607" s="2423"/>
    </row>
    <row r="10608" s="101" customFormat="1" spans="6:6">
      <c r="F10608" s="2423"/>
    </row>
    <row r="10609" s="101" customFormat="1" spans="6:6">
      <c r="F10609" s="2423"/>
    </row>
    <row r="10610" s="101" customFormat="1" spans="6:6">
      <c r="F10610" s="2423"/>
    </row>
    <row r="10611" s="101" customFormat="1" spans="6:6">
      <c r="F10611" s="2423"/>
    </row>
    <row r="10612" s="101" customFormat="1" spans="6:6">
      <c r="F10612" s="2423"/>
    </row>
    <row r="10613" s="101" customFormat="1" spans="6:6">
      <c r="F10613" s="2423"/>
    </row>
    <row r="10614" s="101" customFormat="1" spans="6:6">
      <c r="F10614" s="2423"/>
    </row>
    <row r="10615" s="101" customFormat="1" spans="6:6">
      <c r="F10615" s="2423"/>
    </row>
    <row r="10616" s="101" customFormat="1" spans="6:6">
      <c r="F10616" s="2423"/>
    </row>
    <row r="10617" s="101" customFormat="1" spans="6:6">
      <c r="F10617" s="2423"/>
    </row>
    <row r="10618" s="101" customFormat="1" spans="6:6">
      <c r="F10618" s="2423"/>
    </row>
    <row r="10619" s="101" customFormat="1" spans="6:6">
      <c r="F10619" s="2423"/>
    </row>
    <row r="10620" s="101" customFormat="1" spans="6:6">
      <c r="F10620" s="2423"/>
    </row>
    <row r="10621" s="101" customFormat="1" spans="6:6">
      <c r="F10621" s="2423"/>
    </row>
    <row r="10622" s="101" customFormat="1" spans="6:6">
      <c r="F10622" s="2423"/>
    </row>
    <row r="10623" s="101" customFormat="1" spans="6:6">
      <c r="F10623" s="2423"/>
    </row>
    <row r="10624" s="101" customFormat="1" spans="6:6">
      <c r="F10624" s="2423"/>
    </row>
    <row r="10625" s="101" customFormat="1" spans="6:6">
      <c r="F10625" s="2423"/>
    </row>
    <row r="10626" s="101" customFormat="1" spans="6:6">
      <c r="F10626" s="2423"/>
    </row>
    <row r="10627" s="101" customFormat="1" spans="6:6">
      <c r="F10627" s="2423"/>
    </row>
    <row r="10628" s="101" customFormat="1" spans="6:6">
      <c r="F10628" s="2423"/>
    </row>
    <row r="10629" s="101" customFormat="1" spans="6:6">
      <c r="F10629" s="2423"/>
    </row>
    <row r="10630" s="101" customFormat="1" spans="6:6">
      <c r="F10630" s="2423"/>
    </row>
    <row r="10631" s="101" customFormat="1" spans="6:6">
      <c r="F10631" s="2423"/>
    </row>
    <row r="10632" s="101" customFormat="1" spans="6:6">
      <c r="F10632" s="2423"/>
    </row>
    <row r="10633" s="101" customFormat="1" spans="6:6">
      <c r="F10633" s="2423"/>
    </row>
    <row r="10634" s="101" customFormat="1" spans="6:6">
      <c r="F10634" s="2423"/>
    </row>
    <row r="10635" s="101" customFormat="1" spans="6:6">
      <c r="F10635" s="2423"/>
    </row>
    <row r="10636" s="101" customFormat="1" spans="6:6">
      <c r="F10636" s="2423"/>
    </row>
    <row r="10637" s="101" customFormat="1" spans="6:6">
      <c r="F10637" s="2423"/>
    </row>
    <row r="10638" s="101" customFormat="1" spans="6:6">
      <c r="F10638" s="2423"/>
    </row>
    <row r="10639" s="101" customFormat="1" spans="6:6">
      <c r="F10639" s="2423"/>
    </row>
    <row r="10640" s="101" customFormat="1" spans="6:6">
      <c r="F10640" s="2423"/>
    </row>
    <row r="10641" s="101" customFormat="1" spans="6:6">
      <c r="F10641" s="2423"/>
    </row>
    <row r="10642" s="101" customFormat="1" spans="6:6">
      <c r="F10642" s="2423"/>
    </row>
    <row r="10643" s="101" customFormat="1" spans="6:6">
      <c r="F10643" s="2423"/>
    </row>
    <row r="10644" s="101" customFormat="1" spans="6:6">
      <c r="F10644" s="2423"/>
    </row>
    <row r="10645" s="101" customFormat="1" spans="6:6">
      <c r="F10645" s="2423"/>
    </row>
    <row r="10646" s="101" customFormat="1" spans="6:6">
      <c r="F10646" s="2423"/>
    </row>
    <row r="10647" s="101" customFormat="1" spans="6:6">
      <c r="F10647" s="2423"/>
    </row>
    <row r="10648" s="101" customFormat="1" spans="6:6">
      <c r="F10648" s="2423"/>
    </row>
    <row r="10649" s="101" customFormat="1" spans="6:6">
      <c r="F10649" s="2423"/>
    </row>
    <row r="10650" s="101" customFormat="1" spans="6:6">
      <c r="F10650" s="2423"/>
    </row>
    <row r="10651" s="101" customFormat="1" spans="6:6">
      <c r="F10651" s="2423"/>
    </row>
    <row r="10652" s="101" customFormat="1" spans="6:6">
      <c r="F10652" s="2423"/>
    </row>
    <row r="10653" s="101" customFormat="1" spans="6:6">
      <c r="F10653" s="2423"/>
    </row>
    <row r="10654" s="101" customFormat="1" spans="6:6">
      <c r="F10654" s="2423"/>
    </row>
    <row r="10655" s="101" customFormat="1" spans="6:6">
      <c r="F10655" s="2423"/>
    </row>
    <row r="10656" s="101" customFormat="1" spans="6:6">
      <c r="F10656" s="2423"/>
    </row>
    <row r="10657" s="101" customFormat="1" spans="6:6">
      <c r="F10657" s="2423"/>
    </row>
    <row r="10658" s="101" customFormat="1" spans="6:6">
      <c r="F10658" s="2423"/>
    </row>
    <row r="10659" s="101" customFormat="1" spans="6:6">
      <c r="F10659" s="2423"/>
    </row>
    <row r="10660" s="101" customFormat="1" spans="6:6">
      <c r="F10660" s="2423"/>
    </row>
    <row r="10661" s="101" customFormat="1" spans="6:6">
      <c r="F10661" s="2423"/>
    </row>
    <row r="10662" s="101" customFormat="1" spans="6:6">
      <c r="F10662" s="2423"/>
    </row>
    <row r="10663" s="101" customFormat="1" spans="6:6">
      <c r="F10663" s="2423"/>
    </row>
    <row r="10664" s="101" customFormat="1" spans="6:6">
      <c r="F10664" s="2423"/>
    </row>
    <row r="10665" s="101" customFormat="1" spans="6:6">
      <c r="F10665" s="2423"/>
    </row>
    <row r="10666" s="101" customFormat="1" spans="6:6">
      <c r="F10666" s="2423"/>
    </row>
    <row r="10667" s="101" customFormat="1" spans="6:6">
      <c r="F10667" s="2423"/>
    </row>
    <row r="10668" s="101" customFormat="1" spans="6:6">
      <c r="F10668" s="2423"/>
    </row>
    <row r="10669" s="101" customFormat="1" spans="6:6">
      <c r="F10669" s="2423"/>
    </row>
    <row r="10670" s="101" customFormat="1" spans="6:6">
      <c r="F10670" s="2423"/>
    </row>
    <row r="10671" s="101" customFormat="1" spans="6:6">
      <c r="F10671" s="2423"/>
    </row>
    <row r="10672" s="101" customFormat="1" spans="6:6">
      <c r="F10672" s="2423"/>
    </row>
    <row r="10673" s="101" customFormat="1" spans="6:6">
      <c r="F10673" s="2423"/>
    </row>
    <row r="10674" s="101" customFormat="1" spans="6:6">
      <c r="F10674" s="2423"/>
    </row>
    <row r="10675" s="101" customFormat="1" spans="6:6">
      <c r="F10675" s="2423"/>
    </row>
    <row r="10676" s="101" customFormat="1" spans="6:6">
      <c r="F10676" s="2423"/>
    </row>
    <row r="10677" s="101" customFormat="1" spans="6:6">
      <c r="F10677" s="2423"/>
    </row>
    <row r="10678" s="101" customFormat="1" spans="6:6">
      <c r="F10678" s="2423"/>
    </row>
    <row r="10679" s="101" customFormat="1" spans="6:6">
      <c r="F10679" s="2423"/>
    </row>
    <row r="10680" s="101" customFormat="1" spans="6:6">
      <c r="F10680" s="2423"/>
    </row>
    <row r="10681" s="101" customFormat="1" spans="6:6">
      <c r="F10681" s="2423"/>
    </row>
    <row r="10682" s="101" customFormat="1" spans="6:6">
      <c r="F10682" s="2423"/>
    </row>
    <row r="10683" s="101" customFormat="1" spans="6:6">
      <c r="F10683" s="2423"/>
    </row>
    <row r="10684" s="101" customFormat="1" spans="6:6">
      <c r="F10684" s="2423"/>
    </row>
    <row r="10685" s="101" customFormat="1" spans="6:6">
      <c r="F10685" s="2423"/>
    </row>
    <row r="10686" s="101" customFormat="1" spans="6:6">
      <c r="F10686" s="2423"/>
    </row>
    <row r="10687" s="101" customFormat="1" spans="6:6">
      <c r="F10687" s="2423"/>
    </row>
    <row r="10688" s="101" customFormat="1" spans="6:6">
      <c r="F10688" s="2423"/>
    </row>
    <row r="10689" s="101" customFormat="1" spans="6:6">
      <c r="F10689" s="2423"/>
    </row>
    <row r="10690" s="101" customFormat="1" spans="6:6">
      <c r="F10690" s="2423"/>
    </row>
    <row r="10691" s="101" customFormat="1" spans="6:6">
      <c r="F10691" s="2423"/>
    </row>
    <row r="10692" s="101" customFormat="1" spans="6:6">
      <c r="F10692" s="2423"/>
    </row>
    <row r="10693" s="101" customFormat="1" spans="6:6">
      <c r="F10693" s="2423"/>
    </row>
    <row r="10694" s="101" customFormat="1" spans="6:6">
      <c r="F10694" s="2423"/>
    </row>
    <row r="10695" s="101" customFormat="1" spans="6:6">
      <c r="F10695" s="2423"/>
    </row>
    <row r="10696" s="101" customFormat="1" spans="6:6">
      <c r="F10696" s="2423"/>
    </row>
    <row r="10697" s="101" customFormat="1" spans="6:6">
      <c r="F10697" s="2423"/>
    </row>
    <row r="10698" s="101" customFormat="1" spans="6:6">
      <c r="F10698" s="2423"/>
    </row>
    <row r="10699" s="101" customFormat="1" spans="6:6">
      <c r="F10699" s="2423"/>
    </row>
    <row r="10700" s="101" customFormat="1" spans="6:6">
      <c r="F10700" s="2423"/>
    </row>
    <row r="10701" s="101" customFormat="1" spans="6:6">
      <c r="F10701" s="2423"/>
    </row>
    <row r="10702" s="101" customFormat="1" spans="6:6">
      <c r="F10702" s="2423"/>
    </row>
    <row r="10703" s="101" customFormat="1" spans="6:6">
      <c r="F10703" s="2423"/>
    </row>
    <row r="10704" s="101" customFormat="1" spans="6:6">
      <c r="F10704" s="2423"/>
    </row>
    <row r="10705" s="101" customFormat="1" spans="6:6">
      <c r="F10705" s="2423"/>
    </row>
    <row r="10706" s="101" customFormat="1" spans="6:6">
      <c r="F10706" s="2423"/>
    </row>
    <row r="10707" s="101" customFormat="1" spans="6:6">
      <c r="F10707" s="2423"/>
    </row>
    <row r="10708" s="101" customFormat="1" spans="6:6">
      <c r="F10708" s="2423"/>
    </row>
    <row r="10709" s="101" customFormat="1" spans="6:6">
      <c r="F10709" s="2423"/>
    </row>
    <row r="10710" s="101" customFormat="1" spans="6:6">
      <c r="F10710" s="2423"/>
    </row>
    <row r="10711" s="101" customFormat="1" spans="6:6">
      <c r="F10711" s="2423"/>
    </row>
    <row r="10712" s="101" customFormat="1" spans="6:6">
      <c r="F10712" s="2423"/>
    </row>
    <row r="10713" s="101" customFormat="1" spans="6:6">
      <c r="F10713" s="2423"/>
    </row>
    <row r="10714" s="101" customFormat="1" spans="6:6">
      <c r="F10714" s="2423"/>
    </row>
    <row r="10715" s="101" customFormat="1" spans="6:6">
      <c r="F10715" s="2423"/>
    </row>
    <row r="10716" s="101" customFormat="1" spans="6:6">
      <c r="F10716" s="2423"/>
    </row>
    <row r="10717" s="101" customFormat="1" spans="6:6">
      <c r="F10717" s="2423"/>
    </row>
    <row r="10718" s="101" customFormat="1" spans="6:6">
      <c r="F10718" s="2423"/>
    </row>
    <row r="10719" s="101" customFormat="1" spans="6:6">
      <c r="F10719" s="2423"/>
    </row>
    <row r="10720" s="101" customFormat="1" spans="6:6">
      <c r="F10720" s="2423"/>
    </row>
    <row r="10721" s="101" customFormat="1" spans="6:6">
      <c r="F10721" s="2423"/>
    </row>
    <row r="10722" s="101" customFormat="1" spans="6:6">
      <c r="F10722" s="2423"/>
    </row>
    <row r="10723" s="101" customFormat="1" spans="6:6">
      <c r="F10723" s="2423"/>
    </row>
    <row r="10724" s="101" customFormat="1" spans="6:6">
      <c r="F10724" s="2423"/>
    </row>
    <row r="10725" s="101" customFormat="1" spans="6:6">
      <c r="F10725" s="2423"/>
    </row>
    <row r="10726" s="101" customFormat="1" spans="6:6">
      <c r="F10726" s="2423"/>
    </row>
    <row r="10727" s="101" customFormat="1" spans="6:6">
      <c r="F10727" s="2423"/>
    </row>
    <row r="10728" s="101" customFormat="1" spans="6:6">
      <c r="F10728" s="2423"/>
    </row>
    <row r="10729" s="101" customFormat="1" spans="6:6">
      <c r="F10729" s="2423"/>
    </row>
    <row r="10730" s="101" customFormat="1" spans="6:6">
      <c r="F10730" s="2423"/>
    </row>
    <row r="10731" s="101" customFormat="1" spans="6:6">
      <c r="F10731" s="2423"/>
    </row>
    <row r="10732" s="101" customFormat="1" spans="6:6">
      <c r="F10732" s="2423"/>
    </row>
    <row r="10733" s="101" customFormat="1" spans="6:6">
      <c r="F10733" s="2423"/>
    </row>
    <row r="10734" s="101" customFormat="1" spans="6:6">
      <c r="F10734" s="2423"/>
    </row>
    <row r="10735" s="101" customFormat="1" spans="6:6">
      <c r="F10735" s="2423"/>
    </row>
    <row r="10736" s="101" customFormat="1" spans="6:6">
      <c r="F10736" s="2423"/>
    </row>
    <row r="10737" s="101" customFormat="1" spans="6:6">
      <c r="F10737" s="2423"/>
    </row>
    <row r="10738" s="101" customFormat="1" spans="6:6">
      <c r="F10738" s="2423"/>
    </row>
    <row r="10739" s="101" customFormat="1" spans="6:6">
      <c r="F10739" s="2423"/>
    </row>
    <row r="10740" s="101" customFormat="1" spans="6:6">
      <c r="F10740" s="2423"/>
    </row>
    <row r="10741" s="101" customFormat="1" spans="6:6">
      <c r="F10741" s="2423"/>
    </row>
    <row r="10742" s="101" customFormat="1" spans="6:6">
      <c r="F10742" s="2423"/>
    </row>
    <row r="10743" s="101" customFormat="1" spans="6:6">
      <c r="F10743" s="2423"/>
    </row>
    <row r="10744" s="101" customFormat="1" spans="6:6">
      <c r="F10744" s="2423"/>
    </row>
    <row r="10745" s="101" customFormat="1" spans="6:6">
      <c r="F10745" s="2423"/>
    </row>
    <row r="10746" s="101" customFormat="1" spans="6:6">
      <c r="F10746" s="2423"/>
    </row>
    <row r="10747" s="101" customFormat="1" spans="6:6">
      <c r="F10747" s="2423"/>
    </row>
    <row r="10748" s="101" customFormat="1" spans="6:6">
      <c r="F10748" s="2423"/>
    </row>
    <row r="10749" s="101" customFormat="1" spans="6:6">
      <c r="F10749" s="2423"/>
    </row>
    <row r="10750" s="101" customFormat="1" spans="6:6">
      <c r="F10750" s="2423"/>
    </row>
    <row r="10751" s="101" customFormat="1" spans="6:6">
      <c r="F10751" s="2423"/>
    </row>
    <row r="10752" s="101" customFormat="1" spans="6:6">
      <c r="F10752" s="2423"/>
    </row>
    <row r="10753" s="101" customFormat="1" spans="6:6">
      <c r="F10753" s="2423"/>
    </row>
    <row r="10754" s="101" customFormat="1" spans="6:6">
      <c r="F10754" s="2423"/>
    </row>
    <row r="10755" s="101" customFormat="1" spans="6:6">
      <c r="F10755" s="2423"/>
    </row>
    <row r="10756" s="101" customFormat="1" spans="6:6">
      <c r="F10756" s="2423"/>
    </row>
    <row r="10757" s="101" customFormat="1" spans="6:6">
      <c r="F10757" s="2423"/>
    </row>
    <row r="10758" s="101" customFormat="1" spans="6:6">
      <c r="F10758" s="2423"/>
    </row>
    <row r="10759" s="101" customFormat="1" spans="6:6">
      <c r="F10759" s="2423"/>
    </row>
    <row r="10760" s="101" customFormat="1" spans="6:6">
      <c r="F10760" s="2423"/>
    </row>
    <row r="10761" s="101" customFormat="1" spans="6:6">
      <c r="F10761" s="2423"/>
    </row>
    <row r="10762" s="101" customFormat="1" spans="6:6">
      <c r="F10762" s="2423"/>
    </row>
    <row r="10763" s="101" customFormat="1" spans="6:6">
      <c r="F10763" s="2423"/>
    </row>
    <row r="10764" s="101" customFormat="1" spans="6:6">
      <c r="F10764" s="2423"/>
    </row>
    <row r="10765" s="101" customFormat="1" spans="6:6">
      <c r="F10765" s="2423"/>
    </row>
    <row r="10766" s="101" customFormat="1" spans="6:6">
      <c r="F10766" s="2423"/>
    </row>
    <row r="10767" s="101" customFormat="1" spans="6:6">
      <c r="F10767" s="2423"/>
    </row>
    <row r="10768" s="101" customFormat="1" spans="6:6">
      <c r="F10768" s="2423"/>
    </row>
    <row r="10769" s="101" customFormat="1" spans="6:6">
      <c r="F10769" s="2423"/>
    </row>
    <row r="10770" s="101" customFormat="1" spans="6:6">
      <c r="F10770" s="2423"/>
    </row>
    <row r="10771" s="101" customFormat="1" spans="6:6">
      <c r="F10771" s="2423"/>
    </row>
    <row r="10772" s="101" customFormat="1" spans="6:6">
      <c r="F10772" s="2423"/>
    </row>
    <row r="10773" s="101" customFormat="1" spans="6:6">
      <c r="F10773" s="2423"/>
    </row>
    <row r="10774" s="101" customFormat="1" spans="6:6">
      <c r="F10774" s="2423"/>
    </row>
    <row r="10775" s="101" customFormat="1" spans="6:6">
      <c r="F10775" s="2423"/>
    </row>
    <row r="10776" s="101" customFormat="1" spans="6:6">
      <c r="F10776" s="2423"/>
    </row>
    <row r="10777" s="101" customFormat="1" spans="6:6">
      <c r="F10777" s="2423"/>
    </row>
    <row r="10778" s="101" customFormat="1" spans="6:6">
      <c r="F10778" s="2423"/>
    </row>
    <row r="10779" s="101" customFormat="1" spans="6:6">
      <c r="F10779" s="2423"/>
    </row>
    <row r="10780" s="101" customFormat="1" spans="6:6">
      <c r="F10780" s="2423"/>
    </row>
    <row r="10781" s="101" customFormat="1" spans="6:6">
      <c r="F10781" s="2423"/>
    </row>
    <row r="10782" s="101" customFormat="1" spans="6:6">
      <c r="F10782" s="2423"/>
    </row>
    <row r="10783" s="101" customFormat="1" spans="6:6">
      <c r="F10783" s="2423"/>
    </row>
    <row r="10784" s="101" customFormat="1" spans="6:6">
      <c r="F10784" s="2423"/>
    </row>
    <row r="10785" s="101" customFormat="1" spans="6:6">
      <c r="F10785" s="2423"/>
    </row>
    <row r="10786" s="101" customFormat="1" spans="6:6">
      <c r="F10786" s="2423"/>
    </row>
    <row r="10787" s="101" customFormat="1" spans="6:6">
      <c r="F10787" s="2423"/>
    </row>
    <row r="10788" s="101" customFormat="1" spans="6:6">
      <c r="F10788" s="2423"/>
    </row>
    <row r="10789" s="101" customFormat="1" spans="6:6">
      <c r="F10789" s="2423"/>
    </row>
    <row r="10790" s="101" customFormat="1" spans="6:6">
      <c r="F10790" s="2423"/>
    </row>
    <row r="10791" s="101" customFormat="1" spans="6:6">
      <c r="F10791" s="2423"/>
    </row>
    <row r="10792" s="101" customFormat="1" spans="6:6">
      <c r="F10792" s="2423"/>
    </row>
    <row r="10793" s="101" customFormat="1" spans="6:6">
      <c r="F10793" s="2423"/>
    </row>
    <row r="10794" s="101" customFormat="1" spans="6:6">
      <c r="F10794" s="2423"/>
    </row>
    <row r="10795" s="101" customFormat="1" spans="6:6">
      <c r="F10795" s="2423"/>
    </row>
    <row r="10796" s="101" customFormat="1" spans="6:6">
      <c r="F10796" s="2423"/>
    </row>
    <row r="10797" s="101" customFormat="1" spans="6:6">
      <c r="F10797" s="2423"/>
    </row>
    <row r="10798" s="101" customFormat="1" spans="6:6">
      <c r="F10798" s="2423"/>
    </row>
    <row r="10799" s="101" customFormat="1" spans="6:6">
      <c r="F10799" s="2423"/>
    </row>
    <row r="10800" s="101" customFormat="1" spans="6:6">
      <c r="F10800" s="2423"/>
    </row>
    <row r="10801" s="101" customFormat="1" spans="6:6">
      <c r="F10801" s="2423"/>
    </row>
    <row r="10802" s="101" customFormat="1" spans="6:6">
      <c r="F10802" s="2423"/>
    </row>
    <row r="10803" s="101" customFormat="1" spans="6:6">
      <c r="F10803" s="2423"/>
    </row>
    <row r="10804" s="101" customFormat="1" spans="6:6">
      <c r="F10804" s="2423"/>
    </row>
    <row r="10805" s="101" customFormat="1" spans="6:6">
      <c r="F10805" s="2423"/>
    </row>
    <row r="10806" s="101" customFormat="1" spans="6:6">
      <c r="F10806" s="2423"/>
    </row>
    <row r="10807" s="101" customFormat="1" spans="6:6">
      <c r="F10807" s="2423"/>
    </row>
    <row r="10808" s="101" customFormat="1" spans="6:6">
      <c r="F10808" s="2423"/>
    </row>
    <row r="10809" s="101" customFormat="1" spans="6:6">
      <c r="F10809" s="2423"/>
    </row>
    <row r="10810" s="101" customFormat="1" spans="6:6">
      <c r="F10810" s="2423"/>
    </row>
    <row r="10811" s="101" customFormat="1" spans="6:6">
      <c r="F10811" s="2423"/>
    </row>
    <row r="10812" s="101" customFormat="1" spans="6:6">
      <c r="F10812" s="2423"/>
    </row>
    <row r="10813" s="101" customFormat="1" spans="6:6">
      <c r="F10813" s="2423"/>
    </row>
    <row r="10814" s="101" customFormat="1" spans="6:6">
      <c r="F10814" s="2423"/>
    </row>
    <row r="10815" s="101" customFormat="1" spans="6:6">
      <c r="F10815" s="2423"/>
    </row>
    <row r="10816" s="101" customFormat="1" spans="6:6">
      <c r="F10816" s="2423"/>
    </row>
    <row r="10817" s="101" customFormat="1" spans="6:6">
      <c r="F10817" s="2423"/>
    </row>
    <row r="10818" s="101" customFormat="1" spans="6:6">
      <c r="F10818" s="2423"/>
    </row>
    <row r="10819" s="101" customFormat="1" spans="6:6">
      <c r="F10819" s="2423"/>
    </row>
    <row r="10820" s="101" customFormat="1" spans="6:6">
      <c r="F10820" s="2423"/>
    </row>
    <row r="10821" s="101" customFormat="1" spans="6:6">
      <c r="F10821" s="2423"/>
    </row>
    <row r="10822" s="101" customFormat="1" spans="6:6">
      <c r="F10822" s="2423"/>
    </row>
    <row r="10823" s="101" customFormat="1" spans="6:6">
      <c r="F10823" s="2423"/>
    </row>
    <row r="10824" s="101" customFormat="1" spans="6:6">
      <c r="F10824" s="2423"/>
    </row>
    <row r="10825" s="101" customFormat="1" spans="6:6">
      <c r="F10825" s="2423"/>
    </row>
    <row r="10826" s="101" customFormat="1" spans="6:6">
      <c r="F10826" s="2423"/>
    </row>
    <row r="10827" s="101" customFormat="1" spans="6:6">
      <c r="F10827" s="2423"/>
    </row>
    <row r="10828" s="101" customFormat="1" spans="6:6">
      <c r="F10828" s="2423"/>
    </row>
    <row r="10829" s="101" customFormat="1" spans="6:6">
      <c r="F10829" s="2423"/>
    </row>
    <row r="10830" s="101" customFormat="1" spans="6:6">
      <c r="F10830" s="2423"/>
    </row>
    <row r="10831" s="101" customFormat="1" spans="6:6">
      <c r="F10831" s="2423"/>
    </row>
    <row r="10832" s="101" customFormat="1" spans="6:6">
      <c r="F10832" s="2423"/>
    </row>
    <row r="10833" s="101" customFormat="1" spans="6:6">
      <c r="F10833" s="2423"/>
    </row>
    <row r="10834" s="101" customFormat="1" spans="6:6">
      <c r="F10834" s="2423"/>
    </row>
    <row r="10835" s="101" customFormat="1" spans="6:6">
      <c r="F10835" s="2423"/>
    </row>
    <row r="10836" s="101" customFormat="1" spans="6:6">
      <c r="F10836" s="2423"/>
    </row>
    <row r="10837" s="101" customFormat="1" spans="6:6">
      <c r="F10837" s="2423"/>
    </row>
    <row r="10838" s="101" customFormat="1" spans="6:6">
      <c r="F10838" s="2423"/>
    </row>
    <row r="10839" s="101" customFormat="1" spans="6:6">
      <c r="F10839" s="2423"/>
    </row>
    <row r="10840" s="101" customFormat="1" spans="6:6">
      <c r="F10840" s="2423"/>
    </row>
    <row r="10841" s="101" customFormat="1" spans="6:6">
      <c r="F10841" s="2423"/>
    </row>
    <row r="10842" s="101" customFormat="1" spans="6:6">
      <c r="F10842" s="2423"/>
    </row>
    <row r="10843" s="101" customFormat="1" spans="6:6">
      <c r="F10843" s="2423"/>
    </row>
    <row r="10844" s="101" customFormat="1" spans="6:6">
      <c r="F10844" s="2423"/>
    </row>
    <row r="10845" s="101" customFormat="1" spans="6:6">
      <c r="F10845" s="2423"/>
    </row>
    <row r="10846" s="101" customFormat="1" spans="6:6">
      <c r="F10846" s="2423"/>
    </row>
    <row r="10847" s="101" customFormat="1" spans="6:6">
      <c r="F10847" s="2423"/>
    </row>
    <row r="10848" s="101" customFormat="1" spans="6:6">
      <c r="F10848" s="2423"/>
    </row>
    <row r="10849" s="101" customFormat="1" spans="6:6">
      <c r="F10849" s="2423"/>
    </row>
    <row r="10850" s="101" customFormat="1" spans="6:6">
      <c r="F10850" s="2423"/>
    </row>
    <row r="10851" s="101" customFormat="1" spans="6:6">
      <c r="F10851" s="2423"/>
    </row>
    <row r="10852" s="101" customFormat="1" spans="6:6">
      <c r="F10852" s="2423"/>
    </row>
    <row r="10853" s="101" customFormat="1" spans="6:6">
      <c r="F10853" s="2423"/>
    </row>
    <row r="10854" s="101" customFormat="1" spans="6:6">
      <c r="F10854" s="2423"/>
    </row>
    <row r="10855" s="101" customFormat="1" spans="6:6">
      <c r="F10855" s="2423"/>
    </row>
    <row r="10856" s="101" customFormat="1" spans="6:6">
      <c r="F10856" s="2423"/>
    </row>
    <row r="10857" s="101" customFormat="1" spans="6:6">
      <c r="F10857" s="2423"/>
    </row>
    <row r="10858" s="101" customFormat="1" spans="6:6">
      <c r="F10858" s="2423"/>
    </row>
    <row r="10859" s="101" customFormat="1" spans="6:6">
      <c r="F10859" s="2423"/>
    </row>
    <row r="10860" s="101" customFormat="1" spans="6:6">
      <c r="F10860" s="2423"/>
    </row>
    <row r="10861" s="101" customFormat="1" spans="6:6">
      <c r="F10861" s="2423"/>
    </row>
    <row r="10862" s="101" customFormat="1" spans="6:6">
      <c r="F10862" s="2423"/>
    </row>
    <row r="10863" s="101" customFormat="1" spans="6:6">
      <c r="F10863" s="2423"/>
    </row>
    <row r="10864" s="101" customFormat="1" spans="6:6">
      <c r="F10864" s="2423"/>
    </row>
    <row r="10865" s="101" customFormat="1" spans="6:6">
      <c r="F10865" s="2423"/>
    </row>
    <row r="10866" s="101" customFormat="1" spans="6:6">
      <c r="F10866" s="2423"/>
    </row>
    <row r="10867" s="101" customFormat="1" spans="6:6">
      <c r="F10867" s="2423"/>
    </row>
    <row r="10868" s="101" customFormat="1" spans="6:6">
      <c r="F10868" s="2423"/>
    </row>
    <row r="10869" s="101" customFormat="1" spans="6:6">
      <c r="F10869" s="2423"/>
    </row>
    <row r="10870" s="101" customFormat="1" spans="6:6">
      <c r="F10870" s="2423"/>
    </row>
    <row r="10871" s="101" customFormat="1" spans="6:6">
      <c r="F10871" s="2423"/>
    </row>
    <row r="10872" s="101" customFormat="1" spans="6:6">
      <c r="F10872" s="2423"/>
    </row>
    <row r="10873" s="101" customFormat="1" spans="6:6">
      <c r="F10873" s="2423"/>
    </row>
    <row r="10874" s="101" customFormat="1" spans="6:6">
      <c r="F10874" s="2423"/>
    </row>
    <row r="10875" s="101" customFormat="1" spans="6:6">
      <c r="F10875" s="2423"/>
    </row>
    <row r="10876" s="101" customFormat="1" spans="6:6">
      <c r="F10876" s="2423"/>
    </row>
    <row r="10877" s="101" customFormat="1" spans="6:6">
      <c r="F10877" s="2423"/>
    </row>
    <row r="10878" s="101" customFormat="1" spans="6:6">
      <c r="F10878" s="2423"/>
    </row>
    <row r="10879" s="101" customFormat="1" spans="6:6">
      <c r="F10879" s="2423"/>
    </row>
    <row r="10880" s="101" customFormat="1" spans="6:6">
      <c r="F10880" s="2423"/>
    </row>
    <row r="10881" s="101" customFormat="1" spans="6:6">
      <c r="F10881" s="2423"/>
    </row>
    <row r="10882" s="101" customFormat="1" spans="6:6">
      <c r="F10882" s="2423"/>
    </row>
    <row r="10883" s="101" customFormat="1" spans="6:6">
      <c r="F10883" s="2423"/>
    </row>
    <row r="10884" s="101" customFormat="1" spans="6:6">
      <c r="F10884" s="2423"/>
    </row>
    <row r="10885" s="101" customFormat="1" spans="6:6">
      <c r="F10885" s="2423"/>
    </row>
    <row r="10886" s="101" customFormat="1" spans="6:6">
      <c r="F10886" s="2423"/>
    </row>
    <row r="10887" s="101" customFormat="1" spans="6:6">
      <c r="F10887" s="2423"/>
    </row>
    <row r="10888" s="101" customFormat="1" spans="6:6">
      <c r="F10888" s="2423"/>
    </row>
    <row r="10889" s="101" customFormat="1" spans="6:6">
      <c r="F10889" s="2423"/>
    </row>
    <row r="10890" s="101" customFormat="1" spans="6:6">
      <c r="F10890" s="2423"/>
    </row>
    <row r="10891" s="101" customFormat="1" spans="6:6">
      <c r="F10891" s="2423"/>
    </row>
    <row r="10892" s="101" customFormat="1" spans="6:6">
      <c r="F10892" s="2423"/>
    </row>
    <row r="10893" s="101" customFormat="1" spans="6:6">
      <c r="F10893" s="2423"/>
    </row>
    <row r="10894" s="101" customFormat="1" spans="6:6">
      <c r="F10894" s="2423"/>
    </row>
    <row r="10895" s="101" customFormat="1" spans="6:6">
      <c r="F10895" s="2423"/>
    </row>
    <row r="10896" s="101" customFormat="1" spans="6:6">
      <c r="F10896" s="2423"/>
    </row>
    <row r="10897" s="101" customFormat="1" spans="6:6">
      <c r="F10897" s="2423"/>
    </row>
    <row r="10898" s="101" customFormat="1" spans="6:6">
      <c r="F10898" s="2423"/>
    </row>
    <row r="10899" s="101" customFormat="1" spans="6:6">
      <c r="F10899" s="2423"/>
    </row>
    <row r="10900" s="101" customFormat="1" spans="6:6">
      <c r="F10900" s="2423"/>
    </row>
    <row r="10901" s="101" customFormat="1" spans="6:6">
      <c r="F10901" s="2423"/>
    </row>
    <row r="10902" s="101" customFormat="1" spans="6:6">
      <c r="F10902" s="2423"/>
    </row>
    <row r="10903" s="101" customFormat="1" spans="6:6">
      <c r="F10903" s="2423"/>
    </row>
    <row r="10904" s="101" customFormat="1" spans="6:6">
      <c r="F10904" s="2423"/>
    </row>
    <row r="10905" s="101" customFormat="1" spans="6:6">
      <c r="F10905" s="2423"/>
    </row>
    <row r="10906" s="101" customFormat="1" spans="6:6">
      <c r="F10906" s="2423"/>
    </row>
    <row r="10907" s="101" customFormat="1" spans="6:6">
      <c r="F10907" s="2423"/>
    </row>
    <row r="10908" s="101" customFormat="1" spans="6:6">
      <c r="F10908" s="2423"/>
    </row>
    <row r="10909" s="101" customFormat="1" spans="6:6">
      <c r="F10909" s="2423"/>
    </row>
    <row r="10910" s="101" customFormat="1" spans="6:6">
      <c r="F10910" s="2423"/>
    </row>
    <row r="10911" s="101" customFormat="1" spans="6:6">
      <c r="F10911" s="2423"/>
    </row>
    <row r="10912" s="101" customFormat="1" spans="6:6">
      <c r="F10912" s="2423"/>
    </row>
    <row r="10913" s="101" customFormat="1" spans="6:6">
      <c r="F10913" s="2423"/>
    </row>
    <row r="10914" s="101" customFormat="1" spans="6:6">
      <c r="F10914" s="2423"/>
    </row>
    <row r="10915" s="101" customFormat="1" spans="6:6">
      <c r="F10915" s="2423"/>
    </row>
    <row r="10916" s="101" customFormat="1" spans="6:6">
      <c r="F10916" s="2423"/>
    </row>
    <row r="10917" s="101" customFormat="1" spans="6:6">
      <c r="F10917" s="2423"/>
    </row>
    <row r="10918" s="101" customFormat="1" spans="6:6">
      <c r="F10918" s="2423"/>
    </row>
    <row r="10919" s="101" customFormat="1" spans="6:6">
      <c r="F10919" s="2423"/>
    </row>
    <row r="10920" s="101" customFormat="1" spans="6:6">
      <c r="F10920" s="2423"/>
    </row>
    <row r="10921" s="101" customFormat="1" spans="6:6">
      <c r="F10921" s="2423"/>
    </row>
    <row r="10922" s="101" customFormat="1" spans="6:6">
      <c r="F10922" s="2423"/>
    </row>
    <row r="10923" s="101" customFormat="1" spans="6:6">
      <c r="F10923" s="2423"/>
    </row>
    <row r="10924" s="101" customFormat="1" spans="6:6">
      <c r="F10924" s="2423"/>
    </row>
    <row r="10925" s="101" customFormat="1" spans="6:6">
      <c r="F10925" s="2423"/>
    </row>
    <row r="10926" s="101" customFormat="1" spans="6:6">
      <c r="F10926" s="2423"/>
    </row>
    <row r="10927" s="101" customFormat="1" spans="6:6">
      <c r="F10927" s="2423"/>
    </row>
    <row r="10928" s="101" customFormat="1" spans="6:6">
      <c r="F10928" s="2423"/>
    </row>
    <row r="10929" s="101" customFormat="1" spans="6:6">
      <c r="F10929" s="2423"/>
    </row>
    <row r="10930" s="101" customFormat="1" spans="6:6">
      <c r="F10930" s="2423"/>
    </row>
    <row r="10931" s="101" customFormat="1" spans="6:6">
      <c r="F10931" s="2423"/>
    </row>
    <row r="10932" s="101" customFormat="1" spans="6:6">
      <c r="F10932" s="2423"/>
    </row>
    <row r="10933" s="101" customFormat="1" spans="6:6">
      <c r="F10933" s="2423"/>
    </row>
    <row r="10934" s="101" customFormat="1" spans="6:6">
      <c r="F10934" s="2423"/>
    </row>
    <row r="10935" s="101" customFormat="1" spans="6:6">
      <c r="F10935" s="2423"/>
    </row>
    <row r="10936" s="101" customFormat="1" spans="6:6">
      <c r="F10936" s="2423"/>
    </row>
    <row r="10937" s="101" customFormat="1" spans="6:6">
      <c r="F10937" s="2423"/>
    </row>
    <row r="10938" s="101" customFormat="1" spans="6:6">
      <c r="F10938" s="2423"/>
    </row>
    <row r="10939" s="101" customFormat="1" spans="6:6">
      <c r="F10939" s="2423"/>
    </row>
    <row r="10940" s="101" customFormat="1" spans="6:6">
      <c r="F10940" s="2423"/>
    </row>
    <row r="10941" s="101" customFormat="1" spans="6:6">
      <c r="F10941" s="2423"/>
    </row>
    <row r="10942" s="101" customFormat="1" spans="6:6">
      <c r="F10942" s="2423"/>
    </row>
    <row r="10943" s="101" customFormat="1" spans="6:6">
      <c r="F10943" s="2423"/>
    </row>
    <row r="10944" s="101" customFormat="1" spans="6:6">
      <c r="F10944" s="2423"/>
    </row>
    <row r="10945" s="101" customFormat="1" spans="6:6">
      <c r="F10945" s="2423"/>
    </row>
    <row r="10946" s="101" customFormat="1" spans="6:6">
      <c r="F10946" s="2423"/>
    </row>
    <row r="10947" s="101" customFormat="1" spans="6:6">
      <c r="F10947" s="2423"/>
    </row>
    <row r="10948" s="101" customFormat="1" spans="6:6">
      <c r="F10948" s="2423"/>
    </row>
    <row r="10949" s="101" customFormat="1" spans="6:6">
      <c r="F10949" s="2423"/>
    </row>
    <row r="10950" s="101" customFormat="1" spans="6:6">
      <c r="F10950" s="2423"/>
    </row>
    <row r="10951" s="101" customFormat="1" spans="6:6">
      <c r="F10951" s="2423"/>
    </row>
    <row r="10952" s="101" customFormat="1" spans="6:6">
      <c r="F10952" s="2423"/>
    </row>
    <row r="10953" s="101" customFormat="1" spans="6:6">
      <c r="F10953" s="2423"/>
    </row>
    <row r="10954" s="101" customFormat="1" spans="6:6">
      <c r="F10954" s="2423"/>
    </row>
    <row r="10955" s="101" customFormat="1" spans="6:6">
      <c r="F10955" s="2423"/>
    </row>
    <row r="10956" s="101" customFormat="1" spans="6:6">
      <c r="F10956" s="2423"/>
    </row>
    <row r="10957" s="101" customFormat="1" spans="6:6">
      <c r="F10957" s="2423"/>
    </row>
    <row r="10958" s="101" customFormat="1" spans="6:6">
      <c r="F10958" s="2423"/>
    </row>
    <row r="10959" s="101" customFormat="1" spans="6:6">
      <c r="F10959" s="2423"/>
    </row>
    <row r="10960" s="101" customFormat="1" spans="6:6">
      <c r="F10960" s="2423"/>
    </row>
    <row r="10961" s="101" customFormat="1" spans="6:6">
      <c r="F10961" s="2423"/>
    </row>
    <row r="10962" s="101" customFormat="1" spans="6:6">
      <c r="F10962" s="2423"/>
    </row>
    <row r="10963" s="101" customFormat="1" spans="6:6">
      <c r="F10963" s="2423"/>
    </row>
    <row r="10964" s="101" customFormat="1" spans="6:6">
      <c r="F10964" s="2423"/>
    </row>
    <row r="10965" s="101" customFormat="1" spans="6:6">
      <c r="F10965" s="2423"/>
    </row>
    <row r="10966" s="101" customFormat="1" spans="6:6">
      <c r="F10966" s="2423"/>
    </row>
    <row r="10967" s="101" customFormat="1" spans="6:6">
      <c r="F10967" s="2423"/>
    </row>
    <row r="10968" s="101" customFormat="1" spans="6:6">
      <c r="F10968" s="2423"/>
    </row>
    <row r="10969" s="101" customFormat="1" spans="6:6">
      <c r="F10969" s="2423"/>
    </row>
    <row r="10970" s="101" customFormat="1" spans="6:6">
      <c r="F10970" s="2423"/>
    </row>
    <row r="10971" s="101" customFormat="1" spans="6:6">
      <c r="F10971" s="2423"/>
    </row>
    <row r="10972" s="101" customFormat="1" spans="6:6">
      <c r="F10972" s="2423"/>
    </row>
    <row r="10973" s="101" customFormat="1" spans="6:6">
      <c r="F10973" s="2423"/>
    </row>
    <row r="10974" s="101" customFormat="1" spans="6:6">
      <c r="F10974" s="2423"/>
    </row>
    <row r="10975" s="101" customFormat="1" spans="6:6">
      <c r="F10975" s="2423"/>
    </row>
    <row r="10976" s="101" customFormat="1" spans="6:6">
      <c r="F10976" s="2423"/>
    </row>
    <row r="10977" s="101" customFormat="1" spans="6:6">
      <c r="F10977" s="2423"/>
    </row>
    <row r="10978" s="101" customFormat="1" spans="6:6">
      <c r="F10978" s="2423"/>
    </row>
    <row r="10979" s="101" customFormat="1" spans="6:6">
      <c r="F10979" s="2423"/>
    </row>
    <row r="10980" s="101" customFormat="1" spans="6:6">
      <c r="F10980" s="2423"/>
    </row>
    <row r="10981" s="101" customFormat="1" spans="6:6">
      <c r="F10981" s="2423"/>
    </row>
    <row r="10982" s="101" customFormat="1" spans="6:6">
      <c r="F10982" s="2423"/>
    </row>
    <row r="10983" s="101" customFormat="1" spans="6:6">
      <c r="F10983" s="2423"/>
    </row>
    <row r="10984" s="101" customFormat="1" spans="6:6">
      <c r="F10984" s="2423"/>
    </row>
    <row r="10985" s="101" customFormat="1" spans="6:6">
      <c r="F10985" s="2423"/>
    </row>
    <row r="10986" s="101" customFormat="1" spans="6:6">
      <c r="F10986" s="2423"/>
    </row>
    <row r="10987" s="101" customFormat="1" spans="6:6">
      <c r="F10987" s="2423"/>
    </row>
    <row r="10988" s="101" customFormat="1" spans="6:6">
      <c r="F10988" s="2423"/>
    </row>
    <row r="10989" s="101" customFormat="1" spans="6:6">
      <c r="F10989" s="2423"/>
    </row>
    <row r="10990" s="101" customFormat="1" spans="6:6">
      <c r="F10990" s="2423"/>
    </row>
    <row r="10991" s="101" customFormat="1" spans="6:6">
      <c r="F10991" s="2423"/>
    </row>
    <row r="10992" s="101" customFormat="1" spans="6:6">
      <c r="F10992" s="2423"/>
    </row>
    <row r="10993" s="101" customFormat="1" spans="6:6">
      <c r="F10993" s="2423"/>
    </row>
    <row r="10994" s="101" customFormat="1" spans="6:6">
      <c r="F10994" s="2423"/>
    </row>
    <row r="10995" s="101" customFormat="1" spans="6:6">
      <c r="F10995" s="2423"/>
    </row>
    <row r="10996" s="101" customFormat="1" spans="6:6">
      <c r="F10996" s="2423"/>
    </row>
    <row r="10997" s="101" customFormat="1" spans="6:6">
      <c r="F10997" s="2423"/>
    </row>
    <row r="10998" s="101" customFormat="1" spans="6:6">
      <c r="F10998" s="2423"/>
    </row>
    <row r="10999" s="101" customFormat="1" spans="6:6">
      <c r="F10999" s="2423"/>
    </row>
    <row r="11000" s="101" customFormat="1" spans="6:6">
      <c r="F11000" s="2423"/>
    </row>
    <row r="11001" s="101" customFormat="1" spans="6:6">
      <c r="F11001" s="2423"/>
    </row>
    <row r="11002" s="101" customFormat="1" spans="6:6">
      <c r="F11002" s="2423"/>
    </row>
    <row r="11003" s="101" customFormat="1" spans="6:6">
      <c r="F11003" s="2423"/>
    </row>
    <row r="11004" s="101" customFormat="1" spans="6:6">
      <c r="F11004" s="2423"/>
    </row>
    <row r="11005" s="101" customFormat="1" spans="6:6">
      <c r="F11005" s="2423"/>
    </row>
    <row r="11006" s="101" customFormat="1" spans="6:6">
      <c r="F11006" s="2423"/>
    </row>
    <row r="11007" s="101" customFormat="1" spans="6:6">
      <c r="F11007" s="2423"/>
    </row>
    <row r="11008" s="101" customFormat="1" spans="6:6">
      <c r="F11008" s="2423"/>
    </row>
    <row r="11009" s="101" customFormat="1" spans="6:6">
      <c r="F11009" s="2423"/>
    </row>
    <row r="11010" s="101" customFormat="1" spans="6:6">
      <c r="F11010" s="2423"/>
    </row>
    <row r="11011" s="101" customFormat="1" spans="6:6">
      <c r="F11011" s="2423"/>
    </row>
    <row r="11012" s="101" customFormat="1" spans="6:6">
      <c r="F11012" s="2423"/>
    </row>
    <row r="11013" s="101" customFormat="1" spans="6:6">
      <c r="F11013" s="2423"/>
    </row>
    <row r="11014" s="101" customFormat="1" spans="6:6">
      <c r="F11014" s="2423"/>
    </row>
    <row r="11015" s="101" customFormat="1" spans="6:6">
      <c r="F11015" s="2423"/>
    </row>
    <row r="11016" s="101" customFormat="1" spans="6:6">
      <c r="F11016" s="2423"/>
    </row>
    <row r="11017" s="101" customFormat="1" spans="6:6">
      <c r="F11017" s="2423"/>
    </row>
    <row r="11018" s="101" customFormat="1" spans="6:6">
      <c r="F11018" s="2423"/>
    </row>
    <row r="11019" s="101" customFormat="1" spans="6:6">
      <c r="F11019" s="2423"/>
    </row>
    <row r="11020" s="101" customFormat="1" spans="6:6">
      <c r="F11020" s="2423"/>
    </row>
    <row r="11021" s="101" customFormat="1" spans="6:6">
      <c r="F11021" s="2423"/>
    </row>
    <row r="11022" s="101" customFormat="1" spans="6:6">
      <c r="F11022" s="2423"/>
    </row>
    <row r="11023" s="101" customFormat="1" spans="6:6">
      <c r="F11023" s="2423"/>
    </row>
    <row r="11024" s="101" customFormat="1" spans="6:6">
      <c r="F11024" s="2423"/>
    </row>
    <row r="11025" s="101" customFormat="1" spans="6:6">
      <c r="F11025" s="2423"/>
    </row>
    <row r="11026" s="101" customFormat="1" spans="6:6">
      <c r="F11026" s="2423"/>
    </row>
    <row r="11027" s="101" customFormat="1" spans="6:6">
      <c r="F11027" s="2423"/>
    </row>
    <row r="11028" s="101" customFormat="1" spans="6:6">
      <c r="F11028" s="2423"/>
    </row>
    <row r="11029" s="101" customFormat="1" spans="6:6">
      <c r="F11029" s="2423"/>
    </row>
    <row r="11030" s="101" customFormat="1" spans="6:6">
      <c r="F11030" s="2423"/>
    </row>
    <row r="11031" s="101" customFormat="1" spans="6:6">
      <c r="F11031" s="2423"/>
    </row>
    <row r="11032" s="101" customFormat="1" spans="6:6">
      <c r="F11032" s="2423"/>
    </row>
    <row r="11033" s="101" customFormat="1" spans="6:6">
      <c r="F11033" s="2423"/>
    </row>
    <row r="11034" s="101" customFormat="1" spans="6:6">
      <c r="F11034" s="2423"/>
    </row>
    <row r="11035" s="101" customFormat="1" spans="6:6">
      <c r="F11035" s="2423"/>
    </row>
    <row r="11036" s="101" customFormat="1" spans="6:6">
      <c r="F11036" s="2423"/>
    </row>
    <row r="11037" s="101" customFormat="1" spans="6:6">
      <c r="F11037" s="2423"/>
    </row>
    <row r="11038" s="101" customFormat="1" spans="6:6">
      <c r="F11038" s="2423"/>
    </row>
    <row r="11039" s="101" customFormat="1" spans="6:6">
      <c r="F11039" s="2423"/>
    </row>
    <row r="11040" s="101" customFormat="1" spans="6:6">
      <c r="F11040" s="2423"/>
    </row>
    <row r="11041" s="101" customFormat="1" spans="6:6">
      <c r="F11041" s="2423"/>
    </row>
    <row r="11042" s="101" customFormat="1" spans="6:6">
      <c r="F11042" s="2423"/>
    </row>
    <row r="11043" s="101" customFormat="1" spans="6:6">
      <c r="F11043" s="2423"/>
    </row>
    <row r="11044" s="101" customFormat="1" spans="6:6">
      <c r="F11044" s="2423"/>
    </row>
    <row r="11045" s="101" customFormat="1" spans="6:6">
      <c r="F11045" s="2423"/>
    </row>
    <row r="11046" s="101" customFormat="1" spans="6:6">
      <c r="F11046" s="2423"/>
    </row>
    <row r="11047" s="101" customFormat="1" spans="6:6">
      <c r="F11047" s="2423"/>
    </row>
    <row r="11048" s="101" customFormat="1" spans="6:6">
      <c r="F11048" s="2423"/>
    </row>
    <row r="11049" s="101" customFormat="1" spans="6:6">
      <c r="F11049" s="2423"/>
    </row>
    <row r="11050" s="101" customFormat="1" spans="6:6">
      <c r="F11050" s="2423"/>
    </row>
    <row r="11051" s="101" customFormat="1" spans="6:6">
      <c r="F11051" s="2423"/>
    </row>
    <row r="11052" s="101" customFormat="1" spans="6:6">
      <c r="F11052" s="2423"/>
    </row>
    <row r="11053" s="101" customFormat="1" spans="6:6">
      <c r="F11053" s="2423"/>
    </row>
    <row r="11054" s="101" customFormat="1" spans="6:6">
      <c r="F11054" s="2423"/>
    </row>
    <row r="11055" s="101" customFormat="1" spans="6:6">
      <c r="F11055" s="2423"/>
    </row>
    <row r="11056" s="101" customFormat="1" spans="6:6">
      <c r="F11056" s="2423"/>
    </row>
    <row r="11057" s="101" customFormat="1" spans="6:6">
      <c r="F11057" s="2423"/>
    </row>
    <row r="11058" s="101" customFormat="1" spans="6:6">
      <c r="F11058" s="2423"/>
    </row>
    <row r="11059" s="101" customFormat="1" spans="6:6">
      <c r="F11059" s="2423"/>
    </row>
    <row r="11060" s="101" customFormat="1" spans="6:6">
      <c r="F11060" s="2423"/>
    </row>
    <row r="11061" s="101" customFormat="1" spans="6:6">
      <c r="F11061" s="2423"/>
    </row>
    <row r="11062" s="101" customFormat="1" spans="6:6">
      <c r="F11062" s="2423"/>
    </row>
    <row r="11063" s="101" customFormat="1" spans="6:6">
      <c r="F11063" s="2423"/>
    </row>
    <row r="11064" s="101" customFormat="1" spans="6:6">
      <c r="F11064" s="2423"/>
    </row>
    <row r="11065" s="101" customFormat="1" spans="6:6">
      <c r="F11065" s="2423"/>
    </row>
    <row r="11066" s="101" customFormat="1" spans="6:6">
      <c r="F11066" s="2423"/>
    </row>
    <row r="11067" s="101" customFormat="1" spans="6:6">
      <c r="F11067" s="2423"/>
    </row>
    <row r="11068" s="101" customFormat="1" spans="6:6">
      <c r="F11068" s="2423"/>
    </row>
    <row r="11069" s="101" customFormat="1" spans="6:6">
      <c r="F11069" s="2423"/>
    </row>
    <row r="11070" s="101" customFormat="1" spans="6:6">
      <c r="F11070" s="2423"/>
    </row>
    <row r="11071" s="101" customFormat="1" spans="6:6">
      <c r="F11071" s="2423"/>
    </row>
    <row r="11072" s="101" customFormat="1" spans="6:6">
      <c r="F11072" s="2423"/>
    </row>
    <row r="11073" s="101" customFormat="1" spans="6:6">
      <c r="F11073" s="2423"/>
    </row>
    <row r="11074" s="101" customFormat="1" spans="6:6">
      <c r="F11074" s="2423"/>
    </row>
    <row r="11075" s="101" customFormat="1" spans="6:6">
      <c r="F11075" s="2423"/>
    </row>
    <row r="11076" s="101" customFormat="1" spans="6:6">
      <c r="F11076" s="2423"/>
    </row>
    <row r="11077" s="101" customFormat="1" spans="6:6">
      <c r="F11077" s="2423"/>
    </row>
    <row r="11078" s="101" customFormat="1" spans="6:6">
      <c r="F11078" s="2423"/>
    </row>
    <row r="11079" s="101" customFormat="1" spans="6:6">
      <c r="F11079" s="2423"/>
    </row>
    <row r="11080" s="101" customFormat="1" spans="6:6">
      <c r="F11080" s="2423"/>
    </row>
    <row r="11081" s="101" customFormat="1" spans="6:6">
      <c r="F11081" s="2423"/>
    </row>
    <row r="11082" s="101" customFormat="1" spans="6:6">
      <c r="F11082" s="2423"/>
    </row>
    <row r="11083" s="101" customFormat="1" spans="6:6">
      <c r="F11083" s="2423"/>
    </row>
    <row r="11084" s="101" customFormat="1" spans="6:6">
      <c r="F11084" s="2423"/>
    </row>
    <row r="11085" s="101" customFormat="1" spans="6:6">
      <c r="F11085" s="2423"/>
    </row>
    <row r="11086" s="101" customFormat="1" spans="6:6">
      <c r="F11086" s="2423"/>
    </row>
    <row r="11087" s="101" customFormat="1" spans="6:6">
      <c r="F11087" s="2423"/>
    </row>
    <row r="11088" s="101" customFormat="1" spans="6:6">
      <c r="F11088" s="2423"/>
    </row>
    <row r="11089" s="101" customFormat="1" spans="6:6">
      <c r="F11089" s="2423"/>
    </row>
    <row r="11090" s="101" customFormat="1" spans="6:6">
      <c r="F11090" s="2423"/>
    </row>
    <row r="11091" s="101" customFormat="1" spans="6:6">
      <c r="F11091" s="2423"/>
    </row>
    <row r="11092" s="101" customFormat="1" spans="6:6">
      <c r="F11092" s="2423"/>
    </row>
    <row r="11093" s="101" customFormat="1" spans="6:6">
      <c r="F11093" s="2423"/>
    </row>
    <row r="11094" s="101" customFormat="1" spans="6:6">
      <c r="F11094" s="2423"/>
    </row>
    <row r="11095" s="101" customFormat="1" spans="6:6">
      <c r="F11095" s="2423"/>
    </row>
    <row r="11096" s="101" customFormat="1" spans="6:6">
      <c r="F11096" s="2423"/>
    </row>
    <row r="11097" s="101" customFormat="1" spans="6:6">
      <c r="F11097" s="2423"/>
    </row>
    <row r="11098" s="101" customFormat="1" spans="6:6">
      <c r="F11098" s="2423"/>
    </row>
    <row r="11099" s="101" customFormat="1" spans="6:6">
      <c r="F11099" s="2423"/>
    </row>
    <row r="11100" s="101" customFormat="1" spans="6:6">
      <c r="F11100" s="2423"/>
    </row>
    <row r="11101" s="101" customFormat="1" spans="6:6">
      <c r="F11101" s="2423"/>
    </row>
    <row r="11102" s="101" customFormat="1" spans="6:6">
      <c r="F11102" s="2423"/>
    </row>
    <row r="11103" s="101" customFormat="1" spans="6:6">
      <c r="F11103" s="2423"/>
    </row>
    <row r="11104" s="101" customFormat="1" spans="6:6">
      <c r="F11104" s="2423"/>
    </row>
    <row r="11105" s="101" customFormat="1" spans="6:6">
      <c r="F11105" s="2423"/>
    </row>
    <row r="11106" s="101" customFormat="1" spans="6:6">
      <c r="F11106" s="2423"/>
    </row>
    <row r="11107" s="101" customFormat="1" spans="6:6">
      <c r="F11107" s="2423"/>
    </row>
    <row r="11108" s="101" customFormat="1" spans="6:6">
      <c r="F11108" s="2423"/>
    </row>
    <row r="11109" s="101" customFormat="1" spans="6:6">
      <c r="F11109" s="2423"/>
    </row>
    <row r="11110" s="101" customFormat="1" spans="6:6">
      <c r="F11110" s="2423"/>
    </row>
    <row r="11111" s="101" customFormat="1" spans="6:6">
      <c r="F11111" s="2423"/>
    </row>
    <row r="11112" s="101" customFormat="1" spans="6:6">
      <c r="F11112" s="2423"/>
    </row>
    <row r="11113" s="101" customFormat="1" spans="6:6">
      <c r="F11113" s="2423"/>
    </row>
    <row r="11114" s="101" customFormat="1" spans="6:6">
      <c r="F11114" s="2423"/>
    </row>
    <row r="11115" s="101" customFormat="1" spans="6:6">
      <c r="F11115" s="2423"/>
    </row>
    <row r="11116" s="101" customFormat="1" spans="6:6">
      <c r="F11116" s="2423"/>
    </row>
    <row r="11117" s="101" customFormat="1" spans="6:6">
      <c r="F11117" s="2423"/>
    </row>
    <row r="11118" s="101" customFormat="1" spans="6:6">
      <c r="F11118" s="2423"/>
    </row>
    <row r="11119" s="101" customFormat="1" spans="6:6">
      <c r="F11119" s="2423"/>
    </row>
    <row r="11120" s="101" customFormat="1" spans="6:6">
      <c r="F11120" s="2423"/>
    </row>
    <row r="11121" s="101" customFormat="1" spans="6:6">
      <c r="F11121" s="2423"/>
    </row>
    <row r="11122" s="101" customFormat="1" spans="6:6">
      <c r="F11122" s="2423"/>
    </row>
    <row r="11123" s="101" customFormat="1" spans="6:6">
      <c r="F11123" s="2423"/>
    </row>
    <row r="11124" s="101" customFormat="1" spans="6:6">
      <c r="F11124" s="2423"/>
    </row>
    <row r="11125" s="101" customFormat="1" spans="6:6">
      <c r="F11125" s="2423"/>
    </row>
    <row r="11126" s="101" customFormat="1" spans="6:6">
      <c r="F11126" s="2423"/>
    </row>
    <row r="11127" s="101" customFormat="1" spans="6:6">
      <c r="F11127" s="2423"/>
    </row>
    <row r="11128" s="101" customFormat="1" spans="6:6">
      <c r="F11128" s="2423"/>
    </row>
    <row r="11129" s="101" customFormat="1" spans="6:6">
      <c r="F11129" s="2423"/>
    </row>
    <row r="11130" s="101" customFormat="1" spans="6:6">
      <c r="F11130" s="2423"/>
    </row>
    <row r="11131" s="101" customFormat="1" spans="6:6">
      <c r="F11131" s="2423"/>
    </row>
    <row r="11132" s="101" customFormat="1" spans="6:6">
      <c r="F11132" s="2423"/>
    </row>
    <row r="11133" s="101" customFormat="1" spans="6:6">
      <c r="F11133" s="2423"/>
    </row>
    <row r="11134" s="101" customFormat="1" spans="6:6">
      <c r="F11134" s="2423"/>
    </row>
    <row r="11135" s="101" customFormat="1" spans="6:6">
      <c r="F11135" s="2423"/>
    </row>
    <row r="11136" s="101" customFormat="1" spans="6:6">
      <c r="F11136" s="2423"/>
    </row>
    <row r="11137" s="101" customFormat="1" spans="6:6">
      <c r="F11137" s="2423"/>
    </row>
    <row r="11138" s="101" customFormat="1" spans="6:6">
      <c r="F11138" s="2423"/>
    </row>
    <row r="11139" s="101" customFormat="1" spans="6:6">
      <c r="F11139" s="2423"/>
    </row>
    <row r="11140" s="101" customFormat="1" spans="6:6">
      <c r="F11140" s="2423"/>
    </row>
    <row r="11141" s="101" customFormat="1" spans="6:6">
      <c r="F11141" s="2423"/>
    </row>
    <row r="11142" s="101" customFormat="1" spans="6:6">
      <c r="F11142" s="2423"/>
    </row>
    <row r="11143" s="101" customFormat="1" spans="6:6">
      <c r="F11143" s="2423"/>
    </row>
    <row r="11144" s="101" customFormat="1" spans="6:6">
      <c r="F11144" s="2423"/>
    </row>
    <row r="11145" s="101" customFormat="1" spans="6:6">
      <c r="F11145" s="2423"/>
    </row>
    <row r="11146" s="101" customFormat="1" spans="6:6">
      <c r="F11146" s="2423"/>
    </row>
    <row r="11147" s="101" customFormat="1" spans="6:6">
      <c r="F11147" s="2423"/>
    </row>
    <row r="11148" s="101" customFormat="1" spans="6:6">
      <c r="F11148" s="2423"/>
    </row>
    <row r="11149" s="101" customFormat="1" spans="6:6">
      <c r="F11149" s="2423"/>
    </row>
    <row r="11150" s="101" customFormat="1" spans="6:6">
      <c r="F11150" s="2423"/>
    </row>
    <row r="11151" s="101" customFormat="1" spans="6:6">
      <c r="F11151" s="2423"/>
    </row>
    <row r="11152" s="101" customFormat="1" spans="6:6">
      <c r="F11152" s="2423"/>
    </row>
    <row r="11153" s="101" customFormat="1" spans="6:6">
      <c r="F11153" s="2423"/>
    </row>
    <row r="11154" s="101" customFormat="1" spans="6:6">
      <c r="F11154" s="2423"/>
    </row>
    <row r="11155" s="101" customFormat="1" spans="6:6">
      <c r="F11155" s="2423"/>
    </row>
    <row r="11156" s="101" customFormat="1" spans="6:6">
      <c r="F11156" s="2423"/>
    </row>
    <row r="11157" s="101" customFormat="1" spans="6:6">
      <c r="F11157" s="2423"/>
    </row>
    <row r="11158" s="101" customFormat="1" spans="6:6">
      <c r="F11158" s="2423"/>
    </row>
    <row r="11159" s="101" customFormat="1" spans="6:6">
      <c r="F11159" s="2423"/>
    </row>
    <row r="11160" s="101" customFormat="1" spans="6:6">
      <c r="F11160" s="2423"/>
    </row>
    <row r="11161" s="101" customFormat="1" spans="6:6">
      <c r="F11161" s="2423"/>
    </row>
    <row r="11162" s="101" customFormat="1" spans="6:6">
      <c r="F11162" s="2423"/>
    </row>
    <row r="11163" s="101" customFormat="1" spans="6:6">
      <c r="F11163" s="2423"/>
    </row>
    <row r="11164" s="101" customFormat="1" spans="6:6">
      <c r="F11164" s="2423"/>
    </row>
    <row r="11165" s="101" customFormat="1" spans="6:6">
      <c r="F11165" s="2423"/>
    </row>
    <row r="11166" s="101" customFormat="1" spans="6:6">
      <c r="F11166" s="2423"/>
    </row>
    <row r="11167" s="101" customFormat="1" spans="6:6">
      <c r="F11167" s="2423"/>
    </row>
    <row r="11168" s="101" customFormat="1" spans="6:6">
      <c r="F11168" s="2423"/>
    </row>
    <row r="11169" s="101" customFormat="1" spans="6:6">
      <c r="F11169" s="2423"/>
    </row>
    <row r="11170" s="101" customFormat="1" spans="6:6">
      <c r="F11170" s="2423"/>
    </row>
    <row r="11171" s="101" customFormat="1" spans="6:6">
      <c r="F11171" s="2423"/>
    </row>
    <row r="11172" s="101" customFormat="1" spans="6:6">
      <c r="F11172" s="2423"/>
    </row>
    <row r="11173" s="101" customFormat="1" spans="6:6">
      <c r="F11173" s="2423"/>
    </row>
    <row r="11174" s="101" customFormat="1" spans="6:6">
      <c r="F11174" s="2423"/>
    </row>
    <row r="11175" s="101" customFormat="1" spans="6:6">
      <c r="F11175" s="2423"/>
    </row>
    <row r="11176" s="101" customFormat="1" spans="6:6">
      <c r="F11176" s="2423"/>
    </row>
    <row r="11177" s="101" customFormat="1" spans="6:6">
      <c r="F11177" s="2423"/>
    </row>
    <row r="11178" s="101" customFormat="1" spans="6:6">
      <c r="F11178" s="2423"/>
    </row>
    <row r="11179" s="101" customFormat="1" spans="6:6">
      <c r="F11179" s="2423"/>
    </row>
    <row r="11180" s="101" customFormat="1" spans="6:6">
      <c r="F11180" s="2423"/>
    </row>
    <row r="11181" s="101" customFormat="1" spans="6:6">
      <c r="F11181" s="2423"/>
    </row>
    <row r="11182" s="101" customFormat="1" spans="6:6">
      <c r="F11182" s="2423"/>
    </row>
    <row r="11183" s="101" customFormat="1" spans="6:6">
      <c r="F11183" s="2423"/>
    </row>
    <row r="11184" s="101" customFormat="1" spans="6:6">
      <c r="F11184" s="2423"/>
    </row>
    <row r="11185" s="101" customFormat="1" spans="6:6">
      <c r="F11185" s="2423"/>
    </row>
    <row r="11186" s="101" customFormat="1" spans="6:6">
      <c r="F11186" s="2423"/>
    </row>
    <row r="11187" s="101" customFormat="1" spans="6:6">
      <c r="F11187" s="2423"/>
    </row>
    <row r="11188" s="101" customFormat="1" spans="6:6">
      <c r="F11188" s="2423"/>
    </row>
    <row r="11189" s="101" customFormat="1" spans="6:6">
      <c r="F11189" s="2423"/>
    </row>
    <row r="11190" s="101" customFormat="1" spans="6:6">
      <c r="F11190" s="2423"/>
    </row>
    <row r="11191" s="101" customFormat="1" spans="6:6">
      <c r="F11191" s="2423"/>
    </row>
    <row r="11192" s="101" customFormat="1" spans="6:6">
      <c r="F11192" s="2423"/>
    </row>
    <row r="11193" s="101" customFormat="1" spans="6:6">
      <c r="F11193" s="2423"/>
    </row>
    <row r="11194" s="101" customFormat="1" spans="6:6">
      <c r="F11194" s="2423"/>
    </row>
    <row r="11195" s="101" customFormat="1" spans="6:6">
      <c r="F11195" s="2423"/>
    </row>
    <row r="11196" s="101" customFormat="1" spans="6:6">
      <c r="F11196" s="2423"/>
    </row>
    <row r="11197" s="101" customFormat="1" spans="6:6">
      <c r="F11197" s="2423"/>
    </row>
    <row r="11198" s="101" customFormat="1" spans="6:6">
      <c r="F11198" s="2423"/>
    </row>
    <row r="11199" s="101" customFormat="1" spans="6:6">
      <c r="F11199" s="2423"/>
    </row>
    <row r="11200" s="101" customFormat="1" spans="6:6">
      <c r="F11200" s="2423"/>
    </row>
    <row r="11201" s="101" customFormat="1" spans="6:6">
      <c r="F11201" s="2423"/>
    </row>
    <row r="11202" s="101" customFormat="1" spans="6:6">
      <c r="F11202" s="2423"/>
    </row>
    <row r="11203" s="101" customFormat="1" spans="6:6">
      <c r="F11203" s="2423"/>
    </row>
    <row r="11204" s="101" customFormat="1" spans="6:6">
      <c r="F11204" s="2423"/>
    </row>
    <row r="11205" s="101" customFormat="1" spans="6:6">
      <c r="F11205" s="2423"/>
    </row>
    <row r="11206" s="101" customFormat="1" spans="6:6">
      <c r="F11206" s="2423"/>
    </row>
    <row r="11207" s="101" customFormat="1" spans="6:6">
      <c r="F11207" s="2423"/>
    </row>
    <row r="11208" s="101" customFormat="1" spans="6:6">
      <c r="F11208" s="2423"/>
    </row>
    <row r="11209" s="101" customFormat="1" spans="6:6">
      <c r="F11209" s="2423"/>
    </row>
    <row r="11210" s="101" customFormat="1" spans="6:6">
      <c r="F11210" s="2423"/>
    </row>
    <row r="11211" s="101" customFormat="1" spans="6:6">
      <c r="F11211" s="2423"/>
    </row>
    <row r="11212" s="101" customFormat="1" spans="6:6">
      <c r="F11212" s="2423"/>
    </row>
    <row r="11213" s="101" customFormat="1" spans="6:6">
      <c r="F11213" s="2423"/>
    </row>
    <row r="11214" s="101" customFormat="1" spans="6:6">
      <c r="F11214" s="2423"/>
    </row>
    <row r="11215" s="101" customFormat="1" spans="6:6">
      <c r="F11215" s="2423"/>
    </row>
    <row r="11216" s="101" customFormat="1" spans="6:6">
      <c r="F11216" s="2423"/>
    </row>
    <row r="11217" s="101" customFormat="1" spans="6:6">
      <c r="F11217" s="2423"/>
    </row>
    <row r="11218" s="101" customFormat="1" spans="6:6">
      <c r="F11218" s="2423"/>
    </row>
    <row r="11219" s="101" customFormat="1" spans="6:6">
      <c r="F11219" s="2423"/>
    </row>
    <row r="11220" s="101" customFormat="1" spans="6:6">
      <c r="F11220" s="2423"/>
    </row>
    <row r="11221" s="101" customFormat="1" spans="6:6">
      <c r="F11221" s="2423"/>
    </row>
    <row r="11222" s="101" customFormat="1" spans="6:6">
      <c r="F11222" s="2423"/>
    </row>
    <row r="11223" s="101" customFormat="1" spans="6:6">
      <c r="F11223" s="2423"/>
    </row>
    <row r="11224" s="101" customFormat="1" spans="6:6">
      <c r="F11224" s="2423"/>
    </row>
    <row r="11225" s="101" customFormat="1" spans="6:6">
      <c r="F11225" s="2423"/>
    </row>
    <row r="11226" s="101" customFormat="1" spans="6:6">
      <c r="F11226" s="2423"/>
    </row>
    <row r="11227" s="101" customFormat="1" spans="6:6">
      <c r="F11227" s="2423"/>
    </row>
    <row r="11228" s="101" customFormat="1" spans="6:6">
      <c r="F11228" s="2423"/>
    </row>
    <row r="11229" s="101" customFormat="1" spans="6:6">
      <c r="F11229" s="2423"/>
    </row>
    <row r="11230" s="101" customFormat="1" spans="6:6">
      <c r="F11230" s="2423"/>
    </row>
    <row r="11231" s="101" customFormat="1" spans="6:6">
      <c r="F11231" s="2423"/>
    </row>
    <row r="11232" s="101" customFormat="1" spans="6:6">
      <c r="F11232" s="2423"/>
    </row>
    <row r="11233" s="101" customFormat="1" spans="6:6">
      <c r="F11233" s="2423"/>
    </row>
    <row r="11234" s="101" customFormat="1" spans="6:6">
      <c r="F11234" s="2423"/>
    </row>
    <row r="11235" s="101" customFormat="1" spans="6:6">
      <c r="F11235" s="2423"/>
    </row>
    <row r="11236" s="101" customFormat="1" spans="6:6">
      <c r="F11236" s="2423"/>
    </row>
    <row r="11237" s="101" customFormat="1" spans="6:6">
      <c r="F11237" s="2423"/>
    </row>
    <row r="11238" s="101" customFormat="1" spans="6:6">
      <c r="F11238" s="2423"/>
    </row>
    <row r="11239" s="101" customFormat="1" spans="6:6">
      <c r="F11239" s="2423"/>
    </row>
    <row r="11240" s="101" customFormat="1" spans="6:6">
      <c r="F11240" s="2423"/>
    </row>
    <row r="11241" s="101" customFormat="1" spans="6:6">
      <c r="F11241" s="2423"/>
    </row>
    <row r="11242" s="101" customFormat="1" spans="6:6">
      <c r="F11242" s="2423"/>
    </row>
    <row r="11243" s="101" customFormat="1" spans="6:6">
      <c r="F11243" s="2423"/>
    </row>
    <row r="11244" s="101" customFormat="1" spans="6:6">
      <c r="F11244" s="2423"/>
    </row>
    <row r="11245" s="101" customFormat="1" spans="6:6">
      <c r="F11245" s="2423"/>
    </row>
    <row r="11246" s="101" customFormat="1" spans="6:6">
      <c r="F11246" s="2423"/>
    </row>
    <row r="11247" s="101" customFormat="1" spans="6:6">
      <c r="F11247" s="2423"/>
    </row>
    <row r="11248" s="101" customFormat="1" spans="6:6">
      <c r="F11248" s="2423"/>
    </row>
    <row r="11249" s="101" customFormat="1" spans="6:6">
      <c r="F11249" s="2423"/>
    </row>
    <row r="11250" s="101" customFormat="1" spans="6:6">
      <c r="F11250" s="2423"/>
    </row>
    <row r="11251" s="101" customFormat="1" spans="6:6">
      <c r="F11251" s="2423"/>
    </row>
    <row r="11252" s="101" customFormat="1" spans="6:6">
      <c r="F11252" s="2423"/>
    </row>
    <row r="11253" s="101" customFormat="1" spans="6:6">
      <c r="F11253" s="2423"/>
    </row>
    <row r="11254" s="101" customFormat="1" spans="6:6">
      <c r="F11254" s="2423"/>
    </row>
    <row r="11255" s="101" customFormat="1" spans="6:6">
      <c r="F11255" s="2423"/>
    </row>
    <row r="11256" s="101" customFormat="1" spans="6:6">
      <c r="F11256" s="2423"/>
    </row>
    <row r="11257" s="101" customFormat="1" spans="6:6">
      <c r="F11257" s="2423"/>
    </row>
    <row r="11258" s="101" customFormat="1" spans="6:6">
      <c r="F11258" s="2423"/>
    </row>
    <row r="11259" s="101" customFormat="1" spans="6:6">
      <c r="F11259" s="2423"/>
    </row>
    <row r="11260" s="101" customFormat="1" spans="6:6">
      <c r="F11260" s="2423"/>
    </row>
    <row r="11261" s="101" customFormat="1" spans="6:6">
      <c r="F11261" s="2423"/>
    </row>
    <row r="11262" s="101" customFormat="1" spans="6:6">
      <c r="F11262" s="2423"/>
    </row>
    <row r="11263" s="101" customFormat="1" spans="6:6">
      <c r="F11263" s="2423"/>
    </row>
    <row r="11264" s="101" customFormat="1" spans="6:6">
      <c r="F11264" s="2423"/>
    </row>
    <row r="11265" s="101" customFormat="1" spans="6:6">
      <c r="F11265" s="2423"/>
    </row>
    <row r="11266" s="101" customFormat="1" spans="6:6">
      <c r="F11266" s="2423"/>
    </row>
    <row r="11267" s="101" customFormat="1" spans="6:6">
      <c r="F11267" s="2423"/>
    </row>
    <row r="11268" s="101" customFormat="1" spans="6:6">
      <c r="F11268" s="2423"/>
    </row>
    <row r="11269" s="101" customFormat="1" spans="6:6">
      <c r="F11269" s="2423"/>
    </row>
    <row r="11270" s="101" customFormat="1" spans="6:6">
      <c r="F11270" s="2423"/>
    </row>
    <row r="11271" s="101" customFormat="1" spans="6:6">
      <c r="F11271" s="2423"/>
    </row>
    <row r="11272" s="101" customFormat="1" spans="6:6">
      <c r="F11272" s="2423"/>
    </row>
    <row r="11273" s="101" customFormat="1" spans="6:6">
      <c r="F11273" s="2423"/>
    </row>
    <row r="11274" s="101" customFormat="1" spans="6:6">
      <c r="F11274" s="2423"/>
    </row>
    <row r="11275" s="101" customFormat="1" spans="6:6">
      <c r="F11275" s="2423"/>
    </row>
    <row r="11276" s="101" customFormat="1" spans="6:6">
      <c r="F11276" s="2423"/>
    </row>
    <row r="11277" s="101" customFormat="1" spans="6:6">
      <c r="F11277" s="2423"/>
    </row>
    <row r="11278" s="101" customFormat="1" spans="6:6">
      <c r="F11278" s="2423"/>
    </row>
    <row r="11279" s="101" customFormat="1" spans="6:6">
      <c r="F11279" s="2423"/>
    </row>
    <row r="11280" s="101" customFormat="1" spans="6:6">
      <c r="F11280" s="2423"/>
    </row>
    <row r="11281" s="101" customFormat="1" spans="6:6">
      <c r="F11281" s="2423"/>
    </row>
    <row r="11282" s="101" customFormat="1" spans="6:6">
      <c r="F11282" s="2423"/>
    </row>
    <row r="11283" s="101" customFormat="1" spans="6:6">
      <c r="F11283" s="2423"/>
    </row>
    <row r="11284" s="101" customFormat="1" spans="6:6">
      <c r="F11284" s="2423"/>
    </row>
    <row r="11285" s="101" customFormat="1" spans="6:6">
      <c r="F11285" s="2423"/>
    </row>
    <row r="11286" s="101" customFormat="1" spans="6:6">
      <c r="F11286" s="2423"/>
    </row>
    <row r="11287" s="101" customFormat="1" spans="6:6">
      <c r="F11287" s="2423"/>
    </row>
    <row r="11288" s="101" customFormat="1" spans="6:6">
      <c r="F11288" s="2423"/>
    </row>
    <row r="11289" s="101" customFormat="1" spans="6:6">
      <c r="F11289" s="2423"/>
    </row>
    <row r="11290" s="101" customFormat="1" spans="6:6">
      <c r="F11290" s="2423"/>
    </row>
    <row r="11291" s="101" customFormat="1" spans="6:6">
      <c r="F11291" s="2423"/>
    </row>
    <row r="11292" s="101" customFormat="1" spans="6:6">
      <c r="F11292" s="2423"/>
    </row>
    <row r="11293" s="101" customFormat="1" spans="6:6">
      <c r="F11293" s="2423"/>
    </row>
    <row r="11294" s="101" customFormat="1" spans="6:6">
      <c r="F11294" s="2423"/>
    </row>
    <row r="11295" s="101" customFormat="1" spans="6:6">
      <c r="F11295" s="2423"/>
    </row>
    <row r="11296" s="101" customFormat="1" spans="6:6">
      <c r="F11296" s="2423"/>
    </row>
    <row r="11297" s="101" customFormat="1" spans="6:6">
      <c r="F11297" s="2423"/>
    </row>
    <row r="11298" s="101" customFormat="1" spans="6:6">
      <c r="F11298" s="2423"/>
    </row>
    <row r="11299" s="101" customFormat="1" spans="6:6">
      <c r="F11299" s="2423"/>
    </row>
    <row r="11300" s="101" customFormat="1" spans="6:6">
      <c r="F11300" s="2423"/>
    </row>
    <row r="11301" s="101" customFormat="1" spans="6:6">
      <c r="F11301" s="2423"/>
    </row>
    <row r="11302" s="101" customFormat="1" spans="6:6">
      <c r="F11302" s="2423"/>
    </row>
    <row r="11303" s="101" customFormat="1" spans="6:6">
      <c r="F11303" s="2423"/>
    </row>
    <row r="11304" s="101" customFormat="1" spans="6:6">
      <c r="F11304" s="2423"/>
    </row>
    <row r="11305" s="101" customFormat="1" spans="6:6">
      <c r="F11305" s="2423"/>
    </row>
    <row r="11306" s="101" customFormat="1" spans="6:6">
      <c r="F11306" s="2423"/>
    </row>
    <row r="11307" s="101" customFormat="1" spans="6:6">
      <c r="F11307" s="2423"/>
    </row>
    <row r="11308" s="101" customFormat="1" spans="6:6">
      <c r="F11308" s="2423"/>
    </row>
    <row r="11309" s="101" customFormat="1" spans="6:6">
      <c r="F11309" s="2423"/>
    </row>
    <row r="11310" s="101" customFormat="1" spans="6:6">
      <c r="F11310" s="2423"/>
    </row>
    <row r="11311" s="101" customFormat="1" spans="6:6">
      <c r="F11311" s="2423"/>
    </row>
    <row r="11312" s="101" customFormat="1" spans="6:6">
      <c r="F11312" s="2423"/>
    </row>
    <row r="11313" s="101" customFormat="1" spans="6:6">
      <c r="F11313" s="2423"/>
    </row>
    <row r="11314" s="101" customFormat="1" spans="6:6">
      <c r="F11314" s="2423"/>
    </row>
    <row r="11315" s="101" customFormat="1" spans="6:6">
      <c r="F11315" s="2423"/>
    </row>
    <row r="11316" s="101" customFormat="1" spans="6:6">
      <c r="F11316" s="2423"/>
    </row>
    <row r="11317" s="101" customFormat="1" spans="6:6">
      <c r="F11317" s="2423"/>
    </row>
    <row r="11318" s="101" customFormat="1" spans="6:6">
      <c r="F11318" s="2423"/>
    </row>
    <row r="11319" s="101" customFormat="1" spans="6:6">
      <c r="F11319" s="2423"/>
    </row>
    <row r="11320" s="101" customFormat="1" spans="6:6">
      <c r="F11320" s="2423"/>
    </row>
    <row r="11321" s="101" customFormat="1" spans="6:6">
      <c r="F11321" s="2423"/>
    </row>
    <row r="11322" s="101" customFormat="1" spans="6:6">
      <c r="F11322" s="2423"/>
    </row>
    <row r="11323" s="101" customFormat="1" spans="6:6">
      <c r="F11323" s="2423"/>
    </row>
    <row r="11324" s="101" customFormat="1" spans="6:6">
      <c r="F11324" s="2423"/>
    </row>
    <row r="11325" s="101" customFormat="1" spans="6:6">
      <c r="F11325" s="2423"/>
    </row>
    <row r="11326" s="101" customFormat="1" spans="6:6">
      <c r="F11326" s="2423"/>
    </row>
    <row r="11327" s="101" customFormat="1" spans="6:6">
      <c r="F11327" s="2423"/>
    </row>
    <row r="11328" s="101" customFormat="1" spans="6:6">
      <c r="F11328" s="2423"/>
    </row>
    <row r="11329" s="101" customFormat="1" spans="6:6">
      <c r="F11329" s="2423"/>
    </row>
    <row r="11330" s="101" customFormat="1" spans="6:6">
      <c r="F11330" s="2423"/>
    </row>
    <row r="11331" s="101" customFormat="1" spans="6:6">
      <c r="F11331" s="2423"/>
    </row>
    <row r="11332" s="101" customFormat="1" spans="6:6">
      <c r="F11332" s="2423"/>
    </row>
    <row r="11333" s="101" customFormat="1" spans="6:6">
      <c r="F11333" s="2423"/>
    </row>
    <row r="11334" s="101" customFormat="1" spans="6:6">
      <c r="F11334" s="2423"/>
    </row>
    <row r="11335" s="101" customFormat="1" spans="6:6">
      <c r="F11335" s="2423"/>
    </row>
    <row r="11336" s="101" customFormat="1" spans="6:6">
      <c r="F11336" s="2423"/>
    </row>
    <row r="11337" s="101" customFormat="1" spans="6:6">
      <c r="F11337" s="2423"/>
    </row>
    <row r="11338" s="101" customFormat="1" spans="6:6">
      <c r="F11338" s="2423"/>
    </row>
    <row r="11339" s="101" customFormat="1" spans="6:6">
      <c r="F11339" s="2423"/>
    </row>
    <row r="11340" s="101" customFormat="1" spans="6:6">
      <c r="F11340" s="2423"/>
    </row>
    <row r="11341" s="101" customFormat="1" spans="6:6">
      <c r="F11341" s="2423"/>
    </row>
    <row r="11342" s="101" customFormat="1" spans="6:6">
      <c r="F11342" s="2423"/>
    </row>
    <row r="11343" s="101" customFormat="1" spans="6:6">
      <c r="F11343" s="2423"/>
    </row>
    <row r="11344" s="101" customFormat="1" spans="6:6">
      <c r="F11344" s="2423"/>
    </row>
    <row r="11345" s="101" customFormat="1" spans="6:6">
      <c r="F11345" s="2423"/>
    </row>
    <row r="11346" s="101" customFormat="1" spans="6:6">
      <c r="F11346" s="2423"/>
    </row>
    <row r="11347" s="101" customFormat="1" spans="6:6">
      <c r="F11347" s="2423"/>
    </row>
    <row r="11348" s="101" customFormat="1" spans="6:6">
      <c r="F11348" s="2423"/>
    </row>
    <row r="11349" s="101" customFormat="1" spans="6:6">
      <c r="F11349" s="2423"/>
    </row>
    <row r="11350" s="101" customFormat="1" spans="6:6">
      <c r="F11350" s="2423"/>
    </row>
    <row r="11351" s="101" customFormat="1" spans="6:6">
      <c r="F11351" s="2423"/>
    </row>
    <row r="11352" s="101" customFormat="1" spans="6:6">
      <c r="F11352" s="2423"/>
    </row>
    <row r="11353" s="101" customFormat="1" spans="6:6">
      <c r="F11353" s="2423"/>
    </row>
    <row r="11354" s="101" customFormat="1" spans="6:6">
      <c r="F11354" s="2423"/>
    </row>
    <row r="11355" s="101" customFormat="1" spans="6:6">
      <c r="F11355" s="2423"/>
    </row>
    <row r="11356" s="101" customFormat="1" spans="6:6">
      <c r="F11356" s="2423"/>
    </row>
    <row r="11357" s="101" customFormat="1" spans="6:6">
      <c r="F11357" s="2423"/>
    </row>
    <row r="11358" s="101" customFormat="1" spans="6:6">
      <c r="F11358" s="2423"/>
    </row>
    <row r="11359" s="101" customFormat="1" spans="6:6">
      <c r="F11359" s="2423"/>
    </row>
    <row r="11360" s="101" customFormat="1" spans="6:6">
      <c r="F11360" s="2423"/>
    </row>
    <row r="11361" s="101" customFormat="1" spans="6:6">
      <c r="F11361" s="2423"/>
    </row>
    <row r="11362" s="101" customFormat="1" spans="6:6">
      <c r="F11362" s="2423"/>
    </row>
    <row r="11363" s="101" customFormat="1" spans="6:6">
      <c r="F11363" s="2423"/>
    </row>
    <row r="11364" s="101" customFormat="1" spans="6:6">
      <c r="F11364" s="2423"/>
    </row>
    <row r="11365" s="101" customFormat="1" spans="6:6">
      <c r="F11365" s="2423"/>
    </row>
    <row r="11366" s="101" customFormat="1" spans="6:6">
      <c r="F11366" s="2423"/>
    </row>
    <row r="11367" s="101" customFormat="1" spans="6:6">
      <c r="F11367" s="2423"/>
    </row>
    <row r="11368" s="101" customFormat="1" spans="6:6">
      <c r="F11368" s="2423"/>
    </row>
    <row r="11369" s="101" customFormat="1" spans="6:6">
      <c r="F11369" s="2423"/>
    </row>
    <row r="11370" s="101" customFormat="1" spans="6:6">
      <c r="F11370" s="2423"/>
    </row>
    <row r="11371" s="101" customFormat="1" spans="6:6">
      <c r="F11371" s="2423"/>
    </row>
    <row r="11372" s="101" customFormat="1" spans="6:6">
      <c r="F11372" s="2423"/>
    </row>
    <row r="11373" s="101" customFormat="1" spans="6:6">
      <c r="F11373" s="2423"/>
    </row>
    <row r="11374" s="101" customFormat="1" spans="6:6">
      <c r="F11374" s="2423"/>
    </row>
    <row r="11375" s="101" customFormat="1" spans="6:6">
      <c r="F11375" s="2423"/>
    </row>
    <row r="11376" s="101" customFormat="1" spans="6:6">
      <c r="F11376" s="2423"/>
    </row>
    <row r="11377" s="101" customFormat="1" spans="6:6">
      <c r="F11377" s="2423"/>
    </row>
    <row r="11378" s="101" customFormat="1" spans="6:6">
      <c r="F11378" s="2423"/>
    </row>
    <row r="11379" s="101" customFormat="1" spans="6:6">
      <c r="F11379" s="2423"/>
    </row>
    <row r="11380" s="101" customFormat="1" spans="6:6">
      <c r="F11380" s="2423"/>
    </row>
    <row r="11381" s="101" customFormat="1" spans="6:6">
      <c r="F11381" s="2423"/>
    </row>
    <row r="11382" s="101" customFormat="1" spans="6:6">
      <c r="F11382" s="2423"/>
    </row>
    <row r="11383" s="101" customFormat="1" spans="6:6">
      <c r="F11383" s="2423"/>
    </row>
    <row r="11384" s="101" customFormat="1" spans="6:6">
      <c r="F11384" s="2423"/>
    </row>
    <row r="11385" s="101" customFormat="1" spans="6:6">
      <c r="F11385" s="2423"/>
    </row>
    <row r="11386" s="101" customFormat="1" spans="6:6">
      <c r="F11386" s="2423"/>
    </row>
    <row r="11387" s="101" customFormat="1" spans="6:6">
      <c r="F11387" s="2423"/>
    </row>
    <row r="11388" s="101" customFormat="1" spans="6:6">
      <c r="F11388" s="2423"/>
    </row>
    <row r="11389" s="101" customFormat="1" spans="6:6">
      <c r="F11389" s="2423"/>
    </row>
    <row r="11390" s="101" customFormat="1" spans="6:6">
      <c r="F11390" s="2423"/>
    </row>
    <row r="11391" s="101" customFormat="1" spans="6:6">
      <c r="F11391" s="2423"/>
    </row>
    <row r="11392" s="101" customFormat="1" spans="6:6">
      <c r="F11392" s="2423"/>
    </row>
    <row r="11393" s="101" customFormat="1" spans="6:6">
      <c r="F11393" s="2423"/>
    </row>
    <row r="11394" s="101" customFormat="1" spans="6:6">
      <c r="F11394" s="2423"/>
    </row>
    <row r="11395" s="101" customFormat="1" spans="6:6">
      <c r="F11395" s="2423"/>
    </row>
    <row r="11396" s="101" customFormat="1" spans="6:6">
      <c r="F11396" s="2423"/>
    </row>
    <row r="11397" s="101" customFormat="1" spans="6:6">
      <c r="F11397" s="2423"/>
    </row>
    <row r="11398" s="101" customFormat="1" spans="6:6">
      <c r="F11398" s="2423"/>
    </row>
    <row r="11399" s="101" customFormat="1" spans="6:6">
      <c r="F11399" s="2423"/>
    </row>
    <row r="11400" s="101" customFormat="1" spans="6:6">
      <c r="F11400" s="2423"/>
    </row>
    <row r="11401" s="101" customFormat="1" spans="6:6">
      <c r="F11401" s="2423"/>
    </row>
    <row r="11402" s="101" customFormat="1" spans="6:6">
      <c r="F11402" s="2423"/>
    </row>
    <row r="11403" s="101" customFormat="1" spans="6:6">
      <c r="F11403" s="2423"/>
    </row>
    <row r="11404" s="101" customFormat="1" spans="6:6">
      <c r="F11404" s="2423"/>
    </row>
    <row r="11405" s="101" customFormat="1" spans="6:6">
      <c r="F11405" s="2423"/>
    </row>
    <row r="11406" s="101" customFormat="1" spans="6:6">
      <c r="F11406" s="2423"/>
    </row>
    <row r="11407" s="101" customFormat="1" spans="6:6">
      <c r="F11407" s="2423"/>
    </row>
    <row r="11408" s="101" customFormat="1" spans="6:6">
      <c r="F11408" s="2423"/>
    </row>
    <row r="11409" s="101" customFormat="1" spans="6:6">
      <c r="F11409" s="2423"/>
    </row>
    <row r="11410" s="101" customFormat="1" spans="6:6">
      <c r="F11410" s="2423"/>
    </row>
    <row r="11411" s="101" customFormat="1" spans="6:6">
      <c r="F11411" s="2423"/>
    </row>
    <row r="11412" s="101" customFormat="1" spans="6:6">
      <c r="F11412" s="2423"/>
    </row>
    <row r="11413" s="101" customFormat="1" spans="6:6">
      <c r="F11413" s="2423"/>
    </row>
    <row r="11414" s="101" customFormat="1" spans="6:6">
      <c r="F11414" s="2423"/>
    </row>
    <row r="11415" s="101" customFormat="1" spans="6:6">
      <c r="F11415" s="2423"/>
    </row>
    <row r="11416" s="101" customFormat="1" spans="6:6">
      <c r="F11416" s="2423"/>
    </row>
    <row r="11417" s="101" customFormat="1" spans="6:6">
      <c r="F11417" s="2423"/>
    </row>
    <row r="11418" s="101" customFormat="1" spans="6:6">
      <c r="F11418" s="2423"/>
    </row>
    <row r="11419" s="101" customFormat="1" spans="6:6">
      <c r="F11419" s="2423"/>
    </row>
    <row r="11420" s="101" customFormat="1" spans="6:6">
      <c r="F11420" s="2423"/>
    </row>
    <row r="11421" s="101" customFormat="1" spans="6:6">
      <c r="F11421" s="2423"/>
    </row>
    <row r="11422" s="101" customFormat="1" spans="6:6">
      <c r="F11422" s="2423"/>
    </row>
    <row r="11423" s="101" customFormat="1" spans="6:6">
      <c r="F11423" s="2423"/>
    </row>
    <row r="11424" s="101" customFormat="1" spans="6:6">
      <c r="F11424" s="2423"/>
    </row>
    <row r="11425" s="101" customFormat="1" spans="6:6">
      <c r="F11425" s="2423"/>
    </row>
    <row r="11426" s="101" customFormat="1" spans="6:6">
      <c r="F11426" s="2423"/>
    </row>
    <row r="11427" s="101" customFormat="1" spans="6:6">
      <c r="F11427" s="2423"/>
    </row>
    <row r="11428" s="101" customFormat="1" spans="6:6">
      <c r="F11428" s="2423"/>
    </row>
    <row r="11429" s="101" customFormat="1" spans="6:6">
      <c r="F11429" s="2423"/>
    </row>
    <row r="11430" s="101" customFormat="1" spans="6:6">
      <c r="F11430" s="2423"/>
    </row>
    <row r="11431" s="101" customFormat="1" spans="6:6">
      <c r="F11431" s="2423"/>
    </row>
    <row r="11432" s="101" customFormat="1" spans="6:6">
      <c r="F11432" s="2423"/>
    </row>
    <row r="11433" s="101" customFormat="1" spans="6:6">
      <c r="F11433" s="2423"/>
    </row>
    <row r="11434" s="101" customFormat="1" spans="6:6">
      <c r="F11434" s="2423"/>
    </row>
    <row r="11435" s="101" customFormat="1" spans="6:6">
      <c r="F11435" s="2423"/>
    </row>
    <row r="11436" s="101" customFormat="1" spans="6:6">
      <c r="F11436" s="2423"/>
    </row>
    <row r="11437" s="101" customFormat="1" spans="6:6">
      <c r="F11437" s="2423"/>
    </row>
    <row r="11438" s="101" customFormat="1" spans="6:6">
      <c r="F11438" s="2423"/>
    </row>
    <row r="11439" s="101" customFormat="1" spans="6:6">
      <c r="F11439" s="2423"/>
    </row>
    <row r="11440" s="101" customFormat="1" spans="6:6">
      <c r="F11440" s="2423"/>
    </row>
    <row r="11441" s="101" customFormat="1" spans="6:6">
      <c r="F11441" s="2423"/>
    </row>
    <row r="11442" s="101" customFormat="1" spans="6:6">
      <c r="F11442" s="2423"/>
    </row>
    <row r="11443" s="101" customFormat="1" spans="6:6">
      <c r="F11443" s="2423"/>
    </row>
    <row r="11444" s="101" customFormat="1" spans="6:6">
      <c r="F11444" s="2423"/>
    </row>
    <row r="11445" s="101" customFormat="1" spans="6:6">
      <c r="F11445" s="2423"/>
    </row>
    <row r="11446" s="101" customFormat="1" spans="6:6">
      <c r="F11446" s="2423"/>
    </row>
    <row r="11447" s="101" customFormat="1" spans="6:6">
      <c r="F11447" s="2423"/>
    </row>
    <row r="11448" s="101" customFormat="1" spans="6:6">
      <c r="F11448" s="2423"/>
    </row>
    <row r="11449" s="101" customFormat="1" spans="6:6">
      <c r="F11449" s="2423"/>
    </row>
    <row r="11450" s="101" customFormat="1" spans="6:6">
      <c r="F11450" s="2423"/>
    </row>
    <row r="11451" s="101" customFormat="1" spans="6:6">
      <c r="F11451" s="2423"/>
    </row>
    <row r="11452" s="101" customFormat="1" spans="6:6">
      <c r="F11452" s="2423"/>
    </row>
    <row r="11453" s="101" customFormat="1" spans="6:6">
      <c r="F11453" s="2423"/>
    </row>
    <row r="11454" s="101" customFormat="1" spans="6:6">
      <c r="F11454" s="2423"/>
    </row>
    <row r="11455" s="101" customFormat="1" spans="6:6">
      <c r="F11455" s="2423"/>
    </row>
    <row r="11456" s="101" customFormat="1" spans="6:6">
      <c r="F11456" s="2423"/>
    </row>
    <row r="11457" s="101" customFormat="1" spans="6:6">
      <c r="F11457" s="2423"/>
    </row>
    <row r="11458" s="101" customFormat="1" spans="6:6">
      <c r="F11458" s="2423"/>
    </row>
    <row r="11459" s="101" customFormat="1" spans="6:6">
      <c r="F11459" s="2423"/>
    </row>
    <row r="11460" s="101" customFormat="1" spans="6:6">
      <c r="F11460" s="2423"/>
    </row>
    <row r="11461" s="101" customFormat="1" spans="6:6">
      <c r="F11461" s="2423"/>
    </row>
    <row r="11462" s="101" customFormat="1" spans="6:6">
      <c r="F11462" s="2423"/>
    </row>
    <row r="11463" s="101" customFormat="1" spans="6:6">
      <c r="F11463" s="2423"/>
    </row>
    <row r="11464" s="101" customFormat="1" spans="6:6">
      <c r="F11464" s="2423"/>
    </row>
    <row r="11465" s="101" customFormat="1" spans="6:6">
      <c r="F11465" s="2423"/>
    </row>
    <row r="11466" s="101" customFormat="1" spans="6:6">
      <c r="F11466" s="2423"/>
    </row>
    <row r="11467" s="101" customFormat="1" spans="6:6">
      <c r="F11467" s="2423"/>
    </row>
    <row r="11468" s="101" customFormat="1" spans="6:6">
      <c r="F11468" s="2423"/>
    </row>
    <row r="11469" s="101" customFormat="1" spans="6:6">
      <c r="F11469" s="2423"/>
    </row>
    <row r="11470" s="101" customFormat="1" spans="6:6">
      <c r="F11470" s="2423"/>
    </row>
    <row r="11471" s="101" customFormat="1" spans="6:6">
      <c r="F11471" s="2423"/>
    </row>
    <row r="11472" s="101" customFormat="1" spans="6:6">
      <c r="F11472" s="2423"/>
    </row>
    <row r="11473" s="101" customFormat="1" spans="6:6">
      <c r="F11473" s="2423"/>
    </row>
    <row r="11474" s="101" customFormat="1" spans="6:6">
      <c r="F11474" s="2423"/>
    </row>
    <row r="11475" s="101" customFormat="1" spans="6:6">
      <c r="F11475" s="2423"/>
    </row>
    <row r="11476" s="101" customFormat="1" spans="6:6">
      <c r="F11476" s="2423"/>
    </row>
    <row r="11477" s="101" customFormat="1" spans="6:6">
      <c r="F11477" s="2423"/>
    </row>
    <row r="11478" s="101" customFormat="1" spans="6:6">
      <c r="F11478" s="2423"/>
    </row>
    <row r="11479" s="101" customFormat="1" spans="6:6">
      <c r="F11479" s="2423"/>
    </row>
    <row r="11480" s="101" customFormat="1" spans="6:6">
      <c r="F11480" s="2423"/>
    </row>
    <row r="11481" s="101" customFormat="1" spans="6:6">
      <c r="F11481" s="2423"/>
    </row>
    <row r="11482" s="101" customFormat="1" spans="6:6">
      <c r="F11482" s="2423"/>
    </row>
    <row r="11483" s="101" customFormat="1" spans="6:6">
      <c r="F11483" s="2423"/>
    </row>
    <row r="11484" s="101" customFormat="1" spans="6:6">
      <c r="F11484" s="2423"/>
    </row>
    <row r="11485" s="101" customFormat="1" spans="6:6">
      <c r="F11485" s="2423"/>
    </row>
    <row r="11486" s="101" customFormat="1" spans="6:6">
      <c r="F11486" s="2423"/>
    </row>
    <row r="11487" s="101" customFormat="1" spans="6:6">
      <c r="F11487" s="2423"/>
    </row>
    <row r="11488" s="101" customFormat="1" spans="6:6">
      <c r="F11488" s="2423"/>
    </row>
    <row r="11489" s="101" customFormat="1" spans="6:6">
      <c r="F11489" s="2423"/>
    </row>
    <row r="11490" s="101" customFormat="1" spans="6:6">
      <c r="F11490" s="2423"/>
    </row>
    <row r="11491" s="101" customFormat="1" spans="6:6">
      <c r="F11491" s="2423"/>
    </row>
    <row r="11492" s="101" customFormat="1" spans="6:6">
      <c r="F11492" s="2423"/>
    </row>
    <row r="11493" s="101" customFormat="1" spans="6:6">
      <c r="F11493" s="2423"/>
    </row>
    <row r="11494" s="101" customFormat="1" spans="6:6">
      <c r="F11494" s="2423"/>
    </row>
    <row r="11495" s="101" customFormat="1" spans="6:6">
      <c r="F11495" s="2423"/>
    </row>
    <row r="11496" s="101" customFormat="1" spans="6:6">
      <c r="F11496" s="2423"/>
    </row>
    <row r="11497" s="101" customFormat="1" spans="6:6">
      <c r="F11497" s="2423"/>
    </row>
    <row r="11498" s="101" customFormat="1" spans="6:6">
      <c r="F11498" s="2423"/>
    </row>
    <row r="11499" s="101" customFormat="1" spans="6:6">
      <c r="F11499" s="2423"/>
    </row>
    <row r="11500" s="101" customFormat="1" spans="6:6">
      <c r="F11500" s="2423"/>
    </row>
    <row r="11501" s="101" customFormat="1" spans="6:6">
      <c r="F11501" s="2423"/>
    </row>
    <row r="11502" s="101" customFormat="1" spans="6:6">
      <c r="F11502" s="2423"/>
    </row>
    <row r="11503" s="101" customFormat="1" spans="6:6">
      <c r="F11503" s="2423"/>
    </row>
    <row r="11504" s="101" customFormat="1" spans="6:6">
      <c r="F11504" s="2423"/>
    </row>
    <row r="11505" s="101" customFormat="1" spans="6:6">
      <c r="F11505" s="2423"/>
    </row>
    <row r="11506" s="101" customFormat="1" spans="6:6">
      <c r="F11506" s="2423"/>
    </row>
    <row r="11507" s="101" customFormat="1" spans="6:6">
      <c r="F11507" s="2423"/>
    </row>
    <row r="11508" s="101" customFormat="1" spans="6:6">
      <c r="F11508" s="2423"/>
    </row>
    <row r="11509" s="101" customFormat="1" spans="6:6">
      <c r="F11509" s="2423"/>
    </row>
    <row r="11510" s="101" customFormat="1" spans="6:6">
      <c r="F11510" s="2423"/>
    </row>
    <row r="11511" s="101" customFormat="1" spans="6:6">
      <c r="F11511" s="2423"/>
    </row>
    <row r="11512" s="101" customFormat="1" spans="6:6">
      <c r="F11512" s="2423"/>
    </row>
    <row r="11513" s="101" customFormat="1" spans="6:6">
      <c r="F11513" s="2423"/>
    </row>
    <row r="11514" s="101" customFormat="1" spans="6:6">
      <c r="F11514" s="2423"/>
    </row>
    <row r="11515" s="101" customFormat="1" spans="6:6">
      <c r="F11515" s="2423"/>
    </row>
    <row r="11516" s="101" customFormat="1" spans="6:6">
      <c r="F11516" s="2423"/>
    </row>
    <row r="11517" s="101" customFormat="1" spans="6:6">
      <c r="F11517" s="2423"/>
    </row>
    <row r="11518" s="101" customFormat="1" spans="6:6">
      <c r="F11518" s="2423"/>
    </row>
    <row r="11519" s="101" customFormat="1" spans="6:6">
      <c r="F11519" s="2423"/>
    </row>
    <row r="11520" s="101" customFormat="1" spans="6:6">
      <c r="F11520" s="2423"/>
    </row>
    <row r="11521" s="101" customFormat="1" spans="6:6">
      <c r="F11521" s="2423"/>
    </row>
    <row r="11522" s="101" customFormat="1" spans="6:6">
      <c r="F11522" s="2423"/>
    </row>
    <row r="11523" s="101" customFormat="1" spans="6:6">
      <c r="F11523" s="2423"/>
    </row>
    <row r="11524" s="101" customFormat="1" spans="6:6">
      <c r="F11524" s="2423"/>
    </row>
    <row r="11525" s="101" customFormat="1" spans="6:6">
      <c r="F11525" s="2423"/>
    </row>
    <row r="11526" s="101" customFormat="1" spans="6:6">
      <c r="F11526" s="2423"/>
    </row>
    <row r="11527" s="101" customFormat="1" spans="6:6">
      <c r="F11527" s="2423"/>
    </row>
    <row r="11528" s="101" customFormat="1" spans="6:6">
      <c r="F11528" s="2423"/>
    </row>
    <row r="11529" s="101" customFormat="1" spans="6:6">
      <c r="F11529" s="2423"/>
    </row>
    <row r="11530" s="101" customFormat="1" spans="6:6">
      <c r="F11530" s="2423"/>
    </row>
    <row r="11531" s="101" customFormat="1" spans="6:6">
      <c r="F11531" s="2423"/>
    </row>
    <row r="11532" s="101" customFormat="1" spans="6:6">
      <c r="F11532" s="2423"/>
    </row>
    <row r="11533" s="101" customFormat="1" spans="6:6">
      <c r="F11533" s="2423"/>
    </row>
    <row r="11534" s="101" customFormat="1" spans="6:6">
      <c r="F11534" s="2423"/>
    </row>
    <row r="11535" s="101" customFormat="1" spans="6:6">
      <c r="F11535" s="2423"/>
    </row>
    <row r="11536" s="101" customFormat="1" spans="6:6">
      <c r="F11536" s="2423"/>
    </row>
    <row r="11537" s="101" customFormat="1" spans="6:6">
      <c r="F11537" s="2423"/>
    </row>
    <row r="11538" s="101" customFormat="1" spans="6:6">
      <c r="F11538" s="2423"/>
    </row>
    <row r="11539" s="101" customFormat="1" spans="6:6">
      <c r="F11539" s="2423"/>
    </row>
    <row r="11540" s="101" customFormat="1" spans="6:6">
      <c r="F11540" s="2423"/>
    </row>
    <row r="11541" s="101" customFormat="1" spans="6:6">
      <c r="F11541" s="2423"/>
    </row>
    <row r="11542" s="101" customFormat="1" spans="6:6">
      <c r="F11542" s="2423"/>
    </row>
    <row r="11543" s="101" customFormat="1" spans="6:6">
      <c r="F11543" s="2423"/>
    </row>
    <row r="11544" s="101" customFormat="1" spans="6:6">
      <c r="F11544" s="2423"/>
    </row>
    <row r="11545" s="101" customFormat="1" spans="6:6">
      <c r="F11545" s="2423"/>
    </row>
    <row r="11546" s="101" customFormat="1" spans="6:6">
      <c r="F11546" s="2423"/>
    </row>
    <row r="11547" s="101" customFormat="1" spans="6:6">
      <c r="F11547" s="2423"/>
    </row>
    <row r="11548" s="101" customFormat="1" spans="6:6">
      <c r="F11548" s="2423"/>
    </row>
    <row r="11549" s="101" customFormat="1" spans="6:6">
      <c r="F11549" s="2423"/>
    </row>
    <row r="11550" s="101" customFormat="1" spans="6:6">
      <c r="F11550" s="2423"/>
    </row>
    <row r="11551" s="101" customFormat="1" spans="6:6">
      <c r="F11551" s="2423"/>
    </row>
    <row r="11552" s="101" customFormat="1" spans="6:6">
      <c r="F11552" s="2423"/>
    </row>
    <row r="11553" s="101" customFormat="1" spans="6:6">
      <c r="F11553" s="2423"/>
    </row>
    <row r="11554" s="101" customFormat="1" spans="6:6">
      <c r="F11554" s="2423"/>
    </row>
    <row r="11555" s="101" customFormat="1" spans="6:6">
      <c r="F11555" s="2423"/>
    </row>
    <row r="11556" s="101" customFormat="1" spans="6:6">
      <c r="F11556" s="2423"/>
    </row>
    <row r="11557" s="101" customFormat="1" spans="6:6">
      <c r="F11557" s="2423"/>
    </row>
    <row r="11558" s="101" customFormat="1" spans="6:6">
      <c r="F11558" s="2423"/>
    </row>
    <row r="11559" s="101" customFormat="1" spans="6:6">
      <c r="F11559" s="2423"/>
    </row>
    <row r="11560" s="101" customFormat="1" spans="6:6">
      <c r="F11560" s="2423"/>
    </row>
    <row r="11561" s="101" customFormat="1" spans="6:6">
      <c r="F11561" s="2423"/>
    </row>
    <row r="11562" s="101" customFormat="1" spans="6:6">
      <c r="F11562" s="2423"/>
    </row>
    <row r="11563" s="101" customFormat="1" spans="6:6">
      <c r="F11563" s="2423"/>
    </row>
    <row r="11564" s="101" customFormat="1" spans="6:6">
      <c r="F11564" s="2423"/>
    </row>
    <row r="11565" s="101" customFormat="1" spans="6:6">
      <c r="F11565" s="2423"/>
    </row>
    <row r="11566" s="101" customFormat="1" spans="6:6">
      <c r="F11566" s="2423"/>
    </row>
    <row r="11567" s="101" customFormat="1" spans="6:6">
      <c r="F11567" s="2423"/>
    </row>
    <row r="11568" s="101" customFormat="1" spans="6:6">
      <c r="F11568" s="2423"/>
    </row>
    <row r="11569" s="101" customFormat="1" spans="6:6">
      <c r="F11569" s="2423"/>
    </row>
    <row r="11570" s="101" customFormat="1" spans="6:6">
      <c r="F11570" s="2423"/>
    </row>
    <row r="11571" s="101" customFormat="1" spans="6:6">
      <c r="F11571" s="2423"/>
    </row>
    <row r="11572" s="101" customFormat="1" spans="6:6">
      <c r="F11572" s="2423"/>
    </row>
    <row r="11573" s="101" customFormat="1" spans="6:6">
      <c r="F11573" s="2423"/>
    </row>
    <row r="11574" s="101" customFormat="1" spans="6:6">
      <c r="F11574" s="2423"/>
    </row>
    <row r="11575" s="101" customFormat="1" spans="6:6">
      <c r="F11575" s="2423"/>
    </row>
    <row r="11576" s="101" customFormat="1" spans="6:6">
      <c r="F11576" s="2423"/>
    </row>
    <row r="11577" s="101" customFormat="1" spans="6:6">
      <c r="F11577" s="2423"/>
    </row>
    <row r="11578" s="101" customFormat="1" spans="6:6">
      <c r="F11578" s="2423"/>
    </row>
    <row r="11579" s="101" customFormat="1" spans="6:6">
      <c r="F11579" s="2423"/>
    </row>
    <row r="11580" s="101" customFormat="1" spans="6:6">
      <c r="F11580" s="2423"/>
    </row>
    <row r="11581" s="101" customFormat="1" spans="6:6">
      <c r="F11581" s="2423"/>
    </row>
    <row r="11582" s="101" customFormat="1" spans="6:6">
      <c r="F11582" s="2423"/>
    </row>
    <row r="11583" s="101" customFormat="1" spans="6:6">
      <c r="F11583" s="2423"/>
    </row>
    <row r="11584" s="101" customFormat="1" spans="6:6">
      <c r="F11584" s="2423"/>
    </row>
    <row r="11585" s="101" customFormat="1" spans="6:6">
      <c r="F11585" s="2423"/>
    </row>
    <row r="11586" s="101" customFormat="1" spans="6:6">
      <c r="F11586" s="2423"/>
    </row>
    <row r="11587" s="101" customFormat="1" spans="6:6">
      <c r="F11587" s="2423"/>
    </row>
    <row r="11588" s="101" customFormat="1" spans="6:6">
      <c r="F11588" s="2423"/>
    </row>
    <row r="11589" s="101" customFormat="1" spans="6:6">
      <c r="F11589" s="2423"/>
    </row>
    <row r="11590" s="101" customFormat="1" spans="6:6">
      <c r="F11590" s="2423"/>
    </row>
    <row r="11591" s="101" customFormat="1" spans="6:6">
      <c r="F11591" s="2423"/>
    </row>
    <row r="11592" s="101" customFormat="1" spans="6:6">
      <c r="F11592" s="2423"/>
    </row>
    <row r="11593" s="101" customFormat="1" spans="6:6">
      <c r="F11593" s="2423"/>
    </row>
    <row r="11594" s="101" customFormat="1" spans="6:6">
      <c r="F11594" s="2423"/>
    </row>
    <row r="11595" s="101" customFormat="1" spans="6:6">
      <c r="F11595" s="2423"/>
    </row>
    <row r="11596" s="101" customFormat="1" spans="6:6">
      <c r="F11596" s="2423"/>
    </row>
    <row r="11597" s="101" customFormat="1" spans="6:6">
      <c r="F11597" s="2423"/>
    </row>
    <row r="11598" s="101" customFormat="1" spans="6:6">
      <c r="F11598" s="2423"/>
    </row>
    <row r="11599" s="101" customFormat="1" spans="6:6">
      <c r="F11599" s="2423"/>
    </row>
    <row r="11600" s="101" customFormat="1" spans="6:6">
      <c r="F11600" s="2423"/>
    </row>
    <row r="11601" s="101" customFormat="1" spans="6:6">
      <c r="F11601" s="2423"/>
    </row>
    <row r="11602" s="101" customFormat="1" spans="6:6">
      <c r="F11602" s="2423"/>
    </row>
    <row r="11603" s="101" customFormat="1" spans="6:6">
      <c r="F11603" s="2423"/>
    </row>
    <row r="11604" s="101" customFormat="1" spans="6:6">
      <c r="F11604" s="2423"/>
    </row>
    <row r="11605" s="101" customFormat="1" spans="6:6">
      <c r="F11605" s="2423"/>
    </row>
    <row r="11606" s="101" customFormat="1" spans="6:6">
      <c r="F11606" s="2423"/>
    </row>
    <row r="11607" s="101" customFormat="1" spans="6:6">
      <c r="F11607" s="2423"/>
    </row>
    <row r="11608" s="101" customFormat="1" spans="6:6">
      <c r="F11608" s="2423"/>
    </row>
    <row r="11609" s="101" customFormat="1" spans="6:6">
      <c r="F11609" s="2423"/>
    </row>
    <row r="11610" s="101" customFormat="1" spans="6:6">
      <c r="F11610" s="2423"/>
    </row>
    <row r="11611" s="101" customFormat="1" spans="6:6">
      <c r="F11611" s="2423"/>
    </row>
    <row r="11612" s="101" customFormat="1" spans="6:6">
      <c r="F11612" s="2423"/>
    </row>
    <row r="11613" s="101" customFormat="1" spans="6:6">
      <c r="F11613" s="2423"/>
    </row>
    <row r="11614" s="101" customFormat="1" spans="6:6">
      <c r="F11614" s="2423"/>
    </row>
    <row r="11615" s="101" customFormat="1" spans="6:6">
      <c r="F11615" s="2423"/>
    </row>
    <row r="11616" s="101" customFormat="1" spans="6:6">
      <c r="F11616" s="2423"/>
    </row>
    <row r="11617" s="101" customFormat="1" spans="6:6">
      <c r="F11617" s="2423"/>
    </row>
    <row r="11618" s="101" customFormat="1" spans="6:6">
      <c r="F11618" s="2423"/>
    </row>
    <row r="11619" s="101" customFormat="1" spans="6:6">
      <c r="F11619" s="2423"/>
    </row>
    <row r="11620" s="101" customFormat="1" spans="6:6">
      <c r="F11620" s="2423"/>
    </row>
    <row r="11621" s="101" customFormat="1" spans="6:6">
      <c r="F11621" s="2423"/>
    </row>
    <row r="11622" s="101" customFormat="1" spans="6:6">
      <c r="F11622" s="2423"/>
    </row>
    <row r="11623" s="101" customFormat="1" spans="6:6">
      <c r="F11623" s="2423"/>
    </row>
    <row r="11624" s="101" customFormat="1" spans="6:6">
      <c r="F11624" s="2423"/>
    </row>
    <row r="11625" s="101" customFormat="1" spans="6:6">
      <c r="F11625" s="2423"/>
    </row>
    <row r="11626" s="101" customFormat="1" spans="6:6">
      <c r="F11626" s="2423"/>
    </row>
    <row r="11627" s="101" customFormat="1" spans="6:6">
      <c r="F11627" s="2423"/>
    </row>
    <row r="11628" s="101" customFormat="1" spans="6:6">
      <c r="F11628" s="2423"/>
    </row>
    <row r="11629" s="101" customFormat="1" spans="6:6">
      <c r="F11629" s="2423"/>
    </row>
    <row r="11630" s="101" customFormat="1" spans="6:6">
      <c r="F11630" s="2423"/>
    </row>
    <row r="11631" s="101" customFormat="1" spans="6:6">
      <c r="F11631" s="2423"/>
    </row>
    <row r="11632" s="101" customFormat="1" spans="6:6">
      <c r="F11632" s="2423"/>
    </row>
    <row r="11633" s="101" customFormat="1" spans="6:6">
      <c r="F11633" s="2423"/>
    </row>
    <row r="11634" s="101" customFormat="1" spans="6:6">
      <c r="F11634" s="2423"/>
    </row>
    <row r="11635" s="101" customFormat="1" spans="6:6">
      <c r="F11635" s="2423"/>
    </row>
    <row r="11636" s="101" customFormat="1" spans="6:6">
      <c r="F11636" s="2423"/>
    </row>
    <row r="11637" s="101" customFormat="1" spans="6:6">
      <c r="F11637" s="2423"/>
    </row>
    <row r="11638" s="101" customFormat="1" spans="6:6">
      <c r="F11638" s="2423"/>
    </row>
    <row r="11639" s="101" customFormat="1" spans="6:6">
      <c r="F11639" s="2423"/>
    </row>
    <row r="11640" s="101" customFormat="1" spans="6:6">
      <c r="F11640" s="2423"/>
    </row>
    <row r="11641" s="101" customFormat="1" spans="6:6">
      <c r="F11641" s="2423"/>
    </row>
    <row r="11642" s="101" customFormat="1" spans="6:6">
      <c r="F11642" s="2423"/>
    </row>
    <row r="11643" s="101" customFormat="1" spans="6:6">
      <c r="F11643" s="2423"/>
    </row>
    <row r="11644" s="101" customFormat="1" spans="6:6">
      <c r="F11644" s="2423"/>
    </row>
    <row r="11645" s="101" customFormat="1" spans="6:6">
      <c r="F11645" s="2423"/>
    </row>
    <row r="11646" s="101" customFormat="1" spans="6:6">
      <c r="F11646" s="2423"/>
    </row>
    <row r="11647" s="101" customFormat="1" spans="6:6">
      <c r="F11647" s="2423"/>
    </row>
    <row r="11648" s="101" customFormat="1" spans="6:6">
      <c r="F11648" s="2423"/>
    </row>
    <row r="11649" s="101" customFormat="1" spans="6:6">
      <c r="F11649" s="2423"/>
    </row>
    <row r="11650" s="101" customFormat="1" spans="6:6">
      <c r="F11650" s="2423"/>
    </row>
    <row r="11651" s="101" customFormat="1" spans="6:6">
      <c r="F11651" s="2423"/>
    </row>
    <row r="11652" s="101" customFormat="1" spans="6:6">
      <c r="F11652" s="2423"/>
    </row>
    <row r="11653" s="101" customFormat="1" spans="6:6">
      <c r="F11653" s="2423"/>
    </row>
    <row r="11654" s="101" customFormat="1" spans="6:6">
      <c r="F11654" s="2423"/>
    </row>
    <row r="11655" s="101" customFormat="1" spans="6:6">
      <c r="F11655" s="2423"/>
    </row>
    <row r="11656" s="101" customFormat="1" spans="6:6">
      <c r="F11656" s="2423"/>
    </row>
    <row r="11657" s="101" customFormat="1" spans="6:6">
      <c r="F11657" s="2423"/>
    </row>
    <row r="11658" s="101" customFormat="1" spans="6:6">
      <c r="F11658" s="2423"/>
    </row>
    <row r="11659" s="101" customFormat="1" spans="6:6">
      <c r="F11659" s="2423"/>
    </row>
    <row r="11660" s="101" customFormat="1" spans="6:6">
      <c r="F11660" s="2423"/>
    </row>
    <row r="11661" s="101" customFormat="1" spans="6:6">
      <c r="F11661" s="2423"/>
    </row>
    <row r="11662" s="101" customFormat="1" spans="6:6">
      <c r="F11662" s="2423"/>
    </row>
    <row r="11663" s="101" customFormat="1" spans="6:6">
      <c r="F11663" s="2423"/>
    </row>
    <row r="11664" s="101" customFormat="1" spans="6:6">
      <c r="F11664" s="2423"/>
    </row>
    <row r="11665" s="101" customFormat="1" spans="6:6">
      <c r="F11665" s="2423"/>
    </row>
    <row r="11666" s="101" customFormat="1" spans="6:6">
      <c r="F11666" s="2423"/>
    </row>
    <row r="11667" s="101" customFormat="1" spans="6:6">
      <c r="F11667" s="2423"/>
    </row>
    <row r="11668" s="101" customFormat="1" spans="6:6">
      <c r="F11668" s="2423"/>
    </row>
    <row r="11669" s="101" customFormat="1" spans="6:6">
      <c r="F11669" s="2423"/>
    </row>
    <row r="11670" s="101" customFormat="1" spans="6:6">
      <c r="F11670" s="2423"/>
    </row>
    <row r="11671" s="101" customFormat="1" spans="6:6">
      <c r="F11671" s="2423"/>
    </row>
    <row r="11672" s="101" customFormat="1" spans="6:6">
      <c r="F11672" s="2423"/>
    </row>
    <row r="11673" s="101" customFormat="1" spans="6:6">
      <c r="F11673" s="2423"/>
    </row>
    <row r="11674" s="101" customFormat="1" spans="6:6">
      <c r="F11674" s="2423"/>
    </row>
    <row r="11675" s="101" customFormat="1" spans="6:6">
      <c r="F11675" s="2423"/>
    </row>
    <row r="11676" s="101" customFormat="1" spans="6:6">
      <c r="F11676" s="2423"/>
    </row>
    <row r="11677" s="101" customFormat="1" spans="6:6">
      <c r="F11677" s="2423"/>
    </row>
    <row r="11678" s="101" customFormat="1" spans="6:6">
      <c r="F11678" s="2423"/>
    </row>
    <row r="11679" s="101" customFormat="1" spans="6:6">
      <c r="F11679" s="2423"/>
    </row>
    <row r="11680" s="101" customFormat="1" spans="6:6">
      <c r="F11680" s="2423"/>
    </row>
    <row r="11681" s="101" customFormat="1" spans="6:6">
      <c r="F11681" s="2423"/>
    </row>
    <row r="11682" s="101" customFormat="1" spans="6:6">
      <c r="F11682" s="2423"/>
    </row>
    <row r="11683" s="101" customFormat="1" spans="6:6">
      <c r="F11683" s="2423"/>
    </row>
    <row r="11684" s="101" customFormat="1" spans="6:6">
      <c r="F11684" s="2423"/>
    </row>
    <row r="11685" s="101" customFormat="1" spans="6:6">
      <c r="F11685" s="2423"/>
    </row>
    <row r="11686" s="101" customFormat="1" spans="6:6">
      <c r="F11686" s="2423"/>
    </row>
    <row r="11687" s="101" customFormat="1" spans="6:6">
      <c r="F11687" s="2423"/>
    </row>
    <row r="11688" s="101" customFormat="1" spans="6:6">
      <c r="F11688" s="2423"/>
    </row>
    <row r="11689" s="101" customFormat="1" spans="6:6">
      <c r="F11689" s="2423"/>
    </row>
    <row r="11690" s="101" customFormat="1" spans="6:6">
      <c r="F11690" s="2423"/>
    </row>
    <row r="11691" s="101" customFormat="1" spans="6:6">
      <c r="F11691" s="2423"/>
    </row>
    <row r="11692" s="101" customFormat="1" spans="6:6">
      <c r="F11692" s="2423"/>
    </row>
    <row r="11693" s="101" customFormat="1" spans="6:6">
      <c r="F11693" s="2423"/>
    </row>
    <row r="11694" s="101" customFormat="1" spans="6:6">
      <c r="F11694" s="2423"/>
    </row>
    <row r="11695" s="101" customFormat="1" spans="6:6">
      <c r="F11695" s="2423"/>
    </row>
    <row r="11696" s="101" customFormat="1" spans="6:6">
      <c r="F11696" s="2423"/>
    </row>
    <row r="11697" s="101" customFormat="1" spans="6:6">
      <c r="F11697" s="2423"/>
    </row>
    <row r="11698" s="101" customFormat="1" spans="6:6">
      <c r="F11698" s="2423"/>
    </row>
    <row r="11699" s="101" customFormat="1" spans="6:6">
      <c r="F11699" s="2423"/>
    </row>
    <row r="11700" s="101" customFormat="1" spans="6:6">
      <c r="F11700" s="2423"/>
    </row>
    <row r="11701" s="101" customFormat="1" spans="6:6">
      <c r="F11701" s="2423"/>
    </row>
    <row r="11702" s="101" customFormat="1" spans="6:6">
      <c r="F11702" s="2423"/>
    </row>
    <row r="11703" s="101" customFormat="1" spans="6:6">
      <c r="F11703" s="2423"/>
    </row>
    <row r="11704" s="101" customFormat="1" spans="6:6">
      <c r="F11704" s="2423"/>
    </row>
    <row r="11705" s="101" customFormat="1" spans="6:6">
      <c r="F11705" s="2423"/>
    </row>
    <row r="11706" s="101" customFormat="1" spans="6:6">
      <c r="F11706" s="2423"/>
    </row>
    <row r="11707" s="101" customFormat="1" spans="6:6">
      <c r="F11707" s="2423"/>
    </row>
    <row r="11708" s="101" customFormat="1" spans="6:6">
      <c r="F11708" s="2423"/>
    </row>
    <row r="11709" s="101" customFormat="1" spans="6:6">
      <c r="F11709" s="2423"/>
    </row>
    <row r="11710" s="101" customFormat="1" spans="6:6">
      <c r="F11710" s="2423"/>
    </row>
    <row r="11711" s="101" customFormat="1" spans="6:6">
      <c r="F11711" s="2423"/>
    </row>
    <row r="11712" s="101" customFormat="1" spans="6:6">
      <c r="F11712" s="2423"/>
    </row>
    <row r="11713" s="101" customFormat="1" spans="6:6">
      <c r="F11713" s="2423"/>
    </row>
    <row r="11714" s="101" customFormat="1" spans="6:6">
      <c r="F11714" s="2423"/>
    </row>
    <row r="11715" s="101" customFormat="1" spans="6:6">
      <c r="F11715" s="2423"/>
    </row>
    <row r="11716" s="101" customFormat="1" spans="6:6">
      <c r="F11716" s="2423"/>
    </row>
    <row r="11717" s="101" customFormat="1" spans="6:6">
      <c r="F11717" s="2423"/>
    </row>
    <row r="11718" s="101" customFormat="1" spans="6:6">
      <c r="F11718" s="2423"/>
    </row>
    <row r="11719" s="101" customFormat="1" spans="6:6">
      <c r="F11719" s="2423"/>
    </row>
    <row r="11720" s="101" customFormat="1" spans="6:6">
      <c r="F11720" s="2423"/>
    </row>
    <row r="11721" s="101" customFormat="1" spans="6:6">
      <c r="F11721" s="2423"/>
    </row>
    <row r="11722" s="101" customFormat="1" spans="6:6">
      <c r="F11722" s="2423"/>
    </row>
    <row r="11723" s="101" customFormat="1" spans="6:6">
      <c r="F11723" s="2423"/>
    </row>
    <row r="11724" s="101" customFormat="1" spans="6:6">
      <c r="F11724" s="2423"/>
    </row>
    <row r="11725" s="101" customFormat="1" spans="6:6">
      <c r="F11725" s="2423"/>
    </row>
    <row r="11726" s="101" customFormat="1" spans="6:6">
      <c r="F11726" s="2423"/>
    </row>
    <row r="11727" s="101" customFormat="1" spans="6:6">
      <c r="F11727" s="2423"/>
    </row>
    <row r="11728" s="101" customFormat="1" spans="6:6">
      <c r="F11728" s="2423"/>
    </row>
    <row r="11729" s="101" customFormat="1" spans="6:6">
      <c r="F11729" s="2423"/>
    </row>
    <row r="11730" s="101" customFormat="1" spans="6:6">
      <c r="F11730" s="2423"/>
    </row>
    <row r="11731" s="101" customFormat="1" spans="6:6">
      <c r="F11731" s="2423"/>
    </row>
    <row r="11732" s="101" customFormat="1" spans="6:6">
      <c r="F11732" s="2423"/>
    </row>
    <row r="11733" s="101" customFormat="1" spans="6:6">
      <c r="F11733" s="2423"/>
    </row>
    <row r="11734" s="101" customFormat="1" spans="6:6">
      <c r="F11734" s="2423"/>
    </row>
    <row r="11735" s="101" customFormat="1" spans="6:6">
      <c r="F11735" s="2423"/>
    </row>
    <row r="11736" s="101" customFormat="1" spans="6:6">
      <c r="F11736" s="2423"/>
    </row>
    <row r="11737" s="101" customFormat="1" spans="6:6">
      <c r="F11737" s="2423"/>
    </row>
    <row r="11738" s="101" customFormat="1" spans="6:6">
      <c r="F11738" s="2423"/>
    </row>
    <row r="11739" s="101" customFormat="1" spans="6:6">
      <c r="F11739" s="2423"/>
    </row>
    <row r="11740" s="101" customFormat="1" spans="6:6">
      <c r="F11740" s="2423"/>
    </row>
    <row r="11741" s="101" customFormat="1" spans="6:6">
      <c r="F11741" s="2423"/>
    </row>
    <row r="11742" s="101" customFormat="1" spans="6:6">
      <c r="F11742" s="2423"/>
    </row>
    <row r="11743" s="101" customFormat="1" spans="6:6">
      <c r="F11743" s="2423"/>
    </row>
    <row r="11744" s="101" customFormat="1" spans="6:6">
      <c r="F11744" s="2423"/>
    </row>
    <row r="11745" s="101" customFormat="1" spans="6:6">
      <c r="F11745" s="2423"/>
    </row>
    <row r="11746" s="101" customFormat="1" spans="6:6">
      <c r="F11746" s="2423"/>
    </row>
    <row r="11747" s="101" customFormat="1" spans="6:6">
      <c r="F11747" s="2423"/>
    </row>
    <row r="11748" s="101" customFormat="1" spans="6:6">
      <c r="F11748" s="2423"/>
    </row>
    <row r="11749" s="101" customFormat="1" spans="6:6">
      <c r="F11749" s="2423"/>
    </row>
    <row r="11750" s="101" customFormat="1" spans="6:6">
      <c r="F11750" s="2423"/>
    </row>
    <row r="11751" s="101" customFormat="1" spans="6:6">
      <c r="F11751" s="2423"/>
    </row>
    <row r="11752" s="101" customFormat="1" spans="6:6">
      <c r="F11752" s="2423"/>
    </row>
    <row r="11753" s="101" customFormat="1" spans="6:6">
      <c r="F11753" s="2423"/>
    </row>
    <row r="11754" s="101" customFormat="1" spans="6:6">
      <c r="F11754" s="2423"/>
    </row>
    <row r="11755" s="101" customFormat="1" spans="6:6">
      <c r="F11755" s="2423"/>
    </row>
    <row r="11756" s="101" customFormat="1" spans="6:6">
      <c r="F11756" s="2423"/>
    </row>
    <row r="11757" s="101" customFormat="1" spans="6:6">
      <c r="F11757" s="2423"/>
    </row>
    <row r="11758" s="101" customFormat="1" spans="6:6">
      <c r="F11758" s="2423"/>
    </row>
    <row r="11759" s="101" customFormat="1" spans="6:6">
      <c r="F11759" s="2423"/>
    </row>
    <row r="11760" s="101" customFormat="1" spans="6:6">
      <c r="F11760" s="2423"/>
    </row>
    <row r="11761" s="101" customFormat="1" spans="6:6">
      <c r="F11761" s="2423"/>
    </row>
    <row r="11762" s="101" customFormat="1" spans="6:6">
      <c r="F11762" s="2423"/>
    </row>
    <row r="11763" s="101" customFormat="1" spans="6:6">
      <c r="F11763" s="2423"/>
    </row>
    <row r="11764" s="101" customFormat="1" spans="6:6">
      <c r="F11764" s="2423"/>
    </row>
    <row r="11765" s="101" customFormat="1" spans="6:6">
      <c r="F11765" s="2423"/>
    </row>
    <row r="11766" s="101" customFormat="1" spans="6:6">
      <c r="F11766" s="2423"/>
    </row>
    <row r="11767" s="101" customFormat="1" spans="6:6">
      <c r="F11767" s="2423"/>
    </row>
    <row r="11768" s="101" customFormat="1" spans="6:6">
      <c r="F11768" s="2423"/>
    </row>
    <row r="11769" s="101" customFormat="1" spans="6:6">
      <c r="F11769" s="2423"/>
    </row>
    <row r="11770" s="101" customFormat="1" spans="6:6">
      <c r="F11770" s="2423"/>
    </row>
    <row r="11771" s="101" customFormat="1" spans="6:6">
      <c r="F11771" s="2423"/>
    </row>
    <row r="11772" s="101" customFormat="1" spans="6:6">
      <c r="F11772" s="2423"/>
    </row>
    <row r="11773" s="101" customFormat="1" spans="6:6">
      <c r="F11773" s="2423"/>
    </row>
    <row r="11774" s="101" customFormat="1" spans="6:6">
      <c r="F11774" s="2423"/>
    </row>
    <row r="11775" s="101" customFormat="1" spans="6:6">
      <c r="F11775" s="2423"/>
    </row>
    <row r="11776" s="101" customFormat="1" spans="6:6">
      <c r="F11776" s="2423"/>
    </row>
    <row r="11777" s="101" customFormat="1" spans="6:6">
      <c r="F11777" s="2423"/>
    </row>
    <row r="11778" s="101" customFormat="1" spans="6:6">
      <c r="F11778" s="2423"/>
    </row>
    <row r="11779" s="101" customFormat="1" spans="6:6">
      <c r="F11779" s="2423"/>
    </row>
    <row r="11780" s="101" customFormat="1" spans="6:6">
      <c r="F11780" s="2423"/>
    </row>
    <row r="11781" s="101" customFormat="1" spans="6:6">
      <c r="F11781" s="2423"/>
    </row>
    <row r="11782" s="101" customFormat="1" spans="6:6">
      <c r="F11782" s="2423"/>
    </row>
    <row r="11783" s="101" customFormat="1" spans="6:6">
      <c r="F11783" s="2423"/>
    </row>
    <row r="11784" s="101" customFormat="1" spans="6:6">
      <c r="F11784" s="2423"/>
    </row>
    <row r="11785" s="101" customFormat="1" spans="6:6">
      <c r="F11785" s="2423"/>
    </row>
    <row r="11786" s="101" customFormat="1" spans="6:6">
      <c r="F11786" s="2423"/>
    </row>
    <row r="11787" s="101" customFormat="1" spans="6:6">
      <c r="F11787" s="2423"/>
    </row>
    <row r="11788" s="101" customFormat="1" spans="6:6">
      <c r="F11788" s="2423"/>
    </row>
    <row r="11789" s="101" customFormat="1" spans="6:6">
      <c r="F11789" s="2423"/>
    </row>
    <row r="11790" s="101" customFormat="1" spans="6:6">
      <c r="F11790" s="2423"/>
    </row>
    <row r="11791" s="101" customFormat="1" spans="6:6">
      <c r="F11791" s="2423"/>
    </row>
    <row r="11792" s="101" customFormat="1" spans="6:6">
      <c r="F11792" s="2423"/>
    </row>
    <row r="11793" s="101" customFormat="1" spans="6:6">
      <c r="F11793" s="2423"/>
    </row>
    <row r="11794" s="101" customFormat="1" spans="6:6">
      <c r="F11794" s="2423"/>
    </row>
    <row r="11795" s="101" customFormat="1" spans="6:6">
      <c r="F11795" s="2423"/>
    </row>
    <row r="11796" s="101" customFormat="1" spans="6:6">
      <c r="F11796" s="2423"/>
    </row>
    <row r="11797" s="101" customFormat="1" spans="6:6">
      <c r="F11797" s="2423"/>
    </row>
    <row r="11798" s="101" customFormat="1" spans="6:6">
      <c r="F11798" s="2423"/>
    </row>
    <row r="11799" s="101" customFormat="1" spans="6:6">
      <c r="F11799" s="2423"/>
    </row>
    <row r="11800" s="101" customFormat="1" spans="6:6">
      <c r="F11800" s="2423"/>
    </row>
    <row r="11801" s="101" customFormat="1" spans="6:6">
      <c r="F11801" s="2423"/>
    </row>
    <row r="11802" s="101" customFormat="1" spans="6:6">
      <c r="F11802" s="2423"/>
    </row>
    <row r="11803" s="101" customFormat="1" spans="6:6">
      <c r="F11803" s="2423"/>
    </row>
    <row r="11804" s="101" customFormat="1" spans="6:6">
      <c r="F11804" s="2423"/>
    </row>
    <row r="11805" s="101" customFormat="1" spans="6:6">
      <c r="F11805" s="2423"/>
    </row>
    <row r="11806" s="101" customFormat="1" spans="6:6">
      <c r="F11806" s="2423"/>
    </row>
    <row r="11807" s="101" customFormat="1" spans="6:6">
      <c r="F11807" s="2423"/>
    </row>
    <row r="11808" s="101" customFormat="1" spans="6:6">
      <c r="F11808" s="2423"/>
    </row>
    <row r="11809" s="101" customFormat="1" spans="6:6">
      <c r="F11809" s="2423"/>
    </row>
    <row r="11810" s="101" customFormat="1" spans="6:6">
      <c r="F11810" s="2423"/>
    </row>
    <row r="11811" s="101" customFormat="1" spans="6:6">
      <c r="F11811" s="2423"/>
    </row>
    <row r="11812" s="101" customFormat="1" spans="6:6">
      <c r="F11812" s="2423"/>
    </row>
    <row r="11813" s="101" customFormat="1" spans="6:6">
      <c r="F11813" s="2423"/>
    </row>
    <row r="11814" s="101" customFormat="1" spans="6:6">
      <c r="F11814" s="2423"/>
    </row>
    <row r="11815" s="101" customFormat="1" spans="6:6">
      <c r="F11815" s="2423"/>
    </row>
    <row r="11816" s="101" customFormat="1" spans="6:6">
      <c r="F11816" s="2423"/>
    </row>
    <row r="11817" s="101" customFormat="1" spans="6:6">
      <c r="F11817" s="2423"/>
    </row>
    <row r="11818" s="101" customFormat="1" spans="6:6">
      <c r="F11818" s="2423"/>
    </row>
    <row r="11819" s="101" customFormat="1" spans="6:6">
      <c r="F11819" s="2423"/>
    </row>
    <row r="11820" s="101" customFormat="1" spans="6:6">
      <c r="F11820" s="2423"/>
    </row>
    <row r="11821" s="101" customFormat="1" spans="6:6">
      <c r="F11821" s="2423"/>
    </row>
    <row r="11822" s="101" customFormat="1" spans="6:6">
      <c r="F11822" s="2423"/>
    </row>
    <row r="11823" s="101" customFormat="1" spans="6:6">
      <c r="F11823" s="2423"/>
    </row>
    <row r="11824" s="101" customFormat="1" spans="6:6">
      <c r="F11824" s="2423"/>
    </row>
    <row r="11825" s="101" customFormat="1" spans="6:6">
      <c r="F11825" s="2423"/>
    </row>
    <row r="11826" s="101" customFormat="1" spans="6:6">
      <c r="F11826" s="2423"/>
    </row>
    <row r="11827" s="101" customFormat="1" spans="6:6">
      <c r="F11827" s="2423"/>
    </row>
    <row r="11828" s="101" customFormat="1" spans="6:6">
      <c r="F11828" s="2423"/>
    </row>
    <row r="11829" s="101" customFormat="1" spans="6:6">
      <c r="F11829" s="2423"/>
    </row>
    <row r="11830" s="101" customFormat="1" spans="6:6">
      <c r="F11830" s="2423"/>
    </row>
    <row r="11831" s="101" customFormat="1" spans="6:6">
      <c r="F11831" s="2423"/>
    </row>
    <row r="11832" s="101" customFormat="1" spans="6:6">
      <c r="F11832" s="2423"/>
    </row>
    <row r="11833" s="101" customFormat="1" spans="6:6">
      <c r="F11833" s="2423"/>
    </row>
    <row r="11834" s="101" customFormat="1" spans="6:6">
      <c r="F11834" s="2423"/>
    </row>
    <row r="11835" s="101" customFormat="1" spans="6:6">
      <c r="F11835" s="2423"/>
    </row>
    <row r="11836" s="101" customFormat="1" spans="6:6">
      <c r="F11836" s="2423"/>
    </row>
    <row r="11837" s="101" customFormat="1" spans="6:6">
      <c r="F11837" s="2423"/>
    </row>
    <row r="11838" s="101" customFormat="1" spans="6:6">
      <c r="F11838" s="2423"/>
    </row>
    <row r="11839" s="101" customFormat="1" spans="6:6">
      <c r="F11839" s="2423"/>
    </row>
    <row r="11840" s="101" customFormat="1" spans="6:6">
      <c r="F11840" s="2423"/>
    </row>
    <row r="11841" s="101" customFormat="1" spans="6:6">
      <c r="F11841" s="2423"/>
    </row>
    <row r="11842" s="101" customFormat="1" spans="6:6">
      <c r="F11842" s="2423"/>
    </row>
    <row r="11843" s="101" customFormat="1" spans="6:6">
      <c r="F11843" s="2423"/>
    </row>
    <row r="11844" s="101" customFormat="1" spans="6:6">
      <c r="F11844" s="2423"/>
    </row>
    <row r="11845" s="101" customFormat="1" spans="6:6">
      <c r="F11845" s="2423"/>
    </row>
    <row r="11846" s="101" customFormat="1" spans="6:6">
      <c r="F11846" s="2423"/>
    </row>
    <row r="11847" s="101" customFormat="1" spans="6:6">
      <c r="F11847" s="2423"/>
    </row>
    <row r="11848" s="101" customFormat="1" spans="6:6">
      <c r="F11848" s="2423"/>
    </row>
    <row r="11849" s="101" customFormat="1" spans="6:6">
      <c r="F11849" s="2423"/>
    </row>
    <row r="11850" s="101" customFormat="1" spans="6:6">
      <c r="F11850" s="2423"/>
    </row>
    <row r="11851" s="101" customFormat="1" spans="6:6">
      <c r="F11851" s="2423"/>
    </row>
    <row r="11852" s="101" customFormat="1" spans="6:6">
      <c r="F11852" s="2423"/>
    </row>
    <row r="11853" s="101" customFormat="1" spans="6:6">
      <c r="F11853" s="2423"/>
    </row>
    <row r="11854" s="101" customFormat="1" spans="6:6">
      <c r="F11854" s="2423"/>
    </row>
    <row r="11855" s="101" customFormat="1" spans="6:6">
      <c r="F11855" s="2423"/>
    </row>
    <row r="11856" s="101" customFormat="1" spans="6:6">
      <c r="F11856" s="2423"/>
    </row>
    <row r="11857" s="101" customFormat="1" spans="6:6">
      <c r="F11857" s="2423"/>
    </row>
    <row r="11858" s="101" customFormat="1" spans="6:6">
      <c r="F11858" s="2423"/>
    </row>
    <row r="11859" s="101" customFormat="1" spans="6:6">
      <c r="F11859" s="2423"/>
    </row>
    <row r="11860" s="101" customFormat="1" spans="6:6">
      <c r="F11860" s="2423"/>
    </row>
    <row r="11861" s="101" customFormat="1" spans="6:6">
      <c r="F11861" s="2423"/>
    </row>
    <row r="11862" s="101" customFormat="1" spans="6:6">
      <c r="F11862" s="2423"/>
    </row>
    <row r="11863" s="101" customFormat="1" spans="6:6">
      <c r="F11863" s="2423"/>
    </row>
    <row r="11864" s="101" customFormat="1" spans="6:6">
      <c r="F11864" s="2423"/>
    </row>
    <row r="11865" s="101" customFormat="1" spans="6:6">
      <c r="F11865" s="2423"/>
    </row>
    <row r="11866" s="101" customFormat="1" spans="6:6">
      <c r="F11866" s="2423"/>
    </row>
    <row r="11867" s="101" customFormat="1" spans="6:6">
      <c r="F11867" s="2423"/>
    </row>
    <row r="11868" s="101" customFormat="1" spans="6:6">
      <c r="F11868" s="2423"/>
    </row>
    <row r="11869" s="101" customFormat="1" spans="6:6">
      <c r="F11869" s="2423"/>
    </row>
    <row r="11870" s="101" customFormat="1" spans="6:6">
      <c r="F11870" s="2423"/>
    </row>
    <row r="11871" s="101" customFormat="1" spans="6:6">
      <c r="F11871" s="2423"/>
    </row>
    <row r="11872" s="101" customFormat="1" spans="6:6">
      <c r="F11872" s="2423"/>
    </row>
    <row r="11873" s="101" customFormat="1" spans="6:6">
      <c r="F11873" s="2423"/>
    </row>
    <row r="11874" s="101" customFormat="1" spans="6:6">
      <c r="F11874" s="2423"/>
    </row>
    <row r="11875" s="101" customFormat="1" spans="6:6">
      <c r="F11875" s="2423"/>
    </row>
    <row r="11876" s="101" customFormat="1" spans="6:6">
      <c r="F11876" s="2423"/>
    </row>
    <row r="11877" s="101" customFormat="1" spans="6:6">
      <c r="F11877" s="2423"/>
    </row>
    <row r="11878" s="101" customFormat="1" spans="6:6">
      <c r="F11878" s="2423"/>
    </row>
    <row r="11879" s="101" customFormat="1" spans="6:6">
      <c r="F11879" s="2423"/>
    </row>
    <row r="11880" s="101" customFormat="1" spans="6:6">
      <c r="F11880" s="2423"/>
    </row>
    <row r="11881" s="101" customFormat="1" spans="6:6">
      <c r="F11881" s="2423"/>
    </row>
    <row r="11882" s="101" customFormat="1" spans="6:6">
      <c r="F11882" s="2423"/>
    </row>
    <row r="11883" s="101" customFormat="1" spans="6:6">
      <c r="F11883" s="2423"/>
    </row>
    <row r="11884" s="101" customFormat="1" spans="6:6">
      <c r="F11884" s="2423"/>
    </row>
    <row r="11885" s="101" customFormat="1" spans="6:6">
      <c r="F11885" s="2423"/>
    </row>
    <row r="11886" s="101" customFormat="1" spans="6:6">
      <c r="F11886" s="2423"/>
    </row>
    <row r="11887" s="101" customFormat="1" spans="6:6">
      <c r="F11887" s="2423"/>
    </row>
    <row r="11888" s="101" customFormat="1" spans="6:6">
      <c r="F11888" s="2423"/>
    </row>
    <row r="11889" s="101" customFormat="1" spans="6:6">
      <c r="F11889" s="2423"/>
    </row>
    <row r="11890" s="101" customFormat="1" spans="6:6">
      <c r="F11890" s="2423"/>
    </row>
    <row r="11891" s="101" customFormat="1" spans="6:6">
      <c r="F11891" s="2423"/>
    </row>
    <row r="11892" s="101" customFormat="1" spans="6:6">
      <c r="F11892" s="2423"/>
    </row>
    <row r="11893" s="101" customFormat="1" spans="6:6">
      <c r="F11893" s="2423"/>
    </row>
    <row r="11894" s="101" customFormat="1" spans="6:6">
      <c r="F11894" s="2423"/>
    </row>
    <row r="11895" s="101" customFormat="1" spans="6:6">
      <c r="F11895" s="2423"/>
    </row>
    <row r="11896" s="101" customFormat="1" spans="6:6">
      <c r="F11896" s="2423"/>
    </row>
    <row r="11897" s="101" customFormat="1" spans="6:6">
      <c r="F11897" s="2423"/>
    </row>
    <row r="11898" s="101" customFormat="1" spans="6:6">
      <c r="F11898" s="2423"/>
    </row>
    <row r="11899" s="101" customFormat="1" spans="6:6">
      <c r="F11899" s="2423"/>
    </row>
    <row r="11900" s="101" customFormat="1" spans="6:6">
      <c r="F11900" s="2423"/>
    </row>
    <row r="11901" s="101" customFormat="1" spans="6:6">
      <c r="F11901" s="2423"/>
    </row>
    <row r="11902" s="101" customFormat="1" spans="6:6">
      <c r="F11902" s="2423"/>
    </row>
    <row r="11903" s="101" customFormat="1" spans="6:6">
      <c r="F11903" s="2423"/>
    </row>
    <row r="11904" s="101" customFormat="1" spans="6:6">
      <c r="F11904" s="2423"/>
    </row>
    <row r="11905" s="101" customFormat="1" spans="6:6">
      <c r="F11905" s="2423"/>
    </row>
    <row r="11906" s="101" customFormat="1" spans="6:6">
      <c r="F11906" s="2423"/>
    </row>
    <row r="11907" s="101" customFormat="1" spans="6:6">
      <c r="F11907" s="2423"/>
    </row>
    <row r="11908" s="101" customFormat="1" spans="6:6">
      <c r="F11908" s="2423"/>
    </row>
    <row r="11909" s="101" customFormat="1" spans="6:6">
      <c r="F11909" s="2423"/>
    </row>
    <row r="11910" s="101" customFormat="1" spans="6:6">
      <c r="F11910" s="2423"/>
    </row>
    <row r="11911" s="101" customFormat="1" spans="6:6">
      <c r="F11911" s="2423"/>
    </row>
    <row r="11912" s="101" customFormat="1" spans="6:6">
      <c r="F11912" s="2423"/>
    </row>
    <row r="11913" s="101" customFormat="1" spans="6:6">
      <c r="F11913" s="2423"/>
    </row>
    <row r="11914" s="101" customFormat="1" spans="6:6">
      <c r="F11914" s="2423"/>
    </row>
    <row r="11915" s="101" customFormat="1" spans="6:6">
      <c r="F11915" s="2423"/>
    </row>
    <row r="11916" s="101" customFormat="1" spans="6:6">
      <c r="F11916" s="2423"/>
    </row>
    <row r="11917" s="101" customFormat="1" spans="6:6">
      <c r="F11917" s="2423"/>
    </row>
    <row r="11918" s="101" customFormat="1" spans="6:6">
      <c r="F11918" s="2423"/>
    </row>
    <row r="11919" s="101" customFormat="1" spans="6:6">
      <c r="F11919" s="2423"/>
    </row>
    <row r="11920" s="101" customFormat="1" spans="6:6">
      <c r="F11920" s="2423"/>
    </row>
    <row r="11921" s="101" customFormat="1" spans="6:6">
      <c r="F11921" s="2423"/>
    </row>
    <row r="11922" s="101" customFormat="1" spans="6:6">
      <c r="F11922" s="2423"/>
    </row>
    <row r="11923" s="101" customFormat="1" spans="6:6">
      <c r="F11923" s="2423"/>
    </row>
    <row r="11924" s="101" customFormat="1" spans="6:6">
      <c r="F11924" s="2423"/>
    </row>
    <row r="11925" s="101" customFormat="1" spans="6:6">
      <c r="F11925" s="2423"/>
    </row>
    <row r="11926" s="101" customFormat="1" spans="6:6">
      <c r="F11926" s="2423"/>
    </row>
    <row r="11927" s="101" customFormat="1" spans="6:6">
      <c r="F11927" s="2423"/>
    </row>
    <row r="11928" s="101" customFormat="1" spans="6:6">
      <c r="F11928" s="2423"/>
    </row>
    <row r="11929" s="101" customFormat="1" spans="6:6">
      <c r="F11929" s="2423"/>
    </row>
    <row r="11930" s="101" customFormat="1" spans="6:6">
      <c r="F11930" s="2423"/>
    </row>
    <row r="11931" s="101" customFormat="1" spans="6:6">
      <c r="F11931" s="2423"/>
    </row>
    <row r="11932" s="101" customFormat="1" spans="6:6">
      <c r="F11932" s="2423"/>
    </row>
    <row r="11933" s="101" customFormat="1" spans="6:6">
      <c r="F11933" s="2423"/>
    </row>
    <row r="11934" s="101" customFormat="1" spans="6:6">
      <c r="F11934" s="2423"/>
    </row>
    <row r="11935" s="101" customFormat="1" spans="6:6">
      <c r="F11935" s="2423"/>
    </row>
    <row r="11936" s="101" customFormat="1" spans="6:6">
      <c r="F11936" s="2423"/>
    </row>
    <row r="11937" s="101" customFormat="1" spans="6:6">
      <c r="F11937" s="2423"/>
    </row>
    <row r="11938" s="101" customFormat="1" spans="6:6">
      <c r="F11938" s="2423"/>
    </row>
    <row r="11939" s="101" customFormat="1" spans="6:6">
      <c r="F11939" s="2423"/>
    </row>
    <row r="11940" s="101" customFormat="1" spans="6:6">
      <c r="F11940" s="2423"/>
    </row>
    <row r="11941" s="101" customFormat="1" spans="6:6">
      <c r="F11941" s="2423"/>
    </row>
    <row r="11942" s="101" customFormat="1" spans="6:6">
      <c r="F11942" s="2423"/>
    </row>
    <row r="11943" s="101" customFormat="1" spans="6:6">
      <c r="F11943" s="2423"/>
    </row>
    <row r="11944" s="101" customFormat="1" spans="6:6">
      <c r="F11944" s="2423"/>
    </row>
    <row r="11945" s="101" customFormat="1" spans="6:6">
      <c r="F11945" s="2423"/>
    </row>
    <row r="11946" s="101" customFormat="1" spans="6:6">
      <c r="F11946" s="2423"/>
    </row>
    <row r="11947" s="101" customFormat="1" spans="6:6">
      <c r="F11947" s="2423"/>
    </row>
    <row r="11948" s="101" customFormat="1" spans="6:6">
      <c r="F11948" s="2423"/>
    </row>
    <row r="11949" s="101" customFormat="1" spans="6:6">
      <c r="F11949" s="2423"/>
    </row>
    <row r="11950" s="101" customFormat="1" spans="6:6">
      <c r="F11950" s="2423"/>
    </row>
    <row r="11951" s="101" customFormat="1" spans="6:6">
      <c r="F11951" s="2423"/>
    </row>
    <row r="11952" s="101" customFormat="1" spans="6:6">
      <c r="F11952" s="2423"/>
    </row>
    <row r="11953" s="101" customFormat="1" spans="6:6">
      <c r="F11953" s="2423"/>
    </row>
    <row r="11954" s="101" customFormat="1" spans="6:6">
      <c r="F11954" s="2423"/>
    </row>
    <row r="11955" s="101" customFormat="1" spans="6:6">
      <c r="F11955" s="2423"/>
    </row>
    <row r="11956" s="101" customFormat="1" spans="6:6">
      <c r="F11956" s="2423"/>
    </row>
    <row r="11957" s="101" customFormat="1" spans="6:6">
      <c r="F11957" s="2423"/>
    </row>
    <row r="11958" s="101" customFormat="1" spans="6:6">
      <c r="F11958" s="2423"/>
    </row>
    <row r="11959" s="101" customFormat="1" spans="6:6">
      <c r="F11959" s="2423"/>
    </row>
    <row r="11960" s="101" customFormat="1" spans="6:6">
      <c r="F11960" s="2423"/>
    </row>
    <row r="11961" s="101" customFormat="1" spans="6:6">
      <c r="F11961" s="2423"/>
    </row>
    <row r="11962" s="101" customFormat="1" spans="6:6">
      <c r="F11962" s="2423"/>
    </row>
    <row r="11963" s="101" customFormat="1" spans="6:6">
      <c r="F11963" s="2423"/>
    </row>
    <row r="11964" s="101" customFormat="1" spans="6:6">
      <c r="F11964" s="2423"/>
    </row>
    <row r="11965" s="101" customFormat="1" spans="6:6">
      <c r="F11965" s="2423"/>
    </row>
    <row r="11966" s="101" customFormat="1" spans="6:6">
      <c r="F11966" s="2423"/>
    </row>
    <row r="11967" s="101" customFormat="1" spans="6:6">
      <c r="F11967" s="2423"/>
    </row>
    <row r="11968" s="101" customFormat="1" spans="6:6">
      <c r="F11968" s="2423"/>
    </row>
    <row r="11969" s="101" customFormat="1" spans="6:6">
      <c r="F11969" s="2423"/>
    </row>
    <row r="11970" s="101" customFormat="1" spans="6:6">
      <c r="F11970" s="2423"/>
    </row>
    <row r="11971" s="101" customFormat="1" spans="6:6">
      <c r="F11971" s="2423"/>
    </row>
    <row r="11972" s="101" customFormat="1" spans="6:6">
      <c r="F11972" s="2423"/>
    </row>
    <row r="11973" s="101" customFormat="1" spans="6:6">
      <c r="F11973" s="2423"/>
    </row>
    <row r="11974" s="101" customFormat="1" spans="6:6">
      <c r="F11974" s="2423"/>
    </row>
    <row r="11975" s="101" customFormat="1" spans="6:6">
      <c r="F11975" s="2423"/>
    </row>
    <row r="11976" s="101" customFormat="1" spans="6:6">
      <c r="F11976" s="2423"/>
    </row>
    <row r="11977" s="101" customFormat="1" spans="6:6">
      <c r="F11977" s="2423"/>
    </row>
    <row r="11978" s="101" customFormat="1" spans="6:6">
      <c r="F11978" s="2423"/>
    </row>
    <row r="11979" s="101" customFormat="1" spans="6:6">
      <c r="F11979" s="2423"/>
    </row>
    <row r="11980" s="101" customFormat="1" spans="6:6">
      <c r="F11980" s="2423"/>
    </row>
    <row r="11981" s="101" customFormat="1" spans="6:6">
      <c r="F11981" s="2423"/>
    </row>
    <row r="11982" s="101" customFormat="1" spans="6:6">
      <c r="F11982" s="2423"/>
    </row>
    <row r="11983" s="101" customFormat="1" spans="6:6">
      <c r="F11983" s="2423"/>
    </row>
    <row r="11984" s="101" customFormat="1" spans="6:6">
      <c r="F11984" s="2423"/>
    </row>
    <row r="11985" s="101" customFormat="1" spans="6:6">
      <c r="F11985" s="2423"/>
    </row>
    <row r="11986" s="101" customFormat="1" spans="6:6">
      <c r="F11986" s="2423"/>
    </row>
    <row r="11987" s="101" customFormat="1" spans="6:6">
      <c r="F11987" s="2423"/>
    </row>
    <row r="11988" s="101" customFormat="1" spans="6:6">
      <c r="F11988" s="2423"/>
    </row>
    <row r="11989" s="101" customFormat="1" spans="6:6">
      <c r="F11989" s="2423"/>
    </row>
    <row r="11990" s="101" customFormat="1" spans="6:6">
      <c r="F11990" s="2423"/>
    </row>
    <row r="11991" s="101" customFormat="1" spans="6:6">
      <c r="F11991" s="2423"/>
    </row>
    <row r="11992" s="101" customFormat="1" spans="6:6">
      <c r="F11992" s="2423"/>
    </row>
    <row r="11993" s="101" customFormat="1" spans="6:6">
      <c r="F11993" s="2423"/>
    </row>
    <row r="11994" s="101" customFormat="1" spans="6:6">
      <c r="F11994" s="2423"/>
    </row>
    <row r="11995" s="101" customFormat="1" spans="6:6">
      <c r="F11995" s="2423"/>
    </row>
    <row r="11996" s="101" customFormat="1" spans="6:6">
      <c r="F11996" s="2423"/>
    </row>
    <row r="11997" s="101" customFormat="1" spans="6:6">
      <c r="F11997" s="2423"/>
    </row>
    <row r="11998" s="101" customFormat="1" spans="6:6">
      <c r="F11998" s="2423"/>
    </row>
    <row r="11999" s="101" customFormat="1" spans="6:6">
      <c r="F11999" s="2423"/>
    </row>
    <row r="12000" s="101" customFormat="1" spans="6:6">
      <c r="F12000" s="2423"/>
    </row>
    <row r="12001" s="101" customFormat="1" spans="6:6">
      <c r="F12001" s="2423"/>
    </row>
    <row r="12002" s="101" customFormat="1" spans="6:6">
      <c r="F12002" s="2423"/>
    </row>
    <row r="12003" s="101" customFormat="1" spans="6:6">
      <c r="F12003" s="2423"/>
    </row>
    <row r="12004" s="101" customFormat="1" spans="6:6">
      <c r="F12004" s="2423"/>
    </row>
    <row r="12005" s="101" customFormat="1" spans="6:6">
      <c r="F12005" s="2423"/>
    </row>
    <row r="12006" s="101" customFormat="1" spans="6:6">
      <c r="F12006" s="2423"/>
    </row>
    <row r="12007" s="101" customFormat="1" spans="6:6">
      <c r="F12007" s="2423"/>
    </row>
    <row r="12008" s="101" customFormat="1" spans="6:6">
      <c r="F12008" s="2423"/>
    </row>
    <row r="12009" s="101" customFormat="1" spans="6:6">
      <c r="F12009" s="2423"/>
    </row>
    <row r="12010" s="101" customFormat="1" spans="6:6">
      <c r="F12010" s="2423"/>
    </row>
    <row r="12011" s="101" customFormat="1" spans="6:6">
      <c r="F12011" s="2423"/>
    </row>
    <row r="12012" s="101" customFormat="1" spans="6:6">
      <c r="F12012" s="2423"/>
    </row>
    <row r="12013" s="101" customFormat="1" spans="6:6">
      <c r="F12013" s="2423"/>
    </row>
    <row r="12014" s="101" customFormat="1" spans="6:6">
      <c r="F12014" s="2423"/>
    </row>
    <row r="12015" s="101" customFormat="1" spans="6:6">
      <c r="F12015" s="2423"/>
    </row>
    <row r="12016" s="101" customFormat="1" spans="6:6">
      <c r="F12016" s="2423"/>
    </row>
    <row r="12017" s="101" customFormat="1" spans="6:6">
      <c r="F12017" s="2423"/>
    </row>
    <row r="12018" s="101" customFormat="1" spans="6:6">
      <c r="F12018" s="2423"/>
    </row>
    <row r="12019" s="101" customFormat="1" spans="6:6">
      <c r="F12019" s="2423"/>
    </row>
    <row r="12020" s="101" customFormat="1" spans="6:6">
      <c r="F12020" s="2423"/>
    </row>
    <row r="12021" s="101" customFormat="1" spans="6:6">
      <c r="F12021" s="2423"/>
    </row>
    <row r="12022" s="101" customFormat="1" spans="6:6">
      <c r="F12022" s="2423"/>
    </row>
    <row r="12023" s="101" customFormat="1" spans="6:6">
      <c r="F12023" s="2423"/>
    </row>
    <row r="12024" s="101" customFormat="1" spans="6:6">
      <c r="F12024" s="2423"/>
    </row>
    <row r="12025" s="101" customFormat="1" spans="6:6">
      <c r="F12025" s="2423"/>
    </row>
    <row r="12026" s="101" customFormat="1" spans="6:6">
      <c r="F12026" s="2423"/>
    </row>
    <row r="12027" s="101" customFormat="1" spans="6:6">
      <c r="F12027" s="2423"/>
    </row>
    <row r="12028" s="101" customFormat="1" spans="6:6">
      <c r="F12028" s="2423"/>
    </row>
    <row r="12029" s="101" customFormat="1" spans="6:6">
      <c r="F12029" s="2423"/>
    </row>
    <row r="12030" s="101" customFormat="1" spans="6:6">
      <c r="F12030" s="2423"/>
    </row>
    <row r="12031" s="101" customFormat="1" spans="6:6">
      <c r="F12031" s="2423"/>
    </row>
    <row r="12032" s="101" customFormat="1" spans="6:6">
      <c r="F12032" s="2423"/>
    </row>
    <row r="12033" s="101" customFormat="1" spans="6:6">
      <c r="F12033" s="2423"/>
    </row>
    <row r="12034" s="101" customFormat="1" spans="6:6">
      <c r="F12034" s="2423"/>
    </row>
    <row r="12035" s="101" customFormat="1" spans="6:6">
      <c r="F12035" s="2423"/>
    </row>
    <row r="12036" s="101" customFormat="1" spans="6:6">
      <c r="F12036" s="2423"/>
    </row>
    <row r="12037" s="101" customFormat="1" spans="6:6">
      <c r="F12037" s="2423"/>
    </row>
    <row r="12038" s="101" customFormat="1" spans="6:6">
      <c r="F12038" s="2423"/>
    </row>
    <row r="12039" s="101" customFormat="1" spans="6:6">
      <c r="F12039" s="2423"/>
    </row>
    <row r="12040" s="101" customFormat="1" spans="6:6">
      <c r="F12040" s="2423"/>
    </row>
    <row r="12041" s="101" customFormat="1" spans="6:6">
      <c r="F12041" s="2423"/>
    </row>
    <row r="12042" s="101" customFormat="1" spans="6:6">
      <c r="F12042" s="2423"/>
    </row>
    <row r="12043" s="101" customFormat="1" spans="6:6">
      <c r="F12043" s="2423"/>
    </row>
    <row r="12044" s="101" customFormat="1" spans="6:6">
      <c r="F12044" s="2423"/>
    </row>
    <row r="12045" s="101" customFormat="1" spans="6:6">
      <c r="F12045" s="2423"/>
    </row>
    <row r="12046" s="101" customFormat="1" spans="6:6">
      <c r="F12046" s="2423"/>
    </row>
    <row r="12047" s="101" customFormat="1" spans="6:6">
      <c r="F12047" s="2423"/>
    </row>
    <row r="12048" s="101" customFormat="1" spans="6:6">
      <c r="F12048" s="2423"/>
    </row>
    <row r="12049" s="101" customFormat="1" spans="6:6">
      <c r="F12049" s="2423"/>
    </row>
    <row r="12050" s="101" customFormat="1" spans="6:6">
      <c r="F12050" s="2423"/>
    </row>
    <row r="12051" s="101" customFormat="1" spans="6:6">
      <c r="F12051" s="2423"/>
    </row>
    <row r="12052" s="101" customFormat="1" spans="6:6">
      <c r="F12052" s="2423"/>
    </row>
    <row r="12053" s="101" customFormat="1" spans="6:6">
      <c r="F12053" s="2423"/>
    </row>
    <row r="12054" s="101" customFormat="1" spans="6:6">
      <c r="F12054" s="2423"/>
    </row>
    <row r="12055" s="101" customFormat="1" spans="6:6">
      <c r="F12055" s="2423"/>
    </row>
    <row r="12056" s="101" customFormat="1" spans="6:6">
      <c r="F12056" s="2423"/>
    </row>
    <row r="12057" s="101" customFormat="1" spans="6:6">
      <c r="F12057" s="2423"/>
    </row>
    <row r="12058" s="101" customFormat="1" spans="6:6">
      <c r="F12058" s="2423"/>
    </row>
    <row r="12059" s="101" customFormat="1" spans="6:6">
      <c r="F12059" s="2423"/>
    </row>
    <row r="12060" s="101" customFormat="1" spans="6:6">
      <c r="F12060" s="2423"/>
    </row>
    <row r="12061" s="101" customFormat="1" spans="6:6">
      <c r="F12061" s="2423"/>
    </row>
    <row r="12062" s="101" customFormat="1" spans="6:6">
      <c r="F12062" s="2423"/>
    </row>
    <row r="12063" s="101" customFormat="1" spans="6:6">
      <c r="F12063" s="2423"/>
    </row>
    <row r="12064" s="101" customFormat="1" spans="6:6">
      <c r="F12064" s="2423"/>
    </row>
    <row r="12065" s="101" customFormat="1" spans="6:6">
      <c r="F12065" s="2423"/>
    </row>
    <row r="12066" s="101" customFormat="1" spans="6:6">
      <c r="F12066" s="2423"/>
    </row>
    <row r="12067" s="101" customFormat="1" spans="6:6">
      <c r="F12067" s="2423"/>
    </row>
    <row r="12068" s="101" customFormat="1" spans="6:6">
      <c r="F12068" s="2423"/>
    </row>
    <row r="12069" s="101" customFormat="1" spans="6:6">
      <c r="F12069" s="2423"/>
    </row>
    <row r="12070" s="101" customFormat="1" spans="6:6">
      <c r="F12070" s="2423"/>
    </row>
    <row r="12071" s="101" customFormat="1" spans="6:6">
      <c r="F12071" s="2423"/>
    </row>
    <row r="12072" s="101" customFormat="1" spans="6:6">
      <c r="F12072" s="2423"/>
    </row>
    <row r="12073" s="101" customFormat="1" spans="6:6">
      <c r="F12073" s="2423"/>
    </row>
    <row r="12074" s="101" customFormat="1" spans="6:6">
      <c r="F12074" s="2423"/>
    </row>
    <row r="12075" s="101" customFormat="1" spans="6:6">
      <c r="F12075" s="2423"/>
    </row>
    <row r="12076" s="101" customFormat="1" spans="6:6">
      <c r="F12076" s="2423"/>
    </row>
    <row r="12077" s="101" customFormat="1" spans="6:6">
      <c r="F12077" s="2423"/>
    </row>
    <row r="12078" s="101" customFormat="1" spans="6:6">
      <c r="F12078" s="2423"/>
    </row>
    <row r="12079" s="101" customFormat="1" spans="6:6">
      <c r="F12079" s="2423"/>
    </row>
    <row r="12080" s="101" customFormat="1" spans="6:6">
      <c r="F12080" s="2423"/>
    </row>
    <row r="12081" s="101" customFormat="1" spans="6:6">
      <c r="F12081" s="2423"/>
    </row>
    <row r="12082" s="101" customFormat="1" spans="6:6">
      <c r="F12082" s="2423"/>
    </row>
    <row r="12083" s="101" customFormat="1" spans="6:6">
      <c r="F12083" s="2423"/>
    </row>
    <row r="12084" s="101" customFormat="1" spans="6:6">
      <c r="F12084" s="2423"/>
    </row>
    <row r="12085" s="101" customFormat="1" spans="6:6">
      <c r="F12085" s="2423"/>
    </row>
    <row r="12086" s="101" customFormat="1" spans="6:6">
      <c r="F12086" s="2423"/>
    </row>
    <row r="12087" s="101" customFormat="1" spans="6:6">
      <c r="F12087" s="2423"/>
    </row>
    <row r="12088" s="101" customFormat="1" spans="6:6">
      <c r="F12088" s="2423"/>
    </row>
    <row r="12089" s="101" customFormat="1" spans="6:6">
      <c r="F12089" s="2423"/>
    </row>
    <row r="12090" s="101" customFormat="1" spans="6:6">
      <c r="F12090" s="2423"/>
    </row>
    <row r="12091" s="101" customFormat="1" spans="6:6">
      <c r="F12091" s="2423"/>
    </row>
    <row r="12092" s="101" customFormat="1" spans="6:6">
      <c r="F12092" s="2423"/>
    </row>
    <row r="12093" s="101" customFormat="1" spans="6:6">
      <c r="F12093" s="2423"/>
    </row>
    <row r="12094" s="101" customFormat="1" spans="6:6">
      <c r="F12094" s="2423"/>
    </row>
    <row r="12095" s="101" customFormat="1" spans="6:6">
      <c r="F12095" s="2423"/>
    </row>
    <row r="12096" s="101" customFormat="1" spans="6:6">
      <c r="F12096" s="2423"/>
    </row>
    <row r="12097" s="101" customFormat="1" spans="6:6">
      <c r="F12097" s="2423"/>
    </row>
    <row r="12098" s="101" customFormat="1" spans="6:6">
      <c r="F12098" s="2423"/>
    </row>
    <row r="12099" s="101" customFormat="1" spans="6:6">
      <c r="F12099" s="2423"/>
    </row>
    <row r="12100" s="101" customFormat="1" spans="6:6">
      <c r="F12100" s="2423"/>
    </row>
    <row r="12101" s="101" customFormat="1" spans="6:6">
      <c r="F12101" s="2423"/>
    </row>
    <row r="12102" s="101" customFormat="1" spans="6:6">
      <c r="F12102" s="2423"/>
    </row>
    <row r="12103" s="101" customFormat="1" spans="6:6">
      <c r="F12103" s="2423"/>
    </row>
    <row r="12104" s="101" customFormat="1" spans="6:6">
      <c r="F12104" s="2423"/>
    </row>
    <row r="12105" s="101" customFormat="1" spans="6:6">
      <c r="F12105" s="2423"/>
    </row>
    <row r="12106" s="101" customFormat="1" spans="6:6">
      <c r="F12106" s="2423"/>
    </row>
    <row r="12107" s="101" customFormat="1" spans="6:6">
      <c r="F12107" s="2423"/>
    </row>
    <row r="12108" s="101" customFormat="1" spans="6:6">
      <c r="F12108" s="2423"/>
    </row>
    <row r="12109" s="101" customFormat="1" spans="6:6">
      <c r="F12109" s="2423"/>
    </row>
    <row r="12110" s="101" customFormat="1" spans="6:6">
      <c r="F12110" s="2423"/>
    </row>
    <row r="12111" s="101" customFormat="1" spans="6:6">
      <c r="F12111" s="2423"/>
    </row>
    <row r="12112" s="101" customFormat="1" spans="6:6">
      <c r="F12112" s="2423"/>
    </row>
    <row r="12113" s="101" customFormat="1" spans="6:6">
      <c r="F12113" s="2423"/>
    </row>
    <row r="12114" s="101" customFormat="1" spans="6:6">
      <c r="F12114" s="2423"/>
    </row>
    <row r="12115" s="101" customFormat="1" spans="6:6">
      <c r="F12115" s="2423"/>
    </row>
    <row r="12116" s="101" customFormat="1" spans="6:6">
      <c r="F12116" s="2423"/>
    </row>
    <row r="12117" s="101" customFormat="1" spans="6:6">
      <c r="F12117" s="2423"/>
    </row>
    <row r="12118" s="101" customFormat="1" spans="6:6">
      <c r="F12118" s="2423"/>
    </row>
    <row r="12119" s="101" customFormat="1" spans="6:6">
      <c r="F12119" s="2423"/>
    </row>
    <row r="12120" s="101" customFormat="1" spans="6:6">
      <c r="F12120" s="2423"/>
    </row>
    <row r="12121" s="101" customFormat="1" spans="6:6">
      <c r="F12121" s="2423"/>
    </row>
    <row r="12122" s="101" customFormat="1" spans="6:6">
      <c r="F12122" s="2423"/>
    </row>
    <row r="12123" s="101" customFormat="1" spans="6:6">
      <c r="F12123" s="2423"/>
    </row>
    <row r="12124" s="101" customFormat="1" spans="6:6">
      <c r="F12124" s="2423"/>
    </row>
    <row r="12125" s="101" customFormat="1" spans="6:6">
      <c r="F12125" s="2423"/>
    </row>
    <row r="12126" s="101" customFormat="1" spans="6:6">
      <c r="F12126" s="2423"/>
    </row>
    <row r="12127" s="101" customFormat="1" spans="6:6">
      <c r="F12127" s="2423"/>
    </row>
    <row r="12128" s="101" customFormat="1" spans="6:6">
      <c r="F12128" s="2423"/>
    </row>
    <row r="12129" s="101" customFormat="1" spans="6:6">
      <c r="F12129" s="2423"/>
    </row>
    <row r="12130" s="101" customFormat="1" spans="6:6">
      <c r="F12130" s="2423"/>
    </row>
    <row r="12131" s="101" customFormat="1" spans="6:6">
      <c r="F12131" s="2423"/>
    </row>
    <row r="12132" s="101" customFormat="1" spans="6:6">
      <c r="F12132" s="2423"/>
    </row>
    <row r="12133" s="101" customFormat="1" spans="6:6">
      <c r="F12133" s="2423"/>
    </row>
    <row r="12134" s="101" customFormat="1" spans="6:6">
      <c r="F12134" s="2423"/>
    </row>
    <row r="12135" s="101" customFormat="1" spans="6:6">
      <c r="F12135" s="2423"/>
    </row>
    <row r="12136" s="101" customFormat="1" spans="6:6">
      <c r="F12136" s="2423"/>
    </row>
    <row r="12137" s="101" customFormat="1" spans="6:6">
      <c r="F12137" s="2423"/>
    </row>
    <row r="12138" s="101" customFormat="1" spans="6:6">
      <c r="F12138" s="2423"/>
    </row>
    <row r="12139" s="101" customFormat="1" spans="6:6">
      <c r="F12139" s="2423"/>
    </row>
    <row r="12140" s="101" customFormat="1" spans="6:6">
      <c r="F12140" s="2423"/>
    </row>
    <row r="12141" s="101" customFormat="1" spans="6:6">
      <c r="F12141" s="2423"/>
    </row>
    <row r="12142" s="101" customFormat="1" spans="6:6">
      <c r="F12142" s="2423"/>
    </row>
    <row r="12143" s="101" customFormat="1" spans="6:6">
      <c r="F12143" s="2423"/>
    </row>
    <row r="12144" s="101" customFormat="1" spans="6:6">
      <c r="F12144" s="2423"/>
    </row>
    <row r="12145" s="101" customFormat="1" spans="6:6">
      <c r="F12145" s="2423"/>
    </row>
    <row r="12146" s="101" customFormat="1" spans="6:6">
      <c r="F12146" s="2423"/>
    </row>
    <row r="12147" s="101" customFormat="1" spans="6:6">
      <c r="F12147" s="2423"/>
    </row>
    <row r="12148" s="101" customFormat="1" spans="6:6">
      <c r="F12148" s="2423"/>
    </row>
    <row r="12149" s="101" customFormat="1" spans="6:6">
      <c r="F12149" s="2423"/>
    </row>
    <row r="12150" s="101" customFormat="1" spans="6:6">
      <c r="F12150" s="2423"/>
    </row>
    <row r="12151" s="101" customFormat="1" spans="6:6">
      <c r="F12151" s="2423"/>
    </row>
    <row r="12152" s="101" customFormat="1" spans="6:6">
      <c r="F12152" s="2423"/>
    </row>
    <row r="12153" s="101" customFormat="1" spans="6:6">
      <c r="F12153" s="2423"/>
    </row>
    <row r="12154" s="101" customFormat="1" spans="6:6">
      <c r="F12154" s="2423"/>
    </row>
    <row r="12155" s="101" customFormat="1" spans="6:6">
      <c r="F12155" s="2423"/>
    </row>
    <row r="12156" s="101" customFormat="1" spans="6:6">
      <c r="F12156" s="2423"/>
    </row>
    <row r="12157" s="101" customFormat="1" spans="6:6">
      <c r="F12157" s="2423"/>
    </row>
    <row r="12158" s="101" customFormat="1" spans="6:6">
      <c r="F12158" s="2423"/>
    </row>
    <row r="12159" s="101" customFormat="1" spans="6:6">
      <c r="F12159" s="2423"/>
    </row>
    <row r="12160" s="101" customFormat="1" spans="6:6">
      <c r="F12160" s="2423"/>
    </row>
    <row r="12161" s="101" customFormat="1" spans="6:6">
      <c r="F12161" s="2423"/>
    </row>
    <row r="12162" s="101" customFormat="1" spans="6:6">
      <c r="F12162" s="2423"/>
    </row>
    <row r="12163" s="101" customFormat="1" spans="6:6">
      <c r="F12163" s="2423"/>
    </row>
    <row r="12164" s="101" customFormat="1" spans="6:6">
      <c r="F12164" s="2423"/>
    </row>
    <row r="12165" s="101" customFormat="1" spans="6:6">
      <c r="F12165" s="2423"/>
    </row>
    <row r="12166" s="101" customFormat="1" spans="6:6">
      <c r="F12166" s="2423"/>
    </row>
    <row r="12167" s="101" customFormat="1" spans="6:6">
      <c r="F12167" s="2423"/>
    </row>
    <row r="12168" s="101" customFormat="1" spans="6:6">
      <c r="F12168" s="2423"/>
    </row>
    <row r="12169" s="101" customFormat="1" spans="6:6">
      <c r="F12169" s="2423"/>
    </row>
    <row r="12170" s="101" customFormat="1" spans="6:6">
      <c r="F12170" s="2423"/>
    </row>
    <row r="12171" s="101" customFormat="1" spans="6:6">
      <c r="F12171" s="2423"/>
    </row>
    <row r="12172" s="101" customFormat="1" spans="6:6">
      <c r="F12172" s="2423"/>
    </row>
    <row r="12173" s="101" customFormat="1" spans="6:6">
      <c r="F12173" s="2423"/>
    </row>
    <row r="12174" s="101" customFormat="1" spans="6:6">
      <c r="F12174" s="2423"/>
    </row>
    <row r="12175" s="101" customFormat="1" spans="6:6">
      <c r="F12175" s="2423"/>
    </row>
    <row r="12176" s="101" customFormat="1" spans="6:6">
      <c r="F12176" s="2423"/>
    </row>
    <row r="12177" s="101" customFormat="1" spans="6:6">
      <c r="F12177" s="2423"/>
    </row>
    <row r="12178" s="101" customFormat="1" spans="6:6">
      <c r="F12178" s="2423"/>
    </row>
    <row r="12179" s="101" customFormat="1" spans="6:6">
      <c r="F12179" s="2423"/>
    </row>
    <row r="12180" s="101" customFormat="1" spans="6:6">
      <c r="F12180" s="2423"/>
    </row>
    <row r="12181" s="101" customFormat="1" spans="6:6">
      <c r="F12181" s="2423"/>
    </row>
    <row r="12182" s="101" customFormat="1" spans="6:6">
      <c r="F12182" s="2423"/>
    </row>
    <row r="12183" s="101" customFormat="1" spans="6:6">
      <c r="F12183" s="2423"/>
    </row>
    <row r="12184" s="101" customFormat="1" spans="6:6">
      <c r="F12184" s="2423"/>
    </row>
    <row r="12185" s="101" customFormat="1" spans="6:6">
      <c r="F12185" s="2423"/>
    </row>
    <row r="12186" s="101" customFormat="1" spans="6:6">
      <c r="F12186" s="2423"/>
    </row>
    <row r="12187" s="101" customFormat="1" spans="6:6">
      <c r="F12187" s="2423"/>
    </row>
    <row r="12188" s="101" customFormat="1" spans="6:6">
      <c r="F12188" s="2423"/>
    </row>
    <row r="12189" s="101" customFormat="1" spans="6:6">
      <c r="F12189" s="2423"/>
    </row>
    <row r="12190" s="101" customFormat="1" spans="6:6">
      <c r="F12190" s="2423"/>
    </row>
    <row r="12191" s="101" customFormat="1" spans="6:6">
      <c r="F12191" s="2423"/>
    </row>
    <row r="12192" s="101" customFormat="1" spans="6:6">
      <c r="F12192" s="2423"/>
    </row>
    <row r="12193" s="101" customFormat="1" spans="6:6">
      <c r="F12193" s="2423"/>
    </row>
    <row r="12194" s="101" customFormat="1" spans="6:6">
      <c r="F12194" s="2423"/>
    </row>
    <row r="12195" s="101" customFormat="1" spans="6:6">
      <c r="F12195" s="2423"/>
    </row>
    <row r="12196" s="101" customFormat="1" spans="6:6">
      <c r="F12196" s="2423"/>
    </row>
    <row r="12197" s="101" customFormat="1" spans="6:6">
      <c r="F12197" s="2423"/>
    </row>
    <row r="12198" s="101" customFormat="1" spans="6:6">
      <c r="F12198" s="2423"/>
    </row>
    <row r="12199" s="101" customFormat="1" spans="6:6">
      <c r="F12199" s="2423"/>
    </row>
    <row r="12200" s="101" customFormat="1" spans="6:6">
      <c r="F12200" s="2423"/>
    </row>
    <row r="12201" s="101" customFormat="1" spans="6:6">
      <c r="F12201" s="2423"/>
    </row>
    <row r="12202" s="101" customFormat="1" spans="6:6">
      <c r="F12202" s="2423"/>
    </row>
    <row r="12203" s="101" customFormat="1" spans="6:6">
      <c r="F12203" s="2423"/>
    </row>
    <row r="12204" s="101" customFormat="1" spans="6:6">
      <c r="F12204" s="2423"/>
    </row>
    <row r="12205" s="101" customFormat="1" spans="6:6">
      <c r="F12205" s="2423"/>
    </row>
    <row r="12206" s="101" customFormat="1" spans="6:6">
      <c r="F12206" s="2423"/>
    </row>
    <row r="12207" s="101" customFormat="1" spans="6:6">
      <c r="F12207" s="2423"/>
    </row>
    <row r="12208" s="101" customFormat="1" spans="6:6">
      <c r="F12208" s="2423"/>
    </row>
    <row r="12209" s="101" customFormat="1" spans="6:6">
      <c r="F12209" s="2423"/>
    </row>
    <row r="12210" s="101" customFormat="1" spans="6:6">
      <c r="F12210" s="2423"/>
    </row>
    <row r="12211" s="101" customFormat="1" spans="6:6">
      <c r="F12211" s="2423"/>
    </row>
    <row r="12212" s="101" customFormat="1" spans="6:6">
      <c r="F12212" s="2423"/>
    </row>
    <row r="12213" s="101" customFormat="1" spans="6:6">
      <c r="F12213" s="2423"/>
    </row>
    <row r="12214" s="101" customFormat="1" spans="6:6">
      <c r="F12214" s="2423"/>
    </row>
    <row r="12215" s="101" customFormat="1" spans="6:6">
      <c r="F12215" s="2423"/>
    </row>
    <row r="12216" s="101" customFormat="1" spans="6:6">
      <c r="F12216" s="2423"/>
    </row>
    <row r="12217" s="101" customFormat="1" spans="6:6">
      <c r="F12217" s="2423"/>
    </row>
    <row r="12218" s="101" customFormat="1" spans="6:6">
      <c r="F12218" s="2423"/>
    </row>
    <row r="12219" s="101" customFormat="1" spans="6:6">
      <c r="F12219" s="2423"/>
    </row>
    <row r="12220" s="101" customFormat="1" spans="6:6">
      <c r="F12220" s="2423"/>
    </row>
    <row r="12221" s="101" customFormat="1" spans="6:6">
      <c r="F12221" s="2423"/>
    </row>
    <row r="12222" s="101" customFormat="1" spans="6:6">
      <c r="F12222" s="2423"/>
    </row>
    <row r="12223" s="101" customFormat="1" spans="6:6">
      <c r="F12223" s="2423"/>
    </row>
    <row r="12224" s="101" customFormat="1" spans="6:6">
      <c r="F12224" s="2423"/>
    </row>
    <row r="12225" s="101" customFormat="1" spans="6:6">
      <c r="F12225" s="2423"/>
    </row>
    <row r="12226" s="101" customFormat="1" spans="6:6">
      <c r="F12226" s="2423"/>
    </row>
    <row r="12227" s="101" customFormat="1" spans="6:6">
      <c r="F12227" s="2423"/>
    </row>
    <row r="12228" s="101" customFormat="1" spans="6:6">
      <c r="F12228" s="2423"/>
    </row>
    <row r="12229" s="101" customFormat="1" spans="6:6">
      <c r="F12229" s="2423"/>
    </row>
    <row r="12230" s="101" customFormat="1" spans="6:6">
      <c r="F12230" s="2423"/>
    </row>
    <row r="12231" s="101" customFormat="1" spans="6:6">
      <c r="F12231" s="2423"/>
    </row>
    <row r="12232" s="101" customFormat="1" spans="6:6">
      <c r="F12232" s="2423"/>
    </row>
    <row r="12233" s="101" customFormat="1" spans="6:6">
      <c r="F12233" s="2423"/>
    </row>
    <row r="12234" s="101" customFormat="1" spans="6:6">
      <c r="F12234" s="2423"/>
    </row>
    <row r="12235" s="101" customFormat="1" spans="6:6">
      <c r="F12235" s="2423"/>
    </row>
    <row r="12236" s="101" customFormat="1" spans="6:6">
      <c r="F12236" s="2423"/>
    </row>
    <row r="12237" s="101" customFormat="1" spans="6:6">
      <c r="F12237" s="2423"/>
    </row>
    <row r="12238" s="101" customFormat="1" spans="6:6">
      <c r="F12238" s="2423"/>
    </row>
    <row r="12239" s="101" customFormat="1" spans="6:6">
      <c r="F12239" s="2423"/>
    </row>
    <row r="12240" s="101" customFormat="1" spans="6:6">
      <c r="F12240" s="2423"/>
    </row>
    <row r="12241" s="101" customFormat="1" spans="6:6">
      <c r="F12241" s="2423"/>
    </row>
    <row r="12242" s="101" customFormat="1" spans="6:6">
      <c r="F12242" s="2423"/>
    </row>
    <row r="12243" s="101" customFormat="1" spans="6:6">
      <c r="F12243" s="2423"/>
    </row>
    <row r="12244" s="101" customFormat="1" spans="6:6">
      <c r="F12244" s="2423"/>
    </row>
    <row r="12245" s="101" customFormat="1" spans="6:6">
      <c r="F12245" s="2423"/>
    </row>
    <row r="12246" s="101" customFormat="1" spans="6:6">
      <c r="F12246" s="2423"/>
    </row>
    <row r="12247" s="101" customFormat="1" spans="6:6">
      <c r="F12247" s="2423"/>
    </row>
    <row r="12248" s="101" customFormat="1" spans="6:6">
      <c r="F12248" s="2423"/>
    </row>
    <row r="12249" s="101" customFormat="1" spans="6:6">
      <c r="F12249" s="2423"/>
    </row>
    <row r="12250" s="101" customFormat="1" spans="6:6">
      <c r="F12250" s="2423"/>
    </row>
    <row r="12251" s="101" customFormat="1" spans="6:6">
      <c r="F12251" s="2423"/>
    </row>
    <row r="12252" s="101" customFormat="1" spans="6:6">
      <c r="F12252" s="2423"/>
    </row>
    <row r="12253" s="101" customFormat="1" spans="6:6">
      <c r="F12253" s="2423"/>
    </row>
    <row r="12254" s="101" customFormat="1" spans="6:6">
      <c r="F12254" s="2423"/>
    </row>
    <row r="12255" s="101" customFormat="1" spans="6:6">
      <c r="F12255" s="2423"/>
    </row>
    <row r="12256" s="101" customFormat="1" spans="6:6">
      <c r="F12256" s="2423"/>
    </row>
    <row r="12257" s="101" customFormat="1" spans="6:6">
      <c r="F12257" s="2423"/>
    </row>
    <row r="12258" s="101" customFormat="1" spans="6:6">
      <c r="F12258" s="2423"/>
    </row>
    <row r="12259" s="101" customFormat="1" spans="6:6">
      <c r="F12259" s="2423"/>
    </row>
    <row r="12260" s="101" customFormat="1" spans="6:6">
      <c r="F12260" s="2423"/>
    </row>
    <row r="12261" s="101" customFormat="1" spans="6:6">
      <c r="F12261" s="2423"/>
    </row>
    <row r="12262" s="101" customFormat="1" spans="6:6">
      <c r="F12262" s="2423"/>
    </row>
    <row r="12263" s="101" customFormat="1" spans="6:6">
      <c r="F12263" s="2423"/>
    </row>
    <row r="12264" s="101" customFormat="1" spans="6:6">
      <c r="F12264" s="2423"/>
    </row>
    <row r="12265" s="101" customFormat="1" spans="6:6">
      <c r="F12265" s="2423"/>
    </row>
    <row r="12266" s="101" customFormat="1" spans="6:6">
      <c r="F12266" s="2423"/>
    </row>
    <row r="12267" s="101" customFormat="1" spans="6:6">
      <c r="F12267" s="2423"/>
    </row>
    <row r="12268" s="101" customFormat="1" spans="6:6">
      <c r="F12268" s="2423"/>
    </row>
    <row r="12269" s="101" customFormat="1" spans="6:6">
      <c r="F12269" s="2423"/>
    </row>
    <row r="12270" s="101" customFormat="1" spans="6:6">
      <c r="F12270" s="2423"/>
    </row>
    <row r="12271" s="101" customFormat="1" spans="6:6">
      <c r="F12271" s="2423"/>
    </row>
    <row r="12272" s="101" customFormat="1" spans="6:6">
      <c r="F12272" s="2423"/>
    </row>
    <row r="12273" s="101" customFormat="1" spans="6:6">
      <c r="F12273" s="2423"/>
    </row>
    <row r="12274" s="101" customFormat="1" spans="6:6">
      <c r="F12274" s="2423"/>
    </row>
    <row r="12275" s="101" customFormat="1" spans="6:6">
      <c r="F12275" s="2423"/>
    </row>
    <row r="12276" s="101" customFormat="1" spans="6:6">
      <c r="F12276" s="2423"/>
    </row>
    <row r="12277" s="101" customFormat="1" spans="6:6">
      <c r="F12277" s="2423"/>
    </row>
    <row r="12278" s="101" customFormat="1" spans="6:6">
      <c r="F12278" s="2423"/>
    </row>
    <row r="12279" s="101" customFormat="1" spans="6:6">
      <c r="F12279" s="2423"/>
    </row>
    <row r="12280" s="101" customFormat="1" spans="6:6">
      <c r="F12280" s="2423"/>
    </row>
    <row r="12281" s="101" customFormat="1" spans="6:6">
      <c r="F12281" s="2423"/>
    </row>
    <row r="12282" s="101" customFormat="1" spans="6:6">
      <c r="F12282" s="2423"/>
    </row>
    <row r="12283" s="101" customFormat="1" spans="6:6">
      <c r="F12283" s="2423"/>
    </row>
    <row r="12284" s="101" customFormat="1" spans="6:6">
      <c r="F12284" s="2423"/>
    </row>
    <row r="12285" s="101" customFormat="1" spans="6:6">
      <c r="F12285" s="2423"/>
    </row>
    <row r="12286" s="101" customFormat="1" spans="6:6">
      <c r="F12286" s="2423"/>
    </row>
    <row r="12287" s="101" customFormat="1" spans="6:6">
      <c r="F12287" s="2423"/>
    </row>
    <row r="12288" s="101" customFormat="1" spans="6:6">
      <c r="F12288" s="2423"/>
    </row>
    <row r="12289" s="101" customFormat="1" spans="6:6">
      <c r="F12289" s="2423"/>
    </row>
    <row r="12290" s="101" customFormat="1" spans="6:6">
      <c r="F12290" s="2423"/>
    </row>
    <row r="12291" s="101" customFormat="1" spans="6:6">
      <c r="F12291" s="2423"/>
    </row>
    <row r="12292" s="101" customFormat="1" spans="6:6">
      <c r="F12292" s="2423"/>
    </row>
    <row r="12293" s="101" customFormat="1" spans="6:6">
      <c r="F12293" s="2423"/>
    </row>
    <row r="12294" s="101" customFormat="1" spans="6:6">
      <c r="F12294" s="2423"/>
    </row>
    <row r="12295" s="101" customFormat="1" spans="6:6">
      <c r="F12295" s="2423"/>
    </row>
    <row r="12296" s="101" customFormat="1" spans="6:6">
      <c r="F12296" s="2423"/>
    </row>
    <row r="12297" s="101" customFormat="1" spans="6:6">
      <c r="F12297" s="2423"/>
    </row>
    <row r="12298" s="101" customFormat="1" spans="6:6">
      <c r="F12298" s="2423"/>
    </row>
    <row r="12299" s="101" customFormat="1" spans="6:6">
      <c r="F12299" s="2423"/>
    </row>
    <row r="12300" s="101" customFormat="1" spans="6:6">
      <c r="F12300" s="2423"/>
    </row>
    <row r="12301" s="101" customFormat="1" spans="6:6">
      <c r="F12301" s="2423"/>
    </row>
    <row r="12302" s="101" customFormat="1" spans="6:6">
      <c r="F12302" s="2423"/>
    </row>
    <row r="12303" s="101" customFormat="1" spans="6:6">
      <c r="F12303" s="2423"/>
    </row>
    <row r="12304" s="101" customFormat="1" spans="6:6">
      <c r="F12304" s="2423"/>
    </row>
    <row r="12305" s="101" customFormat="1" spans="6:6">
      <c r="F12305" s="2423"/>
    </row>
    <row r="12306" s="101" customFormat="1" spans="6:6">
      <c r="F12306" s="2423"/>
    </row>
    <row r="12307" s="101" customFormat="1" spans="6:6">
      <c r="F12307" s="2423"/>
    </row>
    <row r="12308" s="101" customFormat="1" spans="6:6">
      <c r="F12308" s="2423"/>
    </row>
    <row r="12309" s="101" customFormat="1" spans="6:6">
      <c r="F12309" s="2423"/>
    </row>
    <row r="12310" s="101" customFormat="1" spans="6:6">
      <c r="F12310" s="2423"/>
    </row>
    <row r="12311" s="101" customFormat="1" spans="6:6">
      <c r="F12311" s="2423"/>
    </row>
    <row r="12312" s="101" customFormat="1" spans="6:6">
      <c r="F12312" s="2423"/>
    </row>
    <row r="12313" s="101" customFormat="1" spans="6:6">
      <c r="F12313" s="2423"/>
    </row>
    <row r="12314" s="101" customFormat="1" spans="6:6">
      <c r="F12314" s="2423"/>
    </row>
    <row r="12315" s="101" customFormat="1" spans="6:6">
      <c r="F12315" s="2423"/>
    </row>
    <row r="12316" s="101" customFormat="1" spans="6:6">
      <c r="F12316" s="2423"/>
    </row>
    <row r="12317" s="101" customFormat="1" spans="6:6">
      <c r="F12317" s="2423"/>
    </row>
    <row r="12318" s="101" customFormat="1" spans="6:6">
      <c r="F12318" s="2423"/>
    </row>
    <row r="12319" s="101" customFormat="1" spans="6:6">
      <c r="F12319" s="2423"/>
    </row>
    <row r="12320" s="101" customFormat="1" spans="6:6">
      <c r="F12320" s="2423"/>
    </row>
    <row r="12321" s="101" customFormat="1" spans="6:6">
      <c r="F12321" s="2423"/>
    </row>
    <row r="12322" s="101" customFormat="1" spans="6:6">
      <c r="F12322" s="2423"/>
    </row>
    <row r="12323" s="101" customFormat="1" spans="6:6">
      <c r="F12323" s="2423"/>
    </row>
    <row r="12324" s="101" customFormat="1" spans="6:6">
      <c r="F12324" s="2423"/>
    </row>
    <row r="12325" s="101" customFormat="1" spans="6:6">
      <c r="F12325" s="2423"/>
    </row>
    <row r="12326" s="101" customFormat="1" spans="6:6">
      <c r="F12326" s="2423"/>
    </row>
    <row r="12327" s="101" customFormat="1" spans="6:6">
      <c r="F12327" s="2423"/>
    </row>
    <row r="12328" s="101" customFormat="1" spans="6:6">
      <c r="F12328" s="2423"/>
    </row>
    <row r="12329" s="101" customFormat="1" spans="6:6">
      <c r="F12329" s="2423"/>
    </row>
    <row r="12330" s="101" customFormat="1" spans="6:6">
      <c r="F12330" s="2423"/>
    </row>
    <row r="12331" s="101" customFormat="1" spans="6:6">
      <c r="F12331" s="2423"/>
    </row>
    <row r="12332" s="101" customFormat="1" spans="6:6">
      <c r="F12332" s="2423"/>
    </row>
    <row r="12333" s="101" customFormat="1" spans="6:6">
      <c r="F12333" s="2423"/>
    </row>
    <row r="12334" s="101" customFormat="1" spans="6:6">
      <c r="F12334" s="2423"/>
    </row>
    <row r="12335" s="101" customFormat="1" spans="6:6">
      <c r="F12335" s="2423"/>
    </row>
    <row r="12336" s="101" customFormat="1" spans="6:6">
      <c r="F12336" s="2423"/>
    </row>
    <row r="12337" s="101" customFormat="1" spans="6:6">
      <c r="F12337" s="2423"/>
    </row>
    <row r="12338" s="101" customFormat="1" spans="6:6">
      <c r="F12338" s="2423"/>
    </row>
    <row r="12339" s="101" customFormat="1" spans="6:6">
      <c r="F12339" s="2423"/>
    </row>
    <row r="12340" s="101" customFormat="1" spans="6:6">
      <c r="F12340" s="2423"/>
    </row>
    <row r="12341" s="101" customFormat="1" spans="6:6">
      <c r="F12341" s="2423"/>
    </row>
    <row r="12342" s="101" customFormat="1" spans="6:6">
      <c r="F12342" s="2423"/>
    </row>
    <row r="12343" s="101" customFormat="1" spans="6:6">
      <c r="F12343" s="2423"/>
    </row>
    <row r="12344" s="101" customFormat="1" spans="6:6">
      <c r="F12344" s="2423"/>
    </row>
    <row r="12345" s="101" customFormat="1" spans="6:6">
      <c r="F12345" s="2423"/>
    </row>
    <row r="12346" s="101" customFormat="1" spans="6:6">
      <c r="F12346" s="2423"/>
    </row>
    <row r="12347" s="101" customFormat="1" spans="6:6">
      <c r="F12347" s="2423"/>
    </row>
    <row r="12348" s="101" customFormat="1" spans="6:6">
      <c r="F12348" s="2423"/>
    </row>
    <row r="12349" s="101" customFormat="1" spans="6:6">
      <c r="F12349" s="2423"/>
    </row>
    <row r="12350" s="101" customFormat="1" spans="6:6">
      <c r="F12350" s="2423"/>
    </row>
    <row r="12351" s="101" customFormat="1" spans="6:6">
      <c r="F12351" s="2423"/>
    </row>
    <row r="12352" s="101" customFormat="1" spans="6:6">
      <c r="F12352" s="2423"/>
    </row>
    <row r="12353" s="101" customFormat="1" spans="6:6">
      <c r="F12353" s="2423"/>
    </row>
    <row r="12354" s="101" customFormat="1" spans="6:6">
      <c r="F12354" s="2423"/>
    </row>
    <row r="12355" s="101" customFormat="1" spans="6:6">
      <c r="F12355" s="2423"/>
    </row>
    <row r="12356" s="101" customFormat="1" spans="6:6">
      <c r="F12356" s="2423"/>
    </row>
    <row r="12357" s="101" customFormat="1" spans="6:6">
      <c r="F12357" s="2423"/>
    </row>
    <row r="12358" s="101" customFormat="1" spans="6:6">
      <c r="F12358" s="2423"/>
    </row>
    <row r="12359" s="101" customFormat="1" spans="6:6">
      <c r="F12359" s="2423"/>
    </row>
    <row r="12360" s="101" customFormat="1" spans="6:6">
      <c r="F12360" s="2423"/>
    </row>
    <row r="12361" s="101" customFormat="1" spans="6:6">
      <c r="F12361" s="2423"/>
    </row>
    <row r="12362" s="101" customFormat="1" spans="6:6">
      <c r="F12362" s="2423"/>
    </row>
    <row r="12363" s="101" customFormat="1" spans="6:6">
      <c r="F12363" s="2423"/>
    </row>
    <row r="12364" s="101" customFormat="1" spans="6:6">
      <c r="F12364" s="2423"/>
    </row>
    <row r="12365" s="101" customFormat="1" spans="6:6">
      <c r="F12365" s="2423"/>
    </row>
    <row r="12366" s="101" customFormat="1" spans="6:6">
      <c r="F12366" s="2423"/>
    </row>
    <row r="12367" s="101" customFormat="1" spans="6:6">
      <c r="F12367" s="2423"/>
    </row>
    <row r="12368" s="101" customFormat="1" spans="6:6">
      <c r="F12368" s="2423"/>
    </row>
    <row r="12369" s="101" customFormat="1" spans="6:6">
      <c r="F12369" s="2423"/>
    </row>
    <row r="12370" s="101" customFormat="1" spans="6:6">
      <c r="F12370" s="2423"/>
    </row>
    <row r="12371" s="101" customFormat="1" spans="6:6">
      <c r="F12371" s="2423"/>
    </row>
    <row r="12372" s="101" customFormat="1" spans="6:6">
      <c r="F12372" s="2423"/>
    </row>
    <row r="12373" s="101" customFormat="1" spans="6:6">
      <c r="F12373" s="2423"/>
    </row>
    <row r="12374" s="101" customFormat="1" spans="6:6">
      <c r="F12374" s="2423"/>
    </row>
    <row r="12375" s="101" customFormat="1" spans="6:6">
      <c r="F12375" s="2423"/>
    </row>
    <row r="12376" s="101" customFormat="1" spans="6:6">
      <c r="F12376" s="2423"/>
    </row>
    <row r="12377" s="101" customFormat="1" spans="6:6">
      <c r="F12377" s="2423"/>
    </row>
    <row r="12378" s="101" customFormat="1" spans="6:6">
      <c r="F12378" s="2423"/>
    </row>
    <row r="12379" s="101" customFormat="1" spans="6:6">
      <c r="F12379" s="2423"/>
    </row>
    <row r="12380" s="101" customFormat="1" spans="6:6">
      <c r="F12380" s="2423"/>
    </row>
    <row r="12381" s="101" customFormat="1" spans="6:6">
      <c r="F12381" s="2423"/>
    </row>
    <row r="12382" s="101" customFormat="1" spans="6:6">
      <c r="F12382" s="2423"/>
    </row>
    <row r="12383" s="101" customFormat="1" spans="6:6">
      <c r="F12383" s="2423"/>
    </row>
    <row r="12384" s="101" customFormat="1" spans="6:6">
      <c r="F12384" s="2423"/>
    </row>
    <row r="12385" s="101" customFormat="1" spans="6:6">
      <c r="F12385" s="2423"/>
    </row>
    <row r="12386" s="101" customFormat="1" spans="6:6">
      <c r="F12386" s="2423"/>
    </row>
    <row r="12387" s="101" customFormat="1" spans="6:6">
      <c r="F12387" s="2423"/>
    </row>
    <row r="12388" s="101" customFormat="1" spans="6:6">
      <c r="F12388" s="2423"/>
    </row>
    <row r="12389" s="101" customFormat="1" spans="6:6">
      <c r="F12389" s="2423"/>
    </row>
    <row r="12390" s="101" customFormat="1" spans="6:6">
      <c r="F12390" s="2423"/>
    </row>
    <row r="12391" s="101" customFormat="1" spans="6:6">
      <c r="F12391" s="2423"/>
    </row>
    <row r="12392" s="101" customFormat="1" spans="6:6">
      <c r="F12392" s="2423"/>
    </row>
    <row r="12393" s="101" customFormat="1" spans="6:6">
      <c r="F12393" s="2423"/>
    </row>
    <row r="12394" s="101" customFormat="1" spans="6:6">
      <c r="F12394" s="2423"/>
    </row>
    <row r="12395" s="101" customFormat="1" spans="6:6">
      <c r="F12395" s="2423"/>
    </row>
    <row r="12396" s="101" customFormat="1" spans="6:6">
      <c r="F12396" s="2423"/>
    </row>
    <row r="12397" s="101" customFormat="1" spans="6:6">
      <c r="F12397" s="2423"/>
    </row>
    <row r="12398" s="101" customFormat="1" spans="6:6">
      <c r="F12398" s="2423"/>
    </row>
    <row r="12399" s="101" customFormat="1" spans="6:6">
      <c r="F12399" s="2423"/>
    </row>
    <row r="12400" s="101" customFormat="1" spans="6:6">
      <c r="F12400" s="2423"/>
    </row>
    <row r="12401" s="101" customFormat="1" spans="6:6">
      <c r="F12401" s="2423"/>
    </row>
    <row r="12402" s="101" customFormat="1" spans="6:6">
      <c r="F12402" s="2423"/>
    </row>
    <row r="12403" s="101" customFormat="1" spans="6:6">
      <c r="F12403" s="2423"/>
    </row>
    <row r="12404" s="101" customFormat="1" spans="6:6">
      <c r="F12404" s="2423"/>
    </row>
    <row r="12405" s="101" customFormat="1" spans="6:6">
      <c r="F12405" s="2423"/>
    </row>
    <row r="12406" s="101" customFormat="1" spans="6:6">
      <c r="F12406" s="2423"/>
    </row>
    <row r="12407" s="101" customFormat="1" spans="6:6">
      <c r="F12407" s="2423"/>
    </row>
    <row r="12408" s="101" customFormat="1" spans="6:6">
      <c r="F12408" s="2423"/>
    </row>
    <row r="12409" s="101" customFormat="1" spans="6:6">
      <c r="F12409" s="2423"/>
    </row>
    <row r="12410" s="101" customFormat="1" spans="6:6">
      <c r="F12410" s="2423"/>
    </row>
    <row r="12411" s="101" customFormat="1" spans="6:6">
      <c r="F12411" s="2423"/>
    </row>
    <row r="12412" s="101" customFormat="1" spans="6:6">
      <c r="F12412" s="2423"/>
    </row>
    <row r="12413" s="101" customFormat="1" spans="6:6">
      <c r="F12413" s="2423"/>
    </row>
    <row r="12414" s="101" customFormat="1" spans="6:6">
      <c r="F12414" s="2423"/>
    </row>
    <row r="12415" s="101" customFormat="1" spans="6:6">
      <c r="F12415" s="2423"/>
    </row>
    <row r="12416" s="101" customFormat="1" spans="6:6">
      <c r="F12416" s="2423"/>
    </row>
    <row r="12417" s="101" customFormat="1" spans="6:6">
      <c r="F12417" s="2423"/>
    </row>
    <row r="12418" s="101" customFormat="1" spans="6:6">
      <c r="F12418" s="2423"/>
    </row>
    <row r="12419" s="101" customFormat="1" spans="6:6">
      <c r="F12419" s="2423"/>
    </row>
    <row r="12420" s="101" customFormat="1" spans="6:6">
      <c r="F12420" s="2423"/>
    </row>
    <row r="12421" s="101" customFormat="1" spans="6:6">
      <c r="F12421" s="2423"/>
    </row>
    <row r="12422" s="101" customFormat="1" spans="6:6">
      <c r="F12422" s="2423"/>
    </row>
    <row r="12423" s="101" customFormat="1" spans="6:6">
      <c r="F12423" s="2423"/>
    </row>
    <row r="12424" s="101" customFormat="1" spans="6:6">
      <c r="F12424" s="2423"/>
    </row>
    <row r="12425" s="101" customFormat="1" spans="6:6">
      <c r="F12425" s="2423"/>
    </row>
    <row r="12426" s="101" customFormat="1" spans="6:6">
      <c r="F12426" s="2423"/>
    </row>
    <row r="12427" s="101" customFormat="1" spans="6:6">
      <c r="F12427" s="2423"/>
    </row>
    <row r="12428" s="101" customFormat="1" spans="6:6">
      <c r="F12428" s="2423"/>
    </row>
    <row r="12429" s="101" customFormat="1" spans="6:6">
      <c r="F12429" s="2423"/>
    </row>
    <row r="12430" s="101" customFormat="1" spans="6:6">
      <c r="F12430" s="2423"/>
    </row>
    <row r="12431" s="101" customFormat="1" spans="6:6">
      <c r="F12431" s="2423"/>
    </row>
    <row r="12432" s="101" customFormat="1" spans="6:6">
      <c r="F12432" s="2423"/>
    </row>
    <row r="12433" s="101" customFormat="1" spans="6:6">
      <c r="F12433" s="2423"/>
    </row>
    <row r="12434" s="101" customFormat="1" spans="6:6">
      <c r="F12434" s="2423"/>
    </row>
    <row r="12435" s="101" customFormat="1" spans="6:6">
      <c r="F12435" s="2423"/>
    </row>
    <row r="12436" s="101" customFormat="1" spans="6:6">
      <c r="F12436" s="2423"/>
    </row>
    <row r="12437" s="101" customFormat="1" spans="6:6">
      <c r="F12437" s="2423"/>
    </row>
    <row r="12438" s="101" customFormat="1" spans="6:6">
      <c r="F12438" s="2423"/>
    </row>
    <row r="12439" s="101" customFormat="1" spans="6:6">
      <c r="F12439" s="2423"/>
    </row>
    <row r="12440" s="101" customFormat="1" spans="6:6">
      <c r="F12440" s="2423"/>
    </row>
    <row r="12441" s="101" customFormat="1" spans="6:6">
      <c r="F12441" s="2423"/>
    </row>
    <row r="12442" s="101" customFormat="1" spans="6:6">
      <c r="F12442" s="2423"/>
    </row>
    <row r="12443" s="101" customFormat="1" spans="6:6">
      <c r="F12443" s="2423"/>
    </row>
    <row r="12444" s="101" customFormat="1" spans="6:6">
      <c r="F12444" s="2423"/>
    </row>
    <row r="12445" s="101" customFormat="1" spans="6:6">
      <c r="F12445" s="2423"/>
    </row>
    <row r="12446" s="101" customFormat="1" spans="6:6">
      <c r="F12446" s="2423"/>
    </row>
    <row r="12447" s="101" customFormat="1" spans="6:6">
      <c r="F12447" s="2423"/>
    </row>
    <row r="12448" s="101" customFormat="1" spans="6:6">
      <c r="F12448" s="2423"/>
    </row>
    <row r="12449" s="101" customFormat="1" spans="6:6">
      <c r="F12449" s="2423"/>
    </row>
    <row r="12450" s="101" customFormat="1" spans="6:6">
      <c r="F12450" s="2423"/>
    </row>
    <row r="12451" s="101" customFormat="1" spans="6:6">
      <c r="F12451" s="2423"/>
    </row>
    <row r="12452" s="101" customFormat="1" spans="6:6">
      <c r="F12452" s="2423"/>
    </row>
    <row r="12453" s="101" customFormat="1" spans="6:6">
      <c r="F12453" s="2423"/>
    </row>
    <row r="12454" s="101" customFormat="1" spans="6:6">
      <c r="F12454" s="2423"/>
    </row>
    <row r="12455" s="101" customFormat="1" spans="6:6">
      <c r="F12455" s="2423"/>
    </row>
    <row r="12456" s="101" customFormat="1" spans="6:6">
      <c r="F12456" s="2423"/>
    </row>
    <row r="12457" s="101" customFormat="1" spans="6:6">
      <c r="F12457" s="2423"/>
    </row>
    <row r="12458" s="101" customFormat="1" spans="6:6">
      <c r="F12458" s="2423"/>
    </row>
    <row r="12459" s="101" customFormat="1" spans="6:6">
      <c r="F12459" s="2423"/>
    </row>
    <row r="12460" s="101" customFormat="1" spans="6:6">
      <c r="F12460" s="2423"/>
    </row>
    <row r="12461" s="101" customFormat="1" spans="6:6">
      <c r="F12461" s="2423"/>
    </row>
    <row r="12462" s="101" customFormat="1" spans="6:6">
      <c r="F12462" s="2423"/>
    </row>
    <row r="12463" s="101" customFormat="1" spans="6:6">
      <c r="F12463" s="2423"/>
    </row>
    <row r="12464" s="101" customFormat="1" spans="6:6">
      <c r="F12464" s="2423"/>
    </row>
    <row r="12465" s="101" customFormat="1" spans="6:6">
      <c r="F12465" s="2423"/>
    </row>
    <row r="12466" s="101" customFormat="1" spans="6:6">
      <c r="F12466" s="2423"/>
    </row>
    <row r="12467" s="101" customFormat="1" spans="6:6">
      <c r="F12467" s="2423"/>
    </row>
    <row r="12468" s="101" customFormat="1" spans="6:6">
      <c r="F12468" s="2423"/>
    </row>
    <row r="12469" s="101" customFormat="1" spans="6:6">
      <c r="F12469" s="2423"/>
    </row>
    <row r="12470" s="101" customFormat="1" spans="6:6">
      <c r="F12470" s="2423"/>
    </row>
    <row r="12471" s="101" customFormat="1" spans="6:6">
      <c r="F12471" s="2423"/>
    </row>
    <row r="12472" s="101" customFormat="1" spans="6:6">
      <c r="F12472" s="2423"/>
    </row>
    <row r="12473" s="101" customFormat="1" spans="6:6">
      <c r="F12473" s="2423"/>
    </row>
    <row r="12474" s="101" customFormat="1" spans="6:6">
      <c r="F12474" s="2423"/>
    </row>
    <row r="12475" s="101" customFormat="1" spans="6:6">
      <c r="F12475" s="2423"/>
    </row>
    <row r="12476" s="101" customFormat="1" spans="6:6">
      <c r="F12476" s="2423"/>
    </row>
    <row r="12477" s="101" customFormat="1" spans="6:6">
      <c r="F12477" s="2423"/>
    </row>
    <row r="12478" s="101" customFormat="1" spans="6:6">
      <c r="F12478" s="2423"/>
    </row>
    <row r="12479" s="101" customFormat="1" spans="6:6">
      <c r="F12479" s="2423"/>
    </row>
    <row r="12480" s="101" customFormat="1" spans="6:6">
      <c r="F12480" s="2423"/>
    </row>
    <row r="12481" s="101" customFormat="1" spans="6:6">
      <c r="F12481" s="2423"/>
    </row>
    <row r="12482" s="101" customFormat="1" spans="6:6">
      <c r="F12482" s="2423"/>
    </row>
    <row r="12483" s="101" customFormat="1" spans="6:6">
      <c r="F12483" s="2423"/>
    </row>
    <row r="12484" s="101" customFormat="1" spans="6:6">
      <c r="F12484" s="2423"/>
    </row>
    <row r="12485" s="101" customFormat="1" spans="6:6">
      <c r="F12485" s="2423"/>
    </row>
    <row r="12486" s="101" customFormat="1" spans="6:6">
      <c r="F12486" s="2423"/>
    </row>
    <row r="12487" s="101" customFormat="1" spans="6:6">
      <c r="F12487" s="2423"/>
    </row>
    <row r="12488" s="101" customFormat="1" spans="6:6">
      <c r="F12488" s="2423"/>
    </row>
    <row r="12489" s="101" customFormat="1" spans="6:6">
      <c r="F12489" s="2423"/>
    </row>
    <row r="12490" s="101" customFormat="1" spans="6:6">
      <c r="F12490" s="2423"/>
    </row>
    <row r="12491" s="101" customFormat="1" spans="6:6">
      <c r="F12491" s="2423"/>
    </row>
    <row r="12492" s="101" customFormat="1" spans="6:6">
      <c r="F12492" s="2423"/>
    </row>
    <row r="12493" s="101" customFormat="1" spans="6:6">
      <c r="F12493" s="2423"/>
    </row>
    <row r="12494" s="101" customFormat="1" spans="6:6">
      <c r="F12494" s="2423"/>
    </row>
    <row r="12495" s="101" customFormat="1" spans="6:6">
      <c r="F12495" s="2423"/>
    </row>
    <row r="12496" s="101" customFormat="1" spans="6:6">
      <c r="F12496" s="2423"/>
    </row>
    <row r="12497" s="101" customFormat="1" spans="6:6">
      <c r="F12497" s="2423"/>
    </row>
    <row r="12498" s="101" customFormat="1" spans="6:6">
      <c r="F12498" s="2423"/>
    </row>
    <row r="12499" s="101" customFormat="1" spans="6:6">
      <c r="F12499" s="2423"/>
    </row>
    <row r="12500" s="101" customFormat="1" spans="6:6">
      <c r="F12500" s="2423"/>
    </row>
    <row r="12501" s="101" customFormat="1" spans="6:6">
      <c r="F12501" s="2423"/>
    </row>
    <row r="12502" s="101" customFormat="1" spans="6:6">
      <c r="F12502" s="2423"/>
    </row>
    <row r="12503" s="101" customFormat="1" spans="6:6">
      <c r="F12503" s="2423"/>
    </row>
    <row r="12504" s="101" customFormat="1" spans="6:6">
      <c r="F12504" s="2423"/>
    </row>
    <row r="12505" s="101" customFormat="1" spans="6:6">
      <c r="F12505" s="2423"/>
    </row>
    <row r="12506" s="101" customFormat="1" spans="6:6">
      <c r="F12506" s="2423"/>
    </row>
    <row r="12507" s="101" customFormat="1" spans="6:6">
      <c r="F12507" s="2423"/>
    </row>
    <row r="12508" s="101" customFormat="1" spans="6:6">
      <c r="F12508" s="2423"/>
    </row>
    <row r="12509" s="101" customFormat="1" spans="6:6">
      <c r="F12509" s="2423"/>
    </row>
    <row r="12510" s="101" customFormat="1" spans="6:6">
      <c r="F12510" s="2423"/>
    </row>
    <row r="12511" s="101" customFormat="1" spans="6:6">
      <c r="F12511" s="2423"/>
    </row>
    <row r="12512" s="101" customFormat="1" spans="6:6">
      <c r="F12512" s="2423"/>
    </row>
    <row r="12513" s="101" customFormat="1" spans="6:6">
      <c r="F12513" s="2423"/>
    </row>
    <row r="12514" s="101" customFormat="1" spans="6:6">
      <c r="F12514" s="2423"/>
    </row>
    <row r="12515" s="101" customFormat="1" spans="6:6">
      <c r="F12515" s="2423"/>
    </row>
    <row r="12516" s="101" customFormat="1" spans="6:6">
      <c r="F12516" s="2423"/>
    </row>
    <row r="12517" s="101" customFormat="1" spans="6:6">
      <c r="F12517" s="2423"/>
    </row>
    <row r="12518" s="101" customFormat="1" spans="6:6">
      <c r="F12518" s="2423"/>
    </row>
    <row r="12519" s="101" customFormat="1" spans="6:6">
      <c r="F12519" s="2423"/>
    </row>
    <row r="12520" s="101" customFormat="1" spans="6:6">
      <c r="F12520" s="2423"/>
    </row>
    <row r="12521" s="101" customFormat="1" spans="6:6">
      <c r="F12521" s="2423"/>
    </row>
    <row r="12522" s="101" customFormat="1" spans="6:6">
      <c r="F12522" s="2423"/>
    </row>
    <row r="12523" s="101" customFormat="1" spans="6:6">
      <c r="F12523" s="2423"/>
    </row>
    <row r="12524" s="101" customFormat="1" spans="6:6">
      <c r="F12524" s="2423"/>
    </row>
    <row r="12525" s="101" customFormat="1" spans="6:6">
      <c r="F12525" s="2423"/>
    </row>
    <row r="12526" s="101" customFormat="1" spans="6:6">
      <c r="F12526" s="2423"/>
    </row>
    <row r="12527" s="101" customFormat="1" spans="6:6">
      <c r="F12527" s="2423"/>
    </row>
    <row r="12528" s="101" customFormat="1" spans="6:6">
      <c r="F12528" s="2423"/>
    </row>
    <row r="12529" s="101" customFormat="1" spans="6:6">
      <c r="F12529" s="2423"/>
    </row>
    <row r="12530" s="101" customFormat="1" spans="6:6">
      <c r="F12530" s="2423"/>
    </row>
    <row r="12531" s="101" customFormat="1" spans="6:6">
      <c r="F12531" s="2423"/>
    </row>
    <row r="12532" s="101" customFormat="1" spans="6:6">
      <c r="F12532" s="2423"/>
    </row>
    <row r="12533" s="101" customFormat="1" spans="6:6">
      <c r="F12533" s="2423"/>
    </row>
    <row r="12534" s="101" customFormat="1" spans="6:6">
      <c r="F12534" s="2423"/>
    </row>
    <row r="12535" s="101" customFormat="1" spans="6:6">
      <c r="F12535" s="2423"/>
    </row>
    <row r="12536" s="101" customFormat="1" spans="6:6">
      <c r="F12536" s="2423"/>
    </row>
    <row r="12537" s="101" customFormat="1" spans="6:6">
      <c r="F12537" s="2423"/>
    </row>
    <row r="12538" s="101" customFormat="1" spans="6:6">
      <c r="F12538" s="2423"/>
    </row>
    <row r="12539" s="101" customFormat="1" spans="6:6">
      <c r="F12539" s="2423"/>
    </row>
    <row r="12540" s="101" customFormat="1" spans="6:6">
      <c r="F12540" s="2423"/>
    </row>
    <row r="12541" s="101" customFormat="1" spans="6:6">
      <c r="F12541" s="2423"/>
    </row>
    <row r="12542" s="101" customFormat="1" spans="6:6">
      <c r="F12542" s="2423"/>
    </row>
    <row r="12543" s="101" customFormat="1" spans="6:6">
      <c r="F12543" s="2423"/>
    </row>
    <row r="12544" s="101" customFormat="1" spans="6:6">
      <c r="F12544" s="2423"/>
    </row>
    <row r="12545" s="101" customFormat="1" spans="6:6">
      <c r="F12545" s="2423"/>
    </row>
    <row r="12546" s="101" customFormat="1" spans="6:6">
      <c r="F12546" s="2423"/>
    </row>
    <row r="12547" s="101" customFormat="1" spans="6:6">
      <c r="F12547" s="2423"/>
    </row>
    <row r="12548" s="101" customFormat="1" spans="6:6">
      <c r="F12548" s="2423"/>
    </row>
    <row r="12549" s="101" customFormat="1" spans="6:6">
      <c r="F12549" s="2423"/>
    </row>
    <row r="12550" s="101" customFormat="1" spans="6:6">
      <c r="F12550" s="2423"/>
    </row>
    <row r="12551" s="101" customFormat="1" spans="6:6">
      <c r="F12551" s="2423"/>
    </row>
    <row r="12552" s="101" customFormat="1" spans="6:6">
      <c r="F12552" s="2423"/>
    </row>
    <row r="12553" s="101" customFormat="1" spans="6:6">
      <c r="F12553" s="2423"/>
    </row>
    <row r="12554" s="101" customFormat="1" spans="6:6">
      <c r="F12554" s="2423"/>
    </row>
    <row r="12555" s="101" customFormat="1" spans="6:6">
      <c r="F12555" s="2423"/>
    </row>
    <row r="12556" s="101" customFormat="1" spans="6:6">
      <c r="F12556" s="2423"/>
    </row>
    <row r="12557" s="101" customFormat="1" spans="6:6">
      <c r="F12557" s="2423"/>
    </row>
    <row r="12558" s="101" customFormat="1" spans="6:6">
      <c r="F12558" s="2423"/>
    </row>
    <row r="12559" s="101" customFormat="1" spans="6:6">
      <c r="F12559" s="2423"/>
    </row>
    <row r="12560" s="101" customFormat="1" spans="6:6">
      <c r="F12560" s="2423"/>
    </row>
    <row r="12561" s="101" customFormat="1" spans="6:6">
      <c r="F12561" s="2423"/>
    </row>
    <row r="12562" s="101" customFormat="1" spans="6:6">
      <c r="F12562" s="2423"/>
    </row>
    <row r="12563" s="101" customFormat="1" spans="6:6">
      <c r="F12563" s="2423"/>
    </row>
    <row r="12564" s="101" customFormat="1" spans="6:6">
      <c r="F12564" s="2423"/>
    </row>
    <row r="12565" s="101" customFormat="1" spans="6:6">
      <c r="F12565" s="2423"/>
    </row>
    <row r="12566" s="101" customFormat="1" spans="6:6">
      <c r="F12566" s="2423"/>
    </row>
    <row r="12567" s="101" customFormat="1" spans="6:6">
      <c r="F12567" s="2423"/>
    </row>
    <row r="12568" s="101" customFormat="1" spans="6:6">
      <c r="F12568" s="2423"/>
    </row>
    <row r="12569" s="101" customFormat="1" spans="6:6">
      <c r="F12569" s="2423"/>
    </row>
    <row r="12570" s="101" customFormat="1" spans="6:6">
      <c r="F12570" s="2423"/>
    </row>
    <row r="12571" s="101" customFormat="1" spans="6:6">
      <c r="F12571" s="2423"/>
    </row>
    <row r="12572" s="101" customFormat="1" spans="6:6">
      <c r="F12572" s="2423"/>
    </row>
    <row r="12573" s="101" customFormat="1" spans="6:6">
      <c r="F12573" s="2423"/>
    </row>
    <row r="12574" s="101" customFormat="1" spans="6:6">
      <c r="F12574" s="2423"/>
    </row>
    <row r="12575" s="101" customFormat="1" spans="6:6">
      <c r="F12575" s="2423"/>
    </row>
    <row r="12576" s="101" customFormat="1" spans="6:6">
      <c r="F12576" s="2423"/>
    </row>
    <row r="12577" s="101" customFormat="1" spans="6:6">
      <c r="F12577" s="2423"/>
    </row>
    <row r="12578" s="101" customFormat="1" spans="6:6">
      <c r="F12578" s="2423"/>
    </row>
    <row r="12579" s="101" customFormat="1" spans="6:6">
      <c r="F12579" s="2423"/>
    </row>
    <row r="12580" s="101" customFormat="1" spans="6:6">
      <c r="F12580" s="2423"/>
    </row>
    <row r="12581" s="101" customFormat="1" spans="6:6">
      <c r="F12581" s="2423"/>
    </row>
    <row r="12582" s="101" customFormat="1" spans="6:6">
      <c r="F12582" s="2423"/>
    </row>
    <row r="12583" s="101" customFormat="1" spans="6:6">
      <c r="F12583" s="2423"/>
    </row>
    <row r="12584" s="101" customFormat="1" spans="6:6">
      <c r="F12584" s="2423"/>
    </row>
    <row r="12585" s="101" customFormat="1" spans="6:6">
      <c r="F12585" s="2423"/>
    </row>
    <row r="12586" s="101" customFormat="1" spans="6:6">
      <c r="F12586" s="2423"/>
    </row>
    <row r="12587" s="101" customFormat="1" spans="6:6">
      <c r="F12587" s="2423"/>
    </row>
    <row r="12588" s="101" customFormat="1" spans="6:6">
      <c r="F12588" s="2423"/>
    </row>
    <row r="12589" s="101" customFormat="1" spans="6:6">
      <c r="F12589" s="2423"/>
    </row>
    <row r="12590" s="101" customFormat="1" spans="6:6">
      <c r="F12590" s="2423"/>
    </row>
    <row r="12591" s="101" customFormat="1" spans="6:6">
      <c r="F12591" s="2423"/>
    </row>
    <row r="12592" s="101" customFormat="1" spans="6:6">
      <c r="F12592" s="2423"/>
    </row>
    <row r="12593" s="101" customFormat="1" spans="6:6">
      <c r="F12593" s="2423"/>
    </row>
    <row r="12594" s="101" customFormat="1" spans="6:6">
      <c r="F12594" s="2423"/>
    </row>
    <row r="12595" s="101" customFormat="1" spans="6:6">
      <c r="F12595" s="2423"/>
    </row>
    <row r="12596" s="101" customFormat="1" spans="6:6">
      <c r="F12596" s="2423"/>
    </row>
    <row r="12597" s="101" customFormat="1" spans="6:6">
      <c r="F12597" s="2423"/>
    </row>
    <row r="12598" s="101" customFormat="1" spans="6:6">
      <c r="F12598" s="2423"/>
    </row>
    <row r="12599" s="101" customFormat="1" spans="6:6">
      <c r="F12599" s="2423"/>
    </row>
    <row r="12600" s="101" customFormat="1" spans="6:6">
      <c r="F12600" s="2423"/>
    </row>
    <row r="12601" s="101" customFormat="1" spans="6:6">
      <c r="F12601" s="2423"/>
    </row>
    <row r="12602" s="101" customFormat="1" spans="6:6">
      <c r="F12602" s="2423"/>
    </row>
    <row r="12603" s="101" customFormat="1" spans="6:6">
      <c r="F12603" s="2423"/>
    </row>
    <row r="12604" s="101" customFormat="1" spans="6:6">
      <c r="F12604" s="2423"/>
    </row>
    <row r="12605" s="101" customFormat="1" spans="6:6">
      <c r="F12605" s="2423"/>
    </row>
    <row r="12606" s="101" customFormat="1" spans="6:6">
      <c r="F12606" s="2423"/>
    </row>
    <row r="12607" s="101" customFormat="1" spans="6:6">
      <c r="F12607" s="2423"/>
    </row>
    <row r="12608" s="101" customFormat="1" spans="6:6">
      <c r="F12608" s="2423"/>
    </row>
    <row r="12609" s="101" customFormat="1" spans="6:6">
      <c r="F12609" s="2423"/>
    </row>
    <row r="12610" s="101" customFormat="1" spans="6:6">
      <c r="F12610" s="2423"/>
    </row>
    <row r="12611" s="101" customFormat="1" spans="6:6">
      <c r="F12611" s="2423"/>
    </row>
    <row r="12612" s="101" customFormat="1" spans="6:6">
      <c r="F12612" s="2423"/>
    </row>
    <row r="12613" s="101" customFormat="1" spans="6:6">
      <c r="F12613" s="2423"/>
    </row>
    <row r="12614" s="101" customFormat="1" spans="6:6">
      <c r="F12614" s="2423"/>
    </row>
    <row r="12615" s="101" customFormat="1" spans="6:6">
      <c r="F12615" s="2423"/>
    </row>
    <row r="12616" s="101" customFormat="1" spans="6:6">
      <c r="F12616" s="2423"/>
    </row>
    <row r="12617" s="101" customFormat="1" spans="6:6">
      <c r="F12617" s="2423"/>
    </row>
    <row r="12618" s="101" customFormat="1" spans="6:6">
      <c r="F12618" s="2423"/>
    </row>
    <row r="12619" s="101" customFormat="1" spans="6:6">
      <c r="F12619" s="2423"/>
    </row>
    <row r="12620" s="101" customFormat="1" spans="6:6">
      <c r="F12620" s="2423"/>
    </row>
    <row r="12621" s="101" customFormat="1" spans="6:6">
      <c r="F12621" s="2423"/>
    </row>
    <row r="12622" s="101" customFormat="1" spans="6:6">
      <c r="F12622" s="2423"/>
    </row>
    <row r="12623" s="101" customFormat="1" spans="6:6">
      <c r="F12623" s="2423"/>
    </row>
    <row r="12624" s="101" customFormat="1" spans="6:6">
      <c r="F12624" s="2423"/>
    </row>
    <row r="12625" s="101" customFormat="1" spans="6:6">
      <c r="F12625" s="2423"/>
    </row>
    <row r="12626" s="101" customFormat="1" spans="6:6">
      <c r="F12626" s="2423"/>
    </row>
    <row r="12627" s="101" customFormat="1" spans="6:6">
      <c r="F12627" s="2423"/>
    </row>
    <row r="12628" s="101" customFormat="1" spans="6:6">
      <c r="F12628" s="2423"/>
    </row>
    <row r="12629" s="101" customFormat="1" spans="6:6">
      <c r="F12629" s="2423"/>
    </row>
    <row r="12630" s="101" customFormat="1" spans="6:6">
      <c r="F12630" s="2423"/>
    </row>
    <row r="12631" s="101" customFormat="1" spans="6:6">
      <c r="F12631" s="2423"/>
    </row>
    <row r="12632" s="101" customFormat="1" spans="6:6">
      <c r="F12632" s="2423"/>
    </row>
    <row r="12633" s="101" customFormat="1" spans="6:6">
      <c r="F12633" s="2423"/>
    </row>
    <row r="12634" s="101" customFormat="1" spans="6:6">
      <c r="F12634" s="2423"/>
    </row>
    <row r="12635" s="101" customFormat="1" spans="6:6">
      <c r="F12635" s="2423"/>
    </row>
    <row r="12636" s="101" customFormat="1" spans="6:6">
      <c r="F12636" s="2423"/>
    </row>
    <row r="12637" s="101" customFormat="1" spans="6:6">
      <c r="F12637" s="2423"/>
    </row>
    <row r="12638" s="101" customFormat="1" spans="6:6">
      <c r="F12638" s="2423"/>
    </row>
    <row r="12639" s="101" customFormat="1" spans="6:6">
      <c r="F12639" s="2423"/>
    </row>
    <row r="12640" s="101" customFormat="1" spans="6:6">
      <c r="F12640" s="2423"/>
    </row>
    <row r="12641" s="101" customFormat="1" spans="6:6">
      <c r="F12641" s="2423"/>
    </row>
    <row r="12642" s="101" customFormat="1" spans="6:6">
      <c r="F12642" s="2423"/>
    </row>
    <row r="12643" s="101" customFormat="1" spans="6:6">
      <c r="F12643" s="2423"/>
    </row>
    <row r="12644" s="101" customFormat="1" spans="6:6">
      <c r="F12644" s="2423"/>
    </row>
    <row r="12645" s="101" customFormat="1" spans="6:6">
      <c r="F12645" s="2423"/>
    </row>
    <row r="12646" s="101" customFormat="1" spans="6:6">
      <c r="F12646" s="2423"/>
    </row>
    <row r="12647" s="101" customFormat="1" spans="6:6">
      <c r="F12647" s="2423"/>
    </row>
    <row r="12648" s="101" customFormat="1" spans="6:6">
      <c r="F12648" s="2423"/>
    </row>
    <row r="12649" s="101" customFormat="1" spans="6:6">
      <c r="F12649" s="2423"/>
    </row>
    <row r="12650" s="101" customFormat="1" spans="6:6">
      <c r="F12650" s="2423"/>
    </row>
    <row r="12651" s="101" customFormat="1" spans="6:6">
      <c r="F12651" s="2423"/>
    </row>
    <row r="12652" s="101" customFormat="1" spans="6:6">
      <c r="F12652" s="2423"/>
    </row>
    <row r="12653" s="101" customFormat="1" spans="6:6">
      <c r="F12653" s="2423"/>
    </row>
    <row r="12654" s="101" customFormat="1" spans="6:6">
      <c r="F12654" s="2423"/>
    </row>
    <row r="12655" s="101" customFormat="1" spans="6:6">
      <c r="F12655" s="2423"/>
    </row>
    <row r="12656" s="101" customFormat="1" spans="6:6">
      <c r="F12656" s="2423"/>
    </row>
    <row r="12657" s="101" customFormat="1" spans="6:6">
      <c r="F12657" s="2423"/>
    </row>
    <row r="12658" s="101" customFormat="1" spans="6:6">
      <c r="F12658" s="2423"/>
    </row>
    <row r="12659" s="101" customFormat="1" spans="6:6">
      <c r="F12659" s="2423"/>
    </row>
    <row r="12660" s="101" customFormat="1" spans="6:6">
      <c r="F12660" s="2423"/>
    </row>
    <row r="12661" s="101" customFormat="1" spans="6:6">
      <c r="F12661" s="2423"/>
    </row>
    <row r="12662" s="101" customFormat="1" spans="6:6">
      <c r="F12662" s="2423"/>
    </row>
    <row r="12663" s="101" customFormat="1" spans="6:6">
      <c r="F12663" s="2423"/>
    </row>
    <row r="12664" s="101" customFormat="1" spans="6:6">
      <c r="F12664" s="2423"/>
    </row>
    <row r="12665" s="101" customFormat="1" spans="6:6">
      <c r="F12665" s="2423"/>
    </row>
    <row r="12666" s="101" customFormat="1" spans="6:6">
      <c r="F12666" s="2423"/>
    </row>
    <row r="12667" s="101" customFormat="1" spans="6:6">
      <c r="F12667" s="2423"/>
    </row>
    <row r="12668" s="101" customFormat="1" spans="6:6">
      <c r="F12668" s="2423"/>
    </row>
    <row r="12669" s="101" customFormat="1" spans="6:6">
      <c r="F12669" s="2423"/>
    </row>
    <row r="12670" s="101" customFormat="1" spans="6:6">
      <c r="F12670" s="2423"/>
    </row>
    <row r="12671" s="101" customFormat="1" spans="6:6">
      <c r="F12671" s="2423"/>
    </row>
    <row r="12672" s="101" customFormat="1" spans="6:6">
      <c r="F12672" s="2423"/>
    </row>
    <row r="12673" s="101" customFormat="1" spans="6:6">
      <c r="F12673" s="2423"/>
    </row>
    <row r="12674" s="101" customFormat="1" spans="6:6">
      <c r="F12674" s="2423"/>
    </row>
    <row r="12675" s="101" customFormat="1" spans="6:6">
      <c r="F12675" s="2423"/>
    </row>
    <row r="12676" s="101" customFormat="1" spans="6:6">
      <c r="F12676" s="2423"/>
    </row>
    <row r="12677" s="101" customFormat="1" spans="6:6">
      <c r="F12677" s="2423"/>
    </row>
    <row r="12678" s="101" customFormat="1" spans="6:6">
      <c r="F12678" s="2423"/>
    </row>
    <row r="12679" s="101" customFormat="1" spans="6:6">
      <c r="F12679" s="2423"/>
    </row>
    <row r="12680" s="101" customFormat="1" spans="6:6">
      <c r="F12680" s="2423"/>
    </row>
    <row r="12681" s="101" customFormat="1" spans="6:6">
      <c r="F12681" s="2423"/>
    </row>
    <row r="12682" s="101" customFormat="1" spans="6:6">
      <c r="F12682" s="2423"/>
    </row>
    <row r="12683" s="101" customFormat="1" spans="6:6">
      <c r="F12683" s="2423"/>
    </row>
    <row r="12684" s="101" customFormat="1" spans="6:6">
      <c r="F12684" s="2423"/>
    </row>
    <row r="12685" s="101" customFormat="1" spans="6:6">
      <c r="F12685" s="2423"/>
    </row>
    <row r="12686" s="101" customFormat="1" spans="6:6">
      <c r="F12686" s="2423"/>
    </row>
    <row r="12687" s="101" customFormat="1" spans="6:6">
      <c r="F12687" s="2423"/>
    </row>
    <row r="12688" s="101" customFormat="1" spans="6:6">
      <c r="F12688" s="2423"/>
    </row>
    <row r="12689" s="101" customFormat="1" spans="6:6">
      <c r="F12689" s="2423"/>
    </row>
    <row r="12690" s="101" customFormat="1" spans="6:6">
      <c r="F12690" s="2423"/>
    </row>
    <row r="12691" s="101" customFormat="1" spans="6:6">
      <c r="F12691" s="2423"/>
    </row>
    <row r="12692" s="101" customFormat="1" spans="6:6">
      <c r="F12692" s="2423"/>
    </row>
    <row r="12693" s="101" customFormat="1" spans="6:6">
      <c r="F12693" s="2423"/>
    </row>
    <row r="12694" s="101" customFormat="1" spans="6:6">
      <c r="F12694" s="2423"/>
    </row>
    <row r="12695" s="101" customFormat="1" spans="6:6">
      <c r="F12695" s="2423"/>
    </row>
    <row r="12696" s="101" customFormat="1" spans="6:6">
      <c r="F12696" s="2423"/>
    </row>
    <row r="12697" s="101" customFormat="1" spans="6:6">
      <c r="F12697" s="2423"/>
    </row>
    <row r="12698" s="101" customFormat="1" spans="6:6">
      <c r="F12698" s="2423"/>
    </row>
    <row r="12699" s="101" customFormat="1" spans="6:6">
      <c r="F12699" s="2423"/>
    </row>
    <row r="12700" s="101" customFormat="1" spans="6:6">
      <c r="F12700" s="2423"/>
    </row>
    <row r="12701" s="101" customFormat="1" spans="6:6">
      <c r="F12701" s="2423"/>
    </row>
    <row r="12702" s="101" customFormat="1" spans="6:6">
      <c r="F12702" s="2423"/>
    </row>
    <row r="12703" s="101" customFormat="1" spans="6:6">
      <c r="F12703" s="2423"/>
    </row>
    <row r="12704" s="101" customFormat="1" spans="6:6">
      <c r="F12704" s="2423"/>
    </row>
    <row r="12705" s="101" customFormat="1" spans="6:6">
      <c r="F12705" s="2423"/>
    </row>
    <row r="12706" s="101" customFormat="1" spans="6:6">
      <c r="F12706" s="2423"/>
    </row>
    <row r="12707" s="101" customFormat="1" spans="6:6">
      <c r="F12707" s="2423"/>
    </row>
    <row r="12708" s="101" customFormat="1" spans="6:6">
      <c r="F12708" s="2423"/>
    </row>
    <row r="12709" s="101" customFormat="1" spans="6:6">
      <c r="F12709" s="2423"/>
    </row>
    <row r="12710" s="101" customFormat="1" spans="6:6">
      <c r="F12710" s="2423"/>
    </row>
    <row r="12711" s="101" customFormat="1" spans="6:6">
      <c r="F12711" s="2423"/>
    </row>
    <row r="12712" s="101" customFormat="1" spans="6:6">
      <c r="F12712" s="2423"/>
    </row>
    <row r="12713" s="101" customFormat="1" spans="6:6">
      <c r="F12713" s="2423"/>
    </row>
    <row r="12714" s="101" customFormat="1" spans="6:6">
      <c r="F12714" s="2423"/>
    </row>
    <row r="12715" s="101" customFormat="1" spans="6:6">
      <c r="F12715" s="2423"/>
    </row>
    <row r="12716" s="101" customFormat="1" spans="6:6">
      <c r="F12716" s="2423"/>
    </row>
    <row r="12717" s="101" customFormat="1" spans="6:6">
      <c r="F12717" s="2423"/>
    </row>
    <row r="12718" s="101" customFormat="1" spans="6:6">
      <c r="F12718" s="2423"/>
    </row>
    <row r="12719" s="101" customFormat="1" spans="6:6">
      <c r="F12719" s="2423"/>
    </row>
    <row r="12720" s="101" customFormat="1" spans="6:6">
      <c r="F12720" s="2423"/>
    </row>
    <row r="12721" s="101" customFormat="1" spans="6:6">
      <c r="F12721" s="2423"/>
    </row>
    <row r="12722" s="101" customFormat="1" spans="6:6">
      <c r="F12722" s="2423"/>
    </row>
    <row r="12723" s="101" customFormat="1" spans="6:6">
      <c r="F12723" s="2423"/>
    </row>
    <row r="12724" s="101" customFormat="1" spans="6:6">
      <c r="F12724" s="2423"/>
    </row>
    <row r="12725" s="101" customFormat="1" spans="6:6">
      <c r="F12725" s="2423"/>
    </row>
    <row r="12726" s="101" customFormat="1" spans="6:6">
      <c r="F12726" s="2423"/>
    </row>
    <row r="12727" s="101" customFormat="1" spans="6:6">
      <c r="F12727" s="2423"/>
    </row>
    <row r="12728" s="101" customFormat="1" spans="6:6">
      <c r="F12728" s="2423"/>
    </row>
    <row r="12729" s="101" customFormat="1" spans="6:6">
      <c r="F12729" s="2423"/>
    </row>
    <row r="12730" s="101" customFormat="1" spans="6:6">
      <c r="F12730" s="2423"/>
    </row>
    <row r="12731" s="101" customFormat="1" spans="6:6">
      <c r="F12731" s="2423"/>
    </row>
    <row r="12732" s="101" customFormat="1" spans="6:6">
      <c r="F12732" s="2423"/>
    </row>
    <row r="12733" s="101" customFormat="1" spans="6:6">
      <c r="F12733" s="2423"/>
    </row>
    <row r="12734" s="101" customFormat="1" spans="6:6">
      <c r="F12734" s="2423"/>
    </row>
    <row r="12735" s="101" customFormat="1" spans="6:6">
      <c r="F12735" s="2423"/>
    </row>
    <row r="12736" s="101" customFormat="1" spans="6:6">
      <c r="F12736" s="2423"/>
    </row>
    <row r="12737" s="101" customFormat="1" spans="6:6">
      <c r="F12737" s="2423"/>
    </row>
    <row r="12738" s="101" customFormat="1" spans="6:6">
      <c r="F12738" s="2423"/>
    </row>
    <row r="12739" s="101" customFormat="1" spans="6:6">
      <c r="F12739" s="2423"/>
    </row>
    <row r="12740" s="101" customFormat="1" spans="6:6">
      <c r="F12740" s="2423"/>
    </row>
    <row r="12741" s="101" customFormat="1" spans="6:6">
      <c r="F12741" s="2423"/>
    </row>
    <row r="12742" s="101" customFormat="1" spans="6:6">
      <c r="F12742" s="2423"/>
    </row>
    <row r="12743" s="101" customFormat="1" spans="6:6">
      <c r="F12743" s="2423"/>
    </row>
    <row r="12744" s="101" customFormat="1" spans="6:6">
      <c r="F12744" s="2423"/>
    </row>
    <row r="12745" s="101" customFormat="1" spans="6:6">
      <c r="F12745" s="2423"/>
    </row>
    <row r="12746" s="101" customFormat="1" spans="6:6">
      <c r="F12746" s="2423"/>
    </row>
    <row r="12747" s="101" customFormat="1" spans="6:6">
      <c r="F12747" s="2423"/>
    </row>
    <row r="12748" s="101" customFormat="1" spans="6:6">
      <c r="F12748" s="2423"/>
    </row>
    <row r="12749" s="101" customFormat="1" spans="6:6">
      <c r="F12749" s="2423"/>
    </row>
    <row r="12750" s="101" customFormat="1" spans="6:6">
      <c r="F12750" s="2423"/>
    </row>
    <row r="12751" s="101" customFormat="1" spans="6:6">
      <c r="F12751" s="2423"/>
    </row>
    <row r="12752" s="101" customFormat="1" spans="6:6">
      <c r="F12752" s="2423"/>
    </row>
    <row r="12753" s="101" customFormat="1" spans="6:6">
      <c r="F12753" s="2423"/>
    </row>
    <row r="12754" s="101" customFormat="1" spans="6:6">
      <c r="F12754" s="2423"/>
    </row>
    <row r="12755" s="101" customFormat="1" spans="6:6">
      <c r="F12755" s="2423"/>
    </row>
    <row r="12756" s="101" customFormat="1" spans="6:6">
      <c r="F12756" s="2423"/>
    </row>
    <row r="12757" s="101" customFormat="1" spans="6:6">
      <c r="F12757" s="2423"/>
    </row>
    <row r="12758" s="101" customFormat="1" spans="6:6">
      <c r="F12758" s="2423"/>
    </row>
    <row r="12759" s="101" customFormat="1" spans="6:6">
      <c r="F12759" s="2423"/>
    </row>
    <row r="12760" s="101" customFormat="1" spans="6:6">
      <c r="F12760" s="2423"/>
    </row>
    <row r="12761" s="101" customFormat="1" spans="6:6">
      <c r="F12761" s="2423"/>
    </row>
    <row r="12762" s="101" customFormat="1" spans="6:6">
      <c r="F12762" s="2423"/>
    </row>
    <row r="12763" s="101" customFormat="1" spans="6:6">
      <c r="F12763" s="2423"/>
    </row>
    <row r="12764" s="101" customFormat="1" spans="6:6">
      <c r="F12764" s="2423"/>
    </row>
    <row r="12765" s="101" customFormat="1" spans="6:6">
      <c r="F12765" s="2423"/>
    </row>
    <row r="12766" s="101" customFormat="1" spans="6:6">
      <c r="F12766" s="2423"/>
    </row>
    <row r="12767" s="101" customFormat="1" spans="6:6">
      <c r="F12767" s="2423"/>
    </row>
    <row r="12768" s="101" customFormat="1" spans="6:6">
      <c r="F12768" s="2423"/>
    </row>
    <row r="12769" s="101" customFormat="1" spans="6:6">
      <c r="F12769" s="2423"/>
    </row>
    <row r="12770" s="101" customFormat="1" spans="6:6">
      <c r="F12770" s="2423"/>
    </row>
    <row r="12771" s="101" customFormat="1" spans="6:6">
      <c r="F12771" s="2423"/>
    </row>
    <row r="12772" s="101" customFormat="1" spans="6:6">
      <c r="F12772" s="2423"/>
    </row>
    <row r="12773" s="101" customFormat="1" spans="6:6">
      <c r="F12773" s="2423"/>
    </row>
    <row r="12774" s="101" customFormat="1" spans="6:6">
      <c r="F12774" s="2423"/>
    </row>
    <row r="12775" s="101" customFormat="1" spans="6:6">
      <c r="F12775" s="2423"/>
    </row>
    <row r="12776" s="101" customFormat="1" spans="6:6">
      <c r="F12776" s="2423"/>
    </row>
    <row r="12777" s="101" customFormat="1" spans="6:6">
      <c r="F12777" s="2423"/>
    </row>
    <row r="12778" s="101" customFormat="1" spans="6:6">
      <c r="F12778" s="2423"/>
    </row>
    <row r="12779" s="101" customFormat="1" spans="6:6">
      <c r="F12779" s="2423"/>
    </row>
    <row r="12780" s="101" customFormat="1" spans="6:6">
      <c r="F12780" s="2423"/>
    </row>
    <row r="12781" s="101" customFormat="1" spans="6:6">
      <c r="F12781" s="2423"/>
    </row>
    <row r="12782" s="101" customFormat="1" spans="6:6">
      <c r="F12782" s="2423"/>
    </row>
    <row r="12783" s="101" customFormat="1" spans="6:6">
      <c r="F12783" s="2423"/>
    </row>
    <row r="12784" s="101" customFormat="1" spans="6:6">
      <c r="F12784" s="2423"/>
    </row>
    <row r="12785" s="101" customFormat="1" spans="6:6">
      <c r="F12785" s="2423"/>
    </row>
    <row r="12786" s="101" customFormat="1" spans="6:6">
      <c r="F12786" s="2423"/>
    </row>
    <row r="12787" s="101" customFormat="1" spans="6:6">
      <c r="F12787" s="2423"/>
    </row>
    <row r="12788" s="101" customFormat="1" spans="6:6">
      <c r="F12788" s="2423"/>
    </row>
    <row r="12789" s="101" customFormat="1" spans="6:6">
      <c r="F12789" s="2423"/>
    </row>
    <row r="12790" s="101" customFormat="1" spans="6:6">
      <c r="F12790" s="2423"/>
    </row>
    <row r="12791" s="101" customFormat="1" spans="6:6">
      <c r="F12791" s="2423"/>
    </row>
    <row r="12792" s="101" customFormat="1" spans="6:6">
      <c r="F12792" s="2423"/>
    </row>
    <row r="12793" s="101" customFormat="1" spans="6:6">
      <c r="F12793" s="2423"/>
    </row>
    <row r="12794" s="101" customFormat="1" spans="6:6">
      <c r="F12794" s="2423"/>
    </row>
    <row r="12795" s="101" customFormat="1" spans="6:6">
      <c r="F12795" s="2423"/>
    </row>
    <row r="12796" s="101" customFormat="1" spans="6:6">
      <c r="F12796" s="2423"/>
    </row>
    <row r="12797" s="101" customFormat="1" spans="6:6">
      <c r="F12797" s="2423"/>
    </row>
    <row r="12798" s="101" customFormat="1" spans="6:6">
      <c r="F12798" s="2423"/>
    </row>
    <row r="12799" s="101" customFormat="1" spans="6:6">
      <c r="F12799" s="2423"/>
    </row>
    <row r="12800" s="101" customFormat="1" spans="6:6">
      <c r="F12800" s="2423"/>
    </row>
    <row r="12801" s="101" customFormat="1" spans="6:6">
      <c r="F12801" s="2423"/>
    </row>
    <row r="12802" s="101" customFormat="1" spans="6:6">
      <c r="F12802" s="2423"/>
    </row>
    <row r="12803" s="101" customFormat="1" spans="6:6">
      <c r="F12803" s="2423"/>
    </row>
    <row r="12804" s="101" customFormat="1" spans="6:6">
      <c r="F12804" s="2423"/>
    </row>
    <row r="12805" s="101" customFormat="1" spans="6:6">
      <c r="F12805" s="2423"/>
    </row>
    <row r="12806" s="101" customFormat="1" spans="6:6">
      <c r="F12806" s="2423"/>
    </row>
    <row r="12807" s="101" customFormat="1" spans="6:6">
      <c r="F12807" s="2423"/>
    </row>
    <row r="12808" s="101" customFormat="1" spans="6:6">
      <c r="F12808" s="2423"/>
    </row>
    <row r="12809" s="101" customFormat="1" spans="6:6">
      <c r="F12809" s="2423"/>
    </row>
    <row r="12810" s="101" customFormat="1" spans="6:6">
      <c r="F12810" s="2423"/>
    </row>
    <row r="12811" s="101" customFormat="1" spans="6:6">
      <c r="F12811" s="2423"/>
    </row>
    <row r="12812" s="101" customFormat="1" spans="6:6">
      <c r="F12812" s="2423"/>
    </row>
    <row r="12813" s="101" customFormat="1" spans="6:6">
      <c r="F12813" s="2423"/>
    </row>
    <row r="12814" s="101" customFormat="1" spans="6:6">
      <c r="F12814" s="2423"/>
    </row>
    <row r="12815" s="101" customFormat="1" spans="6:6">
      <c r="F12815" s="2423"/>
    </row>
    <row r="12816" s="101" customFormat="1" spans="6:6">
      <c r="F12816" s="2423"/>
    </row>
    <row r="12817" s="101" customFormat="1" spans="6:6">
      <c r="F12817" s="2423"/>
    </row>
    <row r="12818" s="101" customFormat="1" spans="6:6">
      <c r="F12818" s="2423"/>
    </row>
    <row r="12819" s="101" customFormat="1" spans="6:6">
      <c r="F12819" s="2423"/>
    </row>
    <row r="12820" s="101" customFormat="1" spans="6:6">
      <c r="F12820" s="2423"/>
    </row>
    <row r="12821" s="101" customFormat="1" spans="6:6">
      <c r="F12821" s="2423"/>
    </row>
    <row r="12822" s="101" customFormat="1" spans="6:6">
      <c r="F12822" s="2423"/>
    </row>
    <row r="12823" s="101" customFormat="1" spans="6:6">
      <c r="F12823" s="2423"/>
    </row>
    <row r="12824" s="101" customFormat="1" spans="6:6">
      <c r="F12824" s="2423"/>
    </row>
    <row r="12825" s="101" customFormat="1" spans="6:6">
      <c r="F12825" s="2423"/>
    </row>
    <row r="12826" s="101" customFormat="1" spans="6:6">
      <c r="F12826" s="2423"/>
    </row>
    <row r="12827" s="101" customFormat="1" spans="6:6">
      <c r="F12827" s="2423"/>
    </row>
    <row r="12828" s="101" customFormat="1" spans="6:6">
      <c r="F12828" s="2423"/>
    </row>
    <row r="12829" s="101" customFormat="1" spans="6:6">
      <c r="F12829" s="2423"/>
    </row>
    <row r="12830" s="101" customFormat="1" spans="6:6">
      <c r="F12830" s="2423"/>
    </row>
    <row r="12831" s="101" customFormat="1" spans="6:6">
      <c r="F12831" s="2423"/>
    </row>
    <row r="12832" s="101" customFormat="1" spans="6:6">
      <c r="F12832" s="2423"/>
    </row>
    <row r="12833" s="101" customFormat="1" spans="6:6">
      <c r="F12833" s="2423"/>
    </row>
    <row r="12834" s="101" customFormat="1" spans="6:6">
      <c r="F12834" s="2423"/>
    </row>
    <row r="12835" s="101" customFormat="1" spans="6:6">
      <c r="F12835" s="2423"/>
    </row>
    <row r="12836" s="101" customFormat="1" spans="6:6">
      <c r="F12836" s="2423"/>
    </row>
    <row r="12837" s="101" customFormat="1" spans="6:6">
      <c r="F12837" s="2423"/>
    </row>
    <row r="12838" s="101" customFormat="1" spans="6:6">
      <c r="F12838" s="2423"/>
    </row>
    <row r="12839" s="101" customFormat="1" spans="6:6">
      <c r="F12839" s="2423"/>
    </row>
    <row r="12840" s="101" customFormat="1" spans="6:6">
      <c r="F12840" s="2423"/>
    </row>
    <row r="12841" s="101" customFormat="1" spans="6:6">
      <c r="F12841" s="2423"/>
    </row>
    <row r="12842" s="101" customFormat="1" spans="6:6">
      <c r="F12842" s="2423"/>
    </row>
    <row r="12843" s="101" customFormat="1" spans="6:6">
      <c r="F12843" s="2423"/>
    </row>
    <row r="12844" s="101" customFormat="1" spans="6:6">
      <c r="F12844" s="2423"/>
    </row>
    <row r="12845" s="101" customFormat="1" spans="6:6">
      <c r="F12845" s="2423"/>
    </row>
    <row r="12846" s="101" customFormat="1" spans="6:6">
      <c r="F12846" s="2423"/>
    </row>
    <row r="12847" s="101" customFormat="1" spans="6:6">
      <c r="F12847" s="2423"/>
    </row>
    <row r="12848" s="101" customFormat="1" spans="6:6">
      <c r="F12848" s="2423"/>
    </row>
    <row r="12849" s="101" customFormat="1" spans="6:6">
      <c r="F12849" s="2423"/>
    </row>
    <row r="12850" s="101" customFormat="1" spans="6:6">
      <c r="F12850" s="2423"/>
    </row>
    <row r="12851" s="101" customFormat="1" spans="6:6">
      <c r="F12851" s="2423"/>
    </row>
    <row r="12852" s="101" customFormat="1" spans="6:6">
      <c r="F12852" s="2423"/>
    </row>
    <row r="12853" s="101" customFormat="1" spans="6:6">
      <c r="F12853" s="2423"/>
    </row>
    <row r="12854" s="101" customFormat="1" spans="6:6">
      <c r="F12854" s="2423"/>
    </row>
    <row r="12855" s="101" customFormat="1" spans="6:6">
      <c r="F12855" s="2423"/>
    </row>
    <row r="12856" s="101" customFormat="1" spans="6:6">
      <c r="F12856" s="2423"/>
    </row>
    <row r="12857" s="101" customFormat="1" spans="6:6">
      <c r="F12857" s="2423"/>
    </row>
    <row r="12858" s="101" customFormat="1" spans="6:6">
      <c r="F12858" s="2423"/>
    </row>
    <row r="12859" s="101" customFormat="1" spans="6:6">
      <c r="F12859" s="2423"/>
    </row>
    <row r="12860" s="101" customFormat="1" spans="6:6">
      <c r="F12860" s="2423"/>
    </row>
    <row r="12861" s="101" customFormat="1" spans="6:6">
      <c r="F12861" s="2423"/>
    </row>
    <row r="12862" s="101" customFormat="1" spans="6:6">
      <c r="F12862" s="2423"/>
    </row>
    <row r="12863" s="101" customFormat="1" spans="6:6">
      <c r="F12863" s="2423"/>
    </row>
    <row r="12864" s="101" customFormat="1" spans="6:6">
      <c r="F12864" s="2423"/>
    </row>
    <row r="12865" s="101" customFormat="1" spans="6:6">
      <c r="F12865" s="2423"/>
    </row>
    <row r="12866" s="101" customFormat="1" spans="6:6">
      <c r="F12866" s="2423"/>
    </row>
    <row r="12867" s="101" customFormat="1" spans="6:6">
      <c r="F12867" s="2423"/>
    </row>
    <row r="12868" s="101" customFormat="1" spans="6:6">
      <c r="F12868" s="2423"/>
    </row>
    <row r="12869" s="101" customFormat="1" spans="6:6">
      <c r="F12869" s="2423"/>
    </row>
    <row r="12870" s="101" customFormat="1" spans="6:6">
      <c r="F12870" s="2423"/>
    </row>
    <row r="12871" s="101" customFormat="1" spans="6:6">
      <c r="F12871" s="2423"/>
    </row>
    <row r="12872" s="101" customFormat="1" spans="6:6">
      <c r="F12872" s="2423"/>
    </row>
    <row r="12873" s="101" customFormat="1" spans="6:6">
      <c r="F12873" s="2423"/>
    </row>
    <row r="12874" s="101" customFormat="1" spans="6:6">
      <c r="F12874" s="2423"/>
    </row>
    <row r="12875" s="101" customFormat="1" spans="6:6">
      <c r="F12875" s="2423"/>
    </row>
    <row r="12876" s="101" customFormat="1" spans="6:6">
      <c r="F12876" s="2423"/>
    </row>
    <row r="12877" s="101" customFormat="1" spans="6:6">
      <c r="F12877" s="2423"/>
    </row>
    <row r="12878" s="101" customFormat="1" spans="6:6">
      <c r="F12878" s="2423"/>
    </row>
    <row r="12879" s="101" customFormat="1" spans="6:6">
      <c r="F12879" s="2423"/>
    </row>
    <row r="12880" s="101" customFormat="1" spans="6:6">
      <c r="F12880" s="2423"/>
    </row>
    <row r="12881" s="101" customFormat="1" spans="6:6">
      <c r="F12881" s="2423"/>
    </row>
    <row r="12882" s="101" customFormat="1" spans="6:6">
      <c r="F12882" s="2423"/>
    </row>
    <row r="12883" s="101" customFormat="1" spans="6:6">
      <c r="F12883" s="2423"/>
    </row>
    <row r="12884" s="101" customFormat="1" spans="6:6">
      <c r="F12884" s="2423"/>
    </row>
    <row r="12885" s="101" customFormat="1" spans="6:6">
      <c r="F12885" s="2423"/>
    </row>
    <row r="12886" s="101" customFormat="1" spans="6:6">
      <c r="F12886" s="2423"/>
    </row>
    <row r="12887" s="101" customFormat="1" spans="6:6">
      <c r="F12887" s="2423"/>
    </row>
    <row r="12888" s="101" customFormat="1" spans="6:6">
      <c r="F12888" s="2423"/>
    </row>
    <row r="12889" s="101" customFormat="1" spans="6:6">
      <c r="F12889" s="2423"/>
    </row>
    <row r="12890" s="101" customFormat="1" spans="6:6">
      <c r="F12890" s="2423"/>
    </row>
    <row r="12891" s="101" customFormat="1" spans="6:6">
      <c r="F12891" s="2423"/>
    </row>
    <row r="12892" s="101" customFormat="1" spans="6:6">
      <c r="F12892" s="2423"/>
    </row>
    <row r="12893" s="101" customFormat="1" spans="6:6">
      <c r="F12893" s="2423"/>
    </row>
    <row r="12894" s="101" customFormat="1" spans="6:6">
      <c r="F12894" s="2423"/>
    </row>
    <row r="12895" s="101" customFormat="1" spans="6:6">
      <c r="F12895" s="2423"/>
    </row>
    <row r="12896" s="101" customFormat="1" spans="6:6">
      <c r="F12896" s="2423"/>
    </row>
    <row r="12897" s="101" customFormat="1" spans="6:6">
      <c r="F12897" s="2423"/>
    </row>
    <row r="12898" s="101" customFormat="1" spans="6:6">
      <c r="F12898" s="2423"/>
    </row>
    <row r="12899" s="101" customFormat="1" spans="6:6">
      <c r="F12899" s="2423"/>
    </row>
    <row r="12900" s="101" customFormat="1" spans="6:6">
      <c r="F12900" s="2423"/>
    </row>
    <row r="12901" s="101" customFormat="1" spans="6:6">
      <c r="F12901" s="2423"/>
    </row>
    <row r="12902" s="101" customFormat="1" spans="6:6">
      <c r="F12902" s="2423"/>
    </row>
    <row r="12903" s="101" customFormat="1" spans="6:6">
      <c r="F12903" s="2423"/>
    </row>
    <row r="12904" s="101" customFormat="1" spans="6:6">
      <c r="F12904" s="2423"/>
    </row>
    <row r="12905" s="101" customFormat="1" spans="6:6">
      <c r="F12905" s="2423"/>
    </row>
    <row r="12906" s="101" customFormat="1" spans="6:6">
      <c r="F12906" s="2423"/>
    </row>
    <row r="12907" s="101" customFormat="1" spans="6:6">
      <c r="F12907" s="2423"/>
    </row>
    <row r="12908" s="101" customFormat="1" spans="6:6">
      <c r="F12908" s="2423"/>
    </row>
    <row r="12909" s="101" customFormat="1" spans="6:6">
      <c r="F12909" s="2423"/>
    </row>
    <row r="12910" s="101" customFormat="1" spans="6:6">
      <c r="F12910" s="2423"/>
    </row>
    <row r="12911" s="101" customFormat="1" spans="6:6">
      <c r="F12911" s="2423"/>
    </row>
    <row r="12912" s="101" customFormat="1" spans="6:6">
      <c r="F12912" s="2423"/>
    </row>
    <row r="12913" s="101" customFormat="1" spans="6:6">
      <c r="F12913" s="2423"/>
    </row>
    <row r="12914" s="101" customFormat="1" spans="6:6">
      <c r="F12914" s="2423"/>
    </row>
    <row r="12915" s="101" customFormat="1" spans="6:6">
      <c r="F12915" s="2423"/>
    </row>
    <row r="12916" s="101" customFormat="1" spans="6:6">
      <c r="F12916" s="2423"/>
    </row>
    <row r="12917" s="101" customFormat="1" spans="6:6">
      <c r="F12917" s="2423"/>
    </row>
    <row r="12918" s="101" customFormat="1" spans="6:6">
      <c r="F12918" s="2423"/>
    </row>
    <row r="12919" s="101" customFormat="1" spans="6:6">
      <c r="F12919" s="2423"/>
    </row>
    <row r="12920" s="101" customFormat="1" spans="6:6">
      <c r="F12920" s="2423"/>
    </row>
    <row r="12921" s="101" customFormat="1" spans="6:6">
      <c r="F12921" s="2423"/>
    </row>
    <row r="12922" s="101" customFormat="1" spans="6:6">
      <c r="F12922" s="2423"/>
    </row>
    <row r="12923" s="101" customFormat="1" spans="6:6">
      <c r="F12923" s="2423"/>
    </row>
    <row r="12924" s="101" customFormat="1" spans="6:6">
      <c r="F12924" s="2423"/>
    </row>
    <row r="12925" s="101" customFormat="1" spans="6:6">
      <c r="F12925" s="2423"/>
    </row>
    <row r="12926" s="101" customFormat="1" spans="6:6">
      <c r="F12926" s="2423"/>
    </row>
    <row r="12927" s="101" customFormat="1" spans="6:6">
      <c r="F12927" s="2423"/>
    </row>
    <row r="12928" s="101" customFormat="1" spans="6:6">
      <c r="F12928" s="2423"/>
    </row>
    <row r="12929" s="101" customFormat="1" spans="6:6">
      <c r="F12929" s="2423"/>
    </row>
    <row r="12930" s="101" customFormat="1" spans="6:6">
      <c r="F12930" s="2423"/>
    </row>
    <row r="12931" s="101" customFormat="1" spans="6:6">
      <c r="F12931" s="2423"/>
    </row>
    <row r="12932" s="101" customFormat="1" spans="6:6">
      <c r="F12932" s="2423"/>
    </row>
    <row r="12933" s="101" customFormat="1" spans="6:6">
      <c r="F12933" s="2423"/>
    </row>
    <row r="12934" s="101" customFormat="1" spans="6:6">
      <c r="F12934" s="2423"/>
    </row>
    <row r="12935" s="101" customFormat="1" spans="6:6">
      <c r="F12935" s="2423"/>
    </row>
    <row r="12936" s="101" customFormat="1" spans="6:6">
      <c r="F12936" s="2423"/>
    </row>
    <row r="12937" s="101" customFormat="1" spans="6:6">
      <c r="F12937" s="2423"/>
    </row>
    <row r="12938" s="101" customFormat="1" spans="6:6">
      <c r="F12938" s="2423"/>
    </row>
    <row r="12939" s="101" customFormat="1" spans="6:6">
      <c r="F12939" s="2423"/>
    </row>
    <row r="12940" s="101" customFormat="1" spans="6:6">
      <c r="F12940" s="2423"/>
    </row>
    <row r="12941" s="101" customFormat="1" spans="6:6">
      <c r="F12941" s="2423"/>
    </row>
    <row r="12942" s="101" customFormat="1" spans="6:6">
      <c r="F12942" s="2423"/>
    </row>
    <row r="12943" s="101" customFormat="1" spans="6:6">
      <c r="F12943" s="2423"/>
    </row>
    <row r="12944" s="101" customFormat="1" spans="6:6">
      <c r="F12944" s="2423"/>
    </row>
    <row r="12945" s="101" customFormat="1" spans="6:6">
      <c r="F12945" s="2423"/>
    </row>
    <row r="12946" s="101" customFormat="1" spans="6:6">
      <c r="F12946" s="2423"/>
    </row>
    <row r="12947" s="101" customFormat="1" spans="6:6">
      <c r="F12947" s="2423"/>
    </row>
    <row r="12948" s="101" customFormat="1" spans="6:6">
      <c r="F12948" s="2423"/>
    </row>
    <row r="12949" s="101" customFormat="1" spans="6:6">
      <c r="F12949" s="2423"/>
    </row>
    <row r="12950" s="101" customFormat="1" spans="6:6">
      <c r="F12950" s="2423"/>
    </row>
    <row r="12951" s="101" customFormat="1" spans="6:6">
      <c r="F12951" s="2423"/>
    </row>
    <row r="12952" s="101" customFormat="1" spans="6:6">
      <c r="F12952" s="2423"/>
    </row>
    <row r="12953" s="101" customFormat="1" spans="6:6">
      <c r="F12953" s="2423"/>
    </row>
    <row r="12954" s="101" customFormat="1" spans="6:6">
      <c r="F12954" s="2423"/>
    </row>
    <row r="12955" s="101" customFormat="1" spans="6:6">
      <c r="F12955" s="2423"/>
    </row>
    <row r="12956" s="101" customFormat="1" spans="6:6">
      <c r="F12956" s="2423"/>
    </row>
    <row r="12957" s="101" customFormat="1" spans="6:6">
      <c r="F12957" s="2423"/>
    </row>
    <row r="12958" s="101" customFormat="1" spans="6:6">
      <c r="F12958" s="2423"/>
    </row>
    <row r="12959" s="101" customFormat="1" spans="6:6">
      <c r="F12959" s="2423"/>
    </row>
    <row r="12960" s="101" customFormat="1" spans="6:6">
      <c r="F12960" s="2423"/>
    </row>
    <row r="12961" s="101" customFormat="1" spans="6:6">
      <c r="F12961" s="2423"/>
    </row>
    <row r="12962" s="101" customFormat="1" spans="6:6">
      <c r="F12962" s="2423"/>
    </row>
    <row r="12963" s="101" customFormat="1" spans="6:6">
      <c r="F12963" s="2423"/>
    </row>
    <row r="12964" s="101" customFormat="1" spans="6:6">
      <c r="F12964" s="2423"/>
    </row>
    <row r="12965" s="101" customFormat="1" spans="6:6">
      <c r="F12965" s="2423"/>
    </row>
    <row r="12966" s="101" customFormat="1" spans="6:6">
      <c r="F12966" s="2423"/>
    </row>
    <row r="12967" s="101" customFormat="1" spans="6:6">
      <c r="F12967" s="2423"/>
    </row>
    <row r="12968" s="101" customFormat="1" spans="6:6">
      <c r="F12968" s="2423"/>
    </row>
    <row r="12969" s="101" customFormat="1" spans="6:6">
      <c r="F12969" s="2423"/>
    </row>
    <row r="12970" s="101" customFormat="1" spans="6:6">
      <c r="F12970" s="2423"/>
    </row>
    <row r="12971" s="101" customFormat="1" spans="6:6">
      <c r="F12971" s="2423"/>
    </row>
    <row r="12972" s="101" customFormat="1" spans="6:6">
      <c r="F12972" s="2423"/>
    </row>
    <row r="12973" s="101" customFormat="1" spans="6:6">
      <c r="F12973" s="2423"/>
    </row>
    <row r="12974" s="101" customFormat="1" spans="6:6">
      <c r="F12974" s="2423"/>
    </row>
    <row r="12975" s="101" customFormat="1" spans="6:6">
      <c r="F12975" s="2423"/>
    </row>
    <row r="12976" s="101" customFormat="1" spans="6:6">
      <c r="F12976" s="2423"/>
    </row>
    <row r="12977" s="101" customFormat="1" spans="6:6">
      <c r="F12977" s="2423"/>
    </row>
    <row r="12978" s="101" customFormat="1" spans="6:6">
      <c r="F12978" s="2423"/>
    </row>
    <row r="12979" s="101" customFormat="1" spans="6:6">
      <c r="F12979" s="2423"/>
    </row>
    <row r="12980" s="101" customFormat="1" spans="6:6">
      <c r="F12980" s="2423"/>
    </row>
    <row r="12981" s="101" customFormat="1" spans="6:6">
      <c r="F12981" s="2423"/>
    </row>
    <row r="12982" s="101" customFormat="1" spans="6:6">
      <c r="F12982" s="2423"/>
    </row>
    <row r="12983" s="101" customFormat="1" spans="6:6">
      <c r="F12983" s="2423"/>
    </row>
    <row r="12984" s="101" customFormat="1" spans="6:6">
      <c r="F12984" s="2423"/>
    </row>
    <row r="12985" s="101" customFormat="1" spans="6:6">
      <c r="F12985" s="2423"/>
    </row>
    <row r="12986" s="101" customFormat="1" spans="6:6">
      <c r="F12986" s="2423"/>
    </row>
    <row r="12987" s="101" customFormat="1" spans="6:6">
      <c r="F12987" s="2423"/>
    </row>
    <row r="12988" s="101" customFormat="1" spans="6:6">
      <c r="F12988" s="2423"/>
    </row>
    <row r="12989" s="101" customFormat="1" spans="6:6">
      <c r="F12989" s="2423"/>
    </row>
    <row r="12990" s="101" customFormat="1" spans="6:6">
      <c r="F12990" s="2423"/>
    </row>
    <row r="12991" s="101" customFormat="1" spans="6:6">
      <c r="F12991" s="2423"/>
    </row>
    <row r="12992" s="101" customFormat="1" spans="6:6">
      <c r="F12992" s="2423"/>
    </row>
    <row r="12993" s="101" customFormat="1" spans="6:6">
      <c r="F12993" s="2423"/>
    </row>
    <row r="12994" s="101" customFormat="1" spans="6:6">
      <c r="F12994" s="2423"/>
    </row>
    <row r="12995" s="101" customFormat="1" spans="6:6">
      <c r="F12995" s="2423"/>
    </row>
    <row r="12996" s="101" customFormat="1" spans="6:6">
      <c r="F12996" s="2423"/>
    </row>
    <row r="12997" s="101" customFormat="1" spans="6:6">
      <c r="F12997" s="2423"/>
    </row>
    <row r="12998" s="101" customFormat="1" spans="6:6">
      <c r="F12998" s="2423"/>
    </row>
    <row r="12999" s="101" customFormat="1" spans="6:6">
      <c r="F12999" s="2423"/>
    </row>
    <row r="13000" s="101" customFormat="1" spans="6:6">
      <c r="F13000" s="2423"/>
    </row>
    <row r="13001" s="101" customFormat="1" spans="6:6">
      <c r="F13001" s="2423"/>
    </row>
    <row r="13002" s="101" customFormat="1" spans="6:6">
      <c r="F13002" s="2423"/>
    </row>
    <row r="13003" s="101" customFormat="1" spans="6:6">
      <c r="F13003" s="2423"/>
    </row>
    <row r="13004" s="101" customFormat="1" spans="6:6">
      <c r="F13004" s="2423"/>
    </row>
    <row r="13005" s="101" customFormat="1" spans="6:6">
      <c r="F13005" s="2423"/>
    </row>
    <row r="13006" s="101" customFormat="1" spans="6:6">
      <c r="F13006" s="2423"/>
    </row>
    <row r="13007" s="101" customFormat="1" spans="6:6">
      <c r="F13007" s="2423"/>
    </row>
    <row r="13008" s="101" customFormat="1" spans="6:6">
      <c r="F13008" s="2423"/>
    </row>
    <row r="13009" s="101" customFormat="1" spans="6:6">
      <c r="F13009" s="2423"/>
    </row>
    <row r="13010" s="101" customFormat="1" spans="6:6">
      <c r="F13010" s="2423"/>
    </row>
    <row r="13011" s="101" customFormat="1" spans="6:6">
      <c r="F13011" s="2423"/>
    </row>
    <row r="13012" s="101" customFormat="1" spans="6:6">
      <c r="F13012" s="2423"/>
    </row>
    <row r="13013" s="101" customFormat="1" spans="6:6">
      <c r="F13013" s="2423"/>
    </row>
    <row r="13014" s="101" customFormat="1" spans="6:6">
      <c r="F13014" s="2423"/>
    </row>
    <row r="13015" s="101" customFormat="1" spans="6:6">
      <c r="F13015" s="2423"/>
    </row>
    <row r="13016" s="101" customFormat="1" spans="6:6">
      <c r="F13016" s="2423"/>
    </row>
    <row r="13017" s="101" customFormat="1" spans="6:6">
      <c r="F13017" s="2423"/>
    </row>
    <row r="13018" s="101" customFormat="1" spans="6:6">
      <c r="F13018" s="2423"/>
    </row>
    <row r="13019" s="101" customFormat="1" spans="6:6">
      <c r="F13019" s="2423"/>
    </row>
    <row r="13020" s="101" customFormat="1" spans="6:6">
      <c r="F13020" s="2423"/>
    </row>
    <row r="13021" s="101" customFormat="1" spans="6:6">
      <c r="F13021" s="2423"/>
    </row>
    <row r="13022" s="101" customFormat="1" spans="6:6">
      <c r="F13022" s="2423"/>
    </row>
    <row r="13023" s="101" customFormat="1" spans="6:6">
      <c r="F13023" s="2423"/>
    </row>
    <row r="13024" s="101" customFormat="1" spans="6:6">
      <c r="F13024" s="2423"/>
    </row>
    <row r="13025" s="101" customFormat="1" spans="6:6">
      <c r="F13025" s="2423"/>
    </row>
    <row r="13026" s="101" customFormat="1" spans="6:6">
      <c r="F13026" s="2423"/>
    </row>
    <row r="13027" s="101" customFormat="1" spans="6:6">
      <c r="F13027" s="2423"/>
    </row>
    <row r="13028" s="101" customFormat="1" spans="6:6">
      <c r="F13028" s="2423"/>
    </row>
    <row r="13029" s="101" customFormat="1" spans="6:6">
      <c r="F13029" s="2423"/>
    </row>
    <row r="13030" s="101" customFormat="1" spans="6:6">
      <c r="F13030" s="2423"/>
    </row>
    <row r="13031" s="101" customFormat="1" spans="6:6">
      <c r="F13031" s="2423"/>
    </row>
    <row r="13032" s="101" customFormat="1" spans="6:6">
      <c r="F13032" s="2423"/>
    </row>
    <row r="13033" s="101" customFormat="1" spans="6:6">
      <c r="F13033" s="2423"/>
    </row>
    <row r="13034" s="101" customFormat="1" spans="6:6">
      <c r="F13034" s="2423"/>
    </row>
    <row r="13035" s="101" customFormat="1" spans="6:6">
      <c r="F13035" s="2423"/>
    </row>
    <row r="13036" s="101" customFormat="1" spans="6:6">
      <c r="F13036" s="2423"/>
    </row>
    <row r="13037" s="101" customFormat="1" spans="6:6">
      <c r="F13037" s="2423"/>
    </row>
    <row r="13038" s="101" customFormat="1" spans="6:6">
      <c r="F13038" s="2423"/>
    </row>
    <row r="13039" s="101" customFormat="1" spans="6:6">
      <c r="F13039" s="2423"/>
    </row>
    <row r="13040" s="101" customFormat="1" spans="6:6">
      <c r="F13040" s="2423"/>
    </row>
    <row r="13041" s="101" customFormat="1" spans="6:6">
      <c r="F13041" s="2423"/>
    </row>
    <row r="13042" s="101" customFormat="1" spans="6:6">
      <c r="F13042" s="2423"/>
    </row>
    <row r="13043" s="101" customFormat="1" spans="6:6">
      <c r="F13043" s="2423"/>
    </row>
    <row r="13044" s="101" customFormat="1" spans="6:6">
      <c r="F13044" s="2423"/>
    </row>
    <row r="13045" s="101" customFormat="1" spans="6:6">
      <c r="F13045" s="2423"/>
    </row>
    <row r="13046" s="101" customFormat="1" spans="6:6">
      <c r="F13046" s="2423"/>
    </row>
    <row r="13047" s="101" customFormat="1" spans="6:6">
      <c r="F13047" s="2423"/>
    </row>
    <row r="13048" s="101" customFormat="1" spans="6:6">
      <c r="F13048" s="2423"/>
    </row>
    <row r="13049" s="101" customFormat="1" spans="6:6">
      <c r="F13049" s="2423"/>
    </row>
    <row r="13050" s="101" customFormat="1" spans="6:6">
      <c r="F13050" s="2423"/>
    </row>
    <row r="13051" s="101" customFormat="1" spans="6:6">
      <c r="F13051" s="2423"/>
    </row>
    <row r="13052" s="101" customFormat="1" spans="6:6">
      <c r="F13052" s="2423"/>
    </row>
    <row r="13053" s="101" customFormat="1" spans="6:6">
      <c r="F13053" s="2423"/>
    </row>
    <row r="13054" s="101" customFormat="1" spans="6:6">
      <c r="F13054" s="2423"/>
    </row>
    <row r="13055" s="101" customFormat="1" spans="6:6">
      <c r="F13055" s="2423"/>
    </row>
    <row r="13056" s="101" customFormat="1" spans="6:6">
      <c r="F13056" s="2423"/>
    </row>
    <row r="13057" s="101" customFormat="1" spans="6:6">
      <c r="F13057" s="2423"/>
    </row>
    <row r="13058" s="101" customFormat="1" spans="6:6">
      <c r="F13058" s="2423"/>
    </row>
    <row r="13059" s="101" customFormat="1" spans="6:6">
      <c r="F13059" s="2423"/>
    </row>
    <row r="13060" s="101" customFormat="1" spans="6:6">
      <c r="F13060" s="2423"/>
    </row>
    <row r="13061" s="101" customFormat="1" spans="6:6">
      <c r="F13061" s="2423"/>
    </row>
    <row r="13062" s="101" customFormat="1" spans="6:6">
      <c r="F13062" s="2423"/>
    </row>
    <row r="13063" s="101" customFormat="1" spans="6:6">
      <c r="F13063" s="2423"/>
    </row>
    <row r="13064" s="101" customFormat="1" spans="6:6">
      <c r="F13064" s="2423"/>
    </row>
    <row r="13065" s="101" customFormat="1" spans="6:6">
      <c r="F13065" s="2423"/>
    </row>
    <row r="13066" s="101" customFormat="1" spans="6:6">
      <c r="F13066" s="2423"/>
    </row>
    <row r="13067" s="101" customFormat="1" spans="6:6">
      <c r="F13067" s="2423"/>
    </row>
    <row r="13068" s="101" customFormat="1" spans="6:6">
      <c r="F13068" s="2423"/>
    </row>
    <row r="13069" s="101" customFormat="1" spans="6:6">
      <c r="F13069" s="2423"/>
    </row>
    <row r="13070" s="101" customFormat="1" spans="6:6">
      <c r="F13070" s="2423"/>
    </row>
    <row r="13071" s="101" customFormat="1" spans="6:6">
      <c r="F13071" s="2423"/>
    </row>
    <row r="13072" s="101" customFormat="1" spans="6:6">
      <c r="F13072" s="2423"/>
    </row>
    <row r="13073" s="101" customFormat="1" spans="6:6">
      <c r="F13073" s="2423"/>
    </row>
    <row r="13074" s="101" customFormat="1" spans="6:6">
      <c r="F13074" s="2423"/>
    </row>
    <row r="13075" s="101" customFormat="1" spans="6:6">
      <c r="F13075" s="2423"/>
    </row>
    <row r="13076" s="101" customFormat="1" spans="6:6">
      <c r="F13076" s="2423"/>
    </row>
    <row r="13077" s="101" customFormat="1" spans="6:6">
      <c r="F13077" s="2423"/>
    </row>
    <row r="13078" s="101" customFormat="1" spans="6:6">
      <c r="F13078" s="2423"/>
    </row>
    <row r="13079" s="101" customFormat="1" spans="6:6">
      <c r="F13079" s="2423"/>
    </row>
    <row r="13080" s="101" customFormat="1" spans="6:6">
      <c r="F13080" s="2423"/>
    </row>
    <row r="13081" s="101" customFormat="1" spans="6:6">
      <c r="F13081" s="2423"/>
    </row>
    <row r="13082" s="101" customFormat="1" spans="6:6">
      <c r="F13082" s="2423"/>
    </row>
    <row r="13083" s="101" customFormat="1" spans="6:6">
      <c r="F13083" s="2423"/>
    </row>
    <row r="13084" s="101" customFormat="1" spans="6:6">
      <c r="F13084" s="2423"/>
    </row>
    <row r="13085" s="101" customFormat="1" spans="6:6">
      <c r="F13085" s="2423"/>
    </row>
    <row r="13086" s="101" customFormat="1" spans="6:6">
      <c r="F13086" s="2423"/>
    </row>
    <row r="13087" s="101" customFormat="1" spans="6:6">
      <c r="F13087" s="2423"/>
    </row>
    <row r="13088" s="101" customFormat="1" spans="6:6">
      <c r="F13088" s="2423"/>
    </row>
    <row r="13089" s="101" customFormat="1" spans="6:6">
      <c r="F13089" s="2423"/>
    </row>
    <row r="13090" s="101" customFormat="1" spans="6:6">
      <c r="F13090" s="2423"/>
    </row>
    <row r="13091" s="101" customFormat="1" spans="6:6">
      <c r="F13091" s="2423"/>
    </row>
    <row r="13092" s="101" customFormat="1" spans="6:6">
      <c r="F13092" s="2423"/>
    </row>
    <row r="13093" s="101" customFormat="1" spans="6:6">
      <c r="F13093" s="2423"/>
    </row>
    <row r="13094" s="101" customFormat="1" spans="6:6">
      <c r="F13094" s="2423"/>
    </row>
    <row r="13095" s="101" customFormat="1" spans="6:6">
      <c r="F13095" s="2423"/>
    </row>
    <row r="13096" s="101" customFormat="1" spans="6:6">
      <c r="F13096" s="2423"/>
    </row>
    <row r="13097" s="101" customFormat="1" spans="6:6">
      <c r="F13097" s="2423"/>
    </row>
    <row r="13098" s="101" customFormat="1" spans="6:6">
      <c r="F13098" s="2423"/>
    </row>
    <row r="13099" s="101" customFormat="1" spans="6:6">
      <c r="F13099" s="2423"/>
    </row>
    <row r="13100" s="101" customFormat="1" spans="6:6">
      <c r="F13100" s="2423"/>
    </row>
    <row r="13101" s="101" customFormat="1" spans="6:6">
      <c r="F13101" s="2423"/>
    </row>
    <row r="13102" s="101" customFormat="1" spans="6:6">
      <c r="F13102" s="2423"/>
    </row>
    <row r="13103" s="101" customFormat="1" spans="6:6">
      <c r="F13103" s="2423"/>
    </row>
    <row r="13104" s="101" customFormat="1" spans="6:6">
      <c r="F13104" s="2423"/>
    </row>
    <row r="13105" s="101" customFormat="1" spans="6:6">
      <c r="F13105" s="2423"/>
    </row>
    <row r="13106" s="101" customFormat="1" spans="6:6">
      <c r="F13106" s="2423"/>
    </row>
    <row r="13107" s="101" customFormat="1" spans="6:6">
      <c r="F13107" s="2423"/>
    </row>
    <row r="13108" s="101" customFormat="1" spans="6:6">
      <c r="F13108" s="2423"/>
    </row>
    <row r="13109" s="101" customFormat="1" spans="6:6">
      <c r="F13109" s="2423"/>
    </row>
    <row r="13110" s="101" customFormat="1" spans="6:6">
      <c r="F13110" s="2423"/>
    </row>
    <row r="13111" s="101" customFormat="1" spans="6:6">
      <c r="F13111" s="2423"/>
    </row>
    <row r="13112" s="101" customFormat="1" spans="6:6">
      <c r="F13112" s="2423"/>
    </row>
    <row r="13113" s="101" customFormat="1" spans="6:6">
      <c r="F13113" s="2423"/>
    </row>
    <row r="13114" s="101" customFormat="1" spans="6:6">
      <c r="F13114" s="2423"/>
    </row>
    <row r="13115" s="101" customFormat="1" spans="6:6">
      <c r="F13115" s="2423"/>
    </row>
    <row r="13116" s="101" customFormat="1" spans="6:6">
      <c r="F13116" s="2423"/>
    </row>
    <row r="13117" s="101" customFormat="1" spans="6:6">
      <c r="F13117" s="2423"/>
    </row>
    <row r="13118" s="101" customFormat="1" spans="6:6">
      <c r="F13118" s="2423"/>
    </row>
    <row r="13119" s="101" customFormat="1" spans="6:6">
      <c r="F13119" s="2423"/>
    </row>
    <row r="13120" s="101" customFormat="1" spans="6:6">
      <c r="F13120" s="2423"/>
    </row>
    <row r="13121" s="101" customFormat="1" spans="6:6">
      <c r="F13121" s="2423"/>
    </row>
    <row r="13122" s="101" customFormat="1" spans="6:6">
      <c r="F13122" s="2423"/>
    </row>
    <row r="13123" s="101" customFormat="1" spans="6:6">
      <c r="F13123" s="2423"/>
    </row>
    <row r="13124" s="101" customFormat="1" spans="6:6">
      <c r="F13124" s="2423"/>
    </row>
    <row r="13125" s="101" customFormat="1" spans="6:6">
      <c r="F13125" s="2423"/>
    </row>
    <row r="13126" s="101" customFormat="1" spans="6:6">
      <c r="F13126" s="2423"/>
    </row>
    <row r="13127" s="101" customFormat="1" spans="6:6">
      <c r="F13127" s="2423"/>
    </row>
    <row r="13128" s="101" customFormat="1" spans="6:6">
      <c r="F13128" s="2423"/>
    </row>
    <row r="13129" s="101" customFormat="1" spans="6:6">
      <c r="F13129" s="2423"/>
    </row>
    <row r="13130" s="101" customFormat="1" spans="6:6">
      <c r="F13130" s="2423"/>
    </row>
    <row r="13131" s="101" customFormat="1" spans="6:6">
      <c r="F13131" s="2423"/>
    </row>
    <row r="13132" s="101" customFormat="1" spans="6:6">
      <c r="F13132" s="2423"/>
    </row>
    <row r="13133" s="101" customFormat="1" spans="6:6">
      <c r="F13133" s="2423"/>
    </row>
    <row r="13134" s="101" customFormat="1" spans="6:6">
      <c r="F13134" s="2423"/>
    </row>
    <row r="13135" s="101" customFormat="1" spans="6:6">
      <c r="F13135" s="2423"/>
    </row>
    <row r="13136" s="101" customFormat="1" spans="6:6">
      <c r="F13136" s="2423"/>
    </row>
    <row r="13137" s="101" customFormat="1" spans="6:6">
      <c r="F13137" s="2423"/>
    </row>
    <row r="13138" s="101" customFormat="1" spans="6:6">
      <c r="F13138" s="2423"/>
    </row>
    <row r="13139" s="101" customFormat="1" spans="6:6">
      <c r="F13139" s="2423"/>
    </row>
    <row r="13140" s="101" customFormat="1" spans="6:6">
      <c r="F13140" s="2423"/>
    </row>
    <row r="13141" s="101" customFormat="1" spans="6:6">
      <c r="F13141" s="2423"/>
    </row>
    <row r="13142" s="101" customFormat="1" spans="6:6">
      <c r="F13142" s="2423"/>
    </row>
    <row r="13143" s="101" customFormat="1" spans="6:6">
      <c r="F13143" s="2423"/>
    </row>
    <row r="13144" s="101" customFormat="1" spans="6:6">
      <c r="F13144" s="2423"/>
    </row>
    <row r="13145" s="101" customFormat="1" spans="6:6">
      <c r="F13145" s="2423"/>
    </row>
    <row r="13146" s="101" customFormat="1" spans="6:6">
      <c r="F13146" s="2423"/>
    </row>
    <row r="13147" s="101" customFormat="1" spans="6:6">
      <c r="F13147" s="2423"/>
    </row>
    <row r="13148" s="101" customFormat="1" spans="6:6">
      <c r="F13148" s="2423"/>
    </row>
    <row r="13149" s="101" customFormat="1" spans="6:6">
      <c r="F13149" s="2423"/>
    </row>
    <row r="13150" s="101" customFormat="1" spans="6:6">
      <c r="F13150" s="2423"/>
    </row>
    <row r="13151" s="101" customFormat="1" spans="6:6">
      <c r="F13151" s="2423"/>
    </row>
    <row r="13152" s="101" customFormat="1" spans="6:6">
      <c r="F13152" s="2423"/>
    </row>
    <row r="13153" s="101" customFormat="1" spans="6:6">
      <c r="F13153" s="2423"/>
    </row>
    <row r="13154" s="101" customFormat="1" spans="6:6">
      <c r="F13154" s="2423"/>
    </row>
    <row r="13155" s="101" customFormat="1" spans="6:6">
      <c r="F13155" s="2423"/>
    </row>
    <row r="13156" s="101" customFormat="1" spans="6:6">
      <c r="F13156" s="2423"/>
    </row>
    <row r="13157" s="101" customFormat="1" spans="6:6">
      <c r="F13157" s="2423"/>
    </row>
    <row r="13158" s="101" customFormat="1" spans="6:6">
      <c r="F13158" s="2423"/>
    </row>
    <row r="13159" s="101" customFormat="1" spans="6:6">
      <c r="F13159" s="2423"/>
    </row>
    <row r="13160" s="101" customFormat="1" spans="6:6">
      <c r="F13160" s="2423"/>
    </row>
    <row r="13161" s="101" customFormat="1" spans="6:6">
      <c r="F13161" s="2423"/>
    </row>
    <row r="13162" s="101" customFormat="1" spans="6:6">
      <c r="F13162" s="2423"/>
    </row>
    <row r="13163" s="101" customFormat="1" spans="6:6">
      <c r="F13163" s="2423"/>
    </row>
    <row r="13164" s="101" customFormat="1" spans="6:6">
      <c r="F13164" s="2423"/>
    </row>
    <row r="13165" s="101" customFormat="1" spans="6:6">
      <c r="F13165" s="2423"/>
    </row>
    <row r="13166" s="101" customFormat="1" spans="6:6">
      <c r="F13166" s="2423"/>
    </row>
    <row r="13167" s="101" customFormat="1" spans="6:6">
      <c r="F13167" s="2423"/>
    </row>
    <row r="13168" s="101" customFormat="1" spans="6:6">
      <c r="F13168" s="2423"/>
    </row>
    <row r="13169" s="101" customFormat="1" spans="6:6">
      <c r="F13169" s="2423"/>
    </row>
    <row r="13170" s="101" customFormat="1" spans="6:6">
      <c r="F13170" s="2423"/>
    </row>
    <row r="13171" s="101" customFormat="1" spans="6:6">
      <c r="F13171" s="2423"/>
    </row>
    <row r="13172" s="101" customFormat="1" spans="6:6">
      <c r="F13172" s="2423"/>
    </row>
    <row r="13173" s="101" customFormat="1" spans="6:6">
      <c r="F13173" s="2423"/>
    </row>
    <row r="13174" s="101" customFormat="1" spans="6:6">
      <c r="F13174" s="2423"/>
    </row>
    <row r="13175" s="101" customFormat="1" spans="6:6">
      <c r="F13175" s="2423"/>
    </row>
    <row r="13176" s="101" customFormat="1" spans="6:6">
      <c r="F13176" s="2423"/>
    </row>
    <row r="13177" s="101" customFormat="1" spans="6:6">
      <c r="F13177" s="2423"/>
    </row>
    <row r="13178" s="101" customFormat="1" spans="6:6">
      <c r="F13178" s="2423"/>
    </row>
    <row r="13179" s="101" customFormat="1" spans="6:6">
      <c r="F13179" s="2423"/>
    </row>
    <row r="13180" s="101" customFormat="1" spans="6:6">
      <c r="F13180" s="2423"/>
    </row>
    <row r="13181" s="101" customFormat="1" spans="6:6">
      <c r="F13181" s="2423"/>
    </row>
    <row r="13182" s="101" customFormat="1" spans="6:6">
      <c r="F13182" s="2423"/>
    </row>
    <row r="13183" s="101" customFormat="1" spans="6:6">
      <c r="F13183" s="2423"/>
    </row>
    <row r="13184" s="101" customFormat="1" spans="6:6">
      <c r="F13184" s="2423"/>
    </row>
    <row r="13185" s="101" customFormat="1" spans="6:6">
      <c r="F13185" s="2423"/>
    </row>
    <row r="13186" s="101" customFormat="1" spans="6:6">
      <c r="F13186" s="2423"/>
    </row>
    <row r="13187" s="101" customFormat="1" spans="6:6">
      <c r="F13187" s="2423"/>
    </row>
    <row r="13188" s="101" customFormat="1" spans="6:6">
      <c r="F13188" s="2423"/>
    </row>
    <row r="13189" s="101" customFormat="1" spans="6:6">
      <c r="F13189" s="2423"/>
    </row>
    <row r="13190" s="101" customFormat="1" spans="6:6">
      <c r="F13190" s="2423"/>
    </row>
    <row r="13191" s="101" customFormat="1" spans="6:6">
      <c r="F13191" s="2423"/>
    </row>
    <row r="13192" s="101" customFormat="1" spans="6:6">
      <c r="F13192" s="2423"/>
    </row>
    <row r="13193" s="101" customFormat="1" spans="6:6">
      <c r="F13193" s="2423"/>
    </row>
    <row r="13194" s="101" customFormat="1" spans="6:6">
      <c r="F13194" s="2423"/>
    </row>
    <row r="13195" s="101" customFormat="1" spans="6:6">
      <c r="F13195" s="2423"/>
    </row>
    <row r="13196" s="101" customFormat="1" spans="6:6">
      <c r="F13196" s="2423"/>
    </row>
    <row r="13197" s="101" customFormat="1" spans="6:6">
      <c r="F13197" s="2423"/>
    </row>
    <row r="13198" s="101" customFormat="1" spans="6:6">
      <c r="F13198" s="2423"/>
    </row>
    <row r="13199" s="101" customFormat="1" spans="6:6">
      <c r="F13199" s="2423"/>
    </row>
    <row r="13200" s="101" customFormat="1" spans="6:6">
      <c r="F13200" s="2423"/>
    </row>
    <row r="13201" s="101" customFormat="1" spans="6:6">
      <c r="F13201" s="2423"/>
    </row>
    <row r="13202" s="101" customFormat="1" spans="6:6">
      <c r="F13202" s="2423"/>
    </row>
    <row r="13203" s="101" customFormat="1" spans="6:6">
      <c r="F13203" s="2423"/>
    </row>
    <row r="13204" s="101" customFormat="1" spans="6:6">
      <c r="F13204" s="2423"/>
    </row>
    <row r="13205" s="101" customFormat="1" spans="6:6">
      <c r="F13205" s="2423"/>
    </row>
    <row r="13206" s="101" customFormat="1" spans="6:6">
      <c r="F13206" s="2423"/>
    </row>
    <row r="13207" s="101" customFormat="1" spans="6:6">
      <c r="F13207" s="2423"/>
    </row>
    <row r="13208" s="101" customFormat="1" spans="6:6">
      <c r="F13208" s="2423"/>
    </row>
    <row r="13209" s="101" customFormat="1" spans="6:6">
      <c r="F13209" s="2423"/>
    </row>
    <row r="13210" s="101" customFormat="1" spans="6:6">
      <c r="F13210" s="2423"/>
    </row>
    <row r="13211" s="101" customFormat="1" spans="6:6">
      <c r="F13211" s="2423"/>
    </row>
    <row r="13212" s="101" customFormat="1" spans="6:6">
      <c r="F13212" s="2423"/>
    </row>
    <row r="13213" s="101" customFormat="1" spans="6:6">
      <c r="F13213" s="2423"/>
    </row>
    <row r="13214" s="101" customFormat="1" spans="6:6">
      <c r="F13214" s="2423"/>
    </row>
    <row r="13215" s="101" customFormat="1" spans="6:6">
      <c r="F13215" s="2423"/>
    </row>
    <row r="13216" s="101" customFormat="1" spans="6:6">
      <c r="F13216" s="2423"/>
    </row>
    <row r="13217" s="101" customFormat="1" spans="6:6">
      <c r="F13217" s="2423"/>
    </row>
    <row r="13218" s="101" customFormat="1" spans="6:6">
      <c r="F13218" s="2423"/>
    </row>
    <row r="13219" s="101" customFormat="1" spans="6:6">
      <c r="F13219" s="2423"/>
    </row>
    <row r="13220" s="101" customFormat="1" spans="6:6">
      <c r="F13220" s="2423"/>
    </row>
    <row r="13221" s="101" customFormat="1" spans="6:6">
      <c r="F13221" s="2423"/>
    </row>
    <row r="13222" s="101" customFormat="1" spans="6:6">
      <c r="F13222" s="2423"/>
    </row>
    <row r="13223" s="101" customFormat="1" spans="6:6">
      <c r="F13223" s="2423"/>
    </row>
    <row r="13224" s="101" customFormat="1" spans="6:6">
      <c r="F13224" s="2423"/>
    </row>
    <row r="13225" s="101" customFormat="1" spans="6:6">
      <c r="F13225" s="2423"/>
    </row>
    <row r="13226" s="101" customFormat="1" spans="6:6">
      <c r="F13226" s="2423"/>
    </row>
    <row r="13227" s="101" customFormat="1" spans="6:6">
      <c r="F13227" s="2423"/>
    </row>
    <row r="13228" s="101" customFormat="1" spans="6:6">
      <c r="F13228" s="2423"/>
    </row>
    <row r="13229" s="101" customFormat="1" spans="6:6">
      <c r="F13229" s="2423"/>
    </row>
    <row r="13230" s="101" customFormat="1" spans="6:6">
      <c r="F13230" s="2423"/>
    </row>
    <row r="13231" s="101" customFormat="1" spans="6:6">
      <c r="F13231" s="2423"/>
    </row>
    <row r="13232" s="101" customFormat="1" spans="6:6">
      <c r="F13232" s="2423"/>
    </row>
    <row r="13233" s="101" customFormat="1" spans="6:6">
      <c r="F13233" s="2423"/>
    </row>
    <row r="13234" s="101" customFormat="1" spans="6:6">
      <c r="F13234" s="2423"/>
    </row>
    <row r="13235" s="101" customFormat="1" spans="6:6">
      <c r="F13235" s="2423"/>
    </row>
    <row r="13236" s="101" customFormat="1" spans="6:6">
      <c r="F13236" s="2423"/>
    </row>
    <row r="13237" s="101" customFormat="1" spans="6:6">
      <c r="F13237" s="2423"/>
    </row>
    <row r="13238" s="101" customFormat="1" spans="6:6">
      <c r="F13238" s="2423"/>
    </row>
    <row r="13239" s="101" customFormat="1" spans="6:6">
      <c r="F13239" s="2423"/>
    </row>
    <row r="13240" s="101" customFormat="1" spans="6:6">
      <c r="F13240" s="2423"/>
    </row>
    <row r="13241" s="101" customFormat="1" spans="6:6">
      <c r="F13241" s="2423"/>
    </row>
    <row r="13242" s="101" customFormat="1" spans="6:6">
      <c r="F13242" s="2423"/>
    </row>
    <row r="13243" s="101" customFormat="1" spans="6:6">
      <c r="F13243" s="2423"/>
    </row>
    <row r="13244" s="101" customFormat="1" spans="6:6">
      <c r="F13244" s="2423"/>
    </row>
    <row r="13245" s="101" customFormat="1" spans="6:6">
      <c r="F13245" s="2423"/>
    </row>
    <row r="13246" s="101" customFormat="1" spans="6:6">
      <c r="F13246" s="2423"/>
    </row>
    <row r="13247" s="101" customFormat="1" spans="6:6">
      <c r="F13247" s="2423"/>
    </row>
    <row r="13248" s="101" customFormat="1" spans="6:6">
      <c r="F13248" s="2423"/>
    </row>
    <row r="13249" s="101" customFormat="1" spans="6:6">
      <c r="F13249" s="2423"/>
    </row>
    <row r="13250" s="101" customFormat="1" spans="6:6">
      <c r="F13250" s="2423"/>
    </row>
    <row r="13251" s="101" customFormat="1" spans="6:6">
      <c r="F13251" s="2423"/>
    </row>
    <row r="13252" s="101" customFormat="1" spans="6:6">
      <c r="F13252" s="2423"/>
    </row>
    <row r="13253" s="101" customFormat="1" spans="6:6">
      <c r="F13253" s="2423"/>
    </row>
    <row r="13254" s="101" customFormat="1" spans="6:6">
      <c r="F13254" s="2423"/>
    </row>
    <row r="13255" s="101" customFormat="1" spans="6:6">
      <c r="F13255" s="2423"/>
    </row>
    <row r="13256" s="101" customFormat="1" spans="6:6">
      <c r="F13256" s="2423"/>
    </row>
    <row r="13257" s="101" customFormat="1" spans="6:6">
      <c r="F13257" s="2423"/>
    </row>
    <row r="13258" s="101" customFormat="1" spans="6:6">
      <c r="F13258" s="2423"/>
    </row>
    <row r="13259" s="101" customFormat="1" spans="6:6">
      <c r="F13259" s="2423"/>
    </row>
    <row r="13260" s="101" customFormat="1" spans="6:6">
      <c r="F13260" s="2423"/>
    </row>
    <row r="13261" s="101" customFormat="1" spans="6:6">
      <c r="F13261" s="2423"/>
    </row>
    <row r="13262" s="101" customFormat="1" spans="6:6">
      <c r="F13262" s="2423"/>
    </row>
    <row r="13263" s="101" customFormat="1" spans="6:6">
      <c r="F13263" s="2423"/>
    </row>
    <row r="13264" s="101" customFormat="1" spans="6:6">
      <c r="F13264" s="2423"/>
    </row>
    <row r="13265" s="101" customFormat="1" spans="6:6">
      <c r="F13265" s="2423"/>
    </row>
    <row r="13266" s="101" customFormat="1" spans="6:6">
      <c r="F13266" s="2423"/>
    </row>
    <row r="13267" s="101" customFormat="1" spans="6:6">
      <c r="F13267" s="2423"/>
    </row>
    <row r="13268" s="101" customFormat="1" spans="6:6">
      <c r="F13268" s="2423"/>
    </row>
    <row r="13269" s="101" customFormat="1" spans="6:6">
      <c r="F13269" s="2423"/>
    </row>
    <row r="13270" s="101" customFormat="1" spans="6:6">
      <c r="F13270" s="2423"/>
    </row>
    <row r="13271" s="101" customFormat="1" spans="6:6">
      <c r="F13271" s="2423"/>
    </row>
    <row r="13272" s="101" customFormat="1" spans="6:6">
      <c r="F13272" s="2423"/>
    </row>
    <row r="13273" s="101" customFormat="1" spans="6:6">
      <c r="F13273" s="2423"/>
    </row>
    <row r="13274" s="101" customFormat="1" spans="6:6">
      <c r="F13274" s="2423"/>
    </row>
    <row r="13275" s="101" customFormat="1" spans="6:6">
      <c r="F13275" s="2423"/>
    </row>
    <row r="13276" s="101" customFormat="1" spans="6:6">
      <c r="F13276" s="2423"/>
    </row>
    <row r="13277" s="101" customFormat="1" spans="6:6">
      <c r="F13277" s="2423"/>
    </row>
    <row r="13278" s="101" customFormat="1" spans="6:6">
      <c r="F13278" s="2423"/>
    </row>
    <row r="13279" s="101" customFormat="1" spans="6:6">
      <c r="F13279" s="2423"/>
    </row>
    <row r="13280" s="101" customFormat="1" spans="6:6">
      <c r="F13280" s="2423"/>
    </row>
    <row r="13281" s="101" customFormat="1" spans="6:6">
      <c r="F13281" s="2423"/>
    </row>
    <row r="13282" s="101" customFormat="1" spans="6:6">
      <c r="F13282" s="2423"/>
    </row>
    <row r="13283" s="101" customFormat="1" spans="6:6">
      <c r="F13283" s="2423"/>
    </row>
    <row r="13284" s="101" customFormat="1" spans="6:6">
      <c r="F13284" s="2423"/>
    </row>
    <row r="13285" s="101" customFormat="1" spans="6:6">
      <c r="F13285" s="2423"/>
    </row>
    <row r="13286" s="101" customFormat="1" spans="6:6">
      <c r="F13286" s="2423"/>
    </row>
    <row r="13287" s="101" customFormat="1" spans="6:6">
      <c r="F13287" s="2423"/>
    </row>
    <row r="13288" s="101" customFormat="1" spans="6:6">
      <c r="F13288" s="2423"/>
    </row>
    <row r="13289" s="101" customFormat="1" spans="6:6">
      <c r="F13289" s="2423"/>
    </row>
    <row r="13290" s="101" customFormat="1" spans="6:6">
      <c r="F13290" s="2423"/>
    </row>
    <row r="13291" s="101" customFormat="1" spans="6:6">
      <c r="F13291" s="2423"/>
    </row>
    <row r="13292" s="101" customFormat="1" spans="6:6">
      <c r="F13292" s="2423"/>
    </row>
    <row r="13293" s="101" customFormat="1" spans="6:6">
      <c r="F13293" s="2423"/>
    </row>
    <row r="13294" s="101" customFormat="1" spans="6:6">
      <c r="F13294" s="2423"/>
    </row>
    <row r="13295" s="101" customFormat="1" spans="6:6">
      <c r="F13295" s="2423"/>
    </row>
    <row r="13296" s="101" customFormat="1" spans="6:6">
      <c r="F13296" s="2423"/>
    </row>
    <row r="13297" s="101" customFormat="1" spans="6:6">
      <c r="F13297" s="2423"/>
    </row>
    <row r="13298" s="101" customFormat="1" spans="6:6">
      <c r="F13298" s="2423"/>
    </row>
    <row r="13299" s="101" customFormat="1" spans="6:6">
      <c r="F13299" s="2423"/>
    </row>
    <row r="13300" s="101" customFormat="1" spans="6:6">
      <c r="F13300" s="2423"/>
    </row>
    <row r="13301" s="101" customFormat="1" spans="6:6">
      <c r="F13301" s="2423"/>
    </row>
    <row r="13302" s="101" customFormat="1" spans="6:6">
      <c r="F13302" s="2423"/>
    </row>
    <row r="13303" s="101" customFormat="1" spans="6:6">
      <c r="F13303" s="2423"/>
    </row>
    <row r="13304" s="101" customFormat="1" spans="6:6">
      <c r="F13304" s="2423"/>
    </row>
    <row r="13305" s="101" customFormat="1" spans="6:6">
      <c r="F13305" s="2423"/>
    </row>
    <row r="13306" s="101" customFormat="1" spans="6:6">
      <c r="F13306" s="2423"/>
    </row>
    <row r="13307" s="101" customFormat="1" spans="6:6">
      <c r="F13307" s="2423"/>
    </row>
    <row r="13308" s="101" customFormat="1" spans="6:6">
      <c r="F13308" s="2423"/>
    </row>
    <row r="13309" s="101" customFormat="1" spans="6:6">
      <c r="F13309" s="2423"/>
    </row>
    <row r="13310" s="101" customFormat="1" spans="6:6">
      <c r="F13310" s="2423"/>
    </row>
    <row r="13311" s="101" customFormat="1" spans="6:6">
      <c r="F13311" s="2423"/>
    </row>
    <row r="13312" s="101" customFormat="1" spans="6:6">
      <c r="F13312" s="2423"/>
    </row>
    <row r="13313" s="101" customFormat="1" spans="6:6">
      <c r="F13313" s="2423"/>
    </row>
    <row r="13314" s="101" customFormat="1" spans="6:6">
      <c r="F13314" s="2423"/>
    </row>
    <row r="13315" s="101" customFormat="1" spans="6:6">
      <c r="F13315" s="2423"/>
    </row>
    <row r="13316" s="101" customFormat="1" spans="6:6">
      <c r="F13316" s="2423"/>
    </row>
    <row r="13317" s="101" customFormat="1" spans="6:6">
      <c r="F13317" s="2423"/>
    </row>
    <row r="13318" s="101" customFormat="1" spans="6:6">
      <c r="F13318" s="2423"/>
    </row>
    <row r="13319" s="101" customFormat="1" spans="6:6">
      <c r="F13319" s="2423"/>
    </row>
    <row r="13320" s="101" customFormat="1" spans="6:6">
      <c r="F13320" s="2423"/>
    </row>
    <row r="13321" s="101" customFormat="1" spans="6:6">
      <c r="F13321" s="2423"/>
    </row>
    <row r="13322" s="101" customFormat="1" spans="6:6">
      <c r="F13322" s="2423"/>
    </row>
    <row r="13323" s="101" customFormat="1" spans="6:6">
      <c r="F13323" s="2423"/>
    </row>
    <row r="13324" s="101" customFormat="1" spans="6:6">
      <c r="F13324" s="2423"/>
    </row>
    <row r="13325" s="101" customFormat="1" spans="6:6">
      <c r="F13325" s="2423"/>
    </row>
    <row r="13326" s="101" customFormat="1" spans="6:6">
      <c r="F13326" s="2423"/>
    </row>
    <row r="13327" s="101" customFormat="1" spans="6:6">
      <c r="F13327" s="2423"/>
    </row>
    <row r="13328" s="101" customFormat="1" spans="6:6">
      <c r="F13328" s="2423"/>
    </row>
    <row r="13329" s="101" customFormat="1" spans="6:6">
      <c r="F13329" s="2423"/>
    </row>
    <row r="13330" s="101" customFormat="1" spans="6:6">
      <c r="F13330" s="2423"/>
    </row>
    <row r="13331" s="101" customFormat="1" spans="6:6">
      <c r="F13331" s="2423"/>
    </row>
    <row r="13332" s="101" customFormat="1" spans="6:6">
      <c r="F13332" s="2423"/>
    </row>
    <row r="13333" s="101" customFormat="1" spans="6:6">
      <c r="F13333" s="2423"/>
    </row>
    <row r="13334" s="101" customFormat="1" spans="6:6">
      <c r="F13334" s="2423"/>
    </row>
    <row r="13335" s="101" customFormat="1" spans="6:6">
      <c r="F13335" s="2423"/>
    </row>
    <row r="13336" s="101" customFormat="1" spans="6:6">
      <c r="F13336" s="2423"/>
    </row>
    <row r="13337" s="101" customFormat="1" spans="6:6">
      <c r="F13337" s="2423"/>
    </row>
    <row r="13338" s="101" customFormat="1" spans="6:6">
      <c r="F13338" s="2423"/>
    </row>
    <row r="13339" s="101" customFormat="1" spans="6:6">
      <c r="F13339" s="2423"/>
    </row>
    <row r="13340" s="101" customFormat="1" spans="6:6">
      <c r="F13340" s="2423"/>
    </row>
    <row r="13341" s="101" customFormat="1" spans="6:6">
      <c r="F13341" s="2423"/>
    </row>
    <row r="13342" s="101" customFormat="1" spans="6:6">
      <c r="F13342" s="2423"/>
    </row>
    <row r="13343" s="101" customFormat="1" spans="6:6">
      <c r="F13343" s="2423"/>
    </row>
    <row r="13344" s="101" customFormat="1" spans="6:6">
      <c r="F13344" s="2423"/>
    </row>
    <row r="13345" s="101" customFormat="1" spans="6:6">
      <c r="F13345" s="2423"/>
    </row>
    <row r="13346" s="101" customFormat="1" spans="6:6">
      <c r="F13346" s="2423"/>
    </row>
    <row r="13347" s="101" customFormat="1" spans="6:6">
      <c r="F13347" s="2423"/>
    </row>
    <row r="13348" s="101" customFormat="1" spans="6:6">
      <c r="F13348" s="2423"/>
    </row>
    <row r="13349" s="101" customFormat="1" spans="6:6">
      <c r="F13349" s="2423"/>
    </row>
    <row r="13350" s="101" customFormat="1" spans="6:6">
      <c r="F13350" s="2423"/>
    </row>
    <row r="13351" s="101" customFormat="1" spans="6:6">
      <c r="F13351" s="2423"/>
    </row>
    <row r="13352" s="101" customFormat="1" spans="6:6">
      <c r="F13352" s="2423"/>
    </row>
    <row r="13353" s="101" customFormat="1" spans="6:6">
      <c r="F13353" s="2423"/>
    </row>
    <row r="13354" s="101" customFormat="1" spans="6:6">
      <c r="F13354" s="2423"/>
    </row>
    <row r="13355" s="101" customFormat="1" spans="6:6">
      <c r="F13355" s="2423"/>
    </row>
    <row r="13356" s="101" customFormat="1" spans="6:6">
      <c r="F13356" s="2423"/>
    </row>
    <row r="13357" s="101" customFormat="1" spans="6:6">
      <c r="F13357" s="2423"/>
    </row>
    <row r="13358" s="101" customFormat="1" spans="6:6">
      <c r="F13358" s="2423"/>
    </row>
    <row r="13359" s="101" customFormat="1" spans="6:6">
      <c r="F13359" s="2423"/>
    </row>
    <row r="13360" s="101" customFormat="1" spans="6:6">
      <c r="F13360" s="2423"/>
    </row>
    <row r="13361" s="101" customFormat="1" spans="6:6">
      <c r="F13361" s="2423"/>
    </row>
    <row r="13362" s="101" customFormat="1" spans="6:6">
      <c r="F13362" s="2423"/>
    </row>
    <row r="13363" s="101" customFormat="1" spans="6:6">
      <c r="F13363" s="2423"/>
    </row>
    <row r="13364" s="101" customFormat="1" spans="6:6">
      <c r="F13364" s="2423"/>
    </row>
    <row r="13365" s="101" customFormat="1" spans="6:6">
      <c r="F13365" s="2423"/>
    </row>
    <row r="13366" s="101" customFormat="1" spans="6:6">
      <c r="F13366" s="2423"/>
    </row>
    <row r="13367" s="101" customFormat="1" spans="6:6">
      <c r="F13367" s="2423"/>
    </row>
    <row r="13368" s="101" customFormat="1" spans="6:6">
      <c r="F13368" s="2423"/>
    </row>
    <row r="13369" s="101" customFormat="1" spans="6:6">
      <c r="F13369" s="2423"/>
    </row>
    <row r="13370" s="101" customFormat="1" spans="6:6">
      <c r="F13370" s="2423"/>
    </row>
    <row r="13371" s="101" customFormat="1" spans="6:6">
      <c r="F13371" s="2423"/>
    </row>
    <row r="13372" s="101" customFormat="1" spans="6:6">
      <c r="F13372" s="2423"/>
    </row>
    <row r="13373" s="101" customFormat="1" spans="6:6">
      <c r="F13373" s="2423"/>
    </row>
    <row r="13374" s="101" customFormat="1" spans="6:6">
      <c r="F13374" s="2423"/>
    </row>
    <row r="13375" s="101" customFormat="1" spans="6:6">
      <c r="F13375" s="2423"/>
    </row>
    <row r="13376" s="101" customFormat="1" spans="6:6">
      <c r="F13376" s="2423"/>
    </row>
    <row r="13377" s="101" customFormat="1" spans="6:6">
      <c r="F13377" s="2423"/>
    </row>
    <row r="13378" s="101" customFormat="1" spans="6:6">
      <c r="F13378" s="2423"/>
    </row>
    <row r="13379" s="101" customFormat="1" spans="6:6">
      <c r="F13379" s="2423"/>
    </row>
    <row r="13380" s="101" customFormat="1" spans="6:6">
      <c r="F13380" s="2423"/>
    </row>
    <row r="13381" s="101" customFormat="1" spans="6:6">
      <c r="F13381" s="2423"/>
    </row>
    <row r="13382" s="101" customFormat="1" spans="6:6">
      <c r="F13382" s="2423"/>
    </row>
    <row r="13383" s="101" customFormat="1" spans="6:6">
      <c r="F13383" s="2423"/>
    </row>
    <row r="13384" s="101" customFormat="1" spans="6:6">
      <c r="F13384" s="2423"/>
    </row>
    <row r="13385" s="101" customFormat="1" spans="6:6">
      <c r="F13385" s="2423"/>
    </row>
    <row r="13386" s="101" customFormat="1" spans="6:6">
      <c r="F13386" s="2423"/>
    </row>
    <row r="13387" s="101" customFormat="1" spans="6:6">
      <c r="F13387" s="2423"/>
    </row>
    <row r="13388" s="101" customFormat="1" spans="6:6">
      <c r="F13388" s="2423"/>
    </row>
    <row r="13389" s="101" customFormat="1" spans="6:6">
      <c r="F13389" s="2423"/>
    </row>
    <row r="13390" s="101" customFormat="1" spans="6:6">
      <c r="F13390" s="2423"/>
    </row>
    <row r="13391" s="101" customFormat="1" spans="6:6">
      <c r="F13391" s="2423"/>
    </row>
    <row r="13392" s="101" customFormat="1" spans="6:6">
      <c r="F13392" s="2423"/>
    </row>
    <row r="13393" s="101" customFormat="1" spans="6:6">
      <c r="F13393" s="2423"/>
    </row>
    <row r="13394" s="101" customFormat="1" spans="6:6">
      <c r="F13394" s="2423"/>
    </row>
    <row r="13395" s="101" customFormat="1" spans="6:6">
      <c r="F13395" s="2423"/>
    </row>
    <row r="13396" s="101" customFormat="1" spans="6:6">
      <c r="F13396" s="2423"/>
    </row>
    <row r="13397" s="101" customFormat="1" spans="6:6">
      <c r="F13397" s="2423"/>
    </row>
    <row r="13398" s="101" customFormat="1" spans="6:6">
      <c r="F13398" s="2423"/>
    </row>
    <row r="13399" s="101" customFormat="1" spans="6:6">
      <c r="F13399" s="2423"/>
    </row>
    <row r="13400" s="101" customFormat="1" spans="6:6">
      <c r="F13400" s="2423"/>
    </row>
    <row r="13401" s="101" customFormat="1" spans="6:6">
      <c r="F13401" s="2423"/>
    </row>
    <row r="13402" s="101" customFormat="1" spans="6:6">
      <c r="F13402" s="2423"/>
    </row>
    <row r="13403" s="101" customFormat="1" spans="6:6">
      <c r="F13403" s="2423"/>
    </row>
    <row r="13404" s="101" customFormat="1" spans="6:6">
      <c r="F13404" s="2423"/>
    </row>
    <row r="13405" s="101" customFormat="1" spans="6:6">
      <c r="F13405" s="2423"/>
    </row>
    <row r="13406" s="101" customFormat="1" spans="6:6">
      <c r="F13406" s="2423"/>
    </row>
    <row r="13407" s="101" customFormat="1" spans="6:6">
      <c r="F13407" s="2423"/>
    </row>
    <row r="13408" s="101" customFormat="1" spans="6:6">
      <c r="F13408" s="2423"/>
    </row>
    <row r="13409" s="101" customFormat="1" spans="6:6">
      <c r="F13409" s="2423"/>
    </row>
    <row r="13410" s="101" customFormat="1" spans="6:6">
      <c r="F13410" s="2423"/>
    </row>
    <row r="13411" s="101" customFormat="1" spans="6:6">
      <c r="F13411" s="2423"/>
    </row>
    <row r="13412" s="101" customFormat="1" spans="6:6">
      <c r="F13412" s="2423"/>
    </row>
    <row r="13413" s="101" customFormat="1" spans="6:6">
      <c r="F13413" s="2423"/>
    </row>
    <row r="13414" s="101" customFormat="1" spans="6:6">
      <c r="F13414" s="2423"/>
    </row>
    <row r="13415" s="101" customFormat="1" spans="6:6">
      <c r="F13415" s="2423"/>
    </row>
    <row r="13416" s="101" customFormat="1" spans="6:6">
      <c r="F13416" s="2423"/>
    </row>
    <row r="13417" s="101" customFormat="1" spans="6:6">
      <c r="F13417" s="2423"/>
    </row>
    <row r="13418" s="101" customFormat="1" spans="6:6">
      <c r="F13418" s="2423"/>
    </row>
    <row r="13419" s="101" customFormat="1" spans="6:6">
      <c r="F13419" s="2423"/>
    </row>
    <row r="13420" s="101" customFormat="1" spans="6:6">
      <c r="F13420" s="2423"/>
    </row>
    <row r="13421" s="101" customFormat="1" spans="6:6">
      <c r="F13421" s="2423"/>
    </row>
    <row r="13422" s="101" customFormat="1" spans="6:6">
      <c r="F13422" s="2423"/>
    </row>
    <row r="13423" s="101" customFormat="1" spans="6:6">
      <c r="F13423" s="2423"/>
    </row>
    <row r="13424" s="101" customFormat="1" spans="6:6">
      <c r="F13424" s="2423"/>
    </row>
    <row r="13425" s="101" customFormat="1" spans="6:6">
      <c r="F13425" s="2423"/>
    </row>
    <row r="13426" s="101" customFormat="1" spans="6:6">
      <c r="F13426" s="2423"/>
    </row>
    <row r="13427" s="101" customFormat="1" spans="6:6">
      <c r="F13427" s="2423"/>
    </row>
    <row r="13428" s="101" customFormat="1" spans="6:6">
      <c r="F13428" s="2423"/>
    </row>
    <row r="13429" s="101" customFormat="1" spans="6:6">
      <c r="F13429" s="2423"/>
    </row>
    <row r="13430" s="101" customFormat="1" spans="6:6">
      <c r="F13430" s="2423"/>
    </row>
    <row r="13431" s="101" customFormat="1" spans="6:6">
      <c r="F13431" s="2423"/>
    </row>
    <row r="13432" s="101" customFormat="1" spans="6:6">
      <c r="F13432" s="2423"/>
    </row>
    <row r="13433" s="101" customFormat="1" spans="6:6">
      <c r="F13433" s="2423"/>
    </row>
    <row r="13434" s="101" customFormat="1" spans="6:6">
      <c r="F13434" s="2423"/>
    </row>
    <row r="13435" s="101" customFormat="1" spans="6:6">
      <c r="F13435" s="2423"/>
    </row>
    <row r="13436" s="101" customFormat="1" spans="6:6">
      <c r="F13436" s="2423"/>
    </row>
    <row r="13437" s="101" customFormat="1" spans="6:6">
      <c r="F13437" s="2423"/>
    </row>
    <row r="13438" s="101" customFormat="1" spans="6:6">
      <c r="F13438" s="2423"/>
    </row>
    <row r="13439" s="101" customFormat="1" spans="6:6">
      <c r="F13439" s="2423"/>
    </row>
    <row r="13440" s="101" customFormat="1" spans="6:6">
      <c r="F13440" s="2423"/>
    </row>
    <row r="13441" s="101" customFormat="1" spans="6:6">
      <c r="F13441" s="2423"/>
    </row>
    <row r="13442" s="101" customFormat="1" spans="6:6">
      <c r="F13442" s="2423"/>
    </row>
    <row r="13443" s="101" customFormat="1" spans="6:6">
      <c r="F13443" s="2423"/>
    </row>
    <row r="13444" s="101" customFormat="1" spans="6:6">
      <c r="F13444" s="2423"/>
    </row>
    <row r="13445" s="101" customFormat="1" spans="6:6">
      <c r="F13445" s="2423"/>
    </row>
    <row r="13446" s="101" customFormat="1" spans="6:6">
      <c r="F13446" s="2423"/>
    </row>
    <row r="13447" s="101" customFormat="1" spans="6:6">
      <c r="F13447" s="2423"/>
    </row>
    <row r="13448" s="101" customFormat="1" spans="6:6">
      <c r="F13448" s="2423"/>
    </row>
    <row r="13449" s="101" customFormat="1" spans="6:6">
      <c r="F13449" s="2423"/>
    </row>
    <row r="13450" s="101" customFormat="1" spans="6:6">
      <c r="F13450" s="2423"/>
    </row>
    <row r="13451" s="101" customFormat="1" spans="6:6">
      <c r="F13451" s="2423"/>
    </row>
    <row r="13452" s="101" customFormat="1" spans="6:6">
      <c r="F13452" s="2423"/>
    </row>
    <row r="13453" s="101" customFormat="1" spans="6:6">
      <c r="F13453" s="2423"/>
    </row>
    <row r="13454" s="101" customFormat="1" spans="6:6">
      <c r="F13454" s="2423"/>
    </row>
    <row r="13455" s="101" customFormat="1" spans="6:6">
      <c r="F13455" s="2423"/>
    </row>
    <row r="13456" s="101" customFormat="1" spans="6:6">
      <c r="F13456" s="2423"/>
    </row>
    <row r="13457" s="101" customFormat="1" spans="6:6">
      <c r="F13457" s="2423"/>
    </row>
    <row r="13458" s="101" customFormat="1" spans="6:6">
      <c r="F13458" s="2423"/>
    </row>
    <row r="13459" s="101" customFormat="1" spans="6:6">
      <c r="F13459" s="2423"/>
    </row>
    <row r="13460" s="101" customFormat="1" spans="6:6">
      <c r="F13460" s="2423"/>
    </row>
    <row r="13461" s="101" customFormat="1" spans="6:6">
      <c r="F13461" s="2423"/>
    </row>
    <row r="13462" s="101" customFormat="1" spans="6:6">
      <c r="F13462" s="2423"/>
    </row>
    <row r="13463" s="101" customFormat="1" spans="6:6">
      <c r="F13463" s="2423"/>
    </row>
    <row r="13464" s="101" customFormat="1" spans="6:6">
      <c r="F13464" s="2423"/>
    </row>
    <row r="13465" s="101" customFormat="1" spans="6:6">
      <c r="F13465" s="2423"/>
    </row>
    <row r="13466" s="101" customFormat="1" spans="6:6">
      <c r="F13466" s="2423"/>
    </row>
    <row r="13467" s="101" customFormat="1" spans="6:6">
      <c r="F13467" s="2423"/>
    </row>
    <row r="13468" s="101" customFormat="1" spans="6:6">
      <c r="F13468" s="2423"/>
    </row>
    <row r="13469" s="101" customFormat="1" spans="6:6">
      <c r="F13469" s="2423"/>
    </row>
    <row r="13470" s="101" customFormat="1" spans="6:6">
      <c r="F13470" s="2423"/>
    </row>
    <row r="13471" s="101" customFormat="1" spans="6:6">
      <c r="F13471" s="2423"/>
    </row>
    <row r="13472" s="101" customFormat="1" spans="6:6">
      <c r="F13472" s="2423"/>
    </row>
    <row r="13473" s="101" customFormat="1" spans="6:6">
      <c r="F13473" s="2423"/>
    </row>
    <row r="13474" s="101" customFormat="1" spans="6:6">
      <c r="F13474" s="2423"/>
    </row>
    <row r="13475" s="101" customFormat="1" spans="6:6">
      <c r="F13475" s="2423"/>
    </row>
    <row r="13476" s="101" customFormat="1" spans="6:6">
      <c r="F13476" s="2423"/>
    </row>
    <row r="13477" s="101" customFormat="1" spans="6:6">
      <c r="F13477" s="2423"/>
    </row>
    <row r="13478" s="101" customFormat="1" spans="6:6">
      <c r="F13478" s="2423"/>
    </row>
    <row r="13479" s="101" customFormat="1" spans="6:6">
      <c r="F13479" s="2423"/>
    </row>
    <row r="13480" s="101" customFormat="1" spans="6:6">
      <c r="F13480" s="2423"/>
    </row>
    <row r="13481" s="101" customFormat="1" spans="6:6">
      <c r="F13481" s="2423"/>
    </row>
    <row r="13482" s="101" customFormat="1" spans="6:6">
      <c r="F13482" s="2423"/>
    </row>
    <row r="13483" s="101" customFormat="1" spans="6:6">
      <c r="F13483" s="2423"/>
    </row>
    <row r="13484" s="101" customFormat="1" spans="6:6">
      <c r="F13484" s="2423"/>
    </row>
    <row r="13485" s="101" customFormat="1" spans="6:6">
      <c r="F13485" s="2423"/>
    </row>
    <row r="13486" s="101" customFormat="1" spans="6:6">
      <c r="F13486" s="2423"/>
    </row>
    <row r="13487" s="101" customFormat="1" spans="6:6">
      <c r="F13487" s="2423"/>
    </row>
    <row r="13488" s="101" customFormat="1" spans="6:6">
      <c r="F13488" s="2423"/>
    </row>
    <row r="13489" s="101" customFormat="1" spans="6:6">
      <c r="F13489" s="2423"/>
    </row>
    <row r="13490" s="101" customFormat="1" spans="6:6">
      <c r="F13490" s="2423"/>
    </row>
    <row r="13491" s="101" customFormat="1" spans="6:6">
      <c r="F13491" s="2423"/>
    </row>
    <row r="13492" s="101" customFormat="1" spans="6:6">
      <c r="F13492" s="2423"/>
    </row>
    <row r="13493" s="101" customFormat="1" spans="6:6">
      <c r="F13493" s="2423"/>
    </row>
    <row r="13494" s="101" customFormat="1" spans="6:6">
      <c r="F13494" s="2423"/>
    </row>
    <row r="13495" s="101" customFormat="1" spans="6:6">
      <c r="F13495" s="2423"/>
    </row>
    <row r="13496" s="101" customFormat="1" spans="6:6">
      <c r="F13496" s="2423"/>
    </row>
    <row r="13497" s="101" customFormat="1" spans="6:6">
      <c r="F13497" s="2423"/>
    </row>
    <row r="13498" s="101" customFormat="1" spans="6:6">
      <c r="F13498" s="2423"/>
    </row>
    <row r="13499" s="101" customFormat="1" spans="6:6">
      <c r="F13499" s="2423"/>
    </row>
    <row r="13500" s="101" customFormat="1" spans="6:6">
      <c r="F13500" s="2423"/>
    </row>
    <row r="13501" s="101" customFormat="1" spans="6:6">
      <c r="F13501" s="2423"/>
    </row>
    <row r="13502" s="101" customFormat="1" spans="6:6">
      <c r="F13502" s="2423"/>
    </row>
    <row r="13503" s="101" customFormat="1" spans="6:6">
      <c r="F13503" s="2423"/>
    </row>
    <row r="13504" s="101" customFormat="1" spans="6:6">
      <c r="F13504" s="2423"/>
    </row>
    <row r="13505" s="101" customFormat="1" spans="6:6">
      <c r="F13505" s="2423"/>
    </row>
    <row r="13506" s="101" customFormat="1" spans="6:6">
      <c r="F13506" s="2423"/>
    </row>
    <row r="13507" s="101" customFormat="1" spans="6:6">
      <c r="F13507" s="2423"/>
    </row>
    <row r="13508" s="101" customFormat="1" spans="6:6">
      <c r="F13508" s="2423"/>
    </row>
    <row r="13509" s="101" customFormat="1" spans="6:6">
      <c r="F13509" s="2423"/>
    </row>
    <row r="13510" s="101" customFormat="1" spans="6:6">
      <c r="F13510" s="2423"/>
    </row>
    <row r="13511" s="101" customFormat="1" spans="6:6">
      <c r="F13511" s="2423"/>
    </row>
    <row r="13512" s="101" customFormat="1" spans="6:6">
      <c r="F13512" s="2423"/>
    </row>
    <row r="13513" s="101" customFormat="1" spans="6:6">
      <c r="F13513" s="2423"/>
    </row>
    <row r="13514" s="101" customFormat="1" spans="6:6">
      <c r="F13514" s="2423"/>
    </row>
    <row r="13515" s="101" customFormat="1" spans="6:6">
      <c r="F13515" s="2423"/>
    </row>
    <row r="13516" s="101" customFormat="1" spans="6:6">
      <c r="F13516" s="2423"/>
    </row>
    <row r="13517" s="101" customFormat="1" spans="6:6">
      <c r="F13517" s="2423"/>
    </row>
    <row r="13518" s="101" customFormat="1" spans="6:6">
      <c r="F13518" s="2423"/>
    </row>
    <row r="13519" s="101" customFormat="1" spans="6:6">
      <c r="F13519" s="2423"/>
    </row>
    <row r="13520" s="101" customFormat="1" spans="6:6">
      <c r="F13520" s="2423"/>
    </row>
    <row r="13521" s="101" customFormat="1" spans="6:6">
      <c r="F13521" s="2423"/>
    </row>
    <row r="13522" s="101" customFormat="1" spans="6:6">
      <c r="F13522" s="2423"/>
    </row>
    <row r="13523" s="101" customFormat="1" spans="6:6">
      <c r="F13523" s="2423"/>
    </row>
    <row r="13524" s="101" customFormat="1" spans="6:6">
      <c r="F13524" s="2423"/>
    </row>
    <row r="13525" s="101" customFormat="1" spans="6:6">
      <c r="F13525" s="2423"/>
    </row>
    <row r="13526" s="101" customFormat="1" spans="6:6">
      <c r="F13526" s="2423"/>
    </row>
    <row r="13527" s="101" customFormat="1" spans="6:6">
      <c r="F13527" s="2423"/>
    </row>
    <row r="13528" s="101" customFormat="1" spans="6:6">
      <c r="F13528" s="2423"/>
    </row>
    <row r="13529" s="101" customFormat="1" spans="6:6">
      <c r="F13529" s="2423"/>
    </row>
    <row r="13530" s="101" customFormat="1" spans="6:6">
      <c r="F13530" s="2423"/>
    </row>
    <row r="13531" s="101" customFormat="1" spans="6:6">
      <c r="F13531" s="2423"/>
    </row>
    <row r="13532" s="101" customFormat="1" spans="6:6">
      <c r="F13532" s="2423"/>
    </row>
    <row r="13533" s="101" customFormat="1" spans="6:6">
      <c r="F13533" s="2423"/>
    </row>
    <row r="13534" s="101" customFormat="1" spans="6:6">
      <c r="F13534" s="2423"/>
    </row>
    <row r="13535" s="101" customFormat="1" spans="6:6">
      <c r="F13535" s="2423"/>
    </row>
    <row r="13536" s="101" customFormat="1" spans="6:6">
      <c r="F13536" s="2423"/>
    </row>
    <row r="13537" s="101" customFormat="1" spans="6:6">
      <c r="F13537" s="2423"/>
    </row>
    <row r="13538" s="101" customFormat="1" spans="6:6">
      <c r="F13538" s="2423"/>
    </row>
    <row r="13539" s="101" customFormat="1" spans="6:6">
      <c r="F13539" s="2423"/>
    </row>
    <row r="13540" s="101" customFormat="1" spans="6:6">
      <c r="F13540" s="2423"/>
    </row>
    <row r="13541" s="101" customFormat="1" spans="6:6">
      <c r="F13541" s="2423"/>
    </row>
    <row r="13542" s="101" customFormat="1" spans="6:6">
      <c r="F13542" s="2423"/>
    </row>
    <row r="13543" s="101" customFormat="1" spans="6:6">
      <c r="F13543" s="2423"/>
    </row>
    <row r="13544" s="101" customFormat="1" spans="6:6">
      <c r="F13544" s="2423"/>
    </row>
    <row r="13545" s="101" customFormat="1" spans="6:6">
      <c r="F13545" s="2423"/>
    </row>
    <row r="13546" s="101" customFormat="1" spans="6:6">
      <c r="F13546" s="2423"/>
    </row>
    <row r="13547" s="101" customFormat="1" spans="6:6">
      <c r="F13547" s="2423"/>
    </row>
    <row r="13548" s="101" customFormat="1" spans="6:6">
      <c r="F13548" s="2423"/>
    </row>
    <row r="13549" s="101" customFormat="1" spans="6:6">
      <c r="F13549" s="2423"/>
    </row>
    <row r="13550" s="101" customFormat="1" spans="6:6">
      <c r="F13550" s="2423"/>
    </row>
    <row r="13551" s="101" customFormat="1" spans="6:6">
      <c r="F13551" s="2423"/>
    </row>
    <row r="13552" s="101" customFormat="1" spans="6:6">
      <c r="F13552" s="2423"/>
    </row>
    <row r="13553" s="101" customFormat="1" spans="6:6">
      <c r="F13553" s="2423"/>
    </row>
    <row r="13554" s="101" customFormat="1" spans="6:6">
      <c r="F13554" s="2423"/>
    </row>
    <row r="13555" s="101" customFormat="1" spans="6:6">
      <c r="F13555" s="2423"/>
    </row>
    <row r="13556" s="101" customFormat="1" spans="6:6">
      <c r="F13556" s="2423"/>
    </row>
    <row r="13557" s="101" customFormat="1" spans="6:6">
      <c r="F13557" s="2423"/>
    </row>
    <row r="13558" s="101" customFormat="1" spans="6:6">
      <c r="F13558" s="2423"/>
    </row>
    <row r="13559" s="101" customFormat="1" spans="6:6">
      <c r="F13559" s="2423"/>
    </row>
    <row r="13560" s="101" customFormat="1" spans="6:6">
      <c r="F13560" s="2423"/>
    </row>
    <row r="13561" s="101" customFormat="1" spans="6:6">
      <c r="F13561" s="2423"/>
    </row>
    <row r="13562" s="101" customFormat="1" spans="6:6">
      <c r="F13562" s="2423"/>
    </row>
    <row r="13563" s="101" customFormat="1" spans="6:6">
      <c r="F13563" s="2423"/>
    </row>
    <row r="13564" s="101" customFormat="1" spans="6:6">
      <c r="F13564" s="2423"/>
    </row>
    <row r="13565" s="101" customFormat="1" spans="6:6">
      <c r="F13565" s="2423"/>
    </row>
    <row r="13566" s="101" customFormat="1" spans="6:6">
      <c r="F13566" s="2423"/>
    </row>
    <row r="13567" s="101" customFormat="1" spans="6:6">
      <c r="F13567" s="2423"/>
    </row>
    <row r="13568" s="101" customFormat="1" spans="6:6">
      <c r="F13568" s="2423"/>
    </row>
    <row r="13569" s="101" customFormat="1" spans="6:6">
      <c r="F13569" s="2423"/>
    </row>
    <row r="13570" s="101" customFormat="1" spans="6:6">
      <c r="F13570" s="2423"/>
    </row>
    <row r="13571" s="101" customFormat="1" spans="6:6">
      <c r="F13571" s="2423"/>
    </row>
    <row r="13572" s="101" customFormat="1" spans="6:6">
      <c r="F13572" s="2423"/>
    </row>
    <row r="13573" s="101" customFormat="1" spans="6:6">
      <c r="F13573" s="2423"/>
    </row>
    <row r="13574" s="101" customFormat="1" spans="6:6">
      <c r="F13574" s="2423"/>
    </row>
    <row r="13575" s="101" customFormat="1" spans="6:6">
      <c r="F13575" s="2423"/>
    </row>
    <row r="13576" s="101" customFormat="1" spans="6:6">
      <c r="F13576" s="2423"/>
    </row>
    <row r="13577" s="101" customFormat="1" spans="6:6">
      <c r="F13577" s="2423"/>
    </row>
    <row r="13578" s="101" customFormat="1" spans="6:6">
      <c r="F13578" s="2423"/>
    </row>
    <row r="13579" s="101" customFormat="1" spans="6:6">
      <c r="F13579" s="2423"/>
    </row>
    <row r="13580" s="101" customFormat="1" spans="6:6">
      <c r="F13580" s="2423"/>
    </row>
    <row r="13581" s="101" customFormat="1" spans="6:6">
      <c r="F13581" s="2423"/>
    </row>
    <row r="13582" s="101" customFormat="1" spans="6:6">
      <c r="F13582" s="2423"/>
    </row>
    <row r="13583" s="101" customFormat="1" spans="6:6">
      <c r="F13583" s="2423"/>
    </row>
    <row r="13584" s="101" customFormat="1" spans="6:6">
      <c r="F13584" s="2423"/>
    </row>
    <row r="13585" s="101" customFormat="1" spans="6:6">
      <c r="F13585" s="2423"/>
    </row>
    <row r="13586" s="101" customFormat="1" spans="6:6">
      <c r="F13586" s="2423"/>
    </row>
    <row r="13587" s="101" customFormat="1" spans="6:6">
      <c r="F13587" s="2423"/>
    </row>
    <row r="13588" s="101" customFormat="1" spans="6:6">
      <c r="F13588" s="2423"/>
    </row>
    <row r="13589" s="101" customFormat="1" spans="6:6">
      <c r="F13589" s="2423"/>
    </row>
    <row r="13590" s="101" customFormat="1" spans="6:6">
      <c r="F13590" s="2423"/>
    </row>
    <row r="13591" s="101" customFormat="1" spans="6:6">
      <c r="F13591" s="2423"/>
    </row>
    <row r="13592" s="101" customFormat="1" spans="6:6">
      <c r="F13592" s="2423"/>
    </row>
    <row r="13593" s="101" customFormat="1" spans="6:6">
      <c r="F13593" s="2423"/>
    </row>
    <row r="13594" s="101" customFormat="1" spans="6:6">
      <c r="F13594" s="2423"/>
    </row>
    <row r="13595" s="101" customFormat="1" spans="6:6">
      <c r="F13595" s="2423"/>
    </row>
    <row r="13596" s="101" customFormat="1" spans="6:6">
      <c r="F13596" s="2423"/>
    </row>
    <row r="13597" s="101" customFormat="1" spans="6:6">
      <c r="F13597" s="2423"/>
    </row>
    <row r="13598" s="101" customFormat="1" spans="6:6">
      <c r="F13598" s="2423"/>
    </row>
    <row r="13599" s="101" customFormat="1" spans="6:6">
      <c r="F13599" s="2423"/>
    </row>
    <row r="13600" s="101" customFormat="1" spans="6:6">
      <c r="F13600" s="2423"/>
    </row>
    <row r="13601" s="101" customFormat="1" spans="6:6">
      <c r="F13601" s="2423"/>
    </row>
    <row r="13602" s="101" customFormat="1" spans="6:6">
      <c r="F13602" s="2423"/>
    </row>
    <row r="13603" s="101" customFormat="1" spans="6:6">
      <c r="F13603" s="2423"/>
    </row>
    <row r="13604" s="101" customFormat="1" spans="6:6">
      <c r="F13604" s="2423"/>
    </row>
    <row r="13605" s="101" customFormat="1" spans="6:6">
      <c r="F13605" s="2423"/>
    </row>
    <row r="13606" s="101" customFormat="1" spans="6:6">
      <c r="F13606" s="2423"/>
    </row>
    <row r="13607" s="101" customFormat="1" spans="6:6">
      <c r="F13607" s="2423"/>
    </row>
    <row r="13608" s="101" customFormat="1" spans="6:6">
      <c r="F13608" s="2423"/>
    </row>
    <row r="13609" s="101" customFormat="1" spans="6:6">
      <c r="F13609" s="2423"/>
    </row>
    <row r="13610" s="101" customFormat="1" spans="6:6">
      <c r="F13610" s="2423"/>
    </row>
    <row r="13611" s="101" customFormat="1" spans="6:6">
      <c r="F13611" s="2423"/>
    </row>
    <row r="13612" s="101" customFormat="1" spans="6:6">
      <c r="F13612" s="2423"/>
    </row>
    <row r="13613" s="101" customFormat="1" spans="6:6">
      <c r="F13613" s="2423"/>
    </row>
    <row r="13614" s="101" customFormat="1" spans="6:6">
      <c r="F13614" s="2423"/>
    </row>
    <row r="13615" s="101" customFormat="1" spans="6:6">
      <c r="F13615" s="2423"/>
    </row>
    <row r="13616" s="101" customFormat="1" spans="6:6">
      <c r="F13616" s="2423"/>
    </row>
    <row r="13617" s="101" customFormat="1" spans="6:6">
      <c r="F13617" s="2423"/>
    </row>
    <row r="13618" s="101" customFormat="1" spans="6:6">
      <c r="F13618" s="2423"/>
    </row>
    <row r="13619" s="101" customFormat="1" spans="6:6">
      <c r="F13619" s="2423"/>
    </row>
    <row r="13620" s="101" customFormat="1" spans="6:6">
      <c r="F13620" s="2423"/>
    </row>
    <row r="13621" s="101" customFormat="1" spans="6:6">
      <c r="F13621" s="2423"/>
    </row>
    <row r="13622" s="101" customFormat="1" spans="6:6">
      <c r="F13622" s="2423"/>
    </row>
    <row r="13623" s="101" customFormat="1" spans="6:6">
      <c r="F13623" s="2423"/>
    </row>
    <row r="13624" s="101" customFormat="1" spans="6:6">
      <c r="F13624" s="2423"/>
    </row>
    <row r="13625" s="101" customFormat="1" spans="6:6">
      <c r="F13625" s="2423"/>
    </row>
    <row r="13626" s="101" customFormat="1" spans="6:6">
      <c r="F13626" s="2423"/>
    </row>
    <row r="13627" s="101" customFormat="1" spans="6:6">
      <c r="F13627" s="2423"/>
    </row>
    <row r="13628" s="101" customFormat="1" spans="6:6">
      <c r="F13628" s="2423"/>
    </row>
    <row r="13629" s="101" customFormat="1" spans="6:6">
      <c r="F13629" s="2423"/>
    </row>
    <row r="13630" s="101" customFormat="1" spans="6:6">
      <c r="F13630" s="2423"/>
    </row>
    <row r="13631" s="101" customFormat="1" spans="6:6">
      <c r="F13631" s="2423"/>
    </row>
    <row r="13632" s="101" customFormat="1" spans="6:6">
      <c r="F13632" s="2423"/>
    </row>
    <row r="13633" s="101" customFormat="1" spans="6:6">
      <c r="F13633" s="2423"/>
    </row>
    <row r="13634" s="101" customFormat="1" spans="6:6">
      <c r="F13634" s="2423"/>
    </row>
    <row r="13635" s="101" customFormat="1" spans="6:6">
      <c r="F13635" s="2423"/>
    </row>
    <row r="13636" s="101" customFormat="1" spans="6:6">
      <c r="F13636" s="2423"/>
    </row>
    <row r="13637" s="101" customFormat="1" spans="6:6">
      <c r="F13637" s="2423"/>
    </row>
    <row r="13638" s="101" customFormat="1" spans="6:6">
      <c r="F13638" s="2423"/>
    </row>
    <row r="13639" s="101" customFormat="1" spans="6:6">
      <c r="F13639" s="2423"/>
    </row>
    <row r="13640" s="101" customFormat="1" spans="6:6">
      <c r="F13640" s="2423"/>
    </row>
    <row r="13641" s="101" customFormat="1" spans="6:6">
      <c r="F13641" s="2423"/>
    </row>
    <row r="13642" s="101" customFormat="1" spans="6:6">
      <c r="F13642" s="2423"/>
    </row>
    <row r="13643" s="101" customFormat="1" spans="6:6">
      <c r="F13643" s="2423"/>
    </row>
    <row r="13644" s="101" customFormat="1" spans="6:6">
      <c r="F13644" s="2423"/>
    </row>
    <row r="13645" s="101" customFormat="1" spans="6:6">
      <c r="F13645" s="2423"/>
    </row>
    <row r="13646" s="101" customFormat="1" spans="6:6">
      <c r="F13646" s="2423"/>
    </row>
    <row r="13647" s="101" customFormat="1" spans="6:6">
      <c r="F13647" s="2423"/>
    </row>
    <row r="13648" s="101" customFormat="1" spans="6:6">
      <c r="F13648" s="2423"/>
    </row>
    <row r="13649" s="101" customFormat="1" spans="6:6">
      <c r="F13649" s="2423"/>
    </row>
    <row r="13650" s="101" customFormat="1" spans="6:6">
      <c r="F13650" s="2423"/>
    </row>
    <row r="13651" s="101" customFormat="1" spans="6:6">
      <c r="F13651" s="2423"/>
    </row>
    <row r="13652" s="101" customFormat="1" spans="6:6">
      <c r="F13652" s="2423"/>
    </row>
    <row r="13653" s="101" customFormat="1" spans="6:6">
      <c r="F13653" s="2423"/>
    </row>
    <row r="13654" s="101" customFormat="1" spans="6:6">
      <c r="F13654" s="2423"/>
    </row>
    <row r="13655" s="101" customFormat="1" spans="6:6">
      <c r="F13655" s="2423"/>
    </row>
    <row r="13656" s="101" customFormat="1" spans="6:6">
      <c r="F13656" s="2423"/>
    </row>
    <row r="13657" s="101" customFormat="1" spans="6:6">
      <c r="F13657" s="2423"/>
    </row>
    <row r="13658" s="101" customFormat="1" spans="6:6">
      <c r="F13658" s="2423"/>
    </row>
    <row r="13659" s="101" customFormat="1" spans="6:6">
      <c r="F13659" s="2423"/>
    </row>
    <row r="13660" s="101" customFormat="1" spans="6:6">
      <c r="F13660" s="2423"/>
    </row>
    <row r="13661" s="101" customFormat="1" spans="6:6">
      <c r="F13661" s="2423"/>
    </row>
    <row r="13662" s="101" customFormat="1" spans="6:6">
      <c r="F13662" s="2423"/>
    </row>
    <row r="13663" s="101" customFormat="1" spans="6:6">
      <c r="F13663" s="2423"/>
    </row>
    <row r="13664" s="101" customFormat="1" spans="6:6">
      <c r="F13664" s="2423"/>
    </row>
    <row r="13665" s="101" customFormat="1" spans="6:6">
      <c r="F13665" s="2423"/>
    </row>
    <row r="13666" s="101" customFormat="1" spans="6:6">
      <c r="F13666" s="2423"/>
    </row>
    <row r="13667" s="101" customFormat="1" spans="6:6">
      <c r="F13667" s="2423"/>
    </row>
    <row r="13668" s="101" customFormat="1" spans="6:6">
      <c r="F13668" s="2423"/>
    </row>
    <row r="13669" s="101" customFormat="1" spans="6:6">
      <c r="F13669" s="2423"/>
    </row>
    <row r="13670" s="101" customFormat="1" spans="6:6">
      <c r="F13670" s="2423"/>
    </row>
    <row r="13671" s="101" customFormat="1" spans="6:6">
      <c r="F13671" s="2423"/>
    </row>
    <row r="13672" s="101" customFormat="1" spans="6:6">
      <c r="F13672" s="2423"/>
    </row>
    <row r="13673" s="101" customFormat="1" spans="6:6">
      <c r="F13673" s="2423"/>
    </row>
    <row r="13674" s="101" customFormat="1" spans="6:6">
      <c r="F13674" s="2423"/>
    </row>
    <row r="13675" s="101" customFormat="1" spans="6:6">
      <c r="F13675" s="2423"/>
    </row>
    <row r="13676" s="101" customFormat="1" spans="6:6">
      <c r="F13676" s="2423"/>
    </row>
    <row r="13677" s="101" customFormat="1" spans="6:6">
      <c r="F13677" s="2423"/>
    </row>
    <row r="13678" s="101" customFormat="1" spans="6:6">
      <c r="F13678" s="2423"/>
    </row>
    <row r="13679" s="101" customFormat="1" spans="6:6">
      <c r="F13679" s="2423"/>
    </row>
    <row r="13680" s="101" customFormat="1" spans="6:6">
      <c r="F13680" s="2423"/>
    </row>
    <row r="13681" s="101" customFormat="1" spans="6:6">
      <c r="F13681" s="2423"/>
    </row>
    <row r="13682" s="101" customFormat="1" spans="6:6">
      <c r="F13682" s="2423"/>
    </row>
    <row r="13683" s="101" customFormat="1" spans="6:6">
      <c r="F13683" s="2423"/>
    </row>
    <row r="13684" s="101" customFormat="1" spans="6:6">
      <c r="F13684" s="2423"/>
    </row>
    <row r="13685" s="101" customFormat="1" spans="6:6">
      <c r="F13685" s="2423"/>
    </row>
    <row r="13686" s="101" customFormat="1" spans="6:6">
      <c r="F13686" s="2423"/>
    </row>
    <row r="13687" s="101" customFormat="1" spans="6:6">
      <c r="F13687" s="2423"/>
    </row>
    <row r="13688" s="101" customFormat="1" spans="6:6">
      <c r="F13688" s="2423"/>
    </row>
    <row r="13689" s="101" customFormat="1" spans="6:6">
      <c r="F13689" s="2423"/>
    </row>
    <row r="13690" s="101" customFormat="1" spans="6:6">
      <c r="F13690" s="2423"/>
    </row>
    <row r="13691" s="101" customFormat="1" spans="6:6">
      <c r="F13691" s="2423"/>
    </row>
    <row r="13692" s="101" customFormat="1" spans="6:6">
      <c r="F13692" s="2423"/>
    </row>
    <row r="13693" s="101" customFormat="1" spans="6:6">
      <c r="F13693" s="2423"/>
    </row>
    <row r="13694" s="101" customFormat="1" spans="6:6">
      <c r="F13694" s="2423"/>
    </row>
    <row r="13695" s="101" customFormat="1" spans="6:6">
      <c r="F13695" s="2423"/>
    </row>
    <row r="13696" s="101" customFormat="1" spans="6:6">
      <c r="F13696" s="2423"/>
    </row>
    <row r="13697" s="101" customFormat="1" spans="6:6">
      <c r="F13697" s="2423"/>
    </row>
    <row r="13698" s="101" customFormat="1" spans="6:6">
      <c r="F13698" s="2423"/>
    </row>
    <row r="13699" s="101" customFormat="1" spans="6:6">
      <c r="F13699" s="2423"/>
    </row>
    <row r="13700" s="101" customFormat="1" spans="6:6">
      <c r="F13700" s="2423"/>
    </row>
    <row r="13701" s="101" customFormat="1" spans="6:6">
      <c r="F13701" s="2423"/>
    </row>
    <row r="13702" s="101" customFormat="1" spans="6:6">
      <c r="F13702" s="2423"/>
    </row>
    <row r="13703" s="101" customFormat="1" spans="6:6">
      <c r="F13703" s="2423"/>
    </row>
    <row r="13704" s="101" customFormat="1" spans="6:6">
      <c r="F13704" s="2423"/>
    </row>
    <row r="13705" s="101" customFormat="1" spans="6:6">
      <c r="F13705" s="2423"/>
    </row>
    <row r="13706" s="101" customFormat="1" spans="6:6">
      <c r="F13706" s="2423"/>
    </row>
    <row r="13707" s="101" customFormat="1" spans="6:6">
      <c r="F13707" s="2423"/>
    </row>
    <row r="13708" s="101" customFormat="1" spans="6:6">
      <c r="F13708" s="2423"/>
    </row>
    <row r="13709" s="101" customFormat="1" spans="6:6">
      <c r="F13709" s="2423"/>
    </row>
    <row r="13710" s="101" customFormat="1" spans="6:6">
      <c r="F13710" s="2423"/>
    </row>
    <row r="13711" s="101" customFormat="1" spans="6:6">
      <c r="F13711" s="2423"/>
    </row>
    <row r="13712" s="101" customFormat="1" spans="6:6">
      <c r="F13712" s="2423"/>
    </row>
    <row r="13713" s="101" customFormat="1" spans="6:6">
      <c r="F13713" s="2423"/>
    </row>
    <row r="13714" s="101" customFormat="1" spans="6:6">
      <c r="F13714" s="2423"/>
    </row>
    <row r="13715" s="101" customFormat="1" spans="6:6">
      <c r="F13715" s="2423"/>
    </row>
    <row r="13716" s="101" customFormat="1" spans="6:6">
      <c r="F13716" s="2423"/>
    </row>
    <row r="13717" s="101" customFormat="1" spans="6:6">
      <c r="F13717" s="2423"/>
    </row>
    <row r="13718" s="101" customFormat="1" spans="6:6">
      <c r="F13718" s="2423"/>
    </row>
    <row r="13719" s="101" customFormat="1" spans="6:6">
      <c r="F13719" s="2423"/>
    </row>
    <row r="13720" s="101" customFormat="1" spans="6:6">
      <c r="F13720" s="2423"/>
    </row>
    <row r="13721" s="101" customFormat="1" spans="6:6">
      <c r="F13721" s="2423"/>
    </row>
    <row r="13722" s="101" customFormat="1" spans="6:6">
      <c r="F13722" s="2423"/>
    </row>
    <row r="13723" s="101" customFormat="1" spans="6:6">
      <c r="F13723" s="2423"/>
    </row>
    <row r="13724" s="101" customFormat="1" spans="6:6">
      <c r="F13724" s="2423"/>
    </row>
    <row r="13725" s="101" customFormat="1" spans="6:6">
      <c r="F13725" s="2423"/>
    </row>
    <row r="13726" s="101" customFormat="1" spans="6:6">
      <c r="F13726" s="2423"/>
    </row>
    <row r="13727" s="101" customFormat="1" spans="6:6">
      <c r="F13727" s="2423"/>
    </row>
    <row r="13728" s="101" customFormat="1" spans="6:6">
      <c r="F13728" s="2423"/>
    </row>
    <row r="13729" s="101" customFormat="1" spans="6:6">
      <c r="F13729" s="2423"/>
    </row>
    <row r="13730" s="101" customFormat="1" spans="6:6">
      <c r="F13730" s="2423"/>
    </row>
    <row r="13731" s="101" customFormat="1" spans="6:6">
      <c r="F13731" s="2423"/>
    </row>
    <row r="13732" s="101" customFormat="1" spans="6:6">
      <c r="F13732" s="2423"/>
    </row>
    <row r="13733" s="101" customFormat="1" spans="6:6">
      <c r="F13733" s="2423"/>
    </row>
    <row r="13734" s="101" customFormat="1" spans="6:6">
      <c r="F13734" s="2423"/>
    </row>
    <row r="13735" s="101" customFormat="1" spans="6:6">
      <c r="F13735" s="2423"/>
    </row>
    <row r="13736" s="101" customFormat="1" spans="6:6">
      <c r="F13736" s="2423"/>
    </row>
    <row r="13737" s="101" customFormat="1" spans="6:6">
      <c r="F13737" s="2423"/>
    </row>
    <row r="13738" s="101" customFormat="1" spans="6:6">
      <c r="F13738" s="2423"/>
    </row>
    <row r="13739" s="101" customFormat="1" spans="6:6">
      <c r="F13739" s="2423"/>
    </row>
    <row r="13740" s="101" customFormat="1" spans="6:6">
      <c r="F13740" s="2423"/>
    </row>
    <row r="13741" s="101" customFormat="1" spans="6:6">
      <c r="F13741" s="2423"/>
    </row>
    <row r="13742" s="101" customFormat="1" spans="6:6">
      <c r="F13742" s="2423"/>
    </row>
    <row r="13743" s="101" customFormat="1" spans="6:6">
      <c r="F13743" s="2423"/>
    </row>
    <row r="13744" s="101" customFormat="1" spans="6:6">
      <c r="F13744" s="2423"/>
    </row>
    <row r="13745" s="101" customFormat="1" spans="6:6">
      <c r="F13745" s="2423"/>
    </row>
    <row r="13746" s="101" customFormat="1" spans="6:6">
      <c r="F13746" s="2423"/>
    </row>
    <row r="13747" s="101" customFormat="1" spans="6:6">
      <c r="F13747" s="2423"/>
    </row>
    <row r="13748" s="101" customFormat="1" spans="6:6">
      <c r="F13748" s="2423"/>
    </row>
    <row r="13749" s="101" customFormat="1" spans="6:6">
      <c r="F13749" s="2423"/>
    </row>
    <row r="13750" s="101" customFormat="1" spans="6:6">
      <c r="F13750" s="2423"/>
    </row>
    <row r="13751" s="101" customFormat="1" spans="6:6">
      <c r="F13751" s="2423"/>
    </row>
    <row r="13752" s="101" customFormat="1" spans="6:6">
      <c r="F13752" s="2423"/>
    </row>
    <row r="13753" s="101" customFormat="1" spans="6:6">
      <c r="F13753" s="2423"/>
    </row>
    <row r="13754" s="101" customFormat="1" spans="6:6">
      <c r="F13754" s="2423"/>
    </row>
    <row r="13755" s="101" customFormat="1" spans="6:6">
      <c r="F13755" s="2423"/>
    </row>
    <row r="13756" s="101" customFormat="1" spans="6:6">
      <c r="F13756" s="2423"/>
    </row>
    <row r="13757" s="101" customFormat="1" spans="6:6">
      <c r="F13757" s="2423"/>
    </row>
    <row r="13758" s="101" customFormat="1" spans="6:6">
      <c r="F13758" s="2423"/>
    </row>
    <row r="13759" s="101" customFormat="1" spans="6:6">
      <c r="F13759" s="2423"/>
    </row>
    <row r="13760" s="101" customFormat="1" spans="6:6">
      <c r="F13760" s="2423"/>
    </row>
    <row r="13761" s="101" customFormat="1" spans="6:6">
      <c r="F13761" s="2423"/>
    </row>
    <row r="13762" s="101" customFormat="1" spans="6:6">
      <c r="F13762" s="2423"/>
    </row>
    <row r="13763" s="101" customFormat="1" spans="6:6">
      <c r="F13763" s="2423"/>
    </row>
    <row r="13764" s="101" customFormat="1" spans="6:6">
      <c r="F13764" s="2423"/>
    </row>
    <row r="13765" s="101" customFormat="1" spans="6:6">
      <c r="F13765" s="2423"/>
    </row>
    <row r="13766" s="101" customFormat="1" spans="6:6">
      <c r="F13766" s="2423"/>
    </row>
    <row r="13767" s="101" customFormat="1" spans="6:6">
      <c r="F13767" s="2423"/>
    </row>
    <row r="13768" s="101" customFormat="1" spans="6:6">
      <c r="F13768" s="2423"/>
    </row>
    <row r="13769" s="101" customFormat="1" spans="6:6">
      <c r="F13769" s="2423"/>
    </row>
    <row r="13770" s="101" customFormat="1" spans="6:6">
      <c r="F13770" s="2423"/>
    </row>
    <row r="13771" s="101" customFormat="1" spans="6:6">
      <c r="F13771" s="2423"/>
    </row>
    <row r="13772" s="101" customFormat="1" spans="6:6">
      <c r="F13772" s="2423"/>
    </row>
    <row r="13773" s="101" customFormat="1" spans="6:6">
      <c r="F13773" s="2423"/>
    </row>
    <row r="13774" s="101" customFormat="1" spans="6:6">
      <c r="F13774" s="2423"/>
    </row>
    <row r="13775" s="101" customFormat="1" spans="6:6">
      <c r="F13775" s="2423"/>
    </row>
    <row r="13776" s="101" customFormat="1" spans="6:6">
      <c r="F13776" s="2423"/>
    </row>
    <row r="13777" s="101" customFormat="1" spans="6:6">
      <c r="F13777" s="2423"/>
    </row>
    <row r="13778" s="101" customFormat="1" spans="6:6">
      <c r="F13778" s="2423"/>
    </row>
    <row r="13779" s="101" customFormat="1" spans="6:6">
      <c r="F13779" s="2423"/>
    </row>
    <row r="13780" s="101" customFormat="1" spans="6:6">
      <c r="F13780" s="2423"/>
    </row>
    <row r="13781" s="101" customFormat="1" spans="6:6">
      <c r="F13781" s="2423"/>
    </row>
    <row r="13782" s="101" customFormat="1" spans="6:6">
      <c r="F13782" s="2423"/>
    </row>
    <row r="13783" s="101" customFormat="1" spans="6:6">
      <c r="F13783" s="2423"/>
    </row>
    <row r="13784" s="101" customFormat="1" spans="6:6">
      <c r="F13784" s="2423"/>
    </row>
    <row r="13785" s="101" customFormat="1" spans="6:6">
      <c r="F13785" s="2423"/>
    </row>
    <row r="13786" s="101" customFormat="1" spans="6:6">
      <c r="F13786" s="2423"/>
    </row>
    <row r="13787" s="101" customFormat="1" spans="6:6">
      <c r="F13787" s="2423"/>
    </row>
    <row r="13788" s="101" customFormat="1" spans="6:6">
      <c r="F13788" s="2423"/>
    </row>
    <row r="13789" s="101" customFormat="1" spans="6:6">
      <c r="F13789" s="2423"/>
    </row>
    <row r="13790" s="101" customFormat="1" spans="6:6">
      <c r="F13790" s="2423"/>
    </row>
    <row r="13791" s="101" customFormat="1" spans="6:6">
      <c r="F13791" s="2423"/>
    </row>
    <row r="13792" s="101" customFormat="1" spans="6:6">
      <c r="F13792" s="2423"/>
    </row>
    <row r="13793" s="101" customFormat="1" spans="6:6">
      <c r="F13793" s="2423"/>
    </row>
    <row r="13794" s="101" customFormat="1" spans="6:6">
      <c r="F13794" s="2423"/>
    </row>
    <row r="13795" s="101" customFormat="1" spans="6:6">
      <c r="F13795" s="2423"/>
    </row>
    <row r="13796" s="101" customFormat="1" spans="6:6">
      <c r="F13796" s="2423"/>
    </row>
    <row r="13797" s="101" customFormat="1" spans="6:6">
      <c r="F13797" s="2423"/>
    </row>
    <row r="13798" s="101" customFormat="1" spans="6:6">
      <c r="F13798" s="2423"/>
    </row>
    <row r="13799" s="101" customFormat="1" spans="6:6">
      <c r="F13799" s="2423"/>
    </row>
    <row r="13800" s="101" customFormat="1" spans="6:6">
      <c r="F13800" s="2423"/>
    </row>
    <row r="13801" s="101" customFormat="1" spans="6:6">
      <c r="F13801" s="2423"/>
    </row>
    <row r="13802" s="101" customFormat="1" spans="6:6">
      <c r="F13802" s="2423"/>
    </row>
    <row r="13803" s="101" customFormat="1" spans="6:6">
      <c r="F13803" s="2423"/>
    </row>
    <row r="13804" s="101" customFormat="1" spans="6:6">
      <c r="F13804" s="2423"/>
    </row>
    <row r="13805" s="101" customFormat="1" spans="6:6">
      <c r="F13805" s="2423"/>
    </row>
    <row r="13806" s="101" customFormat="1" spans="6:6">
      <c r="F13806" s="2423"/>
    </row>
    <row r="13807" s="101" customFormat="1" spans="6:6">
      <c r="F13807" s="2423"/>
    </row>
    <row r="13808" s="101" customFormat="1" spans="6:6">
      <c r="F13808" s="2423"/>
    </row>
    <row r="13809" s="101" customFormat="1" spans="6:6">
      <c r="F13809" s="2423"/>
    </row>
    <row r="13810" s="101" customFormat="1" spans="6:6">
      <c r="F13810" s="2423"/>
    </row>
    <row r="13811" s="101" customFormat="1" spans="6:6">
      <c r="F13811" s="2423"/>
    </row>
    <row r="13812" s="101" customFormat="1" spans="6:6">
      <c r="F13812" s="2423"/>
    </row>
    <row r="13813" s="101" customFormat="1" spans="6:6">
      <c r="F13813" s="2423"/>
    </row>
    <row r="13814" s="101" customFormat="1" spans="6:6">
      <c r="F13814" s="2423"/>
    </row>
    <row r="13815" s="101" customFormat="1" spans="6:6">
      <c r="F13815" s="2423"/>
    </row>
    <row r="13816" s="101" customFormat="1" spans="6:6">
      <c r="F13816" s="2423"/>
    </row>
    <row r="13817" s="101" customFormat="1" spans="6:6">
      <c r="F13817" s="2423"/>
    </row>
    <row r="13818" s="101" customFormat="1" spans="6:6">
      <c r="F13818" s="2423"/>
    </row>
    <row r="13819" s="101" customFormat="1" spans="6:6">
      <c r="F13819" s="2423"/>
    </row>
    <row r="13820" s="101" customFormat="1" spans="6:6">
      <c r="F13820" s="2423"/>
    </row>
    <row r="13821" s="101" customFormat="1" spans="6:6">
      <c r="F13821" s="2423"/>
    </row>
    <row r="13822" s="101" customFormat="1" spans="6:6">
      <c r="F13822" s="2423"/>
    </row>
    <row r="13823" s="101" customFormat="1" spans="6:6">
      <c r="F13823" s="2423"/>
    </row>
    <row r="13824" s="101" customFormat="1" spans="6:6">
      <c r="F13824" s="2423"/>
    </row>
    <row r="13825" s="101" customFormat="1" spans="6:6">
      <c r="F13825" s="2423"/>
    </row>
    <row r="13826" s="101" customFormat="1" spans="6:6">
      <c r="F13826" s="2423"/>
    </row>
    <row r="13827" s="101" customFormat="1" spans="6:6">
      <c r="F13827" s="2423"/>
    </row>
    <row r="13828" s="101" customFormat="1" spans="6:6">
      <c r="F13828" s="2423"/>
    </row>
    <row r="13829" s="101" customFormat="1" spans="6:6">
      <c r="F13829" s="2423"/>
    </row>
    <row r="13830" s="101" customFormat="1" spans="6:6">
      <c r="F13830" s="2423"/>
    </row>
    <row r="13831" s="101" customFormat="1" spans="6:6">
      <c r="F13831" s="2423"/>
    </row>
    <row r="13832" s="101" customFormat="1" spans="6:6">
      <c r="F13832" s="2423"/>
    </row>
    <row r="13833" s="101" customFormat="1" spans="6:6">
      <c r="F13833" s="2423"/>
    </row>
    <row r="13834" s="101" customFormat="1" spans="6:6">
      <c r="F13834" s="2423"/>
    </row>
    <row r="13835" s="101" customFormat="1" spans="6:6">
      <c r="F13835" s="2423"/>
    </row>
    <row r="13836" s="101" customFormat="1" spans="6:6">
      <c r="F13836" s="2423"/>
    </row>
    <row r="13837" s="101" customFormat="1" spans="6:6">
      <c r="F13837" s="2423"/>
    </row>
    <row r="13838" s="101" customFormat="1" spans="6:6">
      <c r="F13838" s="2423"/>
    </row>
    <row r="13839" s="101" customFormat="1" spans="6:6">
      <c r="F13839" s="2423"/>
    </row>
    <row r="13840" s="101" customFormat="1" spans="6:6">
      <c r="F13840" s="2423"/>
    </row>
    <row r="13841" s="101" customFormat="1" spans="6:6">
      <c r="F13841" s="2423"/>
    </row>
    <row r="13842" s="101" customFormat="1" spans="6:6">
      <c r="F13842" s="2423"/>
    </row>
    <row r="13843" s="101" customFormat="1" spans="6:6">
      <c r="F13843" s="2423"/>
    </row>
    <row r="13844" s="101" customFormat="1" spans="6:6">
      <c r="F13844" s="2423"/>
    </row>
    <row r="13845" s="101" customFormat="1" spans="6:6">
      <c r="F13845" s="2423"/>
    </row>
    <row r="13846" s="101" customFormat="1" spans="6:6">
      <c r="F13846" s="2423"/>
    </row>
    <row r="13847" s="101" customFormat="1" spans="6:6">
      <c r="F13847" s="2423"/>
    </row>
    <row r="13848" s="101" customFormat="1" spans="6:6">
      <c r="F13848" s="2423"/>
    </row>
    <row r="13849" s="101" customFormat="1" spans="6:6">
      <c r="F13849" s="2423"/>
    </row>
    <row r="13850" s="101" customFormat="1" spans="6:6">
      <c r="F13850" s="2423"/>
    </row>
    <row r="13851" s="101" customFormat="1" spans="6:6">
      <c r="F13851" s="2423"/>
    </row>
    <row r="13852" s="101" customFormat="1" spans="6:6">
      <c r="F13852" s="2423"/>
    </row>
    <row r="13853" s="101" customFormat="1" spans="6:6">
      <c r="F13853" s="2423"/>
    </row>
    <row r="13854" s="101" customFormat="1" spans="6:6">
      <c r="F13854" s="2423"/>
    </row>
    <row r="13855" s="101" customFormat="1" spans="6:6">
      <c r="F13855" s="2423"/>
    </row>
    <row r="13856" s="101" customFormat="1" spans="6:6">
      <c r="F13856" s="2423"/>
    </row>
    <row r="13857" s="101" customFormat="1" spans="6:6">
      <c r="F13857" s="2423"/>
    </row>
    <row r="13858" s="101" customFormat="1" spans="6:6">
      <c r="F13858" s="2423"/>
    </row>
    <row r="13859" s="101" customFormat="1" spans="6:6">
      <c r="F13859" s="2423"/>
    </row>
    <row r="13860" s="101" customFormat="1" spans="6:6">
      <c r="F13860" s="2423"/>
    </row>
    <row r="13861" s="101" customFormat="1" spans="6:6">
      <c r="F13861" s="2423"/>
    </row>
    <row r="13862" s="101" customFormat="1" spans="6:6">
      <c r="F13862" s="2423"/>
    </row>
    <row r="13863" s="101" customFormat="1" spans="6:6">
      <c r="F13863" s="2423"/>
    </row>
    <row r="13864" s="101" customFormat="1" spans="6:6">
      <c r="F13864" s="2423"/>
    </row>
    <row r="13865" s="101" customFormat="1" spans="6:6">
      <c r="F13865" s="2423"/>
    </row>
    <row r="13866" s="101" customFormat="1" spans="6:6">
      <c r="F13866" s="2423"/>
    </row>
    <row r="13867" s="101" customFormat="1" spans="6:6">
      <c r="F13867" s="2423"/>
    </row>
    <row r="13868" s="101" customFormat="1" spans="6:6">
      <c r="F13868" s="2423"/>
    </row>
    <row r="13869" s="101" customFormat="1" spans="6:6">
      <c r="F13869" s="2423"/>
    </row>
    <row r="13870" s="101" customFormat="1" spans="6:6">
      <c r="F13870" s="2423"/>
    </row>
    <row r="13871" s="101" customFormat="1" spans="6:6">
      <c r="F13871" s="2423"/>
    </row>
    <row r="13872" s="101" customFormat="1" spans="6:6">
      <c r="F13872" s="2423"/>
    </row>
    <row r="13873" s="101" customFormat="1" spans="6:6">
      <c r="F13873" s="2423"/>
    </row>
    <row r="13874" s="101" customFormat="1" spans="6:6">
      <c r="F13874" s="2423"/>
    </row>
    <row r="13875" s="101" customFormat="1" spans="6:6">
      <c r="F13875" s="2423"/>
    </row>
    <row r="13876" s="101" customFormat="1" spans="6:6">
      <c r="F13876" s="2423"/>
    </row>
    <row r="13877" s="101" customFormat="1" spans="6:6">
      <c r="F13877" s="2423"/>
    </row>
    <row r="13878" s="101" customFormat="1" spans="6:6">
      <c r="F13878" s="2423"/>
    </row>
    <row r="13879" s="101" customFormat="1" spans="6:6">
      <c r="F13879" s="2423"/>
    </row>
    <row r="13880" s="101" customFormat="1" spans="6:6">
      <c r="F13880" s="2423"/>
    </row>
    <row r="13881" s="101" customFormat="1" spans="6:6">
      <c r="F13881" s="2423"/>
    </row>
    <row r="13882" s="101" customFormat="1" spans="6:6">
      <c r="F13882" s="2423"/>
    </row>
    <row r="13883" s="101" customFormat="1" spans="6:6">
      <c r="F13883" s="2423"/>
    </row>
    <row r="13884" s="101" customFormat="1" spans="6:6">
      <c r="F13884" s="2423"/>
    </row>
    <row r="13885" s="101" customFormat="1" spans="6:6">
      <c r="F13885" s="2423"/>
    </row>
    <row r="13886" s="101" customFormat="1" spans="6:6">
      <c r="F13886" s="2423"/>
    </row>
    <row r="13887" s="101" customFormat="1" spans="6:6">
      <c r="F13887" s="2423"/>
    </row>
    <row r="13888" s="101" customFormat="1" spans="6:6">
      <c r="F13888" s="2423"/>
    </row>
    <row r="13889" s="101" customFormat="1" spans="6:6">
      <c r="F13889" s="2423"/>
    </row>
    <row r="13890" s="101" customFormat="1" spans="6:6">
      <c r="F13890" s="2423"/>
    </row>
    <row r="13891" s="101" customFormat="1" spans="6:6">
      <c r="F13891" s="2423"/>
    </row>
    <row r="13892" s="101" customFormat="1" spans="6:6">
      <c r="F13892" s="2423"/>
    </row>
    <row r="13893" s="101" customFormat="1" spans="6:6">
      <c r="F13893" s="2423"/>
    </row>
    <row r="13894" s="101" customFormat="1" spans="6:6">
      <c r="F13894" s="2423"/>
    </row>
    <row r="13895" s="101" customFormat="1" spans="6:6">
      <c r="F13895" s="2423"/>
    </row>
    <row r="13896" s="101" customFormat="1" spans="6:6">
      <c r="F13896" s="2423"/>
    </row>
    <row r="13897" s="101" customFormat="1" spans="6:6">
      <c r="F13897" s="2423"/>
    </row>
    <row r="13898" s="101" customFormat="1" spans="6:6">
      <c r="F13898" s="2423"/>
    </row>
    <row r="13899" s="101" customFormat="1" spans="6:6">
      <c r="F13899" s="2423"/>
    </row>
    <row r="13900" s="101" customFormat="1" spans="6:6">
      <c r="F13900" s="2423"/>
    </row>
    <row r="13901" s="101" customFormat="1" spans="6:6">
      <c r="F13901" s="2423"/>
    </row>
    <row r="13902" s="101" customFormat="1" spans="6:6">
      <c r="F13902" s="2423"/>
    </row>
    <row r="13903" s="101" customFormat="1" spans="6:6">
      <c r="F13903" s="2423"/>
    </row>
    <row r="13904" s="101" customFormat="1" spans="6:6">
      <c r="F13904" s="2423"/>
    </row>
    <row r="13905" s="101" customFormat="1" spans="6:6">
      <c r="F13905" s="2423"/>
    </row>
    <row r="13906" s="101" customFormat="1" spans="6:6">
      <c r="F13906" s="2423"/>
    </row>
    <row r="13907" s="101" customFormat="1" spans="6:6">
      <c r="F13907" s="2423"/>
    </row>
    <row r="13908" s="101" customFormat="1" spans="6:6">
      <c r="F13908" s="2423"/>
    </row>
    <row r="13909" s="101" customFormat="1" spans="6:6">
      <c r="F13909" s="2423"/>
    </row>
    <row r="13910" s="101" customFormat="1" spans="6:6">
      <c r="F13910" s="2423"/>
    </row>
    <row r="13911" s="101" customFormat="1" spans="6:6">
      <c r="F13911" s="2423"/>
    </row>
    <row r="13912" s="101" customFormat="1" spans="6:6">
      <c r="F13912" s="2423"/>
    </row>
    <row r="13913" s="101" customFormat="1" spans="6:6">
      <c r="F13913" s="2423"/>
    </row>
    <row r="13914" s="101" customFormat="1" spans="6:6">
      <c r="F13914" s="2423"/>
    </row>
    <row r="13915" s="101" customFormat="1" spans="6:6">
      <c r="F13915" s="2423"/>
    </row>
    <row r="13916" s="101" customFormat="1" spans="6:6">
      <c r="F13916" s="2423"/>
    </row>
    <row r="13917" s="101" customFormat="1" spans="6:6">
      <c r="F13917" s="2423"/>
    </row>
    <row r="13918" s="101" customFormat="1" spans="6:6">
      <c r="F13918" s="2423"/>
    </row>
    <row r="13919" s="101" customFormat="1" spans="6:6">
      <c r="F13919" s="2423"/>
    </row>
    <row r="13920" s="101" customFormat="1" spans="6:6">
      <c r="F13920" s="2423"/>
    </row>
    <row r="13921" s="101" customFormat="1" spans="6:6">
      <c r="F13921" s="2423"/>
    </row>
    <row r="13922" s="101" customFormat="1" spans="6:6">
      <c r="F13922" s="2423"/>
    </row>
    <row r="13923" s="101" customFormat="1" spans="6:6">
      <c r="F13923" s="2423"/>
    </row>
    <row r="13924" s="101" customFormat="1" spans="6:6">
      <c r="F13924" s="2423"/>
    </row>
    <row r="13925" s="101" customFormat="1" spans="6:6">
      <c r="F13925" s="2423"/>
    </row>
    <row r="13926" s="101" customFormat="1" spans="6:6">
      <c r="F13926" s="2423"/>
    </row>
    <row r="13927" s="101" customFormat="1" spans="6:6">
      <c r="F13927" s="2423"/>
    </row>
    <row r="13928" s="101" customFormat="1" spans="6:6">
      <c r="F13928" s="2423"/>
    </row>
    <row r="13929" s="101" customFormat="1" spans="6:6">
      <c r="F13929" s="2423"/>
    </row>
    <row r="13930" s="101" customFormat="1" spans="6:6">
      <c r="F13930" s="2423"/>
    </row>
    <row r="13931" s="101" customFormat="1" spans="6:6">
      <c r="F13931" s="2423"/>
    </row>
    <row r="13932" s="101" customFormat="1" spans="6:6">
      <c r="F13932" s="2423"/>
    </row>
    <row r="13933" s="101" customFormat="1" spans="6:6">
      <c r="F13933" s="2423"/>
    </row>
    <row r="13934" s="101" customFormat="1" spans="6:6">
      <c r="F13934" s="2423"/>
    </row>
    <row r="13935" s="101" customFormat="1" spans="6:6">
      <c r="F13935" s="2423"/>
    </row>
    <row r="13936" s="101" customFormat="1" spans="6:6">
      <c r="F13936" s="2423"/>
    </row>
    <row r="13937" s="101" customFormat="1" spans="6:6">
      <c r="F13937" s="2423"/>
    </row>
    <row r="13938" s="101" customFormat="1" spans="6:6">
      <c r="F13938" s="2423"/>
    </row>
    <row r="13939" s="101" customFormat="1" spans="6:6">
      <c r="F13939" s="2423"/>
    </row>
    <row r="13940" s="101" customFormat="1" spans="6:6">
      <c r="F13940" s="2423"/>
    </row>
    <row r="13941" s="101" customFormat="1" spans="6:6">
      <c r="F13941" s="2423"/>
    </row>
    <row r="13942" s="101" customFormat="1" spans="6:6">
      <c r="F13942" s="2423"/>
    </row>
    <row r="13943" s="101" customFormat="1" spans="6:6">
      <c r="F13943" s="2423"/>
    </row>
    <row r="13944" s="101" customFormat="1" spans="6:6">
      <c r="F13944" s="2423"/>
    </row>
    <row r="13945" s="101" customFormat="1" spans="6:6">
      <c r="F13945" s="2423"/>
    </row>
    <row r="13946" s="101" customFormat="1" spans="6:6">
      <c r="F13946" s="2423"/>
    </row>
    <row r="13947" s="101" customFormat="1" spans="6:6">
      <c r="F13947" s="2423"/>
    </row>
    <row r="13948" s="101" customFormat="1" spans="6:6">
      <c r="F13948" s="2423"/>
    </row>
    <row r="13949" s="101" customFormat="1" spans="6:6">
      <c r="F13949" s="2423"/>
    </row>
    <row r="13950" s="101" customFormat="1" spans="6:6">
      <c r="F13950" s="2423"/>
    </row>
    <row r="13951" s="101" customFormat="1" spans="6:6">
      <c r="F13951" s="2423"/>
    </row>
    <row r="13952" s="101" customFormat="1" spans="6:6">
      <c r="F13952" s="2423"/>
    </row>
    <row r="13953" s="101" customFormat="1" spans="6:6">
      <c r="F13953" s="2423"/>
    </row>
    <row r="13954" s="101" customFormat="1" spans="6:6">
      <c r="F13954" s="2423"/>
    </row>
    <row r="13955" s="101" customFormat="1" spans="6:6">
      <c r="F13955" s="2423"/>
    </row>
    <row r="13956" s="101" customFormat="1" spans="6:6">
      <c r="F13956" s="2423"/>
    </row>
    <row r="13957" s="101" customFormat="1" spans="6:6">
      <c r="F13957" s="2423"/>
    </row>
    <row r="13958" s="101" customFormat="1" spans="6:6">
      <c r="F13958" s="2423"/>
    </row>
    <row r="13959" s="101" customFormat="1" spans="6:6">
      <c r="F13959" s="2423"/>
    </row>
    <row r="13960" s="101" customFormat="1" spans="6:6">
      <c r="F13960" s="2423"/>
    </row>
    <row r="13961" s="101" customFormat="1" spans="6:6">
      <c r="F13961" s="2423"/>
    </row>
    <row r="13962" s="101" customFormat="1" spans="6:6">
      <c r="F13962" s="2423"/>
    </row>
    <row r="13963" s="101" customFormat="1" spans="6:6">
      <c r="F13963" s="2423"/>
    </row>
    <row r="13964" s="101" customFormat="1" spans="6:6">
      <c r="F13964" s="2423"/>
    </row>
    <row r="13965" s="101" customFormat="1" spans="6:6">
      <c r="F13965" s="2423"/>
    </row>
    <row r="13966" s="101" customFormat="1" spans="6:6">
      <c r="F13966" s="2423"/>
    </row>
    <row r="13967" s="101" customFormat="1" spans="6:6">
      <c r="F13967" s="2423"/>
    </row>
    <row r="13968" s="101" customFormat="1" spans="6:6">
      <c r="F13968" s="2423"/>
    </row>
    <row r="13969" s="101" customFormat="1" spans="6:6">
      <c r="F13969" s="2423"/>
    </row>
    <row r="13970" s="101" customFormat="1" spans="6:6">
      <c r="F13970" s="2423"/>
    </row>
    <row r="13971" s="101" customFormat="1" spans="6:6">
      <c r="F13971" s="2423"/>
    </row>
    <row r="13972" s="101" customFormat="1" spans="6:6">
      <c r="F13972" s="2423"/>
    </row>
    <row r="13973" s="101" customFormat="1" spans="6:6">
      <c r="F13973" s="2423"/>
    </row>
    <row r="13974" s="101" customFormat="1" spans="6:6">
      <c r="F13974" s="2423"/>
    </row>
    <row r="13975" s="101" customFormat="1" spans="6:6">
      <c r="F13975" s="2423"/>
    </row>
    <row r="13976" s="101" customFormat="1" spans="6:6">
      <c r="F13976" s="2423"/>
    </row>
    <row r="13977" s="101" customFormat="1" spans="6:6">
      <c r="F13977" s="2423"/>
    </row>
    <row r="13978" s="101" customFormat="1" spans="6:6">
      <c r="F13978" s="2423"/>
    </row>
    <row r="13979" s="101" customFormat="1" spans="6:6">
      <c r="F13979" s="2423"/>
    </row>
    <row r="13980" s="101" customFormat="1" spans="6:6">
      <c r="F13980" s="2423"/>
    </row>
    <row r="13981" s="101" customFormat="1" spans="6:6">
      <c r="F13981" s="2423"/>
    </row>
    <row r="13982" s="101" customFormat="1" spans="6:6">
      <c r="F13982" s="2423"/>
    </row>
    <row r="13983" s="101" customFormat="1" spans="6:6">
      <c r="F13983" s="2423"/>
    </row>
    <row r="13984" s="101" customFormat="1" spans="6:6">
      <c r="F13984" s="2423"/>
    </row>
    <row r="13985" s="101" customFormat="1" spans="6:6">
      <c r="F13985" s="2423"/>
    </row>
    <row r="13986" s="101" customFormat="1" spans="6:6">
      <c r="F13986" s="2423"/>
    </row>
    <row r="13987" s="101" customFormat="1" spans="6:6">
      <c r="F13987" s="2423"/>
    </row>
    <row r="13988" s="101" customFormat="1" spans="6:6">
      <c r="F13988" s="2423"/>
    </row>
    <row r="13989" s="101" customFormat="1" spans="6:6">
      <c r="F13989" s="2423"/>
    </row>
    <row r="13990" s="101" customFormat="1" spans="6:6">
      <c r="F13990" s="2423"/>
    </row>
    <row r="13991" s="101" customFormat="1" spans="6:6">
      <c r="F13991" s="2423"/>
    </row>
    <row r="13992" s="101" customFormat="1" spans="6:6">
      <c r="F13992" s="2423"/>
    </row>
    <row r="13993" s="101" customFormat="1" spans="6:6">
      <c r="F13993" s="2423"/>
    </row>
    <row r="13994" s="101" customFormat="1" spans="6:6">
      <c r="F13994" s="2423"/>
    </row>
    <row r="13995" s="101" customFormat="1" spans="6:6">
      <c r="F13995" s="2423"/>
    </row>
    <row r="13996" s="101" customFormat="1" spans="6:6">
      <c r="F13996" s="2423"/>
    </row>
    <row r="13997" s="101" customFormat="1" spans="6:6">
      <c r="F13997" s="2423"/>
    </row>
    <row r="13998" s="101" customFormat="1" spans="6:6">
      <c r="F13998" s="2423"/>
    </row>
    <row r="13999" s="101" customFormat="1" spans="6:6">
      <c r="F13999" s="2423"/>
    </row>
    <row r="14000" s="101" customFormat="1" spans="6:6">
      <c r="F14000" s="2423"/>
    </row>
    <row r="14001" s="101" customFormat="1" spans="6:6">
      <c r="F14001" s="2423"/>
    </row>
    <row r="14002" s="101" customFormat="1" spans="6:6">
      <c r="F14002" s="2423"/>
    </row>
    <row r="14003" s="101" customFormat="1" spans="6:6">
      <c r="F14003" s="2423"/>
    </row>
    <row r="14004" s="101" customFormat="1" spans="6:6">
      <c r="F14004" s="2423"/>
    </row>
    <row r="14005" s="101" customFormat="1" spans="6:6">
      <c r="F14005" s="2423"/>
    </row>
    <row r="14006" s="101" customFormat="1" spans="6:6">
      <c r="F14006" s="2423"/>
    </row>
    <row r="14007" s="101" customFormat="1" spans="6:6">
      <c r="F14007" s="2423"/>
    </row>
    <row r="14008" s="101" customFormat="1" spans="6:6">
      <c r="F14008" s="2423"/>
    </row>
    <row r="14009" s="101" customFormat="1" spans="6:6">
      <c r="F14009" s="2423"/>
    </row>
    <row r="14010" s="101" customFormat="1" spans="6:6">
      <c r="F14010" s="2423"/>
    </row>
    <row r="14011" s="101" customFormat="1" spans="6:6">
      <c r="F14011" s="2423"/>
    </row>
    <row r="14012" s="101" customFormat="1" spans="6:6">
      <c r="F14012" s="2423"/>
    </row>
    <row r="14013" s="101" customFormat="1" spans="6:6">
      <c r="F14013" s="2423"/>
    </row>
    <row r="14014" s="101" customFormat="1" spans="6:6">
      <c r="F14014" s="2423"/>
    </row>
    <row r="14015" s="101" customFormat="1" spans="6:6">
      <c r="F14015" s="2423"/>
    </row>
    <row r="14016" s="101" customFormat="1" spans="6:6">
      <c r="F14016" s="2423"/>
    </row>
    <row r="14017" s="101" customFormat="1" spans="6:6">
      <c r="F14017" s="2423"/>
    </row>
    <row r="14018" s="101" customFormat="1" spans="6:6">
      <c r="F14018" s="2423"/>
    </row>
    <row r="14019" s="101" customFormat="1" spans="6:6">
      <c r="F14019" s="2423"/>
    </row>
    <row r="14020" s="101" customFormat="1" spans="6:6">
      <c r="F14020" s="2423"/>
    </row>
    <row r="14021" s="101" customFormat="1" spans="6:6">
      <c r="F14021" s="2423"/>
    </row>
    <row r="14022" s="101" customFormat="1" spans="6:6">
      <c r="F14022" s="2423"/>
    </row>
    <row r="14023" s="101" customFormat="1" spans="6:6">
      <c r="F14023" s="2423"/>
    </row>
    <row r="14024" s="101" customFormat="1" spans="6:6">
      <c r="F14024" s="2423"/>
    </row>
    <row r="14025" s="101" customFormat="1" spans="6:6">
      <c r="F14025" s="2423"/>
    </row>
    <row r="14026" s="101" customFormat="1" spans="6:6">
      <c r="F14026" s="2423"/>
    </row>
    <row r="14027" s="101" customFormat="1" spans="6:6">
      <c r="F14027" s="2423"/>
    </row>
    <row r="14028" s="101" customFormat="1" spans="6:6">
      <c r="F14028" s="2423"/>
    </row>
    <row r="14029" s="101" customFormat="1" spans="6:6">
      <c r="F14029" s="2423"/>
    </row>
    <row r="14030" s="101" customFormat="1" spans="6:6">
      <c r="F14030" s="2423"/>
    </row>
    <row r="14031" s="101" customFormat="1" spans="6:6">
      <c r="F14031" s="2423"/>
    </row>
    <row r="14032" s="101" customFormat="1" spans="6:6">
      <c r="F14032" s="2423"/>
    </row>
    <row r="14033" s="101" customFormat="1" spans="6:6">
      <c r="F14033" s="2423"/>
    </row>
    <row r="14034" s="101" customFormat="1" spans="6:6">
      <c r="F14034" s="2423"/>
    </row>
    <row r="14035" s="101" customFormat="1" spans="6:6">
      <c r="F14035" s="2423"/>
    </row>
    <row r="14036" s="101" customFormat="1" spans="6:6">
      <c r="F14036" s="2423"/>
    </row>
    <row r="14037" s="101" customFormat="1" spans="6:6">
      <c r="F14037" s="2423"/>
    </row>
    <row r="14038" s="101" customFormat="1" spans="6:6">
      <c r="F14038" s="2423"/>
    </row>
    <row r="14039" s="101" customFormat="1" spans="6:6">
      <c r="F14039" s="2423"/>
    </row>
    <row r="14040" s="101" customFormat="1" spans="6:6">
      <c r="F14040" s="2423"/>
    </row>
    <row r="14041" s="101" customFormat="1" spans="6:6">
      <c r="F14041" s="2423"/>
    </row>
    <row r="14042" s="101" customFormat="1" spans="6:6">
      <c r="F14042" s="2423"/>
    </row>
    <row r="14043" s="101" customFormat="1" spans="6:6">
      <c r="F14043" s="2423"/>
    </row>
    <row r="14044" s="101" customFormat="1" spans="6:6">
      <c r="F14044" s="2423"/>
    </row>
    <row r="14045" s="101" customFormat="1" spans="6:6">
      <c r="F14045" s="2423"/>
    </row>
    <row r="14046" s="101" customFormat="1" spans="6:6">
      <c r="F14046" s="2423"/>
    </row>
    <row r="14047" s="101" customFormat="1" spans="6:6">
      <c r="F14047" s="2423"/>
    </row>
    <row r="14048" s="101" customFormat="1" spans="6:6">
      <c r="F14048" s="2423"/>
    </row>
    <row r="14049" s="101" customFormat="1" spans="6:6">
      <c r="F14049" s="2423"/>
    </row>
    <row r="14050" s="101" customFormat="1" spans="6:6">
      <c r="F14050" s="2423"/>
    </row>
    <row r="14051" s="101" customFormat="1" spans="6:6">
      <c r="F14051" s="2423"/>
    </row>
    <row r="14052" s="101" customFormat="1" spans="6:6">
      <c r="F14052" s="2423"/>
    </row>
    <row r="14053" s="101" customFormat="1" spans="6:6">
      <c r="F14053" s="2423"/>
    </row>
    <row r="14054" s="101" customFormat="1" spans="6:6">
      <c r="F14054" s="2423"/>
    </row>
    <row r="14055" s="101" customFormat="1" spans="6:6">
      <c r="F14055" s="2423"/>
    </row>
    <row r="14056" s="101" customFormat="1" spans="6:6">
      <c r="F14056" s="2423"/>
    </row>
    <row r="14057" s="101" customFormat="1" spans="6:6">
      <c r="F14057" s="2423"/>
    </row>
    <row r="14058" s="101" customFormat="1" spans="6:6">
      <c r="F14058" s="2423"/>
    </row>
    <row r="14059" s="101" customFormat="1" spans="6:6">
      <c r="F14059" s="2423"/>
    </row>
    <row r="14060" s="101" customFormat="1" spans="6:6">
      <c r="F14060" s="2423"/>
    </row>
    <row r="14061" s="101" customFormat="1" spans="6:6">
      <c r="F14061" s="2423"/>
    </row>
    <row r="14062" s="101" customFormat="1" spans="6:6">
      <c r="F14062" s="2423"/>
    </row>
    <row r="14063" s="101" customFormat="1" spans="6:6">
      <c r="F14063" s="2423"/>
    </row>
    <row r="14064" s="101" customFormat="1" spans="6:6">
      <c r="F14064" s="2423"/>
    </row>
    <row r="14065" s="101" customFormat="1" spans="6:6">
      <c r="F14065" s="2423"/>
    </row>
    <row r="14066" s="101" customFormat="1" spans="6:6">
      <c r="F14066" s="2423"/>
    </row>
    <row r="14067" s="101" customFormat="1" spans="6:6">
      <c r="F14067" s="2423"/>
    </row>
    <row r="14068" s="101" customFormat="1" spans="6:6">
      <c r="F14068" s="2423"/>
    </row>
    <row r="14069" s="101" customFormat="1" spans="6:6">
      <c r="F14069" s="2423"/>
    </row>
    <row r="14070" s="101" customFormat="1" spans="6:6">
      <c r="F14070" s="2423"/>
    </row>
    <row r="14071" s="101" customFormat="1" spans="6:6">
      <c r="F14071" s="2423"/>
    </row>
    <row r="14072" s="101" customFormat="1" spans="6:6">
      <c r="F14072" s="2423"/>
    </row>
    <row r="14073" s="101" customFormat="1" spans="6:6">
      <c r="F14073" s="2423"/>
    </row>
    <row r="14074" s="101" customFormat="1" spans="6:6">
      <c r="F14074" s="2423"/>
    </row>
    <row r="14075" s="101" customFormat="1" spans="6:6">
      <c r="F14075" s="2423"/>
    </row>
    <row r="14076" s="101" customFormat="1" spans="6:6">
      <c r="F14076" s="2423"/>
    </row>
    <row r="14077" s="101" customFormat="1" spans="6:6">
      <c r="F14077" s="2423"/>
    </row>
    <row r="14078" s="101" customFormat="1" spans="6:6">
      <c r="F14078" s="2423"/>
    </row>
    <row r="14079" s="101" customFormat="1" spans="6:6">
      <c r="F14079" s="2423"/>
    </row>
    <row r="14080" s="101" customFormat="1" spans="6:6">
      <c r="F14080" s="2423"/>
    </row>
    <row r="14081" s="101" customFormat="1" spans="6:6">
      <c r="F14081" s="2423"/>
    </row>
    <row r="14082" s="101" customFormat="1" spans="6:6">
      <c r="F14082" s="2423"/>
    </row>
    <row r="14083" s="101" customFormat="1" spans="6:6">
      <c r="F14083" s="2423"/>
    </row>
    <row r="14084" s="101" customFormat="1" spans="6:6">
      <c r="F14084" s="2423"/>
    </row>
    <row r="14085" s="101" customFormat="1" spans="6:6">
      <c r="F14085" s="2423"/>
    </row>
    <row r="14086" s="101" customFormat="1" spans="6:6">
      <c r="F14086" s="2423"/>
    </row>
    <row r="14087" s="101" customFormat="1" spans="6:6">
      <c r="F14087" s="2423"/>
    </row>
    <row r="14088" s="101" customFormat="1" spans="6:6">
      <c r="F14088" s="2423"/>
    </row>
    <row r="14089" s="101" customFormat="1" spans="6:6">
      <c r="F14089" s="2423"/>
    </row>
    <row r="14090" s="101" customFormat="1" spans="6:6">
      <c r="F14090" s="2423"/>
    </row>
    <row r="14091" s="101" customFormat="1" spans="6:6">
      <c r="F14091" s="2423"/>
    </row>
    <row r="14092" s="101" customFormat="1" spans="6:6">
      <c r="F14092" s="2423"/>
    </row>
    <row r="14093" s="101" customFormat="1" spans="6:6">
      <c r="F14093" s="2423"/>
    </row>
    <row r="14094" s="101" customFormat="1" spans="6:6">
      <c r="F14094" s="2423"/>
    </row>
    <row r="14095" s="101" customFormat="1" spans="6:6">
      <c r="F14095" s="2423"/>
    </row>
    <row r="14096" s="101" customFormat="1" spans="6:6">
      <c r="F14096" s="2423"/>
    </row>
    <row r="14097" s="101" customFormat="1" spans="6:6">
      <c r="F14097" s="2423"/>
    </row>
    <row r="14098" s="101" customFormat="1" spans="6:6">
      <c r="F14098" s="2423"/>
    </row>
    <row r="14099" s="101" customFormat="1" spans="6:6">
      <c r="F14099" s="2423"/>
    </row>
    <row r="14100" s="101" customFormat="1" spans="6:6">
      <c r="F14100" s="2423"/>
    </row>
    <row r="14101" s="101" customFormat="1" spans="6:6">
      <c r="F14101" s="2423"/>
    </row>
    <row r="14102" s="101" customFormat="1" spans="6:6">
      <c r="F14102" s="2423"/>
    </row>
    <row r="14103" s="101" customFormat="1" spans="6:6">
      <c r="F14103" s="2423"/>
    </row>
    <row r="14104" s="101" customFormat="1" spans="6:6">
      <c r="F14104" s="2423"/>
    </row>
    <row r="14105" s="101" customFormat="1" spans="6:6">
      <c r="F14105" s="2423"/>
    </row>
    <row r="14106" s="101" customFormat="1" spans="6:6">
      <c r="F14106" s="2423"/>
    </row>
    <row r="14107" s="101" customFormat="1" spans="6:6">
      <c r="F14107" s="2423"/>
    </row>
    <row r="14108" s="101" customFormat="1" spans="6:6">
      <c r="F14108" s="2423"/>
    </row>
    <row r="14109" s="101" customFormat="1" spans="6:6">
      <c r="F14109" s="2423"/>
    </row>
    <row r="14110" s="101" customFormat="1" spans="6:6">
      <c r="F14110" s="2423"/>
    </row>
    <row r="14111" s="101" customFormat="1" spans="6:6">
      <c r="F14111" s="2423"/>
    </row>
    <row r="14112" s="101" customFormat="1" spans="6:6">
      <c r="F14112" s="2423"/>
    </row>
    <row r="14113" s="101" customFormat="1" spans="6:6">
      <c r="F14113" s="2423"/>
    </row>
    <row r="14114" s="101" customFormat="1" spans="6:6">
      <c r="F14114" s="2423"/>
    </row>
    <row r="14115" s="101" customFormat="1" spans="6:6">
      <c r="F14115" s="2423"/>
    </row>
    <row r="14116" s="101" customFormat="1" spans="6:6">
      <c r="F14116" s="2423"/>
    </row>
    <row r="14117" s="101" customFormat="1" spans="6:6">
      <c r="F14117" s="2423"/>
    </row>
    <row r="14118" s="101" customFormat="1" spans="6:6">
      <c r="F14118" s="2423"/>
    </row>
    <row r="14119" s="101" customFormat="1" spans="6:6">
      <c r="F14119" s="2423"/>
    </row>
    <row r="14120" s="101" customFormat="1" spans="6:6">
      <c r="F14120" s="2423"/>
    </row>
    <row r="14121" s="101" customFormat="1" spans="6:6">
      <c r="F14121" s="2423"/>
    </row>
    <row r="14122" s="101" customFormat="1" spans="6:6">
      <c r="F14122" s="2423"/>
    </row>
    <row r="14123" s="101" customFormat="1" spans="6:6">
      <c r="F14123" s="2423"/>
    </row>
    <row r="14124" s="101" customFormat="1" spans="6:6">
      <c r="F14124" s="2423"/>
    </row>
    <row r="14125" s="101" customFormat="1" spans="6:6">
      <c r="F14125" s="2423"/>
    </row>
    <row r="14126" s="101" customFormat="1" spans="6:6">
      <c r="F14126" s="2423"/>
    </row>
    <row r="14127" s="101" customFormat="1" spans="6:6">
      <c r="F14127" s="2423"/>
    </row>
    <row r="14128" s="101" customFormat="1" spans="6:6">
      <c r="F14128" s="2423"/>
    </row>
    <row r="14129" s="101" customFormat="1" spans="6:6">
      <c r="F14129" s="2423"/>
    </row>
    <row r="14130" s="101" customFormat="1" spans="6:6">
      <c r="F14130" s="2423"/>
    </row>
    <row r="14131" s="101" customFormat="1" spans="6:6">
      <c r="F14131" s="2423"/>
    </row>
    <row r="14132" s="101" customFormat="1" spans="6:6">
      <c r="F14132" s="2423"/>
    </row>
    <row r="14133" s="101" customFormat="1" spans="6:6">
      <c r="F14133" s="2423"/>
    </row>
    <row r="14134" s="101" customFormat="1" spans="6:6">
      <c r="F14134" s="2423"/>
    </row>
    <row r="14135" s="101" customFormat="1" spans="6:6">
      <c r="F14135" s="2423"/>
    </row>
    <row r="14136" s="101" customFormat="1" spans="6:6">
      <c r="F14136" s="2423"/>
    </row>
    <row r="14137" s="101" customFormat="1" spans="6:6">
      <c r="F14137" s="2423"/>
    </row>
    <row r="14138" s="101" customFormat="1" spans="6:6">
      <c r="F14138" s="2423"/>
    </row>
    <row r="14139" s="101" customFormat="1" spans="6:6">
      <c r="F14139" s="2423"/>
    </row>
    <row r="14140" s="101" customFormat="1" spans="6:6">
      <c r="F14140" s="2423"/>
    </row>
    <row r="14141" s="101" customFormat="1" spans="6:6">
      <c r="F14141" s="2423"/>
    </row>
    <row r="14142" s="101" customFormat="1" spans="6:6">
      <c r="F14142" s="2423"/>
    </row>
    <row r="14143" s="101" customFormat="1" spans="6:6">
      <c r="F14143" s="2423"/>
    </row>
    <row r="14144" s="101" customFormat="1" spans="6:6">
      <c r="F14144" s="2423"/>
    </row>
    <row r="14145" s="101" customFormat="1" spans="6:6">
      <c r="F14145" s="2423"/>
    </row>
    <row r="14146" s="101" customFormat="1" spans="6:6">
      <c r="F14146" s="2423"/>
    </row>
    <row r="14147" s="101" customFormat="1" spans="6:6">
      <c r="F14147" s="2423"/>
    </row>
    <row r="14148" s="101" customFormat="1" spans="6:6">
      <c r="F14148" s="2423"/>
    </row>
    <row r="14149" s="101" customFormat="1" spans="6:6">
      <c r="F14149" s="2423"/>
    </row>
    <row r="14150" s="101" customFormat="1" spans="6:6">
      <c r="F14150" s="2423"/>
    </row>
    <row r="14151" s="101" customFormat="1" spans="6:6">
      <c r="F14151" s="2423"/>
    </row>
    <row r="14152" s="101" customFormat="1" spans="6:6">
      <c r="F14152" s="2423"/>
    </row>
    <row r="14153" s="101" customFormat="1" spans="6:6">
      <c r="F14153" s="2423"/>
    </row>
    <row r="14154" s="101" customFormat="1" spans="6:6">
      <c r="F14154" s="2423"/>
    </row>
    <row r="14155" s="101" customFormat="1" spans="6:6">
      <c r="F14155" s="2423"/>
    </row>
    <row r="14156" s="101" customFormat="1" spans="6:6">
      <c r="F14156" s="2423"/>
    </row>
    <row r="14157" s="101" customFormat="1" spans="6:6">
      <c r="F14157" s="2423"/>
    </row>
    <row r="14158" s="101" customFormat="1" spans="6:6">
      <c r="F14158" s="2423"/>
    </row>
    <row r="14159" s="101" customFormat="1" spans="6:6">
      <c r="F14159" s="2423"/>
    </row>
    <row r="14160" s="101" customFormat="1" spans="6:6">
      <c r="F14160" s="2423"/>
    </row>
    <row r="14161" s="101" customFormat="1" spans="6:6">
      <c r="F14161" s="2423"/>
    </row>
    <row r="14162" s="101" customFormat="1" spans="6:6">
      <c r="F14162" s="2423"/>
    </row>
    <row r="14163" s="101" customFormat="1" spans="6:6">
      <c r="F14163" s="2423"/>
    </row>
    <row r="14164" s="101" customFormat="1" spans="6:6">
      <c r="F14164" s="2423"/>
    </row>
    <row r="14165" s="101" customFormat="1" spans="6:6">
      <c r="F14165" s="2423"/>
    </row>
    <row r="14166" s="101" customFormat="1" spans="6:6">
      <c r="F14166" s="2423"/>
    </row>
    <row r="14167" s="101" customFormat="1" spans="6:6">
      <c r="F14167" s="2423"/>
    </row>
    <row r="14168" s="101" customFormat="1" spans="6:6">
      <c r="F14168" s="2423"/>
    </row>
    <row r="14169" s="101" customFormat="1" spans="6:6">
      <c r="F14169" s="2423"/>
    </row>
    <row r="14170" s="101" customFormat="1" spans="6:6">
      <c r="F14170" s="2423"/>
    </row>
    <row r="14171" s="101" customFormat="1" spans="6:6">
      <c r="F14171" s="2423"/>
    </row>
    <row r="14172" s="101" customFormat="1" spans="6:6">
      <c r="F14172" s="2423"/>
    </row>
    <row r="14173" s="101" customFormat="1" spans="6:6">
      <c r="F14173" s="2423"/>
    </row>
    <row r="14174" s="101" customFormat="1" spans="6:6">
      <c r="F14174" s="2423"/>
    </row>
    <row r="14175" s="101" customFormat="1" spans="6:6">
      <c r="F14175" s="2423"/>
    </row>
    <row r="14176" s="101" customFormat="1" spans="6:6">
      <c r="F14176" s="2423"/>
    </row>
    <row r="14177" s="101" customFormat="1" spans="6:6">
      <c r="F14177" s="2423"/>
    </row>
    <row r="14178" s="101" customFormat="1" spans="6:6">
      <c r="F14178" s="2423"/>
    </row>
    <row r="14179" s="101" customFormat="1" spans="6:6">
      <c r="F14179" s="2423"/>
    </row>
    <row r="14180" s="101" customFormat="1" spans="6:6">
      <c r="F14180" s="2423"/>
    </row>
    <row r="14181" s="101" customFormat="1" spans="6:6">
      <c r="F14181" s="2423"/>
    </row>
    <row r="14182" s="101" customFormat="1" spans="6:6">
      <c r="F14182" s="2423"/>
    </row>
    <row r="14183" s="101" customFormat="1" spans="6:6">
      <c r="F14183" s="2423"/>
    </row>
    <row r="14184" s="101" customFormat="1" spans="6:6">
      <c r="F14184" s="2423"/>
    </row>
    <row r="14185" s="101" customFormat="1" spans="6:6">
      <c r="F14185" s="2423"/>
    </row>
    <row r="14186" s="101" customFormat="1" spans="6:6">
      <c r="F14186" s="2423"/>
    </row>
    <row r="14187" s="101" customFormat="1" spans="6:6">
      <c r="F14187" s="2423"/>
    </row>
    <row r="14188" s="101" customFormat="1" spans="6:6">
      <c r="F14188" s="2423"/>
    </row>
    <row r="14189" s="101" customFormat="1" spans="6:6">
      <c r="F14189" s="2423"/>
    </row>
    <row r="14190" s="101" customFormat="1" spans="6:6">
      <c r="F14190" s="2423"/>
    </row>
    <row r="14191" s="101" customFormat="1" spans="6:6">
      <c r="F14191" s="2423"/>
    </row>
    <row r="14192" s="101" customFormat="1" spans="6:6">
      <c r="F14192" s="2423"/>
    </row>
    <row r="14193" s="101" customFormat="1" spans="6:6">
      <c r="F14193" s="2423"/>
    </row>
    <row r="14194" s="101" customFormat="1" spans="6:6">
      <c r="F14194" s="2423"/>
    </row>
    <row r="14195" s="101" customFormat="1" spans="6:6">
      <c r="F14195" s="2423"/>
    </row>
    <row r="14196" s="101" customFormat="1" spans="6:6">
      <c r="F14196" s="2423"/>
    </row>
    <row r="14197" s="101" customFormat="1" spans="6:6">
      <c r="F14197" s="2423"/>
    </row>
    <row r="14198" s="101" customFormat="1" spans="6:6">
      <c r="F14198" s="2423"/>
    </row>
    <row r="14199" s="101" customFormat="1" spans="6:6">
      <c r="F14199" s="2423"/>
    </row>
    <row r="14200" s="101" customFormat="1" spans="6:6">
      <c r="F14200" s="2423"/>
    </row>
    <row r="14201" s="101" customFormat="1" spans="6:6">
      <c r="F14201" s="2423"/>
    </row>
    <row r="14202" s="101" customFormat="1" spans="6:6">
      <c r="F14202" s="2423"/>
    </row>
    <row r="14203" s="101" customFormat="1" spans="6:6">
      <c r="F14203" s="2423"/>
    </row>
    <row r="14204" s="101" customFormat="1" spans="6:6">
      <c r="F14204" s="2423"/>
    </row>
    <row r="14205" s="101" customFormat="1" spans="6:6">
      <c r="F14205" s="2423"/>
    </row>
    <row r="14206" s="101" customFormat="1" spans="6:6">
      <c r="F14206" s="2423"/>
    </row>
    <row r="14207" s="101" customFormat="1" spans="6:6">
      <c r="F14207" s="2423"/>
    </row>
    <row r="14208" s="101" customFormat="1" spans="6:6">
      <c r="F14208" s="2423"/>
    </row>
    <row r="14209" s="101" customFormat="1" spans="6:6">
      <c r="F14209" s="2423"/>
    </row>
    <row r="14210" s="101" customFormat="1" spans="6:6">
      <c r="F14210" s="2423"/>
    </row>
    <row r="14211" s="101" customFormat="1" spans="6:6">
      <c r="F14211" s="2423"/>
    </row>
    <row r="14212" s="101" customFormat="1" spans="6:6">
      <c r="F14212" s="2423"/>
    </row>
    <row r="14213" s="101" customFormat="1" spans="6:6">
      <c r="F14213" s="2423"/>
    </row>
    <row r="14214" s="101" customFormat="1" spans="6:6">
      <c r="F14214" s="2423"/>
    </row>
    <row r="14215" s="101" customFormat="1" spans="6:6">
      <c r="F14215" s="2423"/>
    </row>
    <row r="14216" s="101" customFormat="1" spans="6:6">
      <c r="F14216" s="2423"/>
    </row>
    <row r="14217" s="101" customFormat="1" spans="6:6">
      <c r="F14217" s="2423"/>
    </row>
    <row r="14218" s="101" customFormat="1" spans="6:6">
      <c r="F14218" s="2423"/>
    </row>
    <row r="14219" s="101" customFormat="1" spans="6:6">
      <c r="F14219" s="2423"/>
    </row>
    <row r="14220" s="101" customFormat="1" spans="6:6">
      <c r="F14220" s="2423"/>
    </row>
    <row r="14221" s="101" customFormat="1" spans="6:6">
      <c r="F14221" s="2423"/>
    </row>
    <row r="14222" s="101" customFormat="1" spans="6:6">
      <c r="F14222" s="2423"/>
    </row>
    <row r="14223" s="101" customFormat="1" spans="6:6">
      <c r="F14223" s="2423"/>
    </row>
    <row r="14224" s="101" customFormat="1" spans="6:6">
      <c r="F14224" s="2423"/>
    </row>
    <row r="14225" s="101" customFormat="1" spans="6:6">
      <c r="F14225" s="2423"/>
    </row>
    <row r="14226" s="101" customFormat="1" spans="6:6">
      <c r="F14226" s="2423"/>
    </row>
    <row r="14227" s="101" customFormat="1" spans="6:6">
      <c r="F14227" s="2423"/>
    </row>
    <row r="14228" s="101" customFormat="1" spans="6:6">
      <c r="F14228" s="2423"/>
    </row>
    <row r="14229" s="101" customFormat="1" spans="6:6">
      <c r="F14229" s="2423"/>
    </row>
    <row r="14230" s="101" customFormat="1" spans="6:6">
      <c r="F14230" s="2423"/>
    </row>
    <row r="14231" s="101" customFormat="1" spans="6:6">
      <c r="F14231" s="2423"/>
    </row>
    <row r="14232" s="101" customFormat="1" spans="6:6">
      <c r="F14232" s="2423"/>
    </row>
    <row r="14233" s="101" customFormat="1" spans="6:6">
      <c r="F14233" s="2423"/>
    </row>
    <row r="14234" s="101" customFormat="1" spans="6:6">
      <c r="F14234" s="2423"/>
    </row>
    <row r="14235" s="101" customFormat="1" spans="6:6">
      <c r="F14235" s="2423"/>
    </row>
    <row r="14236" s="101" customFormat="1" spans="6:6">
      <c r="F14236" s="2423"/>
    </row>
    <row r="14237" s="101" customFormat="1" spans="6:6">
      <c r="F14237" s="2423"/>
    </row>
    <row r="14238" s="101" customFormat="1" spans="6:6">
      <c r="F14238" s="2423"/>
    </row>
    <row r="14239" s="101" customFormat="1" spans="6:6">
      <c r="F14239" s="2423"/>
    </row>
    <row r="14240" s="101" customFormat="1" spans="6:6">
      <c r="F14240" s="2423"/>
    </row>
    <row r="14241" s="101" customFormat="1" spans="6:6">
      <c r="F14241" s="2423"/>
    </row>
    <row r="14242" s="101" customFormat="1" spans="6:6">
      <c r="F14242" s="2423"/>
    </row>
    <row r="14243" s="101" customFormat="1" spans="6:6">
      <c r="F14243" s="2423"/>
    </row>
    <row r="14244" s="101" customFormat="1" spans="6:6">
      <c r="F14244" s="2423"/>
    </row>
    <row r="14245" s="101" customFormat="1" spans="6:6">
      <c r="F14245" s="2423"/>
    </row>
    <row r="14246" s="101" customFormat="1" spans="6:6">
      <c r="F14246" s="2423"/>
    </row>
    <row r="14247" s="101" customFormat="1" spans="6:6">
      <c r="F14247" s="2423"/>
    </row>
    <row r="14248" s="101" customFormat="1" spans="6:6">
      <c r="F14248" s="2423"/>
    </row>
    <row r="14249" s="101" customFormat="1" spans="6:6">
      <c r="F14249" s="2423"/>
    </row>
    <row r="14250" s="101" customFormat="1" spans="6:6">
      <c r="F14250" s="2423"/>
    </row>
    <row r="14251" s="101" customFormat="1" spans="6:6">
      <c r="F14251" s="2423"/>
    </row>
    <row r="14252" s="101" customFormat="1" spans="6:6">
      <c r="F14252" s="2423"/>
    </row>
    <row r="14253" s="101" customFormat="1" spans="6:6">
      <c r="F14253" s="2423"/>
    </row>
    <row r="14254" s="101" customFormat="1" spans="6:6">
      <c r="F14254" s="2423"/>
    </row>
    <row r="14255" s="101" customFormat="1" spans="6:6">
      <c r="F14255" s="2423"/>
    </row>
    <row r="14256" s="101" customFormat="1" spans="6:6">
      <c r="F14256" s="2423"/>
    </row>
    <row r="14257" s="101" customFormat="1" spans="6:6">
      <c r="F14257" s="2423"/>
    </row>
    <row r="14258" s="101" customFormat="1" spans="6:6">
      <c r="F14258" s="2423"/>
    </row>
    <row r="14259" s="101" customFormat="1" spans="6:6">
      <c r="F14259" s="2423"/>
    </row>
    <row r="14260" s="101" customFormat="1" spans="6:6">
      <c r="F14260" s="2423"/>
    </row>
    <row r="14261" s="101" customFormat="1" spans="6:6">
      <c r="F14261" s="2423"/>
    </row>
    <row r="14262" s="101" customFormat="1" spans="6:6">
      <c r="F14262" s="2423"/>
    </row>
    <row r="14263" s="101" customFormat="1" spans="6:6">
      <c r="F14263" s="2423"/>
    </row>
    <row r="14264" s="101" customFormat="1" spans="6:6">
      <c r="F14264" s="2423"/>
    </row>
    <row r="14265" s="101" customFormat="1" spans="6:6">
      <c r="F14265" s="2423"/>
    </row>
    <row r="14266" s="101" customFormat="1" spans="6:6">
      <c r="F14266" s="2423"/>
    </row>
    <row r="14267" s="101" customFormat="1" spans="6:6">
      <c r="F14267" s="2423"/>
    </row>
    <row r="14268" s="101" customFormat="1" spans="6:6">
      <c r="F14268" s="2423"/>
    </row>
    <row r="14269" s="101" customFormat="1" spans="6:6">
      <c r="F14269" s="2423"/>
    </row>
    <row r="14270" s="101" customFormat="1" spans="6:6">
      <c r="F14270" s="2423"/>
    </row>
    <row r="14271" s="101" customFormat="1" spans="6:6">
      <c r="F14271" s="2423"/>
    </row>
    <row r="14272" s="101" customFormat="1" spans="6:6">
      <c r="F14272" s="2423"/>
    </row>
    <row r="14273" s="101" customFormat="1" spans="6:6">
      <c r="F14273" s="2423"/>
    </row>
    <row r="14274" s="101" customFormat="1" spans="6:6">
      <c r="F14274" s="2423"/>
    </row>
    <row r="14275" s="101" customFormat="1" spans="6:6">
      <c r="F14275" s="2423"/>
    </row>
    <row r="14276" s="101" customFormat="1" spans="6:6">
      <c r="F14276" s="2423"/>
    </row>
    <row r="14277" s="101" customFormat="1" spans="6:6">
      <c r="F14277" s="2423"/>
    </row>
    <row r="14278" s="101" customFormat="1" spans="6:6">
      <c r="F14278" s="2423"/>
    </row>
    <row r="14279" s="101" customFormat="1" spans="6:6">
      <c r="F14279" s="2423"/>
    </row>
    <row r="14280" s="101" customFormat="1" spans="6:6">
      <c r="F14280" s="2423"/>
    </row>
    <row r="14281" s="101" customFormat="1" spans="6:6">
      <c r="F14281" s="2423"/>
    </row>
    <row r="14282" s="101" customFormat="1" spans="6:6">
      <c r="F14282" s="2423"/>
    </row>
    <row r="14283" s="101" customFormat="1" spans="6:6">
      <c r="F14283" s="2423"/>
    </row>
    <row r="14284" s="101" customFormat="1" spans="6:6">
      <c r="F14284" s="2423"/>
    </row>
    <row r="14285" s="101" customFormat="1" spans="6:6">
      <c r="F14285" s="2423"/>
    </row>
    <row r="14286" s="101" customFormat="1" spans="6:6">
      <c r="F14286" s="2423"/>
    </row>
    <row r="14287" s="101" customFormat="1" spans="6:6">
      <c r="F14287" s="2423"/>
    </row>
    <row r="14288" s="101" customFormat="1" spans="6:6">
      <c r="F14288" s="2423"/>
    </row>
    <row r="14289" s="101" customFormat="1" spans="6:6">
      <c r="F14289" s="2423"/>
    </row>
    <row r="14290" s="101" customFormat="1" spans="6:6">
      <c r="F14290" s="2423"/>
    </row>
    <row r="14291" s="101" customFormat="1" spans="6:6">
      <c r="F14291" s="2423"/>
    </row>
    <row r="14292" s="101" customFormat="1" spans="6:6">
      <c r="F14292" s="2423"/>
    </row>
    <row r="14293" s="101" customFormat="1" spans="6:6">
      <c r="F14293" s="2423"/>
    </row>
    <row r="14294" s="101" customFormat="1" spans="6:6">
      <c r="F14294" s="2423"/>
    </row>
    <row r="14295" s="101" customFormat="1" spans="6:6">
      <c r="F14295" s="2423"/>
    </row>
    <row r="14296" s="101" customFormat="1" spans="6:6">
      <c r="F14296" s="2423"/>
    </row>
    <row r="14297" s="101" customFormat="1" spans="6:6">
      <c r="F14297" s="2423"/>
    </row>
    <row r="14298" s="101" customFormat="1" spans="6:6">
      <c r="F14298" s="2423"/>
    </row>
    <row r="14299" s="101" customFormat="1" spans="6:6">
      <c r="F14299" s="2423"/>
    </row>
    <row r="14300" s="101" customFormat="1" spans="6:6">
      <c r="F14300" s="2423"/>
    </row>
    <row r="14301" s="101" customFormat="1" spans="6:6">
      <c r="F14301" s="2423"/>
    </row>
    <row r="14302" s="101" customFormat="1" spans="6:6">
      <c r="F14302" s="2423"/>
    </row>
    <row r="14303" s="101" customFormat="1" spans="6:6">
      <c r="F14303" s="2423"/>
    </row>
    <row r="14304" s="101" customFormat="1" spans="6:6">
      <c r="F14304" s="2423"/>
    </row>
    <row r="14305" s="101" customFormat="1" spans="6:6">
      <c r="F14305" s="2423"/>
    </row>
    <row r="14306" s="101" customFormat="1" spans="6:6">
      <c r="F14306" s="2423"/>
    </row>
    <row r="14307" s="101" customFormat="1" spans="6:6">
      <c r="F14307" s="2423"/>
    </row>
    <row r="14308" s="101" customFormat="1" spans="6:6">
      <c r="F14308" s="2423"/>
    </row>
    <row r="14309" s="101" customFormat="1" spans="6:6">
      <c r="F14309" s="2423"/>
    </row>
    <row r="14310" s="101" customFormat="1" spans="6:6">
      <c r="F14310" s="2423"/>
    </row>
    <row r="14311" s="101" customFormat="1" spans="6:6">
      <c r="F14311" s="2423"/>
    </row>
    <row r="14312" s="101" customFormat="1" spans="6:6">
      <c r="F14312" s="2423"/>
    </row>
    <row r="14313" s="101" customFormat="1" spans="6:6">
      <c r="F14313" s="2423"/>
    </row>
    <row r="14314" s="101" customFormat="1" spans="6:6">
      <c r="F14314" s="2423"/>
    </row>
    <row r="14315" s="101" customFormat="1" spans="6:6">
      <c r="F14315" s="2423"/>
    </row>
    <row r="14316" s="101" customFormat="1" spans="6:6">
      <c r="F14316" s="2423"/>
    </row>
    <row r="14317" s="101" customFormat="1" spans="6:6">
      <c r="F14317" s="2423"/>
    </row>
    <row r="14318" s="101" customFormat="1" spans="6:6">
      <c r="F14318" s="2423"/>
    </row>
    <row r="14319" s="101" customFormat="1" spans="6:6">
      <c r="F14319" s="2423"/>
    </row>
    <row r="14320" s="101" customFormat="1" spans="6:6">
      <c r="F14320" s="2423"/>
    </row>
    <row r="14321" s="101" customFormat="1" spans="6:6">
      <c r="F14321" s="2423"/>
    </row>
    <row r="14322" s="101" customFormat="1" spans="6:6">
      <c r="F14322" s="2423"/>
    </row>
    <row r="14323" s="101" customFormat="1" spans="6:6">
      <c r="F14323" s="2423"/>
    </row>
    <row r="14324" s="101" customFormat="1" spans="6:6">
      <c r="F14324" s="2423"/>
    </row>
    <row r="14325" s="101" customFormat="1" spans="6:6">
      <c r="F14325" s="2423"/>
    </row>
    <row r="14326" s="101" customFormat="1" spans="6:6">
      <c r="F14326" s="2423"/>
    </row>
    <row r="14327" s="101" customFormat="1" spans="6:6">
      <c r="F14327" s="2423"/>
    </row>
    <row r="14328" s="101" customFormat="1" spans="6:6">
      <c r="F14328" s="2423"/>
    </row>
    <row r="14329" s="101" customFormat="1" spans="6:6">
      <c r="F14329" s="2423"/>
    </row>
    <row r="14330" s="101" customFormat="1" spans="6:6">
      <c r="F14330" s="2423"/>
    </row>
    <row r="14331" s="101" customFormat="1" spans="6:6">
      <c r="F14331" s="2423"/>
    </row>
    <row r="14332" s="101" customFormat="1" spans="6:6">
      <c r="F14332" s="2423"/>
    </row>
    <row r="14333" s="101" customFormat="1" spans="6:6">
      <c r="F14333" s="2423"/>
    </row>
    <row r="14334" s="101" customFormat="1" spans="6:6">
      <c r="F14334" s="2423"/>
    </row>
    <row r="14335" s="101" customFormat="1" spans="6:6">
      <c r="F14335" s="2423"/>
    </row>
    <row r="14336" s="101" customFormat="1" spans="6:6">
      <c r="F14336" s="2423"/>
    </row>
    <row r="14337" s="101" customFormat="1" spans="6:6">
      <c r="F14337" s="2423"/>
    </row>
    <row r="14338" s="101" customFormat="1" spans="6:6">
      <c r="F14338" s="2423"/>
    </row>
    <row r="14339" s="101" customFormat="1" spans="6:6">
      <c r="F14339" s="2423"/>
    </row>
    <row r="14340" s="101" customFormat="1" spans="6:6">
      <c r="F14340" s="2423"/>
    </row>
    <row r="14341" s="101" customFormat="1" spans="6:6">
      <c r="F14341" s="2423"/>
    </row>
    <row r="14342" s="101" customFormat="1" spans="6:6">
      <c r="F14342" s="2423"/>
    </row>
    <row r="14343" s="101" customFormat="1" spans="6:6">
      <c r="F14343" s="2423"/>
    </row>
    <row r="14344" s="101" customFormat="1" spans="6:6">
      <c r="F14344" s="2423"/>
    </row>
    <row r="14345" s="101" customFormat="1" spans="6:6">
      <c r="F14345" s="2423"/>
    </row>
    <row r="14346" s="101" customFormat="1" spans="6:6">
      <c r="F14346" s="2423"/>
    </row>
    <row r="14347" s="101" customFormat="1" spans="6:6">
      <c r="F14347" s="2423"/>
    </row>
    <row r="14348" s="101" customFormat="1" spans="6:6">
      <c r="F14348" s="2423"/>
    </row>
    <row r="14349" s="101" customFormat="1" spans="6:6">
      <c r="F14349" s="2423"/>
    </row>
    <row r="14350" s="101" customFormat="1" spans="6:6">
      <c r="F14350" s="2423"/>
    </row>
    <row r="14351" s="101" customFormat="1" spans="6:6">
      <c r="F14351" s="2423"/>
    </row>
    <row r="14352" s="101" customFormat="1" spans="6:6">
      <c r="F14352" s="2423"/>
    </row>
    <row r="14353" s="101" customFormat="1" spans="6:6">
      <c r="F14353" s="2423"/>
    </row>
    <row r="14354" s="101" customFormat="1" spans="6:6">
      <c r="F14354" s="2423"/>
    </row>
    <row r="14355" s="101" customFormat="1" spans="6:6">
      <c r="F14355" s="2423"/>
    </row>
    <row r="14356" s="101" customFormat="1" spans="6:6">
      <c r="F14356" s="2423"/>
    </row>
    <row r="14357" s="101" customFormat="1" spans="6:6">
      <c r="F14357" s="2423"/>
    </row>
    <row r="14358" s="101" customFormat="1" spans="6:6">
      <c r="F14358" s="2423"/>
    </row>
    <row r="14359" s="101" customFormat="1" spans="6:6">
      <c r="F14359" s="2423"/>
    </row>
    <row r="14360" s="101" customFormat="1" spans="6:6">
      <c r="F14360" s="2423"/>
    </row>
    <row r="14361" s="101" customFormat="1" spans="6:6">
      <c r="F14361" s="2423"/>
    </row>
    <row r="14362" s="101" customFormat="1" spans="6:6">
      <c r="F14362" s="2423"/>
    </row>
    <row r="14363" s="101" customFormat="1" spans="6:6">
      <c r="F14363" s="2423"/>
    </row>
    <row r="14364" s="101" customFormat="1" spans="6:6">
      <c r="F14364" s="2423"/>
    </row>
    <row r="14365" s="101" customFormat="1" spans="6:6">
      <c r="F14365" s="2423"/>
    </row>
    <row r="14366" s="101" customFormat="1" spans="6:6">
      <c r="F14366" s="2423"/>
    </row>
    <row r="14367" s="101" customFormat="1" spans="6:6">
      <c r="F14367" s="2423"/>
    </row>
    <row r="14368" s="101" customFormat="1" spans="6:6">
      <c r="F14368" s="2423"/>
    </row>
    <row r="14369" s="101" customFormat="1" spans="6:6">
      <c r="F14369" s="2423"/>
    </row>
    <row r="14370" s="101" customFormat="1" spans="6:6">
      <c r="F14370" s="2423"/>
    </row>
    <row r="14371" s="101" customFormat="1" spans="6:6">
      <c r="F14371" s="2423"/>
    </row>
    <row r="14372" s="101" customFormat="1" spans="6:6">
      <c r="F14372" s="2423"/>
    </row>
    <row r="14373" s="101" customFormat="1" spans="6:6">
      <c r="F14373" s="2423"/>
    </row>
    <row r="14374" s="101" customFormat="1" spans="6:6">
      <c r="F14374" s="2423"/>
    </row>
    <row r="14375" s="101" customFormat="1" spans="6:6">
      <c r="F14375" s="2423"/>
    </row>
    <row r="14376" s="101" customFormat="1" spans="6:6">
      <c r="F14376" s="2423"/>
    </row>
    <row r="14377" s="101" customFormat="1" spans="6:6">
      <c r="F14377" s="2423"/>
    </row>
    <row r="14378" s="101" customFormat="1" spans="6:6">
      <c r="F14378" s="2423"/>
    </row>
    <row r="14379" s="101" customFormat="1" spans="6:6">
      <c r="F14379" s="2423"/>
    </row>
    <row r="14380" s="101" customFormat="1" spans="6:6">
      <c r="F14380" s="2423"/>
    </row>
    <row r="14381" s="101" customFormat="1" spans="6:6">
      <c r="F14381" s="2423"/>
    </row>
    <row r="14382" s="101" customFormat="1" spans="6:6">
      <c r="F14382" s="2423"/>
    </row>
    <row r="14383" s="101" customFormat="1" spans="6:6">
      <c r="F14383" s="2423"/>
    </row>
    <row r="14384" s="101" customFormat="1" spans="6:6">
      <c r="F14384" s="2423"/>
    </row>
    <row r="14385" s="101" customFormat="1" spans="6:6">
      <c r="F14385" s="2423"/>
    </row>
    <row r="14386" s="101" customFormat="1" spans="6:6">
      <c r="F14386" s="2423"/>
    </row>
    <row r="14387" s="101" customFormat="1" spans="6:6">
      <c r="F14387" s="2423"/>
    </row>
    <row r="14388" s="101" customFormat="1" spans="6:6">
      <c r="F14388" s="2423"/>
    </row>
    <row r="14389" s="101" customFormat="1" spans="6:6">
      <c r="F14389" s="2423"/>
    </row>
    <row r="14390" s="101" customFormat="1" spans="6:6">
      <c r="F14390" s="2423"/>
    </row>
    <row r="14391" s="101" customFormat="1" spans="6:6">
      <c r="F14391" s="2423"/>
    </row>
    <row r="14392" s="101" customFormat="1" spans="6:6">
      <c r="F14392" s="2423"/>
    </row>
    <row r="14393" s="101" customFormat="1" spans="6:6">
      <c r="F14393" s="2423"/>
    </row>
    <row r="14394" s="101" customFormat="1" spans="6:6">
      <c r="F14394" s="2423"/>
    </row>
    <row r="14395" s="101" customFormat="1" spans="6:6">
      <c r="F14395" s="2423"/>
    </row>
    <row r="14396" s="101" customFormat="1" spans="6:6">
      <c r="F14396" s="2423"/>
    </row>
    <row r="14397" s="101" customFormat="1" spans="6:6">
      <c r="F14397" s="2423"/>
    </row>
    <row r="14398" s="101" customFormat="1" spans="6:6">
      <c r="F14398" s="2423"/>
    </row>
    <row r="14399" s="101" customFormat="1" spans="6:6">
      <c r="F14399" s="2423"/>
    </row>
    <row r="14400" s="101" customFormat="1" spans="6:6">
      <c r="F14400" s="2423"/>
    </row>
    <row r="14401" s="101" customFormat="1" spans="6:6">
      <c r="F14401" s="2423"/>
    </row>
    <row r="14402" s="101" customFormat="1" spans="6:6">
      <c r="F14402" s="2423"/>
    </row>
    <row r="14403" s="101" customFormat="1" spans="6:6">
      <c r="F14403" s="2423"/>
    </row>
    <row r="14404" s="101" customFormat="1" spans="6:6">
      <c r="F14404" s="2423"/>
    </row>
    <row r="14405" s="101" customFormat="1" spans="6:6">
      <c r="F14405" s="2423"/>
    </row>
    <row r="14406" s="101" customFormat="1" spans="6:6">
      <c r="F14406" s="2423"/>
    </row>
    <row r="14407" s="101" customFormat="1" spans="6:6">
      <c r="F14407" s="2423"/>
    </row>
    <row r="14408" s="101" customFormat="1" spans="6:6">
      <c r="F14408" s="2423"/>
    </row>
    <row r="14409" s="101" customFormat="1" spans="6:6">
      <c r="F14409" s="2423"/>
    </row>
    <row r="14410" s="101" customFormat="1" spans="6:6">
      <c r="F14410" s="2423"/>
    </row>
    <row r="14411" s="101" customFormat="1" spans="6:6">
      <c r="F14411" s="2423"/>
    </row>
    <row r="14412" s="101" customFormat="1" spans="6:6">
      <c r="F14412" s="2423"/>
    </row>
    <row r="14413" s="101" customFormat="1" spans="6:6">
      <c r="F14413" s="2423"/>
    </row>
    <row r="14414" s="101" customFormat="1" spans="6:6">
      <c r="F14414" s="2423"/>
    </row>
    <row r="14415" s="101" customFormat="1" spans="6:6">
      <c r="F14415" s="2423"/>
    </row>
    <row r="14416" s="101" customFormat="1" spans="6:6">
      <c r="F14416" s="2423"/>
    </row>
    <row r="14417" s="101" customFormat="1" spans="6:6">
      <c r="F14417" s="2423"/>
    </row>
    <row r="14418" s="101" customFormat="1" spans="6:6">
      <c r="F14418" s="2423"/>
    </row>
    <row r="14419" s="101" customFormat="1" spans="6:6">
      <c r="F14419" s="2423"/>
    </row>
    <row r="14420" s="101" customFormat="1" spans="6:6">
      <c r="F14420" s="2423"/>
    </row>
    <row r="14421" s="101" customFormat="1" spans="6:6">
      <c r="F14421" s="2423"/>
    </row>
    <row r="14422" s="101" customFormat="1" spans="6:6">
      <c r="F14422" s="2423"/>
    </row>
    <row r="14423" s="101" customFormat="1" spans="6:6">
      <c r="F14423" s="2423"/>
    </row>
    <row r="14424" s="101" customFormat="1" spans="6:6">
      <c r="F14424" s="2423"/>
    </row>
    <row r="14425" s="101" customFormat="1" spans="6:6">
      <c r="F14425" s="2423"/>
    </row>
    <row r="14426" s="101" customFormat="1" spans="6:6">
      <c r="F14426" s="2423"/>
    </row>
    <row r="14427" s="101" customFormat="1" spans="6:6">
      <c r="F14427" s="2423"/>
    </row>
    <row r="14428" s="101" customFormat="1" spans="6:6">
      <c r="F14428" s="2423"/>
    </row>
    <row r="14429" s="101" customFormat="1" spans="6:6">
      <c r="F14429" s="2423"/>
    </row>
    <row r="14430" s="101" customFormat="1" spans="6:6">
      <c r="F14430" s="2423"/>
    </row>
    <row r="14431" s="101" customFormat="1" spans="6:6">
      <c r="F14431" s="2423"/>
    </row>
    <row r="14432" s="101" customFormat="1" spans="6:6">
      <c r="F14432" s="2423"/>
    </row>
    <row r="14433" s="101" customFormat="1" spans="6:6">
      <c r="F14433" s="2423"/>
    </row>
    <row r="14434" s="101" customFormat="1" spans="6:6">
      <c r="F14434" s="2423"/>
    </row>
    <row r="14435" s="101" customFormat="1" spans="6:6">
      <c r="F14435" s="2423"/>
    </row>
    <row r="14436" s="101" customFormat="1" spans="6:6">
      <c r="F14436" s="2423"/>
    </row>
    <row r="14437" s="101" customFormat="1" spans="6:6">
      <c r="F14437" s="2423"/>
    </row>
    <row r="14438" s="101" customFormat="1" spans="6:6">
      <c r="F14438" s="2423"/>
    </row>
    <row r="14439" s="101" customFormat="1" spans="6:6">
      <c r="F14439" s="2423"/>
    </row>
    <row r="14440" s="101" customFormat="1" spans="6:6">
      <c r="F14440" s="2423"/>
    </row>
    <row r="14441" s="101" customFormat="1" spans="6:6">
      <c r="F14441" s="2423"/>
    </row>
    <row r="14442" s="101" customFormat="1" spans="6:6">
      <c r="F14442" s="2423"/>
    </row>
    <row r="14443" s="101" customFormat="1" spans="6:6">
      <c r="F14443" s="2423"/>
    </row>
    <row r="14444" s="101" customFormat="1" spans="6:6">
      <c r="F14444" s="2423"/>
    </row>
    <row r="14445" s="101" customFormat="1" spans="6:6">
      <c r="F14445" s="2423"/>
    </row>
    <row r="14446" s="101" customFormat="1" spans="6:6">
      <c r="F14446" s="2423"/>
    </row>
    <row r="14447" s="101" customFormat="1" spans="6:6">
      <c r="F14447" s="2423"/>
    </row>
    <row r="14448" s="101" customFormat="1" spans="6:6">
      <c r="F14448" s="2423"/>
    </row>
    <row r="14449" s="101" customFormat="1" spans="6:6">
      <c r="F14449" s="2423"/>
    </row>
    <row r="14450" s="101" customFormat="1" spans="6:6">
      <c r="F14450" s="2423"/>
    </row>
    <row r="14451" s="101" customFormat="1" spans="6:6">
      <c r="F14451" s="2423"/>
    </row>
    <row r="14452" s="101" customFormat="1" spans="6:6">
      <c r="F14452" s="2423"/>
    </row>
    <row r="14453" s="101" customFormat="1" spans="6:6">
      <c r="F14453" s="2423"/>
    </row>
    <row r="14454" s="101" customFormat="1" spans="6:6">
      <c r="F14454" s="2423"/>
    </row>
    <row r="14455" s="101" customFormat="1" spans="6:6">
      <c r="F14455" s="2423"/>
    </row>
    <row r="14456" s="101" customFormat="1" spans="6:6">
      <c r="F14456" s="2423"/>
    </row>
    <row r="14457" s="101" customFormat="1" spans="6:6">
      <c r="F14457" s="2423"/>
    </row>
    <row r="14458" s="101" customFormat="1" spans="6:6">
      <c r="F14458" s="2423"/>
    </row>
    <row r="14459" s="101" customFormat="1" spans="6:6">
      <c r="F14459" s="2423"/>
    </row>
    <row r="14460" s="101" customFormat="1" spans="6:6">
      <c r="F14460" s="2423"/>
    </row>
    <row r="14461" s="101" customFormat="1" spans="6:6">
      <c r="F14461" s="2423"/>
    </row>
    <row r="14462" s="101" customFormat="1" spans="6:6">
      <c r="F14462" s="2423"/>
    </row>
    <row r="14463" s="101" customFormat="1" spans="6:6">
      <c r="F14463" s="2423"/>
    </row>
    <row r="14464" s="101" customFormat="1" spans="6:6">
      <c r="F14464" s="2423"/>
    </row>
    <row r="14465" s="101" customFormat="1" spans="6:6">
      <c r="F14465" s="2423"/>
    </row>
    <row r="14466" s="101" customFormat="1" spans="6:6">
      <c r="F14466" s="2423"/>
    </row>
    <row r="14467" s="101" customFormat="1" spans="6:6">
      <c r="F14467" s="2423"/>
    </row>
    <row r="14468" s="101" customFormat="1" spans="6:6">
      <c r="F14468" s="2423"/>
    </row>
    <row r="14469" s="101" customFormat="1" spans="6:6">
      <c r="F14469" s="2423"/>
    </row>
    <row r="14470" s="101" customFormat="1" spans="6:6">
      <c r="F14470" s="2423"/>
    </row>
    <row r="14471" s="101" customFormat="1" spans="6:6">
      <c r="F14471" s="2423"/>
    </row>
    <row r="14472" s="101" customFormat="1" spans="6:6">
      <c r="F14472" s="2423"/>
    </row>
    <row r="14473" s="101" customFormat="1" spans="6:6">
      <c r="F14473" s="2423"/>
    </row>
    <row r="14474" s="101" customFormat="1" spans="6:6">
      <c r="F14474" s="2423"/>
    </row>
    <row r="14475" s="101" customFormat="1" spans="6:6">
      <c r="F14475" s="2423"/>
    </row>
    <row r="14476" s="101" customFormat="1" spans="6:6">
      <c r="F14476" s="2423"/>
    </row>
    <row r="14477" s="101" customFormat="1" spans="6:6">
      <c r="F14477" s="2423"/>
    </row>
    <row r="14478" s="101" customFormat="1" spans="6:6">
      <c r="F14478" s="2423"/>
    </row>
    <row r="14479" s="101" customFormat="1" spans="6:6">
      <c r="F14479" s="2423"/>
    </row>
    <row r="14480" s="101" customFormat="1" spans="6:6">
      <c r="F14480" s="2423"/>
    </row>
    <row r="14481" s="101" customFormat="1" spans="6:6">
      <c r="F14481" s="2423"/>
    </row>
    <row r="14482" s="101" customFormat="1" spans="6:6">
      <c r="F14482" s="2423"/>
    </row>
    <row r="14483" s="101" customFormat="1" spans="6:6">
      <c r="F14483" s="2423"/>
    </row>
    <row r="14484" s="101" customFormat="1" spans="6:6">
      <c r="F14484" s="2423"/>
    </row>
    <row r="14485" s="101" customFormat="1" spans="6:6">
      <c r="F14485" s="2423"/>
    </row>
    <row r="14486" s="101" customFormat="1" spans="6:6">
      <c r="F14486" s="2423"/>
    </row>
    <row r="14487" s="101" customFormat="1" spans="6:6">
      <c r="F14487" s="2423"/>
    </row>
    <row r="14488" s="101" customFormat="1" spans="6:6">
      <c r="F14488" s="2423"/>
    </row>
    <row r="14489" s="101" customFormat="1" spans="6:6">
      <c r="F14489" s="2423"/>
    </row>
    <row r="14490" s="101" customFormat="1" spans="6:6">
      <c r="F14490" s="2423"/>
    </row>
    <row r="14491" s="101" customFormat="1" spans="6:6">
      <c r="F14491" s="2423"/>
    </row>
    <row r="14492" s="101" customFormat="1" spans="6:6">
      <c r="F14492" s="2423"/>
    </row>
    <row r="14493" s="101" customFormat="1" spans="6:6">
      <c r="F14493" s="2423"/>
    </row>
    <row r="14494" s="101" customFormat="1" spans="6:6">
      <c r="F14494" s="2423"/>
    </row>
    <row r="14495" s="101" customFormat="1" spans="6:6">
      <c r="F14495" s="2423"/>
    </row>
    <row r="14496" s="101" customFormat="1" spans="6:6">
      <c r="F14496" s="2423"/>
    </row>
    <row r="14497" s="101" customFormat="1" spans="6:6">
      <c r="F14497" s="2423"/>
    </row>
    <row r="14498" s="101" customFormat="1" spans="6:6">
      <c r="F14498" s="2423"/>
    </row>
    <row r="14499" s="101" customFormat="1" spans="6:6">
      <c r="F14499" s="2423"/>
    </row>
    <row r="14500" s="101" customFormat="1" spans="6:6">
      <c r="F14500" s="2423"/>
    </row>
    <row r="14501" s="101" customFormat="1" spans="6:6">
      <c r="F14501" s="2423"/>
    </row>
    <row r="14502" s="101" customFormat="1" spans="6:6">
      <c r="F14502" s="2423"/>
    </row>
    <row r="14503" s="101" customFormat="1" spans="6:6">
      <c r="F14503" s="2423"/>
    </row>
    <row r="14504" s="101" customFormat="1" spans="6:6">
      <c r="F14504" s="2423"/>
    </row>
    <row r="14505" s="101" customFormat="1" spans="6:6">
      <c r="F14505" s="2423"/>
    </row>
    <row r="14506" s="101" customFormat="1" spans="6:6">
      <c r="F14506" s="2423"/>
    </row>
    <row r="14507" s="101" customFormat="1" spans="6:6">
      <c r="F14507" s="2423"/>
    </row>
    <row r="14508" s="101" customFormat="1" spans="6:6">
      <c r="F14508" s="2423"/>
    </row>
    <row r="14509" s="101" customFormat="1" spans="6:6">
      <c r="F14509" s="2423"/>
    </row>
    <row r="14510" s="101" customFormat="1" spans="6:6">
      <c r="F14510" s="2423"/>
    </row>
    <row r="14511" s="101" customFormat="1" spans="6:6">
      <c r="F14511" s="2423"/>
    </row>
    <row r="14512" s="101" customFormat="1" spans="6:6">
      <c r="F14512" s="2423"/>
    </row>
    <row r="14513" s="101" customFormat="1" spans="6:6">
      <c r="F14513" s="2423"/>
    </row>
    <row r="14514" s="101" customFormat="1" spans="6:6">
      <c r="F14514" s="2423"/>
    </row>
    <row r="14515" s="101" customFormat="1" spans="6:6">
      <c r="F14515" s="2423"/>
    </row>
    <row r="14516" s="101" customFormat="1" spans="6:6">
      <c r="F14516" s="2423"/>
    </row>
    <row r="14517" s="101" customFormat="1" spans="6:6">
      <c r="F14517" s="2423"/>
    </row>
    <row r="14518" s="101" customFormat="1" spans="6:6">
      <c r="F14518" s="2423"/>
    </row>
    <row r="14519" s="101" customFormat="1" spans="6:6">
      <c r="F14519" s="2423"/>
    </row>
    <row r="14520" s="101" customFormat="1" spans="6:6">
      <c r="F14520" s="2423"/>
    </row>
    <row r="14521" s="101" customFormat="1" spans="6:6">
      <c r="F14521" s="2423"/>
    </row>
    <row r="14522" s="101" customFormat="1" spans="6:6">
      <c r="F14522" s="2423"/>
    </row>
    <row r="14523" s="101" customFormat="1" spans="6:6">
      <c r="F14523" s="2423"/>
    </row>
    <row r="14524" s="101" customFormat="1" spans="6:6">
      <c r="F14524" s="2423"/>
    </row>
    <row r="14525" s="101" customFormat="1" spans="6:6">
      <c r="F14525" s="2423"/>
    </row>
    <row r="14526" s="101" customFormat="1" spans="6:6">
      <c r="F14526" s="2423"/>
    </row>
    <row r="14527" s="101" customFormat="1" spans="6:6">
      <c r="F14527" s="2423"/>
    </row>
    <row r="14528" s="101" customFormat="1" spans="6:6">
      <c r="F14528" s="2423"/>
    </row>
    <row r="14529" s="101" customFormat="1" spans="6:6">
      <c r="F14529" s="2423"/>
    </row>
    <row r="14530" s="101" customFormat="1" spans="6:6">
      <c r="F14530" s="2423"/>
    </row>
    <row r="14531" s="101" customFormat="1" spans="6:6">
      <c r="F14531" s="2423"/>
    </row>
    <row r="14532" s="101" customFormat="1" spans="6:6">
      <c r="F14532" s="2423"/>
    </row>
    <row r="14533" s="101" customFormat="1" spans="6:6">
      <c r="F14533" s="2423"/>
    </row>
    <row r="14534" s="101" customFormat="1" spans="6:6">
      <c r="F14534" s="2423"/>
    </row>
    <row r="14535" s="101" customFormat="1" spans="6:6">
      <c r="F14535" s="2423"/>
    </row>
    <row r="14536" s="101" customFormat="1" spans="6:6">
      <c r="F14536" s="2423"/>
    </row>
    <row r="14537" s="101" customFormat="1" spans="6:6">
      <c r="F14537" s="2423"/>
    </row>
    <row r="14538" s="101" customFormat="1" spans="6:6">
      <c r="F14538" s="2423"/>
    </row>
    <row r="14539" s="101" customFormat="1" spans="6:6">
      <c r="F14539" s="2423"/>
    </row>
    <row r="14540" s="101" customFormat="1" spans="6:6">
      <c r="F14540" s="2423"/>
    </row>
    <row r="14541" s="101" customFormat="1" spans="6:6">
      <c r="F14541" s="2423"/>
    </row>
    <row r="14542" s="101" customFormat="1" spans="6:6">
      <c r="F14542" s="2423"/>
    </row>
    <row r="14543" s="101" customFormat="1" spans="6:6">
      <c r="F14543" s="2423"/>
    </row>
    <row r="14544" s="101" customFormat="1" spans="6:6">
      <c r="F14544" s="2423"/>
    </row>
    <row r="14545" s="101" customFormat="1" spans="6:6">
      <c r="F14545" s="2423"/>
    </row>
    <row r="14546" s="101" customFormat="1" spans="6:6">
      <c r="F14546" s="2423"/>
    </row>
    <row r="14547" s="101" customFormat="1" spans="6:6">
      <c r="F14547" s="2423"/>
    </row>
    <row r="14548" s="101" customFormat="1" spans="6:6">
      <c r="F14548" s="2423"/>
    </row>
    <row r="14549" s="101" customFormat="1" spans="6:6">
      <c r="F14549" s="2423"/>
    </row>
    <row r="14550" s="101" customFormat="1" spans="6:6">
      <c r="F14550" s="2423"/>
    </row>
    <row r="14551" s="101" customFormat="1" spans="6:6">
      <c r="F14551" s="2423"/>
    </row>
    <row r="14552" s="101" customFormat="1" spans="6:6">
      <c r="F14552" s="2423"/>
    </row>
    <row r="14553" s="101" customFormat="1" spans="6:6">
      <c r="F14553" s="2423"/>
    </row>
    <row r="14554" s="101" customFormat="1" spans="6:6">
      <c r="F14554" s="2423"/>
    </row>
    <row r="14555" s="101" customFormat="1" spans="6:6">
      <c r="F14555" s="2423"/>
    </row>
    <row r="14556" s="101" customFormat="1" spans="6:6">
      <c r="F14556" s="2423"/>
    </row>
    <row r="14557" s="101" customFormat="1" spans="6:6">
      <c r="F14557" s="2423"/>
    </row>
    <row r="14558" s="101" customFormat="1" spans="6:6">
      <c r="F14558" s="2423"/>
    </row>
    <row r="14559" s="101" customFormat="1" spans="6:6">
      <c r="F14559" s="2423"/>
    </row>
    <row r="14560" s="101" customFormat="1" spans="6:6">
      <c r="F14560" s="2423"/>
    </row>
    <row r="14561" s="101" customFormat="1" spans="6:6">
      <c r="F14561" s="2423"/>
    </row>
    <row r="14562" s="101" customFormat="1" spans="6:6">
      <c r="F14562" s="2423"/>
    </row>
    <row r="14563" s="101" customFormat="1" spans="6:6">
      <c r="F14563" s="2423"/>
    </row>
    <row r="14564" s="101" customFormat="1" spans="6:6">
      <c r="F14564" s="2423"/>
    </row>
    <row r="14565" s="101" customFormat="1" spans="6:6">
      <c r="F14565" s="2423"/>
    </row>
    <row r="14566" s="101" customFormat="1" spans="6:6">
      <c r="F14566" s="2423"/>
    </row>
    <row r="14567" s="101" customFormat="1" spans="6:6">
      <c r="F14567" s="2423"/>
    </row>
    <row r="14568" s="101" customFormat="1" spans="6:6">
      <c r="F14568" s="2423"/>
    </row>
    <row r="14569" s="101" customFormat="1" spans="6:6">
      <c r="F14569" s="2423"/>
    </row>
    <row r="14570" s="101" customFormat="1" spans="6:6">
      <c r="F14570" s="2423"/>
    </row>
    <row r="14571" s="101" customFormat="1" spans="6:6">
      <c r="F14571" s="2423"/>
    </row>
    <row r="14572" s="101" customFormat="1" spans="6:6">
      <c r="F14572" s="2423"/>
    </row>
    <row r="14573" s="101" customFormat="1" spans="6:6">
      <c r="F14573" s="2423"/>
    </row>
    <row r="14574" s="101" customFormat="1" spans="6:6">
      <c r="F14574" s="2423"/>
    </row>
    <row r="14575" s="101" customFormat="1" spans="6:6">
      <c r="F14575" s="2423"/>
    </row>
    <row r="14576" s="101" customFormat="1" spans="6:6">
      <c r="F14576" s="2423"/>
    </row>
    <row r="14577" s="101" customFormat="1" spans="6:6">
      <c r="F14577" s="2423"/>
    </row>
    <row r="14578" s="101" customFormat="1" spans="6:6">
      <c r="F14578" s="2423"/>
    </row>
    <row r="14579" s="101" customFormat="1" spans="6:6">
      <c r="F14579" s="2423"/>
    </row>
    <row r="14580" s="101" customFormat="1" spans="6:6">
      <c r="F14580" s="2423"/>
    </row>
    <row r="14581" s="101" customFormat="1" spans="6:6">
      <c r="F14581" s="2423"/>
    </row>
    <row r="14582" s="101" customFormat="1" spans="6:6">
      <c r="F14582" s="2423"/>
    </row>
    <row r="14583" s="101" customFormat="1" spans="6:6">
      <c r="F14583" s="2423"/>
    </row>
    <row r="14584" s="101" customFormat="1" spans="6:6">
      <c r="F14584" s="2423"/>
    </row>
    <row r="14585" s="101" customFormat="1" spans="6:6">
      <c r="F14585" s="2423"/>
    </row>
    <row r="14586" s="101" customFormat="1" spans="6:6">
      <c r="F14586" s="2423"/>
    </row>
    <row r="14587" s="101" customFormat="1" spans="6:6">
      <c r="F14587" s="2423"/>
    </row>
    <row r="14588" s="101" customFormat="1" spans="6:6">
      <c r="F14588" s="2423"/>
    </row>
    <row r="14589" s="101" customFormat="1" spans="6:6">
      <c r="F14589" s="2423"/>
    </row>
    <row r="14590" s="101" customFormat="1" spans="6:6">
      <c r="F14590" s="2423"/>
    </row>
    <row r="14591" s="101" customFormat="1" spans="6:6">
      <c r="F14591" s="2423"/>
    </row>
    <row r="14592" s="101" customFormat="1" spans="6:6">
      <c r="F14592" s="2423"/>
    </row>
    <row r="14593" s="101" customFormat="1" spans="6:6">
      <c r="F14593" s="2423"/>
    </row>
    <row r="14594" s="101" customFormat="1" spans="6:6">
      <c r="F14594" s="2423"/>
    </row>
    <row r="14595" s="101" customFormat="1" spans="6:6">
      <c r="F14595" s="2423"/>
    </row>
    <row r="14596" s="101" customFormat="1" spans="6:6">
      <c r="F14596" s="2423"/>
    </row>
    <row r="14597" s="101" customFormat="1" spans="6:6">
      <c r="F14597" s="2423"/>
    </row>
    <row r="14598" s="101" customFormat="1" spans="6:6">
      <c r="F14598" s="2423"/>
    </row>
    <row r="14599" s="101" customFormat="1" spans="6:6">
      <c r="F14599" s="2423"/>
    </row>
    <row r="14600" s="101" customFormat="1" spans="6:6">
      <c r="F14600" s="2423"/>
    </row>
    <row r="14601" s="101" customFormat="1" spans="6:6">
      <c r="F14601" s="2423"/>
    </row>
    <row r="14602" s="101" customFormat="1" spans="6:6">
      <c r="F14602" s="2423"/>
    </row>
    <row r="14603" s="101" customFormat="1" spans="6:6">
      <c r="F14603" s="2423"/>
    </row>
    <row r="14604" s="101" customFormat="1" spans="6:6">
      <c r="F14604" s="2423"/>
    </row>
    <row r="14605" s="101" customFormat="1" spans="6:6">
      <c r="F14605" s="2423"/>
    </row>
    <row r="14606" s="101" customFormat="1" spans="6:6">
      <c r="F14606" s="2423"/>
    </row>
    <row r="14607" s="101" customFormat="1" spans="6:6">
      <c r="F14607" s="2423"/>
    </row>
    <row r="14608" s="101" customFormat="1" spans="6:6">
      <c r="F14608" s="2423"/>
    </row>
    <row r="14609" s="101" customFormat="1" spans="6:6">
      <c r="F14609" s="2423"/>
    </row>
    <row r="14610" s="101" customFormat="1" spans="6:6">
      <c r="F14610" s="2423"/>
    </row>
    <row r="14611" s="101" customFormat="1" spans="6:6">
      <c r="F14611" s="2423"/>
    </row>
    <row r="14612" s="101" customFormat="1" spans="6:6">
      <c r="F14612" s="2423"/>
    </row>
    <row r="14613" s="101" customFormat="1" spans="6:6">
      <c r="F14613" s="2423"/>
    </row>
    <row r="14614" s="101" customFormat="1" spans="6:6">
      <c r="F14614" s="2423"/>
    </row>
    <row r="14615" s="101" customFormat="1" spans="6:6">
      <c r="F14615" s="2423"/>
    </row>
    <row r="14616" s="101" customFormat="1" spans="6:6">
      <c r="F14616" s="2423"/>
    </row>
    <row r="14617" s="101" customFormat="1" spans="6:6">
      <c r="F14617" s="2423"/>
    </row>
    <row r="14618" s="101" customFormat="1" spans="6:6">
      <c r="F14618" s="2423"/>
    </row>
    <row r="14619" s="101" customFormat="1" spans="6:6">
      <c r="F14619" s="2423"/>
    </row>
    <row r="14620" s="101" customFormat="1" spans="6:6">
      <c r="F14620" s="2423"/>
    </row>
    <row r="14621" s="101" customFormat="1" spans="6:6">
      <c r="F14621" s="2423"/>
    </row>
    <row r="14622" s="101" customFormat="1" spans="6:6">
      <c r="F14622" s="2423"/>
    </row>
    <row r="14623" s="101" customFormat="1" spans="6:6">
      <c r="F14623" s="2423"/>
    </row>
    <row r="14624" s="101" customFormat="1" spans="6:6">
      <c r="F14624" s="2423"/>
    </row>
    <row r="14625" s="101" customFormat="1" spans="6:6">
      <c r="F14625" s="2423"/>
    </row>
    <row r="14626" s="101" customFormat="1" spans="6:6">
      <c r="F14626" s="2423"/>
    </row>
    <row r="14627" s="101" customFormat="1" spans="6:6">
      <c r="F14627" s="2423"/>
    </row>
    <row r="14628" s="101" customFormat="1" spans="6:6">
      <c r="F14628" s="2423"/>
    </row>
    <row r="14629" s="101" customFormat="1" spans="6:6">
      <c r="F14629" s="2423"/>
    </row>
    <row r="14630" s="101" customFormat="1" spans="6:6">
      <c r="F14630" s="2423"/>
    </row>
    <row r="14631" s="101" customFormat="1" spans="6:6">
      <c r="F14631" s="2423"/>
    </row>
    <row r="14632" s="101" customFormat="1" spans="6:6">
      <c r="F14632" s="2423"/>
    </row>
    <row r="14633" s="101" customFormat="1" spans="6:6">
      <c r="F14633" s="2423"/>
    </row>
    <row r="14634" s="101" customFormat="1" spans="6:6">
      <c r="F14634" s="2423"/>
    </row>
    <row r="14635" s="101" customFormat="1" spans="6:6">
      <c r="F14635" s="2423"/>
    </row>
    <row r="14636" s="101" customFormat="1" spans="6:6">
      <c r="F14636" s="2423"/>
    </row>
    <row r="14637" s="101" customFormat="1" spans="6:6">
      <c r="F14637" s="2423"/>
    </row>
    <row r="14638" s="101" customFormat="1" spans="6:6">
      <c r="F14638" s="2423"/>
    </row>
    <row r="14639" s="101" customFormat="1" spans="6:6">
      <c r="F14639" s="2423"/>
    </row>
    <row r="14640" s="101" customFormat="1" spans="6:6">
      <c r="F14640" s="2423"/>
    </row>
    <row r="14641" s="101" customFormat="1" spans="6:6">
      <c r="F14641" s="2423"/>
    </row>
    <row r="14642" s="101" customFormat="1" spans="6:6">
      <c r="F14642" s="2423"/>
    </row>
    <row r="14643" s="101" customFormat="1" spans="6:6">
      <c r="F14643" s="2423"/>
    </row>
    <row r="14644" s="101" customFormat="1" spans="6:6">
      <c r="F14644" s="2423"/>
    </row>
    <row r="14645" s="101" customFormat="1" spans="6:6">
      <c r="F14645" s="2423"/>
    </row>
    <row r="14646" s="101" customFormat="1" spans="6:6">
      <c r="F14646" s="2423"/>
    </row>
    <row r="14647" s="101" customFormat="1" spans="6:6">
      <c r="F14647" s="2423"/>
    </row>
    <row r="14648" s="101" customFormat="1" spans="6:6">
      <c r="F14648" s="2423"/>
    </row>
    <row r="14649" s="101" customFormat="1" spans="6:6">
      <c r="F14649" s="2423"/>
    </row>
    <row r="14650" s="101" customFormat="1" spans="6:6">
      <c r="F14650" s="2423"/>
    </row>
    <row r="14651" s="101" customFormat="1" spans="6:6">
      <c r="F14651" s="2423"/>
    </row>
    <row r="14652" s="101" customFormat="1" spans="6:6">
      <c r="F14652" s="2423"/>
    </row>
    <row r="14653" s="101" customFormat="1" spans="6:6">
      <c r="F14653" s="2423"/>
    </row>
    <row r="14654" s="101" customFormat="1" spans="6:6">
      <c r="F14654" s="2423"/>
    </row>
    <row r="14655" s="101" customFormat="1" spans="6:6">
      <c r="F14655" s="2423"/>
    </row>
    <row r="14656" s="101" customFormat="1" spans="6:6">
      <c r="F14656" s="2423"/>
    </row>
    <row r="14657" s="101" customFormat="1" spans="6:6">
      <c r="F14657" s="2423"/>
    </row>
    <row r="14658" s="101" customFormat="1" spans="6:6">
      <c r="F14658" s="2423"/>
    </row>
    <row r="14659" s="101" customFormat="1" spans="6:6">
      <c r="F14659" s="2423"/>
    </row>
    <row r="14660" s="101" customFormat="1" spans="6:6">
      <c r="F14660" s="2423"/>
    </row>
    <row r="14661" s="101" customFormat="1" spans="6:6">
      <c r="F14661" s="2423"/>
    </row>
    <row r="14662" s="101" customFormat="1" spans="6:6">
      <c r="F14662" s="2423"/>
    </row>
    <row r="14663" s="101" customFormat="1" spans="6:6">
      <c r="F14663" s="2423"/>
    </row>
    <row r="14664" s="101" customFormat="1" spans="6:6">
      <c r="F14664" s="2423"/>
    </row>
    <row r="14665" s="101" customFormat="1" spans="6:6">
      <c r="F14665" s="2423"/>
    </row>
    <row r="14666" s="101" customFormat="1" spans="6:6">
      <c r="F14666" s="2423"/>
    </row>
    <row r="14667" s="101" customFormat="1" spans="6:6">
      <c r="F14667" s="2423"/>
    </row>
    <row r="14668" s="101" customFormat="1" spans="6:6">
      <c r="F14668" s="2423"/>
    </row>
    <row r="14669" s="101" customFormat="1" spans="6:6">
      <c r="F14669" s="2423"/>
    </row>
    <row r="14670" s="101" customFormat="1" spans="6:6">
      <c r="F14670" s="2423"/>
    </row>
    <row r="14671" s="101" customFormat="1" spans="6:6">
      <c r="F14671" s="2423"/>
    </row>
    <row r="14672" s="101" customFormat="1" spans="6:6">
      <c r="F14672" s="2423"/>
    </row>
    <row r="14673" s="101" customFormat="1" spans="6:6">
      <c r="F14673" s="2423"/>
    </row>
    <row r="14674" s="101" customFormat="1" spans="6:6">
      <c r="F14674" s="2423"/>
    </row>
    <row r="14675" s="101" customFormat="1" spans="6:6">
      <c r="F14675" s="2423"/>
    </row>
    <row r="14676" s="101" customFormat="1" spans="6:6">
      <c r="F14676" s="2423"/>
    </row>
    <row r="14677" s="101" customFormat="1" spans="6:6">
      <c r="F14677" s="2423"/>
    </row>
    <row r="14678" s="101" customFormat="1" spans="6:6">
      <c r="F14678" s="2423"/>
    </row>
    <row r="14679" s="101" customFormat="1" spans="6:6">
      <c r="F14679" s="2423"/>
    </row>
    <row r="14680" s="101" customFormat="1" spans="6:6">
      <c r="F14680" s="2423"/>
    </row>
    <row r="14681" s="101" customFormat="1" spans="6:6">
      <c r="F14681" s="2423"/>
    </row>
    <row r="14682" s="101" customFormat="1" spans="6:6">
      <c r="F14682" s="2423"/>
    </row>
    <row r="14683" s="101" customFormat="1" spans="6:6">
      <c r="F14683" s="2423"/>
    </row>
    <row r="14684" s="101" customFormat="1" spans="6:6">
      <c r="F14684" s="2423"/>
    </row>
    <row r="14685" s="101" customFormat="1" spans="6:6">
      <c r="F14685" s="2423"/>
    </row>
    <row r="14686" s="101" customFormat="1" spans="6:6">
      <c r="F14686" s="2423"/>
    </row>
    <row r="14687" s="101" customFormat="1" spans="6:6">
      <c r="F14687" s="2423"/>
    </row>
    <row r="14688" s="101" customFormat="1" spans="6:6">
      <c r="F14688" s="2423"/>
    </row>
    <row r="14689" s="101" customFormat="1" spans="6:6">
      <c r="F14689" s="2423"/>
    </row>
    <row r="14690" s="101" customFormat="1" spans="6:6">
      <c r="F14690" s="2423"/>
    </row>
    <row r="14691" s="101" customFormat="1" spans="6:6">
      <c r="F14691" s="2423"/>
    </row>
    <row r="14692" s="101" customFormat="1" spans="6:6">
      <c r="F14692" s="2423"/>
    </row>
    <row r="14693" s="101" customFormat="1" spans="6:6">
      <c r="F14693" s="2423"/>
    </row>
    <row r="14694" s="101" customFormat="1" spans="6:6">
      <c r="F14694" s="2423"/>
    </row>
    <row r="14695" s="101" customFormat="1" spans="6:6">
      <c r="F14695" s="2423"/>
    </row>
    <row r="14696" s="101" customFormat="1" spans="6:6">
      <c r="F14696" s="2423"/>
    </row>
    <row r="14697" s="101" customFormat="1" spans="6:6">
      <c r="F14697" s="2423"/>
    </row>
    <row r="14698" s="101" customFormat="1" spans="6:6">
      <c r="F14698" s="2423"/>
    </row>
    <row r="14699" s="101" customFormat="1" spans="6:6">
      <c r="F14699" s="2423"/>
    </row>
    <row r="14700" s="101" customFormat="1" spans="6:6">
      <c r="F14700" s="2423"/>
    </row>
    <row r="14701" s="101" customFormat="1" spans="6:6">
      <c r="F14701" s="2423"/>
    </row>
    <row r="14702" s="101" customFormat="1" spans="6:6">
      <c r="F14702" s="2423"/>
    </row>
    <row r="14703" s="101" customFormat="1" spans="6:6">
      <c r="F14703" s="2423"/>
    </row>
    <row r="14704" s="101" customFormat="1" spans="6:6">
      <c r="F14704" s="2423"/>
    </row>
    <row r="14705" s="101" customFormat="1" spans="6:6">
      <c r="F14705" s="2423"/>
    </row>
    <row r="14706" s="101" customFormat="1" spans="6:6">
      <c r="F14706" s="2423"/>
    </row>
    <row r="14707" s="101" customFormat="1" spans="6:6">
      <c r="F14707" s="2423"/>
    </row>
    <row r="14708" s="101" customFormat="1" spans="6:6">
      <c r="F14708" s="2423"/>
    </row>
    <row r="14709" s="101" customFormat="1" spans="6:6">
      <c r="F14709" s="2423"/>
    </row>
    <row r="14710" s="101" customFormat="1" spans="6:6">
      <c r="F14710" s="2423"/>
    </row>
    <row r="14711" s="101" customFormat="1" spans="6:6">
      <c r="F14711" s="2423"/>
    </row>
    <row r="14712" s="101" customFormat="1" spans="6:6">
      <c r="F14712" s="2423"/>
    </row>
    <row r="14713" s="101" customFormat="1" spans="6:6">
      <c r="F14713" s="2423"/>
    </row>
    <row r="14714" s="101" customFormat="1" spans="6:6">
      <c r="F14714" s="2423"/>
    </row>
    <row r="14715" s="101" customFormat="1" spans="6:6">
      <c r="F14715" s="2423"/>
    </row>
    <row r="14716" s="101" customFormat="1" spans="6:6">
      <c r="F14716" s="2423"/>
    </row>
    <row r="14717" s="101" customFormat="1" spans="6:6">
      <c r="F14717" s="2423"/>
    </row>
    <row r="14718" s="101" customFormat="1" spans="6:6">
      <c r="F14718" s="2423"/>
    </row>
    <row r="14719" s="101" customFormat="1" spans="6:6">
      <c r="F14719" s="2423"/>
    </row>
    <row r="14720" s="101" customFormat="1" spans="6:6">
      <c r="F14720" s="2423"/>
    </row>
    <row r="14721" s="101" customFormat="1" spans="6:6">
      <c r="F14721" s="2423"/>
    </row>
    <row r="14722" s="101" customFormat="1" spans="6:6">
      <c r="F14722" s="2423"/>
    </row>
    <row r="14723" s="101" customFormat="1" spans="6:6">
      <c r="F14723" s="2423"/>
    </row>
    <row r="14724" s="101" customFormat="1" spans="6:6">
      <c r="F14724" s="2423"/>
    </row>
    <row r="14725" s="101" customFormat="1" spans="6:6">
      <c r="F14725" s="2423"/>
    </row>
    <row r="14726" s="101" customFormat="1" spans="6:6">
      <c r="F14726" s="2423"/>
    </row>
    <row r="14727" s="101" customFormat="1" spans="6:6">
      <c r="F14727" s="2423"/>
    </row>
    <row r="14728" s="101" customFormat="1" spans="6:6">
      <c r="F14728" s="2423"/>
    </row>
    <row r="14729" s="101" customFormat="1" spans="6:6">
      <c r="F14729" s="2423"/>
    </row>
    <row r="14730" s="101" customFormat="1" spans="6:6">
      <c r="F14730" s="2423"/>
    </row>
    <row r="14731" s="101" customFormat="1" spans="6:6">
      <c r="F14731" s="2423"/>
    </row>
    <row r="14732" s="101" customFormat="1" spans="6:6">
      <c r="F14732" s="2423"/>
    </row>
    <row r="14733" s="101" customFormat="1" spans="6:6">
      <c r="F14733" s="2423"/>
    </row>
    <row r="14734" s="101" customFormat="1" spans="6:6">
      <c r="F14734" s="2423"/>
    </row>
    <row r="14735" s="101" customFormat="1" spans="6:6">
      <c r="F14735" s="2423"/>
    </row>
    <row r="14736" s="101" customFormat="1" spans="6:6">
      <c r="F14736" s="2423"/>
    </row>
    <row r="14737" s="101" customFormat="1" spans="6:6">
      <c r="F14737" s="2423"/>
    </row>
    <row r="14738" s="101" customFormat="1" spans="6:6">
      <c r="F14738" s="2423"/>
    </row>
    <row r="14739" s="101" customFormat="1" spans="6:6">
      <c r="F14739" s="2423"/>
    </row>
    <row r="14740" s="101" customFormat="1" spans="6:6">
      <c r="F14740" s="2423"/>
    </row>
    <row r="14741" s="101" customFormat="1" spans="6:6">
      <c r="F14741" s="2423"/>
    </row>
    <row r="14742" s="101" customFormat="1" spans="6:6">
      <c r="F14742" s="2423"/>
    </row>
    <row r="14743" s="101" customFormat="1" spans="6:6">
      <c r="F14743" s="2423"/>
    </row>
    <row r="14744" s="101" customFormat="1" spans="6:6">
      <c r="F14744" s="2423"/>
    </row>
    <row r="14745" s="101" customFormat="1" spans="6:6">
      <c r="F14745" s="2423"/>
    </row>
    <row r="14746" s="101" customFormat="1" spans="6:6">
      <c r="F14746" s="2423"/>
    </row>
    <row r="14747" s="101" customFormat="1" spans="6:6">
      <c r="F14747" s="2423"/>
    </row>
    <row r="14748" s="101" customFormat="1" spans="6:6">
      <c r="F14748" s="2423"/>
    </row>
    <row r="14749" s="101" customFormat="1" spans="6:6">
      <c r="F14749" s="2423"/>
    </row>
    <row r="14750" s="101" customFormat="1" spans="6:6">
      <c r="F14750" s="2423"/>
    </row>
    <row r="14751" s="101" customFormat="1" spans="6:6">
      <c r="F14751" s="2423"/>
    </row>
    <row r="14752" s="101" customFormat="1" spans="6:6">
      <c r="F14752" s="2423"/>
    </row>
    <row r="14753" s="101" customFormat="1" spans="6:6">
      <c r="F14753" s="2423"/>
    </row>
    <row r="14754" s="101" customFormat="1" spans="6:6">
      <c r="F14754" s="2423"/>
    </row>
    <row r="14755" s="101" customFormat="1" spans="6:6">
      <c r="F14755" s="2423"/>
    </row>
    <row r="14756" s="101" customFormat="1" spans="6:6">
      <c r="F14756" s="2423"/>
    </row>
    <row r="14757" s="101" customFormat="1" spans="6:6">
      <c r="F14757" s="2423"/>
    </row>
    <row r="14758" s="101" customFormat="1" spans="6:6">
      <c r="F14758" s="2423"/>
    </row>
    <row r="14759" s="101" customFormat="1" spans="6:6">
      <c r="F14759" s="2423"/>
    </row>
    <row r="14760" s="101" customFormat="1" spans="6:6">
      <c r="F14760" s="2423"/>
    </row>
    <row r="14761" s="101" customFormat="1" spans="6:6">
      <c r="F14761" s="2423"/>
    </row>
    <row r="14762" s="101" customFormat="1" spans="6:6">
      <c r="F14762" s="2423"/>
    </row>
    <row r="14763" s="101" customFormat="1" spans="6:6">
      <c r="F14763" s="2423"/>
    </row>
    <row r="14764" s="101" customFormat="1" spans="6:6">
      <c r="F14764" s="2423"/>
    </row>
    <row r="14765" s="101" customFormat="1" spans="6:6">
      <c r="F14765" s="2423"/>
    </row>
    <row r="14766" s="101" customFormat="1" spans="6:6">
      <c r="F14766" s="2423"/>
    </row>
    <row r="14767" s="101" customFormat="1" spans="6:6">
      <c r="F14767" s="2423"/>
    </row>
    <row r="14768" s="101" customFormat="1" spans="6:6">
      <c r="F14768" s="2423"/>
    </row>
    <row r="14769" s="101" customFormat="1" spans="6:6">
      <c r="F14769" s="2423"/>
    </row>
    <row r="14770" s="101" customFormat="1" spans="6:6">
      <c r="F14770" s="2423"/>
    </row>
    <row r="14771" s="101" customFormat="1" spans="6:6">
      <c r="F14771" s="2423"/>
    </row>
    <row r="14772" s="101" customFormat="1" spans="6:6">
      <c r="F14772" s="2423"/>
    </row>
    <row r="14773" s="101" customFormat="1" spans="6:6">
      <c r="F14773" s="2423"/>
    </row>
    <row r="14774" s="101" customFormat="1" spans="6:6">
      <c r="F14774" s="2423"/>
    </row>
    <row r="14775" s="101" customFormat="1" spans="6:6">
      <c r="F14775" s="2423"/>
    </row>
    <row r="14776" s="101" customFormat="1" spans="6:6">
      <c r="F14776" s="2423"/>
    </row>
    <row r="14777" s="101" customFormat="1" spans="6:6">
      <c r="F14777" s="2423"/>
    </row>
    <row r="14778" s="101" customFormat="1" spans="6:6">
      <c r="F14778" s="2423"/>
    </row>
    <row r="14779" s="101" customFormat="1" spans="6:6">
      <c r="F14779" s="2423"/>
    </row>
    <row r="14780" s="101" customFormat="1" spans="6:6">
      <c r="F14780" s="2423"/>
    </row>
    <row r="14781" s="101" customFormat="1" spans="6:6">
      <c r="F14781" s="2423"/>
    </row>
    <row r="14782" s="101" customFormat="1" spans="6:6">
      <c r="F14782" s="2423"/>
    </row>
    <row r="14783" s="101" customFormat="1" spans="6:6">
      <c r="F14783" s="2423"/>
    </row>
    <row r="14784" s="101" customFormat="1" spans="6:6">
      <c r="F14784" s="2423"/>
    </row>
    <row r="14785" s="101" customFormat="1" spans="6:6">
      <c r="F14785" s="2423"/>
    </row>
    <row r="14786" s="101" customFormat="1" spans="6:6">
      <c r="F14786" s="2423"/>
    </row>
    <row r="14787" s="101" customFormat="1" spans="6:6">
      <c r="F14787" s="2423"/>
    </row>
    <row r="14788" s="101" customFormat="1" spans="6:6">
      <c r="F14788" s="2423"/>
    </row>
    <row r="14789" s="101" customFormat="1" spans="6:6">
      <c r="F14789" s="2423"/>
    </row>
    <row r="14790" s="101" customFormat="1" spans="6:6">
      <c r="F14790" s="2423"/>
    </row>
    <row r="14791" s="101" customFormat="1" spans="6:6">
      <c r="F14791" s="2423"/>
    </row>
    <row r="14792" s="101" customFormat="1" spans="6:6">
      <c r="F14792" s="2423"/>
    </row>
    <row r="14793" s="101" customFormat="1" spans="6:6">
      <c r="F14793" s="2423"/>
    </row>
    <row r="14794" s="101" customFormat="1" spans="6:6">
      <c r="F14794" s="2423"/>
    </row>
    <row r="14795" s="101" customFormat="1" spans="6:6">
      <c r="F14795" s="2423"/>
    </row>
    <row r="14796" s="101" customFormat="1" spans="6:6">
      <c r="F14796" s="2423"/>
    </row>
    <row r="14797" s="101" customFormat="1" spans="6:6">
      <c r="F14797" s="2423"/>
    </row>
    <row r="14798" s="101" customFormat="1" spans="6:6">
      <c r="F14798" s="2423"/>
    </row>
    <row r="14799" s="101" customFormat="1" spans="6:6">
      <c r="F14799" s="2423"/>
    </row>
    <row r="14800" s="101" customFormat="1" spans="6:6">
      <c r="F14800" s="2423"/>
    </row>
    <row r="14801" s="101" customFormat="1" spans="6:6">
      <c r="F14801" s="2423"/>
    </row>
    <row r="14802" s="101" customFormat="1" spans="6:6">
      <c r="F14802" s="2423"/>
    </row>
    <row r="14803" s="101" customFormat="1" spans="6:6">
      <c r="F14803" s="2423"/>
    </row>
    <row r="14804" s="101" customFormat="1" spans="6:6">
      <c r="F14804" s="2423"/>
    </row>
    <row r="14805" s="101" customFormat="1" spans="6:6">
      <c r="F14805" s="2423"/>
    </row>
    <row r="14806" s="101" customFormat="1" spans="6:6">
      <c r="F14806" s="2423"/>
    </row>
    <row r="14807" s="101" customFormat="1" spans="6:6">
      <c r="F14807" s="2423"/>
    </row>
    <row r="14808" s="101" customFormat="1" spans="6:6">
      <c r="F14808" s="2423"/>
    </row>
    <row r="14809" s="101" customFormat="1" spans="6:6">
      <c r="F14809" s="2423"/>
    </row>
    <row r="14810" s="101" customFormat="1" spans="6:6">
      <c r="F14810" s="2423"/>
    </row>
    <row r="14811" s="101" customFormat="1" spans="6:6">
      <c r="F14811" s="2423"/>
    </row>
    <row r="14812" s="101" customFormat="1" spans="6:6">
      <c r="F14812" s="2423"/>
    </row>
    <row r="14813" s="101" customFormat="1" spans="6:6">
      <c r="F14813" s="2423"/>
    </row>
    <row r="14814" s="101" customFormat="1" spans="6:6">
      <c r="F14814" s="2423"/>
    </row>
    <row r="14815" s="101" customFormat="1" spans="6:6">
      <c r="F14815" s="2423"/>
    </row>
    <row r="14816" s="101" customFormat="1" spans="6:6">
      <c r="F14816" s="2423"/>
    </row>
    <row r="14817" s="101" customFormat="1" spans="6:6">
      <c r="F14817" s="2423"/>
    </row>
    <row r="14818" s="101" customFormat="1" spans="6:6">
      <c r="F14818" s="2423"/>
    </row>
    <row r="14819" s="101" customFormat="1" spans="6:6">
      <c r="F14819" s="2423"/>
    </row>
    <row r="14820" s="101" customFormat="1" spans="6:6">
      <c r="F14820" s="2423"/>
    </row>
    <row r="14821" s="101" customFormat="1" spans="6:6">
      <c r="F14821" s="2423"/>
    </row>
    <row r="14822" s="101" customFormat="1" spans="6:6">
      <c r="F14822" s="2423"/>
    </row>
    <row r="14823" s="101" customFormat="1" spans="6:6">
      <c r="F14823" s="2423"/>
    </row>
    <row r="14824" s="101" customFormat="1" spans="6:6">
      <c r="F14824" s="2423"/>
    </row>
    <row r="14825" s="101" customFormat="1" spans="6:6">
      <c r="F14825" s="2423"/>
    </row>
    <row r="14826" s="101" customFormat="1" spans="6:6">
      <c r="F14826" s="2423"/>
    </row>
    <row r="14827" s="101" customFormat="1" spans="6:6">
      <c r="F14827" s="2423"/>
    </row>
    <row r="14828" s="101" customFormat="1" spans="6:6">
      <c r="F14828" s="2423"/>
    </row>
    <row r="14829" s="101" customFormat="1" spans="6:6">
      <c r="F14829" s="2423"/>
    </row>
    <row r="14830" s="101" customFormat="1" spans="6:6">
      <c r="F14830" s="2423"/>
    </row>
    <row r="14831" s="101" customFormat="1" spans="6:6">
      <c r="F14831" s="2423"/>
    </row>
    <row r="14832" s="101" customFormat="1" spans="6:6">
      <c r="F14832" s="2423"/>
    </row>
    <row r="14833" s="101" customFormat="1" spans="6:6">
      <c r="F14833" s="2423"/>
    </row>
    <row r="14834" s="101" customFormat="1" spans="6:6">
      <c r="F14834" s="2423"/>
    </row>
    <row r="14835" s="101" customFormat="1" spans="6:6">
      <c r="F14835" s="2423"/>
    </row>
    <row r="14836" s="101" customFormat="1" spans="6:6">
      <c r="F14836" s="2423"/>
    </row>
    <row r="14837" s="101" customFormat="1" spans="6:6">
      <c r="F14837" s="2423"/>
    </row>
    <row r="14838" s="101" customFormat="1" spans="6:6">
      <c r="F14838" s="2423"/>
    </row>
    <row r="14839" s="101" customFormat="1" spans="6:6">
      <c r="F14839" s="2423"/>
    </row>
    <row r="14840" s="101" customFormat="1" spans="6:6">
      <c r="F14840" s="2423"/>
    </row>
    <row r="14841" s="101" customFormat="1" spans="6:6">
      <c r="F14841" s="2423"/>
    </row>
    <row r="14842" s="101" customFormat="1" spans="6:6">
      <c r="F14842" s="2423"/>
    </row>
    <row r="14843" s="101" customFormat="1" spans="6:6">
      <c r="F14843" s="2423"/>
    </row>
    <row r="14844" s="101" customFormat="1" spans="6:6">
      <c r="F14844" s="2423"/>
    </row>
    <row r="14845" s="101" customFormat="1" spans="6:6">
      <c r="F14845" s="2423"/>
    </row>
    <row r="14846" s="101" customFormat="1" spans="6:6">
      <c r="F14846" s="2423"/>
    </row>
    <row r="14847" s="101" customFormat="1" spans="6:6">
      <c r="F14847" s="2423"/>
    </row>
    <row r="14848" s="101" customFormat="1" spans="6:6">
      <c r="F14848" s="2423"/>
    </row>
    <row r="14849" s="101" customFormat="1" spans="6:6">
      <c r="F14849" s="2423"/>
    </row>
    <row r="14850" s="101" customFormat="1" spans="6:6">
      <c r="F14850" s="2423"/>
    </row>
    <row r="14851" s="101" customFormat="1" spans="6:6">
      <c r="F14851" s="2423"/>
    </row>
    <row r="14852" s="101" customFormat="1" spans="6:6">
      <c r="F14852" s="2423"/>
    </row>
    <row r="14853" s="101" customFormat="1" spans="6:6">
      <c r="F14853" s="2423"/>
    </row>
    <row r="14854" s="101" customFormat="1" spans="6:6">
      <c r="F14854" s="2423"/>
    </row>
    <row r="14855" s="101" customFormat="1" spans="6:6">
      <c r="F14855" s="2423"/>
    </row>
    <row r="14856" s="101" customFormat="1" spans="6:6">
      <c r="F14856" s="2423"/>
    </row>
    <row r="14857" s="101" customFormat="1" spans="6:6">
      <c r="F14857" s="2423"/>
    </row>
    <row r="14858" s="101" customFormat="1" spans="6:6">
      <c r="F14858" s="2423"/>
    </row>
    <row r="14859" s="101" customFormat="1" spans="6:6">
      <c r="F14859" s="2423"/>
    </row>
    <row r="14860" s="101" customFormat="1" spans="6:6">
      <c r="F14860" s="2423"/>
    </row>
    <row r="14861" s="101" customFormat="1" spans="6:6">
      <c r="F14861" s="2423"/>
    </row>
    <row r="14862" s="101" customFormat="1" spans="6:6">
      <c r="F14862" s="2423"/>
    </row>
    <row r="14863" s="101" customFormat="1" spans="6:6">
      <c r="F14863" s="2423"/>
    </row>
    <row r="14864" s="101" customFormat="1" spans="6:6">
      <c r="F14864" s="2423"/>
    </row>
    <row r="14865" s="101" customFormat="1" spans="6:6">
      <c r="F14865" s="2423"/>
    </row>
    <row r="14866" s="101" customFormat="1" spans="6:6">
      <c r="F14866" s="2423"/>
    </row>
    <row r="14867" s="101" customFormat="1" spans="6:6">
      <c r="F14867" s="2423"/>
    </row>
    <row r="14868" s="101" customFormat="1" spans="6:6">
      <c r="F14868" s="2423"/>
    </row>
    <row r="14869" s="101" customFormat="1" spans="6:6">
      <c r="F14869" s="2423"/>
    </row>
    <row r="14870" s="101" customFormat="1" spans="6:6">
      <c r="F14870" s="2423"/>
    </row>
    <row r="14871" s="101" customFormat="1" spans="6:6">
      <c r="F14871" s="2423"/>
    </row>
    <row r="14872" s="101" customFormat="1" spans="6:6">
      <c r="F14872" s="2423"/>
    </row>
    <row r="14873" s="101" customFormat="1" spans="6:6">
      <c r="F14873" s="2423"/>
    </row>
    <row r="14874" s="101" customFormat="1" spans="6:6">
      <c r="F14874" s="2423"/>
    </row>
    <row r="14875" s="101" customFormat="1" spans="6:6">
      <c r="F14875" s="2423"/>
    </row>
    <row r="14876" s="101" customFormat="1" spans="6:6">
      <c r="F14876" s="2423"/>
    </row>
    <row r="14877" s="101" customFormat="1" spans="6:6">
      <c r="F14877" s="2423"/>
    </row>
    <row r="14878" s="101" customFormat="1" spans="6:6">
      <c r="F14878" s="2423"/>
    </row>
    <row r="14879" s="101" customFormat="1" spans="6:6">
      <c r="F14879" s="2423"/>
    </row>
    <row r="14880" s="101" customFormat="1" spans="6:6">
      <c r="F14880" s="2423"/>
    </row>
    <row r="14881" s="101" customFormat="1" spans="6:6">
      <c r="F14881" s="2423"/>
    </row>
    <row r="14882" s="101" customFormat="1" spans="6:6">
      <c r="F14882" s="2423"/>
    </row>
    <row r="14883" s="101" customFormat="1" spans="6:6">
      <c r="F14883" s="2423"/>
    </row>
    <row r="14884" s="101" customFormat="1" spans="6:6">
      <c r="F14884" s="2423"/>
    </row>
    <row r="14885" s="101" customFormat="1" spans="6:6">
      <c r="F14885" s="2423"/>
    </row>
    <row r="14886" s="101" customFormat="1" spans="6:6">
      <c r="F14886" s="2423"/>
    </row>
    <row r="14887" s="101" customFormat="1" spans="6:6">
      <c r="F14887" s="2423"/>
    </row>
    <row r="14888" s="101" customFormat="1" spans="6:6">
      <c r="F14888" s="2423"/>
    </row>
    <row r="14889" s="101" customFormat="1" spans="6:6">
      <c r="F14889" s="2423"/>
    </row>
    <row r="14890" s="101" customFormat="1" spans="6:6">
      <c r="F14890" s="2423"/>
    </row>
    <row r="14891" s="101" customFormat="1" spans="6:6">
      <c r="F14891" s="2423"/>
    </row>
    <row r="14892" s="101" customFormat="1" spans="6:6">
      <c r="F14892" s="2423"/>
    </row>
    <row r="14893" s="101" customFormat="1" spans="6:6">
      <c r="F14893" s="2423"/>
    </row>
    <row r="14894" s="101" customFormat="1" spans="6:6">
      <c r="F14894" s="2423"/>
    </row>
    <row r="14895" s="101" customFormat="1" spans="6:6">
      <c r="F14895" s="2423"/>
    </row>
    <row r="14896" s="101" customFormat="1" spans="6:6">
      <c r="F14896" s="2423"/>
    </row>
    <row r="14897" s="101" customFormat="1" spans="6:6">
      <c r="F14897" s="2423"/>
    </row>
    <row r="14898" s="101" customFormat="1" spans="6:6">
      <c r="F14898" s="2423"/>
    </row>
    <row r="14899" s="101" customFormat="1" spans="6:6">
      <c r="F14899" s="2423"/>
    </row>
    <row r="14900" s="101" customFormat="1" spans="6:6">
      <c r="F14900" s="2423"/>
    </row>
    <row r="14901" s="101" customFormat="1" spans="6:6">
      <c r="F14901" s="2423"/>
    </row>
    <row r="14902" s="101" customFormat="1" spans="6:6">
      <c r="F14902" s="2423"/>
    </row>
    <row r="14903" s="101" customFormat="1" spans="6:6">
      <c r="F14903" s="2423"/>
    </row>
    <row r="14904" s="101" customFormat="1" spans="6:6">
      <c r="F14904" s="2423"/>
    </row>
    <row r="14905" s="101" customFormat="1" spans="6:6">
      <c r="F14905" s="2423"/>
    </row>
    <row r="14906" s="101" customFormat="1" spans="6:6">
      <c r="F14906" s="2423"/>
    </row>
    <row r="14907" s="101" customFormat="1" spans="6:6">
      <c r="F14907" s="2423"/>
    </row>
    <row r="14908" s="101" customFormat="1" spans="6:6">
      <c r="F14908" s="2423"/>
    </row>
    <row r="14909" s="101" customFormat="1" spans="6:6">
      <c r="F14909" s="2423"/>
    </row>
    <row r="14910" s="101" customFormat="1" spans="6:6">
      <c r="F14910" s="2423"/>
    </row>
    <row r="14911" s="101" customFormat="1" spans="6:6">
      <c r="F14911" s="2423"/>
    </row>
    <row r="14912" s="101" customFormat="1" spans="6:6">
      <c r="F14912" s="2423"/>
    </row>
    <row r="14913" s="101" customFormat="1" spans="6:6">
      <c r="F14913" s="2423"/>
    </row>
    <row r="14914" s="101" customFormat="1" spans="6:6">
      <c r="F14914" s="2423"/>
    </row>
    <row r="14915" s="101" customFormat="1" spans="6:6">
      <c r="F14915" s="2423"/>
    </row>
    <row r="14916" s="101" customFormat="1" spans="6:6">
      <c r="F14916" s="2423"/>
    </row>
    <row r="14917" s="101" customFormat="1" spans="6:6">
      <c r="F14917" s="2423"/>
    </row>
    <row r="14918" s="101" customFormat="1" spans="6:6">
      <c r="F14918" s="2423"/>
    </row>
    <row r="14919" s="101" customFormat="1" spans="6:6">
      <c r="F14919" s="2423"/>
    </row>
    <row r="14920" s="101" customFormat="1" spans="6:6">
      <c r="F14920" s="2423"/>
    </row>
    <row r="14921" s="101" customFormat="1" spans="6:6">
      <c r="F14921" s="2423"/>
    </row>
    <row r="14922" s="101" customFormat="1" spans="6:6">
      <c r="F14922" s="2423"/>
    </row>
    <row r="14923" s="101" customFormat="1" spans="6:6">
      <c r="F14923" s="2423"/>
    </row>
    <row r="14924" s="101" customFormat="1" spans="6:6">
      <c r="F14924" s="2423"/>
    </row>
    <row r="14925" s="101" customFormat="1" spans="6:6">
      <c r="F14925" s="2423"/>
    </row>
    <row r="14926" s="101" customFormat="1" spans="6:6">
      <c r="F14926" s="2423"/>
    </row>
    <row r="14927" s="101" customFormat="1" spans="6:6">
      <c r="F14927" s="2423"/>
    </row>
    <row r="14928" s="101" customFormat="1" spans="6:6">
      <c r="F14928" s="2423"/>
    </row>
    <row r="14929" s="101" customFormat="1" spans="6:6">
      <c r="F14929" s="2423"/>
    </row>
    <row r="14930" s="101" customFormat="1" spans="6:6">
      <c r="F14930" s="2423"/>
    </row>
    <row r="14931" s="101" customFormat="1" spans="6:6">
      <c r="F14931" s="2423"/>
    </row>
    <row r="14932" s="101" customFormat="1" spans="6:6">
      <c r="F14932" s="2423"/>
    </row>
    <row r="14933" s="101" customFormat="1" spans="6:6">
      <c r="F14933" s="2423"/>
    </row>
    <row r="14934" s="101" customFormat="1" spans="6:6">
      <c r="F14934" s="2423"/>
    </row>
    <row r="14935" s="101" customFormat="1" spans="6:6">
      <c r="F14935" s="2423"/>
    </row>
    <row r="14936" s="101" customFormat="1" spans="6:6">
      <c r="F14936" s="2423"/>
    </row>
    <row r="14937" s="101" customFormat="1" spans="6:6">
      <c r="F14937" s="2423"/>
    </row>
    <row r="14938" s="101" customFormat="1" spans="6:6">
      <c r="F14938" s="2423"/>
    </row>
    <row r="14939" s="101" customFormat="1" spans="6:6">
      <c r="F14939" s="2423"/>
    </row>
    <row r="14940" s="101" customFormat="1" spans="6:6">
      <c r="F14940" s="2423"/>
    </row>
    <row r="14941" s="101" customFormat="1" spans="6:6">
      <c r="F14941" s="2423"/>
    </row>
    <row r="14942" s="101" customFormat="1" spans="6:6">
      <c r="F14942" s="2423"/>
    </row>
    <row r="14943" s="101" customFormat="1" spans="6:6">
      <c r="F14943" s="2423"/>
    </row>
    <row r="14944" s="101" customFormat="1" spans="6:6">
      <c r="F14944" s="2423"/>
    </row>
    <row r="14945" s="101" customFormat="1" spans="6:6">
      <c r="F14945" s="2423"/>
    </row>
    <row r="14946" s="101" customFormat="1" spans="6:6">
      <c r="F14946" s="2423"/>
    </row>
    <row r="14947" s="101" customFormat="1" spans="6:6">
      <c r="F14947" s="2423"/>
    </row>
    <row r="14948" s="101" customFormat="1" spans="6:6">
      <c r="F14948" s="2423"/>
    </row>
    <row r="14949" s="101" customFormat="1" spans="6:6">
      <c r="F14949" s="2423"/>
    </row>
    <row r="14950" s="101" customFormat="1" spans="6:6">
      <c r="F14950" s="2423"/>
    </row>
    <row r="14951" s="101" customFormat="1" spans="6:6">
      <c r="F14951" s="2423"/>
    </row>
    <row r="14952" s="101" customFormat="1" spans="6:6">
      <c r="F14952" s="2423"/>
    </row>
    <row r="14953" s="101" customFormat="1" spans="6:6">
      <c r="F14953" s="2423"/>
    </row>
    <row r="14954" s="101" customFormat="1" spans="6:6">
      <c r="F14954" s="2423"/>
    </row>
    <row r="14955" s="101" customFormat="1" spans="6:6">
      <c r="F14955" s="2423"/>
    </row>
    <row r="14956" s="101" customFormat="1" spans="6:6">
      <c r="F14956" s="2423"/>
    </row>
    <row r="14957" s="101" customFormat="1" spans="6:6">
      <c r="F14957" s="2423"/>
    </row>
    <row r="14958" s="101" customFormat="1" spans="6:6">
      <c r="F14958" s="2423"/>
    </row>
    <row r="14959" s="101" customFormat="1" spans="6:6">
      <c r="F14959" s="2423"/>
    </row>
    <row r="14960" s="101" customFormat="1" spans="6:6">
      <c r="F14960" s="2423"/>
    </row>
    <row r="14961" s="101" customFormat="1" spans="6:6">
      <c r="F14961" s="2423"/>
    </row>
    <row r="14962" s="101" customFormat="1" spans="6:6">
      <c r="F14962" s="2423"/>
    </row>
    <row r="14963" s="101" customFormat="1" spans="6:6">
      <c r="F14963" s="2423"/>
    </row>
    <row r="14964" s="101" customFormat="1" spans="6:6">
      <c r="F14964" s="2423"/>
    </row>
    <row r="14965" s="101" customFormat="1" spans="6:6">
      <c r="F14965" s="2423"/>
    </row>
    <row r="14966" s="101" customFormat="1" spans="6:6">
      <c r="F14966" s="2423"/>
    </row>
    <row r="14967" s="101" customFormat="1" spans="6:6">
      <c r="F14967" s="2423"/>
    </row>
    <row r="14968" s="101" customFormat="1" spans="6:6">
      <c r="F14968" s="2423"/>
    </row>
    <row r="14969" s="101" customFormat="1" spans="6:6">
      <c r="F14969" s="2423"/>
    </row>
    <row r="14970" s="101" customFormat="1" spans="6:6">
      <c r="F14970" s="2423"/>
    </row>
    <row r="14971" s="101" customFormat="1" spans="6:6">
      <c r="F14971" s="2423"/>
    </row>
    <row r="14972" s="101" customFormat="1" spans="6:6">
      <c r="F14972" s="2423"/>
    </row>
    <row r="14973" s="101" customFormat="1" spans="6:6">
      <c r="F14973" s="2423"/>
    </row>
    <row r="14974" s="101" customFormat="1" spans="6:6">
      <c r="F14974" s="2423"/>
    </row>
    <row r="14975" s="101" customFormat="1" spans="6:6">
      <c r="F14975" s="2423"/>
    </row>
    <row r="14976" s="101" customFormat="1" spans="6:6">
      <c r="F14976" s="2423"/>
    </row>
    <row r="14977" s="101" customFormat="1" spans="6:6">
      <c r="F14977" s="2423"/>
    </row>
    <row r="14978" s="101" customFormat="1" spans="6:6">
      <c r="F14978" s="2423"/>
    </row>
    <row r="14979" s="101" customFormat="1" spans="6:6">
      <c r="F14979" s="2423"/>
    </row>
    <row r="14980" s="101" customFormat="1" spans="6:6">
      <c r="F14980" s="2423"/>
    </row>
    <row r="14981" s="101" customFormat="1" spans="6:6">
      <c r="F14981" s="2423"/>
    </row>
    <row r="14982" s="101" customFormat="1" spans="6:6">
      <c r="F14982" s="2423"/>
    </row>
    <row r="14983" s="101" customFormat="1" spans="6:6">
      <c r="F14983" s="2423"/>
    </row>
    <row r="14984" s="101" customFormat="1" spans="6:6">
      <c r="F14984" s="2423"/>
    </row>
    <row r="14985" s="101" customFormat="1" spans="6:6">
      <c r="F14985" s="2423"/>
    </row>
    <row r="14986" s="101" customFormat="1" spans="6:6">
      <c r="F14986" s="2423"/>
    </row>
    <row r="14987" s="101" customFormat="1" spans="6:6">
      <c r="F14987" s="2423"/>
    </row>
    <row r="14988" s="101" customFormat="1" spans="6:6">
      <c r="F14988" s="2423"/>
    </row>
    <row r="14989" s="101" customFormat="1" spans="6:6">
      <c r="F14989" s="2423"/>
    </row>
    <row r="14990" s="101" customFormat="1" spans="6:6">
      <c r="F14990" s="2423"/>
    </row>
    <row r="14991" s="101" customFormat="1" spans="6:6">
      <c r="F14991" s="2423"/>
    </row>
    <row r="14992" s="101" customFormat="1" spans="6:6">
      <c r="F14992" s="2423"/>
    </row>
    <row r="14993" s="101" customFormat="1" spans="6:6">
      <c r="F14993" s="2423"/>
    </row>
    <row r="14994" s="101" customFormat="1" spans="6:6">
      <c r="F14994" s="2423"/>
    </row>
    <row r="14995" s="101" customFormat="1" spans="6:6">
      <c r="F14995" s="2423"/>
    </row>
    <row r="14996" s="101" customFormat="1" spans="6:6">
      <c r="F14996" s="2423"/>
    </row>
    <row r="14997" s="101" customFormat="1" spans="6:6">
      <c r="F14997" s="2423"/>
    </row>
    <row r="14998" s="101" customFormat="1" spans="6:6">
      <c r="F14998" s="2423"/>
    </row>
    <row r="14999" s="101" customFormat="1" spans="6:6">
      <c r="F14999" s="2423"/>
    </row>
    <row r="15000" s="101" customFormat="1" spans="6:6">
      <c r="F15000" s="2423"/>
    </row>
    <row r="15001" s="101" customFormat="1" spans="6:6">
      <c r="F15001" s="2423"/>
    </row>
    <row r="15002" s="101" customFormat="1" spans="6:6">
      <c r="F15002" s="2423"/>
    </row>
    <row r="15003" s="101" customFormat="1" spans="6:6">
      <c r="F15003" s="2423"/>
    </row>
    <row r="15004" s="101" customFormat="1" spans="6:6">
      <c r="F15004" s="2423"/>
    </row>
    <row r="15005" s="101" customFormat="1" spans="6:6">
      <c r="F15005" s="2423"/>
    </row>
    <row r="15006" s="101" customFormat="1" spans="6:6">
      <c r="F15006" s="2423"/>
    </row>
    <row r="15007" s="101" customFormat="1" spans="6:6">
      <c r="F15007" s="2423"/>
    </row>
    <row r="15008" s="101" customFormat="1" spans="6:6">
      <c r="F15008" s="2423"/>
    </row>
    <row r="15009" s="101" customFormat="1" spans="6:6">
      <c r="F15009" s="2423"/>
    </row>
    <row r="15010" s="101" customFormat="1" spans="6:6">
      <c r="F15010" s="2423"/>
    </row>
    <row r="15011" s="101" customFormat="1" spans="6:6">
      <c r="F15011" s="2423"/>
    </row>
    <row r="15012" s="101" customFormat="1" spans="6:6">
      <c r="F15012" s="2423"/>
    </row>
    <row r="15013" s="101" customFormat="1" spans="6:6">
      <c r="F15013" s="2423"/>
    </row>
    <row r="15014" s="101" customFormat="1" spans="6:6">
      <c r="F15014" s="2423"/>
    </row>
    <row r="15015" s="101" customFormat="1" spans="6:6">
      <c r="F15015" s="2423"/>
    </row>
    <row r="15016" s="101" customFormat="1" spans="6:6">
      <c r="F15016" s="2423"/>
    </row>
    <row r="15017" s="101" customFormat="1" spans="6:6">
      <c r="F15017" s="2423"/>
    </row>
    <row r="15018" s="101" customFormat="1" spans="6:6">
      <c r="F15018" s="2423"/>
    </row>
    <row r="15019" s="101" customFormat="1" spans="6:6">
      <c r="F15019" s="2423"/>
    </row>
    <row r="15020" s="101" customFormat="1" spans="6:6">
      <c r="F15020" s="2423"/>
    </row>
    <row r="15021" s="101" customFormat="1" spans="6:6">
      <c r="F15021" s="2423"/>
    </row>
    <row r="15022" s="101" customFormat="1" spans="6:6">
      <c r="F15022" s="2423"/>
    </row>
    <row r="15023" s="101" customFormat="1" spans="6:6">
      <c r="F15023" s="2423"/>
    </row>
    <row r="15024" s="101" customFormat="1" spans="6:6">
      <c r="F15024" s="2423"/>
    </row>
    <row r="15025" s="101" customFormat="1" spans="6:6">
      <c r="F15025" s="2423"/>
    </row>
    <row r="15026" s="101" customFormat="1" spans="6:6">
      <c r="F15026" s="2423"/>
    </row>
    <row r="15027" s="101" customFormat="1" spans="6:6">
      <c r="F15027" s="2423"/>
    </row>
    <row r="15028" s="101" customFormat="1" spans="6:6">
      <c r="F15028" s="2423"/>
    </row>
    <row r="15029" s="101" customFormat="1" spans="6:6">
      <c r="F15029" s="2423"/>
    </row>
    <row r="15030" s="101" customFormat="1" spans="6:6">
      <c r="F15030" s="2423"/>
    </row>
    <row r="15031" s="101" customFormat="1" spans="6:6">
      <c r="F15031" s="2423"/>
    </row>
    <row r="15032" s="101" customFormat="1" spans="6:6">
      <c r="F15032" s="2423"/>
    </row>
    <row r="15033" s="101" customFormat="1" spans="6:6">
      <c r="F15033" s="2423"/>
    </row>
    <row r="15034" s="101" customFormat="1" spans="6:6">
      <c r="F15034" s="2423"/>
    </row>
    <row r="15035" s="101" customFormat="1" spans="6:6">
      <c r="F15035" s="2423"/>
    </row>
    <row r="15036" s="101" customFormat="1" spans="6:6">
      <c r="F15036" s="2423"/>
    </row>
    <row r="15037" s="101" customFormat="1" spans="6:6">
      <c r="F15037" s="2423"/>
    </row>
    <row r="15038" s="101" customFormat="1" spans="6:6">
      <c r="F15038" s="2423"/>
    </row>
    <row r="15039" s="101" customFormat="1" spans="6:6">
      <c r="F15039" s="2423"/>
    </row>
    <row r="15040" s="101" customFormat="1" spans="6:6">
      <c r="F15040" s="2423"/>
    </row>
    <row r="15041" s="101" customFormat="1" spans="6:6">
      <c r="F15041" s="2423"/>
    </row>
    <row r="15042" s="101" customFormat="1" spans="6:6">
      <c r="F15042" s="2423"/>
    </row>
    <row r="15043" s="101" customFormat="1" spans="6:6">
      <c r="F15043" s="2423"/>
    </row>
    <row r="15044" s="101" customFormat="1" spans="6:6">
      <c r="F15044" s="2423"/>
    </row>
    <row r="15045" s="101" customFormat="1" spans="6:6">
      <c r="F15045" s="2423"/>
    </row>
    <row r="15046" s="101" customFormat="1" spans="6:6">
      <c r="F15046" s="2423"/>
    </row>
    <row r="15047" s="101" customFormat="1" spans="6:6">
      <c r="F15047" s="2423"/>
    </row>
    <row r="15048" s="101" customFormat="1" spans="6:6">
      <c r="F15048" s="2423"/>
    </row>
    <row r="15049" s="101" customFormat="1" spans="6:6">
      <c r="F15049" s="2423"/>
    </row>
    <row r="15050" s="101" customFormat="1" spans="6:6">
      <c r="F15050" s="2423"/>
    </row>
    <row r="15051" s="101" customFormat="1" spans="6:6">
      <c r="F15051" s="2423"/>
    </row>
    <row r="15052" s="101" customFormat="1" spans="6:6">
      <c r="F15052" s="2423"/>
    </row>
    <row r="15053" s="101" customFormat="1" spans="6:6">
      <c r="F15053" s="2423"/>
    </row>
    <row r="15054" s="101" customFormat="1" spans="6:6">
      <c r="F15054" s="2423"/>
    </row>
    <row r="15055" s="101" customFormat="1" spans="6:6">
      <c r="F15055" s="2423"/>
    </row>
    <row r="15056" s="101" customFormat="1" spans="6:6">
      <c r="F15056" s="2423"/>
    </row>
    <row r="15057" s="101" customFormat="1" spans="6:6">
      <c r="F15057" s="2423"/>
    </row>
    <row r="15058" s="101" customFormat="1" spans="6:6">
      <c r="F15058" s="2423"/>
    </row>
    <row r="15059" s="101" customFormat="1" spans="6:6">
      <c r="F15059" s="2423"/>
    </row>
    <row r="15060" s="101" customFormat="1" spans="6:6">
      <c r="F15060" s="2423"/>
    </row>
    <row r="15061" s="101" customFormat="1" spans="6:6">
      <c r="F15061" s="2423"/>
    </row>
    <row r="15062" s="101" customFormat="1" spans="6:6">
      <c r="F15062" s="2423"/>
    </row>
    <row r="15063" s="101" customFormat="1" spans="6:6">
      <c r="F15063" s="2423"/>
    </row>
    <row r="15064" s="101" customFormat="1" spans="6:6">
      <c r="F15064" s="2423"/>
    </row>
    <row r="15065" s="101" customFormat="1" spans="6:6">
      <c r="F15065" s="2423"/>
    </row>
    <row r="15066" s="101" customFormat="1" spans="6:6">
      <c r="F15066" s="2423"/>
    </row>
    <row r="15067" s="101" customFormat="1" spans="6:6">
      <c r="F15067" s="2423"/>
    </row>
    <row r="15068" s="101" customFormat="1" spans="6:6">
      <c r="F15068" s="2423"/>
    </row>
    <row r="15069" s="101" customFormat="1" spans="6:6">
      <c r="F15069" s="2423"/>
    </row>
    <row r="15070" s="101" customFormat="1" spans="6:6">
      <c r="F15070" s="2423"/>
    </row>
    <row r="15071" s="101" customFormat="1" spans="6:6">
      <c r="F15071" s="2423"/>
    </row>
    <row r="15072" s="101" customFormat="1" spans="6:6">
      <c r="F15072" s="2423"/>
    </row>
    <row r="15073" s="101" customFormat="1" spans="6:6">
      <c r="F15073" s="2423"/>
    </row>
    <row r="15074" s="101" customFormat="1" spans="6:6">
      <c r="F15074" s="2423"/>
    </row>
    <row r="15075" s="101" customFormat="1" spans="6:6">
      <c r="F15075" s="2423"/>
    </row>
    <row r="15076" s="101" customFormat="1" spans="6:6">
      <c r="F15076" s="2423"/>
    </row>
    <row r="15077" s="101" customFormat="1" spans="6:6">
      <c r="F15077" s="2423"/>
    </row>
    <row r="15078" s="101" customFormat="1" spans="6:6">
      <c r="F15078" s="2423"/>
    </row>
    <row r="15079" s="101" customFormat="1" spans="6:6">
      <c r="F15079" s="2423"/>
    </row>
    <row r="15080" s="101" customFormat="1" spans="6:6">
      <c r="F15080" s="2423"/>
    </row>
    <row r="15081" s="101" customFormat="1" spans="6:6">
      <c r="F15081" s="2423"/>
    </row>
    <row r="15082" s="101" customFormat="1" spans="6:6">
      <c r="F15082" s="2423"/>
    </row>
    <row r="15083" s="101" customFormat="1" spans="6:6">
      <c r="F15083" s="2423"/>
    </row>
    <row r="15084" s="101" customFormat="1" spans="6:6">
      <c r="F15084" s="2423"/>
    </row>
    <row r="15085" s="101" customFormat="1" spans="6:6">
      <c r="F15085" s="2423"/>
    </row>
    <row r="15086" s="101" customFormat="1" spans="6:6">
      <c r="F15086" s="2423"/>
    </row>
    <row r="15087" s="101" customFormat="1" spans="6:6">
      <c r="F15087" s="2423"/>
    </row>
    <row r="15088" s="101" customFormat="1" spans="6:6">
      <c r="F15088" s="2423"/>
    </row>
    <row r="15089" s="101" customFormat="1" spans="6:6">
      <c r="F15089" s="2423"/>
    </row>
    <row r="15090" s="101" customFormat="1" spans="6:6">
      <c r="F15090" s="2423"/>
    </row>
    <row r="15091" s="101" customFormat="1" spans="6:6">
      <c r="F15091" s="2423"/>
    </row>
    <row r="15092" s="101" customFormat="1" spans="6:6">
      <c r="F15092" s="2423"/>
    </row>
    <row r="15093" s="101" customFormat="1" spans="6:6">
      <c r="F15093" s="2423"/>
    </row>
    <row r="15094" s="101" customFormat="1" spans="6:6">
      <c r="F15094" s="2423"/>
    </row>
    <row r="15095" s="101" customFormat="1" spans="6:6">
      <c r="F15095" s="2423"/>
    </row>
    <row r="15096" s="101" customFormat="1" spans="6:6">
      <c r="F15096" s="2423"/>
    </row>
    <row r="15097" s="101" customFormat="1" spans="6:6">
      <c r="F15097" s="2423"/>
    </row>
    <row r="15098" s="101" customFormat="1" spans="6:6">
      <c r="F15098" s="2423"/>
    </row>
    <row r="15099" s="101" customFormat="1" spans="6:6">
      <c r="F15099" s="2423"/>
    </row>
    <row r="15100" s="101" customFormat="1" spans="6:6">
      <c r="F15100" s="2423"/>
    </row>
    <row r="15101" s="101" customFormat="1" spans="6:6">
      <c r="F15101" s="2423"/>
    </row>
    <row r="15102" s="101" customFormat="1" spans="6:6">
      <c r="F15102" s="2423"/>
    </row>
    <row r="15103" s="101" customFormat="1" spans="6:6">
      <c r="F15103" s="2423"/>
    </row>
    <row r="15104" s="101" customFormat="1" spans="6:6">
      <c r="F15104" s="2423"/>
    </row>
    <row r="15105" s="101" customFormat="1" spans="6:6">
      <c r="F15105" s="2423"/>
    </row>
    <row r="15106" s="101" customFormat="1" spans="6:6">
      <c r="F15106" s="2423"/>
    </row>
    <row r="15107" s="101" customFormat="1" spans="6:6">
      <c r="F15107" s="2423"/>
    </row>
    <row r="15108" s="101" customFormat="1" spans="6:6">
      <c r="F15108" s="2423"/>
    </row>
    <row r="15109" s="101" customFormat="1" spans="6:6">
      <c r="F15109" s="2423"/>
    </row>
    <row r="15110" s="101" customFormat="1" spans="6:6">
      <c r="F15110" s="2423"/>
    </row>
    <row r="15111" s="101" customFormat="1" spans="6:6">
      <c r="F15111" s="2423"/>
    </row>
    <row r="15112" s="101" customFormat="1" spans="6:6">
      <c r="F15112" s="2423"/>
    </row>
    <row r="15113" s="101" customFormat="1" spans="6:6">
      <c r="F15113" s="2423"/>
    </row>
    <row r="15114" s="101" customFormat="1" spans="6:6">
      <c r="F15114" s="2423"/>
    </row>
    <row r="15115" s="101" customFormat="1" spans="6:6">
      <c r="F15115" s="2423"/>
    </row>
    <row r="15116" s="101" customFormat="1" spans="6:6">
      <c r="F15116" s="2423"/>
    </row>
    <row r="15117" s="101" customFormat="1" spans="6:6">
      <c r="F15117" s="2423"/>
    </row>
    <row r="15118" s="101" customFormat="1" spans="6:6">
      <c r="F15118" s="2423"/>
    </row>
    <row r="15119" s="101" customFormat="1" spans="6:6">
      <c r="F15119" s="2423"/>
    </row>
    <row r="15120" s="101" customFormat="1" spans="6:6">
      <c r="F15120" s="2423"/>
    </row>
    <row r="15121" s="101" customFormat="1" spans="6:6">
      <c r="F15121" s="2423"/>
    </row>
    <row r="15122" s="101" customFormat="1" spans="6:6">
      <c r="F15122" s="2423"/>
    </row>
    <row r="15123" s="101" customFormat="1" spans="6:6">
      <c r="F15123" s="2423"/>
    </row>
    <row r="15124" s="101" customFormat="1" spans="6:6">
      <c r="F15124" s="2423"/>
    </row>
    <row r="15125" s="101" customFormat="1" spans="6:6">
      <c r="F15125" s="2423"/>
    </row>
    <row r="15126" s="101" customFormat="1" spans="6:6">
      <c r="F15126" s="2423"/>
    </row>
    <row r="15127" s="101" customFormat="1" spans="6:6">
      <c r="F15127" s="2423"/>
    </row>
    <row r="15128" s="101" customFormat="1" spans="6:6">
      <c r="F15128" s="2423"/>
    </row>
    <row r="15129" s="101" customFormat="1" spans="6:6">
      <c r="F15129" s="2423"/>
    </row>
    <row r="15130" s="101" customFormat="1" spans="6:6">
      <c r="F15130" s="2423"/>
    </row>
    <row r="15131" s="101" customFormat="1" spans="6:6">
      <c r="F15131" s="2423"/>
    </row>
    <row r="15132" s="101" customFormat="1" spans="6:6">
      <c r="F15132" s="2423"/>
    </row>
    <row r="15133" s="101" customFormat="1" spans="6:6">
      <c r="F15133" s="2423"/>
    </row>
    <row r="15134" s="101" customFormat="1" spans="6:6">
      <c r="F15134" s="2423"/>
    </row>
    <row r="15135" s="101" customFormat="1" spans="6:6">
      <c r="F15135" s="2423"/>
    </row>
    <row r="15136" s="101" customFormat="1" spans="6:6">
      <c r="F15136" s="2423"/>
    </row>
    <row r="15137" s="101" customFormat="1" spans="6:6">
      <c r="F15137" s="2423"/>
    </row>
    <row r="15138" s="101" customFormat="1" spans="6:6">
      <c r="F15138" s="2423"/>
    </row>
    <row r="15139" s="101" customFormat="1" spans="6:6">
      <c r="F15139" s="2423"/>
    </row>
    <row r="15140" s="101" customFormat="1" spans="6:6">
      <c r="F15140" s="2423"/>
    </row>
    <row r="15141" s="101" customFormat="1" spans="6:6">
      <c r="F15141" s="2423"/>
    </row>
    <row r="15142" s="101" customFormat="1" spans="6:6">
      <c r="F15142" s="2423"/>
    </row>
    <row r="15143" s="101" customFormat="1" spans="6:6">
      <c r="F15143" s="2423"/>
    </row>
    <row r="15144" s="101" customFormat="1" spans="6:6">
      <c r="F15144" s="2423"/>
    </row>
    <row r="15145" s="101" customFormat="1" spans="6:6">
      <c r="F15145" s="2423"/>
    </row>
    <row r="15146" s="101" customFormat="1" spans="6:6">
      <c r="F15146" s="2423"/>
    </row>
    <row r="15147" s="101" customFormat="1" spans="6:6">
      <c r="F15147" s="2423"/>
    </row>
    <row r="15148" s="101" customFormat="1" spans="6:6">
      <c r="F15148" s="2423"/>
    </row>
    <row r="15149" s="101" customFormat="1" spans="6:6">
      <c r="F15149" s="2423"/>
    </row>
    <row r="15150" s="101" customFormat="1" spans="6:6">
      <c r="F15150" s="2423"/>
    </row>
    <row r="15151" s="101" customFormat="1" spans="6:6">
      <c r="F15151" s="2423"/>
    </row>
    <row r="15152" s="101" customFormat="1" spans="6:6">
      <c r="F15152" s="2423"/>
    </row>
    <row r="15153" s="101" customFormat="1" spans="6:6">
      <c r="F15153" s="2423"/>
    </row>
    <row r="15154" s="101" customFormat="1" spans="6:6">
      <c r="F15154" s="2423"/>
    </row>
    <row r="15155" s="101" customFormat="1" spans="6:6">
      <c r="F15155" s="2423"/>
    </row>
    <row r="15156" s="101" customFormat="1" spans="6:6">
      <c r="F15156" s="2423"/>
    </row>
    <row r="15157" s="101" customFormat="1" spans="6:6">
      <c r="F15157" s="2423"/>
    </row>
    <row r="15158" s="101" customFormat="1" spans="6:6">
      <c r="F15158" s="2423"/>
    </row>
    <row r="15159" s="101" customFormat="1" spans="6:6">
      <c r="F15159" s="2423"/>
    </row>
    <row r="15160" s="101" customFormat="1" spans="6:6">
      <c r="F15160" s="2423"/>
    </row>
    <row r="15161" s="101" customFormat="1" spans="6:6">
      <c r="F15161" s="2423"/>
    </row>
    <row r="15162" s="101" customFormat="1" spans="6:6">
      <c r="F15162" s="2423"/>
    </row>
    <row r="15163" s="101" customFormat="1" spans="6:6">
      <c r="F15163" s="2423"/>
    </row>
    <row r="15164" s="101" customFormat="1" spans="6:6">
      <c r="F15164" s="2423"/>
    </row>
    <row r="15165" s="101" customFormat="1" spans="6:6">
      <c r="F15165" s="2423"/>
    </row>
    <row r="15166" s="101" customFormat="1" spans="6:6">
      <c r="F15166" s="2423"/>
    </row>
    <row r="15167" s="101" customFormat="1" spans="6:6">
      <c r="F15167" s="2423"/>
    </row>
    <row r="15168" s="101" customFormat="1" spans="6:6">
      <c r="F15168" s="2423"/>
    </row>
    <row r="15169" s="101" customFormat="1" spans="6:6">
      <c r="F15169" s="2423"/>
    </row>
    <row r="15170" s="101" customFormat="1" spans="6:6">
      <c r="F15170" s="2423"/>
    </row>
    <row r="15171" s="101" customFormat="1" spans="6:6">
      <c r="F15171" s="2423"/>
    </row>
    <row r="15172" s="101" customFormat="1" spans="6:6">
      <c r="F15172" s="2423"/>
    </row>
    <row r="15173" s="101" customFormat="1" spans="6:6">
      <c r="F15173" s="2423"/>
    </row>
    <row r="15174" s="101" customFormat="1" spans="6:6">
      <c r="F15174" s="2423"/>
    </row>
    <row r="15175" s="101" customFormat="1" spans="6:6">
      <c r="F15175" s="2423"/>
    </row>
    <row r="15176" s="101" customFormat="1" spans="6:6">
      <c r="F15176" s="2423"/>
    </row>
    <row r="15177" s="101" customFormat="1" spans="6:6">
      <c r="F15177" s="2423"/>
    </row>
    <row r="15178" s="101" customFormat="1" spans="6:6">
      <c r="F15178" s="2423"/>
    </row>
    <row r="15179" s="101" customFormat="1" spans="6:6">
      <c r="F15179" s="2423"/>
    </row>
    <row r="15180" s="101" customFormat="1" spans="6:6">
      <c r="F15180" s="2423"/>
    </row>
    <row r="15181" s="101" customFormat="1" spans="6:6">
      <c r="F15181" s="2423"/>
    </row>
    <row r="15182" s="101" customFormat="1" spans="6:6">
      <c r="F15182" s="2423"/>
    </row>
    <row r="15183" s="101" customFormat="1" spans="6:6">
      <c r="F15183" s="2423"/>
    </row>
    <row r="15184" s="101" customFormat="1" spans="6:6">
      <c r="F15184" s="2423"/>
    </row>
    <row r="15185" s="101" customFormat="1" spans="6:6">
      <c r="F15185" s="2423"/>
    </row>
    <row r="15186" s="101" customFormat="1" spans="6:6">
      <c r="F15186" s="2423"/>
    </row>
    <row r="15187" s="101" customFormat="1" spans="6:6">
      <c r="F15187" s="2423"/>
    </row>
    <row r="15188" s="101" customFormat="1" spans="6:6">
      <c r="F15188" s="2423"/>
    </row>
    <row r="15189" s="101" customFormat="1" spans="6:6">
      <c r="F15189" s="2423"/>
    </row>
    <row r="15190" s="101" customFormat="1" spans="6:6">
      <c r="F15190" s="2423"/>
    </row>
    <row r="15191" s="101" customFormat="1" spans="6:6">
      <c r="F15191" s="2423"/>
    </row>
    <row r="15192" s="101" customFormat="1" spans="6:6">
      <c r="F15192" s="2423"/>
    </row>
    <row r="15193" s="101" customFormat="1" spans="6:6">
      <c r="F15193" s="2423"/>
    </row>
    <row r="15194" s="101" customFormat="1" spans="6:6">
      <c r="F15194" s="2423"/>
    </row>
    <row r="15195" s="101" customFormat="1" spans="6:6">
      <c r="F15195" s="2423"/>
    </row>
    <row r="15196" s="101" customFormat="1" spans="6:6">
      <c r="F15196" s="2423"/>
    </row>
    <row r="15197" s="101" customFormat="1" spans="6:6">
      <c r="F15197" s="2423"/>
    </row>
    <row r="15198" s="101" customFormat="1" spans="6:6">
      <c r="F15198" s="2423"/>
    </row>
    <row r="15199" s="101" customFormat="1" spans="6:6">
      <c r="F15199" s="2423"/>
    </row>
    <row r="15200" s="101" customFormat="1" spans="6:6">
      <c r="F15200" s="2423"/>
    </row>
    <row r="15201" s="101" customFormat="1" spans="6:6">
      <c r="F15201" s="2423"/>
    </row>
    <row r="15202" s="101" customFormat="1" spans="6:6">
      <c r="F15202" s="2423"/>
    </row>
    <row r="15203" s="101" customFormat="1" spans="6:6">
      <c r="F15203" s="2423"/>
    </row>
    <row r="15204" s="101" customFormat="1" spans="6:6">
      <c r="F15204" s="2423"/>
    </row>
    <row r="15205" s="101" customFormat="1" spans="6:6">
      <c r="F15205" s="2423"/>
    </row>
    <row r="15206" s="101" customFormat="1" spans="6:6">
      <c r="F15206" s="2423"/>
    </row>
    <row r="15207" s="101" customFormat="1" spans="6:6">
      <c r="F15207" s="2423"/>
    </row>
    <row r="15208" s="101" customFormat="1" spans="6:6">
      <c r="F15208" s="2423"/>
    </row>
    <row r="15209" s="101" customFormat="1" spans="6:6">
      <c r="F15209" s="2423"/>
    </row>
    <row r="15210" s="101" customFormat="1" spans="6:6">
      <c r="F15210" s="2423"/>
    </row>
    <row r="15211" s="101" customFormat="1" spans="6:6">
      <c r="F15211" s="2423"/>
    </row>
    <row r="15212" s="101" customFormat="1" spans="6:6">
      <c r="F15212" s="2423"/>
    </row>
    <row r="15213" s="101" customFormat="1" spans="6:6">
      <c r="F15213" s="2423"/>
    </row>
    <row r="15214" s="101" customFormat="1" spans="6:6">
      <c r="F15214" s="2423"/>
    </row>
    <row r="15215" s="101" customFormat="1" spans="6:6">
      <c r="F15215" s="2423"/>
    </row>
    <row r="15216" s="101" customFormat="1" spans="6:6">
      <c r="F15216" s="2423"/>
    </row>
    <row r="15217" s="101" customFormat="1" spans="6:6">
      <c r="F15217" s="2423"/>
    </row>
    <row r="15218" s="101" customFormat="1" spans="6:6">
      <c r="F15218" s="2423"/>
    </row>
    <row r="15219" s="101" customFormat="1" spans="6:6">
      <c r="F15219" s="2423"/>
    </row>
    <row r="15220" s="101" customFormat="1" spans="6:6">
      <c r="F15220" s="2423"/>
    </row>
    <row r="15221" s="101" customFormat="1" spans="6:6">
      <c r="F15221" s="2423"/>
    </row>
    <row r="15222" s="101" customFormat="1" spans="6:6">
      <c r="F15222" s="2423"/>
    </row>
    <row r="15223" s="101" customFormat="1" spans="6:6">
      <c r="F15223" s="2423"/>
    </row>
    <row r="15224" s="101" customFormat="1" spans="6:6">
      <c r="F15224" s="2423"/>
    </row>
    <row r="15225" s="101" customFormat="1" spans="6:6">
      <c r="F15225" s="2423"/>
    </row>
    <row r="15226" s="101" customFormat="1" spans="6:6">
      <c r="F15226" s="2423"/>
    </row>
    <row r="15227" s="101" customFormat="1" spans="6:6">
      <c r="F15227" s="2423"/>
    </row>
    <row r="15228" s="101" customFormat="1" spans="6:6">
      <c r="F15228" s="2423"/>
    </row>
    <row r="15229" s="101" customFormat="1" spans="6:6">
      <c r="F15229" s="2423"/>
    </row>
    <row r="15230" s="101" customFormat="1" spans="6:6">
      <c r="F15230" s="2423"/>
    </row>
    <row r="15231" s="101" customFormat="1" spans="6:6">
      <c r="F15231" s="2423"/>
    </row>
    <row r="15232" s="101" customFormat="1" spans="6:6">
      <c r="F15232" s="2423"/>
    </row>
    <row r="15233" s="101" customFormat="1" spans="6:6">
      <c r="F15233" s="2423"/>
    </row>
    <row r="15234" s="101" customFormat="1" spans="6:6">
      <c r="F15234" s="2423"/>
    </row>
    <row r="15235" s="101" customFormat="1" spans="6:6">
      <c r="F15235" s="2423"/>
    </row>
    <row r="15236" s="101" customFormat="1" spans="6:6">
      <c r="F15236" s="2423"/>
    </row>
    <row r="15237" s="101" customFormat="1" spans="6:6">
      <c r="F15237" s="2423"/>
    </row>
    <row r="15238" s="101" customFormat="1" spans="6:6">
      <c r="F15238" s="2423"/>
    </row>
    <row r="15239" s="101" customFormat="1" spans="6:6">
      <c r="F15239" s="2423"/>
    </row>
    <row r="15240" s="101" customFormat="1" spans="6:6">
      <c r="F15240" s="2423"/>
    </row>
    <row r="15241" s="101" customFormat="1" spans="6:6">
      <c r="F15241" s="2423"/>
    </row>
    <row r="15242" s="101" customFormat="1" spans="6:6">
      <c r="F15242" s="2423"/>
    </row>
    <row r="15243" s="101" customFormat="1" spans="6:6">
      <c r="F15243" s="2423"/>
    </row>
    <row r="15244" s="101" customFormat="1" spans="6:6">
      <c r="F15244" s="2423"/>
    </row>
    <row r="15245" s="101" customFormat="1" spans="6:6">
      <c r="F15245" s="2423"/>
    </row>
    <row r="15246" s="101" customFormat="1" spans="6:6">
      <c r="F15246" s="2423"/>
    </row>
    <row r="15247" s="101" customFormat="1" spans="6:6">
      <c r="F15247" s="2423"/>
    </row>
    <row r="15248" s="101" customFormat="1" spans="6:6">
      <c r="F15248" s="2423"/>
    </row>
    <row r="15249" s="101" customFormat="1" spans="6:6">
      <c r="F15249" s="2423"/>
    </row>
    <row r="15250" s="101" customFormat="1" spans="6:6">
      <c r="F15250" s="2423"/>
    </row>
    <row r="15251" s="101" customFormat="1" spans="6:6">
      <c r="F15251" s="2423"/>
    </row>
    <row r="15252" s="101" customFormat="1" spans="6:6">
      <c r="F15252" s="2423"/>
    </row>
    <row r="15253" s="101" customFormat="1" spans="6:6">
      <c r="F15253" s="2423"/>
    </row>
    <row r="15254" s="101" customFormat="1" spans="6:6">
      <c r="F15254" s="2423"/>
    </row>
    <row r="15255" s="101" customFormat="1" spans="6:6">
      <c r="F15255" s="2423"/>
    </row>
    <row r="15256" s="101" customFormat="1" spans="6:6">
      <c r="F15256" s="2423"/>
    </row>
    <row r="15257" s="101" customFormat="1" spans="6:6">
      <c r="F15257" s="2423"/>
    </row>
    <row r="15258" s="101" customFormat="1" spans="6:6">
      <c r="F15258" s="2423"/>
    </row>
    <row r="15259" s="101" customFormat="1" spans="6:6">
      <c r="F15259" s="2423"/>
    </row>
    <row r="15260" s="101" customFormat="1" spans="6:6">
      <c r="F15260" s="2423"/>
    </row>
    <row r="15261" s="101" customFormat="1" spans="6:6">
      <c r="F15261" s="2423"/>
    </row>
    <row r="15262" s="101" customFormat="1" spans="6:6">
      <c r="F15262" s="2423"/>
    </row>
    <row r="15263" s="101" customFormat="1" spans="6:6">
      <c r="F15263" s="2423"/>
    </row>
    <row r="15264" s="101" customFormat="1" spans="6:6">
      <c r="F15264" s="2423"/>
    </row>
    <row r="15265" s="101" customFormat="1" spans="6:6">
      <c r="F15265" s="2423"/>
    </row>
    <row r="15266" s="101" customFormat="1" spans="6:6">
      <c r="F15266" s="2423"/>
    </row>
    <row r="15267" s="101" customFormat="1" spans="6:6">
      <c r="F15267" s="2423"/>
    </row>
    <row r="15268" s="101" customFormat="1" spans="6:6">
      <c r="F15268" s="2423"/>
    </row>
    <row r="15269" s="101" customFormat="1" spans="6:6">
      <c r="F15269" s="2423"/>
    </row>
    <row r="15270" s="101" customFormat="1" spans="6:6">
      <c r="F15270" s="2423"/>
    </row>
    <row r="15271" s="101" customFormat="1" spans="6:6">
      <c r="F15271" s="2423"/>
    </row>
    <row r="15272" s="101" customFormat="1" spans="6:6">
      <c r="F15272" s="2423"/>
    </row>
    <row r="15273" s="101" customFormat="1" spans="6:6">
      <c r="F15273" s="2423"/>
    </row>
    <row r="15274" s="101" customFormat="1" spans="6:6">
      <c r="F15274" s="2423"/>
    </row>
    <row r="15275" s="101" customFormat="1" spans="6:6">
      <c r="F15275" s="2423"/>
    </row>
    <row r="15276" s="101" customFormat="1" spans="6:6">
      <c r="F15276" s="2423"/>
    </row>
    <row r="15277" s="101" customFormat="1" spans="6:6">
      <c r="F15277" s="2423"/>
    </row>
    <row r="15278" s="101" customFormat="1" spans="6:6">
      <c r="F15278" s="2423"/>
    </row>
    <row r="15279" s="101" customFormat="1" spans="6:6">
      <c r="F15279" s="2423"/>
    </row>
    <row r="15280" s="101" customFormat="1" spans="6:6">
      <c r="F15280" s="2423"/>
    </row>
    <row r="15281" s="101" customFormat="1" spans="6:6">
      <c r="F15281" s="2423"/>
    </row>
    <row r="15282" s="101" customFormat="1" spans="6:6">
      <c r="F15282" s="2423"/>
    </row>
    <row r="15283" s="101" customFormat="1" spans="6:6">
      <c r="F15283" s="2423"/>
    </row>
    <row r="15284" s="101" customFormat="1" spans="6:6">
      <c r="F15284" s="2423"/>
    </row>
    <row r="15285" s="101" customFormat="1" spans="6:6">
      <c r="F15285" s="2423"/>
    </row>
    <row r="15286" s="101" customFormat="1" spans="6:6">
      <c r="F15286" s="2423"/>
    </row>
    <row r="15287" s="101" customFormat="1" spans="6:6">
      <c r="F15287" s="2423"/>
    </row>
    <row r="15288" s="101" customFormat="1" spans="6:6">
      <c r="F15288" s="2423"/>
    </row>
    <row r="15289" s="101" customFormat="1" spans="6:6">
      <c r="F15289" s="2423"/>
    </row>
    <row r="15290" s="101" customFormat="1" spans="6:6">
      <c r="F15290" s="2423"/>
    </row>
    <row r="15291" s="101" customFormat="1" spans="6:6">
      <c r="F15291" s="2423"/>
    </row>
    <row r="15292" s="101" customFormat="1" spans="6:6">
      <c r="F15292" s="2423"/>
    </row>
    <row r="15293" s="101" customFormat="1" spans="6:6">
      <c r="F15293" s="2423"/>
    </row>
    <row r="15294" s="101" customFormat="1" spans="6:6">
      <c r="F15294" s="2423"/>
    </row>
    <row r="15295" s="101" customFormat="1" spans="6:6">
      <c r="F15295" s="2423"/>
    </row>
    <row r="15296" s="101" customFormat="1" spans="6:6">
      <c r="F15296" s="2423"/>
    </row>
    <row r="15297" s="101" customFormat="1" spans="6:6">
      <c r="F15297" s="2423"/>
    </row>
    <row r="15298" s="101" customFormat="1" spans="6:6">
      <c r="F15298" s="2423"/>
    </row>
    <row r="15299" s="101" customFormat="1" spans="6:6">
      <c r="F15299" s="2423"/>
    </row>
    <row r="15300" s="101" customFormat="1" spans="6:6">
      <c r="F15300" s="2423"/>
    </row>
    <row r="15301" s="101" customFormat="1" spans="6:6">
      <c r="F15301" s="2423"/>
    </row>
    <row r="15302" s="101" customFormat="1" spans="6:6">
      <c r="F15302" s="2423"/>
    </row>
    <row r="15303" s="101" customFormat="1" spans="6:6">
      <c r="F15303" s="2423"/>
    </row>
    <row r="15304" s="101" customFormat="1" spans="6:6">
      <c r="F15304" s="2423"/>
    </row>
    <row r="15305" s="101" customFormat="1" spans="6:6">
      <c r="F15305" s="2423"/>
    </row>
    <row r="15306" s="101" customFormat="1" spans="6:6">
      <c r="F15306" s="2423"/>
    </row>
    <row r="15307" s="101" customFormat="1" spans="6:6">
      <c r="F15307" s="2423"/>
    </row>
    <row r="15308" s="101" customFormat="1" spans="6:6">
      <c r="F15308" s="2423"/>
    </row>
    <row r="15309" s="101" customFormat="1" spans="6:6">
      <c r="F15309" s="2423"/>
    </row>
    <row r="15310" s="101" customFormat="1" spans="6:6">
      <c r="F15310" s="2423"/>
    </row>
    <row r="15311" s="101" customFormat="1" spans="6:6">
      <c r="F15311" s="2423"/>
    </row>
    <row r="15312" s="101" customFormat="1" spans="6:6">
      <c r="F15312" s="2423"/>
    </row>
    <row r="15313" s="101" customFormat="1" spans="6:6">
      <c r="F15313" s="2423"/>
    </row>
    <row r="15314" s="101" customFormat="1" spans="6:6">
      <c r="F15314" s="2423"/>
    </row>
    <row r="15315" s="101" customFormat="1" spans="6:6">
      <c r="F15315" s="2423"/>
    </row>
    <row r="15316" s="101" customFormat="1" spans="6:6">
      <c r="F15316" s="2423"/>
    </row>
    <row r="15317" s="101" customFormat="1" spans="6:6">
      <c r="F15317" s="2423"/>
    </row>
    <row r="15318" s="101" customFormat="1" spans="6:6">
      <c r="F15318" s="2423"/>
    </row>
    <row r="15319" s="101" customFormat="1" spans="6:6">
      <c r="F15319" s="2423"/>
    </row>
    <row r="15320" s="101" customFormat="1" spans="6:6">
      <c r="F15320" s="2423"/>
    </row>
    <row r="15321" s="101" customFormat="1" spans="6:6">
      <c r="F15321" s="2423"/>
    </row>
    <row r="15322" s="101" customFormat="1" spans="6:6">
      <c r="F15322" s="2423"/>
    </row>
    <row r="15323" s="101" customFormat="1" spans="6:6">
      <c r="F15323" s="2423"/>
    </row>
    <row r="15324" s="101" customFormat="1" spans="6:6">
      <c r="F15324" s="2423"/>
    </row>
    <row r="15325" s="101" customFormat="1" spans="6:6">
      <c r="F15325" s="2423"/>
    </row>
    <row r="15326" s="101" customFormat="1" spans="6:6">
      <c r="F15326" s="2423"/>
    </row>
    <row r="15327" s="101" customFormat="1" spans="6:6">
      <c r="F15327" s="2423"/>
    </row>
    <row r="15328" s="101" customFormat="1" spans="6:6">
      <c r="F15328" s="2423"/>
    </row>
    <row r="15329" s="101" customFormat="1" spans="6:6">
      <c r="F15329" s="2423"/>
    </row>
    <row r="15330" s="101" customFormat="1" spans="6:6">
      <c r="F15330" s="2423"/>
    </row>
    <row r="15331" s="101" customFormat="1" spans="6:6">
      <c r="F15331" s="2423"/>
    </row>
    <row r="15332" s="101" customFormat="1" spans="6:6">
      <c r="F15332" s="2423"/>
    </row>
    <row r="15333" s="101" customFormat="1" spans="6:6">
      <c r="F15333" s="2423"/>
    </row>
    <row r="15334" s="101" customFormat="1" spans="6:6">
      <c r="F15334" s="2423"/>
    </row>
    <row r="15335" s="101" customFormat="1" spans="6:6">
      <c r="F15335" s="2423"/>
    </row>
    <row r="15336" s="101" customFormat="1" spans="6:6">
      <c r="F15336" s="2423"/>
    </row>
    <row r="15337" s="101" customFormat="1" spans="6:6">
      <c r="F15337" s="2423"/>
    </row>
    <row r="15338" s="101" customFormat="1" spans="6:6">
      <c r="F15338" s="2423"/>
    </row>
    <row r="15339" s="101" customFormat="1" spans="6:6">
      <c r="F15339" s="2423"/>
    </row>
    <row r="15340" s="101" customFormat="1" spans="6:6">
      <c r="F15340" s="2423"/>
    </row>
    <row r="15341" s="101" customFormat="1" spans="6:6">
      <c r="F15341" s="2423"/>
    </row>
    <row r="15342" s="101" customFormat="1" spans="6:6">
      <c r="F15342" s="2423"/>
    </row>
    <row r="15343" s="101" customFormat="1" spans="6:6">
      <c r="F15343" s="2423"/>
    </row>
    <row r="15344" s="101" customFormat="1" spans="6:6">
      <c r="F15344" s="2423"/>
    </row>
    <row r="15345" s="101" customFormat="1" spans="6:6">
      <c r="F15345" s="2423"/>
    </row>
    <row r="15346" s="101" customFormat="1" spans="6:6">
      <c r="F15346" s="2423"/>
    </row>
    <row r="15347" s="101" customFormat="1" spans="6:6">
      <c r="F15347" s="2423"/>
    </row>
    <row r="15348" s="101" customFormat="1" spans="6:6">
      <c r="F15348" s="2423"/>
    </row>
    <row r="15349" s="101" customFormat="1" spans="6:6">
      <c r="F15349" s="2423"/>
    </row>
    <row r="15350" s="101" customFormat="1" spans="6:6">
      <c r="F15350" s="2423"/>
    </row>
    <row r="15351" s="101" customFormat="1" spans="6:6">
      <c r="F15351" s="2423"/>
    </row>
    <row r="15352" s="101" customFormat="1" spans="6:6">
      <c r="F15352" s="2423"/>
    </row>
    <row r="15353" s="101" customFormat="1" spans="6:6">
      <c r="F15353" s="2423"/>
    </row>
    <row r="15354" s="101" customFormat="1" spans="6:6">
      <c r="F15354" s="2423"/>
    </row>
    <row r="15355" s="101" customFormat="1" spans="6:6">
      <c r="F15355" s="2423"/>
    </row>
    <row r="15356" s="101" customFormat="1" spans="6:6">
      <c r="F15356" s="2423"/>
    </row>
    <row r="15357" s="101" customFormat="1" spans="6:6">
      <c r="F15357" s="2423"/>
    </row>
    <row r="15358" s="101" customFormat="1" spans="6:6">
      <c r="F15358" s="2423"/>
    </row>
    <row r="15359" s="101" customFormat="1" spans="6:6">
      <c r="F15359" s="2423"/>
    </row>
    <row r="15360" s="101" customFormat="1" spans="6:6">
      <c r="F15360" s="2423"/>
    </row>
    <row r="15361" s="101" customFormat="1" spans="6:6">
      <c r="F15361" s="2423"/>
    </row>
    <row r="15362" s="101" customFormat="1" spans="6:6">
      <c r="F15362" s="2423"/>
    </row>
    <row r="15363" s="101" customFormat="1" spans="6:6">
      <c r="F15363" s="2423"/>
    </row>
    <row r="15364" s="101" customFormat="1" spans="6:6">
      <c r="F15364" s="2423"/>
    </row>
    <row r="15365" s="101" customFormat="1" spans="6:6">
      <c r="F15365" s="2423"/>
    </row>
    <row r="15366" s="101" customFormat="1" spans="6:6">
      <c r="F15366" s="2423"/>
    </row>
    <row r="15367" s="101" customFormat="1" spans="6:6">
      <c r="F15367" s="2423"/>
    </row>
    <row r="15368" s="101" customFormat="1" spans="6:6">
      <c r="F15368" s="2423"/>
    </row>
    <row r="15369" s="101" customFormat="1" spans="6:6">
      <c r="F15369" s="2423"/>
    </row>
    <row r="15370" s="101" customFormat="1" spans="6:6">
      <c r="F15370" s="2423"/>
    </row>
    <row r="15371" s="101" customFormat="1" spans="6:6">
      <c r="F15371" s="2423"/>
    </row>
    <row r="15372" s="101" customFormat="1" spans="6:6">
      <c r="F15372" s="2423"/>
    </row>
    <row r="15373" s="101" customFormat="1" spans="6:6">
      <c r="F15373" s="2423"/>
    </row>
    <row r="15374" s="101" customFormat="1" spans="6:6">
      <c r="F15374" s="2423"/>
    </row>
    <row r="15375" s="101" customFormat="1" spans="6:6">
      <c r="F15375" s="2423"/>
    </row>
    <row r="15376" s="101" customFormat="1" spans="6:6">
      <c r="F15376" s="2423"/>
    </row>
    <row r="15377" s="101" customFormat="1" spans="6:6">
      <c r="F15377" s="2423"/>
    </row>
    <row r="15378" s="101" customFormat="1" spans="6:6">
      <c r="F15378" s="2423"/>
    </row>
    <row r="15379" s="101" customFormat="1" spans="6:6">
      <c r="F15379" s="2423"/>
    </row>
    <row r="15380" s="101" customFormat="1" spans="6:6">
      <c r="F15380" s="2423"/>
    </row>
    <row r="15381" s="101" customFormat="1" spans="6:6">
      <c r="F15381" s="2423"/>
    </row>
    <row r="15382" s="101" customFormat="1" spans="6:6">
      <c r="F15382" s="2423"/>
    </row>
    <row r="15383" s="101" customFormat="1" spans="6:6">
      <c r="F15383" s="2423"/>
    </row>
    <row r="15384" s="101" customFormat="1" spans="6:6">
      <c r="F15384" s="2423"/>
    </row>
    <row r="15385" s="101" customFormat="1" spans="6:6">
      <c r="F15385" s="2423"/>
    </row>
    <row r="15386" s="101" customFormat="1" spans="6:6">
      <c r="F15386" s="2423"/>
    </row>
    <row r="15387" s="101" customFormat="1" spans="6:6">
      <c r="F15387" s="2423"/>
    </row>
    <row r="15388" s="101" customFormat="1" spans="6:6">
      <c r="F15388" s="2423"/>
    </row>
    <row r="15389" s="101" customFormat="1" spans="6:6">
      <c r="F15389" s="2423"/>
    </row>
    <row r="15390" s="101" customFormat="1" spans="6:6">
      <c r="F15390" s="2423"/>
    </row>
    <row r="15391" s="101" customFormat="1" spans="6:6">
      <c r="F15391" s="2423"/>
    </row>
    <row r="15392" s="101" customFormat="1" spans="6:6">
      <c r="F15392" s="2423"/>
    </row>
    <row r="15393" s="101" customFormat="1" spans="6:6">
      <c r="F15393" s="2423"/>
    </row>
    <row r="15394" s="101" customFormat="1" spans="6:6">
      <c r="F15394" s="2423"/>
    </row>
    <row r="15395" s="101" customFormat="1" spans="6:6">
      <c r="F15395" s="2423"/>
    </row>
    <row r="15396" s="101" customFormat="1" spans="6:6">
      <c r="F15396" s="2423"/>
    </row>
    <row r="15397" s="101" customFormat="1" spans="6:6">
      <c r="F15397" s="2423"/>
    </row>
    <row r="15398" s="101" customFormat="1" spans="6:6">
      <c r="F15398" s="2423"/>
    </row>
    <row r="15399" s="101" customFormat="1" spans="6:6">
      <c r="F15399" s="2423"/>
    </row>
    <row r="15400" s="101" customFormat="1" spans="6:6">
      <c r="F15400" s="2423"/>
    </row>
    <row r="15401" s="101" customFormat="1" spans="6:6">
      <c r="F15401" s="2423"/>
    </row>
    <row r="15402" s="101" customFormat="1" spans="6:6">
      <c r="F15402" s="2423"/>
    </row>
    <row r="15403" s="101" customFormat="1" spans="6:6">
      <c r="F15403" s="2423"/>
    </row>
    <row r="15404" s="101" customFormat="1" spans="6:6">
      <c r="F15404" s="2423"/>
    </row>
    <row r="15405" s="101" customFormat="1" spans="6:6">
      <c r="F15405" s="2423"/>
    </row>
    <row r="15406" s="101" customFormat="1" spans="6:6">
      <c r="F15406" s="2423"/>
    </row>
    <row r="15407" s="101" customFormat="1" spans="6:6">
      <c r="F15407" s="2423"/>
    </row>
    <row r="15408" s="101" customFormat="1" spans="6:6">
      <c r="F15408" s="2423"/>
    </row>
    <row r="15409" s="101" customFormat="1" spans="6:6">
      <c r="F15409" s="2423"/>
    </row>
    <row r="15410" s="101" customFormat="1" spans="6:6">
      <c r="F15410" s="2423"/>
    </row>
    <row r="15411" s="101" customFormat="1" spans="6:6">
      <c r="F15411" s="2423"/>
    </row>
    <row r="15412" s="101" customFormat="1" spans="6:6">
      <c r="F15412" s="2423"/>
    </row>
    <row r="15413" s="101" customFormat="1" spans="6:6">
      <c r="F15413" s="2423"/>
    </row>
    <row r="15414" s="101" customFormat="1" spans="6:6">
      <c r="F15414" s="2423"/>
    </row>
    <row r="15415" s="101" customFormat="1" spans="6:6">
      <c r="F15415" s="2423"/>
    </row>
    <row r="15416" s="101" customFormat="1" spans="6:6">
      <c r="F15416" s="2423"/>
    </row>
    <row r="15417" s="101" customFormat="1" spans="6:6">
      <c r="F15417" s="2423"/>
    </row>
    <row r="15418" s="101" customFormat="1" spans="6:6">
      <c r="F15418" s="2423"/>
    </row>
    <row r="15419" s="101" customFormat="1" spans="6:6">
      <c r="F15419" s="2423"/>
    </row>
    <row r="15420" s="101" customFormat="1" spans="6:6">
      <c r="F15420" s="2423"/>
    </row>
    <row r="15421" s="101" customFormat="1" spans="6:6">
      <c r="F15421" s="2423"/>
    </row>
    <row r="15422" s="101" customFormat="1" spans="6:6">
      <c r="F15422" s="2423"/>
    </row>
    <row r="15423" s="101" customFormat="1" spans="6:6">
      <c r="F15423" s="2423"/>
    </row>
    <row r="15424" s="101" customFormat="1" spans="6:6">
      <c r="F15424" s="2423"/>
    </row>
    <row r="15425" s="101" customFormat="1" spans="6:6">
      <c r="F15425" s="2423"/>
    </row>
    <row r="15426" s="101" customFormat="1" spans="6:6">
      <c r="F15426" s="2423"/>
    </row>
    <row r="15427" s="101" customFormat="1" spans="6:6">
      <c r="F15427" s="2423"/>
    </row>
    <row r="15428" s="101" customFormat="1" spans="6:6">
      <c r="F15428" s="2423"/>
    </row>
    <row r="15429" s="101" customFormat="1" spans="6:6">
      <c r="F15429" s="2423"/>
    </row>
    <row r="15430" s="101" customFormat="1" spans="6:6">
      <c r="F15430" s="2423"/>
    </row>
    <row r="15431" s="101" customFormat="1" spans="6:6">
      <c r="F15431" s="2423"/>
    </row>
    <row r="15432" s="101" customFormat="1" spans="6:6">
      <c r="F15432" s="2423"/>
    </row>
    <row r="15433" s="101" customFormat="1" spans="6:6">
      <c r="F15433" s="2423"/>
    </row>
    <row r="15434" s="101" customFormat="1" spans="6:6">
      <c r="F15434" s="2423"/>
    </row>
    <row r="15435" s="101" customFormat="1" spans="6:6">
      <c r="F15435" s="2423"/>
    </row>
    <row r="15436" s="101" customFormat="1" spans="6:6">
      <c r="F15436" s="2423"/>
    </row>
    <row r="15437" s="101" customFormat="1" spans="6:6">
      <c r="F15437" s="2423"/>
    </row>
    <row r="15438" s="101" customFormat="1" spans="6:6">
      <c r="F15438" s="2423"/>
    </row>
    <row r="15439" s="101" customFormat="1" spans="6:6">
      <c r="F15439" s="2423"/>
    </row>
    <row r="15440" s="101" customFormat="1" spans="6:6">
      <c r="F15440" s="2423"/>
    </row>
    <row r="15441" s="101" customFormat="1" spans="6:6">
      <c r="F15441" s="2423"/>
    </row>
    <row r="15442" s="101" customFormat="1" spans="6:6">
      <c r="F15442" s="2423"/>
    </row>
    <row r="15443" s="101" customFormat="1" spans="6:6">
      <c r="F15443" s="2423"/>
    </row>
    <row r="15444" s="101" customFormat="1" spans="6:6">
      <c r="F15444" s="2423"/>
    </row>
    <row r="15445" s="101" customFormat="1" spans="6:6">
      <c r="F15445" s="2423"/>
    </row>
    <row r="15446" s="101" customFormat="1" spans="6:6">
      <c r="F15446" s="2423"/>
    </row>
    <row r="15447" s="101" customFormat="1" spans="6:6">
      <c r="F15447" s="2423"/>
    </row>
    <row r="15448" s="101" customFormat="1" spans="6:6">
      <c r="F15448" s="2423"/>
    </row>
    <row r="15449" s="101" customFormat="1" spans="6:6">
      <c r="F15449" s="2423"/>
    </row>
    <row r="15450" s="101" customFormat="1" spans="6:6">
      <c r="F15450" s="2423"/>
    </row>
    <row r="15451" s="101" customFormat="1" spans="6:6">
      <c r="F15451" s="2423"/>
    </row>
    <row r="15452" s="101" customFormat="1" spans="6:6">
      <c r="F15452" s="2423"/>
    </row>
    <row r="15453" s="101" customFormat="1" spans="6:6">
      <c r="F15453" s="2423"/>
    </row>
    <row r="15454" s="101" customFormat="1" spans="6:6">
      <c r="F15454" s="2423"/>
    </row>
    <row r="15455" s="101" customFormat="1" spans="6:6">
      <c r="F15455" s="2423"/>
    </row>
    <row r="15456" s="101" customFormat="1" spans="6:6">
      <c r="F15456" s="2423"/>
    </row>
    <row r="15457" s="101" customFormat="1" spans="6:6">
      <c r="F15457" s="2423"/>
    </row>
    <row r="15458" s="101" customFormat="1" spans="6:6">
      <c r="F15458" s="2423"/>
    </row>
    <row r="15459" s="101" customFormat="1" spans="6:6">
      <c r="F15459" s="2423"/>
    </row>
    <row r="15460" s="101" customFormat="1" spans="6:6">
      <c r="F15460" s="2423"/>
    </row>
    <row r="15461" s="101" customFormat="1" spans="6:6">
      <c r="F15461" s="2423"/>
    </row>
    <row r="15462" s="101" customFormat="1" spans="6:6">
      <c r="F15462" s="2423"/>
    </row>
    <row r="15463" s="101" customFormat="1" spans="6:6">
      <c r="F15463" s="2423"/>
    </row>
    <row r="15464" s="101" customFormat="1" spans="6:6">
      <c r="F15464" s="2423"/>
    </row>
    <row r="15465" s="101" customFormat="1" spans="6:6">
      <c r="F15465" s="2423"/>
    </row>
    <row r="15466" s="101" customFormat="1" spans="6:6">
      <c r="F15466" s="2423"/>
    </row>
    <row r="15467" s="101" customFormat="1" spans="6:6">
      <c r="F15467" s="2423"/>
    </row>
    <row r="15468" s="101" customFormat="1" spans="6:6">
      <c r="F15468" s="2423"/>
    </row>
    <row r="15469" s="101" customFormat="1" spans="6:6">
      <c r="F15469" s="2423"/>
    </row>
    <row r="15470" s="101" customFormat="1" spans="6:6">
      <c r="F15470" s="2423"/>
    </row>
    <row r="15471" s="101" customFormat="1" spans="6:6">
      <c r="F15471" s="2423"/>
    </row>
    <row r="15472" s="101" customFormat="1" spans="6:6">
      <c r="F15472" s="2423"/>
    </row>
    <row r="15473" s="101" customFormat="1" spans="6:6">
      <c r="F15473" s="2423"/>
    </row>
    <row r="15474" s="101" customFormat="1" spans="6:6">
      <c r="F15474" s="2423"/>
    </row>
    <row r="15475" s="101" customFormat="1" spans="6:6">
      <c r="F15475" s="2423"/>
    </row>
    <row r="15476" s="101" customFormat="1" spans="6:6">
      <c r="F15476" s="2423"/>
    </row>
    <row r="15477" s="101" customFormat="1" spans="6:6">
      <c r="F15477" s="2423"/>
    </row>
    <row r="15478" s="101" customFormat="1" spans="6:6">
      <c r="F15478" s="2423"/>
    </row>
    <row r="15479" s="101" customFormat="1" spans="6:6">
      <c r="F15479" s="2423"/>
    </row>
    <row r="15480" s="101" customFormat="1" spans="6:6">
      <c r="F15480" s="2423"/>
    </row>
    <row r="15481" s="101" customFormat="1" spans="6:6">
      <c r="F15481" s="2423"/>
    </row>
    <row r="15482" s="101" customFormat="1" spans="6:6">
      <c r="F15482" s="2423"/>
    </row>
    <row r="15483" s="101" customFormat="1" spans="6:6">
      <c r="F15483" s="2423"/>
    </row>
    <row r="15484" s="101" customFormat="1" spans="6:6">
      <c r="F15484" s="2423"/>
    </row>
    <row r="15485" s="101" customFormat="1" spans="6:6">
      <c r="F15485" s="2423"/>
    </row>
    <row r="15486" s="101" customFormat="1" spans="6:6">
      <c r="F15486" s="2423"/>
    </row>
    <row r="15487" s="101" customFormat="1" spans="6:6">
      <c r="F15487" s="2423"/>
    </row>
    <row r="15488" s="101" customFormat="1" spans="6:6">
      <c r="F15488" s="2423"/>
    </row>
    <row r="15489" s="101" customFormat="1" spans="6:6">
      <c r="F15489" s="2423"/>
    </row>
    <row r="15490" s="101" customFormat="1" spans="6:6">
      <c r="F15490" s="2423"/>
    </row>
    <row r="15491" s="101" customFormat="1" spans="6:6">
      <c r="F15491" s="2423"/>
    </row>
    <row r="15492" s="101" customFormat="1" spans="6:6">
      <c r="F15492" s="2423"/>
    </row>
    <row r="15493" s="101" customFormat="1" spans="6:6">
      <c r="F15493" s="2423"/>
    </row>
    <row r="15494" s="101" customFormat="1" spans="6:6">
      <c r="F15494" s="2423"/>
    </row>
    <row r="15495" s="101" customFormat="1" spans="6:6">
      <c r="F15495" s="2423"/>
    </row>
    <row r="15496" s="101" customFormat="1" spans="6:6">
      <c r="F15496" s="2423"/>
    </row>
    <row r="15497" s="101" customFormat="1" spans="6:6">
      <c r="F15497" s="2423"/>
    </row>
    <row r="15498" s="101" customFormat="1" spans="6:6">
      <c r="F15498" s="2423"/>
    </row>
    <row r="15499" s="101" customFormat="1" spans="6:6">
      <c r="F15499" s="2423"/>
    </row>
    <row r="15500" s="101" customFormat="1" spans="6:6">
      <c r="F15500" s="2423"/>
    </row>
    <row r="15501" s="101" customFormat="1" spans="6:6">
      <c r="F15501" s="2423"/>
    </row>
    <row r="15502" s="101" customFormat="1" spans="6:6">
      <c r="F15502" s="2423"/>
    </row>
    <row r="15503" s="101" customFormat="1" spans="6:6">
      <c r="F15503" s="2423"/>
    </row>
    <row r="15504" s="101" customFormat="1" spans="6:6">
      <c r="F15504" s="2423"/>
    </row>
    <row r="15505" s="101" customFormat="1" spans="6:6">
      <c r="F15505" s="2423"/>
    </row>
    <row r="15506" s="101" customFormat="1" spans="6:6">
      <c r="F15506" s="2423"/>
    </row>
    <row r="15507" s="101" customFormat="1" spans="6:6">
      <c r="F15507" s="2423"/>
    </row>
    <row r="15508" s="101" customFormat="1" spans="6:6">
      <c r="F15508" s="2423"/>
    </row>
    <row r="15509" s="101" customFormat="1" spans="6:6">
      <c r="F15509" s="2423"/>
    </row>
    <row r="15510" s="101" customFormat="1" spans="6:6">
      <c r="F15510" s="2423"/>
    </row>
    <row r="15511" s="101" customFormat="1" spans="6:6">
      <c r="F15511" s="2423"/>
    </row>
    <row r="15512" s="101" customFormat="1" spans="6:6">
      <c r="F15512" s="2423"/>
    </row>
    <row r="15513" s="101" customFormat="1" spans="6:6">
      <c r="F15513" s="2423"/>
    </row>
    <row r="15514" s="101" customFormat="1" spans="6:6">
      <c r="F15514" s="2423"/>
    </row>
    <row r="15515" s="101" customFormat="1" spans="6:6">
      <c r="F15515" s="2423"/>
    </row>
    <row r="15516" s="101" customFormat="1" spans="6:6">
      <c r="F15516" s="2423"/>
    </row>
    <row r="15517" s="101" customFormat="1" spans="6:6">
      <c r="F15517" s="2423"/>
    </row>
    <row r="15518" s="101" customFormat="1" spans="6:6">
      <c r="F15518" s="2423"/>
    </row>
    <row r="15519" s="101" customFormat="1" spans="6:6">
      <c r="F15519" s="2423"/>
    </row>
    <row r="15520" s="101" customFormat="1" spans="6:6">
      <c r="F15520" s="2423"/>
    </row>
    <row r="15521" s="101" customFormat="1" spans="6:6">
      <c r="F15521" s="2423"/>
    </row>
    <row r="15522" s="101" customFormat="1" spans="6:6">
      <c r="F15522" s="2423"/>
    </row>
    <row r="15523" s="101" customFormat="1" spans="6:6">
      <c r="F15523" s="2423"/>
    </row>
    <row r="15524" s="101" customFormat="1" spans="6:6">
      <c r="F15524" s="2423"/>
    </row>
    <row r="15525" s="101" customFormat="1" spans="6:6">
      <c r="F15525" s="2423"/>
    </row>
    <row r="15526" s="101" customFormat="1" spans="6:6">
      <c r="F15526" s="2423"/>
    </row>
    <row r="15527" s="101" customFormat="1" spans="6:6">
      <c r="F15527" s="2423"/>
    </row>
    <row r="15528" s="101" customFormat="1" spans="6:6">
      <c r="F15528" s="2423"/>
    </row>
    <row r="15529" s="101" customFormat="1" spans="6:6">
      <c r="F15529" s="2423"/>
    </row>
    <row r="15530" s="101" customFormat="1" spans="6:6">
      <c r="F15530" s="2423"/>
    </row>
    <row r="15531" s="101" customFormat="1" spans="6:6">
      <c r="F15531" s="2423"/>
    </row>
    <row r="15532" s="101" customFormat="1" spans="6:6">
      <c r="F15532" s="2423"/>
    </row>
    <row r="15533" s="101" customFormat="1" spans="6:6">
      <c r="F15533" s="2423"/>
    </row>
    <row r="15534" s="101" customFormat="1" spans="6:6">
      <c r="F15534" s="2423"/>
    </row>
    <row r="15535" s="101" customFormat="1" spans="6:6">
      <c r="F15535" s="2423"/>
    </row>
    <row r="15536" s="101" customFormat="1" spans="6:6">
      <c r="F15536" s="2423"/>
    </row>
    <row r="15537" s="101" customFormat="1" spans="6:6">
      <c r="F15537" s="2423"/>
    </row>
    <row r="15538" s="101" customFormat="1" spans="6:6">
      <c r="F15538" s="2423"/>
    </row>
    <row r="15539" s="101" customFormat="1" spans="6:6">
      <c r="F15539" s="2423"/>
    </row>
    <row r="15540" s="101" customFormat="1" spans="6:6">
      <c r="F15540" s="2423"/>
    </row>
    <row r="15541" s="101" customFormat="1" spans="6:6">
      <c r="F15541" s="2423"/>
    </row>
    <row r="15542" s="101" customFormat="1" spans="6:6">
      <c r="F15542" s="2423"/>
    </row>
    <row r="15543" s="101" customFormat="1" spans="6:6">
      <c r="F15543" s="2423"/>
    </row>
    <row r="15544" s="101" customFormat="1" spans="6:6">
      <c r="F15544" s="2423"/>
    </row>
    <row r="15545" s="101" customFormat="1" spans="6:6">
      <c r="F15545" s="2423"/>
    </row>
    <row r="15546" s="101" customFormat="1" spans="6:6">
      <c r="F15546" s="2423"/>
    </row>
    <row r="15547" s="101" customFormat="1" spans="6:6">
      <c r="F15547" s="2423"/>
    </row>
    <row r="15548" s="101" customFormat="1" spans="6:6">
      <c r="F15548" s="2423"/>
    </row>
    <row r="15549" s="101" customFormat="1" spans="6:6">
      <c r="F15549" s="2423"/>
    </row>
    <row r="15550" s="101" customFormat="1" spans="6:6">
      <c r="F15550" s="2423"/>
    </row>
    <row r="15551" s="101" customFormat="1" spans="6:6">
      <c r="F15551" s="2423"/>
    </row>
    <row r="15552" s="101" customFormat="1" spans="6:6">
      <c r="F15552" s="2423"/>
    </row>
    <row r="15553" s="101" customFormat="1" spans="6:6">
      <c r="F15553" s="2423"/>
    </row>
    <row r="15554" s="101" customFormat="1" spans="6:6">
      <c r="F15554" s="2423"/>
    </row>
    <row r="15555" s="101" customFormat="1" spans="6:6">
      <c r="F15555" s="2423"/>
    </row>
    <row r="15556" s="101" customFormat="1" spans="6:6">
      <c r="F15556" s="2423"/>
    </row>
    <row r="15557" s="101" customFormat="1" spans="6:6">
      <c r="F15557" s="2423"/>
    </row>
    <row r="15558" s="101" customFormat="1" spans="6:6">
      <c r="F15558" s="2423"/>
    </row>
    <row r="15559" s="101" customFormat="1" spans="6:6">
      <c r="F15559" s="2423"/>
    </row>
    <row r="15560" s="101" customFormat="1" spans="6:6">
      <c r="F15560" s="2423"/>
    </row>
    <row r="15561" s="101" customFormat="1" spans="6:6">
      <c r="F15561" s="2423"/>
    </row>
    <row r="15562" s="101" customFormat="1" spans="6:6">
      <c r="F15562" s="2423"/>
    </row>
    <row r="15563" s="101" customFormat="1" spans="6:6">
      <c r="F15563" s="2423"/>
    </row>
    <row r="15564" s="101" customFormat="1" spans="6:6">
      <c r="F15564" s="2423"/>
    </row>
    <row r="15565" s="101" customFormat="1" spans="6:6">
      <c r="F15565" s="2423"/>
    </row>
    <row r="15566" s="101" customFormat="1" spans="6:6">
      <c r="F15566" s="2423"/>
    </row>
    <row r="15567" s="101" customFormat="1" spans="6:6">
      <c r="F15567" s="2423"/>
    </row>
    <row r="15568" s="101" customFormat="1" spans="6:6">
      <c r="F15568" s="2423"/>
    </row>
    <row r="15569" s="101" customFormat="1" spans="6:6">
      <c r="F15569" s="2423"/>
    </row>
    <row r="15570" s="101" customFormat="1" spans="6:6">
      <c r="F15570" s="2423"/>
    </row>
    <row r="15571" s="101" customFormat="1" spans="6:6">
      <c r="F15571" s="2423"/>
    </row>
    <row r="15572" s="101" customFormat="1" spans="6:6">
      <c r="F15572" s="2423"/>
    </row>
    <row r="15573" s="101" customFormat="1" spans="6:6">
      <c r="F15573" s="2423"/>
    </row>
    <row r="15574" s="101" customFormat="1" spans="6:6">
      <c r="F15574" s="2423"/>
    </row>
    <row r="15575" s="101" customFormat="1" spans="6:6">
      <c r="F15575" s="2423"/>
    </row>
    <row r="15576" s="101" customFormat="1" spans="6:6">
      <c r="F15576" s="2423"/>
    </row>
    <row r="15577" s="101" customFormat="1" spans="6:6">
      <c r="F15577" s="2423"/>
    </row>
    <row r="15578" s="101" customFormat="1" spans="6:6">
      <c r="F15578" s="2423"/>
    </row>
    <row r="15579" s="101" customFormat="1" spans="6:6">
      <c r="F15579" s="2423"/>
    </row>
    <row r="15580" s="101" customFormat="1" spans="6:6">
      <c r="F15580" s="2423"/>
    </row>
    <row r="15581" s="101" customFormat="1" spans="6:6">
      <c r="F15581" s="2423"/>
    </row>
    <row r="15582" s="101" customFormat="1" spans="6:6">
      <c r="F15582" s="2423"/>
    </row>
    <row r="15583" s="101" customFormat="1" spans="6:6">
      <c r="F15583" s="2423"/>
    </row>
    <row r="15584" s="101" customFormat="1" spans="6:6">
      <c r="F15584" s="2423"/>
    </row>
    <row r="15585" s="101" customFormat="1" spans="6:6">
      <c r="F15585" s="2423"/>
    </row>
    <row r="15586" s="101" customFormat="1" spans="6:6">
      <c r="F15586" s="2423"/>
    </row>
    <row r="15587" s="101" customFormat="1" spans="6:6">
      <c r="F15587" s="2423"/>
    </row>
    <row r="15588" s="101" customFormat="1" spans="6:6">
      <c r="F15588" s="2423"/>
    </row>
    <row r="15589" s="101" customFormat="1" spans="6:6">
      <c r="F15589" s="2423"/>
    </row>
    <row r="15590" s="101" customFormat="1" spans="6:6">
      <c r="F15590" s="2423"/>
    </row>
    <row r="15591" s="101" customFormat="1" spans="6:6">
      <c r="F15591" s="2423"/>
    </row>
    <row r="15592" s="101" customFormat="1" spans="6:6">
      <c r="F15592" s="2423"/>
    </row>
    <row r="15593" s="101" customFormat="1" spans="6:6">
      <c r="F15593" s="2423"/>
    </row>
    <row r="15594" s="101" customFormat="1" spans="6:6">
      <c r="F15594" s="2423"/>
    </row>
    <row r="15595" s="101" customFormat="1" spans="6:6">
      <c r="F15595" s="2423"/>
    </row>
    <row r="15596" s="101" customFormat="1" spans="6:6">
      <c r="F15596" s="2423"/>
    </row>
    <row r="15597" s="101" customFormat="1" spans="6:6">
      <c r="F15597" s="2423"/>
    </row>
    <row r="15598" s="101" customFormat="1" spans="6:6">
      <c r="F15598" s="2423"/>
    </row>
    <row r="15599" s="101" customFormat="1" spans="6:6">
      <c r="F15599" s="2423"/>
    </row>
    <row r="15600" s="101" customFormat="1" spans="6:6">
      <c r="F15600" s="2423"/>
    </row>
    <row r="15601" s="101" customFormat="1" spans="6:6">
      <c r="F15601" s="2423"/>
    </row>
    <row r="15602" s="101" customFormat="1" spans="6:6">
      <c r="F15602" s="2423"/>
    </row>
    <row r="15603" s="101" customFormat="1" spans="6:6">
      <c r="F15603" s="2423"/>
    </row>
    <row r="15604" s="101" customFormat="1" spans="6:6">
      <c r="F15604" s="2423"/>
    </row>
    <row r="15605" s="101" customFormat="1" spans="6:6">
      <c r="F15605" s="2423"/>
    </row>
    <row r="15606" s="101" customFormat="1" spans="6:6">
      <c r="F15606" s="2423"/>
    </row>
    <row r="15607" s="101" customFormat="1" spans="6:6">
      <c r="F15607" s="2423"/>
    </row>
    <row r="15608" s="101" customFormat="1" spans="6:6">
      <c r="F15608" s="2423"/>
    </row>
    <row r="15609" s="101" customFormat="1" spans="6:6">
      <c r="F15609" s="2423"/>
    </row>
    <row r="15610" s="101" customFormat="1" spans="6:6">
      <c r="F15610" s="2423"/>
    </row>
    <row r="15611" s="101" customFormat="1" spans="6:6">
      <c r="F15611" s="2423"/>
    </row>
    <row r="15612" s="101" customFormat="1" spans="6:6">
      <c r="F15612" s="2423"/>
    </row>
    <row r="15613" s="101" customFormat="1" spans="6:6">
      <c r="F15613" s="2423"/>
    </row>
    <row r="15614" s="101" customFormat="1" spans="6:6">
      <c r="F15614" s="2423"/>
    </row>
    <row r="15615" s="101" customFormat="1" spans="6:6">
      <c r="F15615" s="2423"/>
    </row>
    <row r="15616" s="101" customFormat="1" spans="6:6">
      <c r="F15616" s="2423"/>
    </row>
    <row r="15617" s="101" customFormat="1" spans="6:6">
      <c r="F15617" s="2423"/>
    </row>
    <row r="15618" s="101" customFormat="1" spans="6:6">
      <c r="F15618" s="2423"/>
    </row>
    <row r="15619" s="101" customFormat="1" spans="6:6">
      <c r="F15619" s="2423"/>
    </row>
    <row r="15620" s="101" customFormat="1" spans="6:6">
      <c r="F15620" s="2423"/>
    </row>
    <row r="15621" s="101" customFormat="1" spans="6:6">
      <c r="F15621" s="2423"/>
    </row>
    <row r="15622" s="101" customFormat="1" spans="6:6">
      <c r="F15622" s="2423"/>
    </row>
    <row r="15623" s="101" customFormat="1" spans="6:6">
      <c r="F15623" s="2423"/>
    </row>
    <row r="15624" s="101" customFormat="1" spans="6:6">
      <c r="F15624" s="2423"/>
    </row>
    <row r="15625" s="101" customFormat="1" spans="6:6">
      <c r="F15625" s="2423"/>
    </row>
    <row r="15626" s="101" customFormat="1" spans="6:6">
      <c r="F15626" s="2423"/>
    </row>
    <row r="15627" s="101" customFormat="1" spans="6:6">
      <c r="F15627" s="2423"/>
    </row>
    <row r="15628" s="101" customFormat="1" spans="6:6">
      <c r="F15628" s="2423"/>
    </row>
    <row r="15629" s="101" customFormat="1" spans="6:6">
      <c r="F15629" s="2423"/>
    </row>
    <row r="15630" s="101" customFormat="1" spans="6:6">
      <c r="F15630" s="2423"/>
    </row>
    <row r="15631" s="101" customFormat="1" spans="6:6">
      <c r="F15631" s="2423"/>
    </row>
    <row r="15632" s="101" customFormat="1" spans="6:6">
      <c r="F15632" s="2423"/>
    </row>
    <row r="15633" s="101" customFormat="1" spans="6:6">
      <c r="F15633" s="2423"/>
    </row>
    <row r="15634" s="101" customFormat="1" spans="6:6">
      <c r="F15634" s="2423"/>
    </row>
    <row r="15635" s="101" customFormat="1" spans="6:6">
      <c r="F15635" s="2423"/>
    </row>
    <row r="15636" s="101" customFormat="1" spans="6:6">
      <c r="F15636" s="2423"/>
    </row>
    <row r="15637" s="101" customFormat="1" spans="6:6">
      <c r="F15637" s="2423"/>
    </row>
    <row r="15638" s="101" customFormat="1" spans="6:6">
      <c r="F15638" s="2423"/>
    </row>
    <row r="15639" s="101" customFormat="1" spans="6:6">
      <c r="F15639" s="2423"/>
    </row>
    <row r="15640" s="101" customFormat="1" spans="6:6">
      <c r="F15640" s="2423"/>
    </row>
    <row r="15641" s="101" customFormat="1" spans="6:6">
      <c r="F15641" s="2423"/>
    </row>
    <row r="15642" s="101" customFormat="1" spans="6:6">
      <c r="F15642" s="2423"/>
    </row>
    <row r="15643" s="101" customFormat="1" spans="6:6">
      <c r="F15643" s="2423"/>
    </row>
    <row r="15644" s="101" customFormat="1" spans="6:6">
      <c r="F15644" s="2423"/>
    </row>
    <row r="15645" s="101" customFormat="1" spans="6:6">
      <c r="F15645" s="2423"/>
    </row>
    <row r="15646" s="101" customFormat="1" spans="6:6">
      <c r="F15646" s="2423"/>
    </row>
    <row r="15647" s="101" customFormat="1" spans="6:6">
      <c r="F15647" s="2423"/>
    </row>
    <row r="15648" s="101" customFormat="1" spans="6:6">
      <c r="F15648" s="2423"/>
    </row>
    <row r="15649" s="101" customFormat="1" spans="6:6">
      <c r="F15649" s="2423"/>
    </row>
    <row r="15650" s="101" customFormat="1" spans="6:6">
      <c r="F15650" s="2423"/>
    </row>
    <row r="15651" s="101" customFormat="1" spans="6:6">
      <c r="F15651" s="2423"/>
    </row>
    <row r="15652" s="101" customFormat="1" spans="6:6">
      <c r="F15652" s="2423"/>
    </row>
    <row r="15653" s="101" customFormat="1" spans="6:6">
      <c r="F15653" s="2423"/>
    </row>
    <row r="15654" s="101" customFormat="1" spans="6:6">
      <c r="F15654" s="2423"/>
    </row>
    <row r="15655" s="101" customFormat="1" spans="6:6">
      <c r="F15655" s="2423"/>
    </row>
    <row r="15656" s="101" customFormat="1" spans="6:6">
      <c r="F15656" s="2423"/>
    </row>
    <row r="15657" s="101" customFormat="1" spans="6:6">
      <c r="F15657" s="2423"/>
    </row>
    <row r="15658" s="101" customFormat="1" spans="6:6">
      <c r="F15658" s="2423"/>
    </row>
    <row r="15659" s="101" customFormat="1" spans="6:6">
      <c r="F15659" s="2423"/>
    </row>
    <row r="15660" s="101" customFormat="1" spans="6:6">
      <c r="F15660" s="2423"/>
    </row>
    <row r="15661" s="101" customFormat="1" spans="6:6">
      <c r="F15661" s="2423"/>
    </row>
    <row r="15662" s="101" customFormat="1" spans="6:6">
      <c r="F15662" s="2423"/>
    </row>
    <row r="15663" s="101" customFormat="1" spans="6:6">
      <c r="F15663" s="2423"/>
    </row>
    <row r="15664" s="101" customFormat="1" spans="6:6">
      <c r="F15664" s="2423"/>
    </row>
    <row r="15665" s="101" customFormat="1" spans="6:6">
      <c r="F15665" s="2423"/>
    </row>
    <row r="15666" s="101" customFormat="1" spans="6:6">
      <c r="F15666" s="2423"/>
    </row>
    <row r="15667" s="101" customFormat="1" spans="6:6">
      <c r="F15667" s="2423"/>
    </row>
    <row r="15668" s="101" customFormat="1" spans="6:6">
      <c r="F15668" s="2423"/>
    </row>
    <row r="15669" s="101" customFormat="1" spans="6:6">
      <c r="F15669" s="2423"/>
    </row>
    <row r="15670" s="101" customFormat="1" spans="6:6">
      <c r="F15670" s="2423"/>
    </row>
    <row r="15671" s="101" customFormat="1" spans="6:6">
      <c r="F15671" s="2423"/>
    </row>
    <row r="15672" s="101" customFormat="1" spans="6:6">
      <c r="F15672" s="2423"/>
    </row>
    <row r="15673" s="101" customFormat="1" spans="6:6">
      <c r="F15673" s="2423"/>
    </row>
    <row r="15674" s="101" customFormat="1" spans="6:6">
      <c r="F15674" s="2423"/>
    </row>
    <row r="15675" s="101" customFormat="1" spans="6:6">
      <c r="F15675" s="2423"/>
    </row>
    <row r="15676" s="101" customFormat="1" spans="6:6">
      <c r="F15676" s="2423"/>
    </row>
    <row r="15677" s="101" customFormat="1" spans="6:6">
      <c r="F15677" s="2423"/>
    </row>
    <row r="15678" s="101" customFormat="1" spans="6:6">
      <c r="F15678" s="2423"/>
    </row>
    <row r="15679" s="101" customFormat="1" spans="6:6">
      <c r="F15679" s="2423"/>
    </row>
    <row r="15680" s="101" customFormat="1" spans="6:6">
      <c r="F15680" s="2423"/>
    </row>
    <row r="15681" s="101" customFormat="1" spans="6:6">
      <c r="F15681" s="2423"/>
    </row>
    <row r="15682" s="101" customFormat="1" spans="6:6">
      <c r="F15682" s="2423"/>
    </row>
    <row r="15683" s="101" customFormat="1" spans="6:6">
      <c r="F15683" s="2423"/>
    </row>
    <row r="15684" s="101" customFormat="1" spans="6:6">
      <c r="F15684" s="2423"/>
    </row>
    <row r="15685" s="101" customFormat="1" spans="6:6">
      <c r="F15685" s="2423"/>
    </row>
    <row r="15686" s="101" customFormat="1" spans="6:6">
      <c r="F15686" s="2423"/>
    </row>
    <row r="15687" s="101" customFormat="1" spans="6:6">
      <c r="F15687" s="2423"/>
    </row>
    <row r="15688" s="101" customFormat="1" spans="6:6">
      <c r="F15688" s="2423"/>
    </row>
    <row r="15689" s="101" customFormat="1" spans="6:6">
      <c r="F15689" s="2423"/>
    </row>
    <row r="15690" s="101" customFormat="1" spans="6:6">
      <c r="F15690" s="2423"/>
    </row>
    <row r="15691" s="101" customFormat="1" spans="6:6">
      <c r="F15691" s="2423"/>
    </row>
    <row r="15692" s="101" customFormat="1" spans="6:6">
      <c r="F15692" s="2423"/>
    </row>
    <row r="15693" s="101" customFormat="1" spans="6:6">
      <c r="F15693" s="2423"/>
    </row>
    <row r="15694" s="101" customFormat="1" spans="6:6">
      <c r="F15694" s="2423"/>
    </row>
    <row r="15695" s="101" customFormat="1" spans="6:6">
      <c r="F15695" s="2423"/>
    </row>
    <row r="15696" s="101" customFormat="1" spans="6:6">
      <c r="F15696" s="2423"/>
    </row>
    <row r="15697" s="101" customFormat="1" spans="6:6">
      <c r="F15697" s="2423"/>
    </row>
    <row r="15698" s="101" customFormat="1" spans="6:6">
      <c r="F15698" s="2423"/>
    </row>
    <row r="15699" s="101" customFormat="1" spans="6:6">
      <c r="F15699" s="2423"/>
    </row>
    <row r="15700" s="101" customFormat="1" spans="6:6">
      <c r="F15700" s="2423"/>
    </row>
    <row r="15701" s="101" customFormat="1" spans="6:6">
      <c r="F15701" s="2423"/>
    </row>
    <row r="15702" s="101" customFormat="1" spans="6:6">
      <c r="F15702" s="2423"/>
    </row>
    <row r="15703" s="101" customFormat="1" spans="6:6">
      <c r="F15703" s="2423"/>
    </row>
    <row r="15704" s="101" customFormat="1" spans="6:6">
      <c r="F15704" s="2423"/>
    </row>
    <row r="15705" s="101" customFormat="1" spans="6:6">
      <c r="F15705" s="2423"/>
    </row>
    <row r="15706" s="101" customFormat="1" spans="6:6">
      <c r="F15706" s="2423"/>
    </row>
    <row r="15707" s="101" customFormat="1" spans="6:6">
      <c r="F15707" s="2423"/>
    </row>
    <row r="15708" s="101" customFormat="1" spans="6:6">
      <c r="F15708" s="2423"/>
    </row>
    <row r="15709" s="101" customFormat="1" spans="6:6">
      <c r="F15709" s="2423"/>
    </row>
    <row r="15710" s="101" customFormat="1" spans="6:6">
      <c r="F15710" s="2423"/>
    </row>
    <row r="15711" s="101" customFormat="1" spans="6:6">
      <c r="F15711" s="2423"/>
    </row>
    <row r="15712" s="101" customFormat="1" spans="6:6">
      <c r="F15712" s="2423"/>
    </row>
    <row r="15713" s="101" customFormat="1" spans="6:6">
      <c r="F15713" s="2423"/>
    </row>
    <row r="15714" s="101" customFormat="1" spans="6:6">
      <c r="F15714" s="2423"/>
    </row>
    <row r="15715" s="101" customFormat="1" spans="6:6">
      <c r="F15715" s="2423"/>
    </row>
    <row r="15716" s="101" customFormat="1" spans="6:6">
      <c r="F15716" s="2423"/>
    </row>
    <row r="15717" s="101" customFormat="1" spans="6:6">
      <c r="F15717" s="2423"/>
    </row>
    <row r="15718" s="101" customFormat="1" spans="6:6">
      <c r="F15718" s="2423"/>
    </row>
    <row r="15719" s="101" customFormat="1" spans="6:6">
      <c r="F15719" s="2423"/>
    </row>
    <row r="15720" s="101" customFormat="1" spans="6:6">
      <c r="F15720" s="2423"/>
    </row>
    <row r="15721" s="101" customFormat="1" spans="6:6">
      <c r="F15721" s="2423"/>
    </row>
    <row r="15722" s="101" customFormat="1" spans="6:6">
      <c r="F15722" s="2423"/>
    </row>
    <row r="15723" s="101" customFormat="1" spans="6:6">
      <c r="F15723" s="2423"/>
    </row>
    <row r="15724" s="101" customFormat="1" spans="6:6">
      <c r="F15724" s="2423"/>
    </row>
    <row r="15725" s="101" customFormat="1" spans="6:6">
      <c r="F15725" s="2423"/>
    </row>
    <row r="15726" s="101" customFormat="1" spans="6:6">
      <c r="F15726" s="2423"/>
    </row>
    <row r="15727" s="101" customFormat="1" spans="6:6">
      <c r="F15727" s="2423"/>
    </row>
    <row r="15728" s="101" customFormat="1" spans="6:6">
      <c r="F15728" s="2423"/>
    </row>
    <row r="15729" s="101" customFormat="1" spans="6:6">
      <c r="F15729" s="2423"/>
    </row>
    <row r="15730" s="101" customFormat="1" spans="6:6">
      <c r="F15730" s="2423"/>
    </row>
    <row r="15731" s="101" customFormat="1" spans="6:6">
      <c r="F15731" s="2423"/>
    </row>
    <row r="15732" s="101" customFormat="1" spans="6:6">
      <c r="F15732" s="2423"/>
    </row>
    <row r="15733" s="101" customFormat="1" spans="6:6">
      <c r="F15733" s="2423"/>
    </row>
    <row r="15734" s="101" customFormat="1" spans="6:6">
      <c r="F15734" s="2423"/>
    </row>
    <row r="15735" s="101" customFormat="1" spans="6:6">
      <c r="F15735" s="2423"/>
    </row>
    <row r="15736" s="101" customFormat="1" spans="6:6">
      <c r="F15736" s="2423"/>
    </row>
    <row r="15737" s="101" customFormat="1" spans="6:6">
      <c r="F15737" s="2423"/>
    </row>
    <row r="15738" s="101" customFormat="1" spans="6:6">
      <c r="F15738" s="2423"/>
    </row>
    <row r="15739" s="101" customFormat="1" spans="6:6">
      <c r="F15739" s="2423"/>
    </row>
    <row r="15740" s="101" customFormat="1" spans="6:6">
      <c r="F15740" s="2423"/>
    </row>
    <row r="15741" s="101" customFormat="1" spans="6:6">
      <c r="F15741" s="2423"/>
    </row>
    <row r="15742" s="101" customFormat="1" spans="6:6">
      <c r="F15742" s="2423"/>
    </row>
    <row r="15743" s="101" customFormat="1" spans="6:6">
      <c r="F15743" s="2423"/>
    </row>
    <row r="15744" s="101" customFormat="1" spans="6:6">
      <c r="F15744" s="2423"/>
    </row>
    <row r="15745" s="101" customFormat="1" spans="6:6">
      <c r="F15745" s="2423"/>
    </row>
    <row r="15746" s="101" customFormat="1" spans="6:6">
      <c r="F15746" s="2423"/>
    </row>
    <row r="15747" s="101" customFormat="1" spans="6:6">
      <c r="F15747" s="2423"/>
    </row>
    <row r="15748" s="101" customFormat="1" spans="6:6">
      <c r="F15748" s="2423"/>
    </row>
    <row r="15749" s="101" customFormat="1" spans="6:6">
      <c r="F15749" s="2423"/>
    </row>
    <row r="15750" s="101" customFormat="1" spans="6:6">
      <c r="F15750" s="2423"/>
    </row>
    <row r="15751" s="101" customFormat="1" spans="6:6">
      <c r="F15751" s="2423"/>
    </row>
    <row r="15752" s="101" customFormat="1" spans="6:6">
      <c r="F15752" s="2423"/>
    </row>
    <row r="15753" s="101" customFormat="1" spans="6:6">
      <c r="F15753" s="2423"/>
    </row>
    <row r="15754" s="101" customFormat="1" spans="6:6">
      <c r="F15754" s="2423"/>
    </row>
    <row r="15755" s="101" customFormat="1" spans="6:6">
      <c r="F15755" s="2423"/>
    </row>
    <row r="15756" s="101" customFormat="1" spans="6:6">
      <c r="F15756" s="2423"/>
    </row>
    <row r="15757" s="101" customFormat="1" spans="6:6">
      <c r="F15757" s="2423"/>
    </row>
    <row r="15758" s="101" customFormat="1" spans="6:6">
      <c r="F15758" s="2423"/>
    </row>
    <row r="15759" s="101" customFormat="1" spans="6:6">
      <c r="F15759" s="2423"/>
    </row>
    <row r="15760" s="101" customFormat="1" spans="6:6">
      <c r="F15760" s="2423"/>
    </row>
    <row r="15761" s="101" customFormat="1" spans="6:6">
      <c r="F15761" s="2423"/>
    </row>
    <row r="15762" s="101" customFormat="1" spans="6:6">
      <c r="F15762" s="2423"/>
    </row>
    <row r="15763" s="101" customFormat="1" spans="6:6">
      <c r="F15763" s="2423"/>
    </row>
    <row r="15764" s="101" customFormat="1" spans="6:6">
      <c r="F15764" s="2423"/>
    </row>
    <row r="15765" s="101" customFormat="1" spans="6:6">
      <c r="F15765" s="2423"/>
    </row>
    <row r="15766" s="101" customFormat="1" spans="6:6">
      <c r="F15766" s="2423"/>
    </row>
    <row r="15767" s="101" customFormat="1" spans="6:6">
      <c r="F15767" s="2423"/>
    </row>
    <row r="15768" s="101" customFormat="1" spans="6:6">
      <c r="F15768" s="2423"/>
    </row>
    <row r="15769" s="101" customFormat="1" spans="6:6">
      <c r="F15769" s="2423"/>
    </row>
    <row r="15770" s="101" customFormat="1" spans="6:6">
      <c r="F15770" s="2423"/>
    </row>
    <row r="15771" s="101" customFormat="1" spans="6:6">
      <c r="F15771" s="2423"/>
    </row>
    <row r="15772" s="101" customFormat="1" spans="6:6">
      <c r="F15772" s="2423"/>
    </row>
    <row r="15773" s="101" customFormat="1" spans="6:6">
      <c r="F15773" s="2423"/>
    </row>
    <row r="15774" s="101" customFormat="1" spans="6:6">
      <c r="F15774" s="2423"/>
    </row>
    <row r="15775" s="101" customFormat="1" spans="6:6">
      <c r="F15775" s="2423"/>
    </row>
    <row r="15776" s="101" customFormat="1" spans="6:6">
      <c r="F15776" s="2423"/>
    </row>
    <row r="15777" s="101" customFormat="1" spans="6:6">
      <c r="F15777" s="2423"/>
    </row>
    <row r="15778" s="101" customFormat="1" spans="6:6">
      <c r="F15778" s="2423"/>
    </row>
    <row r="15779" s="101" customFormat="1" spans="6:6">
      <c r="F15779" s="2423"/>
    </row>
    <row r="15780" s="101" customFormat="1" spans="6:6">
      <c r="F15780" s="2423"/>
    </row>
    <row r="15781" s="101" customFormat="1" spans="6:6">
      <c r="F15781" s="2423"/>
    </row>
    <row r="15782" s="101" customFormat="1" spans="6:6">
      <c r="F15782" s="2423"/>
    </row>
    <row r="15783" s="101" customFormat="1" spans="6:6">
      <c r="F15783" s="2423"/>
    </row>
    <row r="15784" s="101" customFormat="1" spans="6:6">
      <c r="F15784" s="2423"/>
    </row>
    <row r="15785" s="101" customFormat="1" spans="6:6">
      <c r="F15785" s="2423"/>
    </row>
    <row r="15786" s="101" customFormat="1" spans="6:6">
      <c r="F15786" s="2423"/>
    </row>
    <row r="15787" s="101" customFormat="1" spans="6:6">
      <c r="F15787" s="2423"/>
    </row>
    <row r="15788" s="101" customFormat="1" spans="6:6">
      <c r="F15788" s="2423"/>
    </row>
    <row r="15789" s="101" customFormat="1" spans="6:6">
      <c r="F15789" s="2423"/>
    </row>
    <row r="15790" s="101" customFormat="1" spans="6:6">
      <c r="F15790" s="2423"/>
    </row>
    <row r="15791" s="101" customFormat="1" spans="6:6">
      <c r="F15791" s="2423"/>
    </row>
    <row r="15792" s="101" customFormat="1" spans="6:6">
      <c r="F15792" s="2423"/>
    </row>
    <row r="15793" s="101" customFormat="1" spans="6:6">
      <c r="F15793" s="2423"/>
    </row>
    <row r="15794" s="101" customFormat="1" spans="6:6">
      <c r="F15794" s="2423"/>
    </row>
    <row r="15795" s="101" customFormat="1" spans="6:6">
      <c r="F15795" s="2423"/>
    </row>
    <row r="15796" s="101" customFormat="1" spans="6:6">
      <c r="F15796" s="2423"/>
    </row>
    <row r="15797" s="101" customFormat="1" spans="6:6">
      <c r="F15797" s="2423"/>
    </row>
    <row r="15798" s="101" customFormat="1" spans="6:6">
      <c r="F15798" s="2423"/>
    </row>
    <row r="15799" s="101" customFormat="1" spans="6:6">
      <c r="F15799" s="2423"/>
    </row>
    <row r="15800" s="101" customFormat="1" spans="6:6">
      <c r="F15800" s="2423"/>
    </row>
    <row r="15801" s="101" customFormat="1" spans="6:6">
      <c r="F15801" s="2423"/>
    </row>
    <row r="15802" s="101" customFormat="1" spans="6:6">
      <c r="F15802" s="2423"/>
    </row>
    <row r="15803" s="101" customFormat="1" spans="6:6">
      <c r="F15803" s="2423"/>
    </row>
    <row r="15804" s="101" customFormat="1" spans="6:6">
      <c r="F15804" s="2423"/>
    </row>
    <row r="15805" s="101" customFormat="1" spans="6:6">
      <c r="F15805" s="2423"/>
    </row>
    <row r="15806" s="101" customFormat="1" spans="6:6">
      <c r="F15806" s="2423"/>
    </row>
    <row r="15807" s="101" customFormat="1" spans="6:6">
      <c r="F15807" s="2423"/>
    </row>
    <row r="15808" s="101" customFormat="1" spans="6:6">
      <c r="F15808" s="2423"/>
    </row>
    <row r="15809" s="101" customFormat="1" spans="6:6">
      <c r="F15809" s="2423"/>
    </row>
    <row r="15810" s="101" customFormat="1" spans="6:6">
      <c r="F15810" s="2423"/>
    </row>
    <row r="15811" s="101" customFormat="1" spans="6:6">
      <c r="F15811" s="2423"/>
    </row>
    <row r="15812" s="101" customFormat="1" spans="6:6">
      <c r="F15812" s="2423"/>
    </row>
    <row r="15813" s="101" customFormat="1" spans="6:6">
      <c r="F15813" s="2423"/>
    </row>
    <row r="15814" s="101" customFormat="1" spans="6:6">
      <c r="F15814" s="2423"/>
    </row>
    <row r="15815" s="101" customFormat="1" spans="6:6">
      <c r="F15815" s="2423"/>
    </row>
    <row r="15816" s="101" customFormat="1" spans="6:6">
      <c r="F15816" s="2423"/>
    </row>
    <row r="15817" s="101" customFormat="1" spans="6:6">
      <c r="F15817" s="2423"/>
    </row>
    <row r="15818" s="101" customFormat="1" spans="6:6">
      <c r="F15818" s="2423"/>
    </row>
    <row r="15819" s="101" customFormat="1" spans="6:6">
      <c r="F15819" s="2423"/>
    </row>
    <row r="15820" s="101" customFormat="1" spans="6:6">
      <c r="F15820" s="2423"/>
    </row>
    <row r="15821" s="101" customFormat="1" spans="6:6">
      <c r="F15821" s="2423"/>
    </row>
    <row r="15822" s="101" customFormat="1" spans="6:6">
      <c r="F15822" s="2423"/>
    </row>
    <row r="15823" s="101" customFormat="1" spans="6:6">
      <c r="F15823" s="2423"/>
    </row>
    <row r="15824" s="101" customFormat="1" spans="6:6">
      <c r="F15824" s="2423"/>
    </row>
    <row r="15825" s="101" customFormat="1" spans="6:6">
      <c r="F15825" s="2423"/>
    </row>
    <row r="15826" s="101" customFormat="1" spans="6:6">
      <c r="F15826" s="2423"/>
    </row>
    <row r="15827" s="101" customFormat="1" spans="6:6">
      <c r="F15827" s="2423"/>
    </row>
    <row r="15828" s="101" customFormat="1" spans="6:6">
      <c r="F15828" s="2423"/>
    </row>
    <row r="15829" s="101" customFormat="1" spans="6:6">
      <c r="F15829" s="2423"/>
    </row>
    <row r="15830" s="101" customFormat="1" spans="6:6">
      <c r="F15830" s="2423"/>
    </row>
    <row r="15831" s="101" customFormat="1" spans="6:6">
      <c r="F15831" s="2423"/>
    </row>
    <row r="15832" s="101" customFormat="1" spans="6:6">
      <c r="F15832" s="2423"/>
    </row>
    <row r="15833" s="101" customFormat="1" spans="6:6">
      <c r="F15833" s="2423"/>
    </row>
    <row r="15834" s="101" customFormat="1" spans="6:6">
      <c r="F15834" s="2423"/>
    </row>
    <row r="15835" s="101" customFormat="1" spans="6:6">
      <c r="F15835" s="2423"/>
    </row>
    <row r="15836" s="101" customFormat="1" spans="6:6">
      <c r="F15836" s="2423"/>
    </row>
    <row r="15837" s="101" customFormat="1" spans="6:6">
      <c r="F15837" s="2423"/>
    </row>
    <row r="15838" s="101" customFormat="1" spans="6:6">
      <c r="F15838" s="2423"/>
    </row>
    <row r="15839" s="101" customFormat="1" spans="6:6">
      <c r="F15839" s="2423"/>
    </row>
    <row r="15840" s="101" customFormat="1" spans="6:6">
      <c r="F15840" s="2423"/>
    </row>
    <row r="15841" s="101" customFormat="1" spans="6:6">
      <c r="F15841" s="2423"/>
    </row>
    <row r="15842" s="101" customFormat="1" spans="6:6">
      <c r="F15842" s="2423"/>
    </row>
    <row r="15843" s="101" customFormat="1" spans="6:6">
      <c r="F15843" s="2423"/>
    </row>
    <row r="15844" s="101" customFormat="1" spans="6:6">
      <c r="F15844" s="2423"/>
    </row>
    <row r="15845" s="101" customFormat="1" spans="6:6">
      <c r="F15845" s="2423"/>
    </row>
    <row r="15846" s="101" customFormat="1" spans="6:6">
      <c r="F15846" s="2423"/>
    </row>
    <row r="15847" s="101" customFormat="1" spans="6:6">
      <c r="F15847" s="2423"/>
    </row>
    <row r="15848" s="101" customFormat="1" spans="6:6">
      <c r="F15848" s="2423"/>
    </row>
    <row r="15849" s="101" customFormat="1" spans="6:6">
      <c r="F15849" s="2423"/>
    </row>
    <row r="15850" s="101" customFormat="1" spans="6:6">
      <c r="F15850" s="2423"/>
    </row>
    <row r="15851" s="101" customFormat="1" spans="6:6">
      <c r="F15851" s="2423"/>
    </row>
    <row r="15852" s="101" customFormat="1" spans="6:6">
      <c r="F15852" s="2423"/>
    </row>
    <row r="15853" s="101" customFormat="1" spans="6:6">
      <c r="F15853" s="2423"/>
    </row>
    <row r="15854" s="101" customFormat="1" spans="6:6">
      <c r="F15854" s="2423"/>
    </row>
    <row r="15855" s="101" customFormat="1" spans="6:6">
      <c r="F15855" s="2423"/>
    </row>
    <row r="15856" s="101" customFormat="1" spans="6:6">
      <c r="F15856" s="2423"/>
    </row>
    <row r="15857" s="101" customFormat="1" spans="6:6">
      <c r="F15857" s="2423"/>
    </row>
    <row r="15858" s="101" customFormat="1" spans="6:6">
      <c r="F15858" s="2423"/>
    </row>
    <row r="15859" s="101" customFormat="1" spans="6:6">
      <c r="F15859" s="2423"/>
    </row>
    <row r="15860" s="101" customFormat="1" spans="6:6">
      <c r="F15860" s="2423"/>
    </row>
    <row r="15861" s="101" customFormat="1" spans="6:6">
      <c r="F15861" s="2423"/>
    </row>
    <row r="15862" s="101" customFormat="1" spans="6:6">
      <c r="F15862" s="2423"/>
    </row>
    <row r="15863" s="101" customFormat="1" spans="6:6">
      <c r="F15863" s="2423"/>
    </row>
    <row r="15864" s="101" customFormat="1" spans="6:6">
      <c r="F15864" s="2423"/>
    </row>
    <row r="15865" s="101" customFormat="1" spans="6:6">
      <c r="F15865" s="2423"/>
    </row>
    <row r="15866" s="101" customFormat="1" spans="6:6">
      <c r="F15866" s="2423"/>
    </row>
    <row r="15867" s="101" customFormat="1" spans="6:6">
      <c r="F15867" s="2423"/>
    </row>
    <row r="15868" s="101" customFormat="1" spans="6:6">
      <c r="F15868" s="2423"/>
    </row>
    <row r="15869" s="101" customFormat="1" spans="6:6">
      <c r="F15869" s="2423"/>
    </row>
    <row r="15870" s="101" customFormat="1" spans="6:6">
      <c r="F15870" s="2423"/>
    </row>
    <row r="15871" s="101" customFormat="1" spans="6:6">
      <c r="F15871" s="2423"/>
    </row>
    <row r="15872" s="101" customFormat="1" spans="6:6">
      <c r="F15872" s="2423"/>
    </row>
    <row r="15873" s="101" customFormat="1" spans="6:6">
      <c r="F15873" s="2423"/>
    </row>
    <row r="15874" s="101" customFormat="1" spans="6:6">
      <c r="F15874" s="2423"/>
    </row>
    <row r="15875" s="101" customFormat="1" spans="6:6">
      <c r="F15875" s="2423"/>
    </row>
    <row r="15876" s="101" customFormat="1" spans="6:6">
      <c r="F15876" s="2423"/>
    </row>
    <row r="15877" s="101" customFormat="1" spans="6:6">
      <c r="F15877" s="2423"/>
    </row>
    <row r="15878" s="101" customFormat="1" spans="6:6">
      <c r="F15878" s="2423"/>
    </row>
    <row r="15879" s="101" customFormat="1" spans="6:6">
      <c r="F15879" s="2423"/>
    </row>
    <row r="15880" s="101" customFormat="1" spans="6:6">
      <c r="F15880" s="2423"/>
    </row>
    <row r="15881" s="101" customFormat="1" spans="6:6">
      <c r="F15881" s="2423"/>
    </row>
    <row r="15882" s="101" customFormat="1" spans="6:6">
      <c r="F15882" s="2423"/>
    </row>
    <row r="15883" s="101" customFormat="1" spans="6:6">
      <c r="F15883" s="2423"/>
    </row>
    <row r="15884" s="101" customFormat="1" spans="6:6">
      <c r="F15884" s="2423"/>
    </row>
    <row r="15885" s="101" customFormat="1" spans="6:6">
      <c r="F15885" s="2423"/>
    </row>
    <row r="15886" s="101" customFormat="1" spans="6:6">
      <c r="F15886" s="2423"/>
    </row>
    <row r="15887" s="101" customFormat="1" spans="6:6">
      <c r="F15887" s="2423"/>
    </row>
    <row r="15888" s="101" customFormat="1" spans="6:6">
      <c r="F15888" s="2423"/>
    </row>
    <row r="15889" s="101" customFormat="1" spans="6:6">
      <c r="F15889" s="2423"/>
    </row>
    <row r="15890" s="101" customFormat="1" spans="6:6">
      <c r="F15890" s="2423"/>
    </row>
    <row r="15891" s="101" customFormat="1" spans="6:6">
      <c r="F15891" s="2423"/>
    </row>
    <row r="15892" s="101" customFormat="1" spans="6:6">
      <c r="F15892" s="2423"/>
    </row>
    <row r="15893" s="101" customFormat="1" spans="6:6">
      <c r="F15893" s="2423"/>
    </row>
    <row r="15894" s="101" customFormat="1" spans="6:6">
      <c r="F15894" s="2423"/>
    </row>
    <row r="15895" s="101" customFormat="1" spans="6:6">
      <c r="F15895" s="2423"/>
    </row>
    <row r="15896" s="101" customFormat="1" spans="6:6">
      <c r="F15896" s="2423"/>
    </row>
    <row r="15897" s="101" customFormat="1" spans="6:6">
      <c r="F15897" s="2423"/>
    </row>
    <row r="15898" s="101" customFormat="1" spans="6:6">
      <c r="F15898" s="2423"/>
    </row>
    <row r="15899" s="101" customFormat="1" spans="6:6">
      <c r="F15899" s="2423"/>
    </row>
    <row r="15900" s="101" customFormat="1" spans="6:6">
      <c r="F15900" s="2423"/>
    </row>
    <row r="15901" s="101" customFormat="1" spans="6:6">
      <c r="F15901" s="2423"/>
    </row>
    <row r="15902" s="101" customFormat="1" spans="6:6">
      <c r="F15902" s="2423"/>
    </row>
    <row r="15903" s="101" customFormat="1" spans="6:6">
      <c r="F15903" s="2423"/>
    </row>
    <row r="15904" s="101" customFormat="1" spans="6:6">
      <c r="F15904" s="2423"/>
    </row>
    <row r="15905" s="101" customFormat="1" spans="6:6">
      <c r="F15905" s="2423"/>
    </row>
    <row r="15906" s="101" customFormat="1" spans="6:6">
      <c r="F15906" s="2423"/>
    </row>
    <row r="15907" s="101" customFormat="1" spans="6:6">
      <c r="F15907" s="2423"/>
    </row>
    <row r="15908" s="101" customFormat="1" spans="6:6">
      <c r="F15908" s="2423"/>
    </row>
    <row r="15909" s="101" customFormat="1" spans="6:6">
      <c r="F15909" s="2423"/>
    </row>
    <row r="15910" s="101" customFormat="1" spans="6:6">
      <c r="F15910" s="2423"/>
    </row>
    <row r="15911" s="101" customFormat="1" spans="6:6">
      <c r="F15911" s="2423"/>
    </row>
    <row r="15912" s="101" customFormat="1" spans="6:6">
      <c r="F15912" s="2423"/>
    </row>
    <row r="15913" s="101" customFormat="1" spans="6:6">
      <c r="F15913" s="2423"/>
    </row>
    <row r="15914" s="101" customFormat="1" spans="6:6">
      <c r="F15914" s="2423"/>
    </row>
    <row r="15915" s="101" customFormat="1" spans="6:6">
      <c r="F15915" s="2423"/>
    </row>
    <row r="15916" s="101" customFormat="1" spans="6:6">
      <c r="F15916" s="2423"/>
    </row>
    <row r="15917" s="101" customFormat="1" spans="6:6">
      <c r="F15917" s="2423"/>
    </row>
    <row r="15918" s="101" customFormat="1" spans="6:6">
      <c r="F15918" s="2423"/>
    </row>
    <row r="15919" s="101" customFormat="1" spans="6:6">
      <c r="F15919" s="2423"/>
    </row>
    <row r="15920" s="101" customFormat="1" spans="6:6">
      <c r="F15920" s="2423"/>
    </row>
    <row r="15921" s="101" customFormat="1" spans="6:6">
      <c r="F15921" s="2423"/>
    </row>
    <row r="15922" s="101" customFormat="1" spans="6:6">
      <c r="F15922" s="2423"/>
    </row>
    <row r="15923" s="101" customFormat="1" spans="6:6">
      <c r="F15923" s="2423"/>
    </row>
    <row r="15924" s="101" customFormat="1" spans="6:6">
      <c r="F15924" s="2423"/>
    </row>
    <row r="15925" s="101" customFormat="1" spans="6:6">
      <c r="F15925" s="2423"/>
    </row>
    <row r="15926" s="101" customFormat="1" spans="6:6">
      <c r="F15926" s="2423"/>
    </row>
    <row r="15927" s="101" customFormat="1" spans="6:6">
      <c r="F15927" s="2423"/>
    </row>
    <row r="15928" s="101" customFormat="1" spans="6:6">
      <c r="F15928" s="2423"/>
    </row>
    <row r="15929" s="101" customFormat="1" spans="6:6">
      <c r="F15929" s="2423"/>
    </row>
    <row r="15930" s="101" customFormat="1" spans="6:6">
      <c r="F15930" s="2423"/>
    </row>
    <row r="15931" s="101" customFormat="1" spans="6:6">
      <c r="F15931" s="2423"/>
    </row>
    <row r="15932" s="101" customFormat="1" spans="6:6">
      <c r="F15932" s="2423"/>
    </row>
    <row r="15933" s="101" customFormat="1" spans="6:6">
      <c r="F15933" s="2423"/>
    </row>
    <row r="15934" s="101" customFormat="1" spans="6:6">
      <c r="F15934" s="2423"/>
    </row>
    <row r="15935" s="101" customFormat="1" spans="6:6">
      <c r="F15935" s="2423"/>
    </row>
    <row r="15936" s="101" customFormat="1" spans="6:6">
      <c r="F15936" s="2423"/>
    </row>
    <row r="15937" s="101" customFormat="1" spans="6:6">
      <c r="F15937" s="2423"/>
    </row>
    <row r="15938" s="101" customFormat="1" spans="6:6">
      <c r="F15938" s="2423"/>
    </row>
    <row r="15939" s="101" customFormat="1" spans="6:6">
      <c r="F15939" s="2423"/>
    </row>
    <row r="15940" s="101" customFormat="1" spans="6:6">
      <c r="F15940" s="2423"/>
    </row>
    <row r="15941" s="101" customFormat="1" spans="6:6">
      <c r="F15941" s="2423"/>
    </row>
    <row r="15942" s="101" customFormat="1" spans="6:6">
      <c r="F15942" s="2423"/>
    </row>
    <row r="15943" s="101" customFormat="1" spans="6:6">
      <c r="F15943" s="2423"/>
    </row>
    <row r="15944" s="101" customFormat="1" spans="6:6">
      <c r="F15944" s="2423"/>
    </row>
    <row r="15945" s="101" customFormat="1" spans="6:6">
      <c r="F15945" s="2423"/>
    </row>
    <row r="15946" s="101" customFormat="1" spans="6:6">
      <c r="F15946" s="2423"/>
    </row>
    <row r="15947" s="101" customFormat="1" spans="6:6">
      <c r="F15947" s="2423"/>
    </row>
    <row r="15948" s="101" customFormat="1" spans="6:6">
      <c r="F15948" s="2423"/>
    </row>
    <row r="15949" s="101" customFormat="1" spans="6:6">
      <c r="F15949" s="2423"/>
    </row>
    <row r="15950" s="101" customFormat="1" spans="6:6">
      <c r="F15950" s="2423"/>
    </row>
    <row r="15951" s="101" customFormat="1" spans="6:6">
      <c r="F15951" s="2423"/>
    </row>
    <row r="15952" s="101" customFormat="1" spans="6:6">
      <c r="F15952" s="2423"/>
    </row>
    <row r="15953" s="101" customFormat="1" spans="6:6">
      <c r="F15953" s="2423"/>
    </row>
    <row r="15954" s="101" customFormat="1" spans="6:6">
      <c r="F15954" s="2423"/>
    </row>
    <row r="15955" s="101" customFormat="1" spans="6:6">
      <c r="F15955" s="2423"/>
    </row>
    <row r="15956" s="101" customFormat="1" spans="6:6">
      <c r="F15956" s="2423"/>
    </row>
    <row r="15957" s="101" customFormat="1" spans="6:6">
      <c r="F15957" s="2423"/>
    </row>
    <row r="15958" s="101" customFormat="1" spans="6:6">
      <c r="F15958" s="2423"/>
    </row>
    <row r="15959" s="101" customFormat="1" spans="6:6">
      <c r="F15959" s="2423"/>
    </row>
    <row r="15960" s="101" customFormat="1" spans="6:6">
      <c r="F15960" s="2423"/>
    </row>
    <row r="15961" s="101" customFormat="1" spans="6:6">
      <c r="F15961" s="2423"/>
    </row>
    <row r="15962" s="101" customFormat="1" spans="6:6">
      <c r="F15962" s="2423"/>
    </row>
    <row r="15963" s="101" customFormat="1" spans="6:6">
      <c r="F15963" s="2423"/>
    </row>
    <row r="15964" s="101" customFormat="1" spans="6:6">
      <c r="F15964" s="2423"/>
    </row>
    <row r="15965" s="101" customFormat="1" spans="6:6">
      <c r="F15965" s="2423"/>
    </row>
    <row r="15966" s="101" customFormat="1" spans="6:6">
      <c r="F15966" s="2423"/>
    </row>
    <row r="15967" s="101" customFormat="1" spans="6:6">
      <c r="F15967" s="2423"/>
    </row>
    <row r="15968" s="101" customFormat="1" spans="6:6">
      <c r="F15968" s="2423"/>
    </row>
    <row r="15969" s="101" customFormat="1" spans="6:6">
      <c r="F15969" s="2423"/>
    </row>
    <row r="15970" s="101" customFormat="1" spans="6:6">
      <c r="F15970" s="2423"/>
    </row>
    <row r="15971" s="101" customFormat="1" spans="6:6">
      <c r="F15971" s="2423"/>
    </row>
    <row r="15972" s="101" customFormat="1" spans="6:6">
      <c r="F15972" s="2423"/>
    </row>
    <row r="15973" s="101" customFormat="1" spans="6:6">
      <c r="F15973" s="2423"/>
    </row>
    <row r="15974" s="101" customFormat="1" spans="6:6">
      <c r="F15974" s="2423"/>
    </row>
    <row r="15975" s="101" customFormat="1" spans="6:6">
      <c r="F15975" s="2423"/>
    </row>
    <row r="15976" s="101" customFormat="1" spans="6:6">
      <c r="F15976" s="2423"/>
    </row>
    <row r="15977" s="101" customFormat="1" spans="6:6">
      <c r="F15977" s="2423"/>
    </row>
    <row r="15978" s="101" customFormat="1" spans="6:6">
      <c r="F15978" s="2423"/>
    </row>
    <row r="15979" s="101" customFormat="1" spans="6:6">
      <c r="F15979" s="2423"/>
    </row>
    <row r="15980" s="101" customFormat="1" spans="6:6">
      <c r="F15980" s="2423"/>
    </row>
    <row r="15981" s="101" customFormat="1" spans="6:6">
      <c r="F15981" s="2423"/>
    </row>
    <row r="15982" s="101" customFormat="1" spans="6:6">
      <c r="F15982" s="2423"/>
    </row>
    <row r="15983" s="101" customFormat="1" spans="6:6">
      <c r="F15983" s="2423"/>
    </row>
    <row r="15984" s="101" customFormat="1" spans="6:6">
      <c r="F15984" s="2423"/>
    </row>
    <row r="15985" s="101" customFormat="1" spans="6:6">
      <c r="F15985" s="2423"/>
    </row>
    <row r="15986" s="101" customFormat="1" spans="6:6">
      <c r="F15986" s="2423"/>
    </row>
    <row r="15987" s="101" customFormat="1" spans="6:6">
      <c r="F15987" s="2423"/>
    </row>
    <row r="15988" s="101" customFormat="1" spans="6:6">
      <c r="F15988" s="2423"/>
    </row>
    <row r="15989" s="101" customFormat="1" spans="6:6">
      <c r="F15989" s="2423"/>
    </row>
    <row r="15990" s="101" customFormat="1" spans="6:6">
      <c r="F15990" s="2423"/>
    </row>
    <row r="15991" s="101" customFormat="1" spans="6:6">
      <c r="F15991" s="2423"/>
    </row>
    <row r="15992" s="101" customFormat="1" spans="6:6">
      <c r="F15992" s="2423"/>
    </row>
    <row r="15993" s="101" customFormat="1" spans="6:6">
      <c r="F15993" s="2423"/>
    </row>
    <row r="15994" s="101" customFormat="1" spans="6:6">
      <c r="F15994" s="2423"/>
    </row>
    <row r="15995" s="101" customFormat="1" spans="6:6">
      <c r="F15995" s="2423"/>
    </row>
    <row r="15996" s="101" customFormat="1" spans="6:6">
      <c r="F15996" s="2423"/>
    </row>
    <row r="15997" s="101" customFormat="1" spans="6:6">
      <c r="F15997" s="2423"/>
    </row>
    <row r="15998" s="101" customFormat="1" spans="6:6">
      <c r="F15998" s="2423"/>
    </row>
    <row r="15999" s="101" customFormat="1" spans="6:6">
      <c r="F15999" s="2423"/>
    </row>
    <row r="16000" s="101" customFormat="1" spans="6:6">
      <c r="F16000" s="2423"/>
    </row>
    <row r="16001" s="101" customFormat="1" spans="6:6">
      <c r="F16001" s="2423"/>
    </row>
    <row r="16002" s="101" customFormat="1" spans="6:6">
      <c r="F16002" s="2423"/>
    </row>
    <row r="16003" s="101" customFormat="1" spans="6:6">
      <c r="F16003" s="2423"/>
    </row>
    <row r="16004" s="101" customFormat="1" spans="6:6">
      <c r="F16004" s="2423"/>
    </row>
    <row r="16005" s="101" customFormat="1" spans="6:6">
      <c r="F16005" s="2423"/>
    </row>
    <row r="16006" s="101" customFormat="1" spans="6:6">
      <c r="F16006" s="2423"/>
    </row>
    <row r="16007" s="101" customFormat="1" spans="6:6">
      <c r="F16007" s="2423"/>
    </row>
    <row r="16008" s="101" customFormat="1" spans="6:6">
      <c r="F16008" s="2423"/>
    </row>
    <row r="16009" s="101" customFormat="1" spans="6:6">
      <c r="F16009" s="2423"/>
    </row>
    <row r="16010" s="101" customFormat="1" spans="6:6">
      <c r="F16010" s="2423"/>
    </row>
    <row r="16011" s="101" customFormat="1" spans="6:6">
      <c r="F16011" s="2423"/>
    </row>
    <row r="16012" s="101" customFormat="1" spans="6:6">
      <c r="F16012" s="2423"/>
    </row>
    <row r="16013" s="101" customFormat="1" spans="6:6">
      <c r="F16013" s="2423"/>
    </row>
    <row r="16014" s="101" customFormat="1" spans="6:6">
      <c r="F16014" s="2423"/>
    </row>
    <row r="16015" s="101" customFormat="1" spans="6:6">
      <c r="F16015" s="2423"/>
    </row>
    <row r="16016" s="101" customFormat="1" spans="6:6">
      <c r="F16016" s="2423"/>
    </row>
    <row r="16017" s="101" customFormat="1" spans="6:6">
      <c r="F16017" s="2423"/>
    </row>
    <row r="16018" s="101" customFormat="1" spans="6:6">
      <c r="F16018" s="2423"/>
    </row>
    <row r="16019" s="101" customFormat="1" spans="6:6">
      <c r="F16019" s="2423"/>
    </row>
    <row r="16020" s="101" customFormat="1" spans="6:6">
      <c r="F16020" s="2423"/>
    </row>
    <row r="16021" s="101" customFormat="1" spans="6:6">
      <c r="F16021" s="2423"/>
    </row>
    <row r="16022" s="101" customFormat="1" spans="6:6">
      <c r="F16022" s="2423"/>
    </row>
    <row r="16023" s="101" customFormat="1" spans="6:6">
      <c r="F16023" s="2423"/>
    </row>
    <row r="16024" s="101" customFormat="1" spans="6:6">
      <c r="F16024" s="2423"/>
    </row>
    <row r="16025" s="101" customFormat="1" spans="6:6">
      <c r="F16025" s="2423"/>
    </row>
    <row r="16026" s="101" customFormat="1" spans="6:6">
      <c r="F16026" s="2423"/>
    </row>
    <row r="16027" s="101" customFormat="1" spans="6:6">
      <c r="F16027" s="2423"/>
    </row>
    <row r="16028" s="101" customFormat="1" spans="6:6">
      <c r="F16028" s="2423"/>
    </row>
    <row r="16029" s="101" customFormat="1" spans="6:6">
      <c r="F16029" s="2423"/>
    </row>
    <row r="16030" s="101" customFormat="1" spans="6:6">
      <c r="F16030" s="2423"/>
    </row>
    <row r="16031" s="101" customFormat="1" spans="6:6">
      <c r="F16031" s="2423"/>
    </row>
    <row r="16032" s="101" customFormat="1" spans="6:6">
      <c r="F16032" s="2423"/>
    </row>
    <row r="16033" s="101" customFormat="1" spans="6:6">
      <c r="F16033" s="2423"/>
    </row>
    <row r="16034" s="101" customFormat="1" spans="6:6">
      <c r="F16034" s="2423"/>
    </row>
    <row r="16035" s="101" customFormat="1" spans="6:6">
      <c r="F16035" s="2423"/>
    </row>
    <row r="16036" s="101" customFormat="1" spans="6:6">
      <c r="F16036" s="2423"/>
    </row>
    <row r="16037" s="101" customFormat="1" spans="6:6">
      <c r="F16037" s="2423"/>
    </row>
    <row r="16038" s="101" customFormat="1" spans="6:6">
      <c r="F16038" s="2423"/>
    </row>
    <row r="16039" s="101" customFormat="1" spans="6:6">
      <c r="F16039" s="2423"/>
    </row>
    <row r="16040" s="101" customFormat="1" spans="6:6">
      <c r="F16040" s="2423"/>
    </row>
    <row r="16041" s="101" customFormat="1" spans="6:6">
      <c r="F16041" s="2423"/>
    </row>
    <row r="16042" s="101" customFormat="1" spans="6:6">
      <c r="F16042" s="2423"/>
    </row>
    <row r="16043" s="101" customFormat="1" spans="6:6">
      <c r="F16043" s="2423"/>
    </row>
    <row r="16044" s="101" customFormat="1" spans="6:6">
      <c r="F16044" s="2423"/>
    </row>
    <row r="16045" s="101" customFormat="1" spans="6:6">
      <c r="F16045" s="2423"/>
    </row>
    <row r="16046" s="101" customFormat="1" spans="6:6">
      <c r="F16046" s="2423"/>
    </row>
    <row r="16047" s="101" customFormat="1" spans="6:6">
      <c r="F16047" s="2423"/>
    </row>
    <row r="16048" s="101" customFormat="1" spans="6:6">
      <c r="F16048" s="2423"/>
    </row>
    <row r="16049" s="101" customFormat="1" spans="6:6">
      <c r="F16049" s="2423"/>
    </row>
    <row r="16050" s="101" customFormat="1" spans="6:6">
      <c r="F16050" s="2423"/>
    </row>
    <row r="16051" s="101" customFormat="1" spans="6:6">
      <c r="F16051" s="2423"/>
    </row>
    <row r="16052" s="101" customFormat="1" spans="6:6">
      <c r="F16052" s="2423"/>
    </row>
    <row r="16053" s="101" customFormat="1" spans="6:6">
      <c r="F16053" s="2423"/>
    </row>
    <row r="16054" s="101" customFormat="1" spans="6:6">
      <c r="F16054" s="2423"/>
    </row>
    <row r="16055" s="101" customFormat="1" spans="6:6">
      <c r="F16055" s="2423"/>
    </row>
    <row r="16056" s="101" customFormat="1" spans="6:6">
      <c r="F16056" s="2423"/>
    </row>
    <row r="16057" s="101" customFormat="1" spans="6:6">
      <c r="F16057" s="2423"/>
    </row>
    <row r="16058" s="101" customFormat="1" spans="6:6">
      <c r="F16058" s="2423"/>
    </row>
    <row r="16059" s="101" customFormat="1" spans="6:6">
      <c r="F16059" s="2423"/>
    </row>
    <row r="16060" s="101" customFormat="1" spans="6:6">
      <c r="F16060" s="2423"/>
    </row>
    <row r="16061" s="101" customFormat="1" spans="6:6">
      <c r="F16061" s="2423"/>
    </row>
    <row r="16062" s="101" customFormat="1" spans="6:6">
      <c r="F16062" s="2423"/>
    </row>
    <row r="16063" s="101" customFormat="1" spans="6:6">
      <c r="F16063" s="2423"/>
    </row>
    <row r="16064" s="101" customFormat="1" spans="6:6">
      <c r="F16064" s="2423"/>
    </row>
    <row r="16065" s="101" customFormat="1" spans="6:6">
      <c r="F16065" s="2423"/>
    </row>
    <row r="16066" s="101" customFormat="1" spans="6:6">
      <c r="F16066" s="2423"/>
    </row>
    <row r="16067" s="101" customFormat="1" spans="6:6">
      <c r="F16067" s="2423"/>
    </row>
    <row r="16068" s="101" customFormat="1" spans="6:6">
      <c r="F16068" s="2423"/>
    </row>
    <row r="16069" s="101" customFormat="1" spans="6:6">
      <c r="F16069" s="2423"/>
    </row>
    <row r="16070" s="101" customFormat="1" spans="6:6">
      <c r="F16070" s="2423"/>
    </row>
    <row r="16071" s="101" customFormat="1" spans="6:6">
      <c r="F16071" s="2423"/>
    </row>
    <row r="16072" s="101" customFormat="1" spans="6:6">
      <c r="F16072" s="2423"/>
    </row>
    <row r="16073" s="101" customFormat="1" spans="6:6">
      <c r="F16073" s="2423"/>
    </row>
    <row r="16074" s="101" customFormat="1" spans="6:6">
      <c r="F16074" s="2423"/>
    </row>
    <row r="16075" s="101" customFormat="1" spans="6:6">
      <c r="F16075" s="2423"/>
    </row>
    <row r="16076" s="101" customFormat="1" spans="6:6">
      <c r="F16076" s="2423"/>
    </row>
    <row r="16077" s="101" customFormat="1" spans="6:6">
      <c r="F16077" s="2423"/>
    </row>
    <row r="16078" s="101" customFormat="1" spans="6:6">
      <c r="F16078" s="2423"/>
    </row>
    <row r="16079" s="101" customFormat="1" spans="6:6">
      <c r="F16079" s="2423"/>
    </row>
    <row r="16080" s="101" customFormat="1" spans="6:6">
      <c r="F16080" s="2423"/>
    </row>
    <row r="16081" s="101" customFormat="1" spans="6:6">
      <c r="F16081" s="2423"/>
    </row>
    <row r="16082" s="101" customFormat="1" spans="6:6">
      <c r="F16082" s="2423"/>
    </row>
    <row r="16083" s="101" customFormat="1" spans="6:6">
      <c r="F16083" s="2423"/>
    </row>
    <row r="16084" s="101" customFormat="1" spans="6:6">
      <c r="F16084" s="2423"/>
    </row>
    <row r="16085" s="101" customFormat="1" spans="6:6">
      <c r="F16085" s="2423"/>
    </row>
    <row r="16086" s="101" customFormat="1" spans="6:6">
      <c r="F16086" s="2423"/>
    </row>
    <row r="16087" s="101" customFormat="1" spans="6:6">
      <c r="F16087" s="2423"/>
    </row>
    <row r="16088" s="101" customFormat="1" spans="6:6">
      <c r="F16088" s="2423"/>
    </row>
    <row r="16089" s="101" customFormat="1" spans="6:6">
      <c r="F16089" s="2423"/>
    </row>
    <row r="16090" s="101" customFormat="1" spans="6:6">
      <c r="F16090" s="2423"/>
    </row>
    <row r="16091" s="101" customFormat="1" spans="6:6">
      <c r="F16091" s="2423"/>
    </row>
    <row r="16092" s="101" customFormat="1" spans="6:6">
      <c r="F16092" s="2423"/>
    </row>
    <row r="16093" s="101" customFormat="1" spans="6:6">
      <c r="F16093" s="2423"/>
    </row>
    <row r="16094" s="101" customFormat="1" spans="6:6">
      <c r="F16094" s="2423"/>
    </row>
    <row r="16095" s="101" customFormat="1" spans="6:6">
      <c r="F16095" s="2423"/>
    </row>
    <row r="16096" s="101" customFormat="1" spans="6:6">
      <c r="F16096" s="2423"/>
    </row>
    <row r="16097" s="101" customFormat="1" spans="6:6">
      <c r="F16097" s="2423"/>
    </row>
    <row r="16098" s="101" customFormat="1" spans="6:6">
      <c r="F16098" s="2423"/>
    </row>
    <row r="16099" s="101" customFormat="1" spans="6:6">
      <c r="F16099" s="2423"/>
    </row>
    <row r="16100" s="101" customFormat="1" spans="6:6">
      <c r="F16100" s="2423"/>
    </row>
    <row r="16101" s="101" customFormat="1" spans="6:6">
      <c r="F16101" s="2423"/>
    </row>
    <row r="16102" s="101" customFormat="1" spans="6:6">
      <c r="F16102" s="2423"/>
    </row>
    <row r="16103" s="101" customFormat="1" spans="6:6">
      <c r="F16103" s="2423"/>
    </row>
    <row r="16104" s="101" customFormat="1" spans="6:6">
      <c r="F16104" s="2423"/>
    </row>
    <row r="16105" s="101" customFormat="1" spans="6:6">
      <c r="F16105" s="2423"/>
    </row>
    <row r="16106" s="101" customFormat="1" spans="6:6">
      <c r="F16106" s="2423"/>
    </row>
    <row r="16107" s="101" customFormat="1" spans="6:6">
      <c r="F16107" s="2423"/>
    </row>
    <row r="16108" s="101" customFormat="1" spans="6:6">
      <c r="F16108" s="2423"/>
    </row>
    <row r="16109" s="101" customFormat="1" spans="6:6">
      <c r="F16109" s="2423"/>
    </row>
    <row r="16110" s="101" customFormat="1" spans="6:6">
      <c r="F16110" s="2423"/>
    </row>
    <row r="16111" s="101" customFormat="1" spans="6:6">
      <c r="F16111" s="2423"/>
    </row>
    <row r="16112" s="101" customFormat="1" spans="6:6">
      <c r="F16112" s="2423"/>
    </row>
    <row r="16113" s="101" customFormat="1" spans="6:6">
      <c r="F16113" s="2423"/>
    </row>
    <row r="16114" s="101" customFormat="1" spans="6:6">
      <c r="F16114" s="2423"/>
    </row>
    <row r="16115" s="101" customFormat="1" spans="6:6">
      <c r="F16115" s="2423"/>
    </row>
    <row r="16116" s="101" customFormat="1" spans="6:6">
      <c r="F16116" s="2423"/>
    </row>
    <row r="16117" s="101" customFormat="1" spans="6:6">
      <c r="F16117" s="2423"/>
    </row>
    <row r="16118" s="101" customFormat="1" spans="6:6">
      <c r="F16118" s="2423"/>
    </row>
    <row r="16119" s="101" customFormat="1" spans="6:6">
      <c r="F16119" s="2423"/>
    </row>
    <row r="16120" s="101" customFormat="1" spans="6:6">
      <c r="F16120" s="2423"/>
    </row>
    <row r="16121" s="101" customFormat="1" spans="6:6">
      <c r="F16121" s="2423"/>
    </row>
    <row r="16122" s="101" customFormat="1" spans="6:6">
      <c r="F16122" s="2423"/>
    </row>
    <row r="16123" s="101" customFormat="1" spans="6:6">
      <c r="F16123" s="2423"/>
    </row>
    <row r="16124" s="101" customFormat="1" spans="6:6">
      <c r="F16124" s="2423"/>
    </row>
    <row r="16125" s="101" customFormat="1" spans="6:6">
      <c r="F16125" s="2423"/>
    </row>
    <row r="16126" s="101" customFormat="1" spans="6:6">
      <c r="F16126" s="2423"/>
    </row>
    <row r="16127" s="101" customFormat="1" spans="6:6">
      <c r="F16127" s="2423"/>
    </row>
    <row r="16128" s="101" customFormat="1" spans="6:6">
      <c r="F16128" s="2423"/>
    </row>
    <row r="16129" s="101" customFormat="1" spans="6:6">
      <c r="F16129" s="2423"/>
    </row>
    <row r="16130" s="101" customFormat="1" spans="6:6">
      <c r="F16130" s="2423"/>
    </row>
    <row r="16131" s="101" customFormat="1" spans="6:6">
      <c r="F16131" s="2423"/>
    </row>
    <row r="16132" s="101" customFormat="1" spans="6:6">
      <c r="F16132" s="2423"/>
    </row>
    <row r="16133" s="101" customFormat="1" spans="6:6">
      <c r="F16133" s="2423"/>
    </row>
    <row r="16134" s="101" customFormat="1" spans="6:6">
      <c r="F16134" s="2423"/>
    </row>
    <row r="16135" s="101" customFormat="1" spans="6:6">
      <c r="F16135" s="2423"/>
    </row>
    <row r="16136" s="101" customFormat="1" spans="6:6">
      <c r="F16136" s="2423"/>
    </row>
    <row r="16137" s="101" customFormat="1" spans="6:6">
      <c r="F16137" s="2423"/>
    </row>
    <row r="16138" s="101" customFormat="1" spans="6:6">
      <c r="F16138" s="2423"/>
    </row>
    <row r="16139" s="101" customFormat="1" spans="6:6">
      <c r="F16139" s="2423"/>
    </row>
    <row r="16140" s="101" customFormat="1" spans="6:6">
      <c r="F16140" s="2423"/>
    </row>
    <row r="16141" s="101" customFormat="1" spans="6:6">
      <c r="F16141" s="2423"/>
    </row>
    <row r="16142" s="101" customFormat="1" spans="6:6">
      <c r="F16142" s="2423"/>
    </row>
    <row r="16143" s="101" customFormat="1" spans="6:6">
      <c r="F16143" s="2423"/>
    </row>
    <row r="16144" s="101" customFormat="1" spans="6:6">
      <c r="F16144" s="2423"/>
    </row>
    <row r="16145" s="101" customFormat="1" spans="6:6">
      <c r="F16145" s="2423"/>
    </row>
    <row r="16146" s="101" customFormat="1" spans="6:6">
      <c r="F16146" s="2423"/>
    </row>
    <row r="16147" s="101" customFormat="1" spans="6:6">
      <c r="F16147" s="2423"/>
    </row>
    <row r="16148" s="101" customFormat="1" spans="6:6">
      <c r="F16148" s="2423"/>
    </row>
    <row r="16149" s="101" customFormat="1" spans="6:6">
      <c r="F16149" s="2423"/>
    </row>
    <row r="16150" s="101" customFormat="1" spans="6:6">
      <c r="F16150" s="2423"/>
    </row>
    <row r="16151" s="101" customFormat="1" spans="6:6">
      <c r="F16151" s="2423"/>
    </row>
    <row r="16152" s="101" customFormat="1" spans="6:6">
      <c r="F16152" s="2423"/>
    </row>
    <row r="16153" s="101" customFormat="1" spans="6:6">
      <c r="F16153" s="2423"/>
    </row>
    <row r="16154" s="101" customFormat="1" spans="6:6">
      <c r="F16154" s="2423"/>
    </row>
    <row r="16155" s="101" customFormat="1" spans="6:6">
      <c r="F16155" s="2423"/>
    </row>
    <row r="16156" s="101" customFormat="1" spans="6:6">
      <c r="F16156" s="2423"/>
    </row>
    <row r="16157" s="101" customFormat="1" spans="6:6">
      <c r="F16157" s="2423"/>
    </row>
    <row r="16158" s="101" customFormat="1" spans="6:6">
      <c r="F16158" s="2423"/>
    </row>
    <row r="16159" s="101" customFormat="1" spans="6:6">
      <c r="F16159" s="2423"/>
    </row>
    <row r="16160" s="101" customFormat="1" spans="6:6">
      <c r="F16160" s="2423"/>
    </row>
    <row r="16161" s="101" customFormat="1" spans="6:6">
      <c r="F16161" s="2423"/>
    </row>
    <row r="16162" s="101" customFormat="1" spans="6:6">
      <c r="F16162" s="2423"/>
    </row>
    <row r="16163" s="101" customFormat="1" spans="6:6">
      <c r="F16163" s="2423"/>
    </row>
    <row r="16164" s="101" customFormat="1" spans="6:6">
      <c r="F16164" s="2423"/>
    </row>
    <row r="16165" s="101" customFormat="1" spans="6:6">
      <c r="F16165" s="2423"/>
    </row>
    <row r="16166" s="101" customFormat="1" spans="6:6">
      <c r="F16166" s="2423"/>
    </row>
    <row r="16167" s="101" customFormat="1" spans="6:6">
      <c r="F16167" s="2423"/>
    </row>
    <row r="16168" s="101" customFormat="1" spans="6:6">
      <c r="F16168" s="2423"/>
    </row>
    <row r="16169" s="101" customFormat="1" spans="6:6">
      <c r="F16169" s="2423"/>
    </row>
    <row r="16170" s="101" customFormat="1" spans="6:6">
      <c r="F16170" s="2423"/>
    </row>
    <row r="16171" s="101" customFormat="1" spans="6:6">
      <c r="F16171" s="2423"/>
    </row>
    <row r="16172" s="101" customFormat="1" spans="6:6">
      <c r="F16172" s="2423"/>
    </row>
    <row r="16173" s="101" customFormat="1" spans="6:6">
      <c r="F16173" s="2423"/>
    </row>
    <row r="16174" s="101" customFormat="1" spans="6:6">
      <c r="F16174" s="2423"/>
    </row>
    <row r="16175" s="101" customFormat="1" spans="6:6">
      <c r="F16175" s="2423"/>
    </row>
    <row r="16176" s="101" customFormat="1" spans="6:6">
      <c r="F16176" s="2423"/>
    </row>
    <row r="16177" s="101" customFormat="1" spans="6:6">
      <c r="F16177" s="2423"/>
    </row>
    <row r="16178" s="101" customFormat="1" spans="6:6">
      <c r="F16178" s="2423"/>
    </row>
    <row r="16179" s="101" customFormat="1" spans="6:6">
      <c r="F16179" s="2423"/>
    </row>
    <row r="16180" s="101" customFormat="1" spans="6:6">
      <c r="F16180" s="2423"/>
    </row>
    <row r="16181" s="101" customFormat="1" spans="6:6">
      <c r="F16181" s="2423"/>
    </row>
    <row r="16182" s="101" customFormat="1" spans="6:6">
      <c r="F16182" s="2423"/>
    </row>
    <row r="16183" s="101" customFormat="1" spans="6:6">
      <c r="F16183" s="2423"/>
    </row>
    <row r="16184" s="101" customFormat="1" spans="6:6">
      <c r="F16184" s="2423"/>
    </row>
    <row r="16185" s="101" customFormat="1" spans="6:6">
      <c r="F16185" s="2423"/>
    </row>
    <row r="16186" s="101" customFormat="1" spans="6:6">
      <c r="F16186" s="2423"/>
    </row>
    <row r="16187" s="101" customFormat="1" spans="6:6">
      <c r="F16187" s="2423"/>
    </row>
    <row r="16188" s="101" customFormat="1" spans="6:6">
      <c r="F16188" s="2423"/>
    </row>
    <row r="16189" s="101" customFormat="1" spans="6:6">
      <c r="F16189" s="2423"/>
    </row>
    <row r="16190" s="101" customFormat="1" spans="6:6">
      <c r="F16190" s="2423"/>
    </row>
    <row r="16191" s="101" customFormat="1" spans="6:6">
      <c r="F16191" s="2423"/>
    </row>
    <row r="16192" s="101" customFormat="1" spans="6:6">
      <c r="F16192" s="2423"/>
    </row>
    <row r="16193" s="101" customFormat="1" spans="6:6">
      <c r="F16193" s="2423"/>
    </row>
    <row r="16194" s="101" customFormat="1" spans="6:6">
      <c r="F16194" s="2423"/>
    </row>
    <row r="16195" s="101" customFormat="1" spans="6:6">
      <c r="F16195" s="2423"/>
    </row>
    <row r="16196" s="101" customFormat="1" spans="6:6">
      <c r="F16196" s="2423"/>
    </row>
    <row r="16197" s="101" customFormat="1" spans="6:6">
      <c r="F16197" s="2423"/>
    </row>
    <row r="16198" s="101" customFormat="1" spans="6:6">
      <c r="F16198" s="2423"/>
    </row>
    <row r="16199" s="101" customFormat="1" spans="6:6">
      <c r="F16199" s="2423"/>
    </row>
    <row r="16200" s="101" customFormat="1" spans="6:6">
      <c r="F16200" s="2423"/>
    </row>
    <row r="16201" s="101" customFormat="1" spans="6:6">
      <c r="F16201" s="2423"/>
    </row>
    <row r="16202" s="101" customFormat="1" spans="6:6">
      <c r="F16202" s="2423"/>
    </row>
    <row r="16203" s="101" customFormat="1" spans="6:6">
      <c r="F16203" s="2423"/>
    </row>
    <row r="16204" s="101" customFormat="1" spans="6:6">
      <c r="F16204" s="2423"/>
    </row>
    <row r="16205" s="101" customFormat="1" spans="6:6">
      <c r="F16205" s="2423"/>
    </row>
    <row r="16206" s="101" customFormat="1" spans="6:6">
      <c r="F16206" s="2423"/>
    </row>
    <row r="16207" s="101" customFormat="1" spans="6:6">
      <c r="F16207" s="2423"/>
    </row>
    <row r="16208" s="101" customFormat="1" spans="6:6">
      <c r="F16208" s="2423"/>
    </row>
    <row r="16209" s="101" customFormat="1" spans="6:6">
      <c r="F16209" s="2423"/>
    </row>
    <row r="16210" s="101" customFormat="1" spans="6:6">
      <c r="F16210" s="2423"/>
    </row>
    <row r="16211" s="101" customFormat="1" spans="6:6">
      <c r="F16211" s="2423"/>
    </row>
    <row r="16212" s="101" customFormat="1" spans="6:6">
      <c r="F16212" s="2423"/>
    </row>
    <row r="16213" s="101" customFormat="1" spans="6:6">
      <c r="F16213" s="2423"/>
    </row>
    <row r="16214" s="101" customFormat="1" spans="6:6">
      <c r="F16214" s="2423"/>
    </row>
    <row r="16215" s="101" customFormat="1" spans="6:6">
      <c r="F16215" s="2423"/>
    </row>
    <row r="16216" s="101" customFormat="1" spans="6:6">
      <c r="F16216" s="2423"/>
    </row>
    <row r="16217" s="101" customFormat="1" spans="6:6">
      <c r="F16217" s="2423"/>
    </row>
    <row r="16218" s="101" customFormat="1" spans="6:6">
      <c r="F16218" s="2423"/>
    </row>
    <row r="16219" s="101" customFormat="1" spans="6:6">
      <c r="F16219" s="2423"/>
    </row>
    <row r="16220" s="101" customFormat="1" spans="6:6">
      <c r="F16220" s="2423"/>
    </row>
    <row r="16221" s="101" customFormat="1" spans="6:6">
      <c r="F16221" s="2423"/>
    </row>
    <row r="16222" s="101" customFormat="1" spans="6:6">
      <c r="F16222" s="2423"/>
    </row>
    <row r="16223" s="101" customFormat="1" spans="6:6">
      <c r="F16223" s="2423"/>
    </row>
    <row r="16224" s="101" customFormat="1" spans="6:6">
      <c r="F16224" s="2423"/>
    </row>
    <row r="16225" s="101" customFormat="1" spans="6:6">
      <c r="F16225" s="2423"/>
    </row>
    <row r="16226" s="101" customFormat="1" spans="6:6">
      <c r="F16226" s="2423"/>
    </row>
    <row r="16227" s="101" customFormat="1" spans="6:6">
      <c r="F16227" s="2423"/>
    </row>
    <row r="16228" s="101" customFormat="1" spans="6:6">
      <c r="F16228" s="2423"/>
    </row>
    <row r="16229" s="101" customFormat="1" spans="6:6">
      <c r="F16229" s="2423"/>
    </row>
    <row r="16230" s="101" customFormat="1" spans="6:6">
      <c r="F16230" s="2423"/>
    </row>
    <row r="16231" s="101" customFormat="1" spans="6:6">
      <c r="F16231" s="2423"/>
    </row>
    <row r="16232" s="101" customFormat="1" spans="6:6">
      <c r="F16232" s="2423"/>
    </row>
    <row r="16233" s="101" customFormat="1" spans="6:6">
      <c r="F16233" s="2423"/>
    </row>
    <row r="16234" s="101" customFormat="1" spans="6:6">
      <c r="F16234" s="2423"/>
    </row>
    <row r="16235" s="101" customFormat="1" spans="6:6">
      <c r="F16235" s="2423"/>
    </row>
    <row r="16236" s="101" customFormat="1" spans="6:6">
      <c r="F16236" s="2423"/>
    </row>
    <row r="16237" s="101" customFormat="1" spans="6:6">
      <c r="F16237" s="2423"/>
    </row>
    <row r="16238" s="101" customFormat="1" spans="6:6">
      <c r="F16238" s="2423"/>
    </row>
    <row r="16239" s="101" customFormat="1" spans="6:6">
      <c r="F16239" s="2423"/>
    </row>
    <row r="16240" s="101" customFormat="1" spans="6:6">
      <c r="F16240" s="2423"/>
    </row>
    <row r="16241" s="101" customFormat="1" spans="6:6">
      <c r="F16241" s="2423"/>
    </row>
    <row r="16242" s="101" customFormat="1" spans="6:6">
      <c r="F16242" s="2423"/>
    </row>
    <row r="16243" s="101" customFormat="1" spans="6:6">
      <c r="F16243" s="2423"/>
    </row>
    <row r="16244" s="101" customFormat="1" spans="6:6">
      <c r="F16244" s="2423"/>
    </row>
    <row r="16245" s="101" customFormat="1" spans="6:6">
      <c r="F16245" s="2423"/>
    </row>
    <row r="16246" s="101" customFormat="1" spans="6:6">
      <c r="F16246" s="2423"/>
    </row>
    <row r="16247" s="101" customFormat="1" spans="6:6">
      <c r="F16247" s="2423"/>
    </row>
    <row r="16248" s="101" customFormat="1" spans="6:6">
      <c r="F16248" s="2423"/>
    </row>
    <row r="16249" s="101" customFormat="1" spans="6:6">
      <c r="F16249" s="2423"/>
    </row>
    <row r="16250" s="101" customFormat="1" spans="6:6">
      <c r="F16250" s="2423"/>
    </row>
    <row r="16251" s="101" customFormat="1" spans="6:6">
      <c r="F16251" s="2423"/>
    </row>
    <row r="16252" s="101" customFormat="1" spans="6:6">
      <c r="F16252" s="2423"/>
    </row>
    <row r="16253" s="101" customFormat="1" spans="6:6">
      <c r="F16253" s="2423"/>
    </row>
    <row r="16254" s="101" customFormat="1" spans="6:6">
      <c r="F16254" s="2423"/>
    </row>
    <row r="16255" s="101" customFormat="1" spans="6:6">
      <c r="F16255" s="2423"/>
    </row>
    <row r="16256" s="101" customFormat="1" spans="6:6">
      <c r="F16256" s="2423"/>
    </row>
    <row r="16257" s="101" customFormat="1" spans="6:6">
      <c r="F16257" s="2423"/>
    </row>
    <row r="16258" s="101" customFormat="1" spans="6:6">
      <c r="F16258" s="2423"/>
    </row>
    <row r="16259" s="101" customFormat="1" spans="6:6">
      <c r="F16259" s="2423"/>
    </row>
    <row r="16260" s="101" customFormat="1" spans="6:6">
      <c r="F16260" s="2423"/>
    </row>
    <row r="16261" s="101" customFormat="1" spans="6:6">
      <c r="F16261" s="2423"/>
    </row>
    <row r="16262" s="101" customFormat="1" spans="6:6">
      <c r="F16262" s="2423"/>
    </row>
    <row r="16263" s="101" customFormat="1" spans="6:6">
      <c r="F16263" s="2423"/>
    </row>
    <row r="16264" s="101" customFormat="1" spans="6:6">
      <c r="F16264" s="2423"/>
    </row>
    <row r="16265" s="101" customFormat="1" spans="6:6">
      <c r="F16265" s="2423"/>
    </row>
    <row r="16266" s="101" customFormat="1" spans="6:6">
      <c r="F16266" s="2423"/>
    </row>
    <row r="16267" s="101" customFormat="1" spans="6:6">
      <c r="F16267" s="2423"/>
    </row>
    <row r="16268" s="101" customFormat="1" spans="6:6">
      <c r="F16268" s="2423"/>
    </row>
    <row r="16269" s="101" customFormat="1" spans="6:6">
      <c r="F16269" s="2423"/>
    </row>
    <row r="16270" s="101" customFormat="1" spans="6:6">
      <c r="F16270" s="2423"/>
    </row>
    <row r="16271" s="101" customFormat="1" spans="6:6">
      <c r="F16271" s="2423"/>
    </row>
    <row r="16272" s="101" customFormat="1" spans="6:6">
      <c r="F16272" s="2423"/>
    </row>
    <row r="16273" s="101" customFormat="1" spans="6:6">
      <c r="F16273" s="2423"/>
    </row>
    <row r="16274" s="101" customFormat="1" spans="6:6">
      <c r="F16274" s="2423"/>
    </row>
    <row r="16275" s="101" customFormat="1" spans="6:6">
      <c r="F16275" s="2423"/>
    </row>
    <row r="16276" s="101" customFormat="1" spans="6:6">
      <c r="F16276" s="2423"/>
    </row>
    <row r="16277" s="101" customFormat="1" spans="6:6">
      <c r="F16277" s="2423"/>
    </row>
    <row r="16278" s="101" customFormat="1" spans="6:6">
      <c r="F16278" s="2423"/>
    </row>
    <row r="16279" s="101" customFormat="1" spans="6:6">
      <c r="F16279" s="2423"/>
    </row>
    <row r="16280" s="101" customFormat="1" spans="6:6">
      <c r="F16280" s="2423"/>
    </row>
    <row r="16281" s="101" customFormat="1" spans="6:6">
      <c r="F16281" s="2423"/>
    </row>
    <row r="16282" s="101" customFormat="1" spans="6:6">
      <c r="F16282" s="2423"/>
    </row>
    <row r="16283" s="101" customFormat="1" spans="6:6">
      <c r="F16283" s="2423"/>
    </row>
    <row r="16284" s="101" customFormat="1" spans="6:6">
      <c r="F16284" s="2423"/>
    </row>
    <row r="16285" s="101" customFormat="1" spans="6:6">
      <c r="F16285" s="2423"/>
    </row>
    <row r="16286" s="101" customFormat="1" spans="6:6">
      <c r="F16286" s="2423"/>
    </row>
    <row r="16287" s="101" customFormat="1" spans="6:6">
      <c r="F16287" s="2423"/>
    </row>
    <row r="16288" s="101" customFormat="1" spans="6:6">
      <c r="F16288" s="2423"/>
    </row>
    <row r="16289" s="101" customFormat="1" spans="6:6">
      <c r="F16289" s="2423"/>
    </row>
    <row r="16290" s="101" customFormat="1" spans="6:6">
      <c r="F16290" s="2423"/>
    </row>
    <row r="16291" s="101" customFormat="1" spans="6:6">
      <c r="F16291" s="2423"/>
    </row>
    <row r="16292" s="101" customFormat="1" spans="6:6">
      <c r="F16292" s="2423"/>
    </row>
    <row r="16293" s="101" customFormat="1" spans="6:6">
      <c r="F16293" s="2423"/>
    </row>
    <row r="16294" s="101" customFormat="1" spans="6:6">
      <c r="F16294" s="2423"/>
    </row>
    <row r="16295" s="101" customFormat="1" spans="6:6">
      <c r="F16295" s="2423"/>
    </row>
    <row r="16296" s="101" customFormat="1" spans="6:6">
      <c r="F16296" s="2423"/>
    </row>
    <row r="16297" s="101" customFormat="1" spans="6:6">
      <c r="F16297" s="2423"/>
    </row>
    <row r="16298" s="101" customFormat="1" spans="6:6">
      <c r="F16298" s="2423"/>
    </row>
    <row r="16299" s="101" customFormat="1" spans="6:6">
      <c r="F16299" s="2423"/>
    </row>
    <row r="16300" s="101" customFormat="1" spans="6:6">
      <c r="F16300" s="2423"/>
    </row>
    <row r="16301" s="101" customFormat="1" spans="6:6">
      <c r="F16301" s="2423"/>
    </row>
    <row r="16302" s="101" customFormat="1" spans="6:6">
      <c r="F16302" s="2423"/>
    </row>
    <row r="16303" s="101" customFormat="1" spans="6:6">
      <c r="F16303" s="2423"/>
    </row>
    <row r="16304" s="101" customFormat="1" spans="6:6">
      <c r="F16304" s="2423"/>
    </row>
    <row r="16305" s="101" customFormat="1" spans="6:6">
      <c r="F16305" s="2423"/>
    </row>
    <row r="16306" s="101" customFormat="1" spans="6:6">
      <c r="F16306" s="2423"/>
    </row>
    <row r="16307" s="101" customFormat="1" spans="6:6">
      <c r="F16307" s="2423"/>
    </row>
    <row r="16308" s="101" customFormat="1" spans="6:6">
      <c r="F16308" s="2423"/>
    </row>
    <row r="16309" s="101" customFormat="1" spans="6:6">
      <c r="F16309" s="2423"/>
    </row>
    <row r="16310" s="101" customFormat="1" spans="6:6">
      <c r="F16310" s="2423"/>
    </row>
    <row r="16311" s="101" customFormat="1" spans="6:6">
      <c r="F16311" s="2423"/>
    </row>
    <row r="16312" s="101" customFormat="1" spans="6:6">
      <c r="F16312" s="2423"/>
    </row>
    <row r="16313" s="101" customFormat="1" spans="6:6">
      <c r="F16313" s="2423"/>
    </row>
    <row r="16314" s="101" customFormat="1" spans="6:6">
      <c r="F16314" s="2423"/>
    </row>
    <row r="16315" s="101" customFormat="1" spans="6:6">
      <c r="F16315" s="2423"/>
    </row>
    <row r="16316" s="101" customFormat="1" spans="6:6">
      <c r="F16316" s="2423"/>
    </row>
    <row r="16317" s="101" customFormat="1" spans="6:6">
      <c r="F16317" s="2423"/>
    </row>
    <row r="16318" s="101" customFormat="1" spans="6:6">
      <c r="F16318" s="2423"/>
    </row>
    <row r="16319" s="101" customFormat="1" spans="6:6">
      <c r="F16319" s="2423"/>
    </row>
    <row r="16320" s="101" customFormat="1" spans="6:6">
      <c r="F16320" s="2423"/>
    </row>
    <row r="16321" s="101" customFormat="1" spans="6:6">
      <c r="F16321" s="2423"/>
    </row>
    <row r="16322" s="101" customFormat="1" spans="6:6">
      <c r="F16322" s="2423"/>
    </row>
    <row r="16323" s="101" customFormat="1" spans="6:6">
      <c r="F16323" s="2423"/>
    </row>
    <row r="16324" s="101" customFormat="1" spans="6:6">
      <c r="F16324" s="2423"/>
    </row>
    <row r="16325" s="101" customFormat="1" spans="6:6">
      <c r="F16325" s="2423"/>
    </row>
    <row r="16326" s="101" customFormat="1" spans="6:6">
      <c r="F16326" s="2423"/>
    </row>
    <row r="16327" s="101" customFormat="1" spans="6:6">
      <c r="F16327" s="2423"/>
    </row>
    <row r="16328" s="101" customFormat="1" spans="6:6">
      <c r="F16328" s="2423"/>
    </row>
    <row r="16329" s="101" customFormat="1" spans="6:6">
      <c r="F16329" s="2423"/>
    </row>
    <row r="16330" s="101" customFormat="1" spans="6:6">
      <c r="F16330" s="2423"/>
    </row>
    <row r="16331" s="101" customFormat="1" spans="6:6">
      <c r="F16331" s="2423"/>
    </row>
    <row r="16332" s="101" customFormat="1" spans="6:6">
      <c r="F16332" s="2423"/>
    </row>
    <row r="16333" s="101" customFormat="1" spans="6:6">
      <c r="F16333" s="2423"/>
    </row>
    <row r="16334" s="101" customFormat="1" spans="6:6">
      <c r="F16334" s="2423"/>
    </row>
    <row r="16335" s="101" customFormat="1" spans="6:6">
      <c r="F16335" s="2423"/>
    </row>
    <row r="16336" s="101" customFormat="1" spans="6:6">
      <c r="F16336" s="2423"/>
    </row>
    <row r="16337" s="101" customFormat="1" spans="6:6">
      <c r="F16337" s="2423"/>
    </row>
    <row r="16338" s="101" customFormat="1" spans="6:6">
      <c r="F16338" s="2423"/>
    </row>
    <row r="16339" s="101" customFormat="1" spans="6:6">
      <c r="F16339" s="2423"/>
    </row>
    <row r="16340" s="101" customFormat="1" spans="6:6">
      <c r="F16340" s="2423"/>
    </row>
    <row r="16341" s="101" customFormat="1" spans="6:6">
      <c r="F16341" s="2423"/>
    </row>
    <row r="16342" s="101" customFormat="1" spans="6:6">
      <c r="F16342" s="2423"/>
    </row>
    <row r="16343" s="101" customFormat="1" spans="6:6">
      <c r="F16343" s="2423"/>
    </row>
    <row r="16344" s="101" customFormat="1" spans="6:6">
      <c r="F16344" s="2423"/>
    </row>
    <row r="16345" s="101" customFormat="1" spans="6:6">
      <c r="F16345" s="2423"/>
    </row>
    <row r="16346" s="101" customFormat="1" spans="6:6">
      <c r="F16346" s="2423"/>
    </row>
    <row r="16347" s="101" customFormat="1" spans="6:6">
      <c r="F16347" s="2423"/>
    </row>
    <row r="16348" s="101" customFormat="1" spans="6:6">
      <c r="F16348" s="2423"/>
    </row>
    <row r="16349" s="101" customFormat="1" spans="6:6">
      <c r="F16349" s="2423"/>
    </row>
    <row r="16350" s="101" customFormat="1" spans="6:6">
      <c r="F16350" s="2423"/>
    </row>
    <row r="16351" s="101" customFormat="1" spans="6:6">
      <c r="F16351" s="2423"/>
    </row>
    <row r="16352" s="101" customFormat="1" spans="6:6">
      <c r="F16352" s="2423"/>
    </row>
    <row r="16353" s="101" customFormat="1" spans="6:6">
      <c r="F16353" s="2423"/>
    </row>
    <row r="16354" s="101" customFormat="1" spans="6:6">
      <c r="F16354" s="2423"/>
    </row>
    <row r="16355" s="101" customFormat="1" spans="6:6">
      <c r="F16355" s="2423"/>
    </row>
    <row r="16356" s="101" customFormat="1" spans="6:6">
      <c r="F16356" s="2423"/>
    </row>
    <row r="16357" s="101" customFormat="1" spans="6:6">
      <c r="F16357" s="2423"/>
    </row>
    <row r="16358" s="101" customFormat="1" spans="6:6">
      <c r="F16358" s="2423"/>
    </row>
    <row r="16359" s="101" customFormat="1" spans="6:6">
      <c r="F16359" s="2423"/>
    </row>
    <row r="16360" s="101" customFormat="1" spans="6:6">
      <c r="F16360" s="2423"/>
    </row>
    <row r="16361" s="101" customFormat="1" spans="6:6">
      <c r="F16361" s="2423"/>
    </row>
    <row r="16362" s="101" customFormat="1" spans="6:6">
      <c r="F16362" s="2423"/>
    </row>
    <row r="16363" s="101" customFormat="1" spans="6:6">
      <c r="F16363" s="2423"/>
    </row>
    <row r="16364" s="101" customFormat="1" spans="6:6">
      <c r="F16364" s="2423"/>
    </row>
    <row r="16365" s="101" customFormat="1" spans="6:6">
      <c r="F16365" s="2423"/>
    </row>
    <row r="16366" s="101" customFormat="1" spans="6:6">
      <c r="F16366" s="2423"/>
    </row>
    <row r="16367" s="101" customFormat="1" spans="6:6">
      <c r="F16367" s="2423"/>
    </row>
    <row r="16368" s="101" customFormat="1" spans="6:6">
      <c r="F16368" s="2423"/>
    </row>
    <row r="16369" s="101" customFormat="1" spans="6:6">
      <c r="F16369" s="2423"/>
    </row>
    <row r="16370" s="101" customFormat="1" spans="6:6">
      <c r="F16370" s="2423"/>
    </row>
    <row r="16371" s="101" customFormat="1" spans="6:6">
      <c r="F16371" s="2423"/>
    </row>
    <row r="16372" s="101" customFormat="1" spans="6:6">
      <c r="F16372" s="2423"/>
    </row>
    <row r="16373" s="101" customFormat="1" spans="6:6">
      <c r="F16373" s="2423"/>
    </row>
    <row r="16374" s="101" customFormat="1" spans="6:6">
      <c r="F16374" s="2423"/>
    </row>
    <row r="16375" s="101" customFormat="1" spans="6:6">
      <c r="F16375" s="2423"/>
    </row>
    <row r="16376" s="101" customFormat="1" spans="6:6">
      <c r="F16376" s="2423"/>
    </row>
    <row r="16377" s="101" customFormat="1" spans="6:6">
      <c r="F16377" s="2423"/>
    </row>
    <row r="16378" s="101" customFormat="1" spans="6:6">
      <c r="F16378" s="2423"/>
    </row>
    <row r="16379" s="101" customFormat="1" spans="6:6">
      <c r="F16379" s="2423"/>
    </row>
    <row r="16380" s="101" customFormat="1" spans="6:6">
      <c r="F16380" s="2423"/>
    </row>
    <row r="16381" s="101" customFormat="1" spans="6:6">
      <c r="F16381" s="2423"/>
    </row>
    <row r="16382" s="101" customFormat="1" spans="6:6">
      <c r="F16382" s="2423"/>
    </row>
    <row r="16383" s="101" customFormat="1" spans="6:6">
      <c r="F16383" s="2423"/>
    </row>
    <row r="16384" s="101" customFormat="1" spans="6:6">
      <c r="F16384" s="2423"/>
    </row>
    <row r="16385" s="101" customFormat="1" spans="6:6">
      <c r="F16385" s="2423"/>
    </row>
    <row r="16386" s="101" customFormat="1" spans="6:6">
      <c r="F16386" s="2423"/>
    </row>
    <row r="16387" s="101" customFormat="1" spans="6:6">
      <c r="F16387" s="2423"/>
    </row>
    <row r="16388" s="101" customFormat="1" spans="6:6">
      <c r="F16388" s="2423"/>
    </row>
    <row r="16389" s="101" customFormat="1" spans="6:6">
      <c r="F16389" s="2423"/>
    </row>
    <row r="16390" s="101" customFormat="1" spans="6:6">
      <c r="F16390" s="2423"/>
    </row>
    <row r="16391" s="101" customFormat="1" spans="6:6">
      <c r="F16391" s="2423"/>
    </row>
    <row r="16392" s="101" customFormat="1" spans="6:6">
      <c r="F16392" s="2423"/>
    </row>
    <row r="16393" s="101" customFormat="1" spans="6:6">
      <c r="F16393" s="2423"/>
    </row>
    <row r="16394" s="101" customFormat="1" spans="6:6">
      <c r="F16394" s="2423"/>
    </row>
    <row r="16395" s="101" customFormat="1" spans="6:6">
      <c r="F16395" s="2423"/>
    </row>
    <row r="16396" s="101" customFormat="1" spans="6:6">
      <c r="F16396" s="2423"/>
    </row>
    <row r="16397" s="101" customFormat="1" spans="6:6">
      <c r="F16397" s="2423"/>
    </row>
    <row r="16398" s="101" customFormat="1" spans="6:6">
      <c r="F16398" s="2423"/>
    </row>
    <row r="16399" s="101" customFormat="1" spans="6:6">
      <c r="F16399" s="2423"/>
    </row>
    <row r="16400" s="101" customFormat="1" spans="6:6">
      <c r="F16400" s="2423"/>
    </row>
    <row r="16401" s="101" customFormat="1" spans="6:6">
      <c r="F16401" s="2423"/>
    </row>
    <row r="16402" s="101" customFormat="1" spans="6:6">
      <c r="F16402" s="2423"/>
    </row>
    <row r="16403" s="101" customFormat="1" spans="6:6">
      <c r="F16403" s="2423"/>
    </row>
    <row r="16404" s="101" customFormat="1" spans="6:6">
      <c r="F16404" s="2423"/>
    </row>
    <row r="16405" s="101" customFormat="1" spans="6:6">
      <c r="F16405" s="2423"/>
    </row>
    <row r="16406" s="101" customFormat="1" spans="6:6">
      <c r="F16406" s="2423"/>
    </row>
    <row r="16407" s="101" customFormat="1" spans="6:6">
      <c r="F16407" s="2423"/>
    </row>
    <row r="16408" s="101" customFormat="1" spans="6:6">
      <c r="F16408" s="2423"/>
    </row>
    <row r="16409" s="101" customFormat="1" spans="6:6">
      <c r="F16409" s="2423"/>
    </row>
    <row r="16410" s="101" customFormat="1" spans="6:6">
      <c r="F16410" s="2423"/>
    </row>
    <row r="16411" s="101" customFormat="1" spans="6:6">
      <c r="F16411" s="2423"/>
    </row>
    <row r="16412" s="101" customFormat="1" spans="6:6">
      <c r="F16412" s="2423"/>
    </row>
    <row r="16413" s="101" customFormat="1" spans="6:6">
      <c r="F16413" s="2423"/>
    </row>
    <row r="16414" s="101" customFormat="1" spans="6:6">
      <c r="F16414" s="2423"/>
    </row>
    <row r="16415" s="101" customFormat="1" spans="6:6">
      <c r="F16415" s="2423"/>
    </row>
    <row r="16416" s="101" customFormat="1" spans="6:6">
      <c r="F16416" s="2423"/>
    </row>
    <row r="16417" s="101" customFormat="1" spans="6:6">
      <c r="F16417" s="2423"/>
    </row>
    <row r="16418" s="101" customFormat="1" spans="6:6">
      <c r="F16418" s="2423"/>
    </row>
    <row r="16419" s="101" customFormat="1" spans="6:6">
      <c r="F16419" s="2423"/>
    </row>
    <row r="16420" s="101" customFormat="1" spans="6:6">
      <c r="F16420" s="2423"/>
    </row>
    <row r="16421" s="101" customFormat="1" spans="6:6">
      <c r="F16421" s="2423"/>
    </row>
    <row r="16422" s="101" customFormat="1" spans="6:6">
      <c r="F16422" s="2423"/>
    </row>
    <row r="16423" s="101" customFormat="1" spans="6:6">
      <c r="F16423" s="2423"/>
    </row>
    <row r="16424" s="101" customFormat="1" spans="6:6">
      <c r="F16424" s="2423"/>
    </row>
    <row r="16425" s="101" customFormat="1" spans="6:6">
      <c r="F16425" s="2423"/>
    </row>
    <row r="16426" s="101" customFormat="1" spans="6:6">
      <c r="F16426" s="2423"/>
    </row>
    <row r="16427" s="101" customFormat="1" spans="6:6">
      <c r="F16427" s="2423"/>
    </row>
    <row r="16428" s="101" customFormat="1" spans="6:6">
      <c r="F16428" s="2423"/>
    </row>
    <row r="16429" s="101" customFormat="1" spans="6:6">
      <c r="F16429" s="2423"/>
    </row>
    <row r="16430" s="101" customFormat="1" spans="6:6">
      <c r="F16430" s="2423"/>
    </row>
    <row r="16431" s="101" customFormat="1" spans="6:6">
      <c r="F16431" s="2423"/>
    </row>
    <row r="16432" s="101" customFormat="1" spans="6:6">
      <c r="F16432" s="2423"/>
    </row>
    <row r="16433" s="101" customFormat="1" spans="6:6">
      <c r="F16433" s="2423"/>
    </row>
    <row r="16434" s="101" customFormat="1" spans="6:6">
      <c r="F16434" s="2423"/>
    </row>
    <row r="16435" s="101" customFormat="1" spans="6:6">
      <c r="F16435" s="2423"/>
    </row>
    <row r="16436" s="101" customFormat="1" spans="6:6">
      <c r="F16436" s="2423"/>
    </row>
    <row r="16437" s="101" customFormat="1" spans="6:6">
      <c r="F16437" s="2423"/>
    </row>
    <row r="16438" s="101" customFormat="1" spans="6:6">
      <c r="F16438" s="2423"/>
    </row>
    <row r="16439" s="101" customFormat="1" spans="6:6">
      <c r="F16439" s="2423"/>
    </row>
    <row r="16440" s="101" customFormat="1" spans="6:6">
      <c r="F16440" s="2423"/>
    </row>
    <row r="16441" s="101" customFormat="1" spans="6:6">
      <c r="F16441" s="2423"/>
    </row>
    <row r="16442" s="101" customFormat="1" spans="6:6">
      <c r="F16442" s="2423"/>
    </row>
    <row r="16443" s="101" customFormat="1" spans="6:6">
      <c r="F16443" s="2423"/>
    </row>
    <row r="16444" s="101" customFormat="1" spans="6:6">
      <c r="F16444" s="2423"/>
    </row>
    <row r="16445" s="101" customFormat="1" spans="6:6">
      <c r="F16445" s="2423"/>
    </row>
    <row r="16446" s="101" customFormat="1" spans="6:6">
      <c r="F16446" s="2423"/>
    </row>
    <row r="16447" s="101" customFormat="1" spans="6:6">
      <c r="F16447" s="2423"/>
    </row>
    <row r="16448" s="101" customFormat="1" spans="6:6">
      <c r="F16448" s="2423"/>
    </row>
    <row r="16449" s="101" customFormat="1" spans="6:6">
      <c r="F16449" s="2423"/>
    </row>
    <row r="16450" s="101" customFormat="1" spans="6:6">
      <c r="F16450" s="2423"/>
    </row>
    <row r="16451" s="101" customFormat="1" spans="6:6">
      <c r="F16451" s="2423"/>
    </row>
    <row r="16452" s="101" customFormat="1" spans="6:6">
      <c r="F16452" s="2423"/>
    </row>
    <row r="16453" s="101" customFormat="1" spans="6:6">
      <c r="F16453" s="2423"/>
    </row>
    <row r="16454" s="101" customFormat="1" spans="6:6">
      <c r="F16454" s="2423"/>
    </row>
    <row r="16455" s="101" customFormat="1" spans="6:6">
      <c r="F16455" s="2423"/>
    </row>
    <row r="16456" s="101" customFormat="1" spans="6:6">
      <c r="F16456" s="2423"/>
    </row>
    <row r="16457" s="101" customFormat="1" spans="6:6">
      <c r="F16457" s="2423"/>
    </row>
    <row r="16458" s="101" customFormat="1" spans="6:6">
      <c r="F16458" s="2423"/>
    </row>
    <row r="16459" s="101" customFormat="1" spans="6:6">
      <c r="F16459" s="2423"/>
    </row>
    <row r="16460" s="101" customFormat="1" spans="6:6">
      <c r="F16460" s="2423"/>
    </row>
    <row r="16461" s="101" customFormat="1" spans="6:6">
      <c r="F16461" s="2423"/>
    </row>
    <row r="16462" s="101" customFormat="1" spans="6:6">
      <c r="F16462" s="2423"/>
    </row>
    <row r="16463" s="101" customFormat="1" spans="6:6">
      <c r="F16463" s="2423"/>
    </row>
    <row r="16464" s="101" customFormat="1" spans="6:6">
      <c r="F16464" s="2423"/>
    </row>
    <row r="16465" s="101" customFormat="1" spans="6:6">
      <c r="F16465" s="2423"/>
    </row>
    <row r="16466" s="101" customFormat="1" spans="6:6">
      <c r="F16466" s="2423"/>
    </row>
    <row r="16467" s="101" customFormat="1" spans="6:6">
      <c r="F16467" s="2423"/>
    </row>
    <row r="16468" s="101" customFormat="1" spans="6:6">
      <c r="F16468" s="2423"/>
    </row>
    <row r="16469" s="101" customFormat="1" spans="6:6">
      <c r="F16469" s="2423"/>
    </row>
    <row r="16470" s="101" customFormat="1" spans="6:6">
      <c r="F16470" s="2423"/>
    </row>
    <row r="16471" s="101" customFormat="1" spans="6:6">
      <c r="F16471" s="2423"/>
    </row>
    <row r="16472" s="101" customFormat="1" spans="6:6">
      <c r="F16472" s="2423"/>
    </row>
    <row r="16473" s="101" customFormat="1" spans="6:6">
      <c r="F16473" s="2423"/>
    </row>
    <row r="16474" s="101" customFormat="1" spans="6:6">
      <c r="F16474" s="2423"/>
    </row>
    <row r="16475" s="101" customFormat="1" spans="6:6">
      <c r="F16475" s="2423"/>
    </row>
    <row r="16476" s="101" customFormat="1" spans="6:6">
      <c r="F16476" s="2423"/>
    </row>
    <row r="16477" s="101" customFormat="1" spans="6:6">
      <c r="F16477" s="2423"/>
    </row>
    <row r="16478" s="101" customFormat="1" spans="6:6">
      <c r="F16478" s="2423"/>
    </row>
    <row r="16479" s="101" customFormat="1" spans="6:6">
      <c r="F16479" s="2423"/>
    </row>
    <row r="16480" s="101" customFormat="1" spans="6:6">
      <c r="F16480" s="2423"/>
    </row>
    <row r="16481" s="101" customFormat="1" spans="6:6">
      <c r="F16481" s="2423"/>
    </row>
    <row r="16482" s="101" customFormat="1" spans="6:6">
      <c r="F16482" s="2423"/>
    </row>
    <row r="16483" s="101" customFormat="1" spans="6:6">
      <c r="F16483" s="2423"/>
    </row>
    <row r="16484" s="101" customFormat="1" spans="6:6">
      <c r="F16484" s="2423"/>
    </row>
    <row r="16485" s="101" customFormat="1" spans="6:6">
      <c r="F16485" s="2423"/>
    </row>
    <row r="16486" s="101" customFormat="1" spans="6:6">
      <c r="F16486" s="2423"/>
    </row>
    <row r="16487" s="101" customFormat="1" spans="6:6">
      <c r="F16487" s="2423"/>
    </row>
    <row r="16488" s="101" customFormat="1" spans="6:6">
      <c r="F16488" s="2423"/>
    </row>
    <row r="16489" s="101" customFormat="1" spans="6:6">
      <c r="F16489" s="2423"/>
    </row>
    <row r="16490" s="101" customFormat="1" spans="6:6">
      <c r="F16490" s="2423"/>
    </row>
    <row r="16491" s="101" customFormat="1" spans="6:6">
      <c r="F16491" s="2423"/>
    </row>
    <row r="16492" s="101" customFormat="1" spans="6:6">
      <c r="F16492" s="2423"/>
    </row>
    <row r="16493" s="101" customFormat="1" spans="6:6">
      <c r="F16493" s="2423"/>
    </row>
    <row r="16494" s="101" customFormat="1" spans="6:6">
      <c r="F16494" s="2423"/>
    </row>
    <row r="16495" s="101" customFormat="1" spans="6:6">
      <c r="F16495" s="2423"/>
    </row>
    <row r="16496" s="101" customFormat="1" spans="6:6">
      <c r="F16496" s="2423"/>
    </row>
    <row r="16497" s="101" customFormat="1" spans="6:6">
      <c r="F16497" s="2423"/>
    </row>
    <row r="16498" s="101" customFormat="1" spans="6:6">
      <c r="F16498" s="2423"/>
    </row>
    <row r="16499" s="101" customFormat="1" spans="6:6">
      <c r="F16499" s="2423"/>
    </row>
    <row r="16500" s="101" customFormat="1" spans="6:6">
      <c r="F16500" s="2423"/>
    </row>
    <row r="16501" s="101" customFormat="1" spans="6:6">
      <c r="F16501" s="2423"/>
    </row>
    <row r="16502" s="101" customFormat="1" spans="6:6">
      <c r="F16502" s="2423"/>
    </row>
    <row r="16503" s="101" customFormat="1" spans="6:6">
      <c r="F16503" s="2423"/>
    </row>
    <row r="16504" s="101" customFormat="1" spans="6:6">
      <c r="F16504" s="2423"/>
    </row>
    <row r="16505" s="101" customFormat="1" spans="6:6">
      <c r="F16505" s="2423"/>
    </row>
    <row r="16506" s="101" customFormat="1" spans="6:6">
      <c r="F16506" s="2423"/>
    </row>
    <row r="16507" s="101" customFormat="1" spans="6:6">
      <c r="F16507" s="2423"/>
    </row>
    <row r="16508" s="101" customFormat="1" spans="6:6">
      <c r="F16508" s="2423"/>
    </row>
    <row r="16509" s="101" customFormat="1" spans="6:6">
      <c r="F16509" s="2423"/>
    </row>
    <row r="16510" s="101" customFormat="1" spans="6:6">
      <c r="F16510" s="2423"/>
    </row>
    <row r="16511" s="101" customFormat="1" spans="6:6">
      <c r="F16511" s="2423"/>
    </row>
    <row r="16512" s="101" customFormat="1" spans="6:6">
      <c r="F16512" s="2423"/>
    </row>
    <row r="16513" s="101" customFormat="1" spans="6:6">
      <c r="F16513" s="2423"/>
    </row>
    <row r="16514" s="101" customFormat="1" spans="6:6">
      <c r="F16514" s="2423"/>
    </row>
    <row r="16515" s="101" customFormat="1" spans="6:6">
      <c r="F16515" s="2423"/>
    </row>
    <row r="16516" s="101" customFormat="1" spans="6:6">
      <c r="F16516" s="2423"/>
    </row>
    <row r="16517" s="101" customFormat="1" spans="6:6">
      <c r="F16517" s="2423"/>
    </row>
    <row r="16518" s="101" customFormat="1" spans="6:6">
      <c r="F16518" s="2423"/>
    </row>
    <row r="16519" s="101" customFormat="1" spans="6:6">
      <c r="F16519" s="2423"/>
    </row>
    <row r="16520" s="101" customFormat="1" spans="6:6">
      <c r="F16520" s="2423"/>
    </row>
    <row r="16521" s="101" customFormat="1" spans="6:6">
      <c r="F16521" s="2423"/>
    </row>
    <row r="16522" s="101" customFormat="1" spans="6:6">
      <c r="F16522" s="2423"/>
    </row>
    <row r="16523" s="101" customFormat="1" spans="6:6">
      <c r="F16523" s="2423"/>
    </row>
    <row r="16524" s="101" customFormat="1" spans="6:6">
      <c r="F16524" s="2423"/>
    </row>
    <row r="16525" s="101" customFormat="1" spans="6:6">
      <c r="F16525" s="2423"/>
    </row>
    <row r="16526" s="101" customFormat="1" spans="6:6">
      <c r="F16526" s="2423"/>
    </row>
    <row r="16527" s="101" customFormat="1" spans="6:6">
      <c r="F16527" s="2423"/>
    </row>
    <row r="16528" s="101" customFormat="1" spans="6:6">
      <c r="F16528" s="2423"/>
    </row>
    <row r="16529" s="101" customFormat="1" spans="6:6">
      <c r="F16529" s="2423"/>
    </row>
    <row r="16530" s="101" customFormat="1" spans="6:6">
      <c r="F16530" s="2423"/>
    </row>
    <row r="16531" s="101" customFormat="1" spans="6:6">
      <c r="F16531" s="2423"/>
    </row>
    <row r="16532" s="101" customFormat="1" spans="6:6">
      <c r="F16532" s="2423"/>
    </row>
    <row r="16533" s="101" customFormat="1" spans="6:6">
      <c r="F16533" s="2423"/>
    </row>
    <row r="16534" s="101" customFormat="1" spans="6:6">
      <c r="F16534" s="2423"/>
    </row>
    <row r="16535" s="101" customFormat="1" spans="6:6">
      <c r="F16535" s="2423"/>
    </row>
    <row r="16536" s="101" customFormat="1" spans="6:6">
      <c r="F16536" s="2423"/>
    </row>
    <row r="16537" s="101" customFormat="1" spans="6:6">
      <c r="F16537" s="2423"/>
    </row>
    <row r="16538" s="101" customFormat="1" spans="6:6">
      <c r="F16538" s="2423"/>
    </row>
    <row r="16539" s="101" customFormat="1" spans="6:6">
      <c r="F16539" s="2423"/>
    </row>
    <row r="16540" s="101" customFormat="1" spans="6:6">
      <c r="F16540" s="2423"/>
    </row>
    <row r="16541" s="101" customFormat="1" spans="6:6">
      <c r="F16541" s="2423"/>
    </row>
    <row r="16542" s="101" customFormat="1" spans="6:6">
      <c r="F16542" s="2423"/>
    </row>
    <row r="16543" s="101" customFormat="1" spans="6:6">
      <c r="F16543" s="2423"/>
    </row>
    <row r="16544" s="101" customFormat="1" spans="6:6">
      <c r="F16544" s="2423"/>
    </row>
    <row r="16545" s="101" customFormat="1" spans="6:6">
      <c r="F16545" s="2423"/>
    </row>
    <row r="16546" s="101" customFormat="1" spans="6:6">
      <c r="F16546" s="2423"/>
    </row>
    <row r="16547" s="101" customFormat="1" spans="6:6">
      <c r="F16547" s="2423"/>
    </row>
    <row r="16548" s="101" customFormat="1" spans="6:6">
      <c r="F16548" s="2423"/>
    </row>
    <row r="16549" s="101" customFormat="1" spans="6:6">
      <c r="F16549" s="2423"/>
    </row>
    <row r="16550" s="101" customFormat="1" spans="6:6">
      <c r="F16550" s="2423"/>
    </row>
    <row r="16551" s="101" customFormat="1" spans="6:6">
      <c r="F16551" s="2423"/>
    </row>
    <row r="16552" s="101" customFormat="1" spans="6:6">
      <c r="F16552" s="2423"/>
    </row>
    <row r="16553" s="101" customFormat="1" spans="6:6">
      <c r="F16553" s="2423"/>
    </row>
    <row r="16554" s="101" customFormat="1" spans="6:6">
      <c r="F16554" s="2423"/>
    </row>
    <row r="16555" s="101" customFormat="1" spans="6:6">
      <c r="F16555" s="2423"/>
    </row>
    <row r="16556" s="101" customFormat="1" spans="6:6">
      <c r="F16556" s="2423"/>
    </row>
    <row r="16557" s="101" customFormat="1" spans="6:6">
      <c r="F16557" s="2423"/>
    </row>
    <row r="16558" s="101" customFormat="1" spans="6:6">
      <c r="F16558" s="2423"/>
    </row>
    <row r="16559" s="101" customFormat="1" spans="6:6">
      <c r="F16559" s="2423"/>
    </row>
    <row r="16560" s="101" customFormat="1" spans="6:6">
      <c r="F16560" s="2423"/>
    </row>
    <row r="16561" s="101" customFormat="1" spans="6:6">
      <c r="F16561" s="2423"/>
    </row>
    <row r="16562" s="101" customFormat="1" spans="6:6">
      <c r="F16562" s="2423"/>
    </row>
    <row r="16563" s="101" customFormat="1" spans="6:6">
      <c r="F16563" s="2423"/>
    </row>
    <row r="16564" s="101" customFormat="1" spans="6:6">
      <c r="F16564" s="2423"/>
    </row>
    <row r="16565" s="101" customFormat="1" spans="6:6">
      <c r="F16565" s="2423"/>
    </row>
    <row r="16566" s="101" customFormat="1" spans="6:6">
      <c r="F16566" s="2423"/>
    </row>
    <row r="16567" s="101" customFormat="1" spans="6:6">
      <c r="F16567" s="2423"/>
    </row>
    <row r="16568" s="101" customFormat="1" spans="6:6">
      <c r="F16568" s="2423"/>
    </row>
    <row r="16569" s="101" customFormat="1" spans="6:6">
      <c r="F16569" s="2423"/>
    </row>
    <row r="16570" s="101" customFormat="1" spans="6:6">
      <c r="F16570" s="2423"/>
    </row>
    <row r="16571" s="101" customFormat="1" spans="6:6">
      <c r="F16571" s="2423"/>
    </row>
    <row r="16572" s="101" customFormat="1" spans="6:6">
      <c r="F16572" s="2423"/>
    </row>
    <row r="16573" s="101" customFormat="1" spans="6:6">
      <c r="F16573" s="2423"/>
    </row>
    <row r="16574" s="101" customFormat="1" spans="6:6">
      <c r="F16574" s="2423"/>
    </row>
    <row r="16575" s="101" customFormat="1" spans="6:6">
      <c r="F16575" s="2423"/>
    </row>
    <row r="16576" s="101" customFormat="1" spans="6:6">
      <c r="F16576" s="2423"/>
    </row>
    <row r="16577" s="101" customFormat="1" spans="6:6">
      <c r="F16577" s="2423"/>
    </row>
    <row r="16578" s="101" customFormat="1" spans="6:6">
      <c r="F16578" s="2423"/>
    </row>
    <row r="16579" s="101" customFormat="1" spans="6:6">
      <c r="F16579" s="2423"/>
    </row>
    <row r="16580" s="101" customFormat="1" spans="6:6">
      <c r="F16580" s="2423"/>
    </row>
    <row r="16581" s="101" customFormat="1" spans="6:6">
      <c r="F16581" s="2423"/>
    </row>
    <row r="16582" s="101" customFormat="1" spans="6:6">
      <c r="F16582" s="2423"/>
    </row>
    <row r="16583" s="101" customFormat="1" spans="6:6">
      <c r="F16583" s="2423"/>
    </row>
    <row r="16584" s="101" customFormat="1" spans="6:6">
      <c r="F16584" s="2423"/>
    </row>
    <row r="16585" s="101" customFormat="1" spans="6:6">
      <c r="F16585" s="2423"/>
    </row>
    <row r="16586" s="101" customFormat="1" spans="6:6">
      <c r="F16586" s="2423"/>
    </row>
    <row r="16587" s="101" customFormat="1" spans="6:6">
      <c r="F16587" s="2423"/>
    </row>
    <row r="16588" s="101" customFormat="1" spans="6:6">
      <c r="F16588" s="2423"/>
    </row>
    <row r="16589" s="101" customFormat="1" spans="6:6">
      <c r="F16589" s="2423"/>
    </row>
    <row r="16590" s="101" customFormat="1" spans="6:6">
      <c r="F16590" s="2423"/>
    </row>
    <row r="16591" s="101" customFormat="1" spans="6:6">
      <c r="F16591" s="2423"/>
    </row>
    <row r="16592" s="101" customFormat="1" spans="6:6">
      <c r="F16592" s="2423"/>
    </row>
    <row r="16593" s="101" customFormat="1" spans="6:6">
      <c r="F16593" s="2423"/>
    </row>
    <row r="16594" s="101" customFormat="1" spans="6:6">
      <c r="F16594" s="2423"/>
    </row>
    <row r="16595" s="101" customFormat="1" spans="6:6">
      <c r="F16595" s="2423"/>
    </row>
    <row r="16596" s="101" customFormat="1" spans="6:6">
      <c r="F16596" s="2423"/>
    </row>
    <row r="16597" s="101" customFormat="1" spans="6:6">
      <c r="F16597" s="2423"/>
    </row>
    <row r="16598" s="101" customFormat="1" spans="6:6">
      <c r="F16598" s="2423"/>
    </row>
    <row r="16599" s="101" customFormat="1" spans="6:6">
      <c r="F16599" s="2423"/>
    </row>
    <row r="16600" s="101" customFormat="1" spans="6:6">
      <c r="F16600" s="2423"/>
    </row>
    <row r="16601" s="101" customFormat="1" spans="6:6">
      <c r="F16601" s="2423"/>
    </row>
    <row r="16602" s="101" customFormat="1" spans="6:6">
      <c r="F16602" s="2423"/>
    </row>
    <row r="16603" s="101" customFormat="1" spans="6:6">
      <c r="F16603" s="2423"/>
    </row>
    <row r="16604" s="101" customFormat="1" spans="6:6">
      <c r="F16604" s="2423"/>
    </row>
    <row r="16605" s="101" customFormat="1" spans="6:6">
      <c r="F16605" s="2423"/>
    </row>
    <row r="16606" s="101" customFormat="1" spans="6:6">
      <c r="F16606" s="2423"/>
    </row>
    <row r="16607" s="101" customFormat="1" spans="6:6">
      <c r="F16607" s="2423"/>
    </row>
    <row r="16608" s="101" customFormat="1" spans="6:6">
      <c r="F16608" s="2423"/>
    </row>
    <row r="16609" s="101" customFormat="1" spans="6:6">
      <c r="F16609" s="2423"/>
    </row>
    <row r="16610" s="101" customFormat="1" spans="6:6">
      <c r="F16610" s="2423"/>
    </row>
    <row r="16611" s="101" customFormat="1" spans="6:6">
      <c r="F16611" s="2423"/>
    </row>
    <row r="16612" s="101" customFormat="1" spans="6:6">
      <c r="F16612" s="2423"/>
    </row>
    <row r="16613" s="101" customFormat="1" spans="6:6">
      <c r="F16613" s="2423"/>
    </row>
    <row r="16614" s="101" customFormat="1" spans="6:6">
      <c r="F16614" s="2423"/>
    </row>
    <row r="16615" s="101" customFormat="1" spans="6:6">
      <c r="F16615" s="2423"/>
    </row>
    <row r="16616" s="101" customFormat="1" spans="6:6">
      <c r="F16616" s="2423"/>
    </row>
    <row r="16617" s="101" customFormat="1" spans="6:6">
      <c r="F16617" s="2423"/>
    </row>
    <row r="16618" s="101" customFormat="1" spans="6:6">
      <c r="F16618" s="2423"/>
    </row>
    <row r="16619" s="101" customFormat="1" spans="6:6">
      <c r="F16619" s="2423"/>
    </row>
    <row r="16620" s="101" customFormat="1" spans="6:6">
      <c r="F16620" s="2423"/>
    </row>
    <row r="16621" s="101" customFormat="1" spans="6:6">
      <c r="F16621" s="2423"/>
    </row>
    <row r="16622" s="101" customFormat="1" spans="6:6">
      <c r="F16622" s="2423"/>
    </row>
    <row r="16623" s="101" customFormat="1" spans="6:6">
      <c r="F16623" s="2423"/>
    </row>
    <row r="16624" s="101" customFormat="1" spans="6:6">
      <c r="F16624" s="2423"/>
    </row>
    <row r="16625" s="101" customFormat="1" spans="6:6">
      <c r="F16625" s="2423"/>
    </row>
    <row r="16626" s="101" customFormat="1" spans="6:6">
      <c r="F16626" s="2423"/>
    </row>
    <row r="16627" s="101" customFormat="1" spans="6:6">
      <c r="F16627" s="2423"/>
    </row>
    <row r="16628" s="101" customFormat="1" spans="6:6">
      <c r="F16628" s="2423"/>
    </row>
    <row r="16629" s="101" customFormat="1" spans="6:6">
      <c r="F16629" s="2423"/>
    </row>
    <row r="16630" s="101" customFormat="1" spans="6:6">
      <c r="F16630" s="2423"/>
    </row>
    <row r="16631" s="101" customFormat="1" spans="6:6">
      <c r="F16631" s="2423"/>
    </row>
    <row r="16632" s="101" customFormat="1" spans="6:6">
      <c r="F16632" s="2423"/>
    </row>
    <row r="16633" s="101" customFormat="1" spans="6:6">
      <c r="F16633" s="2423"/>
    </row>
    <row r="16634" s="101" customFormat="1" spans="6:6">
      <c r="F16634" s="2423"/>
    </row>
    <row r="16635" s="101" customFormat="1" spans="6:6">
      <c r="F16635" s="2423"/>
    </row>
    <row r="16636" s="101" customFormat="1" spans="6:6">
      <c r="F16636" s="2423"/>
    </row>
    <row r="16637" s="101" customFormat="1" spans="6:6">
      <c r="F16637" s="2423"/>
    </row>
    <row r="16638" s="101" customFormat="1" spans="6:6">
      <c r="F16638" s="2423"/>
    </row>
    <row r="16639" s="101" customFormat="1" spans="6:6">
      <c r="F16639" s="2423"/>
    </row>
    <row r="16640" s="101" customFormat="1" spans="6:6">
      <c r="F16640" s="2423"/>
    </row>
    <row r="16641" s="101" customFormat="1" spans="6:6">
      <c r="F16641" s="2423"/>
    </row>
    <row r="16642" s="101" customFormat="1" spans="6:6">
      <c r="F16642" s="2423"/>
    </row>
    <row r="16643" s="101" customFormat="1" spans="6:6">
      <c r="F16643" s="2423"/>
    </row>
    <row r="16644" s="101" customFormat="1" spans="6:6">
      <c r="F16644" s="2423"/>
    </row>
    <row r="16645" s="101" customFormat="1" spans="6:6">
      <c r="F16645" s="2423"/>
    </row>
    <row r="16646" s="101" customFormat="1" spans="6:6">
      <c r="F16646" s="2423"/>
    </row>
    <row r="16647" s="101" customFormat="1" spans="6:6">
      <c r="F16647" s="2423"/>
    </row>
    <row r="16648" s="101" customFormat="1" spans="6:6">
      <c r="F16648" s="2423"/>
    </row>
    <row r="16649" s="101" customFormat="1" spans="6:6">
      <c r="F16649" s="2423"/>
    </row>
    <row r="16650" s="101" customFormat="1" spans="6:6">
      <c r="F16650" s="2423"/>
    </row>
    <row r="16651" s="101" customFormat="1" spans="6:6">
      <c r="F16651" s="2423"/>
    </row>
    <row r="16652" s="101" customFormat="1" spans="6:6">
      <c r="F16652" s="2423"/>
    </row>
    <row r="16653" s="101" customFormat="1" spans="6:6">
      <c r="F16653" s="2423"/>
    </row>
    <row r="16654" s="101" customFormat="1" spans="6:6">
      <c r="F16654" s="2423"/>
    </row>
    <row r="16655" s="101" customFormat="1" spans="6:6">
      <c r="F16655" s="2423"/>
    </row>
    <row r="16656" s="101" customFormat="1" spans="6:6">
      <c r="F16656" s="2423"/>
    </row>
    <row r="16657" s="101" customFormat="1" spans="6:6">
      <c r="F16657" s="2423"/>
    </row>
    <row r="16658" s="101" customFormat="1" spans="6:6">
      <c r="F16658" s="2423"/>
    </row>
    <row r="16659" s="101" customFormat="1" spans="6:6">
      <c r="F16659" s="2423"/>
    </row>
    <row r="16660" s="101" customFormat="1" spans="6:6">
      <c r="F16660" s="2423"/>
    </row>
    <row r="16661" s="101" customFormat="1" spans="6:6">
      <c r="F16661" s="2423"/>
    </row>
    <row r="16662" s="101" customFormat="1" spans="6:6">
      <c r="F16662" s="2423"/>
    </row>
    <row r="16663" s="101" customFormat="1" spans="6:6">
      <c r="F16663" s="2423"/>
    </row>
    <row r="16664" s="101" customFormat="1" spans="6:6">
      <c r="F16664" s="2423"/>
    </row>
    <row r="16665" s="101" customFormat="1" spans="6:6">
      <c r="F16665" s="2423"/>
    </row>
    <row r="16666" s="101" customFormat="1" spans="6:6">
      <c r="F16666" s="2423"/>
    </row>
    <row r="16667" s="101" customFormat="1" spans="6:6">
      <c r="F16667" s="2423"/>
    </row>
    <row r="16668" s="101" customFormat="1" spans="6:6">
      <c r="F16668" s="2423"/>
    </row>
    <row r="16669" s="101" customFormat="1" spans="6:6">
      <c r="F16669" s="2423"/>
    </row>
    <row r="16670" s="101" customFormat="1" spans="6:6">
      <c r="F16670" s="2423"/>
    </row>
    <row r="16671" s="101" customFormat="1" spans="6:6">
      <c r="F16671" s="2423"/>
    </row>
    <row r="16672" s="101" customFormat="1" spans="6:6">
      <c r="F16672" s="2423"/>
    </row>
    <row r="16673" s="101" customFormat="1" spans="6:6">
      <c r="F16673" s="2423"/>
    </row>
    <row r="16674" s="101" customFormat="1" spans="6:6">
      <c r="F16674" s="2423"/>
    </row>
    <row r="16675" s="101" customFormat="1" spans="6:6">
      <c r="F16675" s="2423"/>
    </row>
    <row r="16676" s="101" customFormat="1" spans="6:6">
      <c r="F16676" s="2423"/>
    </row>
    <row r="16677" s="101" customFormat="1" spans="6:6">
      <c r="F16677" s="2423"/>
    </row>
    <row r="16678" s="101" customFormat="1" spans="6:6">
      <c r="F16678" s="2423"/>
    </row>
    <row r="16679" s="101" customFormat="1" spans="6:6">
      <c r="F16679" s="2423"/>
    </row>
    <row r="16680" s="101" customFormat="1" spans="6:6">
      <c r="F16680" s="2423"/>
    </row>
    <row r="16681" s="101" customFormat="1" spans="6:6">
      <c r="F16681" s="2423"/>
    </row>
    <row r="16682" s="101" customFormat="1" spans="6:6">
      <c r="F16682" s="2423"/>
    </row>
    <row r="16683" s="101" customFormat="1" spans="6:6">
      <c r="F16683" s="2423"/>
    </row>
    <row r="16684" s="101" customFormat="1" spans="6:6">
      <c r="F16684" s="2423"/>
    </row>
    <row r="16685" s="101" customFormat="1" spans="6:6">
      <c r="F16685" s="2423"/>
    </row>
    <row r="16686" s="101" customFormat="1" spans="6:6">
      <c r="F16686" s="2423"/>
    </row>
    <row r="16687" s="101" customFormat="1" spans="6:6">
      <c r="F16687" s="2423"/>
    </row>
    <row r="16688" s="101" customFormat="1" spans="6:6">
      <c r="F16688" s="2423"/>
    </row>
    <row r="16689" s="101" customFormat="1" spans="6:6">
      <c r="F16689" s="2423"/>
    </row>
    <row r="16690" s="101" customFormat="1" spans="6:6">
      <c r="F16690" s="2423"/>
    </row>
    <row r="16691" s="101" customFormat="1" spans="6:6">
      <c r="F16691" s="2423"/>
    </row>
    <row r="16692" s="101" customFormat="1" spans="6:6">
      <c r="F16692" s="2423"/>
    </row>
    <row r="16693" s="101" customFormat="1" spans="6:6">
      <c r="F16693" s="2423"/>
    </row>
    <row r="16694" s="101" customFormat="1" spans="6:6">
      <c r="F16694" s="2423"/>
    </row>
    <row r="16695" s="101" customFormat="1" spans="6:6">
      <c r="F16695" s="2423"/>
    </row>
    <row r="16696" s="101" customFormat="1" spans="6:6">
      <c r="F16696" s="2423"/>
    </row>
    <row r="16697" s="101" customFormat="1" spans="6:6">
      <c r="F16697" s="2423"/>
    </row>
    <row r="16698" s="101" customFormat="1" spans="6:6">
      <c r="F16698" s="2423"/>
    </row>
    <row r="16699" s="101" customFormat="1" spans="6:6">
      <c r="F16699" s="2423"/>
    </row>
    <row r="16700" s="101" customFormat="1" spans="6:6">
      <c r="F16700" s="2423"/>
    </row>
    <row r="16701" s="101" customFormat="1" spans="6:6">
      <c r="F16701" s="2423"/>
    </row>
    <row r="16702" s="101" customFormat="1" spans="6:6">
      <c r="F16702" s="2423"/>
    </row>
    <row r="16703" s="101" customFormat="1" spans="6:6">
      <c r="F16703" s="2423"/>
    </row>
    <row r="16704" s="101" customFormat="1" spans="6:6">
      <c r="F16704" s="2423"/>
    </row>
    <row r="16705" s="101" customFormat="1" spans="6:6">
      <c r="F16705" s="2423"/>
    </row>
    <row r="16706" s="101" customFormat="1" spans="6:6">
      <c r="F16706" s="2423"/>
    </row>
    <row r="16707" s="101" customFormat="1" spans="6:6">
      <c r="F16707" s="2423"/>
    </row>
    <row r="16708" s="101" customFormat="1" spans="6:6">
      <c r="F16708" s="2423"/>
    </row>
    <row r="16709" s="101" customFormat="1" spans="6:6">
      <c r="F16709" s="2423"/>
    </row>
    <row r="16710" s="101" customFormat="1" spans="6:6">
      <c r="F16710" s="2423"/>
    </row>
    <row r="16711" s="101" customFormat="1" spans="6:6">
      <c r="F16711" s="2423"/>
    </row>
    <row r="16712" s="101" customFormat="1" spans="6:6">
      <c r="F16712" s="2423"/>
    </row>
    <row r="16713" s="101" customFormat="1" spans="6:6">
      <c r="F16713" s="2423"/>
    </row>
    <row r="16714" s="101" customFormat="1" spans="6:6">
      <c r="F16714" s="2423"/>
    </row>
    <row r="16715" s="101" customFormat="1" spans="6:6">
      <c r="F16715" s="2423"/>
    </row>
    <row r="16716" s="101" customFormat="1" spans="6:6">
      <c r="F16716" s="2423"/>
    </row>
    <row r="16717" s="101" customFormat="1" spans="6:6">
      <c r="F16717" s="2423"/>
    </row>
    <row r="16718" s="101" customFormat="1" spans="6:6">
      <c r="F16718" s="2423"/>
    </row>
    <row r="16719" s="101" customFormat="1" spans="6:6">
      <c r="F16719" s="2423"/>
    </row>
    <row r="16720" s="101" customFormat="1" spans="6:6">
      <c r="F16720" s="2423"/>
    </row>
    <row r="16721" s="101" customFormat="1" spans="6:6">
      <c r="F16721" s="2423"/>
    </row>
    <row r="16722" s="101" customFormat="1" spans="6:6">
      <c r="F16722" s="2423"/>
    </row>
    <row r="16723" s="101" customFormat="1" spans="6:6">
      <c r="F16723" s="2423"/>
    </row>
    <row r="16724" s="101" customFormat="1" spans="6:6">
      <c r="F16724" s="2423"/>
    </row>
    <row r="16725" s="101" customFormat="1" spans="6:6">
      <c r="F16725" s="2423"/>
    </row>
    <row r="16726" s="101" customFormat="1" spans="6:6">
      <c r="F16726" s="2423"/>
    </row>
    <row r="16727" s="101" customFormat="1" spans="6:6">
      <c r="F16727" s="2423"/>
    </row>
    <row r="16728" s="101" customFormat="1" spans="6:6">
      <c r="F16728" s="2423"/>
    </row>
    <row r="16729" s="101" customFormat="1" spans="6:6">
      <c r="F16729" s="2423"/>
    </row>
    <row r="16730" s="101" customFormat="1" spans="6:6">
      <c r="F16730" s="2423"/>
    </row>
    <row r="16731" s="101" customFormat="1" spans="6:6">
      <c r="F16731" s="2423"/>
    </row>
    <row r="16732" s="101" customFormat="1" spans="6:6">
      <c r="F16732" s="2423"/>
    </row>
    <row r="16733" s="101" customFormat="1" spans="6:6">
      <c r="F16733" s="2423"/>
    </row>
    <row r="16734" s="101" customFormat="1" spans="6:6">
      <c r="F16734" s="2423"/>
    </row>
    <row r="16735" s="101" customFormat="1" spans="6:6">
      <c r="F16735" s="2423"/>
    </row>
    <row r="16736" s="101" customFormat="1" spans="6:6">
      <c r="F16736" s="2423"/>
    </row>
    <row r="16737" s="101" customFormat="1" spans="6:6">
      <c r="F16737" s="2423"/>
    </row>
    <row r="16738" s="101" customFormat="1" spans="6:6">
      <c r="F16738" s="2423"/>
    </row>
    <row r="16739" s="101" customFormat="1" spans="6:6">
      <c r="F16739" s="2423"/>
    </row>
    <row r="16740" s="101" customFormat="1" spans="6:6">
      <c r="F16740" s="2423"/>
    </row>
    <row r="16741" s="101" customFormat="1" spans="6:6">
      <c r="F16741" s="2423"/>
    </row>
    <row r="16742" s="101" customFormat="1" spans="6:6">
      <c r="F16742" s="2423"/>
    </row>
    <row r="16743" s="101" customFormat="1" spans="6:6">
      <c r="F16743" s="2423"/>
    </row>
    <row r="16744" s="101" customFormat="1" spans="6:6">
      <c r="F16744" s="2423"/>
    </row>
    <row r="16745" s="101" customFormat="1" spans="6:6">
      <c r="F16745" s="2423"/>
    </row>
    <row r="16746" s="101" customFormat="1" spans="6:6">
      <c r="F16746" s="2423"/>
    </row>
    <row r="16747" s="101" customFormat="1" spans="6:6">
      <c r="F16747" s="2423"/>
    </row>
    <row r="16748" s="101" customFormat="1" spans="6:6">
      <c r="F16748" s="2423"/>
    </row>
    <row r="16749" s="101" customFormat="1" spans="6:6">
      <c r="F16749" s="2423"/>
    </row>
    <row r="16750" s="101" customFormat="1" spans="6:6">
      <c r="F16750" s="2423"/>
    </row>
    <row r="16751" s="101" customFormat="1" spans="6:6">
      <c r="F16751" s="2423"/>
    </row>
    <row r="16752" s="101" customFormat="1" spans="6:6">
      <c r="F16752" s="2423"/>
    </row>
    <row r="16753" s="101" customFormat="1" spans="6:6">
      <c r="F16753" s="2423"/>
    </row>
    <row r="16754" s="101" customFormat="1" spans="6:6">
      <c r="F16754" s="2423"/>
    </row>
    <row r="16755" s="101" customFormat="1" spans="6:6">
      <c r="F16755" s="2423"/>
    </row>
    <row r="16756" s="101" customFormat="1" spans="6:6">
      <c r="F16756" s="2423"/>
    </row>
    <row r="16757" s="101" customFormat="1" spans="6:6">
      <c r="F16757" s="2423"/>
    </row>
    <row r="16758" s="101" customFormat="1" spans="6:6">
      <c r="F16758" s="2423"/>
    </row>
    <row r="16759" s="101" customFormat="1" spans="6:6">
      <c r="F16759" s="2423"/>
    </row>
    <row r="16760" s="101" customFormat="1" spans="6:6">
      <c r="F16760" s="2423"/>
    </row>
    <row r="16761" s="101" customFormat="1" spans="6:6">
      <c r="F16761" s="2423"/>
    </row>
    <row r="16762" s="101" customFormat="1" spans="6:6">
      <c r="F16762" s="2423"/>
    </row>
    <row r="16763" s="101" customFormat="1" spans="6:6">
      <c r="F16763" s="2423"/>
    </row>
    <row r="16764" s="101" customFormat="1" spans="6:6">
      <c r="F16764" s="2423"/>
    </row>
    <row r="16765" s="101" customFormat="1" spans="6:6">
      <c r="F16765" s="2423"/>
    </row>
    <row r="16766" s="101" customFormat="1" spans="6:6">
      <c r="F16766" s="2423"/>
    </row>
    <row r="16767" s="101" customFormat="1" spans="6:6">
      <c r="F16767" s="2423"/>
    </row>
    <row r="16768" s="101" customFormat="1" spans="6:6">
      <c r="F16768" s="2423"/>
    </row>
    <row r="16769" s="101" customFormat="1" spans="6:6">
      <c r="F16769" s="2423"/>
    </row>
    <row r="16770" s="101" customFormat="1" spans="6:6">
      <c r="F16770" s="2423"/>
    </row>
    <row r="16771" s="101" customFormat="1" spans="6:6">
      <c r="F16771" s="2423"/>
    </row>
    <row r="16772" s="101" customFormat="1" spans="6:6">
      <c r="F16772" s="2423"/>
    </row>
    <row r="16773" s="101" customFormat="1" spans="6:6">
      <c r="F16773" s="2423"/>
    </row>
    <row r="16774" s="101" customFormat="1" spans="6:6">
      <c r="F16774" s="2423"/>
    </row>
    <row r="16775" s="101" customFormat="1" spans="6:6">
      <c r="F16775" s="2423"/>
    </row>
    <row r="16776" s="101" customFormat="1" spans="6:6">
      <c r="F16776" s="2423"/>
    </row>
    <row r="16777" s="101" customFormat="1" spans="6:6">
      <c r="F16777" s="2423"/>
    </row>
    <row r="16778" s="101" customFormat="1" spans="6:6">
      <c r="F16778" s="2423"/>
    </row>
    <row r="16779" s="101" customFormat="1" spans="6:6">
      <c r="F16779" s="2423"/>
    </row>
    <row r="16780" s="101" customFormat="1" spans="6:6">
      <c r="F16780" s="2423"/>
    </row>
    <row r="16781" s="101" customFormat="1" spans="6:6">
      <c r="F16781" s="2423"/>
    </row>
    <row r="16782" s="101" customFormat="1" spans="6:6">
      <c r="F16782" s="2423"/>
    </row>
    <row r="16783" s="101" customFormat="1" spans="6:6">
      <c r="F16783" s="2423"/>
    </row>
    <row r="16784" s="101" customFormat="1" spans="6:6">
      <c r="F16784" s="2423"/>
    </row>
    <row r="16785" s="101" customFormat="1" spans="6:6">
      <c r="F16785" s="2423"/>
    </row>
    <row r="16786" s="101" customFormat="1" spans="6:6">
      <c r="F16786" s="2423"/>
    </row>
    <row r="16787" s="101" customFormat="1" spans="6:6">
      <c r="F16787" s="2423"/>
    </row>
    <row r="16788" s="101" customFormat="1" spans="6:6">
      <c r="F16788" s="2423"/>
    </row>
    <row r="16789" s="101" customFormat="1" spans="6:6">
      <c r="F16789" s="2423"/>
    </row>
    <row r="16790" s="101" customFormat="1" spans="6:6">
      <c r="F16790" s="2423"/>
    </row>
    <row r="16791" s="101" customFormat="1" spans="6:6">
      <c r="F16791" s="2423"/>
    </row>
    <row r="16792" s="101" customFormat="1" spans="6:6">
      <c r="F16792" s="2423"/>
    </row>
    <row r="16793" s="101" customFormat="1" spans="6:6">
      <c r="F16793" s="2423"/>
    </row>
    <row r="16794" s="101" customFormat="1" spans="6:6">
      <c r="F16794" s="2423"/>
    </row>
    <row r="16795" s="101" customFormat="1" spans="6:6">
      <c r="F16795" s="2423"/>
    </row>
    <row r="16796" s="101" customFormat="1" spans="6:6">
      <c r="F16796" s="2423"/>
    </row>
    <row r="16797" s="101" customFormat="1" spans="6:6">
      <c r="F16797" s="2423"/>
    </row>
    <row r="16798" s="101" customFormat="1" spans="6:6">
      <c r="F16798" s="2423"/>
    </row>
    <row r="16799" s="101" customFormat="1" spans="6:6">
      <c r="F16799" s="2423"/>
    </row>
    <row r="16800" s="101" customFormat="1" spans="6:6">
      <c r="F16800" s="2423"/>
    </row>
    <row r="16801" s="101" customFormat="1" spans="6:6">
      <c r="F16801" s="2423"/>
    </row>
    <row r="16802" s="101" customFormat="1" spans="6:6">
      <c r="F16802" s="2423"/>
    </row>
    <row r="16803" s="101" customFormat="1" spans="6:6">
      <c r="F16803" s="2423"/>
    </row>
    <row r="16804" s="101" customFormat="1" spans="6:6">
      <c r="F16804" s="2423"/>
    </row>
    <row r="16805" s="101" customFormat="1" spans="6:6">
      <c r="F16805" s="2423"/>
    </row>
    <row r="16806" s="101" customFormat="1" spans="6:6">
      <c r="F16806" s="2423"/>
    </row>
    <row r="16807" s="101" customFormat="1" spans="6:6">
      <c r="F16807" s="2423"/>
    </row>
    <row r="16808" s="101" customFormat="1" spans="6:6">
      <c r="F16808" s="2423"/>
    </row>
    <row r="16809" s="101" customFormat="1" spans="6:6">
      <c r="F16809" s="2423"/>
    </row>
    <row r="16810" s="101" customFormat="1" spans="6:6">
      <c r="F16810" s="2423"/>
    </row>
    <row r="16811" s="101" customFormat="1" spans="6:6">
      <c r="F16811" s="2423"/>
    </row>
    <row r="16812" s="101" customFormat="1" spans="6:6">
      <c r="F16812" s="2423"/>
    </row>
    <row r="16813" s="101" customFormat="1" spans="6:6">
      <c r="F16813" s="2423"/>
    </row>
    <row r="16814" s="101" customFormat="1" spans="6:6">
      <c r="F16814" s="2423"/>
    </row>
    <row r="16815" s="101" customFormat="1" spans="6:6">
      <c r="F16815" s="2423"/>
    </row>
    <row r="16816" s="101" customFormat="1" spans="6:6">
      <c r="F16816" s="2423"/>
    </row>
    <row r="16817" s="101" customFormat="1" spans="6:6">
      <c r="F16817" s="2423"/>
    </row>
    <row r="16818" s="101" customFormat="1" spans="6:6">
      <c r="F16818" s="2423"/>
    </row>
    <row r="16819" s="101" customFormat="1" spans="6:6">
      <c r="F16819" s="2423"/>
    </row>
    <row r="16820" s="101" customFormat="1" spans="6:6">
      <c r="F16820" s="2423"/>
    </row>
    <row r="16821" s="101" customFormat="1" spans="6:6">
      <c r="F16821" s="2423"/>
    </row>
    <row r="16822" s="101" customFormat="1" spans="6:6">
      <c r="F16822" s="2423"/>
    </row>
    <row r="16823" s="101" customFormat="1" spans="6:6">
      <c r="F16823" s="2423"/>
    </row>
    <row r="16824" s="101" customFormat="1" spans="6:6">
      <c r="F16824" s="2423"/>
    </row>
    <row r="16825" s="101" customFormat="1" spans="6:6">
      <c r="F16825" s="2423"/>
    </row>
    <row r="16826" s="101" customFormat="1" spans="6:6">
      <c r="F16826" s="2423"/>
    </row>
    <row r="16827" s="101" customFormat="1" spans="6:6">
      <c r="F16827" s="2423"/>
    </row>
    <row r="16828" s="101" customFormat="1" spans="6:6">
      <c r="F16828" s="2423"/>
    </row>
    <row r="16829" s="101" customFormat="1" spans="6:6">
      <c r="F16829" s="2423"/>
    </row>
    <row r="16830" s="101" customFormat="1" spans="6:6">
      <c r="F16830" s="2423"/>
    </row>
    <row r="16831" s="101" customFormat="1" spans="6:6">
      <c r="F16831" s="2423"/>
    </row>
    <row r="16832" s="101" customFormat="1" spans="6:6">
      <c r="F16832" s="2423"/>
    </row>
    <row r="16833" s="101" customFormat="1" spans="6:6">
      <c r="F16833" s="2423"/>
    </row>
    <row r="16834" s="101" customFormat="1" spans="6:6">
      <c r="F16834" s="2423"/>
    </row>
    <row r="16835" s="101" customFormat="1" spans="6:6">
      <c r="F16835" s="2423"/>
    </row>
    <row r="16836" s="101" customFormat="1" spans="6:6">
      <c r="F16836" s="2423"/>
    </row>
    <row r="16837" s="101" customFormat="1" spans="6:6">
      <c r="F16837" s="2423"/>
    </row>
    <row r="16838" s="101" customFormat="1" spans="6:6">
      <c r="F16838" s="2423"/>
    </row>
    <row r="16839" s="101" customFormat="1" spans="6:6">
      <c r="F16839" s="2423"/>
    </row>
    <row r="16840" s="101" customFormat="1" spans="6:6">
      <c r="F16840" s="2423"/>
    </row>
    <row r="16841" s="101" customFormat="1" spans="6:6">
      <c r="F16841" s="2423"/>
    </row>
    <row r="16842" s="101" customFormat="1" spans="6:6">
      <c r="F16842" s="2423"/>
    </row>
    <row r="16843" s="101" customFormat="1" spans="6:6">
      <c r="F16843" s="2423"/>
    </row>
    <row r="16844" s="101" customFormat="1" spans="6:6">
      <c r="F16844" s="2423"/>
    </row>
    <row r="16845" s="101" customFormat="1" spans="6:6">
      <c r="F16845" s="2423"/>
    </row>
    <row r="16846" s="101" customFormat="1" spans="6:6">
      <c r="F16846" s="2423"/>
    </row>
    <row r="16847" s="101" customFormat="1" spans="6:6">
      <c r="F16847" s="2423"/>
    </row>
    <row r="16848" s="101" customFormat="1" spans="6:6">
      <c r="F16848" s="2423"/>
    </row>
    <row r="16849" s="101" customFormat="1" spans="6:6">
      <c r="F16849" s="2423"/>
    </row>
    <row r="16850" s="101" customFormat="1" spans="6:6">
      <c r="F16850" s="2423"/>
    </row>
    <row r="16851" s="101" customFormat="1" spans="6:6">
      <c r="F16851" s="2423"/>
    </row>
    <row r="16852" s="101" customFormat="1" spans="6:6">
      <c r="F16852" s="2423"/>
    </row>
    <row r="16853" s="101" customFormat="1" spans="6:6">
      <c r="F16853" s="2423"/>
    </row>
    <row r="16854" s="101" customFormat="1" spans="6:6">
      <c r="F16854" s="2423"/>
    </row>
    <row r="16855" s="101" customFormat="1" spans="6:6">
      <c r="F16855" s="2423"/>
    </row>
    <row r="16856" s="101" customFormat="1" spans="6:6">
      <c r="F16856" s="2423"/>
    </row>
    <row r="16857" s="101" customFormat="1" spans="6:6">
      <c r="F16857" s="2423"/>
    </row>
    <row r="16858" s="101" customFormat="1" spans="6:6">
      <c r="F16858" s="2423"/>
    </row>
    <row r="16859" s="101" customFormat="1" spans="6:6">
      <c r="F16859" s="2423"/>
    </row>
    <row r="16860" s="101" customFormat="1" spans="6:6">
      <c r="F16860" s="2423"/>
    </row>
    <row r="16861" s="101" customFormat="1" spans="6:6">
      <c r="F16861" s="2423"/>
    </row>
    <row r="16862" s="101" customFormat="1" spans="6:6">
      <c r="F16862" s="2423"/>
    </row>
    <row r="16863" s="101" customFormat="1" spans="6:6">
      <c r="F16863" s="2423"/>
    </row>
    <row r="16864" s="101" customFormat="1" spans="6:6">
      <c r="F16864" s="2423"/>
    </row>
    <row r="16865" s="101" customFormat="1" spans="6:6">
      <c r="F16865" s="2423"/>
    </row>
    <row r="16866" s="101" customFormat="1" spans="6:6">
      <c r="F16866" s="2423"/>
    </row>
    <row r="16867" s="101" customFormat="1" spans="6:6">
      <c r="F16867" s="2423"/>
    </row>
    <row r="16868" s="101" customFormat="1" spans="6:6">
      <c r="F16868" s="2423"/>
    </row>
    <row r="16869" s="101" customFormat="1" spans="6:6">
      <c r="F16869" s="2423"/>
    </row>
    <row r="16870" s="101" customFormat="1" spans="6:6">
      <c r="F16870" s="2423"/>
    </row>
    <row r="16871" s="101" customFormat="1" spans="6:6">
      <c r="F16871" s="2423"/>
    </row>
    <row r="16872" s="101" customFormat="1" spans="6:6">
      <c r="F16872" s="2423"/>
    </row>
    <row r="16873" s="101" customFormat="1" spans="6:6">
      <c r="F16873" s="2423"/>
    </row>
    <row r="16874" s="101" customFormat="1" spans="6:6">
      <c r="F16874" s="2423"/>
    </row>
    <row r="16875" s="101" customFormat="1" spans="6:6">
      <c r="F16875" s="2423"/>
    </row>
    <row r="16876" s="101" customFormat="1" spans="6:6">
      <c r="F16876" s="2423"/>
    </row>
    <row r="16877" s="101" customFormat="1" spans="6:6">
      <c r="F16877" s="2423"/>
    </row>
    <row r="16878" s="101" customFormat="1" spans="6:6">
      <c r="F16878" s="2423"/>
    </row>
    <row r="16879" s="101" customFormat="1" spans="6:6">
      <c r="F16879" s="2423"/>
    </row>
    <row r="16880" s="101" customFormat="1" spans="6:6">
      <c r="F16880" s="2423"/>
    </row>
    <row r="16881" s="101" customFormat="1" spans="6:6">
      <c r="F16881" s="2423"/>
    </row>
    <row r="16882" s="101" customFormat="1" spans="6:6">
      <c r="F16882" s="2423"/>
    </row>
    <row r="16883" s="101" customFormat="1" spans="6:6">
      <c r="F16883" s="2423"/>
    </row>
    <row r="16884" s="101" customFormat="1" spans="6:6">
      <c r="F16884" s="2423"/>
    </row>
    <row r="16885" s="101" customFormat="1" spans="6:6">
      <c r="F16885" s="2423"/>
    </row>
    <row r="16886" s="101" customFormat="1" spans="6:6">
      <c r="F16886" s="2423"/>
    </row>
    <row r="16887" s="101" customFormat="1" spans="6:6">
      <c r="F16887" s="2423"/>
    </row>
    <row r="16888" s="101" customFormat="1" spans="6:6">
      <c r="F16888" s="2423"/>
    </row>
    <row r="16889" s="101" customFormat="1" spans="6:6">
      <c r="F16889" s="2423"/>
    </row>
    <row r="16890" s="101" customFormat="1" spans="6:6">
      <c r="F16890" s="2423"/>
    </row>
    <row r="16891" s="101" customFormat="1" spans="6:6">
      <c r="F16891" s="2423"/>
    </row>
    <row r="16892" s="101" customFormat="1" spans="6:6">
      <c r="F16892" s="2423"/>
    </row>
    <row r="16893" s="101" customFormat="1" spans="6:6">
      <c r="F16893" s="2423"/>
    </row>
    <row r="16894" s="101" customFormat="1" spans="6:6">
      <c r="F16894" s="2423"/>
    </row>
    <row r="16895" s="101" customFormat="1" spans="6:6">
      <c r="F16895" s="2423"/>
    </row>
    <row r="16896" s="101" customFormat="1" spans="6:6">
      <c r="F16896" s="2423"/>
    </row>
    <row r="16897" s="101" customFormat="1" spans="6:6">
      <c r="F16897" s="2423"/>
    </row>
    <row r="16898" s="101" customFormat="1" spans="6:6">
      <c r="F16898" s="2423"/>
    </row>
    <row r="16899" s="101" customFormat="1" spans="6:6">
      <c r="F16899" s="2423"/>
    </row>
    <row r="16900" s="101" customFormat="1" spans="6:6">
      <c r="F16900" s="2423"/>
    </row>
    <row r="16901" s="101" customFormat="1" spans="6:6">
      <c r="F16901" s="2423"/>
    </row>
    <row r="16902" s="101" customFormat="1" spans="6:6">
      <c r="F16902" s="2423"/>
    </row>
    <row r="16903" s="101" customFormat="1" spans="6:6">
      <c r="F16903" s="2423"/>
    </row>
    <row r="16904" s="101" customFormat="1" spans="6:6">
      <c r="F16904" s="2423"/>
    </row>
    <row r="16905" s="101" customFormat="1" spans="6:6">
      <c r="F16905" s="2423"/>
    </row>
    <row r="16906" s="101" customFormat="1" spans="6:6">
      <c r="F16906" s="2423"/>
    </row>
    <row r="16907" s="101" customFormat="1" spans="6:6">
      <c r="F16907" s="2423"/>
    </row>
    <row r="16908" s="101" customFormat="1" spans="6:6">
      <c r="F16908" s="2423"/>
    </row>
    <row r="16909" s="101" customFormat="1" spans="6:6">
      <c r="F16909" s="2423"/>
    </row>
    <row r="16910" s="101" customFormat="1" spans="6:6">
      <c r="F16910" s="2423"/>
    </row>
    <row r="16911" s="101" customFormat="1" spans="6:6">
      <c r="F16911" s="2423"/>
    </row>
    <row r="16912" s="101" customFormat="1" spans="6:6">
      <c r="F16912" s="2423"/>
    </row>
    <row r="16913" s="101" customFormat="1" spans="6:6">
      <c r="F16913" s="2423"/>
    </row>
    <row r="16914" s="101" customFormat="1" spans="6:6">
      <c r="F16914" s="2423"/>
    </row>
    <row r="16915" s="101" customFormat="1" spans="6:6">
      <c r="F16915" s="2423"/>
    </row>
    <row r="16916" s="101" customFormat="1" spans="6:6">
      <c r="F16916" s="2423"/>
    </row>
    <row r="16917" s="101" customFormat="1" spans="6:6">
      <c r="F16917" s="2423"/>
    </row>
    <row r="16918" s="101" customFormat="1" spans="6:6">
      <c r="F16918" s="2423"/>
    </row>
    <row r="16919" s="101" customFormat="1" spans="6:6">
      <c r="F16919" s="2423"/>
    </row>
    <row r="16920" s="101" customFormat="1" spans="6:6">
      <c r="F16920" s="2423"/>
    </row>
    <row r="16921" s="101" customFormat="1" spans="6:6">
      <c r="F16921" s="2423"/>
    </row>
    <row r="16922" s="101" customFormat="1" spans="6:6">
      <c r="F16922" s="2423"/>
    </row>
    <row r="16923" s="101" customFormat="1" spans="6:6">
      <c r="F16923" s="2423"/>
    </row>
    <row r="16924" s="101" customFormat="1" spans="6:6">
      <c r="F16924" s="2423"/>
    </row>
    <row r="16925" s="101" customFormat="1" spans="6:6">
      <c r="F16925" s="2423"/>
    </row>
    <row r="16926" s="101" customFormat="1" spans="6:6">
      <c r="F16926" s="2423"/>
    </row>
    <row r="16927" s="101" customFormat="1" spans="6:6">
      <c r="F16927" s="2423"/>
    </row>
    <row r="16928" s="101" customFormat="1" spans="6:6">
      <c r="F16928" s="2423"/>
    </row>
    <row r="16929" s="101" customFormat="1" spans="6:6">
      <c r="F16929" s="2423"/>
    </row>
    <row r="16930" s="101" customFormat="1" spans="6:6">
      <c r="F16930" s="2423"/>
    </row>
    <row r="16931" s="101" customFormat="1" spans="6:6">
      <c r="F16931" s="2423"/>
    </row>
    <row r="16932" s="101" customFormat="1" spans="6:6">
      <c r="F16932" s="2423"/>
    </row>
    <row r="16933" s="101" customFormat="1" spans="6:6">
      <c r="F16933" s="2423"/>
    </row>
    <row r="16934" s="101" customFormat="1" spans="6:6">
      <c r="F16934" s="2423"/>
    </row>
    <row r="16935" s="101" customFormat="1" spans="6:6">
      <c r="F16935" s="2423"/>
    </row>
    <row r="16936" s="101" customFormat="1" spans="6:6">
      <c r="F16936" s="2423"/>
    </row>
    <row r="16937" s="101" customFormat="1" spans="6:6">
      <c r="F16937" s="2423"/>
    </row>
    <row r="16938" s="101" customFormat="1" spans="6:6">
      <c r="F16938" s="2423"/>
    </row>
    <row r="16939" s="101" customFormat="1" spans="6:6">
      <c r="F16939" s="2423"/>
    </row>
    <row r="16940" s="101" customFormat="1" spans="6:6">
      <c r="F16940" s="2423"/>
    </row>
    <row r="16941" s="101" customFormat="1" spans="6:6">
      <c r="F16941" s="2423"/>
    </row>
    <row r="16942" s="101" customFormat="1" spans="6:6">
      <c r="F16942" s="2423"/>
    </row>
    <row r="16943" s="101" customFormat="1" spans="6:6">
      <c r="F16943" s="2423"/>
    </row>
    <row r="16944" s="101" customFormat="1" spans="6:6">
      <c r="F16944" s="2423"/>
    </row>
    <row r="16945" s="101" customFormat="1" spans="6:6">
      <c r="F16945" s="2423"/>
    </row>
    <row r="16946" s="101" customFormat="1" spans="6:6">
      <c r="F16946" s="2423"/>
    </row>
    <row r="16947" s="101" customFormat="1" spans="6:6">
      <c r="F16947" s="2423"/>
    </row>
    <row r="16948" s="101" customFormat="1" spans="6:6">
      <c r="F16948" s="2423"/>
    </row>
    <row r="16949" s="101" customFormat="1" spans="6:6">
      <c r="F16949" s="2423"/>
    </row>
    <row r="16950" s="101" customFormat="1" spans="6:6">
      <c r="F16950" s="2423"/>
    </row>
    <row r="16951" s="101" customFormat="1" spans="6:6">
      <c r="F16951" s="2423"/>
    </row>
    <row r="16952" s="101" customFormat="1" spans="6:6">
      <c r="F16952" s="2423"/>
    </row>
    <row r="16953" s="101" customFormat="1" spans="6:6">
      <c r="F16953" s="2423"/>
    </row>
    <row r="16954" s="101" customFormat="1" spans="6:6">
      <c r="F16954" s="2423"/>
    </row>
    <row r="16955" s="101" customFormat="1" spans="6:6">
      <c r="F16955" s="2423"/>
    </row>
    <row r="16956" s="101" customFormat="1" spans="6:6">
      <c r="F16956" s="2423"/>
    </row>
    <row r="16957" s="101" customFormat="1" spans="6:6">
      <c r="F16957" s="2423"/>
    </row>
    <row r="16958" s="101" customFormat="1" spans="6:6">
      <c r="F16958" s="2423"/>
    </row>
    <row r="16959" s="101" customFormat="1" spans="6:6">
      <c r="F16959" s="2423"/>
    </row>
    <row r="16960" s="101" customFormat="1" spans="6:6">
      <c r="F16960" s="2423"/>
    </row>
    <row r="16961" s="101" customFormat="1" spans="6:6">
      <c r="F16961" s="2423"/>
    </row>
    <row r="16962" s="101" customFormat="1" spans="6:6">
      <c r="F16962" s="2423"/>
    </row>
    <row r="16963" s="101" customFormat="1" spans="6:6">
      <c r="F16963" s="2423"/>
    </row>
    <row r="16964" s="101" customFormat="1" spans="6:6">
      <c r="F16964" s="2423"/>
    </row>
    <row r="16965" s="101" customFormat="1" spans="6:6">
      <c r="F16965" s="2423"/>
    </row>
    <row r="16966" s="101" customFormat="1" spans="6:6">
      <c r="F16966" s="2423"/>
    </row>
    <row r="16967" s="101" customFormat="1" spans="6:6">
      <c r="F16967" s="2423"/>
    </row>
    <row r="16968" s="101" customFormat="1" spans="6:6">
      <c r="F16968" s="2423"/>
    </row>
    <row r="16969" s="101" customFormat="1" spans="6:6">
      <c r="F16969" s="2423"/>
    </row>
    <row r="16970" s="101" customFormat="1" spans="6:6">
      <c r="F16970" s="2423"/>
    </row>
    <row r="16971" s="101" customFormat="1" spans="6:6">
      <c r="F16971" s="2423"/>
    </row>
    <row r="16972" s="101" customFormat="1" spans="6:6">
      <c r="F16972" s="2423"/>
    </row>
    <row r="16973" s="101" customFormat="1" spans="6:6">
      <c r="F16973" s="2423"/>
    </row>
    <row r="16974" s="101" customFormat="1" spans="6:6">
      <c r="F16974" s="2423"/>
    </row>
    <row r="16975" s="101" customFormat="1" spans="6:6">
      <c r="F16975" s="2423"/>
    </row>
    <row r="16976" s="101" customFormat="1" spans="6:6">
      <c r="F16976" s="2423"/>
    </row>
    <row r="16977" s="101" customFormat="1" spans="6:6">
      <c r="F16977" s="2423"/>
    </row>
    <row r="16978" s="101" customFormat="1" spans="6:6">
      <c r="F16978" s="2423"/>
    </row>
    <row r="16979" s="101" customFormat="1" spans="6:6">
      <c r="F16979" s="2423"/>
    </row>
    <row r="16980" s="101" customFormat="1" spans="6:6">
      <c r="F16980" s="2423"/>
    </row>
    <row r="16981" s="101" customFormat="1" spans="6:6">
      <c r="F16981" s="2423"/>
    </row>
    <row r="16982" s="101" customFormat="1" spans="6:6">
      <c r="F16982" s="2423"/>
    </row>
    <row r="16983" s="101" customFormat="1" spans="6:6">
      <c r="F16983" s="2423"/>
    </row>
    <row r="16984" s="101" customFormat="1" spans="6:6">
      <c r="F16984" s="2423"/>
    </row>
    <row r="16985" s="101" customFormat="1" spans="6:6">
      <c r="F16985" s="2423"/>
    </row>
    <row r="16986" s="101" customFormat="1" spans="6:6">
      <c r="F16986" s="2423"/>
    </row>
    <row r="16987" s="101" customFormat="1" spans="6:6">
      <c r="F16987" s="2423"/>
    </row>
    <row r="16988" s="101" customFormat="1" spans="6:6">
      <c r="F16988" s="2423"/>
    </row>
    <row r="16989" s="101" customFormat="1" spans="6:6">
      <c r="F16989" s="2423"/>
    </row>
    <row r="16990" s="101" customFormat="1" spans="6:6">
      <c r="F16990" s="2423"/>
    </row>
    <row r="16991" s="101" customFormat="1" spans="6:6">
      <c r="F16991" s="2423"/>
    </row>
    <row r="16992" s="101" customFormat="1" spans="6:6">
      <c r="F16992" s="2423"/>
    </row>
    <row r="16993" s="101" customFormat="1" spans="6:6">
      <c r="F16993" s="2423"/>
    </row>
    <row r="16994" s="101" customFormat="1" spans="6:6">
      <c r="F16994" s="2423"/>
    </row>
    <row r="16995" s="101" customFormat="1" spans="6:6">
      <c r="F16995" s="2423"/>
    </row>
    <row r="16996" s="101" customFormat="1" spans="6:6">
      <c r="F16996" s="2423"/>
    </row>
    <row r="16997" s="101" customFormat="1" spans="6:6">
      <c r="F16997" s="2423"/>
    </row>
    <row r="16998" s="101" customFormat="1" spans="6:6">
      <c r="F16998" s="2423"/>
    </row>
    <row r="16999" s="101" customFormat="1" spans="6:6">
      <c r="F16999" s="2423"/>
    </row>
    <row r="17000" s="101" customFormat="1" spans="6:6">
      <c r="F17000" s="2423"/>
    </row>
    <row r="17001" s="101" customFormat="1" spans="6:6">
      <c r="F17001" s="2423"/>
    </row>
    <row r="17002" s="101" customFormat="1" spans="6:6">
      <c r="F17002" s="2423"/>
    </row>
    <row r="17003" s="101" customFormat="1" spans="6:6">
      <c r="F17003" s="2423"/>
    </row>
    <row r="17004" s="101" customFormat="1" spans="6:6">
      <c r="F17004" s="2423"/>
    </row>
    <row r="17005" s="101" customFormat="1" spans="6:6">
      <c r="F17005" s="2423"/>
    </row>
    <row r="17006" s="101" customFormat="1" spans="6:6">
      <c r="F17006" s="2423"/>
    </row>
    <row r="17007" s="101" customFormat="1" spans="6:6">
      <c r="F17007" s="2423"/>
    </row>
    <row r="17008" s="101" customFormat="1" spans="6:6">
      <c r="F17008" s="2423"/>
    </row>
    <row r="17009" s="101" customFormat="1" spans="6:6">
      <c r="F17009" s="2423"/>
    </row>
    <row r="17010" s="101" customFormat="1" spans="6:6">
      <c r="F17010" s="2423"/>
    </row>
    <row r="17011" s="101" customFormat="1" spans="6:6">
      <c r="F17011" s="2423"/>
    </row>
    <row r="17012" s="101" customFormat="1" spans="6:6">
      <c r="F17012" s="2423"/>
    </row>
    <row r="17013" s="101" customFormat="1" spans="6:6">
      <c r="F17013" s="2423"/>
    </row>
    <row r="17014" s="101" customFormat="1" spans="6:6">
      <c r="F17014" s="2423"/>
    </row>
    <row r="17015" s="101" customFormat="1" spans="6:6">
      <c r="F17015" s="2423"/>
    </row>
    <row r="17016" s="101" customFormat="1" spans="6:6">
      <c r="F17016" s="2423"/>
    </row>
    <row r="17017" s="101" customFormat="1" spans="6:6">
      <c r="F17017" s="2423"/>
    </row>
    <row r="17018" s="101" customFormat="1" spans="6:6">
      <c r="F17018" s="2423"/>
    </row>
    <row r="17019" s="101" customFormat="1" spans="6:6">
      <c r="F17019" s="2423"/>
    </row>
    <row r="17020" s="101" customFormat="1" spans="6:6">
      <c r="F17020" s="2423"/>
    </row>
    <row r="17021" s="101" customFormat="1" spans="6:6">
      <c r="F17021" s="2423"/>
    </row>
    <row r="17022" s="101" customFormat="1" spans="6:6">
      <c r="F17022" s="2423"/>
    </row>
    <row r="17023" s="101" customFormat="1" spans="6:6">
      <c r="F17023" s="2423"/>
    </row>
    <row r="17024" s="101" customFormat="1" spans="6:6">
      <c r="F17024" s="2423"/>
    </row>
    <row r="17025" s="101" customFormat="1" spans="6:6">
      <c r="F17025" s="2423"/>
    </row>
    <row r="17026" s="101" customFormat="1" spans="6:6">
      <c r="F17026" s="2423"/>
    </row>
    <row r="17027" s="101" customFormat="1" spans="6:6">
      <c r="F17027" s="2423"/>
    </row>
    <row r="17028" s="101" customFormat="1" spans="6:6">
      <c r="F17028" s="2423"/>
    </row>
    <row r="17029" s="101" customFormat="1" spans="6:6">
      <c r="F17029" s="2423"/>
    </row>
    <row r="17030" s="101" customFormat="1" spans="6:6">
      <c r="F17030" s="2423"/>
    </row>
    <row r="17031" s="101" customFormat="1" spans="6:6">
      <c r="F17031" s="2423"/>
    </row>
    <row r="17032" s="101" customFormat="1" spans="6:6">
      <c r="F17032" s="2423"/>
    </row>
    <row r="17033" s="101" customFormat="1" spans="6:6">
      <c r="F17033" s="2423"/>
    </row>
    <row r="17034" s="101" customFormat="1" spans="6:6">
      <c r="F17034" s="2423"/>
    </row>
    <row r="17035" s="101" customFormat="1" spans="6:6">
      <c r="F17035" s="2423"/>
    </row>
    <row r="17036" s="101" customFormat="1" spans="6:6">
      <c r="F17036" s="2423"/>
    </row>
    <row r="17037" s="101" customFormat="1" spans="6:6">
      <c r="F17037" s="2423"/>
    </row>
    <row r="17038" s="101" customFormat="1" spans="6:6">
      <c r="F17038" s="2423"/>
    </row>
    <row r="17039" s="101" customFormat="1" spans="6:6">
      <c r="F17039" s="2423"/>
    </row>
    <row r="17040" s="101" customFormat="1" spans="6:6">
      <c r="F17040" s="2423"/>
    </row>
    <row r="17041" s="101" customFormat="1" spans="6:6">
      <c r="F17041" s="2423"/>
    </row>
    <row r="17042" s="101" customFormat="1" spans="6:6">
      <c r="F17042" s="2423"/>
    </row>
    <row r="17043" s="101" customFormat="1" spans="6:6">
      <c r="F17043" s="2423"/>
    </row>
    <row r="17044" s="101" customFormat="1" spans="6:6">
      <c r="F17044" s="2423"/>
    </row>
    <row r="17045" s="101" customFormat="1" spans="6:6">
      <c r="F17045" s="2423"/>
    </row>
    <row r="17046" s="101" customFormat="1" spans="6:6">
      <c r="F17046" s="2423"/>
    </row>
    <row r="17047" s="101" customFormat="1" spans="6:6">
      <c r="F17047" s="2423"/>
    </row>
    <row r="17048" s="101" customFormat="1" spans="6:6">
      <c r="F17048" s="2423"/>
    </row>
    <row r="17049" s="101" customFormat="1" spans="6:6">
      <c r="F17049" s="2423"/>
    </row>
    <row r="17050" s="101" customFormat="1" spans="6:6">
      <c r="F17050" s="2423"/>
    </row>
    <row r="17051" s="101" customFormat="1" spans="6:6">
      <c r="F17051" s="2423"/>
    </row>
    <row r="17052" s="101" customFormat="1" spans="6:6">
      <c r="F17052" s="2423"/>
    </row>
    <row r="17053" s="101" customFormat="1" spans="6:6">
      <c r="F17053" s="2423"/>
    </row>
    <row r="17054" s="101" customFormat="1" spans="6:6">
      <c r="F17054" s="2423"/>
    </row>
    <row r="17055" s="101" customFormat="1" spans="6:6">
      <c r="F17055" s="2423"/>
    </row>
    <row r="17056" s="101" customFormat="1" spans="6:6">
      <c r="F17056" s="2423"/>
    </row>
    <row r="17057" s="101" customFormat="1" spans="6:6">
      <c r="F17057" s="2423"/>
    </row>
    <row r="17058" s="101" customFormat="1" spans="6:6">
      <c r="F17058" s="2423"/>
    </row>
    <row r="17059" s="101" customFormat="1" spans="6:6">
      <c r="F17059" s="2423"/>
    </row>
    <row r="17060" s="101" customFormat="1" spans="6:6">
      <c r="F17060" s="2423"/>
    </row>
    <row r="17061" s="101" customFormat="1" spans="6:6">
      <c r="F17061" s="2423"/>
    </row>
    <row r="17062" s="101" customFormat="1" spans="6:6">
      <c r="F17062" s="2423"/>
    </row>
    <row r="17063" s="101" customFormat="1" spans="6:6">
      <c r="F17063" s="2423"/>
    </row>
    <row r="17064" s="101" customFormat="1" spans="6:6">
      <c r="F17064" s="2423"/>
    </row>
    <row r="17065" s="101" customFormat="1" spans="6:6">
      <c r="F17065" s="2423"/>
    </row>
    <row r="17066" s="101" customFormat="1" spans="6:6">
      <c r="F17066" s="2423"/>
    </row>
    <row r="17067" s="101" customFormat="1" spans="6:6">
      <c r="F17067" s="2423"/>
    </row>
    <row r="17068" s="101" customFormat="1" spans="6:6">
      <c r="F17068" s="2423"/>
    </row>
    <row r="17069" s="101" customFormat="1" spans="6:6">
      <c r="F17069" s="2423"/>
    </row>
    <row r="17070" s="101" customFormat="1" spans="6:6">
      <c r="F17070" s="2423"/>
    </row>
    <row r="17071" s="101" customFormat="1" spans="6:6">
      <c r="F17071" s="2423"/>
    </row>
    <row r="17072" s="101" customFormat="1" spans="6:6">
      <c r="F17072" s="2423"/>
    </row>
    <row r="17073" s="101" customFormat="1" spans="6:6">
      <c r="F17073" s="2423"/>
    </row>
    <row r="17074" s="101" customFormat="1" spans="6:6">
      <c r="F17074" s="2423"/>
    </row>
    <row r="17075" s="101" customFormat="1" spans="6:6">
      <c r="F17075" s="2423"/>
    </row>
    <row r="17076" s="101" customFormat="1" spans="6:6">
      <c r="F17076" s="2423"/>
    </row>
    <row r="17077" s="101" customFormat="1" spans="6:6">
      <c r="F17077" s="2423"/>
    </row>
    <row r="17078" s="101" customFormat="1" spans="6:6">
      <c r="F17078" s="2423"/>
    </row>
    <row r="17079" s="101" customFormat="1" spans="6:6">
      <c r="F17079" s="2423"/>
    </row>
    <row r="17080" s="101" customFormat="1" spans="6:6">
      <c r="F17080" s="2423"/>
    </row>
    <row r="17081" s="101" customFormat="1" spans="6:6">
      <c r="F17081" s="2423"/>
    </row>
    <row r="17082" s="101" customFormat="1" spans="6:6">
      <c r="F17082" s="2423"/>
    </row>
    <row r="17083" s="101" customFormat="1" spans="6:6">
      <c r="F17083" s="2423"/>
    </row>
    <row r="17084" s="101" customFormat="1" spans="6:6">
      <c r="F17084" s="2423"/>
    </row>
    <row r="17085" s="101" customFormat="1" spans="6:6">
      <c r="F17085" s="2423"/>
    </row>
    <row r="17086" s="101" customFormat="1" spans="6:6">
      <c r="F17086" s="2423"/>
    </row>
    <row r="17087" s="101" customFormat="1" spans="6:6">
      <c r="F17087" s="2423"/>
    </row>
    <row r="17088" s="101" customFormat="1" spans="6:6">
      <c r="F17088" s="2423"/>
    </row>
    <row r="17089" s="101" customFormat="1" spans="6:6">
      <c r="F17089" s="2423"/>
    </row>
    <row r="17090" s="101" customFormat="1" spans="6:6">
      <c r="F17090" s="2423"/>
    </row>
    <row r="17091" s="101" customFormat="1" spans="6:6">
      <c r="F17091" s="2423"/>
    </row>
    <row r="17092" s="101" customFormat="1" spans="6:6">
      <c r="F17092" s="2423"/>
    </row>
    <row r="17093" s="101" customFormat="1" spans="6:6">
      <c r="F17093" s="2423"/>
    </row>
    <row r="17094" s="101" customFormat="1" spans="6:6">
      <c r="F17094" s="2423"/>
    </row>
    <row r="17095" s="101" customFormat="1" spans="6:6">
      <c r="F17095" s="2423"/>
    </row>
    <row r="17096" s="101" customFormat="1" spans="6:6">
      <c r="F17096" s="2423"/>
    </row>
    <row r="17097" s="101" customFormat="1" spans="6:6">
      <c r="F17097" s="2423"/>
    </row>
    <row r="17098" s="101" customFormat="1" spans="6:6">
      <c r="F17098" s="2423"/>
    </row>
    <row r="17099" s="101" customFormat="1" spans="6:6">
      <c r="F17099" s="2423"/>
    </row>
    <row r="17100" s="101" customFormat="1" spans="6:6">
      <c r="F17100" s="2423"/>
    </row>
    <row r="17101" s="101" customFormat="1" spans="6:6">
      <c r="F17101" s="2423"/>
    </row>
    <row r="17102" s="101" customFormat="1" spans="6:6">
      <c r="F17102" s="2423"/>
    </row>
    <row r="17103" s="101" customFormat="1" spans="6:6">
      <c r="F17103" s="2423"/>
    </row>
    <row r="17104" s="101" customFormat="1" spans="6:6">
      <c r="F17104" s="2423"/>
    </row>
    <row r="17105" s="101" customFormat="1" spans="6:6">
      <c r="F17105" s="2423"/>
    </row>
    <row r="17106" s="101" customFormat="1" spans="6:6">
      <c r="F17106" s="2423"/>
    </row>
    <row r="17107" s="101" customFormat="1" spans="6:6">
      <c r="F17107" s="2423"/>
    </row>
    <row r="17108" s="101" customFormat="1" spans="6:6">
      <c r="F17108" s="2423"/>
    </row>
    <row r="17109" s="101" customFormat="1" spans="6:6">
      <c r="F17109" s="2423"/>
    </row>
    <row r="17110" s="101" customFormat="1" spans="6:6">
      <c r="F17110" s="2423"/>
    </row>
    <row r="17111" s="101" customFormat="1" spans="6:6">
      <c r="F17111" s="2423"/>
    </row>
    <row r="17112" s="101" customFormat="1" spans="6:6">
      <c r="F17112" s="2423"/>
    </row>
    <row r="17113" s="101" customFormat="1" spans="6:6">
      <c r="F17113" s="2423"/>
    </row>
    <row r="17114" s="101" customFormat="1" spans="6:6">
      <c r="F17114" s="2423"/>
    </row>
    <row r="17115" s="101" customFormat="1" spans="6:6">
      <c r="F17115" s="2423"/>
    </row>
    <row r="17116" s="101" customFormat="1" spans="6:6">
      <c r="F17116" s="2423"/>
    </row>
    <row r="17117" s="101" customFormat="1" spans="6:6">
      <c r="F17117" s="2423"/>
    </row>
    <row r="17118" s="101" customFormat="1" spans="6:6">
      <c r="F17118" s="2423"/>
    </row>
    <row r="17119" s="101" customFormat="1" spans="6:6">
      <c r="F17119" s="2423"/>
    </row>
    <row r="17120" s="101" customFormat="1" spans="6:6">
      <c r="F17120" s="2423"/>
    </row>
    <row r="17121" s="101" customFormat="1" spans="6:6">
      <c r="F17121" s="2423"/>
    </row>
    <row r="17122" s="101" customFormat="1" spans="6:6">
      <c r="F17122" s="2423"/>
    </row>
    <row r="17123" s="101" customFormat="1" spans="6:6">
      <c r="F17123" s="2423"/>
    </row>
    <row r="17124" s="101" customFormat="1" spans="6:6">
      <c r="F17124" s="2423"/>
    </row>
    <row r="17125" s="101" customFormat="1" spans="6:6">
      <c r="F17125" s="2423"/>
    </row>
    <row r="17126" s="101" customFormat="1" spans="6:6">
      <c r="F17126" s="2423"/>
    </row>
    <row r="17127" s="101" customFormat="1" spans="6:6">
      <c r="F17127" s="2423"/>
    </row>
    <row r="17128" s="101" customFormat="1" spans="6:6">
      <c r="F17128" s="2423"/>
    </row>
    <row r="17129" s="101" customFormat="1" spans="6:6">
      <c r="F17129" s="2423"/>
    </row>
    <row r="17130" s="101" customFormat="1" spans="6:6">
      <c r="F17130" s="2423"/>
    </row>
    <row r="17131" s="101" customFormat="1" spans="6:6">
      <c r="F17131" s="2423"/>
    </row>
    <row r="17132" s="101" customFormat="1" spans="6:6">
      <c r="F17132" s="2423"/>
    </row>
    <row r="17133" s="101" customFormat="1" spans="6:6">
      <c r="F17133" s="2423"/>
    </row>
    <row r="17134" s="101" customFormat="1" spans="6:6">
      <c r="F17134" s="2423"/>
    </row>
    <row r="17135" s="101" customFormat="1" spans="6:6">
      <c r="F17135" s="2423"/>
    </row>
    <row r="17136" s="101" customFormat="1" spans="6:6">
      <c r="F17136" s="2423"/>
    </row>
    <row r="17137" s="101" customFormat="1" spans="6:6">
      <c r="F17137" s="2423"/>
    </row>
    <row r="17138" s="101" customFormat="1" spans="6:6">
      <c r="F17138" s="2423"/>
    </row>
    <row r="17139" s="101" customFormat="1" spans="6:6">
      <c r="F17139" s="2423"/>
    </row>
    <row r="17140" s="101" customFormat="1" spans="6:6">
      <c r="F17140" s="2423"/>
    </row>
    <row r="17141" s="101" customFormat="1" spans="6:6">
      <c r="F17141" s="2423"/>
    </row>
    <row r="17142" s="101" customFormat="1" spans="6:6">
      <c r="F17142" s="2423"/>
    </row>
    <row r="17143" s="101" customFormat="1" spans="6:6">
      <c r="F17143" s="2423"/>
    </row>
    <row r="17144" s="101" customFormat="1" spans="6:6">
      <c r="F17144" s="2423"/>
    </row>
    <row r="17145" s="101" customFormat="1" spans="6:6">
      <c r="F17145" s="2423"/>
    </row>
    <row r="17146" s="101" customFormat="1" spans="6:6">
      <c r="F17146" s="2423"/>
    </row>
    <row r="17147" s="101" customFormat="1" spans="6:6">
      <c r="F17147" s="2423"/>
    </row>
    <row r="17148" s="101" customFormat="1" spans="6:6">
      <c r="F17148" s="2423"/>
    </row>
    <row r="17149" s="101" customFormat="1" spans="6:6">
      <c r="F17149" s="2423"/>
    </row>
    <row r="17150" s="101" customFormat="1" spans="6:6">
      <c r="F17150" s="2423"/>
    </row>
    <row r="17151" s="101" customFormat="1" spans="6:6">
      <c r="F17151" s="2423"/>
    </row>
    <row r="17152" s="101" customFormat="1" spans="6:6">
      <c r="F17152" s="2423"/>
    </row>
    <row r="17153" s="101" customFormat="1" spans="6:6">
      <c r="F17153" s="2423"/>
    </row>
    <row r="17154" s="101" customFormat="1" spans="6:6">
      <c r="F17154" s="2423"/>
    </row>
    <row r="17155" s="101" customFormat="1" spans="6:6">
      <c r="F17155" s="2423"/>
    </row>
    <row r="17156" s="101" customFormat="1" spans="6:6">
      <c r="F17156" s="2423"/>
    </row>
    <row r="17157" s="101" customFormat="1" spans="6:6">
      <c r="F17157" s="2423"/>
    </row>
    <row r="17158" s="101" customFormat="1" spans="6:6">
      <c r="F17158" s="2423"/>
    </row>
    <row r="17159" s="101" customFormat="1" spans="6:6">
      <c r="F17159" s="2423"/>
    </row>
    <row r="17160" s="101" customFormat="1" spans="6:6">
      <c r="F17160" s="2423"/>
    </row>
    <row r="17161" s="101" customFormat="1" spans="6:6">
      <c r="F17161" s="2423"/>
    </row>
    <row r="17162" s="101" customFormat="1" spans="6:6">
      <c r="F17162" s="2423"/>
    </row>
    <row r="17163" s="101" customFormat="1" spans="6:6">
      <c r="F17163" s="2423"/>
    </row>
    <row r="17164" s="101" customFormat="1" spans="6:6">
      <c r="F17164" s="2423"/>
    </row>
    <row r="17165" s="101" customFormat="1" spans="6:6">
      <c r="F17165" s="2423"/>
    </row>
    <row r="17166" s="101" customFormat="1" spans="6:6">
      <c r="F17166" s="2423"/>
    </row>
    <row r="17167" s="101" customFormat="1" spans="6:6">
      <c r="F17167" s="2423"/>
    </row>
    <row r="17168" s="101" customFormat="1" spans="6:6">
      <c r="F17168" s="2423"/>
    </row>
    <row r="17169" s="101" customFormat="1" spans="6:6">
      <c r="F17169" s="2423"/>
    </row>
    <row r="17170" s="101" customFormat="1" spans="6:6">
      <c r="F17170" s="2423"/>
    </row>
    <row r="17171" s="101" customFormat="1" spans="6:6">
      <c r="F17171" s="2423"/>
    </row>
    <row r="17172" s="101" customFormat="1" spans="6:6">
      <c r="F17172" s="2423"/>
    </row>
    <row r="17173" s="101" customFormat="1" spans="6:6">
      <c r="F17173" s="2423"/>
    </row>
    <row r="17174" s="101" customFormat="1" spans="6:6">
      <c r="F17174" s="2423"/>
    </row>
    <row r="17175" s="101" customFormat="1" spans="6:6">
      <c r="F17175" s="2423"/>
    </row>
    <row r="17176" s="101" customFormat="1" spans="6:6">
      <c r="F17176" s="2423"/>
    </row>
    <row r="17177" s="101" customFormat="1" spans="6:6">
      <c r="F17177" s="2423"/>
    </row>
    <row r="17178" s="101" customFormat="1" spans="6:6">
      <c r="F17178" s="2423"/>
    </row>
    <row r="17179" s="101" customFormat="1" spans="6:6">
      <c r="F17179" s="2423"/>
    </row>
    <row r="17180" s="101" customFormat="1" spans="6:6">
      <c r="F17180" s="2423"/>
    </row>
    <row r="17181" s="101" customFormat="1" spans="6:6">
      <c r="F17181" s="2423"/>
    </row>
    <row r="17182" s="101" customFormat="1" spans="6:6">
      <c r="F17182" s="2423"/>
    </row>
    <row r="17183" s="101" customFormat="1" spans="6:6">
      <c r="F17183" s="2423"/>
    </row>
    <row r="17184" s="101" customFormat="1" spans="6:6">
      <c r="F17184" s="2423"/>
    </row>
    <row r="17185" s="101" customFormat="1" spans="6:6">
      <c r="F17185" s="2423"/>
    </row>
    <row r="17186" s="101" customFormat="1" spans="6:6">
      <c r="F17186" s="2423"/>
    </row>
    <row r="17187" s="101" customFormat="1" spans="6:6">
      <c r="F17187" s="2423"/>
    </row>
    <row r="17188" s="101" customFormat="1" spans="6:6">
      <c r="F17188" s="2423"/>
    </row>
    <row r="17189" s="101" customFormat="1" spans="6:6">
      <c r="F17189" s="2423"/>
    </row>
    <row r="17190" s="101" customFormat="1" spans="6:6">
      <c r="F17190" s="2423"/>
    </row>
    <row r="17191" s="101" customFormat="1" spans="6:6">
      <c r="F17191" s="2423"/>
    </row>
    <row r="17192" s="101" customFormat="1" spans="6:6">
      <c r="F17192" s="2423"/>
    </row>
    <row r="17193" s="101" customFormat="1" spans="6:6">
      <c r="F17193" s="2423"/>
    </row>
    <row r="17194" s="101" customFormat="1" spans="6:6">
      <c r="F17194" s="2423"/>
    </row>
    <row r="17195" s="101" customFormat="1" spans="6:6">
      <c r="F17195" s="2423"/>
    </row>
    <row r="17196" s="101" customFormat="1" spans="6:6">
      <c r="F17196" s="2423"/>
    </row>
    <row r="17197" s="101" customFormat="1" spans="6:6">
      <c r="F17197" s="2423"/>
    </row>
    <row r="17198" s="101" customFormat="1" spans="6:6">
      <c r="F17198" s="2423"/>
    </row>
    <row r="17199" s="101" customFormat="1" spans="6:6">
      <c r="F17199" s="2423"/>
    </row>
    <row r="17200" s="101" customFormat="1" spans="6:6">
      <c r="F17200" s="2423"/>
    </row>
    <row r="17201" s="101" customFormat="1" spans="6:6">
      <c r="F17201" s="2423"/>
    </row>
    <row r="17202" s="101" customFormat="1" spans="6:6">
      <c r="F17202" s="2423"/>
    </row>
    <row r="17203" s="101" customFormat="1" spans="6:6">
      <c r="F17203" s="2423"/>
    </row>
    <row r="17204" s="101" customFormat="1" spans="6:6">
      <c r="F17204" s="2423"/>
    </row>
    <row r="17205" s="101" customFormat="1" spans="6:6">
      <c r="F17205" s="2423"/>
    </row>
    <row r="17206" s="101" customFormat="1" spans="6:6">
      <c r="F17206" s="2423"/>
    </row>
    <row r="17207" s="101" customFormat="1" spans="6:6">
      <c r="F17207" s="2423"/>
    </row>
    <row r="17208" s="101" customFormat="1" spans="6:6">
      <c r="F17208" s="2423"/>
    </row>
    <row r="17209" s="101" customFormat="1" spans="6:6">
      <c r="F17209" s="2423"/>
    </row>
    <row r="17210" s="101" customFormat="1" spans="6:6">
      <c r="F17210" s="2423"/>
    </row>
    <row r="17211" s="101" customFormat="1" spans="6:6">
      <c r="F17211" s="2423"/>
    </row>
    <row r="17212" s="101" customFormat="1" spans="6:6">
      <c r="F17212" s="2423"/>
    </row>
    <row r="17213" s="101" customFormat="1" spans="6:6">
      <c r="F17213" s="2423"/>
    </row>
    <row r="17214" s="101" customFormat="1" spans="6:6">
      <c r="F17214" s="2423"/>
    </row>
    <row r="17215" s="101" customFormat="1" spans="6:6">
      <c r="F17215" s="2423"/>
    </row>
    <row r="17216" s="101" customFormat="1" spans="6:6">
      <c r="F17216" s="2423"/>
    </row>
    <row r="17217" s="101" customFormat="1" spans="6:6">
      <c r="F17217" s="2423"/>
    </row>
    <row r="17218" s="101" customFormat="1" spans="6:6">
      <c r="F17218" s="2423"/>
    </row>
    <row r="17219" s="101" customFormat="1" spans="6:6">
      <c r="F17219" s="2423"/>
    </row>
    <row r="17220" s="101" customFormat="1" spans="6:6">
      <c r="F17220" s="2423"/>
    </row>
    <row r="17221" s="101" customFormat="1" spans="6:6">
      <c r="F17221" s="2423"/>
    </row>
    <row r="17222" s="101" customFormat="1" spans="6:6">
      <c r="F17222" s="2423"/>
    </row>
    <row r="17223" s="101" customFormat="1" spans="6:6">
      <c r="F17223" s="2423"/>
    </row>
    <row r="17224" s="101" customFormat="1" spans="6:6">
      <c r="F17224" s="2423"/>
    </row>
    <row r="17225" s="101" customFormat="1" spans="6:6">
      <c r="F17225" s="2423"/>
    </row>
    <row r="17226" s="101" customFormat="1" spans="6:6">
      <c r="F17226" s="2423"/>
    </row>
    <row r="17227" s="101" customFormat="1" spans="6:6">
      <c r="F17227" s="2423"/>
    </row>
    <row r="17228" s="101" customFormat="1" spans="6:6">
      <c r="F17228" s="2423"/>
    </row>
    <row r="17229" s="101" customFormat="1" spans="6:6">
      <c r="F17229" s="2423"/>
    </row>
    <row r="17230" s="101" customFormat="1" spans="6:6">
      <c r="F17230" s="2423"/>
    </row>
    <row r="17231" s="101" customFormat="1" spans="6:6">
      <c r="F17231" s="2423"/>
    </row>
    <row r="17232" s="101" customFormat="1" spans="6:6">
      <c r="F17232" s="2423"/>
    </row>
    <row r="17233" s="101" customFormat="1" spans="6:6">
      <c r="F17233" s="2423"/>
    </row>
    <row r="17234" s="101" customFormat="1" spans="6:6">
      <c r="F17234" s="2423"/>
    </row>
    <row r="17235" s="101" customFormat="1" spans="6:6">
      <c r="F17235" s="2423"/>
    </row>
    <row r="17236" s="101" customFormat="1" spans="6:6">
      <c r="F17236" s="2423"/>
    </row>
    <row r="17237" s="101" customFormat="1" spans="6:6">
      <c r="F17237" s="2423"/>
    </row>
    <row r="17238" s="101" customFormat="1" spans="6:6">
      <c r="F17238" s="2423"/>
    </row>
    <row r="17239" s="101" customFormat="1" spans="6:6">
      <c r="F17239" s="2423"/>
    </row>
    <row r="17240" s="101" customFormat="1" spans="6:6">
      <c r="F17240" s="2423"/>
    </row>
    <row r="17241" s="101" customFormat="1" spans="6:6">
      <c r="F17241" s="2423"/>
    </row>
    <row r="17242" s="101" customFormat="1" spans="6:6">
      <c r="F17242" s="2423"/>
    </row>
    <row r="17243" s="101" customFormat="1" spans="6:6">
      <c r="F17243" s="2423"/>
    </row>
    <row r="17244" s="101" customFormat="1" spans="6:6">
      <c r="F17244" s="2423"/>
    </row>
    <row r="17245" s="101" customFormat="1" spans="6:6">
      <c r="F17245" s="2423"/>
    </row>
    <row r="17246" s="101" customFormat="1" spans="6:6">
      <c r="F17246" s="2423"/>
    </row>
    <row r="17247" s="101" customFormat="1" spans="6:6">
      <c r="F17247" s="2423"/>
    </row>
    <row r="17248" s="101" customFormat="1" spans="6:6">
      <c r="F17248" s="2423"/>
    </row>
    <row r="17249" s="101" customFormat="1" spans="6:6">
      <c r="F17249" s="2423"/>
    </row>
    <row r="17250" s="101" customFormat="1" spans="6:6">
      <c r="F17250" s="2423"/>
    </row>
    <row r="17251" s="101" customFormat="1" spans="6:6">
      <c r="F17251" s="2423"/>
    </row>
    <row r="17252" s="101" customFormat="1" spans="6:6">
      <c r="F17252" s="2423"/>
    </row>
    <row r="17253" s="101" customFormat="1" spans="6:6">
      <c r="F17253" s="2423"/>
    </row>
    <row r="17254" s="101" customFormat="1" spans="6:6">
      <c r="F17254" s="2423"/>
    </row>
    <row r="17255" s="101" customFormat="1" spans="6:6">
      <c r="F17255" s="2423"/>
    </row>
    <row r="17256" s="101" customFormat="1" spans="6:6">
      <c r="F17256" s="2423"/>
    </row>
    <row r="17257" s="101" customFormat="1" spans="6:6">
      <c r="F17257" s="2423"/>
    </row>
    <row r="17258" s="101" customFormat="1" spans="6:6">
      <c r="F17258" s="2423"/>
    </row>
    <row r="17259" s="101" customFormat="1" spans="6:6">
      <c r="F17259" s="2423"/>
    </row>
    <row r="17260" s="101" customFormat="1" spans="6:6">
      <c r="F17260" s="2423"/>
    </row>
    <row r="17261" s="101" customFormat="1" spans="6:6">
      <c r="F17261" s="2423"/>
    </row>
    <row r="17262" s="101" customFormat="1" spans="6:6">
      <c r="F17262" s="2423"/>
    </row>
    <row r="17263" s="101" customFormat="1" spans="6:6">
      <c r="F17263" s="2423"/>
    </row>
    <row r="17264" s="101" customFormat="1" spans="6:6">
      <c r="F17264" s="2423"/>
    </row>
    <row r="17265" s="101" customFormat="1" spans="6:6">
      <c r="F17265" s="2423"/>
    </row>
    <row r="17266" s="101" customFormat="1" spans="6:6">
      <c r="F17266" s="2423"/>
    </row>
    <row r="17267" s="101" customFormat="1" spans="6:6">
      <c r="F17267" s="2423"/>
    </row>
    <row r="17268" s="101" customFormat="1" spans="6:6">
      <c r="F17268" s="2423"/>
    </row>
    <row r="17269" s="101" customFormat="1" spans="6:6">
      <c r="F17269" s="2423"/>
    </row>
    <row r="17270" s="101" customFormat="1" spans="6:6">
      <c r="F17270" s="2423"/>
    </row>
    <row r="17271" s="101" customFormat="1" spans="6:6">
      <c r="F17271" s="2423"/>
    </row>
    <row r="17272" s="101" customFormat="1" spans="6:6">
      <c r="F17272" s="2423"/>
    </row>
    <row r="17273" s="101" customFormat="1" spans="6:6">
      <c r="F17273" s="2423"/>
    </row>
    <row r="17274" s="101" customFormat="1" spans="6:6">
      <c r="F17274" s="2423"/>
    </row>
    <row r="17275" s="101" customFormat="1" spans="6:6">
      <c r="F17275" s="2423"/>
    </row>
    <row r="17276" s="101" customFormat="1" spans="6:6">
      <c r="F17276" s="2423"/>
    </row>
    <row r="17277" s="101" customFormat="1" spans="6:6">
      <c r="F17277" s="2423"/>
    </row>
    <row r="17278" s="101" customFormat="1" spans="6:6">
      <c r="F17278" s="2423"/>
    </row>
    <row r="17279" s="101" customFormat="1" spans="6:6">
      <c r="F17279" s="2423"/>
    </row>
    <row r="17280" s="101" customFormat="1" spans="6:6">
      <c r="F17280" s="2423"/>
    </row>
    <row r="17281" s="101" customFormat="1" spans="6:6">
      <c r="F17281" s="2423"/>
    </row>
    <row r="17282" s="101" customFormat="1" spans="6:6">
      <c r="F17282" s="2423"/>
    </row>
    <row r="17283" s="101" customFormat="1" spans="6:6">
      <c r="F17283" s="2423"/>
    </row>
    <row r="17284" s="101" customFormat="1" spans="6:6">
      <c r="F17284" s="2423"/>
    </row>
    <row r="17285" s="101" customFormat="1" spans="6:6">
      <c r="F17285" s="2423"/>
    </row>
    <row r="17286" s="101" customFormat="1" spans="6:6">
      <c r="F17286" s="2423"/>
    </row>
    <row r="17287" s="101" customFormat="1" spans="6:6">
      <c r="F17287" s="2423"/>
    </row>
    <row r="17288" s="101" customFormat="1" spans="6:6">
      <c r="F17288" s="2423"/>
    </row>
    <row r="17289" s="101" customFormat="1" spans="6:6">
      <c r="F17289" s="2423"/>
    </row>
    <row r="17290" s="101" customFormat="1" spans="6:6">
      <c r="F17290" s="2423"/>
    </row>
    <row r="17291" s="101" customFormat="1" spans="6:6">
      <c r="F17291" s="2423"/>
    </row>
    <row r="17292" s="101" customFormat="1" spans="6:6">
      <c r="F17292" s="2423"/>
    </row>
    <row r="17293" s="101" customFormat="1" spans="6:6">
      <c r="F17293" s="2423"/>
    </row>
    <row r="17294" s="101" customFormat="1" spans="6:6">
      <c r="F17294" s="2423"/>
    </row>
    <row r="17295" s="101" customFormat="1" spans="6:6">
      <c r="F17295" s="2423"/>
    </row>
    <row r="17296" s="101" customFormat="1" spans="6:6">
      <c r="F17296" s="2423"/>
    </row>
    <row r="17297" s="101" customFormat="1" spans="6:6">
      <c r="F17297" s="2423"/>
    </row>
    <row r="17298" s="101" customFormat="1" spans="6:6">
      <c r="F17298" s="2423"/>
    </row>
    <row r="17299" s="101" customFormat="1" spans="6:6">
      <c r="F17299" s="2423"/>
    </row>
    <row r="17300" s="101" customFormat="1" spans="6:6">
      <c r="F17300" s="2423"/>
    </row>
    <row r="17301" s="101" customFormat="1" spans="6:6">
      <c r="F17301" s="2423"/>
    </row>
    <row r="17302" s="101" customFormat="1" spans="6:6">
      <c r="F17302" s="2423"/>
    </row>
    <row r="17303" s="101" customFormat="1" spans="6:6">
      <c r="F17303" s="2423"/>
    </row>
    <row r="17304" s="101" customFormat="1" spans="6:6">
      <c r="F17304" s="2423"/>
    </row>
    <row r="17305" s="101" customFormat="1" spans="6:6">
      <c r="F17305" s="2423"/>
    </row>
    <row r="17306" s="101" customFormat="1" spans="6:6">
      <c r="F17306" s="2423"/>
    </row>
    <row r="17307" s="101" customFormat="1" spans="6:6">
      <c r="F17307" s="2423"/>
    </row>
    <row r="17308" s="101" customFormat="1" spans="6:6">
      <c r="F17308" s="2423"/>
    </row>
    <row r="17309" s="101" customFormat="1" spans="6:6">
      <c r="F17309" s="2423"/>
    </row>
    <row r="17310" s="101" customFormat="1" spans="6:6">
      <c r="F17310" s="2423"/>
    </row>
    <row r="17311" s="101" customFormat="1" spans="6:6">
      <c r="F17311" s="2423"/>
    </row>
    <row r="17312" s="101" customFormat="1" spans="6:6">
      <c r="F17312" s="2423"/>
    </row>
    <row r="17313" s="101" customFormat="1" spans="6:6">
      <c r="F17313" s="2423"/>
    </row>
    <row r="17314" s="101" customFormat="1" spans="6:6">
      <c r="F17314" s="2423"/>
    </row>
    <row r="17315" s="101" customFormat="1" spans="6:6">
      <c r="F17315" s="2423"/>
    </row>
    <row r="17316" s="101" customFormat="1" spans="6:6">
      <c r="F17316" s="2423"/>
    </row>
    <row r="17317" s="101" customFormat="1" spans="6:6">
      <c r="F17317" s="2423"/>
    </row>
    <row r="17318" s="101" customFormat="1" spans="6:6">
      <c r="F17318" s="2423"/>
    </row>
    <row r="17319" s="101" customFormat="1" spans="6:6">
      <c r="F17319" s="2423"/>
    </row>
    <row r="17320" s="101" customFormat="1" spans="6:6">
      <c r="F17320" s="2423"/>
    </row>
    <row r="17321" s="101" customFormat="1" spans="6:6">
      <c r="F17321" s="2423"/>
    </row>
    <row r="17322" s="101" customFormat="1" spans="6:6">
      <c r="F17322" s="2423"/>
    </row>
    <row r="17323" s="101" customFormat="1" spans="6:6">
      <c r="F17323" s="2423"/>
    </row>
    <row r="17324" s="101" customFormat="1" spans="6:6">
      <c r="F17324" s="2423"/>
    </row>
    <row r="17325" s="101" customFormat="1" spans="6:6">
      <c r="F17325" s="2423"/>
    </row>
    <row r="17326" s="101" customFormat="1" spans="6:6">
      <c r="F17326" s="2423"/>
    </row>
    <row r="17327" s="101" customFormat="1" spans="6:6">
      <c r="F17327" s="2423"/>
    </row>
    <row r="17328" s="101" customFormat="1" spans="6:6">
      <c r="F17328" s="2423"/>
    </row>
    <row r="17329" s="101" customFormat="1" spans="6:6">
      <c r="F17329" s="2423"/>
    </row>
    <row r="17330" s="101" customFormat="1" spans="6:6">
      <c r="F17330" s="2423"/>
    </row>
    <row r="17331" s="101" customFormat="1" spans="6:6">
      <c r="F17331" s="2423"/>
    </row>
    <row r="17332" s="101" customFormat="1" spans="6:6">
      <c r="F17332" s="2423"/>
    </row>
    <row r="17333" s="101" customFormat="1" spans="6:6">
      <c r="F17333" s="2423"/>
    </row>
    <row r="17334" s="101" customFormat="1" spans="6:6">
      <c r="F17334" s="2423"/>
    </row>
    <row r="17335" s="101" customFormat="1" spans="6:6">
      <c r="F17335" s="2423"/>
    </row>
    <row r="17336" s="101" customFormat="1" spans="6:6">
      <c r="F17336" s="2423"/>
    </row>
    <row r="17337" s="101" customFormat="1" spans="6:6">
      <c r="F17337" s="2423"/>
    </row>
    <row r="17338" s="101" customFormat="1" spans="6:6">
      <c r="F17338" s="2423"/>
    </row>
    <row r="17339" s="101" customFormat="1" spans="6:6">
      <c r="F17339" s="2423"/>
    </row>
    <row r="17340" s="101" customFormat="1" spans="6:6">
      <c r="F17340" s="2423"/>
    </row>
    <row r="17341" s="101" customFormat="1" spans="6:6">
      <c r="F17341" s="2423"/>
    </row>
    <row r="17342" s="101" customFormat="1" spans="6:6">
      <c r="F17342" s="2423"/>
    </row>
    <row r="17343" s="101" customFormat="1" spans="6:6">
      <c r="F17343" s="2423"/>
    </row>
    <row r="17344" s="101" customFormat="1" spans="6:6">
      <c r="F17344" s="2423"/>
    </row>
    <row r="17345" s="101" customFormat="1" spans="6:6">
      <c r="F17345" s="2423"/>
    </row>
    <row r="17346" s="101" customFormat="1" spans="6:6">
      <c r="F17346" s="2423"/>
    </row>
    <row r="17347" s="101" customFormat="1" spans="6:6">
      <c r="F17347" s="2423"/>
    </row>
    <row r="17348" s="101" customFormat="1" spans="6:6">
      <c r="F17348" s="2423"/>
    </row>
    <row r="17349" s="101" customFormat="1" spans="6:6">
      <c r="F17349" s="2423"/>
    </row>
    <row r="17350" s="101" customFormat="1" spans="6:6">
      <c r="F17350" s="2423"/>
    </row>
    <row r="17351" s="101" customFormat="1" spans="6:6">
      <c r="F17351" s="2423"/>
    </row>
    <row r="17352" s="101" customFormat="1" spans="6:6">
      <c r="F17352" s="2423"/>
    </row>
    <row r="17353" s="101" customFormat="1" spans="6:6">
      <c r="F17353" s="2423"/>
    </row>
    <row r="17354" s="101" customFormat="1" spans="6:6">
      <c r="F17354" s="2423"/>
    </row>
    <row r="17355" s="101" customFormat="1" spans="6:6">
      <c r="F17355" s="2423"/>
    </row>
    <row r="17356" s="101" customFormat="1" spans="6:6">
      <c r="F17356" s="2423"/>
    </row>
    <row r="17357" s="101" customFormat="1" spans="6:6">
      <c r="F17357" s="2423"/>
    </row>
    <row r="17358" s="101" customFormat="1" spans="6:6">
      <c r="F17358" s="2423"/>
    </row>
    <row r="17359" s="101" customFormat="1" spans="6:6">
      <c r="F17359" s="2423"/>
    </row>
    <row r="17360" s="101" customFormat="1" spans="6:6">
      <c r="F17360" s="2423"/>
    </row>
    <row r="17361" s="101" customFormat="1" spans="6:6">
      <c r="F17361" s="2423"/>
    </row>
    <row r="17362" s="101" customFormat="1" spans="6:6">
      <c r="F17362" s="2423"/>
    </row>
    <row r="17363" s="101" customFormat="1" spans="6:6">
      <c r="F17363" s="2423"/>
    </row>
    <row r="17364" s="101" customFormat="1" spans="6:6">
      <c r="F17364" s="2423"/>
    </row>
    <row r="17365" s="101" customFormat="1" spans="6:6">
      <c r="F17365" s="2423"/>
    </row>
    <row r="17366" s="101" customFormat="1" spans="6:6">
      <c r="F17366" s="2423"/>
    </row>
    <row r="17367" s="101" customFormat="1" spans="6:6">
      <c r="F17367" s="2423"/>
    </row>
    <row r="17368" s="101" customFormat="1" spans="6:6">
      <c r="F17368" s="2423"/>
    </row>
    <row r="17369" s="101" customFormat="1" spans="6:6">
      <c r="F17369" s="2423"/>
    </row>
    <row r="17370" s="101" customFormat="1" spans="6:6">
      <c r="F17370" s="2423"/>
    </row>
    <row r="17371" s="101" customFormat="1" spans="6:6">
      <c r="F17371" s="2423"/>
    </row>
    <row r="17372" s="101" customFormat="1" spans="6:6">
      <c r="F17372" s="2423"/>
    </row>
    <row r="17373" s="101" customFormat="1" spans="6:6">
      <c r="F17373" s="2423"/>
    </row>
    <row r="17374" s="101" customFormat="1" spans="6:6">
      <c r="F17374" s="2423"/>
    </row>
    <row r="17375" s="101" customFormat="1" spans="6:6">
      <c r="F17375" s="2423"/>
    </row>
    <row r="17376" s="101" customFormat="1" spans="6:6">
      <c r="F17376" s="2423"/>
    </row>
    <row r="17377" s="101" customFormat="1" spans="6:6">
      <c r="F17377" s="2423"/>
    </row>
    <row r="17378" s="101" customFormat="1" spans="6:6">
      <c r="F17378" s="2423"/>
    </row>
    <row r="17379" s="101" customFormat="1" spans="6:6">
      <c r="F17379" s="2423"/>
    </row>
    <row r="17380" s="101" customFormat="1" spans="6:6">
      <c r="F17380" s="2423"/>
    </row>
    <row r="17381" s="101" customFormat="1" spans="6:6">
      <c r="F17381" s="2423"/>
    </row>
    <row r="17382" s="101" customFormat="1" spans="6:6">
      <c r="F17382" s="2423"/>
    </row>
    <row r="17383" s="101" customFormat="1" spans="6:6">
      <c r="F17383" s="2423"/>
    </row>
    <row r="17384" s="101" customFormat="1" spans="6:6">
      <c r="F17384" s="2423"/>
    </row>
    <row r="17385" s="101" customFormat="1" spans="6:6">
      <c r="F17385" s="2423"/>
    </row>
    <row r="17386" s="101" customFormat="1" spans="6:6">
      <c r="F17386" s="2423"/>
    </row>
    <row r="17387" s="101" customFormat="1" spans="6:6">
      <c r="F17387" s="2423"/>
    </row>
    <row r="17388" s="101" customFormat="1" spans="6:6">
      <c r="F17388" s="2423"/>
    </row>
    <row r="17389" s="101" customFormat="1" spans="6:6">
      <c r="F17389" s="2423"/>
    </row>
    <row r="17390" s="101" customFormat="1" spans="6:6">
      <c r="F17390" s="2423"/>
    </row>
    <row r="17391" s="101" customFormat="1" spans="6:6">
      <c r="F17391" s="2423"/>
    </row>
    <row r="17392" s="101" customFormat="1" spans="6:6">
      <c r="F17392" s="2423"/>
    </row>
    <row r="17393" s="101" customFormat="1" spans="6:6">
      <c r="F17393" s="2423"/>
    </row>
    <row r="17394" s="101" customFormat="1" spans="6:6">
      <c r="F17394" s="2423"/>
    </row>
    <row r="17395" s="101" customFormat="1" spans="6:6">
      <c r="F17395" s="2423"/>
    </row>
    <row r="17396" s="101" customFormat="1" spans="6:6">
      <c r="F17396" s="2423"/>
    </row>
    <row r="17397" s="101" customFormat="1" spans="6:6">
      <c r="F17397" s="2423"/>
    </row>
    <row r="17398" s="101" customFormat="1" spans="6:6">
      <c r="F17398" s="2423"/>
    </row>
    <row r="17399" s="101" customFormat="1" spans="6:6">
      <c r="F17399" s="2423"/>
    </row>
    <row r="17400" s="101" customFormat="1" spans="6:6">
      <c r="F17400" s="2423"/>
    </row>
    <row r="17401" s="101" customFormat="1" spans="6:6">
      <c r="F17401" s="2423"/>
    </row>
    <row r="17402" s="101" customFormat="1" spans="6:6">
      <c r="F17402" s="2423"/>
    </row>
    <row r="17403" s="101" customFormat="1" spans="6:6">
      <c r="F17403" s="2423"/>
    </row>
    <row r="17404" s="101" customFormat="1" spans="6:6">
      <c r="F17404" s="2423"/>
    </row>
    <row r="17405" s="101" customFormat="1" spans="6:6">
      <c r="F17405" s="2423"/>
    </row>
    <row r="17406" s="101" customFormat="1" spans="6:6">
      <c r="F17406" s="2423"/>
    </row>
    <row r="17407" s="101" customFormat="1" spans="6:6">
      <c r="F17407" s="2423"/>
    </row>
    <row r="17408" s="101" customFormat="1" spans="6:6">
      <c r="F17408" s="2423"/>
    </row>
    <row r="17409" s="101" customFormat="1" spans="6:6">
      <c r="F17409" s="2423"/>
    </row>
    <row r="17410" s="101" customFormat="1" spans="6:6">
      <c r="F17410" s="2423"/>
    </row>
    <row r="17411" s="101" customFormat="1" spans="6:6">
      <c r="F17411" s="2423"/>
    </row>
    <row r="17412" s="101" customFormat="1" spans="6:6">
      <c r="F17412" s="2423"/>
    </row>
    <row r="17413" s="101" customFormat="1" spans="6:6">
      <c r="F17413" s="2423"/>
    </row>
    <row r="17414" s="101" customFormat="1" spans="6:6">
      <c r="F17414" s="2423"/>
    </row>
    <row r="17415" s="101" customFormat="1" spans="6:6">
      <c r="F17415" s="2423"/>
    </row>
    <row r="17416" s="101" customFormat="1" spans="6:6">
      <c r="F17416" s="2423"/>
    </row>
    <row r="17417" s="101" customFormat="1" spans="6:6">
      <c r="F17417" s="2423"/>
    </row>
    <row r="17418" s="101" customFormat="1" spans="6:6">
      <c r="F17418" s="2423"/>
    </row>
    <row r="17419" s="101" customFormat="1" spans="6:6">
      <c r="F17419" s="2423"/>
    </row>
    <row r="17420" s="101" customFormat="1" spans="6:6">
      <c r="F17420" s="2423"/>
    </row>
    <row r="17421" s="101" customFormat="1" spans="6:6">
      <c r="F17421" s="2423"/>
    </row>
    <row r="17422" s="101" customFormat="1" spans="6:6">
      <c r="F17422" s="2423"/>
    </row>
    <row r="17423" s="101" customFormat="1" spans="6:6">
      <c r="F17423" s="2423"/>
    </row>
    <row r="17424" s="101" customFormat="1" spans="6:6">
      <c r="F17424" s="2423"/>
    </row>
    <row r="17425" s="101" customFormat="1" spans="6:6">
      <c r="F17425" s="2423"/>
    </row>
    <row r="17426" s="101" customFormat="1" spans="6:6">
      <c r="F17426" s="2423"/>
    </row>
    <row r="17427" s="101" customFormat="1" spans="6:6">
      <c r="F17427" s="2423"/>
    </row>
    <row r="17428" s="101" customFormat="1" spans="6:6">
      <c r="F17428" s="2423"/>
    </row>
    <row r="17429" s="101" customFormat="1" spans="6:6">
      <c r="F17429" s="2423"/>
    </row>
    <row r="17430" s="101" customFormat="1" spans="6:6">
      <c r="F17430" s="2423"/>
    </row>
    <row r="17431" s="101" customFormat="1" spans="6:6">
      <c r="F17431" s="2423"/>
    </row>
    <row r="17432" s="101" customFormat="1" spans="6:6">
      <c r="F17432" s="2423"/>
    </row>
    <row r="17433" s="101" customFormat="1" spans="6:6">
      <c r="F17433" s="2423"/>
    </row>
    <row r="17434" s="101" customFormat="1" spans="6:6">
      <c r="F17434" s="2423"/>
    </row>
    <row r="17435" s="101" customFormat="1" spans="6:6">
      <c r="F17435" s="2423"/>
    </row>
    <row r="17436" s="101" customFormat="1" spans="6:6">
      <c r="F17436" s="2423"/>
    </row>
    <row r="17437" s="101" customFormat="1" spans="6:6">
      <c r="F17437" s="2423"/>
    </row>
    <row r="17438" s="101" customFormat="1" spans="6:6">
      <c r="F17438" s="2423"/>
    </row>
    <row r="17439" s="101" customFormat="1" spans="6:6">
      <c r="F17439" s="2423"/>
    </row>
    <row r="17440" s="101" customFormat="1" spans="6:6">
      <c r="F17440" s="2423"/>
    </row>
    <row r="17441" s="101" customFormat="1" spans="6:6">
      <c r="F17441" s="2423"/>
    </row>
    <row r="17442" s="101" customFormat="1" spans="6:6">
      <c r="F17442" s="2423"/>
    </row>
    <row r="17443" s="101" customFormat="1" spans="6:6">
      <c r="F17443" s="2423"/>
    </row>
    <row r="17444" s="101" customFormat="1" spans="6:6">
      <c r="F17444" s="2423"/>
    </row>
    <row r="17445" s="101" customFormat="1" spans="6:6">
      <c r="F17445" s="2423"/>
    </row>
    <row r="17446" s="101" customFormat="1" spans="6:6">
      <c r="F17446" s="2423"/>
    </row>
    <row r="17447" s="101" customFormat="1" spans="6:6">
      <c r="F17447" s="2423"/>
    </row>
    <row r="17448" s="101" customFormat="1" spans="6:6">
      <c r="F17448" s="2423"/>
    </row>
    <row r="17449" s="101" customFormat="1" spans="6:6">
      <c r="F17449" s="2423"/>
    </row>
    <row r="17450" s="101" customFormat="1" spans="6:6">
      <c r="F17450" s="2423"/>
    </row>
    <row r="17451" s="101" customFormat="1" spans="6:6">
      <c r="F17451" s="2423"/>
    </row>
    <row r="17452" s="101" customFormat="1" spans="6:6">
      <c r="F17452" s="2423"/>
    </row>
    <row r="17453" s="101" customFormat="1" spans="6:6">
      <c r="F17453" s="2423"/>
    </row>
    <row r="17454" s="101" customFormat="1" spans="6:6">
      <c r="F17454" s="2423"/>
    </row>
    <row r="17455" s="101" customFormat="1" spans="6:6">
      <c r="F17455" s="2423"/>
    </row>
    <row r="17456" s="101" customFormat="1" spans="6:6">
      <c r="F17456" s="2423"/>
    </row>
    <row r="17457" s="101" customFormat="1" spans="6:6">
      <c r="F17457" s="2423"/>
    </row>
    <row r="17458" s="101" customFormat="1" spans="6:6">
      <c r="F17458" s="2423"/>
    </row>
    <row r="17459" s="101" customFormat="1" spans="6:6">
      <c r="F17459" s="2423"/>
    </row>
    <row r="17460" s="101" customFormat="1" spans="6:6">
      <c r="F17460" s="2423"/>
    </row>
    <row r="17461" s="101" customFormat="1" spans="6:6">
      <c r="F17461" s="2423"/>
    </row>
    <row r="17462" s="101" customFormat="1" spans="6:6">
      <c r="F17462" s="2423"/>
    </row>
    <row r="17463" s="101" customFormat="1" spans="6:6">
      <c r="F17463" s="2423"/>
    </row>
    <row r="17464" s="101" customFormat="1" spans="6:6">
      <c r="F17464" s="2423"/>
    </row>
    <row r="17465" s="101" customFormat="1" spans="6:6">
      <c r="F17465" s="2423"/>
    </row>
    <row r="17466" s="101" customFormat="1" spans="6:6">
      <c r="F17466" s="2423"/>
    </row>
    <row r="17467" s="101" customFormat="1" spans="6:6">
      <c r="F17467" s="2423"/>
    </row>
    <row r="17468" s="101" customFormat="1" spans="6:6">
      <c r="F17468" s="2423"/>
    </row>
    <row r="17469" s="101" customFormat="1" spans="6:6">
      <c r="F17469" s="2423"/>
    </row>
    <row r="17470" s="101" customFormat="1" spans="6:6">
      <c r="F17470" s="2423"/>
    </row>
    <row r="17471" s="101" customFormat="1" spans="6:6">
      <c r="F17471" s="2423"/>
    </row>
    <row r="17472" s="101" customFormat="1" spans="6:6">
      <c r="F17472" s="2423"/>
    </row>
    <row r="17473" s="101" customFormat="1" spans="6:6">
      <c r="F17473" s="2423"/>
    </row>
    <row r="17474" s="101" customFormat="1" spans="6:6">
      <c r="F17474" s="2423"/>
    </row>
    <row r="17475" s="101" customFormat="1" spans="6:6">
      <c r="F17475" s="2423"/>
    </row>
    <row r="17476" s="101" customFormat="1" spans="6:6">
      <c r="F17476" s="2423"/>
    </row>
    <row r="17477" s="101" customFormat="1" spans="6:6">
      <c r="F17477" s="2423"/>
    </row>
    <row r="17478" s="101" customFormat="1" spans="6:6">
      <c r="F17478" s="2423"/>
    </row>
    <row r="17479" s="101" customFormat="1" spans="6:6">
      <c r="F17479" s="2423"/>
    </row>
    <row r="17480" s="101" customFormat="1" spans="6:6">
      <c r="F17480" s="2423"/>
    </row>
    <row r="17481" s="101" customFormat="1" spans="6:6">
      <c r="F17481" s="2423"/>
    </row>
    <row r="17482" s="101" customFormat="1" spans="6:6">
      <c r="F17482" s="2423"/>
    </row>
    <row r="17483" s="101" customFormat="1" spans="6:6">
      <c r="F17483" s="2423"/>
    </row>
    <row r="17484" s="101" customFormat="1" spans="6:6">
      <c r="F17484" s="2423"/>
    </row>
    <row r="17485" s="101" customFormat="1" spans="6:6">
      <c r="F17485" s="2423"/>
    </row>
    <row r="17486" s="101" customFormat="1" spans="6:6">
      <c r="F17486" s="2423"/>
    </row>
    <row r="17487" s="101" customFormat="1" spans="6:6">
      <c r="F17487" s="2423"/>
    </row>
    <row r="17488" s="101" customFormat="1" spans="6:6">
      <c r="F17488" s="2423"/>
    </row>
    <row r="17489" s="101" customFormat="1" spans="6:6">
      <c r="F17489" s="2423"/>
    </row>
    <row r="17490" s="101" customFormat="1" spans="6:6">
      <c r="F17490" s="2423"/>
    </row>
    <row r="17491" s="101" customFormat="1" spans="6:6">
      <c r="F17491" s="2423"/>
    </row>
    <row r="17492" s="101" customFormat="1" spans="6:6">
      <c r="F17492" s="2423"/>
    </row>
    <row r="17493" s="101" customFormat="1" spans="6:6">
      <c r="F17493" s="2423"/>
    </row>
    <row r="17494" s="101" customFormat="1" spans="6:6">
      <c r="F17494" s="2423"/>
    </row>
    <row r="17495" s="101" customFormat="1" spans="6:6">
      <c r="F17495" s="2423"/>
    </row>
    <row r="17496" s="101" customFormat="1" spans="6:6">
      <c r="F17496" s="2423"/>
    </row>
    <row r="17497" s="101" customFormat="1" spans="6:6">
      <c r="F17497" s="2423"/>
    </row>
    <row r="17498" s="101" customFormat="1" spans="6:6">
      <c r="F17498" s="2423"/>
    </row>
    <row r="17499" s="101" customFormat="1" spans="6:6">
      <c r="F17499" s="2423"/>
    </row>
    <row r="17500" s="101" customFormat="1" spans="6:6">
      <c r="F17500" s="2423"/>
    </row>
    <row r="17501" s="101" customFormat="1" spans="6:6">
      <c r="F17501" s="2423"/>
    </row>
    <row r="17502" s="101" customFormat="1" spans="6:6">
      <c r="F17502" s="2423"/>
    </row>
    <row r="17503" s="101" customFormat="1" spans="6:6">
      <c r="F17503" s="2423"/>
    </row>
    <row r="17504" s="101" customFormat="1" spans="6:6">
      <c r="F17504" s="2423"/>
    </row>
    <row r="17505" s="101" customFormat="1" spans="6:6">
      <c r="F17505" s="2423"/>
    </row>
    <row r="17506" s="101" customFormat="1" spans="6:6">
      <c r="F17506" s="2423"/>
    </row>
    <row r="17507" s="101" customFormat="1" spans="6:6">
      <c r="F17507" s="2423"/>
    </row>
    <row r="17508" s="101" customFormat="1" spans="6:6">
      <c r="F17508" s="2423"/>
    </row>
    <row r="17509" s="101" customFormat="1" spans="6:6">
      <c r="F17509" s="2423"/>
    </row>
    <row r="17510" s="101" customFormat="1" spans="6:6">
      <c r="F17510" s="2423"/>
    </row>
    <row r="17511" s="101" customFormat="1" spans="6:6">
      <c r="F17511" s="2423"/>
    </row>
    <row r="17512" s="101" customFormat="1" spans="6:6">
      <c r="F17512" s="2423"/>
    </row>
    <row r="17513" s="101" customFormat="1" spans="6:6">
      <c r="F17513" s="2423"/>
    </row>
    <row r="17514" s="101" customFormat="1" spans="6:6">
      <c r="F17514" s="2423"/>
    </row>
    <row r="17515" s="101" customFormat="1" spans="6:6">
      <c r="F17515" s="2423"/>
    </row>
    <row r="17516" s="101" customFormat="1" spans="6:6">
      <c r="F17516" s="2423"/>
    </row>
    <row r="17517" s="101" customFormat="1" spans="6:6">
      <c r="F17517" s="2423"/>
    </row>
    <row r="17518" s="101" customFormat="1" spans="6:6">
      <c r="F17518" s="2423"/>
    </row>
    <row r="17519" s="101" customFormat="1" spans="6:6">
      <c r="F17519" s="2423"/>
    </row>
    <row r="17520" s="101" customFormat="1" spans="6:6">
      <c r="F17520" s="2423"/>
    </row>
    <row r="17521" s="101" customFormat="1" spans="6:6">
      <c r="F17521" s="2423"/>
    </row>
    <row r="17522" s="101" customFormat="1" spans="6:6">
      <c r="F17522" s="2423"/>
    </row>
    <row r="17523" s="101" customFormat="1" spans="6:6">
      <c r="F17523" s="2423"/>
    </row>
    <row r="17524" s="101" customFormat="1" spans="6:6">
      <c r="F17524" s="2423"/>
    </row>
    <row r="17525" s="101" customFormat="1" spans="6:6">
      <c r="F17525" s="2423"/>
    </row>
    <row r="17526" s="101" customFormat="1" spans="6:6">
      <c r="F17526" s="2423"/>
    </row>
    <row r="17527" s="101" customFormat="1" spans="6:6">
      <c r="F17527" s="2423"/>
    </row>
    <row r="17528" s="101" customFormat="1" spans="6:6">
      <c r="F17528" s="2423"/>
    </row>
    <row r="17529" s="101" customFormat="1" spans="6:6">
      <c r="F17529" s="2423"/>
    </row>
    <row r="17530" s="101" customFormat="1" spans="6:6">
      <c r="F17530" s="2423"/>
    </row>
    <row r="17531" s="101" customFormat="1" spans="6:6">
      <c r="F17531" s="2423"/>
    </row>
    <row r="17532" s="101" customFormat="1" spans="6:6">
      <c r="F17532" s="2423"/>
    </row>
    <row r="17533" s="101" customFormat="1" spans="6:6">
      <c r="F17533" s="2423"/>
    </row>
    <row r="17534" s="101" customFormat="1" spans="6:6">
      <c r="F17534" s="2423"/>
    </row>
    <row r="17535" s="101" customFormat="1" spans="6:6">
      <c r="F17535" s="2423"/>
    </row>
    <row r="17536" s="101" customFormat="1" spans="6:6">
      <c r="F17536" s="2423"/>
    </row>
    <row r="17537" s="101" customFormat="1" spans="6:6">
      <c r="F17537" s="2423"/>
    </row>
    <row r="17538" s="101" customFormat="1" spans="6:6">
      <c r="F17538" s="2423"/>
    </row>
    <row r="17539" s="101" customFormat="1" spans="6:6">
      <c r="F17539" s="2423"/>
    </row>
    <row r="17540" s="101" customFormat="1" spans="6:6">
      <c r="F17540" s="2423"/>
    </row>
    <row r="17541" s="101" customFormat="1" spans="6:6">
      <c r="F17541" s="2423"/>
    </row>
    <row r="17542" s="101" customFormat="1" spans="6:6">
      <c r="F17542" s="2423"/>
    </row>
    <row r="17543" s="101" customFormat="1" spans="6:6">
      <c r="F17543" s="2423"/>
    </row>
    <row r="17544" s="101" customFormat="1" spans="6:6">
      <c r="F17544" s="2423"/>
    </row>
    <row r="17545" s="101" customFormat="1" spans="6:6">
      <c r="F17545" s="2423"/>
    </row>
    <row r="17546" s="101" customFormat="1" spans="6:6">
      <c r="F17546" s="2423"/>
    </row>
    <row r="17547" s="101" customFormat="1" spans="6:6">
      <c r="F17547" s="2423"/>
    </row>
    <row r="17548" s="101" customFormat="1" spans="6:6">
      <c r="F17548" s="2423"/>
    </row>
    <row r="17549" s="101" customFormat="1" spans="6:6">
      <c r="F17549" s="2423"/>
    </row>
    <row r="17550" s="101" customFormat="1" spans="6:6">
      <c r="F17550" s="2423"/>
    </row>
    <row r="17551" s="101" customFormat="1" spans="6:6">
      <c r="F17551" s="2423"/>
    </row>
    <row r="17552" s="101" customFormat="1" spans="6:6">
      <c r="F17552" s="2423"/>
    </row>
    <row r="17553" s="101" customFormat="1" spans="6:6">
      <c r="F17553" s="2423"/>
    </row>
    <row r="17554" s="101" customFormat="1" spans="6:6">
      <c r="F17554" s="2423"/>
    </row>
    <row r="17555" s="101" customFormat="1" spans="6:6">
      <c r="F17555" s="2423"/>
    </row>
    <row r="17556" s="101" customFormat="1" spans="6:6">
      <c r="F17556" s="2423"/>
    </row>
    <row r="17557" s="101" customFormat="1" spans="6:6">
      <c r="F17557" s="2423"/>
    </row>
    <row r="17558" s="101" customFormat="1" spans="6:6">
      <c r="F17558" s="2423"/>
    </row>
    <row r="17559" s="101" customFormat="1" spans="6:6">
      <c r="F17559" s="2423"/>
    </row>
    <row r="17560" s="101" customFormat="1" spans="6:6">
      <c r="F17560" s="2423"/>
    </row>
    <row r="17561" s="101" customFormat="1" spans="6:6">
      <c r="F17561" s="2423"/>
    </row>
    <row r="17562" s="101" customFormat="1" spans="6:6">
      <c r="F17562" s="2423"/>
    </row>
    <row r="17563" s="101" customFormat="1" spans="6:6">
      <c r="F17563" s="2423"/>
    </row>
    <row r="17564" s="101" customFormat="1" spans="6:6">
      <c r="F17564" s="2423"/>
    </row>
    <row r="17565" s="101" customFormat="1" spans="6:6">
      <c r="F17565" s="2423"/>
    </row>
    <row r="17566" s="101" customFormat="1" spans="6:6">
      <c r="F17566" s="2423"/>
    </row>
    <row r="17567" s="101" customFormat="1" spans="6:6">
      <c r="F17567" s="2423"/>
    </row>
    <row r="17568" s="101" customFormat="1" spans="6:6">
      <c r="F17568" s="2423"/>
    </row>
    <row r="17569" s="101" customFormat="1" spans="6:6">
      <c r="F17569" s="2423"/>
    </row>
    <row r="17570" s="101" customFormat="1" spans="6:6">
      <c r="F17570" s="2423"/>
    </row>
    <row r="17571" s="101" customFormat="1" spans="6:6">
      <c r="F17571" s="2423"/>
    </row>
    <row r="17572" s="101" customFormat="1" spans="6:6">
      <c r="F17572" s="2423"/>
    </row>
    <row r="17573" s="101" customFormat="1" spans="6:6">
      <c r="F17573" s="2423"/>
    </row>
    <row r="17574" s="101" customFormat="1" spans="6:6">
      <c r="F17574" s="2423"/>
    </row>
    <row r="17575" s="101" customFormat="1" spans="6:6">
      <c r="F17575" s="2423"/>
    </row>
    <row r="17576" s="101" customFormat="1" spans="6:6">
      <c r="F17576" s="2423"/>
    </row>
    <row r="17577" s="101" customFormat="1" spans="6:6">
      <c r="F17577" s="2423"/>
    </row>
    <row r="17578" s="101" customFormat="1" spans="6:6">
      <c r="F17578" s="2423"/>
    </row>
    <row r="17579" s="101" customFormat="1" spans="6:6">
      <c r="F17579" s="2423"/>
    </row>
    <row r="17580" s="101" customFormat="1" spans="6:6">
      <c r="F17580" s="2423"/>
    </row>
    <row r="17581" s="101" customFormat="1" spans="6:6">
      <c r="F17581" s="2423"/>
    </row>
    <row r="17582" s="101" customFormat="1" spans="6:6">
      <c r="F17582" s="2423"/>
    </row>
    <row r="17583" s="101" customFormat="1" spans="6:6">
      <c r="F17583" s="2423"/>
    </row>
    <row r="17584" s="101" customFormat="1" spans="6:6">
      <c r="F17584" s="2423"/>
    </row>
    <row r="17585" s="101" customFormat="1" spans="6:6">
      <c r="F17585" s="2423"/>
    </row>
    <row r="17586" s="101" customFormat="1" spans="6:6">
      <c r="F17586" s="2423"/>
    </row>
    <row r="17587" s="101" customFormat="1" spans="6:6">
      <c r="F17587" s="2423"/>
    </row>
    <row r="17588" s="101" customFormat="1" spans="6:6">
      <c r="F17588" s="2423"/>
    </row>
    <row r="17589" s="101" customFormat="1" spans="6:6">
      <c r="F17589" s="2423"/>
    </row>
    <row r="17590" s="101" customFormat="1" spans="6:6">
      <c r="F17590" s="2423"/>
    </row>
    <row r="17591" s="101" customFormat="1" spans="6:6">
      <c r="F17591" s="2423"/>
    </row>
    <row r="17592" s="101" customFormat="1" spans="6:6">
      <c r="F17592" s="2423"/>
    </row>
    <row r="17593" s="101" customFormat="1" spans="6:6">
      <c r="F17593" s="2423"/>
    </row>
    <row r="17594" s="101" customFormat="1" spans="6:6">
      <c r="F17594" s="2423"/>
    </row>
    <row r="17595" s="101" customFormat="1" spans="6:6">
      <c r="F17595" s="2423"/>
    </row>
    <row r="17596" s="101" customFormat="1" spans="6:6">
      <c r="F17596" s="2423"/>
    </row>
    <row r="17597" s="101" customFormat="1" spans="6:6">
      <c r="F17597" s="2423"/>
    </row>
    <row r="17598" s="101" customFormat="1" spans="6:6">
      <c r="F17598" s="2423"/>
    </row>
    <row r="17599" s="101" customFormat="1" spans="6:6">
      <c r="F17599" s="2423"/>
    </row>
    <row r="17600" s="101" customFormat="1" spans="6:6">
      <c r="F17600" s="2423"/>
    </row>
    <row r="17601" s="101" customFormat="1" spans="6:6">
      <c r="F17601" s="2423"/>
    </row>
    <row r="17602" s="101" customFormat="1" spans="6:6">
      <c r="F17602" s="2423"/>
    </row>
    <row r="17603" s="101" customFormat="1" spans="6:6">
      <c r="F17603" s="2423"/>
    </row>
    <row r="17604" s="101" customFormat="1" spans="6:6">
      <c r="F17604" s="2423"/>
    </row>
    <row r="17605" s="101" customFormat="1" spans="6:6">
      <c r="F17605" s="2423"/>
    </row>
    <row r="17606" s="101" customFormat="1" spans="6:6">
      <c r="F17606" s="2423"/>
    </row>
    <row r="17607" s="101" customFormat="1" spans="6:6">
      <c r="F17607" s="2423"/>
    </row>
    <row r="17608" s="101" customFormat="1" spans="6:6">
      <c r="F17608" s="2423"/>
    </row>
    <row r="17609" s="101" customFormat="1" spans="6:6">
      <c r="F17609" s="2423"/>
    </row>
    <row r="17610" s="101" customFormat="1" spans="6:6">
      <c r="F17610" s="2423"/>
    </row>
    <row r="17611" s="101" customFormat="1" spans="6:6">
      <c r="F17611" s="2423"/>
    </row>
    <row r="17612" s="101" customFormat="1" spans="6:6">
      <c r="F17612" s="2423"/>
    </row>
    <row r="17613" s="101" customFormat="1" spans="6:6">
      <c r="F17613" s="2423"/>
    </row>
    <row r="17614" s="101" customFormat="1" spans="6:6">
      <c r="F17614" s="2423"/>
    </row>
    <row r="17615" s="101" customFormat="1" spans="6:6">
      <c r="F17615" s="2423"/>
    </row>
    <row r="17616" s="101" customFormat="1" spans="6:6">
      <c r="F17616" s="2423"/>
    </row>
    <row r="17617" s="101" customFormat="1" spans="6:6">
      <c r="F17617" s="2423"/>
    </row>
    <row r="17618" s="101" customFormat="1" spans="6:6">
      <c r="F17618" s="2423"/>
    </row>
    <row r="17619" s="101" customFormat="1" spans="6:6">
      <c r="F17619" s="2423"/>
    </row>
    <row r="17620" s="101" customFormat="1" spans="6:6">
      <c r="F17620" s="2423"/>
    </row>
    <row r="17621" s="101" customFormat="1" spans="6:6">
      <c r="F17621" s="2423"/>
    </row>
    <row r="17622" s="101" customFormat="1" spans="6:6">
      <c r="F17622" s="2423"/>
    </row>
    <row r="17623" s="101" customFormat="1" spans="6:6">
      <c r="F17623" s="2423"/>
    </row>
    <row r="17624" s="101" customFormat="1" spans="6:6">
      <c r="F17624" s="2423"/>
    </row>
    <row r="17625" s="101" customFormat="1" spans="6:6">
      <c r="F17625" s="2423"/>
    </row>
    <row r="17626" s="101" customFormat="1" spans="6:6">
      <c r="F17626" s="2423"/>
    </row>
    <row r="17627" s="101" customFormat="1" spans="6:6">
      <c r="F17627" s="2423"/>
    </row>
    <row r="17628" s="101" customFormat="1" spans="6:6">
      <c r="F17628" s="2423"/>
    </row>
    <row r="17629" s="101" customFormat="1" spans="6:6">
      <c r="F17629" s="2423"/>
    </row>
    <row r="17630" s="101" customFormat="1" spans="6:6">
      <c r="F17630" s="2423"/>
    </row>
    <row r="17631" s="101" customFormat="1" spans="6:6">
      <c r="F17631" s="2423"/>
    </row>
    <row r="17632" s="101" customFormat="1" spans="6:6">
      <c r="F17632" s="2423"/>
    </row>
    <row r="17633" s="101" customFormat="1" spans="6:6">
      <c r="F17633" s="2423"/>
    </row>
    <row r="17634" s="101" customFormat="1" spans="6:6">
      <c r="F17634" s="2423"/>
    </row>
    <row r="17635" s="101" customFormat="1" spans="6:6">
      <c r="F17635" s="2423"/>
    </row>
    <row r="17636" s="101" customFormat="1" spans="6:6">
      <c r="F17636" s="2423"/>
    </row>
    <row r="17637" s="101" customFormat="1" spans="6:6">
      <c r="F17637" s="2423"/>
    </row>
    <row r="17638" s="101" customFormat="1" spans="6:6">
      <c r="F17638" s="2423"/>
    </row>
    <row r="17639" s="101" customFormat="1" spans="6:6">
      <c r="F17639" s="2423"/>
    </row>
    <row r="17640" s="101" customFormat="1" spans="6:6">
      <c r="F17640" s="2423"/>
    </row>
    <row r="17641" s="101" customFormat="1" spans="6:6">
      <c r="F17641" s="2423"/>
    </row>
    <row r="17642" s="101" customFormat="1" spans="6:6">
      <c r="F17642" s="2423"/>
    </row>
    <row r="17643" s="101" customFormat="1" spans="6:6">
      <c r="F17643" s="2423"/>
    </row>
    <row r="17644" s="101" customFormat="1" spans="6:6">
      <c r="F17644" s="2423"/>
    </row>
    <row r="17645" s="101" customFormat="1" spans="6:6">
      <c r="F17645" s="2423"/>
    </row>
    <row r="17646" s="101" customFormat="1" spans="6:6">
      <c r="F17646" s="2423"/>
    </row>
    <row r="17647" s="101" customFormat="1" spans="6:6">
      <c r="F17647" s="2423"/>
    </row>
    <row r="17648" s="101" customFormat="1" spans="6:6">
      <c r="F17648" s="2423"/>
    </row>
    <row r="17649" s="101" customFormat="1" spans="6:6">
      <c r="F17649" s="2423"/>
    </row>
    <row r="17650" s="101" customFormat="1" spans="6:6">
      <c r="F17650" s="2423"/>
    </row>
    <row r="17651" s="101" customFormat="1" spans="6:6">
      <c r="F17651" s="2423"/>
    </row>
    <row r="17652" s="101" customFormat="1" spans="6:6">
      <c r="F17652" s="2423"/>
    </row>
    <row r="17653" s="101" customFormat="1" spans="6:6">
      <c r="F17653" s="2423"/>
    </row>
    <row r="17654" s="101" customFormat="1" spans="6:6">
      <c r="F17654" s="2423"/>
    </row>
    <row r="17655" s="101" customFormat="1" spans="6:6">
      <c r="F17655" s="2423"/>
    </row>
    <row r="17656" s="101" customFormat="1" spans="6:6">
      <c r="F17656" s="2423"/>
    </row>
    <row r="17657" s="101" customFormat="1" spans="6:6">
      <c r="F17657" s="2423"/>
    </row>
    <row r="17658" s="101" customFormat="1" spans="6:6">
      <c r="F17658" s="2423"/>
    </row>
    <row r="17659" s="101" customFormat="1" spans="6:6">
      <c r="F17659" s="2423"/>
    </row>
    <row r="17660" s="101" customFormat="1" spans="6:6">
      <c r="F17660" s="2423"/>
    </row>
    <row r="17661" s="101" customFormat="1" spans="6:6">
      <c r="F17661" s="2423"/>
    </row>
    <row r="17662" s="101" customFormat="1" spans="6:6">
      <c r="F17662" s="2423"/>
    </row>
    <row r="17663" s="101" customFormat="1" spans="6:6">
      <c r="F17663" s="2423"/>
    </row>
    <row r="17664" s="101" customFormat="1" spans="6:6">
      <c r="F17664" s="2423"/>
    </row>
    <row r="17665" s="101" customFormat="1" spans="6:6">
      <c r="F17665" s="2423"/>
    </row>
    <row r="17666" s="101" customFormat="1" spans="6:6">
      <c r="F17666" s="2423"/>
    </row>
    <row r="17667" s="101" customFormat="1" spans="6:6">
      <c r="F17667" s="2423"/>
    </row>
    <row r="17668" s="101" customFormat="1" spans="6:6">
      <c r="F17668" s="2423"/>
    </row>
    <row r="17669" s="101" customFormat="1" spans="6:6">
      <c r="F17669" s="2423"/>
    </row>
    <row r="17670" s="101" customFormat="1" spans="6:6">
      <c r="F17670" s="2423"/>
    </row>
    <row r="17671" s="101" customFormat="1" spans="6:6">
      <c r="F17671" s="2423"/>
    </row>
    <row r="17672" s="101" customFormat="1" spans="6:6">
      <c r="F17672" s="2423"/>
    </row>
    <row r="17673" s="101" customFormat="1" spans="6:6">
      <c r="F17673" s="2423"/>
    </row>
    <row r="17674" s="101" customFormat="1" spans="6:6">
      <c r="F17674" s="2423"/>
    </row>
    <row r="17675" s="101" customFormat="1" spans="6:6">
      <c r="F17675" s="2423"/>
    </row>
    <row r="17676" s="101" customFormat="1" spans="6:6">
      <c r="F17676" s="2423"/>
    </row>
    <row r="17677" s="101" customFormat="1" spans="6:6">
      <c r="F17677" s="2423"/>
    </row>
    <row r="17678" s="101" customFormat="1" spans="6:6">
      <c r="F17678" s="2423"/>
    </row>
    <row r="17679" s="101" customFormat="1" spans="6:6">
      <c r="F17679" s="2423"/>
    </row>
    <row r="17680" s="101" customFormat="1" spans="6:6">
      <c r="F17680" s="2423"/>
    </row>
    <row r="17681" s="101" customFormat="1" spans="6:6">
      <c r="F17681" s="2423"/>
    </row>
    <row r="17682" s="101" customFormat="1" spans="6:6">
      <c r="F17682" s="2423"/>
    </row>
    <row r="17683" s="101" customFormat="1" spans="6:6">
      <c r="F17683" s="2423"/>
    </row>
    <row r="17684" s="101" customFormat="1" spans="6:6">
      <c r="F17684" s="2423"/>
    </row>
    <row r="17685" s="101" customFormat="1" spans="6:6">
      <c r="F17685" s="2423"/>
    </row>
    <row r="17686" s="101" customFormat="1" spans="6:6">
      <c r="F17686" s="2423"/>
    </row>
    <row r="17687" s="101" customFormat="1" spans="6:6">
      <c r="F17687" s="2423"/>
    </row>
    <row r="17688" s="101" customFormat="1" spans="6:6">
      <c r="F17688" s="2423"/>
    </row>
    <row r="17689" s="101" customFormat="1" spans="6:6">
      <c r="F17689" s="2423"/>
    </row>
    <row r="17690" s="101" customFormat="1" spans="6:6">
      <c r="F17690" s="2423"/>
    </row>
    <row r="17691" s="101" customFormat="1" spans="6:6">
      <c r="F17691" s="2423"/>
    </row>
    <row r="17692" s="101" customFormat="1" spans="6:6">
      <c r="F17692" s="2423"/>
    </row>
    <row r="17693" s="101" customFormat="1" spans="6:6">
      <c r="F17693" s="2423"/>
    </row>
    <row r="17694" s="101" customFormat="1" spans="6:6">
      <c r="F17694" s="2423"/>
    </row>
    <row r="17695" s="101" customFormat="1" spans="6:6">
      <c r="F17695" s="2423"/>
    </row>
    <row r="17696" s="101" customFormat="1" spans="6:6">
      <c r="F17696" s="2423"/>
    </row>
    <row r="17697" s="101" customFormat="1" spans="6:6">
      <c r="F17697" s="2423"/>
    </row>
    <row r="17698" s="101" customFormat="1" spans="6:6">
      <c r="F17698" s="2423"/>
    </row>
    <row r="17699" s="101" customFormat="1" spans="6:6">
      <c r="F17699" s="2423"/>
    </row>
    <row r="17700" s="101" customFormat="1" spans="6:6">
      <c r="F17700" s="2423"/>
    </row>
    <row r="17701" s="101" customFormat="1" spans="6:6">
      <c r="F17701" s="2423"/>
    </row>
    <row r="17702" s="101" customFormat="1" spans="6:6">
      <c r="F17702" s="2423"/>
    </row>
    <row r="17703" s="101" customFormat="1" spans="6:6">
      <c r="F17703" s="2423"/>
    </row>
    <row r="17704" s="101" customFormat="1" spans="6:6">
      <c r="F17704" s="2423"/>
    </row>
    <row r="17705" s="101" customFormat="1" spans="6:6">
      <c r="F17705" s="2423"/>
    </row>
    <row r="17706" s="101" customFormat="1" spans="6:6">
      <c r="F17706" s="2423"/>
    </row>
    <row r="17707" s="101" customFormat="1" spans="6:6">
      <c r="F17707" s="2423"/>
    </row>
    <row r="17708" s="101" customFormat="1" spans="6:6">
      <c r="F17708" s="2423"/>
    </row>
    <row r="17709" s="101" customFormat="1" spans="6:6">
      <c r="F17709" s="2423"/>
    </row>
    <row r="17710" s="101" customFormat="1" spans="6:6">
      <c r="F17710" s="2423"/>
    </row>
    <row r="17711" s="101" customFormat="1" spans="6:6">
      <c r="F17711" s="2423"/>
    </row>
    <row r="17712" s="101" customFormat="1" spans="6:6">
      <c r="F17712" s="2423"/>
    </row>
    <row r="17713" s="101" customFormat="1" spans="6:6">
      <c r="F17713" s="2423"/>
    </row>
    <row r="17714" s="101" customFormat="1" spans="6:6">
      <c r="F17714" s="2423"/>
    </row>
    <row r="17715" s="101" customFormat="1" spans="6:6">
      <c r="F17715" s="2423"/>
    </row>
    <row r="17716" s="101" customFormat="1" spans="6:6">
      <c r="F17716" s="2423"/>
    </row>
    <row r="17717" s="101" customFormat="1" spans="6:6">
      <c r="F17717" s="2423"/>
    </row>
    <row r="17718" s="101" customFormat="1" spans="6:6">
      <c r="F17718" s="2423"/>
    </row>
    <row r="17719" s="101" customFormat="1" spans="6:6">
      <c r="F17719" s="2423"/>
    </row>
    <row r="17720" s="101" customFormat="1" spans="6:6">
      <c r="F17720" s="2423"/>
    </row>
    <row r="17721" s="101" customFormat="1" spans="6:6">
      <c r="F17721" s="2423"/>
    </row>
    <row r="17722" s="101" customFormat="1" spans="6:6">
      <c r="F17722" s="2423"/>
    </row>
    <row r="17723" s="101" customFormat="1" spans="6:6">
      <c r="F17723" s="2423"/>
    </row>
    <row r="17724" s="101" customFormat="1" spans="6:6">
      <c r="F17724" s="2423"/>
    </row>
    <row r="17725" s="101" customFormat="1" spans="6:6">
      <c r="F17725" s="2423"/>
    </row>
    <row r="17726" s="101" customFormat="1" spans="6:6">
      <c r="F17726" s="2423"/>
    </row>
    <row r="17727" s="101" customFormat="1" spans="6:6">
      <c r="F17727" s="2423"/>
    </row>
    <row r="17728" s="101" customFormat="1" spans="6:6">
      <c r="F17728" s="2423"/>
    </row>
    <row r="17729" s="101" customFormat="1" spans="6:6">
      <c r="F17729" s="2423"/>
    </row>
    <row r="17730" s="101" customFormat="1" spans="6:6">
      <c r="F17730" s="2423"/>
    </row>
    <row r="17731" s="101" customFormat="1" spans="6:6">
      <c r="F17731" s="2423"/>
    </row>
    <row r="17732" s="101" customFormat="1" spans="6:6">
      <c r="F17732" s="2423"/>
    </row>
    <row r="17733" s="101" customFormat="1" spans="6:6">
      <c r="F17733" s="2423"/>
    </row>
    <row r="17734" s="101" customFormat="1" spans="6:6">
      <c r="F17734" s="2423"/>
    </row>
    <row r="17735" s="101" customFormat="1" spans="6:6">
      <c r="F17735" s="2423"/>
    </row>
    <row r="17736" s="101" customFormat="1" spans="6:6">
      <c r="F17736" s="2423"/>
    </row>
    <row r="17737" s="101" customFormat="1" spans="6:6">
      <c r="F17737" s="2423"/>
    </row>
    <row r="17738" s="101" customFormat="1" spans="6:6">
      <c r="F17738" s="2423"/>
    </row>
    <row r="17739" s="101" customFormat="1" spans="6:6">
      <c r="F17739" s="2423"/>
    </row>
    <row r="17740" s="101" customFormat="1" spans="6:6">
      <c r="F17740" s="2423"/>
    </row>
    <row r="17741" s="101" customFormat="1" spans="6:6">
      <c r="F17741" s="2423"/>
    </row>
    <row r="17742" s="101" customFormat="1" spans="6:6">
      <c r="F17742" s="2423"/>
    </row>
    <row r="17743" s="101" customFormat="1" spans="6:6">
      <c r="F17743" s="2423"/>
    </row>
    <row r="17744" s="101" customFormat="1" spans="6:6">
      <c r="F17744" s="2423"/>
    </row>
    <row r="17745" s="101" customFormat="1" spans="6:6">
      <c r="F17745" s="2423"/>
    </row>
    <row r="17746" s="101" customFormat="1" spans="6:6">
      <c r="F17746" s="2423"/>
    </row>
    <row r="17747" s="101" customFormat="1" spans="6:6">
      <c r="F17747" s="2423"/>
    </row>
    <row r="17748" s="101" customFormat="1" spans="6:6">
      <c r="F17748" s="2423"/>
    </row>
    <row r="17749" s="101" customFormat="1" spans="6:6">
      <c r="F17749" s="2423"/>
    </row>
    <row r="17750" s="101" customFormat="1" spans="6:6">
      <c r="F17750" s="2423"/>
    </row>
    <row r="17751" s="101" customFormat="1" spans="6:6">
      <c r="F17751" s="2423"/>
    </row>
    <row r="17752" s="101" customFormat="1" spans="6:6">
      <c r="F17752" s="2423"/>
    </row>
    <row r="17753" s="101" customFormat="1" spans="6:6">
      <c r="F17753" s="2423"/>
    </row>
    <row r="17754" s="101" customFormat="1" spans="6:6">
      <c r="F17754" s="2423"/>
    </row>
    <row r="17755" s="101" customFormat="1" spans="6:6">
      <c r="F17755" s="2423"/>
    </row>
    <row r="17756" s="101" customFormat="1" spans="6:6">
      <c r="F17756" s="2423"/>
    </row>
    <row r="17757" s="101" customFormat="1" spans="6:6">
      <c r="F17757" s="2423"/>
    </row>
    <row r="17758" s="101" customFormat="1" spans="6:6">
      <c r="F17758" s="2423"/>
    </row>
    <row r="17759" s="101" customFormat="1" spans="6:6">
      <c r="F17759" s="2423"/>
    </row>
    <row r="17760" s="101" customFormat="1" spans="6:6">
      <c r="F17760" s="2423"/>
    </row>
    <row r="17761" s="101" customFormat="1" spans="6:6">
      <c r="F17761" s="2423"/>
    </row>
    <row r="17762" s="101" customFormat="1" spans="6:6">
      <c r="F17762" s="2423"/>
    </row>
    <row r="17763" s="101" customFormat="1" spans="6:6">
      <c r="F17763" s="2423"/>
    </row>
    <row r="17764" s="101" customFormat="1" spans="6:6">
      <c r="F17764" s="2423"/>
    </row>
    <row r="17765" s="101" customFormat="1" spans="6:6">
      <c r="F17765" s="2423"/>
    </row>
    <row r="17766" s="101" customFormat="1" spans="6:6">
      <c r="F17766" s="2423"/>
    </row>
    <row r="17767" s="101" customFormat="1" spans="6:6">
      <c r="F17767" s="2423"/>
    </row>
    <row r="17768" s="101" customFormat="1" spans="6:6">
      <c r="F17768" s="2423"/>
    </row>
    <row r="17769" s="101" customFormat="1" spans="6:6">
      <c r="F17769" s="2423"/>
    </row>
    <row r="17770" s="101" customFormat="1" spans="6:6">
      <c r="F17770" s="2423"/>
    </row>
    <row r="17771" s="101" customFormat="1" spans="6:6">
      <c r="F17771" s="2423"/>
    </row>
    <row r="17772" s="101" customFormat="1" spans="6:6">
      <c r="F17772" s="2423"/>
    </row>
    <row r="17773" s="101" customFormat="1" spans="6:6">
      <c r="F17773" s="2423"/>
    </row>
    <row r="17774" s="101" customFormat="1" spans="6:6">
      <c r="F17774" s="2423"/>
    </row>
    <row r="17775" s="101" customFormat="1" spans="6:6">
      <c r="F17775" s="2423"/>
    </row>
    <row r="17776" s="101" customFormat="1" spans="6:6">
      <c r="F17776" s="2423"/>
    </row>
    <row r="17777" s="101" customFormat="1" spans="6:6">
      <c r="F17777" s="2423"/>
    </row>
    <row r="17778" s="101" customFormat="1" spans="6:6">
      <c r="F17778" s="2423"/>
    </row>
    <row r="17779" s="101" customFormat="1" spans="6:6">
      <c r="F17779" s="2423"/>
    </row>
    <row r="17780" s="101" customFormat="1" spans="6:6">
      <c r="F17780" s="2423"/>
    </row>
    <row r="17781" s="101" customFormat="1" spans="6:6">
      <c r="F17781" s="2423"/>
    </row>
    <row r="17782" s="101" customFormat="1" spans="6:6">
      <c r="F17782" s="2423"/>
    </row>
    <row r="17783" s="101" customFormat="1" spans="6:6">
      <c r="F17783" s="2423"/>
    </row>
    <row r="17784" s="101" customFormat="1" spans="6:6">
      <c r="F17784" s="2423"/>
    </row>
    <row r="17785" s="101" customFormat="1" spans="6:6">
      <c r="F17785" s="2423"/>
    </row>
    <row r="17786" s="101" customFormat="1" spans="6:6">
      <c r="F17786" s="2423"/>
    </row>
    <row r="17787" s="101" customFormat="1" spans="6:6">
      <c r="F17787" s="2423"/>
    </row>
    <row r="17788" s="101" customFormat="1" spans="6:6">
      <c r="F17788" s="2423"/>
    </row>
    <row r="17789" s="101" customFormat="1" spans="6:6">
      <c r="F17789" s="2423"/>
    </row>
    <row r="17790" s="101" customFormat="1" spans="6:6">
      <c r="F17790" s="2423"/>
    </row>
    <row r="17791" s="101" customFormat="1" spans="6:6">
      <c r="F17791" s="2423"/>
    </row>
    <row r="17792" s="101" customFormat="1" spans="6:6">
      <c r="F17792" s="2423"/>
    </row>
    <row r="17793" s="101" customFormat="1" spans="6:6">
      <c r="F17793" s="2423"/>
    </row>
    <row r="17794" s="101" customFormat="1" spans="6:6">
      <c r="F17794" s="2423"/>
    </row>
    <row r="17795" s="101" customFormat="1" spans="6:6">
      <c r="F17795" s="2423"/>
    </row>
    <row r="17796" s="101" customFormat="1" spans="6:6">
      <c r="F17796" s="2423"/>
    </row>
    <row r="17797" s="101" customFormat="1" spans="6:6">
      <c r="F17797" s="2423"/>
    </row>
    <row r="17798" s="101" customFormat="1" spans="6:6">
      <c r="F17798" s="2423"/>
    </row>
    <row r="17799" s="101" customFormat="1" spans="6:6">
      <c r="F17799" s="2423"/>
    </row>
    <row r="17800" s="101" customFormat="1" spans="6:6">
      <c r="F17800" s="2423"/>
    </row>
    <row r="17801" s="101" customFormat="1" spans="6:6">
      <c r="F17801" s="2423"/>
    </row>
    <row r="17802" s="101" customFormat="1" spans="6:6">
      <c r="F17802" s="2423"/>
    </row>
    <row r="17803" s="101" customFormat="1" spans="6:6">
      <c r="F17803" s="2423"/>
    </row>
    <row r="17804" s="101" customFormat="1" spans="6:6">
      <c r="F17804" s="2423"/>
    </row>
    <row r="17805" s="101" customFormat="1" spans="6:6">
      <c r="F17805" s="2423"/>
    </row>
    <row r="17806" s="101" customFormat="1" spans="6:6">
      <c r="F17806" s="2423"/>
    </row>
    <row r="17807" s="101" customFormat="1" spans="6:6">
      <c r="F17807" s="2423"/>
    </row>
    <row r="17808" s="101" customFormat="1" spans="6:6">
      <c r="F17808" s="2423"/>
    </row>
    <row r="17809" s="101" customFormat="1" spans="6:6">
      <c r="F17809" s="2423"/>
    </row>
    <row r="17810" s="101" customFormat="1" spans="6:6">
      <c r="F17810" s="2423"/>
    </row>
    <row r="17811" s="101" customFormat="1" spans="6:6">
      <c r="F17811" s="2423"/>
    </row>
    <row r="17812" s="101" customFormat="1" spans="6:6">
      <c r="F17812" s="2423"/>
    </row>
    <row r="17813" s="101" customFormat="1" spans="6:6">
      <c r="F17813" s="2423"/>
    </row>
    <row r="17814" s="101" customFormat="1" spans="6:6">
      <c r="F17814" s="2423"/>
    </row>
    <row r="17815" s="101" customFormat="1" spans="6:6">
      <c r="F17815" s="2423"/>
    </row>
    <row r="17816" s="101" customFormat="1" spans="6:6">
      <c r="F17816" s="2423"/>
    </row>
    <row r="17817" s="101" customFormat="1" spans="6:6">
      <c r="F17817" s="2423"/>
    </row>
    <row r="17818" s="101" customFormat="1" spans="6:6">
      <c r="F17818" s="2423"/>
    </row>
    <row r="17819" s="101" customFormat="1" spans="6:6">
      <c r="F17819" s="2423"/>
    </row>
    <row r="17820" s="101" customFormat="1" spans="6:6">
      <c r="F17820" s="2423"/>
    </row>
    <row r="17821" s="101" customFormat="1" spans="6:6">
      <c r="F17821" s="2423"/>
    </row>
    <row r="17822" s="101" customFormat="1" spans="6:6">
      <c r="F17822" s="2423"/>
    </row>
    <row r="17823" s="101" customFormat="1" spans="6:6">
      <c r="F17823" s="2423"/>
    </row>
    <row r="17824" s="101" customFormat="1" spans="6:6">
      <c r="F17824" s="2423"/>
    </row>
    <row r="17825" s="101" customFormat="1" spans="6:6">
      <c r="F17825" s="2423"/>
    </row>
    <row r="17826" s="101" customFormat="1" spans="6:6">
      <c r="F17826" s="2423"/>
    </row>
    <row r="17827" s="101" customFormat="1" spans="6:6">
      <c r="F17827" s="2423"/>
    </row>
    <row r="17828" s="101" customFormat="1" spans="6:6">
      <c r="F17828" s="2423"/>
    </row>
    <row r="17829" s="101" customFormat="1" spans="6:6">
      <c r="F17829" s="2423"/>
    </row>
    <row r="17830" s="101" customFormat="1" spans="6:6">
      <c r="F17830" s="2423"/>
    </row>
    <row r="17831" s="101" customFormat="1" spans="6:6">
      <c r="F17831" s="2423"/>
    </row>
    <row r="17832" s="101" customFormat="1" spans="6:6">
      <c r="F17832" s="2423"/>
    </row>
    <row r="17833" s="101" customFormat="1" spans="6:6">
      <c r="F17833" s="2423"/>
    </row>
    <row r="17834" s="101" customFormat="1" spans="6:6">
      <c r="F17834" s="2423"/>
    </row>
    <row r="17835" s="101" customFormat="1" spans="6:6">
      <c r="F17835" s="2423"/>
    </row>
    <row r="17836" s="101" customFormat="1" spans="6:6">
      <c r="F17836" s="2423"/>
    </row>
    <row r="17837" s="101" customFormat="1" spans="6:6">
      <c r="F17837" s="2423"/>
    </row>
    <row r="17838" s="101" customFormat="1" spans="6:6">
      <c r="F17838" s="2423"/>
    </row>
    <row r="17839" s="101" customFormat="1" spans="6:6">
      <c r="F17839" s="2423"/>
    </row>
    <row r="17840" s="101" customFormat="1" spans="6:6">
      <c r="F17840" s="2423"/>
    </row>
    <row r="17841" s="101" customFormat="1" spans="6:6">
      <c r="F17841" s="2423"/>
    </row>
    <row r="17842" s="101" customFormat="1" spans="6:6">
      <c r="F17842" s="2423"/>
    </row>
    <row r="17843" s="101" customFormat="1" spans="6:6">
      <c r="F17843" s="2423"/>
    </row>
    <row r="17844" s="101" customFormat="1" spans="6:6">
      <c r="F17844" s="2423"/>
    </row>
    <row r="17845" s="101" customFormat="1" spans="6:6">
      <c r="F17845" s="2423"/>
    </row>
    <row r="17846" s="101" customFormat="1" spans="6:6">
      <c r="F17846" s="2423"/>
    </row>
    <row r="17847" s="101" customFormat="1" spans="6:6">
      <c r="F17847" s="2423"/>
    </row>
    <row r="17848" s="101" customFormat="1" spans="6:6">
      <c r="F17848" s="2423"/>
    </row>
    <row r="17849" s="101" customFormat="1" spans="6:6">
      <c r="F17849" s="2423"/>
    </row>
    <row r="17850" s="101" customFormat="1" spans="6:6">
      <c r="F17850" s="2423"/>
    </row>
    <row r="17851" s="101" customFormat="1" spans="6:6">
      <c r="F17851" s="2423"/>
    </row>
    <row r="17852" s="101" customFormat="1" spans="6:6">
      <c r="F17852" s="2423"/>
    </row>
    <row r="17853" s="101" customFormat="1" spans="6:6">
      <c r="F17853" s="2423"/>
    </row>
    <row r="17854" s="101" customFormat="1" spans="6:6">
      <c r="F17854" s="2423"/>
    </row>
    <row r="17855" s="101" customFormat="1" spans="6:6">
      <c r="F17855" s="2423"/>
    </row>
    <row r="17856" s="101" customFormat="1" spans="6:6">
      <c r="F17856" s="2423"/>
    </row>
    <row r="17857" s="101" customFormat="1" spans="6:6">
      <c r="F17857" s="2423"/>
    </row>
    <row r="17858" s="101" customFormat="1" spans="6:6">
      <c r="F17858" s="2423"/>
    </row>
    <row r="17859" s="101" customFormat="1" spans="6:6">
      <c r="F17859" s="2423"/>
    </row>
    <row r="17860" s="101" customFormat="1" spans="6:6">
      <c r="F17860" s="2423"/>
    </row>
    <row r="17861" s="101" customFormat="1" spans="6:6">
      <c r="F17861" s="2423"/>
    </row>
    <row r="17862" s="101" customFormat="1" spans="6:6">
      <c r="F17862" s="2423"/>
    </row>
    <row r="17863" s="101" customFormat="1" spans="6:6">
      <c r="F17863" s="2423"/>
    </row>
    <row r="17864" s="101" customFormat="1" spans="6:6">
      <c r="F17864" s="2423"/>
    </row>
    <row r="17865" s="101" customFormat="1" spans="6:6">
      <c r="F17865" s="2423"/>
    </row>
    <row r="17866" s="101" customFormat="1" spans="6:6">
      <c r="F17866" s="2423"/>
    </row>
    <row r="17867" s="101" customFormat="1" spans="6:6">
      <c r="F17867" s="2423"/>
    </row>
    <row r="17868" s="101" customFormat="1" spans="6:6">
      <c r="F17868" s="2423"/>
    </row>
    <row r="17869" s="101" customFormat="1" spans="6:6">
      <c r="F17869" s="2423"/>
    </row>
    <row r="17870" s="101" customFormat="1" spans="6:6">
      <c r="F17870" s="2423"/>
    </row>
    <row r="17871" s="101" customFormat="1" spans="6:6">
      <c r="F17871" s="2423"/>
    </row>
    <row r="17872" s="101" customFormat="1" spans="6:6">
      <c r="F17872" s="2423"/>
    </row>
    <row r="17873" s="101" customFormat="1" spans="6:6">
      <c r="F17873" s="2423"/>
    </row>
    <row r="17874" s="101" customFormat="1" spans="6:6">
      <c r="F17874" s="2423"/>
    </row>
    <row r="17875" s="101" customFormat="1" spans="6:6">
      <c r="F17875" s="2423"/>
    </row>
    <row r="17876" s="101" customFormat="1" spans="6:6">
      <c r="F17876" s="2423"/>
    </row>
    <row r="17877" s="101" customFormat="1" spans="6:6">
      <c r="F17877" s="2423"/>
    </row>
    <row r="17878" s="101" customFormat="1" spans="6:6">
      <c r="F17878" s="2423"/>
    </row>
    <row r="17879" s="101" customFormat="1" spans="6:6">
      <c r="F17879" s="2423"/>
    </row>
    <row r="17880" s="101" customFormat="1" spans="6:6">
      <c r="F17880" s="2423"/>
    </row>
    <row r="17881" s="101" customFormat="1" spans="6:6">
      <c r="F17881" s="2423"/>
    </row>
    <row r="17882" s="101" customFormat="1" spans="6:6">
      <c r="F17882" s="2423"/>
    </row>
    <row r="17883" s="101" customFormat="1" spans="6:6">
      <c r="F17883" s="2423"/>
    </row>
    <row r="17884" s="101" customFormat="1" spans="6:6">
      <c r="F17884" s="2423"/>
    </row>
    <row r="17885" s="101" customFormat="1" spans="6:6">
      <c r="F17885" s="2423"/>
    </row>
    <row r="17886" s="101" customFormat="1" spans="6:6">
      <c r="F17886" s="2423"/>
    </row>
    <row r="17887" s="101" customFormat="1" spans="6:6">
      <c r="F17887" s="2423"/>
    </row>
    <row r="17888" s="101" customFormat="1" spans="6:6">
      <c r="F17888" s="2423"/>
    </row>
    <row r="17889" s="101" customFormat="1" spans="6:6">
      <c r="F17889" s="2423"/>
    </row>
    <row r="17890" s="101" customFormat="1" spans="6:6">
      <c r="F17890" s="2423"/>
    </row>
    <row r="17891" s="101" customFormat="1" spans="6:6">
      <c r="F17891" s="2423"/>
    </row>
    <row r="17892" s="101" customFormat="1" spans="6:6">
      <c r="F17892" s="2423"/>
    </row>
    <row r="17893" s="101" customFormat="1" spans="6:6">
      <c r="F17893" s="2423"/>
    </row>
    <row r="17894" s="101" customFormat="1" spans="6:6">
      <c r="F17894" s="2423"/>
    </row>
    <row r="17895" s="101" customFormat="1" spans="6:6">
      <c r="F17895" s="2423"/>
    </row>
    <row r="17896" s="101" customFormat="1" spans="6:6">
      <c r="F17896" s="2423"/>
    </row>
    <row r="17897" s="101" customFormat="1" spans="6:6">
      <c r="F17897" s="2423"/>
    </row>
    <row r="17898" s="101" customFormat="1" spans="6:6">
      <c r="F17898" s="2423"/>
    </row>
    <row r="17899" s="101" customFormat="1" spans="6:6">
      <c r="F17899" s="2423"/>
    </row>
    <row r="17900" s="101" customFormat="1" spans="6:6">
      <c r="F17900" s="2423"/>
    </row>
    <row r="17901" s="101" customFormat="1" spans="6:6">
      <c r="F17901" s="2423"/>
    </row>
    <row r="17902" s="101" customFormat="1" spans="6:6">
      <c r="F17902" s="2423"/>
    </row>
    <row r="17903" s="101" customFormat="1" spans="6:6">
      <c r="F17903" s="2423"/>
    </row>
    <row r="17904" s="101" customFormat="1" spans="6:6">
      <c r="F17904" s="2423"/>
    </row>
    <row r="17905" s="101" customFormat="1" spans="6:6">
      <c r="F17905" s="2423"/>
    </row>
    <row r="17906" s="101" customFormat="1" spans="6:6">
      <c r="F17906" s="2423"/>
    </row>
    <row r="17907" s="101" customFormat="1" spans="6:6">
      <c r="F17907" s="2423"/>
    </row>
    <row r="17908" s="101" customFormat="1" spans="6:6">
      <c r="F17908" s="2423"/>
    </row>
    <row r="17909" s="101" customFormat="1" spans="6:6">
      <c r="F17909" s="2423"/>
    </row>
    <row r="17910" s="101" customFormat="1" spans="6:6">
      <c r="F17910" s="2423"/>
    </row>
    <row r="17911" s="101" customFormat="1" spans="6:6">
      <c r="F17911" s="2423"/>
    </row>
    <row r="17912" s="101" customFormat="1" spans="6:6">
      <c r="F17912" s="2423"/>
    </row>
    <row r="17913" s="101" customFormat="1" spans="6:6">
      <c r="F17913" s="2423"/>
    </row>
    <row r="17914" s="101" customFormat="1" spans="6:6">
      <c r="F17914" s="2423"/>
    </row>
    <row r="17915" s="101" customFormat="1" spans="6:6">
      <c r="F17915" s="2423"/>
    </row>
    <row r="17916" s="101" customFormat="1" spans="6:6">
      <c r="F17916" s="2423"/>
    </row>
    <row r="17917" s="101" customFormat="1" spans="6:6">
      <c r="F17917" s="2423"/>
    </row>
    <row r="17918" s="101" customFormat="1" spans="6:6">
      <c r="F17918" s="2423"/>
    </row>
    <row r="17919" s="101" customFormat="1" spans="6:6">
      <c r="F17919" s="2423"/>
    </row>
    <row r="17920" s="101" customFormat="1" spans="6:6">
      <c r="F17920" s="2423"/>
    </row>
    <row r="17921" s="101" customFormat="1" spans="6:6">
      <c r="F17921" s="2423"/>
    </row>
    <row r="17922" s="101" customFormat="1" spans="6:6">
      <c r="F17922" s="2423"/>
    </row>
    <row r="17923" s="101" customFormat="1" spans="6:6">
      <c r="F17923" s="2423"/>
    </row>
    <row r="17924" s="101" customFormat="1" spans="6:6">
      <c r="F17924" s="2423"/>
    </row>
    <row r="17925" s="101" customFormat="1" spans="6:6">
      <c r="F17925" s="2423"/>
    </row>
    <row r="17926" s="101" customFormat="1" spans="6:6">
      <c r="F17926" s="2423"/>
    </row>
    <row r="17927" s="101" customFormat="1" spans="6:6">
      <c r="F17927" s="2423"/>
    </row>
    <row r="17928" s="101" customFormat="1" spans="6:6">
      <c r="F17928" s="2423"/>
    </row>
    <row r="17929" s="101" customFormat="1" spans="6:6">
      <c r="F17929" s="2423"/>
    </row>
    <row r="17930" s="101" customFormat="1" spans="6:6">
      <c r="F17930" s="2423"/>
    </row>
    <row r="17931" s="101" customFormat="1" spans="6:6">
      <c r="F17931" s="2423"/>
    </row>
    <row r="17932" s="101" customFormat="1" spans="6:6">
      <c r="F17932" s="2423"/>
    </row>
    <row r="17933" s="101" customFormat="1" spans="6:6">
      <c r="F17933" s="2423"/>
    </row>
    <row r="17934" s="101" customFormat="1" spans="6:6">
      <c r="F17934" s="2423"/>
    </row>
    <row r="17935" s="101" customFormat="1" spans="6:6">
      <c r="F17935" s="2423"/>
    </row>
    <row r="17936" s="101" customFormat="1" spans="6:6">
      <c r="F17936" s="2423"/>
    </row>
    <row r="17937" s="101" customFormat="1" spans="6:6">
      <c r="F17937" s="2423"/>
    </row>
    <row r="17938" s="101" customFormat="1" spans="6:6">
      <c r="F17938" s="2423"/>
    </row>
    <row r="17939" s="101" customFormat="1" spans="6:6">
      <c r="F17939" s="2423"/>
    </row>
    <row r="17940" s="101" customFormat="1" spans="6:6">
      <c r="F17940" s="2423"/>
    </row>
    <row r="17941" s="101" customFormat="1" spans="6:6">
      <c r="F17941" s="2423"/>
    </row>
    <row r="17942" s="101" customFormat="1" spans="6:6">
      <c r="F17942" s="2423"/>
    </row>
    <row r="17943" s="101" customFormat="1" spans="6:6">
      <c r="F17943" s="2423"/>
    </row>
    <row r="17944" s="101" customFormat="1" spans="6:6">
      <c r="F17944" s="2423"/>
    </row>
    <row r="17945" s="101" customFormat="1" spans="6:6">
      <c r="F17945" s="2423"/>
    </row>
    <row r="17946" s="101" customFormat="1" spans="6:6">
      <c r="F17946" s="2423"/>
    </row>
    <row r="17947" s="101" customFormat="1" spans="6:6">
      <c r="F17947" s="2423"/>
    </row>
    <row r="17948" s="101" customFormat="1" spans="6:6">
      <c r="F17948" s="2423"/>
    </row>
    <row r="17949" s="101" customFormat="1" spans="6:6">
      <c r="F17949" s="2423"/>
    </row>
    <row r="17950" s="101" customFormat="1" spans="6:6">
      <c r="F17950" s="2423"/>
    </row>
    <row r="17951" s="101" customFormat="1" spans="6:6">
      <c r="F17951" s="2423"/>
    </row>
    <row r="17952" s="101" customFormat="1" spans="6:6">
      <c r="F17952" s="2423"/>
    </row>
    <row r="17953" s="101" customFormat="1" spans="6:6">
      <c r="F17953" s="2423"/>
    </row>
    <row r="17954" s="101" customFormat="1" spans="6:6">
      <c r="F17954" s="2423"/>
    </row>
    <row r="17955" s="101" customFormat="1" spans="6:6">
      <c r="F17955" s="2423"/>
    </row>
    <row r="17956" s="101" customFormat="1" spans="6:6">
      <c r="F17956" s="2423"/>
    </row>
    <row r="17957" s="101" customFormat="1" spans="6:6">
      <c r="F17957" s="2423"/>
    </row>
    <row r="17958" s="101" customFormat="1" spans="6:6">
      <c r="F17958" s="2423"/>
    </row>
    <row r="17959" s="101" customFormat="1" spans="6:6">
      <c r="F17959" s="2423"/>
    </row>
    <row r="17960" s="101" customFormat="1" spans="6:6">
      <c r="F17960" s="2423"/>
    </row>
    <row r="17961" s="101" customFormat="1" spans="6:6">
      <c r="F17961" s="2423"/>
    </row>
    <row r="17962" s="101" customFormat="1" spans="6:6">
      <c r="F17962" s="2423"/>
    </row>
    <row r="17963" s="101" customFormat="1" spans="6:6">
      <c r="F17963" s="2423"/>
    </row>
    <row r="17964" s="101" customFormat="1" spans="6:6">
      <c r="F17964" s="2423"/>
    </row>
    <row r="17965" s="101" customFormat="1" spans="6:6">
      <c r="F17965" s="2423"/>
    </row>
    <row r="17966" s="101" customFormat="1" spans="6:6">
      <c r="F17966" s="2423"/>
    </row>
    <row r="17967" s="101" customFormat="1" spans="6:6">
      <c r="F17967" s="2423"/>
    </row>
    <row r="17968" s="101" customFormat="1" spans="6:6">
      <c r="F17968" s="2423"/>
    </row>
    <row r="17969" s="101" customFormat="1" spans="6:6">
      <c r="F17969" s="2423"/>
    </row>
    <row r="17970" s="101" customFormat="1" spans="6:6">
      <c r="F17970" s="2423"/>
    </row>
    <row r="17971" s="101" customFormat="1" spans="6:6">
      <c r="F17971" s="2423"/>
    </row>
    <row r="17972" s="101" customFormat="1" spans="6:6">
      <c r="F17972" s="2423"/>
    </row>
    <row r="17973" s="101" customFormat="1" spans="6:6">
      <c r="F17973" s="2423"/>
    </row>
    <row r="17974" s="101" customFormat="1" spans="6:6">
      <c r="F17974" s="2423"/>
    </row>
    <row r="17975" s="101" customFormat="1" spans="6:6">
      <c r="F17975" s="2423"/>
    </row>
    <row r="17976" s="101" customFormat="1" spans="6:6">
      <c r="F17976" s="2423"/>
    </row>
    <row r="17977" s="101" customFormat="1" spans="6:6">
      <c r="F17977" s="2423"/>
    </row>
    <row r="17978" s="101" customFormat="1" spans="6:6">
      <c r="F17978" s="2423"/>
    </row>
    <row r="17979" s="101" customFormat="1" spans="6:6">
      <c r="F17979" s="2423"/>
    </row>
    <row r="17980" s="101" customFormat="1" spans="6:6">
      <c r="F17980" s="2423"/>
    </row>
    <row r="17981" s="101" customFormat="1" spans="6:6">
      <c r="F17981" s="2423"/>
    </row>
    <row r="17982" s="101" customFormat="1" spans="6:6">
      <c r="F17982" s="2423"/>
    </row>
    <row r="17983" s="101" customFormat="1" spans="6:6">
      <c r="F17983" s="2423"/>
    </row>
    <row r="17984" s="101" customFormat="1" spans="6:6">
      <c r="F17984" s="2423"/>
    </row>
    <row r="17985" s="101" customFormat="1" spans="6:6">
      <c r="F17985" s="2423"/>
    </row>
    <row r="17986" s="101" customFormat="1" spans="6:6">
      <c r="F17986" s="2423"/>
    </row>
    <row r="17987" s="101" customFormat="1" spans="6:6">
      <c r="F17987" s="2423"/>
    </row>
    <row r="17988" s="101" customFormat="1" spans="6:6">
      <c r="F17988" s="2423"/>
    </row>
    <row r="17989" s="101" customFormat="1" spans="6:6">
      <c r="F17989" s="2423"/>
    </row>
    <row r="17990" s="101" customFormat="1" spans="6:6">
      <c r="F17990" s="2423"/>
    </row>
    <row r="17991" s="101" customFormat="1" spans="6:6">
      <c r="F17991" s="2423"/>
    </row>
    <row r="17992" s="101" customFormat="1" spans="6:6">
      <c r="F17992" s="2423"/>
    </row>
    <row r="17993" s="101" customFormat="1" spans="6:6">
      <c r="F17993" s="2423"/>
    </row>
    <row r="17994" s="101" customFormat="1" spans="6:6">
      <c r="F17994" s="2423"/>
    </row>
    <row r="17995" s="101" customFormat="1" spans="6:6">
      <c r="F17995" s="2423"/>
    </row>
    <row r="17996" s="101" customFormat="1" spans="6:6">
      <c r="F17996" s="2423"/>
    </row>
    <row r="17997" s="101" customFormat="1" spans="6:6">
      <c r="F17997" s="2423"/>
    </row>
    <row r="17998" s="101" customFormat="1" spans="6:6">
      <c r="F17998" s="2423"/>
    </row>
    <row r="17999" s="101" customFormat="1" spans="6:6">
      <c r="F17999" s="2423"/>
    </row>
    <row r="18000" s="101" customFormat="1" spans="6:6">
      <c r="F18000" s="2423"/>
    </row>
    <row r="18001" s="101" customFormat="1" spans="6:6">
      <c r="F18001" s="2423"/>
    </row>
    <row r="18002" s="101" customFormat="1" spans="6:6">
      <c r="F18002" s="2423"/>
    </row>
    <row r="18003" s="101" customFormat="1" spans="6:6">
      <c r="F18003" s="2423"/>
    </row>
    <row r="18004" s="101" customFormat="1" spans="6:6">
      <c r="F18004" s="2423"/>
    </row>
    <row r="18005" s="101" customFormat="1" spans="6:6">
      <c r="F18005" s="2423"/>
    </row>
    <row r="18006" s="101" customFormat="1" spans="6:6">
      <c r="F18006" s="2423"/>
    </row>
    <row r="18007" s="101" customFormat="1" spans="6:6">
      <c r="F18007" s="2423"/>
    </row>
    <row r="18008" s="101" customFormat="1" spans="6:6">
      <c r="F18008" s="2423"/>
    </row>
    <row r="18009" s="101" customFormat="1" spans="6:6">
      <c r="F18009" s="2423"/>
    </row>
    <row r="18010" s="101" customFormat="1" spans="6:6">
      <c r="F18010" s="2423"/>
    </row>
    <row r="18011" s="101" customFormat="1" spans="6:6">
      <c r="F18011" s="2423"/>
    </row>
    <row r="18012" s="101" customFormat="1" spans="6:6">
      <c r="F18012" s="2423"/>
    </row>
    <row r="18013" s="101" customFormat="1" spans="6:6">
      <c r="F18013" s="2423"/>
    </row>
    <row r="18014" s="101" customFormat="1" spans="6:6">
      <c r="F18014" s="2423"/>
    </row>
    <row r="18015" s="101" customFormat="1" spans="6:6">
      <c r="F18015" s="2423"/>
    </row>
    <row r="18016" s="101" customFormat="1" spans="6:6">
      <c r="F18016" s="2423"/>
    </row>
    <row r="18017" s="101" customFormat="1" spans="6:6">
      <c r="F18017" s="2423"/>
    </row>
    <row r="18018" s="101" customFormat="1" spans="6:6">
      <c r="F18018" s="2423"/>
    </row>
    <row r="18019" s="101" customFormat="1" spans="6:6">
      <c r="F18019" s="2423"/>
    </row>
    <row r="18020" s="101" customFormat="1" spans="6:6">
      <c r="F18020" s="2423"/>
    </row>
    <row r="18021" s="101" customFormat="1" spans="6:6">
      <c r="F18021" s="2423"/>
    </row>
    <row r="18022" s="101" customFormat="1" spans="6:6">
      <c r="F18022" s="2423"/>
    </row>
    <row r="18023" s="101" customFormat="1" spans="6:6">
      <c r="F18023" s="2423"/>
    </row>
    <row r="18024" s="101" customFormat="1" spans="6:6">
      <c r="F18024" s="2423"/>
    </row>
    <row r="18025" s="101" customFormat="1" spans="6:6">
      <c r="F18025" s="2423"/>
    </row>
    <row r="18026" s="101" customFormat="1" spans="6:6">
      <c r="F18026" s="2423"/>
    </row>
    <row r="18027" s="101" customFormat="1" spans="6:6">
      <c r="F18027" s="2423"/>
    </row>
    <row r="18028" s="101" customFormat="1" spans="6:6">
      <c r="F18028" s="2423"/>
    </row>
    <row r="18029" s="101" customFormat="1" spans="6:6">
      <c r="F18029" s="2423"/>
    </row>
    <row r="18030" s="101" customFormat="1" spans="6:6">
      <c r="F18030" s="2423"/>
    </row>
    <row r="18031" s="101" customFormat="1" spans="6:6">
      <c r="F18031" s="2423"/>
    </row>
    <row r="18032" s="101" customFormat="1" spans="6:6">
      <c r="F18032" s="2423"/>
    </row>
    <row r="18033" s="101" customFormat="1" spans="6:6">
      <c r="F18033" s="2423"/>
    </row>
    <row r="18034" s="101" customFormat="1" spans="6:6">
      <c r="F18034" s="2423"/>
    </row>
    <row r="18035" s="101" customFormat="1" spans="6:6">
      <c r="F18035" s="2423"/>
    </row>
    <row r="18036" s="101" customFormat="1" spans="6:6">
      <c r="F18036" s="2423"/>
    </row>
    <row r="18037" s="101" customFormat="1" spans="6:6">
      <c r="F18037" s="2423"/>
    </row>
    <row r="18038" s="101" customFormat="1" spans="6:6">
      <c r="F18038" s="2423"/>
    </row>
    <row r="18039" s="101" customFormat="1" spans="6:6">
      <c r="F18039" s="2423"/>
    </row>
    <row r="18040" s="101" customFormat="1" spans="6:6">
      <c r="F18040" s="2423"/>
    </row>
    <row r="18041" s="101" customFormat="1" spans="6:6">
      <c r="F18041" s="2423"/>
    </row>
    <row r="18042" s="101" customFormat="1" spans="6:6">
      <c r="F18042" s="2423"/>
    </row>
    <row r="18043" s="101" customFormat="1" spans="6:6">
      <c r="F18043" s="2423"/>
    </row>
    <row r="18044" s="101" customFormat="1" spans="6:6">
      <c r="F18044" s="2423"/>
    </row>
    <row r="18045" s="101" customFormat="1" spans="6:6">
      <c r="F18045" s="2423"/>
    </row>
    <row r="18046" s="101" customFormat="1" spans="6:6">
      <c r="F18046" s="2423"/>
    </row>
    <row r="18047" s="101" customFormat="1" spans="6:6">
      <c r="F18047" s="2423"/>
    </row>
    <row r="18048" s="101" customFormat="1" spans="6:6">
      <c r="F18048" s="2423"/>
    </row>
    <row r="18049" s="101" customFormat="1" spans="6:6">
      <c r="F18049" s="2423"/>
    </row>
    <row r="18050" s="101" customFormat="1" spans="6:6">
      <c r="F18050" s="2423"/>
    </row>
    <row r="18051" s="101" customFormat="1" spans="6:6">
      <c r="F18051" s="2423"/>
    </row>
    <row r="18052" s="101" customFormat="1" spans="6:6">
      <c r="F18052" s="2423"/>
    </row>
    <row r="18053" s="101" customFormat="1" spans="6:6">
      <c r="F18053" s="2423"/>
    </row>
    <row r="18054" s="101" customFormat="1" spans="6:6">
      <c r="F18054" s="2423"/>
    </row>
    <row r="18055" s="101" customFormat="1" spans="6:6">
      <c r="F18055" s="2423"/>
    </row>
    <row r="18056" s="101" customFormat="1" spans="6:6">
      <c r="F18056" s="2423"/>
    </row>
    <row r="18057" s="101" customFormat="1" spans="6:6">
      <c r="F18057" s="2423"/>
    </row>
    <row r="18058" s="101" customFormat="1" spans="6:6">
      <c r="F18058" s="2423"/>
    </row>
    <row r="18059" s="101" customFormat="1" spans="6:6">
      <c r="F18059" s="2423"/>
    </row>
    <row r="18060" s="101" customFormat="1" spans="6:6">
      <c r="F18060" s="2423"/>
    </row>
    <row r="18061" s="101" customFormat="1" spans="6:6">
      <c r="F18061" s="2423"/>
    </row>
    <row r="18062" s="101" customFormat="1" spans="6:6">
      <c r="F18062" s="2423"/>
    </row>
    <row r="18063" s="101" customFormat="1" spans="6:6">
      <c r="F18063" s="2423"/>
    </row>
    <row r="18064" s="101" customFormat="1" spans="6:6">
      <c r="F18064" s="2423"/>
    </row>
    <row r="18065" s="101" customFormat="1" spans="6:6">
      <c r="F18065" s="2423"/>
    </row>
    <row r="18066" s="101" customFormat="1" spans="6:6">
      <c r="F18066" s="2423"/>
    </row>
    <row r="18067" s="101" customFormat="1" spans="6:6">
      <c r="F18067" s="2423"/>
    </row>
    <row r="18068" s="101" customFormat="1" spans="6:6">
      <c r="F18068" s="2423"/>
    </row>
    <row r="18069" s="101" customFormat="1" spans="6:6">
      <c r="F18069" s="2423"/>
    </row>
    <row r="18070" s="101" customFormat="1" spans="6:6">
      <c r="F18070" s="2423"/>
    </row>
    <row r="18071" s="101" customFormat="1" spans="6:6">
      <c r="F18071" s="2423"/>
    </row>
    <row r="18072" s="101" customFormat="1" spans="6:6">
      <c r="F18072" s="2423"/>
    </row>
    <row r="18073" s="101" customFormat="1" spans="6:6">
      <c r="F18073" s="2423"/>
    </row>
    <row r="18074" s="101" customFormat="1" spans="6:6">
      <c r="F18074" s="2423"/>
    </row>
    <row r="18075" s="101" customFormat="1" spans="6:6">
      <c r="F18075" s="2423"/>
    </row>
    <row r="18076" s="101" customFormat="1" spans="6:6">
      <c r="F18076" s="2423"/>
    </row>
    <row r="18077" s="101" customFormat="1" spans="6:6">
      <c r="F18077" s="2423"/>
    </row>
    <row r="18078" s="101" customFormat="1" spans="6:6">
      <c r="F18078" s="2423"/>
    </row>
    <row r="18079" s="101" customFormat="1" spans="6:6">
      <c r="F18079" s="2423"/>
    </row>
    <row r="18080" s="101" customFormat="1" spans="6:6">
      <c r="F18080" s="2423"/>
    </row>
    <row r="18081" s="101" customFormat="1" spans="6:6">
      <c r="F18081" s="2423"/>
    </row>
    <row r="18082" s="101" customFormat="1" spans="6:6">
      <c r="F18082" s="2423"/>
    </row>
    <row r="18083" s="101" customFormat="1" spans="6:6">
      <c r="F18083" s="2423"/>
    </row>
    <row r="18084" s="101" customFormat="1" spans="6:6">
      <c r="F18084" s="2423"/>
    </row>
    <row r="18085" s="101" customFormat="1" spans="6:6">
      <c r="F18085" s="2423"/>
    </row>
    <row r="18086" s="101" customFormat="1" spans="6:6">
      <c r="F18086" s="2423"/>
    </row>
    <row r="18087" s="101" customFormat="1" spans="6:6">
      <c r="F18087" s="2423"/>
    </row>
    <row r="18088" s="101" customFormat="1" spans="6:6">
      <c r="F18088" s="2423"/>
    </row>
    <row r="18089" s="101" customFormat="1" spans="6:6">
      <c r="F18089" s="2423"/>
    </row>
    <row r="18090" s="101" customFormat="1" spans="6:6">
      <c r="F18090" s="2423"/>
    </row>
    <row r="18091" s="101" customFormat="1" spans="6:6">
      <c r="F18091" s="2423"/>
    </row>
    <row r="18092" s="101" customFormat="1" spans="6:6">
      <c r="F18092" s="2423"/>
    </row>
    <row r="18093" s="101" customFormat="1" spans="6:6">
      <c r="F18093" s="2423"/>
    </row>
    <row r="18094" s="101" customFormat="1" spans="6:6">
      <c r="F18094" s="2423"/>
    </row>
    <row r="18095" s="101" customFormat="1" spans="6:6">
      <c r="F18095" s="2423"/>
    </row>
    <row r="18096" s="101" customFormat="1" spans="6:6">
      <c r="F18096" s="2423"/>
    </row>
    <row r="18097" s="101" customFormat="1" spans="6:6">
      <c r="F18097" s="2423"/>
    </row>
    <row r="18098" s="101" customFormat="1" spans="6:6">
      <c r="F18098" s="2423"/>
    </row>
    <row r="18099" s="101" customFormat="1" spans="6:6">
      <c r="F18099" s="2423"/>
    </row>
    <row r="18100" s="101" customFormat="1" spans="6:6">
      <c r="F18100" s="2423"/>
    </row>
    <row r="18101" s="101" customFormat="1" spans="6:6">
      <c r="F18101" s="2423"/>
    </row>
    <row r="18102" s="101" customFormat="1" spans="6:6">
      <c r="F18102" s="2423"/>
    </row>
    <row r="18103" s="101" customFormat="1" spans="6:6">
      <c r="F18103" s="2423"/>
    </row>
    <row r="18104" s="101" customFormat="1" spans="6:6">
      <c r="F18104" s="2423"/>
    </row>
    <row r="18105" s="101" customFormat="1" spans="6:6">
      <c r="F18105" s="2423"/>
    </row>
    <row r="18106" s="101" customFormat="1" spans="6:6">
      <c r="F18106" s="2423"/>
    </row>
    <row r="18107" s="101" customFormat="1" spans="6:6">
      <c r="F18107" s="2423"/>
    </row>
    <row r="18108" s="101" customFormat="1" spans="6:6">
      <c r="F18108" s="2423"/>
    </row>
    <row r="18109" s="101" customFormat="1" spans="6:6">
      <c r="F18109" s="2423"/>
    </row>
    <row r="18110" s="101" customFormat="1" spans="6:6">
      <c r="F18110" s="2423"/>
    </row>
    <row r="18111" s="101" customFormat="1" spans="6:6">
      <c r="F18111" s="2423"/>
    </row>
    <row r="18112" s="101" customFormat="1" spans="6:6">
      <c r="F18112" s="2423"/>
    </row>
    <row r="18113" s="101" customFormat="1" spans="6:6">
      <c r="F18113" s="2423"/>
    </row>
    <row r="18114" s="101" customFormat="1" spans="6:6">
      <c r="F18114" s="2423"/>
    </row>
    <row r="18115" s="101" customFormat="1" spans="6:6">
      <c r="F18115" s="2423"/>
    </row>
    <row r="18116" s="101" customFormat="1" spans="6:6">
      <c r="F18116" s="2423"/>
    </row>
    <row r="18117" s="101" customFormat="1" spans="6:6">
      <c r="F18117" s="2423"/>
    </row>
    <row r="18118" s="101" customFormat="1" spans="6:6">
      <c r="F18118" s="2423"/>
    </row>
    <row r="18119" s="101" customFormat="1" spans="6:6">
      <c r="F18119" s="2423"/>
    </row>
    <row r="18120" s="101" customFormat="1" spans="6:6">
      <c r="F18120" s="2423"/>
    </row>
    <row r="18121" s="101" customFormat="1" spans="6:6">
      <c r="F18121" s="2423"/>
    </row>
    <row r="18122" s="101" customFormat="1" spans="6:6">
      <c r="F18122" s="2423"/>
    </row>
    <row r="18123" s="101" customFormat="1" spans="6:6">
      <c r="F18123" s="2423"/>
    </row>
    <row r="18124" s="101" customFormat="1" spans="6:6">
      <c r="F18124" s="2423"/>
    </row>
    <row r="18125" s="101" customFormat="1" spans="6:6">
      <c r="F18125" s="2423"/>
    </row>
    <row r="18126" s="101" customFormat="1" spans="6:6">
      <c r="F18126" s="2423"/>
    </row>
    <row r="18127" s="101" customFormat="1" spans="6:6">
      <c r="F18127" s="2423"/>
    </row>
    <row r="18128" s="101" customFormat="1" spans="6:6">
      <c r="F18128" s="2423"/>
    </row>
    <row r="18129" s="101" customFormat="1" spans="6:6">
      <c r="F18129" s="2423"/>
    </row>
    <row r="18130" s="101" customFormat="1" spans="6:6">
      <c r="F18130" s="2423"/>
    </row>
    <row r="18131" s="101" customFormat="1" spans="6:6">
      <c r="F18131" s="2423"/>
    </row>
    <row r="18132" s="101" customFormat="1" spans="6:6">
      <c r="F18132" s="2423"/>
    </row>
    <row r="18133" s="101" customFormat="1" spans="6:6">
      <c r="F18133" s="2423"/>
    </row>
    <row r="18134" s="101" customFormat="1" spans="6:6">
      <c r="F18134" s="2423"/>
    </row>
    <row r="18135" s="101" customFormat="1" spans="6:6">
      <c r="F18135" s="2423"/>
    </row>
    <row r="18136" s="101" customFormat="1" spans="6:6">
      <c r="F18136" s="2423"/>
    </row>
    <row r="18137" s="101" customFormat="1" spans="6:6">
      <c r="F18137" s="2423"/>
    </row>
    <row r="18138" s="101" customFormat="1" spans="6:6">
      <c r="F18138" s="2423"/>
    </row>
    <row r="18139" s="101" customFormat="1" spans="6:6">
      <c r="F18139" s="2423"/>
    </row>
    <row r="18140" s="101" customFormat="1" spans="6:6">
      <c r="F18140" s="2423"/>
    </row>
    <row r="18141" s="101" customFormat="1" spans="6:6">
      <c r="F18141" s="2423"/>
    </row>
    <row r="18142" s="101" customFormat="1" spans="6:6">
      <c r="F18142" s="2423"/>
    </row>
    <row r="18143" s="101" customFormat="1" spans="6:6">
      <c r="F18143" s="2423"/>
    </row>
    <row r="18144" s="101" customFormat="1" spans="6:6">
      <c r="F18144" s="2423"/>
    </row>
    <row r="18145" s="101" customFormat="1" spans="6:6">
      <c r="F18145" s="2423"/>
    </row>
    <row r="18146" s="101" customFormat="1" spans="6:6">
      <c r="F18146" s="2423"/>
    </row>
    <row r="18147" s="101" customFormat="1" spans="6:6">
      <c r="F18147" s="2423"/>
    </row>
    <row r="18148" s="101" customFormat="1" spans="6:6">
      <c r="F18148" s="2423"/>
    </row>
    <row r="18149" s="101" customFormat="1" spans="6:6">
      <c r="F18149" s="2423"/>
    </row>
    <row r="18150" s="101" customFormat="1" spans="6:6">
      <c r="F18150" s="2423"/>
    </row>
    <row r="18151" s="101" customFormat="1" spans="6:6">
      <c r="F18151" s="2423"/>
    </row>
    <row r="18152" s="101" customFormat="1" spans="6:6">
      <c r="F18152" s="2423"/>
    </row>
    <row r="18153" s="101" customFormat="1" spans="6:6">
      <c r="F18153" s="2423"/>
    </row>
    <row r="18154" s="101" customFormat="1" spans="6:6">
      <c r="F18154" s="2423"/>
    </row>
    <row r="18155" s="101" customFormat="1" spans="6:6">
      <c r="F18155" s="2423"/>
    </row>
    <row r="18156" s="101" customFormat="1" spans="6:6">
      <c r="F18156" s="2423"/>
    </row>
    <row r="18157" s="101" customFormat="1" spans="6:6">
      <c r="F18157" s="2423"/>
    </row>
    <row r="18158" s="101" customFormat="1" spans="6:6">
      <c r="F18158" s="2423"/>
    </row>
    <row r="18159" s="101" customFormat="1" spans="6:6">
      <c r="F18159" s="2423"/>
    </row>
    <row r="18160" s="101" customFormat="1" spans="6:6">
      <c r="F18160" s="2423"/>
    </row>
    <row r="18161" s="101" customFormat="1" spans="6:6">
      <c r="F18161" s="2423"/>
    </row>
    <row r="18162" s="101" customFormat="1" spans="6:6">
      <c r="F18162" s="2423"/>
    </row>
    <row r="18163" s="101" customFormat="1" spans="6:6">
      <c r="F18163" s="2423"/>
    </row>
    <row r="18164" s="101" customFormat="1" spans="6:6">
      <c r="F18164" s="2423"/>
    </row>
    <row r="18165" s="101" customFormat="1" spans="6:6">
      <c r="F18165" s="2423"/>
    </row>
    <row r="18166" s="101" customFormat="1" spans="6:6">
      <c r="F18166" s="2423"/>
    </row>
    <row r="18167" s="101" customFormat="1" spans="6:6">
      <c r="F18167" s="2423"/>
    </row>
    <row r="18168" s="101" customFormat="1" spans="6:6">
      <c r="F18168" s="2423"/>
    </row>
    <row r="18169" s="101" customFormat="1" spans="6:6">
      <c r="F18169" s="2423"/>
    </row>
    <row r="18170" s="101" customFormat="1" spans="6:6">
      <c r="F18170" s="2423"/>
    </row>
    <row r="18171" s="101" customFormat="1" spans="6:6">
      <c r="F18171" s="2423"/>
    </row>
    <row r="18172" s="101" customFormat="1" spans="6:6">
      <c r="F18172" s="2423"/>
    </row>
    <row r="18173" s="101" customFormat="1" spans="6:6">
      <c r="F18173" s="2423"/>
    </row>
    <row r="18174" s="101" customFormat="1" spans="6:6">
      <c r="F18174" s="2423"/>
    </row>
    <row r="18175" s="101" customFormat="1" spans="6:6">
      <c r="F18175" s="2423"/>
    </row>
    <row r="18176" s="101" customFormat="1" spans="6:6">
      <c r="F18176" s="2423"/>
    </row>
    <row r="18177" s="101" customFormat="1" spans="6:6">
      <c r="F18177" s="2423"/>
    </row>
    <row r="18178" s="101" customFormat="1" spans="6:6">
      <c r="F18178" s="2423"/>
    </row>
    <row r="18179" s="101" customFormat="1" spans="6:6">
      <c r="F18179" s="2423"/>
    </row>
    <row r="18180" s="101" customFormat="1" spans="6:6">
      <c r="F18180" s="2423"/>
    </row>
    <row r="18181" s="101" customFormat="1" spans="6:6">
      <c r="F18181" s="2423"/>
    </row>
    <row r="18182" s="101" customFormat="1" spans="6:6">
      <c r="F18182" s="2423"/>
    </row>
    <row r="18183" s="101" customFormat="1" spans="6:6">
      <c r="F18183" s="2423"/>
    </row>
    <row r="18184" s="101" customFormat="1" spans="6:6">
      <c r="F18184" s="2423"/>
    </row>
    <row r="18185" s="101" customFormat="1" spans="6:6">
      <c r="F18185" s="2423"/>
    </row>
    <row r="18186" s="101" customFormat="1" spans="6:6">
      <c r="F18186" s="2423"/>
    </row>
    <row r="18187" s="101" customFormat="1" spans="6:6">
      <c r="F18187" s="2423"/>
    </row>
    <row r="18188" s="101" customFormat="1" spans="6:6">
      <c r="F18188" s="2423"/>
    </row>
    <row r="18189" s="101" customFormat="1" spans="6:6">
      <c r="F18189" s="2423"/>
    </row>
    <row r="18190" s="101" customFormat="1" spans="6:6">
      <c r="F18190" s="2423"/>
    </row>
    <row r="18191" s="101" customFormat="1" spans="6:6">
      <c r="F18191" s="2423"/>
    </row>
    <row r="18192" s="101" customFormat="1" spans="6:6">
      <c r="F18192" s="2423"/>
    </row>
    <row r="18193" s="101" customFormat="1" spans="6:6">
      <c r="F18193" s="2423"/>
    </row>
    <row r="18194" s="101" customFormat="1" spans="6:6">
      <c r="F18194" s="2423"/>
    </row>
    <row r="18195" s="101" customFormat="1" spans="6:6">
      <c r="F18195" s="2423"/>
    </row>
    <row r="18196" s="101" customFormat="1" spans="6:6">
      <c r="F18196" s="2423"/>
    </row>
    <row r="18197" s="101" customFormat="1" spans="6:6">
      <c r="F18197" s="2423"/>
    </row>
    <row r="18198" s="101" customFormat="1" spans="6:6">
      <c r="F18198" s="2423"/>
    </row>
    <row r="18199" s="101" customFormat="1" spans="6:6">
      <c r="F18199" s="2423"/>
    </row>
    <row r="18200" s="101" customFormat="1" spans="6:6">
      <c r="F18200" s="2423"/>
    </row>
    <row r="18201" s="101" customFormat="1" spans="6:6">
      <c r="F18201" s="2423"/>
    </row>
    <row r="18202" s="101" customFormat="1" spans="6:6">
      <c r="F18202" s="2423"/>
    </row>
    <row r="18203" s="101" customFormat="1" spans="6:6">
      <c r="F18203" s="2423"/>
    </row>
    <row r="18204" s="101" customFormat="1" spans="6:6">
      <c r="F18204" s="2423"/>
    </row>
    <row r="18205" s="101" customFormat="1" spans="6:6">
      <c r="F18205" s="2423"/>
    </row>
    <row r="18206" s="101" customFormat="1" spans="6:6">
      <c r="F18206" s="2423"/>
    </row>
    <row r="18207" s="101" customFormat="1" spans="6:6">
      <c r="F18207" s="2423"/>
    </row>
    <row r="18208" s="101" customFormat="1" spans="6:6">
      <c r="F18208" s="2423"/>
    </row>
    <row r="18209" s="101" customFormat="1" spans="6:6">
      <c r="F18209" s="2423"/>
    </row>
    <row r="18210" s="101" customFormat="1" spans="6:6">
      <c r="F18210" s="2423"/>
    </row>
    <row r="18211" s="101" customFormat="1" spans="6:6">
      <c r="F18211" s="2423"/>
    </row>
    <row r="18212" s="101" customFormat="1" spans="6:6">
      <c r="F18212" s="2423"/>
    </row>
    <row r="18213" s="101" customFormat="1" spans="6:6">
      <c r="F18213" s="2423"/>
    </row>
    <row r="18214" s="101" customFormat="1" spans="6:6">
      <c r="F18214" s="2423"/>
    </row>
    <row r="18215" s="101" customFormat="1" spans="6:6">
      <c r="F18215" s="2423"/>
    </row>
    <row r="18216" s="101" customFormat="1" spans="6:6">
      <c r="F18216" s="2423"/>
    </row>
    <row r="18217" s="101" customFormat="1" spans="6:6">
      <c r="F18217" s="2423"/>
    </row>
    <row r="18218" s="101" customFormat="1" spans="6:6">
      <c r="F18218" s="2423"/>
    </row>
    <row r="18219" s="101" customFormat="1" spans="6:6">
      <c r="F18219" s="2423"/>
    </row>
    <row r="18220" s="101" customFormat="1" spans="6:6">
      <c r="F18220" s="2423"/>
    </row>
    <row r="18221" s="101" customFormat="1" spans="6:6">
      <c r="F18221" s="2423"/>
    </row>
    <row r="18222" s="101" customFormat="1" spans="6:6">
      <c r="F18222" s="2423"/>
    </row>
    <row r="18223" s="101" customFormat="1" spans="6:6">
      <c r="F18223" s="2423"/>
    </row>
    <row r="18224" s="101" customFormat="1" spans="6:6">
      <c r="F18224" s="2423"/>
    </row>
    <row r="18225" s="101" customFormat="1" spans="6:6">
      <c r="F18225" s="2423"/>
    </row>
    <row r="18226" s="101" customFormat="1" spans="6:6">
      <c r="F18226" s="2423"/>
    </row>
    <row r="18227" s="101" customFormat="1" spans="6:6">
      <c r="F18227" s="2423"/>
    </row>
    <row r="18228" s="101" customFormat="1" spans="6:6">
      <c r="F18228" s="2423"/>
    </row>
    <row r="18229" s="101" customFormat="1" spans="6:6">
      <c r="F18229" s="2423"/>
    </row>
    <row r="18230" s="101" customFormat="1" spans="6:6">
      <c r="F18230" s="2423"/>
    </row>
    <row r="18231" s="101" customFormat="1" spans="6:6">
      <c r="F18231" s="2423"/>
    </row>
    <row r="18232" s="101" customFormat="1" spans="6:6">
      <c r="F18232" s="2423"/>
    </row>
    <row r="18233" s="101" customFormat="1" spans="6:6">
      <c r="F18233" s="2423"/>
    </row>
    <row r="18234" s="101" customFormat="1" spans="6:6">
      <c r="F18234" s="2423"/>
    </row>
    <row r="18235" s="101" customFormat="1" spans="6:6">
      <c r="F18235" s="2423"/>
    </row>
    <row r="18236" s="101" customFormat="1" spans="6:6">
      <c r="F18236" s="2423"/>
    </row>
    <row r="18237" s="101" customFormat="1" spans="6:6">
      <c r="F18237" s="2423"/>
    </row>
    <row r="18238" s="101" customFormat="1" spans="6:6">
      <c r="F18238" s="2423"/>
    </row>
    <row r="18239" s="101" customFormat="1" spans="6:6">
      <c r="F18239" s="2423"/>
    </row>
    <row r="18240" s="101" customFormat="1" spans="6:6">
      <c r="F18240" s="2423"/>
    </row>
    <row r="18241" s="101" customFormat="1" spans="6:6">
      <c r="F18241" s="2423"/>
    </row>
    <row r="18242" s="101" customFormat="1" spans="6:6">
      <c r="F18242" s="2423"/>
    </row>
    <row r="18243" s="101" customFormat="1" spans="6:6">
      <c r="F18243" s="2423"/>
    </row>
    <row r="18244" s="101" customFormat="1" spans="6:6">
      <c r="F18244" s="2423"/>
    </row>
    <row r="18245" s="101" customFormat="1" spans="6:6">
      <c r="F18245" s="2423"/>
    </row>
    <row r="18246" s="101" customFormat="1" spans="6:6">
      <c r="F18246" s="2423"/>
    </row>
    <row r="18247" s="101" customFormat="1" spans="6:6">
      <c r="F18247" s="2423"/>
    </row>
    <row r="18248" s="101" customFormat="1" spans="6:6">
      <c r="F18248" s="2423"/>
    </row>
    <row r="18249" s="101" customFormat="1" spans="6:6">
      <c r="F18249" s="2423"/>
    </row>
    <row r="18250" s="101" customFormat="1" spans="6:6">
      <c r="F18250" s="2423"/>
    </row>
    <row r="18251" s="101" customFormat="1" spans="6:6">
      <c r="F18251" s="2423"/>
    </row>
    <row r="18252" s="101" customFormat="1" spans="6:6">
      <c r="F18252" s="2423"/>
    </row>
    <row r="18253" s="101" customFormat="1" spans="6:6">
      <c r="F18253" s="2423"/>
    </row>
    <row r="18254" s="101" customFormat="1" spans="6:6">
      <c r="F18254" s="2423"/>
    </row>
    <row r="18255" s="101" customFormat="1" spans="6:6">
      <c r="F18255" s="2423"/>
    </row>
    <row r="18256" s="101" customFormat="1" spans="6:6">
      <c r="F18256" s="2423"/>
    </row>
    <row r="18257" s="101" customFormat="1" spans="6:6">
      <c r="F18257" s="2423"/>
    </row>
    <row r="18258" s="101" customFormat="1" spans="6:6">
      <c r="F18258" s="2423"/>
    </row>
    <row r="18259" s="101" customFormat="1" spans="6:6">
      <c r="F18259" s="2423"/>
    </row>
    <row r="18260" s="101" customFormat="1" spans="6:6">
      <c r="F18260" s="2423"/>
    </row>
    <row r="18261" s="101" customFormat="1" spans="6:6">
      <c r="F18261" s="2423"/>
    </row>
    <row r="18262" s="101" customFormat="1" spans="6:6">
      <c r="F18262" s="2423"/>
    </row>
    <row r="18263" s="101" customFormat="1" spans="6:6">
      <c r="F18263" s="2423"/>
    </row>
    <row r="18264" s="101" customFormat="1" spans="6:6">
      <c r="F18264" s="2423"/>
    </row>
    <row r="18265" s="101" customFormat="1" spans="6:6">
      <c r="F18265" s="2423"/>
    </row>
    <row r="18266" s="101" customFormat="1" spans="6:6">
      <c r="F18266" s="2423"/>
    </row>
    <row r="18267" s="101" customFormat="1" spans="6:6">
      <c r="F18267" s="2423"/>
    </row>
    <row r="18268" s="101" customFormat="1" spans="6:6">
      <c r="F18268" s="2423"/>
    </row>
    <row r="18269" s="101" customFormat="1" spans="6:6">
      <c r="F18269" s="2423"/>
    </row>
    <row r="18270" s="101" customFormat="1" spans="6:6">
      <c r="F18270" s="2423"/>
    </row>
    <row r="18271" s="101" customFormat="1" spans="6:6">
      <c r="F18271" s="2423"/>
    </row>
    <row r="18272" s="101" customFormat="1" spans="6:6">
      <c r="F18272" s="2423"/>
    </row>
    <row r="18273" s="101" customFormat="1" spans="6:6">
      <c r="F18273" s="2423"/>
    </row>
    <row r="18274" s="101" customFormat="1" spans="6:6">
      <c r="F18274" s="2423"/>
    </row>
    <row r="18275" s="101" customFormat="1" spans="6:6">
      <c r="F18275" s="2423"/>
    </row>
    <row r="18276" s="101" customFormat="1" spans="6:6">
      <c r="F18276" s="2423"/>
    </row>
    <row r="18277" s="101" customFormat="1" spans="6:6">
      <c r="F18277" s="2423"/>
    </row>
    <row r="18278" s="101" customFormat="1" spans="6:6">
      <c r="F18278" s="2423"/>
    </row>
    <row r="18279" s="101" customFormat="1" spans="6:6">
      <c r="F18279" s="2423"/>
    </row>
    <row r="18280" s="101" customFormat="1" spans="6:6">
      <c r="F18280" s="2423"/>
    </row>
    <row r="18281" s="101" customFormat="1" spans="6:6">
      <c r="F18281" s="2423"/>
    </row>
    <row r="18282" s="101" customFormat="1" spans="6:6">
      <c r="F18282" s="2423"/>
    </row>
    <row r="18283" s="101" customFormat="1" spans="6:6">
      <c r="F18283" s="2423"/>
    </row>
    <row r="18284" s="101" customFormat="1" spans="6:6">
      <c r="F18284" s="2423"/>
    </row>
    <row r="18285" s="101" customFormat="1" spans="6:6">
      <c r="F18285" s="2423"/>
    </row>
    <row r="18286" s="101" customFormat="1" spans="6:6">
      <c r="F18286" s="2423"/>
    </row>
    <row r="18287" s="101" customFormat="1" spans="6:6">
      <c r="F18287" s="2423"/>
    </row>
    <row r="18288" s="101" customFormat="1" spans="6:6">
      <c r="F18288" s="2423"/>
    </row>
    <row r="18289" s="101" customFormat="1" spans="6:6">
      <c r="F18289" s="2423"/>
    </row>
    <row r="18290" s="101" customFormat="1" spans="6:6">
      <c r="F18290" s="2423"/>
    </row>
    <row r="18291" s="101" customFormat="1" spans="6:6">
      <c r="F18291" s="2423"/>
    </row>
    <row r="18292" s="101" customFormat="1" spans="6:6">
      <c r="F18292" s="2423"/>
    </row>
    <row r="18293" s="101" customFormat="1" spans="6:6">
      <c r="F18293" s="2423"/>
    </row>
    <row r="18294" s="101" customFormat="1" spans="6:6">
      <c r="F18294" s="2423"/>
    </row>
    <row r="18295" s="101" customFormat="1" spans="6:6">
      <c r="F18295" s="2423"/>
    </row>
    <row r="18296" s="101" customFormat="1" spans="6:6">
      <c r="F18296" s="2423"/>
    </row>
    <row r="18297" s="101" customFormat="1" spans="6:6">
      <c r="F18297" s="2423"/>
    </row>
    <row r="18298" s="101" customFormat="1" spans="6:6">
      <c r="F18298" s="2423"/>
    </row>
    <row r="18299" s="101" customFormat="1" spans="6:6">
      <c r="F18299" s="2423"/>
    </row>
    <row r="18300" s="101" customFormat="1" spans="6:6">
      <c r="F18300" s="2423"/>
    </row>
    <row r="18301" s="101" customFormat="1" spans="6:6">
      <c r="F18301" s="2423"/>
    </row>
    <row r="18302" s="101" customFormat="1" spans="6:6">
      <c r="F18302" s="2423"/>
    </row>
    <row r="18303" s="101" customFormat="1" spans="6:6">
      <c r="F18303" s="2423"/>
    </row>
    <row r="18304" s="101" customFormat="1" spans="6:6">
      <c r="F18304" s="2423"/>
    </row>
    <row r="18305" s="101" customFormat="1" spans="6:6">
      <c r="F18305" s="2423"/>
    </row>
    <row r="18306" s="101" customFormat="1" spans="6:6">
      <c r="F18306" s="2423"/>
    </row>
    <row r="18307" s="101" customFormat="1" spans="6:6">
      <c r="F18307" s="2423"/>
    </row>
    <row r="18308" s="101" customFormat="1" spans="6:6">
      <c r="F18308" s="2423"/>
    </row>
    <row r="18309" s="101" customFormat="1" spans="6:6">
      <c r="F18309" s="2423"/>
    </row>
    <row r="18310" s="101" customFormat="1" spans="6:6">
      <c r="F18310" s="2423"/>
    </row>
    <row r="18311" s="101" customFormat="1" spans="6:6">
      <c r="F18311" s="2423"/>
    </row>
    <row r="18312" s="101" customFormat="1" spans="6:6">
      <c r="F18312" s="2423"/>
    </row>
    <row r="18313" s="101" customFormat="1" spans="6:6">
      <c r="F18313" s="2423"/>
    </row>
    <row r="18314" s="101" customFormat="1" spans="6:6">
      <c r="F18314" s="2423"/>
    </row>
    <row r="18315" s="101" customFormat="1" spans="6:6">
      <c r="F18315" s="2423"/>
    </row>
    <row r="18316" s="101" customFormat="1" spans="6:6">
      <c r="F18316" s="2423"/>
    </row>
    <row r="18317" s="101" customFormat="1" spans="6:6">
      <c r="F18317" s="2423"/>
    </row>
    <row r="18318" s="101" customFormat="1" spans="6:6">
      <c r="F18318" s="2423"/>
    </row>
    <row r="18319" s="101" customFormat="1" spans="6:6">
      <c r="F18319" s="2423"/>
    </row>
    <row r="18320" s="101" customFormat="1" spans="6:6">
      <c r="F18320" s="2423"/>
    </row>
    <row r="18321" s="101" customFormat="1" spans="6:6">
      <c r="F18321" s="2423"/>
    </row>
    <row r="18322" s="101" customFormat="1" spans="6:6">
      <c r="F18322" s="2423"/>
    </row>
    <row r="18323" s="101" customFormat="1" spans="6:6">
      <c r="F18323" s="2423"/>
    </row>
    <row r="18324" s="101" customFormat="1" spans="6:6">
      <c r="F18324" s="2423"/>
    </row>
    <row r="18325" s="101" customFormat="1" spans="6:6">
      <c r="F18325" s="2423"/>
    </row>
    <row r="18326" s="101" customFormat="1" spans="6:6">
      <c r="F18326" s="2423"/>
    </row>
    <row r="18327" s="101" customFormat="1" spans="6:6">
      <c r="F18327" s="2423"/>
    </row>
    <row r="18328" s="101" customFormat="1" spans="6:6">
      <c r="F18328" s="2423"/>
    </row>
    <row r="18329" s="101" customFormat="1" spans="6:6">
      <c r="F18329" s="2423"/>
    </row>
    <row r="18330" s="101" customFormat="1" spans="6:6">
      <c r="F18330" s="2423"/>
    </row>
    <row r="18331" s="101" customFormat="1" spans="6:6">
      <c r="F18331" s="2423"/>
    </row>
    <row r="18332" s="101" customFormat="1" spans="6:6">
      <c r="F18332" s="2423"/>
    </row>
    <row r="18333" s="101" customFormat="1" spans="6:6">
      <c r="F18333" s="2423"/>
    </row>
    <row r="18334" s="101" customFormat="1" spans="6:6">
      <c r="F18334" s="2423"/>
    </row>
    <row r="18335" s="101" customFormat="1" spans="6:6">
      <c r="F18335" s="2423"/>
    </row>
    <row r="18336" s="101" customFormat="1" spans="6:6">
      <c r="F18336" s="2423"/>
    </row>
    <row r="18337" s="101" customFormat="1" spans="6:6">
      <c r="F18337" s="2423"/>
    </row>
    <row r="18338" s="101" customFormat="1" spans="6:6">
      <c r="F18338" s="2423"/>
    </row>
    <row r="18339" s="101" customFormat="1" spans="6:6">
      <c r="F18339" s="2423"/>
    </row>
    <row r="18340" s="101" customFormat="1" spans="6:6">
      <c r="F18340" s="2423"/>
    </row>
    <row r="18341" s="101" customFormat="1" spans="6:6">
      <c r="F18341" s="2423"/>
    </row>
    <row r="18342" s="101" customFormat="1" spans="6:6">
      <c r="F18342" s="2423"/>
    </row>
    <row r="18343" s="101" customFormat="1" spans="6:6">
      <c r="F18343" s="2423"/>
    </row>
    <row r="18344" s="101" customFormat="1" spans="6:6">
      <c r="F18344" s="2423"/>
    </row>
    <row r="18345" s="101" customFormat="1" spans="6:6">
      <c r="F18345" s="2423"/>
    </row>
    <row r="18346" s="101" customFormat="1" spans="6:6">
      <c r="F18346" s="2423"/>
    </row>
    <row r="18347" s="101" customFormat="1" spans="6:6">
      <c r="F18347" s="2423"/>
    </row>
    <row r="18348" s="101" customFormat="1" spans="6:6">
      <c r="F18348" s="2423"/>
    </row>
    <row r="18349" s="101" customFormat="1" spans="6:6">
      <c r="F18349" s="2423"/>
    </row>
    <row r="18350" s="101" customFormat="1" spans="6:6">
      <c r="F18350" s="2423"/>
    </row>
    <row r="18351" s="101" customFormat="1" spans="6:6">
      <c r="F18351" s="2423"/>
    </row>
    <row r="18352" s="101" customFormat="1" spans="6:6">
      <c r="F18352" s="2423"/>
    </row>
    <row r="18353" s="101" customFormat="1" spans="6:6">
      <c r="F18353" s="2423"/>
    </row>
    <row r="18354" s="101" customFormat="1" spans="6:6">
      <c r="F18354" s="2423"/>
    </row>
    <row r="18355" s="101" customFormat="1" spans="6:6">
      <c r="F18355" s="2423"/>
    </row>
    <row r="18356" s="101" customFormat="1" spans="6:6">
      <c r="F18356" s="2423"/>
    </row>
    <row r="18357" s="101" customFormat="1" spans="6:6">
      <c r="F18357" s="2423"/>
    </row>
    <row r="18358" s="101" customFormat="1" spans="6:6">
      <c r="F18358" s="2423"/>
    </row>
    <row r="18359" s="101" customFormat="1" spans="6:6">
      <c r="F18359" s="2423"/>
    </row>
    <row r="18360" s="101" customFormat="1" spans="6:6">
      <c r="F18360" s="2423"/>
    </row>
    <row r="18361" s="101" customFormat="1" spans="6:6">
      <c r="F18361" s="2423"/>
    </row>
    <row r="18362" s="101" customFormat="1" spans="6:6">
      <c r="F18362" s="2423"/>
    </row>
    <row r="18363" s="101" customFormat="1" spans="6:6">
      <c r="F18363" s="2423"/>
    </row>
    <row r="18364" s="101" customFormat="1" spans="6:6">
      <c r="F18364" s="2423"/>
    </row>
    <row r="18365" s="101" customFormat="1" spans="6:6">
      <c r="F18365" s="2423"/>
    </row>
    <row r="18366" s="101" customFormat="1" spans="6:6">
      <c r="F18366" s="2423"/>
    </row>
    <row r="18367" s="101" customFormat="1" spans="6:6">
      <c r="F18367" s="2423"/>
    </row>
    <row r="18368" s="101" customFormat="1" spans="6:6">
      <c r="F18368" s="2423"/>
    </row>
    <row r="18369" s="101" customFormat="1" spans="6:6">
      <c r="F18369" s="2423"/>
    </row>
    <row r="18370" s="101" customFormat="1" spans="6:6">
      <c r="F18370" s="2423"/>
    </row>
    <row r="18371" s="101" customFormat="1" spans="6:6">
      <c r="F18371" s="2423"/>
    </row>
    <row r="18372" s="101" customFormat="1" spans="6:6">
      <c r="F18372" s="2423"/>
    </row>
    <row r="18373" s="101" customFormat="1" spans="6:6">
      <c r="F18373" s="2423"/>
    </row>
    <row r="18374" s="101" customFormat="1" spans="6:6">
      <c r="F18374" s="2423"/>
    </row>
    <row r="18375" s="101" customFormat="1" spans="6:6">
      <c r="F18375" s="2423"/>
    </row>
    <row r="18376" s="101" customFormat="1" spans="6:6">
      <c r="F18376" s="2423"/>
    </row>
    <row r="18377" s="101" customFormat="1" spans="6:6">
      <c r="F18377" s="2423"/>
    </row>
    <row r="18378" s="101" customFormat="1" spans="6:6">
      <c r="F18378" s="2423"/>
    </row>
    <row r="18379" s="101" customFormat="1" spans="6:6">
      <c r="F18379" s="2423"/>
    </row>
    <row r="18380" s="101" customFormat="1" spans="6:6">
      <c r="F18380" s="2423"/>
    </row>
    <row r="18381" s="101" customFormat="1" spans="6:6">
      <c r="F18381" s="2423"/>
    </row>
    <row r="18382" s="101" customFormat="1" spans="6:6">
      <c r="F18382" s="2423"/>
    </row>
    <row r="18383" s="101" customFormat="1" spans="6:6">
      <c r="F18383" s="2423"/>
    </row>
    <row r="18384" s="101" customFormat="1" spans="6:6">
      <c r="F18384" s="2423"/>
    </row>
    <row r="18385" s="101" customFormat="1" spans="6:6">
      <c r="F18385" s="2423"/>
    </row>
    <row r="18386" s="101" customFormat="1" spans="6:6">
      <c r="F18386" s="2423"/>
    </row>
    <row r="18387" s="101" customFormat="1" spans="6:6">
      <c r="F18387" s="2423"/>
    </row>
    <row r="18388" s="101" customFormat="1" spans="6:6">
      <c r="F18388" s="2423"/>
    </row>
    <row r="18389" s="101" customFormat="1" spans="6:6">
      <c r="F18389" s="2423"/>
    </row>
    <row r="18390" s="101" customFormat="1" spans="6:6">
      <c r="F18390" s="2423"/>
    </row>
    <row r="18391" s="101" customFormat="1" spans="6:6">
      <c r="F18391" s="2423"/>
    </row>
    <row r="18392" s="101" customFormat="1" spans="6:6">
      <c r="F18392" s="2423"/>
    </row>
    <row r="18393" s="101" customFormat="1" spans="6:6">
      <c r="F18393" s="2423"/>
    </row>
    <row r="18394" s="101" customFormat="1" spans="6:6">
      <c r="F18394" s="2423"/>
    </row>
    <row r="18395" s="101" customFormat="1" spans="6:6">
      <c r="F18395" s="2423"/>
    </row>
    <row r="18396" s="101" customFormat="1" spans="6:6">
      <c r="F18396" s="2423"/>
    </row>
    <row r="18397" s="101" customFormat="1" spans="6:6">
      <c r="F18397" s="2423"/>
    </row>
    <row r="18398" s="101" customFormat="1" spans="6:6">
      <c r="F18398" s="2423"/>
    </row>
    <row r="18399" s="101" customFormat="1" spans="6:6">
      <c r="F18399" s="2423"/>
    </row>
    <row r="18400" s="101" customFormat="1" spans="6:6">
      <c r="F18400" s="2423"/>
    </row>
    <row r="18401" s="101" customFormat="1" spans="6:6">
      <c r="F18401" s="2423"/>
    </row>
    <row r="18402" s="101" customFormat="1" spans="6:6">
      <c r="F18402" s="2423"/>
    </row>
    <row r="18403" s="101" customFormat="1" spans="6:6">
      <c r="F18403" s="2423"/>
    </row>
    <row r="18404" s="101" customFormat="1" spans="6:6">
      <c r="F18404" s="2423"/>
    </row>
    <row r="18405" s="101" customFormat="1" spans="6:6">
      <c r="F18405" s="2423"/>
    </row>
    <row r="18406" s="101" customFormat="1" spans="6:6">
      <c r="F18406" s="2423"/>
    </row>
    <row r="18407" s="101" customFormat="1" spans="6:6">
      <c r="F18407" s="2423"/>
    </row>
    <row r="18408" s="101" customFormat="1" spans="6:6">
      <c r="F18408" s="2423"/>
    </row>
    <row r="18409" s="101" customFormat="1" spans="6:6">
      <c r="F18409" s="2423"/>
    </row>
    <row r="18410" s="101" customFormat="1" spans="6:6">
      <c r="F18410" s="2423"/>
    </row>
    <row r="18411" s="101" customFormat="1" spans="6:6">
      <c r="F18411" s="2423"/>
    </row>
    <row r="18412" s="101" customFormat="1" spans="6:6">
      <c r="F18412" s="2423"/>
    </row>
    <row r="18413" s="101" customFormat="1" spans="6:6">
      <c r="F18413" s="2423"/>
    </row>
    <row r="18414" s="101" customFormat="1" spans="6:6">
      <c r="F18414" s="2423"/>
    </row>
    <row r="18415" s="101" customFormat="1" spans="6:6">
      <c r="F18415" s="2423"/>
    </row>
    <row r="18416" s="101" customFormat="1" spans="6:6">
      <c r="F18416" s="2423"/>
    </row>
    <row r="18417" s="101" customFormat="1" spans="6:6">
      <c r="F18417" s="2423"/>
    </row>
    <row r="18418" s="101" customFormat="1" spans="6:6">
      <c r="F18418" s="2423"/>
    </row>
    <row r="18419" s="101" customFormat="1" spans="6:6">
      <c r="F18419" s="2423"/>
    </row>
    <row r="18420" s="101" customFormat="1" spans="6:6">
      <c r="F18420" s="2423"/>
    </row>
    <row r="18421" s="101" customFormat="1" spans="6:6">
      <c r="F18421" s="2423"/>
    </row>
    <row r="18422" s="101" customFormat="1" spans="6:6">
      <c r="F18422" s="2423"/>
    </row>
    <row r="18423" s="101" customFormat="1" spans="6:6">
      <c r="F18423" s="2423"/>
    </row>
    <row r="18424" s="101" customFormat="1" spans="6:6">
      <c r="F18424" s="2423"/>
    </row>
    <row r="18425" s="101" customFormat="1" spans="6:6">
      <c r="F18425" s="2423"/>
    </row>
    <row r="18426" s="101" customFormat="1" spans="6:6">
      <c r="F18426" s="2423"/>
    </row>
    <row r="18427" s="101" customFormat="1" spans="6:6">
      <c r="F18427" s="2423"/>
    </row>
    <row r="18428" s="101" customFormat="1" spans="6:6">
      <c r="F18428" s="2423"/>
    </row>
    <row r="18429" s="101" customFormat="1" spans="6:6">
      <c r="F18429" s="2423"/>
    </row>
    <row r="18430" s="101" customFormat="1" spans="6:6">
      <c r="F18430" s="2423"/>
    </row>
    <row r="18431" s="101" customFormat="1" spans="6:6">
      <c r="F18431" s="2423"/>
    </row>
    <row r="18432" s="101" customFormat="1" spans="6:6">
      <c r="F18432" s="2423"/>
    </row>
    <row r="18433" s="101" customFormat="1" spans="6:6">
      <c r="F18433" s="2423"/>
    </row>
    <row r="18434" s="101" customFormat="1" spans="6:6">
      <c r="F18434" s="2423"/>
    </row>
    <row r="18435" s="101" customFormat="1" spans="6:6">
      <c r="F18435" s="2423"/>
    </row>
    <row r="18436" s="101" customFormat="1" spans="6:6">
      <c r="F18436" s="2423"/>
    </row>
    <row r="18437" s="101" customFormat="1" spans="6:6">
      <c r="F18437" s="2423"/>
    </row>
    <row r="18438" s="101" customFormat="1" spans="6:6">
      <c r="F18438" s="2423"/>
    </row>
    <row r="18439" s="101" customFormat="1" spans="6:6">
      <c r="F18439" s="2423"/>
    </row>
    <row r="18440" s="101" customFormat="1" spans="6:6">
      <c r="F18440" s="2423"/>
    </row>
    <row r="18441" s="101" customFormat="1" spans="6:6">
      <c r="F18441" s="2423"/>
    </row>
    <row r="18442" s="101" customFormat="1" spans="6:6">
      <c r="F18442" s="2423"/>
    </row>
    <row r="18443" s="101" customFormat="1" spans="6:6">
      <c r="F18443" s="2423"/>
    </row>
    <row r="18444" s="101" customFormat="1" spans="6:6">
      <c r="F18444" s="2423"/>
    </row>
    <row r="18445" s="101" customFormat="1" spans="6:6">
      <c r="F18445" s="2423"/>
    </row>
    <row r="18446" s="101" customFormat="1" spans="6:6">
      <c r="F18446" s="2423"/>
    </row>
    <row r="18447" s="101" customFormat="1" spans="6:6">
      <c r="F18447" s="2423"/>
    </row>
    <row r="18448" s="101" customFormat="1" spans="6:6">
      <c r="F18448" s="2423"/>
    </row>
    <row r="18449" s="101" customFormat="1" spans="6:6">
      <c r="F18449" s="2423"/>
    </row>
    <row r="18450" s="101" customFormat="1" spans="6:6">
      <c r="F18450" s="2423"/>
    </row>
    <row r="18451" s="101" customFormat="1" spans="6:6">
      <c r="F18451" s="2423"/>
    </row>
    <row r="18452" s="101" customFormat="1" spans="6:6">
      <c r="F18452" s="2423"/>
    </row>
    <row r="18453" s="101" customFormat="1" spans="6:6">
      <c r="F18453" s="2423"/>
    </row>
    <row r="18454" s="101" customFormat="1" spans="6:6">
      <c r="F18454" s="2423"/>
    </row>
    <row r="18455" s="101" customFormat="1" spans="6:6">
      <c r="F18455" s="2423"/>
    </row>
    <row r="18456" s="101" customFormat="1" spans="6:6">
      <c r="F18456" s="2423"/>
    </row>
    <row r="18457" s="101" customFormat="1" spans="6:6">
      <c r="F18457" s="2423"/>
    </row>
    <row r="18458" s="101" customFormat="1" spans="6:6">
      <c r="F18458" s="2423"/>
    </row>
    <row r="18459" s="101" customFormat="1" spans="6:6">
      <c r="F18459" s="2423"/>
    </row>
    <row r="18460" s="101" customFormat="1" spans="6:6">
      <c r="F18460" s="2423"/>
    </row>
    <row r="18461" s="101" customFormat="1" spans="6:6">
      <c r="F18461" s="2423"/>
    </row>
    <row r="18462" s="101" customFormat="1" spans="6:6">
      <c r="F18462" s="2423"/>
    </row>
    <row r="18463" s="101" customFormat="1" spans="6:6">
      <c r="F18463" s="2423"/>
    </row>
    <row r="18464" s="101" customFormat="1" spans="6:6">
      <c r="F18464" s="2423"/>
    </row>
    <row r="18465" s="101" customFormat="1" spans="6:6">
      <c r="F18465" s="2423"/>
    </row>
    <row r="18466" s="101" customFormat="1" spans="6:6">
      <c r="F18466" s="2423"/>
    </row>
    <row r="18467" s="101" customFormat="1" spans="6:6">
      <c r="F18467" s="2423"/>
    </row>
    <row r="18468" s="101" customFormat="1" spans="6:6">
      <c r="F18468" s="2423"/>
    </row>
    <row r="18469" s="101" customFormat="1" spans="6:6">
      <c r="F18469" s="2423"/>
    </row>
    <row r="18470" s="101" customFormat="1" spans="6:6">
      <c r="F18470" s="2423"/>
    </row>
    <row r="18471" s="101" customFormat="1" spans="6:6">
      <c r="F18471" s="2423"/>
    </row>
    <row r="18472" s="101" customFormat="1" spans="6:6">
      <c r="F18472" s="2423"/>
    </row>
    <row r="18473" s="101" customFormat="1" spans="6:6">
      <c r="F18473" s="2423"/>
    </row>
    <row r="18474" s="101" customFormat="1" spans="6:6">
      <c r="F18474" s="2423"/>
    </row>
    <row r="18475" s="101" customFormat="1" spans="6:6">
      <c r="F18475" s="2423"/>
    </row>
    <row r="18476" s="101" customFormat="1" spans="6:6">
      <c r="F18476" s="2423"/>
    </row>
    <row r="18477" s="101" customFormat="1" spans="6:6">
      <c r="F18477" s="2423"/>
    </row>
    <row r="18478" s="101" customFormat="1" spans="6:6">
      <c r="F18478" s="2423"/>
    </row>
    <row r="18479" s="101" customFormat="1" spans="6:6">
      <c r="F18479" s="2423"/>
    </row>
    <row r="18480" s="101" customFormat="1" spans="6:6">
      <c r="F18480" s="2423"/>
    </row>
    <row r="18481" s="101" customFormat="1" spans="6:6">
      <c r="F18481" s="2423"/>
    </row>
    <row r="18482" s="101" customFormat="1" spans="6:6">
      <c r="F18482" s="2423"/>
    </row>
    <row r="18483" s="101" customFormat="1" spans="6:6">
      <c r="F18483" s="2423"/>
    </row>
    <row r="18484" s="101" customFormat="1" spans="6:6">
      <c r="F18484" s="2423"/>
    </row>
    <row r="18485" s="101" customFormat="1" spans="6:6">
      <c r="F18485" s="2423"/>
    </row>
    <row r="18486" s="101" customFormat="1" spans="6:6">
      <c r="F18486" s="2423"/>
    </row>
    <row r="18487" s="101" customFormat="1" spans="6:6">
      <c r="F18487" s="2423"/>
    </row>
    <row r="18488" s="101" customFormat="1" spans="6:6">
      <c r="F18488" s="2423"/>
    </row>
    <row r="18489" s="101" customFormat="1" spans="6:6">
      <c r="F18489" s="2423"/>
    </row>
    <row r="18490" s="101" customFormat="1" spans="6:6">
      <c r="F18490" s="2423"/>
    </row>
    <row r="18491" s="101" customFormat="1" spans="6:6">
      <c r="F18491" s="2423"/>
    </row>
    <row r="18492" s="101" customFormat="1" spans="6:6">
      <c r="F18492" s="2423"/>
    </row>
    <row r="18493" s="101" customFormat="1" spans="6:6">
      <c r="F18493" s="2423"/>
    </row>
    <row r="18494" s="101" customFormat="1" spans="6:6">
      <c r="F18494" s="2423"/>
    </row>
    <row r="18495" s="101" customFormat="1" spans="6:6">
      <c r="F18495" s="2423"/>
    </row>
    <row r="18496" s="101" customFormat="1" spans="6:6">
      <c r="F18496" s="2423"/>
    </row>
    <row r="18497" s="101" customFormat="1" spans="6:6">
      <c r="F18497" s="2423"/>
    </row>
    <row r="18498" s="101" customFormat="1" spans="6:6">
      <c r="F18498" s="2423"/>
    </row>
    <row r="18499" s="101" customFormat="1" spans="6:6">
      <c r="F18499" s="2423"/>
    </row>
    <row r="18500" s="101" customFormat="1" spans="6:6">
      <c r="F18500" s="2423"/>
    </row>
    <row r="18501" s="101" customFormat="1" spans="6:6">
      <c r="F18501" s="2423"/>
    </row>
    <row r="18502" s="101" customFormat="1" spans="6:6">
      <c r="F18502" s="2423"/>
    </row>
    <row r="18503" s="101" customFormat="1" spans="6:6">
      <c r="F18503" s="2423"/>
    </row>
    <row r="18504" s="101" customFormat="1" spans="6:6">
      <c r="F18504" s="2423"/>
    </row>
    <row r="18505" s="101" customFormat="1" spans="6:6">
      <c r="F18505" s="2423"/>
    </row>
    <row r="18506" s="101" customFormat="1" spans="6:6">
      <c r="F18506" s="2423"/>
    </row>
    <row r="18507" s="101" customFormat="1" spans="6:6">
      <c r="F18507" s="2423"/>
    </row>
    <row r="18508" s="101" customFormat="1" spans="6:6">
      <c r="F18508" s="2423"/>
    </row>
    <row r="18509" s="101" customFormat="1" spans="6:6">
      <c r="F18509" s="2423"/>
    </row>
    <row r="18510" s="101" customFormat="1" spans="6:6">
      <c r="F18510" s="2423"/>
    </row>
    <row r="18511" s="101" customFormat="1" spans="6:6">
      <c r="F18511" s="2423"/>
    </row>
    <row r="18512" s="101" customFormat="1" spans="6:6">
      <c r="F18512" s="2423"/>
    </row>
    <row r="18513" s="101" customFormat="1" spans="6:6">
      <c r="F18513" s="2423"/>
    </row>
    <row r="18514" s="101" customFormat="1" spans="6:6">
      <c r="F18514" s="2423"/>
    </row>
    <row r="18515" s="101" customFormat="1" spans="6:6">
      <c r="F18515" s="2423"/>
    </row>
    <row r="18516" s="101" customFormat="1" spans="6:6">
      <c r="F18516" s="2423"/>
    </row>
    <row r="18517" s="101" customFormat="1" spans="6:6">
      <c r="F18517" s="2423"/>
    </row>
    <row r="18518" s="101" customFormat="1" spans="6:6">
      <c r="F18518" s="2423"/>
    </row>
    <row r="18519" s="101" customFormat="1" spans="6:6">
      <c r="F18519" s="2423"/>
    </row>
    <row r="18520" s="101" customFormat="1" spans="6:6">
      <c r="F18520" s="2423"/>
    </row>
    <row r="18521" s="101" customFormat="1" spans="6:6">
      <c r="F18521" s="2423"/>
    </row>
    <row r="18522" s="101" customFormat="1" spans="6:6">
      <c r="F18522" s="2423"/>
    </row>
    <row r="18523" s="101" customFormat="1" spans="6:6">
      <c r="F18523" s="2423"/>
    </row>
    <row r="18524" s="101" customFormat="1" spans="6:6">
      <c r="F18524" s="2423"/>
    </row>
    <row r="18525" s="101" customFormat="1" spans="6:6">
      <c r="F18525" s="2423"/>
    </row>
    <row r="18526" s="101" customFormat="1" spans="6:6">
      <c r="F18526" s="2423"/>
    </row>
    <row r="18527" s="101" customFormat="1" spans="6:6">
      <c r="F18527" s="2423"/>
    </row>
    <row r="18528" s="101" customFormat="1" spans="6:6">
      <c r="F18528" s="2423"/>
    </row>
    <row r="18529" s="101" customFormat="1" spans="6:6">
      <c r="F18529" s="2423"/>
    </row>
    <row r="18530" s="101" customFormat="1" spans="6:6">
      <c r="F18530" s="2423"/>
    </row>
    <row r="18531" s="101" customFormat="1" spans="6:6">
      <c r="F18531" s="2423"/>
    </row>
    <row r="18532" s="101" customFormat="1" spans="6:6">
      <c r="F18532" s="2423"/>
    </row>
    <row r="18533" s="101" customFormat="1" spans="6:6">
      <c r="F18533" s="2423"/>
    </row>
    <row r="18534" s="101" customFormat="1" spans="6:6">
      <c r="F18534" s="2423"/>
    </row>
    <row r="18535" s="101" customFormat="1" spans="6:6">
      <c r="F18535" s="2423"/>
    </row>
    <row r="18536" s="101" customFormat="1" spans="6:6">
      <c r="F18536" s="2423"/>
    </row>
    <row r="18537" s="101" customFormat="1" spans="6:6">
      <c r="F18537" s="2423"/>
    </row>
    <row r="18538" s="101" customFormat="1" spans="6:6">
      <c r="F18538" s="2423"/>
    </row>
    <row r="18539" s="101" customFormat="1" spans="6:6">
      <c r="F18539" s="2423"/>
    </row>
    <row r="18540" s="101" customFormat="1" spans="6:6">
      <c r="F18540" s="2423"/>
    </row>
    <row r="18541" s="101" customFormat="1" spans="6:6">
      <c r="F18541" s="2423"/>
    </row>
    <row r="18542" s="101" customFormat="1" spans="6:6">
      <c r="F18542" s="2423"/>
    </row>
    <row r="18543" s="101" customFormat="1" spans="6:6">
      <c r="F18543" s="2423"/>
    </row>
    <row r="18544" s="101" customFormat="1" spans="6:6">
      <c r="F18544" s="2423"/>
    </row>
    <row r="18545" s="101" customFormat="1" spans="6:6">
      <c r="F18545" s="2423"/>
    </row>
    <row r="18546" s="101" customFormat="1" spans="6:6">
      <c r="F18546" s="2423"/>
    </row>
    <row r="18547" s="101" customFormat="1" spans="6:6">
      <c r="F18547" s="2423"/>
    </row>
    <row r="18548" s="101" customFormat="1" spans="6:6">
      <c r="F18548" s="2423"/>
    </row>
    <row r="18549" s="101" customFormat="1" spans="6:6">
      <c r="F18549" s="2423"/>
    </row>
    <row r="18550" s="101" customFormat="1" spans="6:6">
      <c r="F18550" s="2423"/>
    </row>
    <row r="18551" s="101" customFormat="1" spans="6:6">
      <c r="F18551" s="2423"/>
    </row>
    <row r="18552" s="101" customFormat="1" spans="6:6">
      <c r="F18552" s="2423"/>
    </row>
    <row r="18553" s="101" customFormat="1" spans="6:6">
      <c r="F18553" s="2423"/>
    </row>
    <row r="18554" s="101" customFormat="1" spans="6:6">
      <c r="F18554" s="2423"/>
    </row>
    <row r="18555" s="101" customFormat="1" spans="6:6">
      <c r="F18555" s="2423"/>
    </row>
    <row r="18556" s="101" customFormat="1" spans="6:6">
      <c r="F18556" s="2423"/>
    </row>
    <row r="18557" s="101" customFormat="1" spans="6:6">
      <c r="F18557" s="2423"/>
    </row>
    <row r="18558" s="101" customFormat="1" spans="6:6">
      <c r="F18558" s="2423"/>
    </row>
    <row r="18559" s="101" customFormat="1" spans="6:6">
      <c r="F18559" s="2423"/>
    </row>
    <row r="18560" s="101" customFormat="1" spans="6:6">
      <c r="F18560" s="2423"/>
    </row>
    <row r="18561" s="101" customFormat="1" spans="6:6">
      <c r="F18561" s="2423"/>
    </row>
    <row r="18562" s="101" customFormat="1" spans="6:6">
      <c r="F18562" s="2423"/>
    </row>
    <row r="18563" s="101" customFormat="1" spans="6:6">
      <c r="F18563" s="2423"/>
    </row>
    <row r="18564" s="101" customFormat="1" spans="6:6">
      <c r="F18564" s="2423"/>
    </row>
    <row r="18565" s="101" customFormat="1" spans="6:6">
      <c r="F18565" s="2423"/>
    </row>
    <row r="18566" s="101" customFormat="1" spans="6:6">
      <c r="F18566" s="2423"/>
    </row>
    <row r="18567" s="101" customFormat="1" spans="6:6">
      <c r="F18567" s="2423"/>
    </row>
    <row r="18568" s="101" customFormat="1" spans="6:6">
      <c r="F18568" s="2423"/>
    </row>
    <row r="18569" s="101" customFormat="1" spans="6:6">
      <c r="F18569" s="2423"/>
    </row>
    <row r="18570" s="101" customFormat="1" spans="6:6">
      <c r="F18570" s="2423"/>
    </row>
    <row r="18571" s="101" customFormat="1" spans="6:6">
      <c r="F18571" s="2423"/>
    </row>
    <row r="18572" s="101" customFormat="1" spans="6:6">
      <c r="F18572" s="2423"/>
    </row>
    <row r="18573" s="101" customFormat="1" spans="6:6">
      <c r="F18573" s="2423"/>
    </row>
    <row r="18574" s="101" customFormat="1" spans="6:6">
      <c r="F18574" s="2423"/>
    </row>
    <row r="18575" s="101" customFormat="1" spans="6:6">
      <c r="F18575" s="2423"/>
    </row>
    <row r="18576" s="101" customFormat="1" spans="6:6">
      <c r="F18576" s="2423"/>
    </row>
    <row r="18577" s="101" customFormat="1" spans="6:6">
      <c r="F18577" s="2423"/>
    </row>
    <row r="18578" s="101" customFormat="1" spans="6:6">
      <c r="F18578" s="2423"/>
    </row>
    <row r="18579" s="101" customFormat="1" spans="6:6">
      <c r="F18579" s="2423"/>
    </row>
    <row r="18580" s="101" customFormat="1" spans="6:6">
      <c r="F18580" s="2423"/>
    </row>
    <row r="18581" s="101" customFormat="1" spans="6:6">
      <c r="F18581" s="2423"/>
    </row>
    <row r="18582" s="101" customFormat="1" spans="6:6">
      <c r="F18582" s="2423"/>
    </row>
    <row r="18583" s="101" customFormat="1" spans="6:6">
      <c r="F18583" s="2423"/>
    </row>
    <row r="18584" s="101" customFormat="1" spans="6:6">
      <c r="F18584" s="2423"/>
    </row>
    <row r="18585" s="101" customFormat="1" spans="6:6">
      <c r="F18585" s="2423"/>
    </row>
    <row r="18586" s="101" customFormat="1" spans="6:6">
      <c r="F18586" s="2423"/>
    </row>
    <row r="18587" s="101" customFormat="1" spans="6:6">
      <c r="F18587" s="2423"/>
    </row>
    <row r="18588" s="101" customFormat="1" spans="6:6">
      <c r="F18588" s="2423"/>
    </row>
    <row r="18589" s="101" customFormat="1" spans="6:6">
      <c r="F18589" s="2423"/>
    </row>
    <row r="18590" s="101" customFormat="1" spans="6:6">
      <c r="F18590" s="2423"/>
    </row>
    <row r="18591" s="101" customFormat="1" spans="6:6">
      <c r="F18591" s="2423"/>
    </row>
    <row r="18592" s="101" customFormat="1" spans="6:6">
      <c r="F18592" s="2423"/>
    </row>
    <row r="18593" s="101" customFormat="1" spans="6:6">
      <c r="F18593" s="2423"/>
    </row>
    <row r="18594" s="101" customFormat="1" spans="6:6">
      <c r="F18594" s="2423"/>
    </row>
    <row r="18595" s="101" customFormat="1" spans="6:6">
      <c r="F18595" s="2423"/>
    </row>
    <row r="18596" s="101" customFormat="1" spans="6:6">
      <c r="F18596" s="2423"/>
    </row>
    <row r="18597" s="101" customFormat="1" spans="6:6">
      <c r="F18597" s="2423"/>
    </row>
    <row r="18598" s="101" customFormat="1" spans="6:6">
      <c r="F18598" s="2423"/>
    </row>
    <row r="18599" s="101" customFormat="1" spans="6:6">
      <c r="F18599" s="2423"/>
    </row>
    <row r="18600" s="101" customFormat="1" spans="6:6">
      <c r="F18600" s="2423"/>
    </row>
    <row r="18601" s="101" customFormat="1" spans="6:6">
      <c r="F18601" s="2423"/>
    </row>
    <row r="18602" s="101" customFormat="1" spans="6:6">
      <c r="F18602" s="2423"/>
    </row>
    <row r="18603" s="101" customFormat="1" spans="6:6">
      <c r="F18603" s="2423"/>
    </row>
    <row r="18604" s="101" customFormat="1" spans="6:6">
      <c r="F18604" s="2423"/>
    </row>
    <row r="18605" s="101" customFormat="1" spans="6:6">
      <c r="F18605" s="2423"/>
    </row>
    <row r="18606" s="101" customFormat="1" spans="6:6">
      <c r="F18606" s="2423"/>
    </row>
    <row r="18607" s="101" customFormat="1" spans="6:6">
      <c r="F18607" s="2423"/>
    </row>
    <row r="18608" s="101" customFormat="1" spans="6:6">
      <c r="F18608" s="2423"/>
    </row>
    <row r="18609" s="101" customFormat="1" spans="6:6">
      <c r="F18609" s="2423"/>
    </row>
    <row r="18610" s="101" customFormat="1" spans="6:6">
      <c r="F18610" s="2423"/>
    </row>
    <row r="18611" s="101" customFormat="1" spans="6:6">
      <c r="F18611" s="2423"/>
    </row>
    <row r="18612" s="101" customFormat="1" spans="6:6">
      <c r="F18612" s="2423"/>
    </row>
    <row r="18613" s="101" customFormat="1" spans="6:6">
      <c r="F18613" s="2423"/>
    </row>
    <row r="18614" s="101" customFormat="1" spans="6:6">
      <c r="F18614" s="2423"/>
    </row>
    <row r="18615" s="101" customFormat="1" spans="6:6">
      <c r="F18615" s="2423"/>
    </row>
    <row r="18616" s="101" customFormat="1" spans="6:6">
      <c r="F18616" s="2423"/>
    </row>
    <row r="18617" s="101" customFormat="1" spans="6:6">
      <c r="F18617" s="2423"/>
    </row>
    <row r="18618" s="101" customFormat="1" spans="6:6">
      <c r="F18618" s="2423"/>
    </row>
    <row r="18619" s="101" customFormat="1" spans="6:6">
      <c r="F18619" s="2423"/>
    </row>
    <row r="18620" s="101" customFormat="1" spans="6:6">
      <c r="F18620" s="2423"/>
    </row>
    <row r="18621" s="101" customFormat="1" spans="6:6">
      <c r="F18621" s="2423"/>
    </row>
    <row r="18622" s="101" customFormat="1" spans="6:6">
      <c r="F18622" s="2423"/>
    </row>
    <row r="18623" s="101" customFormat="1" spans="6:6">
      <c r="F18623" s="2423"/>
    </row>
    <row r="18624" s="101" customFormat="1" spans="6:6">
      <c r="F18624" s="2423"/>
    </row>
    <row r="18625" s="101" customFormat="1" spans="6:6">
      <c r="F18625" s="2423"/>
    </row>
    <row r="18626" s="101" customFormat="1" spans="6:6">
      <c r="F18626" s="2423"/>
    </row>
    <row r="18627" s="101" customFormat="1" spans="6:6">
      <c r="F18627" s="2423"/>
    </row>
    <row r="18628" s="101" customFormat="1" spans="6:6">
      <c r="F18628" s="2423"/>
    </row>
    <row r="18629" s="101" customFormat="1" spans="6:6">
      <c r="F18629" s="2423"/>
    </row>
    <row r="18630" s="101" customFormat="1" spans="6:6">
      <c r="F18630" s="2423"/>
    </row>
    <row r="18631" s="101" customFormat="1" spans="6:6">
      <c r="F18631" s="2423"/>
    </row>
    <row r="18632" s="101" customFormat="1" spans="6:6">
      <c r="F18632" s="2423"/>
    </row>
    <row r="18633" s="101" customFormat="1" spans="6:6">
      <c r="F18633" s="2423"/>
    </row>
    <row r="18634" s="101" customFormat="1" spans="6:6">
      <c r="F18634" s="2423"/>
    </row>
    <row r="18635" s="101" customFormat="1" spans="6:6">
      <c r="F18635" s="2423"/>
    </row>
    <row r="18636" s="101" customFormat="1" spans="6:6">
      <c r="F18636" s="2423"/>
    </row>
    <row r="18637" s="101" customFormat="1" spans="6:6">
      <c r="F18637" s="2423"/>
    </row>
    <row r="18638" s="101" customFormat="1" spans="6:6">
      <c r="F18638" s="2423"/>
    </row>
    <row r="18639" s="101" customFormat="1" spans="6:6">
      <c r="F18639" s="2423"/>
    </row>
    <row r="18640" s="101" customFormat="1" spans="6:6">
      <c r="F18640" s="2423"/>
    </row>
    <row r="18641" s="101" customFormat="1" spans="6:6">
      <c r="F18641" s="2423"/>
    </row>
    <row r="18642" s="101" customFormat="1" spans="6:6">
      <c r="F18642" s="2423"/>
    </row>
    <row r="18643" s="101" customFormat="1" spans="6:6">
      <c r="F18643" s="2423"/>
    </row>
    <row r="18644" s="101" customFormat="1" spans="6:6">
      <c r="F18644" s="2423"/>
    </row>
    <row r="18645" s="101" customFormat="1" spans="6:6">
      <c r="F18645" s="2423"/>
    </row>
    <row r="18646" s="101" customFormat="1" spans="6:6">
      <c r="F18646" s="2423"/>
    </row>
    <row r="18647" s="101" customFormat="1" spans="6:6">
      <c r="F18647" s="2423"/>
    </row>
    <row r="18648" s="101" customFormat="1" spans="6:6">
      <c r="F18648" s="2423"/>
    </row>
    <row r="18649" s="101" customFormat="1" spans="6:6">
      <c r="F18649" s="2423"/>
    </row>
    <row r="18650" s="101" customFormat="1" spans="6:6">
      <c r="F18650" s="2423"/>
    </row>
    <row r="18651" s="101" customFormat="1" spans="6:6">
      <c r="F18651" s="2423"/>
    </row>
    <row r="18652" s="101" customFormat="1" spans="6:6">
      <c r="F18652" s="2423"/>
    </row>
    <row r="18653" s="101" customFormat="1" spans="6:6">
      <c r="F18653" s="2423"/>
    </row>
    <row r="18654" s="101" customFormat="1" spans="6:6">
      <c r="F18654" s="2423"/>
    </row>
    <row r="18655" s="101" customFormat="1" spans="6:6">
      <c r="F18655" s="2423"/>
    </row>
    <row r="18656" s="101" customFormat="1" spans="6:6">
      <c r="F18656" s="2423"/>
    </row>
    <row r="18657" s="101" customFormat="1" spans="6:6">
      <c r="F18657" s="2423"/>
    </row>
    <row r="18658" s="101" customFormat="1" spans="6:6">
      <c r="F18658" s="2423"/>
    </row>
    <row r="18659" s="101" customFormat="1" spans="6:6">
      <c r="F18659" s="2423"/>
    </row>
    <row r="18660" s="101" customFormat="1" spans="6:6">
      <c r="F18660" s="2423"/>
    </row>
    <row r="18661" s="101" customFormat="1" spans="6:6">
      <c r="F18661" s="2423"/>
    </row>
    <row r="18662" s="101" customFormat="1" spans="6:6">
      <c r="F18662" s="2423"/>
    </row>
    <row r="18663" s="101" customFormat="1" spans="6:6">
      <c r="F18663" s="2423"/>
    </row>
    <row r="18664" s="101" customFormat="1" spans="6:6">
      <c r="F18664" s="2423"/>
    </row>
    <row r="18665" s="101" customFormat="1" spans="6:6">
      <c r="F18665" s="2423"/>
    </row>
    <row r="18666" s="101" customFormat="1" spans="6:6">
      <c r="F18666" s="2423"/>
    </row>
    <row r="18667" s="101" customFormat="1" spans="6:6">
      <c r="F18667" s="2423"/>
    </row>
    <row r="18668" s="101" customFormat="1" spans="6:6">
      <c r="F18668" s="2423"/>
    </row>
    <row r="18669" s="101" customFormat="1" spans="6:6">
      <c r="F18669" s="2423"/>
    </row>
    <row r="18670" s="101" customFormat="1" spans="6:6">
      <c r="F18670" s="2423"/>
    </row>
    <row r="18671" s="101" customFormat="1" spans="6:6">
      <c r="F18671" s="2423"/>
    </row>
    <row r="18672" s="101" customFormat="1" spans="6:6">
      <c r="F18672" s="2423"/>
    </row>
    <row r="18673" s="101" customFormat="1" spans="6:6">
      <c r="F18673" s="2423"/>
    </row>
    <row r="18674" s="101" customFormat="1" spans="6:6">
      <c r="F18674" s="2423"/>
    </row>
    <row r="18675" s="101" customFormat="1" spans="6:6">
      <c r="F18675" s="2423"/>
    </row>
    <row r="18676" s="101" customFormat="1" spans="6:6">
      <c r="F18676" s="2423"/>
    </row>
    <row r="18677" s="101" customFormat="1" spans="6:6">
      <c r="F18677" s="2423"/>
    </row>
    <row r="18678" s="101" customFormat="1" spans="6:6">
      <c r="F18678" s="2423"/>
    </row>
    <row r="18679" s="101" customFormat="1" spans="6:6">
      <c r="F18679" s="2423"/>
    </row>
    <row r="18680" s="101" customFormat="1" spans="6:6">
      <c r="F18680" s="2423"/>
    </row>
    <row r="18681" s="101" customFormat="1" spans="6:6">
      <c r="F18681" s="2423"/>
    </row>
    <row r="18682" s="101" customFormat="1" spans="6:6">
      <c r="F18682" s="2423"/>
    </row>
    <row r="18683" s="101" customFormat="1" spans="6:6">
      <c r="F18683" s="2423"/>
    </row>
    <row r="18684" s="101" customFormat="1" spans="6:6">
      <c r="F18684" s="2423"/>
    </row>
    <row r="18685" s="101" customFormat="1" spans="6:6">
      <c r="F18685" s="2423"/>
    </row>
    <row r="18686" s="101" customFormat="1" spans="6:6">
      <c r="F18686" s="2423"/>
    </row>
    <row r="18687" s="101" customFormat="1" spans="6:6">
      <c r="F18687" s="2423"/>
    </row>
    <row r="18688" s="101" customFormat="1" spans="6:6">
      <c r="F18688" s="2423"/>
    </row>
    <row r="18689" s="101" customFormat="1" spans="6:6">
      <c r="F18689" s="2423"/>
    </row>
    <row r="18690" s="101" customFormat="1" spans="6:6">
      <c r="F18690" s="2423"/>
    </row>
    <row r="18691" s="101" customFormat="1" spans="6:6">
      <c r="F18691" s="2423"/>
    </row>
    <row r="18692" s="101" customFormat="1" spans="6:6">
      <c r="F18692" s="2423"/>
    </row>
    <row r="18693" s="101" customFormat="1" spans="6:6">
      <c r="F18693" s="2423"/>
    </row>
    <row r="18694" s="101" customFormat="1" spans="6:6">
      <c r="F18694" s="2423"/>
    </row>
    <row r="18695" s="101" customFormat="1" spans="6:6">
      <c r="F18695" s="2423"/>
    </row>
    <row r="18696" s="101" customFormat="1" spans="6:6">
      <c r="F18696" s="2423"/>
    </row>
    <row r="18697" s="101" customFormat="1" spans="6:6">
      <c r="F18697" s="2423"/>
    </row>
    <row r="18698" s="101" customFormat="1" spans="6:6">
      <c r="F18698" s="2423"/>
    </row>
    <row r="18699" s="101" customFormat="1" spans="6:6">
      <c r="F18699" s="2423"/>
    </row>
    <row r="18700" s="101" customFormat="1" spans="6:6">
      <c r="F18700" s="2423"/>
    </row>
    <row r="18701" s="101" customFormat="1" spans="6:6">
      <c r="F18701" s="2423"/>
    </row>
    <row r="18702" s="101" customFormat="1" spans="6:6">
      <c r="F18702" s="2423"/>
    </row>
    <row r="18703" s="101" customFormat="1" spans="6:6">
      <c r="F18703" s="2423"/>
    </row>
    <row r="18704" s="101" customFormat="1" spans="6:6">
      <c r="F18704" s="2423"/>
    </row>
    <row r="18705" s="101" customFormat="1" spans="6:6">
      <c r="F18705" s="2423"/>
    </row>
    <row r="18706" s="101" customFormat="1" spans="6:6">
      <c r="F18706" s="2423"/>
    </row>
    <row r="18707" s="101" customFormat="1" spans="6:6">
      <c r="F18707" s="2423"/>
    </row>
    <row r="18708" s="101" customFormat="1" spans="6:6">
      <c r="F18708" s="2423"/>
    </row>
    <row r="18709" s="101" customFormat="1" spans="6:6">
      <c r="F18709" s="2423"/>
    </row>
    <row r="18710" s="101" customFormat="1" spans="6:6">
      <c r="F18710" s="2423"/>
    </row>
    <row r="18711" s="101" customFormat="1" spans="6:6">
      <c r="F18711" s="2423"/>
    </row>
    <row r="18712" s="101" customFormat="1" spans="6:6">
      <c r="F18712" s="2423"/>
    </row>
    <row r="18713" s="101" customFormat="1" spans="6:6">
      <c r="F18713" s="2423"/>
    </row>
    <row r="18714" s="101" customFormat="1" spans="6:6">
      <c r="F18714" s="2423"/>
    </row>
    <row r="18715" s="101" customFormat="1" spans="6:6">
      <c r="F18715" s="2423"/>
    </row>
    <row r="18716" s="101" customFormat="1" spans="6:6">
      <c r="F18716" s="2423"/>
    </row>
    <row r="18717" s="101" customFormat="1" spans="6:6">
      <c r="F18717" s="2423"/>
    </row>
    <row r="18718" s="101" customFormat="1" spans="6:6">
      <c r="F18718" s="2423"/>
    </row>
    <row r="18719" s="101" customFormat="1" spans="6:6">
      <c r="F18719" s="2423"/>
    </row>
    <row r="18720" s="101" customFormat="1" spans="6:6">
      <c r="F18720" s="2423"/>
    </row>
    <row r="18721" s="101" customFormat="1" spans="6:6">
      <c r="F18721" s="2423"/>
    </row>
    <row r="18722" s="101" customFormat="1" spans="6:6">
      <c r="F18722" s="2423"/>
    </row>
    <row r="18723" s="101" customFormat="1" spans="6:6">
      <c r="F18723" s="2423"/>
    </row>
    <row r="18724" s="101" customFormat="1" spans="6:6">
      <c r="F18724" s="2423"/>
    </row>
    <row r="18725" s="101" customFormat="1" spans="6:6">
      <c r="F18725" s="2423"/>
    </row>
    <row r="18726" s="101" customFormat="1" spans="6:6">
      <c r="F18726" s="2423"/>
    </row>
    <row r="18727" s="101" customFormat="1" spans="6:6">
      <c r="F18727" s="2423"/>
    </row>
    <row r="18728" s="101" customFormat="1" spans="6:6">
      <c r="F18728" s="2423"/>
    </row>
    <row r="18729" s="101" customFormat="1" spans="6:6">
      <c r="F18729" s="2423"/>
    </row>
    <row r="18730" s="101" customFormat="1" spans="6:6">
      <c r="F18730" s="2423"/>
    </row>
    <row r="18731" s="101" customFormat="1" spans="6:6">
      <c r="F18731" s="2423"/>
    </row>
    <row r="18732" s="101" customFormat="1" spans="6:6">
      <c r="F18732" s="2423"/>
    </row>
    <row r="18733" s="101" customFormat="1" spans="6:6">
      <c r="F18733" s="2423"/>
    </row>
    <row r="18734" s="101" customFormat="1" spans="6:6">
      <c r="F18734" s="2423"/>
    </row>
    <row r="18735" s="101" customFormat="1" spans="6:6">
      <c r="F18735" s="2423"/>
    </row>
    <row r="18736" s="101" customFormat="1" spans="6:6">
      <c r="F18736" s="2423"/>
    </row>
    <row r="18737" s="101" customFormat="1" spans="6:6">
      <c r="F18737" s="2423"/>
    </row>
    <row r="18738" s="101" customFormat="1" spans="6:6">
      <c r="F18738" s="2423"/>
    </row>
    <row r="18739" s="101" customFormat="1" spans="6:6">
      <c r="F18739" s="2423"/>
    </row>
    <row r="18740" s="101" customFormat="1" spans="6:6">
      <c r="F18740" s="2423"/>
    </row>
    <row r="18741" s="101" customFormat="1" spans="6:6">
      <c r="F18741" s="2423"/>
    </row>
    <row r="18742" s="101" customFormat="1" spans="6:6">
      <c r="F18742" s="2423"/>
    </row>
    <row r="18743" s="101" customFormat="1" spans="6:6">
      <c r="F18743" s="2423"/>
    </row>
    <row r="18744" s="101" customFormat="1" spans="6:6">
      <c r="F18744" s="2423"/>
    </row>
    <row r="18745" s="101" customFormat="1" spans="6:6">
      <c r="F18745" s="2423"/>
    </row>
    <row r="18746" s="101" customFormat="1" spans="6:6">
      <c r="F18746" s="2423"/>
    </row>
    <row r="18747" s="101" customFormat="1" spans="6:6">
      <c r="F18747" s="2423"/>
    </row>
    <row r="18748" s="101" customFormat="1" spans="6:6">
      <c r="F18748" s="2423"/>
    </row>
    <row r="18749" s="101" customFormat="1" spans="6:6">
      <c r="F18749" s="2423"/>
    </row>
    <row r="18750" s="101" customFormat="1" spans="6:6">
      <c r="F18750" s="2423"/>
    </row>
    <row r="18751" s="101" customFormat="1" spans="6:6">
      <c r="F18751" s="2423"/>
    </row>
    <row r="18752" s="101" customFormat="1" spans="6:6">
      <c r="F18752" s="2423"/>
    </row>
    <row r="18753" s="101" customFormat="1" spans="6:6">
      <c r="F18753" s="2423"/>
    </row>
    <row r="18754" s="101" customFormat="1" spans="6:6">
      <c r="F18754" s="2423"/>
    </row>
    <row r="18755" s="101" customFormat="1" spans="6:6">
      <c r="F18755" s="2423"/>
    </row>
    <row r="18756" s="101" customFormat="1" spans="6:6">
      <c r="F18756" s="2423"/>
    </row>
    <row r="18757" s="101" customFormat="1" spans="6:6">
      <c r="F18757" s="2423"/>
    </row>
    <row r="18758" s="101" customFormat="1" spans="6:6">
      <c r="F18758" s="2423"/>
    </row>
    <row r="18759" s="101" customFormat="1" spans="6:6">
      <c r="F18759" s="2423"/>
    </row>
    <row r="18760" s="101" customFormat="1" spans="6:6">
      <c r="F18760" s="2423"/>
    </row>
    <row r="18761" s="101" customFormat="1" spans="6:6">
      <c r="F18761" s="2423"/>
    </row>
    <row r="18762" s="101" customFormat="1" spans="6:6">
      <c r="F18762" s="2423"/>
    </row>
    <row r="18763" s="101" customFormat="1" spans="6:6">
      <c r="F18763" s="2423"/>
    </row>
    <row r="18764" s="101" customFormat="1" spans="6:6">
      <c r="F18764" s="2423"/>
    </row>
    <row r="18765" s="101" customFormat="1" spans="6:6">
      <c r="F18765" s="2423"/>
    </row>
    <row r="18766" s="101" customFormat="1" spans="6:6">
      <c r="F18766" s="2423"/>
    </row>
    <row r="18767" s="101" customFormat="1" spans="6:6">
      <c r="F18767" s="2423"/>
    </row>
    <row r="18768" s="101" customFormat="1" spans="6:6">
      <c r="F18768" s="2423"/>
    </row>
    <row r="18769" s="101" customFormat="1" spans="6:6">
      <c r="F18769" s="2423"/>
    </row>
    <row r="18770" s="101" customFormat="1" spans="6:6">
      <c r="F18770" s="2423"/>
    </row>
    <row r="18771" s="101" customFormat="1" spans="6:6">
      <c r="F18771" s="2423"/>
    </row>
    <row r="18772" s="101" customFormat="1" spans="6:6">
      <c r="F18772" s="2423"/>
    </row>
    <row r="18773" s="101" customFormat="1" spans="6:6">
      <c r="F18773" s="2423"/>
    </row>
    <row r="18774" s="101" customFormat="1" spans="6:6">
      <c r="F18774" s="2423"/>
    </row>
    <row r="18775" s="101" customFormat="1" spans="6:6">
      <c r="F18775" s="2423"/>
    </row>
    <row r="18776" s="101" customFormat="1" spans="6:6">
      <c r="F18776" s="2423"/>
    </row>
    <row r="18777" s="101" customFormat="1" spans="6:6">
      <c r="F18777" s="2423"/>
    </row>
    <row r="18778" s="101" customFormat="1" spans="6:6">
      <c r="F18778" s="2423"/>
    </row>
    <row r="18779" s="101" customFormat="1" spans="6:6">
      <c r="F18779" s="2423"/>
    </row>
    <row r="18780" s="101" customFormat="1" spans="6:6">
      <c r="F18780" s="2423"/>
    </row>
    <row r="18781" s="101" customFormat="1" spans="6:6">
      <c r="F18781" s="2423"/>
    </row>
    <row r="18782" s="101" customFormat="1" spans="6:6">
      <c r="F18782" s="2423"/>
    </row>
    <row r="18783" s="101" customFormat="1" spans="6:6">
      <c r="F18783" s="2423"/>
    </row>
    <row r="18784" s="101" customFormat="1" spans="6:6">
      <c r="F18784" s="2423"/>
    </row>
    <row r="18785" s="101" customFormat="1" spans="6:6">
      <c r="F18785" s="2423"/>
    </row>
    <row r="18786" s="101" customFormat="1" spans="6:6">
      <c r="F18786" s="2423"/>
    </row>
    <row r="18787" s="101" customFormat="1" spans="6:6">
      <c r="F18787" s="2423"/>
    </row>
    <row r="18788" s="101" customFormat="1" spans="6:6">
      <c r="F18788" s="2423"/>
    </row>
    <row r="18789" s="101" customFormat="1" spans="6:6">
      <c r="F18789" s="2423"/>
    </row>
    <row r="18790" s="101" customFormat="1" spans="6:6">
      <c r="F18790" s="2423"/>
    </row>
    <row r="18791" s="101" customFormat="1" spans="6:6">
      <c r="F18791" s="2423"/>
    </row>
    <row r="18792" s="101" customFormat="1" spans="6:6">
      <c r="F18792" s="2423"/>
    </row>
    <row r="18793" s="101" customFormat="1" spans="6:6">
      <c r="F18793" s="2423"/>
    </row>
    <row r="18794" s="101" customFormat="1" spans="6:6">
      <c r="F18794" s="2423"/>
    </row>
    <row r="18795" s="101" customFormat="1" spans="6:6">
      <c r="F18795" s="2423"/>
    </row>
    <row r="18796" s="101" customFormat="1" spans="6:6">
      <c r="F18796" s="2423"/>
    </row>
    <row r="18797" s="101" customFormat="1" spans="6:6">
      <c r="F18797" s="2423"/>
    </row>
    <row r="18798" s="101" customFormat="1" spans="6:6">
      <c r="F18798" s="2423"/>
    </row>
    <row r="18799" s="101" customFormat="1" spans="6:6">
      <c r="F18799" s="2423"/>
    </row>
    <row r="18800" s="101" customFormat="1" spans="6:6">
      <c r="F18800" s="2423"/>
    </row>
    <row r="18801" s="101" customFormat="1" spans="6:6">
      <c r="F18801" s="2423"/>
    </row>
    <row r="18802" s="101" customFormat="1" spans="6:6">
      <c r="F18802" s="2423"/>
    </row>
    <row r="18803" s="101" customFormat="1" spans="6:6">
      <c r="F18803" s="2423"/>
    </row>
    <row r="18804" s="101" customFormat="1" spans="6:6">
      <c r="F18804" s="2423"/>
    </row>
    <row r="18805" s="101" customFormat="1" spans="6:6">
      <c r="F18805" s="2423"/>
    </row>
    <row r="18806" s="101" customFormat="1" spans="6:6">
      <c r="F18806" s="2423"/>
    </row>
    <row r="18807" s="101" customFormat="1" spans="6:6">
      <c r="F18807" s="2423"/>
    </row>
    <row r="18808" s="101" customFormat="1" spans="6:6">
      <c r="F18808" s="2423"/>
    </row>
    <row r="18809" s="101" customFormat="1" spans="6:6">
      <c r="F18809" s="2423"/>
    </row>
    <row r="18810" s="101" customFormat="1" spans="6:6">
      <c r="F18810" s="2423"/>
    </row>
    <row r="18811" s="101" customFormat="1" spans="6:6">
      <c r="F18811" s="2423"/>
    </row>
    <row r="18812" s="101" customFormat="1" spans="6:6">
      <c r="F18812" s="2423"/>
    </row>
    <row r="18813" s="101" customFormat="1" spans="6:6">
      <c r="F18813" s="2423"/>
    </row>
    <row r="18814" s="101" customFormat="1" spans="6:6">
      <c r="F18814" s="2423"/>
    </row>
    <row r="18815" s="101" customFormat="1" spans="6:6">
      <c r="F18815" s="2423"/>
    </row>
    <row r="18816" s="101" customFormat="1" spans="6:6">
      <c r="F18816" s="2423"/>
    </row>
    <row r="18817" s="101" customFormat="1" spans="6:6">
      <c r="F18817" s="2423"/>
    </row>
    <row r="18818" s="101" customFormat="1" spans="6:6">
      <c r="F18818" s="2423"/>
    </row>
    <row r="18819" s="101" customFormat="1" spans="6:6">
      <c r="F18819" s="2423"/>
    </row>
    <row r="18820" s="101" customFormat="1" spans="6:6">
      <c r="F18820" s="2423"/>
    </row>
    <row r="18821" s="101" customFormat="1" spans="6:6">
      <c r="F18821" s="2423"/>
    </row>
    <row r="18822" s="101" customFormat="1" spans="6:6">
      <c r="F18822" s="2423"/>
    </row>
    <row r="18823" s="101" customFormat="1" spans="6:6">
      <c r="F18823" s="2423"/>
    </row>
    <row r="18824" s="101" customFormat="1" spans="6:6">
      <c r="F18824" s="2423"/>
    </row>
    <row r="18825" s="101" customFormat="1" spans="6:6">
      <c r="F18825" s="2423"/>
    </row>
    <row r="18826" s="101" customFormat="1" spans="6:6">
      <c r="F18826" s="2423"/>
    </row>
    <row r="18827" s="101" customFormat="1" spans="6:6">
      <c r="F18827" s="2423"/>
    </row>
    <row r="18828" s="101" customFormat="1" spans="6:6">
      <c r="F18828" s="2423"/>
    </row>
    <row r="18829" s="101" customFormat="1" spans="6:6">
      <c r="F18829" s="2423"/>
    </row>
    <row r="18830" s="101" customFormat="1" spans="6:6">
      <c r="F18830" s="2423"/>
    </row>
    <row r="18831" s="101" customFormat="1" spans="6:6">
      <c r="F18831" s="2423"/>
    </row>
    <row r="18832" s="101" customFormat="1" spans="6:6">
      <c r="F18832" s="2423"/>
    </row>
    <row r="18833" s="101" customFormat="1" spans="6:6">
      <c r="F18833" s="2423"/>
    </row>
    <row r="18834" s="101" customFormat="1" spans="6:6">
      <c r="F18834" s="2423"/>
    </row>
    <row r="18835" s="101" customFormat="1" spans="6:6">
      <c r="F18835" s="2423"/>
    </row>
    <row r="18836" s="101" customFormat="1" spans="6:6">
      <c r="F18836" s="2423"/>
    </row>
    <row r="18837" s="101" customFormat="1" spans="6:6">
      <c r="F18837" s="2423"/>
    </row>
    <row r="18838" s="101" customFormat="1" spans="6:6">
      <c r="F18838" s="2423"/>
    </row>
    <row r="18839" s="101" customFormat="1" spans="6:6">
      <c r="F18839" s="2423"/>
    </row>
    <row r="18840" s="101" customFormat="1" spans="6:6">
      <c r="F18840" s="2423"/>
    </row>
    <row r="18841" s="101" customFormat="1" spans="6:6">
      <c r="F18841" s="2423"/>
    </row>
    <row r="18842" s="101" customFormat="1" spans="6:6">
      <c r="F18842" s="2423"/>
    </row>
    <row r="18843" s="101" customFormat="1" spans="6:6">
      <c r="F18843" s="2423"/>
    </row>
    <row r="18844" s="101" customFormat="1" spans="6:6">
      <c r="F18844" s="2423"/>
    </row>
    <row r="18845" s="101" customFormat="1" spans="6:6">
      <c r="F18845" s="2423"/>
    </row>
    <row r="18846" s="101" customFormat="1" spans="6:6">
      <c r="F18846" s="2423"/>
    </row>
    <row r="18847" s="101" customFormat="1" spans="6:6">
      <c r="F18847" s="2423"/>
    </row>
    <row r="18848" s="101" customFormat="1" spans="6:6">
      <c r="F18848" s="2423"/>
    </row>
    <row r="18849" s="101" customFormat="1" spans="6:6">
      <c r="F18849" s="2423"/>
    </row>
    <row r="18850" s="101" customFormat="1" spans="6:6">
      <c r="F18850" s="2423"/>
    </row>
    <row r="18851" s="101" customFormat="1" spans="6:6">
      <c r="F18851" s="2423"/>
    </row>
    <row r="18852" s="101" customFormat="1" spans="6:6">
      <c r="F18852" s="2423"/>
    </row>
    <row r="18853" s="101" customFormat="1" spans="6:6">
      <c r="F18853" s="2423"/>
    </row>
    <row r="18854" s="101" customFormat="1" spans="6:6">
      <c r="F18854" s="2423"/>
    </row>
    <row r="18855" s="101" customFormat="1" spans="6:6">
      <c r="F18855" s="2423"/>
    </row>
    <row r="18856" s="101" customFormat="1" spans="6:6">
      <c r="F18856" s="2423"/>
    </row>
    <row r="18857" s="101" customFormat="1" spans="6:6">
      <c r="F18857" s="2423"/>
    </row>
    <row r="18858" s="101" customFormat="1" spans="6:6">
      <c r="F18858" s="2423"/>
    </row>
    <row r="18859" s="101" customFormat="1" spans="6:6">
      <c r="F18859" s="2423"/>
    </row>
    <row r="18860" s="101" customFormat="1" spans="6:6">
      <c r="F18860" s="2423"/>
    </row>
    <row r="18861" s="101" customFormat="1" spans="6:6">
      <c r="F18861" s="2423"/>
    </row>
    <row r="18862" s="101" customFormat="1" spans="6:6">
      <c r="F18862" s="2423"/>
    </row>
    <row r="18863" s="101" customFormat="1" spans="6:6">
      <c r="F18863" s="2423"/>
    </row>
    <row r="18864" s="101" customFormat="1" spans="6:6">
      <c r="F18864" s="2423"/>
    </row>
    <row r="18865" s="101" customFormat="1" spans="6:6">
      <c r="F18865" s="2423"/>
    </row>
    <row r="18866" s="101" customFormat="1" spans="6:6">
      <c r="F18866" s="2423"/>
    </row>
    <row r="18867" s="101" customFormat="1" spans="6:6">
      <c r="F18867" s="2423"/>
    </row>
    <row r="18868" s="101" customFormat="1" spans="6:6">
      <c r="F18868" s="2423"/>
    </row>
    <row r="18869" s="101" customFormat="1" spans="6:6">
      <c r="F18869" s="2423"/>
    </row>
    <row r="18870" s="101" customFormat="1" spans="6:6">
      <c r="F18870" s="2423"/>
    </row>
    <row r="18871" s="101" customFormat="1" spans="6:6">
      <c r="F18871" s="2423"/>
    </row>
    <row r="18872" s="101" customFormat="1" spans="6:6">
      <c r="F18872" s="2423"/>
    </row>
    <row r="18873" s="101" customFormat="1" spans="6:6">
      <c r="F18873" s="2423"/>
    </row>
    <row r="18874" s="101" customFormat="1" spans="6:6">
      <c r="F18874" s="2423"/>
    </row>
    <row r="18875" s="101" customFormat="1" spans="6:6">
      <c r="F18875" s="2423"/>
    </row>
    <row r="18876" s="101" customFormat="1" spans="6:6">
      <c r="F18876" s="2423"/>
    </row>
    <row r="18877" s="101" customFormat="1" spans="6:6">
      <c r="F18877" s="2423"/>
    </row>
    <row r="18878" s="101" customFormat="1" spans="6:6">
      <c r="F18878" s="2423"/>
    </row>
    <row r="18879" s="101" customFormat="1" spans="6:6">
      <c r="F18879" s="2423"/>
    </row>
    <row r="18880" s="101" customFormat="1" spans="6:6">
      <c r="F18880" s="2423"/>
    </row>
    <row r="18881" s="101" customFormat="1" spans="6:6">
      <c r="F18881" s="2423"/>
    </row>
    <row r="18882" s="101" customFormat="1" spans="6:6">
      <c r="F18882" s="2423"/>
    </row>
    <row r="18883" s="101" customFormat="1" spans="6:6">
      <c r="F18883" s="2423"/>
    </row>
    <row r="18884" s="101" customFormat="1" spans="6:6">
      <c r="F18884" s="2423"/>
    </row>
    <row r="18885" s="101" customFormat="1" spans="6:6">
      <c r="F18885" s="2423"/>
    </row>
    <row r="18886" s="101" customFormat="1" spans="6:6">
      <c r="F18886" s="2423"/>
    </row>
    <row r="18887" s="101" customFormat="1" spans="6:6">
      <c r="F18887" s="2423"/>
    </row>
    <row r="18888" s="101" customFormat="1" spans="6:6">
      <c r="F18888" s="2423"/>
    </row>
    <row r="18889" s="101" customFormat="1" spans="6:6">
      <c r="F18889" s="2423"/>
    </row>
    <row r="18890" s="101" customFormat="1" spans="6:6">
      <c r="F18890" s="2423"/>
    </row>
    <row r="18891" s="101" customFormat="1" spans="6:6">
      <c r="F18891" s="2423"/>
    </row>
    <row r="18892" s="101" customFormat="1" spans="6:6">
      <c r="F18892" s="2423"/>
    </row>
    <row r="18893" s="101" customFormat="1" spans="6:6">
      <c r="F18893" s="2423"/>
    </row>
    <row r="18894" s="101" customFormat="1" spans="6:6">
      <c r="F18894" s="2423"/>
    </row>
    <row r="18895" s="101" customFormat="1" spans="6:6">
      <c r="F18895" s="2423"/>
    </row>
    <row r="18896" s="101" customFormat="1" spans="6:6">
      <c r="F18896" s="2423"/>
    </row>
    <row r="18897" s="101" customFormat="1" spans="6:6">
      <c r="F18897" s="2423"/>
    </row>
    <row r="18898" s="101" customFormat="1" spans="6:6">
      <c r="F18898" s="2423"/>
    </row>
    <row r="18899" s="101" customFormat="1" spans="6:6">
      <c r="F18899" s="2423"/>
    </row>
    <row r="18900" s="101" customFormat="1" spans="6:6">
      <c r="F18900" s="2423"/>
    </row>
    <row r="18901" s="101" customFormat="1" spans="6:6">
      <c r="F18901" s="2423"/>
    </row>
    <row r="18902" s="101" customFormat="1" spans="6:6">
      <c r="F18902" s="2423"/>
    </row>
    <row r="18903" s="101" customFormat="1" spans="6:6">
      <c r="F18903" s="2423"/>
    </row>
    <row r="18904" s="101" customFormat="1" spans="6:6">
      <c r="F18904" s="2423"/>
    </row>
    <row r="18905" s="101" customFormat="1" spans="6:6">
      <c r="F18905" s="2423"/>
    </row>
    <row r="18906" s="101" customFormat="1" spans="6:6">
      <c r="F18906" s="2423"/>
    </row>
    <row r="18907" s="101" customFormat="1" spans="6:6">
      <c r="F18907" s="2423"/>
    </row>
    <row r="18908" s="101" customFormat="1" spans="6:6">
      <c r="F18908" s="2423"/>
    </row>
    <row r="18909" s="101" customFormat="1" spans="6:6">
      <c r="F18909" s="2423"/>
    </row>
    <row r="18910" s="101" customFormat="1" spans="6:6">
      <c r="F18910" s="2423"/>
    </row>
    <row r="18911" s="101" customFormat="1" spans="6:6">
      <c r="F18911" s="2423"/>
    </row>
    <row r="18912" s="101" customFormat="1" spans="6:6">
      <c r="F18912" s="2423"/>
    </row>
    <row r="18913" s="101" customFormat="1" spans="6:6">
      <c r="F18913" s="2423"/>
    </row>
    <row r="18914" s="101" customFormat="1" spans="6:6">
      <c r="F18914" s="2423"/>
    </row>
    <row r="18915" s="101" customFormat="1" spans="6:6">
      <c r="F18915" s="2423"/>
    </row>
    <row r="18916" s="101" customFormat="1" spans="6:6">
      <c r="F18916" s="2423"/>
    </row>
    <row r="18917" s="101" customFormat="1" spans="6:6">
      <c r="F18917" s="2423"/>
    </row>
    <row r="18918" s="101" customFormat="1" spans="6:6">
      <c r="F18918" s="2423"/>
    </row>
    <row r="18919" s="101" customFormat="1" spans="6:6">
      <c r="F18919" s="2423"/>
    </row>
    <row r="18920" s="101" customFormat="1" spans="6:6">
      <c r="F18920" s="2423"/>
    </row>
    <row r="18921" s="101" customFormat="1" spans="6:6">
      <c r="F18921" s="2423"/>
    </row>
    <row r="18922" s="101" customFormat="1" spans="6:6">
      <c r="F18922" s="2423"/>
    </row>
    <row r="18923" s="101" customFormat="1" spans="6:6">
      <c r="F18923" s="2423"/>
    </row>
    <row r="18924" s="101" customFormat="1" spans="6:6">
      <c r="F18924" s="2423"/>
    </row>
    <row r="18925" s="101" customFormat="1" spans="6:6">
      <c r="F18925" s="2423"/>
    </row>
    <row r="18926" s="101" customFormat="1" spans="6:6">
      <c r="F18926" s="2423"/>
    </row>
    <row r="18927" s="101" customFormat="1" spans="6:6">
      <c r="F18927" s="2423"/>
    </row>
    <row r="18928" s="101" customFormat="1" spans="6:6">
      <c r="F18928" s="2423"/>
    </row>
    <row r="18929" s="101" customFormat="1" spans="6:6">
      <c r="F18929" s="2423"/>
    </row>
    <row r="18930" s="101" customFormat="1" spans="6:6">
      <c r="F18930" s="2423"/>
    </row>
    <row r="18931" s="101" customFormat="1" spans="6:6">
      <c r="F18931" s="2423"/>
    </row>
    <row r="18932" s="101" customFormat="1" spans="6:6">
      <c r="F18932" s="2423"/>
    </row>
    <row r="18933" s="101" customFormat="1" spans="6:6">
      <c r="F18933" s="2423"/>
    </row>
    <row r="18934" s="101" customFormat="1" spans="6:6">
      <c r="F18934" s="2423"/>
    </row>
    <row r="18935" s="101" customFormat="1" spans="6:6">
      <c r="F18935" s="2423"/>
    </row>
    <row r="18936" s="101" customFormat="1" spans="6:6">
      <c r="F18936" s="2423"/>
    </row>
    <row r="18937" s="101" customFormat="1" spans="6:6">
      <c r="F18937" s="2423"/>
    </row>
    <row r="18938" s="101" customFormat="1" spans="6:6">
      <c r="F18938" s="2423"/>
    </row>
    <row r="18939" s="101" customFormat="1" spans="6:6">
      <c r="F18939" s="2423"/>
    </row>
    <row r="18940" s="101" customFormat="1" spans="6:6">
      <c r="F18940" s="2423"/>
    </row>
    <row r="18941" s="101" customFormat="1" spans="6:6">
      <c r="F18941" s="2423"/>
    </row>
    <row r="18942" s="101" customFormat="1" spans="6:6">
      <c r="F18942" s="2423"/>
    </row>
    <row r="18943" s="101" customFormat="1" spans="6:6">
      <c r="F18943" s="2423"/>
    </row>
    <row r="18944" s="101" customFormat="1" spans="6:6">
      <c r="F18944" s="2423"/>
    </row>
    <row r="18945" s="101" customFormat="1" spans="6:6">
      <c r="F18945" s="2423"/>
    </row>
    <row r="18946" s="101" customFormat="1" spans="6:6">
      <c r="F18946" s="2423"/>
    </row>
    <row r="18947" s="101" customFormat="1" spans="6:6">
      <c r="F18947" s="2423"/>
    </row>
    <row r="18948" s="101" customFormat="1" spans="6:6">
      <c r="F18948" s="2423"/>
    </row>
    <row r="18949" s="101" customFormat="1" spans="6:6">
      <c r="F18949" s="2423"/>
    </row>
    <row r="18950" s="101" customFormat="1" spans="6:6">
      <c r="F18950" s="2423"/>
    </row>
    <row r="18951" s="101" customFormat="1" spans="6:6">
      <c r="F18951" s="2423"/>
    </row>
    <row r="18952" s="101" customFormat="1" spans="6:6">
      <c r="F18952" s="2423"/>
    </row>
    <row r="18953" s="101" customFormat="1" spans="6:6">
      <c r="F18953" s="2423"/>
    </row>
    <row r="18954" s="101" customFormat="1" spans="6:6">
      <c r="F18954" s="2423"/>
    </row>
    <row r="18955" s="101" customFormat="1" spans="6:6">
      <c r="F18955" s="2423"/>
    </row>
    <row r="18956" s="101" customFormat="1" spans="6:6">
      <c r="F18956" s="2423"/>
    </row>
    <row r="18957" s="101" customFormat="1" spans="6:6">
      <c r="F18957" s="2423"/>
    </row>
    <row r="18958" s="101" customFormat="1" spans="6:6">
      <c r="F18958" s="2423"/>
    </row>
    <row r="18959" s="101" customFormat="1" spans="6:6">
      <c r="F18959" s="2423"/>
    </row>
    <row r="18960" s="101" customFormat="1" spans="6:6">
      <c r="F18960" s="2423"/>
    </row>
    <row r="18961" s="101" customFormat="1" spans="6:6">
      <c r="F18961" s="2423"/>
    </row>
    <row r="18962" s="101" customFormat="1" spans="6:6">
      <c r="F18962" s="2423"/>
    </row>
    <row r="18963" s="101" customFormat="1" spans="6:6">
      <c r="F18963" s="2423"/>
    </row>
    <row r="18964" s="101" customFormat="1" spans="6:6">
      <c r="F18964" s="2423"/>
    </row>
    <row r="18965" s="101" customFormat="1" spans="6:6">
      <c r="F18965" s="2423"/>
    </row>
    <row r="18966" s="101" customFormat="1" spans="6:6">
      <c r="F18966" s="2423"/>
    </row>
    <row r="18967" s="101" customFormat="1" spans="6:6">
      <c r="F18967" s="2423"/>
    </row>
    <row r="18968" s="101" customFormat="1" spans="6:6">
      <c r="F18968" s="2423"/>
    </row>
    <row r="18969" s="101" customFormat="1" spans="6:6">
      <c r="F18969" s="2423"/>
    </row>
    <row r="18970" s="101" customFormat="1" spans="6:6">
      <c r="F18970" s="2423"/>
    </row>
    <row r="18971" s="101" customFormat="1" spans="6:6">
      <c r="F18971" s="2423"/>
    </row>
    <row r="18972" s="101" customFormat="1" spans="6:6">
      <c r="F18972" s="2423"/>
    </row>
    <row r="18973" s="101" customFormat="1" spans="6:6">
      <c r="F18973" s="2423"/>
    </row>
    <row r="18974" s="101" customFormat="1" spans="6:6">
      <c r="F18974" s="2423"/>
    </row>
    <row r="18975" s="101" customFormat="1" spans="6:6">
      <c r="F18975" s="2423"/>
    </row>
    <row r="18976" s="101" customFormat="1" spans="6:6">
      <c r="F18976" s="2423"/>
    </row>
    <row r="18977" s="101" customFormat="1" spans="6:6">
      <c r="F18977" s="2423"/>
    </row>
    <row r="18978" s="101" customFormat="1" spans="6:6">
      <c r="F18978" s="2423"/>
    </row>
    <row r="18979" s="101" customFormat="1" spans="6:6">
      <c r="F18979" s="2423"/>
    </row>
    <row r="18980" s="101" customFormat="1" spans="6:6">
      <c r="F18980" s="2423"/>
    </row>
    <row r="18981" s="101" customFormat="1" spans="6:6">
      <c r="F18981" s="2423"/>
    </row>
    <row r="18982" s="101" customFormat="1" spans="6:6">
      <c r="F18982" s="2423"/>
    </row>
    <row r="18983" s="101" customFormat="1" spans="6:6">
      <c r="F18983" s="2423"/>
    </row>
    <row r="18984" s="101" customFormat="1" spans="6:6">
      <c r="F18984" s="2423"/>
    </row>
    <row r="18985" s="101" customFormat="1" spans="6:6">
      <c r="F18985" s="2423"/>
    </row>
    <row r="18986" s="101" customFormat="1" spans="6:6">
      <c r="F18986" s="2423"/>
    </row>
    <row r="18987" s="101" customFormat="1" spans="6:6">
      <c r="F18987" s="2423"/>
    </row>
    <row r="18988" s="101" customFormat="1" spans="6:6">
      <c r="F18988" s="2423"/>
    </row>
    <row r="18989" s="101" customFormat="1" spans="6:6">
      <c r="F18989" s="2423"/>
    </row>
    <row r="18990" s="101" customFormat="1" spans="6:6">
      <c r="F18990" s="2423"/>
    </row>
    <row r="18991" s="101" customFormat="1" spans="6:6">
      <c r="F18991" s="2423"/>
    </row>
    <row r="18992" s="101" customFormat="1" spans="6:6">
      <c r="F18992" s="2423"/>
    </row>
    <row r="18993" s="101" customFormat="1" spans="6:6">
      <c r="F18993" s="2423"/>
    </row>
    <row r="18994" s="101" customFormat="1" spans="6:6">
      <c r="F18994" s="2423"/>
    </row>
    <row r="18995" s="101" customFormat="1" spans="6:6">
      <c r="F18995" s="2423"/>
    </row>
    <row r="18996" s="101" customFormat="1" spans="6:6">
      <c r="F18996" s="2423"/>
    </row>
    <row r="18997" s="101" customFormat="1" spans="6:6">
      <c r="F18997" s="2423"/>
    </row>
    <row r="18998" s="101" customFormat="1" spans="6:6">
      <c r="F18998" s="2423"/>
    </row>
    <row r="18999" s="101" customFormat="1" spans="6:6">
      <c r="F18999" s="2423"/>
    </row>
    <row r="19000" s="101" customFormat="1" spans="6:6">
      <c r="F19000" s="2423"/>
    </row>
    <row r="19001" s="101" customFormat="1" spans="6:6">
      <c r="F19001" s="2423"/>
    </row>
    <row r="19002" s="101" customFormat="1" spans="6:6">
      <c r="F19002" s="2423"/>
    </row>
    <row r="19003" s="101" customFormat="1" spans="6:6">
      <c r="F19003" s="2423"/>
    </row>
    <row r="19004" s="101" customFormat="1" spans="6:6">
      <c r="F19004" s="2423"/>
    </row>
    <row r="19005" s="101" customFormat="1" spans="6:6">
      <c r="F19005" s="2423"/>
    </row>
    <row r="19006" s="101" customFormat="1" spans="6:6">
      <c r="F19006" s="2423"/>
    </row>
    <row r="19007" s="101" customFormat="1" spans="6:6">
      <c r="F19007" s="2423"/>
    </row>
    <row r="19008" s="101" customFormat="1" spans="6:6">
      <c r="F19008" s="2423"/>
    </row>
    <row r="19009" s="101" customFormat="1" spans="6:6">
      <c r="F19009" s="2423"/>
    </row>
    <row r="19010" s="101" customFormat="1" spans="6:6">
      <c r="F19010" s="2423"/>
    </row>
    <row r="19011" s="101" customFormat="1" spans="6:6">
      <c r="F19011" s="2423"/>
    </row>
    <row r="19012" s="101" customFormat="1" spans="6:6">
      <c r="F19012" s="2423"/>
    </row>
    <row r="19013" s="101" customFormat="1" spans="6:6">
      <c r="F19013" s="2423"/>
    </row>
    <row r="19014" s="101" customFormat="1" spans="6:6">
      <c r="F19014" s="2423"/>
    </row>
    <row r="19015" s="101" customFormat="1" spans="6:6">
      <c r="F19015" s="2423"/>
    </row>
    <row r="19016" s="101" customFormat="1" spans="6:6">
      <c r="F19016" s="2423"/>
    </row>
    <row r="19017" s="101" customFormat="1" spans="6:6">
      <c r="F19017" s="2423"/>
    </row>
    <row r="19018" s="101" customFormat="1" spans="6:6">
      <c r="F19018" s="2423"/>
    </row>
    <row r="19019" s="101" customFormat="1" spans="6:6">
      <c r="F19019" s="2423"/>
    </row>
    <row r="19020" s="101" customFormat="1" spans="6:6">
      <c r="F19020" s="2423"/>
    </row>
    <row r="19021" s="101" customFormat="1" spans="6:6">
      <c r="F19021" s="2423"/>
    </row>
    <row r="19022" s="101" customFormat="1" spans="6:6">
      <c r="F19022" s="2423"/>
    </row>
    <row r="19023" s="101" customFormat="1" spans="6:6">
      <c r="F19023" s="2423"/>
    </row>
    <row r="19024" s="101" customFormat="1" spans="6:6">
      <c r="F19024" s="2423"/>
    </row>
    <row r="19025" s="101" customFormat="1" spans="6:6">
      <c r="F19025" s="2423"/>
    </row>
    <row r="19026" s="101" customFormat="1" spans="6:6">
      <c r="F19026" s="2423"/>
    </row>
    <row r="19027" s="101" customFormat="1" spans="6:6">
      <c r="F19027" s="2423"/>
    </row>
    <row r="19028" s="101" customFormat="1" spans="6:6">
      <c r="F19028" s="2423"/>
    </row>
    <row r="19029" s="101" customFormat="1" spans="6:6">
      <c r="F19029" s="2423"/>
    </row>
    <row r="19030" s="101" customFormat="1" spans="6:6">
      <c r="F19030" s="2423"/>
    </row>
    <row r="19031" s="101" customFormat="1" spans="6:6">
      <c r="F19031" s="2423"/>
    </row>
    <row r="19032" s="101" customFormat="1" spans="6:6">
      <c r="F19032" s="2423"/>
    </row>
    <row r="19033" s="101" customFormat="1" spans="6:6">
      <c r="F19033" s="2423"/>
    </row>
    <row r="19034" s="101" customFormat="1" spans="6:6">
      <c r="F19034" s="2423"/>
    </row>
    <row r="19035" s="101" customFormat="1" spans="6:6">
      <c r="F19035" s="2423"/>
    </row>
    <row r="19036" s="101" customFormat="1" spans="6:6">
      <c r="F19036" s="2423"/>
    </row>
    <row r="19037" s="101" customFormat="1" spans="6:6">
      <c r="F19037" s="2423"/>
    </row>
    <row r="19038" s="101" customFormat="1" spans="6:6">
      <c r="F19038" s="2423"/>
    </row>
    <row r="19039" s="101" customFormat="1" spans="6:6">
      <c r="F19039" s="2423"/>
    </row>
    <row r="19040" s="101" customFormat="1" spans="6:6">
      <c r="F19040" s="2423"/>
    </row>
    <row r="19041" s="101" customFormat="1" spans="6:6">
      <c r="F19041" s="2423"/>
    </row>
    <row r="19042" s="101" customFormat="1" spans="6:6">
      <c r="F19042" s="2423"/>
    </row>
    <row r="19043" s="101" customFormat="1" spans="6:6">
      <c r="F19043" s="2423"/>
    </row>
    <row r="19044" s="101" customFormat="1" spans="6:6">
      <c r="F19044" s="2423"/>
    </row>
    <row r="19045" s="101" customFormat="1" spans="6:6">
      <c r="F19045" s="2423"/>
    </row>
    <row r="19046" s="101" customFormat="1" spans="6:6">
      <c r="F19046" s="2423"/>
    </row>
    <row r="19047" s="101" customFormat="1" spans="6:6">
      <c r="F19047" s="2423"/>
    </row>
    <row r="19048" s="101" customFormat="1" spans="6:6">
      <c r="F19048" s="2423"/>
    </row>
    <row r="19049" s="101" customFormat="1" spans="6:6">
      <c r="F19049" s="2423"/>
    </row>
    <row r="19050" s="101" customFormat="1" spans="6:6">
      <c r="F19050" s="2423"/>
    </row>
    <row r="19051" s="101" customFormat="1" spans="6:6">
      <c r="F19051" s="2423"/>
    </row>
    <row r="19052" s="101" customFormat="1" spans="6:6">
      <c r="F19052" s="2423"/>
    </row>
    <row r="19053" s="101" customFormat="1" spans="6:6">
      <c r="F19053" s="2423"/>
    </row>
    <row r="19054" s="101" customFormat="1" spans="6:6">
      <c r="F19054" s="2423"/>
    </row>
    <row r="19055" s="101" customFormat="1" spans="6:6">
      <c r="F19055" s="2423"/>
    </row>
    <row r="19056" s="101" customFormat="1" spans="6:6">
      <c r="F19056" s="2423"/>
    </row>
    <row r="19057" s="101" customFormat="1" spans="6:6">
      <c r="F19057" s="2423"/>
    </row>
    <row r="19058" s="101" customFormat="1" spans="6:6">
      <c r="F19058" s="2423"/>
    </row>
    <row r="19059" s="101" customFormat="1" spans="6:6">
      <c r="F19059" s="2423"/>
    </row>
    <row r="19060" s="101" customFormat="1" spans="6:6">
      <c r="F19060" s="2423"/>
    </row>
    <row r="19061" s="101" customFormat="1" spans="6:6">
      <c r="F19061" s="2423"/>
    </row>
    <row r="19062" s="101" customFormat="1" spans="6:6">
      <c r="F19062" s="2423"/>
    </row>
    <row r="19063" s="101" customFormat="1" spans="6:6">
      <c r="F19063" s="2423"/>
    </row>
    <row r="19064" s="101" customFormat="1" spans="6:6">
      <c r="F19064" s="2423"/>
    </row>
    <row r="19065" s="101" customFormat="1" spans="6:6">
      <c r="F19065" s="2423"/>
    </row>
    <row r="19066" s="101" customFormat="1" spans="6:6">
      <c r="F19066" s="2423"/>
    </row>
    <row r="19067" s="101" customFormat="1" spans="6:6">
      <c r="F19067" s="2423"/>
    </row>
    <row r="19068" s="101" customFormat="1" spans="6:6">
      <c r="F19068" s="2423"/>
    </row>
    <row r="19069" s="101" customFormat="1" spans="6:6">
      <c r="F19069" s="2423"/>
    </row>
    <row r="19070" s="101" customFormat="1" spans="6:6">
      <c r="F19070" s="2423"/>
    </row>
    <row r="19071" s="101" customFormat="1" spans="6:6">
      <c r="F19071" s="2423"/>
    </row>
    <row r="19072" s="101" customFormat="1" spans="6:6">
      <c r="F19072" s="2423"/>
    </row>
    <row r="19073" s="101" customFormat="1" spans="6:6">
      <c r="F19073" s="2423"/>
    </row>
    <row r="19074" s="101" customFormat="1" spans="6:6">
      <c r="F19074" s="2423"/>
    </row>
    <row r="19075" s="101" customFormat="1" spans="6:6">
      <c r="F19075" s="2423"/>
    </row>
    <row r="19076" s="101" customFormat="1" spans="6:6">
      <c r="F19076" s="2423"/>
    </row>
    <row r="19077" s="101" customFormat="1" spans="6:6">
      <c r="F19077" s="2423"/>
    </row>
    <row r="19078" s="101" customFormat="1" spans="6:6">
      <c r="F19078" s="2423"/>
    </row>
    <row r="19079" s="101" customFormat="1" spans="6:6">
      <c r="F19079" s="2423"/>
    </row>
    <row r="19080" s="101" customFormat="1" spans="6:6">
      <c r="F19080" s="2423"/>
    </row>
    <row r="19081" s="101" customFormat="1" spans="6:6">
      <c r="F19081" s="2423"/>
    </row>
    <row r="19082" s="101" customFormat="1" spans="6:6">
      <c r="F19082" s="2423"/>
    </row>
    <row r="19083" s="101" customFormat="1" spans="6:6">
      <c r="F19083" s="2423"/>
    </row>
    <row r="19084" s="101" customFormat="1" spans="6:6">
      <c r="F19084" s="2423"/>
    </row>
    <row r="19085" s="101" customFormat="1" spans="6:6">
      <c r="F19085" s="2423"/>
    </row>
    <row r="19086" s="101" customFormat="1" spans="6:6">
      <c r="F19086" s="2423"/>
    </row>
    <row r="19087" s="101" customFormat="1" spans="6:6">
      <c r="F19087" s="2423"/>
    </row>
    <row r="19088" s="101" customFormat="1" spans="6:6">
      <c r="F19088" s="2423"/>
    </row>
    <row r="19089" s="101" customFormat="1" spans="6:6">
      <c r="F19089" s="2423"/>
    </row>
    <row r="19090" s="101" customFormat="1" spans="6:6">
      <c r="F19090" s="2423"/>
    </row>
    <row r="19091" s="101" customFormat="1" spans="6:6">
      <c r="F19091" s="2423"/>
    </row>
    <row r="19092" s="101" customFormat="1" spans="6:6">
      <c r="F19092" s="2423"/>
    </row>
    <row r="19093" s="101" customFormat="1" spans="6:6">
      <c r="F19093" s="2423"/>
    </row>
    <row r="19094" s="101" customFormat="1" spans="6:6">
      <c r="F19094" s="2423"/>
    </row>
    <row r="19095" s="101" customFormat="1" spans="6:6">
      <c r="F19095" s="2423"/>
    </row>
    <row r="19096" s="101" customFormat="1" spans="6:6">
      <c r="F19096" s="2423"/>
    </row>
    <row r="19097" s="101" customFormat="1" spans="6:6">
      <c r="F19097" s="2423"/>
    </row>
    <row r="19098" s="101" customFormat="1" spans="6:6">
      <c r="F19098" s="2423"/>
    </row>
    <row r="19099" s="101" customFormat="1" spans="6:6">
      <c r="F19099" s="2423"/>
    </row>
    <row r="19100" s="101" customFormat="1" spans="6:6">
      <c r="F19100" s="2423"/>
    </row>
    <row r="19101" s="101" customFormat="1" spans="6:6">
      <c r="F19101" s="2423"/>
    </row>
    <row r="19102" s="101" customFormat="1" spans="6:6">
      <c r="F19102" s="2423"/>
    </row>
    <row r="19103" s="101" customFormat="1" spans="6:6">
      <c r="F19103" s="2423"/>
    </row>
    <row r="19104" s="101" customFormat="1" spans="6:6">
      <c r="F19104" s="2423"/>
    </row>
    <row r="19105" s="101" customFormat="1" spans="6:6">
      <c r="F19105" s="2423"/>
    </row>
    <row r="19106" s="101" customFormat="1" spans="6:6">
      <c r="F19106" s="2423"/>
    </row>
    <row r="19107" s="101" customFormat="1" spans="6:6">
      <c r="F19107" s="2423"/>
    </row>
    <row r="19108" s="101" customFormat="1" spans="6:6">
      <c r="F19108" s="2423"/>
    </row>
    <row r="19109" s="101" customFormat="1" spans="6:6">
      <c r="F19109" s="2423"/>
    </row>
    <row r="19110" s="101" customFormat="1" spans="6:6">
      <c r="F19110" s="2423"/>
    </row>
    <row r="19111" s="101" customFormat="1" spans="6:6">
      <c r="F19111" s="2423"/>
    </row>
    <row r="19112" s="101" customFormat="1" spans="6:6">
      <c r="F19112" s="2423"/>
    </row>
    <row r="19113" s="101" customFormat="1" spans="6:6">
      <c r="F19113" s="2423"/>
    </row>
    <row r="19114" s="101" customFormat="1" spans="6:6">
      <c r="F19114" s="2423"/>
    </row>
    <row r="19115" s="101" customFormat="1" spans="6:6">
      <c r="F19115" s="2423"/>
    </row>
    <row r="19116" s="101" customFormat="1" spans="6:6">
      <c r="F19116" s="2423"/>
    </row>
    <row r="19117" s="101" customFormat="1" spans="6:6">
      <c r="F19117" s="2423"/>
    </row>
    <row r="19118" s="101" customFormat="1" spans="6:6">
      <c r="F19118" s="2423"/>
    </row>
    <row r="19119" s="101" customFormat="1" spans="6:6">
      <c r="F19119" s="2423"/>
    </row>
    <row r="19120" s="101" customFormat="1" spans="6:6">
      <c r="F19120" s="2423"/>
    </row>
    <row r="19121" s="101" customFormat="1" spans="6:6">
      <c r="F19121" s="2423"/>
    </row>
    <row r="19122" s="101" customFormat="1" spans="6:6">
      <c r="F19122" s="2423"/>
    </row>
    <row r="19123" s="101" customFormat="1" spans="6:6">
      <c r="F19123" s="2423"/>
    </row>
    <row r="19124" s="101" customFormat="1" spans="6:6">
      <c r="F19124" s="2423"/>
    </row>
    <row r="19125" s="101" customFormat="1" spans="6:6">
      <c r="F19125" s="2423"/>
    </row>
    <row r="19126" s="101" customFormat="1" spans="6:6">
      <c r="F19126" s="2423"/>
    </row>
    <row r="19127" s="101" customFormat="1" spans="6:6">
      <c r="F19127" s="2423"/>
    </row>
    <row r="19128" s="101" customFormat="1" spans="6:6">
      <c r="F19128" s="2423"/>
    </row>
    <row r="19129" s="101" customFormat="1" spans="6:6">
      <c r="F19129" s="2423"/>
    </row>
    <row r="19130" s="101" customFormat="1" spans="6:6">
      <c r="F19130" s="2423"/>
    </row>
    <row r="19131" s="101" customFormat="1" spans="6:6">
      <c r="F19131" s="2423"/>
    </row>
    <row r="19132" s="101" customFormat="1" spans="6:6">
      <c r="F19132" s="2423"/>
    </row>
    <row r="19133" s="101" customFormat="1" spans="6:6">
      <c r="F19133" s="2423"/>
    </row>
    <row r="19134" s="101" customFormat="1" spans="6:6">
      <c r="F19134" s="2423"/>
    </row>
    <row r="19135" s="101" customFormat="1" spans="6:6">
      <c r="F19135" s="2423"/>
    </row>
    <row r="19136" s="101" customFormat="1" spans="6:6">
      <c r="F19136" s="2423"/>
    </row>
    <row r="19137" s="101" customFormat="1" spans="6:6">
      <c r="F19137" s="2423"/>
    </row>
    <row r="19138" s="101" customFormat="1" spans="6:6">
      <c r="F19138" s="2423"/>
    </row>
    <row r="19139" s="101" customFormat="1" spans="6:6">
      <c r="F19139" s="2423"/>
    </row>
    <row r="19140" s="101" customFormat="1" spans="6:6">
      <c r="F19140" s="2423"/>
    </row>
    <row r="19141" s="101" customFormat="1" spans="6:6">
      <c r="F19141" s="2423"/>
    </row>
    <row r="19142" s="101" customFormat="1" spans="6:6">
      <c r="F19142" s="2423"/>
    </row>
    <row r="19143" s="101" customFormat="1" spans="6:6">
      <c r="F19143" s="2423"/>
    </row>
    <row r="19144" s="101" customFormat="1" spans="6:6">
      <c r="F19144" s="2423"/>
    </row>
    <row r="19145" s="101" customFormat="1" spans="6:6">
      <c r="F19145" s="2423"/>
    </row>
    <row r="19146" s="101" customFormat="1" spans="6:6">
      <c r="F19146" s="2423"/>
    </row>
    <row r="19147" s="101" customFormat="1" spans="6:6">
      <c r="F19147" s="2423"/>
    </row>
    <row r="19148" s="101" customFormat="1" spans="6:6">
      <c r="F19148" s="2423"/>
    </row>
    <row r="19149" s="101" customFormat="1" spans="6:6">
      <c r="F19149" s="2423"/>
    </row>
    <row r="19150" s="101" customFormat="1" spans="6:6">
      <c r="F19150" s="2423"/>
    </row>
    <row r="19151" s="101" customFormat="1" spans="6:6">
      <c r="F19151" s="2423"/>
    </row>
    <row r="19152" s="101" customFormat="1" spans="6:6">
      <c r="F19152" s="2423"/>
    </row>
    <row r="19153" s="101" customFormat="1" spans="6:6">
      <c r="F19153" s="2423"/>
    </row>
    <row r="19154" s="101" customFormat="1" spans="6:6">
      <c r="F19154" s="2423"/>
    </row>
    <row r="19155" s="101" customFormat="1" spans="6:6">
      <c r="F19155" s="2423"/>
    </row>
    <row r="19156" s="101" customFormat="1" spans="6:6">
      <c r="F19156" s="2423"/>
    </row>
    <row r="19157" s="101" customFormat="1" spans="6:6">
      <c r="F19157" s="2423"/>
    </row>
    <row r="19158" s="101" customFormat="1" spans="6:6">
      <c r="F19158" s="2423"/>
    </row>
    <row r="19159" s="101" customFormat="1" spans="6:6">
      <c r="F19159" s="2423"/>
    </row>
    <row r="19160" s="101" customFormat="1" spans="6:6">
      <c r="F19160" s="2423"/>
    </row>
    <row r="19161" s="101" customFormat="1" spans="6:6">
      <c r="F19161" s="2423"/>
    </row>
    <row r="19162" s="101" customFormat="1" spans="6:6">
      <c r="F19162" s="2423"/>
    </row>
    <row r="19163" s="101" customFormat="1" spans="6:6">
      <c r="F19163" s="2423"/>
    </row>
    <row r="19164" s="101" customFormat="1" spans="6:6">
      <c r="F19164" s="2423"/>
    </row>
    <row r="19165" s="101" customFormat="1" spans="6:6">
      <c r="F19165" s="2423"/>
    </row>
    <row r="19166" s="101" customFormat="1" spans="6:6">
      <c r="F19166" s="2423"/>
    </row>
    <row r="19167" s="101" customFormat="1" spans="6:6">
      <c r="F19167" s="2423"/>
    </row>
    <row r="19168" s="101" customFormat="1" spans="6:6">
      <c r="F19168" s="2423"/>
    </row>
    <row r="19169" s="101" customFormat="1" spans="6:6">
      <c r="F19169" s="2423"/>
    </row>
    <row r="19170" s="101" customFormat="1" spans="6:6">
      <c r="F19170" s="2423"/>
    </row>
    <row r="19171" s="101" customFormat="1" spans="6:6">
      <c r="F19171" s="2423"/>
    </row>
    <row r="19172" s="101" customFormat="1" spans="6:6">
      <c r="F19172" s="2423"/>
    </row>
    <row r="19173" s="101" customFormat="1" spans="6:6">
      <c r="F19173" s="2423"/>
    </row>
    <row r="19174" s="101" customFormat="1" spans="6:6">
      <c r="F19174" s="2423"/>
    </row>
    <row r="19175" s="101" customFormat="1" spans="6:6">
      <c r="F19175" s="2423"/>
    </row>
    <row r="19176" s="101" customFormat="1" spans="6:6">
      <c r="F19176" s="2423"/>
    </row>
    <row r="19177" s="101" customFormat="1" spans="6:6">
      <c r="F19177" s="2423"/>
    </row>
    <row r="19178" s="101" customFormat="1" spans="6:6">
      <c r="F19178" s="2423"/>
    </row>
    <row r="19179" s="101" customFormat="1" spans="6:6">
      <c r="F19179" s="2423"/>
    </row>
    <row r="19180" s="101" customFormat="1" spans="6:6">
      <c r="F19180" s="2423"/>
    </row>
    <row r="19181" s="101" customFormat="1" spans="6:6">
      <c r="F19181" s="2423"/>
    </row>
    <row r="19182" s="101" customFormat="1" spans="6:6">
      <c r="F19182" s="2423"/>
    </row>
    <row r="19183" s="101" customFormat="1" spans="6:6">
      <c r="F19183" s="2423"/>
    </row>
    <row r="19184" s="101" customFormat="1" spans="6:6">
      <c r="F19184" s="2423"/>
    </row>
    <row r="19185" s="101" customFormat="1" spans="6:6">
      <c r="F19185" s="2423"/>
    </row>
    <row r="19186" s="101" customFormat="1" spans="6:6">
      <c r="F19186" s="2423"/>
    </row>
    <row r="19187" s="101" customFormat="1" spans="6:6">
      <c r="F19187" s="2423"/>
    </row>
    <row r="19188" s="101" customFormat="1" spans="6:6">
      <c r="F19188" s="2423"/>
    </row>
    <row r="19189" s="101" customFormat="1" spans="6:6">
      <c r="F19189" s="2423"/>
    </row>
    <row r="19190" s="101" customFormat="1" spans="6:6">
      <c r="F19190" s="2423"/>
    </row>
    <row r="19191" s="101" customFormat="1" spans="6:6">
      <c r="F19191" s="2423"/>
    </row>
    <row r="19192" s="101" customFormat="1" spans="6:6">
      <c r="F19192" s="2423"/>
    </row>
    <row r="19193" s="101" customFormat="1" spans="6:6">
      <c r="F19193" s="2423"/>
    </row>
    <row r="19194" s="101" customFormat="1" spans="6:6">
      <c r="F19194" s="2423"/>
    </row>
    <row r="19195" s="101" customFormat="1" spans="6:6">
      <c r="F19195" s="2423"/>
    </row>
    <row r="19196" s="101" customFormat="1" spans="6:6">
      <c r="F19196" s="2423"/>
    </row>
    <row r="19197" s="101" customFormat="1" spans="6:6">
      <c r="F19197" s="2423"/>
    </row>
    <row r="19198" s="101" customFormat="1" spans="6:6">
      <c r="F19198" s="2423"/>
    </row>
    <row r="19199" s="101" customFormat="1" spans="6:6">
      <c r="F19199" s="2423"/>
    </row>
    <row r="19200" s="101" customFormat="1" spans="6:6">
      <c r="F19200" s="2423"/>
    </row>
    <row r="19201" s="101" customFormat="1" spans="6:6">
      <c r="F19201" s="2423"/>
    </row>
    <row r="19202" s="101" customFormat="1" spans="6:6">
      <c r="F19202" s="2423"/>
    </row>
    <row r="19203" s="101" customFormat="1" spans="6:6">
      <c r="F19203" s="2423"/>
    </row>
    <row r="19204" s="101" customFormat="1" spans="6:6">
      <c r="F19204" s="2423"/>
    </row>
    <row r="19205" s="101" customFormat="1" spans="6:6">
      <c r="F19205" s="2423"/>
    </row>
    <row r="19206" s="101" customFormat="1" spans="6:6">
      <c r="F19206" s="2423"/>
    </row>
    <row r="19207" s="101" customFormat="1" spans="6:6">
      <c r="F19207" s="2423"/>
    </row>
    <row r="19208" s="101" customFormat="1" spans="6:6">
      <c r="F19208" s="2423"/>
    </row>
    <row r="19209" s="101" customFormat="1" spans="6:6">
      <c r="F19209" s="2423"/>
    </row>
    <row r="19210" s="101" customFormat="1" spans="6:6">
      <c r="F19210" s="2423"/>
    </row>
    <row r="19211" s="101" customFormat="1" spans="6:6">
      <c r="F19211" s="2423"/>
    </row>
    <row r="19212" s="101" customFormat="1" spans="6:6">
      <c r="F19212" s="2423"/>
    </row>
    <row r="19213" s="101" customFormat="1" spans="6:6">
      <c r="F19213" s="2423"/>
    </row>
    <row r="19214" s="101" customFormat="1" spans="6:6">
      <c r="F19214" s="2423"/>
    </row>
    <row r="19215" s="101" customFormat="1" spans="6:6">
      <c r="F19215" s="2423"/>
    </row>
    <row r="19216" s="101" customFormat="1" spans="6:6">
      <c r="F19216" s="2423"/>
    </row>
    <row r="19217" s="101" customFormat="1" spans="6:6">
      <c r="F19217" s="2423"/>
    </row>
    <row r="19218" s="101" customFormat="1" spans="6:6">
      <c r="F19218" s="2423"/>
    </row>
    <row r="19219" s="101" customFormat="1" spans="6:6">
      <c r="F19219" s="2423"/>
    </row>
    <row r="19220" s="101" customFormat="1" spans="6:6">
      <c r="F19220" s="2423"/>
    </row>
    <row r="19221" s="101" customFormat="1" spans="6:6">
      <c r="F19221" s="2423"/>
    </row>
    <row r="19222" s="101" customFormat="1" spans="6:6">
      <c r="F19222" s="2423"/>
    </row>
    <row r="19223" s="101" customFormat="1" spans="6:6">
      <c r="F19223" s="2423"/>
    </row>
    <row r="19224" s="101" customFormat="1" spans="6:6">
      <c r="F19224" s="2423"/>
    </row>
    <row r="19225" s="101" customFormat="1" spans="6:6">
      <c r="F19225" s="2423"/>
    </row>
    <row r="19226" s="101" customFormat="1" spans="6:6">
      <c r="F19226" s="2423"/>
    </row>
    <row r="19227" s="101" customFormat="1" spans="6:6">
      <c r="F19227" s="2423"/>
    </row>
    <row r="19228" s="101" customFormat="1" spans="6:6">
      <c r="F19228" s="2423"/>
    </row>
    <row r="19229" s="101" customFormat="1" spans="6:6">
      <c r="F19229" s="2423"/>
    </row>
    <row r="19230" s="101" customFormat="1" spans="6:6">
      <c r="F19230" s="2423"/>
    </row>
    <row r="19231" s="101" customFormat="1" spans="6:6">
      <c r="F19231" s="2423"/>
    </row>
    <row r="19232" s="101" customFormat="1" spans="6:6">
      <c r="F19232" s="2423"/>
    </row>
    <row r="19233" s="101" customFormat="1" spans="6:6">
      <c r="F19233" s="2423"/>
    </row>
    <row r="19234" s="101" customFormat="1" spans="6:6">
      <c r="F19234" s="2423"/>
    </row>
    <row r="19235" s="101" customFormat="1" spans="6:6">
      <c r="F19235" s="2423"/>
    </row>
    <row r="19236" s="101" customFormat="1" spans="6:6">
      <c r="F19236" s="2423"/>
    </row>
    <row r="19237" s="101" customFormat="1" spans="6:6">
      <c r="F19237" s="2423"/>
    </row>
    <row r="19238" s="101" customFormat="1" spans="6:6">
      <c r="F19238" s="2423"/>
    </row>
    <row r="19239" s="101" customFormat="1" spans="6:6">
      <c r="F19239" s="2423"/>
    </row>
    <row r="19240" s="101" customFormat="1" spans="6:6">
      <c r="F19240" s="2423"/>
    </row>
    <row r="19241" s="101" customFormat="1" spans="6:6">
      <c r="F19241" s="2423"/>
    </row>
    <row r="19242" s="101" customFormat="1" spans="6:6">
      <c r="F19242" s="2423"/>
    </row>
    <row r="19243" s="101" customFormat="1" spans="6:6">
      <c r="F19243" s="2423"/>
    </row>
    <row r="19244" s="101" customFormat="1" spans="6:6">
      <c r="F19244" s="2423"/>
    </row>
    <row r="19245" s="101" customFormat="1" spans="6:6">
      <c r="F19245" s="2423"/>
    </row>
    <row r="19246" s="101" customFormat="1" spans="6:6">
      <c r="F19246" s="2423"/>
    </row>
    <row r="19247" s="101" customFormat="1" spans="6:6">
      <c r="F19247" s="2423"/>
    </row>
    <row r="19248" s="101" customFormat="1" spans="6:6">
      <c r="F19248" s="2423"/>
    </row>
    <row r="19249" s="101" customFormat="1" spans="6:6">
      <c r="F19249" s="2423"/>
    </row>
    <row r="19250" s="101" customFormat="1" spans="6:6">
      <c r="F19250" s="2423"/>
    </row>
    <row r="19251" s="101" customFormat="1" spans="6:6">
      <c r="F19251" s="2423"/>
    </row>
    <row r="19252" s="101" customFormat="1" spans="6:6">
      <c r="F19252" s="2423"/>
    </row>
    <row r="19253" s="101" customFormat="1" spans="6:6">
      <c r="F19253" s="2423"/>
    </row>
    <row r="19254" s="101" customFormat="1" spans="6:6">
      <c r="F19254" s="2423"/>
    </row>
    <row r="19255" s="101" customFormat="1" spans="6:6">
      <c r="F19255" s="2423"/>
    </row>
    <row r="19256" s="101" customFormat="1" spans="6:6">
      <c r="F19256" s="2423"/>
    </row>
    <row r="19257" s="101" customFormat="1" spans="6:6">
      <c r="F19257" s="2423"/>
    </row>
    <row r="19258" s="101" customFormat="1" spans="6:6">
      <c r="F19258" s="2423"/>
    </row>
    <row r="19259" s="101" customFormat="1" spans="6:6">
      <c r="F19259" s="2423"/>
    </row>
    <row r="19260" s="101" customFormat="1" spans="6:6">
      <c r="F19260" s="2423"/>
    </row>
    <row r="19261" s="101" customFormat="1" spans="6:6">
      <c r="F19261" s="2423"/>
    </row>
    <row r="19262" s="101" customFormat="1" spans="6:6">
      <c r="F19262" s="2423"/>
    </row>
    <row r="19263" s="101" customFormat="1" spans="6:6">
      <c r="F19263" s="2423"/>
    </row>
    <row r="19264" s="101" customFormat="1" spans="6:6">
      <c r="F19264" s="2423"/>
    </row>
    <row r="19265" s="101" customFormat="1" spans="6:6">
      <c r="F19265" s="2423"/>
    </row>
    <row r="19266" s="101" customFormat="1" spans="6:6">
      <c r="F19266" s="2423"/>
    </row>
    <row r="19267" s="101" customFormat="1" spans="6:6">
      <c r="F19267" s="2423"/>
    </row>
    <row r="19268" s="101" customFormat="1" spans="6:6">
      <c r="F19268" s="2423"/>
    </row>
    <row r="19269" s="101" customFormat="1" spans="6:6">
      <c r="F19269" s="2423"/>
    </row>
    <row r="19270" s="101" customFormat="1" spans="6:6">
      <c r="F19270" s="2423"/>
    </row>
    <row r="19271" s="101" customFormat="1" spans="6:6">
      <c r="F19271" s="2423"/>
    </row>
    <row r="19272" s="101" customFormat="1" spans="6:6">
      <c r="F19272" s="2423"/>
    </row>
    <row r="19273" s="101" customFormat="1" spans="6:6">
      <c r="F19273" s="2423"/>
    </row>
    <row r="19274" s="101" customFormat="1" spans="6:6">
      <c r="F19274" s="2423"/>
    </row>
    <row r="19275" s="101" customFormat="1" spans="6:6">
      <c r="F19275" s="2423"/>
    </row>
    <row r="19276" s="101" customFormat="1" spans="6:6">
      <c r="F19276" s="2423"/>
    </row>
    <row r="19277" s="101" customFormat="1" spans="6:6">
      <c r="F19277" s="2423"/>
    </row>
    <row r="19278" s="101" customFormat="1" spans="6:6">
      <c r="F19278" s="2423"/>
    </row>
    <row r="19279" s="101" customFormat="1" spans="6:6">
      <c r="F19279" s="2423"/>
    </row>
    <row r="19280" s="101" customFormat="1" spans="6:6">
      <c r="F19280" s="2423"/>
    </row>
    <row r="19281" s="101" customFormat="1" spans="6:6">
      <c r="F19281" s="2423"/>
    </row>
    <row r="19282" s="101" customFormat="1" spans="6:6">
      <c r="F19282" s="2423"/>
    </row>
    <row r="19283" s="101" customFormat="1" spans="6:6">
      <c r="F19283" s="2423"/>
    </row>
    <row r="19284" s="101" customFormat="1" spans="6:6">
      <c r="F19284" s="2423"/>
    </row>
    <row r="19285" s="101" customFormat="1" spans="6:6">
      <c r="F19285" s="2423"/>
    </row>
    <row r="19286" s="101" customFormat="1" spans="6:6">
      <c r="F19286" s="2423"/>
    </row>
    <row r="19287" s="101" customFormat="1" spans="6:6">
      <c r="F19287" s="2423"/>
    </row>
    <row r="19288" s="101" customFormat="1" spans="6:6">
      <c r="F19288" s="2423"/>
    </row>
    <row r="19289" s="101" customFormat="1" spans="6:6">
      <c r="F19289" s="2423"/>
    </row>
    <row r="19290" s="101" customFormat="1" spans="6:6">
      <c r="F19290" s="2423"/>
    </row>
    <row r="19291" s="101" customFormat="1" spans="6:6">
      <c r="F19291" s="2423"/>
    </row>
    <row r="19292" s="101" customFormat="1" spans="6:6">
      <c r="F19292" s="2423"/>
    </row>
    <row r="19293" s="101" customFormat="1" spans="6:6">
      <c r="F19293" s="2423"/>
    </row>
    <row r="19294" s="101" customFormat="1" spans="6:6">
      <c r="F19294" s="2423"/>
    </row>
    <row r="19295" s="101" customFormat="1" spans="6:6">
      <c r="F19295" s="2423"/>
    </row>
    <row r="19296" s="101" customFormat="1" spans="6:6">
      <c r="F19296" s="2423"/>
    </row>
    <row r="19297" s="101" customFormat="1" spans="6:6">
      <c r="F19297" s="2423"/>
    </row>
    <row r="19298" s="101" customFormat="1" spans="6:6">
      <c r="F19298" s="2423"/>
    </row>
    <row r="19299" s="101" customFormat="1" spans="6:6">
      <c r="F19299" s="2423"/>
    </row>
    <row r="19300" s="101" customFormat="1" spans="6:6">
      <c r="F19300" s="2423"/>
    </row>
    <row r="19301" s="101" customFormat="1" spans="6:6">
      <c r="F19301" s="2423"/>
    </row>
    <row r="19302" s="101" customFormat="1" spans="6:6">
      <c r="F19302" s="2423"/>
    </row>
    <row r="19303" s="101" customFormat="1" spans="6:6">
      <c r="F19303" s="2423"/>
    </row>
    <row r="19304" s="101" customFormat="1" spans="6:6">
      <c r="F19304" s="2423"/>
    </row>
    <row r="19305" s="101" customFormat="1" spans="6:6">
      <c r="F19305" s="2423"/>
    </row>
    <row r="19306" s="101" customFormat="1" spans="6:6">
      <c r="F19306" s="2423"/>
    </row>
    <row r="19307" s="101" customFormat="1" spans="6:6">
      <c r="F19307" s="2423"/>
    </row>
    <row r="19308" s="101" customFormat="1" spans="6:6">
      <c r="F19308" s="2423"/>
    </row>
    <row r="19309" s="101" customFormat="1" spans="6:6">
      <c r="F19309" s="2423"/>
    </row>
    <row r="19310" s="101" customFormat="1" spans="6:6">
      <c r="F19310" s="2423"/>
    </row>
    <row r="19311" s="101" customFormat="1" spans="6:6">
      <c r="F19311" s="2423"/>
    </row>
    <row r="19312" s="101" customFormat="1" spans="6:6">
      <c r="F19312" s="2423"/>
    </row>
    <row r="19313" s="101" customFormat="1" spans="6:6">
      <c r="F19313" s="2423"/>
    </row>
    <row r="19314" s="101" customFormat="1" spans="6:6">
      <c r="F19314" s="2423"/>
    </row>
    <row r="19315" s="101" customFormat="1" spans="6:6">
      <c r="F19315" s="2423"/>
    </row>
    <row r="19316" s="101" customFormat="1" spans="6:6">
      <c r="F19316" s="2423"/>
    </row>
    <row r="19317" s="101" customFormat="1" spans="6:6">
      <c r="F19317" s="2423"/>
    </row>
    <row r="19318" s="101" customFormat="1" spans="6:6">
      <c r="F19318" s="2423"/>
    </row>
    <row r="19319" s="101" customFormat="1" spans="6:6">
      <c r="F19319" s="2423"/>
    </row>
    <row r="19320" s="101" customFormat="1" spans="6:6">
      <c r="F19320" s="2423"/>
    </row>
    <row r="19321" s="101" customFormat="1" spans="6:6">
      <c r="F19321" s="2423"/>
    </row>
    <row r="19322" s="101" customFormat="1" spans="6:6">
      <c r="F19322" s="2423"/>
    </row>
    <row r="19323" s="101" customFormat="1" spans="6:6">
      <c r="F19323" s="2423"/>
    </row>
    <row r="19324" s="101" customFormat="1" spans="6:6">
      <c r="F19324" s="2423"/>
    </row>
    <row r="19325" s="101" customFormat="1" spans="6:6">
      <c r="F19325" s="2423"/>
    </row>
    <row r="19326" s="101" customFormat="1" spans="6:6">
      <c r="F19326" s="2423"/>
    </row>
    <row r="19327" s="101" customFormat="1" spans="6:6">
      <c r="F19327" s="2423"/>
    </row>
    <row r="19328" s="101" customFormat="1" spans="6:6">
      <c r="F19328" s="2423"/>
    </row>
    <row r="19329" s="101" customFormat="1" spans="6:6">
      <c r="F19329" s="2423"/>
    </row>
    <row r="19330" s="101" customFormat="1" spans="6:6">
      <c r="F19330" s="2423"/>
    </row>
    <row r="19331" s="101" customFormat="1" spans="6:6">
      <c r="F19331" s="2423"/>
    </row>
    <row r="19332" s="101" customFormat="1" spans="6:6">
      <c r="F19332" s="2423"/>
    </row>
    <row r="19333" s="101" customFormat="1" spans="6:6">
      <c r="F19333" s="2423"/>
    </row>
    <row r="19334" s="101" customFormat="1" spans="6:6">
      <c r="F19334" s="2423"/>
    </row>
    <row r="19335" s="101" customFormat="1" spans="6:6">
      <c r="F19335" s="2423"/>
    </row>
    <row r="19336" s="101" customFormat="1" spans="6:6">
      <c r="F19336" s="2423"/>
    </row>
    <row r="19337" s="101" customFormat="1" spans="6:6">
      <c r="F19337" s="2423"/>
    </row>
    <row r="19338" s="101" customFormat="1" spans="6:6">
      <c r="F19338" s="2423"/>
    </row>
    <row r="19339" s="101" customFormat="1" spans="6:6">
      <c r="F19339" s="2423"/>
    </row>
    <row r="19340" s="101" customFormat="1" spans="6:6">
      <c r="F19340" s="2423"/>
    </row>
    <row r="19341" s="101" customFormat="1" spans="6:6">
      <c r="F19341" s="2423"/>
    </row>
    <row r="19342" s="101" customFormat="1" spans="6:6">
      <c r="F19342" s="2423"/>
    </row>
    <row r="19343" s="101" customFormat="1" spans="6:6">
      <c r="F19343" s="2423"/>
    </row>
    <row r="19344" s="101" customFormat="1" spans="6:6">
      <c r="F19344" s="2423"/>
    </row>
    <row r="19345" s="101" customFormat="1" spans="6:6">
      <c r="F19345" s="2423"/>
    </row>
    <row r="19346" s="101" customFormat="1" spans="6:6">
      <c r="F19346" s="2423"/>
    </row>
    <row r="19347" s="101" customFormat="1" spans="6:6">
      <c r="F19347" s="2423"/>
    </row>
    <row r="19348" s="101" customFormat="1" spans="6:6">
      <c r="F19348" s="2423"/>
    </row>
    <row r="19349" s="101" customFormat="1" spans="6:6">
      <c r="F19349" s="2423"/>
    </row>
    <row r="19350" s="101" customFormat="1" spans="6:6">
      <c r="F19350" s="2423"/>
    </row>
    <row r="19351" s="101" customFormat="1" spans="6:6">
      <c r="F19351" s="2423"/>
    </row>
    <row r="19352" s="101" customFormat="1" spans="6:6">
      <c r="F19352" s="2423"/>
    </row>
    <row r="19353" s="101" customFormat="1" spans="6:6">
      <c r="F19353" s="2423"/>
    </row>
    <row r="19354" s="101" customFormat="1" spans="6:6">
      <c r="F19354" s="2423"/>
    </row>
    <row r="19355" s="101" customFormat="1" spans="6:6">
      <c r="F19355" s="2423"/>
    </row>
    <row r="19356" s="101" customFormat="1" spans="6:6">
      <c r="F19356" s="2423"/>
    </row>
    <row r="19357" s="101" customFormat="1" spans="6:6">
      <c r="F19357" s="2423"/>
    </row>
    <row r="19358" s="101" customFormat="1" spans="6:6">
      <c r="F19358" s="2423"/>
    </row>
    <row r="19359" s="101" customFormat="1" spans="6:6">
      <c r="F19359" s="2423"/>
    </row>
    <row r="19360" s="101" customFormat="1" spans="6:6">
      <c r="F19360" s="2423"/>
    </row>
    <row r="19361" s="101" customFormat="1" spans="6:6">
      <c r="F19361" s="2423"/>
    </row>
    <row r="19362" s="101" customFormat="1" spans="6:6">
      <c r="F19362" s="2423"/>
    </row>
    <row r="19363" s="101" customFormat="1" spans="6:6">
      <c r="F19363" s="2423"/>
    </row>
    <row r="19364" s="101" customFormat="1" spans="6:6">
      <c r="F19364" s="2423"/>
    </row>
    <row r="19365" s="101" customFormat="1" spans="6:6">
      <c r="F19365" s="2423"/>
    </row>
    <row r="19366" s="101" customFormat="1" spans="6:6">
      <c r="F19366" s="2423"/>
    </row>
    <row r="19367" s="101" customFormat="1" spans="6:6">
      <c r="F19367" s="2423"/>
    </row>
    <row r="19368" s="101" customFormat="1" spans="6:6">
      <c r="F19368" s="2423"/>
    </row>
    <row r="19369" s="101" customFormat="1" spans="6:6">
      <c r="F19369" s="2423"/>
    </row>
    <row r="19370" s="101" customFormat="1" spans="6:6">
      <c r="F19370" s="2423"/>
    </row>
    <row r="19371" s="101" customFormat="1" spans="6:6">
      <c r="F19371" s="2423"/>
    </row>
    <row r="19372" s="101" customFormat="1" spans="6:6">
      <c r="F19372" s="2423"/>
    </row>
    <row r="19373" s="101" customFormat="1" spans="6:6">
      <c r="F19373" s="2423"/>
    </row>
    <row r="19374" s="101" customFormat="1" spans="6:6">
      <c r="F19374" s="2423"/>
    </row>
    <row r="19375" s="101" customFormat="1" spans="6:6">
      <c r="F19375" s="2423"/>
    </row>
    <row r="19376" s="101" customFormat="1" spans="6:6">
      <c r="F19376" s="2423"/>
    </row>
    <row r="19377" s="101" customFormat="1" spans="6:6">
      <c r="F19377" s="2423"/>
    </row>
    <row r="19378" s="101" customFormat="1" spans="6:6">
      <c r="F19378" s="2423"/>
    </row>
    <row r="19379" s="101" customFormat="1" spans="6:6">
      <c r="F19379" s="2423"/>
    </row>
    <row r="19380" s="101" customFormat="1" spans="6:6">
      <c r="F19380" s="2423"/>
    </row>
    <row r="19381" s="101" customFormat="1" spans="6:6">
      <c r="F19381" s="2423"/>
    </row>
    <row r="19382" s="101" customFormat="1" spans="6:6">
      <c r="F19382" s="2423"/>
    </row>
    <row r="19383" s="101" customFormat="1" spans="6:6">
      <c r="F19383" s="2423"/>
    </row>
    <row r="19384" s="101" customFormat="1" spans="6:6">
      <c r="F19384" s="2423"/>
    </row>
    <row r="19385" s="101" customFormat="1" spans="6:6">
      <c r="F19385" s="2423"/>
    </row>
    <row r="19386" s="101" customFormat="1" spans="6:6">
      <c r="F19386" s="2423"/>
    </row>
    <row r="19387" s="101" customFormat="1" spans="6:6">
      <c r="F19387" s="2423"/>
    </row>
    <row r="19388" s="101" customFormat="1" spans="6:6">
      <c r="F19388" s="2423"/>
    </row>
    <row r="19389" s="101" customFormat="1" spans="6:6">
      <c r="F19389" s="2423"/>
    </row>
    <row r="19390" s="101" customFormat="1" spans="6:6">
      <c r="F19390" s="2423"/>
    </row>
    <row r="19391" s="101" customFormat="1" spans="6:6">
      <c r="F19391" s="2423"/>
    </row>
    <row r="19392" s="101" customFormat="1" spans="6:6">
      <c r="F19392" s="2423"/>
    </row>
    <row r="19393" s="101" customFormat="1" spans="6:6">
      <c r="F19393" s="2423"/>
    </row>
    <row r="19394" s="101" customFormat="1" spans="6:6">
      <c r="F19394" s="2423"/>
    </row>
    <row r="19395" s="101" customFormat="1" spans="6:6">
      <c r="F19395" s="2423"/>
    </row>
    <row r="19396" s="101" customFormat="1" spans="6:6">
      <c r="F19396" s="2423"/>
    </row>
    <row r="19397" s="101" customFormat="1" spans="6:6">
      <c r="F19397" s="2423"/>
    </row>
    <row r="19398" s="101" customFormat="1" spans="6:6">
      <c r="F19398" s="2423"/>
    </row>
    <row r="19399" s="101" customFormat="1" spans="6:6">
      <c r="F19399" s="2423"/>
    </row>
    <row r="19400" s="101" customFormat="1" spans="6:6">
      <c r="F19400" s="2423"/>
    </row>
    <row r="19401" s="101" customFormat="1" spans="6:6">
      <c r="F19401" s="2423"/>
    </row>
    <row r="19402" s="101" customFormat="1" spans="6:6">
      <c r="F19402" s="2423"/>
    </row>
    <row r="19403" s="101" customFormat="1" spans="6:6">
      <c r="F19403" s="2423"/>
    </row>
    <row r="19404" s="101" customFormat="1" spans="6:6">
      <c r="F19404" s="2423"/>
    </row>
    <row r="19405" s="101" customFormat="1" spans="6:6">
      <c r="F19405" s="2423"/>
    </row>
    <row r="19406" s="101" customFormat="1" spans="6:6">
      <c r="F19406" s="2423"/>
    </row>
    <row r="19407" s="101" customFormat="1" spans="6:6">
      <c r="F19407" s="2423"/>
    </row>
    <row r="19408" s="101" customFormat="1" spans="6:6">
      <c r="F19408" s="2423"/>
    </row>
    <row r="19409" s="101" customFormat="1" spans="6:6">
      <c r="F19409" s="2423"/>
    </row>
    <row r="19410" s="101" customFormat="1" spans="6:6">
      <c r="F19410" s="2423"/>
    </row>
    <row r="19411" s="101" customFormat="1" spans="6:6">
      <c r="F19411" s="2423"/>
    </row>
    <row r="19412" s="101" customFormat="1" spans="6:6">
      <c r="F19412" s="2423"/>
    </row>
    <row r="19413" s="101" customFormat="1" spans="6:6">
      <c r="F19413" s="2423"/>
    </row>
    <row r="19414" s="101" customFormat="1" spans="6:6">
      <c r="F19414" s="2423"/>
    </row>
    <row r="19415" s="101" customFormat="1" spans="6:6">
      <c r="F19415" s="2423"/>
    </row>
    <row r="19416" s="101" customFormat="1" spans="6:6">
      <c r="F19416" s="2423"/>
    </row>
    <row r="19417" s="101" customFormat="1" spans="6:6">
      <c r="F19417" s="2423"/>
    </row>
    <row r="19418" s="101" customFormat="1" spans="6:6">
      <c r="F19418" s="2423"/>
    </row>
    <row r="19419" s="101" customFormat="1" spans="6:6">
      <c r="F19419" s="2423"/>
    </row>
    <row r="19420" s="101" customFormat="1" spans="6:6">
      <c r="F19420" s="2423"/>
    </row>
    <row r="19421" s="101" customFormat="1" spans="6:6">
      <c r="F19421" s="2423"/>
    </row>
    <row r="19422" s="101" customFormat="1" spans="6:6">
      <c r="F19422" s="2423"/>
    </row>
    <row r="19423" s="101" customFormat="1" spans="6:6">
      <c r="F19423" s="2423"/>
    </row>
    <row r="19424" s="101" customFormat="1" spans="6:6">
      <c r="F19424" s="2423"/>
    </row>
    <row r="19425" s="101" customFormat="1" spans="6:6">
      <c r="F19425" s="2423"/>
    </row>
    <row r="19426" s="101" customFormat="1" spans="6:6">
      <c r="F19426" s="2423"/>
    </row>
    <row r="19427" s="101" customFormat="1" spans="6:6">
      <c r="F19427" s="2423"/>
    </row>
    <row r="19428" s="101" customFormat="1" spans="6:6">
      <c r="F19428" s="2423"/>
    </row>
    <row r="19429" s="101" customFormat="1" spans="6:6">
      <c r="F19429" s="2423"/>
    </row>
    <row r="19430" s="101" customFormat="1" spans="6:6">
      <c r="F19430" s="2423"/>
    </row>
    <row r="19431" s="101" customFormat="1" spans="6:6">
      <c r="F19431" s="2423"/>
    </row>
    <row r="19432" s="101" customFormat="1" spans="6:6">
      <c r="F19432" s="2423"/>
    </row>
    <row r="19433" s="101" customFormat="1" spans="6:6">
      <c r="F19433" s="2423"/>
    </row>
    <row r="19434" s="101" customFormat="1" spans="6:6">
      <c r="F19434" s="2423"/>
    </row>
    <row r="19435" s="101" customFormat="1" spans="6:6">
      <c r="F19435" s="2423"/>
    </row>
    <row r="19436" s="101" customFormat="1" spans="6:6">
      <c r="F19436" s="2423"/>
    </row>
    <row r="19437" s="101" customFormat="1" spans="6:6">
      <c r="F19437" s="2423"/>
    </row>
    <row r="19438" s="101" customFormat="1" spans="6:6">
      <c r="F19438" s="2423"/>
    </row>
    <row r="19439" s="101" customFormat="1" spans="6:6">
      <c r="F19439" s="2423"/>
    </row>
    <row r="19440" s="101" customFormat="1" spans="6:6">
      <c r="F19440" s="2423"/>
    </row>
    <row r="19441" s="101" customFormat="1" spans="6:6">
      <c r="F19441" s="2423"/>
    </row>
    <row r="19442" s="101" customFormat="1" spans="6:6">
      <c r="F19442" s="2423"/>
    </row>
    <row r="19443" s="101" customFormat="1" spans="6:6">
      <c r="F19443" s="2423"/>
    </row>
    <row r="19444" s="101" customFormat="1" spans="6:6">
      <c r="F19444" s="2423"/>
    </row>
    <row r="19445" s="101" customFormat="1" spans="6:6">
      <c r="F19445" s="2423"/>
    </row>
    <row r="19446" s="101" customFormat="1" spans="6:6">
      <c r="F19446" s="2423"/>
    </row>
    <row r="19447" s="101" customFormat="1" spans="6:6">
      <c r="F19447" s="2423"/>
    </row>
    <row r="19448" s="101" customFormat="1" spans="6:6">
      <c r="F19448" s="2423"/>
    </row>
    <row r="19449" s="101" customFormat="1" spans="6:6">
      <c r="F19449" s="2423"/>
    </row>
    <row r="19450" s="101" customFormat="1" spans="6:6">
      <c r="F19450" s="2423"/>
    </row>
    <row r="19451" s="101" customFormat="1" spans="6:6">
      <c r="F19451" s="2423"/>
    </row>
    <row r="19452" s="101" customFormat="1" spans="6:6">
      <c r="F19452" s="2423"/>
    </row>
    <row r="19453" s="101" customFormat="1" spans="6:6">
      <c r="F19453" s="2423"/>
    </row>
    <row r="19454" s="101" customFormat="1" spans="6:6">
      <c r="F19454" s="2423"/>
    </row>
    <row r="19455" s="101" customFormat="1" spans="6:6">
      <c r="F19455" s="2423"/>
    </row>
    <row r="19456" s="101" customFormat="1" spans="6:6">
      <c r="F19456" s="2423"/>
    </row>
    <row r="19457" s="101" customFormat="1" spans="6:6">
      <c r="F19457" s="2423"/>
    </row>
    <row r="19458" s="101" customFormat="1" spans="6:6">
      <c r="F19458" s="2423"/>
    </row>
    <row r="19459" s="101" customFormat="1" spans="6:6">
      <c r="F19459" s="2423"/>
    </row>
    <row r="19460" s="101" customFormat="1" spans="6:6">
      <c r="F19460" s="2423"/>
    </row>
    <row r="19461" s="101" customFormat="1" spans="6:6">
      <c r="F19461" s="2423"/>
    </row>
    <row r="19462" s="101" customFormat="1" spans="6:6">
      <c r="F19462" s="2423"/>
    </row>
    <row r="19463" s="101" customFormat="1" spans="6:6">
      <c r="F19463" s="2423"/>
    </row>
    <row r="19464" s="101" customFormat="1" spans="6:6">
      <c r="F19464" s="2423"/>
    </row>
    <row r="19465" s="101" customFormat="1" spans="6:6">
      <c r="F19465" s="2423"/>
    </row>
    <row r="19466" s="101" customFormat="1" spans="6:6">
      <c r="F19466" s="2423"/>
    </row>
    <row r="19467" s="101" customFormat="1" spans="6:6">
      <c r="F19467" s="2423"/>
    </row>
    <row r="19468" s="101" customFormat="1" spans="6:6">
      <c r="F19468" s="2423"/>
    </row>
    <row r="19469" s="101" customFormat="1" spans="6:6">
      <c r="F19469" s="2423"/>
    </row>
    <row r="19470" s="101" customFormat="1" spans="6:6">
      <c r="F19470" s="2423"/>
    </row>
    <row r="19471" s="101" customFormat="1" spans="6:6">
      <c r="F19471" s="2423"/>
    </row>
    <row r="19472" s="101" customFormat="1" spans="6:6">
      <c r="F19472" s="2423"/>
    </row>
    <row r="19473" s="101" customFormat="1" spans="6:6">
      <c r="F19473" s="2423"/>
    </row>
    <row r="19474" s="101" customFormat="1" spans="6:6">
      <c r="F19474" s="2423"/>
    </row>
    <row r="19475" s="101" customFormat="1" spans="6:6">
      <c r="F19475" s="2423"/>
    </row>
    <row r="19476" s="101" customFormat="1" spans="6:6">
      <c r="F19476" s="2423"/>
    </row>
    <row r="19477" s="101" customFormat="1" spans="6:6">
      <c r="F19477" s="2423"/>
    </row>
    <row r="19478" s="101" customFormat="1" spans="6:6">
      <c r="F19478" s="2423"/>
    </row>
    <row r="19479" s="101" customFormat="1" spans="6:6">
      <c r="F19479" s="2423"/>
    </row>
    <row r="19480" s="101" customFormat="1" spans="6:6">
      <c r="F19480" s="2423"/>
    </row>
    <row r="19481" s="101" customFormat="1" spans="6:6">
      <c r="F19481" s="2423"/>
    </row>
    <row r="19482" s="101" customFormat="1" spans="6:6">
      <c r="F19482" s="2423"/>
    </row>
    <row r="19483" s="101" customFormat="1" spans="6:6">
      <c r="F19483" s="2423"/>
    </row>
    <row r="19484" s="101" customFormat="1" spans="6:6">
      <c r="F19484" s="2423"/>
    </row>
    <row r="19485" s="101" customFormat="1" spans="6:6">
      <c r="F19485" s="2423"/>
    </row>
    <row r="19486" s="101" customFormat="1" spans="6:6">
      <c r="F19486" s="2423"/>
    </row>
    <row r="19487" s="101" customFormat="1" spans="6:6">
      <c r="F19487" s="2423"/>
    </row>
    <row r="19488" s="101" customFormat="1" spans="6:6">
      <c r="F19488" s="2423"/>
    </row>
    <row r="19489" s="101" customFormat="1" spans="6:6">
      <c r="F19489" s="2423"/>
    </row>
    <row r="19490" s="101" customFormat="1" spans="6:6">
      <c r="F19490" s="2423"/>
    </row>
    <row r="19491" s="101" customFormat="1" spans="6:6">
      <c r="F19491" s="2423"/>
    </row>
    <row r="19492" s="101" customFormat="1" spans="6:6">
      <c r="F19492" s="2423"/>
    </row>
    <row r="19493" s="101" customFormat="1" spans="6:6">
      <c r="F19493" s="2423"/>
    </row>
    <row r="19494" s="101" customFormat="1" spans="6:6">
      <c r="F19494" s="2423"/>
    </row>
    <row r="19495" s="101" customFormat="1" spans="6:6">
      <c r="F19495" s="2423"/>
    </row>
    <row r="19496" s="101" customFormat="1" spans="6:6">
      <c r="F19496" s="2423"/>
    </row>
    <row r="19497" s="101" customFormat="1" spans="6:6">
      <c r="F19497" s="2423"/>
    </row>
    <row r="19498" s="101" customFormat="1" spans="6:6">
      <c r="F19498" s="2423"/>
    </row>
    <row r="19499" s="101" customFormat="1" spans="6:6">
      <c r="F19499" s="2423"/>
    </row>
    <row r="19500" s="101" customFormat="1" spans="6:6">
      <c r="F19500" s="2423"/>
    </row>
    <row r="19501" s="101" customFormat="1" spans="6:6">
      <c r="F19501" s="2423"/>
    </row>
    <row r="19502" s="101" customFormat="1" spans="6:6">
      <c r="F19502" s="2423"/>
    </row>
    <row r="19503" s="101" customFormat="1" spans="6:6">
      <c r="F19503" s="2423"/>
    </row>
    <row r="19504" s="101" customFormat="1" spans="6:6">
      <c r="F19504" s="2423"/>
    </row>
    <row r="19505" s="101" customFormat="1" spans="6:6">
      <c r="F19505" s="2423"/>
    </row>
    <row r="19506" s="101" customFormat="1" spans="6:6">
      <c r="F19506" s="2423"/>
    </row>
    <row r="19507" s="101" customFormat="1" spans="6:6">
      <c r="F19507" s="2423"/>
    </row>
    <row r="19508" s="101" customFormat="1" spans="6:6">
      <c r="F19508" s="2423"/>
    </row>
    <row r="19509" s="101" customFormat="1" spans="6:6">
      <c r="F19509" s="2423"/>
    </row>
    <row r="19510" s="101" customFormat="1" spans="6:6">
      <c r="F19510" s="2423"/>
    </row>
    <row r="19511" s="101" customFormat="1" spans="6:6">
      <c r="F19511" s="2423"/>
    </row>
    <row r="19512" s="101" customFormat="1" spans="6:6">
      <c r="F19512" s="2423"/>
    </row>
    <row r="19513" s="101" customFormat="1" spans="6:6">
      <c r="F19513" s="2423"/>
    </row>
    <row r="19514" s="101" customFormat="1" spans="6:6">
      <c r="F19514" s="2423"/>
    </row>
    <row r="19515" s="101" customFormat="1" spans="6:6">
      <c r="F19515" s="2423"/>
    </row>
    <row r="19516" s="101" customFormat="1" spans="6:6">
      <c r="F19516" s="2423"/>
    </row>
    <row r="19517" s="101" customFormat="1" spans="6:6">
      <c r="F19517" s="2423"/>
    </row>
    <row r="19518" s="101" customFormat="1" spans="6:6">
      <c r="F19518" s="2423"/>
    </row>
    <row r="19519" s="101" customFormat="1" spans="6:6">
      <c r="F19519" s="2423"/>
    </row>
    <row r="19520" s="101" customFormat="1" spans="6:6">
      <c r="F19520" s="2423"/>
    </row>
    <row r="19521" s="101" customFormat="1" spans="6:6">
      <c r="F19521" s="2423"/>
    </row>
    <row r="19522" s="101" customFormat="1" spans="6:6">
      <c r="F19522" s="2423"/>
    </row>
    <row r="19523" s="101" customFormat="1" spans="6:6">
      <c r="F19523" s="2423"/>
    </row>
    <row r="19524" s="101" customFormat="1" spans="6:6">
      <c r="F19524" s="2423"/>
    </row>
    <row r="19525" s="101" customFormat="1" spans="6:6">
      <c r="F19525" s="2423"/>
    </row>
    <row r="19526" s="101" customFormat="1" spans="6:6">
      <c r="F19526" s="2423"/>
    </row>
    <row r="19527" s="101" customFormat="1" spans="6:6">
      <c r="F19527" s="2423"/>
    </row>
    <row r="19528" s="101" customFormat="1" spans="6:6">
      <c r="F19528" s="2423"/>
    </row>
    <row r="19529" s="101" customFormat="1" spans="6:6">
      <c r="F19529" s="2423"/>
    </row>
    <row r="19530" s="101" customFormat="1" spans="6:6">
      <c r="F19530" s="2423"/>
    </row>
    <row r="19531" s="101" customFormat="1" spans="6:6">
      <c r="F19531" s="2423"/>
    </row>
    <row r="19532" s="101" customFormat="1" spans="6:6">
      <c r="F19532" s="2423"/>
    </row>
    <row r="19533" s="101" customFormat="1" spans="6:6">
      <c r="F19533" s="2423"/>
    </row>
    <row r="19534" s="101" customFormat="1" spans="6:6">
      <c r="F19534" s="2423"/>
    </row>
    <row r="19535" s="101" customFormat="1" spans="6:6">
      <c r="F19535" s="2423"/>
    </row>
    <row r="19536" s="101" customFormat="1" spans="6:6">
      <c r="F19536" s="2423"/>
    </row>
    <row r="19537" s="101" customFormat="1" spans="6:6">
      <c r="F19537" s="2423"/>
    </row>
    <row r="19538" s="101" customFormat="1" spans="6:6">
      <c r="F19538" s="2423"/>
    </row>
    <row r="19539" s="101" customFormat="1" spans="6:6">
      <c r="F19539" s="2423"/>
    </row>
    <row r="19540" s="101" customFormat="1" spans="6:6">
      <c r="F19540" s="2423"/>
    </row>
    <row r="19541" s="101" customFormat="1" spans="6:6">
      <c r="F19541" s="2423"/>
    </row>
    <row r="19542" s="101" customFormat="1" spans="6:6">
      <c r="F19542" s="2423"/>
    </row>
    <row r="19543" s="101" customFormat="1" spans="6:6">
      <c r="F19543" s="2423"/>
    </row>
    <row r="19544" s="101" customFormat="1" spans="6:6">
      <c r="F19544" s="2423"/>
    </row>
    <row r="19545" s="101" customFormat="1" spans="6:6">
      <c r="F19545" s="2423"/>
    </row>
    <row r="19546" s="101" customFormat="1" spans="6:6">
      <c r="F19546" s="2423"/>
    </row>
    <row r="19547" s="101" customFormat="1" spans="6:6">
      <c r="F19547" s="2423"/>
    </row>
    <row r="19548" s="101" customFormat="1" spans="6:6">
      <c r="F19548" s="2423"/>
    </row>
    <row r="19549" s="101" customFormat="1" spans="6:6">
      <c r="F19549" s="2423"/>
    </row>
    <row r="19550" s="101" customFormat="1" spans="6:6">
      <c r="F19550" s="2423"/>
    </row>
    <row r="19551" s="101" customFormat="1" spans="6:6">
      <c r="F19551" s="2423"/>
    </row>
    <row r="19552" s="101" customFormat="1" spans="6:6">
      <c r="F19552" s="2423"/>
    </row>
    <row r="19553" s="101" customFormat="1" spans="6:6">
      <c r="F19553" s="2423"/>
    </row>
    <row r="19554" s="101" customFormat="1" spans="6:6">
      <c r="F19554" s="2423"/>
    </row>
    <row r="19555" s="101" customFormat="1" spans="6:6">
      <c r="F19555" s="2423"/>
    </row>
    <row r="19556" s="101" customFormat="1" spans="6:6">
      <c r="F19556" s="2423"/>
    </row>
    <row r="19557" s="101" customFormat="1" spans="6:6">
      <c r="F19557" s="2423"/>
    </row>
    <row r="19558" s="101" customFormat="1" spans="6:6">
      <c r="F19558" s="2423"/>
    </row>
    <row r="19559" s="101" customFormat="1" spans="6:6">
      <c r="F19559" s="2423"/>
    </row>
    <row r="19560" s="101" customFormat="1" spans="6:6">
      <c r="F19560" s="2423"/>
    </row>
    <row r="19561" s="101" customFormat="1" spans="6:6">
      <c r="F19561" s="2423"/>
    </row>
    <row r="19562" s="101" customFormat="1" spans="6:6">
      <c r="F19562" s="2423"/>
    </row>
    <row r="19563" s="101" customFormat="1" spans="6:6">
      <c r="F19563" s="2423"/>
    </row>
    <row r="19564" s="101" customFormat="1" spans="6:6">
      <c r="F19564" s="2423"/>
    </row>
    <row r="19565" s="101" customFormat="1" spans="6:6">
      <c r="F19565" s="2423"/>
    </row>
    <row r="19566" s="101" customFormat="1" spans="6:6">
      <c r="F19566" s="2423"/>
    </row>
    <row r="19567" s="101" customFormat="1" spans="6:6">
      <c r="F19567" s="2423"/>
    </row>
    <row r="19568" s="101" customFormat="1" spans="6:6">
      <c r="F19568" s="2423"/>
    </row>
    <row r="19569" s="101" customFormat="1" spans="6:6">
      <c r="F19569" s="2423"/>
    </row>
    <row r="19570" s="101" customFormat="1" spans="6:6">
      <c r="F19570" s="2423"/>
    </row>
    <row r="19571" s="101" customFormat="1" spans="6:6">
      <c r="F19571" s="2423"/>
    </row>
    <row r="19572" s="101" customFormat="1" spans="6:6">
      <c r="F19572" s="2423"/>
    </row>
    <row r="19573" s="101" customFormat="1" spans="6:6">
      <c r="F19573" s="2423"/>
    </row>
    <row r="19574" s="101" customFormat="1" spans="6:6">
      <c r="F19574" s="2423"/>
    </row>
    <row r="19575" s="101" customFormat="1" spans="6:6">
      <c r="F19575" s="2423"/>
    </row>
    <row r="19576" s="101" customFormat="1" spans="6:6">
      <c r="F19576" s="2423"/>
    </row>
    <row r="19577" s="101" customFormat="1" spans="6:6">
      <c r="F19577" s="2423"/>
    </row>
    <row r="19578" s="101" customFormat="1" spans="6:6">
      <c r="F19578" s="2423"/>
    </row>
    <row r="19579" s="101" customFormat="1" spans="6:6">
      <c r="F19579" s="2423"/>
    </row>
    <row r="19580" s="101" customFormat="1" spans="6:6">
      <c r="F19580" s="2423"/>
    </row>
    <row r="19581" s="101" customFormat="1" spans="6:6">
      <c r="F19581" s="2423"/>
    </row>
    <row r="19582" s="101" customFormat="1" spans="6:6">
      <c r="F19582" s="2423"/>
    </row>
    <row r="19583" s="101" customFormat="1" spans="6:6">
      <c r="F19583" s="2423"/>
    </row>
    <row r="19584" s="101" customFormat="1" spans="6:6">
      <c r="F19584" s="2423"/>
    </row>
    <row r="19585" s="101" customFormat="1" spans="6:6">
      <c r="F19585" s="2423"/>
    </row>
    <row r="19586" s="101" customFormat="1" spans="6:6">
      <c r="F19586" s="2423"/>
    </row>
    <row r="19587" s="101" customFormat="1" spans="6:6">
      <c r="F19587" s="2423"/>
    </row>
    <row r="19588" s="101" customFormat="1" spans="6:6">
      <c r="F19588" s="2423"/>
    </row>
    <row r="19589" s="101" customFormat="1" spans="6:6">
      <c r="F19589" s="2423"/>
    </row>
    <row r="19590" s="101" customFormat="1" spans="6:6">
      <c r="F19590" s="2423"/>
    </row>
    <row r="19591" s="101" customFormat="1" spans="6:6">
      <c r="F19591" s="2423"/>
    </row>
    <row r="19592" s="101" customFormat="1" spans="6:6">
      <c r="F19592" s="2423"/>
    </row>
    <row r="19593" s="101" customFormat="1" spans="6:6">
      <c r="F19593" s="2423"/>
    </row>
    <row r="19594" s="101" customFormat="1" spans="6:6">
      <c r="F19594" s="2423"/>
    </row>
    <row r="19595" s="101" customFormat="1" spans="6:6">
      <c r="F19595" s="2423"/>
    </row>
    <row r="19596" s="101" customFormat="1" spans="6:6">
      <c r="F19596" s="2423"/>
    </row>
    <row r="19597" s="101" customFormat="1" spans="6:6">
      <c r="F19597" s="2423"/>
    </row>
    <row r="19598" s="101" customFormat="1" spans="6:6">
      <c r="F19598" s="2423"/>
    </row>
    <row r="19599" s="101" customFormat="1" spans="6:6">
      <c r="F19599" s="2423"/>
    </row>
    <row r="19600" s="101" customFormat="1" spans="6:6">
      <c r="F19600" s="2423"/>
    </row>
    <row r="19601" s="101" customFormat="1" spans="6:6">
      <c r="F19601" s="2423"/>
    </row>
    <row r="19602" s="101" customFormat="1" spans="6:6">
      <c r="F19602" s="2423"/>
    </row>
    <row r="19603" s="101" customFormat="1" spans="6:6">
      <c r="F19603" s="2423"/>
    </row>
    <row r="19604" s="101" customFormat="1" spans="6:6">
      <c r="F19604" s="2423"/>
    </row>
    <row r="19605" s="101" customFormat="1" spans="6:6">
      <c r="F19605" s="2423"/>
    </row>
    <row r="19606" s="101" customFormat="1" spans="6:6">
      <c r="F19606" s="2423"/>
    </row>
    <row r="19607" s="101" customFormat="1" spans="6:6">
      <c r="F19607" s="2423"/>
    </row>
    <row r="19608" s="101" customFormat="1" spans="6:6">
      <c r="F19608" s="2423"/>
    </row>
    <row r="19609" s="101" customFormat="1" spans="6:6">
      <c r="F19609" s="2423"/>
    </row>
    <row r="19610" s="101" customFormat="1" spans="6:6">
      <c r="F19610" s="2423"/>
    </row>
    <row r="19611" s="101" customFormat="1" spans="6:6">
      <c r="F19611" s="2423"/>
    </row>
    <row r="19612" s="101" customFormat="1" spans="6:6">
      <c r="F19612" s="2423"/>
    </row>
    <row r="19613" s="101" customFormat="1" spans="6:6">
      <c r="F19613" s="2423"/>
    </row>
    <row r="19614" s="101" customFormat="1" spans="6:6">
      <c r="F19614" s="2423"/>
    </row>
    <row r="19615" s="101" customFormat="1" spans="6:6">
      <c r="F19615" s="2423"/>
    </row>
    <row r="19616" s="101" customFormat="1" spans="6:6">
      <c r="F19616" s="2423"/>
    </row>
    <row r="19617" s="101" customFormat="1" spans="6:6">
      <c r="F19617" s="2423"/>
    </row>
    <row r="19618" s="101" customFormat="1" spans="6:6">
      <c r="F19618" s="2423"/>
    </row>
    <row r="19619" s="101" customFormat="1" spans="6:6">
      <c r="F19619" s="2423"/>
    </row>
    <row r="19620" s="101" customFormat="1" spans="6:6">
      <c r="F19620" s="2423"/>
    </row>
    <row r="19621" s="101" customFormat="1" spans="6:6">
      <c r="F19621" s="2423"/>
    </row>
    <row r="19622" s="101" customFormat="1" spans="6:6">
      <c r="F19622" s="2423"/>
    </row>
    <row r="19623" s="101" customFormat="1" spans="6:6">
      <c r="F19623" s="2423"/>
    </row>
    <row r="19624" s="101" customFormat="1" spans="6:6">
      <c r="F19624" s="2423"/>
    </row>
    <row r="19625" s="101" customFormat="1" spans="6:6">
      <c r="F19625" s="2423"/>
    </row>
    <row r="19626" s="101" customFormat="1" spans="6:6">
      <c r="F19626" s="2423"/>
    </row>
    <row r="19627" s="101" customFormat="1" spans="6:6">
      <c r="F19627" s="2423"/>
    </row>
    <row r="19628" s="101" customFormat="1" spans="6:6">
      <c r="F19628" s="2423"/>
    </row>
    <row r="19629" s="101" customFormat="1" spans="6:6">
      <c r="F19629" s="2423"/>
    </row>
    <row r="19630" s="101" customFormat="1" spans="6:6">
      <c r="F19630" s="2423"/>
    </row>
    <row r="19631" s="101" customFormat="1" spans="6:6">
      <c r="F19631" s="2423"/>
    </row>
    <row r="19632" s="101" customFormat="1" spans="6:6">
      <c r="F19632" s="2423"/>
    </row>
    <row r="19633" s="101" customFormat="1" spans="6:6">
      <c r="F19633" s="2423"/>
    </row>
    <row r="19634" s="101" customFormat="1" spans="6:6">
      <c r="F19634" s="2423"/>
    </row>
    <row r="19635" s="101" customFormat="1" spans="6:6">
      <c r="F19635" s="2423"/>
    </row>
    <row r="19636" s="101" customFormat="1" spans="6:6">
      <c r="F19636" s="2423"/>
    </row>
    <row r="19637" s="101" customFormat="1" spans="6:6">
      <c r="F19637" s="2423"/>
    </row>
    <row r="19638" s="101" customFormat="1" spans="6:6">
      <c r="F19638" s="2423"/>
    </row>
    <row r="19639" s="101" customFormat="1" spans="6:6">
      <c r="F19639" s="2423"/>
    </row>
    <row r="19640" s="101" customFormat="1" spans="6:6">
      <c r="F19640" s="2423"/>
    </row>
    <row r="19641" s="101" customFormat="1" spans="6:6">
      <c r="F19641" s="2423"/>
    </row>
    <row r="19642" s="101" customFormat="1" spans="6:6">
      <c r="F19642" s="2423"/>
    </row>
    <row r="19643" s="101" customFormat="1" spans="6:6">
      <c r="F19643" s="2423"/>
    </row>
    <row r="19644" s="101" customFormat="1" spans="6:6">
      <c r="F19644" s="2423"/>
    </row>
    <row r="19645" s="101" customFormat="1" spans="6:6">
      <c r="F19645" s="2423"/>
    </row>
    <row r="19646" s="101" customFormat="1" spans="6:6">
      <c r="F19646" s="2423"/>
    </row>
    <row r="19647" s="101" customFormat="1" spans="6:6">
      <c r="F19647" s="2423"/>
    </row>
    <row r="19648" s="101" customFormat="1" spans="6:6">
      <c r="F19648" s="2423"/>
    </row>
    <row r="19649" s="101" customFormat="1" spans="6:6">
      <c r="F19649" s="2423"/>
    </row>
    <row r="19650" s="101" customFormat="1" spans="6:6">
      <c r="F19650" s="2423"/>
    </row>
    <row r="19651" s="101" customFormat="1" spans="6:6">
      <c r="F19651" s="2423"/>
    </row>
    <row r="19652" s="101" customFormat="1" spans="6:6">
      <c r="F19652" s="2423"/>
    </row>
    <row r="19653" s="101" customFormat="1" spans="6:6">
      <c r="F19653" s="2423"/>
    </row>
    <row r="19654" s="101" customFormat="1" spans="6:6">
      <c r="F19654" s="2423"/>
    </row>
    <row r="19655" s="101" customFormat="1" spans="6:6">
      <c r="F19655" s="2423"/>
    </row>
    <row r="19656" s="101" customFormat="1" spans="6:6">
      <c r="F19656" s="2423"/>
    </row>
    <row r="19657" s="101" customFormat="1" spans="6:6">
      <c r="F19657" s="2423"/>
    </row>
    <row r="19658" s="101" customFormat="1" spans="6:6">
      <c r="F19658" s="2423"/>
    </row>
    <row r="19659" s="101" customFormat="1" spans="6:6">
      <c r="F19659" s="2423"/>
    </row>
    <row r="19660" s="101" customFormat="1" spans="6:6">
      <c r="F19660" s="2423"/>
    </row>
    <row r="19661" s="101" customFormat="1" spans="6:6">
      <c r="F19661" s="2423"/>
    </row>
    <row r="19662" s="101" customFormat="1" spans="6:6">
      <c r="F19662" s="2423"/>
    </row>
    <row r="19663" s="101" customFormat="1" spans="6:6">
      <c r="F19663" s="2423"/>
    </row>
    <row r="19664" s="101" customFormat="1" spans="6:6">
      <c r="F19664" s="2423"/>
    </row>
    <row r="19665" s="101" customFormat="1" spans="6:6">
      <c r="F19665" s="2423"/>
    </row>
    <row r="19666" s="101" customFormat="1" spans="6:6">
      <c r="F19666" s="2423"/>
    </row>
    <row r="19667" s="101" customFormat="1" spans="6:6">
      <c r="F19667" s="2423"/>
    </row>
    <row r="19668" s="101" customFormat="1" spans="6:6">
      <c r="F19668" s="2423"/>
    </row>
    <row r="19669" s="101" customFormat="1" spans="6:6">
      <c r="F19669" s="2423"/>
    </row>
    <row r="19670" s="101" customFormat="1" spans="6:6">
      <c r="F19670" s="2423"/>
    </row>
    <row r="19671" s="101" customFormat="1" spans="6:6">
      <c r="F19671" s="2423"/>
    </row>
    <row r="19672" s="101" customFormat="1" spans="6:6">
      <c r="F19672" s="2423"/>
    </row>
    <row r="19673" s="101" customFormat="1" spans="6:6">
      <c r="F19673" s="2423"/>
    </row>
    <row r="19674" s="101" customFormat="1" spans="6:6">
      <c r="F19674" s="2423"/>
    </row>
    <row r="19675" s="101" customFormat="1" spans="6:6">
      <c r="F19675" s="2423"/>
    </row>
    <row r="19676" s="101" customFormat="1" spans="6:6">
      <c r="F19676" s="2423"/>
    </row>
    <row r="19677" s="101" customFormat="1" spans="6:6">
      <c r="F19677" s="2423"/>
    </row>
    <row r="19678" s="101" customFormat="1" spans="6:6">
      <c r="F19678" s="2423"/>
    </row>
    <row r="19679" s="101" customFormat="1" spans="6:6">
      <c r="F19679" s="2423"/>
    </row>
    <row r="19680" s="101" customFormat="1" spans="6:6">
      <c r="F19680" s="2423"/>
    </row>
    <row r="19681" s="101" customFormat="1" spans="6:6">
      <c r="F19681" s="2423"/>
    </row>
    <row r="19682" s="101" customFormat="1" spans="6:6">
      <c r="F19682" s="2423"/>
    </row>
    <row r="19683" s="101" customFormat="1" spans="6:6">
      <c r="F19683" s="2423"/>
    </row>
    <row r="19684" s="101" customFormat="1" spans="6:6">
      <c r="F19684" s="2423"/>
    </row>
    <row r="19685" s="101" customFormat="1" spans="6:6">
      <c r="F19685" s="2423"/>
    </row>
    <row r="19686" s="101" customFormat="1" spans="6:6">
      <c r="F19686" s="2423"/>
    </row>
    <row r="19687" s="101" customFormat="1" spans="6:6">
      <c r="F19687" s="2423"/>
    </row>
    <row r="19688" s="101" customFormat="1" spans="6:6">
      <c r="F19688" s="2423"/>
    </row>
    <row r="19689" s="101" customFormat="1" spans="6:6">
      <c r="F19689" s="2423"/>
    </row>
    <row r="19690" s="101" customFormat="1" spans="6:6">
      <c r="F19690" s="2423"/>
    </row>
    <row r="19691" s="101" customFormat="1" spans="6:6">
      <c r="F19691" s="2423"/>
    </row>
    <row r="19692" s="101" customFormat="1" spans="6:6">
      <c r="F19692" s="2423"/>
    </row>
    <row r="19693" s="101" customFormat="1" spans="6:6">
      <c r="F19693" s="2423"/>
    </row>
    <row r="19694" s="101" customFormat="1" spans="6:6">
      <c r="F19694" s="2423"/>
    </row>
    <row r="19695" s="101" customFormat="1" spans="6:6">
      <c r="F19695" s="2423"/>
    </row>
    <row r="19696" s="101" customFormat="1" spans="6:6">
      <c r="F19696" s="2423"/>
    </row>
    <row r="19697" s="101" customFormat="1" spans="6:6">
      <c r="F19697" s="2423"/>
    </row>
    <row r="19698" s="101" customFormat="1" spans="6:6">
      <c r="F19698" s="2423"/>
    </row>
    <row r="19699" s="101" customFormat="1" spans="6:6">
      <c r="F19699" s="2423"/>
    </row>
    <row r="19700" s="101" customFormat="1" spans="6:6">
      <c r="F19700" s="2423"/>
    </row>
    <row r="19701" s="101" customFormat="1" spans="6:6">
      <c r="F19701" s="2423"/>
    </row>
    <row r="19702" s="101" customFormat="1" spans="6:6">
      <c r="F19702" s="2423"/>
    </row>
    <row r="19703" s="101" customFormat="1" spans="6:6">
      <c r="F19703" s="2423"/>
    </row>
    <row r="19704" s="101" customFormat="1" spans="6:6">
      <c r="F19704" s="2423"/>
    </row>
    <row r="19705" s="101" customFormat="1" spans="6:6">
      <c r="F19705" s="2423"/>
    </row>
    <row r="19706" s="101" customFormat="1" spans="6:6">
      <c r="F19706" s="2423"/>
    </row>
    <row r="19707" s="101" customFormat="1" spans="6:6">
      <c r="F19707" s="2423"/>
    </row>
    <row r="19708" s="101" customFormat="1" spans="6:6">
      <c r="F19708" s="2423"/>
    </row>
    <row r="19709" s="101" customFormat="1" spans="6:6">
      <c r="F19709" s="2423"/>
    </row>
    <row r="19710" s="101" customFormat="1" spans="6:6">
      <c r="F19710" s="2423"/>
    </row>
    <row r="19711" s="101" customFormat="1" spans="6:6">
      <c r="F19711" s="2423"/>
    </row>
    <row r="19712" s="101" customFormat="1" spans="6:6">
      <c r="F19712" s="2423"/>
    </row>
    <row r="19713" s="101" customFormat="1" spans="6:6">
      <c r="F19713" s="2423"/>
    </row>
    <row r="19714" s="101" customFormat="1" spans="6:6">
      <c r="F19714" s="2423"/>
    </row>
    <row r="19715" s="101" customFormat="1" spans="6:6">
      <c r="F19715" s="2423"/>
    </row>
    <row r="19716" s="101" customFormat="1" spans="6:6">
      <c r="F19716" s="2423"/>
    </row>
    <row r="19717" s="101" customFormat="1" spans="6:6">
      <c r="F19717" s="2423"/>
    </row>
    <row r="19718" s="101" customFormat="1" spans="6:6">
      <c r="F19718" s="2423"/>
    </row>
    <row r="19719" s="101" customFormat="1" spans="6:6">
      <c r="F19719" s="2423"/>
    </row>
    <row r="19720" s="101" customFormat="1" spans="6:6">
      <c r="F19720" s="2423"/>
    </row>
    <row r="19721" s="101" customFormat="1" spans="6:6">
      <c r="F19721" s="2423"/>
    </row>
    <row r="19722" s="101" customFormat="1" spans="6:6">
      <c r="F19722" s="2423"/>
    </row>
    <row r="19723" s="101" customFormat="1" spans="6:6">
      <c r="F19723" s="2423"/>
    </row>
    <row r="19724" s="101" customFormat="1" spans="6:6">
      <c r="F19724" s="2423"/>
    </row>
    <row r="19725" s="101" customFormat="1" spans="6:6">
      <c r="F19725" s="2423"/>
    </row>
    <row r="19726" s="101" customFormat="1" spans="6:6">
      <c r="F19726" s="2423"/>
    </row>
    <row r="19727" s="101" customFormat="1" spans="6:6">
      <c r="F19727" s="2423"/>
    </row>
    <row r="19728" s="101" customFormat="1" spans="6:6">
      <c r="F19728" s="2423"/>
    </row>
    <row r="19729" s="101" customFormat="1" spans="6:6">
      <c r="F19729" s="2423"/>
    </row>
    <row r="19730" s="101" customFormat="1" spans="6:6">
      <c r="F19730" s="2423"/>
    </row>
    <row r="19731" s="101" customFormat="1" spans="6:6">
      <c r="F19731" s="2423"/>
    </row>
    <row r="19732" s="101" customFormat="1" spans="6:6">
      <c r="F19732" s="2423"/>
    </row>
    <row r="19733" s="101" customFormat="1" spans="6:6">
      <c r="F19733" s="2423"/>
    </row>
    <row r="19734" s="101" customFormat="1" spans="6:6">
      <c r="F19734" s="2423"/>
    </row>
    <row r="19735" s="101" customFormat="1" spans="6:6">
      <c r="F19735" s="2423"/>
    </row>
    <row r="19736" s="101" customFormat="1" spans="6:6">
      <c r="F19736" s="2423"/>
    </row>
    <row r="19737" s="101" customFormat="1" spans="6:6">
      <c r="F19737" s="2423"/>
    </row>
    <row r="19738" s="101" customFormat="1" spans="6:6">
      <c r="F19738" s="2423"/>
    </row>
    <row r="19739" s="101" customFormat="1" spans="6:6">
      <c r="F19739" s="2423"/>
    </row>
    <row r="19740" s="101" customFormat="1" spans="6:6">
      <c r="F19740" s="2423"/>
    </row>
    <row r="19741" s="101" customFormat="1" spans="6:6">
      <c r="F19741" s="2423"/>
    </row>
    <row r="19742" s="101" customFormat="1" spans="6:6">
      <c r="F19742" s="2423"/>
    </row>
    <row r="19743" s="101" customFormat="1" spans="6:6">
      <c r="F19743" s="2423"/>
    </row>
    <row r="19744" s="101" customFormat="1" spans="6:6">
      <c r="F19744" s="2423"/>
    </row>
    <row r="19745" s="101" customFormat="1" spans="6:6">
      <c r="F19745" s="2423"/>
    </row>
    <row r="19746" s="101" customFormat="1" spans="6:6">
      <c r="F19746" s="2423"/>
    </row>
    <row r="19747" s="101" customFormat="1" spans="6:6">
      <c r="F19747" s="2423"/>
    </row>
    <row r="19748" s="101" customFormat="1" spans="6:6">
      <c r="F19748" s="2423"/>
    </row>
    <row r="19749" s="101" customFormat="1" spans="6:6">
      <c r="F19749" s="2423"/>
    </row>
    <row r="19750" s="101" customFormat="1" spans="6:6">
      <c r="F19750" s="2423"/>
    </row>
    <row r="19751" s="101" customFormat="1" spans="6:6">
      <c r="F19751" s="2423"/>
    </row>
    <row r="19752" s="101" customFormat="1" spans="6:6">
      <c r="F19752" s="2423"/>
    </row>
    <row r="19753" s="101" customFormat="1" spans="6:6">
      <c r="F19753" s="2423"/>
    </row>
    <row r="19754" s="101" customFormat="1" spans="6:6">
      <c r="F19754" s="2423"/>
    </row>
    <row r="19755" s="101" customFormat="1" spans="6:6">
      <c r="F19755" s="2423"/>
    </row>
    <row r="19756" s="101" customFormat="1" spans="6:6">
      <c r="F19756" s="2423"/>
    </row>
    <row r="19757" s="101" customFormat="1" spans="6:6">
      <c r="F19757" s="2423"/>
    </row>
    <row r="19758" s="101" customFormat="1" spans="6:6">
      <c r="F19758" s="2423"/>
    </row>
    <row r="19759" s="101" customFormat="1" spans="6:6">
      <c r="F19759" s="2423"/>
    </row>
    <row r="19760" s="101" customFormat="1" spans="6:6">
      <c r="F19760" s="2423"/>
    </row>
    <row r="19761" s="101" customFormat="1" spans="6:6">
      <c r="F19761" s="2423"/>
    </row>
    <row r="19762" s="101" customFormat="1" spans="6:6">
      <c r="F19762" s="2423"/>
    </row>
    <row r="19763" s="101" customFormat="1" spans="6:6">
      <c r="F19763" s="2423"/>
    </row>
    <row r="19764" s="101" customFormat="1" spans="6:6">
      <c r="F19764" s="2423"/>
    </row>
    <row r="19765" s="101" customFormat="1" spans="6:6">
      <c r="F19765" s="2423"/>
    </row>
    <row r="19766" s="101" customFormat="1" spans="6:6">
      <c r="F19766" s="2423"/>
    </row>
    <row r="19767" s="101" customFormat="1" spans="6:6">
      <c r="F19767" s="2423"/>
    </row>
    <row r="19768" s="101" customFormat="1" spans="6:6">
      <c r="F19768" s="2423"/>
    </row>
    <row r="19769" s="101" customFormat="1" spans="6:6">
      <c r="F19769" s="2423"/>
    </row>
    <row r="19770" s="101" customFormat="1" spans="6:6">
      <c r="F19770" s="2423"/>
    </row>
    <row r="19771" s="101" customFormat="1" spans="6:6">
      <c r="F19771" s="2423"/>
    </row>
    <row r="19772" s="101" customFormat="1" spans="6:6">
      <c r="F19772" s="2423"/>
    </row>
    <row r="19773" s="101" customFormat="1" spans="6:6">
      <c r="F19773" s="2423"/>
    </row>
    <row r="19774" s="101" customFormat="1" spans="6:6">
      <c r="F19774" s="2423"/>
    </row>
    <row r="19775" s="101" customFormat="1" spans="6:6">
      <c r="F19775" s="2423"/>
    </row>
    <row r="19776" s="101" customFormat="1" spans="6:6">
      <c r="F19776" s="2423"/>
    </row>
    <row r="19777" s="101" customFormat="1" spans="6:6">
      <c r="F19777" s="2423"/>
    </row>
    <row r="19778" s="101" customFormat="1" spans="6:6">
      <c r="F19778" s="2423"/>
    </row>
    <row r="19779" s="101" customFormat="1" spans="6:6">
      <c r="F19779" s="2423"/>
    </row>
    <row r="19780" s="101" customFormat="1" spans="6:6">
      <c r="F19780" s="2423"/>
    </row>
    <row r="19781" s="101" customFormat="1" spans="6:6">
      <c r="F19781" s="2423"/>
    </row>
    <row r="19782" s="101" customFormat="1" spans="6:6">
      <c r="F19782" s="2423"/>
    </row>
    <row r="19783" s="101" customFormat="1" spans="6:6">
      <c r="F19783" s="2423"/>
    </row>
    <row r="19784" s="101" customFormat="1" spans="6:6">
      <c r="F19784" s="2423"/>
    </row>
    <row r="19785" s="101" customFormat="1" spans="6:6">
      <c r="F19785" s="2423"/>
    </row>
    <row r="19786" s="101" customFormat="1" spans="6:6">
      <c r="F19786" s="2423"/>
    </row>
    <row r="19787" s="101" customFormat="1" spans="6:6">
      <c r="F19787" s="2423"/>
    </row>
    <row r="19788" s="101" customFormat="1" spans="6:6">
      <c r="F19788" s="2423"/>
    </row>
    <row r="19789" s="101" customFormat="1" spans="6:6">
      <c r="F19789" s="2423"/>
    </row>
    <row r="19790" s="101" customFormat="1" spans="6:6">
      <c r="F19790" s="2423"/>
    </row>
    <row r="19791" s="101" customFormat="1" spans="6:6">
      <c r="F19791" s="2423"/>
    </row>
    <row r="19792" s="101" customFormat="1" spans="6:6">
      <c r="F19792" s="2423"/>
    </row>
    <row r="19793" s="101" customFormat="1" spans="6:6">
      <c r="F19793" s="2423"/>
    </row>
    <row r="19794" s="101" customFormat="1" spans="6:6">
      <c r="F19794" s="2423"/>
    </row>
    <row r="19795" s="101" customFormat="1" spans="6:6">
      <c r="F19795" s="2423"/>
    </row>
    <row r="19796" s="101" customFormat="1" spans="6:6">
      <c r="F19796" s="2423"/>
    </row>
    <row r="19797" s="101" customFormat="1" spans="6:6">
      <c r="F19797" s="2423"/>
    </row>
    <row r="19798" s="101" customFormat="1" spans="6:6">
      <c r="F19798" s="2423"/>
    </row>
    <row r="19799" s="101" customFormat="1" spans="6:6">
      <c r="F19799" s="2423"/>
    </row>
    <row r="19800" s="101" customFormat="1" spans="6:6">
      <c r="F19800" s="2423"/>
    </row>
    <row r="19801" s="101" customFormat="1" spans="6:6">
      <c r="F19801" s="2423"/>
    </row>
    <row r="19802" s="101" customFormat="1" spans="6:6">
      <c r="F19802" s="2423"/>
    </row>
    <row r="19803" s="101" customFormat="1" spans="6:6">
      <c r="F19803" s="2423"/>
    </row>
    <row r="19804" s="101" customFormat="1" spans="6:6">
      <c r="F19804" s="2423"/>
    </row>
    <row r="19805" s="101" customFormat="1" spans="6:6">
      <c r="F19805" s="2423"/>
    </row>
    <row r="19806" s="101" customFormat="1" spans="6:6">
      <c r="F19806" s="2423"/>
    </row>
    <row r="19807" s="101" customFormat="1" spans="6:6">
      <c r="F19807" s="2423"/>
    </row>
    <row r="19808" s="101" customFormat="1" spans="6:6">
      <c r="F19808" s="2423"/>
    </row>
    <row r="19809" s="101" customFormat="1" spans="6:6">
      <c r="F19809" s="2423"/>
    </row>
    <row r="19810" s="101" customFormat="1" spans="6:6">
      <c r="F19810" s="2423"/>
    </row>
    <row r="19811" s="101" customFormat="1" spans="6:6">
      <c r="F19811" s="2423"/>
    </row>
    <row r="19812" s="101" customFormat="1" spans="6:6">
      <c r="F19812" s="2423"/>
    </row>
    <row r="19813" s="101" customFormat="1" spans="6:6">
      <c r="F19813" s="2423"/>
    </row>
    <row r="19814" s="101" customFormat="1" spans="6:6">
      <c r="F19814" s="2423"/>
    </row>
    <row r="19815" s="101" customFormat="1" spans="6:6">
      <c r="F19815" s="2423"/>
    </row>
    <row r="19816" s="101" customFormat="1" spans="6:6">
      <c r="F19816" s="2423"/>
    </row>
    <row r="19817" s="101" customFormat="1" spans="6:6">
      <c r="F19817" s="2423"/>
    </row>
    <row r="19818" s="101" customFormat="1" spans="6:6">
      <c r="F19818" s="2423"/>
    </row>
    <row r="19819" s="101" customFormat="1" spans="6:6">
      <c r="F19819" s="2423"/>
    </row>
    <row r="19820" s="101" customFormat="1" spans="6:6">
      <c r="F19820" s="2423"/>
    </row>
    <row r="19821" s="101" customFormat="1" spans="6:6">
      <c r="F19821" s="2423"/>
    </row>
    <row r="19822" s="101" customFormat="1" spans="6:6">
      <c r="F19822" s="2423"/>
    </row>
    <row r="19823" s="101" customFormat="1" spans="6:6">
      <c r="F19823" s="2423"/>
    </row>
    <row r="19824" s="101" customFormat="1" spans="6:6">
      <c r="F19824" s="2423"/>
    </row>
    <row r="19825" s="101" customFormat="1" spans="6:6">
      <c r="F19825" s="2423"/>
    </row>
    <row r="19826" s="101" customFormat="1" spans="6:6">
      <c r="F19826" s="2423"/>
    </row>
    <row r="19827" s="101" customFormat="1" spans="6:6">
      <c r="F19827" s="2423"/>
    </row>
    <row r="19828" s="101" customFormat="1" spans="6:6">
      <c r="F19828" s="2423"/>
    </row>
    <row r="19829" s="101" customFormat="1" spans="6:6">
      <c r="F19829" s="2423"/>
    </row>
    <row r="19830" s="101" customFormat="1" spans="6:6">
      <c r="F19830" s="2423"/>
    </row>
    <row r="19831" s="101" customFormat="1" spans="6:6">
      <c r="F19831" s="2423"/>
    </row>
    <row r="19832" s="101" customFormat="1" spans="6:6">
      <c r="F19832" s="2423"/>
    </row>
    <row r="19833" s="101" customFormat="1" spans="6:6">
      <c r="F19833" s="2423"/>
    </row>
    <row r="19834" s="101" customFormat="1" spans="6:6">
      <c r="F19834" s="2423"/>
    </row>
    <row r="19835" s="101" customFormat="1" spans="6:6">
      <c r="F19835" s="2423"/>
    </row>
    <row r="19836" s="101" customFormat="1" spans="6:6">
      <c r="F19836" s="2423"/>
    </row>
    <row r="19837" s="101" customFormat="1" spans="6:6">
      <c r="F19837" s="2423"/>
    </row>
    <row r="19838" s="101" customFormat="1" spans="6:6">
      <c r="F19838" s="2423"/>
    </row>
    <row r="19839" s="101" customFormat="1" spans="6:6">
      <c r="F19839" s="2423"/>
    </row>
    <row r="19840" s="101" customFormat="1" spans="6:6">
      <c r="F19840" s="2423"/>
    </row>
    <row r="19841" s="101" customFormat="1" spans="6:6">
      <c r="F19841" s="2423"/>
    </row>
    <row r="19842" s="101" customFormat="1" spans="6:6">
      <c r="F19842" s="2423"/>
    </row>
    <row r="19843" s="101" customFormat="1" spans="6:6">
      <c r="F19843" s="2423"/>
    </row>
    <row r="19844" s="101" customFormat="1" spans="6:6">
      <c r="F19844" s="2423"/>
    </row>
    <row r="19845" s="101" customFormat="1" spans="6:6">
      <c r="F19845" s="2423"/>
    </row>
    <row r="19846" s="101" customFormat="1" spans="6:6">
      <c r="F19846" s="2423"/>
    </row>
    <row r="19847" s="101" customFormat="1" spans="6:6">
      <c r="F19847" s="2423"/>
    </row>
    <row r="19848" s="101" customFormat="1" spans="6:6">
      <c r="F19848" s="2423"/>
    </row>
    <row r="19849" s="101" customFormat="1" spans="6:6">
      <c r="F19849" s="2423"/>
    </row>
    <row r="19850" s="101" customFormat="1" spans="6:6">
      <c r="F19850" s="2423"/>
    </row>
    <row r="19851" s="101" customFormat="1" spans="6:6">
      <c r="F19851" s="2423"/>
    </row>
    <row r="19852" s="101" customFormat="1" spans="6:6">
      <c r="F19852" s="2423"/>
    </row>
    <row r="19853" s="101" customFormat="1" spans="6:6">
      <c r="F19853" s="2423"/>
    </row>
    <row r="19854" s="101" customFormat="1" spans="6:6">
      <c r="F19854" s="2423"/>
    </row>
    <row r="19855" s="101" customFormat="1" spans="6:6">
      <c r="F19855" s="2423"/>
    </row>
    <row r="19856" s="101" customFormat="1" spans="6:6">
      <c r="F19856" s="2423"/>
    </row>
    <row r="19857" s="101" customFormat="1" spans="6:6">
      <c r="F19857" s="2423"/>
    </row>
    <row r="19858" s="101" customFormat="1" spans="6:6">
      <c r="F19858" s="2423"/>
    </row>
    <row r="19859" s="101" customFormat="1" spans="6:6">
      <c r="F19859" s="2423"/>
    </row>
    <row r="19860" s="101" customFormat="1" spans="6:6">
      <c r="F19860" s="2423"/>
    </row>
    <row r="19861" s="101" customFormat="1" spans="6:6">
      <c r="F19861" s="2423"/>
    </row>
    <row r="19862" s="101" customFormat="1" spans="6:6">
      <c r="F19862" s="2423"/>
    </row>
    <row r="19863" s="101" customFormat="1" spans="6:6">
      <c r="F19863" s="2423"/>
    </row>
    <row r="19864" s="101" customFormat="1" spans="6:6">
      <c r="F19864" s="2423"/>
    </row>
    <row r="19865" s="101" customFormat="1" spans="6:6">
      <c r="F19865" s="2423"/>
    </row>
    <row r="19866" s="101" customFormat="1" spans="6:6">
      <c r="F19866" s="2423"/>
    </row>
    <row r="19867" s="101" customFormat="1" spans="6:6">
      <c r="F19867" s="2423"/>
    </row>
    <row r="19868" s="101" customFormat="1" spans="6:6">
      <c r="F19868" s="2423"/>
    </row>
    <row r="19869" s="101" customFormat="1" spans="6:6">
      <c r="F19869" s="2423"/>
    </row>
    <row r="19870" s="101" customFormat="1" spans="6:6">
      <c r="F19870" s="2423"/>
    </row>
    <row r="19871" s="101" customFormat="1" spans="6:6">
      <c r="F19871" s="2423"/>
    </row>
    <row r="19872" s="101" customFormat="1" spans="6:6">
      <c r="F19872" s="2423"/>
    </row>
    <row r="19873" s="101" customFormat="1" spans="6:6">
      <c r="F19873" s="2423"/>
    </row>
    <row r="19874" s="101" customFormat="1" spans="6:6">
      <c r="F19874" s="2423"/>
    </row>
    <row r="19875" s="101" customFormat="1" spans="6:6">
      <c r="F19875" s="2423"/>
    </row>
    <row r="19876" s="101" customFormat="1" spans="6:6">
      <c r="F19876" s="2423"/>
    </row>
    <row r="19877" s="101" customFormat="1" spans="6:6">
      <c r="F19877" s="2423"/>
    </row>
    <row r="19878" s="101" customFormat="1" spans="6:6">
      <c r="F19878" s="2423"/>
    </row>
    <row r="19879" s="101" customFormat="1" spans="6:6">
      <c r="F19879" s="2423"/>
    </row>
    <row r="19880" s="101" customFormat="1" spans="6:6">
      <c r="F19880" s="2423"/>
    </row>
    <row r="19881" s="101" customFormat="1" spans="6:6">
      <c r="F19881" s="2423"/>
    </row>
    <row r="19882" s="101" customFormat="1" spans="6:6">
      <c r="F19882" s="2423"/>
    </row>
    <row r="19883" s="101" customFormat="1" spans="6:6">
      <c r="F19883" s="2423"/>
    </row>
    <row r="19884" s="101" customFormat="1" spans="6:6">
      <c r="F19884" s="2423"/>
    </row>
    <row r="19885" s="101" customFormat="1" spans="6:6">
      <c r="F19885" s="2423"/>
    </row>
    <row r="19886" s="101" customFormat="1" spans="6:6">
      <c r="F19886" s="2423"/>
    </row>
    <row r="19887" s="101" customFormat="1" spans="6:6">
      <c r="F19887" s="2423"/>
    </row>
    <row r="19888" s="101" customFormat="1" spans="6:6">
      <c r="F19888" s="2423"/>
    </row>
    <row r="19889" s="101" customFormat="1" spans="6:6">
      <c r="F19889" s="2423"/>
    </row>
    <row r="19890" s="101" customFormat="1" spans="6:6">
      <c r="F19890" s="2423"/>
    </row>
    <row r="19891" s="101" customFormat="1" spans="6:6">
      <c r="F19891" s="2423"/>
    </row>
    <row r="19892" s="101" customFormat="1" spans="6:6">
      <c r="F19892" s="2423"/>
    </row>
    <row r="19893" s="101" customFormat="1" spans="6:6">
      <c r="F19893" s="2423"/>
    </row>
    <row r="19894" s="101" customFormat="1" spans="6:6">
      <c r="F19894" s="2423"/>
    </row>
    <row r="19895" s="101" customFormat="1" spans="6:6">
      <c r="F19895" s="2423"/>
    </row>
    <row r="19896" s="101" customFormat="1" spans="6:6">
      <c r="F19896" s="2423"/>
    </row>
    <row r="19897" s="101" customFormat="1" spans="6:6">
      <c r="F19897" s="2423"/>
    </row>
    <row r="19898" s="101" customFormat="1" spans="6:6">
      <c r="F19898" s="2423"/>
    </row>
    <row r="19899" s="101" customFormat="1" spans="6:6">
      <c r="F19899" s="2423"/>
    </row>
    <row r="19900" s="101" customFormat="1" spans="6:6">
      <c r="F19900" s="2423"/>
    </row>
    <row r="19901" s="101" customFormat="1" spans="6:6">
      <c r="F19901" s="2423"/>
    </row>
    <row r="19902" s="101" customFormat="1" spans="6:6">
      <c r="F19902" s="2423"/>
    </row>
    <row r="19903" s="101" customFormat="1" spans="6:6">
      <c r="F19903" s="2423"/>
    </row>
    <row r="19904" s="101" customFormat="1" spans="6:6">
      <c r="F19904" s="2423"/>
    </row>
    <row r="19905" s="101" customFormat="1" spans="6:6">
      <c r="F19905" s="2423"/>
    </row>
    <row r="19906" s="101" customFormat="1" spans="6:6">
      <c r="F19906" s="2423"/>
    </row>
    <row r="19907" s="101" customFormat="1" spans="6:6">
      <c r="F19907" s="2423"/>
    </row>
    <row r="19908" s="101" customFormat="1" spans="6:6">
      <c r="F19908" s="2423"/>
    </row>
    <row r="19909" s="101" customFormat="1" spans="6:6">
      <c r="F19909" s="2423"/>
    </row>
    <row r="19910" s="101" customFormat="1" spans="6:6">
      <c r="F19910" s="2423"/>
    </row>
    <row r="19911" s="101" customFormat="1" spans="6:6">
      <c r="F19911" s="2423"/>
    </row>
    <row r="19912" s="101" customFormat="1" spans="6:6">
      <c r="F19912" s="2423"/>
    </row>
    <row r="19913" s="101" customFormat="1" spans="6:6">
      <c r="F19913" s="2423"/>
    </row>
    <row r="19914" s="101" customFormat="1" spans="6:6">
      <c r="F19914" s="2423"/>
    </row>
    <row r="19915" s="101" customFormat="1" spans="6:6">
      <c r="F19915" s="2423"/>
    </row>
    <row r="19916" s="101" customFormat="1" spans="6:6">
      <c r="F19916" s="2423"/>
    </row>
    <row r="19917" s="101" customFormat="1" spans="6:6">
      <c r="F19917" s="2423"/>
    </row>
    <row r="19918" s="101" customFormat="1" spans="6:6">
      <c r="F19918" s="2423"/>
    </row>
    <row r="19919" s="101" customFormat="1" spans="6:6">
      <c r="F19919" s="2423"/>
    </row>
    <row r="19920" s="101" customFormat="1" spans="6:6">
      <c r="F19920" s="2423"/>
    </row>
    <row r="19921" s="101" customFormat="1" spans="6:6">
      <c r="F19921" s="2423"/>
    </row>
    <row r="19922" s="101" customFormat="1" spans="6:6">
      <c r="F19922" s="2423"/>
    </row>
    <row r="19923" s="101" customFormat="1" spans="6:6">
      <c r="F19923" s="2423"/>
    </row>
    <row r="19924" s="101" customFormat="1" spans="6:6">
      <c r="F19924" s="2423"/>
    </row>
    <row r="19925" s="101" customFormat="1" spans="6:6">
      <c r="F19925" s="2423"/>
    </row>
    <row r="19926" s="101" customFormat="1" spans="6:6">
      <c r="F19926" s="2423"/>
    </row>
    <row r="19927" s="101" customFormat="1" spans="6:6">
      <c r="F19927" s="2423"/>
    </row>
    <row r="19928" s="101" customFormat="1" spans="6:6">
      <c r="F19928" s="2423"/>
    </row>
    <row r="19929" s="101" customFormat="1" spans="6:6">
      <c r="F19929" s="2423"/>
    </row>
    <row r="19930" s="101" customFormat="1" spans="6:6">
      <c r="F19930" s="2423"/>
    </row>
    <row r="19931" s="101" customFormat="1" spans="6:6">
      <c r="F19931" s="2423"/>
    </row>
    <row r="19932" s="101" customFormat="1" spans="6:6">
      <c r="F19932" s="2423"/>
    </row>
    <row r="19933" s="101" customFormat="1" spans="6:6">
      <c r="F19933" s="2423"/>
    </row>
    <row r="19934" s="101" customFormat="1" spans="6:6">
      <c r="F19934" s="2423"/>
    </row>
    <row r="19935" s="101" customFormat="1" spans="6:6">
      <c r="F19935" s="2423"/>
    </row>
    <row r="19936" s="101" customFormat="1" spans="6:6">
      <c r="F19936" s="2423"/>
    </row>
    <row r="19937" s="101" customFormat="1" spans="6:6">
      <c r="F19937" s="2423"/>
    </row>
    <row r="19938" s="101" customFormat="1" spans="6:6">
      <c r="F19938" s="2423"/>
    </row>
    <row r="19939" s="101" customFormat="1" spans="6:6">
      <c r="F19939" s="2423"/>
    </row>
    <row r="19940" s="101" customFormat="1" spans="6:6">
      <c r="F19940" s="2423"/>
    </row>
    <row r="19941" s="101" customFormat="1" spans="6:6">
      <c r="F19941" s="2423"/>
    </row>
    <row r="19942" s="101" customFormat="1" spans="6:6">
      <c r="F19942" s="2423"/>
    </row>
    <row r="19943" s="101" customFormat="1" spans="6:6">
      <c r="F19943" s="2423"/>
    </row>
    <row r="19944" s="101" customFormat="1" spans="6:6">
      <c r="F19944" s="2423"/>
    </row>
    <row r="19945" s="101" customFormat="1" spans="6:6">
      <c r="F19945" s="2423"/>
    </row>
    <row r="19946" s="101" customFormat="1" spans="6:6">
      <c r="F19946" s="2423"/>
    </row>
    <row r="19947" s="101" customFormat="1" spans="6:6">
      <c r="F19947" s="2423"/>
    </row>
    <row r="19948" s="101" customFormat="1" spans="6:6">
      <c r="F19948" s="2423"/>
    </row>
    <row r="19949" s="101" customFormat="1" spans="6:6">
      <c r="F19949" s="2423"/>
    </row>
    <row r="19950" s="101" customFormat="1" spans="6:6">
      <c r="F19950" s="2423"/>
    </row>
    <row r="19951" s="101" customFormat="1" spans="6:6">
      <c r="F19951" s="2423"/>
    </row>
    <row r="19952" s="101" customFormat="1" spans="6:6">
      <c r="F19952" s="2423"/>
    </row>
    <row r="19953" s="101" customFormat="1" spans="6:6">
      <c r="F19953" s="2423"/>
    </row>
    <row r="19954" s="101" customFormat="1" spans="6:6">
      <c r="F19954" s="2423"/>
    </row>
    <row r="19955" s="101" customFormat="1" spans="6:6">
      <c r="F19955" s="2423"/>
    </row>
    <row r="19956" s="101" customFormat="1" spans="6:6">
      <c r="F19956" s="2423"/>
    </row>
    <row r="19957" s="101" customFormat="1" spans="6:6">
      <c r="F19957" s="2423"/>
    </row>
    <row r="19958" s="101" customFormat="1" spans="6:6">
      <c r="F19958" s="2423"/>
    </row>
    <row r="19959" s="101" customFormat="1" spans="6:6">
      <c r="F19959" s="2423"/>
    </row>
    <row r="19960" s="101" customFormat="1" spans="6:6">
      <c r="F19960" s="2423"/>
    </row>
    <row r="19961" s="101" customFormat="1" spans="6:6">
      <c r="F19961" s="2423"/>
    </row>
    <row r="19962" s="101" customFormat="1" spans="6:6">
      <c r="F19962" s="2423"/>
    </row>
    <row r="19963" s="101" customFormat="1" spans="6:6">
      <c r="F19963" s="2423"/>
    </row>
    <row r="19964" s="101" customFormat="1" spans="6:6">
      <c r="F19964" s="2423"/>
    </row>
    <row r="19965" s="101" customFormat="1" spans="6:6">
      <c r="F19965" s="2423"/>
    </row>
    <row r="19966" s="101" customFormat="1" spans="6:6">
      <c r="F19966" s="2423"/>
    </row>
    <row r="19967" s="101" customFormat="1" spans="6:6">
      <c r="F19967" s="2423"/>
    </row>
    <row r="19968" s="101" customFormat="1" spans="6:6">
      <c r="F19968" s="2423"/>
    </row>
    <row r="19969" s="101" customFormat="1" spans="6:6">
      <c r="F19969" s="2423"/>
    </row>
    <row r="19970" s="101" customFormat="1" spans="6:6">
      <c r="F19970" s="2423"/>
    </row>
    <row r="19971" s="101" customFormat="1" spans="6:6">
      <c r="F19971" s="2423"/>
    </row>
    <row r="19972" s="101" customFormat="1" spans="6:6">
      <c r="F19972" s="2423"/>
    </row>
    <row r="19973" s="101" customFormat="1" spans="6:6">
      <c r="F19973" s="2423"/>
    </row>
    <row r="19974" s="101" customFormat="1" spans="6:6">
      <c r="F19974" s="2423"/>
    </row>
    <row r="19975" s="101" customFormat="1" spans="6:6">
      <c r="F19975" s="2423"/>
    </row>
    <row r="19976" s="101" customFormat="1" spans="6:6">
      <c r="F19976" s="2423"/>
    </row>
    <row r="19977" s="101" customFormat="1" spans="6:6">
      <c r="F19977" s="2423"/>
    </row>
    <row r="19978" s="101" customFormat="1" spans="6:6">
      <c r="F19978" s="2423"/>
    </row>
    <row r="19979" s="101" customFormat="1" spans="6:6">
      <c r="F19979" s="2423"/>
    </row>
    <row r="19980" s="101" customFormat="1" spans="6:6">
      <c r="F19980" s="2423"/>
    </row>
    <row r="19981" s="101" customFormat="1" spans="6:6">
      <c r="F19981" s="2423"/>
    </row>
    <row r="19982" s="101" customFormat="1" spans="6:6">
      <c r="F19982" s="2423"/>
    </row>
    <row r="19983" s="101" customFormat="1" spans="6:6">
      <c r="F19983" s="2423"/>
    </row>
    <row r="19984" s="101" customFormat="1" spans="6:6">
      <c r="F19984" s="2423"/>
    </row>
    <row r="19985" s="101" customFormat="1" spans="6:6">
      <c r="F19985" s="2423"/>
    </row>
    <row r="19986" s="101" customFormat="1" spans="6:6">
      <c r="F19986" s="2423"/>
    </row>
    <row r="19987" s="101" customFormat="1" spans="6:6">
      <c r="F19987" s="2423"/>
    </row>
    <row r="19988" s="101" customFormat="1" spans="6:6">
      <c r="F19988" s="2423"/>
    </row>
    <row r="19989" s="101" customFormat="1" spans="6:6">
      <c r="F19989" s="2423"/>
    </row>
    <row r="19990" s="101" customFormat="1" spans="6:6">
      <c r="F19990" s="2423"/>
    </row>
    <row r="19991" s="101" customFormat="1" spans="6:6">
      <c r="F19991" s="2423"/>
    </row>
    <row r="19992" s="101" customFormat="1" spans="6:6">
      <c r="F19992" s="2423"/>
    </row>
    <row r="19993" s="101" customFormat="1" spans="6:6">
      <c r="F19993" s="2423"/>
    </row>
    <row r="19994" s="101" customFormat="1" spans="6:6">
      <c r="F19994" s="2423"/>
    </row>
    <row r="19995" s="101" customFormat="1" spans="6:6">
      <c r="F19995" s="2423"/>
    </row>
    <row r="19996" s="101" customFormat="1" spans="6:6">
      <c r="F19996" s="2423"/>
    </row>
    <row r="19997" s="101" customFormat="1" spans="6:6">
      <c r="F19997" s="2423"/>
    </row>
    <row r="19998" s="101" customFormat="1" spans="6:6">
      <c r="F19998" s="2423"/>
    </row>
    <row r="19999" s="101" customFormat="1" spans="6:6">
      <c r="F19999" s="2423"/>
    </row>
    <row r="20000" s="101" customFormat="1" spans="6:6">
      <c r="F20000" s="2423"/>
    </row>
    <row r="20001" s="101" customFormat="1" spans="6:6">
      <c r="F20001" s="2423"/>
    </row>
    <row r="20002" s="101" customFormat="1" spans="6:6">
      <c r="F20002" s="2423"/>
    </row>
    <row r="20003" s="101" customFormat="1" spans="6:6">
      <c r="F20003" s="2423"/>
    </row>
    <row r="20004" s="101" customFormat="1" spans="6:6">
      <c r="F20004" s="2423"/>
    </row>
    <row r="20005" s="101" customFormat="1" spans="6:6">
      <c r="F20005" s="2423"/>
    </row>
    <row r="20006" s="101" customFormat="1" spans="6:6">
      <c r="F20006" s="2423"/>
    </row>
    <row r="20007" s="101" customFormat="1" spans="6:6">
      <c r="F20007" s="2423"/>
    </row>
    <row r="20008" s="101" customFormat="1" spans="6:6">
      <c r="F20008" s="2423"/>
    </row>
    <row r="20009" s="101" customFormat="1" spans="6:6">
      <c r="F20009" s="2423"/>
    </row>
    <row r="20010" s="101" customFormat="1" spans="6:6">
      <c r="F20010" s="2423"/>
    </row>
    <row r="20011" s="101" customFormat="1" spans="6:6">
      <c r="F20011" s="2423"/>
    </row>
    <row r="20012" s="101" customFormat="1" spans="6:6">
      <c r="F20012" s="2423"/>
    </row>
    <row r="20013" s="101" customFormat="1" spans="6:6">
      <c r="F20013" s="2423"/>
    </row>
    <row r="20014" s="101" customFormat="1" spans="6:6">
      <c r="F20014" s="2423"/>
    </row>
    <row r="20015" s="101" customFormat="1" spans="6:6">
      <c r="F20015" s="2423"/>
    </row>
    <row r="20016" s="101" customFormat="1" spans="6:6">
      <c r="F20016" s="2423"/>
    </row>
    <row r="20017" s="101" customFormat="1" spans="6:6">
      <c r="F20017" s="2423"/>
    </row>
    <row r="20018" s="101" customFormat="1" spans="6:6">
      <c r="F20018" s="2423"/>
    </row>
    <row r="20019" s="101" customFormat="1" spans="6:6">
      <c r="F20019" s="2423"/>
    </row>
    <row r="20020" s="101" customFormat="1" spans="6:6">
      <c r="F20020" s="2423"/>
    </row>
    <row r="20021" s="101" customFormat="1" spans="6:6">
      <c r="F20021" s="2423"/>
    </row>
    <row r="20022" s="101" customFormat="1" spans="6:6">
      <c r="F20022" s="2423"/>
    </row>
    <row r="20023" s="101" customFormat="1" spans="6:6">
      <c r="F20023" s="2423"/>
    </row>
    <row r="20024" s="101" customFormat="1" spans="6:6">
      <c r="F20024" s="2423"/>
    </row>
    <row r="20025" s="101" customFormat="1" spans="6:6">
      <c r="F20025" s="2423"/>
    </row>
    <row r="20026" s="101" customFormat="1" spans="6:6">
      <c r="F20026" s="2423"/>
    </row>
    <row r="20027" s="101" customFormat="1" spans="6:6">
      <c r="F20027" s="2423"/>
    </row>
    <row r="20028" s="101" customFormat="1" spans="6:6">
      <c r="F20028" s="2423"/>
    </row>
    <row r="20029" s="101" customFormat="1" spans="6:6">
      <c r="F20029" s="2423"/>
    </row>
    <row r="20030" s="101" customFormat="1" spans="6:6">
      <c r="F20030" s="2423"/>
    </row>
    <row r="20031" s="101" customFormat="1" spans="6:6">
      <c r="F20031" s="2423"/>
    </row>
    <row r="20032" s="101" customFormat="1" spans="6:6">
      <c r="F20032" s="2423"/>
    </row>
    <row r="20033" s="101" customFormat="1" spans="6:6">
      <c r="F20033" s="2423"/>
    </row>
    <row r="20034" s="101" customFormat="1" spans="6:6">
      <c r="F20034" s="2423"/>
    </row>
    <row r="20035" s="101" customFormat="1" spans="6:6">
      <c r="F20035" s="2423"/>
    </row>
    <row r="20036" s="101" customFormat="1" spans="6:6">
      <c r="F20036" s="2423"/>
    </row>
    <row r="20037" s="101" customFormat="1" spans="6:6">
      <c r="F20037" s="2423"/>
    </row>
    <row r="20038" s="101" customFormat="1" spans="6:6">
      <c r="F20038" s="2423"/>
    </row>
    <row r="20039" s="101" customFormat="1" spans="6:6">
      <c r="F20039" s="2423"/>
    </row>
    <row r="20040" s="101" customFormat="1" spans="6:6">
      <c r="F20040" s="2423"/>
    </row>
    <row r="20041" s="101" customFormat="1" spans="6:6">
      <c r="F20041" s="2423"/>
    </row>
    <row r="20042" s="101" customFormat="1" spans="6:6">
      <c r="F20042" s="2423"/>
    </row>
    <row r="20043" s="101" customFormat="1" spans="6:6">
      <c r="F20043" s="2423"/>
    </row>
    <row r="20044" s="101" customFormat="1" spans="6:6">
      <c r="F20044" s="2423"/>
    </row>
    <row r="20045" s="101" customFormat="1" spans="6:6">
      <c r="F20045" s="2423"/>
    </row>
    <row r="20046" s="101" customFormat="1" spans="6:6">
      <c r="F20046" s="2423"/>
    </row>
    <row r="20047" s="101" customFormat="1" spans="6:6">
      <c r="F20047" s="2423"/>
    </row>
    <row r="20048" s="101" customFormat="1" spans="6:6">
      <c r="F20048" s="2423"/>
    </row>
    <row r="20049" s="101" customFormat="1" spans="6:6">
      <c r="F20049" s="2423"/>
    </row>
    <row r="20050" s="101" customFormat="1" spans="6:6">
      <c r="F20050" s="2423"/>
    </row>
    <row r="20051" s="101" customFormat="1" spans="6:6">
      <c r="F20051" s="2423"/>
    </row>
    <row r="20052" s="101" customFormat="1" spans="6:6">
      <c r="F20052" s="2423"/>
    </row>
    <row r="20053" s="101" customFormat="1" spans="6:6">
      <c r="F20053" s="2423"/>
    </row>
    <row r="20054" s="101" customFormat="1" spans="6:6">
      <c r="F20054" s="2423"/>
    </row>
    <row r="20055" s="101" customFormat="1" spans="6:6">
      <c r="F20055" s="2423"/>
    </row>
    <row r="20056" s="101" customFormat="1" spans="6:6">
      <c r="F20056" s="2423"/>
    </row>
    <row r="20057" s="101" customFormat="1" spans="6:6">
      <c r="F20057" s="2423"/>
    </row>
    <row r="20058" s="101" customFormat="1" spans="6:6">
      <c r="F20058" s="2423"/>
    </row>
    <row r="20059" s="101" customFormat="1" spans="6:6">
      <c r="F20059" s="2423"/>
    </row>
    <row r="20060" s="101" customFormat="1" spans="6:6">
      <c r="F20060" s="2423"/>
    </row>
    <row r="20061" s="101" customFormat="1" spans="6:6">
      <c r="F20061" s="2423"/>
    </row>
    <row r="20062" s="101" customFormat="1" spans="6:6">
      <c r="F20062" s="2423"/>
    </row>
    <row r="20063" s="101" customFormat="1" spans="6:6">
      <c r="F20063" s="2423"/>
    </row>
    <row r="20064" s="101" customFormat="1" spans="6:6">
      <c r="F20064" s="2423"/>
    </row>
    <row r="20065" s="101" customFormat="1" spans="6:6">
      <c r="F20065" s="2423"/>
    </row>
    <row r="20066" s="101" customFormat="1" spans="6:6">
      <c r="F20066" s="2423"/>
    </row>
    <row r="20067" s="101" customFormat="1" spans="6:6">
      <c r="F20067" s="2423"/>
    </row>
    <row r="20068" s="101" customFormat="1" spans="6:6">
      <c r="F20068" s="2423"/>
    </row>
    <row r="20069" s="101" customFormat="1" spans="6:6">
      <c r="F20069" s="2423"/>
    </row>
    <row r="20070" s="101" customFormat="1" spans="6:6">
      <c r="F20070" s="2423"/>
    </row>
    <row r="20071" s="101" customFormat="1" spans="6:6">
      <c r="F20071" s="2423"/>
    </row>
    <row r="20072" s="101" customFormat="1" spans="6:6">
      <c r="F20072" s="2423"/>
    </row>
    <row r="20073" s="101" customFormat="1" spans="6:6">
      <c r="F20073" s="2423"/>
    </row>
    <row r="20074" s="101" customFormat="1" spans="6:6">
      <c r="F20074" s="2423"/>
    </row>
    <row r="20075" s="101" customFormat="1" spans="6:6">
      <c r="F20075" s="2423"/>
    </row>
    <row r="20076" s="101" customFormat="1" spans="6:6">
      <c r="F20076" s="2423"/>
    </row>
    <row r="20077" s="101" customFormat="1" spans="6:6">
      <c r="F20077" s="2423"/>
    </row>
    <row r="20078" s="101" customFormat="1" spans="6:6">
      <c r="F20078" s="2423"/>
    </row>
    <row r="20079" s="101" customFormat="1" spans="6:6">
      <c r="F20079" s="2423"/>
    </row>
    <row r="20080" s="101" customFormat="1" spans="6:6">
      <c r="F20080" s="2423"/>
    </row>
    <row r="20081" s="101" customFormat="1" spans="6:6">
      <c r="F20081" s="2423"/>
    </row>
    <row r="20082" s="101" customFormat="1" spans="6:6">
      <c r="F20082" s="2423"/>
    </row>
    <row r="20083" s="101" customFormat="1" spans="6:6">
      <c r="F20083" s="2423"/>
    </row>
    <row r="20084" s="101" customFormat="1" spans="6:6">
      <c r="F20084" s="2423"/>
    </row>
    <row r="20085" s="101" customFormat="1" spans="6:6">
      <c r="F20085" s="2423"/>
    </row>
    <row r="20086" s="101" customFormat="1" spans="6:6">
      <c r="F20086" s="2423"/>
    </row>
    <row r="20087" s="101" customFormat="1" spans="6:6">
      <c r="F20087" s="2423"/>
    </row>
    <row r="20088" s="101" customFormat="1" spans="6:6">
      <c r="F20088" s="2423"/>
    </row>
    <row r="20089" s="101" customFormat="1" spans="6:6">
      <c r="F20089" s="2423"/>
    </row>
    <row r="20090" s="101" customFormat="1" spans="6:6">
      <c r="F20090" s="2423"/>
    </row>
    <row r="20091" s="101" customFormat="1" spans="6:6">
      <c r="F20091" s="2423"/>
    </row>
    <row r="20092" s="101" customFormat="1" spans="6:6">
      <c r="F20092" s="2423"/>
    </row>
    <row r="20093" s="101" customFormat="1" spans="6:6">
      <c r="F20093" s="2423"/>
    </row>
    <row r="20094" s="101" customFormat="1" spans="6:6">
      <c r="F20094" s="2423"/>
    </row>
    <row r="20095" s="101" customFormat="1" spans="6:6">
      <c r="F20095" s="2423"/>
    </row>
    <row r="20096" s="101" customFormat="1" spans="6:6">
      <c r="F20096" s="2423"/>
    </row>
    <row r="20097" s="101" customFormat="1" spans="6:6">
      <c r="F20097" s="2423"/>
    </row>
    <row r="20098" s="101" customFormat="1" spans="6:6">
      <c r="F20098" s="2423"/>
    </row>
    <row r="20099" s="101" customFormat="1" spans="6:6">
      <c r="F20099" s="2423"/>
    </row>
    <row r="20100" s="101" customFormat="1" spans="6:6">
      <c r="F20100" s="2423"/>
    </row>
    <row r="20101" s="101" customFormat="1" spans="6:6">
      <c r="F20101" s="2423"/>
    </row>
    <row r="20102" s="101" customFormat="1" spans="6:6">
      <c r="F20102" s="2423"/>
    </row>
    <row r="20103" s="101" customFormat="1" spans="6:6">
      <c r="F20103" s="2423"/>
    </row>
    <row r="20104" s="101" customFormat="1" spans="6:6">
      <c r="F20104" s="2423"/>
    </row>
    <row r="20105" s="101" customFormat="1" spans="6:6">
      <c r="F20105" s="2423"/>
    </row>
    <row r="20106" s="101" customFormat="1" spans="6:6">
      <c r="F20106" s="2423"/>
    </row>
    <row r="20107" s="101" customFormat="1" spans="6:6">
      <c r="F20107" s="2423"/>
    </row>
    <row r="20108" s="101" customFormat="1" spans="6:6">
      <c r="F20108" s="2423"/>
    </row>
    <row r="20109" s="101" customFormat="1" spans="6:6">
      <c r="F20109" s="2423"/>
    </row>
    <row r="20110" s="101" customFormat="1" spans="6:6">
      <c r="F20110" s="2423"/>
    </row>
    <row r="20111" s="101" customFormat="1" spans="6:6">
      <c r="F20111" s="2423"/>
    </row>
    <row r="20112" s="101" customFormat="1" spans="6:6">
      <c r="F20112" s="2423"/>
    </row>
    <row r="20113" s="101" customFormat="1" spans="6:6">
      <c r="F20113" s="2423"/>
    </row>
    <row r="20114" s="101" customFormat="1" spans="6:6">
      <c r="F20114" s="2423"/>
    </row>
    <row r="20115" s="101" customFormat="1" spans="6:6">
      <c r="F20115" s="2423"/>
    </row>
    <row r="20116" s="101" customFormat="1" spans="6:6">
      <c r="F20116" s="2423"/>
    </row>
    <row r="20117" s="101" customFormat="1" spans="6:6">
      <c r="F20117" s="2423"/>
    </row>
    <row r="20118" s="101" customFormat="1" spans="6:6">
      <c r="F20118" s="2423"/>
    </row>
    <row r="20119" s="101" customFormat="1" spans="6:6">
      <c r="F20119" s="2423"/>
    </row>
    <row r="20120" s="101" customFormat="1" spans="6:6">
      <c r="F20120" s="2423"/>
    </row>
    <row r="20121" s="101" customFormat="1" spans="6:6">
      <c r="F20121" s="2423"/>
    </row>
    <row r="20122" s="101" customFormat="1" spans="6:6">
      <c r="F20122" s="2423"/>
    </row>
    <row r="20123" s="101" customFormat="1" spans="6:6">
      <c r="F20123" s="2423"/>
    </row>
    <row r="20124" s="101" customFormat="1" spans="6:6">
      <c r="F20124" s="2423"/>
    </row>
    <row r="20125" s="101" customFormat="1" spans="6:6">
      <c r="F20125" s="2423"/>
    </row>
    <row r="20126" s="101" customFormat="1" spans="6:6">
      <c r="F20126" s="2423"/>
    </row>
    <row r="20127" s="101" customFormat="1" spans="6:6">
      <c r="F20127" s="2423"/>
    </row>
    <row r="20128" s="101" customFormat="1" spans="6:6">
      <c r="F20128" s="2423"/>
    </row>
    <row r="20129" s="101" customFormat="1" spans="6:6">
      <c r="F20129" s="2423"/>
    </row>
    <row r="20130" s="101" customFormat="1" spans="6:6">
      <c r="F20130" s="2423"/>
    </row>
    <row r="20131" s="101" customFormat="1" spans="6:6">
      <c r="F20131" s="2423"/>
    </row>
    <row r="20132" s="101" customFormat="1" spans="6:6">
      <c r="F20132" s="2423"/>
    </row>
    <row r="20133" s="101" customFormat="1" spans="6:6">
      <c r="F20133" s="2423"/>
    </row>
    <row r="20134" s="101" customFormat="1" spans="6:6">
      <c r="F20134" s="2423"/>
    </row>
    <row r="20135" s="101" customFormat="1" spans="6:6">
      <c r="F20135" s="2423"/>
    </row>
    <row r="20136" s="101" customFormat="1" spans="6:6">
      <c r="F20136" s="2423"/>
    </row>
    <row r="20137" s="101" customFormat="1" spans="6:6">
      <c r="F20137" s="2423"/>
    </row>
    <row r="20138" s="101" customFormat="1" spans="6:6">
      <c r="F20138" s="2423"/>
    </row>
    <row r="20139" s="101" customFormat="1" spans="6:6">
      <c r="F20139" s="2423"/>
    </row>
    <row r="20140" s="101" customFormat="1" spans="6:6">
      <c r="F20140" s="2423"/>
    </row>
    <row r="20141" s="101" customFormat="1" spans="6:6">
      <c r="F20141" s="2423"/>
    </row>
    <row r="20142" s="101" customFormat="1" spans="6:6">
      <c r="F20142" s="2423"/>
    </row>
    <row r="20143" s="101" customFormat="1" spans="6:6">
      <c r="F20143" s="2423"/>
    </row>
    <row r="20144" s="101" customFormat="1" spans="6:6">
      <c r="F20144" s="2423"/>
    </row>
    <row r="20145" s="101" customFormat="1" spans="6:6">
      <c r="F20145" s="2423"/>
    </row>
    <row r="20146" s="101" customFormat="1" spans="6:6">
      <c r="F20146" s="2423"/>
    </row>
    <row r="20147" s="101" customFormat="1" spans="6:6">
      <c r="F20147" s="2423"/>
    </row>
    <row r="20148" s="101" customFormat="1" spans="6:6">
      <c r="F20148" s="2423"/>
    </row>
    <row r="20149" s="101" customFormat="1" spans="6:6">
      <c r="F20149" s="2423"/>
    </row>
    <row r="20150" s="101" customFormat="1" spans="6:6">
      <c r="F20150" s="2423"/>
    </row>
    <row r="20151" s="101" customFormat="1" spans="6:6">
      <c r="F20151" s="2423"/>
    </row>
    <row r="20152" s="101" customFormat="1" spans="6:6">
      <c r="F20152" s="2423"/>
    </row>
    <row r="20153" s="101" customFormat="1" spans="6:6">
      <c r="F20153" s="2423"/>
    </row>
    <row r="20154" s="101" customFormat="1" spans="6:6">
      <c r="F20154" s="2423"/>
    </row>
    <row r="20155" s="101" customFormat="1" spans="6:6">
      <c r="F20155" s="2423"/>
    </row>
    <row r="20156" s="101" customFormat="1" spans="6:6">
      <c r="F20156" s="2423"/>
    </row>
    <row r="20157" s="101" customFormat="1" spans="6:6">
      <c r="F20157" s="2423"/>
    </row>
    <row r="20158" s="101" customFormat="1" spans="6:6">
      <c r="F20158" s="2423"/>
    </row>
    <row r="20159" s="101" customFormat="1" spans="6:6">
      <c r="F20159" s="2423"/>
    </row>
    <row r="20160" s="101" customFormat="1" spans="6:6">
      <c r="F20160" s="2423"/>
    </row>
    <row r="20161" s="101" customFormat="1" spans="6:6">
      <c r="F20161" s="2423"/>
    </row>
    <row r="20162" s="101" customFormat="1" spans="6:6">
      <c r="F20162" s="2423"/>
    </row>
    <row r="20163" s="101" customFormat="1" spans="6:6">
      <c r="F20163" s="2423"/>
    </row>
    <row r="20164" s="101" customFormat="1" spans="6:6">
      <c r="F20164" s="2423"/>
    </row>
    <row r="20165" s="101" customFormat="1" spans="6:6">
      <c r="F20165" s="2423"/>
    </row>
    <row r="20166" s="101" customFormat="1" spans="6:6">
      <c r="F20166" s="2423"/>
    </row>
    <row r="20167" s="101" customFormat="1" spans="6:6">
      <c r="F20167" s="2423"/>
    </row>
    <row r="20168" s="101" customFormat="1" spans="6:6">
      <c r="F20168" s="2423"/>
    </row>
    <row r="20169" s="101" customFormat="1" spans="6:6">
      <c r="F20169" s="2423"/>
    </row>
    <row r="20170" s="101" customFormat="1" spans="6:6">
      <c r="F20170" s="2423"/>
    </row>
    <row r="20171" s="101" customFormat="1" spans="6:6">
      <c r="F20171" s="2423"/>
    </row>
    <row r="20172" s="101" customFormat="1" spans="6:6">
      <c r="F20172" s="2423"/>
    </row>
    <row r="20173" s="101" customFormat="1" spans="6:6">
      <c r="F20173" s="2423"/>
    </row>
    <row r="20174" s="101" customFormat="1" spans="6:6">
      <c r="F20174" s="2423"/>
    </row>
    <row r="20175" s="101" customFormat="1" spans="6:6">
      <c r="F20175" s="2423"/>
    </row>
    <row r="20176" s="101" customFormat="1" spans="6:6">
      <c r="F20176" s="2423"/>
    </row>
    <row r="20177" s="101" customFormat="1" spans="6:6">
      <c r="F20177" s="2423"/>
    </row>
    <row r="20178" s="101" customFormat="1" spans="6:6">
      <c r="F20178" s="2423"/>
    </row>
    <row r="20179" s="101" customFormat="1" spans="6:6">
      <c r="F20179" s="2423"/>
    </row>
    <row r="20180" s="101" customFormat="1" spans="6:6">
      <c r="F20180" s="2423"/>
    </row>
    <row r="20181" s="101" customFormat="1" spans="6:6">
      <c r="F20181" s="2423"/>
    </row>
    <row r="20182" s="101" customFormat="1" spans="6:6">
      <c r="F20182" s="2423"/>
    </row>
    <row r="20183" s="101" customFormat="1" spans="6:6">
      <c r="F20183" s="2423"/>
    </row>
    <row r="20184" s="101" customFormat="1" spans="6:6">
      <c r="F20184" s="2423"/>
    </row>
    <row r="20185" s="101" customFormat="1" spans="6:6">
      <c r="F20185" s="2423"/>
    </row>
    <row r="20186" s="101" customFormat="1" spans="6:6">
      <c r="F20186" s="2423"/>
    </row>
    <row r="20187" s="101" customFormat="1" spans="6:6">
      <c r="F20187" s="2423"/>
    </row>
    <row r="20188" s="101" customFormat="1" spans="6:6">
      <c r="F20188" s="2423"/>
    </row>
    <row r="20189" s="101" customFormat="1" spans="6:6">
      <c r="F20189" s="2423"/>
    </row>
    <row r="20190" s="101" customFormat="1" spans="6:6">
      <c r="F20190" s="2423"/>
    </row>
    <row r="20191" s="101" customFormat="1" spans="6:6">
      <c r="F20191" s="2423"/>
    </row>
    <row r="20192" s="101" customFormat="1" spans="6:6">
      <c r="F20192" s="2423"/>
    </row>
    <row r="20193" s="101" customFormat="1" spans="6:6">
      <c r="F20193" s="2423"/>
    </row>
    <row r="20194" s="101" customFormat="1" spans="6:6">
      <c r="F20194" s="2423"/>
    </row>
    <row r="20195" s="101" customFormat="1" spans="6:6">
      <c r="F20195" s="2423"/>
    </row>
    <row r="20196" s="101" customFormat="1" spans="6:6">
      <c r="F20196" s="2423"/>
    </row>
    <row r="20197" s="101" customFormat="1" spans="6:6">
      <c r="F20197" s="2423"/>
    </row>
    <row r="20198" s="101" customFormat="1" spans="6:6">
      <c r="F20198" s="2423"/>
    </row>
    <row r="20199" s="101" customFormat="1" spans="6:6">
      <c r="F20199" s="2423"/>
    </row>
    <row r="20200" s="101" customFormat="1" spans="6:6">
      <c r="F20200" s="2423"/>
    </row>
    <row r="20201" s="101" customFormat="1" spans="6:6">
      <c r="F20201" s="2423"/>
    </row>
    <row r="20202" s="101" customFormat="1" spans="6:6">
      <c r="F20202" s="2423"/>
    </row>
    <row r="20203" s="101" customFormat="1" spans="6:6">
      <c r="F20203" s="2423"/>
    </row>
    <row r="20204" s="101" customFormat="1" spans="6:6">
      <c r="F20204" s="2423"/>
    </row>
    <row r="20205" s="101" customFormat="1" spans="6:6">
      <c r="F20205" s="2423"/>
    </row>
    <row r="20206" s="101" customFormat="1" spans="6:6">
      <c r="F20206" s="2423"/>
    </row>
    <row r="20207" s="101" customFormat="1" spans="6:6">
      <c r="F20207" s="2423"/>
    </row>
    <row r="20208" s="101" customFormat="1" spans="6:6">
      <c r="F20208" s="2423"/>
    </row>
    <row r="20209" s="101" customFormat="1" spans="6:6">
      <c r="F20209" s="2423"/>
    </row>
    <row r="20210" s="101" customFormat="1" spans="6:6">
      <c r="F20210" s="2423"/>
    </row>
    <row r="20211" s="101" customFormat="1" spans="6:6">
      <c r="F20211" s="2423"/>
    </row>
    <row r="20212" s="101" customFormat="1" spans="6:6">
      <c r="F20212" s="2423"/>
    </row>
    <row r="20213" s="101" customFormat="1" spans="6:6">
      <c r="F20213" s="2423"/>
    </row>
    <row r="20214" s="101" customFormat="1" spans="6:6">
      <c r="F20214" s="2423"/>
    </row>
    <row r="20215" s="101" customFormat="1" spans="6:6">
      <c r="F20215" s="2423"/>
    </row>
    <row r="20216" s="101" customFormat="1" spans="6:6">
      <c r="F20216" s="2423"/>
    </row>
    <row r="20217" s="101" customFormat="1" spans="6:6">
      <c r="F20217" s="2423"/>
    </row>
    <row r="20218" s="101" customFormat="1" spans="6:6">
      <c r="F20218" s="2423"/>
    </row>
    <row r="20219" s="101" customFormat="1" spans="6:6">
      <c r="F20219" s="2423"/>
    </row>
    <row r="20220" s="101" customFormat="1" spans="6:6">
      <c r="F20220" s="2423"/>
    </row>
    <row r="20221" s="101" customFormat="1" spans="6:6">
      <c r="F20221" s="2423"/>
    </row>
    <row r="20222" s="101" customFormat="1" spans="6:6">
      <c r="F20222" s="2423"/>
    </row>
    <row r="20223" s="101" customFormat="1" spans="6:6">
      <c r="F20223" s="2423"/>
    </row>
    <row r="20224" s="101" customFormat="1" spans="6:6">
      <c r="F20224" s="2423"/>
    </row>
    <row r="20225" s="101" customFormat="1" spans="6:6">
      <c r="F20225" s="2423"/>
    </row>
    <row r="20226" s="101" customFormat="1" spans="6:6">
      <c r="F20226" s="2423"/>
    </row>
    <row r="20227" s="101" customFormat="1" spans="6:6">
      <c r="F20227" s="2423"/>
    </row>
    <row r="20228" s="101" customFormat="1" spans="6:6">
      <c r="F20228" s="2423"/>
    </row>
    <row r="20229" s="101" customFormat="1" spans="6:6">
      <c r="F20229" s="2423"/>
    </row>
    <row r="20230" s="101" customFormat="1" spans="6:6">
      <c r="F20230" s="2423"/>
    </row>
    <row r="20231" s="101" customFormat="1" spans="6:6">
      <c r="F20231" s="2423"/>
    </row>
    <row r="20232" s="101" customFormat="1" spans="6:6">
      <c r="F20232" s="2423"/>
    </row>
    <row r="20233" s="101" customFormat="1" spans="6:6">
      <c r="F20233" s="2423"/>
    </row>
    <row r="20234" s="101" customFormat="1" spans="6:6">
      <c r="F20234" s="2423"/>
    </row>
    <row r="20235" s="101" customFormat="1" spans="6:6">
      <c r="F20235" s="2423"/>
    </row>
    <row r="20236" s="101" customFormat="1" spans="6:6">
      <c r="F20236" s="2423"/>
    </row>
    <row r="20237" s="101" customFormat="1" spans="6:6">
      <c r="F20237" s="2423"/>
    </row>
    <row r="20238" s="101" customFormat="1" spans="6:6">
      <c r="F20238" s="2423"/>
    </row>
    <row r="20239" s="101" customFormat="1" spans="6:6">
      <c r="F20239" s="2423"/>
    </row>
    <row r="20240" s="101" customFormat="1" spans="6:6">
      <c r="F20240" s="2423"/>
    </row>
    <row r="20241" s="101" customFormat="1" spans="6:6">
      <c r="F20241" s="2423"/>
    </row>
    <row r="20242" s="101" customFormat="1" spans="6:6">
      <c r="F20242" s="2423"/>
    </row>
    <row r="20243" s="101" customFormat="1" spans="6:6">
      <c r="F20243" s="2423"/>
    </row>
    <row r="20244" s="101" customFormat="1" spans="6:6">
      <c r="F20244" s="2423"/>
    </row>
    <row r="20245" s="101" customFormat="1" spans="6:6">
      <c r="F20245" s="2423"/>
    </row>
    <row r="20246" s="101" customFormat="1" spans="6:6">
      <c r="F20246" s="2423"/>
    </row>
    <row r="20247" s="101" customFormat="1" spans="6:6">
      <c r="F20247" s="2423"/>
    </row>
    <row r="20248" s="101" customFormat="1" spans="6:6">
      <c r="F20248" s="2423"/>
    </row>
    <row r="20249" s="101" customFormat="1" spans="6:6">
      <c r="F20249" s="2423"/>
    </row>
    <row r="20250" s="101" customFormat="1" spans="6:6">
      <c r="F20250" s="2423"/>
    </row>
    <row r="20251" s="101" customFormat="1" spans="6:6">
      <c r="F20251" s="2423"/>
    </row>
    <row r="20252" s="101" customFormat="1" spans="6:6">
      <c r="F20252" s="2423"/>
    </row>
    <row r="20253" s="101" customFormat="1" spans="6:6">
      <c r="F20253" s="2423"/>
    </row>
    <row r="20254" s="101" customFormat="1" spans="6:6">
      <c r="F20254" s="2423"/>
    </row>
    <row r="20255" s="101" customFormat="1" spans="6:6">
      <c r="F20255" s="2423"/>
    </row>
    <row r="20256" s="101" customFormat="1" spans="6:6">
      <c r="F20256" s="2423"/>
    </row>
    <row r="20257" s="101" customFormat="1" spans="6:6">
      <c r="F20257" s="2423"/>
    </row>
    <row r="20258" s="101" customFormat="1" spans="6:6">
      <c r="F20258" s="2423"/>
    </row>
    <row r="20259" s="101" customFormat="1" spans="6:6">
      <c r="F20259" s="2423"/>
    </row>
    <row r="20260" s="101" customFormat="1" spans="6:6">
      <c r="F20260" s="2423"/>
    </row>
    <row r="20261" s="101" customFormat="1" spans="6:6">
      <c r="F20261" s="2423"/>
    </row>
    <row r="20262" s="101" customFormat="1" spans="6:6">
      <c r="F20262" s="2423"/>
    </row>
    <row r="20263" s="101" customFormat="1" spans="6:6">
      <c r="F20263" s="2423"/>
    </row>
    <row r="20264" s="101" customFormat="1" spans="6:6">
      <c r="F20264" s="2423"/>
    </row>
    <row r="20265" s="101" customFormat="1" spans="6:6">
      <c r="F20265" s="2423"/>
    </row>
    <row r="20266" s="101" customFormat="1" spans="6:6">
      <c r="F20266" s="2423"/>
    </row>
    <row r="20267" s="101" customFormat="1" spans="6:6">
      <c r="F20267" s="2423"/>
    </row>
    <row r="20268" s="101" customFormat="1" spans="6:6">
      <c r="F20268" s="2423"/>
    </row>
    <row r="20269" s="101" customFormat="1" spans="6:6">
      <c r="F20269" s="2423"/>
    </row>
    <row r="20270" s="101" customFormat="1" spans="6:6">
      <c r="F20270" s="2423"/>
    </row>
    <row r="20271" s="101" customFormat="1" spans="6:6">
      <c r="F20271" s="2423"/>
    </row>
    <row r="20272" s="101" customFormat="1" spans="6:6">
      <c r="F20272" s="2423"/>
    </row>
    <row r="20273" s="101" customFormat="1" spans="6:6">
      <c r="F20273" s="2423"/>
    </row>
    <row r="20274" s="101" customFormat="1" spans="6:6">
      <c r="F20274" s="2423"/>
    </row>
    <row r="20275" s="101" customFormat="1" spans="6:6">
      <c r="F20275" s="2423"/>
    </row>
    <row r="20276" s="101" customFormat="1" spans="6:6">
      <c r="F20276" s="2423"/>
    </row>
    <row r="20277" s="101" customFormat="1" spans="6:6">
      <c r="F20277" s="2423"/>
    </row>
    <row r="20278" s="101" customFormat="1" spans="6:6">
      <c r="F20278" s="2423"/>
    </row>
    <row r="20279" s="101" customFormat="1" spans="6:6">
      <c r="F20279" s="2423"/>
    </row>
    <row r="20280" s="101" customFormat="1" spans="6:6">
      <c r="F20280" s="2423"/>
    </row>
    <row r="20281" s="101" customFormat="1" spans="6:6">
      <c r="F20281" s="2423"/>
    </row>
    <row r="20282" s="101" customFormat="1" spans="6:6">
      <c r="F20282" s="2423"/>
    </row>
    <row r="20283" s="101" customFormat="1" spans="6:6">
      <c r="F20283" s="2423"/>
    </row>
    <row r="20284" s="101" customFormat="1" spans="6:6">
      <c r="F20284" s="2423"/>
    </row>
    <row r="20285" s="101" customFormat="1" spans="6:6">
      <c r="F20285" s="2423"/>
    </row>
    <row r="20286" s="101" customFormat="1" spans="6:6">
      <c r="F20286" s="2423"/>
    </row>
    <row r="20287" s="101" customFormat="1" spans="6:6">
      <c r="F20287" s="2423"/>
    </row>
    <row r="20288" s="101" customFormat="1" spans="6:6">
      <c r="F20288" s="2423"/>
    </row>
    <row r="20289" s="101" customFormat="1" spans="6:6">
      <c r="F20289" s="2423"/>
    </row>
    <row r="20290" s="101" customFormat="1" spans="6:6">
      <c r="F20290" s="2423"/>
    </row>
    <row r="20291" s="101" customFormat="1" spans="6:6">
      <c r="F20291" s="2423"/>
    </row>
    <row r="20292" s="101" customFormat="1" spans="6:6">
      <c r="F20292" s="2423"/>
    </row>
    <row r="20293" s="101" customFormat="1" spans="6:6">
      <c r="F20293" s="2423"/>
    </row>
    <row r="20294" s="101" customFormat="1" spans="6:6">
      <c r="F20294" s="2423"/>
    </row>
    <row r="20295" s="101" customFormat="1" spans="6:6">
      <c r="F20295" s="2423"/>
    </row>
    <row r="20296" s="101" customFormat="1" spans="6:6">
      <c r="F20296" s="2423"/>
    </row>
    <row r="20297" s="101" customFormat="1" spans="6:6">
      <c r="F20297" s="2423"/>
    </row>
    <row r="20298" s="101" customFormat="1" spans="6:6">
      <c r="F20298" s="2423"/>
    </row>
    <row r="20299" s="101" customFormat="1" spans="6:6">
      <c r="F20299" s="2423"/>
    </row>
    <row r="20300" s="101" customFormat="1" spans="6:6">
      <c r="F20300" s="2423"/>
    </row>
    <row r="20301" s="101" customFormat="1" spans="6:6">
      <c r="F20301" s="2423"/>
    </row>
    <row r="20302" s="101" customFormat="1" spans="6:6">
      <c r="F20302" s="2423"/>
    </row>
    <row r="20303" s="101" customFormat="1" spans="6:6">
      <c r="F20303" s="2423"/>
    </row>
    <row r="20304" s="101" customFormat="1" spans="6:6">
      <c r="F20304" s="2423"/>
    </row>
    <row r="20305" s="101" customFormat="1" spans="6:6">
      <c r="F20305" s="2423"/>
    </row>
    <row r="20306" s="101" customFormat="1" spans="6:6">
      <c r="F20306" s="2423"/>
    </row>
    <row r="20307" s="101" customFormat="1" spans="6:6">
      <c r="F20307" s="2423"/>
    </row>
    <row r="20308" s="101" customFormat="1" spans="6:6">
      <c r="F20308" s="2423"/>
    </row>
    <row r="20309" s="101" customFormat="1" spans="6:6">
      <c r="F20309" s="2423"/>
    </row>
    <row r="20310" s="101" customFormat="1" spans="6:6">
      <c r="F20310" s="2423"/>
    </row>
    <row r="20311" s="101" customFormat="1" spans="6:6">
      <c r="F20311" s="2423"/>
    </row>
    <row r="20312" s="101" customFormat="1" spans="6:6">
      <c r="F20312" s="2423"/>
    </row>
    <row r="20313" s="101" customFormat="1" spans="6:6">
      <c r="F20313" s="2423"/>
    </row>
    <row r="20314" s="101" customFormat="1" spans="6:6">
      <c r="F20314" s="2423"/>
    </row>
    <row r="20315" s="101" customFormat="1" spans="6:6">
      <c r="F20315" s="2423"/>
    </row>
    <row r="20316" s="101" customFormat="1" spans="6:6">
      <c r="F20316" s="2423"/>
    </row>
    <row r="20317" s="101" customFormat="1" spans="6:6">
      <c r="F20317" s="2423"/>
    </row>
    <row r="20318" s="101" customFormat="1" spans="6:6">
      <c r="F20318" s="2423"/>
    </row>
    <row r="20319" s="101" customFormat="1" spans="6:6">
      <c r="F20319" s="2423"/>
    </row>
    <row r="20320" s="101" customFormat="1" spans="6:6">
      <c r="F20320" s="2423"/>
    </row>
    <row r="20321" s="101" customFormat="1" spans="6:6">
      <c r="F20321" s="2423"/>
    </row>
    <row r="20322" s="101" customFormat="1" spans="6:6">
      <c r="F20322" s="2423"/>
    </row>
    <row r="20323" s="101" customFormat="1" spans="6:6">
      <c r="F20323" s="2423"/>
    </row>
    <row r="20324" s="101" customFormat="1" spans="6:6">
      <c r="F20324" s="2423"/>
    </row>
    <row r="20325" s="101" customFormat="1" spans="6:6">
      <c r="F20325" s="2423"/>
    </row>
    <row r="20326" s="101" customFormat="1" spans="6:6">
      <c r="F20326" s="2423"/>
    </row>
    <row r="20327" s="101" customFormat="1" spans="6:6">
      <c r="F20327" s="2423"/>
    </row>
    <row r="20328" s="101" customFormat="1" spans="6:6">
      <c r="F20328" s="2423"/>
    </row>
    <row r="20329" s="101" customFormat="1" spans="6:6">
      <c r="F20329" s="2423"/>
    </row>
    <row r="20330" s="101" customFormat="1" spans="6:6">
      <c r="F20330" s="2423"/>
    </row>
    <row r="20331" s="101" customFormat="1" spans="6:6">
      <c r="F20331" s="2423"/>
    </row>
    <row r="20332" s="101" customFormat="1" spans="6:6">
      <c r="F20332" s="2423"/>
    </row>
    <row r="20333" s="101" customFormat="1" spans="6:6">
      <c r="F20333" s="2423"/>
    </row>
    <row r="20334" s="101" customFormat="1" spans="6:6">
      <c r="F20334" s="2423"/>
    </row>
    <row r="20335" s="101" customFormat="1" spans="6:6">
      <c r="F20335" s="2423"/>
    </row>
    <row r="20336" s="101" customFormat="1" spans="6:6">
      <c r="F20336" s="2423"/>
    </row>
    <row r="20337" s="101" customFormat="1" spans="6:6">
      <c r="F20337" s="2423"/>
    </row>
    <row r="20338" s="101" customFormat="1" spans="6:6">
      <c r="F20338" s="2423"/>
    </row>
    <row r="20339" s="101" customFormat="1" spans="6:6">
      <c r="F20339" s="2423"/>
    </row>
    <row r="20340" s="101" customFormat="1" spans="6:6">
      <c r="F20340" s="2423"/>
    </row>
    <row r="20341" s="101" customFormat="1" spans="6:6">
      <c r="F20341" s="2423"/>
    </row>
    <row r="20342" s="101" customFormat="1" spans="6:6">
      <c r="F20342" s="2423"/>
    </row>
    <row r="20343" s="101" customFormat="1" spans="6:6">
      <c r="F20343" s="2423"/>
    </row>
    <row r="20344" s="101" customFormat="1" spans="6:6">
      <c r="F20344" s="2423"/>
    </row>
    <row r="20345" s="101" customFormat="1" spans="6:6">
      <c r="F20345" s="2423"/>
    </row>
    <row r="20346" s="101" customFormat="1" spans="6:6">
      <c r="F20346" s="2423"/>
    </row>
    <row r="20347" s="101" customFormat="1" spans="6:6">
      <c r="F20347" s="2423"/>
    </row>
    <row r="20348" s="101" customFormat="1" spans="6:6">
      <c r="F20348" s="2423"/>
    </row>
    <row r="20349" s="101" customFormat="1" spans="6:6">
      <c r="F20349" s="2423"/>
    </row>
    <row r="20350" s="101" customFormat="1" spans="6:6">
      <c r="F20350" s="2423"/>
    </row>
    <row r="20351" s="101" customFormat="1" spans="6:6">
      <c r="F20351" s="2423"/>
    </row>
    <row r="20352" s="101" customFormat="1" spans="6:6">
      <c r="F20352" s="2423"/>
    </row>
    <row r="20353" s="101" customFormat="1" spans="6:6">
      <c r="F20353" s="2423"/>
    </row>
    <row r="20354" s="101" customFormat="1" spans="6:6">
      <c r="F20354" s="2423"/>
    </row>
    <row r="20355" s="101" customFormat="1" spans="6:6">
      <c r="F20355" s="2423"/>
    </row>
    <row r="20356" s="101" customFormat="1" spans="6:6">
      <c r="F20356" s="2423"/>
    </row>
    <row r="20357" s="101" customFormat="1" spans="6:6">
      <c r="F20357" s="2423"/>
    </row>
    <row r="20358" s="101" customFormat="1" spans="6:6">
      <c r="F20358" s="2423"/>
    </row>
    <row r="20359" s="101" customFormat="1" spans="6:6">
      <c r="F20359" s="2423"/>
    </row>
    <row r="20360" s="101" customFormat="1" spans="6:6">
      <c r="F20360" s="2423"/>
    </row>
    <row r="20361" s="101" customFormat="1" spans="6:6">
      <c r="F20361" s="2423"/>
    </row>
    <row r="20362" s="101" customFormat="1" spans="6:6">
      <c r="F20362" s="2423"/>
    </row>
    <row r="20363" s="101" customFormat="1" spans="6:6">
      <c r="F20363" s="2423"/>
    </row>
    <row r="20364" s="101" customFormat="1" spans="6:6">
      <c r="F20364" s="2423"/>
    </row>
    <row r="20365" s="101" customFormat="1" spans="6:6">
      <c r="F20365" s="2423"/>
    </row>
    <row r="20366" s="101" customFormat="1" spans="6:6">
      <c r="F20366" s="2423"/>
    </row>
    <row r="20367" s="101" customFormat="1" spans="6:6">
      <c r="F20367" s="2423"/>
    </row>
    <row r="20368" s="101" customFormat="1" spans="6:6">
      <c r="F20368" s="2423"/>
    </row>
    <row r="20369" s="101" customFormat="1" spans="6:6">
      <c r="F20369" s="2423"/>
    </row>
    <row r="20370" s="101" customFormat="1" spans="6:6">
      <c r="F20370" s="2423"/>
    </row>
    <row r="20371" s="101" customFormat="1" spans="6:6">
      <c r="F20371" s="2423"/>
    </row>
    <row r="20372" s="101" customFormat="1" spans="6:6">
      <c r="F20372" s="2423"/>
    </row>
    <row r="20373" s="101" customFormat="1" spans="6:6">
      <c r="F20373" s="2423"/>
    </row>
    <row r="20374" s="101" customFormat="1" spans="6:6">
      <c r="F20374" s="2423"/>
    </row>
    <row r="20375" s="101" customFormat="1" spans="6:6">
      <c r="F20375" s="2423"/>
    </row>
    <row r="20376" s="101" customFormat="1" spans="6:6">
      <c r="F20376" s="2423"/>
    </row>
    <row r="20377" s="101" customFormat="1" spans="6:6">
      <c r="F20377" s="2423"/>
    </row>
    <row r="20378" s="101" customFormat="1" spans="6:6">
      <c r="F20378" s="2423"/>
    </row>
    <row r="20379" s="101" customFormat="1" spans="6:6">
      <c r="F20379" s="2423"/>
    </row>
    <row r="20380" s="101" customFormat="1" spans="6:6">
      <c r="F20380" s="2423"/>
    </row>
    <row r="20381" s="101" customFormat="1" spans="6:6">
      <c r="F20381" s="2423"/>
    </row>
    <row r="20382" s="101" customFormat="1" spans="6:6">
      <c r="F20382" s="2423"/>
    </row>
    <row r="20383" s="101" customFormat="1" spans="6:6">
      <c r="F20383" s="2423"/>
    </row>
    <row r="20384" s="101" customFormat="1" spans="6:6">
      <c r="F20384" s="2423"/>
    </row>
    <row r="20385" s="101" customFormat="1" spans="6:6">
      <c r="F20385" s="2423"/>
    </row>
    <row r="20386" s="101" customFormat="1" spans="6:6">
      <c r="F20386" s="2423"/>
    </row>
    <row r="20387" s="101" customFormat="1" spans="6:6">
      <c r="F20387" s="2423"/>
    </row>
    <row r="20388" s="101" customFormat="1" spans="6:6">
      <c r="F20388" s="2423"/>
    </row>
    <row r="20389" s="101" customFormat="1" spans="6:6">
      <c r="F20389" s="2423"/>
    </row>
    <row r="20390" s="101" customFormat="1" spans="6:6">
      <c r="F20390" s="2423"/>
    </row>
    <row r="20391" s="101" customFormat="1" spans="6:6">
      <c r="F20391" s="2423"/>
    </row>
    <row r="20392" s="101" customFormat="1" spans="6:6">
      <c r="F20392" s="2423"/>
    </row>
    <row r="20393" s="101" customFormat="1" spans="6:6">
      <c r="F20393" s="2423"/>
    </row>
    <row r="20394" s="101" customFormat="1" spans="6:6">
      <c r="F20394" s="2423"/>
    </row>
    <row r="20395" s="101" customFormat="1" spans="6:6">
      <c r="F20395" s="2423"/>
    </row>
    <row r="20396" s="101" customFormat="1" spans="6:6">
      <c r="F20396" s="2423"/>
    </row>
    <row r="20397" s="101" customFormat="1" spans="6:6">
      <c r="F20397" s="2423"/>
    </row>
    <row r="20398" s="101" customFormat="1" spans="6:6">
      <c r="F20398" s="2423"/>
    </row>
    <row r="20399" s="101" customFormat="1" spans="6:6">
      <c r="F20399" s="2423"/>
    </row>
    <row r="20400" s="101" customFormat="1" spans="6:6">
      <c r="F20400" s="2423"/>
    </row>
    <row r="20401" s="101" customFormat="1" spans="6:6">
      <c r="F20401" s="2423"/>
    </row>
    <row r="20402" s="101" customFormat="1" spans="6:6">
      <c r="F20402" s="2423"/>
    </row>
    <row r="20403" s="101" customFormat="1" spans="6:6">
      <c r="F20403" s="2423"/>
    </row>
    <row r="20404" s="101" customFormat="1" spans="6:6">
      <c r="F20404" s="2423"/>
    </row>
    <row r="20405" s="101" customFormat="1" spans="6:6">
      <c r="F20405" s="2423"/>
    </row>
    <row r="20406" s="101" customFormat="1" spans="6:6">
      <c r="F20406" s="2423"/>
    </row>
    <row r="20407" s="101" customFormat="1" spans="6:6">
      <c r="F20407" s="2423"/>
    </row>
    <row r="20408" s="101" customFormat="1" spans="6:6">
      <c r="F20408" s="2423"/>
    </row>
    <row r="20409" s="101" customFormat="1" spans="6:6">
      <c r="F20409" s="2423"/>
    </row>
    <row r="20410" s="101" customFormat="1" spans="6:6">
      <c r="F20410" s="2423"/>
    </row>
    <row r="20411" s="101" customFormat="1" spans="6:6">
      <c r="F20411" s="2423"/>
    </row>
    <row r="20412" s="101" customFormat="1" spans="6:6">
      <c r="F20412" s="2423"/>
    </row>
    <row r="20413" s="101" customFormat="1" spans="6:6">
      <c r="F20413" s="2423"/>
    </row>
    <row r="20414" s="101" customFormat="1" spans="6:6">
      <c r="F20414" s="2423"/>
    </row>
    <row r="20415" s="101" customFormat="1" spans="6:6">
      <c r="F20415" s="2423"/>
    </row>
    <row r="20416" s="101" customFormat="1" spans="6:6">
      <c r="F20416" s="2423"/>
    </row>
    <row r="20417" s="101" customFormat="1" spans="6:6">
      <c r="F20417" s="2423"/>
    </row>
    <row r="20418" s="101" customFormat="1" spans="6:6">
      <c r="F20418" s="2423"/>
    </row>
    <row r="20419" s="101" customFormat="1" spans="6:6">
      <c r="F20419" s="2423"/>
    </row>
    <row r="20420" s="101" customFormat="1" spans="6:6">
      <c r="F20420" s="2423"/>
    </row>
    <row r="20421" s="101" customFormat="1" spans="6:6">
      <c r="F20421" s="2423"/>
    </row>
    <row r="20422" s="101" customFormat="1" spans="6:6">
      <c r="F20422" s="2423"/>
    </row>
    <row r="20423" s="101" customFormat="1" spans="6:6">
      <c r="F20423" s="2423"/>
    </row>
    <row r="20424" s="101" customFormat="1" spans="6:6">
      <c r="F20424" s="2423"/>
    </row>
    <row r="20425" s="101" customFormat="1" spans="6:6">
      <c r="F20425" s="2423"/>
    </row>
    <row r="20426" s="101" customFormat="1" spans="6:6">
      <c r="F20426" s="2423"/>
    </row>
    <row r="20427" s="101" customFormat="1" spans="6:6">
      <c r="F20427" s="2423"/>
    </row>
    <row r="20428" s="101" customFormat="1" spans="6:6">
      <c r="F20428" s="2423"/>
    </row>
    <row r="20429" s="101" customFormat="1" spans="6:6">
      <c r="F20429" s="2423"/>
    </row>
    <row r="20430" s="101" customFormat="1" spans="6:6">
      <c r="F20430" s="2423"/>
    </row>
    <row r="20431" s="101" customFormat="1" spans="6:6">
      <c r="F20431" s="2423"/>
    </row>
    <row r="20432" s="101" customFormat="1" spans="6:6">
      <c r="F20432" s="2423"/>
    </row>
    <row r="20433" s="101" customFormat="1" spans="6:6">
      <c r="F20433" s="2423"/>
    </row>
    <row r="20434" s="101" customFormat="1" spans="6:6">
      <c r="F20434" s="2423"/>
    </row>
    <row r="20435" s="101" customFormat="1" spans="6:6">
      <c r="F20435" s="2423"/>
    </row>
    <row r="20436" s="101" customFormat="1" spans="6:6">
      <c r="F20436" s="2423"/>
    </row>
    <row r="20437" s="101" customFormat="1" spans="6:6">
      <c r="F20437" s="2423"/>
    </row>
    <row r="20438" s="101" customFormat="1" spans="6:6">
      <c r="F20438" s="2423"/>
    </row>
    <row r="20439" s="101" customFormat="1" spans="6:6">
      <c r="F20439" s="2423"/>
    </row>
    <row r="20440" s="101" customFormat="1" spans="6:6">
      <c r="F20440" s="2423"/>
    </row>
    <row r="20441" s="101" customFormat="1" spans="6:6">
      <c r="F20441" s="2423"/>
    </row>
    <row r="20442" s="101" customFormat="1" spans="6:6">
      <c r="F20442" s="2423"/>
    </row>
    <row r="20443" s="101" customFormat="1" spans="6:6">
      <c r="F20443" s="2423"/>
    </row>
    <row r="20444" s="101" customFormat="1" spans="6:6">
      <c r="F20444" s="2423"/>
    </row>
    <row r="20445" s="101" customFormat="1" spans="6:6">
      <c r="F20445" s="2423"/>
    </row>
    <row r="20446" s="101" customFormat="1" spans="6:6">
      <c r="F20446" s="2423"/>
    </row>
    <row r="20447" s="101" customFormat="1" spans="6:6">
      <c r="F20447" s="2423"/>
    </row>
    <row r="20448" s="101" customFormat="1" spans="6:6">
      <c r="F20448" s="2423"/>
    </row>
    <row r="20449" s="101" customFormat="1" spans="6:6">
      <c r="F20449" s="2423"/>
    </row>
    <row r="20450" s="101" customFormat="1" spans="6:6">
      <c r="F20450" s="2423"/>
    </row>
    <row r="20451" s="101" customFormat="1" spans="6:6">
      <c r="F20451" s="2423"/>
    </row>
    <row r="20452" s="101" customFormat="1" spans="6:6">
      <c r="F20452" s="2423"/>
    </row>
    <row r="20453" s="101" customFormat="1" spans="6:6">
      <c r="F20453" s="2423"/>
    </row>
    <row r="20454" s="101" customFormat="1" spans="6:6">
      <c r="F20454" s="2423"/>
    </row>
    <row r="20455" s="101" customFormat="1" spans="6:6">
      <c r="F20455" s="2423"/>
    </row>
    <row r="20456" s="101" customFormat="1" spans="6:6">
      <c r="F20456" s="2423"/>
    </row>
    <row r="20457" s="101" customFormat="1" spans="6:6">
      <c r="F20457" s="2423"/>
    </row>
    <row r="20458" s="101" customFormat="1" spans="6:6">
      <c r="F20458" s="2423"/>
    </row>
    <row r="20459" s="101" customFormat="1" spans="6:6">
      <c r="F20459" s="2423"/>
    </row>
    <row r="20460" s="101" customFormat="1" spans="6:6">
      <c r="F20460" s="2423"/>
    </row>
    <row r="20461" s="101" customFormat="1" spans="6:6">
      <c r="F20461" s="2423"/>
    </row>
    <row r="20462" s="101" customFormat="1" spans="6:6">
      <c r="F20462" s="2423"/>
    </row>
    <row r="20463" s="101" customFormat="1" spans="6:6">
      <c r="F20463" s="2423"/>
    </row>
    <row r="20464" s="101" customFormat="1" spans="6:6">
      <c r="F20464" s="2423"/>
    </row>
    <row r="20465" s="101" customFormat="1" spans="6:6">
      <c r="F20465" s="2423"/>
    </row>
    <row r="20466" s="101" customFormat="1" spans="6:6">
      <c r="F20466" s="2423"/>
    </row>
    <row r="20467" s="101" customFormat="1" spans="6:6">
      <c r="F20467" s="2423"/>
    </row>
    <row r="20468" s="101" customFormat="1" spans="6:6">
      <c r="F20468" s="2423"/>
    </row>
    <row r="20469" s="101" customFormat="1" spans="6:6">
      <c r="F20469" s="2423"/>
    </row>
    <row r="20470" s="101" customFormat="1" spans="6:6">
      <c r="F20470" s="2423"/>
    </row>
    <row r="20471" s="101" customFormat="1" spans="6:6">
      <c r="F20471" s="2423"/>
    </row>
    <row r="20472" s="101" customFormat="1" spans="6:6">
      <c r="F20472" s="2423"/>
    </row>
    <row r="20473" s="101" customFormat="1" spans="6:6">
      <c r="F20473" s="2423"/>
    </row>
    <row r="20474" s="101" customFormat="1" spans="6:6">
      <c r="F20474" s="2423"/>
    </row>
    <row r="20475" s="101" customFormat="1" spans="6:6">
      <c r="F20475" s="2423"/>
    </row>
    <row r="20476" s="101" customFormat="1" spans="6:6">
      <c r="F20476" s="2423"/>
    </row>
    <row r="20477" s="101" customFormat="1" spans="6:6">
      <c r="F20477" s="2423"/>
    </row>
    <row r="20478" s="101" customFormat="1" spans="6:6">
      <c r="F20478" s="2423"/>
    </row>
    <row r="20479" s="101" customFormat="1" spans="6:6">
      <c r="F20479" s="2423"/>
    </row>
    <row r="20480" s="101" customFormat="1" spans="6:6">
      <c r="F20480" s="2423"/>
    </row>
    <row r="20481" s="101" customFormat="1" spans="6:6">
      <c r="F20481" s="2423"/>
    </row>
    <row r="20482" s="101" customFormat="1" spans="6:6">
      <c r="F20482" s="2423"/>
    </row>
    <row r="20483" s="101" customFormat="1" spans="6:6">
      <c r="F20483" s="2423"/>
    </row>
    <row r="20484" s="101" customFormat="1" spans="6:6">
      <c r="F20484" s="2423"/>
    </row>
    <row r="20485" s="101" customFormat="1" spans="6:6">
      <c r="F20485" s="2423"/>
    </row>
    <row r="20486" s="101" customFormat="1" spans="6:6">
      <c r="F20486" s="2423"/>
    </row>
    <row r="20487" s="101" customFormat="1" spans="6:6">
      <c r="F20487" s="2423"/>
    </row>
    <row r="20488" s="101" customFormat="1" spans="6:6">
      <c r="F20488" s="2423"/>
    </row>
    <row r="20489" s="101" customFormat="1" spans="6:6">
      <c r="F20489" s="2423"/>
    </row>
    <row r="20490" s="101" customFormat="1" spans="6:6">
      <c r="F20490" s="2423"/>
    </row>
    <row r="20491" s="101" customFormat="1" spans="6:6">
      <c r="F20491" s="2423"/>
    </row>
    <row r="20492" s="101" customFormat="1" spans="6:6">
      <c r="F20492" s="2423"/>
    </row>
    <row r="20493" s="101" customFormat="1" spans="6:6">
      <c r="F20493" s="2423"/>
    </row>
    <row r="20494" s="101" customFormat="1" spans="6:6">
      <c r="F20494" s="2423"/>
    </row>
    <row r="20495" s="101" customFormat="1" spans="6:6">
      <c r="F20495" s="2423"/>
    </row>
    <row r="20496" s="101" customFormat="1" spans="6:6">
      <c r="F20496" s="2423"/>
    </row>
    <row r="20497" s="101" customFormat="1" spans="6:6">
      <c r="F20497" s="2423"/>
    </row>
    <row r="20498" s="101" customFormat="1" spans="6:6">
      <c r="F20498" s="2423"/>
    </row>
    <row r="20499" s="101" customFormat="1" spans="6:6">
      <c r="F20499" s="2423"/>
    </row>
    <row r="20500" s="101" customFormat="1" spans="6:6">
      <c r="F20500" s="2423"/>
    </row>
    <row r="20501" s="101" customFormat="1" spans="6:6">
      <c r="F20501" s="2423"/>
    </row>
    <row r="20502" s="101" customFormat="1" spans="6:6">
      <c r="F20502" s="2423"/>
    </row>
    <row r="20503" s="101" customFormat="1" spans="6:6">
      <c r="F20503" s="2423"/>
    </row>
    <row r="20504" s="101" customFormat="1" spans="6:6">
      <c r="F20504" s="2423"/>
    </row>
    <row r="20505" s="101" customFormat="1" spans="6:6">
      <c r="F20505" s="2423"/>
    </row>
    <row r="20506" s="101" customFormat="1" spans="6:6">
      <c r="F20506" s="2423"/>
    </row>
    <row r="20507" s="101" customFormat="1" spans="6:6">
      <c r="F20507" s="2423"/>
    </row>
    <row r="20508" s="101" customFormat="1" spans="6:6">
      <c r="F20508" s="2423"/>
    </row>
    <row r="20509" s="101" customFormat="1" spans="6:6">
      <c r="F20509" s="2423"/>
    </row>
    <row r="20510" s="101" customFormat="1" spans="6:6">
      <c r="F20510" s="2423"/>
    </row>
    <row r="20511" s="101" customFormat="1" spans="6:6">
      <c r="F20511" s="2423"/>
    </row>
    <row r="20512" s="101" customFormat="1" spans="6:6">
      <c r="F20512" s="2423"/>
    </row>
    <row r="20513" s="101" customFormat="1" spans="6:6">
      <c r="F20513" s="2423"/>
    </row>
    <row r="20514" s="101" customFormat="1" spans="6:6">
      <c r="F20514" s="2423"/>
    </row>
    <row r="20515" s="101" customFormat="1" spans="6:6">
      <c r="F20515" s="2423"/>
    </row>
    <row r="20516" s="101" customFormat="1" spans="6:6">
      <c r="F20516" s="2423"/>
    </row>
    <row r="20517" s="101" customFormat="1" spans="6:6">
      <c r="F20517" s="2423"/>
    </row>
    <row r="20518" s="101" customFormat="1" spans="6:6">
      <c r="F20518" s="2423"/>
    </row>
    <row r="20519" s="101" customFormat="1" spans="6:6">
      <c r="F20519" s="2423"/>
    </row>
    <row r="20520" s="101" customFormat="1" spans="6:6">
      <c r="F20520" s="2423"/>
    </row>
    <row r="20521" s="101" customFormat="1" spans="6:6">
      <c r="F20521" s="2423"/>
    </row>
    <row r="20522" s="101" customFormat="1" spans="6:6">
      <c r="F20522" s="2423"/>
    </row>
    <row r="20523" s="101" customFormat="1" spans="6:6">
      <c r="F20523" s="2423"/>
    </row>
    <row r="20524" s="101" customFormat="1" spans="6:6">
      <c r="F20524" s="2423"/>
    </row>
    <row r="20525" s="101" customFormat="1" spans="6:6">
      <c r="F20525" s="2423"/>
    </row>
    <row r="20526" s="101" customFormat="1" spans="6:6">
      <c r="F20526" s="2423"/>
    </row>
    <row r="20527" s="101" customFormat="1" spans="6:6">
      <c r="F20527" s="2423"/>
    </row>
    <row r="20528" s="101" customFormat="1" spans="6:6">
      <c r="F20528" s="2423"/>
    </row>
    <row r="20529" s="101" customFormat="1" spans="6:6">
      <c r="F20529" s="2423"/>
    </row>
    <row r="20530" s="101" customFormat="1" spans="6:6">
      <c r="F20530" s="2423"/>
    </row>
    <row r="20531" s="101" customFormat="1" spans="6:6">
      <c r="F20531" s="2423"/>
    </row>
    <row r="20532" s="101" customFormat="1" spans="6:6">
      <c r="F20532" s="2423"/>
    </row>
    <row r="20533" s="101" customFormat="1" spans="6:6">
      <c r="F20533" s="2423"/>
    </row>
    <row r="20534" s="101" customFormat="1" spans="6:6">
      <c r="F20534" s="2423"/>
    </row>
    <row r="20535" s="101" customFormat="1" spans="6:6">
      <c r="F20535" s="2423"/>
    </row>
    <row r="20536" s="101" customFormat="1" spans="6:6">
      <c r="F20536" s="2423"/>
    </row>
    <row r="20537" s="101" customFormat="1" spans="6:6">
      <c r="F20537" s="2423"/>
    </row>
    <row r="20538" s="101" customFormat="1" spans="6:6">
      <c r="F20538" s="2423"/>
    </row>
    <row r="20539" s="101" customFormat="1" spans="6:6">
      <c r="F20539" s="2423"/>
    </row>
    <row r="20540" s="101" customFormat="1" spans="6:6">
      <c r="F20540" s="2423"/>
    </row>
    <row r="20541" s="101" customFormat="1" spans="6:6">
      <c r="F20541" s="2423"/>
    </row>
    <row r="20542" s="101" customFormat="1" spans="6:6">
      <c r="F20542" s="2423"/>
    </row>
    <row r="20543" s="101" customFormat="1" spans="6:6">
      <c r="F20543" s="2423"/>
    </row>
    <row r="20544" s="101" customFormat="1" spans="6:6">
      <c r="F20544" s="2423"/>
    </row>
    <row r="20545" s="101" customFormat="1" spans="6:6">
      <c r="F20545" s="2423"/>
    </row>
    <row r="20546" s="101" customFormat="1" spans="6:6">
      <c r="F20546" s="2423"/>
    </row>
    <row r="20547" s="101" customFormat="1" spans="6:6">
      <c r="F20547" s="2423"/>
    </row>
    <row r="20548" s="101" customFormat="1" spans="6:6">
      <c r="F20548" s="2423"/>
    </row>
    <row r="20549" s="101" customFormat="1" spans="6:6">
      <c r="F20549" s="2423"/>
    </row>
    <row r="20550" s="101" customFormat="1" spans="6:6">
      <c r="F20550" s="2423"/>
    </row>
    <row r="20551" s="101" customFormat="1" spans="6:6">
      <c r="F20551" s="2423"/>
    </row>
    <row r="20552" s="101" customFormat="1" spans="6:6">
      <c r="F20552" s="2423"/>
    </row>
    <row r="20553" s="101" customFormat="1" spans="6:6">
      <c r="F20553" s="2423"/>
    </row>
    <row r="20554" s="101" customFormat="1" spans="6:6">
      <c r="F20554" s="2423"/>
    </row>
    <row r="20555" s="101" customFormat="1" spans="6:6">
      <c r="F20555" s="2423"/>
    </row>
    <row r="20556" s="101" customFormat="1" spans="6:6">
      <c r="F20556" s="2423"/>
    </row>
    <row r="20557" s="101" customFormat="1" spans="6:6">
      <c r="F20557" s="2423"/>
    </row>
    <row r="20558" s="101" customFormat="1" spans="6:6">
      <c r="F20558" s="2423"/>
    </row>
    <row r="20559" s="101" customFormat="1" spans="6:6">
      <c r="F20559" s="2423"/>
    </row>
    <row r="20560" s="101" customFormat="1" spans="6:6">
      <c r="F20560" s="2423"/>
    </row>
    <row r="20561" s="101" customFormat="1" spans="6:6">
      <c r="F20561" s="2423"/>
    </row>
    <row r="20562" s="101" customFormat="1" spans="6:6">
      <c r="F20562" s="2423"/>
    </row>
    <row r="20563" s="101" customFormat="1" spans="6:6">
      <c r="F20563" s="2423"/>
    </row>
    <row r="20564" s="101" customFormat="1" spans="6:6">
      <c r="F20564" s="2423"/>
    </row>
    <row r="20565" s="101" customFormat="1" spans="6:6">
      <c r="F20565" s="2423"/>
    </row>
    <row r="20566" s="101" customFormat="1" spans="6:6">
      <c r="F20566" s="2423"/>
    </row>
    <row r="20567" s="101" customFormat="1" spans="6:6">
      <c r="F20567" s="2423"/>
    </row>
    <row r="20568" s="101" customFormat="1" spans="6:6">
      <c r="F20568" s="2423"/>
    </row>
    <row r="20569" s="101" customFormat="1" spans="6:6">
      <c r="F20569" s="2423"/>
    </row>
    <row r="20570" s="101" customFormat="1" spans="6:6">
      <c r="F20570" s="2423"/>
    </row>
    <row r="20571" s="101" customFormat="1" spans="6:6">
      <c r="F20571" s="2423"/>
    </row>
    <row r="20572" s="101" customFormat="1" spans="6:6">
      <c r="F20572" s="2423"/>
    </row>
    <row r="20573" s="101" customFormat="1" spans="6:6">
      <c r="F20573" s="2423"/>
    </row>
    <row r="20574" s="101" customFormat="1" spans="6:6">
      <c r="F20574" s="2423"/>
    </row>
    <row r="20575" s="101" customFormat="1" spans="6:6">
      <c r="F20575" s="2423"/>
    </row>
    <row r="20576" s="101" customFormat="1" spans="6:6">
      <c r="F20576" s="2423"/>
    </row>
    <row r="20577" s="101" customFormat="1" spans="6:6">
      <c r="F20577" s="2423"/>
    </row>
    <row r="20578" s="101" customFormat="1" spans="6:6">
      <c r="F20578" s="2423"/>
    </row>
    <row r="20579" s="101" customFormat="1" spans="6:6">
      <c r="F20579" s="2423"/>
    </row>
    <row r="20580" s="101" customFormat="1" spans="6:6">
      <c r="F20580" s="2423"/>
    </row>
    <row r="20581" s="101" customFormat="1" spans="6:6">
      <c r="F20581" s="2423"/>
    </row>
    <row r="20582" s="101" customFormat="1" spans="6:6">
      <c r="F20582" s="2423"/>
    </row>
    <row r="20583" s="101" customFormat="1" spans="6:6">
      <c r="F20583" s="2423"/>
    </row>
    <row r="20584" s="101" customFormat="1" spans="6:6">
      <c r="F20584" s="2423"/>
    </row>
    <row r="20585" s="101" customFormat="1" spans="6:6">
      <c r="F20585" s="2423"/>
    </row>
    <row r="20586" s="101" customFormat="1" spans="6:6">
      <c r="F20586" s="2423"/>
    </row>
    <row r="20587" s="101" customFormat="1" spans="6:6">
      <c r="F20587" s="2423"/>
    </row>
    <row r="20588" s="101" customFormat="1" spans="6:6">
      <c r="F20588" s="2423"/>
    </row>
    <row r="20589" s="101" customFormat="1" spans="6:6">
      <c r="F20589" s="2423"/>
    </row>
    <row r="20590" s="101" customFormat="1" spans="6:6">
      <c r="F20590" s="2423"/>
    </row>
    <row r="20591" s="101" customFormat="1" spans="6:6">
      <c r="F20591" s="2423"/>
    </row>
    <row r="20592" s="101" customFormat="1" spans="6:6">
      <c r="F20592" s="2423"/>
    </row>
    <row r="20593" s="101" customFormat="1" spans="6:6">
      <c r="F20593" s="2423"/>
    </row>
    <row r="20594" s="101" customFormat="1" spans="6:6">
      <c r="F20594" s="2423"/>
    </row>
    <row r="20595" s="101" customFormat="1" spans="6:6">
      <c r="F20595" s="2423"/>
    </row>
    <row r="20596" s="101" customFormat="1" spans="6:6">
      <c r="F20596" s="2423"/>
    </row>
    <row r="20597" s="101" customFormat="1" spans="6:6">
      <c r="F20597" s="2423"/>
    </row>
    <row r="20598" s="101" customFormat="1" spans="6:6">
      <c r="F20598" s="2423"/>
    </row>
    <row r="20599" s="101" customFormat="1" spans="6:6">
      <c r="F20599" s="2423"/>
    </row>
    <row r="20600" s="101" customFormat="1" spans="6:6">
      <c r="F20600" s="2423"/>
    </row>
    <row r="20601" s="101" customFormat="1" spans="6:6">
      <c r="F20601" s="2423"/>
    </row>
    <row r="20602" s="101" customFormat="1" spans="6:6">
      <c r="F20602" s="2423"/>
    </row>
    <row r="20603" s="101" customFormat="1" spans="6:6">
      <c r="F20603" s="2423"/>
    </row>
    <row r="20604" s="101" customFormat="1" spans="6:6">
      <c r="F20604" s="2423"/>
    </row>
    <row r="20605" s="101" customFormat="1" spans="6:6">
      <c r="F20605" s="2423"/>
    </row>
    <row r="20606" s="101" customFormat="1" spans="6:6">
      <c r="F20606" s="2423"/>
    </row>
    <row r="20607" s="101" customFormat="1" spans="6:6">
      <c r="F20607" s="2423"/>
    </row>
    <row r="20608" s="101" customFormat="1" spans="6:6">
      <c r="F20608" s="2423"/>
    </row>
    <row r="20609" s="101" customFormat="1" spans="6:6">
      <c r="F20609" s="2423"/>
    </row>
    <row r="20610" s="101" customFormat="1" spans="6:6">
      <c r="F20610" s="2423"/>
    </row>
    <row r="20611" s="101" customFormat="1" spans="6:6">
      <c r="F20611" s="2423"/>
    </row>
    <row r="20612" s="101" customFormat="1" spans="6:6">
      <c r="F20612" s="2423"/>
    </row>
    <row r="20613" s="101" customFormat="1" spans="6:6">
      <c r="F20613" s="2423"/>
    </row>
    <row r="20614" s="101" customFormat="1" spans="6:6">
      <c r="F20614" s="2423"/>
    </row>
    <row r="20615" s="101" customFormat="1" spans="6:6">
      <c r="F20615" s="2423"/>
    </row>
    <row r="20616" s="101" customFormat="1" spans="6:6">
      <c r="F20616" s="2423"/>
    </row>
    <row r="20617" s="101" customFormat="1" spans="6:6">
      <c r="F20617" s="2423"/>
    </row>
    <row r="20618" s="101" customFormat="1" spans="6:6">
      <c r="F20618" s="2423"/>
    </row>
    <row r="20619" s="101" customFormat="1" spans="6:6">
      <c r="F20619" s="2423"/>
    </row>
    <row r="20620" s="101" customFormat="1" spans="6:6">
      <c r="F20620" s="2423"/>
    </row>
    <row r="20621" s="101" customFormat="1" spans="6:6">
      <c r="F20621" s="2423"/>
    </row>
    <row r="20622" s="101" customFormat="1" spans="6:6">
      <c r="F20622" s="2423"/>
    </row>
    <row r="20623" s="101" customFormat="1" spans="6:6">
      <c r="F20623" s="2423"/>
    </row>
    <row r="20624" s="101" customFormat="1" spans="6:6">
      <c r="F20624" s="2423"/>
    </row>
    <row r="20625" s="101" customFormat="1" spans="6:6">
      <c r="F20625" s="2423"/>
    </row>
    <row r="20626" s="101" customFormat="1" spans="6:6">
      <c r="F20626" s="2423"/>
    </row>
    <row r="20627" s="101" customFormat="1" spans="6:6">
      <c r="F20627" s="2423"/>
    </row>
    <row r="20628" s="101" customFormat="1" spans="6:6">
      <c r="F20628" s="2423"/>
    </row>
    <row r="20629" s="101" customFormat="1" spans="6:6">
      <c r="F20629" s="2423"/>
    </row>
    <row r="20630" s="101" customFormat="1" spans="6:6">
      <c r="F20630" s="2423"/>
    </row>
    <row r="20631" s="101" customFormat="1" spans="6:6">
      <c r="F20631" s="2423"/>
    </row>
    <row r="20632" s="101" customFormat="1" spans="6:6">
      <c r="F20632" s="2423"/>
    </row>
    <row r="20633" s="101" customFormat="1" spans="6:6">
      <c r="F20633" s="2423"/>
    </row>
    <row r="20634" s="101" customFormat="1" spans="6:6">
      <c r="F20634" s="2423"/>
    </row>
    <row r="20635" s="101" customFormat="1" spans="6:6">
      <c r="F20635" s="2423"/>
    </row>
    <row r="20636" s="101" customFormat="1" spans="6:6">
      <c r="F20636" s="2423"/>
    </row>
    <row r="20637" s="101" customFormat="1" spans="6:6">
      <c r="F20637" s="2423"/>
    </row>
    <row r="20638" s="101" customFormat="1" spans="6:6">
      <c r="F20638" s="2423"/>
    </row>
    <row r="20639" s="101" customFormat="1" spans="6:6">
      <c r="F20639" s="2423"/>
    </row>
    <row r="20640" s="101" customFormat="1" spans="6:6">
      <c r="F20640" s="2423"/>
    </row>
    <row r="20641" s="101" customFormat="1" spans="6:6">
      <c r="F20641" s="2423"/>
    </row>
    <row r="20642" s="101" customFormat="1" spans="6:6">
      <c r="F20642" s="2423"/>
    </row>
    <row r="20643" s="101" customFormat="1" spans="6:6">
      <c r="F20643" s="2423"/>
    </row>
    <row r="20644" s="101" customFormat="1" spans="6:6">
      <c r="F20644" s="2423"/>
    </row>
    <row r="20645" s="101" customFormat="1" spans="6:6">
      <c r="F20645" s="2423"/>
    </row>
    <row r="20646" s="101" customFormat="1" spans="6:6">
      <c r="F20646" s="2423"/>
    </row>
    <row r="20647" s="101" customFormat="1" spans="6:6">
      <c r="F20647" s="2423"/>
    </row>
    <row r="20648" s="101" customFormat="1" spans="6:6">
      <c r="F20648" s="2423"/>
    </row>
    <row r="20649" s="101" customFormat="1" spans="6:6">
      <c r="F20649" s="2423"/>
    </row>
    <row r="20650" s="101" customFormat="1" spans="6:6">
      <c r="F20650" s="2423"/>
    </row>
    <row r="20651" s="101" customFormat="1" spans="6:6">
      <c r="F20651" s="2423"/>
    </row>
    <row r="20652" s="101" customFormat="1" spans="6:6">
      <c r="F20652" s="2423"/>
    </row>
    <row r="20653" s="101" customFormat="1" spans="6:6">
      <c r="F20653" s="2423"/>
    </row>
    <row r="20654" s="101" customFormat="1" spans="6:6">
      <c r="F20654" s="2423"/>
    </row>
    <row r="20655" s="101" customFormat="1" spans="6:6">
      <c r="F20655" s="2423"/>
    </row>
    <row r="20656" s="101" customFormat="1" spans="6:6">
      <c r="F20656" s="2423"/>
    </row>
    <row r="20657" s="101" customFormat="1" spans="6:6">
      <c r="F20657" s="2423"/>
    </row>
    <row r="20658" s="101" customFormat="1" spans="6:6">
      <c r="F20658" s="2423"/>
    </row>
    <row r="20659" s="101" customFormat="1" spans="6:6">
      <c r="F20659" s="2423"/>
    </row>
    <row r="20660" s="101" customFormat="1" spans="6:6">
      <c r="F20660" s="2423"/>
    </row>
    <row r="20661" s="101" customFormat="1" spans="6:6">
      <c r="F20661" s="2423"/>
    </row>
    <row r="20662" s="101" customFormat="1" spans="6:6">
      <c r="F20662" s="2423"/>
    </row>
    <row r="20663" s="101" customFormat="1" spans="6:6">
      <c r="F20663" s="2423"/>
    </row>
    <row r="20664" s="101" customFormat="1" spans="6:6">
      <c r="F20664" s="2423"/>
    </row>
    <row r="20665" s="101" customFormat="1" spans="6:6">
      <c r="F20665" s="2423"/>
    </row>
    <row r="20666" s="101" customFormat="1" spans="6:6">
      <c r="F20666" s="2423"/>
    </row>
    <row r="20667" s="101" customFormat="1" spans="6:6">
      <c r="F20667" s="2423"/>
    </row>
    <row r="20668" s="101" customFormat="1" spans="6:6">
      <c r="F20668" s="2423"/>
    </row>
    <row r="20669" s="101" customFormat="1" spans="6:6">
      <c r="F20669" s="2423"/>
    </row>
    <row r="20670" s="101" customFormat="1" spans="6:6">
      <c r="F20670" s="2423"/>
    </row>
    <row r="20671" s="101" customFormat="1" spans="6:6">
      <c r="F20671" s="2423"/>
    </row>
    <row r="20672" s="101" customFormat="1" spans="6:6">
      <c r="F20672" s="2423"/>
    </row>
    <row r="20673" s="101" customFormat="1" spans="6:6">
      <c r="F20673" s="2423"/>
    </row>
    <row r="20674" s="101" customFormat="1" spans="6:6">
      <c r="F20674" s="2423"/>
    </row>
    <row r="20675" s="101" customFormat="1" spans="6:6">
      <c r="F20675" s="2423"/>
    </row>
    <row r="20676" s="101" customFormat="1" spans="6:6">
      <c r="F20676" s="2423"/>
    </row>
    <row r="20677" s="101" customFormat="1" spans="6:6">
      <c r="F20677" s="2423"/>
    </row>
    <row r="20678" s="101" customFormat="1" spans="6:6">
      <c r="F20678" s="2423"/>
    </row>
    <row r="20679" s="101" customFormat="1" spans="6:6">
      <c r="F20679" s="2423"/>
    </row>
    <row r="20680" s="101" customFormat="1" spans="6:6">
      <c r="F20680" s="2423"/>
    </row>
    <row r="20681" s="101" customFormat="1" spans="6:6">
      <c r="F20681" s="2423"/>
    </row>
    <row r="20682" s="101" customFormat="1" spans="6:6">
      <c r="F20682" s="2423"/>
    </row>
    <row r="20683" s="101" customFormat="1" spans="6:6">
      <c r="F20683" s="2423"/>
    </row>
    <row r="20684" s="101" customFormat="1" spans="6:6">
      <c r="F20684" s="2423"/>
    </row>
    <row r="20685" s="101" customFormat="1" spans="6:6">
      <c r="F20685" s="2423"/>
    </row>
    <row r="20686" s="101" customFormat="1" spans="6:6">
      <c r="F20686" s="2423"/>
    </row>
    <row r="20687" s="101" customFormat="1" spans="6:6">
      <c r="F20687" s="2423"/>
    </row>
    <row r="20688" s="101" customFormat="1" spans="6:6">
      <c r="F20688" s="2423"/>
    </row>
    <row r="20689" s="101" customFormat="1" spans="6:6">
      <c r="F20689" s="2423"/>
    </row>
    <row r="20690" s="101" customFormat="1" spans="6:6">
      <c r="F20690" s="2423"/>
    </row>
    <row r="20691" s="101" customFormat="1" spans="6:6">
      <c r="F20691" s="2423"/>
    </row>
    <row r="20692" s="101" customFormat="1" spans="6:6">
      <c r="F20692" s="2423"/>
    </row>
    <row r="20693" s="101" customFormat="1" spans="6:6">
      <c r="F20693" s="2423"/>
    </row>
    <row r="20694" s="101" customFormat="1" spans="6:6">
      <c r="F20694" s="2423"/>
    </row>
    <row r="20695" s="101" customFormat="1" spans="6:6">
      <c r="F20695" s="2423"/>
    </row>
    <row r="20696" s="101" customFormat="1" spans="6:6">
      <c r="F20696" s="2423"/>
    </row>
    <row r="20697" s="101" customFormat="1" spans="6:6">
      <c r="F20697" s="2423"/>
    </row>
    <row r="20698" s="101" customFormat="1" spans="6:6">
      <c r="F20698" s="2423"/>
    </row>
    <row r="20699" s="101" customFormat="1" spans="6:6">
      <c r="F20699" s="2423"/>
    </row>
    <row r="20700" s="101" customFormat="1" spans="6:6">
      <c r="F20700" s="2423"/>
    </row>
    <row r="20701" s="101" customFormat="1" spans="6:6">
      <c r="F20701" s="2423"/>
    </row>
    <row r="20702" s="101" customFormat="1" spans="6:6">
      <c r="F20702" s="2423"/>
    </row>
    <row r="20703" s="101" customFormat="1" spans="6:6">
      <c r="F20703" s="2423"/>
    </row>
    <row r="20704" s="101" customFormat="1" spans="6:6">
      <c r="F20704" s="2423"/>
    </row>
    <row r="20705" s="101" customFormat="1" spans="6:6">
      <c r="F20705" s="2423"/>
    </row>
    <row r="20706" s="101" customFormat="1" spans="6:6">
      <c r="F20706" s="2423"/>
    </row>
    <row r="20707" s="101" customFormat="1" spans="6:6">
      <c r="F20707" s="2423"/>
    </row>
    <row r="20708" s="101" customFormat="1" spans="6:6">
      <c r="F20708" s="2423"/>
    </row>
    <row r="20709" s="101" customFormat="1" spans="6:6">
      <c r="F20709" s="2423"/>
    </row>
    <row r="20710" s="101" customFormat="1" spans="6:6">
      <c r="F20710" s="2423"/>
    </row>
    <row r="20711" s="101" customFormat="1" spans="6:6">
      <c r="F20711" s="2423"/>
    </row>
    <row r="20712" s="101" customFormat="1" spans="6:6">
      <c r="F20712" s="2423"/>
    </row>
    <row r="20713" s="101" customFormat="1" spans="6:6">
      <c r="F20713" s="2423"/>
    </row>
    <row r="20714" s="101" customFormat="1" spans="6:6">
      <c r="F20714" s="2423"/>
    </row>
    <row r="20715" s="101" customFormat="1" spans="6:6">
      <c r="F20715" s="2423"/>
    </row>
    <row r="20716" s="101" customFormat="1" spans="6:6">
      <c r="F20716" s="2423"/>
    </row>
    <row r="20717" s="101" customFormat="1" spans="6:6">
      <c r="F20717" s="2423"/>
    </row>
    <row r="20718" s="101" customFormat="1" spans="6:6">
      <c r="F20718" s="2423"/>
    </row>
    <row r="20719" s="101" customFormat="1" spans="6:6">
      <c r="F20719" s="2423"/>
    </row>
    <row r="20720" s="101" customFormat="1" spans="6:6">
      <c r="F20720" s="2423"/>
    </row>
    <row r="20721" s="101" customFormat="1" spans="6:6">
      <c r="F20721" s="2423"/>
    </row>
    <row r="20722" s="101" customFormat="1" spans="6:6">
      <c r="F20722" s="2423"/>
    </row>
    <row r="20723" s="101" customFormat="1" spans="6:6">
      <c r="F20723" s="2423"/>
    </row>
    <row r="20724" s="101" customFormat="1" spans="6:6">
      <c r="F20724" s="2423"/>
    </row>
    <row r="20725" s="101" customFormat="1" spans="6:6">
      <c r="F20725" s="2423"/>
    </row>
    <row r="20726" s="101" customFormat="1" spans="6:6">
      <c r="F20726" s="2423"/>
    </row>
    <row r="20727" s="101" customFormat="1" spans="6:6">
      <c r="F20727" s="2423"/>
    </row>
    <row r="20728" s="101" customFormat="1" spans="6:6">
      <c r="F20728" s="2423"/>
    </row>
    <row r="20729" s="101" customFormat="1" spans="6:6">
      <c r="F20729" s="2423"/>
    </row>
    <row r="20730" s="101" customFormat="1" spans="6:6">
      <c r="F20730" s="2423"/>
    </row>
    <row r="20731" s="101" customFormat="1" spans="6:6">
      <c r="F20731" s="2423"/>
    </row>
    <row r="20732" s="101" customFormat="1" spans="6:6">
      <c r="F20732" s="2423"/>
    </row>
    <row r="20733" s="101" customFormat="1" spans="6:6">
      <c r="F20733" s="2423"/>
    </row>
    <row r="20734" s="101" customFormat="1" spans="6:6">
      <c r="F20734" s="2423"/>
    </row>
    <row r="20735" s="101" customFormat="1" spans="6:6">
      <c r="F20735" s="2423"/>
    </row>
    <row r="20736" s="101" customFormat="1" spans="6:6">
      <c r="F20736" s="2423"/>
    </row>
    <row r="20737" s="101" customFormat="1" spans="6:6">
      <c r="F20737" s="2423"/>
    </row>
    <row r="20738" s="101" customFormat="1" spans="6:6">
      <c r="F20738" s="2423"/>
    </row>
    <row r="20739" s="101" customFormat="1" spans="6:6">
      <c r="F20739" s="2423"/>
    </row>
    <row r="20740" s="101" customFormat="1" spans="6:6">
      <c r="F20740" s="2423"/>
    </row>
    <row r="20741" s="101" customFormat="1" spans="6:6">
      <c r="F20741" s="2423"/>
    </row>
    <row r="20742" s="101" customFormat="1" spans="6:6">
      <c r="F20742" s="2423"/>
    </row>
    <row r="20743" s="101" customFormat="1" spans="6:6">
      <c r="F20743" s="2423"/>
    </row>
    <row r="20744" s="101" customFormat="1" spans="6:6">
      <c r="F20744" s="2423"/>
    </row>
    <row r="20745" s="101" customFormat="1" spans="6:6">
      <c r="F20745" s="2423"/>
    </row>
    <row r="20746" s="101" customFormat="1" spans="6:6">
      <c r="F20746" s="2423"/>
    </row>
    <row r="20747" s="101" customFormat="1" spans="6:6">
      <c r="F20747" s="2423"/>
    </row>
    <row r="20748" s="101" customFormat="1" spans="6:6">
      <c r="F20748" s="2423"/>
    </row>
    <row r="20749" s="101" customFormat="1" spans="6:6">
      <c r="F20749" s="2423"/>
    </row>
    <row r="20750" s="101" customFormat="1" spans="6:6">
      <c r="F20750" s="2423"/>
    </row>
    <row r="20751" s="101" customFormat="1" spans="6:6">
      <c r="F20751" s="2423"/>
    </row>
    <row r="20752" s="101" customFormat="1" spans="6:6">
      <c r="F20752" s="2423"/>
    </row>
    <row r="20753" s="101" customFormat="1" spans="6:6">
      <c r="F20753" s="2423"/>
    </row>
    <row r="20754" s="101" customFormat="1" spans="6:6">
      <c r="F20754" s="2423"/>
    </row>
    <row r="20755" s="101" customFormat="1" spans="6:6">
      <c r="F20755" s="2423"/>
    </row>
    <row r="20756" s="101" customFormat="1" spans="6:6">
      <c r="F20756" s="2423"/>
    </row>
    <row r="20757" s="101" customFormat="1" spans="6:6">
      <c r="F20757" s="2423"/>
    </row>
    <row r="20758" s="101" customFormat="1" spans="6:6">
      <c r="F20758" s="2423"/>
    </row>
    <row r="20759" s="101" customFormat="1" spans="6:6">
      <c r="F20759" s="2423"/>
    </row>
    <row r="20760" s="101" customFormat="1" spans="6:6">
      <c r="F20760" s="2423"/>
    </row>
    <row r="20761" s="101" customFormat="1" spans="6:6">
      <c r="F20761" s="2423"/>
    </row>
    <row r="20762" s="101" customFormat="1" spans="6:6">
      <c r="F20762" s="2423"/>
    </row>
    <row r="20763" s="101" customFormat="1" spans="6:6">
      <c r="F20763" s="2423"/>
    </row>
    <row r="20764" s="101" customFormat="1" spans="6:6">
      <c r="F20764" s="2423"/>
    </row>
    <row r="20765" s="101" customFormat="1" spans="6:6">
      <c r="F20765" s="2423"/>
    </row>
    <row r="20766" s="101" customFormat="1" spans="6:6">
      <c r="F20766" s="2423"/>
    </row>
    <row r="20767" s="101" customFormat="1" spans="6:6">
      <c r="F20767" s="2423"/>
    </row>
    <row r="20768" s="101" customFormat="1" spans="6:6">
      <c r="F20768" s="2423"/>
    </row>
    <row r="20769" s="101" customFormat="1" spans="6:6">
      <c r="F20769" s="2423"/>
    </row>
    <row r="20770" s="101" customFormat="1" spans="6:6">
      <c r="F20770" s="2423"/>
    </row>
    <row r="20771" s="101" customFormat="1" spans="6:6">
      <c r="F20771" s="2423"/>
    </row>
    <row r="20772" s="101" customFormat="1" spans="6:6">
      <c r="F20772" s="2423"/>
    </row>
    <row r="20773" s="101" customFormat="1" spans="6:6">
      <c r="F20773" s="2423"/>
    </row>
    <row r="20774" s="101" customFormat="1" spans="6:6">
      <c r="F20774" s="2423"/>
    </row>
    <row r="20775" s="101" customFormat="1" spans="6:6">
      <c r="F20775" s="2423"/>
    </row>
    <row r="20776" s="101" customFormat="1" spans="6:6">
      <c r="F20776" s="2423"/>
    </row>
    <row r="20777" s="101" customFormat="1" spans="6:6">
      <c r="F20777" s="2423"/>
    </row>
    <row r="20778" s="101" customFormat="1" spans="6:6">
      <c r="F20778" s="2423"/>
    </row>
    <row r="20779" s="101" customFormat="1" spans="6:6">
      <c r="F20779" s="2423"/>
    </row>
    <row r="20780" s="101" customFormat="1" spans="6:6">
      <c r="F20780" s="2423"/>
    </row>
    <row r="20781" s="101" customFormat="1" spans="6:6">
      <c r="F20781" s="2423"/>
    </row>
    <row r="20782" s="101" customFormat="1" spans="6:6">
      <c r="F20782" s="2423"/>
    </row>
    <row r="20783" s="101" customFormat="1" spans="6:6">
      <c r="F20783" s="2423"/>
    </row>
    <row r="20784" s="101" customFormat="1" spans="6:6">
      <c r="F20784" s="2423"/>
    </row>
    <row r="20785" s="101" customFormat="1" spans="6:6">
      <c r="F20785" s="2423"/>
    </row>
    <row r="20786" s="101" customFormat="1" spans="6:6">
      <c r="F20786" s="2423"/>
    </row>
    <row r="20787" s="101" customFormat="1" spans="6:6">
      <c r="F20787" s="2423"/>
    </row>
    <row r="20788" s="101" customFormat="1" spans="6:6">
      <c r="F20788" s="2423"/>
    </row>
    <row r="20789" s="101" customFormat="1" spans="6:6">
      <c r="F20789" s="2423"/>
    </row>
    <row r="20790" s="101" customFormat="1" spans="6:6">
      <c r="F20790" s="2423"/>
    </row>
    <row r="20791" s="101" customFormat="1" spans="6:6">
      <c r="F20791" s="2423"/>
    </row>
    <row r="20792" s="101" customFormat="1" spans="6:6">
      <c r="F20792" s="2423"/>
    </row>
    <row r="20793" s="101" customFormat="1" spans="6:6">
      <c r="F20793" s="2423"/>
    </row>
    <row r="20794" s="101" customFormat="1" spans="6:6">
      <c r="F20794" s="2423"/>
    </row>
    <row r="20795" s="101" customFormat="1" spans="6:6">
      <c r="F20795" s="2423"/>
    </row>
    <row r="20796" s="101" customFormat="1" spans="6:6">
      <c r="F20796" s="2423"/>
    </row>
    <row r="20797" s="101" customFormat="1" spans="6:6">
      <c r="F20797" s="2423"/>
    </row>
    <row r="20798" s="101" customFormat="1" spans="6:6">
      <c r="F20798" s="2423"/>
    </row>
    <row r="20799" s="101" customFormat="1" spans="6:6">
      <c r="F20799" s="2423"/>
    </row>
    <row r="20800" s="101" customFormat="1" spans="6:6">
      <c r="F20800" s="2423"/>
    </row>
    <row r="20801" s="101" customFormat="1" spans="6:6">
      <c r="F20801" s="2423"/>
    </row>
    <row r="20802" s="101" customFormat="1" spans="6:6">
      <c r="F20802" s="2423"/>
    </row>
    <row r="20803" s="101" customFormat="1" spans="6:6">
      <c r="F20803" s="2423"/>
    </row>
    <row r="20804" s="101" customFormat="1" spans="6:6">
      <c r="F20804" s="2423"/>
    </row>
    <row r="20805" s="101" customFormat="1" spans="6:6">
      <c r="F20805" s="2423"/>
    </row>
    <row r="20806" s="101" customFormat="1" spans="6:6">
      <c r="F20806" s="2423"/>
    </row>
    <row r="20807" s="101" customFormat="1" spans="6:6">
      <c r="F20807" s="2423"/>
    </row>
    <row r="20808" s="101" customFormat="1" spans="6:6">
      <c r="F20808" s="2423"/>
    </row>
    <row r="20809" s="101" customFormat="1" spans="6:6">
      <c r="F20809" s="2423"/>
    </row>
    <row r="20810" s="101" customFormat="1" spans="6:6">
      <c r="F20810" s="2423"/>
    </row>
    <row r="20811" s="101" customFormat="1" spans="6:6">
      <c r="F20811" s="2423"/>
    </row>
    <row r="20812" s="101" customFormat="1" spans="6:6">
      <c r="F20812" s="2423"/>
    </row>
    <row r="20813" s="101" customFormat="1" spans="6:6">
      <c r="F20813" s="2423"/>
    </row>
    <row r="20814" s="101" customFormat="1" spans="6:6">
      <c r="F20814" s="2423"/>
    </row>
    <row r="20815" s="101" customFormat="1" spans="6:6">
      <c r="F20815" s="2423"/>
    </row>
    <row r="20816" s="101" customFormat="1" spans="6:6">
      <c r="F20816" s="2423"/>
    </row>
    <row r="20817" s="101" customFormat="1" spans="6:6">
      <c r="F20817" s="2423"/>
    </row>
    <row r="20818" s="101" customFormat="1" spans="6:6">
      <c r="F20818" s="2423"/>
    </row>
    <row r="20819" s="101" customFormat="1" spans="6:6">
      <c r="F20819" s="2423"/>
    </row>
    <row r="20820" s="101" customFormat="1" spans="6:6">
      <c r="F20820" s="2423"/>
    </row>
    <row r="20821" s="101" customFormat="1" spans="6:6">
      <c r="F20821" s="2423"/>
    </row>
    <row r="20822" s="101" customFormat="1" spans="6:6">
      <c r="F20822" s="2423"/>
    </row>
    <row r="20823" s="101" customFormat="1" spans="6:6">
      <c r="F20823" s="2423"/>
    </row>
    <row r="20824" s="101" customFormat="1" spans="6:6">
      <c r="F20824" s="2423"/>
    </row>
    <row r="20825" s="101" customFormat="1" spans="6:6">
      <c r="F20825" s="2423"/>
    </row>
    <row r="20826" s="101" customFormat="1" spans="6:6">
      <c r="F20826" s="2423"/>
    </row>
    <row r="20827" s="101" customFormat="1" spans="6:6">
      <c r="F20827" s="2423"/>
    </row>
    <row r="20828" s="101" customFormat="1" spans="6:6">
      <c r="F20828" s="2423"/>
    </row>
    <row r="20829" s="101" customFormat="1" spans="6:6">
      <c r="F20829" s="2423"/>
    </row>
    <row r="20830" s="101" customFormat="1" spans="6:6">
      <c r="F20830" s="2423"/>
    </row>
    <row r="20831" s="101" customFormat="1" spans="6:6">
      <c r="F20831" s="2423"/>
    </row>
    <row r="20832" s="101" customFormat="1" spans="6:6">
      <c r="F20832" s="2423"/>
    </row>
    <row r="20833" s="101" customFormat="1" spans="6:6">
      <c r="F20833" s="2423"/>
    </row>
    <row r="20834" s="101" customFormat="1" spans="6:6">
      <c r="F20834" s="2423"/>
    </row>
    <row r="20835" s="101" customFormat="1" spans="6:6">
      <c r="F20835" s="2423"/>
    </row>
    <row r="20836" s="101" customFormat="1" spans="6:6">
      <c r="F20836" s="2423"/>
    </row>
    <row r="20837" s="101" customFormat="1" spans="6:6">
      <c r="F20837" s="2423"/>
    </row>
    <row r="20838" s="101" customFormat="1" spans="6:6">
      <c r="F20838" s="2423"/>
    </row>
    <row r="20839" s="101" customFormat="1" spans="6:6">
      <c r="F20839" s="2423"/>
    </row>
    <row r="20840" s="101" customFormat="1" spans="6:6">
      <c r="F20840" s="2423"/>
    </row>
    <row r="20841" s="101" customFormat="1" spans="6:6">
      <c r="F20841" s="2423"/>
    </row>
    <row r="20842" s="101" customFormat="1" spans="6:6">
      <c r="F20842" s="2423"/>
    </row>
    <row r="20843" s="101" customFormat="1" spans="6:6">
      <c r="F20843" s="2423"/>
    </row>
    <row r="20844" s="101" customFormat="1" spans="6:6">
      <c r="F20844" s="2423"/>
    </row>
    <row r="20845" s="101" customFormat="1" spans="6:6">
      <c r="F20845" s="2423"/>
    </row>
    <row r="20846" s="101" customFormat="1" spans="6:6">
      <c r="F20846" s="2423"/>
    </row>
    <row r="20847" s="101" customFormat="1" spans="6:6">
      <c r="F20847" s="2423"/>
    </row>
    <row r="20848" s="101" customFormat="1" spans="6:6">
      <c r="F20848" s="2423"/>
    </row>
    <row r="20849" s="101" customFormat="1" spans="6:6">
      <c r="F20849" s="2423"/>
    </row>
    <row r="20850" s="101" customFormat="1" spans="6:6">
      <c r="F20850" s="2423"/>
    </row>
    <row r="20851" s="101" customFormat="1" spans="6:6">
      <c r="F20851" s="2423"/>
    </row>
    <row r="20852" s="101" customFormat="1" spans="6:6">
      <c r="F20852" s="2423"/>
    </row>
    <row r="20853" s="101" customFormat="1" spans="6:6">
      <c r="F20853" s="2423"/>
    </row>
    <row r="20854" s="101" customFormat="1" spans="6:6">
      <c r="F20854" s="2423"/>
    </row>
    <row r="20855" s="101" customFormat="1" spans="6:6">
      <c r="F20855" s="2423"/>
    </row>
    <row r="20856" s="101" customFormat="1" spans="6:6">
      <c r="F20856" s="2423"/>
    </row>
    <row r="20857" s="101" customFormat="1" spans="6:6">
      <c r="F20857" s="2423"/>
    </row>
    <row r="20858" s="101" customFormat="1" spans="6:6">
      <c r="F20858" s="2423"/>
    </row>
    <row r="20859" s="101" customFormat="1" spans="6:6">
      <c r="F20859" s="2423"/>
    </row>
    <row r="20860" s="101" customFormat="1" spans="6:6">
      <c r="F20860" s="2423"/>
    </row>
    <row r="20861" s="101" customFormat="1" spans="6:6">
      <c r="F20861" s="2423"/>
    </row>
    <row r="20862" s="101" customFormat="1" spans="6:6">
      <c r="F20862" s="2423"/>
    </row>
    <row r="20863" s="101" customFormat="1" spans="6:6">
      <c r="F20863" s="2423"/>
    </row>
    <row r="20864" s="101" customFormat="1" spans="6:6">
      <c r="F20864" s="2423"/>
    </row>
    <row r="20865" s="101" customFormat="1" spans="6:6">
      <c r="F20865" s="2423"/>
    </row>
    <row r="20866" s="101" customFormat="1" spans="6:6">
      <c r="F20866" s="2423"/>
    </row>
    <row r="20867" s="101" customFormat="1" spans="6:6">
      <c r="F20867" s="2423"/>
    </row>
    <row r="20868" s="101" customFormat="1" spans="6:6">
      <c r="F20868" s="2423"/>
    </row>
    <row r="20869" s="101" customFormat="1" spans="6:6">
      <c r="F20869" s="2423"/>
    </row>
    <row r="20870" s="101" customFormat="1" spans="6:6">
      <c r="F20870" s="2423"/>
    </row>
    <row r="20871" s="101" customFormat="1" spans="6:6">
      <c r="F20871" s="2423"/>
    </row>
    <row r="20872" s="101" customFormat="1" spans="6:6">
      <c r="F20872" s="2423"/>
    </row>
    <row r="20873" s="101" customFormat="1" spans="6:6">
      <c r="F20873" s="2423"/>
    </row>
    <row r="20874" s="101" customFormat="1" spans="6:6">
      <c r="F20874" s="2423"/>
    </row>
    <row r="20875" s="101" customFormat="1" spans="6:6">
      <c r="F20875" s="2423"/>
    </row>
    <row r="20876" s="101" customFormat="1" spans="6:6">
      <c r="F20876" s="2423"/>
    </row>
    <row r="20877" s="101" customFormat="1" spans="6:6">
      <c r="F20877" s="2423"/>
    </row>
    <row r="20878" s="101" customFormat="1" spans="6:6">
      <c r="F20878" s="2423"/>
    </row>
    <row r="20879" s="101" customFormat="1" spans="6:6">
      <c r="F20879" s="2423"/>
    </row>
    <row r="20880" s="101" customFormat="1" spans="6:6">
      <c r="F20880" s="2423"/>
    </row>
    <row r="20881" s="101" customFormat="1" spans="6:6">
      <c r="F20881" s="2423"/>
    </row>
    <row r="20882" s="101" customFormat="1" spans="6:6">
      <c r="F20882" s="2423"/>
    </row>
    <row r="20883" s="101" customFormat="1" spans="6:6">
      <c r="F20883" s="2423"/>
    </row>
    <row r="20884" s="101" customFormat="1" spans="6:6">
      <c r="F20884" s="2423"/>
    </row>
    <row r="20885" s="101" customFormat="1" spans="6:6">
      <c r="F20885" s="2423"/>
    </row>
    <row r="20886" s="101" customFormat="1" spans="6:6">
      <c r="F20886" s="2423"/>
    </row>
    <row r="20887" s="101" customFormat="1" spans="6:6">
      <c r="F20887" s="2423"/>
    </row>
    <row r="20888" s="101" customFormat="1" spans="6:6">
      <c r="F20888" s="2423"/>
    </row>
    <row r="20889" s="101" customFormat="1" spans="6:6">
      <c r="F20889" s="2423"/>
    </row>
    <row r="20890" s="101" customFormat="1" spans="6:6">
      <c r="F20890" s="2423"/>
    </row>
    <row r="20891" s="101" customFormat="1" spans="6:6">
      <c r="F20891" s="2423"/>
    </row>
    <row r="20892" s="101" customFormat="1" spans="6:6">
      <c r="F20892" s="2423"/>
    </row>
    <row r="20893" s="101" customFormat="1" spans="6:6">
      <c r="F20893" s="2423"/>
    </row>
    <row r="20894" s="101" customFormat="1" spans="6:6">
      <c r="F20894" s="2423"/>
    </row>
    <row r="20895" s="101" customFormat="1" spans="6:6">
      <c r="F20895" s="2423"/>
    </row>
    <row r="20896" s="101" customFormat="1" spans="6:6">
      <c r="F20896" s="2423"/>
    </row>
    <row r="20897" s="101" customFormat="1" spans="6:6">
      <c r="F20897" s="2423"/>
    </row>
    <row r="20898" s="101" customFormat="1" spans="6:6">
      <c r="F20898" s="2423"/>
    </row>
    <row r="20899" s="101" customFormat="1" spans="6:6">
      <c r="F20899" s="2423"/>
    </row>
    <row r="20900" s="101" customFormat="1" spans="6:6">
      <c r="F20900" s="2423"/>
    </row>
    <row r="20901" s="101" customFormat="1" spans="6:6">
      <c r="F20901" s="2423"/>
    </row>
    <row r="20902" s="101" customFormat="1" spans="6:6">
      <c r="F20902" s="2423"/>
    </row>
    <row r="20903" s="101" customFormat="1" spans="6:6">
      <c r="F20903" s="2423"/>
    </row>
    <row r="20904" s="101" customFormat="1" spans="6:6">
      <c r="F20904" s="2423"/>
    </row>
    <row r="20905" s="101" customFormat="1" spans="6:6">
      <c r="F20905" s="2423"/>
    </row>
    <row r="20906" s="101" customFormat="1" spans="6:6">
      <c r="F20906" s="2423"/>
    </row>
    <row r="20907" s="101" customFormat="1" spans="6:6">
      <c r="F20907" s="2423"/>
    </row>
    <row r="20908" s="101" customFormat="1" spans="6:6">
      <c r="F20908" s="2423"/>
    </row>
    <row r="20909" s="101" customFormat="1" spans="6:6">
      <c r="F20909" s="2423"/>
    </row>
    <row r="20910" s="101" customFormat="1" spans="6:6">
      <c r="F20910" s="2423"/>
    </row>
    <row r="20911" s="101" customFormat="1" spans="6:6">
      <c r="F20911" s="2423"/>
    </row>
    <row r="20912" s="101" customFormat="1" spans="6:6">
      <c r="F20912" s="2423"/>
    </row>
    <row r="20913" s="101" customFormat="1" spans="6:6">
      <c r="F20913" s="2423"/>
    </row>
    <row r="20914" s="101" customFormat="1" spans="6:6">
      <c r="F20914" s="2423"/>
    </row>
    <row r="20915" s="101" customFormat="1" spans="6:6">
      <c r="F20915" s="2423"/>
    </row>
    <row r="20916" s="101" customFormat="1" spans="6:6">
      <c r="F20916" s="2423"/>
    </row>
    <row r="20917" s="101" customFormat="1" spans="6:6">
      <c r="F20917" s="2423"/>
    </row>
    <row r="20918" s="101" customFormat="1" spans="6:6">
      <c r="F20918" s="2423"/>
    </row>
    <row r="20919" s="101" customFormat="1" spans="6:6">
      <c r="F20919" s="2423"/>
    </row>
    <row r="20920" s="101" customFormat="1" spans="6:6">
      <c r="F20920" s="2423"/>
    </row>
    <row r="20921" s="101" customFormat="1" spans="6:6">
      <c r="F20921" s="2423"/>
    </row>
    <row r="20922" s="101" customFormat="1" spans="6:6">
      <c r="F20922" s="2423"/>
    </row>
    <row r="20923" s="101" customFormat="1" spans="6:6">
      <c r="F20923" s="2423"/>
    </row>
    <row r="20924" s="101" customFormat="1" spans="6:6">
      <c r="F20924" s="2423"/>
    </row>
    <row r="20925" s="101" customFormat="1" spans="6:6">
      <c r="F20925" s="2423"/>
    </row>
    <row r="20926" s="101" customFormat="1" spans="6:6">
      <c r="F20926" s="2423"/>
    </row>
    <row r="20927" s="101" customFormat="1" spans="6:6">
      <c r="F20927" s="2423"/>
    </row>
    <row r="20928" s="101" customFormat="1" spans="6:6">
      <c r="F20928" s="2423"/>
    </row>
    <row r="20929" s="101" customFormat="1" spans="6:6">
      <c r="F20929" s="2423"/>
    </row>
    <row r="20930" s="101" customFormat="1" spans="6:6">
      <c r="F20930" s="2423"/>
    </row>
    <row r="20931" s="101" customFormat="1" spans="6:6">
      <c r="F20931" s="2423"/>
    </row>
    <row r="20932" s="101" customFormat="1" spans="6:6">
      <c r="F20932" s="2423"/>
    </row>
    <row r="20933" s="101" customFormat="1" spans="6:6">
      <c r="F20933" s="2423"/>
    </row>
    <row r="20934" s="101" customFormat="1" spans="6:6">
      <c r="F20934" s="2423"/>
    </row>
    <row r="20935" s="101" customFormat="1" spans="6:6">
      <c r="F20935" s="2423"/>
    </row>
    <row r="20936" s="101" customFormat="1" spans="6:6">
      <c r="F20936" s="2423"/>
    </row>
    <row r="20937" s="101" customFormat="1" spans="6:6">
      <c r="F20937" s="2423"/>
    </row>
    <row r="20938" s="101" customFormat="1" spans="6:6">
      <c r="F20938" s="2423"/>
    </row>
    <row r="20939" s="101" customFormat="1" spans="6:6">
      <c r="F20939" s="2423"/>
    </row>
    <row r="20940" s="101" customFormat="1" spans="6:6">
      <c r="F20940" s="2423"/>
    </row>
    <row r="20941" s="101" customFormat="1" spans="6:6">
      <c r="F20941" s="2423"/>
    </row>
    <row r="20942" s="101" customFormat="1" spans="6:6">
      <c r="F20942" s="2423"/>
    </row>
    <row r="20943" s="101" customFormat="1" spans="6:6">
      <c r="F20943" s="2423"/>
    </row>
    <row r="20944" s="101" customFormat="1" spans="6:6">
      <c r="F20944" s="2423"/>
    </row>
    <row r="20945" s="101" customFormat="1" spans="6:6">
      <c r="F20945" s="2423"/>
    </row>
    <row r="20946" s="101" customFormat="1" spans="6:6">
      <c r="F20946" s="2423"/>
    </row>
    <row r="20947" s="101" customFormat="1" spans="6:6">
      <c r="F20947" s="2423"/>
    </row>
    <row r="20948" s="101" customFormat="1" spans="6:6">
      <c r="F20948" s="2423"/>
    </row>
    <row r="20949" s="101" customFormat="1" spans="6:6">
      <c r="F20949" s="2423"/>
    </row>
    <row r="20950" s="101" customFormat="1" spans="6:6">
      <c r="F20950" s="2423"/>
    </row>
    <row r="20951" s="101" customFormat="1" spans="6:6">
      <c r="F20951" s="2423"/>
    </row>
    <row r="20952" s="101" customFormat="1" spans="6:6">
      <c r="F20952" s="2423"/>
    </row>
    <row r="20953" s="101" customFormat="1" spans="6:6">
      <c r="F20953" s="2423"/>
    </row>
    <row r="20954" s="101" customFormat="1" spans="6:6">
      <c r="F20954" s="2423"/>
    </row>
    <row r="20955" s="101" customFormat="1" spans="6:6">
      <c r="F20955" s="2423"/>
    </row>
    <row r="20956" s="101" customFormat="1" spans="6:6">
      <c r="F20956" s="2423"/>
    </row>
    <row r="20957" s="101" customFormat="1" spans="6:6">
      <c r="F20957" s="2423"/>
    </row>
    <row r="20958" s="101" customFormat="1" spans="6:6">
      <c r="F20958" s="2423"/>
    </row>
    <row r="20959" s="101" customFormat="1" spans="6:6">
      <c r="F20959" s="2423"/>
    </row>
    <row r="20960" s="101" customFormat="1" spans="6:6">
      <c r="F20960" s="2423"/>
    </row>
    <row r="20961" s="101" customFormat="1" spans="6:6">
      <c r="F20961" s="2423"/>
    </row>
    <row r="20962" s="101" customFormat="1" spans="6:6">
      <c r="F20962" s="2423"/>
    </row>
    <row r="20963" s="101" customFormat="1" spans="6:6">
      <c r="F20963" s="2423"/>
    </row>
    <row r="20964" s="101" customFormat="1" spans="6:6">
      <c r="F20964" s="2423"/>
    </row>
    <row r="20965" s="101" customFormat="1" spans="6:6">
      <c r="F20965" s="2423"/>
    </row>
    <row r="20966" s="101" customFormat="1" spans="6:6">
      <c r="F20966" s="2423"/>
    </row>
    <row r="20967" s="101" customFormat="1" spans="6:6">
      <c r="F20967" s="2423"/>
    </row>
    <row r="20968" s="101" customFormat="1" spans="6:6">
      <c r="F20968" s="2423"/>
    </row>
    <row r="20969" s="101" customFormat="1" spans="6:6">
      <c r="F20969" s="2423"/>
    </row>
    <row r="20970" s="101" customFormat="1" spans="6:6">
      <c r="F20970" s="2423"/>
    </row>
    <row r="20971" s="101" customFormat="1" spans="6:6">
      <c r="F20971" s="2423"/>
    </row>
    <row r="20972" s="101" customFormat="1" spans="6:6">
      <c r="F20972" s="2423"/>
    </row>
    <row r="20973" s="101" customFormat="1" spans="6:6">
      <c r="F20973" s="2423"/>
    </row>
    <row r="20974" s="101" customFormat="1" spans="6:6">
      <c r="F20974" s="2423"/>
    </row>
    <row r="20975" s="101" customFormat="1" spans="6:6">
      <c r="F20975" s="2423"/>
    </row>
    <row r="20976" s="101" customFormat="1" spans="6:6">
      <c r="F20976" s="2423"/>
    </row>
    <row r="20977" s="101" customFormat="1" spans="6:6">
      <c r="F20977" s="2423"/>
    </row>
    <row r="20978" s="101" customFormat="1" spans="6:6">
      <c r="F20978" s="2423"/>
    </row>
    <row r="20979" s="101" customFormat="1" spans="6:6">
      <c r="F20979" s="2423"/>
    </row>
    <row r="20980" s="101" customFormat="1" spans="6:6">
      <c r="F20980" s="2423"/>
    </row>
    <row r="20981" s="101" customFormat="1" spans="6:6">
      <c r="F20981" s="2423"/>
    </row>
    <row r="20982" s="101" customFormat="1" spans="6:6">
      <c r="F20982" s="2423"/>
    </row>
    <row r="20983" s="101" customFormat="1" spans="6:6">
      <c r="F20983" s="2423"/>
    </row>
    <row r="20984" s="101" customFormat="1" spans="6:6">
      <c r="F20984" s="2423"/>
    </row>
    <row r="20985" s="101" customFormat="1" spans="6:6">
      <c r="F20985" s="2423"/>
    </row>
    <row r="20986" s="101" customFormat="1" spans="6:6">
      <c r="F20986" s="2423"/>
    </row>
    <row r="20987" s="101" customFormat="1" spans="6:6">
      <c r="F20987" s="2423"/>
    </row>
    <row r="20988" s="101" customFormat="1" spans="6:6">
      <c r="F20988" s="2423"/>
    </row>
    <row r="20989" s="101" customFormat="1" spans="6:6">
      <c r="F20989" s="2423"/>
    </row>
    <row r="20990" s="101" customFormat="1" spans="6:6">
      <c r="F20990" s="2423"/>
    </row>
    <row r="20991" s="101" customFormat="1" spans="6:6">
      <c r="F20991" s="2423"/>
    </row>
    <row r="20992" s="101" customFormat="1" spans="6:6">
      <c r="F20992" s="2423"/>
    </row>
    <row r="20993" s="101" customFormat="1" spans="6:6">
      <c r="F20993" s="2423"/>
    </row>
    <row r="20994" s="101" customFormat="1" spans="6:6">
      <c r="F20994" s="2423"/>
    </row>
    <row r="20995" s="101" customFormat="1" spans="6:6">
      <c r="F20995" s="2423"/>
    </row>
    <row r="20996" s="101" customFormat="1" spans="6:6">
      <c r="F20996" s="2423"/>
    </row>
    <row r="20997" s="101" customFormat="1" spans="6:6">
      <c r="F20997" s="2423"/>
    </row>
    <row r="20998" s="101" customFormat="1" spans="6:6">
      <c r="F20998" s="2423"/>
    </row>
    <row r="20999" s="101" customFormat="1" spans="6:6">
      <c r="F20999" s="2423"/>
    </row>
    <row r="21000" s="101" customFormat="1" spans="6:6">
      <c r="F21000" s="2423"/>
    </row>
    <row r="21001" s="101" customFormat="1" spans="6:6">
      <c r="F21001" s="2423"/>
    </row>
    <row r="21002" s="101" customFormat="1" spans="6:6">
      <c r="F21002" s="2423"/>
    </row>
    <row r="21003" s="101" customFormat="1" spans="6:6">
      <c r="F21003" s="2423"/>
    </row>
    <row r="21004" s="101" customFormat="1" spans="6:6">
      <c r="F21004" s="2423"/>
    </row>
    <row r="21005" s="101" customFormat="1" spans="6:6">
      <c r="F21005" s="2423"/>
    </row>
    <row r="21006" s="101" customFormat="1" spans="6:6">
      <c r="F21006" s="2423"/>
    </row>
    <row r="21007" s="101" customFormat="1" spans="6:6">
      <c r="F21007" s="2423"/>
    </row>
    <row r="21008" s="101" customFormat="1" spans="6:6">
      <c r="F21008" s="2423"/>
    </row>
    <row r="21009" s="101" customFormat="1" spans="6:6">
      <c r="F21009" s="2423"/>
    </row>
    <row r="21010" s="101" customFormat="1" spans="6:6">
      <c r="F21010" s="2423"/>
    </row>
    <row r="21011" s="101" customFormat="1" spans="6:6">
      <c r="F21011" s="2423"/>
    </row>
    <row r="21012" s="101" customFormat="1" spans="6:6">
      <c r="F21012" s="2423"/>
    </row>
    <row r="21013" s="101" customFormat="1" spans="6:6">
      <c r="F21013" s="2423"/>
    </row>
    <row r="21014" s="101" customFormat="1" spans="6:6">
      <c r="F21014" s="2423"/>
    </row>
    <row r="21015" s="101" customFormat="1" spans="6:6">
      <c r="F21015" s="2423"/>
    </row>
    <row r="21016" s="101" customFormat="1" spans="6:6">
      <c r="F21016" s="2423"/>
    </row>
    <row r="21017" s="101" customFormat="1" spans="6:6">
      <c r="F21017" s="2423"/>
    </row>
    <row r="21018" s="101" customFormat="1" spans="6:6">
      <c r="F21018" s="2423"/>
    </row>
    <row r="21019" s="101" customFormat="1" spans="6:6">
      <c r="F21019" s="2423"/>
    </row>
    <row r="21020" s="101" customFormat="1" spans="6:6">
      <c r="F21020" s="2423"/>
    </row>
    <row r="21021" s="101" customFormat="1" spans="6:6">
      <c r="F21021" s="2423"/>
    </row>
    <row r="21022" s="101" customFormat="1" spans="6:6">
      <c r="F21022" s="2423"/>
    </row>
    <row r="21023" s="101" customFormat="1" spans="6:6">
      <c r="F21023" s="2423"/>
    </row>
    <row r="21024" s="101" customFormat="1" spans="6:6">
      <c r="F21024" s="2423"/>
    </row>
    <row r="21025" s="101" customFormat="1" spans="6:6">
      <c r="F21025" s="2423"/>
    </row>
    <row r="21026" s="101" customFormat="1" spans="6:6">
      <c r="F21026" s="2423"/>
    </row>
    <row r="21027" s="101" customFormat="1" spans="6:6">
      <c r="F21027" s="2423"/>
    </row>
    <row r="21028" s="101" customFormat="1" spans="6:6">
      <c r="F21028" s="2423"/>
    </row>
    <row r="21029" s="101" customFormat="1" spans="6:6">
      <c r="F21029" s="2423"/>
    </row>
    <row r="21030" s="101" customFormat="1" spans="6:6">
      <c r="F21030" s="2423"/>
    </row>
    <row r="21031" s="101" customFormat="1" spans="6:6">
      <c r="F21031" s="2423"/>
    </row>
    <row r="21032" s="101" customFormat="1" spans="6:6">
      <c r="F21032" s="2423"/>
    </row>
    <row r="21033" s="101" customFormat="1" spans="6:6">
      <c r="F21033" s="2423"/>
    </row>
    <row r="21034" s="101" customFormat="1" spans="6:6">
      <c r="F21034" s="2423"/>
    </row>
    <row r="21035" s="101" customFormat="1" spans="6:6">
      <c r="F21035" s="2423"/>
    </row>
    <row r="21036" s="101" customFormat="1" spans="6:6">
      <c r="F21036" s="2423"/>
    </row>
    <row r="21037" s="101" customFormat="1" spans="6:6">
      <c r="F21037" s="2423"/>
    </row>
    <row r="21038" s="101" customFormat="1" spans="6:6">
      <c r="F21038" s="2423"/>
    </row>
    <row r="21039" s="101" customFormat="1" spans="6:6">
      <c r="F21039" s="2423"/>
    </row>
    <row r="21040" s="101" customFormat="1" spans="6:6">
      <c r="F21040" s="2423"/>
    </row>
    <row r="21041" s="101" customFormat="1" spans="6:6">
      <c r="F21041" s="2423"/>
    </row>
    <row r="21042" s="101" customFormat="1" spans="6:6">
      <c r="F21042" s="2423"/>
    </row>
    <row r="21043" s="101" customFormat="1" spans="6:6">
      <c r="F21043" s="2423"/>
    </row>
    <row r="21044" s="101" customFormat="1" spans="6:6">
      <c r="F21044" s="2423"/>
    </row>
    <row r="21045" s="101" customFormat="1" spans="6:6">
      <c r="F21045" s="2423"/>
    </row>
    <row r="21046" s="101" customFormat="1" spans="6:6">
      <c r="F21046" s="2423"/>
    </row>
    <row r="21047" s="101" customFormat="1" spans="6:6">
      <c r="F21047" s="2423"/>
    </row>
    <row r="21048" s="101" customFormat="1" spans="6:6">
      <c r="F21048" s="2423"/>
    </row>
    <row r="21049" s="101" customFormat="1" spans="6:6">
      <c r="F21049" s="2423"/>
    </row>
    <row r="21050" s="101" customFormat="1" spans="6:6">
      <c r="F21050" s="2423"/>
    </row>
    <row r="21051" s="101" customFormat="1" spans="6:6">
      <c r="F21051" s="2423"/>
    </row>
    <row r="21052" s="101" customFormat="1" spans="6:6">
      <c r="F21052" s="2423"/>
    </row>
    <row r="21053" s="101" customFormat="1" spans="6:6">
      <c r="F21053" s="2423"/>
    </row>
    <row r="21054" s="101" customFormat="1" spans="6:6">
      <c r="F21054" s="2423"/>
    </row>
    <row r="21055" s="101" customFormat="1" spans="6:6">
      <c r="F21055" s="2423"/>
    </row>
    <row r="21056" s="101" customFormat="1" spans="6:6">
      <c r="F21056" s="2423"/>
    </row>
    <row r="21057" s="101" customFormat="1" spans="6:6">
      <c r="F21057" s="2423"/>
    </row>
    <row r="21058" s="101" customFormat="1" spans="6:6">
      <c r="F21058" s="2423"/>
    </row>
    <row r="21059" s="101" customFormat="1" spans="6:6">
      <c r="F21059" s="2423"/>
    </row>
    <row r="21060" s="101" customFormat="1" spans="6:6">
      <c r="F21060" s="2423"/>
    </row>
    <row r="21061" s="101" customFormat="1" spans="6:6">
      <c r="F21061" s="2423"/>
    </row>
    <row r="21062" s="101" customFormat="1" spans="6:6">
      <c r="F21062" s="2423"/>
    </row>
    <row r="21063" s="101" customFormat="1" spans="6:6">
      <c r="F21063" s="2423"/>
    </row>
    <row r="21064" s="101" customFormat="1" spans="6:6">
      <c r="F21064" s="2423"/>
    </row>
    <row r="21065" s="101" customFormat="1" spans="6:6">
      <c r="F21065" s="2423"/>
    </row>
    <row r="21066" s="101" customFormat="1" spans="6:6">
      <c r="F21066" s="2423"/>
    </row>
    <row r="21067" s="101" customFormat="1" spans="6:6">
      <c r="F21067" s="2423"/>
    </row>
    <row r="21068" s="101" customFormat="1" spans="6:6">
      <c r="F21068" s="2423"/>
    </row>
    <row r="21069" s="101" customFormat="1" spans="6:6">
      <c r="F21069" s="2423"/>
    </row>
    <row r="21070" s="101" customFormat="1" spans="6:6">
      <c r="F21070" s="2423"/>
    </row>
    <row r="21071" s="101" customFormat="1" spans="6:6">
      <c r="F21071" s="2423"/>
    </row>
    <row r="21072" s="101" customFormat="1" spans="6:6">
      <c r="F21072" s="2423"/>
    </row>
    <row r="21073" s="101" customFormat="1" spans="6:6">
      <c r="F21073" s="2423"/>
    </row>
    <row r="21074" s="101" customFormat="1" spans="6:6">
      <c r="F21074" s="2423"/>
    </row>
    <row r="21075" s="101" customFormat="1" spans="6:6">
      <c r="F21075" s="2423"/>
    </row>
    <row r="21076" s="101" customFormat="1" spans="6:6">
      <c r="F21076" s="2423"/>
    </row>
    <row r="21077" s="101" customFormat="1" spans="6:6">
      <c r="F21077" s="2423"/>
    </row>
    <row r="21078" s="101" customFormat="1" spans="6:6">
      <c r="F21078" s="2423"/>
    </row>
    <row r="21079" s="101" customFormat="1" spans="6:6">
      <c r="F21079" s="2423"/>
    </row>
    <row r="21080" s="101" customFormat="1" spans="6:6">
      <c r="F21080" s="2423"/>
    </row>
    <row r="21081" s="101" customFormat="1" spans="6:6">
      <c r="F21081" s="2423"/>
    </row>
    <row r="21082" s="101" customFormat="1" spans="6:6">
      <c r="F21082" s="2423"/>
    </row>
    <row r="21083" s="101" customFormat="1" spans="6:6">
      <c r="F21083" s="2423"/>
    </row>
    <row r="21084" s="101" customFormat="1" spans="6:6">
      <c r="F21084" s="2423"/>
    </row>
    <row r="21085" s="101" customFormat="1" spans="6:6">
      <c r="F21085" s="2423"/>
    </row>
    <row r="21086" s="101" customFormat="1" spans="6:6">
      <c r="F21086" s="2423"/>
    </row>
    <row r="21087" s="101" customFormat="1" spans="6:6">
      <c r="F21087" s="2423"/>
    </row>
    <row r="21088" s="101" customFormat="1" spans="6:6">
      <c r="F21088" s="2423"/>
    </row>
    <row r="21089" s="101" customFormat="1" spans="6:6">
      <c r="F21089" s="2423"/>
    </row>
    <row r="21090" s="101" customFormat="1" spans="6:6">
      <c r="F21090" s="2423"/>
    </row>
    <row r="21091" s="101" customFormat="1" spans="6:6">
      <c r="F21091" s="2423"/>
    </row>
    <row r="21092" s="101" customFormat="1" spans="6:6">
      <c r="F21092" s="2423"/>
    </row>
    <row r="21093" s="101" customFormat="1" spans="6:6">
      <c r="F21093" s="2423"/>
    </row>
    <row r="21094" s="101" customFormat="1" spans="6:6">
      <c r="F21094" s="2423"/>
    </row>
    <row r="21095" s="101" customFormat="1" spans="6:6">
      <c r="F21095" s="2423"/>
    </row>
    <row r="21096" s="101" customFormat="1" spans="6:6">
      <c r="F21096" s="2423"/>
    </row>
    <row r="21097" s="101" customFormat="1" spans="6:6">
      <c r="F21097" s="2423"/>
    </row>
    <row r="21098" s="101" customFormat="1" spans="6:6">
      <c r="F21098" s="2423"/>
    </row>
    <row r="21099" s="101" customFormat="1" spans="6:6">
      <c r="F21099" s="2423"/>
    </row>
    <row r="21100" s="101" customFormat="1" spans="6:6">
      <c r="F21100" s="2423"/>
    </row>
    <row r="21101" s="101" customFormat="1" spans="6:6">
      <c r="F21101" s="2423"/>
    </row>
    <row r="21102" s="101" customFormat="1" spans="6:6">
      <c r="F21102" s="2423"/>
    </row>
    <row r="21103" s="101" customFormat="1" spans="6:6">
      <c r="F21103" s="2423"/>
    </row>
    <row r="21104" s="101" customFormat="1" spans="6:6">
      <c r="F21104" s="2423"/>
    </row>
    <row r="21105" s="101" customFormat="1" spans="6:6">
      <c r="F21105" s="2423"/>
    </row>
    <row r="21106" s="101" customFormat="1" spans="6:6">
      <c r="F21106" s="2423"/>
    </row>
    <row r="21107" s="101" customFormat="1" spans="6:6">
      <c r="F21107" s="2423"/>
    </row>
    <row r="21108" s="101" customFormat="1" spans="6:6">
      <c r="F21108" s="2423"/>
    </row>
    <row r="21109" s="101" customFormat="1" spans="6:6">
      <c r="F21109" s="2423"/>
    </row>
    <row r="21110" s="101" customFormat="1" spans="6:6">
      <c r="F21110" s="2423"/>
    </row>
    <row r="21111" s="101" customFormat="1" spans="6:6">
      <c r="F21111" s="2423"/>
    </row>
    <row r="21112" s="101" customFormat="1" spans="6:6">
      <c r="F21112" s="2423"/>
    </row>
    <row r="21113" s="101" customFormat="1" spans="6:6">
      <c r="F21113" s="2423"/>
    </row>
    <row r="21114" s="101" customFormat="1" spans="6:6">
      <c r="F21114" s="2423"/>
    </row>
    <row r="21115" s="101" customFormat="1" spans="6:6">
      <c r="F21115" s="2423"/>
    </row>
    <row r="21116" s="101" customFormat="1" spans="6:6">
      <c r="F21116" s="2423"/>
    </row>
    <row r="21117" s="101" customFormat="1" spans="6:6">
      <c r="F21117" s="2423"/>
    </row>
    <row r="21118" s="101" customFormat="1" spans="6:6">
      <c r="F21118" s="2423"/>
    </row>
    <row r="21119" s="101" customFormat="1" spans="6:6">
      <c r="F21119" s="2423"/>
    </row>
    <row r="21120" s="101" customFormat="1" spans="6:6">
      <c r="F21120" s="2423"/>
    </row>
    <row r="21121" s="101" customFormat="1" spans="6:6">
      <c r="F21121" s="2423"/>
    </row>
    <row r="21122" s="101" customFormat="1" spans="6:6">
      <c r="F21122" s="2423"/>
    </row>
    <row r="21123" s="101" customFormat="1" spans="6:6">
      <c r="F21123" s="2423"/>
    </row>
    <row r="21124" s="101" customFormat="1" spans="6:6">
      <c r="F21124" s="2423"/>
    </row>
    <row r="21125" s="101" customFormat="1" spans="6:6">
      <c r="F21125" s="2423"/>
    </row>
    <row r="21126" s="101" customFormat="1" spans="6:6">
      <c r="F21126" s="2423"/>
    </row>
    <row r="21127" s="101" customFormat="1" spans="6:6">
      <c r="F21127" s="2423"/>
    </row>
    <row r="21128" s="101" customFormat="1" spans="6:6">
      <c r="F21128" s="2423"/>
    </row>
    <row r="21129" s="101" customFormat="1" spans="6:6">
      <c r="F21129" s="2423"/>
    </row>
    <row r="21130" s="101" customFormat="1" spans="6:6">
      <c r="F21130" s="2423"/>
    </row>
    <row r="21131" s="101" customFormat="1" spans="6:6">
      <c r="F21131" s="2423"/>
    </row>
    <row r="21132" s="101" customFormat="1" spans="6:6">
      <c r="F21132" s="2423"/>
    </row>
    <row r="21133" s="101" customFormat="1" spans="6:6">
      <c r="F21133" s="2423"/>
    </row>
    <row r="21134" s="101" customFormat="1" spans="6:6">
      <c r="F21134" s="2423"/>
    </row>
    <row r="21135" s="101" customFormat="1" spans="6:6">
      <c r="F21135" s="2423"/>
    </row>
    <row r="21136" s="101" customFormat="1" spans="6:6">
      <c r="F21136" s="2423"/>
    </row>
    <row r="21137" s="101" customFormat="1" spans="6:6">
      <c r="F21137" s="2423"/>
    </row>
    <row r="21138" s="101" customFormat="1" spans="6:6">
      <c r="F21138" s="2423"/>
    </row>
    <row r="21139" s="101" customFormat="1" spans="6:6">
      <c r="F21139" s="2423"/>
    </row>
    <row r="21140" s="101" customFormat="1" spans="6:6">
      <c r="F21140" s="2423"/>
    </row>
    <row r="21141" s="101" customFormat="1" spans="6:6">
      <c r="F21141" s="2423"/>
    </row>
    <row r="21142" s="101" customFormat="1" spans="6:6">
      <c r="F21142" s="2423"/>
    </row>
    <row r="21143" s="101" customFormat="1" spans="6:6">
      <c r="F21143" s="2423"/>
    </row>
    <row r="21144" s="101" customFormat="1" spans="6:6">
      <c r="F21144" s="2423"/>
    </row>
    <row r="21145" s="101" customFormat="1" spans="6:6">
      <c r="F21145" s="2423"/>
    </row>
    <row r="21146" s="101" customFormat="1" spans="6:6">
      <c r="F21146" s="2423"/>
    </row>
    <row r="21147" s="101" customFormat="1" spans="6:6">
      <c r="F21147" s="2423"/>
    </row>
    <row r="21148" s="101" customFormat="1" spans="6:6">
      <c r="F21148" s="2423"/>
    </row>
    <row r="21149" s="101" customFormat="1" spans="6:6">
      <c r="F21149" s="2423"/>
    </row>
    <row r="21150" s="101" customFormat="1" spans="6:6">
      <c r="F21150" s="2423"/>
    </row>
    <row r="21151" s="101" customFormat="1" spans="6:6">
      <c r="F21151" s="2423"/>
    </row>
    <row r="21152" s="101" customFormat="1" spans="6:6">
      <c r="F21152" s="2423"/>
    </row>
    <row r="21153" s="101" customFormat="1" spans="6:6">
      <c r="F21153" s="2423"/>
    </row>
    <row r="21154" s="101" customFormat="1" spans="6:6">
      <c r="F21154" s="2423"/>
    </row>
    <row r="21155" s="101" customFormat="1" spans="6:6">
      <c r="F21155" s="2423"/>
    </row>
    <row r="21156" s="101" customFormat="1" spans="6:6">
      <c r="F21156" s="2423"/>
    </row>
    <row r="21157" s="101" customFormat="1" spans="6:6">
      <c r="F21157" s="2423"/>
    </row>
    <row r="21158" s="101" customFormat="1" spans="6:6">
      <c r="F21158" s="2423"/>
    </row>
    <row r="21159" s="101" customFormat="1" spans="6:6">
      <c r="F21159" s="2423"/>
    </row>
    <row r="21160" s="101" customFormat="1" spans="6:6">
      <c r="F21160" s="2423"/>
    </row>
    <row r="21161" s="101" customFormat="1" spans="6:6">
      <c r="F21161" s="2423"/>
    </row>
    <row r="21162" s="101" customFormat="1" spans="6:6">
      <c r="F21162" s="2423"/>
    </row>
    <row r="21163" s="101" customFormat="1" spans="6:6">
      <c r="F21163" s="2423"/>
    </row>
    <row r="21164" s="101" customFormat="1" spans="6:6">
      <c r="F21164" s="2423"/>
    </row>
    <row r="21165" s="101" customFormat="1" spans="6:6">
      <c r="F21165" s="2423"/>
    </row>
    <row r="21166" s="101" customFormat="1" spans="6:6">
      <c r="F21166" s="2423"/>
    </row>
    <row r="21167" s="101" customFormat="1" spans="6:6">
      <c r="F21167" s="2423"/>
    </row>
    <row r="21168" s="101" customFormat="1" spans="6:6">
      <c r="F21168" s="2423"/>
    </row>
    <row r="21169" s="101" customFormat="1" spans="6:6">
      <c r="F21169" s="2423"/>
    </row>
    <row r="21170" s="101" customFormat="1" spans="6:6">
      <c r="F21170" s="2423"/>
    </row>
    <row r="21171" s="101" customFormat="1" spans="6:6">
      <c r="F21171" s="2423"/>
    </row>
    <row r="21172" s="101" customFormat="1" spans="6:6">
      <c r="F21172" s="2423"/>
    </row>
    <row r="21173" s="101" customFormat="1" spans="6:6">
      <c r="F21173" s="2423"/>
    </row>
    <row r="21174" s="101" customFormat="1" spans="6:6">
      <c r="F21174" s="2423"/>
    </row>
    <row r="21175" s="101" customFormat="1" spans="6:6">
      <c r="F21175" s="2423"/>
    </row>
    <row r="21176" s="101" customFormat="1" spans="6:6">
      <c r="F21176" s="2423"/>
    </row>
    <row r="21177" s="101" customFormat="1" spans="6:6">
      <c r="F21177" s="2423"/>
    </row>
    <row r="21178" s="101" customFormat="1" spans="6:6">
      <c r="F21178" s="2423"/>
    </row>
    <row r="21179" s="101" customFormat="1" spans="6:6">
      <c r="F21179" s="2423"/>
    </row>
    <row r="21180" s="101" customFormat="1" spans="6:6">
      <c r="F21180" s="2423"/>
    </row>
    <row r="21181" s="101" customFormat="1" spans="6:6">
      <c r="F21181" s="2423"/>
    </row>
    <row r="21182" s="101" customFormat="1" spans="6:6">
      <c r="F21182" s="2423"/>
    </row>
    <row r="21183" s="101" customFormat="1" spans="6:6">
      <c r="F21183" s="2423"/>
    </row>
    <row r="21184" s="101" customFormat="1" spans="6:6">
      <c r="F21184" s="2423"/>
    </row>
    <row r="21185" s="101" customFormat="1" spans="6:6">
      <c r="F21185" s="2423"/>
    </row>
    <row r="21186" s="101" customFormat="1" spans="6:6">
      <c r="F21186" s="2423"/>
    </row>
    <row r="21187" s="101" customFormat="1" spans="6:6">
      <c r="F21187" s="2423"/>
    </row>
    <row r="21188" s="101" customFormat="1" spans="6:6">
      <c r="F21188" s="2423"/>
    </row>
    <row r="21189" s="101" customFormat="1" spans="6:6">
      <c r="F21189" s="2423"/>
    </row>
    <row r="21190" s="101" customFormat="1" spans="6:6">
      <c r="F21190" s="2423"/>
    </row>
    <row r="21191" s="101" customFormat="1" spans="6:6">
      <c r="F21191" s="2423"/>
    </row>
    <row r="21192" s="101" customFormat="1" spans="6:6">
      <c r="F21192" s="2423"/>
    </row>
    <row r="21193" s="101" customFormat="1" spans="6:6">
      <c r="F21193" s="2423"/>
    </row>
    <row r="21194" s="101" customFormat="1" spans="6:6">
      <c r="F21194" s="2423"/>
    </row>
    <row r="21195" s="101" customFormat="1" spans="6:6">
      <c r="F21195" s="2423"/>
    </row>
    <row r="21196" s="101" customFormat="1" spans="6:6">
      <c r="F21196" s="2423"/>
    </row>
    <row r="21197" s="101" customFormat="1" spans="6:6">
      <c r="F21197" s="2423"/>
    </row>
    <row r="21198" s="101" customFormat="1" spans="6:6">
      <c r="F21198" s="2423"/>
    </row>
    <row r="21199" s="101" customFormat="1" spans="6:6">
      <c r="F21199" s="2423"/>
    </row>
    <row r="21200" s="101" customFormat="1" spans="6:6">
      <c r="F21200" s="2423"/>
    </row>
    <row r="21201" s="101" customFormat="1" spans="6:6">
      <c r="F21201" s="2423"/>
    </row>
    <row r="21202" s="101" customFormat="1" spans="6:6">
      <c r="F21202" s="2423"/>
    </row>
    <row r="21203" s="101" customFormat="1" spans="6:6">
      <c r="F21203" s="2423"/>
    </row>
    <row r="21204" s="101" customFormat="1" spans="6:6">
      <c r="F21204" s="2423"/>
    </row>
    <row r="21205" s="101" customFormat="1" spans="6:6">
      <c r="F21205" s="2423"/>
    </row>
    <row r="21206" s="101" customFormat="1" spans="6:6">
      <c r="F21206" s="2423"/>
    </row>
    <row r="21207" s="101" customFormat="1" spans="6:6">
      <c r="F21207" s="2423"/>
    </row>
    <row r="21208" s="101" customFormat="1" spans="6:6">
      <c r="F21208" s="2423"/>
    </row>
    <row r="21209" s="101" customFormat="1" spans="6:6">
      <c r="F21209" s="2423"/>
    </row>
    <row r="21210" s="101" customFormat="1" spans="6:6">
      <c r="F21210" s="2423"/>
    </row>
    <row r="21211" s="101" customFormat="1" spans="6:6">
      <c r="F21211" s="2423"/>
    </row>
    <row r="21212" s="101" customFormat="1" spans="6:6">
      <c r="F21212" s="2423"/>
    </row>
    <row r="21213" s="101" customFormat="1" spans="6:6">
      <c r="F21213" s="2423"/>
    </row>
    <row r="21214" s="101" customFormat="1" spans="6:6">
      <c r="F21214" s="2423"/>
    </row>
    <row r="21215" s="101" customFormat="1" spans="6:6">
      <c r="F21215" s="2423"/>
    </row>
    <row r="21216" s="101" customFormat="1" spans="6:6">
      <c r="F21216" s="2423"/>
    </row>
    <row r="21217" s="101" customFormat="1" spans="6:6">
      <c r="F21217" s="2423"/>
    </row>
    <row r="21218" s="101" customFormat="1" spans="6:6">
      <c r="F21218" s="2423"/>
    </row>
    <row r="21219" s="101" customFormat="1" spans="6:6">
      <c r="F21219" s="2423"/>
    </row>
    <row r="21220" s="101" customFormat="1" spans="6:6">
      <c r="F21220" s="2423"/>
    </row>
    <row r="21221" s="101" customFormat="1" spans="6:6">
      <c r="F21221" s="2423"/>
    </row>
    <row r="21222" s="101" customFormat="1" spans="6:6">
      <c r="F21222" s="2423"/>
    </row>
    <row r="21223" s="101" customFormat="1" spans="6:6">
      <c r="F21223" s="2423"/>
    </row>
    <row r="21224" s="101" customFormat="1" spans="6:6">
      <c r="F21224" s="2423"/>
    </row>
    <row r="21225" s="101" customFormat="1" spans="6:6">
      <c r="F21225" s="2423"/>
    </row>
    <row r="21226" s="101" customFormat="1" spans="6:6">
      <c r="F21226" s="2423"/>
    </row>
    <row r="21227" s="101" customFormat="1" spans="6:6">
      <c r="F21227" s="2423"/>
    </row>
    <row r="21228" s="101" customFormat="1" spans="6:6">
      <c r="F21228" s="2423"/>
    </row>
    <row r="21229" s="101" customFormat="1" spans="6:6">
      <c r="F21229" s="2423"/>
    </row>
    <row r="21230" s="101" customFormat="1" spans="6:6">
      <c r="F21230" s="2423"/>
    </row>
    <row r="21231" s="101" customFormat="1" spans="6:6">
      <c r="F21231" s="2423"/>
    </row>
    <row r="21232" s="101" customFormat="1" spans="6:6">
      <c r="F21232" s="2423"/>
    </row>
    <row r="21233" s="101" customFormat="1" spans="6:6">
      <c r="F21233" s="2423"/>
    </row>
    <row r="21234" s="101" customFormat="1" spans="6:6">
      <c r="F21234" s="2423"/>
    </row>
    <row r="21235" s="101" customFormat="1" spans="6:6">
      <c r="F21235" s="2423"/>
    </row>
    <row r="21236" s="101" customFormat="1" spans="6:6">
      <c r="F21236" s="2423"/>
    </row>
    <row r="21237" s="101" customFormat="1" spans="6:6">
      <c r="F21237" s="2423"/>
    </row>
    <row r="21238" s="101" customFormat="1" spans="6:6">
      <c r="F21238" s="2423"/>
    </row>
    <row r="21239" s="101" customFormat="1" spans="6:6">
      <c r="F21239" s="2423"/>
    </row>
    <row r="21240" s="101" customFormat="1" spans="6:6">
      <c r="F21240" s="2423"/>
    </row>
    <row r="21241" s="101" customFormat="1" spans="6:6">
      <c r="F21241" s="2423"/>
    </row>
    <row r="21242" s="101" customFormat="1" spans="6:6">
      <c r="F21242" s="2423"/>
    </row>
    <row r="21243" s="101" customFormat="1" spans="6:6">
      <c r="F21243" s="2423"/>
    </row>
    <row r="21244" s="101" customFormat="1" spans="6:6">
      <c r="F21244" s="2423"/>
    </row>
    <row r="21245" s="101" customFormat="1" spans="6:6">
      <c r="F21245" s="2423"/>
    </row>
    <row r="21246" s="101" customFormat="1" spans="6:6">
      <c r="F21246" s="2423"/>
    </row>
    <row r="21247" s="101" customFormat="1" spans="6:6">
      <c r="F21247" s="2423"/>
    </row>
    <row r="21248" s="101" customFormat="1" spans="6:6">
      <c r="F21248" s="2423"/>
    </row>
    <row r="21249" s="101" customFormat="1" spans="6:6">
      <c r="F21249" s="2423"/>
    </row>
    <row r="21250" s="101" customFormat="1" spans="6:6">
      <c r="F21250" s="2423"/>
    </row>
    <row r="21251" s="101" customFormat="1" spans="6:6">
      <c r="F21251" s="2423"/>
    </row>
    <row r="21252" s="101" customFormat="1" spans="6:6">
      <c r="F21252" s="2423"/>
    </row>
    <row r="21253" s="101" customFormat="1" spans="6:6">
      <c r="F21253" s="2423"/>
    </row>
    <row r="21254" s="101" customFormat="1" spans="6:6">
      <c r="F21254" s="2423"/>
    </row>
    <row r="21255" s="101" customFormat="1" spans="6:6">
      <c r="F21255" s="2423"/>
    </row>
    <row r="21256" s="101" customFormat="1" spans="6:6">
      <c r="F21256" s="2423"/>
    </row>
    <row r="21257" s="101" customFormat="1" spans="6:6">
      <c r="F21257" s="2423"/>
    </row>
    <row r="21258" s="101" customFormat="1" spans="6:6">
      <c r="F21258" s="2423"/>
    </row>
    <row r="21259" s="101" customFormat="1" spans="6:6">
      <c r="F21259" s="2423"/>
    </row>
    <row r="21260" s="101" customFormat="1" spans="6:6">
      <c r="F21260" s="2423"/>
    </row>
    <row r="21261" s="101" customFormat="1" spans="6:6">
      <c r="F21261" s="2423"/>
    </row>
    <row r="21262" s="101" customFormat="1" spans="6:6">
      <c r="F21262" s="2423"/>
    </row>
    <row r="21263" s="101" customFormat="1" spans="6:6">
      <c r="F21263" s="2423"/>
    </row>
    <row r="21264" s="101" customFormat="1" spans="6:6">
      <c r="F21264" s="2423"/>
    </row>
    <row r="21265" s="101" customFormat="1" spans="6:6">
      <c r="F21265" s="2423"/>
    </row>
    <row r="21266" s="101" customFormat="1" spans="6:6">
      <c r="F21266" s="2423"/>
    </row>
    <row r="21267" s="101" customFormat="1" spans="6:6">
      <c r="F21267" s="2423"/>
    </row>
    <row r="21268" s="101" customFormat="1" spans="6:6">
      <c r="F21268" s="2423"/>
    </row>
    <row r="21269" s="101" customFormat="1" spans="6:6">
      <c r="F21269" s="2423"/>
    </row>
    <row r="21270" s="101" customFormat="1" spans="6:6">
      <c r="F21270" s="2423"/>
    </row>
    <row r="21271" s="101" customFormat="1" spans="6:6">
      <c r="F21271" s="2423"/>
    </row>
    <row r="21272" s="101" customFormat="1" spans="6:6">
      <c r="F21272" s="2423"/>
    </row>
    <row r="21273" s="101" customFormat="1" spans="6:6">
      <c r="F21273" s="2423"/>
    </row>
    <row r="21274" s="101" customFormat="1" spans="6:6">
      <c r="F21274" s="2423"/>
    </row>
    <row r="21275" s="101" customFormat="1" spans="6:6">
      <c r="F21275" s="2423"/>
    </row>
    <row r="21276" s="101" customFormat="1" spans="6:6">
      <c r="F21276" s="2423"/>
    </row>
    <row r="21277" s="101" customFormat="1" spans="6:6">
      <c r="F21277" s="2423"/>
    </row>
    <row r="21278" s="101" customFormat="1" spans="6:6">
      <c r="F21278" s="2423"/>
    </row>
    <row r="21279" s="101" customFormat="1" spans="6:6">
      <c r="F21279" s="2423"/>
    </row>
    <row r="21280" s="101" customFormat="1" spans="6:6">
      <c r="F21280" s="2423"/>
    </row>
    <row r="21281" s="101" customFormat="1" spans="6:6">
      <c r="F21281" s="2423"/>
    </row>
    <row r="21282" s="101" customFormat="1" spans="6:6">
      <c r="F21282" s="2423"/>
    </row>
    <row r="21283" s="101" customFormat="1" spans="6:6">
      <c r="F21283" s="2423"/>
    </row>
    <row r="21284" s="101" customFormat="1" spans="6:6">
      <c r="F21284" s="2423"/>
    </row>
    <row r="21285" s="101" customFormat="1" spans="6:6">
      <c r="F21285" s="2423"/>
    </row>
    <row r="21286" s="101" customFormat="1" spans="6:6">
      <c r="F21286" s="2423"/>
    </row>
    <row r="21287" s="101" customFormat="1" spans="6:6">
      <c r="F21287" s="2423"/>
    </row>
    <row r="21288" s="101" customFormat="1" spans="6:6">
      <c r="F21288" s="2423"/>
    </row>
    <row r="21289" s="101" customFormat="1" spans="6:6">
      <c r="F21289" s="2423"/>
    </row>
    <row r="21290" s="101" customFormat="1" spans="6:6">
      <c r="F21290" s="2423"/>
    </row>
    <row r="21291" s="101" customFormat="1" spans="6:6">
      <c r="F21291" s="2423"/>
    </row>
    <row r="21292" s="101" customFormat="1" spans="6:6">
      <c r="F21292" s="2423"/>
    </row>
    <row r="21293" s="101" customFormat="1" spans="6:6">
      <c r="F21293" s="2423"/>
    </row>
    <row r="21294" s="101" customFormat="1" spans="6:6">
      <c r="F21294" s="2423"/>
    </row>
    <row r="21295" s="101" customFormat="1" spans="6:6">
      <c r="F21295" s="2423"/>
    </row>
    <row r="21296" s="101" customFormat="1" spans="6:6">
      <c r="F21296" s="2423"/>
    </row>
    <row r="21297" s="101" customFormat="1" spans="6:6">
      <c r="F21297" s="2423"/>
    </row>
    <row r="21298" s="101" customFormat="1" spans="6:6">
      <c r="F21298" s="2423"/>
    </row>
    <row r="21299" s="101" customFormat="1" spans="6:6">
      <c r="F21299" s="2423"/>
    </row>
    <row r="21300" s="101" customFormat="1" spans="6:6">
      <c r="F21300" s="2423"/>
    </row>
    <row r="21301" s="101" customFormat="1" spans="6:6">
      <c r="F21301" s="2423"/>
    </row>
    <row r="21302" s="101" customFormat="1" spans="6:6">
      <c r="F21302" s="2423"/>
    </row>
    <row r="21303" s="101" customFormat="1" spans="6:6">
      <c r="F21303" s="2423"/>
    </row>
    <row r="21304" s="101" customFormat="1" spans="6:6">
      <c r="F21304" s="2423"/>
    </row>
    <row r="21305" s="101" customFormat="1" spans="6:6">
      <c r="F21305" s="2423"/>
    </row>
    <row r="21306" s="101" customFormat="1" spans="6:6">
      <c r="F21306" s="2423"/>
    </row>
    <row r="21307" s="101" customFormat="1" spans="6:6">
      <c r="F21307" s="2423"/>
    </row>
    <row r="21308" s="101" customFormat="1" spans="6:6">
      <c r="F21308" s="2423"/>
    </row>
    <row r="21309" s="101" customFormat="1" spans="6:6">
      <c r="F21309" s="2423"/>
    </row>
    <row r="21310" s="101" customFormat="1" spans="6:6">
      <c r="F21310" s="2423"/>
    </row>
    <row r="21311" s="101" customFormat="1" spans="6:6">
      <c r="F21311" s="2423"/>
    </row>
    <row r="21312" s="101" customFormat="1" spans="6:6">
      <c r="F21312" s="2423"/>
    </row>
    <row r="21313" s="101" customFormat="1" spans="6:6">
      <c r="F21313" s="2423"/>
    </row>
    <row r="21314" s="101" customFormat="1" spans="6:6">
      <c r="F21314" s="2423"/>
    </row>
    <row r="21315" s="101" customFormat="1" spans="6:6">
      <c r="F21315" s="2423"/>
    </row>
    <row r="21316" s="101" customFormat="1" spans="6:6">
      <c r="F21316" s="2423"/>
    </row>
    <row r="21317" s="101" customFormat="1" spans="6:6">
      <c r="F21317" s="2423"/>
    </row>
    <row r="21318" s="101" customFormat="1" spans="6:6">
      <c r="F21318" s="2423"/>
    </row>
    <row r="21319" s="101" customFormat="1" spans="6:6">
      <c r="F21319" s="2423"/>
    </row>
    <row r="21320" s="101" customFormat="1" spans="6:6">
      <c r="F21320" s="2423"/>
    </row>
    <row r="21321" s="101" customFormat="1" spans="6:6">
      <c r="F21321" s="2423"/>
    </row>
    <row r="21322" s="101" customFormat="1" spans="6:6">
      <c r="F21322" s="2423"/>
    </row>
    <row r="21323" s="101" customFormat="1" spans="6:6">
      <c r="F21323" s="2423"/>
    </row>
    <row r="21324" s="101" customFormat="1" spans="6:6">
      <c r="F21324" s="2423"/>
    </row>
    <row r="21325" s="101" customFormat="1" spans="6:6">
      <c r="F21325" s="2423"/>
    </row>
    <row r="21326" s="101" customFormat="1" spans="6:6">
      <c r="F21326" s="2423"/>
    </row>
    <row r="21327" s="101" customFormat="1" spans="6:6">
      <c r="F21327" s="2423"/>
    </row>
    <row r="21328" s="101" customFormat="1" spans="6:6">
      <c r="F21328" s="2423"/>
    </row>
    <row r="21329" s="101" customFormat="1" spans="6:6">
      <c r="F21329" s="2423"/>
    </row>
    <row r="21330" s="101" customFormat="1" spans="6:6">
      <c r="F21330" s="2423"/>
    </row>
    <row r="21331" s="101" customFormat="1" spans="6:6">
      <c r="F21331" s="2423"/>
    </row>
    <row r="21332" s="101" customFormat="1" spans="6:6">
      <c r="F21332" s="2423"/>
    </row>
    <row r="21333" s="101" customFormat="1" spans="6:6">
      <c r="F21333" s="2423"/>
    </row>
    <row r="21334" s="101" customFormat="1" spans="6:6">
      <c r="F21334" s="2423"/>
    </row>
    <row r="21335" s="101" customFormat="1" spans="6:6">
      <c r="F21335" s="2423"/>
    </row>
    <row r="21336" s="101" customFormat="1" spans="6:6">
      <c r="F21336" s="2423"/>
    </row>
    <row r="21337" s="101" customFormat="1" spans="6:6">
      <c r="F21337" s="2423"/>
    </row>
    <row r="21338" s="101" customFormat="1" spans="6:6">
      <c r="F21338" s="2423"/>
    </row>
    <row r="21339" s="101" customFormat="1" spans="6:6">
      <c r="F21339" s="2423"/>
    </row>
    <row r="21340" s="101" customFormat="1" spans="6:6">
      <c r="F21340" s="2423"/>
    </row>
    <row r="21341" s="101" customFormat="1" spans="6:6">
      <c r="F21341" s="2423"/>
    </row>
    <row r="21342" s="101" customFormat="1" spans="6:6">
      <c r="F21342" s="2423"/>
    </row>
    <row r="21343" s="101" customFormat="1" spans="6:6">
      <c r="F21343" s="2423"/>
    </row>
    <row r="21344" s="101" customFormat="1" spans="6:6">
      <c r="F21344" s="2423"/>
    </row>
    <row r="21345" s="101" customFormat="1" spans="6:6">
      <c r="F21345" s="2423"/>
    </row>
    <row r="21346" s="101" customFormat="1" spans="6:6">
      <c r="F21346" s="2423"/>
    </row>
    <row r="21347" s="101" customFormat="1" spans="6:6">
      <c r="F21347" s="2423"/>
    </row>
    <row r="21348" s="101" customFormat="1" spans="6:6">
      <c r="F21348" s="2423"/>
    </row>
    <row r="21349" s="101" customFormat="1" spans="6:6">
      <c r="F21349" s="2423"/>
    </row>
    <row r="21350" s="101" customFormat="1" spans="6:6">
      <c r="F21350" s="2423"/>
    </row>
    <row r="21351" s="101" customFormat="1" spans="6:6">
      <c r="F21351" s="2423"/>
    </row>
    <row r="21352" s="101" customFormat="1" spans="6:6">
      <c r="F21352" s="2423"/>
    </row>
    <row r="21353" s="101" customFormat="1" spans="6:6">
      <c r="F21353" s="2423"/>
    </row>
    <row r="21354" s="101" customFormat="1" spans="6:6">
      <c r="F21354" s="2423"/>
    </row>
    <row r="21355" s="101" customFormat="1" spans="6:6">
      <c r="F21355" s="2423"/>
    </row>
    <row r="21356" s="101" customFormat="1" spans="6:6">
      <c r="F21356" s="2423"/>
    </row>
    <row r="21357" s="101" customFormat="1" spans="6:6">
      <c r="F21357" s="2423"/>
    </row>
    <row r="21358" s="101" customFormat="1" spans="6:6">
      <c r="F21358" s="2423"/>
    </row>
    <row r="21359" s="101" customFormat="1" spans="6:6">
      <c r="F21359" s="2423"/>
    </row>
    <row r="21360" s="101" customFormat="1" spans="6:6">
      <c r="F21360" s="2423"/>
    </row>
    <row r="21361" s="101" customFormat="1" spans="6:6">
      <c r="F21361" s="2423"/>
    </row>
    <row r="21362" s="101" customFormat="1" spans="6:6">
      <c r="F21362" s="2423"/>
    </row>
    <row r="21363" s="101" customFormat="1" spans="6:6">
      <c r="F21363" s="2423"/>
    </row>
    <row r="21364" s="101" customFormat="1" spans="6:6">
      <c r="F21364" s="2423"/>
    </row>
    <row r="21365" s="101" customFormat="1" spans="6:6">
      <c r="F21365" s="2423"/>
    </row>
    <row r="21366" s="101" customFormat="1" spans="6:6">
      <c r="F21366" s="2423"/>
    </row>
    <row r="21367" s="101" customFormat="1" spans="6:6">
      <c r="F21367" s="2423"/>
    </row>
    <row r="21368" s="101" customFormat="1" spans="6:6">
      <c r="F21368" s="2423"/>
    </row>
    <row r="21369" s="101" customFormat="1" spans="6:6">
      <c r="F21369" s="2423"/>
    </row>
    <row r="21370" s="101" customFormat="1" spans="6:6">
      <c r="F21370" s="2423"/>
    </row>
    <row r="21371" s="101" customFormat="1" spans="6:6">
      <c r="F21371" s="2423"/>
    </row>
    <row r="21372" s="101" customFormat="1" spans="6:6">
      <c r="F21372" s="2423"/>
    </row>
    <row r="21373" s="101" customFormat="1" spans="6:6">
      <c r="F21373" s="2423"/>
    </row>
    <row r="21374" s="101" customFormat="1" spans="6:6">
      <c r="F21374" s="2423"/>
    </row>
    <row r="21375" s="101" customFormat="1" spans="6:6">
      <c r="F21375" s="2423"/>
    </row>
    <row r="21376" s="101" customFormat="1" spans="6:6">
      <c r="F21376" s="2423"/>
    </row>
    <row r="21377" s="101" customFormat="1" spans="6:6">
      <c r="F21377" s="2423"/>
    </row>
    <row r="21378" s="101" customFormat="1" spans="6:6">
      <c r="F21378" s="2423"/>
    </row>
    <row r="21379" s="101" customFormat="1" spans="6:6">
      <c r="F21379" s="2423"/>
    </row>
    <row r="21380" s="101" customFormat="1" spans="6:6">
      <c r="F21380" s="2423"/>
    </row>
    <row r="21381" s="101" customFormat="1" spans="6:6">
      <c r="F21381" s="2423"/>
    </row>
    <row r="21382" s="101" customFormat="1" spans="6:6">
      <c r="F21382" s="2423"/>
    </row>
    <row r="21383" s="101" customFormat="1" spans="6:6">
      <c r="F21383" s="2423"/>
    </row>
    <row r="21384" s="101" customFormat="1" spans="6:6">
      <c r="F21384" s="2423"/>
    </row>
    <row r="21385" s="101" customFormat="1" spans="6:6">
      <c r="F21385" s="2423"/>
    </row>
    <row r="21386" s="101" customFormat="1" spans="6:6">
      <c r="F21386" s="2423"/>
    </row>
    <row r="21387" s="101" customFormat="1" spans="6:6">
      <c r="F21387" s="2423"/>
    </row>
    <row r="21388" s="101" customFormat="1" spans="6:6">
      <c r="F21388" s="2423"/>
    </row>
    <row r="21389" s="101" customFormat="1" spans="6:6">
      <c r="F21389" s="2423"/>
    </row>
    <row r="21390" s="101" customFormat="1" spans="6:6">
      <c r="F21390" s="2423"/>
    </row>
    <row r="21391" s="101" customFormat="1" spans="6:6">
      <c r="F21391" s="2423"/>
    </row>
    <row r="21392" s="101" customFormat="1" spans="6:6">
      <c r="F21392" s="2423"/>
    </row>
    <row r="21393" s="101" customFormat="1" spans="6:6">
      <c r="F21393" s="2423"/>
    </row>
    <row r="21394" s="101" customFormat="1" spans="6:6">
      <c r="F21394" s="2423"/>
    </row>
    <row r="21395" s="101" customFormat="1" spans="6:6">
      <c r="F21395" s="2423"/>
    </row>
    <row r="21396" s="101" customFormat="1" spans="6:6">
      <c r="F21396" s="2423"/>
    </row>
    <row r="21397" s="101" customFormat="1" spans="6:6">
      <c r="F21397" s="2423"/>
    </row>
    <row r="21398" s="101" customFormat="1" spans="6:6">
      <c r="F21398" s="2423"/>
    </row>
    <row r="21399" s="101" customFormat="1" spans="6:6">
      <c r="F21399" s="2423"/>
    </row>
    <row r="21400" s="101" customFormat="1" spans="6:6">
      <c r="F21400" s="2423"/>
    </row>
    <row r="21401" s="101" customFormat="1" spans="6:6">
      <c r="F21401" s="2423"/>
    </row>
    <row r="21402" s="101" customFormat="1" spans="6:6">
      <c r="F21402" s="2423"/>
    </row>
    <row r="21403" s="101" customFormat="1" spans="6:6">
      <c r="F21403" s="2423"/>
    </row>
    <row r="21404" s="101" customFormat="1" spans="6:6">
      <c r="F21404" s="2423"/>
    </row>
    <row r="21405" s="101" customFormat="1" spans="6:6">
      <c r="F21405" s="2423"/>
    </row>
    <row r="21406" s="101" customFormat="1" spans="6:6">
      <c r="F21406" s="2423"/>
    </row>
    <row r="21407" s="101" customFormat="1" spans="6:6">
      <c r="F21407" s="2423"/>
    </row>
    <row r="21408" s="101" customFormat="1" spans="6:6">
      <c r="F21408" s="2423"/>
    </row>
    <row r="21409" s="101" customFormat="1" spans="6:6">
      <c r="F21409" s="2423"/>
    </row>
    <row r="21410" s="101" customFormat="1" spans="6:6">
      <c r="F21410" s="2423"/>
    </row>
    <row r="21411" s="101" customFormat="1" spans="6:6">
      <c r="F21411" s="2423"/>
    </row>
    <row r="21412" s="101" customFormat="1" spans="6:6">
      <c r="F21412" s="2423"/>
    </row>
    <row r="21413" s="101" customFormat="1" spans="6:6">
      <c r="F21413" s="2423"/>
    </row>
    <row r="21414" s="101" customFormat="1" spans="6:6">
      <c r="F21414" s="2423"/>
    </row>
    <row r="21415" s="101" customFormat="1" spans="6:6">
      <c r="F21415" s="2423"/>
    </row>
    <row r="21416" s="101" customFormat="1" spans="6:6">
      <c r="F21416" s="2423"/>
    </row>
    <row r="21417" s="101" customFormat="1" spans="6:6">
      <c r="F21417" s="2423"/>
    </row>
    <row r="21418" s="101" customFormat="1" spans="6:6">
      <c r="F21418" s="2423"/>
    </row>
    <row r="21419" s="101" customFormat="1" spans="6:6">
      <c r="F21419" s="2423"/>
    </row>
    <row r="21420" s="101" customFormat="1" spans="6:6">
      <c r="F21420" s="2423"/>
    </row>
    <row r="21421" s="101" customFormat="1" spans="6:6">
      <c r="F21421" s="2423"/>
    </row>
    <row r="21422" s="101" customFormat="1" spans="6:6">
      <c r="F21422" s="2423"/>
    </row>
    <row r="21423" s="101" customFormat="1" spans="6:6">
      <c r="F21423" s="2423"/>
    </row>
    <row r="21424" s="101" customFormat="1" spans="6:6">
      <c r="F21424" s="2423"/>
    </row>
    <row r="21425" s="101" customFormat="1" spans="6:6">
      <c r="F21425" s="2423"/>
    </row>
    <row r="21426" s="101" customFormat="1" spans="6:6">
      <c r="F21426" s="2423"/>
    </row>
    <row r="21427" s="101" customFormat="1" spans="6:6">
      <c r="F21427" s="2423"/>
    </row>
    <row r="21428" s="101" customFormat="1" spans="6:6">
      <c r="F21428" s="2423"/>
    </row>
    <row r="21429" s="101" customFormat="1" spans="6:6">
      <c r="F21429" s="2423"/>
    </row>
    <row r="21430" s="101" customFormat="1" spans="6:6">
      <c r="F21430" s="2423"/>
    </row>
    <row r="21431" s="101" customFormat="1" spans="6:6">
      <c r="F21431" s="2423"/>
    </row>
    <row r="21432" s="101" customFormat="1" spans="6:6">
      <c r="F21432" s="2423"/>
    </row>
    <row r="21433" s="101" customFormat="1" spans="6:6">
      <c r="F21433" s="2423"/>
    </row>
    <row r="21434" s="101" customFormat="1" spans="6:6">
      <c r="F21434" s="2423"/>
    </row>
    <row r="21435" s="101" customFormat="1" spans="6:6">
      <c r="F21435" s="2423"/>
    </row>
    <row r="21436" s="101" customFormat="1" spans="6:6">
      <c r="F21436" s="2423"/>
    </row>
    <row r="21437" s="101" customFormat="1" spans="6:6">
      <c r="F21437" s="2423"/>
    </row>
    <row r="21438" s="101" customFormat="1" spans="6:6">
      <c r="F21438" s="2423"/>
    </row>
    <row r="21439" s="101" customFormat="1" spans="6:6">
      <c r="F21439" s="2423"/>
    </row>
    <row r="21440" s="101" customFormat="1" spans="6:6">
      <c r="F21440" s="2423"/>
    </row>
    <row r="21441" s="101" customFormat="1" spans="6:6">
      <c r="F21441" s="2423"/>
    </row>
    <row r="21442" s="101" customFormat="1" spans="6:6">
      <c r="F21442" s="2423"/>
    </row>
    <row r="21443" s="101" customFormat="1" spans="6:6">
      <c r="F21443" s="2423"/>
    </row>
    <row r="21444" s="101" customFormat="1" spans="6:6">
      <c r="F21444" s="2423"/>
    </row>
    <row r="21445" s="101" customFormat="1" spans="6:6">
      <c r="F21445" s="2423"/>
    </row>
    <row r="21446" s="101" customFormat="1" spans="6:6">
      <c r="F21446" s="2423"/>
    </row>
    <row r="21447" s="101" customFormat="1" spans="6:6">
      <c r="F21447" s="2423"/>
    </row>
    <row r="21448" s="101" customFormat="1" spans="6:6">
      <c r="F21448" s="2423"/>
    </row>
    <row r="21449" s="101" customFormat="1" spans="6:6">
      <c r="F21449" s="2423"/>
    </row>
    <row r="21450" s="101" customFormat="1" spans="6:6">
      <c r="F21450" s="2423"/>
    </row>
    <row r="21451" s="101" customFormat="1" spans="6:6">
      <c r="F21451" s="2423"/>
    </row>
    <row r="21452" s="101" customFormat="1" spans="6:6">
      <c r="F21452" s="2423"/>
    </row>
    <row r="21453" s="101" customFormat="1" spans="6:6">
      <c r="F21453" s="2423"/>
    </row>
    <row r="21454" s="101" customFormat="1" spans="6:6">
      <c r="F21454" s="2423"/>
    </row>
    <row r="21455" s="101" customFormat="1" spans="6:6">
      <c r="F21455" s="2423"/>
    </row>
    <row r="21456" s="101" customFormat="1" spans="6:6">
      <c r="F21456" s="2423"/>
    </row>
    <row r="21457" s="101" customFormat="1" spans="6:6">
      <c r="F21457" s="2423"/>
    </row>
    <row r="21458" s="101" customFormat="1" spans="6:6">
      <c r="F21458" s="2423"/>
    </row>
    <row r="21459" s="101" customFormat="1" spans="6:6">
      <c r="F21459" s="2423"/>
    </row>
    <row r="21460" s="101" customFormat="1" spans="6:6">
      <c r="F21460" s="2423"/>
    </row>
    <row r="21461" s="101" customFormat="1" spans="6:6">
      <c r="F21461" s="2423"/>
    </row>
    <row r="21462" s="101" customFormat="1" spans="6:6">
      <c r="F21462" s="2423"/>
    </row>
    <row r="21463" s="101" customFormat="1" spans="6:6">
      <c r="F21463" s="2423"/>
    </row>
    <row r="21464" s="101" customFormat="1" spans="6:6">
      <c r="F21464" s="2423"/>
    </row>
    <row r="21465" s="101" customFormat="1" spans="6:6">
      <c r="F21465" s="2423"/>
    </row>
    <row r="21466" s="101" customFormat="1" spans="6:6">
      <c r="F21466" s="2423"/>
    </row>
    <row r="21467" s="101" customFormat="1" spans="6:6">
      <c r="F21467" s="2423"/>
    </row>
    <row r="21468" s="101" customFormat="1" spans="6:6">
      <c r="F21468" s="2423"/>
    </row>
    <row r="21469" s="101" customFormat="1" spans="6:6">
      <c r="F21469" s="2423"/>
    </row>
    <row r="21470" s="101" customFormat="1" spans="6:6">
      <c r="F21470" s="2423"/>
    </row>
    <row r="21471" s="101" customFormat="1" spans="6:6">
      <c r="F21471" s="2423"/>
    </row>
    <row r="21472" s="101" customFormat="1" spans="6:6">
      <c r="F21472" s="2423"/>
    </row>
    <row r="21473" s="101" customFormat="1" spans="6:6">
      <c r="F21473" s="2423"/>
    </row>
    <row r="21474" s="101" customFormat="1" spans="6:6">
      <c r="F21474" s="2423"/>
    </row>
    <row r="21475" s="101" customFormat="1" spans="6:6">
      <c r="F21475" s="2423"/>
    </row>
    <row r="21476" s="101" customFormat="1" spans="6:6">
      <c r="F21476" s="2423"/>
    </row>
    <row r="21477" s="101" customFormat="1" spans="6:6">
      <c r="F21477" s="2423"/>
    </row>
    <row r="21478" s="101" customFormat="1" spans="6:6">
      <c r="F21478" s="2423"/>
    </row>
    <row r="21479" s="101" customFormat="1" spans="6:6">
      <c r="F21479" s="2423"/>
    </row>
    <row r="21480" s="101" customFormat="1" spans="6:6">
      <c r="F21480" s="2423"/>
    </row>
    <row r="21481" s="101" customFormat="1" spans="6:6">
      <c r="F21481" s="2423"/>
    </row>
    <row r="21482" s="101" customFormat="1" spans="6:6">
      <c r="F21482" s="2423"/>
    </row>
    <row r="21483" s="101" customFormat="1" spans="6:6">
      <c r="F21483" s="2423"/>
    </row>
    <row r="21484" s="101" customFormat="1" spans="6:6">
      <c r="F21484" s="2423"/>
    </row>
    <row r="21485" s="101" customFormat="1" spans="6:6">
      <c r="F21485" s="2423"/>
    </row>
    <row r="21486" s="101" customFormat="1" spans="6:6">
      <c r="F21486" s="2423"/>
    </row>
    <row r="21487" s="101" customFormat="1" spans="6:6">
      <c r="F21487" s="2423"/>
    </row>
    <row r="21488" s="101" customFormat="1" spans="6:6">
      <c r="F21488" s="2423"/>
    </row>
    <row r="21489" s="101" customFormat="1" spans="6:6">
      <c r="F21489" s="2423"/>
    </row>
    <row r="21490" s="101" customFormat="1" spans="6:6">
      <c r="F21490" s="2423"/>
    </row>
    <row r="21491" s="101" customFormat="1" spans="6:6">
      <c r="F21491" s="2423"/>
    </row>
    <row r="21492" s="101" customFormat="1" spans="6:6">
      <c r="F21492" s="2423"/>
    </row>
    <row r="21493" s="101" customFormat="1" spans="6:6">
      <c r="F21493" s="2423"/>
    </row>
    <row r="21494" s="101" customFormat="1" spans="6:6">
      <c r="F21494" s="2423"/>
    </row>
    <row r="21495" s="101" customFormat="1" spans="6:6">
      <c r="F21495" s="2423"/>
    </row>
    <row r="21496" s="101" customFormat="1" spans="6:6">
      <c r="F21496" s="2423"/>
    </row>
    <row r="21497" s="101" customFormat="1" spans="6:6">
      <c r="F21497" s="2423"/>
    </row>
    <row r="21498" s="101" customFormat="1" spans="6:6">
      <c r="F21498" s="2423"/>
    </row>
    <row r="21499" s="101" customFormat="1" spans="6:6">
      <c r="F21499" s="2423"/>
    </row>
    <row r="21500" s="101" customFormat="1" spans="6:6">
      <c r="F21500" s="2423"/>
    </row>
    <row r="21501" s="101" customFormat="1" spans="6:6">
      <c r="F21501" s="2423"/>
    </row>
    <row r="21502" s="101" customFormat="1" spans="6:6">
      <c r="F21502" s="2423"/>
    </row>
    <row r="21503" s="101" customFormat="1" spans="6:6">
      <c r="F21503" s="2423"/>
    </row>
    <row r="21504" s="101" customFormat="1" spans="6:6">
      <c r="F21504" s="2423"/>
    </row>
    <row r="21505" s="101" customFormat="1" spans="6:6">
      <c r="F21505" s="2423"/>
    </row>
    <row r="21506" s="101" customFormat="1" spans="6:6">
      <c r="F21506" s="2423"/>
    </row>
    <row r="21507" s="101" customFormat="1" spans="6:6">
      <c r="F21507" s="2423"/>
    </row>
    <row r="21508" s="101" customFormat="1" spans="6:6">
      <c r="F21508" s="2423"/>
    </row>
    <row r="21509" s="101" customFormat="1" spans="6:6">
      <c r="F21509" s="2423"/>
    </row>
    <row r="21510" s="101" customFormat="1" spans="6:6">
      <c r="F21510" s="2423"/>
    </row>
    <row r="21511" s="101" customFormat="1" spans="6:6">
      <c r="F21511" s="2423"/>
    </row>
    <row r="21512" s="101" customFormat="1" spans="6:6">
      <c r="F21512" s="2423"/>
    </row>
    <row r="21513" s="101" customFormat="1" spans="6:6">
      <c r="F21513" s="2423"/>
    </row>
    <row r="21514" s="101" customFormat="1" spans="6:6">
      <c r="F21514" s="2423"/>
    </row>
    <row r="21515" s="101" customFormat="1" spans="6:6">
      <c r="F21515" s="2423"/>
    </row>
    <row r="21516" s="101" customFormat="1" spans="6:6">
      <c r="F21516" s="2423"/>
    </row>
    <row r="21517" s="101" customFormat="1" spans="6:6">
      <c r="F21517" s="2423"/>
    </row>
    <row r="21518" s="101" customFormat="1" spans="6:6">
      <c r="F21518" s="2423"/>
    </row>
    <row r="21519" s="101" customFormat="1" spans="6:6">
      <c r="F21519" s="2423"/>
    </row>
    <row r="21520" s="101" customFormat="1" spans="6:6">
      <c r="F21520" s="2423"/>
    </row>
    <row r="21521" s="101" customFormat="1" spans="6:6">
      <c r="F21521" s="2423"/>
    </row>
    <row r="21522" s="101" customFormat="1" spans="6:6">
      <c r="F21522" s="2423"/>
    </row>
    <row r="21523" s="101" customFormat="1" spans="6:6">
      <c r="F21523" s="2423"/>
    </row>
    <row r="21524" s="101" customFormat="1" spans="6:6">
      <c r="F21524" s="2423"/>
    </row>
    <row r="21525" s="101" customFormat="1" spans="6:6">
      <c r="F21525" s="2423"/>
    </row>
    <row r="21526" s="101" customFormat="1" spans="6:6">
      <c r="F21526" s="2423"/>
    </row>
    <row r="21527" s="101" customFormat="1" spans="6:6">
      <c r="F21527" s="2423"/>
    </row>
    <row r="21528" s="101" customFormat="1" spans="6:6">
      <c r="F21528" s="2423"/>
    </row>
    <row r="21529" s="101" customFormat="1" spans="6:6">
      <c r="F21529" s="2423"/>
    </row>
    <row r="21530" s="101" customFormat="1" spans="6:6">
      <c r="F21530" s="2423"/>
    </row>
    <row r="21531" s="101" customFormat="1" spans="6:6">
      <c r="F21531" s="2423"/>
    </row>
    <row r="21532" s="101" customFormat="1" spans="6:6">
      <c r="F21532" s="2423"/>
    </row>
    <row r="21533" s="101" customFormat="1" spans="6:6">
      <c r="F21533" s="2423"/>
    </row>
    <row r="21534" s="101" customFormat="1" spans="6:6">
      <c r="F21534" s="2423"/>
    </row>
    <row r="21535" s="101" customFormat="1" spans="6:6">
      <c r="F21535" s="2423"/>
    </row>
    <row r="21536" s="101" customFormat="1" spans="6:6">
      <c r="F21536" s="2423"/>
    </row>
    <row r="21537" s="101" customFormat="1" spans="6:6">
      <c r="F21537" s="2423"/>
    </row>
    <row r="21538" s="101" customFormat="1" spans="6:6">
      <c r="F21538" s="2423"/>
    </row>
    <row r="21539" s="101" customFormat="1" spans="6:6">
      <c r="F21539" s="2423"/>
    </row>
    <row r="21540" s="101" customFormat="1" spans="6:6">
      <c r="F21540" s="2423"/>
    </row>
    <row r="21541" s="101" customFormat="1" spans="6:6">
      <c r="F21541" s="2423"/>
    </row>
    <row r="21542" s="101" customFormat="1" spans="6:6">
      <c r="F21542" s="2423"/>
    </row>
    <row r="21543" s="101" customFormat="1" spans="6:6">
      <c r="F21543" s="2423"/>
    </row>
    <row r="21544" s="101" customFormat="1" spans="6:6">
      <c r="F21544" s="2423"/>
    </row>
    <row r="21545" s="101" customFormat="1" spans="6:6">
      <c r="F21545" s="2423"/>
    </row>
    <row r="21546" s="101" customFormat="1" spans="6:6">
      <c r="F21546" s="2423"/>
    </row>
    <row r="21547" s="101" customFormat="1" spans="6:6">
      <c r="F21547" s="2423"/>
    </row>
    <row r="21548" s="101" customFormat="1" spans="6:6">
      <c r="F21548" s="2423"/>
    </row>
    <row r="21549" s="101" customFormat="1" spans="6:6">
      <c r="F21549" s="2423"/>
    </row>
    <row r="21550" s="101" customFormat="1" spans="6:6">
      <c r="F21550" s="2423"/>
    </row>
    <row r="21551" s="101" customFormat="1" spans="6:6">
      <c r="F21551" s="2423"/>
    </row>
    <row r="21552" s="101" customFormat="1" spans="6:6">
      <c r="F21552" s="2423"/>
    </row>
    <row r="21553" s="101" customFormat="1" spans="6:6">
      <c r="F21553" s="2423"/>
    </row>
    <row r="21554" s="101" customFormat="1" spans="6:6">
      <c r="F21554" s="2423"/>
    </row>
    <row r="21555" s="101" customFormat="1" spans="6:6">
      <c r="F21555" s="2423"/>
    </row>
    <row r="21556" s="101" customFormat="1" spans="6:6">
      <c r="F21556" s="2423"/>
    </row>
    <row r="21557" s="101" customFormat="1" spans="6:6">
      <c r="F21557" s="2423"/>
    </row>
    <row r="21558" s="101" customFormat="1" spans="6:6">
      <c r="F21558" s="2423"/>
    </row>
    <row r="21559" s="101" customFormat="1" spans="6:6">
      <c r="F21559" s="2423"/>
    </row>
    <row r="21560" s="101" customFormat="1" spans="6:6">
      <c r="F21560" s="2423"/>
    </row>
    <row r="21561" s="101" customFormat="1" spans="6:6">
      <c r="F21561" s="2423"/>
    </row>
    <row r="21562" s="101" customFormat="1" spans="6:6">
      <c r="F21562" s="2423"/>
    </row>
    <row r="21563" s="101" customFormat="1" spans="6:6">
      <c r="F21563" s="2423"/>
    </row>
    <row r="21564" s="101" customFormat="1" spans="6:6">
      <c r="F21564" s="2423"/>
    </row>
    <row r="21565" s="101" customFormat="1" spans="6:6">
      <c r="F21565" s="2423"/>
    </row>
    <row r="21566" s="101" customFormat="1" spans="6:6">
      <c r="F21566" s="2423"/>
    </row>
    <row r="21567" s="101" customFormat="1" spans="6:6">
      <c r="F21567" s="2423"/>
    </row>
    <row r="21568" s="101" customFormat="1" spans="6:6">
      <c r="F21568" s="2423"/>
    </row>
    <row r="21569" s="101" customFormat="1" spans="6:6">
      <c r="F21569" s="2423"/>
    </row>
    <row r="21570" s="101" customFormat="1" spans="6:6">
      <c r="F21570" s="2423"/>
    </row>
    <row r="21571" s="101" customFormat="1" spans="6:6">
      <c r="F21571" s="2423"/>
    </row>
    <row r="21572" s="101" customFormat="1" spans="6:6">
      <c r="F21572" s="2423"/>
    </row>
    <row r="21573" s="101" customFormat="1" spans="6:6">
      <c r="F21573" s="2423"/>
    </row>
    <row r="21574" s="101" customFormat="1" spans="6:6">
      <c r="F21574" s="2423"/>
    </row>
    <row r="21575" s="101" customFormat="1" spans="6:6">
      <c r="F21575" s="2423"/>
    </row>
    <row r="21576" s="101" customFormat="1" spans="6:6">
      <c r="F21576" s="2423"/>
    </row>
    <row r="21577" s="101" customFormat="1" spans="6:6">
      <c r="F21577" s="2423"/>
    </row>
    <row r="21578" s="101" customFormat="1" spans="6:6">
      <c r="F21578" s="2423"/>
    </row>
    <row r="21579" s="101" customFormat="1" spans="6:6">
      <c r="F21579" s="2423"/>
    </row>
    <row r="21580" s="101" customFormat="1" spans="6:6">
      <c r="F21580" s="2423"/>
    </row>
    <row r="21581" s="101" customFormat="1" spans="6:6">
      <c r="F21581" s="2423"/>
    </row>
    <row r="21582" s="101" customFormat="1" spans="6:6">
      <c r="F21582" s="2423"/>
    </row>
    <row r="21583" s="101" customFormat="1" spans="6:6">
      <c r="F21583" s="2423"/>
    </row>
    <row r="21584" s="101" customFormat="1" spans="6:6">
      <c r="F21584" s="2423"/>
    </row>
    <row r="21585" s="101" customFormat="1" spans="6:6">
      <c r="F21585" s="2423"/>
    </row>
    <row r="21586" s="101" customFormat="1" spans="6:6">
      <c r="F21586" s="2423"/>
    </row>
    <row r="21587" s="101" customFormat="1" spans="6:6">
      <c r="F21587" s="2423"/>
    </row>
    <row r="21588" s="101" customFormat="1" spans="6:6">
      <c r="F21588" s="2423"/>
    </row>
    <row r="21589" s="101" customFormat="1" spans="6:6">
      <c r="F21589" s="2423"/>
    </row>
    <row r="21590" s="101" customFormat="1" spans="6:6">
      <c r="F21590" s="2423"/>
    </row>
    <row r="21591" s="101" customFormat="1" spans="6:6">
      <c r="F21591" s="2423"/>
    </row>
    <row r="21592" s="101" customFormat="1" spans="6:6">
      <c r="F21592" s="2423"/>
    </row>
    <row r="21593" s="101" customFormat="1" spans="6:6">
      <c r="F21593" s="2423"/>
    </row>
    <row r="21594" s="101" customFormat="1" spans="6:6">
      <c r="F21594" s="2423"/>
    </row>
    <row r="21595" s="101" customFormat="1" spans="6:6">
      <c r="F21595" s="2423"/>
    </row>
    <row r="21596" s="101" customFormat="1" spans="6:6">
      <c r="F21596" s="2423"/>
    </row>
    <row r="21597" s="101" customFormat="1" spans="6:6">
      <c r="F21597" s="2423"/>
    </row>
    <row r="21598" s="101" customFormat="1" spans="6:6">
      <c r="F21598" s="2423"/>
    </row>
    <row r="21599" s="101" customFormat="1" spans="6:6">
      <c r="F21599" s="2423"/>
    </row>
    <row r="21600" s="101" customFormat="1" spans="6:6">
      <c r="F21600" s="2423"/>
    </row>
    <row r="21601" s="101" customFormat="1" spans="6:6">
      <c r="F21601" s="2423"/>
    </row>
    <row r="21602" s="101" customFormat="1" spans="6:6">
      <c r="F21602" s="2423"/>
    </row>
    <row r="21603" s="101" customFormat="1" spans="6:6">
      <c r="F21603" s="2423"/>
    </row>
    <row r="21604" s="101" customFormat="1" spans="6:6">
      <c r="F21604" s="2423"/>
    </row>
    <row r="21605" s="101" customFormat="1" spans="6:6">
      <c r="F21605" s="2423"/>
    </row>
    <row r="21606" s="101" customFormat="1" spans="6:6">
      <c r="F21606" s="2423"/>
    </row>
    <row r="21607" s="101" customFormat="1" spans="6:6">
      <c r="F21607" s="2423"/>
    </row>
    <row r="21608" s="101" customFormat="1" spans="6:6">
      <c r="F21608" s="2423"/>
    </row>
    <row r="21609" s="101" customFormat="1" spans="6:6">
      <c r="F21609" s="2423"/>
    </row>
    <row r="21610" s="101" customFormat="1" spans="6:6">
      <c r="F21610" s="2423"/>
    </row>
    <row r="21611" s="101" customFormat="1" spans="6:6">
      <c r="F21611" s="2423"/>
    </row>
    <row r="21612" s="101" customFormat="1" spans="6:6">
      <c r="F21612" s="2423"/>
    </row>
    <row r="21613" s="101" customFormat="1" spans="6:6">
      <c r="F21613" s="2423"/>
    </row>
    <row r="21614" s="101" customFormat="1" spans="6:6">
      <c r="F21614" s="2423"/>
    </row>
    <row r="21615" s="101" customFormat="1" spans="6:6">
      <c r="F21615" s="2423"/>
    </row>
    <row r="21616" s="101" customFormat="1" spans="6:6">
      <c r="F21616" s="2423"/>
    </row>
    <row r="21617" s="101" customFormat="1" spans="6:6">
      <c r="F21617" s="2423"/>
    </row>
    <row r="21618" s="101" customFormat="1" spans="6:6">
      <c r="F21618" s="2423"/>
    </row>
    <row r="21619" s="101" customFormat="1" spans="6:6">
      <c r="F21619" s="2423"/>
    </row>
    <row r="21620" s="101" customFormat="1" spans="6:6">
      <c r="F21620" s="2423"/>
    </row>
    <row r="21621" s="101" customFormat="1" spans="6:6">
      <c r="F21621" s="2423"/>
    </row>
    <row r="21622" s="101" customFormat="1" spans="6:6">
      <c r="F21622" s="2423"/>
    </row>
    <row r="21623" s="101" customFormat="1" spans="6:6">
      <c r="F21623" s="2423"/>
    </row>
    <row r="21624" s="101" customFormat="1" spans="6:6">
      <c r="F21624" s="2423"/>
    </row>
    <row r="21625" s="101" customFormat="1" spans="6:6">
      <c r="F21625" s="2423"/>
    </row>
    <row r="21626" s="101" customFormat="1" spans="6:6">
      <c r="F21626" s="2423"/>
    </row>
    <row r="21627" s="101" customFormat="1" spans="6:6">
      <c r="F21627" s="2423"/>
    </row>
    <row r="21628" s="101" customFormat="1" spans="6:6">
      <c r="F21628" s="2423"/>
    </row>
    <row r="21629" s="101" customFormat="1" spans="6:6">
      <c r="F21629" s="2423"/>
    </row>
    <row r="21630" s="101" customFormat="1" spans="6:6">
      <c r="F21630" s="2423"/>
    </row>
    <row r="21631" s="101" customFormat="1" spans="6:6">
      <c r="F21631" s="2423"/>
    </row>
    <row r="21632" s="101" customFormat="1" spans="6:6">
      <c r="F21632" s="2423"/>
    </row>
    <row r="21633" s="101" customFormat="1" spans="6:6">
      <c r="F21633" s="2423"/>
    </row>
    <row r="21634" s="101" customFormat="1" spans="6:6">
      <c r="F21634" s="2423"/>
    </row>
    <row r="21635" s="101" customFormat="1" spans="6:6">
      <c r="F21635" s="2423"/>
    </row>
    <row r="21636" s="101" customFormat="1" spans="6:6">
      <c r="F21636" s="2423"/>
    </row>
    <row r="21637" s="101" customFormat="1" spans="6:6">
      <c r="F21637" s="2423"/>
    </row>
    <row r="21638" s="101" customFormat="1" spans="6:6">
      <c r="F21638" s="2423"/>
    </row>
    <row r="21639" s="101" customFormat="1" spans="6:6">
      <c r="F21639" s="2423"/>
    </row>
    <row r="21640" s="101" customFormat="1" spans="6:6">
      <c r="F21640" s="2423"/>
    </row>
    <row r="21641" s="101" customFormat="1" spans="6:6">
      <c r="F21641" s="2423"/>
    </row>
    <row r="21642" s="101" customFormat="1" spans="6:6">
      <c r="F21642" s="2423"/>
    </row>
    <row r="21643" s="101" customFormat="1" spans="6:6">
      <c r="F21643" s="2423"/>
    </row>
    <row r="21644" s="101" customFormat="1" spans="6:6">
      <c r="F21644" s="2423"/>
    </row>
    <row r="21645" s="101" customFormat="1" spans="6:6">
      <c r="F21645" s="2423"/>
    </row>
    <row r="21646" s="101" customFormat="1" spans="6:6">
      <c r="F21646" s="2423"/>
    </row>
    <row r="21647" s="101" customFormat="1" spans="6:6">
      <c r="F21647" s="2423"/>
    </row>
    <row r="21648" s="101" customFormat="1" spans="6:6">
      <c r="F21648" s="2423"/>
    </row>
    <row r="21649" s="101" customFormat="1" spans="6:6">
      <c r="F21649" s="2423"/>
    </row>
    <row r="21650" s="101" customFormat="1" spans="6:6">
      <c r="F21650" s="2423"/>
    </row>
    <row r="21651" s="101" customFormat="1" spans="6:6">
      <c r="F21651" s="2423"/>
    </row>
    <row r="21652" s="101" customFormat="1" spans="6:6">
      <c r="F21652" s="2423"/>
    </row>
    <row r="21653" s="101" customFormat="1" spans="6:6">
      <c r="F21653" s="2423"/>
    </row>
    <row r="21654" s="101" customFormat="1" spans="6:6">
      <c r="F21654" s="2423"/>
    </row>
    <row r="21655" s="101" customFormat="1" spans="6:6">
      <c r="F21655" s="2423"/>
    </row>
    <row r="21656" s="101" customFormat="1" spans="6:6">
      <c r="F21656" s="2423"/>
    </row>
    <row r="21657" s="101" customFormat="1" spans="6:6">
      <c r="F21657" s="2423"/>
    </row>
    <row r="21658" s="101" customFormat="1" spans="6:6">
      <c r="F21658" s="2423"/>
    </row>
    <row r="21659" s="101" customFormat="1" spans="6:6">
      <c r="F21659" s="2423"/>
    </row>
    <row r="21660" s="101" customFormat="1" spans="6:6">
      <c r="F21660" s="2423"/>
    </row>
    <row r="21661" s="101" customFormat="1" spans="6:6">
      <c r="F21661" s="2423"/>
    </row>
    <row r="21662" s="101" customFormat="1" spans="6:6">
      <c r="F21662" s="2423"/>
    </row>
    <row r="21663" s="101" customFormat="1" spans="6:6">
      <c r="F21663" s="2423"/>
    </row>
    <row r="21664" s="101" customFormat="1" spans="6:6">
      <c r="F21664" s="2423"/>
    </row>
    <row r="21665" s="101" customFormat="1" spans="6:6">
      <c r="F21665" s="2423"/>
    </row>
    <row r="21666" s="101" customFormat="1" spans="6:6">
      <c r="F21666" s="2423"/>
    </row>
    <row r="21667" s="101" customFormat="1" spans="6:6">
      <c r="F21667" s="2423"/>
    </row>
    <row r="21668" s="101" customFormat="1" spans="6:6">
      <c r="F21668" s="2423"/>
    </row>
    <row r="21669" s="101" customFormat="1" spans="6:6">
      <c r="F21669" s="2423"/>
    </row>
    <row r="21670" s="101" customFormat="1" spans="6:6">
      <c r="F21670" s="2423"/>
    </row>
    <row r="21671" s="101" customFormat="1" spans="6:6">
      <c r="F21671" s="2423"/>
    </row>
    <row r="21672" s="101" customFormat="1" spans="6:6">
      <c r="F21672" s="2423"/>
    </row>
    <row r="21673" s="101" customFormat="1" spans="6:6">
      <c r="F21673" s="2423"/>
    </row>
    <row r="21674" s="101" customFormat="1" spans="6:6">
      <c r="F21674" s="2423"/>
    </row>
    <row r="21675" s="101" customFormat="1" spans="6:6">
      <c r="F21675" s="2423"/>
    </row>
    <row r="21676" s="101" customFormat="1" spans="6:6">
      <c r="F21676" s="2423"/>
    </row>
    <row r="21677" s="101" customFormat="1" spans="6:6">
      <c r="F21677" s="2423"/>
    </row>
    <row r="21678" s="101" customFormat="1" spans="6:6">
      <c r="F21678" s="2423"/>
    </row>
    <row r="21679" s="101" customFormat="1" spans="6:6">
      <c r="F21679" s="2423"/>
    </row>
    <row r="21680" s="101" customFormat="1" spans="6:6">
      <c r="F21680" s="2423"/>
    </row>
    <row r="21681" s="101" customFormat="1" spans="6:6">
      <c r="F21681" s="2423"/>
    </row>
    <row r="21682" s="101" customFormat="1" spans="6:6">
      <c r="F21682" s="2423"/>
    </row>
    <row r="21683" s="101" customFormat="1" spans="6:6">
      <c r="F21683" s="2423"/>
    </row>
    <row r="21684" s="101" customFormat="1" spans="6:6">
      <c r="F21684" s="2423"/>
    </row>
    <row r="21685" s="101" customFormat="1" spans="6:6">
      <c r="F21685" s="2423"/>
    </row>
    <row r="21686" s="101" customFormat="1" spans="6:6">
      <c r="F21686" s="2423"/>
    </row>
    <row r="21687" s="101" customFormat="1" spans="6:6">
      <c r="F21687" s="2423"/>
    </row>
    <row r="21688" s="101" customFormat="1" spans="6:6">
      <c r="F21688" s="2423"/>
    </row>
    <row r="21689" s="101" customFormat="1" spans="6:6">
      <c r="F21689" s="2423"/>
    </row>
    <row r="21690" s="101" customFormat="1" spans="6:6">
      <c r="F21690" s="2423"/>
    </row>
    <row r="21691" s="101" customFormat="1" spans="6:6">
      <c r="F21691" s="2423"/>
    </row>
    <row r="21692" s="101" customFormat="1" spans="6:6">
      <c r="F21692" s="2423"/>
    </row>
    <row r="21693" s="101" customFormat="1" spans="6:6">
      <c r="F21693" s="2423"/>
    </row>
    <row r="21694" s="101" customFormat="1" spans="6:6">
      <c r="F21694" s="2423"/>
    </row>
    <row r="21695" s="101" customFormat="1" spans="6:6">
      <c r="F21695" s="2423"/>
    </row>
    <row r="21696" s="101" customFormat="1" spans="6:6">
      <c r="F21696" s="2423"/>
    </row>
    <row r="21697" s="101" customFormat="1" spans="6:6">
      <c r="F21697" s="2423"/>
    </row>
    <row r="21698" s="101" customFormat="1" spans="6:6">
      <c r="F21698" s="2423"/>
    </row>
    <row r="21699" s="101" customFormat="1" spans="6:6">
      <c r="F21699" s="2423"/>
    </row>
    <row r="21700" s="101" customFormat="1" spans="6:6">
      <c r="F21700" s="2423"/>
    </row>
    <row r="21701" s="101" customFormat="1" spans="6:6">
      <c r="F21701" s="2423"/>
    </row>
    <row r="21702" s="101" customFormat="1" spans="6:6">
      <c r="F21702" s="2423"/>
    </row>
    <row r="21703" s="101" customFormat="1" spans="6:6">
      <c r="F21703" s="2423"/>
    </row>
    <row r="21704" s="101" customFormat="1" spans="6:6">
      <c r="F21704" s="2423"/>
    </row>
    <row r="21705" s="101" customFormat="1" spans="6:6">
      <c r="F21705" s="2423"/>
    </row>
    <row r="21706" s="101" customFormat="1" spans="6:6">
      <c r="F21706" s="2423"/>
    </row>
    <row r="21707" s="101" customFormat="1" spans="6:6">
      <c r="F21707" s="2423"/>
    </row>
    <row r="21708" s="101" customFormat="1" spans="6:6">
      <c r="F21708" s="2423"/>
    </row>
    <row r="21709" s="101" customFormat="1" spans="6:6">
      <c r="F21709" s="2423"/>
    </row>
    <row r="21710" s="101" customFormat="1" spans="6:6">
      <c r="F21710" s="2423"/>
    </row>
    <row r="21711" s="101" customFormat="1" spans="6:6">
      <c r="F21711" s="2423"/>
    </row>
    <row r="21712" s="101" customFormat="1" spans="6:6">
      <c r="F21712" s="2423"/>
    </row>
    <row r="21713" s="101" customFormat="1" spans="6:6">
      <c r="F21713" s="2423"/>
    </row>
    <row r="21714" s="101" customFormat="1" spans="6:6">
      <c r="F21714" s="2423"/>
    </row>
    <row r="21715" s="101" customFormat="1" spans="6:6">
      <c r="F21715" s="2423"/>
    </row>
    <row r="21716" s="101" customFormat="1" spans="6:6">
      <c r="F21716" s="2423"/>
    </row>
    <row r="21717" s="101" customFormat="1" spans="6:6">
      <c r="F21717" s="2423"/>
    </row>
    <row r="21718" s="101" customFormat="1" spans="6:6">
      <c r="F21718" s="2423"/>
    </row>
    <row r="21719" s="101" customFormat="1" spans="6:6">
      <c r="F21719" s="2423"/>
    </row>
    <row r="21720" s="101" customFormat="1" spans="6:6">
      <c r="F21720" s="2423"/>
    </row>
    <row r="21721" s="101" customFormat="1" spans="6:6">
      <c r="F21721" s="2423"/>
    </row>
    <row r="21722" s="101" customFormat="1" spans="6:6">
      <c r="F21722" s="2423"/>
    </row>
    <row r="21723" s="101" customFormat="1" spans="6:6">
      <c r="F21723" s="2423"/>
    </row>
    <row r="21724" s="101" customFormat="1" spans="6:6">
      <c r="F21724" s="2423"/>
    </row>
    <row r="21725" s="101" customFormat="1" spans="6:6">
      <c r="F21725" s="2423"/>
    </row>
    <row r="21726" s="101" customFormat="1" spans="6:6">
      <c r="F21726" s="2423"/>
    </row>
    <row r="21727" s="101" customFormat="1" spans="6:6">
      <c r="F21727" s="2423"/>
    </row>
    <row r="21728" s="101" customFormat="1" spans="6:6">
      <c r="F21728" s="2423"/>
    </row>
    <row r="21729" s="101" customFormat="1" spans="6:6">
      <c r="F21729" s="2423"/>
    </row>
    <row r="21730" s="101" customFormat="1" spans="6:6">
      <c r="F21730" s="2423"/>
    </row>
    <row r="21731" s="101" customFormat="1" spans="6:6">
      <c r="F21731" s="2423"/>
    </row>
    <row r="21732" s="101" customFormat="1" spans="6:6">
      <c r="F21732" s="2423"/>
    </row>
    <row r="21733" s="101" customFormat="1" spans="6:6">
      <c r="F21733" s="2423"/>
    </row>
    <row r="21734" s="101" customFormat="1" spans="6:6">
      <c r="F21734" s="2423"/>
    </row>
    <row r="21735" s="101" customFormat="1" spans="6:6">
      <c r="F21735" s="2423"/>
    </row>
    <row r="21736" s="101" customFormat="1" spans="6:6">
      <c r="F21736" s="2423"/>
    </row>
    <row r="21737" s="101" customFormat="1" spans="6:6">
      <c r="F21737" s="2423"/>
    </row>
    <row r="21738" s="101" customFormat="1" spans="6:6">
      <c r="F21738" s="2423"/>
    </row>
    <row r="21739" s="101" customFormat="1" spans="6:6">
      <c r="F21739" s="2423"/>
    </row>
    <row r="21740" s="101" customFormat="1" spans="6:6">
      <c r="F21740" s="2423"/>
    </row>
    <row r="21741" s="101" customFormat="1" spans="6:6">
      <c r="F21741" s="2423"/>
    </row>
    <row r="21742" s="101" customFormat="1" spans="6:6">
      <c r="F21742" s="2423"/>
    </row>
    <row r="21743" s="101" customFormat="1" spans="6:6">
      <c r="F21743" s="2423"/>
    </row>
    <row r="21744" s="101" customFormat="1" spans="6:6">
      <c r="F21744" s="2423"/>
    </row>
    <row r="21745" s="101" customFormat="1" spans="6:6">
      <c r="F21745" s="2423"/>
    </row>
    <row r="21746" s="101" customFormat="1" spans="6:6">
      <c r="F21746" s="2423"/>
    </row>
    <row r="21747" s="101" customFormat="1" spans="6:6">
      <c r="F21747" s="2423"/>
    </row>
    <row r="21748" s="101" customFormat="1" spans="6:6">
      <c r="F21748" s="2423"/>
    </row>
    <row r="21749" s="101" customFormat="1" spans="6:6">
      <c r="F21749" s="2423"/>
    </row>
    <row r="21750" s="101" customFormat="1" spans="6:6">
      <c r="F21750" s="2423"/>
    </row>
    <row r="21751" s="101" customFormat="1" spans="6:6">
      <c r="F21751" s="2423"/>
    </row>
    <row r="21752" s="101" customFormat="1" spans="6:6">
      <c r="F21752" s="2423"/>
    </row>
    <row r="21753" s="101" customFormat="1" spans="6:6">
      <c r="F21753" s="2423"/>
    </row>
    <row r="21754" s="101" customFormat="1" spans="6:6">
      <c r="F21754" s="2423"/>
    </row>
    <row r="21755" s="101" customFormat="1" spans="6:6">
      <c r="F21755" s="2423"/>
    </row>
    <row r="21756" s="101" customFormat="1" spans="6:6">
      <c r="F21756" s="2423"/>
    </row>
    <row r="21757" s="101" customFormat="1" spans="6:6">
      <c r="F21757" s="2423"/>
    </row>
    <row r="21758" s="101" customFormat="1" spans="6:6">
      <c r="F21758" s="2423"/>
    </row>
    <row r="21759" s="101" customFormat="1" spans="6:6">
      <c r="F21759" s="2423"/>
    </row>
    <row r="21760" s="101" customFormat="1" spans="6:6">
      <c r="F21760" s="2423"/>
    </row>
    <row r="21761" s="101" customFormat="1" spans="6:6">
      <c r="F21761" s="2423"/>
    </row>
    <row r="21762" s="101" customFormat="1" spans="6:6">
      <c r="F21762" s="2423"/>
    </row>
    <row r="21763" s="101" customFormat="1" spans="6:6">
      <c r="F21763" s="2423"/>
    </row>
    <row r="21764" s="101" customFormat="1" spans="6:6">
      <c r="F21764" s="2423"/>
    </row>
    <row r="21765" s="101" customFormat="1" spans="6:6">
      <c r="F21765" s="2423"/>
    </row>
    <row r="21766" s="101" customFormat="1" spans="6:6">
      <c r="F21766" s="2423"/>
    </row>
    <row r="21767" s="101" customFormat="1" spans="6:6">
      <c r="F21767" s="2423"/>
    </row>
    <row r="21768" s="101" customFormat="1" spans="6:6">
      <c r="F21768" s="2423"/>
    </row>
    <row r="21769" s="101" customFormat="1" spans="6:6">
      <c r="F21769" s="2423"/>
    </row>
    <row r="21770" s="101" customFormat="1" spans="6:6">
      <c r="F21770" s="2423"/>
    </row>
    <row r="21771" s="101" customFormat="1" spans="6:6">
      <c r="F21771" s="2423"/>
    </row>
    <row r="21772" s="101" customFormat="1" spans="6:6">
      <c r="F21772" s="2423"/>
    </row>
    <row r="21773" s="101" customFormat="1" spans="6:6">
      <c r="F21773" s="2423"/>
    </row>
    <row r="21774" s="101" customFormat="1" spans="6:6">
      <c r="F21774" s="2423"/>
    </row>
    <row r="21775" s="101" customFormat="1" spans="6:6">
      <c r="F21775" s="2423"/>
    </row>
    <row r="21776" s="101" customFormat="1" spans="6:6">
      <c r="F21776" s="2423"/>
    </row>
    <row r="21777" s="101" customFormat="1" spans="6:6">
      <c r="F21777" s="2423"/>
    </row>
    <row r="21778" s="101" customFormat="1" spans="6:6">
      <c r="F21778" s="2423"/>
    </row>
    <row r="21779" s="101" customFormat="1" spans="6:6">
      <c r="F21779" s="2423"/>
    </row>
    <row r="21780" s="101" customFormat="1" spans="6:6">
      <c r="F21780" s="2423"/>
    </row>
    <row r="21781" s="101" customFormat="1" spans="6:6">
      <c r="F21781" s="2423"/>
    </row>
    <row r="21782" s="101" customFormat="1" spans="6:6">
      <c r="F21782" s="2423"/>
    </row>
    <row r="21783" s="101" customFormat="1" spans="6:6">
      <c r="F21783" s="2423"/>
    </row>
    <row r="21784" s="101" customFormat="1" spans="6:6">
      <c r="F21784" s="2423"/>
    </row>
    <row r="21785" s="101" customFormat="1" spans="6:6">
      <c r="F21785" s="2423"/>
    </row>
    <row r="21786" s="101" customFormat="1" spans="6:6">
      <c r="F21786" s="2423"/>
    </row>
    <row r="21787" s="101" customFormat="1" spans="6:6">
      <c r="F21787" s="2423"/>
    </row>
    <row r="21788" s="101" customFormat="1" spans="6:6">
      <c r="F21788" s="2423"/>
    </row>
    <row r="21789" s="101" customFormat="1" spans="6:6">
      <c r="F21789" s="2423"/>
    </row>
    <row r="21790" s="101" customFormat="1" spans="6:6">
      <c r="F21790" s="2423"/>
    </row>
    <row r="21791" s="101" customFormat="1" spans="6:6">
      <c r="F21791" s="2423"/>
    </row>
    <row r="21792" s="101" customFormat="1" spans="6:6">
      <c r="F21792" s="2423"/>
    </row>
    <row r="21793" s="101" customFormat="1" spans="6:6">
      <c r="F21793" s="2423"/>
    </row>
    <row r="21794" s="101" customFormat="1" spans="6:6">
      <c r="F21794" s="2423"/>
    </row>
    <row r="21795" s="101" customFormat="1" spans="6:6">
      <c r="F21795" s="2423"/>
    </row>
    <row r="21796" s="101" customFormat="1" spans="6:6">
      <c r="F21796" s="2423"/>
    </row>
    <row r="21797" s="101" customFormat="1" spans="6:6">
      <c r="F21797" s="2423"/>
    </row>
    <row r="21798" s="101" customFormat="1" spans="6:6">
      <c r="F21798" s="2423"/>
    </row>
    <row r="21799" s="101" customFormat="1" spans="6:6">
      <c r="F21799" s="2423"/>
    </row>
    <row r="21800" s="101" customFormat="1" spans="6:6">
      <c r="F21800" s="2423"/>
    </row>
    <row r="21801" s="101" customFormat="1" spans="6:6">
      <c r="F21801" s="2423"/>
    </row>
    <row r="21802" s="101" customFormat="1" spans="6:6">
      <c r="F21802" s="2423"/>
    </row>
    <row r="21803" s="101" customFormat="1" spans="6:6">
      <c r="F21803" s="2423"/>
    </row>
    <row r="21804" s="101" customFormat="1" spans="6:6">
      <c r="F21804" s="2423"/>
    </row>
    <row r="21805" s="101" customFormat="1" spans="6:6">
      <c r="F21805" s="2423"/>
    </row>
    <row r="21806" s="101" customFormat="1" spans="6:6">
      <c r="F21806" s="2423"/>
    </row>
    <row r="21807" s="101" customFormat="1" spans="6:6">
      <c r="F21807" s="2423"/>
    </row>
    <row r="21808" s="101" customFormat="1" spans="6:6">
      <c r="F21808" s="2423"/>
    </row>
    <row r="21809" s="101" customFormat="1" spans="6:6">
      <c r="F21809" s="2423"/>
    </row>
    <row r="21810" s="101" customFormat="1" spans="6:6">
      <c r="F21810" s="2423"/>
    </row>
    <row r="21811" s="101" customFormat="1" spans="6:6">
      <c r="F21811" s="2423"/>
    </row>
    <row r="21812" s="101" customFormat="1" spans="6:6">
      <c r="F21812" s="2423"/>
    </row>
    <row r="21813" s="101" customFormat="1" spans="6:6">
      <c r="F21813" s="2423"/>
    </row>
    <row r="21814" s="101" customFormat="1" spans="6:6">
      <c r="F21814" s="2423"/>
    </row>
    <row r="21815" s="101" customFormat="1" spans="6:6">
      <c r="F21815" s="2423"/>
    </row>
    <row r="21816" s="101" customFormat="1" spans="6:6">
      <c r="F21816" s="2423"/>
    </row>
    <row r="21817" s="101" customFormat="1" spans="6:6">
      <c r="F21817" s="2423"/>
    </row>
    <row r="21818" s="101" customFormat="1" spans="6:6">
      <c r="F21818" s="2423"/>
    </row>
    <row r="21819" s="101" customFormat="1" spans="6:6">
      <c r="F21819" s="2423"/>
    </row>
    <row r="21820" s="101" customFormat="1" spans="6:6">
      <c r="F21820" s="2423"/>
    </row>
    <row r="21821" s="101" customFormat="1" spans="6:6">
      <c r="F21821" s="2423"/>
    </row>
    <row r="21822" s="101" customFormat="1" spans="6:6">
      <c r="F21822" s="2423"/>
    </row>
    <row r="21823" s="101" customFormat="1" spans="6:6">
      <c r="F21823" s="2423"/>
    </row>
    <row r="21824" s="101" customFormat="1" spans="6:6">
      <c r="F21824" s="2423"/>
    </row>
    <row r="21825" s="101" customFormat="1" spans="6:6">
      <c r="F21825" s="2423"/>
    </row>
    <row r="21826" s="101" customFormat="1" spans="6:6">
      <c r="F21826" s="2423"/>
    </row>
    <row r="21827" s="101" customFormat="1" spans="6:6">
      <c r="F21827" s="2423"/>
    </row>
    <row r="21828" s="101" customFormat="1" spans="6:6">
      <c r="F21828" s="2423"/>
    </row>
    <row r="21829" s="101" customFormat="1" spans="6:6">
      <c r="F21829" s="2423"/>
    </row>
    <row r="21830" s="101" customFormat="1" spans="6:6">
      <c r="F21830" s="2423"/>
    </row>
    <row r="21831" s="101" customFormat="1" spans="6:6">
      <c r="F21831" s="2423"/>
    </row>
    <row r="21832" s="101" customFormat="1" spans="6:6">
      <c r="F21832" s="2423"/>
    </row>
    <row r="21833" s="101" customFormat="1" spans="6:6">
      <c r="F21833" s="2423"/>
    </row>
    <row r="21834" s="101" customFormat="1" spans="6:6">
      <c r="F21834" s="2423"/>
    </row>
    <row r="21835" s="101" customFormat="1" spans="6:6">
      <c r="F21835" s="2423"/>
    </row>
    <row r="21836" s="101" customFormat="1" spans="6:6">
      <c r="F21836" s="2423"/>
    </row>
    <row r="21837" s="101" customFormat="1" spans="6:6">
      <c r="F21837" s="2423"/>
    </row>
    <row r="21838" s="101" customFormat="1" spans="6:6">
      <c r="F21838" s="2423"/>
    </row>
    <row r="21839" s="101" customFormat="1" spans="6:6">
      <c r="F21839" s="2423"/>
    </row>
    <row r="21840" s="101" customFormat="1" spans="6:6">
      <c r="F21840" s="2423"/>
    </row>
    <row r="21841" s="101" customFormat="1" spans="6:6">
      <c r="F21841" s="2423"/>
    </row>
    <row r="21842" s="101" customFormat="1" spans="6:6">
      <c r="F21842" s="2423"/>
    </row>
    <row r="21843" s="101" customFormat="1" spans="6:6">
      <c r="F21843" s="2423"/>
    </row>
    <row r="21844" s="101" customFormat="1" spans="6:6">
      <c r="F21844" s="2423"/>
    </row>
    <row r="21845" s="101" customFormat="1" spans="6:6">
      <c r="F21845" s="2423"/>
    </row>
    <row r="21846" s="101" customFormat="1" spans="6:6">
      <c r="F21846" s="2423"/>
    </row>
    <row r="21847" s="101" customFormat="1" spans="6:6">
      <c r="F21847" s="2423"/>
    </row>
    <row r="21848" s="101" customFormat="1" spans="6:6">
      <c r="F21848" s="2423"/>
    </row>
    <row r="21849" s="101" customFormat="1" spans="6:6">
      <c r="F21849" s="2423"/>
    </row>
    <row r="21850" s="101" customFormat="1" spans="6:6">
      <c r="F21850" s="2423"/>
    </row>
    <row r="21851" s="101" customFormat="1" spans="6:6">
      <c r="F21851" s="2423"/>
    </row>
    <row r="21852" s="101" customFormat="1" spans="6:6">
      <c r="F21852" s="2423"/>
    </row>
    <row r="21853" s="101" customFormat="1" spans="6:6">
      <c r="F21853" s="2423"/>
    </row>
    <row r="21854" s="101" customFormat="1" spans="6:6">
      <c r="F21854" s="2423"/>
    </row>
    <row r="21855" s="101" customFormat="1" spans="6:6">
      <c r="F21855" s="2423"/>
    </row>
    <row r="21856" s="101" customFormat="1" spans="6:6">
      <c r="F21856" s="2423"/>
    </row>
    <row r="21857" s="101" customFormat="1" spans="6:6">
      <c r="F21857" s="2423"/>
    </row>
    <row r="21858" s="101" customFormat="1" spans="6:6">
      <c r="F21858" s="2423"/>
    </row>
    <row r="21859" s="101" customFormat="1" spans="6:6">
      <c r="F21859" s="2423"/>
    </row>
    <row r="21860" s="101" customFormat="1" spans="6:6">
      <c r="F21860" s="2423"/>
    </row>
    <row r="21861" s="101" customFormat="1" spans="6:6">
      <c r="F21861" s="2423"/>
    </row>
    <row r="21862" s="101" customFormat="1" spans="6:6">
      <c r="F21862" s="2423"/>
    </row>
    <row r="21863" s="101" customFormat="1" spans="6:6">
      <c r="F21863" s="2423"/>
    </row>
    <row r="21864" s="101" customFormat="1" spans="6:6">
      <c r="F21864" s="2423"/>
    </row>
    <row r="21865" s="101" customFormat="1" spans="6:6">
      <c r="F21865" s="2423"/>
    </row>
    <row r="21866" s="101" customFormat="1" spans="6:6">
      <c r="F21866" s="2423"/>
    </row>
    <row r="21867" s="101" customFormat="1" spans="6:6">
      <c r="F21867" s="2423"/>
    </row>
    <row r="21868" s="101" customFormat="1" spans="6:6">
      <c r="F21868" s="2423"/>
    </row>
    <row r="21869" s="101" customFormat="1" spans="6:6">
      <c r="F21869" s="2423"/>
    </row>
    <row r="21870" s="101" customFormat="1" spans="6:6">
      <c r="F21870" s="2423"/>
    </row>
    <row r="21871" s="101" customFormat="1" spans="6:6">
      <c r="F21871" s="2423"/>
    </row>
    <row r="21872" s="101" customFormat="1" spans="6:6">
      <c r="F21872" s="2423"/>
    </row>
    <row r="21873" s="101" customFormat="1" spans="6:6">
      <c r="F21873" s="2423"/>
    </row>
    <row r="21874" s="101" customFormat="1" spans="6:6">
      <c r="F21874" s="2423"/>
    </row>
    <row r="21875" s="101" customFormat="1" spans="6:6">
      <c r="F21875" s="2423"/>
    </row>
    <row r="21876" s="101" customFormat="1" spans="6:6">
      <c r="F21876" s="2423"/>
    </row>
    <row r="21877" s="101" customFormat="1" spans="6:6">
      <c r="F21877" s="2423"/>
    </row>
    <row r="21878" s="101" customFormat="1" spans="6:6">
      <c r="F21878" s="2423"/>
    </row>
    <row r="21879" s="101" customFormat="1" spans="6:6">
      <c r="F21879" s="2423"/>
    </row>
    <row r="21880" s="101" customFormat="1" spans="6:6">
      <c r="F21880" s="2423"/>
    </row>
    <row r="21881" s="101" customFormat="1" spans="6:6">
      <c r="F21881" s="2423"/>
    </row>
    <row r="21882" s="101" customFormat="1" spans="6:6">
      <c r="F21882" s="2423"/>
    </row>
    <row r="21883" s="101" customFormat="1" spans="6:6">
      <c r="F21883" s="2423"/>
    </row>
    <row r="21884" s="101" customFormat="1" spans="6:6">
      <c r="F21884" s="2423"/>
    </row>
    <row r="21885" s="101" customFormat="1" spans="6:6">
      <c r="F21885" s="2423"/>
    </row>
    <row r="21886" s="101" customFormat="1" spans="6:6">
      <c r="F21886" s="2423"/>
    </row>
    <row r="21887" s="101" customFormat="1" spans="6:6">
      <c r="F21887" s="2423"/>
    </row>
    <row r="21888" s="101" customFormat="1" spans="6:6">
      <c r="F21888" s="2423"/>
    </row>
    <row r="21889" s="101" customFormat="1" spans="6:6">
      <c r="F21889" s="2423"/>
    </row>
    <row r="21890" s="101" customFormat="1" spans="6:6">
      <c r="F21890" s="2423"/>
    </row>
    <row r="21891" s="101" customFormat="1" spans="6:6">
      <c r="F21891" s="2423"/>
    </row>
    <row r="21892" s="101" customFormat="1" spans="6:6">
      <c r="F21892" s="2423"/>
    </row>
    <row r="21893" s="101" customFormat="1" spans="6:6">
      <c r="F21893" s="2423"/>
    </row>
    <row r="21894" s="101" customFormat="1" spans="6:6">
      <c r="F21894" s="2423"/>
    </row>
    <row r="21895" s="101" customFormat="1" spans="6:6">
      <c r="F21895" s="2423"/>
    </row>
    <row r="21896" s="101" customFormat="1" spans="6:6">
      <c r="F21896" s="2423"/>
    </row>
    <row r="21897" s="101" customFormat="1" spans="6:6">
      <c r="F21897" s="2423"/>
    </row>
    <row r="21898" s="101" customFormat="1" spans="6:6">
      <c r="F21898" s="2423"/>
    </row>
    <row r="21899" s="101" customFormat="1" spans="6:6">
      <c r="F21899" s="2423"/>
    </row>
    <row r="21900" s="101" customFormat="1" spans="6:6">
      <c r="F21900" s="2423"/>
    </row>
    <row r="21901" s="101" customFormat="1" spans="6:6">
      <c r="F21901" s="2423"/>
    </row>
    <row r="21902" s="101" customFormat="1" spans="6:6">
      <c r="F21902" s="2423"/>
    </row>
    <row r="21903" s="101" customFormat="1" spans="6:6">
      <c r="F21903" s="2423"/>
    </row>
    <row r="21904" s="101" customFormat="1" spans="6:6">
      <c r="F21904" s="2423"/>
    </row>
    <row r="21905" s="101" customFormat="1" spans="6:6">
      <c r="F21905" s="2423"/>
    </row>
    <row r="21906" s="101" customFormat="1" spans="6:6">
      <c r="F21906" s="2423"/>
    </row>
    <row r="21907" s="101" customFormat="1" spans="6:6">
      <c r="F21907" s="2423"/>
    </row>
    <row r="21908" s="101" customFormat="1" spans="6:6">
      <c r="F21908" s="2423"/>
    </row>
    <row r="21909" s="101" customFormat="1" spans="6:6">
      <c r="F21909" s="2423"/>
    </row>
    <row r="21910" s="101" customFormat="1" spans="6:6">
      <c r="F21910" s="2423"/>
    </row>
    <row r="21911" s="101" customFormat="1" spans="6:6">
      <c r="F21911" s="2423"/>
    </row>
    <row r="21912" s="101" customFormat="1" spans="6:6">
      <c r="F21912" s="2423"/>
    </row>
    <row r="21913" s="101" customFormat="1" spans="6:6">
      <c r="F21913" s="2423"/>
    </row>
    <row r="21914" s="101" customFormat="1" spans="6:6">
      <c r="F21914" s="2423"/>
    </row>
    <row r="21915" s="101" customFormat="1" spans="6:6">
      <c r="F21915" s="2423"/>
    </row>
    <row r="21916" s="101" customFormat="1" spans="6:6">
      <c r="F21916" s="2423"/>
    </row>
    <row r="21917" s="101" customFormat="1" spans="6:6">
      <c r="F21917" s="2423"/>
    </row>
    <row r="21918" s="101" customFormat="1" spans="6:6">
      <c r="F21918" s="2423"/>
    </row>
    <row r="21919" s="101" customFormat="1" spans="6:6">
      <c r="F21919" s="2423"/>
    </row>
    <row r="21920" s="101" customFormat="1" spans="6:6">
      <c r="F21920" s="2423"/>
    </row>
    <row r="21921" s="101" customFormat="1" spans="6:6">
      <c r="F21921" s="2423"/>
    </row>
    <row r="21922" s="101" customFormat="1" spans="6:6">
      <c r="F21922" s="2423"/>
    </row>
    <row r="21923" s="101" customFormat="1" spans="6:6">
      <c r="F21923" s="2423"/>
    </row>
    <row r="21924" s="101" customFormat="1" spans="6:6">
      <c r="F21924" s="2423"/>
    </row>
    <row r="21925" s="101" customFormat="1" spans="6:6">
      <c r="F21925" s="2423"/>
    </row>
    <row r="21926" s="101" customFormat="1" spans="6:6">
      <c r="F21926" s="2423"/>
    </row>
    <row r="21927" s="101" customFormat="1" spans="6:6">
      <c r="F21927" s="2423"/>
    </row>
    <row r="21928" s="101" customFormat="1" spans="6:6">
      <c r="F21928" s="2423"/>
    </row>
    <row r="21929" s="101" customFormat="1" spans="6:6">
      <c r="F21929" s="2423"/>
    </row>
    <row r="21930" s="101" customFormat="1" spans="6:6">
      <c r="F21930" s="2423"/>
    </row>
    <row r="21931" s="101" customFormat="1" spans="6:6">
      <c r="F21931" s="2423"/>
    </row>
    <row r="21932" s="101" customFormat="1" spans="6:6">
      <c r="F21932" s="2423"/>
    </row>
    <row r="21933" s="101" customFormat="1" spans="6:6">
      <c r="F21933" s="2423"/>
    </row>
    <row r="21934" s="101" customFormat="1" spans="6:6">
      <c r="F21934" s="2423"/>
    </row>
    <row r="21935" s="101" customFormat="1" spans="6:6">
      <c r="F21935" s="2423"/>
    </row>
    <row r="21936" s="101" customFormat="1" spans="6:6">
      <c r="F21936" s="2423"/>
    </row>
    <row r="21937" s="101" customFormat="1" spans="6:6">
      <c r="F21937" s="2423"/>
    </row>
    <row r="21938" s="101" customFormat="1" spans="6:6">
      <c r="F21938" s="2423"/>
    </row>
    <row r="21939" s="101" customFormat="1" spans="6:6">
      <c r="F21939" s="2423"/>
    </row>
    <row r="21940" s="101" customFormat="1" spans="6:6">
      <c r="F21940" s="2423"/>
    </row>
    <row r="21941" s="101" customFormat="1" spans="6:6">
      <c r="F21941" s="2423"/>
    </row>
    <row r="21942" s="101" customFormat="1" spans="6:6">
      <c r="F21942" s="2423"/>
    </row>
    <row r="21943" s="101" customFormat="1" spans="6:6">
      <c r="F21943" s="2423"/>
    </row>
    <row r="21944" s="101" customFormat="1" spans="6:6">
      <c r="F21944" s="2423"/>
    </row>
    <row r="21945" s="101" customFormat="1" spans="6:6">
      <c r="F21945" s="2423"/>
    </row>
    <row r="21946" s="101" customFormat="1" spans="6:6">
      <c r="F21946" s="2423"/>
    </row>
    <row r="21947" s="101" customFormat="1" spans="6:6">
      <c r="F21947" s="2423"/>
    </row>
    <row r="21948" s="101" customFormat="1" spans="6:6">
      <c r="F21948" s="2423"/>
    </row>
    <row r="21949" s="101" customFormat="1" spans="6:6">
      <c r="F21949" s="2423"/>
    </row>
    <row r="21950" s="101" customFormat="1" spans="6:6">
      <c r="F21950" s="2423"/>
    </row>
    <row r="21951" s="101" customFormat="1" spans="6:6">
      <c r="F21951" s="2423"/>
    </row>
    <row r="21952" s="101" customFormat="1" spans="6:6">
      <c r="F21952" s="2423"/>
    </row>
    <row r="21953" s="101" customFormat="1" spans="6:6">
      <c r="F21953" s="2423"/>
    </row>
    <row r="21954" s="101" customFormat="1" spans="6:6">
      <c r="F21954" s="2423"/>
    </row>
    <row r="21955" s="101" customFormat="1" spans="6:6">
      <c r="F21955" s="2423"/>
    </row>
    <row r="21956" s="101" customFormat="1" spans="6:6">
      <c r="F21956" s="2423"/>
    </row>
    <row r="21957" s="101" customFormat="1" spans="6:6">
      <c r="F21957" s="2423"/>
    </row>
    <row r="21958" s="101" customFormat="1" spans="6:6">
      <c r="F21958" s="2423"/>
    </row>
    <row r="21959" s="101" customFormat="1" spans="6:6">
      <c r="F21959" s="2423"/>
    </row>
    <row r="21960" s="101" customFormat="1" spans="6:6">
      <c r="F21960" s="2423"/>
    </row>
    <row r="21961" s="101" customFormat="1" spans="6:6">
      <c r="F21961" s="2423"/>
    </row>
    <row r="21962" s="101" customFormat="1" spans="6:6">
      <c r="F21962" s="2423"/>
    </row>
    <row r="21963" s="101" customFormat="1" spans="6:6">
      <c r="F21963" s="2423"/>
    </row>
    <row r="21964" s="101" customFormat="1" spans="6:6">
      <c r="F21964" s="2423"/>
    </row>
    <row r="21965" s="101" customFormat="1" spans="6:6">
      <c r="F21965" s="2423"/>
    </row>
    <row r="21966" s="101" customFormat="1" spans="6:6">
      <c r="F21966" s="2423"/>
    </row>
    <row r="21967" s="101" customFormat="1" spans="6:6">
      <c r="F21967" s="2423"/>
    </row>
    <row r="21968" s="101" customFormat="1" spans="6:6">
      <c r="F21968" s="2423"/>
    </row>
    <row r="21969" s="101" customFormat="1" spans="6:6">
      <c r="F21969" s="2423"/>
    </row>
    <row r="21970" s="101" customFormat="1" spans="6:6">
      <c r="F21970" s="2423"/>
    </row>
    <row r="21971" s="101" customFormat="1" spans="6:6">
      <c r="F21971" s="2423"/>
    </row>
    <row r="21972" s="101" customFormat="1" spans="6:6">
      <c r="F21972" s="2423"/>
    </row>
    <row r="21973" s="101" customFormat="1" spans="6:6">
      <c r="F21973" s="2423"/>
    </row>
    <row r="21974" s="101" customFormat="1" spans="6:6">
      <c r="F21974" s="2423"/>
    </row>
    <row r="21975" s="101" customFormat="1" spans="6:6">
      <c r="F21975" s="2423"/>
    </row>
    <row r="21976" s="101" customFormat="1" spans="6:6">
      <c r="F21976" s="2423"/>
    </row>
    <row r="21977" s="101" customFormat="1" spans="6:6">
      <c r="F21977" s="2423"/>
    </row>
    <row r="21978" s="101" customFormat="1" spans="6:6">
      <c r="F21978" s="2423"/>
    </row>
    <row r="21979" s="101" customFormat="1" spans="6:6">
      <c r="F21979" s="2423"/>
    </row>
    <row r="21980" s="101" customFormat="1" spans="6:6">
      <c r="F21980" s="2423"/>
    </row>
    <row r="21981" s="101" customFormat="1" spans="6:6">
      <c r="F21981" s="2423"/>
    </row>
    <row r="21982" s="101" customFormat="1" spans="6:6">
      <c r="F21982" s="2423"/>
    </row>
    <row r="21983" s="101" customFormat="1" spans="6:6">
      <c r="F21983" s="2423"/>
    </row>
    <row r="21984" s="101" customFormat="1" spans="6:6">
      <c r="F21984" s="2423"/>
    </row>
    <row r="21985" s="101" customFormat="1" spans="6:6">
      <c r="F21985" s="2423"/>
    </row>
    <row r="21986" s="101" customFormat="1" spans="6:6">
      <c r="F21986" s="2423"/>
    </row>
    <row r="21987" s="101" customFormat="1" spans="6:6">
      <c r="F21987" s="2423"/>
    </row>
    <row r="21988" s="101" customFormat="1" spans="6:6">
      <c r="F21988" s="2423"/>
    </row>
    <row r="21989" s="101" customFormat="1" spans="6:6">
      <c r="F21989" s="2423"/>
    </row>
    <row r="21990" s="101" customFormat="1" spans="6:6">
      <c r="F21990" s="2423"/>
    </row>
    <row r="21991" s="101" customFormat="1" spans="6:6">
      <c r="F21991" s="2423"/>
    </row>
    <row r="21992" s="101" customFormat="1" spans="6:6">
      <c r="F21992" s="2423"/>
    </row>
    <row r="21993" s="101" customFormat="1" spans="6:6">
      <c r="F21993" s="2423"/>
    </row>
    <row r="21994" s="101" customFormat="1" spans="6:6">
      <c r="F21994" s="2423"/>
    </row>
    <row r="21995" s="101" customFormat="1" spans="6:6">
      <c r="F21995" s="2423"/>
    </row>
    <row r="21996" s="101" customFormat="1" spans="6:6">
      <c r="F21996" s="2423"/>
    </row>
    <row r="21997" s="101" customFormat="1" spans="6:6">
      <c r="F21997" s="2423"/>
    </row>
    <row r="21998" s="101" customFormat="1" spans="6:6">
      <c r="F21998" s="2423"/>
    </row>
    <row r="21999" s="101" customFormat="1" spans="6:6">
      <c r="F21999" s="2423"/>
    </row>
    <row r="22000" s="101" customFormat="1" spans="6:6">
      <c r="F22000" s="2423"/>
    </row>
    <row r="22001" s="101" customFormat="1" spans="6:6">
      <c r="F22001" s="2423"/>
    </row>
    <row r="22002" s="101" customFormat="1" spans="6:6">
      <c r="F22002" s="2423"/>
    </row>
    <row r="22003" s="101" customFormat="1" spans="6:6">
      <c r="F22003" s="2423"/>
    </row>
    <row r="22004" s="101" customFormat="1" spans="6:6">
      <c r="F22004" s="2423"/>
    </row>
    <row r="22005" s="101" customFormat="1" spans="6:6">
      <c r="F22005" s="2423"/>
    </row>
    <row r="22006" s="101" customFormat="1" spans="6:6">
      <c r="F22006" s="2423"/>
    </row>
    <row r="22007" s="101" customFormat="1" spans="6:6">
      <c r="F22007" s="2423"/>
    </row>
    <row r="22008" s="101" customFormat="1" spans="6:6">
      <c r="F22008" s="2423"/>
    </row>
    <row r="22009" s="101" customFormat="1" spans="6:6">
      <c r="F22009" s="2423"/>
    </row>
    <row r="22010" s="101" customFormat="1" spans="6:6">
      <c r="F22010" s="2423"/>
    </row>
    <row r="22011" s="101" customFormat="1" spans="6:6">
      <c r="F22011" s="2423"/>
    </row>
    <row r="22012" s="101" customFormat="1" spans="6:6">
      <c r="F22012" s="2423"/>
    </row>
    <row r="22013" s="101" customFormat="1" spans="6:6">
      <c r="F22013" s="2423"/>
    </row>
    <row r="22014" s="101" customFormat="1" spans="6:6">
      <c r="F22014" s="2423"/>
    </row>
    <row r="22015" s="101" customFormat="1" spans="6:6">
      <c r="F22015" s="2423"/>
    </row>
    <row r="22016" s="101" customFormat="1" spans="6:6">
      <c r="F22016" s="2423"/>
    </row>
    <row r="22017" s="101" customFormat="1" spans="6:6">
      <c r="F22017" s="2423"/>
    </row>
    <row r="22018" s="101" customFormat="1" spans="6:6">
      <c r="F22018" s="2423"/>
    </row>
    <row r="22019" s="101" customFormat="1" spans="6:6">
      <c r="F22019" s="2423"/>
    </row>
    <row r="22020" s="101" customFormat="1" spans="6:6">
      <c r="F22020" s="2423"/>
    </row>
    <row r="22021" s="101" customFormat="1" spans="6:6">
      <c r="F22021" s="2423"/>
    </row>
    <row r="22022" s="101" customFormat="1" spans="6:6">
      <c r="F22022" s="2423"/>
    </row>
    <row r="22023" s="101" customFormat="1" spans="6:6">
      <c r="F22023" s="2423"/>
    </row>
    <row r="22024" s="101" customFormat="1" spans="6:6">
      <c r="F22024" s="2423"/>
    </row>
    <row r="22025" s="101" customFormat="1" spans="6:6">
      <c r="F22025" s="2423"/>
    </row>
    <row r="22026" s="101" customFormat="1" spans="6:6">
      <c r="F22026" s="2423"/>
    </row>
    <row r="22027" s="101" customFormat="1" spans="6:6">
      <c r="F22027" s="2423"/>
    </row>
    <row r="22028" s="101" customFormat="1" spans="6:6">
      <c r="F22028" s="2423"/>
    </row>
    <row r="22029" s="101" customFormat="1" spans="6:6">
      <c r="F22029" s="2423"/>
    </row>
    <row r="22030" s="101" customFormat="1" spans="6:6">
      <c r="F22030" s="2423"/>
    </row>
    <row r="22031" s="101" customFormat="1" spans="6:6">
      <c r="F22031" s="2423"/>
    </row>
    <row r="22032" s="101" customFormat="1" spans="6:6">
      <c r="F22032" s="2423"/>
    </row>
    <row r="22033" s="101" customFormat="1" spans="6:6">
      <c r="F22033" s="2423"/>
    </row>
    <row r="22034" s="101" customFormat="1" spans="6:6">
      <c r="F22034" s="2423"/>
    </row>
    <row r="22035" s="101" customFormat="1" spans="6:6">
      <c r="F22035" s="2423"/>
    </row>
    <row r="22036" s="101" customFormat="1" spans="6:6">
      <c r="F22036" s="2423"/>
    </row>
    <row r="22037" s="101" customFormat="1" spans="6:6">
      <c r="F22037" s="2423"/>
    </row>
    <row r="22038" s="101" customFormat="1" spans="6:6">
      <c r="F22038" s="2423"/>
    </row>
    <row r="22039" s="101" customFormat="1" spans="6:6">
      <c r="F22039" s="2423"/>
    </row>
    <row r="22040" s="101" customFormat="1" spans="6:6">
      <c r="F22040" s="2423"/>
    </row>
    <row r="22041" s="101" customFormat="1" spans="6:6">
      <c r="F22041" s="2423"/>
    </row>
    <row r="22042" s="101" customFormat="1" spans="6:6">
      <c r="F22042" s="2423"/>
    </row>
    <row r="22043" s="101" customFormat="1" spans="6:6">
      <c r="F22043" s="2423"/>
    </row>
    <row r="22044" s="101" customFormat="1" spans="6:6">
      <c r="F22044" s="2423"/>
    </row>
    <row r="22045" s="101" customFormat="1" spans="6:6">
      <c r="F22045" s="2423"/>
    </row>
    <row r="22046" s="101" customFormat="1" spans="6:6">
      <c r="F22046" s="2423"/>
    </row>
    <row r="22047" s="101" customFormat="1" spans="6:6">
      <c r="F22047" s="2423"/>
    </row>
    <row r="22048" s="101" customFormat="1" spans="6:6">
      <c r="F22048" s="2423"/>
    </row>
    <row r="22049" s="101" customFormat="1" spans="6:6">
      <c r="F22049" s="2423"/>
    </row>
    <row r="22050" s="101" customFormat="1" spans="6:6">
      <c r="F22050" s="2423"/>
    </row>
    <row r="22051" s="101" customFormat="1" spans="6:6">
      <c r="F22051" s="2423"/>
    </row>
    <row r="22052" s="101" customFormat="1" spans="6:6">
      <c r="F22052" s="2423"/>
    </row>
    <row r="22053" s="101" customFormat="1" spans="6:6">
      <c r="F22053" s="2423"/>
    </row>
    <row r="22054" s="101" customFormat="1" spans="6:6">
      <c r="F22054" s="2423"/>
    </row>
    <row r="22055" s="101" customFormat="1" spans="6:6">
      <c r="F22055" s="2423"/>
    </row>
    <row r="22056" s="101" customFormat="1" spans="6:6">
      <c r="F22056" s="2423"/>
    </row>
    <row r="22057" s="101" customFormat="1" spans="6:6">
      <c r="F22057" s="2423"/>
    </row>
    <row r="22058" s="101" customFormat="1" spans="6:6">
      <c r="F22058" s="2423"/>
    </row>
    <row r="22059" s="101" customFormat="1" spans="6:6">
      <c r="F22059" s="2423"/>
    </row>
    <row r="22060" s="101" customFormat="1" spans="6:6">
      <c r="F22060" s="2423"/>
    </row>
    <row r="22061" s="101" customFormat="1" spans="6:6">
      <c r="F22061" s="2423"/>
    </row>
    <row r="22062" s="101" customFormat="1" spans="6:6">
      <c r="F22062" s="2423"/>
    </row>
    <row r="22063" s="101" customFormat="1" spans="6:6">
      <c r="F22063" s="2423"/>
    </row>
    <row r="22064" s="101" customFormat="1" spans="6:6">
      <c r="F22064" s="2423"/>
    </row>
    <row r="22065" s="101" customFormat="1" spans="6:6">
      <c r="F22065" s="2423"/>
    </row>
    <row r="22066" s="101" customFormat="1" spans="6:6">
      <c r="F22066" s="2423"/>
    </row>
    <row r="22067" s="101" customFormat="1" spans="6:6">
      <c r="F22067" s="2423"/>
    </row>
    <row r="22068" s="101" customFormat="1" spans="6:6">
      <c r="F22068" s="2423"/>
    </row>
    <row r="22069" s="101" customFormat="1" spans="6:6">
      <c r="F22069" s="2423"/>
    </row>
    <row r="22070" s="101" customFormat="1" spans="6:6">
      <c r="F22070" s="2423"/>
    </row>
    <row r="22071" s="101" customFormat="1" spans="6:6">
      <c r="F22071" s="2423"/>
    </row>
    <row r="22072" s="101" customFormat="1" spans="6:6">
      <c r="F22072" s="2423"/>
    </row>
    <row r="22073" s="101" customFormat="1" spans="6:6">
      <c r="F22073" s="2423"/>
    </row>
    <row r="22074" s="101" customFormat="1" spans="6:6">
      <c r="F22074" s="2423"/>
    </row>
    <row r="22075" s="101" customFormat="1" spans="6:6">
      <c r="F22075" s="2423"/>
    </row>
    <row r="22076" s="101" customFormat="1" spans="6:6">
      <c r="F22076" s="2423"/>
    </row>
    <row r="22077" s="101" customFormat="1" spans="6:6">
      <c r="F22077" s="2423"/>
    </row>
    <row r="22078" s="101" customFormat="1" spans="6:6">
      <c r="F22078" s="2423"/>
    </row>
    <row r="22079" s="101" customFormat="1" spans="6:6">
      <c r="F22079" s="2423"/>
    </row>
    <row r="22080" s="101" customFormat="1" spans="6:6">
      <c r="F22080" s="2423"/>
    </row>
    <row r="22081" s="101" customFormat="1" spans="6:6">
      <c r="F22081" s="2423"/>
    </row>
    <row r="22082" s="101" customFormat="1" spans="6:6">
      <c r="F22082" s="2423"/>
    </row>
    <row r="22083" s="101" customFormat="1" spans="6:6">
      <c r="F22083" s="2423"/>
    </row>
    <row r="22084" s="101" customFormat="1" spans="6:6">
      <c r="F22084" s="2423"/>
    </row>
    <row r="22085" s="101" customFormat="1" spans="6:6">
      <c r="F22085" s="2423"/>
    </row>
    <row r="22086" s="101" customFormat="1" spans="6:6">
      <c r="F22086" s="2423"/>
    </row>
    <row r="22087" s="101" customFormat="1" spans="6:6">
      <c r="F22087" s="2423"/>
    </row>
    <row r="22088" s="101" customFormat="1" spans="6:6">
      <c r="F22088" s="2423"/>
    </row>
    <row r="22089" s="101" customFormat="1" spans="6:6">
      <c r="F22089" s="2423"/>
    </row>
    <row r="22090" s="101" customFormat="1" spans="6:6">
      <c r="F22090" s="2423"/>
    </row>
    <row r="22091" s="101" customFormat="1" spans="6:6">
      <c r="F22091" s="2423"/>
    </row>
    <row r="22092" s="101" customFormat="1" spans="6:6">
      <c r="F22092" s="2423"/>
    </row>
    <row r="22093" s="101" customFormat="1" spans="6:6">
      <c r="F22093" s="2423"/>
    </row>
    <row r="22094" s="101" customFormat="1" spans="6:6">
      <c r="F22094" s="2423"/>
    </row>
    <row r="22095" s="101" customFormat="1" spans="6:6">
      <c r="F22095" s="2423"/>
    </row>
    <row r="22096" s="101" customFormat="1" spans="6:6">
      <c r="F22096" s="2423"/>
    </row>
    <row r="22097" s="101" customFormat="1" spans="6:6">
      <c r="F22097" s="2423"/>
    </row>
    <row r="22098" s="101" customFormat="1" spans="6:6">
      <c r="F22098" s="2423"/>
    </row>
    <row r="22099" s="101" customFormat="1" spans="6:6">
      <c r="F22099" s="2423"/>
    </row>
    <row r="22100" s="101" customFormat="1" spans="6:6">
      <c r="F22100" s="2423"/>
    </row>
    <row r="22101" s="101" customFormat="1" spans="6:6">
      <c r="F22101" s="2423"/>
    </row>
    <row r="22102" s="101" customFormat="1" spans="6:6">
      <c r="F22102" s="2423"/>
    </row>
    <row r="22103" s="101" customFormat="1" spans="6:6">
      <c r="F22103" s="2423"/>
    </row>
    <row r="22104" s="101" customFormat="1" spans="6:6">
      <c r="F22104" s="2423"/>
    </row>
    <row r="22105" s="101" customFormat="1" spans="6:6">
      <c r="F22105" s="2423"/>
    </row>
    <row r="22106" s="101" customFormat="1" spans="6:6">
      <c r="F22106" s="2423"/>
    </row>
    <row r="22107" s="101" customFormat="1" spans="6:6">
      <c r="F22107" s="2423"/>
    </row>
    <row r="22108" s="101" customFormat="1" spans="6:6">
      <c r="F22108" s="2423"/>
    </row>
    <row r="22109" s="101" customFormat="1" spans="6:6">
      <c r="F22109" s="2423"/>
    </row>
    <row r="22110" s="101" customFormat="1" spans="6:6">
      <c r="F22110" s="2423"/>
    </row>
    <row r="22111" s="101" customFormat="1" spans="6:6">
      <c r="F22111" s="2423"/>
    </row>
    <row r="22112" s="101" customFormat="1" spans="6:6">
      <c r="F22112" s="2423"/>
    </row>
    <row r="22113" s="101" customFormat="1" spans="6:6">
      <c r="F22113" s="2423"/>
    </row>
    <row r="22114" s="101" customFormat="1" spans="6:6">
      <c r="F22114" s="2423"/>
    </row>
    <row r="22115" s="101" customFormat="1" spans="6:6">
      <c r="F22115" s="2423"/>
    </row>
    <row r="22116" s="101" customFormat="1" spans="6:6">
      <c r="F22116" s="2423"/>
    </row>
    <row r="22117" s="101" customFormat="1" spans="6:6">
      <c r="F22117" s="2423"/>
    </row>
    <row r="22118" s="101" customFormat="1" spans="6:6">
      <c r="F22118" s="2423"/>
    </row>
    <row r="22119" s="101" customFormat="1" spans="6:6">
      <c r="F22119" s="2423"/>
    </row>
    <row r="22120" s="101" customFormat="1" spans="6:6">
      <c r="F22120" s="2423"/>
    </row>
    <row r="22121" s="101" customFormat="1" spans="6:6">
      <c r="F22121" s="2423"/>
    </row>
    <row r="22122" s="101" customFormat="1" spans="6:6">
      <c r="F22122" s="2423"/>
    </row>
    <row r="22123" s="101" customFormat="1" spans="6:6">
      <c r="F22123" s="2423"/>
    </row>
    <row r="22124" s="101" customFormat="1" spans="6:6">
      <c r="F22124" s="2423"/>
    </row>
    <row r="22125" s="101" customFormat="1" spans="6:6">
      <c r="F22125" s="2423"/>
    </row>
    <row r="22126" s="101" customFormat="1" spans="6:6">
      <c r="F22126" s="2423"/>
    </row>
    <row r="22127" s="101" customFormat="1" spans="6:6">
      <c r="F22127" s="2423"/>
    </row>
    <row r="22128" s="101" customFormat="1" spans="6:6">
      <c r="F22128" s="2423"/>
    </row>
    <row r="22129" s="101" customFormat="1" spans="6:6">
      <c r="F22129" s="2423"/>
    </row>
    <row r="22130" s="101" customFormat="1" spans="6:6">
      <c r="F22130" s="2423"/>
    </row>
    <row r="22131" s="101" customFormat="1" spans="6:6">
      <c r="F22131" s="2423"/>
    </row>
    <row r="22132" s="101" customFormat="1" spans="6:6">
      <c r="F22132" s="2423"/>
    </row>
    <row r="22133" s="101" customFormat="1" spans="6:6">
      <c r="F22133" s="2423"/>
    </row>
    <row r="22134" s="101" customFormat="1" spans="6:6">
      <c r="F22134" s="2423"/>
    </row>
    <row r="22135" s="101" customFormat="1" spans="6:6">
      <c r="F22135" s="2423"/>
    </row>
    <row r="22136" s="101" customFormat="1" spans="6:6">
      <c r="F22136" s="2423"/>
    </row>
    <row r="22137" s="101" customFormat="1" spans="6:6">
      <c r="F22137" s="2423"/>
    </row>
    <row r="22138" s="101" customFormat="1" spans="6:6">
      <c r="F22138" s="2423"/>
    </row>
    <row r="22139" s="101" customFormat="1" spans="6:6">
      <c r="F22139" s="2423"/>
    </row>
    <row r="22140" s="101" customFormat="1" spans="6:6">
      <c r="F22140" s="2423"/>
    </row>
    <row r="22141" s="101" customFormat="1" spans="6:6">
      <c r="F22141" s="2423"/>
    </row>
    <row r="22142" s="101" customFormat="1" spans="6:6">
      <c r="F22142" s="2423"/>
    </row>
    <row r="22143" s="101" customFormat="1" spans="6:6">
      <c r="F22143" s="2423"/>
    </row>
    <row r="22144" s="101" customFormat="1" spans="6:6">
      <c r="F22144" s="2423"/>
    </row>
    <row r="22145" s="101" customFormat="1" spans="6:6">
      <c r="F22145" s="2423"/>
    </row>
    <row r="22146" s="101" customFormat="1" spans="6:6">
      <c r="F22146" s="2423"/>
    </row>
    <row r="22147" s="101" customFormat="1" spans="6:6">
      <c r="F22147" s="2423"/>
    </row>
    <row r="22148" s="101" customFormat="1" spans="6:6">
      <c r="F22148" s="2423"/>
    </row>
    <row r="22149" s="101" customFormat="1" spans="6:6">
      <c r="F22149" s="2423"/>
    </row>
    <row r="22150" s="101" customFormat="1" spans="6:6">
      <c r="F22150" s="2423"/>
    </row>
    <row r="22151" s="101" customFormat="1" spans="6:6">
      <c r="F22151" s="2423"/>
    </row>
    <row r="22152" s="101" customFormat="1" spans="6:6">
      <c r="F22152" s="2423"/>
    </row>
    <row r="22153" s="101" customFormat="1" spans="6:6">
      <c r="F22153" s="2423"/>
    </row>
    <row r="22154" s="101" customFormat="1" spans="6:6">
      <c r="F22154" s="2423"/>
    </row>
    <row r="22155" s="101" customFormat="1" spans="6:6">
      <c r="F22155" s="2423"/>
    </row>
    <row r="22156" s="101" customFormat="1" spans="6:6">
      <c r="F22156" s="2423"/>
    </row>
    <row r="22157" s="101" customFormat="1" spans="6:6">
      <c r="F22157" s="2423"/>
    </row>
    <row r="22158" s="101" customFormat="1" spans="6:6">
      <c r="F22158" s="2423"/>
    </row>
    <row r="22159" s="101" customFormat="1" spans="6:6">
      <c r="F22159" s="2423"/>
    </row>
    <row r="22160" s="101" customFormat="1" spans="6:6">
      <c r="F22160" s="2423"/>
    </row>
    <row r="22161" s="101" customFormat="1" spans="6:6">
      <c r="F22161" s="2423"/>
    </row>
    <row r="22162" s="101" customFormat="1" spans="6:6">
      <c r="F22162" s="2423"/>
    </row>
    <row r="22163" s="101" customFormat="1" spans="6:6">
      <c r="F22163" s="2423"/>
    </row>
    <row r="22164" s="101" customFormat="1" spans="6:6">
      <c r="F22164" s="2423"/>
    </row>
    <row r="22165" s="101" customFormat="1" spans="6:6">
      <c r="F22165" s="2423"/>
    </row>
    <row r="22166" s="101" customFormat="1" spans="6:6">
      <c r="F22166" s="2423"/>
    </row>
    <row r="22167" s="101" customFormat="1" spans="6:6">
      <c r="F22167" s="2423"/>
    </row>
    <row r="22168" s="101" customFormat="1" spans="6:6">
      <c r="F22168" s="2423"/>
    </row>
    <row r="22169" s="101" customFormat="1" spans="6:6">
      <c r="F22169" s="2423"/>
    </row>
    <row r="22170" s="101" customFormat="1" spans="6:6">
      <c r="F22170" s="2423"/>
    </row>
    <row r="22171" s="101" customFormat="1" spans="6:6">
      <c r="F22171" s="2423"/>
    </row>
    <row r="22172" s="101" customFormat="1" spans="6:6">
      <c r="F22172" s="2423"/>
    </row>
    <row r="22173" s="101" customFormat="1" spans="6:6">
      <c r="F22173" s="2423"/>
    </row>
    <row r="22174" s="101" customFormat="1" spans="6:6">
      <c r="F22174" s="2423"/>
    </row>
    <row r="22175" s="101" customFormat="1" spans="6:6">
      <c r="F22175" s="2423"/>
    </row>
    <row r="22176" s="101" customFormat="1" spans="6:6">
      <c r="F22176" s="2423"/>
    </row>
    <row r="22177" s="101" customFormat="1" spans="6:6">
      <c r="F22177" s="2423"/>
    </row>
    <row r="22178" s="101" customFormat="1" spans="6:6">
      <c r="F22178" s="2423"/>
    </row>
    <row r="22179" s="101" customFormat="1" spans="6:6">
      <c r="F22179" s="2423"/>
    </row>
    <row r="22180" s="101" customFormat="1" spans="6:6">
      <c r="F22180" s="2423"/>
    </row>
    <row r="22181" s="101" customFormat="1" spans="6:6">
      <c r="F22181" s="2423"/>
    </row>
    <row r="22182" s="101" customFormat="1" spans="6:6">
      <c r="F22182" s="2423"/>
    </row>
    <row r="22183" s="101" customFormat="1" spans="6:6">
      <c r="F22183" s="2423"/>
    </row>
    <row r="22184" s="101" customFormat="1" spans="6:6">
      <c r="F22184" s="2423"/>
    </row>
    <row r="22185" s="101" customFormat="1" spans="6:6">
      <c r="F22185" s="2423"/>
    </row>
    <row r="22186" s="101" customFormat="1" spans="6:6">
      <c r="F22186" s="2423"/>
    </row>
    <row r="22187" s="101" customFormat="1" spans="6:6">
      <c r="F22187" s="2423"/>
    </row>
    <row r="22188" s="101" customFormat="1" spans="6:6">
      <c r="F22188" s="2423"/>
    </row>
    <row r="22189" s="101" customFormat="1" spans="6:6">
      <c r="F22189" s="2423"/>
    </row>
    <row r="22190" s="101" customFormat="1" spans="6:6">
      <c r="F22190" s="2423"/>
    </row>
    <row r="22191" s="101" customFormat="1" spans="6:6">
      <c r="F22191" s="2423"/>
    </row>
    <row r="22192" s="101" customFormat="1" spans="6:6">
      <c r="F22192" s="2423"/>
    </row>
    <row r="22193" s="101" customFormat="1" spans="6:6">
      <c r="F22193" s="2423"/>
    </row>
    <row r="22194" s="101" customFormat="1" spans="6:6">
      <c r="F22194" s="2423"/>
    </row>
    <row r="22195" s="101" customFormat="1" spans="6:6">
      <c r="F22195" s="2423"/>
    </row>
    <row r="22196" s="101" customFormat="1" spans="6:6">
      <c r="F22196" s="2423"/>
    </row>
    <row r="22197" s="101" customFormat="1" spans="6:6">
      <c r="F22197" s="2423"/>
    </row>
    <row r="22198" s="101" customFormat="1" spans="6:6">
      <c r="F22198" s="2423"/>
    </row>
    <row r="22199" s="101" customFormat="1" spans="6:6">
      <c r="F22199" s="2423"/>
    </row>
    <row r="22200" s="101" customFormat="1" spans="6:6">
      <c r="F22200" s="2423"/>
    </row>
    <row r="22201" s="101" customFormat="1" spans="6:6">
      <c r="F22201" s="2423"/>
    </row>
    <row r="22202" s="101" customFormat="1" spans="6:6">
      <c r="F22202" s="2423"/>
    </row>
    <row r="22203" s="101" customFormat="1" spans="6:6">
      <c r="F22203" s="2423"/>
    </row>
    <row r="22204" s="101" customFormat="1" spans="6:6">
      <c r="F22204" s="2423"/>
    </row>
    <row r="22205" s="101" customFormat="1" spans="6:6">
      <c r="F22205" s="2423"/>
    </row>
    <row r="22206" s="101" customFormat="1" spans="6:6">
      <c r="F22206" s="2423"/>
    </row>
    <row r="22207" s="101" customFormat="1" spans="6:6">
      <c r="F22207" s="2423"/>
    </row>
    <row r="22208" s="101" customFormat="1" spans="6:6">
      <c r="F22208" s="2423"/>
    </row>
    <row r="22209" s="101" customFormat="1" spans="6:6">
      <c r="F22209" s="2423"/>
    </row>
    <row r="22210" s="101" customFormat="1" spans="6:6">
      <c r="F22210" s="2423"/>
    </row>
    <row r="22211" s="101" customFormat="1" spans="6:6">
      <c r="F22211" s="2423"/>
    </row>
    <row r="22212" s="101" customFormat="1" spans="6:6">
      <c r="F22212" s="2423"/>
    </row>
    <row r="22213" s="101" customFormat="1" spans="6:6">
      <c r="F22213" s="2423"/>
    </row>
    <row r="22214" s="101" customFormat="1" spans="6:6">
      <c r="F22214" s="2423"/>
    </row>
    <row r="22215" s="101" customFormat="1" spans="6:6">
      <c r="F22215" s="2423"/>
    </row>
    <row r="22216" s="101" customFormat="1" spans="6:6">
      <c r="F22216" s="2423"/>
    </row>
    <row r="22217" s="101" customFormat="1" spans="6:6">
      <c r="F22217" s="2423"/>
    </row>
    <row r="22218" s="101" customFormat="1" spans="6:6">
      <c r="F22218" s="2423"/>
    </row>
    <row r="22219" s="101" customFormat="1" spans="6:6">
      <c r="F22219" s="2423"/>
    </row>
    <row r="22220" s="101" customFormat="1" spans="6:6">
      <c r="F22220" s="2423"/>
    </row>
    <row r="22221" s="101" customFormat="1" spans="6:6">
      <c r="F22221" s="2423"/>
    </row>
    <row r="22222" s="101" customFormat="1" spans="6:6">
      <c r="F22222" s="2423"/>
    </row>
    <row r="22223" s="101" customFormat="1" spans="6:6">
      <c r="F22223" s="2423"/>
    </row>
    <row r="22224" s="101" customFormat="1" spans="6:6">
      <c r="F22224" s="2423"/>
    </row>
    <row r="22225" s="101" customFormat="1" spans="6:6">
      <c r="F22225" s="2423"/>
    </row>
    <row r="22226" s="101" customFormat="1" spans="6:6">
      <c r="F22226" s="2423"/>
    </row>
    <row r="22227" s="101" customFormat="1" spans="6:6">
      <c r="F22227" s="2423"/>
    </row>
    <row r="22228" s="101" customFormat="1" spans="6:6">
      <c r="F22228" s="2423"/>
    </row>
    <row r="22229" s="101" customFormat="1" spans="6:6">
      <c r="F22229" s="2423"/>
    </row>
    <row r="22230" s="101" customFormat="1" spans="6:6">
      <c r="F22230" s="2423"/>
    </row>
    <row r="22231" s="101" customFormat="1" spans="6:6">
      <c r="F22231" s="2423"/>
    </row>
    <row r="22232" s="101" customFormat="1" spans="6:6">
      <c r="F22232" s="2423"/>
    </row>
    <row r="22233" s="101" customFormat="1" spans="6:6">
      <c r="F22233" s="2423"/>
    </row>
    <row r="22234" s="101" customFormat="1" spans="6:6">
      <c r="F22234" s="2423"/>
    </row>
    <row r="22235" s="101" customFormat="1" spans="6:6">
      <c r="F22235" s="2423"/>
    </row>
    <row r="22236" s="101" customFormat="1" spans="6:6">
      <c r="F22236" s="2423"/>
    </row>
    <row r="22237" s="101" customFormat="1" spans="6:6">
      <c r="F22237" s="2423"/>
    </row>
    <row r="22238" s="101" customFormat="1" spans="6:6">
      <c r="F22238" s="2423"/>
    </row>
    <row r="22239" s="101" customFormat="1" spans="6:6">
      <c r="F22239" s="2423"/>
    </row>
    <row r="22240" s="101" customFormat="1" spans="6:6">
      <c r="F22240" s="2423"/>
    </row>
    <row r="22241" s="101" customFormat="1" spans="6:6">
      <c r="F22241" s="2423"/>
    </row>
    <row r="22242" s="101" customFormat="1" spans="6:6">
      <c r="F22242" s="2423"/>
    </row>
    <row r="22243" s="101" customFormat="1" spans="6:6">
      <c r="F22243" s="2423"/>
    </row>
    <row r="22244" s="101" customFormat="1" spans="6:6">
      <c r="F22244" s="2423"/>
    </row>
    <row r="22245" s="101" customFormat="1" spans="6:6">
      <c r="F22245" s="2423"/>
    </row>
    <row r="22246" s="101" customFormat="1" spans="6:6">
      <c r="F22246" s="2423"/>
    </row>
    <row r="22247" s="101" customFormat="1" spans="6:6">
      <c r="F22247" s="2423"/>
    </row>
    <row r="22248" s="101" customFormat="1" spans="6:6">
      <c r="F22248" s="2423"/>
    </row>
    <row r="22249" s="101" customFormat="1" spans="6:6">
      <c r="F22249" s="2423"/>
    </row>
    <row r="22250" s="101" customFormat="1" spans="6:6">
      <c r="F22250" s="2423"/>
    </row>
    <row r="22251" s="101" customFormat="1" spans="6:6">
      <c r="F22251" s="2423"/>
    </row>
    <row r="22252" s="101" customFormat="1" spans="6:6">
      <c r="F22252" s="2423"/>
    </row>
    <row r="22253" s="101" customFormat="1" spans="6:6">
      <c r="F22253" s="2423"/>
    </row>
    <row r="22254" s="101" customFormat="1" spans="6:6">
      <c r="F22254" s="2423"/>
    </row>
    <row r="22255" s="101" customFormat="1" spans="6:6">
      <c r="F22255" s="2423"/>
    </row>
    <row r="22256" s="101" customFormat="1" spans="6:6">
      <c r="F22256" s="2423"/>
    </row>
    <row r="22257" s="101" customFormat="1" spans="6:6">
      <c r="F22257" s="2423"/>
    </row>
    <row r="22258" s="101" customFormat="1" spans="6:6">
      <c r="F22258" s="2423"/>
    </row>
    <row r="22259" s="101" customFormat="1" spans="6:6">
      <c r="F22259" s="2423"/>
    </row>
    <row r="22260" s="101" customFormat="1" spans="6:6">
      <c r="F22260" s="2423"/>
    </row>
    <row r="22261" s="101" customFormat="1" spans="6:6">
      <c r="F22261" s="2423"/>
    </row>
    <row r="22262" s="101" customFormat="1" spans="6:6">
      <c r="F22262" s="2423"/>
    </row>
    <row r="22263" s="101" customFormat="1" spans="6:6">
      <c r="F22263" s="2423"/>
    </row>
    <row r="22264" s="101" customFormat="1" spans="6:6">
      <c r="F22264" s="2423"/>
    </row>
    <row r="22265" s="101" customFormat="1" spans="6:6">
      <c r="F22265" s="2423"/>
    </row>
    <row r="22266" s="101" customFormat="1" spans="6:6">
      <c r="F22266" s="2423"/>
    </row>
    <row r="22267" s="101" customFormat="1" spans="6:6">
      <c r="F22267" s="2423"/>
    </row>
    <row r="22268" s="101" customFormat="1" spans="6:6">
      <c r="F22268" s="2423"/>
    </row>
    <row r="22269" s="101" customFormat="1" spans="6:6">
      <c r="F22269" s="2423"/>
    </row>
    <row r="22270" s="101" customFormat="1" spans="6:6">
      <c r="F22270" s="2423"/>
    </row>
    <row r="22271" s="101" customFormat="1" spans="6:6">
      <c r="F22271" s="2423"/>
    </row>
    <row r="22272" s="101" customFormat="1" spans="6:6">
      <c r="F22272" s="2423"/>
    </row>
    <row r="22273" s="101" customFormat="1" spans="6:6">
      <c r="F22273" s="2423"/>
    </row>
    <row r="22274" s="101" customFormat="1" spans="6:6">
      <c r="F22274" s="2423"/>
    </row>
    <row r="22275" s="101" customFormat="1" spans="6:6">
      <c r="F22275" s="2423"/>
    </row>
    <row r="22276" s="101" customFormat="1" spans="6:6">
      <c r="F22276" s="2423"/>
    </row>
    <row r="22277" s="101" customFormat="1" spans="6:6">
      <c r="F22277" s="2423"/>
    </row>
    <row r="22278" s="101" customFormat="1" spans="6:6">
      <c r="F22278" s="2423"/>
    </row>
    <row r="22279" s="101" customFormat="1" spans="6:6">
      <c r="F22279" s="2423"/>
    </row>
    <row r="22280" s="101" customFormat="1" spans="6:6">
      <c r="F22280" s="2423"/>
    </row>
    <row r="22281" s="101" customFormat="1" spans="6:6">
      <c r="F22281" s="2423"/>
    </row>
    <row r="22282" s="101" customFormat="1" spans="6:6">
      <c r="F22282" s="2423"/>
    </row>
    <row r="22283" s="101" customFormat="1" spans="6:6">
      <c r="F22283" s="2423"/>
    </row>
    <row r="22284" s="101" customFormat="1" spans="6:6">
      <c r="F22284" s="2423"/>
    </row>
    <row r="22285" s="101" customFormat="1" spans="6:6">
      <c r="F22285" s="2423"/>
    </row>
    <row r="22286" s="101" customFormat="1" spans="6:6">
      <c r="F22286" s="2423"/>
    </row>
    <row r="22287" s="101" customFormat="1" spans="6:6">
      <c r="F22287" s="2423"/>
    </row>
    <row r="22288" s="101" customFormat="1" spans="6:6">
      <c r="F22288" s="2423"/>
    </row>
    <row r="22289" s="101" customFormat="1" spans="6:6">
      <c r="F22289" s="2423"/>
    </row>
    <row r="22290" s="101" customFormat="1" spans="6:6">
      <c r="F22290" s="2423"/>
    </row>
    <row r="22291" s="101" customFormat="1" spans="6:6">
      <c r="F22291" s="2423"/>
    </row>
    <row r="22292" s="101" customFormat="1" spans="6:6">
      <c r="F22292" s="2423"/>
    </row>
    <row r="22293" s="101" customFormat="1" spans="6:6">
      <c r="F22293" s="2423"/>
    </row>
    <row r="22294" s="101" customFormat="1" spans="6:6">
      <c r="F22294" s="2423"/>
    </row>
    <row r="22295" s="101" customFormat="1" spans="6:6">
      <c r="F22295" s="2423"/>
    </row>
    <row r="22296" s="101" customFormat="1" spans="6:6">
      <c r="F22296" s="2423"/>
    </row>
    <row r="22297" s="101" customFormat="1" spans="6:6">
      <c r="F22297" s="2423"/>
    </row>
    <row r="22298" s="101" customFormat="1" spans="6:6">
      <c r="F22298" s="2423"/>
    </row>
    <row r="22299" s="101" customFormat="1" spans="6:6">
      <c r="F22299" s="2423"/>
    </row>
    <row r="22300" s="101" customFormat="1" spans="6:6">
      <c r="F22300" s="2423"/>
    </row>
    <row r="22301" s="101" customFormat="1" spans="6:6">
      <c r="F22301" s="2423"/>
    </row>
    <row r="22302" s="101" customFormat="1" spans="6:6">
      <c r="F22302" s="2423"/>
    </row>
    <row r="22303" s="101" customFormat="1" spans="6:6">
      <c r="F22303" s="2423"/>
    </row>
    <row r="22304" s="101" customFormat="1" spans="6:6">
      <c r="F22304" s="2423"/>
    </row>
    <row r="22305" s="101" customFormat="1" spans="6:6">
      <c r="F22305" s="2423"/>
    </row>
    <row r="22306" s="101" customFormat="1" spans="6:6">
      <c r="F22306" s="2423"/>
    </row>
    <row r="22307" s="101" customFormat="1" spans="6:6">
      <c r="F22307" s="2423"/>
    </row>
    <row r="22308" s="101" customFormat="1" spans="6:6">
      <c r="F22308" s="2423"/>
    </row>
    <row r="22309" s="101" customFormat="1" spans="6:6">
      <c r="F22309" s="2423"/>
    </row>
    <row r="22310" s="101" customFormat="1" spans="6:6">
      <c r="F22310" s="2423"/>
    </row>
    <row r="22311" s="101" customFormat="1" spans="6:6">
      <c r="F22311" s="2423"/>
    </row>
    <row r="22312" s="101" customFormat="1" spans="6:6">
      <c r="F22312" s="2423"/>
    </row>
    <row r="22313" s="101" customFormat="1" spans="6:6">
      <c r="F22313" s="2423"/>
    </row>
    <row r="22314" s="101" customFormat="1" spans="6:6">
      <c r="F22314" s="2423"/>
    </row>
    <row r="22315" s="101" customFormat="1" spans="6:6">
      <c r="F22315" s="2423"/>
    </row>
    <row r="22316" s="101" customFormat="1" spans="6:6">
      <c r="F22316" s="2423"/>
    </row>
    <row r="22317" s="101" customFormat="1" spans="6:6">
      <c r="F22317" s="2423"/>
    </row>
    <row r="22318" s="101" customFormat="1" spans="6:6">
      <c r="F22318" s="2423"/>
    </row>
    <row r="22319" s="101" customFormat="1" spans="6:6">
      <c r="F22319" s="2423"/>
    </row>
    <row r="22320" s="101" customFormat="1" spans="6:6">
      <c r="F22320" s="2423"/>
    </row>
    <row r="22321" s="101" customFormat="1" spans="6:6">
      <c r="F22321" s="2423"/>
    </row>
    <row r="22322" s="101" customFormat="1" spans="6:6">
      <c r="F22322" s="2423"/>
    </row>
    <row r="22323" s="101" customFormat="1" spans="6:6">
      <c r="F22323" s="2423"/>
    </row>
    <row r="22324" s="101" customFormat="1" spans="6:6">
      <c r="F22324" s="2423"/>
    </row>
    <row r="22325" s="101" customFormat="1" spans="6:6">
      <c r="F22325" s="2423"/>
    </row>
    <row r="22326" s="101" customFormat="1" spans="6:6">
      <c r="F22326" s="2423"/>
    </row>
    <row r="22327" s="101" customFormat="1" spans="6:6">
      <c r="F22327" s="2423"/>
    </row>
    <row r="22328" s="101" customFormat="1" spans="6:6">
      <c r="F22328" s="2423"/>
    </row>
    <row r="22329" s="101" customFormat="1" spans="6:6">
      <c r="F22329" s="2423"/>
    </row>
    <row r="22330" s="101" customFormat="1" spans="6:6">
      <c r="F22330" s="2423"/>
    </row>
    <row r="22331" s="101" customFormat="1" spans="6:6">
      <c r="F22331" s="2423"/>
    </row>
    <row r="22332" s="101" customFormat="1" spans="6:6">
      <c r="F22332" s="2423"/>
    </row>
    <row r="22333" s="101" customFormat="1" spans="6:6">
      <c r="F22333" s="2423"/>
    </row>
    <row r="22334" s="101" customFormat="1" spans="6:6">
      <c r="F22334" s="2423"/>
    </row>
    <row r="22335" s="101" customFormat="1" spans="6:6">
      <c r="F22335" s="2423"/>
    </row>
    <row r="22336" s="101" customFormat="1" spans="6:6">
      <c r="F22336" s="2423"/>
    </row>
    <row r="22337" s="101" customFormat="1" spans="6:6">
      <c r="F22337" s="2423"/>
    </row>
    <row r="22338" s="101" customFormat="1" spans="6:6">
      <c r="F22338" s="2423"/>
    </row>
    <row r="22339" s="101" customFormat="1" spans="6:6">
      <c r="F22339" s="2423"/>
    </row>
    <row r="22340" s="101" customFormat="1" spans="6:6">
      <c r="F22340" s="2423"/>
    </row>
    <row r="22341" s="101" customFormat="1" spans="6:6">
      <c r="F22341" s="2423"/>
    </row>
    <row r="22342" s="101" customFormat="1" spans="6:6">
      <c r="F22342" s="2423"/>
    </row>
    <row r="22343" s="101" customFormat="1" spans="6:6">
      <c r="F22343" s="2423"/>
    </row>
    <row r="22344" s="101" customFormat="1" spans="6:6">
      <c r="F22344" s="2423"/>
    </row>
    <row r="22345" s="101" customFormat="1" spans="6:6">
      <c r="F22345" s="2423"/>
    </row>
    <row r="22346" s="101" customFormat="1" spans="6:6">
      <c r="F22346" s="2423"/>
    </row>
    <row r="22347" s="101" customFormat="1" spans="6:6">
      <c r="F22347" s="2423"/>
    </row>
    <row r="22348" s="101" customFormat="1" spans="6:6">
      <c r="F22348" s="2423"/>
    </row>
    <row r="22349" s="101" customFormat="1" spans="6:6">
      <c r="F22349" s="2423"/>
    </row>
    <row r="22350" s="101" customFormat="1" spans="6:6">
      <c r="F22350" s="2423"/>
    </row>
    <row r="22351" s="101" customFormat="1" spans="6:6">
      <c r="F22351" s="2423"/>
    </row>
    <row r="22352" s="101" customFormat="1" spans="6:6">
      <c r="F22352" s="2423"/>
    </row>
    <row r="22353" s="101" customFormat="1" spans="6:6">
      <c r="F22353" s="2423"/>
    </row>
    <row r="22354" s="101" customFormat="1" spans="6:6">
      <c r="F22354" s="2423"/>
    </row>
    <row r="22355" s="101" customFormat="1" spans="6:6">
      <c r="F22355" s="2423"/>
    </row>
    <row r="22356" s="101" customFormat="1" spans="6:6">
      <c r="F22356" s="2423"/>
    </row>
    <row r="22357" s="101" customFormat="1" spans="6:6">
      <c r="F22357" s="2423"/>
    </row>
    <row r="22358" s="101" customFormat="1" spans="6:6">
      <c r="F22358" s="2423"/>
    </row>
    <row r="22359" s="101" customFormat="1" spans="6:6">
      <c r="F22359" s="2423"/>
    </row>
    <row r="22360" s="101" customFormat="1" spans="6:6">
      <c r="F22360" s="2423"/>
    </row>
    <row r="22361" s="101" customFormat="1" spans="6:6">
      <c r="F22361" s="2423"/>
    </row>
    <row r="22362" s="101" customFormat="1" spans="6:6">
      <c r="F22362" s="2423"/>
    </row>
    <row r="22363" s="101" customFormat="1" spans="6:6">
      <c r="F22363" s="2423"/>
    </row>
    <row r="22364" s="101" customFormat="1" spans="6:6">
      <c r="F22364" s="2423"/>
    </row>
    <row r="22365" s="101" customFormat="1" spans="6:6">
      <c r="F22365" s="2423"/>
    </row>
    <row r="22366" s="101" customFormat="1" spans="6:6">
      <c r="F22366" s="2423"/>
    </row>
    <row r="22367" s="101" customFormat="1" spans="6:6">
      <c r="F22367" s="2423"/>
    </row>
    <row r="22368" s="101" customFormat="1" spans="6:6">
      <c r="F22368" s="2423"/>
    </row>
    <row r="22369" s="101" customFormat="1" spans="6:6">
      <c r="F22369" s="2423"/>
    </row>
    <row r="22370" s="101" customFormat="1" spans="6:6">
      <c r="F22370" s="2423"/>
    </row>
    <row r="22371" s="101" customFormat="1" spans="6:6">
      <c r="F22371" s="2423"/>
    </row>
    <row r="22372" s="101" customFormat="1" spans="6:6">
      <c r="F22372" s="2423"/>
    </row>
    <row r="22373" s="101" customFormat="1" spans="6:6">
      <c r="F22373" s="2423"/>
    </row>
    <row r="22374" s="101" customFormat="1" spans="6:6">
      <c r="F22374" s="2423"/>
    </row>
    <row r="22375" s="101" customFormat="1" spans="6:6">
      <c r="F22375" s="2423"/>
    </row>
    <row r="22376" s="101" customFormat="1" spans="6:6">
      <c r="F22376" s="2423"/>
    </row>
    <row r="22377" s="101" customFormat="1" spans="6:6">
      <c r="F22377" s="2423"/>
    </row>
    <row r="22378" s="101" customFormat="1" spans="6:6">
      <c r="F22378" s="2423"/>
    </row>
    <row r="22379" s="101" customFormat="1" spans="6:6">
      <c r="F22379" s="2423"/>
    </row>
    <row r="22380" s="101" customFormat="1" spans="6:6">
      <c r="F22380" s="2423"/>
    </row>
    <row r="22381" s="101" customFormat="1" spans="6:6">
      <c r="F22381" s="2423"/>
    </row>
    <row r="22382" s="101" customFormat="1" spans="6:6">
      <c r="F22382" s="2423"/>
    </row>
    <row r="22383" s="101" customFormat="1" spans="6:6">
      <c r="F22383" s="2423"/>
    </row>
    <row r="22384" s="101" customFormat="1" spans="6:6">
      <c r="F22384" s="2423"/>
    </row>
    <row r="22385" s="101" customFormat="1" spans="6:6">
      <c r="F22385" s="2423"/>
    </row>
    <row r="22386" s="101" customFormat="1" spans="6:6">
      <c r="F22386" s="2423"/>
    </row>
    <row r="22387" s="101" customFormat="1" spans="6:6">
      <c r="F22387" s="2423"/>
    </row>
    <row r="22388" s="101" customFormat="1" spans="6:6">
      <c r="F22388" s="2423"/>
    </row>
    <row r="22389" s="101" customFormat="1" spans="6:6">
      <c r="F22389" s="2423"/>
    </row>
    <row r="22390" s="101" customFormat="1" spans="6:6">
      <c r="F22390" s="2423"/>
    </row>
    <row r="22391" s="101" customFormat="1" spans="6:6">
      <c r="F22391" s="2423"/>
    </row>
    <row r="22392" s="101" customFormat="1" spans="6:6">
      <c r="F22392" s="2423"/>
    </row>
    <row r="22393" s="101" customFormat="1" spans="6:6">
      <c r="F22393" s="2423"/>
    </row>
    <row r="22394" s="101" customFormat="1" spans="6:6">
      <c r="F22394" s="2423"/>
    </row>
    <row r="22395" s="101" customFormat="1" spans="6:6">
      <c r="F22395" s="2423"/>
    </row>
    <row r="22396" s="101" customFormat="1" spans="6:6">
      <c r="F22396" s="2423"/>
    </row>
    <row r="22397" s="101" customFormat="1" spans="6:6">
      <c r="F22397" s="2423"/>
    </row>
    <row r="22398" s="101" customFormat="1" spans="6:6">
      <c r="F22398" s="2423"/>
    </row>
    <row r="22399" s="101" customFormat="1" spans="6:6">
      <c r="F22399" s="2423"/>
    </row>
    <row r="22400" s="101" customFormat="1" spans="6:6">
      <c r="F22400" s="2423"/>
    </row>
    <row r="22401" s="101" customFormat="1" spans="6:6">
      <c r="F22401" s="2423"/>
    </row>
    <row r="22402" s="101" customFormat="1" spans="6:6">
      <c r="F22402" s="2423"/>
    </row>
    <row r="22403" s="101" customFormat="1" spans="6:6">
      <c r="F22403" s="2423"/>
    </row>
    <row r="22404" s="101" customFormat="1" spans="6:6">
      <c r="F22404" s="2423"/>
    </row>
    <row r="22405" s="101" customFormat="1" spans="6:6">
      <c r="F22405" s="2423"/>
    </row>
    <row r="22406" s="101" customFormat="1" spans="6:6">
      <c r="F22406" s="2423"/>
    </row>
    <row r="22407" s="101" customFormat="1" spans="6:6">
      <c r="F22407" s="2423"/>
    </row>
    <row r="22408" s="101" customFormat="1" spans="6:6">
      <c r="F22408" s="2423"/>
    </row>
    <row r="22409" s="101" customFormat="1" spans="6:6">
      <c r="F22409" s="2423"/>
    </row>
    <row r="22410" s="101" customFormat="1" spans="6:6">
      <c r="F22410" s="2423"/>
    </row>
    <row r="22411" s="101" customFormat="1" spans="6:6">
      <c r="F22411" s="2423"/>
    </row>
    <row r="22412" s="101" customFormat="1" spans="6:6">
      <c r="F22412" s="2423"/>
    </row>
    <row r="22413" s="101" customFormat="1" spans="6:6">
      <c r="F22413" s="2423"/>
    </row>
    <row r="22414" s="101" customFormat="1" spans="6:6">
      <c r="F22414" s="2423"/>
    </row>
    <row r="22415" s="101" customFormat="1" spans="6:6">
      <c r="F22415" s="2423"/>
    </row>
    <row r="22416" s="101" customFormat="1" spans="6:6">
      <c r="F22416" s="2423"/>
    </row>
    <row r="22417" s="101" customFormat="1" spans="6:6">
      <c r="F22417" s="2423"/>
    </row>
    <row r="22418" s="101" customFormat="1" spans="6:6">
      <c r="F22418" s="2423"/>
    </row>
    <row r="22419" s="101" customFormat="1" spans="6:6">
      <c r="F22419" s="2423"/>
    </row>
    <row r="22420" s="101" customFormat="1" spans="6:6">
      <c r="F22420" s="2423"/>
    </row>
    <row r="22421" s="101" customFormat="1" spans="6:6">
      <c r="F22421" s="2423"/>
    </row>
    <row r="22422" s="101" customFormat="1" spans="6:6">
      <c r="F22422" s="2423"/>
    </row>
    <row r="22423" s="101" customFormat="1" spans="6:6">
      <c r="F22423" s="2423"/>
    </row>
    <row r="22424" s="101" customFormat="1" spans="6:6">
      <c r="F22424" s="2423"/>
    </row>
    <row r="22425" s="101" customFormat="1" spans="6:6">
      <c r="F22425" s="2423"/>
    </row>
    <row r="22426" s="101" customFormat="1" spans="6:6">
      <c r="F22426" s="2423"/>
    </row>
    <row r="22427" s="101" customFormat="1" spans="6:6">
      <c r="F22427" s="2423"/>
    </row>
    <row r="22428" s="101" customFormat="1" spans="6:6">
      <c r="F22428" s="2423"/>
    </row>
    <row r="22429" s="101" customFormat="1" spans="6:6">
      <c r="F22429" s="2423"/>
    </row>
    <row r="22430" s="101" customFormat="1" spans="6:6">
      <c r="F22430" s="2423"/>
    </row>
    <row r="22431" s="101" customFormat="1" spans="6:6">
      <c r="F22431" s="2423"/>
    </row>
    <row r="22432" s="101" customFormat="1" spans="6:6">
      <c r="F22432" s="2423"/>
    </row>
    <row r="22433" s="101" customFormat="1" spans="6:6">
      <c r="F22433" s="2423"/>
    </row>
    <row r="22434" s="101" customFormat="1" spans="6:6">
      <c r="F22434" s="2423"/>
    </row>
    <row r="22435" s="101" customFormat="1" spans="6:6">
      <c r="F22435" s="2423"/>
    </row>
    <row r="22436" s="101" customFormat="1" spans="6:6">
      <c r="F22436" s="2423"/>
    </row>
    <row r="22437" s="101" customFormat="1" spans="6:6">
      <c r="F22437" s="2423"/>
    </row>
    <row r="22438" s="101" customFormat="1" spans="6:6">
      <c r="F22438" s="2423"/>
    </row>
    <row r="22439" s="101" customFormat="1" spans="6:6">
      <c r="F22439" s="2423"/>
    </row>
    <row r="22440" s="101" customFormat="1" spans="6:6">
      <c r="F22440" s="2423"/>
    </row>
    <row r="22441" s="101" customFormat="1" spans="6:6">
      <c r="F22441" s="2423"/>
    </row>
    <row r="22442" s="101" customFormat="1" spans="6:6">
      <c r="F22442" s="2423"/>
    </row>
    <row r="22443" s="101" customFormat="1" spans="6:6">
      <c r="F22443" s="2423"/>
    </row>
    <row r="22444" s="101" customFormat="1" spans="6:6">
      <c r="F22444" s="2423"/>
    </row>
    <row r="22445" s="101" customFormat="1" spans="6:6">
      <c r="F22445" s="2423"/>
    </row>
    <row r="22446" s="101" customFormat="1" spans="6:6">
      <c r="F22446" s="2423"/>
    </row>
    <row r="22447" s="101" customFormat="1" spans="6:6">
      <c r="F22447" s="2423"/>
    </row>
    <row r="22448" s="101" customFormat="1" spans="6:6">
      <c r="F22448" s="2423"/>
    </row>
    <row r="22449" s="101" customFormat="1" spans="6:6">
      <c r="F22449" s="2423"/>
    </row>
    <row r="22450" s="101" customFormat="1" spans="6:6">
      <c r="F22450" s="2423"/>
    </row>
    <row r="22451" s="101" customFormat="1" spans="6:6">
      <c r="F22451" s="2423"/>
    </row>
    <row r="22452" s="101" customFormat="1" spans="6:6">
      <c r="F22452" s="2423"/>
    </row>
    <row r="22453" s="101" customFormat="1" spans="6:6">
      <c r="F22453" s="2423"/>
    </row>
    <row r="22454" s="101" customFormat="1" spans="6:6">
      <c r="F22454" s="2423"/>
    </row>
    <row r="22455" s="101" customFormat="1" spans="6:6">
      <c r="F22455" s="2423"/>
    </row>
    <row r="22456" s="101" customFormat="1" spans="6:6">
      <c r="F22456" s="2423"/>
    </row>
    <row r="22457" s="101" customFormat="1" spans="6:6">
      <c r="F22457" s="2423"/>
    </row>
    <row r="22458" s="101" customFormat="1" spans="6:6">
      <c r="F22458" s="2423"/>
    </row>
    <row r="22459" s="101" customFormat="1" spans="6:6">
      <c r="F22459" s="2423"/>
    </row>
    <row r="22460" s="101" customFormat="1" spans="6:6">
      <c r="F22460" s="2423"/>
    </row>
    <row r="22461" s="101" customFormat="1" spans="6:6">
      <c r="F22461" s="2423"/>
    </row>
    <row r="22462" s="101" customFormat="1" spans="6:6">
      <c r="F22462" s="2423"/>
    </row>
    <row r="22463" s="101" customFormat="1" spans="6:6">
      <c r="F22463" s="2423"/>
    </row>
    <row r="22464" s="101" customFormat="1" spans="6:6">
      <c r="F22464" s="2423"/>
    </row>
    <row r="22465" s="101" customFormat="1" spans="6:6">
      <c r="F22465" s="2423"/>
    </row>
    <row r="22466" s="101" customFormat="1" spans="6:6">
      <c r="F22466" s="2423"/>
    </row>
    <row r="22467" s="101" customFormat="1" spans="6:6">
      <c r="F22467" s="2423"/>
    </row>
    <row r="22468" s="101" customFormat="1" spans="6:6">
      <c r="F22468" s="2423"/>
    </row>
    <row r="22469" s="101" customFormat="1" spans="6:6">
      <c r="F22469" s="2423"/>
    </row>
    <row r="22470" s="101" customFormat="1" spans="6:6">
      <c r="F22470" s="2423"/>
    </row>
    <row r="22471" s="101" customFormat="1" spans="6:6">
      <c r="F22471" s="2423"/>
    </row>
    <row r="22472" s="101" customFormat="1" spans="6:6">
      <c r="F22472" s="2423"/>
    </row>
    <row r="22473" s="101" customFormat="1" spans="6:6">
      <c r="F22473" s="2423"/>
    </row>
    <row r="22474" s="101" customFormat="1" spans="6:6">
      <c r="F22474" s="2423"/>
    </row>
    <row r="22475" s="101" customFormat="1" spans="6:6">
      <c r="F22475" s="2423"/>
    </row>
    <row r="22476" s="101" customFormat="1" spans="6:6">
      <c r="F22476" s="2423"/>
    </row>
    <row r="22477" s="101" customFormat="1" spans="6:6">
      <c r="F22477" s="2423"/>
    </row>
    <row r="22478" s="101" customFormat="1" spans="6:6">
      <c r="F22478" s="2423"/>
    </row>
    <row r="22479" s="101" customFormat="1" spans="6:6">
      <c r="F22479" s="2423"/>
    </row>
    <row r="22480" s="101" customFormat="1" spans="6:6">
      <c r="F22480" s="2423"/>
    </row>
    <row r="22481" s="101" customFormat="1" spans="6:6">
      <c r="F22481" s="2423"/>
    </row>
    <row r="22482" s="101" customFormat="1" spans="6:6">
      <c r="F22482" s="2423"/>
    </row>
    <row r="22483" s="101" customFormat="1" spans="6:6">
      <c r="F22483" s="2423"/>
    </row>
    <row r="22484" s="101" customFormat="1" spans="6:6">
      <c r="F22484" s="2423"/>
    </row>
    <row r="22485" s="101" customFormat="1" spans="6:6">
      <c r="F22485" s="2423"/>
    </row>
    <row r="22486" s="101" customFormat="1" spans="6:6">
      <c r="F22486" s="2423"/>
    </row>
    <row r="22487" s="101" customFormat="1" spans="6:6">
      <c r="F22487" s="2423"/>
    </row>
    <row r="22488" s="101" customFormat="1" spans="6:6">
      <c r="F22488" s="2423"/>
    </row>
    <row r="22489" s="101" customFormat="1" spans="6:6">
      <c r="F22489" s="2423"/>
    </row>
    <row r="22490" s="101" customFormat="1" spans="6:6">
      <c r="F22490" s="2423"/>
    </row>
    <row r="22491" s="101" customFormat="1" spans="6:6">
      <c r="F22491" s="2423"/>
    </row>
    <row r="22492" s="101" customFormat="1" spans="6:6">
      <c r="F22492" s="2423"/>
    </row>
    <row r="22493" s="101" customFormat="1" spans="6:6">
      <c r="F22493" s="2423"/>
    </row>
    <row r="22494" s="101" customFormat="1" spans="6:6">
      <c r="F22494" s="2423"/>
    </row>
    <row r="22495" s="101" customFormat="1" spans="6:6">
      <c r="F22495" s="2423"/>
    </row>
    <row r="22496" s="101" customFormat="1" spans="6:6">
      <c r="F22496" s="2423"/>
    </row>
    <row r="22497" s="101" customFormat="1" spans="6:6">
      <c r="F22497" s="2423"/>
    </row>
    <row r="22498" s="101" customFormat="1" spans="6:6">
      <c r="F22498" s="2423"/>
    </row>
    <row r="22499" s="101" customFormat="1" spans="6:6">
      <c r="F22499" s="2423"/>
    </row>
    <row r="22500" s="101" customFormat="1" spans="6:6">
      <c r="F22500" s="2423"/>
    </row>
    <row r="22501" s="101" customFormat="1" spans="6:6">
      <c r="F22501" s="2423"/>
    </row>
    <row r="22502" s="101" customFormat="1" spans="6:6">
      <c r="F22502" s="2423"/>
    </row>
    <row r="22503" s="101" customFormat="1" spans="6:6">
      <c r="F22503" s="2423"/>
    </row>
    <row r="22504" s="101" customFormat="1" spans="6:6">
      <c r="F22504" s="2423"/>
    </row>
    <row r="22505" s="101" customFormat="1" spans="6:6">
      <c r="F22505" s="2423"/>
    </row>
    <row r="22506" s="101" customFormat="1" spans="6:6">
      <c r="F22506" s="2423"/>
    </row>
    <row r="22507" s="101" customFormat="1" spans="6:6">
      <c r="F22507" s="2423"/>
    </row>
    <row r="22508" s="101" customFormat="1" spans="6:6">
      <c r="F22508" s="2423"/>
    </row>
    <row r="22509" s="101" customFormat="1" spans="6:6">
      <c r="F22509" s="2423"/>
    </row>
    <row r="22510" s="101" customFormat="1" spans="6:6">
      <c r="F22510" s="2423"/>
    </row>
    <row r="22511" s="101" customFormat="1" spans="6:6">
      <c r="F22511" s="2423"/>
    </row>
    <row r="22512" s="101" customFormat="1" spans="6:6">
      <c r="F22512" s="2423"/>
    </row>
    <row r="22513" s="101" customFormat="1" spans="6:6">
      <c r="F22513" s="2423"/>
    </row>
    <row r="22514" s="101" customFormat="1" spans="6:6">
      <c r="F22514" s="2423"/>
    </row>
    <row r="22515" s="101" customFormat="1" spans="6:6">
      <c r="F22515" s="2423"/>
    </row>
    <row r="22516" s="101" customFormat="1" spans="6:6">
      <c r="F22516" s="2423"/>
    </row>
    <row r="22517" s="101" customFormat="1" spans="6:6">
      <c r="F22517" s="2423"/>
    </row>
    <row r="22518" s="101" customFormat="1" spans="6:6">
      <c r="F22518" s="2423"/>
    </row>
    <row r="22519" s="101" customFormat="1" spans="6:6">
      <c r="F22519" s="2423"/>
    </row>
    <row r="22520" s="101" customFormat="1" spans="6:6">
      <c r="F22520" s="2423"/>
    </row>
    <row r="22521" s="101" customFormat="1" spans="6:6">
      <c r="F22521" s="2423"/>
    </row>
    <row r="22522" s="101" customFormat="1" spans="6:6">
      <c r="F22522" s="2423"/>
    </row>
    <row r="22523" s="101" customFormat="1" spans="6:6">
      <c r="F22523" s="2423"/>
    </row>
    <row r="22524" s="101" customFormat="1" spans="6:6">
      <c r="F22524" s="2423"/>
    </row>
    <row r="22525" s="101" customFormat="1" spans="6:6">
      <c r="F22525" s="2423"/>
    </row>
    <row r="22526" s="101" customFormat="1" spans="6:6">
      <c r="F22526" s="2423"/>
    </row>
    <row r="22527" s="101" customFormat="1" spans="6:6">
      <c r="F22527" s="2423"/>
    </row>
    <row r="22528" s="101" customFormat="1" spans="6:6">
      <c r="F22528" s="2423"/>
    </row>
    <row r="22529" s="101" customFormat="1" spans="6:6">
      <c r="F22529" s="2423"/>
    </row>
    <row r="22530" s="101" customFormat="1" spans="6:6">
      <c r="F22530" s="2423"/>
    </row>
    <row r="22531" s="101" customFormat="1" spans="6:6">
      <c r="F22531" s="2423"/>
    </row>
    <row r="22532" s="101" customFormat="1" spans="6:6">
      <c r="F22532" s="2423"/>
    </row>
    <row r="22533" s="101" customFormat="1" spans="6:6">
      <c r="F22533" s="2423"/>
    </row>
    <row r="22534" s="101" customFormat="1" spans="6:6">
      <c r="F22534" s="2423"/>
    </row>
    <row r="22535" s="101" customFormat="1" spans="6:6">
      <c r="F22535" s="2423"/>
    </row>
    <row r="22536" s="101" customFormat="1" spans="6:6">
      <c r="F22536" s="2423"/>
    </row>
    <row r="22537" s="101" customFormat="1" spans="6:6">
      <c r="F22537" s="2423"/>
    </row>
    <row r="22538" s="101" customFormat="1" spans="6:6">
      <c r="F22538" s="2423"/>
    </row>
    <row r="22539" s="101" customFormat="1" spans="6:6">
      <c r="F22539" s="2423"/>
    </row>
    <row r="22540" s="101" customFormat="1" spans="6:6">
      <c r="F22540" s="2423"/>
    </row>
    <row r="22541" s="101" customFormat="1" spans="6:6">
      <c r="F22541" s="2423"/>
    </row>
    <row r="22542" s="101" customFormat="1" spans="6:6">
      <c r="F22542" s="2423"/>
    </row>
    <row r="22543" s="101" customFormat="1" spans="6:6">
      <c r="F22543" s="2423"/>
    </row>
    <row r="22544" s="101" customFormat="1" spans="6:6">
      <c r="F22544" s="2423"/>
    </row>
    <row r="22545" s="101" customFormat="1" spans="6:6">
      <c r="F22545" s="2423"/>
    </row>
    <row r="22546" s="101" customFormat="1" spans="6:6">
      <c r="F22546" s="2423"/>
    </row>
    <row r="22547" s="101" customFormat="1" spans="6:6">
      <c r="F22547" s="2423"/>
    </row>
    <row r="22548" s="101" customFormat="1" spans="6:6">
      <c r="F22548" s="2423"/>
    </row>
    <row r="22549" s="101" customFormat="1" spans="6:6">
      <c r="F22549" s="2423"/>
    </row>
    <row r="22550" s="101" customFormat="1" spans="6:6">
      <c r="F22550" s="2423"/>
    </row>
    <row r="22551" s="101" customFormat="1" spans="6:6">
      <c r="F22551" s="2423"/>
    </row>
    <row r="22552" s="101" customFormat="1" spans="6:6">
      <c r="F22552" s="2423"/>
    </row>
    <row r="22553" s="101" customFormat="1" spans="6:6">
      <c r="F22553" s="2423"/>
    </row>
    <row r="22554" s="101" customFormat="1" spans="6:6">
      <c r="F22554" s="2423"/>
    </row>
    <row r="22555" s="101" customFormat="1" spans="6:6">
      <c r="F22555" s="2423"/>
    </row>
    <row r="22556" s="101" customFormat="1" spans="6:6">
      <c r="F22556" s="2423"/>
    </row>
    <row r="22557" s="101" customFormat="1" spans="6:6">
      <c r="F22557" s="2423"/>
    </row>
    <row r="22558" s="101" customFormat="1" spans="6:6">
      <c r="F22558" s="2423"/>
    </row>
    <row r="22559" s="101" customFormat="1" spans="6:6">
      <c r="F22559" s="2423"/>
    </row>
    <row r="22560" s="101" customFormat="1" spans="6:6">
      <c r="F22560" s="2423"/>
    </row>
    <row r="22561" s="101" customFormat="1" spans="6:6">
      <c r="F22561" s="2423"/>
    </row>
    <row r="22562" s="101" customFormat="1" spans="6:6">
      <c r="F22562" s="2423"/>
    </row>
    <row r="22563" s="101" customFormat="1" spans="6:6">
      <c r="F22563" s="2423"/>
    </row>
    <row r="22564" s="101" customFormat="1" spans="6:6">
      <c r="F22564" s="2423"/>
    </row>
    <row r="22565" s="101" customFormat="1" spans="6:6">
      <c r="F22565" s="2423"/>
    </row>
    <row r="22566" s="101" customFormat="1" spans="6:6">
      <c r="F22566" s="2423"/>
    </row>
    <row r="22567" s="101" customFormat="1" spans="6:6">
      <c r="F22567" s="2423"/>
    </row>
    <row r="22568" s="101" customFormat="1" spans="6:6">
      <c r="F22568" s="2423"/>
    </row>
    <row r="22569" s="101" customFormat="1" spans="6:6">
      <c r="F22569" s="2423"/>
    </row>
    <row r="22570" s="101" customFormat="1" spans="6:6">
      <c r="F22570" s="2423"/>
    </row>
    <row r="22571" s="101" customFormat="1" spans="6:6">
      <c r="F22571" s="2423"/>
    </row>
    <row r="22572" s="101" customFormat="1" spans="6:6">
      <c r="F22572" s="2423"/>
    </row>
    <row r="22573" s="101" customFormat="1" spans="6:6">
      <c r="F22573" s="2423"/>
    </row>
    <row r="22574" s="101" customFormat="1" spans="6:6">
      <c r="F22574" s="2423"/>
    </row>
    <row r="22575" s="101" customFormat="1" spans="6:6">
      <c r="F22575" s="2423"/>
    </row>
    <row r="22576" s="101" customFormat="1" spans="6:6">
      <c r="F22576" s="2423"/>
    </row>
    <row r="22577" s="101" customFormat="1" spans="6:6">
      <c r="F22577" s="2423"/>
    </row>
    <row r="22578" s="101" customFormat="1" spans="6:6">
      <c r="F22578" s="2423"/>
    </row>
    <row r="22579" s="101" customFormat="1" spans="6:6">
      <c r="F22579" s="2423"/>
    </row>
    <row r="22580" s="101" customFormat="1" spans="6:6">
      <c r="F22580" s="2423"/>
    </row>
    <row r="22581" s="101" customFormat="1" spans="6:6">
      <c r="F22581" s="2423"/>
    </row>
    <row r="22582" s="101" customFormat="1" spans="6:6">
      <c r="F22582" s="2423"/>
    </row>
    <row r="22583" s="101" customFormat="1" spans="6:6">
      <c r="F22583" s="2423"/>
    </row>
    <row r="22584" s="101" customFormat="1" spans="6:6">
      <c r="F22584" s="2423"/>
    </row>
    <row r="22585" s="101" customFormat="1" spans="6:6">
      <c r="F22585" s="2423"/>
    </row>
    <row r="22586" s="101" customFormat="1" spans="6:6">
      <c r="F22586" s="2423"/>
    </row>
    <row r="22587" s="101" customFormat="1" spans="6:6">
      <c r="F22587" s="2423"/>
    </row>
    <row r="22588" s="101" customFormat="1" spans="6:6">
      <c r="F22588" s="2423"/>
    </row>
    <row r="22589" s="101" customFormat="1" spans="6:6">
      <c r="F22589" s="2423"/>
    </row>
    <row r="22590" s="101" customFormat="1" spans="6:6">
      <c r="F22590" s="2423"/>
    </row>
    <row r="22591" s="101" customFormat="1" spans="6:6">
      <c r="F22591" s="2423"/>
    </row>
    <row r="22592" s="101" customFormat="1" spans="6:6">
      <c r="F22592" s="2423"/>
    </row>
    <row r="22593" s="101" customFormat="1" spans="6:6">
      <c r="F22593" s="2423"/>
    </row>
    <row r="22594" s="101" customFormat="1" spans="6:6">
      <c r="F22594" s="2423"/>
    </row>
    <row r="22595" s="101" customFormat="1" spans="6:6">
      <c r="F22595" s="2423"/>
    </row>
    <row r="22596" s="101" customFormat="1" spans="6:6">
      <c r="F22596" s="2423"/>
    </row>
    <row r="22597" s="101" customFormat="1" spans="6:6">
      <c r="F22597" s="2423"/>
    </row>
    <row r="22598" s="101" customFormat="1" spans="6:6">
      <c r="F22598" s="2423"/>
    </row>
    <row r="22599" s="101" customFormat="1" spans="6:6">
      <c r="F22599" s="2423"/>
    </row>
    <row r="22600" s="101" customFormat="1" spans="6:6">
      <c r="F22600" s="2423"/>
    </row>
    <row r="22601" s="101" customFormat="1" spans="6:6">
      <c r="F22601" s="2423"/>
    </row>
    <row r="22602" s="101" customFormat="1" spans="6:6">
      <c r="F22602" s="2423"/>
    </row>
    <row r="22603" s="101" customFormat="1" spans="6:6">
      <c r="F22603" s="2423"/>
    </row>
    <row r="22604" s="101" customFormat="1" spans="6:6">
      <c r="F22604" s="2423"/>
    </row>
    <row r="22605" s="101" customFormat="1" spans="6:6">
      <c r="F22605" s="2423"/>
    </row>
    <row r="22606" s="101" customFormat="1" spans="6:6">
      <c r="F22606" s="2423"/>
    </row>
    <row r="22607" s="101" customFormat="1" spans="6:6">
      <c r="F22607" s="2423"/>
    </row>
    <row r="22608" s="101" customFormat="1" spans="6:6">
      <c r="F22608" s="2423"/>
    </row>
    <row r="22609" s="101" customFormat="1" spans="6:6">
      <c r="F22609" s="2423"/>
    </row>
    <row r="22610" s="101" customFormat="1" spans="6:6">
      <c r="F22610" s="2423"/>
    </row>
    <row r="22611" s="101" customFormat="1" spans="6:6">
      <c r="F22611" s="2423"/>
    </row>
    <row r="22612" s="101" customFormat="1" spans="6:6">
      <c r="F22612" s="2423"/>
    </row>
    <row r="22613" s="101" customFormat="1" spans="6:6">
      <c r="F22613" s="2423"/>
    </row>
    <row r="22614" s="101" customFormat="1" spans="6:6">
      <c r="F22614" s="2423"/>
    </row>
    <row r="22615" s="101" customFormat="1" spans="6:6">
      <c r="F22615" s="2423"/>
    </row>
    <row r="22616" s="101" customFormat="1" spans="6:6">
      <c r="F22616" s="2423"/>
    </row>
    <row r="22617" s="101" customFormat="1" spans="6:6">
      <c r="F22617" s="2423"/>
    </row>
    <row r="22618" s="101" customFormat="1" spans="6:6">
      <c r="F22618" s="2423"/>
    </row>
    <row r="22619" s="101" customFormat="1" spans="6:6">
      <c r="F22619" s="2423"/>
    </row>
    <row r="22620" s="101" customFormat="1" spans="6:6">
      <c r="F22620" s="2423"/>
    </row>
    <row r="22621" s="101" customFormat="1" spans="6:6">
      <c r="F22621" s="2423"/>
    </row>
    <row r="22622" s="101" customFormat="1" spans="6:6">
      <c r="F22622" s="2423"/>
    </row>
    <row r="22623" s="101" customFormat="1" spans="6:6">
      <c r="F22623" s="2423"/>
    </row>
    <row r="22624" s="101" customFormat="1" spans="6:6">
      <c r="F22624" s="2423"/>
    </row>
    <row r="22625" s="101" customFormat="1" spans="6:6">
      <c r="F22625" s="2423"/>
    </row>
    <row r="22626" s="101" customFormat="1" spans="6:6">
      <c r="F22626" s="2423"/>
    </row>
    <row r="22627" s="101" customFormat="1" spans="6:6">
      <c r="F22627" s="2423"/>
    </row>
    <row r="22628" s="101" customFormat="1" spans="6:6">
      <c r="F22628" s="2423"/>
    </row>
    <row r="22629" s="101" customFormat="1" spans="6:6">
      <c r="F22629" s="2423"/>
    </row>
    <row r="22630" s="101" customFormat="1" spans="6:6">
      <c r="F22630" s="2423"/>
    </row>
    <row r="22631" s="101" customFormat="1" spans="6:6">
      <c r="F22631" s="2423"/>
    </row>
    <row r="22632" s="101" customFormat="1" spans="6:6">
      <c r="F22632" s="2423"/>
    </row>
    <row r="22633" s="101" customFormat="1" spans="6:6">
      <c r="F22633" s="2423"/>
    </row>
    <row r="22634" s="101" customFormat="1" spans="6:6">
      <c r="F22634" s="2423"/>
    </row>
    <row r="22635" s="101" customFormat="1" spans="6:6">
      <c r="F22635" s="2423"/>
    </row>
    <row r="22636" s="101" customFormat="1" spans="6:6">
      <c r="F22636" s="2423"/>
    </row>
    <row r="22637" s="101" customFormat="1" spans="6:6">
      <c r="F22637" s="2423"/>
    </row>
    <row r="22638" s="101" customFormat="1" spans="6:6">
      <c r="F22638" s="2423"/>
    </row>
    <row r="22639" s="101" customFormat="1" spans="6:6">
      <c r="F22639" s="2423"/>
    </row>
    <row r="22640" s="101" customFormat="1" spans="6:6">
      <c r="F22640" s="2423"/>
    </row>
    <row r="22641" s="101" customFormat="1" spans="6:6">
      <c r="F22641" s="2423"/>
    </row>
    <row r="22642" s="101" customFormat="1" spans="6:6">
      <c r="F22642" s="2423"/>
    </row>
    <row r="22643" s="101" customFormat="1" spans="6:6">
      <c r="F22643" s="2423"/>
    </row>
    <row r="22644" s="101" customFormat="1" spans="6:6">
      <c r="F22644" s="2423"/>
    </row>
    <row r="22645" s="101" customFormat="1" spans="6:6">
      <c r="F22645" s="2423"/>
    </row>
    <row r="22646" s="101" customFormat="1" spans="6:6">
      <c r="F22646" s="2423"/>
    </row>
    <row r="22647" s="101" customFormat="1" spans="6:6">
      <c r="F22647" s="2423"/>
    </row>
    <row r="22648" s="101" customFormat="1" spans="6:6">
      <c r="F22648" s="2423"/>
    </row>
    <row r="22649" s="101" customFormat="1" spans="6:6">
      <c r="F22649" s="2423"/>
    </row>
    <row r="22650" s="101" customFormat="1" spans="6:6">
      <c r="F22650" s="2423"/>
    </row>
    <row r="22651" s="101" customFormat="1" spans="6:6">
      <c r="F22651" s="2423"/>
    </row>
    <row r="22652" s="101" customFormat="1" spans="6:6">
      <c r="F22652" s="2423"/>
    </row>
    <row r="22653" s="101" customFormat="1" spans="6:6">
      <c r="F22653" s="2423"/>
    </row>
    <row r="22654" s="101" customFormat="1" spans="6:6">
      <c r="F22654" s="2423"/>
    </row>
    <row r="22655" s="101" customFormat="1" spans="6:6">
      <c r="F22655" s="2423"/>
    </row>
    <row r="22656" s="101" customFormat="1" spans="6:6">
      <c r="F22656" s="2423"/>
    </row>
    <row r="22657" s="101" customFormat="1" spans="6:6">
      <c r="F22657" s="2423"/>
    </row>
    <row r="22658" s="101" customFormat="1" spans="6:6">
      <c r="F22658" s="2423"/>
    </row>
    <row r="22659" s="101" customFormat="1" spans="6:6">
      <c r="F22659" s="2423"/>
    </row>
    <row r="22660" s="101" customFormat="1" spans="6:6">
      <c r="F22660" s="2423"/>
    </row>
    <row r="22661" s="101" customFormat="1" spans="6:6">
      <c r="F22661" s="2423"/>
    </row>
    <row r="22662" s="101" customFormat="1" spans="6:6">
      <c r="F22662" s="2423"/>
    </row>
    <row r="22663" s="101" customFormat="1" spans="6:6">
      <c r="F22663" s="2423"/>
    </row>
    <row r="22664" s="101" customFormat="1" spans="6:6">
      <c r="F22664" s="2423"/>
    </row>
    <row r="22665" s="101" customFormat="1" spans="6:6">
      <c r="F22665" s="2423"/>
    </row>
    <row r="22666" s="101" customFormat="1" spans="6:6">
      <c r="F22666" s="2423"/>
    </row>
    <row r="22667" s="101" customFormat="1" spans="6:6">
      <c r="F22667" s="2423"/>
    </row>
    <row r="22668" s="101" customFormat="1" spans="6:6">
      <c r="F22668" s="2423"/>
    </row>
    <row r="22669" s="101" customFormat="1" spans="6:6">
      <c r="F22669" s="2423"/>
    </row>
    <row r="22670" s="101" customFormat="1" spans="6:6">
      <c r="F22670" s="2423"/>
    </row>
    <row r="22671" s="101" customFormat="1" spans="6:6">
      <c r="F22671" s="2423"/>
    </row>
    <row r="22672" s="101" customFormat="1" spans="6:6">
      <c r="F22672" s="2423"/>
    </row>
    <row r="22673" s="101" customFormat="1" spans="6:6">
      <c r="F22673" s="2423"/>
    </row>
    <row r="22674" s="101" customFormat="1" spans="6:6">
      <c r="F22674" s="2423"/>
    </row>
    <row r="22675" s="101" customFormat="1" spans="6:6">
      <c r="F22675" s="2423"/>
    </row>
    <row r="22676" s="101" customFormat="1" spans="6:6">
      <c r="F22676" s="2423"/>
    </row>
    <row r="22677" s="101" customFormat="1" spans="6:6">
      <c r="F22677" s="2423"/>
    </row>
    <row r="22678" s="101" customFormat="1" spans="6:6">
      <c r="F22678" s="2423"/>
    </row>
    <row r="22679" s="101" customFormat="1" spans="6:6">
      <c r="F22679" s="2423"/>
    </row>
    <row r="22680" s="101" customFormat="1" spans="6:6">
      <c r="F22680" s="2423"/>
    </row>
    <row r="22681" s="101" customFormat="1" spans="6:6">
      <c r="F22681" s="2423"/>
    </row>
    <row r="22682" s="101" customFormat="1" spans="6:6">
      <c r="F22682" s="2423"/>
    </row>
    <row r="22683" s="101" customFormat="1" spans="6:6">
      <c r="F22683" s="2423"/>
    </row>
    <row r="22684" s="101" customFormat="1" spans="6:6">
      <c r="F22684" s="2423"/>
    </row>
    <row r="22685" s="101" customFormat="1" spans="6:6">
      <c r="F22685" s="2423"/>
    </row>
    <row r="22686" s="101" customFormat="1" spans="6:6">
      <c r="F22686" s="2423"/>
    </row>
    <row r="22687" s="101" customFormat="1" spans="6:6">
      <c r="F22687" s="2423"/>
    </row>
    <row r="22688" s="101" customFormat="1" spans="6:6">
      <c r="F22688" s="2423"/>
    </row>
    <row r="22689" s="101" customFormat="1" spans="6:6">
      <c r="F22689" s="2423"/>
    </row>
    <row r="22690" s="101" customFormat="1" spans="6:6">
      <c r="F22690" s="2423"/>
    </row>
    <row r="22691" s="101" customFormat="1" spans="6:6">
      <c r="F22691" s="2423"/>
    </row>
    <row r="22692" s="101" customFormat="1" spans="6:6">
      <c r="F22692" s="2423"/>
    </row>
    <row r="22693" s="101" customFormat="1" spans="6:6">
      <c r="F22693" s="2423"/>
    </row>
    <row r="22694" s="101" customFormat="1" spans="6:6">
      <c r="F22694" s="2423"/>
    </row>
    <row r="22695" s="101" customFormat="1" spans="6:6">
      <c r="F22695" s="2423"/>
    </row>
    <row r="22696" s="101" customFormat="1" spans="6:6">
      <c r="F22696" s="2423"/>
    </row>
    <row r="22697" s="101" customFormat="1" spans="6:6">
      <c r="F22697" s="2423"/>
    </row>
    <row r="22698" s="101" customFormat="1" spans="6:6">
      <c r="F22698" s="2423"/>
    </row>
    <row r="22699" s="101" customFormat="1" spans="6:6">
      <c r="F22699" s="2423"/>
    </row>
    <row r="22700" s="101" customFormat="1" spans="6:6">
      <c r="F22700" s="2423"/>
    </row>
    <row r="22701" s="101" customFormat="1" spans="6:6">
      <c r="F22701" s="2423"/>
    </row>
    <row r="22702" s="101" customFormat="1" spans="6:6">
      <c r="F22702" s="2423"/>
    </row>
    <row r="22703" s="101" customFormat="1" spans="6:6">
      <c r="F22703" s="2423"/>
    </row>
    <row r="22704" s="101" customFormat="1" spans="6:6">
      <c r="F22704" s="2423"/>
    </row>
    <row r="22705" s="101" customFormat="1" spans="6:6">
      <c r="F22705" s="2423"/>
    </row>
    <row r="22706" s="101" customFormat="1" spans="6:6">
      <c r="F22706" s="2423"/>
    </row>
    <row r="22707" s="101" customFormat="1" spans="6:6">
      <c r="F22707" s="2423"/>
    </row>
    <row r="22708" s="101" customFormat="1" spans="6:6">
      <c r="F22708" s="2423"/>
    </row>
    <row r="22709" s="101" customFormat="1" spans="6:6">
      <c r="F22709" s="2423"/>
    </row>
    <row r="22710" s="101" customFormat="1" spans="6:6">
      <c r="F22710" s="2423"/>
    </row>
    <row r="22711" s="101" customFormat="1" spans="6:6">
      <c r="F22711" s="2423"/>
    </row>
    <row r="22712" s="101" customFormat="1" spans="6:6">
      <c r="F22712" s="2423"/>
    </row>
    <row r="22713" s="101" customFormat="1" spans="6:6">
      <c r="F22713" s="2423"/>
    </row>
    <row r="22714" s="101" customFormat="1" spans="6:6">
      <c r="F22714" s="2423"/>
    </row>
    <row r="22715" s="101" customFormat="1" spans="6:6">
      <c r="F22715" s="2423"/>
    </row>
    <row r="22716" s="101" customFormat="1" spans="6:6">
      <c r="F22716" s="2423"/>
    </row>
    <row r="22717" s="101" customFormat="1" spans="6:6">
      <c r="F22717" s="2423"/>
    </row>
    <row r="22718" s="101" customFormat="1" spans="6:6">
      <c r="F22718" s="2423"/>
    </row>
    <row r="22719" s="101" customFormat="1" spans="6:6">
      <c r="F22719" s="2423"/>
    </row>
    <row r="22720" s="101" customFormat="1" spans="6:6">
      <c r="F22720" s="2423"/>
    </row>
    <row r="22721" s="101" customFormat="1" spans="6:6">
      <c r="F22721" s="2423"/>
    </row>
    <row r="22722" s="101" customFormat="1" spans="6:6">
      <c r="F22722" s="2423"/>
    </row>
    <row r="22723" s="101" customFormat="1" spans="6:6">
      <c r="F22723" s="2423"/>
    </row>
    <row r="22724" s="101" customFormat="1" spans="6:6">
      <c r="F22724" s="2423"/>
    </row>
    <row r="22725" s="101" customFormat="1" spans="6:6">
      <c r="F22725" s="2423"/>
    </row>
    <row r="22726" s="101" customFormat="1" spans="6:6">
      <c r="F22726" s="2423"/>
    </row>
    <row r="22727" s="101" customFormat="1" spans="6:6">
      <c r="F22727" s="2423"/>
    </row>
    <row r="22728" s="101" customFormat="1" spans="6:6">
      <c r="F22728" s="2423"/>
    </row>
    <row r="22729" s="101" customFormat="1" spans="6:6">
      <c r="F22729" s="2423"/>
    </row>
    <row r="22730" s="101" customFormat="1" spans="6:6">
      <c r="F22730" s="2423"/>
    </row>
    <row r="22731" s="101" customFormat="1" spans="6:6">
      <c r="F22731" s="2423"/>
    </row>
    <row r="22732" s="101" customFormat="1" spans="6:6">
      <c r="F22732" s="2423"/>
    </row>
    <row r="22733" s="101" customFormat="1" spans="6:6">
      <c r="F22733" s="2423"/>
    </row>
    <row r="22734" s="101" customFormat="1" spans="6:6">
      <c r="F22734" s="2423"/>
    </row>
    <row r="22735" s="101" customFormat="1" spans="6:6">
      <c r="F22735" s="2423"/>
    </row>
    <row r="22736" s="101" customFormat="1" spans="6:6">
      <c r="F22736" s="2423"/>
    </row>
    <row r="22737" s="101" customFormat="1" spans="6:6">
      <c r="F22737" s="2423"/>
    </row>
    <row r="22738" s="101" customFormat="1" spans="6:6">
      <c r="F22738" s="2423"/>
    </row>
    <row r="22739" s="101" customFormat="1" spans="6:6">
      <c r="F22739" s="2423"/>
    </row>
    <row r="22740" s="101" customFormat="1" spans="6:6">
      <c r="F22740" s="2423"/>
    </row>
    <row r="22741" s="101" customFormat="1" spans="6:6">
      <c r="F22741" s="2423"/>
    </row>
    <row r="22742" s="101" customFormat="1" spans="6:6">
      <c r="F22742" s="2423"/>
    </row>
    <row r="22743" s="101" customFormat="1" spans="6:6">
      <c r="F22743" s="2423"/>
    </row>
    <row r="22744" s="101" customFormat="1" spans="6:6">
      <c r="F22744" s="2423"/>
    </row>
    <row r="22745" s="101" customFormat="1" spans="6:6">
      <c r="F22745" s="2423"/>
    </row>
    <row r="22746" s="101" customFormat="1" spans="6:6">
      <c r="F22746" s="2423"/>
    </row>
    <row r="22747" s="101" customFormat="1" spans="6:6">
      <c r="F22747" s="2423"/>
    </row>
    <row r="22748" s="101" customFormat="1" spans="6:6">
      <c r="F22748" s="2423"/>
    </row>
    <row r="22749" s="101" customFormat="1" spans="6:6">
      <c r="F22749" s="2423"/>
    </row>
    <row r="22750" s="101" customFormat="1" spans="6:6">
      <c r="F22750" s="2423"/>
    </row>
    <row r="22751" s="101" customFormat="1" spans="6:6">
      <c r="F22751" s="2423"/>
    </row>
    <row r="22752" s="101" customFormat="1" spans="6:6">
      <c r="F22752" s="2423"/>
    </row>
    <row r="22753" s="101" customFormat="1" spans="6:6">
      <c r="F22753" s="2423"/>
    </row>
    <row r="22754" s="101" customFormat="1" spans="6:6">
      <c r="F22754" s="2423"/>
    </row>
    <row r="22755" s="101" customFormat="1" spans="6:6">
      <c r="F22755" s="2423"/>
    </row>
    <row r="22756" s="101" customFormat="1" spans="6:6">
      <c r="F22756" s="2423"/>
    </row>
    <row r="22757" s="101" customFormat="1" spans="6:6">
      <c r="F22757" s="2423"/>
    </row>
    <row r="22758" s="101" customFormat="1" spans="6:6">
      <c r="F22758" s="2423"/>
    </row>
    <row r="22759" s="101" customFormat="1" spans="6:6">
      <c r="F22759" s="2423"/>
    </row>
    <row r="22760" s="101" customFormat="1" spans="6:6">
      <c r="F22760" s="2423"/>
    </row>
    <row r="22761" s="101" customFormat="1" spans="6:6">
      <c r="F22761" s="2423"/>
    </row>
    <row r="22762" s="101" customFormat="1" spans="6:6">
      <c r="F22762" s="2423"/>
    </row>
    <row r="22763" s="101" customFormat="1" spans="6:6">
      <c r="F22763" s="2423"/>
    </row>
    <row r="22764" s="101" customFormat="1" spans="6:6">
      <c r="F22764" s="2423"/>
    </row>
    <row r="22765" s="101" customFormat="1" spans="6:6">
      <c r="F22765" s="2423"/>
    </row>
    <row r="22766" s="101" customFormat="1" spans="6:6">
      <c r="F22766" s="2423"/>
    </row>
    <row r="22767" s="101" customFormat="1" spans="6:6">
      <c r="F22767" s="2423"/>
    </row>
    <row r="22768" s="101" customFormat="1" spans="6:6">
      <c r="F22768" s="2423"/>
    </row>
    <row r="22769" s="101" customFormat="1" spans="6:6">
      <c r="F22769" s="2423"/>
    </row>
    <row r="22770" s="101" customFormat="1" spans="6:6">
      <c r="F22770" s="2423"/>
    </row>
    <row r="22771" s="101" customFormat="1" spans="6:6">
      <c r="F22771" s="2423"/>
    </row>
    <row r="22772" s="101" customFormat="1" spans="6:6">
      <c r="F22772" s="2423"/>
    </row>
    <row r="22773" s="101" customFormat="1" spans="6:6">
      <c r="F22773" s="2423"/>
    </row>
    <row r="22774" s="101" customFormat="1" spans="6:6">
      <c r="F22774" s="2423"/>
    </row>
    <row r="22775" s="101" customFormat="1" spans="6:6">
      <c r="F22775" s="2423"/>
    </row>
    <row r="22776" s="101" customFormat="1" spans="6:6">
      <c r="F22776" s="2423"/>
    </row>
    <row r="22777" s="101" customFormat="1" spans="6:6">
      <c r="F22777" s="2423"/>
    </row>
    <row r="22778" s="101" customFormat="1" spans="6:6">
      <c r="F22778" s="2423"/>
    </row>
    <row r="22779" s="101" customFormat="1" spans="6:6">
      <c r="F22779" s="2423"/>
    </row>
    <row r="22780" s="101" customFormat="1" spans="6:6">
      <c r="F22780" s="2423"/>
    </row>
    <row r="22781" s="101" customFormat="1" spans="6:6">
      <c r="F22781" s="2423"/>
    </row>
    <row r="22782" s="101" customFormat="1" spans="6:6">
      <c r="F22782" s="2423"/>
    </row>
    <row r="22783" s="101" customFormat="1" spans="6:6">
      <c r="F22783" s="2423"/>
    </row>
    <row r="22784" s="101" customFormat="1" spans="6:6">
      <c r="F22784" s="2423"/>
    </row>
    <row r="22785" s="101" customFormat="1" spans="6:6">
      <c r="F22785" s="2423"/>
    </row>
    <row r="22786" s="101" customFormat="1" spans="6:6">
      <c r="F22786" s="2423"/>
    </row>
    <row r="22787" s="101" customFormat="1" spans="6:6">
      <c r="F22787" s="2423"/>
    </row>
    <row r="22788" s="101" customFormat="1" spans="6:6">
      <c r="F22788" s="2423"/>
    </row>
    <row r="22789" s="101" customFormat="1" spans="6:6">
      <c r="F22789" s="2423"/>
    </row>
    <row r="22790" s="101" customFormat="1" spans="6:6">
      <c r="F22790" s="2423"/>
    </row>
    <row r="22791" s="101" customFormat="1" spans="6:6">
      <c r="F22791" s="2423"/>
    </row>
    <row r="22792" s="101" customFormat="1" spans="6:6">
      <c r="F22792" s="2423"/>
    </row>
    <row r="22793" s="101" customFormat="1" spans="6:6">
      <c r="F22793" s="2423"/>
    </row>
    <row r="22794" s="101" customFormat="1" spans="6:6">
      <c r="F22794" s="2423"/>
    </row>
    <row r="22795" s="101" customFormat="1" spans="6:6">
      <c r="F22795" s="2423"/>
    </row>
    <row r="22796" s="101" customFormat="1" spans="6:6">
      <c r="F22796" s="2423"/>
    </row>
    <row r="22797" s="101" customFormat="1" spans="6:6">
      <c r="F22797" s="2423"/>
    </row>
    <row r="22798" s="101" customFormat="1" spans="6:6">
      <c r="F22798" s="2423"/>
    </row>
    <row r="22799" s="101" customFormat="1" spans="6:6">
      <c r="F22799" s="2423"/>
    </row>
    <row r="22800" s="101" customFormat="1" spans="6:6">
      <c r="F22800" s="2423"/>
    </row>
    <row r="22801" s="101" customFormat="1" spans="6:6">
      <c r="F22801" s="2423"/>
    </row>
    <row r="22802" s="101" customFormat="1" spans="6:6">
      <c r="F22802" s="2423"/>
    </row>
    <row r="22803" s="101" customFormat="1" spans="6:6">
      <c r="F22803" s="2423"/>
    </row>
    <row r="22804" s="101" customFormat="1" spans="6:6">
      <c r="F22804" s="2423"/>
    </row>
    <row r="22805" s="101" customFormat="1" spans="6:6">
      <c r="F22805" s="2423"/>
    </row>
    <row r="22806" s="101" customFormat="1" spans="6:6">
      <c r="F22806" s="2423"/>
    </row>
    <row r="22807" s="101" customFormat="1" spans="6:6">
      <c r="F22807" s="2423"/>
    </row>
    <row r="22808" s="101" customFormat="1" spans="6:6">
      <c r="F22808" s="2423"/>
    </row>
    <row r="22809" s="101" customFormat="1" spans="6:6">
      <c r="F22809" s="2423"/>
    </row>
    <row r="22810" s="101" customFormat="1" spans="6:6">
      <c r="F22810" s="2423"/>
    </row>
    <row r="22811" s="101" customFormat="1" spans="6:6">
      <c r="F22811" s="2423"/>
    </row>
    <row r="22812" s="101" customFormat="1" spans="6:6">
      <c r="F22812" s="2423"/>
    </row>
    <row r="22813" s="101" customFormat="1" spans="6:6">
      <c r="F22813" s="2423"/>
    </row>
    <row r="22814" s="101" customFormat="1" spans="6:6">
      <c r="F22814" s="2423"/>
    </row>
    <row r="22815" s="101" customFormat="1" spans="6:6">
      <c r="F22815" s="2423"/>
    </row>
    <row r="22816" s="101" customFormat="1" spans="6:6">
      <c r="F22816" s="2423"/>
    </row>
    <row r="22817" s="101" customFormat="1" spans="6:6">
      <c r="F22817" s="2423"/>
    </row>
    <row r="22818" s="101" customFormat="1" spans="6:6">
      <c r="F22818" s="2423"/>
    </row>
    <row r="22819" s="101" customFormat="1" spans="6:6">
      <c r="F22819" s="2423"/>
    </row>
    <row r="22820" s="101" customFormat="1" spans="6:6">
      <c r="F22820" s="2423"/>
    </row>
    <row r="22821" s="101" customFormat="1" spans="6:6">
      <c r="F22821" s="2423"/>
    </row>
    <row r="22822" s="101" customFormat="1" spans="6:6">
      <c r="F22822" s="2423"/>
    </row>
    <row r="22823" s="101" customFormat="1" spans="6:6">
      <c r="F22823" s="2423"/>
    </row>
    <row r="22824" s="101" customFormat="1" spans="6:6">
      <c r="F22824" s="2423"/>
    </row>
    <row r="22825" s="101" customFormat="1" spans="6:6">
      <c r="F22825" s="2423"/>
    </row>
    <row r="22826" s="101" customFormat="1" spans="6:6">
      <c r="F22826" s="2423"/>
    </row>
    <row r="22827" s="101" customFormat="1" spans="6:6">
      <c r="F22827" s="2423"/>
    </row>
    <row r="22828" s="101" customFormat="1" spans="6:6">
      <c r="F22828" s="2423"/>
    </row>
    <row r="22829" s="101" customFormat="1" spans="6:6">
      <c r="F22829" s="2423"/>
    </row>
    <row r="22830" s="101" customFormat="1" spans="6:6">
      <c r="F22830" s="2423"/>
    </row>
    <row r="22831" s="101" customFormat="1" spans="6:6">
      <c r="F22831" s="2423"/>
    </row>
    <row r="22832" s="101" customFormat="1" spans="6:6">
      <c r="F22832" s="2423"/>
    </row>
    <row r="22833" s="101" customFormat="1" spans="6:6">
      <c r="F22833" s="2423"/>
    </row>
    <row r="22834" s="101" customFormat="1" spans="6:6">
      <c r="F22834" s="2423"/>
    </row>
    <row r="22835" s="101" customFormat="1" spans="6:6">
      <c r="F22835" s="2423"/>
    </row>
    <row r="22836" s="101" customFormat="1" spans="6:6">
      <c r="F22836" s="2423"/>
    </row>
    <row r="22837" s="101" customFormat="1" spans="6:6">
      <c r="F22837" s="2423"/>
    </row>
    <row r="22838" s="101" customFormat="1" spans="6:6">
      <c r="F22838" s="2423"/>
    </row>
    <row r="22839" s="101" customFormat="1" spans="6:6">
      <c r="F22839" s="2423"/>
    </row>
    <row r="22840" s="101" customFormat="1" spans="6:6">
      <c r="F22840" s="2423"/>
    </row>
    <row r="22841" s="101" customFormat="1" spans="6:6">
      <c r="F22841" s="2423"/>
    </row>
    <row r="22842" s="101" customFormat="1" spans="6:6">
      <c r="F22842" s="2423"/>
    </row>
    <row r="22843" s="101" customFormat="1" spans="6:6">
      <c r="F22843" s="2423"/>
    </row>
    <row r="22844" s="101" customFormat="1" spans="6:6">
      <c r="F22844" s="2423"/>
    </row>
    <row r="22845" s="101" customFormat="1" spans="6:6">
      <c r="F22845" s="2423"/>
    </row>
    <row r="22846" s="101" customFormat="1" spans="6:6">
      <c r="F22846" s="2423"/>
    </row>
    <row r="22847" s="101" customFormat="1" spans="6:6">
      <c r="F22847" s="2423"/>
    </row>
    <row r="22848" s="101" customFormat="1" spans="6:6">
      <c r="F22848" s="2423"/>
    </row>
    <row r="22849" s="101" customFormat="1" spans="6:6">
      <c r="F22849" s="2423"/>
    </row>
    <row r="22850" s="101" customFormat="1" spans="6:6">
      <c r="F22850" s="2423"/>
    </row>
    <row r="22851" s="101" customFormat="1" spans="6:6">
      <c r="F22851" s="2423"/>
    </row>
    <row r="22852" s="101" customFormat="1" spans="6:6">
      <c r="F22852" s="2423"/>
    </row>
    <row r="22853" s="101" customFormat="1" spans="6:6">
      <c r="F22853" s="2423"/>
    </row>
    <row r="22854" s="101" customFormat="1" spans="6:6">
      <c r="F22854" s="2423"/>
    </row>
    <row r="22855" s="101" customFormat="1" spans="6:6">
      <c r="F22855" s="2423"/>
    </row>
    <row r="22856" s="101" customFormat="1" spans="6:6">
      <c r="F22856" s="2423"/>
    </row>
    <row r="22857" s="101" customFormat="1" spans="6:6">
      <c r="F22857" s="2423"/>
    </row>
    <row r="22858" s="101" customFormat="1" spans="6:6">
      <c r="F22858" s="2423"/>
    </row>
    <row r="22859" s="101" customFormat="1" spans="6:6">
      <c r="F22859" s="2423"/>
    </row>
    <row r="22860" s="101" customFormat="1" spans="6:6">
      <c r="F22860" s="2423"/>
    </row>
    <row r="22861" s="101" customFormat="1" spans="6:6">
      <c r="F22861" s="2423"/>
    </row>
    <row r="22862" s="101" customFormat="1" spans="6:6">
      <c r="F22862" s="2423"/>
    </row>
    <row r="22863" s="101" customFormat="1" spans="6:6">
      <c r="F22863" s="2423"/>
    </row>
    <row r="22864" s="101" customFormat="1" spans="6:6">
      <c r="F22864" s="2423"/>
    </row>
    <row r="22865" s="101" customFormat="1" spans="6:6">
      <c r="F22865" s="2423"/>
    </row>
    <row r="22866" s="101" customFormat="1" spans="6:6">
      <c r="F22866" s="2423"/>
    </row>
    <row r="22867" s="101" customFormat="1" spans="6:6">
      <c r="F22867" s="2423"/>
    </row>
    <row r="22868" s="101" customFormat="1" spans="6:6">
      <c r="F22868" s="2423"/>
    </row>
    <row r="22869" s="101" customFormat="1" spans="6:6">
      <c r="F22869" s="2423"/>
    </row>
    <row r="22870" s="101" customFormat="1" spans="6:6">
      <c r="F22870" s="2423"/>
    </row>
    <row r="22871" s="101" customFormat="1" spans="6:6">
      <c r="F22871" s="2423"/>
    </row>
    <row r="22872" s="101" customFormat="1" spans="6:6">
      <c r="F22872" s="2423"/>
    </row>
    <row r="22873" s="101" customFormat="1" spans="6:6">
      <c r="F22873" s="2423"/>
    </row>
    <row r="22874" s="101" customFormat="1" spans="6:6">
      <c r="F22874" s="2423"/>
    </row>
    <row r="22875" s="101" customFormat="1" spans="6:6">
      <c r="F22875" s="2423"/>
    </row>
    <row r="22876" s="101" customFormat="1" spans="6:6">
      <c r="F22876" s="2423"/>
    </row>
    <row r="22877" s="101" customFormat="1" spans="6:6">
      <c r="F22877" s="2423"/>
    </row>
    <row r="22878" s="101" customFormat="1" spans="6:6">
      <c r="F22878" s="2423"/>
    </row>
    <row r="22879" s="101" customFormat="1" spans="6:6">
      <c r="F22879" s="2423"/>
    </row>
    <row r="22880" s="101" customFormat="1" spans="6:6">
      <c r="F22880" s="2423"/>
    </row>
    <row r="22881" s="101" customFormat="1" spans="6:6">
      <c r="F22881" s="2423"/>
    </row>
    <row r="22882" s="101" customFormat="1" spans="6:6">
      <c r="F22882" s="2423"/>
    </row>
    <row r="22883" s="101" customFormat="1" spans="6:6">
      <c r="F22883" s="2423"/>
    </row>
    <row r="22884" s="101" customFormat="1" spans="6:6">
      <c r="F22884" s="2423"/>
    </row>
    <row r="22885" s="101" customFormat="1" spans="6:6">
      <c r="F22885" s="2423"/>
    </row>
    <row r="22886" s="101" customFormat="1" spans="6:6">
      <c r="F22886" s="2423"/>
    </row>
    <row r="22887" s="101" customFormat="1" spans="6:6">
      <c r="F22887" s="2423"/>
    </row>
    <row r="22888" s="101" customFormat="1" spans="6:6">
      <c r="F22888" s="2423"/>
    </row>
    <row r="22889" s="101" customFormat="1" spans="6:6">
      <c r="F22889" s="2423"/>
    </row>
    <row r="22890" s="101" customFormat="1" spans="6:6">
      <c r="F22890" s="2423"/>
    </row>
    <row r="22891" s="101" customFormat="1" spans="6:6">
      <c r="F22891" s="2423"/>
    </row>
    <row r="22892" s="101" customFormat="1" spans="6:6">
      <c r="F22892" s="2423"/>
    </row>
    <row r="22893" s="101" customFormat="1" spans="6:6">
      <c r="F22893" s="2423"/>
    </row>
    <row r="22894" s="101" customFormat="1" spans="6:6">
      <c r="F22894" s="2423"/>
    </row>
    <row r="22895" s="101" customFormat="1" spans="6:6">
      <c r="F22895" s="2423"/>
    </row>
    <row r="22896" s="101" customFormat="1" spans="6:6">
      <c r="F22896" s="2423"/>
    </row>
    <row r="22897" s="101" customFormat="1" spans="6:6">
      <c r="F22897" s="2423"/>
    </row>
    <row r="22898" s="101" customFormat="1" spans="6:6">
      <c r="F22898" s="2423"/>
    </row>
    <row r="22899" s="101" customFormat="1" spans="6:6">
      <c r="F22899" s="2423"/>
    </row>
    <row r="22900" s="101" customFormat="1" spans="6:6">
      <c r="F22900" s="2423"/>
    </row>
    <row r="22901" s="101" customFormat="1" spans="6:6">
      <c r="F22901" s="2423"/>
    </row>
    <row r="22902" s="101" customFormat="1" spans="6:6">
      <c r="F22902" s="2423"/>
    </row>
    <row r="22903" s="101" customFormat="1" spans="6:6">
      <c r="F22903" s="2423"/>
    </row>
    <row r="22904" s="101" customFormat="1" spans="6:6">
      <c r="F22904" s="2423"/>
    </row>
    <row r="22905" s="101" customFormat="1" spans="6:6">
      <c r="F22905" s="2423"/>
    </row>
    <row r="22906" s="101" customFormat="1" spans="6:6">
      <c r="F22906" s="2423"/>
    </row>
    <row r="22907" s="101" customFormat="1" spans="6:6">
      <c r="F22907" s="2423"/>
    </row>
    <row r="22908" s="101" customFormat="1" spans="6:6">
      <c r="F22908" s="2423"/>
    </row>
    <row r="22909" s="101" customFormat="1" spans="6:6">
      <c r="F22909" s="2423"/>
    </row>
    <row r="22910" s="101" customFormat="1" spans="6:6">
      <c r="F22910" s="2423"/>
    </row>
    <row r="22911" s="101" customFormat="1" spans="6:6">
      <c r="F22911" s="2423"/>
    </row>
    <row r="22912" s="101" customFormat="1" spans="6:6">
      <c r="F22912" s="2423"/>
    </row>
    <row r="22913" s="101" customFormat="1" spans="6:6">
      <c r="F22913" s="2423"/>
    </row>
    <row r="22914" s="101" customFormat="1" spans="6:6">
      <c r="F22914" s="2423"/>
    </row>
    <row r="22915" s="101" customFormat="1" spans="6:6">
      <c r="F22915" s="2423"/>
    </row>
    <row r="22916" s="101" customFormat="1" spans="6:6">
      <c r="F22916" s="2423"/>
    </row>
    <row r="22917" s="101" customFormat="1" spans="6:6">
      <c r="F22917" s="2423"/>
    </row>
    <row r="22918" s="101" customFormat="1" spans="6:6">
      <c r="F22918" s="2423"/>
    </row>
    <row r="22919" s="101" customFormat="1" spans="6:6">
      <c r="F22919" s="2423"/>
    </row>
    <row r="22920" s="101" customFormat="1" spans="6:6">
      <c r="F22920" s="2423"/>
    </row>
    <row r="22921" s="101" customFormat="1" spans="6:6">
      <c r="F22921" s="2423"/>
    </row>
    <row r="22922" s="101" customFormat="1" spans="6:6">
      <c r="F22922" s="2423"/>
    </row>
    <row r="22923" s="101" customFormat="1" spans="6:6">
      <c r="F22923" s="2423"/>
    </row>
    <row r="22924" s="101" customFormat="1" spans="6:6">
      <c r="F22924" s="2423"/>
    </row>
    <row r="22925" s="101" customFormat="1" spans="6:6">
      <c r="F22925" s="2423"/>
    </row>
    <row r="22926" s="101" customFormat="1" spans="6:6">
      <c r="F22926" s="2423"/>
    </row>
    <row r="22927" s="101" customFormat="1" spans="6:6">
      <c r="F22927" s="2423"/>
    </row>
    <row r="22928" s="101" customFormat="1" spans="6:6">
      <c r="F22928" s="2423"/>
    </row>
    <row r="22929" s="101" customFormat="1" spans="6:6">
      <c r="F22929" s="2423"/>
    </row>
    <row r="22930" s="101" customFormat="1" spans="6:6">
      <c r="F22930" s="2423"/>
    </row>
    <row r="22931" s="101" customFormat="1" spans="6:6">
      <c r="F22931" s="2423"/>
    </row>
    <row r="22932" s="101" customFormat="1" spans="6:6">
      <c r="F22932" s="2423"/>
    </row>
    <row r="22933" s="101" customFormat="1" spans="6:6">
      <c r="F22933" s="2423"/>
    </row>
    <row r="22934" s="101" customFormat="1" spans="6:6">
      <c r="F22934" s="2423"/>
    </row>
    <row r="22935" s="101" customFormat="1" spans="6:6">
      <c r="F22935" s="2423"/>
    </row>
    <row r="22936" s="101" customFormat="1" spans="6:6">
      <c r="F22936" s="2423"/>
    </row>
    <row r="22937" s="101" customFormat="1" spans="6:6">
      <c r="F22937" s="2423"/>
    </row>
    <row r="22938" s="101" customFormat="1" spans="6:6">
      <c r="F22938" s="2423"/>
    </row>
    <row r="22939" s="101" customFormat="1" spans="6:6">
      <c r="F22939" s="2423"/>
    </row>
    <row r="22940" s="101" customFormat="1" spans="6:6">
      <c r="F22940" s="2423"/>
    </row>
    <row r="22941" s="101" customFormat="1" spans="6:6">
      <c r="F22941" s="2423"/>
    </row>
    <row r="22942" s="101" customFormat="1" spans="6:6">
      <c r="F22942" s="2423"/>
    </row>
    <row r="22943" s="101" customFormat="1" spans="6:6">
      <c r="F22943" s="2423"/>
    </row>
    <row r="22944" s="101" customFormat="1" spans="6:6">
      <c r="F22944" s="2423"/>
    </row>
    <row r="22945" s="101" customFormat="1" spans="6:6">
      <c r="F22945" s="2423"/>
    </row>
    <row r="22946" s="101" customFormat="1" spans="6:6">
      <c r="F22946" s="2423"/>
    </row>
    <row r="22947" s="101" customFormat="1" spans="6:6">
      <c r="F22947" s="2423"/>
    </row>
    <row r="22948" s="101" customFormat="1" spans="6:6">
      <c r="F22948" s="2423"/>
    </row>
    <row r="22949" s="101" customFormat="1" spans="6:6">
      <c r="F22949" s="2423"/>
    </row>
    <row r="22950" s="101" customFormat="1" spans="6:6">
      <c r="F22950" s="2423"/>
    </row>
    <row r="22951" s="101" customFormat="1" spans="6:6">
      <c r="F22951" s="2423"/>
    </row>
    <row r="22952" s="101" customFormat="1" spans="6:6">
      <c r="F22952" s="2423"/>
    </row>
    <row r="22953" s="101" customFormat="1" spans="6:6">
      <c r="F22953" s="2423"/>
    </row>
    <row r="22954" s="101" customFormat="1" spans="6:6">
      <c r="F22954" s="2423"/>
    </row>
    <row r="22955" s="101" customFormat="1" spans="6:6">
      <c r="F22955" s="2423"/>
    </row>
    <row r="22956" s="101" customFormat="1" spans="6:6">
      <c r="F22956" s="2423"/>
    </row>
    <row r="22957" s="101" customFormat="1" spans="6:6">
      <c r="F22957" s="2423"/>
    </row>
    <row r="22958" s="101" customFormat="1" spans="6:6">
      <c r="F22958" s="2423"/>
    </row>
    <row r="22959" s="101" customFormat="1" spans="6:6">
      <c r="F22959" s="2423"/>
    </row>
    <row r="22960" s="101" customFormat="1" spans="6:6">
      <c r="F22960" s="2423"/>
    </row>
    <row r="22961" s="101" customFormat="1" spans="6:6">
      <c r="F22961" s="2423"/>
    </row>
    <row r="22962" s="101" customFormat="1" spans="6:6">
      <c r="F22962" s="2423"/>
    </row>
    <row r="22963" s="101" customFormat="1" spans="6:6">
      <c r="F22963" s="2423"/>
    </row>
    <row r="22964" s="101" customFormat="1" spans="6:6">
      <c r="F22964" s="2423"/>
    </row>
    <row r="22965" s="101" customFormat="1" spans="6:6">
      <c r="F22965" s="2423"/>
    </row>
    <row r="22966" s="101" customFormat="1" spans="6:6">
      <c r="F22966" s="2423"/>
    </row>
    <row r="22967" s="101" customFormat="1" spans="6:6">
      <c r="F22967" s="2423"/>
    </row>
    <row r="22968" s="101" customFormat="1" spans="6:6">
      <c r="F22968" s="2423"/>
    </row>
    <row r="22969" s="101" customFormat="1" spans="6:6">
      <c r="F22969" s="2423"/>
    </row>
    <row r="22970" s="101" customFormat="1" spans="6:6">
      <c r="F22970" s="2423"/>
    </row>
    <row r="22971" s="101" customFormat="1" spans="6:6">
      <c r="F22971" s="2423"/>
    </row>
    <row r="22972" s="101" customFormat="1" spans="6:6">
      <c r="F22972" s="2423"/>
    </row>
    <row r="22973" s="101" customFormat="1" spans="6:6">
      <c r="F22973" s="2423"/>
    </row>
    <row r="22974" s="101" customFormat="1" spans="6:6">
      <c r="F22974" s="2423"/>
    </row>
    <row r="22975" s="101" customFormat="1" spans="6:6">
      <c r="F22975" s="2423"/>
    </row>
    <row r="22976" s="101" customFormat="1" spans="6:6">
      <c r="F22976" s="2423"/>
    </row>
    <row r="22977" s="101" customFormat="1" spans="6:6">
      <c r="F22977" s="2423"/>
    </row>
    <row r="22978" s="101" customFormat="1" spans="6:6">
      <c r="F22978" s="2423"/>
    </row>
    <row r="22979" s="101" customFormat="1" spans="6:6">
      <c r="F22979" s="2423"/>
    </row>
    <row r="22980" s="101" customFormat="1" spans="6:6">
      <c r="F22980" s="2423"/>
    </row>
    <row r="22981" s="101" customFormat="1" spans="6:6">
      <c r="F22981" s="2423"/>
    </row>
    <row r="22982" s="101" customFormat="1" spans="6:6">
      <c r="F22982" s="2423"/>
    </row>
    <row r="22983" s="101" customFormat="1" spans="6:6">
      <c r="F22983" s="2423"/>
    </row>
    <row r="22984" s="101" customFormat="1" spans="6:6">
      <c r="F22984" s="2423"/>
    </row>
    <row r="22985" s="101" customFormat="1" spans="6:6">
      <c r="F22985" s="2423"/>
    </row>
    <row r="22986" s="101" customFormat="1" spans="6:6">
      <c r="F22986" s="2423"/>
    </row>
    <row r="22987" s="101" customFormat="1" spans="6:6">
      <c r="F22987" s="2423"/>
    </row>
    <row r="22988" s="101" customFormat="1" spans="6:6">
      <c r="F22988" s="2423"/>
    </row>
    <row r="22989" s="101" customFormat="1" spans="6:6">
      <c r="F22989" s="2423"/>
    </row>
    <row r="22990" s="101" customFormat="1" spans="6:6">
      <c r="F22990" s="2423"/>
    </row>
    <row r="22991" s="101" customFormat="1" spans="6:6">
      <c r="F22991" s="2423"/>
    </row>
    <row r="22992" s="101" customFormat="1" spans="6:6">
      <c r="F22992" s="2423"/>
    </row>
    <row r="22993" s="101" customFormat="1" spans="6:6">
      <c r="F22993" s="2423"/>
    </row>
    <row r="22994" s="101" customFormat="1" spans="6:6">
      <c r="F22994" s="2423"/>
    </row>
    <row r="22995" s="101" customFormat="1" spans="6:6">
      <c r="F22995" s="2423"/>
    </row>
    <row r="22996" s="101" customFormat="1" spans="6:6">
      <c r="F22996" s="2423"/>
    </row>
    <row r="22997" s="101" customFormat="1" spans="6:6">
      <c r="F22997" s="2423"/>
    </row>
    <row r="22998" s="101" customFormat="1" spans="6:6">
      <c r="F22998" s="2423"/>
    </row>
    <row r="22999" s="101" customFormat="1" spans="6:6">
      <c r="F22999" s="2423"/>
    </row>
    <row r="23000" s="101" customFormat="1" spans="6:6">
      <c r="F23000" s="2423"/>
    </row>
    <row r="23001" s="101" customFormat="1" spans="6:6">
      <c r="F23001" s="2423"/>
    </row>
    <row r="23002" s="101" customFormat="1" spans="6:6">
      <c r="F23002" s="2423"/>
    </row>
    <row r="23003" s="101" customFormat="1" spans="6:6">
      <c r="F23003" s="2423"/>
    </row>
    <row r="23004" s="101" customFormat="1" spans="6:6">
      <c r="F23004" s="2423"/>
    </row>
    <row r="23005" s="101" customFormat="1" spans="6:6">
      <c r="F23005" s="2423"/>
    </row>
    <row r="23006" s="101" customFormat="1" spans="6:6">
      <c r="F23006" s="2423"/>
    </row>
    <row r="23007" s="101" customFormat="1" spans="6:6">
      <c r="F23007" s="2423"/>
    </row>
    <row r="23008" s="101" customFormat="1" spans="6:6">
      <c r="F23008" s="2423"/>
    </row>
    <row r="23009" s="101" customFormat="1" spans="6:6">
      <c r="F23009" s="2423"/>
    </row>
    <row r="23010" s="101" customFormat="1" spans="6:6">
      <c r="F23010" s="2423"/>
    </row>
    <row r="23011" s="101" customFormat="1" spans="6:6">
      <c r="F23011" s="2423"/>
    </row>
    <row r="23012" s="101" customFormat="1" spans="6:6">
      <c r="F23012" s="2423"/>
    </row>
    <row r="23013" s="101" customFormat="1" spans="6:6">
      <c r="F23013" s="2423"/>
    </row>
    <row r="23014" s="101" customFormat="1" spans="6:6">
      <c r="F23014" s="2423"/>
    </row>
    <row r="23015" s="101" customFormat="1" spans="6:6">
      <c r="F23015" s="2423"/>
    </row>
    <row r="23016" s="101" customFormat="1" spans="6:6">
      <c r="F23016" s="2423"/>
    </row>
    <row r="23017" s="101" customFormat="1" spans="6:6">
      <c r="F23017" s="2423"/>
    </row>
    <row r="23018" s="101" customFormat="1" spans="6:6">
      <c r="F23018" s="2423"/>
    </row>
    <row r="23019" s="101" customFormat="1" spans="6:6">
      <c r="F23019" s="2423"/>
    </row>
    <row r="23020" s="101" customFormat="1" spans="6:6">
      <c r="F23020" s="2423"/>
    </row>
    <row r="23021" s="101" customFormat="1" spans="6:6">
      <c r="F23021" s="2423"/>
    </row>
    <row r="23022" s="101" customFormat="1" spans="6:6">
      <c r="F23022" s="2423"/>
    </row>
    <row r="23023" s="101" customFormat="1" spans="6:6">
      <c r="F23023" s="2423"/>
    </row>
    <row r="23024" s="101" customFormat="1" spans="6:6">
      <c r="F23024" s="2423"/>
    </row>
    <row r="23025" s="101" customFormat="1" spans="6:6">
      <c r="F23025" s="2423"/>
    </row>
    <row r="23026" s="101" customFormat="1" spans="6:6">
      <c r="F23026" s="2423"/>
    </row>
    <row r="23027" s="101" customFormat="1" spans="6:6">
      <c r="F23027" s="2423"/>
    </row>
    <row r="23028" s="101" customFormat="1" spans="6:6">
      <c r="F23028" s="2423"/>
    </row>
    <row r="23029" s="101" customFormat="1" spans="6:6">
      <c r="F23029" s="2423"/>
    </row>
    <row r="23030" s="101" customFormat="1" spans="6:6">
      <c r="F23030" s="2423"/>
    </row>
    <row r="23031" s="101" customFormat="1" spans="6:6">
      <c r="F23031" s="2423"/>
    </row>
    <row r="23032" s="101" customFormat="1" spans="6:6">
      <c r="F23032" s="2423"/>
    </row>
    <row r="23033" s="101" customFormat="1" spans="6:6">
      <c r="F23033" s="2423"/>
    </row>
    <row r="23034" s="101" customFormat="1" spans="6:6">
      <c r="F23034" s="2423"/>
    </row>
    <row r="23035" s="101" customFormat="1" spans="6:6">
      <c r="F23035" s="2423"/>
    </row>
    <row r="23036" s="101" customFormat="1" spans="6:6">
      <c r="F23036" s="2423"/>
    </row>
    <row r="23037" s="101" customFormat="1" spans="6:6">
      <c r="F23037" s="2423"/>
    </row>
    <row r="23038" s="101" customFormat="1" spans="6:6">
      <c r="F23038" s="2423"/>
    </row>
    <row r="23039" s="101" customFormat="1" spans="6:6">
      <c r="F23039" s="2423"/>
    </row>
    <row r="23040" s="101" customFormat="1" spans="6:6">
      <c r="F23040" s="2423"/>
    </row>
    <row r="23041" s="101" customFormat="1" spans="6:6">
      <c r="F23041" s="2423"/>
    </row>
    <row r="23042" s="101" customFormat="1" spans="6:6">
      <c r="F23042" s="2423"/>
    </row>
    <row r="23043" s="101" customFormat="1" spans="6:6">
      <c r="F23043" s="2423"/>
    </row>
    <row r="23044" s="101" customFormat="1" spans="6:6">
      <c r="F23044" s="2423"/>
    </row>
    <row r="23045" s="101" customFormat="1" spans="6:6">
      <c r="F23045" s="2423"/>
    </row>
    <row r="23046" s="101" customFormat="1" spans="6:6">
      <c r="F23046" s="2423"/>
    </row>
    <row r="23047" s="101" customFormat="1" spans="6:6">
      <c r="F23047" s="2423"/>
    </row>
    <row r="23048" s="101" customFormat="1" spans="6:6">
      <c r="F23048" s="2423"/>
    </row>
    <row r="23049" s="101" customFormat="1" spans="6:6">
      <c r="F23049" s="2423"/>
    </row>
    <row r="23050" s="101" customFormat="1" spans="6:6">
      <c r="F23050" s="2423"/>
    </row>
    <row r="23051" s="101" customFormat="1" spans="6:6">
      <c r="F23051" s="2423"/>
    </row>
    <row r="23052" s="101" customFormat="1" spans="6:6">
      <c r="F23052" s="2423"/>
    </row>
    <row r="23053" s="101" customFormat="1" spans="6:6">
      <c r="F23053" s="2423"/>
    </row>
    <row r="23054" s="101" customFormat="1" spans="6:6">
      <c r="F23054" s="2423"/>
    </row>
    <row r="23055" s="101" customFormat="1" spans="6:6">
      <c r="F23055" s="2423"/>
    </row>
    <row r="23056" s="101" customFormat="1" spans="6:6">
      <c r="F23056" s="2423"/>
    </row>
    <row r="23057" s="101" customFormat="1" spans="6:6">
      <c r="F23057" s="2423"/>
    </row>
    <row r="23058" s="101" customFormat="1" spans="6:6">
      <c r="F23058" s="2423"/>
    </row>
    <row r="23059" s="101" customFormat="1" spans="6:6">
      <c r="F23059" s="2423"/>
    </row>
    <row r="23060" s="101" customFormat="1" spans="6:6">
      <c r="F23060" s="2423"/>
    </row>
    <row r="23061" s="101" customFormat="1" spans="6:6">
      <c r="F23061" s="2423"/>
    </row>
    <row r="23062" s="101" customFormat="1" spans="6:6">
      <c r="F23062" s="2423"/>
    </row>
    <row r="23063" s="101" customFormat="1" spans="6:6">
      <c r="F23063" s="2423"/>
    </row>
    <row r="23064" s="101" customFormat="1" spans="6:6">
      <c r="F23064" s="2423"/>
    </row>
    <row r="23065" s="101" customFormat="1" spans="6:6">
      <c r="F23065" s="2423"/>
    </row>
    <row r="23066" s="101" customFormat="1" spans="6:6">
      <c r="F23066" s="2423"/>
    </row>
    <row r="23067" s="101" customFormat="1" spans="6:6">
      <c r="F23067" s="2423"/>
    </row>
    <row r="23068" s="101" customFormat="1" spans="6:6">
      <c r="F23068" s="2423"/>
    </row>
    <row r="23069" s="101" customFormat="1" spans="6:6">
      <c r="F23069" s="2423"/>
    </row>
    <row r="23070" s="101" customFormat="1" spans="6:6">
      <c r="F23070" s="2423"/>
    </row>
    <row r="23071" s="101" customFormat="1" spans="6:6">
      <c r="F23071" s="2423"/>
    </row>
    <row r="23072" s="101" customFormat="1" spans="6:6">
      <c r="F23072" s="2423"/>
    </row>
    <row r="23073" s="101" customFormat="1" spans="6:6">
      <c r="F23073" s="2423"/>
    </row>
    <row r="23074" s="101" customFormat="1" spans="6:6">
      <c r="F23074" s="2423"/>
    </row>
    <row r="23075" s="101" customFormat="1" spans="6:6">
      <c r="F23075" s="2423"/>
    </row>
    <row r="23076" s="101" customFormat="1" spans="6:6">
      <c r="F23076" s="2423"/>
    </row>
    <row r="23077" s="101" customFormat="1" spans="6:6">
      <c r="F23077" s="2423"/>
    </row>
    <row r="23078" s="101" customFormat="1" spans="6:6">
      <c r="F23078" s="2423"/>
    </row>
    <row r="23079" s="101" customFormat="1" spans="6:6">
      <c r="F23079" s="2423"/>
    </row>
    <row r="23080" s="101" customFormat="1" spans="6:6">
      <c r="F23080" s="2423"/>
    </row>
    <row r="23081" s="101" customFormat="1" spans="6:6">
      <c r="F23081" s="2423"/>
    </row>
    <row r="23082" s="101" customFormat="1" spans="6:6">
      <c r="F23082" s="2423"/>
    </row>
    <row r="23083" s="101" customFormat="1" spans="6:6">
      <c r="F23083" s="2423"/>
    </row>
    <row r="23084" s="101" customFormat="1" spans="6:6">
      <c r="F23084" s="2423"/>
    </row>
    <row r="23085" s="101" customFormat="1" spans="6:6">
      <c r="F23085" s="2423"/>
    </row>
    <row r="23086" s="101" customFormat="1" spans="6:6">
      <c r="F23086" s="2423"/>
    </row>
    <row r="23087" s="101" customFormat="1" spans="6:6">
      <c r="F23087" s="2423"/>
    </row>
    <row r="23088" s="101" customFormat="1" spans="6:6">
      <c r="F23088" s="2423"/>
    </row>
    <row r="23089" s="101" customFormat="1" spans="6:6">
      <c r="F23089" s="2423"/>
    </row>
    <row r="23090" s="101" customFormat="1" spans="6:6">
      <c r="F23090" s="2423"/>
    </row>
    <row r="23091" s="101" customFormat="1" spans="6:6">
      <c r="F23091" s="2423"/>
    </row>
    <row r="23092" s="101" customFormat="1" spans="6:6">
      <c r="F23092" s="2423"/>
    </row>
    <row r="23093" s="101" customFormat="1" spans="6:6">
      <c r="F23093" s="2423"/>
    </row>
    <row r="23094" s="101" customFormat="1" spans="6:6">
      <c r="F23094" s="2423"/>
    </row>
    <row r="23095" s="101" customFormat="1" spans="6:6">
      <c r="F23095" s="2423"/>
    </row>
    <row r="23096" s="101" customFormat="1" spans="6:6">
      <c r="F23096" s="2423"/>
    </row>
    <row r="23097" s="101" customFormat="1" spans="6:6">
      <c r="F23097" s="2423"/>
    </row>
    <row r="23098" s="101" customFormat="1" spans="6:6">
      <c r="F23098" s="2423"/>
    </row>
    <row r="23099" s="101" customFormat="1" spans="6:6">
      <c r="F23099" s="2423"/>
    </row>
    <row r="23100" s="101" customFormat="1" spans="6:6">
      <c r="F23100" s="2423"/>
    </row>
    <row r="23101" s="101" customFormat="1" spans="6:6">
      <c r="F23101" s="2423"/>
    </row>
    <row r="23102" s="101" customFormat="1" spans="6:6">
      <c r="F23102" s="2423"/>
    </row>
    <row r="23103" s="101" customFormat="1" spans="6:6">
      <c r="F23103" s="2423"/>
    </row>
    <row r="23104" s="101" customFormat="1" spans="6:6">
      <c r="F23104" s="2423"/>
    </row>
    <row r="23105" s="101" customFormat="1" spans="6:6">
      <c r="F23105" s="2423"/>
    </row>
    <row r="23106" s="101" customFormat="1" spans="6:6">
      <c r="F23106" s="2423"/>
    </row>
    <row r="23107" s="101" customFormat="1" spans="6:6">
      <c r="F23107" s="2423"/>
    </row>
    <row r="23108" s="101" customFormat="1" spans="6:6">
      <c r="F23108" s="2423"/>
    </row>
    <row r="23109" s="101" customFormat="1" spans="6:6">
      <c r="F23109" s="2423"/>
    </row>
    <row r="23110" s="101" customFormat="1" spans="6:6">
      <c r="F23110" s="2423"/>
    </row>
    <row r="23111" s="101" customFormat="1" spans="6:6">
      <c r="F23111" s="2423"/>
    </row>
    <row r="23112" s="101" customFormat="1" spans="6:6">
      <c r="F23112" s="2423"/>
    </row>
    <row r="23113" s="101" customFormat="1" spans="6:6">
      <c r="F23113" s="2423"/>
    </row>
    <row r="23114" s="101" customFormat="1" spans="6:6">
      <c r="F23114" s="2423"/>
    </row>
    <row r="23115" s="101" customFormat="1" spans="6:6">
      <c r="F23115" s="2423"/>
    </row>
    <row r="23116" s="101" customFormat="1" spans="6:6">
      <c r="F23116" s="2423"/>
    </row>
    <row r="23117" s="101" customFormat="1" spans="6:6">
      <c r="F23117" s="2423"/>
    </row>
    <row r="23118" s="101" customFormat="1" spans="6:6">
      <c r="F23118" s="2423"/>
    </row>
    <row r="23119" s="101" customFormat="1" spans="6:6">
      <c r="F23119" s="2423"/>
    </row>
    <row r="23120" s="101" customFormat="1" spans="6:6">
      <c r="F23120" s="2423"/>
    </row>
    <row r="23121" s="101" customFormat="1" spans="6:6">
      <c r="F23121" s="2423"/>
    </row>
    <row r="23122" s="101" customFormat="1" spans="6:6">
      <c r="F23122" s="2423"/>
    </row>
    <row r="23123" s="101" customFormat="1" spans="6:6">
      <c r="F23123" s="2423"/>
    </row>
    <row r="23124" s="101" customFormat="1" spans="6:6">
      <c r="F23124" s="2423"/>
    </row>
    <row r="23125" s="101" customFormat="1" spans="6:6">
      <c r="F23125" s="2423"/>
    </row>
    <row r="23126" s="101" customFormat="1" spans="6:6">
      <c r="F23126" s="2423"/>
    </row>
    <row r="23127" s="101" customFormat="1" spans="6:6">
      <c r="F23127" s="2423"/>
    </row>
    <row r="23128" s="101" customFormat="1" spans="6:6">
      <c r="F23128" s="2423"/>
    </row>
    <row r="23129" s="101" customFormat="1" spans="6:6">
      <c r="F23129" s="2423"/>
    </row>
    <row r="23130" s="101" customFormat="1" spans="6:6">
      <c r="F23130" s="2423"/>
    </row>
    <row r="23131" s="101" customFormat="1" spans="6:6">
      <c r="F23131" s="2423"/>
    </row>
    <row r="23132" s="101" customFormat="1" spans="6:6">
      <c r="F23132" s="2423"/>
    </row>
    <row r="23133" s="101" customFormat="1" spans="6:6">
      <c r="F23133" s="2423"/>
    </row>
    <row r="23134" s="101" customFormat="1" spans="6:6">
      <c r="F23134" s="2423"/>
    </row>
    <row r="23135" s="101" customFormat="1" spans="6:6">
      <c r="F23135" s="2423"/>
    </row>
    <row r="23136" s="101" customFormat="1" spans="6:6">
      <c r="F23136" s="2423"/>
    </row>
    <row r="23137" s="101" customFormat="1" spans="6:6">
      <c r="F23137" s="2423"/>
    </row>
    <row r="23138" s="101" customFormat="1" spans="6:6">
      <c r="F23138" s="2423"/>
    </row>
    <row r="23139" s="101" customFormat="1" spans="6:6">
      <c r="F23139" s="2423"/>
    </row>
    <row r="23140" s="101" customFormat="1" spans="6:6">
      <c r="F23140" s="2423"/>
    </row>
    <row r="23141" s="101" customFormat="1" spans="6:6">
      <c r="F23141" s="2423"/>
    </row>
    <row r="23142" s="101" customFormat="1" spans="6:6">
      <c r="F23142" s="2423"/>
    </row>
    <row r="23143" s="101" customFormat="1" spans="6:6">
      <c r="F23143" s="2423"/>
    </row>
    <row r="23144" s="101" customFormat="1" spans="6:6">
      <c r="F23144" s="2423"/>
    </row>
    <row r="23145" s="101" customFormat="1" spans="6:6">
      <c r="F23145" s="2423"/>
    </row>
    <row r="23146" s="101" customFormat="1" spans="6:6">
      <c r="F23146" s="2423"/>
    </row>
    <row r="23147" s="101" customFormat="1" spans="6:6">
      <c r="F23147" s="2423"/>
    </row>
    <row r="23148" s="101" customFormat="1" spans="6:6">
      <c r="F23148" s="2423"/>
    </row>
    <row r="23149" s="101" customFormat="1" spans="6:6">
      <c r="F23149" s="2423"/>
    </row>
    <row r="23150" s="101" customFormat="1" spans="6:6">
      <c r="F23150" s="2423"/>
    </row>
    <row r="23151" s="101" customFormat="1" spans="6:6">
      <c r="F23151" s="2423"/>
    </row>
    <row r="23152" s="101" customFormat="1" spans="6:6">
      <c r="F23152" s="2423"/>
    </row>
    <row r="23153" s="101" customFormat="1" spans="6:6">
      <c r="F23153" s="2423"/>
    </row>
    <row r="23154" s="101" customFormat="1" spans="6:6">
      <c r="F23154" s="2423"/>
    </row>
    <row r="23155" s="101" customFormat="1" spans="6:6">
      <c r="F23155" s="2423"/>
    </row>
    <row r="23156" s="101" customFormat="1" spans="6:6">
      <c r="F23156" s="2423"/>
    </row>
    <row r="23157" s="101" customFormat="1" spans="6:6">
      <c r="F23157" s="2423"/>
    </row>
    <row r="23158" s="101" customFormat="1" spans="6:6">
      <c r="F23158" s="2423"/>
    </row>
    <row r="23159" s="101" customFormat="1" spans="6:6">
      <c r="F23159" s="2423"/>
    </row>
    <row r="23160" s="101" customFormat="1" spans="6:6">
      <c r="F23160" s="2423"/>
    </row>
    <row r="23161" s="101" customFormat="1" spans="6:6">
      <c r="F23161" s="2423"/>
    </row>
    <row r="23162" s="101" customFormat="1" spans="6:6">
      <c r="F23162" s="2423"/>
    </row>
    <row r="23163" s="101" customFormat="1" spans="6:6">
      <c r="F23163" s="2423"/>
    </row>
    <row r="23164" s="101" customFormat="1" spans="6:6">
      <c r="F23164" s="2423"/>
    </row>
    <row r="23165" s="101" customFormat="1" spans="6:6">
      <c r="F23165" s="2423"/>
    </row>
    <row r="23166" s="101" customFormat="1" spans="6:6">
      <c r="F23166" s="2423"/>
    </row>
    <row r="23167" s="101" customFormat="1" spans="6:6">
      <c r="F23167" s="2423"/>
    </row>
    <row r="23168" s="101" customFormat="1" spans="6:6">
      <c r="F23168" s="2423"/>
    </row>
    <row r="23169" s="101" customFormat="1" spans="6:6">
      <c r="F23169" s="2423"/>
    </row>
    <row r="23170" s="101" customFormat="1" spans="6:6">
      <c r="F23170" s="2423"/>
    </row>
    <row r="23171" s="101" customFormat="1" spans="6:6">
      <c r="F23171" s="2423"/>
    </row>
    <row r="23172" s="101" customFormat="1" spans="6:6">
      <c r="F23172" s="2423"/>
    </row>
    <row r="23173" s="101" customFormat="1" spans="6:6">
      <c r="F23173" s="2423"/>
    </row>
    <row r="23174" s="101" customFormat="1" spans="6:6">
      <c r="F23174" s="2423"/>
    </row>
    <row r="23175" s="101" customFormat="1" spans="6:6">
      <c r="F23175" s="2423"/>
    </row>
    <row r="23176" s="101" customFormat="1" spans="6:6">
      <c r="F23176" s="2423"/>
    </row>
    <row r="23177" s="101" customFormat="1" spans="6:6">
      <c r="F23177" s="2423"/>
    </row>
    <row r="23178" s="101" customFormat="1" spans="6:6">
      <c r="F23178" s="2423"/>
    </row>
    <row r="23179" s="101" customFormat="1" spans="6:6">
      <c r="F23179" s="2423"/>
    </row>
    <row r="23180" s="101" customFormat="1" spans="6:6">
      <c r="F23180" s="2423"/>
    </row>
    <row r="23181" s="101" customFormat="1" spans="6:6">
      <c r="F23181" s="2423"/>
    </row>
    <row r="23182" s="101" customFormat="1" spans="6:6">
      <c r="F23182" s="2423"/>
    </row>
    <row r="23183" s="101" customFormat="1" spans="6:6">
      <c r="F23183" s="2423"/>
    </row>
    <row r="23184" s="101" customFormat="1" spans="6:6">
      <c r="F23184" s="2423"/>
    </row>
    <row r="23185" s="101" customFormat="1" spans="6:6">
      <c r="F23185" s="2423"/>
    </row>
    <row r="23186" s="101" customFormat="1" spans="6:6">
      <c r="F23186" s="2423"/>
    </row>
    <row r="23187" s="101" customFormat="1" spans="6:6">
      <c r="F23187" s="2423"/>
    </row>
    <row r="23188" s="101" customFormat="1" spans="6:6">
      <c r="F23188" s="2423"/>
    </row>
    <row r="23189" s="101" customFormat="1" spans="6:6">
      <c r="F23189" s="2423"/>
    </row>
    <row r="23190" s="101" customFormat="1" spans="6:6">
      <c r="F23190" s="2423"/>
    </row>
    <row r="23191" s="101" customFormat="1" spans="6:6">
      <c r="F23191" s="2423"/>
    </row>
    <row r="23192" s="101" customFormat="1" spans="6:6">
      <c r="F23192" s="2423"/>
    </row>
    <row r="23193" s="101" customFormat="1" spans="6:6">
      <c r="F23193" s="2423"/>
    </row>
    <row r="23194" s="101" customFormat="1" spans="6:6">
      <c r="F23194" s="2423"/>
    </row>
    <row r="23195" s="101" customFormat="1" spans="6:6">
      <c r="F23195" s="2423"/>
    </row>
    <row r="23196" s="101" customFormat="1" spans="6:6">
      <c r="F23196" s="2423"/>
    </row>
    <row r="23197" s="101" customFormat="1" spans="6:6">
      <c r="F23197" s="2423"/>
    </row>
    <row r="23198" s="101" customFormat="1" spans="6:6">
      <c r="F23198" s="2423"/>
    </row>
    <row r="23199" s="101" customFormat="1" spans="6:6">
      <c r="F23199" s="2423"/>
    </row>
    <row r="23200" s="101" customFormat="1" spans="6:6">
      <c r="F23200" s="2423"/>
    </row>
    <row r="23201" s="101" customFormat="1" spans="6:6">
      <c r="F23201" s="2423"/>
    </row>
    <row r="23202" s="101" customFormat="1" spans="6:6">
      <c r="F23202" s="2423"/>
    </row>
    <row r="23203" s="101" customFormat="1" spans="6:6">
      <c r="F23203" s="2423"/>
    </row>
    <row r="23204" s="101" customFormat="1" spans="6:6">
      <c r="F23204" s="2423"/>
    </row>
    <row r="23205" s="101" customFormat="1" spans="6:6">
      <c r="F23205" s="2423"/>
    </row>
    <row r="23206" s="101" customFormat="1" spans="6:6">
      <c r="F23206" s="2423"/>
    </row>
    <row r="23207" s="101" customFormat="1" spans="6:6">
      <c r="F23207" s="2423"/>
    </row>
    <row r="23208" s="101" customFormat="1" spans="6:6">
      <c r="F23208" s="2423"/>
    </row>
    <row r="23209" s="101" customFormat="1" spans="6:6">
      <c r="F23209" s="2423"/>
    </row>
    <row r="23210" s="101" customFormat="1" spans="6:6">
      <c r="F23210" s="2423"/>
    </row>
    <row r="23211" s="101" customFormat="1" spans="6:6">
      <c r="F23211" s="2423"/>
    </row>
    <row r="23212" s="101" customFormat="1" spans="6:6">
      <c r="F23212" s="2423"/>
    </row>
    <row r="23213" s="101" customFormat="1" spans="6:6">
      <c r="F23213" s="2423"/>
    </row>
    <row r="23214" s="101" customFormat="1" spans="6:6">
      <c r="F23214" s="2423"/>
    </row>
    <row r="23215" s="101" customFormat="1" spans="6:6">
      <c r="F23215" s="2423"/>
    </row>
    <row r="23216" s="101" customFormat="1" spans="6:6">
      <c r="F23216" s="2423"/>
    </row>
    <row r="23217" s="101" customFormat="1" spans="6:6">
      <c r="F23217" s="2423"/>
    </row>
    <row r="23218" s="101" customFormat="1" spans="6:6">
      <c r="F23218" s="2423"/>
    </row>
    <row r="23219" s="101" customFormat="1" spans="6:6">
      <c r="F23219" s="2423"/>
    </row>
    <row r="23220" s="101" customFormat="1" spans="6:6">
      <c r="F23220" s="2423"/>
    </row>
    <row r="23221" s="101" customFormat="1" spans="6:6">
      <c r="F23221" s="2423"/>
    </row>
    <row r="23222" s="101" customFormat="1" spans="6:6">
      <c r="F23222" s="2423"/>
    </row>
    <row r="23223" s="101" customFormat="1" spans="6:6">
      <c r="F23223" s="2423"/>
    </row>
    <row r="23224" s="101" customFormat="1" spans="6:6">
      <c r="F23224" s="2423"/>
    </row>
    <row r="23225" s="101" customFormat="1" spans="6:6">
      <c r="F23225" s="2423"/>
    </row>
    <row r="23226" s="101" customFormat="1" spans="6:6">
      <c r="F23226" s="2423"/>
    </row>
    <row r="23227" s="101" customFormat="1" spans="6:6">
      <c r="F23227" s="2423"/>
    </row>
    <row r="23228" s="101" customFormat="1" spans="6:6">
      <c r="F23228" s="2423"/>
    </row>
    <row r="23229" s="101" customFormat="1" spans="6:6">
      <c r="F23229" s="2423"/>
    </row>
    <row r="23230" s="101" customFormat="1" spans="6:6">
      <c r="F23230" s="2423"/>
    </row>
    <row r="23231" s="101" customFormat="1" spans="6:6">
      <c r="F23231" s="2423"/>
    </row>
    <row r="23232" s="101" customFormat="1" spans="6:6">
      <c r="F23232" s="2423"/>
    </row>
    <row r="23233" s="101" customFormat="1" spans="6:6">
      <c r="F23233" s="2423"/>
    </row>
    <row r="23234" s="101" customFormat="1" spans="6:6">
      <c r="F23234" s="2423"/>
    </row>
    <row r="23235" s="101" customFormat="1" spans="6:6">
      <c r="F23235" s="2423"/>
    </row>
    <row r="23236" s="101" customFormat="1" spans="6:6">
      <c r="F23236" s="2423"/>
    </row>
    <row r="23237" s="101" customFormat="1" spans="6:6">
      <c r="F23237" s="2423"/>
    </row>
    <row r="23238" s="101" customFormat="1" spans="6:6">
      <c r="F23238" s="2423"/>
    </row>
    <row r="23239" s="101" customFormat="1" spans="6:6">
      <c r="F23239" s="2423"/>
    </row>
    <row r="23240" s="101" customFormat="1" spans="6:6">
      <c r="F23240" s="2423"/>
    </row>
    <row r="23241" s="101" customFormat="1" spans="6:6">
      <c r="F23241" s="2423"/>
    </row>
    <row r="23242" s="101" customFormat="1" spans="6:6">
      <c r="F23242" s="2423"/>
    </row>
    <row r="23243" s="101" customFormat="1" spans="6:6">
      <c r="F23243" s="2423"/>
    </row>
    <row r="23244" s="101" customFormat="1" spans="6:6">
      <c r="F23244" s="2423"/>
    </row>
    <row r="23245" s="101" customFormat="1" spans="6:6">
      <c r="F23245" s="2423"/>
    </row>
    <row r="23246" s="101" customFormat="1" spans="6:6">
      <c r="F23246" s="2423"/>
    </row>
    <row r="23247" s="101" customFormat="1" spans="6:6">
      <c r="F23247" s="2423"/>
    </row>
    <row r="23248" s="101" customFormat="1" spans="6:6">
      <c r="F23248" s="2423"/>
    </row>
    <row r="23249" s="101" customFormat="1" spans="6:6">
      <c r="F23249" s="2423"/>
    </row>
    <row r="23250" s="101" customFormat="1" spans="6:6">
      <c r="F23250" s="2423"/>
    </row>
    <row r="23251" s="101" customFormat="1" spans="6:6">
      <c r="F23251" s="2423"/>
    </row>
    <row r="23252" s="101" customFormat="1" spans="6:6">
      <c r="F23252" s="2423"/>
    </row>
    <row r="23253" s="101" customFormat="1" spans="6:6">
      <c r="F23253" s="2423"/>
    </row>
    <row r="23254" s="101" customFormat="1" spans="6:6">
      <c r="F23254" s="2423"/>
    </row>
    <row r="23255" s="101" customFormat="1" spans="6:6">
      <c r="F23255" s="2423"/>
    </row>
    <row r="23256" s="101" customFormat="1" spans="6:6">
      <c r="F23256" s="2423"/>
    </row>
    <row r="23257" s="101" customFormat="1" spans="6:6">
      <c r="F23257" s="2423"/>
    </row>
    <row r="23258" s="101" customFormat="1" spans="6:6">
      <c r="F23258" s="2423"/>
    </row>
    <row r="23259" s="101" customFormat="1" spans="6:6">
      <c r="F23259" s="2423"/>
    </row>
    <row r="23260" s="101" customFormat="1" spans="6:6">
      <c r="F23260" s="2423"/>
    </row>
    <row r="23261" s="101" customFormat="1" spans="6:6">
      <c r="F23261" s="2423"/>
    </row>
    <row r="23262" s="101" customFormat="1" spans="6:6">
      <c r="F23262" s="2423"/>
    </row>
    <row r="23263" s="101" customFormat="1" spans="6:6">
      <c r="F23263" s="2423"/>
    </row>
    <row r="23264" s="101" customFormat="1" spans="6:6">
      <c r="F23264" s="2423"/>
    </row>
    <row r="23265" s="101" customFormat="1" spans="6:6">
      <c r="F23265" s="2423"/>
    </row>
    <row r="23266" s="101" customFormat="1" spans="6:6">
      <c r="F23266" s="2423"/>
    </row>
    <row r="23267" s="101" customFormat="1" spans="6:6">
      <c r="F23267" s="2423"/>
    </row>
    <row r="23268" s="101" customFormat="1" spans="6:6">
      <c r="F23268" s="2423"/>
    </row>
    <row r="23269" s="101" customFormat="1" spans="6:6">
      <c r="F23269" s="2423"/>
    </row>
    <row r="23270" s="101" customFormat="1" spans="6:6">
      <c r="F23270" s="2423"/>
    </row>
    <row r="23271" s="101" customFormat="1" spans="6:6">
      <c r="F23271" s="2423"/>
    </row>
    <row r="23272" s="101" customFormat="1" spans="6:6">
      <c r="F23272" s="2423"/>
    </row>
    <row r="23273" s="101" customFormat="1" spans="6:6">
      <c r="F23273" s="2423"/>
    </row>
    <row r="23274" s="101" customFormat="1" spans="6:6">
      <c r="F23274" s="2423"/>
    </row>
    <row r="23275" s="101" customFormat="1" spans="6:6">
      <c r="F23275" s="2423"/>
    </row>
    <row r="23276" s="101" customFormat="1" spans="6:6">
      <c r="F23276" s="2423"/>
    </row>
    <row r="23277" s="101" customFormat="1" spans="6:6">
      <c r="F23277" s="2423"/>
    </row>
    <row r="23278" s="101" customFormat="1" spans="6:6">
      <c r="F23278" s="2423"/>
    </row>
    <row r="23279" s="101" customFormat="1" spans="6:6">
      <c r="F23279" s="2423"/>
    </row>
    <row r="23280" s="101" customFormat="1" spans="6:6">
      <c r="F23280" s="2423"/>
    </row>
    <row r="23281" s="101" customFormat="1" spans="6:6">
      <c r="F23281" s="2423"/>
    </row>
    <row r="23282" s="101" customFormat="1" spans="6:6">
      <c r="F23282" s="2423"/>
    </row>
    <row r="23283" s="101" customFormat="1" spans="6:6">
      <c r="F23283" s="2423"/>
    </row>
    <row r="23284" s="101" customFormat="1" spans="6:6">
      <c r="F23284" s="2423"/>
    </row>
    <row r="23285" s="101" customFormat="1" spans="6:6">
      <c r="F23285" s="2423"/>
    </row>
    <row r="23286" s="101" customFormat="1" spans="6:6">
      <c r="F23286" s="2423"/>
    </row>
    <row r="23287" s="101" customFormat="1" spans="6:6">
      <c r="F23287" s="2423"/>
    </row>
    <row r="23288" s="101" customFormat="1" spans="6:6">
      <c r="F23288" s="2423"/>
    </row>
    <row r="23289" s="101" customFormat="1" spans="6:6">
      <c r="F23289" s="2423"/>
    </row>
    <row r="23290" s="101" customFormat="1" spans="6:6">
      <c r="F23290" s="2423"/>
    </row>
    <row r="23291" s="101" customFormat="1" spans="6:6">
      <c r="F23291" s="2423"/>
    </row>
    <row r="23292" s="101" customFormat="1" spans="6:6">
      <c r="F23292" s="2423"/>
    </row>
    <row r="23293" s="101" customFormat="1" spans="6:6">
      <c r="F23293" s="2423"/>
    </row>
    <row r="23294" s="101" customFormat="1" spans="6:6">
      <c r="F23294" s="2423"/>
    </row>
    <row r="23295" s="101" customFormat="1" spans="6:6">
      <c r="F23295" s="2423"/>
    </row>
    <row r="23296" s="101" customFormat="1" spans="6:6">
      <c r="F23296" s="2423"/>
    </row>
    <row r="23297" s="101" customFormat="1" spans="6:6">
      <c r="F23297" s="2423"/>
    </row>
    <row r="23298" s="101" customFormat="1" spans="6:6">
      <c r="F23298" s="2423"/>
    </row>
    <row r="23299" s="101" customFormat="1" spans="6:6">
      <c r="F23299" s="2423"/>
    </row>
    <row r="23300" s="101" customFormat="1" spans="6:6">
      <c r="F23300" s="2423"/>
    </row>
    <row r="23301" s="101" customFormat="1" spans="6:6">
      <c r="F23301" s="2423"/>
    </row>
    <row r="23302" s="101" customFormat="1" spans="6:6">
      <c r="F23302" s="2423"/>
    </row>
    <row r="23303" s="101" customFormat="1" spans="6:6">
      <c r="F23303" s="2423"/>
    </row>
    <row r="23304" s="101" customFormat="1" spans="6:6">
      <c r="F23304" s="2423"/>
    </row>
    <row r="23305" s="101" customFormat="1" spans="6:6">
      <c r="F23305" s="2423"/>
    </row>
    <row r="23306" s="101" customFormat="1" spans="6:6">
      <c r="F23306" s="2423"/>
    </row>
    <row r="23307" s="101" customFormat="1" spans="6:6">
      <c r="F23307" s="2423"/>
    </row>
    <row r="23308" s="101" customFormat="1" spans="6:6">
      <c r="F23308" s="2423"/>
    </row>
    <row r="23309" s="101" customFormat="1" spans="6:6">
      <c r="F23309" s="2423"/>
    </row>
    <row r="23310" s="101" customFormat="1" spans="6:6">
      <c r="F23310" s="2423"/>
    </row>
    <row r="23311" s="101" customFormat="1" spans="6:6">
      <c r="F23311" s="2423"/>
    </row>
    <row r="23312" s="101" customFormat="1" spans="6:6">
      <c r="F23312" s="2423"/>
    </row>
    <row r="23313" s="101" customFormat="1" spans="6:6">
      <c r="F23313" s="2423"/>
    </row>
    <row r="23314" s="101" customFormat="1" spans="6:6">
      <c r="F23314" s="2423"/>
    </row>
    <row r="23315" s="101" customFormat="1" spans="6:6">
      <c r="F23315" s="2423"/>
    </row>
    <row r="23316" s="101" customFormat="1" spans="6:6">
      <c r="F23316" s="2423"/>
    </row>
    <row r="23317" s="101" customFormat="1" spans="6:6">
      <c r="F23317" s="2423"/>
    </row>
    <row r="23318" s="101" customFormat="1" spans="6:6">
      <c r="F23318" s="2423"/>
    </row>
    <row r="23319" s="101" customFormat="1" spans="6:6">
      <c r="F23319" s="2423"/>
    </row>
    <row r="23320" s="101" customFormat="1" spans="6:6">
      <c r="F23320" s="2423"/>
    </row>
    <row r="23321" s="101" customFormat="1" spans="6:6">
      <c r="F23321" s="2423"/>
    </row>
    <row r="23322" s="101" customFormat="1" spans="6:6">
      <c r="F23322" s="2423"/>
    </row>
    <row r="23323" s="101" customFormat="1" spans="6:6">
      <c r="F23323" s="2423"/>
    </row>
    <row r="23324" s="101" customFormat="1" spans="6:6">
      <c r="F23324" s="2423"/>
    </row>
    <row r="23325" s="101" customFormat="1" spans="6:6">
      <c r="F23325" s="2423"/>
    </row>
    <row r="23326" s="101" customFormat="1" spans="6:6">
      <c r="F23326" s="2423"/>
    </row>
    <row r="23327" s="101" customFormat="1" spans="6:6">
      <c r="F23327" s="2423"/>
    </row>
    <row r="23328" s="101" customFormat="1" spans="6:6">
      <c r="F23328" s="2423"/>
    </row>
    <row r="23329" s="101" customFormat="1" spans="6:6">
      <c r="F23329" s="2423"/>
    </row>
    <row r="23330" s="101" customFormat="1" spans="6:6">
      <c r="F23330" s="2423"/>
    </row>
    <row r="23331" s="101" customFormat="1" spans="6:6">
      <c r="F23331" s="2423"/>
    </row>
    <row r="23332" s="101" customFormat="1" spans="6:6">
      <c r="F23332" s="2423"/>
    </row>
    <row r="23333" s="101" customFormat="1" spans="6:6">
      <c r="F23333" s="2423"/>
    </row>
    <row r="23334" s="101" customFormat="1" spans="6:6">
      <c r="F23334" s="2423"/>
    </row>
    <row r="23335" s="101" customFormat="1" spans="6:6">
      <c r="F23335" s="2423"/>
    </row>
    <row r="23336" s="101" customFormat="1" spans="6:6">
      <c r="F23336" s="2423"/>
    </row>
    <row r="23337" s="101" customFormat="1" spans="6:6">
      <c r="F23337" s="2423"/>
    </row>
    <row r="23338" s="101" customFormat="1" spans="6:6">
      <c r="F23338" s="2423"/>
    </row>
    <row r="23339" s="101" customFormat="1" spans="6:6">
      <c r="F23339" s="2423"/>
    </row>
    <row r="23340" s="101" customFormat="1" spans="6:6">
      <c r="F23340" s="2423"/>
    </row>
    <row r="23341" s="101" customFormat="1" spans="6:6">
      <c r="F23341" s="2423"/>
    </row>
    <row r="23342" s="101" customFormat="1" spans="6:6">
      <c r="F23342" s="2423"/>
    </row>
    <row r="23343" s="101" customFormat="1" spans="6:6">
      <c r="F23343" s="2423"/>
    </row>
    <row r="23344" s="101" customFormat="1" spans="6:6">
      <c r="F23344" s="2423"/>
    </row>
    <row r="23345" s="101" customFormat="1" spans="6:6">
      <c r="F23345" s="2423"/>
    </row>
    <row r="23346" s="101" customFormat="1" spans="6:6">
      <c r="F23346" s="2423"/>
    </row>
    <row r="23347" s="101" customFormat="1" spans="6:6">
      <c r="F23347" s="2423"/>
    </row>
    <row r="23348" s="101" customFormat="1" spans="6:6">
      <c r="F23348" s="2423"/>
    </row>
    <row r="23349" s="101" customFormat="1" spans="6:6">
      <c r="F23349" s="2423"/>
    </row>
    <row r="23350" s="101" customFormat="1" spans="6:6">
      <c r="F23350" s="2423"/>
    </row>
    <row r="23351" s="101" customFormat="1" spans="6:6">
      <c r="F23351" s="2423"/>
    </row>
    <row r="23352" s="101" customFormat="1" spans="6:6">
      <c r="F23352" s="2423"/>
    </row>
    <row r="23353" s="101" customFormat="1" spans="6:6">
      <c r="F23353" s="2423"/>
    </row>
    <row r="23354" s="101" customFormat="1" spans="6:6">
      <c r="F23354" s="2423"/>
    </row>
    <row r="23355" s="101" customFormat="1" spans="6:6">
      <c r="F23355" s="2423"/>
    </row>
    <row r="23356" s="101" customFormat="1" spans="6:6">
      <c r="F23356" s="2423"/>
    </row>
    <row r="23357" s="101" customFormat="1" spans="6:6">
      <c r="F23357" s="2423"/>
    </row>
    <row r="23358" s="101" customFormat="1" spans="6:6">
      <c r="F23358" s="2423"/>
    </row>
    <row r="23359" s="101" customFormat="1" spans="6:6">
      <c r="F23359" s="2423"/>
    </row>
    <row r="23360" s="101" customFormat="1" spans="6:6">
      <c r="F23360" s="2423"/>
    </row>
    <row r="23361" s="101" customFormat="1" spans="6:6">
      <c r="F23361" s="2423"/>
    </row>
    <row r="23362" s="101" customFormat="1" spans="6:6">
      <c r="F23362" s="2423"/>
    </row>
    <row r="23363" s="101" customFormat="1" spans="6:6">
      <c r="F23363" s="2423"/>
    </row>
    <row r="23364" s="101" customFormat="1" spans="6:6">
      <c r="F23364" s="2423"/>
    </row>
    <row r="23365" s="101" customFormat="1" spans="6:6">
      <c r="F23365" s="2423"/>
    </row>
    <row r="23366" s="101" customFormat="1" spans="6:6">
      <c r="F23366" s="2423"/>
    </row>
    <row r="23367" s="101" customFormat="1" spans="6:6">
      <c r="F23367" s="2423"/>
    </row>
    <row r="23368" s="101" customFormat="1" spans="6:6">
      <c r="F23368" s="2423"/>
    </row>
    <row r="23369" s="101" customFormat="1" spans="6:6">
      <c r="F23369" s="2423"/>
    </row>
    <row r="23370" s="101" customFormat="1" spans="6:6">
      <c r="F23370" s="2423"/>
    </row>
    <row r="23371" s="101" customFormat="1" spans="6:6">
      <c r="F23371" s="2423"/>
    </row>
    <row r="23372" s="101" customFormat="1" spans="6:6">
      <c r="F23372" s="2423"/>
    </row>
    <row r="23373" s="101" customFormat="1" spans="6:6">
      <c r="F23373" s="2423"/>
    </row>
    <row r="23374" s="101" customFormat="1" spans="6:6">
      <c r="F23374" s="2423"/>
    </row>
    <row r="23375" s="101" customFormat="1" spans="6:6">
      <c r="F23375" s="2423"/>
    </row>
    <row r="23376" s="101" customFormat="1" spans="6:6">
      <c r="F23376" s="2423"/>
    </row>
    <row r="23377" s="101" customFormat="1" spans="6:6">
      <c r="F23377" s="2423"/>
    </row>
    <row r="23378" s="101" customFormat="1" spans="6:6">
      <c r="F23378" s="2423"/>
    </row>
    <row r="23379" s="101" customFormat="1" spans="6:6">
      <c r="F23379" s="2423"/>
    </row>
    <row r="23380" s="101" customFormat="1" spans="6:6">
      <c r="F23380" s="2423"/>
    </row>
    <row r="23381" s="101" customFormat="1" spans="6:6">
      <c r="F23381" s="2423"/>
    </row>
    <row r="23382" s="101" customFormat="1" spans="6:6">
      <c r="F23382" s="2423"/>
    </row>
    <row r="23383" s="101" customFormat="1" spans="6:6">
      <c r="F23383" s="2423"/>
    </row>
    <row r="23384" s="101" customFormat="1" spans="6:6">
      <c r="F23384" s="2423"/>
    </row>
    <row r="23385" s="101" customFormat="1" spans="6:6">
      <c r="F23385" s="2423"/>
    </row>
    <row r="23386" s="101" customFormat="1" spans="6:6">
      <c r="F23386" s="2423"/>
    </row>
    <row r="23387" s="101" customFormat="1" spans="6:6">
      <c r="F23387" s="2423"/>
    </row>
    <row r="23388" s="101" customFormat="1" spans="6:6">
      <c r="F23388" s="2423"/>
    </row>
    <row r="23389" s="101" customFormat="1" spans="6:6">
      <c r="F23389" s="2423"/>
    </row>
    <row r="23390" s="101" customFormat="1" spans="6:6">
      <c r="F23390" s="2423"/>
    </row>
    <row r="23391" s="101" customFormat="1" spans="6:6">
      <c r="F23391" s="2423"/>
    </row>
    <row r="23392" s="101" customFormat="1" spans="6:6">
      <c r="F23392" s="2423"/>
    </row>
    <row r="23393" s="101" customFormat="1" spans="6:6">
      <c r="F23393" s="2423"/>
    </row>
    <row r="23394" s="101" customFormat="1" spans="6:6">
      <c r="F23394" s="2423"/>
    </row>
    <row r="23395" s="101" customFormat="1" spans="6:6">
      <c r="F23395" s="2423"/>
    </row>
    <row r="23396" s="101" customFormat="1" spans="6:6">
      <c r="F23396" s="2423"/>
    </row>
    <row r="23397" s="101" customFormat="1" spans="6:6">
      <c r="F23397" s="2423"/>
    </row>
    <row r="23398" s="101" customFormat="1" spans="6:6">
      <c r="F23398" s="2423"/>
    </row>
    <row r="23399" s="101" customFormat="1" spans="6:6">
      <c r="F23399" s="2423"/>
    </row>
    <row r="23400" s="101" customFormat="1" spans="6:6">
      <c r="F23400" s="2423"/>
    </row>
    <row r="23401" s="101" customFormat="1" spans="6:6">
      <c r="F23401" s="2423"/>
    </row>
    <row r="23402" s="101" customFormat="1" spans="6:6">
      <c r="F23402" s="2423"/>
    </row>
    <row r="23403" s="101" customFormat="1" spans="6:6">
      <c r="F23403" s="2423"/>
    </row>
    <row r="23404" s="101" customFormat="1" spans="6:6">
      <c r="F23404" s="2423"/>
    </row>
    <row r="23405" s="101" customFormat="1" spans="6:6">
      <c r="F23405" s="2423"/>
    </row>
    <row r="23406" s="101" customFormat="1" spans="6:6">
      <c r="F23406" s="2423"/>
    </row>
    <row r="23407" s="101" customFormat="1" spans="6:6">
      <c r="F23407" s="2423"/>
    </row>
    <row r="23408" s="101" customFormat="1" spans="6:6">
      <c r="F23408" s="2423"/>
    </row>
    <row r="23409" s="101" customFormat="1" spans="6:6">
      <c r="F23409" s="2423"/>
    </row>
    <row r="23410" s="101" customFormat="1" spans="6:6">
      <c r="F23410" s="2423"/>
    </row>
    <row r="23411" s="101" customFormat="1" spans="6:6">
      <c r="F23411" s="2423"/>
    </row>
    <row r="23412" s="101" customFormat="1" spans="6:6">
      <c r="F23412" s="2423"/>
    </row>
    <row r="23413" s="101" customFormat="1" spans="6:6">
      <c r="F23413" s="2423"/>
    </row>
    <row r="23414" s="101" customFormat="1" spans="6:6">
      <c r="F23414" s="2423"/>
    </row>
    <row r="23415" s="101" customFormat="1" spans="6:6">
      <c r="F23415" s="2423"/>
    </row>
    <row r="23416" s="101" customFormat="1" spans="6:6">
      <c r="F23416" s="2423"/>
    </row>
    <row r="23417" s="101" customFormat="1" spans="6:6">
      <c r="F23417" s="2423"/>
    </row>
    <row r="23418" s="101" customFormat="1" spans="6:6">
      <c r="F23418" s="2423"/>
    </row>
    <row r="23419" s="101" customFormat="1" spans="6:6">
      <c r="F23419" s="2423"/>
    </row>
    <row r="23420" s="101" customFormat="1" spans="6:6">
      <c r="F23420" s="2423"/>
    </row>
    <row r="23421" s="101" customFormat="1" spans="6:6">
      <c r="F23421" s="2423"/>
    </row>
    <row r="23422" s="101" customFormat="1" spans="6:6">
      <c r="F23422" s="2423"/>
    </row>
    <row r="23423" s="101" customFormat="1" spans="6:6">
      <c r="F23423" s="2423"/>
    </row>
    <row r="23424" s="101" customFormat="1" spans="6:6">
      <c r="F23424" s="2423"/>
    </row>
    <row r="23425" s="101" customFormat="1" spans="6:6">
      <c r="F23425" s="2423"/>
    </row>
    <row r="23426" s="101" customFormat="1" spans="6:6">
      <c r="F23426" s="2423"/>
    </row>
    <row r="23427" s="101" customFormat="1" spans="6:6">
      <c r="F23427" s="2423"/>
    </row>
    <row r="23428" s="101" customFormat="1" spans="6:6">
      <c r="F23428" s="2423"/>
    </row>
    <row r="23429" s="101" customFormat="1" spans="6:6">
      <c r="F23429" s="2423"/>
    </row>
    <row r="23430" s="101" customFormat="1" spans="6:6">
      <c r="F23430" s="2423"/>
    </row>
    <row r="23431" s="101" customFormat="1" spans="6:6">
      <c r="F23431" s="2423"/>
    </row>
    <row r="23432" s="101" customFormat="1" spans="6:6">
      <c r="F23432" s="2423"/>
    </row>
    <row r="23433" s="101" customFormat="1" spans="6:6">
      <c r="F23433" s="2423"/>
    </row>
    <row r="23434" s="101" customFormat="1" spans="6:6">
      <c r="F23434" s="2423"/>
    </row>
    <row r="23435" s="101" customFormat="1" spans="6:6">
      <c r="F23435" s="2423"/>
    </row>
    <row r="23436" s="101" customFormat="1" spans="6:6">
      <c r="F23436" s="2423"/>
    </row>
    <row r="23437" s="101" customFormat="1" spans="6:6">
      <c r="F23437" s="2423"/>
    </row>
    <row r="23438" s="101" customFormat="1" spans="6:6">
      <c r="F23438" s="2423"/>
    </row>
    <row r="23439" s="101" customFormat="1" spans="6:6">
      <c r="F23439" s="2423"/>
    </row>
    <row r="23440" s="101" customFormat="1" spans="6:6">
      <c r="F23440" s="2423"/>
    </row>
    <row r="23441" s="101" customFormat="1" spans="6:6">
      <c r="F23441" s="2423"/>
    </row>
    <row r="23442" s="101" customFormat="1" spans="6:6">
      <c r="F23442" s="2423"/>
    </row>
    <row r="23443" s="101" customFormat="1" spans="6:6">
      <c r="F23443" s="2423"/>
    </row>
    <row r="23444" s="101" customFormat="1" spans="6:6">
      <c r="F23444" s="2423"/>
    </row>
    <row r="23445" s="101" customFormat="1" spans="6:6">
      <c r="F23445" s="2423"/>
    </row>
    <row r="23446" s="101" customFormat="1" spans="6:6">
      <c r="F23446" s="2423"/>
    </row>
    <row r="23447" s="101" customFormat="1" spans="6:6">
      <c r="F23447" s="2423"/>
    </row>
    <row r="23448" s="101" customFormat="1" spans="6:6">
      <c r="F23448" s="2423"/>
    </row>
    <row r="23449" s="101" customFormat="1" spans="6:6">
      <c r="F23449" s="2423"/>
    </row>
    <row r="23450" s="101" customFormat="1" spans="6:6">
      <c r="F23450" s="2423"/>
    </row>
    <row r="23451" s="101" customFormat="1" spans="6:6">
      <c r="F23451" s="2423"/>
    </row>
    <row r="23452" s="101" customFormat="1" spans="6:6">
      <c r="F23452" s="2423"/>
    </row>
    <row r="23453" s="101" customFormat="1" spans="6:6">
      <c r="F23453" s="2423"/>
    </row>
    <row r="23454" s="101" customFormat="1" spans="6:6">
      <c r="F23454" s="2423"/>
    </row>
    <row r="23455" s="101" customFormat="1" spans="6:6">
      <c r="F23455" s="2423"/>
    </row>
    <row r="23456" s="101" customFormat="1" spans="6:6">
      <c r="F23456" s="2423"/>
    </row>
    <row r="23457" s="101" customFormat="1" spans="6:6">
      <c r="F23457" s="2423"/>
    </row>
    <row r="23458" s="101" customFormat="1" spans="6:6">
      <c r="F23458" s="2423"/>
    </row>
    <row r="23459" s="101" customFormat="1" spans="6:6">
      <c r="F23459" s="2423"/>
    </row>
    <row r="23460" s="101" customFormat="1" spans="6:6">
      <c r="F23460" s="2423"/>
    </row>
    <row r="23461" s="101" customFormat="1" spans="6:6">
      <c r="F23461" s="2423"/>
    </row>
    <row r="23462" s="101" customFormat="1" spans="6:6">
      <c r="F23462" s="2423"/>
    </row>
    <row r="23463" s="101" customFormat="1" spans="6:6">
      <c r="F23463" s="2423"/>
    </row>
    <row r="23464" s="101" customFormat="1" spans="6:6">
      <c r="F23464" s="2423"/>
    </row>
    <row r="23465" s="101" customFormat="1" spans="6:6">
      <c r="F23465" s="2423"/>
    </row>
    <row r="23466" s="101" customFormat="1" spans="6:6">
      <c r="F23466" s="2423"/>
    </row>
    <row r="23467" s="101" customFormat="1" spans="6:6">
      <c r="F23467" s="2423"/>
    </row>
    <row r="23468" s="101" customFormat="1" spans="6:6">
      <c r="F23468" s="2423"/>
    </row>
    <row r="23469" s="101" customFormat="1" spans="6:6">
      <c r="F23469" s="2423"/>
    </row>
    <row r="23470" s="101" customFormat="1" spans="6:6">
      <c r="F23470" s="2423"/>
    </row>
    <row r="23471" s="101" customFormat="1" spans="6:6">
      <c r="F23471" s="2423"/>
    </row>
    <row r="23472" s="101" customFormat="1" spans="6:6">
      <c r="F23472" s="2423"/>
    </row>
    <row r="23473" s="101" customFormat="1" spans="6:6">
      <c r="F23473" s="2423"/>
    </row>
    <row r="23474" s="101" customFormat="1" spans="6:6">
      <c r="F23474" s="2423"/>
    </row>
    <row r="23475" s="101" customFormat="1" spans="6:6">
      <c r="F23475" s="2423"/>
    </row>
    <row r="23476" s="101" customFormat="1" spans="6:6">
      <c r="F23476" s="2423"/>
    </row>
    <row r="23477" s="101" customFormat="1" spans="6:6">
      <c r="F23477" s="2423"/>
    </row>
    <row r="23478" s="101" customFormat="1" spans="6:6">
      <c r="F23478" s="2423"/>
    </row>
    <row r="23479" s="101" customFormat="1" spans="6:6">
      <c r="F23479" s="2423"/>
    </row>
    <row r="23480" s="101" customFormat="1" spans="6:6">
      <c r="F23480" s="2423"/>
    </row>
    <row r="23481" s="101" customFormat="1" spans="6:6">
      <c r="F23481" s="2423"/>
    </row>
    <row r="23482" s="101" customFormat="1" spans="6:6">
      <c r="F23482" s="2423"/>
    </row>
    <row r="23483" s="101" customFormat="1" spans="6:6">
      <c r="F23483" s="2423"/>
    </row>
    <row r="23484" s="101" customFormat="1" spans="6:6">
      <c r="F23484" s="2423"/>
    </row>
    <row r="23485" s="101" customFormat="1" spans="6:6">
      <c r="F23485" s="2423"/>
    </row>
    <row r="23486" s="101" customFormat="1" spans="6:6">
      <c r="F23486" s="2423"/>
    </row>
    <row r="23487" s="101" customFormat="1" spans="6:6">
      <c r="F23487" s="2423"/>
    </row>
    <row r="23488" s="101" customFormat="1" spans="6:6">
      <c r="F23488" s="2423"/>
    </row>
    <row r="23489" s="101" customFormat="1" spans="6:6">
      <c r="F23489" s="2423"/>
    </row>
    <row r="23490" s="101" customFormat="1" spans="6:6">
      <c r="F23490" s="2423"/>
    </row>
    <row r="23491" s="101" customFormat="1" spans="6:6">
      <c r="F23491" s="2423"/>
    </row>
    <row r="23492" s="101" customFormat="1" spans="6:6">
      <c r="F23492" s="2423"/>
    </row>
    <row r="23493" s="101" customFormat="1" spans="6:6">
      <c r="F23493" s="2423"/>
    </row>
    <row r="23494" s="101" customFormat="1" spans="6:6">
      <c r="F23494" s="2423"/>
    </row>
    <row r="23495" s="101" customFormat="1" spans="6:6">
      <c r="F23495" s="2423"/>
    </row>
    <row r="23496" s="101" customFormat="1" spans="6:6">
      <c r="F23496" s="2423"/>
    </row>
    <row r="23497" s="101" customFormat="1" spans="6:6">
      <c r="F23497" s="2423"/>
    </row>
    <row r="23498" s="101" customFormat="1" spans="6:6">
      <c r="F23498" s="2423"/>
    </row>
    <row r="23499" s="101" customFormat="1" spans="6:6">
      <c r="F23499" s="2423"/>
    </row>
    <row r="23500" s="101" customFormat="1" spans="6:6">
      <c r="F23500" s="2423"/>
    </row>
    <row r="23501" s="101" customFormat="1" spans="6:6">
      <c r="F23501" s="2423"/>
    </row>
    <row r="23502" s="101" customFormat="1" spans="6:6">
      <c r="F23502" s="2423"/>
    </row>
    <row r="23503" s="101" customFormat="1" spans="6:6">
      <c r="F23503" s="2423"/>
    </row>
    <row r="23504" s="101" customFormat="1" spans="6:6">
      <c r="F23504" s="2423"/>
    </row>
    <row r="23505" s="101" customFormat="1" spans="6:6">
      <c r="F23505" s="2423"/>
    </row>
    <row r="23506" s="101" customFormat="1" spans="6:6">
      <c r="F23506" s="2423"/>
    </row>
    <row r="23507" s="101" customFormat="1" spans="6:6">
      <c r="F23507" s="2423"/>
    </row>
    <row r="23508" s="101" customFormat="1" spans="6:6">
      <c r="F23508" s="2423"/>
    </row>
    <row r="23509" s="101" customFormat="1" spans="6:6">
      <c r="F23509" s="2423"/>
    </row>
    <row r="23510" s="101" customFormat="1" spans="6:6">
      <c r="F23510" s="2423"/>
    </row>
    <row r="23511" s="101" customFormat="1" spans="6:6">
      <c r="F23511" s="2423"/>
    </row>
    <row r="23512" s="101" customFormat="1" spans="6:6">
      <c r="F23512" s="2423"/>
    </row>
    <row r="23513" s="101" customFormat="1" spans="6:6">
      <c r="F23513" s="2423"/>
    </row>
    <row r="23514" s="101" customFormat="1" spans="6:6">
      <c r="F23514" s="2423"/>
    </row>
    <row r="23515" s="101" customFormat="1" spans="6:6">
      <c r="F23515" s="2423"/>
    </row>
    <row r="23516" s="101" customFormat="1" spans="6:6">
      <c r="F23516" s="2423"/>
    </row>
    <row r="23517" s="101" customFormat="1" spans="6:6">
      <c r="F23517" s="2423"/>
    </row>
    <row r="23518" s="101" customFormat="1" spans="6:6">
      <c r="F23518" s="2423"/>
    </row>
    <row r="23519" s="101" customFormat="1" spans="6:6">
      <c r="F23519" s="2423"/>
    </row>
    <row r="23520" s="101" customFormat="1" spans="6:6">
      <c r="F23520" s="2423"/>
    </row>
    <row r="23521" s="101" customFormat="1" spans="6:6">
      <c r="F23521" s="2423"/>
    </row>
    <row r="23522" s="101" customFormat="1" spans="6:6">
      <c r="F23522" s="2423"/>
    </row>
    <row r="23523" s="101" customFormat="1" spans="6:6">
      <c r="F23523" s="2423"/>
    </row>
    <row r="23524" s="101" customFormat="1" spans="6:6">
      <c r="F23524" s="2423"/>
    </row>
    <row r="23525" s="101" customFormat="1" spans="6:6">
      <c r="F23525" s="2423"/>
    </row>
    <row r="23526" s="101" customFormat="1" spans="6:6">
      <c r="F23526" s="2423"/>
    </row>
    <row r="23527" s="101" customFormat="1" spans="6:6">
      <c r="F23527" s="2423"/>
    </row>
    <row r="23528" s="101" customFormat="1" spans="6:6">
      <c r="F23528" s="2423"/>
    </row>
    <row r="23529" s="101" customFormat="1" spans="6:6">
      <c r="F23529" s="2423"/>
    </row>
    <row r="23530" s="101" customFormat="1" spans="6:6">
      <c r="F23530" s="2423"/>
    </row>
    <row r="23531" s="101" customFormat="1" spans="6:6">
      <c r="F23531" s="2423"/>
    </row>
    <row r="23532" s="101" customFormat="1" spans="6:6">
      <c r="F23532" s="2423"/>
    </row>
    <row r="23533" s="101" customFormat="1" spans="6:6">
      <c r="F23533" s="2423"/>
    </row>
    <row r="23534" s="101" customFormat="1" spans="6:6">
      <c r="F23534" s="2423"/>
    </row>
    <row r="23535" s="101" customFormat="1" spans="6:6">
      <c r="F23535" s="2423"/>
    </row>
    <row r="23536" s="101" customFormat="1" spans="6:6">
      <c r="F23536" s="2423"/>
    </row>
    <row r="23537" s="101" customFormat="1" spans="6:6">
      <c r="F23537" s="2423"/>
    </row>
    <row r="23538" s="101" customFormat="1" spans="6:6">
      <c r="F23538" s="2423"/>
    </row>
    <row r="23539" s="101" customFormat="1" spans="6:6">
      <c r="F23539" s="2423"/>
    </row>
    <row r="23540" s="101" customFormat="1" spans="6:6">
      <c r="F23540" s="2423"/>
    </row>
    <row r="23541" s="101" customFormat="1" spans="6:6">
      <c r="F23541" s="2423"/>
    </row>
    <row r="23542" s="101" customFormat="1" spans="6:6">
      <c r="F23542" s="2423"/>
    </row>
    <row r="23543" s="101" customFormat="1" spans="6:6">
      <c r="F23543" s="2423"/>
    </row>
    <row r="23544" s="101" customFormat="1" spans="6:6">
      <c r="F23544" s="2423"/>
    </row>
    <row r="23545" s="101" customFormat="1" spans="6:6">
      <c r="F23545" s="2423"/>
    </row>
    <row r="23546" s="101" customFormat="1" spans="6:6">
      <c r="F23546" s="2423"/>
    </row>
    <row r="23547" s="101" customFormat="1" spans="6:6">
      <c r="F23547" s="2423"/>
    </row>
    <row r="23548" s="101" customFormat="1" spans="6:6">
      <c r="F23548" s="2423"/>
    </row>
    <row r="23549" s="101" customFormat="1" spans="6:6">
      <c r="F23549" s="2423"/>
    </row>
    <row r="23550" s="101" customFormat="1" spans="6:6">
      <c r="F23550" s="2423"/>
    </row>
    <row r="23551" s="101" customFormat="1" spans="6:6">
      <c r="F23551" s="2423"/>
    </row>
    <row r="23552" s="101" customFormat="1" spans="6:6">
      <c r="F23552" s="2423"/>
    </row>
    <row r="23553" s="101" customFormat="1" spans="6:6">
      <c r="F23553" s="2423"/>
    </row>
    <row r="23554" s="101" customFormat="1" spans="6:6">
      <c r="F23554" s="2423"/>
    </row>
    <row r="23555" s="101" customFormat="1" spans="6:6">
      <c r="F23555" s="2423"/>
    </row>
    <row r="23556" s="101" customFormat="1" spans="6:6">
      <c r="F23556" s="2423"/>
    </row>
    <row r="23557" s="101" customFormat="1" spans="6:6">
      <c r="F23557" s="2423"/>
    </row>
    <row r="23558" s="101" customFormat="1" spans="6:6">
      <c r="F23558" s="2423"/>
    </row>
    <row r="23559" s="101" customFormat="1" spans="6:6">
      <c r="F23559" s="2423"/>
    </row>
    <row r="23560" s="101" customFormat="1" spans="6:6">
      <c r="F23560" s="2423"/>
    </row>
    <row r="23561" s="101" customFormat="1" spans="6:6">
      <c r="F23561" s="2423"/>
    </row>
    <row r="23562" s="101" customFormat="1" spans="6:6">
      <c r="F23562" s="2423"/>
    </row>
    <row r="23563" s="101" customFormat="1" spans="6:6">
      <c r="F23563" s="2423"/>
    </row>
    <row r="23564" s="101" customFormat="1" spans="6:6">
      <c r="F23564" s="2423"/>
    </row>
    <row r="23565" s="101" customFormat="1" spans="6:6">
      <c r="F23565" s="2423"/>
    </row>
    <row r="23566" s="101" customFormat="1" spans="6:6">
      <c r="F23566" s="2423"/>
    </row>
    <row r="23567" s="101" customFormat="1" spans="6:6">
      <c r="F23567" s="2423"/>
    </row>
    <row r="23568" s="101" customFormat="1" spans="6:6">
      <c r="F23568" s="2423"/>
    </row>
    <row r="23569" s="101" customFormat="1" spans="6:6">
      <c r="F23569" s="2423"/>
    </row>
    <row r="23570" s="101" customFormat="1" spans="6:6">
      <c r="F23570" s="2423"/>
    </row>
    <row r="23571" s="101" customFormat="1" spans="6:6">
      <c r="F23571" s="2423"/>
    </row>
    <row r="23572" s="101" customFormat="1" spans="6:6">
      <c r="F23572" s="2423"/>
    </row>
    <row r="23573" s="101" customFormat="1" spans="6:6">
      <c r="F23573" s="2423"/>
    </row>
    <row r="23574" s="101" customFormat="1" spans="6:6">
      <c r="F23574" s="2423"/>
    </row>
    <row r="23575" s="101" customFormat="1" spans="6:6">
      <c r="F23575" s="2423"/>
    </row>
    <row r="23576" s="101" customFormat="1" spans="6:6">
      <c r="F23576" s="2423"/>
    </row>
    <row r="23577" s="101" customFormat="1" spans="6:6">
      <c r="F23577" s="2423"/>
    </row>
    <row r="23578" s="101" customFormat="1" spans="6:6">
      <c r="F23578" s="2423"/>
    </row>
    <row r="23579" s="101" customFormat="1" spans="6:6">
      <c r="F23579" s="2423"/>
    </row>
    <row r="23580" s="101" customFormat="1" spans="6:6">
      <c r="F23580" s="2423"/>
    </row>
    <row r="23581" s="101" customFormat="1" spans="6:6">
      <c r="F23581" s="2423"/>
    </row>
    <row r="23582" s="101" customFormat="1" spans="6:6">
      <c r="F23582" s="2423"/>
    </row>
    <row r="23583" s="101" customFormat="1" spans="6:6">
      <c r="F23583" s="2423"/>
    </row>
    <row r="23584" s="101" customFormat="1" spans="6:6">
      <c r="F23584" s="2423"/>
    </row>
    <row r="23585" s="101" customFormat="1" spans="6:6">
      <c r="F23585" s="2423"/>
    </row>
    <row r="23586" s="101" customFormat="1" spans="6:6">
      <c r="F23586" s="2423"/>
    </row>
    <row r="23587" s="101" customFormat="1" spans="6:6">
      <c r="F23587" s="2423"/>
    </row>
    <row r="23588" s="101" customFormat="1" spans="6:6">
      <c r="F23588" s="2423"/>
    </row>
    <row r="23589" s="101" customFormat="1" spans="6:6">
      <c r="F23589" s="2423"/>
    </row>
    <row r="23590" s="101" customFormat="1" spans="6:6">
      <c r="F23590" s="2423"/>
    </row>
    <row r="23591" s="101" customFormat="1" spans="6:6">
      <c r="F23591" s="2423"/>
    </row>
    <row r="23592" s="101" customFormat="1" spans="6:6">
      <c r="F23592" s="2423"/>
    </row>
    <row r="23593" s="101" customFormat="1" spans="6:6">
      <c r="F23593" s="2423"/>
    </row>
    <row r="23594" s="101" customFormat="1" spans="6:6">
      <c r="F23594" s="2423"/>
    </row>
    <row r="23595" s="101" customFormat="1" spans="6:6">
      <c r="F23595" s="2423"/>
    </row>
    <row r="23596" s="101" customFormat="1" spans="6:6">
      <c r="F23596" s="2423"/>
    </row>
    <row r="23597" s="101" customFormat="1" spans="6:6">
      <c r="F23597" s="2423"/>
    </row>
    <row r="23598" s="101" customFormat="1" spans="6:6">
      <c r="F23598" s="2423"/>
    </row>
    <row r="23599" s="101" customFormat="1" spans="6:6">
      <c r="F23599" s="2423"/>
    </row>
    <row r="23600" s="101" customFormat="1" spans="6:6">
      <c r="F23600" s="2423"/>
    </row>
    <row r="23601" s="101" customFormat="1" spans="6:6">
      <c r="F23601" s="2423"/>
    </row>
    <row r="23602" s="101" customFormat="1" spans="6:6">
      <c r="F23602" s="2423"/>
    </row>
    <row r="23603" s="101" customFormat="1" spans="6:6">
      <c r="F23603" s="2423"/>
    </row>
    <row r="23604" s="101" customFormat="1" spans="6:6">
      <c r="F23604" s="2423"/>
    </row>
    <row r="23605" s="101" customFormat="1" spans="6:6">
      <c r="F23605" s="2423"/>
    </row>
    <row r="23606" s="101" customFormat="1" spans="6:6">
      <c r="F23606" s="2423"/>
    </row>
    <row r="23607" s="101" customFormat="1" spans="6:6">
      <c r="F23607" s="2423"/>
    </row>
    <row r="23608" s="101" customFormat="1" spans="6:6">
      <c r="F23608" s="2423"/>
    </row>
    <row r="23609" s="101" customFormat="1" spans="6:6">
      <c r="F23609" s="2423"/>
    </row>
    <row r="23610" s="101" customFormat="1" spans="6:6">
      <c r="F23610" s="2423"/>
    </row>
    <row r="23611" s="101" customFormat="1" spans="6:6">
      <c r="F23611" s="2423"/>
    </row>
    <row r="23612" s="101" customFormat="1" spans="6:6">
      <c r="F23612" s="2423"/>
    </row>
    <row r="23613" s="101" customFormat="1" spans="6:6">
      <c r="F23613" s="2423"/>
    </row>
    <row r="23614" s="101" customFormat="1" spans="6:6">
      <c r="F23614" s="2423"/>
    </row>
    <row r="23615" s="101" customFormat="1" spans="6:6">
      <c r="F23615" s="2423"/>
    </row>
    <row r="23616" s="101" customFormat="1" spans="6:6">
      <c r="F23616" s="2423"/>
    </row>
    <row r="23617" s="101" customFormat="1" spans="6:6">
      <c r="F23617" s="2423"/>
    </row>
    <row r="23618" s="101" customFormat="1" spans="6:6">
      <c r="F23618" s="2423"/>
    </row>
    <row r="23619" s="101" customFormat="1" spans="6:6">
      <c r="F23619" s="2423"/>
    </row>
    <row r="23620" s="101" customFormat="1" spans="6:6">
      <c r="F23620" s="2423"/>
    </row>
    <row r="23621" s="101" customFormat="1" spans="6:6">
      <c r="F23621" s="2423"/>
    </row>
    <row r="23622" s="101" customFormat="1" spans="6:6">
      <c r="F23622" s="2423"/>
    </row>
    <row r="23623" s="101" customFormat="1" spans="6:6">
      <c r="F23623" s="2423"/>
    </row>
    <row r="23624" s="101" customFormat="1" spans="6:6">
      <c r="F23624" s="2423"/>
    </row>
    <row r="23625" s="101" customFormat="1" spans="6:6">
      <c r="F23625" s="2423"/>
    </row>
    <row r="23626" s="101" customFormat="1" spans="6:6">
      <c r="F23626" s="2423"/>
    </row>
    <row r="23627" s="101" customFormat="1" spans="6:6">
      <c r="F23627" s="2423"/>
    </row>
    <row r="23628" s="101" customFormat="1" spans="6:6">
      <c r="F23628" s="2423"/>
    </row>
    <row r="23629" s="101" customFormat="1" spans="6:6">
      <c r="F23629" s="2423"/>
    </row>
    <row r="23630" s="101" customFormat="1" spans="6:6">
      <c r="F23630" s="2423"/>
    </row>
    <row r="23631" s="101" customFormat="1" spans="6:6">
      <c r="F23631" s="2423"/>
    </row>
    <row r="23632" s="101" customFormat="1" spans="6:6">
      <c r="F23632" s="2423"/>
    </row>
    <row r="23633" s="101" customFormat="1" spans="6:6">
      <c r="F23633" s="2423"/>
    </row>
    <row r="23634" s="101" customFormat="1" spans="6:6">
      <c r="F23634" s="2423"/>
    </row>
    <row r="23635" s="101" customFormat="1" spans="6:6">
      <c r="F23635" s="2423"/>
    </row>
    <row r="23636" s="101" customFormat="1" spans="6:6">
      <c r="F23636" s="2423"/>
    </row>
    <row r="23637" s="101" customFormat="1" spans="6:6">
      <c r="F23637" s="2423"/>
    </row>
    <row r="23638" s="101" customFormat="1" spans="6:6">
      <c r="F23638" s="2423"/>
    </row>
    <row r="23639" s="101" customFormat="1" spans="6:6">
      <c r="F23639" s="2423"/>
    </row>
    <row r="23640" s="101" customFormat="1" spans="6:6">
      <c r="F23640" s="2423"/>
    </row>
    <row r="23641" s="101" customFormat="1" spans="6:6">
      <c r="F23641" s="2423"/>
    </row>
    <row r="23642" s="101" customFormat="1" spans="6:6">
      <c r="F23642" s="2423"/>
    </row>
    <row r="23643" s="101" customFormat="1" spans="6:6">
      <c r="F23643" s="2423"/>
    </row>
    <row r="23644" s="101" customFormat="1" spans="6:6">
      <c r="F23644" s="2423"/>
    </row>
    <row r="23645" s="101" customFormat="1" spans="6:6">
      <c r="F23645" s="2423"/>
    </row>
    <row r="23646" s="101" customFormat="1" spans="6:6">
      <c r="F23646" s="2423"/>
    </row>
    <row r="23647" s="101" customFormat="1" spans="6:6">
      <c r="F23647" s="2423"/>
    </row>
    <row r="23648" s="101" customFormat="1" spans="6:6">
      <c r="F23648" s="2423"/>
    </row>
    <row r="23649" s="101" customFormat="1" spans="6:6">
      <c r="F23649" s="2423"/>
    </row>
    <row r="23650" s="101" customFormat="1" spans="6:6">
      <c r="F23650" s="2423"/>
    </row>
    <row r="23651" s="101" customFormat="1" spans="6:6">
      <c r="F23651" s="2423"/>
    </row>
    <row r="23652" s="101" customFormat="1" spans="6:6">
      <c r="F23652" s="2423"/>
    </row>
    <row r="23653" s="101" customFormat="1" spans="6:6">
      <c r="F23653" s="2423"/>
    </row>
    <row r="23654" s="101" customFormat="1" spans="6:6">
      <c r="F23654" s="2423"/>
    </row>
    <row r="23655" s="101" customFormat="1" spans="6:6">
      <c r="F23655" s="2423"/>
    </row>
    <row r="23656" s="101" customFormat="1" spans="6:6">
      <c r="F23656" s="2423"/>
    </row>
    <row r="23657" s="101" customFormat="1" spans="6:6">
      <c r="F23657" s="2423"/>
    </row>
    <row r="23658" s="101" customFormat="1" spans="6:6">
      <c r="F23658" s="2423"/>
    </row>
    <row r="23659" s="101" customFormat="1" spans="6:6">
      <c r="F23659" s="2423"/>
    </row>
    <row r="23660" s="101" customFormat="1" spans="6:6">
      <c r="F23660" s="2423"/>
    </row>
    <row r="23661" s="101" customFormat="1" spans="6:6">
      <c r="F23661" s="2423"/>
    </row>
    <row r="23662" s="101" customFormat="1" spans="6:6">
      <c r="F23662" s="2423"/>
    </row>
    <row r="23663" s="101" customFormat="1" spans="6:6">
      <c r="F23663" s="2423"/>
    </row>
    <row r="23664" s="101" customFormat="1" spans="6:6">
      <c r="F23664" s="2423"/>
    </row>
    <row r="23665" s="101" customFormat="1" spans="6:6">
      <c r="F23665" s="2423"/>
    </row>
    <row r="23666" s="101" customFormat="1" spans="6:6">
      <c r="F23666" s="2423"/>
    </row>
    <row r="23667" s="101" customFormat="1" spans="6:6">
      <c r="F23667" s="2423"/>
    </row>
    <row r="23668" s="101" customFormat="1" spans="6:6">
      <c r="F23668" s="2423"/>
    </row>
    <row r="23669" s="101" customFormat="1" spans="6:6">
      <c r="F23669" s="2423"/>
    </row>
    <row r="23670" s="101" customFormat="1" spans="6:6">
      <c r="F23670" s="2423"/>
    </row>
    <row r="23671" s="101" customFormat="1" spans="6:6">
      <c r="F23671" s="2423"/>
    </row>
    <row r="23672" s="101" customFormat="1" spans="6:6">
      <c r="F23672" s="2423"/>
    </row>
    <row r="23673" s="101" customFormat="1" spans="6:6">
      <c r="F23673" s="2423"/>
    </row>
    <row r="23674" s="101" customFormat="1" spans="6:6">
      <c r="F23674" s="2423"/>
    </row>
    <row r="23675" s="101" customFormat="1" spans="6:6">
      <c r="F23675" s="2423"/>
    </row>
    <row r="23676" s="101" customFormat="1" spans="6:6">
      <c r="F23676" s="2423"/>
    </row>
    <row r="23677" s="101" customFormat="1" spans="6:6">
      <c r="F23677" s="2423"/>
    </row>
    <row r="23678" s="101" customFormat="1" spans="6:6">
      <c r="F23678" s="2423"/>
    </row>
    <row r="23679" s="101" customFormat="1" spans="6:6">
      <c r="F23679" s="2423"/>
    </row>
    <row r="23680" s="101" customFormat="1" spans="6:6">
      <c r="F23680" s="2423"/>
    </row>
    <row r="23681" s="101" customFormat="1" spans="6:6">
      <c r="F23681" s="2423"/>
    </row>
    <row r="23682" s="101" customFormat="1" spans="6:6">
      <c r="F23682" s="2423"/>
    </row>
    <row r="23683" s="101" customFormat="1" spans="6:6">
      <c r="F23683" s="2423"/>
    </row>
    <row r="23684" s="101" customFormat="1" spans="6:6">
      <c r="F23684" s="2423"/>
    </row>
    <row r="23685" s="101" customFormat="1" spans="6:6">
      <c r="F23685" s="2423"/>
    </row>
    <row r="23686" s="101" customFormat="1" spans="6:6">
      <c r="F23686" s="2423"/>
    </row>
    <row r="23687" s="101" customFormat="1" spans="6:6">
      <c r="F23687" s="2423"/>
    </row>
    <row r="23688" s="101" customFormat="1" spans="6:6">
      <c r="F23688" s="2423"/>
    </row>
    <row r="23689" s="101" customFormat="1" spans="6:6">
      <c r="F23689" s="2423"/>
    </row>
    <row r="23690" s="101" customFormat="1" spans="6:6">
      <c r="F23690" s="2423"/>
    </row>
    <row r="23691" s="101" customFormat="1" spans="6:6">
      <c r="F23691" s="2423"/>
    </row>
    <row r="23692" s="101" customFormat="1" spans="6:6">
      <c r="F23692" s="2423"/>
    </row>
    <row r="23693" s="101" customFormat="1" spans="6:6">
      <c r="F23693" s="2423"/>
    </row>
    <row r="23694" s="101" customFormat="1" spans="6:6">
      <c r="F23694" s="2423"/>
    </row>
    <row r="23695" s="101" customFormat="1" spans="6:6">
      <c r="F23695" s="2423"/>
    </row>
    <row r="23696" s="101" customFormat="1" spans="6:6">
      <c r="F23696" s="2423"/>
    </row>
    <row r="23697" s="101" customFormat="1" spans="6:6">
      <c r="F23697" s="2423"/>
    </row>
    <row r="23698" s="101" customFormat="1" spans="6:6">
      <c r="F23698" s="2423"/>
    </row>
    <row r="23699" s="101" customFormat="1" spans="6:6">
      <c r="F23699" s="2423"/>
    </row>
    <row r="23700" s="101" customFormat="1" spans="6:6">
      <c r="F23700" s="2423"/>
    </row>
    <row r="23701" s="101" customFormat="1" spans="6:6">
      <c r="F23701" s="2423"/>
    </row>
    <row r="23702" s="101" customFormat="1" spans="6:6">
      <c r="F23702" s="2423"/>
    </row>
    <row r="23703" s="101" customFormat="1" spans="6:6">
      <c r="F23703" s="2423"/>
    </row>
    <row r="23704" s="101" customFormat="1" spans="6:6">
      <c r="F23704" s="2423"/>
    </row>
    <row r="23705" s="101" customFormat="1" spans="6:6">
      <c r="F23705" s="2423"/>
    </row>
    <row r="23706" s="101" customFormat="1" spans="6:6">
      <c r="F23706" s="2423"/>
    </row>
    <row r="23707" s="101" customFormat="1" spans="6:6">
      <c r="F23707" s="2423"/>
    </row>
    <row r="23708" s="101" customFormat="1" spans="6:6">
      <c r="F23708" s="2423"/>
    </row>
    <row r="23709" s="101" customFormat="1" spans="6:6">
      <c r="F23709" s="2423"/>
    </row>
    <row r="23710" s="101" customFormat="1" spans="6:6">
      <c r="F23710" s="2423"/>
    </row>
    <row r="23711" s="101" customFormat="1" spans="6:6">
      <c r="F23711" s="2423"/>
    </row>
    <row r="23712" s="101" customFormat="1" spans="6:6">
      <c r="F23712" s="2423"/>
    </row>
    <row r="23713" s="101" customFormat="1" spans="6:6">
      <c r="F23713" s="2423"/>
    </row>
    <row r="23714" s="101" customFormat="1" spans="6:6">
      <c r="F23714" s="2423"/>
    </row>
    <row r="23715" s="101" customFormat="1" spans="6:6">
      <c r="F23715" s="2423"/>
    </row>
    <row r="23716" s="101" customFormat="1" spans="6:6">
      <c r="F23716" s="2423"/>
    </row>
    <row r="23717" s="101" customFormat="1" spans="6:6">
      <c r="F23717" s="2423"/>
    </row>
    <row r="23718" s="101" customFormat="1" spans="6:6">
      <c r="F23718" s="2423"/>
    </row>
    <row r="23719" s="101" customFormat="1" spans="6:6">
      <c r="F23719" s="2423"/>
    </row>
    <row r="23720" s="101" customFormat="1" spans="6:6">
      <c r="F23720" s="2423"/>
    </row>
    <row r="23721" s="101" customFormat="1" spans="6:6">
      <c r="F23721" s="2423"/>
    </row>
    <row r="23722" s="101" customFormat="1" spans="6:6">
      <c r="F23722" s="2423"/>
    </row>
    <row r="23723" s="101" customFormat="1" spans="6:6">
      <c r="F23723" s="2423"/>
    </row>
    <row r="23724" s="101" customFormat="1" spans="6:6">
      <c r="F23724" s="2423"/>
    </row>
    <row r="23725" s="101" customFormat="1" spans="6:6">
      <c r="F23725" s="2423"/>
    </row>
    <row r="23726" s="101" customFormat="1" spans="6:6">
      <c r="F23726" s="2423"/>
    </row>
    <row r="23727" s="101" customFormat="1" spans="6:6">
      <c r="F23727" s="2423"/>
    </row>
    <row r="23728" s="101" customFormat="1" spans="6:6">
      <c r="F23728" s="2423"/>
    </row>
    <row r="23729" s="101" customFormat="1" spans="6:6">
      <c r="F23729" s="2423"/>
    </row>
    <row r="23730" s="101" customFormat="1" spans="6:6">
      <c r="F23730" s="2423"/>
    </row>
    <row r="23731" s="101" customFormat="1" spans="6:6">
      <c r="F23731" s="2423"/>
    </row>
    <row r="23732" s="101" customFormat="1" spans="6:6">
      <c r="F23732" s="2423"/>
    </row>
    <row r="23733" s="101" customFormat="1" spans="6:6">
      <c r="F23733" s="2423"/>
    </row>
    <row r="23734" s="101" customFormat="1" spans="6:6">
      <c r="F23734" s="2423"/>
    </row>
    <row r="23735" s="101" customFormat="1" spans="6:6">
      <c r="F23735" s="2423"/>
    </row>
    <row r="23736" s="101" customFormat="1" spans="6:6">
      <c r="F23736" s="2423"/>
    </row>
    <row r="23737" s="101" customFormat="1" spans="6:6">
      <c r="F23737" s="2423"/>
    </row>
    <row r="23738" s="101" customFormat="1" spans="6:6">
      <c r="F23738" s="2423"/>
    </row>
    <row r="23739" s="101" customFormat="1" spans="6:6">
      <c r="F23739" s="2423"/>
    </row>
    <row r="23740" s="101" customFormat="1" spans="6:6">
      <c r="F23740" s="2423"/>
    </row>
    <row r="23741" s="101" customFormat="1" spans="6:6">
      <c r="F23741" s="2423"/>
    </row>
    <row r="23742" s="101" customFormat="1" spans="6:6">
      <c r="F23742" s="2423"/>
    </row>
    <row r="23743" s="101" customFormat="1" spans="6:6">
      <c r="F23743" s="2423"/>
    </row>
    <row r="23744" s="101" customFormat="1" spans="6:6">
      <c r="F23744" s="2423"/>
    </row>
    <row r="23745" s="101" customFormat="1" spans="6:6">
      <c r="F23745" s="2423"/>
    </row>
    <row r="23746" s="101" customFormat="1" spans="6:6">
      <c r="F23746" s="2423"/>
    </row>
    <row r="23747" s="101" customFormat="1" spans="6:6">
      <c r="F23747" s="2423"/>
    </row>
    <row r="23748" s="101" customFormat="1" spans="6:6">
      <c r="F23748" s="2423"/>
    </row>
    <row r="23749" s="101" customFormat="1" spans="6:6">
      <c r="F23749" s="2423"/>
    </row>
    <row r="23750" s="101" customFormat="1" spans="6:6">
      <c r="F23750" s="2423"/>
    </row>
    <row r="23751" s="101" customFormat="1" spans="6:6">
      <c r="F23751" s="2423"/>
    </row>
    <row r="23752" s="101" customFormat="1" spans="6:6">
      <c r="F23752" s="2423"/>
    </row>
    <row r="23753" s="101" customFormat="1" spans="6:6">
      <c r="F23753" s="2423"/>
    </row>
    <row r="23754" s="101" customFormat="1" spans="6:6">
      <c r="F23754" s="2423"/>
    </row>
    <row r="23755" s="101" customFormat="1" spans="6:6">
      <c r="F23755" s="2423"/>
    </row>
    <row r="23756" s="101" customFormat="1" spans="6:6">
      <c r="F23756" s="2423"/>
    </row>
    <row r="23757" s="101" customFormat="1" spans="6:6">
      <c r="F23757" s="2423"/>
    </row>
    <row r="23758" s="101" customFormat="1" spans="6:6">
      <c r="F23758" s="2423"/>
    </row>
    <row r="23759" s="101" customFormat="1" spans="6:6">
      <c r="F23759" s="2423"/>
    </row>
    <row r="23760" s="101" customFormat="1" spans="6:6">
      <c r="F23760" s="2423"/>
    </row>
    <row r="23761" s="101" customFormat="1" spans="6:6">
      <c r="F23761" s="2423"/>
    </row>
    <row r="23762" s="101" customFormat="1" spans="6:6">
      <c r="F23762" s="2423"/>
    </row>
    <row r="23763" s="101" customFormat="1" spans="6:6">
      <c r="F23763" s="2423"/>
    </row>
    <row r="23764" s="101" customFormat="1" spans="6:6">
      <c r="F23764" s="2423"/>
    </row>
    <row r="23765" s="101" customFormat="1" spans="6:6">
      <c r="F23765" s="2423"/>
    </row>
    <row r="23766" s="101" customFormat="1" spans="6:6">
      <c r="F23766" s="2423"/>
    </row>
    <row r="23767" s="101" customFormat="1" spans="6:6">
      <c r="F23767" s="2423"/>
    </row>
    <row r="23768" s="101" customFormat="1" spans="6:6">
      <c r="F23768" s="2423"/>
    </row>
    <row r="23769" s="101" customFormat="1" spans="6:6">
      <c r="F23769" s="2423"/>
    </row>
    <row r="23770" s="101" customFormat="1" spans="6:6">
      <c r="F23770" s="2423"/>
    </row>
    <row r="23771" s="101" customFormat="1" spans="6:6">
      <c r="F23771" s="2423"/>
    </row>
    <row r="23772" s="101" customFormat="1" spans="6:6">
      <c r="F23772" s="2423"/>
    </row>
    <row r="23773" s="101" customFormat="1" spans="6:6">
      <c r="F23773" s="2423"/>
    </row>
    <row r="23774" s="101" customFormat="1" spans="6:6">
      <c r="F23774" s="2423"/>
    </row>
    <row r="23775" s="101" customFormat="1" spans="6:6">
      <c r="F23775" s="2423"/>
    </row>
    <row r="23776" s="101" customFormat="1" spans="6:6">
      <c r="F23776" s="2423"/>
    </row>
    <row r="23777" s="101" customFormat="1" spans="6:6">
      <c r="F23777" s="2423"/>
    </row>
    <row r="23778" s="101" customFormat="1" spans="6:6">
      <c r="F23778" s="2423"/>
    </row>
    <row r="23779" s="101" customFormat="1" spans="6:6">
      <c r="F23779" s="2423"/>
    </row>
    <row r="23780" s="101" customFormat="1" spans="6:6">
      <c r="F23780" s="2423"/>
    </row>
    <row r="23781" s="101" customFormat="1" spans="6:6">
      <c r="F23781" s="2423"/>
    </row>
    <row r="23782" s="101" customFormat="1" spans="6:6">
      <c r="F23782" s="2423"/>
    </row>
    <row r="23783" s="101" customFormat="1" spans="6:6">
      <c r="F23783" s="2423"/>
    </row>
    <row r="23784" s="101" customFormat="1" spans="6:6">
      <c r="F23784" s="2423"/>
    </row>
    <row r="23785" s="101" customFormat="1" spans="6:6">
      <c r="F23785" s="2423"/>
    </row>
    <row r="23786" s="101" customFormat="1" spans="6:6">
      <c r="F23786" s="2423"/>
    </row>
    <row r="23787" s="101" customFormat="1" spans="6:6">
      <c r="F23787" s="2423"/>
    </row>
    <row r="23788" s="101" customFormat="1" spans="6:6">
      <c r="F23788" s="2423"/>
    </row>
    <row r="23789" s="101" customFormat="1" spans="6:6">
      <c r="F23789" s="2423"/>
    </row>
    <row r="23790" s="101" customFormat="1" spans="6:6">
      <c r="F23790" s="2423"/>
    </row>
    <row r="23791" s="101" customFormat="1" spans="6:6">
      <c r="F23791" s="2423"/>
    </row>
    <row r="23792" s="101" customFormat="1" spans="6:6">
      <c r="F23792" s="2423"/>
    </row>
    <row r="23793" s="101" customFormat="1" spans="6:6">
      <c r="F23793" s="2423"/>
    </row>
    <row r="23794" s="101" customFormat="1" spans="6:6">
      <c r="F23794" s="2423"/>
    </row>
    <row r="23795" s="101" customFormat="1" spans="6:6">
      <c r="F23795" s="2423"/>
    </row>
    <row r="23796" s="101" customFormat="1" spans="6:6">
      <c r="F23796" s="2423"/>
    </row>
    <row r="23797" s="101" customFormat="1" spans="6:6">
      <c r="F23797" s="2423"/>
    </row>
    <row r="23798" s="101" customFormat="1" spans="6:6">
      <c r="F23798" s="2423"/>
    </row>
    <row r="23799" s="101" customFormat="1" spans="6:6">
      <c r="F23799" s="2423"/>
    </row>
    <row r="23800" s="101" customFormat="1" spans="6:6">
      <c r="F23800" s="2423"/>
    </row>
    <row r="23801" s="101" customFormat="1" spans="6:6">
      <c r="F23801" s="2423"/>
    </row>
    <row r="23802" s="101" customFormat="1" spans="6:6">
      <c r="F23802" s="2423"/>
    </row>
    <row r="23803" s="101" customFormat="1" spans="6:6">
      <c r="F23803" s="2423"/>
    </row>
    <row r="23804" s="101" customFormat="1" spans="6:6">
      <c r="F23804" s="2423"/>
    </row>
    <row r="23805" s="101" customFormat="1" spans="6:6">
      <c r="F23805" s="2423"/>
    </row>
    <row r="23806" s="101" customFormat="1" spans="6:6">
      <c r="F23806" s="2423"/>
    </row>
    <row r="23807" s="101" customFormat="1" spans="6:6">
      <c r="F23807" s="2423"/>
    </row>
    <row r="23808" s="101" customFormat="1" spans="6:6">
      <c r="F23808" s="2423"/>
    </row>
    <row r="23809" s="101" customFormat="1" spans="6:6">
      <c r="F23809" s="2423"/>
    </row>
    <row r="23810" s="101" customFormat="1" spans="6:6">
      <c r="F23810" s="2423"/>
    </row>
    <row r="23811" s="101" customFormat="1" spans="6:6">
      <c r="F23811" s="2423"/>
    </row>
    <row r="23812" s="101" customFormat="1" spans="6:6">
      <c r="F23812" s="2423"/>
    </row>
    <row r="23813" s="101" customFormat="1" spans="6:6">
      <c r="F23813" s="2423"/>
    </row>
    <row r="23814" s="101" customFormat="1" spans="6:6">
      <c r="F23814" s="2423"/>
    </row>
    <row r="23815" s="101" customFormat="1" spans="6:6">
      <c r="F23815" s="2423"/>
    </row>
    <row r="23816" s="101" customFormat="1" spans="6:6">
      <c r="F23816" s="2423"/>
    </row>
    <row r="23817" s="101" customFormat="1" spans="6:6">
      <c r="F23817" s="2423"/>
    </row>
    <row r="23818" s="101" customFormat="1" spans="6:6">
      <c r="F23818" s="2423"/>
    </row>
    <row r="23819" s="101" customFormat="1" spans="6:6">
      <c r="F23819" s="2423"/>
    </row>
    <row r="23820" s="101" customFormat="1" spans="6:6">
      <c r="F23820" s="2423"/>
    </row>
    <row r="23821" s="101" customFormat="1" spans="6:6">
      <c r="F23821" s="2423"/>
    </row>
    <row r="23822" s="101" customFormat="1" spans="6:6">
      <c r="F23822" s="2423"/>
    </row>
    <row r="23823" s="101" customFormat="1" spans="6:6">
      <c r="F23823" s="2423"/>
    </row>
    <row r="23824" s="101" customFormat="1" spans="6:6">
      <c r="F23824" s="2423"/>
    </row>
    <row r="23825" s="101" customFormat="1" spans="6:6">
      <c r="F23825" s="2423"/>
    </row>
    <row r="23826" s="101" customFormat="1" spans="6:6">
      <c r="F23826" s="2423"/>
    </row>
    <row r="23827" s="101" customFormat="1" spans="6:6">
      <c r="F23827" s="2423"/>
    </row>
    <row r="23828" s="101" customFormat="1" spans="6:6">
      <c r="F23828" s="2423"/>
    </row>
    <row r="23829" s="101" customFormat="1" spans="6:6">
      <c r="F23829" s="2423"/>
    </row>
    <row r="23830" s="101" customFormat="1" spans="6:6">
      <c r="F23830" s="2423"/>
    </row>
    <row r="23831" s="101" customFormat="1" spans="6:6">
      <c r="F23831" s="2423"/>
    </row>
    <row r="23832" s="101" customFormat="1" spans="6:6">
      <c r="F23832" s="2423"/>
    </row>
    <row r="23833" s="101" customFormat="1" spans="6:6">
      <c r="F23833" s="2423"/>
    </row>
    <row r="23834" s="101" customFormat="1" spans="6:6">
      <c r="F23834" s="2423"/>
    </row>
    <row r="23835" s="101" customFormat="1" spans="6:6">
      <c r="F23835" s="2423"/>
    </row>
    <row r="23836" s="101" customFormat="1" spans="6:6">
      <c r="F23836" s="2423"/>
    </row>
    <row r="23837" s="101" customFormat="1" spans="6:6">
      <c r="F23837" s="2423"/>
    </row>
    <row r="23838" s="101" customFormat="1" spans="6:6">
      <c r="F23838" s="2423"/>
    </row>
    <row r="23839" s="101" customFormat="1" spans="6:6">
      <c r="F23839" s="2423"/>
    </row>
    <row r="23840" s="101" customFormat="1" spans="6:6">
      <c r="F23840" s="2423"/>
    </row>
    <row r="23841" s="101" customFormat="1" spans="6:6">
      <c r="F23841" s="2423"/>
    </row>
    <row r="23842" s="101" customFormat="1" spans="6:6">
      <c r="F23842" s="2423"/>
    </row>
    <row r="23843" s="101" customFormat="1" spans="6:6">
      <c r="F23843" s="2423"/>
    </row>
    <row r="23844" s="101" customFormat="1" spans="6:6">
      <c r="F23844" s="2423"/>
    </row>
    <row r="23845" s="101" customFormat="1" spans="6:6">
      <c r="F23845" s="2423"/>
    </row>
    <row r="23846" s="101" customFormat="1" spans="6:6">
      <c r="F23846" s="2423"/>
    </row>
    <row r="23847" s="101" customFormat="1" spans="6:6">
      <c r="F23847" s="2423"/>
    </row>
    <row r="23848" s="101" customFormat="1" spans="6:6">
      <c r="F23848" s="2423"/>
    </row>
    <row r="23849" s="101" customFormat="1" spans="6:6">
      <c r="F23849" s="2423"/>
    </row>
    <row r="23850" s="101" customFormat="1" spans="6:6">
      <c r="F23850" s="2423"/>
    </row>
    <row r="23851" s="101" customFormat="1" spans="6:6">
      <c r="F23851" s="2423"/>
    </row>
    <row r="23852" s="101" customFormat="1" spans="6:6">
      <c r="F23852" s="2423"/>
    </row>
    <row r="23853" s="101" customFormat="1" spans="6:6">
      <c r="F23853" s="2423"/>
    </row>
    <row r="23854" s="101" customFormat="1" spans="6:6">
      <c r="F23854" s="2423"/>
    </row>
    <row r="23855" s="101" customFormat="1" spans="6:6">
      <c r="F23855" s="2423"/>
    </row>
    <row r="23856" s="101" customFormat="1" spans="6:6">
      <c r="F23856" s="2423"/>
    </row>
    <row r="23857" s="101" customFormat="1" spans="6:6">
      <c r="F23857" s="2423"/>
    </row>
    <row r="23858" s="101" customFormat="1" spans="6:6">
      <c r="F23858" s="2423"/>
    </row>
    <row r="23859" s="101" customFormat="1" spans="6:6">
      <c r="F23859" s="2423"/>
    </row>
    <row r="23860" s="101" customFormat="1" spans="6:6">
      <c r="F23860" s="2423"/>
    </row>
    <row r="23861" s="101" customFormat="1" spans="6:6">
      <c r="F23861" s="2423"/>
    </row>
    <row r="23862" s="101" customFormat="1" spans="6:6">
      <c r="F23862" s="2423"/>
    </row>
    <row r="23863" s="101" customFormat="1" spans="6:6">
      <c r="F23863" s="2423"/>
    </row>
    <row r="23864" s="101" customFormat="1" spans="6:6">
      <c r="F23864" s="2423"/>
    </row>
    <row r="23865" s="101" customFormat="1" spans="6:6">
      <c r="F23865" s="2423"/>
    </row>
    <row r="23866" s="101" customFormat="1" spans="6:6">
      <c r="F23866" s="2423"/>
    </row>
    <row r="23867" s="101" customFormat="1" spans="6:6">
      <c r="F23867" s="2423"/>
    </row>
    <row r="23868" s="101" customFormat="1" spans="6:6">
      <c r="F23868" s="2423"/>
    </row>
    <row r="23869" s="101" customFormat="1" spans="6:6">
      <c r="F23869" s="2423"/>
    </row>
    <row r="23870" s="101" customFormat="1" spans="6:6">
      <c r="F23870" s="2423"/>
    </row>
    <row r="23871" s="101" customFormat="1" spans="6:6">
      <c r="F23871" s="2423"/>
    </row>
    <row r="23872" s="101" customFormat="1" spans="6:6">
      <c r="F23872" s="2423"/>
    </row>
    <row r="23873" s="101" customFormat="1" spans="6:6">
      <c r="F23873" s="2423"/>
    </row>
    <row r="23874" s="101" customFormat="1" spans="6:6">
      <c r="F23874" s="2423"/>
    </row>
    <row r="23875" s="101" customFormat="1" spans="6:6">
      <c r="F23875" s="2423"/>
    </row>
    <row r="23876" s="101" customFormat="1" spans="6:6">
      <c r="F23876" s="2423"/>
    </row>
    <row r="23877" s="101" customFormat="1" spans="6:6">
      <c r="F23877" s="2423"/>
    </row>
    <row r="23878" s="101" customFormat="1" spans="6:6">
      <c r="F23878" s="2423"/>
    </row>
    <row r="23879" s="101" customFormat="1" spans="6:6">
      <c r="F23879" s="2423"/>
    </row>
    <row r="23880" s="101" customFormat="1" spans="6:6">
      <c r="F23880" s="2423"/>
    </row>
    <row r="23881" s="101" customFormat="1" spans="6:6">
      <c r="F23881" s="2423"/>
    </row>
    <row r="23882" s="101" customFormat="1" spans="6:6">
      <c r="F23882" s="2423"/>
    </row>
    <row r="23883" s="101" customFormat="1" spans="6:6">
      <c r="F23883" s="2423"/>
    </row>
    <row r="23884" s="101" customFormat="1" spans="6:6">
      <c r="F23884" s="2423"/>
    </row>
    <row r="23885" s="101" customFormat="1" spans="6:6">
      <c r="F23885" s="2423"/>
    </row>
    <row r="23886" s="101" customFormat="1" spans="6:6">
      <c r="F23886" s="2423"/>
    </row>
    <row r="23887" s="101" customFormat="1" spans="6:6">
      <c r="F23887" s="2423"/>
    </row>
    <row r="23888" s="101" customFormat="1" spans="6:6">
      <c r="F23888" s="2423"/>
    </row>
    <row r="23889" s="101" customFormat="1" spans="6:6">
      <c r="F23889" s="2423"/>
    </row>
    <row r="23890" s="101" customFormat="1" spans="6:6">
      <c r="F23890" s="2423"/>
    </row>
    <row r="23891" s="101" customFormat="1" spans="6:6">
      <c r="F23891" s="2423"/>
    </row>
    <row r="23892" s="101" customFormat="1" spans="6:6">
      <c r="F23892" s="2423"/>
    </row>
    <row r="23893" s="101" customFormat="1" spans="6:6">
      <c r="F23893" s="2423"/>
    </row>
    <row r="23894" s="101" customFormat="1" spans="6:6">
      <c r="F23894" s="2423"/>
    </row>
    <row r="23895" s="101" customFormat="1" spans="6:6">
      <c r="F23895" s="2423"/>
    </row>
    <row r="23896" s="101" customFormat="1" spans="6:6">
      <c r="F23896" s="2423"/>
    </row>
    <row r="23897" s="101" customFormat="1" spans="6:6">
      <c r="F23897" s="2423"/>
    </row>
    <row r="23898" s="101" customFormat="1" spans="6:6">
      <c r="F23898" s="2423"/>
    </row>
    <row r="23899" s="101" customFormat="1" spans="6:6">
      <c r="F23899" s="2423"/>
    </row>
    <row r="23900" s="101" customFormat="1" spans="6:6">
      <c r="F23900" s="2423"/>
    </row>
    <row r="23901" s="101" customFormat="1" spans="6:6">
      <c r="F23901" s="2423"/>
    </row>
    <row r="23902" s="101" customFormat="1" spans="6:6">
      <c r="F23902" s="2423"/>
    </row>
    <row r="23903" s="101" customFormat="1" spans="6:6">
      <c r="F23903" s="2423"/>
    </row>
    <row r="23904" s="101" customFormat="1" spans="6:6">
      <c r="F23904" s="2423"/>
    </row>
    <row r="23905" s="101" customFormat="1" spans="6:6">
      <c r="F23905" s="2423"/>
    </row>
    <row r="23906" s="101" customFormat="1" spans="6:6">
      <c r="F23906" s="2423"/>
    </row>
    <row r="23907" s="101" customFormat="1" spans="6:6">
      <c r="F23907" s="2423"/>
    </row>
    <row r="23908" s="101" customFormat="1" spans="6:6">
      <c r="F23908" s="2423"/>
    </row>
    <row r="23909" s="101" customFormat="1" spans="6:6">
      <c r="F23909" s="2423"/>
    </row>
    <row r="23910" s="101" customFormat="1" spans="6:6">
      <c r="F23910" s="2423"/>
    </row>
    <row r="23911" s="101" customFormat="1" spans="6:6">
      <c r="F23911" s="2423"/>
    </row>
    <row r="23912" s="101" customFormat="1" spans="6:6">
      <c r="F23912" s="2423"/>
    </row>
    <row r="23913" s="101" customFormat="1" spans="6:6">
      <c r="F23913" s="2423"/>
    </row>
    <row r="23914" s="101" customFormat="1" spans="6:6">
      <c r="F23914" s="2423"/>
    </row>
    <row r="23915" s="101" customFormat="1" spans="6:6">
      <c r="F23915" s="2423"/>
    </row>
    <row r="23916" s="101" customFormat="1" spans="6:6">
      <c r="F23916" s="2423"/>
    </row>
    <row r="23917" s="101" customFormat="1" spans="6:6">
      <c r="F23917" s="2423"/>
    </row>
    <row r="23918" s="101" customFormat="1" spans="6:6">
      <c r="F23918" s="2423"/>
    </row>
    <row r="23919" s="101" customFormat="1" spans="6:6">
      <c r="F23919" s="2423"/>
    </row>
    <row r="23920" s="101" customFormat="1" spans="6:6">
      <c r="F23920" s="2423"/>
    </row>
    <row r="23921" s="101" customFormat="1" spans="6:6">
      <c r="F23921" s="2423"/>
    </row>
    <row r="23922" s="101" customFormat="1" spans="6:6">
      <c r="F23922" s="2423"/>
    </row>
    <row r="23923" s="101" customFormat="1" spans="6:6">
      <c r="F23923" s="2423"/>
    </row>
    <row r="23924" s="101" customFormat="1" spans="6:6">
      <c r="F23924" s="2423"/>
    </row>
    <row r="23925" s="101" customFormat="1" spans="6:6">
      <c r="F23925" s="2423"/>
    </row>
    <row r="23926" s="101" customFormat="1" spans="6:6">
      <c r="F23926" s="2423"/>
    </row>
    <row r="23927" s="101" customFormat="1" spans="6:6">
      <c r="F23927" s="2423"/>
    </row>
    <row r="23928" s="101" customFormat="1" spans="6:6">
      <c r="F23928" s="2423"/>
    </row>
    <row r="23929" s="101" customFormat="1" spans="6:6">
      <c r="F23929" s="2423"/>
    </row>
    <row r="23930" s="101" customFormat="1" spans="6:6">
      <c r="F23930" s="2423"/>
    </row>
    <row r="23931" s="101" customFormat="1" spans="6:6">
      <c r="F23931" s="2423"/>
    </row>
    <row r="23932" s="101" customFormat="1" spans="6:6">
      <c r="F23932" s="2423"/>
    </row>
    <row r="23933" s="101" customFormat="1" spans="6:6">
      <c r="F23933" s="2423"/>
    </row>
    <row r="23934" s="101" customFormat="1" spans="6:6">
      <c r="F23934" s="2423"/>
    </row>
    <row r="23935" s="101" customFormat="1" spans="6:6">
      <c r="F23935" s="2423"/>
    </row>
    <row r="23936" s="101" customFormat="1" spans="6:6">
      <c r="F23936" s="2423"/>
    </row>
    <row r="23937" s="101" customFormat="1" spans="6:6">
      <c r="F23937" s="2423"/>
    </row>
    <row r="23938" s="101" customFormat="1" spans="6:6">
      <c r="F23938" s="2423"/>
    </row>
    <row r="23939" s="101" customFormat="1" spans="6:6">
      <c r="F23939" s="2423"/>
    </row>
    <row r="23940" s="101" customFormat="1" spans="6:6">
      <c r="F23940" s="2423"/>
    </row>
    <row r="23941" s="101" customFormat="1" spans="6:6">
      <c r="F23941" s="2423"/>
    </row>
    <row r="23942" s="101" customFormat="1" spans="6:6">
      <c r="F23942" s="2423"/>
    </row>
    <row r="23943" s="101" customFormat="1" spans="6:6">
      <c r="F23943" s="2423"/>
    </row>
    <row r="23944" s="101" customFormat="1" spans="6:6">
      <c r="F23944" s="2423"/>
    </row>
    <row r="23945" s="101" customFormat="1" spans="6:6">
      <c r="F23945" s="2423"/>
    </row>
    <row r="23946" s="101" customFormat="1" spans="6:6">
      <c r="F23946" s="2423"/>
    </row>
    <row r="23947" s="101" customFormat="1" spans="6:6">
      <c r="F23947" s="2423"/>
    </row>
    <row r="23948" s="101" customFormat="1" spans="6:6">
      <c r="F23948" s="2423"/>
    </row>
    <row r="23949" s="101" customFormat="1" spans="6:6">
      <c r="F23949" s="2423"/>
    </row>
    <row r="23950" s="101" customFormat="1" spans="6:6">
      <c r="F23950" s="2423"/>
    </row>
    <row r="23951" s="101" customFormat="1" spans="6:6">
      <c r="F23951" s="2423"/>
    </row>
    <row r="23952" s="101" customFormat="1" spans="6:6">
      <c r="F23952" s="2423"/>
    </row>
    <row r="23953" s="101" customFormat="1" spans="6:6">
      <c r="F23953" s="2423"/>
    </row>
    <row r="23954" s="101" customFormat="1" spans="6:6">
      <c r="F23954" s="2423"/>
    </row>
    <row r="23955" s="101" customFormat="1" spans="6:6">
      <c r="F23955" s="2423"/>
    </row>
    <row r="23956" s="101" customFormat="1" spans="6:6">
      <c r="F23956" s="2423"/>
    </row>
    <row r="23957" s="101" customFormat="1" spans="6:6">
      <c r="F23957" s="2423"/>
    </row>
    <row r="23958" s="101" customFormat="1" spans="6:6">
      <c r="F23958" s="2423"/>
    </row>
    <row r="23959" s="101" customFormat="1" spans="6:6">
      <c r="F23959" s="2423"/>
    </row>
    <row r="23960" s="101" customFormat="1" spans="6:6">
      <c r="F23960" s="2423"/>
    </row>
    <row r="23961" s="101" customFormat="1" spans="6:6">
      <c r="F23961" s="2423"/>
    </row>
    <row r="23962" s="101" customFormat="1" spans="6:6">
      <c r="F23962" s="2423"/>
    </row>
    <row r="23963" s="101" customFormat="1" spans="6:6">
      <c r="F23963" s="2423"/>
    </row>
    <row r="23964" s="101" customFormat="1" spans="6:6">
      <c r="F23964" s="2423"/>
    </row>
    <row r="23965" s="101" customFormat="1" spans="6:6">
      <c r="F23965" s="2423"/>
    </row>
    <row r="23966" s="101" customFormat="1" spans="6:6">
      <c r="F23966" s="2423"/>
    </row>
    <row r="23967" s="101" customFormat="1" spans="6:6">
      <c r="F23967" s="2423"/>
    </row>
    <row r="23968" s="101" customFormat="1" spans="6:6">
      <c r="F23968" s="2423"/>
    </row>
    <row r="23969" s="101" customFormat="1" spans="6:6">
      <c r="F23969" s="2423"/>
    </row>
    <row r="23970" s="101" customFormat="1" spans="6:6">
      <c r="F23970" s="2423"/>
    </row>
    <row r="23971" s="101" customFormat="1" spans="6:6">
      <c r="F23971" s="2423"/>
    </row>
    <row r="23972" s="101" customFormat="1" spans="6:6">
      <c r="F23972" s="2423"/>
    </row>
    <row r="23973" s="101" customFormat="1" spans="6:6">
      <c r="F23973" s="2423"/>
    </row>
    <row r="23974" s="101" customFormat="1" spans="6:6">
      <c r="F23974" s="2423"/>
    </row>
    <row r="23975" s="101" customFormat="1" spans="6:6">
      <c r="F23975" s="2423"/>
    </row>
    <row r="23976" s="101" customFormat="1" spans="6:6">
      <c r="F23976" s="2423"/>
    </row>
    <row r="23977" s="101" customFormat="1" spans="6:6">
      <c r="F23977" s="2423"/>
    </row>
    <row r="23978" s="101" customFormat="1" spans="6:6">
      <c r="F23978" s="2423"/>
    </row>
    <row r="23979" s="101" customFormat="1" spans="6:6">
      <c r="F23979" s="2423"/>
    </row>
    <row r="23980" s="101" customFormat="1" spans="6:6">
      <c r="F23980" s="2423"/>
    </row>
    <row r="23981" s="101" customFormat="1" spans="6:6">
      <c r="F23981" s="2423"/>
    </row>
    <row r="23982" s="101" customFormat="1" spans="6:6">
      <c r="F23982" s="2423"/>
    </row>
    <row r="23983" s="101" customFormat="1" spans="6:6">
      <c r="F23983" s="2423"/>
    </row>
    <row r="23984" s="101" customFormat="1" spans="6:6">
      <c r="F23984" s="2423"/>
    </row>
    <row r="23985" s="101" customFormat="1" spans="6:6">
      <c r="F23985" s="2423"/>
    </row>
    <row r="23986" s="101" customFormat="1" spans="6:6">
      <c r="F23986" s="2423"/>
    </row>
    <row r="23987" s="101" customFormat="1" spans="6:6">
      <c r="F23987" s="2423"/>
    </row>
    <row r="23988" s="101" customFormat="1" spans="6:6">
      <c r="F23988" s="2423"/>
    </row>
    <row r="23989" s="101" customFormat="1" spans="6:6">
      <c r="F23989" s="2423"/>
    </row>
    <row r="23990" s="101" customFormat="1" spans="6:6">
      <c r="F23990" s="2423"/>
    </row>
    <row r="23991" s="101" customFormat="1" spans="6:6">
      <c r="F23991" s="2423"/>
    </row>
    <row r="23992" s="101" customFormat="1" spans="6:6">
      <c r="F23992" s="2423"/>
    </row>
    <row r="23993" s="101" customFormat="1" spans="6:6">
      <c r="F23993" s="2423"/>
    </row>
    <row r="23994" s="101" customFormat="1" spans="6:6">
      <c r="F23994" s="2423"/>
    </row>
    <row r="23995" s="101" customFormat="1" spans="6:6">
      <c r="F23995" s="2423"/>
    </row>
    <row r="23996" s="101" customFormat="1" spans="6:6">
      <c r="F23996" s="2423"/>
    </row>
    <row r="23997" s="101" customFormat="1" spans="6:6">
      <c r="F23997" s="2423"/>
    </row>
    <row r="23998" s="101" customFormat="1" spans="6:6">
      <c r="F23998" s="2423"/>
    </row>
    <row r="23999" s="101" customFormat="1" spans="6:6">
      <c r="F23999" s="2423"/>
    </row>
    <row r="24000" s="101" customFormat="1" spans="6:6">
      <c r="F24000" s="2423"/>
    </row>
    <row r="24001" s="101" customFormat="1" spans="6:6">
      <c r="F24001" s="2423"/>
    </row>
    <row r="24002" s="101" customFormat="1" spans="6:6">
      <c r="F24002" s="2423"/>
    </row>
    <row r="24003" s="101" customFormat="1" spans="6:6">
      <c r="F24003" s="2423"/>
    </row>
    <row r="24004" s="101" customFormat="1" spans="6:6">
      <c r="F24004" s="2423"/>
    </row>
    <row r="24005" s="101" customFormat="1" spans="6:6">
      <c r="F24005" s="2423"/>
    </row>
    <row r="24006" s="101" customFormat="1" spans="6:6">
      <c r="F24006" s="2423"/>
    </row>
    <row r="24007" s="101" customFormat="1" spans="6:6">
      <c r="F24007" s="2423"/>
    </row>
    <row r="24008" s="101" customFormat="1" spans="6:6">
      <c r="F24008" s="2423"/>
    </row>
    <row r="24009" s="101" customFormat="1" spans="6:6">
      <c r="F24009" s="2423"/>
    </row>
    <row r="24010" s="101" customFormat="1" spans="6:6">
      <c r="F24010" s="2423"/>
    </row>
    <row r="24011" s="101" customFormat="1" spans="6:6">
      <c r="F24011" s="2423"/>
    </row>
    <row r="24012" s="101" customFormat="1" spans="6:6">
      <c r="F24012" s="2423"/>
    </row>
    <row r="24013" s="101" customFormat="1" spans="6:6">
      <c r="F24013" s="2423"/>
    </row>
    <row r="24014" s="101" customFormat="1" spans="6:6">
      <c r="F24014" s="2423"/>
    </row>
    <row r="24015" s="101" customFormat="1" spans="6:6">
      <c r="F24015" s="2423"/>
    </row>
    <row r="24016" s="101" customFormat="1" spans="6:6">
      <c r="F24016" s="2423"/>
    </row>
    <row r="24017" s="101" customFormat="1" spans="6:6">
      <c r="F24017" s="2423"/>
    </row>
    <row r="24018" s="101" customFormat="1" spans="6:6">
      <c r="F24018" s="2423"/>
    </row>
    <row r="24019" s="101" customFormat="1" spans="6:6">
      <c r="F24019" s="2423"/>
    </row>
    <row r="24020" s="101" customFormat="1" spans="6:6">
      <c r="F24020" s="2423"/>
    </row>
    <row r="24021" s="101" customFormat="1" spans="6:6">
      <c r="F24021" s="2423"/>
    </row>
    <row r="24022" s="101" customFormat="1" spans="6:6">
      <c r="F24022" s="2423"/>
    </row>
    <row r="24023" s="101" customFormat="1" spans="6:6">
      <c r="F24023" s="2423"/>
    </row>
    <row r="24024" s="101" customFormat="1" spans="6:6">
      <c r="F24024" s="2423"/>
    </row>
    <row r="24025" s="101" customFormat="1" spans="6:6">
      <c r="F24025" s="2423"/>
    </row>
    <row r="24026" s="101" customFormat="1" spans="6:6">
      <c r="F24026" s="2423"/>
    </row>
    <row r="24027" s="101" customFormat="1" spans="6:6">
      <c r="F24027" s="2423"/>
    </row>
    <row r="24028" s="101" customFormat="1" spans="6:6">
      <c r="F24028" s="2423"/>
    </row>
    <row r="24029" s="101" customFormat="1" spans="6:6">
      <c r="F24029" s="2423"/>
    </row>
    <row r="24030" s="101" customFormat="1" spans="6:6">
      <c r="F24030" s="2423"/>
    </row>
    <row r="24031" s="101" customFormat="1" spans="6:6">
      <c r="F24031" s="2423"/>
    </row>
    <row r="24032" s="101" customFormat="1" spans="6:6">
      <c r="F24032" s="2423"/>
    </row>
    <row r="24033" s="101" customFormat="1" spans="6:6">
      <c r="F24033" s="2423"/>
    </row>
    <row r="24034" s="101" customFormat="1" spans="6:6">
      <c r="F24034" s="2423"/>
    </row>
    <row r="24035" s="101" customFormat="1" spans="6:6">
      <c r="F24035" s="2423"/>
    </row>
    <row r="24036" s="101" customFormat="1" spans="6:6">
      <c r="F24036" s="2423"/>
    </row>
    <row r="24037" s="101" customFormat="1" spans="6:6">
      <c r="F24037" s="2423"/>
    </row>
    <row r="24038" s="101" customFormat="1" spans="6:6">
      <c r="F24038" s="2423"/>
    </row>
    <row r="24039" s="101" customFormat="1" spans="6:6">
      <c r="F24039" s="2423"/>
    </row>
    <row r="24040" s="101" customFormat="1" spans="6:6">
      <c r="F24040" s="2423"/>
    </row>
    <row r="24041" s="101" customFormat="1" spans="6:6">
      <c r="F24041" s="2423"/>
    </row>
    <row r="24042" s="101" customFormat="1" spans="6:6">
      <c r="F24042" s="2423"/>
    </row>
    <row r="24043" s="101" customFormat="1" spans="6:6">
      <c r="F24043" s="2423"/>
    </row>
    <row r="24044" s="101" customFormat="1" spans="6:6">
      <c r="F24044" s="2423"/>
    </row>
    <row r="24045" s="101" customFormat="1" spans="6:6">
      <c r="F24045" s="2423"/>
    </row>
    <row r="24046" s="101" customFormat="1" spans="6:6">
      <c r="F24046" s="2423"/>
    </row>
    <row r="24047" s="101" customFormat="1" spans="6:6">
      <c r="F24047" s="2423"/>
    </row>
    <row r="24048" s="101" customFormat="1" spans="6:6">
      <c r="F24048" s="2423"/>
    </row>
    <row r="24049" s="101" customFormat="1" spans="6:6">
      <c r="F24049" s="2423"/>
    </row>
    <row r="24050" s="101" customFormat="1" spans="6:6">
      <c r="F24050" s="2423"/>
    </row>
    <row r="24051" s="101" customFormat="1" spans="6:6">
      <c r="F24051" s="2423"/>
    </row>
    <row r="24052" s="101" customFormat="1" spans="6:6">
      <c r="F24052" s="2423"/>
    </row>
    <row r="24053" s="101" customFormat="1" spans="6:6">
      <c r="F24053" s="2423"/>
    </row>
    <row r="24054" s="101" customFormat="1" spans="6:6">
      <c r="F24054" s="2423"/>
    </row>
    <row r="24055" s="101" customFormat="1" spans="6:6">
      <c r="F24055" s="2423"/>
    </row>
    <row r="24056" s="101" customFormat="1" spans="6:6">
      <c r="F24056" s="2423"/>
    </row>
    <row r="24057" s="101" customFormat="1" spans="6:6">
      <c r="F24057" s="2423"/>
    </row>
    <row r="24058" s="101" customFormat="1" spans="6:6">
      <c r="F24058" s="2423"/>
    </row>
    <row r="24059" s="101" customFormat="1" spans="6:6">
      <c r="F24059" s="2423"/>
    </row>
    <row r="24060" s="101" customFormat="1" spans="6:6">
      <c r="F24060" s="2423"/>
    </row>
    <row r="24061" s="101" customFormat="1" spans="6:6">
      <c r="F24061" s="2423"/>
    </row>
    <row r="24062" s="101" customFormat="1" spans="6:6">
      <c r="F24062" s="2423"/>
    </row>
    <row r="24063" s="101" customFormat="1" spans="6:6">
      <c r="F24063" s="2423"/>
    </row>
    <row r="24064" s="101" customFormat="1" spans="6:6">
      <c r="F24064" s="2423"/>
    </row>
    <row r="24065" s="101" customFormat="1" spans="6:6">
      <c r="F24065" s="2423"/>
    </row>
    <row r="24066" s="101" customFormat="1" spans="6:6">
      <c r="F24066" s="2423"/>
    </row>
    <row r="24067" s="101" customFormat="1" spans="6:6">
      <c r="F24067" s="2423"/>
    </row>
    <row r="24068" s="101" customFormat="1" spans="6:6">
      <c r="F24068" s="2423"/>
    </row>
    <row r="24069" s="101" customFormat="1" spans="6:6">
      <c r="F24069" s="2423"/>
    </row>
    <row r="24070" s="101" customFormat="1" spans="6:6">
      <c r="F24070" s="2423"/>
    </row>
    <row r="24071" s="101" customFormat="1" spans="6:6">
      <c r="F24071" s="2423"/>
    </row>
    <row r="24072" s="101" customFormat="1" spans="6:6">
      <c r="F24072" s="2423"/>
    </row>
    <row r="24073" s="101" customFormat="1" spans="6:6">
      <c r="F24073" s="2423"/>
    </row>
    <row r="24074" s="101" customFormat="1" spans="6:6">
      <c r="F24074" s="2423"/>
    </row>
    <row r="24075" s="101" customFormat="1" spans="6:6">
      <c r="F24075" s="2423"/>
    </row>
    <row r="24076" s="101" customFormat="1" spans="6:6">
      <c r="F24076" s="2423"/>
    </row>
    <row r="24077" s="101" customFormat="1" spans="6:6">
      <c r="F24077" s="2423"/>
    </row>
    <row r="24078" s="101" customFormat="1" spans="6:6">
      <c r="F24078" s="2423"/>
    </row>
    <row r="24079" s="101" customFormat="1" spans="6:6">
      <c r="F24079" s="2423"/>
    </row>
    <row r="24080" s="101" customFormat="1" spans="6:6">
      <c r="F24080" s="2423"/>
    </row>
    <row r="24081" s="101" customFormat="1" spans="6:6">
      <c r="F24081" s="2423"/>
    </row>
    <row r="24082" s="101" customFormat="1" spans="6:6">
      <c r="F24082" s="2423"/>
    </row>
    <row r="24083" s="101" customFormat="1" spans="6:6">
      <c r="F24083" s="2423"/>
    </row>
    <row r="24084" s="101" customFormat="1" spans="6:6">
      <c r="F24084" s="2423"/>
    </row>
    <row r="24085" s="101" customFormat="1" spans="6:6">
      <c r="F24085" s="2423"/>
    </row>
    <row r="24086" s="101" customFormat="1" spans="6:6">
      <c r="F24086" s="2423"/>
    </row>
    <row r="24087" s="101" customFormat="1" spans="6:6">
      <c r="F24087" s="2423"/>
    </row>
    <row r="24088" s="101" customFormat="1" spans="6:6">
      <c r="F24088" s="2423"/>
    </row>
    <row r="24089" s="101" customFormat="1" spans="6:6">
      <c r="F24089" s="2423"/>
    </row>
    <row r="24090" s="101" customFormat="1" spans="6:6">
      <c r="F24090" s="2423"/>
    </row>
    <row r="24091" s="101" customFormat="1" spans="6:6">
      <c r="F24091" s="2423"/>
    </row>
    <row r="24092" s="101" customFormat="1" spans="6:6">
      <c r="F24092" s="2423"/>
    </row>
    <row r="24093" s="101" customFormat="1" spans="6:6">
      <c r="F24093" s="2423"/>
    </row>
    <row r="24094" s="101" customFormat="1" spans="6:6">
      <c r="F24094" s="2423"/>
    </row>
    <row r="24095" s="101" customFormat="1" spans="6:6">
      <c r="F24095" s="2423"/>
    </row>
    <row r="24096" s="101" customFormat="1" spans="6:6">
      <c r="F24096" s="2423"/>
    </row>
    <row r="24097" s="101" customFormat="1" spans="6:6">
      <c r="F24097" s="2423"/>
    </row>
    <row r="24098" s="101" customFormat="1" spans="6:6">
      <c r="F24098" s="2423"/>
    </row>
    <row r="24099" s="101" customFormat="1" spans="6:6">
      <c r="F24099" s="2423"/>
    </row>
    <row r="24100" s="101" customFormat="1" spans="6:6">
      <c r="F24100" s="2423"/>
    </row>
    <row r="24101" s="101" customFormat="1" spans="6:6">
      <c r="F24101" s="2423"/>
    </row>
    <row r="24102" s="101" customFormat="1" spans="6:6">
      <c r="F24102" s="2423"/>
    </row>
    <row r="24103" s="101" customFormat="1" spans="6:6">
      <c r="F24103" s="2423"/>
    </row>
    <row r="24104" s="101" customFormat="1" spans="6:6">
      <c r="F24104" s="2423"/>
    </row>
    <row r="24105" s="101" customFormat="1" spans="6:6">
      <c r="F24105" s="2423"/>
    </row>
    <row r="24106" s="101" customFormat="1" spans="6:6">
      <c r="F24106" s="2423"/>
    </row>
    <row r="24107" s="101" customFormat="1" spans="6:6">
      <c r="F24107" s="2423"/>
    </row>
    <row r="24108" s="101" customFormat="1" spans="6:6">
      <c r="F24108" s="2423"/>
    </row>
    <row r="24109" s="101" customFormat="1" spans="6:6">
      <c r="F24109" s="2423"/>
    </row>
    <row r="24110" s="101" customFormat="1" spans="6:6">
      <c r="F24110" s="2423"/>
    </row>
    <row r="24111" s="101" customFormat="1" spans="6:6">
      <c r="F24111" s="2423"/>
    </row>
    <row r="24112" s="101" customFormat="1" spans="6:6">
      <c r="F24112" s="2423"/>
    </row>
    <row r="24113" s="101" customFormat="1" spans="6:6">
      <c r="F24113" s="2423"/>
    </row>
    <row r="24114" s="101" customFormat="1" spans="6:6">
      <c r="F24114" s="2423"/>
    </row>
    <row r="24115" s="101" customFormat="1" spans="6:6">
      <c r="F24115" s="2423"/>
    </row>
    <row r="24116" s="101" customFormat="1" spans="6:6">
      <c r="F24116" s="2423"/>
    </row>
    <row r="24117" s="101" customFormat="1" spans="6:6">
      <c r="F24117" s="2423"/>
    </row>
    <row r="24118" s="101" customFormat="1" spans="6:6">
      <c r="F24118" s="2423"/>
    </row>
    <row r="24119" s="101" customFormat="1" spans="6:6">
      <c r="F24119" s="2423"/>
    </row>
    <row r="24120" s="101" customFormat="1" spans="6:6">
      <c r="F24120" s="2423"/>
    </row>
    <row r="24121" s="101" customFormat="1" spans="6:6">
      <c r="F24121" s="2423"/>
    </row>
    <row r="24122" s="101" customFormat="1" spans="6:6">
      <c r="F24122" s="2423"/>
    </row>
    <row r="24123" s="101" customFormat="1" spans="6:6">
      <c r="F24123" s="2423"/>
    </row>
    <row r="24124" s="101" customFormat="1" spans="6:6">
      <c r="F24124" s="2423"/>
    </row>
    <row r="24125" s="101" customFormat="1" spans="6:6">
      <c r="F24125" s="2423"/>
    </row>
    <row r="24126" s="101" customFormat="1" spans="6:6">
      <c r="F24126" s="2423"/>
    </row>
    <row r="24127" s="101" customFormat="1" spans="6:6">
      <c r="F24127" s="2423"/>
    </row>
    <row r="24128" s="101" customFormat="1" spans="6:6">
      <c r="F24128" s="2423"/>
    </row>
    <row r="24129" s="101" customFormat="1" spans="6:6">
      <c r="F24129" s="2423"/>
    </row>
    <row r="24130" s="101" customFormat="1" spans="6:6">
      <c r="F24130" s="2423"/>
    </row>
    <row r="24131" s="101" customFormat="1" spans="6:6">
      <c r="F24131" s="2423"/>
    </row>
    <row r="24132" s="101" customFormat="1" spans="6:6">
      <c r="F24132" s="2423"/>
    </row>
    <row r="24133" s="101" customFormat="1" spans="6:6">
      <c r="F24133" s="2423"/>
    </row>
    <row r="24134" s="101" customFormat="1" spans="6:6">
      <c r="F24134" s="2423"/>
    </row>
    <row r="24135" s="101" customFormat="1" spans="6:6">
      <c r="F24135" s="2423"/>
    </row>
    <row r="24136" s="101" customFormat="1" spans="6:6">
      <c r="F24136" s="2423"/>
    </row>
    <row r="24137" s="101" customFormat="1" spans="6:6">
      <c r="F24137" s="2423"/>
    </row>
    <row r="24138" s="101" customFormat="1" spans="6:6">
      <c r="F24138" s="2423"/>
    </row>
    <row r="24139" s="101" customFormat="1" spans="6:6">
      <c r="F24139" s="2423"/>
    </row>
    <row r="24140" s="101" customFormat="1" spans="6:6">
      <c r="F24140" s="2423"/>
    </row>
    <row r="24141" s="101" customFormat="1" spans="6:6">
      <c r="F24141" s="2423"/>
    </row>
    <row r="24142" s="101" customFormat="1" spans="6:6">
      <c r="F24142" s="2423"/>
    </row>
    <row r="24143" s="101" customFormat="1" spans="6:6">
      <c r="F24143" s="2423"/>
    </row>
    <row r="24144" s="101" customFormat="1" spans="6:6">
      <c r="F24144" s="2423"/>
    </row>
    <row r="24145" s="101" customFormat="1" spans="6:6">
      <c r="F24145" s="2423"/>
    </row>
    <row r="24146" s="101" customFormat="1" spans="6:6">
      <c r="F24146" s="2423"/>
    </row>
    <row r="24147" s="101" customFormat="1" spans="6:6">
      <c r="F24147" s="2423"/>
    </row>
    <row r="24148" s="101" customFormat="1" spans="6:6">
      <c r="F24148" s="2423"/>
    </row>
    <row r="24149" s="101" customFormat="1" spans="6:6">
      <c r="F24149" s="2423"/>
    </row>
    <row r="24150" s="101" customFormat="1" spans="6:6">
      <c r="F24150" s="2423"/>
    </row>
    <row r="24151" s="101" customFormat="1" spans="6:6">
      <c r="F24151" s="2423"/>
    </row>
    <row r="24152" s="101" customFormat="1" spans="6:6">
      <c r="F24152" s="2423"/>
    </row>
    <row r="24153" s="101" customFormat="1" spans="6:6">
      <c r="F24153" s="2423"/>
    </row>
    <row r="24154" s="101" customFormat="1" spans="6:6">
      <c r="F24154" s="2423"/>
    </row>
    <row r="24155" s="101" customFormat="1" spans="6:6">
      <c r="F24155" s="2423"/>
    </row>
    <row r="24156" s="101" customFormat="1" spans="6:6">
      <c r="F24156" s="2423"/>
    </row>
    <row r="24157" s="101" customFormat="1" spans="6:6">
      <c r="F24157" s="2423"/>
    </row>
    <row r="24158" s="101" customFormat="1" spans="6:6">
      <c r="F24158" s="2423"/>
    </row>
    <row r="24159" s="101" customFormat="1" spans="6:6">
      <c r="F24159" s="2423"/>
    </row>
    <row r="24160" s="101" customFormat="1" spans="6:6">
      <c r="F24160" s="2423"/>
    </row>
    <row r="24161" s="101" customFormat="1" spans="6:6">
      <c r="F24161" s="2423"/>
    </row>
    <row r="24162" s="101" customFormat="1" spans="6:6">
      <c r="F24162" s="2423"/>
    </row>
    <row r="24163" s="101" customFormat="1" spans="6:6">
      <c r="F24163" s="2423"/>
    </row>
    <row r="24164" s="101" customFormat="1" spans="6:6">
      <c r="F24164" s="2423"/>
    </row>
    <row r="24165" s="101" customFormat="1" spans="6:6">
      <c r="F24165" s="2423"/>
    </row>
    <row r="24166" s="101" customFormat="1" spans="6:6">
      <c r="F24166" s="2423"/>
    </row>
    <row r="24167" s="101" customFormat="1" spans="6:6">
      <c r="F24167" s="2423"/>
    </row>
    <row r="24168" s="101" customFormat="1" spans="6:6">
      <c r="F24168" s="2423"/>
    </row>
    <row r="24169" s="101" customFormat="1" spans="6:6">
      <c r="F24169" s="2423"/>
    </row>
    <row r="24170" s="101" customFormat="1" spans="6:6">
      <c r="F24170" s="2423"/>
    </row>
    <row r="24171" s="101" customFormat="1" spans="6:6">
      <c r="F24171" s="2423"/>
    </row>
    <row r="24172" s="101" customFormat="1" spans="6:6">
      <c r="F24172" s="2423"/>
    </row>
    <row r="24173" s="101" customFormat="1" spans="6:6">
      <c r="F24173" s="2423"/>
    </row>
    <row r="24174" s="101" customFormat="1" spans="6:6">
      <c r="F24174" s="2423"/>
    </row>
    <row r="24175" s="101" customFormat="1" spans="6:6">
      <c r="F24175" s="2423"/>
    </row>
    <row r="24176" s="101" customFormat="1" spans="6:6">
      <c r="F24176" s="2423"/>
    </row>
    <row r="24177" s="101" customFormat="1" spans="6:6">
      <c r="F24177" s="2423"/>
    </row>
    <row r="24178" s="101" customFormat="1" spans="6:6">
      <c r="F24178" s="2423"/>
    </row>
    <row r="24179" s="101" customFormat="1" spans="6:6">
      <c r="F24179" s="2423"/>
    </row>
    <row r="24180" s="101" customFormat="1" spans="6:6">
      <c r="F24180" s="2423"/>
    </row>
    <row r="24181" s="101" customFormat="1" spans="6:6">
      <c r="F24181" s="2423"/>
    </row>
    <row r="24182" s="101" customFormat="1" spans="6:6">
      <c r="F24182" s="2423"/>
    </row>
    <row r="24183" s="101" customFormat="1" spans="6:6">
      <c r="F24183" s="2423"/>
    </row>
    <row r="24184" s="101" customFormat="1" spans="6:6">
      <c r="F24184" s="2423"/>
    </row>
    <row r="24185" s="101" customFormat="1" spans="6:6">
      <c r="F24185" s="2423"/>
    </row>
    <row r="24186" s="101" customFormat="1" spans="6:6">
      <c r="F24186" s="2423"/>
    </row>
    <row r="24187" s="101" customFormat="1" spans="6:6">
      <c r="F24187" s="2423"/>
    </row>
    <row r="24188" s="101" customFormat="1" spans="6:6">
      <c r="F24188" s="2423"/>
    </row>
    <row r="24189" s="101" customFormat="1" spans="6:6">
      <c r="F24189" s="2423"/>
    </row>
    <row r="24190" s="101" customFormat="1" spans="6:6">
      <c r="F24190" s="2423"/>
    </row>
    <row r="24191" s="101" customFormat="1" spans="6:6">
      <c r="F24191" s="2423"/>
    </row>
    <row r="24192" s="101" customFormat="1" spans="6:6">
      <c r="F24192" s="2423"/>
    </row>
    <row r="24193" s="101" customFormat="1" spans="6:6">
      <c r="F24193" s="2423"/>
    </row>
    <row r="24194" s="101" customFormat="1" spans="6:6">
      <c r="F24194" s="2423"/>
    </row>
    <row r="24195" s="101" customFormat="1" spans="6:6">
      <c r="F24195" s="2423"/>
    </row>
    <row r="24196" s="101" customFormat="1" spans="6:6">
      <c r="F24196" s="2423"/>
    </row>
    <row r="24197" s="101" customFormat="1" spans="6:6">
      <c r="F24197" s="2423"/>
    </row>
    <row r="24198" s="101" customFormat="1" spans="6:6">
      <c r="F24198" s="2423"/>
    </row>
    <row r="24199" s="101" customFormat="1" spans="6:6">
      <c r="F24199" s="2423"/>
    </row>
    <row r="24200" s="101" customFormat="1" spans="6:6">
      <c r="F24200" s="2423"/>
    </row>
    <row r="24201" s="101" customFormat="1" spans="6:6">
      <c r="F24201" s="2423"/>
    </row>
    <row r="24202" s="101" customFormat="1" spans="6:6">
      <c r="F24202" s="2423"/>
    </row>
    <row r="24203" s="101" customFormat="1" spans="6:6">
      <c r="F24203" s="2423"/>
    </row>
    <row r="24204" s="101" customFormat="1" spans="6:6">
      <c r="F24204" s="2423"/>
    </row>
    <row r="24205" s="101" customFormat="1" spans="6:6">
      <c r="F24205" s="2423"/>
    </row>
    <row r="24206" s="101" customFormat="1" spans="6:6">
      <c r="F24206" s="2423"/>
    </row>
    <row r="24207" s="101" customFormat="1" spans="6:6">
      <c r="F24207" s="2423"/>
    </row>
    <row r="24208" s="101" customFormat="1" spans="6:6">
      <c r="F24208" s="2423"/>
    </row>
    <row r="24209" s="101" customFormat="1" spans="6:6">
      <c r="F24209" s="2423"/>
    </row>
    <row r="24210" s="101" customFormat="1" spans="6:6">
      <c r="F24210" s="2423"/>
    </row>
    <row r="24211" s="101" customFormat="1" spans="6:6">
      <c r="F24211" s="2423"/>
    </row>
    <row r="24212" s="101" customFormat="1" spans="6:6">
      <c r="F24212" s="2423"/>
    </row>
    <row r="24213" s="101" customFormat="1" spans="6:6">
      <c r="F24213" s="2423"/>
    </row>
    <row r="24214" s="101" customFormat="1" spans="6:6">
      <c r="F24214" s="2423"/>
    </row>
    <row r="24215" s="101" customFormat="1" spans="6:6">
      <c r="F24215" s="2423"/>
    </row>
    <row r="24216" s="101" customFormat="1" spans="6:6">
      <c r="F24216" s="2423"/>
    </row>
    <row r="24217" s="101" customFormat="1" spans="6:6">
      <c r="F24217" s="2423"/>
    </row>
    <row r="24218" s="101" customFormat="1" spans="6:6">
      <c r="F24218" s="2423"/>
    </row>
    <row r="24219" s="101" customFormat="1" spans="6:6">
      <c r="F24219" s="2423"/>
    </row>
    <row r="24220" s="101" customFormat="1" spans="6:6">
      <c r="F24220" s="2423"/>
    </row>
    <row r="24221" s="101" customFormat="1" spans="6:6">
      <c r="F24221" s="2423"/>
    </row>
    <row r="24222" s="101" customFormat="1" spans="6:6">
      <c r="F24222" s="2423"/>
    </row>
    <row r="24223" s="101" customFormat="1" spans="6:6">
      <c r="F24223" s="2423"/>
    </row>
    <row r="24224" s="101" customFormat="1" spans="6:6">
      <c r="F24224" s="2423"/>
    </row>
    <row r="24225" s="101" customFormat="1" spans="6:6">
      <c r="F24225" s="2423"/>
    </row>
    <row r="24226" s="101" customFormat="1" spans="6:6">
      <c r="F24226" s="2423"/>
    </row>
    <row r="24227" s="101" customFormat="1" spans="6:6">
      <c r="F24227" s="2423"/>
    </row>
    <row r="24228" s="101" customFormat="1" spans="6:6">
      <c r="F24228" s="2423"/>
    </row>
    <row r="24229" s="101" customFormat="1" spans="6:6">
      <c r="F24229" s="2423"/>
    </row>
    <row r="24230" s="101" customFormat="1" spans="6:6">
      <c r="F24230" s="2423"/>
    </row>
    <row r="24231" s="101" customFormat="1" spans="6:6">
      <c r="F24231" s="2423"/>
    </row>
    <row r="24232" s="101" customFormat="1" spans="6:6">
      <c r="F24232" s="2423"/>
    </row>
    <row r="24233" s="101" customFormat="1" spans="6:6">
      <c r="F24233" s="2423"/>
    </row>
    <row r="24234" s="101" customFormat="1" spans="6:6">
      <c r="F24234" s="2423"/>
    </row>
    <row r="24235" s="101" customFormat="1" spans="6:6">
      <c r="F24235" s="2423"/>
    </row>
    <row r="24236" s="101" customFormat="1" spans="6:6">
      <c r="F24236" s="2423"/>
    </row>
    <row r="24237" s="101" customFormat="1" spans="6:6">
      <c r="F24237" s="2423"/>
    </row>
    <row r="24238" s="101" customFormat="1" spans="6:6">
      <c r="F24238" s="2423"/>
    </row>
    <row r="24239" s="101" customFormat="1" spans="6:6">
      <c r="F24239" s="2423"/>
    </row>
    <row r="24240" s="101" customFormat="1" spans="6:6">
      <c r="F24240" s="2423"/>
    </row>
    <row r="24241" s="101" customFormat="1" spans="6:6">
      <c r="F24241" s="2423"/>
    </row>
    <row r="24242" s="101" customFormat="1" spans="6:6">
      <c r="F24242" s="2423"/>
    </row>
    <row r="24243" s="101" customFormat="1" spans="6:6">
      <c r="F24243" s="2423"/>
    </row>
    <row r="24244" s="101" customFormat="1" spans="6:6">
      <c r="F24244" s="2423"/>
    </row>
    <row r="24245" s="101" customFormat="1" spans="6:6">
      <c r="F24245" s="2423"/>
    </row>
    <row r="24246" s="101" customFormat="1" spans="6:6">
      <c r="F24246" s="2423"/>
    </row>
    <row r="24247" s="101" customFormat="1" spans="6:6">
      <c r="F24247" s="2423"/>
    </row>
    <row r="24248" s="101" customFormat="1" spans="6:6">
      <c r="F24248" s="2423"/>
    </row>
    <row r="24249" s="101" customFormat="1" spans="6:6">
      <c r="F24249" s="2423"/>
    </row>
    <row r="24250" s="101" customFormat="1" spans="6:6">
      <c r="F24250" s="2423"/>
    </row>
    <row r="24251" s="101" customFormat="1" spans="6:6">
      <c r="F24251" s="2423"/>
    </row>
    <row r="24252" s="101" customFormat="1" spans="6:6">
      <c r="F24252" s="2423"/>
    </row>
    <row r="24253" s="101" customFormat="1" spans="6:6">
      <c r="F24253" s="2423"/>
    </row>
    <row r="24254" s="101" customFormat="1" spans="6:6">
      <c r="F24254" s="2423"/>
    </row>
    <row r="24255" s="101" customFormat="1" spans="6:6">
      <c r="F24255" s="2423"/>
    </row>
    <row r="24256" s="101" customFormat="1" spans="6:6">
      <c r="F24256" s="2423"/>
    </row>
    <row r="24257" s="101" customFormat="1" spans="6:6">
      <c r="F24257" s="2423"/>
    </row>
    <row r="24258" s="101" customFormat="1" spans="6:6">
      <c r="F24258" s="2423"/>
    </row>
    <row r="24259" s="101" customFormat="1" spans="6:6">
      <c r="F24259" s="2423"/>
    </row>
    <row r="24260" s="101" customFormat="1" spans="6:6">
      <c r="F24260" s="2423"/>
    </row>
    <row r="24261" s="101" customFormat="1" spans="6:6">
      <c r="F24261" s="2423"/>
    </row>
    <row r="24262" s="101" customFormat="1" spans="6:6">
      <c r="F24262" s="2423"/>
    </row>
    <row r="24263" s="101" customFormat="1" spans="6:6">
      <c r="F24263" s="2423"/>
    </row>
    <row r="24264" s="101" customFormat="1" spans="6:6">
      <c r="F24264" s="2423"/>
    </row>
    <row r="24265" s="101" customFormat="1" spans="6:6">
      <c r="F24265" s="2423"/>
    </row>
    <row r="24266" s="101" customFormat="1" spans="6:6">
      <c r="F24266" s="2423"/>
    </row>
    <row r="24267" s="101" customFormat="1" spans="6:6">
      <c r="F24267" s="2423"/>
    </row>
    <row r="24268" s="101" customFormat="1" spans="6:6">
      <c r="F24268" s="2423"/>
    </row>
    <row r="24269" s="101" customFormat="1" spans="6:6">
      <c r="F24269" s="2423"/>
    </row>
    <row r="24270" s="101" customFormat="1" spans="6:6">
      <c r="F24270" s="2423"/>
    </row>
    <row r="24271" s="101" customFormat="1" spans="6:6">
      <c r="F24271" s="2423"/>
    </row>
    <row r="24272" s="101" customFormat="1" spans="6:6">
      <c r="F24272" s="2423"/>
    </row>
    <row r="24273" s="101" customFormat="1" spans="6:6">
      <c r="F24273" s="2423"/>
    </row>
    <row r="24274" s="101" customFormat="1" spans="6:6">
      <c r="F24274" s="2423"/>
    </row>
    <row r="24275" s="101" customFormat="1" spans="6:6">
      <c r="F24275" s="2423"/>
    </row>
    <row r="24276" s="101" customFormat="1" spans="6:6">
      <c r="F24276" s="2423"/>
    </row>
    <row r="24277" s="101" customFormat="1" spans="6:6">
      <c r="F24277" s="2423"/>
    </row>
    <row r="24278" s="101" customFormat="1" spans="6:6">
      <c r="F24278" s="2423"/>
    </row>
    <row r="24279" s="101" customFormat="1" spans="6:6">
      <c r="F24279" s="2423"/>
    </row>
    <row r="24280" s="101" customFormat="1" spans="6:6">
      <c r="F24280" s="2423"/>
    </row>
    <row r="24281" s="101" customFormat="1" spans="6:6">
      <c r="F24281" s="2423"/>
    </row>
    <row r="24282" s="101" customFormat="1" spans="6:6">
      <c r="F24282" s="2423"/>
    </row>
    <row r="24283" s="101" customFormat="1" spans="6:6">
      <c r="F24283" s="2423"/>
    </row>
    <row r="24284" s="101" customFormat="1" spans="6:6">
      <c r="F24284" s="2423"/>
    </row>
    <row r="24285" s="101" customFormat="1" spans="6:6">
      <c r="F24285" s="2423"/>
    </row>
    <row r="24286" s="101" customFormat="1" spans="6:6">
      <c r="F24286" s="2423"/>
    </row>
    <row r="24287" s="101" customFormat="1" spans="6:6">
      <c r="F24287" s="2423"/>
    </row>
    <row r="24288" s="101" customFormat="1" spans="6:6">
      <c r="F24288" s="2423"/>
    </row>
    <row r="24289" s="101" customFormat="1" spans="6:6">
      <c r="F24289" s="2423"/>
    </row>
    <row r="24290" s="101" customFormat="1" spans="6:6">
      <c r="F24290" s="2423"/>
    </row>
    <row r="24291" s="101" customFormat="1" spans="6:6">
      <c r="F24291" s="2423"/>
    </row>
    <row r="24292" s="101" customFormat="1" spans="6:6">
      <c r="F24292" s="2423"/>
    </row>
    <row r="24293" s="101" customFormat="1" spans="6:6">
      <c r="F24293" s="2423"/>
    </row>
    <row r="24294" s="101" customFormat="1" spans="6:6">
      <c r="F24294" s="2423"/>
    </row>
    <row r="24295" s="101" customFormat="1" spans="6:6">
      <c r="F24295" s="2423"/>
    </row>
    <row r="24296" s="101" customFormat="1" spans="6:6">
      <c r="F24296" s="2423"/>
    </row>
    <row r="24297" s="101" customFormat="1" spans="6:6">
      <c r="F24297" s="2423"/>
    </row>
    <row r="24298" s="101" customFormat="1" spans="6:6">
      <c r="F24298" s="2423"/>
    </row>
    <row r="24299" s="101" customFormat="1" spans="6:6">
      <c r="F24299" s="2423"/>
    </row>
    <row r="24300" s="101" customFormat="1" spans="6:6">
      <c r="F24300" s="2423"/>
    </row>
    <row r="24301" s="101" customFormat="1" spans="6:6">
      <c r="F24301" s="2423"/>
    </row>
    <row r="24302" s="101" customFormat="1" spans="6:6">
      <c r="F24302" s="2423"/>
    </row>
    <row r="24303" s="101" customFormat="1" spans="6:6">
      <c r="F24303" s="2423"/>
    </row>
    <row r="24304" s="101" customFormat="1" spans="6:6">
      <c r="F24304" s="2423"/>
    </row>
    <row r="24305" s="101" customFormat="1" spans="6:6">
      <c r="F24305" s="2423"/>
    </row>
    <row r="24306" s="101" customFormat="1" spans="6:6">
      <c r="F24306" s="2423"/>
    </row>
    <row r="24307" s="101" customFormat="1" spans="6:6">
      <c r="F24307" s="2423"/>
    </row>
    <row r="24308" s="101" customFormat="1" spans="6:6">
      <c r="F24308" s="2423"/>
    </row>
    <row r="24309" s="101" customFormat="1" spans="6:6">
      <c r="F24309" s="2423"/>
    </row>
    <row r="24310" s="101" customFormat="1" spans="6:6">
      <c r="F24310" s="2423"/>
    </row>
    <row r="24311" s="101" customFormat="1" spans="6:6">
      <c r="F24311" s="2423"/>
    </row>
    <row r="24312" s="101" customFormat="1" spans="6:6">
      <c r="F24312" s="2423"/>
    </row>
    <row r="24313" s="101" customFormat="1" spans="6:6">
      <c r="F24313" s="2423"/>
    </row>
    <row r="24314" s="101" customFormat="1" spans="6:6">
      <c r="F24314" s="2423"/>
    </row>
    <row r="24315" s="101" customFormat="1" spans="6:6">
      <c r="F24315" s="2423"/>
    </row>
    <row r="24316" s="101" customFormat="1" spans="6:6">
      <c r="F24316" s="2423"/>
    </row>
    <row r="24317" s="101" customFormat="1" spans="6:6">
      <c r="F24317" s="2423"/>
    </row>
    <row r="24318" s="101" customFormat="1" spans="6:6">
      <c r="F24318" s="2423"/>
    </row>
    <row r="24319" s="101" customFormat="1" spans="6:6">
      <c r="F24319" s="2423"/>
    </row>
    <row r="24320" s="101" customFormat="1" spans="6:6">
      <c r="F24320" s="2423"/>
    </row>
    <row r="24321" s="101" customFormat="1" spans="6:6">
      <c r="F24321" s="2423"/>
    </row>
    <row r="24322" s="101" customFormat="1" spans="6:6">
      <c r="F24322" s="2423"/>
    </row>
    <row r="24323" s="101" customFormat="1" spans="6:6">
      <c r="F24323" s="2423"/>
    </row>
    <row r="24324" s="101" customFormat="1" spans="6:6">
      <c r="F24324" s="2423"/>
    </row>
    <row r="24325" s="101" customFormat="1" spans="6:6">
      <c r="F24325" s="2423"/>
    </row>
    <row r="24326" s="101" customFormat="1" spans="6:6">
      <c r="F24326" s="2423"/>
    </row>
    <row r="24327" s="101" customFormat="1" spans="6:6">
      <c r="F24327" s="2423"/>
    </row>
    <row r="24328" s="101" customFormat="1" spans="6:6">
      <c r="F24328" s="2423"/>
    </row>
    <row r="24329" s="101" customFormat="1" spans="6:6">
      <c r="F24329" s="2423"/>
    </row>
    <row r="24330" s="101" customFormat="1" spans="6:6">
      <c r="F24330" s="2423"/>
    </row>
    <row r="24331" s="101" customFormat="1" spans="6:6">
      <c r="F24331" s="2423"/>
    </row>
    <row r="24332" s="101" customFormat="1" spans="6:6">
      <c r="F24332" s="2423"/>
    </row>
    <row r="24333" s="101" customFormat="1" spans="6:6">
      <c r="F24333" s="2423"/>
    </row>
    <row r="24334" s="101" customFormat="1" spans="6:6">
      <c r="F24334" s="2423"/>
    </row>
    <row r="24335" s="101" customFormat="1" spans="6:6">
      <c r="F24335" s="2423"/>
    </row>
    <row r="24336" s="101" customFormat="1" spans="6:6">
      <c r="F24336" s="2423"/>
    </row>
    <row r="24337" s="101" customFormat="1" spans="6:6">
      <c r="F24337" s="2423"/>
    </row>
    <row r="24338" s="101" customFormat="1" spans="6:6">
      <c r="F24338" s="2423"/>
    </row>
    <row r="24339" s="101" customFormat="1" spans="6:6">
      <c r="F24339" s="2423"/>
    </row>
    <row r="24340" s="101" customFormat="1" spans="6:6">
      <c r="F24340" s="2423"/>
    </row>
    <row r="24341" s="101" customFormat="1" spans="6:6">
      <c r="F24341" s="2423"/>
    </row>
    <row r="24342" s="101" customFormat="1" spans="6:6">
      <c r="F24342" s="2423"/>
    </row>
    <row r="24343" s="101" customFormat="1" spans="6:6">
      <c r="F24343" s="2423"/>
    </row>
    <row r="24344" s="101" customFormat="1" spans="6:6">
      <c r="F24344" s="2423"/>
    </row>
    <row r="24345" s="101" customFormat="1" spans="6:6">
      <c r="F24345" s="2423"/>
    </row>
    <row r="24346" s="101" customFormat="1" spans="6:6">
      <c r="F24346" s="2423"/>
    </row>
    <row r="24347" s="101" customFormat="1" spans="6:6">
      <c r="F24347" s="2423"/>
    </row>
    <row r="24348" s="101" customFormat="1" spans="6:6">
      <c r="F24348" s="2423"/>
    </row>
    <row r="24349" s="101" customFormat="1" spans="6:6">
      <c r="F24349" s="2423"/>
    </row>
    <row r="24350" s="101" customFormat="1" spans="6:6">
      <c r="F24350" s="2423"/>
    </row>
    <row r="24351" s="101" customFormat="1" spans="6:6">
      <c r="F24351" s="2423"/>
    </row>
    <row r="24352" s="101" customFormat="1" spans="6:6">
      <c r="F24352" s="2423"/>
    </row>
    <row r="24353" s="101" customFormat="1" spans="6:6">
      <c r="F24353" s="2423"/>
    </row>
    <row r="24354" s="101" customFormat="1" spans="6:6">
      <c r="F24354" s="2423"/>
    </row>
    <row r="24355" s="101" customFormat="1" spans="6:6">
      <c r="F24355" s="2423"/>
    </row>
    <row r="24356" s="101" customFormat="1" spans="6:6">
      <c r="F24356" s="2423"/>
    </row>
    <row r="24357" s="101" customFormat="1" spans="6:6">
      <c r="F24357" s="2423"/>
    </row>
    <row r="24358" s="101" customFormat="1" spans="6:6">
      <c r="F24358" s="2423"/>
    </row>
    <row r="24359" s="101" customFormat="1" spans="6:6">
      <c r="F24359" s="2423"/>
    </row>
    <row r="24360" s="101" customFormat="1" spans="6:6">
      <c r="F24360" s="2423"/>
    </row>
    <row r="24361" s="101" customFormat="1" spans="6:6">
      <c r="F24361" s="2423"/>
    </row>
    <row r="24362" s="101" customFormat="1" spans="6:6">
      <c r="F24362" s="2423"/>
    </row>
    <row r="24363" s="101" customFormat="1" spans="6:6">
      <c r="F24363" s="2423"/>
    </row>
    <row r="24364" s="101" customFormat="1" spans="6:6">
      <c r="F24364" s="2423"/>
    </row>
    <row r="24365" s="101" customFormat="1" spans="6:6">
      <c r="F24365" s="2423"/>
    </row>
    <row r="24366" s="101" customFormat="1" spans="6:6">
      <c r="F24366" s="2423"/>
    </row>
    <row r="24367" s="101" customFormat="1" spans="6:6">
      <c r="F24367" s="2423"/>
    </row>
    <row r="24368" s="101" customFormat="1" spans="6:6">
      <c r="F24368" s="2423"/>
    </row>
    <row r="24369" s="101" customFormat="1" spans="6:6">
      <c r="F24369" s="2423"/>
    </row>
    <row r="24370" s="101" customFormat="1" spans="6:6">
      <c r="F24370" s="2423"/>
    </row>
    <row r="24371" s="101" customFormat="1" spans="6:6">
      <c r="F24371" s="2423"/>
    </row>
    <row r="24372" s="101" customFormat="1" spans="6:6">
      <c r="F24372" s="2423"/>
    </row>
    <row r="24373" s="101" customFormat="1" spans="6:6">
      <c r="F24373" s="2423"/>
    </row>
    <row r="24374" s="101" customFormat="1" spans="6:6">
      <c r="F24374" s="2423"/>
    </row>
    <row r="24375" s="101" customFormat="1" spans="6:6">
      <c r="F24375" s="2423"/>
    </row>
    <row r="24376" s="101" customFormat="1" spans="6:6">
      <c r="F24376" s="2423"/>
    </row>
    <row r="24377" s="101" customFormat="1" spans="6:6">
      <c r="F24377" s="2423"/>
    </row>
    <row r="24378" s="101" customFormat="1" spans="6:6">
      <c r="F24378" s="2423"/>
    </row>
    <row r="24379" s="101" customFormat="1" spans="6:6">
      <c r="F24379" s="2423"/>
    </row>
    <row r="24380" s="101" customFormat="1" spans="6:6">
      <c r="F24380" s="2423"/>
    </row>
    <row r="24381" s="101" customFormat="1" spans="6:6">
      <c r="F24381" s="2423"/>
    </row>
    <row r="24382" s="101" customFormat="1" spans="6:6">
      <c r="F24382" s="2423"/>
    </row>
    <row r="24383" s="101" customFormat="1" spans="6:6">
      <c r="F24383" s="2423"/>
    </row>
    <row r="24384" s="101" customFormat="1" spans="6:6">
      <c r="F24384" s="2423"/>
    </row>
    <row r="24385" s="101" customFormat="1" spans="6:6">
      <c r="F24385" s="2423"/>
    </row>
    <row r="24386" s="101" customFormat="1" spans="6:6">
      <c r="F24386" s="2423"/>
    </row>
    <row r="24387" s="101" customFormat="1" spans="6:6">
      <c r="F24387" s="2423"/>
    </row>
    <row r="24388" s="101" customFormat="1" spans="6:6">
      <c r="F24388" s="2423"/>
    </row>
    <row r="24389" s="101" customFormat="1" spans="6:6">
      <c r="F24389" s="2423"/>
    </row>
    <row r="24390" s="101" customFormat="1" spans="6:6">
      <c r="F24390" s="2423"/>
    </row>
    <row r="24391" s="101" customFormat="1" spans="6:6">
      <c r="F24391" s="2423"/>
    </row>
    <row r="24392" s="101" customFormat="1" spans="6:6">
      <c r="F24392" s="2423"/>
    </row>
    <row r="24393" s="101" customFormat="1" spans="6:6">
      <c r="F24393" s="2423"/>
    </row>
    <row r="24394" s="101" customFormat="1" spans="6:6">
      <c r="F24394" s="2423"/>
    </row>
    <row r="24395" s="101" customFormat="1" spans="6:6">
      <c r="F24395" s="2423"/>
    </row>
    <row r="24396" s="101" customFormat="1" spans="6:6">
      <c r="F24396" s="2423"/>
    </row>
    <row r="24397" s="101" customFormat="1" spans="6:6">
      <c r="F24397" s="2423"/>
    </row>
    <row r="24398" s="101" customFormat="1" spans="6:6">
      <c r="F24398" s="2423"/>
    </row>
    <row r="24399" s="101" customFormat="1" spans="6:6">
      <c r="F24399" s="2423"/>
    </row>
    <row r="24400" s="101" customFormat="1" spans="6:6">
      <c r="F24400" s="2423"/>
    </row>
    <row r="24401" s="101" customFormat="1" spans="6:6">
      <c r="F24401" s="2423"/>
    </row>
    <row r="24402" s="101" customFormat="1" spans="6:6">
      <c r="F24402" s="2423"/>
    </row>
    <row r="24403" s="101" customFormat="1" spans="6:6">
      <c r="F24403" s="2423"/>
    </row>
    <row r="24404" s="101" customFormat="1" spans="6:6">
      <c r="F24404" s="2423"/>
    </row>
    <row r="24405" s="101" customFormat="1" spans="6:6">
      <c r="F24405" s="2423"/>
    </row>
    <row r="24406" s="101" customFormat="1" spans="6:6">
      <c r="F24406" s="2423"/>
    </row>
    <row r="24407" s="101" customFormat="1" spans="6:6">
      <c r="F24407" s="2423"/>
    </row>
    <row r="24408" s="101" customFormat="1" spans="6:6">
      <c r="F24408" s="2423"/>
    </row>
    <row r="24409" s="101" customFormat="1" spans="6:6">
      <c r="F24409" s="2423"/>
    </row>
    <row r="24410" s="101" customFormat="1" spans="6:6">
      <c r="F24410" s="2423"/>
    </row>
    <row r="24411" s="101" customFormat="1" spans="6:6">
      <c r="F24411" s="2423"/>
    </row>
    <row r="24412" s="101" customFormat="1" spans="6:6">
      <c r="F24412" s="2423"/>
    </row>
    <row r="24413" s="101" customFormat="1" spans="6:6">
      <c r="F24413" s="2423"/>
    </row>
    <row r="24414" s="101" customFormat="1" spans="6:6">
      <c r="F24414" s="2423"/>
    </row>
    <row r="24415" s="101" customFormat="1" spans="6:6">
      <c r="F24415" s="2423"/>
    </row>
    <row r="24416" s="101" customFormat="1" spans="6:6">
      <c r="F24416" s="2423"/>
    </row>
    <row r="24417" s="101" customFormat="1" spans="6:6">
      <c r="F24417" s="2423"/>
    </row>
    <row r="24418" s="101" customFormat="1" spans="6:6">
      <c r="F24418" s="2423"/>
    </row>
    <row r="24419" s="101" customFormat="1" spans="6:6">
      <c r="F24419" s="2423"/>
    </row>
    <row r="24420" s="101" customFormat="1" spans="6:6">
      <c r="F24420" s="2423"/>
    </row>
    <row r="24421" s="101" customFormat="1" spans="6:6">
      <c r="F24421" s="2423"/>
    </row>
    <row r="24422" s="101" customFormat="1" spans="6:6">
      <c r="F24422" s="2423"/>
    </row>
    <row r="24423" s="101" customFormat="1" spans="6:6">
      <c r="F24423" s="2423"/>
    </row>
    <row r="24424" s="101" customFormat="1" spans="6:6">
      <c r="F24424" s="2423"/>
    </row>
    <row r="24425" s="101" customFormat="1" spans="6:6">
      <c r="F24425" s="2423"/>
    </row>
    <row r="24426" s="101" customFormat="1" spans="6:6">
      <c r="F24426" s="2423"/>
    </row>
    <row r="24427" s="101" customFormat="1" spans="6:6">
      <c r="F24427" s="2423"/>
    </row>
    <row r="24428" s="101" customFormat="1" spans="6:6">
      <c r="F24428" s="2423"/>
    </row>
    <row r="24429" s="101" customFormat="1" spans="6:6">
      <c r="F24429" s="2423"/>
    </row>
    <row r="24430" s="101" customFormat="1" spans="6:6">
      <c r="F24430" s="2423"/>
    </row>
    <row r="24431" s="101" customFormat="1" spans="6:6">
      <c r="F24431" s="2423"/>
    </row>
    <row r="24432" s="101" customFormat="1" spans="6:6">
      <c r="F24432" s="2423"/>
    </row>
    <row r="24433" s="101" customFormat="1" spans="6:6">
      <c r="F24433" s="2423"/>
    </row>
    <row r="24434" s="101" customFormat="1" spans="6:6">
      <c r="F24434" s="2423"/>
    </row>
    <row r="24435" s="101" customFormat="1" spans="6:6">
      <c r="F24435" s="2423"/>
    </row>
    <row r="24436" s="101" customFormat="1" spans="6:6">
      <c r="F24436" s="2423"/>
    </row>
    <row r="24437" s="101" customFormat="1" spans="6:6">
      <c r="F24437" s="2423"/>
    </row>
    <row r="24438" s="101" customFormat="1" spans="6:6">
      <c r="F24438" s="2423"/>
    </row>
    <row r="24439" s="101" customFormat="1" spans="6:6">
      <c r="F24439" s="2423"/>
    </row>
    <row r="24440" s="101" customFormat="1" spans="6:6">
      <c r="F24440" s="2423"/>
    </row>
    <row r="24441" s="101" customFormat="1" spans="6:6">
      <c r="F24441" s="2423"/>
    </row>
    <row r="24442" s="101" customFormat="1" spans="6:6">
      <c r="F24442" s="2423"/>
    </row>
    <row r="24443" s="101" customFormat="1" spans="6:6">
      <c r="F24443" s="2423"/>
    </row>
    <row r="24444" s="101" customFormat="1" spans="6:6">
      <c r="F24444" s="2423"/>
    </row>
    <row r="24445" s="101" customFormat="1" spans="6:6">
      <c r="F24445" s="2423"/>
    </row>
    <row r="24446" s="101" customFormat="1" spans="6:6">
      <c r="F24446" s="2423"/>
    </row>
    <row r="24447" s="101" customFormat="1" spans="6:6">
      <c r="F24447" s="2423"/>
    </row>
    <row r="24448" s="101" customFormat="1" spans="6:6">
      <c r="F24448" s="2423"/>
    </row>
    <row r="24449" s="101" customFormat="1" spans="6:6">
      <c r="F24449" s="2423"/>
    </row>
    <row r="24450" s="101" customFormat="1" spans="6:6">
      <c r="F24450" s="2423"/>
    </row>
    <row r="24451" s="101" customFormat="1" spans="6:6">
      <c r="F24451" s="2423"/>
    </row>
    <row r="24452" s="101" customFormat="1" spans="6:6">
      <c r="F24452" s="2423"/>
    </row>
    <row r="24453" s="101" customFormat="1" spans="6:6">
      <c r="F24453" s="2423"/>
    </row>
    <row r="24454" s="101" customFormat="1" spans="6:6">
      <c r="F24454" s="2423"/>
    </row>
    <row r="24455" s="101" customFormat="1" spans="6:6">
      <c r="F24455" s="2423"/>
    </row>
    <row r="24456" s="101" customFormat="1" spans="6:6">
      <c r="F24456" s="2423"/>
    </row>
    <row r="24457" s="101" customFormat="1" spans="6:6">
      <c r="F24457" s="2423"/>
    </row>
    <row r="24458" s="101" customFormat="1" spans="6:6">
      <c r="F24458" s="2423"/>
    </row>
    <row r="24459" s="101" customFormat="1" spans="6:6">
      <c r="F24459" s="2423"/>
    </row>
    <row r="24460" s="101" customFormat="1" spans="6:6">
      <c r="F24460" s="2423"/>
    </row>
    <row r="24461" s="101" customFormat="1" spans="6:6">
      <c r="F24461" s="2423"/>
    </row>
    <row r="24462" s="101" customFormat="1" spans="6:6">
      <c r="F24462" s="2423"/>
    </row>
    <row r="24463" s="101" customFormat="1" spans="6:6">
      <c r="F24463" s="2423"/>
    </row>
    <row r="24464" s="101" customFormat="1" spans="6:6">
      <c r="F24464" s="2423"/>
    </row>
    <row r="24465" s="101" customFormat="1" spans="6:6">
      <c r="F24465" s="2423"/>
    </row>
    <row r="24466" s="101" customFormat="1" spans="6:6">
      <c r="F24466" s="2423"/>
    </row>
    <row r="24467" s="101" customFormat="1" spans="6:6">
      <c r="F24467" s="2423"/>
    </row>
    <row r="24468" s="101" customFormat="1" spans="6:6">
      <c r="F24468" s="2423"/>
    </row>
    <row r="24469" s="101" customFormat="1" spans="6:6">
      <c r="F24469" s="2423"/>
    </row>
    <row r="24470" s="101" customFormat="1" spans="6:6">
      <c r="F24470" s="2423"/>
    </row>
    <row r="24471" s="101" customFormat="1" spans="6:6">
      <c r="F24471" s="2423"/>
    </row>
    <row r="24472" s="101" customFormat="1" spans="6:6">
      <c r="F24472" s="2423"/>
    </row>
    <row r="24473" s="101" customFormat="1" spans="6:6">
      <c r="F24473" s="2423"/>
    </row>
    <row r="24474" s="101" customFormat="1" spans="6:6">
      <c r="F24474" s="2423"/>
    </row>
    <row r="24475" s="101" customFormat="1" spans="6:6">
      <c r="F24475" s="2423"/>
    </row>
    <row r="24476" s="101" customFormat="1" spans="6:6">
      <c r="F24476" s="2423"/>
    </row>
    <row r="24477" s="101" customFormat="1" spans="6:6">
      <c r="F24477" s="2423"/>
    </row>
    <row r="24478" s="101" customFormat="1" spans="6:6">
      <c r="F24478" s="2423"/>
    </row>
    <row r="24479" s="101" customFormat="1" spans="6:6">
      <c r="F24479" s="2423"/>
    </row>
    <row r="24480" s="101" customFormat="1" spans="6:6">
      <c r="F24480" s="2423"/>
    </row>
    <row r="24481" s="101" customFormat="1" spans="6:6">
      <c r="F24481" s="2423"/>
    </row>
    <row r="24482" s="101" customFormat="1" spans="6:6">
      <c r="F24482" s="2423"/>
    </row>
    <row r="24483" s="101" customFormat="1" spans="6:6">
      <c r="F24483" s="2423"/>
    </row>
    <row r="24484" s="101" customFormat="1" spans="6:6">
      <c r="F24484" s="2423"/>
    </row>
    <row r="24485" s="101" customFormat="1" spans="6:6">
      <c r="F24485" s="2423"/>
    </row>
    <row r="24486" s="101" customFormat="1" spans="6:6">
      <c r="F24486" s="2423"/>
    </row>
    <row r="24487" s="101" customFormat="1" spans="6:6">
      <c r="F24487" s="2423"/>
    </row>
    <row r="24488" s="101" customFormat="1" spans="6:6">
      <c r="F24488" s="2423"/>
    </row>
    <row r="24489" s="101" customFormat="1" spans="6:6">
      <c r="F24489" s="2423"/>
    </row>
    <row r="24490" s="101" customFormat="1" spans="6:6">
      <c r="F24490" s="2423"/>
    </row>
    <row r="24491" s="101" customFormat="1" spans="6:6">
      <c r="F24491" s="2423"/>
    </row>
    <row r="24492" s="101" customFormat="1" spans="6:6">
      <c r="F24492" s="2423"/>
    </row>
    <row r="24493" s="101" customFormat="1" spans="6:6">
      <c r="F24493" s="2423"/>
    </row>
    <row r="24494" s="101" customFormat="1" spans="6:6">
      <c r="F24494" s="2423"/>
    </row>
    <row r="24495" s="101" customFormat="1" spans="6:6">
      <c r="F24495" s="2423"/>
    </row>
    <row r="24496" s="101" customFormat="1" spans="6:6">
      <c r="F24496" s="2423"/>
    </row>
    <row r="24497" s="101" customFormat="1" spans="6:6">
      <c r="F24497" s="2423"/>
    </row>
    <row r="24498" s="101" customFormat="1" spans="6:6">
      <c r="F24498" s="2423"/>
    </row>
    <row r="24499" s="101" customFormat="1" spans="6:6">
      <c r="F24499" s="2423"/>
    </row>
    <row r="24500" s="101" customFormat="1" spans="6:6">
      <c r="F24500" s="2423"/>
    </row>
    <row r="24501" s="101" customFormat="1" spans="6:6">
      <c r="F24501" s="2423"/>
    </row>
    <row r="24502" s="101" customFormat="1" spans="6:6">
      <c r="F24502" s="2423"/>
    </row>
    <row r="24503" s="101" customFormat="1" spans="6:6">
      <c r="F24503" s="2423"/>
    </row>
    <row r="24504" s="101" customFormat="1" spans="6:6">
      <c r="F24504" s="2423"/>
    </row>
    <row r="24505" s="101" customFormat="1" spans="6:6">
      <c r="F24505" s="2423"/>
    </row>
    <row r="24506" s="101" customFormat="1" spans="6:6">
      <c r="F24506" s="2423"/>
    </row>
    <row r="24507" s="101" customFormat="1" spans="6:6">
      <c r="F24507" s="2423"/>
    </row>
    <row r="24508" s="101" customFormat="1" spans="6:6">
      <c r="F24508" s="2423"/>
    </row>
    <row r="24509" s="101" customFormat="1" spans="6:6">
      <c r="F24509" s="2423"/>
    </row>
    <row r="24510" s="101" customFormat="1" spans="6:6">
      <c r="F24510" s="2423"/>
    </row>
    <row r="24511" s="101" customFormat="1" spans="6:6">
      <c r="F24511" s="2423"/>
    </row>
    <row r="24512" s="101" customFormat="1" spans="6:6">
      <c r="F24512" s="2423"/>
    </row>
    <row r="24513" s="101" customFormat="1" spans="6:6">
      <c r="F24513" s="2423"/>
    </row>
    <row r="24514" s="101" customFormat="1" spans="6:6">
      <c r="F24514" s="2423"/>
    </row>
    <row r="24515" s="101" customFormat="1" spans="6:6">
      <c r="F24515" s="2423"/>
    </row>
    <row r="24516" s="101" customFormat="1" spans="6:6">
      <c r="F24516" s="2423"/>
    </row>
    <row r="24517" s="101" customFormat="1" spans="6:6">
      <c r="F24517" s="2423"/>
    </row>
    <row r="24518" s="101" customFormat="1" spans="6:6">
      <c r="F24518" s="2423"/>
    </row>
    <row r="24519" s="101" customFormat="1" spans="6:6">
      <c r="F24519" s="2423"/>
    </row>
    <row r="24520" s="101" customFormat="1" spans="6:6">
      <c r="F24520" s="2423"/>
    </row>
    <row r="24521" s="101" customFormat="1" spans="6:6">
      <c r="F24521" s="2423"/>
    </row>
    <row r="24522" s="101" customFormat="1" spans="6:6">
      <c r="F24522" s="2423"/>
    </row>
    <row r="24523" s="101" customFormat="1" spans="6:6">
      <c r="F24523" s="2423"/>
    </row>
    <row r="24524" s="101" customFormat="1" spans="6:6">
      <c r="F24524" s="2423"/>
    </row>
    <row r="24525" s="101" customFormat="1" spans="6:6">
      <c r="F24525" s="2423"/>
    </row>
    <row r="24526" s="101" customFormat="1" spans="6:6">
      <c r="F24526" s="2423"/>
    </row>
    <row r="24527" s="101" customFormat="1" spans="6:6">
      <c r="F24527" s="2423"/>
    </row>
    <row r="24528" s="101" customFormat="1" spans="6:6">
      <c r="F24528" s="2423"/>
    </row>
    <row r="24529" s="101" customFormat="1" spans="6:6">
      <c r="F24529" s="2423"/>
    </row>
    <row r="24530" s="101" customFormat="1" spans="6:6">
      <c r="F24530" s="2423"/>
    </row>
    <row r="24531" s="101" customFormat="1" spans="6:6">
      <c r="F24531" s="2423"/>
    </row>
    <row r="24532" s="101" customFormat="1" spans="6:6">
      <c r="F24532" s="2423"/>
    </row>
    <row r="24533" s="101" customFormat="1" spans="6:6">
      <c r="F24533" s="2423"/>
    </row>
    <row r="24534" s="101" customFormat="1" spans="6:6">
      <c r="F24534" s="2423"/>
    </row>
    <row r="24535" s="101" customFormat="1" spans="6:6">
      <c r="F24535" s="2423"/>
    </row>
    <row r="24536" s="101" customFormat="1" spans="6:6">
      <c r="F24536" s="2423"/>
    </row>
    <row r="24537" s="101" customFormat="1" spans="6:6">
      <c r="F24537" s="2423"/>
    </row>
    <row r="24538" s="101" customFormat="1" spans="6:6">
      <c r="F24538" s="2423"/>
    </row>
    <row r="24539" s="101" customFormat="1" spans="6:6">
      <c r="F24539" s="2423"/>
    </row>
    <row r="24540" s="101" customFormat="1" spans="6:6">
      <c r="F24540" s="2423"/>
    </row>
    <row r="24541" s="101" customFormat="1" spans="6:6">
      <c r="F24541" s="2423"/>
    </row>
    <row r="24542" s="101" customFormat="1" spans="6:6">
      <c r="F24542" s="2423"/>
    </row>
    <row r="24543" s="101" customFormat="1" spans="6:6">
      <c r="F24543" s="2423"/>
    </row>
    <row r="24544" s="101" customFormat="1" spans="6:6">
      <c r="F24544" s="2423"/>
    </row>
    <row r="24545" s="101" customFormat="1" spans="6:6">
      <c r="F24545" s="2423"/>
    </row>
    <row r="24546" s="101" customFormat="1" spans="6:6">
      <c r="F24546" s="2423"/>
    </row>
    <row r="24547" s="101" customFormat="1" spans="6:6">
      <c r="F24547" s="2423"/>
    </row>
    <row r="24548" s="101" customFormat="1" spans="6:6">
      <c r="F24548" s="2423"/>
    </row>
    <row r="24549" s="101" customFormat="1" spans="6:6">
      <c r="F24549" s="2423"/>
    </row>
    <row r="24550" s="101" customFormat="1" spans="6:6">
      <c r="F24550" s="2423"/>
    </row>
    <row r="24551" s="101" customFormat="1" spans="6:6">
      <c r="F24551" s="2423"/>
    </row>
    <row r="24552" s="101" customFormat="1" spans="6:6">
      <c r="F24552" s="2423"/>
    </row>
    <row r="24553" s="101" customFormat="1" spans="6:6">
      <c r="F24553" s="2423"/>
    </row>
    <row r="24554" s="101" customFormat="1" spans="6:6">
      <c r="F24554" s="2423"/>
    </row>
    <row r="24555" s="101" customFormat="1" spans="6:6">
      <c r="F24555" s="2423"/>
    </row>
    <row r="24556" s="101" customFormat="1" spans="6:6">
      <c r="F24556" s="2423"/>
    </row>
    <row r="24557" s="101" customFormat="1" spans="6:6">
      <c r="F24557" s="2423"/>
    </row>
    <row r="24558" s="101" customFormat="1" spans="6:6">
      <c r="F24558" s="2423"/>
    </row>
    <row r="24559" s="101" customFormat="1" spans="6:6">
      <c r="F24559" s="2423"/>
    </row>
    <row r="24560" s="101" customFormat="1" spans="6:6">
      <c r="F24560" s="2423"/>
    </row>
    <row r="24561" s="101" customFormat="1" spans="6:6">
      <c r="F24561" s="2423"/>
    </row>
    <row r="24562" s="101" customFormat="1" spans="6:6">
      <c r="F24562" s="2423"/>
    </row>
    <row r="24563" s="101" customFormat="1" spans="6:6">
      <c r="F24563" s="2423"/>
    </row>
    <row r="24564" s="101" customFormat="1" spans="6:6">
      <c r="F24564" s="2423"/>
    </row>
    <row r="24565" s="101" customFormat="1" spans="6:6">
      <c r="F24565" s="2423"/>
    </row>
    <row r="24566" s="101" customFormat="1" spans="6:6">
      <c r="F24566" s="2423"/>
    </row>
    <row r="24567" s="101" customFormat="1" spans="6:6">
      <c r="F24567" s="2423"/>
    </row>
    <row r="24568" s="101" customFormat="1" spans="6:6">
      <c r="F24568" s="2423"/>
    </row>
    <row r="24569" s="101" customFormat="1" spans="6:6">
      <c r="F24569" s="2423"/>
    </row>
    <row r="24570" s="101" customFormat="1" spans="6:6">
      <c r="F24570" s="2423"/>
    </row>
    <row r="24571" s="101" customFormat="1" spans="6:6">
      <c r="F24571" s="2423"/>
    </row>
    <row r="24572" s="101" customFormat="1" spans="6:6">
      <c r="F24572" s="2423"/>
    </row>
    <row r="24573" s="101" customFormat="1" spans="6:6">
      <c r="F24573" s="2423"/>
    </row>
    <row r="24574" s="101" customFormat="1" spans="6:6">
      <c r="F24574" s="2423"/>
    </row>
    <row r="24575" s="101" customFormat="1" spans="6:6">
      <c r="F24575" s="2423"/>
    </row>
    <row r="24576" s="101" customFormat="1" spans="6:6">
      <c r="F24576" s="2423"/>
    </row>
    <row r="24577" s="101" customFormat="1" spans="6:6">
      <c r="F24577" s="2423"/>
    </row>
    <row r="24578" s="101" customFormat="1" spans="6:6">
      <c r="F24578" s="2423"/>
    </row>
    <row r="24579" s="101" customFormat="1" spans="6:6">
      <c r="F24579" s="2423"/>
    </row>
    <row r="24580" s="101" customFormat="1" spans="6:6">
      <c r="F24580" s="2423"/>
    </row>
    <row r="24581" s="101" customFormat="1" spans="6:6">
      <c r="F24581" s="2423"/>
    </row>
    <row r="24582" s="101" customFormat="1" spans="6:6">
      <c r="F24582" s="2423"/>
    </row>
    <row r="24583" s="101" customFormat="1" spans="6:6">
      <c r="F24583" s="2423"/>
    </row>
    <row r="24584" s="101" customFormat="1" spans="6:6">
      <c r="F24584" s="2423"/>
    </row>
    <row r="24585" s="101" customFormat="1" spans="6:6">
      <c r="F24585" s="2423"/>
    </row>
    <row r="24586" s="101" customFormat="1" spans="6:6">
      <c r="F24586" s="2423"/>
    </row>
    <row r="24587" s="101" customFormat="1" spans="6:6">
      <c r="F24587" s="2423"/>
    </row>
    <row r="24588" s="101" customFormat="1" spans="6:6">
      <c r="F24588" s="2423"/>
    </row>
    <row r="24589" s="101" customFormat="1" spans="6:6">
      <c r="F24589" s="2423"/>
    </row>
    <row r="24590" s="101" customFormat="1" spans="6:6">
      <c r="F24590" s="2423"/>
    </row>
    <row r="24591" s="101" customFormat="1" spans="6:6">
      <c r="F24591" s="2423"/>
    </row>
    <row r="24592" s="101" customFormat="1" spans="6:6">
      <c r="F24592" s="2423"/>
    </row>
    <row r="24593" s="101" customFormat="1" spans="6:6">
      <c r="F24593" s="2423"/>
    </row>
    <row r="24594" s="101" customFormat="1" spans="6:6">
      <c r="F24594" s="2423"/>
    </row>
    <row r="24595" s="101" customFormat="1" spans="6:6">
      <c r="F24595" s="2423"/>
    </row>
    <row r="24596" s="101" customFormat="1" spans="6:6">
      <c r="F24596" s="2423"/>
    </row>
    <row r="24597" s="101" customFormat="1" spans="6:6">
      <c r="F24597" s="2423"/>
    </row>
    <row r="24598" s="101" customFormat="1" spans="6:6">
      <c r="F24598" s="2423"/>
    </row>
    <row r="24599" s="101" customFormat="1" spans="6:6">
      <c r="F24599" s="2423"/>
    </row>
    <row r="24600" s="101" customFormat="1" spans="6:6">
      <c r="F24600" s="2423"/>
    </row>
    <row r="24601" s="101" customFormat="1" spans="6:6">
      <c r="F24601" s="2423"/>
    </row>
    <row r="24602" s="101" customFormat="1" spans="6:6">
      <c r="F24602" s="2423"/>
    </row>
    <row r="24603" s="101" customFormat="1" spans="6:6">
      <c r="F24603" s="2423"/>
    </row>
    <row r="24604" s="101" customFormat="1" spans="6:6">
      <c r="F24604" s="2423"/>
    </row>
    <row r="24605" s="101" customFormat="1" spans="6:6">
      <c r="F24605" s="2423"/>
    </row>
    <row r="24606" s="101" customFormat="1" spans="6:6">
      <c r="F24606" s="2423"/>
    </row>
    <row r="24607" s="101" customFormat="1" spans="6:6">
      <c r="F24607" s="2423"/>
    </row>
    <row r="24608" s="101" customFormat="1" spans="6:6">
      <c r="F24608" s="2423"/>
    </row>
    <row r="24609" s="101" customFormat="1" spans="6:6">
      <c r="F24609" s="2423"/>
    </row>
    <row r="24610" s="101" customFormat="1" spans="6:6">
      <c r="F24610" s="2423"/>
    </row>
    <row r="24611" s="101" customFormat="1" spans="6:6">
      <c r="F24611" s="2423"/>
    </row>
    <row r="24612" s="101" customFormat="1" spans="6:6">
      <c r="F24612" s="2423"/>
    </row>
    <row r="24613" s="101" customFormat="1" spans="6:6">
      <c r="F24613" s="2423"/>
    </row>
    <row r="24614" s="101" customFormat="1" spans="6:6">
      <c r="F24614" s="2423"/>
    </row>
    <row r="24615" s="101" customFormat="1" spans="6:6">
      <c r="F24615" s="2423"/>
    </row>
    <row r="24616" s="101" customFormat="1" spans="6:6">
      <c r="F24616" s="2423"/>
    </row>
    <row r="24617" s="101" customFormat="1" spans="6:6">
      <c r="F24617" s="2423"/>
    </row>
    <row r="24618" s="101" customFormat="1" spans="6:6">
      <c r="F24618" s="2423"/>
    </row>
    <row r="24619" s="101" customFormat="1" spans="6:6">
      <c r="F24619" s="2423"/>
    </row>
    <row r="24620" s="101" customFormat="1" spans="6:6">
      <c r="F24620" s="2423"/>
    </row>
    <row r="24621" s="101" customFormat="1" spans="6:6">
      <c r="F24621" s="2423"/>
    </row>
    <row r="24622" s="101" customFormat="1" spans="6:6">
      <c r="F24622" s="2423"/>
    </row>
    <row r="24623" s="101" customFormat="1" spans="6:6">
      <c r="F24623" s="2423"/>
    </row>
    <row r="24624" s="101" customFormat="1" spans="6:6">
      <c r="F24624" s="2423"/>
    </row>
    <row r="24625" s="101" customFormat="1" spans="6:6">
      <c r="F24625" s="2423"/>
    </row>
    <row r="24626" s="101" customFormat="1" spans="6:6">
      <c r="F24626" s="2423"/>
    </row>
    <row r="24627" s="101" customFormat="1" spans="6:6">
      <c r="F24627" s="2423"/>
    </row>
    <row r="24628" s="101" customFormat="1" spans="6:6">
      <c r="F24628" s="2423"/>
    </row>
    <row r="24629" s="101" customFormat="1" spans="6:6">
      <c r="F24629" s="2423"/>
    </row>
    <row r="24630" s="101" customFormat="1" spans="6:6">
      <c r="F24630" s="2423"/>
    </row>
    <row r="24631" s="101" customFormat="1" spans="6:6">
      <c r="F24631" s="2423"/>
    </row>
    <row r="24632" s="101" customFormat="1" spans="6:6">
      <c r="F24632" s="2423"/>
    </row>
    <row r="24633" s="101" customFormat="1" spans="6:6">
      <c r="F24633" s="2423"/>
    </row>
    <row r="24634" s="101" customFormat="1" spans="6:6">
      <c r="F24634" s="2423"/>
    </row>
    <row r="24635" s="101" customFormat="1" spans="6:6">
      <c r="F24635" s="2423"/>
    </row>
    <row r="24636" s="101" customFormat="1" spans="6:6">
      <c r="F24636" s="2423"/>
    </row>
    <row r="24637" s="101" customFormat="1" spans="6:6">
      <c r="F24637" s="2423"/>
    </row>
    <row r="24638" s="101" customFormat="1" spans="6:6">
      <c r="F24638" s="2423"/>
    </row>
    <row r="24639" s="101" customFormat="1" spans="6:6">
      <c r="F24639" s="2423"/>
    </row>
    <row r="24640" s="101" customFormat="1" spans="6:6">
      <c r="F24640" s="2423"/>
    </row>
    <row r="24641" s="101" customFormat="1" spans="6:6">
      <c r="F24641" s="2423"/>
    </row>
    <row r="24642" s="101" customFormat="1" spans="6:6">
      <c r="F24642" s="2423"/>
    </row>
    <row r="24643" s="101" customFormat="1" spans="6:6">
      <c r="F24643" s="2423"/>
    </row>
    <row r="24644" s="101" customFormat="1" spans="6:6">
      <c r="F24644" s="2423"/>
    </row>
    <row r="24645" s="101" customFormat="1" spans="6:6">
      <c r="F24645" s="2423"/>
    </row>
    <row r="24646" s="101" customFormat="1" spans="6:6">
      <c r="F24646" s="2423"/>
    </row>
    <row r="24647" s="101" customFormat="1" spans="6:6">
      <c r="F24647" s="2423"/>
    </row>
    <row r="24648" s="101" customFormat="1" spans="6:6">
      <c r="F24648" s="2423"/>
    </row>
    <row r="24649" s="101" customFormat="1" spans="6:6">
      <c r="F24649" s="2423"/>
    </row>
    <row r="24650" s="101" customFormat="1" spans="6:6">
      <c r="F24650" s="2423"/>
    </row>
    <row r="24651" s="101" customFormat="1" spans="6:6">
      <c r="F24651" s="2423"/>
    </row>
    <row r="24652" s="101" customFormat="1" spans="6:6">
      <c r="F24652" s="2423"/>
    </row>
    <row r="24653" s="101" customFormat="1" spans="6:6">
      <c r="F24653" s="2423"/>
    </row>
    <row r="24654" s="101" customFormat="1" spans="6:6">
      <c r="F24654" s="2423"/>
    </row>
    <row r="24655" s="101" customFormat="1" spans="6:6">
      <c r="F24655" s="2423"/>
    </row>
    <row r="24656" s="101" customFormat="1" spans="6:6">
      <c r="F24656" s="2423"/>
    </row>
    <row r="24657" s="101" customFormat="1" spans="6:6">
      <c r="F24657" s="2423"/>
    </row>
    <row r="24658" s="101" customFormat="1" spans="6:6">
      <c r="F24658" s="2423"/>
    </row>
    <row r="24659" s="101" customFormat="1" spans="6:6">
      <c r="F24659" s="2423"/>
    </row>
    <row r="24660" s="101" customFormat="1" spans="6:6">
      <c r="F24660" s="2423"/>
    </row>
    <row r="24661" s="101" customFormat="1" spans="6:6">
      <c r="F24661" s="2423"/>
    </row>
    <row r="24662" s="101" customFormat="1" spans="6:6">
      <c r="F24662" s="2423"/>
    </row>
    <row r="24663" s="101" customFormat="1" spans="6:6">
      <c r="F24663" s="2423"/>
    </row>
    <row r="24664" s="101" customFormat="1" spans="6:6">
      <c r="F24664" s="2423"/>
    </row>
    <row r="24665" s="101" customFormat="1" spans="6:6">
      <c r="F24665" s="2423"/>
    </row>
    <row r="24666" s="101" customFormat="1" spans="6:6">
      <c r="F24666" s="2423"/>
    </row>
    <row r="24667" s="101" customFormat="1" spans="6:6">
      <c r="F24667" s="2423"/>
    </row>
    <row r="24668" s="101" customFormat="1" spans="6:6">
      <c r="F24668" s="2423"/>
    </row>
    <row r="24669" s="101" customFormat="1" spans="6:6">
      <c r="F24669" s="2423"/>
    </row>
    <row r="24670" s="101" customFormat="1" spans="6:6">
      <c r="F24670" s="2423"/>
    </row>
    <row r="24671" s="101" customFormat="1" spans="6:6">
      <c r="F24671" s="2423"/>
    </row>
    <row r="24672" s="101" customFormat="1" spans="6:6">
      <c r="F24672" s="2423"/>
    </row>
    <row r="24673" s="101" customFormat="1" spans="6:6">
      <c r="F24673" s="2423"/>
    </row>
    <row r="24674" s="101" customFormat="1" spans="6:6">
      <c r="F24674" s="2423"/>
    </row>
    <row r="24675" s="101" customFormat="1" spans="6:6">
      <c r="F24675" s="2423"/>
    </row>
    <row r="24676" s="101" customFormat="1" spans="6:6">
      <c r="F24676" s="2423"/>
    </row>
    <row r="24677" s="101" customFormat="1" spans="6:6">
      <c r="F24677" s="2423"/>
    </row>
    <row r="24678" s="101" customFormat="1" spans="6:6">
      <c r="F24678" s="2423"/>
    </row>
    <row r="24679" s="101" customFormat="1" spans="6:6">
      <c r="F24679" s="2423"/>
    </row>
    <row r="24680" s="101" customFormat="1" spans="6:6">
      <c r="F24680" s="2423"/>
    </row>
    <row r="24681" s="101" customFormat="1" spans="6:6">
      <c r="F24681" s="2423"/>
    </row>
    <row r="24682" s="101" customFormat="1" spans="6:6">
      <c r="F24682" s="2423"/>
    </row>
    <row r="24683" s="101" customFormat="1" spans="6:6">
      <c r="F24683" s="2423"/>
    </row>
    <row r="24684" s="101" customFormat="1" spans="6:6">
      <c r="F24684" s="2423"/>
    </row>
    <row r="24685" s="101" customFormat="1" spans="6:6">
      <c r="F24685" s="2423"/>
    </row>
    <row r="24686" s="101" customFormat="1" spans="6:6">
      <c r="F24686" s="2423"/>
    </row>
    <row r="24687" s="101" customFormat="1" spans="6:6">
      <c r="F24687" s="2423"/>
    </row>
    <row r="24688" s="101" customFormat="1" spans="6:6">
      <c r="F24688" s="2423"/>
    </row>
    <row r="24689" s="101" customFormat="1" spans="6:6">
      <c r="F24689" s="2423"/>
    </row>
    <row r="24690" s="101" customFormat="1" spans="6:6">
      <c r="F24690" s="2423"/>
    </row>
    <row r="24691" s="101" customFormat="1" spans="6:6">
      <c r="F24691" s="2423"/>
    </row>
    <row r="24692" s="101" customFormat="1" spans="6:6">
      <c r="F24692" s="2423"/>
    </row>
    <row r="24693" s="101" customFormat="1" spans="6:6">
      <c r="F24693" s="2423"/>
    </row>
    <row r="24694" s="101" customFormat="1" spans="6:6">
      <c r="F24694" s="2423"/>
    </row>
    <row r="24695" s="101" customFormat="1" spans="6:6">
      <c r="F24695" s="2423"/>
    </row>
    <row r="24696" s="101" customFormat="1" spans="6:6">
      <c r="F24696" s="2423"/>
    </row>
    <row r="24697" s="101" customFormat="1" spans="6:6">
      <c r="F24697" s="2423"/>
    </row>
    <row r="24698" s="101" customFormat="1" spans="6:6">
      <c r="F24698" s="2423"/>
    </row>
    <row r="24699" s="101" customFormat="1" spans="6:6">
      <c r="F24699" s="2423"/>
    </row>
    <row r="24700" s="101" customFormat="1" spans="6:6">
      <c r="F24700" s="2423"/>
    </row>
    <row r="24701" s="101" customFormat="1" spans="6:6">
      <c r="F24701" s="2423"/>
    </row>
    <row r="24702" s="101" customFormat="1" spans="6:6">
      <c r="F24702" s="2423"/>
    </row>
    <row r="24703" s="101" customFormat="1" spans="6:6">
      <c r="F24703" s="2423"/>
    </row>
    <row r="24704" s="101" customFormat="1" spans="6:6">
      <c r="F24704" s="2423"/>
    </row>
    <row r="24705" s="101" customFormat="1" spans="6:6">
      <c r="F24705" s="2423"/>
    </row>
    <row r="24706" s="101" customFormat="1" spans="6:6">
      <c r="F24706" s="2423"/>
    </row>
    <row r="24707" s="101" customFormat="1" spans="6:6">
      <c r="F24707" s="2423"/>
    </row>
    <row r="24708" s="101" customFormat="1" spans="6:6">
      <c r="F24708" s="2423"/>
    </row>
    <row r="24709" s="101" customFormat="1" spans="6:6">
      <c r="F24709" s="2423"/>
    </row>
    <row r="24710" s="101" customFormat="1" spans="6:6">
      <c r="F24710" s="2423"/>
    </row>
    <row r="24711" s="101" customFormat="1" spans="6:6">
      <c r="F24711" s="2423"/>
    </row>
    <row r="24712" s="101" customFormat="1" spans="6:6">
      <c r="F24712" s="2423"/>
    </row>
    <row r="24713" s="101" customFormat="1" spans="6:6">
      <c r="F24713" s="2423"/>
    </row>
    <row r="24714" s="101" customFormat="1" spans="6:6">
      <c r="F24714" s="2423"/>
    </row>
    <row r="24715" s="101" customFormat="1" spans="6:6">
      <c r="F24715" s="2423"/>
    </row>
    <row r="24716" s="101" customFormat="1" spans="6:6">
      <c r="F24716" s="2423"/>
    </row>
    <row r="24717" s="101" customFormat="1" spans="6:6">
      <c r="F24717" s="2423"/>
    </row>
    <row r="24718" s="101" customFormat="1" spans="6:6">
      <c r="F24718" s="2423"/>
    </row>
    <row r="24719" s="101" customFormat="1" spans="6:6">
      <c r="F24719" s="2423"/>
    </row>
    <row r="24720" s="101" customFormat="1" spans="6:6">
      <c r="F24720" s="2423"/>
    </row>
    <row r="24721" s="101" customFormat="1" spans="6:6">
      <c r="F24721" s="2423"/>
    </row>
    <row r="24722" s="101" customFormat="1" spans="6:6">
      <c r="F24722" s="2423"/>
    </row>
    <row r="24723" s="101" customFormat="1" spans="6:6">
      <c r="F24723" s="2423"/>
    </row>
    <row r="24724" s="101" customFormat="1" spans="6:6">
      <c r="F24724" s="2423"/>
    </row>
    <row r="24725" s="101" customFormat="1" spans="6:6">
      <c r="F24725" s="2423"/>
    </row>
    <row r="24726" s="101" customFormat="1" spans="6:6">
      <c r="F24726" s="2423"/>
    </row>
    <row r="24727" s="101" customFormat="1" spans="6:6">
      <c r="F24727" s="2423"/>
    </row>
    <row r="24728" s="101" customFormat="1" spans="6:6">
      <c r="F24728" s="2423"/>
    </row>
    <row r="24729" s="101" customFormat="1" spans="6:6">
      <c r="F24729" s="2423"/>
    </row>
    <row r="24730" s="101" customFormat="1" spans="6:6">
      <c r="F24730" s="2423"/>
    </row>
    <row r="24731" s="101" customFormat="1" spans="6:6">
      <c r="F24731" s="2423"/>
    </row>
    <row r="24732" s="101" customFormat="1" spans="6:6">
      <c r="F24732" s="2423"/>
    </row>
    <row r="24733" s="101" customFormat="1" spans="6:6">
      <c r="F24733" s="2423"/>
    </row>
    <row r="24734" s="101" customFormat="1" spans="6:6">
      <c r="F24734" s="2423"/>
    </row>
    <row r="24735" s="101" customFormat="1" spans="6:6">
      <c r="F24735" s="2423"/>
    </row>
    <row r="24736" s="101" customFormat="1" spans="6:6">
      <c r="F24736" s="2423"/>
    </row>
    <row r="24737" s="101" customFormat="1" spans="6:6">
      <c r="F24737" s="2423"/>
    </row>
    <row r="24738" s="101" customFormat="1" spans="6:6">
      <c r="F24738" s="2423"/>
    </row>
    <row r="24739" s="101" customFormat="1" spans="6:6">
      <c r="F24739" s="2423"/>
    </row>
    <row r="24740" s="101" customFormat="1" spans="6:6">
      <c r="F24740" s="2423"/>
    </row>
    <row r="24741" s="101" customFormat="1" spans="6:6">
      <c r="F24741" s="2423"/>
    </row>
    <row r="24742" s="101" customFormat="1" spans="6:6">
      <c r="F24742" s="2423"/>
    </row>
    <row r="24743" s="101" customFormat="1" spans="6:6">
      <c r="F24743" s="2423"/>
    </row>
    <row r="24744" s="101" customFormat="1" spans="6:6">
      <c r="F24744" s="2423"/>
    </row>
    <row r="24745" s="101" customFormat="1" spans="6:6">
      <c r="F24745" s="2423"/>
    </row>
    <row r="24746" s="101" customFormat="1" spans="6:6">
      <c r="F24746" s="2423"/>
    </row>
    <row r="24747" s="101" customFormat="1" spans="6:6">
      <c r="F24747" s="2423"/>
    </row>
    <row r="24748" s="101" customFormat="1" spans="6:6">
      <c r="F24748" s="2423"/>
    </row>
    <row r="24749" s="101" customFormat="1" spans="6:6">
      <c r="F24749" s="2423"/>
    </row>
    <row r="24750" s="101" customFormat="1" spans="6:6">
      <c r="F24750" s="2423"/>
    </row>
    <row r="24751" s="101" customFormat="1" spans="6:6">
      <c r="F24751" s="2423"/>
    </row>
    <row r="24752" s="101" customFormat="1" spans="6:6">
      <c r="F24752" s="2423"/>
    </row>
    <row r="24753" s="101" customFormat="1" spans="6:6">
      <c r="F24753" s="2423"/>
    </row>
    <row r="24754" s="101" customFormat="1" spans="6:6">
      <c r="F24754" s="2423"/>
    </row>
    <row r="24755" s="101" customFormat="1" spans="6:6">
      <c r="F24755" s="2423"/>
    </row>
    <row r="24756" s="101" customFormat="1" spans="6:6">
      <c r="F24756" s="2423"/>
    </row>
    <row r="24757" s="101" customFormat="1" spans="6:6">
      <c r="F24757" s="2423"/>
    </row>
    <row r="24758" s="101" customFormat="1" spans="6:6">
      <c r="F24758" s="2423"/>
    </row>
    <row r="24759" s="101" customFormat="1" spans="6:6">
      <c r="F24759" s="2423"/>
    </row>
    <row r="24760" s="101" customFormat="1" spans="6:6">
      <c r="F24760" s="2423"/>
    </row>
    <row r="24761" s="101" customFormat="1" spans="6:6">
      <c r="F24761" s="2423"/>
    </row>
    <row r="24762" s="101" customFormat="1" spans="6:6">
      <c r="F24762" s="2423"/>
    </row>
    <row r="24763" s="101" customFormat="1" spans="6:6">
      <c r="F24763" s="2423"/>
    </row>
    <row r="24764" s="101" customFormat="1" spans="6:6">
      <c r="F24764" s="2423"/>
    </row>
    <row r="24765" s="101" customFormat="1" spans="6:6">
      <c r="F24765" s="2423"/>
    </row>
    <row r="24766" s="101" customFormat="1" spans="6:6">
      <c r="F24766" s="2423"/>
    </row>
    <row r="24767" s="101" customFormat="1" spans="6:6">
      <c r="F24767" s="2423"/>
    </row>
    <row r="24768" s="101" customFormat="1" spans="6:6">
      <c r="F24768" s="2423"/>
    </row>
    <row r="24769" s="101" customFormat="1" spans="6:6">
      <c r="F24769" s="2423"/>
    </row>
    <row r="24770" s="101" customFormat="1" spans="6:6">
      <c r="F24770" s="2423"/>
    </row>
    <row r="24771" s="101" customFormat="1" spans="6:6">
      <c r="F24771" s="2423"/>
    </row>
    <row r="24772" s="101" customFormat="1" spans="6:6">
      <c r="F24772" s="2423"/>
    </row>
    <row r="24773" s="101" customFormat="1" spans="6:6">
      <c r="F24773" s="2423"/>
    </row>
    <row r="24774" s="101" customFormat="1" spans="6:6">
      <c r="F24774" s="2423"/>
    </row>
    <row r="24775" s="101" customFormat="1" spans="6:6">
      <c r="F24775" s="2423"/>
    </row>
    <row r="24776" s="101" customFormat="1" spans="6:6">
      <c r="F24776" s="2423"/>
    </row>
    <row r="24777" s="101" customFormat="1" spans="6:6">
      <c r="F24777" s="2423"/>
    </row>
    <row r="24778" s="101" customFormat="1" spans="6:6">
      <c r="F24778" s="2423"/>
    </row>
    <row r="24779" s="101" customFormat="1" spans="6:6">
      <c r="F24779" s="2423"/>
    </row>
    <row r="24780" s="101" customFormat="1" spans="6:6">
      <c r="F24780" s="2423"/>
    </row>
    <row r="24781" s="101" customFormat="1" spans="6:6">
      <c r="F24781" s="2423"/>
    </row>
    <row r="24782" s="101" customFormat="1" spans="6:6">
      <c r="F24782" s="2423"/>
    </row>
    <row r="24783" s="101" customFormat="1" spans="6:6">
      <c r="F24783" s="2423"/>
    </row>
    <row r="24784" s="101" customFormat="1" spans="6:6">
      <c r="F24784" s="2423"/>
    </row>
    <row r="24785" s="101" customFormat="1" spans="6:6">
      <c r="F24785" s="2423"/>
    </row>
    <row r="24786" s="101" customFormat="1" spans="6:6">
      <c r="F24786" s="2423"/>
    </row>
    <row r="24787" s="101" customFormat="1" spans="6:6">
      <c r="F24787" s="2423"/>
    </row>
    <row r="24788" s="101" customFormat="1" spans="6:6">
      <c r="F24788" s="2423"/>
    </row>
    <row r="24789" s="101" customFormat="1" spans="6:6">
      <c r="F24789" s="2423"/>
    </row>
    <row r="24790" s="101" customFormat="1" spans="6:6">
      <c r="F24790" s="2423"/>
    </row>
    <row r="24791" s="101" customFormat="1" spans="6:6">
      <c r="F24791" s="2423"/>
    </row>
    <row r="24792" s="101" customFormat="1" spans="6:6">
      <c r="F24792" s="2423"/>
    </row>
    <row r="24793" s="101" customFormat="1" spans="6:6">
      <c r="F24793" s="2423"/>
    </row>
    <row r="24794" s="101" customFormat="1" spans="6:6">
      <c r="F24794" s="2423"/>
    </row>
    <row r="24795" s="101" customFormat="1" spans="6:6">
      <c r="F24795" s="2423"/>
    </row>
    <row r="24796" s="101" customFormat="1" spans="6:6">
      <c r="F24796" s="2423"/>
    </row>
    <row r="24797" s="101" customFormat="1" spans="6:6">
      <c r="F24797" s="2423"/>
    </row>
    <row r="24798" s="101" customFormat="1" spans="6:6">
      <c r="F24798" s="2423"/>
    </row>
    <row r="24799" s="101" customFormat="1" spans="6:6">
      <c r="F24799" s="2423"/>
    </row>
    <row r="24800" s="101" customFormat="1" spans="6:6">
      <c r="F24800" s="2423"/>
    </row>
    <row r="24801" s="101" customFormat="1" spans="6:6">
      <c r="F24801" s="2423"/>
    </row>
    <row r="24802" s="101" customFormat="1" spans="6:6">
      <c r="F24802" s="2423"/>
    </row>
    <row r="24803" s="101" customFormat="1" spans="6:6">
      <c r="F24803" s="2423"/>
    </row>
    <row r="24804" s="101" customFormat="1" spans="6:6">
      <c r="F24804" s="2423"/>
    </row>
    <row r="24805" s="101" customFormat="1" spans="6:6">
      <c r="F24805" s="2423"/>
    </row>
    <row r="24806" s="101" customFormat="1" spans="6:6">
      <c r="F24806" s="2423"/>
    </row>
    <row r="24807" s="101" customFormat="1" spans="6:6">
      <c r="F24807" s="2423"/>
    </row>
    <row r="24808" s="101" customFormat="1" spans="6:6">
      <c r="F24808" s="2423"/>
    </row>
    <row r="24809" s="101" customFormat="1" spans="6:6">
      <c r="F24809" s="2423"/>
    </row>
    <row r="24810" s="101" customFormat="1" spans="6:6">
      <c r="F24810" s="2423"/>
    </row>
    <row r="24811" s="101" customFormat="1" spans="6:6">
      <c r="F24811" s="2423"/>
    </row>
    <row r="24812" s="101" customFormat="1" spans="6:6">
      <c r="F24812" s="2423"/>
    </row>
    <row r="24813" s="101" customFormat="1" spans="6:6">
      <c r="F24813" s="2423"/>
    </row>
    <row r="24814" s="101" customFormat="1" spans="6:6">
      <c r="F24814" s="2423"/>
    </row>
    <row r="24815" s="101" customFormat="1" spans="6:6">
      <c r="F24815" s="2423"/>
    </row>
    <row r="24816" s="101" customFormat="1" spans="6:6">
      <c r="F24816" s="2423"/>
    </row>
    <row r="24817" s="101" customFormat="1" spans="6:6">
      <c r="F24817" s="2423"/>
    </row>
    <row r="24818" s="101" customFormat="1" spans="6:6">
      <c r="F24818" s="2423"/>
    </row>
    <row r="24819" s="101" customFormat="1" spans="6:6">
      <c r="F24819" s="2423"/>
    </row>
    <row r="24820" s="101" customFormat="1" spans="6:6">
      <c r="F24820" s="2423"/>
    </row>
    <row r="24821" s="101" customFormat="1" spans="6:6">
      <c r="F24821" s="2423"/>
    </row>
    <row r="24822" s="101" customFormat="1" spans="6:6">
      <c r="F24822" s="2423"/>
    </row>
    <row r="24823" s="101" customFormat="1" spans="6:6">
      <c r="F24823" s="2423"/>
    </row>
    <row r="24824" s="101" customFormat="1" spans="6:6">
      <c r="F24824" s="2423"/>
    </row>
    <row r="24825" s="101" customFormat="1" spans="6:6">
      <c r="F24825" s="2423"/>
    </row>
    <row r="24826" s="101" customFormat="1" spans="6:6">
      <c r="F24826" s="2423"/>
    </row>
    <row r="24827" s="101" customFormat="1" spans="6:6">
      <c r="F24827" s="2423"/>
    </row>
    <row r="24828" s="101" customFormat="1" spans="6:6">
      <c r="F24828" s="2423"/>
    </row>
    <row r="24829" s="101" customFormat="1" spans="6:6">
      <c r="F24829" s="2423"/>
    </row>
    <row r="24830" s="101" customFormat="1" spans="6:6">
      <c r="F24830" s="2423"/>
    </row>
    <row r="24831" s="101" customFormat="1" spans="6:6">
      <c r="F24831" s="2423"/>
    </row>
    <row r="24832" s="101" customFormat="1" spans="6:6">
      <c r="F24832" s="2423"/>
    </row>
    <row r="24833" s="101" customFormat="1" spans="6:6">
      <c r="F24833" s="2423"/>
    </row>
    <row r="24834" s="101" customFormat="1" spans="6:6">
      <c r="F24834" s="2423"/>
    </row>
    <row r="24835" s="101" customFormat="1" spans="6:6">
      <c r="F24835" s="2423"/>
    </row>
    <row r="24836" s="101" customFormat="1" spans="6:6">
      <c r="F24836" s="2423"/>
    </row>
    <row r="24837" s="101" customFormat="1" spans="6:6">
      <c r="F24837" s="2423"/>
    </row>
    <row r="24838" s="101" customFormat="1" spans="6:6">
      <c r="F24838" s="2423"/>
    </row>
    <row r="24839" s="101" customFormat="1" spans="6:6">
      <c r="F24839" s="2423"/>
    </row>
    <row r="24840" s="101" customFormat="1" spans="6:6">
      <c r="F24840" s="2423"/>
    </row>
    <row r="24841" s="101" customFormat="1" spans="6:6">
      <c r="F24841" s="2423"/>
    </row>
    <row r="24842" s="101" customFormat="1" spans="6:6">
      <c r="F24842" s="2423"/>
    </row>
    <row r="24843" s="101" customFormat="1" spans="6:6">
      <c r="F24843" s="2423"/>
    </row>
    <row r="24844" s="101" customFormat="1" spans="6:6">
      <c r="F24844" s="2423"/>
    </row>
    <row r="24845" s="101" customFormat="1" spans="6:6">
      <c r="F24845" s="2423"/>
    </row>
    <row r="24846" s="101" customFormat="1" spans="6:6">
      <c r="F24846" s="2423"/>
    </row>
    <row r="24847" s="101" customFormat="1" spans="6:6">
      <c r="F24847" s="2423"/>
    </row>
    <row r="24848" s="101" customFormat="1" spans="6:6">
      <c r="F24848" s="2423"/>
    </row>
    <row r="24849" s="101" customFormat="1" spans="6:6">
      <c r="F24849" s="2423"/>
    </row>
    <row r="24850" s="101" customFormat="1" spans="6:6">
      <c r="F24850" s="2423"/>
    </row>
    <row r="24851" s="101" customFormat="1" spans="6:6">
      <c r="F24851" s="2423"/>
    </row>
    <row r="24852" s="101" customFormat="1" spans="6:6">
      <c r="F24852" s="2423"/>
    </row>
    <row r="24853" s="101" customFormat="1" spans="6:6">
      <c r="F24853" s="2423"/>
    </row>
    <row r="24854" s="101" customFormat="1" spans="6:6">
      <c r="F24854" s="2423"/>
    </row>
    <row r="24855" s="101" customFormat="1" spans="6:6">
      <c r="F24855" s="2423"/>
    </row>
    <row r="24856" s="101" customFormat="1" spans="6:6">
      <c r="F24856" s="2423"/>
    </row>
    <row r="24857" s="101" customFormat="1" spans="6:6">
      <c r="F24857" s="2423"/>
    </row>
    <row r="24858" s="101" customFormat="1" spans="6:6">
      <c r="F24858" s="2423"/>
    </row>
    <row r="24859" s="101" customFormat="1" spans="6:6">
      <c r="F24859" s="2423"/>
    </row>
    <row r="24860" s="101" customFormat="1" spans="6:6">
      <c r="F24860" s="2423"/>
    </row>
    <row r="24861" s="101" customFormat="1" spans="6:6">
      <c r="F24861" s="2423"/>
    </row>
    <row r="24862" s="101" customFormat="1" spans="6:6">
      <c r="F24862" s="2423"/>
    </row>
    <row r="24863" s="101" customFormat="1" spans="6:6">
      <c r="F24863" s="2423"/>
    </row>
    <row r="24864" s="101" customFormat="1" spans="6:6">
      <c r="F24864" s="2423"/>
    </row>
    <row r="24865" s="101" customFormat="1" spans="6:6">
      <c r="F24865" s="2423"/>
    </row>
    <row r="24866" s="101" customFormat="1" spans="6:6">
      <c r="F24866" s="2423"/>
    </row>
    <row r="24867" s="101" customFormat="1" spans="6:6">
      <c r="F24867" s="2423"/>
    </row>
    <row r="24868" s="101" customFormat="1" spans="6:6">
      <c r="F24868" s="2423"/>
    </row>
    <row r="24869" s="101" customFormat="1" spans="6:6">
      <c r="F24869" s="2423"/>
    </row>
    <row r="24870" s="101" customFormat="1" spans="6:6">
      <c r="F24870" s="2423"/>
    </row>
    <row r="24871" s="101" customFormat="1" spans="6:6">
      <c r="F24871" s="2423"/>
    </row>
    <row r="24872" s="101" customFormat="1" spans="6:6">
      <c r="F24872" s="2423"/>
    </row>
    <row r="24873" s="101" customFormat="1" spans="6:6">
      <c r="F24873" s="2423"/>
    </row>
    <row r="24874" s="101" customFormat="1" spans="6:6">
      <c r="F24874" s="2423"/>
    </row>
    <row r="24875" s="101" customFormat="1" spans="6:6">
      <c r="F24875" s="2423"/>
    </row>
    <row r="24876" s="101" customFormat="1" spans="6:6">
      <c r="F24876" s="2423"/>
    </row>
    <row r="24877" s="101" customFormat="1" spans="6:6">
      <c r="F24877" s="2423"/>
    </row>
    <row r="24878" s="101" customFormat="1" spans="6:6">
      <c r="F24878" s="2423"/>
    </row>
    <row r="24879" s="101" customFormat="1" spans="6:6">
      <c r="F24879" s="2423"/>
    </row>
    <row r="24880" s="101" customFormat="1" spans="6:6">
      <c r="F24880" s="2423"/>
    </row>
    <row r="24881" s="101" customFormat="1" spans="6:6">
      <c r="F24881" s="2423"/>
    </row>
    <row r="24882" s="101" customFormat="1" spans="6:6">
      <c r="F24882" s="2423"/>
    </row>
    <row r="24883" s="101" customFormat="1" spans="6:6">
      <c r="F24883" s="2423"/>
    </row>
    <row r="24884" s="101" customFormat="1" spans="6:6">
      <c r="F24884" s="2423"/>
    </row>
    <row r="24885" s="101" customFormat="1" spans="6:6">
      <c r="F24885" s="2423"/>
    </row>
    <row r="24886" s="101" customFormat="1" spans="6:6">
      <c r="F24886" s="2423"/>
    </row>
    <row r="24887" s="101" customFormat="1" spans="6:6">
      <c r="F24887" s="2423"/>
    </row>
    <row r="24888" s="101" customFormat="1" spans="6:6">
      <c r="F24888" s="2423"/>
    </row>
    <row r="24889" s="101" customFormat="1" spans="6:6">
      <c r="F24889" s="2423"/>
    </row>
    <row r="24890" s="101" customFormat="1" spans="6:6">
      <c r="F24890" s="2423"/>
    </row>
    <row r="24891" s="101" customFormat="1" spans="6:6">
      <c r="F24891" s="2423"/>
    </row>
    <row r="24892" s="101" customFormat="1" spans="6:6">
      <c r="F24892" s="2423"/>
    </row>
    <row r="24893" s="101" customFormat="1" spans="6:6">
      <c r="F24893" s="2423"/>
    </row>
    <row r="24894" s="101" customFormat="1" spans="6:6">
      <c r="F24894" s="2423"/>
    </row>
    <row r="24895" s="101" customFormat="1" spans="6:6">
      <c r="F24895" s="2423"/>
    </row>
    <row r="24896" s="101" customFormat="1" spans="6:6">
      <c r="F24896" s="2423"/>
    </row>
    <row r="24897" s="101" customFormat="1" spans="6:6">
      <c r="F24897" s="2423"/>
    </row>
    <row r="24898" s="101" customFormat="1" spans="6:6">
      <c r="F24898" s="2423"/>
    </row>
    <row r="24899" s="101" customFormat="1" spans="6:6">
      <c r="F24899" s="2423"/>
    </row>
    <row r="24900" s="101" customFormat="1" spans="6:6">
      <c r="F24900" s="2423"/>
    </row>
    <row r="24901" s="101" customFormat="1" spans="6:6">
      <c r="F24901" s="2423"/>
    </row>
    <row r="24902" s="101" customFormat="1" spans="6:6">
      <c r="F24902" s="2423"/>
    </row>
    <row r="24903" s="101" customFormat="1" spans="6:6">
      <c r="F24903" s="2423"/>
    </row>
    <row r="24904" s="101" customFormat="1" spans="6:6">
      <c r="F24904" s="2423"/>
    </row>
    <row r="24905" s="101" customFormat="1" spans="6:6">
      <c r="F24905" s="2423"/>
    </row>
    <row r="24906" s="101" customFormat="1" spans="6:6">
      <c r="F24906" s="2423"/>
    </row>
    <row r="24907" s="101" customFormat="1" spans="6:6">
      <c r="F24907" s="2423"/>
    </row>
    <row r="24908" s="101" customFormat="1" spans="6:6">
      <c r="F24908" s="2423"/>
    </row>
    <row r="24909" s="101" customFormat="1" spans="6:6">
      <c r="F24909" s="2423"/>
    </row>
    <row r="24910" s="101" customFormat="1" spans="6:6">
      <c r="F24910" s="2423"/>
    </row>
    <row r="24911" s="101" customFormat="1" spans="6:6">
      <c r="F24911" s="2423"/>
    </row>
    <row r="24912" s="101" customFormat="1" spans="6:6">
      <c r="F24912" s="2423"/>
    </row>
    <row r="24913" s="101" customFormat="1" spans="6:6">
      <c r="F24913" s="2423"/>
    </row>
    <row r="24914" s="101" customFormat="1" spans="6:6">
      <c r="F24914" s="2423"/>
    </row>
    <row r="24915" s="101" customFormat="1" spans="6:6">
      <c r="F24915" s="2423"/>
    </row>
    <row r="24916" s="101" customFormat="1" spans="6:6">
      <c r="F24916" s="2423"/>
    </row>
    <row r="24917" s="101" customFormat="1" spans="6:6">
      <c r="F24917" s="2423"/>
    </row>
    <row r="24918" s="101" customFormat="1" spans="6:6">
      <c r="F24918" s="2423"/>
    </row>
    <row r="24919" s="101" customFormat="1" spans="6:6">
      <c r="F24919" s="2423"/>
    </row>
    <row r="24920" s="101" customFormat="1" spans="6:6">
      <c r="F24920" s="2423"/>
    </row>
    <row r="24921" s="101" customFormat="1" spans="6:6">
      <c r="F24921" s="2423"/>
    </row>
    <row r="24922" s="101" customFormat="1" spans="6:6">
      <c r="F24922" s="2423"/>
    </row>
    <row r="24923" s="101" customFormat="1" spans="6:6">
      <c r="F24923" s="2423"/>
    </row>
    <row r="24924" s="101" customFormat="1" spans="6:6">
      <c r="F24924" s="2423"/>
    </row>
    <row r="24925" s="101" customFormat="1" spans="6:6">
      <c r="F24925" s="2423"/>
    </row>
    <row r="24926" s="101" customFormat="1" spans="6:6">
      <c r="F24926" s="2423"/>
    </row>
    <row r="24927" s="101" customFormat="1" spans="6:6">
      <c r="F24927" s="2423"/>
    </row>
    <row r="24928" s="101" customFormat="1" spans="6:6">
      <c r="F24928" s="2423"/>
    </row>
    <row r="24929" s="101" customFormat="1" spans="6:6">
      <c r="F24929" s="2423"/>
    </row>
    <row r="24930" s="101" customFormat="1" spans="6:6">
      <c r="F24930" s="2423"/>
    </row>
    <row r="24931" s="101" customFormat="1" spans="6:6">
      <c r="F24931" s="2423"/>
    </row>
    <row r="24932" s="101" customFormat="1" spans="6:6">
      <c r="F24932" s="2423"/>
    </row>
    <row r="24933" s="101" customFormat="1" spans="6:6">
      <c r="F24933" s="2423"/>
    </row>
    <row r="24934" s="101" customFormat="1" spans="6:6">
      <c r="F24934" s="2423"/>
    </row>
    <row r="24935" s="101" customFormat="1" spans="6:6">
      <c r="F24935" s="2423"/>
    </row>
    <row r="24936" s="101" customFormat="1" spans="6:6">
      <c r="F24936" s="2423"/>
    </row>
    <row r="24937" s="101" customFormat="1" spans="6:6">
      <c r="F24937" s="2423"/>
    </row>
    <row r="24938" s="101" customFormat="1" spans="6:6">
      <c r="F24938" s="2423"/>
    </row>
    <row r="24939" s="101" customFormat="1" spans="6:6">
      <c r="F24939" s="2423"/>
    </row>
    <row r="24940" s="101" customFormat="1" spans="6:6">
      <c r="F24940" s="2423"/>
    </row>
    <row r="24941" s="101" customFormat="1" spans="6:6">
      <c r="F24941" s="2423"/>
    </row>
    <row r="24942" s="101" customFormat="1" spans="6:6">
      <c r="F24942" s="2423"/>
    </row>
    <row r="24943" s="101" customFormat="1" spans="6:6">
      <c r="F24943" s="2423"/>
    </row>
    <row r="24944" s="101" customFormat="1" spans="6:6">
      <c r="F24944" s="2423"/>
    </row>
    <row r="24945" s="101" customFormat="1" spans="6:6">
      <c r="F24945" s="2423"/>
    </row>
    <row r="24946" s="101" customFormat="1" spans="6:6">
      <c r="F24946" s="2423"/>
    </row>
    <row r="24947" s="101" customFormat="1" spans="6:6">
      <c r="F24947" s="2423"/>
    </row>
    <row r="24948" s="101" customFormat="1" spans="6:6">
      <c r="F24948" s="2423"/>
    </row>
    <row r="24949" s="101" customFormat="1" spans="6:6">
      <c r="F24949" s="2423"/>
    </row>
    <row r="24950" s="101" customFormat="1" spans="6:6">
      <c r="F24950" s="2423"/>
    </row>
    <row r="24951" s="101" customFormat="1" spans="6:6">
      <c r="F24951" s="2423"/>
    </row>
    <row r="24952" s="101" customFormat="1" spans="6:6">
      <c r="F24952" s="2423"/>
    </row>
    <row r="24953" s="101" customFormat="1" spans="6:6">
      <c r="F24953" s="2423"/>
    </row>
    <row r="24954" s="101" customFormat="1" spans="6:6">
      <c r="F24954" s="2423"/>
    </row>
    <row r="24955" s="101" customFormat="1" spans="6:6">
      <c r="F24955" s="2423"/>
    </row>
    <row r="24956" s="101" customFormat="1" spans="6:6">
      <c r="F24956" s="2423"/>
    </row>
    <row r="24957" s="101" customFormat="1" spans="6:6">
      <c r="F24957" s="2423"/>
    </row>
    <row r="24958" s="101" customFormat="1" spans="6:6">
      <c r="F24958" s="2423"/>
    </row>
    <row r="24959" s="101" customFormat="1" spans="6:6">
      <c r="F24959" s="2423"/>
    </row>
    <row r="24960" s="101" customFormat="1" spans="6:6">
      <c r="F24960" s="2423"/>
    </row>
    <row r="24961" s="101" customFormat="1" spans="6:6">
      <c r="F24961" s="2423"/>
    </row>
    <row r="24962" s="101" customFormat="1" spans="6:6">
      <c r="F24962" s="2423"/>
    </row>
    <row r="24963" s="101" customFormat="1" spans="6:6">
      <c r="F24963" s="2423"/>
    </row>
    <row r="24964" s="101" customFormat="1" spans="6:6">
      <c r="F24964" s="2423"/>
    </row>
    <row r="24965" s="101" customFormat="1" spans="6:6">
      <c r="F24965" s="2423"/>
    </row>
    <row r="24966" s="101" customFormat="1" spans="6:6">
      <c r="F24966" s="2423"/>
    </row>
    <row r="24967" s="101" customFormat="1" spans="6:6">
      <c r="F24967" s="2423"/>
    </row>
    <row r="24968" s="101" customFormat="1" spans="6:6">
      <c r="F24968" s="2423"/>
    </row>
    <row r="24969" s="101" customFormat="1" spans="6:6">
      <c r="F24969" s="2423"/>
    </row>
    <row r="24970" s="101" customFormat="1" spans="6:6">
      <c r="F24970" s="2423"/>
    </row>
    <row r="24971" s="101" customFormat="1" spans="6:6">
      <c r="F24971" s="2423"/>
    </row>
    <row r="24972" s="101" customFormat="1" spans="6:6">
      <c r="F24972" s="2423"/>
    </row>
    <row r="24973" s="101" customFormat="1" spans="6:6">
      <c r="F24973" s="2423"/>
    </row>
    <row r="24974" s="101" customFormat="1" spans="6:6">
      <c r="F24974" s="2423"/>
    </row>
    <row r="24975" s="101" customFormat="1" spans="6:6">
      <c r="F24975" s="2423"/>
    </row>
    <row r="24976" s="101" customFormat="1" spans="6:6">
      <c r="F24976" s="2423"/>
    </row>
    <row r="24977" s="101" customFormat="1" spans="6:6">
      <c r="F24977" s="2423"/>
    </row>
    <row r="24978" s="101" customFormat="1" spans="6:6">
      <c r="F24978" s="2423"/>
    </row>
    <row r="24979" s="101" customFormat="1" spans="6:6">
      <c r="F24979" s="2423"/>
    </row>
    <row r="24980" s="101" customFormat="1" spans="6:6">
      <c r="F24980" s="2423"/>
    </row>
    <row r="24981" s="101" customFormat="1" spans="6:6">
      <c r="F24981" s="2423"/>
    </row>
    <row r="24982" s="101" customFormat="1" spans="6:6">
      <c r="F24982" s="2423"/>
    </row>
    <row r="24983" s="101" customFormat="1" spans="6:6">
      <c r="F24983" s="2423"/>
    </row>
    <row r="24984" s="101" customFormat="1" spans="6:6">
      <c r="F24984" s="2423"/>
    </row>
    <row r="24985" s="101" customFormat="1" spans="6:6">
      <c r="F24985" s="2423"/>
    </row>
    <row r="24986" s="101" customFormat="1" spans="6:6">
      <c r="F24986" s="2423"/>
    </row>
    <row r="24987" s="101" customFormat="1" spans="6:6">
      <c r="F24987" s="2423"/>
    </row>
    <row r="24988" s="101" customFormat="1" spans="6:6">
      <c r="F24988" s="2423"/>
    </row>
    <row r="24989" s="101" customFormat="1" spans="6:6">
      <c r="F24989" s="2423"/>
    </row>
    <row r="24990" s="101" customFormat="1" spans="6:6">
      <c r="F24990" s="2423"/>
    </row>
    <row r="24991" s="101" customFormat="1" spans="6:6">
      <c r="F24991" s="2423"/>
    </row>
    <row r="24992" s="101" customFormat="1" spans="6:6">
      <c r="F24992" s="2423"/>
    </row>
    <row r="24993" s="101" customFormat="1" spans="6:6">
      <c r="F24993" s="2423"/>
    </row>
    <row r="24994" s="101" customFormat="1" spans="6:6">
      <c r="F24994" s="2423"/>
    </row>
    <row r="24995" s="101" customFormat="1" spans="6:6">
      <c r="F24995" s="2423"/>
    </row>
    <row r="24996" s="101" customFormat="1" spans="6:6">
      <c r="F24996" s="2423"/>
    </row>
    <row r="24997" s="101" customFormat="1" spans="6:6">
      <c r="F24997" s="2423"/>
    </row>
    <row r="24998" s="101" customFormat="1" spans="6:6">
      <c r="F24998" s="2423"/>
    </row>
    <row r="24999" s="101" customFormat="1" spans="6:6">
      <c r="F24999" s="2423"/>
    </row>
    <row r="25000" s="101" customFormat="1" spans="6:6">
      <c r="F25000" s="2423"/>
    </row>
    <row r="25001" s="101" customFormat="1" spans="6:6">
      <c r="F25001" s="2423"/>
    </row>
    <row r="25002" s="101" customFormat="1" spans="6:6">
      <c r="F25002" s="2423"/>
    </row>
    <row r="25003" s="101" customFormat="1" spans="6:6">
      <c r="F25003" s="2423"/>
    </row>
    <row r="25004" s="101" customFormat="1" spans="6:6">
      <c r="F25004" s="2423"/>
    </row>
    <row r="25005" s="101" customFormat="1" spans="6:6">
      <c r="F25005" s="2423"/>
    </row>
    <row r="25006" s="101" customFormat="1" spans="6:6">
      <c r="F25006" s="2423"/>
    </row>
    <row r="25007" s="101" customFormat="1" spans="6:6">
      <c r="F25007" s="2423"/>
    </row>
    <row r="25008" s="101" customFormat="1" spans="6:6">
      <c r="F25008" s="2423"/>
    </row>
    <row r="25009" s="101" customFormat="1" spans="6:6">
      <c r="F25009" s="2423"/>
    </row>
    <row r="25010" s="101" customFormat="1" spans="6:6">
      <c r="F25010" s="2423"/>
    </row>
    <row r="25011" s="101" customFormat="1" spans="6:6">
      <c r="F25011" s="2423"/>
    </row>
    <row r="25012" s="101" customFormat="1" spans="6:6">
      <c r="F25012" s="2423"/>
    </row>
    <row r="25013" s="101" customFormat="1" spans="6:6">
      <c r="F25013" s="2423"/>
    </row>
    <row r="25014" s="101" customFormat="1" spans="6:6">
      <c r="F25014" s="2423"/>
    </row>
    <row r="25015" s="101" customFormat="1" spans="6:6">
      <c r="F25015" s="2423"/>
    </row>
    <row r="25016" s="101" customFormat="1" spans="6:6">
      <c r="F25016" s="2423"/>
    </row>
    <row r="25017" s="101" customFormat="1" spans="6:6">
      <c r="F25017" s="2423"/>
    </row>
    <row r="25018" s="101" customFormat="1" spans="6:6">
      <c r="F25018" s="2423"/>
    </row>
    <row r="25019" s="101" customFormat="1" spans="6:6">
      <c r="F25019" s="2423"/>
    </row>
    <row r="25020" s="101" customFormat="1" spans="6:6">
      <c r="F25020" s="2423"/>
    </row>
    <row r="25021" s="101" customFormat="1" spans="6:6">
      <c r="F25021" s="2423"/>
    </row>
    <row r="25022" s="101" customFormat="1" spans="6:6">
      <c r="F25022" s="2423"/>
    </row>
    <row r="25023" s="101" customFormat="1" spans="6:6">
      <c r="F25023" s="2423"/>
    </row>
    <row r="25024" s="101" customFormat="1" spans="6:6">
      <c r="F25024" s="2423"/>
    </row>
    <row r="25025" s="101" customFormat="1" spans="6:6">
      <c r="F25025" s="2423"/>
    </row>
    <row r="25026" s="101" customFormat="1" spans="6:6">
      <c r="F25026" s="2423"/>
    </row>
    <row r="25027" s="101" customFormat="1" spans="6:6">
      <c r="F25027" s="2423"/>
    </row>
    <row r="25028" s="101" customFormat="1" spans="6:6">
      <c r="F25028" s="2423"/>
    </row>
    <row r="25029" s="101" customFormat="1" spans="6:6">
      <c r="F25029" s="2423"/>
    </row>
    <row r="25030" s="101" customFormat="1" spans="6:6">
      <c r="F25030" s="2423"/>
    </row>
    <row r="25031" s="101" customFormat="1" spans="6:6">
      <c r="F25031" s="2423"/>
    </row>
    <row r="25032" s="101" customFormat="1" spans="6:6">
      <c r="F25032" s="2423"/>
    </row>
    <row r="25033" s="101" customFormat="1" spans="6:6">
      <c r="F25033" s="2423"/>
    </row>
    <row r="25034" s="101" customFormat="1" spans="6:6">
      <c r="F25034" s="2423"/>
    </row>
    <row r="25035" s="101" customFormat="1" spans="6:6">
      <c r="F25035" s="2423"/>
    </row>
    <row r="25036" s="101" customFormat="1" spans="6:6">
      <c r="F25036" s="2423"/>
    </row>
    <row r="25037" s="101" customFormat="1" spans="6:6">
      <c r="F25037" s="2423"/>
    </row>
    <row r="25038" s="101" customFormat="1" spans="6:6">
      <c r="F25038" s="2423"/>
    </row>
    <row r="25039" s="101" customFormat="1" spans="6:6">
      <c r="F25039" s="2423"/>
    </row>
    <row r="25040" s="101" customFormat="1" spans="6:6">
      <c r="F25040" s="2423"/>
    </row>
    <row r="25041" s="101" customFormat="1" spans="6:6">
      <c r="F25041" s="2423"/>
    </row>
    <row r="25042" s="101" customFormat="1" spans="6:6">
      <c r="F25042" s="2423"/>
    </row>
    <row r="25043" s="101" customFormat="1" spans="6:6">
      <c r="F25043" s="2423"/>
    </row>
    <row r="25044" s="101" customFormat="1" spans="6:6">
      <c r="F25044" s="2423"/>
    </row>
    <row r="25045" s="101" customFormat="1" spans="6:6">
      <c r="F25045" s="2423"/>
    </row>
    <row r="25046" s="101" customFormat="1" spans="6:6">
      <c r="F25046" s="2423"/>
    </row>
    <row r="25047" s="101" customFormat="1" spans="6:6">
      <c r="F25047" s="2423"/>
    </row>
    <row r="25048" s="101" customFormat="1" spans="6:6">
      <c r="F25048" s="2423"/>
    </row>
    <row r="25049" s="101" customFormat="1" spans="6:6">
      <c r="F25049" s="2423"/>
    </row>
    <row r="25050" s="101" customFormat="1" spans="6:6">
      <c r="F25050" s="2423"/>
    </row>
    <row r="25051" s="101" customFormat="1" spans="6:6">
      <c r="F25051" s="2423"/>
    </row>
    <row r="25052" s="101" customFormat="1" spans="6:6">
      <c r="F25052" s="2423"/>
    </row>
    <row r="25053" s="101" customFormat="1" spans="6:6">
      <c r="F25053" s="2423"/>
    </row>
    <row r="25054" s="101" customFormat="1" spans="6:6">
      <c r="F25054" s="2423"/>
    </row>
    <row r="25055" s="101" customFormat="1" spans="6:6">
      <c r="F25055" s="2423"/>
    </row>
    <row r="25056" s="101" customFormat="1" spans="6:6">
      <c r="F25056" s="2423"/>
    </row>
    <row r="25057" s="101" customFormat="1" spans="6:6">
      <c r="F25057" s="2423"/>
    </row>
    <row r="25058" s="101" customFormat="1" spans="6:6">
      <c r="F25058" s="2423"/>
    </row>
    <row r="25059" s="101" customFormat="1" spans="6:6">
      <c r="F25059" s="2423"/>
    </row>
    <row r="25060" s="101" customFormat="1" spans="6:6">
      <c r="F25060" s="2423"/>
    </row>
    <row r="25061" s="101" customFormat="1" spans="6:6">
      <c r="F25061" s="2423"/>
    </row>
    <row r="25062" s="101" customFormat="1" spans="6:6">
      <c r="F25062" s="2423"/>
    </row>
    <row r="25063" s="101" customFormat="1" spans="6:6">
      <c r="F25063" s="2423"/>
    </row>
    <row r="25064" s="101" customFormat="1" spans="6:6">
      <c r="F25064" s="2423"/>
    </row>
    <row r="25065" s="101" customFormat="1" spans="6:6">
      <c r="F25065" s="2423"/>
    </row>
    <row r="25066" s="101" customFormat="1" spans="6:6">
      <c r="F25066" s="2423"/>
    </row>
    <row r="25067" s="101" customFormat="1" spans="6:6">
      <c r="F25067" s="2423"/>
    </row>
    <row r="25068" s="101" customFormat="1" spans="6:6">
      <c r="F25068" s="2423"/>
    </row>
    <row r="25069" s="101" customFormat="1" spans="6:6">
      <c r="F25069" s="2423"/>
    </row>
    <row r="25070" s="101" customFormat="1" spans="6:6">
      <c r="F25070" s="2423"/>
    </row>
    <row r="25071" s="101" customFormat="1" spans="6:6">
      <c r="F25071" s="2423"/>
    </row>
    <row r="25072" s="101" customFormat="1" spans="6:6">
      <c r="F25072" s="2423"/>
    </row>
    <row r="25073" s="101" customFormat="1" spans="6:6">
      <c r="F25073" s="2423"/>
    </row>
    <row r="25074" s="101" customFormat="1" spans="6:6">
      <c r="F25074" s="2423"/>
    </row>
    <row r="25075" s="101" customFormat="1" spans="6:6">
      <c r="F25075" s="2423"/>
    </row>
    <row r="25076" s="101" customFormat="1" spans="6:6">
      <c r="F25076" s="2423"/>
    </row>
    <row r="25077" s="101" customFormat="1" spans="6:6">
      <c r="F25077" s="2423"/>
    </row>
    <row r="25078" s="101" customFormat="1" spans="6:6">
      <c r="F25078" s="2423"/>
    </row>
    <row r="25079" s="101" customFormat="1" spans="6:6">
      <c r="F25079" s="2423"/>
    </row>
    <row r="25080" s="101" customFormat="1" spans="6:6">
      <c r="F25080" s="2423"/>
    </row>
    <row r="25081" s="101" customFormat="1" spans="6:6">
      <c r="F25081" s="2423"/>
    </row>
    <row r="25082" s="101" customFormat="1" spans="6:6">
      <c r="F25082" s="2423"/>
    </row>
    <row r="25083" s="101" customFormat="1" spans="6:6">
      <c r="F25083" s="2423"/>
    </row>
    <row r="25084" s="101" customFormat="1" spans="6:6">
      <c r="F25084" s="2423"/>
    </row>
    <row r="25085" s="101" customFormat="1" spans="6:6">
      <c r="F25085" s="2423"/>
    </row>
    <row r="25086" s="101" customFormat="1" spans="6:6">
      <c r="F25086" s="2423"/>
    </row>
    <row r="25087" s="101" customFormat="1" spans="6:6">
      <c r="F25087" s="2423"/>
    </row>
    <row r="25088" s="101" customFormat="1" spans="6:6">
      <c r="F25088" s="2423"/>
    </row>
    <row r="25089" s="101" customFormat="1" spans="6:6">
      <c r="F25089" s="2423"/>
    </row>
    <row r="25090" s="101" customFormat="1" spans="6:6">
      <c r="F25090" s="2423"/>
    </row>
    <row r="25091" s="101" customFormat="1" spans="6:6">
      <c r="F25091" s="2423"/>
    </row>
    <row r="25092" s="101" customFormat="1" spans="6:6">
      <c r="F25092" s="2423"/>
    </row>
    <row r="25093" s="101" customFormat="1" spans="6:6">
      <c r="F25093" s="2423"/>
    </row>
    <row r="25094" s="101" customFormat="1" spans="6:6">
      <c r="F25094" s="2423"/>
    </row>
    <row r="25095" s="101" customFormat="1" spans="6:6">
      <c r="F25095" s="2423"/>
    </row>
    <row r="25096" s="101" customFormat="1" spans="6:6">
      <c r="F25096" s="2423"/>
    </row>
    <row r="25097" s="101" customFormat="1" spans="6:6">
      <c r="F25097" s="2423"/>
    </row>
    <row r="25098" s="101" customFormat="1" spans="6:6">
      <c r="F25098" s="2423"/>
    </row>
    <row r="25099" s="101" customFormat="1" spans="6:6">
      <c r="F25099" s="2423"/>
    </row>
    <row r="25100" s="101" customFormat="1" spans="6:6">
      <c r="F25100" s="2423"/>
    </row>
    <row r="25101" s="101" customFormat="1" spans="6:6">
      <c r="F25101" s="2423"/>
    </row>
    <row r="25102" s="101" customFormat="1" spans="6:6">
      <c r="F25102" s="2423"/>
    </row>
    <row r="25103" s="101" customFormat="1" spans="6:6">
      <c r="F25103" s="2423"/>
    </row>
    <row r="25104" s="101" customFormat="1" spans="6:6">
      <c r="F25104" s="2423"/>
    </row>
    <row r="25105" s="101" customFormat="1" spans="6:6">
      <c r="F25105" s="2423"/>
    </row>
    <row r="25106" s="101" customFormat="1" spans="6:6">
      <c r="F25106" s="2423"/>
    </row>
    <row r="25107" s="101" customFormat="1" spans="6:6">
      <c r="F25107" s="2423"/>
    </row>
    <row r="25108" s="101" customFormat="1" spans="6:6">
      <c r="F25108" s="2423"/>
    </row>
    <row r="25109" s="101" customFormat="1" spans="6:6">
      <c r="F25109" s="2423"/>
    </row>
    <row r="25110" s="101" customFormat="1" spans="6:6">
      <c r="F25110" s="2423"/>
    </row>
    <row r="25111" s="101" customFormat="1" spans="6:6">
      <c r="F25111" s="2423"/>
    </row>
    <row r="25112" s="101" customFormat="1" spans="6:6">
      <c r="F25112" s="2423"/>
    </row>
    <row r="25113" s="101" customFormat="1" spans="6:6">
      <c r="F25113" s="2423"/>
    </row>
    <row r="25114" s="101" customFormat="1" spans="6:6">
      <c r="F25114" s="2423"/>
    </row>
    <row r="25115" s="101" customFormat="1" spans="6:6">
      <c r="F25115" s="2423"/>
    </row>
    <row r="25116" s="101" customFormat="1" spans="6:6">
      <c r="F25116" s="2423"/>
    </row>
    <row r="25117" s="101" customFormat="1" spans="6:6">
      <c r="F25117" s="2423"/>
    </row>
    <row r="25118" s="101" customFormat="1" spans="6:6">
      <c r="F25118" s="2423"/>
    </row>
    <row r="25119" s="101" customFormat="1" spans="6:6">
      <c r="F25119" s="2423"/>
    </row>
    <row r="25120" s="101" customFormat="1" spans="6:6">
      <c r="F25120" s="2423"/>
    </row>
    <row r="25121" s="101" customFormat="1" spans="6:6">
      <c r="F25121" s="2423"/>
    </row>
    <row r="25122" s="101" customFormat="1" spans="6:6">
      <c r="F25122" s="2423"/>
    </row>
    <row r="25123" s="101" customFormat="1" spans="6:6">
      <c r="F25123" s="2423"/>
    </row>
    <row r="25124" s="101" customFormat="1" spans="6:6">
      <c r="F25124" s="2423"/>
    </row>
    <row r="25125" s="101" customFormat="1" spans="6:6">
      <c r="F25125" s="2423"/>
    </row>
    <row r="25126" s="101" customFormat="1" spans="6:6">
      <c r="F25126" s="2423"/>
    </row>
    <row r="25127" s="101" customFormat="1" spans="6:6">
      <c r="F25127" s="2423"/>
    </row>
    <row r="25128" s="101" customFormat="1" spans="6:6">
      <c r="F25128" s="2423"/>
    </row>
    <row r="25129" s="101" customFormat="1" spans="6:6">
      <c r="F25129" s="2423"/>
    </row>
    <row r="25130" s="101" customFormat="1" spans="6:6">
      <c r="F25130" s="2423"/>
    </row>
    <row r="25131" s="101" customFormat="1" spans="6:6">
      <c r="F25131" s="2423"/>
    </row>
    <row r="25132" s="101" customFormat="1" spans="6:6">
      <c r="F25132" s="2423"/>
    </row>
    <row r="25133" s="101" customFormat="1" spans="6:6">
      <c r="F25133" s="2423"/>
    </row>
    <row r="25134" s="101" customFormat="1" spans="6:6">
      <c r="F25134" s="2423"/>
    </row>
    <row r="25135" s="101" customFormat="1" spans="6:6">
      <c r="F25135" s="2423"/>
    </row>
    <row r="25136" s="101" customFormat="1" spans="6:6">
      <c r="F25136" s="2423"/>
    </row>
    <row r="25137" s="101" customFormat="1" spans="6:6">
      <c r="F25137" s="2423"/>
    </row>
    <row r="25138" s="101" customFormat="1" spans="6:6">
      <c r="F25138" s="2423"/>
    </row>
    <row r="25139" s="101" customFormat="1" spans="6:6">
      <c r="F25139" s="2423"/>
    </row>
    <row r="25140" s="101" customFormat="1" spans="6:6">
      <c r="F25140" s="2423"/>
    </row>
    <row r="25141" s="101" customFormat="1" spans="6:6">
      <c r="F25141" s="2423"/>
    </row>
    <row r="25142" s="101" customFormat="1" spans="6:6">
      <c r="F25142" s="2423"/>
    </row>
    <row r="25143" s="101" customFormat="1" spans="6:6">
      <c r="F25143" s="2423"/>
    </row>
    <row r="25144" s="101" customFormat="1" spans="6:6">
      <c r="F25144" s="2423"/>
    </row>
    <row r="25145" s="101" customFormat="1" spans="6:6">
      <c r="F25145" s="2423"/>
    </row>
    <row r="25146" s="101" customFormat="1" spans="6:6">
      <c r="F25146" s="2423"/>
    </row>
    <row r="25147" s="101" customFormat="1" spans="6:6">
      <c r="F25147" s="2423"/>
    </row>
    <row r="25148" s="101" customFormat="1" spans="6:6">
      <c r="F25148" s="2423"/>
    </row>
    <row r="25149" s="101" customFormat="1" spans="6:6">
      <c r="F25149" s="2423"/>
    </row>
    <row r="25150" s="101" customFormat="1" spans="6:6">
      <c r="F25150" s="2423"/>
    </row>
    <row r="25151" s="101" customFormat="1" spans="6:6">
      <c r="F25151" s="2423"/>
    </row>
    <row r="25152" s="101" customFormat="1" spans="6:6">
      <c r="F25152" s="2423"/>
    </row>
    <row r="25153" s="101" customFormat="1" spans="6:6">
      <c r="F25153" s="2423"/>
    </row>
    <row r="25154" s="101" customFormat="1" spans="6:6">
      <c r="F25154" s="2423"/>
    </row>
    <row r="25155" s="101" customFormat="1" spans="6:6">
      <c r="F25155" s="2423"/>
    </row>
    <row r="25156" s="101" customFormat="1" spans="6:6">
      <c r="F25156" s="2423"/>
    </row>
    <row r="25157" s="101" customFormat="1" spans="6:6">
      <c r="F25157" s="2423"/>
    </row>
    <row r="25158" s="101" customFormat="1" spans="6:6">
      <c r="F25158" s="2423"/>
    </row>
    <row r="25159" s="101" customFormat="1" spans="6:6">
      <c r="F25159" s="2423"/>
    </row>
    <row r="25160" s="101" customFormat="1" spans="6:6">
      <c r="F25160" s="2423"/>
    </row>
    <row r="25161" s="101" customFormat="1" spans="6:6">
      <c r="F25161" s="2423"/>
    </row>
    <row r="25162" s="101" customFormat="1" spans="6:6">
      <c r="F25162" s="2423"/>
    </row>
    <row r="25163" s="101" customFormat="1" spans="6:6">
      <c r="F25163" s="2423"/>
    </row>
    <row r="25164" s="101" customFormat="1" spans="6:6">
      <c r="F25164" s="2423"/>
    </row>
    <row r="25165" s="101" customFormat="1" spans="6:6">
      <c r="F25165" s="2423"/>
    </row>
    <row r="25166" s="101" customFormat="1" spans="6:6">
      <c r="F25166" s="2423"/>
    </row>
    <row r="25167" s="101" customFormat="1" spans="6:6">
      <c r="F25167" s="2423"/>
    </row>
    <row r="25168" s="101" customFormat="1" spans="6:6">
      <c r="F25168" s="2423"/>
    </row>
    <row r="25169" s="101" customFormat="1" spans="6:6">
      <c r="F25169" s="2423"/>
    </row>
    <row r="25170" s="101" customFormat="1" spans="6:6">
      <c r="F25170" s="2423"/>
    </row>
    <row r="25171" s="101" customFormat="1" spans="6:6">
      <c r="F25171" s="2423"/>
    </row>
    <row r="25172" s="101" customFormat="1" spans="6:6">
      <c r="F25172" s="2423"/>
    </row>
    <row r="25173" s="101" customFormat="1" spans="6:6">
      <c r="F25173" s="2423"/>
    </row>
    <row r="25174" s="101" customFormat="1" spans="6:6">
      <c r="F25174" s="2423"/>
    </row>
    <row r="25175" s="101" customFormat="1" spans="6:6">
      <c r="F25175" s="2423"/>
    </row>
    <row r="25176" s="101" customFormat="1" spans="6:6">
      <c r="F25176" s="2423"/>
    </row>
    <row r="25177" s="101" customFormat="1" spans="6:6">
      <c r="F25177" s="2423"/>
    </row>
    <row r="25178" s="101" customFormat="1" spans="6:6">
      <c r="F25178" s="2423"/>
    </row>
    <row r="25179" s="101" customFormat="1" spans="6:6">
      <c r="F25179" s="2423"/>
    </row>
    <row r="25180" s="101" customFormat="1" spans="6:6">
      <c r="F25180" s="2423"/>
    </row>
    <row r="25181" s="101" customFormat="1" spans="6:6">
      <c r="F25181" s="2423"/>
    </row>
    <row r="25182" s="101" customFormat="1" spans="6:6">
      <c r="F25182" s="2423"/>
    </row>
    <row r="25183" s="101" customFormat="1" spans="6:6">
      <c r="F25183" s="2423"/>
    </row>
    <row r="25184" s="101" customFormat="1" spans="6:6">
      <c r="F25184" s="2423"/>
    </row>
    <row r="25185" s="101" customFormat="1" spans="6:6">
      <c r="F25185" s="2423"/>
    </row>
    <row r="25186" s="101" customFormat="1" spans="6:6">
      <c r="F25186" s="2423"/>
    </row>
    <row r="25187" s="101" customFormat="1" spans="6:6">
      <c r="F25187" s="2423"/>
    </row>
    <row r="25188" s="101" customFormat="1" spans="6:6">
      <c r="F25188" s="2423"/>
    </row>
    <row r="25189" s="101" customFormat="1" spans="6:6">
      <c r="F25189" s="2423"/>
    </row>
    <row r="25190" s="101" customFormat="1" spans="6:6">
      <c r="F25190" s="2423"/>
    </row>
    <row r="25191" s="101" customFormat="1" spans="6:6">
      <c r="F25191" s="2423"/>
    </row>
    <row r="25192" s="101" customFormat="1" spans="6:6">
      <c r="F25192" s="2423"/>
    </row>
    <row r="25193" s="101" customFormat="1" spans="6:6">
      <c r="F25193" s="2423"/>
    </row>
    <row r="25194" s="101" customFormat="1" spans="6:6">
      <c r="F25194" s="2423"/>
    </row>
    <row r="25195" s="101" customFormat="1" spans="6:6">
      <c r="F25195" s="2423"/>
    </row>
    <row r="25196" s="101" customFormat="1" spans="6:6">
      <c r="F25196" s="2423"/>
    </row>
    <row r="25197" s="101" customFormat="1" spans="6:6">
      <c r="F25197" s="2423"/>
    </row>
    <row r="25198" s="101" customFormat="1" spans="6:6">
      <c r="F25198" s="2423"/>
    </row>
    <row r="25199" s="101" customFormat="1" spans="6:6">
      <c r="F25199" s="2423"/>
    </row>
    <row r="25200" s="101" customFormat="1" spans="6:6">
      <c r="F25200" s="2423"/>
    </row>
    <row r="25201" s="101" customFormat="1" spans="6:6">
      <c r="F25201" s="2423"/>
    </row>
    <row r="25202" s="101" customFormat="1" spans="6:6">
      <c r="F25202" s="2423"/>
    </row>
    <row r="25203" s="101" customFormat="1" spans="6:6">
      <c r="F25203" s="2423"/>
    </row>
    <row r="25204" s="101" customFormat="1" spans="6:6">
      <c r="F25204" s="2423"/>
    </row>
    <row r="25205" s="101" customFormat="1" spans="6:6">
      <c r="F25205" s="2423"/>
    </row>
    <row r="25206" s="101" customFormat="1" spans="6:6">
      <c r="F25206" s="2423"/>
    </row>
    <row r="25207" s="101" customFormat="1" spans="6:6">
      <c r="F25207" s="2423"/>
    </row>
    <row r="25208" s="101" customFormat="1" spans="6:6">
      <c r="F25208" s="2423"/>
    </row>
    <row r="25209" s="101" customFormat="1" spans="6:6">
      <c r="F25209" s="2423"/>
    </row>
    <row r="25210" s="101" customFormat="1" spans="6:6">
      <c r="F25210" s="2423"/>
    </row>
    <row r="25211" s="101" customFormat="1" spans="6:6">
      <c r="F25211" s="2423"/>
    </row>
    <row r="25212" s="101" customFormat="1" spans="6:6">
      <c r="F25212" s="2423"/>
    </row>
    <row r="25213" s="101" customFormat="1" spans="6:6">
      <c r="F25213" s="2423"/>
    </row>
    <row r="25214" s="101" customFormat="1" spans="6:6">
      <c r="F25214" s="2423"/>
    </row>
    <row r="25215" s="101" customFormat="1" spans="6:6">
      <c r="F25215" s="2423"/>
    </row>
    <row r="25216" s="101" customFormat="1" spans="6:6">
      <c r="F25216" s="2423"/>
    </row>
    <row r="25217" s="101" customFormat="1" spans="6:6">
      <c r="F25217" s="2423"/>
    </row>
    <row r="25218" s="101" customFormat="1" spans="6:6">
      <c r="F25218" s="2423"/>
    </row>
    <row r="25219" s="101" customFormat="1" spans="6:6">
      <c r="F25219" s="2423"/>
    </row>
    <row r="25220" s="101" customFormat="1" spans="6:6">
      <c r="F25220" s="2423"/>
    </row>
    <row r="25221" s="101" customFormat="1" spans="6:6">
      <c r="F25221" s="2423"/>
    </row>
    <row r="25222" s="101" customFormat="1" spans="6:6">
      <c r="F25222" s="2423"/>
    </row>
    <row r="25223" s="101" customFormat="1" spans="6:6">
      <c r="F25223" s="2423"/>
    </row>
    <row r="25224" s="101" customFormat="1" spans="6:6">
      <c r="F25224" s="2423"/>
    </row>
    <row r="25225" s="101" customFormat="1" spans="6:6">
      <c r="F25225" s="2423"/>
    </row>
    <row r="25226" s="101" customFormat="1" spans="6:6">
      <c r="F25226" s="2423"/>
    </row>
    <row r="25227" s="101" customFormat="1" spans="6:6">
      <c r="F25227" s="2423"/>
    </row>
    <row r="25228" s="101" customFormat="1" spans="6:6">
      <c r="F25228" s="2423"/>
    </row>
    <row r="25229" s="101" customFormat="1" spans="6:6">
      <c r="F25229" s="2423"/>
    </row>
    <row r="25230" s="101" customFormat="1" spans="6:6">
      <c r="F25230" s="2423"/>
    </row>
    <row r="25231" s="101" customFormat="1" spans="6:6">
      <c r="F25231" s="2423"/>
    </row>
    <row r="25232" s="101" customFormat="1" spans="6:6">
      <c r="F25232" s="2423"/>
    </row>
    <row r="25233" s="101" customFormat="1" spans="6:6">
      <c r="F25233" s="2423"/>
    </row>
    <row r="25234" s="101" customFormat="1" spans="6:6">
      <c r="F25234" s="2423"/>
    </row>
    <row r="25235" s="101" customFormat="1" spans="6:6">
      <c r="F25235" s="2423"/>
    </row>
    <row r="25236" s="101" customFormat="1" spans="6:6">
      <c r="F25236" s="2423"/>
    </row>
    <row r="25237" s="101" customFormat="1" spans="6:6">
      <c r="F25237" s="2423"/>
    </row>
    <row r="25238" s="101" customFormat="1" spans="6:6">
      <c r="F25238" s="2423"/>
    </row>
    <row r="25239" s="101" customFormat="1" spans="6:6">
      <c r="F25239" s="2423"/>
    </row>
    <row r="25240" s="101" customFormat="1" spans="6:6">
      <c r="F25240" s="2423"/>
    </row>
    <row r="25241" s="101" customFormat="1" spans="6:6">
      <c r="F25241" s="2423"/>
    </row>
    <row r="25242" s="101" customFormat="1" spans="6:6">
      <c r="F25242" s="2423"/>
    </row>
    <row r="25243" s="101" customFormat="1" spans="6:6">
      <c r="F25243" s="2423"/>
    </row>
    <row r="25244" s="101" customFormat="1" spans="6:6">
      <c r="F25244" s="2423"/>
    </row>
    <row r="25245" s="101" customFormat="1" spans="6:6">
      <c r="F25245" s="2423"/>
    </row>
    <row r="25246" s="101" customFormat="1" spans="6:6">
      <c r="F25246" s="2423"/>
    </row>
    <row r="25247" s="101" customFormat="1" spans="6:6">
      <c r="F25247" s="2423"/>
    </row>
    <row r="25248" s="101" customFormat="1" spans="6:6">
      <c r="F25248" s="2423"/>
    </row>
    <row r="25249" s="101" customFormat="1" spans="6:6">
      <c r="F25249" s="2423"/>
    </row>
    <row r="25250" s="101" customFormat="1" spans="6:6">
      <c r="F25250" s="2423"/>
    </row>
    <row r="25251" s="101" customFormat="1" spans="6:6">
      <c r="F25251" s="2423"/>
    </row>
    <row r="25252" s="101" customFormat="1" spans="6:6">
      <c r="F25252" s="2423"/>
    </row>
    <row r="25253" s="101" customFormat="1" spans="6:6">
      <c r="F25253" s="2423"/>
    </row>
    <row r="25254" s="101" customFormat="1" spans="6:6">
      <c r="F25254" s="2423"/>
    </row>
    <row r="25255" s="101" customFormat="1" spans="6:6">
      <c r="F25255" s="2423"/>
    </row>
    <row r="25256" s="101" customFormat="1" spans="6:6">
      <c r="F25256" s="2423"/>
    </row>
    <row r="25257" s="101" customFormat="1" spans="6:6">
      <c r="F25257" s="2423"/>
    </row>
    <row r="25258" s="101" customFormat="1" spans="6:6">
      <c r="F25258" s="2423"/>
    </row>
    <row r="25259" s="101" customFormat="1" spans="6:6">
      <c r="F25259" s="2423"/>
    </row>
    <row r="25260" s="101" customFormat="1" spans="6:6">
      <c r="F25260" s="2423"/>
    </row>
    <row r="25261" s="101" customFormat="1" spans="6:6">
      <c r="F25261" s="2423"/>
    </row>
    <row r="25262" s="101" customFormat="1" spans="6:6">
      <c r="F25262" s="2423"/>
    </row>
    <row r="25263" s="101" customFormat="1" spans="6:6">
      <c r="F25263" s="2423"/>
    </row>
    <row r="25264" s="101" customFormat="1" spans="6:6">
      <c r="F25264" s="2423"/>
    </row>
    <row r="25265" s="101" customFormat="1" spans="6:6">
      <c r="F25265" s="2423"/>
    </row>
    <row r="25266" s="101" customFormat="1" spans="6:6">
      <c r="F25266" s="2423"/>
    </row>
    <row r="25267" s="101" customFormat="1" spans="6:6">
      <c r="F25267" s="2423"/>
    </row>
    <row r="25268" s="101" customFormat="1" spans="6:6">
      <c r="F25268" s="2423"/>
    </row>
    <row r="25269" s="101" customFormat="1" spans="6:6">
      <c r="F25269" s="2423"/>
    </row>
    <row r="25270" s="101" customFormat="1" spans="6:6">
      <c r="F25270" s="2423"/>
    </row>
    <row r="25271" s="101" customFormat="1" spans="6:6">
      <c r="F25271" s="2423"/>
    </row>
    <row r="25272" s="101" customFormat="1" spans="6:6">
      <c r="F25272" s="2423"/>
    </row>
    <row r="25273" s="101" customFormat="1" spans="6:6">
      <c r="F25273" s="2423"/>
    </row>
    <row r="25274" s="101" customFormat="1" spans="6:6">
      <c r="F25274" s="2423"/>
    </row>
    <row r="25275" s="101" customFormat="1" spans="6:6">
      <c r="F25275" s="2423"/>
    </row>
    <row r="25276" s="101" customFormat="1" spans="6:6">
      <c r="F25276" s="2423"/>
    </row>
    <row r="25277" s="101" customFormat="1" spans="6:6">
      <c r="F25277" s="2423"/>
    </row>
    <row r="25278" s="101" customFormat="1" spans="6:6">
      <c r="F25278" s="2423"/>
    </row>
    <row r="25279" s="101" customFormat="1" spans="6:6">
      <c r="F25279" s="2423"/>
    </row>
    <row r="25280" s="101" customFormat="1" spans="6:6">
      <c r="F25280" s="2423"/>
    </row>
    <row r="25281" s="101" customFormat="1" spans="6:6">
      <c r="F25281" s="2423"/>
    </row>
    <row r="25282" s="101" customFormat="1" spans="6:6">
      <c r="F25282" s="2423"/>
    </row>
    <row r="25283" s="101" customFormat="1" spans="6:6">
      <c r="F25283" s="2423"/>
    </row>
    <row r="25284" s="101" customFormat="1" spans="6:6">
      <c r="F25284" s="2423"/>
    </row>
    <row r="25285" s="101" customFormat="1" spans="6:6">
      <c r="F25285" s="2423"/>
    </row>
    <row r="25286" s="101" customFormat="1" spans="6:6">
      <c r="F25286" s="2423"/>
    </row>
    <row r="25287" s="101" customFormat="1" spans="6:6">
      <c r="F25287" s="2423"/>
    </row>
    <row r="25288" s="101" customFormat="1" spans="6:6">
      <c r="F25288" s="2423"/>
    </row>
    <row r="25289" s="101" customFormat="1" spans="6:6">
      <c r="F25289" s="2423"/>
    </row>
    <row r="25290" s="101" customFormat="1" spans="6:6">
      <c r="F25290" s="2423"/>
    </row>
    <row r="25291" s="101" customFormat="1" spans="6:6">
      <c r="F25291" s="2423"/>
    </row>
    <row r="25292" s="101" customFormat="1" spans="6:6">
      <c r="F25292" s="2423"/>
    </row>
    <row r="25293" s="101" customFormat="1" spans="6:6">
      <c r="F25293" s="2423"/>
    </row>
    <row r="25294" s="101" customFormat="1" spans="6:6">
      <c r="F25294" s="2423"/>
    </row>
    <row r="25295" s="101" customFormat="1" spans="6:6">
      <c r="F25295" s="2423"/>
    </row>
    <row r="25296" s="101" customFormat="1" spans="6:6">
      <c r="F25296" s="2423"/>
    </row>
    <row r="25297" s="101" customFormat="1" spans="6:6">
      <c r="F25297" s="2423"/>
    </row>
    <row r="25298" s="101" customFormat="1" spans="6:6">
      <c r="F25298" s="2423"/>
    </row>
    <row r="25299" s="101" customFormat="1" spans="6:6">
      <c r="F25299" s="2423"/>
    </row>
    <row r="25300" s="101" customFormat="1" spans="6:6">
      <c r="F25300" s="2423"/>
    </row>
    <row r="25301" s="101" customFormat="1" spans="6:6">
      <c r="F25301" s="2423"/>
    </row>
    <row r="25302" s="101" customFormat="1" spans="6:6">
      <c r="F25302" s="2423"/>
    </row>
    <row r="25303" s="101" customFormat="1" spans="6:6">
      <c r="F25303" s="2423"/>
    </row>
    <row r="25304" s="101" customFormat="1" spans="6:6">
      <c r="F25304" s="2423"/>
    </row>
    <row r="25305" s="101" customFormat="1" spans="6:6">
      <c r="F25305" s="2423"/>
    </row>
    <row r="25306" s="101" customFormat="1" spans="6:6">
      <c r="F25306" s="2423"/>
    </row>
    <row r="25307" s="101" customFormat="1" spans="6:6">
      <c r="F25307" s="2423"/>
    </row>
    <row r="25308" s="101" customFormat="1" spans="6:6">
      <c r="F25308" s="2423"/>
    </row>
    <row r="25309" s="101" customFormat="1" spans="6:6">
      <c r="F25309" s="2423"/>
    </row>
    <row r="25310" s="101" customFormat="1" spans="6:6">
      <c r="F25310" s="2423"/>
    </row>
    <row r="25311" s="101" customFormat="1" spans="6:6">
      <c r="F25311" s="2423"/>
    </row>
    <row r="25312" s="101" customFormat="1" spans="6:6">
      <c r="F25312" s="2423"/>
    </row>
    <row r="25313" s="101" customFormat="1" spans="6:6">
      <c r="F25313" s="2423"/>
    </row>
    <row r="25314" s="101" customFormat="1" spans="6:6">
      <c r="F25314" s="2423"/>
    </row>
    <row r="25315" s="101" customFormat="1" spans="6:6">
      <c r="F25315" s="2423"/>
    </row>
    <row r="25316" s="101" customFormat="1" spans="6:6">
      <c r="F25316" s="2423"/>
    </row>
    <row r="25317" s="101" customFormat="1" spans="6:6">
      <c r="F25317" s="2423"/>
    </row>
    <row r="25318" s="101" customFormat="1" spans="6:6">
      <c r="F25318" s="2423"/>
    </row>
    <row r="25319" s="101" customFormat="1" spans="6:6">
      <c r="F25319" s="2423"/>
    </row>
    <row r="25320" s="101" customFormat="1" spans="6:6">
      <c r="F25320" s="2423"/>
    </row>
    <row r="25321" s="101" customFormat="1" spans="6:6">
      <c r="F25321" s="2423"/>
    </row>
    <row r="25322" s="101" customFormat="1" spans="6:6">
      <c r="F25322" s="2423"/>
    </row>
    <row r="25323" s="101" customFormat="1" spans="6:6">
      <c r="F25323" s="2423"/>
    </row>
    <row r="25324" s="101" customFormat="1" spans="6:6">
      <c r="F25324" s="2423"/>
    </row>
    <row r="25325" s="101" customFormat="1" spans="6:6">
      <c r="F25325" s="2423"/>
    </row>
    <row r="25326" s="101" customFormat="1" spans="6:6">
      <c r="F25326" s="2423"/>
    </row>
    <row r="25327" s="101" customFormat="1" spans="6:6">
      <c r="F25327" s="2423"/>
    </row>
    <row r="25328" s="101" customFormat="1" spans="6:6">
      <c r="F25328" s="2423"/>
    </row>
    <row r="25329" s="101" customFormat="1" spans="6:6">
      <c r="F25329" s="2423"/>
    </row>
    <row r="25330" s="101" customFormat="1" spans="6:6">
      <c r="F25330" s="2423"/>
    </row>
    <row r="25331" s="101" customFormat="1" spans="6:6">
      <c r="F25331" s="2423"/>
    </row>
    <row r="25332" s="101" customFormat="1" spans="6:6">
      <c r="F25332" s="2423"/>
    </row>
    <row r="25333" s="101" customFormat="1" spans="6:6">
      <c r="F25333" s="2423"/>
    </row>
    <row r="25334" s="101" customFormat="1" spans="6:6">
      <c r="F25334" s="2423"/>
    </row>
    <row r="25335" s="101" customFormat="1" spans="6:6">
      <c r="F25335" s="2423"/>
    </row>
    <row r="25336" s="101" customFormat="1" spans="6:6">
      <c r="F25336" s="2423"/>
    </row>
    <row r="25337" s="101" customFormat="1" spans="6:6">
      <c r="F25337" s="2423"/>
    </row>
    <row r="25338" s="101" customFormat="1" spans="6:6">
      <c r="F25338" s="2423"/>
    </row>
    <row r="25339" s="101" customFormat="1" spans="6:6">
      <c r="F25339" s="2423"/>
    </row>
    <row r="25340" s="101" customFormat="1" spans="6:6">
      <c r="F25340" s="2423"/>
    </row>
    <row r="25341" s="101" customFormat="1" spans="6:6">
      <c r="F25341" s="2423"/>
    </row>
    <row r="25342" s="101" customFormat="1" spans="6:6">
      <c r="F25342" s="2423"/>
    </row>
    <row r="25343" s="101" customFormat="1" spans="6:6">
      <c r="F25343" s="2423"/>
    </row>
    <row r="25344" s="101" customFormat="1" spans="6:6">
      <c r="F25344" s="2423"/>
    </row>
    <row r="25345" s="101" customFormat="1" spans="6:6">
      <c r="F25345" s="2423"/>
    </row>
    <row r="25346" s="101" customFormat="1" spans="6:6">
      <c r="F25346" s="2423"/>
    </row>
    <row r="25347" s="101" customFormat="1" spans="6:6">
      <c r="F25347" s="2423"/>
    </row>
    <row r="25348" s="101" customFormat="1" spans="6:6">
      <c r="F25348" s="2423"/>
    </row>
    <row r="25349" s="101" customFormat="1" spans="6:6">
      <c r="F25349" s="2423"/>
    </row>
    <row r="25350" s="101" customFormat="1" spans="6:6">
      <c r="F25350" s="2423"/>
    </row>
    <row r="25351" s="101" customFormat="1" spans="6:6">
      <c r="F25351" s="2423"/>
    </row>
    <row r="25352" s="101" customFormat="1" spans="6:6">
      <c r="F25352" s="2423"/>
    </row>
    <row r="25353" s="101" customFormat="1" spans="6:6">
      <c r="F25353" s="2423"/>
    </row>
    <row r="25354" s="101" customFormat="1" spans="6:6">
      <c r="F25354" s="2423"/>
    </row>
    <row r="25355" s="101" customFormat="1" spans="6:6">
      <c r="F25355" s="2423"/>
    </row>
    <row r="25356" s="101" customFormat="1" spans="6:6">
      <c r="F25356" s="2423"/>
    </row>
    <row r="25357" s="101" customFormat="1" spans="6:6">
      <c r="F25357" s="2423"/>
    </row>
    <row r="25358" s="101" customFormat="1" spans="6:6">
      <c r="F25358" s="2423"/>
    </row>
    <row r="25359" s="101" customFormat="1" spans="6:6">
      <c r="F25359" s="2423"/>
    </row>
    <row r="25360" s="101" customFormat="1" spans="6:6">
      <c r="F25360" s="2423"/>
    </row>
    <row r="25361" s="101" customFormat="1" spans="6:6">
      <c r="F25361" s="2423"/>
    </row>
    <row r="25362" s="101" customFormat="1" spans="6:6">
      <c r="F25362" s="2423"/>
    </row>
    <row r="25363" s="101" customFormat="1" spans="6:6">
      <c r="F25363" s="2423"/>
    </row>
    <row r="25364" s="101" customFormat="1" spans="6:6">
      <c r="F25364" s="2423"/>
    </row>
    <row r="25365" s="101" customFormat="1" spans="6:6">
      <c r="F25365" s="2423"/>
    </row>
    <row r="25366" s="101" customFormat="1" spans="6:6">
      <c r="F25366" s="2423"/>
    </row>
    <row r="25367" s="101" customFormat="1" spans="6:6">
      <c r="F25367" s="2423"/>
    </row>
    <row r="25368" s="101" customFormat="1" spans="6:6">
      <c r="F25368" s="2423"/>
    </row>
    <row r="25369" s="101" customFormat="1" spans="6:6">
      <c r="F25369" s="2423"/>
    </row>
    <row r="25370" s="101" customFormat="1" spans="6:6">
      <c r="F25370" s="2423"/>
    </row>
    <row r="25371" s="101" customFormat="1" spans="6:6">
      <c r="F25371" s="2423"/>
    </row>
    <row r="25372" s="101" customFormat="1" spans="6:6">
      <c r="F25372" s="2423"/>
    </row>
    <row r="25373" s="101" customFormat="1" spans="6:6">
      <c r="F25373" s="2423"/>
    </row>
    <row r="25374" s="101" customFormat="1" spans="6:6">
      <c r="F25374" s="2423"/>
    </row>
    <row r="25375" s="101" customFormat="1" spans="6:6">
      <c r="F25375" s="2423"/>
    </row>
    <row r="25376" s="101" customFormat="1" spans="6:6">
      <c r="F25376" s="2423"/>
    </row>
    <row r="25377" s="101" customFormat="1" spans="6:6">
      <c r="F25377" s="2423"/>
    </row>
    <row r="25378" s="101" customFormat="1" spans="6:6">
      <c r="F25378" s="2423"/>
    </row>
    <row r="25379" s="101" customFormat="1" spans="6:6">
      <c r="F25379" s="2423"/>
    </row>
    <row r="25380" s="101" customFormat="1" spans="6:6">
      <c r="F25380" s="2423"/>
    </row>
    <row r="25381" s="101" customFormat="1" spans="6:6">
      <c r="F25381" s="2423"/>
    </row>
    <row r="25382" s="101" customFormat="1" spans="6:6">
      <c r="F25382" s="2423"/>
    </row>
    <row r="25383" s="101" customFormat="1" spans="6:6">
      <c r="F25383" s="2423"/>
    </row>
    <row r="25384" s="101" customFormat="1" spans="6:6">
      <c r="F25384" s="2423"/>
    </row>
    <row r="25385" s="101" customFormat="1" spans="6:6">
      <c r="F25385" s="2423"/>
    </row>
    <row r="25386" s="101" customFormat="1" spans="6:6">
      <c r="F25386" s="2423"/>
    </row>
    <row r="25387" s="101" customFormat="1" spans="6:6">
      <c r="F25387" s="2423"/>
    </row>
    <row r="25388" s="101" customFormat="1" spans="6:6">
      <c r="F25388" s="2423"/>
    </row>
    <row r="25389" s="101" customFormat="1" spans="6:6">
      <c r="F25389" s="2423"/>
    </row>
    <row r="25390" s="101" customFormat="1" spans="6:6">
      <c r="F25390" s="2423"/>
    </row>
    <row r="25391" s="101" customFormat="1" spans="6:6">
      <c r="F25391" s="2423"/>
    </row>
    <row r="25392" s="101" customFormat="1" spans="6:6">
      <c r="F25392" s="2423"/>
    </row>
    <row r="25393" s="101" customFormat="1" spans="6:6">
      <c r="F25393" s="2423"/>
    </row>
    <row r="25394" s="101" customFormat="1" spans="6:6">
      <c r="F25394" s="2423"/>
    </row>
    <row r="25395" s="101" customFormat="1" spans="6:6">
      <c r="F25395" s="2423"/>
    </row>
    <row r="25396" s="101" customFormat="1" spans="6:6">
      <c r="F25396" s="2423"/>
    </row>
    <row r="25397" s="101" customFormat="1" spans="6:6">
      <c r="F25397" s="2423"/>
    </row>
    <row r="25398" s="101" customFormat="1" spans="6:6">
      <c r="F25398" s="2423"/>
    </row>
    <row r="25399" s="101" customFormat="1" spans="6:6">
      <c r="F25399" s="2423"/>
    </row>
    <row r="25400" s="101" customFormat="1" spans="6:6">
      <c r="F25400" s="2423"/>
    </row>
    <row r="25401" s="101" customFormat="1" spans="6:6">
      <c r="F25401" s="2423"/>
    </row>
    <row r="25402" s="101" customFormat="1" spans="6:6">
      <c r="F25402" s="2423"/>
    </row>
    <row r="25403" s="101" customFormat="1" spans="6:6">
      <c r="F25403" s="2423"/>
    </row>
    <row r="25404" s="101" customFormat="1" spans="6:6">
      <c r="F25404" s="2423"/>
    </row>
    <row r="25405" s="101" customFormat="1" spans="6:6">
      <c r="F25405" s="2423"/>
    </row>
    <row r="25406" s="101" customFormat="1" spans="6:6">
      <c r="F25406" s="2423"/>
    </row>
    <row r="25407" s="101" customFormat="1" spans="6:6">
      <c r="F25407" s="2423"/>
    </row>
    <row r="25408" s="101" customFormat="1" spans="6:6">
      <c r="F25408" s="2423"/>
    </row>
    <row r="25409" s="101" customFormat="1" spans="6:6">
      <c r="F25409" s="2423"/>
    </row>
    <row r="25410" s="101" customFormat="1" spans="6:6">
      <c r="F25410" s="2423"/>
    </row>
    <row r="25411" s="101" customFormat="1" spans="6:6">
      <c r="F25411" s="2423"/>
    </row>
    <row r="25412" s="101" customFormat="1" spans="6:6">
      <c r="F25412" s="2423"/>
    </row>
    <row r="25413" s="101" customFormat="1" spans="6:6">
      <c r="F25413" s="2423"/>
    </row>
    <row r="25414" s="101" customFormat="1" spans="6:6">
      <c r="F25414" s="2423"/>
    </row>
    <row r="25415" s="101" customFormat="1" spans="6:6">
      <c r="F25415" s="2423"/>
    </row>
    <row r="25416" s="101" customFormat="1" spans="6:6">
      <c r="F25416" s="2423"/>
    </row>
    <row r="25417" s="101" customFormat="1" spans="6:6">
      <c r="F25417" s="2423"/>
    </row>
    <row r="25418" s="101" customFormat="1" spans="6:6">
      <c r="F25418" s="2423"/>
    </row>
    <row r="25419" s="101" customFormat="1" spans="6:6">
      <c r="F25419" s="2423"/>
    </row>
    <row r="25420" s="101" customFormat="1" spans="6:6">
      <c r="F25420" s="2423"/>
    </row>
    <row r="25421" s="101" customFormat="1" spans="6:6">
      <c r="F25421" s="2423"/>
    </row>
    <row r="25422" s="101" customFormat="1" spans="6:6">
      <c r="F25422" s="2423"/>
    </row>
    <row r="25423" s="101" customFormat="1" spans="6:6">
      <c r="F25423" s="2423"/>
    </row>
    <row r="25424" s="101" customFormat="1" spans="6:6">
      <c r="F25424" s="2423"/>
    </row>
    <row r="25425" s="101" customFormat="1" spans="6:6">
      <c r="F25425" s="2423"/>
    </row>
    <row r="25426" s="101" customFormat="1" spans="6:6">
      <c r="F25426" s="2423"/>
    </row>
    <row r="25427" s="101" customFormat="1" spans="6:6">
      <c r="F25427" s="2423"/>
    </row>
    <row r="25428" s="101" customFormat="1" spans="6:6">
      <c r="F25428" s="2423"/>
    </row>
    <row r="25429" s="101" customFormat="1" spans="6:6">
      <c r="F25429" s="2423"/>
    </row>
    <row r="25430" s="101" customFormat="1" spans="6:6">
      <c r="F25430" s="2423"/>
    </row>
    <row r="25431" s="101" customFormat="1" spans="6:6">
      <c r="F25431" s="2423"/>
    </row>
    <row r="25432" s="101" customFormat="1" spans="6:6">
      <c r="F25432" s="2423"/>
    </row>
    <row r="25433" s="101" customFormat="1" spans="6:6">
      <c r="F25433" s="2423"/>
    </row>
    <row r="25434" s="101" customFormat="1" spans="6:6">
      <c r="F25434" s="2423"/>
    </row>
    <row r="25435" s="101" customFormat="1" spans="6:6">
      <c r="F25435" s="2423"/>
    </row>
    <row r="25436" s="101" customFormat="1" spans="6:6">
      <c r="F25436" s="2423"/>
    </row>
    <row r="25437" s="101" customFormat="1" spans="6:6">
      <c r="F25437" s="2423"/>
    </row>
    <row r="25438" s="101" customFormat="1" spans="6:6">
      <c r="F25438" s="2423"/>
    </row>
    <row r="25439" s="101" customFormat="1" spans="6:6">
      <c r="F25439" s="2423"/>
    </row>
    <row r="25440" s="101" customFormat="1" spans="6:6">
      <c r="F25440" s="2423"/>
    </row>
    <row r="25441" s="101" customFormat="1" spans="6:6">
      <c r="F25441" s="2423"/>
    </row>
    <row r="25442" s="101" customFormat="1" spans="6:6">
      <c r="F25442" s="2423"/>
    </row>
    <row r="25443" s="101" customFormat="1" spans="6:6">
      <c r="F25443" s="2423"/>
    </row>
    <row r="25444" s="101" customFormat="1" spans="6:6">
      <c r="F25444" s="2423"/>
    </row>
    <row r="25445" s="101" customFormat="1" spans="6:6">
      <c r="F25445" s="2423"/>
    </row>
    <row r="25446" s="101" customFormat="1" spans="6:6">
      <c r="F25446" s="2423"/>
    </row>
    <row r="25447" s="101" customFormat="1" spans="6:6">
      <c r="F25447" s="2423"/>
    </row>
    <row r="25448" s="101" customFormat="1" spans="6:6">
      <c r="F25448" s="2423"/>
    </row>
    <row r="25449" s="101" customFormat="1" spans="6:6">
      <c r="F25449" s="2423"/>
    </row>
    <row r="25450" s="101" customFormat="1" spans="6:6">
      <c r="F25450" s="2423"/>
    </row>
    <row r="25451" s="101" customFormat="1" spans="6:6">
      <c r="F25451" s="2423"/>
    </row>
    <row r="25452" s="101" customFormat="1" spans="6:6">
      <c r="F25452" s="2423"/>
    </row>
    <row r="25453" s="101" customFormat="1" spans="6:6">
      <c r="F25453" s="2423"/>
    </row>
    <row r="25454" s="101" customFormat="1" spans="6:6">
      <c r="F25454" s="2423"/>
    </row>
    <row r="25455" s="101" customFormat="1" spans="6:6">
      <c r="F25455" s="2423"/>
    </row>
    <row r="25456" s="101" customFormat="1" spans="6:6">
      <c r="F25456" s="2423"/>
    </row>
    <row r="25457" s="101" customFormat="1" spans="6:6">
      <c r="F25457" s="2423"/>
    </row>
    <row r="25458" s="101" customFormat="1" spans="6:6">
      <c r="F25458" s="2423"/>
    </row>
    <row r="25459" s="101" customFormat="1" spans="6:6">
      <c r="F25459" s="2423"/>
    </row>
    <row r="25460" s="101" customFormat="1" spans="6:6">
      <c r="F25460" s="2423"/>
    </row>
    <row r="25461" s="101" customFormat="1" spans="6:6">
      <c r="F25461" s="2423"/>
    </row>
    <row r="25462" s="101" customFormat="1" spans="6:6">
      <c r="F25462" s="2423"/>
    </row>
    <row r="25463" s="101" customFormat="1" spans="6:6">
      <c r="F25463" s="2423"/>
    </row>
    <row r="25464" s="101" customFormat="1" spans="6:6">
      <c r="F25464" s="2423"/>
    </row>
    <row r="25465" s="101" customFormat="1" spans="6:6">
      <c r="F25465" s="2423"/>
    </row>
    <row r="25466" s="101" customFormat="1" spans="6:6">
      <c r="F25466" s="2423"/>
    </row>
    <row r="25467" s="101" customFormat="1" spans="6:6">
      <c r="F25467" s="2423"/>
    </row>
    <row r="25468" s="101" customFormat="1" spans="6:6">
      <c r="F25468" s="2423"/>
    </row>
    <row r="25469" s="101" customFormat="1" spans="6:6">
      <c r="F25469" s="2423"/>
    </row>
    <row r="25470" s="101" customFormat="1" spans="6:6">
      <c r="F25470" s="2423"/>
    </row>
    <row r="25471" s="101" customFormat="1" spans="6:6">
      <c r="F25471" s="2423"/>
    </row>
    <row r="25472" s="101" customFormat="1" spans="6:6">
      <c r="F25472" s="2423"/>
    </row>
    <row r="25473" s="101" customFormat="1" spans="6:6">
      <c r="F25473" s="2423"/>
    </row>
    <row r="25474" s="101" customFormat="1" spans="6:6">
      <c r="F25474" s="2423"/>
    </row>
    <row r="25475" s="101" customFormat="1" spans="6:6">
      <c r="F25475" s="2423"/>
    </row>
    <row r="25476" s="101" customFormat="1" spans="6:6">
      <c r="F25476" s="2423"/>
    </row>
    <row r="25477" s="101" customFormat="1" spans="6:6">
      <c r="F25477" s="2423"/>
    </row>
    <row r="25478" s="101" customFormat="1" spans="6:6">
      <c r="F25478" s="2423"/>
    </row>
    <row r="25479" s="101" customFormat="1" spans="6:6">
      <c r="F25479" s="2423"/>
    </row>
    <row r="25480" s="101" customFormat="1" spans="6:6">
      <c r="F25480" s="2423"/>
    </row>
    <row r="25481" s="101" customFormat="1" spans="6:6">
      <c r="F25481" s="2423"/>
    </row>
    <row r="25482" s="101" customFormat="1" spans="6:6">
      <c r="F25482" s="2423"/>
    </row>
    <row r="25483" s="101" customFormat="1" spans="6:6">
      <c r="F25483" s="2423"/>
    </row>
    <row r="25484" s="101" customFormat="1" spans="6:6">
      <c r="F25484" s="2423"/>
    </row>
    <row r="25485" s="101" customFormat="1" spans="6:6">
      <c r="F25485" s="2423"/>
    </row>
    <row r="25486" s="101" customFormat="1" spans="6:6">
      <c r="F25486" s="2423"/>
    </row>
    <row r="25487" s="101" customFormat="1" spans="6:6">
      <c r="F25487" s="2423"/>
    </row>
    <row r="25488" s="101" customFormat="1" spans="6:6">
      <c r="F25488" s="2423"/>
    </row>
    <row r="25489" s="101" customFormat="1" spans="6:6">
      <c r="F25489" s="2423"/>
    </row>
    <row r="25490" s="101" customFormat="1" spans="6:6">
      <c r="F25490" s="2423"/>
    </row>
    <row r="25491" s="101" customFormat="1" spans="6:6">
      <c r="F25491" s="2423"/>
    </row>
    <row r="25492" s="101" customFormat="1" spans="6:6">
      <c r="F25492" s="2423"/>
    </row>
    <row r="25493" s="101" customFormat="1" spans="6:6">
      <c r="F25493" s="2423"/>
    </row>
    <row r="25494" s="101" customFormat="1" spans="6:6">
      <c r="F25494" s="2423"/>
    </row>
    <row r="25495" s="101" customFormat="1" spans="6:6">
      <c r="F25495" s="2423"/>
    </row>
    <row r="25496" s="101" customFormat="1" spans="6:6">
      <c r="F25496" s="2423"/>
    </row>
    <row r="25497" s="101" customFormat="1" spans="6:6">
      <c r="F25497" s="2423"/>
    </row>
    <row r="25498" s="101" customFormat="1" spans="6:6">
      <c r="F25498" s="2423"/>
    </row>
    <row r="25499" s="101" customFormat="1" spans="6:6">
      <c r="F25499" s="2423"/>
    </row>
    <row r="25500" s="101" customFormat="1" spans="6:6">
      <c r="F25500" s="2423"/>
    </row>
    <row r="25501" s="101" customFormat="1" spans="6:6">
      <c r="F25501" s="2423"/>
    </row>
    <row r="25502" s="101" customFormat="1" spans="6:6">
      <c r="F25502" s="2423"/>
    </row>
    <row r="25503" s="101" customFormat="1" spans="6:6">
      <c r="F25503" s="2423"/>
    </row>
    <row r="25504" s="101" customFormat="1" spans="6:6">
      <c r="F25504" s="2423"/>
    </row>
    <row r="25505" s="101" customFormat="1" spans="6:6">
      <c r="F25505" s="2423"/>
    </row>
    <row r="25506" s="101" customFormat="1" spans="6:6">
      <c r="F25506" s="2423"/>
    </row>
    <row r="25507" s="101" customFormat="1" spans="6:6">
      <c r="F25507" s="2423"/>
    </row>
    <row r="25508" s="101" customFormat="1" spans="6:6">
      <c r="F25508" s="2423"/>
    </row>
    <row r="25509" s="101" customFormat="1" spans="6:6">
      <c r="F25509" s="2423"/>
    </row>
    <row r="25510" s="101" customFormat="1" spans="6:6">
      <c r="F25510" s="2423"/>
    </row>
    <row r="25511" s="101" customFormat="1" spans="6:6">
      <c r="F25511" s="2423"/>
    </row>
    <row r="25512" s="101" customFormat="1" spans="6:6">
      <c r="F25512" s="2423"/>
    </row>
    <row r="25513" s="101" customFormat="1" spans="6:6">
      <c r="F25513" s="2423"/>
    </row>
    <row r="25514" s="101" customFormat="1" spans="6:6">
      <c r="F25514" s="2423"/>
    </row>
    <row r="25515" s="101" customFormat="1" spans="6:6">
      <c r="F25515" s="2423"/>
    </row>
    <row r="25516" s="101" customFormat="1" spans="6:6">
      <c r="F25516" s="2423"/>
    </row>
    <row r="25517" s="101" customFormat="1" spans="6:6">
      <c r="F25517" s="2423"/>
    </row>
    <row r="25518" s="101" customFormat="1" spans="6:6">
      <c r="F25518" s="2423"/>
    </row>
    <row r="25519" s="101" customFormat="1" spans="6:6">
      <c r="F25519" s="2423"/>
    </row>
    <row r="25520" s="101" customFormat="1" spans="6:6">
      <c r="F25520" s="2423"/>
    </row>
    <row r="25521" s="101" customFormat="1" spans="6:6">
      <c r="F25521" s="2423"/>
    </row>
    <row r="25522" s="101" customFormat="1" spans="6:6">
      <c r="F25522" s="2423"/>
    </row>
    <row r="25523" s="101" customFormat="1" spans="6:6">
      <c r="F25523" s="2423"/>
    </row>
    <row r="25524" s="101" customFormat="1" spans="6:6">
      <c r="F25524" s="2423"/>
    </row>
    <row r="25525" s="101" customFormat="1" spans="6:6">
      <c r="F25525" s="2423"/>
    </row>
    <row r="25526" s="101" customFormat="1" spans="6:6">
      <c r="F25526" s="2423"/>
    </row>
    <row r="25527" s="101" customFormat="1" spans="6:6">
      <c r="F25527" s="2423"/>
    </row>
    <row r="25528" s="101" customFormat="1" spans="6:6">
      <c r="F25528" s="2423"/>
    </row>
    <row r="25529" s="101" customFormat="1" spans="6:6">
      <c r="F25529" s="2423"/>
    </row>
    <row r="25530" s="101" customFormat="1" spans="6:6">
      <c r="F25530" s="2423"/>
    </row>
    <row r="25531" s="101" customFormat="1" spans="6:6">
      <c r="F25531" s="2423"/>
    </row>
    <row r="25532" s="101" customFormat="1" spans="6:6">
      <c r="F25532" s="2423"/>
    </row>
    <row r="25533" s="101" customFormat="1" spans="6:6">
      <c r="F25533" s="2423"/>
    </row>
    <row r="25534" s="101" customFormat="1" spans="6:6">
      <c r="F25534" s="2423"/>
    </row>
    <row r="25535" s="101" customFormat="1" spans="6:6">
      <c r="F25535" s="2423"/>
    </row>
    <row r="25536" s="101" customFormat="1" spans="6:6">
      <c r="F25536" s="2423"/>
    </row>
    <row r="25537" s="101" customFormat="1" spans="6:6">
      <c r="F25537" s="2423"/>
    </row>
    <row r="25538" s="101" customFormat="1" spans="6:6">
      <c r="F25538" s="2423"/>
    </row>
    <row r="25539" s="101" customFormat="1" spans="6:6">
      <c r="F25539" s="2423"/>
    </row>
    <row r="25540" s="101" customFormat="1" spans="6:6">
      <c r="F25540" s="2423"/>
    </row>
    <row r="25541" s="101" customFormat="1" spans="6:6">
      <c r="F25541" s="2423"/>
    </row>
    <row r="25542" s="101" customFormat="1" spans="6:6">
      <c r="F25542" s="2423"/>
    </row>
    <row r="25543" s="101" customFormat="1" spans="6:6">
      <c r="F25543" s="2423"/>
    </row>
    <row r="25544" s="101" customFormat="1" spans="6:6">
      <c r="F25544" s="2423"/>
    </row>
    <row r="25545" s="101" customFormat="1" spans="6:6">
      <c r="F25545" s="2423"/>
    </row>
    <row r="25546" s="101" customFormat="1" spans="6:6">
      <c r="F25546" s="2423"/>
    </row>
    <row r="25547" s="101" customFormat="1" spans="6:6">
      <c r="F25547" s="2423"/>
    </row>
    <row r="25548" s="101" customFormat="1" spans="6:6">
      <c r="F25548" s="2423"/>
    </row>
    <row r="25549" s="101" customFormat="1" spans="6:6">
      <c r="F25549" s="2423"/>
    </row>
    <row r="25550" s="101" customFormat="1" spans="6:6">
      <c r="F25550" s="2423"/>
    </row>
    <row r="25551" s="101" customFormat="1" spans="6:6">
      <c r="F25551" s="2423"/>
    </row>
    <row r="25552" s="101" customFormat="1" spans="6:6">
      <c r="F25552" s="2423"/>
    </row>
    <row r="25553" s="101" customFormat="1" spans="6:6">
      <c r="F25553" s="2423"/>
    </row>
    <row r="25554" s="101" customFormat="1" spans="6:6">
      <c r="F25554" s="2423"/>
    </row>
    <row r="25555" s="101" customFormat="1" spans="6:6">
      <c r="F25555" s="2423"/>
    </row>
    <row r="25556" s="101" customFormat="1" spans="6:6">
      <c r="F25556" s="2423"/>
    </row>
    <row r="25557" s="101" customFormat="1" spans="6:6">
      <c r="F25557" s="2423"/>
    </row>
    <row r="25558" s="101" customFormat="1" spans="6:6">
      <c r="F25558" s="2423"/>
    </row>
    <row r="25559" s="101" customFormat="1" spans="6:6">
      <c r="F25559" s="2423"/>
    </row>
    <row r="25560" s="101" customFormat="1" spans="6:6">
      <c r="F25560" s="2423"/>
    </row>
    <row r="25561" s="101" customFormat="1" spans="6:6">
      <c r="F25561" s="2423"/>
    </row>
    <row r="25562" s="101" customFormat="1" spans="6:6">
      <c r="F25562" s="2423"/>
    </row>
    <row r="25563" s="101" customFormat="1" spans="6:6">
      <c r="F25563" s="2423"/>
    </row>
    <row r="25564" s="101" customFormat="1" spans="6:6">
      <c r="F25564" s="2423"/>
    </row>
    <row r="25565" s="101" customFormat="1" spans="6:6">
      <c r="F25565" s="2423"/>
    </row>
    <row r="25566" s="101" customFormat="1" spans="6:6">
      <c r="F25566" s="2423"/>
    </row>
    <row r="25567" s="101" customFormat="1" spans="6:6">
      <c r="F25567" s="2423"/>
    </row>
    <row r="25568" s="101" customFormat="1" spans="6:6">
      <c r="F25568" s="2423"/>
    </row>
    <row r="25569" s="101" customFormat="1" spans="6:6">
      <c r="F25569" s="2423"/>
    </row>
    <row r="25570" s="101" customFormat="1" spans="6:6">
      <c r="F25570" s="2423"/>
    </row>
    <row r="25571" s="101" customFormat="1" spans="6:6">
      <c r="F25571" s="2423"/>
    </row>
    <row r="25572" s="101" customFormat="1" spans="6:6">
      <c r="F25572" s="2423"/>
    </row>
    <row r="25573" s="101" customFormat="1" spans="6:6">
      <c r="F25573" s="2423"/>
    </row>
    <row r="25574" s="101" customFormat="1" spans="6:6">
      <c r="F25574" s="2423"/>
    </row>
    <row r="25575" s="101" customFormat="1" spans="6:6">
      <c r="F25575" s="2423"/>
    </row>
    <row r="25576" s="101" customFormat="1" spans="6:6">
      <c r="F25576" s="2423"/>
    </row>
    <row r="25577" s="101" customFormat="1" spans="6:6">
      <c r="F25577" s="2423"/>
    </row>
    <row r="25578" s="101" customFormat="1" spans="6:6">
      <c r="F25578" s="2423"/>
    </row>
    <row r="25579" s="101" customFormat="1" spans="6:6">
      <c r="F25579" s="2423"/>
    </row>
    <row r="25580" s="101" customFormat="1" spans="6:6">
      <c r="F25580" s="2423"/>
    </row>
    <row r="25581" s="101" customFormat="1" spans="6:6">
      <c r="F25581" s="2423"/>
    </row>
    <row r="25582" s="101" customFormat="1" spans="6:6">
      <c r="F25582" s="2423"/>
    </row>
    <row r="25583" s="101" customFormat="1" spans="6:6">
      <c r="F25583" s="2423"/>
    </row>
    <row r="25584" s="101" customFormat="1" spans="6:6">
      <c r="F25584" s="2423"/>
    </row>
    <row r="25585" s="101" customFormat="1" spans="6:6">
      <c r="F25585" s="2423"/>
    </row>
    <row r="25586" s="101" customFormat="1" spans="6:6">
      <c r="F25586" s="2423"/>
    </row>
    <row r="25587" s="101" customFormat="1" spans="6:6">
      <c r="F25587" s="2423"/>
    </row>
    <row r="25588" s="101" customFormat="1" spans="6:6">
      <c r="F25588" s="2423"/>
    </row>
    <row r="25589" s="101" customFormat="1" spans="6:6">
      <c r="F25589" s="2423"/>
    </row>
    <row r="25590" s="101" customFormat="1" spans="6:6">
      <c r="F25590" s="2423"/>
    </row>
    <row r="25591" s="101" customFormat="1" spans="6:6">
      <c r="F25591" s="2423"/>
    </row>
    <row r="25592" s="101" customFormat="1" spans="6:6">
      <c r="F25592" s="2423"/>
    </row>
    <row r="25593" s="101" customFormat="1" spans="6:6">
      <c r="F25593" s="2423"/>
    </row>
    <row r="25594" s="101" customFormat="1" spans="6:6">
      <c r="F25594" s="2423"/>
    </row>
    <row r="25595" s="101" customFormat="1" spans="6:6">
      <c r="F25595" s="2423"/>
    </row>
    <row r="25596" s="101" customFormat="1" spans="6:6">
      <c r="F25596" s="2423"/>
    </row>
    <row r="25597" s="101" customFormat="1" spans="6:6">
      <c r="F25597" s="2423"/>
    </row>
    <row r="25598" s="101" customFormat="1" spans="6:6">
      <c r="F25598" s="2423"/>
    </row>
    <row r="25599" s="101" customFormat="1" spans="6:6">
      <c r="F25599" s="2423"/>
    </row>
    <row r="25600" s="101" customFormat="1" spans="6:6">
      <c r="F25600" s="2423"/>
    </row>
    <row r="25601" s="101" customFormat="1" spans="6:6">
      <c r="F25601" s="2423"/>
    </row>
    <row r="25602" s="101" customFormat="1" spans="6:6">
      <c r="F25602" s="2423"/>
    </row>
    <row r="25603" s="101" customFormat="1" spans="6:6">
      <c r="F25603" s="2423"/>
    </row>
    <row r="25604" s="101" customFormat="1" spans="6:6">
      <c r="F25604" s="2423"/>
    </row>
    <row r="25605" s="101" customFormat="1" spans="6:6">
      <c r="F25605" s="2423"/>
    </row>
    <row r="25606" s="101" customFormat="1" spans="6:6">
      <c r="F25606" s="2423"/>
    </row>
    <row r="25607" s="101" customFormat="1" spans="6:6">
      <c r="F25607" s="2423"/>
    </row>
    <row r="25608" s="101" customFormat="1" spans="6:6">
      <c r="F25608" s="2423"/>
    </row>
    <row r="25609" s="101" customFormat="1" spans="6:6">
      <c r="F25609" s="2423"/>
    </row>
    <row r="25610" s="101" customFormat="1" spans="6:6">
      <c r="F25610" s="2423"/>
    </row>
    <row r="25611" s="101" customFormat="1" spans="6:6">
      <c r="F25611" s="2423"/>
    </row>
    <row r="25612" s="101" customFormat="1" spans="6:6">
      <c r="F25612" s="2423"/>
    </row>
    <row r="25613" s="101" customFormat="1" spans="6:6">
      <c r="F25613" s="2423"/>
    </row>
    <row r="25614" s="101" customFormat="1" spans="6:6">
      <c r="F25614" s="2423"/>
    </row>
    <row r="25615" s="101" customFormat="1" spans="6:6">
      <c r="F25615" s="2423"/>
    </row>
    <row r="25616" s="101" customFormat="1" spans="6:6">
      <c r="F25616" s="2423"/>
    </row>
    <row r="25617" s="101" customFormat="1" spans="6:6">
      <c r="F25617" s="2423"/>
    </row>
    <row r="25618" s="101" customFormat="1" spans="6:6">
      <c r="F25618" s="2423"/>
    </row>
    <row r="25619" s="101" customFormat="1" spans="6:6">
      <c r="F25619" s="2423"/>
    </row>
    <row r="25620" s="101" customFormat="1" spans="6:6">
      <c r="F25620" s="2423"/>
    </row>
    <row r="25621" s="101" customFormat="1" spans="6:6">
      <c r="F25621" s="2423"/>
    </row>
    <row r="25622" s="101" customFormat="1" spans="6:6">
      <c r="F25622" s="2423"/>
    </row>
    <row r="25623" s="101" customFormat="1" spans="6:6">
      <c r="F25623" s="2423"/>
    </row>
    <row r="25624" s="101" customFormat="1" spans="6:6">
      <c r="F25624" s="2423"/>
    </row>
    <row r="25625" s="101" customFormat="1" spans="6:6">
      <c r="F25625" s="2423"/>
    </row>
    <row r="25626" s="101" customFormat="1" spans="6:6">
      <c r="F25626" s="2423"/>
    </row>
    <row r="25627" s="101" customFormat="1" spans="6:6">
      <c r="F25627" s="2423"/>
    </row>
    <row r="25628" s="101" customFormat="1" spans="6:6">
      <c r="F25628" s="2423"/>
    </row>
    <row r="25629" s="101" customFormat="1" spans="6:6">
      <c r="F25629" s="2423"/>
    </row>
    <row r="25630" s="101" customFormat="1" spans="6:6">
      <c r="F25630" s="2423"/>
    </row>
    <row r="25631" s="101" customFormat="1" spans="6:6">
      <c r="F25631" s="2423"/>
    </row>
    <row r="25632" s="101" customFormat="1" spans="6:6">
      <c r="F25632" s="2423"/>
    </row>
    <row r="25633" s="101" customFormat="1" spans="6:6">
      <c r="F25633" s="2423"/>
    </row>
    <row r="25634" s="101" customFormat="1" spans="6:6">
      <c r="F25634" s="2423"/>
    </row>
    <row r="25635" s="101" customFormat="1" spans="6:6">
      <c r="F25635" s="2423"/>
    </row>
    <row r="25636" s="101" customFormat="1" spans="6:6">
      <c r="F25636" s="2423"/>
    </row>
    <row r="25637" s="101" customFormat="1" spans="6:6">
      <c r="F25637" s="2423"/>
    </row>
    <row r="25638" s="101" customFormat="1" spans="6:6">
      <c r="F25638" s="2423"/>
    </row>
    <row r="25639" s="101" customFormat="1" spans="6:6">
      <c r="F25639" s="2423"/>
    </row>
    <row r="25640" s="101" customFormat="1" spans="6:6">
      <c r="F25640" s="2423"/>
    </row>
    <row r="25641" s="101" customFormat="1" spans="6:6">
      <c r="F25641" s="2423"/>
    </row>
    <row r="25642" s="101" customFormat="1" spans="6:6">
      <c r="F25642" s="2423"/>
    </row>
    <row r="25643" s="101" customFormat="1" spans="6:6">
      <c r="F25643" s="2423"/>
    </row>
    <row r="25644" s="101" customFormat="1" spans="6:6">
      <c r="F25644" s="2423"/>
    </row>
    <row r="25645" s="101" customFormat="1" spans="6:6">
      <c r="F25645" s="2423"/>
    </row>
    <row r="25646" s="101" customFormat="1" spans="6:6">
      <c r="F25646" s="2423"/>
    </row>
    <row r="25647" s="101" customFormat="1" spans="6:6">
      <c r="F25647" s="2423"/>
    </row>
    <row r="25648" s="101" customFormat="1" spans="6:6">
      <c r="F25648" s="2423"/>
    </row>
    <row r="25649" s="101" customFormat="1" spans="6:6">
      <c r="F25649" s="2423"/>
    </row>
    <row r="25650" s="101" customFormat="1" spans="6:6">
      <c r="F25650" s="2423"/>
    </row>
    <row r="25651" s="101" customFormat="1" spans="6:6">
      <c r="F25651" s="2423"/>
    </row>
    <row r="25652" s="101" customFormat="1" spans="6:6">
      <c r="F25652" s="2423"/>
    </row>
    <row r="25653" s="101" customFormat="1" spans="6:6">
      <c r="F25653" s="2423"/>
    </row>
    <row r="25654" s="101" customFormat="1" spans="6:6">
      <c r="F25654" s="2423"/>
    </row>
    <row r="25655" s="101" customFormat="1" spans="6:6">
      <c r="F25655" s="2423"/>
    </row>
    <row r="25656" s="101" customFormat="1" spans="6:6">
      <c r="F25656" s="2423"/>
    </row>
    <row r="25657" s="101" customFormat="1" spans="6:6">
      <c r="F25657" s="2423"/>
    </row>
    <row r="25658" s="101" customFormat="1" spans="6:6">
      <c r="F25658" s="2423"/>
    </row>
    <row r="25659" s="101" customFormat="1" spans="6:6">
      <c r="F25659" s="2423"/>
    </row>
    <row r="25660" s="101" customFormat="1" spans="6:6">
      <c r="F25660" s="2423"/>
    </row>
    <row r="25661" s="101" customFormat="1" spans="6:6">
      <c r="F25661" s="2423"/>
    </row>
    <row r="25662" s="101" customFormat="1" spans="6:6">
      <c r="F25662" s="2423"/>
    </row>
    <row r="25663" s="101" customFormat="1" spans="6:6">
      <c r="F25663" s="2423"/>
    </row>
    <row r="25664" s="101" customFormat="1" spans="6:6">
      <c r="F25664" s="2423"/>
    </row>
    <row r="25665" s="101" customFormat="1" spans="6:6">
      <c r="F25665" s="2423"/>
    </row>
    <row r="25666" s="101" customFormat="1" spans="6:6">
      <c r="F25666" s="2423"/>
    </row>
    <row r="25667" s="101" customFormat="1" spans="6:6">
      <c r="F25667" s="2423"/>
    </row>
    <row r="25668" s="101" customFormat="1" spans="6:6">
      <c r="F25668" s="2423"/>
    </row>
    <row r="25669" s="101" customFormat="1" spans="6:6">
      <c r="F25669" s="2423"/>
    </row>
    <row r="25670" s="101" customFormat="1" spans="6:6">
      <c r="F25670" s="2423"/>
    </row>
    <row r="25671" s="101" customFormat="1" spans="6:6">
      <c r="F25671" s="2423"/>
    </row>
    <row r="25672" s="101" customFormat="1" spans="6:6">
      <c r="F25672" s="2423"/>
    </row>
    <row r="25673" s="101" customFormat="1" spans="6:6">
      <c r="F25673" s="2423"/>
    </row>
    <row r="25674" s="101" customFormat="1" spans="6:6">
      <c r="F25674" s="2423"/>
    </row>
    <row r="25675" s="101" customFormat="1" spans="6:6">
      <c r="F25675" s="2423"/>
    </row>
    <row r="25676" s="101" customFormat="1" spans="6:6">
      <c r="F25676" s="2423"/>
    </row>
    <row r="25677" s="101" customFormat="1" spans="6:6">
      <c r="F25677" s="2423"/>
    </row>
    <row r="25678" s="101" customFormat="1" spans="6:6">
      <c r="F25678" s="2423"/>
    </row>
    <row r="25679" s="101" customFormat="1" spans="6:6">
      <c r="F25679" s="2423"/>
    </row>
    <row r="25680" s="101" customFormat="1" spans="6:6">
      <c r="F25680" s="2423"/>
    </row>
    <row r="25681" s="101" customFormat="1" spans="6:6">
      <c r="F25681" s="2423"/>
    </row>
    <row r="25682" s="101" customFormat="1" spans="6:6">
      <c r="F25682" s="2423"/>
    </row>
    <row r="25683" s="101" customFormat="1" spans="6:6">
      <c r="F25683" s="2423"/>
    </row>
    <row r="25684" s="101" customFormat="1" spans="6:6">
      <c r="F25684" s="2423"/>
    </row>
    <row r="25685" s="101" customFormat="1" spans="6:6">
      <c r="F25685" s="2423"/>
    </row>
    <row r="25686" s="101" customFormat="1" spans="6:6">
      <c r="F25686" s="2423"/>
    </row>
    <row r="25687" s="101" customFormat="1" spans="6:6">
      <c r="F25687" s="2423"/>
    </row>
    <row r="25688" s="101" customFormat="1" spans="6:6">
      <c r="F25688" s="2423"/>
    </row>
    <row r="25689" s="101" customFormat="1" spans="6:6">
      <c r="F25689" s="2423"/>
    </row>
    <row r="25690" s="101" customFormat="1" spans="6:6">
      <c r="F25690" s="2423"/>
    </row>
    <row r="25691" s="101" customFormat="1" spans="6:6">
      <c r="F25691" s="2423"/>
    </row>
    <row r="25692" s="101" customFormat="1" spans="6:6">
      <c r="F25692" s="2423"/>
    </row>
    <row r="25693" s="101" customFormat="1" spans="6:6">
      <c r="F25693" s="2423"/>
    </row>
    <row r="25694" s="101" customFormat="1" spans="6:6">
      <c r="F25694" s="2423"/>
    </row>
    <row r="25695" s="101" customFormat="1" spans="6:6">
      <c r="F25695" s="2423"/>
    </row>
    <row r="25696" s="101" customFormat="1" spans="6:6">
      <c r="F25696" s="2423"/>
    </row>
    <row r="25697" s="101" customFormat="1" spans="6:6">
      <c r="F25697" s="2423"/>
    </row>
    <row r="25698" s="101" customFormat="1" spans="6:6">
      <c r="F25698" s="2423"/>
    </row>
    <row r="25699" s="101" customFormat="1" spans="6:6">
      <c r="F25699" s="2423"/>
    </row>
    <row r="25700" s="101" customFormat="1" spans="6:6">
      <c r="F25700" s="2423"/>
    </row>
    <row r="25701" s="101" customFormat="1" spans="6:6">
      <c r="F25701" s="2423"/>
    </row>
    <row r="25702" s="101" customFormat="1" spans="6:6">
      <c r="F25702" s="2423"/>
    </row>
    <row r="25703" s="101" customFormat="1" spans="6:6">
      <c r="F25703" s="2423"/>
    </row>
    <row r="25704" s="101" customFormat="1" spans="6:6">
      <c r="F25704" s="2423"/>
    </row>
    <row r="25705" s="101" customFormat="1" spans="6:6">
      <c r="F25705" s="2423"/>
    </row>
    <row r="25706" s="101" customFormat="1" spans="6:6">
      <c r="F25706" s="2423"/>
    </row>
    <row r="25707" s="101" customFormat="1" spans="6:6">
      <c r="F25707" s="2423"/>
    </row>
    <row r="25708" s="101" customFormat="1" spans="6:6">
      <c r="F25708" s="2423"/>
    </row>
    <row r="25709" s="101" customFormat="1" spans="6:6">
      <c r="F25709" s="2423"/>
    </row>
    <row r="25710" s="101" customFormat="1" spans="6:6">
      <c r="F25710" s="2423"/>
    </row>
    <row r="25711" s="101" customFormat="1" spans="6:6">
      <c r="F25711" s="2423"/>
    </row>
    <row r="25712" s="101" customFormat="1" spans="6:6">
      <c r="F25712" s="2423"/>
    </row>
    <row r="25713" s="101" customFormat="1" spans="6:6">
      <c r="F25713" s="2423"/>
    </row>
    <row r="25714" s="101" customFormat="1" spans="6:6">
      <c r="F25714" s="2423"/>
    </row>
    <row r="25715" s="101" customFormat="1" spans="6:6">
      <c r="F25715" s="2423"/>
    </row>
    <row r="25716" s="101" customFormat="1" spans="6:6">
      <c r="F25716" s="2423"/>
    </row>
    <row r="25717" s="101" customFormat="1" spans="6:6">
      <c r="F25717" s="2423"/>
    </row>
    <row r="25718" s="101" customFormat="1" spans="6:6">
      <c r="F25718" s="2423"/>
    </row>
    <row r="25719" s="101" customFormat="1" spans="6:6">
      <c r="F25719" s="2423"/>
    </row>
    <row r="25720" s="101" customFormat="1" spans="6:6">
      <c r="F25720" s="2423"/>
    </row>
    <row r="25721" s="101" customFormat="1" spans="6:6">
      <c r="F25721" s="2423"/>
    </row>
    <row r="25722" s="101" customFormat="1" spans="6:6">
      <c r="F25722" s="2423"/>
    </row>
    <row r="25723" s="101" customFormat="1" spans="6:6">
      <c r="F25723" s="2423"/>
    </row>
    <row r="25724" s="101" customFormat="1" spans="6:6">
      <c r="F25724" s="2423"/>
    </row>
    <row r="25725" s="101" customFormat="1" spans="6:6">
      <c r="F25725" s="2423"/>
    </row>
    <row r="25726" s="101" customFormat="1" spans="6:6">
      <c r="F25726" s="2423"/>
    </row>
    <row r="25727" s="101" customFormat="1" spans="6:6">
      <c r="F25727" s="2423"/>
    </row>
    <row r="25728" s="101" customFormat="1" spans="6:6">
      <c r="F25728" s="2423"/>
    </row>
    <row r="25729" s="101" customFormat="1" spans="6:6">
      <c r="F25729" s="2423"/>
    </row>
    <row r="25730" s="101" customFormat="1" spans="6:6">
      <c r="F25730" s="2423"/>
    </row>
    <row r="25731" s="101" customFormat="1" spans="6:6">
      <c r="F25731" s="2423"/>
    </row>
    <row r="25732" s="101" customFormat="1" spans="6:6">
      <c r="F25732" s="2423"/>
    </row>
    <row r="25733" s="101" customFormat="1" spans="6:6">
      <c r="F25733" s="2423"/>
    </row>
    <row r="25734" s="101" customFormat="1" spans="6:6">
      <c r="F25734" s="2423"/>
    </row>
    <row r="25735" s="101" customFormat="1" spans="6:6">
      <c r="F25735" s="2423"/>
    </row>
    <row r="25736" s="101" customFormat="1" spans="6:6">
      <c r="F25736" s="2423"/>
    </row>
    <row r="25737" s="101" customFormat="1" spans="6:6">
      <c r="F25737" s="2423"/>
    </row>
    <row r="25738" s="101" customFormat="1" spans="6:6">
      <c r="F25738" s="2423"/>
    </row>
    <row r="25739" s="101" customFormat="1" spans="6:6">
      <c r="F25739" s="2423"/>
    </row>
    <row r="25740" s="101" customFormat="1" spans="6:6">
      <c r="F25740" s="2423"/>
    </row>
    <row r="25741" s="101" customFormat="1" spans="6:6">
      <c r="F25741" s="2423"/>
    </row>
    <row r="25742" s="101" customFormat="1" spans="6:6">
      <c r="F25742" s="2423"/>
    </row>
    <row r="25743" s="101" customFormat="1" spans="6:6">
      <c r="F25743" s="2423"/>
    </row>
    <row r="25744" s="101" customFormat="1" spans="6:6">
      <c r="F25744" s="2423"/>
    </row>
    <row r="25745" s="101" customFormat="1" spans="6:6">
      <c r="F25745" s="2423"/>
    </row>
    <row r="25746" s="101" customFormat="1" spans="6:6">
      <c r="F25746" s="2423"/>
    </row>
    <row r="25747" s="101" customFormat="1" spans="6:6">
      <c r="F25747" s="2423"/>
    </row>
    <row r="25748" s="101" customFormat="1" spans="6:6">
      <c r="F25748" s="2423"/>
    </row>
    <row r="25749" s="101" customFormat="1" spans="6:6">
      <c r="F25749" s="2423"/>
    </row>
    <row r="25750" s="101" customFormat="1" spans="6:6">
      <c r="F25750" s="2423"/>
    </row>
    <row r="25751" s="101" customFormat="1" spans="6:6">
      <c r="F25751" s="2423"/>
    </row>
    <row r="25752" s="101" customFormat="1" spans="6:6">
      <c r="F25752" s="2423"/>
    </row>
    <row r="25753" s="101" customFormat="1" spans="6:6">
      <c r="F25753" s="2423"/>
    </row>
    <row r="25754" s="101" customFormat="1" spans="6:6">
      <c r="F25754" s="2423"/>
    </row>
    <row r="25755" s="101" customFormat="1" spans="6:6">
      <c r="F25755" s="2423"/>
    </row>
    <row r="25756" s="101" customFormat="1" spans="6:6">
      <c r="F25756" s="2423"/>
    </row>
    <row r="25757" s="101" customFormat="1" spans="6:6">
      <c r="F25757" s="2423"/>
    </row>
    <row r="25758" s="101" customFormat="1" spans="6:6">
      <c r="F25758" s="2423"/>
    </row>
    <row r="25759" s="101" customFormat="1" spans="6:6">
      <c r="F25759" s="2423"/>
    </row>
    <row r="25760" s="101" customFormat="1" spans="6:6">
      <c r="F25760" s="2423"/>
    </row>
    <row r="25761" s="101" customFormat="1" spans="6:6">
      <c r="F25761" s="2423"/>
    </row>
    <row r="25762" s="101" customFormat="1" spans="6:6">
      <c r="F25762" s="2423"/>
    </row>
    <row r="25763" s="101" customFormat="1" spans="6:6">
      <c r="F25763" s="2423"/>
    </row>
    <row r="25764" s="101" customFormat="1" spans="6:6">
      <c r="F25764" s="2423"/>
    </row>
    <row r="25765" s="101" customFormat="1" spans="6:6">
      <c r="F25765" s="2423"/>
    </row>
    <row r="25766" s="101" customFormat="1" spans="6:6">
      <c r="F25766" s="2423"/>
    </row>
    <row r="25767" s="101" customFormat="1" spans="6:6">
      <c r="F25767" s="2423"/>
    </row>
    <row r="25768" s="101" customFormat="1" spans="6:6">
      <c r="F25768" s="2423"/>
    </row>
    <row r="25769" s="101" customFormat="1" spans="6:6">
      <c r="F25769" s="2423"/>
    </row>
    <row r="25770" s="101" customFormat="1" spans="6:6">
      <c r="F25770" s="2423"/>
    </row>
    <row r="25771" s="101" customFormat="1" spans="6:6">
      <c r="F25771" s="2423"/>
    </row>
    <row r="25772" s="101" customFormat="1" spans="6:6">
      <c r="F25772" s="2423"/>
    </row>
    <row r="25773" s="101" customFormat="1" spans="6:6">
      <c r="F25773" s="2423"/>
    </row>
    <row r="25774" s="101" customFormat="1" spans="6:6">
      <c r="F25774" s="2423"/>
    </row>
    <row r="25775" s="101" customFormat="1" spans="6:6">
      <c r="F25775" s="2423"/>
    </row>
    <row r="25776" s="101" customFormat="1" spans="6:6">
      <c r="F25776" s="2423"/>
    </row>
    <row r="25777" s="101" customFormat="1" spans="6:6">
      <c r="F25777" s="2423"/>
    </row>
    <row r="25778" s="101" customFormat="1" spans="6:6">
      <c r="F25778" s="2423"/>
    </row>
    <row r="25779" s="101" customFormat="1" spans="6:6">
      <c r="F25779" s="2423"/>
    </row>
    <row r="25780" s="101" customFormat="1" spans="6:6">
      <c r="F25780" s="2423"/>
    </row>
    <row r="25781" s="101" customFormat="1" spans="6:6">
      <c r="F25781" s="2423"/>
    </row>
    <row r="25782" s="101" customFormat="1" spans="6:6">
      <c r="F25782" s="2423"/>
    </row>
    <row r="25783" s="101" customFormat="1" spans="6:6">
      <c r="F25783" s="2423"/>
    </row>
    <row r="25784" s="101" customFormat="1" spans="6:6">
      <c r="F25784" s="2423"/>
    </row>
    <row r="25785" s="101" customFormat="1" spans="6:6">
      <c r="F25785" s="2423"/>
    </row>
    <row r="25786" s="101" customFormat="1" spans="6:6">
      <c r="F25786" s="2423"/>
    </row>
    <row r="25787" s="101" customFormat="1" spans="6:6">
      <c r="F25787" s="2423"/>
    </row>
    <row r="25788" s="101" customFormat="1" spans="6:6">
      <c r="F25788" s="2423"/>
    </row>
    <row r="25789" s="101" customFormat="1" spans="6:6">
      <c r="F25789" s="2423"/>
    </row>
    <row r="25790" s="101" customFormat="1" spans="6:6">
      <c r="F25790" s="2423"/>
    </row>
    <row r="25791" s="101" customFormat="1" spans="6:6">
      <c r="F25791" s="2423"/>
    </row>
    <row r="25792" s="101" customFormat="1" spans="6:6">
      <c r="F25792" s="2423"/>
    </row>
    <row r="25793" s="101" customFormat="1" spans="6:6">
      <c r="F25793" s="2423"/>
    </row>
    <row r="25794" s="101" customFormat="1" spans="6:6">
      <c r="F25794" s="2423"/>
    </row>
    <row r="25795" s="101" customFormat="1" spans="6:6">
      <c r="F25795" s="2423"/>
    </row>
    <row r="25796" s="101" customFormat="1" spans="6:6">
      <c r="F25796" s="2423"/>
    </row>
    <row r="25797" s="101" customFormat="1" spans="6:6">
      <c r="F25797" s="2423"/>
    </row>
    <row r="25798" s="101" customFormat="1" spans="6:6">
      <c r="F25798" s="2423"/>
    </row>
    <row r="25799" s="101" customFormat="1" spans="6:6">
      <c r="F25799" s="2423"/>
    </row>
    <row r="25800" s="101" customFormat="1" spans="6:6">
      <c r="F25800" s="2423"/>
    </row>
    <row r="25801" s="101" customFormat="1" spans="6:6">
      <c r="F25801" s="2423"/>
    </row>
    <row r="25802" s="101" customFormat="1" spans="6:6">
      <c r="F25802" s="2423"/>
    </row>
    <row r="25803" s="101" customFormat="1" spans="6:6">
      <c r="F25803" s="2423"/>
    </row>
    <row r="25804" s="101" customFormat="1" spans="6:6">
      <c r="F25804" s="2423"/>
    </row>
    <row r="25805" s="101" customFormat="1" spans="6:6">
      <c r="F25805" s="2423"/>
    </row>
    <row r="25806" s="101" customFormat="1" spans="6:6">
      <c r="F25806" s="2423"/>
    </row>
    <row r="25807" s="101" customFormat="1" spans="6:6">
      <c r="F25807" s="2423"/>
    </row>
    <row r="25808" s="101" customFormat="1" spans="6:6">
      <c r="F25808" s="2423"/>
    </row>
    <row r="25809" s="101" customFormat="1" spans="6:6">
      <c r="F25809" s="2423"/>
    </row>
    <row r="25810" s="101" customFormat="1" spans="6:6">
      <c r="F25810" s="2423"/>
    </row>
    <row r="25811" s="101" customFormat="1" spans="6:6">
      <c r="F25811" s="2423"/>
    </row>
    <row r="25812" s="101" customFormat="1" spans="6:6">
      <c r="F25812" s="2423"/>
    </row>
    <row r="25813" s="101" customFormat="1" spans="6:6">
      <c r="F25813" s="2423"/>
    </row>
    <row r="25814" s="101" customFormat="1" spans="6:6">
      <c r="F25814" s="2423"/>
    </row>
    <row r="25815" s="101" customFormat="1" spans="6:6">
      <c r="F25815" s="2423"/>
    </row>
    <row r="25816" s="101" customFormat="1" spans="6:6">
      <c r="F25816" s="2423"/>
    </row>
    <row r="25817" s="101" customFormat="1" spans="6:6">
      <c r="F25817" s="2423"/>
    </row>
    <row r="25818" s="101" customFormat="1" spans="6:6">
      <c r="F25818" s="2423"/>
    </row>
    <row r="25819" s="101" customFormat="1" spans="6:6">
      <c r="F25819" s="2423"/>
    </row>
    <row r="25820" s="101" customFormat="1" spans="6:6">
      <c r="F25820" s="2423"/>
    </row>
    <row r="25821" s="101" customFormat="1" spans="6:6">
      <c r="F25821" s="2423"/>
    </row>
    <row r="25822" s="101" customFormat="1" spans="6:6">
      <c r="F25822" s="2423"/>
    </row>
    <row r="25823" s="101" customFormat="1" spans="6:6">
      <c r="F25823" s="2423"/>
    </row>
    <row r="25824" s="101" customFormat="1" spans="6:6">
      <c r="F25824" s="2423"/>
    </row>
    <row r="25825" s="101" customFormat="1" spans="6:6">
      <c r="F25825" s="2423"/>
    </row>
    <row r="25826" s="101" customFormat="1" spans="6:6">
      <c r="F25826" s="2423"/>
    </row>
    <row r="25827" s="101" customFormat="1" spans="6:6">
      <c r="F25827" s="2423"/>
    </row>
    <row r="25828" s="101" customFormat="1" spans="6:6">
      <c r="F25828" s="2423"/>
    </row>
    <row r="25829" s="101" customFormat="1" spans="6:6">
      <c r="F25829" s="2423"/>
    </row>
    <row r="25830" s="101" customFormat="1" spans="6:6">
      <c r="F25830" s="2423"/>
    </row>
    <row r="25831" s="101" customFormat="1" spans="6:6">
      <c r="F25831" s="2423"/>
    </row>
    <row r="25832" s="101" customFormat="1" spans="6:6">
      <c r="F25832" s="2423"/>
    </row>
    <row r="25833" s="101" customFormat="1" spans="6:6">
      <c r="F25833" s="2423"/>
    </row>
    <row r="25834" s="101" customFormat="1" spans="6:6">
      <c r="F25834" s="2423"/>
    </row>
    <row r="25835" s="101" customFormat="1" spans="6:6">
      <c r="F25835" s="2423"/>
    </row>
    <row r="25836" s="101" customFormat="1" spans="6:6">
      <c r="F25836" s="2423"/>
    </row>
    <row r="25837" s="101" customFormat="1" spans="6:6">
      <c r="F25837" s="2423"/>
    </row>
    <row r="25838" s="101" customFormat="1" spans="6:6">
      <c r="F25838" s="2423"/>
    </row>
    <row r="25839" s="101" customFormat="1" spans="6:6">
      <c r="F25839" s="2423"/>
    </row>
    <row r="25840" s="101" customFormat="1" spans="6:6">
      <c r="F25840" s="2423"/>
    </row>
    <row r="25841" s="101" customFormat="1" spans="6:6">
      <c r="F25841" s="2423"/>
    </row>
    <row r="25842" s="101" customFormat="1" spans="6:6">
      <c r="F25842" s="2423"/>
    </row>
    <row r="25843" s="101" customFormat="1" spans="6:6">
      <c r="F25843" s="2423"/>
    </row>
    <row r="25844" s="101" customFormat="1" spans="6:6">
      <c r="F25844" s="2423"/>
    </row>
    <row r="25845" s="101" customFormat="1" spans="6:6">
      <c r="F25845" s="2423"/>
    </row>
    <row r="25846" s="101" customFormat="1" spans="6:6">
      <c r="F25846" s="2423"/>
    </row>
    <row r="25847" s="101" customFormat="1" spans="6:6">
      <c r="F25847" s="2423"/>
    </row>
    <row r="25848" s="101" customFormat="1" spans="6:6">
      <c r="F25848" s="2423"/>
    </row>
    <row r="25849" s="101" customFormat="1" spans="6:6">
      <c r="F25849" s="2423"/>
    </row>
    <row r="25850" s="101" customFormat="1" spans="6:6">
      <c r="F25850" s="2423"/>
    </row>
    <row r="25851" s="101" customFormat="1" spans="6:6">
      <c r="F25851" s="2423"/>
    </row>
    <row r="25852" s="101" customFormat="1" spans="6:6">
      <c r="F25852" s="2423"/>
    </row>
    <row r="25853" s="101" customFormat="1" spans="6:6">
      <c r="F25853" s="2423"/>
    </row>
    <row r="25854" s="101" customFormat="1" spans="6:6">
      <c r="F25854" s="2423"/>
    </row>
    <row r="25855" s="101" customFormat="1" spans="6:6">
      <c r="F25855" s="2423"/>
    </row>
    <row r="25856" s="101" customFormat="1" spans="6:6">
      <c r="F25856" s="2423"/>
    </row>
    <row r="25857" s="101" customFormat="1" spans="6:6">
      <c r="F25857" s="2423"/>
    </row>
    <row r="25858" s="101" customFormat="1" spans="6:6">
      <c r="F25858" s="2423"/>
    </row>
    <row r="25859" s="101" customFormat="1" spans="6:6">
      <c r="F25859" s="2423"/>
    </row>
    <row r="25860" s="101" customFormat="1" spans="6:6">
      <c r="F25860" s="2423"/>
    </row>
    <row r="25861" s="101" customFormat="1" spans="6:6">
      <c r="F25861" s="2423"/>
    </row>
    <row r="25862" s="101" customFormat="1" spans="6:6">
      <c r="F25862" s="2423"/>
    </row>
    <row r="25863" s="101" customFormat="1" spans="6:6">
      <c r="F25863" s="2423"/>
    </row>
    <row r="25864" s="101" customFormat="1" spans="6:6">
      <c r="F25864" s="2423"/>
    </row>
    <row r="25865" s="101" customFormat="1" spans="6:6">
      <c r="F25865" s="2423"/>
    </row>
    <row r="25866" s="101" customFormat="1" spans="6:6">
      <c r="F25866" s="2423"/>
    </row>
    <row r="25867" s="101" customFormat="1" spans="6:6">
      <c r="F25867" s="2423"/>
    </row>
    <row r="25868" s="101" customFormat="1" spans="6:6">
      <c r="F25868" s="2423"/>
    </row>
    <row r="25869" s="101" customFormat="1" spans="6:6">
      <c r="F25869" s="2423"/>
    </row>
    <row r="25870" s="101" customFormat="1" spans="6:6">
      <c r="F25870" s="2423"/>
    </row>
    <row r="25871" s="101" customFormat="1" spans="6:6">
      <c r="F25871" s="2423"/>
    </row>
    <row r="25872" s="101" customFormat="1" spans="6:6">
      <c r="F25872" s="2423"/>
    </row>
    <row r="25873" s="101" customFormat="1" spans="6:6">
      <c r="F25873" s="2423"/>
    </row>
    <row r="25874" s="101" customFormat="1" spans="6:6">
      <c r="F25874" s="2423"/>
    </row>
    <row r="25875" s="101" customFormat="1" spans="6:6">
      <c r="F25875" s="2423"/>
    </row>
    <row r="25876" s="101" customFormat="1" spans="6:6">
      <c r="F25876" s="2423"/>
    </row>
    <row r="25877" s="101" customFormat="1" spans="6:6">
      <c r="F25877" s="2423"/>
    </row>
    <row r="25878" s="101" customFormat="1" spans="6:6">
      <c r="F25878" s="2423"/>
    </row>
    <row r="25879" s="101" customFormat="1" spans="6:6">
      <c r="F25879" s="2423"/>
    </row>
    <row r="25880" s="101" customFormat="1" spans="6:6">
      <c r="F25880" s="2423"/>
    </row>
    <row r="25881" s="101" customFormat="1" spans="6:6">
      <c r="F25881" s="2423"/>
    </row>
    <row r="25882" s="101" customFormat="1" spans="6:6">
      <c r="F25882" s="2423"/>
    </row>
    <row r="25883" s="101" customFormat="1" spans="6:6">
      <c r="F25883" s="2423"/>
    </row>
    <row r="25884" s="101" customFormat="1" spans="6:6">
      <c r="F25884" s="2423"/>
    </row>
    <row r="25885" s="101" customFormat="1" spans="6:6">
      <c r="F25885" s="2423"/>
    </row>
    <row r="25886" s="101" customFormat="1" spans="6:6">
      <c r="F25886" s="2423"/>
    </row>
    <row r="25887" s="101" customFormat="1" spans="6:6">
      <c r="F25887" s="2423"/>
    </row>
    <row r="25888" s="101" customFormat="1" spans="6:6">
      <c r="F25888" s="2423"/>
    </row>
    <row r="25889" s="101" customFormat="1" spans="6:6">
      <c r="F25889" s="2423"/>
    </row>
    <row r="25890" s="101" customFormat="1" spans="6:6">
      <c r="F25890" s="2423"/>
    </row>
    <row r="25891" s="101" customFormat="1" spans="6:6">
      <c r="F25891" s="2423"/>
    </row>
    <row r="25892" s="101" customFormat="1" spans="6:6">
      <c r="F25892" s="2423"/>
    </row>
    <row r="25893" s="101" customFormat="1" spans="6:6">
      <c r="F25893" s="2423"/>
    </row>
    <row r="25894" s="101" customFormat="1" spans="6:6">
      <c r="F25894" s="2423"/>
    </row>
    <row r="25895" s="101" customFormat="1" spans="6:6">
      <c r="F25895" s="2423"/>
    </row>
    <row r="25896" s="101" customFormat="1" spans="6:6">
      <c r="F25896" s="2423"/>
    </row>
    <row r="25897" s="101" customFormat="1" spans="6:6">
      <c r="F25897" s="2423"/>
    </row>
    <row r="25898" s="101" customFormat="1" spans="6:6">
      <c r="F25898" s="2423"/>
    </row>
    <row r="25899" s="101" customFormat="1" spans="6:6">
      <c r="F25899" s="2423"/>
    </row>
    <row r="25900" s="101" customFormat="1" spans="6:6">
      <c r="F25900" s="2423"/>
    </row>
    <row r="25901" s="101" customFormat="1" spans="6:6">
      <c r="F25901" s="2423"/>
    </row>
    <row r="25902" s="101" customFormat="1" spans="6:6">
      <c r="F25902" s="2423"/>
    </row>
    <row r="25903" s="101" customFormat="1" spans="6:6">
      <c r="F25903" s="2423"/>
    </row>
    <row r="25904" s="101" customFormat="1" spans="6:6">
      <c r="F25904" s="2423"/>
    </row>
    <row r="25905" s="101" customFormat="1" spans="6:6">
      <c r="F25905" s="2423"/>
    </row>
    <row r="25906" s="101" customFormat="1" spans="6:6">
      <c r="F25906" s="2423"/>
    </row>
    <row r="25907" s="101" customFormat="1" spans="6:6">
      <c r="F25907" s="2423"/>
    </row>
    <row r="25908" s="101" customFormat="1" spans="6:6">
      <c r="F25908" s="2423"/>
    </row>
    <row r="25909" s="101" customFormat="1" spans="6:6">
      <c r="F25909" s="2423"/>
    </row>
    <row r="25910" s="101" customFormat="1" spans="6:6">
      <c r="F25910" s="2423"/>
    </row>
    <row r="25911" s="101" customFormat="1" spans="6:6">
      <c r="F25911" s="2423"/>
    </row>
    <row r="25912" s="101" customFormat="1" spans="6:6">
      <c r="F25912" s="2423"/>
    </row>
    <row r="25913" s="101" customFormat="1" spans="6:6">
      <c r="F25913" s="2423"/>
    </row>
    <row r="25914" s="101" customFormat="1" spans="6:6">
      <c r="F25914" s="2423"/>
    </row>
    <row r="25915" s="101" customFormat="1" spans="6:6">
      <c r="F25915" s="2423"/>
    </row>
    <row r="25916" s="101" customFormat="1" spans="6:6">
      <c r="F25916" s="2423"/>
    </row>
    <row r="25917" s="101" customFormat="1" spans="6:6">
      <c r="F25917" s="2423"/>
    </row>
    <row r="25918" s="101" customFormat="1" spans="6:6">
      <c r="F25918" s="2423"/>
    </row>
    <row r="25919" s="101" customFormat="1" spans="6:6">
      <c r="F25919" s="2423"/>
    </row>
    <row r="25920" s="101" customFormat="1" spans="6:6">
      <c r="F25920" s="2423"/>
    </row>
    <row r="25921" s="101" customFormat="1" spans="6:6">
      <c r="F25921" s="2423"/>
    </row>
    <row r="25922" s="101" customFormat="1" spans="6:6">
      <c r="F25922" s="2423"/>
    </row>
    <row r="25923" s="101" customFormat="1" spans="6:6">
      <c r="F25923" s="2423"/>
    </row>
    <row r="25924" s="101" customFormat="1" spans="6:6">
      <c r="F25924" s="2423"/>
    </row>
    <row r="25925" s="101" customFormat="1" spans="6:6">
      <c r="F25925" s="2423"/>
    </row>
    <row r="25926" s="101" customFormat="1" spans="6:6">
      <c r="F25926" s="2423"/>
    </row>
    <row r="25927" s="101" customFormat="1" spans="6:6">
      <c r="F25927" s="2423"/>
    </row>
    <row r="25928" s="101" customFormat="1" spans="6:6">
      <c r="F25928" s="2423"/>
    </row>
    <row r="25929" s="101" customFormat="1" spans="6:6">
      <c r="F25929" s="2423"/>
    </row>
    <row r="25930" s="101" customFormat="1" spans="6:6">
      <c r="F25930" s="2423"/>
    </row>
    <row r="25931" s="101" customFormat="1" spans="6:6">
      <c r="F25931" s="2423"/>
    </row>
    <row r="25932" s="101" customFormat="1" spans="6:6">
      <c r="F25932" s="2423"/>
    </row>
    <row r="25933" s="101" customFormat="1" spans="6:6">
      <c r="F25933" s="2423"/>
    </row>
    <row r="25934" s="101" customFormat="1" spans="6:6">
      <c r="F25934" s="2423"/>
    </row>
    <row r="25935" s="101" customFormat="1" spans="6:6">
      <c r="F25935" s="2423"/>
    </row>
    <row r="25936" s="101" customFormat="1" spans="6:6">
      <c r="F25936" s="2423"/>
    </row>
    <row r="25937" s="101" customFormat="1" spans="6:6">
      <c r="F25937" s="2423"/>
    </row>
    <row r="25938" s="101" customFormat="1" spans="6:6">
      <c r="F25938" s="2423"/>
    </row>
    <row r="25939" s="101" customFormat="1" spans="6:6">
      <c r="F25939" s="2423"/>
    </row>
    <row r="25940" s="101" customFormat="1" spans="6:6">
      <c r="F25940" s="2423"/>
    </row>
    <row r="25941" s="101" customFormat="1" spans="6:6">
      <c r="F25941" s="2423"/>
    </row>
    <row r="25942" s="101" customFormat="1" spans="6:6">
      <c r="F25942" s="2423"/>
    </row>
    <row r="25943" s="101" customFormat="1" spans="6:6">
      <c r="F25943" s="2423"/>
    </row>
    <row r="25944" s="101" customFormat="1" spans="6:6">
      <c r="F25944" s="2423"/>
    </row>
    <row r="25945" s="101" customFormat="1" spans="6:6">
      <c r="F25945" s="2423"/>
    </row>
    <row r="25946" s="101" customFormat="1" spans="6:6">
      <c r="F25946" s="2423"/>
    </row>
    <row r="25947" s="101" customFormat="1" spans="6:6">
      <c r="F25947" s="2423"/>
    </row>
    <row r="25948" s="101" customFormat="1" spans="6:6">
      <c r="F25948" s="2423"/>
    </row>
    <row r="25949" s="101" customFormat="1" spans="6:6">
      <c r="F25949" s="2423"/>
    </row>
    <row r="25950" s="101" customFormat="1" spans="6:6">
      <c r="F25950" s="2423"/>
    </row>
    <row r="25951" s="101" customFormat="1" spans="6:6">
      <c r="F25951" s="2423"/>
    </row>
    <row r="25952" s="101" customFormat="1" spans="6:6">
      <c r="F25952" s="2423"/>
    </row>
    <row r="25953" s="101" customFormat="1" spans="6:6">
      <c r="F25953" s="2423"/>
    </row>
    <row r="25954" s="101" customFormat="1" spans="6:6">
      <c r="F25954" s="2423"/>
    </row>
    <row r="25955" s="101" customFormat="1" spans="6:6">
      <c r="F25955" s="2423"/>
    </row>
    <row r="25956" s="101" customFormat="1" spans="6:6">
      <c r="F25956" s="2423"/>
    </row>
    <row r="25957" s="101" customFormat="1" spans="6:6">
      <c r="F25957" s="2423"/>
    </row>
    <row r="25958" s="101" customFormat="1" spans="6:6">
      <c r="F25958" s="2423"/>
    </row>
    <row r="25959" s="101" customFormat="1" spans="6:6">
      <c r="F25959" s="2423"/>
    </row>
    <row r="25960" s="101" customFormat="1" spans="6:6">
      <c r="F25960" s="2423"/>
    </row>
    <row r="25961" s="101" customFormat="1" spans="6:6">
      <c r="F25961" s="2423"/>
    </row>
    <row r="25962" s="101" customFormat="1" spans="6:6">
      <c r="F25962" s="2423"/>
    </row>
    <row r="25963" s="101" customFormat="1" spans="6:6">
      <c r="F25963" s="2423"/>
    </row>
    <row r="25964" s="101" customFormat="1" spans="6:6">
      <c r="F25964" s="2423"/>
    </row>
    <row r="25965" s="101" customFormat="1" spans="6:6">
      <c r="F25965" s="2423"/>
    </row>
    <row r="25966" s="101" customFormat="1" spans="6:6">
      <c r="F25966" s="2423"/>
    </row>
    <row r="25967" s="101" customFormat="1" spans="6:6">
      <c r="F25967" s="2423"/>
    </row>
    <row r="25968" s="101" customFormat="1" spans="6:6">
      <c r="F25968" s="2423"/>
    </row>
    <row r="25969" s="101" customFormat="1" spans="6:6">
      <c r="F25969" s="2423"/>
    </row>
    <row r="25970" s="101" customFormat="1" spans="6:6">
      <c r="F25970" s="2423"/>
    </row>
    <row r="25971" s="101" customFormat="1" spans="6:6">
      <c r="F25971" s="2423"/>
    </row>
    <row r="25972" s="101" customFormat="1" spans="6:6">
      <c r="F25972" s="2423"/>
    </row>
    <row r="25973" s="101" customFormat="1" spans="6:6">
      <c r="F25973" s="2423"/>
    </row>
    <row r="25974" s="101" customFormat="1" spans="6:6">
      <c r="F25974" s="2423"/>
    </row>
    <row r="25975" s="101" customFormat="1" spans="6:6">
      <c r="F25975" s="2423"/>
    </row>
    <row r="25976" s="101" customFormat="1" spans="6:6">
      <c r="F25976" s="2423"/>
    </row>
    <row r="25977" s="101" customFormat="1" spans="6:6">
      <c r="F25977" s="2423"/>
    </row>
    <row r="25978" s="101" customFormat="1" spans="6:6">
      <c r="F25978" s="2423"/>
    </row>
    <row r="25979" s="101" customFormat="1" spans="6:6">
      <c r="F25979" s="2423"/>
    </row>
    <row r="25980" s="101" customFormat="1" spans="6:6">
      <c r="F25980" s="2423"/>
    </row>
    <row r="25981" s="101" customFormat="1" spans="6:6">
      <c r="F25981" s="2423"/>
    </row>
    <row r="25982" s="101" customFormat="1" spans="6:6">
      <c r="F25982" s="2423"/>
    </row>
    <row r="25983" s="101" customFormat="1" spans="6:6">
      <c r="F25983" s="2423"/>
    </row>
    <row r="25984" s="101" customFormat="1" spans="6:6">
      <c r="F25984" s="2423"/>
    </row>
    <row r="25985" s="101" customFormat="1" spans="6:6">
      <c r="F25985" s="2423"/>
    </row>
    <row r="25986" s="101" customFormat="1" spans="6:6">
      <c r="F25986" s="2423"/>
    </row>
    <row r="25987" s="101" customFormat="1" spans="6:6">
      <c r="F25987" s="2423"/>
    </row>
    <row r="25988" s="101" customFormat="1" spans="6:6">
      <c r="F25988" s="2423"/>
    </row>
    <row r="25989" s="101" customFormat="1" spans="6:6">
      <c r="F25989" s="2423"/>
    </row>
    <row r="25990" s="101" customFormat="1" spans="6:6">
      <c r="F25990" s="2423"/>
    </row>
    <row r="25991" s="101" customFormat="1" spans="6:6">
      <c r="F25991" s="2423"/>
    </row>
    <row r="25992" s="101" customFormat="1" spans="6:6">
      <c r="F25992" s="2423"/>
    </row>
    <row r="25993" s="101" customFormat="1" spans="6:6">
      <c r="F25993" s="2423"/>
    </row>
    <row r="25994" s="101" customFormat="1" spans="6:6">
      <c r="F25994" s="2423"/>
    </row>
    <row r="25995" s="101" customFormat="1" spans="6:6">
      <c r="F25995" s="2423"/>
    </row>
    <row r="25996" s="101" customFormat="1" spans="6:6">
      <c r="F25996" s="2423"/>
    </row>
    <row r="25997" s="101" customFormat="1" spans="6:6">
      <c r="F25997" s="2423"/>
    </row>
    <row r="25998" s="101" customFormat="1" spans="6:6">
      <c r="F25998" s="2423"/>
    </row>
    <row r="25999" s="101" customFormat="1" spans="6:6">
      <c r="F25999" s="2423"/>
    </row>
    <row r="26000" s="101" customFormat="1" spans="6:6">
      <c r="F26000" s="2423"/>
    </row>
    <row r="26001" s="101" customFormat="1" spans="6:6">
      <c r="F26001" s="2423"/>
    </row>
    <row r="26002" s="101" customFormat="1" spans="6:6">
      <c r="F26002" s="2423"/>
    </row>
    <row r="26003" s="101" customFormat="1" spans="6:6">
      <c r="F26003" s="2423"/>
    </row>
    <row r="26004" s="101" customFormat="1" spans="6:6">
      <c r="F26004" s="2423"/>
    </row>
    <row r="26005" s="101" customFormat="1" spans="6:6">
      <c r="F26005" s="2423"/>
    </row>
    <row r="26006" s="101" customFormat="1" spans="6:6">
      <c r="F26006" s="2423"/>
    </row>
    <row r="26007" s="101" customFormat="1" spans="6:6">
      <c r="F26007" s="2423"/>
    </row>
    <row r="26008" s="101" customFormat="1" spans="6:6">
      <c r="F26008" s="2423"/>
    </row>
    <row r="26009" s="101" customFormat="1" spans="6:6">
      <c r="F26009" s="2423"/>
    </row>
    <row r="26010" s="101" customFormat="1" spans="6:6">
      <c r="F26010" s="2423"/>
    </row>
    <row r="26011" s="101" customFormat="1" spans="6:6">
      <c r="F26011" s="2423"/>
    </row>
    <row r="26012" s="101" customFormat="1" spans="6:6">
      <c r="F26012" s="2423"/>
    </row>
    <row r="26013" s="101" customFormat="1" spans="6:6">
      <c r="F26013" s="2423"/>
    </row>
    <row r="26014" s="101" customFormat="1" spans="6:6">
      <c r="F26014" s="2423"/>
    </row>
    <row r="26015" s="101" customFormat="1" spans="6:6">
      <c r="F26015" s="2423"/>
    </row>
    <row r="26016" s="101" customFormat="1" spans="6:6">
      <c r="F26016" s="2423"/>
    </row>
    <row r="26017" s="101" customFormat="1" spans="6:6">
      <c r="F26017" s="2423"/>
    </row>
    <row r="26018" s="101" customFormat="1" spans="6:6">
      <c r="F26018" s="2423"/>
    </row>
    <row r="26019" s="101" customFormat="1" spans="6:6">
      <c r="F26019" s="2423"/>
    </row>
    <row r="26020" s="101" customFormat="1" spans="6:6">
      <c r="F26020" s="2423"/>
    </row>
    <row r="26021" s="101" customFormat="1" spans="6:6">
      <c r="F26021" s="2423"/>
    </row>
    <row r="26022" s="101" customFormat="1" spans="6:6">
      <c r="F26022" s="2423"/>
    </row>
    <row r="26023" s="101" customFormat="1" spans="6:6">
      <c r="F26023" s="2423"/>
    </row>
    <row r="26024" s="101" customFormat="1" spans="6:6">
      <c r="F26024" s="2423"/>
    </row>
    <row r="26025" s="101" customFormat="1" spans="6:6">
      <c r="F26025" s="2423"/>
    </row>
    <row r="26026" s="101" customFormat="1" spans="6:6">
      <c r="F26026" s="2423"/>
    </row>
    <row r="26027" s="101" customFormat="1" spans="6:6">
      <c r="F26027" s="2423"/>
    </row>
    <row r="26028" s="101" customFormat="1" spans="6:6">
      <c r="F26028" s="2423"/>
    </row>
    <row r="26029" s="101" customFormat="1" spans="6:6">
      <c r="F26029" s="2423"/>
    </row>
    <row r="26030" s="101" customFormat="1" spans="6:6">
      <c r="F26030" s="2423"/>
    </row>
    <row r="26031" s="101" customFormat="1" spans="6:6">
      <c r="F26031" s="2423"/>
    </row>
    <row r="26032" s="101" customFormat="1" spans="6:6">
      <c r="F26032" s="2423"/>
    </row>
    <row r="26033" s="101" customFormat="1" spans="6:6">
      <c r="F26033" s="2423"/>
    </row>
    <row r="26034" s="101" customFormat="1" spans="6:6">
      <c r="F26034" s="2423"/>
    </row>
    <row r="26035" s="101" customFormat="1" spans="6:6">
      <c r="F26035" s="2423"/>
    </row>
    <row r="26036" s="101" customFormat="1" spans="6:6">
      <c r="F26036" s="2423"/>
    </row>
    <row r="26037" s="101" customFormat="1" spans="6:6">
      <c r="F26037" s="2423"/>
    </row>
    <row r="26038" s="101" customFormat="1" spans="6:6">
      <c r="F26038" s="2423"/>
    </row>
    <row r="26039" s="101" customFormat="1" spans="6:6">
      <c r="F26039" s="2423"/>
    </row>
    <row r="26040" s="101" customFormat="1" spans="6:6">
      <c r="F26040" s="2423"/>
    </row>
    <row r="26041" s="101" customFormat="1" spans="6:6">
      <c r="F26041" s="2423"/>
    </row>
    <row r="26042" s="101" customFormat="1" spans="6:6">
      <c r="F26042" s="2423"/>
    </row>
    <row r="26043" s="101" customFormat="1" spans="6:6">
      <c r="F26043" s="2423"/>
    </row>
    <row r="26044" s="101" customFormat="1" spans="6:6">
      <c r="F26044" s="2423"/>
    </row>
    <row r="26045" s="101" customFormat="1" spans="6:6">
      <c r="F26045" s="2423"/>
    </row>
    <row r="26046" s="101" customFormat="1" spans="6:6">
      <c r="F26046" s="2423"/>
    </row>
    <row r="26047" s="101" customFormat="1" spans="6:6">
      <c r="F26047" s="2423"/>
    </row>
    <row r="26048" s="101" customFormat="1" spans="6:6">
      <c r="F26048" s="2423"/>
    </row>
    <row r="26049" s="101" customFormat="1" spans="6:6">
      <c r="F26049" s="2423"/>
    </row>
    <row r="26050" s="101" customFormat="1" spans="6:6">
      <c r="F26050" s="2423"/>
    </row>
    <row r="26051" s="101" customFormat="1" spans="6:6">
      <c r="F26051" s="2423"/>
    </row>
    <row r="26052" s="101" customFormat="1" spans="6:6">
      <c r="F26052" s="2423"/>
    </row>
    <row r="26053" s="101" customFormat="1" spans="6:6">
      <c r="F26053" s="2423"/>
    </row>
    <row r="26054" s="101" customFormat="1" spans="6:6">
      <c r="F26054" s="2423"/>
    </row>
    <row r="26055" s="101" customFormat="1" spans="6:6">
      <c r="F26055" s="2423"/>
    </row>
    <row r="26056" s="101" customFormat="1" spans="6:6">
      <c r="F26056" s="2423"/>
    </row>
    <row r="26057" s="101" customFormat="1" spans="6:6">
      <c r="F26057" s="2423"/>
    </row>
    <row r="26058" s="101" customFormat="1" spans="6:6">
      <c r="F26058" s="2423"/>
    </row>
    <row r="26059" s="101" customFormat="1" spans="6:6">
      <c r="F26059" s="2423"/>
    </row>
    <row r="26060" s="101" customFormat="1" spans="6:6">
      <c r="F26060" s="2423"/>
    </row>
    <row r="26061" s="101" customFormat="1" spans="6:6">
      <c r="F26061" s="2423"/>
    </row>
    <row r="26062" s="101" customFormat="1" spans="6:6">
      <c r="F26062" s="2423"/>
    </row>
    <row r="26063" s="101" customFormat="1" spans="6:6">
      <c r="F26063" s="2423"/>
    </row>
    <row r="26064" s="101" customFormat="1" spans="6:6">
      <c r="F26064" s="2423"/>
    </row>
    <row r="26065" s="101" customFormat="1" spans="6:6">
      <c r="F26065" s="2423"/>
    </row>
    <row r="26066" s="101" customFormat="1" spans="6:6">
      <c r="F26066" s="2423"/>
    </row>
    <row r="26067" s="101" customFormat="1" spans="6:6">
      <c r="F26067" s="2423"/>
    </row>
    <row r="26068" s="101" customFormat="1" spans="6:6">
      <c r="F26068" s="2423"/>
    </row>
    <row r="26069" s="101" customFormat="1" spans="6:6">
      <c r="F26069" s="2423"/>
    </row>
    <row r="26070" s="101" customFormat="1" spans="6:6">
      <c r="F26070" s="2423"/>
    </row>
    <row r="26071" s="101" customFormat="1" spans="6:6">
      <c r="F26071" s="2423"/>
    </row>
    <row r="26072" s="101" customFormat="1" spans="6:6">
      <c r="F26072" s="2423"/>
    </row>
    <row r="26073" s="101" customFormat="1" spans="6:6">
      <c r="F26073" s="2423"/>
    </row>
    <row r="26074" s="101" customFormat="1" spans="6:6">
      <c r="F26074" s="2423"/>
    </row>
    <row r="26075" s="101" customFormat="1" spans="6:6">
      <c r="F26075" s="2423"/>
    </row>
    <row r="26076" s="101" customFormat="1" spans="6:6">
      <c r="F26076" s="2423"/>
    </row>
    <row r="26077" s="101" customFormat="1" spans="6:6">
      <c r="F26077" s="2423"/>
    </row>
    <row r="26078" s="101" customFormat="1" spans="6:6">
      <c r="F26078" s="2423"/>
    </row>
    <row r="26079" s="101" customFormat="1" spans="6:6">
      <c r="F26079" s="2423"/>
    </row>
    <row r="26080" s="101" customFormat="1" spans="6:6">
      <c r="F26080" s="2423"/>
    </row>
    <row r="26081" s="101" customFormat="1" spans="6:6">
      <c r="F26081" s="2423"/>
    </row>
    <row r="26082" s="101" customFormat="1" spans="6:6">
      <c r="F26082" s="2423"/>
    </row>
    <row r="26083" s="101" customFormat="1" spans="6:6">
      <c r="F26083" s="2423"/>
    </row>
    <row r="26084" s="101" customFormat="1" spans="6:6">
      <c r="F26084" s="2423"/>
    </row>
    <row r="26085" s="101" customFormat="1" spans="6:6">
      <c r="F26085" s="2423"/>
    </row>
    <row r="26086" s="101" customFormat="1" spans="6:6">
      <c r="F26086" s="2423"/>
    </row>
    <row r="26087" s="101" customFormat="1" spans="6:6">
      <c r="F26087" s="2423"/>
    </row>
    <row r="26088" s="101" customFormat="1" spans="6:6">
      <c r="F26088" s="2423"/>
    </row>
    <row r="26089" s="101" customFormat="1" spans="6:6">
      <c r="F26089" s="2423"/>
    </row>
    <row r="26090" s="101" customFormat="1" spans="6:6">
      <c r="F26090" s="2423"/>
    </row>
    <row r="26091" s="101" customFormat="1" spans="6:6">
      <c r="F26091" s="2423"/>
    </row>
    <row r="26092" s="101" customFormat="1" spans="6:6">
      <c r="F26092" s="2423"/>
    </row>
    <row r="26093" s="101" customFormat="1" spans="6:6">
      <c r="F26093" s="2423"/>
    </row>
    <row r="26094" s="101" customFormat="1" spans="6:6">
      <c r="F26094" s="2423"/>
    </row>
    <row r="26095" s="101" customFormat="1" spans="6:6">
      <c r="F26095" s="2423"/>
    </row>
    <row r="26096" s="101" customFormat="1" spans="6:6">
      <c r="F26096" s="2423"/>
    </row>
    <row r="26097" s="101" customFormat="1" spans="6:6">
      <c r="F26097" s="2423"/>
    </row>
    <row r="26098" s="101" customFormat="1" spans="6:6">
      <c r="F26098" s="2423"/>
    </row>
    <row r="26099" s="101" customFormat="1" spans="6:6">
      <c r="F26099" s="2423"/>
    </row>
    <row r="26100" s="101" customFormat="1" spans="6:6">
      <c r="F26100" s="2423"/>
    </row>
    <row r="26101" s="101" customFormat="1" spans="6:6">
      <c r="F26101" s="2423"/>
    </row>
    <row r="26102" s="101" customFormat="1" spans="6:6">
      <c r="F26102" s="2423"/>
    </row>
    <row r="26103" s="101" customFormat="1" spans="6:6">
      <c r="F26103" s="2423"/>
    </row>
    <row r="26104" s="101" customFormat="1" spans="6:6">
      <c r="F26104" s="2423"/>
    </row>
    <row r="26105" s="101" customFormat="1" spans="6:6">
      <c r="F26105" s="2423"/>
    </row>
    <row r="26106" s="101" customFormat="1" spans="6:6">
      <c r="F26106" s="2423"/>
    </row>
    <row r="26107" s="101" customFormat="1" spans="6:6">
      <c r="F26107" s="2423"/>
    </row>
    <row r="26108" s="101" customFormat="1" spans="6:6">
      <c r="F26108" s="2423"/>
    </row>
    <row r="26109" s="101" customFormat="1" spans="6:6">
      <c r="F26109" s="2423"/>
    </row>
    <row r="26110" s="101" customFormat="1" spans="6:6">
      <c r="F26110" s="2423"/>
    </row>
    <row r="26111" s="101" customFormat="1" spans="6:6">
      <c r="F26111" s="2423"/>
    </row>
    <row r="26112" s="101" customFormat="1" spans="6:6">
      <c r="F26112" s="2423"/>
    </row>
    <row r="26113" s="101" customFormat="1" spans="6:6">
      <c r="F26113" s="2423"/>
    </row>
    <row r="26114" s="101" customFormat="1" spans="6:6">
      <c r="F26114" s="2423"/>
    </row>
    <row r="26115" s="101" customFormat="1" spans="6:6">
      <c r="F26115" s="2423"/>
    </row>
    <row r="26116" s="101" customFormat="1" spans="6:6">
      <c r="F26116" s="2423"/>
    </row>
    <row r="26117" s="101" customFormat="1" spans="6:6">
      <c r="F26117" s="2423"/>
    </row>
    <row r="26118" s="101" customFormat="1" spans="6:6">
      <c r="F26118" s="2423"/>
    </row>
    <row r="26119" s="101" customFormat="1" spans="6:6">
      <c r="F26119" s="2423"/>
    </row>
    <row r="26120" s="101" customFormat="1" spans="6:6">
      <c r="F26120" s="2423"/>
    </row>
    <row r="26121" s="101" customFormat="1" spans="6:6">
      <c r="F26121" s="2423"/>
    </row>
    <row r="26122" s="101" customFormat="1" spans="6:6">
      <c r="F26122" s="2423"/>
    </row>
    <row r="26123" s="101" customFormat="1" spans="6:6">
      <c r="F26123" s="2423"/>
    </row>
    <row r="26124" s="101" customFormat="1" spans="6:6">
      <c r="F26124" s="2423"/>
    </row>
    <row r="26125" s="101" customFormat="1" spans="6:6">
      <c r="F26125" s="2423"/>
    </row>
    <row r="26126" s="101" customFormat="1" spans="6:6">
      <c r="F26126" s="2423"/>
    </row>
    <row r="26127" s="101" customFormat="1" spans="6:6">
      <c r="F26127" s="2423"/>
    </row>
    <row r="26128" s="101" customFormat="1" spans="6:6">
      <c r="F26128" s="2423"/>
    </row>
    <row r="26129" s="101" customFormat="1" spans="6:6">
      <c r="F26129" s="2423"/>
    </row>
    <row r="26130" s="101" customFormat="1" spans="6:6">
      <c r="F26130" s="2423"/>
    </row>
    <row r="26131" s="101" customFormat="1" spans="6:6">
      <c r="F26131" s="2423"/>
    </row>
    <row r="26132" s="101" customFormat="1" spans="6:6">
      <c r="F26132" s="2423"/>
    </row>
    <row r="26133" s="101" customFormat="1" spans="6:6">
      <c r="F26133" s="2423"/>
    </row>
    <row r="26134" s="101" customFormat="1" spans="6:6">
      <c r="F26134" s="2423"/>
    </row>
    <row r="26135" s="101" customFormat="1" spans="6:6">
      <c r="F26135" s="2423"/>
    </row>
    <row r="26136" s="101" customFormat="1" spans="6:6">
      <c r="F26136" s="2423"/>
    </row>
    <row r="26137" s="101" customFormat="1" spans="6:6">
      <c r="F26137" s="2423"/>
    </row>
    <row r="26138" s="101" customFormat="1" spans="6:6">
      <c r="F26138" s="2423"/>
    </row>
    <row r="26139" s="101" customFormat="1" spans="6:6">
      <c r="F26139" s="2423"/>
    </row>
    <row r="26140" s="101" customFormat="1" spans="6:6">
      <c r="F26140" s="2423"/>
    </row>
    <row r="26141" s="101" customFormat="1" spans="6:6">
      <c r="F26141" s="2423"/>
    </row>
    <row r="26142" s="101" customFormat="1" spans="6:6">
      <c r="F26142" s="2423"/>
    </row>
    <row r="26143" s="101" customFormat="1" spans="6:6">
      <c r="F26143" s="2423"/>
    </row>
    <row r="26144" s="101" customFormat="1" spans="6:6">
      <c r="F26144" s="2423"/>
    </row>
    <row r="26145" s="101" customFormat="1" spans="6:6">
      <c r="F26145" s="2423"/>
    </row>
    <row r="26146" s="101" customFormat="1" spans="6:6">
      <c r="F26146" s="2423"/>
    </row>
    <row r="26147" s="101" customFormat="1" spans="6:6">
      <c r="F26147" s="2423"/>
    </row>
    <row r="26148" s="101" customFormat="1" spans="6:6">
      <c r="F26148" s="2423"/>
    </row>
    <row r="26149" s="101" customFormat="1" spans="6:6">
      <c r="F26149" s="2423"/>
    </row>
    <row r="26150" s="101" customFormat="1" spans="6:6">
      <c r="F26150" s="2423"/>
    </row>
    <row r="26151" s="101" customFormat="1" spans="6:6">
      <c r="F26151" s="2423"/>
    </row>
    <row r="26152" s="101" customFormat="1" spans="6:6">
      <c r="F26152" s="2423"/>
    </row>
    <row r="26153" s="101" customFormat="1" spans="6:6">
      <c r="F26153" s="2423"/>
    </row>
    <row r="26154" s="101" customFormat="1" spans="6:6">
      <c r="F26154" s="2423"/>
    </row>
    <row r="26155" s="101" customFormat="1" spans="6:6">
      <c r="F26155" s="2423"/>
    </row>
    <row r="26156" s="101" customFormat="1" spans="6:6">
      <c r="F26156" s="2423"/>
    </row>
    <row r="26157" s="101" customFormat="1" spans="6:6">
      <c r="F26157" s="2423"/>
    </row>
    <row r="26158" s="101" customFormat="1" spans="6:6">
      <c r="F26158" s="2423"/>
    </row>
    <row r="26159" s="101" customFormat="1" spans="6:6">
      <c r="F26159" s="2423"/>
    </row>
    <row r="26160" s="101" customFormat="1" spans="6:6">
      <c r="F26160" s="2423"/>
    </row>
    <row r="26161" s="101" customFormat="1" spans="6:6">
      <c r="F26161" s="2423"/>
    </row>
    <row r="26162" s="101" customFormat="1" spans="6:6">
      <c r="F26162" s="2423"/>
    </row>
    <row r="26163" s="101" customFormat="1" spans="6:6">
      <c r="F26163" s="2423"/>
    </row>
    <row r="26164" s="101" customFormat="1" spans="6:6">
      <c r="F26164" s="2423"/>
    </row>
    <row r="26165" s="101" customFormat="1" spans="6:6">
      <c r="F26165" s="2423"/>
    </row>
    <row r="26166" s="101" customFormat="1" spans="6:6">
      <c r="F26166" s="2423"/>
    </row>
    <row r="26167" s="101" customFormat="1" spans="6:6">
      <c r="F26167" s="2423"/>
    </row>
    <row r="26168" s="101" customFormat="1" spans="6:6">
      <c r="F26168" s="2423"/>
    </row>
    <row r="26169" s="101" customFormat="1" spans="6:6">
      <c r="F26169" s="2423"/>
    </row>
    <row r="26170" s="101" customFormat="1" spans="6:6">
      <c r="F26170" s="2423"/>
    </row>
    <row r="26171" s="101" customFormat="1" spans="6:6">
      <c r="F26171" s="2423"/>
    </row>
    <row r="26172" s="101" customFormat="1" spans="6:6">
      <c r="F26172" s="2423"/>
    </row>
    <row r="26173" s="101" customFormat="1" spans="6:6">
      <c r="F26173" s="2423"/>
    </row>
    <row r="26174" s="101" customFormat="1" spans="6:6">
      <c r="F26174" s="2423"/>
    </row>
    <row r="26175" s="101" customFormat="1" spans="6:6">
      <c r="F26175" s="2423"/>
    </row>
    <row r="26176" s="101" customFormat="1" spans="6:6">
      <c r="F26176" s="2423"/>
    </row>
    <row r="26177" s="101" customFormat="1" spans="6:6">
      <c r="F26177" s="2423"/>
    </row>
    <row r="26178" s="101" customFormat="1" spans="6:6">
      <c r="F26178" s="2423"/>
    </row>
    <row r="26179" s="101" customFormat="1" spans="6:6">
      <c r="F26179" s="2423"/>
    </row>
    <row r="26180" s="101" customFormat="1" spans="6:6">
      <c r="F26180" s="2423"/>
    </row>
    <row r="26181" s="101" customFormat="1" spans="6:6">
      <c r="F26181" s="2423"/>
    </row>
    <row r="26182" s="101" customFormat="1" spans="6:6">
      <c r="F26182" s="2423"/>
    </row>
    <row r="26183" s="101" customFormat="1" spans="6:6">
      <c r="F26183" s="2423"/>
    </row>
    <row r="26184" s="101" customFormat="1" spans="6:6">
      <c r="F26184" s="2423"/>
    </row>
    <row r="26185" s="101" customFormat="1" spans="6:6">
      <c r="F26185" s="2423"/>
    </row>
    <row r="26186" s="101" customFormat="1" spans="6:6">
      <c r="F26186" s="2423"/>
    </row>
    <row r="26187" s="101" customFormat="1" spans="6:6">
      <c r="F26187" s="2423"/>
    </row>
    <row r="26188" s="101" customFormat="1" spans="6:6">
      <c r="F26188" s="2423"/>
    </row>
    <row r="26189" s="101" customFormat="1" spans="6:6">
      <c r="F26189" s="2423"/>
    </row>
    <row r="26190" s="101" customFormat="1" spans="6:6">
      <c r="F26190" s="2423"/>
    </row>
    <row r="26191" s="101" customFormat="1" spans="6:6">
      <c r="F26191" s="2423"/>
    </row>
    <row r="26192" s="101" customFormat="1" spans="6:6">
      <c r="F26192" s="2423"/>
    </row>
    <row r="26193" s="101" customFormat="1" spans="6:6">
      <c r="F26193" s="2423"/>
    </row>
    <row r="26194" s="101" customFormat="1" spans="6:6">
      <c r="F26194" s="2423"/>
    </row>
    <row r="26195" s="101" customFormat="1" spans="6:6">
      <c r="F26195" s="2423"/>
    </row>
    <row r="26196" s="101" customFormat="1" spans="6:6">
      <c r="F26196" s="2423"/>
    </row>
    <row r="26197" s="101" customFormat="1" spans="6:6">
      <c r="F26197" s="2423"/>
    </row>
    <row r="26198" s="101" customFormat="1" spans="6:6">
      <c r="F26198" s="2423"/>
    </row>
    <row r="26199" s="101" customFormat="1" spans="6:6">
      <c r="F26199" s="2423"/>
    </row>
    <row r="26200" s="101" customFormat="1" spans="6:6">
      <c r="F26200" s="2423"/>
    </row>
    <row r="26201" s="101" customFormat="1" spans="6:6">
      <c r="F26201" s="2423"/>
    </row>
    <row r="26202" s="101" customFormat="1" spans="6:6">
      <c r="F26202" s="2423"/>
    </row>
    <row r="26203" s="101" customFormat="1" spans="6:6">
      <c r="F26203" s="2423"/>
    </row>
    <row r="26204" s="101" customFormat="1" spans="6:6">
      <c r="F26204" s="2423"/>
    </row>
    <row r="26205" s="101" customFormat="1" spans="6:6">
      <c r="F26205" s="2423"/>
    </row>
    <row r="26206" s="101" customFormat="1" spans="6:6">
      <c r="F26206" s="2423"/>
    </row>
    <row r="26207" s="101" customFormat="1" spans="6:6">
      <c r="F26207" s="2423"/>
    </row>
    <row r="26208" s="101" customFormat="1" spans="6:6">
      <c r="F26208" s="2423"/>
    </row>
    <row r="26209" s="101" customFormat="1" spans="6:6">
      <c r="F26209" s="2423"/>
    </row>
    <row r="26210" s="101" customFormat="1" spans="6:6">
      <c r="F26210" s="2423"/>
    </row>
    <row r="26211" s="101" customFormat="1" spans="6:6">
      <c r="F26211" s="2423"/>
    </row>
    <row r="26212" s="101" customFormat="1" spans="6:6">
      <c r="F26212" s="2423"/>
    </row>
    <row r="26213" s="101" customFormat="1" spans="6:6">
      <c r="F26213" s="2423"/>
    </row>
    <row r="26214" s="101" customFormat="1" spans="6:6">
      <c r="F26214" s="2423"/>
    </row>
    <row r="26215" s="101" customFormat="1" spans="6:6">
      <c r="F26215" s="2423"/>
    </row>
    <row r="26216" s="101" customFormat="1" spans="6:6">
      <c r="F26216" s="2423"/>
    </row>
    <row r="26217" s="101" customFormat="1" spans="6:6">
      <c r="F26217" s="2423"/>
    </row>
    <row r="26218" s="101" customFormat="1" spans="6:6">
      <c r="F26218" s="2423"/>
    </row>
    <row r="26219" s="101" customFormat="1" spans="6:6">
      <c r="F26219" s="2423"/>
    </row>
    <row r="26220" s="101" customFormat="1" spans="6:6">
      <c r="F26220" s="2423"/>
    </row>
    <row r="26221" s="101" customFormat="1" spans="6:6">
      <c r="F26221" s="2423"/>
    </row>
    <row r="26222" s="101" customFormat="1" spans="6:6">
      <c r="F26222" s="2423"/>
    </row>
    <row r="26223" s="101" customFormat="1" spans="6:6">
      <c r="F26223" s="2423"/>
    </row>
    <row r="26224" s="101" customFormat="1" spans="6:6">
      <c r="F26224" s="2423"/>
    </row>
    <row r="26225" s="101" customFormat="1" spans="6:6">
      <c r="F26225" s="2423"/>
    </row>
    <row r="26226" s="101" customFormat="1" spans="6:6">
      <c r="F26226" s="2423"/>
    </row>
    <row r="26227" s="101" customFormat="1" spans="6:6">
      <c r="F26227" s="2423"/>
    </row>
    <row r="26228" s="101" customFormat="1" spans="6:6">
      <c r="F26228" s="2423"/>
    </row>
    <row r="26229" s="101" customFormat="1" spans="6:6">
      <c r="F26229" s="2423"/>
    </row>
    <row r="26230" s="101" customFormat="1" spans="6:6">
      <c r="F26230" s="2423"/>
    </row>
    <row r="26231" s="101" customFormat="1" spans="6:6">
      <c r="F26231" s="2423"/>
    </row>
    <row r="26232" s="101" customFormat="1" spans="6:6">
      <c r="F26232" s="2423"/>
    </row>
    <row r="26233" s="101" customFormat="1" spans="6:6">
      <c r="F26233" s="2423"/>
    </row>
    <row r="26234" s="101" customFormat="1" spans="6:6">
      <c r="F26234" s="2423"/>
    </row>
    <row r="26235" s="101" customFormat="1" spans="6:6">
      <c r="F26235" s="2423"/>
    </row>
    <row r="26236" s="101" customFormat="1" spans="6:6">
      <c r="F26236" s="2423"/>
    </row>
    <row r="26237" s="101" customFormat="1" spans="6:6">
      <c r="F26237" s="2423"/>
    </row>
    <row r="26238" s="101" customFormat="1" spans="6:6">
      <c r="F26238" s="2423"/>
    </row>
    <row r="26239" s="101" customFormat="1" spans="6:6">
      <c r="F26239" s="2423"/>
    </row>
    <row r="26240" s="101" customFormat="1" spans="6:6">
      <c r="F26240" s="2423"/>
    </row>
    <row r="26241" s="101" customFormat="1" spans="6:6">
      <c r="F26241" s="2423"/>
    </row>
    <row r="26242" s="101" customFormat="1" spans="6:6">
      <c r="F26242" s="2423"/>
    </row>
    <row r="26243" s="101" customFormat="1" spans="6:6">
      <c r="F26243" s="2423"/>
    </row>
    <row r="26244" s="101" customFormat="1" spans="6:6">
      <c r="F26244" s="2423"/>
    </row>
    <row r="26245" s="101" customFormat="1" spans="6:6">
      <c r="F26245" s="2423"/>
    </row>
    <row r="26246" s="101" customFormat="1" spans="6:6">
      <c r="F26246" s="2423"/>
    </row>
    <row r="26247" s="101" customFormat="1" spans="6:6">
      <c r="F26247" s="2423"/>
    </row>
    <row r="26248" s="101" customFormat="1" spans="6:6">
      <c r="F26248" s="2423"/>
    </row>
    <row r="26249" s="101" customFormat="1" spans="6:6">
      <c r="F26249" s="2423"/>
    </row>
    <row r="26250" s="101" customFormat="1" spans="6:6">
      <c r="F26250" s="2423"/>
    </row>
    <row r="26251" s="101" customFormat="1" spans="6:6">
      <c r="F26251" s="2423"/>
    </row>
    <row r="26252" s="101" customFormat="1" spans="6:6">
      <c r="F26252" s="2423"/>
    </row>
    <row r="26253" s="101" customFormat="1" spans="6:6">
      <c r="F26253" s="2423"/>
    </row>
    <row r="26254" s="101" customFormat="1" spans="6:6">
      <c r="F26254" s="2423"/>
    </row>
    <row r="26255" s="101" customFormat="1" spans="6:6">
      <c r="F26255" s="2423"/>
    </row>
    <row r="26256" s="101" customFormat="1" spans="6:6">
      <c r="F26256" s="2423"/>
    </row>
    <row r="26257" s="101" customFormat="1" spans="6:6">
      <c r="F26257" s="2423"/>
    </row>
    <row r="26258" s="101" customFormat="1" spans="6:6">
      <c r="F26258" s="2423"/>
    </row>
    <row r="26259" s="101" customFormat="1" spans="6:6">
      <c r="F26259" s="2423"/>
    </row>
    <row r="26260" s="101" customFormat="1" spans="6:6">
      <c r="F26260" s="2423"/>
    </row>
    <row r="26261" s="101" customFormat="1" spans="6:6">
      <c r="F26261" s="2423"/>
    </row>
    <row r="26262" s="101" customFormat="1" spans="6:6">
      <c r="F26262" s="2423"/>
    </row>
    <row r="26263" s="101" customFormat="1" spans="6:6">
      <c r="F26263" s="2423"/>
    </row>
    <row r="26264" s="101" customFormat="1" spans="6:6">
      <c r="F26264" s="2423"/>
    </row>
    <row r="26265" s="101" customFormat="1" spans="6:6">
      <c r="F26265" s="2423"/>
    </row>
    <row r="26266" s="101" customFormat="1" spans="6:6">
      <c r="F26266" s="2423"/>
    </row>
    <row r="26267" s="101" customFormat="1" spans="6:6">
      <c r="F26267" s="2423"/>
    </row>
    <row r="26268" s="101" customFormat="1" spans="6:6">
      <c r="F26268" s="2423"/>
    </row>
    <row r="26269" s="101" customFormat="1" spans="6:6">
      <c r="F26269" s="2423"/>
    </row>
    <row r="26270" s="101" customFormat="1" spans="6:6">
      <c r="F26270" s="2423"/>
    </row>
    <row r="26271" s="101" customFormat="1" spans="6:6">
      <c r="F26271" s="2423"/>
    </row>
    <row r="26272" s="101" customFormat="1" spans="6:6">
      <c r="F26272" s="2423"/>
    </row>
    <row r="26273" s="101" customFormat="1" spans="6:6">
      <c r="F26273" s="2423"/>
    </row>
    <row r="26274" s="101" customFormat="1" spans="6:6">
      <c r="F26274" s="2423"/>
    </row>
    <row r="26275" s="101" customFormat="1" spans="6:6">
      <c r="F26275" s="2423"/>
    </row>
    <row r="26276" s="101" customFormat="1" spans="6:6">
      <c r="F26276" s="2423"/>
    </row>
    <row r="26277" s="101" customFormat="1" spans="6:6">
      <c r="F26277" s="2423"/>
    </row>
    <row r="26278" s="101" customFormat="1" spans="6:6">
      <c r="F26278" s="2423"/>
    </row>
    <row r="26279" s="101" customFormat="1" spans="6:6">
      <c r="F26279" s="2423"/>
    </row>
    <row r="26280" s="101" customFormat="1" spans="6:6">
      <c r="F26280" s="2423"/>
    </row>
    <row r="26281" s="101" customFormat="1" spans="6:6">
      <c r="F26281" s="2423"/>
    </row>
    <row r="26282" s="101" customFormat="1" spans="6:6">
      <c r="F26282" s="2423"/>
    </row>
    <row r="26283" s="101" customFormat="1" spans="6:6">
      <c r="F26283" s="2423"/>
    </row>
    <row r="26284" s="101" customFormat="1" spans="6:6">
      <c r="F26284" s="2423"/>
    </row>
    <row r="26285" s="101" customFormat="1" spans="6:6">
      <c r="F26285" s="2423"/>
    </row>
    <row r="26286" s="101" customFormat="1" spans="6:6">
      <c r="F26286" s="2423"/>
    </row>
    <row r="26287" s="101" customFormat="1" spans="6:6">
      <c r="F26287" s="2423"/>
    </row>
    <row r="26288" s="101" customFormat="1" spans="6:6">
      <c r="F26288" s="2423"/>
    </row>
    <row r="26289" s="101" customFormat="1" spans="6:6">
      <c r="F26289" s="2423"/>
    </row>
    <row r="26290" s="101" customFormat="1" spans="6:6">
      <c r="F26290" s="2423"/>
    </row>
    <row r="26291" s="101" customFormat="1" spans="6:6">
      <c r="F26291" s="2423"/>
    </row>
    <row r="26292" s="101" customFormat="1" spans="6:6">
      <c r="F26292" s="2423"/>
    </row>
    <row r="26293" s="101" customFormat="1" spans="6:6">
      <c r="F26293" s="2423"/>
    </row>
    <row r="26294" s="101" customFormat="1" spans="6:6">
      <c r="F26294" s="2423"/>
    </row>
    <row r="26295" s="101" customFormat="1" spans="6:6">
      <c r="F26295" s="2423"/>
    </row>
    <row r="26296" s="101" customFormat="1" spans="6:6">
      <c r="F26296" s="2423"/>
    </row>
    <row r="26297" s="101" customFormat="1" spans="6:6">
      <c r="F26297" s="2423"/>
    </row>
    <row r="26298" s="101" customFormat="1" spans="6:6">
      <c r="F26298" s="2423"/>
    </row>
    <row r="26299" s="101" customFormat="1" spans="6:6">
      <c r="F26299" s="2423"/>
    </row>
    <row r="26300" s="101" customFormat="1" spans="6:6">
      <c r="F26300" s="2423"/>
    </row>
    <row r="26301" s="101" customFormat="1" spans="6:6">
      <c r="F26301" s="2423"/>
    </row>
    <row r="26302" s="101" customFormat="1" spans="6:6">
      <c r="F26302" s="2423"/>
    </row>
    <row r="26303" s="101" customFormat="1" spans="6:6">
      <c r="F26303" s="2423"/>
    </row>
    <row r="26304" s="101" customFormat="1" spans="6:6">
      <c r="F26304" s="2423"/>
    </row>
    <row r="26305" s="101" customFormat="1" spans="6:6">
      <c r="F26305" s="2423"/>
    </row>
    <row r="26306" s="101" customFormat="1" spans="6:6">
      <c r="F26306" s="2423"/>
    </row>
    <row r="26307" s="101" customFormat="1" spans="6:6">
      <c r="F26307" s="2423"/>
    </row>
    <row r="26308" s="101" customFormat="1" spans="6:6">
      <c r="F26308" s="2423"/>
    </row>
    <row r="26309" s="101" customFormat="1" spans="6:6">
      <c r="F26309" s="2423"/>
    </row>
    <row r="26310" s="101" customFormat="1" spans="6:6">
      <c r="F26310" s="2423"/>
    </row>
    <row r="26311" s="101" customFormat="1" spans="6:6">
      <c r="F26311" s="2423"/>
    </row>
    <row r="26312" s="101" customFormat="1" spans="6:6">
      <c r="F26312" s="2423"/>
    </row>
    <row r="26313" s="101" customFormat="1" spans="6:6">
      <c r="F26313" s="2423"/>
    </row>
    <row r="26314" s="101" customFormat="1" spans="6:6">
      <c r="F26314" s="2423"/>
    </row>
    <row r="26315" s="101" customFormat="1" spans="6:6">
      <c r="F26315" s="2423"/>
    </row>
    <row r="26316" s="101" customFormat="1" spans="6:6">
      <c r="F26316" s="2423"/>
    </row>
    <row r="26317" s="101" customFormat="1" spans="6:6">
      <c r="F26317" s="2423"/>
    </row>
    <row r="26318" s="101" customFormat="1" spans="6:6">
      <c r="F26318" s="2423"/>
    </row>
    <row r="26319" s="101" customFormat="1" spans="6:6">
      <c r="F26319" s="2423"/>
    </row>
    <row r="26320" s="101" customFormat="1" spans="6:6">
      <c r="F26320" s="2423"/>
    </row>
    <row r="26321" s="101" customFormat="1" spans="6:6">
      <c r="F26321" s="2423"/>
    </row>
    <row r="26322" s="101" customFormat="1" spans="6:6">
      <c r="F26322" s="2423"/>
    </row>
    <row r="26323" s="101" customFormat="1" spans="6:6">
      <c r="F26323" s="2423"/>
    </row>
    <row r="26324" s="101" customFormat="1" spans="6:6">
      <c r="F26324" s="2423"/>
    </row>
    <row r="26325" s="101" customFormat="1" spans="6:6">
      <c r="F26325" s="2423"/>
    </row>
    <row r="26326" s="101" customFormat="1" spans="6:6">
      <c r="F26326" s="2423"/>
    </row>
    <row r="26327" s="101" customFormat="1" spans="6:6">
      <c r="F26327" s="2423"/>
    </row>
    <row r="26328" s="101" customFormat="1" spans="6:6">
      <c r="F26328" s="2423"/>
    </row>
    <row r="26329" s="101" customFormat="1" spans="6:6">
      <c r="F26329" s="2423"/>
    </row>
    <row r="26330" s="101" customFormat="1" spans="6:6">
      <c r="F26330" s="2423"/>
    </row>
    <row r="26331" s="101" customFormat="1" spans="6:6">
      <c r="F26331" s="2423"/>
    </row>
    <row r="26332" s="101" customFormat="1" spans="6:6">
      <c r="F26332" s="2423"/>
    </row>
    <row r="26333" s="101" customFormat="1" spans="6:6">
      <c r="F26333" s="2423"/>
    </row>
    <row r="26334" s="101" customFormat="1" spans="6:6">
      <c r="F26334" s="2423"/>
    </row>
    <row r="26335" s="101" customFormat="1" spans="6:6">
      <c r="F26335" s="2423"/>
    </row>
    <row r="26336" s="101" customFormat="1" spans="6:6">
      <c r="F26336" s="2423"/>
    </row>
    <row r="26337" s="101" customFormat="1" spans="6:6">
      <c r="F26337" s="2423"/>
    </row>
    <row r="26338" s="101" customFormat="1" spans="6:6">
      <c r="F26338" s="2423"/>
    </row>
    <row r="26339" s="101" customFormat="1" spans="6:6">
      <c r="F26339" s="2423"/>
    </row>
    <row r="26340" s="101" customFormat="1" spans="6:6">
      <c r="F26340" s="2423"/>
    </row>
    <row r="26341" s="101" customFormat="1" spans="6:6">
      <c r="F26341" s="2423"/>
    </row>
    <row r="26342" s="101" customFormat="1" spans="6:6">
      <c r="F26342" s="2423"/>
    </row>
    <row r="26343" s="101" customFormat="1" spans="6:6">
      <c r="F26343" s="2423"/>
    </row>
    <row r="26344" s="101" customFormat="1" spans="6:6">
      <c r="F26344" s="2423"/>
    </row>
    <row r="26345" s="101" customFormat="1" spans="6:6">
      <c r="F26345" s="2423"/>
    </row>
    <row r="26346" s="101" customFormat="1" spans="6:6">
      <c r="F26346" s="2423"/>
    </row>
    <row r="26347" s="101" customFormat="1" spans="6:6">
      <c r="F26347" s="2423"/>
    </row>
    <row r="26348" s="101" customFormat="1" spans="6:6">
      <c r="F26348" s="2423"/>
    </row>
    <row r="26349" s="101" customFormat="1" spans="6:6">
      <c r="F26349" s="2423"/>
    </row>
    <row r="26350" s="101" customFormat="1" spans="6:6">
      <c r="F26350" s="2423"/>
    </row>
    <row r="26351" s="101" customFormat="1" spans="6:6">
      <c r="F26351" s="2423"/>
    </row>
    <row r="26352" s="101" customFormat="1" spans="6:6">
      <c r="F26352" s="2423"/>
    </row>
    <row r="26353" s="101" customFormat="1" spans="6:6">
      <c r="F26353" s="2423"/>
    </row>
    <row r="26354" s="101" customFormat="1" spans="6:6">
      <c r="F26354" s="2423"/>
    </row>
    <row r="26355" s="101" customFormat="1" spans="6:6">
      <c r="F26355" s="2423"/>
    </row>
    <row r="26356" s="101" customFormat="1" spans="6:6">
      <c r="F26356" s="2423"/>
    </row>
    <row r="26357" s="101" customFormat="1" spans="6:6">
      <c r="F26357" s="2423"/>
    </row>
    <row r="26358" s="101" customFormat="1" spans="6:6">
      <c r="F26358" s="2423"/>
    </row>
    <row r="26359" s="101" customFormat="1" spans="6:6">
      <c r="F26359" s="2423"/>
    </row>
    <row r="26360" s="101" customFormat="1" spans="6:6">
      <c r="F26360" s="2423"/>
    </row>
    <row r="26361" s="101" customFormat="1" spans="6:6">
      <c r="F26361" s="2423"/>
    </row>
    <row r="26362" s="101" customFormat="1" spans="6:6">
      <c r="F26362" s="2423"/>
    </row>
    <row r="26363" s="101" customFormat="1" spans="6:6">
      <c r="F26363" s="2423"/>
    </row>
    <row r="26364" s="101" customFormat="1" spans="6:6">
      <c r="F26364" s="2423"/>
    </row>
    <row r="26365" s="101" customFormat="1" spans="6:6">
      <c r="F26365" s="2423"/>
    </row>
    <row r="26366" s="101" customFormat="1" spans="6:6">
      <c r="F26366" s="2423"/>
    </row>
    <row r="26367" s="101" customFormat="1" spans="6:6">
      <c r="F26367" s="2423"/>
    </row>
    <row r="26368" s="101" customFormat="1" spans="6:6">
      <c r="F26368" s="2423"/>
    </row>
    <row r="26369" s="101" customFormat="1" spans="6:6">
      <c r="F26369" s="2423"/>
    </row>
    <row r="26370" s="101" customFormat="1" spans="6:6">
      <c r="F26370" s="2423"/>
    </row>
    <row r="26371" s="101" customFormat="1" spans="6:6">
      <c r="F26371" s="2423"/>
    </row>
    <row r="26372" s="101" customFormat="1" spans="6:6">
      <c r="F26372" s="2423"/>
    </row>
    <row r="26373" s="101" customFormat="1" spans="6:6">
      <c r="F26373" s="2423"/>
    </row>
    <row r="26374" s="101" customFormat="1" spans="6:6">
      <c r="F26374" s="2423"/>
    </row>
    <row r="26375" s="101" customFormat="1" spans="6:6">
      <c r="F26375" s="2423"/>
    </row>
    <row r="26376" s="101" customFormat="1" spans="6:6">
      <c r="F26376" s="2423"/>
    </row>
    <row r="26377" s="101" customFormat="1" spans="6:6">
      <c r="F26377" s="2423"/>
    </row>
    <row r="26378" s="101" customFormat="1" spans="6:6">
      <c r="F26378" s="2423"/>
    </row>
    <row r="26379" s="101" customFormat="1" spans="6:6">
      <c r="F26379" s="2423"/>
    </row>
    <row r="26380" s="101" customFormat="1" spans="6:6">
      <c r="F26380" s="2423"/>
    </row>
    <row r="26381" s="101" customFormat="1" spans="6:6">
      <c r="F26381" s="2423"/>
    </row>
    <row r="26382" s="101" customFormat="1" spans="6:6">
      <c r="F26382" s="2423"/>
    </row>
    <row r="26383" s="101" customFormat="1" spans="6:6">
      <c r="F26383" s="2423"/>
    </row>
    <row r="26384" s="101" customFormat="1" spans="6:6">
      <c r="F26384" s="2423"/>
    </row>
    <row r="26385" s="101" customFormat="1" spans="6:6">
      <c r="F26385" s="2423"/>
    </row>
    <row r="26386" s="101" customFormat="1" spans="6:6">
      <c r="F26386" s="2423"/>
    </row>
    <row r="26387" s="101" customFormat="1" spans="6:6">
      <c r="F26387" s="2423"/>
    </row>
    <row r="26388" s="101" customFormat="1" spans="6:6">
      <c r="F26388" s="2423"/>
    </row>
    <row r="26389" s="101" customFormat="1" spans="6:6">
      <c r="F26389" s="2423"/>
    </row>
    <row r="26390" s="101" customFormat="1" spans="6:6">
      <c r="F26390" s="2423"/>
    </row>
    <row r="26391" s="101" customFormat="1" spans="6:6">
      <c r="F26391" s="2423"/>
    </row>
    <row r="26392" s="101" customFormat="1" spans="6:6">
      <c r="F26392" s="2423"/>
    </row>
    <row r="26393" s="101" customFormat="1" spans="6:6">
      <c r="F26393" s="2423"/>
    </row>
    <row r="26394" s="101" customFormat="1" spans="6:6">
      <c r="F26394" s="2423"/>
    </row>
    <row r="26395" s="101" customFormat="1" spans="6:6">
      <c r="F26395" s="2423"/>
    </row>
    <row r="26396" s="101" customFormat="1" spans="6:6">
      <c r="F26396" s="2423"/>
    </row>
    <row r="26397" s="101" customFormat="1" spans="6:6">
      <c r="F26397" s="2423"/>
    </row>
    <row r="26398" s="101" customFormat="1" spans="6:6">
      <c r="F26398" s="2423"/>
    </row>
    <row r="26399" s="101" customFormat="1" spans="6:6">
      <c r="F26399" s="2423"/>
    </row>
    <row r="26400" s="101" customFormat="1" spans="6:6">
      <c r="F26400" s="2423"/>
    </row>
    <row r="26401" s="101" customFormat="1" spans="6:6">
      <c r="F26401" s="2423"/>
    </row>
    <row r="26402" s="101" customFormat="1" spans="6:6">
      <c r="F26402" s="2423"/>
    </row>
    <row r="26403" s="101" customFormat="1" spans="6:6">
      <c r="F26403" s="2423"/>
    </row>
    <row r="26404" s="101" customFormat="1" spans="6:6">
      <c r="F26404" s="2423"/>
    </row>
    <row r="26405" s="101" customFormat="1" spans="6:6">
      <c r="F26405" s="2423"/>
    </row>
    <row r="26406" s="101" customFormat="1" spans="6:6">
      <c r="F26406" s="2423"/>
    </row>
    <row r="26407" s="101" customFormat="1" spans="6:6">
      <c r="F26407" s="2423"/>
    </row>
    <row r="26408" s="101" customFormat="1" spans="6:6">
      <c r="F26408" s="2423"/>
    </row>
    <row r="26409" s="101" customFormat="1" spans="6:6">
      <c r="F26409" s="2423"/>
    </row>
    <row r="26410" s="101" customFormat="1" spans="6:6">
      <c r="F26410" s="2423"/>
    </row>
    <row r="26411" s="101" customFormat="1" spans="6:6">
      <c r="F26411" s="2423"/>
    </row>
    <row r="26412" s="101" customFormat="1" spans="6:6">
      <c r="F26412" s="2423"/>
    </row>
    <row r="26413" s="101" customFormat="1" spans="6:6">
      <c r="F26413" s="2423"/>
    </row>
    <row r="26414" s="101" customFormat="1" spans="6:6">
      <c r="F26414" s="2423"/>
    </row>
    <row r="26415" s="101" customFormat="1" spans="6:6">
      <c r="F26415" s="2423"/>
    </row>
    <row r="26416" s="101" customFormat="1" spans="6:6">
      <c r="F26416" s="2423"/>
    </row>
    <row r="26417" s="101" customFormat="1" spans="6:6">
      <c r="F26417" s="2423"/>
    </row>
    <row r="26418" s="101" customFormat="1" spans="6:6">
      <c r="F26418" s="2423"/>
    </row>
    <row r="26419" s="101" customFormat="1" spans="6:6">
      <c r="F26419" s="2423"/>
    </row>
    <row r="26420" s="101" customFormat="1" spans="6:6">
      <c r="F26420" s="2423"/>
    </row>
    <row r="26421" s="101" customFormat="1" spans="6:6">
      <c r="F26421" s="2423"/>
    </row>
    <row r="26422" s="101" customFormat="1" spans="6:6">
      <c r="F26422" s="2423"/>
    </row>
    <row r="26423" s="101" customFormat="1" spans="6:6">
      <c r="F26423" s="2423"/>
    </row>
    <row r="26424" s="101" customFormat="1" spans="6:6">
      <c r="F26424" s="2423"/>
    </row>
    <row r="26425" s="101" customFormat="1" spans="6:6">
      <c r="F26425" s="2423"/>
    </row>
    <row r="26426" s="101" customFormat="1" spans="6:6">
      <c r="F26426" s="2423"/>
    </row>
    <row r="26427" s="101" customFormat="1" spans="6:6">
      <c r="F26427" s="2423"/>
    </row>
    <row r="26428" s="101" customFormat="1" spans="6:6">
      <c r="F26428" s="2423"/>
    </row>
    <row r="26429" s="101" customFormat="1" spans="6:6">
      <c r="F26429" s="2423"/>
    </row>
    <row r="26430" s="101" customFormat="1" spans="6:6">
      <c r="F26430" s="2423"/>
    </row>
    <row r="26431" s="101" customFormat="1" spans="6:6">
      <c r="F26431" s="2423"/>
    </row>
    <row r="26432" s="101" customFormat="1" spans="6:6">
      <c r="F26432" s="2423"/>
    </row>
    <row r="26433" s="101" customFormat="1" spans="6:6">
      <c r="F26433" s="2423"/>
    </row>
    <row r="26434" s="101" customFormat="1" spans="6:6">
      <c r="F26434" s="2423"/>
    </row>
    <row r="26435" s="101" customFormat="1" spans="6:6">
      <c r="F26435" s="2423"/>
    </row>
    <row r="26436" s="101" customFormat="1" spans="6:6">
      <c r="F26436" s="2423"/>
    </row>
    <row r="26437" s="101" customFormat="1" spans="6:6">
      <c r="F26437" s="2423"/>
    </row>
    <row r="26438" s="101" customFormat="1" spans="6:6">
      <c r="F26438" s="2423"/>
    </row>
    <row r="26439" s="101" customFormat="1" spans="6:6">
      <c r="F26439" s="2423"/>
    </row>
    <row r="26440" s="101" customFormat="1" spans="6:6">
      <c r="F26440" s="2423"/>
    </row>
    <row r="26441" s="101" customFormat="1" spans="6:6">
      <c r="F26441" s="2423"/>
    </row>
    <row r="26442" s="101" customFormat="1" spans="6:6">
      <c r="F26442" s="2423"/>
    </row>
    <row r="26443" s="101" customFormat="1" spans="6:6">
      <c r="F26443" s="2423"/>
    </row>
    <row r="26444" s="101" customFormat="1" spans="6:6">
      <c r="F26444" s="2423"/>
    </row>
    <row r="26445" s="101" customFormat="1" spans="6:6">
      <c r="F26445" s="2423"/>
    </row>
    <row r="26446" s="101" customFormat="1" spans="6:6">
      <c r="F26446" s="2423"/>
    </row>
    <row r="26447" s="101" customFormat="1" spans="6:6">
      <c r="F26447" s="2423"/>
    </row>
    <row r="26448" s="101" customFormat="1" spans="6:6">
      <c r="F26448" s="2423"/>
    </row>
    <row r="26449" s="101" customFormat="1" spans="6:6">
      <c r="F26449" s="2423"/>
    </row>
    <row r="26450" s="101" customFormat="1" spans="6:6">
      <c r="F26450" s="2423"/>
    </row>
    <row r="26451" s="101" customFormat="1" spans="6:6">
      <c r="F26451" s="2423"/>
    </row>
    <row r="26452" s="101" customFormat="1" spans="6:6">
      <c r="F26452" s="2423"/>
    </row>
    <row r="26453" s="101" customFormat="1" spans="6:6">
      <c r="F26453" s="2423"/>
    </row>
    <row r="26454" s="101" customFormat="1" spans="6:6">
      <c r="F26454" s="2423"/>
    </row>
    <row r="26455" s="101" customFormat="1" spans="6:6">
      <c r="F26455" s="2423"/>
    </row>
    <row r="26456" s="101" customFormat="1" spans="6:6">
      <c r="F26456" s="2423"/>
    </row>
    <row r="26457" s="101" customFormat="1" spans="6:6">
      <c r="F26457" s="2423"/>
    </row>
    <row r="26458" s="101" customFormat="1" spans="6:6">
      <c r="F26458" s="2423"/>
    </row>
    <row r="26459" s="101" customFormat="1" spans="6:6">
      <c r="F26459" s="2423"/>
    </row>
    <row r="26460" s="101" customFormat="1" spans="6:6">
      <c r="F26460" s="2423"/>
    </row>
    <row r="26461" s="101" customFormat="1" spans="6:6">
      <c r="F26461" s="2423"/>
    </row>
    <row r="26462" s="101" customFormat="1" spans="6:6">
      <c r="F26462" s="2423"/>
    </row>
    <row r="26463" s="101" customFormat="1" spans="6:6">
      <c r="F26463" s="2423"/>
    </row>
    <row r="26464" s="101" customFormat="1" spans="6:6">
      <c r="F26464" s="2423"/>
    </row>
    <row r="26465" s="101" customFormat="1" spans="6:6">
      <c r="F26465" s="2423"/>
    </row>
    <row r="26466" s="101" customFormat="1" spans="6:6">
      <c r="F26466" s="2423"/>
    </row>
    <row r="26467" s="101" customFormat="1" spans="6:6">
      <c r="F26467" s="2423"/>
    </row>
    <row r="26468" s="101" customFormat="1" spans="6:6">
      <c r="F26468" s="2423"/>
    </row>
    <row r="26469" s="101" customFormat="1" spans="6:6">
      <c r="F26469" s="2423"/>
    </row>
    <row r="26470" s="101" customFormat="1" spans="6:6">
      <c r="F26470" s="2423"/>
    </row>
    <row r="26471" s="101" customFormat="1" spans="6:6">
      <c r="F26471" s="2423"/>
    </row>
    <row r="26472" s="101" customFormat="1" spans="6:6">
      <c r="F26472" s="2423"/>
    </row>
    <row r="26473" s="101" customFormat="1" spans="6:6">
      <c r="F26473" s="2423"/>
    </row>
    <row r="26474" s="101" customFormat="1" spans="6:6">
      <c r="F26474" s="2423"/>
    </row>
    <row r="26475" s="101" customFormat="1" spans="6:6">
      <c r="F26475" s="2423"/>
    </row>
    <row r="26476" s="101" customFormat="1" spans="6:6">
      <c r="F26476" s="2423"/>
    </row>
    <row r="26477" s="101" customFormat="1" spans="6:6">
      <c r="F26477" s="2423"/>
    </row>
    <row r="26478" s="101" customFormat="1" spans="6:6">
      <c r="F26478" s="2423"/>
    </row>
    <row r="26479" s="101" customFormat="1" spans="6:6">
      <c r="F26479" s="2423"/>
    </row>
    <row r="26480" s="101" customFormat="1" spans="6:6">
      <c r="F26480" s="2423"/>
    </row>
    <row r="26481" s="101" customFormat="1" spans="6:6">
      <c r="F26481" s="2423"/>
    </row>
    <row r="26482" s="101" customFormat="1" spans="6:6">
      <c r="F26482" s="2423"/>
    </row>
    <row r="26483" s="101" customFormat="1" spans="6:6">
      <c r="F26483" s="2423"/>
    </row>
    <row r="26484" s="101" customFormat="1" spans="6:6">
      <c r="F26484" s="2423"/>
    </row>
    <row r="26485" s="101" customFormat="1" spans="6:6">
      <c r="F26485" s="2423"/>
    </row>
    <row r="26486" s="101" customFormat="1" spans="6:6">
      <c r="F26486" s="2423"/>
    </row>
    <row r="26487" s="101" customFormat="1" spans="6:6">
      <c r="F26487" s="2423"/>
    </row>
    <row r="26488" s="101" customFormat="1" spans="6:6">
      <c r="F26488" s="2423"/>
    </row>
    <row r="26489" s="101" customFormat="1" spans="6:6">
      <c r="F26489" s="2423"/>
    </row>
    <row r="26490" s="101" customFormat="1" spans="6:6">
      <c r="F26490" s="2423"/>
    </row>
    <row r="26491" s="101" customFormat="1" spans="6:6">
      <c r="F26491" s="2423"/>
    </row>
    <row r="26492" s="101" customFormat="1" spans="6:6">
      <c r="F26492" s="2423"/>
    </row>
    <row r="26493" s="101" customFormat="1" spans="6:6">
      <c r="F26493" s="2423"/>
    </row>
    <row r="26494" s="101" customFormat="1" spans="6:6">
      <c r="F26494" s="2423"/>
    </row>
    <row r="26495" s="101" customFormat="1" spans="6:6">
      <c r="F26495" s="2423"/>
    </row>
    <row r="26496" s="101" customFormat="1" spans="6:6">
      <c r="F26496" s="2423"/>
    </row>
    <row r="26497" s="101" customFormat="1" spans="6:6">
      <c r="F26497" s="2423"/>
    </row>
    <row r="26498" s="101" customFormat="1" spans="6:6">
      <c r="F26498" s="2423"/>
    </row>
    <row r="26499" s="101" customFormat="1" spans="6:6">
      <c r="F26499" s="2423"/>
    </row>
    <row r="26500" s="101" customFormat="1" spans="6:6">
      <c r="F26500" s="2423"/>
    </row>
    <row r="26501" s="101" customFormat="1" spans="6:6">
      <c r="F26501" s="2423"/>
    </row>
    <row r="26502" s="101" customFormat="1" spans="6:6">
      <c r="F26502" s="2423"/>
    </row>
    <row r="26503" s="101" customFormat="1" spans="6:6">
      <c r="F26503" s="2423"/>
    </row>
    <row r="26504" s="101" customFormat="1" spans="6:6">
      <c r="F26504" s="2423"/>
    </row>
    <row r="26505" s="101" customFormat="1" spans="6:6">
      <c r="F26505" s="2423"/>
    </row>
    <row r="26506" s="101" customFormat="1" spans="6:6">
      <c r="F26506" s="2423"/>
    </row>
    <row r="26507" s="101" customFormat="1" spans="6:6">
      <c r="F26507" s="2423"/>
    </row>
    <row r="26508" s="101" customFormat="1" spans="6:6">
      <c r="F26508" s="2423"/>
    </row>
    <row r="26509" s="101" customFormat="1" spans="6:6">
      <c r="F26509" s="2423"/>
    </row>
    <row r="26510" s="101" customFormat="1" spans="6:6">
      <c r="F26510" s="2423"/>
    </row>
    <row r="26511" s="101" customFormat="1" spans="6:6">
      <c r="F26511" s="2423"/>
    </row>
    <row r="26512" s="101" customFormat="1" spans="6:6">
      <c r="F26512" s="2423"/>
    </row>
    <row r="26513" s="101" customFormat="1" spans="6:6">
      <c r="F26513" s="2423"/>
    </row>
    <row r="26514" s="101" customFormat="1" spans="6:6">
      <c r="F26514" s="2423"/>
    </row>
    <row r="26515" s="101" customFormat="1" spans="6:6">
      <c r="F26515" s="2423"/>
    </row>
    <row r="26516" s="101" customFormat="1" spans="6:6">
      <c r="F26516" s="2423"/>
    </row>
    <row r="26517" s="101" customFormat="1" spans="6:6">
      <c r="F26517" s="2423"/>
    </row>
    <row r="26518" s="101" customFormat="1" spans="6:6">
      <c r="F26518" s="2423"/>
    </row>
    <row r="26519" s="101" customFormat="1" spans="6:6">
      <c r="F26519" s="2423"/>
    </row>
    <row r="26520" s="101" customFormat="1" spans="6:6">
      <c r="F26520" s="2423"/>
    </row>
    <row r="26521" s="101" customFormat="1" spans="6:6">
      <c r="F26521" s="2423"/>
    </row>
    <row r="26522" s="101" customFormat="1" spans="6:6">
      <c r="F26522" s="2423"/>
    </row>
    <row r="26523" s="101" customFormat="1" spans="6:6">
      <c r="F26523" s="2423"/>
    </row>
    <row r="26524" s="101" customFormat="1" spans="6:6">
      <c r="F26524" s="2423"/>
    </row>
    <row r="26525" s="101" customFormat="1" spans="6:6">
      <c r="F26525" s="2423"/>
    </row>
    <row r="26526" s="101" customFormat="1" spans="6:6">
      <c r="F26526" s="2423"/>
    </row>
    <row r="26527" s="101" customFormat="1" spans="6:6">
      <c r="F26527" s="2423"/>
    </row>
    <row r="26528" s="101" customFormat="1" spans="6:6">
      <c r="F26528" s="2423"/>
    </row>
    <row r="26529" s="101" customFormat="1" spans="6:6">
      <c r="F26529" s="2423"/>
    </row>
    <row r="26530" s="101" customFormat="1" spans="6:6">
      <c r="F26530" s="2423"/>
    </row>
    <row r="26531" s="101" customFormat="1" spans="6:6">
      <c r="F26531" s="2423"/>
    </row>
    <row r="26532" s="101" customFormat="1" spans="6:6">
      <c r="F26532" s="2423"/>
    </row>
    <row r="26533" s="101" customFormat="1" spans="6:6">
      <c r="F26533" s="2423"/>
    </row>
    <row r="26534" s="101" customFormat="1" spans="6:6">
      <c r="F26534" s="2423"/>
    </row>
    <row r="26535" s="101" customFormat="1" spans="6:6">
      <c r="F26535" s="2423"/>
    </row>
    <row r="26536" s="101" customFormat="1" spans="6:6">
      <c r="F26536" s="2423"/>
    </row>
    <row r="26537" s="101" customFormat="1" spans="6:6">
      <c r="F26537" s="2423"/>
    </row>
    <row r="26538" s="101" customFormat="1" spans="6:6">
      <c r="F26538" s="2423"/>
    </row>
    <row r="26539" s="101" customFormat="1" spans="6:6">
      <c r="F26539" s="2423"/>
    </row>
    <row r="26540" s="101" customFormat="1" spans="6:6">
      <c r="F26540" s="2423"/>
    </row>
    <row r="26541" s="101" customFormat="1" spans="6:6">
      <c r="F26541" s="2423"/>
    </row>
    <row r="26542" s="101" customFormat="1" spans="6:6">
      <c r="F26542" s="2423"/>
    </row>
    <row r="26543" s="101" customFormat="1" spans="6:6">
      <c r="F26543" s="2423"/>
    </row>
    <row r="26544" s="101" customFormat="1" spans="6:6">
      <c r="F26544" s="2423"/>
    </row>
    <row r="26545" s="101" customFormat="1" spans="6:6">
      <c r="F26545" s="2423"/>
    </row>
    <row r="26546" s="101" customFormat="1" spans="6:6">
      <c r="F26546" s="2423"/>
    </row>
    <row r="26547" s="101" customFormat="1" spans="6:6">
      <c r="F26547" s="2423"/>
    </row>
    <row r="26548" s="101" customFormat="1" spans="6:6">
      <c r="F26548" s="2423"/>
    </row>
    <row r="26549" s="101" customFormat="1" spans="6:6">
      <c r="F26549" s="2423"/>
    </row>
    <row r="26550" s="101" customFormat="1" spans="6:6">
      <c r="F26550" s="2423"/>
    </row>
    <row r="26551" s="101" customFormat="1" spans="6:6">
      <c r="F26551" s="2423"/>
    </row>
    <row r="26552" s="101" customFormat="1" spans="6:6">
      <c r="F26552" s="2423"/>
    </row>
    <row r="26553" s="101" customFormat="1" spans="6:6">
      <c r="F26553" s="2423"/>
    </row>
    <row r="26554" s="101" customFormat="1" spans="6:6">
      <c r="F26554" s="2423"/>
    </row>
    <row r="26555" s="101" customFormat="1" spans="6:6">
      <c r="F26555" s="2423"/>
    </row>
    <row r="26556" s="101" customFormat="1" spans="6:6">
      <c r="F26556" s="2423"/>
    </row>
    <row r="26557" s="101" customFormat="1" spans="6:6">
      <c r="F26557" s="2423"/>
    </row>
    <row r="26558" s="101" customFormat="1" spans="6:6">
      <c r="F26558" s="2423"/>
    </row>
    <row r="26559" s="101" customFormat="1" spans="6:6">
      <c r="F26559" s="2423"/>
    </row>
    <row r="26560" s="101" customFormat="1" spans="6:6">
      <c r="F26560" s="2423"/>
    </row>
    <row r="26561" s="101" customFormat="1" spans="6:6">
      <c r="F26561" s="2423"/>
    </row>
    <row r="26562" s="101" customFormat="1" spans="6:6">
      <c r="F26562" s="2423"/>
    </row>
    <row r="26563" s="101" customFormat="1" spans="6:6">
      <c r="F26563" s="2423"/>
    </row>
    <row r="26564" s="101" customFormat="1" spans="6:6">
      <c r="F26564" s="2423"/>
    </row>
    <row r="26565" s="101" customFormat="1" spans="6:6">
      <c r="F26565" s="2423"/>
    </row>
    <row r="26566" s="101" customFormat="1" spans="6:6">
      <c r="F26566" s="2423"/>
    </row>
    <row r="26567" s="101" customFormat="1" spans="6:6">
      <c r="F26567" s="2423"/>
    </row>
    <row r="26568" s="101" customFormat="1" spans="6:6">
      <c r="F26568" s="2423"/>
    </row>
    <row r="26569" s="101" customFormat="1" spans="6:6">
      <c r="F26569" s="2423"/>
    </row>
    <row r="26570" s="101" customFormat="1" spans="6:6">
      <c r="F26570" s="2423"/>
    </row>
    <row r="26571" s="101" customFormat="1" spans="6:6">
      <c r="F26571" s="2423"/>
    </row>
    <row r="26572" s="101" customFormat="1" spans="6:6">
      <c r="F26572" s="2423"/>
    </row>
    <row r="26573" s="101" customFormat="1" spans="6:6">
      <c r="F26573" s="2423"/>
    </row>
    <row r="26574" s="101" customFormat="1" spans="6:6">
      <c r="F26574" s="2423"/>
    </row>
    <row r="26575" s="101" customFormat="1" spans="6:6">
      <c r="F26575" s="2423"/>
    </row>
    <row r="26576" s="101" customFormat="1" spans="6:6">
      <c r="F26576" s="2423"/>
    </row>
    <row r="26577" s="101" customFormat="1" spans="6:6">
      <c r="F26577" s="2423"/>
    </row>
    <row r="26578" s="101" customFormat="1" spans="6:6">
      <c r="F26578" s="2423"/>
    </row>
    <row r="26579" s="101" customFormat="1" spans="6:6">
      <c r="F26579" s="2423"/>
    </row>
    <row r="26580" s="101" customFormat="1" spans="6:6">
      <c r="F26580" s="2423"/>
    </row>
    <row r="26581" s="101" customFormat="1" spans="6:6">
      <c r="F26581" s="2423"/>
    </row>
    <row r="26582" s="101" customFormat="1" spans="6:6">
      <c r="F26582" s="2423"/>
    </row>
    <row r="26583" s="101" customFormat="1" spans="6:6">
      <c r="F26583" s="2423"/>
    </row>
    <row r="26584" s="101" customFormat="1" spans="6:6">
      <c r="F26584" s="2423"/>
    </row>
    <row r="26585" s="101" customFormat="1" spans="6:6">
      <c r="F26585" s="2423"/>
    </row>
    <row r="26586" s="101" customFormat="1" spans="6:6">
      <c r="F26586" s="2423"/>
    </row>
    <row r="26587" s="101" customFormat="1" spans="6:6">
      <c r="F26587" s="2423"/>
    </row>
    <row r="26588" s="101" customFormat="1" spans="6:6">
      <c r="F26588" s="2423"/>
    </row>
    <row r="26589" s="101" customFormat="1" spans="6:6">
      <c r="F26589" s="2423"/>
    </row>
    <row r="26590" s="101" customFormat="1" spans="6:6">
      <c r="F26590" s="2423"/>
    </row>
    <row r="26591" s="101" customFormat="1" spans="6:6">
      <c r="F26591" s="2423"/>
    </row>
    <row r="26592" s="101" customFormat="1" spans="6:6">
      <c r="F26592" s="2423"/>
    </row>
    <row r="26593" s="101" customFormat="1" spans="6:6">
      <c r="F26593" s="2423"/>
    </row>
    <row r="26594" s="101" customFormat="1" spans="6:6">
      <c r="F26594" s="2423"/>
    </row>
    <row r="26595" s="101" customFormat="1" spans="6:6">
      <c r="F26595" s="2423"/>
    </row>
    <row r="26596" s="101" customFormat="1" spans="6:6">
      <c r="F26596" s="2423"/>
    </row>
    <row r="26597" s="101" customFormat="1" spans="6:6">
      <c r="F26597" s="2423"/>
    </row>
    <row r="26598" s="101" customFormat="1" spans="6:6">
      <c r="F26598" s="2423"/>
    </row>
    <row r="26599" s="101" customFormat="1" spans="6:6">
      <c r="F26599" s="2423"/>
    </row>
    <row r="26600" s="101" customFormat="1" spans="6:6">
      <c r="F26600" s="2423"/>
    </row>
    <row r="26601" s="101" customFormat="1" spans="6:6">
      <c r="F26601" s="2423"/>
    </row>
    <row r="26602" s="101" customFormat="1" spans="6:6">
      <c r="F26602" s="2423"/>
    </row>
    <row r="26603" s="101" customFormat="1" spans="6:6">
      <c r="F26603" s="2423"/>
    </row>
    <row r="26604" s="101" customFormat="1" spans="6:6">
      <c r="F26604" s="2423"/>
    </row>
    <row r="26605" s="101" customFormat="1" spans="6:6">
      <c r="F26605" s="2423"/>
    </row>
    <row r="26606" s="101" customFormat="1" spans="6:6">
      <c r="F26606" s="2423"/>
    </row>
    <row r="26607" s="101" customFormat="1" spans="6:6">
      <c r="F26607" s="2423"/>
    </row>
    <row r="26608" s="101" customFormat="1" spans="6:6">
      <c r="F26608" s="2423"/>
    </row>
    <row r="26609" s="101" customFormat="1" spans="6:6">
      <c r="F26609" s="2423"/>
    </row>
    <row r="26610" s="101" customFormat="1" spans="6:6">
      <c r="F26610" s="2423"/>
    </row>
    <row r="26611" s="101" customFormat="1" spans="6:6">
      <c r="F26611" s="2423"/>
    </row>
    <row r="26612" s="101" customFormat="1" spans="6:6">
      <c r="F26612" s="2423"/>
    </row>
    <row r="26613" s="101" customFormat="1" spans="6:6">
      <c r="F26613" s="2423"/>
    </row>
    <row r="26614" s="101" customFormat="1" spans="6:6">
      <c r="F26614" s="2423"/>
    </row>
    <row r="26615" s="101" customFormat="1" spans="6:6">
      <c r="F26615" s="2423"/>
    </row>
    <row r="26616" s="101" customFormat="1" spans="6:6">
      <c r="F26616" s="2423"/>
    </row>
    <row r="26617" s="101" customFormat="1" spans="6:6">
      <c r="F26617" s="2423"/>
    </row>
    <row r="26618" s="101" customFormat="1" spans="6:6">
      <c r="F26618" s="2423"/>
    </row>
    <row r="26619" s="101" customFormat="1" spans="6:6">
      <c r="F26619" s="2423"/>
    </row>
    <row r="26620" s="101" customFormat="1" spans="6:6">
      <c r="F26620" s="2423"/>
    </row>
    <row r="26621" s="101" customFormat="1" spans="6:6">
      <c r="F26621" s="2423"/>
    </row>
    <row r="26622" s="101" customFormat="1" spans="6:6">
      <c r="F26622" s="2423"/>
    </row>
    <row r="26623" s="101" customFormat="1" spans="6:6">
      <c r="F26623" s="2423"/>
    </row>
    <row r="26624" s="101" customFormat="1" spans="6:6">
      <c r="F26624" s="2423"/>
    </row>
    <row r="26625" s="101" customFormat="1" spans="6:6">
      <c r="F26625" s="2423"/>
    </row>
    <row r="26626" s="101" customFormat="1" spans="6:6">
      <c r="F26626" s="2423"/>
    </row>
    <row r="26627" s="101" customFormat="1" spans="6:6">
      <c r="F26627" s="2423"/>
    </row>
    <row r="26628" s="101" customFormat="1" spans="6:6">
      <c r="F26628" s="2423"/>
    </row>
    <row r="26629" s="101" customFormat="1" spans="6:6">
      <c r="F26629" s="2423"/>
    </row>
    <row r="26630" s="101" customFormat="1" spans="6:6">
      <c r="F26630" s="2423"/>
    </row>
    <row r="26631" s="101" customFormat="1" spans="6:6">
      <c r="F26631" s="2423"/>
    </row>
    <row r="26632" s="101" customFormat="1" spans="6:6">
      <c r="F26632" s="2423"/>
    </row>
    <row r="26633" s="101" customFormat="1" spans="6:6">
      <c r="F26633" s="2423"/>
    </row>
    <row r="26634" s="101" customFormat="1" spans="6:6">
      <c r="F26634" s="2423"/>
    </row>
    <row r="26635" s="101" customFormat="1" spans="6:6">
      <c r="F26635" s="2423"/>
    </row>
    <row r="26636" s="101" customFormat="1" spans="6:6">
      <c r="F26636" s="2423"/>
    </row>
    <row r="26637" s="101" customFormat="1" spans="6:6">
      <c r="F26637" s="2423"/>
    </row>
    <row r="26638" s="101" customFormat="1" spans="6:6">
      <c r="F26638" s="2423"/>
    </row>
    <row r="26639" s="101" customFormat="1" spans="6:6">
      <c r="F26639" s="2423"/>
    </row>
    <row r="26640" s="101" customFormat="1" spans="6:6">
      <c r="F26640" s="2423"/>
    </row>
    <row r="26641" s="101" customFormat="1" spans="6:6">
      <c r="F26641" s="2423"/>
    </row>
    <row r="26642" s="101" customFormat="1" spans="6:6">
      <c r="F26642" s="2423"/>
    </row>
    <row r="26643" s="101" customFormat="1" spans="6:6">
      <c r="F26643" s="2423"/>
    </row>
    <row r="26644" s="101" customFormat="1" spans="6:6">
      <c r="F26644" s="2423"/>
    </row>
    <row r="26645" s="101" customFormat="1" spans="6:6">
      <c r="F26645" s="2423"/>
    </row>
    <row r="26646" s="101" customFormat="1" spans="6:6">
      <c r="F26646" s="2423"/>
    </row>
    <row r="26647" s="101" customFormat="1" spans="6:6">
      <c r="F26647" s="2423"/>
    </row>
    <row r="26648" s="101" customFormat="1" spans="6:6">
      <c r="F26648" s="2423"/>
    </row>
    <row r="26649" s="101" customFormat="1" spans="6:6">
      <c r="F26649" s="2423"/>
    </row>
    <row r="26650" s="101" customFormat="1" spans="6:6">
      <c r="F26650" s="2423"/>
    </row>
    <row r="26651" s="101" customFormat="1" spans="6:6">
      <c r="F26651" s="2423"/>
    </row>
    <row r="26652" s="101" customFormat="1" spans="6:6">
      <c r="F26652" s="2423"/>
    </row>
    <row r="26653" s="101" customFormat="1" spans="6:6">
      <c r="F26653" s="2423"/>
    </row>
    <row r="26654" s="101" customFormat="1" spans="6:6">
      <c r="F26654" s="2423"/>
    </row>
    <row r="26655" s="101" customFormat="1" spans="6:6">
      <c r="F26655" s="2423"/>
    </row>
    <row r="26656" s="101" customFormat="1" spans="6:6">
      <c r="F26656" s="2423"/>
    </row>
    <row r="26657" s="101" customFormat="1" spans="6:6">
      <c r="F26657" s="2423"/>
    </row>
    <row r="26658" s="101" customFormat="1" spans="6:6">
      <c r="F26658" s="2423"/>
    </row>
    <row r="26659" s="101" customFormat="1" spans="6:6">
      <c r="F26659" s="2423"/>
    </row>
    <row r="26660" s="101" customFormat="1" spans="6:6">
      <c r="F26660" s="2423"/>
    </row>
    <row r="26661" s="101" customFormat="1" spans="6:6">
      <c r="F26661" s="2423"/>
    </row>
    <row r="26662" s="101" customFormat="1" spans="6:6">
      <c r="F26662" s="2423"/>
    </row>
    <row r="26663" s="101" customFormat="1" spans="6:6">
      <c r="F26663" s="2423"/>
    </row>
    <row r="26664" s="101" customFormat="1" spans="6:6">
      <c r="F26664" s="2423"/>
    </row>
    <row r="26665" s="101" customFormat="1" spans="6:6">
      <c r="F26665" s="2423"/>
    </row>
    <row r="26666" s="101" customFormat="1" spans="6:6">
      <c r="F26666" s="2423"/>
    </row>
    <row r="26667" s="101" customFormat="1" spans="6:6">
      <c r="F26667" s="2423"/>
    </row>
    <row r="26668" s="101" customFormat="1" spans="6:6">
      <c r="F26668" s="2423"/>
    </row>
    <row r="26669" s="101" customFormat="1" spans="6:6">
      <c r="F26669" s="2423"/>
    </row>
    <row r="26670" s="101" customFormat="1" spans="6:6">
      <c r="F26670" s="2423"/>
    </row>
    <row r="26671" s="101" customFormat="1" spans="6:6">
      <c r="F26671" s="2423"/>
    </row>
    <row r="26672" s="101" customFormat="1" spans="6:6">
      <c r="F26672" s="2423"/>
    </row>
    <row r="26673" s="101" customFormat="1" spans="6:6">
      <c r="F26673" s="2423"/>
    </row>
    <row r="26674" s="101" customFormat="1" spans="6:6">
      <c r="F26674" s="2423"/>
    </row>
    <row r="26675" s="101" customFormat="1" spans="6:6">
      <c r="F26675" s="2423"/>
    </row>
    <row r="26676" s="101" customFormat="1" spans="6:6">
      <c r="F26676" s="2423"/>
    </row>
    <row r="26677" s="101" customFormat="1" spans="6:6">
      <c r="F26677" s="2423"/>
    </row>
    <row r="26678" s="101" customFormat="1" spans="6:6">
      <c r="F26678" s="2423"/>
    </row>
    <row r="26679" s="101" customFormat="1" spans="6:6">
      <c r="F26679" s="2423"/>
    </row>
    <row r="26680" s="101" customFormat="1" spans="6:6">
      <c r="F26680" s="2423"/>
    </row>
    <row r="26681" s="101" customFormat="1" spans="6:6">
      <c r="F26681" s="2423"/>
    </row>
    <row r="26682" s="101" customFormat="1" spans="6:6">
      <c r="F26682" s="2423"/>
    </row>
    <row r="26683" s="101" customFormat="1" spans="6:6">
      <c r="F26683" s="2423"/>
    </row>
    <row r="26684" s="101" customFormat="1" spans="6:6">
      <c r="F26684" s="2423"/>
    </row>
    <row r="26685" s="101" customFormat="1" spans="6:6">
      <c r="F26685" s="2423"/>
    </row>
    <row r="26686" s="101" customFormat="1" spans="6:6">
      <c r="F26686" s="2423"/>
    </row>
    <row r="26687" s="101" customFormat="1" spans="6:6">
      <c r="F26687" s="2423"/>
    </row>
    <row r="26688" s="101" customFormat="1" spans="6:6">
      <c r="F26688" s="2423"/>
    </row>
    <row r="26689" s="101" customFormat="1" spans="6:6">
      <c r="F26689" s="2423"/>
    </row>
    <row r="26690" s="101" customFormat="1" spans="6:6">
      <c r="F26690" s="2423"/>
    </row>
    <row r="26691" s="101" customFormat="1" spans="6:6">
      <c r="F26691" s="2423"/>
    </row>
    <row r="26692" s="101" customFormat="1" spans="6:6">
      <c r="F26692" s="2423"/>
    </row>
    <row r="26693" s="101" customFormat="1" spans="6:6">
      <c r="F26693" s="2423"/>
    </row>
    <row r="26694" s="101" customFormat="1" spans="6:6">
      <c r="F26694" s="2423"/>
    </row>
    <row r="26695" s="101" customFormat="1" spans="6:6">
      <c r="F26695" s="2423"/>
    </row>
    <row r="26696" s="101" customFormat="1" spans="6:6">
      <c r="F26696" s="2423"/>
    </row>
    <row r="26697" s="101" customFormat="1" spans="6:6">
      <c r="F26697" s="2423"/>
    </row>
    <row r="26698" s="101" customFormat="1" spans="6:6">
      <c r="F26698" s="2423"/>
    </row>
    <row r="26699" s="101" customFormat="1" spans="6:6">
      <c r="F26699" s="2423"/>
    </row>
    <row r="26700" s="101" customFormat="1" spans="6:6">
      <c r="F26700" s="2423"/>
    </row>
    <row r="26701" s="101" customFormat="1" spans="6:6">
      <c r="F26701" s="2423"/>
    </row>
    <row r="26702" s="101" customFormat="1" spans="6:6">
      <c r="F26702" s="2423"/>
    </row>
    <row r="26703" s="101" customFormat="1" spans="6:6">
      <c r="F26703" s="2423"/>
    </row>
    <row r="26704" s="101" customFormat="1" spans="6:6">
      <c r="F26704" s="2423"/>
    </row>
    <row r="26705" s="101" customFormat="1" spans="6:6">
      <c r="F26705" s="2423"/>
    </row>
    <row r="26706" s="101" customFormat="1" spans="6:6">
      <c r="F26706" s="2423"/>
    </row>
    <row r="26707" s="101" customFormat="1" spans="6:6">
      <c r="F26707" s="2423"/>
    </row>
    <row r="26708" s="101" customFormat="1" spans="6:6">
      <c r="F26708" s="2423"/>
    </row>
    <row r="26709" s="101" customFormat="1" spans="6:6">
      <c r="F26709" s="2423"/>
    </row>
    <row r="26710" s="101" customFormat="1" spans="6:6">
      <c r="F26710" s="2423"/>
    </row>
    <row r="26711" s="101" customFormat="1" spans="6:6">
      <c r="F26711" s="2423"/>
    </row>
    <row r="26712" s="101" customFormat="1" spans="6:6">
      <c r="F26712" s="2423"/>
    </row>
    <row r="26713" s="101" customFormat="1" spans="6:6">
      <c r="F26713" s="2423"/>
    </row>
    <row r="26714" s="101" customFormat="1" spans="6:6">
      <c r="F26714" s="2423"/>
    </row>
    <row r="26715" s="101" customFormat="1" spans="6:6">
      <c r="F26715" s="2423"/>
    </row>
    <row r="26716" s="101" customFormat="1" spans="6:6">
      <c r="F26716" s="2423"/>
    </row>
    <row r="26717" s="101" customFormat="1" spans="6:6">
      <c r="F26717" s="2423"/>
    </row>
    <row r="26718" s="101" customFormat="1" spans="6:6">
      <c r="F26718" s="2423"/>
    </row>
    <row r="26719" s="101" customFormat="1" spans="6:6">
      <c r="F26719" s="2423"/>
    </row>
    <row r="26720" s="101" customFormat="1" spans="6:6">
      <c r="F26720" s="2423"/>
    </row>
    <row r="26721" s="101" customFormat="1" spans="6:6">
      <c r="F26721" s="2423"/>
    </row>
    <row r="26722" s="101" customFormat="1" spans="6:6">
      <c r="F26722" s="2423"/>
    </row>
    <row r="26723" s="101" customFormat="1" spans="6:6">
      <c r="F26723" s="2423"/>
    </row>
    <row r="26724" s="101" customFormat="1" spans="6:6">
      <c r="F26724" s="2423"/>
    </row>
    <row r="26725" s="101" customFormat="1" spans="6:6">
      <c r="F26725" s="2423"/>
    </row>
    <row r="26726" s="101" customFormat="1" spans="6:6">
      <c r="F26726" s="2423"/>
    </row>
    <row r="26727" s="101" customFormat="1" spans="6:6">
      <c r="F26727" s="2423"/>
    </row>
    <row r="26728" s="101" customFormat="1" spans="6:6">
      <c r="F26728" s="2423"/>
    </row>
    <row r="26729" s="101" customFormat="1" spans="6:6">
      <c r="F26729" s="2423"/>
    </row>
    <row r="26730" s="101" customFormat="1" spans="6:6">
      <c r="F26730" s="2423"/>
    </row>
    <row r="26731" s="101" customFormat="1" spans="6:6">
      <c r="F26731" s="2423"/>
    </row>
    <row r="26732" s="101" customFormat="1" spans="6:6">
      <c r="F26732" s="2423"/>
    </row>
    <row r="26733" s="101" customFormat="1" spans="6:6">
      <c r="F26733" s="2423"/>
    </row>
    <row r="26734" s="101" customFormat="1" spans="6:6">
      <c r="F26734" s="2423"/>
    </row>
    <row r="26735" s="101" customFormat="1" spans="6:6">
      <c r="F26735" s="2423"/>
    </row>
    <row r="26736" s="101" customFormat="1" spans="6:6">
      <c r="F26736" s="2423"/>
    </row>
    <row r="26737" s="101" customFormat="1" spans="6:6">
      <c r="F26737" s="2423"/>
    </row>
    <row r="26738" s="101" customFormat="1" spans="6:6">
      <c r="F26738" s="2423"/>
    </row>
    <row r="26739" s="101" customFormat="1" spans="6:6">
      <c r="F26739" s="2423"/>
    </row>
    <row r="26740" s="101" customFormat="1" spans="6:6">
      <c r="F26740" s="2423"/>
    </row>
    <row r="26741" s="101" customFormat="1" spans="6:6">
      <c r="F26741" s="2423"/>
    </row>
    <row r="26742" s="101" customFormat="1" spans="6:6">
      <c r="F26742" s="2423"/>
    </row>
    <row r="26743" s="101" customFormat="1" spans="6:6">
      <c r="F26743" s="2423"/>
    </row>
    <row r="26744" s="101" customFormat="1" spans="6:6">
      <c r="F26744" s="2423"/>
    </row>
    <row r="26745" s="101" customFormat="1" spans="6:6">
      <c r="F26745" s="2423"/>
    </row>
    <row r="26746" s="101" customFormat="1" spans="6:6">
      <c r="F26746" s="2423"/>
    </row>
    <row r="26747" s="101" customFormat="1" spans="6:6">
      <c r="F26747" s="2423"/>
    </row>
    <row r="26748" s="101" customFormat="1" spans="6:6">
      <c r="F26748" s="2423"/>
    </row>
    <row r="26749" s="101" customFormat="1" spans="6:6">
      <c r="F26749" s="2423"/>
    </row>
    <row r="26750" s="101" customFormat="1" spans="6:6">
      <c r="F26750" s="2423"/>
    </row>
    <row r="26751" s="101" customFormat="1" spans="6:6">
      <c r="F26751" s="2423"/>
    </row>
    <row r="26752" s="101" customFormat="1" spans="6:6">
      <c r="F26752" s="2423"/>
    </row>
    <row r="26753" s="101" customFormat="1" spans="6:6">
      <c r="F26753" s="2423"/>
    </row>
    <row r="26754" s="101" customFormat="1" spans="6:6">
      <c r="F26754" s="2423"/>
    </row>
    <row r="26755" s="101" customFormat="1" spans="6:6">
      <c r="F26755" s="2423"/>
    </row>
    <row r="26756" s="101" customFormat="1" spans="6:6">
      <c r="F26756" s="2423"/>
    </row>
    <row r="26757" s="101" customFormat="1" spans="6:6">
      <c r="F26757" s="2423"/>
    </row>
    <row r="26758" s="101" customFormat="1" spans="6:6">
      <c r="F26758" s="2423"/>
    </row>
    <row r="26759" s="101" customFormat="1" spans="6:6">
      <c r="F26759" s="2423"/>
    </row>
    <row r="26760" s="101" customFormat="1" spans="6:6">
      <c r="F26760" s="2423"/>
    </row>
    <row r="26761" s="101" customFormat="1" spans="6:6">
      <c r="F26761" s="2423"/>
    </row>
    <row r="26762" s="101" customFormat="1" spans="6:6">
      <c r="F26762" s="2423"/>
    </row>
    <row r="26763" s="101" customFormat="1" spans="6:6">
      <c r="F26763" s="2423"/>
    </row>
    <row r="26764" s="101" customFormat="1" spans="6:6">
      <c r="F26764" s="2423"/>
    </row>
    <row r="26765" s="101" customFormat="1" spans="6:6">
      <c r="F26765" s="2423"/>
    </row>
    <row r="26766" s="101" customFormat="1" spans="6:6">
      <c r="F26766" s="2423"/>
    </row>
    <row r="26767" s="101" customFormat="1" spans="6:6">
      <c r="F26767" s="2423"/>
    </row>
    <row r="26768" s="101" customFormat="1" spans="6:6">
      <c r="F26768" s="2423"/>
    </row>
    <row r="26769" s="101" customFormat="1" spans="6:6">
      <c r="F26769" s="2423"/>
    </row>
    <row r="26770" s="101" customFormat="1" spans="6:6">
      <c r="F26770" s="2423"/>
    </row>
    <row r="26771" s="101" customFormat="1" spans="6:6">
      <c r="F26771" s="2423"/>
    </row>
    <row r="26772" s="101" customFormat="1" spans="6:6">
      <c r="F26772" s="2423"/>
    </row>
    <row r="26773" s="101" customFormat="1" spans="6:6">
      <c r="F26773" s="2423"/>
    </row>
    <row r="26774" s="101" customFormat="1" spans="6:6">
      <c r="F26774" s="2423"/>
    </row>
    <row r="26775" s="101" customFormat="1" spans="6:6">
      <c r="F26775" s="2423"/>
    </row>
    <row r="26776" s="101" customFormat="1" spans="6:6">
      <c r="F26776" s="2423"/>
    </row>
    <row r="26777" s="101" customFormat="1" spans="6:6">
      <c r="F26777" s="2423"/>
    </row>
    <row r="26778" s="101" customFormat="1" spans="6:6">
      <c r="F26778" s="2423"/>
    </row>
    <row r="26779" s="101" customFormat="1" spans="6:6">
      <c r="F26779" s="2423"/>
    </row>
    <row r="26780" s="101" customFormat="1" spans="6:6">
      <c r="F26780" s="2423"/>
    </row>
    <row r="26781" s="101" customFormat="1" spans="6:6">
      <c r="F26781" s="2423"/>
    </row>
    <row r="26782" s="101" customFormat="1" spans="6:6">
      <c r="F26782" s="2423"/>
    </row>
    <row r="26783" s="101" customFormat="1" spans="6:6">
      <c r="F26783" s="2423"/>
    </row>
    <row r="26784" s="101" customFormat="1" spans="6:6">
      <c r="F26784" s="2423"/>
    </row>
    <row r="26785" s="101" customFormat="1" spans="6:6">
      <c r="F26785" s="2423"/>
    </row>
    <row r="26786" s="101" customFormat="1" spans="6:6">
      <c r="F26786" s="2423"/>
    </row>
    <row r="26787" s="101" customFormat="1" spans="6:6">
      <c r="F26787" s="2423"/>
    </row>
    <row r="26788" s="101" customFormat="1" spans="6:6">
      <c r="F26788" s="2423"/>
    </row>
    <row r="26789" s="101" customFormat="1" spans="6:6">
      <c r="F26789" s="2423"/>
    </row>
    <row r="26790" s="101" customFormat="1" spans="6:6">
      <c r="F26790" s="2423"/>
    </row>
    <row r="26791" s="101" customFormat="1" spans="6:6">
      <c r="F26791" s="2423"/>
    </row>
    <row r="26792" s="101" customFormat="1" spans="6:6">
      <c r="F26792" s="2423"/>
    </row>
    <row r="26793" s="101" customFormat="1" spans="6:6">
      <c r="F26793" s="2423"/>
    </row>
    <row r="26794" s="101" customFormat="1" spans="6:6">
      <c r="F26794" s="2423"/>
    </row>
    <row r="26795" s="101" customFormat="1" spans="6:6">
      <c r="F26795" s="2423"/>
    </row>
    <row r="26796" s="101" customFormat="1" spans="6:6">
      <c r="F26796" s="2423"/>
    </row>
    <row r="26797" s="101" customFormat="1" spans="6:6">
      <c r="F26797" s="2423"/>
    </row>
    <row r="26798" s="101" customFormat="1" spans="6:6">
      <c r="F26798" s="2423"/>
    </row>
    <row r="26799" s="101" customFormat="1" spans="6:6">
      <c r="F26799" s="2423"/>
    </row>
    <row r="26800" s="101" customFormat="1" spans="6:6">
      <c r="F26800" s="2423"/>
    </row>
    <row r="26801" s="101" customFormat="1" spans="6:6">
      <c r="F26801" s="2423"/>
    </row>
    <row r="26802" s="101" customFormat="1" spans="6:6">
      <c r="F26802" s="2423"/>
    </row>
    <row r="26803" s="101" customFormat="1" spans="6:6">
      <c r="F26803" s="2423"/>
    </row>
    <row r="26804" s="101" customFormat="1" spans="6:6">
      <c r="F26804" s="2423"/>
    </row>
    <row r="26805" s="101" customFormat="1" spans="6:6">
      <c r="F26805" s="2423"/>
    </row>
    <row r="26806" s="101" customFormat="1" spans="6:6">
      <c r="F26806" s="2423"/>
    </row>
    <row r="26807" s="101" customFormat="1" spans="6:6">
      <c r="F26807" s="2423"/>
    </row>
    <row r="26808" s="101" customFormat="1" spans="6:6">
      <c r="F26808" s="2423"/>
    </row>
    <row r="26809" s="101" customFormat="1" spans="6:6">
      <c r="F26809" s="2423"/>
    </row>
    <row r="26810" s="101" customFormat="1" spans="6:6">
      <c r="F26810" s="2423"/>
    </row>
    <row r="26811" s="101" customFormat="1" spans="6:6">
      <c r="F26811" s="2423"/>
    </row>
    <row r="26812" s="101" customFormat="1" spans="6:6">
      <c r="F26812" s="2423"/>
    </row>
    <row r="26813" s="101" customFormat="1" spans="6:6">
      <c r="F26813" s="2423"/>
    </row>
    <row r="26814" s="101" customFormat="1" spans="6:6">
      <c r="F26814" s="2423"/>
    </row>
    <row r="26815" s="101" customFormat="1" spans="6:6">
      <c r="F26815" s="2423"/>
    </row>
    <row r="26816" s="101" customFormat="1" spans="6:6">
      <c r="F26816" s="2423"/>
    </row>
    <row r="26817" s="101" customFormat="1" spans="6:6">
      <c r="F26817" s="2423"/>
    </row>
    <row r="26818" s="101" customFormat="1" spans="6:6">
      <c r="F26818" s="2423"/>
    </row>
    <row r="26819" s="101" customFormat="1" spans="6:6">
      <c r="F26819" s="2423"/>
    </row>
    <row r="26820" s="101" customFormat="1" spans="6:6">
      <c r="F26820" s="2423"/>
    </row>
    <row r="26821" s="101" customFormat="1" spans="6:6">
      <c r="F26821" s="2423"/>
    </row>
    <row r="26822" s="101" customFormat="1" spans="6:6">
      <c r="F26822" s="2423"/>
    </row>
    <row r="26823" s="101" customFormat="1" spans="6:6">
      <c r="F26823" s="2423"/>
    </row>
    <row r="26824" s="101" customFormat="1" spans="6:6">
      <c r="F26824" s="2423"/>
    </row>
    <row r="26825" s="101" customFormat="1" spans="6:6">
      <c r="F26825" s="2423"/>
    </row>
    <row r="26826" s="101" customFormat="1" spans="6:6">
      <c r="F26826" s="2423"/>
    </row>
    <row r="26827" s="101" customFormat="1" spans="6:6">
      <c r="F26827" s="2423"/>
    </row>
    <row r="26828" s="101" customFormat="1" spans="6:6">
      <c r="F26828" s="2423"/>
    </row>
    <row r="26829" s="101" customFormat="1" spans="6:6">
      <c r="F26829" s="2423"/>
    </row>
    <row r="26830" s="101" customFormat="1" spans="6:6">
      <c r="F26830" s="2423"/>
    </row>
    <row r="26831" s="101" customFormat="1" spans="6:6">
      <c r="F26831" s="2423"/>
    </row>
    <row r="26832" s="101" customFormat="1" spans="6:6">
      <c r="F26832" s="2423"/>
    </row>
    <row r="26833" s="101" customFormat="1" spans="6:6">
      <c r="F26833" s="2423"/>
    </row>
    <row r="26834" s="101" customFormat="1" spans="6:6">
      <c r="F26834" s="2423"/>
    </row>
    <row r="26835" s="101" customFormat="1" spans="6:6">
      <c r="F26835" s="2423"/>
    </row>
    <row r="26836" s="101" customFormat="1" spans="6:6">
      <c r="F26836" s="2423"/>
    </row>
    <row r="26837" s="101" customFormat="1" spans="6:6">
      <c r="F26837" s="2423"/>
    </row>
    <row r="26838" s="101" customFormat="1" spans="6:6">
      <c r="F26838" s="2423"/>
    </row>
    <row r="26839" s="101" customFormat="1" spans="6:6">
      <c r="F26839" s="2423"/>
    </row>
    <row r="26840" s="101" customFormat="1" spans="6:6">
      <c r="F26840" s="2423"/>
    </row>
    <row r="26841" s="101" customFormat="1" spans="6:6">
      <c r="F26841" s="2423"/>
    </row>
    <row r="26842" s="101" customFormat="1" spans="6:6">
      <c r="F26842" s="2423"/>
    </row>
    <row r="26843" s="101" customFormat="1" spans="6:6">
      <c r="F26843" s="2423"/>
    </row>
    <row r="26844" s="101" customFormat="1" spans="6:6">
      <c r="F26844" s="2423"/>
    </row>
    <row r="26845" s="101" customFormat="1" spans="6:6">
      <c r="F26845" s="2423"/>
    </row>
    <row r="26846" s="101" customFormat="1" spans="6:6">
      <c r="F26846" s="2423"/>
    </row>
    <row r="26847" s="101" customFormat="1" spans="6:6">
      <c r="F26847" s="2423"/>
    </row>
    <row r="26848" s="101" customFormat="1" spans="6:6">
      <c r="F26848" s="2423"/>
    </row>
    <row r="26849" s="101" customFormat="1" spans="6:6">
      <c r="F26849" s="2423"/>
    </row>
    <row r="26850" s="101" customFormat="1" spans="6:6">
      <c r="F26850" s="2423"/>
    </row>
    <row r="26851" s="101" customFormat="1" spans="6:6">
      <c r="F26851" s="2423"/>
    </row>
    <row r="26852" s="101" customFormat="1" spans="6:6">
      <c r="F26852" s="2423"/>
    </row>
    <row r="26853" s="101" customFormat="1" spans="6:6">
      <c r="F26853" s="2423"/>
    </row>
    <row r="26854" s="101" customFormat="1" spans="6:6">
      <c r="F26854" s="2423"/>
    </row>
    <row r="26855" s="101" customFormat="1" spans="6:6">
      <c r="F26855" s="2423"/>
    </row>
    <row r="26856" s="101" customFormat="1" spans="6:6">
      <c r="F26856" s="2423"/>
    </row>
    <row r="26857" s="101" customFormat="1" spans="6:6">
      <c r="F26857" s="2423"/>
    </row>
    <row r="26858" s="101" customFormat="1" spans="6:6">
      <c r="F26858" s="2423"/>
    </row>
    <row r="26859" s="101" customFormat="1" spans="6:6">
      <c r="F26859" s="2423"/>
    </row>
    <row r="26860" s="101" customFormat="1" spans="6:6">
      <c r="F26860" s="2423"/>
    </row>
    <row r="26861" s="101" customFormat="1" spans="6:6">
      <c r="F26861" s="2423"/>
    </row>
    <row r="26862" s="101" customFormat="1" spans="6:6">
      <c r="F26862" s="2423"/>
    </row>
    <row r="26863" s="101" customFormat="1" spans="6:6">
      <c r="F26863" s="2423"/>
    </row>
    <row r="26864" s="101" customFormat="1" spans="6:6">
      <c r="F26864" s="2423"/>
    </row>
    <row r="26865" s="101" customFormat="1" spans="6:6">
      <c r="F26865" s="2423"/>
    </row>
    <row r="26866" s="101" customFormat="1" spans="6:6">
      <c r="F26866" s="2423"/>
    </row>
    <row r="26867" s="101" customFormat="1" spans="6:6">
      <c r="F26867" s="2423"/>
    </row>
    <row r="26868" s="101" customFormat="1" spans="6:6">
      <c r="F26868" s="2423"/>
    </row>
    <row r="26869" s="101" customFormat="1" spans="6:6">
      <c r="F26869" s="2423"/>
    </row>
    <row r="26870" s="101" customFormat="1" spans="6:6">
      <c r="F26870" s="2423"/>
    </row>
    <row r="26871" s="101" customFormat="1" spans="6:6">
      <c r="F26871" s="2423"/>
    </row>
    <row r="26872" s="101" customFormat="1" spans="6:6">
      <c r="F26872" s="2423"/>
    </row>
    <row r="26873" s="101" customFormat="1" spans="6:6">
      <c r="F26873" s="2423"/>
    </row>
    <row r="26874" s="101" customFormat="1" spans="6:6">
      <c r="F26874" s="2423"/>
    </row>
    <row r="26875" s="101" customFormat="1" spans="6:6">
      <c r="F26875" s="2423"/>
    </row>
    <row r="26876" s="101" customFormat="1" spans="6:6">
      <c r="F26876" s="2423"/>
    </row>
    <row r="26877" s="101" customFormat="1" spans="6:6">
      <c r="F26877" s="2423"/>
    </row>
    <row r="26878" s="101" customFormat="1" spans="6:6">
      <c r="F26878" s="2423"/>
    </row>
    <row r="26879" s="101" customFormat="1" spans="6:6">
      <c r="F26879" s="2423"/>
    </row>
    <row r="26880" s="101" customFormat="1" spans="6:6">
      <c r="F26880" s="2423"/>
    </row>
    <row r="26881" s="101" customFormat="1" spans="6:6">
      <c r="F26881" s="2423"/>
    </row>
    <row r="26882" s="101" customFormat="1" spans="6:6">
      <c r="F26882" s="2423"/>
    </row>
    <row r="26883" s="101" customFormat="1" spans="6:6">
      <c r="F26883" s="2423"/>
    </row>
    <row r="26884" s="101" customFormat="1" spans="6:6">
      <c r="F26884" s="2423"/>
    </row>
    <row r="26885" s="101" customFormat="1" spans="6:6">
      <c r="F26885" s="2423"/>
    </row>
    <row r="26886" s="101" customFormat="1" spans="6:6">
      <c r="F26886" s="2423"/>
    </row>
    <row r="26887" s="101" customFormat="1" spans="6:6">
      <c r="F26887" s="2423"/>
    </row>
    <row r="26888" s="101" customFormat="1" spans="6:6">
      <c r="F26888" s="2423"/>
    </row>
    <row r="26889" s="101" customFormat="1" spans="6:6">
      <c r="F26889" s="2423"/>
    </row>
    <row r="26890" s="101" customFormat="1" spans="6:6">
      <c r="F26890" s="2423"/>
    </row>
    <row r="26891" s="101" customFormat="1" spans="6:6">
      <c r="F26891" s="2423"/>
    </row>
    <row r="26892" s="101" customFormat="1" spans="6:6">
      <c r="F26892" s="2423"/>
    </row>
    <row r="26893" s="101" customFormat="1" spans="6:6">
      <c r="F26893" s="2423"/>
    </row>
    <row r="26894" s="101" customFormat="1" spans="6:6">
      <c r="F26894" s="2423"/>
    </row>
    <row r="26895" s="101" customFormat="1" spans="6:6">
      <c r="F26895" s="2423"/>
    </row>
    <row r="26896" s="101" customFormat="1" spans="6:6">
      <c r="F26896" s="2423"/>
    </row>
    <row r="26897" s="101" customFormat="1" spans="6:6">
      <c r="F26897" s="2423"/>
    </row>
    <row r="26898" s="101" customFormat="1" spans="6:6">
      <c r="F26898" s="2423"/>
    </row>
    <row r="26899" s="101" customFormat="1" spans="6:6">
      <c r="F26899" s="2423"/>
    </row>
    <row r="26900" s="101" customFormat="1" spans="6:6">
      <c r="F26900" s="2423"/>
    </row>
    <row r="26901" s="101" customFormat="1" spans="6:6">
      <c r="F26901" s="2423"/>
    </row>
    <row r="26902" s="101" customFormat="1" spans="6:6">
      <c r="F26902" s="2423"/>
    </row>
    <row r="26903" s="101" customFormat="1" spans="6:6">
      <c r="F26903" s="2423"/>
    </row>
    <row r="26904" s="101" customFormat="1" spans="6:6">
      <c r="F26904" s="2423"/>
    </row>
    <row r="26905" s="101" customFormat="1" spans="6:6">
      <c r="F26905" s="2423"/>
    </row>
    <row r="26906" s="101" customFormat="1" spans="6:6">
      <c r="F26906" s="2423"/>
    </row>
    <row r="26907" s="101" customFormat="1" spans="6:6">
      <c r="F26907" s="2423"/>
    </row>
    <row r="26908" s="101" customFormat="1" spans="6:6">
      <c r="F26908" s="2423"/>
    </row>
    <row r="26909" s="101" customFormat="1" spans="6:6">
      <c r="F26909" s="2423"/>
    </row>
    <row r="26910" s="101" customFormat="1" spans="6:6">
      <c r="F26910" s="2423"/>
    </row>
    <row r="26911" s="101" customFormat="1" spans="6:6">
      <c r="F26911" s="2423"/>
    </row>
    <row r="26912" s="101" customFormat="1" spans="6:6">
      <c r="F26912" s="2423"/>
    </row>
    <row r="26913" s="101" customFormat="1" spans="6:6">
      <c r="F26913" s="2423"/>
    </row>
    <row r="26914" s="101" customFormat="1" spans="6:6">
      <c r="F26914" s="2423"/>
    </row>
    <row r="26915" s="101" customFormat="1" spans="6:6">
      <c r="F26915" s="2423"/>
    </row>
    <row r="26916" s="101" customFormat="1" spans="6:6">
      <c r="F26916" s="2423"/>
    </row>
    <row r="26917" s="101" customFormat="1" spans="6:6">
      <c r="F26917" s="2423"/>
    </row>
    <row r="26918" s="101" customFormat="1" spans="6:6">
      <c r="F26918" s="2423"/>
    </row>
    <row r="26919" s="101" customFormat="1" spans="6:6">
      <c r="F26919" s="2423"/>
    </row>
    <row r="26920" s="101" customFormat="1" spans="6:6">
      <c r="F26920" s="2423"/>
    </row>
    <row r="26921" s="101" customFormat="1" spans="6:6">
      <c r="F26921" s="2423"/>
    </row>
    <row r="26922" s="101" customFormat="1" spans="6:6">
      <c r="F26922" s="2423"/>
    </row>
    <row r="26923" s="101" customFormat="1" spans="6:6">
      <c r="F26923" s="2423"/>
    </row>
    <row r="26924" s="101" customFormat="1" spans="6:6">
      <c r="F26924" s="2423"/>
    </row>
    <row r="26925" s="101" customFormat="1" spans="6:6">
      <c r="F26925" s="2423"/>
    </row>
    <row r="26926" s="101" customFormat="1" spans="6:6">
      <c r="F26926" s="2423"/>
    </row>
    <row r="26927" s="101" customFormat="1" spans="6:6">
      <c r="F26927" s="2423"/>
    </row>
    <row r="26928" s="101" customFormat="1" spans="6:6">
      <c r="F26928" s="2423"/>
    </row>
    <row r="26929" s="101" customFormat="1" spans="6:6">
      <c r="F26929" s="2423"/>
    </row>
    <row r="26930" s="101" customFormat="1" spans="6:6">
      <c r="F26930" s="2423"/>
    </row>
    <row r="26931" s="101" customFormat="1" spans="6:6">
      <c r="F26931" s="2423"/>
    </row>
    <row r="26932" s="101" customFormat="1" spans="6:6">
      <c r="F26932" s="2423"/>
    </row>
    <row r="26933" s="101" customFormat="1" spans="6:6">
      <c r="F26933" s="2423"/>
    </row>
    <row r="26934" s="101" customFormat="1" spans="6:6">
      <c r="F26934" s="2423"/>
    </row>
    <row r="26935" s="101" customFormat="1" spans="6:6">
      <c r="F26935" s="2423"/>
    </row>
    <row r="26936" s="101" customFormat="1" spans="6:6">
      <c r="F26936" s="2423"/>
    </row>
    <row r="26937" s="101" customFormat="1" spans="6:6">
      <c r="F26937" s="2423"/>
    </row>
    <row r="26938" s="101" customFormat="1" spans="6:6">
      <c r="F26938" s="2423"/>
    </row>
    <row r="26939" s="101" customFormat="1" spans="6:6">
      <c r="F26939" s="2423"/>
    </row>
    <row r="26940" s="101" customFormat="1" spans="6:6">
      <c r="F26940" s="2423"/>
    </row>
    <row r="26941" s="101" customFormat="1" spans="6:6">
      <c r="F26941" s="2423"/>
    </row>
    <row r="26942" s="101" customFormat="1" spans="6:6">
      <c r="F26942" s="2423"/>
    </row>
    <row r="26943" s="101" customFormat="1" spans="6:6">
      <c r="F26943" s="2423"/>
    </row>
    <row r="26944" s="101" customFormat="1" spans="6:6">
      <c r="F26944" s="2423"/>
    </row>
    <row r="26945" s="101" customFormat="1" spans="6:6">
      <c r="F26945" s="2423"/>
    </row>
    <row r="26946" s="101" customFormat="1" spans="6:6">
      <c r="F26946" s="2423"/>
    </row>
    <row r="26947" s="101" customFormat="1" spans="6:6">
      <c r="F26947" s="2423"/>
    </row>
    <row r="26948" s="101" customFormat="1" spans="6:6">
      <c r="F26948" s="2423"/>
    </row>
    <row r="26949" s="101" customFormat="1" spans="6:6">
      <c r="F26949" s="2423"/>
    </row>
    <row r="26950" s="101" customFormat="1" spans="6:6">
      <c r="F26950" s="2423"/>
    </row>
    <row r="26951" s="101" customFormat="1" spans="6:6">
      <c r="F26951" s="2423"/>
    </row>
    <row r="26952" s="101" customFormat="1" spans="6:6">
      <c r="F26952" s="2423"/>
    </row>
    <row r="26953" s="101" customFormat="1" spans="6:6">
      <c r="F26953" s="2423"/>
    </row>
    <row r="26954" s="101" customFormat="1" spans="6:6">
      <c r="F26954" s="2423"/>
    </row>
    <row r="26955" s="101" customFormat="1" spans="6:6">
      <c r="F26955" s="2423"/>
    </row>
    <row r="26956" s="101" customFormat="1" spans="6:6">
      <c r="F26956" s="2423"/>
    </row>
    <row r="26957" s="101" customFormat="1" spans="6:6">
      <c r="F26957" s="2423"/>
    </row>
    <row r="26958" s="101" customFormat="1" spans="6:6">
      <c r="F26958" s="2423"/>
    </row>
    <row r="26959" s="101" customFormat="1" spans="6:6">
      <c r="F26959" s="2423"/>
    </row>
    <row r="26960" s="101" customFormat="1" spans="6:6">
      <c r="F26960" s="2423"/>
    </row>
    <row r="26961" s="101" customFormat="1" spans="6:6">
      <c r="F26961" s="2423"/>
    </row>
    <row r="26962" s="101" customFormat="1" spans="6:6">
      <c r="F26962" s="2423"/>
    </row>
    <row r="26963" s="101" customFormat="1" spans="6:6">
      <c r="F26963" s="2423"/>
    </row>
    <row r="26964" s="101" customFormat="1" spans="6:6">
      <c r="F26964" s="2423"/>
    </row>
    <row r="26965" s="101" customFormat="1" spans="6:6">
      <c r="F26965" s="2423"/>
    </row>
    <row r="26966" s="101" customFormat="1" spans="6:6">
      <c r="F26966" s="2423"/>
    </row>
    <row r="26967" s="101" customFormat="1" spans="6:6">
      <c r="F26967" s="2423"/>
    </row>
    <row r="26968" s="101" customFormat="1" spans="6:6">
      <c r="F26968" s="2423"/>
    </row>
    <row r="26969" s="101" customFormat="1" spans="6:6">
      <c r="F26969" s="2423"/>
    </row>
    <row r="26970" s="101" customFormat="1" spans="6:6">
      <c r="F26970" s="2423"/>
    </row>
    <row r="26971" s="101" customFormat="1" spans="6:6">
      <c r="F26971" s="2423"/>
    </row>
    <row r="26972" s="101" customFormat="1" spans="6:6">
      <c r="F26972" s="2423"/>
    </row>
    <row r="26973" s="101" customFormat="1" spans="6:6">
      <c r="F26973" s="2423"/>
    </row>
    <row r="26974" s="101" customFormat="1" spans="6:6">
      <c r="F26974" s="2423"/>
    </row>
    <row r="26975" s="101" customFormat="1" spans="6:6">
      <c r="F26975" s="2423"/>
    </row>
    <row r="26976" s="101" customFormat="1" spans="6:6">
      <c r="F26976" s="2423"/>
    </row>
    <row r="26977" s="101" customFormat="1" spans="6:6">
      <c r="F26977" s="2423"/>
    </row>
    <row r="26978" s="101" customFormat="1" spans="6:6">
      <c r="F26978" s="2423"/>
    </row>
    <row r="26979" s="101" customFormat="1" spans="6:6">
      <c r="F26979" s="2423"/>
    </row>
    <row r="26980" s="101" customFormat="1" spans="6:6">
      <c r="F26980" s="2423"/>
    </row>
    <row r="26981" s="101" customFormat="1" spans="6:6">
      <c r="F26981" s="2423"/>
    </row>
    <row r="26982" s="101" customFormat="1" spans="6:6">
      <c r="F26982" s="2423"/>
    </row>
    <row r="26983" s="101" customFormat="1" spans="6:6">
      <c r="F26983" s="2423"/>
    </row>
    <row r="26984" s="101" customFormat="1" spans="6:6">
      <c r="F26984" s="2423"/>
    </row>
    <row r="26985" s="101" customFormat="1" spans="6:6">
      <c r="F26985" s="2423"/>
    </row>
    <row r="26986" s="101" customFormat="1" spans="6:6">
      <c r="F26986" s="2423"/>
    </row>
    <row r="26987" s="101" customFormat="1" spans="6:6">
      <c r="F26987" s="2423"/>
    </row>
    <row r="26988" s="101" customFormat="1" spans="6:6">
      <c r="F26988" s="2423"/>
    </row>
    <row r="26989" s="101" customFormat="1" spans="6:6">
      <c r="F26989" s="2423"/>
    </row>
    <row r="26990" s="101" customFormat="1" spans="6:6">
      <c r="F26990" s="2423"/>
    </row>
    <row r="26991" s="101" customFormat="1" spans="6:6">
      <c r="F26991" s="2423"/>
    </row>
    <row r="26992" s="101" customFormat="1" spans="6:6">
      <c r="F26992" s="2423"/>
    </row>
    <row r="26993" s="101" customFormat="1" spans="6:6">
      <c r="F26993" s="2423"/>
    </row>
    <row r="26994" s="101" customFormat="1" spans="6:6">
      <c r="F26994" s="2423"/>
    </row>
    <row r="26995" s="101" customFormat="1" spans="6:6">
      <c r="F26995" s="2423"/>
    </row>
    <row r="26996" s="101" customFormat="1" spans="6:6">
      <c r="F26996" s="2423"/>
    </row>
    <row r="26997" s="101" customFormat="1" spans="6:6">
      <c r="F26997" s="2423"/>
    </row>
    <row r="26998" s="101" customFormat="1" spans="6:6">
      <c r="F26998" s="2423"/>
    </row>
    <row r="26999" s="101" customFormat="1" spans="6:6">
      <c r="F26999" s="2423"/>
    </row>
    <row r="27000" s="101" customFormat="1" spans="6:6">
      <c r="F27000" s="2423"/>
    </row>
    <row r="27001" s="101" customFormat="1" spans="6:6">
      <c r="F27001" s="2423"/>
    </row>
    <row r="27002" s="101" customFormat="1" spans="6:6">
      <c r="F27002" s="2423"/>
    </row>
    <row r="27003" s="101" customFormat="1" spans="6:6">
      <c r="F27003" s="2423"/>
    </row>
    <row r="27004" s="101" customFormat="1" spans="6:6">
      <c r="F27004" s="2423"/>
    </row>
    <row r="27005" s="101" customFormat="1" spans="6:6">
      <c r="F27005" s="2423"/>
    </row>
    <row r="27006" s="101" customFormat="1" spans="6:6">
      <c r="F27006" s="2423"/>
    </row>
    <row r="27007" s="101" customFormat="1" spans="6:6">
      <c r="F27007" s="2423"/>
    </row>
    <row r="27008" s="101" customFormat="1" spans="6:6">
      <c r="F27008" s="2423"/>
    </row>
    <row r="27009" s="101" customFormat="1" spans="6:6">
      <c r="F27009" s="2423"/>
    </row>
    <row r="27010" s="101" customFormat="1" spans="6:6">
      <c r="F27010" s="2423"/>
    </row>
    <row r="27011" s="101" customFormat="1" spans="6:6">
      <c r="F27011" s="2423"/>
    </row>
    <row r="27012" s="101" customFormat="1" spans="6:6">
      <c r="F27012" s="2423"/>
    </row>
    <row r="27013" s="101" customFormat="1" spans="6:6">
      <c r="F27013" s="2423"/>
    </row>
    <row r="27014" s="101" customFormat="1" spans="6:6">
      <c r="F27014" s="2423"/>
    </row>
    <row r="27015" s="101" customFormat="1" spans="6:6">
      <c r="F27015" s="2423"/>
    </row>
    <row r="27016" s="101" customFormat="1" spans="6:6">
      <c r="F27016" s="2423"/>
    </row>
    <row r="27017" s="101" customFormat="1" spans="6:6">
      <c r="F27017" s="2423"/>
    </row>
    <row r="27018" s="101" customFormat="1" spans="6:6">
      <c r="F27018" s="2423"/>
    </row>
    <row r="27019" s="101" customFormat="1" spans="6:6">
      <c r="F27019" s="2423"/>
    </row>
    <row r="27020" s="101" customFormat="1" spans="6:6">
      <c r="F27020" s="2423"/>
    </row>
    <row r="27021" s="101" customFormat="1" spans="6:6">
      <c r="F27021" s="2423"/>
    </row>
    <row r="27022" s="101" customFormat="1" spans="6:6">
      <c r="F27022" s="2423"/>
    </row>
    <row r="27023" s="101" customFormat="1" spans="6:6">
      <c r="F27023" s="2423"/>
    </row>
    <row r="27024" s="101" customFormat="1" spans="6:6">
      <c r="F27024" s="2423"/>
    </row>
    <row r="27025" s="101" customFormat="1" spans="6:6">
      <c r="F27025" s="2423"/>
    </row>
    <row r="27026" s="101" customFormat="1" spans="6:6">
      <c r="F27026" s="2423"/>
    </row>
    <row r="27027" s="101" customFormat="1" spans="6:6">
      <c r="F27027" s="2423"/>
    </row>
    <row r="27028" s="101" customFormat="1" spans="6:6">
      <c r="F27028" s="2423"/>
    </row>
    <row r="27029" s="101" customFormat="1" spans="6:6">
      <c r="F27029" s="2423"/>
    </row>
    <row r="27030" s="101" customFormat="1" spans="6:6">
      <c r="F27030" s="2423"/>
    </row>
    <row r="27031" s="101" customFormat="1" spans="6:6">
      <c r="F27031" s="2423"/>
    </row>
    <row r="27032" s="101" customFormat="1" spans="6:6">
      <c r="F27032" s="2423"/>
    </row>
    <row r="27033" s="101" customFormat="1" spans="6:6">
      <c r="F27033" s="2423"/>
    </row>
    <row r="27034" s="101" customFormat="1" spans="6:6">
      <c r="F27034" s="2423"/>
    </row>
    <row r="27035" s="101" customFormat="1" spans="6:6">
      <c r="F27035" s="2423"/>
    </row>
    <row r="27036" s="101" customFormat="1" spans="6:6">
      <c r="F27036" s="2423"/>
    </row>
    <row r="27037" s="101" customFormat="1" spans="6:6">
      <c r="F27037" s="2423"/>
    </row>
    <row r="27038" s="101" customFormat="1" spans="6:6">
      <c r="F27038" s="2423"/>
    </row>
    <row r="27039" s="101" customFormat="1" spans="6:6">
      <c r="F27039" s="2423"/>
    </row>
    <row r="27040" s="101" customFormat="1" spans="6:6">
      <c r="F27040" s="2423"/>
    </row>
    <row r="27041" s="101" customFormat="1" spans="6:6">
      <c r="F27041" s="2423"/>
    </row>
    <row r="27042" s="101" customFormat="1" spans="6:6">
      <c r="F27042" s="2423"/>
    </row>
    <row r="27043" s="101" customFormat="1" spans="6:6">
      <c r="F27043" s="2423"/>
    </row>
    <row r="27044" s="101" customFormat="1" spans="6:6">
      <c r="F27044" s="2423"/>
    </row>
    <row r="27045" s="101" customFormat="1" spans="6:6">
      <c r="F27045" s="2423"/>
    </row>
    <row r="27046" s="101" customFormat="1" spans="6:6">
      <c r="F27046" s="2423"/>
    </row>
    <row r="27047" s="101" customFormat="1" spans="6:6">
      <c r="F27047" s="2423"/>
    </row>
    <row r="27048" s="101" customFormat="1" spans="6:6">
      <c r="F27048" s="2423"/>
    </row>
    <row r="27049" s="101" customFormat="1" spans="6:6">
      <c r="F27049" s="2423"/>
    </row>
    <row r="27050" s="101" customFormat="1" spans="6:6">
      <c r="F27050" s="2423"/>
    </row>
    <row r="27051" s="101" customFormat="1" spans="6:6">
      <c r="F27051" s="2423"/>
    </row>
    <row r="27052" s="101" customFormat="1" spans="6:6">
      <c r="F27052" s="2423"/>
    </row>
    <row r="27053" s="101" customFormat="1" spans="6:6">
      <c r="F27053" s="2423"/>
    </row>
    <row r="27054" s="101" customFormat="1" spans="6:6">
      <c r="F27054" s="2423"/>
    </row>
    <row r="27055" s="101" customFormat="1" spans="6:6">
      <c r="F27055" s="2423"/>
    </row>
    <row r="27056" s="101" customFormat="1" spans="6:6">
      <c r="F27056" s="2423"/>
    </row>
    <row r="27057" s="101" customFormat="1" spans="6:6">
      <c r="F27057" s="2423"/>
    </row>
    <row r="27058" s="101" customFormat="1" spans="6:6">
      <c r="F27058" s="2423"/>
    </row>
    <row r="27059" s="101" customFormat="1" spans="6:6">
      <c r="F27059" s="2423"/>
    </row>
    <row r="27060" s="101" customFormat="1" spans="6:6">
      <c r="F27060" s="2423"/>
    </row>
    <row r="27061" s="101" customFormat="1" spans="6:6">
      <c r="F27061" s="2423"/>
    </row>
    <row r="27062" s="101" customFormat="1" spans="6:6">
      <c r="F27062" s="2423"/>
    </row>
    <row r="27063" s="101" customFormat="1" spans="6:6">
      <c r="F27063" s="2423"/>
    </row>
    <row r="27064" s="101" customFormat="1" spans="6:6">
      <c r="F27064" s="2423"/>
    </row>
    <row r="27065" s="101" customFormat="1" spans="6:6">
      <c r="F27065" s="2423"/>
    </row>
    <row r="27066" s="101" customFormat="1" spans="6:6">
      <c r="F27066" s="2423"/>
    </row>
    <row r="27067" s="101" customFormat="1" spans="6:6">
      <c r="F27067" s="2423"/>
    </row>
    <row r="27068" s="101" customFormat="1" spans="6:6">
      <c r="F27068" s="2423"/>
    </row>
    <row r="27069" s="101" customFormat="1" spans="6:6">
      <c r="F27069" s="2423"/>
    </row>
    <row r="27070" s="101" customFormat="1" spans="6:6">
      <c r="F27070" s="2423"/>
    </row>
    <row r="27071" s="101" customFormat="1" spans="6:6">
      <c r="F27071" s="2423"/>
    </row>
    <row r="27072" s="101" customFormat="1" spans="6:6">
      <c r="F27072" s="2423"/>
    </row>
    <row r="27073" s="101" customFormat="1" spans="6:6">
      <c r="F27073" s="2423"/>
    </row>
    <row r="27074" s="101" customFormat="1" spans="6:6">
      <c r="F27074" s="2423"/>
    </row>
    <row r="27075" s="101" customFormat="1" spans="6:6">
      <c r="F27075" s="2423"/>
    </row>
    <row r="27076" s="101" customFormat="1" spans="6:6">
      <c r="F27076" s="2423"/>
    </row>
    <row r="27077" s="101" customFormat="1" spans="6:6">
      <c r="F27077" s="2423"/>
    </row>
    <row r="27078" s="101" customFormat="1" spans="6:6">
      <c r="F27078" s="2423"/>
    </row>
    <row r="27079" s="101" customFormat="1" spans="6:6">
      <c r="F27079" s="2423"/>
    </row>
    <row r="27080" s="101" customFormat="1" spans="6:6">
      <c r="F27080" s="2423"/>
    </row>
    <row r="27081" s="101" customFormat="1" spans="6:6">
      <c r="F27081" s="2423"/>
    </row>
    <row r="27082" s="101" customFormat="1" spans="6:6">
      <c r="F27082" s="2423"/>
    </row>
    <row r="27083" s="101" customFormat="1" spans="6:6">
      <c r="F27083" s="2423"/>
    </row>
    <row r="27084" s="101" customFormat="1" spans="6:6">
      <c r="F27084" s="2423"/>
    </row>
    <row r="27085" s="101" customFormat="1" spans="6:6">
      <c r="F27085" s="2423"/>
    </row>
    <row r="27086" s="101" customFormat="1" spans="6:6">
      <c r="F27086" s="2423"/>
    </row>
    <row r="27087" s="101" customFormat="1" spans="6:6">
      <c r="F27087" s="2423"/>
    </row>
    <row r="27088" s="101" customFormat="1" spans="6:6">
      <c r="F27088" s="2423"/>
    </row>
    <row r="27089" s="101" customFormat="1" spans="6:6">
      <c r="F27089" s="2423"/>
    </row>
    <row r="27090" s="101" customFormat="1" spans="6:6">
      <c r="F27090" s="2423"/>
    </row>
    <row r="27091" s="101" customFormat="1" spans="6:6">
      <c r="F27091" s="2423"/>
    </row>
    <row r="27092" s="101" customFormat="1" spans="6:6">
      <c r="F27092" s="2423"/>
    </row>
    <row r="27093" s="101" customFormat="1" spans="6:6">
      <c r="F27093" s="2423"/>
    </row>
    <row r="27094" s="101" customFormat="1" spans="6:6">
      <c r="F27094" s="2423"/>
    </row>
    <row r="27095" s="101" customFormat="1" spans="6:6">
      <c r="F27095" s="2423"/>
    </row>
    <row r="27096" s="101" customFormat="1" spans="6:6">
      <c r="F27096" s="2423"/>
    </row>
    <row r="27097" s="101" customFormat="1" spans="6:6">
      <c r="F27097" s="2423"/>
    </row>
    <row r="27098" s="101" customFormat="1" spans="6:6">
      <c r="F27098" s="2423"/>
    </row>
    <row r="27099" s="101" customFormat="1" spans="6:6">
      <c r="F27099" s="2423"/>
    </row>
    <row r="27100" s="101" customFormat="1" spans="6:6">
      <c r="F27100" s="2423"/>
    </row>
    <row r="27101" s="101" customFormat="1" spans="6:6">
      <c r="F27101" s="2423"/>
    </row>
    <row r="27102" s="101" customFormat="1" spans="6:6">
      <c r="F27102" s="2423"/>
    </row>
    <row r="27103" s="101" customFormat="1" spans="6:6">
      <c r="F27103" s="2423"/>
    </row>
    <row r="27104" s="101" customFormat="1" spans="6:6">
      <c r="F27104" s="2423"/>
    </row>
    <row r="27105" s="101" customFormat="1" spans="6:6">
      <c r="F27105" s="2423"/>
    </row>
    <row r="27106" s="101" customFormat="1" spans="6:6">
      <c r="F27106" s="2423"/>
    </row>
    <row r="27107" s="101" customFormat="1" spans="6:6">
      <c r="F27107" s="2423"/>
    </row>
    <row r="27108" s="101" customFormat="1" spans="6:6">
      <c r="F27108" s="2423"/>
    </row>
    <row r="27109" s="101" customFormat="1" spans="6:6">
      <c r="F27109" s="2423"/>
    </row>
    <row r="27110" s="101" customFormat="1" spans="6:6">
      <c r="F27110" s="2423"/>
    </row>
    <row r="27111" s="101" customFormat="1" spans="6:6">
      <c r="F27111" s="2423"/>
    </row>
    <row r="27112" s="101" customFormat="1" spans="6:6">
      <c r="F27112" s="2423"/>
    </row>
    <row r="27113" s="101" customFormat="1" spans="6:6">
      <c r="F27113" s="2423"/>
    </row>
    <row r="27114" s="101" customFormat="1" spans="6:6">
      <c r="F27114" s="2423"/>
    </row>
    <row r="27115" s="101" customFormat="1" spans="6:6">
      <c r="F27115" s="2423"/>
    </row>
    <row r="27116" s="101" customFormat="1" spans="6:6">
      <c r="F27116" s="2423"/>
    </row>
    <row r="27117" s="101" customFormat="1" spans="6:6">
      <c r="F27117" s="2423"/>
    </row>
    <row r="27118" s="101" customFormat="1" spans="6:6">
      <c r="F27118" s="2423"/>
    </row>
    <row r="27119" s="101" customFormat="1" spans="6:6">
      <c r="F27119" s="2423"/>
    </row>
    <row r="27120" s="101" customFormat="1" spans="6:6">
      <c r="F27120" s="2423"/>
    </row>
    <row r="27121" s="101" customFormat="1" spans="6:6">
      <c r="F27121" s="2423"/>
    </row>
    <row r="27122" s="101" customFormat="1" spans="6:6">
      <c r="F27122" s="2423"/>
    </row>
    <row r="27123" s="101" customFormat="1" spans="6:6">
      <c r="F27123" s="2423"/>
    </row>
    <row r="27124" s="101" customFormat="1" spans="6:6">
      <c r="F27124" s="2423"/>
    </row>
    <row r="27125" s="101" customFormat="1" spans="6:6">
      <c r="F27125" s="2423"/>
    </row>
    <row r="27126" s="101" customFormat="1" spans="6:6">
      <c r="F27126" s="2423"/>
    </row>
    <row r="27127" s="101" customFormat="1" spans="6:6">
      <c r="F27127" s="2423"/>
    </row>
    <row r="27128" s="101" customFormat="1" spans="6:6">
      <c r="F27128" s="2423"/>
    </row>
    <row r="27129" s="101" customFormat="1" spans="6:6">
      <c r="F27129" s="2423"/>
    </row>
    <row r="27130" s="101" customFormat="1" spans="6:6">
      <c r="F27130" s="2423"/>
    </row>
    <row r="27131" s="101" customFormat="1" spans="6:6">
      <c r="F27131" s="2423"/>
    </row>
    <row r="27132" s="101" customFormat="1" spans="6:6">
      <c r="F27132" s="2423"/>
    </row>
    <row r="27133" s="101" customFormat="1" spans="6:6">
      <c r="F27133" s="2423"/>
    </row>
    <row r="27134" s="101" customFormat="1" spans="6:6">
      <c r="F27134" s="2423"/>
    </row>
    <row r="27135" s="101" customFormat="1" spans="6:6">
      <c r="F27135" s="2423"/>
    </row>
    <row r="27136" s="101" customFormat="1" spans="6:6">
      <c r="F27136" s="2423"/>
    </row>
    <row r="27137" s="101" customFormat="1" spans="6:6">
      <c r="F27137" s="2423"/>
    </row>
    <row r="27138" s="101" customFormat="1" spans="6:6">
      <c r="F27138" s="2423"/>
    </row>
    <row r="27139" s="101" customFormat="1" spans="6:6">
      <c r="F27139" s="2423"/>
    </row>
    <row r="27140" s="101" customFormat="1" spans="6:6">
      <c r="F27140" s="2423"/>
    </row>
    <row r="27141" s="101" customFormat="1" spans="6:6">
      <c r="F27141" s="2423"/>
    </row>
    <row r="27142" s="101" customFormat="1" spans="6:6">
      <c r="F27142" s="2423"/>
    </row>
    <row r="27143" s="101" customFormat="1" spans="6:6">
      <c r="F27143" s="2423"/>
    </row>
    <row r="27144" s="101" customFormat="1" spans="6:6">
      <c r="F27144" s="2423"/>
    </row>
    <row r="27145" s="101" customFormat="1" spans="6:6">
      <c r="F27145" s="2423"/>
    </row>
    <row r="27146" s="101" customFormat="1" spans="6:6">
      <c r="F27146" s="2423"/>
    </row>
    <row r="27147" s="101" customFormat="1" spans="6:6">
      <c r="F27147" s="2423"/>
    </row>
    <row r="27148" s="101" customFormat="1" spans="6:6">
      <c r="F27148" s="2423"/>
    </row>
    <row r="27149" s="101" customFormat="1" spans="6:6">
      <c r="F27149" s="2423"/>
    </row>
    <row r="27150" s="101" customFormat="1" spans="6:6">
      <c r="F27150" s="2423"/>
    </row>
    <row r="27151" s="101" customFormat="1" spans="6:6">
      <c r="F27151" s="2423"/>
    </row>
    <row r="27152" s="101" customFormat="1" spans="6:6">
      <c r="F27152" s="2423"/>
    </row>
    <row r="27153" s="101" customFormat="1" spans="6:6">
      <c r="F27153" s="2423"/>
    </row>
    <row r="27154" s="101" customFormat="1" spans="6:6">
      <c r="F27154" s="2423"/>
    </row>
    <row r="27155" s="101" customFormat="1" spans="6:6">
      <c r="F27155" s="2423"/>
    </row>
    <row r="27156" s="101" customFormat="1" spans="6:6">
      <c r="F27156" s="2423"/>
    </row>
    <row r="27157" s="101" customFormat="1" spans="6:6">
      <c r="F27157" s="2423"/>
    </row>
    <row r="27158" s="101" customFormat="1" spans="6:6">
      <c r="F27158" s="2423"/>
    </row>
    <row r="27159" s="101" customFormat="1" spans="6:6">
      <c r="F27159" s="2423"/>
    </row>
    <row r="27160" s="101" customFormat="1" spans="6:6">
      <c r="F27160" s="2423"/>
    </row>
    <row r="27161" s="101" customFormat="1" spans="6:6">
      <c r="F27161" s="2423"/>
    </row>
    <row r="27162" s="101" customFormat="1" spans="6:6">
      <c r="F27162" s="2423"/>
    </row>
    <row r="27163" s="101" customFormat="1" spans="6:6">
      <c r="F27163" s="2423"/>
    </row>
    <row r="27164" s="101" customFormat="1" spans="6:6">
      <c r="F27164" s="2423"/>
    </row>
    <row r="27165" s="101" customFormat="1" spans="6:6">
      <c r="F27165" s="2423"/>
    </row>
    <row r="27166" s="101" customFormat="1" spans="6:6">
      <c r="F27166" s="2423"/>
    </row>
    <row r="27167" s="101" customFormat="1" spans="6:6">
      <c r="F27167" s="2423"/>
    </row>
    <row r="27168" s="101" customFormat="1" spans="6:6">
      <c r="F27168" s="2423"/>
    </row>
    <row r="27169" s="101" customFormat="1" spans="6:6">
      <c r="F27169" s="2423"/>
    </row>
    <row r="27170" s="101" customFormat="1" spans="6:6">
      <c r="F27170" s="2423"/>
    </row>
    <row r="27171" s="101" customFormat="1" spans="6:6">
      <c r="F27171" s="2423"/>
    </row>
    <row r="27172" s="101" customFormat="1" spans="6:6">
      <c r="F27172" s="2423"/>
    </row>
    <row r="27173" s="101" customFormat="1" spans="6:6">
      <c r="F27173" s="2423"/>
    </row>
    <row r="27174" s="101" customFormat="1" spans="6:6">
      <c r="F27174" s="2423"/>
    </row>
    <row r="27175" s="101" customFormat="1" spans="6:6">
      <c r="F27175" s="2423"/>
    </row>
    <row r="27176" s="101" customFormat="1" spans="6:6">
      <c r="F27176" s="2423"/>
    </row>
    <row r="27177" s="101" customFormat="1" spans="6:6">
      <c r="F27177" s="2423"/>
    </row>
    <row r="27178" s="101" customFormat="1" spans="6:6">
      <c r="F27178" s="2423"/>
    </row>
    <row r="27179" s="101" customFormat="1" spans="6:6">
      <c r="F27179" s="2423"/>
    </row>
    <row r="27180" s="101" customFormat="1" spans="6:6">
      <c r="F27180" s="2423"/>
    </row>
    <row r="27181" s="101" customFormat="1" spans="6:6">
      <c r="F27181" s="2423"/>
    </row>
    <row r="27182" s="101" customFormat="1" spans="6:6">
      <c r="F27182" s="2423"/>
    </row>
    <row r="27183" s="101" customFormat="1" spans="6:6">
      <c r="F27183" s="2423"/>
    </row>
    <row r="27184" s="101" customFormat="1" spans="6:6">
      <c r="F27184" s="2423"/>
    </row>
    <row r="27185" s="101" customFormat="1" spans="6:6">
      <c r="F27185" s="2423"/>
    </row>
    <row r="27186" s="101" customFormat="1" spans="6:6">
      <c r="F27186" s="2423"/>
    </row>
    <row r="27187" s="101" customFormat="1" spans="6:6">
      <c r="F27187" s="2423"/>
    </row>
    <row r="27188" s="101" customFormat="1" spans="6:6">
      <c r="F27188" s="2423"/>
    </row>
    <row r="27189" s="101" customFormat="1" spans="6:6">
      <c r="F27189" s="2423"/>
    </row>
    <row r="27190" s="101" customFormat="1" spans="6:6">
      <c r="F27190" s="2423"/>
    </row>
    <row r="27191" s="101" customFormat="1" spans="6:6">
      <c r="F27191" s="2423"/>
    </row>
    <row r="27192" s="101" customFormat="1" spans="6:6">
      <c r="F27192" s="2423"/>
    </row>
    <row r="27193" s="101" customFormat="1" spans="6:6">
      <c r="F27193" s="2423"/>
    </row>
    <row r="27194" s="101" customFormat="1" spans="6:6">
      <c r="F27194" s="2423"/>
    </row>
    <row r="27195" s="101" customFormat="1" spans="6:6">
      <c r="F27195" s="2423"/>
    </row>
    <row r="27196" s="101" customFormat="1" spans="6:6">
      <c r="F27196" s="2423"/>
    </row>
    <row r="27197" s="101" customFormat="1" spans="6:6">
      <c r="F27197" s="2423"/>
    </row>
    <row r="27198" s="101" customFormat="1" spans="6:6">
      <c r="F27198" s="2423"/>
    </row>
    <row r="27199" s="101" customFormat="1" spans="6:6">
      <c r="F27199" s="2423"/>
    </row>
    <row r="27200" s="101" customFormat="1" spans="6:6">
      <c r="F27200" s="2423"/>
    </row>
    <row r="27201" s="101" customFormat="1" spans="6:6">
      <c r="F27201" s="2423"/>
    </row>
    <row r="27202" s="101" customFormat="1" spans="6:6">
      <c r="F27202" s="2423"/>
    </row>
    <row r="27203" s="101" customFormat="1" spans="6:6">
      <c r="F27203" s="2423"/>
    </row>
    <row r="27204" s="101" customFormat="1" spans="6:6">
      <c r="F27204" s="2423"/>
    </row>
    <row r="27205" s="101" customFormat="1" spans="6:6">
      <c r="F27205" s="2423"/>
    </row>
    <row r="27206" s="101" customFormat="1" spans="6:6">
      <c r="F27206" s="2423"/>
    </row>
    <row r="27207" s="101" customFormat="1" spans="6:6">
      <c r="F27207" s="2423"/>
    </row>
    <row r="27208" s="101" customFormat="1" spans="6:6">
      <c r="F27208" s="2423"/>
    </row>
    <row r="27209" s="101" customFormat="1" spans="6:6">
      <c r="F27209" s="2423"/>
    </row>
    <row r="27210" s="101" customFormat="1" spans="6:6">
      <c r="F27210" s="2423"/>
    </row>
    <row r="27211" s="101" customFormat="1" spans="6:6">
      <c r="F27211" s="2423"/>
    </row>
    <row r="27212" s="101" customFormat="1" spans="6:6">
      <c r="F27212" s="2423"/>
    </row>
    <row r="27213" s="101" customFormat="1" spans="6:6">
      <c r="F27213" s="2423"/>
    </row>
    <row r="27214" s="101" customFormat="1" spans="6:6">
      <c r="F27214" s="2423"/>
    </row>
    <row r="27215" s="101" customFormat="1" spans="6:6">
      <c r="F27215" s="2423"/>
    </row>
    <row r="27216" s="101" customFormat="1" spans="6:6">
      <c r="F27216" s="2423"/>
    </row>
    <row r="27217" s="101" customFormat="1" spans="6:6">
      <c r="F27217" s="2423"/>
    </row>
    <row r="27218" s="101" customFormat="1" spans="6:6">
      <c r="F27218" s="2423"/>
    </row>
    <row r="27219" s="101" customFormat="1" spans="6:6">
      <c r="F27219" s="2423"/>
    </row>
    <row r="27220" s="101" customFormat="1" spans="6:6">
      <c r="F27220" s="2423"/>
    </row>
    <row r="27221" s="101" customFormat="1" spans="6:6">
      <c r="F27221" s="2423"/>
    </row>
    <row r="27222" s="101" customFormat="1" spans="6:6">
      <c r="F27222" s="2423"/>
    </row>
    <row r="27223" s="101" customFormat="1" spans="6:6">
      <c r="F27223" s="2423"/>
    </row>
    <row r="27224" s="101" customFormat="1" spans="6:6">
      <c r="F27224" s="2423"/>
    </row>
    <row r="27225" s="101" customFormat="1" spans="6:6">
      <c r="F27225" s="2423"/>
    </row>
    <row r="27226" s="101" customFormat="1" spans="6:6">
      <c r="F27226" s="2423"/>
    </row>
    <row r="27227" s="101" customFormat="1" spans="6:6">
      <c r="F27227" s="2423"/>
    </row>
    <row r="27228" s="101" customFormat="1" spans="6:6">
      <c r="F27228" s="2423"/>
    </row>
    <row r="27229" s="101" customFormat="1" spans="6:6">
      <c r="F27229" s="2423"/>
    </row>
    <row r="27230" s="101" customFormat="1" spans="6:6">
      <c r="F27230" s="2423"/>
    </row>
    <row r="27231" s="101" customFormat="1" spans="6:6">
      <c r="F27231" s="2423"/>
    </row>
    <row r="27232" s="101" customFormat="1" spans="6:6">
      <c r="F27232" s="2423"/>
    </row>
    <row r="27233" s="101" customFormat="1" spans="6:6">
      <c r="F27233" s="2423"/>
    </row>
    <row r="27234" s="101" customFormat="1" spans="6:6">
      <c r="F27234" s="2423"/>
    </row>
    <row r="27235" s="101" customFormat="1" spans="6:6">
      <c r="F27235" s="2423"/>
    </row>
    <row r="27236" s="101" customFormat="1" spans="6:6">
      <c r="F27236" s="2423"/>
    </row>
    <row r="27237" s="101" customFormat="1" spans="6:6">
      <c r="F27237" s="2423"/>
    </row>
    <row r="27238" s="101" customFormat="1" spans="6:6">
      <c r="F27238" s="2423"/>
    </row>
    <row r="27239" s="101" customFormat="1" spans="6:6">
      <c r="F27239" s="2423"/>
    </row>
    <row r="27240" s="101" customFormat="1" spans="6:6">
      <c r="F27240" s="2423"/>
    </row>
    <row r="27241" s="101" customFormat="1" spans="6:6">
      <c r="F27241" s="2423"/>
    </row>
    <row r="27242" s="101" customFormat="1" spans="6:6">
      <c r="F27242" s="2423"/>
    </row>
    <row r="27243" s="101" customFormat="1" spans="6:6">
      <c r="F27243" s="2423"/>
    </row>
    <row r="27244" s="101" customFormat="1" spans="6:6">
      <c r="F27244" s="2423"/>
    </row>
    <row r="27245" s="101" customFormat="1" spans="6:6">
      <c r="F27245" s="2423"/>
    </row>
    <row r="27246" s="101" customFormat="1" spans="6:6">
      <c r="F27246" s="2423"/>
    </row>
    <row r="27247" s="101" customFormat="1" spans="6:6">
      <c r="F27247" s="2423"/>
    </row>
    <row r="27248" s="101" customFormat="1" spans="6:6">
      <c r="F27248" s="2423"/>
    </row>
    <row r="27249" s="101" customFormat="1" spans="6:6">
      <c r="F27249" s="2423"/>
    </row>
    <row r="27250" s="101" customFormat="1" spans="6:6">
      <c r="F27250" s="2423"/>
    </row>
    <row r="27251" s="101" customFormat="1" spans="6:6">
      <c r="F27251" s="2423"/>
    </row>
    <row r="27252" s="101" customFormat="1" spans="6:6">
      <c r="F27252" s="2423"/>
    </row>
    <row r="27253" s="101" customFormat="1" spans="6:6">
      <c r="F27253" s="2423"/>
    </row>
    <row r="27254" s="101" customFormat="1" spans="6:6">
      <c r="F27254" s="2423"/>
    </row>
    <row r="27255" s="101" customFormat="1" spans="6:6">
      <c r="F27255" s="2423"/>
    </row>
    <row r="27256" s="101" customFormat="1" spans="6:6">
      <c r="F27256" s="2423"/>
    </row>
    <row r="27257" s="101" customFormat="1" spans="6:6">
      <c r="F27257" s="2423"/>
    </row>
    <row r="27258" s="101" customFormat="1" spans="6:6">
      <c r="F27258" s="2423"/>
    </row>
    <row r="27259" s="101" customFormat="1" spans="6:6">
      <c r="F27259" s="2423"/>
    </row>
    <row r="27260" s="101" customFormat="1" spans="6:6">
      <c r="F27260" s="2423"/>
    </row>
    <row r="27261" s="101" customFormat="1" spans="6:6">
      <c r="F27261" s="2423"/>
    </row>
    <row r="27262" s="101" customFormat="1" spans="6:6">
      <c r="F27262" s="2423"/>
    </row>
    <row r="27263" s="101" customFormat="1" spans="6:6">
      <c r="F27263" s="2423"/>
    </row>
    <row r="27264" s="101" customFormat="1" spans="6:6">
      <c r="F27264" s="2423"/>
    </row>
    <row r="27265" s="101" customFormat="1" spans="6:6">
      <c r="F27265" s="2423"/>
    </row>
    <row r="27266" s="101" customFormat="1" spans="6:6">
      <c r="F27266" s="2423"/>
    </row>
    <row r="27267" s="101" customFormat="1" spans="6:6">
      <c r="F27267" s="2423"/>
    </row>
    <row r="27268" s="101" customFormat="1" spans="6:6">
      <c r="F27268" s="2423"/>
    </row>
    <row r="27269" s="101" customFormat="1" spans="6:6">
      <c r="F27269" s="2423"/>
    </row>
    <row r="27270" s="101" customFormat="1" spans="6:6">
      <c r="F27270" s="2423"/>
    </row>
    <row r="27271" s="101" customFormat="1" spans="6:6">
      <c r="F27271" s="2423"/>
    </row>
    <row r="27272" s="101" customFormat="1" spans="6:6">
      <c r="F27272" s="2423"/>
    </row>
    <row r="27273" s="101" customFormat="1" spans="6:6">
      <c r="F27273" s="2423"/>
    </row>
    <row r="27274" s="101" customFormat="1" spans="6:6">
      <c r="F27274" s="2423"/>
    </row>
    <row r="27275" s="101" customFormat="1" spans="6:6">
      <c r="F27275" s="2423"/>
    </row>
    <row r="27276" s="101" customFormat="1" spans="6:6">
      <c r="F27276" s="2423"/>
    </row>
    <row r="27277" s="101" customFormat="1" spans="6:6">
      <c r="F27277" s="2423"/>
    </row>
    <row r="27278" s="101" customFormat="1" spans="6:6">
      <c r="F27278" s="2423"/>
    </row>
    <row r="27279" s="101" customFormat="1" spans="6:6">
      <c r="F27279" s="2423"/>
    </row>
    <row r="27280" s="101" customFormat="1" spans="6:6">
      <c r="F27280" s="2423"/>
    </row>
    <row r="27281" s="101" customFormat="1" spans="6:6">
      <c r="F27281" s="2423"/>
    </row>
    <row r="27282" s="101" customFormat="1" spans="6:6">
      <c r="F27282" s="2423"/>
    </row>
    <row r="27283" s="101" customFormat="1" spans="6:6">
      <c r="F27283" s="2423"/>
    </row>
    <row r="27284" s="101" customFormat="1" spans="6:6">
      <c r="F27284" s="2423"/>
    </row>
    <row r="27285" s="101" customFormat="1" spans="6:6">
      <c r="F27285" s="2423"/>
    </row>
    <row r="27286" s="101" customFormat="1" spans="6:6">
      <c r="F27286" s="2423"/>
    </row>
    <row r="27287" s="101" customFormat="1" spans="6:6">
      <c r="F27287" s="2423"/>
    </row>
    <row r="27288" s="101" customFormat="1" spans="6:6">
      <c r="F27288" s="2423"/>
    </row>
    <row r="27289" s="101" customFormat="1" spans="6:6">
      <c r="F27289" s="2423"/>
    </row>
    <row r="27290" s="101" customFormat="1" spans="6:6">
      <c r="F27290" s="2423"/>
    </row>
    <row r="27291" s="101" customFormat="1" spans="6:6">
      <c r="F27291" s="2423"/>
    </row>
    <row r="27292" s="101" customFormat="1" spans="6:6">
      <c r="F27292" s="2423"/>
    </row>
    <row r="27293" s="101" customFormat="1" spans="6:6">
      <c r="F27293" s="2423"/>
    </row>
    <row r="27294" s="101" customFormat="1" spans="6:6">
      <c r="F27294" s="2423"/>
    </row>
    <row r="27295" s="101" customFormat="1" spans="6:6">
      <c r="F27295" s="2423"/>
    </row>
    <row r="27296" s="101" customFormat="1" spans="6:6">
      <c r="F27296" s="2423"/>
    </row>
    <row r="27297" s="101" customFormat="1" spans="6:6">
      <c r="F27297" s="2423"/>
    </row>
    <row r="27298" s="101" customFormat="1" spans="6:6">
      <c r="F27298" s="2423"/>
    </row>
    <row r="27299" s="101" customFormat="1" spans="6:6">
      <c r="F27299" s="2423"/>
    </row>
    <row r="27300" s="101" customFormat="1" spans="6:6">
      <c r="F27300" s="2423"/>
    </row>
    <row r="27301" s="101" customFormat="1" spans="6:6">
      <c r="F27301" s="2423"/>
    </row>
    <row r="27302" s="101" customFormat="1" spans="6:6">
      <c r="F27302" s="2423"/>
    </row>
    <row r="27303" s="101" customFormat="1" spans="6:6">
      <c r="F27303" s="2423"/>
    </row>
    <row r="27304" s="101" customFormat="1" spans="6:6">
      <c r="F27304" s="2423"/>
    </row>
    <row r="27305" s="101" customFormat="1" spans="6:6">
      <c r="F27305" s="2423"/>
    </row>
    <row r="27306" s="101" customFormat="1" spans="6:6">
      <c r="F27306" s="2423"/>
    </row>
    <row r="27307" s="101" customFormat="1" spans="6:6">
      <c r="F27307" s="2423"/>
    </row>
    <row r="27308" s="101" customFormat="1" spans="6:6">
      <c r="F27308" s="2423"/>
    </row>
    <row r="27309" s="101" customFormat="1" spans="6:6">
      <c r="F27309" s="2423"/>
    </row>
    <row r="27310" s="101" customFormat="1" spans="6:6">
      <c r="F27310" s="2423"/>
    </row>
    <row r="27311" s="101" customFormat="1" spans="6:6">
      <c r="F27311" s="2423"/>
    </row>
    <row r="27312" s="101" customFormat="1" spans="6:6">
      <c r="F27312" s="2423"/>
    </row>
    <row r="27313" s="101" customFormat="1" spans="6:6">
      <c r="F27313" s="2423"/>
    </row>
    <row r="27314" s="101" customFormat="1" spans="6:6">
      <c r="F27314" s="2423"/>
    </row>
    <row r="27315" s="101" customFormat="1" spans="6:6">
      <c r="F27315" s="2423"/>
    </row>
    <row r="27316" s="101" customFormat="1" spans="6:6">
      <c r="F27316" s="2423"/>
    </row>
    <row r="27317" s="101" customFormat="1" spans="6:6">
      <c r="F27317" s="2423"/>
    </row>
    <row r="27318" s="101" customFormat="1" spans="6:6">
      <c r="F27318" s="2423"/>
    </row>
    <row r="27319" s="101" customFormat="1" spans="6:6">
      <c r="F27319" s="2423"/>
    </row>
    <row r="27320" s="101" customFormat="1" spans="6:6">
      <c r="F27320" s="2423"/>
    </row>
    <row r="27321" s="101" customFormat="1" spans="6:6">
      <c r="F27321" s="2423"/>
    </row>
    <row r="27322" s="101" customFormat="1" spans="6:6">
      <c r="F27322" s="2423"/>
    </row>
    <row r="27323" s="101" customFormat="1" spans="6:6">
      <c r="F27323" s="2423"/>
    </row>
    <row r="27324" s="101" customFormat="1" spans="6:6">
      <c r="F27324" s="2423"/>
    </row>
    <row r="27325" s="101" customFormat="1" spans="6:6">
      <c r="F27325" s="2423"/>
    </row>
    <row r="27326" s="101" customFormat="1" spans="6:6">
      <c r="F27326" s="2423"/>
    </row>
    <row r="27327" s="101" customFormat="1" spans="6:6">
      <c r="F27327" s="2423"/>
    </row>
    <row r="27328" s="101" customFormat="1" spans="6:6">
      <c r="F27328" s="2423"/>
    </row>
    <row r="27329" s="101" customFormat="1" spans="6:6">
      <c r="F27329" s="2423"/>
    </row>
    <row r="27330" s="101" customFormat="1" spans="6:6">
      <c r="F27330" s="2423"/>
    </row>
    <row r="27331" s="101" customFormat="1" spans="6:6">
      <c r="F27331" s="2423"/>
    </row>
    <row r="27332" s="101" customFormat="1" spans="6:6">
      <c r="F27332" s="2423"/>
    </row>
    <row r="27333" s="101" customFormat="1" spans="6:6">
      <c r="F27333" s="2423"/>
    </row>
    <row r="27334" s="101" customFormat="1" spans="6:6">
      <c r="F27334" s="2423"/>
    </row>
    <row r="27335" s="101" customFormat="1" spans="6:6">
      <c r="F27335" s="2423"/>
    </row>
    <row r="27336" s="101" customFormat="1" spans="6:6">
      <c r="F27336" s="2423"/>
    </row>
    <row r="27337" s="101" customFormat="1" spans="6:6">
      <c r="F27337" s="2423"/>
    </row>
    <row r="27338" s="101" customFormat="1" spans="6:6">
      <c r="F27338" s="2423"/>
    </row>
    <row r="27339" s="101" customFormat="1" spans="6:6">
      <c r="F27339" s="2423"/>
    </row>
    <row r="27340" s="101" customFormat="1" spans="6:6">
      <c r="F27340" s="2423"/>
    </row>
    <row r="27341" s="101" customFormat="1" spans="6:6">
      <c r="F27341" s="2423"/>
    </row>
    <row r="27342" s="101" customFormat="1" spans="6:6">
      <c r="F27342" s="2423"/>
    </row>
    <row r="27343" s="101" customFormat="1" spans="6:6">
      <c r="F27343" s="2423"/>
    </row>
    <row r="27344" s="101" customFormat="1" spans="6:6">
      <c r="F27344" s="2423"/>
    </row>
    <row r="27345" s="101" customFormat="1" spans="6:6">
      <c r="F27345" s="2423"/>
    </row>
    <row r="27346" s="101" customFormat="1" spans="6:6">
      <c r="F27346" s="2423"/>
    </row>
    <row r="27347" s="101" customFormat="1" spans="6:6">
      <c r="F27347" s="2423"/>
    </row>
    <row r="27348" s="101" customFormat="1" spans="6:6">
      <c r="F27348" s="2423"/>
    </row>
    <row r="27349" s="101" customFormat="1" spans="6:6">
      <c r="F27349" s="2423"/>
    </row>
    <row r="27350" s="101" customFormat="1" spans="6:6">
      <c r="F27350" s="2423"/>
    </row>
    <row r="27351" s="101" customFormat="1" spans="6:6">
      <c r="F27351" s="2423"/>
    </row>
    <row r="27352" s="101" customFormat="1" spans="6:6">
      <c r="F27352" s="2423"/>
    </row>
    <row r="27353" s="101" customFormat="1" spans="6:6">
      <c r="F27353" s="2423"/>
    </row>
    <row r="27354" s="101" customFormat="1" spans="6:6">
      <c r="F27354" s="2423"/>
    </row>
    <row r="27355" s="101" customFormat="1" spans="6:6">
      <c r="F27355" s="2423"/>
    </row>
    <row r="27356" s="101" customFormat="1" spans="6:6">
      <c r="F27356" s="2423"/>
    </row>
    <row r="27357" s="101" customFormat="1" spans="6:6">
      <c r="F27357" s="2423"/>
    </row>
    <row r="27358" s="101" customFormat="1" spans="6:6">
      <c r="F27358" s="2423"/>
    </row>
    <row r="27359" s="101" customFormat="1" spans="6:6">
      <c r="F27359" s="2423"/>
    </row>
    <row r="27360" s="101" customFormat="1" spans="6:6">
      <c r="F27360" s="2423"/>
    </row>
    <row r="27361" s="101" customFormat="1" spans="6:6">
      <c r="F27361" s="2423"/>
    </row>
    <row r="27362" s="101" customFormat="1" spans="6:6">
      <c r="F27362" s="2423"/>
    </row>
    <row r="27363" s="101" customFormat="1" spans="6:6">
      <c r="F27363" s="2423"/>
    </row>
    <row r="27364" s="101" customFormat="1" spans="6:6">
      <c r="F27364" s="2423"/>
    </row>
    <row r="27365" s="101" customFormat="1" spans="6:6">
      <c r="F27365" s="2423"/>
    </row>
    <row r="27366" s="101" customFormat="1" spans="6:6">
      <c r="F27366" s="2423"/>
    </row>
    <row r="27367" s="101" customFormat="1" spans="6:6">
      <c r="F27367" s="2423"/>
    </row>
    <row r="27368" s="101" customFormat="1" spans="6:6">
      <c r="F27368" s="2423"/>
    </row>
    <row r="27369" s="101" customFormat="1" spans="6:6">
      <c r="F27369" s="2423"/>
    </row>
    <row r="27370" s="101" customFormat="1" spans="6:6">
      <c r="F27370" s="2423"/>
    </row>
    <row r="27371" s="101" customFormat="1" spans="6:6">
      <c r="F27371" s="2423"/>
    </row>
    <row r="27372" s="101" customFormat="1" spans="6:6">
      <c r="F27372" s="2423"/>
    </row>
    <row r="27373" s="101" customFormat="1" spans="6:6">
      <c r="F27373" s="2423"/>
    </row>
    <row r="27374" s="101" customFormat="1" spans="6:6">
      <c r="F27374" s="2423"/>
    </row>
    <row r="27375" s="101" customFormat="1" spans="6:6">
      <c r="F27375" s="2423"/>
    </row>
    <row r="27376" s="101" customFormat="1" spans="6:6">
      <c r="F27376" s="2423"/>
    </row>
    <row r="27377" s="101" customFormat="1" spans="6:6">
      <c r="F27377" s="2423"/>
    </row>
    <row r="27378" s="101" customFormat="1" spans="6:6">
      <c r="F27378" s="2423"/>
    </row>
    <row r="27379" s="101" customFormat="1" spans="6:6">
      <c r="F27379" s="2423"/>
    </row>
    <row r="27380" s="101" customFormat="1" spans="6:6">
      <c r="F27380" s="2423"/>
    </row>
    <row r="27381" s="101" customFormat="1" spans="6:6">
      <c r="F27381" s="2423"/>
    </row>
    <row r="27382" s="101" customFormat="1" spans="6:6">
      <c r="F27382" s="2423"/>
    </row>
    <row r="27383" s="101" customFormat="1" spans="6:6">
      <c r="F27383" s="2423"/>
    </row>
    <row r="27384" s="101" customFormat="1" spans="6:6">
      <c r="F27384" s="2423"/>
    </row>
    <row r="27385" s="101" customFormat="1" spans="6:6">
      <c r="F27385" s="2423"/>
    </row>
    <row r="27386" s="101" customFormat="1" spans="6:6">
      <c r="F27386" s="2423"/>
    </row>
    <row r="27387" s="101" customFormat="1" spans="6:6">
      <c r="F27387" s="2423"/>
    </row>
    <row r="27388" s="101" customFormat="1" spans="6:6">
      <c r="F27388" s="2423"/>
    </row>
    <row r="27389" s="101" customFormat="1" spans="6:6">
      <c r="F27389" s="2423"/>
    </row>
    <row r="27390" s="101" customFormat="1" spans="6:6">
      <c r="F27390" s="2423"/>
    </row>
    <row r="27391" s="101" customFormat="1" spans="6:6">
      <c r="F27391" s="2423"/>
    </row>
    <row r="27392" s="101" customFormat="1" spans="6:6">
      <c r="F27392" s="2423"/>
    </row>
    <row r="27393" s="101" customFormat="1" spans="6:6">
      <c r="F27393" s="2423"/>
    </row>
    <row r="27394" s="101" customFormat="1" spans="6:6">
      <c r="F27394" s="2423"/>
    </row>
    <row r="27395" s="101" customFormat="1" spans="6:6">
      <c r="F27395" s="2423"/>
    </row>
    <row r="27396" s="101" customFormat="1" spans="6:6">
      <c r="F27396" s="2423"/>
    </row>
    <row r="27397" s="101" customFormat="1" spans="6:6">
      <c r="F27397" s="2423"/>
    </row>
    <row r="27398" s="101" customFormat="1" spans="6:6">
      <c r="F27398" s="2423"/>
    </row>
    <row r="27399" s="101" customFormat="1" spans="6:6">
      <c r="F27399" s="2423"/>
    </row>
    <row r="27400" s="101" customFormat="1" spans="6:6">
      <c r="F27400" s="2423"/>
    </row>
    <row r="27401" s="101" customFormat="1" spans="6:6">
      <c r="F27401" s="2423"/>
    </row>
    <row r="27402" s="101" customFormat="1" spans="6:6">
      <c r="F27402" s="2423"/>
    </row>
    <row r="27403" s="101" customFormat="1" spans="6:6">
      <c r="F27403" s="2423"/>
    </row>
    <row r="27404" s="101" customFormat="1" spans="6:6">
      <c r="F27404" s="2423"/>
    </row>
    <row r="27405" s="101" customFormat="1" spans="6:6">
      <c r="F27405" s="2423"/>
    </row>
    <row r="27406" s="101" customFormat="1" spans="6:6">
      <c r="F27406" s="2423"/>
    </row>
    <row r="27407" s="101" customFormat="1" spans="6:6">
      <c r="F27407" s="2423"/>
    </row>
    <row r="27408" s="101" customFormat="1" spans="6:6">
      <c r="F27408" s="2423"/>
    </row>
    <row r="27409" s="101" customFormat="1" spans="6:6">
      <c r="F27409" s="2423"/>
    </row>
    <row r="27410" s="101" customFormat="1" spans="6:6">
      <c r="F27410" s="2423"/>
    </row>
    <row r="27411" s="101" customFormat="1" spans="6:6">
      <c r="F27411" s="2423"/>
    </row>
    <row r="27412" s="101" customFormat="1" spans="6:6">
      <c r="F27412" s="2423"/>
    </row>
    <row r="27413" s="101" customFormat="1" spans="6:6">
      <c r="F27413" s="2423"/>
    </row>
    <row r="27414" s="101" customFormat="1" spans="6:6">
      <c r="F27414" s="2423"/>
    </row>
    <row r="27415" s="101" customFormat="1" spans="6:6">
      <c r="F27415" s="2423"/>
    </row>
    <row r="27416" s="101" customFormat="1" spans="6:6">
      <c r="F27416" s="2423"/>
    </row>
    <row r="27417" s="101" customFormat="1" spans="6:6">
      <c r="F27417" s="2423"/>
    </row>
    <row r="27418" s="101" customFormat="1" spans="6:6">
      <c r="F27418" s="2423"/>
    </row>
    <row r="27419" s="101" customFormat="1" spans="6:6">
      <c r="F27419" s="2423"/>
    </row>
    <row r="27420" s="101" customFormat="1" spans="6:6">
      <c r="F27420" s="2423"/>
    </row>
    <row r="27421" s="101" customFormat="1" spans="6:6">
      <c r="F27421" s="2423"/>
    </row>
    <row r="27422" s="101" customFormat="1" spans="6:6">
      <c r="F27422" s="2423"/>
    </row>
    <row r="27423" s="101" customFormat="1" spans="6:6">
      <c r="F27423" s="2423"/>
    </row>
    <row r="27424" s="101" customFormat="1" spans="6:6">
      <c r="F27424" s="2423"/>
    </row>
    <row r="27425" s="101" customFormat="1" spans="6:6">
      <c r="F27425" s="2423"/>
    </row>
    <row r="27426" s="101" customFormat="1" spans="6:6">
      <c r="F27426" s="2423"/>
    </row>
    <row r="27427" s="101" customFormat="1" spans="6:6">
      <c r="F27427" s="2423"/>
    </row>
    <row r="27428" s="101" customFormat="1" spans="6:6">
      <c r="F27428" s="2423"/>
    </row>
    <row r="27429" s="101" customFormat="1" spans="6:6">
      <c r="F27429" s="2423"/>
    </row>
    <row r="27430" s="101" customFormat="1" spans="6:6">
      <c r="F27430" s="2423"/>
    </row>
    <row r="27431" s="101" customFormat="1" spans="6:6">
      <c r="F27431" s="2423"/>
    </row>
    <row r="27432" s="101" customFormat="1" spans="6:6">
      <c r="F27432" s="2423"/>
    </row>
    <row r="27433" s="101" customFormat="1" spans="6:6">
      <c r="F27433" s="2423"/>
    </row>
    <row r="27434" s="101" customFormat="1" spans="6:6">
      <c r="F27434" s="2423"/>
    </row>
    <row r="27435" s="101" customFormat="1" spans="6:6">
      <c r="F27435" s="2423"/>
    </row>
    <row r="27436" s="101" customFormat="1" spans="6:6">
      <c r="F27436" s="2423"/>
    </row>
    <row r="27437" s="101" customFormat="1" spans="6:6">
      <c r="F27437" s="2423"/>
    </row>
    <row r="27438" s="101" customFormat="1" spans="6:6">
      <c r="F27438" s="2423"/>
    </row>
    <row r="27439" s="101" customFormat="1" spans="6:6">
      <c r="F27439" s="2423"/>
    </row>
    <row r="27440" s="101" customFormat="1" spans="6:6">
      <c r="F27440" s="2423"/>
    </row>
    <row r="27441" s="101" customFormat="1" spans="6:6">
      <c r="F27441" s="2423"/>
    </row>
    <row r="27442" s="101" customFormat="1" spans="6:6">
      <c r="F27442" s="2423"/>
    </row>
    <row r="27443" s="101" customFormat="1" spans="6:6">
      <c r="F27443" s="2423"/>
    </row>
    <row r="27444" s="101" customFormat="1" spans="6:6">
      <c r="F27444" s="2423"/>
    </row>
    <row r="27445" s="101" customFormat="1" spans="6:6">
      <c r="F27445" s="2423"/>
    </row>
    <row r="27446" s="101" customFormat="1" spans="6:6">
      <c r="F27446" s="2423"/>
    </row>
    <row r="27447" s="101" customFormat="1" spans="6:6">
      <c r="F27447" s="2423"/>
    </row>
    <row r="27448" s="101" customFormat="1" spans="6:6">
      <c r="F27448" s="2423"/>
    </row>
    <row r="27449" s="101" customFormat="1" spans="6:6">
      <c r="F27449" s="2423"/>
    </row>
    <row r="27450" s="101" customFormat="1" spans="6:6">
      <c r="F27450" s="2423"/>
    </row>
    <row r="27451" s="101" customFormat="1" spans="6:6">
      <c r="F27451" s="2423"/>
    </row>
    <row r="27452" s="101" customFormat="1" spans="6:6">
      <c r="F27452" s="2423"/>
    </row>
    <row r="27453" s="101" customFormat="1" spans="6:6">
      <c r="F27453" s="2423"/>
    </row>
    <row r="27454" s="101" customFormat="1" spans="6:6">
      <c r="F27454" s="2423"/>
    </row>
    <row r="27455" s="101" customFormat="1" spans="6:6">
      <c r="F27455" s="2423"/>
    </row>
    <row r="27456" s="101" customFormat="1" spans="6:6">
      <c r="F27456" s="2423"/>
    </row>
    <row r="27457" s="101" customFormat="1" spans="6:6">
      <c r="F27457" s="2423"/>
    </row>
    <row r="27458" s="101" customFormat="1" spans="6:6">
      <c r="F27458" s="2423"/>
    </row>
    <row r="27459" s="101" customFormat="1" spans="6:6">
      <c r="F27459" s="2423"/>
    </row>
    <row r="27460" s="101" customFormat="1" spans="6:6">
      <c r="F27460" s="2423"/>
    </row>
    <row r="27461" s="101" customFormat="1" spans="6:6">
      <c r="F27461" s="2423"/>
    </row>
    <row r="27462" s="101" customFormat="1" spans="6:6">
      <c r="F27462" s="2423"/>
    </row>
    <row r="27463" s="101" customFormat="1" spans="6:6">
      <c r="F27463" s="2423"/>
    </row>
    <row r="27464" s="101" customFormat="1" spans="6:6">
      <c r="F27464" s="2423"/>
    </row>
    <row r="27465" s="101" customFormat="1" spans="6:6">
      <c r="F27465" s="2423"/>
    </row>
    <row r="27466" s="101" customFormat="1" spans="6:6">
      <c r="F27466" s="2423"/>
    </row>
    <row r="27467" s="101" customFormat="1" spans="6:6">
      <c r="F27467" s="2423"/>
    </row>
    <row r="27468" s="101" customFormat="1" spans="6:6">
      <c r="F27468" s="2423"/>
    </row>
    <row r="27469" s="101" customFormat="1" spans="6:6">
      <c r="F27469" s="2423"/>
    </row>
    <row r="27470" s="101" customFormat="1" spans="6:6">
      <c r="F27470" s="2423"/>
    </row>
    <row r="27471" s="101" customFormat="1" spans="6:6">
      <c r="F27471" s="2423"/>
    </row>
    <row r="27472" s="101" customFormat="1" spans="6:6">
      <c r="F27472" s="2423"/>
    </row>
    <row r="27473" s="101" customFormat="1" spans="6:6">
      <c r="F27473" s="2423"/>
    </row>
    <row r="27474" s="101" customFormat="1" spans="6:6">
      <c r="F27474" s="2423"/>
    </row>
    <row r="27475" s="101" customFormat="1" spans="6:6">
      <c r="F27475" s="2423"/>
    </row>
    <row r="27476" s="101" customFormat="1" spans="6:6">
      <c r="F27476" s="2423"/>
    </row>
    <row r="27477" s="101" customFormat="1" spans="6:6">
      <c r="F27477" s="2423"/>
    </row>
    <row r="27478" s="101" customFormat="1" spans="6:6">
      <c r="F27478" s="2423"/>
    </row>
    <row r="27479" s="101" customFormat="1" spans="6:6">
      <c r="F27479" s="2423"/>
    </row>
    <row r="27480" s="101" customFormat="1" spans="6:6">
      <c r="F27480" s="2423"/>
    </row>
    <row r="27481" s="101" customFormat="1" spans="6:6">
      <c r="F27481" s="2423"/>
    </row>
    <row r="27482" s="101" customFormat="1" spans="6:6">
      <c r="F27482" s="2423"/>
    </row>
    <row r="27483" s="101" customFormat="1" spans="6:6">
      <c r="F27483" s="2423"/>
    </row>
    <row r="27484" s="101" customFormat="1" spans="6:6">
      <c r="F27484" s="2423"/>
    </row>
    <row r="27485" s="101" customFormat="1" spans="6:6">
      <c r="F27485" s="2423"/>
    </row>
    <row r="27486" s="101" customFormat="1" spans="6:6">
      <c r="F27486" s="2423"/>
    </row>
    <row r="27487" s="101" customFormat="1" spans="6:6">
      <c r="F27487" s="2423"/>
    </row>
    <row r="27488" s="101" customFormat="1" spans="6:6">
      <c r="F27488" s="2423"/>
    </row>
    <row r="27489" s="101" customFormat="1" spans="6:6">
      <c r="F27489" s="2423"/>
    </row>
    <row r="27490" s="101" customFormat="1" spans="6:6">
      <c r="F27490" s="2423"/>
    </row>
    <row r="27491" s="101" customFormat="1" spans="6:6">
      <c r="F27491" s="2423"/>
    </row>
    <row r="27492" s="101" customFormat="1" spans="6:6">
      <c r="F27492" s="2423"/>
    </row>
    <row r="27493" s="101" customFormat="1" spans="6:6">
      <c r="F27493" s="2423"/>
    </row>
    <row r="27494" s="101" customFormat="1" spans="6:6">
      <c r="F27494" s="2423"/>
    </row>
    <row r="27495" s="101" customFormat="1" spans="6:6">
      <c r="F27495" s="2423"/>
    </row>
    <row r="27496" s="101" customFormat="1" spans="6:6">
      <c r="F27496" s="2423"/>
    </row>
    <row r="27497" s="101" customFormat="1" spans="6:6">
      <c r="F27497" s="2423"/>
    </row>
    <row r="27498" s="101" customFormat="1" spans="6:6">
      <c r="F27498" s="2423"/>
    </row>
    <row r="27499" s="101" customFormat="1" spans="6:6">
      <c r="F27499" s="2423"/>
    </row>
    <row r="27500" s="101" customFormat="1" spans="6:6">
      <c r="F27500" s="2423"/>
    </row>
    <row r="27501" s="101" customFormat="1" spans="6:6">
      <c r="F27501" s="2423"/>
    </row>
    <row r="27502" s="101" customFormat="1" spans="6:6">
      <c r="F27502" s="2423"/>
    </row>
    <row r="27503" s="101" customFormat="1" spans="6:6">
      <c r="F27503" s="2423"/>
    </row>
    <row r="27504" s="101" customFormat="1" spans="6:6">
      <c r="F27504" s="2423"/>
    </row>
    <row r="27505" s="101" customFormat="1" spans="6:6">
      <c r="F27505" s="2423"/>
    </row>
    <row r="27506" s="101" customFormat="1" spans="6:6">
      <c r="F27506" s="2423"/>
    </row>
    <row r="27507" s="101" customFormat="1" spans="6:6">
      <c r="F27507" s="2423"/>
    </row>
    <row r="27508" s="101" customFormat="1" spans="6:6">
      <c r="F27508" s="2423"/>
    </row>
    <row r="27509" s="101" customFormat="1" spans="6:6">
      <c r="F27509" s="2423"/>
    </row>
    <row r="27510" s="101" customFormat="1" spans="6:6">
      <c r="F27510" s="2423"/>
    </row>
    <row r="27511" s="101" customFormat="1" spans="6:6">
      <c r="F27511" s="2423"/>
    </row>
    <row r="27512" s="101" customFormat="1" spans="6:6">
      <c r="F27512" s="2423"/>
    </row>
    <row r="27513" s="101" customFormat="1" spans="6:6">
      <c r="F27513" s="2423"/>
    </row>
    <row r="27514" s="101" customFormat="1" spans="6:6">
      <c r="F27514" s="2423"/>
    </row>
    <row r="27515" s="101" customFormat="1" spans="6:6">
      <c r="F27515" s="2423"/>
    </row>
    <row r="27516" s="101" customFormat="1" spans="6:6">
      <c r="F27516" s="2423"/>
    </row>
    <row r="27517" s="101" customFormat="1" spans="6:6">
      <c r="F27517" s="2423"/>
    </row>
    <row r="27518" s="101" customFormat="1" spans="6:6">
      <c r="F27518" s="2423"/>
    </row>
    <row r="27519" s="101" customFormat="1" spans="6:6">
      <c r="F27519" s="2423"/>
    </row>
    <row r="27520" s="101" customFormat="1" spans="6:6">
      <c r="F27520" s="2423"/>
    </row>
    <row r="27521" s="101" customFormat="1" spans="6:6">
      <c r="F27521" s="2423"/>
    </row>
    <row r="27522" s="101" customFormat="1" spans="6:6">
      <c r="F27522" s="2423"/>
    </row>
    <row r="27523" s="101" customFormat="1" spans="6:6">
      <c r="F27523" s="2423"/>
    </row>
    <row r="27524" s="101" customFormat="1" spans="6:6">
      <c r="F27524" s="2423"/>
    </row>
    <row r="27525" s="101" customFormat="1" spans="6:6">
      <c r="F27525" s="2423"/>
    </row>
    <row r="27526" s="101" customFormat="1" spans="6:6">
      <c r="F27526" s="2423"/>
    </row>
    <row r="27527" s="101" customFormat="1" spans="6:6">
      <c r="F27527" s="2423"/>
    </row>
    <row r="27528" s="101" customFormat="1" spans="6:6">
      <c r="F27528" s="2423"/>
    </row>
    <row r="27529" s="101" customFormat="1" spans="6:6">
      <c r="F27529" s="2423"/>
    </row>
    <row r="27530" s="101" customFormat="1" spans="6:6">
      <c r="F27530" s="2423"/>
    </row>
    <row r="27531" s="101" customFormat="1" spans="6:6">
      <c r="F27531" s="2423"/>
    </row>
    <row r="27532" s="101" customFormat="1" spans="6:6">
      <c r="F27532" s="2423"/>
    </row>
    <row r="27533" s="101" customFormat="1" spans="6:6">
      <c r="F27533" s="2423"/>
    </row>
    <row r="27534" s="101" customFormat="1" spans="6:6">
      <c r="F27534" s="2423"/>
    </row>
    <row r="27535" s="101" customFormat="1" spans="6:6">
      <c r="F27535" s="2423"/>
    </row>
    <row r="27536" s="101" customFormat="1" spans="6:6">
      <c r="F27536" s="2423"/>
    </row>
    <row r="27537" s="101" customFormat="1" spans="6:6">
      <c r="F27537" s="2423"/>
    </row>
    <row r="27538" s="101" customFormat="1" spans="6:6">
      <c r="F27538" s="2423"/>
    </row>
    <row r="27539" s="101" customFormat="1" spans="6:6">
      <c r="F27539" s="2423"/>
    </row>
    <row r="27540" s="101" customFormat="1" spans="6:6">
      <c r="F27540" s="2423"/>
    </row>
    <row r="27541" s="101" customFormat="1" spans="6:6">
      <c r="F27541" s="2423"/>
    </row>
    <row r="27542" s="101" customFormat="1" spans="6:6">
      <c r="F27542" s="2423"/>
    </row>
    <row r="27543" s="101" customFormat="1" spans="6:6">
      <c r="F27543" s="2423"/>
    </row>
    <row r="27544" s="101" customFormat="1" spans="6:6">
      <c r="F27544" s="2423"/>
    </row>
    <row r="27545" s="101" customFormat="1" spans="6:6">
      <c r="F27545" s="2423"/>
    </row>
    <row r="27546" s="101" customFormat="1" spans="6:6">
      <c r="F27546" s="2423"/>
    </row>
    <row r="27547" s="101" customFormat="1" spans="6:6">
      <c r="F27547" s="2423"/>
    </row>
    <row r="27548" s="101" customFormat="1" spans="6:6">
      <c r="F27548" s="2423"/>
    </row>
    <row r="27549" s="101" customFormat="1" spans="6:6">
      <c r="F27549" s="2423"/>
    </row>
    <row r="27550" s="101" customFormat="1" spans="6:6">
      <c r="F27550" s="2423"/>
    </row>
    <row r="27551" s="101" customFormat="1" spans="6:6">
      <c r="F27551" s="2423"/>
    </row>
    <row r="27552" s="101" customFormat="1" spans="6:6">
      <c r="F27552" s="2423"/>
    </row>
    <row r="27553" s="101" customFormat="1" spans="6:6">
      <c r="F27553" s="2423"/>
    </row>
    <row r="27554" s="101" customFormat="1" spans="6:6">
      <c r="F27554" s="2423"/>
    </row>
    <row r="27555" s="101" customFormat="1" spans="6:6">
      <c r="F27555" s="2423"/>
    </row>
    <row r="27556" s="101" customFormat="1" spans="6:6">
      <c r="F27556" s="2423"/>
    </row>
    <row r="27557" s="101" customFormat="1" spans="6:6">
      <c r="F27557" s="2423"/>
    </row>
    <row r="27558" s="101" customFormat="1" spans="6:6">
      <c r="F27558" s="2423"/>
    </row>
    <row r="27559" s="101" customFormat="1" spans="6:6">
      <c r="F27559" s="2423"/>
    </row>
    <row r="27560" s="101" customFormat="1" spans="6:6">
      <c r="F27560" s="2423"/>
    </row>
    <row r="27561" s="101" customFormat="1" spans="6:6">
      <c r="F27561" s="2423"/>
    </row>
    <row r="27562" s="101" customFormat="1" spans="6:6">
      <c r="F27562" s="2423"/>
    </row>
    <row r="27563" s="101" customFormat="1" spans="6:6">
      <c r="F27563" s="2423"/>
    </row>
    <row r="27564" s="101" customFormat="1" spans="6:6">
      <c r="F27564" s="2423"/>
    </row>
    <row r="27565" s="101" customFormat="1" spans="6:6">
      <c r="F27565" s="2423"/>
    </row>
    <row r="27566" s="101" customFormat="1" spans="6:6">
      <c r="F27566" s="2423"/>
    </row>
    <row r="27567" s="101" customFormat="1" spans="6:6">
      <c r="F27567" s="2423"/>
    </row>
    <row r="27568" s="101" customFormat="1" spans="6:6">
      <c r="F27568" s="2423"/>
    </row>
    <row r="27569" s="101" customFormat="1" spans="6:6">
      <c r="F27569" s="2423"/>
    </row>
    <row r="27570" s="101" customFormat="1" spans="6:6">
      <c r="F27570" s="2423"/>
    </row>
    <row r="27571" s="101" customFormat="1" spans="6:6">
      <c r="F27571" s="2423"/>
    </row>
    <row r="27572" s="101" customFormat="1" spans="6:6">
      <c r="F27572" s="2423"/>
    </row>
    <row r="27573" s="101" customFormat="1" spans="6:6">
      <c r="F27573" s="2423"/>
    </row>
    <row r="27574" s="101" customFormat="1" spans="6:6">
      <c r="F27574" s="2423"/>
    </row>
    <row r="27575" s="101" customFormat="1" spans="6:6">
      <c r="F27575" s="2423"/>
    </row>
    <row r="27576" s="101" customFormat="1" spans="6:6">
      <c r="F27576" s="2423"/>
    </row>
    <row r="27577" s="101" customFormat="1" spans="6:6">
      <c r="F27577" s="2423"/>
    </row>
    <row r="27578" s="101" customFormat="1" spans="6:6">
      <c r="F27578" s="2423"/>
    </row>
    <row r="27579" s="101" customFormat="1" spans="6:6">
      <c r="F27579" s="2423"/>
    </row>
    <row r="27580" s="101" customFormat="1" spans="6:6">
      <c r="F27580" s="2423"/>
    </row>
    <row r="27581" s="101" customFormat="1" spans="6:6">
      <c r="F27581" s="2423"/>
    </row>
    <row r="27582" s="101" customFormat="1" spans="6:6">
      <c r="F27582" s="2423"/>
    </row>
    <row r="27583" s="101" customFormat="1" spans="6:6">
      <c r="F27583" s="2423"/>
    </row>
    <row r="27584" s="101" customFormat="1" spans="6:6">
      <c r="F27584" s="2423"/>
    </row>
    <row r="27585" s="101" customFormat="1" spans="6:6">
      <c r="F27585" s="2423"/>
    </row>
    <row r="27586" s="101" customFormat="1" spans="6:6">
      <c r="F27586" s="2423"/>
    </row>
    <row r="27587" s="101" customFormat="1" spans="6:6">
      <c r="F27587" s="2423"/>
    </row>
    <row r="27588" s="101" customFormat="1" spans="6:6">
      <c r="F27588" s="2423"/>
    </row>
    <row r="27589" s="101" customFormat="1" spans="6:6">
      <c r="F27589" s="2423"/>
    </row>
    <row r="27590" s="101" customFormat="1" spans="6:6">
      <c r="F27590" s="2423"/>
    </row>
    <row r="27591" s="101" customFormat="1" spans="6:6">
      <c r="F27591" s="2423"/>
    </row>
    <row r="27592" s="101" customFormat="1" spans="6:6">
      <c r="F27592" s="2423"/>
    </row>
    <row r="27593" s="101" customFormat="1" spans="6:6">
      <c r="F27593" s="2423"/>
    </row>
    <row r="27594" s="101" customFormat="1" spans="6:6">
      <c r="F27594" s="2423"/>
    </row>
    <row r="27595" s="101" customFormat="1" spans="6:6">
      <c r="F27595" s="2423"/>
    </row>
    <row r="27596" s="101" customFormat="1" spans="6:6">
      <c r="F27596" s="2423"/>
    </row>
    <row r="27597" s="101" customFormat="1" spans="6:6">
      <c r="F27597" s="2423"/>
    </row>
    <row r="27598" s="101" customFormat="1" spans="6:6">
      <c r="F27598" s="2423"/>
    </row>
    <row r="27599" s="101" customFormat="1" spans="6:6">
      <c r="F27599" s="2423"/>
    </row>
    <row r="27600" s="101" customFormat="1" spans="6:6">
      <c r="F27600" s="2423"/>
    </row>
    <row r="27601" s="101" customFormat="1" spans="6:6">
      <c r="F27601" s="2423"/>
    </row>
    <row r="27602" s="101" customFormat="1" spans="6:6">
      <c r="F27602" s="2423"/>
    </row>
    <row r="27603" s="101" customFormat="1" spans="6:6">
      <c r="F27603" s="2423"/>
    </row>
    <row r="27604" s="101" customFormat="1" spans="6:6">
      <c r="F27604" s="2423"/>
    </row>
    <row r="27605" s="101" customFormat="1" spans="6:6">
      <c r="F27605" s="2423"/>
    </row>
    <row r="27606" s="101" customFormat="1" spans="6:6">
      <c r="F27606" s="2423"/>
    </row>
    <row r="27607" s="101" customFormat="1" spans="6:6">
      <c r="F27607" s="2423"/>
    </row>
    <row r="27608" s="101" customFormat="1" spans="6:6">
      <c r="F27608" s="2423"/>
    </row>
    <row r="27609" s="101" customFormat="1" spans="6:6">
      <c r="F27609" s="2423"/>
    </row>
    <row r="27610" s="101" customFormat="1" spans="6:6">
      <c r="F27610" s="2423"/>
    </row>
    <row r="27611" s="101" customFormat="1" spans="6:6">
      <c r="F27611" s="2423"/>
    </row>
    <row r="27612" s="101" customFormat="1" spans="6:6">
      <c r="F27612" s="2423"/>
    </row>
    <row r="27613" s="101" customFormat="1" spans="6:6">
      <c r="F27613" s="2423"/>
    </row>
    <row r="27614" s="101" customFormat="1" spans="6:6">
      <c r="F27614" s="2423"/>
    </row>
    <row r="27615" s="101" customFormat="1" spans="6:6">
      <c r="F27615" s="2423"/>
    </row>
    <row r="27616" s="101" customFormat="1" spans="6:6">
      <c r="F27616" s="2423"/>
    </row>
    <row r="27617" s="101" customFormat="1" spans="6:6">
      <c r="F27617" s="2423"/>
    </row>
    <row r="27618" s="101" customFormat="1" spans="6:6">
      <c r="F27618" s="2423"/>
    </row>
    <row r="27619" s="101" customFormat="1" spans="6:6">
      <c r="F27619" s="2423"/>
    </row>
    <row r="27620" s="101" customFormat="1" spans="6:6">
      <c r="F27620" s="2423"/>
    </row>
    <row r="27621" s="101" customFormat="1" spans="6:6">
      <c r="F27621" s="2423"/>
    </row>
    <row r="27622" s="101" customFormat="1" spans="6:6">
      <c r="F27622" s="2423"/>
    </row>
    <row r="27623" s="101" customFormat="1" spans="6:6">
      <c r="F27623" s="2423"/>
    </row>
    <row r="27624" s="101" customFormat="1" spans="6:6">
      <c r="F27624" s="2423"/>
    </row>
    <row r="27625" s="101" customFormat="1" spans="6:6">
      <c r="F27625" s="2423"/>
    </row>
    <row r="27626" s="101" customFormat="1" spans="6:6">
      <c r="F27626" s="2423"/>
    </row>
    <row r="27627" s="101" customFormat="1" spans="6:6">
      <c r="F27627" s="2423"/>
    </row>
    <row r="27628" s="101" customFormat="1" spans="6:6">
      <c r="F27628" s="2423"/>
    </row>
    <row r="27629" s="101" customFormat="1" spans="6:6">
      <c r="F27629" s="2423"/>
    </row>
    <row r="27630" s="101" customFormat="1" spans="6:6">
      <c r="F27630" s="2423"/>
    </row>
    <row r="27631" s="101" customFormat="1" spans="6:6">
      <c r="F27631" s="2423"/>
    </row>
    <row r="27632" s="101" customFormat="1" spans="6:6">
      <c r="F27632" s="2423"/>
    </row>
    <row r="27633" s="101" customFormat="1" spans="6:6">
      <c r="F27633" s="2423"/>
    </row>
    <row r="27634" s="101" customFormat="1" spans="6:6">
      <c r="F27634" s="2423"/>
    </row>
    <row r="27635" s="101" customFormat="1" spans="6:6">
      <c r="F27635" s="2423"/>
    </row>
    <row r="27636" s="101" customFormat="1" spans="6:6">
      <c r="F27636" s="2423"/>
    </row>
    <row r="27637" s="101" customFormat="1" spans="6:6">
      <c r="F27637" s="2423"/>
    </row>
    <row r="27638" s="101" customFormat="1" spans="6:6">
      <c r="F27638" s="2423"/>
    </row>
    <row r="27639" s="101" customFormat="1" spans="6:6">
      <c r="F27639" s="2423"/>
    </row>
    <row r="27640" s="101" customFormat="1" spans="6:6">
      <c r="F27640" s="2423"/>
    </row>
    <row r="27641" s="101" customFormat="1" spans="6:6">
      <c r="F27641" s="2423"/>
    </row>
    <row r="27642" s="101" customFormat="1" spans="6:6">
      <c r="F27642" s="2423"/>
    </row>
    <row r="27643" s="101" customFormat="1" spans="6:6">
      <c r="F27643" s="2423"/>
    </row>
    <row r="27644" s="101" customFormat="1" spans="6:6">
      <c r="F27644" s="2423"/>
    </row>
    <row r="27645" s="101" customFormat="1" spans="6:6">
      <c r="F27645" s="2423"/>
    </row>
    <row r="27646" s="101" customFormat="1" spans="6:6">
      <c r="F27646" s="2423"/>
    </row>
    <row r="27647" s="101" customFormat="1" spans="6:6">
      <c r="F27647" s="2423"/>
    </row>
    <row r="27648" s="101" customFormat="1" spans="6:6">
      <c r="F27648" s="2423"/>
    </row>
    <row r="27649" s="101" customFormat="1" spans="6:6">
      <c r="F27649" s="2423"/>
    </row>
    <row r="27650" s="101" customFormat="1" spans="6:6">
      <c r="F27650" s="2423"/>
    </row>
    <row r="27651" s="101" customFormat="1" spans="6:6">
      <c r="F27651" s="2423"/>
    </row>
    <row r="27652" s="101" customFormat="1" spans="6:6">
      <c r="F27652" s="2423"/>
    </row>
    <row r="27653" s="101" customFormat="1" spans="6:6">
      <c r="F27653" s="2423"/>
    </row>
    <row r="27654" s="101" customFormat="1" spans="6:6">
      <c r="F27654" s="2423"/>
    </row>
    <row r="27655" s="101" customFormat="1" spans="6:6">
      <c r="F27655" s="2423"/>
    </row>
    <row r="27656" s="101" customFormat="1" spans="6:6">
      <c r="F27656" s="2423"/>
    </row>
    <row r="27657" s="101" customFormat="1" spans="6:6">
      <c r="F27657" s="2423"/>
    </row>
    <row r="27658" s="101" customFormat="1" spans="6:6">
      <c r="F27658" s="2423"/>
    </row>
    <row r="27659" s="101" customFormat="1" spans="6:6">
      <c r="F27659" s="2423"/>
    </row>
    <row r="27660" s="101" customFormat="1" spans="6:6">
      <c r="F27660" s="2423"/>
    </row>
    <row r="27661" s="101" customFormat="1" spans="6:6">
      <c r="F27661" s="2423"/>
    </row>
    <row r="27662" s="101" customFormat="1" spans="6:6">
      <c r="F27662" s="2423"/>
    </row>
    <row r="27663" s="101" customFormat="1" spans="6:6">
      <c r="F27663" s="2423"/>
    </row>
    <row r="27664" s="101" customFormat="1" spans="6:6">
      <c r="F27664" s="2423"/>
    </row>
    <row r="27665" s="101" customFormat="1" spans="6:6">
      <c r="F27665" s="2423"/>
    </row>
    <row r="27666" s="101" customFormat="1" spans="6:6">
      <c r="F27666" s="2423"/>
    </row>
    <row r="27667" s="101" customFormat="1" spans="6:6">
      <c r="F27667" s="2423"/>
    </row>
    <row r="27668" s="101" customFormat="1" spans="6:6">
      <c r="F27668" s="2423"/>
    </row>
    <row r="27669" s="101" customFormat="1" spans="6:6">
      <c r="F27669" s="2423"/>
    </row>
    <row r="27670" s="101" customFormat="1" spans="6:6">
      <c r="F27670" s="2423"/>
    </row>
    <row r="27671" s="101" customFormat="1" spans="6:6">
      <c r="F27671" s="2423"/>
    </row>
    <row r="27672" s="101" customFormat="1" spans="6:6">
      <c r="F27672" s="2423"/>
    </row>
    <row r="27673" s="101" customFormat="1" spans="6:6">
      <c r="F27673" s="2423"/>
    </row>
    <row r="27674" s="101" customFormat="1" spans="6:6">
      <c r="F27674" s="2423"/>
    </row>
    <row r="27675" s="101" customFormat="1" spans="6:6">
      <c r="F27675" s="2423"/>
    </row>
    <row r="27676" s="101" customFormat="1" spans="6:6">
      <c r="F27676" s="2423"/>
    </row>
    <row r="27677" s="101" customFormat="1" spans="6:6">
      <c r="F27677" s="2423"/>
    </row>
    <row r="27678" s="101" customFormat="1" spans="6:6">
      <c r="F27678" s="2423"/>
    </row>
    <row r="27679" s="101" customFormat="1" spans="6:6">
      <c r="F27679" s="2423"/>
    </row>
    <row r="27680" s="101" customFormat="1" spans="6:6">
      <c r="F27680" s="2423"/>
    </row>
    <row r="27681" s="101" customFormat="1" spans="6:6">
      <c r="F27681" s="2423"/>
    </row>
    <row r="27682" s="101" customFormat="1" spans="6:6">
      <c r="F27682" s="2423"/>
    </row>
    <row r="27683" s="101" customFormat="1" spans="6:6">
      <c r="F27683" s="2423"/>
    </row>
    <row r="27684" s="101" customFormat="1" spans="6:6">
      <c r="F27684" s="2423"/>
    </row>
    <row r="27685" s="101" customFormat="1" spans="6:6">
      <c r="F27685" s="2423"/>
    </row>
    <row r="27686" s="101" customFormat="1" spans="6:6">
      <c r="F27686" s="2423"/>
    </row>
    <row r="27687" s="101" customFormat="1" spans="6:6">
      <c r="F27687" s="2423"/>
    </row>
    <row r="27688" s="101" customFormat="1" spans="6:6">
      <c r="F27688" s="2423"/>
    </row>
    <row r="27689" s="101" customFormat="1" spans="6:6">
      <c r="F27689" s="2423"/>
    </row>
    <row r="27690" s="101" customFormat="1" spans="6:6">
      <c r="F27690" s="2423"/>
    </row>
    <row r="27691" s="101" customFormat="1" spans="6:6">
      <c r="F27691" s="2423"/>
    </row>
    <row r="27692" s="101" customFormat="1" spans="6:6">
      <c r="F27692" s="2423"/>
    </row>
    <row r="27693" s="101" customFormat="1" spans="6:6">
      <c r="F27693" s="2423"/>
    </row>
    <row r="27694" s="101" customFormat="1" spans="6:6">
      <c r="F27694" s="2423"/>
    </row>
    <row r="27695" s="101" customFormat="1" spans="6:6">
      <c r="F27695" s="2423"/>
    </row>
    <row r="27696" s="101" customFormat="1" spans="6:6">
      <c r="F27696" s="2423"/>
    </row>
    <row r="27697" s="101" customFormat="1" spans="6:6">
      <c r="F27697" s="2423"/>
    </row>
    <row r="27698" s="101" customFormat="1" spans="6:6">
      <c r="F27698" s="2423"/>
    </row>
    <row r="27699" s="101" customFormat="1" spans="6:6">
      <c r="F27699" s="2423"/>
    </row>
    <row r="27700" s="101" customFormat="1" spans="6:6">
      <c r="F27700" s="2423"/>
    </row>
    <row r="27701" s="101" customFormat="1" spans="6:6">
      <c r="F27701" s="2423"/>
    </row>
    <row r="27702" s="101" customFormat="1" spans="6:6">
      <c r="F27702" s="2423"/>
    </row>
    <row r="27703" s="101" customFormat="1" spans="6:6">
      <c r="F27703" s="2423"/>
    </row>
    <row r="27704" s="101" customFormat="1" spans="6:6">
      <c r="F27704" s="2423"/>
    </row>
    <row r="27705" s="101" customFormat="1" spans="6:6">
      <c r="F27705" s="2423"/>
    </row>
    <row r="27706" s="101" customFormat="1" spans="6:6">
      <c r="F27706" s="2423"/>
    </row>
    <row r="27707" s="101" customFormat="1" spans="6:6">
      <c r="F27707" s="2423"/>
    </row>
    <row r="27708" s="101" customFormat="1" spans="6:6">
      <c r="F27708" s="2423"/>
    </row>
    <row r="27709" s="101" customFormat="1" spans="6:6">
      <c r="F27709" s="2423"/>
    </row>
    <row r="27710" s="101" customFormat="1" spans="6:6">
      <c r="F27710" s="2423"/>
    </row>
    <row r="27711" s="101" customFormat="1" spans="6:6">
      <c r="F27711" s="2423"/>
    </row>
    <row r="27712" s="101" customFormat="1" spans="6:6">
      <c r="F27712" s="2423"/>
    </row>
    <row r="27713" s="101" customFormat="1" spans="6:6">
      <c r="F27713" s="2423"/>
    </row>
    <row r="27714" s="101" customFormat="1" spans="6:6">
      <c r="F27714" s="2423"/>
    </row>
    <row r="27715" s="101" customFormat="1" spans="6:6">
      <c r="F27715" s="2423"/>
    </row>
    <row r="27716" s="101" customFormat="1" spans="6:6">
      <c r="F27716" s="2423"/>
    </row>
    <row r="27717" s="101" customFormat="1" spans="6:6">
      <c r="F27717" s="2423"/>
    </row>
    <row r="27718" s="101" customFormat="1" spans="6:6">
      <c r="F27718" s="2423"/>
    </row>
    <row r="27719" s="101" customFormat="1" spans="6:6">
      <c r="F27719" s="2423"/>
    </row>
    <row r="27720" s="101" customFormat="1" spans="6:6">
      <c r="F27720" s="2423"/>
    </row>
    <row r="27721" s="101" customFormat="1" spans="6:6">
      <c r="F27721" s="2423"/>
    </row>
    <row r="27722" s="101" customFormat="1" spans="6:6">
      <c r="F27722" s="2423"/>
    </row>
    <row r="27723" s="101" customFormat="1" spans="6:6">
      <c r="F27723" s="2423"/>
    </row>
    <row r="27724" s="101" customFormat="1" spans="6:6">
      <c r="F27724" s="2423"/>
    </row>
    <row r="27725" s="101" customFormat="1" spans="6:6">
      <c r="F27725" s="2423"/>
    </row>
    <row r="27726" s="101" customFormat="1" spans="6:6">
      <c r="F27726" s="2423"/>
    </row>
    <row r="27727" s="101" customFormat="1" spans="6:6">
      <c r="F27727" s="2423"/>
    </row>
    <row r="27728" s="101" customFormat="1" spans="6:6">
      <c r="F27728" s="2423"/>
    </row>
    <row r="27729" s="101" customFormat="1" spans="6:6">
      <c r="F27729" s="2423"/>
    </row>
    <row r="27730" s="101" customFormat="1" spans="6:6">
      <c r="F27730" s="2423"/>
    </row>
    <row r="27731" s="101" customFormat="1" spans="6:6">
      <c r="F27731" s="2423"/>
    </row>
    <row r="27732" s="101" customFormat="1" spans="6:6">
      <c r="F27732" s="2423"/>
    </row>
    <row r="27733" s="101" customFormat="1" spans="6:6">
      <c r="F27733" s="2423"/>
    </row>
    <row r="27734" s="101" customFormat="1" spans="6:6">
      <c r="F27734" s="2423"/>
    </row>
    <row r="27735" s="101" customFormat="1" spans="6:6">
      <c r="F27735" s="2423"/>
    </row>
    <row r="27736" s="101" customFormat="1" spans="6:6">
      <c r="F27736" s="2423"/>
    </row>
    <row r="27737" s="101" customFormat="1" spans="6:6">
      <c r="F27737" s="2423"/>
    </row>
    <row r="27738" s="101" customFormat="1" spans="6:6">
      <c r="F27738" s="2423"/>
    </row>
    <row r="27739" s="101" customFormat="1" spans="6:6">
      <c r="F27739" s="2423"/>
    </row>
    <row r="27740" s="101" customFormat="1" spans="6:6">
      <c r="F27740" s="2423"/>
    </row>
    <row r="27741" s="101" customFormat="1" spans="6:6">
      <c r="F27741" s="2423"/>
    </row>
    <row r="27742" s="101" customFormat="1" spans="6:6">
      <c r="F27742" s="2423"/>
    </row>
    <row r="27743" s="101" customFormat="1" spans="6:6">
      <c r="F27743" s="2423"/>
    </row>
    <row r="27744" s="101" customFormat="1" spans="6:6">
      <c r="F27744" s="2423"/>
    </row>
    <row r="27745" s="101" customFormat="1" spans="6:6">
      <c r="F27745" s="2423"/>
    </row>
    <row r="27746" s="101" customFormat="1" spans="6:6">
      <c r="F27746" s="2423"/>
    </row>
    <row r="27747" s="101" customFormat="1" spans="6:6">
      <c r="F27747" s="2423"/>
    </row>
    <row r="27748" s="101" customFormat="1" spans="6:6">
      <c r="F27748" s="2423"/>
    </row>
    <row r="27749" s="101" customFormat="1" spans="6:6">
      <c r="F27749" s="2423"/>
    </row>
    <row r="27750" s="101" customFormat="1" spans="6:6">
      <c r="F27750" s="2423"/>
    </row>
    <row r="27751" s="101" customFormat="1" spans="6:6">
      <c r="F27751" s="2423"/>
    </row>
    <row r="27752" s="101" customFormat="1" spans="6:6">
      <c r="F27752" s="2423"/>
    </row>
    <row r="27753" s="101" customFormat="1" spans="6:6">
      <c r="F27753" s="2423"/>
    </row>
    <row r="27754" s="101" customFormat="1" spans="6:6">
      <c r="F27754" s="2423"/>
    </row>
    <row r="27755" s="101" customFormat="1" spans="6:6">
      <c r="F27755" s="2423"/>
    </row>
    <row r="27756" s="101" customFormat="1" spans="6:6">
      <c r="F27756" s="2423"/>
    </row>
    <row r="27757" s="101" customFormat="1" spans="6:6">
      <c r="F27757" s="2423"/>
    </row>
    <row r="27758" s="101" customFormat="1" spans="6:6">
      <c r="F27758" s="2423"/>
    </row>
    <row r="27759" s="101" customFormat="1" spans="6:6">
      <c r="F27759" s="2423"/>
    </row>
    <row r="27760" s="101" customFormat="1" spans="6:6">
      <c r="F27760" s="2423"/>
    </row>
    <row r="27761" s="101" customFormat="1" spans="6:6">
      <c r="F27761" s="2423"/>
    </row>
    <row r="27762" s="101" customFormat="1" spans="6:6">
      <c r="F27762" s="2423"/>
    </row>
    <row r="27763" s="101" customFormat="1" spans="6:6">
      <c r="F27763" s="2423"/>
    </row>
    <row r="27764" s="101" customFormat="1" spans="6:6">
      <c r="F27764" s="2423"/>
    </row>
    <row r="27765" s="101" customFormat="1" spans="6:6">
      <c r="F27765" s="2423"/>
    </row>
    <row r="27766" s="101" customFormat="1" spans="6:6">
      <c r="F27766" s="2423"/>
    </row>
    <row r="27767" s="101" customFormat="1" spans="6:6">
      <c r="F27767" s="2423"/>
    </row>
    <row r="27768" s="101" customFormat="1" spans="6:6">
      <c r="F27768" s="2423"/>
    </row>
    <row r="27769" s="101" customFormat="1" spans="6:6">
      <c r="F27769" s="2423"/>
    </row>
    <row r="27770" s="101" customFormat="1" spans="6:6">
      <c r="F27770" s="2423"/>
    </row>
    <row r="27771" s="101" customFormat="1" spans="6:6">
      <c r="F27771" s="2423"/>
    </row>
    <row r="27772" s="101" customFormat="1" spans="6:6">
      <c r="F27772" s="2423"/>
    </row>
    <row r="27773" s="101" customFormat="1" spans="6:6">
      <c r="F27773" s="2423"/>
    </row>
    <row r="27774" s="101" customFormat="1" spans="6:6">
      <c r="F27774" s="2423"/>
    </row>
    <row r="27775" s="101" customFormat="1" spans="6:6">
      <c r="F27775" s="2423"/>
    </row>
    <row r="27776" s="101" customFormat="1" spans="6:6">
      <c r="F27776" s="2423"/>
    </row>
    <row r="27777" s="101" customFormat="1" spans="6:6">
      <c r="F27777" s="2423"/>
    </row>
    <row r="27778" s="101" customFormat="1" spans="6:6">
      <c r="F27778" s="2423"/>
    </row>
    <row r="27779" s="101" customFormat="1" spans="6:6">
      <c r="F27779" s="2423"/>
    </row>
    <row r="27780" s="101" customFormat="1" spans="6:6">
      <c r="F27780" s="2423"/>
    </row>
    <row r="27781" s="101" customFormat="1" spans="6:6">
      <c r="F27781" s="2423"/>
    </row>
    <row r="27782" s="101" customFormat="1" spans="6:6">
      <c r="F27782" s="2423"/>
    </row>
    <row r="27783" s="101" customFormat="1" spans="6:6">
      <c r="F27783" s="2423"/>
    </row>
    <row r="27784" s="101" customFormat="1" spans="6:6">
      <c r="F27784" s="2423"/>
    </row>
    <row r="27785" s="101" customFormat="1" spans="6:6">
      <c r="F27785" s="2423"/>
    </row>
    <row r="27786" s="101" customFormat="1" spans="6:6">
      <c r="F27786" s="2423"/>
    </row>
    <row r="27787" s="101" customFormat="1" spans="6:6">
      <c r="F27787" s="2423"/>
    </row>
    <row r="27788" s="101" customFormat="1" spans="6:6">
      <c r="F27788" s="2423"/>
    </row>
    <row r="27789" s="101" customFormat="1" spans="6:6">
      <c r="F27789" s="2423"/>
    </row>
    <row r="27790" s="101" customFormat="1" spans="6:6">
      <c r="F27790" s="2423"/>
    </row>
    <row r="27791" s="101" customFormat="1" spans="6:6">
      <c r="F27791" s="2423"/>
    </row>
    <row r="27792" s="101" customFormat="1" spans="6:6">
      <c r="F27792" s="2423"/>
    </row>
    <row r="27793" s="101" customFormat="1" spans="6:6">
      <c r="F27793" s="2423"/>
    </row>
    <row r="27794" s="101" customFormat="1" spans="6:6">
      <c r="F27794" s="2423"/>
    </row>
    <row r="27795" s="101" customFormat="1" spans="6:6">
      <c r="F27795" s="2423"/>
    </row>
    <row r="27796" s="101" customFormat="1" spans="6:6">
      <c r="F27796" s="2423"/>
    </row>
    <row r="27797" s="101" customFormat="1" spans="6:6">
      <c r="F27797" s="2423"/>
    </row>
    <row r="27798" s="101" customFormat="1" spans="6:6">
      <c r="F27798" s="2423"/>
    </row>
    <row r="27799" s="101" customFormat="1" spans="6:6">
      <c r="F27799" s="2423"/>
    </row>
    <row r="27800" s="101" customFormat="1" spans="6:6">
      <c r="F27800" s="2423"/>
    </row>
    <row r="27801" s="101" customFormat="1" spans="6:6">
      <c r="F27801" s="2423"/>
    </row>
    <row r="27802" s="101" customFormat="1" spans="6:6">
      <c r="F27802" s="2423"/>
    </row>
    <row r="27803" s="101" customFormat="1" spans="6:6">
      <c r="F27803" s="2423"/>
    </row>
    <row r="27804" s="101" customFormat="1" spans="6:6">
      <c r="F27804" s="2423"/>
    </row>
    <row r="27805" s="101" customFormat="1" spans="6:6">
      <c r="F27805" s="2423"/>
    </row>
    <row r="27806" s="101" customFormat="1" spans="6:6">
      <c r="F27806" s="2423"/>
    </row>
    <row r="27807" s="101" customFormat="1" spans="6:6">
      <c r="F27807" s="2423"/>
    </row>
    <row r="27808" s="101" customFormat="1" spans="6:6">
      <c r="F27808" s="2423"/>
    </row>
    <row r="27809" s="101" customFormat="1" spans="6:6">
      <c r="F27809" s="2423"/>
    </row>
    <row r="27810" s="101" customFormat="1" spans="6:6">
      <c r="F27810" s="2423"/>
    </row>
    <row r="27811" s="101" customFormat="1" spans="6:6">
      <c r="F27811" s="2423"/>
    </row>
    <row r="27812" s="101" customFormat="1" spans="6:6">
      <c r="F27812" s="2423"/>
    </row>
    <row r="27813" s="101" customFormat="1" spans="6:6">
      <c r="F27813" s="2423"/>
    </row>
    <row r="27814" s="101" customFormat="1" spans="6:6">
      <c r="F27814" s="2423"/>
    </row>
    <row r="27815" s="101" customFormat="1" spans="6:6">
      <c r="F27815" s="2423"/>
    </row>
    <row r="27816" s="101" customFormat="1" spans="6:6">
      <c r="F27816" s="2423"/>
    </row>
    <row r="27817" s="101" customFormat="1" spans="6:6">
      <c r="F27817" s="2423"/>
    </row>
    <row r="27818" s="101" customFormat="1" spans="6:6">
      <c r="F27818" s="2423"/>
    </row>
    <row r="27819" s="101" customFormat="1" spans="6:6">
      <c r="F27819" s="2423"/>
    </row>
    <row r="27820" s="101" customFormat="1" spans="6:6">
      <c r="F27820" s="2423"/>
    </row>
    <row r="27821" s="101" customFormat="1" spans="6:6">
      <c r="F27821" s="2423"/>
    </row>
    <row r="27822" s="101" customFormat="1" spans="6:6">
      <c r="F27822" s="2423"/>
    </row>
    <row r="27823" s="101" customFormat="1" spans="6:6">
      <c r="F27823" s="2423"/>
    </row>
    <row r="27824" s="101" customFormat="1" spans="6:6">
      <c r="F27824" s="2423"/>
    </row>
    <row r="27825" s="101" customFormat="1" spans="6:6">
      <c r="F27825" s="2423"/>
    </row>
    <row r="27826" s="101" customFormat="1" spans="6:6">
      <c r="F27826" s="2423"/>
    </row>
    <row r="27827" s="101" customFormat="1" spans="6:6">
      <c r="F27827" s="2423"/>
    </row>
    <row r="27828" s="101" customFormat="1" spans="6:6">
      <c r="F27828" s="2423"/>
    </row>
    <row r="27829" s="101" customFormat="1" spans="6:6">
      <c r="F27829" s="2423"/>
    </row>
    <row r="27830" s="101" customFormat="1" spans="6:6">
      <c r="F27830" s="2423"/>
    </row>
    <row r="27831" s="101" customFormat="1" spans="6:6">
      <c r="F27831" s="2423"/>
    </row>
    <row r="27832" s="101" customFormat="1" spans="6:6">
      <c r="F27832" s="2423"/>
    </row>
    <row r="27833" s="101" customFormat="1" spans="6:6">
      <c r="F27833" s="2423"/>
    </row>
    <row r="27834" s="101" customFormat="1" spans="6:6">
      <c r="F27834" s="2423"/>
    </row>
    <row r="27835" s="101" customFormat="1" spans="6:6">
      <c r="F27835" s="2423"/>
    </row>
    <row r="27836" s="101" customFormat="1" spans="6:6">
      <c r="F27836" s="2423"/>
    </row>
    <row r="27837" s="101" customFormat="1" spans="6:6">
      <c r="F27837" s="2423"/>
    </row>
    <row r="27838" s="101" customFormat="1" spans="6:6">
      <c r="F27838" s="2423"/>
    </row>
    <row r="27839" s="101" customFormat="1" spans="6:6">
      <c r="F27839" s="2423"/>
    </row>
    <row r="27840" s="101" customFormat="1" spans="6:6">
      <c r="F27840" s="2423"/>
    </row>
    <row r="27841" s="101" customFormat="1" spans="6:6">
      <c r="F27841" s="2423"/>
    </row>
    <row r="27842" s="101" customFormat="1" spans="6:6">
      <c r="F27842" s="2423"/>
    </row>
    <row r="27843" s="101" customFormat="1" spans="6:6">
      <c r="F27843" s="2423"/>
    </row>
    <row r="27844" s="101" customFormat="1" spans="6:6">
      <c r="F27844" s="2423"/>
    </row>
    <row r="27845" s="101" customFormat="1" spans="6:6">
      <c r="F27845" s="2423"/>
    </row>
    <row r="27846" s="101" customFormat="1" spans="6:6">
      <c r="F27846" s="2423"/>
    </row>
    <row r="27847" s="101" customFormat="1" spans="6:6">
      <c r="F27847" s="2423"/>
    </row>
    <row r="27848" s="101" customFormat="1" spans="6:6">
      <c r="F27848" s="2423"/>
    </row>
    <row r="27849" s="101" customFormat="1" spans="6:6">
      <c r="F27849" s="2423"/>
    </row>
    <row r="27850" s="101" customFormat="1" spans="6:6">
      <c r="F27850" s="2423"/>
    </row>
    <row r="27851" s="101" customFormat="1" spans="6:6">
      <c r="F27851" s="2423"/>
    </row>
    <row r="27852" s="101" customFormat="1" spans="6:6">
      <c r="F27852" s="2423"/>
    </row>
    <row r="27853" s="101" customFormat="1" spans="6:6">
      <c r="F27853" s="2423"/>
    </row>
    <row r="27854" s="101" customFormat="1" spans="6:6">
      <c r="F27854" s="2423"/>
    </row>
    <row r="27855" s="101" customFormat="1" spans="6:6">
      <c r="F27855" s="2423"/>
    </row>
    <row r="27856" s="101" customFormat="1" spans="6:6">
      <c r="F27856" s="2423"/>
    </row>
    <row r="27857" s="101" customFormat="1" spans="6:6">
      <c r="F27857" s="2423"/>
    </row>
    <row r="27858" s="101" customFormat="1" spans="6:6">
      <c r="F27858" s="2423"/>
    </row>
    <row r="27859" s="101" customFormat="1" spans="6:6">
      <c r="F27859" s="2423"/>
    </row>
    <row r="27860" s="101" customFormat="1" spans="6:6">
      <c r="F27860" s="2423"/>
    </row>
    <row r="27861" s="101" customFormat="1" spans="6:6">
      <c r="F27861" s="2423"/>
    </row>
    <row r="27862" s="101" customFormat="1" spans="6:6">
      <c r="F27862" s="2423"/>
    </row>
    <row r="27863" s="101" customFormat="1" spans="6:6">
      <c r="F27863" s="2423"/>
    </row>
    <row r="27864" s="101" customFormat="1" spans="6:6">
      <c r="F27864" s="2423"/>
    </row>
    <row r="27865" s="101" customFormat="1" spans="6:6">
      <c r="F27865" s="2423"/>
    </row>
    <row r="27866" s="101" customFormat="1" spans="6:6">
      <c r="F27866" s="2423"/>
    </row>
    <row r="27867" s="101" customFormat="1" spans="6:6">
      <c r="F27867" s="2423"/>
    </row>
    <row r="27868" s="101" customFormat="1" spans="6:6">
      <c r="F27868" s="2423"/>
    </row>
    <row r="27869" s="101" customFormat="1" spans="6:6">
      <c r="F27869" s="2423"/>
    </row>
    <row r="27870" s="101" customFormat="1" spans="6:6">
      <c r="F27870" s="2423"/>
    </row>
    <row r="27871" s="101" customFormat="1" spans="6:6">
      <c r="F27871" s="2423"/>
    </row>
    <row r="27872" s="101" customFormat="1" spans="6:6">
      <c r="F27872" s="2423"/>
    </row>
    <row r="27873" s="101" customFormat="1" spans="6:6">
      <c r="F27873" s="2423"/>
    </row>
    <row r="27874" s="101" customFormat="1" spans="6:6">
      <c r="F27874" s="2423"/>
    </row>
    <row r="27875" s="101" customFormat="1" spans="6:6">
      <c r="F27875" s="2423"/>
    </row>
    <row r="27876" s="101" customFormat="1" spans="6:6">
      <c r="F27876" s="2423"/>
    </row>
    <row r="27877" s="101" customFormat="1" spans="6:6">
      <c r="F27877" s="2423"/>
    </row>
    <row r="27878" s="101" customFormat="1" spans="6:6">
      <c r="F27878" s="2423"/>
    </row>
    <row r="27879" s="101" customFormat="1" spans="6:6">
      <c r="F27879" s="2423"/>
    </row>
    <row r="27880" s="101" customFormat="1" spans="6:6">
      <c r="F27880" s="2423"/>
    </row>
    <row r="27881" s="101" customFormat="1" spans="6:6">
      <c r="F27881" s="2423"/>
    </row>
    <row r="27882" s="101" customFormat="1" spans="6:6">
      <c r="F27882" s="2423"/>
    </row>
    <row r="27883" s="101" customFormat="1" spans="6:6">
      <c r="F27883" s="2423"/>
    </row>
    <row r="27884" s="101" customFormat="1" spans="6:6">
      <c r="F27884" s="2423"/>
    </row>
    <row r="27885" s="101" customFormat="1" spans="6:6">
      <c r="F27885" s="2423"/>
    </row>
    <row r="27886" s="101" customFormat="1" spans="6:6">
      <c r="F27886" s="2423"/>
    </row>
    <row r="27887" s="101" customFormat="1" spans="6:6">
      <c r="F27887" s="2423"/>
    </row>
    <row r="27888" s="101" customFormat="1" spans="6:6">
      <c r="F27888" s="2423"/>
    </row>
    <row r="27889" s="101" customFormat="1" spans="6:6">
      <c r="F27889" s="2423"/>
    </row>
    <row r="27890" s="101" customFormat="1" spans="6:6">
      <c r="F27890" s="2423"/>
    </row>
    <row r="27891" s="101" customFormat="1" spans="6:6">
      <c r="F27891" s="2423"/>
    </row>
    <row r="27892" s="101" customFormat="1" spans="6:6">
      <c r="F27892" s="2423"/>
    </row>
    <row r="27893" s="101" customFormat="1" spans="6:6">
      <c r="F27893" s="2423"/>
    </row>
    <row r="27894" s="101" customFormat="1" spans="6:6">
      <c r="F27894" s="2423"/>
    </row>
    <row r="27895" s="101" customFormat="1" spans="6:6">
      <c r="F27895" s="2423"/>
    </row>
    <row r="27896" s="101" customFormat="1" spans="6:6">
      <c r="F27896" s="2423"/>
    </row>
    <row r="27897" s="101" customFormat="1" spans="6:6">
      <c r="F27897" s="2423"/>
    </row>
    <row r="27898" s="101" customFormat="1" spans="6:6">
      <c r="F27898" s="2423"/>
    </row>
    <row r="27899" s="101" customFormat="1" spans="6:6">
      <c r="F27899" s="2423"/>
    </row>
    <row r="27900" s="101" customFormat="1" spans="6:6">
      <c r="F27900" s="2423"/>
    </row>
    <row r="27901" s="101" customFormat="1" spans="6:6">
      <c r="F27901" s="2423"/>
    </row>
    <row r="27902" s="101" customFormat="1" spans="6:6">
      <c r="F27902" s="2423"/>
    </row>
    <row r="27903" s="101" customFormat="1" spans="6:6">
      <c r="F27903" s="2423"/>
    </row>
    <row r="27904" s="101" customFormat="1" spans="6:6">
      <c r="F27904" s="2423"/>
    </row>
    <row r="27905" s="101" customFormat="1" spans="6:6">
      <c r="F27905" s="2423"/>
    </row>
    <row r="27906" s="101" customFormat="1" spans="6:6">
      <c r="F27906" s="2423"/>
    </row>
    <row r="27907" s="101" customFormat="1" spans="6:6">
      <c r="F27907" s="2423"/>
    </row>
    <row r="27908" s="101" customFormat="1" spans="6:6">
      <c r="F27908" s="2423"/>
    </row>
    <row r="27909" s="101" customFormat="1" spans="6:6">
      <c r="F27909" s="2423"/>
    </row>
    <row r="27910" s="101" customFormat="1" spans="6:6">
      <c r="F27910" s="2423"/>
    </row>
    <row r="27911" s="101" customFormat="1" spans="6:6">
      <c r="F27911" s="2423"/>
    </row>
    <row r="27912" s="101" customFormat="1" spans="6:6">
      <c r="F27912" s="2423"/>
    </row>
    <row r="27913" s="101" customFormat="1" spans="6:6">
      <c r="F27913" s="2423"/>
    </row>
    <row r="27914" s="101" customFormat="1" spans="6:6">
      <c r="F27914" s="2423"/>
    </row>
    <row r="27915" s="101" customFormat="1" spans="6:6">
      <c r="F27915" s="2423"/>
    </row>
    <row r="27916" s="101" customFormat="1" spans="6:6">
      <c r="F27916" s="2423"/>
    </row>
    <row r="27917" s="101" customFormat="1" spans="6:6">
      <c r="F27917" s="2423"/>
    </row>
    <row r="27918" s="101" customFormat="1" spans="6:6">
      <c r="F27918" s="2423"/>
    </row>
    <row r="27919" s="101" customFormat="1" spans="6:6">
      <c r="F27919" s="2423"/>
    </row>
    <row r="27920" s="101" customFormat="1" spans="6:6">
      <c r="F27920" s="2423"/>
    </row>
    <row r="27921" s="101" customFormat="1" spans="6:6">
      <c r="F27921" s="2423"/>
    </row>
    <row r="27922" s="101" customFormat="1" spans="6:6">
      <c r="F27922" s="2423"/>
    </row>
    <row r="27923" s="101" customFormat="1" spans="6:6">
      <c r="F27923" s="2423"/>
    </row>
    <row r="27924" s="101" customFormat="1" spans="6:6">
      <c r="F27924" s="2423"/>
    </row>
    <row r="27925" s="101" customFormat="1" spans="6:6">
      <c r="F27925" s="2423"/>
    </row>
    <row r="27926" s="101" customFormat="1" spans="6:6">
      <c r="F27926" s="2423"/>
    </row>
    <row r="27927" s="101" customFormat="1" spans="6:6">
      <c r="F27927" s="2423"/>
    </row>
    <row r="27928" s="101" customFormat="1" spans="6:6">
      <c r="F27928" s="2423"/>
    </row>
    <row r="27929" s="101" customFormat="1" spans="6:6">
      <c r="F27929" s="2423"/>
    </row>
    <row r="27930" s="101" customFormat="1" spans="6:6">
      <c r="F27930" s="2423"/>
    </row>
    <row r="27931" s="101" customFormat="1" spans="6:6">
      <c r="F27931" s="2423"/>
    </row>
    <row r="27932" s="101" customFormat="1" spans="6:6">
      <c r="F27932" s="2423"/>
    </row>
    <row r="27933" s="101" customFormat="1" spans="6:6">
      <c r="F27933" s="2423"/>
    </row>
    <row r="27934" s="101" customFormat="1" spans="6:6">
      <c r="F27934" s="2423"/>
    </row>
    <row r="27935" s="101" customFormat="1" spans="6:6">
      <c r="F27935" s="2423"/>
    </row>
    <row r="27936" s="101" customFormat="1" spans="6:6">
      <c r="F27936" s="2423"/>
    </row>
    <row r="27937" s="101" customFormat="1" spans="6:6">
      <c r="F27937" s="2423"/>
    </row>
    <row r="27938" s="101" customFormat="1" spans="6:6">
      <c r="F27938" s="2423"/>
    </row>
    <row r="27939" s="101" customFormat="1" spans="6:6">
      <c r="F27939" s="2423"/>
    </row>
    <row r="27940" s="101" customFormat="1" spans="6:6">
      <c r="F27940" s="2423"/>
    </row>
    <row r="27941" s="101" customFormat="1" spans="6:6">
      <c r="F27941" s="2423"/>
    </row>
    <row r="27942" s="101" customFormat="1" spans="6:6">
      <c r="F27942" s="2423"/>
    </row>
    <row r="27943" s="101" customFormat="1" spans="6:6">
      <c r="F27943" s="2423"/>
    </row>
    <row r="27944" s="101" customFormat="1" spans="6:6">
      <c r="F27944" s="2423"/>
    </row>
    <row r="27945" s="101" customFormat="1" spans="6:6">
      <c r="F27945" s="2423"/>
    </row>
    <row r="27946" s="101" customFormat="1" spans="6:6">
      <c r="F27946" s="2423"/>
    </row>
    <row r="27947" s="101" customFormat="1" spans="6:6">
      <c r="F27947" s="2423"/>
    </row>
    <row r="27948" s="101" customFormat="1" spans="6:6">
      <c r="F27948" s="2423"/>
    </row>
    <row r="27949" s="101" customFormat="1" spans="6:6">
      <c r="F27949" s="2423"/>
    </row>
    <row r="27950" s="101" customFormat="1" spans="6:6">
      <c r="F27950" s="2423"/>
    </row>
    <row r="27951" s="101" customFormat="1" spans="6:6">
      <c r="F27951" s="2423"/>
    </row>
    <row r="27952" s="101" customFormat="1" spans="6:6">
      <c r="F27952" s="2423"/>
    </row>
    <row r="27953" s="101" customFormat="1" spans="6:6">
      <c r="F27953" s="2423"/>
    </row>
    <row r="27954" s="101" customFormat="1" spans="6:6">
      <c r="F27954" s="2423"/>
    </row>
    <row r="27955" s="101" customFormat="1" spans="6:6">
      <c r="F27955" s="2423"/>
    </row>
    <row r="27956" s="101" customFormat="1" spans="6:6">
      <c r="F27956" s="2423"/>
    </row>
    <row r="27957" s="101" customFormat="1" spans="6:6">
      <c r="F27957" s="2423"/>
    </row>
    <row r="27958" s="101" customFormat="1" spans="6:6">
      <c r="F27958" s="2423"/>
    </row>
    <row r="27959" s="101" customFormat="1" spans="6:6">
      <c r="F27959" s="2423"/>
    </row>
    <row r="27960" s="101" customFormat="1" spans="6:6">
      <c r="F27960" s="2423"/>
    </row>
    <row r="27961" s="101" customFormat="1" spans="6:6">
      <c r="F27961" s="2423"/>
    </row>
    <row r="27962" s="101" customFormat="1" spans="6:6">
      <c r="F27962" s="2423"/>
    </row>
    <row r="27963" s="101" customFormat="1" spans="6:6">
      <c r="F27963" s="2423"/>
    </row>
    <row r="27964" s="101" customFormat="1" spans="6:6">
      <c r="F27964" s="2423"/>
    </row>
    <row r="27965" s="101" customFormat="1" spans="6:6">
      <c r="F27965" s="2423"/>
    </row>
    <row r="27966" s="101" customFormat="1" spans="6:6">
      <c r="F27966" s="2423"/>
    </row>
    <row r="27967" s="101" customFormat="1" spans="6:6">
      <c r="F27967" s="2423"/>
    </row>
    <row r="27968" s="101" customFormat="1" spans="6:6">
      <c r="F27968" s="2423"/>
    </row>
    <row r="27969" s="101" customFormat="1" spans="6:6">
      <c r="F27969" s="2423"/>
    </row>
    <row r="27970" s="101" customFormat="1" spans="6:6">
      <c r="F27970" s="2423"/>
    </row>
    <row r="27971" s="101" customFormat="1" spans="6:6">
      <c r="F27971" s="2423"/>
    </row>
    <row r="27972" s="101" customFormat="1" spans="6:6">
      <c r="F27972" s="2423"/>
    </row>
    <row r="27973" s="101" customFormat="1" spans="6:6">
      <c r="F27973" s="2423"/>
    </row>
    <row r="27974" s="101" customFormat="1" spans="6:6">
      <c r="F27974" s="2423"/>
    </row>
    <row r="27975" s="101" customFormat="1" spans="6:6">
      <c r="F27975" s="2423"/>
    </row>
    <row r="27976" s="101" customFormat="1" spans="6:6">
      <c r="F27976" s="2423"/>
    </row>
    <row r="27977" s="101" customFormat="1" spans="6:6">
      <c r="F27977" s="2423"/>
    </row>
    <row r="27978" s="101" customFormat="1" spans="6:6">
      <c r="F27978" s="2423"/>
    </row>
    <row r="27979" s="101" customFormat="1" spans="6:6">
      <c r="F27979" s="2423"/>
    </row>
    <row r="27980" s="101" customFormat="1" spans="6:6">
      <c r="F27980" s="2423"/>
    </row>
    <row r="27981" s="101" customFormat="1" spans="6:6">
      <c r="F27981" s="2423"/>
    </row>
    <row r="27982" s="101" customFormat="1" spans="6:6">
      <c r="F27982" s="2423"/>
    </row>
    <row r="27983" s="101" customFormat="1" spans="6:6">
      <c r="F27983" s="2423"/>
    </row>
    <row r="27984" s="101" customFormat="1" spans="6:6">
      <c r="F27984" s="2423"/>
    </row>
    <row r="27985" s="101" customFormat="1" spans="6:6">
      <c r="F27985" s="2423"/>
    </row>
    <row r="27986" s="101" customFormat="1" spans="6:6">
      <c r="F27986" s="2423"/>
    </row>
    <row r="27987" s="101" customFormat="1" spans="6:6">
      <c r="F27987" s="2423"/>
    </row>
    <row r="27988" s="101" customFormat="1" spans="6:6">
      <c r="F27988" s="2423"/>
    </row>
    <row r="27989" s="101" customFormat="1" spans="6:6">
      <c r="F27989" s="2423"/>
    </row>
    <row r="27990" s="101" customFormat="1" spans="6:6">
      <c r="F27990" s="2423"/>
    </row>
    <row r="27991" s="101" customFormat="1" spans="6:6">
      <c r="F27991" s="2423"/>
    </row>
    <row r="27992" s="101" customFormat="1" spans="6:6">
      <c r="F27992" s="2423"/>
    </row>
    <row r="27993" s="101" customFormat="1" spans="6:6">
      <c r="F27993" s="2423"/>
    </row>
    <row r="27994" s="101" customFormat="1" spans="6:6">
      <c r="F27994" s="2423"/>
    </row>
    <row r="27995" s="101" customFormat="1" spans="6:6">
      <c r="F27995" s="2423"/>
    </row>
    <row r="27996" s="101" customFormat="1" spans="6:6">
      <c r="F27996" s="2423"/>
    </row>
    <row r="27997" s="101" customFormat="1" spans="6:6">
      <c r="F27997" s="2423"/>
    </row>
    <row r="27998" s="101" customFormat="1" spans="6:6">
      <c r="F27998" s="2423"/>
    </row>
    <row r="27999" s="101" customFormat="1" spans="6:6">
      <c r="F27999" s="2423"/>
    </row>
    <row r="28000" s="101" customFormat="1" spans="6:6">
      <c r="F28000" s="2423"/>
    </row>
    <row r="28001" s="101" customFormat="1" spans="6:6">
      <c r="F28001" s="2423"/>
    </row>
    <row r="28002" s="101" customFormat="1" spans="6:6">
      <c r="F28002" s="2423"/>
    </row>
    <row r="28003" s="101" customFormat="1" spans="6:6">
      <c r="F28003" s="2423"/>
    </row>
    <row r="28004" s="101" customFormat="1" spans="6:6">
      <c r="F28004" s="2423"/>
    </row>
    <row r="28005" s="101" customFormat="1" spans="6:6">
      <c r="F28005" s="2423"/>
    </row>
    <row r="28006" s="101" customFormat="1" spans="6:6">
      <c r="F28006" s="2423"/>
    </row>
    <row r="28007" s="101" customFormat="1" spans="6:6">
      <c r="F28007" s="2423"/>
    </row>
    <row r="28008" s="101" customFormat="1" spans="6:6">
      <c r="F28008" s="2423"/>
    </row>
    <row r="28009" s="101" customFormat="1" spans="6:6">
      <c r="F28009" s="2423"/>
    </row>
    <row r="28010" s="101" customFormat="1" spans="6:6">
      <c r="F28010" s="2423"/>
    </row>
    <row r="28011" s="101" customFormat="1" spans="6:6">
      <c r="F28011" s="2423"/>
    </row>
    <row r="28012" s="101" customFormat="1" spans="6:6">
      <c r="F28012" s="2423"/>
    </row>
    <row r="28013" s="101" customFormat="1" spans="6:6">
      <c r="F28013" s="2423"/>
    </row>
    <row r="28014" s="101" customFormat="1" spans="6:6">
      <c r="F28014" s="2423"/>
    </row>
    <row r="28015" s="101" customFormat="1" spans="6:6">
      <c r="F28015" s="2423"/>
    </row>
    <row r="28016" s="101" customFormat="1" spans="6:6">
      <c r="F28016" s="2423"/>
    </row>
    <row r="28017" s="101" customFormat="1" spans="6:6">
      <c r="F28017" s="2423"/>
    </row>
    <row r="28018" s="101" customFormat="1" spans="6:6">
      <c r="F28018" s="2423"/>
    </row>
    <row r="28019" s="101" customFormat="1" spans="6:6">
      <c r="F28019" s="2423"/>
    </row>
    <row r="28020" s="101" customFormat="1" spans="6:6">
      <c r="F28020" s="2423"/>
    </row>
    <row r="28021" s="101" customFormat="1" spans="6:6">
      <c r="F28021" s="2423"/>
    </row>
    <row r="28022" s="101" customFormat="1" spans="6:6">
      <c r="F28022" s="2423"/>
    </row>
    <row r="28023" s="101" customFormat="1" spans="6:6">
      <c r="F28023" s="2423"/>
    </row>
    <row r="28024" s="101" customFormat="1" spans="6:6">
      <c r="F28024" s="2423"/>
    </row>
    <row r="28025" s="101" customFormat="1" spans="6:6">
      <c r="F28025" s="2423"/>
    </row>
    <row r="28026" s="101" customFormat="1" spans="6:6">
      <c r="F28026" s="2423"/>
    </row>
    <row r="28027" s="101" customFormat="1" spans="6:6">
      <c r="F28027" s="2423"/>
    </row>
    <row r="28028" s="101" customFormat="1" spans="6:6">
      <c r="F28028" s="2423"/>
    </row>
    <row r="28029" s="101" customFormat="1" spans="6:6">
      <c r="F28029" s="2423"/>
    </row>
    <row r="28030" s="101" customFormat="1" spans="6:6">
      <c r="F28030" s="2423"/>
    </row>
    <row r="28031" s="101" customFormat="1" spans="6:6">
      <c r="F28031" s="2423"/>
    </row>
    <row r="28032" s="101" customFormat="1" spans="6:6">
      <c r="F28032" s="2423"/>
    </row>
    <row r="28033" s="101" customFormat="1" spans="6:6">
      <c r="F28033" s="2423"/>
    </row>
    <row r="28034" s="101" customFormat="1" spans="6:6">
      <c r="F28034" s="2423"/>
    </row>
    <row r="28035" s="101" customFormat="1" spans="6:6">
      <c r="F28035" s="2423"/>
    </row>
    <row r="28036" s="101" customFormat="1" spans="6:6">
      <c r="F28036" s="2423"/>
    </row>
    <row r="28037" s="101" customFormat="1" spans="6:6">
      <c r="F28037" s="2423"/>
    </row>
    <row r="28038" s="101" customFormat="1" spans="6:6">
      <c r="F28038" s="2423"/>
    </row>
    <row r="28039" s="101" customFormat="1" spans="6:6">
      <c r="F28039" s="2423"/>
    </row>
    <row r="28040" s="101" customFormat="1" spans="6:6">
      <c r="F28040" s="2423"/>
    </row>
    <row r="28041" s="101" customFormat="1" spans="6:6">
      <c r="F28041" s="2423"/>
    </row>
    <row r="28042" s="101" customFormat="1" spans="6:6">
      <c r="F28042" s="2423"/>
    </row>
    <row r="28043" s="101" customFormat="1" spans="6:6">
      <c r="F28043" s="2423"/>
    </row>
    <row r="28044" s="101" customFormat="1" spans="6:6">
      <c r="F28044" s="2423"/>
    </row>
    <row r="28045" s="101" customFormat="1" spans="6:6">
      <c r="F28045" s="2423"/>
    </row>
    <row r="28046" s="101" customFormat="1" spans="6:6">
      <c r="F28046" s="2423"/>
    </row>
    <row r="28047" s="101" customFormat="1" spans="6:6">
      <c r="F28047" s="2423"/>
    </row>
    <row r="28048" s="101" customFormat="1" spans="6:6">
      <c r="F28048" s="2423"/>
    </row>
    <row r="28049" s="101" customFormat="1" spans="6:6">
      <c r="F28049" s="2423"/>
    </row>
    <row r="28050" s="101" customFormat="1" spans="6:6">
      <c r="F28050" s="2423"/>
    </row>
    <row r="28051" s="101" customFormat="1" spans="6:6">
      <c r="F28051" s="2423"/>
    </row>
    <row r="28052" s="101" customFormat="1" spans="6:6">
      <c r="F28052" s="2423"/>
    </row>
    <row r="28053" s="101" customFormat="1" spans="6:6">
      <c r="F28053" s="2423"/>
    </row>
    <row r="28054" s="101" customFormat="1" spans="6:6">
      <c r="F28054" s="2423"/>
    </row>
    <row r="28055" s="101" customFormat="1" spans="6:6">
      <c r="F28055" s="2423"/>
    </row>
    <row r="28056" s="101" customFormat="1" spans="6:6">
      <c r="F28056" s="2423"/>
    </row>
    <row r="28057" s="101" customFormat="1" spans="6:6">
      <c r="F28057" s="2423"/>
    </row>
    <row r="28058" s="101" customFormat="1" spans="6:6">
      <c r="F28058" s="2423"/>
    </row>
    <row r="28059" s="101" customFormat="1" spans="6:6">
      <c r="F28059" s="2423"/>
    </row>
    <row r="28060" s="101" customFormat="1" spans="6:6">
      <c r="F28060" s="2423"/>
    </row>
    <row r="28061" s="101" customFormat="1" spans="6:6">
      <c r="F28061" s="2423"/>
    </row>
    <row r="28062" s="101" customFormat="1" spans="6:6">
      <c r="F28062" s="2423"/>
    </row>
    <row r="28063" s="101" customFormat="1" spans="6:6">
      <c r="F28063" s="2423"/>
    </row>
    <row r="28064" s="101" customFormat="1" spans="6:6">
      <c r="F28064" s="2423"/>
    </row>
    <row r="28065" s="101" customFormat="1" spans="6:6">
      <c r="F28065" s="2423"/>
    </row>
    <row r="28066" s="101" customFormat="1" spans="6:6">
      <c r="F28066" s="2423"/>
    </row>
    <row r="28067" s="101" customFormat="1" spans="6:6">
      <c r="F28067" s="2423"/>
    </row>
    <row r="28068" s="101" customFormat="1" spans="6:6">
      <c r="F28068" s="2423"/>
    </row>
    <row r="28069" s="101" customFormat="1" spans="6:6">
      <c r="F28069" s="2423"/>
    </row>
    <row r="28070" s="101" customFormat="1" spans="6:6">
      <c r="F28070" s="2423"/>
    </row>
    <row r="28071" s="101" customFormat="1" spans="6:6">
      <c r="F28071" s="2423"/>
    </row>
    <row r="28072" s="101" customFormat="1" spans="6:6">
      <c r="F28072" s="2423"/>
    </row>
    <row r="28073" s="101" customFormat="1" spans="6:6">
      <c r="F28073" s="2423"/>
    </row>
    <row r="28074" s="101" customFormat="1" spans="6:6">
      <c r="F28074" s="2423"/>
    </row>
    <row r="28075" s="101" customFormat="1" spans="6:6">
      <c r="F28075" s="2423"/>
    </row>
    <row r="28076" s="101" customFormat="1" spans="6:6">
      <c r="F28076" s="2423"/>
    </row>
    <row r="28077" s="101" customFormat="1" spans="6:6">
      <c r="F28077" s="2423"/>
    </row>
    <row r="28078" s="101" customFormat="1" spans="6:6">
      <c r="F28078" s="2423"/>
    </row>
    <row r="28079" s="101" customFormat="1" spans="6:6">
      <c r="F28079" s="2423"/>
    </row>
    <row r="28080" s="101" customFormat="1" spans="6:6">
      <c r="F28080" s="2423"/>
    </row>
    <row r="28081" s="101" customFormat="1" spans="6:6">
      <c r="F28081" s="2423"/>
    </row>
    <row r="28082" s="101" customFormat="1" spans="6:6">
      <c r="F28082" s="2423"/>
    </row>
    <row r="28083" s="101" customFormat="1" spans="6:6">
      <c r="F28083" s="2423"/>
    </row>
    <row r="28084" s="101" customFormat="1" spans="6:6">
      <c r="F28084" s="2423"/>
    </row>
    <row r="28085" s="101" customFormat="1" spans="6:6">
      <c r="F28085" s="2423"/>
    </row>
    <row r="28086" s="101" customFormat="1" spans="6:6">
      <c r="F28086" s="2423"/>
    </row>
    <row r="28087" s="101" customFormat="1" spans="6:6">
      <c r="F28087" s="2423"/>
    </row>
    <row r="28088" s="101" customFormat="1" spans="6:6">
      <c r="F28088" s="2423"/>
    </row>
    <row r="28089" s="101" customFormat="1" spans="6:6">
      <c r="F28089" s="2423"/>
    </row>
    <row r="28090" s="101" customFormat="1" spans="6:6">
      <c r="F28090" s="2423"/>
    </row>
    <row r="28091" s="101" customFormat="1" spans="6:6">
      <c r="F28091" s="2423"/>
    </row>
    <row r="28092" s="101" customFormat="1" spans="6:6">
      <c r="F28092" s="2423"/>
    </row>
    <row r="28093" s="101" customFormat="1" spans="6:6">
      <c r="F28093" s="2423"/>
    </row>
    <row r="28094" s="101" customFormat="1" spans="6:6">
      <c r="F28094" s="2423"/>
    </row>
    <row r="28095" s="101" customFormat="1" spans="6:6">
      <c r="F28095" s="2423"/>
    </row>
    <row r="28096" s="101" customFormat="1" spans="6:6">
      <c r="F28096" s="2423"/>
    </row>
    <row r="28097" s="101" customFormat="1" spans="6:6">
      <c r="F28097" s="2423"/>
    </row>
    <row r="28098" s="101" customFormat="1" spans="6:6">
      <c r="F28098" s="2423"/>
    </row>
    <row r="28099" s="101" customFormat="1" spans="6:6">
      <c r="F28099" s="2423"/>
    </row>
    <row r="28100" s="101" customFormat="1" spans="6:6">
      <c r="F28100" s="2423"/>
    </row>
    <row r="28101" s="101" customFormat="1" spans="6:6">
      <c r="F28101" s="2423"/>
    </row>
    <row r="28102" s="101" customFormat="1" spans="6:6">
      <c r="F28102" s="2423"/>
    </row>
    <row r="28103" s="101" customFormat="1" spans="6:6">
      <c r="F28103" s="2423"/>
    </row>
    <row r="28104" s="101" customFormat="1" spans="6:6">
      <c r="F28104" s="2423"/>
    </row>
    <row r="28105" s="101" customFormat="1" spans="6:6">
      <c r="F28105" s="2423"/>
    </row>
    <row r="28106" s="101" customFormat="1" spans="6:6">
      <c r="F28106" s="2423"/>
    </row>
    <row r="28107" s="101" customFormat="1" spans="6:6">
      <c r="F28107" s="2423"/>
    </row>
    <row r="28108" s="101" customFormat="1" spans="6:6">
      <c r="F28108" s="2423"/>
    </row>
    <row r="28109" s="101" customFormat="1" spans="6:6">
      <c r="F28109" s="2423"/>
    </row>
    <row r="28110" s="101" customFormat="1" spans="6:6">
      <c r="F28110" s="2423"/>
    </row>
    <row r="28111" s="101" customFormat="1" spans="6:6">
      <c r="F28111" s="2423"/>
    </row>
    <row r="28112" s="101" customFormat="1" spans="6:6">
      <c r="F28112" s="2423"/>
    </row>
    <row r="28113" s="101" customFormat="1" spans="6:6">
      <c r="F28113" s="2423"/>
    </row>
    <row r="28114" s="101" customFormat="1" spans="6:6">
      <c r="F28114" s="2423"/>
    </row>
    <row r="28115" s="101" customFormat="1" spans="6:6">
      <c r="F28115" s="2423"/>
    </row>
    <row r="28116" s="101" customFormat="1" spans="6:6">
      <c r="F28116" s="2423"/>
    </row>
    <row r="28117" s="101" customFormat="1" spans="6:6">
      <c r="F28117" s="2423"/>
    </row>
    <row r="28118" s="101" customFormat="1" spans="6:6">
      <c r="F28118" s="2423"/>
    </row>
    <row r="28119" s="101" customFormat="1" spans="6:6">
      <c r="F28119" s="2423"/>
    </row>
    <row r="28120" s="101" customFormat="1" spans="6:6">
      <c r="F28120" s="2423"/>
    </row>
    <row r="28121" s="101" customFormat="1" spans="6:6">
      <c r="F28121" s="2423"/>
    </row>
    <row r="28122" s="101" customFormat="1" spans="6:6">
      <c r="F28122" s="2423"/>
    </row>
    <row r="28123" s="101" customFormat="1" spans="6:6">
      <c r="F28123" s="2423"/>
    </row>
    <row r="28124" s="101" customFormat="1" spans="6:6">
      <c r="F28124" s="2423"/>
    </row>
    <row r="28125" s="101" customFormat="1" spans="6:6">
      <c r="F28125" s="2423"/>
    </row>
    <row r="28126" s="101" customFormat="1" spans="6:6">
      <c r="F28126" s="2423"/>
    </row>
    <row r="28127" s="101" customFormat="1" spans="6:6">
      <c r="F28127" s="2423"/>
    </row>
    <row r="28128" s="101" customFormat="1" spans="6:6">
      <c r="F28128" s="2423"/>
    </row>
    <row r="28129" s="101" customFormat="1" spans="6:6">
      <c r="F28129" s="2423"/>
    </row>
    <row r="28130" s="101" customFormat="1" spans="6:6">
      <c r="F28130" s="2423"/>
    </row>
    <row r="28131" s="101" customFormat="1" spans="6:6">
      <c r="F28131" s="2423"/>
    </row>
    <row r="28132" s="101" customFormat="1" spans="6:6">
      <c r="F28132" s="2423"/>
    </row>
    <row r="28133" s="101" customFormat="1" spans="6:6">
      <c r="F28133" s="2423"/>
    </row>
    <row r="28134" s="101" customFormat="1" spans="6:6">
      <c r="F28134" s="2423"/>
    </row>
    <row r="28135" s="101" customFormat="1" spans="6:6">
      <c r="F28135" s="2423"/>
    </row>
    <row r="28136" s="101" customFormat="1" spans="6:6">
      <c r="F28136" s="2423"/>
    </row>
    <row r="28137" s="101" customFormat="1" spans="6:6">
      <c r="F28137" s="2423"/>
    </row>
    <row r="28138" s="101" customFormat="1" spans="6:6">
      <c r="F28138" s="2423"/>
    </row>
    <row r="28139" s="101" customFormat="1" spans="6:6">
      <c r="F28139" s="2423"/>
    </row>
    <row r="28140" s="101" customFormat="1" spans="6:6">
      <c r="F28140" s="2423"/>
    </row>
    <row r="28141" s="101" customFormat="1" spans="6:6">
      <c r="F28141" s="2423"/>
    </row>
    <row r="28142" s="101" customFormat="1" spans="6:6">
      <c r="F28142" s="2423"/>
    </row>
    <row r="28143" s="101" customFormat="1" spans="6:6">
      <c r="F28143" s="2423"/>
    </row>
    <row r="28144" s="101" customFormat="1" spans="6:6">
      <c r="F28144" s="2423"/>
    </row>
    <row r="28145" s="101" customFormat="1" spans="6:6">
      <c r="F28145" s="2423"/>
    </row>
    <row r="28146" s="101" customFormat="1" spans="6:6">
      <c r="F28146" s="2423"/>
    </row>
    <row r="28147" s="101" customFormat="1" spans="6:6">
      <c r="F28147" s="2423"/>
    </row>
    <row r="28148" s="101" customFormat="1" spans="6:6">
      <c r="F28148" s="2423"/>
    </row>
    <row r="28149" s="101" customFormat="1" spans="6:6">
      <c r="F28149" s="2423"/>
    </row>
    <row r="28150" s="101" customFormat="1" spans="6:6">
      <c r="F28150" s="2423"/>
    </row>
    <row r="28151" s="101" customFormat="1" spans="6:6">
      <c r="F28151" s="2423"/>
    </row>
    <row r="28152" s="101" customFormat="1" spans="6:6">
      <c r="F28152" s="2423"/>
    </row>
    <row r="28153" s="101" customFormat="1" spans="6:6">
      <c r="F28153" s="2423"/>
    </row>
    <row r="28154" s="101" customFormat="1" spans="6:6">
      <c r="F28154" s="2423"/>
    </row>
    <row r="28155" s="101" customFormat="1" spans="6:6">
      <c r="F28155" s="2423"/>
    </row>
    <row r="28156" s="101" customFormat="1" spans="6:6">
      <c r="F28156" s="2423"/>
    </row>
    <row r="28157" s="101" customFormat="1" spans="6:6">
      <c r="F28157" s="2423"/>
    </row>
    <row r="28158" s="101" customFormat="1" spans="6:6">
      <c r="F28158" s="2423"/>
    </row>
    <row r="28159" s="101" customFormat="1" spans="6:6">
      <c r="F28159" s="2423"/>
    </row>
    <row r="28160" s="101" customFormat="1" spans="6:6">
      <c r="F28160" s="2423"/>
    </row>
    <row r="28161" s="101" customFormat="1" spans="6:6">
      <c r="F28161" s="2423"/>
    </row>
    <row r="28162" s="101" customFormat="1" spans="6:6">
      <c r="F28162" s="2423"/>
    </row>
    <row r="28163" s="101" customFormat="1" spans="6:6">
      <c r="F28163" s="2423"/>
    </row>
    <row r="28164" s="101" customFormat="1" spans="6:6">
      <c r="F28164" s="2423"/>
    </row>
    <row r="28165" s="101" customFormat="1" spans="6:6">
      <c r="F28165" s="2423"/>
    </row>
    <row r="28166" s="101" customFormat="1" spans="6:6">
      <c r="F28166" s="2423"/>
    </row>
    <row r="28167" s="101" customFormat="1" spans="6:6">
      <c r="F28167" s="2423"/>
    </row>
    <row r="28168" s="101" customFormat="1" spans="6:6">
      <c r="F28168" s="2423"/>
    </row>
    <row r="28169" s="101" customFormat="1" spans="6:6">
      <c r="F28169" s="2423"/>
    </row>
    <row r="28170" s="101" customFormat="1" spans="6:6">
      <c r="F28170" s="2423"/>
    </row>
    <row r="28171" s="101" customFormat="1" spans="6:6">
      <c r="F28171" s="2423"/>
    </row>
    <row r="28172" s="101" customFormat="1" spans="6:6">
      <c r="F28172" s="2423"/>
    </row>
    <row r="28173" s="101" customFormat="1" spans="6:6">
      <c r="F28173" s="2423"/>
    </row>
    <row r="28174" s="101" customFormat="1" spans="6:6">
      <c r="F28174" s="2423"/>
    </row>
    <row r="28175" s="101" customFormat="1" spans="6:6">
      <c r="F28175" s="2423"/>
    </row>
    <row r="28176" s="101" customFormat="1" spans="6:6">
      <c r="F28176" s="2423"/>
    </row>
    <row r="28177" s="101" customFormat="1" spans="6:6">
      <c r="F28177" s="2423"/>
    </row>
    <row r="28178" s="101" customFormat="1" spans="6:6">
      <c r="F28178" s="2423"/>
    </row>
    <row r="28179" s="101" customFormat="1" spans="6:6">
      <c r="F28179" s="2423"/>
    </row>
    <row r="28180" s="101" customFormat="1" spans="6:6">
      <c r="F28180" s="2423"/>
    </row>
    <row r="28181" s="101" customFormat="1" spans="6:6">
      <c r="F28181" s="2423"/>
    </row>
    <row r="28182" s="101" customFormat="1" spans="6:6">
      <c r="F28182" s="2423"/>
    </row>
    <row r="28183" s="101" customFormat="1" spans="6:6">
      <c r="F28183" s="2423"/>
    </row>
    <row r="28184" s="101" customFormat="1" spans="6:6">
      <c r="F28184" s="2423"/>
    </row>
    <row r="28185" s="101" customFormat="1" spans="6:6">
      <c r="F28185" s="2423"/>
    </row>
    <row r="28186" s="101" customFormat="1" spans="6:6">
      <c r="F28186" s="2423"/>
    </row>
    <row r="28187" s="101" customFormat="1" spans="6:6">
      <c r="F28187" s="2423"/>
    </row>
    <row r="28188" s="101" customFormat="1" spans="6:6">
      <c r="F28188" s="2423"/>
    </row>
    <row r="28189" s="101" customFormat="1" spans="6:6">
      <c r="F28189" s="2423"/>
    </row>
    <row r="28190" s="101" customFormat="1" spans="6:6">
      <c r="F28190" s="2423"/>
    </row>
    <row r="28191" s="101" customFormat="1" spans="6:6">
      <c r="F28191" s="2423"/>
    </row>
    <row r="28192" s="101" customFormat="1" spans="6:6">
      <c r="F28192" s="2423"/>
    </row>
    <row r="28193" s="101" customFormat="1" spans="6:6">
      <c r="F28193" s="2423"/>
    </row>
    <row r="28194" s="101" customFormat="1" spans="6:6">
      <c r="F28194" s="2423"/>
    </row>
    <row r="28195" s="101" customFormat="1" spans="6:6">
      <c r="F28195" s="2423"/>
    </row>
    <row r="28196" s="101" customFormat="1" spans="6:6">
      <c r="F28196" s="2423"/>
    </row>
    <row r="28197" s="101" customFormat="1" spans="6:6">
      <c r="F28197" s="2423"/>
    </row>
    <row r="28198" s="101" customFormat="1" spans="6:6">
      <c r="F28198" s="2423"/>
    </row>
    <row r="28199" s="101" customFormat="1" spans="6:6">
      <c r="F28199" s="2423"/>
    </row>
    <row r="28200" s="101" customFormat="1" spans="6:6">
      <c r="F28200" s="2423"/>
    </row>
    <row r="28201" s="101" customFormat="1" spans="6:6">
      <c r="F28201" s="2423"/>
    </row>
    <row r="28202" s="101" customFormat="1" spans="6:6">
      <c r="F28202" s="2423"/>
    </row>
    <row r="28203" s="101" customFormat="1" spans="6:6">
      <c r="F28203" s="2423"/>
    </row>
    <row r="28204" s="101" customFormat="1" spans="6:6">
      <c r="F28204" s="2423"/>
    </row>
    <row r="28205" s="101" customFormat="1" spans="6:6">
      <c r="F28205" s="2423"/>
    </row>
    <row r="28206" s="101" customFormat="1" spans="6:6">
      <c r="F28206" s="2423"/>
    </row>
    <row r="28207" s="101" customFormat="1" spans="6:6">
      <c r="F28207" s="2423"/>
    </row>
    <row r="28208" s="101" customFormat="1" spans="6:6">
      <c r="F28208" s="2423"/>
    </row>
    <row r="28209" s="101" customFormat="1" spans="6:6">
      <c r="F28209" s="2423"/>
    </row>
    <row r="28210" s="101" customFormat="1" spans="6:6">
      <c r="F28210" s="2423"/>
    </row>
    <row r="28211" s="101" customFormat="1" spans="6:6">
      <c r="F28211" s="2423"/>
    </row>
    <row r="28212" s="101" customFormat="1" spans="6:6">
      <c r="F28212" s="2423"/>
    </row>
    <row r="28213" s="101" customFormat="1" spans="6:6">
      <c r="F28213" s="2423"/>
    </row>
    <row r="28214" s="101" customFormat="1" spans="6:6">
      <c r="F28214" s="2423"/>
    </row>
    <row r="28215" s="101" customFormat="1" spans="6:6">
      <c r="F28215" s="2423"/>
    </row>
    <row r="28216" s="101" customFormat="1" spans="6:6">
      <c r="F28216" s="2423"/>
    </row>
    <row r="28217" s="101" customFormat="1" spans="6:6">
      <c r="F28217" s="2423"/>
    </row>
    <row r="28218" s="101" customFormat="1" spans="6:6">
      <c r="F28218" s="2423"/>
    </row>
    <row r="28219" s="101" customFormat="1" spans="6:6">
      <c r="F28219" s="2423"/>
    </row>
    <row r="28220" s="101" customFormat="1" spans="6:6">
      <c r="F28220" s="2423"/>
    </row>
    <row r="28221" s="101" customFormat="1" spans="6:6">
      <c r="F28221" s="2423"/>
    </row>
    <row r="28222" s="101" customFormat="1" spans="6:6">
      <c r="F28222" s="2423"/>
    </row>
    <row r="28223" s="101" customFormat="1" spans="6:6">
      <c r="F28223" s="2423"/>
    </row>
    <row r="28224" s="101" customFormat="1" spans="6:6">
      <c r="F28224" s="2423"/>
    </row>
    <row r="28225" s="101" customFormat="1" spans="6:6">
      <c r="F28225" s="2423"/>
    </row>
    <row r="28226" s="101" customFormat="1" spans="6:6">
      <c r="F28226" s="2423"/>
    </row>
    <row r="28227" s="101" customFormat="1" spans="6:6">
      <c r="F28227" s="2423"/>
    </row>
    <row r="28228" s="101" customFormat="1" spans="6:6">
      <c r="F28228" s="2423"/>
    </row>
    <row r="28229" s="101" customFormat="1" spans="6:6">
      <c r="F28229" s="2423"/>
    </row>
    <row r="28230" s="101" customFormat="1" spans="6:6">
      <c r="F28230" s="2423"/>
    </row>
    <row r="28231" s="101" customFormat="1" spans="6:6">
      <c r="F28231" s="2423"/>
    </row>
    <row r="28232" s="101" customFormat="1" spans="6:6">
      <c r="F28232" s="2423"/>
    </row>
    <row r="28233" s="101" customFormat="1" spans="6:6">
      <c r="F28233" s="2423"/>
    </row>
    <row r="28234" s="101" customFormat="1" spans="6:6">
      <c r="F28234" s="2423"/>
    </row>
    <row r="28235" s="101" customFormat="1" spans="6:6">
      <c r="F28235" s="2423"/>
    </row>
    <row r="28236" s="101" customFormat="1" spans="6:6">
      <c r="F28236" s="2423"/>
    </row>
    <row r="28237" s="101" customFormat="1" spans="6:6">
      <c r="F28237" s="2423"/>
    </row>
    <row r="28238" s="101" customFormat="1" spans="6:6">
      <c r="F28238" s="2423"/>
    </row>
    <row r="28239" s="101" customFormat="1" spans="6:6">
      <c r="F28239" s="2423"/>
    </row>
    <row r="28240" s="101" customFormat="1" spans="6:6">
      <c r="F28240" s="2423"/>
    </row>
    <row r="28241" s="101" customFormat="1" spans="6:6">
      <c r="F28241" s="2423"/>
    </row>
    <row r="28242" s="101" customFormat="1" spans="6:6">
      <c r="F28242" s="2423"/>
    </row>
    <row r="28243" s="101" customFormat="1" spans="6:6">
      <c r="F28243" s="2423"/>
    </row>
    <row r="28244" s="101" customFormat="1" spans="6:6">
      <c r="F28244" s="2423"/>
    </row>
    <row r="28245" s="101" customFormat="1" spans="6:6">
      <c r="F28245" s="2423"/>
    </row>
    <row r="28246" s="101" customFormat="1" spans="6:6">
      <c r="F28246" s="2423"/>
    </row>
    <row r="28247" s="101" customFormat="1" spans="6:6">
      <c r="F28247" s="2423"/>
    </row>
    <row r="28248" s="101" customFormat="1" spans="6:6">
      <c r="F28248" s="2423"/>
    </row>
    <row r="28249" s="101" customFormat="1" spans="6:6">
      <c r="F28249" s="2423"/>
    </row>
    <row r="28250" s="101" customFormat="1" spans="6:6">
      <c r="F28250" s="2423"/>
    </row>
    <row r="28251" s="101" customFormat="1" spans="6:6">
      <c r="F28251" s="2423"/>
    </row>
    <row r="28252" s="101" customFormat="1" spans="6:6">
      <c r="F28252" s="2423"/>
    </row>
    <row r="28253" s="101" customFormat="1" spans="6:6">
      <c r="F28253" s="2423"/>
    </row>
    <row r="28254" s="101" customFormat="1" spans="6:6">
      <c r="F28254" s="2423"/>
    </row>
    <row r="28255" s="101" customFormat="1" spans="6:6">
      <c r="F28255" s="2423"/>
    </row>
    <row r="28256" s="101" customFormat="1" spans="6:6">
      <c r="F28256" s="2423"/>
    </row>
    <row r="28257" s="101" customFormat="1" spans="6:6">
      <c r="F28257" s="2423"/>
    </row>
    <row r="28258" s="101" customFormat="1" spans="6:6">
      <c r="F28258" s="2423"/>
    </row>
    <row r="28259" s="101" customFormat="1" spans="6:6">
      <c r="F28259" s="2423"/>
    </row>
    <row r="28260" s="101" customFormat="1" spans="6:6">
      <c r="F28260" s="2423"/>
    </row>
    <row r="28261" s="101" customFormat="1" spans="6:6">
      <c r="F28261" s="2423"/>
    </row>
    <row r="28262" s="101" customFormat="1" spans="6:6">
      <c r="F28262" s="2423"/>
    </row>
    <row r="28263" s="101" customFormat="1" spans="6:6">
      <c r="F28263" s="2423"/>
    </row>
    <row r="28264" s="101" customFormat="1" spans="6:6">
      <c r="F28264" s="2423"/>
    </row>
    <row r="28265" s="101" customFormat="1" spans="6:6">
      <c r="F28265" s="2423"/>
    </row>
    <row r="28266" s="101" customFormat="1" spans="6:6">
      <c r="F28266" s="2423"/>
    </row>
    <row r="28267" s="101" customFormat="1" spans="6:6">
      <c r="F28267" s="2423"/>
    </row>
    <row r="28268" s="101" customFormat="1" spans="6:6">
      <c r="F28268" s="2423"/>
    </row>
    <row r="28269" s="101" customFormat="1" spans="6:6">
      <c r="F28269" s="2423"/>
    </row>
    <row r="28270" s="101" customFormat="1" spans="6:6">
      <c r="F28270" s="2423"/>
    </row>
    <row r="28271" s="101" customFormat="1" spans="6:6">
      <c r="F28271" s="2423"/>
    </row>
    <row r="28272" s="101" customFormat="1" spans="6:6">
      <c r="F28272" s="2423"/>
    </row>
    <row r="28273" s="101" customFormat="1" spans="6:6">
      <c r="F28273" s="2423"/>
    </row>
    <row r="28274" s="101" customFormat="1" spans="6:6">
      <c r="F28274" s="2423"/>
    </row>
    <row r="28275" s="101" customFormat="1" spans="6:6">
      <c r="F28275" s="2423"/>
    </row>
    <row r="28276" s="101" customFormat="1" spans="6:6">
      <c r="F28276" s="2423"/>
    </row>
    <row r="28277" s="101" customFormat="1" spans="6:6">
      <c r="F28277" s="2423"/>
    </row>
    <row r="28278" s="101" customFormat="1" spans="6:6">
      <c r="F28278" s="2423"/>
    </row>
    <row r="28279" s="101" customFormat="1" spans="6:6">
      <c r="F28279" s="2423"/>
    </row>
    <row r="28280" s="101" customFormat="1" spans="6:6">
      <c r="F28280" s="2423"/>
    </row>
    <row r="28281" s="101" customFormat="1" spans="6:6">
      <c r="F28281" s="2423"/>
    </row>
    <row r="28282" s="101" customFormat="1" spans="6:6">
      <c r="F28282" s="2423"/>
    </row>
    <row r="28283" s="101" customFormat="1" spans="6:6">
      <c r="F28283" s="2423"/>
    </row>
    <row r="28284" s="101" customFormat="1" spans="6:6">
      <c r="F28284" s="2423"/>
    </row>
    <row r="28285" s="101" customFormat="1" spans="6:6">
      <c r="F28285" s="2423"/>
    </row>
    <row r="28286" s="101" customFormat="1" spans="6:6">
      <c r="F28286" s="2423"/>
    </row>
    <row r="28287" s="101" customFormat="1" spans="6:6">
      <c r="F28287" s="2423"/>
    </row>
    <row r="28288" s="101" customFormat="1" spans="6:6">
      <c r="F28288" s="2423"/>
    </row>
    <row r="28289" s="101" customFormat="1" spans="6:6">
      <c r="F28289" s="2423"/>
    </row>
    <row r="28290" s="101" customFormat="1" spans="6:6">
      <c r="F28290" s="2423"/>
    </row>
    <row r="28291" s="101" customFormat="1" spans="6:6">
      <c r="F28291" s="2423"/>
    </row>
    <row r="28292" s="101" customFormat="1" spans="6:6">
      <c r="F28292" s="2423"/>
    </row>
    <row r="28293" s="101" customFormat="1" spans="6:6">
      <c r="F28293" s="2423"/>
    </row>
    <row r="28294" s="101" customFormat="1" spans="6:6">
      <c r="F28294" s="2423"/>
    </row>
    <row r="28295" s="101" customFormat="1" spans="6:6">
      <c r="F28295" s="2423"/>
    </row>
    <row r="28296" s="101" customFormat="1" spans="6:6">
      <c r="F28296" s="2423"/>
    </row>
    <row r="28297" s="101" customFormat="1" spans="6:6">
      <c r="F28297" s="2423"/>
    </row>
    <row r="28298" s="101" customFormat="1" spans="6:6">
      <c r="F28298" s="2423"/>
    </row>
    <row r="28299" s="101" customFormat="1" spans="6:6">
      <c r="F28299" s="2423"/>
    </row>
    <row r="28300" s="101" customFormat="1" spans="6:6">
      <c r="F28300" s="2423"/>
    </row>
    <row r="28301" s="101" customFormat="1" spans="6:6">
      <c r="F28301" s="2423"/>
    </row>
    <row r="28302" s="101" customFormat="1" spans="6:6">
      <c r="F28302" s="2423"/>
    </row>
    <row r="28303" s="101" customFormat="1" spans="6:6">
      <c r="F28303" s="2423"/>
    </row>
    <row r="28304" s="101" customFormat="1" spans="6:6">
      <c r="F28304" s="2423"/>
    </row>
    <row r="28305" s="101" customFormat="1" spans="6:6">
      <c r="F28305" s="2423"/>
    </row>
    <row r="28306" s="101" customFormat="1" spans="6:6">
      <c r="F28306" s="2423"/>
    </row>
    <row r="28307" s="101" customFormat="1" spans="6:6">
      <c r="F28307" s="2423"/>
    </row>
    <row r="28308" s="101" customFormat="1" spans="6:6">
      <c r="F28308" s="2423"/>
    </row>
    <row r="28309" s="101" customFormat="1" spans="6:6">
      <c r="F28309" s="2423"/>
    </row>
    <row r="28310" s="101" customFormat="1" spans="6:6">
      <c r="F28310" s="2423"/>
    </row>
    <row r="28311" s="101" customFormat="1" spans="6:6">
      <c r="F28311" s="2423"/>
    </row>
    <row r="28312" s="101" customFormat="1" spans="6:6">
      <c r="F28312" s="2423"/>
    </row>
    <row r="28313" s="101" customFormat="1" spans="6:6">
      <c r="F28313" s="2423"/>
    </row>
    <row r="28314" s="101" customFormat="1" spans="6:6">
      <c r="F28314" s="2423"/>
    </row>
    <row r="28315" s="101" customFormat="1" spans="6:6">
      <c r="F28315" s="2423"/>
    </row>
    <row r="28316" s="101" customFormat="1" spans="6:6">
      <c r="F28316" s="2423"/>
    </row>
    <row r="28317" s="101" customFormat="1" spans="6:6">
      <c r="F28317" s="2423"/>
    </row>
    <row r="28318" s="101" customFormat="1" spans="6:6">
      <c r="F28318" s="2423"/>
    </row>
    <row r="28319" s="101" customFormat="1" spans="6:6">
      <c r="F28319" s="2423"/>
    </row>
    <row r="28320" s="101" customFormat="1" spans="6:6">
      <c r="F28320" s="2423"/>
    </row>
    <row r="28321" s="101" customFormat="1" spans="6:6">
      <c r="F28321" s="2423"/>
    </row>
    <row r="28322" s="101" customFormat="1" spans="6:6">
      <c r="F28322" s="2423"/>
    </row>
    <row r="28323" s="101" customFormat="1" spans="6:6">
      <c r="F28323" s="2423"/>
    </row>
    <row r="28324" s="101" customFormat="1" spans="6:6">
      <c r="F28324" s="2423"/>
    </row>
    <row r="28325" s="101" customFormat="1" spans="6:6">
      <c r="F28325" s="2423"/>
    </row>
    <row r="28326" s="101" customFormat="1" spans="6:6">
      <c r="F28326" s="2423"/>
    </row>
    <row r="28327" s="101" customFormat="1" spans="6:6">
      <c r="F28327" s="2423"/>
    </row>
    <row r="28328" s="101" customFormat="1" spans="6:6">
      <c r="F28328" s="2423"/>
    </row>
    <row r="28329" s="101" customFormat="1" spans="6:6">
      <c r="F28329" s="2423"/>
    </row>
    <row r="28330" s="101" customFormat="1" spans="6:6">
      <c r="F28330" s="2423"/>
    </row>
    <row r="28331" s="101" customFormat="1" spans="6:6">
      <c r="F28331" s="2423"/>
    </row>
    <row r="28332" s="101" customFormat="1" spans="6:6">
      <c r="F28332" s="2423"/>
    </row>
    <row r="28333" s="101" customFormat="1" spans="6:6">
      <c r="F28333" s="2423"/>
    </row>
    <row r="28334" s="101" customFormat="1" spans="6:6">
      <c r="F28334" s="2423"/>
    </row>
    <row r="28335" s="101" customFormat="1" spans="6:6">
      <c r="F28335" s="2423"/>
    </row>
    <row r="28336" s="101" customFormat="1" spans="6:6">
      <c r="F28336" s="2423"/>
    </row>
    <row r="28337" s="101" customFormat="1" spans="6:6">
      <c r="F28337" s="2423"/>
    </row>
    <row r="28338" s="101" customFormat="1" spans="6:6">
      <c r="F28338" s="2423"/>
    </row>
    <row r="28339" s="101" customFormat="1" spans="6:6">
      <c r="F28339" s="2423"/>
    </row>
    <row r="28340" s="101" customFormat="1" spans="6:6">
      <c r="F28340" s="2423"/>
    </row>
    <row r="28341" s="101" customFormat="1" spans="6:6">
      <c r="F28341" s="2423"/>
    </row>
    <row r="28342" s="101" customFormat="1" spans="6:6">
      <c r="F28342" s="2423"/>
    </row>
    <row r="28343" s="101" customFormat="1" spans="6:6">
      <c r="F28343" s="2423"/>
    </row>
    <row r="28344" s="101" customFormat="1" spans="6:6">
      <c r="F28344" s="2423"/>
    </row>
    <row r="28345" s="101" customFormat="1" spans="6:6">
      <c r="F28345" s="2423"/>
    </row>
    <row r="28346" s="101" customFormat="1" spans="6:6">
      <c r="F28346" s="2423"/>
    </row>
    <row r="28347" s="101" customFormat="1" spans="6:6">
      <c r="F28347" s="2423"/>
    </row>
    <row r="28348" s="101" customFormat="1" spans="6:6">
      <c r="F28348" s="2423"/>
    </row>
    <row r="28349" s="101" customFormat="1" spans="6:6">
      <c r="F28349" s="2423"/>
    </row>
    <row r="28350" s="101" customFormat="1" spans="6:6">
      <c r="F28350" s="2423"/>
    </row>
    <row r="28351" s="101" customFormat="1" spans="6:6">
      <c r="F28351" s="2423"/>
    </row>
    <row r="28352" s="101" customFormat="1" spans="6:6">
      <c r="F28352" s="2423"/>
    </row>
    <row r="28353" s="101" customFormat="1" spans="6:6">
      <c r="F28353" s="2423"/>
    </row>
    <row r="28354" s="101" customFormat="1" spans="6:6">
      <c r="F28354" s="2423"/>
    </row>
    <row r="28355" s="101" customFormat="1" spans="6:6">
      <c r="F28355" s="2423"/>
    </row>
    <row r="28356" s="101" customFormat="1" spans="6:6">
      <c r="F28356" s="2423"/>
    </row>
    <row r="28357" s="101" customFormat="1" spans="6:6">
      <c r="F28357" s="2423"/>
    </row>
    <row r="28358" s="101" customFormat="1" spans="6:6">
      <c r="F28358" s="2423"/>
    </row>
    <row r="28359" s="101" customFormat="1" spans="6:6">
      <c r="F28359" s="2423"/>
    </row>
    <row r="28360" s="101" customFormat="1" spans="6:6">
      <c r="F28360" s="2423"/>
    </row>
    <row r="28361" s="101" customFormat="1" spans="6:6">
      <c r="F28361" s="2423"/>
    </row>
    <row r="28362" s="101" customFormat="1" spans="6:6">
      <c r="F28362" s="2423"/>
    </row>
    <row r="28363" s="101" customFormat="1" spans="6:6">
      <c r="F28363" s="2423"/>
    </row>
    <row r="28364" s="101" customFormat="1" spans="6:6">
      <c r="F28364" s="2423"/>
    </row>
    <row r="28365" s="101" customFormat="1" spans="6:6">
      <c r="F28365" s="2423"/>
    </row>
    <row r="28366" s="101" customFormat="1" spans="6:6">
      <c r="F28366" s="2423"/>
    </row>
    <row r="28367" s="101" customFormat="1" spans="6:6">
      <c r="F28367" s="2423"/>
    </row>
    <row r="28368" s="101" customFormat="1" spans="6:6">
      <c r="F28368" s="2423"/>
    </row>
    <row r="28369" s="101" customFormat="1" spans="6:6">
      <c r="F28369" s="2423"/>
    </row>
    <row r="28370" s="101" customFormat="1" spans="6:6">
      <c r="F28370" s="2423"/>
    </row>
    <row r="28371" s="101" customFormat="1" spans="6:6">
      <c r="F28371" s="2423"/>
    </row>
    <row r="28372" s="101" customFormat="1" spans="6:6">
      <c r="F28372" s="2423"/>
    </row>
    <row r="28373" s="101" customFormat="1" spans="6:6">
      <c r="F28373" s="2423"/>
    </row>
    <row r="28374" s="101" customFormat="1" spans="6:6">
      <c r="F28374" s="2423"/>
    </row>
    <row r="28375" s="101" customFormat="1" spans="6:6">
      <c r="F28375" s="2423"/>
    </row>
    <row r="28376" s="101" customFormat="1" spans="6:6">
      <c r="F28376" s="2423"/>
    </row>
    <row r="28377" s="101" customFormat="1" spans="6:6">
      <c r="F28377" s="2423"/>
    </row>
    <row r="28378" s="101" customFormat="1" spans="6:6">
      <c r="F28378" s="2423"/>
    </row>
    <row r="28379" s="101" customFormat="1" spans="6:6">
      <c r="F28379" s="2423"/>
    </row>
    <row r="28380" s="101" customFormat="1" spans="6:6">
      <c r="F28380" s="2423"/>
    </row>
    <row r="28381" s="101" customFormat="1" spans="6:6">
      <c r="F28381" s="2423"/>
    </row>
    <row r="28382" s="101" customFormat="1" spans="6:6">
      <c r="F28382" s="2423"/>
    </row>
    <row r="28383" s="101" customFormat="1" spans="6:6">
      <c r="F28383" s="2423"/>
    </row>
    <row r="28384" s="101" customFormat="1" spans="6:6">
      <c r="F28384" s="2423"/>
    </row>
    <row r="28385" s="101" customFormat="1" spans="6:6">
      <c r="F28385" s="2423"/>
    </row>
    <row r="28386" s="101" customFormat="1" spans="6:6">
      <c r="F28386" s="2423"/>
    </row>
    <row r="28387" s="101" customFormat="1" spans="6:6">
      <c r="F28387" s="2423"/>
    </row>
    <row r="28388" s="101" customFormat="1" spans="6:6">
      <c r="F28388" s="2423"/>
    </row>
    <row r="28389" s="101" customFormat="1" spans="6:6">
      <c r="F28389" s="2423"/>
    </row>
    <row r="28390" s="101" customFormat="1" spans="6:6">
      <c r="F28390" s="2423"/>
    </row>
    <row r="28391" s="101" customFormat="1" spans="6:6">
      <c r="F28391" s="2423"/>
    </row>
    <row r="28392" s="101" customFormat="1" spans="6:6">
      <c r="F28392" s="2423"/>
    </row>
    <row r="28393" s="101" customFormat="1" spans="6:6">
      <c r="F28393" s="2423"/>
    </row>
    <row r="28394" s="101" customFormat="1" spans="6:6">
      <c r="F28394" s="2423"/>
    </row>
    <row r="28395" s="101" customFormat="1" spans="6:6">
      <c r="F28395" s="2423"/>
    </row>
    <row r="28396" s="101" customFormat="1" spans="6:6">
      <c r="F28396" s="2423"/>
    </row>
    <row r="28397" s="101" customFormat="1" spans="6:6">
      <c r="F28397" s="2423"/>
    </row>
    <row r="28398" s="101" customFormat="1" spans="6:6">
      <c r="F28398" s="2423"/>
    </row>
    <row r="28399" s="101" customFormat="1" spans="6:6">
      <c r="F28399" s="2423"/>
    </row>
    <row r="28400" s="101" customFormat="1" spans="6:6">
      <c r="F28400" s="2423"/>
    </row>
    <row r="28401" s="101" customFormat="1" spans="6:6">
      <c r="F28401" s="2423"/>
    </row>
    <row r="28402" s="101" customFormat="1" spans="6:6">
      <c r="F28402" s="2423"/>
    </row>
    <row r="28403" s="101" customFormat="1" spans="6:6">
      <c r="F28403" s="2423"/>
    </row>
    <row r="28404" s="101" customFormat="1" spans="6:6">
      <c r="F28404" s="2423"/>
    </row>
    <row r="28405" s="101" customFormat="1" spans="6:6">
      <c r="F28405" s="2423"/>
    </row>
    <row r="28406" s="101" customFormat="1" spans="6:6">
      <c r="F28406" s="2423"/>
    </row>
    <row r="28407" s="101" customFormat="1" spans="6:6">
      <c r="F28407" s="2423"/>
    </row>
    <row r="28408" s="101" customFormat="1" spans="6:6">
      <c r="F28408" s="2423"/>
    </row>
    <row r="28409" s="101" customFormat="1" spans="6:6">
      <c r="F28409" s="2423"/>
    </row>
    <row r="28410" s="101" customFormat="1" spans="6:6">
      <c r="F28410" s="2423"/>
    </row>
    <row r="28411" s="101" customFormat="1" spans="6:6">
      <c r="F28411" s="2423"/>
    </row>
    <row r="28412" s="101" customFormat="1" spans="6:6">
      <c r="F28412" s="2423"/>
    </row>
    <row r="28413" s="101" customFormat="1" spans="6:6">
      <c r="F28413" s="2423"/>
    </row>
    <row r="28414" s="101" customFormat="1" spans="6:6">
      <c r="F28414" s="2423"/>
    </row>
    <row r="28415" s="101" customFormat="1" spans="6:6">
      <c r="F28415" s="2423"/>
    </row>
    <row r="28416" s="101" customFormat="1" spans="6:6">
      <c r="F28416" s="2423"/>
    </row>
    <row r="28417" s="101" customFormat="1" spans="6:6">
      <c r="F28417" s="2423"/>
    </row>
    <row r="28418" s="101" customFormat="1" spans="6:6">
      <c r="F28418" s="2423"/>
    </row>
    <row r="28419" s="101" customFormat="1" spans="6:6">
      <c r="F28419" s="2423"/>
    </row>
    <row r="28420" s="101" customFormat="1" spans="6:6">
      <c r="F28420" s="2423"/>
    </row>
    <row r="28421" s="101" customFormat="1" spans="6:6">
      <c r="F28421" s="2423"/>
    </row>
    <row r="28422" s="101" customFormat="1" spans="6:6">
      <c r="F28422" s="2423"/>
    </row>
    <row r="28423" s="101" customFormat="1" spans="6:6">
      <c r="F28423" s="2423"/>
    </row>
    <row r="28424" s="101" customFormat="1" spans="6:6">
      <c r="F28424" s="2423"/>
    </row>
    <row r="28425" s="101" customFormat="1" spans="6:6">
      <c r="F28425" s="2423"/>
    </row>
    <row r="28426" s="101" customFormat="1" spans="6:6">
      <c r="F28426" s="2423"/>
    </row>
    <row r="28427" s="101" customFormat="1" spans="6:6">
      <c r="F28427" s="2423"/>
    </row>
    <row r="28428" s="101" customFormat="1" spans="6:6">
      <c r="F28428" s="2423"/>
    </row>
    <row r="28429" s="101" customFormat="1" spans="6:6">
      <c r="F28429" s="2423"/>
    </row>
    <row r="28430" s="101" customFormat="1" spans="6:6">
      <c r="F28430" s="2423"/>
    </row>
    <row r="28431" s="101" customFormat="1" spans="6:6">
      <c r="F28431" s="2423"/>
    </row>
    <row r="28432" s="101" customFormat="1" spans="6:6">
      <c r="F28432" s="2423"/>
    </row>
    <row r="28433" s="101" customFormat="1" spans="6:6">
      <c r="F28433" s="2423"/>
    </row>
    <row r="28434" s="101" customFormat="1" spans="6:6">
      <c r="F28434" s="2423"/>
    </row>
    <row r="28435" s="101" customFormat="1" spans="6:6">
      <c r="F28435" s="2423"/>
    </row>
    <row r="28436" s="101" customFormat="1" spans="6:6">
      <c r="F28436" s="2423"/>
    </row>
    <row r="28437" s="101" customFormat="1" spans="6:6">
      <c r="F28437" s="2423"/>
    </row>
    <row r="28438" s="101" customFormat="1" spans="6:6">
      <c r="F28438" s="2423"/>
    </row>
    <row r="28439" s="101" customFormat="1" spans="6:6">
      <c r="F28439" s="2423"/>
    </row>
    <row r="28440" s="101" customFormat="1" spans="6:6">
      <c r="F28440" s="2423"/>
    </row>
    <row r="28441" s="101" customFormat="1" spans="6:6">
      <c r="F28441" s="2423"/>
    </row>
    <row r="28442" s="101" customFormat="1" spans="6:6">
      <c r="F28442" s="2423"/>
    </row>
    <row r="28443" s="101" customFormat="1" spans="6:6">
      <c r="F28443" s="2423"/>
    </row>
    <row r="28444" s="101" customFormat="1" spans="6:6">
      <c r="F28444" s="2423"/>
    </row>
    <row r="28445" s="101" customFormat="1" spans="6:6">
      <c r="F28445" s="2423"/>
    </row>
    <row r="28446" s="101" customFormat="1" spans="6:6">
      <c r="F28446" s="2423"/>
    </row>
    <row r="28447" s="101" customFormat="1" spans="6:6">
      <c r="F28447" s="2423"/>
    </row>
    <row r="28448" s="101" customFormat="1" spans="6:6">
      <c r="F28448" s="2423"/>
    </row>
    <row r="28449" s="101" customFormat="1" spans="6:6">
      <c r="F28449" s="2423"/>
    </row>
    <row r="28450" s="101" customFormat="1" spans="6:6">
      <c r="F28450" s="2423"/>
    </row>
    <row r="28451" s="101" customFormat="1" spans="6:6">
      <c r="F28451" s="2423"/>
    </row>
    <row r="28452" s="101" customFormat="1" spans="6:6">
      <c r="F28452" s="2423"/>
    </row>
    <row r="28453" s="101" customFormat="1" spans="6:6">
      <c r="F28453" s="2423"/>
    </row>
    <row r="28454" s="101" customFormat="1" spans="6:6">
      <c r="F28454" s="2423"/>
    </row>
    <row r="28455" s="101" customFormat="1" spans="6:6">
      <c r="F28455" s="2423"/>
    </row>
    <row r="28456" s="101" customFormat="1" spans="6:6">
      <c r="F28456" s="2423"/>
    </row>
    <row r="28457" s="101" customFormat="1" spans="6:6">
      <c r="F28457" s="2423"/>
    </row>
    <row r="28458" s="101" customFormat="1" spans="6:6">
      <c r="F28458" s="2423"/>
    </row>
    <row r="28459" s="101" customFormat="1" spans="6:6">
      <c r="F28459" s="2423"/>
    </row>
    <row r="28460" s="101" customFormat="1" spans="6:6">
      <c r="F28460" s="2423"/>
    </row>
    <row r="28461" s="101" customFormat="1" spans="6:6">
      <c r="F28461" s="2423"/>
    </row>
    <row r="28462" s="101" customFormat="1" spans="6:6">
      <c r="F28462" s="2423"/>
    </row>
    <row r="28463" s="101" customFormat="1" spans="6:6">
      <c r="F28463" s="2423"/>
    </row>
    <row r="28464" s="101" customFormat="1" spans="6:6">
      <c r="F28464" s="2423"/>
    </row>
    <row r="28465" s="101" customFormat="1" spans="6:6">
      <c r="F28465" s="2423"/>
    </row>
    <row r="28466" s="101" customFormat="1" spans="6:6">
      <c r="F28466" s="2423"/>
    </row>
    <row r="28467" s="101" customFormat="1" spans="6:6">
      <c r="F28467" s="2423"/>
    </row>
    <row r="28468" s="101" customFormat="1" spans="6:6">
      <c r="F28468" s="2423"/>
    </row>
    <row r="28469" s="101" customFormat="1" spans="6:6">
      <c r="F28469" s="2423"/>
    </row>
    <row r="28470" s="101" customFormat="1" spans="6:6">
      <c r="F28470" s="2423"/>
    </row>
    <row r="28471" s="101" customFormat="1" spans="6:6">
      <c r="F28471" s="2423"/>
    </row>
    <row r="28472" s="101" customFormat="1" spans="6:6">
      <c r="F28472" s="2423"/>
    </row>
    <row r="28473" s="101" customFormat="1" spans="6:6">
      <c r="F28473" s="2423"/>
    </row>
    <row r="28474" s="101" customFormat="1" spans="6:6">
      <c r="F28474" s="2423"/>
    </row>
    <row r="28475" s="101" customFormat="1" spans="6:6">
      <c r="F28475" s="2423"/>
    </row>
    <row r="28476" s="101" customFormat="1" spans="6:6">
      <c r="F28476" s="2423"/>
    </row>
    <row r="28477" s="101" customFormat="1" spans="6:6">
      <c r="F28477" s="2423"/>
    </row>
    <row r="28478" s="101" customFormat="1" spans="6:6">
      <c r="F28478" s="2423"/>
    </row>
    <row r="28479" s="101" customFormat="1" spans="6:6">
      <c r="F28479" s="2423"/>
    </row>
    <row r="28480" s="101" customFormat="1" spans="6:6">
      <c r="F28480" s="2423"/>
    </row>
    <row r="28481" s="101" customFormat="1" spans="6:6">
      <c r="F28481" s="2423"/>
    </row>
    <row r="28482" s="101" customFormat="1" spans="6:6">
      <c r="F28482" s="2423"/>
    </row>
    <row r="28483" s="101" customFormat="1" spans="6:6">
      <c r="F28483" s="2423"/>
    </row>
    <row r="28484" s="101" customFormat="1" spans="6:6">
      <c r="F28484" s="2423"/>
    </row>
    <row r="28485" s="101" customFormat="1" spans="6:6">
      <c r="F28485" s="2423"/>
    </row>
    <row r="28486" s="101" customFormat="1" spans="6:6">
      <c r="F28486" s="2423"/>
    </row>
    <row r="28487" s="101" customFormat="1" spans="6:6">
      <c r="F28487" s="2423"/>
    </row>
    <row r="28488" s="101" customFormat="1" spans="6:6">
      <c r="F28488" s="2423"/>
    </row>
    <row r="28489" s="101" customFormat="1" spans="6:6">
      <c r="F28489" s="2423"/>
    </row>
    <row r="28490" s="101" customFormat="1" spans="6:6">
      <c r="F28490" s="2423"/>
    </row>
    <row r="28491" s="101" customFormat="1" spans="6:6">
      <c r="F28491" s="2423"/>
    </row>
    <row r="28492" s="101" customFormat="1" spans="6:6">
      <c r="F28492" s="2423"/>
    </row>
    <row r="28493" s="101" customFormat="1" spans="6:6">
      <c r="F28493" s="2423"/>
    </row>
    <row r="28494" s="101" customFormat="1" spans="6:6">
      <c r="F28494" s="2423"/>
    </row>
    <row r="28495" s="101" customFormat="1" spans="6:6">
      <c r="F28495" s="2423"/>
    </row>
    <row r="28496" s="101" customFormat="1" spans="6:6">
      <c r="F28496" s="2423"/>
    </row>
    <row r="28497" s="101" customFormat="1" spans="6:6">
      <c r="F28497" s="2423"/>
    </row>
    <row r="28498" s="101" customFormat="1" spans="6:6">
      <c r="F28498" s="2423"/>
    </row>
    <row r="28499" s="101" customFormat="1" spans="6:6">
      <c r="F28499" s="2423"/>
    </row>
    <row r="28500" s="101" customFormat="1" spans="6:6">
      <c r="F28500" s="2423"/>
    </row>
    <row r="28501" s="101" customFormat="1" spans="6:6">
      <c r="F28501" s="2423"/>
    </row>
    <row r="28502" s="101" customFormat="1" spans="6:6">
      <c r="F28502" s="2423"/>
    </row>
    <row r="28503" s="101" customFormat="1" spans="6:6">
      <c r="F28503" s="2423"/>
    </row>
    <row r="28504" s="101" customFormat="1" spans="6:6">
      <c r="F28504" s="2423"/>
    </row>
    <row r="28505" s="101" customFormat="1" spans="6:6">
      <c r="F28505" s="2423"/>
    </row>
    <row r="28506" s="101" customFormat="1" spans="6:6">
      <c r="F28506" s="2423"/>
    </row>
    <row r="28507" s="101" customFormat="1" spans="6:6">
      <c r="F28507" s="2423"/>
    </row>
    <row r="28508" s="101" customFormat="1" spans="6:6">
      <c r="F28508" s="2423"/>
    </row>
    <row r="28509" s="101" customFormat="1" spans="6:6">
      <c r="F28509" s="2423"/>
    </row>
    <row r="28510" s="101" customFormat="1" spans="6:6">
      <c r="F28510" s="2423"/>
    </row>
    <row r="28511" s="101" customFormat="1" spans="6:6">
      <c r="F28511" s="2423"/>
    </row>
    <row r="28512" s="101" customFormat="1" spans="6:6">
      <c r="F28512" s="2423"/>
    </row>
    <row r="28513" s="101" customFormat="1" spans="6:6">
      <c r="F28513" s="2423"/>
    </row>
    <row r="28514" s="101" customFormat="1" spans="6:6">
      <c r="F28514" s="2423"/>
    </row>
    <row r="28515" s="101" customFormat="1" spans="6:6">
      <c r="F28515" s="2423"/>
    </row>
    <row r="28516" s="101" customFormat="1" spans="6:6">
      <c r="F28516" s="2423"/>
    </row>
    <row r="28517" s="101" customFormat="1" spans="6:6">
      <c r="F28517" s="2423"/>
    </row>
    <row r="28518" s="101" customFormat="1" spans="6:6">
      <c r="F28518" s="2423"/>
    </row>
    <row r="28519" s="101" customFormat="1" spans="6:6">
      <c r="F28519" s="2423"/>
    </row>
    <row r="28520" s="101" customFormat="1" spans="6:6">
      <c r="F28520" s="2423"/>
    </row>
    <row r="28521" s="101" customFormat="1" spans="6:6">
      <c r="F28521" s="2423"/>
    </row>
    <row r="28522" s="101" customFormat="1" spans="6:6">
      <c r="F28522" s="2423"/>
    </row>
    <row r="28523" s="101" customFormat="1" spans="6:6">
      <c r="F28523" s="2423"/>
    </row>
    <row r="28524" s="101" customFormat="1" spans="6:6">
      <c r="F28524" s="2423"/>
    </row>
    <row r="28525" s="101" customFormat="1" spans="6:6">
      <c r="F28525" s="2423"/>
    </row>
    <row r="28526" s="101" customFormat="1" spans="6:6">
      <c r="F28526" s="2423"/>
    </row>
    <row r="28527" s="101" customFormat="1" spans="6:6">
      <c r="F28527" s="2423"/>
    </row>
    <row r="28528" s="101" customFormat="1" spans="6:6">
      <c r="F28528" s="2423"/>
    </row>
    <row r="28529" s="101" customFormat="1" spans="6:6">
      <c r="F28529" s="2423"/>
    </row>
    <row r="28530" s="101" customFormat="1" spans="6:6">
      <c r="F28530" s="2423"/>
    </row>
    <row r="28531" s="101" customFormat="1" spans="6:6">
      <c r="F28531" s="2423"/>
    </row>
    <row r="28532" s="101" customFormat="1" spans="6:6">
      <c r="F28532" s="2423"/>
    </row>
    <row r="28533" s="101" customFormat="1" spans="6:6">
      <c r="F28533" s="2423"/>
    </row>
    <row r="28534" s="101" customFormat="1" spans="6:6">
      <c r="F28534" s="2423"/>
    </row>
    <row r="28535" s="101" customFormat="1" spans="6:6">
      <c r="F28535" s="2423"/>
    </row>
    <row r="28536" s="101" customFormat="1" spans="6:6">
      <c r="F28536" s="2423"/>
    </row>
    <row r="28537" s="101" customFormat="1" spans="6:6">
      <c r="F28537" s="2423"/>
    </row>
    <row r="28538" s="101" customFormat="1" spans="6:6">
      <c r="F28538" s="2423"/>
    </row>
    <row r="28539" s="101" customFormat="1" spans="6:6">
      <c r="F28539" s="2423"/>
    </row>
    <row r="28540" s="101" customFormat="1" spans="6:6">
      <c r="F28540" s="2423"/>
    </row>
    <row r="28541" s="101" customFormat="1" spans="6:6">
      <c r="F28541" s="2423"/>
    </row>
    <row r="28542" s="101" customFormat="1" spans="6:6">
      <c r="F28542" s="2423"/>
    </row>
    <row r="28543" s="101" customFormat="1" spans="6:6">
      <c r="F28543" s="2423"/>
    </row>
    <row r="28544" s="101" customFormat="1" spans="6:6">
      <c r="F28544" s="2423"/>
    </row>
    <row r="28545" s="101" customFormat="1" spans="6:6">
      <c r="F28545" s="2423"/>
    </row>
    <row r="28546" s="101" customFormat="1" spans="6:6">
      <c r="F28546" s="2423"/>
    </row>
    <row r="28547" s="101" customFormat="1" spans="6:6">
      <c r="F28547" s="2423"/>
    </row>
    <row r="28548" s="101" customFormat="1" spans="6:6">
      <c r="F28548" s="2423"/>
    </row>
    <row r="28549" s="101" customFormat="1" spans="6:6">
      <c r="F28549" s="2423"/>
    </row>
    <row r="28550" s="101" customFormat="1" spans="6:6">
      <c r="F28550" s="2423"/>
    </row>
    <row r="28551" s="101" customFormat="1" spans="6:6">
      <c r="F28551" s="2423"/>
    </row>
    <row r="28552" s="101" customFormat="1" spans="6:6">
      <c r="F28552" s="2423"/>
    </row>
    <row r="28553" s="101" customFormat="1" spans="6:6">
      <c r="F28553" s="2423"/>
    </row>
    <row r="28554" s="101" customFormat="1" spans="6:6">
      <c r="F28554" s="2423"/>
    </row>
    <row r="28555" s="101" customFormat="1" spans="6:6">
      <c r="F28555" s="2423"/>
    </row>
    <row r="28556" s="101" customFormat="1" spans="6:6">
      <c r="F28556" s="2423"/>
    </row>
    <row r="28557" s="101" customFormat="1" spans="6:6">
      <c r="F28557" s="2423"/>
    </row>
    <row r="28558" s="101" customFormat="1" spans="6:6">
      <c r="F28558" s="2423"/>
    </row>
    <row r="28559" s="101" customFormat="1" spans="6:6">
      <c r="F28559" s="2423"/>
    </row>
    <row r="28560" s="101" customFormat="1" spans="6:6">
      <c r="F28560" s="2423"/>
    </row>
    <row r="28561" s="101" customFormat="1" spans="6:6">
      <c r="F28561" s="2423"/>
    </row>
    <row r="28562" s="101" customFormat="1" spans="6:6">
      <c r="F28562" s="2423"/>
    </row>
    <row r="28563" s="101" customFormat="1" spans="6:6">
      <c r="F28563" s="2423"/>
    </row>
    <row r="28564" s="101" customFormat="1" spans="6:6">
      <c r="F28564" s="2423"/>
    </row>
    <row r="28565" s="101" customFormat="1" spans="6:6">
      <c r="F28565" s="2423"/>
    </row>
    <row r="28566" s="101" customFormat="1" spans="6:6">
      <c r="F28566" s="2423"/>
    </row>
    <row r="28567" s="101" customFormat="1" spans="6:6">
      <c r="F28567" s="2423"/>
    </row>
    <row r="28568" s="101" customFormat="1" spans="6:6">
      <c r="F28568" s="2423"/>
    </row>
    <row r="28569" s="101" customFormat="1" spans="6:6">
      <c r="F28569" s="2423"/>
    </row>
    <row r="28570" s="101" customFormat="1" spans="6:6">
      <c r="F28570" s="2423"/>
    </row>
    <row r="28571" s="101" customFormat="1" spans="6:6">
      <c r="F28571" s="2423"/>
    </row>
    <row r="28572" s="101" customFormat="1" spans="6:6">
      <c r="F28572" s="2423"/>
    </row>
    <row r="28573" s="101" customFormat="1" spans="6:6">
      <c r="F28573" s="2423"/>
    </row>
    <row r="28574" s="101" customFormat="1" spans="6:6">
      <c r="F28574" s="2423"/>
    </row>
    <row r="28575" s="101" customFormat="1" spans="6:6">
      <c r="F28575" s="2423"/>
    </row>
    <row r="28576" s="101" customFormat="1" spans="6:6">
      <c r="F28576" s="2423"/>
    </row>
    <row r="28577" s="101" customFormat="1" spans="6:6">
      <c r="F28577" s="2423"/>
    </row>
    <row r="28578" s="101" customFormat="1" spans="6:6">
      <c r="F28578" s="2423"/>
    </row>
    <row r="28579" s="101" customFormat="1" spans="6:6">
      <c r="F28579" s="2423"/>
    </row>
    <row r="28580" s="101" customFormat="1" spans="6:6">
      <c r="F28580" s="2423"/>
    </row>
    <row r="28581" s="101" customFormat="1" spans="6:6">
      <c r="F28581" s="2423"/>
    </row>
    <row r="28582" s="101" customFormat="1" spans="6:6">
      <c r="F28582" s="2423"/>
    </row>
    <row r="28583" s="101" customFormat="1" spans="6:6">
      <c r="F28583" s="2423"/>
    </row>
    <row r="28584" s="101" customFormat="1" spans="6:6">
      <c r="F28584" s="2423"/>
    </row>
    <row r="28585" s="101" customFormat="1" spans="6:6">
      <c r="F28585" s="2423"/>
    </row>
    <row r="28586" s="101" customFormat="1" spans="6:6">
      <c r="F28586" s="2423"/>
    </row>
    <row r="28587" s="101" customFormat="1" spans="6:6">
      <c r="F28587" s="2423"/>
    </row>
    <row r="28588" s="101" customFormat="1" spans="6:6">
      <c r="F28588" s="2423"/>
    </row>
    <row r="28589" s="101" customFormat="1" spans="6:6">
      <c r="F28589" s="2423"/>
    </row>
    <row r="28590" s="101" customFormat="1" spans="6:6">
      <c r="F28590" s="2423"/>
    </row>
    <row r="28591" s="101" customFormat="1" spans="6:6">
      <c r="F28591" s="2423"/>
    </row>
    <row r="28592" s="101" customFormat="1" spans="6:6">
      <c r="F28592" s="2423"/>
    </row>
    <row r="28593" s="101" customFormat="1" spans="6:6">
      <c r="F28593" s="2423"/>
    </row>
    <row r="28594" s="101" customFormat="1" spans="6:6">
      <c r="F28594" s="2423"/>
    </row>
    <row r="28595" s="101" customFormat="1" spans="6:6">
      <c r="F28595" s="2423"/>
    </row>
    <row r="28596" s="101" customFormat="1" spans="6:6">
      <c r="F28596" s="2423"/>
    </row>
    <row r="28597" s="101" customFormat="1" spans="6:6">
      <c r="F28597" s="2423"/>
    </row>
    <row r="28598" s="101" customFormat="1" spans="6:6">
      <c r="F28598" s="2423"/>
    </row>
    <row r="28599" s="101" customFormat="1" spans="6:6">
      <c r="F28599" s="2423"/>
    </row>
    <row r="28600" s="101" customFormat="1" spans="6:6">
      <c r="F28600" s="2423"/>
    </row>
    <row r="28601" s="101" customFormat="1" spans="6:6">
      <c r="F28601" s="2423"/>
    </row>
    <row r="28602" s="101" customFormat="1" spans="6:6">
      <c r="F28602" s="2423"/>
    </row>
    <row r="28603" s="101" customFormat="1" spans="6:6">
      <c r="F28603" s="2423"/>
    </row>
    <row r="28604" s="101" customFormat="1" spans="6:6">
      <c r="F28604" s="2423"/>
    </row>
    <row r="28605" s="101" customFormat="1" spans="6:6">
      <c r="F28605" s="2423"/>
    </row>
    <row r="28606" s="101" customFormat="1" spans="6:6">
      <c r="F28606" s="2423"/>
    </row>
    <row r="28607" s="101" customFormat="1" spans="6:6">
      <c r="F28607" s="2423"/>
    </row>
    <row r="28608" s="101" customFormat="1" spans="6:6">
      <c r="F28608" s="2423"/>
    </row>
    <row r="28609" s="101" customFormat="1" spans="6:6">
      <c r="F28609" s="2423"/>
    </row>
    <row r="28610" s="101" customFormat="1" spans="6:6">
      <c r="F28610" s="2423"/>
    </row>
    <row r="28611" s="101" customFormat="1" spans="6:6">
      <c r="F28611" s="2423"/>
    </row>
    <row r="28612" s="101" customFormat="1" spans="6:6">
      <c r="F28612" s="2423"/>
    </row>
    <row r="28613" s="101" customFormat="1" spans="6:6">
      <c r="F28613" s="2423"/>
    </row>
    <row r="28614" s="101" customFormat="1" spans="6:6">
      <c r="F28614" s="2423"/>
    </row>
    <row r="28615" s="101" customFormat="1" spans="6:6">
      <c r="F28615" s="2423"/>
    </row>
    <row r="28616" s="101" customFormat="1" spans="6:6">
      <c r="F28616" s="2423"/>
    </row>
    <row r="28617" s="101" customFormat="1" spans="6:6">
      <c r="F28617" s="2423"/>
    </row>
    <row r="28618" s="101" customFormat="1" spans="6:6">
      <c r="F28618" s="2423"/>
    </row>
    <row r="28619" s="101" customFormat="1" spans="6:6">
      <c r="F28619" s="2423"/>
    </row>
    <row r="28620" s="101" customFormat="1" spans="6:6">
      <c r="F28620" s="2423"/>
    </row>
    <row r="28621" s="101" customFormat="1" spans="6:6">
      <c r="F28621" s="2423"/>
    </row>
    <row r="28622" s="101" customFormat="1" spans="6:6">
      <c r="F28622" s="2423"/>
    </row>
    <row r="28623" s="101" customFormat="1" spans="6:6">
      <c r="F28623" s="2423"/>
    </row>
    <row r="28624" s="101" customFormat="1" spans="6:6">
      <c r="F28624" s="2423"/>
    </row>
    <row r="28625" s="101" customFormat="1" spans="6:6">
      <c r="F28625" s="2423"/>
    </row>
    <row r="28626" s="101" customFormat="1" spans="6:6">
      <c r="F28626" s="2423"/>
    </row>
    <row r="28627" s="101" customFormat="1" spans="6:6">
      <c r="F28627" s="2423"/>
    </row>
    <row r="28628" s="101" customFormat="1" spans="6:6">
      <c r="F28628" s="2423"/>
    </row>
    <row r="28629" s="101" customFormat="1" spans="6:6">
      <c r="F28629" s="2423"/>
    </row>
    <row r="28630" s="101" customFormat="1" spans="6:6">
      <c r="F28630" s="2423"/>
    </row>
    <row r="28631" s="101" customFormat="1" spans="6:6">
      <c r="F28631" s="2423"/>
    </row>
    <row r="28632" s="101" customFormat="1" spans="6:6">
      <c r="F28632" s="2423"/>
    </row>
    <row r="28633" s="101" customFormat="1" spans="6:6">
      <c r="F28633" s="2423"/>
    </row>
    <row r="28634" s="101" customFormat="1" spans="6:6">
      <c r="F28634" s="2423"/>
    </row>
    <row r="28635" s="101" customFormat="1" spans="6:6">
      <c r="F28635" s="2423"/>
    </row>
    <row r="28636" s="101" customFormat="1" spans="6:6">
      <c r="F28636" s="2423"/>
    </row>
    <row r="28637" s="101" customFormat="1" spans="6:6">
      <c r="F28637" s="2423"/>
    </row>
    <row r="28638" s="101" customFormat="1" spans="6:6">
      <c r="F28638" s="2423"/>
    </row>
    <row r="28639" s="101" customFormat="1" spans="6:6">
      <c r="F28639" s="2423"/>
    </row>
    <row r="28640" s="101" customFormat="1" spans="6:6">
      <c r="F28640" s="2423"/>
    </row>
    <row r="28641" s="101" customFormat="1" spans="6:6">
      <c r="F28641" s="2423"/>
    </row>
    <row r="28642" s="101" customFormat="1" spans="6:6">
      <c r="F28642" s="2423"/>
    </row>
    <row r="28643" s="101" customFormat="1" spans="6:6">
      <c r="F28643" s="2423"/>
    </row>
    <row r="28644" s="101" customFormat="1" spans="6:6">
      <c r="F28644" s="2423"/>
    </row>
    <row r="28645" s="101" customFormat="1" spans="6:6">
      <c r="F28645" s="2423"/>
    </row>
    <row r="28646" s="101" customFormat="1" spans="6:6">
      <c r="F28646" s="2423"/>
    </row>
    <row r="28647" s="101" customFormat="1" spans="6:6">
      <c r="F28647" s="2423"/>
    </row>
    <row r="28648" s="101" customFormat="1" spans="6:6">
      <c r="F28648" s="2423"/>
    </row>
    <row r="28649" s="101" customFormat="1" spans="6:6">
      <c r="F28649" s="2423"/>
    </row>
    <row r="28650" s="101" customFormat="1" spans="6:6">
      <c r="F28650" s="2423"/>
    </row>
    <row r="28651" s="101" customFormat="1" spans="6:6">
      <c r="F28651" s="2423"/>
    </row>
    <row r="28652" s="101" customFormat="1" spans="6:6">
      <c r="F28652" s="2423"/>
    </row>
    <row r="28653" s="101" customFormat="1" spans="6:6">
      <c r="F28653" s="2423"/>
    </row>
    <row r="28654" s="101" customFormat="1" spans="6:6">
      <c r="F28654" s="2423"/>
    </row>
    <row r="28655" s="101" customFormat="1" spans="6:6">
      <c r="F28655" s="2423"/>
    </row>
    <row r="28656" s="101" customFormat="1" spans="6:6">
      <c r="F28656" s="2423"/>
    </row>
    <row r="28657" s="101" customFormat="1" spans="6:6">
      <c r="F28657" s="2423"/>
    </row>
    <row r="28658" s="101" customFormat="1" spans="6:6">
      <c r="F28658" s="2423"/>
    </row>
    <row r="28659" s="101" customFormat="1" spans="6:6">
      <c r="F28659" s="2423"/>
    </row>
    <row r="28660" s="101" customFormat="1" spans="6:6">
      <c r="F28660" s="2423"/>
    </row>
    <row r="28661" s="101" customFormat="1" spans="6:6">
      <c r="F28661" s="2423"/>
    </row>
    <row r="28662" s="101" customFormat="1" spans="6:6">
      <c r="F28662" s="2423"/>
    </row>
    <row r="28663" s="101" customFormat="1" spans="6:6">
      <c r="F28663" s="2423"/>
    </row>
    <row r="28664" s="101" customFormat="1" spans="6:6">
      <c r="F28664" s="2423"/>
    </row>
    <row r="28665" s="101" customFormat="1" spans="6:6">
      <c r="F28665" s="2423"/>
    </row>
    <row r="28666" s="101" customFormat="1" spans="6:6">
      <c r="F28666" s="2423"/>
    </row>
    <row r="28667" s="101" customFormat="1" spans="6:6">
      <c r="F28667" s="2423"/>
    </row>
    <row r="28668" s="101" customFormat="1" spans="6:6">
      <c r="F28668" s="2423"/>
    </row>
    <row r="28669" s="101" customFormat="1" spans="6:6">
      <c r="F28669" s="2423"/>
    </row>
    <row r="28670" s="101" customFormat="1" spans="6:6">
      <c r="F28670" s="2423"/>
    </row>
    <row r="28671" s="101" customFormat="1" spans="6:6">
      <c r="F28671" s="2423"/>
    </row>
    <row r="28672" s="101" customFormat="1" spans="6:6">
      <c r="F28672" s="2423"/>
    </row>
    <row r="28673" s="101" customFormat="1" spans="6:6">
      <c r="F28673" s="2423"/>
    </row>
    <row r="28674" s="101" customFormat="1" spans="6:6">
      <c r="F28674" s="2423"/>
    </row>
    <row r="28675" s="101" customFormat="1" spans="6:6">
      <c r="F28675" s="2423"/>
    </row>
    <row r="28676" s="101" customFormat="1" spans="6:6">
      <c r="F28676" s="2423"/>
    </row>
    <row r="28677" s="101" customFormat="1" spans="6:6">
      <c r="F28677" s="2423"/>
    </row>
    <row r="28678" s="101" customFormat="1" spans="6:6">
      <c r="F28678" s="2423"/>
    </row>
    <row r="28679" s="101" customFormat="1" spans="6:6">
      <c r="F28679" s="2423"/>
    </row>
    <row r="28680" s="101" customFormat="1" spans="6:6">
      <c r="F28680" s="2423"/>
    </row>
    <row r="28681" s="101" customFormat="1" spans="6:6">
      <c r="F28681" s="2423"/>
    </row>
    <row r="28682" s="101" customFormat="1" spans="6:6">
      <c r="F28682" s="2423"/>
    </row>
    <row r="28683" s="101" customFormat="1" spans="6:6">
      <c r="F28683" s="2423"/>
    </row>
    <row r="28684" s="101" customFormat="1" spans="6:6">
      <c r="F28684" s="2423"/>
    </row>
    <row r="28685" s="101" customFormat="1" spans="6:6">
      <c r="F28685" s="2423"/>
    </row>
    <row r="28686" s="101" customFormat="1" spans="6:6">
      <c r="F28686" s="2423"/>
    </row>
    <row r="28687" s="101" customFormat="1" spans="6:6">
      <c r="F28687" s="2423"/>
    </row>
    <row r="28688" s="101" customFormat="1" spans="6:6">
      <c r="F28688" s="2423"/>
    </row>
    <row r="28689" s="101" customFormat="1" spans="6:6">
      <c r="F28689" s="2423"/>
    </row>
    <row r="28690" s="101" customFormat="1" spans="6:6">
      <c r="F28690" s="2423"/>
    </row>
    <row r="28691" s="101" customFormat="1" spans="6:6">
      <c r="F28691" s="2423"/>
    </row>
    <row r="28692" s="101" customFormat="1" spans="6:6">
      <c r="F28692" s="2423"/>
    </row>
    <row r="28693" s="101" customFormat="1" spans="6:6">
      <c r="F28693" s="2423"/>
    </row>
    <row r="28694" s="101" customFormat="1" spans="6:6">
      <c r="F28694" s="2423"/>
    </row>
    <row r="28695" s="101" customFormat="1" spans="6:6">
      <c r="F28695" s="2423"/>
    </row>
    <row r="28696" s="101" customFormat="1" spans="6:6">
      <c r="F28696" s="2423"/>
    </row>
    <row r="28697" s="101" customFormat="1" spans="6:6">
      <c r="F28697" s="2423"/>
    </row>
    <row r="28698" s="101" customFormat="1" spans="6:6">
      <c r="F28698" s="2423"/>
    </row>
    <row r="28699" s="101" customFormat="1" spans="6:6">
      <c r="F28699" s="2423"/>
    </row>
    <row r="28700" s="101" customFormat="1" spans="6:6">
      <c r="F28700" s="2423"/>
    </row>
    <row r="28701" s="101" customFormat="1" spans="6:6">
      <c r="F28701" s="2423"/>
    </row>
    <row r="28702" s="101" customFormat="1" spans="6:6">
      <c r="F28702" s="2423"/>
    </row>
    <row r="28703" s="101" customFormat="1" spans="6:6">
      <c r="F28703" s="2423"/>
    </row>
    <row r="28704" s="101" customFormat="1" spans="6:6">
      <c r="F28704" s="2423"/>
    </row>
    <row r="28705" s="101" customFormat="1" spans="6:6">
      <c r="F28705" s="2423"/>
    </row>
    <row r="28706" s="101" customFormat="1" spans="6:6">
      <c r="F28706" s="2423"/>
    </row>
    <row r="28707" s="101" customFormat="1" spans="6:6">
      <c r="F28707" s="2423"/>
    </row>
    <row r="28708" s="101" customFormat="1" spans="6:6">
      <c r="F28708" s="2423"/>
    </row>
    <row r="28709" s="101" customFormat="1" spans="6:6">
      <c r="F28709" s="2423"/>
    </row>
    <row r="28710" s="101" customFormat="1" spans="6:6">
      <c r="F28710" s="2423"/>
    </row>
    <row r="28711" s="101" customFormat="1" spans="6:6">
      <c r="F28711" s="2423"/>
    </row>
    <row r="28712" s="101" customFormat="1" spans="6:6">
      <c r="F28712" s="2423"/>
    </row>
    <row r="28713" s="101" customFormat="1" spans="6:6">
      <c r="F28713" s="2423"/>
    </row>
    <row r="28714" s="101" customFormat="1" spans="6:6">
      <c r="F28714" s="2423"/>
    </row>
    <row r="28715" s="101" customFormat="1" spans="6:6">
      <c r="F28715" s="2423"/>
    </row>
    <row r="28716" s="101" customFormat="1" spans="6:6">
      <c r="F28716" s="2423"/>
    </row>
    <row r="28717" s="101" customFormat="1" spans="6:6">
      <c r="F28717" s="2423"/>
    </row>
    <row r="28718" s="101" customFormat="1" spans="6:6">
      <c r="F28718" s="2423"/>
    </row>
    <row r="28719" s="101" customFormat="1" spans="6:6">
      <c r="F28719" s="2423"/>
    </row>
    <row r="28720" s="101" customFormat="1" spans="6:6">
      <c r="F28720" s="2423"/>
    </row>
    <row r="28721" s="101" customFormat="1" spans="6:6">
      <c r="F28721" s="2423"/>
    </row>
    <row r="28722" s="101" customFormat="1" spans="6:6">
      <c r="F28722" s="2423"/>
    </row>
    <row r="28723" s="101" customFormat="1" spans="6:6">
      <c r="F28723" s="2423"/>
    </row>
    <row r="28724" s="101" customFormat="1" spans="6:6">
      <c r="F28724" s="2423"/>
    </row>
    <row r="28725" s="101" customFormat="1" spans="6:6">
      <c r="F28725" s="2423"/>
    </row>
    <row r="28726" s="101" customFormat="1" spans="6:6">
      <c r="F28726" s="2423"/>
    </row>
    <row r="28727" s="101" customFormat="1" spans="6:6">
      <c r="F28727" s="2423"/>
    </row>
    <row r="28728" s="101" customFormat="1" spans="6:6">
      <c r="F28728" s="2423"/>
    </row>
    <row r="28729" s="101" customFormat="1" spans="6:6">
      <c r="F28729" s="2423"/>
    </row>
    <row r="28730" s="101" customFormat="1" spans="6:6">
      <c r="F28730" s="2423"/>
    </row>
    <row r="28731" s="101" customFormat="1" spans="6:6">
      <c r="F28731" s="2423"/>
    </row>
    <row r="28732" s="101" customFormat="1" spans="6:6">
      <c r="F28732" s="2423"/>
    </row>
    <row r="28733" s="101" customFormat="1" spans="6:6">
      <c r="F28733" s="2423"/>
    </row>
    <row r="28734" s="101" customFormat="1" spans="6:6">
      <c r="F28734" s="2423"/>
    </row>
    <row r="28735" s="101" customFormat="1" spans="6:6">
      <c r="F28735" s="2423"/>
    </row>
    <row r="28736" s="101" customFormat="1" spans="6:6">
      <c r="F28736" s="2423"/>
    </row>
    <row r="28737" s="101" customFormat="1" spans="6:6">
      <c r="F28737" s="2423"/>
    </row>
    <row r="28738" s="101" customFormat="1" spans="6:6">
      <c r="F28738" s="2423"/>
    </row>
    <row r="28739" s="101" customFormat="1" spans="6:6">
      <c r="F28739" s="2423"/>
    </row>
    <row r="28740" s="101" customFormat="1" spans="6:6">
      <c r="F28740" s="2423"/>
    </row>
    <row r="28741" s="101" customFormat="1" spans="6:6">
      <c r="F28741" s="2423"/>
    </row>
    <row r="28742" s="101" customFormat="1" spans="6:6">
      <c r="F28742" s="2423"/>
    </row>
    <row r="28743" s="101" customFormat="1" spans="6:6">
      <c r="F28743" s="2423"/>
    </row>
    <row r="28744" s="101" customFormat="1" spans="6:6">
      <c r="F28744" s="2423"/>
    </row>
    <row r="28745" s="101" customFormat="1" spans="6:6">
      <c r="F28745" s="2423"/>
    </row>
    <row r="28746" s="101" customFormat="1" spans="6:6">
      <c r="F28746" s="2423"/>
    </row>
    <row r="28747" s="101" customFormat="1" spans="6:6">
      <c r="F28747" s="2423"/>
    </row>
    <row r="28748" s="101" customFormat="1" spans="6:6">
      <c r="F28748" s="2423"/>
    </row>
    <row r="28749" s="101" customFormat="1" spans="6:6">
      <c r="F28749" s="2423"/>
    </row>
    <row r="28750" s="101" customFormat="1" spans="6:6">
      <c r="F28750" s="2423"/>
    </row>
    <row r="28751" s="101" customFormat="1" spans="6:6">
      <c r="F28751" s="2423"/>
    </row>
    <row r="28752" s="101" customFormat="1" spans="6:6">
      <c r="F28752" s="2423"/>
    </row>
    <row r="28753" s="101" customFormat="1" spans="6:6">
      <c r="F28753" s="2423"/>
    </row>
    <row r="28754" s="101" customFormat="1" spans="6:6">
      <c r="F28754" s="2423"/>
    </row>
    <row r="28755" s="101" customFormat="1" spans="6:6">
      <c r="F28755" s="2423"/>
    </row>
    <row r="28756" s="101" customFormat="1" spans="6:6">
      <c r="F28756" s="2423"/>
    </row>
    <row r="28757" s="101" customFormat="1" spans="6:6">
      <c r="F28757" s="2423"/>
    </row>
    <row r="28758" s="101" customFormat="1" spans="6:6">
      <c r="F28758" s="2423"/>
    </row>
    <row r="28759" s="101" customFormat="1" spans="6:6">
      <c r="F28759" s="2423"/>
    </row>
    <row r="28760" s="101" customFormat="1" spans="6:6">
      <c r="F28760" s="2423"/>
    </row>
    <row r="28761" s="101" customFormat="1" spans="6:6">
      <c r="F28761" s="2423"/>
    </row>
    <row r="28762" s="101" customFormat="1" spans="6:6">
      <c r="F28762" s="2423"/>
    </row>
    <row r="28763" s="101" customFormat="1" spans="6:6">
      <c r="F28763" s="2423"/>
    </row>
    <row r="28764" s="101" customFormat="1" spans="6:6">
      <c r="F28764" s="2423"/>
    </row>
    <row r="28765" s="101" customFormat="1" spans="6:6">
      <c r="F28765" s="2423"/>
    </row>
    <row r="28766" s="101" customFormat="1" spans="6:6">
      <c r="F28766" s="2423"/>
    </row>
    <row r="28767" s="101" customFormat="1" spans="6:6">
      <c r="F28767" s="2423"/>
    </row>
    <row r="28768" s="101" customFormat="1" spans="6:6">
      <c r="F28768" s="2423"/>
    </row>
    <row r="28769" s="101" customFormat="1" spans="6:6">
      <c r="F28769" s="2423"/>
    </row>
    <row r="28770" s="101" customFormat="1" spans="6:6">
      <c r="F28770" s="2423"/>
    </row>
    <row r="28771" s="101" customFormat="1" spans="6:6">
      <c r="F28771" s="2423"/>
    </row>
    <row r="28772" s="101" customFormat="1" spans="6:6">
      <c r="F28772" s="2423"/>
    </row>
    <row r="28773" s="101" customFormat="1" spans="6:6">
      <c r="F28773" s="2423"/>
    </row>
    <row r="28774" s="101" customFormat="1" spans="6:6">
      <c r="F28774" s="2423"/>
    </row>
    <row r="28775" s="101" customFormat="1" spans="6:6">
      <c r="F28775" s="2423"/>
    </row>
    <row r="28776" s="101" customFormat="1" spans="6:6">
      <c r="F28776" s="2423"/>
    </row>
    <row r="28777" s="101" customFormat="1" spans="6:6">
      <c r="F28777" s="2423"/>
    </row>
    <row r="28778" s="101" customFormat="1" spans="6:6">
      <c r="F28778" s="2423"/>
    </row>
    <row r="28779" s="101" customFormat="1" spans="6:6">
      <c r="F28779" s="2423"/>
    </row>
    <row r="28780" s="101" customFormat="1" spans="6:6">
      <c r="F28780" s="2423"/>
    </row>
    <row r="28781" s="101" customFormat="1" spans="6:6">
      <c r="F28781" s="2423"/>
    </row>
    <row r="28782" s="101" customFormat="1" spans="6:6">
      <c r="F28782" s="2423"/>
    </row>
    <row r="28783" s="101" customFormat="1" spans="6:6">
      <c r="F28783" s="2423"/>
    </row>
    <row r="28784" s="101" customFormat="1" spans="6:6">
      <c r="F28784" s="2423"/>
    </row>
    <row r="28785" s="101" customFormat="1" spans="6:6">
      <c r="F28785" s="2423"/>
    </row>
    <row r="28786" s="101" customFormat="1" spans="6:6">
      <c r="F28786" s="2423"/>
    </row>
    <row r="28787" s="101" customFormat="1" spans="6:6">
      <c r="F28787" s="2423"/>
    </row>
    <row r="28788" s="101" customFormat="1" spans="6:6">
      <c r="F28788" s="2423"/>
    </row>
    <row r="28789" s="101" customFormat="1" spans="6:6">
      <c r="F28789" s="2423"/>
    </row>
    <row r="28790" s="101" customFormat="1" spans="6:6">
      <c r="F28790" s="2423"/>
    </row>
    <row r="28791" s="101" customFormat="1" spans="6:6">
      <c r="F28791" s="2423"/>
    </row>
    <row r="28792" s="101" customFormat="1" spans="6:6">
      <c r="F28792" s="2423"/>
    </row>
    <row r="28793" s="101" customFormat="1" spans="6:6">
      <c r="F28793" s="2423"/>
    </row>
    <row r="28794" s="101" customFormat="1" spans="6:6">
      <c r="F28794" s="2423"/>
    </row>
    <row r="28795" s="101" customFormat="1" spans="6:6">
      <c r="F28795" s="2423"/>
    </row>
    <row r="28796" s="101" customFormat="1" spans="6:6">
      <c r="F28796" s="2423"/>
    </row>
    <row r="28797" s="101" customFormat="1" spans="6:6">
      <c r="F28797" s="2423"/>
    </row>
    <row r="28798" s="101" customFormat="1" spans="6:6">
      <c r="F28798" s="2423"/>
    </row>
    <row r="28799" s="101" customFormat="1" spans="6:6">
      <c r="F28799" s="2423"/>
    </row>
    <row r="28800" s="101" customFormat="1" spans="6:6">
      <c r="F28800" s="2423"/>
    </row>
    <row r="28801" s="101" customFormat="1" spans="6:6">
      <c r="F28801" s="2423"/>
    </row>
    <row r="28802" s="101" customFormat="1" spans="6:6">
      <c r="F28802" s="2423"/>
    </row>
    <row r="28803" s="101" customFormat="1" spans="6:6">
      <c r="F28803" s="2423"/>
    </row>
    <row r="28804" s="101" customFormat="1" spans="6:6">
      <c r="F28804" s="2423"/>
    </row>
    <row r="28805" s="101" customFormat="1" spans="6:6">
      <c r="F28805" s="2423"/>
    </row>
    <row r="28806" s="101" customFormat="1" spans="6:6">
      <c r="F28806" s="2423"/>
    </row>
    <row r="28807" s="101" customFormat="1" spans="6:6">
      <c r="F28807" s="2423"/>
    </row>
    <row r="28808" s="101" customFormat="1" spans="6:6">
      <c r="F28808" s="2423"/>
    </row>
    <row r="28809" s="101" customFormat="1" spans="6:6">
      <c r="F28809" s="2423"/>
    </row>
    <row r="28810" s="101" customFormat="1" spans="6:6">
      <c r="F28810" s="2423"/>
    </row>
    <row r="28811" s="101" customFormat="1" spans="6:6">
      <c r="F28811" s="2423"/>
    </row>
    <row r="28812" s="101" customFormat="1" spans="6:6">
      <c r="F28812" s="2423"/>
    </row>
    <row r="28813" s="101" customFormat="1" spans="6:6">
      <c r="F28813" s="2423"/>
    </row>
    <row r="28814" s="101" customFormat="1" spans="6:6">
      <c r="F28814" s="2423"/>
    </row>
    <row r="28815" s="101" customFormat="1" spans="6:6">
      <c r="F28815" s="2423"/>
    </row>
    <row r="28816" s="101" customFormat="1" spans="6:6">
      <c r="F28816" s="2423"/>
    </row>
    <row r="28817" s="101" customFormat="1" spans="6:6">
      <c r="F28817" s="2423"/>
    </row>
    <row r="28818" s="101" customFormat="1" spans="6:6">
      <c r="F28818" s="2423"/>
    </row>
    <row r="28819" s="101" customFormat="1" spans="6:6">
      <c r="F28819" s="2423"/>
    </row>
    <row r="28820" s="101" customFormat="1" spans="6:6">
      <c r="F28820" s="2423"/>
    </row>
    <row r="28821" s="101" customFormat="1" spans="6:6">
      <c r="F28821" s="2423"/>
    </row>
    <row r="28822" s="101" customFormat="1" spans="6:6">
      <c r="F28822" s="2423"/>
    </row>
    <row r="28823" s="101" customFormat="1" spans="6:6">
      <c r="F28823" s="2423"/>
    </row>
    <row r="28824" s="101" customFormat="1" spans="6:6">
      <c r="F28824" s="2423"/>
    </row>
    <row r="28825" s="101" customFormat="1" spans="6:6">
      <c r="F28825" s="2423"/>
    </row>
    <row r="28826" s="101" customFormat="1" spans="6:6">
      <c r="F28826" s="2423"/>
    </row>
    <row r="28827" s="101" customFormat="1" spans="6:6">
      <c r="F28827" s="2423"/>
    </row>
    <row r="28828" s="101" customFormat="1" spans="6:6">
      <c r="F28828" s="2423"/>
    </row>
    <row r="28829" s="101" customFormat="1" spans="6:6">
      <c r="F28829" s="2423"/>
    </row>
    <row r="28830" s="101" customFormat="1" spans="6:6">
      <c r="F28830" s="2423"/>
    </row>
    <row r="28831" s="101" customFormat="1" spans="6:6">
      <c r="F28831" s="2423"/>
    </row>
    <row r="28832" s="101" customFormat="1" spans="6:6">
      <c r="F28832" s="2423"/>
    </row>
    <row r="28833" s="101" customFormat="1" spans="6:6">
      <c r="F28833" s="2423"/>
    </row>
    <row r="28834" s="101" customFormat="1" spans="6:6">
      <c r="F28834" s="2423"/>
    </row>
    <row r="28835" s="101" customFormat="1" spans="6:6">
      <c r="F28835" s="2423"/>
    </row>
    <row r="28836" s="101" customFormat="1" spans="6:6">
      <c r="F28836" s="2423"/>
    </row>
    <row r="28837" s="101" customFormat="1" spans="6:6">
      <c r="F28837" s="2423"/>
    </row>
    <row r="28838" s="101" customFormat="1" spans="6:6">
      <c r="F28838" s="2423"/>
    </row>
    <row r="28839" s="101" customFormat="1" spans="6:6">
      <c r="F28839" s="2423"/>
    </row>
    <row r="28840" s="101" customFormat="1" spans="6:6">
      <c r="F28840" s="2423"/>
    </row>
    <row r="28841" s="101" customFormat="1" spans="6:6">
      <c r="F28841" s="2423"/>
    </row>
    <row r="28842" s="101" customFormat="1" spans="6:6">
      <c r="F28842" s="2423"/>
    </row>
    <row r="28843" s="101" customFormat="1" spans="6:6">
      <c r="F28843" s="2423"/>
    </row>
    <row r="28844" s="101" customFormat="1" spans="6:6">
      <c r="F28844" s="2423"/>
    </row>
    <row r="28845" s="101" customFormat="1" spans="6:6">
      <c r="F28845" s="2423"/>
    </row>
    <row r="28846" s="101" customFormat="1" spans="6:6">
      <c r="F28846" s="2423"/>
    </row>
    <row r="28847" s="101" customFormat="1" spans="6:6">
      <c r="F28847" s="2423"/>
    </row>
    <row r="28848" s="101" customFormat="1" spans="6:6">
      <c r="F28848" s="2423"/>
    </row>
    <row r="28849" s="101" customFormat="1" spans="6:6">
      <c r="F28849" s="2423"/>
    </row>
    <row r="28850" s="101" customFormat="1" spans="6:6">
      <c r="F28850" s="2423"/>
    </row>
    <row r="28851" s="101" customFormat="1" spans="6:6">
      <c r="F28851" s="2423"/>
    </row>
    <row r="28852" s="101" customFormat="1" spans="6:6">
      <c r="F28852" s="2423"/>
    </row>
    <row r="28853" s="101" customFormat="1" spans="6:6">
      <c r="F28853" s="2423"/>
    </row>
    <row r="28854" s="101" customFormat="1" spans="6:6">
      <c r="F28854" s="2423"/>
    </row>
    <row r="28855" s="101" customFormat="1" spans="6:6">
      <c r="F28855" s="2423"/>
    </row>
    <row r="28856" s="101" customFormat="1" spans="6:6">
      <c r="F28856" s="2423"/>
    </row>
    <row r="28857" s="101" customFormat="1" spans="6:6">
      <c r="F28857" s="2423"/>
    </row>
    <row r="28858" s="101" customFormat="1" spans="6:6">
      <c r="F28858" s="2423"/>
    </row>
    <row r="28859" s="101" customFormat="1" spans="6:6">
      <c r="F28859" s="2423"/>
    </row>
    <row r="28860" s="101" customFormat="1" spans="6:6">
      <c r="F28860" s="2423"/>
    </row>
    <row r="28861" s="101" customFormat="1" spans="6:6">
      <c r="F28861" s="2423"/>
    </row>
    <row r="28862" s="101" customFormat="1" spans="6:6">
      <c r="F28862" s="2423"/>
    </row>
    <row r="28863" s="101" customFormat="1" spans="6:6">
      <c r="F28863" s="2423"/>
    </row>
    <row r="28864" s="101" customFormat="1" spans="6:6">
      <c r="F28864" s="2423"/>
    </row>
    <row r="28865" s="101" customFormat="1" spans="6:6">
      <c r="F28865" s="2423"/>
    </row>
    <row r="28866" s="101" customFormat="1" spans="6:6">
      <c r="F28866" s="2423"/>
    </row>
    <row r="28867" s="101" customFormat="1" spans="6:6">
      <c r="F28867" s="2423"/>
    </row>
    <row r="28868" s="101" customFormat="1" spans="6:6">
      <c r="F28868" s="2423"/>
    </row>
    <row r="28869" s="101" customFormat="1" spans="6:6">
      <c r="F28869" s="2423"/>
    </row>
    <row r="28870" s="101" customFormat="1" spans="6:6">
      <c r="F28870" s="2423"/>
    </row>
    <row r="28871" s="101" customFormat="1" spans="6:6">
      <c r="F28871" s="2423"/>
    </row>
    <row r="28872" s="101" customFormat="1" spans="6:6">
      <c r="F28872" s="2423"/>
    </row>
    <row r="28873" s="101" customFormat="1" spans="6:6">
      <c r="F28873" s="2423"/>
    </row>
    <row r="28874" s="101" customFormat="1" spans="6:6">
      <c r="F28874" s="2423"/>
    </row>
    <row r="28875" s="101" customFormat="1" spans="6:6">
      <c r="F28875" s="2423"/>
    </row>
    <row r="28876" s="101" customFormat="1" spans="6:6">
      <c r="F28876" s="2423"/>
    </row>
    <row r="28877" s="101" customFormat="1" spans="6:6">
      <c r="F28877" s="2423"/>
    </row>
    <row r="28878" s="101" customFormat="1" spans="6:6">
      <c r="F28878" s="2423"/>
    </row>
    <row r="28879" s="101" customFormat="1" spans="6:6">
      <c r="F28879" s="2423"/>
    </row>
    <row r="28880" s="101" customFormat="1" spans="6:6">
      <c r="F28880" s="2423"/>
    </row>
    <row r="28881" s="101" customFormat="1" spans="6:6">
      <c r="F28881" s="2423"/>
    </row>
    <row r="28882" s="101" customFormat="1" spans="6:6">
      <c r="F28882" s="2423"/>
    </row>
    <row r="28883" s="101" customFormat="1" spans="6:6">
      <c r="F28883" s="2423"/>
    </row>
    <row r="28884" s="101" customFormat="1" spans="6:6">
      <c r="F28884" s="2423"/>
    </row>
    <row r="28885" s="101" customFormat="1" spans="6:6">
      <c r="F28885" s="2423"/>
    </row>
    <row r="28886" s="101" customFormat="1" spans="6:6">
      <c r="F28886" s="2423"/>
    </row>
    <row r="28887" s="101" customFormat="1" spans="6:6">
      <c r="F28887" s="2423"/>
    </row>
    <row r="28888" s="101" customFormat="1" spans="6:6">
      <c r="F28888" s="2423"/>
    </row>
    <row r="28889" s="101" customFormat="1" spans="6:6">
      <c r="F28889" s="2423"/>
    </row>
    <row r="28890" s="101" customFormat="1" spans="6:6">
      <c r="F28890" s="2423"/>
    </row>
    <row r="28891" s="101" customFormat="1" spans="6:6">
      <c r="F28891" s="2423"/>
    </row>
    <row r="28892" s="101" customFormat="1" spans="6:6">
      <c r="F28892" s="2423"/>
    </row>
    <row r="28893" s="101" customFormat="1" spans="6:6">
      <c r="F28893" s="2423"/>
    </row>
    <row r="28894" s="101" customFormat="1" spans="6:6">
      <c r="F28894" s="2423"/>
    </row>
    <row r="28895" s="101" customFormat="1" spans="6:6">
      <c r="F28895" s="2423"/>
    </row>
    <row r="28896" s="101" customFormat="1" spans="6:6">
      <c r="F28896" s="2423"/>
    </row>
    <row r="28897" s="101" customFormat="1" spans="6:6">
      <c r="F28897" s="2423"/>
    </row>
    <row r="28898" s="101" customFormat="1" spans="6:6">
      <c r="F28898" s="2423"/>
    </row>
    <row r="28899" s="101" customFormat="1" spans="6:6">
      <c r="F28899" s="2423"/>
    </row>
    <row r="28900" s="101" customFormat="1" spans="6:6">
      <c r="F28900" s="2423"/>
    </row>
    <row r="28901" s="101" customFormat="1" spans="6:6">
      <c r="F28901" s="2423"/>
    </row>
    <row r="28902" s="101" customFormat="1" spans="6:6">
      <c r="F28902" s="2423"/>
    </row>
    <row r="28903" s="101" customFormat="1" spans="6:6">
      <c r="F28903" s="2423"/>
    </row>
    <row r="28904" s="101" customFormat="1" spans="6:6">
      <c r="F28904" s="2423"/>
    </row>
    <row r="28905" s="101" customFormat="1" spans="6:6">
      <c r="F28905" s="2423"/>
    </row>
    <row r="28906" s="101" customFormat="1" spans="6:6">
      <c r="F28906" s="2423"/>
    </row>
    <row r="28907" s="101" customFormat="1" spans="6:6">
      <c r="F28907" s="2423"/>
    </row>
    <row r="28908" s="101" customFormat="1" spans="6:6">
      <c r="F28908" s="2423"/>
    </row>
    <row r="28909" s="101" customFormat="1" spans="6:6">
      <c r="F28909" s="2423"/>
    </row>
    <row r="28910" s="101" customFormat="1" spans="6:6">
      <c r="F28910" s="2423"/>
    </row>
    <row r="28911" s="101" customFormat="1" spans="6:6">
      <c r="F28911" s="2423"/>
    </row>
    <row r="28912" s="101" customFormat="1" spans="6:6">
      <c r="F28912" s="2423"/>
    </row>
    <row r="28913" s="101" customFormat="1" spans="6:6">
      <c r="F28913" s="2423"/>
    </row>
    <row r="28914" s="101" customFormat="1" spans="6:6">
      <c r="F28914" s="2423"/>
    </row>
    <row r="28915" s="101" customFormat="1" spans="6:6">
      <c r="F28915" s="2423"/>
    </row>
    <row r="28916" s="101" customFormat="1" spans="6:6">
      <c r="F28916" s="2423"/>
    </row>
    <row r="28917" s="101" customFormat="1" spans="6:6">
      <c r="F28917" s="2423"/>
    </row>
    <row r="28918" s="101" customFormat="1" spans="6:6">
      <c r="F28918" s="2423"/>
    </row>
    <row r="28919" s="101" customFormat="1" spans="6:6">
      <c r="F28919" s="2423"/>
    </row>
    <row r="28920" s="101" customFormat="1" spans="6:6">
      <c r="F28920" s="2423"/>
    </row>
    <row r="28921" s="101" customFormat="1" spans="6:6">
      <c r="F28921" s="2423"/>
    </row>
    <row r="28922" s="101" customFormat="1" spans="6:6">
      <c r="F28922" s="2423"/>
    </row>
    <row r="28923" s="101" customFormat="1" spans="6:6">
      <c r="F28923" s="2423"/>
    </row>
    <row r="28924" s="101" customFormat="1" spans="6:6">
      <c r="F28924" s="2423"/>
    </row>
    <row r="28925" s="101" customFormat="1" spans="6:6">
      <c r="F28925" s="2423"/>
    </row>
    <row r="28926" s="101" customFormat="1" spans="6:6">
      <c r="F28926" s="2423"/>
    </row>
    <row r="28927" s="101" customFormat="1" spans="6:6">
      <c r="F28927" s="2423"/>
    </row>
    <row r="28928" s="101" customFormat="1" spans="6:6">
      <c r="F28928" s="2423"/>
    </row>
    <row r="28929" s="101" customFormat="1" spans="6:6">
      <c r="F28929" s="2423"/>
    </row>
    <row r="28930" s="101" customFormat="1" spans="6:6">
      <c r="F28930" s="2423"/>
    </row>
    <row r="28931" s="101" customFormat="1" spans="6:6">
      <c r="F28931" s="2423"/>
    </row>
    <row r="28932" s="101" customFormat="1" spans="6:6">
      <c r="F28932" s="2423"/>
    </row>
    <row r="28933" s="101" customFormat="1" spans="6:6">
      <c r="F28933" s="2423"/>
    </row>
    <row r="28934" s="101" customFormat="1" spans="6:6">
      <c r="F28934" s="2423"/>
    </row>
    <row r="28935" s="101" customFormat="1" spans="6:6">
      <c r="F28935" s="2423"/>
    </row>
    <row r="28936" s="101" customFormat="1" spans="6:6">
      <c r="F28936" s="2423"/>
    </row>
    <row r="28937" s="101" customFormat="1" spans="6:6">
      <c r="F28937" s="2423"/>
    </row>
    <row r="28938" s="101" customFormat="1" spans="6:6">
      <c r="F28938" s="2423"/>
    </row>
    <row r="28939" s="101" customFormat="1" spans="6:6">
      <c r="F28939" s="2423"/>
    </row>
    <row r="28940" s="101" customFormat="1" spans="6:6">
      <c r="F28940" s="2423"/>
    </row>
    <row r="28941" s="101" customFormat="1" spans="6:6">
      <c r="F28941" s="2423"/>
    </row>
    <row r="28942" s="101" customFormat="1" spans="6:6">
      <c r="F28942" s="2423"/>
    </row>
    <row r="28943" s="101" customFormat="1" spans="6:6">
      <c r="F28943" s="2423"/>
    </row>
    <row r="28944" s="101" customFormat="1" spans="6:6">
      <c r="F28944" s="2423"/>
    </row>
    <row r="28945" s="101" customFormat="1" spans="6:6">
      <c r="F28945" s="2423"/>
    </row>
    <row r="28946" s="101" customFormat="1" spans="6:6">
      <c r="F28946" s="2423"/>
    </row>
    <row r="28947" s="101" customFormat="1" spans="6:6">
      <c r="F28947" s="2423"/>
    </row>
    <row r="28948" s="101" customFormat="1" spans="6:6">
      <c r="F28948" s="2423"/>
    </row>
    <row r="28949" s="101" customFormat="1" spans="6:6">
      <c r="F28949" s="2423"/>
    </row>
    <row r="28950" s="101" customFormat="1" spans="6:6">
      <c r="F28950" s="2423"/>
    </row>
    <row r="28951" s="101" customFormat="1" spans="6:6">
      <c r="F28951" s="2423"/>
    </row>
    <row r="28952" s="101" customFormat="1" spans="6:6">
      <c r="F28952" s="2423"/>
    </row>
    <row r="28953" s="101" customFormat="1" spans="6:6">
      <c r="F28953" s="2423"/>
    </row>
    <row r="28954" s="101" customFormat="1" spans="6:6">
      <c r="F28954" s="2423"/>
    </row>
    <row r="28955" s="101" customFormat="1" spans="6:6">
      <c r="F28955" s="2423"/>
    </row>
    <row r="28956" s="101" customFormat="1" spans="6:6">
      <c r="F28956" s="2423"/>
    </row>
    <row r="28957" s="101" customFormat="1" spans="6:6">
      <c r="F28957" s="2423"/>
    </row>
    <row r="28958" s="101" customFormat="1" spans="6:6">
      <c r="F28958" s="2423"/>
    </row>
    <row r="28959" s="101" customFormat="1" spans="6:6">
      <c r="F28959" s="2423"/>
    </row>
    <row r="28960" s="101" customFormat="1" spans="6:6">
      <c r="F28960" s="2423"/>
    </row>
    <row r="28961" s="101" customFormat="1" spans="6:6">
      <c r="F28961" s="2423"/>
    </row>
    <row r="28962" s="101" customFormat="1" spans="6:6">
      <c r="F28962" s="2423"/>
    </row>
    <row r="28963" s="101" customFormat="1" spans="6:6">
      <c r="F28963" s="2423"/>
    </row>
    <row r="28964" s="101" customFormat="1" spans="6:6">
      <c r="F28964" s="2423"/>
    </row>
    <row r="28965" s="101" customFormat="1" spans="6:6">
      <c r="F28965" s="2423"/>
    </row>
    <row r="28966" s="101" customFormat="1" spans="6:6">
      <c r="F28966" s="2423"/>
    </row>
    <row r="28967" s="101" customFormat="1" spans="6:6">
      <c r="F28967" s="2423"/>
    </row>
    <row r="28968" s="101" customFormat="1" spans="6:6">
      <c r="F28968" s="2423"/>
    </row>
    <row r="28969" s="101" customFormat="1" spans="6:6">
      <c r="F28969" s="2423"/>
    </row>
    <row r="28970" s="101" customFormat="1" spans="6:6">
      <c r="F28970" s="2423"/>
    </row>
    <row r="28971" s="101" customFormat="1" spans="6:6">
      <c r="F28971" s="2423"/>
    </row>
    <row r="28972" s="101" customFormat="1" spans="6:6">
      <c r="F28972" s="2423"/>
    </row>
    <row r="28973" s="101" customFormat="1" spans="6:6">
      <c r="F28973" s="2423"/>
    </row>
    <row r="28974" s="101" customFormat="1" spans="6:6">
      <c r="F28974" s="2423"/>
    </row>
    <row r="28975" s="101" customFormat="1" spans="6:6">
      <c r="F28975" s="2423"/>
    </row>
    <row r="28976" s="101" customFormat="1" spans="6:6">
      <c r="F28976" s="2423"/>
    </row>
    <row r="28977" s="101" customFormat="1" spans="6:6">
      <c r="F28977" s="2423"/>
    </row>
    <row r="28978" s="101" customFormat="1" spans="6:6">
      <c r="F28978" s="2423"/>
    </row>
    <row r="28979" s="101" customFormat="1" spans="6:6">
      <c r="F28979" s="2423"/>
    </row>
    <row r="28980" s="101" customFormat="1" spans="6:6">
      <c r="F28980" s="2423"/>
    </row>
    <row r="28981" s="101" customFormat="1" spans="6:6">
      <c r="F28981" s="2423"/>
    </row>
    <row r="28982" s="101" customFormat="1" spans="6:6">
      <c r="F28982" s="2423"/>
    </row>
    <row r="28983" s="101" customFormat="1" spans="6:6">
      <c r="F28983" s="2423"/>
    </row>
    <row r="28984" s="101" customFormat="1" spans="6:6">
      <c r="F28984" s="2423"/>
    </row>
    <row r="28985" s="101" customFormat="1" spans="6:6">
      <c r="F28985" s="2423"/>
    </row>
    <row r="28986" s="101" customFormat="1" spans="6:6">
      <c r="F28986" s="2423"/>
    </row>
    <row r="28987" s="101" customFormat="1" spans="6:6">
      <c r="F28987" s="2423"/>
    </row>
    <row r="28988" s="101" customFormat="1" spans="6:6">
      <c r="F28988" s="2423"/>
    </row>
    <row r="28989" s="101" customFormat="1" spans="6:6">
      <c r="F28989" s="2423"/>
    </row>
    <row r="28990" s="101" customFormat="1" spans="6:6">
      <c r="F28990" s="2423"/>
    </row>
    <row r="28991" s="101" customFormat="1" spans="6:6">
      <c r="F28991" s="2423"/>
    </row>
    <row r="28992" s="101" customFormat="1" spans="6:6">
      <c r="F28992" s="2423"/>
    </row>
    <row r="28993" s="101" customFormat="1" spans="6:6">
      <c r="F28993" s="2423"/>
    </row>
    <row r="28994" s="101" customFormat="1" spans="6:6">
      <c r="F28994" s="2423"/>
    </row>
    <row r="28995" s="101" customFormat="1" spans="6:6">
      <c r="F28995" s="2423"/>
    </row>
    <row r="28996" s="101" customFormat="1" spans="6:6">
      <c r="F28996" s="2423"/>
    </row>
    <row r="28997" s="101" customFormat="1" spans="6:6">
      <c r="F28997" s="2423"/>
    </row>
    <row r="28998" s="101" customFormat="1" spans="6:6">
      <c r="F28998" s="2423"/>
    </row>
    <row r="28999" s="101" customFormat="1" spans="6:6">
      <c r="F28999" s="2423"/>
    </row>
    <row r="29000" s="101" customFormat="1" spans="6:6">
      <c r="F29000" s="2423"/>
    </row>
    <row r="29001" s="101" customFormat="1" spans="6:6">
      <c r="F29001" s="2423"/>
    </row>
    <row r="29002" s="101" customFormat="1" spans="6:6">
      <c r="F29002" s="2423"/>
    </row>
    <row r="29003" s="101" customFormat="1" spans="6:6">
      <c r="F29003" s="2423"/>
    </row>
    <row r="29004" s="101" customFormat="1" spans="6:6">
      <c r="F29004" s="2423"/>
    </row>
    <row r="29005" s="101" customFormat="1" spans="6:6">
      <c r="F29005" s="2423"/>
    </row>
    <row r="29006" s="101" customFormat="1" spans="6:6">
      <c r="F29006" s="2423"/>
    </row>
    <row r="29007" s="101" customFormat="1" spans="6:6">
      <c r="F29007" s="2423"/>
    </row>
    <row r="29008" s="101" customFormat="1" spans="6:6">
      <c r="F29008" s="2423"/>
    </row>
    <row r="29009" s="101" customFormat="1" spans="6:6">
      <c r="F29009" s="2423"/>
    </row>
    <row r="29010" s="101" customFormat="1" spans="6:6">
      <c r="F29010" s="2423"/>
    </row>
    <row r="29011" s="101" customFormat="1" spans="6:6">
      <c r="F29011" s="2423"/>
    </row>
    <row r="29012" s="101" customFormat="1" spans="6:6">
      <c r="F29012" s="2423"/>
    </row>
    <row r="29013" s="101" customFormat="1" spans="6:6">
      <c r="F29013" s="2423"/>
    </row>
    <row r="29014" s="101" customFormat="1" spans="6:6">
      <c r="F29014" s="2423"/>
    </row>
    <row r="29015" s="101" customFormat="1" spans="6:6">
      <c r="F29015" s="2423"/>
    </row>
    <row r="29016" s="101" customFormat="1" spans="6:6">
      <c r="F29016" s="2423"/>
    </row>
    <row r="29017" s="101" customFormat="1" spans="6:6">
      <c r="F29017" s="2423"/>
    </row>
    <row r="29018" s="101" customFormat="1" spans="6:6">
      <c r="F29018" s="2423"/>
    </row>
    <row r="29019" s="101" customFormat="1" spans="6:6">
      <c r="F29019" s="2423"/>
    </row>
    <row r="29020" s="101" customFormat="1" spans="6:6">
      <c r="F29020" s="2423"/>
    </row>
    <row r="29021" s="101" customFormat="1" spans="6:6">
      <c r="F29021" s="2423"/>
    </row>
    <row r="29022" s="101" customFormat="1" spans="6:6">
      <c r="F29022" s="2423"/>
    </row>
    <row r="29023" s="101" customFormat="1" spans="6:6">
      <c r="F29023" s="2423"/>
    </row>
    <row r="29024" s="101" customFormat="1" spans="6:6">
      <c r="F29024" s="2423"/>
    </row>
    <row r="29025" s="101" customFormat="1" spans="6:6">
      <c r="F29025" s="2423"/>
    </row>
    <row r="29026" s="101" customFormat="1" spans="6:6">
      <c r="F29026" s="2423"/>
    </row>
    <row r="29027" s="101" customFormat="1" spans="6:6">
      <c r="F29027" s="2423"/>
    </row>
    <row r="29028" s="101" customFormat="1" spans="6:6">
      <c r="F29028" s="2423"/>
    </row>
    <row r="29029" s="101" customFormat="1" spans="6:6">
      <c r="F29029" s="2423"/>
    </row>
    <row r="29030" s="101" customFormat="1" spans="6:6">
      <c r="F29030" s="2423"/>
    </row>
    <row r="29031" s="101" customFormat="1" spans="6:6">
      <c r="F29031" s="2423"/>
    </row>
    <row r="29032" s="101" customFormat="1" spans="6:6">
      <c r="F29032" s="2423"/>
    </row>
    <row r="29033" s="101" customFormat="1" spans="6:6">
      <c r="F29033" s="2423"/>
    </row>
    <row r="29034" s="101" customFormat="1" spans="6:6">
      <c r="F29034" s="2423"/>
    </row>
    <row r="29035" s="101" customFormat="1" spans="6:6">
      <c r="F29035" s="2423"/>
    </row>
    <row r="29036" s="101" customFormat="1" spans="6:6">
      <c r="F29036" s="2423"/>
    </row>
    <row r="29037" s="101" customFormat="1" spans="6:6">
      <c r="F29037" s="2423"/>
    </row>
    <row r="29038" s="101" customFormat="1" spans="6:6">
      <c r="F29038" s="2423"/>
    </row>
    <row r="29039" s="101" customFormat="1" spans="6:6">
      <c r="F29039" s="2423"/>
    </row>
    <row r="29040" s="101" customFormat="1" spans="6:6">
      <c r="F29040" s="2423"/>
    </row>
    <row r="29041" s="101" customFormat="1" spans="6:6">
      <c r="F29041" s="2423"/>
    </row>
    <row r="29042" s="101" customFormat="1" spans="6:6">
      <c r="F29042" s="2423"/>
    </row>
    <row r="29043" s="101" customFormat="1" spans="6:6">
      <c r="F29043" s="2423"/>
    </row>
    <row r="29044" s="101" customFormat="1" spans="6:6">
      <c r="F29044" s="2423"/>
    </row>
    <row r="29045" s="101" customFormat="1" spans="6:6">
      <c r="F29045" s="2423"/>
    </row>
    <row r="29046" s="101" customFormat="1" spans="6:6">
      <c r="F29046" s="2423"/>
    </row>
    <row r="29047" s="101" customFormat="1" spans="6:6">
      <c r="F29047" s="2423"/>
    </row>
    <row r="29048" s="101" customFormat="1" spans="6:6">
      <c r="F29048" s="2423"/>
    </row>
    <row r="29049" s="101" customFormat="1" spans="6:6">
      <c r="F29049" s="2423"/>
    </row>
    <row r="29050" s="101" customFormat="1" spans="6:6">
      <c r="F29050" s="2423"/>
    </row>
    <row r="29051" s="101" customFormat="1" spans="6:6">
      <c r="F29051" s="2423"/>
    </row>
    <row r="29052" s="101" customFormat="1" spans="6:6">
      <c r="F29052" s="2423"/>
    </row>
    <row r="29053" s="101" customFormat="1" spans="6:6">
      <c r="F29053" s="2423"/>
    </row>
    <row r="29054" s="101" customFormat="1" spans="6:6">
      <c r="F29054" s="2423"/>
    </row>
    <row r="29055" s="101" customFormat="1" spans="6:6">
      <c r="F29055" s="2423"/>
    </row>
    <row r="29056" s="101" customFormat="1" spans="6:6">
      <c r="F29056" s="2423"/>
    </row>
    <row r="29057" s="101" customFormat="1" spans="6:6">
      <c r="F29057" s="2423"/>
    </row>
    <row r="29058" s="101" customFormat="1" spans="6:6">
      <c r="F29058" s="2423"/>
    </row>
    <row r="29059" s="101" customFormat="1" spans="6:6">
      <c r="F29059" s="2423"/>
    </row>
    <row r="29060" s="101" customFormat="1" spans="6:6">
      <c r="F29060" s="2423"/>
    </row>
    <row r="29061" s="101" customFormat="1" spans="6:6">
      <c r="F29061" s="2423"/>
    </row>
    <row r="29062" s="101" customFormat="1" spans="6:6">
      <c r="F29062" s="2423"/>
    </row>
    <row r="29063" s="101" customFormat="1" spans="6:6">
      <c r="F29063" s="2423"/>
    </row>
    <row r="29064" s="101" customFormat="1" spans="6:6">
      <c r="F29064" s="2423"/>
    </row>
    <row r="29065" s="101" customFormat="1" spans="6:6">
      <c r="F29065" s="2423"/>
    </row>
    <row r="29066" s="101" customFormat="1" spans="6:6">
      <c r="F29066" s="2423"/>
    </row>
    <row r="29067" s="101" customFormat="1" spans="6:6">
      <c r="F29067" s="2423"/>
    </row>
    <row r="29068" s="101" customFormat="1" spans="6:6">
      <c r="F29068" s="2423"/>
    </row>
    <row r="29069" s="101" customFormat="1" spans="6:6">
      <c r="F29069" s="2423"/>
    </row>
    <row r="29070" s="101" customFormat="1" spans="6:6">
      <c r="F29070" s="2423"/>
    </row>
    <row r="29071" s="101" customFormat="1" spans="6:6">
      <c r="F29071" s="2423"/>
    </row>
    <row r="29072" s="101" customFormat="1" spans="6:6">
      <c r="F29072" s="2423"/>
    </row>
    <row r="29073" s="101" customFormat="1" spans="6:6">
      <c r="F29073" s="2423"/>
    </row>
    <row r="29074" s="101" customFormat="1" spans="6:6">
      <c r="F29074" s="2423"/>
    </row>
    <row r="29075" s="101" customFormat="1" spans="6:6">
      <c r="F29075" s="2423"/>
    </row>
    <row r="29076" s="101" customFormat="1" spans="6:6">
      <c r="F29076" s="2423"/>
    </row>
    <row r="29077" s="101" customFormat="1" spans="6:6">
      <c r="F29077" s="2423"/>
    </row>
    <row r="29078" s="101" customFormat="1" spans="6:6">
      <c r="F29078" s="2423"/>
    </row>
    <row r="29079" s="101" customFormat="1" spans="6:6">
      <c r="F29079" s="2423"/>
    </row>
    <row r="29080" s="101" customFormat="1" spans="6:6">
      <c r="F29080" s="2423"/>
    </row>
    <row r="29081" s="101" customFormat="1" spans="6:6">
      <c r="F29081" s="2423"/>
    </row>
    <row r="29082" s="101" customFormat="1" spans="6:6">
      <c r="F29082" s="2423"/>
    </row>
    <row r="29083" s="101" customFormat="1" spans="6:6">
      <c r="F29083" s="2423"/>
    </row>
    <row r="29084" s="101" customFormat="1" spans="6:6">
      <c r="F29084" s="2423"/>
    </row>
    <row r="29085" s="101" customFormat="1" spans="6:6">
      <c r="F29085" s="2423"/>
    </row>
    <row r="29086" s="101" customFormat="1" spans="6:6">
      <c r="F29086" s="2423"/>
    </row>
    <row r="29087" s="101" customFormat="1" spans="6:6">
      <c r="F29087" s="2423"/>
    </row>
    <row r="29088" s="101" customFormat="1" spans="6:6">
      <c r="F29088" s="2423"/>
    </row>
    <row r="29089" s="101" customFormat="1" spans="6:6">
      <c r="F29089" s="2423"/>
    </row>
    <row r="29090" s="101" customFormat="1" spans="6:6">
      <c r="F29090" s="2423"/>
    </row>
    <row r="29091" s="101" customFormat="1" spans="6:6">
      <c r="F29091" s="2423"/>
    </row>
    <row r="29092" s="101" customFormat="1" spans="6:6">
      <c r="F29092" s="2423"/>
    </row>
    <row r="29093" s="101" customFormat="1" spans="6:6">
      <c r="F29093" s="2423"/>
    </row>
    <row r="29094" s="101" customFormat="1" spans="6:6">
      <c r="F29094" s="2423"/>
    </row>
    <row r="29095" s="101" customFormat="1" spans="6:6">
      <c r="F29095" s="2423"/>
    </row>
    <row r="29096" s="101" customFormat="1" spans="6:6">
      <c r="F29096" s="2423"/>
    </row>
    <row r="29097" s="101" customFormat="1" spans="6:6">
      <c r="F29097" s="2423"/>
    </row>
    <row r="29098" s="101" customFormat="1" spans="6:6">
      <c r="F29098" s="2423"/>
    </row>
    <row r="29099" s="101" customFormat="1" spans="6:6">
      <c r="F29099" s="2423"/>
    </row>
    <row r="29100" s="101" customFormat="1" spans="6:6">
      <c r="F29100" s="2423"/>
    </row>
    <row r="29101" s="101" customFormat="1" spans="6:6">
      <c r="F29101" s="2423"/>
    </row>
    <row r="29102" s="101" customFormat="1" spans="6:6">
      <c r="F29102" s="2423"/>
    </row>
    <row r="29103" s="101" customFormat="1" spans="6:6">
      <c r="F29103" s="2423"/>
    </row>
    <row r="29104" s="101" customFormat="1" spans="6:6">
      <c r="F29104" s="2423"/>
    </row>
    <row r="29105" s="101" customFormat="1" spans="6:6">
      <c r="F29105" s="2423"/>
    </row>
    <row r="29106" s="101" customFormat="1" spans="6:6">
      <c r="F29106" s="2423"/>
    </row>
    <row r="29107" s="101" customFormat="1" spans="6:6">
      <c r="F29107" s="2423"/>
    </row>
    <row r="29108" s="101" customFormat="1" spans="6:6">
      <c r="F29108" s="2423"/>
    </row>
    <row r="29109" s="101" customFormat="1" spans="6:6">
      <c r="F29109" s="2423"/>
    </row>
    <row r="29110" s="101" customFormat="1" spans="6:6">
      <c r="F29110" s="2423"/>
    </row>
    <row r="29111" s="101" customFormat="1" spans="6:6">
      <c r="F29111" s="2423"/>
    </row>
    <row r="29112" s="101" customFormat="1" spans="6:6">
      <c r="F29112" s="2423"/>
    </row>
    <row r="29113" s="101" customFormat="1" spans="6:6">
      <c r="F29113" s="2423"/>
    </row>
    <row r="29114" s="101" customFormat="1" spans="6:6">
      <c r="F29114" s="2423"/>
    </row>
    <row r="29115" s="101" customFormat="1" spans="6:6">
      <c r="F29115" s="2423"/>
    </row>
    <row r="29116" s="101" customFormat="1" spans="6:6">
      <c r="F29116" s="2423"/>
    </row>
    <row r="29117" s="101" customFormat="1" spans="6:6">
      <c r="F29117" s="2423"/>
    </row>
    <row r="29118" s="101" customFormat="1" spans="6:6">
      <c r="F29118" s="2423"/>
    </row>
    <row r="29119" s="101" customFormat="1" spans="6:6">
      <c r="F29119" s="2423"/>
    </row>
    <row r="29120" s="101" customFormat="1" spans="6:6">
      <c r="F29120" s="2423"/>
    </row>
    <row r="29121" s="101" customFormat="1" spans="6:6">
      <c r="F29121" s="2423"/>
    </row>
    <row r="29122" s="101" customFormat="1" spans="6:6">
      <c r="F29122" s="2423"/>
    </row>
    <row r="29123" s="101" customFormat="1" spans="6:6">
      <c r="F29123" s="2423"/>
    </row>
    <row r="29124" s="101" customFormat="1" spans="6:6">
      <c r="F29124" s="2423"/>
    </row>
    <row r="29125" s="101" customFormat="1" spans="6:6">
      <c r="F29125" s="2423"/>
    </row>
    <row r="29126" s="101" customFormat="1" spans="6:6">
      <c r="F29126" s="2423"/>
    </row>
    <row r="29127" s="101" customFormat="1" spans="6:6">
      <c r="F29127" s="2423"/>
    </row>
    <row r="29128" s="101" customFormat="1" spans="6:6">
      <c r="F29128" s="2423"/>
    </row>
    <row r="29129" s="101" customFormat="1" spans="6:6">
      <c r="F29129" s="2423"/>
    </row>
    <row r="29130" s="101" customFormat="1" spans="6:6">
      <c r="F29130" s="2423"/>
    </row>
    <row r="29131" s="101" customFormat="1" spans="6:6">
      <c r="F29131" s="2423"/>
    </row>
    <row r="29132" s="101" customFormat="1" spans="6:6">
      <c r="F29132" s="2423"/>
    </row>
    <row r="29133" s="101" customFormat="1" spans="6:6">
      <c r="F29133" s="2423"/>
    </row>
    <row r="29134" s="101" customFormat="1" spans="6:6">
      <c r="F29134" s="2423"/>
    </row>
    <row r="29135" s="101" customFormat="1" spans="6:6">
      <c r="F29135" s="2423"/>
    </row>
    <row r="29136" s="101" customFormat="1" spans="6:6">
      <c r="F29136" s="2423"/>
    </row>
    <row r="29137" s="101" customFormat="1" spans="6:6">
      <c r="F29137" s="2423"/>
    </row>
    <row r="29138" s="101" customFormat="1" spans="6:6">
      <c r="F29138" s="2423"/>
    </row>
    <row r="29139" s="101" customFormat="1" spans="6:6">
      <c r="F29139" s="2423"/>
    </row>
    <row r="29140" s="101" customFormat="1" spans="6:6">
      <c r="F29140" s="2423"/>
    </row>
    <row r="29141" s="101" customFormat="1" spans="6:6">
      <c r="F29141" s="2423"/>
    </row>
    <row r="29142" s="101" customFormat="1" spans="6:6">
      <c r="F29142" s="2423"/>
    </row>
    <row r="29143" s="101" customFormat="1" spans="6:6">
      <c r="F29143" s="2423"/>
    </row>
    <row r="29144" s="101" customFormat="1" spans="6:6">
      <c r="F29144" s="2423"/>
    </row>
    <row r="29145" s="101" customFormat="1" spans="6:6">
      <c r="F29145" s="2423"/>
    </row>
    <row r="29146" s="101" customFormat="1" spans="6:6">
      <c r="F29146" s="2423"/>
    </row>
    <row r="29147" s="101" customFormat="1" spans="6:6">
      <c r="F29147" s="2423"/>
    </row>
    <row r="29148" s="101" customFormat="1" spans="6:6">
      <c r="F29148" s="2423"/>
    </row>
    <row r="29149" s="101" customFormat="1" spans="6:6">
      <c r="F29149" s="2423"/>
    </row>
    <row r="29150" s="101" customFormat="1" spans="6:6">
      <c r="F29150" s="2423"/>
    </row>
    <row r="29151" s="101" customFormat="1" spans="6:6">
      <c r="F29151" s="2423"/>
    </row>
    <row r="29152" s="101" customFormat="1" spans="6:6">
      <c r="F29152" s="2423"/>
    </row>
    <row r="29153" s="101" customFormat="1" spans="6:6">
      <c r="F29153" s="2423"/>
    </row>
    <row r="29154" s="101" customFormat="1" spans="6:6">
      <c r="F29154" s="2423"/>
    </row>
    <row r="29155" s="101" customFormat="1" spans="6:6">
      <c r="F29155" s="2423"/>
    </row>
    <row r="29156" s="101" customFormat="1" spans="6:6">
      <c r="F29156" s="2423"/>
    </row>
    <row r="29157" s="101" customFormat="1" spans="6:6">
      <c r="F29157" s="2423"/>
    </row>
    <row r="29158" s="101" customFormat="1" spans="6:6">
      <c r="F29158" s="2423"/>
    </row>
    <row r="29159" s="101" customFormat="1" spans="6:6">
      <c r="F29159" s="2423"/>
    </row>
    <row r="29160" s="101" customFormat="1" spans="6:6">
      <c r="F29160" s="2423"/>
    </row>
    <row r="29161" s="101" customFormat="1" spans="6:6">
      <c r="F29161" s="2423"/>
    </row>
    <row r="29162" s="101" customFormat="1" spans="6:6">
      <c r="F29162" s="2423"/>
    </row>
    <row r="29163" s="101" customFormat="1" spans="6:6">
      <c r="F29163" s="2423"/>
    </row>
    <row r="29164" s="101" customFormat="1" spans="6:6">
      <c r="F29164" s="2423"/>
    </row>
    <row r="29165" s="101" customFormat="1" spans="6:6">
      <c r="F29165" s="2423"/>
    </row>
    <row r="29166" s="101" customFormat="1" spans="6:6">
      <c r="F29166" s="2423"/>
    </row>
    <row r="29167" s="101" customFormat="1" spans="6:6">
      <c r="F29167" s="2423"/>
    </row>
    <row r="29168" s="101" customFormat="1" spans="6:6">
      <c r="F29168" s="2423"/>
    </row>
    <row r="29169" s="101" customFormat="1" spans="6:6">
      <c r="F29169" s="2423"/>
    </row>
    <row r="29170" s="101" customFormat="1" spans="6:6">
      <c r="F29170" s="2423"/>
    </row>
    <row r="29171" s="101" customFormat="1" spans="6:6">
      <c r="F29171" s="2423"/>
    </row>
    <row r="29172" s="101" customFormat="1" spans="6:6">
      <c r="F29172" s="2423"/>
    </row>
    <row r="29173" s="101" customFormat="1" spans="6:6">
      <c r="F29173" s="2423"/>
    </row>
    <row r="29174" s="101" customFormat="1" spans="6:6">
      <c r="F29174" s="2423"/>
    </row>
    <row r="29175" s="101" customFormat="1" spans="6:6">
      <c r="F29175" s="2423"/>
    </row>
    <row r="29176" s="101" customFormat="1" spans="6:6">
      <c r="F29176" s="2423"/>
    </row>
    <row r="29177" s="101" customFormat="1" spans="6:6">
      <c r="F29177" s="2423"/>
    </row>
    <row r="29178" s="101" customFormat="1" spans="6:6">
      <c r="F29178" s="2423"/>
    </row>
    <row r="29179" s="101" customFormat="1" spans="6:6">
      <c r="F29179" s="2423"/>
    </row>
    <row r="29180" s="101" customFormat="1" spans="6:6">
      <c r="F29180" s="2423"/>
    </row>
    <row r="29181" s="101" customFormat="1" spans="6:6">
      <c r="F29181" s="2423"/>
    </row>
    <row r="29182" s="101" customFormat="1" spans="6:6">
      <c r="F29182" s="2423"/>
    </row>
    <row r="29183" s="101" customFormat="1" spans="6:6">
      <c r="F29183" s="2423"/>
    </row>
    <row r="29184" s="101" customFormat="1" spans="6:6">
      <c r="F29184" s="2423"/>
    </row>
    <row r="29185" s="101" customFormat="1" spans="6:6">
      <c r="F29185" s="2423"/>
    </row>
    <row r="29186" s="101" customFormat="1" spans="6:6">
      <c r="F29186" s="2423"/>
    </row>
    <row r="29187" s="101" customFormat="1" spans="6:6">
      <c r="F29187" s="2423"/>
    </row>
    <row r="29188" s="101" customFormat="1" spans="6:6">
      <c r="F29188" s="2423"/>
    </row>
    <row r="29189" s="101" customFormat="1" spans="6:6">
      <c r="F29189" s="2423"/>
    </row>
    <row r="29190" s="101" customFormat="1" spans="6:6">
      <c r="F29190" s="2423"/>
    </row>
    <row r="29191" s="101" customFormat="1" spans="6:6">
      <c r="F29191" s="2423"/>
    </row>
    <row r="29192" s="101" customFormat="1" spans="6:6">
      <c r="F29192" s="2423"/>
    </row>
    <row r="29193" s="101" customFormat="1" spans="6:6">
      <c r="F29193" s="2423"/>
    </row>
    <row r="29194" s="101" customFormat="1" spans="6:6">
      <c r="F29194" s="2423"/>
    </row>
    <row r="29195" s="101" customFormat="1" spans="6:6">
      <c r="F29195" s="2423"/>
    </row>
    <row r="29196" s="101" customFormat="1" spans="6:6">
      <c r="F29196" s="2423"/>
    </row>
    <row r="29197" s="101" customFormat="1" spans="6:6">
      <c r="F29197" s="2423"/>
    </row>
    <row r="29198" s="101" customFormat="1" spans="6:6">
      <c r="F29198" s="2423"/>
    </row>
    <row r="29199" s="101" customFormat="1" spans="6:6">
      <c r="F29199" s="2423"/>
    </row>
    <row r="29200" s="101" customFormat="1" spans="6:6">
      <c r="F29200" s="2423"/>
    </row>
    <row r="29201" s="101" customFormat="1" spans="6:6">
      <c r="F29201" s="2423"/>
    </row>
    <row r="29202" s="101" customFormat="1" spans="6:6">
      <c r="F29202" s="2423"/>
    </row>
    <row r="29203" s="101" customFormat="1" spans="6:6">
      <c r="F29203" s="2423"/>
    </row>
    <row r="29204" s="101" customFormat="1" spans="6:6">
      <c r="F29204" s="2423"/>
    </row>
    <row r="29205" s="101" customFormat="1" spans="6:6">
      <c r="F29205" s="2423"/>
    </row>
    <row r="29206" s="101" customFormat="1" spans="6:6">
      <c r="F29206" s="2423"/>
    </row>
    <row r="29207" s="101" customFormat="1" spans="6:6">
      <c r="F29207" s="2423"/>
    </row>
    <row r="29208" s="101" customFormat="1" spans="6:6">
      <c r="F29208" s="2423"/>
    </row>
    <row r="29209" s="101" customFormat="1" spans="6:6">
      <c r="F29209" s="2423"/>
    </row>
    <row r="29210" s="101" customFormat="1" spans="6:6">
      <c r="F29210" s="2423"/>
    </row>
    <row r="29211" s="101" customFormat="1" spans="6:6">
      <c r="F29211" s="2423"/>
    </row>
    <row r="29212" s="101" customFormat="1" spans="6:6">
      <c r="F29212" s="2423"/>
    </row>
    <row r="29213" s="101" customFormat="1" spans="6:6">
      <c r="F29213" s="2423"/>
    </row>
    <row r="29214" s="101" customFormat="1" spans="6:6">
      <c r="F29214" s="2423"/>
    </row>
    <row r="29215" s="101" customFormat="1" spans="6:6">
      <c r="F29215" s="2423"/>
    </row>
    <row r="29216" s="101" customFormat="1" spans="6:6">
      <c r="F29216" s="2423"/>
    </row>
    <row r="29217" s="101" customFormat="1" spans="6:6">
      <c r="F29217" s="2423"/>
    </row>
    <row r="29218" s="101" customFormat="1" spans="6:6">
      <c r="F29218" s="2423"/>
    </row>
    <row r="29219" s="101" customFormat="1" spans="6:6">
      <c r="F29219" s="2423"/>
    </row>
    <row r="29220" s="101" customFormat="1" spans="6:6">
      <c r="F29220" s="2423"/>
    </row>
    <row r="29221" s="101" customFormat="1" spans="6:6">
      <c r="F29221" s="2423"/>
    </row>
    <row r="29222" s="101" customFormat="1" spans="6:6">
      <c r="F29222" s="2423"/>
    </row>
    <row r="29223" s="101" customFormat="1" spans="6:6">
      <c r="F29223" s="2423"/>
    </row>
    <row r="29224" s="101" customFormat="1" spans="6:6">
      <c r="F29224" s="2423"/>
    </row>
    <row r="29225" s="101" customFormat="1" spans="6:6">
      <c r="F29225" s="2423"/>
    </row>
    <row r="29226" s="101" customFormat="1" spans="6:6">
      <c r="F29226" s="2423"/>
    </row>
    <row r="29227" s="101" customFormat="1" spans="6:6">
      <c r="F29227" s="2423"/>
    </row>
    <row r="29228" s="101" customFormat="1" spans="6:6">
      <c r="F29228" s="2423"/>
    </row>
    <row r="29229" s="101" customFormat="1" spans="6:6">
      <c r="F29229" s="2423"/>
    </row>
    <row r="29230" s="101" customFormat="1" spans="6:6">
      <c r="F29230" s="2423"/>
    </row>
    <row r="29231" s="101" customFormat="1" spans="6:6">
      <c r="F29231" s="2423"/>
    </row>
    <row r="29232" s="101" customFormat="1" spans="6:6">
      <c r="F29232" s="2423"/>
    </row>
    <row r="29233" s="101" customFormat="1" spans="6:6">
      <c r="F29233" s="2423"/>
    </row>
    <row r="29234" s="101" customFormat="1" spans="6:6">
      <c r="F29234" s="2423"/>
    </row>
    <row r="29235" s="101" customFormat="1" spans="6:6">
      <c r="F29235" s="2423"/>
    </row>
    <row r="29236" s="101" customFormat="1" spans="6:6">
      <c r="F29236" s="2423"/>
    </row>
    <row r="29237" s="101" customFormat="1" spans="6:6">
      <c r="F29237" s="2423"/>
    </row>
    <row r="29238" s="101" customFormat="1" spans="6:6">
      <c r="F29238" s="2423"/>
    </row>
    <row r="29239" s="101" customFormat="1" spans="6:6">
      <c r="F29239" s="2423"/>
    </row>
    <row r="29240" s="101" customFormat="1" spans="6:6">
      <c r="F29240" s="2423"/>
    </row>
    <row r="29241" s="101" customFormat="1" spans="6:6">
      <c r="F29241" s="2423"/>
    </row>
    <row r="29242" s="101" customFormat="1" spans="6:6">
      <c r="F29242" s="2423"/>
    </row>
    <row r="29243" s="101" customFormat="1" spans="6:6">
      <c r="F29243" s="2423"/>
    </row>
    <row r="29244" s="101" customFormat="1" spans="6:6">
      <c r="F29244" s="2423"/>
    </row>
    <row r="29245" s="101" customFormat="1" spans="6:6">
      <c r="F29245" s="2423"/>
    </row>
    <row r="29246" s="101" customFormat="1" spans="6:6">
      <c r="F29246" s="2423"/>
    </row>
    <row r="29247" s="101" customFormat="1" spans="6:6">
      <c r="F29247" s="2423"/>
    </row>
    <row r="29248" s="101" customFormat="1" spans="6:6">
      <c r="F29248" s="2423"/>
    </row>
    <row r="29249" s="101" customFormat="1" spans="6:6">
      <c r="F29249" s="2423"/>
    </row>
    <row r="29250" s="101" customFormat="1" spans="6:6">
      <c r="F29250" s="2423"/>
    </row>
    <row r="29251" s="101" customFormat="1" spans="6:6">
      <c r="F29251" s="2423"/>
    </row>
    <row r="29252" s="101" customFormat="1" spans="6:6">
      <c r="F29252" s="2423"/>
    </row>
    <row r="29253" s="101" customFormat="1" spans="6:6">
      <c r="F29253" s="2423"/>
    </row>
    <row r="29254" s="101" customFormat="1" spans="6:6">
      <c r="F29254" s="2423"/>
    </row>
    <row r="29255" s="101" customFormat="1" spans="6:6">
      <c r="F29255" s="2423"/>
    </row>
    <row r="29256" s="101" customFormat="1" spans="6:6">
      <c r="F29256" s="2423"/>
    </row>
    <row r="29257" s="101" customFormat="1" spans="6:6">
      <c r="F29257" s="2423"/>
    </row>
    <row r="29258" s="101" customFormat="1" spans="6:6">
      <c r="F29258" s="2423"/>
    </row>
    <row r="29259" s="101" customFormat="1" spans="6:6">
      <c r="F29259" s="2423"/>
    </row>
    <row r="29260" s="101" customFormat="1" spans="6:6">
      <c r="F29260" s="2423"/>
    </row>
    <row r="29261" s="101" customFormat="1" spans="6:6">
      <c r="F29261" s="2423"/>
    </row>
    <row r="29262" s="101" customFormat="1" spans="6:6">
      <c r="F29262" s="2423"/>
    </row>
    <row r="29263" s="101" customFormat="1" spans="6:6">
      <c r="F29263" s="2423"/>
    </row>
    <row r="29264" s="101" customFormat="1" spans="6:6">
      <c r="F29264" s="2423"/>
    </row>
    <row r="29265" s="101" customFormat="1" spans="6:6">
      <c r="F29265" s="2423"/>
    </row>
    <row r="29266" s="101" customFormat="1" spans="6:6">
      <c r="F29266" s="2423"/>
    </row>
    <row r="29267" s="101" customFormat="1" spans="6:6">
      <c r="F29267" s="2423"/>
    </row>
    <row r="29268" s="101" customFormat="1" spans="6:6">
      <c r="F29268" s="2423"/>
    </row>
    <row r="29269" s="101" customFormat="1" spans="6:6">
      <c r="F29269" s="2423"/>
    </row>
    <row r="29270" s="101" customFormat="1" spans="6:6">
      <c r="F29270" s="2423"/>
    </row>
    <row r="29271" s="101" customFormat="1" spans="6:6">
      <c r="F29271" s="2423"/>
    </row>
    <row r="29272" s="101" customFormat="1" spans="6:6">
      <c r="F29272" s="2423"/>
    </row>
    <row r="29273" s="101" customFormat="1" spans="6:6">
      <c r="F29273" s="2423"/>
    </row>
    <row r="29274" s="101" customFormat="1" spans="6:6">
      <c r="F29274" s="2423"/>
    </row>
    <row r="29275" s="101" customFormat="1" spans="6:6">
      <c r="F29275" s="2423"/>
    </row>
    <row r="29276" s="101" customFormat="1" spans="6:6">
      <c r="F29276" s="2423"/>
    </row>
    <row r="29277" s="101" customFormat="1" spans="6:6">
      <c r="F29277" s="2423"/>
    </row>
    <row r="29278" s="101" customFormat="1" spans="6:6">
      <c r="F29278" s="2423"/>
    </row>
    <row r="29279" s="101" customFormat="1" spans="6:6">
      <c r="F29279" s="2423"/>
    </row>
    <row r="29280" s="101" customFormat="1" spans="6:6">
      <c r="F29280" s="2423"/>
    </row>
    <row r="29281" s="101" customFormat="1" spans="6:6">
      <c r="F29281" s="2423"/>
    </row>
    <row r="29282" s="101" customFormat="1" spans="6:6">
      <c r="F29282" s="2423"/>
    </row>
    <row r="29283" s="101" customFormat="1" spans="6:6">
      <c r="F29283" s="2423"/>
    </row>
    <row r="29284" s="101" customFormat="1" spans="6:6">
      <c r="F29284" s="2423"/>
    </row>
    <row r="29285" s="101" customFormat="1" spans="6:6">
      <c r="F29285" s="2423"/>
    </row>
    <row r="29286" s="101" customFormat="1" spans="6:6">
      <c r="F29286" s="2423"/>
    </row>
    <row r="29287" s="101" customFormat="1" spans="6:6">
      <c r="F29287" s="2423"/>
    </row>
    <row r="29288" s="101" customFormat="1" spans="6:6">
      <c r="F29288" s="2423"/>
    </row>
    <row r="29289" s="101" customFormat="1" spans="6:6">
      <c r="F29289" s="2423"/>
    </row>
    <row r="29290" s="101" customFormat="1" spans="6:6">
      <c r="F29290" s="2423"/>
    </row>
    <row r="29291" s="101" customFormat="1" spans="6:6">
      <c r="F29291" s="2423"/>
    </row>
    <row r="29292" s="101" customFormat="1" spans="6:6">
      <c r="F29292" s="2423"/>
    </row>
    <row r="29293" s="101" customFormat="1" spans="6:6">
      <c r="F29293" s="2423"/>
    </row>
    <row r="29294" s="101" customFormat="1" spans="6:6">
      <c r="F29294" s="2423"/>
    </row>
    <row r="29295" s="101" customFormat="1" spans="6:6">
      <c r="F29295" s="2423"/>
    </row>
    <row r="29296" s="101" customFormat="1" spans="6:6">
      <c r="F29296" s="2423"/>
    </row>
    <row r="29297" s="101" customFormat="1" spans="6:6">
      <c r="F29297" s="2423"/>
    </row>
    <row r="29298" s="101" customFormat="1" spans="6:6">
      <c r="F29298" s="2423"/>
    </row>
    <row r="29299" s="101" customFormat="1" spans="6:6">
      <c r="F29299" s="2423"/>
    </row>
    <row r="29300" s="101" customFormat="1" spans="6:6">
      <c r="F29300" s="2423"/>
    </row>
    <row r="29301" s="101" customFormat="1" spans="6:6">
      <c r="F29301" s="2423"/>
    </row>
    <row r="29302" s="101" customFormat="1" spans="6:6">
      <c r="F29302" s="2423"/>
    </row>
    <row r="29303" s="101" customFormat="1" spans="6:6">
      <c r="F29303" s="2423"/>
    </row>
    <row r="29304" s="101" customFormat="1" spans="6:6">
      <c r="F29304" s="2423"/>
    </row>
    <row r="29305" s="101" customFormat="1" spans="6:6">
      <c r="F29305" s="2423"/>
    </row>
    <row r="29306" s="101" customFormat="1" spans="6:6">
      <c r="F29306" s="2423"/>
    </row>
    <row r="29307" s="101" customFormat="1" spans="6:6">
      <c r="F29307" s="2423"/>
    </row>
    <row r="29308" s="101" customFormat="1" spans="6:6">
      <c r="F29308" s="2423"/>
    </row>
    <row r="29309" s="101" customFormat="1" spans="6:6">
      <c r="F29309" s="2423"/>
    </row>
    <row r="29310" s="101" customFormat="1" spans="6:6">
      <c r="F29310" s="2423"/>
    </row>
    <row r="29311" s="101" customFormat="1" spans="6:6">
      <c r="F29311" s="2423"/>
    </row>
    <row r="29312" s="101" customFormat="1" spans="6:6">
      <c r="F29312" s="2423"/>
    </row>
    <row r="29313" s="101" customFormat="1" spans="6:6">
      <c r="F29313" s="2423"/>
    </row>
    <row r="29314" s="101" customFormat="1" spans="6:6">
      <c r="F29314" s="2423"/>
    </row>
    <row r="29315" s="101" customFormat="1" spans="6:6">
      <c r="F29315" s="2423"/>
    </row>
    <row r="29316" s="101" customFormat="1" spans="6:6">
      <c r="F29316" s="2423"/>
    </row>
    <row r="29317" s="101" customFormat="1" spans="6:6">
      <c r="F29317" s="2423"/>
    </row>
    <row r="29318" s="101" customFormat="1" spans="6:6">
      <c r="F29318" s="2423"/>
    </row>
    <row r="29319" s="101" customFormat="1" spans="6:6">
      <c r="F29319" s="2423"/>
    </row>
    <row r="29320" s="101" customFormat="1" spans="6:6">
      <c r="F29320" s="2423"/>
    </row>
    <row r="29321" s="101" customFormat="1" spans="6:6">
      <c r="F29321" s="2423"/>
    </row>
    <row r="29322" s="101" customFormat="1" spans="6:6">
      <c r="F29322" s="2423"/>
    </row>
    <row r="29323" s="101" customFormat="1" spans="6:6">
      <c r="F29323" s="2423"/>
    </row>
    <row r="29324" s="101" customFormat="1" spans="6:6">
      <c r="F29324" s="2423"/>
    </row>
    <row r="29325" s="101" customFormat="1" spans="6:6">
      <c r="F29325" s="2423"/>
    </row>
    <row r="29326" s="101" customFormat="1" spans="6:6">
      <c r="F29326" s="2423"/>
    </row>
    <row r="29327" s="101" customFormat="1" spans="6:6">
      <c r="F29327" s="2423"/>
    </row>
    <row r="29328" s="101" customFormat="1" spans="6:6">
      <c r="F29328" s="2423"/>
    </row>
    <row r="29329" s="101" customFormat="1" spans="6:6">
      <c r="F29329" s="2423"/>
    </row>
    <row r="29330" s="101" customFormat="1" spans="6:6">
      <c r="F29330" s="2423"/>
    </row>
    <row r="29331" s="101" customFormat="1" spans="6:6">
      <c r="F29331" s="2423"/>
    </row>
    <row r="29332" s="101" customFormat="1" spans="6:6">
      <c r="F29332" s="2423"/>
    </row>
    <row r="29333" s="101" customFormat="1" spans="6:6">
      <c r="F29333" s="2423"/>
    </row>
    <row r="29334" s="101" customFormat="1" spans="6:6">
      <c r="F29334" s="2423"/>
    </row>
    <row r="29335" s="101" customFormat="1" spans="6:6">
      <c r="F29335" s="2423"/>
    </row>
    <row r="29336" s="101" customFormat="1" spans="6:6">
      <c r="F29336" s="2423"/>
    </row>
    <row r="29337" s="101" customFormat="1" spans="6:6">
      <c r="F29337" s="2423"/>
    </row>
    <row r="29338" s="101" customFormat="1" spans="6:6">
      <c r="F29338" s="2423"/>
    </row>
    <row r="29339" s="101" customFormat="1" spans="6:6">
      <c r="F29339" s="2423"/>
    </row>
    <row r="29340" s="101" customFormat="1" spans="6:6">
      <c r="F29340" s="2423"/>
    </row>
    <row r="29341" s="101" customFormat="1" spans="6:6">
      <c r="F29341" s="2423"/>
    </row>
    <row r="29342" s="101" customFormat="1" spans="6:6">
      <c r="F29342" s="2423"/>
    </row>
    <row r="29343" s="101" customFormat="1" spans="6:6">
      <c r="F29343" s="2423"/>
    </row>
    <row r="29344" s="101" customFormat="1" spans="6:6">
      <c r="F29344" s="2423"/>
    </row>
    <row r="29345" s="101" customFormat="1" spans="6:6">
      <c r="F29345" s="2423"/>
    </row>
    <row r="29346" s="101" customFormat="1" spans="6:6">
      <c r="F29346" s="2423"/>
    </row>
    <row r="29347" s="101" customFormat="1" spans="6:6">
      <c r="F29347" s="2423"/>
    </row>
    <row r="29348" s="101" customFormat="1" spans="6:6">
      <c r="F29348" s="2423"/>
    </row>
    <row r="29349" s="101" customFormat="1" spans="6:6">
      <c r="F29349" s="2423"/>
    </row>
    <row r="29350" s="101" customFormat="1" spans="6:6">
      <c r="F29350" s="2423"/>
    </row>
    <row r="29351" s="101" customFormat="1" spans="6:6">
      <c r="F29351" s="2423"/>
    </row>
    <row r="29352" s="101" customFormat="1" spans="6:6">
      <c r="F29352" s="2423"/>
    </row>
    <row r="29353" s="101" customFormat="1" spans="6:6">
      <c r="F29353" s="2423"/>
    </row>
    <row r="29354" s="101" customFormat="1" spans="6:6">
      <c r="F29354" s="2423"/>
    </row>
    <row r="29355" s="101" customFormat="1" spans="6:6">
      <c r="F29355" s="2423"/>
    </row>
    <row r="29356" s="101" customFormat="1" spans="6:6">
      <c r="F29356" s="2423"/>
    </row>
    <row r="29357" s="101" customFormat="1" spans="6:6">
      <c r="F29357" s="2423"/>
    </row>
    <row r="29358" s="101" customFormat="1" spans="6:6">
      <c r="F29358" s="2423"/>
    </row>
    <row r="29359" s="101" customFormat="1" spans="6:6">
      <c r="F29359" s="2423"/>
    </row>
    <row r="29360" s="101" customFormat="1" spans="6:6">
      <c r="F29360" s="2423"/>
    </row>
    <row r="29361" s="101" customFormat="1" spans="6:6">
      <c r="F29361" s="2423"/>
    </row>
    <row r="29362" s="101" customFormat="1" spans="6:6">
      <c r="F29362" s="2423"/>
    </row>
    <row r="29363" s="101" customFormat="1" spans="6:6">
      <c r="F29363" s="2423"/>
    </row>
    <row r="29364" s="101" customFormat="1" spans="6:6">
      <c r="F29364" s="2423"/>
    </row>
    <row r="29365" s="101" customFormat="1" spans="6:6">
      <c r="F29365" s="2423"/>
    </row>
    <row r="29366" s="101" customFormat="1" spans="6:6">
      <c r="F29366" s="2423"/>
    </row>
    <row r="29367" s="101" customFormat="1" spans="6:6">
      <c r="F29367" s="2423"/>
    </row>
    <row r="29368" s="101" customFormat="1" spans="6:6">
      <c r="F29368" s="2423"/>
    </row>
    <row r="29369" s="101" customFormat="1" spans="6:6">
      <c r="F29369" s="2423"/>
    </row>
    <row r="29370" s="101" customFormat="1" spans="6:6">
      <c r="F29370" s="2423"/>
    </row>
    <row r="29371" s="101" customFormat="1" spans="6:6">
      <c r="F29371" s="2423"/>
    </row>
    <row r="29372" s="101" customFormat="1" spans="6:6">
      <c r="F29372" s="2423"/>
    </row>
    <row r="29373" s="101" customFormat="1" spans="6:6">
      <c r="F29373" s="2423"/>
    </row>
    <row r="29374" s="101" customFormat="1" spans="6:6">
      <c r="F29374" s="2423"/>
    </row>
    <row r="29375" s="101" customFormat="1" spans="6:6">
      <c r="F29375" s="2423"/>
    </row>
    <row r="29376" s="101" customFormat="1" spans="6:6">
      <c r="F29376" s="2423"/>
    </row>
    <row r="29377" s="101" customFormat="1" spans="6:6">
      <c r="F29377" s="2423"/>
    </row>
    <row r="29378" s="101" customFormat="1" spans="6:6">
      <c r="F29378" s="2423"/>
    </row>
    <row r="29379" s="101" customFormat="1" spans="6:6">
      <c r="F29379" s="2423"/>
    </row>
    <row r="29380" s="101" customFormat="1" spans="6:6">
      <c r="F29380" s="2423"/>
    </row>
    <row r="29381" s="101" customFormat="1" spans="6:6">
      <c r="F29381" s="2423"/>
    </row>
    <row r="29382" s="101" customFormat="1" spans="6:6">
      <c r="F29382" s="2423"/>
    </row>
    <row r="29383" s="101" customFormat="1" spans="6:6">
      <c r="F29383" s="2423"/>
    </row>
    <row r="29384" s="101" customFormat="1" spans="6:6">
      <c r="F29384" s="2423"/>
    </row>
    <row r="29385" s="101" customFormat="1" spans="6:6">
      <c r="F29385" s="2423"/>
    </row>
    <row r="29386" s="101" customFormat="1" spans="6:6">
      <c r="F29386" s="2423"/>
    </row>
    <row r="29387" s="101" customFormat="1" spans="6:6">
      <c r="F29387" s="2423"/>
    </row>
    <row r="29388" s="101" customFormat="1" spans="6:6">
      <c r="F29388" s="2423"/>
    </row>
    <row r="29389" s="101" customFormat="1" spans="6:6">
      <c r="F29389" s="2423"/>
    </row>
    <row r="29390" s="101" customFormat="1" spans="6:6">
      <c r="F29390" s="2423"/>
    </row>
    <row r="29391" s="101" customFormat="1" spans="6:6">
      <c r="F29391" s="2423"/>
    </row>
    <row r="29392" s="101" customFormat="1" spans="6:6">
      <c r="F29392" s="2423"/>
    </row>
    <row r="29393" s="101" customFormat="1" spans="6:6">
      <c r="F29393" s="2423"/>
    </row>
    <row r="29394" s="101" customFormat="1" spans="6:6">
      <c r="F29394" s="2423"/>
    </row>
    <row r="29395" s="101" customFormat="1" spans="6:6">
      <c r="F29395" s="2423"/>
    </row>
    <row r="29396" s="101" customFormat="1" spans="6:6">
      <c r="F29396" s="2423"/>
    </row>
    <row r="29397" s="101" customFormat="1" spans="6:6">
      <c r="F29397" s="2423"/>
    </row>
    <row r="29398" s="101" customFormat="1" spans="6:6">
      <c r="F29398" s="2423"/>
    </row>
    <row r="29399" s="101" customFormat="1" spans="6:6">
      <c r="F29399" s="2423"/>
    </row>
    <row r="29400" s="101" customFormat="1" spans="6:6">
      <c r="F29400" s="2423"/>
    </row>
    <row r="29401" s="101" customFormat="1" spans="6:6">
      <c r="F29401" s="2423"/>
    </row>
    <row r="29402" s="101" customFormat="1" spans="6:6">
      <c r="F29402" s="2423"/>
    </row>
    <row r="29403" s="101" customFormat="1" spans="6:6">
      <c r="F29403" s="2423"/>
    </row>
    <row r="29404" s="101" customFormat="1" spans="6:6">
      <c r="F29404" s="2423"/>
    </row>
    <row r="29405" s="101" customFormat="1" spans="6:6">
      <c r="F29405" s="2423"/>
    </row>
    <row r="29406" s="101" customFormat="1" spans="6:6">
      <c r="F29406" s="2423"/>
    </row>
    <row r="29407" s="101" customFormat="1" spans="6:6">
      <c r="F29407" s="2423"/>
    </row>
    <row r="29408" s="101" customFormat="1" spans="6:6">
      <c r="F29408" s="2423"/>
    </row>
    <row r="29409" s="101" customFormat="1" spans="6:6">
      <c r="F29409" s="2423"/>
    </row>
    <row r="29410" s="101" customFormat="1" spans="6:6">
      <c r="F29410" s="2423"/>
    </row>
    <row r="29411" s="101" customFormat="1" spans="6:6">
      <c r="F29411" s="2423"/>
    </row>
    <row r="29412" s="101" customFormat="1" spans="6:6">
      <c r="F29412" s="2423"/>
    </row>
    <row r="29413" s="101" customFormat="1" spans="6:6">
      <c r="F29413" s="2423"/>
    </row>
    <row r="29414" s="101" customFormat="1" spans="6:6">
      <c r="F29414" s="2423"/>
    </row>
    <row r="29415" s="101" customFormat="1" spans="6:6">
      <c r="F29415" s="2423"/>
    </row>
    <row r="29416" s="101" customFormat="1" spans="6:6">
      <c r="F29416" s="2423"/>
    </row>
    <row r="29417" s="101" customFormat="1" spans="6:6">
      <c r="F29417" s="2423"/>
    </row>
    <row r="29418" s="101" customFormat="1" spans="6:6">
      <c r="F29418" s="2423"/>
    </row>
    <row r="29419" s="101" customFormat="1" spans="6:6">
      <c r="F29419" s="2423"/>
    </row>
    <row r="29420" s="101" customFormat="1" spans="6:6">
      <c r="F29420" s="2423"/>
    </row>
    <row r="29421" s="101" customFormat="1" spans="6:6">
      <c r="F29421" s="2423"/>
    </row>
    <row r="29422" s="101" customFormat="1" spans="6:6">
      <c r="F29422" s="2423"/>
    </row>
    <row r="29423" s="101" customFormat="1" spans="6:6">
      <c r="F29423" s="2423"/>
    </row>
    <row r="29424" s="101" customFormat="1" spans="6:6">
      <c r="F29424" s="2423"/>
    </row>
    <row r="29425" s="101" customFormat="1" spans="6:6">
      <c r="F29425" s="2423"/>
    </row>
    <row r="29426" s="101" customFormat="1" spans="6:6">
      <c r="F29426" s="2423"/>
    </row>
    <row r="29427" s="101" customFormat="1" spans="6:6">
      <c r="F29427" s="2423"/>
    </row>
    <row r="29428" s="101" customFormat="1" spans="6:6">
      <c r="F29428" s="2423"/>
    </row>
    <row r="29429" s="101" customFormat="1" spans="6:6">
      <c r="F29429" s="2423"/>
    </row>
    <row r="29430" s="101" customFormat="1" spans="6:6">
      <c r="F29430" s="2423"/>
    </row>
    <row r="29431" s="101" customFormat="1" spans="6:6">
      <c r="F29431" s="2423"/>
    </row>
    <row r="29432" s="101" customFormat="1" spans="6:6">
      <c r="F29432" s="2423"/>
    </row>
    <row r="29433" s="101" customFormat="1" spans="6:6">
      <c r="F29433" s="2423"/>
    </row>
    <row r="29434" s="101" customFormat="1" spans="6:6">
      <c r="F29434" s="2423"/>
    </row>
    <row r="29435" s="101" customFormat="1" spans="6:6">
      <c r="F29435" s="2423"/>
    </row>
    <row r="29436" s="101" customFormat="1" spans="6:6">
      <c r="F29436" s="2423"/>
    </row>
    <row r="29437" s="101" customFormat="1" spans="6:6">
      <c r="F29437" s="2423"/>
    </row>
    <row r="29438" s="101" customFormat="1" spans="6:6">
      <c r="F29438" s="2423"/>
    </row>
    <row r="29439" s="101" customFormat="1" spans="6:6">
      <c r="F29439" s="2423"/>
    </row>
    <row r="29440" s="101" customFormat="1" spans="6:6">
      <c r="F29440" s="2423"/>
    </row>
    <row r="29441" s="101" customFormat="1" spans="6:6">
      <c r="F29441" s="2423"/>
    </row>
    <row r="29442" s="101" customFormat="1" spans="6:6">
      <c r="F29442" s="2423"/>
    </row>
    <row r="29443" s="101" customFormat="1" spans="6:6">
      <c r="F29443" s="2423"/>
    </row>
    <row r="29444" s="101" customFormat="1" spans="6:6">
      <c r="F29444" s="2423"/>
    </row>
    <row r="29445" s="101" customFormat="1" spans="6:6">
      <c r="F29445" s="2423"/>
    </row>
    <row r="29446" s="101" customFormat="1" spans="6:6">
      <c r="F29446" s="2423"/>
    </row>
    <row r="29447" s="101" customFormat="1" spans="6:6">
      <c r="F29447" s="2423"/>
    </row>
    <row r="29448" s="101" customFormat="1" spans="6:6">
      <c r="F29448" s="2423"/>
    </row>
    <row r="29449" s="101" customFormat="1" spans="6:6">
      <c r="F29449" s="2423"/>
    </row>
    <row r="29450" s="101" customFormat="1" spans="6:6">
      <c r="F29450" s="2423"/>
    </row>
    <row r="29451" s="101" customFormat="1" spans="6:6">
      <c r="F29451" s="2423"/>
    </row>
    <row r="29452" s="101" customFormat="1" spans="6:6">
      <c r="F29452" s="2423"/>
    </row>
    <row r="29453" s="101" customFormat="1" spans="6:6">
      <c r="F29453" s="2423"/>
    </row>
    <row r="29454" s="101" customFormat="1" spans="6:6">
      <c r="F29454" s="2423"/>
    </row>
    <row r="29455" s="101" customFormat="1" spans="6:6">
      <c r="F29455" s="2423"/>
    </row>
    <row r="29456" s="101" customFormat="1" spans="6:6">
      <c r="F29456" s="2423"/>
    </row>
    <row r="29457" s="101" customFormat="1" spans="6:6">
      <c r="F29457" s="2423"/>
    </row>
    <row r="29458" s="101" customFormat="1" spans="6:6">
      <c r="F29458" s="2423"/>
    </row>
    <row r="29459" s="101" customFormat="1" spans="6:6">
      <c r="F29459" s="2423"/>
    </row>
    <row r="29460" s="101" customFormat="1" spans="6:6">
      <c r="F29460" s="2423"/>
    </row>
    <row r="29461" s="101" customFormat="1" spans="6:6">
      <c r="F29461" s="2423"/>
    </row>
    <row r="29462" s="101" customFormat="1" spans="6:6">
      <c r="F29462" s="2423"/>
    </row>
    <row r="29463" s="101" customFormat="1" spans="6:6">
      <c r="F29463" s="2423"/>
    </row>
    <row r="29464" s="101" customFormat="1" spans="6:6">
      <c r="F29464" s="2423"/>
    </row>
    <row r="29465" s="101" customFormat="1" spans="6:6">
      <c r="F29465" s="2423"/>
    </row>
    <row r="29466" s="101" customFormat="1" spans="6:6">
      <c r="F29466" s="2423"/>
    </row>
    <row r="29467" s="101" customFormat="1" spans="6:6">
      <c r="F29467" s="2423"/>
    </row>
    <row r="29468" s="101" customFormat="1" spans="6:6">
      <c r="F29468" s="2423"/>
    </row>
    <row r="29469" s="101" customFormat="1" spans="6:6">
      <c r="F29469" s="2423"/>
    </row>
    <row r="29470" s="101" customFormat="1" spans="6:6">
      <c r="F29470" s="2423"/>
    </row>
    <row r="29471" s="101" customFormat="1" spans="6:6">
      <c r="F29471" s="2423"/>
    </row>
    <row r="29472" s="101" customFormat="1" spans="6:6">
      <c r="F29472" s="2423"/>
    </row>
    <row r="29473" s="101" customFormat="1" spans="6:6">
      <c r="F29473" s="2423"/>
    </row>
    <row r="29474" s="101" customFormat="1" spans="6:6">
      <c r="F29474" s="2423"/>
    </row>
    <row r="29475" s="101" customFormat="1" spans="6:6">
      <c r="F29475" s="2423"/>
    </row>
    <row r="29476" s="101" customFormat="1" spans="6:6">
      <c r="F29476" s="2423"/>
    </row>
    <row r="29477" s="101" customFormat="1" spans="6:6">
      <c r="F29477" s="2423"/>
    </row>
    <row r="29478" s="101" customFormat="1" spans="6:6">
      <c r="F29478" s="2423"/>
    </row>
    <row r="29479" s="101" customFormat="1" spans="6:6">
      <c r="F29479" s="2423"/>
    </row>
    <row r="29480" s="101" customFormat="1" spans="6:6">
      <c r="F29480" s="2423"/>
    </row>
    <row r="29481" s="101" customFormat="1" spans="6:6">
      <c r="F29481" s="2423"/>
    </row>
    <row r="29482" s="101" customFormat="1" spans="6:6">
      <c r="F29482" s="2423"/>
    </row>
    <row r="29483" s="101" customFormat="1" spans="6:6">
      <c r="F29483" s="2423"/>
    </row>
    <row r="29484" s="101" customFormat="1" spans="6:6">
      <c r="F29484" s="2423"/>
    </row>
    <row r="29485" s="101" customFormat="1" spans="6:6">
      <c r="F29485" s="2423"/>
    </row>
    <row r="29486" s="101" customFormat="1" spans="6:6">
      <c r="F29486" s="2423"/>
    </row>
    <row r="29487" s="101" customFormat="1" spans="6:6">
      <c r="F29487" s="2423"/>
    </row>
    <row r="29488" s="101" customFormat="1" spans="6:6">
      <c r="F29488" s="2423"/>
    </row>
    <row r="29489" s="101" customFormat="1" spans="6:6">
      <c r="F29489" s="2423"/>
    </row>
    <row r="29490" s="101" customFormat="1" spans="6:6">
      <c r="F29490" s="2423"/>
    </row>
    <row r="29491" s="101" customFormat="1" spans="6:6">
      <c r="F29491" s="2423"/>
    </row>
    <row r="29492" s="101" customFormat="1" spans="6:6">
      <c r="F29492" s="2423"/>
    </row>
    <row r="29493" s="101" customFormat="1" spans="6:6">
      <c r="F29493" s="2423"/>
    </row>
    <row r="29494" s="101" customFormat="1" spans="6:6">
      <c r="F29494" s="2423"/>
    </row>
    <row r="29495" s="101" customFormat="1" spans="6:6">
      <c r="F29495" s="2423"/>
    </row>
    <row r="29496" s="101" customFormat="1" spans="6:6">
      <c r="F29496" s="2423"/>
    </row>
    <row r="29497" s="101" customFormat="1" spans="6:6">
      <c r="F29497" s="2423"/>
    </row>
    <row r="29498" s="101" customFormat="1" spans="6:6">
      <c r="F29498" s="2423"/>
    </row>
    <row r="29499" s="101" customFormat="1" spans="6:6">
      <c r="F29499" s="2423"/>
    </row>
    <row r="29500" s="101" customFormat="1" spans="6:6">
      <c r="F29500" s="2423"/>
    </row>
    <row r="29501" s="101" customFormat="1" spans="6:6">
      <c r="F29501" s="2423"/>
    </row>
    <row r="29502" s="101" customFormat="1" spans="6:6">
      <c r="F29502" s="2423"/>
    </row>
    <row r="29503" s="101" customFormat="1" spans="6:6">
      <c r="F29503" s="2423"/>
    </row>
    <row r="29504" s="101" customFormat="1" spans="6:6">
      <c r="F29504" s="2423"/>
    </row>
    <row r="29505" s="101" customFormat="1" spans="6:6">
      <c r="F29505" s="2423"/>
    </row>
    <row r="29506" s="101" customFormat="1" spans="6:6">
      <c r="F29506" s="2423"/>
    </row>
    <row r="29507" s="101" customFormat="1" spans="6:6">
      <c r="F29507" s="2423"/>
    </row>
    <row r="29508" s="101" customFormat="1" spans="6:6">
      <c r="F29508" s="2423"/>
    </row>
    <row r="29509" s="101" customFormat="1" spans="6:6">
      <c r="F29509" s="2423"/>
    </row>
    <row r="29510" s="101" customFormat="1" spans="6:6">
      <c r="F29510" s="2423"/>
    </row>
    <row r="29511" s="101" customFormat="1" spans="6:6">
      <c r="F29511" s="2423"/>
    </row>
    <row r="29512" s="101" customFormat="1" spans="6:6">
      <c r="F29512" s="2423"/>
    </row>
    <row r="29513" s="101" customFormat="1" spans="6:6">
      <c r="F29513" s="2423"/>
    </row>
    <row r="29514" s="101" customFormat="1" spans="6:6">
      <c r="F29514" s="2423"/>
    </row>
    <row r="29515" s="101" customFormat="1" spans="6:6">
      <c r="F29515" s="2423"/>
    </row>
    <row r="29516" s="101" customFormat="1" spans="6:6">
      <c r="F29516" s="2423"/>
    </row>
    <row r="29517" s="101" customFormat="1" spans="6:6">
      <c r="F29517" s="2423"/>
    </row>
    <row r="29518" s="101" customFormat="1" spans="6:6">
      <c r="F29518" s="2423"/>
    </row>
    <row r="29519" s="101" customFormat="1" spans="6:6">
      <c r="F29519" s="2423"/>
    </row>
    <row r="29520" s="101" customFormat="1" spans="6:6">
      <c r="F29520" s="2423"/>
    </row>
    <row r="29521" s="101" customFormat="1" spans="6:6">
      <c r="F29521" s="2423"/>
    </row>
    <row r="29522" s="101" customFormat="1" spans="6:6">
      <c r="F29522" s="2423"/>
    </row>
    <row r="29523" s="101" customFormat="1" spans="6:6">
      <c r="F29523" s="2423"/>
    </row>
    <row r="29524" s="101" customFormat="1" spans="6:6">
      <c r="F29524" s="2423"/>
    </row>
    <row r="29525" s="101" customFormat="1" spans="6:6">
      <c r="F29525" s="2423"/>
    </row>
    <row r="29526" s="101" customFormat="1" spans="6:6">
      <c r="F29526" s="2423"/>
    </row>
    <row r="29527" s="101" customFormat="1" spans="6:6">
      <c r="F29527" s="2423"/>
    </row>
    <row r="29528" s="101" customFormat="1" spans="6:6">
      <c r="F29528" s="2423"/>
    </row>
    <row r="29529" s="101" customFormat="1" spans="6:6">
      <c r="F29529" s="2423"/>
    </row>
    <row r="29530" s="101" customFormat="1" spans="6:6">
      <c r="F29530" s="2423"/>
    </row>
    <row r="29531" s="101" customFormat="1" spans="6:6">
      <c r="F29531" s="2423"/>
    </row>
    <row r="29532" s="101" customFormat="1" spans="6:6">
      <c r="F29532" s="2423"/>
    </row>
    <row r="29533" s="101" customFormat="1" spans="6:6">
      <c r="F29533" s="2423"/>
    </row>
    <row r="29534" s="101" customFormat="1" spans="6:6">
      <c r="F29534" s="2423"/>
    </row>
    <row r="29535" s="101" customFormat="1" spans="6:6">
      <c r="F29535" s="2423"/>
    </row>
    <row r="29536" s="101" customFormat="1" spans="6:6">
      <c r="F29536" s="2423"/>
    </row>
    <row r="29537" s="101" customFormat="1" spans="6:6">
      <c r="F29537" s="2423"/>
    </row>
    <row r="29538" s="101" customFormat="1" spans="6:6">
      <c r="F29538" s="2423"/>
    </row>
    <row r="29539" s="101" customFormat="1" spans="6:6">
      <c r="F29539" s="2423"/>
    </row>
    <row r="29540" s="101" customFormat="1" spans="6:6">
      <c r="F29540" s="2423"/>
    </row>
    <row r="29541" s="101" customFormat="1" spans="6:6">
      <c r="F29541" s="2423"/>
    </row>
    <row r="29542" s="101" customFormat="1" spans="6:6">
      <c r="F29542" s="2423"/>
    </row>
    <row r="29543" s="101" customFormat="1" spans="6:6">
      <c r="F29543" s="2423"/>
    </row>
    <row r="29544" s="101" customFormat="1" spans="6:6">
      <c r="F29544" s="2423"/>
    </row>
    <row r="29545" s="101" customFormat="1" spans="6:6">
      <c r="F29545" s="2423"/>
    </row>
    <row r="29546" s="101" customFormat="1" spans="6:6">
      <c r="F29546" s="2423"/>
    </row>
    <row r="29547" s="101" customFormat="1" spans="6:6">
      <c r="F29547" s="2423"/>
    </row>
    <row r="29548" s="101" customFormat="1" spans="6:6">
      <c r="F29548" s="2423"/>
    </row>
    <row r="29549" s="101" customFormat="1" spans="6:6">
      <c r="F29549" s="2423"/>
    </row>
    <row r="29550" s="101" customFormat="1" spans="6:6">
      <c r="F29550" s="2423"/>
    </row>
    <row r="29551" s="101" customFormat="1" spans="6:6">
      <c r="F29551" s="2423"/>
    </row>
    <row r="29552" s="101" customFormat="1" spans="6:6">
      <c r="F29552" s="2423"/>
    </row>
    <row r="29553" s="101" customFormat="1" spans="6:6">
      <c r="F29553" s="2423"/>
    </row>
    <row r="29554" s="101" customFormat="1" spans="6:6">
      <c r="F29554" s="2423"/>
    </row>
    <row r="29555" s="101" customFormat="1" spans="6:6">
      <c r="F29555" s="2423"/>
    </row>
    <row r="29556" s="101" customFormat="1" spans="6:6">
      <c r="F29556" s="2423"/>
    </row>
    <row r="29557" s="101" customFormat="1" spans="6:6">
      <c r="F29557" s="2423"/>
    </row>
    <row r="29558" s="101" customFormat="1" spans="6:6">
      <c r="F29558" s="2423"/>
    </row>
    <row r="29559" s="101" customFormat="1" spans="6:6">
      <c r="F29559" s="2423"/>
    </row>
    <row r="29560" s="101" customFormat="1" spans="6:6">
      <c r="F29560" s="2423"/>
    </row>
    <row r="29561" s="101" customFormat="1" spans="6:6">
      <c r="F29561" s="2423"/>
    </row>
    <row r="29562" s="101" customFormat="1" spans="6:6">
      <c r="F29562" s="2423"/>
    </row>
    <row r="29563" s="101" customFormat="1" spans="6:6">
      <c r="F29563" s="2423"/>
    </row>
    <row r="29564" s="101" customFormat="1" spans="6:6">
      <c r="F29564" s="2423"/>
    </row>
    <row r="29565" s="101" customFormat="1" spans="6:6">
      <c r="F29565" s="2423"/>
    </row>
    <row r="29566" s="101" customFormat="1" spans="6:6">
      <c r="F29566" s="2423"/>
    </row>
    <row r="29567" s="101" customFormat="1" spans="6:6">
      <c r="F29567" s="2423"/>
    </row>
    <row r="29568" s="101" customFormat="1" spans="6:6">
      <c r="F29568" s="2423"/>
    </row>
    <row r="29569" s="101" customFormat="1" spans="6:6">
      <c r="F29569" s="2423"/>
    </row>
    <row r="29570" s="101" customFormat="1" spans="6:6">
      <c r="F29570" s="2423"/>
    </row>
    <row r="29571" s="101" customFormat="1" spans="6:6">
      <c r="F29571" s="2423"/>
    </row>
    <row r="29572" s="101" customFormat="1" spans="6:6">
      <c r="F29572" s="2423"/>
    </row>
    <row r="29573" s="101" customFormat="1" spans="6:6">
      <c r="F29573" s="2423"/>
    </row>
    <row r="29574" s="101" customFormat="1" spans="6:6">
      <c r="F29574" s="2423"/>
    </row>
    <row r="29575" s="101" customFormat="1" spans="6:6">
      <c r="F29575" s="2423"/>
    </row>
    <row r="29576" s="101" customFormat="1" spans="6:6">
      <c r="F29576" s="2423"/>
    </row>
    <row r="29577" s="101" customFormat="1" spans="6:6">
      <c r="F29577" s="2423"/>
    </row>
    <row r="29578" s="101" customFormat="1" spans="6:6">
      <c r="F29578" s="2423"/>
    </row>
    <row r="29579" s="101" customFormat="1" spans="6:6">
      <c r="F29579" s="2423"/>
    </row>
    <row r="29580" s="101" customFormat="1" spans="6:6">
      <c r="F29580" s="2423"/>
    </row>
    <row r="29581" s="101" customFormat="1" spans="6:6">
      <c r="F29581" s="2423"/>
    </row>
    <row r="29582" s="101" customFormat="1" spans="6:6">
      <c r="F29582" s="2423"/>
    </row>
    <row r="29583" s="101" customFormat="1" spans="6:6">
      <c r="F29583" s="2423"/>
    </row>
    <row r="29584" s="101" customFormat="1" spans="6:6">
      <c r="F29584" s="2423"/>
    </row>
    <row r="29585" s="101" customFormat="1" spans="6:6">
      <c r="F29585" s="2423"/>
    </row>
    <row r="29586" s="101" customFormat="1" spans="6:6">
      <c r="F29586" s="2423"/>
    </row>
    <row r="29587" s="101" customFormat="1" spans="6:6">
      <c r="F29587" s="2423"/>
    </row>
    <row r="29588" s="101" customFormat="1" spans="6:6">
      <c r="F29588" s="2423"/>
    </row>
    <row r="29589" s="101" customFormat="1" spans="6:6">
      <c r="F29589" s="2423"/>
    </row>
    <row r="29590" s="101" customFormat="1" spans="6:6">
      <c r="F29590" s="2423"/>
    </row>
    <row r="29591" s="101" customFormat="1" spans="6:6">
      <c r="F29591" s="2423"/>
    </row>
    <row r="29592" s="101" customFormat="1" spans="6:6">
      <c r="F29592" s="2423"/>
    </row>
    <row r="29593" s="101" customFormat="1" spans="6:6">
      <c r="F29593" s="2423"/>
    </row>
    <row r="29594" s="101" customFormat="1" spans="6:6">
      <c r="F29594" s="2423"/>
    </row>
    <row r="29595" s="101" customFormat="1" spans="6:6">
      <c r="F29595" s="2423"/>
    </row>
    <row r="29596" s="101" customFormat="1" spans="6:6">
      <c r="F29596" s="2423"/>
    </row>
    <row r="29597" s="101" customFormat="1" spans="6:6">
      <c r="F29597" s="2423"/>
    </row>
    <row r="29598" s="101" customFormat="1" spans="6:6">
      <c r="F29598" s="2423"/>
    </row>
    <row r="29599" s="101" customFormat="1" spans="6:6">
      <c r="F29599" s="2423"/>
    </row>
    <row r="29600" s="101" customFormat="1" spans="6:6">
      <c r="F29600" s="2423"/>
    </row>
    <row r="29601" s="101" customFormat="1" spans="6:6">
      <c r="F29601" s="2423"/>
    </row>
    <row r="29602" s="101" customFormat="1" spans="6:6">
      <c r="F29602" s="2423"/>
    </row>
    <row r="29603" s="101" customFormat="1" spans="6:6">
      <c r="F29603" s="2423"/>
    </row>
    <row r="29604" s="101" customFormat="1" spans="6:6">
      <c r="F29604" s="2423"/>
    </row>
    <row r="29605" s="101" customFormat="1" spans="6:6">
      <c r="F29605" s="2423"/>
    </row>
    <row r="29606" s="101" customFormat="1" spans="6:6">
      <c r="F29606" s="2423"/>
    </row>
    <row r="29607" s="101" customFormat="1" spans="6:6">
      <c r="F29607" s="2423"/>
    </row>
    <row r="29608" s="101" customFormat="1" spans="6:6">
      <c r="F29608" s="2423"/>
    </row>
    <row r="29609" s="101" customFormat="1" spans="6:6">
      <c r="F29609" s="2423"/>
    </row>
    <row r="29610" s="101" customFormat="1" spans="6:6">
      <c r="F29610" s="2423"/>
    </row>
    <row r="29611" s="101" customFormat="1" spans="6:6">
      <c r="F29611" s="2423"/>
    </row>
    <row r="29612" s="101" customFormat="1" spans="6:6">
      <c r="F29612" s="2423"/>
    </row>
    <row r="29613" s="101" customFormat="1" spans="6:6">
      <c r="F29613" s="2423"/>
    </row>
    <row r="29614" s="101" customFormat="1" spans="6:6">
      <c r="F29614" s="2423"/>
    </row>
    <row r="29615" s="101" customFormat="1" spans="6:6">
      <c r="F29615" s="2423"/>
    </row>
    <row r="29616" s="101" customFormat="1" spans="6:6">
      <c r="F29616" s="2423"/>
    </row>
    <row r="29617" s="101" customFormat="1" spans="6:6">
      <c r="F29617" s="2423"/>
    </row>
    <row r="29618" s="101" customFormat="1" spans="6:6">
      <c r="F29618" s="2423"/>
    </row>
    <row r="29619" s="101" customFormat="1" spans="6:6">
      <c r="F29619" s="2423"/>
    </row>
    <row r="29620" s="101" customFormat="1" spans="6:6">
      <c r="F29620" s="2423"/>
    </row>
    <row r="29621" s="101" customFormat="1" spans="6:6">
      <c r="F29621" s="2423"/>
    </row>
    <row r="29622" s="101" customFormat="1" spans="6:6">
      <c r="F29622" s="2423"/>
    </row>
    <row r="29623" s="101" customFormat="1" spans="6:6">
      <c r="F29623" s="2423"/>
    </row>
    <row r="29624" s="101" customFormat="1" spans="6:6">
      <c r="F29624" s="2423"/>
    </row>
    <row r="29625" s="101" customFormat="1" spans="6:6">
      <c r="F29625" s="2423"/>
    </row>
    <row r="29626" s="101" customFormat="1" spans="6:6">
      <c r="F29626" s="2423"/>
    </row>
    <row r="29627" s="101" customFormat="1" spans="6:6">
      <c r="F29627" s="2423"/>
    </row>
    <row r="29628" s="101" customFormat="1" spans="6:6">
      <c r="F29628" s="2423"/>
    </row>
    <row r="29629" s="101" customFormat="1" spans="6:6">
      <c r="F29629" s="2423"/>
    </row>
    <row r="29630" s="101" customFormat="1" spans="6:6">
      <c r="F29630" s="2423"/>
    </row>
    <row r="29631" s="101" customFormat="1" spans="6:6">
      <c r="F29631" s="2423"/>
    </row>
    <row r="29632" s="101" customFormat="1" spans="6:6">
      <c r="F29632" s="2423"/>
    </row>
    <row r="29633" s="101" customFormat="1" spans="6:6">
      <c r="F29633" s="2423"/>
    </row>
    <row r="29634" s="101" customFormat="1" spans="6:6">
      <c r="F29634" s="2423"/>
    </row>
    <row r="29635" s="101" customFormat="1" spans="6:6">
      <c r="F29635" s="2423"/>
    </row>
    <row r="29636" s="101" customFormat="1" spans="6:6">
      <c r="F29636" s="2423"/>
    </row>
    <row r="29637" s="101" customFormat="1" spans="6:6">
      <c r="F29637" s="2423"/>
    </row>
    <row r="29638" s="101" customFormat="1" spans="6:6">
      <c r="F29638" s="2423"/>
    </row>
    <row r="29639" s="101" customFormat="1" spans="6:6">
      <c r="F29639" s="2423"/>
    </row>
    <row r="29640" s="101" customFormat="1" spans="6:6">
      <c r="F29640" s="2423"/>
    </row>
    <row r="29641" s="101" customFormat="1" spans="6:6">
      <c r="F29641" s="2423"/>
    </row>
    <row r="29642" s="101" customFormat="1" spans="6:6">
      <c r="F29642" s="2423"/>
    </row>
    <row r="29643" s="101" customFormat="1" spans="6:6">
      <c r="F29643" s="2423"/>
    </row>
    <row r="29644" s="101" customFormat="1" spans="6:6">
      <c r="F29644" s="2423"/>
    </row>
    <row r="29645" s="101" customFormat="1" spans="6:6">
      <c r="F29645" s="2423"/>
    </row>
    <row r="29646" s="101" customFormat="1" spans="6:6">
      <c r="F29646" s="2423"/>
    </row>
    <row r="29647" s="101" customFormat="1" spans="6:6">
      <c r="F29647" s="2423"/>
    </row>
    <row r="29648" s="101" customFormat="1" spans="6:6">
      <c r="F29648" s="2423"/>
    </row>
    <row r="29649" s="101" customFormat="1" spans="6:6">
      <c r="F29649" s="2423"/>
    </row>
    <row r="29650" s="101" customFormat="1" spans="6:6">
      <c r="F29650" s="2423"/>
    </row>
    <row r="29651" s="101" customFormat="1" spans="6:6">
      <c r="F29651" s="2423"/>
    </row>
    <row r="29652" s="101" customFormat="1" spans="6:6">
      <c r="F29652" s="2423"/>
    </row>
    <row r="29653" s="101" customFormat="1" spans="6:6">
      <c r="F29653" s="2423"/>
    </row>
    <row r="29654" s="101" customFormat="1" spans="6:6">
      <c r="F29654" s="2423"/>
    </row>
    <row r="29655" s="101" customFormat="1" spans="6:6">
      <c r="F29655" s="2423"/>
    </row>
    <row r="29656" s="101" customFormat="1" spans="6:6">
      <c r="F29656" s="2423"/>
    </row>
    <row r="29657" s="101" customFormat="1" spans="6:6">
      <c r="F29657" s="2423"/>
    </row>
    <row r="29658" s="101" customFormat="1" spans="6:6">
      <c r="F29658" s="2423"/>
    </row>
    <row r="29659" s="101" customFormat="1" spans="6:6">
      <c r="F29659" s="2423"/>
    </row>
    <row r="29660" s="101" customFormat="1" spans="6:6">
      <c r="F29660" s="2423"/>
    </row>
    <row r="29661" s="101" customFormat="1" spans="6:6">
      <c r="F29661" s="2423"/>
    </row>
    <row r="29662" s="101" customFormat="1" spans="6:6">
      <c r="F29662" s="2423"/>
    </row>
    <row r="29663" s="101" customFormat="1" spans="6:6">
      <c r="F29663" s="2423"/>
    </row>
    <row r="29664" s="101" customFormat="1" spans="6:6">
      <c r="F29664" s="2423"/>
    </row>
    <row r="29665" s="101" customFormat="1" spans="6:6">
      <c r="F29665" s="2423"/>
    </row>
    <row r="29666" s="101" customFormat="1" spans="6:6">
      <c r="F29666" s="2423"/>
    </row>
    <row r="29667" s="101" customFormat="1" spans="6:6">
      <c r="F29667" s="2423"/>
    </row>
    <row r="29668" s="101" customFormat="1" spans="6:6">
      <c r="F29668" s="2423"/>
    </row>
    <row r="29669" s="101" customFormat="1" spans="6:6">
      <c r="F29669" s="2423"/>
    </row>
    <row r="29670" s="101" customFormat="1" spans="6:6">
      <c r="F29670" s="2423"/>
    </row>
    <row r="29671" s="101" customFormat="1" spans="6:6">
      <c r="F29671" s="2423"/>
    </row>
    <row r="29672" s="101" customFormat="1" spans="6:6">
      <c r="F29672" s="2423"/>
    </row>
    <row r="29673" s="101" customFormat="1" spans="6:6">
      <c r="F29673" s="2423"/>
    </row>
    <row r="29674" s="101" customFormat="1" spans="6:6">
      <c r="F29674" s="2423"/>
    </row>
    <row r="29675" s="101" customFormat="1" spans="6:6">
      <c r="F29675" s="2423"/>
    </row>
    <row r="29676" s="101" customFormat="1" spans="6:6">
      <c r="F29676" s="2423"/>
    </row>
    <row r="29677" s="101" customFormat="1" spans="6:6">
      <c r="F29677" s="2423"/>
    </row>
    <row r="29678" s="101" customFormat="1" spans="6:6">
      <c r="F29678" s="2423"/>
    </row>
    <row r="29679" s="101" customFormat="1" spans="6:6">
      <c r="F29679" s="2423"/>
    </row>
    <row r="29680" s="101" customFormat="1" spans="6:6">
      <c r="F29680" s="2423"/>
    </row>
    <row r="29681" s="101" customFormat="1" spans="6:6">
      <c r="F29681" s="2423"/>
    </row>
    <row r="29682" s="101" customFormat="1" spans="6:6">
      <c r="F29682" s="2423"/>
    </row>
    <row r="29683" s="101" customFormat="1" spans="6:6">
      <c r="F29683" s="2423"/>
    </row>
    <row r="29684" s="101" customFormat="1" spans="6:6">
      <c r="F29684" s="2423"/>
    </row>
    <row r="29685" s="101" customFormat="1" spans="6:6">
      <c r="F29685" s="2423"/>
    </row>
    <row r="29686" s="101" customFormat="1" spans="6:6">
      <c r="F29686" s="2423"/>
    </row>
    <row r="29687" s="101" customFormat="1" spans="6:6">
      <c r="F29687" s="2423"/>
    </row>
    <row r="29688" s="101" customFormat="1" spans="6:6">
      <c r="F29688" s="2423"/>
    </row>
    <row r="29689" s="101" customFormat="1" spans="6:6">
      <c r="F29689" s="2423"/>
    </row>
    <row r="29690" s="101" customFormat="1" spans="6:6">
      <c r="F29690" s="2423"/>
    </row>
    <row r="29691" s="101" customFormat="1" spans="6:6">
      <c r="F29691" s="2423"/>
    </row>
    <row r="29692" s="101" customFormat="1" spans="6:6">
      <c r="F29692" s="2423"/>
    </row>
    <row r="29693" s="101" customFormat="1" spans="6:6">
      <c r="F29693" s="2423"/>
    </row>
    <row r="29694" s="101" customFormat="1" spans="6:6">
      <c r="F29694" s="2423"/>
    </row>
    <row r="29695" s="101" customFormat="1" spans="6:6">
      <c r="F29695" s="2423"/>
    </row>
    <row r="29696" s="101" customFormat="1" spans="6:6">
      <c r="F29696" s="2423"/>
    </row>
    <row r="29697" s="101" customFormat="1" spans="6:6">
      <c r="F29697" s="2423"/>
    </row>
    <row r="29698" s="101" customFormat="1" spans="6:6">
      <c r="F29698" s="2423"/>
    </row>
    <row r="29699" s="101" customFormat="1" spans="6:6">
      <c r="F29699" s="2423"/>
    </row>
    <row r="29700" s="101" customFormat="1" spans="6:6">
      <c r="F29700" s="2423"/>
    </row>
    <row r="29701" s="101" customFormat="1" spans="6:6">
      <c r="F29701" s="2423"/>
    </row>
    <row r="29702" s="101" customFormat="1" spans="6:6">
      <c r="F29702" s="2423"/>
    </row>
    <row r="29703" s="101" customFormat="1" spans="6:6">
      <c r="F29703" s="2423"/>
    </row>
    <row r="29704" s="101" customFormat="1" spans="6:6">
      <c r="F29704" s="2423"/>
    </row>
    <row r="29705" s="101" customFormat="1" spans="6:6">
      <c r="F29705" s="2423"/>
    </row>
    <row r="29706" s="101" customFormat="1" spans="6:6">
      <c r="F29706" s="2423"/>
    </row>
    <row r="29707" s="101" customFormat="1" spans="6:6">
      <c r="F29707" s="2423"/>
    </row>
    <row r="29708" s="101" customFormat="1" spans="6:6">
      <c r="F29708" s="2423"/>
    </row>
    <row r="29709" s="101" customFormat="1" spans="6:6">
      <c r="F29709" s="2423"/>
    </row>
    <row r="29710" s="101" customFormat="1" spans="6:6">
      <c r="F29710" s="2423"/>
    </row>
    <row r="29711" s="101" customFormat="1" spans="6:6">
      <c r="F29711" s="2423"/>
    </row>
    <row r="29712" s="101" customFormat="1" spans="6:6">
      <c r="F29712" s="2423"/>
    </row>
    <row r="29713" s="101" customFormat="1" spans="6:6">
      <c r="F29713" s="2423"/>
    </row>
    <row r="29714" s="101" customFormat="1" spans="6:6">
      <c r="F29714" s="2423"/>
    </row>
    <row r="29715" s="101" customFormat="1" spans="6:6">
      <c r="F29715" s="2423"/>
    </row>
    <row r="29716" s="101" customFormat="1" spans="6:6">
      <c r="F29716" s="2423"/>
    </row>
    <row r="29717" s="101" customFormat="1" spans="6:6">
      <c r="F29717" s="2423"/>
    </row>
    <row r="29718" s="101" customFormat="1" spans="6:6">
      <c r="F29718" s="2423"/>
    </row>
    <row r="29719" s="101" customFormat="1" spans="6:6">
      <c r="F29719" s="2423"/>
    </row>
    <row r="29720" s="101" customFormat="1" spans="6:6">
      <c r="F29720" s="2423"/>
    </row>
    <row r="29721" s="101" customFormat="1" spans="6:6">
      <c r="F29721" s="2423"/>
    </row>
    <row r="29722" s="101" customFormat="1" spans="6:6">
      <c r="F29722" s="2423"/>
    </row>
    <row r="29723" s="101" customFormat="1" spans="6:6">
      <c r="F29723" s="2423"/>
    </row>
    <row r="29724" s="101" customFormat="1" spans="6:6">
      <c r="F29724" s="2423"/>
    </row>
    <row r="29725" s="101" customFormat="1" spans="6:6">
      <c r="F29725" s="2423"/>
    </row>
    <row r="29726" s="101" customFormat="1" spans="6:6">
      <c r="F29726" s="2423"/>
    </row>
    <row r="29727" s="101" customFormat="1" spans="6:6">
      <c r="F29727" s="2423"/>
    </row>
    <row r="29728" s="101" customFormat="1" spans="6:6">
      <c r="F29728" s="2423"/>
    </row>
    <row r="29729" s="101" customFormat="1" spans="6:6">
      <c r="F29729" s="2423"/>
    </row>
    <row r="29730" s="101" customFormat="1" spans="6:6">
      <c r="F29730" s="2423"/>
    </row>
    <row r="29731" s="101" customFormat="1" spans="6:6">
      <c r="F29731" s="2423"/>
    </row>
    <row r="29732" s="101" customFormat="1" spans="6:6">
      <c r="F29732" s="2423"/>
    </row>
    <row r="29733" s="101" customFormat="1" spans="6:6">
      <c r="F29733" s="2423"/>
    </row>
    <row r="29734" s="101" customFormat="1" spans="6:6">
      <c r="F29734" s="2423"/>
    </row>
    <row r="29735" s="101" customFormat="1" spans="6:6">
      <c r="F29735" s="2423"/>
    </row>
    <row r="29736" s="101" customFormat="1" spans="6:6">
      <c r="F29736" s="2423"/>
    </row>
    <row r="29737" s="101" customFormat="1" spans="6:6">
      <c r="F29737" s="2423"/>
    </row>
    <row r="29738" s="101" customFormat="1" spans="6:6">
      <c r="F29738" s="2423"/>
    </row>
    <row r="29739" s="101" customFormat="1" spans="6:6">
      <c r="F29739" s="2423"/>
    </row>
    <row r="29740" s="101" customFormat="1" spans="6:6">
      <c r="F29740" s="2423"/>
    </row>
    <row r="29741" s="101" customFormat="1" spans="6:6">
      <c r="F29741" s="2423"/>
    </row>
    <row r="29742" s="101" customFormat="1" spans="6:6">
      <c r="F29742" s="2423"/>
    </row>
    <row r="29743" s="101" customFormat="1" spans="6:6">
      <c r="F29743" s="2423"/>
    </row>
    <row r="29744" s="101" customFormat="1" spans="6:6">
      <c r="F29744" s="2423"/>
    </row>
    <row r="29745" s="101" customFormat="1" spans="6:6">
      <c r="F29745" s="2423"/>
    </row>
    <row r="29746" s="101" customFormat="1" spans="6:6">
      <c r="F29746" s="2423"/>
    </row>
    <row r="29747" s="101" customFormat="1" spans="6:6">
      <c r="F29747" s="2423"/>
    </row>
    <row r="29748" s="101" customFormat="1" spans="6:6">
      <c r="F29748" s="2423"/>
    </row>
    <row r="29749" s="101" customFormat="1" spans="6:6">
      <c r="F29749" s="2423"/>
    </row>
    <row r="29750" s="101" customFormat="1" spans="6:6">
      <c r="F29750" s="2423"/>
    </row>
    <row r="29751" s="101" customFormat="1" spans="6:6">
      <c r="F29751" s="2423"/>
    </row>
    <row r="29752" s="101" customFormat="1" spans="6:6">
      <c r="F29752" s="2423"/>
    </row>
    <row r="29753" s="101" customFormat="1" spans="6:6">
      <c r="F29753" s="2423"/>
    </row>
    <row r="29754" s="101" customFormat="1" spans="6:6">
      <c r="F29754" s="2423"/>
    </row>
    <row r="29755" s="101" customFormat="1" spans="6:6">
      <c r="F29755" s="2423"/>
    </row>
    <row r="29756" s="101" customFormat="1" spans="6:6">
      <c r="F29756" s="2423"/>
    </row>
    <row r="29757" s="101" customFormat="1" spans="6:6">
      <c r="F29757" s="2423"/>
    </row>
    <row r="29758" s="101" customFormat="1" spans="6:6">
      <c r="F29758" s="2423"/>
    </row>
    <row r="29759" s="101" customFormat="1" spans="6:6">
      <c r="F29759" s="2423"/>
    </row>
    <row r="29760" s="101" customFormat="1" spans="6:6">
      <c r="F29760" s="2423"/>
    </row>
    <row r="29761" s="101" customFormat="1" spans="6:6">
      <c r="F29761" s="2423"/>
    </row>
    <row r="29762" s="101" customFormat="1" spans="6:6">
      <c r="F29762" s="2423"/>
    </row>
    <row r="29763" s="101" customFormat="1" spans="6:6">
      <c r="F29763" s="2423"/>
    </row>
    <row r="29764" s="101" customFormat="1" spans="6:6">
      <c r="F29764" s="2423"/>
    </row>
    <row r="29765" s="101" customFormat="1" spans="6:6">
      <c r="F29765" s="2423"/>
    </row>
    <row r="29766" s="101" customFormat="1" spans="6:6">
      <c r="F29766" s="2423"/>
    </row>
    <row r="29767" s="101" customFormat="1" spans="6:6">
      <c r="F29767" s="2423"/>
    </row>
    <row r="29768" s="101" customFormat="1" spans="6:6">
      <c r="F29768" s="2423"/>
    </row>
    <row r="29769" s="101" customFormat="1" spans="6:6">
      <c r="F29769" s="2423"/>
    </row>
    <row r="29770" s="101" customFormat="1" spans="6:6">
      <c r="F29770" s="2423"/>
    </row>
    <row r="29771" s="101" customFormat="1" spans="6:6">
      <c r="F29771" s="2423"/>
    </row>
    <row r="29772" s="101" customFormat="1" spans="6:6">
      <c r="F29772" s="2423"/>
    </row>
    <row r="29773" s="101" customFormat="1" spans="6:6">
      <c r="F29773" s="2423"/>
    </row>
    <row r="29774" s="101" customFormat="1" spans="6:6">
      <c r="F29774" s="2423"/>
    </row>
    <row r="29775" s="101" customFormat="1" spans="6:6">
      <c r="F29775" s="2423"/>
    </row>
    <row r="29776" s="101" customFormat="1" spans="6:6">
      <c r="F29776" s="2423"/>
    </row>
    <row r="29777" s="101" customFormat="1" spans="6:6">
      <c r="F29777" s="2423"/>
    </row>
    <row r="29778" s="101" customFormat="1" spans="6:6">
      <c r="F29778" s="2423"/>
    </row>
    <row r="29779" s="101" customFormat="1" spans="6:6">
      <c r="F29779" s="2423"/>
    </row>
    <row r="29780" s="101" customFormat="1" spans="6:6">
      <c r="F29780" s="2423"/>
    </row>
    <row r="29781" s="101" customFormat="1" spans="6:6">
      <c r="F29781" s="2423"/>
    </row>
    <row r="29782" s="101" customFormat="1" spans="6:6">
      <c r="F29782" s="2423"/>
    </row>
    <row r="29783" s="101" customFormat="1" spans="6:6">
      <c r="F29783" s="2423"/>
    </row>
    <row r="29784" s="101" customFormat="1" spans="6:6">
      <c r="F29784" s="2423"/>
    </row>
    <row r="29785" s="101" customFormat="1" spans="6:6">
      <c r="F29785" s="2423"/>
    </row>
    <row r="29786" s="101" customFormat="1" spans="6:6">
      <c r="F29786" s="2423"/>
    </row>
    <row r="29787" s="101" customFormat="1" spans="6:6">
      <c r="F29787" s="2423"/>
    </row>
    <row r="29788" s="101" customFormat="1" spans="6:6">
      <c r="F29788" s="2423"/>
    </row>
    <row r="29789" s="101" customFormat="1" spans="6:6">
      <c r="F29789" s="2423"/>
    </row>
    <row r="29790" s="101" customFormat="1" spans="6:6">
      <c r="F29790" s="2423"/>
    </row>
    <row r="29791" s="101" customFormat="1" spans="6:6">
      <c r="F29791" s="2423"/>
    </row>
    <row r="29792" s="101" customFormat="1" spans="6:6">
      <c r="F29792" s="2423"/>
    </row>
    <row r="29793" s="101" customFormat="1" spans="6:6">
      <c r="F29793" s="2423"/>
    </row>
    <row r="29794" s="101" customFormat="1" spans="6:6">
      <c r="F29794" s="2423"/>
    </row>
    <row r="29795" s="101" customFormat="1" spans="6:6">
      <c r="F29795" s="2423"/>
    </row>
    <row r="29796" s="101" customFormat="1" spans="6:6">
      <c r="F29796" s="2423"/>
    </row>
    <row r="29797" s="101" customFormat="1" spans="6:6">
      <c r="F29797" s="2423"/>
    </row>
    <row r="29798" s="101" customFormat="1" spans="6:6">
      <c r="F29798" s="2423"/>
    </row>
    <row r="29799" s="101" customFormat="1" spans="6:6">
      <c r="F29799" s="2423"/>
    </row>
    <row r="29800" s="101" customFormat="1" spans="6:6">
      <c r="F29800" s="2423"/>
    </row>
    <row r="29801" s="101" customFormat="1" spans="6:6">
      <c r="F29801" s="2423"/>
    </row>
    <row r="29802" s="101" customFormat="1" spans="6:6">
      <c r="F29802" s="2423"/>
    </row>
    <row r="29803" s="101" customFormat="1" spans="6:6">
      <c r="F29803" s="2423"/>
    </row>
    <row r="29804" s="101" customFormat="1" spans="6:6">
      <c r="F29804" s="2423"/>
    </row>
    <row r="29805" s="101" customFormat="1" spans="6:6">
      <c r="F29805" s="2423"/>
    </row>
    <row r="29806" s="101" customFormat="1" spans="6:6">
      <c r="F29806" s="2423"/>
    </row>
    <row r="29807" s="101" customFormat="1" spans="6:6">
      <c r="F29807" s="2423"/>
    </row>
    <row r="29808" s="101" customFormat="1" spans="6:6">
      <c r="F29808" s="2423"/>
    </row>
    <row r="29809" s="101" customFormat="1" spans="6:6">
      <c r="F29809" s="2423"/>
    </row>
    <row r="29810" s="101" customFormat="1" spans="6:6">
      <c r="F29810" s="2423"/>
    </row>
    <row r="29811" s="101" customFormat="1" spans="6:6">
      <c r="F29811" s="2423"/>
    </row>
    <row r="29812" s="101" customFormat="1" spans="6:6">
      <c r="F29812" s="2423"/>
    </row>
    <row r="29813" s="101" customFormat="1" spans="6:6">
      <c r="F29813" s="2423"/>
    </row>
    <row r="29814" s="101" customFormat="1" spans="6:6">
      <c r="F29814" s="2423"/>
    </row>
    <row r="29815" s="101" customFormat="1" spans="6:6">
      <c r="F29815" s="2423"/>
    </row>
    <row r="29816" s="101" customFormat="1" spans="6:6">
      <c r="F29816" s="2423"/>
    </row>
    <row r="29817" s="101" customFormat="1" spans="6:6">
      <c r="F29817" s="2423"/>
    </row>
    <row r="29818" s="101" customFormat="1" spans="6:6">
      <c r="F29818" s="2423"/>
    </row>
    <row r="29819" s="101" customFormat="1" spans="6:6">
      <c r="F29819" s="2423"/>
    </row>
    <row r="29820" s="101" customFormat="1" spans="6:6">
      <c r="F29820" s="2423"/>
    </row>
    <row r="29821" s="101" customFormat="1" spans="6:6">
      <c r="F29821" s="2423"/>
    </row>
    <row r="29822" s="101" customFormat="1" spans="6:6">
      <c r="F29822" s="2423"/>
    </row>
    <row r="29823" s="101" customFormat="1" spans="6:6">
      <c r="F29823" s="2423"/>
    </row>
    <row r="29824" s="101" customFormat="1" spans="6:6">
      <c r="F29824" s="2423"/>
    </row>
    <row r="29825" s="101" customFormat="1" spans="6:6">
      <c r="F29825" s="2423"/>
    </row>
    <row r="29826" s="101" customFormat="1" spans="6:6">
      <c r="F29826" s="2423"/>
    </row>
    <row r="29827" s="101" customFormat="1" spans="6:6">
      <c r="F29827" s="2423"/>
    </row>
    <row r="29828" s="101" customFormat="1" spans="6:6">
      <c r="F29828" s="2423"/>
    </row>
    <row r="29829" s="101" customFormat="1" spans="6:6">
      <c r="F29829" s="2423"/>
    </row>
    <row r="29830" s="101" customFormat="1" spans="6:6">
      <c r="F29830" s="2423"/>
    </row>
    <row r="29831" s="101" customFormat="1" spans="6:6">
      <c r="F29831" s="2423"/>
    </row>
    <row r="29832" s="101" customFormat="1" spans="6:6">
      <c r="F29832" s="2423"/>
    </row>
    <row r="29833" s="101" customFormat="1" spans="6:6">
      <c r="F29833" s="2423"/>
    </row>
    <row r="29834" s="101" customFormat="1" spans="6:6">
      <c r="F29834" s="2423"/>
    </row>
    <row r="29835" s="101" customFormat="1" spans="6:6">
      <c r="F29835" s="2423"/>
    </row>
    <row r="29836" s="101" customFormat="1" spans="6:6">
      <c r="F29836" s="2423"/>
    </row>
    <row r="29837" s="101" customFormat="1" spans="6:6">
      <c r="F29837" s="2423"/>
    </row>
    <row r="29838" s="101" customFormat="1" spans="6:6">
      <c r="F29838" s="2423"/>
    </row>
    <row r="29839" s="101" customFormat="1" spans="6:6">
      <c r="F29839" s="2423"/>
    </row>
    <row r="29840" s="101" customFormat="1" spans="6:6">
      <c r="F29840" s="2423"/>
    </row>
    <row r="29841" s="101" customFormat="1" spans="6:6">
      <c r="F29841" s="2423"/>
    </row>
    <row r="29842" s="101" customFormat="1" spans="6:6">
      <c r="F29842" s="2423"/>
    </row>
    <row r="29843" s="101" customFormat="1" spans="6:6">
      <c r="F29843" s="2423"/>
    </row>
    <row r="29844" s="101" customFormat="1" spans="6:6">
      <c r="F29844" s="2423"/>
    </row>
    <row r="29845" s="101" customFormat="1" spans="6:6">
      <c r="F29845" s="2423"/>
    </row>
    <row r="29846" s="101" customFormat="1" spans="6:6">
      <c r="F29846" s="2423"/>
    </row>
    <row r="29847" s="101" customFormat="1" spans="6:6">
      <c r="F29847" s="2423"/>
    </row>
    <row r="29848" s="101" customFormat="1" spans="6:6">
      <c r="F29848" s="2423"/>
    </row>
    <row r="29849" s="101" customFormat="1" spans="6:6">
      <c r="F29849" s="2423"/>
    </row>
    <row r="29850" s="101" customFormat="1" spans="6:6">
      <c r="F29850" s="2423"/>
    </row>
    <row r="29851" s="101" customFormat="1" spans="6:6">
      <c r="F29851" s="2423"/>
    </row>
    <row r="29852" s="101" customFormat="1" spans="6:6">
      <c r="F29852" s="2423"/>
    </row>
    <row r="29853" s="101" customFormat="1" spans="6:6">
      <c r="F29853" s="2423"/>
    </row>
    <row r="29854" s="101" customFormat="1" spans="6:6">
      <c r="F29854" s="2423"/>
    </row>
    <row r="29855" s="101" customFormat="1" spans="6:6">
      <c r="F29855" s="2423"/>
    </row>
    <row r="29856" s="101" customFormat="1" spans="6:6">
      <c r="F29856" s="2423"/>
    </row>
    <row r="29857" s="101" customFormat="1" spans="6:6">
      <c r="F29857" s="2423"/>
    </row>
    <row r="29858" s="101" customFormat="1" spans="6:6">
      <c r="F29858" s="2423"/>
    </row>
    <row r="29859" s="101" customFormat="1" spans="6:6">
      <c r="F29859" s="2423"/>
    </row>
    <row r="29860" s="101" customFormat="1" spans="6:6">
      <c r="F29860" s="2423"/>
    </row>
    <row r="29861" s="101" customFormat="1" spans="6:6">
      <c r="F29861" s="2423"/>
    </row>
    <row r="29862" s="101" customFormat="1" spans="6:6">
      <c r="F29862" s="2423"/>
    </row>
    <row r="29863" s="101" customFormat="1" spans="6:6">
      <c r="F29863" s="2423"/>
    </row>
    <row r="29864" s="101" customFormat="1" spans="6:6">
      <c r="F29864" s="2423"/>
    </row>
    <row r="29865" s="101" customFormat="1" spans="6:6">
      <c r="F29865" s="2423"/>
    </row>
    <row r="29866" s="101" customFormat="1" spans="6:6">
      <c r="F29866" s="2423"/>
    </row>
    <row r="29867" s="101" customFormat="1" spans="6:6">
      <c r="F29867" s="2423"/>
    </row>
    <row r="29868" s="101" customFormat="1" spans="6:6">
      <c r="F29868" s="2423"/>
    </row>
    <row r="29869" s="101" customFormat="1" spans="6:6">
      <c r="F29869" s="2423"/>
    </row>
    <row r="29870" s="101" customFormat="1" spans="6:6">
      <c r="F29870" s="2423"/>
    </row>
    <row r="29871" s="101" customFormat="1" spans="6:6">
      <c r="F29871" s="2423"/>
    </row>
    <row r="29872" s="101" customFormat="1" spans="6:6">
      <c r="F29872" s="2423"/>
    </row>
    <row r="29873" s="101" customFormat="1" spans="6:6">
      <c r="F29873" s="2423"/>
    </row>
    <row r="29874" s="101" customFormat="1" spans="6:6">
      <c r="F29874" s="2423"/>
    </row>
    <row r="29875" s="101" customFormat="1" spans="6:6">
      <c r="F29875" s="2423"/>
    </row>
    <row r="29876" s="101" customFormat="1" spans="6:6">
      <c r="F29876" s="2423"/>
    </row>
    <row r="29877" s="101" customFormat="1" spans="6:6">
      <c r="F29877" s="2423"/>
    </row>
    <row r="29878" s="101" customFormat="1" spans="6:6">
      <c r="F29878" s="2423"/>
    </row>
    <row r="29879" s="101" customFormat="1" spans="6:6">
      <c r="F29879" s="2423"/>
    </row>
    <row r="29880" s="101" customFormat="1" spans="6:6">
      <c r="F29880" s="2423"/>
    </row>
    <row r="29881" s="101" customFormat="1" spans="6:6">
      <c r="F29881" s="2423"/>
    </row>
    <row r="29882" s="101" customFormat="1" spans="6:6">
      <c r="F29882" s="2423"/>
    </row>
    <row r="29883" s="101" customFormat="1" spans="6:6">
      <c r="F29883" s="2423"/>
    </row>
    <row r="29884" s="101" customFormat="1" spans="6:6">
      <c r="F29884" s="2423"/>
    </row>
    <row r="29885" s="101" customFormat="1" spans="6:6">
      <c r="F29885" s="2423"/>
    </row>
    <row r="29886" s="101" customFormat="1" spans="6:6">
      <c r="F29886" s="2423"/>
    </row>
    <row r="29887" s="101" customFormat="1" spans="6:6">
      <c r="F29887" s="2423"/>
    </row>
    <row r="29888" s="101" customFormat="1" spans="6:6">
      <c r="F29888" s="2423"/>
    </row>
    <row r="29889" s="101" customFormat="1" spans="6:6">
      <c r="F29889" s="2423"/>
    </row>
    <row r="29890" s="101" customFormat="1" spans="6:6">
      <c r="F29890" s="2423"/>
    </row>
    <row r="29891" s="101" customFormat="1" spans="6:6">
      <c r="F29891" s="2423"/>
    </row>
    <row r="29892" s="101" customFormat="1" spans="6:6">
      <c r="F29892" s="2423"/>
    </row>
    <row r="29893" s="101" customFormat="1" spans="6:6">
      <c r="F29893" s="2423"/>
    </row>
    <row r="29894" s="101" customFormat="1" spans="6:6">
      <c r="F29894" s="2423"/>
    </row>
    <row r="29895" s="101" customFormat="1" spans="6:6">
      <c r="F29895" s="2423"/>
    </row>
    <row r="29896" s="101" customFormat="1" spans="6:6">
      <c r="F29896" s="2423"/>
    </row>
    <row r="29897" s="101" customFormat="1" spans="6:6">
      <c r="F29897" s="2423"/>
    </row>
    <row r="29898" s="101" customFormat="1" spans="6:6">
      <c r="F29898" s="2423"/>
    </row>
    <row r="29899" s="101" customFormat="1" spans="6:6">
      <c r="F29899" s="2423"/>
    </row>
    <row r="29900" s="101" customFormat="1" spans="6:6">
      <c r="F29900" s="2423"/>
    </row>
    <row r="29901" s="101" customFormat="1" spans="6:6">
      <c r="F29901" s="2423"/>
    </row>
    <row r="29902" s="101" customFormat="1" spans="6:6">
      <c r="F29902" s="2423"/>
    </row>
    <row r="29903" s="101" customFormat="1" spans="6:6">
      <c r="F29903" s="2423"/>
    </row>
    <row r="29904" s="101" customFormat="1" spans="6:6">
      <c r="F29904" s="2423"/>
    </row>
    <row r="29905" s="101" customFormat="1" spans="6:6">
      <c r="F29905" s="2423"/>
    </row>
    <row r="29906" s="101" customFormat="1" spans="6:6">
      <c r="F29906" s="2423"/>
    </row>
    <row r="29907" s="101" customFormat="1" spans="6:6">
      <c r="F29907" s="2423"/>
    </row>
    <row r="29908" s="101" customFormat="1" spans="6:6">
      <c r="F29908" s="2423"/>
    </row>
    <row r="29909" s="101" customFormat="1" spans="6:6">
      <c r="F29909" s="2423"/>
    </row>
    <row r="29910" s="101" customFormat="1" spans="6:6">
      <c r="F29910" s="2423"/>
    </row>
    <row r="29911" s="101" customFormat="1" spans="6:6">
      <c r="F29911" s="2423"/>
    </row>
    <row r="29912" s="101" customFormat="1" spans="6:6">
      <c r="F29912" s="2423"/>
    </row>
    <row r="29913" s="101" customFormat="1" spans="6:6">
      <c r="F29913" s="2423"/>
    </row>
    <row r="29914" s="101" customFormat="1" spans="6:6">
      <c r="F29914" s="2423"/>
    </row>
    <row r="29915" s="101" customFormat="1" spans="6:6">
      <c r="F29915" s="2423"/>
    </row>
    <row r="29916" s="101" customFormat="1" spans="6:6">
      <c r="F29916" s="2423"/>
    </row>
    <row r="29917" s="101" customFormat="1" spans="6:6">
      <c r="F29917" s="2423"/>
    </row>
    <row r="29918" s="101" customFormat="1" spans="6:6">
      <c r="F29918" s="2423"/>
    </row>
    <row r="29919" s="101" customFormat="1" spans="6:6">
      <c r="F29919" s="2423"/>
    </row>
    <row r="29920" s="101" customFormat="1" spans="6:6">
      <c r="F29920" s="2423"/>
    </row>
    <row r="29921" s="101" customFormat="1" spans="6:6">
      <c r="F29921" s="2423"/>
    </row>
    <row r="29922" s="101" customFormat="1" spans="6:6">
      <c r="F29922" s="2423"/>
    </row>
    <row r="29923" s="101" customFormat="1" spans="6:6">
      <c r="F29923" s="2423"/>
    </row>
    <row r="29924" s="101" customFormat="1" spans="6:6">
      <c r="F29924" s="2423"/>
    </row>
    <row r="29925" s="101" customFormat="1" spans="6:6">
      <c r="F29925" s="2423"/>
    </row>
    <row r="29926" s="101" customFormat="1" spans="6:6">
      <c r="F29926" s="2423"/>
    </row>
    <row r="29927" s="101" customFormat="1" spans="6:6">
      <c r="F29927" s="2423"/>
    </row>
    <row r="29928" s="101" customFormat="1" spans="6:6">
      <c r="F29928" s="2423"/>
    </row>
    <row r="29929" s="101" customFormat="1" spans="6:6">
      <c r="F29929" s="2423"/>
    </row>
    <row r="29930" s="101" customFormat="1" spans="6:6">
      <c r="F29930" s="2423"/>
    </row>
    <row r="29931" s="101" customFormat="1" spans="6:6">
      <c r="F29931" s="2423"/>
    </row>
    <row r="29932" s="101" customFormat="1" spans="6:6">
      <c r="F29932" s="2423"/>
    </row>
    <row r="29933" s="101" customFormat="1" spans="6:6">
      <c r="F29933" s="2423"/>
    </row>
    <row r="29934" s="101" customFormat="1" spans="6:6">
      <c r="F29934" s="2423"/>
    </row>
    <row r="29935" s="101" customFormat="1" spans="6:6">
      <c r="F29935" s="2423"/>
    </row>
    <row r="29936" s="101" customFormat="1" spans="6:6">
      <c r="F29936" s="2423"/>
    </row>
    <row r="29937" s="101" customFormat="1" spans="6:6">
      <c r="F29937" s="2423"/>
    </row>
    <row r="29938" s="101" customFormat="1" spans="6:6">
      <c r="F29938" s="2423"/>
    </row>
    <row r="29939" s="101" customFormat="1" spans="6:6">
      <c r="F29939" s="2423"/>
    </row>
    <row r="29940" s="101" customFormat="1" spans="6:6">
      <c r="F29940" s="2423"/>
    </row>
    <row r="29941" s="101" customFormat="1" spans="6:6">
      <c r="F29941" s="2423"/>
    </row>
    <row r="29942" s="101" customFormat="1" spans="6:6">
      <c r="F29942" s="2423"/>
    </row>
    <row r="29943" s="101" customFormat="1" spans="6:6">
      <c r="F29943" s="2423"/>
    </row>
    <row r="29944" s="101" customFormat="1" spans="6:6">
      <c r="F29944" s="2423"/>
    </row>
    <row r="29945" s="101" customFormat="1" spans="6:6">
      <c r="F29945" s="2423"/>
    </row>
    <row r="29946" s="101" customFormat="1" spans="6:6">
      <c r="F29946" s="2423"/>
    </row>
    <row r="29947" s="101" customFormat="1" spans="6:6">
      <c r="F29947" s="2423"/>
    </row>
    <row r="29948" s="101" customFormat="1" spans="6:6">
      <c r="F29948" s="2423"/>
    </row>
    <row r="29949" s="101" customFormat="1" spans="6:6">
      <c r="F29949" s="2423"/>
    </row>
    <row r="29950" s="101" customFormat="1" spans="6:6">
      <c r="F29950" s="2423"/>
    </row>
    <row r="29951" s="101" customFormat="1" spans="6:6">
      <c r="F29951" s="2423"/>
    </row>
    <row r="29952" s="101" customFormat="1" spans="6:6">
      <c r="F29952" s="2423"/>
    </row>
    <row r="29953" s="101" customFormat="1" spans="6:6">
      <c r="F29953" s="2423"/>
    </row>
    <row r="29954" s="101" customFormat="1" spans="6:6">
      <c r="F29954" s="2423"/>
    </row>
    <row r="29955" s="101" customFormat="1" spans="6:6">
      <c r="F29955" s="2423"/>
    </row>
    <row r="29956" s="101" customFormat="1" spans="6:6">
      <c r="F29956" s="2423"/>
    </row>
    <row r="29957" s="101" customFormat="1" spans="6:6">
      <c r="F29957" s="2423"/>
    </row>
    <row r="29958" s="101" customFormat="1" spans="6:6">
      <c r="F29958" s="2423"/>
    </row>
    <row r="29959" s="101" customFormat="1" spans="6:6">
      <c r="F29959" s="2423"/>
    </row>
    <row r="29960" s="101" customFormat="1" spans="6:6">
      <c r="F29960" s="2423"/>
    </row>
    <row r="29961" s="101" customFormat="1" spans="6:6">
      <c r="F29961" s="2423"/>
    </row>
    <row r="29962" s="101" customFormat="1" spans="6:6">
      <c r="F29962" s="2423"/>
    </row>
    <row r="29963" s="101" customFormat="1" spans="6:6">
      <c r="F29963" s="2423"/>
    </row>
    <row r="29964" s="101" customFormat="1" spans="6:6">
      <c r="F29964" s="2423"/>
    </row>
    <row r="29965" s="101" customFormat="1" spans="6:6">
      <c r="F29965" s="2423"/>
    </row>
    <row r="29966" s="101" customFormat="1" spans="6:6">
      <c r="F29966" s="2423"/>
    </row>
    <row r="29967" s="101" customFormat="1" spans="6:6">
      <c r="F29967" s="2423"/>
    </row>
    <row r="29968" s="101" customFormat="1" spans="6:6">
      <c r="F29968" s="2423"/>
    </row>
    <row r="29969" s="101" customFormat="1" spans="6:6">
      <c r="F29969" s="2423"/>
    </row>
    <row r="29970" s="101" customFormat="1" spans="6:6">
      <c r="F29970" s="2423"/>
    </row>
    <row r="29971" s="101" customFormat="1" spans="6:6">
      <c r="F29971" s="2423"/>
    </row>
    <row r="29972" s="101" customFormat="1" spans="6:6">
      <c r="F29972" s="2423"/>
    </row>
    <row r="29973" s="101" customFormat="1" spans="6:6">
      <c r="F29973" s="2423"/>
    </row>
    <row r="29974" s="101" customFormat="1" spans="6:6">
      <c r="F29974" s="2423"/>
    </row>
    <row r="29975" s="101" customFormat="1" spans="6:6">
      <c r="F29975" s="2423"/>
    </row>
    <row r="29976" s="101" customFormat="1" spans="6:6">
      <c r="F29976" s="2423"/>
    </row>
    <row r="29977" s="101" customFormat="1" spans="6:6">
      <c r="F29977" s="2423"/>
    </row>
    <row r="29978" s="101" customFormat="1" spans="6:6">
      <c r="F29978" s="2423"/>
    </row>
    <row r="29979" s="101" customFormat="1" spans="6:6">
      <c r="F29979" s="2423"/>
    </row>
    <row r="29980" s="101" customFormat="1" spans="6:6">
      <c r="F29980" s="2423"/>
    </row>
    <row r="29981" s="101" customFormat="1" spans="6:6">
      <c r="F29981" s="2423"/>
    </row>
    <row r="29982" s="101" customFormat="1" spans="6:6">
      <c r="F29982" s="2423"/>
    </row>
    <row r="29983" s="101" customFormat="1" spans="6:6">
      <c r="F29983" s="2423"/>
    </row>
    <row r="29984" s="101" customFormat="1" spans="6:6">
      <c r="F29984" s="2423"/>
    </row>
    <row r="29985" s="101" customFormat="1" spans="6:6">
      <c r="F29985" s="2423"/>
    </row>
    <row r="29986" s="101" customFormat="1" spans="6:6">
      <c r="F29986" s="2423"/>
    </row>
    <row r="29987" s="101" customFormat="1" spans="6:6">
      <c r="F29987" s="2423"/>
    </row>
    <row r="29988" s="101" customFormat="1" spans="6:6">
      <c r="F29988" s="2423"/>
    </row>
    <row r="29989" s="101" customFormat="1" spans="6:6">
      <c r="F29989" s="2423"/>
    </row>
    <row r="29990" s="101" customFormat="1" spans="6:6">
      <c r="F29990" s="2423"/>
    </row>
    <row r="29991" s="101" customFormat="1" spans="6:6">
      <c r="F29991" s="2423"/>
    </row>
    <row r="29992" s="101" customFormat="1" spans="6:6">
      <c r="F29992" s="2423"/>
    </row>
    <row r="29993" s="101" customFormat="1" spans="6:6">
      <c r="F29993" s="2423"/>
    </row>
    <row r="29994" s="101" customFormat="1" spans="6:6">
      <c r="F29994" s="2423"/>
    </row>
    <row r="29995" s="101" customFormat="1" spans="6:6">
      <c r="F29995" s="2423"/>
    </row>
    <row r="29996" s="101" customFormat="1" spans="6:6">
      <c r="F29996" s="2423"/>
    </row>
    <row r="29997" s="101" customFormat="1" spans="6:6">
      <c r="F29997" s="2423"/>
    </row>
    <row r="29998" s="101" customFormat="1" spans="6:6">
      <c r="F29998" s="2423"/>
    </row>
    <row r="29999" s="101" customFormat="1" spans="6:6">
      <c r="F29999" s="2423"/>
    </row>
    <row r="30000" s="101" customFormat="1" spans="6:6">
      <c r="F30000" s="2423"/>
    </row>
    <row r="30001" s="101" customFormat="1" spans="6:6">
      <c r="F30001" s="2423"/>
    </row>
    <row r="30002" s="101" customFormat="1" spans="6:6">
      <c r="F30002" s="2423"/>
    </row>
    <row r="30003" s="101" customFormat="1" spans="6:6">
      <c r="F30003" s="2423"/>
    </row>
    <row r="30004" s="101" customFormat="1" spans="6:6">
      <c r="F30004" s="2423"/>
    </row>
    <row r="30005" s="101" customFormat="1" spans="6:6">
      <c r="F30005" s="2423"/>
    </row>
    <row r="30006" s="101" customFormat="1" spans="6:6">
      <c r="F30006" s="2423"/>
    </row>
    <row r="30007" s="101" customFormat="1" spans="6:6">
      <c r="F30007" s="2423"/>
    </row>
    <row r="30008" s="101" customFormat="1" spans="6:6">
      <c r="F30008" s="2423"/>
    </row>
    <row r="30009" s="101" customFormat="1" spans="6:6">
      <c r="F30009" s="2423"/>
    </row>
    <row r="30010" s="101" customFormat="1" spans="6:6">
      <c r="F30010" s="2423"/>
    </row>
    <row r="30011" s="101" customFormat="1" spans="6:6">
      <c r="F30011" s="2423"/>
    </row>
    <row r="30012" s="101" customFormat="1" spans="6:6">
      <c r="F30012" s="2423"/>
    </row>
    <row r="30013" s="101" customFormat="1" spans="6:6">
      <c r="F30013" s="2423"/>
    </row>
    <row r="30014" s="101" customFormat="1" spans="6:6">
      <c r="F30014" s="2423"/>
    </row>
    <row r="30015" s="101" customFormat="1" spans="6:6">
      <c r="F30015" s="2423"/>
    </row>
    <row r="30016" s="101" customFormat="1" spans="6:6">
      <c r="F30016" s="2423"/>
    </row>
    <row r="30017" s="101" customFormat="1" spans="6:6">
      <c r="F30017" s="2423"/>
    </row>
    <row r="30018" s="101" customFormat="1" spans="6:6">
      <c r="F30018" s="2423"/>
    </row>
    <row r="30019" s="101" customFormat="1" spans="6:6">
      <c r="F30019" s="2423"/>
    </row>
    <row r="30020" s="101" customFormat="1" spans="6:6">
      <c r="F30020" s="2423"/>
    </row>
    <row r="30021" s="101" customFormat="1" spans="6:6">
      <c r="F30021" s="2423"/>
    </row>
    <row r="30022" s="101" customFormat="1" spans="6:6">
      <c r="F30022" s="2423"/>
    </row>
    <row r="30023" s="101" customFormat="1" spans="6:6">
      <c r="F30023" s="2423"/>
    </row>
    <row r="30024" s="101" customFormat="1" spans="6:6">
      <c r="F30024" s="2423"/>
    </row>
    <row r="30025" s="101" customFormat="1" spans="6:6">
      <c r="F30025" s="2423"/>
    </row>
    <row r="30026" s="101" customFormat="1" spans="6:6">
      <c r="F30026" s="2423"/>
    </row>
    <row r="30027" s="101" customFormat="1" spans="6:6">
      <c r="F30027" s="2423"/>
    </row>
    <row r="30028" s="101" customFormat="1" spans="6:6">
      <c r="F30028" s="2423"/>
    </row>
    <row r="30029" s="101" customFormat="1" spans="6:6">
      <c r="F30029" s="2423"/>
    </row>
    <row r="30030" s="101" customFormat="1" spans="6:6">
      <c r="F30030" s="2423"/>
    </row>
    <row r="30031" s="101" customFormat="1" spans="6:6">
      <c r="F30031" s="2423"/>
    </row>
    <row r="30032" s="101" customFormat="1" spans="6:6">
      <c r="F30032" s="2423"/>
    </row>
    <row r="30033" s="101" customFormat="1" spans="6:6">
      <c r="F30033" s="2423"/>
    </row>
    <row r="30034" s="101" customFormat="1" spans="6:6">
      <c r="F30034" s="2423"/>
    </row>
    <row r="30035" s="101" customFormat="1" spans="6:6">
      <c r="F30035" s="2423"/>
    </row>
    <row r="30036" s="101" customFormat="1" spans="6:6">
      <c r="F30036" s="2423"/>
    </row>
    <row r="30037" s="101" customFormat="1" spans="6:6">
      <c r="F30037" s="2423"/>
    </row>
    <row r="30038" s="101" customFormat="1" spans="6:6">
      <c r="F30038" s="2423"/>
    </row>
    <row r="30039" s="101" customFormat="1" spans="6:6">
      <c r="F30039" s="2423"/>
    </row>
    <row r="30040" s="101" customFormat="1" spans="6:6">
      <c r="F30040" s="2423"/>
    </row>
    <row r="30041" s="101" customFormat="1" spans="6:6">
      <c r="F30041" s="2423"/>
    </row>
    <row r="30042" s="101" customFormat="1" spans="6:6">
      <c r="F30042" s="2423"/>
    </row>
    <row r="30043" s="101" customFormat="1" spans="6:6">
      <c r="F30043" s="2423"/>
    </row>
    <row r="30044" s="101" customFormat="1" spans="6:6">
      <c r="F30044" s="2423"/>
    </row>
    <row r="30045" s="101" customFormat="1" spans="6:6">
      <c r="F30045" s="2423"/>
    </row>
    <row r="30046" s="101" customFormat="1" spans="6:6">
      <c r="F30046" s="2423"/>
    </row>
    <row r="30047" s="101" customFormat="1" spans="6:6">
      <c r="F30047" s="2423"/>
    </row>
    <row r="30048" s="101" customFormat="1" spans="6:6">
      <c r="F30048" s="2423"/>
    </row>
    <row r="30049" s="101" customFormat="1" spans="6:6">
      <c r="F30049" s="2423"/>
    </row>
    <row r="30050" s="101" customFormat="1" spans="6:6">
      <c r="F30050" s="2423"/>
    </row>
    <row r="30051" s="101" customFormat="1" spans="6:6">
      <c r="F30051" s="2423"/>
    </row>
    <row r="30052" s="101" customFormat="1" spans="6:6">
      <c r="F30052" s="2423"/>
    </row>
    <row r="30053" s="101" customFormat="1" spans="6:6">
      <c r="F30053" s="2423"/>
    </row>
    <row r="30054" s="101" customFormat="1" spans="6:6">
      <c r="F30054" s="2423"/>
    </row>
    <row r="30055" s="101" customFormat="1" spans="6:6">
      <c r="F30055" s="2423"/>
    </row>
    <row r="30056" s="101" customFormat="1" spans="6:6">
      <c r="F30056" s="2423"/>
    </row>
    <row r="30057" s="101" customFormat="1" spans="6:6">
      <c r="F30057" s="2423"/>
    </row>
    <row r="30058" s="101" customFormat="1" spans="6:6">
      <c r="F30058" s="2423"/>
    </row>
    <row r="30059" s="101" customFormat="1" spans="6:6">
      <c r="F30059" s="2423"/>
    </row>
    <row r="30060" s="101" customFormat="1" spans="6:6">
      <c r="F30060" s="2423"/>
    </row>
    <row r="30061" s="101" customFormat="1" spans="6:6">
      <c r="F30061" s="2423"/>
    </row>
    <row r="30062" s="101" customFormat="1" spans="6:6">
      <c r="F30062" s="2423"/>
    </row>
    <row r="30063" s="101" customFormat="1" spans="6:6">
      <c r="F30063" s="2423"/>
    </row>
    <row r="30064" s="101" customFormat="1" spans="6:6">
      <c r="F30064" s="2423"/>
    </row>
    <row r="30065" s="101" customFormat="1" spans="6:6">
      <c r="F30065" s="2423"/>
    </row>
    <row r="30066" s="101" customFormat="1" spans="6:6">
      <c r="F30066" s="2423"/>
    </row>
    <row r="30067" s="101" customFormat="1" spans="6:6">
      <c r="F30067" s="2423"/>
    </row>
    <row r="30068" s="101" customFormat="1" spans="6:6">
      <c r="F30068" s="2423"/>
    </row>
    <row r="30069" s="101" customFormat="1" spans="6:6">
      <c r="F30069" s="2423"/>
    </row>
    <row r="30070" s="101" customFormat="1" spans="6:6">
      <c r="F30070" s="2423"/>
    </row>
    <row r="30071" s="101" customFormat="1" spans="6:6">
      <c r="F30071" s="2423"/>
    </row>
    <row r="30072" s="101" customFormat="1" spans="6:6">
      <c r="F30072" s="2423"/>
    </row>
    <row r="30073" s="101" customFormat="1" spans="6:6">
      <c r="F30073" s="2423"/>
    </row>
    <row r="30074" s="101" customFormat="1" spans="6:6">
      <c r="F30074" s="2423"/>
    </row>
    <row r="30075" s="101" customFormat="1" spans="6:6">
      <c r="F30075" s="2423"/>
    </row>
    <row r="30076" s="101" customFormat="1" spans="6:6">
      <c r="F30076" s="2423"/>
    </row>
    <row r="30077" s="101" customFormat="1" spans="6:6">
      <c r="F30077" s="2423"/>
    </row>
    <row r="30078" s="101" customFormat="1" spans="6:6">
      <c r="F30078" s="2423"/>
    </row>
    <row r="30079" s="101" customFormat="1" spans="6:6">
      <c r="F30079" s="2423"/>
    </row>
    <row r="30080" s="101" customFormat="1" spans="6:6">
      <c r="F30080" s="2423"/>
    </row>
    <row r="30081" s="101" customFormat="1" spans="6:6">
      <c r="F30081" s="2423"/>
    </row>
    <row r="30082" s="101" customFormat="1" spans="6:6">
      <c r="F30082" s="2423"/>
    </row>
    <row r="30083" s="101" customFormat="1" spans="6:6">
      <c r="F30083" s="2423"/>
    </row>
    <row r="30084" s="101" customFormat="1" spans="6:6">
      <c r="F30084" s="2423"/>
    </row>
    <row r="30085" s="101" customFormat="1" spans="6:6">
      <c r="F30085" s="2423"/>
    </row>
    <row r="30086" s="101" customFormat="1" spans="6:6">
      <c r="F30086" s="2423"/>
    </row>
    <row r="30087" s="101" customFormat="1" spans="6:6">
      <c r="F30087" s="2423"/>
    </row>
    <row r="30088" s="101" customFormat="1" spans="6:6">
      <c r="F30088" s="2423"/>
    </row>
    <row r="30089" s="101" customFormat="1" spans="6:6">
      <c r="F30089" s="2423"/>
    </row>
    <row r="30090" s="101" customFormat="1" spans="6:6">
      <c r="F30090" s="2423"/>
    </row>
    <row r="30091" s="101" customFormat="1" spans="6:6">
      <c r="F30091" s="2423"/>
    </row>
    <row r="30092" s="101" customFormat="1" spans="6:6">
      <c r="F30092" s="2423"/>
    </row>
    <row r="30093" s="101" customFormat="1" spans="6:6">
      <c r="F30093" s="2423"/>
    </row>
    <row r="30094" s="101" customFormat="1" spans="6:6">
      <c r="F30094" s="2423"/>
    </row>
    <row r="30095" s="101" customFormat="1" spans="6:6">
      <c r="F30095" s="2423"/>
    </row>
    <row r="30096" s="101" customFormat="1" spans="6:6">
      <c r="F30096" s="2423"/>
    </row>
    <row r="30097" s="101" customFormat="1" spans="6:6">
      <c r="F30097" s="2423"/>
    </row>
    <row r="30098" s="101" customFormat="1" spans="6:6">
      <c r="F30098" s="2423"/>
    </row>
    <row r="30099" s="101" customFormat="1" spans="6:6">
      <c r="F30099" s="2423"/>
    </row>
    <row r="30100" s="101" customFormat="1" spans="6:6">
      <c r="F30100" s="2423"/>
    </row>
    <row r="30101" s="101" customFormat="1" spans="6:6">
      <c r="F30101" s="2423"/>
    </row>
    <row r="30102" s="101" customFormat="1" spans="6:6">
      <c r="F30102" s="2423"/>
    </row>
    <row r="30103" s="101" customFormat="1" spans="6:6">
      <c r="F30103" s="2423"/>
    </row>
    <row r="30104" s="101" customFormat="1" spans="6:6">
      <c r="F30104" s="2423"/>
    </row>
    <row r="30105" s="101" customFormat="1" spans="6:6">
      <c r="F30105" s="2423"/>
    </row>
    <row r="30106" s="101" customFormat="1" spans="6:6">
      <c r="F30106" s="2423"/>
    </row>
    <row r="30107" s="101" customFormat="1" spans="6:6">
      <c r="F30107" s="2423"/>
    </row>
    <row r="30108" s="101" customFormat="1" spans="6:6">
      <c r="F30108" s="2423"/>
    </row>
    <row r="30109" s="101" customFormat="1" spans="6:6">
      <c r="F30109" s="2423"/>
    </row>
    <row r="30110" s="101" customFormat="1" spans="6:6">
      <c r="F30110" s="2423"/>
    </row>
    <row r="30111" s="101" customFormat="1" spans="6:6">
      <c r="F30111" s="2423"/>
    </row>
    <row r="30112" s="101" customFormat="1" spans="6:6">
      <c r="F30112" s="2423"/>
    </row>
    <row r="30113" s="101" customFormat="1" spans="6:6">
      <c r="F30113" s="2423"/>
    </row>
    <row r="30114" s="101" customFormat="1" spans="6:6">
      <c r="F30114" s="2423"/>
    </row>
    <row r="30115" s="101" customFormat="1" spans="6:6">
      <c r="F30115" s="2423"/>
    </row>
    <row r="30116" s="101" customFormat="1" spans="6:6">
      <c r="F30116" s="2423"/>
    </row>
    <row r="30117" s="101" customFormat="1" spans="6:6">
      <c r="F30117" s="2423"/>
    </row>
    <row r="30118" s="101" customFormat="1" spans="6:6">
      <c r="F30118" s="2423"/>
    </row>
    <row r="30119" s="101" customFormat="1" spans="6:6">
      <c r="F30119" s="2423"/>
    </row>
    <row r="30120" s="101" customFormat="1" spans="6:6">
      <c r="F30120" s="2423"/>
    </row>
    <row r="30121" s="101" customFormat="1" spans="6:6">
      <c r="F30121" s="2423"/>
    </row>
    <row r="30122" s="101" customFormat="1" spans="6:6">
      <c r="F30122" s="2423"/>
    </row>
    <row r="30123" s="101" customFormat="1" spans="6:6">
      <c r="F30123" s="2423"/>
    </row>
    <row r="30124" s="101" customFormat="1" spans="6:6">
      <c r="F30124" s="2423"/>
    </row>
    <row r="30125" s="101" customFormat="1" spans="6:6">
      <c r="F30125" s="2423"/>
    </row>
    <row r="30126" s="101" customFormat="1" spans="6:6">
      <c r="F30126" s="2423"/>
    </row>
    <row r="30127" s="101" customFormat="1" spans="6:6">
      <c r="F30127" s="2423"/>
    </row>
    <row r="30128" s="101" customFormat="1" spans="6:6">
      <c r="F30128" s="2423"/>
    </row>
    <row r="30129" s="101" customFormat="1" spans="6:6">
      <c r="F30129" s="2423"/>
    </row>
    <row r="30130" s="101" customFormat="1" spans="6:6">
      <c r="F30130" s="2423"/>
    </row>
    <row r="30131" s="101" customFormat="1" spans="6:6">
      <c r="F30131" s="2423"/>
    </row>
    <row r="30132" s="101" customFormat="1" spans="6:6">
      <c r="F30132" s="2423"/>
    </row>
    <row r="30133" s="101" customFormat="1" spans="6:6">
      <c r="F30133" s="2423"/>
    </row>
    <row r="30134" s="101" customFormat="1" spans="6:6">
      <c r="F30134" s="2423"/>
    </row>
    <row r="30135" s="101" customFormat="1" spans="6:6">
      <c r="F30135" s="2423"/>
    </row>
    <row r="30136" s="101" customFormat="1" spans="6:6">
      <c r="F30136" s="2423"/>
    </row>
    <row r="30137" s="101" customFormat="1" spans="6:6">
      <c r="F30137" s="2423"/>
    </row>
    <row r="30138" s="101" customFormat="1" spans="6:6">
      <c r="F30138" s="2423"/>
    </row>
    <row r="30139" s="101" customFormat="1" spans="6:6">
      <c r="F30139" s="2423"/>
    </row>
    <row r="30140" s="101" customFormat="1" spans="6:6">
      <c r="F30140" s="2423"/>
    </row>
    <row r="30141" s="101" customFormat="1" spans="6:6">
      <c r="F30141" s="2423"/>
    </row>
    <row r="30142" s="101" customFormat="1" spans="6:6">
      <c r="F30142" s="2423"/>
    </row>
    <row r="30143" s="101" customFormat="1" spans="6:6">
      <c r="F30143" s="2423"/>
    </row>
    <row r="30144" s="101" customFormat="1" spans="6:6">
      <c r="F30144" s="2423"/>
    </row>
    <row r="30145" s="101" customFormat="1" spans="6:6">
      <c r="F30145" s="2423"/>
    </row>
    <row r="30146" s="101" customFormat="1" spans="6:6">
      <c r="F30146" s="2423"/>
    </row>
    <row r="30147" s="101" customFormat="1" spans="6:6">
      <c r="F30147" s="2423"/>
    </row>
    <row r="30148" s="101" customFormat="1" spans="6:6">
      <c r="F30148" s="2423"/>
    </row>
    <row r="30149" s="101" customFormat="1" spans="6:6">
      <c r="F30149" s="2423"/>
    </row>
    <row r="30150" s="101" customFormat="1" spans="6:6">
      <c r="F30150" s="2423"/>
    </row>
    <row r="30151" s="101" customFormat="1" spans="6:6">
      <c r="F30151" s="2423"/>
    </row>
    <row r="30152" s="101" customFormat="1" spans="6:6">
      <c r="F30152" s="2423"/>
    </row>
    <row r="30153" s="101" customFormat="1" spans="6:6">
      <c r="F30153" s="2423"/>
    </row>
    <row r="30154" s="101" customFormat="1" spans="6:6">
      <c r="F30154" s="2423"/>
    </row>
    <row r="30155" s="101" customFormat="1" spans="6:6">
      <c r="F30155" s="2423"/>
    </row>
    <row r="30156" s="101" customFormat="1" spans="6:6">
      <c r="F30156" s="2423"/>
    </row>
    <row r="30157" s="101" customFormat="1" spans="6:6">
      <c r="F30157" s="2423"/>
    </row>
    <row r="30158" s="101" customFormat="1" spans="6:6">
      <c r="F30158" s="2423"/>
    </row>
    <row r="30159" s="101" customFormat="1" spans="6:6">
      <c r="F30159" s="2423"/>
    </row>
    <row r="30160" s="101" customFormat="1" spans="6:6">
      <c r="F30160" s="2423"/>
    </row>
    <row r="30161" s="101" customFormat="1" spans="6:6">
      <c r="F30161" s="2423"/>
    </row>
    <row r="30162" s="101" customFormat="1" spans="6:6">
      <c r="F30162" s="2423"/>
    </row>
    <row r="30163" s="101" customFormat="1" spans="6:6">
      <c r="F30163" s="2423"/>
    </row>
    <row r="30164" s="101" customFormat="1" spans="6:6">
      <c r="F30164" s="2423"/>
    </row>
    <row r="30165" s="101" customFormat="1" spans="6:6">
      <c r="F30165" s="2423"/>
    </row>
    <row r="30166" s="101" customFormat="1" spans="6:6">
      <c r="F30166" s="2423"/>
    </row>
    <row r="30167" s="101" customFormat="1" spans="6:6">
      <c r="F30167" s="2423"/>
    </row>
    <row r="30168" s="101" customFormat="1" spans="6:6">
      <c r="F30168" s="2423"/>
    </row>
    <row r="30169" s="101" customFormat="1" spans="6:6">
      <c r="F30169" s="2423"/>
    </row>
    <row r="30170" s="101" customFormat="1" spans="6:6">
      <c r="F30170" s="2423"/>
    </row>
    <row r="30171" s="101" customFormat="1" spans="6:6">
      <c r="F30171" s="2423"/>
    </row>
    <row r="30172" s="101" customFormat="1" spans="6:6">
      <c r="F30172" s="2423"/>
    </row>
    <row r="30173" s="101" customFormat="1" spans="6:6">
      <c r="F30173" s="2423"/>
    </row>
    <row r="30174" s="101" customFormat="1" spans="6:6">
      <c r="F30174" s="2423"/>
    </row>
    <row r="30175" s="101" customFormat="1" spans="6:6">
      <c r="F30175" s="2423"/>
    </row>
    <row r="30176" s="101" customFormat="1" spans="6:6">
      <c r="F30176" s="2423"/>
    </row>
    <row r="30177" s="101" customFormat="1" spans="6:6">
      <c r="F30177" s="2423"/>
    </row>
    <row r="30178" s="101" customFormat="1" spans="6:6">
      <c r="F30178" s="2423"/>
    </row>
    <row r="30179" s="101" customFormat="1" spans="6:6">
      <c r="F30179" s="2423"/>
    </row>
    <row r="30180" s="101" customFormat="1" spans="6:6">
      <c r="F30180" s="2423"/>
    </row>
    <row r="30181" s="101" customFormat="1" spans="6:6">
      <c r="F30181" s="2423"/>
    </row>
    <row r="30182" s="101" customFormat="1" spans="6:6">
      <c r="F30182" s="2423"/>
    </row>
    <row r="30183" s="101" customFormat="1" spans="6:6">
      <c r="F30183" s="2423"/>
    </row>
    <row r="30184" s="101" customFormat="1" spans="6:6">
      <c r="F30184" s="2423"/>
    </row>
    <row r="30185" s="101" customFormat="1" spans="6:6">
      <c r="F30185" s="2423"/>
    </row>
    <row r="30186" s="101" customFormat="1" spans="6:6">
      <c r="F30186" s="2423"/>
    </row>
    <row r="30187" s="101" customFormat="1" spans="6:6">
      <c r="F30187" s="2423"/>
    </row>
    <row r="30188" s="101" customFormat="1" spans="6:6">
      <c r="F30188" s="2423"/>
    </row>
    <row r="30189" s="101" customFormat="1" spans="6:6">
      <c r="F30189" s="2423"/>
    </row>
    <row r="30190" s="101" customFormat="1" spans="6:6">
      <c r="F30190" s="2423"/>
    </row>
    <row r="30191" s="101" customFormat="1" spans="6:6">
      <c r="F30191" s="2423"/>
    </row>
    <row r="30192" s="101" customFormat="1" spans="6:6">
      <c r="F30192" s="2423"/>
    </row>
    <row r="30193" s="101" customFormat="1" spans="6:6">
      <c r="F30193" s="2423"/>
    </row>
    <row r="30194" s="101" customFormat="1" spans="6:6">
      <c r="F30194" s="2423"/>
    </row>
    <row r="30195" s="101" customFormat="1" spans="6:6">
      <c r="F30195" s="2423"/>
    </row>
    <row r="30196" s="101" customFormat="1" spans="6:6">
      <c r="F30196" s="2423"/>
    </row>
    <row r="30197" s="101" customFormat="1" spans="6:6">
      <c r="F30197" s="2423"/>
    </row>
    <row r="30198" s="101" customFormat="1" spans="6:6">
      <c r="F30198" s="2423"/>
    </row>
    <row r="30199" s="101" customFormat="1" spans="6:6">
      <c r="F30199" s="2423"/>
    </row>
    <row r="30200" s="101" customFormat="1" spans="6:6">
      <c r="F30200" s="2423"/>
    </row>
    <row r="30201" s="101" customFormat="1" spans="6:6">
      <c r="F30201" s="2423"/>
    </row>
    <row r="30202" s="101" customFormat="1" spans="6:6">
      <c r="F30202" s="2423"/>
    </row>
    <row r="30203" s="101" customFormat="1" spans="6:6">
      <c r="F30203" s="2423"/>
    </row>
    <row r="30204" s="101" customFormat="1" spans="6:6">
      <c r="F30204" s="2423"/>
    </row>
    <row r="30205" s="101" customFormat="1" spans="6:6">
      <c r="F30205" s="2423"/>
    </row>
    <row r="30206" s="101" customFormat="1" spans="6:6">
      <c r="F30206" s="2423"/>
    </row>
    <row r="30207" s="101" customFormat="1" spans="6:6">
      <c r="F30207" s="2423"/>
    </row>
    <row r="30208" s="101" customFormat="1" spans="6:6">
      <c r="F30208" s="2423"/>
    </row>
    <row r="30209" s="101" customFormat="1" spans="6:6">
      <c r="F30209" s="2423"/>
    </row>
    <row r="30210" s="101" customFormat="1" spans="6:6">
      <c r="F30210" s="2423"/>
    </row>
    <row r="30211" s="101" customFormat="1" spans="6:6">
      <c r="F30211" s="2423"/>
    </row>
    <row r="30212" s="101" customFormat="1" spans="6:6">
      <c r="F30212" s="2423"/>
    </row>
    <row r="30213" s="101" customFormat="1" spans="6:6">
      <c r="F30213" s="2423"/>
    </row>
    <row r="30214" s="101" customFormat="1" spans="6:6">
      <c r="F30214" s="2423"/>
    </row>
    <row r="30215" s="101" customFormat="1" spans="6:6">
      <c r="F30215" s="2423"/>
    </row>
    <row r="30216" s="101" customFormat="1" spans="6:6">
      <c r="F30216" s="2423"/>
    </row>
    <row r="30217" s="101" customFormat="1" spans="6:6">
      <c r="F30217" s="2423"/>
    </row>
    <row r="30218" s="101" customFormat="1" spans="6:6">
      <c r="F30218" s="2423"/>
    </row>
    <row r="30219" s="101" customFormat="1" spans="6:6">
      <c r="F30219" s="2423"/>
    </row>
    <row r="30220" s="101" customFormat="1" spans="6:6">
      <c r="F30220" s="2423"/>
    </row>
    <row r="30221" s="101" customFormat="1" spans="6:6">
      <c r="F30221" s="2423"/>
    </row>
    <row r="30222" s="101" customFormat="1" spans="6:6">
      <c r="F30222" s="2423"/>
    </row>
    <row r="30223" s="101" customFormat="1" spans="6:6">
      <c r="F30223" s="2423"/>
    </row>
    <row r="30224" s="101" customFormat="1" spans="6:6">
      <c r="F30224" s="2423"/>
    </row>
    <row r="30225" s="101" customFormat="1" spans="6:6">
      <c r="F30225" s="2423"/>
    </row>
    <row r="30226" s="101" customFormat="1" spans="6:6">
      <c r="F30226" s="2423"/>
    </row>
    <row r="30227" s="101" customFormat="1" spans="6:6">
      <c r="F30227" s="2423"/>
    </row>
    <row r="30228" s="101" customFormat="1" spans="6:6">
      <c r="F30228" s="2423"/>
    </row>
    <row r="30229" s="101" customFormat="1" spans="6:6">
      <c r="F30229" s="2423"/>
    </row>
    <row r="30230" s="101" customFormat="1" spans="6:6">
      <c r="F30230" s="2423"/>
    </row>
    <row r="30231" s="101" customFormat="1" spans="6:6">
      <c r="F30231" s="2423"/>
    </row>
    <row r="30232" s="101" customFormat="1" spans="6:6">
      <c r="F30232" s="2423"/>
    </row>
    <row r="30233" s="101" customFormat="1" spans="6:6">
      <c r="F30233" s="2423"/>
    </row>
    <row r="30234" s="101" customFormat="1" spans="6:6">
      <c r="F30234" s="2423"/>
    </row>
    <row r="30235" s="101" customFormat="1" spans="6:6">
      <c r="F30235" s="2423"/>
    </row>
    <row r="30236" s="101" customFormat="1" spans="6:6">
      <c r="F30236" s="2423"/>
    </row>
    <row r="30237" s="101" customFormat="1" spans="6:6">
      <c r="F30237" s="2423"/>
    </row>
    <row r="30238" s="101" customFormat="1" spans="6:6">
      <c r="F30238" s="2423"/>
    </row>
    <row r="30239" s="101" customFormat="1" spans="6:6">
      <c r="F30239" s="2423"/>
    </row>
    <row r="30240" s="101" customFormat="1" spans="6:6">
      <c r="F30240" s="2423"/>
    </row>
    <row r="30241" s="101" customFormat="1" spans="6:6">
      <c r="F30241" s="2423"/>
    </row>
    <row r="30242" s="101" customFormat="1" spans="6:6">
      <c r="F30242" s="2423"/>
    </row>
    <row r="30243" s="101" customFormat="1" spans="6:6">
      <c r="F30243" s="2423"/>
    </row>
    <row r="30244" s="101" customFormat="1" spans="6:6">
      <c r="F30244" s="2423"/>
    </row>
    <row r="30245" s="101" customFormat="1" spans="6:6">
      <c r="F30245" s="2423"/>
    </row>
    <row r="30246" s="101" customFormat="1" spans="6:6">
      <c r="F30246" s="2423"/>
    </row>
    <row r="30247" s="101" customFormat="1" spans="6:6">
      <c r="F30247" s="2423"/>
    </row>
    <row r="30248" s="101" customFormat="1" spans="6:6">
      <c r="F30248" s="2423"/>
    </row>
    <row r="30249" s="101" customFormat="1" spans="6:6">
      <c r="F30249" s="2423"/>
    </row>
    <row r="30250" s="101" customFormat="1" spans="6:6">
      <c r="F30250" s="2423"/>
    </row>
    <row r="30251" s="101" customFormat="1" spans="6:6">
      <c r="F30251" s="2423"/>
    </row>
    <row r="30252" s="101" customFormat="1" spans="6:6">
      <c r="F30252" s="2423"/>
    </row>
    <row r="30253" s="101" customFormat="1" spans="6:6">
      <c r="F30253" s="2423"/>
    </row>
    <row r="30254" s="101" customFormat="1" spans="6:6">
      <c r="F30254" s="2423"/>
    </row>
    <row r="30255" s="101" customFormat="1" spans="6:6">
      <c r="F30255" s="2423"/>
    </row>
    <row r="30256" s="101" customFormat="1" spans="6:6">
      <c r="F30256" s="2423"/>
    </row>
    <row r="30257" s="101" customFormat="1" spans="6:6">
      <c r="F30257" s="2423"/>
    </row>
    <row r="30258" s="101" customFormat="1" spans="6:6">
      <c r="F30258" s="2423"/>
    </row>
    <row r="30259" s="101" customFormat="1" spans="6:6">
      <c r="F30259" s="2423"/>
    </row>
    <row r="30260" s="101" customFormat="1" spans="6:6">
      <c r="F30260" s="2423"/>
    </row>
    <row r="30261" s="101" customFormat="1" spans="6:6">
      <c r="F30261" s="2423"/>
    </row>
    <row r="30262" s="101" customFormat="1" spans="6:6">
      <c r="F30262" s="2423"/>
    </row>
    <row r="30263" s="101" customFormat="1" spans="6:6">
      <c r="F30263" s="2423"/>
    </row>
    <row r="30264" s="101" customFormat="1" spans="6:6">
      <c r="F30264" s="2423"/>
    </row>
    <row r="30265" s="101" customFormat="1" spans="6:6">
      <c r="F30265" s="2423"/>
    </row>
    <row r="30266" s="101" customFormat="1" spans="6:6">
      <c r="F30266" s="2423"/>
    </row>
    <row r="30267" s="101" customFormat="1" spans="6:6">
      <c r="F30267" s="2423"/>
    </row>
    <row r="30268" s="101" customFormat="1" spans="6:6">
      <c r="F30268" s="2423"/>
    </row>
    <row r="30269" s="101" customFormat="1" spans="6:6">
      <c r="F30269" s="2423"/>
    </row>
    <row r="30270" s="101" customFormat="1" spans="6:6">
      <c r="F30270" s="2423"/>
    </row>
    <row r="30271" s="101" customFormat="1" spans="6:6">
      <c r="F30271" s="2423"/>
    </row>
    <row r="30272" s="101" customFormat="1" spans="6:6">
      <c r="F30272" s="2423"/>
    </row>
    <row r="30273" s="101" customFormat="1" spans="6:6">
      <c r="F30273" s="2423"/>
    </row>
    <row r="30274" s="101" customFormat="1" spans="6:6">
      <c r="F30274" s="2423"/>
    </row>
    <row r="30275" s="101" customFormat="1" spans="6:6">
      <c r="F30275" s="2423"/>
    </row>
    <row r="30276" s="101" customFormat="1" spans="6:6">
      <c r="F30276" s="2423"/>
    </row>
    <row r="30277" s="101" customFormat="1" spans="6:6">
      <c r="F30277" s="2423"/>
    </row>
    <row r="30278" s="101" customFormat="1" spans="6:6">
      <c r="F30278" s="2423"/>
    </row>
    <row r="30279" s="101" customFormat="1" spans="6:6">
      <c r="F30279" s="2423"/>
    </row>
    <row r="30280" s="101" customFormat="1" spans="6:6">
      <c r="F30280" s="2423"/>
    </row>
    <row r="30281" s="101" customFormat="1" spans="6:6">
      <c r="F30281" s="2423"/>
    </row>
    <row r="30282" s="101" customFormat="1" spans="6:6">
      <c r="F30282" s="2423"/>
    </row>
    <row r="30283" s="101" customFormat="1" spans="6:6">
      <c r="F30283" s="2423"/>
    </row>
    <row r="30284" s="101" customFormat="1" spans="6:6">
      <c r="F30284" s="2423"/>
    </row>
    <row r="30285" s="101" customFormat="1" spans="6:6">
      <c r="F30285" s="2423"/>
    </row>
    <row r="30286" s="101" customFormat="1" spans="6:6">
      <c r="F30286" s="2423"/>
    </row>
    <row r="30287" s="101" customFormat="1" spans="6:6">
      <c r="F30287" s="2423"/>
    </row>
    <row r="30288" s="101" customFormat="1" spans="6:6">
      <c r="F30288" s="2423"/>
    </row>
    <row r="30289" s="101" customFormat="1" spans="6:6">
      <c r="F30289" s="2423"/>
    </row>
    <row r="30290" s="101" customFormat="1" spans="6:6">
      <c r="F30290" s="2423"/>
    </row>
    <row r="30291" s="101" customFormat="1" spans="6:6">
      <c r="F30291" s="2423"/>
    </row>
    <row r="30292" s="101" customFormat="1" spans="6:6">
      <c r="F30292" s="2423"/>
    </row>
    <row r="30293" s="101" customFormat="1" spans="6:6">
      <c r="F30293" s="2423"/>
    </row>
    <row r="30294" s="101" customFormat="1" spans="6:6">
      <c r="F30294" s="2423"/>
    </row>
    <row r="30295" s="101" customFormat="1" spans="6:6">
      <c r="F30295" s="2423"/>
    </row>
    <row r="30296" s="101" customFormat="1" spans="6:6">
      <c r="F30296" s="2423"/>
    </row>
    <row r="30297" s="101" customFormat="1" spans="6:6">
      <c r="F30297" s="2423"/>
    </row>
    <row r="30298" s="101" customFormat="1" spans="6:6">
      <c r="F30298" s="2423"/>
    </row>
    <row r="30299" s="101" customFormat="1" spans="6:6">
      <c r="F30299" s="2423"/>
    </row>
    <row r="30300" s="101" customFormat="1" spans="6:6">
      <c r="F30300" s="2423"/>
    </row>
    <row r="30301" s="101" customFormat="1" spans="6:6">
      <c r="F30301" s="2423"/>
    </row>
    <row r="30302" s="101" customFormat="1" spans="6:6">
      <c r="F30302" s="2423"/>
    </row>
    <row r="30303" s="101" customFormat="1" spans="6:6">
      <c r="F30303" s="2423"/>
    </row>
    <row r="30304" s="101" customFormat="1" spans="6:6">
      <c r="F30304" s="2423"/>
    </row>
    <row r="30305" s="101" customFormat="1" spans="6:6">
      <c r="F30305" s="2423"/>
    </row>
    <row r="30306" s="101" customFormat="1" spans="6:6">
      <c r="F30306" s="2423"/>
    </row>
    <row r="30307" s="101" customFormat="1" spans="6:6">
      <c r="F30307" s="2423"/>
    </row>
    <row r="30308" s="101" customFormat="1" spans="6:6">
      <c r="F30308" s="2423"/>
    </row>
    <row r="30309" s="101" customFormat="1" spans="6:6">
      <c r="F30309" s="2423"/>
    </row>
    <row r="30310" s="101" customFormat="1" spans="6:6">
      <c r="F30310" s="2423"/>
    </row>
    <row r="30311" s="101" customFormat="1" spans="6:6">
      <c r="F30311" s="2423"/>
    </row>
    <row r="30312" s="101" customFormat="1" spans="6:6">
      <c r="F30312" s="2423"/>
    </row>
    <row r="30313" s="101" customFormat="1" spans="6:6">
      <c r="F30313" s="2423"/>
    </row>
    <row r="30314" s="101" customFormat="1" spans="6:6">
      <c r="F30314" s="2423"/>
    </row>
    <row r="30315" s="101" customFormat="1" spans="6:6">
      <c r="F30315" s="2423"/>
    </row>
    <row r="30316" s="101" customFormat="1" spans="6:6">
      <c r="F30316" s="2423"/>
    </row>
    <row r="30317" s="101" customFormat="1" spans="6:6">
      <c r="F30317" s="2423"/>
    </row>
    <row r="30318" s="101" customFormat="1" spans="6:6">
      <c r="F30318" s="2423"/>
    </row>
    <row r="30319" s="101" customFormat="1" spans="6:6">
      <c r="F30319" s="2423"/>
    </row>
    <row r="30320" s="101" customFormat="1" spans="6:6">
      <c r="F30320" s="2423"/>
    </row>
    <row r="30321" s="101" customFormat="1" spans="6:6">
      <c r="F30321" s="2423"/>
    </row>
    <row r="30322" s="101" customFormat="1" spans="6:6">
      <c r="F30322" s="2423"/>
    </row>
    <row r="30323" s="101" customFormat="1" spans="6:6">
      <c r="F30323" s="2423"/>
    </row>
    <row r="30324" s="101" customFormat="1" spans="6:6">
      <c r="F30324" s="2423"/>
    </row>
    <row r="30325" s="101" customFormat="1" spans="6:6">
      <c r="F30325" s="2423"/>
    </row>
    <row r="30326" s="101" customFormat="1" spans="6:6">
      <c r="F30326" s="2423"/>
    </row>
    <row r="30327" s="101" customFormat="1" spans="6:6">
      <c r="F30327" s="2423"/>
    </row>
    <row r="30328" s="101" customFormat="1" spans="6:6">
      <c r="F30328" s="2423"/>
    </row>
    <row r="30329" s="101" customFormat="1" spans="6:6">
      <c r="F30329" s="2423"/>
    </row>
    <row r="30330" s="101" customFormat="1" spans="6:6">
      <c r="F30330" s="2423"/>
    </row>
    <row r="30331" s="101" customFormat="1" spans="6:6">
      <c r="F30331" s="2423"/>
    </row>
    <row r="30332" s="101" customFormat="1" spans="6:6">
      <c r="F30332" s="2423"/>
    </row>
    <row r="30333" s="101" customFormat="1" spans="6:6">
      <c r="F30333" s="2423"/>
    </row>
    <row r="30334" s="101" customFormat="1" spans="6:6">
      <c r="F30334" s="2423"/>
    </row>
    <row r="30335" s="101" customFormat="1" spans="6:6">
      <c r="F30335" s="2423"/>
    </row>
    <row r="30336" s="101" customFormat="1" spans="6:6">
      <c r="F30336" s="2423"/>
    </row>
    <row r="30337" s="101" customFormat="1" spans="6:6">
      <c r="F30337" s="2423"/>
    </row>
    <row r="30338" s="101" customFormat="1" spans="6:6">
      <c r="F30338" s="2423"/>
    </row>
    <row r="30339" s="101" customFormat="1" spans="6:6">
      <c r="F30339" s="2423"/>
    </row>
    <row r="30340" s="101" customFormat="1" spans="6:6">
      <c r="F30340" s="2423"/>
    </row>
    <row r="30341" s="101" customFormat="1" spans="6:6">
      <c r="F30341" s="2423"/>
    </row>
    <row r="30342" s="101" customFormat="1" spans="6:6">
      <c r="F30342" s="2423"/>
    </row>
    <row r="30343" s="101" customFormat="1" spans="6:6">
      <c r="F30343" s="2423"/>
    </row>
    <row r="30344" s="101" customFormat="1" spans="6:6">
      <c r="F30344" s="2423"/>
    </row>
    <row r="30345" s="101" customFormat="1" spans="6:6">
      <c r="F30345" s="2423"/>
    </row>
    <row r="30346" s="101" customFormat="1" spans="6:6">
      <c r="F30346" s="2423"/>
    </row>
    <row r="30347" s="101" customFormat="1" spans="6:6">
      <c r="F30347" s="2423"/>
    </row>
    <row r="30348" s="101" customFormat="1" spans="6:6">
      <c r="F30348" s="2423"/>
    </row>
    <row r="30349" s="101" customFormat="1" spans="6:6">
      <c r="F30349" s="2423"/>
    </row>
    <row r="30350" s="101" customFormat="1" spans="6:6">
      <c r="F30350" s="2423"/>
    </row>
    <row r="30351" s="101" customFormat="1" spans="6:6">
      <c r="F30351" s="2423"/>
    </row>
    <row r="30352" s="101" customFormat="1" spans="6:6">
      <c r="F30352" s="2423"/>
    </row>
    <row r="30353" s="101" customFormat="1" spans="6:6">
      <c r="F30353" s="2423"/>
    </row>
    <row r="30354" s="101" customFormat="1" spans="6:6">
      <c r="F30354" s="2423"/>
    </row>
    <row r="30355" s="101" customFormat="1" spans="6:6">
      <c r="F30355" s="2423"/>
    </row>
    <row r="30356" s="101" customFormat="1" spans="6:6">
      <c r="F30356" s="2423"/>
    </row>
    <row r="30357" s="101" customFormat="1" spans="6:6">
      <c r="F30357" s="2423"/>
    </row>
    <row r="30358" s="101" customFormat="1" spans="6:6">
      <c r="F30358" s="2423"/>
    </row>
    <row r="30359" s="101" customFormat="1" spans="6:6">
      <c r="F30359" s="2423"/>
    </row>
    <row r="30360" s="101" customFormat="1" spans="6:6">
      <c r="F30360" s="2423"/>
    </row>
    <row r="30361" s="101" customFormat="1" spans="6:6">
      <c r="F30361" s="2423"/>
    </row>
    <row r="30362" s="101" customFormat="1" spans="6:6">
      <c r="F30362" s="2423"/>
    </row>
    <row r="30363" s="101" customFormat="1" spans="6:6">
      <c r="F30363" s="2423"/>
    </row>
    <row r="30364" s="101" customFormat="1" spans="6:6">
      <c r="F30364" s="2423"/>
    </row>
    <row r="30365" s="101" customFormat="1" spans="6:6">
      <c r="F30365" s="2423"/>
    </row>
    <row r="30366" s="101" customFormat="1" spans="6:6">
      <c r="F30366" s="2423"/>
    </row>
    <row r="30367" s="101" customFormat="1" spans="6:6">
      <c r="F30367" s="2423"/>
    </row>
    <row r="30368" s="101" customFormat="1" spans="6:6">
      <c r="F30368" s="2423"/>
    </row>
    <row r="30369" s="101" customFormat="1" spans="6:6">
      <c r="F30369" s="2423"/>
    </row>
    <row r="30370" s="101" customFormat="1" spans="6:6">
      <c r="F30370" s="2423"/>
    </row>
    <row r="30371" s="101" customFormat="1" spans="6:6">
      <c r="F30371" s="2423"/>
    </row>
    <row r="30372" s="101" customFormat="1" spans="6:6">
      <c r="F30372" s="2423"/>
    </row>
    <row r="30373" s="101" customFormat="1" spans="6:6">
      <c r="F30373" s="2423"/>
    </row>
    <row r="30374" s="101" customFormat="1" spans="6:6">
      <c r="F30374" s="2423"/>
    </row>
    <row r="30375" s="101" customFormat="1" spans="6:6">
      <c r="F30375" s="2423"/>
    </row>
    <row r="30376" s="101" customFormat="1" spans="6:6">
      <c r="F30376" s="2423"/>
    </row>
    <row r="30377" s="101" customFormat="1" spans="6:6">
      <c r="F30377" s="2423"/>
    </row>
    <row r="30378" s="101" customFormat="1" spans="6:6">
      <c r="F30378" s="2423"/>
    </row>
    <row r="30379" s="101" customFormat="1" spans="6:6">
      <c r="F30379" s="2423"/>
    </row>
    <row r="30380" s="101" customFormat="1" spans="6:6">
      <c r="F30380" s="2423"/>
    </row>
    <row r="30381" s="101" customFormat="1" spans="6:6">
      <c r="F30381" s="2423"/>
    </row>
    <row r="30382" s="101" customFormat="1" spans="6:6">
      <c r="F30382" s="2423"/>
    </row>
    <row r="30383" s="101" customFormat="1" spans="6:6">
      <c r="F30383" s="2423"/>
    </row>
    <row r="30384" s="101" customFormat="1" spans="6:6">
      <c r="F30384" s="2423"/>
    </row>
    <row r="30385" s="101" customFormat="1" spans="6:6">
      <c r="F30385" s="2423"/>
    </row>
    <row r="30386" s="101" customFormat="1" spans="6:6">
      <c r="F30386" s="2423"/>
    </row>
    <row r="30387" s="101" customFormat="1" spans="6:6">
      <c r="F30387" s="2423"/>
    </row>
    <row r="30388" s="101" customFormat="1" spans="6:6">
      <c r="F30388" s="2423"/>
    </row>
    <row r="30389" s="101" customFormat="1" spans="6:6">
      <c r="F30389" s="2423"/>
    </row>
    <row r="30390" s="101" customFormat="1" spans="6:6">
      <c r="F30390" s="2423"/>
    </row>
    <row r="30391" s="101" customFormat="1" spans="6:6">
      <c r="F30391" s="2423"/>
    </row>
    <row r="30392" s="101" customFormat="1" spans="6:6">
      <c r="F30392" s="2423"/>
    </row>
    <row r="30393" s="101" customFormat="1" spans="6:6">
      <c r="F30393" s="2423"/>
    </row>
    <row r="30394" s="101" customFormat="1" spans="6:6">
      <c r="F30394" s="2423"/>
    </row>
    <row r="30395" s="101" customFormat="1" spans="6:6">
      <c r="F30395" s="2423"/>
    </row>
    <row r="30396" s="101" customFormat="1" spans="6:6">
      <c r="F30396" s="2423"/>
    </row>
    <row r="30397" s="101" customFormat="1" spans="6:6">
      <c r="F30397" s="2423"/>
    </row>
    <row r="30398" s="101" customFormat="1" spans="6:6">
      <c r="F30398" s="2423"/>
    </row>
    <row r="30399" s="101" customFormat="1" spans="6:6">
      <c r="F30399" s="2423"/>
    </row>
    <row r="30400" s="101" customFormat="1" spans="6:6">
      <c r="F30400" s="2423"/>
    </row>
    <row r="30401" s="101" customFormat="1" spans="6:6">
      <c r="F30401" s="2423"/>
    </row>
    <row r="30402" s="101" customFormat="1" spans="6:6">
      <c r="F30402" s="2423"/>
    </row>
    <row r="30403" s="101" customFormat="1" spans="6:6">
      <c r="F30403" s="2423"/>
    </row>
    <row r="30404" s="101" customFormat="1" spans="6:6">
      <c r="F30404" s="2423"/>
    </row>
    <row r="30405" s="101" customFormat="1" spans="6:6">
      <c r="F30405" s="2423"/>
    </row>
    <row r="30406" s="101" customFormat="1" spans="6:6">
      <c r="F30406" s="2423"/>
    </row>
    <row r="30407" s="101" customFormat="1" spans="6:6">
      <c r="F30407" s="2423"/>
    </row>
    <row r="30408" s="101" customFormat="1" spans="6:6">
      <c r="F30408" s="2423"/>
    </row>
    <row r="30409" s="101" customFormat="1" spans="6:6">
      <c r="F30409" s="2423"/>
    </row>
    <row r="30410" s="101" customFormat="1" spans="6:6">
      <c r="F30410" s="2423"/>
    </row>
    <row r="30411" s="101" customFormat="1" spans="6:6">
      <c r="F30411" s="2423"/>
    </row>
    <row r="30412" s="101" customFormat="1" spans="6:6">
      <c r="F30412" s="2423"/>
    </row>
    <row r="30413" s="101" customFormat="1" spans="6:6">
      <c r="F30413" s="2423"/>
    </row>
    <row r="30414" s="101" customFormat="1" spans="6:6">
      <c r="F30414" s="2423"/>
    </row>
    <row r="30415" s="101" customFormat="1" spans="6:6">
      <c r="F30415" s="2423"/>
    </row>
    <row r="30416" s="101" customFormat="1" spans="6:6">
      <c r="F30416" s="2423"/>
    </row>
    <row r="30417" s="101" customFormat="1" spans="6:6">
      <c r="F30417" s="2423"/>
    </row>
    <row r="30418" s="101" customFormat="1" spans="6:6">
      <c r="F30418" s="2423"/>
    </row>
    <row r="30419" s="101" customFormat="1" spans="6:6">
      <c r="F30419" s="2423"/>
    </row>
    <row r="30420" s="101" customFormat="1" spans="6:6">
      <c r="F30420" s="2423"/>
    </row>
    <row r="30421" s="101" customFormat="1" spans="6:6">
      <c r="F30421" s="2423"/>
    </row>
    <row r="30422" s="101" customFormat="1" spans="6:6">
      <c r="F30422" s="2423"/>
    </row>
    <row r="30423" s="101" customFormat="1" spans="6:6">
      <c r="F30423" s="2423"/>
    </row>
    <row r="30424" s="101" customFormat="1" spans="6:6">
      <c r="F30424" s="2423"/>
    </row>
    <row r="30425" s="101" customFormat="1" spans="6:6">
      <c r="F30425" s="2423"/>
    </row>
    <row r="30426" s="101" customFormat="1" spans="6:6">
      <c r="F30426" s="2423"/>
    </row>
    <row r="30427" s="101" customFormat="1" spans="6:6">
      <c r="F30427" s="2423"/>
    </row>
    <row r="30428" s="101" customFormat="1" spans="6:6">
      <c r="F30428" s="2423"/>
    </row>
    <row r="30429" s="101" customFormat="1" spans="6:6">
      <c r="F30429" s="2423"/>
    </row>
    <row r="30430" s="101" customFormat="1" spans="6:6">
      <c r="F30430" s="2423"/>
    </row>
    <row r="30431" s="101" customFormat="1" spans="6:6">
      <c r="F30431" s="2423"/>
    </row>
    <row r="30432" s="101" customFormat="1" spans="6:6">
      <c r="F30432" s="2423"/>
    </row>
    <row r="30433" s="101" customFormat="1" spans="6:6">
      <c r="F30433" s="2423"/>
    </row>
    <row r="30434" s="101" customFormat="1" spans="6:6">
      <c r="F30434" s="2423"/>
    </row>
    <row r="30435" s="101" customFormat="1" spans="6:6">
      <c r="F30435" s="2423"/>
    </row>
    <row r="30436" s="101" customFormat="1" spans="6:6">
      <c r="F30436" s="2423"/>
    </row>
    <row r="30437" s="101" customFormat="1" spans="6:6">
      <c r="F30437" s="2423"/>
    </row>
    <row r="30438" s="101" customFormat="1" spans="6:6">
      <c r="F30438" s="2423"/>
    </row>
    <row r="30439" s="101" customFormat="1" spans="6:6">
      <c r="F30439" s="2423"/>
    </row>
    <row r="30440" s="101" customFormat="1" spans="6:6">
      <c r="F30440" s="2423"/>
    </row>
    <row r="30441" s="101" customFormat="1" spans="6:6">
      <c r="F30441" s="2423"/>
    </row>
    <row r="30442" s="101" customFormat="1" spans="6:6">
      <c r="F30442" s="2423"/>
    </row>
    <row r="30443" s="101" customFormat="1" spans="6:6">
      <c r="F30443" s="2423"/>
    </row>
    <row r="30444" s="101" customFormat="1" spans="6:6">
      <c r="F30444" s="2423"/>
    </row>
    <row r="30445" s="101" customFormat="1" spans="6:6">
      <c r="F30445" s="2423"/>
    </row>
    <row r="30446" s="101" customFormat="1" spans="6:6">
      <c r="F30446" s="2423"/>
    </row>
    <row r="30447" s="101" customFormat="1" spans="6:6">
      <c r="F30447" s="2423"/>
    </row>
    <row r="30448" s="101" customFormat="1" spans="6:6">
      <c r="F30448" s="2423"/>
    </row>
    <row r="30449" s="101" customFormat="1" spans="6:6">
      <c r="F30449" s="2423"/>
    </row>
    <row r="30450" s="101" customFormat="1" spans="6:6">
      <c r="F30450" s="2423"/>
    </row>
    <row r="30451" s="101" customFormat="1" spans="6:6">
      <c r="F30451" s="2423"/>
    </row>
    <row r="30452" s="101" customFormat="1" spans="6:6">
      <c r="F30452" s="2423"/>
    </row>
    <row r="30453" s="101" customFormat="1" spans="6:6">
      <c r="F30453" s="2423"/>
    </row>
    <row r="30454" s="101" customFormat="1" spans="6:6">
      <c r="F30454" s="2423"/>
    </row>
    <row r="30455" s="101" customFormat="1" spans="6:6">
      <c r="F30455" s="2423"/>
    </row>
    <row r="30456" s="101" customFormat="1" spans="6:6">
      <c r="F30456" s="2423"/>
    </row>
    <row r="30457" s="101" customFormat="1" spans="6:6">
      <c r="F30457" s="2423"/>
    </row>
    <row r="30458" s="101" customFormat="1" spans="6:6">
      <c r="F30458" s="2423"/>
    </row>
    <row r="30459" s="101" customFormat="1" spans="6:6">
      <c r="F30459" s="2423"/>
    </row>
    <row r="30460" s="101" customFormat="1" spans="6:6">
      <c r="F30460" s="2423"/>
    </row>
    <row r="30461" s="101" customFormat="1" spans="6:6">
      <c r="F30461" s="2423"/>
    </row>
    <row r="30462" s="101" customFormat="1" spans="6:6">
      <c r="F30462" s="2423"/>
    </row>
    <row r="30463" s="101" customFormat="1" spans="6:6">
      <c r="F30463" s="2423"/>
    </row>
    <row r="30464" s="101" customFormat="1" spans="6:6">
      <c r="F30464" s="2423"/>
    </row>
    <row r="30465" s="101" customFormat="1" spans="6:6">
      <c r="F30465" s="2423"/>
    </row>
    <row r="30466" s="101" customFormat="1" spans="6:6">
      <c r="F30466" s="2423"/>
    </row>
    <row r="30467" s="101" customFormat="1" spans="6:6">
      <c r="F30467" s="2423"/>
    </row>
    <row r="30468" s="101" customFormat="1" spans="6:6">
      <c r="F30468" s="2423"/>
    </row>
    <row r="30469" s="101" customFormat="1" spans="6:6">
      <c r="F30469" s="2423"/>
    </row>
    <row r="30470" s="101" customFormat="1" spans="6:6">
      <c r="F30470" s="2423"/>
    </row>
    <row r="30471" s="101" customFormat="1" spans="6:6">
      <c r="F30471" s="2423"/>
    </row>
    <row r="30472" s="101" customFormat="1" spans="6:6">
      <c r="F30472" s="2423"/>
    </row>
    <row r="30473" s="101" customFormat="1" spans="6:6">
      <c r="F30473" s="2423"/>
    </row>
    <row r="30474" s="101" customFormat="1" spans="6:6">
      <c r="F30474" s="2423"/>
    </row>
    <row r="30475" s="101" customFormat="1" spans="6:6">
      <c r="F30475" s="2423"/>
    </row>
    <row r="30476" s="101" customFormat="1" spans="6:6">
      <c r="F30476" s="2423"/>
    </row>
    <row r="30477" s="101" customFormat="1" spans="6:6">
      <c r="F30477" s="2423"/>
    </row>
    <row r="30478" s="101" customFormat="1" spans="6:6">
      <c r="F30478" s="2423"/>
    </row>
    <row r="30479" s="101" customFormat="1" spans="6:6">
      <c r="F30479" s="2423"/>
    </row>
    <row r="30480" s="101" customFormat="1" spans="6:6">
      <c r="F30480" s="2423"/>
    </row>
    <row r="30481" s="101" customFormat="1" spans="6:6">
      <c r="F30481" s="2423"/>
    </row>
    <row r="30482" s="101" customFormat="1" spans="6:6">
      <c r="F30482" s="2423"/>
    </row>
    <row r="30483" s="101" customFormat="1" spans="6:6">
      <c r="F30483" s="2423"/>
    </row>
    <row r="30484" s="101" customFormat="1" spans="6:6">
      <c r="F30484" s="2423"/>
    </row>
    <row r="30485" s="101" customFormat="1" spans="6:6">
      <c r="F30485" s="2423"/>
    </row>
    <row r="30486" s="101" customFormat="1" spans="6:6">
      <c r="F30486" s="2423"/>
    </row>
    <row r="30487" s="101" customFormat="1" spans="6:6">
      <c r="F30487" s="2423"/>
    </row>
    <row r="30488" s="101" customFormat="1" spans="6:6">
      <c r="F30488" s="2423"/>
    </row>
    <row r="30489" s="101" customFormat="1" spans="6:6">
      <c r="F30489" s="2423"/>
    </row>
    <row r="30490" s="101" customFormat="1" spans="6:6">
      <c r="F30490" s="2423"/>
    </row>
    <row r="30491" s="101" customFormat="1" spans="6:6">
      <c r="F30491" s="2423"/>
    </row>
    <row r="30492" s="101" customFormat="1" spans="6:6">
      <c r="F30492" s="2423"/>
    </row>
    <row r="30493" s="101" customFormat="1" spans="6:6">
      <c r="F30493" s="2423"/>
    </row>
    <row r="30494" s="101" customFormat="1" spans="6:6">
      <c r="F30494" s="2423"/>
    </row>
    <row r="30495" s="101" customFormat="1" spans="6:6">
      <c r="F30495" s="2423"/>
    </row>
    <row r="30496" s="101" customFormat="1" spans="6:6">
      <c r="F30496" s="2423"/>
    </row>
    <row r="30497" s="101" customFormat="1" spans="6:6">
      <c r="F30497" s="2423"/>
    </row>
    <row r="30498" s="101" customFormat="1" spans="6:6">
      <c r="F30498" s="2423"/>
    </row>
    <row r="30499" s="101" customFormat="1" spans="6:6">
      <c r="F30499" s="2423"/>
    </row>
    <row r="30500" s="101" customFormat="1" spans="6:6">
      <c r="F30500" s="2423"/>
    </row>
    <row r="30501" s="101" customFormat="1" spans="6:6">
      <c r="F30501" s="2423"/>
    </row>
    <row r="30502" s="101" customFormat="1" spans="6:6">
      <c r="F30502" s="2423"/>
    </row>
    <row r="30503" s="101" customFormat="1" spans="6:6">
      <c r="F30503" s="2423"/>
    </row>
    <row r="30504" s="101" customFormat="1" spans="6:6">
      <c r="F30504" s="2423"/>
    </row>
    <row r="30505" s="101" customFormat="1" spans="6:6">
      <c r="F30505" s="2423"/>
    </row>
    <row r="30506" s="101" customFormat="1" spans="6:6">
      <c r="F30506" s="2423"/>
    </row>
    <row r="30507" s="101" customFormat="1" spans="6:6">
      <c r="F30507" s="2423"/>
    </row>
    <row r="30508" s="101" customFormat="1" spans="6:6">
      <c r="F30508" s="2423"/>
    </row>
    <row r="30509" s="101" customFormat="1" spans="6:6">
      <c r="F30509" s="2423"/>
    </row>
    <row r="30510" s="101" customFormat="1" spans="6:6">
      <c r="F30510" s="2423"/>
    </row>
    <row r="30511" s="101" customFormat="1" spans="6:6">
      <c r="F30511" s="2423"/>
    </row>
    <row r="30512" s="101" customFormat="1" spans="6:6">
      <c r="F30512" s="2423"/>
    </row>
    <row r="30513" s="101" customFormat="1" spans="6:6">
      <c r="F30513" s="2423"/>
    </row>
    <row r="30514" s="101" customFormat="1" spans="6:6">
      <c r="F30514" s="2423"/>
    </row>
    <row r="30515" s="101" customFormat="1" spans="6:6">
      <c r="F30515" s="2423"/>
    </row>
    <row r="30516" s="101" customFormat="1" spans="6:6">
      <c r="F30516" s="2423"/>
    </row>
    <row r="30517" s="101" customFormat="1" spans="6:6">
      <c r="F30517" s="2423"/>
    </row>
    <row r="30518" s="101" customFormat="1" spans="6:6">
      <c r="F30518" s="2423"/>
    </row>
    <row r="30519" s="101" customFormat="1" spans="6:6">
      <c r="F30519" s="2423"/>
    </row>
    <row r="30520" s="101" customFormat="1" spans="6:6">
      <c r="F30520" s="2423"/>
    </row>
    <row r="30521" s="101" customFormat="1" spans="6:6">
      <c r="F30521" s="2423"/>
    </row>
    <row r="30522" s="101" customFormat="1" spans="6:6">
      <c r="F30522" s="2423"/>
    </row>
    <row r="30523" s="101" customFormat="1" spans="6:6">
      <c r="F30523" s="2423"/>
    </row>
    <row r="30524" s="101" customFormat="1" spans="6:6">
      <c r="F30524" s="2423"/>
    </row>
    <row r="30525" s="101" customFormat="1" spans="6:6">
      <c r="F30525" s="2423"/>
    </row>
    <row r="30526" s="101" customFormat="1" spans="6:6">
      <c r="F30526" s="2423"/>
    </row>
    <row r="30527" s="101" customFormat="1" spans="6:6">
      <c r="F30527" s="2423"/>
    </row>
    <row r="30528" s="101" customFormat="1" spans="6:6">
      <c r="F30528" s="2423"/>
    </row>
    <row r="30529" s="101" customFormat="1" spans="6:6">
      <c r="F30529" s="2423"/>
    </row>
    <row r="30530" s="101" customFormat="1" spans="6:6">
      <c r="F30530" s="2423"/>
    </row>
    <row r="30531" s="101" customFormat="1" spans="6:6">
      <c r="F30531" s="2423"/>
    </row>
    <row r="30532" s="101" customFormat="1" spans="6:6">
      <c r="F30532" s="2423"/>
    </row>
    <row r="30533" s="101" customFormat="1" spans="6:6">
      <c r="F30533" s="2423"/>
    </row>
    <row r="30534" s="101" customFormat="1" spans="6:6">
      <c r="F30534" s="2423"/>
    </row>
    <row r="30535" s="101" customFormat="1" spans="6:6">
      <c r="F30535" s="2423"/>
    </row>
    <row r="30536" s="101" customFormat="1" spans="6:6">
      <c r="F30536" s="2423"/>
    </row>
    <row r="30537" s="101" customFormat="1" spans="6:6">
      <c r="F30537" s="2423"/>
    </row>
    <row r="30538" s="101" customFormat="1" spans="6:6">
      <c r="F30538" s="2423"/>
    </row>
    <row r="30539" s="101" customFormat="1" spans="6:6">
      <c r="F30539" s="2423"/>
    </row>
    <row r="30540" s="101" customFormat="1" spans="6:6">
      <c r="F30540" s="2423"/>
    </row>
    <row r="30541" s="101" customFormat="1" spans="6:6">
      <c r="F30541" s="2423"/>
    </row>
    <row r="30542" s="101" customFormat="1" spans="6:6">
      <c r="F30542" s="2423"/>
    </row>
    <row r="30543" s="101" customFormat="1" spans="6:6">
      <c r="F30543" s="2423"/>
    </row>
    <row r="30544" s="101" customFormat="1" spans="6:6">
      <c r="F30544" s="2423"/>
    </row>
    <row r="30545" s="101" customFormat="1" spans="6:6">
      <c r="F30545" s="2423"/>
    </row>
    <row r="30546" s="101" customFormat="1" spans="6:6">
      <c r="F30546" s="2423"/>
    </row>
    <row r="30547" s="101" customFormat="1" spans="6:6">
      <c r="F30547" s="2423"/>
    </row>
    <row r="30548" s="101" customFormat="1" spans="6:6">
      <c r="F30548" s="2423"/>
    </row>
    <row r="30549" s="101" customFormat="1" spans="6:6">
      <c r="F30549" s="2423"/>
    </row>
    <row r="30550" s="101" customFormat="1" spans="6:6">
      <c r="F30550" s="2423"/>
    </row>
    <row r="30551" s="101" customFormat="1" spans="6:6">
      <c r="F30551" s="2423"/>
    </row>
    <row r="30552" s="101" customFormat="1" spans="6:6">
      <c r="F30552" s="2423"/>
    </row>
    <row r="30553" s="101" customFormat="1" spans="6:6">
      <c r="F30553" s="2423"/>
    </row>
    <row r="30554" s="101" customFormat="1" spans="6:6">
      <c r="F30554" s="2423"/>
    </row>
    <row r="30555" s="101" customFormat="1" spans="6:6">
      <c r="F30555" s="2423"/>
    </row>
    <row r="30556" s="101" customFormat="1" spans="6:6">
      <c r="F30556" s="2423"/>
    </row>
    <row r="30557" s="101" customFormat="1" spans="6:6">
      <c r="F30557" s="2423"/>
    </row>
    <row r="30558" s="101" customFormat="1" spans="6:6">
      <c r="F30558" s="2423"/>
    </row>
    <row r="30559" s="101" customFormat="1" spans="6:6">
      <c r="F30559" s="2423"/>
    </row>
    <row r="30560" s="101" customFormat="1" spans="6:6">
      <c r="F30560" s="2423"/>
    </row>
    <row r="30561" s="101" customFormat="1" spans="6:6">
      <c r="F30561" s="2423"/>
    </row>
    <row r="30562" s="101" customFormat="1" spans="6:6">
      <c r="F30562" s="2423"/>
    </row>
    <row r="30563" s="101" customFormat="1" spans="6:6">
      <c r="F30563" s="2423"/>
    </row>
    <row r="30564" s="101" customFormat="1" spans="6:6">
      <c r="F30564" s="2423"/>
    </row>
    <row r="30565" s="101" customFormat="1" spans="6:6">
      <c r="F30565" s="2423"/>
    </row>
    <row r="30566" s="101" customFormat="1" spans="6:6">
      <c r="F30566" s="2423"/>
    </row>
    <row r="30567" s="101" customFormat="1" spans="6:6">
      <c r="F30567" s="2423"/>
    </row>
    <row r="30568" s="101" customFormat="1" spans="6:6">
      <c r="F30568" s="2423"/>
    </row>
    <row r="30569" s="101" customFormat="1" spans="6:6">
      <c r="F30569" s="2423"/>
    </row>
    <row r="30570" s="101" customFormat="1" spans="6:6">
      <c r="F30570" s="2423"/>
    </row>
    <row r="30571" s="101" customFormat="1" spans="6:6">
      <c r="F30571" s="2423"/>
    </row>
    <row r="30572" s="101" customFormat="1" spans="6:6">
      <c r="F30572" s="2423"/>
    </row>
    <row r="30573" s="101" customFormat="1" spans="6:6">
      <c r="F30573" s="2423"/>
    </row>
    <row r="30574" s="101" customFormat="1" spans="6:6">
      <c r="F30574" s="2423"/>
    </row>
    <row r="30575" s="101" customFormat="1" spans="6:6">
      <c r="F30575" s="2423"/>
    </row>
    <row r="30576" s="101" customFormat="1" spans="6:6">
      <c r="F30576" s="2423"/>
    </row>
    <row r="30577" s="101" customFormat="1" spans="6:6">
      <c r="F30577" s="2423"/>
    </row>
    <row r="30578" s="101" customFormat="1" spans="6:6">
      <c r="F30578" s="2423"/>
    </row>
    <row r="30579" s="101" customFormat="1" spans="6:6">
      <c r="F30579" s="2423"/>
    </row>
    <row r="30580" s="101" customFormat="1" spans="6:6">
      <c r="F30580" s="2423"/>
    </row>
    <row r="30581" s="101" customFormat="1" spans="6:6">
      <c r="F30581" s="2423"/>
    </row>
    <row r="30582" s="101" customFormat="1" spans="6:6">
      <c r="F30582" s="2423"/>
    </row>
    <row r="30583" s="101" customFormat="1" spans="6:6">
      <c r="F30583" s="2423"/>
    </row>
    <row r="30584" s="101" customFormat="1" spans="6:6">
      <c r="F30584" s="2423"/>
    </row>
    <row r="30585" s="101" customFormat="1" spans="6:6">
      <c r="F30585" s="2423"/>
    </row>
    <row r="30586" s="101" customFormat="1" spans="6:6">
      <c r="F30586" s="2423"/>
    </row>
    <row r="30587" s="101" customFormat="1" spans="6:6">
      <c r="F30587" s="2423"/>
    </row>
    <row r="30588" s="101" customFormat="1" spans="6:6">
      <c r="F30588" s="2423"/>
    </row>
    <row r="30589" s="101" customFormat="1" spans="6:6">
      <c r="F30589" s="2423"/>
    </row>
    <row r="30590" s="101" customFormat="1" spans="6:6">
      <c r="F30590" s="2423"/>
    </row>
    <row r="30591" s="101" customFormat="1" spans="6:6">
      <c r="F30591" s="2423"/>
    </row>
    <row r="30592" s="101" customFormat="1" spans="6:6">
      <c r="F30592" s="2423"/>
    </row>
    <row r="30593" s="101" customFormat="1" spans="6:6">
      <c r="F30593" s="2423"/>
    </row>
    <row r="30594" s="101" customFormat="1" spans="6:6">
      <c r="F30594" s="2423"/>
    </row>
    <row r="30595" s="101" customFormat="1" spans="6:6">
      <c r="F30595" s="2423"/>
    </row>
    <row r="30596" s="101" customFormat="1" spans="6:6">
      <c r="F30596" s="2423"/>
    </row>
    <row r="30597" s="101" customFormat="1" spans="6:6">
      <c r="F30597" s="2423"/>
    </row>
    <row r="30598" s="101" customFormat="1" spans="6:6">
      <c r="F30598" s="2423"/>
    </row>
    <row r="30599" s="101" customFormat="1" spans="6:6">
      <c r="F30599" s="2423"/>
    </row>
    <row r="30600" s="101" customFormat="1" spans="6:6">
      <c r="F30600" s="2423"/>
    </row>
    <row r="30601" s="101" customFormat="1" spans="6:6">
      <c r="F30601" s="2423"/>
    </row>
    <row r="30602" s="101" customFormat="1" spans="6:6">
      <c r="F30602" s="2423"/>
    </row>
    <row r="30603" s="101" customFormat="1" spans="6:6">
      <c r="F30603" s="2423"/>
    </row>
    <row r="30604" s="101" customFormat="1" spans="6:6">
      <c r="F30604" s="2423"/>
    </row>
    <row r="30605" s="101" customFormat="1" spans="6:6">
      <c r="F30605" s="2423"/>
    </row>
    <row r="30606" s="101" customFormat="1" spans="6:6">
      <c r="F30606" s="2423"/>
    </row>
    <row r="30607" s="101" customFormat="1" spans="6:6">
      <c r="F30607" s="2423"/>
    </row>
    <row r="30608" s="101" customFormat="1" spans="6:6">
      <c r="F30608" s="2423"/>
    </row>
    <row r="30609" s="101" customFormat="1" spans="6:6">
      <c r="F30609" s="2423"/>
    </row>
    <row r="30610" s="101" customFormat="1" spans="6:6">
      <c r="F30610" s="2423"/>
    </row>
    <row r="30611" s="101" customFormat="1" spans="6:6">
      <c r="F30611" s="2423"/>
    </row>
    <row r="30612" s="101" customFormat="1" spans="6:6">
      <c r="F30612" s="2423"/>
    </row>
    <row r="30613" s="101" customFormat="1" spans="6:6">
      <c r="F30613" s="2423"/>
    </row>
    <row r="30614" s="101" customFormat="1" spans="6:6">
      <c r="F30614" s="2423"/>
    </row>
    <row r="30615" s="101" customFormat="1" spans="6:6">
      <c r="F30615" s="2423"/>
    </row>
    <row r="30616" s="101" customFormat="1" spans="6:6">
      <c r="F30616" s="2423"/>
    </row>
    <row r="30617" s="101" customFormat="1" spans="6:6">
      <c r="F30617" s="2423"/>
    </row>
    <row r="30618" s="101" customFormat="1" spans="6:6">
      <c r="F30618" s="2423"/>
    </row>
    <row r="30619" s="101" customFormat="1" spans="6:6">
      <c r="F30619" s="2423"/>
    </row>
    <row r="30620" s="101" customFormat="1" spans="6:6">
      <c r="F30620" s="2423"/>
    </row>
    <row r="30621" s="101" customFormat="1" spans="6:6">
      <c r="F30621" s="2423"/>
    </row>
    <row r="30622" s="101" customFormat="1" spans="6:6">
      <c r="F30622" s="2423"/>
    </row>
    <row r="30623" s="101" customFormat="1" spans="6:6">
      <c r="F30623" s="2423"/>
    </row>
    <row r="30624" s="101" customFormat="1" spans="6:6">
      <c r="F30624" s="2423"/>
    </row>
    <row r="30625" s="101" customFormat="1" spans="6:6">
      <c r="F30625" s="2423"/>
    </row>
    <row r="30626" s="101" customFormat="1" spans="6:6">
      <c r="F30626" s="2423"/>
    </row>
    <row r="30627" s="101" customFormat="1" spans="6:6">
      <c r="F30627" s="2423"/>
    </row>
    <row r="30628" s="101" customFormat="1" spans="6:6">
      <c r="F30628" s="2423"/>
    </row>
    <row r="30629" s="101" customFormat="1" spans="6:6">
      <c r="F30629" s="2423"/>
    </row>
    <row r="30630" s="101" customFormat="1" spans="6:6">
      <c r="F30630" s="2423"/>
    </row>
    <row r="30631" s="101" customFormat="1" spans="6:6">
      <c r="F30631" s="2423"/>
    </row>
    <row r="30632" s="101" customFormat="1" spans="6:6">
      <c r="F30632" s="2423"/>
    </row>
    <row r="30633" s="101" customFormat="1" spans="6:6">
      <c r="F30633" s="2423"/>
    </row>
    <row r="30634" s="101" customFormat="1" spans="6:6">
      <c r="F30634" s="2423"/>
    </row>
    <row r="30635" s="101" customFormat="1" spans="6:6">
      <c r="F30635" s="2423"/>
    </row>
    <row r="30636" s="101" customFormat="1" spans="6:6">
      <c r="F30636" s="2423"/>
    </row>
    <row r="30637" s="101" customFormat="1" spans="6:6">
      <c r="F30637" s="2423"/>
    </row>
    <row r="30638" s="101" customFormat="1" spans="6:6">
      <c r="F30638" s="2423"/>
    </row>
    <row r="30639" s="101" customFormat="1" spans="6:6">
      <c r="F30639" s="2423"/>
    </row>
    <row r="30640" s="101" customFormat="1" spans="6:6">
      <c r="F30640" s="2423"/>
    </row>
    <row r="30641" s="101" customFormat="1" spans="6:6">
      <c r="F30641" s="2423"/>
    </row>
    <row r="30642" s="101" customFormat="1" spans="6:6">
      <c r="F30642" s="2423"/>
    </row>
    <row r="30643" s="101" customFormat="1" spans="6:6">
      <c r="F30643" s="2423"/>
    </row>
    <row r="30644" s="101" customFormat="1" spans="6:6">
      <c r="F30644" s="2423"/>
    </row>
    <row r="30645" s="101" customFormat="1" spans="6:6">
      <c r="F30645" s="2423"/>
    </row>
    <row r="30646" s="101" customFormat="1" spans="6:6">
      <c r="F30646" s="2423"/>
    </row>
    <row r="30647" s="101" customFormat="1" spans="6:6">
      <c r="F30647" s="2423"/>
    </row>
    <row r="30648" s="101" customFormat="1" spans="6:6">
      <c r="F30648" s="2423"/>
    </row>
    <row r="30649" s="101" customFormat="1" spans="6:6">
      <c r="F30649" s="2423"/>
    </row>
    <row r="30650" s="101" customFormat="1" spans="6:6">
      <c r="F30650" s="2423"/>
    </row>
    <row r="30651" s="101" customFormat="1" spans="6:6">
      <c r="F30651" s="2423"/>
    </row>
    <row r="30652" s="101" customFormat="1" spans="6:6">
      <c r="F30652" s="2423"/>
    </row>
    <row r="30653" s="101" customFormat="1" spans="6:6">
      <c r="F30653" s="2423"/>
    </row>
    <row r="30654" s="101" customFormat="1" spans="6:6">
      <c r="F30654" s="2423"/>
    </row>
    <row r="30655" s="101" customFormat="1" spans="6:6">
      <c r="F30655" s="2423"/>
    </row>
    <row r="30656" s="101" customFormat="1" spans="6:6">
      <c r="F30656" s="2423"/>
    </row>
    <row r="30657" s="101" customFormat="1" spans="6:6">
      <c r="F30657" s="2423"/>
    </row>
    <row r="30658" s="101" customFormat="1" spans="6:6">
      <c r="F30658" s="2423"/>
    </row>
    <row r="30659" s="101" customFormat="1" spans="6:6">
      <c r="F30659" s="2423"/>
    </row>
    <row r="30660" s="101" customFormat="1" spans="6:6">
      <c r="F30660" s="2423"/>
    </row>
    <row r="30661" s="101" customFormat="1" spans="6:6">
      <c r="F30661" s="2423"/>
    </row>
    <row r="30662" s="101" customFormat="1" spans="6:6">
      <c r="F30662" s="2423"/>
    </row>
    <row r="30663" s="101" customFormat="1" spans="6:6">
      <c r="F30663" s="2423"/>
    </row>
    <row r="30664" s="101" customFormat="1" spans="6:6">
      <c r="F30664" s="2423"/>
    </row>
    <row r="30665" s="101" customFormat="1" spans="6:6">
      <c r="F30665" s="2423"/>
    </row>
    <row r="30666" s="101" customFormat="1" spans="6:6">
      <c r="F30666" s="2423"/>
    </row>
    <row r="30667" s="101" customFormat="1" spans="6:6">
      <c r="F30667" s="2423"/>
    </row>
    <row r="30668" s="101" customFormat="1" spans="6:6">
      <c r="F30668" s="2423"/>
    </row>
    <row r="30669" s="101" customFormat="1" spans="6:6">
      <c r="F30669" s="2423"/>
    </row>
    <row r="30670" s="101" customFormat="1" spans="6:6">
      <c r="F30670" s="2423"/>
    </row>
    <row r="30671" s="101" customFormat="1" spans="6:6">
      <c r="F30671" s="2423"/>
    </row>
    <row r="30672" s="101" customFormat="1" spans="6:6">
      <c r="F30672" s="2423"/>
    </row>
    <row r="30673" s="101" customFormat="1" spans="6:6">
      <c r="F30673" s="2423"/>
    </row>
    <row r="30674" s="101" customFormat="1" spans="6:6">
      <c r="F30674" s="2423"/>
    </row>
    <row r="30675" s="101" customFormat="1" spans="6:6">
      <c r="F30675" s="2423"/>
    </row>
    <row r="30676" s="101" customFormat="1" spans="6:6">
      <c r="F30676" s="2423"/>
    </row>
    <row r="30677" s="101" customFormat="1" spans="6:6">
      <c r="F30677" s="2423"/>
    </row>
    <row r="30678" s="101" customFormat="1" spans="6:6">
      <c r="F30678" s="2423"/>
    </row>
    <row r="30679" s="101" customFormat="1" spans="6:6">
      <c r="F30679" s="2423"/>
    </row>
    <row r="30680" s="101" customFormat="1" spans="6:6">
      <c r="F30680" s="2423"/>
    </row>
    <row r="30681" s="101" customFormat="1" spans="6:6">
      <c r="F30681" s="2423"/>
    </row>
    <row r="30682" s="101" customFormat="1" spans="6:6">
      <c r="F30682" s="2423"/>
    </row>
    <row r="30683" s="101" customFormat="1" spans="6:6">
      <c r="F30683" s="2423"/>
    </row>
    <row r="30684" s="101" customFormat="1" spans="6:6">
      <c r="F30684" s="2423"/>
    </row>
    <row r="30685" s="101" customFormat="1" spans="6:6">
      <c r="F30685" s="2423"/>
    </row>
    <row r="30686" s="101" customFormat="1" spans="6:6">
      <c r="F30686" s="2423"/>
    </row>
    <row r="30687" s="101" customFormat="1" spans="6:6">
      <c r="F30687" s="2423"/>
    </row>
    <row r="30688" s="101" customFormat="1" spans="6:6">
      <c r="F30688" s="2423"/>
    </row>
    <row r="30689" s="101" customFormat="1" spans="6:6">
      <c r="F30689" s="2423"/>
    </row>
    <row r="30690" s="101" customFormat="1" spans="6:6">
      <c r="F30690" s="2423"/>
    </row>
    <row r="30691" s="101" customFormat="1" spans="6:6">
      <c r="F30691" s="2423"/>
    </row>
    <row r="30692" s="101" customFormat="1" spans="6:6">
      <c r="F30692" s="2423"/>
    </row>
    <row r="30693" s="101" customFormat="1" spans="6:6">
      <c r="F30693" s="2423"/>
    </row>
    <row r="30694" s="101" customFormat="1" spans="6:6">
      <c r="F30694" s="2423"/>
    </row>
    <row r="30695" s="101" customFormat="1" spans="6:6">
      <c r="F30695" s="2423"/>
    </row>
    <row r="30696" s="101" customFormat="1" spans="6:6">
      <c r="F30696" s="2423"/>
    </row>
    <row r="30697" s="101" customFormat="1" spans="6:6">
      <c r="F30697" s="2423"/>
    </row>
    <row r="30698" s="101" customFormat="1" spans="6:6">
      <c r="F30698" s="2423"/>
    </row>
    <row r="30699" s="101" customFormat="1" spans="6:6">
      <c r="F30699" s="2423"/>
    </row>
    <row r="30700" s="101" customFormat="1" spans="6:6">
      <c r="F30700" s="2423"/>
    </row>
    <row r="30701" s="101" customFormat="1" spans="6:6">
      <c r="F30701" s="2423"/>
    </row>
    <row r="30702" s="101" customFormat="1" spans="6:6">
      <c r="F30702" s="2423"/>
    </row>
    <row r="30703" s="101" customFormat="1" spans="6:6">
      <c r="F30703" s="2423"/>
    </row>
    <row r="30704" s="101" customFormat="1" spans="6:6">
      <c r="F30704" s="2423"/>
    </row>
    <row r="30705" s="101" customFormat="1" spans="6:6">
      <c r="F30705" s="2423"/>
    </row>
    <row r="30706" s="101" customFormat="1" spans="6:6">
      <c r="F30706" s="2423"/>
    </row>
    <row r="30707" s="101" customFormat="1" spans="6:6">
      <c r="F30707" s="2423"/>
    </row>
    <row r="30708" s="101" customFormat="1" spans="6:6">
      <c r="F30708" s="2423"/>
    </row>
    <row r="30709" s="101" customFormat="1" spans="6:6">
      <c r="F30709" s="2423"/>
    </row>
    <row r="30710" s="101" customFormat="1" spans="6:6">
      <c r="F30710" s="2423"/>
    </row>
    <row r="30711" s="101" customFormat="1" spans="6:6">
      <c r="F30711" s="2423"/>
    </row>
    <row r="30712" s="101" customFormat="1" spans="6:6">
      <c r="F30712" s="2423"/>
    </row>
    <row r="30713" s="101" customFormat="1" spans="6:6">
      <c r="F30713" s="2423"/>
    </row>
    <row r="30714" s="101" customFormat="1" spans="6:6">
      <c r="F30714" s="2423"/>
    </row>
    <row r="30715" s="101" customFormat="1" spans="6:6">
      <c r="F30715" s="2423"/>
    </row>
    <row r="30716" s="101" customFormat="1" spans="6:6">
      <c r="F30716" s="2423"/>
    </row>
    <row r="30717" s="101" customFormat="1" spans="6:6">
      <c r="F30717" s="2423"/>
    </row>
    <row r="30718" s="101" customFormat="1" spans="6:6">
      <c r="F30718" s="2423"/>
    </row>
    <row r="30719" s="101" customFormat="1" spans="6:6">
      <c r="F30719" s="2423"/>
    </row>
    <row r="30720" s="101" customFormat="1" spans="6:6">
      <c r="F30720" s="2423"/>
    </row>
    <row r="30721" s="101" customFormat="1" spans="6:6">
      <c r="F30721" s="2423"/>
    </row>
    <row r="30722" s="101" customFormat="1" spans="6:6">
      <c r="F30722" s="2423"/>
    </row>
    <row r="30723" s="101" customFormat="1" spans="6:6">
      <c r="F30723" s="2423"/>
    </row>
    <row r="30724" s="101" customFormat="1" spans="6:6">
      <c r="F30724" s="2423"/>
    </row>
    <row r="30725" s="101" customFormat="1" spans="6:6">
      <c r="F30725" s="2423"/>
    </row>
    <row r="30726" s="101" customFormat="1" spans="6:6">
      <c r="F30726" s="2423"/>
    </row>
    <row r="30727" s="101" customFormat="1" spans="6:6">
      <c r="F30727" s="2423"/>
    </row>
    <row r="30728" s="101" customFormat="1" spans="6:6">
      <c r="F30728" s="2423"/>
    </row>
    <row r="30729" s="101" customFormat="1" spans="6:6">
      <c r="F30729" s="2423"/>
    </row>
    <row r="30730" s="101" customFormat="1" spans="6:6">
      <c r="F30730" s="2423"/>
    </row>
    <row r="30731" s="101" customFormat="1" spans="6:6">
      <c r="F30731" s="2423"/>
    </row>
    <row r="30732" s="101" customFormat="1" spans="6:6">
      <c r="F30732" s="2423"/>
    </row>
    <row r="30733" s="101" customFormat="1" spans="6:6">
      <c r="F30733" s="2423"/>
    </row>
    <row r="30734" s="101" customFormat="1" spans="6:6">
      <c r="F30734" s="2423"/>
    </row>
    <row r="30735" s="101" customFormat="1" spans="6:6">
      <c r="F30735" s="2423"/>
    </row>
    <row r="30736" s="101" customFormat="1" spans="6:6">
      <c r="F30736" s="2423"/>
    </row>
    <row r="30737" s="101" customFormat="1" spans="6:6">
      <c r="F30737" s="2423"/>
    </row>
    <row r="30738" s="101" customFormat="1" spans="6:6">
      <c r="F30738" s="2423"/>
    </row>
    <row r="30739" s="101" customFormat="1" spans="6:6">
      <c r="F30739" s="2423"/>
    </row>
    <row r="30740" s="101" customFormat="1" spans="6:6">
      <c r="F30740" s="2423"/>
    </row>
    <row r="30741" s="101" customFormat="1" spans="6:6">
      <c r="F30741" s="2423"/>
    </row>
    <row r="30742" s="101" customFormat="1" spans="6:6">
      <c r="F30742" s="2423"/>
    </row>
    <row r="30743" s="101" customFormat="1" spans="6:6">
      <c r="F30743" s="2423"/>
    </row>
    <row r="30744" s="101" customFormat="1" spans="6:6">
      <c r="F30744" s="2423"/>
    </row>
    <row r="30745" s="101" customFormat="1" spans="6:6">
      <c r="F30745" s="2423"/>
    </row>
    <row r="30746" s="101" customFormat="1" spans="6:6">
      <c r="F30746" s="2423"/>
    </row>
    <row r="30747" s="101" customFormat="1" spans="6:6">
      <c r="F30747" s="2423"/>
    </row>
    <row r="30748" s="101" customFormat="1" spans="6:6">
      <c r="F30748" s="2423"/>
    </row>
    <row r="30749" s="101" customFormat="1" spans="6:6">
      <c r="F30749" s="2423"/>
    </row>
    <row r="30750" s="101" customFormat="1" spans="6:6">
      <c r="F30750" s="2423"/>
    </row>
    <row r="30751" s="101" customFormat="1" spans="6:6">
      <c r="F30751" s="2423"/>
    </row>
    <row r="30752" s="101" customFormat="1" spans="6:6">
      <c r="F30752" s="2423"/>
    </row>
    <row r="30753" s="101" customFormat="1" spans="6:6">
      <c r="F30753" s="2423"/>
    </row>
    <row r="30754" s="101" customFormat="1" spans="6:6">
      <c r="F30754" s="2423"/>
    </row>
    <row r="30755" s="101" customFormat="1" spans="6:6">
      <c r="F30755" s="2423"/>
    </row>
    <row r="30756" s="101" customFormat="1" spans="6:6">
      <c r="F30756" s="2423"/>
    </row>
    <row r="30757" s="101" customFormat="1" spans="6:6">
      <c r="F30757" s="2423"/>
    </row>
    <row r="30758" s="101" customFormat="1" spans="6:6">
      <c r="F30758" s="2423"/>
    </row>
    <row r="30759" s="101" customFormat="1" spans="6:6">
      <c r="F30759" s="2423"/>
    </row>
    <row r="30760" s="101" customFormat="1" spans="6:6">
      <c r="F30760" s="2423"/>
    </row>
    <row r="30761" s="101" customFormat="1" spans="6:6">
      <c r="F30761" s="2423"/>
    </row>
    <row r="30762" s="101" customFormat="1" spans="6:6">
      <c r="F30762" s="2423"/>
    </row>
    <row r="30763" s="101" customFormat="1" spans="6:6">
      <c r="F30763" s="2423"/>
    </row>
    <row r="30764" s="101" customFormat="1" spans="6:6">
      <c r="F30764" s="2423"/>
    </row>
    <row r="30765" s="101" customFormat="1" spans="6:6">
      <c r="F30765" s="2423"/>
    </row>
    <row r="30766" s="101" customFormat="1" spans="6:6">
      <c r="F30766" s="2423"/>
    </row>
    <row r="30767" s="101" customFormat="1" spans="6:6">
      <c r="F30767" s="2423"/>
    </row>
    <row r="30768" s="101" customFormat="1" spans="6:6">
      <c r="F30768" s="2423"/>
    </row>
    <row r="30769" s="101" customFormat="1" spans="6:6">
      <c r="F30769" s="2423"/>
    </row>
    <row r="30770" s="101" customFormat="1" spans="6:6">
      <c r="F30770" s="2423"/>
    </row>
    <row r="30771" s="101" customFormat="1" spans="6:6">
      <c r="F30771" s="2423"/>
    </row>
    <row r="30772" s="101" customFormat="1" spans="6:6">
      <c r="F30772" s="2423"/>
    </row>
    <row r="30773" s="101" customFormat="1" spans="6:6">
      <c r="F30773" s="2423"/>
    </row>
    <row r="30774" s="101" customFormat="1" spans="6:6">
      <c r="F30774" s="2423"/>
    </row>
    <row r="30775" s="101" customFormat="1" spans="6:6">
      <c r="F30775" s="2423"/>
    </row>
    <row r="30776" s="101" customFormat="1" spans="6:6">
      <c r="F30776" s="2423"/>
    </row>
    <row r="30777" s="101" customFormat="1" spans="6:6">
      <c r="F30777" s="2423"/>
    </row>
    <row r="30778" s="101" customFormat="1" spans="6:6">
      <c r="F30778" s="2423"/>
    </row>
    <row r="30779" s="101" customFormat="1" spans="6:6">
      <c r="F30779" s="2423"/>
    </row>
    <row r="30780" s="101" customFormat="1" spans="6:6">
      <c r="F30780" s="2423"/>
    </row>
    <row r="30781" s="101" customFormat="1" spans="6:6">
      <c r="F30781" s="2423"/>
    </row>
    <row r="30782" s="101" customFormat="1" spans="6:6">
      <c r="F30782" s="2423"/>
    </row>
    <row r="30783" s="101" customFormat="1" spans="6:6">
      <c r="F30783" s="2423"/>
    </row>
    <row r="30784" s="101" customFormat="1" spans="6:6">
      <c r="F30784" s="2423"/>
    </row>
    <row r="30785" s="101" customFormat="1" spans="6:6">
      <c r="F30785" s="2423"/>
    </row>
    <row r="30786" s="101" customFormat="1" spans="6:6">
      <c r="F30786" s="2423"/>
    </row>
    <row r="30787" s="101" customFormat="1" spans="6:6">
      <c r="F30787" s="2423"/>
    </row>
    <row r="30788" s="101" customFormat="1" spans="6:6">
      <c r="F30788" s="2423"/>
    </row>
    <row r="30789" s="101" customFormat="1" spans="6:6">
      <c r="F30789" s="2423"/>
    </row>
    <row r="30790" s="101" customFormat="1" spans="6:6">
      <c r="F30790" s="2423"/>
    </row>
    <row r="30791" s="101" customFormat="1" spans="6:6">
      <c r="F30791" s="2423"/>
    </row>
    <row r="30792" s="101" customFormat="1" spans="6:6">
      <c r="F30792" s="2423"/>
    </row>
    <row r="30793" s="101" customFormat="1" spans="6:6">
      <c r="F30793" s="2423"/>
    </row>
    <row r="30794" s="101" customFormat="1" spans="6:6">
      <c r="F30794" s="2423"/>
    </row>
    <row r="30795" s="101" customFormat="1" spans="6:6">
      <c r="F30795" s="2423"/>
    </row>
    <row r="30796" s="101" customFormat="1" spans="6:6">
      <c r="F30796" s="2423"/>
    </row>
    <row r="30797" s="101" customFormat="1" spans="6:6">
      <c r="F30797" s="2423"/>
    </row>
    <row r="30798" s="101" customFormat="1" spans="6:6">
      <c r="F30798" s="2423"/>
    </row>
    <row r="30799" s="101" customFormat="1" spans="6:6">
      <c r="F30799" s="2423"/>
    </row>
    <row r="30800" s="101" customFormat="1" spans="6:6">
      <c r="F30800" s="2423"/>
    </row>
    <row r="30801" s="101" customFormat="1" spans="6:6">
      <c r="F30801" s="2423"/>
    </row>
    <row r="30802" s="101" customFormat="1" spans="6:6">
      <c r="F30802" s="2423"/>
    </row>
    <row r="30803" s="101" customFormat="1" spans="6:6">
      <c r="F30803" s="2423"/>
    </row>
    <row r="30804" s="101" customFormat="1" spans="6:6">
      <c r="F30804" s="2423"/>
    </row>
    <row r="30805" s="101" customFormat="1" spans="6:6">
      <c r="F30805" s="2423"/>
    </row>
    <row r="30806" s="101" customFormat="1" spans="6:6">
      <c r="F30806" s="2423"/>
    </row>
    <row r="30807" s="101" customFormat="1" spans="6:6">
      <c r="F30807" s="2423"/>
    </row>
    <row r="30808" s="101" customFormat="1" spans="6:6">
      <c r="F30808" s="2423"/>
    </row>
    <row r="30809" s="101" customFormat="1" spans="6:6">
      <c r="F30809" s="2423"/>
    </row>
    <row r="30810" s="101" customFormat="1" spans="6:6">
      <c r="F30810" s="2423"/>
    </row>
    <row r="30811" s="101" customFormat="1" spans="6:6">
      <c r="F30811" s="2423"/>
    </row>
    <row r="30812" s="101" customFormat="1" spans="6:6">
      <c r="F30812" s="2423"/>
    </row>
    <row r="30813" s="101" customFormat="1" spans="6:6">
      <c r="F30813" s="2423"/>
    </row>
    <row r="30814" s="101" customFormat="1" spans="6:6">
      <c r="F30814" s="2423"/>
    </row>
    <row r="30815" s="101" customFormat="1" spans="6:6">
      <c r="F30815" s="2423"/>
    </row>
    <row r="30816" s="101" customFormat="1" spans="6:6">
      <c r="F30816" s="2423"/>
    </row>
    <row r="30817" s="101" customFormat="1" spans="6:6">
      <c r="F30817" s="2423"/>
    </row>
    <row r="30818" s="101" customFormat="1" spans="6:6">
      <c r="F30818" s="2423"/>
    </row>
    <row r="30819" s="101" customFormat="1" spans="6:6">
      <c r="F30819" s="2423"/>
    </row>
    <row r="30820" s="101" customFormat="1" spans="6:6">
      <c r="F30820" s="2423"/>
    </row>
    <row r="30821" s="101" customFormat="1" spans="6:6">
      <c r="F30821" s="2423"/>
    </row>
    <row r="30822" s="101" customFormat="1" spans="6:6">
      <c r="F30822" s="2423"/>
    </row>
    <row r="30823" s="101" customFormat="1" spans="6:6">
      <c r="F30823" s="2423"/>
    </row>
    <row r="30824" s="101" customFormat="1" spans="6:6">
      <c r="F30824" s="2423"/>
    </row>
    <row r="30825" s="101" customFormat="1" spans="6:6">
      <c r="F30825" s="2423"/>
    </row>
    <row r="30826" s="101" customFormat="1" spans="6:6">
      <c r="F30826" s="2423"/>
    </row>
    <row r="30827" s="101" customFormat="1" spans="6:6">
      <c r="F30827" s="2423"/>
    </row>
    <row r="30828" s="101" customFormat="1" spans="6:6">
      <c r="F30828" s="2423"/>
    </row>
    <row r="30829" s="101" customFormat="1" spans="6:6">
      <c r="F30829" s="2423"/>
    </row>
    <row r="30830" s="101" customFormat="1" spans="6:6">
      <c r="F30830" s="2423"/>
    </row>
    <row r="30831" s="101" customFormat="1" spans="6:6">
      <c r="F30831" s="2423"/>
    </row>
    <row r="30832" s="101" customFormat="1" spans="6:6">
      <c r="F30832" s="2423"/>
    </row>
    <row r="30833" s="101" customFormat="1" spans="6:6">
      <c r="F30833" s="2423"/>
    </row>
    <row r="30834" s="101" customFormat="1" spans="6:6">
      <c r="F30834" s="2423"/>
    </row>
    <row r="30835" s="101" customFormat="1" spans="6:6">
      <c r="F30835" s="2423"/>
    </row>
    <row r="30836" s="101" customFormat="1" spans="6:6">
      <c r="F30836" s="2423"/>
    </row>
    <row r="30837" s="101" customFormat="1" spans="6:6">
      <c r="F30837" s="2423"/>
    </row>
    <row r="30838" s="101" customFormat="1" spans="6:6">
      <c r="F30838" s="2423"/>
    </row>
    <row r="30839" s="101" customFormat="1" spans="6:6">
      <c r="F30839" s="2423"/>
    </row>
    <row r="30840" s="101" customFormat="1" spans="6:6">
      <c r="F30840" s="2423"/>
    </row>
    <row r="30841" s="101" customFormat="1" spans="6:6">
      <c r="F30841" s="2423"/>
    </row>
    <row r="30842" s="101" customFormat="1" spans="6:6">
      <c r="F30842" s="2423"/>
    </row>
    <row r="30843" s="101" customFormat="1" spans="6:6">
      <c r="F30843" s="2423"/>
    </row>
    <row r="30844" s="101" customFormat="1" spans="6:6">
      <c r="F30844" s="2423"/>
    </row>
    <row r="30845" s="101" customFormat="1" spans="6:6">
      <c r="F30845" s="2423"/>
    </row>
    <row r="30846" s="101" customFormat="1" spans="6:6">
      <c r="F30846" s="2423"/>
    </row>
    <row r="30847" s="101" customFormat="1" spans="6:6">
      <c r="F30847" s="2423"/>
    </row>
    <row r="30848" s="101" customFormat="1" spans="6:6">
      <c r="F30848" s="2423"/>
    </row>
    <row r="30849" s="101" customFormat="1" spans="6:6">
      <c r="F30849" s="2423"/>
    </row>
    <row r="30850" s="101" customFormat="1" spans="6:6">
      <c r="F30850" s="2423"/>
    </row>
    <row r="30851" s="101" customFormat="1" spans="6:6">
      <c r="F30851" s="2423"/>
    </row>
    <row r="30852" s="101" customFormat="1" spans="6:6">
      <c r="F30852" s="2423"/>
    </row>
    <row r="30853" s="101" customFormat="1" spans="6:6">
      <c r="F30853" s="2423"/>
    </row>
    <row r="30854" s="101" customFormat="1" spans="6:6">
      <c r="F30854" s="2423"/>
    </row>
    <row r="30855" s="101" customFormat="1" spans="6:6">
      <c r="F30855" s="2423"/>
    </row>
    <row r="30856" s="101" customFormat="1" spans="6:6">
      <c r="F30856" s="2423"/>
    </row>
    <row r="30857" s="101" customFormat="1" spans="6:6">
      <c r="F30857" s="2423"/>
    </row>
    <row r="30858" s="101" customFormat="1" spans="6:6">
      <c r="F30858" s="2423"/>
    </row>
    <row r="30859" s="101" customFormat="1" spans="6:6">
      <c r="F30859" s="2423"/>
    </row>
    <row r="30860" s="101" customFormat="1" spans="6:6">
      <c r="F30860" s="2423"/>
    </row>
    <row r="30861" s="101" customFormat="1" spans="6:6">
      <c r="F30861" s="2423"/>
    </row>
    <row r="30862" s="101" customFormat="1" spans="6:6">
      <c r="F30862" s="2423"/>
    </row>
    <row r="30863" s="101" customFormat="1" spans="6:6">
      <c r="F30863" s="2423"/>
    </row>
    <row r="30864" s="101" customFormat="1" spans="6:6">
      <c r="F30864" s="2423"/>
    </row>
    <row r="30865" s="101" customFormat="1" spans="6:6">
      <c r="F30865" s="2423"/>
    </row>
    <row r="30866" s="101" customFormat="1" spans="6:6">
      <c r="F30866" s="2423"/>
    </row>
    <row r="30867" s="101" customFormat="1" spans="6:6">
      <c r="F30867" s="2423"/>
    </row>
    <row r="30868" s="101" customFormat="1" spans="6:6">
      <c r="F30868" s="2423"/>
    </row>
    <row r="30869" s="101" customFormat="1" spans="6:6">
      <c r="F30869" s="2423"/>
    </row>
    <row r="30870" s="101" customFormat="1" spans="6:6">
      <c r="F30870" s="2423"/>
    </row>
    <row r="30871" s="101" customFormat="1" spans="6:6">
      <c r="F30871" s="2423"/>
    </row>
    <row r="30872" s="101" customFormat="1" spans="6:6">
      <c r="F30872" s="2423"/>
    </row>
    <row r="30873" s="101" customFormat="1" spans="6:6">
      <c r="F30873" s="2423"/>
    </row>
    <row r="30874" s="101" customFormat="1" spans="6:6">
      <c r="F30874" s="2423"/>
    </row>
    <row r="30875" s="101" customFormat="1" spans="6:6">
      <c r="F30875" s="2423"/>
    </row>
    <row r="30876" s="101" customFormat="1" spans="6:6">
      <c r="F30876" s="2423"/>
    </row>
    <row r="30877" s="101" customFormat="1" spans="6:6">
      <c r="F30877" s="2423"/>
    </row>
    <row r="30878" s="101" customFormat="1" spans="6:6">
      <c r="F30878" s="2423"/>
    </row>
    <row r="30879" s="101" customFormat="1" spans="6:6">
      <c r="F30879" s="2423"/>
    </row>
    <row r="30880" s="101" customFormat="1" spans="6:6">
      <c r="F30880" s="2423"/>
    </row>
    <row r="30881" s="101" customFormat="1" spans="6:6">
      <c r="F30881" s="2423"/>
    </row>
    <row r="30882" s="101" customFormat="1" spans="6:6">
      <c r="F30882" s="2423"/>
    </row>
    <row r="30883" s="101" customFormat="1" spans="6:6">
      <c r="F30883" s="2423"/>
    </row>
    <row r="30884" s="101" customFormat="1" spans="6:6">
      <c r="F30884" s="2423"/>
    </row>
    <row r="30885" s="101" customFormat="1" spans="6:6">
      <c r="F30885" s="2423"/>
    </row>
    <row r="30886" s="101" customFormat="1" spans="6:6">
      <c r="F30886" s="2423"/>
    </row>
    <row r="30887" s="101" customFormat="1" spans="6:6">
      <c r="F30887" s="2423"/>
    </row>
    <row r="30888" s="101" customFormat="1" spans="6:6">
      <c r="F30888" s="2423"/>
    </row>
    <row r="30889" s="101" customFormat="1" spans="6:6">
      <c r="F30889" s="2423"/>
    </row>
    <row r="30890" s="101" customFormat="1" spans="6:6">
      <c r="F30890" s="2423"/>
    </row>
    <row r="30891" s="101" customFormat="1" spans="6:6">
      <c r="F30891" s="2423"/>
    </row>
    <row r="30892" s="101" customFormat="1" spans="6:6">
      <c r="F30892" s="2423"/>
    </row>
    <row r="30893" s="101" customFormat="1" spans="6:6">
      <c r="F30893" s="2423"/>
    </row>
    <row r="30894" s="101" customFormat="1" spans="6:6">
      <c r="F30894" s="2423"/>
    </row>
    <row r="30895" s="101" customFormat="1" spans="6:6">
      <c r="F30895" s="2423"/>
    </row>
    <row r="30896" s="101" customFormat="1" spans="6:6">
      <c r="F30896" s="2423"/>
    </row>
    <row r="30897" s="101" customFormat="1" spans="6:6">
      <c r="F30897" s="2423"/>
    </row>
    <row r="30898" s="101" customFormat="1" spans="6:6">
      <c r="F30898" s="2423"/>
    </row>
    <row r="30899" s="101" customFormat="1" spans="6:6">
      <c r="F30899" s="2423"/>
    </row>
    <row r="30900" s="101" customFormat="1" spans="6:6">
      <c r="F30900" s="2423"/>
    </row>
    <row r="30901" s="101" customFormat="1" spans="6:6">
      <c r="F30901" s="2423"/>
    </row>
    <row r="30902" s="101" customFormat="1" spans="6:6">
      <c r="F30902" s="2423"/>
    </row>
    <row r="30903" s="101" customFormat="1" spans="6:6">
      <c r="F30903" s="2423"/>
    </row>
    <row r="30904" s="101" customFormat="1" spans="6:6">
      <c r="F30904" s="2423"/>
    </row>
    <row r="30905" s="101" customFormat="1" spans="6:6">
      <c r="F30905" s="2423"/>
    </row>
    <row r="30906" s="101" customFormat="1" spans="6:6">
      <c r="F30906" s="2423"/>
    </row>
    <row r="30907" s="101" customFormat="1" spans="6:6">
      <c r="F30907" s="2423"/>
    </row>
    <row r="30908" s="101" customFormat="1" spans="6:6">
      <c r="F30908" s="2423"/>
    </row>
    <row r="30909" s="101" customFormat="1" spans="6:6">
      <c r="F30909" s="2423"/>
    </row>
    <row r="30910" s="101" customFormat="1" spans="6:6">
      <c r="F30910" s="2423"/>
    </row>
    <row r="30911" s="101" customFormat="1" spans="6:6">
      <c r="F30911" s="2423"/>
    </row>
    <row r="30912" s="101" customFormat="1" spans="6:6">
      <c r="F30912" s="2423"/>
    </row>
    <row r="30913" s="101" customFormat="1" spans="6:6">
      <c r="F30913" s="2423"/>
    </row>
    <row r="30914" s="101" customFormat="1" spans="6:6">
      <c r="F30914" s="2423"/>
    </row>
    <row r="30915" s="101" customFormat="1" spans="6:6">
      <c r="F30915" s="2423"/>
    </row>
    <row r="30916" s="101" customFormat="1" spans="6:6">
      <c r="F30916" s="2423"/>
    </row>
    <row r="30917" s="101" customFormat="1" spans="6:6">
      <c r="F30917" s="2423"/>
    </row>
    <row r="30918" s="101" customFormat="1" spans="6:6">
      <c r="F30918" s="2423"/>
    </row>
    <row r="30919" s="101" customFormat="1" spans="6:6">
      <c r="F30919" s="2423"/>
    </row>
    <row r="30920" s="101" customFormat="1" spans="6:6">
      <c r="F30920" s="2423"/>
    </row>
    <row r="30921" s="101" customFormat="1" spans="6:6">
      <c r="F30921" s="2423"/>
    </row>
    <row r="30922" s="101" customFormat="1" spans="6:6">
      <c r="F30922" s="2423"/>
    </row>
    <row r="30923" s="101" customFormat="1" spans="6:6">
      <c r="F30923" s="2423"/>
    </row>
    <row r="30924" s="101" customFormat="1" spans="6:6">
      <c r="F30924" s="2423"/>
    </row>
    <row r="30925" s="101" customFormat="1" spans="6:6">
      <c r="F30925" s="2423"/>
    </row>
    <row r="30926" s="101" customFormat="1" spans="6:6">
      <c r="F30926" s="2423"/>
    </row>
    <row r="30927" s="101" customFormat="1" spans="6:6">
      <c r="F30927" s="2423"/>
    </row>
    <row r="30928" s="101" customFormat="1" spans="6:6">
      <c r="F30928" s="2423"/>
    </row>
    <row r="30929" s="101" customFormat="1" spans="6:6">
      <c r="F30929" s="2423"/>
    </row>
    <row r="30930" s="101" customFormat="1" spans="6:6">
      <c r="F30930" s="2423"/>
    </row>
    <row r="30931" s="101" customFormat="1" spans="6:6">
      <c r="F30931" s="2423"/>
    </row>
    <row r="30932" s="101" customFormat="1" spans="6:6">
      <c r="F30932" s="2423"/>
    </row>
    <row r="30933" s="101" customFormat="1" spans="6:6">
      <c r="F30933" s="2423"/>
    </row>
    <row r="30934" s="101" customFormat="1" spans="6:6">
      <c r="F30934" s="2423"/>
    </row>
    <row r="30935" s="101" customFormat="1" spans="6:6">
      <c r="F30935" s="2423"/>
    </row>
    <row r="30936" s="101" customFormat="1" spans="6:6">
      <c r="F30936" s="2423"/>
    </row>
    <row r="30937" s="101" customFormat="1" spans="6:6">
      <c r="F30937" s="2423"/>
    </row>
    <row r="30938" s="101" customFormat="1" spans="6:6">
      <c r="F30938" s="2423"/>
    </row>
    <row r="30939" s="101" customFormat="1" spans="6:6">
      <c r="F30939" s="2423"/>
    </row>
    <row r="30940" s="101" customFormat="1" spans="6:6">
      <c r="F30940" s="2423"/>
    </row>
    <row r="30941" s="101" customFormat="1" spans="6:6">
      <c r="F30941" s="2423"/>
    </row>
    <row r="30942" s="101" customFormat="1" spans="6:6">
      <c r="F30942" s="2423"/>
    </row>
    <row r="30943" s="101" customFormat="1" spans="6:6">
      <c r="F30943" s="2423"/>
    </row>
    <row r="30944" s="101" customFormat="1" spans="6:6">
      <c r="F30944" s="2423"/>
    </row>
    <row r="30945" s="101" customFormat="1" spans="6:6">
      <c r="F30945" s="2423"/>
    </row>
    <row r="30946" s="101" customFormat="1" spans="6:6">
      <c r="F30946" s="2423"/>
    </row>
    <row r="30947" s="101" customFormat="1" spans="6:6">
      <c r="F30947" s="2423"/>
    </row>
    <row r="30948" s="101" customFormat="1" spans="6:6">
      <c r="F30948" s="2423"/>
    </row>
    <row r="30949" s="101" customFormat="1" spans="6:6">
      <c r="F30949" s="2423"/>
    </row>
    <row r="30950" s="101" customFormat="1" spans="6:6">
      <c r="F30950" s="2423"/>
    </row>
    <row r="30951" s="101" customFormat="1" spans="6:6">
      <c r="F30951" s="2423"/>
    </row>
    <row r="30952" s="101" customFormat="1" spans="6:6">
      <c r="F30952" s="2423"/>
    </row>
    <row r="30953" s="101" customFormat="1" spans="6:6">
      <c r="F30953" s="2423"/>
    </row>
    <row r="30954" s="101" customFormat="1" spans="6:6">
      <c r="F30954" s="2423"/>
    </row>
    <row r="30955" s="101" customFormat="1" spans="6:6">
      <c r="F30955" s="2423"/>
    </row>
    <row r="30956" s="101" customFormat="1" spans="6:6">
      <c r="F30956" s="2423"/>
    </row>
    <row r="30957" s="101" customFormat="1" spans="6:6">
      <c r="F30957" s="2423"/>
    </row>
    <row r="30958" s="101" customFormat="1" spans="6:6">
      <c r="F30958" s="2423"/>
    </row>
    <row r="30959" s="101" customFormat="1" spans="6:6">
      <c r="F30959" s="2423"/>
    </row>
    <row r="30960" s="101" customFormat="1" spans="6:6">
      <c r="F30960" s="2423"/>
    </row>
    <row r="30961" s="101" customFormat="1" spans="6:6">
      <c r="F30961" s="2423"/>
    </row>
    <row r="30962" s="101" customFormat="1" spans="6:6">
      <c r="F30962" s="2423"/>
    </row>
    <row r="30963" s="101" customFormat="1" spans="6:6">
      <c r="F30963" s="2423"/>
    </row>
    <row r="30964" s="101" customFormat="1" spans="6:6">
      <c r="F30964" s="2423"/>
    </row>
    <row r="30965" s="101" customFormat="1" spans="6:6">
      <c r="F30965" s="2423"/>
    </row>
    <row r="30966" s="101" customFormat="1" spans="6:6">
      <c r="F30966" s="2423"/>
    </row>
    <row r="30967" s="101" customFormat="1" spans="6:6">
      <c r="F30967" s="2423"/>
    </row>
    <row r="30968" s="101" customFormat="1" spans="6:6">
      <c r="F30968" s="2423"/>
    </row>
    <row r="30969" s="101" customFormat="1" spans="6:6">
      <c r="F30969" s="2423"/>
    </row>
    <row r="30970" s="101" customFormat="1" spans="6:6">
      <c r="F30970" s="2423"/>
    </row>
    <row r="30971" s="101" customFormat="1" spans="6:6">
      <c r="F30971" s="2423"/>
    </row>
    <row r="30972" s="101" customFormat="1" spans="6:6">
      <c r="F30972" s="2423"/>
    </row>
    <row r="30973" s="101" customFormat="1" spans="6:6">
      <c r="F30973" s="2423"/>
    </row>
    <row r="30974" s="101" customFormat="1" spans="6:6">
      <c r="F30974" s="2423"/>
    </row>
    <row r="30975" s="101" customFormat="1" spans="6:6">
      <c r="F30975" s="2423"/>
    </row>
    <row r="30976" s="101" customFormat="1" spans="6:6">
      <c r="F30976" s="2423"/>
    </row>
    <row r="30977" s="101" customFormat="1" spans="6:6">
      <c r="F30977" s="2423"/>
    </row>
    <row r="30978" s="101" customFormat="1" spans="6:6">
      <c r="F30978" s="2423"/>
    </row>
    <row r="30979" s="101" customFormat="1" spans="6:6">
      <c r="F30979" s="2423"/>
    </row>
    <row r="30980" s="101" customFormat="1" spans="6:6">
      <c r="F30980" s="2423"/>
    </row>
    <row r="30981" s="101" customFormat="1" spans="6:6">
      <c r="F30981" s="2423"/>
    </row>
    <row r="30982" s="101" customFormat="1" spans="6:6">
      <c r="F30982" s="2423"/>
    </row>
    <row r="30983" s="101" customFormat="1" spans="6:6">
      <c r="F30983" s="2423"/>
    </row>
    <row r="30984" s="101" customFormat="1" spans="6:6">
      <c r="F30984" s="2423"/>
    </row>
    <row r="30985" s="101" customFormat="1" spans="6:6">
      <c r="F30985" s="2423"/>
    </row>
    <row r="30986" s="101" customFormat="1" spans="6:6">
      <c r="F30986" s="2423"/>
    </row>
    <row r="30987" s="101" customFormat="1" spans="6:6">
      <c r="F30987" s="2423"/>
    </row>
    <row r="30988" s="101" customFormat="1" spans="6:6">
      <c r="F30988" s="2423"/>
    </row>
    <row r="30989" s="101" customFormat="1" spans="6:6">
      <c r="F30989" s="2423"/>
    </row>
    <row r="30990" s="101" customFormat="1" spans="6:6">
      <c r="F30990" s="2423"/>
    </row>
    <row r="30991" s="101" customFormat="1" spans="6:6">
      <c r="F30991" s="2423"/>
    </row>
    <row r="30992" s="101" customFormat="1" spans="6:6">
      <c r="F30992" s="2423"/>
    </row>
    <row r="30993" s="101" customFormat="1" spans="6:6">
      <c r="F30993" s="2423"/>
    </row>
    <row r="30994" s="101" customFormat="1" spans="6:6">
      <c r="F30994" s="2423"/>
    </row>
    <row r="30995" s="101" customFormat="1" spans="6:6">
      <c r="F30995" s="2423"/>
    </row>
    <row r="30996" s="101" customFormat="1" spans="6:6">
      <c r="F30996" s="2423"/>
    </row>
    <row r="30997" s="101" customFormat="1" spans="6:6">
      <c r="F30997" s="2423"/>
    </row>
    <row r="30998" s="101" customFormat="1" spans="6:6">
      <c r="F30998" s="2423"/>
    </row>
    <row r="30999" s="101" customFormat="1" spans="6:6">
      <c r="F30999" s="2423"/>
    </row>
    <row r="31000" s="101" customFormat="1" spans="6:6">
      <c r="F31000" s="2423"/>
    </row>
    <row r="31001" s="101" customFormat="1" spans="6:6">
      <c r="F31001" s="2423"/>
    </row>
    <row r="31002" s="101" customFormat="1" spans="6:6">
      <c r="F31002" s="2423"/>
    </row>
    <row r="31003" s="101" customFormat="1" spans="6:6">
      <c r="F31003" s="2423"/>
    </row>
    <row r="31004" s="101" customFormat="1" spans="6:6">
      <c r="F31004" s="2423"/>
    </row>
    <row r="31005" s="101" customFormat="1" spans="6:6">
      <c r="F31005" s="2423"/>
    </row>
    <row r="31006" s="101" customFormat="1" spans="6:6">
      <c r="F31006" s="2423"/>
    </row>
    <row r="31007" s="101" customFormat="1" spans="6:6">
      <c r="F31007" s="2423"/>
    </row>
    <row r="31008" s="101" customFormat="1" spans="6:6">
      <c r="F31008" s="2423"/>
    </row>
    <row r="31009" s="101" customFormat="1" spans="6:6">
      <c r="F31009" s="2423"/>
    </row>
    <row r="31010" s="101" customFormat="1" spans="6:6">
      <c r="F31010" s="2423"/>
    </row>
    <row r="31011" s="101" customFormat="1" spans="6:6">
      <c r="F31011" s="2423"/>
    </row>
    <row r="31012" s="101" customFormat="1" spans="6:6">
      <c r="F31012" s="2423"/>
    </row>
    <row r="31013" s="101" customFormat="1" spans="6:6">
      <c r="F31013" s="2423"/>
    </row>
    <row r="31014" s="101" customFormat="1" spans="6:6">
      <c r="F31014" s="2423"/>
    </row>
    <row r="31015" s="101" customFormat="1" spans="6:6">
      <c r="F31015" s="2423"/>
    </row>
    <row r="31016" s="101" customFormat="1" spans="6:6">
      <c r="F31016" s="2423"/>
    </row>
    <row r="31017" s="101" customFormat="1" spans="6:6">
      <c r="F31017" s="2423"/>
    </row>
    <row r="31018" s="101" customFormat="1" spans="6:6">
      <c r="F31018" s="2423"/>
    </row>
    <row r="31019" s="101" customFormat="1" spans="6:6">
      <c r="F31019" s="2423"/>
    </row>
    <row r="31020" s="101" customFormat="1" spans="6:6">
      <c r="F31020" s="2423"/>
    </row>
    <row r="31021" s="101" customFormat="1" spans="6:6">
      <c r="F31021" s="2423"/>
    </row>
    <row r="31022" s="101" customFormat="1" spans="6:6">
      <c r="F31022" s="2423"/>
    </row>
    <row r="31023" s="101" customFormat="1" spans="6:6">
      <c r="F31023" s="2423"/>
    </row>
    <row r="31024" s="101" customFormat="1" spans="6:6">
      <c r="F31024" s="2423"/>
    </row>
    <row r="31025" s="101" customFormat="1" spans="6:6">
      <c r="F31025" s="2423"/>
    </row>
    <row r="31026" s="101" customFormat="1" spans="6:6">
      <c r="F31026" s="2423"/>
    </row>
    <row r="31027" s="101" customFormat="1" spans="6:6">
      <c r="F31027" s="2423"/>
    </row>
    <row r="31028" s="101" customFormat="1" spans="6:6">
      <c r="F31028" s="2423"/>
    </row>
    <row r="31029" s="101" customFormat="1" spans="6:6">
      <c r="F31029" s="2423"/>
    </row>
    <row r="31030" s="101" customFormat="1" spans="6:6">
      <c r="F31030" s="2423"/>
    </row>
    <row r="31031" s="101" customFormat="1" spans="6:6">
      <c r="F31031" s="2423"/>
    </row>
    <row r="31032" s="101" customFormat="1" spans="6:6">
      <c r="F31032" s="2423"/>
    </row>
    <row r="31033" s="101" customFormat="1" spans="6:6">
      <c r="F31033" s="2423"/>
    </row>
    <row r="31034" s="101" customFormat="1" spans="6:6">
      <c r="F31034" s="2423"/>
    </row>
    <row r="31035" s="101" customFormat="1" spans="6:6">
      <c r="F31035" s="2423"/>
    </row>
    <row r="31036" s="101" customFormat="1" spans="6:6">
      <c r="F31036" s="2423"/>
    </row>
    <row r="31037" s="101" customFormat="1" spans="6:6">
      <c r="F31037" s="2423"/>
    </row>
    <row r="31038" s="101" customFormat="1" spans="6:6">
      <c r="F31038" s="2423"/>
    </row>
    <row r="31039" s="101" customFormat="1" spans="6:6">
      <c r="F31039" s="2423"/>
    </row>
    <row r="31040" s="101" customFormat="1" spans="6:6">
      <c r="F31040" s="2423"/>
    </row>
    <row r="31041" s="101" customFormat="1" spans="6:6">
      <c r="F31041" s="2423"/>
    </row>
    <row r="31042" s="101" customFormat="1" spans="6:6">
      <c r="F31042" s="2423"/>
    </row>
    <row r="31043" s="101" customFormat="1" spans="6:6">
      <c r="F31043" s="2423"/>
    </row>
    <row r="31044" s="101" customFormat="1" spans="6:6">
      <c r="F31044" s="2423"/>
    </row>
    <row r="31045" s="101" customFormat="1" spans="6:6">
      <c r="F31045" s="2423"/>
    </row>
    <row r="31046" s="101" customFormat="1" spans="6:6">
      <c r="F31046" s="2423"/>
    </row>
    <row r="31047" s="101" customFormat="1" spans="6:6">
      <c r="F31047" s="2423"/>
    </row>
    <row r="31048" s="101" customFormat="1" spans="6:6">
      <c r="F31048" s="2423"/>
    </row>
    <row r="31049" s="101" customFormat="1" spans="6:6">
      <c r="F31049" s="2423"/>
    </row>
    <row r="31050" s="101" customFormat="1" spans="6:6">
      <c r="F31050" s="2423"/>
    </row>
    <row r="31051" s="101" customFormat="1" spans="6:6">
      <c r="F31051" s="2423"/>
    </row>
    <row r="31052" s="101" customFormat="1" spans="6:6">
      <c r="F31052" s="2423"/>
    </row>
    <row r="31053" s="101" customFormat="1" spans="6:6">
      <c r="F31053" s="2423"/>
    </row>
    <row r="31054" s="101" customFormat="1" spans="6:6">
      <c r="F31054" s="2423"/>
    </row>
    <row r="31055" s="101" customFormat="1" spans="6:6">
      <c r="F31055" s="2423"/>
    </row>
    <row r="31056" s="101" customFormat="1" spans="6:6">
      <c r="F31056" s="2423"/>
    </row>
    <row r="31057" s="101" customFormat="1" spans="6:6">
      <c r="F31057" s="2423"/>
    </row>
    <row r="31058" s="101" customFormat="1" spans="6:6">
      <c r="F31058" s="2423"/>
    </row>
    <row r="31059" s="101" customFormat="1" spans="6:6">
      <c r="F31059" s="2423"/>
    </row>
    <row r="31060" s="101" customFormat="1" spans="6:6">
      <c r="F31060" s="2423"/>
    </row>
    <row r="31061" s="101" customFormat="1" spans="6:6">
      <c r="F31061" s="2423"/>
    </row>
    <row r="31062" s="101" customFormat="1" spans="6:6">
      <c r="F31062" s="2423"/>
    </row>
    <row r="31063" s="101" customFormat="1" spans="6:6">
      <c r="F31063" s="2423"/>
    </row>
    <row r="31064" s="101" customFormat="1" spans="6:6">
      <c r="F31064" s="2423"/>
    </row>
    <row r="31065" s="101" customFormat="1" spans="6:6">
      <c r="F31065" s="2423"/>
    </row>
    <row r="31066" s="101" customFormat="1" spans="6:6">
      <c r="F31066" s="2423"/>
    </row>
    <row r="31067" s="101" customFormat="1" spans="6:6">
      <c r="F31067" s="2423"/>
    </row>
    <row r="31068" s="101" customFormat="1" spans="6:6">
      <c r="F31068" s="2423"/>
    </row>
    <row r="31069" s="101" customFormat="1" spans="6:6">
      <c r="F31069" s="2423"/>
    </row>
    <row r="31070" s="101" customFormat="1" spans="6:6">
      <c r="F31070" s="2423"/>
    </row>
    <row r="31071" s="101" customFormat="1" spans="6:6">
      <c r="F31071" s="2423"/>
    </row>
    <row r="31072" s="101" customFormat="1" spans="6:6">
      <c r="F31072" s="2423"/>
    </row>
    <row r="31073" s="101" customFormat="1" spans="6:6">
      <c r="F31073" s="2423"/>
    </row>
    <row r="31074" s="101" customFormat="1" spans="6:6">
      <c r="F31074" s="2423"/>
    </row>
    <row r="31075" s="101" customFormat="1" spans="6:6">
      <c r="F31075" s="2423"/>
    </row>
    <row r="31076" s="101" customFormat="1" spans="6:6">
      <c r="F31076" s="2423"/>
    </row>
    <row r="31077" s="101" customFormat="1" spans="6:6">
      <c r="F31077" s="2423"/>
    </row>
    <row r="31078" s="101" customFormat="1" spans="6:6">
      <c r="F31078" s="2423"/>
    </row>
    <row r="31079" s="101" customFormat="1" spans="6:6">
      <c r="F31079" s="2423"/>
    </row>
    <row r="31080" s="101" customFormat="1" spans="6:6">
      <c r="F31080" s="2423"/>
    </row>
    <row r="31081" s="101" customFormat="1" spans="6:6">
      <c r="F31081" s="2423"/>
    </row>
    <row r="31082" s="101" customFormat="1" spans="6:6">
      <c r="F31082" s="2423"/>
    </row>
    <row r="31083" s="101" customFormat="1" spans="6:6">
      <c r="F31083" s="2423"/>
    </row>
    <row r="31084" s="101" customFormat="1" spans="6:6">
      <c r="F31084" s="2423"/>
    </row>
    <row r="31085" s="101" customFormat="1" spans="6:6">
      <c r="F31085" s="2423"/>
    </row>
    <row r="31086" s="101" customFormat="1" spans="6:6">
      <c r="F31086" s="2423"/>
    </row>
    <row r="31087" s="101" customFormat="1" spans="6:6">
      <c r="F31087" s="2423"/>
    </row>
    <row r="31088" s="101" customFormat="1" spans="6:6">
      <c r="F31088" s="2423"/>
    </row>
    <row r="31089" s="101" customFormat="1" spans="6:6">
      <c r="F31089" s="2423"/>
    </row>
    <row r="31090" s="101" customFormat="1" spans="6:6">
      <c r="F31090" s="2423"/>
    </row>
    <row r="31091" s="101" customFormat="1" spans="6:6">
      <c r="F31091" s="2423"/>
    </row>
    <row r="31092" s="101" customFormat="1" spans="6:6">
      <c r="F31092" s="2423"/>
    </row>
    <row r="31093" s="101" customFormat="1" spans="6:6">
      <c r="F31093" s="2423"/>
    </row>
    <row r="31094" s="101" customFormat="1" spans="6:6">
      <c r="F31094" s="2423"/>
    </row>
    <row r="31095" s="101" customFormat="1" spans="6:6">
      <c r="F31095" s="2423"/>
    </row>
    <row r="31096" s="101" customFormat="1" spans="6:6">
      <c r="F31096" s="2423"/>
    </row>
    <row r="31097" s="101" customFormat="1" spans="6:6">
      <c r="F31097" s="2423"/>
    </row>
    <row r="31098" s="101" customFormat="1" spans="6:6">
      <c r="F31098" s="2423"/>
    </row>
    <row r="31099" s="101" customFormat="1" spans="6:6">
      <c r="F31099" s="2423"/>
    </row>
    <row r="31100" s="101" customFormat="1" spans="6:6">
      <c r="F31100" s="2423"/>
    </row>
    <row r="31101" s="101" customFormat="1" spans="6:6">
      <c r="F31101" s="2423"/>
    </row>
    <row r="31102" s="101" customFormat="1" spans="6:6">
      <c r="F31102" s="2423"/>
    </row>
    <row r="31103" s="101" customFormat="1" spans="6:6">
      <c r="F31103" s="2423"/>
    </row>
    <row r="31104" s="101" customFormat="1" spans="6:6">
      <c r="F31104" s="2423"/>
    </row>
    <row r="31105" s="101" customFormat="1" spans="6:6">
      <c r="F31105" s="2423"/>
    </row>
    <row r="31106" s="101" customFormat="1" spans="6:6">
      <c r="F31106" s="2423"/>
    </row>
    <row r="31107" s="101" customFormat="1" spans="6:6">
      <c r="F31107" s="2423"/>
    </row>
    <row r="31108" s="101" customFormat="1" spans="6:6">
      <c r="F31108" s="2423"/>
    </row>
    <row r="31109" s="101" customFormat="1" spans="6:6">
      <c r="F31109" s="2423"/>
    </row>
    <row r="31110" s="101" customFormat="1" spans="6:6">
      <c r="F31110" s="2423"/>
    </row>
    <row r="31111" s="101" customFormat="1" spans="6:6">
      <c r="F31111" s="2423"/>
    </row>
    <row r="31112" s="101" customFormat="1" spans="6:6">
      <c r="F31112" s="2423"/>
    </row>
    <row r="31113" s="101" customFormat="1" spans="6:6">
      <c r="F31113" s="2423"/>
    </row>
    <row r="31114" s="101" customFormat="1" spans="6:6">
      <c r="F31114" s="2423"/>
    </row>
    <row r="31115" s="101" customFormat="1" spans="6:6">
      <c r="F31115" s="2423"/>
    </row>
    <row r="31116" s="101" customFormat="1" spans="6:6">
      <c r="F31116" s="2423"/>
    </row>
    <row r="31117" s="101" customFormat="1" spans="6:6">
      <c r="F31117" s="2423"/>
    </row>
    <row r="31118" s="101" customFormat="1" spans="6:6">
      <c r="F31118" s="2423"/>
    </row>
    <row r="31119" s="101" customFormat="1" spans="6:6">
      <c r="F31119" s="2423"/>
    </row>
    <row r="31120" s="101" customFormat="1" spans="6:6">
      <c r="F31120" s="2423"/>
    </row>
    <row r="31121" s="101" customFormat="1" spans="6:6">
      <c r="F31121" s="2423"/>
    </row>
    <row r="31122" s="101" customFormat="1" spans="6:6">
      <c r="F31122" s="2423"/>
    </row>
    <row r="31123" s="101" customFormat="1" spans="6:6">
      <c r="F31123" s="2423"/>
    </row>
    <row r="31124" s="101" customFormat="1" spans="6:6">
      <c r="F31124" s="2423"/>
    </row>
    <row r="31125" s="101" customFormat="1" spans="6:6">
      <c r="F31125" s="2423"/>
    </row>
    <row r="31126" s="101" customFormat="1" spans="6:6">
      <c r="F31126" s="2423"/>
    </row>
    <row r="31127" s="101" customFormat="1" spans="6:6">
      <c r="F31127" s="2423"/>
    </row>
    <row r="31128" s="101" customFormat="1" spans="6:6">
      <c r="F31128" s="2423"/>
    </row>
    <row r="31129" s="101" customFormat="1" spans="6:6">
      <c r="F31129" s="2423"/>
    </row>
    <row r="31130" s="101" customFormat="1" spans="6:6">
      <c r="F31130" s="2423"/>
    </row>
    <row r="31131" s="101" customFormat="1" spans="6:6">
      <c r="F31131" s="2423"/>
    </row>
    <row r="31132" s="101" customFormat="1" spans="6:6">
      <c r="F31132" s="2423"/>
    </row>
    <row r="31133" s="101" customFormat="1" spans="6:6">
      <c r="F31133" s="2423"/>
    </row>
    <row r="31134" s="101" customFormat="1" spans="6:6">
      <c r="F31134" s="2423"/>
    </row>
    <row r="31135" s="101" customFormat="1" spans="6:6">
      <c r="F31135" s="2423"/>
    </row>
    <row r="31136" s="101" customFormat="1" spans="6:6">
      <c r="F31136" s="2423"/>
    </row>
    <row r="31137" s="101" customFormat="1" spans="6:6">
      <c r="F31137" s="2423"/>
    </row>
    <row r="31138" s="101" customFormat="1" spans="6:6">
      <c r="F31138" s="2423"/>
    </row>
    <row r="31139" s="101" customFormat="1" spans="6:6">
      <c r="F31139" s="2423"/>
    </row>
    <row r="31140" s="101" customFormat="1" spans="6:6">
      <c r="F31140" s="2423"/>
    </row>
    <row r="31141" s="101" customFormat="1" spans="6:6">
      <c r="F31141" s="2423"/>
    </row>
    <row r="31142" s="101" customFormat="1" spans="6:6">
      <c r="F31142" s="2423"/>
    </row>
    <row r="31143" s="101" customFormat="1" spans="6:6">
      <c r="F31143" s="2423"/>
    </row>
    <row r="31144" s="101" customFormat="1" spans="6:6">
      <c r="F31144" s="2423"/>
    </row>
    <row r="31145" s="101" customFormat="1" spans="6:6">
      <c r="F31145" s="2423"/>
    </row>
    <row r="31146" s="101" customFormat="1" spans="6:6">
      <c r="F31146" s="2423"/>
    </row>
    <row r="31147" s="101" customFormat="1" spans="6:6">
      <c r="F31147" s="2423"/>
    </row>
    <row r="31148" s="101" customFormat="1" spans="6:6">
      <c r="F31148" s="2423"/>
    </row>
    <row r="31149" s="101" customFormat="1" spans="6:6">
      <c r="F31149" s="2423"/>
    </row>
    <row r="31150" s="101" customFormat="1" spans="6:6">
      <c r="F31150" s="2423"/>
    </row>
    <row r="31151" s="101" customFormat="1" spans="6:6">
      <c r="F31151" s="2423"/>
    </row>
    <row r="31152" s="101" customFormat="1" spans="6:6">
      <c r="F31152" s="2423"/>
    </row>
    <row r="31153" s="101" customFormat="1" spans="6:6">
      <c r="F31153" s="2423"/>
    </row>
    <row r="31154" s="101" customFormat="1" spans="6:6">
      <c r="F31154" s="2423"/>
    </row>
    <row r="31155" s="101" customFormat="1" spans="6:6">
      <c r="F31155" s="2423"/>
    </row>
    <row r="31156" s="101" customFormat="1" spans="6:6">
      <c r="F31156" s="2423"/>
    </row>
    <row r="31157" s="101" customFormat="1" spans="6:6">
      <c r="F31157" s="2423"/>
    </row>
    <row r="31158" s="101" customFormat="1" spans="6:6">
      <c r="F31158" s="2423"/>
    </row>
    <row r="31159" s="101" customFormat="1" spans="6:6">
      <c r="F31159" s="2423"/>
    </row>
    <row r="31160" s="101" customFormat="1" spans="6:6">
      <c r="F31160" s="2423"/>
    </row>
    <row r="31161" s="101" customFormat="1" spans="6:6">
      <c r="F31161" s="2423"/>
    </row>
    <row r="31162" s="101" customFormat="1" spans="6:6">
      <c r="F31162" s="2423"/>
    </row>
    <row r="31163" s="101" customFormat="1" spans="6:6">
      <c r="F31163" s="2423"/>
    </row>
    <row r="31164" s="101" customFormat="1" spans="6:6">
      <c r="F31164" s="2423"/>
    </row>
    <row r="31165" s="101" customFormat="1" spans="6:6">
      <c r="F31165" s="2423"/>
    </row>
    <row r="31166" s="101" customFormat="1" spans="6:6">
      <c r="F31166" s="2423"/>
    </row>
    <row r="31167" s="101" customFormat="1" spans="6:6">
      <c r="F31167" s="2423"/>
    </row>
    <row r="31168" s="101" customFormat="1" spans="6:6">
      <c r="F31168" s="2423"/>
    </row>
    <row r="31169" s="101" customFormat="1" spans="6:6">
      <c r="F31169" s="2423"/>
    </row>
    <row r="31170" s="101" customFormat="1" spans="6:6">
      <c r="F31170" s="2423"/>
    </row>
    <row r="31171" s="101" customFormat="1" spans="6:6">
      <c r="F31171" s="2423"/>
    </row>
    <row r="31172" s="101" customFormat="1" spans="6:6">
      <c r="F31172" s="2423"/>
    </row>
    <row r="31173" s="101" customFormat="1" spans="6:6">
      <c r="F31173" s="2423"/>
    </row>
    <row r="31174" s="101" customFormat="1" spans="6:6">
      <c r="F31174" s="2423"/>
    </row>
    <row r="31175" s="101" customFormat="1" spans="6:6">
      <c r="F31175" s="2423"/>
    </row>
    <row r="31176" s="101" customFormat="1" spans="6:6">
      <c r="F31176" s="2423"/>
    </row>
    <row r="31177" s="101" customFormat="1" spans="6:6">
      <c r="F31177" s="2423"/>
    </row>
    <row r="31178" s="101" customFormat="1" spans="6:6">
      <c r="F31178" s="2423"/>
    </row>
    <row r="31179" s="101" customFormat="1" spans="6:6">
      <c r="F31179" s="2423"/>
    </row>
    <row r="31180" s="101" customFormat="1" spans="6:6">
      <c r="F31180" s="2423"/>
    </row>
    <row r="31181" s="101" customFormat="1" spans="6:6">
      <c r="F31181" s="2423"/>
    </row>
    <row r="31182" s="101" customFormat="1" spans="6:6">
      <c r="F31182" s="2423"/>
    </row>
    <row r="31183" s="101" customFormat="1" spans="6:6">
      <c r="F31183" s="2423"/>
    </row>
    <row r="31184" s="101" customFormat="1" spans="6:6">
      <c r="F31184" s="2423"/>
    </row>
    <row r="31185" s="101" customFormat="1" spans="6:6">
      <c r="F31185" s="2423"/>
    </row>
    <row r="31186" s="101" customFormat="1" spans="6:6">
      <c r="F31186" s="2423"/>
    </row>
    <row r="31187" s="101" customFormat="1" spans="6:6">
      <c r="F31187" s="2423"/>
    </row>
    <row r="31188" s="101" customFormat="1" spans="6:6">
      <c r="F31188" s="2423"/>
    </row>
    <row r="31189" s="101" customFormat="1" spans="6:6">
      <c r="F31189" s="2423"/>
    </row>
    <row r="31190" s="101" customFormat="1" spans="6:6">
      <c r="F31190" s="2423"/>
    </row>
    <row r="31191" s="101" customFormat="1" spans="6:6">
      <c r="F31191" s="2423"/>
    </row>
    <row r="31192" s="101" customFormat="1" spans="6:6">
      <c r="F31192" s="2423"/>
    </row>
    <row r="31193" s="101" customFormat="1" spans="6:6">
      <c r="F31193" s="2423"/>
    </row>
    <row r="31194" s="101" customFormat="1" spans="6:6">
      <c r="F31194" s="2423"/>
    </row>
    <row r="31195" s="101" customFormat="1" spans="6:6">
      <c r="F31195" s="2423"/>
    </row>
    <row r="31196" s="101" customFormat="1" spans="6:6">
      <c r="F31196" s="2423"/>
    </row>
    <row r="31197" s="101" customFormat="1" spans="6:6">
      <c r="F31197" s="2423"/>
    </row>
    <row r="31198" s="101" customFormat="1" spans="6:6">
      <c r="F31198" s="2423"/>
    </row>
    <row r="31199" s="101" customFormat="1" spans="6:6">
      <c r="F31199" s="2423"/>
    </row>
    <row r="31200" s="101" customFormat="1" spans="6:6">
      <c r="F31200" s="2423"/>
    </row>
    <row r="31201" s="101" customFormat="1" spans="6:6">
      <c r="F31201" s="2423"/>
    </row>
    <row r="31202" s="101" customFormat="1" spans="6:6">
      <c r="F31202" s="2423"/>
    </row>
    <row r="31203" s="101" customFormat="1" spans="6:6">
      <c r="F31203" s="2423"/>
    </row>
    <row r="31204" s="101" customFormat="1" spans="6:6">
      <c r="F31204" s="2423"/>
    </row>
    <row r="31205" s="101" customFormat="1" spans="6:6">
      <c r="F31205" s="2423"/>
    </row>
    <row r="31206" s="101" customFormat="1" spans="6:6">
      <c r="F31206" s="2423"/>
    </row>
    <row r="31207" s="101" customFormat="1" spans="6:6">
      <c r="F31207" s="2423"/>
    </row>
    <row r="31208" s="101" customFormat="1" spans="6:6">
      <c r="F31208" s="2423"/>
    </row>
    <row r="31209" s="101" customFormat="1" spans="6:6">
      <c r="F31209" s="2423"/>
    </row>
    <row r="31210" s="101" customFormat="1" spans="6:6">
      <c r="F31210" s="2423"/>
    </row>
    <row r="31211" s="101" customFormat="1" spans="6:6">
      <c r="F31211" s="2423"/>
    </row>
    <row r="31212" s="101" customFormat="1" spans="6:6">
      <c r="F31212" s="2423"/>
    </row>
    <row r="31213" s="101" customFormat="1" spans="6:6">
      <c r="F31213" s="2423"/>
    </row>
    <row r="31214" s="101" customFormat="1" spans="6:6">
      <c r="F31214" s="2423"/>
    </row>
    <row r="31215" s="101" customFormat="1" spans="6:6">
      <c r="F31215" s="2423"/>
    </row>
    <row r="31216" s="101" customFormat="1" spans="6:6">
      <c r="F31216" s="2423"/>
    </row>
    <row r="31217" s="101" customFormat="1" spans="6:6">
      <c r="F31217" s="2423"/>
    </row>
    <row r="31218" s="101" customFormat="1" spans="6:6">
      <c r="F31218" s="2423"/>
    </row>
    <row r="31219" s="101" customFormat="1" spans="6:6">
      <c r="F31219" s="2423"/>
    </row>
    <row r="31220" s="101" customFormat="1" spans="6:6">
      <c r="F31220" s="2423"/>
    </row>
    <row r="31221" s="101" customFormat="1" spans="6:6">
      <c r="F31221" s="2423"/>
    </row>
    <row r="31222" s="101" customFormat="1" spans="6:6">
      <c r="F31222" s="2423"/>
    </row>
    <row r="31223" s="101" customFormat="1" spans="6:6">
      <c r="F31223" s="2423"/>
    </row>
    <row r="31224" s="101" customFormat="1" spans="6:6">
      <c r="F31224" s="2423"/>
    </row>
    <row r="31225" s="101" customFormat="1" spans="6:6">
      <c r="F31225" s="2423"/>
    </row>
    <row r="31226" s="101" customFormat="1" spans="6:6">
      <c r="F31226" s="2423"/>
    </row>
    <row r="31227" s="101" customFormat="1" spans="6:6">
      <c r="F31227" s="2423"/>
    </row>
    <row r="31228" s="101" customFormat="1" spans="6:6">
      <c r="F31228" s="2423"/>
    </row>
    <row r="31229" s="101" customFormat="1" spans="6:6">
      <c r="F31229" s="2423"/>
    </row>
    <row r="31230" s="101" customFormat="1" spans="6:6">
      <c r="F31230" s="2423"/>
    </row>
    <row r="31231" s="101" customFormat="1" spans="6:6">
      <c r="F31231" s="2423"/>
    </row>
    <row r="31232" s="101" customFormat="1" spans="6:6">
      <c r="F31232" s="2423"/>
    </row>
    <row r="31233" s="101" customFormat="1" spans="6:6">
      <c r="F31233" s="2423"/>
    </row>
    <row r="31234" s="101" customFormat="1" spans="6:6">
      <c r="F31234" s="2423"/>
    </row>
    <row r="31235" s="101" customFormat="1" spans="6:6">
      <c r="F31235" s="2423"/>
    </row>
    <row r="31236" s="101" customFormat="1" spans="6:6">
      <c r="F31236" s="2423"/>
    </row>
    <row r="31237" s="101" customFormat="1" spans="6:6">
      <c r="F31237" s="2423"/>
    </row>
    <row r="31238" s="101" customFormat="1" spans="6:6">
      <c r="F31238" s="2423"/>
    </row>
    <row r="31239" s="101" customFormat="1" spans="6:6">
      <c r="F31239" s="2423"/>
    </row>
    <row r="31240" s="101" customFormat="1" spans="6:6">
      <c r="F31240" s="2423"/>
    </row>
    <row r="31241" s="101" customFormat="1" spans="6:6">
      <c r="F31241" s="2423"/>
    </row>
    <row r="31242" s="101" customFormat="1" spans="6:6">
      <c r="F31242" s="2423"/>
    </row>
    <row r="31243" s="101" customFormat="1" spans="6:6">
      <c r="F31243" s="2423"/>
    </row>
    <row r="31244" s="101" customFormat="1" spans="6:6">
      <c r="F31244" s="2423"/>
    </row>
    <row r="31245" s="101" customFormat="1" spans="6:6">
      <c r="F31245" s="2423"/>
    </row>
    <row r="31246" s="101" customFormat="1" spans="6:6">
      <c r="F31246" s="2423"/>
    </row>
    <row r="31247" s="101" customFormat="1" spans="6:6">
      <c r="F31247" s="2423"/>
    </row>
    <row r="31248" s="101" customFormat="1" spans="6:6">
      <c r="F31248" s="2423"/>
    </row>
    <row r="31249" s="101" customFormat="1" spans="6:6">
      <c r="F31249" s="2423"/>
    </row>
    <row r="31250" s="101" customFormat="1" spans="6:6">
      <c r="F31250" s="2423"/>
    </row>
    <row r="31251" s="101" customFormat="1" spans="6:6">
      <c r="F31251" s="2423"/>
    </row>
    <row r="31252" s="101" customFormat="1" spans="6:6">
      <c r="F31252" s="2423"/>
    </row>
    <row r="31253" s="101" customFormat="1" spans="6:6">
      <c r="F31253" s="2423"/>
    </row>
    <row r="31254" s="101" customFormat="1" spans="6:6">
      <c r="F31254" s="2423"/>
    </row>
    <row r="31255" s="101" customFormat="1" spans="6:6">
      <c r="F31255" s="2423"/>
    </row>
    <row r="31256" s="101" customFormat="1" spans="6:6">
      <c r="F31256" s="2423"/>
    </row>
    <row r="31257" s="101" customFormat="1" spans="6:6">
      <c r="F31257" s="2423"/>
    </row>
    <row r="31258" s="101" customFormat="1" spans="6:6">
      <c r="F31258" s="2423"/>
    </row>
    <row r="31259" s="101" customFormat="1" spans="6:6">
      <c r="F31259" s="2423"/>
    </row>
    <row r="31260" s="101" customFormat="1" spans="6:6">
      <c r="F31260" s="2423"/>
    </row>
    <row r="31261" s="101" customFormat="1" spans="6:6">
      <c r="F31261" s="2423"/>
    </row>
    <row r="31262" s="101" customFormat="1" spans="6:6">
      <c r="F31262" s="2423"/>
    </row>
    <row r="31263" s="101" customFormat="1" spans="6:6">
      <c r="F31263" s="2423"/>
    </row>
    <row r="31264" s="101" customFormat="1" spans="6:6">
      <c r="F31264" s="2423"/>
    </row>
    <row r="31265" s="101" customFormat="1" spans="6:6">
      <c r="F31265" s="2423"/>
    </row>
    <row r="31266" s="101" customFormat="1" spans="6:6">
      <c r="F31266" s="2423"/>
    </row>
    <row r="31267" s="101" customFormat="1" spans="6:6">
      <c r="F31267" s="2423"/>
    </row>
    <row r="31268" s="101" customFormat="1" spans="6:6">
      <c r="F31268" s="2423"/>
    </row>
    <row r="31269" s="101" customFormat="1" spans="6:6">
      <c r="F31269" s="2423"/>
    </row>
    <row r="31270" s="101" customFormat="1" spans="6:6">
      <c r="F31270" s="2423"/>
    </row>
    <row r="31271" s="101" customFormat="1" spans="6:6">
      <c r="F31271" s="2423"/>
    </row>
    <row r="31272" s="101" customFormat="1" spans="6:6">
      <c r="F31272" s="2423"/>
    </row>
    <row r="31273" s="101" customFormat="1" spans="6:6">
      <c r="F31273" s="2423"/>
    </row>
    <row r="31274" s="101" customFormat="1" spans="6:6">
      <c r="F31274" s="2423"/>
    </row>
    <row r="31275" s="101" customFormat="1" spans="6:6">
      <c r="F31275" s="2423"/>
    </row>
    <row r="31276" s="101" customFormat="1" spans="6:6">
      <c r="F31276" s="2423"/>
    </row>
    <row r="31277" s="101" customFormat="1" spans="6:6">
      <c r="F31277" s="2423"/>
    </row>
    <row r="31278" s="101" customFormat="1" spans="6:6">
      <c r="F31278" s="2423"/>
    </row>
    <row r="31279" s="101" customFormat="1" spans="6:6">
      <c r="F31279" s="2423"/>
    </row>
    <row r="31280" s="101" customFormat="1" spans="6:6">
      <c r="F31280" s="2423"/>
    </row>
    <row r="31281" s="101" customFormat="1" spans="6:6">
      <c r="F31281" s="2423"/>
    </row>
    <row r="31282" s="101" customFormat="1" spans="6:6">
      <c r="F31282" s="2423"/>
    </row>
    <row r="31283" s="101" customFormat="1" spans="6:6">
      <c r="F31283" s="2423"/>
    </row>
    <row r="31284" s="101" customFormat="1" spans="6:6">
      <c r="F31284" s="2423"/>
    </row>
    <row r="31285" s="101" customFormat="1" spans="6:6">
      <c r="F31285" s="2423"/>
    </row>
    <row r="31286" s="101" customFormat="1" spans="6:6">
      <c r="F31286" s="2423"/>
    </row>
    <row r="31287" s="101" customFormat="1" spans="6:6">
      <c r="F31287" s="2423"/>
    </row>
    <row r="31288" s="101" customFormat="1" spans="6:6">
      <c r="F31288" s="2423"/>
    </row>
    <row r="31289" s="101" customFormat="1" spans="6:6">
      <c r="F31289" s="2423"/>
    </row>
    <row r="31290" s="101" customFormat="1" spans="6:6">
      <c r="F31290" s="2423"/>
    </row>
    <row r="31291" s="101" customFormat="1" spans="6:6">
      <c r="F31291" s="2423"/>
    </row>
    <row r="31292" s="101" customFormat="1" spans="6:6">
      <c r="F31292" s="2423"/>
    </row>
    <row r="31293" s="101" customFormat="1" spans="6:6">
      <c r="F31293" s="2423"/>
    </row>
    <row r="31294" s="101" customFormat="1" spans="6:6">
      <c r="F31294" s="2423"/>
    </row>
    <row r="31295" s="101" customFormat="1" spans="6:6">
      <c r="F31295" s="2423"/>
    </row>
    <row r="31296" s="101" customFormat="1" spans="6:6">
      <c r="F31296" s="2423"/>
    </row>
    <row r="31297" s="101" customFormat="1" spans="6:6">
      <c r="F31297" s="2423"/>
    </row>
    <row r="31298" s="101" customFormat="1" spans="6:6">
      <c r="F31298" s="2423"/>
    </row>
    <row r="31299" s="101" customFormat="1" spans="6:6">
      <c r="F31299" s="2423"/>
    </row>
    <row r="31300" s="101" customFormat="1" spans="6:6">
      <c r="F31300" s="2423"/>
    </row>
    <row r="31301" s="101" customFormat="1" spans="6:6">
      <c r="F31301" s="2423"/>
    </row>
    <row r="31302" s="101" customFormat="1" spans="6:6">
      <c r="F31302" s="2423"/>
    </row>
    <row r="31303" s="101" customFormat="1" spans="6:6">
      <c r="F31303" s="2423"/>
    </row>
    <row r="31304" s="101" customFormat="1" spans="6:6">
      <c r="F31304" s="2423"/>
    </row>
    <row r="31305" s="101" customFormat="1" spans="6:6">
      <c r="F31305" s="2423"/>
    </row>
    <row r="31306" s="101" customFormat="1" spans="6:6">
      <c r="F31306" s="2423"/>
    </row>
    <row r="31307" s="101" customFormat="1" spans="6:6">
      <c r="F31307" s="2423"/>
    </row>
    <row r="31308" s="101" customFormat="1" spans="6:6">
      <c r="F31308" s="2423"/>
    </row>
    <row r="31309" s="101" customFormat="1" spans="6:6">
      <c r="F31309" s="2423"/>
    </row>
    <row r="31310" s="101" customFormat="1" spans="6:6">
      <c r="F31310" s="2423"/>
    </row>
    <row r="31311" s="101" customFormat="1" spans="6:6">
      <c r="F31311" s="2423"/>
    </row>
    <row r="31312" s="101" customFormat="1" spans="6:6">
      <c r="F31312" s="2423"/>
    </row>
    <row r="31313" s="101" customFormat="1" spans="6:6">
      <c r="F31313" s="2423"/>
    </row>
    <row r="31314" s="101" customFormat="1" spans="6:6">
      <c r="F31314" s="2423"/>
    </row>
    <row r="31315" s="101" customFormat="1" spans="6:6">
      <c r="F31315" s="2423"/>
    </row>
    <row r="31316" s="101" customFormat="1" spans="6:6">
      <c r="F31316" s="2423"/>
    </row>
    <row r="31317" s="101" customFormat="1" spans="6:6">
      <c r="F31317" s="2423"/>
    </row>
    <row r="31318" s="101" customFormat="1" spans="6:6">
      <c r="F31318" s="2423"/>
    </row>
    <row r="31319" s="101" customFormat="1" spans="6:6">
      <c r="F31319" s="2423"/>
    </row>
    <row r="31320" s="101" customFormat="1" spans="6:6">
      <c r="F31320" s="2423"/>
    </row>
    <row r="31321" s="101" customFormat="1" spans="6:6">
      <c r="F31321" s="2423"/>
    </row>
    <row r="31322" s="101" customFormat="1" spans="6:6">
      <c r="F31322" s="2423"/>
    </row>
    <row r="31323" s="101" customFormat="1" spans="6:6">
      <c r="F31323" s="2423"/>
    </row>
    <row r="31324" s="101" customFormat="1" spans="6:6">
      <c r="F31324" s="2423"/>
    </row>
    <row r="31325" s="101" customFormat="1" spans="6:6">
      <c r="F31325" s="2423"/>
    </row>
    <row r="31326" s="101" customFormat="1" spans="6:6">
      <c r="F31326" s="2423"/>
    </row>
    <row r="31327" s="101" customFormat="1" spans="6:6">
      <c r="F31327" s="2423"/>
    </row>
    <row r="31328" s="101" customFormat="1" spans="6:6">
      <c r="F31328" s="2423"/>
    </row>
    <row r="31329" s="101" customFormat="1" spans="6:6">
      <c r="F31329" s="2423"/>
    </row>
    <row r="31330" s="101" customFormat="1" spans="6:6">
      <c r="F31330" s="2423"/>
    </row>
    <row r="31331" s="101" customFormat="1" spans="6:6">
      <c r="F31331" s="2423"/>
    </row>
    <row r="31332" s="101" customFormat="1" spans="6:6">
      <c r="F31332" s="2423"/>
    </row>
    <row r="31333" s="101" customFormat="1" spans="6:6">
      <c r="F31333" s="2423"/>
    </row>
    <row r="31334" s="101" customFormat="1" spans="6:6">
      <c r="F31334" s="2423"/>
    </row>
    <row r="31335" s="101" customFormat="1" spans="6:6">
      <c r="F31335" s="2423"/>
    </row>
    <row r="31336" s="101" customFormat="1" spans="6:6">
      <c r="F31336" s="2423"/>
    </row>
    <row r="31337" s="101" customFormat="1" spans="6:6">
      <c r="F31337" s="2423"/>
    </row>
    <row r="31338" s="101" customFormat="1" spans="6:6">
      <c r="F31338" s="2423"/>
    </row>
    <row r="31339" s="101" customFormat="1" spans="6:6">
      <c r="F31339" s="2423"/>
    </row>
    <row r="31340" s="101" customFormat="1" spans="6:6">
      <c r="F31340" s="2423"/>
    </row>
    <row r="31341" s="101" customFormat="1" spans="6:6">
      <c r="F31341" s="2423"/>
    </row>
    <row r="31342" s="101" customFormat="1" spans="6:6">
      <c r="F31342" s="2423"/>
    </row>
    <row r="31343" s="101" customFormat="1" spans="6:6">
      <c r="F31343" s="2423"/>
    </row>
    <row r="31344" s="101" customFormat="1" spans="6:6">
      <c r="F31344" s="2423"/>
    </row>
    <row r="31345" s="101" customFormat="1" spans="6:6">
      <c r="F31345" s="2423"/>
    </row>
    <row r="31346" s="101" customFormat="1" spans="6:6">
      <c r="F31346" s="2423"/>
    </row>
    <row r="31347" s="101" customFormat="1" spans="6:6">
      <c r="F31347" s="2423"/>
    </row>
    <row r="31348" s="101" customFormat="1" spans="6:6">
      <c r="F31348" s="2423"/>
    </row>
    <row r="31349" s="101" customFormat="1" spans="6:6">
      <c r="F31349" s="2423"/>
    </row>
    <row r="31350" s="101" customFormat="1" spans="6:6">
      <c r="F31350" s="2423"/>
    </row>
    <row r="31351" s="101" customFormat="1" spans="6:6">
      <c r="F31351" s="2423"/>
    </row>
    <row r="31352" s="101" customFormat="1" spans="6:6">
      <c r="F31352" s="2423"/>
    </row>
    <row r="31353" s="101" customFormat="1" spans="6:6">
      <c r="F31353" s="2423"/>
    </row>
    <row r="31354" s="101" customFormat="1" spans="6:6">
      <c r="F31354" s="2423"/>
    </row>
    <row r="31355" s="101" customFormat="1" spans="6:6">
      <c r="F31355" s="2423"/>
    </row>
    <row r="31356" s="101" customFormat="1" spans="6:6">
      <c r="F31356" s="2423"/>
    </row>
    <row r="31357" s="101" customFormat="1" spans="6:6">
      <c r="F31357" s="2423"/>
    </row>
    <row r="31358" s="101" customFormat="1" spans="6:6">
      <c r="F31358" s="2423"/>
    </row>
    <row r="31359" s="101" customFormat="1" spans="6:6">
      <c r="F31359" s="2423"/>
    </row>
    <row r="31360" s="101" customFormat="1" spans="6:6">
      <c r="F31360" s="2423"/>
    </row>
    <row r="31361" s="101" customFormat="1" spans="6:6">
      <c r="F31361" s="2423"/>
    </row>
    <row r="31362" s="101" customFormat="1" spans="6:6">
      <c r="F31362" s="2423"/>
    </row>
    <row r="31363" s="101" customFormat="1" spans="6:6">
      <c r="F31363" s="2423"/>
    </row>
    <row r="31364" s="101" customFormat="1" spans="6:6">
      <c r="F31364" s="2423"/>
    </row>
    <row r="31365" s="101" customFormat="1" spans="6:6">
      <c r="F31365" s="2423"/>
    </row>
    <row r="31366" s="101" customFormat="1" spans="6:6">
      <c r="F31366" s="2423"/>
    </row>
    <row r="31367" s="101" customFormat="1" spans="6:6">
      <c r="F31367" s="2423"/>
    </row>
    <row r="31368" s="101" customFormat="1" spans="6:6">
      <c r="F31368" s="2423"/>
    </row>
    <row r="31369" s="101" customFormat="1" spans="6:6">
      <c r="F31369" s="2423"/>
    </row>
    <row r="31370" s="101" customFormat="1" spans="6:6">
      <c r="F31370" s="2423"/>
    </row>
    <row r="31371" s="101" customFormat="1" spans="6:6">
      <c r="F31371" s="2423"/>
    </row>
    <row r="31372" s="101" customFormat="1" spans="6:6">
      <c r="F31372" s="2423"/>
    </row>
    <row r="31373" s="101" customFormat="1" spans="6:6">
      <c r="F31373" s="2423"/>
    </row>
    <row r="31374" s="101" customFormat="1" spans="6:6">
      <c r="F31374" s="2423"/>
    </row>
    <row r="31375" s="101" customFormat="1" spans="6:6">
      <c r="F31375" s="2423"/>
    </row>
    <row r="31376" s="101" customFormat="1" spans="6:6">
      <c r="F31376" s="2423"/>
    </row>
    <row r="31377" s="101" customFormat="1" spans="6:6">
      <c r="F31377" s="2423"/>
    </row>
    <row r="31378" s="101" customFormat="1" spans="6:6">
      <c r="F31378" s="2423"/>
    </row>
    <row r="31379" s="101" customFormat="1" spans="6:6">
      <c r="F31379" s="2423"/>
    </row>
    <row r="31380" s="101" customFormat="1" spans="6:6">
      <c r="F31380" s="2423"/>
    </row>
    <row r="31381" s="101" customFormat="1" spans="6:6">
      <c r="F31381" s="2423"/>
    </row>
    <row r="31382" s="101" customFormat="1" spans="6:6">
      <c r="F31382" s="2423"/>
    </row>
    <row r="31383" s="101" customFormat="1" spans="6:6">
      <c r="F31383" s="2423"/>
    </row>
    <row r="31384" s="101" customFormat="1" spans="6:6">
      <c r="F31384" s="2423"/>
    </row>
    <row r="31385" s="101" customFormat="1" spans="6:6">
      <c r="F31385" s="2423"/>
    </row>
    <row r="31386" s="101" customFormat="1" spans="6:6">
      <c r="F31386" s="2423"/>
    </row>
    <row r="31387" s="101" customFormat="1" spans="6:6">
      <c r="F31387" s="2423"/>
    </row>
    <row r="31388" s="101" customFormat="1" spans="6:6">
      <c r="F31388" s="2423"/>
    </row>
    <row r="31389" s="101" customFormat="1" spans="6:6">
      <c r="F31389" s="2423"/>
    </row>
    <row r="31390" s="101" customFormat="1" spans="6:6">
      <c r="F31390" s="2423"/>
    </row>
    <row r="31391" s="101" customFormat="1" spans="6:6">
      <c r="F31391" s="2423"/>
    </row>
    <row r="31392" s="101" customFormat="1" spans="6:6">
      <c r="F31392" s="2423"/>
    </row>
    <row r="31393" s="101" customFormat="1" spans="6:6">
      <c r="F31393" s="2423"/>
    </row>
    <row r="31394" s="101" customFormat="1" spans="6:6">
      <c r="F31394" s="2423"/>
    </row>
    <row r="31395" s="101" customFormat="1" spans="6:6">
      <c r="F31395" s="2423"/>
    </row>
    <row r="31396" s="101" customFormat="1" spans="6:6">
      <c r="F31396" s="2423"/>
    </row>
    <row r="31397" s="101" customFormat="1" spans="6:6">
      <c r="F31397" s="2423"/>
    </row>
    <row r="31398" s="101" customFormat="1" spans="6:6">
      <c r="F31398" s="2423"/>
    </row>
    <row r="31399" s="101" customFormat="1" spans="6:6">
      <c r="F31399" s="2423"/>
    </row>
    <row r="31400" s="101" customFormat="1" spans="6:6">
      <c r="F31400" s="2423"/>
    </row>
    <row r="31401" s="101" customFormat="1" spans="6:6">
      <c r="F31401" s="2423"/>
    </row>
    <row r="31402" s="101" customFormat="1" spans="6:6">
      <c r="F31402" s="2423"/>
    </row>
    <row r="31403" s="101" customFormat="1" spans="6:6">
      <c r="F31403" s="2423"/>
    </row>
    <row r="31404" s="101" customFormat="1" spans="6:6">
      <c r="F31404" s="2423"/>
    </row>
    <row r="31405" s="101" customFormat="1" spans="6:6">
      <c r="F31405" s="2423"/>
    </row>
    <row r="31406" s="101" customFormat="1" spans="6:6">
      <c r="F31406" s="2423"/>
    </row>
    <row r="31407" s="101" customFormat="1" spans="6:6">
      <c r="F31407" s="2423"/>
    </row>
    <row r="31408" s="101" customFormat="1" spans="6:6">
      <c r="F31408" s="2423"/>
    </row>
    <row r="31409" s="101" customFormat="1" spans="6:6">
      <c r="F31409" s="2423"/>
    </row>
    <row r="31410" s="101" customFormat="1" spans="6:6">
      <c r="F31410" s="2423"/>
    </row>
    <row r="31411" s="101" customFormat="1" spans="6:6">
      <c r="F31411" s="2423"/>
    </row>
    <row r="31412" s="101" customFormat="1" spans="6:6">
      <c r="F31412" s="2423"/>
    </row>
    <row r="31413" s="101" customFormat="1" spans="6:6">
      <c r="F31413" s="2423"/>
    </row>
    <row r="31414" s="101" customFormat="1" spans="6:6">
      <c r="F31414" s="2423"/>
    </row>
    <row r="31415" s="101" customFormat="1" spans="6:6">
      <c r="F31415" s="2423"/>
    </row>
    <row r="31416" s="101" customFormat="1" spans="6:6">
      <c r="F31416" s="2423"/>
    </row>
    <row r="31417" s="101" customFormat="1" spans="6:6">
      <c r="F31417" s="2423"/>
    </row>
    <row r="31418" s="101" customFormat="1" spans="6:6">
      <c r="F31418" s="2423"/>
    </row>
    <row r="31419" s="101" customFormat="1" spans="6:6">
      <c r="F31419" s="2423"/>
    </row>
    <row r="31420" s="101" customFormat="1" spans="6:6">
      <c r="F31420" s="2423"/>
    </row>
    <row r="31421" s="101" customFormat="1" spans="6:6">
      <c r="F31421" s="2423"/>
    </row>
    <row r="31422" s="101" customFormat="1" spans="6:6">
      <c r="F31422" s="2423"/>
    </row>
    <row r="31423" s="101" customFormat="1" spans="6:6">
      <c r="F31423" s="2423"/>
    </row>
    <row r="31424" s="101" customFormat="1" spans="6:6">
      <c r="F31424" s="2423"/>
    </row>
    <row r="31425" s="101" customFormat="1" spans="6:6">
      <c r="F31425" s="2423"/>
    </row>
    <row r="31426" s="101" customFormat="1" spans="6:6">
      <c r="F31426" s="2423"/>
    </row>
    <row r="31427" s="101" customFormat="1" spans="6:6">
      <c r="F31427" s="2423"/>
    </row>
    <row r="31428" s="101" customFormat="1" spans="6:6">
      <c r="F31428" s="2423"/>
    </row>
    <row r="31429" s="101" customFormat="1" spans="6:6">
      <c r="F31429" s="2423"/>
    </row>
    <row r="31430" s="101" customFormat="1" spans="6:6">
      <c r="F31430" s="2423"/>
    </row>
    <row r="31431" s="101" customFormat="1" spans="6:6">
      <c r="F31431" s="2423"/>
    </row>
    <row r="31432" s="101" customFormat="1" spans="6:6">
      <c r="F31432" s="2423"/>
    </row>
    <row r="31433" s="101" customFormat="1" spans="6:6">
      <c r="F31433" s="2423"/>
    </row>
    <row r="31434" s="101" customFormat="1" spans="6:6">
      <c r="F31434" s="2423"/>
    </row>
    <row r="31435" s="101" customFormat="1" spans="6:6">
      <c r="F31435" s="2423"/>
    </row>
    <row r="31436" s="101" customFormat="1" spans="6:6">
      <c r="F31436" s="2423"/>
    </row>
    <row r="31437" s="101" customFormat="1" spans="6:6">
      <c r="F31437" s="2423"/>
    </row>
    <row r="31438" s="101" customFormat="1" spans="6:6">
      <c r="F31438" s="2423"/>
    </row>
    <row r="31439" s="101" customFormat="1" spans="6:6">
      <c r="F31439" s="2423"/>
    </row>
    <row r="31440" s="101" customFormat="1" spans="6:6">
      <c r="F31440" s="2423"/>
    </row>
    <row r="31441" s="101" customFormat="1" spans="6:6">
      <c r="F31441" s="2423"/>
    </row>
    <row r="31442" s="101" customFormat="1" spans="6:6">
      <c r="F31442" s="2423"/>
    </row>
    <row r="31443" s="101" customFormat="1" spans="6:6">
      <c r="F31443" s="2423"/>
    </row>
    <row r="31444" s="101" customFormat="1" spans="6:6">
      <c r="F31444" s="2423"/>
    </row>
    <row r="31445" s="101" customFormat="1" spans="6:6">
      <c r="F31445" s="2423"/>
    </row>
    <row r="31446" s="101" customFormat="1" spans="6:6">
      <c r="F31446" s="2423"/>
    </row>
    <row r="31447" s="101" customFormat="1" spans="6:6">
      <c r="F31447" s="2423"/>
    </row>
    <row r="31448" s="101" customFormat="1" spans="6:6">
      <c r="F31448" s="2423"/>
    </row>
    <row r="31449" s="101" customFormat="1" spans="6:6">
      <c r="F31449" s="2423"/>
    </row>
    <row r="31450" s="101" customFormat="1" spans="6:6">
      <c r="F31450" s="2423"/>
    </row>
    <row r="31451" s="101" customFormat="1" spans="6:6">
      <c r="F31451" s="2423"/>
    </row>
    <row r="31452" s="101" customFormat="1" spans="6:6">
      <c r="F31452" s="2423"/>
    </row>
    <row r="31453" s="101" customFormat="1" spans="6:6">
      <c r="F31453" s="2423"/>
    </row>
    <row r="31454" s="101" customFormat="1" spans="6:6">
      <c r="F31454" s="2423"/>
    </row>
    <row r="31455" s="101" customFormat="1" spans="6:6">
      <c r="F31455" s="2423"/>
    </row>
    <row r="31456" s="101" customFormat="1" spans="6:6">
      <c r="F31456" s="2423"/>
    </row>
    <row r="31457" s="101" customFormat="1" spans="6:6">
      <c r="F31457" s="2423"/>
    </row>
    <row r="31458" s="101" customFormat="1" spans="6:6">
      <c r="F31458" s="2423"/>
    </row>
    <row r="31459" s="101" customFormat="1" spans="6:6">
      <c r="F31459" s="2423"/>
    </row>
    <row r="31460" s="101" customFormat="1" spans="6:6">
      <c r="F31460" s="2423"/>
    </row>
    <row r="31461" s="101" customFormat="1" spans="6:6">
      <c r="F31461" s="2423"/>
    </row>
    <row r="31462" s="101" customFormat="1" spans="6:6">
      <c r="F31462" s="2423"/>
    </row>
    <row r="31463" s="101" customFormat="1" spans="6:6">
      <c r="F31463" s="2423"/>
    </row>
    <row r="31464" s="101" customFormat="1" spans="6:6">
      <c r="F31464" s="2423"/>
    </row>
    <row r="31465" s="101" customFormat="1" spans="6:6">
      <c r="F31465" s="2423"/>
    </row>
    <row r="31466" s="101" customFormat="1" spans="6:6">
      <c r="F31466" s="2423"/>
    </row>
    <row r="31467" s="101" customFormat="1" spans="6:6">
      <c r="F31467" s="2423"/>
    </row>
    <row r="31468" s="101" customFormat="1" spans="6:6">
      <c r="F31468" s="2423"/>
    </row>
    <row r="31469" s="101" customFormat="1" spans="6:6">
      <c r="F31469" s="2423"/>
    </row>
    <row r="31470" s="101" customFormat="1" spans="6:6">
      <c r="F31470" s="2423"/>
    </row>
    <row r="31471" s="101" customFormat="1" spans="6:6">
      <c r="F31471" s="2423"/>
    </row>
    <row r="31472" s="101" customFormat="1" spans="6:6">
      <c r="F31472" s="2423"/>
    </row>
    <row r="31473" s="101" customFormat="1" spans="6:6">
      <c r="F31473" s="2423"/>
    </row>
    <row r="31474" s="101" customFormat="1" spans="6:6">
      <c r="F31474" s="2423"/>
    </row>
    <row r="31475" s="101" customFormat="1" spans="6:6">
      <c r="F31475" s="2423"/>
    </row>
    <row r="31476" s="101" customFormat="1" spans="6:6">
      <c r="F31476" s="2423"/>
    </row>
    <row r="31477" s="101" customFormat="1" spans="6:6">
      <c r="F31477" s="2423"/>
    </row>
    <row r="31478" s="101" customFormat="1" spans="6:6">
      <c r="F31478" s="2423"/>
    </row>
    <row r="31479" s="101" customFormat="1" spans="6:6">
      <c r="F31479" s="2423"/>
    </row>
    <row r="31480" s="101" customFormat="1" spans="6:6">
      <c r="F31480" s="2423"/>
    </row>
    <row r="31481" s="101" customFormat="1" spans="6:6">
      <c r="F31481" s="2423"/>
    </row>
    <row r="31482" s="101" customFormat="1" spans="6:6">
      <c r="F31482" s="2423"/>
    </row>
    <row r="31483" s="101" customFormat="1" spans="6:6">
      <c r="F31483" s="2423"/>
    </row>
    <row r="31484" s="101" customFormat="1" spans="6:6">
      <c r="F31484" s="2423"/>
    </row>
    <row r="31485" s="101" customFormat="1" spans="6:6">
      <c r="F31485" s="2423"/>
    </row>
    <row r="31486" s="101" customFormat="1" spans="6:6">
      <c r="F31486" s="2423"/>
    </row>
    <row r="31487" s="101" customFormat="1" spans="6:6">
      <c r="F31487" s="2423"/>
    </row>
    <row r="31488" s="101" customFormat="1" spans="6:6">
      <c r="F31488" s="2423"/>
    </row>
    <row r="31489" s="101" customFormat="1" spans="6:6">
      <c r="F31489" s="2423"/>
    </row>
    <row r="31490" s="101" customFormat="1" spans="6:6">
      <c r="F31490" s="2423"/>
    </row>
    <row r="31491" s="101" customFormat="1" spans="6:6">
      <c r="F31491" s="2423"/>
    </row>
    <row r="31492" s="101" customFormat="1" spans="6:6">
      <c r="F31492" s="2423"/>
    </row>
    <row r="31493" s="101" customFormat="1" spans="6:6">
      <c r="F31493" s="2423"/>
    </row>
    <row r="31494" s="101" customFormat="1" spans="6:6">
      <c r="F31494" s="2423"/>
    </row>
    <row r="31495" s="101" customFormat="1" spans="6:6">
      <c r="F31495" s="2423"/>
    </row>
    <row r="31496" s="101" customFormat="1" spans="6:6">
      <c r="F31496" s="2423"/>
    </row>
    <row r="31497" s="101" customFormat="1" spans="6:6">
      <c r="F31497" s="2423"/>
    </row>
    <row r="31498" s="101" customFormat="1" spans="6:6">
      <c r="F31498" s="2423"/>
    </row>
    <row r="31499" s="101" customFormat="1" spans="6:6">
      <c r="F31499" s="2423"/>
    </row>
    <row r="31500" s="101" customFormat="1" spans="6:6">
      <c r="F31500" s="2423"/>
    </row>
    <row r="31501" s="101" customFormat="1" spans="6:6">
      <c r="F31501" s="2423"/>
    </row>
    <row r="31502" s="101" customFormat="1" spans="6:6">
      <c r="F31502" s="2423"/>
    </row>
    <row r="31503" s="101" customFormat="1" spans="6:6">
      <c r="F31503" s="2423"/>
    </row>
    <row r="31504" s="101" customFormat="1" spans="6:6">
      <c r="F31504" s="2423"/>
    </row>
    <row r="31505" s="101" customFormat="1" spans="6:6">
      <c r="F31505" s="2423"/>
    </row>
    <row r="31506" s="101" customFormat="1" spans="6:6">
      <c r="F31506" s="2423"/>
    </row>
    <row r="31507" s="101" customFormat="1" spans="6:6">
      <c r="F31507" s="2423"/>
    </row>
    <row r="31508" s="101" customFormat="1" spans="6:6">
      <c r="F31508" s="2423"/>
    </row>
    <row r="31509" s="101" customFormat="1" spans="6:6">
      <c r="F31509" s="2423"/>
    </row>
    <row r="31510" s="101" customFormat="1" spans="6:6">
      <c r="F31510" s="2423"/>
    </row>
    <row r="31511" s="101" customFormat="1" spans="6:6">
      <c r="F31511" s="2423"/>
    </row>
    <row r="31512" s="101" customFormat="1" spans="6:6">
      <c r="F31512" s="2423"/>
    </row>
    <row r="31513" s="101" customFormat="1" spans="6:6">
      <c r="F31513" s="2423"/>
    </row>
    <row r="31514" s="101" customFormat="1" spans="6:6">
      <c r="F31514" s="2423"/>
    </row>
    <row r="31515" s="101" customFormat="1" spans="6:6">
      <c r="F31515" s="2423"/>
    </row>
    <row r="31516" s="101" customFormat="1" spans="6:6">
      <c r="F31516" s="2423"/>
    </row>
    <row r="31517" s="101" customFormat="1" spans="6:6">
      <c r="F31517" s="2423"/>
    </row>
    <row r="31518" s="101" customFormat="1" spans="6:6">
      <c r="F31518" s="2423"/>
    </row>
    <row r="31519" s="101" customFormat="1" spans="6:6">
      <c r="F31519" s="2423"/>
    </row>
    <row r="31520" s="101" customFormat="1" spans="6:6">
      <c r="F31520" s="2423"/>
    </row>
    <row r="31521" s="101" customFormat="1" spans="6:6">
      <c r="F31521" s="2423"/>
    </row>
    <row r="31522" s="101" customFormat="1" spans="6:6">
      <c r="F31522" s="2423"/>
    </row>
    <row r="31523" s="101" customFormat="1" spans="6:6">
      <c r="F31523" s="2423"/>
    </row>
    <row r="31524" s="101" customFormat="1" spans="6:6">
      <c r="F31524" s="2423"/>
    </row>
    <row r="31525" s="101" customFormat="1" spans="6:6">
      <c r="F31525" s="2423"/>
    </row>
    <row r="31526" s="101" customFormat="1" spans="6:6">
      <c r="F31526" s="2423"/>
    </row>
    <row r="31527" s="101" customFormat="1" spans="6:6">
      <c r="F31527" s="2423"/>
    </row>
    <row r="31528" s="101" customFormat="1" spans="6:6">
      <c r="F31528" s="2423"/>
    </row>
    <row r="31529" s="101" customFormat="1" spans="6:6">
      <c r="F31529" s="2423"/>
    </row>
    <row r="31530" s="101" customFormat="1" spans="6:6">
      <c r="F31530" s="2423"/>
    </row>
    <row r="31531" s="101" customFormat="1" spans="6:6">
      <c r="F31531" s="2423"/>
    </row>
    <row r="31532" s="101" customFormat="1" spans="6:6">
      <c r="F31532" s="2423"/>
    </row>
    <row r="31533" s="101" customFormat="1" spans="6:6">
      <c r="F31533" s="2423"/>
    </row>
    <row r="31534" s="101" customFormat="1" spans="6:6">
      <c r="F31534" s="2423"/>
    </row>
    <row r="31535" s="101" customFormat="1" spans="6:6">
      <c r="F31535" s="2423"/>
    </row>
    <row r="31536" s="101" customFormat="1" spans="6:6">
      <c r="F31536" s="2423"/>
    </row>
    <row r="31537" s="101" customFormat="1" spans="6:6">
      <c r="F31537" s="2423"/>
    </row>
    <row r="31538" s="101" customFormat="1" spans="6:6">
      <c r="F31538" s="2423"/>
    </row>
    <row r="31539" s="101" customFormat="1" spans="6:6">
      <c r="F31539" s="2423"/>
    </row>
    <row r="31540" s="101" customFormat="1" spans="6:6">
      <c r="F31540" s="2423"/>
    </row>
    <row r="31541" s="101" customFormat="1" spans="6:6">
      <c r="F31541" s="2423"/>
    </row>
    <row r="31542" s="101" customFormat="1" spans="6:6">
      <c r="F31542" s="2423"/>
    </row>
    <row r="31543" s="101" customFormat="1" spans="6:6">
      <c r="F31543" s="2423"/>
    </row>
    <row r="31544" s="101" customFormat="1" spans="6:6">
      <c r="F31544" s="2423"/>
    </row>
    <row r="31545" s="101" customFormat="1" spans="6:6">
      <c r="F31545" s="2423"/>
    </row>
    <row r="31546" s="101" customFormat="1" spans="6:6">
      <c r="F31546" s="2423"/>
    </row>
    <row r="31547" s="101" customFormat="1" spans="6:6">
      <c r="F31547" s="2423"/>
    </row>
    <row r="31548" s="101" customFormat="1" spans="6:6">
      <c r="F31548" s="2423"/>
    </row>
    <row r="31549" s="101" customFormat="1" spans="6:6">
      <c r="F31549" s="2423"/>
    </row>
    <row r="31550" s="101" customFormat="1" spans="6:6">
      <c r="F31550" s="2423"/>
    </row>
    <row r="31551" s="101" customFormat="1" spans="6:6">
      <c r="F31551" s="2423"/>
    </row>
    <row r="31552" s="101" customFormat="1" spans="6:6">
      <c r="F31552" s="2423"/>
    </row>
    <row r="31553" s="101" customFormat="1" spans="6:6">
      <c r="F31553" s="2423"/>
    </row>
    <row r="31554" s="101" customFormat="1" spans="6:6">
      <c r="F31554" s="2423"/>
    </row>
    <row r="31555" s="101" customFormat="1" spans="6:6">
      <c r="F31555" s="2423"/>
    </row>
    <row r="31556" s="101" customFormat="1" spans="6:6">
      <c r="F31556" s="2423"/>
    </row>
    <row r="31557" s="101" customFormat="1" spans="6:6">
      <c r="F31557" s="2423"/>
    </row>
    <row r="31558" s="101" customFormat="1" spans="6:6">
      <c r="F31558" s="2423"/>
    </row>
    <row r="31559" s="101" customFormat="1" spans="6:6">
      <c r="F31559" s="2423"/>
    </row>
    <row r="31560" s="101" customFormat="1" spans="6:6">
      <c r="F31560" s="2423"/>
    </row>
    <row r="31561" s="101" customFormat="1" spans="6:6">
      <c r="F31561" s="2423"/>
    </row>
    <row r="31562" s="101" customFormat="1" spans="6:6">
      <c r="F31562" s="2423"/>
    </row>
    <row r="31563" s="101" customFormat="1" spans="6:6">
      <c r="F31563" s="2423"/>
    </row>
    <row r="31564" s="101" customFormat="1" spans="6:6">
      <c r="F31564" s="2423"/>
    </row>
    <row r="31565" s="101" customFormat="1" spans="6:6">
      <c r="F31565" s="2423"/>
    </row>
    <row r="31566" s="101" customFormat="1" spans="6:6">
      <c r="F31566" s="2423"/>
    </row>
    <row r="31567" s="101" customFormat="1" spans="6:6">
      <c r="F31567" s="2423"/>
    </row>
    <row r="31568" s="101" customFormat="1" spans="6:6">
      <c r="F31568" s="2423"/>
    </row>
    <row r="31569" s="101" customFormat="1" spans="6:6">
      <c r="F31569" s="2423"/>
    </row>
    <row r="31570" s="101" customFormat="1" spans="6:6">
      <c r="F31570" s="2423"/>
    </row>
    <row r="31571" s="101" customFormat="1" spans="6:6">
      <c r="F31571" s="2423"/>
    </row>
    <row r="31572" s="101" customFormat="1" spans="6:6">
      <c r="F31572" s="2423"/>
    </row>
    <row r="31573" s="101" customFormat="1" spans="6:6">
      <c r="F31573" s="2423"/>
    </row>
    <row r="31574" s="101" customFormat="1" spans="6:6">
      <c r="F31574" s="2423"/>
    </row>
    <row r="31575" s="101" customFormat="1" spans="6:6">
      <c r="F31575" s="2423"/>
    </row>
    <row r="31576" s="101" customFormat="1" spans="6:6">
      <c r="F31576" s="2423"/>
    </row>
    <row r="31577" s="101" customFormat="1" spans="6:6">
      <c r="F31577" s="2423"/>
    </row>
    <row r="31578" s="101" customFormat="1" spans="6:6">
      <c r="F31578" s="2423"/>
    </row>
    <row r="31579" s="101" customFormat="1" spans="6:6">
      <c r="F31579" s="2423"/>
    </row>
    <row r="31580" s="101" customFormat="1" spans="6:6">
      <c r="F31580" s="2423"/>
    </row>
    <row r="31581" s="101" customFormat="1" spans="6:6">
      <c r="F31581" s="2423"/>
    </row>
    <row r="31582" s="101" customFormat="1" spans="6:6">
      <c r="F31582" s="2423"/>
    </row>
    <row r="31583" s="101" customFormat="1" spans="6:6">
      <c r="F31583" s="2423"/>
    </row>
    <row r="31584" s="101" customFormat="1" spans="6:6">
      <c r="F31584" s="2423"/>
    </row>
    <row r="31585" s="101" customFormat="1" spans="6:6">
      <c r="F31585" s="2423"/>
    </row>
    <row r="31586" s="101" customFormat="1" spans="6:6">
      <c r="F31586" s="2423"/>
    </row>
    <row r="31587" s="101" customFormat="1" spans="6:6">
      <c r="F31587" s="2423"/>
    </row>
    <row r="31588" s="101" customFormat="1" spans="6:6">
      <c r="F31588" s="2423"/>
    </row>
    <row r="31589" s="101" customFormat="1" spans="6:6">
      <c r="F31589" s="2423"/>
    </row>
    <row r="31590" s="101" customFormat="1" spans="6:6">
      <c r="F31590" s="2423"/>
    </row>
    <row r="31591" s="101" customFormat="1" spans="6:6">
      <c r="F31591" s="2423"/>
    </row>
    <row r="31592" s="101" customFormat="1" spans="6:6">
      <c r="F31592" s="2423"/>
    </row>
    <row r="31593" s="101" customFormat="1" spans="6:6">
      <c r="F31593" s="2423"/>
    </row>
    <row r="31594" s="101" customFormat="1" spans="6:6">
      <c r="F31594" s="2423"/>
    </row>
    <row r="31595" s="101" customFormat="1" spans="6:6">
      <c r="F31595" s="2423"/>
    </row>
    <row r="31596" s="101" customFormat="1" spans="6:6">
      <c r="F31596" s="2423"/>
    </row>
    <row r="31597" s="101" customFormat="1" spans="6:6">
      <c r="F31597" s="2423"/>
    </row>
    <row r="31598" s="101" customFormat="1" spans="6:6">
      <c r="F31598" s="2423"/>
    </row>
    <row r="31599" s="101" customFormat="1" spans="6:6">
      <c r="F31599" s="2423"/>
    </row>
    <row r="31600" s="101" customFormat="1" spans="6:6">
      <c r="F31600" s="2423"/>
    </row>
    <row r="31601" s="101" customFormat="1" spans="6:6">
      <c r="F31601" s="2423"/>
    </row>
    <row r="31602" s="101" customFormat="1" spans="6:6">
      <c r="F31602" s="2423"/>
    </row>
    <row r="31603" s="101" customFormat="1" spans="6:6">
      <c r="F31603" s="2423"/>
    </row>
    <row r="31604" s="101" customFormat="1" spans="6:6">
      <c r="F31604" s="2423"/>
    </row>
    <row r="31605" s="101" customFormat="1" spans="6:6">
      <c r="F31605" s="2423"/>
    </row>
    <row r="31606" s="101" customFormat="1" spans="6:6">
      <c r="F31606" s="2423"/>
    </row>
    <row r="31607" s="101" customFormat="1" spans="6:6">
      <c r="F31607" s="2423"/>
    </row>
    <row r="31608" s="101" customFormat="1" spans="6:6">
      <c r="F31608" s="2423"/>
    </row>
    <row r="31609" s="101" customFormat="1" spans="6:6">
      <c r="F31609" s="2423"/>
    </row>
    <row r="31610" s="101" customFormat="1" spans="6:6">
      <c r="F31610" s="2423"/>
    </row>
    <row r="31611" s="101" customFormat="1" spans="6:6">
      <c r="F31611" s="2423"/>
    </row>
    <row r="31612" s="101" customFormat="1" spans="6:6">
      <c r="F31612" s="2423"/>
    </row>
    <row r="31613" s="101" customFormat="1" spans="6:6">
      <c r="F31613" s="2423"/>
    </row>
    <row r="31614" s="101" customFormat="1" spans="6:6">
      <c r="F31614" s="2423"/>
    </row>
    <row r="31615" s="101" customFormat="1" spans="6:6">
      <c r="F31615" s="2423"/>
    </row>
    <row r="31616" s="101" customFormat="1" spans="6:6">
      <c r="F31616" s="2423"/>
    </row>
    <row r="31617" s="101" customFormat="1" spans="6:6">
      <c r="F31617" s="2423"/>
    </row>
    <row r="31618" s="101" customFormat="1" spans="6:6">
      <c r="F31618" s="2423"/>
    </row>
    <row r="31619" s="101" customFormat="1" spans="6:6">
      <c r="F31619" s="2423"/>
    </row>
    <row r="31620" s="101" customFormat="1" spans="6:6">
      <c r="F31620" s="2423"/>
    </row>
    <row r="31621" s="101" customFormat="1" spans="6:6">
      <c r="F31621" s="2423"/>
    </row>
    <row r="31622" s="101" customFormat="1" spans="6:6">
      <c r="F31622" s="2423"/>
    </row>
    <row r="31623" s="101" customFormat="1" spans="6:6">
      <c r="F31623" s="2423"/>
    </row>
    <row r="31624" s="101" customFormat="1" spans="6:6">
      <c r="F31624" s="2423"/>
    </row>
    <row r="31625" s="101" customFormat="1" spans="6:6">
      <c r="F31625" s="2423"/>
    </row>
    <row r="31626" s="101" customFormat="1" spans="6:6">
      <c r="F31626" s="2423"/>
    </row>
    <row r="31627" s="101" customFormat="1" spans="6:6">
      <c r="F31627" s="2423"/>
    </row>
    <row r="31628" s="101" customFormat="1" spans="6:6">
      <c r="F31628" s="2423"/>
    </row>
    <row r="31629" s="101" customFormat="1" spans="6:6">
      <c r="F31629" s="2423"/>
    </row>
    <row r="31630" s="101" customFormat="1" spans="6:6">
      <c r="F31630" s="2423"/>
    </row>
    <row r="31631" s="101" customFormat="1" spans="6:6">
      <c r="F31631" s="2423"/>
    </row>
    <row r="31632" s="101" customFormat="1" spans="6:6">
      <c r="F31632" s="2423"/>
    </row>
    <row r="31633" s="101" customFormat="1" spans="6:6">
      <c r="F31633" s="2423"/>
    </row>
    <row r="31634" s="101" customFormat="1" spans="6:6">
      <c r="F31634" s="2423"/>
    </row>
    <row r="31635" s="101" customFormat="1" spans="6:6">
      <c r="F31635" s="2423"/>
    </row>
    <row r="31636" s="101" customFormat="1" spans="6:6">
      <c r="F31636" s="2423"/>
    </row>
    <row r="31637" s="101" customFormat="1" spans="6:6">
      <c r="F31637" s="2423"/>
    </row>
    <row r="31638" s="101" customFormat="1" spans="6:6">
      <c r="F31638" s="2423"/>
    </row>
    <row r="31639" s="101" customFormat="1" spans="6:6">
      <c r="F31639" s="2423"/>
    </row>
    <row r="31640" s="101" customFormat="1" spans="6:6">
      <c r="F31640" s="2423"/>
    </row>
    <row r="31641" s="101" customFormat="1" spans="6:6">
      <c r="F31641" s="2423"/>
    </row>
    <row r="31642" s="101" customFormat="1" spans="6:6">
      <c r="F31642" s="2423"/>
    </row>
    <row r="31643" s="101" customFormat="1" spans="6:6">
      <c r="F31643" s="2423"/>
    </row>
    <row r="31644" s="101" customFormat="1" spans="6:6">
      <c r="F31644" s="2423"/>
    </row>
    <row r="31645" s="101" customFormat="1" spans="6:6">
      <c r="F31645" s="2423"/>
    </row>
    <row r="31646" s="101" customFormat="1" spans="6:6">
      <c r="F31646" s="2423"/>
    </row>
    <row r="31647" s="101" customFormat="1" spans="6:6">
      <c r="F31647" s="2423"/>
    </row>
    <row r="31648" s="101" customFormat="1" spans="6:6">
      <c r="F31648" s="2423"/>
    </row>
    <row r="31649" s="101" customFormat="1" spans="6:6">
      <c r="F31649" s="2423"/>
    </row>
    <row r="31650" s="101" customFormat="1" spans="6:6">
      <c r="F31650" s="2423"/>
    </row>
    <row r="31651" s="101" customFormat="1" spans="6:6">
      <c r="F31651" s="2423"/>
    </row>
    <row r="31652" s="101" customFormat="1" spans="6:6">
      <c r="F31652" s="2423"/>
    </row>
    <row r="31653" s="101" customFormat="1" spans="6:6">
      <c r="F31653" s="2423"/>
    </row>
    <row r="31654" s="101" customFormat="1" spans="6:6">
      <c r="F31654" s="2423"/>
    </row>
    <row r="31655" s="101" customFormat="1" spans="6:6">
      <c r="F31655" s="2423"/>
    </row>
    <row r="31656" s="101" customFormat="1" spans="6:6">
      <c r="F31656" s="2423"/>
    </row>
    <row r="31657" s="101" customFormat="1" spans="6:6">
      <c r="F31657" s="2423"/>
    </row>
    <row r="31658" s="101" customFormat="1" spans="6:6">
      <c r="F31658" s="2423"/>
    </row>
    <row r="31659" s="101" customFormat="1" spans="6:6">
      <c r="F31659" s="2423"/>
    </row>
    <row r="31660" s="101" customFormat="1" spans="6:6">
      <c r="F31660" s="2423"/>
    </row>
    <row r="31661" s="101" customFormat="1" spans="6:6">
      <c r="F31661" s="2423"/>
    </row>
    <row r="31662" s="101" customFormat="1" spans="6:6">
      <c r="F31662" s="2423"/>
    </row>
    <row r="31663" s="101" customFormat="1" spans="6:6">
      <c r="F31663" s="2423"/>
    </row>
    <row r="31664" s="101" customFormat="1" spans="6:6">
      <c r="F31664" s="2423"/>
    </row>
    <row r="31665" s="101" customFormat="1" spans="6:6">
      <c r="F31665" s="2423"/>
    </row>
    <row r="31666" s="101" customFormat="1" spans="6:6">
      <c r="F31666" s="2423"/>
    </row>
    <row r="31667" s="101" customFormat="1" spans="6:6">
      <c r="F31667" s="2423"/>
    </row>
    <row r="31668" s="101" customFormat="1" spans="6:6">
      <c r="F31668" s="2423"/>
    </row>
    <row r="31669" s="101" customFormat="1" spans="6:6">
      <c r="F31669" s="2423"/>
    </row>
    <row r="31670" s="101" customFormat="1" spans="6:6">
      <c r="F31670" s="2423"/>
    </row>
    <row r="31671" s="101" customFormat="1" spans="6:6">
      <c r="F31671" s="2423"/>
    </row>
    <row r="31672" s="101" customFormat="1" spans="6:6">
      <c r="F31672" s="2423"/>
    </row>
    <row r="31673" s="101" customFormat="1" spans="6:6">
      <c r="F31673" s="2423"/>
    </row>
    <row r="31674" s="101" customFormat="1" spans="6:6">
      <c r="F31674" s="2423"/>
    </row>
    <row r="31675" s="101" customFormat="1" spans="6:6">
      <c r="F31675" s="2423"/>
    </row>
    <row r="31676" s="101" customFormat="1" spans="6:6">
      <c r="F31676" s="2423"/>
    </row>
    <row r="31677" s="101" customFormat="1" spans="6:6">
      <c r="F31677" s="2423"/>
    </row>
    <row r="31678" s="101" customFormat="1" spans="6:6">
      <c r="F31678" s="2423"/>
    </row>
    <row r="31679" s="101" customFormat="1" spans="6:6">
      <c r="F31679" s="2423"/>
    </row>
    <row r="31680" s="101" customFormat="1" spans="6:6">
      <c r="F31680" s="2423"/>
    </row>
    <row r="31681" s="101" customFormat="1" spans="6:6">
      <c r="F31681" s="2423"/>
    </row>
    <row r="31682" s="101" customFormat="1" spans="6:6">
      <c r="F31682" s="2423"/>
    </row>
    <row r="31683" s="101" customFormat="1" spans="6:6">
      <c r="F31683" s="2423"/>
    </row>
    <row r="31684" s="101" customFormat="1" spans="6:6">
      <c r="F31684" s="2423"/>
    </row>
    <row r="31685" s="101" customFormat="1" spans="6:6">
      <c r="F31685" s="2423"/>
    </row>
    <row r="31686" s="101" customFormat="1" spans="6:6">
      <c r="F31686" s="2423"/>
    </row>
    <row r="31687" s="101" customFormat="1" spans="6:6">
      <c r="F31687" s="2423"/>
    </row>
    <row r="31688" s="101" customFormat="1" spans="6:6">
      <c r="F31688" s="2423"/>
    </row>
    <row r="31689" s="101" customFormat="1" spans="6:6">
      <c r="F31689" s="2423"/>
    </row>
    <row r="31690" s="101" customFormat="1" spans="6:6">
      <c r="F31690" s="2423"/>
    </row>
    <row r="31691" s="101" customFormat="1" spans="6:6">
      <c r="F31691" s="2423"/>
    </row>
    <row r="31692" s="101" customFormat="1" spans="6:6">
      <c r="F31692" s="2423"/>
    </row>
    <row r="31693" s="101" customFormat="1" spans="6:6">
      <c r="F31693" s="2423"/>
    </row>
    <row r="31694" s="101" customFormat="1" spans="6:6">
      <c r="F31694" s="2423"/>
    </row>
    <row r="31695" s="101" customFormat="1" spans="6:6">
      <c r="F31695" s="2423"/>
    </row>
    <row r="31696" s="101" customFormat="1" spans="6:6">
      <c r="F31696" s="2423"/>
    </row>
    <row r="31697" s="101" customFormat="1" spans="6:6">
      <c r="F31697" s="2423"/>
    </row>
    <row r="31698" s="101" customFormat="1" spans="6:6">
      <c r="F31698" s="2423"/>
    </row>
    <row r="31699" s="101" customFormat="1" spans="6:6">
      <c r="F31699" s="2423"/>
    </row>
    <row r="31700" s="101" customFormat="1" spans="6:6">
      <c r="F31700" s="2423"/>
    </row>
    <row r="31701" s="101" customFormat="1" spans="6:6">
      <c r="F31701" s="2423"/>
    </row>
    <row r="31702" s="101" customFormat="1" spans="6:6">
      <c r="F31702" s="2423"/>
    </row>
    <row r="31703" s="101" customFormat="1" spans="6:6">
      <c r="F31703" s="2423"/>
    </row>
    <row r="31704" s="101" customFormat="1" spans="6:6">
      <c r="F31704" s="2423"/>
    </row>
    <row r="31705" s="101" customFormat="1" spans="6:6">
      <c r="F31705" s="2423"/>
    </row>
    <row r="31706" s="101" customFormat="1" spans="6:6">
      <c r="F31706" s="2423"/>
    </row>
    <row r="31707" s="101" customFormat="1" spans="6:6">
      <c r="F31707" s="2423"/>
    </row>
    <row r="31708" s="101" customFormat="1" spans="6:6">
      <c r="F31708" s="2423"/>
    </row>
    <row r="31709" s="101" customFormat="1" spans="6:6">
      <c r="F31709" s="2423"/>
    </row>
    <row r="31710" s="101" customFormat="1" spans="6:6">
      <c r="F31710" s="2423"/>
    </row>
    <row r="31711" s="101" customFormat="1" spans="6:6">
      <c r="F31711" s="2423"/>
    </row>
    <row r="31712" s="101" customFormat="1" spans="6:6">
      <c r="F31712" s="2423"/>
    </row>
    <row r="31713" s="101" customFormat="1" spans="6:6">
      <c r="F31713" s="2423"/>
    </row>
    <row r="31714" s="101" customFormat="1" spans="6:6">
      <c r="F31714" s="2423"/>
    </row>
    <row r="31715" s="101" customFormat="1" spans="6:6">
      <c r="F31715" s="2423"/>
    </row>
    <row r="31716" s="101" customFormat="1" spans="6:6">
      <c r="F31716" s="2423"/>
    </row>
    <row r="31717" s="101" customFormat="1" spans="6:6">
      <c r="F31717" s="2423"/>
    </row>
    <row r="31718" s="101" customFormat="1" spans="6:6">
      <c r="F31718" s="2423"/>
    </row>
    <row r="31719" s="101" customFormat="1" spans="6:6">
      <c r="F31719" s="2423"/>
    </row>
    <row r="31720" s="101" customFormat="1" spans="6:6">
      <c r="F31720" s="2423"/>
    </row>
    <row r="31721" s="101" customFormat="1" spans="6:6">
      <c r="F31721" s="2423"/>
    </row>
    <row r="31722" s="101" customFormat="1" spans="6:6">
      <c r="F31722" s="2423"/>
    </row>
    <row r="31723" s="101" customFormat="1" spans="6:6">
      <c r="F31723" s="2423"/>
    </row>
    <row r="31724" s="101" customFormat="1" spans="6:6">
      <c r="F31724" s="2423"/>
    </row>
    <row r="31725" s="101" customFormat="1" spans="6:6">
      <c r="F31725" s="2423"/>
    </row>
    <row r="31726" s="101" customFormat="1" spans="6:6">
      <c r="F31726" s="2423"/>
    </row>
    <row r="31727" s="101" customFormat="1" spans="6:6">
      <c r="F31727" s="2423"/>
    </row>
    <row r="31728" s="101" customFormat="1" spans="6:6">
      <c r="F31728" s="2423"/>
    </row>
    <row r="31729" s="101" customFormat="1" spans="6:6">
      <c r="F31729" s="2423"/>
    </row>
    <row r="31730" s="101" customFormat="1" spans="6:6">
      <c r="F31730" s="2423"/>
    </row>
    <row r="31731" s="101" customFormat="1" spans="6:6">
      <c r="F31731" s="2423"/>
    </row>
    <row r="31732" s="101" customFormat="1" spans="6:6">
      <c r="F31732" s="2423"/>
    </row>
    <row r="31733" s="101" customFormat="1" spans="6:6">
      <c r="F31733" s="2423"/>
    </row>
    <row r="31734" s="101" customFormat="1" spans="6:6">
      <c r="F31734" s="2423"/>
    </row>
    <row r="31735" s="101" customFormat="1" spans="6:6">
      <c r="F31735" s="2423"/>
    </row>
    <row r="31736" s="101" customFormat="1" spans="6:6">
      <c r="F31736" s="2423"/>
    </row>
    <row r="31737" s="101" customFormat="1" spans="6:6">
      <c r="F31737" s="2423"/>
    </row>
    <row r="31738" s="101" customFormat="1" spans="6:6">
      <c r="F31738" s="2423"/>
    </row>
    <row r="31739" s="101" customFormat="1" spans="6:6">
      <c r="F31739" s="2423"/>
    </row>
    <row r="31740" s="101" customFormat="1" spans="6:6">
      <c r="F31740" s="2423"/>
    </row>
    <row r="31741" s="101" customFormat="1" spans="6:6">
      <c r="F31741" s="2423"/>
    </row>
    <row r="31742" s="101" customFormat="1" spans="6:6">
      <c r="F31742" s="2423"/>
    </row>
    <row r="31743" s="101" customFormat="1" spans="6:6">
      <c r="F31743" s="2423"/>
    </row>
    <row r="31744" s="101" customFormat="1" spans="6:6">
      <c r="F31744" s="2423"/>
    </row>
    <row r="31745" s="101" customFormat="1" spans="6:6">
      <c r="F31745" s="2423"/>
    </row>
    <row r="31746" s="101" customFormat="1" spans="6:6">
      <c r="F31746" s="2423"/>
    </row>
    <row r="31747" s="101" customFormat="1" spans="6:6">
      <c r="F31747" s="2423"/>
    </row>
    <row r="31748" s="101" customFormat="1" spans="6:6">
      <c r="F31748" s="2423"/>
    </row>
    <row r="31749" s="101" customFormat="1" spans="6:6">
      <c r="F31749" s="2423"/>
    </row>
    <row r="31750" s="101" customFormat="1" spans="6:6">
      <c r="F31750" s="2423"/>
    </row>
    <row r="31751" s="101" customFormat="1" spans="6:6">
      <c r="F31751" s="2423"/>
    </row>
    <row r="31752" s="101" customFormat="1" spans="6:6">
      <c r="F31752" s="2423"/>
    </row>
    <row r="31753" s="101" customFormat="1" spans="6:6">
      <c r="F31753" s="2423"/>
    </row>
    <row r="31754" s="101" customFormat="1" spans="6:6">
      <c r="F31754" s="2423"/>
    </row>
    <row r="31755" s="101" customFormat="1" spans="6:6">
      <c r="F31755" s="2423"/>
    </row>
    <row r="31756" s="101" customFormat="1" spans="6:6">
      <c r="F31756" s="2423"/>
    </row>
    <row r="31757" s="101" customFormat="1" spans="6:6">
      <c r="F31757" s="2423"/>
    </row>
    <row r="31758" s="101" customFormat="1" spans="6:6">
      <c r="F31758" s="2423"/>
    </row>
    <row r="31759" s="101" customFormat="1" spans="6:6">
      <c r="F31759" s="2423"/>
    </row>
    <row r="31760" s="101" customFormat="1" spans="6:6">
      <c r="F31760" s="2423"/>
    </row>
    <row r="31761" s="101" customFormat="1" spans="6:6">
      <c r="F31761" s="2423"/>
    </row>
    <row r="31762" s="101" customFormat="1" spans="6:6">
      <c r="F31762" s="2423"/>
    </row>
    <row r="31763" s="101" customFormat="1" spans="6:6">
      <c r="F31763" s="2423"/>
    </row>
    <row r="31764" s="101" customFormat="1" spans="6:6">
      <c r="F31764" s="2423"/>
    </row>
    <row r="31765" s="101" customFormat="1" spans="6:6">
      <c r="F31765" s="2423"/>
    </row>
    <row r="31766" s="101" customFormat="1" spans="6:6">
      <c r="F31766" s="2423"/>
    </row>
    <row r="31767" s="101" customFormat="1" spans="6:6">
      <c r="F31767" s="2423"/>
    </row>
    <row r="31768" s="101" customFormat="1" spans="6:6">
      <c r="F31768" s="2423"/>
    </row>
    <row r="31769" s="101" customFormat="1" spans="6:6">
      <c r="F31769" s="2423"/>
    </row>
    <row r="31770" s="101" customFormat="1" spans="6:6">
      <c r="F31770" s="2423"/>
    </row>
    <row r="31771" s="101" customFormat="1" spans="6:6">
      <c r="F31771" s="2423"/>
    </row>
    <row r="31772" s="101" customFormat="1" spans="6:6">
      <c r="F31772" s="2423"/>
    </row>
    <row r="31773" s="101" customFormat="1" spans="6:6">
      <c r="F31773" s="2423"/>
    </row>
    <row r="31774" s="101" customFormat="1" spans="6:6">
      <c r="F31774" s="2423"/>
    </row>
    <row r="31775" s="101" customFormat="1" spans="6:6">
      <c r="F31775" s="2423"/>
    </row>
    <row r="31776" s="101" customFormat="1" spans="6:6">
      <c r="F31776" s="2423"/>
    </row>
    <row r="31777" s="101" customFormat="1" spans="6:6">
      <c r="F31777" s="2423"/>
    </row>
    <row r="31778" s="101" customFormat="1" spans="6:6">
      <c r="F31778" s="2423"/>
    </row>
    <row r="31779" s="101" customFormat="1" spans="6:6">
      <c r="F31779" s="2423"/>
    </row>
    <row r="31780" s="101" customFormat="1" spans="6:6">
      <c r="F31780" s="2423"/>
    </row>
    <row r="31781" s="101" customFormat="1" spans="6:6">
      <c r="F31781" s="2423"/>
    </row>
    <row r="31782" s="101" customFormat="1" spans="6:6">
      <c r="F31782" s="2423"/>
    </row>
    <row r="31783" s="101" customFormat="1" spans="6:6">
      <c r="F31783" s="2423"/>
    </row>
    <row r="31784" s="101" customFormat="1" spans="6:6">
      <c r="F31784" s="2423"/>
    </row>
    <row r="31785" s="101" customFormat="1" spans="6:6">
      <c r="F31785" s="2423"/>
    </row>
    <row r="31786" s="101" customFormat="1" spans="6:6">
      <c r="F31786" s="2423"/>
    </row>
    <row r="31787" s="101" customFormat="1" spans="6:6">
      <c r="F31787" s="2423"/>
    </row>
    <row r="31788" s="101" customFormat="1" spans="6:6">
      <c r="F31788" s="2423"/>
    </row>
    <row r="31789" s="101" customFormat="1" spans="6:6">
      <c r="F31789" s="2423"/>
    </row>
    <row r="31790" s="101" customFormat="1" spans="6:6">
      <c r="F31790" s="2423"/>
    </row>
    <row r="31791" s="101" customFormat="1" spans="6:6">
      <c r="F31791" s="2423"/>
    </row>
    <row r="31792" s="101" customFormat="1" spans="6:6">
      <c r="F31792" s="2423"/>
    </row>
    <row r="31793" s="101" customFormat="1" spans="6:6">
      <c r="F31793" s="2423"/>
    </row>
    <row r="31794" s="101" customFormat="1" spans="6:6">
      <c r="F31794" s="2423"/>
    </row>
    <row r="31795" s="101" customFormat="1" spans="6:6">
      <c r="F31795" s="2423"/>
    </row>
    <row r="31796" s="101" customFormat="1" spans="6:6">
      <c r="F31796" s="2423"/>
    </row>
    <row r="31797" s="101" customFormat="1" spans="6:6">
      <c r="F31797" s="2423"/>
    </row>
    <row r="31798" s="101" customFormat="1" spans="6:6">
      <c r="F31798" s="2423"/>
    </row>
    <row r="31799" s="101" customFormat="1" spans="6:6">
      <c r="F31799" s="2423"/>
    </row>
    <row r="31800" s="101" customFormat="1" spans="6:6">
      <c r="F31800" s="2423"/>
    </row>
    <row r="31801" s="101" customFormat="1" spans="6:6">
      <c r="F31801" s="2423"/>
    </row>
    <row r="31802" s="101" customFormat="1" spans="6:6">
      <c r="F31802" s="2423"/>
    </row>
    <row r="31803" s="101" customFormat="1" spans="6:6">
      <c r="F31803" s="2423"/>
    </row>
    <row r="31804" s="101" customFormat="1" spans="6:6">
      <c r="F31804" s="2423"/>
    </row>
    <row r="31805" s="101" customFormat="1" spans="6:6">
      <c r="F31805" s="2423"/>
    </row>
    <row r="31806" s="101" customFormat="1" spans="6:6">
      <c r="F31806" s="2423"/>
    </row>
    <row r="31807" s="101" customFormat="1" spans="6:6">
      <c r="F31807" s="2423"/>
    </row>
    <row r="31808" s="101" customFormat="1" spans="6:6">
      <c r="F31808" s="2423"/>
    </row>
    <row r="31809" s="101" customFormat="1" spans="6:6">
      <c r="F31809" s="2423"/>
    </row>
    <row r="31810" s="101" customFormat="1" spans="6:6">
      <c r="F31810" s="2423"/>
    </row>
    <row r="31811" s="101" customFormat="1" spans="6:6">
      <c r="F31811" s="2423"/>
    </row>
    <row r="31812" s="101" customFormat="1" spans="6:6">
      <c r="F31812" s="2423"/>
    </row>
    <row r="31813" s="101" customFormat="1" spans="6:6">
      <c r="F31813" s="2423"/>
    </row>
    <row r="31814" s="101" customFormat="1" spans="6:6">
      <c r="F31814" s="2423"/>
    </row>
    <row r="31815" s="101" customFormat="1" spans="6:6">
      <c r="F31815" s="2423"/>
    </row>
    <row r="31816" s="101" customFormat="1" spans="6:6">
      <c r="F31816" s="2423"/>
    </row>
    <row r="31817" s="101" customFormat="1" spans="6:6">
      <c r="F31817" s="2423"/>
    </row>
    <row r="31818" s="101" customFormat="1" spans="6:6">
      <c r="F31818" s="2423"/>
    </row>
    <row r="31819" s="101" customFormat="1" spans="6:6">
      <c r="F31819" s="2423"/>
    </row>
    <row r="31820" s="101" customFormat="1" spans="6:6">
      <c r="F31820" s="2423"/>
    </row>
    <row r="31821" s="101" customFormat="1" spans="6:6">
      <c r="F31821" s="2423"/>
    </row>
    <row r="31822" s="101" customFormat="1" spans="6:6">
      <c r="F31822" s="2423"/>
    </row>
    <row r="31823" s="101" customFormat="1" spans="6:6">
      <c r="F31823" s="2423"/>
    </row>
    <row r="31824" s="101" customFormat="1" spans="6:6">
      <c r="F31824" s="2423"/>
    </row>
    <row r="31825" s="101" customFormat="1" spans="6:6">
      <c r="F31825" s="2423"/>
    </row>
    <row r="31826" s="101" customFormat="1" spans="6:6">
      <c r="F31826" s="2423"/>
    </row>
    <row r="31827" s="101" customFormat="1" spans="6:6">
      <c r="F31827" s="2423"/>
    </row>
    <row r="31828" s="101" customFormat="1" spans="6:6">
      <c r="F31828" s="2423"/>
    </row>
    <row r="31829" s="101" customFormat="1" spans="6:6">
      <c r="F31829" s="2423"/>
    </row>
    <row r="31830" s="101" customFormat="1" spans="6:6">
      <c r="F31830" s="2423"/>
    </row>
    <row r="31831" s="101" customFormat="1" spans="6:6">
      <c r="F31831" s="2423"/>
    </row>
    <row r="31832" s="101" customFormat="1" spans="6:6">
      <c r="F31832" s="2423"/>
    </row>
    <row r="31833" s="101" customFormat="1" spans="6:6">
      <c r="F31833" s="2423"/>
    </row>
    <row r="31834" s="101" customFormat="1" spans="6:6">
      <c r="F31834" s="2423"/>
    </row>
    <row r="31835" s="101" customFormat="1" spans="6:6">
      <c r="F31835" s="2423"/>
    </row>
    <row r="31836" s="101" customFormat="1" spans="6:6">
      <c r="F31836" s="2423"/>
    </row>
    <row r="31837" s="101" customFormat="1" spans="6:6">
      <c r="F31837" s="2423"/>
    </row>
    <row r="31838" s="101" customFormat="1" spans="6:6">
      <c r="F31838" s="2423"/>
    </row>
    <row r="31839" s="101" customFormat="1" spans="6:6">
      <c r="F31839" s="2423"/>
    </row>
    <row r="31840" s="101" customFormat="1" spans="6:6">
      <c r="F31840" s="2423"/>
    </row>
    <row r="31841" s="101" customFormat="1" spans="6:6">
      <c r="F31841" s="2423"/>
    </row>
    <row r="31842" s="101" customFormat="1" spans="6:6">
      <c r="F31842" s="2423"/>
    </row>
    <row r="31843" s="101" customFormat="1" spans="6:6">
      <c r="F31843" s="2423"/>
    </row>
    <row r="31844" s="101" customFormat="1" spans="6:6">
      <c r="F31844" s="2423"/>
    </row>
    <row r="31845" s="101" customFormat="1" spans="6:6">
      <c r="F31845" s="2423"/>
    </row>
    <row r="31846" s="101" customFormat="1" spans="6:6">
      <c r="F31846" s="2423"/>
    </row>
    <row r="31847" s="101" customFormat="1" spans="6:6">
      <c r="F31847" s="2423"/>
    </row>
    <row r="31848" s="101" customFormat="1" spans="6:6">
      <c r="F31848" s="2423"/>
    </row>
    <row r="31849" s="101" customFormat="1" spans="6:6">
      <c r="F31849" s="2423"/>
    </row>
    <row r="31850" s="101" customFormat="1" spans="6:6">
      <c r="F31850" s="2423"/>
    </row>
    <row r="31851" s="101" customFormat="1" spans="6:6">
      <c r="F31851" s="2423"/>
    </row>
    <row r="31852" s="101" customFormat="1" spans="6:6">
      <c r="F31852" s="2423"/>
    </row>
    <row r="31853" s="101" customFormat="1" spans="6:6">
      <c r="F31853" s="2423"/>
    </row>
    <row r="31854" s="101" customFormat="1" spans="6:6">
      <c r="F31854" s="2423"/>
    </row>
    <row r="31855" s="101" customFormat="1" spans="6:6">
      <c r="F31855" s="2423"/>
    </row>
    <row r="31856" s="101" customFormat="1" spans="6:6">
      <c r="F31856" s="2423"/>
    </row>
    <row r="31857" s="101" customFormat="1" spans="6:6">
      <c r="F31857" s="2423"/>
    </row>
    <row r="31858" s="101" customFormat="1" spans="6:6">
      <c r="F31858" s="2423"/>
    </row>
    <row r="31859" s="101" customFormat="1" spans="6:6">
      <c r="F31859" s="2423"/>
    </row>
    <row r="31860" s="101" customFormat="1" spans="6:6">
      <c r="F31860" s="2423"/>
    </row>
    <row r="31861" s="101" customFormat="1" spans="6:6">
      <c r="F31861" s="2423"/>
    </row>
    <row r="31862" s="101" customFormat="1" spans="6:6">
      <c r="F31862" s="2423"/>
    </row>
    <row r="31863" s="101" customFormat="1" spans="6:6">
      <c r="F31863" s="2423"/>
    </row>
    <row r="31864" s="101" customFormat="1" spans="6:6">
      <c r="F31864" s="2423"/>
    </row>
    <row r="31865" s="101" customFormat="1" spans="6:6">
      <c r="F31865" s="2423"/>
    </row>
    <row r="31866" s="101" customFormat="1" spans="6:6">
      <c r="F31866" s="2423"/>
    </row>
    <row r="31867" s="101" customFormat="1" spans="6:6">
      <c r="F31867" s="2423"/>
    </row>
    <row r="31868" s="101" customFormat="1" spans="6:6">
      <c r="F31868" s="2423"/>
    </row>
    <row r="31869" s="101" customFormat="1" spans="6:6">
      <c r="F31869" s="2423"/>
    </row>
    <row r="31870" s="101" customFormat="1" spans="6:6">
      <c r="F31870" s="2423"/>
    </row>
    <row r="31871" s="101" customFormat="1" spans="6:6">
      <c r="F31871" s="2423"/>
    </row>
    <row r="31872" s="101" customFormat="1" spans="6:6">
      <c r="F31872" s="2423"/>
    </row>
    <row r="31873" s="101" customFormat="1" spans="6:6">
      <c r="F31873" s="2423"/>
    </row>
    <row r="31874" s="101" customFormat="1" spans="6:6">
      <c r="F31874" s="2423"/>
    </row>
    <row r="31875" s="101" customFormat="1" spans="6:6">
      <c r="F31875" s="2423"/>
    </row>
    <row r="31876" s="101" customFormat="1" spans="6:6">
      <c r="F31876" s="2423"/>
    </row>
    <row r="31877" s="101" customFormat="1" spans="6:6">
      <c r="F31877" s="2423"/>
    </row>
    <row r="31878" s="101" customFormat="1" spans="6:6">
      <c r="F31878" s="2423"/>
    </row>
    <row r="31879" s="101" customFormat="1" spans="6:6">
      <c r="F31879" s="2423"/>
    </row>
    <row r="31880" s="101" customFormat="1" spans="6:6">
      <c r="F31880" s="2423"/>
    </row>
    <row r="31881" s="101" customFormat="1" spans="6:6">
      <c r="F31881" s="2423"/>
    </row>
    <row r="31882" s="101" customFormat="1" spans="6:6">
      <c r="F31882" s="2423"/>
    </row>
    <row r="31883" s="101" customFormat="1" spans="6:6">
      <c r="F31883" s="2423"/>
    </row>
    <row r="31884" s="101" customFormat="1" spans="6:6">
      <c r="F31884" s="2423"/>
    </row>
    <row r="31885" s="101" customFormat="1" spans="6:6">
      <c r="F31885" s="2423"/>
    </row>
    <row r="31886" s="101" customFormat="1" spans="6:6">
      <c r="F31886" s="2423"/>
    </row>
    <row r="31887" s="101" customFormat="1" spans="6:6">
      <c r="F31887" s="2423"/>
    </row>
    <row r="31888" s="101" customFormat="1" spans="6:6">
      <c r="F31888" s="2423"/>
    </row>
    <row r="31889" s="101" customFormat="1" spans="6:6">
      <c r="F31889" s="2423"/>
    </row>
    <row r="31890" s="101" customFormat="1" spans="6:6">
      <c r="F31890" s="2423"/>
    </row>
    <row r="31891" s="101" customFormat="1" spans="6:6">
      <c r="F31891" s="2423"/>
    </row>
    <row r="31892" s="101" customFormat="1" spans="6:6">
      <c r="F31892" s="2423"/>
    </row>
    <row r="31893" s="101" customFormat="1" spans="6:6">
      <c r="F31893" s="2423"/>
    </row>
    <row r="31894" s="101" customFormat="1" spans="6:6">
      <c r="F31894" s="2423"/>
    </row>
    <row r="31895" s="101" customFormat="1" spans="6:6">
      <c r="F31895" s="2423"/>
    </row>
    <row r="31896" s="101" customFormat="1" spans="6:6">
      <c r="F31896" s="2423"/>
    </row>
    <row r="31897" s="101" customFormat="1" spans="6:6">
      <c r="F31897" s="2423"/>
    </row>
    <row r="31898" s="101" customFormat="1" spans="6:6">
      <c r="F31898" s="2423"/>
    </row>
    <row r="31899" s="101" customFormat="1" spans="6:6">
      <c r="F31899" s="2423"/>
    </row>
    <row r="31900" s="101" customFormat="1" spans="6:6">
      <c r="F31900" s="2423"/>
    </row>
    <row r="31901" s="101" customFormat="1" spans="6:6">
      <c r="F31901" s="2423"/>
    </row>
    <row r="31902" s="101" customFormat="1" spans="6:6">
      <c r="F31902" s="2423"/>
    </row>
    <row r="31903" s="101" customFormat="1" spans="6:6">
      <c r="F31903" s="2423"/>
    </row>
    <row r="31904" s="101" customFormat="1" spans="6:6">
      <c r="F31904" s="2423"/>
    </row>
    <row r="31905" s="101" customFormat="1" spans="6:6">
      <c r="F31905" s="2423"/>
    </row>
    <row r="31906" s="101" customFormat="1" spans="6:6">
      <c r="F31906" s="2423"/>
    </row>
    <row r="31907" s="101" customFormat="1" spans="6:6">
      <c r="F31907" s="2423"/>
    </row>
    <row r="31908" s="101" customFormat="1" spans="6:6">
      <c r="F31908" s="2423"/>
    </row>
    <row r="31909" s="101" customFormat="1" spans="6:6">
      <c r="F31909" s="2423"/>
    </row>
    <row r="31910" s="101" customFormat="1" spans="6:6">
      <c r="F31910" s="2423"/>
    </row>
    <row r="31911" s="101" customFormat="1" spans="6:6">
      <c r="F31911" s="2423"/>
    </row>
    <row r="31912" s="101" customFormat="1" spans="6:6">
      <c r="F31912" s="2423"/>
    </row>
    <row r="31913" s="101" customFormat="1" spans="6:6">
      <c r="F31913" s="2423"/>
    </row>
    <row r="31914" s="101" customFormat="1" spans="6:6">
      <c r="F31914" s="2423"/>
    </row>
    <row r="31915" s="101" customFormat="1" spans="6:6">
      <c r="F31915" s="2423"/>
    </row>
    <row r="31916" s="101" customFormat="1" spans="6:6">
      <c r="F31916" s="2423"/>
    </row>
    <row r="31917" s="101" customFormat="1" spans="6:6">
      <c r="F31917" s="2423"/>
    </row>
    <row r="31918" s="101" customFormat="1" spans="6:6">
      <c r="F31918" s="2423"/>
    </row>
    <row r="31919" s="101" customFormat="1" spans="6:6">
      <c r="F31919" s="2423"/>
    </row>
    <row r="31920" s="101" customFormat="1" spans="6:6">
      <c r="F31920" s="2423"/>
    </row>
    <row r="31921" s="101" customFormat="1" spans="6:6">
      <c r="F31921" s="2423"/>
    </row>
    <row r="31922" s="101" customFormat="1" spans="6:6">
      <c r="F31922" s="2423"/>
    </row>
    <row r="31923" s="101" customFormat="1" spans="6:6">
      <c r="F31923" s="2423"/>
    </row>
    <row r="31924" s="101" customFormat="1" spans="6:6">
      <c r="F31924" s="2423"/>
    </row>
    <row r="31925" s="101" customFormat="1" spans="6:6">
      <c r="F31925" s="2423"/>
    </row>
    <row r="31926" s="101" customFormat="1" spans="6:6">
      <c r="F31926" s="2423"/>
    </row>
    <row r="31927" s="101" customFormat="1" spans="6:6">
      <c r="F31927" s="2423"/>
    </row>
    <row r="31928" s="101" customFormat="1" spans="6:6">
      <c r="F31928" s="2423"/>
    </row>
    <row r="31929" s="101" customFormat="1" spans="6:6">
      <c r="F31929" s="2423"/>
    </row>
    <row r="31930" s="101" customFormat="1" spans="6:6">
      <c r="F31930" s="2423"/>
    </row>
    <row r="31931" s="101" customFormat="1" spans="6:6">
      <c r="F31931" s="2423"/>
    </row>
    <row r="31932" s="101" customFormat="1" spans="6:6">
      <c r="F31932" s="2423"/>
    </row>
    <row r="31933" s="101" customFormat="1" spans="6:6">
      <c r="F31933" s="2423"/>
    </row>
    <row r="31934" s="101" customFormat="1" spans="6:6">
      <c r="F31934" s="2423"/>
    </row>
    <row r="31935" s="101" customFormat="1" spans="6:6">
      <c r="F31935" s="2423"/>
    </row>
    <row r="31936" s="101" customFormat="1" spans="6:6">
      <c r="F31936" s="2423"/>
    </row>
    <row r="31937" s="101" customFormat="1" spans="6:6">
      <c r="F31937" s="2423"/>
    </row>
    <row r="31938" s="101" customFormat="1" spans="6:6">
      <c r="F31938" s="2423"/>
    </row>
    <row r="31939" s="101" customFormat="1" spans="6:6">
      <c r="F31939" s="2423"/>
    </row>
    <row r="31940" s="101" customFormat="1" spans="6:6">
      <c r="F31940" s="2423"/>
    </row>
    <row r="31941" s="101" customFormat="1" spans="6:6">
      <c r="F31941" s="2423"/>
    </row>
    <row r="31942" s="101" customFormat="1" spans="6:6">
      <c r="F31942" s="2423"/>
    </row>
    <row r="31943" s="101" customFormat="1" spans="6:6">
      <c r="F31943" s="2423"/>
    </row>
    <row r="31944" s="101" customFormat="1" spans="6:6">
      <c r="F31944" s="2423"/>
    </row>
    <row r="31945" s="101" customFormat="1" spans="6:6">
      <c r="F31945" s="2423"/>
    </row>
    <row r="31946" s="101" customFormat="1" spans="6:6">
      <c r="F31946" s="2423"/>
    </row>
    <row r="31947" s="101" customFormat="1" spans="6:6">
      <c r="F31947" s="2423"/>
    </row>
    <row r="31948" s="101" customFormat="1" spans="6:6">
      <c r="F31948" s="2423"/>
    </row>
    <row r="31949" s="101" customFormat="1" spans="6:6">
      <c r="F31949" s="2423"/>
    </row>
    <row r="31950" s="101" customFormat="1" spans="6:6">
      <c r="F31950" s="2423"/>
    </row>
    <row r="31951" s="101" customFormat="1" spans="6:6">
      <c r="F31951" s="2423"/>
    </row>
    <row r="31952" s="101" customFormat="1" spans="6:6">
      <c r="F31952" s="2423"/>
    </row>
    <row r="31953" s="101" customFormat="1" spans="6:6">
      <c r="F31953" s="2423"/>
    </row>
    <row r="31954" s="101" customFormat="1" spans="6:6">
      <c r="F31954" s="2423"/>
    </row>
    <row r="31955" s="101" customFormat="1" spans="6:6">
      <c r="F31955" s="2423"/>
    </row>
    <row r="31956" s="101" customFormat="1" spans="6:6">
      <c r="F31956" s="2423"/>
    </row>
    <row r="31957" s="101" customFormat="1" spans="6:6">
      <c r="F31957" s="2423"/>
    </row>
    <row r="31958" s="101" customFormat="1" spans="6:6">
      <c r="F31958" s="2423"/>
    </row>
    <row r="31959" s="101" customFormat="1" spans="6:6">
      <c r="F31959" s="2423"/>
    </row>
    <row r="31960" s="101" customFormat="1" spans="6:6">
      <c r="F31960" s="2423"/>
    </row>
    <row r="31961" s="101" customFormat="1" spans="6:6">
      <c r="F31961" s="2423"/>
    </row>
    <row r="31962" s="101" customFormat="1" spans="6:6">
      <c r="F31962" s="2423"/>
    </row>
    <row r="31963" s="101" customFormat="1" spans="6:6">
      <c r="F31963" s="2423"/>
    </row>
    <row r="31964" s="101" customFormat="1" spans="6:6">
      <c r="F31964" s="2423"/>
    </row>
    <row r="31965" s="101" customFormat="1" spans="6:6">
      <c r="F31965" s="2423"/>
    </row>
    <row r="31966" s="101" customFormat="1" spans="6:6">
      <c r="F31966" s="2423"/>
    </row>
    <row r="31967" s="101" customFormat="1" spans="6:6">
      <c r="F31967" s="2423"/>
    </row>
    <row r="31968" s="101" customFormat="1" spans="6:6">
      <c r="F31968" s="2423"/>
    </row>
    <row r="31969" s="101" customFormat="1" spans="6:6">
      <c r="F31969" s="2423"/>
    </row>
    <row r="31970" s="101" customFormat="1" spans="6:6">
      <c r="F31970" s="2423"/>
    </row>
    <row r="31971" s="101" customFormat="1" spans="6:6">
      <c r="F31971" s="2423"/>
    </row>
    <row r="31972" s="101" customFormat="1" spans="6:6">
      <c r="F31972" s="2423"/>
    </row>
    <row r="31973" s="101" customFormat="1" spans="6:6">
      <c r="F31973" s="2423"/>
    </row>
    <row r="31974" s="101" customFormat="1" spans="6:6">
      <c r="F31974" s="2423"/>
    </row>
    <row r="31975" s="101" customFormat="1" spans="6:6">
      <c r="F31975" s="2423"/>
    </row>
    <row r="31976" s="101" customFormat="1" spans="6:6">
      <c r="F31976" s="2423"/>
    </row>
    <row r="31977" s="101" customFormat="1" spans="6:6">
      <c r="F31977" s="2423"/>
    </row>
    <row r="31978" s="101" customFormat="1" spans="6:6">
      <c r="F31978" s="2423"/>
    </row>
    <row r="31979" s="101" customFormat="1" spans="6:6">
      <c r="F31979" s="2423"/>
    </row>
    <row r="31980" s="101" customFormat="1" spans="6:6">
      <c r="F31980" s="2423"/>
    </row>
    <row r="31981" s="101" customFormat="1" spans="6:6">
      <c r="F31981" s="2423"/>
    </row>
    <row r="31982" s="101" customFormat="1" spans="6:6">
      <c r="F31982" s="2423"/>
    </row>
    <row r="31983" s="101" customFormat="1" spans="6:6">
      <c r="F31983" s="2423"/>
    </row>
    <row r="31984" s="101" customFormat="1" spans="6:6">
      <c r="F31984" s="2423"/>
    </row>
    <row r="31985" s="101" customFormat="1" spans="6:6">
      <c r="F31985" s="2423"/>
    </row>
    <row r="31986" s="101" customFormat="1" spans="6:6">
      <c r="F31986" s="2423"/>
    </row>
    <row r="31987" s="101" customFormat="1" spans="6:6">
      <c r="F31987" s="2423"/>
    </row>
    <row r="31988" s="101" customFormat="1" spans="6:6">
      <c r="F31988" s="2423"/>
    </row>
    <row r="31989" s="101" customFormat="1" spans="6:6">
      <c r="F31989" s="2423"/>
    </row>
    <row r="31990" s="101" customFormat="1" spans="6:6">
      <c r="F31990" s="2423"/>
    </row>
    <row r="31991" s="101" customFormat="1" spans="6:6">
      <c r="F31991" s="2423"/>
    </row>
    <row r="31992" s="101" customFormat="1" spans="6:6">
      <c r="F31992" s="2423"/>
    </row>
    <row r="31993" s="101" customFormat="1" spans="6:6">
      <c r="F31993" s="2423"/>
    </row>
    <row r="31994" s="101" customFormat="1" spans="6:6">
      <c r="F31994" s="2423"/>
    </row>
    <row r="31995" s="101" customFormat="1" spans="6:6">
      <c r="F31995" s="2423"/>
    </row>
    <row r="31996" s="101" customFormat="1" spans="6:6">
      <c r="F31996" s="2423"/>
    </row>
    <row r="31997" s="101" customFormat="1" spans="6:6">
      <c r="F31997" s="2423"/>
    </row>
    <row r="31998" s="101" customFormat="1" spans="6:6">
      <c r="F31998" s="2423"/>
    </row>
    <row r="31999" s="101" customFormat="1" spans="6:6">
      <c r="F31999" s="2423"/>
    </row>
    <row r="32000" s="101" customFormat="1" spans="6:6">
      <c r="F32000" s="2423"/>
    </row>
    <row r="32001" s="101" customFormat="1" spans="6:6">
      <c r="F32001" s="2423"/>
    </row>
    <row r="32002" s="101" customFormat="1" spans="6:6">
      <c r="F32002" s="2423"/>
    </row>
    <row r="32003" s="101" customFormat="1" spans="6:6">
      <c r="F32003" s="2423"/>
    </row>
    <row r="32004" s="101" customFormat="1" spans="6:6">
      <c r="F32004" s="2423"/>
    </row>
    <row r="32005" s="101" customFormat="1" spans="6:6">
      <c r="F32005" s="2423"/>
    </row>
    <row r="32006" s="101" customFormat="1" spans="6:6">
      <c r="F32006" s="2423"/>
    </row>
    <row r="32007" s="101" customFormat="1" spans="6:6">
      <c r="F32007" s="2423"/>
    </row>
    <row r="32008" s="101" customFormat="1" spans="6:6">
      <c r="F32008" s="2423"/>
    </row>
    <row r="32009" s="101" customFormat="1" spans="6:6">
      <c r="F32009" s="2423"/>
    </row>
    <row r="32010" s="101" customFormat="1" spans="6:6">
      <c r="F32010" s="2423"/>
    </row>
    <row r="32011" s="101" customFormat="1" spans="6:6">
      <c r="F32011" s="2423"/>
    </row>
    <row r="32012" s="101" customFormat="1" spans="6:6">
      <c r="F32012" s="2423"/>
    </row>
    <row r="32013" s="101" customFormat="1" spans="6:6">
      <c r="F32013" s="2423"/>
    </row>
    <row r="32014" s="101" customFormat="1" spans="6:6">
      <c r="F32014" s="2423"/>
    </row>
    <row r="32015" s="101" customFormat="1" spans="6:6">
      <c r="F32015" s="2423"/>
    </row>
    <row r="32016" s="101" customFormat="1" spans="6:6">
      <c r="F32016" s="2423"/>
    </row>
    <row r="32017" s="101" customFormat="1" spans="6:6">
      <c r="F32017" s="2423"/>
    </row>
    <row r="32018" s="101" customFormat="1" spans="6:6">
      <c r="F32018" s="2423"/>
    </row>
    <row r="32019" s="101" customFormat="1" spans="6:6">
      <c r="F32019" s="2423"/>
    </row>
    <row r="32020" s="101" customFormat="1" spans="6:6">
      <c r="F32020" s="2423"/>
    </row>
    <row r="32021" s="101" customFormat="1" spans="6:6">
      <c r="F32021" s="2423"/>
    </row>
    <row r="32022" s="101" customFormat="1" spans="6:6">
      <c r="F32022" s="2423"/>
    </row>
    <row r="32023" s="101" customFormat="1" spans="6:6">
      <c r="F32023" s="2423"/>
    </row>
    <row r="32024" s="101" customFormat="1" spans="6:6">
      <c r="F32024" s="2423"/>
    </row>
    <row r="32025" s="101" customFormat="1" spans="6:6">
      <c r="F32025" s="2423"/>
    </row>
    <row r="32026" s="101" customFormat="1" spans="6:6">
      <c r="F32026" s="2423"/>
    </row>
    <row r="32027" s="101" customFormat="1" spans="6:6">
      <c r="F32027" s="2423"/>
    </row>
    <row r="32028" s="101" customFormat="1" spans="6:6">
      <c r="F32028" s="2423"/>
    </row>
    <row r="32029" s="101" customFormat="1" spans="6:6">
      <c r="F32029" s="2423"/>
    </row>
    <row r="32030" s="101" customFormat="1" spans="6:6">
      <c r="F32030" s="2423"/>
    </row>
    <row r="32031" s="101" customFormat="1" spans="6:6">
      <c r="F32031" s="2423"/>
    </row>
    <row r="32032" s="101" customFormat="1" spans="6:6">
      <c r="F32032" s="2423"/>
    </row>
    <row r="32033" s="101" customFormat="1" spans="6:6">
      <c r="F32033" s="2423"/>
    </row>
    <row r="32034" s="101" customFormat="1" spans="6:6">
      <c r="F32034" s="2423"/>
    </row>
    <row r="32035" s="101" customFormat="1" spans="6:6">
      <c r="F32035" s="2423"/>
    </row>
    <row r="32036" s="101" customFormat="1" spans="6:6">
      <c r="F32036" s="2423"/>
    </row>
    <row r="32037" s="101" customFormat="1" spans="6:6">
      <c r="F32037" s="2423"/>
    </row>
    <row r="32038" s="101" customFormat="1" spans="6:6">
      <c r="F32038" s="2423"/>
    </row>
    <row r="32039" s="101" customFormat="1" spans="6:6">
      <c r="F32039" s="2423"/>
    </row>
    <row r="32040" s="101" customFormat="1" spans="6:6">
      <c r="F32040" s="2423"/>
    </row>
    <row r="32041" s="101" customFormat="1" spans="6:6">
      <c r="F32041" s="2423"/>
    </row>
    <row r="32042" s="101" customFormat="1" spans="6:6">
      <c r="F32042" s="2423"/>
    </row>
    <row r="32043" s="101" customFormat="1" spans="6:6">
      <c r="F32043" s="2423"/>
    </row>
    <row r="32044" s="101" customFormat="1" spans="6:6">
      <c r="F32044" s="2423"/>
    </row>
    <row r="32045" s="101" customFormat="1" spans="6:6">
      <c r="F32045" s="2423"/>
    </row>
    <row r="32046" s="101" customFormat="1" spans="6:6">
      <c r="F32046" s="2423"/>
    </row>
    <row r="32047" s="101" customFormat="1" spans="6:6">
      <c r="F32047" s="2423"/>
    </row>
    <row r="32048" s="101" customFormat="1" spans="6:6">
      <c r="F32048" s="2423"/>
    </row>
    <row r="32049" s="101" customFormat="1" spans="6:6">
      <c r="F32049" s="2423"/>
    </row>
    <row r="32050" s="101" customFormat="1" spans="6:6">
      <c r="F32050" s="2423"/>
    </row>
    <row r="32051" s="101" customFormat="1" spans="6:6">
      <c r="F32051" s="2423"/>
    </row>
    <row r="32052" s="101" customFormat="1" spans="6:6">
      <c r="F32052" s="2423"/>
    </row>
    <row r="32053" s="101" customFormat="1" spans="6:6">
      <c r="F32053" s="2423"/>
    </row>
    <row r="32054" s="101" customFormat="1" spans="6:6">
      <c r="F32054" s="2423"/>
    </row>
    <row r="32055" s="101" customFormat="1" spans="6:6">
      <c r="F32055" s="2423"/>
    </row>
    <row r="32056" s="101" customFormat="1" spans="6:6">
      <c r="F32056" s="2423"/>
    </row>
    <row r="32057" s="101" customFormat="1" spans="6:6">
      <c r="F32057" s="2423"/>
    </row>
    <row r="32058" s="101" customFormat="1" spans="6:6">
      <c r="F32058" s="2423"/>
    </row>
    <row r="32059" s="101" customFormat="1" spans="6:6">
      <c r="F32059" s="2423"/>
    </row>
    <row r="32060" s="101" customFormat="1" spans="6:6">
      <c r="F32060" s="2423"/>
    </row>
    <row r="32061" s="101" customFormat="1" spans="6:6">
      <c r="F32061" s="2423"/>
    </row>
    <row r="32062" s="101" customFormat="1" spans="6:6">
      <c r="F32062" s="2423"/>
    </row>
    <row r="32063" s="101" customFormat="1" spans="6:6">
      <c r="F32063" s="2423"/>
    </row>
    <row r="32064" s="101" customFormat="1" spans="6:6">
      <c r="F32064" s="2423"/>
    </row>
    <row r="32065" s="101" customFormat="1" spans="6:6">
      <c r="F32065" s="2423"/>
    </row>
    <row r="32066" s="101" customFormat="1" spans="6:6">
      <c r="F32066" s="2423"/>
    </row>
    <row r="32067" s="101" customFormat="1" spans="6:6">
      <c r="F32067" s="2423"/>
    </row>
    <row r="32068" s="101" customFormat="1" spans="6:6">
      <c r="F32068" s="2423"/>
    </row>
    <row r="32069" s="101" customFormat="1" spans="6:6">
      <c r="F32069" s="2423"/>
    </row>
    <row r="32070" s="101" customFormat="1" spans="6:6">
      <c r="F32070" s="2423"/>
    </row>
    <row r="32071" s="101" customFormat="1" spans="6:6">
      <c r="F32071" s="2423"/>
    </row>
    <row r="32072" s="101" customFormat="1" spans="6:6">
      <c r="F32072" s="2423"/>
    </row>
    <row r="32073" s="101" customFormat="1" spans="6:6">
      <c r="F32073" s="2423"/>
    </row>
    <row r="32074" s="101" customFormat="1" spans="6:6">
      <c r="F32074" s="2423"/>
    </row>
    <row r="32075" s="101" customFormat="1" spans="6:6">
      <c r="F32075" s="2423"/>
    </row>
    <row r="32076" s="101" customFormat="1" spans="6:6">
      <c r="F32076" s="2423"/>
    </row>
    <row r="32077" s="101" customFormat="1" spans="6:6">
      <c r="F32077" s="2423"/>
    </row>
    <row r="32078" s="101" customFormat="1" spans="6:6">
      <c r="F32078" s="2423"/>
    </row>
    <row r="32079" s="101" customFormat="1" spans="6:6">
      <c r="F32079" s="2423"/>
    </row>
    <row r="32080" s="101" customFormat="1" spans="6:6">
      <c r="F32080" s="2423"/>
    </row>
    <row r="32081" s="101" customFormat="1" spans="6:6">
      <c r="F32081" s="2423"/>
    </row>
    <row r="32082" s="101" customFormat="1" spans="6:6">
      <c r="F32082" s="2423"/>
    </row>
    <row r="32083" s="101" customFormat="1" spans="6:6">
      <c r="F32083" s="2423"/>
    </row>
    <row r="32084" s="101" customFormat="1" spans="6:6">
      <c r="F32084" s="2423"/>
    </row>
    <row r="32085" s="101" customFormat="1" spans="6:6">
      <c r="F32085" s="2423"/>
    </row>
    <row r="32086" s="101" customFormat="1" spans="6:6">
      <c r="F32086" s="2423"/>
    </row>
    <row r="32087" s="101" customFormat="1" spans="6:6">
      <c r="F32087" s="2423"/>
    </row>
    <row r="32088" s="101" customFormat="1" spans="6:6">
      <c r="F32088" s="2423"/>
    </row>
    <row r="32089" s="101" customFormat="1" spans="6:6">
      <c r="F32089" s="2423"/>
    </row>
    <row r="32090" s="101" customFormat="1" spans="6:6">
      <c r="F32090" s="2423"/>
    </row>
    <row r="32091" s="101" customFormat="1" spans="6:6">
      <c r="F32091" s="2423"/>
    </row>
    <row r="32092" s="101" customFormat="1" spans="6:6">
      <c r="F32092" s="2423"/>
    </row>
    <row r="32093" s="101" customFormat="1" spans="6:6">
      <c r="F32093" s="2423"/>
    </row>
    <row r="32094" s="101" customFormat="1" spans="6:6">
      <c r="F32094" s="2423"/>
    </row>
    <row r="32095" s="101" customFormat="1" spans="6:6">
      <c r="F32095" s="2423"/>
    </row>
    <row r="32096" s="101" customFormat="1" spans="6:6">
      <c r="F32096" s="2423"/>
    </row>
    <row r="32097" s="101" customFormat="1" spans="6:6">
      <c r="F32097" s="2423"/>
    </row>
    <row r="32098" s="101" customFormat="1" spans="6:6">
      <c r="F32098" s="2423"/>
    </row>
    <row r="32099" s="101" customFormat="1" spans="6:6">
      <c r="F32099" s="2423"/>
    </row>
    <row r="32100" s="101" customFormat="1" spans="6:6">
      <c r="F32100" s="2423"/>
    </row>
    <row r="32101" s="101" customFormat="1" spans="6:6">
      <c r="F32101" s="2423"/>
    </row>
    <row r="32102" s="101" customFormat="1" spans="6:6">
      <c r="F32102" s="2423"/>
    </row>
    <row r="32103" s="101" customFormat="1" spans="6:6">
      <c r="F32103" s="2423"/>
    </row>
    <row r="32104" s="101" customFormat="1" spans="6:6">
      <c r="F32104" s="2423"/>
    </row>
    <row r="32105" s="101" customFormat="1" spans="6:6">
      <c r="F32105" s="2423"/>
    </row>
    <row r="32106" s="101" customFormat="1" spans="6:6">
      <c r="F32106" s="2423"/>
    </row>
    <row r="32107" s="101" customFormat="1" spans="6:6">
      <c r="F32107" s="2423"/>
    </row>
    <row r="32108" s="101" customFormat="1" spans="6:6">
      <c r="F32108" s="2423"/>
    </row>
    <row r="32109" s="101" customFormat="1" spans="6:6">
      <c r="F32109" s="2423"/>
    </row>
    <row r="32110" s="101" customFormat="1" spans="6:6">
      <c r="F32110" s="2423"/>
    </row>
    <row r="32111" s="101" customFormat="1" spans="6:6">
      <c r="F32111" s="2423"/>
    </row>
    <row r="32112" s="101" customFormat="1" spans="6:6">
      <c r="F32112" s="2423"/>
    </row>
    <row r="32113" s="101" customFormat="1" spans="6:6">
      <c r="F32113" s="2423"/>
    </row>
    <row r="32114" s="101" customFormat="1" spans="6:6">
      <c r="F32114" s="2423"/>
    </row>
    <row r="32115" s="101" customFormat="1" spans="6:6">
      <c r="F32115" s="2423"/>
    </row>
    <row r="32116" s="101" customFormat="1" spans="6:6">
      <c r="F32116" s="2423"/>
    </row>
    <row r="32117" s="101" customFormat="1" spans="6:6">
      <c r="F32117" s="2423"/>
    </row>
    <row r="32118" s="101" customFormat="1" spans="6:6">
      <c r="F32118" s="2423"/>
    </row>
    <row r="32119" s="101" customFormat="1" spans="6:6">
      <c r="F32119" s="2423"/>
    </row>
    <row r="32120" s="101" customFormat="1" spans="6:6">
      <c r="F32120" s="2423"/>
    </row>
    <row r="32121" s="101" customFormat="1" spans="6:6">
      <c r="F32121" s="2423"/>
    </row>
    <row r="32122" s="101" customFormat="1" spans="6:6">
      <c r="F32122" s="2423"/>
    </row>
    <row r="32123" s="101" customFormat="1" spans="6:6">
      <c r="F32123" s="2423"/>
    </row>
    <row r="32124" s="101" customFormat="1" spans="6:6">
      <c r="F32124" s="2423"/>
    </row>
    <row r="32125" s="101" customFormat="1" spans="6:6">
      <c r="F32125" s="2423"/>
    </row>
    <row r="32126" s="101" customFormat="1" spans="6:6">
      <c r="F32126" s="2423"/>
    </row>
    <row r="32127" s="101" customFormat="1" spans="6:6">
      <c r="F32127" s="2423"/>
    </row>
    <row r="32128" s="101" customFormat="1" spans="6:6">
      <c r="F32128" s="2423"/>
    </row>
    <row r="32129" s="101" customFormat="1" spans="6:6">
      <c r="F32129" s="2423"/>
    </row>
    <row r="32130" s="101" customFormat="1" spans="6:6">
      <c r="F32130" s="2423"/>
    </row>
    <row r="32131" s="101" customFormat="1" spans="6:6">
      <c r="F32131" s="2423"/>
    </row>
    <row r="32132" s="101" customFormat="1" spans="6:6">
      <c r="F32132" s="2423"/>
    </row>
    <row r="32133" s="101" customFormat="1" spans="6:6">
      <c r="F32133" s="2423"/>
    </row>
    <row r="32134" s="101" customFormat="1" spans="6:6">
      <c r="F32134" s="2423"/>
    </row>
    <row r="32135" s="101" customFormat="1" spans="6:6">
      <c r="F32135" s="2423"/>
    </row>
    <row r="32136" s="101" customFormat="1" spans="6:6">
      <c r="F32136" s="2423"/>
    </row>
    <row r="32137" s="101" customFormat="1" spans="6:6">
      <c r="F32137" s="2423"/>
    </row>
    <row r="32138" s="101" customFormat="1" spans="6:6">
      <c r="F32138" s="2423"/>
    </row>
    <row r="32139" s="101" customFormat="1" spans="6:6">
      <c r="F32139" s="2423"/>
    </row>
    <row r="32140" s="101" customFormat="1" spans="6:6">
      <c r="F32140" s="2423"/>
    </row>
    <row r="32141" s="101" customFormat="1" spans="6:6">
      <c r="F32141" s="2423"/>
    </row>
    <row r="32142" s="101" customFormat="1" spans="6:6">
      <c r="F32142" s="2423"/>
    </row>
    <row r="32143" s="101" customFormat="1" spans="6:6">
      <c r="F32143" s="2423"/>
    </row>
    <row r="32144" s="101" customFormat="1" spans="6:6">
      <c r="F32144" s="2423"/>
    </row>
    <row r="32145" s="101" customFormat="1" spans="6:6">
      <c r="F32145" s="2423"/>
    </row>
    <row r="32146" s="101" customFormat="1" spans="6:6">
      <c r="F32146" s="2423"/>
    </row>
    <row r="32147" s="101" customFormat="1" spans="6:6">
      <c r="F32147" s="2423"/>
    </row>
    <row r="32148" s="101" customFormat="1" spans="6:6">
      <c r="F32148" s="2423"/>
    </row>
    <row r="32149" s="101" customFormat="1" spans="6:6">
      <c r="F32149" s="2423"/>
    </row>
    <row r="32150" s="101" customFormat="1" spans="6:6">
      <c r="F32150" s="2423"/>
    </row>
    <row r="32151" s="101" customFormat="1" spans="6:6">
      <c r="F32151" s="2423"/>
    </row>
    <row r="32152" s="101" customFormat="1" spans="6:6">
      <c r="F32152" s="2423"/>
    </row>
    <row r="32153" s="101" customFormat="1" spans="6:6">
      <c r="F32153" s="2423"/>
    </row>
    <row r="32154" s="101" customFormat="1" spans="6:6">
      <c r="F32154" s="2423"/>
    </row>
    <row r="32155" s="101" customFormat="1" spans="6:6">
      <c r="F32155" s="2423"/>
    </row>
    <row r="32156" s="101" customFormat="1" spans="6:6">
      <c r="F32156" s="2423"/>
    </row>
    <row r="32157" s="101" customFormat="1" spans="6:6">
      <c r="F32157" s="2423"/>
    </row>
    <row r="32158" s="101" customFormat="1" spans="6:6">
      <c r="F32158" s="2423"/>
    </row>
    <row r="32159" s="101" customFormat="1" spans="6:6">
      <c r="F32159" s="2423"/>
    </row>
    <row r="32160" s="101" customFormat="1" spans="6:6">
      <c r="F32160" s="2423"/>
    </row>
    <row r="32161" s="101" customFormat="1" spans="6:6">
      <c r="F32161" s="2423"/>
    </row>
    <row r="32162" s="101" customFormat="1" spans="6:6">
      <c r="F32162" s="2423"/>
    </row>
    <row r="32163" s="101" customFormat="1" spans="6:6">
      <c r="F32163" s="2423"/>
    </row>
    <row r="32164" s="101" customFormat="1" spans="6:6">
      <c r="F32164" s="2423"/>
    </row>
    <row r="32165" s="101" customFormat="1" spans="6:6">
      <c r="F32165" s="2423"/>
    </row>
    <row r="32166" s="101" customFormat="1" spans="6:6">
      <c r="F32166" s="2423"/>
    </row>
    <row r="32167" s="101" customFormat="1" spans="6:6">
      <c r="F32167" s="2423"/>
    </row>
    <row r="32168" s="101" customFormat="1" spans="6:6">
      <c r="F32168" s="2423"/>
    </row>
    <row r="32169" s="101" customFormat="1" spans="6:6">
      <c r="F32169" s="2423"/>
    </row>
    <row r="32170" s="101" customFormat="1" spans="6:6">
      <c r="F32170" s="2423"/>
    </row>
    <row r="32171" s="101" customFormat="1" spans="6:6">
      <c r="F32171" s="2423"/>
    </row>
    <row r="32172" s="101" customFormat="1" spans="6:6">
      <c r="F32172" s="2423"/>
    </row>
    <row r="32173" s="101" customFormat="1" spans="6:6">
      <c r="F32173" s="2423"/>
    </row>
    <row r="32174" s="101" customFormat="1" spans="6:6">
      <c r="F32174" s="2423"/>
    </row>
    <row r="32175" s="101" customFormat="1" spans="6:6">
      <c r="F32175" s="2423"/>
    </row>
    <row r="32176" s="101" customFormat="1" spans="6:6">
      <c r="F32176" s="2423"/>
    </row>
    <row r="32177" s="101" customFormat="1" spans="6:6">
      <c r="F32177" s="2423"/>
    </row>
    <row r="32178" s="101" customFormat="1" spans="6:6">
      <c r="F32178" s="2423"/>
    </row>
    <row r="32179" s="101" customFormat="1" spans="6:6">
      <c r="F32179" s="2423"/>
    </row>
    <row r="32180" s="101" customFormat="1" spans="6:6">
      <c r="F32180" s="2423"/>
    </row>
    <row r="32181" s="101" customFormat="1" spans="6:6">
      <c r="F32181" s="2423"/>
    </row>
    <row r="32182" s="101" customFormat="1" spans="6:6">
      <c r="F32182" s="2423"/>
    </row>
    <row r="32183" s="101" customFormat="1" spans="6:6">
      <c r="F32183" s="2423"/>
    </row>
    <row r="32184" s="101" customFormat="1" spans="6:6">
      <c r="F32184" s="2423"/>
    </row>
    <row r="32185" s="101" customFormat="1" spans="6:6">
      <c r="F32185" s="2423"/>
    </row>
    <row r="32186" s="101" customFormat="1" spans="6:6">
      <c r="F32186" s="2423"/>
    </row>
    <row r="32187" s="101" customFormat="1" spans="6:6">
      <c r="F32187" s="2423"/>
    </row>
    <row r="32188" s="101" customFormat="1" spans="6:6">
      <c r="F32188" s="2423"/>
    </row>
    <row r="32189" s="101" customFormat="1" spans="6:6">
      <c r="F32189" s="2423"/>
    </row>
    <row r="32190" s="101" customFormat="1" spans="6:6">
      <c r="F32190" s="2423"/>
    </row>
    <row r="32191" s="101" customFormat="1" spans="6:6">
      <c r="F32191" s="2423"/>
    </row>
    <row r="32192" s="101" customFormat="1" spans="6:6">
      <c r="F32192" s="2423"/>
    </row>
    <row r="32193" s="101" customFormat="1" spans="6:6">
      <c r="F32193" s="2423"/>
    </row>
    <row r="32194" s="101" customFormat="1" spans="6:6">
      <c r="F32194" s="2423"/>
    </row>
    <row r="32195" s="101" customFormat="1" spans="6:6">
      <c r="F32195" s="2423"/>
    </row>
    <row r="32196" s="101" customFormat="1" spans="6:6">
      <c r="F32196" s="2423"/>
    </row>
    <row r="32197" s="101" customFormat="1" spans="6:6">
      <c r="F32197" s="2423"/>
    </row>
    <row r="32198" s="101" customFormat="1" spans="6:6">
      <c r="F32198" s="2423"/>
    </row>
    <row r="32199" s="101" customFormat="1" spans="6:6">
      <c r="F32199" s="2423"/>
    </row>
    <row r="32200" s="101" customFormat="1" spans="6:6">
      <c r="F32200" s="2423"/>
    </row>
    <row r="32201" s="101" customFormat="1" spans="6:6">
      <c r="F32201" s="2423"/>
    </row>
    <row r="32202" s="101" customFormat="1" spans="6:6">
      <c r="F32202" s="2423"/>
    </row>
    <row r="32203" s="101" customFormat="1" spans="6:6">
      <c r="F32203" s="2423"/>
    </row>
    <row r="32204" s="101" customFormat="1" spans="6:6">
      <c r="F32204" s="2423"/>
    </row>
    <row r="32205" s="101" customFormat="1" spans="6:6">
      <c r="F32205" s="2423"/>
    </row>
    <row r="32206" s="101" customFormat="1" spans="6:6">
      <c r="F32206" s="2423"/>
    </row>
    <row r="32207" s="101" customFormat="1" spans="6:6">
      <c r="F32207" s="2423"/>
    </row>
    <row r="32208" s="101" customFormat="1" spans="6:6">
      <c r="F32208" s="2423"/>
    </row>
    <row r="32209" s="101" customFormat="1" spans="6:6">
      <c r="F32209" s="2423"/>
    </row>
    <row r="32210" s="101" customFormat="1" spans="6:6">
      <c r="F32210" s="2423"/>
    </row>
    <row r="32211" s="101" customFormat="1" spans="6:6">
      <c r="F32211" s="2423"/>
    </row>
    <row r="32212" s="101" customFormat="1" spans="6:6">
      <c r="F32212" s="2423"/>
    </row>
    <row r="32213" s="101" customFormat="1" spans="6:6">
      <c r="F32213" s="2423"/>
    </row>
    <row r="32214" s="101" customFormat="1" spans="6:6">
      <c r="F32214" s="2423"/>
    </row>
    <row r="32215" s="101" customFormat="1" spans="6:6">
      <c r="F32215" s="2423"/>
    </row>
    <row r="32216" s="101" customFormat="1" spans="6:6">
      <c r="F32216" s="2423"/>
    </row>
    <row r="32217" s="101" customFormat="1" spans="6:6">
      <c r="F32217" s="2423"/>
    </row>
    <row r="32218" s="101" customFormat="1" spans="6:6">
      <c r="F32218" s="2423"/>
    </row>
    <row r="32219" s="101" customFormat="1" spans="6:6">
      <c r="F32219" s="2423"/>
    </row>
    <row r="32220" s="101" customFormat="1" spans="6:6">
      <c r="F32220" s="2423"/>
    </row>
    <row r="32221" s="101" customFormat="1" spans="6:6">
      <c r="F32221" s="2423"/>
    </row>
    <row r="32222" s="101" customFormat="1" spans="6:6">
      <c r="F32222" s="2423"/>
    </row>
    <row r="32223" s="101" customFormat="1" spans="6:6">
      <c r="F32223" s="2423"/>
    </row>
    <row r="32224" s="101" customFormat="1" spans="6:6">
      <c r="F32224" s="2423"/>
    </row>
    <row r="32225" s="101" customFormat="1" spans="6:6">
      <c r="F32225" s="2423"/>
    </row>
    <row r="32226" s="101" customFormat="1" spans="6:6">
      <c r="F32226" s="2423"/>
    </row>
    <row r="32227" s="101" customFormat="1" spans="6:6">
      <c r="F32227" s="2423"/>
    </row>
    <row r="32228" s="101" customFormat="1" spans="6:6">
      <c r="F32228" s="2423"/>
    </row>
    <row r="32229" s="101" customFormat="1" spans="6:6">
      <c r="F32229" s="2423"/>
    </row>
    <row r="32230" s="101" customFormat="1" spans="6:6">
      <c r="F32230" s="2423"/>
    </row>
    <row r="32231" s="101" customFormat="1" spans="6:6">
      <c r="F32231" s="2423"/>
    </row>
    <row r="32232" s="101" customFormat="1" spans="6:6">
      <c r="F32232" s="2423"/>
    </row>
    <row r="32233" s="101" customFormat="1" spans="6:6">
      <c r="F32233" s="2423"/>
    </row>
    <row r="32234" s="101" customFormat="1" spans="6:6">
      <c r="F32234" s="2423"/>
    </row>
    <row r="32235" s="101" customFormat="1" spans="6:6">
      <c r="F32235" s="2423"/>
    </row>
    <row r="32236" s="101" customFormat="1" spans="6:6">
      <c r="F32236" s="2423"/>
    </row>
    <row r="32237" s="101" customFormat="1" spans="6:6">
      <c r="F32237" s="2423"/>
    </row>
    <row r="32238" s="101" customFormat="1" spans="6:6">
      <c r="F32238" s="2423"/>
    </row>
    <row r="32239" s="101" customFormat="1" spans="6:6">
      <c r="F32239" s="2423"/>
    </row>
    <row r="32240" s="101" customFormat="1" spans="6:6">
      <c r="F32240" s="2423"/>
    </row>
    <row r="32241" s="101" customFormat="1" spans="6:6">
      <c r="F32241" s="2423"/>
    </row>
    <row r="32242" s="101" customFormat="1" spans="6:6">
      <c r="F32242" s="2423"/>
    </row>
    <row r="32243" s="101" customFormat="1" spans="6:6">
      <c r="F32243" s="2423"/>
    </row>
    <row r="32244" s="101" customFormat="1" spans="6:6">
      <c r="F32244" s="2423"/>
    </row>
    <row r="32245" s="101" customFormat="1" spans="6:6">
      <c r="F32245" s="2423"/>
    </row>
    <row r="32246" s="101" customFormat="1" spans="6:6">
      <c r="F32246" s="2423"/>
    </row>
    <row r="32247" s="101" customFormat="1" spans="6:6">
      <c r="F32247" s="2423"/>
    </row>
    <row r="32248" s="101" customFormat="1" spans="6:6">
      <c r="F32248" s="2423"/>
    </row>
    <row r="32249" s="101" customFormat="1" spans="6:6">
      <c r="F32249" s="2423"/>
    </row>
    <row r="32250" s="101" customFormat="1" spans="6:6">
      <c r="F32250" s="2423"/>
    </row>
    <row r="32251" s="101" customFormat="1" spans="6:6">
      <c r="F32251" s="2423"/>
    </row>
    <row r="32252" s="101" customFormat="1" spans="6:6">
      <c r="F32252" s="2423"/>
    </row>
    <row r="32253" s="101" customFormat="1" spans="6:6">
      <c r="F32253" s="2423"/>
    </row>
    <row r="32254" s="101" customFormat="1" spans="6:6">
      <c r="F32254" s="2423"/>
    </row>
    <row r="32255" s="101" customFormat="1" spans="6:6">
      <c r="F32255" s="2423"/>
    </row>
    <row r="32256" s="101" customFormat="1" spans="6:6">
      <c r="F32256" s="2423"/>
    </row>
    <row r="32257" s="101" customFormat="1" spans="6:6">
      <c r="F32257" s="2423"/>
    </row>
    <row r="32258" s="101" customFormat="1" spans="6:6">
      <c r="F32258" s="2423"/>
    </row>
    <row r="32259" s="101" customFormat="1" spans="6:6">
      <c r="F32259" s="2423"/>
    </row>
    <row r="32260" s="101" customFormat="1" spans="6:6">
      <c r="F32260" s="2423"/>
    </row>
    <row r="32261" s="101" customFormat="1" spans="6:6">
      <c r="F32261" s="2423"/>
    </row>
    <row r="32262" s="101" customFormat="1" spans="6:6">
      <c r="F32262" s="2423"/>
    </row>
    <row r="32263" s="101" customFormat="1" spans="6:6">
      <c r="F32263" s="2423"/>
    </row>
    <row r="32264" s="101" customFormat="1" spans="6:6">
      <c r="F32264" s="2423"/>
    </row>
    <row r="32265" s="101" customFormat="1" spans="6:6">
      <c r="F32265" s="2423"/>
    </row>
    <row r="32266" s="101" customFormat="1" spans="6:6">
      <c r="F32266" s="2423"/>
    </row>
    <row r="32267" s="101" customFormat="1" spans="6:6">
      <c r="F32267" s="2423"/>
    </row>
    <row r="32268" s="101" customFormat="1" spans="6:6">
      <c r="F32268" s="2423"/>
    </row>
    <row r="32269" s="101" customFormat="1" spans="6:6">
      <c r="F32269" s="2423"/>
    </row>
    <row r="32270" s="101" customFormat="1" spans="6:6">
      <c r="F32270" s="2423"/>
    </row>
    <row r="32271" s="101" customFormat="1" spans="6:6">
      <c r="F32271" s="2423"/>
    </row>
    <row r="32272" s="101" customFormat="1" spans="6:6">
      <c r="F32272" s="2423"/>
    </row>
    <row r="32273" s="101" customFormat="1" spans="6:6">
      <c r="F32273" s="2423"/>
    </row>
    <row r="32274" s="101" customFormat="1" spans="6:6">
      <c r="F32274" s="2423"/>
    </row>
    <row r="32275" s="101" customFormat="1" spans="6:6">
      <c r="F32275" s="2423"/>
    </row>
    <row r="32276" s="101" customFormat="1" spans="6:6">
      <c r="F32276" s="2423"/>
    </row>
    <row r="32277" s="101" customFormat="1" spans="6:6">
      <c r="F32277" s="2423"/>
    </row>
    <row r="32278" s="101" customFormat="1" spans="6:6">
      <c r="F32278" s="2423"/>
    </row>
    <row r="32279" s="101" customFormat="1" spans="6:6">
      <c r="F32279" s="2423"/>
    </row>
    <row r="32280" s="101" customFormat="1" spans="6:6">
      <c r="F32280" s="2423"/>
    </row>
    <row r="32281" s="101" customFormat="1" spans="6:6">
      <c r="F32281" s="2423"/>
    </row>
    <row r="32282" s="101" customFormat="1" spans="6:6">
      <c r="F32282" s="2423"/>
    </row>
    <row r="32283" s="101" customFormat="1" spans="6:6">
      <c r="F32283" s="2423"/>
    </row>
    <row r="32284" s="101" customFormat="1" spans="6:6">
      <c r="F32284" s="2423"/>
    </row>
    <row r="32285" s="101" customFormat="1" spans="6:6">
      <c r="F32285" s="2423"/>
    </row>
    <row r="32286" s="101" customFormat="1" spans="6:6">
      <c r="F32286" s="2423"/>
    </row>
    <row r="32287" s="101" customFormat="1" spans="6:6">
      <c r="F32287" s="2423"/>
    </row>
    <row r="32288" s="101" customFormat="1" spans="6:6">
      <c r="F32288" s="2423"/>
    </row>
    <row r="32289" s="101" customFormat="1" spans="6:6">
      <c r="F32289" s="2423"/>
    </row>
    <row r="32290" s="101" customFormat="1" spans="6:6">
      <c r="F32290" s="2423"/>
    </row>
    <row r="32291" s="101" customFormat="1" spans="6:6">
      <c r="F32291" s="2423"/>
    </row>
    <row r="32292" s="101" customFormat="1" spans="6:6">
      <c r="F32292" s="2423"/>
    </row>
    <row r="32293" s="101" customFormat="1" spans="6:6">
      <c r="F32293" s="2423"/>
    </row>
    <row r="32294" s="101" customFormat="1" spans="6:6">
      <c r="F32294" s="2423"/>
    </row>
    <row r="32295" s="101" customFormat="1" spans="6:6">
      <c r="F32295" s="2423"/>
    </row>
    <row r="32296" s="101" customFormat="1" spans="6:6">
      <c r="F32296" s="2423"/>
    </row>
    <row r="32297" s="101" customFormat="1" spans="6:6">
      <c r="F32297" s="2423"/>
    </row>
    <row r="32298" s="101" customFormat="1" spans="6:6">
      <c r="F32298" s="2423"/>
    </row>
    <row r="32299" s="101" customFormat="1" spans="6:6">
      <c r="F32299" s="2423"/>
    </row>
    <row r="32300" s="101" customFormat="1" spans="6:6">
      <c r="F32300" s="2423"/>
    </row>
    <row r="32301" s="101" customFormat="1" spans="6:6">
      <c r="F32301" s="2423"/>
    </row>
    <row r="32302" s="101" customFormat="1" spans="6:6">
      <c r="F32302" s="2423"/>
    </row>
    <row r="32303" s="101" customFormat="1" spans="6:6">
      <c r="F32303" s="2423"/>
    </row>
    <row r="32304" s="101" customFormat="1" spans="6:6">
      <c r="F32304" s="2423"/>
    </row>
    <row r="32305" s="101" customFormat="1" spans="6:6">
      <c r="F32305" s="2423"/>
    </row>
    <row r="32306" s="101" customFormat="1" spans="6:6">
      <c r="F32306" s="2423"/>
    </row>
    <row r="32307" s="101" customFormat="1" spans="6:6">
      <c r="F32307" s="2423"/>
    </row>
    <row r="32308" s="101" customFormat="1" spans="6:6">
      <c r="F32308" s="2423"/>
    </row>
    <row r="32309" s="101" customFormat="1" spans="6:6">
      <c r="F32309" s="2423"/>
    </row>
    <row r="32310" s="101" customFormat="1" spans="6:6">
      <c r="F32310" s="2423"/>
    </row>
    <row r="32311" s="101" customFormat="1" spans="6:6">
      <c r="F32311" s="2423"/>
    </row>
    <row r="32312" s="101" customFormat="1" spans="6:6">
      <c r="F32312" s="2423"/>
    </row>
    <row r="32313" s="101" customFormat="1" spans="6:6">
      <c r="F32313" s="2423"/>
    </row>
    <row r="32314" s="101" customFormat="1" spans="6:6">
      <c r="F32314" s="2423"/>
    </row>
    <row r="32315" s="101" customFormat="1" spans="6:6">
      <c r="F32315" s="2423"/>
    </row>
    <row r="32316" s="101" customFormat="1" spans="6:6">
      <c r="F32316" s="2423"/>
    </row>
    <row r="32317" s="101" customFormat="1" spans="6:6">
      <c r="F32317" s="2423"/>
    </row>
    <row r="32318" s="101" customFormat="1" spans="6:6">
      <c r="F32318" s="2423"/>
    </row>
    <row r="32319" s="101" customFormat="1" spans="6:6">
      <c r="F32319" s="2423"/>
    </row>
    <row r="32320" s="101" customFormat="1" spans="6:6">
      <c r="F32320" s="2423"/>
    </row>
    <row r="32321" s="101" customFormat="1" spans="6:6">
      <c r="F32321" s="2423"/>
    </row>
    <row r="32322" s="101" customFormat="1" spans="6:6">
      <c r="F32322" s="2423"/>
    </row>
    <row r="32323" s="101" customFormat="1" spans="6:6">
      <c r="F32323" s="2423"/>
    </row>
    <row r="32324" s="101" customFormat="1" spans="6:6">
      <c r="F32324" s="2423"/>
    </row>
    <row r="32325" s="101" customFormat="1" spans="6:6">
      <c r="F32325" s="2423"/>
    </row>
    <row r="32326" s="101" customFormat="1" spans="6:6">
      <c r="F32326" s="2423"/>
    </row>
    <row r="32327" s="101" customFormat="1" spans="6:6">
      <c r="F32327" s="2423"/>
    </row>
    <row r="32328" s="101" customFormat="1" spans="6:6">
      <c r="F32328" s="2423"/>
    </row>
    <row r="32329" s="101" customFormat="1" spans="6:6">
      <c r="F32329" s="2423"/>
    </row>
    <row r="32330" s="101" customFormat="1" spans="6:6">
      <c r="F32330" s="2423"/>
    </row>
    <row r="32331" s="101" customFormat="1" spans="6:6">
      <c r="F32331" s="2423"/>
    </row>
    <row r="32332" s="101" customFormat="1" spans="6:6">
      <c r="F32332" s="2423"/>
    </row>
    <row r="32333" s="101" customFormat="1" spans="6:6">
      <c r="F32333" s="2423"/>
    </row>
    <row r="32334" s="101" customFormat="1" spans="6:6">
      <c r="F32334" s="2423"/>
    </row>
    <row r="32335" s="101" customFormat="1" spans="6:6">
      <c r="F32335" s="2423"/>
    </row>
    <row r="32336" s="101" customFormat="1" spans="6:6">
      <c r="F32336" s="2423"/>
    </row>
    <row r="32337" s="101" customFormat="1" spans="6:6">
      <c r="F32337" s="2423"/>
    </row>
    <row r="32338" s="101" customFormat="1" spans="6:6">
      <c r="F32338" s="2423"/>
    </row>
    <row r="32339" s="101" customFormat="1" spans="6:6">
      <c r="F32339" s="2423"/>
    </row>
    <row r="32340" s="101" customFormat="1" spans="6:6">
      <c r="F32340" s="2423"/>
    </row>
    <row r="32341" s="101" customFormat="1" spans="6:6">
      <c r="F32341" s="2423"/>
    </row>
    <row r="32342" s="101" customFormat="1" spans="6:6">
      <c r="F32342" s="2423"/>
    </row>
    <row r="32343" s="101" customFormat="1" spans="6:6">
      <c r="F32343" s="2423"/>
    </row>
    <row r="32344" s="101" customFormat="1" spans="6:6">
      <c r="F32344" s="2423"/>
    </row>
    <row r="32345" s="101" customFormat="1" spans="6:6">
      <c r="F32345" s="2423"/>
    </row>
    <row r="32346" s="101" customFormat="1" spans="6:6">
      <c r="F32346" s="2423"/>
    </row>
    <row r="32347" s="101" customFormat="1" spans="6:6">
      <c r="F32347" s="2423"/>
    </row>
    <row r="32348" s="101" customFormat="1" spans="6:6">
      <c r="F32348" s="2423"/>
    </row>
    <row r="32349" s="101" customFormat="1" spans="6:6">
      <c r="F32349" s="2423"/>
    </row>
    <row r="32350" s="101" customFormat="1" spans="6:6">
      <c r="F32350" s="2423"/>
    </row>
    <row r="32351" s="101" customFormat="1" spans="6:6">
      <c r="F32351" s="2423"/>
    </row>
    <row r="32352" s="101" customFormat="1" spans="6:6">
      <c r="F32352" s="2423"/>
    </row>
    <row r="32353" s="101" customFormat="1" spans="6:6">
      <c r="F32353" s="2423"/>
    </row>
    <row r="32354" s="101" customFormat="1" spans="6:6">
      <c r="F32354" s="2423"/>
    </row>
    <row r="32355" s="101" customFormat="1" spans="6:6">
      <c r="F32355" s="2423"/>
    </row>
    <row r="32356" s="101" customFormat="1" spans="6:6">
      <c r="F32356" s="2423"/>
    </row>
    <row r="32357" s="101" customFormat="1" spans="6:6">
      <c r="F32357" s="2423"/>
    </row>
    <row r="32358" s="101" customFormat="1" spans="6:6">
      <c r="F32358" s="2423"/>
    </row>
    <row r="32359" s="101" customFormat="1" spans="6:6">
      <c r="F32359" s="2423"/>
    </row>
    <row r="32360" s="101" customFormat="1" spans="6:6">
      <c r="F32360" s="2423"/>
    </row>
    <row r="32361" s="101" customFormat="1" spans="6:6">
      <c r="F32361" s="2423"/>
    </row>
    <row r="32362" s="101" customFormat="1" spans="6:6">
      <c r="F32362" s="2423"/>
    </row>
    <row r="32363" s="101" customFormat="1" spans="6:6">
      <c r="F32363" s="2423"/>
    </row>
    <row r="32364" s="101" customFormat="1" spans="6:6">
      <c r="F32364" s="2423"/>
    </row>
    <row r="32365" s="101" customFormat="1" spans="6:6">
      <c r="F32365" s="2423"/>
    </row>
    <row r="32366" s="101" customFormat="1" spans="6:6">
      <c r="F32366" s="2423"/>
    </row>
    <row r="32367" s="101" customFormat="1" spans="6:6">
      <c r="F32367" s="2423"/>
    </row>
    <row r="32368" s="101" customFormat="1" spans="6:6">
      <c r="F32368" s="2423"/>
    </row>
    <row r="32369" s="101" customFormat="1" spans="6:6">
      <c r="F32369" s="2423"/>
    </row>
    <row r="32370" s="101" customFormat="1" spans="6:6">
      <c r="F32370" s="2423"/>
    </row>
    <row r="32371" s="101" customFormat="1" spans="6:6">
      <c r="F32371" s="2423"/>
    </row>
    <row r="32372" s="101" customFormat="1" spans="6:6">
      <c r="F32372" s="2423"/>
    </row>
    <row r="32373" s="101" customFormat="1" spans="6:6">
      <c r="F32373" s="2423"/>
    </row>
    <row r="32374" s="101" customFormat="1" spans="6:6">
      <c r="F32374" s="2423"/>
    </row>
    <row r="32375" s="101" customFormat="1" spans="6:6">
      <c r="F32375" s="2423"/>
    </row>
    <row r="32376" s="101" customFormat="1" spans="6:6">
      <c r="F32376" s="2423"/>
    </row>
    <row r="32377" s="101" customFormat="1" spans="6:6">
      <c r="F32377" s="2423"/>
    </row>
    <row r="32378" s="101" customFormat="1" spans="6:6">
      <c r="F32378" s="2423"/>
    </row>
    <row r="32379" s="101" customFormat="1" spans="6:6">
      <c r="F32379" s="2423"/>
    </row>
    <row r="32380" s="101" customFormat="1" spans="6:6">
      <c r="F32380" s="2423"/>
    </row>
    <row r="32381" s="101" customFormat="1" spans="6:6">
      <c r="F32381" s="2423"/>
    </row>
    <row r="32382" s="101" customFormat="1" spans="6:6">
      <c r="F32382" s="2423"/>
    </row>
    <row r="32383" s="101" customFormat="1" spans="6:6">
      <c r="F32383" s="2423"/>
    </row>
    <row r="32384" s="101" customFormat="1" spans="6:6">
      <c r="F32384" s="2423"/>
    </row>
    <row r="32385" s="101" customFormat="1" spans="6:6">
      <c r="F32385" s="2423"/>
    </row>
    <row r="32386" s="101" customFormat="1" spans="6:6">
      <c r="F32386" s="2423"/>
    </row>
    <row r="32387" s="101" customFormat="1" spans="6:6">
      <c r="F32387" s="2423"/>
    </row>
    <row r="32388" s="101" customFormat="1" spans="6:6">
      <c r="F32388" s="2423"/>
    </row>
    <row r="32389" s="101" customFormat="1" spans="6:6">
      <c r="F32389" s="2423"/>
    </row>
    <row r="32390" s="101" customFormat="1" spans="6:6">
      <c r="F32390" s="2423"/>
    </row>
    <row r="32391" s="101" customFormat="1" spans="6:6">
      <c r="F32391" s="2423"/>
    </row>
    <row r="32392" s="101" customFormat="1" spans="6:6">
      <c r="F32392" s="2423"/>
    </row>
    <row r="32393" s="101" customFormat="1" spans="6:6">
      <c r="F32393" s="2423"/>
    </row>
    <row r="32394" s="101" customFormat="1" spans="6:6">
      <c r="F32394" s="2423"/>
    </row>
    <row r="32395" s="101" customFormat="1" spans="6:6">
      <c r="F32395" s="2423"/>
    </row>
    <row r="32396" s="101" customFormat="1" spans="6:6">
      <c r="F32396" s="2423"/>
    </row>
    <row r="32397" s="101" customFormat="1" spans="6:6">
      <c r="F32397" s="2423"/>
    </row>
    <row r="32398" s="101" customFormat="1" spans="6:6">
      <c r="F32398" s="2423"/>
    </row>
    <row r="32399" s="101" customFormat="1" spans="6:6">
      <c r="F32399" s="2423"/>
    </row>
    <row r="32400" s="101" customFormat="1" spans="6:6">
      <c r="F32400" s="2423"/>
    </row>
    <row r="32401" s="101" customFormat="1" spans="6:6">
      <c r="F32401" s="2423"/>
    </row>
    <row r="32402" s="101" customFormat="1" spans="6:6">
      <c r="F32402" s="2423"/>
    </row>
    <row r="32403" s="101" customFormat="1" spans="6:6">
      <c r="F32403" s="2423"/>
    </row>
    <row r="32404" s="101" customFormat="1" spans="6:6">
      <c r="F32404" s="2423"/>
    </row>
    <row r="32405" s="101" customFormat="1" spans="6:6">
      <c r="F32405" s="2423"/>
    </row>
    <row r="32406" s="101" customFormat="1" spans="6:6">
      <c r="F32406" s="2423"/>
    </row>
    <row r="32407" s="101" customFormat="1" spans="6:6">
      <c r="F32407" s="2423"/>
    </row>
    <row r="32408" s="101" customFormat="1" spans="6:6">
      <c r="F32408" s="2423"/>
    </row>
    <row r="32409" s="101" customFormat="1" spans="6:6">
      <c r="F32409" s="2423"/>
    </row>
    <row r="32410" s="101" customFormat="1" spans="6:6">
      <c r="F32410" s="2423"/>
    </row>
    <row r="32411" s="101" customFormat="1" spans="6:6">
      <c r="F32411" s="2423"/>
    </row>
    <row r="32412" s="101" customFormat="1" spans="6:6">
      <c r="F32412" s="2423"/>
    </row>
    <row r="32413" s="101" customFormat="1" spans="6:6">
      <c r="F32413" s="2423"/>
    </row>
    <row r="32414" s="101" customFormat="1" spans="6:6">
      <c r="F32414" s="2423"/>
    </row>
    <row r="32415" s="101" customFormat="1" spans="6:6">
      <c r="F32415" s="2423"/>
    </row>
    <row r="32416" s="101" customFormat="1" spans="6:6">
      <c r="F32416" s="2423"/>
    </row>
    <row r="32417" s="101" customFormat="1" spans="6:6">
      <c r="F32417" s="2423"/>
    </row>
    <row r="32418" s="101" customFormat="1" spans="6:6">
      <c r="F32418" s="2423"/>
    </row>
    <row r="32419" s="101" customFormat="1" spans="6:6">
      <c r="F32419" s="2423"/>
    </row>
    <row r="32420" s="101" customFormat="1" spans="6:6">
      <c r="F32420" s="2423"/>
    </row>
    <row r="32421" s="101" customFormat="1" spans="6:6">
      <c r="F32421" s="2423"/>
    </row>
    <row r="32422" s="101" customFormat="1" spans="6:6">
      <c r="F32422" s="2423"/>
    </row>
    <row r="32423" s="101" customFormat="1" spans="6:6">
      <c r="F32423" s="2423"/>
    </row>
    <row r="32424" s="101" customFormat="1" spans="6:6">
      <c r="F32424" s="2423"/>
    </row>
    <row r="32425" s="101" customFormat="1" spans="6:6">
      <c r="F32425" s="2423"/>
    </row>
    <row r="32426" s="101" customFormat="1" spans="6:6">
      <c r="F32426" s="2423"/>
    </row>
    <row r="32427" s="101" customFormat="1" spans="6:6">
      <c r="F32427" s="2423"/>
    </row>
    <row r="32428" s="101" customFormat="1" spans="6:6">
      <c r="F32428" s="2423"/>
    </row>
    <row r="32429" s="101" customFormat="1" spans="6:6">
      <c r="F32429" s="2423"/>
    </row>
    <row r="32430" s="101" customFormat="1" spans="6:6">
      <c r="F32430" s="2423"/>
    </row>
    <row r="32431" s="101" customFormat="1" spans="6:6">
      <c r="F32431" s="2423"/>
    </row>
    <row r="32432" s="101" customFormat="1" spans="6:6">
      <c r="F32432" s="2423"/>
    </row>
    <row r="32433" s="101" customFormat="1" spans="6:6">
      <c r="F32433" s="2423"/>
    </row>
    <row r="32434" s="101" customFormat="1" spans="6:6">
      <c r="F32434" s="2423"/>
    </row>
    <row r="32435" s="101" customFormat="1" spans="6:6">
      <c r="F32435" s="2423"/>
    </row>
    <row r="32436" s="101" customFormat="1" spans="6:6">
      <c r="F32436" s="2423"/>
    </row>
    <row r="32437" s="101" customFormat="1" spans="6:6">
      <c r="F32437" s="2423"/>
    </row>
    <row r="32438" s="101" customFormat="1" spans="6:6">
      <c r="F32438" s="2423"/>
    </row>
    <row r="32439" s="101" customFormat="1" spans="6:6">
      <c r="F32439" s="2423"/>
    </row>
    <row r="32440" s="101" customFormat="1" spans="6:6">
      <c r="F32440" s="2423"/>
    </row>
    <row r="32441" s="101" customFormat="1" spans="6:6">
      <c r="F32441" s="2423"/>
    </row>
    <row r="32442" s="101" customFormat="1" spans="6:6">
      <c r="F32442" s="2423"/>
    </row>
    <row r="32443" s="101" customFormat="1" spans="6:6">
      <c r="F32443" s="2423"/>
    </row>
    <row r="32444" s="101" customFormat="1" spans="6:6">
      <c r="F32444" s="2423"/>
    </row>
    <row r="32445" s="101" customFormat="1" spans="6:6">
      <c r="F32445" s="2423"/>
    </row>
    <row r="32446" s="101" customFormat="1" spans="6:6">
      <c r="F32446" s="2423"/>
    </row>
    <row r="32447" s="101" customFormat="1" spans="6:6">
      <c r="F32447" s="2423"/>
    </row>
    <row r="32448" s="101" customFormat="1" spans="6:6">
      <c r="F32448" s="2423"/>
    </row>
    <row r="32449" s="101" customFormat="1" spans="6:6">
      <c r="F32449" s="2423"/>
    </row>
    <row r="32450" s="101" customFormat="1" spans="6:6">
      <c r="F32450" s="2423"/>
    </row>
    <row r="32451" s="101" customFormat="1" spans="6:6">
      <c r="F32451" s="2423"/>
    </row>
    <row r="32452" s="101" customFormat="1" spans="6:6">
      <c r="F32452" s="2423"/>
    </row>
    <row r="32453" s="101" customFormat="1" spans="6:6">
      <c r="F32453" s="2423"/>
    </row>
    <row r="32454" s="101" customFormat="1" spans="6:6">
      <c r="F32454" s="2423"/>
    </row>
    <row r="32455" s="101" customFormat="1" spans="6:6">
      <c r="F32455" s="2423"/>
    </row>
    <row r="32456" s="101" customFormat="1" spans="6:6">
      <c r="F32456" s="2423"/>
    </row>
    <row r="32457" s="101" customFormat="1" spans="6:6">
      <c r="F32457" s="2423"/>
    </row>
    <row r="32458" s="101" customFormat="1" spans="6:6">
      <c r="F32458" s="2423"/>
    </row>
    <row r="32459" s="101" customFormat="1" spans="6:6">
      <c r="F32459" s="2423"/>
    </row>
    <row r="32460" s="101" customFormat="1" spans="6:6">
      <c r="F32460" s="2423"/>
    </row>
    <row r="32461" s="101" customFormat="1" spans="6:6">
      <c r="F32461" s="2423"/>
    </row>
    <row r="32462" s="101" customFormat="1" spans="6:6">
      <c r="F32462" s="2423"/>
    </row>
    <row r="32463" s="101" customFormat="1" spans="6:6">
      <c r="F32463" s="2423"/>
    </row>
    <row r="32464" s="101" customFormat="1" spans="6:6">
      <c r="F32464" s="2423"/>
    </row>
    <row r="32465" s="101" customFormat="1" spans="6:6">
      <c r="F32465" s="2423"/>
    </row>
    <row r="32466" s="101" customFormat="1" spans="6:6">
      <c r="F32466" s="2423"/>
    </row>
    <row r="32467" s="101" customFormat="1" spans="6:6">
      <c r="F32467" s="2423"/>
    </row>
    <row r="32468" s="101" customFormat="1" spans="6:6">
      <c r="F32468" s="2423"/>
    </row>
    <row r="32469" s="101" customFormat="1" spans="6:6">
      <c r="F32469" s="2423"/>
    </row>
    <row r="32470" s="101" customFormat="1" spans="6:6">
      <c r="F32470" s="2423"/>
    </row>
    <row r="32471" s="101" customFormat="1" spans="6:6">
      <c r="F32471" s="2423"/>
    </row>
    <row r="32472" s="101" customFormat="1" spans="6:6">
      <c r="F32472" s="2423"/>
    </row>
    <row r="32473" s="101" customFormat="1" spans="6:6">
      <c r="F32473" s="2423"/>
    </row>
    <row r="32474" s="101" customFormat="1" spans="6:6">
      <c r="F32474" s="2423"/>
    </row>
    <row r="32475" s="101" customFormat="1" spans="6:6">
      <c r="F32475" s="2423"/>
    </row>
    <row r="32476" s="101" customFormat="1" spans="6:6">
      <c r="F32476" s="2423"/>
    </row>
    <row r="32477" s="101" customFormat="1" spans="6:6">
      <c r="F32477" s="2423"/>
    </row>
    <row r="32478" s="101" customFormat="1" spans="6:6">
      <c r="F32478" s="2423"/>
    </row>
    <row r="32479" s="101" customFormat="1" spans="6:6">
      <c r="F32479" s="2423"/>
    </row>
    <row r="32480" s="101" customFormat="1" spans="6:6">
      <c r="F32480" s="2423"/>
    </row>
    <row r="32481" s="101" customFormat="1" spans="6:6">
      <c r="F32481" s="2423"/>
    </row>
    <row r="32482" s="101" customFormat="1" spans="6:6">
      <c r="F32482" s="2423"/>
    </row>
    <row r="32483" s="101" customFormat="1" spans="6:6">
      <c r="F32483" s="2423"/>
    </row>
    <row r="32484" s="101" customFormat="1" spans="6:6">
      <c r="F32484" s="2423"/>
    </row>
    <row r="32485" s="101" customFormat="1" spans="6:6">
      <c r="F32485" s="2423"/>
    </row>
    <row r="32486" s="101" customFormat="1" spans="6:6">
      <c r="F32486" s="2423"/>
    </row>
    <row r="32487" s="101" customFormat="1" spans="6:6">
      <c r="F32487" s="2423"/>
    </row>
    <row r="32488" s="101" customFormat="1" spans="6:6">
      <c r="F32488" s="2423"/>
    </row>
    <row r="32489" s="101" customFormat="1" spans="6:6">
      <c r="F32489" s="2423"/>
    </row>
    <row r="32490" s="101" customFormat="1" spans="6:6">
      <c r="F32490" s="2423"/>
    </row>
    <row r="32491" s="101" customFormat="1" spans="6:6">
      <c r="F32491" s="2423"/>
    </row>
    <row r="32492" s="101" customFormat="1" spans="6:6">
      <c r="F32492" s="2423"/>
    </row>
    <row r="32493" s="101" customFormat="1" spans="6:6">
      <c r="F32493" s="2423"/>
    </row>
    <row r="32494" s="101" customFormat="1" spans="6:6">
      <c r="F32494" s="2423"/>
    </row>
    <row r="32495" s="101" customFormat="1" spans="6:6">
      <c r="F32495" s="2423"/>
    </row>
    <row r="32496" s="101" customFormat="1" spans="6:6">
      <c r="F32496" s="2423"/>
    </row>
    <row r="32497" s="101" customFormat="1" spans="6:6">
      <c r="F32497" s="2423"/>
    </row>
    <row r="32498" s="101" customFormat="1" spans="6:6">
      <c r="F32498" s="2423"/>
    </row>
    <row r="32499" s="101" customFormat="1" spans="6:6">
      <c r="F32499" s="2423"/>
    </row>
    <row r="32500" s="101" customFormat="1" spans="6:6">
      <c r="F32500" s="2423"/>
    </row>
    <row r="32501" s="101" customFormat="1" spans="6:6">
      <c r="F32501" s="2423"/>
    </row>
    <row r="32502" s="101" customFormat="1" spans="6:6">
      <c r="F32502" s="2423"/>
    </row>
    <row r="32503" s="101" customFormat="1" spans="6:6">
      <c r="F32503" s="2423"/>
    </row>
    <row r="32504" s="101" customFormat="1" spans="6:6">
      <c r="F32504" s="2423"/>
    </row>
    <row r="32505" s="101" customFormat="1" spans="6:6">
      <c r="F32505" s="2423"/>
    </row>
    <row r="32506" s="101" customFormat="1" spans="6:6">
      <c r="F32506" s="2423"/>
    </row>
    <row r="32507" s="101" customFormat="1" spans="6:6">
      <c r="F32507" s="2423"/>
    </row>
    <row r="32508" s="101" customFormat="1" spans="6:6">
      <c r="F32508" s="2423"/>
    </row>
    <row r="32509" s="101" customFormat="1" spans="6:6">
      <c r="F32509" s="2423"/>
    </row>
    <row r="32510" s="101" customFormat="1" spans="6:6">
      <c r="F32510" s="2423"/>
    </row>
    <row r="32511" s="101" customFormat="1" spans="6:6">
      <c r="F32511" s="2423"/>
    </row>
    <row r="32512" s="101" customFormat="1" spans="6:6">
      <c r="F32512" s="2423"/>
    </row>
    <row r="32513" s="101" customFormat="1" spans="6:6">
      <c r="F32513" s="2423"/>
    </row>
    <row r="32514" s="101" customFormat="1" spans="6:6">
      <c r="F32514" s="2423"/>
    </row>
    <row r="32515" s="101" customFormat="1" spans="6:6">
      <c r="F32515" s="2423"/>
    </row>
    <row r="32516" s="101" customFormat="1" spans="6:6">
      <c r="F32516" s="2423"/>
    </row>
    <row r="32517" s="101" customFormat="1" spans="6:6">
      <c r="F32517" s="2423"/>
    </row>
    <row r="32518" s="101" customFormat="1" spans="6:6">
      <c r="F32518" s="2423"/>
    </row>
    <row r="32519" s="101" customFormat="1" spans="6:6">
      <c r="F32519" s="2423"/>
    </row>
    <row r="32520" s="101" customFormat="1" spans="6:6">
      <c r="F32520" s="2423"/>
    </row>
    <row r="32521" s="101" customFormat="1" spans="6:6">
      <c r="F32521" s="2423"/>
    </row>
    <row r="32522" s="101" customFormat="1" spans="6:6">
      <c r="F32522" s="2423"/>
    </row>
    <row r="32523" s="101" customFormat="1" spans="6:6">
      <c r="F32523" s="2423"/>
    </row>
    <row r="32524" s="101" customFormat="1" spans="6:6">
      <c r="F32524" s="2423"/>
    </row>
    <row r="32525" s="101" customFormat="1" spans="6:6">
      <c r="F32525" s="2423"/>
    </row>
    <row r="32526" s="101" customFormat="1" spans="6:6">
      <c r="F32526" s="2423"/>
    </row>
    <row r="32527" s="101" customFormat="1" spans="6:6">
      <c r="F32527" s="2423"/>
    </row>
    <row r="32528" s="101" customFormat="1" spans="6:6">
      <c r="F32528" s="2423"/>
    </row>
    <row r="32529" s="101" customFormat="1" spans="6:6">
      <c r="F32529" s="2423"/>
    </row>
    <row r="32530" s="101" customFormat="1" spans="6:6">
      <c r="F32530" s="2423"/>
    </row>
    <row r="32531" s="101" customFormat="1" spans="6:6">
      <c r="F32531" s="2423"/>
    </row>
    <row r="32532" s="101" customFormat="1" spans="6:6">
      <c r="F32532" s="2423"/>
    </row>
    <row r="32533" s="101" customFormat="1" spans="6:6">
      <c r="F32533" s="2423"/>
    </row>
    <row r="32534" s="101" customFormat="1" spans="6:6">
      <c r="F32534" s="2423"/>
    </row>
    <row r="32535" s="101" customFormat="1" spans="6:6">
      <c r="F32535" s="2423"/>
    </row>
    <row r="32536" s="101" customFormat="1" spans="6:6">
      <c r="F32536" s="2423"/>
    </row>
    <row r="32537" s="101" customFormat="1" spans="6:6">
      <c r="F32537" s="2423"/>
    </row>
    <row r="32538" s="101" customFormat="1" spans="6:6">
      <c r="F32538" s="2423"/>
    </row>
    <row r="32539" s="101" customFormat="1" spans="6:6">
      <c r="F32539" s="2423"/>
    </row>
    <row r="32540" s="101" customFormat="1" spans="6:6">
      <c r="F32540" s="2423"/>
    </row>
    <row r="32541" s="101" customFormat="1" spans="6:6">
      <c r="F32541" s="2423"/>
    </row>
    <row r="32542" s="101" customFormat="1" spans="6:6">
      <c r="F32542" s="2423"/>
    </row>
    <row r="32543" s="101" customFormat="1" spans="6:6">
      <c r="F32543" s="2423"/>
    </row>
    <row r="32544" s="101" customFormat="1" spans="6:6">
      <c r="F32544" s="2423"/>
    </row>
    <row r="32545" s="101" customFormat="1" spans="6:6">
      <c r="F32545" s="2423"/>
    </row>
    <row r="32546" s="101" customFormat="1" spans="6:6">
      <c r="F32546" s="2423"/>
    </row>
    <row r="32547" s="101" customFormat="1" spans="6:6">
      <c r="F32547" s="2423"/>
    </row>
    <row r="32548" s="101" customFormat="1" spans="6:6">
      <c r="F32548" s="2423"/>
    </row>
    <row r="32549" s="101" customFormat="1" spans="6:6">
      <c r="F32549" s="2423"/>
    </row>
    <row r="32550" s="101" customFormat="1" spans="6:6">
      <c r="F32550" s="2423"/>
    </row>
    <row r="32551" s="101" customFormat="1" spans="6:6">
      <c r="F32551" s="2423"/>
    </row>
    <row r="32552" s="101" customFormat="1" spans="6:6">
      <c r="F32552" s="2423"/>
    </row>
    <row r="32553" s="101" customFormat="1" spans="6:6">
      <c r="F32553" s="2423"/>
    </row>
    <row r="32554" s="101" customFormat="1" spans="6:6">
      <c r="F32554" s="2423"/>
    </row>
    <row r="32555" s="101" customFormat="1" spans="6:6">
      <c r="F32555" s="2423"/>
    </row>
    <row r="32556" s="101" customFormat="1" spans="6:6">
      <c r="F32556" s="2423"/>
    </row>
    <row r="32557" s="101" customFormat="1" spans="6:6">
      <c r="F32557" s="2423"/>
    </row>
    <row r="32558" s="101" customFormat="1" spans="6:6">
      <c r="F32558" s="2423"/>
    </row>
    <row r="32559" s="101" customFormat="1" spans="6:6">
      <c r="F32559" s="2423"/>
    </row>
    <row r="32560" s="101" customFormat="1" spans="6:6">
      <c r="F32560" s="2423"/>
    </row>
    <row r="32561" s="101" customFormat="1" spans="6:6">
      <c r="F32561" s="2423"/>
    </row>
    <row r="32562" s="101" customFormat="1" spans="6:6">
      <c r="F32562" s="2423"/>
    </row>
    <row r="32563" s="101" customFormat="1" spans="6:6">
      <c r="F32563" s="2423"/>
    </row>
    <row r="32564" s="101" customFormat="1" spans="6:6">
      <c r="F32564" s="2423"/>
    </row>
    <row r="32565" s="101" customFormat="1" spans="6:6">
      <c r="F32565" s="2423"/>
    </row>
    <row r="32566" s="101" customFormat="1" spans="6:6">
      <c r="F32566" s="2423"/>
    </row>
    <row r="32567" s="101" customFormat="1" spans="6:6">
      <c r="F32567" s="2423"/>
    </row>
    <row r="32568" s="101" customFormat="1" spans="6:6">
      <c r="F32568" s="2423"/>
    </row>
    <row r="32569" s="101" customFormat="1" spans="6:6">
      <c r="F32569" s="2423"/>
    </row>
    <row r="32570" s="101" customFormat="1" spans="6:6">
      <c r="F32570" s="2423"/>
    </row>
    <row r="32571" s="101" customFormat="1" spans="6:6">
      <c r="F32571" s="2423"/>
    </row>
    <row r="32572" s="101" customFormat="1" spans="6:6">
      <c r="F32572" s="2423"/>
    </row>
    <row r="32573" s="101" customFormat="1" spans="6:6">
      <c r="F32573" s="2423"/>
    </row>
    <row r="32574" s="101" customFormat="1" spans="6:6">
      <c r="F32574" s="2423"/>
    </row>
    <row r="32575" s="101" customFormat="1" spans="6:6">
      <c r="F32575" s="2423"/>
    </row>
    <row r="32576" s="101" customFormat="1" spans="6:6">
      <c r="F32576" s="2423"/>
    </row>
    <row r="32577" s="101" customFormat="1" spans="6:6">
      <c r="F32577" s="2423"/>
    </row>
    <row r="32578" s="101" customFormat="1" spans="6:6">
      <c r="F32578" s="2423"/>
    </row>
    <row r="32579" s="101" customFormat="1" spans="6:6">
      <c r="F32579" s="2423"/>
    </row>
    <row r="32580" s="101" customFormat="1" spans="6:6">
      <c r="F32580" s="2423"/>
    </row>
    <row r="32581" s="101" customFormat="1" spans="6:6">
      <c r="F32581" s="2423"/>
    </row>
    <row r="32582" s="101" customFormat="1" spans="6:6">
      <c r="F32582" s="2423"/>
    </row>
    <row r="32583" s="101" customFormat="1" spans="6:6">
      <c r="F32583" s="2423"/>
    </row>
    <row r="32584" s="101" customFormat="1" spans="6:6">
      <c r="F32584" s="2423"/>
    </row>
    <row r="32585" s="101" customFormat="1" spans="6:6">
      <c r="F32585" s="2423"/>
    </row>
    <row r="32586" s="101" customFormat="1" spans="6:6">
      <c r="F32586" s="2423"/>
    </row>
    <row r="32587" s="101" customFormat="1" spans="6:6">
      <c r="F32587" s="2423"/>
    </row>
    <row r="32588" s="101" customFormat="1" spans="6:6">
      <c r="F32588" s="2423"/>
    </row>
    <row r="32589" s="101" customFormat="1" spans="6:6">
      <c r="F32589" s="2423"/>
    </row>
    <row r="32590" s="101" customFormat="1" spans="6:6">
      <c r="F32590" s="2423"/>
    </row>
    <row r="32591" s="101" customFormat="1" spans="6:6">
      <c r="F32591" s="2423"/>
    </row>
    <row r="32592" s="101" customFormat="1" spans="6:6">
      <c r="F32592" s="2423"/>
    </row>
    <row r="32593" s="101" customFormat="1" spans="6:6">
      <c r="F32593" s="2423"/>
    </row>
    <row r="32594" s="101" customFormat="1" spans="6:6">
      <c r="F32594" s="2423"/>
    </row>
    <row r="32595" s="101" customFormat="1" spans="6:6">
      <c r="F32595" s="2423"/>
    </row>
    <row r="32596" s="101" customFormat="1" spans="6:6">
      <c r="F32596" s="2423"/>
    </row>
    <row r="32597" s="101" customFormat="1" spans="6:6">
      <c r="F32597" s="2423"/>
    </row>
    <row r="32598" s="101" customFormat="1" spans="6:6">
      <c r="F32598" s="2423"/>
    </row>
    <row r="32599" s="101" customFormat="1" spans="6:6">
      <c r="F32599" s="2423"/>
    </row>
    <row r="32600" s="101" customFormat="1" spans="6:6">
      <c r="F32600" s="2423"/>
    </row>
    <row r="32601" s="101" customFormat="1" spans="6:6">
      <c r="F32601" s="2423"/>
    </row>
    <row r="32602" s="101" customFormat="1" spans="6:6">
      <c r="F32602" s="2423"/>
    </row>
    <row r="32603" s="101" customFormat="1" spans="6:6">
      <c r="F32603" s="2423"/>
    </row>
    <row r="32604" s="101" customFormat="1" spans="6:6">
      <c r="F32604" s="2423"/>
    </row>
    <row r="32605" s="101" customFormat="1" spans="6:6">
      <c r="F32605" s="2423"/>
    </row>
    <row r="32606" s="101" customFormat="1" spans="6:6">
      <c r="F32606" s="2423"/>
    </row>
    <row r="32607" s="101" customFormat="1" spans="6:6">
      <c r="F32607" s="2423"/>
    </row>
    <row r="32608" s="101" customFormat="1" spans="6:6">
      <c r="F32608" s="2423"/>
    </row>
    <row r="32609" s="101" customFormat="1" spans="6:6">
      <c r="F32609" s="2423"/>
    </row>
    <row r="32610" s="101" customFormat="1" spans="6:6">
      <c r="F32610" s="2423"/>
    </row>
    <row r="32611" s="101" customFormat="1" spans="6:6">
      <c r="F32611" s="2423"/>
    </row>
    <row r="32612" s="101" customFormat="1" spans="6:6">
      <c r="F32612" s="2423"/>
    </row>
    <row r="32613" s="101" customFormat="1" spans="6:6">
      <c r="F32613" s="2423"/>
    </row>
    <row r="32614" s="101" customFormat="1" spans="6:6">
      <c r="F32614" s="2423"/>
    </row>
    <row r="32615" s="101" customFormat="1" spans="6:6">
      <c r="F32615" s="2423"/>
    </row>
    <row r="32616" s="101" customFormat="1" spans="6:6">
      <c r="F32616" s="2423"/>
    </row>
    <row r="32617" s="101" customFormat="1" spans="6:6">
      <c r="F32617" s="2423"/>
    </row>
    <row r="32618" s="101" customFormat="1" spans="6:6">
      <c r="F32618" s="2423"/>
    </row>
    <row r="32619" s="101" customFormat="1" spans="6:6">
      <c r="F32619" s="2423"/>
    </row>
    <row r="32620" s="101" customFormat="1" spans="6:6">
      <c r="F32620" s="2423"/>
    </row>
    <row r="32621" s="101" customFormat="1" spans="6:6">
      <c r="F32621" s="2423"/>
    </row>
    <row r="32622" s="101" customFormat="1" spans="6:6">
      <c r="F32622" s="2423"/>
    </row>
    <row r="32623" s="101" customFormat="1" spans="6:6">
      <c r="F32623" s="2423"/>
    </row>
    <row r="32624" s="101" customFormat="1" spans="6:6">
      <c r="F32624" s="2423"/>
    </row>
    <row r="32625" s="101" customFormat="1" spans="6:6">
      <c r="F32625" s="2423"/>
    </row>
    <row r="32626" s="101" customFormat="1" spans="6:6">
      <c r="F32626" s="2423"/>
    </row>
    <row r="32627" s="101" customFormat="1" spans="6:6">
      <c r="F32627" s="2423"/>
    </row>
    <row r="32628" s="101" customFormat="1" spans="6:6">
      <c r="F32628" s="2423"/>
    </row>
    <row r="32629" s="101" customFormat="1" spans="6:6">
      <c r="F32629" s="2423"/>
    </row>
    <row r="32630" s="101" customFormat="1" spans="6:6">
      <c r="F32630" s="2423"/>
    </row>
    <row r="32631" s="101" customFormat="1" spans="6:6">
      <c r="F32631" s="2423"/>
    </row>
    <row r="32632" s="101" customFormat="1" spans="6:6">
      <c r="F32632" s="2423"/>
    </row>
    <row r="32633" s="101" customFormat="1" spans="6:6">
      <c r="F32633" s="2423"/>
    </row>
    <row r="32634" s="101" customFormat="1" spans="6:6">
      <c r="F32634" s="2423"/>
    </row>
    <row r="32635" s="101" customFormat="1" spans="6:6">
      <c r="F32635" s="2423"/>
    </row>
    <row r="32636" s="101" customFormat="1" spans="6:6">
      <c r="F32636" s="2423"/>
    </row>
    <row r="32637" s="101" customFormat="1" spans="6:6">
      <c r="F32637" s="2423"/>
    </row>
    <row r="32638" s="101" customFormat="1" spans="6:6">
      <c r="F32638" s="2423"/>
    </row>
    <row r="32639" s="101" customFormat="1" spans="6:6">
      <c r="F32639" s="2423"/>
    </row>
    <row r="32640" s="101" customFormat="1" spans="6:6">
      <c r="F32640" s="2423"/>
    </row>
    <row r="32641" s="101" customFormat="1" spans="6:6">
      <c r="F32641" s="2423"/>
    </row>
    <row r="32642" s="101" customFormat="1" spans="6:6">
      <c r="F32642" s="2423"/>
    </row>
    <row r="32643" s="101" customFormat="1" spans="6:6">
      <c r="F32643" s="2423"/>
    </row>
    <row r="32644" s="101" customFormat="1" spans="6:6">
      <c r="F32644" s="2423"/>
    </row>
    <row r="32645" s="101" customFormat="1" spans="6:6">
      <c r="F32645" s="2423"/>
    </row>
    <row r="32646" s="101" customFormat="1" spans="6:6">
      <c r="F32646" s="2423"/>
    </row>
    <row r="32647" s="101" customFormat="1" spans="6:6">
      <c r="F32647" s="2423"/>
    </row>
    <row r="32648" s="101" customFormat="1" spans="6:6">
      <c r="F32648" s="2423"/>
    </row>
    <row r="32649" s="101" customFormat="1" spans="6:6">
      <c r="F32649" s="2423"/>
    </row>
    <row r="32650" s="101" customFormat="1" spans="6:6">
      <c r="F32650" s="2423"/>
    </row>
    <row r="32651" s="101" customFormat="1" spans="6:6">
      <c r="F32651" s="2423"/>
    </row>
    <row r="32652" s="101" customFormat="1" spans="6:6">
      <c r="F32652" s="2423"/>
    </row>
    <row r="32653" s="101" customFormat="1" spans="6:6">
      <c r="F32653" s="2423"/>
    </row>
    <row r="32654" s="101" customFormat="1" spans="6:6">
      <c r="F32654" s="2423"/>
    </row>
    <row r="32655" s="101" customFormat="1" spans="6:6">
      <c r="F32655" s="2423"/>
    </row>
    <row r="32656" s="101" customFormat="1" spans="6:6">
      <c r="F32656" s="2423"/>
    </row>
    <row r="32657" s="101" customFormat="1" spans="6:6">
      <c r="F32657" s="2423"/>
    </row>
    <row r="32658" s="101" customFormat="1" spans="6:6">
      <c r="F32658" s="2423"/>
    </row>
    <row r="32659" s="101" customFormat="1" spans="6:6">
      <c r="F32659" s="2423"/>
    </row>
    <row r="32660" s="101" customFormat="1" spans="6:6">
      <c r="F32660" s="2423"/>
    </row>
    <row r="32661" s="101" customFormat="1" spans="6:6">
      <c r="F32661" s="2423"/>
    </row>
    <row r="32662" s="101" customFormat="1" spans="6:6">
      <c r="F32662" s="2423"/>
    </row>
    <row r="32663" s="101" customFormat="1" spans="6:6">
      <c r="F32663" s="2423"/>
    </row>
    <row r="32664" s="101" customFormat="1" spans="6:6">
      <c r="F32664" s="2423"/>
    </row>
    <row r="32665" s="101" customFormat="1" spans="6:6">
      <c r="F32665" s="2423"/>
    </row>
    <row r="32666" s="101" customFormat="1" spans="6:6">
      <c r="F32666" s="2423"/>
    </row>
    <row r="32667" s="101" customFormat="1" spans="6:6">
      <c r="F32667" s="2423"/>
    </row>
    <row r="32668" s="101" customFormat="1" spans="6:6">
      <c r="F32668" s="2423"/>
    </row>
    <row r="32669" s="101" customFormat="1" spans="6:6">
      <c r="F32669" s="2423"/>
    </row>
    <row r="32670" s="101" customFormat="1" spans="6:6">
      <c r="F32670" s="2423"/>
    </row>
    <row r="32671" s="101" customFormat="1" spans="6:6">
      <c r="F32671" s="2423"/>
    </row>
    <row r="32672" s="101" customFormat="1" spans="6:6">
      <c r="F32672" s="2423"/>
    </row>
    <row r="32673" s="101" customFormat="1" spans="6:6">
      <c r="F32673" s="2423"/>
    </row>
    <row r="32674" s="101" customFormat="1" spans="6:6">
      <c r="F32674" s="2423"/>
    </row>
    <row r="32675" s="101" customFormat="1" spans="6:6">
      <c r="F32675" s="2423"/>
    </row>
    <row r="32676" s="101" customFormat="1" spans="6:6">
      <c r="F32676" s="2423"/>
    </row>
    <row r="32677" s="101" customFormat="1" spans="6:6">
      <c r="F32677" s="2423"/>
    </row>
    <row r="32678" s="101" customFormat="1" spans="6:6">
      <c r="F32678" s="2423"/>
    </row>
    <row r="32679" s="101" customFormat="1" spans="6:6">
      <c r="F32679" s="2423"/>
    </row>
    <row r="32680" s="101" customFormat="1" spans="6:6">
      <c r="F32680" s="2423"/>
    </row>
    <row r="32681" s="101" customFormat="1" spans="6:6">
      <c r="F32681" s="2423"/>
    </row>
    <row r="32682" s="101" customFormat="1" spans="6:6">
      <c r="F32682" s="2423"/>
    </row>
    <row r="32683" s="101" customFormat="1" spans="6:6">
      <c r="F32683" s="2423"/>
    </row>
    <row r="32684" s="101" customFormat="1" spans="6:6">
      <c r="F32684" s="2423"/>
    </row>
    <row r="32685" s="101" customFormat="1" spans="6:6">
      <c r="F32685" s="2423"/>
    </row>
    <row r="32686" s="101" customFormat="1" spans="6:6">
      <c r="F32686" s="2423"/>
    </row>
    <row r="32687" s="101" customFormat="1" spans="6:6">
      <c r="F32687" s="2423"/>
    </row>
    <row r="32688" s="101" customFormat="1" spans="6:6">
      <c r="F32688" s="2423"/>
    </row>
    <row r="32689" s="101" customFormat="1" spans="6:6">
      <c r="F32689" s="2423"/>
    </row>
    <row r="32690" s="101" customFormat="1" spans="6:6">
      <c r="F32690" s="2423"/>
    </row>
    <row r="32691" s="101" customFormat="1" spans="6:6">
      <c r="F32691" s="2423"/>
    </row>
    <row r="32692" s="101" customFormat="1" spans="6:6">
      <c r="F32692" s="2423"/>
    </row>
    <row r="32693" s="101" customFormat="1" spans="6:6">
      <c r="F32693" s="2423"/>
    </row>
    <row r="32694" s="101" customFormat="1" spans="6:6">
      <c r="F32694" s="2423"/>
    </row>
    <row r="32695" s="101" customFormat="1" spans="6:6">
      <c r="F32695" s="2423"/>
    </row>
    <row r="32696" s="101" customFormat="1" spans="6:6">
      <c r="F32696" s="2423"/>
    </row>
    <row r="32697" s="101" customFormat="1" spans="6:6">
      <c r="F32697" s="2423"/>
    </row>
    <row r="32698" s="101" customFormat="1" spans="6:6">
      <c r="F32698" s="2423"/>
    </row>
    <row r="32699" s="101" customFormat="1" spans="6:6">
      <c r="F32699" s="2423"/>
    </row>
    <row r="32700" s="101" customFormat="1" spans="6:6">
      <c r="F32700" s="2423"/>
    </row>
    <row r="32701" s="101" customFormat="1" spans="6:6">
      <c r="F32701" s="2423"/>
    </row>
    <row r="32702" s="101" customFormat="1" spans="6:6">
      <c r="F32702" s="2423"/>
    </row>
    <row r="32703" s="101" customFormat="1" spans="6:6">
      <c r="F32703" s="2423"/>
    </row>
    <row r="32704" s="101" customFormat="1" spans="6:6">
      <c r="F32704" s="2423"/>
    </row>
    <row r="32705" s="101" customFormat="1" spans="6:6">
      <c r="F32705" s="2423"/>
    </row>
    <row r="32706" s="101" customFormat="1" spans="6:6">
      <c r="F32706" s="2423"/>
    </row>
    <row r="32707" s="101" customFormat="1" spans="6:6">
      <c r="F32707" s="2423"/>
    </row>
    <row r="32708" s="101" customFormat="1" spans="6:6">
      <c r="F32708" s="2423"/>
    </row>
    <row r="32709" s="101" customFormat="1" spans="6:6">
      <c r="F32709" s="2423"/>
    </row>
    <row r="32710" s="101" customFormat="1" spans="6:6">
      <c r="F32710" s="2423"/>
    </row>
    <row r="32711" s="101" customFormat="1" spans="6:6">
      <c r="F32711" s="2423"/>
    </row>
    <row r="32712" s="101" customFormat="1" spans="6:6">
      <c r="F32712" s="2423"/>
    </row>
    <row r="32713" s="101" customFormat="1" spans="6:6">
      <c r="F32713" s="2423"/>
    </row>
    <row r="32714" s="101" customFormat="1" spans="6:6">
      <c r="F32714" s="2423"/>
    </row>
    <row r="32715" s="101" customFormat="1" spans="6:6">
      <c r="F32715" s="2423"/>
    </row>
    <row r="32716" s="101" customFormat="1" spans="6:6">
      <c r="F32716" s="2423"/>
    </row>
    <row r="32717" s="101" customFormat="1" spans="6:6">
      <c r="F32717" s="2423"/>
    </row>
    <row r="32718" s="101" customFormat="1" spans="6:6">
      <c r="F32718" s="2423"/>
    </row>
    <row r="32719" s="101" customFormat="1" spans="6:6">
      <c r="F32719" s="2423"/>
    </row>
    <row r="32720" s="101" customFormat="1" spans="6:6">
      <c r="F32720" s="2423"/>
    </row>
    <row r="32721" s="101" customFormat="1" spans="6:6">
      <c r="F32721" s="2423"/>
    </row>
    <row r="32722" s="101" customFormat="1" spans="6:6">
      <c r="F32722" s="2423"/>
    </row>
    <row r="32723" s="101" customFormat="1" spans="6:6">
      <c r="F32723" s="2423"/>
    </row>
    <row r="32724" s="101" customFormat="1" spans="6:6">
      <c r="F32724" s="2423"/>
    </row>
    <row r="32725" s="101" customFormat="1" spans="6:6">
      <c r="F32725" s="2423"/>
    </row>
    <row r="32726" s="101" customFormat="1" spans="6:6">
      <c r="F32726" s="2423"/>
    </row>
    <row r="32727" s="101" customFormat="1" spans="6:6">
      <c r="F32727" s="2423"/>
    </row>
    <row r="32728" s="101" customFormat="1" spans="6:6">
      <c r="F32728" s="2423"/>
    </row>
    <row r="32729" s="101" customFormat="1" spans="6:6">
      <c r="F32729" s="2423"/>
    </row>
    <row r="32730" s="101" customFormat="1" spans="6:6">
      <c r="F32730" s="2423"/>
    </row>
    <row r="32731" s="101" customFormat="1" spans="6:6">
      <c r="F32731" s="2423"/>
    </row>
    <row r="32732" s="101" customFormat="1" spans="6:6">
      <c r="F32732" s="2423"/>
    </row>
    <row r="32733" s="101" customFormat="1" spans="6:6">
      <c r="F32733" s="2423"/>
    </row>
    <row r="32734" s="101" customFormat="1" spans="6:6">
      <c r="F32734" s="2423"/>
    </row>
    <row r="32735" s="101" customFormat="1" spans="6:6">
      <c r="F32735" s="2423"/>
    </row>
    <row r="32736" s="101" customFormat="1" spans="6:6">
      <c r="F32736" s="2423"/>
    </row>
    <row r="32737" s="101" customFormat="1" spans="6:6">
      <c r="F32737" s="2423"/>
    </row>
    <row r="32738" s="101" customFormat="1" spans="6:6">
      <c r="F32738" s="2423"/>
    </row>
    <row r="32739" s="101" customFormat="1" spans="6:6">
      <c r="F32739" s="2423"/>
    </row>
    <row r="32740" s="101" customFormat="1" spans="6:6">
      <c r="F32740" s="2423"/>
    </row>
    <row r="32741" s="101" customFormat="1" spans="6:6">
      <c r="F32741" s="2423"/>
    </row>
    <row r="32742" s="101" customFormat="1" spans="6:6">
      <c r="F32742" s="2423"/>
    </row>
    <row r="32743" s="101" customFormat="1" spans="6:6">
      <c r="F32743" s="2423"/>
    </row>
    <row r="32744" s="101" customFormat="1" spans="6:6">
      <c r="F32744" s="2423"/>
    </row>
    <row r="32745" s="101" customFormat="1" spans="6:6">
      <c r="F32745" s="2423"/>
    </row>
    <row r="32746" s="101" customFormat="1" spans="6:6">
      <c r="F32746" s="2423"/>
    </row>
    <row r="32747" s="101" customFormat="1" spans="6:6">
      <c r="F32747" s="2423"/>
    </row>
    <row r="32748" s="101" customFormat="1" spans="6:6">
      <c r="F32748" s="2423"/>
    </row>
    <row r="32749" s="101" customFormat="1" spans="6:6">
      <c r="F32749" s="2423"/>
    </row>
    <row r="32750" s="101" customFormat="1" spans="6:6">
      <c r="F32750" s="2423"/>
    </row>
    <row r="32751" s="101" customFormat="1" spans="6:6">
      <c r="F32751" s="2423"/>
    </row>
    <row r="32752" s="101" customFormat="1" spans="6:6">
      <c r="F32752" s="2423"/>
    </row>
    <row r="32753" s="101" customFormat="1" spans="6:6">
      <c r="F32753" s="2423"/>
    </row>
    <row r="32754" s="101" customFormat="1" spans="6:6">
      <c r="F32754" s="2423"/>
    </row>
    <row r="32755" s="101" customFormat="1" spans="6:6">
      <c r="F32755" s="2423"/>
    </row>
    <row r="32756" s="101" customFormat="1" spans="6:6">
      <c r="F32756" s="2423"/>
    </row>
    <row r="32757" s="101" customFormat="1" spans="6:6">
      <c r="F32757" s="2423"/>
    </row>
    <row r="32758" s="101" customFormat="1" spans="6:6">
      <c r="F32758" s="2423"/>
    </row>
    <row r="32759" s="101" customFormat="1" spans="6:6">
      <c r="F32759" s="2423"/>
    </row>
    <row r="32760" s="101" customFormat="1" spans="6:6">
      <c r="F32760" s="2423"/>
    </row>
    <row r="32761" s="101" customFormat="1" spans="6:6">
      <c r="F32761" s="2423"/>
    </row>
    <row r="32762" s="101" customFormat="1" spans="6:6">
      <c r="F32762" s="2423"/>
    </row>
    <row r="32763" s="101" customFormat="1" spans="6:6">
      <c r="F32763" s="2423"/>
    </row>
    <row r="32764" s="101" customFormat="1" spans="6:6">
      <c r="F32764" s="2423"/>
    </row>
    <row r="32765" s="101" customFormat="1" spans="6:6">
      <c r="F32765" s="2423"/>
    </row>
    <row r="32766" s="101" customFormat="1" spans="6:6">
      <c r="F32766" s="2423"/>
    </row>
    <row r="32767" s="101" customFormat="1" spans="6:6">
      <c r="F32767" s="2423"/>
    </row>
    <row r="32768" s="101" customFormat="1" spans="6:6">
      <c r="F32768" s="2423"/>
    </row>
    <row r="32769" s="101" customFormat="1" spans="6:6">
      <c r="F32769" s="2423"/>
    </row>
    <row r="32770" s="101" customFormat="1" spans="6:6">
      <c r="F32770" s="2423"/>
    </row>
    <row r="32771" s="101" customFormat="1" spans="6:6">
      <c r="F32771" s="2423"/>
    </row>
    <row r="32772" s="101" customFormat="1" spans="6:6">
      <c r="F32772" s="2423"/>
    </row>
    <row r="32773" s="101" customFormat="1" spans="6:6">
      <c r="F32773" s="2423"/>
    </row>
    <row r="32774" s="101" customFormat="1" spans="6:6">
      <c r="F32774" s="2423"/>
    </row>
    <row r="32775" s="101" customFormat="1" spans="6:6">
      <c r="F32775" s="2423"/>
    </row>
    <row r="32776" s="101" customFormat="1" spans="6:6">
      <c r="F32776" s="2423"/>
    </row>
    <row r="32777" s="101" customFormat="1" spans="6:6">
      <c r="F32777" s="2423"/>
    </row>
    <row r="32778" s="101" customFormat="1" spans="6:6">
      <c r="F32778" s="2423"/>
    </row>
    <row r="32779" s="101" customFormat="1" spans="6:6">
      <c r="F32779" s="2423"/>
    </row>
    <row r="32780" s="101" customFormat="1" spans="6:6">
      <c r="F32780" s="2423"/>
    </row>
    <row r="32781" s="101" customFormat="1" spans="6:6">
      <c r="F32781" s="2423"/>
    </row>
    <row r="32782" s="101" customFormat="1" spans="6:6">
      <c r="F32782" s="2423"/>
    </row>
    <row r="32783" s="101" customFormat="1" spans="6:6">
      <c r="F32783" s="2423"/>
    </row>
    <row r="32784" s="101" customFormat="1" spans="6:6">
      <c r="F32784" s="2423"/>
    </row>
    <row r="32785" s="101" customFormat="1" spans="6:6">
      <c r="F32785" s="2423"/>
    </row>
    <row r="32786" s="101" customFormat="1" spans="6:6">
      <c r="F32786" s="2423"/>
    </row>
    <row r="32787" s="101" customFormat="1" spans="6:6">
      <c r="F32787" s="2423"/>
    </row>
    <row r="32788" s="101" customFormat="1" spans="6:6">
      <c r="F32788" s="2423"/>
    </row>
    <row r="32789" s="101" customFormat="1" spans="6:6">
      <c r="F32789" s="2423"/>
    </row>
    <row r="32790" s="101" customFormat="1" spans="6:6">
      <c r="F32790" s="2423"/>
    </row>
    <row r="32791" s="101" customFormat="1" spans="6:6">
      <c r="F32791" s="2423"/>
    </row>
    <row r="32792" s="101" customFormat="1" spans="6:6">
      <c r="F32792" s="2423"/>
    </row>
    <row r="32793" s="101" customFormat="1" spans="6:6">
      <c r="F32793" s="2423"/>
    </row>
    <row r="32794" s="101" customFormat="1" spans="6:6">
      <c r="F32794" s="2423"/>
    </row>
    <row r="32795" s="101" customFormat="1" spans="6:6">
      <c r="F32795" s="2423"/>
    </row>
    <row r="32796" s="101" customFormat="1" spans="6:6">
      <c r="F32796" s="2423"/>
    </row>
    <row r="32797" s="101" customFormat="1" spans="6:6">
      <c r="F32797" s="2423"/>
    </row>
    <row r="32798" s="101" customFormat="1" spans="6:6">
      <c r="F32798" s="2423"/>
    </row>
    <row r="32799" s="101" customFormat="1" spans="6:6">
      <c r="F32799" s="2423"/>
    </row>
    <row r="32800" s="101" customFormat="1" spans="6:6">
      <c r="F32800" s="2423"/>
    </row>
    <row r="32801" s="101" customFormat="1" spans="6:6">
      <c r="F32801" s="2423"/>
    </row>
    <row r="32802" s="101" customFormat="1" spans="6:6">
      <c r="F32802" s="2423"/>
    </row>
    <row r="32803" s="101" customFormat="1" spans="6:6">
      <c r="F32803" s="2423"/>
    </row>
    <row r="32804" s="101" customFormat="1" spans="6:6">
      <c r="F32804" s="2423"/>
    </row>
    <row r="32805" s="101" customFormat="1" spans="6:6">
      <c r="F32805" s="2423"/>
    </row>
    <row r="32806" s="101" customFormat="1" spans="6:6">
      <c r="F32806" s="2423"/>
    </row>
    <row r="32807" s="101" customFormat="1" spans="6:6">
      <c r="F32807" s="2423"/>
    </row>
    <row r="32808" s="101" customFormat="1" spans="6:6">
      <c r="F32808" s="2423"/>
    </row>
    <row r="32809" s="101" customFormat="1" spans="6:6">
      <c r="F32809" s="2423"/>
    </row>
    <row r="32810" s="101" customFormat="1" spans="6:6">
      <c r="F32810" s="2423"/>
    </row>
    <row r="32811" s="101" customFormat="1" spans="6:6">
      <c r="F32811" s="2423"/>
    </row>
    <row r="32812" s="101" customFormat="1" spans="6:6">
      <c r="F32812" s="2423"/>
    </row>
    <row r="32813" s="101" customFormat="1" spans="6:6">
      <c r="F32813" s="2423"/>
    </row>
    <row r="32814" s="101" customFormat="1" spans="6:6">
      <c r="F32814" s="2423"/>
    </row>
    <row r="32815" s="101" customFormat="1" spans="6:6">
      <c r="F32815" s="2423"/>
    </row>
    <row r="32816" s="101" customFormat="1" spans="6:6">
      <c r="F32816" s="2423"/>
    </row>
    <row r="32817" s="101" customFormat="1" spans="6:6">
      <c r="F32817" s="2423"/>
    </row>
    <row r="32818" s="101" customFormat="1" spans="6:6">
      <c r="F32818" s="2423"/>
    </row>
    <row r="32819" s="101" customFormat="1" spans="6:6">
      <c r="F32819" s="2423"/>
    </row>
    <row r="32820" s="101" customFormat="1" spans="6:6">
      <c r="F32820" s="2423"/>
    </row>
    <row r="32821" s="101" customFormat="1" spans="6:6">
      <c r="F32821" s="2423"/>
    </row>
    <row r="32822" s="101" customFormat="1" spans="6:6">
      <c r="F32822" s="2423"/>
    </row>
    <row r="32823" s="101" customFormat="1" spans="6:6">
      <c r="F32823" s="2423"/>
    </row>
    <row r="32824" s="101" customFormat="1" spans="6:6">
      <c r="F32824" s="2423"/>
    </row>
    <row r="32825" s="101" customFormat="1" spans="6:6">
      <c r="F32825" s="2423"/>
    </row>
    <row r="32826" s="101" customFormat="1" spans="6:6">
      <c r="F32826" s="2423"/>
    </row>
    <row r="32827" s="101" customFormat="1" spans="6:6">
      <c r="F32827" s="2423"/>
    </row>
    <row r="32828" s="101" customFormat="1" spans="6:6">
      <c r="F32828" s="2423"/>
    </row>
    <row r="32829" s="101" customFormat="1" spans="6:6">
      <c r="F32829" s="2423"/>
    </row>
    <row r="32830" s="101" customFormat="1" spans="6:6">
      <c r="F32830" s="2423"/>
    </row>
    <row r="32831" s="101" customFormat="1" spans="6:6">
      <c r="F32831" s="2423"/>
    </row>
    <row r="32832" s="101" customFormat="1" spans="6:6">
      <c r="F32832" s="2423"/>
    </row>
    <row r="32833" s="101" customFormat="1" spans="6:6">
      <c r="F32833" s="2423"/>
    </row>
    <row r="32834" s="101" customFormat="1" spans="6:6">
      <c r="F32834" s="2423"/>
    </row>
    <row r="32835" s="101" customFormat="1" spans="6:6">
      <c r="F32835" s="2423"/>
    </row>
    <row r="32836" s="101" customFormat="1" spans="6:6">
      <c r="F32836" s="2423"/>
    </row>
    <row r="32837" s="101" customFormat="1" spans="6:6">
      <c r="F32837" s="2423"/>
    </row>
    <row r="32838" s="101" customFormat="1" spans="6:6">
      <c r="F32838" s="2423"/>
    </row>
    <row r="32839" s="101" customFormat="1" spans="6:6">
      <c r="F32839" s="2423"/>
    </row>
    <row r="32840" s="101" customFormat="1" spans="6:6">
      <c r="F32840" s="2423"/>
    </row>
    <row r="32841" s="101" customFormat="1" spans="6:6">
      <c r="F32841" s="2423"/>
    </row>
    <row r="32842" s="101" customFormat="1" spans="6:6">
      <c r="F32842" s="2423"/>
    </row>
    <row r="32843" s="101" customFormat="1" spans="6:6">
      <c r="F32843" s="2423"/>
    </row>
    <row r="32844" s="101" customFormat="1" spans="6:6">
      <c r="F32844" s="2423"/>
    </row>
    <row r="32845" s="101" customFormat="1" spans="6:6">
      <c r="F32845" s="2423"/>
    </row>
    <row r="32846" s="101" customFormat="1" spans="6:6">
      <c r="F32846" s="2423"/>
    </row>
    <row r="32847" s="101" customFormat="1" spans="6:6">
      <c r="F32847" s="2423"/>
    </row>
    <row r="32848" s="101" customFormat="1" spans="6:6">
      <c r="F32848" s="2423"/>
    </row>
    <row r="32849" s="101" customFormat="1" spans="6:6">
      <c r="F32849" s="2423"/>
    </row>
    <row r="32850" s="101" customFormat="1" spans="6:6">
      <c r="F32850" s="2423"/>
    </row>
    <row r="32851" s="101" customFormat="1" spans="6:6">
      <c r="F32851" s="2423"/>
    </row>
    <row r="32852" s="101" customFormat="1" spans="6:6">
      <c r="F32852" s="2423"/>
    </row>
    <row r="32853" s="101" customFormat="1" spans="6:6">
      <c r="F32853" s="2423"/>
    </row>
    <row r="32854" s="101" customFormat="1" spans="6:6">
      <c r="F32854" s="2423"/>
    </row>
    <row r="32855" s="101" customFormat="1" spans="6:6">
      <c r="F32855" s="2423"/>
    </row>
    <row r="32856" s="101" customFormat="1" spans="6:6">
      <c r="F32856" s="2423"/>
    </row>
    <row r="32857" s="101" customFormat="1" spans="6:6">
      <c r="F32857" s="2423"/>
    </row>
    <row r="32858" s="101" customFormat="1" spans="6:6">
      <c r="F32858" s="2423"/>
    </row>
    <row r="32859" s="101" customFormat="1" spans="6:6">
      <c r="F32859" s="2423"/>
    </row>
    <row r="32860" s="101" customFormat="1" spans="6:6">
      <c r="F32860" s="2423"/>
    </row>
    <row r="32861" s="101" customFormat="1" spans="6:6">
      <c r="F32861" s="2423"/>
    </row>
    <row r="32862" s="101" customFormat="1" spans="6:6">
      <c r="F32862" s="2423"/>
    </row>
    <row r="32863" s="101" customFormat="1" spans="6:6">
      <c r="F32863" s="2423"/>
    </row>
    <row r="32864" s="101" customFormat="1" spans="6:6">
      <c r="F32864" s="2423"/>
    </row>
    <row r="32865" s="101" customFormat="1" spans="6:6">
      <c r="F32865" s="2423"/>
    </row>
    <row r="32866" s="101" customFormat="1" spans="6:6">
      <c r="F32866" s="2423"/>
    </row>
    <row r="32867" s="101" customFormat="1" spans="6:6">
      <c r="F32867" s="2423"/>
    </row>
    <row r="32868" s="101" customFormat="1" spans="6:6">
      <c r="F32868" s="2423"/>
    </row>
    <row r="32869" s="101" customFormat="1" spans="6:6">
      <c r="F32869" s="2423"/>
    </row>
    <row r="32870" s="101" customFormat="1" spans="6:6">
      <c r="F32870" s="2423"/>
    </row>
    <row r="32871" s="101" customFormat="1" spans="6:6">
      <c r="F32871" s="2423"/>
    </row>
    <row r="32872" s="101" customFormat="1" spans="6:6">
      <c r="F32872" s="2423"/>
    </row>
    <row r="32873" s="101" customFormat="1" spans="6:6">
      <c r="F32873" s="2423"/>
    </row>
    <row r="32874" s="101" customFormat="1" spans="6:6">
      <c r="F32874" s="2423"/>
    </row>
    <row r="32875" s="101" customFormat="1" spans="6:6">
      <c r="F32875" s="2423"/>
    </row>
    <row r="32876" s="101" customFormat="1" spans="6:6">
      <c r="F32876" s="2423"/>
    </row>
    <row r="32877" s="101" customFormat="1" spans="6:6">
      <c r="F32877" s="2423"/>
    </row>
    <row r="32878" s="101" customFormat="1" spans="6:6">
      <c r="F32878" s="2423"/>
    </row>
    <row r="32879" s="101" customFormat="1" spans="6:6">
      <c r="F32879" s="2423"/>
    </row>
    <row r="32880" s="101" customFormat="1" spans="6:6">
      <c r="F32880" s="2423"/>
    </row>
    <row r="32881" s="101" customFormat="1" spans="6:6">
      <c r="F32881" s="2423"/>
    </row>
    <row r="32882" s="101" customFormat="1" spans="6:6">
      <c r="F32882" s="2423"/>
    </row>
    <row r="32883" s="101" customFormat="1" spans="6:6">
      <c r="F32883" s="2423"/>
    </row>
    <row r="32884" s="101" customFormat="1" spans="6:6">
      <c r="F32884" s="2423"/>
    </row>
    <row r="32885" s="101" customFormat="1" spans="6:6">
      <c r="F32885" s="2423"/>
    </row>
    <row r="32886" s="101" customFormat="1" spans="6:6">
      <c r="F32886" s="2423"/>
    </row>
    <row r="32887" s="101" customFormat="1" spans="6:6">
      <c r="F32887" s="2423"/>
    </row>
    <row r="32888" s="101" customFormat="1" spans="6:6">
      <c r="F32888" s="2423"/>
    </row>
    <row r="32889" s="101" customFormat="1" spans="6:6">
      <c r="F32889" s="2423"/>
    </row>
    <row r="32890" s="101" customFormat="1" spans="6:6">
      <c r="F32890" s="2423"/>
    </row>
    <row r="32891" s="101" customFormat="1" spans="6:6">
      <c r="F32891" s="2423"/>
    </row>
    <row r="32892" s="101" customFormat="1" spans="6:6">
      <c r="F32892" s="2423"/>
    </row>
    <row r="32893" s="101" customFormat="1" spans="6:6">
      <c r="F32893" s="2423"/>
    </row>
    <row r="32894" s="101" customFormat="1" spans="6:6">
      <c r="F32894" s="2423"/>
    </row>
    <row r="32895" s="101" customFormat="1" spans="6:6">
      <c r="F32895" s="2423"/>
    </row>
    <row r="32896" s="101" customFormat="1" spans="6:6">
      <c r="F32896" s="2423"/>
    </row>
    <row r="32897" s="101" customFormat="1" spans="6:6">
      <c r="F32897" s="2423"/>
    </row>
    <row r="32898" s="101" customFormat="1" spans="6:6">
      <c r="F32898" s="2423"/>
    </row>
    <row r="32899" s="101" customFormat="1" spans="6:6">
      <c r="F32899" s="2423"/>
    </row>
    <row r="32900" s="101" customFormat="1" spans="6:6">
      <c r="F32900" s="2423"/>
    </row>
    <row r="32901" s="101" customFormat="1" spans="6:6">
      <c r="F32901" s="2423"/>
    </row>
    <row r="32902" s="101" customFormat="1" spans="6:6">
      <c r="F32902" s="2423"/>
    </row>
    <row r="32903" s="101" customFormat="1" spans="6:6">
      <c r="F32903" s="2423"/>
    </row>
    <row r="32904" s="101" customFormat="1" spans="6:6">
      <c r="F32904" s="2423"/>
    </row>
    <row r="32905" s="101" customFormat="1" spans="6:6">
      <c r="F32905" s="2423"/>
    </row>
    <row r="32906" s="101" customFormat="1" spans="6:6">
      <c r="F32906" s="2423"/>
    </row>
    <row r="32907" s="101" customFormat="1" spans="6:6">
      <c r="F32907" s="2423"/>
    </row>
    <row r="32908" s="101" customFormat="1" spans="6:6">
      <c r="F32908" s="2423"/>
    </row>
    <row r="32909" s="101" customFormat="1" spans="6:6">
      <c r="F32909" s="2423"/>
    </row>
    <row r="32910" s="101" customFormat="1" spans="6:6">
      <c r="F32910" s="2423"/>
    </row>
    <row r="32911" s="101" customFormat="1" spans="6:6">
      <c r="F32911" s="2423"/>
    </row>
    <row r="32912" s="101" customFormat="1" spans="6:6">
      <c r="F32912" s="2423"/>
    </row>
    <row r="32913" s="101" customFormat="1" spans="6:6">
      <c r="F32913" s="2423"/>
    </row>
    <row r="32914" s="101" customFormat="1" spans="6:6">
      <c r="F32914" s="2423"/>
    </row>
    <row r="32915" s="101" customFormat="1" spans="6:6">
      <c r="F32915" s="2423"/>
    </row>
    <row r="32916" s="101" customFormat="1" spans="6:6">
      <c r="F32916" s="2423"/>
    </row>
    <row r="32917" s="101" customFormat="1" spans="6:6">
      <c r="F32917" s="2423"/>
    </row>
    <row r="32918" s="101" customFormat="1" spans="6:6">
      <c r="F32918" s="2423"/>
    </row>
    <row r="32919" s="101" customFormat="1" spans="6:6">
      <c r="F32919" s="2423"/>
    </row>
    <row r="32920" s="101" customFormat="1" spans="6:6">
      <c r="F32920" s="2423"/>
    </row>
    <row r="32921" s="101" customFormat="1" spans="6:6">
      <c r="F32921" s="2423"/>
    </row>
    <row r="32922" s="101" customFormat="1" spans="6:6">
      <c r="F32922" s="2423"/>
    </row>
    <row r="32923" s="101" customFormat="1" spans="6:6">
      <c r="F32923" s="2423"/>
    </row>
    <row r="32924" s="101" customFormat="1" spans="6:6">
      <c r="F32924" s="2423"/>
    </row>
    <row r="32925" s="101" customFormat="1" spans="6:6">
      <c r="F32925" s="2423"/>
    </row>
    <row r="32926" s="101" customFormat="1" spans="6:6">
      <c r="F32926" s="2423"/>
    </row>
    <row r="32927" s="101" customFormat="1" spans="6:6">
      <c r="F32927" s="2423"/>
    </row>
    <row r="32928" s="101" customFormat="1" spans="6:6">
      <c r="F32928" s="2423"/>
    </row>
    <row r="32929" s="101" customFormat="1" spans="6:6">
      <c r="F32929" s="2423"/>
    </row>
    <row r="32930" s="101" customFormat="1" spans="6:6">
      <c r="F32930" s="2423"/>
    </row>
    <row r="32931" s="101" customFormat="1" spans="6:6">
      <c r="F32931" s="2423"/>
    </row>
    <row r="32932" s="101" customFormat="1" spans="6:6">
      <c r="F32932" s="2423"/>
    </row>
    <row r="32933" s="101" customFormat="1" spans="6:6">
      <c r="F32933" s="2423"/>
    </row>
    <row r="32934" s="101" customFormat="1" spans="6:6">
      <c r="F32934" s="2423"/>
    </row>
    <row r="32935" s="101" customFormat="1" spans="6:6">
      <c r="F32935" s="2423"/>
    </row>
    <row r="32936" s="101" customFormat="1" spans="6:6">
      <c r="F32936" s="2423"/>
    </row>
    <row r="32937" s="101" customFormat="1" spans="6:6">
      <c r="F32937" s="2423"/>
    </row>
    <row r="32938" s="101" customFormat="1" spans="6:6">
      <c r="F32938" s="2423"/>
    </row>
    <row r="32939" s="101" customFormat="1" spans="6:6">
      <c r="F32939" s="2423"/>
    </row>
    <row r="32940" s="101" customFormat="1" spans="6:6">
      <c r="F32940" s="2423"/>
    </row>
    <row r="32941" s="101" customFormat="1" spans="6:6">
      <c r="F32941" s="2423"/>
    </row>
    <row r="32942" s="101" customFormat="1" spans="6:6">
      <c r="F32942" s="2423"/>
    </row>
    <row r="32943" s="101" customFormat="1" spans="6:6">
      <c r="F32943" s="2423"/>
    </row>
    <row r="32944" s="101" customFormat="1" spans="6:6">
      <c r="F32944" s="2423"/>
    </row>
    <row r="32945" s="101" customFormat="1" spans="6:6">
      <c r="F32945" s="2423"/>
    </row>
    <row r="32946" s="101" customFormat="1" spans="6:6">
      <c r="F32946" s="2423"/>
    </row>
    <row r="32947" s="101" customFormat="1" spans="6:6">
      <c r="F32947" s="2423"/>
    </row>
    <row r="32948" s="101" customFormat="1" spans="6:6">
      <c r="F32948" s="2423"/>
    </row>
    <row r="32949" s="101" customFormat="1" spans="6:6">
      <c r="F32949" s="2423"/>
    </row>
    <row r="32950" s="101" customFormat="1" spans="6:6">
      <c r="F32950" s="2423"/>
    </row>
    <row r="32951" s="101" customFormat="1" spans="6:6">
      <c r="F32951" s="2423"/>
    </row>
    <row r="32952" s="101" customFormat="1" spans="6:6">
      <c r="F32952" s="2423"/>
    </row>
    <row r="32953" s="101" customFormat="1" spans="6:6">
      <c r="F32953" s="2423"/>
    </row>
    <row r="32954" s="101" customFormat="1" spans="6:6">
      <c r="F32954" s="2423"/>
    </row>
    <row r="32955" s="101" customFormat="1" spans="6:6">
      <c r="F32955" s="2423"/>
    </row>
    <row r="32956" s="101" customFormat="1" spans="6:6">
      <c r="F32956" s="2423"/>
    </row>
    <row r="32957" s="101" customFormat="1" spans="6:6">
      <c r="F32957" s="2423"/>
    </row>
    <row r="32958" s="101" customFormat="1" spans="6:6">
      <c r="F32958" s="2423"/>
    </row>
    <row r="32959" s="101" customFormat="1" spans="6:6">
      <c r="F32959" s="2423"/>
    </row>
    <row r="32960" s="101" customFormat="1" spans="6:6">
      <c r="F32960" s="2423"/>
    </row>
    <row r="32961" s="101" customFormat="1" spans="6:6">
      <c r="F32961" s="2423"/>
    </row>
    <row r="32962" s="101" customFormat="1" spans="6:6">
      <c r="F32962" s="2423"/>
    </row>
    <row r="32963" s="101" customFormat="1" spans="6:6">
      <c r="F32963" s="2423"/>
    </row>
    <row r="32964" s="101" customFormat="1" spans="6:6">
      <c r="F32964" s="2423"/>
    </row>
    <row r="32965" s="101" customFormat="1" spans="6:6">
      <c r="F32965" s="2423"/>
    </row>
    <row r="32966" s="101" customFormat="1" spans="6:6">
      <c r="F32966" s="2423"/>
    </row>
    <row r="32967" s="101" customFormat="1" spans="6:6">
      <c r="F32967" s="2423"/>
    </row>
    <row r="32968" s="101" customFormat="1" spans="6:6">
      <c r="F32968" s="2423"/>
    </row>
    <row r="32969" s="101" customFormat="1" spans="6:6">
      <c r="F32969" s="2423"/>
    </row>
    <row r="32970" s="101" customFormat="1" spans="6:6">
      <c r="F32970" s="2423"/>
    </row>
    <row r="32971" s="101" customFormat="1" spans="6:6">
      <c r="F32971" s="2423"/>
    </row>
    <row r="32972" s="101" customFormat="1" spans="6:6">
      <c r="F32972" s="2423"/>
    </row>
    <row r="32973" s="101" customFormat="1" spans="6:6">
      <c r="F32973" s="2423"/>
    </row>
    <row r="32974" s="101" customFormat="1" spans="6:6">
      <c r="F32974" s="2423"/>
    </row>
    <row r="32975" s="101" customFormat="1" spans="6:6">
      <c r="F32975" s="2423"/>
    </row>
    <row r="32976" s="101" customFormat="1" spans="6:6">
      <c r="F32976" s="2423"/>
    </row>
    <row r="32977" s="101" customFormat="1" spans="6:6">
      <c r="F32977" s="2423"/>
    </row>
    <row r="32978" s="101" customFormat="1" spans="6:6">
      <c r="F32978" s="2423"/>
    </row>
    <row r="32979" s="101" customFormat="1" spans="6:6">
      <c r="F32979" s="2423"/>
    </row>
    <row r="32980" s="101" customFormat="1" spans="6:6">
      <c r="F32980" s="2423"/>
    </row>
    <row r="32981" s="101" customFormat="1" spans="6:6">
      <c r="F32981" s="2423"/>
    </row>
    <row r="32982" s="101" customFormat="1" spans="6:6">
      <c r="F32982" s="2423"/>
    </row>
    <row r="32983" s="101" customFormat="1" spans="6:6">
      <c r="F32983" s="2423"/>
    </row>
    <row r="32984" s="101" customFormat="1" spans="6:6">
      <c r="F32984" s="2423"/>
    </row>
    <row r="32985" s="101" customFormat="1" spans="6:6">
      <c r="F32985" s="2423"/>
    </row>
    <row r="32986" s="101" customFormat="1" spans="6:6">
      <c r="F32986" s="2423"/>
    </row>
    <row r="32987" s="101" customFormat="1" spans="6:6">
      <c r="F32987" s="2423"/>
    </row>
    <row r="32988" s="101" customFormat="1" spans="6:6">
      <c r="F32988" s="2423"/>
    </row>
    <row r="32989" s="101" customFormat="1" spans="6:6">
      <c r="F32989" s="2423"/>
    </row>
    <row r="32990" s="101" customFormat="1" spans="6:6">
      <c r="F32990" s="2423"/>
    </row>
    <row r="32991" s="101" customFormat="1" spans="6:6">
      <c r="F32991" s="2423"/>
    </row>
    <row r="32992" s="101" customFormat="1" spans="6:6">
      <c r="F32992" s="2423"/>
    </row>
    <row r="32993" s="101" customFormat="1" spans="6:6">
      <c r="F32993" s="2423"/>
    </row>
    <row r="32994" s="101" customFormat="1" spans="6:6">
      <c r="F32994" s="2423"/>
    </row>
    <row r="32995" s="101" customFormat="1" spans="6:6">
      <c r="F32995" s="2423"/>
    </row>
    <row r="32996" s="101" customFormat="1" spans="6:6">
      <c r="F32996" s="2423"/>
    </row>
    <row r="32997" s="101" customFormat="1" spans="6:6">
      <c r="F32997" s="2423"/>
    </row>
    <row r="32998" s="101" customFormat="1" spans="6:6">
      <c r="F32998" s="2423"/>
    </row>
    <row r="32999" s="101" customFormat="1" spans="6:6">
      <c r="F32999" s="2423"/>
    </row>
    <row r="33000" s="101" customFormat="1" spans="6:6">
      <c r="F33000" s="2423"/>
    </row>
    <row r="33001" s="101" customFormat="1" spans="6:6">
      <c r="F33001" s="2423"/>
    </row>
    <row r="33002" s="101" customFormat="1" spans="6:6">
      <c r="F33002" s="2423"/>
    </row>
    <row r="33003" s="101" customFormat="1" spans="6:6">
      <c r="F33003" s="2423"/>
    </row>
    <row r="33004" s="101" customFormat="1" spans="6:6">
      <c r="F33004" s="2423"/>
    </row>
    <row r="33005" s="101" customFormat="1" spans="6:6">
      <c r="F33005" s="2423"/>
    </row>
    <row r="33006" s="101" customFormat="1" spans="6:6">
      <c r="F33006" s="2423"/>
    </row>
    <row r="33007" s="101" customFormat="1" spans="6:6">
      <c r="F33007" s="2423"/>
    </row>
    <row r="33008" s="101" customFormat="1" spans="6:6">
      <c r="F33008" s="2423"/>
    </row>
    <row r="33009" s="101" customFormat="1" spans="6:6">
      <c r="F33009" s="2423"/>
    </row>
    <row r="33010" s="101" customFormat="1" spans="6:6">
      <c r="F33010" s="2423"/>
    </row>
    <row r="33011" s="101" customFormat="1" spans="6:6">
      <c r="F33011" s="2423"/>
    </row>
    <row r="33012" s="101" customFormat="1" spans="6:6">
      <c r="F33012" s="2423"/>
    </row>
    <row r="33013" s="101" customFormat="1" spans="6:6">
      <c r="F33013" s="2423"/>
    </row>
    <row r="33014" s="101" customFormat="1" spans="6:6">
      <c r="F33014" s="2423"/>
    </row>
    <row r="33015" s="101" customFormat="1" spans="6:6">
      <c r="F33015" s="2423"/>
    </row>
    <row r="33016" s="101" customFormat="1" spans="6:6">
      <c r="F33016" s="2423"/>
    </row>
    <row r="33017" s="101" customFormat="1" spans="6:6">
      <c r="F33017" s="2423"/>
    </row>
    <row r="33018" s="101" customFormat="1" spans="6:6">
      <c r="F33018" s="2423"/>
    </row>
    <row r="33019" s="101" customFormat="1" spans="6:6">
      <c r="F33019" s="2423"/>
    </row>
    <row r="33020" s="101" customFormat="1" spans="6:6">
      <c r="F33020" s="2423"/>
    </row>
    <row r="33021" s="101" customFormat="1" spans="6:6">
      <c r="F33021" s="2423"/>
    </row>
    <row r="33022" s="101" customFormat="1" spans="6:6">
      <c r="F33022" s="2423"/>
    </row>
    <row r="33023" s="101" customFormat="1" spans="6:6">
      <c r="F33023" s="2423"/>
    </row>
    <row r="33024" s="101" customFormat="1" spans="6:6">
      <c r="F33024" s="2423"/>
    </row>
    <row r="33025" s="101" customFormat="1" spans="6:6">
      <c r="F33025" s="2423"/>
    </row>
    <row r="33026" s="101" customFormat="1" spans="6:6">
      <c r="F33026" s="2423"/>
    </row>
    <row r="33027" s="101" customFormat="1" spans="6:6">
      <c r="F33027" s="2423"/>
    </row>
    <row r="33028" s="101" customFormat="1" spans="6:6">
      <c r="F33028" s="2423"/>
    </row>
    <row r="33029" s="101" customFormat="1" spans="6:6">
      <c r="F33029" s="2423"/>
    </row>
    <row r="33030" s="101" customFormat="1" spans="6:6">
      <c r="F33030" s="2423"/>
    </row>
    <row r="33031" s="101" customFormat="1" spans="6:6">
      <c r="F33031" s="2423"/>
    </row>
    <row r="33032" s="101" customFormat="1" spans="6:6">
      <c r="F33032" s="2423"/>
    </row>
    <row r="33033" s="101" customFormat="1" spans="6:6">
      <c r="F33033" s="2423"/>
    </row>
    <row r="33034" s="101" customFormat="1" spans="6:6">
      <c r="F33034" s="2423"/>
    </row>
    <row r="33035" s="101" customFormat="1" spans="6:6">
      <c r="F33035" s="2423"/>
    </row>
    <row r="33036" s="101" customFormat="1" spans="6:6">
      <c r="F33036" s="2423"/>
    </row>
    <row r="33037" s="101" customFormat="1" spans="6:6">
      <c r="F33037" s="2423"/>
    </row>
    <row r="33038" s="101" customFormat="1" spans="6:6">
      <c r="F33038" s="2423"/>
    </row>
    <row r="33039" s="101" customFormat="1" spans="6:6">
      <c r="F33039" s="2423"/>
    </row>
    <row r="33040" s="101" customFormat="1" spans="6:6">
      <c r="F33040" s="2423"/>
    </row>
    <row r="33041" s="101" customFormat="1" spans="6:6">
      <c r="F33041" s="2423"/>
    </row>
    <row r="33042" s="101" customFormat="1" spans="6:6">
      <c r="F33042" s="2423"/>
    </row>
    <row r="33043" s="101" customFormat="1" spans="6:6">
      <c r="F33043" s="2423"/>
    </row>
    <row r="33044" s="101" customFormat="1" spans="6:6">
      <c r="F33044" s="2423"/>
    </row>
    <row r="33045" s="101" customFormat="1" spans="6:6">
      <c r="F33045" s="2423"/>
    </row>
    <row r="33046" s="101" customFormat="1" spans="6:6">
      <c r="F33046" s="2423"/>
    </row>
    <row r="33047" s="101" customFormat="1" spans="6:6">
      <c r="F33047" s="2423"/>
    </row>
    <row r="33048" s="101" customFormat="1" spans="6:6">
      <c r="F33048" s="2423"/>
    </row>
    <row r="33049" s="101" customFormat="1" spans="6:6">
      <c r="F33049" s="2423"/>
    </row>
    <row r="33050" s="101" customFormat="1" spans="6:6">
      <c r="F33050" s="2423"/>
    </row>
    <row r="33051" s="101" customFormat="1" spans="6:6">
      <c r="F33051" s="2423"/>
    </row>
    <row r="33052" s="101" customFormat="1" spans="6:6">
      <c r="F33052" s="2423"/>
    </row>
    <row r="33053" s="101" customFormat="1" spans="6:6">
      <c r="F33053" s="2423"/>
    </row>
    <row r="33054" s="101" customFormat="1" spans="6:6">
      <c r="F33054" s="2423"/>
    </row>
    <row r="33055" s="101" customFormat="1" spans="6:6">
      <c r="F33055" s="2423"/>
    </row>
    <row r="33056" s="101" customFormat="1" spans="6:6">
      <c r="F33056" s="2423"/>
    </row>
    <row r="33057" s="101" customFormat="1" spans="6:6">
      <c r="F33057" s="2423"/>
    </row>
    <row r="33058" s="101" customFormat="1" spans="6:6">
      <c r="F33058" s="2423"/>
    </row>
    <row r="33059" s="101" customFormat="1" spans="6:6">
      <c r="F33059" s="2423"/>
    </row>
    <row r="33060" s="101" customFormat="1" spans="6:6">
      <c r="F33060" s="2423"/>
    </row>
    <row r="33061" s="101" customFormat="1" spans="6:6">
      <c r="F33061" s="2423"/>
    </row>
    <row r="33062" s="101" customFormat="1" spans="6:6">
      <c r="F33062" s="2423"/>
    </row>
    <row r="33063" s="101" customFormat="1" spans="6:6">
      <c r="F33063" s="2423"/>
    </row>
    <row r="33064" s="101" customFormat="1" spans="6:6">
      <c r="F33064" s="2423"/>
    </row>
    <row r="33065" s="101" customFormat="1" spans="6:6">
      <c r="F33065" s="2423"/>
    </row>
    <row r="33066" s="101" customFormat="1" spans="6:6">
      <c r="F33066" s="2423"/>
    </row>
    <row r="33067" s="101" customFormat="1" spans="6:6">
      <c r="F33067" s="2423"/>
    </row>
    <row r="33068" s="101" customFormat="1" spans="6:6">
      <c r="F33068" s="2423"/>
    </row>
    <row r="33069" s="101" customFormat="1" spans="6:6">
      <c r="F33069" s="2423"/>
    </row>
    <row r="33070" s="101" customFormat="1" spans="6:6">
      <c r="F33070" s="2423"/>
    </row>
    <row r="33071" s="101" customFormat="1" spans="6:6">
      <c r="F33071" s="2423"/>
    </row>
    <row r="33072" s="101" customFormat="1" spans="6:6">
      <c r="F33072" s="2423"/>
    </row>
    <row r="33073" s="101" customFormat="1" spans="6:6">
      <c r="F33073" s="2423"/>
    </row>
    <row r="33074" s="101" customFormat="1" spans="6:6">
      <c r="F33074" s="2423"/>
    </row>
    <row r="33075" s="101" customFormat="1" spans="6:6">
      <c r="F33075" s="2423"/>
    </row>
    <row r="33076" s="101" customFormat="1" spans="6:6">
      <c r="F33076" s="2423"/>
    </row>
    <row r="33077" s="101" customFormat="1" spans="6:6">
      <c r="F33077" s="2423"/>
    </row>
    <row r="33078" s="101" customFormat="1" spans="6:6">
      <c r="F33078" s="2423"/>
    </row>
    <row r="33079" s="101" customFormat="1" spans="6:6">
      <c r="F33079" s="2423"/>
    </row>
    <row r="33080" s="101" customFormat="1" spans="6:6">
      <c r="F33080" s="2423"/>
    </row>
    <row r="33081" s="101" customFormat="1" spans="6:6">
      <c r="F33081" s="2423"/>
    </row>
    <row r="33082" s="101" customFormat="1" spans="6:6">
      <c r="F33082" s="2423"/>
    </row>
    <row r="33083" s="101" customFormat="1" spans="6:6">
      <c r="F33083" s="2423"/>
    </row>
    <row r="33084" s="101" customFormat="1" spans="6:6">
      <c r="F33084" s="2423"/>
    </row>
    <row r="33085" s="101" customFormat="1" spans="6:6">
      <c r="F33085" s="2423"/>
    </row>
    <row r="33086" s="101" customFormat="1" spans="6:6">
      <c r="F33086" s="2423"/>
    </row>
    <row r="33087" s="101" customFormat="1" spans="6:6">
      <c r="F33087" s="2423"/>
    </row>
    <row r="33088" s="101" customFormat="1" spans="6:6">
      <c r="F33088" s="2423"/>
    </row>
    <row r="33089" s="101" customFormat="1" spans="6:6">
      <c r="F33089" s="2423"/>
    </row>
    <row r="33090" s="101" customFormat="1" spans="6:6">
      <c r="F33090" s="2423"/>
    </row>
    <row r="33091" s="101" customFormat="1" spans="6:6">
      <c r="F33091" s="2423"/>
    </row>
    <row r="33092" s="101" customFormat="1" spans="6:6">
      <c r="F33092" s="2423"/>
    </row>
    <row r="33093" s="101" customFormat="1" spans="6:6">
      <c r="F33093" s="2423"/>
    </row>
    <row r="33094" s="101" customFormat="1" spans="6:6">
      <c r="F33094" s="2423"/>
    </row>
    <row r="33095" s="101" customFormat="1" spans="6:6">
      <c r="F33095" s="2423"/>
    </row>
    <row r="33096" s="101" customFormat="1" spans="6:6">
      <c r="F33096" s="2423"/>
    </row>
    <row r="33097" s="101" customFormat="1" spans="6:6">
      <c r="F33097" s="2423"/>
    </row>
    <row r="33098" s="101" customFormat="1" spans="6:6">
      <c r="F33098" s="2423"/>
    </row>
    <row r="33099" s="101" customFormat="1" spans="6:6">
      <c r="F33099" s="2423"/>
    </row>
    <row r="33100" s="101" customFormat="1" spans="6:6">
      <c r="F33100" s="2423"/>
    </row>
    <row r="33101" s="101" customFormat="1" spans="6:6">
      <c r="F33101" s="2423"/>
    </row>
    <row r="33102" s="101" customFormat="1" spans="6:6">
      <c r="F33102" s="2423"/>
    </row>
    <row r="33103" s="101" customFormat="1" spans="6:6">
      <c r="F33103" s="2423"/>
    </row>
    <row r="33104" s="101" customFormat="1" spans="6:6">
      <c r="F33104" s="2423"/>
    </row>
    <row r="33105" s="101" customFormat="1" spans="6:6">
      <c r="F33105" s="2423"/>
    </row>
    <row r="33106" s="101" customFormat="1" spans="6:6">
      <c r="F33106" s="2423"/>
    </row>
    <row r="33107" s="101" customFormat="1" spans="6:6">
      <c r="F33107" s="2423"/>
    </row>
    <row r="33108" s="101" customFormat="1" spans="6:6">
      <c r="F33108" s="2423"/>
    </row>
    <row r="33109" s="101" customFormat="1" spans="6:6">
      <c r="F33109" s="2423"/>
    </row>
    <row r="33110" s="101" customFormat="1" spans="6:6">
      <c r="F33110" s="2423"/>
    </row>
    <row r="33111" s="101" customFormat="1" spans="6:6">
      <c r="F33111" s="2423"/>
    </row>
    <row r="33112" s="101" customFormat="1" spans="6:6">
      <c r="F33112" s="2423"/>
    </row>
    <row r="33113" s="101" customFormat="1" spans="6:6">
      <c r="F33113" s="2423"/>
    </row>
    <row r="33114" s="101" customFormat="1" spans="6:6">
      <c r="F33114" s="2423"/>
    </row>
    <row r="33115" s="101" customFormat="1" spans="6:6">
      <c r="F33115" s="2423"/>
    </row>
    <row r="33116" s="101" customFormat="1" spans="6:6">
      <c r="F33116" s="2423"/>
    </row>
    <row r="33117" s="101" customFormat="1" spans="6:6">
      <c r="F33117" s="2423"/>
    </row>
    <row r="33118" s="101" customFormat="1" spans="6:6">
      <c r="F33118" s="2423"/>
    </row>
    <row r="33119" s="101" customFormat="1" spans="6:6">
      <c r="F33119" s="2423"/>
    </row>
    <row r="33120" s="101" customFormat="1" spans="6:6">
      <c r="F33120" s="2423"/>
    </row>
    <row r="33121" s="101" customFormat="1" spans="6:6">
      <c r="F33121" s="2423"/>
    </row>
    <row r="33122" s="101" customFormat="1" spans="6:6">
      <c r="F33122" s="2423"/>
    </row>
    <row r="33123" s="101" customFormat="1" spans="6:6">
      <c r="F33123" s="2423"/>
    </row>
    <row r="33124" s="101" customFormat="1" spans="6:6">
      <c r="F33124" s="2423"/>
    </row>
    <row r="33125" s="101" customFormat="1" spans="6:6">
      <c r="F33125" s="2423"/>
    </row>
    <row r="33126" s="101" customFormat="1" spans="6:6">
      <c r="F33126" s="2423"/>
    </row>
    <row r="33127" s="101" customFormat="1" spans="6:6">
      <c r="F33127" s="2423"/>
    </row>
    <row r="33128" s="101" customFormat="1" spans="6:6">
      <c r="F33128" s="2423"/>
    </row>
    <row r="33129" s="101" customFormat="1" spans="6:6">
      <c r="F33129" s="2423"/>
    </row>
    <row r="33130" s="101" customFormat="1" spans="6:6">
      <c r="F33130" s="2423"/>
    </row>
    <row r="33131" s="101" customFormat="1" spans="6:6">
      <c r="F33131" s="2423"/>
    </row>
    <row r="33132" s="101" customFormat="1" spans="6:6">
      <c r="F33132" s="2423"/>
    </row>
    <row r="33133" s="101" customFormat="1" spans="6:6">
      <c r="F33133" s="2423"/>
    </row>
    <row r="33134" s="101" customFormat="1" spans="6:6">
      <c r="F33134" s="2423"/>
    </row>
    <row r="33135" s="101" customFormat="1" spans="6:6">
      <c r="F33135" s="2423"/>
    </row>
    <row r="33136" s="101" customFormat="1" spans="6:6">
      <c r="F33136" s="2423"/>
    </row>
    <row r="33137" s="101" customFormat="1" spans="6:6">
      <c r="F33137" s="2423"/>
    </row>
    <row r="33138" s="101" customFormat="1" spans="6:6">
      <c r="F33138" s="2423"/>
    </row>
    <row r="33139" s="101" customFormat="1" spans="6:6">
      <c r="F33139" s="2423"/>
    </row>
    <row r="33140" s="101" customFormat="1" spans="6:6">
      <c r="F33140" s="2423"/>
    </row>
    <row r="33141" s="101" customFormat="1" spans="6:6">
      <c r="F33141" s="2423"/>
    </row>
    <row r="33142" s="101" customFormat="1" spans="6:6">
      <c r="F33142" s="2423"/>
    </row>
    <row r="33143" s="101" customFormat="1" spans="6:6">
      <c r="F33143" s="2423"/>
    </row>
    <row r="33144" s="101" customFormat="1" spans="6:6">
      <c r="F33144" s="2423"/>
    </row>
    <row r="33145" s="101" customFormat="1" spans="6:6">
      <c r="F33145" s="2423"/>
    </row>
    <row r="33146" s="101" customFormat="1" spans="6:6">
      <c r="F33146" s="2423"/>
    </row>
    <row r="33147" s="101" customFormat="1" spans="6:6">
      <c r="F33147" s="2423"/>
    </row>
    <row r="33148" s="101" customFormat="1" spans="6:6">
      <c r="F33148" s="2423"/>
    </row>
    <row r="33149" s="101" customFormat="1" spans="6:6">
      <c r="F33149" s="2423"/>
    </row>
    <row r="33150" s="101" customFormat="1" spans="6:6">
      <c r="F33150" s="2423"/>
    </row>
    <row r="33151" s="101" customFormat="1" spans="6:6">
      <c r="F33151" s="2423"/>
    </row>
    <row r="33152" s="101" customFormat="1" spans="6:6">
      <c r="F33152" s="2423"/>
    </row>
    <row r="33153" s="101" customFormat="1" spans="6:6">
      <c r="F33153" s="2423"/>
    </row>
    <row r="33154" s="101" customFormat="1" spans="6:6">
      <c r="F33154" s="2423"/>
    </row>
    <row r="33155" s="101" customFormat="1" spans="6:6">
      <c r="F33155" s="2423"/>
    </row>
    <row r="33156" s="101" customFormat="1" spans="6:6">
      <c r="F33156" s="2423"/>
    </row>
    <row r="33157" s="101" customFormat="1" spans="6:6">
      <c r="F33157" s="2423"/>
    </row>
    <row r="33158" s="101" customFormat="1" spans="6:6">
      <c r="F33158" s="2423"/>
    </row>
    <row r="33159" s="101" customFormat="1" spans="6:6">
      <c r="F33159" s="2423"/>
    </row>
    <row r="33160" s="101" customFormat="1" spans="6:6">
      <c r="F33160" s="2423"/>
    </row>
    <row r="33161" s="101" customFormat="1" spans="6:6">
      <c r="F33161" s="2423"/>
    </row>
    <row r="33162" s="101" customFormat="1" spans="6:6">
      <c r="F33162" s="2423"/>
    </row>
    <row r="33163" s="101" customFormat="1" spans="6:6">
      <c r="F33163" s="2423"/>
    </row>
    <row r="33164" s="101" customFormat="1" spans="6:6">
      <c r="F33164" s="2423"/>
    </row>
    <row r="33165" s="101" customFormat="1" spans="6:6">
      <c r="F33165" s="2423"/>
    </row>
    <row r="33166" s="101" customFormat="1" spans="6:6">
      <c r="F33166" s="2423"/>
    </row>
    <row r="33167" s="101" customFormat="1" spans="6:6">
      <c r="F33167" s="2423"/>
    </row>
    <row r="33168" s="101" customFormat="1" spans="6:6">
      <c r="F33168" s="2423"/>
    </row>
    <row r="33169" s="101" customFormat="1" spans="6:6">
      <c r="F33169" s="2423"/>
    </row>
    <row r="33170" s="101" customFormat="1" spans="6:6">
      <c r="F33170" s="2423"/>
    </row>
    <row r="33171" s="101" customFormat="1" spans="6:6">
      <c r="F33171" s="2423"/>
    </row>
    <row r="33172" s="101" customFormat="1" spans="6:6">
      <c r="F33172" s="2423"/>
    </row>
    <row r="33173" s="101" customFormat="1" spans="6:6">
      <c r="F33173" s="2423"/>
    </row>
    <row r="33174" s="101" customFormat="1" spans="6:6">
      <c r="F33174" s="2423"/>
    </row>
    <row r="33175" s="101" customFormat="1" spans="6:6">
      <c r="F33175" s="2423"/>
    </row>
    <row r="33176" s="101" customFormat="1" spans="6:6">
      <c r="F33176" s="2423"/>
    </row>
    <row r="33177" s="101" customFormat="1" spans="6:6">
      <c r="F33177" s="2423"/>
    </row>
    <row r="33178" s="101" customFormat="1" spans="6:6">
      <c r="F33178" s="2423"/>
    </row>
    <row r="33179" s="101" customFormat="1" spans="6:6">
      <c r="F33179" s="2423"/>
    </row>
    <row r="33180" s="101" customFormat="1" spans="6:6">
      <c r="F33180" s="2423"/>
    </row>
    <row r="33181" s="101" customFormat="1" spans="6:6">
      <c r="F33181" s="2423"/>
    </row>
    <row r="33182" s="101" customFormat="1" spans="6:6">
      <c r="F33182" s="2423"/>
    </row>
    <row r="33183" s="101" customFormat="1" spans="6:6">
      <c r="F33183" s="2423"/>
    </row>
    <row r="33184" s="101" customFormat="1" spans="6:6">
      <c r="F33184" s="2423"/>
    </row>
    <row r="33185" s="101" customFormat="1" spans="6:6">
      <c r="F33185" s="2423"/>
    </row>
    <row r="33186" s="101" customFormat="1" spans="6:6">
      <c r="F33186" s="2423"/>
    </row>
    <row r="33187" s="101" customFormat="1" spans="6:6">
      <c r="F33187" s="2423"/>
    </row>
    <row r="33188" s="101" customFormat="1" spans="6:6">
      <c r="F33188" s="2423"/>
    </row>
    <row r="33189" s="101" customFormat="1" spans="6:6">
      <c r="F33189" s="2423"/>
    </row>
    <row r="33190" s="101" customFormat="1" spans="6:6">
      <c r="F33190" s="2423"/>
    </row>
    <row r="33191" s="101" customFormat="1" spans="6:6">
      <c r="F33191" s="2423"/>
    </row>
    <row r="33192" s="101" customFormat="1" spans="6:6">
      <c r="F33192" s="2423"/>
    </row>
    <row r="33193" s="101" customFormat="1" spans="6:6">
      <c r="F33193" s="2423"/>
    </row>
    <row r="33194" s="101" customFormat="1" spans="6:6">
      <c r="F33194" s="2423"/>
    </row>
    <row r="33195" s="101" customFormat="1" spans="6:6">
      <c r="F33195" s="2423"/>
    </row>
    <row r="33196" s="101" customFormat="1" spans="6:6">
      <c r="F33196" s="2423"/>
    </row>
    <row r="33197" s="101" customFormat="1" spans="6:6">
      <c r="F33197" s="2423"/>
    </row>
    <row r="33198" s="101" customFormat="1" spans="6:6">
      <c r="F33198" s="2423"/>
    </row>
    <row r="33199" s="101" customFormat="1" spans="6:6">
      <c r="F33199" s="2423"/>
    </row>
    <row r="33200" s="101" customFormat="1" spans="6:6">
      <c r="F33200" s="2423"/>
    </row>
    <row r="33201" s="101" customFormat="1" spans="6:6">
      <c r="F33201" s="2423"/>
    </row>
    <row r="33202" s="101" customFormat="1" spans="6:6">
      <c r="F33202" s="2423"/>
    </row>
    <row r="33203" s="101" customFormat="1" spans="6:6">
      <c r="F33203" s="2423"/>
    </row>
    <row r="33204" s="101" customFormat="1" spans="6:6">
      <c r="F33204" s="2423"/>
    </row>
    <row r="33205" s="101" customFormat="1" spans="6:6">
      <c r="F33205" s="2423"/>
    </row>
    <row r="33206" s="101" customFormat="1" spans="6:6">
      <c r="F33206" s="2423"/>
    </row>
    <row r="33207" s="101" customFormat="1" spans="6:6">
      <c r="F33207" s="2423"/>
    </row>
    <row r="33208" s="101" customFormat="1" spans="6:6">
      <c r="F33208" s="2423"/>
    </row>
    <row r="33209" s="101" customFormat="1" spans="6:6">
      <c r="F33209" s="2423"/>
    </row>
    <row r="33210" s="101" customFormat="1" spans="6:6">
      <c r="F33210" s="2423"/>
    </row>
    <row r="33211" s="101" customFormat="1" spans="6:6">
      <c r="F33211" s="2423"/>
    </row>
    <row r="33212" s="101" customFormat="1" spans="6:6">
      <c r="F33212" s="2423"/>
    </row>
    <row r="33213" s="101" customFormat="1" spans="6:6">
      <c r="F33213" s="2423"/>
    </row>
    <row r="33214" s="101" customFormat="1" spans="6:6">
      <c r="F33214" s="2423"/>
    </row>
    <row r="33215" s="101" customFormat="1" spans="6:6">
      <c r="F33215" s="2423"/>
    </row>
    <row r="33216" s="101" customFormat="1" spans="6:6">
      <c r="F33216" s="2423"/>
    </row>
    <row r="33217" s="101" customFormat="1" spans="6:6">
      <c r="F33217" s="2423"/>
    </row>
    <row r="33218" s="101" customFormat="1" spans="6:6">
      <c r="F33218" s="2423"/>
    </row>
    <row r="33219" s="101" customFormat="1" spans="6:6">
      <c r="F33219" s="2423"/>
    </row>
    <row r="33220" s="101" customFormat="1" spans="6:6">
      <c r="F33220" s="2423"/>
    </row>
    <row r="33221" s="101" customFormat="1" spans="6:6">
      <c r="F33221" s="2423"/>
    </row>
    <row r="33222" s="101" customFormat="1" spans="6:6">
      <c r="F33222" s="2423"/>
    </row>
    <row r="33223" s="101" customFormat="1" spans="6:6">
      <c r="F33223" s="2423"/>
    </row>
    <row r="33224" s="101" customFormat="1" spans="6:6">
      <c r="F33224" s="2423"/>
    </row>
    <row r="33225" s="101" customFormat="1" spans="6:6">
      <c r="F33225" s="2423"/>
    </row>
    <row r="33226" s="101" customFormat="1" spans="6:6">
      <c r="F33226" s="2423"/>
    </row>
    <row r="33227" s="101" customFormat="1" spans="6:6">
      <c r="F33227" s="2423"/>
    </row>
    <row r="33228" s="101" customFormat="1" spans="6:6">
      <c r="F33228" s="2423"/>
    </row>
    <row r="33229" s="101" customFormat="1" spans="6:6">
      <c r="F33229" s="2423"/>
    </row>
    <row r="33230" s="101" customFormat="1" spans="6:6">
      <c r="F33230" s="2423"/>
    </row>
    <row r="33231" s="101" customFormat="1" spans="6:6">
      <c r="F33231" s="2423"/>
    </row>
    <row r="33232" s="101" customFormat="1" spans="6:6">
      <c r="F33232" s="2423"/>
    </row>
    <row r="33233" s="101" customFormat="1" spans="6:6">
      <c r="F33233" s="2423"/>
    </row>
    <row r="33234" s="101" customFormat="1" spans="6:6">
      <c r="F33234" s="2423"/>
    </row>
    <row r="33235" s="101" customFormat="1" spans="6:6">
      <c r="F33235" s="2423"/>
    </row>
    <row r="33236" s="101" customFormat="1" spans="6:6">
      <c r="F33236" s="2423"/>
    </row>
    <row r="33237" s="101" customFormat="1" spans="6:6">
      <c r="F33237" s="2423"/>
    </row>
    <row r="33238" s="101" customFormat="1" spans="6:6">
      <c r="F33238" s="2423"/>
    </row>
    <row r="33239" s="101" customFormat="1" spans="6:6">
      <c r="F33239" s="2423"/>
    </row>
    <row r="33240" s="101" customFormat="1" spans="6:6">
      <c r="F33240" s="2423"/>
    </row>
    <row r="33241" s="101" customFormat="1" spans="6:6">
      <c r="F33241" s="2423"/>
    </row>
    <row r="33242" s="101" customFormat="1" spans="6:6">
      <c r="F33242" s="2423"/>
    </row>
    <row r="33243" s="101" customFormat="1" spans="6:6">
      <c r="F33243" s="2423"/>
    </row>
    <row r="33244" s="101" customFormat="1" spans="6:6">
      <c r="F33244" s="2423"/>
    </row>
    <row r="33245" s="101" customFormat="1" spans="6:6">
      <c r="F33245" s="2423"/>
    </row>
    <row r="33246" s="101" customFormat="1" spans="6:6">
      <c r="F33246" s="2423"/>
    </row>
    <row r="33247" s="101" customFormat="1" spans="6:6">
      <c r="F33247" s="2423"/>
    </row>
    <row r="33248" s="101" customFormat="1" spans="6:6">
      <c r="F33248" s="2423"/>
    </row>
    <row r="33249" s="101" customFormat="1" spans="6:6">
      <c r="F33249" s="2423"/>
    </row>
    <row r="33250" s="101" customFormat="1" spans="6:6">
      <c r="F33250" s="2423"/>
    </row>
    <row r="33251" s="101" customFormat="1" spans="6:6">
      <c r="F33251" s="2423"/>
    </row>
    <row r="33252" s="101" customFormat="1" spans="6:6">
      <c r="F33252" s="2423"/>
    </row>
    <row r="33253" s="101" customFormat="1" spans="6:6">
      <c r="F33253" s="2423"/>
    </row>
    <row r="33254" s="101" customFormat="1" spans="6:6">
      <c r="F33254" s="2423"/>
    </row>
    <row r="33255" s="101" customFormat="1" spans="6:6">
      <c r="F33255" s="2423"/>
    </row>
    <row r="33256" s="101" customFormat="1" spans="6:6">
      <c r="F33256" s="2423"/>
    </row>
    <row r="33257" s="101" customFormat="1" spans="6:6">
      <c r="F33257" s="2423"/>
    </row>
    <row r="33258" s="101" customFormat="1" spans="6:6">
      <c r="F33258" s="2423"/>
    </row>
    <row r="33259" s="101" customFormat="1" spans="6:6">
      <c r="F33259" s="2423"/>
    </row>
    <row r="33260" s="101" customFormat="1" spans="6:6">
      <c r="F33260" s="2423"/>
    </row>
    <row r="33261" s="101" customFormat="1" spans="6:6">
      <c r="F33261" s="2423"/>
    </row>
    <row r="33262" s="101" customFormat="1" spans="6:6">
      <c r="F33262" s="2423"/>
    </row>
    <row r="33263" s="101" customFormat="1" spans="6:6">
      <c r="F33263" s="2423"/>
    </row>
    <row r="33264" s="101" customFormat="1" spans="6:6">
      <c r="F33264" s="2423"/>
    </row>
    <row r="33265" s="101" customFormat="1" spans="6:6">
      <c r="F33265" s="2423"/>
    </row>
    <row r="33266" s="101" customFormat="1" spans="6:6">
      <c r="F33266" s="2423"/>
    </row>
    <row r="33267" s="101" customFormat="1" spans="6:6">
      <c r="F33267" s="2423"/>
    </row>
    <row r="33268" s="101" customFormat="1" spans="6:6">
      <c r="F33268" s="2423"/>
    </row>
    <row r="33269" s="101" customFormat="1" spans="6:6">
      <c r="F33269" s="2423"/>
    </row>
    <row r="33270" s="101" customFormat="1" spans="6:6">
      <c r="F33270" s="2423"/>
    </row>
    <row r="33271" s="101" customFormat="1" spans="6:6">
      <c r="F33271" s="2423"/>
    </row>
    <row r="33272" s="101" customFormat="1" spans="6:6">
      <c r="F33272" s="2423"/>
    </row>
    <row r="33273" s="101" customFormat="1" spans="6:6">
      <c r="F33273" s="2423"/>
    </row>
    <row r="33274" s="101" customFormat="1" spans="6:6">
      <c r="F33274" s="2423"/>
    </row>
    <row r="33275" s="101" customFormat="1" spans="6:6">
      <c r="F33275" s="2423"/>
    </row>
    <row r="33276" s="101" customFormat="1" spans="6:6">
      <c r="F33276" s="2423"/>
    </row>
    <row r="33277" s="101" customFormat="1" spans="6:6">
      <c r="F33277" s="2423"/>
    </row>
    <row r="33278" s="101" customFormat="1" spans="6:6">
      <c r="F33278" s="2423"/>
    </row>
    <row r="33279" s="101" customFormat="1" spans="6:6">
      <c r="F33279" s="2423"/>
    </row>
    <row r="33280" s="101" customFormat="1" spans="6:6">
      <c r="F33280" s="2423"/>
    </row>
    <row r="33281" s="101" customFormat="1" spans="6:6">
      <c r="F33281" s="2423"/>
    </row>
    <row r="33282" s="101" customFormat="1" spans="6:6">
      <c r="F33282" s="2423"/>
    </row>
    <row r="33283" s="101" customFormat="1" spans="6:6">
      <c r="F33283" s="2423"/>
    </row>
    <row r="33284" s="101" customFormat="1" spans="6:6">
      <c r="F33284" s="2423"/>
    </row>
    <row r="33285" s="101" customFormat="1" spans="6:6">
      <c r="F33285" s="2423"/>
    </row>
    <row r="33286" s="101" customFormat="1" spans="6:6">
      <c r="F33286" s="2423"/>
    </row>
    <row r="33287" s="101" customFormat="1" spans="6:6">
      <c r="F33287" s="2423"/>
    </row>
    <row r="33288" s="101" customFormat="1" spans="6:6">
      <c r="F33288" s="2423"/>
    </row>
    <row r="33289" s="101" customFormat="1" spans="6:6">
      <c r="F33289" s="2423"/>
    </row>
    <row r="33290" s="101" customFormat="1" spans="6:6">
      <c r="F33290" s="2423"/>
    </row>
    <row r="33291" s="101" customFormat="1" spans="6:6">
      <c r="F33291" s="2423"/>
    </row>
    <row r="33292" s="101" customFormat="1" spans="6:6">
      <c r="F33292" s="2423"/>
    </row>
    <row r="33293" s="101" customFormat="1" spans="6:6">
      <c r="F33293" s="2423"/>
    </row>
    <row r="33294" s="101" customFormat="1" spans="6:6">
      <c r="F33294" s="2423"/>
    </row>
    <row r="33295" s="101" customFormat="1" spans="6:6">
      <c r="F33295" s="2423"/>
    </row>
    <row r="33296" s="101" customFormat="1" spans="6:6">
      <c r="F33296" s="2423"/>
    </row>
    <row r="33297" s="101" customFormat="1" spans="6:6">
      <c r="F33297" s="2423"/>
    </row>
    <row r="33298" s="101" customFormat="1" spans="6:6">
      <c r="F33298" s="2423"/>
    </row>
    <row r="33299" s="101" customFormat="1" spans="6:6">
      <c r="F33299" s="2423"/>
    </row>
    <row r="33300" s="101" customFormat="1" spans="6:6">
      <c r="F33300" s="2423"/>
    </row>
    <row r="33301" s="101" customFormat="1" spans="6:6">
      <c r="F33301" s="2423"/>
    </row>
    <row r="33302" s="101" customFormat="1" spans="6:6">
      <c r="F33302" s="2423"/>
    </row>
    <row r="33303" s="101" customFormat="1" spans="6:6">
      <c r="F33303" s="2423"/>
    </row>
    <row r="33304" s="101" customFormat="1" spans="6:6">
      <c r="F33304" s="2423"/>
    </row>
    <row r="33305" s="101" customFormat="1" spans="6:6">
      <c r="F33305" s="2423"/>
    </row>
    <row r="33306" s="101" customFormat="1" spans="6:6">
      <c r="F33306" s="2423"/>
    </row>
    <row r="33307" s="101" customFormat="1" spans="6:6">
      <c r="F33307" s="2423"/>
    </row>
    <row r="33308" s="101" customFormat="1" spans="6:6">
      <c r="F33308" s="2423"/>
    </row>
    <row r="33309" s="101" customFormat="1" spans="6:6">
      <c r="F33309" s="2423"/>
    </row>
    <row r="33310" s="101" customFormat="1" spans="6:6">
      <c r="F33310" s="2423"/>
    </row>
    <row r="33311" s="101" customFormat="1" spans="6:6">
      <c r="F33311" s="2423"/>
    </row>
    <row r="33312" s="101" customFormat="1" spans="6:6">
      <c r="F33312" s="2423"/>
    </row>
    <row r="33313" s="101" customFormat="1" spans="6:6">
      <c r="F33313" s="2423"/>
    </row>
    <row r="33314" s="101" customFormat="1" spans="6:6">
      <c r="F33314" s="2423"/>
    </row>
    <row r="33315" s="101" customFormat="1" spans="6:6">
      <c r="F33315" s="2423"/>
    </row>
    <row r="33316" s="101" customFormat="1" spans="6:6">
      <c r="F33316" s="2423"/>
    </row>
    <row r="33317" s="101" customFormat="1" spans="6:6">
      <c r="F33317" s="2423"/>
    </row>
    <row r="33318" s="101" customFormat="1" spans="6:6">
      <c r="F33318" s="2423"/>
    </row>
    <row r="33319" s="101" customFormat="1" spans="6:6">
      <c r="F33319" s="2423"/>
    </row>
    <row r="33320" s="101" customFormat="1" spans="6:6">
      <c r="F33320" s="2423"/>
    </row>
    <row r="33321" s="101" customFormat="1" spans="6:6">
      <c r="F33321" s="2423"/>
    </row>
    <row r="33322" s="101" customFormat="1" spans="6:6">
      <c r="F33322" s="2423"/>
    </row>
    <row r="33323" s="101" customFormat="1" spans="6:6">
      <c r="F33323" s="2423"/>
    </row>
    <row r="33324" s="101" customFormat="1" spans="6:6">
      <c r="F33324" s="2423"/>
    </row>
    <row r="33325" s="101" customFormat="1" spans="6:6">
      <c r="F33325" s="2423"/>
    </row>
    <row r="33326" s="101" customFormat="1" spans="6:6">
      <c r="F33326" s="2423"/>
    </row>
    <row r="33327" s="101" customFormat="1" spans="6:6">
      <c r="F33327" s="2423"/>
    </row>
    <row r="33328" s="101" customFormat="1" spans="6:6">
      <c r="F33328" s="2423"/>
    </row>
    <row r="33329" s="101" customFormat="1" spans="6:6">
      <c r="F33329" s="2423"/>
    </row>
    <row r="33330" s="101" customFormat="1" spans="6:6">
      <c r="F33330" s="2423"/>
    </row>
    <row r="33331" s="101" customFormat="1" spans="6:6">
      <c r="F33331" s="2423"/>
    </row>
    <row r="33332" s="101" customFormat="1" spans="6:6">
      <c r="F33332" s="2423"/>
    </row>
    <row r="33333" s="101" customFormat="1" spans="6:6">
      <c r="F33333" s="2423"/>
    </row>
    <row r="33334" s="101" customFormat="1" spans="6:6">
      <c r="F33334" s="2423"/>
    </row>
    <row r="33335" s="101" customFormat="1" spans="6:6">
      <c r="F33335" s="2423"/>
    </row>
    <row r="33336" s="101" customFormat="1" spans="6:6">
      <c r="F33336" s="2423"/>
    </row>
    <row r="33337" s="101" customFormat="1" spans="6:6">
      <c r="F33337" s="2423"/>
    </row>
    <row r="33338" s="101" customFormat="1" spans="6:6">
      <c r="F33338" s="2423"/>
    </row>
    <row r="33339" s="101" customFormat="1" spans="6:6">
      <c r="F33339" s="2423"/>
    </row>
    <row r="33340" s="101" customFormat="1" spans="6:6">
      <c r="F33340" s="2423"/>
    </row>
    <row r="33341" s="101" customFormat="1" spans="6:6">
      <c r="F33341" s="2423"/>
    </row>
    <row r="33342" s="101" customFormat="1" spans="6:6">
      <c r="F33342" s="2423"/>
    </row>
    <row r="33343" s="101" customFormat="1" spans="6:6">
      <c r="F33343" s="2423"/>
    </row>
    <row r="33344" s="101" customFormat="1" spans="6:6">
      <c r="F33344" s="2423"/>
    </row>
    <row r="33345" s="101" customFormat="1" spans="6:6">
      <c r="F33345" s="2423"/>
    </row>
    <row r="33346" s="101" customFormat="1" spans="6:6">
      <c r="F33346" s="2423"/>
    </row>
    <row r="33347" s="101" customFormat="1" spans="6:6">
      <c r="F33347" s="2423"/>
    </row>
    <row r="33348" s="101" customFormat="1" spans="6:6">
      <c r="F33348" s="2423"/>
    </row>
    <row r="33349" s="101" customFormat="1" spans="6:6">
      <c r="F33349" s="2423"/>
    </row>
    <row r="33350" s="101" customFormat="1" spans="6:6">
      <c r="F33350" s="2423"/>
    </row>
    <row r="33351" s="101" customFormat="1" spans="6:6">
      <c r="F33351" s="2423"/>
    </row>
    <row r="33352" s="101" customFormat="1" spans="6:6">
      <c r="F33352" s="2423"/>
    </row>
    <row r="33353" s="101" customFormat="1" spans="6:6">
      <c r="F33353" s="2423"/>
    </row>
    <row r="33354" s="101" customFormat="1" spans="6:6">
      <c r="F33354" s="2423"/>
    </row>
    <row r="33355" s="101" customFormat="1" spans="6:6">
      <c r="F33355" s="2423"/>
    </row>
    <row r="33356" s="101" customFormat="1" spans="6:6">
      <c r="F33356" s="2423"/>
    </row>
    <row r="33357" s="101" customFormat="1" spans="6:6">
      <c r="F33357" s="2423"/>
    </row>
    <row r="33358" s="101" customFormat="1" spans="6:6">
      <c r="F33358" s="2423"/>
    </row>
    <row r="33359" s="101" customFormat="1" spans="6:6">
      <c r="F33359" s="2423"/>
    </row>
    <row r="33360" s="101" customFormat="1" spans="6:6">
      <c r="F33360" s="2423"/>
    </row>
    <row r="33361" s="101" customFormat="1" spans="6:6">
      <c r="F33361" s="2423"/>
    </row>
    <row r="33362" s="101" customFormat="1" spans="6:6">
      <c r="F33362" s="2423"/>
    </row>
    <row r="33363" s="101" customFormat="1" spans="6:6">
      <c r="F33363" s="2423"/>
    </row>
    <row r="33364" s="101" customFormat="1" spans="6:6">
      <c r="F33364" s="2423"/>
    </row>
    <row r="33365" s="101" customFormat="1" spans="6:6">
      <c r="F33365" s="2423"/>
    </row>
    <row r="33366" s="101" customFormat="1" spans="6:6">
      <c r="F33366" s="2423"/>
    </row>
    <row r="33367" s="101" customFormat="1" spans="6:6">
      <c r="F33367" s="2423"/>
    </row>
    <row r="33368" s="101" customFormat="1" spans="6:6">
      <c r="F33368" s="2423"/>
    </row>
    <row r="33369" s="101" customFormat="1" spans="6:6">
      <c r="F33369" s="2423"/>
    </row>
    <row r="33370" s="101" customFormat="1" spans="6:6">
      <c r="F33370" s="2423"/>
    </row>
    <row r="33371" s="101" customFormat="1" spans="6:6">
      <c r="F33371" s="2423"/>
    </row>
    <row r="33372" s="101" customFormat="1" spans="6:6">
      <c r="F33372" s="2423"/>
    </row>
    <row r="33373" s="101" customFormat="1" spans="6:6">
      <c r="F33373" s="2423"/>
    </row>
    <row r="33374" s="101" customFormat="1" spans="6:6">
      <c r="F33374" s="2423"/>
    </row>
    <row r="33375" s="101" customFormat="1" spans="6:6">
      <c r="F33375" s="2423"/>
    </row>
    <row r="33376" s="101" customFormat="1" spans="6:6">
      <c r="F33376" s="2423"/>
    </row>
    <row r="33377" s="101" customFormat="1" spans="6:6">
      <c r="F33377" s="2423"/>
    </row>
    <row r="33378" s="101" customFormat="1" spans="6:6">
      <c r="F33378" s="2423"/>
    </row>
    <row r="33379" s="101" customFormat="1" spans="6:6">
      <c r="F33379" s="2423"/>
    </row>
    <row r="33380" s="101" customFormat="1" spans="6:6">
      <c r="F33380" s="2423"/>
    </row>
    <row r="33381" s="101" customFormat="1" spans="6:6">
      <c r="F33381" s="2423"/>
    </row>
    <row r="33382" s="101" customFormat="1" spans="6:6">
      <c r="F33382" s="2423"/>
    </row>
    <row r="33383" s="101" customFormat="1" spans="6:6">
      <c r="F33383" s="2423"/>
    </row>
    <row r="33384" s="101" customFormat="1" spans="6:6">
      <c r="F33384" s="2423"/>
    </row>
    <row r="33385" s="101" customFormat="1" spans="6:6">
      <c r="F33385" s="2423"/>
    </row>
    <row r="33386" s="101" customFormat="1" spans="6:6">
      <c r="F33386" s="2423"/>
    </row>
    <row r="33387" s="101" customFormat="1" spans="6:6">
      <c r="F33387" s="2423"/>
    </row>
    <row r="33388" s="101" customFormat="1" spans="6:6">
      <c r="F33388" s="2423"/>
    </row>
    <row r="33389" s="101" customFormat="1" spans="6:6">
      <c r="F33389" s="2423"/>
    </row>
    <row r="33390" s="101" customFormat="1" spans="6:6">
      <c r="F33390" s="2423"/>
    </row>
    <row r="33391" s="101" customFormat="1" spans="6:6">
      <c r="F33391" s="2423"/>
    </row>
    <row r="33392" s="101" customFormat="1" spans="6:6">
      <c r="F33392" s="2423"/>
    </row>
    <row r="33393" s="101" customFormat="1" spans="6:6">
      <c r="F33393" s="2423"/>
    </row>
    <row r="33394" s="101" customFormat="1" spans="6:6">
      <c r="F33394" s="2423"/>
    </row>
    <row r="33395" s="101" customFormat="1" spans="6:6">
      <c r="F33395" s="2423"/>
    </row>
    <row r="33396" s="101" customFormat="1" spans="6:6">
      <c r="F33396" s="2423"/>
    </row>
    <row r="33397" s="101" customFormat="1" spans="6:6">
      <c r="F33397" s="2423"/>
    </row>
    <row r="33398" s="101" customFormat="1" spans="6:6">
      <c r="F33398" s="2423"/>
    </row>
    <row r="33399" s="101" customFormat="1" spans="6:6">
      <c r="F33399" s="2423"/>
    </row>
    <row r="33400" s="101" customFormat="1" spans="6:6">
      <c r="F33400" s="2423"/>
    </row>
    <row r="33401" s="101" customFormat="1" spans="6:6">
      <c r="F33401" s="2423"/>
    </row>
    <row r="33402" s="101" customFormat="1" spans="6:6">
      <c r="F33402" s="2423"/>
    </row>
    <row r="33403" s="101" customFormat="1" spans="6:6">
      <c r="F33403" s="2423"/>
    </row>
    <row r="33404" s="101" customFormat="1" spans="6:6">
      <c r="F33404" s="2423"/>
    </row>
    <row r="33405" s="101" customFormat="1" spans="6:6">
      <c r="F33405" s="2423"/>
    </row>
    <row r="33406" s="101" customFormat="1" spans="6:6">
      <c r="F33406" s="2423"/>
    </row>
    <row r="33407" s="101" customFormat="1" spans="6:6">
      <c r="F33407" s="2423"/>
    </row>
    <row r="33408" s="101" customFormat="1" spans="6:6">
      <c r="F33408" s="2423"/>
    </row>
    <row r="33409" s="101" customFormat="1" spans="6:6">
      <c r="F33409" s="2423"/>
    </row>
    <row r="33410" s="101" customFormat="1" spans="6:6">
      <c r="F33410" s="2423"/>
    </row>
    <row r="33411" s="101" customFormat="1" spans="6:6">
      <c r="F33411" s="2423"/>
    </row>
    <row r="33412" s="101" customFormat="1" spans="6:6">
      <c r="F33412" s="2423"/>
    </row>
    <row r="33413" s="101" customFormat="1" spans="6:6">
      <c r="F33413" s="2423"/>
    </row>
    <row r="33414" s="101" customFormat="1" spans="6:6">
      <c r="F33414" s="2423"/>
    </row>
    <row r="33415" s="101" customFormat="1" spans="6:6">
      <c r="F33415" s="2423"/>
    </row>
    <row r="33416" s="101" customFormat="1" spans="6:6">
      <c r="F33416" s="2423"/>
    </row>
    <row r="33417" s="101" customFormat="1" spans="6:6">
      <c r="F33417" s="2423"/>
    </row>
    <row r="33418" s="101" customFormat="1" spans="6:6">
      <c r="F33418" s="2423"/>
    </row>
    <row r="33419" s="101" customFormat="1" spans="6:6">
      <c r="F33419" s="2423"/>
    </row>
    <row r="33420" s="101" customFormat="1" spans="6:6">
      <c r="F33420" s="2423"/>
    </row>
    <row r="33421" s="101" customFormat="1" spans="6:6">
      <c r="F33421" s="2423"/>
    </row>
    <row r="33422" s="101" customFormat="1" spans="6:6">
      <c r="F33422" s="2423"/>
    </row>
    <row r="33423" s="101" customFormat="1" spans="6:6">
      <c r="F33423" s="2423"/>
    </row>
    <row r="33424" s="101" customFormat="1" spans="6:6">
      <c r="F33424" s="2423"/>
    </row>
    <row r="33425" s="101" customFormat="1" spans="6:6">
      <c r="F33425" s="2423"/>
    </row>
    <row r="33426" s="101" customFormat="1" spans="6:6">
      <c r="F33426" s="2423"/>
    </row>
    <row r="33427" s="101" customFormat="1" spans="6:6">
      <c r="F33427" s="2423"/>
    </row>
    <row r="33428" s="101" customFormat="1" spans="6:6">
      <c r="F33428" s="2423"/>
    </row>
    <row r="33429" s="101" customFormat="1" spans="6:6">
      <c r="F33429" s="2423"/>
    </row>
    <row r="33430" s="101" customFormat="1" spans="6:6">
      <c r="F33430" s="2423"/>
    </row>
    <row r="33431" s="101" customFormat="1" spans="6:6">
      <c r="F33431" s="2423"/>
    </row>
    <row r="33432" s="101" customFormat="1" spans="6:6">
      <c r="F33432" s="2423"/>
    </row>
    <row r="33433" s="101" customFormat="1" spans="6:6">
      <c r="F33433" s="2423"/>
    </row>
    <row r="33434" s="101" customFormat="1" spans="6:6">
      <c r="F33434" s="2423"/>
    </row>
    <row r="33435" s="101" customFormat="1" spans="6:6">
      <c r="F33435" s="2423"/>
    </row>
    <row r="33436" s="101" customFormat="1" spans="6:6">
      <c r="F33436" s="2423"/>
    </row>
    <row r="33437" s="101" customFormat="1" spans="6:6">
      <c r="F33437" s="2423"/>
    </row>
    <row r="33438" s="101" customFormat="1" spans="6:6">
      <c r="F33438" s="2423"/>
    </row>
    <row r="33439" s="101" customFormat="1" spans="6:6">
      <c r="F33439" s="2423"/>
    </row>
    <row r="33440" s="101" customFormat="1" spans="6:6">
      <c r="F33440" s="2423"/>
    </row>
    <row r="33441" s="101" customFormat="1" spans="6:6">
      <c r="F33441" s="2423"/>
    </row>
    <row r="33442" s="101" customFormat="1" spans="6:6">
      <c r="F33442" s="2423"/>
    </row>
    <row r="33443" s="101" customFormat="1" spans="6:6">
      <c r="F33443" s="2423"/>
    </row>
    <row r="33444" s="101" customFormat="1" spans="6:6">
      <c r="F33444" s="2423"/>
    </row>
    <row r="33445" s="101" customFormat="1" spans="6:6">
      <c r="F33445" s="2423"/>
    </row>
    <row r="33446" s="101" customFormat="1" spans="6:6">
      <c r="F33446" s="2423"/>
    </row>
    <row r="33447" s="101" customFormat="1" spans="6:6">
      <c r="F33447" s="2423"/>
    </row>
    <row r="33448" s="101" customFormat="1" spans="6:6">
      <c r="F33448" s="2423"/>
    </row>
    <row r="33449" s="101" customFormat="1" spans="6:6">
      <c r="F33449" s="2423"/>
    </row>
    <row r="33450" s="101" customFormat="1" spans="6:6">
      <c r="F33450" s="2423"/>
    </row>
    <row r="33451" s="101" customFormat="1" spans="6:6">
      <c r="F33451" s="2423"/>
    </row>
    <row r="33452" s="101" customFormat="1" spans="6:6">
      <c r="F33452" s="2423"/>
    </row>
    <row r="33453" s="101" customFormat="1" spans="6:6">
      <c r="F33453" s="2423"/>
    </row>
    <row r="33454" s="101" customFormat="1" spans="6:6">
      <c r="F33454" s="2423"/>
    </row>
    <row r="33455" s="101" customFormat="1" spans="6:6">
      <c r="F33455" s="2423"/>
    </row>
    <row r="33456" s="101" customFormat="1" spans="6:6">
      <c r="F33456" s="2423"/>
    </row>
    <row r="33457" s="101" customFormat="1" spans="6:6">
      <c r="F33457" s="2423"/>
    </row>
    <row r="33458" s="101" customFormat="1" spans="6:6">
      <c r="F33458" s="2423"/>
    </row>
    <row r="33459" s="101" customFormat="1" spans="6:6">
      <c r="F33459" s="2423"/>
    </row>
    <row r="33460" s="101" customFormat="1" spans="6:6">
      <c r="F33460" s="2423"/>
    </row>
    <row r="33461" s="101" customFormat="1" spans="6:6">
      <c r="F33461" s="2423"/>
    </row>
    <row r="33462" s="101" customFormat="1" spans="6:6">
      <c r="F33462" s="2423"/>
    </row>
    <row r="33463" s="101" customFormat="1" spans="6:6">
      <c r="F33463" s="2423"/>
    </row>
    <row r="33464" s="101" customFormat="1" spans="6:6">
      <c r="F33464" s="2423"/>
    </row>
    <row r="33465" s="101" customFormat="1" spans="6:6">
      <c r="F33465" s="2423"/>
    </row>
    <row r="33466" s="101" customFormat="1" spans="6:6">
      <c r="F33466" s="2423"/>
    </row>
    <row r="33467" s="101" customFormat="1" spans="6:6">
      <c r="F33467" s="2423"/>
    </row>
    <row r="33468" s="101" customFormat="1" spans="6:6">
      <c r="F33468" s="2423"/>
    </row>
    <row r="33469" s="101" customFormat="1" spans="6:6">
      <c r="F33469" s="2423"/>
    </row>
    <row r="33470" s="101" customFormat="1" spans="6:6">
      <c r="F33470" s="2423"/>
    </row>
    <row r="33471" s="101" customFormat="1" spans="6:6">
      <c r="F33471" s="2423"/>
    </row>
    <row r="33472" s="101" customFormat="1" spans="6:6">
      <c r="F33472" s="2423"/>
    </row>
    <row r="33473" s="101" customFormat="1" spans="6:6">
      <c r="F33473" s="2423"/>
    </row>
    <row r="33474" s="101" customFormat="1" spans="6:6">
      <c r="F33474" s="2423"/>
    </row>
    <row r="33475" s="101" customFormat="1" spans="6:6">
      <c r="F33475" s="2423"/>
    </row>
    <row r="33476" s="101" customFormat="1" spans="6:6">
      <c r="F33476" s="2423"/>
    </row>
    <row r="33477" s="101" customFormat="1" spans="6:6">
      <c r="F33477" s="2423"/>
    </row>
    <row r="33478" s="101" customFormat="1" spans="6:6">
      <c r="F33478" s="2423"/>
    </row>
    <row r="33479" s="101" customFormat="1" spans="6:6">
      <c r="F33479" s="2423"/>
    </row>
    <row r="33480" s="101" customFormat="1" spans="6:6">
      <c r="F33480" s="2423"/>
    </row>
    <row r="33481" s="101" customFormat="1" spans="6:6">
      <c r="F33481" s="2423"/>
    </row>
    <row r="33482" s="101" customFormat="1" spans="6:6">
      <c r="F33482" s="2423"/>
    </row>
    <row r="33483" s="101" customFormat="1" spans="6:6">
      <c r="F33483" s="2423"/>
    </row>
    <row r="33484" s="101" customFormat="1" spans="6:6">
      <c r="F33484" s="2423"/>
    </row>
    <row r="33485" s="101" customFormat="1" spans="6:6">
      <c r="F33485" s="2423"/>
    </row>
    <row r="33486" s="101" customFormat="1" spans="6:6">
      <c r="F33486" s="2423"/>
    </row>
    <row r="33487" s="101" customFormat="1" spans="6:6">
      <c r="F33487" s="2423"/>
    </row>
    <row r="33488" s="101" customFormat="1" spans="6:6">
      <c r="F33488" s="2423"/>
    </row>
    <row r="33489" s="101" customFormat="1" spans="6:6">
      <c r="F33489" s="2423"/>
    </row>
    <row r="33490" s="101" customFormat="1" spans="6:6">
      <c r="F33490" s="2423"/>
    </row>
    <row r="33491" s="101" customFormat="1" spans="6:6">
      <c r="F33491" s="2423"/>
    </row>
    <row r="33492" s="101" customFormat="1" spans="6:6">
      <c r="F33492" s="2423"/>
    </row>
    <row r="33493" s="101" customFormat="1" spans="6:6">
      <c r="F33493" s="2423"/>
    </row>
    <row r="33494" s="101" customFormat="1" spans="6:6">
      <c r="F33494" s="2423"/>
    </row>
    <row r="33495" s="101" customFormat="1" spans="6:6">
      <c r="F33495" s="2423"/>
    </row>
    <row r="33496" s="101" customFormat="1" spans="6:6">
      <c r="F33496" s="2423"/>
    </row>
    <row r="33497" s="101" customFormat="1" spans="6:6">
      <c r="F33497" s="2423"/>
    </row>
    <row r="33498" s="101" customFormat="1" spans="6:6">
      <c r="F33498" s="2423"/>
    </row>
    <row r="33499" s="101" customFormat="1" spans="6:6">
      <c r="F33499" s="2423"/>
    </row>
    <row r="33500" s="101" customFormat="1" spans="6:6">
      <c r="F33500" s="2423"/>
    </row>
    <row r="33501" s="101" customFormat="1" spans="6:6">
      <c r="F33501" s="2423"/>
    </row>
    <row r="33502" s="101" customFormat="1" spans="6:6">
      <c r="F33502" s="2423"/>
    </row>
    <row r="33503" s="101" customFormat="1" spans="6:6">
      <c r="F33503" s="2423"/>
    </row>
    <row r="33504" s="101" customFormat="1" spans="6:6">
      <c r="F33504" s="2423"/>
    </row>
    <row r="33505" s="101" customFormat="1" spans="6:6">
      <c r="F33505" s="2423"/>
    </row>
    <row r="33506" s="101" customFormat="1" spans="6:6">
      <c r="F33506" s="2423"/>
    </row>
    <row r="33507" s="101" customFormat="1" spans="6:6">
      <c r="F33507" s="2423"/>
    </row>
    <row r="33508" s="101" customFormat="1" spans="6:6">
      <c r="F33508" s="2423"/>
    </row>
    <row r="33509" s="101" customFormat="1" spans="6:6">
      <c r="F33509" s="2423"/>
    </row>
    <row r="33510" s="101" customFormat="1" spans="6:6">
      <c r="F33510" s="2423"/>
    </row>
    <row r="33511" s="101" customFormat="1" spans="6:6">
      <c r="F33511" s="2423"/>
    </row>
    <row r="33512" s="101" customFormat="1" spans="6:6">
      <c r="F33512" s="2423"/>
    </row>
    <row r="33513" s="101" customFormat="1" spans="6:6">
      <c r="F33513" s="2423"/>
    </row>
    <row r="33514" s="101" customFormat="1" spans="6:6">
      <c r="F33514" s="2423"/>
    </row>
    <row r="33515" s="101" customFormat="1" spans="6:6">
      <c r="F33515" s="2423"/>
    </row>
    <row r="33516" s="101" customFormat="1" spans="6:6">
      <c r="F33516" s="2423"/>
    </row>
    <row r="33517" s="101" customFormat="1" spans="6:6">
      <c r="F33517" s="2423"/>
    </row>
    <row r="33518" s="101" customFormat="1" spans="6:6">
      <c r="F33518" s="2423"/>
    </row>
    <row r="33519" s="101" customFormat="1" spans="6:6">
      <c r="F33519" s="2423"/>
    </row>
    <row r="33520" s="101" customFormat="1" spans="6:6">
      <c r="F33520" s="2423"/>
    </row>
    <row r="33521" s="101" customFormat="1" spans="6:6">
      <c r="F33521" s="2423"/>
    </row>
    <row r="33522" s="101" customFormat="1" spans="6:6">
      <c r="F33522" s="2423"/>
    </row>
    <row r="33523" s="101" customFormat="1" spans="6:6">
      <c r="F33523" s="2423"/>
    </row>
    <row r="33524" s="101" customFormat="1" spans="6:6">
      <c r="F33524" s="2423"/>
    </row>
    <row r="33525" s="101" customFormat="1" spans="6:6">
      <c r="F33525" s="2423"/>
    </row>
    <row r="33526" s="101" customFormat="1" spans="6:6">
      <c r="F33526" s="2423"/>
    </row>
    <row r="33527" s="101" customFormat="1" spans="6:6">
      <c r="F33527" s="2423"/>
    </row>
    <row r="33528" s="101" customFormat="1" spans="6:6">
      <c r="F33528" s="2423"/>
    </row>
    <row r="33529" s="101" customFormat="1" spans="6:6">
      <c r="F33529" s="2423"/>
    </row>
    <row r="33530" s="101" customFormat="1" spans="6:6">
      <c r="F33530" s="2423"/>
    </row>
    <row r="33531" s="101" customFormat="1" spans="6:6">
      <c r="F33531" s="2423"/>
    </row>
    <row r="33532" s="101" customFormat="1" spans="6:6">
      <c r="F33532" s="2423"/>
    </row>
    <row r="33533" s="101" customFormat="1" spans="6:6">
      <c r="F33533" s="2423"/>
    </row>
    <row r="33534" s="101" customFormat="1" spans="6:6">
      <c r="F33534" s="2423"/>
    </row>
    <row r="33535" s="101" customFormat="1" spans="6:6">
      <c r="F33535" s="2423"/>
    </row>
    <row r="33536" s="101" customFormat="1" spans="6:6">
      <c r="F33536" s="2423"/>
    </row>
    <row r="33537" s="101" customFormat="1" spans="6:6">
      <c r="F33537" s="2423"/>
    </row>
    <row r="33538" s="101" customFormat="1" spans="6:6">
      <c r="F33538" s="2423"/>
    </row>
    <row r="33539" s="101" customFormat="1" spans="6:6">
      <c r="F33539" s="2423"/>
    </row>
    <row r="33540" s="101" customFormat="1" spans="6:6">
      <c r="F33540" s="2423"/>
    </row>
    <row r="33541" s="101" customFormat="1" spans="6:6">
      <c r="F33541" s="2423"/>
    </row>
    <row r="33542" s="101" customFormat="1" spans="6:6">
      <c r="F33542" s="2423"/>
    </row>
    <row r="33543" s="101" customFormat="1" spans="6:6">
      <c r="F33543" s="2423"/>
    </row>
    <row r="33544" s="101" customFormat="1" spans="6:6">
      <c r="F33544" s="2423"/>
    </row>
    <row r="33545" s="101" customFormat="1" spans="6:6">
      <c r="F33545" s="2423"/>
    </row>
    <row r="33546" s="101" customFormat="1" spans="6:6">
      <c r="F33546" s="2423"/>
    </row>
    <row r="33547" s="101" customFormat="1" spans="6:6">
      <c r="F33547" s="2423"/>
    </row>
    <row r="33548" s="101" customFormat="1" spans="6:6">
      <c r="F33548" s="2423"/>
    </row>
    <row r="33549" s="101" customFormat="1" spans="6:6">
      <c r="F33549" s="2423"/>
    </row>
    <row r="33550" s="101" customFormat="1" spans="6:6">
      <c r="F33550" s="2423"/>
    </row>
    <row r="33551" s="101" customFormat="1" spans="6:6">
      <c r="F33551" s="2423"/>
    </row>
    <row r="33552" s="101" customFormat="1" spans="6:6">
      <c r="F33552" s="2423"/>
    </row>
    <row r="33553" s="101" customFormat="1" spans="6:6">
      <c r="F33553" s="2423"/>
    </row>
    <row r="33554" s="101" customFormat="1" spans="6:6">
      <c r="F33554" s="2423"/>
    </row>
    <row r="33555" s="101" customFormat="1" spans="6:6">
      <c r="F33555" s="2423"/>
    </row>
    <row r="33556" s="101" customFormat="1" spans="6:6">
      <c r="F33556" s="2423"/>
    </row>
    <row r="33557" s="101" customFormat="1" spans="6:6">
      <c r="F33557" s="2423"/>
    </row>
    <row r="33558" s="101" customFormat="1" spans="6:6">
      <c r="F33558" s="2423"/>
    </row>
    <row r="33559" s="101" customFormat="1" spans="6:6">
      <c r="F33559" s="2423"/>
    </row>
    <row r="33560" s="101" customFormat="1" spans="6:6">
      <c r="F33560" s="2423"/>
    </row>
    <row r="33561" s="101" customFormat="1" spans="6:6">
      <c r="F33561" s="2423"/>
    </row>
    <row r="33562" s="101" customFormat="1" spans="6:6">
      <c r="F33562" s="2423"/>
    </row>
    <row r="33563" s="101" customFormat="1" spans="6:6">
      <c r="F33563" s="2423"/>
    </row>
    <row r="33564" s="101" customFormat="1" spans="6:6">
      <c r="F33564" s="2423"/>
    </row>
    <row r="33565" s="101" customFormat="1" spans="6:6">
      <c r="F33565" s="2423"/>
    </row>
    <row r="33566" s="101" customFormat="1" spans="6:6">
      <c r="F33566" s="2423"/>
    </row>
    <row r="33567" s="101" customFormat="1" spans="6:6">
      <c r="F33567" s="2423"/>
    </row>
    <row r="33568" s="101" customFormat="1" spans="6:6">
      <c r="F33568" s="2423"/>
    </row>
    <row r="33569" s="101" customFormat="1" spans="6:6">
      <c r="F33569" s="2423"/>
    </row>
    <row r="33570" s="101" customFormat="1" spans="6:6">
      <c r="F33570" s="2423"/>
    </row>
    <row r="33571" s="101" customFormat="1" spans="6:6">
      <c r="F33571" s="2423"/>
    </row>
    <row r="33572" s="101" customFormat="1" spans="6:6">
      <c r="F33572" s="2423"/>
    </row>
    <row r="33573" s="101" customFormat="1" spans="6:6">
      <c r="F33573" s="2423"/>
    </row>
    <row r="33574" s="101" customFormat="1" spans="6:6">
      <c r="F33574" s="2423"/>
    </row>
    <row r="33575" s="101" customFormat="1" spans="6:6">
      <c r="F33575" s="2423"/>
    </row>
    <row r="33576" s="101" customFormat="1" spans="6:6">
      <c r="F33576" s="2423"/>
    </row>
    <row r="33577" s="101" customFormat="1" spans="6:6">
      <c r="F33577" s="2423"/>
    </row>
    <row r="33578" s="101" customFormat="1" spans="6:6">
      <c r="F33578" s="2423"/>
    </row>
    <row r="33579" s="101" customFormat="1" spans="6:6">
      <c r="F33579" s="2423"/>
    </row>
    <row r="33580" s="101" customFormat="1" spans="6:6">
      <c r="F33580" s="2423"/>
    </row>
    <row r="33581" s="101" customFormat="1" spans="6:6">
      <c r="F33581" s="2423"/>
    </row>
    <row r="33582" s="101" customFormat="1" spans="6:6">
      <c r="F33582" s="2423"/>
    </row>
    <row r="33583" s="101" customFormat="1" spans="6:6">
      <c r="F33583" s="2423"/>
    </row>
    <row r="33584" s="101" customFormat="1" spans="6:6">
      <c r="F33584" s="2423"/>
    </row>
    <row r="33585" s="101" customFormat="1" spans="6:6">
      <c r="F33585" s="2423"/>
    </row>
    <row r="33586" s="101" customFormat="1" spans="6:6">
      <c r="F33586" s="2423"/>
    </row>
    <row r="33587" s="101" customFormat="1" spans="6:6">
      <c r="F33587" s="2423"/>
    </row>
    <row r="33588" s="101" customFormat="1" spans="6:6">
      <c r="F33588" s="2423"/>
    </row>
    <row r="33589" s="101" customFormat="1" spans="6:6">
      <c r="F33589" s="2423"/>
    </row>
    <row r="33590" s="101" customFormat="1" spans="6:6">
      <c r="F33590" s="2423"/>
    </row>
    <row r="33591" s="101" customFormat="1" spans="6:6">
      <c r="F33591" s="2423"/>
    </row>
    <row r="33592" s="101" customFormat="1" spans="6:6">
      <c r="F33592" s="2423"/>
    </row>
    <row r="33593" s="101" customFormat="1" spans="6:6">
      <c r="F33593" s="2423"/>
    </row>
    <row r="33594" s="101" customFormat="1" spans="6:6">
      <c r="F33594" s="2423"/>
    </row>
    <row r="33595" s="101" customFormat="1" spans="6:6">
      <c r="F33595" s="2423"/>
    </row>
    <row r="33596" s="101" customFormat="1" spans="6:6">
      <c r="F33596" s="2423"/>
    </row>
    <row r="33597" s="101" customFormat="1" spans="6:6">
      <c r="F33597" s="2423"/>
    </row>
    <row r="33598" s="101" customFormat="1" spans="6:6">
      <c r="F33598" s="2423"/>
    </row>
    <row r="33599" s="101" customFormat="1" spans="6:6">
      <c r="F33599" s="2423"/>
    </row>
    <row r="33600" s="101" customFormat="1" spans="6:6">
      <c r="F33600" s="2423"/>
    </row>
    <row r="33601" s="101" customFormat="1" spans="6:6">
      <c r="F33601" s="2423"/>
    </row>
    <row r="33602" s="101" customFormat="1" spans="6:6">
      <c r="F33602" s="2423"/>
    </row>
    <row r="33603" s="101" customFormat="1" spans="6:6">
      <c r="F33603" s="2423"/>
    </row>
    <row r="33604" s="101" customFormat="1" spans="6:6">
      <c r="F33604" s="2423"/>
    </row>
    <row r="33605" s="101" customFormat="1" spans="6:6">
      <c r="F33605" s="2423"/>
    </row>
    <row r="33606" s="101" customFormat="1" spans="6:6">
      <c r="F33606" s="2423"/>
    </row>
    <row r="33607" s="101" customFormat="1" spans="6:6">
      <c r="F33607" s="2423"/>
    </row>
    <row r="33608" s="101" customFormat="1" spans="6:6">
      <c r="F33608" s="2423"/>
    </row>
    <row r="33609" s="101" customFormat="1" spans="6:6">
      <c r="F33609" s="2423"/>
    </row>
    <row r="33610" s="101" customFormat="1" spans="6:6">
      <c r="F33610" s="2423"/>
    </row>
    <row r="33611" s="101" customFormat="1" spans="6:6">
      <c r="F33611" s="2423"/>
    </row>
    <row r="33612" s="101" customFormat="1" spans="6:6">
      <c r="F33612" s="2423"/>
    </row>
    <row r="33613" s="101" customFormat="1" spans="6:6">
      <c r="F33613" s="2423"/>
    </row>
    <row r="33614" s="101" customFormat="1" spans="6:6">
      <c r="F33614" s="2423"/>
    </row>
    <row r="33615" s="101" customFormat="1" spans="6:6">
      <c r="F33615" s="2423"/>
    </row>
    <row r="33616" s="101" customFormat="1" spans="6:6">
      <c r="F33616" s="2423"/>
    </row>
    <row r="33617" s="101" customFormat="1" spans="6:6">
      <c r="F33617" s="2423"/>
    </row>
    <row r="33618" s="101" customFormat="1" spans="6:6">
      <c r="F33618" s="2423"/>
    </row>
    <row r="33619" s="101" customFormat="1" spans="6:6">
      <c r="F33619" s="2423"/>
    </row>
    <row r="33620" s="101" customFormat="1" spans="6:6">
      <c r="F33620" s="2423"/>
    </row>
    <row r="33621" s="101" customFormat="1" spans="6:6">
      <c r="F33621" s="2423"/>
    </row>
    <row r="33622" s="101" customFormat="1" spans="6:6">
      <c r="F33622" s="2423"/>
    </row>
    <row r="33623" s="101" customFormat="1" spans="6:6">
      <c r="F33623" s="2423"/>
    </row>
    <row r="33624" s="101" customFormat="1" spans="6:6">
      <c r="F33624" s="2423"/>
    </row>
    <row r="33625" s="101" customFormat="1" spans="6:6">
      <c r="F33625" s="2423"/>
    </row>
    <row r="33626" s="101" customFormat="1" spans="6:6">
      <c r="F33626" s="2423"/>
    </row>
    <row r="33627" s="101" customFormat="1" spans="6:6">
      <c r="F33627" s="2423"/>
    </row>
    <row r="33628" s="101" customFormat="1" spans="6:6">
      <c r="F33628" s="2423"/>
    </row>
    <row r="33629" s="101" customFormat="1" spans="6:6">
      <c r="F33629" s="2423"/>
    </row>
    <row r="33630" s="101" customFormat="1" spans="6:6">
      <c r="F33630" s="2423"/>
    </row>
    <row r="33631" s="101" customFormat="1" spans="6:6">
      <c r="F33631" s="2423"/>
    </row>
    <row r="33632" s="101" customFormat="1" spans="6:6">
      <c r="F33632" s="2423"/>
    </row>
    <row r="33633" s="101" customFormat="1" spans="6:6">
      <c r="F33633" s="2423"/>
    </row>
    <row r="33634" s="101" customFormat="1" spans="6:6">
      <c r="F33634" s="2423"/>
    </row>
    <row r="33635" s="101" customFormat="1" spans="6:6">
      <c r="F33635" s="2423"/>
    </row>
    <row r="33636" s="101" customFormat="1" spans="6:6">
      <c r="F33636" s="2423"/>
    </row>
    <row r="33637" s="101" customFormat="1" spans="6:6">
      <c r="F33637" s="2423"/>
    </row>
    <row r="33638" s="101" customFormat="1" spans="6:6">
      <c r="F33638" s="2423"/>
    </row>
    <row r="33639" s="101" customFormat="1" spans="6:6">
      <c r="F33639" s="2423"/>
    </row>
    <row r="33640" s="101" customFormat="1" spans="6:6">
      <c r="F33640" s="2423"/>
    </row>
    <row r="33641" s="101" customFormat="1" spans="6:6">
      <c r="F33641" s="2423"/>
    </row>
    <row r="33642" s="101" customFormat="1" spans="6:6">
      <c r="F33642" s="2423"/>
    </row>
    <row r="33643" s="101" customFormat="1" spans="6:6">
      <c r="F33643" s="2423"/>
    </row>
    <row r="33644" s="101" customFormat="1" spans="6:6">
      <c r="F33644" s="2423"/>
    </row>
    <row r="33645" s="101" customFormat="1" spans="6:6">
      <c r="F33645" s="2423"/>
    </row>
    <row r="33646" s="101" customFormat="1" spans="6:6">
      <c r="F33646" s="2423"/>
    </row>
    <row r="33647" s="101" customFormat="1" spans="6:6">
      <c r="F33647" s="2423"/>
    </row>
    <row r="33648" s="101" customFormat="1" spans="6:6">
      <c r="F33648" s="2423"/>
    </row>
    <row r="33649" s="101" customFormat="1" spans="6:6">
      <c r="F33649" s="2423"/>
    </row>
    <row r="33650" s="101" customFormat="1" spans="6:6">
      <c r="F33650" s="2423"/>
    </row>
    <row r="33651" s="101" customFormat="1" spans="6:6">
      <c r="F33651" s="2423"/>
    </row>
    <row r="33652" s="101" customFormat="1" spans="6:6">
      <c r="F33652" s="2423"/>
    </row>
    <row r="33653" s="101" customFormat="1" spans="6:6">
      <c r="F33653" s="2423"/>
    </row>
    <row r="33654" s="101" customFormat="1" spans="6:6">
      <c r="F33654" s="2423"/>
    </row>
    <row r="33655" s="101" customFormat="1" spans="6:6">
      <c r="F33655" s="2423"/>
    </row>
    <row r="33656" s="101" customFormat="1" spans="6:6">
      <c r="F33656" s="2423"/>
    </row>
    <row r="33657" s="101" customFormat="1" spans="6:6">
      <c r="F33657" s="2423"/>
    </row>
    <row r="33658" s="101" customFormat="1" spans="6:6">
      <c r="F33658" s="2423"/>
    </row>
    <row r="33659" s="101" customFormat="1" spans="6:6">
      <c r="F33659" s="2423"/>
    </row>
    <row r="33660" s="101" customFormat="1" spans="6:6">
      <c r="F33660" s="2423"/>
    </row>
    <row r="33661" s="101" customFormat="1" spans="6:6">
      <c r="F33661" s="2423"/>
    </row>
    <row r="33662" s="101" customFormat="1" spans="6:6">
      <c r="F33662" s="2423"/>
    </row>
    <row r="33663" s="101" customFormat="1" spans="6:6">
      <c r="F33663" s="2423"/>
    </row>
    <row r="33664" s="101" customFormat="1" spans="6:6">
      <c r="F33664" s="2423"/>
    </row>
    <row r="33665" s="101" customFormat="1" spans="6:6">
      <c r="F33665" s="2423"/>
    </row>
    <row r="33666" s="101" customFormat="1" spans="6:6">
      <c r="F33666" s="2423"/>
    </row>
    <row r="33667" s="101" customFormat="1" spans="6:6">
      <c r="F33667" s="2423"/>
    </row>
    <row r="33668" s="101" customFormat="1" spans="6:6">
      <c r="F33668" s="2423"/>
    </row>
    <row r="33669" s="101" customFormat="1" spans="6:6">
      <c r="F33669" s="2423"/>
    </row>
    <row r="33670" s="101" customFormat="1" spans="6:6">
      <c r="F33670" s="2423"/>
    </row>
    <row r="33671" s="101" customFormat="1" spans="6:6">
      <c r="F33671" s="2423"/>
    </row>
    <row r="33672" s="101" customFormat="1" spans="6:6">
      <c r="F33672" s="2423"/>
    </row>
    <row r="33673" s="101" customFormat="1" spans="6:6">
      <c r="F33673" s="2423"/>
    </row>
    <row r="33674" s="101" customFormat="1" spans="6:6">
      <c r="F33674" s="2423"/>
    </row>
    <row r="33675" s="101" customFormat="1" spans="6:6">
      <c r="F33675" s="2423"/>
    </row>
    <row r="33676" s="101" customFormat="1" spans="6:6">
      <c r="F33676" s="2423"/>
    </row>
    <row r="33677" s="101" customFormat="1" spans="6:6">
      <c r="F33677" s="2423"/>
    </row>
    <row r="33678" s="101" customFormat="1" spans="6:6">
      <c r="F33678" s="2423"/>
    </row>
    <row r="33679" s="101" customFormat="1" spans="6:6">
      <c r="F33679" s="2423"/>
    </row>
    <row r="33680" s="101" customFormat="1" spans="6:6">
      <c r="F33680" s="2423"/>
    </row>
    <row r="33681" s="101" customFormat="1" spans="6:6">
      <c r="F33681" s="2423"/>
    </row>
    <row r="33682" s="101" customFormat="1" spans="6:6">
      <c r="F33682" s="2423"/>
    </row>
    <row r="33683" s="101" customFormat="1" spans="6:6">
      <c r="F33683" s="2423"/>
    </row>
    <row r="33684" s="101" customFormat="1" spans="6:6">
      <c r="F33684" s="2423"/>
    </row>
    <row r="33685" s="101" customFormat="1" spans="6:6">
      <c r="F33685" s="2423"/>
    </row>
    <row r="33686" s="101" customFormat="1" spans="6:6">
      <c r="F33686" s="2423"/>
    </row>
    <row r="33687" s="101" customFormat="1" spans="6:6">
      <c r="F33687" s="2423"/>
    </row>
    <row r="33688" s="101" customFormat="1" spans="6:6">
      <c r="F33688" s="2423"/>
    </row>
    <row r="33689" s="101" customFormat="1" spans="6:6">
      <c r="F33689" s="2423"/>
    </row>
    <row r="33690" s="101" customFormat="1" spans="6:6">
      <c r="F33690" s="2423"/>
    </row>
    <row r="33691" s="101" customFormat="1" spans="6:6">
      <c r="F33691" s="2423"/>
    </row>
    <row r="33692" s="101" customFormat="1" spans="6:6">
      <c r="F33692" s="2423"/>
    </row>
    <row r="33693" s="101" customFormat="1" spans="6:6">
      <c r="F33693" s="2423"/>
    </row>
    <row r="33694" s="101" customFormat="1" spans="6:6">
      <c r="F33694" s="2423"/>
    </row>
    <row r="33695" s="101" customFormat="1" spans="6:6">
      <c r="F33695" s="2423"/>
    </row>
    <row r="33696" s="101" customFormat="1" spans="6:6">
      <c r="F33696" s="2423"/>
    </row>
    <row r="33697" s="101" customFormat="1" spans="6:6">
      <c r="F33697" s="2423"/>
    </row>
    <row r="33698" s="101" customFormat="1" spans="6:6">
      <c r="F33698" s="2423"/>
    </row>
    <row r="33699" s="101" customFormat="1" spans="6:6">
      <c r="F33699" s="2423"/>
    </row>
    <row r="33700" s="101" customFormat="1" spans="6:6">
      <c r="F33700" s="2423"/>
    </row>
    <row r="33701" s="101" customFormat="1" spans="6:6">
      <c r="F33701" s="2423"/>
    </row>
    <row r="33702" s="101" customFormat="1" spans="6:6">
      <c r="F33702" s="2423"/>
    </row>
    <row r="33703" s="101" customFormat="1" spans="6:6">
      <c r="F33703" s="2423"/>
    </row>
    <row r="33704" s="101" customFormat="1" spans="6:6">
      <c r="F33704" s="2423"/>
    </row>
    <row r="33705" s="101" customFormat="1" spans="6:6">
      <c r="F33705" s="2423"/>
    </row>
    <row r="33706" s="101" customFormat="1" spans="6:6">
      <c r="F33706" s="2423"/>
    </row>
    <row r="33707" s="101" customFormat="1" spans="6:6">
      <c r="F33707" s="2423"/>
    </row>
    <row r="33708" s="101" customFormat="1" spans="6:6">
      <c r="F33708" s="2423"/>
    </row>
    <row r="33709" s="101" customFormat="1" spans="6:6">
      <c r="F33709" s="2423"/>
    </row>
    <row r="33710" s="101" customFormat="1" spans="6:6">
      <c r="F33710" s="2423"/>
    </row>
    <row r="33711" s="101" customFormat="1" spans="6:6">
      <c r="F33711" s="2423"/>
    </row>
    <row r="33712" s="101" customFormat="1" spans="6:6">
      <c r="F33712" s="2423"/>
    </row>
    <row r="33713" s="101" customFormat="1" spans="6:6">
      <c r="F33713" s="2423"/>
    </row>
    <row r="33714" s="101" customFormat="1" spans="6:6">
      <c r="F33714" s="2423"/>
    </row>
    <row r="33715" s="101" customFormat="1" spans="6:6">
      <c r="F33715" s="2423"/>
    </row>
    <row r="33716" s="101" customFormat="1" spans="6:6">
      <c r="F33716" s="2423"/>
    </row>
    <row r="33717" s="101" customFormat="1" spans="6:6">
      <c r="F33717" s="2423"/>
    </row>
    <row r="33718" s="101" customFormat="1" spans="6:6">
      <c r="F33718" s="2423"/>
    </row>
    <row r="33719" s="101" customFormat="1" spans="6:6">
      <c r="F33719" s="2423"/>
    </row>
    <row r="33720" s="101" customFormat="1" spans="6:6">
      <c r="F33720" s="2423"/>
    </row>
    <row r="33721" s="101" customFormat="1" spans="6:6">
      <c r="F33721" s="2423"/>
    </row>
    <row r="33722" s="101" customFormat="1" spans="6:6">
      <c r="F33722" s="2423"/>
    </row>
    <row r="33723" s="101" customFormat="1" spans="6:6">
      <c r="F33723" s="2423"/>
    </row>
    <row r="33724" s="101" customFormat="1" spans="6:6">
      <c r="F33724" s="2423"/>
    </row>
    <row r="33725" s="101" customFormat="1" spans="6:6">
      <c r="F33725" s="2423"/>
    </row>
    <row r="33726" s="101" customFormat="1" spans="6:6">
      <c r="F33726" s="2423"/>
    </row>
    <row r="33727" s="101" customFormat="1" spans="6:6">
      <c r="F33727" s="2423"/>
    </row>
    <row r="33728" s="101" customFormat="1" spans="6:6">
      <c r="F33728" s="2423"/>
    </row>
    <row r="33729" s="101" customFormat="1" spans="6:6">
      <c r="F33729" s="2423"/>
    </row>
    <row r="33730" s="101" customFormat="1" spans="6:6">
      <c r="F33730" s="2423"/>
    </row>
    <row r="33731" s="101" customFormat="1" spans="6:6">
      <c r="F33731" s="2423"/>
    </row>
    <row r="33732" s="101" customFormat="1" spans="6:6">
      <c r="F33732" s="2423"/>
    </row>
    <row r="33733" s="101" customFormat="1" spans="6:6">
      <c r="F33733" s="2423"/>
    </row>
    <row r="33734" s="101" customFormat="1" spans="6:6">
      <c r="F33734" s="2423"/>
    </row>
    <row r="33735" s="101" customFormat="1" spans="6:6">
      <c r="F33735" s="2423"/>
    </row>
    <row r="33736" s="101" customFormat="1" spans="6:6">
      <c r="F33736" s="2423"/>
    </row>
    <row r="33737" s="101" customFormat="1" spans="6:6">
      <c r="F33737" s="2423"/>
    </row>
    <row r="33738" s="101" customFormat="1" spans="6:6">
      <c r="F33738" s="2423"/>
    </row>
    <row r="33739" s="101" customFormat="1" spans="6:6">
      <c r="F33739" s="2423"/>
    </row>
    <row r="33740" s="101" customFormat="1" spans="6:6">
      <c r="F33740" s="2423"/>
    </row>
    <row r="33741" s="101" customFormat="1" spans="6:6">
      <c r="F33741" s="2423"/>
    </row>
    <row r="33742" s="101" customFormat="1" spans="6:6">
      <c r="F33742" s="2423"/>
    </row>
    <row r="33743" s="101" customFormat="1" spans="6:6">
      <c r="F33743" s="2423"/>
    </row>
    <row r="33744" s="101" customFormat="1" spans="6:6">
      <c r="F33744" s="2423"/>
    </row>
    <row r="33745" s="101" customFormat="1" spans="6:6">
      <c r="F33745" s="2423"/>
    </row>
    <row r="33746" s="101" customFormat="1" spans="6:6">
      <c r="F33746" s="2423"/>
    </row>
    <row r="33747" s="101" customFormat="1" spans="6:6">
      <c r="F33747" s="2423"/>
    </row>
    <row r="33748" s="101" customFormat="1" spans="6:6">
      <c r="F33748" s="2423"/>
    </row>
    <row r="33749" s="101" customFormat="1" spans="6:6">
      <c r="F33749" s="2423"/>
    </row>
    <row r="33750" s="101" customFormat="1" spans="6:6">
      <c r="F33750" s="2423"/>
    </row>
    <row r="33751" s="101" customFormat="1" spans="6:6">
      <c r="F33751" s="2423"/>
    </row>
    <row r="33752" s="101" customFormat="1" spans="6:6">
      <c r="F33752" s="2423"/>
    </row>
    <row r="33753" s="101" customFormat="1" spans="6:6">
      <c r="F33753" s="2423"/>
    </row>
    <row r="33754" s="101" customFormat="1" spans="6:6">
      <c r="F33754" s="2423"/>
    </row>
    <row r="33755" s="101" customFormat="1" spans="6:6">
      <c r="F33755" s="2423"/>
    </row>
    <row r="33756" s="101" customFormat="1" spans="6:6">
      <c r="F33756" s="2423"/>
    </row>
    <row r="33757" s="101" customFormat="1" spans="6:6">
      <c r="F33757" s="2423"/>
    </row>
    <row r="33758" s="101" customFormat="1" spans="6:6">
      <c r="F33758" s="2423"/>
    </row>
    <row r="33759" s="101" customFormat="1" spans="6:6">
      <c r="F33759" s="2423"/>
    </row>
    <row r="33760" s="101" customFormat="1" spans="6:6">
      <c r="F33760" s="2423"/>
    </row>
    <row r="33761" s="101" customFormat="1" spans="6:6">
      <c r="F33761" s="2423"/>
    </row>
    <row r="33762" s="101" customFormat="1" spans="6:6">
      <c r="F33762" s="2423"/>
    </row>
    <row r="33763" s="101" customFormat="1" spans="6:6">
      <c r="F33763" s="2423"/>
    </row>
    <row r="33764" s="101" customFormat="1" spans="6:6">
      <c r="F33764" s="2423"/>
    </row>
    <row r="33765" s="101" customFormat="1" spans="6:6">
      <c r="F33765" s="2423"/>
    </row>
    <row r="33766" s="101" customFormat="1" spans="6:6">
      <c r="F33766" s="2423"/>
    </row>
    <row r="33767" s="101" customFormat="1" spans="6:6">
      <c r="F33767" s="2423"/>
    </row>
    <row r="33768" s="101" customFormat="1" spans="6:6">
      <c r="F33768" s="2423"/>
    </row>
    <row r="33769" s="101" customFormat="1" spans="6:6">
      <c r="F33769" s="2423"/>
    </row>
    <row r="33770" s="101" customFormat="1" spans="6:6">
      <c r="F33770" s="2423"/>
    </row>
    <row r="33771" s="101" customFormat="1" spans="6:6">
      <c r="F33771" s="2423"/>
    </row>
    <row r="33772" s="101" customFormat="1" spans="6:6">
      <c r="F33772" s="2423"/>
    </row>
    <row r="33773" s="101" customFormat="1" spans="6:6">
      <c r="F33773" s="2423"/>
    </row>
    <row r="33774" s="101" customFormat="1" spans="6:6">
      <c r="F33774" s="2423"/>
    </row>
    <row r="33775" s="101" customFormat="1" spans="6:6">
      <c r="F33775" s="2423"/>
    </row>
    <row r="33776" s="101" customFormat="1" spans="6:6">
      <c r="F33776" s="2423"/>
    </row>
    <row r="33777" s="101" customFormat="1" spans="6:6">
      <c r="F33777" s="2423"/>
    </row>
    <row r="33778" s="101" customFormat="1" spans="6:6">
      <c r="F33778" s="2423"/>
    </row>
    <row r="33779" s="101" customFormat="1" spans="6:6">
      <c r="F33779" s="2423"/>
    </row>
    <row r="33780" s="101" customFormat="1" spans="6:6">
      <c r="F33780" s="2423"/>
    </row>
    <row r="33781" s="101" customFormat="1" spans="6:6">
      <c r="F33781" s="2423"/>
    </row>
    <row r="33782" s="101" customFormat="1" spans="6:6">
      <c r="F33782" s="2423"/>
    </row>
    <row r="33783" s="101" customFormat="1" spans="6:6">
      <c r="F33783" s="2423"/>
    </row>
    <row r="33784" s="101" customFormat="1" spans="6:6">
      <c r="F33784" s="2423"/>
    </row>
    <row r="33785" s="101" customFormat="1" spans="6:6">
      <c r="F33785" s="2423"/>
    </row>
    <row r="33786" s="101" customFormat="1" spans="6:6">
      <c r="F33786" s="2423"/>
    </row>
    <row r="33787" s="101" customFormat="1" spans="6:6">
      <c r="F33787" s="2423"/>
    </row>
    <row r="33788" s="101" customFormat="1" spans="6:6">
      <c r="F33788" s="2423"/>
    </row>
    <row r="33789" s="101" customFormat="1" spans="6:6">
      <c r="F33789" s="2423"/>
    </row>
    <row r="33790" s="101" customFormat="1" spans="6:6">
      <c r="F33790" s="2423"/>
    </row>
    <row r="33791" s="101" customFormat="1" spans="6:6">
      <c r="F33791" s="2423"/>
    </row>
    <row r="33792" s="101" customFormat="1" spans="6:6">
      <c r="F33792" s="2423"/>
    </row>
    <row r="33793" s="101" customFormat="1" spans="6:6">
      <c r="F33793" s="2423"/>
    </row>
    <row r="33794" s="101" customFormat="1" spans="6:6">
      <c r="F33794" s="2423"/>
    </row>
    <row r="33795" s="101" customFormat="1" spans="6:6">
      <c r="F33795" s="2423"/>
    </row>
    <row r="33796" s="101" customFormat="1" spans="6:6">
      <c r="F33796" s="2423"/>
    </row>
    <row r="33797" s="101" customFormat="1" spans="6:6">
      <c r="F33797" s="2423"/>
    </row>
    <row r="33798" s="101" customFormat="1" spans="6:6">
      <c r="F33798" s="2423"/>
    </row>
    <row r="33799" s="101" customFormat="1" spans="6:6">
      <c r="F33799" s="2423"/>
    </row>
    <row r="33800" s="101" customFormat="1" spans="6:6">
      <c r="F33800" s="2423"/>
    </row>
    <row r="33801" s="101" customFormat="1" spans="6:6">
      <c r="F33801" s="2423"/>
    </row>
    <row r="33802" s="101" customFormat="1" spans="6:6">
      <c r="F33802" s="2423"/>
    </row>
    <row r="33803" s="101" customFormat="1" spans="6:6">
      <c r="F33803" s="2423"/>
    </row>
    <row r="33804" s="101" customFormat="1" spans="6:6">
      <c r="F33804" s="2423"/>
    </row>
    <row r="33805" s="101" customFormat="1" spans="6:6">
      <c r="F33805" s="2423"/>
    </row>
    <row r="33806" s="101" customFormat="1" spans="6:6">
      <c r="F33806" s="2423"/>
    </row>
    <row r="33807" s="101" customFormat="1" spans="6:6">
      <c r="F33807" s="2423"/>
    </row>
    <row r="33808" s="101" customFormat="1" spans="6:6">
      <c r="F33808" s="2423"/>
    </row>
    <row r="33809" s="101" customFormat="1" spans="6:6">
      <c r="F33809" s="2423"/>
    </row>
    <row r="33810" s="101" customFormat="1" spans="6:6">
      <c r="F33810" s="2423"/>
    </row>
    <row r="33811" s="101" customFormat="1" spans="6:6">
      <c r="F33811" s="2423"/>
    </row>
    <row r="33812" s="101" customFormat="1" spans="6:6">
      <c r="F33812" s="2423"/>
    </row>
    <row r="33813" s="101" customFormat="1" spans="6:6">
      <c r="F33813" s="2423"/>
    </row>
    <row r="33814" s="101" customFormat="1" spans="6:6">
      <c r="F33814" s="2423"/>
    </row>
    <row r="33815" s="101" customFormat="1" spans="6:6">
      <c r="F33815" s="2423"/>
    </row>
    <row r="33816" s="101" customFormat="1" spans="6:6">
      <c r="F33816" s="2423"/>
    </row>
    <row r="33817" s="101" customFormat="1" spans="6:6">
      <c r="F33817" s="2423"/>
    </row>
    <row r="33818" s="101" customFormat="1" spans="6:6">
      <c r="F33818" s="2423"/>
    </row>
    <row r="33819" s="101" customFormat="1" spans="6:6">
      <c r="F33819" s="2423"/>
    </row>
    <row r="33820" s="101" customFormat="1" spans="6:6">
      <c r="F33820" s="2423"/>
    </row>
    <row r="33821" s="101" customFormat="1" spans="6:6">
      <c r="F33821" s="2423"/>
    </row>
    <row r="33822" s="101" customFormat="1" spans="6:6">
      <c r="F33822" s="2423"/>
    </row>
    <row r="33823" s="101" customFormat="1" spans="6:6">
      <c r="F33823" s="2423"/>
    </row>
    <row r="33824" s="101" customFormat="1" spans="6:6">
      <c r="F33824" s="2423"/>
    </row>
    <row r="33825" s="101" customFormat="1" spans="6:6">
      <c r="F33825" s="2423"/>
    </row>
    <row r="33826" s="101" customFormat="1" spans="6:6">
      <c r="F33826" s="2423"/>
    </row>
    <row r="33827" s="101" customFormat="1" spans="6:6">
      <c r="F33827" s="2423"/>
    </row>
    <row r="33828" s="101" customFormat="1" spans="6:6">
      <c r="F33828" s="2423"/>
    </row>
    <row r="33829" s="101" customFormat="1" spans="6:6">
      <c r="F33829" s="2423"/>
    </row>
    <row r="33830" s="101" customFormat="1" spans="6:6">
      <c r="F33830" s="2423"/>
    </row>
    <row r="33831" s="101" customFormat="1" spans="6:6">
      <c r="F33831" s="2423"/>
    </row>
    <row r="33832" s="101" customFormat="1" spans="6:6">
      <c r="F33832" s="2423"/>
    </row>
    <row r="33833" s="101" customFormat="1" spans="6:6">
      <c r="F33833" s="2423"/>
    </row>
    <row r="33834" s="101" customFormat="1" spans="6:6">
      <c r="F33834" s="2423"/>
    </row>
    <row r="33835" s="101" customFormat="1" spans="6:6">
      <c r="F33835" s="2423"/>
    </row>
    <row r="33836" s="101" customFormat="1" spans="6:6">
      <c r="F33836" s="2423"/>
    </row>
    <row r="33837" s="101" customFormat="1" spans="6:6">
      <c r="F33837" s="2423"/>
    </row>
    <row r="33838" s="101" customFormat="1" spans="6:6">
      <c r="F33838" s="2423"/>
    </row>
    <row r="33839" s="101" customFormat="1" spans="6:6">
      <c r="F33839" s="2423"/>
    </row>
    <row r="33840" s="101" customFormat="1" spans="6:6">
      <c r="F33840" s="2423"/>
    </row>
    <row r="33841" s="101" customFormat="1" spans="6:6">
      <c r="F33841" s="2423"/>
    </row>
    <row r="33842" s="101" customFormat="1" spans="6:6">
      <c r="F33842" s="2423"/>
    </row>
    <row r="33843" s="101" customFormat="1" spans="6:6">
      <c r="F33843" s="2423"/>
    </row>
    <row r="33844" s="101" customFormat="1" spans="6:6">
      <c r="F33844" s="2423"/>
    </row>
    <row r="33845" s="101" customFormat="1" spans="6:6">
      <c r="F33845" s="2423"/>
    </row>
    <row r="33846" s="101" customFormat="1" spans="6:6">
      <c r="F33846" s="2423"/>
    </row>
    <row r="33847" s="101" customFormat="1" spans="6:6">
      <c r="F33847" s="2423"/>
    </row>
    <row r="33848" s="101" customFormat="1" spans="6:6">
      <c r="F33848" s="2423"/>
    </row>
    <row r="33849" s="101" customFormat="1" spans="6:6">
      <c r="F33849" s="2423"/>
    </row>
    <row r="33850" s="101" customFormat="1" spans="6:6">
      <c r="F33850" s="2423"/>
    </row>
    <row r="33851" s="101" customFormat="1" spans="6:6">
      <c r="F33851" s="2423"/>
    </row>
    <row r="33852" s="101" customFormat="1" spans="6:6">
      <c r="F33852" s="2423"/>
    </row>
    <row r="33853" s="101" customFormat="1" spans="6:6">
      <c r="F33853" s="2423"/>
    </row>
    <row r="33854" s="101" customFormat="1" spans="6:6">
      <c r="F33854" s="2423"/>
    </row>
    <row r="33855" s="101" customFormat="1" spans="6:6">
      <c r="F33855" s="2423"/>
    </row>
    <row r="33856" s="101" customFormat="1" spans="6:6">
      <c r="F33856" s="2423"/>
    </row>
    <row r="33857" s="101" customFormat="1" spans="6:6">
      <c r="F33857" s="2423"/>
    </row>
    <row r="33858" s="101" customFormat="1" spans="6:6">
      <c r="F33858" s="2423"/>
    </row>
    <row r="33859" s="101" customFormat="1" spans="6:6">
      <c r="F33859" s="2423"/>
    </row>
    <row r="33860" s="101" customFormat="1" spans="6:6">
      <c r="F33860" s="2423"/>
    </row>
    <row r="33861" s="101" customFormat="1" spans="6:6">
      <c r="F33861" s="2423"/>
    </row>
    <row r="33862" s="101" customFormat="1" spans="6:6">
      <c r="F33862" s="2423"/>
    </row>
    <row r="33863" s="101" customFormat="1" spans="6:6">
      <c r="F33863" s="2423"/>
    </row>
    <row r="33864" s="101" customFormat="1" spans="6:6">
      <c r="F33864" s="2423"/>
    </row>
    <row r="33865" s="101" customFormat="1" spans="6:6">
      <c r="F33865" s="2423"/>
    </row>
    <row r="33866" s="101" customFormat="1" spans="6:6">
      <c r="F33866" s="2423"/>
    </row>
    <row r="33867" s="101" customFormat="1" spans="6:6">
      <c r="F33867" s="2423"/>
    </row>
    <row r="33868" s="101" customFormat="1" spans="6:6">
      <c r="F33868" s="2423"/>
    </row>
    <row r="33869" s="101" customFormat="1" spans="6:6">
      <c r="F33869" s="2423"/>
    </row>
    <row r="33870" s="101" customFormat="1" spans="6:6">
      <c r="F33870" s="2423"/>
    </row>
    <row r="33871" s="101" customFormat="1" spans="6:6">
      <c r="F33871" s="2423"/>
    </row>
    <row r="33872" s="101" customFormat="1" spans="6:6">
      <c r="F33872" s="2423"/>
    </row>
    <row r="33873" s="101" customFormat="1" spans="6:6">
      <c r="F33873" s="2423"/>
    </row>
    <row r="33874" s="101" customFormat="1" spans="6:6">
      <c r="F33874" s="2423"/>
    </row>
    <row r="33875" s="101" customFormat="1" spans="6:6">
      <c r="F33875" s="2423"/>
    </row>
    <row r="33876" s="101" customFormat="1" spans="6:6">
      <c r="F33876" s="2423"/>
    </row>
    <row r="33877" s="101" customFormat="1" spans="6:6">
      <c r="F33877" s="2423"/>
    </row>
    <row r="33878" s="101" customFormat="1" spans="6:6">
      <c r="F33878" s="2423"/>
    </row>
    <row r="33879" s="101" customFormat="1" spans="6:6">
      <c r="F33879" s="2423"/>
    </row>
    <row r="33880" s="101" customFormat="1" spans="6:6">
      <c r="F33880" s="2423"/>
    </row>
    <row r="33881" s="101" customFormat="1" spans="6:6">
      <c r="F33881" s="2423"/>
    </row>
    <row r="33882" s="101" customFormat="1" spans="6:6">
      <c r="F33882" s="2423"/>
    </row>
    <row r="33883" s="101" customFormat="1" spans="6:6">
      <c r="F33883" s="2423"/>
    </row>
    <row r="33884" s="101" customFormat="1" spans="6:6">
      <c r="F33884" s="2423"/>
    </row>
    <row r="33885" s="101" customFormat="1" spans="6:6">
      <c r="F33885" s="2423"/>
    </row>
    <row r="33886" s="101" customFormat="1" spans="6:6">
      <c r="F33886" s="2423"/>
    </row>
    <row r="33887" s="101" customFormat="1" spans="6:6">
      <c r="F33887" s="2423"/>
    </row>
    <row r="33888" s="101" customFormat="1" spans="6:6">
      <c r="F33888" s="2423"/>
    </row>
    <row r="33889" s="101" customFormat="1" spans="6:6">
      <c r="F33889" s="2423"/>
    </row>
    <row r="33890" s="101" customFormat="1" spans="6:6">
      <c r="F33890" s="2423"/>
    </row>
    <row r="33891" s="101" customFormat="1" spans="6:6">
      <c r="F33891" s="2423"/>
    </row>
    <row r="33892" s="101" customFormat="1" spans="6:6">
      <c r="F33892" s="2423"/>
    </row>
    <row r="33893" s="101" customFormat="1" spans="6:6">
      <c r="F33893" s="2423"/>
    </row>
    <row r="33894" s="101" customFormat="1" spans="6:6">
      <c r="F33894" s="2423"/>
    </row>
    <row r="33895" s="101" customFormat="1" spans="6:6">
      <c r="F33895" s="2423"/>
    </row>
    <row r="33896" s="101" customFormat="1" spans="6:6">
      <c r="F33896" s="2423"/>
    </row>
    <row r="33897" s="101" customFormat="1" spans="6:6">
      <c r="F33897" s="2423"/>
    </row>
    <row r="33898" s="101" customFormat="1" spans="6:6">
      <c r="F33898" s="2423"/>
    </row>
    <row r="33899" s="101" customFormat="1" spans="6:6">
      <c r="F33899" s="2423"/>
    </row>
    <row r="33900" s="101" customFormat="1" spans="6:6">
      <c r="F33900" s="2423"/>
    </row>
    <row r="33901" s="101" customFormat="1" spans="6:6">
      <c r="F33901" s="2423"/>
    </row>
    <row r="33902" s="101" customFormat="1" spans="6:6">
      <c r="F33902" s="2423"/>
    </row>
    <row r="33903" s="101" customFormat="1" spans="6:6">
      <c r="F33903" s="2423"/>
    </row>
    <row r="33904" s="101" customFormat="1" spans="6:6">
      <c r="F33904" s="2423"/>
    </row>
    <row r="33905" s="101" customFormat="1" spans="6:6">
      <c r="F33905" s="2423"/>
    </row>
    <row r="33906" s="101" customFormat="1" spans="6:6">
      <c r="F33906" s="2423"/>
    </row>
    <row r="33907" s="101" customFormat="1" spans="6:6">
      <c r="F33907" s="2423"/>
    </row>
    <row r="33908" s="101" customFormat="1" spans="6:6">
      <c r="F33908" s="2423"/>
    </row>
    <row r="33909" s="101" customFormat="1" spans="6:6">
      <c r="F33909" s="2423"/>
    </row>
    <row r="33910" s="101" customFormat="1" spans="6:6">
      <c r="F33910" s="2423"/>
    </row>
    <row r="33911" s="101" customFormat="1" spans="6:6">
      <c r="F33911" s="2423"/>
    </row>
    <row r="33912" s="101" customFormat="1" spans="6:6">
      <c r="F33912" s="2423"/>
    </row>
    <row r="33913" s="101" customFormat="1" spans="6:6">
      <c r="F33913" s="2423"/>
    </row>
    <row r="33914" s="101" customFormat="1" spans="6:6">
      <c r="F33914" s="2423"/>
    </row>
    <row r="33915" s="101" customFormat="1" spans="6:6">
      <c r="F33915" s="2423"/>
    </row>
    <row r="33916" s="101" customFormat="1" spans="6:6">
      <c r="F33916" s="2423"/>
    </row>
    <row r="33917" s="101" customFormat="1" spans="6:6">
      <c r="F33917" s="2423"/>
    </row>
    <row r="33918" s="101" customFormat="1" spans="6:6">
      <c r="F33918" s="2423"/>
    </row>
    <row r="33919" s="101" customFormat="1" spans="6:6">
      <c r="F33919" s="2423"/>
    </row>
    <row r="33920" s="101" customFormat="1" spans="6:6">
      <c r="F33920" s="2423"/>
    </row>
    <row r="33921" s="101" customFormat="1" spans="6:6">
      <c r="F33921" s="2423"/>
    </row>
    <row r="33922" s="101" customFormat="1" spans="6:6">
      <c r="F33922" s="2423"/>
    </row>
    <row r="33923" s="101" customFormat="1" spans="6:6">
      <c r="F33923" s="2423"/>
    </row>
    <row r="33924" s="101" customFormat="1" spans="6:6">
      <c r="F33924" s="2423"/>
    </row>
    <row r="33925" s="101" customFormat="1" spans="6:6">
      <c r="F33925" s="2423"/>
    </row>
    <row r="33926" s="101" customFormat="1" spans="6:6">
      <c r="F33926" s="2423"/>
    </row>
    <row r="33927" s="101" customFormat="1" spans="6:6">
      <c r="F33927" s="2423"/>
    </row>
    <row r="33928" s="101" customFormat="1" spans="6:6">
      <c r="F33928" s="2423"/>
    </row>
    <row r="33929" s="101" customFormat="1" spans="6:6">
      <c r="F33929" s="2423"/>
    </row>
    <row r="33930" s="101" customFormat="1" spans="6:6">
      <c r="F33930" s="2423"/>
    </row>
    <row r="33931" s="101" customFormat="1" spans="6:6">
      <c r="F33931" s="2423"/>
    </row>
    <row r="33932" s="101" customFormat="1" spans="6:6">
      <c r="F33932" s="2423"/>
    </row>
    <row r="33933" s="101" customFormat="1" spans="6:6">
      <c r="F33933" s="2423"/>
    </row>
    <row r="33934" s="101" customFormat="1" spans="6:6">
      <c r="F33934" s="2423"/>
    </row>
    <row r="33935" s="101" customFormat="1" spans="6:6">
      <c r="F33935" s="2423"/>
    </row>
    <row r="33936" s="101" customFormat="1" spans="6:6">
      <c r="F33936" s="2423"/>
    </row>
    <row r="33937" s="101" customFormat="1" spans="6:6">
      <c r="F33937" s="2423"/>
    </row>
    <row r="33938" s="101" customFormat="1" spans="6:6">
      <c r="F33938" s="2423"/>
    </row>
    <row r="33939" s="101" customFormat="1" spans="6:6">
      <c r="F33939" s="2423"/>
    </row>
    <row r="33940" s="101" customFormat="1" spans="6:6">
      <c r="F33940" s="2423"/>
    </row>
    <row r="33941" s="101" customFormat="1" spans="6:6">
      <c r="F33941" s="2423"/>
    </row>
    <row r="33942" s="101" customFormat="1" spans="6:6">
      <c r="F33942" s="2423"/>
    </row>
    <row r="33943" s="101" customFormat="1" spans="6:6">
      <c r="F33943" s="2423"/>
    </row>
    <row r="33944" s="101" customFormat="1" spans="6:6">
      <c r="F33944" s="2423"/>
    </row>
    <row r="33945" s="101" customFormat="1" spans="6:6">
      <c r="F33945" s="2423"/>
    </row>
    <row r="33946" s="101" customFormat="1" spans="6:6">
      <c r="F33946" s="2423"/>
    </row>
    <row r="33947" s="101" customFormat="1" spans="6:6">
      <c r="F33947" s="2423"/>
    </row>
    <row r="33948" s="101" customFormat="1" spans="6:6">
      <c r="F33948" s="2423"/>
    </row>
    <row r="33949" s="101" customFormat="1" spans="6:6">
      <c r="F33949" s="2423"/>
    </row>
    <row r="33950" s="101" customFormat="1" spans="6:6">
      <c r="F33950" s="2423"/>
    </row>
    <row r="33951" s="101" customFormat="1" spans="6:6">
      <c r="F33951" s="2423"/>
    </row>
    <row r="33952" s="101" customFormat="1" spans="6:6">
      <c r="F33952" s="2423"/>
    </row>
    <row r="33953" s="101" customFormat="1" spans="6:6">
      <c r="F33953" s="2423"/>
    </row>
    <row r="33954" s="101" customFormat="1" spans="6:6">
      <c r="F33954" s="2423"/>
    </row>
    <row r="33955" s="101" customFormat="1" spans="6:6">
      <c r="F33955" s="2423"/>
    </row>
    <row r="33956" s="101" customFormat="1" spans="6:6">
      <c r="F33956" s="2423"/>
    </row>
    <row r="33957" s="101" customFormat="1" spans="6:6">
      <c r="F33957" s="2423"/>
    </row>
    <row r="33958" s="101" customFormat="1" spans="6:6">
      <c r="F33958" s="2423"/>
    </row>
    <row r="33959" s="101" customFormat="1" spans="6:6">
      <c r="F33959" s="2423"/>
    </row>
    <row r="33960" s="101" customFormat="1" spans="6:6">
      <c r="F33960" s="2423"/>
    </row>
    <row r="33961" s="101" customFormat="1" spans="6:6">
      <c r="F33961" s="2423"/>
    </row>
    <row r="33962" s="101" customFormat="1" spans="6:6">
      <c r="F33962" s="2423"/>
    </row>
    <row r="33963" s="101" customFormat="1" spans="6:6">
      <c r="F33963" s="2423"/>
    </row>
    <row r="33964" s="101" customFormat="1" spans="6:6">
      <c r="F33964" s="2423"/>
    </row>
    <row r="33965" s="101" customFormat="1" spans="6:6">
      <c r="F33965" s="2423"/>
    </row>
    <row r="33966" s="101" customFormat="1" spans="6:6">
      <c r="F33966" s="2423"/>
    </row>
    <row r="33967" s="101" customFormat="1" spans="6:6">
      <c r="F33967" s="2423"/>
    </row>
    <row r="33968" s="101" customFormat="1" spans="6:6">
      <c r="F33968" s="2423"/>
    </row>
    <row r="33969" s="101" customFormat="1" spans="6:6">
      <c r="F33969" s="2423"/>
    </row>
    <row r="33970" s="101" customFormat="1" spans="6:6">
      <c r="F33970" s="2423"/>
    </row>
    <row r="33971" s="101" customFormat="1" spans="6:6">
      <c r="F33971" s="2423"/>
    </row>
    <row r="33972" s="101" customFormat="1" spans="6:6">
      <c r="F33972" s="2423"/>
    </row>
    <row r="33973" s="101" customFormat="1" spans="6:6">
      <c r="F33973" s="2423"/>
    </row>
    <row r="33974" s="101" customFormat="1" spans="6:6">
      <c r="F33974" s="2423"/>
    </row>
    <row r="33975" s="101" customFormat="1" spans="6:6">
      <c r="F33975" s="2423"/>
    </row>
    <row r="33976" s="101" customFormat="1" spans="6:6">
      <c r="F33976" s="2423"/>
    </row>
    <row r="33977" s="101" customFormat="1" spans="6:6">
      <c r="F33977" s="2423"/>
    </row>
    <row r="33978" s="101" customFormat="1" spans="6:6">
      <c r="F33978" s="2423"/>
    </row>
    <row r="33979" s="101" customFormat="1" spans="6:6">
      <c r="F33979" s="2423"/>
    </row>
    <row r="33980" s="101" customFormat="1" spans="6:6">
      <c r="F33980" s="2423"/>
    </row>
    <row r="33981" s="101" customFormat="1" spans="6:6">
      <c r="F33981" s="2423"/>
    </row>
    <row r="33982" s="101" customFormat="1" spans="6:6">
      <c r="F33982" s="2423"/>
    </row>
    <row r="33983" s="101" customFormat="1" spans="6:6">
      <c r="F33983" s="2423"/>
    </row>
    <row r="33984" s="101" customFormat="1" spans="6:6">
      <c r="F33984" s="2423"/>
    </row>
    <row r="33985" s="101" customFormat="1" spans="6:6">
      <c r="F33985" s="2423"/>
    </row>
    <row r="33986" s="101" customFormat="1" spans="6:6">
      <c r="F33986" s="2423"/>
    </row>
    <row r="33987" s="101" customFormat="1" spans="6:6">
      <c r="F33987" s="2423"/>
    </row>
    <row r="33988" s="101" customFormat="1" spans="6:6">
      <c r="F33988" s="2423"/>
    </row>
    <row r="33989" s="101" customFormat="1" spans="6:6">
      <c r="F33989" s="2423"/>
    </row>
    <row r="33990" s="101" customFormat="1" spans="6:6">
      <c r="F33990" s="2423"/>
    </row>
    <row r="33991" s="101" customFormat="1" spans="6:6">
      <c r="F33991" s="2423"/>
    </row>
    <row r="33992" s="101" customFormat="1" spans="6:6">
      <c r="F33992" s="2423"/>
    </row>
    <row r="33993" s="101" customFormat="1" spans="6:6">
      <c r="F33993" s="2423"/>
    </row>
    <row r="33994" s="101" customFormat="1" spans="6:6">
      <c r="F33994" s="2423"/>
    </row>
    <row r="33995" s="101" customFormat="1" spans="6:6">
      <c r="F33995" s="2423"/>
    </row>
    <row r="33996" s="101" customFormat="1" spans="6:6">
      <c r="F33996" s="2423"/>
    </row>
    <row r="33997" s="101" customFormat="1" spans="6:6">
      <c r="F33997" s="2423"/>
    </row>
    <row r="33998" s="101" customFormat="1" spans="6:6">
      <c r="F33998" s="2423"/>
    </row>
    <row r="33999" s="101" customFormat="1" spans="6:6">
      <c r="F33999" s="2423"/>
    </row>
    <row r="34000" s="101" customFormat="1" spans="6:6">
      <c r="F34000" s="2423"/>
    </row>
    <row r="34001" s="101" customFormat="1" spans="6:6">
      <c r="F34001" s="2423"/>
    </row>
    <row r="34002" s="101" customFormat="1" spans="6:6">
      <c r="F34002" s="2423"/>
    </row>
    <row r="34003" s="101" customFormat="1" spans="6:6">
      <c r="F34003" s="2423"/>
    </row>
    <row r="34004" s="101" customFormat="1" spans="6:6">
      <c r="F34004" s="2423"/>
    </row>
    <row r="34005" s="101" customFormat="1" spans="6:6">
      <c r="F34005" s="2423"/>
    </row>
    <row r="34006" s="101" customFormat="1" spans="6:6">
      <c r="F34006" s="2423"/>
    </row>
    <row r="34007" s="101" customFormat="1" spans="6:6">
      <c r="F34007" s="2423"/>
    </row>
    <row r="34008" s="101" customFormat="1" spans="6:6">
      <c r="F34008" s="2423"/>
    </row>
    <row r="34009" s="101" customFormat="1" spans="6:6">
      <c r="F34009" s="2423"/>
    </row>
    <row r="34010" s="101" customFormat="1" spans="6:6">
      <c r="F34010" s="2423"/>
    </row>
    <row r="34011" s="101" customFormat="1" spans="6:6">
      <c r="F34011" s="2423"/>
    </row>
    <row r="34012" s="101" customFormat="1" spans="6:6">
      <c r="F34012" s="2423"/>
    </row>
    <row r="34013" s="101" customFormat="1" spans="6:6">
      <c r="F34013" s="2423"/>
    </row>
    <row r="34014" s="101" customFormat="1" spans="6:6">
      <c r="F34014" s="2423"/>
    </row>
    <row r="34015" s="101" customFormat="1" spans="6:6">
      <c r="F34015" s="2423"/>
    </row>
    <row r="34016" s="101" customFormat="1" spans="6:6">
      <c r="F34016" s="2423"/>
    </row>
    <row r="34017" s="101" customFormat="1" spans="6:6">
      <c r="F34017" s="2423"/>
    </row>
    <row r="34018" s="101" customFormat="1" spans="6:6">
      <c r="F34018" s="2423"/>
    </row>
    <row r="34019" s="101" customFormat="1" spans="6:6">
      <c r="F34019" s="2423"/>
    </row>
    <row r="34020" s="101" customFormat="1" spans="6:6">
      <c r="F34020" s="2423"/>
    </row>
    <row r="34021" s="101" customFormat="1" spans="6:6">
      <c r="F34021" s="2423"/>
    </row>
    <row r="34022" s="101" customFormat="1" spans="6:6">
      <c r="F34022" s="2423"/>
    </row>
    <row r="34023" s="101" customFormat="1" spans="6:6">
      <c r="F34023" s="2423"/>
    </row>
    <row r="34024" s="101" customFormat="1" spans="6:6">
      <c r="F34024" s="2423"/>
    </row>
    <row r="34025" s="101" customFormat="1" spans="6:6">
      <c r="F34025" s="2423"/>
    </row>
    <row r="34026" s="101" customFormat="1" spans="6:6">
      <c r="F34026" s="2423"/>
    </row>
    <row r="34027" s="101" customFormat="1" spans="6:6">
      <c r="F34027" s="2423"/>
    </row>
    <row r="34028" s="101" customFormat="1" spans="6:6">
      <c r="F34028" s="2423"/>
    </row>
    <row r="34029" s="101" customFormat="1" spans="6:6">
      <c r="F34029" s="2423"/>
    </row>
    <row r="34030" s="101" customFormat="1" spans="6:6">
      <c r="F34030" s="2423"/>
    </row>
    <row r="34031" s="101" customFormat="1" spans="6:6">
      <c r="F34031" s="2423"/>
    </row>
    <row r="34032" s="101" customFormat="1" spans="6:6">
      <c r="F34032" s="2423"/>
    </row>
    <row r="34033" s="101" customFormat="1" spans="6:6">
      <c r="F34033" s="2423"/>
    </row>
    <row r="34034" s="101" customFormat="1" spans="6:6">
      <c r="F34034" s="2423"/>
    </row>
    <row r="34035" s="101" customFormat="1" spans="6:6">
      <c r="F34035" s="2423"/>
    </row>
    <row r="34036" s="101" customFormat="1" spans="6:6">
      <c r="F34036" s="2423"/>
    </row>
    <row r="34037" s="101" customFormat="1" spans="6:6">
      <c r="F34037" s="2423"/>
    </row>
    <row r="34038" s="101" customFormat="1" spans="6:6">
      <c r="F34038" s="2423"/>
    </row>
    <row r="34039" s="101" customFormat="1" spans="6:6">
      <c r="F34039" s="2423"/>
    </row>
    <row r="34040" s="101" customFormat="1" spans="6:6">
      <c r="F34040" s="2423"/>
    </row>
    <row r="34041" s="101" customFormat="1" spans="6:6">
      <c r="F34041" s="2423"/>
    </row>
    <row r="34042" s="101" customFormat="1" spans="6:6">
      <c r="F34042" s="2423"/>
    </row>
    <row r="34043" s="101" customFormat="1" spans="6:6">
      <c r="F34043" s="2423"/>
    </row>
    <row r="34044" s="101" customFormat="1" spans="6:6">
      <c r="F34044" s="2423"/>
    </row>
    <row r="34045" s="101" customFormat="1" spans="6:6">
      <c r="F34045" s="2423"/>
    </row>
    <row r="34046" s="101" customFormat="1" spans="6:6">
      <c r="F34046" s="2423"/>
    </row>
    <row r="34047" s="101" customFormat="1" spans="6:6">
      <c r="F34047" s="2423"/>
    </row>
    <row r="34048" s="101" customFormat="1" spans="6:6">
      <c r="F34048" s="2423"/>
    </row>
    <row r="34049" s="101" customFormat="1" spans="6:6">
      <c r="F34049" s="2423"/>
    </row>
    <row r="34050" s="101" customFormat="1" spans="6:6">
      <c r="F34050" s="2423"/>
    </row>
    <row r="34051" s="101" customFormat="1" spans="6:6">
      <c r="F34051" s="2423"/>
    </row>
    <row r="34052" s="101" customFormat="1" spans="6:6">
      <c r="F34052" s="2423"/>
    </row>
    <row r="34053" s="101" customFormat="1" spans="6:6">
      <c r="F34053" s="2423"/>
    </row>
    <row r="34054" s="101" customFormat="1" spans="6:6">
      <c r="F34054" s="2423"/>
    </row>
    <row r="34055" s="101" customFormat="1" spans="6:6">
      <c r="F34055" s="2423"/>
    </row>
    <row r="34056" s="101" customFormat="1" spans="6:6">
      <c r="F34056" s="2423"/>
    </row>
    <row r="34057" s="101" customFormat="1" spans="6:6">
      <c r="F34057" s="2423"/>
    </row>
    <row r="34058" s="101" customFormat="1" spans="6:6">
      <c r="F34058" s="2423"/>
    </row>
    <row r="34059" s="101" customFormat="1" spans="6:6">
      <c r="F34059" s="2423"/>
    </row>
    <row r="34060" s="101" customFormat="1" spans="6:6">
      <c r="F34060" s="2423"/>
    </row>
    <row r="34061" s="101" customFormat="1" spans="6:6">
      <c r="F34061" s="2423"/>
    </row>
    <row r="34062" s="101" customFormat="1" spans="6:6">
      <c r="F34062" s="2423"/>
    </row>
    <row r="34063" s="101" customFormat="1" spans="6:6">
      <c r="F34063" s="2423"/>
    </row>
    <row r="34064" s="101" customFormat="1" spans="6:6">
      <c r="F34064" s="2423"/>
    </row>
    <row r="34065" s="101" customFormat="1" spans="6:6">
      <c r="F34065" s="2423"/>
    </row>
    <row r="34066" s="101" customFormat="1" spans="6:6">
      <c r="F34066" s="2423"/>
    </row>
    <row r="34067" s="101" customFormat="1" spans="6:6">
      <c r="F34067" s="2423"/>
    </row>
    <row r="34068" s="101" customFormat="1" spans="6:6">
      <c r="F34068" s="2423"/>
    </row>
    <row r="34069" s="101" customFormat="1" spans="6:6">
      <c r="F34069" s="2423"/>
    </row>
    <row r="34070" s="101" customFormat="1" spans="6:6">
      <c r="F34070" s="2423"/>
    </row>
    <row r="34071" s="101" customFormat="1" spans="6:6">
      <c r="F34071" s="2423"/>
    </row>
    <row r="34072" s="101" customFormat="1" spans="6:6">
      <c r="F34072" s="2423"/>
    </row>
    <row r="34073" s="101" customFormat="1" spans="6:6">
      <c r="F34073" s="2423"/>
    </row>
    <row r="34074" s="101" customFormat="1" spans="6:6">
      <c r="F34074" s="2423"/>
    </row>
    <row r="34075" s="101" customFormat="1" spans="6:6">
      <c r="F34075" s="2423"/>
    </row>
    <row r="34076" s="101" customFormat="1" spans="6:6">
      <c r="F34076" s="2423"/>
    </row>
    <row r="34077" s="101" customFormat="1" spans="6:6">
      <c r="F34077" s="2423"/>
    </row>
    <row r="34078" s="101" customFormat="1" spans="6:6">
      <c r="F34078" s="2423"/>
    </row>
    <row r="34079" s="101" customFormat="1" spans="6:6">
      <c r="F34079" s="2423"/>
    </row>
    <row r="34080" s="101" customFormat="1" spans="6:6">
      <c r="F34080" s="2423"/>
    </row>
    <row r="34081" s="101" customFormat="1" spans="6:6">
      <c r="F34081" s="2423"/>
    </row>
    <row r="34082" s="101" customFormat="1" spans="6:6">
      <c r="F34082" s="2423"/>
    </row>
    <row r="34083" s="101" customFormat="1" spans="6:6">
      <c r="F34083" s="2423"/>
    </row>
    <row r="34084" s="101" customFormat="1" spans="6:6">
      <c r="F34084" s="2423"/>
    </row>
    <row r="34085" s="101" customFormat="1" spans="6:6">
      <c r="F34085" s="2423"/>
    </row>
    <row r="34086" s="101" customFormat="1" spans="6:6">
      <c r="F34086" s="2423"/>
    </row>
    <row r="34087" s="101" customFormat="1" spans="6:6">
      <c r="F34087" s="2423"/>
    </row>
    <row r="34088" s="101" customFormat="1" spans="6:6">
      <c r="F34088" s="2423"/>
    </row>
    <row r="34089" s="101" customFormat="1" spans="6:6">
      <c r="F34089" s="2423"/>
    </row>
    <row r="34090" s="101" customFormat="1" spans="6:6">
      <c r="F34090" s="2423"/>
    </row>
    <row r="34091" s="101" customFormat="1" spans="6:6">
      <c r="F34091" s="2423"/>
    </row>
    <row r="34092" s="101" customFormat="1" spans="6:6">
      <c r="F34092" s="2423"/>
    </row>
    <row r="34093" s="101" customFormat="1" spans="6:6">
      <c r="F34093" s="2423"/>
    </row>
    <row r="34094" s="101" customFormat="1" spans="6:6">
      <c r="F34094" s="2423"/>
    </row>
    <row r="34095" s="101" customFormat="1" spans="6:6">
      <c r="F34095" s="2423"/>
    </row>
    <row r="34096" s="101" customFormat="1" spans="6:6">
      <c r="F34096" s="2423"/>
    </row>
    <row r="34097" s="101" customFormat="1" spans="6:6">
      <c r="F34097" s="2423"/>
    </row>
    <row r="34098" s="101" customFormat="1" spans="6:6">
      <c r="F34098" s="2423"/>
    </row>
    <row r="34099" s="101" customFormat="1" spans="6:6">
      <c r="F34099" s="2423"/>
    </row>
    <row r="34100" s="101" customFormat="1" spans="6:6">
      <c r="F34100" s="2423"/>
    </row>
    <row r="34101" s="101" customFormat="1" spans="6:6">
      <c r="F34101" s="2423"/>
    </row>
    <row r="34102" s="101" customFormat="1" spans="6:6">
      <c r="F34102" s="2423"/>
    </row>
    <row r="34103" s="101" customFormat="1" spans="6:6">
      <c r="F34103" s="2423"/>
    </row>
    <row r="34104" s="101" customFormat="1" spans="6:6">
      <c r="F34104" s="2423"/>
    </row>
    <row r="34105" s="101" customFormat="1" spans="6:6">
      <c r="F34105" s="2423"/>
    </row>
    <row r="34106" s="101" customFormat="1" spans="6:6">
      <c r="F34106" s="2423"/>
    </row>
    <row r="34107" s="101" customFormat="1" spans="6:6">
      <c r="F34107" s="2423"/>
    </row>
    <row r="34108" s="101" customFormat="1" spans="6:6">
      <c r="F34108" s="2423"/>
    </row>
    <row r="34109" s="101" customFormat="1" spans="6:6">
      <c r="F34109" s="2423"/>
    </row>
    <row r="34110" s="101" customFormat="1" spans="6:6">
      <c r="F34110" s="2423"/>
    </row>
    <row r="34111" s="101" customFormat="1" spans="6:6">
      <c r="F34111" s="2423"/>
    </row>
    <row r="34112" s="101" customFormat="1" spans="6:6">
      <c r="F34112" s="2423"/>
    </row>
    <row r="34113" s="101" customFormat="1" spans="6:6">
      <c r="F34113" s="2423"/>
    </row>
    <row r="34114" s="101" customFormat="1" spans="6:6">
      <c r="F34114" s="2423"/>
    </row>
    <row r="34115" s="101" customFormat="1" spans="6:6">
      <c r="F34115" s="2423"/>
    </row>
    <row r="34116" s="101" customFormat="1" spans="6:6">
      <c r="F34116" s="2423"/>
    </row>
    <row r="34117" s="101" customFormat="1" spans="6:6">
      <c r="F34117" s="2423"/>
    </row>
    <row r="34118" s="101" customFormat="1" spans="6:6">
      <c r="F34118" s="2423"/>
    </row>
    <row r="34119" s="101" customFormat="1" spans="6:6">
      <c r="F34119" s="2423"/>
    </row>
    <row r="34120" s="101" customFormat="1" spans="6:6">
      <c r="F34120" s="2423"/>
    </row>
    <row r="34121" s="101" customFormat="1" spans="6:6">
      <c r="F34121" s="2423"/>
    </row>
    <row r="34122" s="101" customFormat="1" spans="6:6">
      <c r="F34122" s="2423"/>
    </row>
    <row r="34123" s="101" customFormat="1" spans="6:6">
      <c r="F34123" s="2423"/>
    </row>
    <row r="34124" s="101" customFormat="1" spans="6:6">
      <c r="F34124" s="2423"/>
    </row>
    <row r="34125" s="101" customFormat="1" spans="6:6">
      <c r="F34125" s="2423"/>
    </row>
    <row r="34126" s="101" customFormat="1" spans="6:6">
      <c r="F34126" s="2423"/>
    </row>
    <row r="34127" s="101" customFormat="1" spans="6:6">
      <c r="F34127" s="2423"/>
    </row>
    <row r="34128" s="101" customFormat="1" spans="6:6">
      <c r="F34128" s="2423"/>
    </row>
    <row r="34129" s="101" customFormat="1" spans="6:6">
      <c r="F34129" s="2423"/>
    </row>
    <row r="34130" s="101" customFormat="1" spans="6:6">
      <c r="F34130" s="2423"/>
    </row>
    <row r="34131" s="101" customFormat="1" spans="6:6">
      <c r="F34131" s="2423"/>
    </row>
    <row r="34132" s="101" customFormat="1" spans="6:6">
      <c r="F34132" s="2423"/>
    </row>
    <row r="34133" s="101" customFormat="1" spans="6:6">
      <c r="F34133" s="2423"/>
    </row>
    <row r="34134" s="101" customFormat="1" spans="6:6">
      <c r="F34134" s="2423"/>
    </row>
    <row r="34135" s="101" customFormat="1" spans="6:6">
      <c r="F34135" s="2423"/>
    </row>
    <row r="34136" s="101" customFormat="1" spans="6:6">
      <c r="F34136" s="2423"/>
    </row>
    <row r="34137" s="101" customFormat="1" spans="6:6">
      <c r="F34137" s="2423"/>
    </row>
    <row r="34138" s="101" customFormat="1" spans="6:6">
      <c r="F34138" s="2423"/>
    </row>
    <row r="34139" s="101" customFormat="1" spans="6:6">
      <c r="F34139" s="2423"/>
    </row>
    <row r="34140" s="101" customFormat="1" spans="6:6">
      <c r="F34140" s="2423"/>
    </row>
    <row r="34141" s="101" customFormat="1" spans="6:6">
      <c r="F34141" s="2423"/>
    </row>
    <row r="34142" s="101" customFormat="1" spans="6:6">
      <c r="F34142" s="2423"/>
    </row>
    <row r="34143" s="101" customFormat="1" spans="6:6">
      <c r="F34143" s="2423"/>
    </row>
    <row r="34144" s="101" customFormat="1" spans="6:6">
      <c r="F34144" s="2423"/>
    </row>
    <row r="34145" s="101" customFormat="1" spans="6:6">
      <c r="F34145" s="2423"/>
    </row>
    <row r="34146" s="101" customFormat="1" spans="6:6">
      <c r="F34146" s="2423"/>
    </row>
    <row r="34147" s="101" customFormat="1" spans="6:6">
      <c r="F34147" s="2423"/>
    </row>
    <row r="34148" s="101" customFormat="1" spans="6:6">
      <c r="F34148" s="2423"/>
    </row>
    <row r="34149" s="101" customFormat="1" spans="6:6">
      <c r="F34149" s="2423"/>
    </row>
    <row r="34150" s="101" customFormat="1" spans="6:6">
      <c r="F34150" s="2423"/>
    </row>
    <row r="34151" s="101" customFormat="1" spans="6:6">
      <c r="F34151" s="2423"/>
    </row>
    <row r="34152" s="101" customFormat="1" spans="6:6">
      <c r="F34152" s="2423"/>
    </row>
    <row r="34153" s="101" customFormat="1" spans="6:6">
      <c r="F34153" s="2423"/>
    </row>
    <row r="34154" s="101" customFormat="1" spans="6:6">
      <c r="F34154" s="2423"/>
    </row>
    <row r="34155" s="101" customFormat="1" spans="6:6">
      <c r="F34155" s="2423"/>
    </row>
    <row r="34156" s="101" customFormat="1" spans="6:6">
      <c r="F34156" s="2423"/>
    </row>
    <row r="34157" s="101" customFormat="1" spans="6:6">
      <c r="F34157" s="2423"/>
    </row>
    <row r="34158" s="101" customFormat="1" spans="6:6">
      <c r="F34158" s="2423"/>
    </row>
    <row r="34159" s="101" customFormat="1" spans="6:6">
      <c r="F34159" s="2423"/>
    </row>
    <row r="34160" s="101" customFormat="1" spans="6:6">
      <c r="F34160" s="2423"/>
    </row>
    <row r="34161" s="101" customFormat="1" spans="6:6">
      <c r="F34161" s="2423"/>
    </row>
    <row r="34162" s="101" customFormat="1" spans="6:6">
      <c r="F34162" s="2423"/>
    </row>
    <row r="34163" s="101" customFormat="1" spans="6:6">
      <c r="F34163" s="2423"/>
    </row>
    <row r="34164" s="101" customFormat="1" spans="6:6">
      <c r="F34164" s="2423"/>
    </row>
    <row r="34165" s="101" customFormat="1" spans="6:6">
      <c r="F34165" s="2423"/>
    </row>
    <row r="34166" s="101" customFormat="1" spans="6:6">
      <c r="F34166" s="2423"/>
    </row>
    <row r="34167" s="101" customFormat="1" spans="6:6">
      <c r="F34167" s="2423"/>
    </row>
    <row r="34168" s="101" customFormat="1" spans="6:6">
      <c r="F34168" s="2423"/>
    </row>
    <row r="34169" s="101" customFormat="1" spans="6:6">
      <c r="F34169" s="2423"/>
    </row>
    <row r="34170" s="101" customFormat="1" spans="6:6">
      <c r="F34170" s="2423"/>
    </row>
    <row r="34171" s="101" customFormat="1" spans="6:6">
      <c r="F34171" s="2423"/>
    </row>
    <row r="34172" s="101" customFormat="1" spans="6:6">
      <c r="F34172" s="2423"/>
    </row>
    <row r="34173" s="101" customFormat="1" spans="6:6">
      <c r="F34173" s="2423"/>
    </row>
    <row r="34174" s="101" customFormat="1" spans="6:6">
      <c r="F34174" s="2423"/>
    </row>
    <row r="34175" s="101" customFormat="1" spans="6:6">
      <c r="F34175" s="2423"/>
    </row>
    <row r="34176" s="101" customFormat="1" spans="6:6">
      <c r="F34176" s="2423"/>
    </row>
    <row r="34177" s="101" customFormat="1" spans="6:6">
      <c r="F34177" s="2423"/>
    </row>
    <row r="34178" s="101" customFormat="1" spans="6:6">
      <c r="F34178" s="2423"/>
    </row>
    <row r="34179" s="101" customFormat="1" spans="6:6">
      <c r="F34179" s="2423"/>
    </row>
    <row r="34180" s="101" customFormat="1" spans="6:6">
      <c r="F34180" s="2423"/>
    </row>
    <row r="34181" s="101" customFormat="1" spans="6:6">
      <c r="F34181" s="2423"/>
    </row>
    <row r="34182" s="101" customFormat="1" spans="6:6">
      <c r="F34182" s="2423"/>
    </row>
    <row r="34183" s="101" customFormat="1" spans="6:6">
      <c r="F34183" s="2423"/>
    </row>
    <row r="34184" s="101" customFormat="1" spans="6:6">
      <c r="F34184" s="2423"/>
    </row>
    <row r="34185" s="101" customFormat="1" spans="6:6">
      <c r="F34185" s="2423"/>
    </row>
    <row r="34186" s="101" customFormat="1" spans="6:6">
      <c r="F34186" s="2423"/>
    </row>
    <row r="34187" s="101" customFormat="1" spans="6:6">
      <c r="F34187" s="2423"/>
    </row>
    <row r="34188" s="101" customFormat="1" spans="6:6">
      <c r="F34188" s="2423"/>
    </row>
    <row r="34189" s="101" customFormat="1" spans="6:6">
      <c r="F34189" s="2423"/>
    </row>
    <row r="34190" s="101" customFormat="1" spans="6:6">
      <c r="F34190" s="2423"/>
    </row>
    <row r="34191" s="101" customFormat="1" spans="6:6">
      <c r="F34191" s="2423"/>
    </row>
    <row r="34192" s="101" customFormat="1" spans="6:6">
      <c r="F34192" s="2423"/>
    </row>
    <row r="34193" s="101" customFormat="1" spans="6:6">
      <c r="F34193" s="2423"/>
    </row>
    <row r="34194" s="101" customFormat="1" spans="6:6">
      <c r="F34194" s="2423"/>
    </row>
    <row r="34195" s="101" customFormat="1" spans="6:6">
      <c r="F34195" s="2423"/>
    </row>
    <row r="34196" s="101" customFormat="1" spans="6:6">
      <c r="F34196" s="2423"/>
    </row>
    <row r="34197" s="101" customFormat="1" spans="6:6">
      <c r="F34197" s="2423"/>
    </row>
    <row r="34198" s="101" customFormat="1" spans="6:6">
      <c r="F34198" s="2423"/>
    </row>
    <row r="34199" s="101" customFormat="1" spans="6:6">
      <c r="F34199" s="2423"/>
    </row>
    <row r="34200" s="101" customFormat="1" spans="6:6">
      <c r="F34200" s="2423"/>
    </row>
    <row r="34201" s="101" customFormat="1" spans="6:6">
      <c r="F34201" s="2423"/>
    </row>
    <row r="34202" s="101" customFormat="1" spans="6:6">
      <c r="F34202" s="2423"/>
    </row>
    <row r="34203" s="101" customFormat="1" spans="6:6">
      <c r="F34203" s="2423"/>
    </row>
    <row r="34204" s="101" customFormat="1" spans="6:6">
      <c r="F34204" s="2423"/>
    </row>
    <row r="34205" s="101" customFormat="1" spans="6:6">
      <c r="F34205" s="2423"/>
    </row>
    <row r="34206" s="101" customFormat="1" spans="6:6">
      <c r="F34206" s="2423"/>
    </row>
    <row r="34207" s="101" customFormat="1" spans="6:6">
      <c r="F34207" s="2423"/>
    </row>
    <row r="34208" s="101" customFormat="1" spans="6:6">
      <c r="F34208" s="2423"/>
    </row>
    <row r="34209" s="101" customFormat="1" spans="6:6">
      <c r="F34209" s="2423"/>
    </row>
    <row r="34210" s="101" customFormat="1" spans="6:6">
      <c r="F34210" s="2423"/>
    </row>
    <row r="34211" s="101" customFormat="1" spans="6:6">
      <c r="F34211" s="2423"/>
    </row>
    <row r="34212" s="101" customFormat="1" spans="6:6">
      <c r="F34212" s="2423"/>
    </row>
    <row r="34213" s="101" customFormat="1" spans="6:6">
      <c r="F34213" s="2423"/>
    </row>
    <row r="34214" s="101" customFormat="1" spans="6:6">
      <c r="F34214" s="2423"/>
    </row>
    <row r="34215" s="101" customFormat="1" spans="6:6">
      <c r="F34215" s="2423"/>
    </row>
    <row r="34216" s="101" customFormat="1" spans="6:6">
      <c r="F34216" s="2423"/>
    </row>
    <row r="34217" s="101" customFormat="1" spans="6:6">
      <c r="F34217" s="2423"/>
    </row>
    <row r="34218" s="101" customFormat="1" spans="6:6">
      <c r="F34218" s="2423"/>
    </row>
    <row r="34219" s="101" customFormat="1" spans="6:6">
      <c r="F34219" s="2423"/>
    </row>
    <row r="34220" s="101" customFormat="1" spans="6:6">
      <c r="F34220" s="2423"/>
    </row>
    <row r="34221" s="101" customFormat="1" spans="6:6">
      <c r="F34221" s="2423"/>
    </row>
    <row r="34222" s="101" customFormat="1" spans="6:6">
      <c r="F34222" s="2423"/>
    </row>
    <row r="34223" s="101" customFormat="1" spans="6:6">
      <c r="F34223" s="2423"/>
    </row>
    <row r="34224" s="101" customFormat="1" spans="6:6">
      <c r="F34224" s="2423"/>
    </row>
    <row r="34225" s="101" customFormat="1" spans="6:6">
      <c r="F34225" s="2423"/>
    </row>
    <row r="34226" s="101" customFormat="1" spans="6:6">
      <c r="F34226" s="2423"/>
    </row>
    <row r="34227" s="101" customFormat="1" spans="6:6">
      <c r="F34227" s="2423"/>
    </row>
    <row r="34228" s="101" customFormat="1" spans="6:6">
      <c r="F34228" s="2423"/>
    </row>
    <row r="34229" s="101" customFormat="1" spans="6:6">
      <c r="F34229" s="2423"/>
    </row>
    <row r="34230" s="101" customFormat="1" spans="6:6">
      <c r="F34230" s="2423"/>
    </row>
    <row r="34231" s="101" customFormat="1" spans="6:6">
      <c r="F34231" s="2423"/>
    </row>
    <row r="34232" s="101" customFormat="1" spans="6:6">
      <c r="F34232" s="2423"/>
    </row>
    <row r="34233" s="101" customFormat="1" spans="6:6">
      <c r="F34233" s="2423"/>
    </row>
    <row r="34234" s="101" customFormat="1" spans="6:6">
      <c r="F34234" s="2423"/>
    </row>
    <row r="34235" s="101" customFormat="1" spans="6:6">
      <c r="F34235" s="2423"/>
    </row>
    <row r="34236" s="101" customFormat="1" spans="6:6">
      <c r="F34236" s="2423"/>
    </row>
    <row r="34237" s="101" customFormat="1" spans="6:6">
      <c r="F34237" s="2423"/>
    </row>
    <row r="34238" s="101" customFormat="1" spans="6:6">
      <c r="F34238" s="2423"/>
    </row>
    <row r="34239" s="101" customFormat="1" spans="6:6">
      <c r="F34239" s="2423"/>
    </row>
    <row r="34240" s="101" customFormat="1" spans="6:6">
      <c r="F34240" s="2423"/>
    </row>
    <row r="34241" s="101" customFormat="1" spans="6:6">
      <c r="F34241" s="2423"/>
    </row>
    <row r="34242" s="101" customFormat="1" spans="6:6">
      <c r="F34242" s="2423"/>
    </row>
    <row r="34243" s="101" customFormat="1" spans="6:6">
      <c r="F34243" s="2423"/>
    </row>
    <row r="34244" s="101" customFormat="1" spans="6:6">
      <c r="F34244" s="2423"/>
    </row>
    <row r="34245" s="101" customFormat="1" spans="6:6">
      <c r="F34245" s="2423"/>
    </row>
    <row r="34246" s="101" customFormat="1" spans="6:6">
      <c r="F34246" s="2423"/>
    </row>
    <row r="34247" s="101" customFormat="1" spans="6:6">
      <c r="F34247" s="2423"/>
    </row>
    <row r="34248" s="101" customFormat="1" spans="6:6">
      <c r="F34248" s="2423"/>
    </row>
    <row r="34249" s="101" customFormat="1" spans="6:6">
      <c r="F34249" s="2423"/>
    </row>
    <row r="34250" s="101" customFormat="1" spans="6:6">
      <c r="F34250" s="2423"/>
    </row>
    <row r="34251" s="101" customFormat="1" spans="6:6">
      <c r="F34251" s="2423"/>
    </row>
    <row r="34252" s="101" customFormat="1" spans="6:6">
      <c r="F34252" s="2423"/>
    </row>
    <row r="34253" s="101" customFormat="1" spans="6:6">
      <c r="F34253" s="2423"/>
    </row>
    <row r="34254" s="101" customFormat="1" spans="6:6">
      <c r="F34254" s="2423"/>
    </row>
    <row r="34255" s="101" customFormat="1" spans="6:6">
      <c r="F34255" s="2423"/>
    </row>
    <row r="34256" s="101" customFormat="1" spans="6:6">
      <c r="F34256" s="2423"/>
    </row>
    <row r="34257" s="101" customFormat="1" spans="6:6">
      <c r="F34257" s="2423"/>
    </row>
    <row r="34258" s="101" customFormat="1" spans="6:6">
      <c r="F34258" s="2423"/>
    </row>
    <row r="34259" s="101" customFormat="1" spans="6:6">
      <c r="F34259" s="2423"/>
    </row>
    <row r="34260" s="101" customFormat="1" spans="6:6">
      <c r="F34260" s="2423"/>
    </row>
    <row r="34261" s="101" customFormat="1" spans="6:6">
      <c r="F34261" s="2423"/>
    </row>
    <row r="34262" s="101" customFormat="1" spans="6:6">
      <c r="F34262" s="2423"/>
    </row>
    <row r="34263" s="101" customFormat="1" spans="6:6">
      <c r="F34263" s="2423"/>
    </row>
    <row r="34264" s="101" customFormat="1" spans="6:6">
      <c r="F34264" s="2423"/>
    </row>
    <row r="34265" s="101" customFormat="1" spans="6:6">
      <c r="F34265" s="2423"/>
    </row>
    <row r="34266" s="101" customFormat="1" spans="6:6">
      <c r="F34266" s="2423"/>
    </row>
    <row r="34267" s="101" customFormat="1" spans="6:6">
      <c r="F34267" s="2423"/>
    </row>
    <row r="34268" s="101" customFormat="1" spans="6:6">
      <c r="F34268" s="2423"/>
    </row>
    <row r="34269" s="101" customFormat="1" spans="6:6">
      <c r="F34269" s="2423"/>
    </row>
    <row r="34270" s="101" customFormat="1" spans="6:6">
      <c r="F34270" s="2423"/>
    </row>
    <row r="34271" s="101" customFormat="1" spans="6:6">
      <c r="F34271" s="2423"/>
    </row>
    <row r="34272" s="101" customFormat="1" spans="6:6">
      <c r="F34272" s="2423"/>
    </row>
    <row r="34273" s="101" customFormat="1" spans="6:6">
      <c r="F34273" s="2423"/>
    </row>
    <row r="34274" s="101" customFormat="1" spans="6:6">
      <c r="F34274" s="2423"/>
    </row>
    <row r="34275" s="101" customFormat="1" spans="6:6">
      <c r="F34275" s="2423"/>
    </row>
    <row r="34276" s="101" customFormat="1" spans="6:6">
      <c r="F34276" s="2423"/>
    </row>
    <row r="34277" s="101" customFormat="1" spans="6:6">
      <c r="F34277" s="2423"/>
    </row>
    <row r="34278" s="101" customFormat="1" spans="6:6">
      <c r="F34278" s="2423"/>
    </row>
    <row r="34279" s="101" customFormat="1" spans="6:6">
      <c r="F34279" s="2423"/>
    </row>
    <row r="34280" s="101" customFormat="1" spans="6:6">
      <c r="F34280" s="2423"/>
    </row>
    <row r="34281" s="101" customFormat="1" spans="6:6">
      <c r="F34281" s="2423"/>
    </row>
    <row r="34282" s="101" customFormat="1" spans="6:6">
      <c r="F34282" s="2423"/>
    </row>
    <row r="34283" s="101" customFormat="1" spans="6:6">
      <c r="F34283" s="2423"/>
    </row>
    <row r="34284" s="101" customFormat="1" spans="6:6">
      <c r="F34284" s="2423"/>
    </row>
    <row r="34285" s="101" customFormat="1" spans="6:6">
      <c r="F34285" s="2423"/>
    </row>
    <row r="34286" s="101" customFormat="1" spans="6:6">
      <c r="F34286" s="2423"/>
    </row>
    <row r="34287" s="101" customFormat="1" spans="6:6">
      <c r="F34287" s="2423"/>
    </row>
    <row r="34288" s="101" customFormat="1" spans="6:6">
      <c r="F34288" s="2423"/>
    </row>
    <row r="34289" s="101" customFormat="1" spans="6:6">
      <c r="F34289" s="2423"/>
    </row>
    <row r="34290" s="101" customFormat="1" spans="6:6">
      <c r="F34290" s="2423"/>
    </row>
    <row r="34291" s="101" customFormat="1" spans="6:6">
      <c r="F34291" s="2423"/>
    </row>
    <row r="34292" s="101" customFormat="1" spans="6:6">
      <c r="F34292" s="2423"/>
    </row>
    <row r="34293" s="101" customFormat="1" spans="6:6">
      <c r="F34293" s="2423"/>
    </row>
    <row r="34294" s="101" customFormat="1" spans="6:6">
      <c r="F34294" s="2423"/>
    </row>
    <row r="34295" s="101" customFormat="1" spans="6:6">
      <c r="F34295" s="2423"/>
    </row>
    <row r="34296" s="101" customFormat="1" spans="6:6">
      <c r="F34296" s="2423"/>
    </row>
    <row r="34297" s="101" customFormat="1" spans="6:6">
      <c r="F34297" s="2423"/>
    </row>
    <row r="34298" s="101" customFormat="1" spans="6:6">
      <c r="F34298" s="2423"/>
    </row>
    <row r="34299" s="101" customFormat="1" spans="6:6">
      <c r="F34299" s="2423"/>
    </row>
    <row r="34300" s="101" customFormat="1" spans="6:6">
      <c r="F34300" s="2423"/>
    </row>
    <row r="34301" s="101" customFormat="1" spans="6:6">
      <c r="F34301" s="2423"/>
    </row>
    <row r="34302" s="101" customFormat="1" spans="6:6">
      <c r="F34302" s="2423"/>
    </row>
    <row r="34303" s="101" customFormat="1" spans="6:6">
      <c r="F34303" s="2423"/>
    </row>
    <row r="34304" s="101" customFormat="1" spans="6:6">
      <c r="F34304" s="2423"/>
    </row>
    <row r="34305" s="101" customFormat="1" spans="6:6">
      <c r="F34305" s="2423"/>
    </row>
    <row r="34306" s="101" customFormat="1" spans="6:6">
      <c r="F34306" s="2423"/>
    </row>
    <row r="34307" s="101" customFormat="1" spans="6:6">
      <c r="F34307" s="2423"/>
    </row>
    <row r="34308" s="101" customFormat="1" spans="6:6">
      <c r="F34308" s="2423"/>
    </row>
    <row r="34309" s="101" customFormat="1" spans="6:6">
      <c r="F34309" s="2423"/>
    </row>
    <row r="34310" s="101" customFormat="1" spans="6:6">
      <c r="F34310" s="2423"/>
    </row>
    <row r="34311" s="101" customFormat="1" spans="6:6">
      <c r="F34311" s="2423"/>
    </row>
    <row r="34312" s="101" customFormat="1" spans="6:6">
      <c r="F34312" s="2423"/>
    </row>
    <row r="34313" s="101" customFormat="1" spans="6:6">
      <c r="F34313" s="2423"/>
    </row>
    <row r="34314" s="101" customFormat="1" spans="6:6">
      <c r="F34314" s="2423"/>
    </row>
    <row r="34315" s="101" customFormat="1" spans="6:6">
      <c r="F34315" s="2423"/>
    </row>
    <row r="34316" s="101" customFormat="1" spans="6:6">
      <c r="F34316" s="2423"/>
    </row>
    <row r="34317" s="101" customFormat="1" spans="6:6">
      <c r="F34317" s="2423"/>
    </row>
    <row r="34318" s="101" customFormat="1" spans="6:6">
      <c r="F34318" s="2423"/>
    </row>
    <row r="34319" s="101" customFormat="1" spans="6:6">
      <c r="F34319" s="2423"/>
    </row>
    <row r="34320" s="101" customFormat="1" spans="6:6">
      <c r="F34320" s="2423"/>
    </row>
    <row r="34321" s="101" customFormat="1" spans="6:6">
      <c r="F34321" s="2423"/>
    </row>
    <row r="34322" s="101" customFormat="1" spans="6:6">
      <c r="F34322" s="2423"/>
    </row>
    <row r="34323" s="101" customFormat="1" spans="6:6">
      <c r="F34323" s="2423"/>
    </row>
    <row r="34324" s="101" customFormat="1" spans="6:6">
      <c r="F34324" s="2423"/>
    </row>
    <row r="34325" s="101" customFormat="1" spans="6:6">
      <c r="F34325" s="2423"/>
    </row>
    <row r="34326" s="101" customFormat="1" spans="6:6">
      <c r="F34326" s="2423"/>
    </row>
    <row r="34327" s="101" customFormat="1" spans="6:6">
      <c r="F34327" s="2423"/>
    </row>
    <row r="34328" s="101" customFormat="1" spans="6:6">
      <c r="F34328" s="2423"/>
    </row>
    <row r="34329" s="101" customFormat="1" spans="6:6">
      <c r="F34329" s="2423"/>
    </row>
    <row r="34330" s="101" customFormat="1" spans="6:6">
      <c r="F34330" s="2423"/>
    </row>
    <row r="34331" s="101" customFormat="1" spans="6:6">
      <c r="F34331" s="2423"/>
    </row>
    <row r="34332" s="101" customFormat="1" spans="6:6">
      <c r="F34332" s="2423"/>
    </row>
    <row r="34333" s="101" customFormat="1" spans="6:6">
      <c r="F34333" s="2423"/>
    </row>
    <row r="34334" s="101" customFormat="1" spans="6:6">
      <c r="F34334" s="2423"/>
    </row>
    <row r="34335" s="101" customFormat="1" spans="6:6">
      <c r="F34335" s="2423"/>
    </row>
    <row r="34336" s="101" customFormat="1" spans="6:6">
      <c r="F34336" s="2423"/>
    </row>
    <row r="34337" s="101" customFormat="1" spans="6:6">
      <c r="F34337" s="2423"/>
    </row>
    <row r="34338" s="101" customFormat="1" spans="6:6">
      <c r="F34338" s="2423"/>
    </row>
    <row r="34339" s="101" customFormat="1" spans="6:6">
      <c r="F34339" s="2423"/>
    </row>
    <row r="34340" s="101" customFormat="1" spans="6:6">
      <c r="F34340" s="2423"/>
    </row>
    <row r="34341" s="101" customFormat="1" spans="6:6">
      <c r="F34341" s="2423"/>
    </row>
    <row r="34342" s="101" customFormat="1" spans="6:6">
      <c r="F34342" s="2423"/>
    </row>
    <row r="34343" s="101" customFormat="1" spans="6:6">
      <c r="F34343" s="2423"/>
    </row>
    <row r="34344" s="101" customFormat="1" spans="6:6">
      <c r="F34344" s="2423"/>
    </row>
    <row r="34345" s="101" customFormat="1" spans="6:6">
      <c r="F34345" s="2423"/>
    </row>
    <row r="34346" s="101" customFormat="1" spans="6:6">
      <c r="F34346" s="2423"/>
    </row>
    <row r="34347" s="101" customFormat="1" spans="6:6">
      <c r="F34347" s="2423"/>
    </row>
    <row r="34348" s="101" customFormat="1" spans="6:6">
      <c r="F34348" s="2423"/>
    </row>
    <row r="34349" s="101" customFormat="1" spans="6:6">
      <c r="F34349" s="2423"/>
    </row>
    <row r="34350" s="101" customFormat="1" spans="6:6">
      <c r="F34350" s="2423"/>
    </row>
    <row r="34351" s="101" customFormat="1" spans="6:6">
      <c r="F34351" s="2423"/>
    </row>
    <row r="34352" s="101" customFormat="1" spans="6:6">
      <c r="F34352" s="2423"/>
    </row>
    <row r="34353" s="101" customFormat="1" spans="6:6">
      <c r="F34353" s="2423"/>
    </row>
    <row r="34354" s="101" customFormat="1" spans="6:6">
      <c r="F34354" s="2423"/>
    </row>
    <row r="34355" s="101" customFormat="1" spans="6:6">
      <c r="F34355" s="2423"/>
    </row>
    <row r="34356" s="101" customFormat="1" spans="6:6">
      <c r="F34356" s="2423"/>
    </row>
    <row r="34357" s="101" customFormat="1" spans="6:6">
      <c r="F34357" s="2423"/>
    </row>
    <row r="34358" s="101" customFormat="1" spans="6:6">
      <c r="F34358" s="2423"/>
    </row>
    <row r="34359" s="101" customFormat="1" spans="6:6">
      <c r="F34359" s="2423"/>
    </row>
    <row r="34360" s="101" customFormat="1" spans="6:6">
      <c r="F34360" s="2423"/>
    </row>
    <row r="34361" s="101" customFormat="1" spans="6:6">
      <c r="F34361" s="2423"/>
    </row>
    <row r="34362" s="101" customFormat="1" spans="6:6">
      <c r="F34362" s="2423"/>
    </row>
    <row r="34363" s="101" customFormat="1" spans="6:6">
      <c r="F34363" s="2423"/>
    </row>
    <row r="34364" s="101" customFormat="1" spans="6:6">
      <c r="F34364" s="2423"/>
    </row>
    <row r="34365" s="101" customFormat="1" spans="6:6">
      <c r="F34365" s="2423"/>
    </row>
    <row r="34366" s="101" customFormat="1" spans="6:6">
      <c r="F34366" s="2423"/>
    </row>
    <row r="34367" s="101" customFormat="1" spans="6:6">
      <c r="F34367" s="2423"/>
    </row>
    <row r="34368" s="101" customFormat="1" spans="6:6">
      <c r="F34368" s="2423"/>
    </row>
    <row r="34369" s="101" customFormat="1" spans="6:6">
      <c r="F34369" s="2423"/>
    </row>
    <row r="34370" s="101" customFormat="1" spans="6:6">
      <c r="F34370" s="2423"/>
    </row>
    <row r="34371" s="101" customFormat="1" spans="6:6">
      <c r="F34371" s="2423"/>
    </row>
    <row r="34372" s="101" customFormat="1" spans="6:6">
      <c r="F34372" s="2423"/>
    </row>
    <row r="34373" s="101" customFormat="1" spans="6:6">
      <c r="F34373" s="2423"/>
    </row>
    <row r="34374" s="101" customFormat="1" spans="6:6">
      <c r="F34374" s="2423"/>
    </row>
    <row r="34375" s="101" customFormat="1" spans="6:6">
      <c r="F34375" s="2423"/>
    </row>
    <row r="34376" s="101" customFormat="1" spans="6:6">
      <c r="F34376" s="2423"/>
    </row>
    <row r="34377" s="101" customFormat="1" spans="6:6">
      <c r="F34377" s="2423"/>
    </row>
    <row r="34378" s="101" customFormat="1" spans="6:6">
      <c r="F34378" s="2423"/>
    </row>
    <row r="34379" s="101" customFormat="1" spans="6:6">
      <c r="F34379" s="2423"/>
    </row>
    <row r="34380" s="101" customFormat="1" spans="6:6">
      <c r="F34380" s="2423"/>
    </row>
    <row r="34381" s="101" customFormat="1" spans="6:6">
      <c r="F34381" s="2423"/>
    </row>
    <row r="34382" s="101" customFormat="1" spans="6:6">
      <c r="F34382" s="2423"/>
    </row>
    <row r="34383" s="101" customFormat="1" spans="6:6">
      <c r="F34383" s="2423"/>
    </row>
    <row r="34384" s="101" customFormat="1" spans="6:6">
      <c r="F34384" s="2423"/>
    </row>
    <row r="34385" s="101" customFormat="1" spans="6:6">
      <c r="F34385" s="2423"/>
    </row>
    <row r="34386" s="101" customFormat="1" spans="6:6">
      <c r="F34386" s="2423"/>
    </row>
    <row r="34387" s="101" customFormat="1" spans="6:6">
      <c r="F34387" s="2423"/>
    </row>
    <row r="34388" s="101" customFormat="1" spans="6:6">
      <c r="F34388" s="2423"/>
    </row>
    <row r="34389" s="101" customFormat="1" spans="6:6">
      <c r="F34389" s="2423"/>
    </row>
    <row r="34390" s="101" customFormat="1" spans="6:6">
      <c r="F34390" s="2423"/>
    </row>
    <row r="34391" s="101" customFormat="1" spans="6:6">
      <c r="F34391" s="2423"/>
    </row>
    <row r="34392" s="101" customFormat="1" spans="6:6">
      <c r="F34392" s="2423"/>
    </row>
    <row r="34393" s="101" customFormat="1" spans="6:6">
      <c r="F34393" s="2423"/>
    </row>
    <row r="34394" s="101" customFormat="1" spans="6:6">
      <c r="F34394" s="2423"/>
    </row>
    <row r="34395" s="101" customFormat="1" spans="6:6">
      <c r="F34395" s="2423"/>
    </row>
    <row r="34396" s="101" customFormat="1" spans="6:6">
      <c r="F34396" s="2423"/>
    </row>
    <row r="34397" s="101" customFormat="1" spans="6:6">
      <c r="F34397" s="2423"/>
    </row>
    <row r="34398" s="101" customFormat="1" spans="6:6">
      <c r="F34398" s="2423"/>
    </row>
    <row r="34399" s="101" customFormat="1" spans="6:6">
      <c r="F34399" s="2423"/>
    </row>
    <row r="34400" s="101" customFormat="1" spans="6:6">
      <c r="F34400" s="2423"/>
    </row>
    <row r="34401" s="101" customFormat="1" spans="6:6">
      <c r="F34401" s="2423"/>
    </row>
    <row r="34402" s="101" customFormat="1" spans="6:6">
      <c r="F34402" s="2423"/>
    </row>
    <row r="34403" s="101" customFormat="1" spans="6:6">
      <c r="F34403" s="2423"/>
    </row>
    <row r="34404" s="101" customFormat="1" spans="6:6">
      <c r="F34404" s="2423"/>
    </row>
    <row r="34405" s="101" customFormat="1" spans="6:6">
      <c r="F34405" s="2423"/>
    </row>
    <row r="34406" s="101" customFormat="1" spans="6:6">
      <c r="F34406" s="2423"/>
    </row>
    <row r="34407" s="101" customFormat="1" spans="6:6">
      <c r="F34407" s="2423"/>
    </row>
    <row r="34408" s="101" customFormat="1" spans="6:6">
      <c r="F34408" s="2423"/>
    </row>
    <row r="34409" s="101" customFormat="1" spans="6:6">
      <c r="F34409" s="2423"/>
    </row>
    <row r="34410" s="101" customFormat="1" spans="6:6">
      <c r="F34410" s="2423"/>
    </row>
    <row r="34411" s="101" customFormat="1" spans="6:6">
      <c r="F34411" s="2423"/>
    </row>
    <row r="34412" s="101" customFormat="1" spans="6:6">
      <c r="F34412" s="2423"/>
    </row>
    <row r="34413" s="101" customFormat="1" spans="6:6">
      <c r="F34413" s="2423"/>
    </row>
    <row r="34414" s="101" customFormat="1" spans="6:6">
      <c r="F34414" s="2423"/>
    </row>
    <row r="34415" s="101" customFormat="1" spans="6:6">
      <c r="F34415" s="2423"/>
    </row>
    <row r="34416" s="101" customFormat="1" spans="6:6">
      <c r="F34416" s="2423"/>
    </row>
    <row r="34417" s="101" customFormat="1" spans="6:6">
      <c r="F34417" s="2423"/>
    </row>
    <row r="34418" s="101" customFormat="1" spans="6:6">
      <c r="F34418" s="2423"/>
    </row>
    <row r="34419" s="101" customFormat="1" spans="6:6">
      <c r="F34419" s="2423"/>
    </row>
    <row r="34420" s="101" customFormat="1" spans="6:6">
      <c r="F34420" s="2423"/>
    </row>
    <row r="34421" s="101" customFormat="1" spans="6:6">
      <c r="F34421" s="2423"/>
    </row>
    <row r="34422" s="101" customFormat="1" spans="6:6">
      <c r="F34422" s="2423"/>
    </row>
    <row r="34423" s="101" customFormat="1" spans="6:6">
      <c r="F34423" s="2423"/>
    </row>
    <row r="34424" s="101" customFormat="1" spans="6:6">
      <c r="F34424" s="2423"/>
    </row>
    <row r="34425" s="101" customFormat="1" spans="6:6">
      <c r="F34425" s="2423"/>
    </row>
    <row r="34426" s="101" customFormat="1" spans="6:6">
      <c r="F34426" s="2423"/>
    </row>
    <row r="34427" s="101" customFormat="1" spans="6:6">
      <c r="F34427" s="2423"/>
    </row>
    <row r="34428" s="101" customFormat="1" spans="6:6">
      <c r="F34428" s="2423"/>
    </row>
    <row r="34429" s="101" customFormat="1" spans="6:6">
      <c r="F34429" s="2423"/>
    </row>
    <row r="34430" s="101" customFormat="1" spans="6:6">
      <c r="F34430" s="2423"/>
    </row>
    <row r="34431" s="101" customFormat="1" spans="6:6">
      <c r="F34431" s="2423"/>
    </row>
    <row r="34432" s="101" customFormat="1" spans="6:6">
      <c r="F34432" s="2423"/>
    </row>
    <row r="34433" s="101" customFormat="1" spans="6:6">
      <c r="F34433" s="2423"/>
    </row>
    <row r="34434" s="101" customFormat="1" spans="6:6">
      <c r="F34434" s="2423"/>
    </row>
    <row r="34435" s="101" customFormat="1" spans="6:6">
      <c r="F34435" s="2423"/>
    </row>
    <row r="34436" s="101" customFormat="1" spans="6:6">
      <c r="F34436" s="2423"/>
    </row>
    <row r="34437" s="101" customFormat="1" spans="6:6">
      <c r="F34437" s="2423"/>
    </row>
    <row r="34438" s="101" customFormat="1" spans="6:6">
      <c r="F34438" s="2423"/>
    </row>
    <row r="34439" s="101" customFormat="1" spans="6:6">
      <c r="F34439" s="2423"/>
    </row>
    <row r="34440" s="101" customFormat="1" spans="6:6">
      <c r="F34440" s="2423"/>
    </row>
    <row r="34441" s="101" customFormat="1" spans="6:6">
      <c r="F34441" s="2423"/>
    </row>
    <row r="34442" s="101" customFormat="1" spans="6:6">
      <c r="F34442" s="2423"/>
    </row>
    <row r="34443" s="101" customFormat="1" spans="6:6">
      <c r="F34443" s="2423"/>
    </row>
    <row r="34444" s="101" customFormat="1" spans="6:6">
      <c r="F34444" s="2423"/>
    </row>
    <row r="34445" s="101" customFormat="1" spans="6:6">
      <c r="F34445" s="2423"/>
    </row>
    <row r="34446" s="101" customFormat="1" spans="6:6">
      <c r="F34446" s="2423"/>
    </row>
    <row r="34447" s="101" customFormat="1" spans="6:6">
      <c r="F34447" s="2423"/>
    </row>
    <row r="34448" s="101" customFormat="1" spans="6:6">
      <c r="F34448" s="2423"/>
    </row>
    <row r="34449" s="101" customFormat="1" spans="6:6">
      <c r="F34449" s="2423"/>
    </row>
    <row r="34450" s="101" customFormat="1" spans="6:6">
      <c r="F34450" s="2423"/>
    </row>
    <row r="34451" s="101" customFormat="1" spans="6:6">
      <c r="F34451" s="2423"/>
    </row>
    <row r="34452" s="101" customFormat="1" spans="6:6">
      <c r="F34452" s="2423"/>
    </row>
    <row r="34453" s="101" customFormat="1" spans="6:6">
      <c r="F34453" s="2423"/>
    </row>
    <row r="34454" s="101" customFormat="1" spans="6:6">
      <c r="F34454" s="2423"/>
    </row>
    <row r="34455" s="101" customFormat="1" spans="6:6">
      <c r="F34455" s="2423"/>
    </row>
    <row r="34456" s="101" customFormat="1" spans="6:6">
      <c r="F34456" s="2423"/>
    </row>
    <row r="34457" s="101" customFormat="1" spans="6:6">
      <c r="F34457" s="2423"/>
    </row>
    <row r="34458" s="101" customFormat="1" spans="6:6">
      <c r="F34458" s="2423"/>
    </row>
    <row r="34459" s="101" customFormat="1" spans="6:6">
      <c r="F34459" s="2423"/>
    </row>
    <row r="34460" s="101" customFormat="1" spans="6:6">
      <c r="F34460" s="2423"/>
    </row>
    <row r="34461" s="101" customFormat="1" spans="6:6">
      <c r="F34461" s="2423"/>
    </row>
    <row r="34462" s="101" customFormat="1" spans="6:6">
      <c r="F34462" s="2423"/>
    </row>
    <row r="34463" s="101" customFormat="1" spans="6:6">
      <c r="F34463" s="2423"/>
    </row>
    <row r="34464" s="101" customFormat="1" spans="6:6">
      <c r="F34464" s="2423"/>
    </row>
    <row r="34465" s="101" customFormat="1" spans="6:6">
      <c r="F34465" s="2423"/>
    </row>
    <row r="34466" s="101" customFormat="1" spans="6:6">
      <c r="F34466" s="2423"/>
    </row>
    <row r="34467" s="101" customFormat="1" spans="6:6">
      <c r="F34467" s="2423"/>
    </row>
    <row r="34468" s="101" customFormat="1" spans="6:6">
      <c r="F34468" s="2423"/>
    </row>
    <row r="34469" s="101" customFormat="1" spans="6:6">
      <c r="F34469" s="2423"/>
    </row>
    <row r="34470" s="101" customFormat="1" spans="6:6">
      <c r="F34470" s="2423"/>
    </row>
    <row r="34471" s="101" customFormat="1" spans="6:6">
      <c r="F34471" s="2423"/>
    </row>
    <row r="34472" s="101" customFormat="1" spans="6:6">
      <c r="F34472" s="2423"/>
    </row>
    <row r="34473" s="101" customFormat="1" spans="6:6">
      <c r="F34473" s="2423"/>
    </row>
    <row r="34474" s="101" customFormat="1" spans="6:6">
      <c r="F34474" s="2423"/>
    </row>
    <row r="34475" s="101" customFormat="1" spans="6:6">
      <c r="F34475" s="2423"/>
    </row>
    <row r="34476" s="101" customFormat="1" spans="6:6">
      <c r="F34476" s="2423"/>
    </row>
    <row r="34477" s="101" customFormat="1" spans="6:6">
      <c r="F34477" s="2423"/>
    </row>
    <row r="34478" s="101" customFormat="1" spans="6:6">
      <c r="F34478" s="2423"/>
    </row>
    <row r="34479" s="101" customFormat="1" spans="6:6">
      <c r="F34479" s="2423"/>
    </row>
    <row r="34480" s="101" customFormat="1" spans="6:6">
      <c r="F34480" s="2423"/>
    </row>
    <row r="34481" s="101" customFormat="1" spans="6:6">
      <c r="F34481" s="2423"/>
    </row>
    <row r="34482" s="101" customFormat="1" spans="6:6">
      <c r="F34482" s="2423"/>
    </row>
    <row r="34483" s="101" customFormat="1" spans="6:6">
      <c r="F34483" s="2423"/>
    </row>
    <row r="34484" s="101" customFormat="1" spans="6:6">
      <c r="F34484" s="2423"/>
    </row>
    <row r="34485" s="101" customFormat="1" spans="6:6">
      <c r="F34485" s="2423"/>
    </row>
    <row r="34486" s="101" customFormat="1" spans="6:6">
      <c r="F34486" s="2423"/>
    </row>
    <row r="34487" s="101" customFormat="1" spans="6:6">
      <c r="F34487" s="2423"/>
    </row>
    <row r="34488" s="101" customFormat="1" spans="6:6">
      <c r="F34488" s="2423"/>
    </row>
    <row r="34489" s="101" customFormat="1" spans="6:6">
      <c r="F34489" s="2423"/>
    </row>
    <row r="34490" s="101" customFormat="1" spans="6:6">
      <c r="F34490" s="2423"/>
    </row>
    <row r="34491" s="101" customFormat="1" spans="6:6">
      <c r="F34491" s="2423"/>
    </row>
    <row r="34492" s="101" customFormat="1" spans="6:6">
      <c r="F34492" s="2423"/>
    </row>
    <row r="34493" s="101" customFormat="1" spans="6:6">
      <c r="F34493" s="2423"/>
    </row>
    <row r="34494" s="101" customFormat="1" spans="6:6">
      <c r="F34494" s="2423"/>
    </row>
    <row r="34495" s="101" customFormat="1" spans="6:6">
      <c r="F34495" s="2423"/>
    </row>
    <row r="34496" s="101" customFormat="1" spans="6:6">
      <c r="F34496" s="2423"/>
    </row>
    <row r="34497" s="101" customFormat="1" spans="6:6">
      <c r="F34497" s="2423"/>
    </row>
    <row r="34498" s="101" customFormat="1" spans="6:6">
      <c r="F34498" s="2423"/>
    </row>
    <row r="34499" s="101" customFormat="1" spans="6:6">
      <c r="F34499" s="2423"/>
    </row>
    <row r="34500" s="101" customFormat="1" spans="6:6">
      <c r="F34500" s="2423"/>
    </row>
    <row r="34501" s="101" customFormat="1" spans="6:6">
      <c r="F34501" s="2423"/>
    </row>
    <row r="34502" s="101" customFormat="1" spans="6:6">
      <c r="F34502" s="2423"/>
    </row>
    <row r="34503" s="101" customFormat="1" spans="6:6">
      <c r="F34503" s="2423"/>
    </row>
    <row r="34504" s="101" customFormat="1" spans="6:6">
      <c r="F34504" s="2423"/>
    </row>
    <row r="34505" s="101" customFormat="1" spans="6:6">
      <c r="F34505" s="2423"/>
    </row>
    <row r="34506" s="101" customFormat="1" spans="6:6">
      <c r="F34506" s="2423"/>
    </row>
    <row r="34507" s="101" customFormat="1" spans="6:6">
      <c r="F34507" s="2423"/>
    </row>
    <row r="34508" s="101" customFormat="1" spans="6:6">
      <c r="F34508" s="2423"/>
    </row>
    <row r="34509" s="101" customFormat="1" spans="6:6">
      <c r="F34509" s="2423"/>
    </row>
    <row r="34510" s="101" customFormat="1" spans="6:6">
      <c r="F34510" s="2423"/>
    </row>
    <row r="34511" s="101" customFormat="1" spans="6:6">
      <c r="F34511" s="2423"/>
    </row>
    <row r="34512" s="101" customFormat="1" spans="6:6">
      <c r="F34512" s="2423"/>
    </row>
    <row r="34513" s="101" customFormat="1" spans="6:6">
      <c r="F34513" s="2423"/>
    </row>
    <row r="34514" s="101" customFormat="1" spans="6:6">
      <c r="F34514" s="2423"/>
    </row>
    <row r="34515" s="101" customFormat="1" spans="6:6">
      <c r="F34515" s="2423"/>
    </row>
    <row r="34516" s="101" customFormat="1" spans="6:6">
      <c r="F34516" s="2423"/>
    </row>
    <row r="34517" s="101" customFormat="1" spans="6:6">
      <c r="F34517" s="2423"/>
    </row>
    <row r="34518" s="101" customFormat="1" spans="6:6">
      <c r="F34518" s="2423"/>
    </row>
    <row r="34519" s="101" customFormat="1" spans="6:6">
      <c r="F34519" s="2423"/>
    </row>
    <row r="34520" s="101" customFormat="1" spans="6:6">
      <c r="F34520" s="2423"/>
    </row>
    <row r="34521" s="101" customFormat="1" spans="6:6">
      <c r="F34521" s="2423"/>
    </row>
    <row r="34522" s="101" customFormat="1" spans="6:6">
      <c r="F34522" s="2423"/>
    </row>
    <row r="34523" s="101" customFormat="1" spans="6:6">
      <c r="F34523" s="2423"/>
    </row>
    <row r="34524" s="101" customFormat="1" spans="6:6">
      <c r="F34524" s="2423"/>
    </row>
    <row r="34525" s="101" customFormat="1" spans="6:6">
      <c r="F34525" s="2423"/>
    </row>
    <row r="34526" s="101" customFormat="1" spans="6:6">
      <c r="F34526" s="2423"/>
    </row>
    <row r="34527" s="101" customFormat="1" spans="6:6">
      <c r="F34527" s="2423"/>
    </row>
    <row r="34528" s="101" customFormat="1" spans="6:6">
      <c r="F34528" s="2423"/>
    </row>
    <row r="34529" s="101" customFormat="1" spans="6:6">
      <c r="F34529" s="2423"/>
    </row>
    <row r="34530" s="101" customFormat="1" spans="6:6">
      <c r="F34530" s="2423"/>
    </row>
    <row r="34531" s="101" customFormat="1" spans="6:6">
      <c r="F34531" s="2423"/>
    </row>
    <row r="34532" s="101" customFormat="1" spans="6:6">
      <c r="F34532" s="2423"/>
    </row>
    <row r="34533" s="101" customFormat="1" spans="6:6">
      <c r="F34533" s="2423"/>
    </row>
    <row r="34534" s="101" customFormat="1" spans="6:6">
      <c r="F34534" s="2423"/>
    </row>
    <row r="34535" s="101" customFormat="1" spans="6:6">
      <c r="F34535" s="2423"/>
    </row>
    <row r="34536" s="101" customFormat="1" spans="6:6">
      <c r="F34536" s="2423"/>
    </row>
    <row r="34537" s="101" customFormat="1" spans="6:6">
      <c r="F34537" s="2423"/>
    </row>
    <row r="34538" s="101" customFormat="1" spans="6:6">
      <c r="F34538" s="2423"/>
    </row>
    <row r="34539" s="101" customFormat="1" spans="6:6">
      <c r="F34539" s="2423"/>
    </row>
    <row r="34540" s="101" customFormat="1" spans="6:6">
      <c r="F34540" s="2423"/>
    </row>
    <row r="34541" s="101" customFormat="1" spans="6:6">
      <c r="F34541" s="2423"/>
    </row>
    <row r="34542" s="101" customFormat="1" spans="6:6">
      <c r="F34542" s="2423"/>
    </row>
    <row r="34543" s="101" customFormat="1" spans="6:6">
      <c r="F34543" s="2423"/>
    </row>
    <row r="34544" s="101" customFormat="1" spans="6:6">
      <c r="F34544" s="2423"/>
    </row>
    <row r="34545" s="101" customFormat="1" spans="6:6">
      <c r="F34545" s="2423"/>
    </row>
    <row r="34546" s="101" customFormat="1" spans="6:6">
      <c r="F34546" s="2423"/>
    </row>
    <row r="34547" s="101" customFormat="1" spans="6:6">
      <c r="F34547" s="2423"/>
    </row>
    <row r="34548" s="101" customFormat="1" spans="6:6">
      <c r="F34548" s="2423"/>
    </row>
    <row r="34549" s="101" customFormat="1" spans="6:6">
      <c r="F34549" s="2423"/>
    </row>
    <row r="34550" s="101" customFormat="1" spans="6:6">
      <c r="F34550" s="2423"/>
    </row>
    <row r="34551" s="101" customFormat="1" spans="6:6">
      <c r="F34551" s="2423"/>
    </row>
    <row r="34552" s="101" customFormat="1" spans="6:6">
      <c r="F34552" s="2423"/>
    </row>
    <row r="34553" s="101" customFormat="1" spans="6:6">
      <c r="F34553" s="2423"/>
    </row>
    <row r="34554" s="101" customFormat="1" spans="6:6">
      <c r="F34554" s="2423"/>
    </row>
    <row r="34555" s="101" customFormat="1" spans="6:6">
      <c r="F34555" s="2423"/>
    </row>
    <row r="34556" s="101" customFormat="1" spans="6:6">
      <c r="F34556" s="2423"/>
    </row>
    <row r="34557" s="101" customFormat="1" spans="6:6">
      <c r="F34557" s="2423"/>
    </row>
    <row r="34558" s="101" customFormat="1" spans="6:6">
      <c r="F34558" s="2423"/>
    </row>
    <row r="34559" s="101" customFormat="1" spans="6:6">
      <c r="F34559" s="2423"/>
    </row>
    <row r="34560" s="101" customFormat="1" spans="6:6">
      <c r="F34560" s="2423"/>
    </row>
    <row r="34561" s="101" customFormat="1" spans="6:6">
      <c r="F34561" s="2423"/>
    </row>
    <row r="34562" s="101" customFormat="1" spans="6:6">
      <c r="F34562" s="2423"/>
    </row>
    <row r="34563" s="101" customFormat="1" spans="6:6">
      <c r="F34563" s="2423"/>
    </row>
    <row r="34564" s="101" customFormat="1" spans="6:6">
      <c r="F34564" s="2423"/>
    </row>
    <row r="34565" s="101" customFormat="1" spans="6:6">
      <c r="F34565" s="2423"/>
    </row>
    <row r="34566" s="101" customFormat="1" spans="6:6">
      <c r="F34566" s="2423"/>
    </row>
    <row r="34567" s="101" customFormat="1" spans="6:6">
      <c r="F34567" s="2423"/>
    </row>
    <row r="34568" s="101" customFormat="1" spans="6:6">
      <c r="F34568" s="2423"/>
    </row>
    <row r="34569" s="101" customFormat="1" spans="6:6">
      <c r="F34569" s="2423"/>
    </row>
    <row r="34570" s="101" customFormat="1" spans="6:6">
      <c r="F34570" s="2423"/>
    </row>
    <row r="34571" s="101" customFormat="1" spans="6:6">
      <c r="F34571" s="2423"/>
    </row>
    <row r="34572" s="101" customFormat="1" spans="6:6">
      <c r="F34572" s="2423"/>
    </row>
    <row r="34573" s="101" customFormat="1" spans="6:6">
      <c r="F34573" s="2423"/>
    </row>
    <row r="34574" s="101" customFormat="1" spans="6:6">
      <c r="F34574" s="2423"/>
    </row>
    <row r="34575" s="101" customFormat="1" spans="6:6">
      <c r="F34575" s="2423"/>
    </row>
    <row r="34576" s="101" customFormat="1" spans="6:6">
      <c r="F34576" s="2423"/>
    </row>
    <row r="34577" s="101" customFormat="1" spans="6:6">
      <c r="F34577" s="2423"/>
    </row>
    <row r="34578" s="101" customFormat="1" spans="6:6">
      <c r="F34578" s="2423"/>
    </row>
    <row r="34579" s="101" customFormat="1" spans="6:6">
      <c r="F34579" s="2423"/>
    </row>
    <row r="34580" s="101" customFormat="1" spans="6:6">
      <c r="F34580" s="2423"/>
    </row>
    <row r="34581" s="101" customFormat="1" spans="6:6">
      <c r="F34581" s="2423"/>
    </row>
    <row r="34582" s="101" customFormat="1" spans="6:6">
      <c r="F34582" s="2423"/>
    </row>
    <row r="34583" s="101" customFormat="1" spans="6:6">
      <c r="F34583" s="2423"/>
    </row>
    <row r="34584" s="101" customFormat="1" spans="6:6">
      <c r="F34584" s="2423"/>
    </row>
    <row r="34585" s="101" customFormat="1" spans="6:6">
      <c r="F34585" s="2423"/>
    </row>
    <row r="34586" s="101" customFormat="1" spans="6:6">
      <c r="F34586" s="2423"/>
    </row>
    <row r="34587" s="101" customFormat="1" spans="6:6">
      <c r="F34587" s="2423"/>
    </row>
    <row r="34588" s="101" customFormat="1" spans="6:6">
      <c r="F34588" s="2423"/>
    </row>
    <row r="34589" s="101" customFormat="1" spans="6:6">
      <c r="F34589" s="2423"/>
    </row>
    <row r="34590" s="101" customFormat="1" spans="6:6">
      <c r="F34590" s="2423"/>
    </row>
    <row r="34591" s="101" customFormat="1" spans="6:6">
      <c r="F34591" s="2423"/>
    </row>
    <row r="34592" s="101" customFormat="1" spans="6:6">
      <c r="F34592" s="2423"/>
    </row>
    <row r="34593" s="101" customFormat="1" spans="6:6">
      <c r="F34593" s="2423"/>
    </row>
    <row r="34594" s="101" customFormat="1" spans="6:6">
      <c r="F34594" s="2423"/>
    </row>
    <row r="34595" s="101" customFormat="1" spans="6:6">
      <c r="F34595" s="2423"/>
    </row>
    <row r="34596" s="101" customFormat="1" spans="6:6">
      <c r="F34596" s="2423"/>
    </row>
    <row r="34597" s="101" customFormat="1" spans="6:6">
      <c r="F34597" s="2423"/>
    </row>
    <row r="34598" s="101" customFormat="1" spans="6:6">
      <c r="F34598" s="2423"/>
    </row>
    <row r="34599" s="101" customFormat="1" spans="6:6">
      <c r="F34599" s="2423"/>
    </row>
    <row r="34600" s="101" customFormat="1" spans="6:6">
      <c r="F34600" s="2423"/>
    </row>
    <row r="34601" s="101" customFormat="1" spans="6:6">
      <c r="F34601" s="2423"/>
    </row>
    <row r="34602" s="101" customFormat="1" spans="6:6">
      <c r="F34602" s="2423"/>
    </row>
    <row r="34603" s="101" customFormat="1" spans="6:6">
      <c r="F34603" s="2423"/>
    </row>
    <row r="34604" s="101" customFormat="1" spans="6:6">
      <c r="F34604" s="2423"/>
    </row>
    <row r="34605" s="101" customFormat="1" spans="6:6">
      <c r="F34605" s="2423"/>
    </row>
    <row r="34606" s="101" customFormat="1" spans="6:6">
      <c r="F34606" s="2423"/>
    </row>
    <row r="34607" s="101" customFormat="1" spans="6:6">
      <c r="F34607" s="2423"/>
    </row>
    <row r="34608" s="101" customFormat="1" spans="6:6">
      <c r="F34608" s="2423"/>
    </row>
    <row r="34609" s="101" customFormat="1" spans="6:6">
      <c r="F34609" s="2423"/>
    </row>
    <row r="34610" s="101" customFormat="1" spans="6:6">
      <c r="F34610" s="2423"/>
    </row>
    <row r="34611" s="101" customFormat="1" spans="6:6">
      <c r="F34611" s="2423"/>
    </row>
    <row r="34612" s="101" customFormat="1" spans="6:6">
      <c r="F34612" s="2423"/>
    </row>
    <row r="34613" s="101" customFormat="1" spans="6:6">
      <c r="F34613" s="2423"/>
    </row>
    <row r="34614" s="101" customFormat="1" spans="6:6">
      <c r="F34614" s="2423"/>
    </row>
    <row r="34615" s="101" customFormat="1" spans="6:6">
      <c r="F34615" s="2423"/>
    </row>
    <row r="34616" s="101" customFormat="1" spans="6:6">
      <c r="F34616" s="2423"/>
    </row>
    <row r="34617" s="101" customFormat="1" spans="6:6">
      <c r="F34617" s="2423"/>
    </row>
    <row r="34618" s="101" customFormat="1" spans="6:6">
      <c r="F34618" s="2423"/>
    </row>
    <row r="34619" s="101" customFormat="1" spans="6:6">
      <c r="F34619" s="2423"/>
    </row>
    <row r="34620" s="101" customFormat="1" spans="6:6">
      <c r="F34620" s="2423"/>
    </row>
    <row r="34621" s="101" customFormat="1" spans="6:6">
      <c r="F34621" s="2423"/>
    </row>
    <row r="34622" s="101" customFormat="1" spans="6:6">
      <c r="F34622" s="2423"/>
    </row>
    <row r="34623" s="101" customFormat="1" spans="6:6">
      <c r="F34623" s="2423"/>
    </row>
    <row r="34624" s="101" customFormat="1" spans="6:6">
      <c r="F34624" s="2423"/>
    </row>
    <row r="34625" s="101" customFormat="1" spans="6:6">
      <c r="F34625" s="2423"/>
    </row>
    <row r="34626" s="101" customFormat="1" spans="6:6">
      <c r="F34626" s="2423"/>
    </row>
    <row r="34627" s="101" customFormat="1" spans="6:6">
      <c r="F34627" s="2423"/>
    </row>
    <row r="34628" s="101" customFormat="1" spans="6:6">
      <c r="F34628" s="2423"/>
    </row>
    <row r="34629" s="101" customFormat="1" spans="6:6">
      <c r="F34629" s="2423"/>
    </row>
    <row r="34630" s="101" customFormat="1" spans="6:6">
      <c r="F34630" s="2423"/>
    </row>
    <row r="34631" s="101" customFormat="1" spans="6:6">
      <c r="F34631" s="2423"/>
    </row>
    <row r="34632" s="101" customFormat="1" spans="6:6">
      <c r="F34632" s="2423"/>
    </row>
    <row r="34633" s="101" customFormat="1" spans="6:6">
      <c r="F34633" s="2423"/>
    </row>
    <row r="34634" s="101" customFormat="1" spans="6:6">
      <c r="F34634" s="2423"/>
    </row>
    <row r="34635" s="101" customFormat="1" spans="6:6">
      <c r="F34635" s="2423"/>
    </row>
    <row r="34636" s="101" customFormat="1" spans="6:6">
      <c r="F34636" s="2423"/>
    </row>
    <row r="34637" s="101" customFormat="1" spans="6:6">
      <c r="F34637" s="2423"/>
    </row>
    <row r="34638" s="101" customFormat="1" spans="6:6">
      <c r="F34638" s="2423"/>
    </row>
    <row r="34639" s="101" customFormat="1" spans="6:6">
      <c r="F34639" s="2423"/>
    </row>
    <row r="34640" s="101" customFormat="1" spans="6:6">
      <c r="F34640" s="2423"/>
    </row>
    <row r="34641" s="101" customFormat="1" spans="6:6">
      <c r="F34641" s="2423"/>
    </row>
    <row r="34642" s="101" customFormat="1" spans="6:6">
      <c r="F34642" s="2423"/>
    </row>
    <row r="34643" s="101" customFormat="1" spans="6:6">
      <c r="F34643" s="2423"/>
    </row>
    <row r="34644" s="101" customFormat="1" spans="6:6">
      <c r="F34644" s="2423"/>
    </row>
    <row r="34645" s="101" customFormat="1" spans="6:6">
      <c r="F34645" s="2423"/>
    </row>
    <row r="34646" s="101" customFormat="1" spans="6:6">
      <c r="F34646" s="2423"/>
    </row>
    <row r="34647" s="101" customFormat="1" spans="6:6">
      <c r="F34647" s="2423"/>
    </row>
    <row r="34648" s="101" customFormat="1" spans="6:6">
      <c r="F34648" s="2423"/>
    </row>
    <row r="34649" s="101" customFormat="1" spans="6:6">
      <c r="F34649" s="2423"/>
    </row>
    <row r="34650" s="101" customFormat="1" spans="6:6">
      <c r="F34650" s="2423"/>
    </row>
    <row r="34651" s="101" customFormat="1" spans="6:6">
      <c r="F34651" s="2423"/>
    </row>
    <row r="34652" s="101" customFormat="1" spans="6:6">
      <c r="F34652" s="2423"/>
    </row>
    <row r="34653" s="101" customFormat="1" spans="6:6">
      <c r="F34653" s="2423"/>
    </row>
    <row r="34654" s="101" customFormat="1" spans="6:6">
      <c r="F34654" s="2423"/>
    </row>
    <row r="34655" s="101" customFormat="1" spans="6:6">
      <c r="F34655" s="2423"/>
    </row>
    <row r="34656" s="101" customFormat="1" spans="6:6">
      <c r="F34656" s="2423"/>
    </row>
    <row r="34657" s="101" customFormat="1" spans="6:6">
      <c r="F34657" s="2423"/>
    </row>
    <row r="34658" s="101" customFormat="1" spans="6:6">
      <c r="F34658" s="2423"/>
    </row>
    <row r="34659" s="101" customFormat="1" spans="6:6">
      <c r="F34659" s="2423"/>
    </row>
    <row r="34660" s="101" customFormat="1" spans="6:6">
      <c r="F34660" s="2423"/>
    </row>
    <row r="34661" s="101" customFormat="1" spans="6:6">
      <c r="F34661" s="2423"/>
    </row>
    <row r="34662" s="101" customFormat="1" spans="6:6">
      <c r="F34662" s="2423"/>
    </row>
    <row r="34663" s="101" customFormat="1" spans="6:6">
      <c r="F34663" s="2423"/>
    </row>
    <row r="34664" s="101" customFormat="1" spans="6:6">
      <c r="F34664" s="2423"/>
    </row>
    <row r="34665" s="101" customFormat="1" spans="6:6">
      <c r="F34665" s="2423"/>
    </row>
    <row r="34666" s="101" customFormat="1" spans="6:6">
      <c r="F34666" s="2423"/>
    </row>
    <row r="34667" s="101" customFormat="1" spans="6:6">
      <c r="F34667" s="2423"/>
    </row>
    <row r="34668" s="101" customFormat="1" spans="6:6">
      <c r="F34668" s="2423"/>
    </row>
    <row r="34669" s="101" customFormat="1" spans="6:6">
      <c r="F34669" s="2423"/>
    </row>
    <row r="34670" s="101" customFormat="1" spans="6:6">
      <c r="F34670" s="2423"/>
    </row>
    <row r="34671" s="101" customFormat="1" spans="6:6">
      <c r="F34671" s="2423"/>
    </row>
    <row r="34672" s="101" customFormat="1" spans="6:6">
      <c r="F34672" s="2423"/>
    </row>
    <row r="34673" s="101" customFormat="1" spans="6:6">
      <c r="F34673" s="2423"/>
    </row>
    <row r="34674" s="101" customFormat="1" spans="6:6">
      <c r="F34674" s="2423"/>
    </row>
    <row r="34675" s="101" customFormat="1" spans="6:6">
      <c r="F34675" s="2423"/>
    </row>
    <row r="34676" s="101" customFormat="1" spans="6:6">
      <c r="F34676" s="2423"/>
    </row>
    <row r="34677" s="101" customFormat="1" spans="6:6">
      <c r="F34677" s="2423"/>
    </row>
    <row r="34678" s="101" customFormat="1" spans="6:6">
      <c r="F34678" s="2423"/>
    </row>
    <row r="34679" s="101" customFormat="1" spans="6:6">
      <c r="F34679" s="2423"/>
    </row>
    <row r="34680" s="101" customFormat="1" spans="6:6">
      <c r="F34680" s="2423"/>
    </row>
    <row r="34681" s="101" customFormat="1" spans="6:6">
      <c r="F34681" s="2423"/>
    </row>
    <row r="34682" s="101" customFormat="1" spans="6:6">
      <c r="F34682" s="2423"/>
    </row>
    <row r="34683" s="101" customFormat="1" spans="6:6">
      <c r="F34683" s="2423"/>
    </row>
    <row r="34684" s="101" customFormat="1" spans="6:6">
      <c r="F34684" s="2423"/>
    </row>
    <row r="34685" s="101" customFormat="1" spans="6:6">
      <c r="F34685" s="2423"/>
    </row>
    <row r="34686" s="101" customFormat="1" spans="6:6">
      <c r="F34686" s="2423"/>
    </row>
    <row r="34687" s="101" customFormat="1" spans="6:6">
      <c r="F34687" s="2423"/>
    </row>
    <row r="34688" s="101" customFormat="1" spans="6:6">
      <c r="F34688" s="2423"/>
    </row>
    <row r="34689" s="101" customFormat="1" spans="6:6">
      <c r="F34689" s="2423"/>
    </row>
    <row r="34690" s="101" customFormat="1" spans="6:6">
      <c r="F34690" s="2423"/>
    </row>
    <row r="34691" s="101" customFormat="1" spans="6:6">
      <c r="F34691" s="2423"/>
    </row>
    <row r="34692" s="101" customFormat="1" spans="6:6">
      <c r="F34692" s="2423"/>
    </row>
    <row r="34693" s="101" customFormat="1" spans="6:6">
      <c r="F34693" s="2423"/>
    </row>
    <row r="34694" s="101" customFormat="1" spans="6:6">
      <c r="F34694" s="2423"/>
    </row>
    <row r="34695" s="101" customFormat="1" spans="6:6">
      <c r="F34695" s="2423"/>
    </row>
    <row r="34696" s="101" customFormat="1" spans="6:6">
      <c r="F34696" s="2423"/>
    </row>
    <row r="34697" s="101" customFormat="1" spans="6:6">
      <c r="F34697" s="2423"/>
    </row>
    <row r="34698" s="101" customFormat="1" spans="6:6">
      <c r="F34698" s="2423"/>
    </row>
    <row r="34699" s="101" customFormat="1" spans="6:6">
      <c r="F34699" s="2423"/>
    </row>
    <row r="34700" s="101" customFormat="1" spans="6:6">
      <c r="F34700" s="2423"/>
    </row>
    <row r="34701" s="101" customFormat="1" spans="6:6">
      <c r="F34701" s="2423"/>
    </row>
    <row r="34702" s="101" customFormat="1" spans="6:6">
      <c r="F34702" s="2423"/>
    </row>
    <row r="34703" s="101" customFormat="1" spans="6:6">
      <c r="F34703" s="2423"/>
    </row>
    <row r="34704" s="101" customFormat="1" spans="6:6">
      <c r="F34704" s="2423"/>
    </row>
    <row r="34705" s="101" customFormat="1" spans="6:6">
      <c r="F34705" s="2423"/>
    </row>
    <row r="34706" s="101" customFormat="1" spans="6:6">
      <c r="F34706" s="2423"/>
    </row>
    <row r="34707" s="101" customFormat="1" spans="6:6">
      <c r="F34707" s="2423"/>
    </row>
    <row r="34708" s="101" customFormat="1" spans="6:6">
      <c r="F34708" s="2423"/>
    </row>
    <row r="34709" s="101" customFormat="1" spans="6:6">
      <c r="F34709" s="2423"/>
    </row>
    <row r="34710" s="101" customFormat="1" spans="6:6">
      <c r="F34710" s="2423"/>
    </row>
    <row r="34711" s="101" customFormat="1" spans="6:6">
      <c r="F34711" s="2423"/>
    </row>
    <row r="34712" s="101" customFormat="1" spans="6:6">
      <c r="F34712" s="2423"/>
    </row>
    <row r="34713" s="101" customFormat="1" spans="6:6">
      <c r="F34713" s="2423"/>
    </row>
    <row r="34714" s="101" customFormat="1" spans="6:6">
      <c r="F34714" s="2423"/>
    </row>
    <row r="34715" s="101" customFormat="1" spans="6:6">
      <c r="F34715" s="2423"/>
    </row>
    <row r="34716" s="101" customFormat="1" spans="6:6">
      <c r="F34716" s="2423"/>
    </row>
    <row r="34717" s="101" customFormat="1" spans="6:6">
      <c r="F34717" s="2423"/>
    </row>
    <row r="34718" s="101" customFormat="1" spans="6:6">
      <c r="F34718" s="2423"/>
    </row>
    <row r="34719" s="101" customFormat="1" spans="6:6">
      <c r="F34719" s="2423"/>
    </row>
    <row r="34720" s="101" customFormat="1" spans="6:6">
      <c r="F34720" s="2423"/>
    </row>
    <row r="34721" s="101" customFormat="1" spans="6:6">
      <c r="F34721" s="2423"/>
    </row>
    <row r="34722" s="101" customFormat="1" spans="6:6">
      <c r="F34722" s="2423"/>
    </row>
    <row r="34723" s="101" customFormat="1" spans="6:6">
      <c r="F34723" s="2423"/>
    </row>
    <row r="34724" s="101" customFormat="1" spans="6:6">
      <c r="F34724" s="2423"/>
    </row>
    <row r="34725" s="101" customFormat="1" spans="6:6">
      <c r="F34725" s="2423"/>
    </row>
    <row r="34726" s="101" customFormat="1" spans="6:6">
      <c r="F34726" s="2423"/>
    </row>
    <row r="34727" s="101" customFormat="1" spans="6:6">
      <c r="F34727" s="2423"/>
    </row>
    <row r="34728" s="101" customFormat="1" spans="6:6">
      <c r="F34728" s="2423"/>
    </row>
    <row r="34729" s="101" customFormat="1" spans="6:6">
      <c r="F34729" s="2423"/>
    </row>
    <row r="34730" s="101" customFormat="1" spans="6:6">
      <c r="F34730" s="2423"/>
    </row>
    <row r="34731" s="101" customFormat="1" spans="6:6">
      <c r="F34731" s="2423"/>
    </row>
    <row r="34732" s="101" customFormat="1" spans="6:6">
      <c r="F34732" s="2423"/>
    </row>
    <row r="34733" s="101" customFormat="1" spans="6:6">
      <c r="F34733" s="2423"/>
    </row>
    <row r="34734" s="101" customFormat="1" spans="6:6">
      <c r="F34734" s="2423"/>
    </row>
    <row r="34735" s="101" customFormat="1" spans="6:6">
      <c r="F34735" s="2423"/>
    </row>
    <row r="34736" s="101" customFormat="1" spans="6:6">
      <c r="F34736" s="2423"/>
    </row>
    <row r="34737" s="101" customFormat="1" spans="6:6">
      <c r="F34737" s="2423"/>
    </row>
    <row r="34738" s="101" customFormat="1" spans="6:6">
      <c r="F34738" s="2423"/>
    </row>
    <row r="34739" s="101" customFormat="1" spans="6:6">
      <c r="F34739" s="2423"/>
    </row>
    <row r="34740" s="101" customFormat="1" spans="6:6">
      <c r="F34740" s="2423"/>
    </row>
    <row r="34741" s="101" customFormat="1" spans="6:6">
      <c r="F34741" s="2423"/>
    </row>
    <row r="34742" s="101" customFormat="1" spans="6:6">
      <c r="F34742" s="2423"/>
    </row>
    <row r="34743" s="101" customFormat="1" spans="6:6">
      <c r="F34743" s="2423"/>
    </row>
    <row r="34744" s="101" customFormat="1" spans="6:6">
      <c r="F34744" s="2423"/>
    </row>
    <row r="34745" s="101" customFormat="1" spans="6:6">
      <c r="F34745" s="2423"/>
    </row>
    <row r="34746" s="101" customFormat="1" spans="6:6">
      <c r="F34746" s="2423"/>
    </row>
    <row r="34747" s="101" customFormat="1" spans="6:6">
      <c r="F34747" s="2423"/>
    </row>
    <row r="34748" s="101" customFormat="1" spans="6:6">
      <c r="F34748" s="2423"/>
    </row>
    <row r="34749" s="101" customFormat="1" spans="6:6">
      <c r="F34749" s="2423"/>
    </row>
    <row r="34750" s="101" customFormat="1" spans="6:6">
      <c r="F34750" s="2423"/>
    </row>
    <row r="34751" s="101" customFormat="1" spans="6:6">
      <c r="F34751" s="2423"/>
    </row>
    <row r="34752" s="101" customFormat="1" spans="6:6">
      <c r="F34752" s="2423"/>
    </row>
    <row r="34753" s="101" customFormat="1" spans="6:6">
      <c r="F34753" s="2423"/>
    </row>
    <row r="34754" s="101" customFormat="1" spans="6:6">
      <c r="F34754" s="2423"/>
    </row>
    <row r="34755" s="101" customFormat="1" spans="6:6">
      <c r="F34755" s="2423"/>
    </row>
    <row r="34756" s="101" customFormat="1" spans="6:6">
      <c r="F34756" s="2423"/>
    </row>
    <row r="34757" s="101" customFormat="1" spans="6:6">
      <c r="F34757" s="2423"/>
    </row>
    <row r="34758" s="101" customFormat="1" spans="6:6">
      <c r="F34758" s="2423"/>
    </row>
    <row r="34759" s="101" customFormat="1" spans="6:6">
      <c r="F34759" s="2423"/>
    </row>
    <row r="34760" s="101" customFormat="1" spans="6:6">
      <c r="F34760" s="2423"/>
    </row>
    <row r="34761" s="101" customFormat="1" spans="6:6">
      <c r="F34761" s="2423"/>
    </row>
    <row r="34762" s="101" customFormat="1" spans="6:6">
      <c r="F34762" s="2423"/>
    </row>
    <row r="34763" s="101" customFormat="1" spans="6:6">
      <c r="F34763" s="2423"/>
    </row>
    <row r="34764" s="101" customFormat="1" spans="6:6">
      <c r="F34764" s="2423"/>
    </row>
    <row r="34765" s="101" customFormat="1" spans="6:6">
      <c r="F34765" s="2423"/>
    </row>
    <row r="34766" s="101" customFormat="1" spans="6:6">
      <c r="F34766" s="2423"/>
    </row>
    <row r="34767" s="101" customFormat="1" spans="6:6">
      <c r="F34767" s="2423"/>
    </row>
    <row r="34768" s="101" customFormat="1" spans="6:6">
      <c r="F34768" s="2423"/>
    </row>
    <row r="34769" s="101" customFormat="1" spans="6:6">
      <c r="F34769" s="2423"/>
    </row>
    <row r="34770" s="101" customFormat="1" spans="6:6">
      <c r="F34770" s="2423"/>
    </row>
    <row r="34771" s="101" customFormat="1" spans="6:6">
      <c r="F34771" s="2423"/>
    </row>
    <row r="34772" s="101" customFormat="1" spans="6:6">
      <c r="F34772" s="2423"/>
    </row>
    <row r="34773" s="101" customFormat="1" spans="6:6">
      <c r="F34773" s="2423"/>
    </row>
    <row r="34774" s="101" customFormat="1" spans="6:6">
      <c r="F34774" s="2423"/>
    </row>
    <row r="34775" s="101" customFormat="1" spans="6:6">
      <c r="F34775" s="2423"/>
    </row>
    <row r="34776" s="101" customFormat="1" spans="6:6">
      <c r="F34776" s="2423"/>
    </row>
    <row r="34777" s="101" customFormat="1" spans="6:6">
      <c r="F34777" s="2423"/>
    </row>
    <row r="34778" s="101" customFormat="1" spans="6:6">
      <c r="F34778" s="2423"/>
    </row>
    <row r="34779" s="101" customFormat="1" spans="6:6">
      <c r="F34779" s="2423"/>
    </row>
    <row r="34780" s="101" customFormat="1" spans="6:6">
      <c r="F34780" s="2423"/>
    </row>
    <row r="34781" s="101" customFormat="1" spans="6:6">
      <c r="F34781" s="2423"/>
    </row>
    <row r="34782" s="101" customFormat="1" spans="6:6">
      <c r="F34782" s="2423"/>
    </row>
    <row r="34783" s="101" customFormat="1" spans="6:6">
      <c r="F34783" s="2423"/>
    </row>
    <row r="34784" s="101" customFormat="1" spans="6:6">
      <c r="F34784" s="2423"/>
    </row>
    <row r="34785" s="101" customFormat="1" spans="6:6">
      <c r="F34785" s="2423"/>
    </row>
    <row r="34786" s="101" customFormat="1" spans="6:6">
      <c r="F34786" s="2423"/>
    </row>
    <row r="34787" s="101" customFormat="1" spans="6:6">
      <c r="F34787" s="2423"/>
    </row>
    <row r="34788" s="101" customFormat="1" spans="6:6">
      <c r="F34788" s="2423"/>
    </row>
    <row r="34789" s="101" customFormat="1" spans="6:6">
      <c r="F34789" s="2423"/>
    </row>
    <row r="34790" s="101" customFormat="1" spans="6:6">
      <c r="F34790" s="2423"/>
    </row>
    <row r="34791" s="101" customFormat="1" spans="6:6">
      <c r="F34791" s="2423"/>
    </row>
    <row r="34792" s="101" customFormat="1" spans="6:6">
      <c r="F34792" s="2423"/>
    </row>
    <row r="34793" s="101" customFormat="1" spans="6:6">
      <c r="F34793" s="2423"/>
    </row>
    <row r="34794" s="101" customFormat="1" spans="6:6">
      <c r="F34794" s="2423"/>
    </row>
    <row r="34795" s="101" customFormat="1" spans="6:6">
      <c r="F34795" s="2423"/>
    </row>
    <row r="34796" s="101" customFormat="1" spans="6:6">
      <c r="F34796" s="2423"/>
    </row>
    <row r="34797" s="101" customFormat="1" spans="6:6">
      <c r="F34797" s="2423"/>
    </row>
    <row r="34798" s="101" customFormat="1" spans="6:6">
      <c r="F34798" s="2423"/>
    </row>
    <row r="34799" s="101" customFormat="1" spans="6:6">
      <c r="F34799" s="2423"/>
    </row>
    <row r="34800" s="101" customFormat="1" spans="6:6">
      <c r="F34800" s="2423"/>
    </row>
    <row r="34801" s="101" customFormat="1" spans="6:6">
      <c r="F34801" s="2423"/>
    </row>
    <row r="34802" s="101" customFormat="1" spans="6:6">
      <c r="F34802" s="2423"/>
    </row>
    <row r="34803" s="101" customFormat="1" spans="6:6">
      <c r="F34803" s="2423"/>
    </row>
    <row r="34804" s="101" customFormat="1" spans="6:6">
      <c r="F34804" s="2423"/>
    </row>
    <row r="34805" s="101" customFormat="1" spans="6:6">
      <c r="F34805" s="2423"/>
    </row>
    <row r="34806" s="101" customFormat="1" spans="6:6">
      <c r="F34806" s="2423"/>
    </row>
    <row r="34807" s="101" customFormat="1" spans="6:6">
      <c r="F34807" s="2423"/>
    </row>
    <row r="34808" s="101" customFormat="1" spans="6:6">
      <c r="F34808" s="2423"/>
    </row>
    <row r="34809" s="101" customFormat="1" spans="6:6">
      <c r="F34809" s="2423"/>
    </row>
    <row r="34810" s="101" customFormat="1" spans="6:6">
      <c r="F34810" s="2423"/>
    </row>
    <row r="34811" s="101" customFormat="1" spans="6:6">
      <c r="F34811" s="2423"/>
    </row>
    <row r="34812" s="101" customFormat="1" spans="6:6">
      <c r="F34812" s="2423"/>
    </row>
    <row r="34813" s="101" customFormat="1" spans="6:6">
      <c r="F34813" s="2423"/>
    </row>
    <row r="34814" s="101" customFormat="1" spans="6:6">
      <c r="F34814" s="2423"/>
    </row>
    <row r="34815" s="101" customFormat="1" spans="6:6">
      <c r="F34815" s="2423"/>
    </row>
    <row r="34816" s="101" customFormat="1" spans="6:6">
      <c r="F34816" s="2423"/>
    </row>
    <row r="34817" s="101" customFormat="1" spans="6:6">
      <c r="F34817" s="2423"/>
    </row>
    <row r="34818" s="101" customFormat="1" spans="6:6">
      <c r="F34818" s="2423"/>
    </row>
    <row r="34819" s="101" customFormat="1" spans="6:6">
      <c r="F34819" s="2423"/>
    </row>
    <row r="34820" s="101" customFormat="1" spans="6:6">
      <c r="F34820" s="2423"/>
    </row>
    <row r="34821" s="101" customFormat="1" spans="6:6">
      <c r="F34821" s="2423"/>
    </row>
    <row r="34822" s="101" customFormat="1" spans="6:6">
      <c r="F34822" s="2423"/>
    </row>
    <row r="34823" s="101" customFormat="1" spans="6:6">
      <c r="F34823" s="2423"/>
    </row>
    <row r="34824" s="101" customFormat="1" spans="6:6">
      <c r="F34824" s="2423"/>
    </row>
    <row r="34825" s="101" customFormat="1" spans="6:6">
      <c r="F34825" s="2423"/>
    </row>
    <row r="34826" s="101" customFormat="1" spans="6:6">
      <c r="F34826" s="2423"/>
    </row>
    <row r="34827" s="101" customFormat="1" spans="6:6">
      <c r="F34827" s="2423"/>
    </row>
    <row r="34828" s="101" customFormat="1" spans="6:6">
      <c r="F34828" s="2423"/>
    </row>
    <row r="34829" s="101" customFormat="1" spans="6:6">
      <c r="F34829" s="2423"/>
    </row>
    <row r="34830" s="101" customFormat="1" spans="6:6">
      <c r="F34830" s="2423"/>
    </row>
    <row r="34831" s="101" customFormat="1" spans="6:6">
      <c r="F34831" s="2423"/>
    </row>
    <row r="34832" s="101" customFormat="1" spans="6:6">
      <c r="F34832" s="2423"/>
    </row>
    <row r="34833" s="101" customFormat="1" spans="6:6">
      <c r="F34833" s="2423"/>
    </row>
    <row r="34834" s="101" customFormat="1" spans="6:6">
      <c r="F34834" s="2423"/>
    </row>
    <row r="34835" s="101" customFormat="1" spans="6:6">
      <c r="F34835" s="2423"/>
    </row>
    <row r="34836" s="101" customFormat="1" spans="6:6">
      <c r="F34836" s="2423"/>
    </row>
    <row r="34837" s="101" customFormat="1" spans="6:6">
      <c r="F34837" s="2423"/>
    </row>
    <row r="34838" s="101" customFormat="1" spans="6:6">
      <c r="F34838" s="2423"/>
    </row>
    <row r="34839" s="101" customFormat="1" spans="6:6">
      <c r="F34839" s="2423"/>
    </row>
    <row r="34840" s="101" customFormat="1" spans="6:6">
      <c r="F34840" s="2423"/>
    </row>
    <row r="34841" s="101" customFormat="1" spans="6:6">
      <c r="F34841" s="2423"/>
    </row>
    <row r="34842" s="101" customFormat="1" spans="6:6">
      <c r="F34842" s="2423"/>
    </row>
    <row r="34843" s="101" customFormat="1" spans="6:6">
      <c r="F34843" s="2423"/>
    </row>
    <row r="34844" s="101" customFormat="1" spans="6:6">
      <c r="F34844" s="2423"/>
    </row>
    <row r="34845" s="101" customFormat="1" spans="6:6">
      <c r="F34845" s="2423"/>
    </row>
    <row r="34846" s="101" customFormat="1" spans="6:6">
      <c r="F34846" s="2423"/>
    </row>
    <row r="34847" s="101" customFormat="1" spans="6:6">
      <c r="F34847" s="2423"/>
    </row>
    <row r="34848" s="101" customFormat="1" spans="6:6">
      <c r="F34848" s="2423"/>
    </row>
    <row r="34849" s="101" customFormat="1" spans="6:6">
      <c r="F34849" s="2423"/>
    </row>
    <row r="34850" s="101" customFormat="1" spans="6:6">
      <c r="F34850" s="2423"/>
    </row>
    <row r="34851" s="101" customFormat="1" spans="6:6">
      <c r="F34851" s="2423"/>
    </row>
    <row r="34852" s="101" customFormat="1" spans="6:6">
      <c r="F34852" s="2423"/>
    </row>
    <row r="34853" s="101" customFormat="1" spans="6:6">
      <c r="F34853" s="2423"/>
    </row>
    <row r="34854" s="101" customFormat="1" spans="6:6">
      <c r="F34854" s="2423"/>
    </row>
    <row r="34855" s="101" customFormat="1" spans="6:6">
      <c r="F34855" s="2423"/>
    </row>
    <row r="34856" s="101" customFormat="1" spans="6:6">
      <c r="F34856" s="2423"/>
    </row>
    <row r="34857" s="101" customFormat="1" spans="6:6">
      <c r="F34857" s="2423"/>
    </row>
    <row r="34858" s="101" customFormat="1" spans="6:6">
      <c r="F34858" s="2423"/>
    </row>
    <row r="34859" s="101" customFormat="1" spans="6:6">
      <c r="F34859" s="2423"/>
    </row>
    <row r="34860" s="101" customFormat="1" spans="6:6">
      <c r="F34860" s="2423"/>
    </row>
    <row r="34861" s="101" customFormat="1" spans="6:6">
      <c r="F34861" s="2423"/>
    </row>
    <row r="34862" s="101" customFormat="1" spans="6:6">
      <c r="F34862" s="2423"/>
    </row>
    <row r="34863" s="101" customFormat="1" spans="6:6">
      <c r="F34863" s="2423"/>
    </row>
    <row r="34864" s="101" customFormat="1" spans="6:6">
      <c r="F34864" s="2423"/>
    </row>
    <row r="34865" s="101" customFormat="1" spans="6:6">
      <c r="F34865" s="2423"/>
    </row>
    <row r="34866" s="101" customFormat="1" spans="6:6">
      <c r="F34866" s="2423"/>
    </row>
    <row r="34867" s="101" customFormat="1" spans="6:6">
      <c r="F34867" s="2423"/>
    </row>
    <row r="34868" s="101" customFormat="1" spans="6:6">
      <c r="F34868" s="2423"/>
    </row>
    <row r="34869" s="101" customFormat="1" spans="6:6">
      <c r="F34869" s="2423"/>
    </row>
    <row r="34870" s="101" customFormat="1" spans="6:6">
      <c r="F34870" s="2423"/>
    </row>
    <row r="34871" s="101" customFormat="1" spans="6:6">
      <c r="F34871" s="2423"/>
    </row>
    <row r="34872" s="101" customFormat="1" spans="6:6">
      <c r="F34872" s="2423"/>
    </row>
    <row r="34873" s="101" customFormat="1" spans="6:6">
      <c r="F34873" s="2423"/>
    </row>
    <row r="34874" s="101" customFormat="1" spans="6:6">
      <c r="F34874" s="2423"/>
    </row>
    <row r="34875" s="101" customFormat="1" spans="6:6">
      <c r="F34875" s="2423"/>
    </row>
    <row r="34876" s="101" customFormat="1" spans="6:6">
      <c r="F34876" s="2423"/>
    </row>
    <row r="34877" s="101" customFormat="1" spans="6:6">
      <c r="F34877" s="2423"/>
    </row>
    <row r="34878" s="101" customFormat="1" spans="6:6">
      <c r="F34878" s="2423"/>
    </row>
    <row r="34879" s="101" customFormat="1" spans="6:6">
      <c r="F34879" s="2423"/>
    </row>
    <row r="34880" s="101" customFormat="1" spans="6:6">
      <c r="F34880" s="2423"/>
    </row>
    <row r="34881" s="101" customFormat="1" spans="6:6">
      <c r="F34881" s="2423"/>
    </row>
    <row r="34882" s="101" customFormat="1" spans="6:6">
      <c r="F34882" s="2423"/>
    </row>
    <row r="34883" s="101" customFormat="1" spans="6:6">
      <c r="F34883" s="2423"/>
    </row>
    <row r="34884" s="101" customFormat="1" spans="6:6">
      <c r="F34884" s="2423"/>
    </row>
    <row r="34885" s="101" customFormat="1" spans="6:6">
      <c r="F34885" s="2423"/>
    </row>
    <row r="34886" s="101" customFormat="1" spans="6:6">
      <c r="F34886" s="2423"/>
    </row>
    <row r="34887" s="101" customFormat="1" spans="6:6">
      <c r="F34887" s="2423"/>
    </row>
    <row r="34888" s="101" customFormat="1" spans="6:6">
      <c r="F34888" s="2423"/>
    </row>
    <row r="34889" s="101" customFormat="1" spans="6:6">
      <c r="F34889" s="2423"/>
    </row>
    <row r="34890" s="101" customFormat="1" spans="6:6">
      <c r="F34890" s="2423"/>
    </row>
    <row r="34891" s="101" customFormat="1" spans="6:6">
      <c r="F34891" s="2423"/>
    </row>
    <row r="34892" s="101" customFormat="1" spans="6:6">
      <c r="F34892" s="2423"/>
    </row>
    <row r="34893" s="101" customFormat="1" spans="6:6">
      <c r="F34893" s="2423"/>
    </row>
    <row r="34894" s="101" customFormat="1" spans="6:6">
      <c r="F34894" s="2423"/>
    </row>
    <row r="34895" s="101" customFormat="1" spans="6:6">
      <c r="F34895" s="2423"/>
    </row>
    <row r="34896" s="101" customFormat="1" spans="6:6">
      <c r="F34896" s="2423"/>
    </row>
    <row r="34897" s="101" customFormat="1" spans="6:6">
      <c r="F34897" s="2423"/>
    </row>
    <row r="34898" s="101" customFormat="1" spans="6:6">
      <c r="F34898" s="2423"/>
    </row>
    <row r="34899" s="101" customFormat="1" spans="6:6">
      <c r="F34899" s="2423"/>
    </row>
    <row r="34900" s="101" customFormat="1" spans="6:6">
      <c r="F34900" s="2423"/>
    </row>
    <row r="34901" s="101" customFormat="1" spans="6:6">
      <c r="F34901" s="2423"/>
    </row>
    <row r="34902" s="101" customFormat="1" spans="6:6">
      <c r="F34902" s="2423"/>
    </row>
    <row r="34903" s="101" customFormat="1" spans="6:6">
      <c r="F34903" s="2423"/>
    </row>
    <row r="34904" s="101" customFormat="1" spans="6:6">
      <c r="F34904" s="2423"/>
    </row>
    <row r="34905" s="101" customFormat="1" spans="6:6">
      <c r="F34905" s="2423"/>
    </row>
    <row r="34906" s="101" customFormat="1" spans="6:6">
      <c r="F34906" s="2423"/>
    </row>
    <row r="34907" s="101" customFormat="1" spans="6:6">
      <c r="F34907" s="2423"/>
    </row>
    <row r="34908" s="101" customFormat="1" spans="6:6">
      <c r="F34908" s="2423"/>
    </row>
    <row r="34909" s="101" customFormat="1" spans="6:6">
      <c r="F34909" s="2423"/>
    </row>
    <row r="34910" s="101" customFormat="1" spans="6:6">
      <c r="F34910" s="2423"/>
    </row>
    <row r="34911" s="101" customFormat="1" spans="6:6">
      <c r="F34911" s="2423"/>
    </row>
    <row r="34912" s="101" customFormat="1" spans="6:6">
      <c r="F34912" s="2423"/>
    </row>
    <row r="34913" s="101" customFormat="1" spans="6:6">
      <c r="F34913" s="2423"/>
    </row>
    <row r="34914" s="101" customFormat="1" spans="6:6">
      <c r="F34914" s="2423"/>
    </row>
    <row r="34915" s="101" customFormat="1" spans="6:6">
      <c r="F34915" s="2423"/>
    </row>
    <row r="34916" s="101" customFormat="1" spans="6:6">
      <c r="F34916" s="2423"/>
    </row>
    <row r="34917" s="101" customFormat="1" spans="6:6">
      <c r="F34917" s="2423"/>
    </row>
    <row r="34918" s="101" customFormat="1" spans="6:6">
      <c r="F34918" s="2423"/>
    </row>
    <row r="34919" s="101" customFormat="1" spans="6:6">
      <c r="F34919" s="2423"/>
    </row>
    <row r="34920" s="101" customFormat="1" spans="6:6">
      <c r="F34920" s="2423"/>
    </row>
    <row r="34921" s="101" customFormat="1" spans="6:6">
      <c r="F34921" s="2423"/>
    </row>
    <row r="34922" s="101" customFormat="1" spans="6:6">
      <c r="F34922" s="2423"/>
    </row>
    <row r="34923" s="101" customFormat="1" spans="6:6">
      <c r="F34923" s="2423"/>
    </row>
    <row r="34924" s="101" customFormat="1" spans="6:6">
      <c r="F34924" s="2423"/>
    </row>
    <row r="34925" s="101" customFormat="1" spans="6:6">
      <c r="F34925" s="2423"/>
    </row>
    <row r="34926" s="101" customFormat="1" spans="6:6">
      <c r="F34926" s="2423"/>
    </row>
    <row r="34927" s="101" customFormat="1" spans="6:6">
      <c r="F34927" s="2423"/>
    </row>
    <row r="34928" s="101" customFormat="1" spans="6:6">
      <c r="F34928" s="2423"/>
    </row>
    <row r="34929" s="101" customFormat="1" spans="6:6">
      <c r="F34929" s="2423"/>
    </row>
    <row r="34930" s="101" customFormat="1" spans="6:6">
      <c r="F34930" s="2423"/>
    </row>
    <row r="34931" s="101" customFormat="1" spans="6:6">
      <c r="F34931" s="2423"/>
    </row>
    <row r="34932" s="101" customFormat="1" spans="6:6">
      <c r="F34932" s="2423"/>
    </row>
    <row r="34933" s="101" customFormat="1" spans="6:6">
      <c r="F34933" s="2423"/>
    </row>
    <row r="34934" s="101" customFormat="1" spans="6:6">
      <c r="F34934" s="2423"/>
    </row>
    <row r="34935" s="101" customFormat="1" spans="6:6">
      <c r="F34935" s="2423"/>
    </row>
    <row r="34936" s="101" customFormat="1" spans="6:6">
      <c r="F34936" s="2423"/>
    </row>
    <row r="34937" s="101" customFormat="1" spans="6:6">
      <c r="F34937" s="2423"/>
    </row>
    <row r="34938" s="101" customFormat="1" spans="6:6">
      <c r="F34938" s="2423"/>
    </row>
    <row r="34939" s="101" customFormat="1" spans="6:6">
      <c r="F34939" s="2423"/>
    </row>
    <row r="34940" s="101" customFormat="1" spans="6:6">
      <c r="F34940" s="2423"/>
    </row>
    <row r="34941" s="101" customFormat="1" spans="6:6">
      <c r="F34941" s="2423"/>
    </row>
    <row r="34942" s="101" customFormat="1" spans="6:6">
      <c r="F34942" s="2423"/>
    </row>
    <row r="34943" s="101" customFormat="1" spans="6:6">
      <c r="F34943" s="2423"/>
    </row>
    <row r="34944" s="101" customFormat="1" spans="6:6">
      <c r="F34944" s="2423"/>
    </row>
    <row r="34945" s="101" customFormat="1" spans="6:6">
      <c r="F34945" s="2423"/>
    </row>
    <row r="34946" s="101" customFormat="1" spans="6:6">
      <c r="F34946" s="2423"/>
    </row>
    <row r="34947" s="101" customFormat="1" spans="6:6">
      <c r="F34947" s="2423"/>
    </row>
    <row r="34948" s="101" customFormat="1" spans="6:6">
      <c r="F34948" s="2423"/>
    </row>
    <row r="34949" s="101" customFormat="1" spans="6:6">
      <c r="F34949" s="2423"/>
    </row>
    <row r="34950" s="101" customFormat="1" spans="6:6">
      <c r="F34950" s="2423"/>
    </row>
    <row r="34951" s="101" customFormat="1" spans="6:6">
      <c r="F34951" s="2423"/>
    </row>
    <row r="34952" s="101" customFormat="1" spans="6:6">
      <c r="F34952" s="2423"/>
    </row>
    <row r="34953" s="101" customFormat="1" spans="6:6">
      <c r="F34953" s="2423"/>
    </row>
    <row r="34954" s="101" customFormat="1" spans="6:6">
      <c r="F34954" s="2423"/>
    </row>
    <row r="34955" s="101" customFormat="1" spans="6:6">
      <c r="F34955" s="2423"/>
    </row>
    <row r="34956" s="101" customFormat="1" spans="6:6">
      <c r="F34956" s="2423"/>
    </row>
    <row r="34957" s="101" customFormat="1" spans="6:6">
      <c r="F34957" s="2423"/>
    </row>
    <row r="34958" s="101" customFormat="1" spans="6:6">
      <c r="F34958" s="2423"/>
    </row>
    <row r="34959" s="101" customFormat="1" spans="6:6">
      <c r="F34959" s="2423"/>
    </row>
    <row r="34960" s="101" customFormat="1" spans="6:6">
      <c r="F34960" s="2423"/>
    </row>
    <row r="34961" s="101" customFormat="1" spans="6:6">
      <c r="F34961" s="2423"/>
    </row>
    <row r="34962" s="101" customFormat="1" spans="6:6">
      <c r="F34962" s="2423"/>
    </row>
    <row r="34963" s="101" customFormat="1" spans="6:6">
      <c r="F34963" s="2423"/>
    </row>
    <row r="34964" s="101" customFormat="1" spans="6:6">
      <c r="F34964" s="2423"/>
    </row>
    <row r="34965" s="101" customFormat="1" spans="6:6">
      <c r="F34965" s="2423"/>
    </row>
    <row r="34966" s="101" customFormat="1" spans="6:6">
      <c r="F34966" s="2423"/>
    </row>
    <row r="34967" s="101" customFormat="1" spans="6:6">
      <c r="F34967" s="2423"/>
    </row>
    <row r="34968" s="101" customFormat="1" spans="6:6">
      <c r="F34968" s="2423"/>
    </row>
    <row r="34969" s="101" customFormat="1" spans="6:6">
      <c r="F34969" s="2423"/>
    </row>
    <row r="34970" s="101" customFormat="1" spans="6:6">
      <c r="F34970" s="2423"/>
    </row>
    <row r="34971" s="101" customFormat="1" spans="6:6">
      <c r="F34971" s="2423"/>
    </row>
    <row r="34972" s="101" customFormat="1" spans="6:6">
      <c r="F34972" s="2423"/>
    </row>
    <row r="34973" s="101" customFormat="1" spans="6:6">
      <c r="F34973" s="2423"/>
    </row>
    <row r="34974" s="101" customFormat="1" spans="6:6">
      <c r="F34974" s="2423"/>
    </row>
    <row r="34975" s="101" customFormat="1" spans="6:6">
      <c r="F34975" s="2423"/>
    </row>
    <row r="34976" s="101" customFormat="1" spans="6:6">
      <c r="F34976" s="2423"/>
    </row>
    <row r="34977" s="101" customFormat="1" spans="6:6">
      <c r="F34977" s="2423"/>
    </row>
    <row r="34978" s="101" customFormat="1" spans="6:6">
      <c r="F34978" s="2423"/>
    </row>
    <row r="34979" s="101" customFormat="1" spans="6:6">
      <c r="F34979" s="2423"/>
    </row>
    <row r="34980" s="101" customFormat="1" spans="6:6">
      <c r="F34980" s="2423"/>
    </row>
    <row r="34981" s="101" customFormat="1" spans="6:6">
      <c r="F34981" s="2423"/>
    </row>
    <row r="34982" s="101" customFormat="1" spans="6:6">
      <c r="F34982" s="2423"/>
    </row>
    <row r="34983" s="101" customFormat="1" spans="6:6">
      <c r="F34983" s="2423"/>
    </row>
    <row r="34984" s="101" customFormat="1" spans="6:6">
      <c r="F34984" s="2423"/>
    </row>
    <row r="34985" s="101" customFormat="1" spans="6:6">
      <c r="F34985" s="2423"/>
    </row>
    <row r="34986" s="101" customFormat="1" spans="6:6">
      <c r="F34986" s="2423"/>
    </row>
    <row r="34987" s="101" customFormat="1" spans="6:6">
      <c r="F34987" s="2423"/>
    </row>
    <row r="34988" s="101" customFormat="1" spans="6:6">
      <c r="F34988" s="2423"/>
    </row>
    <row r="34989" s="101" customFormat="1" spans="6:6">
      <c r="F34989" s="2423"/>
    </row>
    <row r="34990" s="101" customFormat="1" spans="6:6">
      <c r="F34990" s="2423"/>
    </row>
    <row r="34991" s="101" customFormat="1" spans="6:6">
      <c r="F34991" s="2423"/>
    </row>
    <row r="34992" s="101" customFormat="1" spans="6:6">
      <c r="F34992" s="2423"/>
    </row>
    <row r="34993" s="101" customFormat="1" spans="6:6">
      <c r="F34993" s="2423"/>
    </row>
    <row r="34994" s="101" customFormat="1" spans="6:6">
      <c r="F34994" s="2423"/>
    </row>
    <row r="34995" s="101" customFormat="1" spans="6:6">
      <c r="F34995" s="2423"/>
    </row>
    <row r="34996" s="101" customFormat="1" spans="6:6">
      <c r="F34996" s="2423"/>
    </row>
    <row r="34997" s="101" customFormat="1" spans="6:6">
      <c r="F34997" s="2423"/>
    </row>
    <row r="34998" s="101" customFormat="1" spans="6:6">
      <c r="F34998" s="2423"/>
    </row>
    <row r="34999" s="101" customFormat="1" spans="6:6">
      <c r="F34999" s="2423"/>
    </row>
    <row r="35000" s="101" customFormat="1" spans="6:6">
      <c r="F35000" s="2423"/>
    </row>
    <row r="35001" s="101" customFormat="1" spans="6:6">
      <c r="F35001" s="2423"/>
    </row>
    <row r="35002" s="101" customFormat="1" spans="6:6">
      <c r="F35002" s="2423"/>
    </row>
    <row r="35003" s="101" customFormat="1" spans="6:6">
      <c r="F35003" s="2423"/>
    </row>
    <row r="35004" s="101" customFormat="1" spans="6:6">
      <c r="F35004" s="2423"/>
    </row>
    <row r="35005" s="101" customFormat="1" spans="6:6">
      <c r="F35005" s="2423"/>
    </row>
    <row r="35006" s="101" customFormat="1" spans="6:6">
      <c r="F35006" s="2423"/>
    </row>
    <row r="35007" s="101" customFormat="1" spans="6:6">
      <c r="F35007" s="2423"/>
    </row>
    <row r="35008" s="101" customFormat="1" spans="6:6">
      <c r="F35008" s="2423"/>
    </row>
    <row r="35009" s="101" customFormat="1" spans="6:6">
      <c r="F35009" s="2423"/>
    </row>
    <row r="35010" s="101" customFormat="1" spans="6:6">
      <c r="F35010" s="2423"/>
    </row>
    <row r="35011" s="101" customFormat="1" spans="6:6">
      <c r="F35011" s="2423"/>
    </row>
    <row r="35012" s="101" customFormat="1" spans="6:6">
      <c r="F35012" s="2423"/>
    </row>
    <row r="35013" s="101" customFormat="1" spans="6:6">
      <c r="F35013" s="2423"/>
    </row>
    <row r="35014" s="101" customFormat="1" spans="6:6">
      <c r="F35014" s="2423"/>
    </row>
    <row r="35015" s="101" customFormat="1" spans="6:6">
      <c r="F35015" s="2423"/>
    </row>
    <row r="35016" s="101" customFormat="1" spans="6:6">
      <c r="F35016" s="2423"/>
    </row>
    <row r="35017" s="101" customFormat="1" spans="6:6">
      <c r="F35017" s="2423"/>
    </row>
    <row r="35018" s="101" customFormat="1" spans="6:6">
      <c r="F35018" s="2423"/>
    </row>
    <row r="35019" s="101" customFormat="1" spans="6:6">
      <c r="F35019" s="2423"/>
    </row>
    <row r="35020" s="101" customFormat="1" spans="6:6">
      <c r="F35020" s="2423"/>
    </row>
    <row r="35021" s="101" customFormat="1" spans="6:6">
      <c r="F35021" s="2423"/>
    </row>
    <row r="35022" s="101" customFormat="1" spans="6:6">
      <c r="F35022" s="2423"/>
    </row>
    <row r="35023" s="101" customFormat="1" spans="6:6">
      <c r="F35023" s="2423"/>
    </row>
    <row r="35024" s="101" customFormat="1" spans="6:6">
      <c r="F35024" s="2423"/>
    </row>
    <row r="35025" s="101" customFormat="1" spans="6:6">
      <c r="F35025" s="2423"/>
    </row>
    <row r="35026" s="101" customFormat="1" spans="6:6">
      <c r="F35026" s="2423"/>
    </row>
    <row r="35027" s="101" customFormat="1" spans="6:6">
      <c r="F35027" s="2423"/>
    </row>
    <row r="35028" s="101" customFormat="1" spans="6:6">
      <c r="F35028" s="2423"/>
    </row>
    <row r="35029" s="101" customFormat="1" spans="6:6">
      <c r="F35029" s="2423"/>
    </row>
    <row r="35030" s="101" customFormat="1" spans="6:6">
      <c r="F35030" s="2423"/>
    </row>
    <row r="35031" s="101" customFormat="1" spans="6:6">
      <c r="F35031" s="2423"/>
    </row>
    <row r="35032" s="101" customFormat="1" spans="6:6">
      <c r="F35032" s="2423"/>
    </row>
    <row r="35033" s="101" customFormat="1" spans="6:6">
      <c r="F35033" s="2423"/>
    </row>
    <row r="35034" s="101" customFormat="1" spans="6:6">
      <c r="F35034" s="2423"/>
    </row>
    <row r="35035" s="101" customFormat="1" spans="6:6">
      <c r="F35035" s="2423"/>
    </row>
    <row r="35036" s="101" customFormat="1" spans="6:6">
      <c r="F35036" s="2423"/>
    </row>
    <row r="35037" s="101" customFormat="1" spans="6:6">
      <c r="F35037" s="2423"/>
    </row>
    <row r="35038" s="101" customFormat="1" spans="6:6">
      <c r="F35038" s="2423"/>
    </row>
    <row r="35039" s="101" customFormat="1" spans="6:6">
      <c r="F35039" s="2423"/>
    </row>
    <row r="35040" s="101" customFormat="1" spans="6:6">
      <c r="F35040" s="2423"/>
    </row>
    <row r="35041" s="101" customFormat="1" spans="6:6">
      <c r="F35041" s="2423"/>
    </row>
    <row r="35042" s="101" customFormat="1" spans="6:6">
      <c r="F35042" s="2423"/>
    </row>
    <row r="35043" s="101" customFormat="1" spans="6:6">
      <c r="F35043" s="2423"/>
    </row>
    <row r="35044" s="101" customFormat="1" spans="6:6">
      <c r="F35044" s="2423"/>
    </row>
    <row r="35045" s="101" customFormat="1" spans="6:6">
      <c r="F35045" s="2423"/>
    </row>
    <row r="35046" s="101" customFormat="1" spans="6:6">
      <c r="F35046" s="2423"/>
    </row>
    <row r="35047" s="101" customFormat="1" spans="6:6">
      <c r="F35047" s="2423"/>
    </row>
    <row r="35048" s="101" customFormat="1" spans="6:6">
      <c r="F35048" s="2423"/>
    </row>
    <row r="35049" s="101" customFormat="1" spans="6:6">
      <c r="F35049" s="2423"/>
    </row>
    <row r="35050" s="101" customFormat="1" spans="6:6">
      <c r="F35050" s="2423"/>
    </row>
    <row r="35051" s="101" customFormat="1" spans="6:6">
      <c r="F35051" s="2423"/>
    </row>
    <row r="35052" s="101" customFormat="1" spans="6:6">
      <c r="F35052" s="2423"/>
    </row>
    <row r="35053" s="101" customFormat="1" spans="6:6">
      <c r="F35053" s="2423"/>
    </row>
    <row r="35054" s="101" customFormat="1" spans="6:6">
      <c r="F35054" s="2423"/>
    </row>
    <row r="35055" s="101" customFormat="1" spans="6:6">
      <c r="F35055" s="2423"/>
    </row>
    <row r="35056" s="101" customFormat="1" spans="6:6">
      <c r="F35056" s="2423"/>
    </row>
    <row r="35057" s="101" customFormat="1" spans="6:6">
      <c r="F35057" s="2423"/>
    </row>
    <row r="35058" s="101" customFormat="1" spans="6:6">
      <c r="F35058" s="2423"/>
    </row>
    <row r="35059" s="101" customFormat="1" spans="6:6">
      <c r="F35059" s="2423"/>
    </row>
    <row r="35060" s="101" customFormat="1" spans="6:6">
      <c r="F35060" s="2423"/>
    </row>
    <row r="35061" s="101" customFormat="1" spans="6:6">
      <c r="F35061" s="2423"/>
    </row>
    <row r="35062" s="101" customFormat="1" spans="6:6">
      <c r="F35062" s="2423"/>
    </row>
    <row r="35063" s="101" customFormat="1" spans="6:6">
      <c r="F35063" s="2423"/>
    </row>
    <row r="35064" s="101" customFormat="1" spans="6:6">
      <c r="F35064" s="2423"/>
    </row>
    <row r="35065" s="101" customFormat="1" spans="6:6">
      <c r="F35065" s="2423"/>
    </row>
    <row r="35066" s="101" customFormat="1" spans="6:6">
      <c r="F35066" s="2423"/>
    </row>
    <row r="35067" s="101" customFormat="1" spans="6:6">
      <c r="F35067" s="2423"/>
    </row>
    <row r="35068" s="101" customFormat="1" spans="6:6">
      <c r="F35068" s="2423"/>
    </row>
    <row r="35069" s="101" customFormat="1" spans="6:6">
      <c r="F35069" s="2423"/>
    </row>
    <row r="35070" s="101" customFormat="1" spans="6:6">
      <c r="F35070" s="2423"/>
    </row>
    <row r="35071" s="101" customFormat="1" spans="6:6">
      <c r="F35071" s="2423"/>
    </row>
    <row r="35072" s="101" customFormat="1" spans="6:6">
      <c r="F35072" s="2423"/>
    </row>
    <row r="35073" s="101" customFormat="1" spans="6:6">
      <c r="F35073" s="2423"/>
    </row>
    <row r="35074" s="101" customFormat="1" spans="6:6">
      <c r="F35074" s="2423"/>
    </row>
    <row r="35075" s="101" customFormat="1" spans="6:6">
      <c r="F35075" s="2423"/>
    </row>
    <row r="35076" s="101" customFormat="1" spans="6:6">
      <c r="F35076" s="2423"/>
    </row>
    <row r="35077" s="101" customFormat="1" spans="6:6">
      <c r="F35077" s="2423"/>
    </row>
    <row r="35078" s="101" customFormat="1" spans="6:6">
      <c r="F35078" s="2423"/>
    </row>
    <row r="35079" s="101" customFormat="1" spans="6:6">
      <c r="F35079" s="2423"/>
    </row>
    <row r="35080" s="101" customFormat="1" spans="6:6">
      <c r="F35080" s="2423"/>
    </row>
    <row r="35081" s="101" customFormat="1" spans="6:6">
      <c r="F35081" s="2423"/>
    </row>
    <row r="35082" s="101" customFormat="1" spans="6:6">
      <c r="F35082" s="2423"/>
    </row>
    <row r="35083" s="101" customFormat="1" spans="6:6">
      <c r="F35083" s="2423"/>
    </row>
    <row r="35084" s="101" customFormat="1" spans="6:6">
      <c r="F35084" s="2423"/>
    </row>
    <row r="35085" s="101" customFormat="1" spans="6:6">
      <c r="F35085" s="2423"/>
    </row>
    <row r="35086" s="101" customFormat="1" spans="6:6">
      <c r="F35086" s="2423"/>
    </row>
    <row r="35087" s="101" customFormat="1" spans="6:6">
      <c r="F35087" s="2423"/>
    </row>
    <row r="35088" s="101" customFormat="1" spans="6:6">
      <c r="F35088" s="2423"/>
    </row>
    <row r="35089" s="101" customFormat="1" spans="6:6">
      <c r="F35089" s="2423"/>
    </row>
    <row r="35090" s="101" customFormat="1" spans="6:6">
      <c r="F35090" s="2423"/>
    </row>
    <row r="35091" s="101" customFormat="1" spans="6:6">
      <c r="F35091" s="2423"/>
    </row>
    <row r="35092" s="101" customFormat="1" spans="6:6">
      <c r="F35092" s="2423"/>
    </row>
    <row r="35093" s="101" customFormat="1" spans="6:6">
      <c r="F35093" s="2423"/>
    </row>
    <row r="35094" s="101" customFormat="1" spans="6:6">
      <c r="F35094" s="2423"/>
    </row>
    <row r="35095" s="101" customFormat="1" spans="6:6">
      <c r="F35095" s="2423"/>
    </row>
    <row r="35096" s="101" customFormat="1" spans="6:6">
      <c r="F35096" s="2423"/>
    </row>
    <row r="35097" s="101" customFormat="1" spans="6:6">
      <c r="F35097" s="2423"/>
    </row>
    <row r="35098" s="101" customFormat="1" spans="6:6">
      <c r="F35098" s="2423"/>
    </row>
    <row r="35099" s="101" customFormat="1" spans="6:6">
      <c r="F35099" s="2423"/>
    </row>
    <row r="35100" s="101" customFormat="1" spans="6:6">
      <c r="F35100" s="2423"/>
    </row>
    <row r="35101" s="101" customFormat="1" spans="6:6">
      <c r="F35101" s="2423"/>
    </row>
    <row r="35102" s="101" customFormat="1" spans="6:6">
      <c r="F35102" s="2423"/>
    </row>
    <row r="35103" s="101" customFormat="1" spans="6:6">
      <c r="F35103" s="2423"/>
    </row>
    <row r="35104" s="101" customFormat="1" spans="6:6">
      <c r="F35104" s="2423"/>
    </row>
    <row r="35105" s="101" customFormat="1" spans="6:6">
      <c r="F35105" s="2423"/>
    </row>
    <row r="35106" s="101" customFormat="1" spans="6:6">
      <c r="F35106" s="2423"/>
    </row>
    <row r="35107" s="101" customFormat="1" spans="6:6">
      <c r="F35107" s="2423"/>
    </row>
    <row r="35108" s="101" customFormat="1" spans="6:6">
      <c r="F35108" s="2423"/>
    </row>
    <row r="35109" s="101" customFormat="1" spans="6:6">
      <c r="F35109" s="2423"/>
    </row>
    <row r="35110" s="101" customFormat="1" spans="6:6">
      <c r="F35110" s="2423"/>
    </row>
    <row r="35111" s="101" customFormat="1" spans="6:6">
      <c r="F35111" s="2423"/>
    </row>
    <row r="35112" s="101" customFormat="1" spans="6:6">
      <c r="F35112" s="2423"/>
    </row>
    <row r="35113" s="101" customFormat="1" spans="6:6">
      <c r="F35113" s="2423"/>
    </row>
    <row r="35114" s="101" customFormat="1" spans="6:6">
      <c r="F35114" s="2423"/>
    </row>
    <row r="35115" s="101" customFormat="1" spans="6:6">
      <c r="F35115" s="2423"/>
    </row>
    <row r="35116" s="101" customFormat="1" spans="6:6">
      <c r="F35116" s="2423"/>
    </row>
    <row r="35117" s="101" customFormat="1" spans="6:6">
      <c r="F35117" s="2423"/>
    </row>
    <row r="35118" s="101" customFormat="1" spans="6:6">
      <c r="F35118" s="2423"/>
    </row>
    <row r="35119" s="101" customFormat="1" spans="6:6">
      <c r="F35119" s="2423"/>
    </row>
    <row r="35120" s="101" customFormat="1" spans="6:6">
      <c r="F35120" s="2423"/>
    </row>
    <row r="35121" s="101" customFormat="1" spans="6:6">
      <c r="F35121" s="2423"/>
    </row>
    <row r="35122" s="101" customFormat="1" spans="6:6">
      <c r="F35122" s="2423"/>
    </row>
    <row r="35123" s="101" customFormat="1" spans="6:6">
      <c r="F35123" s="2423"/>
    </row>
    <row r="35124" s="101" customFormat="1" spans="6:6">
      <c r="F35124" s="2423"/>
    </row>
    <row r="35125" s="101" customFormat="1" spans="6:6">
      <c r="F35125" s="2423"/>
    </row>
    <row r="35126" s="101" customFormat="1" spans="6:6">
      <c r="F35126" s="2423"/>
    </row>
    <row r="35127" s="101" customFormat="1" spans="6:6">
      <c r="F35127" s="2423"/>
    </row>
    <row r="35128" s="101" customFormat="1" spans="6:6">
      <c r="F35128" s="2423"/>
    </row>
    <row r="35129" s="101" customFormat="1" spans="6:6">
      <c r="F35129" s="2423"/>
    </row>
    <row r="35130" s="101" customFormat="1" spans="6:6">
      <c r="F35130" s="2423"/>
    </row>
    <row r="35131" s="101" customFormat="1" spans="6:6">
      <c r="F35131" s="2423"/>
    </row>
    <row r="35132" s="101" customFormat="1" spans="6:6">
      <c r="F35132" s="2423"/>
    </row>
    <row r="35133" s="101" customFormat="1" spans="6:6">
      <c r="F35133" s="2423"/>
    </row>
    <row r="35134" s="101" customFormat="1" spans="6:6">
      <c r="F35134" s="2423"/>
    </row>
    <row r="35135" s="101" customFormat="1" spans="6:6">
      <c r="F35135" s="2423"/>
    </row>
    <row r="35136" s="101" customFormat="1" spans="6:6">
      <c r="F35136" s="2423"/>
    </row>
    <row r="35137" s="101" customFormat="1" spans="6:6">
      <c r="F35137" s="2423"/>
    </row>
    <row r="35138" s="101" customFormat="1" spans="6:6">
      <c r="F35138" s="2423"/>
    </row>
    <row r="35139" s="101" customFormat="1" spans="6:6">
      <c r="F35139" s="2423"/>
    </row>
    <row r="35140" s="101" customFormat="1" spans="6:6">
      <c r="F35140" s="2423"/>
    </row>
    <row r="35141" s="101" customFormat="1" spans="6:6">
      <c r="F35141" s="2423"/>
    </row>
    <row r="35142" s="101" customFormat="1" spans="6:6">
      <c r="F35142" s="2423"/>
    </row>
    <row r="35143" s="101" customFormat="1" spans="6:6">
      <c r="F35143" s="2423"/>
    </row>
    <row r="35144" s="101" customFormat="1" spans="6:6">
      <c r="F35144" s="2423"/>
    </row>
    <row r="35145" s="101" customFormat="1" spans="6:6">
      <c r="F35145" s="2423"/>
    </row>
    <row r="35146" s="101" customFormat="1" spans="6:6">
      <c r="F35146" s="2423"/>
    </row>
    <row r="35147" s="101" customFormat="1" spans="6:6">
      <c r="F35147" s="2423"/>
    </row>
    <row r="35148" s="101" customFormat="1" spans="6:6">
      <c r="F35148" s="2423"/>
    </row>
    <row r="35149" s="101" customFormat="1" spans="6:6">
      <c r="F35149" s="2423"/>
    </row>
    <row r="35150" s="101" customFormat="1" spans="6:6">
      <c r="F35150" s="2423"/>
    </row>
    <row r="35151" s="101" customFormat="1" spans="6:6">
      <c r="F35151" s="2423"/>
    </row>
    <row r="35152" s="101" customFormat="1" spans="6:6">
      <c r="F35152" s="2423"/>
    </row>
    <row r="35153" s="101" customFormat="1" spans="6:6">
      <c r="F35153" s="2423"/>
    </row>
    <row r="35154" s="101" customFormat="1" spans="6:6">
      <c r="F35154" s="2423"/>
    </row>
    <row r="35155" s="101" customFormat="1" spans="6:6">
      <c r="F35155" s="2423"/>
    </row>
    <row r="35156" s="101" customFormat="1" spans="6:6">
      <c r="F35156" s="2423"/>
    </row>
    <row r="35157" s="101" customFormat="1" spans="6:6">
      <c r="F35157" s="2423"/>
    </row>
    <row r="35158" s="101" customFormat="1" spans="6:6">
      <c r="F35158" s="2423"/>
    </row>
    <row r="35159" s="101" customFormat="1" spans="6:6">
      <c r="F35159" s="2423"/>
    </row>
    <row r="35160" s="101" customFormat="1" spans="6:6">
      <c r="F35160" s="2423"/>
    </row>
    <row r="35161" s="101" customFormat="1" spans="6:6">
      <c r="F35161" s="2423"/>
    </row>
    <row r="35162" s="101" customFormat="1" spans="6:6">
      <c r="F35162" s="2423"/>
    </row>
    <row r="35163" s="101" customFormat="1" spans="6:6">
      <c r="F35163" s="2423"/>
    </row>
    <row r="35164" s="101" customFormat="1" spans="6:6">
      <c r="F35164" s="2423"/>
    </row>
    <row r="35165" s="101" customFormat="1" spans="6:6">
      <c r="F35165" s="2423"/>
    </row>
    <row r="35166" s="101" customFormat="1" spans="6:6">
      <c r="F35166" s="2423"/>
    </row>
    <row r="35167" s="101" customFormat="1" spans="6:6">
      <c r="F35167" s="2423"/>
    </row>
    <row r="35168" s="101" customFormat="1" spans="6:6">
      <c r="F35168" s="2423"/>
    </row>
    <row r="35169" s="101" customFormat="1" spans="6:6">
      <c r="F35169" s="2423"/>
    </row>
    <row r="35170" s="101" customFormat="1" spans="6:6">
      <c r="F35170" s="2423"/>
    </row>
    <row r="35171" s="101" customFormat="1" spans="6:6">
      <c r="F35171" s="2423"/>
    </row>
    <row r="35172" s="101" customFormat="1" spans="6:6">
      <c r="F35172" s="2423"/>
    </row>
    <row r="35173" s="101" customFormat="1" spans="6:6">
      <c r="F35173" s="2423"/>
    </row>
    <row r="35174" s="101" customFormat="1" spans="6:6">
      <c r="F35174" s="2423"/>
    </row>
    <row r="35175" s="101" customFormat="1" spans="6:6">
      <c r="F35175" s="2423"/>
    </row>
    <row r="35176" s="101" customFormat="1" spans="6:6">
      <c r="F35176" s="2423"/>
    </row>
    <row r="35177" s="101" customFormat="1" spans="6:6">
      <c r="F35177" s="2423"/>
    </row>
    <row r="35178" s="101" customFormat="1" spans="6:6">
      <c r="F35178" s="2423"/>
    </row>
    <row r="35179" s="101" customFormat="1" spans="6:6">
      <c r="F35179" s="2423"/>
    </row>
    <row r="35180" s="101" customFormat="1" spans="6:6">
      <c r="F35180" s="2423"/>
    </row>
    <row r="35181" s="101" customFormat="1" spans="6:6">
      <c r="F35181" s="2423"/>
    </row>
    <row r="35182" s="101" customFormat="1" spans="6:6">
      <c r="F35182" s="2423"/>
    </row>
    <row r="35183" s="101" customFormat="1" spans="6:6">
      <c r="F35183" s="2423"/>
    </row>
    <row r="35184" s="101" customFormat="1" spans="6:6">
      <c r="F35184" s="2423"/>
    </row>
    <row r="35185" s="101" customFormat="1" spans="6:6">
      <c r="F35185" s="2423"/>
    </row>
    <row r="35186" s="101" customFormat="1" spans="6:6">
      <c r="F35186" s="2423"/>
    </row>
    <row r="35187" s="101" customFormat="1" spans="6:6">
      <c r="F35187" s="2423"/>
    </row>
    <row r="35188" s="101" customFormat="1" spans="6:6">
      <c r="F35188" s="2423"/>
    </row>
    <row r="35189" s="101" customFormat="1" spans="6:6">
      <c r="F35189" s="2423"/>
    </row>
    <row r="35190" s="101" customFormat="1" spans="6:6">
      <c r="F35190" s="2423"/>
    </row>
    <row r="35191" s="101" customFormat="1" spans="6:6">
      <c r="F35191" s="2423"/>
    </row>
    <row r="35192" s="101" customFormat="1" spans="6:6">
      <c r="F35192" s="2423"/>
    </row>
    <row r="35193" s="101" customFormat="1" spans="6:6">
      <c r="F35193" s="2423"/>
    </row>
    <row r="35194" s="101" customFormat="1" spans="6:6">
      <c r="F35194" s="2423"/>
    </row>
    <row r="35195" s="101" customFormat="1" spans="6:6">
      <c r="F35195" s="2423"/>
    </row>
    <row r="35196" s="101" customFormat="1" spans="6:6">
      <c r="F35196" s="2423"/>
    </row>
    <row r="35197" s="101" customFormat="1" spans="6:6">
      <c r="F35197" s="2423"/>
    </row>
    <row r="35198" s="101" customFormat="1" spans="6:6">
      <c r="F35198" s="2423"/>
    </row>
    <row r="35199" s="101" customFormat="1" spans="6:6">
      <c r="F35199" s="2423"/>
    </row>
    <row r="35200" s="101" customFormat="1" spans="6:6">
      <c r="F35200" s="2423"/>
    </row>
    <row r="35201" s="101" customFormat="1" spans="6:6">
      <c r="F35201" s="2423"/>
    </row>
    <row r="35202" s="101" customFormat="1" spans="6:6">
      <c r="F35202" s="2423"/>
    </row>
    <row r="35203" s="101" customFormat="1" spans="6:6">
      <c r="F35203" s="2423"/>
    </row>
    <row r="35204" s="101" customFormat="1" spans="6:6">
      <c r="F35204" s="2423"/>
    </row>
    <row r="35205" s="101" customFormat="1" spans="6:6">
      <c r="F35205" s="2423"/>
    </row>
    <row r="35206" s="101" customFormat="1" spans="6:6">
      <c r="F35206" s="2423"/>
    </row>
    <row r="35207" s="101" customFormat="1" spans="6:6">
      <c r="F35207" s="2423"/>
    </row>
    <row r="35208" s="101" customFormat="1" spans="6:6">
      <c r="F35208" s="2423"/>
    </row>
    <row r="35209" s="101" customFormat="1" spans="6:6">
      <c r="F35209" s="2423"/>
    </row>
    <row r="35210" s="101" customFormat="1" spans="6:6">
      <c r="F35210" s="2423"/>
    </row>
    <row r="35211" s="101" customFormat="1" spans="6:6">
      <c r="F35211" s="2423"/>
    </row>
    <row r="35212" s="101" customFormat="1" spans="6:6">
      <c r="F35212" s="2423"/>
    </row>
    <row r="35213" s="101" customFormat="1" spans="6:6">
      <c r="F35213" s="2423"/>
    </row>
    <row r="35214" s="101" customFormat="1" spans="6:6">
      <c r="F35214" s="2423"/>
    </row>
    <row r="35215" s="101" customFormat="1" spans="6:6">
      <c r="F35215" s="2423"/>
    </row>
    <row r="35216" s="101" customFormat="1" spans="6:6">
      <c r="F35216" s="2423"/>
    </row>
    <row r="35217" s="101" customFormat="1" spans="6:6">
      <c r="F35217" s="2423"/>
    </row>
    <row r="35218" s="101" customFormat="1" spans="6:6">
      <c r="F35218" s="2423"/>
    </row>
    <row r="35219" s="101" customFormat="1" spans="6:6">
      <c r="F35219" s="2423"/>
    </row>
    <row r="35220" s="101" customFormat="1" spans="6:6">
      <c r="F35220" s="2423"/>
    </row>
    <row r="35221" s="101" customFormat="1" spans="6:6">
      <c r="F35221" s="2423"/>
    </row>
    <row r="35222" s="101" customFormat="1" spans="6:6">
      <c r="F35222" s="2423"/>
    </row>
    <row r="35223" s="101" customFormat="1" spans="6:6">
      <c r="F35223" s="2423"/>
    </row>
    <row r="35224" s="101" customFormat="1" spans="6:6">
      <c r="F35224" s="2423"/>
    </row>
    <row r="35225" s="101" customFormat="1" spans="6:6">
      <c r="F35225" s="2423"/>
    </row>
    <row r="35226" s="101" customFormat="1" spans="6:6">
      <c r="F35226" s="2423"/>
    </row>
    <row r="35227" s="101" customFormat="1" spans="6:6">
      <c r="F35227" s="2423"/>
    </row>
    <row r="35228" s="101" customFormat="1" spans="6:6">
      <c r="F35228" s="2423"/>
    </row>
    <row r="35229" s="101" customFormat="1" spans="6:6">
      <c r="F35229" s="2423"/>
    </row>
    <row r="35230" s="101" customFormat="1" spans="6:6">
      <c r="F35230" s="2423"/>
    </row>
    <row r="35231" s="101" customFormat="1" spans="6:6">
      <c r="F35231" s="2423"/>
    </row>
    <row r="35232" s="101" customFormat="1" spans="6:6">
      <c r="F35232" s="2423"/>
    </row>
    <row r="35233" s="101" customFormat="1" spans="6:6">
      <c r="F35233" s="2423"/>
    </row>
    <row r="35234" s="101" customFormat="1" spans="6:6">
      <c r="F35234" s="2423"/>
    </row>
    <row r="35235" s="101" customFormat="1" spans="6:6">
      <c r="F35235" s="2423"/>
    </row>
    <row r="35236" s="101" customFormat="1" spans="6:6">
      <c r="F35236" s="2423"/>
    </row>
    <row r="35237" s="101" customFormat="1" spans="6:6">
      <c r="F35237" s="2423"/>
    </row>
    <row r="35238" s="101" customFormat="1" spans="6:6">
      <c r="F35238" s="2423"/>
    </row>
    <row r="35239" s="101" customFormat="1" spans="6:6">
      <c r="F35239" s="2423"/>
    </row>
    <row r="35240" s="101" customFormat="1" spans="6:6">
      <c r="F35240" s="2423"/>
    </row>
    <row r="35241" s="101" customFormat="1" spans="6:6">
      <c r="F35241" s="2423"/>
    </row>
    <row r="35242" s="101" customFormat="1" spans="6:6">
      <c r="F35242" s="2423"/>
    </row>
    <row r="35243" s="101" customFormat="1" spans="6:6">
      <c r="F35243" s="2423"/>
    </row>
    <row r="35244" s="101" customFormat="1" spans="6:6">
      <c r="F35244" s="2423"/>
    </row>
    <row r="35245" s="101" customFormat="1" spans="6:6">
      <c r="F35245" s="2423"/>
    </row>
    <row r="35246" s="101" customFormat="1" spans="6:6">
      <c r="F35246" s="2423"/>
    </row>
    <row r="35247" s="101" customFormat="1" spans="6:6">
      <c r="F35247" s="2423"/>
    </row>
    <row r="35248" s="101" customFormat="1" spans="6:6">
      <c r="F35248" s="2423"/>
    </row>
    <row r="35249" s="101" customFormat="1" spans="6:6">
      <c r="F35249" s="2423"/>
    </row>
    <row r="35250" s="101" customFormat="1" spans="6:6">
      <c r="F35250" s="2423"/>
    </row>
    <row r="35251" s="101" customFormat="1" spans="6:6">
      <c r="F35251" s="2423"/>
    </row>
    <row r="35252" s="101" customFormat="1" spans="6:6">
      <c r="F35252" s="2423"/>
    </row>
    <row r="35253" s="101" customFormat="1" spans="6:6">
      <c r="F35253" s="2423"/>
    </row>
    <row r="35254" s="101" customFormat="1" spans="6:6">
      <c r="F35254" s="2423"/>
    </row>
    <row r="35255" s="101" customFormat="1" spans="6:6">
      <c r="F35255" s="2423"/>
    </row>
    <row r="35256" s="101" customFormat="1" spans="6:6">
      <c r="F35256" s="2423"/>
    </row>
    <row r="35257" s="101" customFormat="1" spans="6:6">
      <c r="F35257" s="2423"/>
    </row>
    <row r="35258" s="101" customFormat="1" spans="6:6">
      <c r="F35258" s="2423"/>
    </row>
    <row r="35259" s="101" customFormat="1" spans="6:6">
      <c r="F35259" s="2423"/>
    </row>
    <row r="35260" s="101" customFormat="1" spans="6:6">
      <c r="F35260" s="2423"/>
    </row>
    <row r="35261" s="101" customFormat="1" spans="6:6">
      <c r="F35261" s="2423"/>
    </row>
    <row r="35262" s="101" customFormat="1" spans="6:6">
      <c r="F35262" s="2423"/>
    </row>
    <row r="35263" s="101" customFormat="1" spans="6:6">
      <c r="F35263" s="2423"/>
    </row>
    <row r="35264" s="101" customFormat="1" spans="6:6">
      <c r="F35264" s="2423"/>
    </row>
    <row r="35265" s="101" customFormat="1" spans="6:6">
      <c r="F35265" s="2423"/>
    </row>
    <row r="35266" s="101" customFormat="1" spans="6:6">
      <c r="F35266" s="2423"/>
    </row>
    <row r="35267" s="101" customFormat="1" spans="6:6">
      <c r="F35267" s="2423"/>
    </row>
    <row r="35268" s="101" customFormat="1" spans="6:6">
      <c r="F35268" s="2423"/>
    </row>
    <row r="35269" s="101" customFormat="1" spans="6:6">
      <c r="F35269" s="2423"/>
    </row>
    <row r="35270" s="101" customFormat="1" spans="6:6">
      <c r="F35270" s="2423"/>
    </row>
    <row r="35271" s="101" customFormat="1" spans="6:6">
      <c r="F35271" s="2423"/>
    </row>
    <row r="35272" s="101" customFormat="1" spans="6:6">
      <c r="F35272" s="2423"/>
    </row>
    <row r="35273" s="101" customFormat="1" spans="6:6">
      <c r="F35273" s="2423"/>
    </row>
    <row r="35274" s="101" customFormat="1" spans="6:6">
      <c r="F35274" s="2423"/>
    </row>
    <row r="35275" s="101" customFormat="1" spans="6:6">
      <c r="F35275" s="2423"/>
    </row>
    <row r="35276" s="101" customFormat="1" spans="6:6">
      <c r="F35276" s="2423"/>
    </row>
    <row r="35277" s="101" customFormat="1" spans="6:6">
      <c r="F35277" s="2423"/>
    </row>
    <row r="35278" s="101" customFormat="1" spans="6:6">
      <c r="F35278" s="2423"/>
    </row>
    <row r="35279" s="101" customFormat="1" spans="6:6">
      <c r="F35279" s="2423"/>
    </row>
    <row r="35280" s="101" customFormat="1" spans="6:6">
      <c r="F35280" s="2423"/>
    </row>
    <row r="35281" s="101" customFormat="1" spans="6:6">
      <c r="F35281" s="2423"/>
    </row>
    <row r="35282" s="101" customFormat="1" spans="6:6">
      <c r="F35282" s="2423"/>
    </row>
    <row r="35283" s="101" customFormat="1" spans="6:6">
      <c r="F35283" s="2423"/>
    </row>
    <row r="35284" s="101" customFormat="1" spans="6:6">
      <c r="F35284" s="2423"/>
    </row>
    <row r="35285" s="101" customFormat="1" spans="6:6">
      <c r="F35285" s="2423"/>
    </row>
    <row r="35286" s="101" customFormat="1" spans="6:6">
      <c r="F35286" s="2423"/>
    </row>
    <row r="35287" s="101" customFormat="1" spans="6:6">
      <c r="F35287" s="2423"/>
    </row>
    <row r="35288" s="101" customFormat="1" spans="6:6">
      <c r="F35288" s="2423"/>
    </row>
    <row r="35289" s="101" customFormat="1" spans="6:6">
      <c r="F35289" s="2423"/>
    </row>
    <row r="35290" s="101" customFormat="1" spans="6:6">
      <c r="F35290" s="2423"/>
    </row>
    <row r="35291" s="101" customFormat="1" spans="6:6">
      <c r="F35291" s="2423"/>
    </row>
    <row r="35292" s="101" customFormat="1" spans="6:6">
      <c r="F35292" s="2423"/>
    </row>
    <row r="35293" s="101" customFormat="1" spans="6:6">
      <c r="F35293" s="2423"/>
    </row>
    <row r="35294" s="101" customFormat="1" spans="6:6">
      <c r="F35294" s="2423"/>
    </row>
    <row r="35295" s="101" customFormat="1" spans="6:6">
      <c r="F35295" s="2423"/>
    </row>
    <row r="35296" s="101" customFormat="1" spans="6:6">
      <c r="F35296" s="2423"/>
    </row>
    <row r="35297" s="101" customFormat="1" spans="6:6">
      <c r="F35297" s="2423"/>
    </row>
    <row r="35298" s="101" customFormat="1" spans="6:6">
      <c r="F35298" s="2423"/>
    </row>
    <row r="35299" s="101" customFormat="1" spans="6:6">
      <c r="F35299" s="2423"/>
    </row>
    <row r="35300" s="101" customFormat="1" spans="6:6">
      <c r="F35300" s="2423"/>
    </row>
    <row r="35301" s="101" customFormat="1" spans="6:6">
      <c r="F35301" s="2423"/>
    </row>
    <row r="35302" s="101" customFormat="1" spans="6:6">
      <c r="F35302" s="2423"/>
    </row>
    <row r="35303" s="101" customFormat="1" spans="6:6">
      <c r="F35303" s="2423"/>
    </row>
    <row r="35304" s="101" customFormat="1" spans="6:6">
      <c r="F35304" s="2423"/>
    </row>
    <row r="35305" s="101" customFormat="1" spans="6:6">
      <c r="F35305" s="2423"/>
    </row>
    <row r="35306" s="101" customFormat="1" spans="6:6">
      <c r="F35306" s="2423"/>
    </row>
    <row r="35307" s="101" customFormat="1" spans="6:6">
      <c r="F35307" s="2423"/>
    </row>
    <row r="35308" s="101" customFormat="1" spans="6:6">
      <c r="F35308" s="2423"/>
    </row>
    <row r="35309" s="101" customFormat="1" spans="6:6">
      <c r="F35309" s="2423"/>
    </row>
    <row r="35310" s="101" customFormat="1" spans="6:6">
      <c r="F35310" s="2423"/>
    </row>
    <row r="35311" s="101" customFormat="1" spans="6:6">
      <c r="F35311" s="2423"/>
    </row>
    <row r="35312" s="101" customFormat="1" spans="6:6">
      <c r="F35312" s="2423"/>
    </row>
    <row r="35313" s="101" customFormat="1" spans="6:6">
      <c r="F35313" s="2423"/>
    </row>
    <row r="35314" s="101" customFormat="1" spans="6:6">
      <c r="F35314" s="2423"/>
    </row>
    <row r="35315" s="101" customFormat="1" spans="6:6">
      <c r="F35315" s="2423"/>
    </row>
    <row r="35316" s="101" customFormat="1" spans="6:6">
      <c r="F35316" s="2423"/>
    </row>
    <row r="35317" s="101" customFormat="1" spans="6:6">
      <c r="F35317" s="2423"/>
    </row>
    <row r="35318" s="101" customFormat="1" spans="6:6">
      <c r="F35318" s="2423"/>
    </row>
    <row r="35319" s="101" customFormat="1" spans="6:6">
      <c r="F35319" s="2423"/>
    </row>
    <row r="35320" s="101" customFormat="1" spans="6:6">
      <c r="F35320" s="2423"/>
    </row>
    <row r="35321" s="101" customFormat="1" spans="6:6">
      <c r="F35321" s="2423"/>
    </row>
    <row r="35322" s="101" customFormat="1" spans="6:6">
      <c r="F35322" s="2423"/>
    </row>
    <row r="35323" s="101" customFormat="1" spans="6:6">
      <c r="F35323" s="2423"/>
    </row>
    <row r="35324" s="101" customFormat="1" spans="6:6">
      <c r="F35324" s="2423"/>
    </row>
    <row r="35325" s="101" customFormat="1" spans="6:6">
      <c r="F35325" s="2423"/>
    </row>
    <row r="35326" s="101" customFormat="1" spans="6:6">
      <c r="F35326" s="2423"/>
    </row>
    <row r="35327" s="101" customFormat="1" spans="6:6">
      <c r="F35327" s="2423"/>
    </row>
    <row r="35328" s="101" customFormat="1" spans="6:6">
      <c r="F35328" s="2423"/>
    </row>
    <row r="35329" s="101" customFormat="1" spans="6:6">
      <c r="F35329" s="2423"/>
    </row>
    <row r="35330" s="101" customFormat="1" spans="6:6">
      <c r="F35330" s="2423"/>
    </row>
    <row r="35331" s="101" customFormat="1" spans="6:6">
      <c r="F35331" s="2423"/>
    </row>
    <row r="35332" s="101" customFormat="1" spans="6:6">
      <c r="F35332" s="2423"/>
    </row>
    <row r="35333" s="101" customFormat="1" spans="6:6">
      <c r="F35333" s="2423"/>
    </row>
    <row r="35334" s="101" customFormat="1" spans="6:6">
      <c r="F35334" s="2423"/>
    </row>
    <row r="35335" s="101" customFormat="1" spans="6:6">
      <c r="F35335" s="2423"/>
    </row>
    <row r="35336" s="101" customFormat="1" spans="6:6">
      <c r="F35336" s="2423"/>
    </row>
    <row r="35337" s="101" customFormat="1" spans="6:6">
      <c r="F35337" s="2423"/>
    </row>
    <row r="35338" s="101" customFormat="1" spans="6:6">
      <c r="F35338" s="2423"/>
    </row>
    <row r="35339" s="101" customFormat="1" spans="6:6">
      <c r="F35339" s="2423"/>
    </row>
    <row r="35340" s="101" customFormat="1" spans="6:6">
      <c r="F35340" s="2423"/>
    </row>
    <row r="35341" s="101" customFormat="1" spans="6:6">
      <c r="F35341" s="2423"/>
    </row>
    <row r="35342" s="101" customFormat="1" spans="6:6">
      <c r="F35342" s="2423"/>
    </row>
    <row r="35343" s="101" customFormat="1" spans="6:6">
      <c r="F35343" s="2423"/>
    </row>
    <row r="35344" s="101" customFormat="1" spans="6:6">
      <c r="F35344" s="2423"/>
    </row>
    <row r="35345" s="101" customFormat="1" spans="6:6">
      <c r="F35345" s="2423"/>
    </row>
    <row r="35346" s="101" customFormat="1" spans="6:6">
      <c r="F35346" s="2423"/>
    </row>
    <row r="35347" s="101" customFormat="1" spans="6:6">
      <c r="F35347" s="2423"/>
    </row>
    <row r="35348" s="101" customFormat="1" spans="6:6">
      <c r="F35348" s="2423"/>
    </row>
    <row r="35349" s="101" customFormat="1" spans="6:6">
      <c r="F35349" s="2423"/>
    </row>
    <row r="35350" s="101" customFormat="1" spans="6:6">
      <c r="F35350" s="2423"/>
    </row>
    <row r="35351" s="101" customFormat="1" spans="6:6">
      <c r="F35351" s="2423"/>
    </row>
    <row r="35352" s="101" customFormat="1" spans="6:6">
      <c r="F35352" s="2423"/>
    </row>
    <row r="35353" s="101" customFormat="1" spans="6:6">
      <c r="F35353" s="2423"/>
    </row>
    <row r="35354" s="101" customFormat="1" spans="6:6">
      <c r="F35354" s="2423"/>
    </row>
    <row r="35355" s="101" customFormat="1" spans="6:6">
      <c r="F35355" s="2423"/>
    </row>
    <row r="35356" s="101" customFormat="1" spans="6:6">
      <c r="F35356" s="2423"/>
    </row>
    <row r="35357" s="101" customFormat="1" spans="6:6">
      <c r="F35357" s="2423"/>
    </row>
    <row r="35358" s="101" customFormat="1" spans="6:6">
      <c r="F35358" s="2423"/>
    </row>
    <row r="35359" s="101" customFormat="1" spans="6:6">
      <c r="F35359" s="2423"/>
    </row>
    <row r="35360" s="101" customFormat="1" spans="6:6">
      <c r="F35360" s="2423"/>
    </row>
    <row r="35361" s="101" customFormat="1" spans="6:6">
      <c r="F35361" s="2423"/>
    </row>
    <row r="35362" s="101" customFormat="1" spans="6:6">
      <c r="F35362" s="2423"/>
    </row>
    <row r="35363" s="101" customFormat="1" spans="6:6">
      <c r="F35363" s="2423"/>
    </row>
    <row r="35364" s="101" customFormat="1" spans="6:6">
      <c r="F35364" s="2423"/>
    </row>
    <row r="35365" s="101" customFormat="1" spans="6:6">
      <c r="F35365" s="2423"/>
    </row>
    <row r="35366" s="101" customFormat="1" spans="6:6">
      <c r="F35366" s="2423"/>
    </row>
    <row r="35367" s="101" customFormat="1" spans="6:6">
      <c r="F35367" s="2423"/>
    </row>
    <row r="35368" s="101" customFormat="1" spans="6:6">
      <c r="F35368" s="2423"/>
    </row>
    <row r="35369" s="101" customFormat="1" spans="6:6">
      <c r="F35369" s="2423"/>
    </row>
    <row r="35370" s="101" customFormat="1" spans="6:6">
      <c r="F35370" s="2423"/>
    </row>
    <row r="35371" s="101" customFormat="1" spans="6:6">
      <c r="F35371" s="2423"/>
    </row>
    <row r="35372" s="101" customFormat="1" spans="6:6">
      <c r="F35372" s="2423"/>
    </row>
    <row r="35373" s="101" customFormat="1" spans="6:6">
      <c r="F35373" s="2423"/>
    </row>
    <row r="35374" s="101" customFormat="1" spans="6:6">
      <c r="F35374" s="2423"/>
    </row>
    <row r="35375" s="101" customFormat="1" spans="6:6">
      <c r="F35375" s="2423"/>
    </row>
    <row r="35376" s="101" customFormat="1" spans="6:6">
      <c r="F35376" s="2423"/>
    </row>
    <row r="35377" s="101" customFormat="1" spans="6:6">
      <c r="F35377" s="2423"/>
    </row>
    <row r="35378" s="101" customFormat="1" spans="6:6">
      <c r="F35378" s="2423"/>
    </row>
    <row r="35379" s="101" customFormat="1" spans="6:6">
      <c r="F35379" s="2423"/>
    </row>
    <row r="35380" s="101" customFormat="1" spans="6:6">
      <c r="F35380" s="2423"/>
    </row>
    <row r="35381" s="101" customFormat="1" spans="6:6">
      <c r="F35381" s="2423"/>
    </row>
    <row r="35382" s="101" customFormat="1" spans="6:6">
      <c r="F35382" s="2423"/>
    </row>
    <row r="35383" s="101" customFormat="1" spans="6:6">
      <c r="F35383" s="2423"/>
    </row>
    <row r="35384" s="101" customFormat="1" spans="6:6">
      <c r="F35384" s="2423"/>
    </row>
    <row r="35385" s="101" customFormat="1" spans="6:6">
      <c r="F35385" s="2423"/>
    </row>
    <row r="35386" s="101" customFormat="1" spans="6:6">
      <c r="F35386" s="2423"/>
    </row>
    <row r="35387" s="101" customFormat="1" spans="6:6">
      <c r="F35387" s="2423"/>
    </row>
    <row r="35388" s="101" customFormat="1" spans="6:6">
      <c r="F35388" s="2423"/>
    </row>
    <row r="35389" s="101" customFormat="1" spans="6:6">
      <c r="F35389" s="2423"/>
    </row>
    <row r="35390" s="101" customFormat="1" spans="6:6">
      <c r="F35390" s="2423"/>
    </row>
    <row r="35391" s="101" customFormat="1" spans="6:6">
      <c r="F35391" s="2423"/>
    </row>
    <row r="35392" s="101" customFormat="1" spans="6:6">
      <c r="F35392" s="2423"/>
    </row>
    <row r="35393" s="101" customFormat="1" spans="6:6">
      <c r="F35393" s="2423"/>
    </row>
    <row r="35394" s="101" customFormat="1" spans="6:6">
      <c r="F35394" s="2423"/>
    </row>
    <row r="35395" s="101" customFormat="1" spans="6:6">
      <c r="F35395" s="2423"/>
    </row>
    <row r="35396" s="101" customFormat="1" spans="6:6">
      <c r="F35396" s="2423"/>
    </row>
    <row r="35397" s="101" customFormat="1" spans="6:6">
      <c r="F35397" s="2423"/>
    </row>
    <row r="35398" s="101" customFormat="1" spans="6:6">
      <c r="F35398" s="2423"/>
    </row>
    <row r="35399" s="101" customFormat="1" spans="6:6">
      <c r="F35399" s="2423"/>
    </row>
    <row r="35400" s="101" customFormat="1" spans="6:6">
      <c r="F35400" s="2423"/>
    </row>
    <row r="35401" s="101" customFormat="1" spans="6:6">
      <c r="F35401" s="2423"/>
    </row>
    <row r="35402" s="101" customFormat="1" spans="6:6">
      <c r="F35402" s="2423"/>
    </row>
    <row r="35403" s="101" customFormat="1" spans="6:6">
      <c r="F35403" s="2423"/>
    </row>
    <row r="35404" s="101" customFormat="1" spans="6:6">
      <c r="F35404" s="2423"/>
    </row>
    <row r="35405" s="101" customFormat="1" spans="6:6">
      <c r="F35405" s="2423"/>
    </row>
    <row r="35406" s="101" customFormat="1" spans="6:6">
      <c r="F35406" s="2423"/>
    </row>
    <row r="35407" s="101" customFormat="1" spans="6:6">
      <c r="F35407" s="2423"/>
    </row>
    <row r="35408" s="101" customFormat="1" spans="6:6">
      <c r="F35408" s="2423"/>
    </row>
    <row r="35409" s="101" customFormat="1" spans="6:6">
      <c r="F35409" s="2423"/>
    </row>
    <row r="35410" s="101" customFormat="1" spans="6:6">
      <c r="F35410" s="2423"/>
    </row>
    <row r="35411" s="101" customFormat="1" spans="6:6">
      <c r="F35411" s="2423"/>
    </row>
    <row r="35412" s="101" customFormat="1" spans="6:6">
      <c r="F35412" s="2423"/>
    </row>
    <row r="35413" s="101" customFormat="1" spans="6:6">
      <c r="F35413" s="2423"/>
    </row>
    <row r="35414" s="101" customFormat="1" spans="6:6">
      <c r="F35414" s="2423"/>
    </row>
    <row r="35415" s="101" customFormat="1" spans="6:6">
      <c r="F35415" s="2423"/>
    </row>
    <row r="35416" s="101" customFormat="1" spans="6:6">
      <c r="F35416" s="2423"/>
    </row>
    <row r="35417" s="101" customFormat="1" spans="6:6">
      <c r="F35417" s="2423"/>
    </row>
    <row r="35418" s="101" customFormat="1" spans="6:6">
      <c r="F35418" s="2423"/>
    </row>
    <row r="35419" s="101" customFormat="1" spans="6:6">
      <c r="F35419" s="2423"/>
    </row>
    <row r="35420" s="101" customFormat="1" spans="6:6">
      <c r="F35420" s="2423"/>
    </row>
    <row r="35421" s="101" customFormat="1" spans="6:6">
      <c r="F35421" s="2423"/>
    </row>
    <row r="35422" s="101" customFormat="1" spans="6:6">
      <c r="F35422" s="2423"/>
    </row>
    <row r="35423" s="101" customFormat="1" spans="6:6">
      <c r="F35423" s="2423"/>
    </row>
    <row r="35424" s="101" customFormat="1" spans="6:6">
      <c r="F35424" s="2423"/>
    </row>
    <row r="35425" s="101" customFormat="1" spans="6:6">
      <c r="F35425" s="2423"/>
    </row>
    <row r="35426" s="101" customFormat="1" spans="6:6">
      <c r="F35426" s="2423"/>
    </row>
    <row r="35427" s="101" customFormat="1" spans="6:6">
      <c r="F35427" s="2423"/>
    </row>
    <row r="35428" s="101" customFormat="1" spans="6:6">
      <c r="F35428" s="2423"/>
    </row>
    <row r="35429" s="101" customFormat="1" spans="6:6">
      <c r="F35429" s="2423"/>
    </row>
    <row r="35430" s="101" customFormat="1" spans="6:6">
      <c r="F35430" s="2423"/>
    </row>
    <row r="35431" s="101" customFormat="1" spans="6:6">
      <c r="F35431" s="2423"/>
    </row>
    <row r="35432" s="101" customFormat="1" spans="6:6">
      <c r="F35432" s="2423"/>
    </row>
    <row r="35433" s="101" customFormat="1" spans="6:6">
      <c r="F35433" s="2423"/>
    </row>
    <row r="35434" s="101" customFormat="1" spans="6:6">
      <c r="F35434" s="2423"/>
    </row>
    <row r="35435" s="101" customFormat="1" spans="6:6">
      <c r="F35435" s="2423"/>
    </row>
    <row r="35436" s="101" customFormat="1" spans="6:6">
      <c r="F35436" s="2423"/>
    </row>
    <row r="35437" s="101" customFormat="1" spans="6:6">
      <c r="F35437" s="2423"/>
    </row>
    <row r="35438" s="101" customFormat="1" spans="6:6">
      <c r="F35438" s="2423"/>
    </row>
    <row r="35439" s="101" customFormat="1" spans="6:6">
      <c r="F35439" s="2423"/>
    </row>
    <row r="35440" s="101" customFormat="1" spans="6:6">
      <c r="F35440" s="2423"/>
    </row>
    <row r="35441" s="101" customFormat="1" spans="6:6">
      <c r="F35441" s="2423"/>
    </row>
    <row r="35442" s="101" customFormat="1" spans="6:6">
      <c r="F35442" s="2423"/>
    </row>
    <row r="35443" s="101" customFormat="1" spans="6:6">
      <c r="F35443" s="2423"/>
    </row>
    <row r="35444" s="101" customFormat="1" spans="6:6">
      <c r="F35444" s="2423"/>
    </row>
    <row r="35445" s="101" customFormat="1" spans="6:6">
      <c r="F35445" s="2423"/>
    </row>
    <row r="35446" s="101" customFormat="1" spans="6:6">
      <c r="F35446" s="2423"/>
    </row>
    <row r="35447" s="101" customFormat="1" spans="6:6">
      <c r="F35447" s="2423"/>
    </row>
    <row r="35448" s="101" customFormat="1" spans="6:6">
      <c r="F35448" s="2423"/>
    </row>
    <row r="35449" s="101" customFormat="1" spans="6:6">
      <c r="F35449" s="2423"/>
    </row>
    <row r="35450" s="101" customFormat="1" spans="6:6">
      <c r="F35450" s="2423"/>
    </row>
    <row r="35451" s="101" customFormat="1" spans="6:6">
      <c r="F35451" s="2423"/>
    </row>
    <row r="35452" s="101" customFormat="1" spans="6:6">
      <c r="F35452" s="2423"/>
    </row>
    <row r="35453" s="101" customFormat="1" spans="6:6">
      <c r="F35453" s="2423"/>
    </row>
    <row r="35454" s="101" customFormat="1" spans="6:6">
      <c r="F35454" s="2423"/>
    </row>
    <row r="35455" s="101" customFormat="1" spans="6:6">
      <c r="F35455" s="2423"/>
    </row>
    <row r="35456" s="101" customFormat="1" spans="6:6">
      <c r="F35456" s="2423"/>
    </row>
    <row r="35457" s="101" customFormat="1" spans="6:6">
      <c r="F35457" s="2423"/>
    </row>
    <row r="35458" s="101" customFormat="1" spans="6:6">
      <c r="F35458" s="2423"/>
    </row>
    <row r="35459" s="101" customFormat="1" spans="6:6">
      <c r="F35459" s="2423"/>
    </row>
    <row r="35460" s="101" customFormat="1" spans="6:6">
      <c r="F35460" s="2423"/>
    </row>
    <row r="35461" s="101" customFormat="1" spans="6:6">
      <c r="F35461" s="2423"/>
    </row>
    <row r="35462" s="101" customFormat="1" spans="6:6">
      <c r="F35462" s="2423"/>
    </row>
    <row r="35463" s="101" customFormat="1" spans="6:6">
      <c r="F35463" s="2423"/>
    </row>
    <row r="35464" s="101" customFormat="1" spans="6:6">
      <c r="F35464" s="2423"/>
    </row>
    <row r="35465" s="101" customFormat="1" spans="6:6">
      <c r="F35465" s="2423"/>
    </row>
    <row r="35466" s="101" customFormat="1" spans="6:6">
      <c r="F35466" s="2423"/>
    </row>
    <row r="35467" s="101" customFormat="1" spans="6:6">
      <c r="F35467" s="2423"/>
    </row>
    <row r="35468" s="101" customFormat="1" spans="6:6">
      <c r="F35468" s="2423"/>
    </row>
    <row r="35469" s="101" customFormat="1" spans="6:6">
      <c r="F35469" s="2423"/>
    </row>
    <row r="35470" s="101" customFormat="1" spans="6:6">
      <c r="F35470" s="2423"/>
    </row>
    <row r="35471" s="101" customFormat="1" spans="6:6">
      <c r="F35471" s="2423"/>
    </row>
    <row r="35472" s="101" customFormat="1" spans="6:6">
      <c r="F35472" s="2423"/>
    </row>
    <row r="35473" s="101" customFormat="1" spans="6:6">
      <c r="F35473" s="2423"/>
    </row>
    <row r="35474" s="101" customFormat="1" spans="6:6">
      <c r="F35474" s="2423"/>
    </row>
    <row r="35475" s="101" customFormat="1" spans="6:6">
      <c r="F35475" s="2423"/>
    </row>
    <row r="35476" s="101" customFormat="1" spans="6:6">
      <c r="F35476" s="2423"/>
    </row>
    <row r="35477" s="101" customFormat="1" spans="6:6">
      <c r="F35477" s="2423"/>
    </row>
    <row r="35478" s="101" customFormat="1" spans="6:6">
      <c r="F35478" s="2423"/>
    </row>
    <row r="35479" s="101" customFormat="1" spans="6:6">
      <c r="F35479" s="2423"/>
    </row>
    <row r="35480" s="101" customFormat="1" spans="6:6">
      <c r="F35480" s="2423"/>
    </row>
    <row r="35481" s="101" customFormat="1" spans="6:6">
      <c r="F35481" s="2423"/>
    </row>
    <row r="35482" s="101" customFormat="1" spans="6:6">
      <c r="F35482" s="2423"/>
    </row>
    <row r="35483" s="101" customFormat="1" spans="6:6">
      <c r="F35483" s="2423"/>
    </row>
    <row r="35484" s="101" customFormat="1" spans="6:6">
      <c r="F35484" s="2423"/>
    </row>
    <row r="35485" s="101" customFormat="1" spans="6:6">
      <c r="F35485" s="2423"/>
    </row>
    <row r="35486" s="101" customFormat="1" spans="6:6">
      <c r="F35486" s="2423"/>
    </row>
    <row r="35487" s="101" customFormat="1" spans="6:6">
      <c r="F35487" s="2423"/>
    </row>
    <row r="35488" s="101" customFormat="1" spans="6:6">
      <c r="F35488" s="2423"/>
    </row>
    <row r="35489" s="101" customFormat="1" spans="6:6">
      <c r="F35489" s="2423"/>
    </row>
    <row r="35490" s="101" customFormat="1" spans="6:6">
      <c r="F35490" s="2423"/>
    </row>
    <row r="35491" s="101" customFormat="1" spans="6:6">
      <c r="F35491" s="2423"/>
    </row>
    <row r="35492" s="101" customFormat="1" spans="6:6">
      <c r="F35492" s="2423"/>
    </row>
    <row r="35493" s="101" customFormat="1" spans="6:6">
      <c r="F35493" s="2423"/>
    </row>
    <row r="35494" s="101" customFormat="1" spans="6:6">
      <c r="F35494" s="2423"/>
    </row>
    <row r="35495" s="101" customFormat="1" spans="6:6">
      <c r="F35495" s="2423"/>
    </row>
    <row r="35496" s="101" customFormat="1" spans="6:6">
      <c r="F35496" s="2423"/>
    </row>
    <row r="35497" s="101" customFormat="1" spans="6:6">
      <c r="F35497" s="2423"/>
    </row>
    <row r="35498" s="101" customFormat="1" spans="6:6">
      <c r="F35498" s="2423"/>
    </row>
    <row r="35499" s="101" customFormat="1" spans="6:6">
      <c r="F35499" s="2423"/>
    </row>
    <row r="35500" s="101" customFormat="1" spans="6:6">
      <c r="F35500" s="2423"/>
    </row>
    <row r="35501" s="101" customFormat="1" spans="6:6">
      <c r="F35501" s="2423"/>
    </row>
    <row r="35502" s="101" customFormat="1" spans="6:6">
      <c r="F35502" s="2423"/>
    </row>
    <row r="35503" s="101" customFormat="1" spans="6:6">
      <c r="F35503" s="2423"/>
    </row>
    <row r="35504" s="101" customFormat="1" spans="6:6">
      <c r="F35504" s="2423"/>
    </row>
    <row r="35505" s="101" customFormat="1" spans="6:6">
      <c r="F35505" s="2423"/>
    </row>
    <row r="35506" s="101" customFormat="1" spans="6:6">
      <c r="F35506" s="2423"/>
    </row>
    <row r="35507" s="101" customFormat="1" spans="6:6">
      <c r="F35507" s="2423"/>
    </row>
    <row r="35508" s="101" customFormat="1" spans="6:6">
      <c r="F35508" s="2423"/>
    </row>
    <row r="35509" s="101" customFormat="1" spans="6:6">
      <c r="F35509" s="2423"/>
    </row>
    <row r="35510" s="101" customFormat="1" spans="6:6">
      <c r="F35510" s="2423"/>
    </row>
    <row r="35511" s="101" customFormat="1" spans="6:6">
      <c r="F35511" s="2423"/>
    </row>
    <row r="35512" s="101" customFormat="1" spans="6:6">
      <c r="F35512" s="2423"/>
    </row>
    <row r="35513" s="101" customFormat="1" spans="6:6">
      <c r="F35513" s="2423"/>
    </row>
    <row r="35514" s="101" customFormat="1" spans="6:6">
      <c r="F35514" s="2423"/>
    </row>
    <row r="35515" s="101" customFormat="1" spans="6:6">
      <c r="F35515" s="2423"/>
    </row>
    <row r="35516" s="101" customFormat="1" spans="6:6">
      <c r="F35516" s="2423"/>
    </row>
    <row r="35517" s="101" customFormat="1" spans="6:6">
      <c r="F35517" s="2423"/>
    </row>
    <row r="35518" s="101" customFormat="1" spans="6:6">
      <c r="F35518" s="2423"/>
    </row>
    <row r="35519" s="101" customFormat="1" spans="6:6">
      <c r="F35519" s="2423"/>
    </row>
    <row r="35520" s="101" customFormat="1" spans="6:6">
      <c r="F35520" s="2423"/>
    </row>
    <row r="35521" s="101" customFormat="1" spans="6:6">
      <c r="F35521" s="2423"/>
    </row>
    <row r="35522" s="101" customFormat="1" spans="6:6">
      <c r="F35522" s="2423"/>
    </row>
    <row r="35523" s="101" customFormat="1" spans="6:6">
      <c r="F35523" s="2423"/>
    </row>
    <row r="35524" s="101" customFormat="1" spans="6:6">
      <c r="F35524" s="2423"/>
    </row>
    <row r="35525" s="101" customFormat="1" spans="6:6">
      <c r="F35525" s="2423"/>
    </row>
    <row r="35526" s="101" customFormat="1" spans="6:6">
      <c r="F35526" s="2423"/>
    </row>
    <row r="35527" s="101" customFormat="1" spans="6:6">
      <c r="F35527" s="2423"/>
    </row>
    <row r="35528" s="101" customFormat="1" spans="6:6">
      <c r="F35528" s="2423"/>
    </row>
    <row r="35529" s="101" customFormat="1" spans="6:6">
      <c r="F35529" s="2423"/>
    </row>
    <row r="35530" s="101" customFormat="1" spans="6:6">
      <c r="F35530" s="2423"/>
    </row>
    <row r="35531" s="101" customFormat="1" spans="6:6">
      <c r="F35531" s="2423"/>
    </row>
    <row r="35532" s="101" customFormat="1" spans="6:6">
      <c r="F35532" s="2423"/>
    </row>
    <row r="35533" s="101" customFormat="1" spans="6:6">
      <c r="F35533" s="2423"/>
    </row>
    <row r="35534" s="101" customFormat="1" spans="6:6">
      <c r="F35534" s="2423"/>
    </row>
    <row r="35535" s="101" customFormat="1" spans="6:6">
      <c r="F35535" s="2423"/>
    </row>
    <row r="35536" s="101" customFormat="1" spans="6:6">
      <c r="F35536" s="2423"/>
    </row>
    <row r="35537" s="101" customFormat="1" spans="6:6">
      <c r="F35537" s="2423"/>
    </row>
    <row r="35538" s="101" customFormat="1" spans="6:6">
      <c r="F35538" s="2423"/>
    </row>
    <row r="35539" s="101" customFormat="1" spans="6:6">
      <c r="F35539" s="2423"/>
    </row>
    <row r="35540" s="101" customFormat="1" spans="6:6">
      <c r="F35540" s="2423"/>
    </row>
    <row r="35541" s="101" customFormat="1" spans="6:6">
      <c r="F35541" s="2423"/>
    </row>
    <row r="35542" s="101" customFormat="1" spans="6:6">
      <c r="F35542" s="2423"/>
    </row>
    <row r="35543" s="101" customFormat="1" spans="6:6">
      <c r="F35543" s="2423"/>
    </row>
    <row r="35544" s="101" customFormat="1" spans="6:6">
      <c r="F35544" s="2423"/>
    </row>
    <row r="35545" s="101" customFormat="1" spans="6:6">
      <c r="F35545" s="2423"/>
    </row>
    <row r="35546" s="101" customFormat="1" spans="6:6">
      <c r="F35546" s="2423"/>
    </row>
    <row r="35547" s="101" customFormat="1" spans="6:6">
      <c r="F35547" s="2423"/>
    </row>
    <row r="35548" s="101" customFormat="1" spans="6:6">
      <c r="F35548" s="2423"/>
    </row>
    <row r="35549" s="101" customFormat="1" spans="6:6">
      <c r="F35549" s="2423"/>
    </row>
    <row r="35550" s="101" customFormat="1" spans="6:6">
      <c r="F35550" s="2423"/>
    </row>
    <row r="35551" s="101" customFormat="1" spans="6:6">
      <c r="F35551" s="2423"/>
    </row>
    <row r="35552" s="101" customFormat="1" spans="6:6">
      <c r="F35552" s="2423"/>
    </row>
    <row r="35553" s="101" customFormat="1" spans="6:6">
      <c r="F35553" s="2423"/>
    </row>
    <row r="35554" s="101" customFormat="1" spans="6:6">
      <c r="F35554" s="2423"/>
    </row>
    <row r="35555" s="101" customFormat="1" spans="6:6">
      <c r="F35555" s="2423"/>
    </row>
    <row r="35556" s="101" customFormat="1" spans="6:6">
      <c r="F35556" s="2423"/>
    </row>
    <row r="35557" s="101" customFormat="1" spans="6:6">
      <c r="F35557" s="2423"/>
    </row>
    <row r="35558" s="101" customFormat="1" spans="6:6">
      <c r="F35558" s="2423"/>
    </row>
    <row r="35559" s="101" customFormat="1" spans="6:6">
      <c r="F35559" s="2423"/>
    </row>
    <row r="35560" s="101" customFormat="1" spans="6:6">
      <c r="F35560" s="2423"/>
    </row>
    <row r="35561" s="101" customFormat="1" spans="6:6">
      <c r="F35561" s="2423"/>
    </row>
    <row r="35562" s="101" customFormat="1" spans="6:6">
      <c r="F35562" s="2423"/>
    </row>
    <row r="35563" s="101" customFormat="1" spans="6:6">
      <c r="F35563" s="2423"/>
    </row>
    <row r="35564" s="101" customFormat="1" spans="6:6">
      <c r="F35564" s="2423"/>
    </row>
    <row r="35565" s="101" customFormat="1" spans="6:6">
      <c r="F35565" s="2423"/>
    </row>
    <row r="35566" s="101" customFormat="1" spans="6:6">
      <c r="F35566" s="2423"/>
    </row>
    <row r="35567" s="101" customFormat="1" spans="6:6">
      <c r="F35567" s="2423"/>
    </row>
    <row r="35568" s="101" customFormat="1" spans="6:6">
      <c r="F35568" s="2423"/>
    </row>
    <row r="35569" s="101" customFormat="1" spans="6:6">
      <c r="F35569" s="2423"/>
    </row>
    <row r="35570" s="101" customFormat="1" spans="6:6">
      <c r="F35570" s="2423"/>
    </row>
    <row r="35571" s="101" customFormat="1" spans="6:6">
      <c r="F35571" s="2423"/>
    </row>
    <row r="35572" s="101" customFormat="1" spans="6:6">
      <c r="F35572" s="2423"/>
    </row>
    <row r="35573" s="101" customFormat="1" spans="6:6">
      <c r="F35573" s="2423"/>
    </row>
    <row r="35574" s="101" customFormat="1" spans="6:6">
      <c r="F35574" s="2423"/>
    </row>
    <row r="35575" s="101" customFormat="1" spans="6:6">
      <c r="F35575" s="2423"/>
    </row>
    <row r="35576" s="101" customFormat="1" spans="6:6">
      <c r="F35576" s="2423"/>
    </row>
    <row r="35577" s="101" customFormat="1" spans="6:6">
      <c r="F35577" s="2423"/>
    </row>
    <row r="35578" s="101" customFormat="1" spans="6:6">
      <c r="F35578" s="2423"/>
    </row>
    <row r="35579" s="101" customFormat="1" spans="6:6">
      <c r="F35579" s="2423"/>
    </row>
    <row r="35580" s="101" customFormat="1" spans="6:6">
      <c r="F35580" s="2423"/>
    </row>
    <row r="35581" s="101" customFormat="1" spans="6:6">
      <c r="F35581" s="2423"/>
    </row>
    <row r="35582" s="101" customFormat="1" spans="6:6">
      <c r="F35582" s="2423"/>
    </row>
    <row r="35583" s="101" customFormat="1" spans="6:6">
      <c r="F35583" s="2423"/>
    </row>
    <row r="35584" s="101" customFormat="1" spans="6:6">
      <c r="F35584" s="2423"/>
    </row>
    <row r="35585" s="101" customFormat="1" spans="6:6">
      <c r="F35585" s="2423"/>
    </row>
    <row r="35586" s="101" customFormat="1" spans="6:6">
      <c r="F35586" s="2423"/>
    </row>
    <row r="35587" s="101" customFormat="1" spans="6:6">
      <c r="F35587" s="2423"/>
    </row>
    <row r="35588" s="101" customFormat="1" spans="6:6">
      <c r="F35588" s="2423"/>
    </row>
    <row r="35589" s="101" customFormat="1" spans="6:6">
      <c r="F35589" s="2423"/>
    </row>
    <row r="35590" s="101" customFormat="1" spans="6:6">
      <c r="F35590" s="2423"/>
    </row>
    <row r="35591" s="101" customFormat="1" spans="6:6">
      <c r="F35591" s="2423"/>
    </row>
    <row r="35592" s="101" customFormat="1" spans="6:6">
      <c r="F35592" s="2423"/>
    </row>
    <row r="35593" s="101" customFormat="1" spans="6:6">
      <c r="F35593" s="2423"/>
    </row>
    <row r="35594" s="101" customFormat="1" spans="6:6">
      <c r="F35594" s="2423"/>
    </row>
    <row r="35595" s="101" customFormat="1" spans="6:6">
      <c r="F35595" s="2423"/>
    </row>
    <row r="35596" s="101" customFormat="1" spans="6:6">
      <c r="F35596" s="2423"/>
    </row>
    <row r="35597" s="101" customFormat="1" spans="6:6">
      <c r="F35597" s="2423"/>
    </row>
    <row r="35598" s="101" customFormat="1" spans="6:6">
      <c r="F35598" s="2423"/>
    </row>
    <row r="35599" s="101" customFormat="1" spans="6:6">
      <c r="F35599" s="2423"/>
    </row>
    <row r="35600" s="101" customFormat="1" spans="6:6">
      <c r="F35600" s="2423"/>
    </row>
    <row r="35601" s="101" customFormat="1" spans="6:6">
      <c r="F35601" s="2423"/>
    </row>
    <row r="35602" s="101" customFormat="1" spans="6:6">
      <c r="F35602" s="2423"/>
    </row>
    <row r="35603" s="101" customFormat="1" spans="6:6">
      <c r="F35603" s="2423"/>
    </row>
    <row r="35604" s="101" customFormat="1" spans="6:6">
      <c r="F35604" s="2423"/>
    </row>
    <row r="35605" s="101" customFormat="1" spans="6:6">
      <c r="F35605" s="2423"/>
    </row>
    <row r="35606" s="101" customFormat="1" spans="6:6">
      <c r="F35606" s="2423"/>
    </row>
    <row r="35607" s="101" customFormat="1" spans="6:6">
      <c r="F35607" s="2423"/>
    </row>
    <row r="35608" s="101" customFormat="1" spans="6:6">
      <c r="F35608" s="2423"/>
    </row>
    <row r="35609" s="101" customFormat="1" spans="6:6">
      <c r="F35609" s="2423"/>
    </row>
    <row r="35610" s="101" customFormat="1" spans="6:6">
      <c r="F35610" s="2423"/>
    </row>
    <row r="35611" s="101" customFormat="1" spans="6:6">
      <c r="F35611" s="2423"/>
    </row>
    <row r="35612" s="101" customFormat="1" spans="6:6">
      <c r="F35612" s="2423"/>
    </row>
    <row r="35613" s="101" customFormat="1" spans="6:6">
      <c r="F35613" s="2423"/>
    </row>
    <row r="35614" s="101" customFormat="1" spans="6:6">
      <c r="F35614" s="2423"/>
    </row>
    <row r="35615" s="101" customFormat="1" spans="6:6">
      <c r="F35615" s="2423"/>
    </row>
    <row r="35616" s="101" customFormat="1" spans="6:6">
      <c r="F35616" s="2423"/>
    </row>
    <row r="35617" s="101" customFormat="1" spans="6:6">
      <c r="F35617" s="2423"/>
    </row>
    <row r="35618" s="101" customFormat="1" spans="6:6">
      <c r="F35618" s="2423"/>
    </row>
    <row r="35619" s="101" customFormat="1" spans="6:6">
      <c r="F35619" s="2423"/>
    </row>
    <row r="35620" s="101" customFormat="1" spans="6:6">
      <c r="F35620" s="2423"/>
    </row>
    <row r="35621" s="101" customFormat="1" spans="6:6">
      <c r="F35621" s="2423"/>
    </row>
    <row r="35622" s="101" customFormat="1" spans="6:6">
      <c r="F35622" s="2423"/>
    </row>
    <row r="35623" s="101" customFormat="1" spans="6:6">
      <c r="F35623" s="2423"/>
    </row>
    <row r="35624" s="101" customFormat="1" spans="6:6">
      <c r="F35624" s="2423"/>
    </row>
    <row r="35625" s="101" customFormat="1" spans="6:6">
      <c r="F35625" s="2423"/>
    </row>
    <row r="35626" s="101" customFormat="1" spans="6:6">
      <c r="F35626" s="2423"/>
    </row>
    <row r="35627" s="101" customFormat="1" spans="6:6">
      <c r="F35627" s="2423"/>
    </row>
    <row r="35628" s="101" customFormat="1" spans="6:6">
      <c r="F35628" s="2423"/>
    </row>
    <row r="35629" s="101" customFormat="1" spans="6:6">
      <c r="F35629" s="2423"/>
    </row>
    <row r="35630" s="101" customFormat="1" spans="6:6">
      <c r="F35630" s="2423"/>
    </row>
    <row r="35631" s="101" customFormat="1" spans="6:6">
      <c r="F35631" s="2423"/>
    </row>
    <row r="35632" s="101" customFormat="1" spans="6:6">
      <c r="F35632" s="2423"/>
    </row>
    <row r="35633" s="101" customFormat="1" spans="6:6">
      <c r="F35633" s="2423"/>
    </row>
    <row r="35634" s="101" customFormat="1" spans="6:6">
      <c r="F35634" s="2423"/>
    </row>
    <row r="35635" s="101" customFormat="1" spans="6:6">
      <c r="F35635" s="2423"/>
    </row>
    <row r="35636" s="101" customFormat="1" spans="6:6">
      <c r="F35636" s="2423"/>
    </row>
    <row r="35637" s="101" customFormat="1" spans="6:6">
      <c r="F35637" s="2423"/>
    </row>
    <row r="35638" s="101" customFormat="1" spans="6:6">
      <c r="F35638" s="2423"/>
    </row>
    <row r="35639" s="101" customFormat="1" spans="6:6">
      <c r="F35639" s="2423"/>
    </row>
    <row r="35640" s="101" customFormat="1" spans="6:6">
      <c r="F35640" s="2423"/>
    </row>
    <row r="35641" s="101" customFormat="1" spans="6:6">
      <c r="F35641" s="2423"/>
    </row>
    <row r="35642" s="101" customFormat="1" spans="6:6">
      <c r="F35642" s="2423"/>
    </row>
    <row r="35643" s="101" customFormat="1" spans="6:6">
      <c r="F35643" s="2423"/>
    </row>
    <row r="35644" s="101" customFormat="1" spans="6:6">
      <c r="F35644" s="2423"/>
    </row>
    <row r="35645" s="101" customFormat="1" spans="6:6">
      <c r="F35645" s="2423"/>
    </row>
    <row r="35646" s="101" customFormat="1" spans="6:6">
      <c r="F35646" s="2423"/>
    </row>
    <row r="35647" s="101" customFormat="1" spans="6:6">
      <c r="F35647" s="2423"/>
    </row>
    <row r="35648" s="101" customFormat="1" spans="6:6">
      <c r="F35648" s="2423"/>
    </row>
    <row r="35649" s="101" customFormat="1" spans="6:6">
      <c r="F35649" s="2423"/>
    </row>
    <row r="35650" s="101" customFormat="1" spans="6:6">
      <c r="F35650" s="2423"/>
    </row>
    <row r="35651" s="101" customFormat="1" spans="6:6">
      <c r="F35651" s="2423"/>
    </row>
    <row r="35652" s="101" customFormat="1" spans="6:6">
      <c r="F35652" s="2423"/>
    </row>
    <row r="35653" s="101" customFormat="1" spans="6:6">
      <c r="F35653" s="2423"/>
    </row>
    <row r="35654" s="101" customFormat="1" spans="6:6">
      <c r="F35654" s="2423"/>
    </row>
    <row r="35655" s="101" customFormat="1" spans="6:6">
      <c r="F35655" s="2423"/>
    </row>
    <row r="35656" s="101" customFormat="1" spans="6:6">
      <c r="F35656" s="2423"/>
    </row>
    <row r="35657" s="101" customFormat="1" spans="6:6">
      <c r="F35657" s="2423"/>
    </row>
    <row r="35658" s="101" customFormat="1" spans="6:6">
      <c r="F35658" s="2423"/>
    </row>
    <row r="35659" s="101" customFormat="1" spans="6:6">
      <c r="F35659" s="2423"/>
    </row>
    <row r="35660" s="101" customFormat="1" spans="6:6">
      <c r="F35660" s="2423"/>
    </row>
    <row r="35661" s="101" customFormat="1" spans="6:6">
      <c r="F35661" s="2423"/>
    </row>
    <row r="35662" s="101" customFormat="1" spans="6:6">
      <c r="F35662" s="2423"/>
    </row>
    <row r="35663" s="101" customFormat="1" spans="6:6">
      <c r="F35663" s="2423"/>
    </row>
    <row r="35664" s="101" customFormat="1" spans="6:6">
      <c r="F35664" s="2423"/>
    </row>
    <row r="35665" s="101" customFormat="1" spans="6:6">
      <c r="F35665" s="2423"/>
    </row>
    <row r="35666" s="101" customFormat="1" spans="6:6">
      <c r="F35666" s="2423"/>
    </row>
    <row r="35667" s="101" customFormat="1" spans="6:6">
      <c r="F35667" s="2423"/>
    </row>
    <row r="35668" s="101" customFormat="1" spans="6:6">
      <c r="F35668" s="2423"/>
    </row>
    <row r="35669" s="101" customFormat="1" spans="6:6">
      <c r="F35669" s="2423"/>
    </row>
    <row r="35670" s="101" customFormat="1" spans="6:6">
      <c r="F35670" s="2423"/>
    </row>
    <row r="35671" s="101" customFormat="1" spans="6:6">
      <c r="F35671" s="2423"/>
    </row>
    <row r="35672" s="101" customFormat="1" spans="6:6">
      <c r="F35672" s="2423"/>
    </row>
    <row r="35673" s="101" customFormat="1" spans="6:6">
      <c r="F35673" s="2423"/>
    </row>
    <row r="35674" s="101" customFormat="1" spans="6:6">
      <c r="F35674" s="2423"/>
    </row>
    <row r="35675" s="101" customFormat="1" spans="6:6">
      <c r="F35675" s="2423"/>
    </row>
    <row r="35676" s="101" customFormat="1" spans="6:6">
      <c r="F35676" s="2423"/>
    </row>
    <row r="35677" s="101" customFormat="1" spans="6:6">
      <c r="F35677" s="2423"/>
    </row>
    <row r="35678" s="101" customFormat="1" spans="6:6">
      <c r="F35678" s="2423"/>
    </row>
    <row r="35679" s="101" customFormat="1" spans="6:6">
      <c r="F35679" s="2423"/>
    </row>
    <row r="35680" s="101" customFormat="1" spans="6:6">
      <c r="F35680" s="2423"/>
    </row>
    <row r="35681" s="101" customFormat="1" spans="6:6">
      <c r="F35681" s="2423"/>
    </row>
    <row r="35682" s="101" customFormat="1" spans="6:6">
      <c r="F35682" s="2423"/>
    </row>
    <row r="35683" s="101" customFormat="1" spans="6:6">
      <c r="F35683" s="2423"/>
    </row>
    <row r="35684" s="101" customFormat="1" spans="6:6">
      <c r="F35684" s="2423"/>
    </row>
    <row r="35685" s="101" customFormat="1" spans="6:6">
      <c r="F35685" s="2423"/>
    </row>
    <row r="35686" s="101" customFormat="1" spans="6:6">
      <c r="F35686" s="2423"/>
    </row>
    <row r="35687" s="101" customFormat="1" spans="6:6">
      <c r="F35687" s="2423"/>
    </row>
    <row r="35688" s="101" customFormat="1" spans="6:6">
      <c r="F35688" s="2423"/>
    </row>
    <row r="35689" s="101" customFormat="1" spans="6:6">
      <c r="F35689" s="2423"/>
    </row>
    <row r="35690" s="101" customFormat="1" spans="6:6">
      <c r="F35690" s="2423"/>
    </row>
    <row r="35691" s="101" customFormat="1" spans="6:6">
      <c r="F35691" s="2423"/>
    </row>
    <row r="35692" s="101" customFormat="1" spans="6:6">
      <c r="F35692" s="2423"/>
    </row>
    <row r="35693" s="101" customFormat="1" spans="6:6">
      <c r="F35693" s="2423"/>
    </row>
    <row r="35694" s="101" customFormat="1" spans="6:6">
      <c r="F35694" s="2423"/>
    </row>
    <row r="35695" s="101" customFormat="1" spans="6:6">
      <c r="F35695" s="2423"/>
    </row>
    <row r="35696" s="101" customFormat="1" spans="6:6">
      <c r="F35696" s="2423"/>
    </row>
    <row r="35697" s="101" customFormat="1" spans="6:6">
      <c r="F35697" s="2423"/>
    </row>
    <row r="35698" s="101" customFormat="1" spans="6:6">
      <c r="F35698" s="2423"/>
    </row>
    <row r="35699" s="101" customFormat="1" spans="6:6">
      <c r="F35699" s="2423"/>
    </row>
    <row r="35700" s="101" customFormat="1" spans="6:6">
      <c r="F35700" s="2423"/>
    </row>
    <row r="35701" s="101" customFormat="1" spans="6:6">
      <c r="F35701" s="2423"/>
    </row>
    <row r="35702" s="101" customFormat="1" spans="6:6">
      <c r="F35702" s="2423"/>
    </row>
    <row r="35703" s="101" customFormat="1" spans="6:6">
      <c r="F35703" s="2423"/>
    </row>
    <row r="35704" s="101" customFormat="1" spans="6:6">
      <c r="F35704" s="2423"/>
    </row>
    <row r="35705" s="101" customFormat="1" spans="6:6">
      <c r="F35705" s="2423"/>
    </row>
    <row r="35706" s="101" customFormat="1" spans="6:6">
      <c r="F35706" s="2423"/>
    </row>
    <row r="35707" s="101" customFormat="1" spans="6:6">
      <c r="F35707" s="2423"/>
    </row>
    <row r="35708" s="101" customFormat="1" spans="6:6">
      <c r="F35708" s="2423"/>
    </row>
    <row r="35709" s="101" customFormat="1" spans="6:6">
      <c r="F35709" s="2423"/>
    </row>
    <row r="35710" s="101" customFormat="1" spans="6:6">
      <c r="F35710" s="2423"/>
    </row>
    <row r="35711" s="101" customFormat="1" spans="6:6">
      <c r="F35711" s="2423"/>
    </row>
    <row r="35712" s="101" customFormat="1" spans="6:6">
      <c r="F35712" s="2423"/>
    </row>
    <row r="35713" s="101" customFormat="1" spans="6:6">
      <c r="F35713" s="2423"/>
    </row>
    <row r="35714" s="101" customFormat="1" spans="6:6">
      <c r="F35714" s="2423"/>
    </row>
    <row r="35715" s="101" customFormat="1" spans="6:6">
      <c r="F35715" s="2423"/>
    </row>
    <row r="35716" s="101" customFormat="1" spans="6:6">
      <c r="F35716" s="2423"/>
    </row>
    <row r="35717" s="101" customFormat="1" spans="6:6">
      <c r="F35717" s="2423"/>
    </row>
    <row r="35718" s="101" customFormat="1" spans="6:6">
      <c r="F35718" s="2423"/>
    </row>
    <row r="35719" s="101" customFormat="1" spans="6:6">
      <c r="F35719" s="2423"/>
    </row>
    <row r="35720" s="101" customFormat="1" spans="6:6">
      <c r="F35720" s="2423"/>
    </row>
    <row r="35721" s="101" customFormat="1" spans="6:6">
      <c r="F35721" s="2423"/>
    </row>
    <row r="35722" s="101" customFormat="1" spans="6:6">
      <c r="F35722" s="2423"/>
    </row>
    <row r="35723" s="101" customFormat="1" spans="6:6">
      <c r="F35723" s="2423"/>
    </row>
    <row r="35724" s="101" customFormat="1" spans="6:6">
      <c r="F35724" s="2423"/>
    </row>
    <row r="35725" s="101" customFormat="1" spans="6:6">
      <c r="F35725" s="2423"/>
    </row>
    <row r="35726" s="101" customFormat="1" spans="6:6">
      <c r="F35726" s="2423"/>
    </row>
    <row r="35727" s="101" customFormat="1" spans="6:6">
      <c r="F35727" s="2423"/>
    </row>
    <row r="35728" s="101" customFormat="1" spans="6:6">
      <c r="F35728" s="2423"/>
    </row>
    <row r="35729" s="101" customFormat="1" spans="6:6">
      <c r="F35729" s="2423"/>
    </row>
    <row r="35730" s="101" customFormat="1" spans="6:6">
      <c r="F35730" s="2423"/>
    </row>
    <row r="35731" s="101" customFormat="1" spans="6:6">
      <c r="F35731" s="2423"/>
    </row>
    <row r="35732" s="101" customFormat="1" spans="6:6">
      <c r="F35732" s="2423"/>
    </row>
    <row r="35733" s="101" customFormat="1" spans="6:6">
      <c r="F35733" s="2423"/>
    </row>
    <row r="35734" s="101" customFormat="1" spans="6:6">
      <c r="F35734" s="2423"/>
    </row>
    <row r="35735" s="101" customFormat="1" spans="6:6">
      <c r="F35735" s="2423"/>
    </row>
    <row r="35736" s="101" customFormat="1" spans="6:6">
      <c r="F35736" s="2423"/>
    </row>
    <row r="35737" s="101" customFormat="1" spans="6:6">
      <c r="F35737" s="2423"/>
    </row>
    <row r="35738" s="101" customFormat="1" spans="6:6">
      <c r="F35738" s="2423"/>
    </row>
    <row r="35739" s="101" customFormat="1" spans="6:6">
      <c r="F35739" s="2423"/>
    </row>
    <row r="35740" s="101" customFormat="1" spans="6:6">
      <c r="F35740" s="2423"/>
    </row>
    <row r="35741" s="101" customFormat="1" spans="6:6">
      <c r="F35741" s="2423"/>
    </row>
    <row r="35742" s="101" customFormat="1" spans="6:6">
      <c r="F35742" s="2423"/>
    </row>
    <row r="35743" s="101" customFormat="1" spans="6:6">
      <c r="F35743" s="2423"/>
    </row>
    <row r="35744" s="101" customFormat="1" spans="6:6">
      <c r="F35744" s="2423"/>
    </row>
    <row r="35745" s="101" customFormat="1" spans="6:6">
      <c r="F35745" s="2423"/>
    </row>
    <row r="35746" s="101" customFormat="1" spans="6:6">
      <c r="F35746" s="2423"/>
    </row>
    <row r="35747" s="101" customFormat="1" spans="6:6">
      <c r="F35747" s="2423"/>
    </row>
    <row r="35748" s="101" customFormat="1" spans="6:6">
      <c r="F35748" s="2423"/>
    </row>
    <row r="35749" s="101" customFormat="1" spans="6:6">
      <c r="F35749" s="2423"/>
    </row>
    <row r="35750" s="101" customFormat="1" spans="6:6">
      <c r="F35750" s="2423"/>
    </row>
    <row r="35751" s="101" customFormat="1" spans="6:6">
      <c r="F35751" s="2423"/>
    </row>
    <row r="35752" s="101" customFormat="1" spans="6:6">
      <c r="F35752" s="2423"/>
    </row>
    <row r="35753" s="101" customFormat="1" spans="6:6">
      <c r="F35753" s="2423"/>
    </row>
    <row r="35754" s="101" customFormat="1" spans="6:6">
      <c r="F35754" s="2423"/>
    </row>
    <row r="35755" s="101" customFormat="1" spans="6:6">
      <c r="F35755" s="2423"/>
    </row>
    <row r="35756" s="101" customFormat="1" spans="6:6">
      <c r="F35756" s="2423"/>
    </row>
    <row r="35757" s="101" customFormat="1" spans="6:6">
      <c r="F35757" s="2423"/>
    </row>
    <row r="35758" s="101" customFormat="1" spans="6:6">
      <c r="F35758" s="2423"/>
    </row>
    <row r="35759" s="101" customFormat="1" spans="6:6">
      <c r="F35759" s="2423"/>
    </row>
    <row r="35760" s="101" customFormat="1" spans="6:6">
      <c r="F35760" s="2423"/>
    </row>
    <row r="35761" s="101" customFormat="1" spans="6:6">
      <c r="F35761" s="2423"/>
    </row>
    <row r="35762" s="101" customFormat="1" spans="6:6">
      <c r="F35762" s="2423"/>
    </row>
    <row r="35763" s="101" customFormat="1" spans="6:6">
      <c r="F35763" s="2423"/>
    </row>
    <row r="35764" s="101" customFormat="1" spans="6:6">
      <c r="F35764" s="2423"/>
    </row>
    <row r="35765" s="101" customFormat="1" spans="6:6">
      <c r="F35765" s="2423"/>
    </row>
    <row r="35766" s="101" customFormat="1" spans="6:6">
      <c r="F35766" s="2423"/>
    </row>
    <row r="35767" s="101" customFormat="1" spans="6:6">
      <c r="F35767" s="2423"/>
    </row>
    <row r="35768" s="101" customFormat="1" spans="6:6">
      <c r="F35768" s="2423"/>
    </row>
    <row r="35769" s="101" customFormat="1" spans="6:6">
      <c r="F35769" s="2423"/>
    </row>
    <row r="35770" s="101" customFormat="1" spans="6:6">
      <c r="F35770" s="2423"/>
    </row>
    <row r="35771" s="101" customFormat="1" spans="6:6">
      <c r="F35771" s="2423"/>
    </row>
    <row r="35772" s="101" customFormat="1" spans="6:6">
      <c r="F35772" s="2423"/>
    </row>
    <row r="35773" s="101" customFormat="1" spans="6:6">
      <c r="F35773" s="2423"/>
    </row>
    <row r="35774" s="101" customFormat="1" spans="6:6">
      <c r="F35774" s="2423"/>
    </row>
    <row r="35775" s="101" customFormat="1" spans="6:6">
      <c r="F35775" s="2423"/>
    </row>
    <row r="35776" s="101" customFormat="1" spans="6:6">
      <c r="F35776" s="2423"/>
    </row>
    <row r="35777" s="101" customFormat="1" spans="6:6">
      <c r="F35777" s="2423"/>
    </row>
    <row r="35778" s="101" customFormat="1" spans="6:6">
      <c r="F35778" s="2423"/>
    </row>
    <row r="35779" s="101" customFormat="1" spans="6:6">
      <c r="F35779" s="2423"/>
    </row>
    <row r="35780" s="101" customFormat="1" spans="6:6">
      <c r="F35780" s="2423"/>
    </row>
    <row r="35781" s="101" customFormat="1" spans="6:6">
      <c r="F35781" s="2423"/>
    </row>
    <row r="35782" s="101" customFormat="1" spans="6:6">
      <c r="F35782" s="2423"/>
    </row>
    <row r="35783" s="101" customFormat="1" spans="6:6">
      <c r="F35783" s="2423"/>
    </row>
    <row r="35784" s="101" customFormat="1" spans="6:6">
      <c r="F35784" s="2423"/>
    </row>
    <row r="35785" s="101" customFormat="1" spans="6:6">
      <c r="F35785" s="2423"/>
    </row>
    <row r="35786" s="101" customFormat="1" spans="6:6">
      <c r="F35786" s="2423"/>
    </row>
    <row r="35787" s="101" customFormat="1" spans="6:6">
      <c r="F35787" s="2423"/>
    </row>
    <row r="35788" s="101" customFormat="1" spans="6:6">
      <c r="F35788" s="2423"/>
    </row>
    <row r="35789" s="101" customFormat="1" spans="6:6">
      <c r="F35789" s="2423"/>
    </row>
    <row r="35790" s="101" customFormat="1" spans="6:6">
      <c r="F35790" s="2423"/>
    </row>
    <row r="35791" s="101" customFormat="1" spans="6:6">
      <c r="F35791" s="2423"/>
    </row>
    <row r="35792" s="101" customFormat="1" spans="6:6">
      <c r="F35792" s="2423"/>
    </row>
    <row r="35793" s="101" customFormat="1" spans="6:6">
      <c r="F35793" s="2423"/>
    </row>
    <row r="35794" s="101" customFormat="1" spans="6:6">
      <c r="F35794" s="2423"/>
    </row>
    <row r="35795" s="101" customFormat="1" spans="6:6">
      <c r="F35795" s="2423"/>
    </row>
    <row r="35796" s="101" customFormat="1" spans="6:6">
      <c r="F35796" s="2423"/>
    </row>
    <row r="35797" s="101" customFormat="1" spans="6:6">
      <c r="F35797" s="2423"/>
    </row>
    <row r="35798" s="101" customFormat="1" spans="6:6">
      <c r="F35798" s="2423"/>
    </row>
    <row r="35799" s="101" customFormat="1" spans="6:6">
      <c r="F35799" s="2423"/>
    </row>
    <row r="35800" s="101" customFormat="1" spans="6:6">
      <c r="F35800" s="2423"/>
    </row>
    <row r="35801" s="101" customFormat="1" spans="6:6">
      <c r="F35801" s="2423"/>
    </row>
    <row r="35802" s="101" customFormat="1" spans="6:6">
      <c r="F35802" s="2423"/>
    </row>
    <row r="35803" s="101" customFormat="1" spans="6:6">
      <c r="F35803" s="2423"/>
    </row>
    <row r="35804" s="101" customFormat="1" spans="6:6">
      <c r="F35804" s="2423"/>
    </row>
    <row r="35805" s="101" customFormat="1" spans="6:6">
      <c r="F35805" s="2423"/>
    </row>
    <row r="35806" s="101" customFormat="1" spans="6:6">
      <c r="F35806" s="2423"/>
    </row>
    <row r="35807" s="101" customFormat="1" spans="6:6">
      <c r="F35807" s="2423"/>
    </row>
    <row r="35808" s="101" customFormat="1" spans="6:6">
      <c r="F35808" s="2423"/>
    </row>
    <row r="35809" s="101" customFormat="1" spans="6:6">
      <c r="F35809" s="2423"/>
    </row>
    <row r="35810" s="101" customFormat="1" spans="6:6">
      <c r="F35810" s="2423"/>
    </row>
    <row r="35811" s="101" customFormat="1" spans="6:6">
      <c r="F35811" s="2423"/>
    </row>
    <row r="35812" s="101" customFormat="1" spans="6:6">
      <c r="F35812" s="2423"/>
    </row>
    <row r="35813" s="101" customFormat="1" spans="6:6">
      <c r="F35813" s="2423"/>
    </row>
    <row r="35814" s="101" customFormat="1" spans="6:6">
      <c r="F35814" s="2423"/>
    </row>
    <row r="35815" s="101" customFormat="1" spans="6:6">
      <c r="F35815" s="2423"/>
    </row>
    <row r="35816" s="101" customFormat="1" spans="6:6">
      <c r="F35816" s="2423"/>
    </row>
    <row r="35817" s="101" customFormat="1" spans="6:6">
      <c r="F35817" s="2423"/>
    </row>
    <row r="35818" s="101" customFormat="1" spans="6:6">
      <c r="F35818" s="2423"/>
    </row>
    <row r="35819" s="101" customFormat="1" spans="6:6">
      <c r="F35819" s="2423"/>
    </row>
    <row r="35820" s="101" customFormat="1" spans="6:6">
      <c r="F35820" s="2423"/>
    </row>
    <row r="35821" s="101" customFormat="1" spans="6:6">
      <c r="F35821" s="2423"/>
    </row>
    <row r="35822" s="101" customFormat="1" spans="6:6">
      <c r="F35822" s="2423"/>
    </row>
    <row r="35823" s="101" customFormat="1" spans="6:6">
      <c r="F35823" s="2423"/>
    </row>
    <row r="35824" s="101" customFormat="1" spans="6:6">
      <c r="F35824" s="2423"/>
    </row>
    <row r="35825" s="101" customFormat="1" spans="6:6">
      <c r="F35825" s="2423"/>
    </row>
    <row r="35826" s="101" customFormat="1" spans="6:6">
      <c r="F35826" s="2423"/>
    </row>
    <row r="35827" s="101" customFormat="1" spans="6:6">
      <c r="F35827" s="2423"/>
    </row>
    <row r="35828" s="101" customFormat="1" spans="6:6">
      <c r="F35828" s="2423"/>
    </row>
    <row r="35829" s="101" customFormat="1" spans="6:6">
      <c r="F35829" s="2423"/>
    </row>
    <row r="35830" s="101" customFormat="1" spans="6:6">
      <c r="F35830" s="2423"/>
    </row>
    <row r="35831" s="101" customFormat="1" spans="6:6">
      <c r="F35831" s="2423"/>
    </row>
    <row r="35832" s="101" customFormat="1" spans="6:6">
      <c r="F35832" s="2423"/>
    </row>
    <row r="35833" s="101" customFormat="1" spans="6:6">
      <c r="F35833" s="2423"/>
    </row>
    <row r="35834" s="101" customFormat="1" spans="6:6">
      <c r="F35834" s="2423"/>
    </row>
    <row r="35835" s="101" customFormat="1" spans="6:6">
      <c r="F35835" s="2423"/>
    </row>
    <row r="35836" s="101" customFormat="1" spans="6:6">
      <c r="F35836" s="2423"/>
    </row>
    <row r="35837" s="101" customFormat="1" spans="6:6">
      <c r="F35837" s="2423"/>
    </row>
    <row r="35838" s="101" customFormat="1" spans="6:6">
      <c r="F35838" s="2423"/>
    </row>
    <row r="35839" s="101" customFormat="1" spans="6:6">
      <c r="F35839" s="2423"/>
    </row>
    <row r="35840" s="101" customFormat="1" spans="6:6">
      <c r="F35840" s="2423"/>
    </row>
    <row r="35841" s="101" customFormat="1" spans="6:6">
      <c r="F35841" s="2423"/>
    </row>
    <row r="35842" s="101" customFormat="1" spans="6:6">
      <c r="F35842" s="2423"/>
    </row>
    <row r="35843" s="101" customFormat="1" spans="6:6">
      <c r="F35843" s="2423"/>
    </row>
    <row r="35844" s="101" customFormat="1" spans="6:6">
      <c r="F35844" s="2423"/>
    </row>
    <row r="35845" s="101" customFormat="1" spans="6:6">
      <c r="F35845" s="2423"/>
    </row>
    <row r="35846" s="101" customFormat="1" spans="6:6">
      <c r="F35846" s="2423"/>
    </row>
    <row r="35847" s="101" customFormat="1" spans="6:6">
      <c r="F35847" s="2423"/>
    </row>
    <row r="35848" s="101" customFormat="1" spans="6:6">
      <c r="F35848" s="2423"/>
    </row>
    <row r="35849" s="101" customFormat="1" spans="6:6">
      <c r="F35849" s="2423"/>
    </row>
    <row r="35850" s="101" customFormat="1" spans="6:6">
      <c r="F35850" s="2423"/>
    </row>
    <row r="35851" s="101" customFormat="1" spans="6:6">
      <c r="F35851" s="2423"/>
    </row>
    <row r="35852" s="101" customFormat="1" spans="6:6">
      <c r="F35852" s="2423"/>
    </row>
    <row r="35853" s="101" customFormat="1" spans="6:6">
      <c r="F35853" s="2423"/>
    </row>
    <row r="35854" s="101" customFormat="1" spans="6:6">
      <c r="F35854" s="2423"/>
    </row>
    <row r="35855" s="101" customFormat="1" spans="6:6">
      <c r="F35855" s="2423"/>
    </row>
    <row r="35856" s="101" customFormat="1" spans="6:6">
      <c r="F35856" s="2423"/>
    </row>
    <row r="35857" s="101" customFormat="1" spans="6:6">
      <c r="F35857" s="2423"/>
    </row>
    <row r="35858" s="101" customFormat="1" spans="6:6">
      <c r="F35858" s="2423"/>
    </row>
    <row r="35859" s="101" customFormat="1" spans="6:6">
      <c r="F35859" s="2423"/>
    </row>
    <row r="35860" s="101" customFormat="1" spans="6:6">
      <c r="F35860" s="2423"/>
    </row>
    <row r="35861" s="101" customFormat="1" spans="6:6">
      <c r="F35861" s="2423"/>
    </row>
    <row r="35862" s="101" customFormat="1" spans="6:6">
      <c r="F35862" s="2423"/>
    </row>
    <row r="35863" s="101" customFormat="1" spans="6:6">
      <c r="F35863" s="2423"/>
    </row>
    <row r="35864" s="101" customFormat="1" spans="6:6">
      <c r="F35864" s="2423"/>
    </row>
    <row r="35865" s="101" customFormat="1" spans="6:6">
      <c r="F35865" s="2423"/>
    </row>
    <row r="35866" s="101" customFormat="1" spans="6:6">
      <c r="F35866" s="2423"/>
    </row>
    <row r="35867" s="101" customFormat="1" spans="6:6">
      <c r="F35867" s="2423"/>
    </row>
    <row r="35868" s="101" customFormat="1" spans="6:6">
      <c r="F35868" s="2423"/>
    </row>
    <row r="35869" s="101" customFormat="1" spans="6:6">
      <c r="F35869" s="2423"/>
    </row>
    <row r="35870" s="101" customFormat="1" spans="6:6">
      <c r="F35870" s="2423"/>
    </row>
    <row r="35871" s="101" customFormat="1" spans="6:6">
      <c r="F35871" s="2423"/>
    </row>
    <row r="35872" s="101" customFormat="1" spans="6:6">
      <c r="F35872" s="2423"/>
    </row>
    <row r="35873" s="101" customFormat="1" spans="6:6">
      <c r="F35873" s="2423"/>
    </row>
    <row r="35874" s="101" customFormat="1" spans="6:6">
      <c r="F35874" s="2423"/>
    </row>
    <row r="35875" s="101" customFormat="1" spans="6:6">
      <c r="F35875" s="2423"/>
    </row>
    <row r="35876" s="101" customFormat="1" spans="6:6">
      <c r="F35876" s="2423"/>
    </row>
    <row r="35877" s="101" customFormat="1" spans="6:6">
      <c r="F35877" s="2423"/>
    </row>
    <row r="35878" s="101" customFormat="1" spans="6:6">
      <c r="F35878" s="2423"/>
    </row>
    <row r="35879" s="101" customFormat="1" spans="6:6">
      <c r="F35879" s="2423"/>
    </row>
    <row r="35880" s="101" customFormat="1" spans="6:6">
      <c r="F35880" s="2423"/>
    </row>
    <row r="35881" s="101" customFormat="1" spans="6:6">
      <c r="F35881" s="2423"/>
    </row>
    <row r="35882" s="101" customFormat="1" spans="6:6">
      <c r="F35882" s="2423"/>
    </row>
    <row r="35883" s="101" customFormat="1" spans="6:6">
      <c r="F35883" s="2423"/>
    </row>
    <row r="35884" s="101" customFormat="1" spans="6:6">
      <c r="F35884" s="2423"/>
    </row>
    <row r="35885" s="101" customFormat="1" spans="6:6">
      <c r="F35885" s="2423"/>
    </row>
    <row r="35886" s="101" customFormat="1" spans="6:6">
      <c r="F35886" s="2423"/>
    </row>
    <row r="35887" s="101" customFormat="1" spans="6:6">
      <c r="F35887" s="2423"/>
    </row>
    <row r="35888" s="101" customFormat="1" spans="6:6">
      <c r="F35888" s="2423"/>
    </row>
    <row r="35889" s="101" customFormat="1" spans="6:6">
      <c r="F35889" s="2423"/>
    </row>
    <row r="35890" s="101" customFormat="1" spans="6:6">
      <c r="F35890" s="2423"/>
    </row>
    <row r="35891" s="101" customFormat="1" spans="6:6">
      <c r="F35891" s="2423"/>
    </row>
    <row r="35892" s="101" customFormat="1" spans="6:6">
      <c r="F35892" s="2423"/>
    </row>
    <row r="35893" s="101" customFormat="1" spans="6:6">
      <c r="F35893" s="2423"/>
    </row>
    <row r="35894" s="101" customFormat="1" spans="6:6">
      <c r="F35894" s="2423"/>
    </row>
    <row r="35895" s="101" customFormat="1" spans="6:6">
      <c r="F35895" s="2423"/>
    </row>
    <row r="35896" s="101" customFormat="1" spans="6:6">
      <c r="F35896" s="2423"/>
    </row>
    <row r="35897" s="101" customFormat="1" spans="6:6">
      <c r="F35897" s="2423"/>
    </row>
    <row r="35898" s="101" customFormat="1" spans="6:6">
      <c r="F35898" s="2423"/>
    </row>
    <row r="35899" s="101" customFormat="1" spans="6:6">
      <c r="F35899" s="2423"/>
    </row>
    <row r="35900" s="101" customFormat="1" spans="6:6">
      <c r="F35900" s="2423"/>
    </row>
    <row r="35901" s="101" customFormat="1" spans="6:6">
      <c r="F35901" s="2423"/>
    </row>
    <row r="35902" s="101" customFormat="1" spans="6:6">
      <c r="F35902" s="2423"/>
    </row>
    <row r="35903" s="101" customFormat="1" spans="6:6">
      <c r="F35903" s="2423"/>
    </row>
    <row r="35904" s="101" customFormat="1" spans="6:6">
      <c r="F35904" s="2423"/>
    </row>
    <row r="35905" s="101" customFormat="1" spans="6:6">
      <c r="F35905" s="2423"/>
    </row>
    <row r="35906" s="101" customFormat="1" spans="6:6">
      <c r="F35906" s="2423"/>
    </row>
    <row r="35907" s="101" customFormat="1" spans="6:6">
      <c r="F35907" s="2423"/>
    </row>
    <row r="35908" s="101" customFormat="1" spans="6:6">
      <c r="F35908" s="2423"/>
    </row>
    <row r="35909" s="101" customFormat="1" spans="6:6">
      <c r="F35909" s="2423"/>
    </row>
    <row r="35910" s="101" customFormat="1" spans="6:6">
      <c r="F35910" s="2423"/>
    </row>
    <row r="35911" s="101" customFormat="1" spans="6:6">
      <c r="F35911" s="2423"/>
    </row>
    <row r="35912" s="101" customFormat="1" spans="6:6">
      <c r="F35912" s="2423"/>
    </row>
    <row r="35913" s="101" customFormat="1" spans="6:6">
      <c r="F35913" s="2423"/>
    </row>
    <row r="35914" s="101" customFormat="1" spans="6:6">
      <c r="F35914" s="2423"/>
    </row>
    <row r="35915" s="101" customFormat="1" spans="6:6">
      <c r="F35915" s="2423"/>
    </row>
    <row r="35916" s="101" customFormat="1" spans="6:6">
      <c r="F35916" s="2423"/>
    </row>
    <row r="35917" s="101" customFormat="1" spans="6:6">
      <c r="F35917" s="2423"/>
    </row>
    <row r="35918" s="101" customFormat="1" spans="6:6">
      <c r="F35918" s="2423"/>
    </row>
    <row r="35919" s="101" customFormat="1" spans="6:6">
      <c r="F35919" s="2423"/>
    </row>
    <row r="35920" s="101" customFormat="1" spans="6:6">
      <c r="F35920" s="2423"/>
    </row>
    <row r="35921" s="101" customFormat="1" spans="6:6">
      <c r="F35921" s="2423"/>
    </row>
    <row r="35922" s="101" customFormat="1" spans="6:6">
      <c r="F35922" s="2423"/>
    </row>
    <row r="35923" s="101" customFormat="1" spans="6:6">
      <c r="F35923" s="2423"/>
    </row>
    <row r="35924" s="101" customFormat="1" spans="6:6">
      <c r="F35924" s="2423"/>
    </row>
    <row r="35925" s="101" customFormat="1" spans="6:6">
      <c r="F35925" s="2423"/>
    </row>
    <row r="35926" s="101" customFormat="1" spans="6:6">
      <c r="F35926" s="2423"/>
    </row>
    <row r="35927" s="101" customFormat="1" spans="6:6">
      <c r="F35927" s="2423"/>
    </row>
    <row r="35928" s="101" customFormat="1" spans="6:6">
      <c r="F35928" s="2423"/>
    </row>
    <row r="35929" s="101" customFormat="1" spans="6:6">
      <c r="F35929" s="2423"/>
    </row>
    <row r="35930" s="101" customFormat="1" spans="6:6">
      <c r="F35930" s="2423"/>
    </row>
    <row r="35931" s="101" customFormat="1" spans="6:6">
      <c r="F35931" s="2423"/>
    </row>
    <row r="35932" s="101" customFormat="1" spans="6:6">
      <c r="F35932" s="2423"/>
    </row>
    <row r="35933" s="101" customFormat="1" spans="6:6">
      <c r="F35933" s="2423"/>
    </row>
    <row r="35934" s="101" customFormat="1" spans="6:6">
      <c r="F35934" s="2423"/>
    </row>
    <row r="35935" s="101" customFormat="1" spans="6:6">
      <c r="F35935" s="2423"/>
    </row>
    <row r="35936" s="101" customFormat="1" spans="6:6">
      <c r="F35936" s="2423"/>
    </row>
    <row r="35937" s="101" customFormat="1" spans="6:6">
      <c r="F35937" s="2423"/>
    </row>
    <row r="35938" s="101" customFormat="1" spans="6:6">
      <c r="F35938" s="2423"/>
    </row>
    <row r="35939" s="101" customFormat="1" spans="6:6">
      <c r="F35939" s="2423"/>
    </row>
    <row r="35940" s="101" customFormat="1" spans="6:6">
      <c r="F35940" s="2423"/>
    </row>
    <row r="35941" s="101" customFormat="1" spans="6:6">
      <c r="F35941" s="2423"/>
    </row>
    <row r="35942" s="101" customFormat="1" spans="6:6">
      <c r="F35942" s="2423"/>
    </row>
    <row r="35943" s="101" customFormat="1" spans="6:6">
      <c r="F35943" s="2423"/>
    </row>
    <row r="35944" s="101" customFormat="1" spans="6:6">
      <c r="F35944" s="2423"/>
    </row>
    <row r="35945" s="101" customFormat="1" spans="6:6">
      <c r="F35945" s="2423"/>
    </row>
    <row r="35946" s="101" customFormat="1" spans="6:6">
      <c r="F35946" s="2423"/>
    </row>
    <row r="35947" s="101" customFormat="1" spans="6:6">
      <c r="F35947" s="2423"/>
    </row>
    <row r="35948" s="101" customFormat="1" spans="6:6">
      <c r="F35948" s="2423"/>
    </row>
    <row r="35949" s="101" customFormat="1" spans="6:6">
      <c r="F35949" s="2423"/>
    </row>
    <row r="35950" s="101" customFormat="1" spans="6:6">
      <c r="F35950" s="2423"/>
    </row>
    <row r="35951" s="101" customFormat="1" spans="6:6">
      <c r="F35951" s="2423"/>
    </row>
    <row r="35952" s="101" customFormat="1" spans="6:6">
      <c r="F35952" s="2423"/>
    </row>
    <row r="35953" s="101" customFormat="1" spans="6:6">
      <c r="F35953" s="2423"/>
    </row>
    <row r="35954" s="101" customFormat="1" spans="6:6">
      <c r="F35954" s="2423"/>
    </row>
    <row r="35955" s="101" customFormat="1" spans="6:6">
      <c r="F35955" s="2423"/>
    </row>
    <row r="35956" s="101" customFormat="1" spans="6:6">
      <c r="F35956" s="2423"/>
    </row>
    <row r="35957" s="101" customFormat="1" spans="6:6">
      <c r="F35957" s="2423"/>
    </row>
    <row r="35958" s="101" customFormat="1" spans="6:6">
      <c r="F35958" s="2423"/>
    </row>
    <row r="35959" s="101" customFormat="1" spans="6:6">
      <c r="F35959" s="2423"/>
    </row>
    <row r="35960" s="101" customFormat="1" spans="6:6">
      <c r="F35960" s="2423"/>
    </row>
    <row r="35961" s="101" customFormat="1" spans="6:6">
      <c r="F35961" s="2423"/>
    </row>
    <row r="35962" s="101" customFormat="1" spans="6:6">
      <c r="F35962" s="2423"/>
    </row>
    <row r="35963" s="101" customFormat="1" spans="6:6">
      <c r="F35963" s="2423"/>
    </row>
    <row r="35964" s="101" customFormat="1" spans="6:6">
      <c r="F35964" s="2423"/>
    </row>
    <row r="35965" s="101" customFormat="1" spans="6:6">
      <c r="F35965" s="2423"/>
    </row>
    <row r="35966" s="101" customFormat="1" spans="6:6">
      <c r="F35966" s="2423"/>
    </row>
    <row r="35967" s="101" customFormat="1" spans="6:6">
      <c r="F35967" s="2423"/>
    </row>
    <row r="35968" s="101" customFormat="1" spans="6:6">
      <c r="F35968" s="2423"/>
    </row>
    <row r="35969" s="101" customFormat="1" spans="6:6">
      <c r="F35969" s="2423"/>
    </row>
    <row r="35970" s="101" customFormat="1" spans="6:6">
      <c r="F35970" s="2423"/>
    </row>
    <row r="35971" s="101" customFormat="1" spans="6:6">
      <c r="F35971" s="2423"/>
    </row>
    <row r="35972" s="101" customFormat="1" spans="6:6">
      <c r="F35972" s="2423"/>
    </row>
    <row r="35973" s="101" customFormat="1" spans="6:6">
      <c r="F35973" s="2423"/>
    </row>
    <row r="35974" s="101" customFormat="1" spans="6:6">
      <c r="F35974" s="2423"/>
    </row>
    <row r="35975" s="101" customFormat="1" spans="6:6">
      <c r="F35975" s="2423"/>
    </row>
    <row r="35976" s="101" customFormat="1" spans="6:6">
      <c r="F35976" s="2423"/>
    </row>
    <row r="35977" s="101" customFormat="1" spans="6:6">
      <c r="F35977" s="2423"/>
    </row>
    <row r="35978" s="101" customFormat="1" spans="6:6">
      <c r="F35978" s="2423"/>
    </row>
    <row r="35979" s="101" customFormat="1" spans="6:6">
      <c r="F35979" s="2423"/>
    </row>
    <row r="35980" s="101" customFormat="1" spans="6:6">
      <c r="F35980" s="2423"/>
    </row>
    <row r="35981" s="101" customFormat="1" spans="6:6">
      <c r="F35981" s="2423"/>
    </row>
    <row r="35982" s="101" customFormat="1" spans="6:6">
      <c r="F35982" s="2423"/>
    </row>
    <row r="35983" s="101" customFormat="1" spans="6:6">
      <c r="F35983" s="2423"/>
    </row>
    <row r="35984" s="101" customFormat="1" spans="6:6">
      <c r="F35984" s="2423"/>
    </row>
    <row r="35985" s="101" customFormat="1" spans="6:6">
      <c r="F35985" s="2423"/>
    </row>
    <row r="35986" s="101" customFormat="1" spans="6:6">
      <c r="F35986" s="2423"/>
    </row>
    <row r="35987" s="101" customFormat="1" spans="6:6">
      <c r="F35987" s="2423"/>
    </row>
    <row r="35988" s="101" customFormat="1" spans="6:6">
      <c r="F35988" s="2423"/>
    </row>
    <row r="35989" s="101" customFormat="1" spans="6:6">
      <c r="F35989" s="2423"/>
    </row>
    <row r="35990" s="101" customFormat="1" spans="6:6">
      <c r="F35990" s="2423"/>
    </row>
    <row r="35991" s="101" customFormat="1" spans="6:6">
      <c r="F35991" s="2423"/>
    </row>
    <row r="35992" s="101" customFormat="1" spans="6:6">
      <c r="F35992" s="2423"/>
    </row>
    <row r="35993" s="101" customFormat="1" spans="6:6">
      <c r="F35993" s="2423"/>
    </row>
    <row r="35994" s="101" customFormat="1" spans="6:6">
      <c r="F35994" s="2423"/>
    </row>
    <row r="35995" s="101" customFormat="1" spans="6:6">
      <c r="F35995" s="2423"/>
    </row>
    <row r="35996" s="101" customFormat="1" spans="6:6">
      <c r="F35996" s="2423"/>
    </row>
    <row r="35997" s="101" customFormat="1" spans="6:6">
      <c r="F35997" s="2423"/>
    </row>
    <row r="35998" s="101" customFormat="1" spans="6:6">
      <c r="F35998" s="2423"/>
    </row>
    <row r="35999" s="101" customFormat="1" spans="6:6">
      <c r="F35999" s="2423"/>
    </row>
    <row r="36000" s="101" customFormat="1" spans="6:6">
      <c r="F36000" s="2423"/>
    </row>
    <row r="36001" s="101" customFormat="1" spans="6:6">
      <c r="F36001" s="2423"/>
    </row>
    <row r="36002" s="101" customFormat="1" spans="6:6">
      <c r="F36002" s="2423"/>
    </row>
    <row r="36003" s="101" customFormat="1" spans="6:6">
      <c r="F36003" s="2423"/>
    </row>
    <row r="36004" s="101" customFormat="1" spans="6:6">
      <c r="F36004" s="2423"/>
    </row>
    <row r="36005" s="101" customFormat="1" spans="6:6">
      <c r="F36005" s="2423"/>
    </row>
    <row r="36006" s="101" customFormat="1" spans="6:6">
      <c r="F36006" s="2423"/>
    </row>
    <row r="36007" s="101" customFormat="1" spans="6:6">
      <c r="F36007" s="2423"/>
    </row>
    <row r="36008" s="101" customFormat="1" spans="6:6">
      <c r="F36008" s="2423"/>
    </row>
    <row r="36009" s="101" customFormat="1" spans="6:6">
      <c r="F36009" s="2423"/>
    </row>
    <row r="36010" s="101" customFormat="1" spans="6:6">
      <c r="F36010" s="2423"/>
    </row>
    <row r="36011" s="101" customFormat="1" spans="6:6">
      <c r="F36011" s="2423"/>
    </row>
    <row r="36012" s="101" customFormat="1" spans="6:6">
      <c r="F36012" s="2423"/>
    </row>
    <row r="36013" s="101" customFormat="1" spans="6:6">
      <c r="F36013" s="2423"/>
    </row>
    <row r="36014" s="101" customFormat="1" spans="6:6">
      <c r="F36014" s="2423"/>
    </row>
    <row r="36015" s="101" customFormat="1" spans="6:6">
      <c r="F36015" s="2423"/>
    </row>
    <row r="36016" s="101" customFormat="1" spans="6:6">
      <c r="F36016" s="2423"/>
    </row>
    <row r="36017" s="101" customFormat="1" spans="6:6">
      <c r="F36017" s="2423"/>
    </row>
    <row r="36018" s="101" customFormat="1" spans="6:6">
      <c r="F36018" s="2423"/>
    </row>
    <row r="36019" s="101" customFormat="1" spans="6:6">
      <c r="F36019" s="2423"/>
    </row>
    <row r="36020" s="101" customFormat="1" spans="6:6">
      <c r="F36020" s="2423"/>
    </row>
    <row r="36021" s="101" customFormat="1" spans="6:6">
      <c r="F36021" s="2423"/>
    </row>
    <row r="36022" s="101" customFormat="1" spans="6:6">
      <c r="F36022" s="2423"/>
    </row>
    <row r="36023" s="101" customFormat="1" spans="6:6">
      <c r="F36023" s="2423"/>
    </row>
    <row r="36024" s="101" customFormat="1" spans="6:6">
      <c r="F36024" s="2423"/>
    </row>
    <row r="36025" s="101" customFormat="1" spans="6:6">
      <c r="F36025" s="2423"/>
    </row>
    <row r="36026" s="101" customFormat="1" spans="6:6">
      <c r="F36026" s="2423"/>
    </row>
    <row r="36027" s="101" customFormat="1" spans="6:6">
      <c r="F36027" s="2423"/>
    </row>
    <row r="36028" s="101" customFormat="1" spans="6:6">
      <c r="F36028" s="2423"/>
    </row>
    <row r="36029" s="101" customFormat="1" spans="6:6">
      <c r="F36029" s="2423"/>
    </row>
    <row r="36030" s="101" customFormat="1" spans="6:6">
      <c r="F36030" s="2423"/>
    </row>
    <row r="36031" s="101" customFormat="1" spans="6:6">
      <c r="F36031" s="2423"/>
    </row>
    <row r="36032" s="101" customFormat="1" spans="6:6">
      <c r="F36032" s="2423"/>
    </row>
    <row r="36033" s="101" customFormat="1" spans="6:6">
      <c r="F36033" s="2423"/>
    </row>
    <row r="36034" s="101" customFormat="1" spans="6:6">
      <c r="F36034" s="2423"/>
    </row>
    <row r="36035" s="101" customFormat="1" spans="6:6">
      <c r="F36035" s="2423"/>
    </row>
    <row r="36036" s="101" customFormat="1" spans="6:6">
      <c r="F36036" s="2423"/>
    </row>
    <row r="36037" s="101" customFormat="1" spans="6:6">
      <c r="F36037" s="2423"/>
    </row>
    <row r="36038" s="101" customFormat="1" spans="6:6">
      <c r="F36038" s="2423"/>
    </row>
    <row r="36039" s="101" customFormat="1" spans="6:6">
      <c r="F36039" s="2423"/>
    </row>
    <row r="36040" s="101" customFormat="1" spans="6:6">
      <c r="F36040" s="2423"/>
    </row>
    <row r="36041" s="101" customFormat="1" spans="6:6">
      <c r="F36041" s="2423"/>
    </row>
    <row r="36042" s="101" customFormat="1" spans="6:6">
      <c r="F36042" s="2423"/>
    </row>
    <row r="36043" s="101" customFormat="1" spans="6:6">
      <c r="F36043" s="2423"/>
    </row>
    <row r="36044" s="101" customFormat="1" spans="6:6">
      <c r="F36044" s="2423"/>
    </row>
    <row r="36045" s="101" customFormat="1" spans="6:6">
      <c r="F36045" s="2423"/>
    </row>
    <row r="36046" s="101" customFormat="1" spans="6:6">
      <c r="F36046" s="2423"/>
    </row>
    <row r="36047" s="101" customFormat="1" spans="6:6">
      <c r="F36047" s="2423"/>
    </row>
    <row r="36048" s="101" customFormat="1" spans="6:6">
      <c r="F36048" s="2423"/>
    </row>
    <row r="36049" s="101" customFormat="1" spans="6:6">
      <c r="F36049" s="2423"/>
    </row>
    <row r="36050" s="101" customFormat="1" spans="6:6">
      <c r="F36050" s="2423"/>
    </row>
    <row r="36051" s="101" customFormat="1" spans="6:6">
      <c r="F36051" s="2423"/>
    </row>
    <row r="36052" s="101" customFormat="1" spans="6:6">
      <c r="F36052" s="2423"/>
    </row>
    <row r="36053" s="101" customFormat="1" spans="6:6">
      <c r="F36053" s="2423"/>
    </row>
    <row r="36054" s="101" customFormat="1" spans="6:6">
      <c r="F36054" s="2423"/>
    </row>
    <row r="36055" s="101" customFormat="1" spans="6:6">
      <c r="F36055" s="2423"/>
    </row>
    <row r="36056" s="101" customFormat="1" spans="6:6">
      <c r="F36056" s="2423"/>
    </row>
    <row r="36057" s="101" customFormat="1" spans="6:6">
      <c r="F36057" s="2423"/>
    </row>
    <row r="36058" s="101" customFormat="1" spans="6:6">
      <c r="F36058" s="2423"/>
    </row>
    <row r="36059" s="101" customFormat="1" spans="6:6">
      <c r="F36059" s="2423"/>
    </row>
    <row r="36060" s="101" customFormat="1" spans="6:6">
      <c r="F36060" s="2423"/>
    </row>
    <row r="36061" s="101" customFormat="1" spans="6:6">
      <c r="F36061" s="2423"/>
    </row>
    <row r="36062" s="101" customFormat="1" spans="6:6">
      <c r="F36062" s="2423"/>
    </row>
    <row r="36063" s="101" customFormat="1" spans="6:6">
      <c r="F36063" s="2423"/>
    </row>
    <row r="36064" s="101" customFormat="1" spans="6:6">
      <c r="F36064" s="2423"/>
    </row>
    <row r="36065" s="101" customFormat="1" spans="6:6">
      <c r="F36065" s="2423"/>
    </row>
    <row r="36066" s="101" customFormat="1" spans="6:6">
      <c r="F36066" s="2423"/>
    </row>
    <row r="36067" s="101" customFormat="1" spans="6:6">
      <c r="F36067" s="2423"/>
    </row>
    <row r="36068" s="101" customFormat="1" spans="6:6">
      <c r="F36068" s="2423"/>
    </row>
    <row r="36069" s="101" customFormat="1" spans="6:6">
      <c r="F36069" s="2423"/>
    </row>
    <row r="36070" s="101" customFormat="1" spans="6:6">
      <c r="F36070" s="2423"/>
    </row>
    <row r="36071" s="101" customFormat="1" spans="6:6">
      <c r="F36071" s="2423"/>
    </row>
    <row r="36072" s="101" customFormat="1" spans="6:6">
      <c r="F36072" s="2423"/>
    </row>
    <row r="36073" s="101" customFormat="1" spans="6:6">
      <c r="F36073" s="2423"/>
    </row>
    <row r="36074" s="101" customFormat="1" spans="6:6">
      <c r="F36074" s="2423"/>
    </row>
    <row r="36075" s="101" customFormat="1" spans="6:6">
      <c r="F36075" s="2423"/>
    </row>
    <row r="36076" s="101" customFormat="1" spans="6:6">
      <c r="F36076" s="2423"/>
    </row>
    <row r="36077" s="101" customFormat="1" spans="6:6">
      <c r="F36077" s="2423"/>
    </row>
    <row r="36078" s="101" customFormat="1" spans="6:6">
      <c r="F36078" s="2423"/>
    </row>
    <row r="36079" s="101" customFormat="1" spans="6:6">
      <c r="F36079" s="2423"/>
    </row>
    <row r="36080" s="101" customFormat="1" spans="6:6">
      <c r="F36080" s="2423"/>
    </row>
    <row r="36081" s="101" customFormat="1" spans="6:6">
      <c r="F36081" s="2423"/>
    </row>
    <row r="36082" s="101" customFormat="1" spans="6:6">
      <c r="F36082" s="2423"/>
    </row>
    <row r="36083" s="101" customFormat="1" spans="6:6">
      <c r="F36083" s="2423"/>
    </row>
    <row r="36084" s="101" customFormat="1" spans="6:6">
      <c r="F36084" s="2423"/>
    </row>
    <row r="36085" s="101" customFormat="1" spans="6:6">
      <c r="F36085" s="2423"/>
    </row>
    <row r="36086" s="101" customFormat="1" spans="6:6">
      <c r="F36086" s="2423"/>
    </row>
    <row r="36087" s="101" customFormat="1" spans="6:6">
      <c r="F36087" s="2423"/>
    </row>
    <row r="36088" s="101" customFormat="1" spans="6:6">
      <c r="F36088" s="2423"/>
    </row>
    <row r="36089" s="101" customFormat="1" spans="6:6">
      <c r="F36089" s="2423"/>
    </row>
    <row r="36090" s="101" customFormat="1" spans="6:6">
      <c r="F36090" s="2423"/>
    </row>
    <row r="36091" s="101" customFormat="1" spans="6:6">
      <c r="F36091" s="2423"/>
    </row>
    <row r="36092" s="101" customFormat="1" spans="6:6">
      <c r="F36092" s="2423"/>
    </row>
    <row r="36093" s="101" customFormat="1" spans="6:6">
      <c r="F36093" s="2423"/>
    </row>
    <row r="36094" s="101" customFormat="1" spans="6:6">
      <c r="F36094" s="2423"/>
    </row>
    <row r="36095" s="101" customFormat="1" spans="6:6">
      <c r="F36095" s="2423"/>
    </row>
    <row r="36096" s="101" customFormat="1" spans="6:6">
      <c r="F36096" s="2423"/>
    </row>
    <row r="36097" s="101" customFormat="1" spans="6:6">
      <c r="F36097" s="2423"/>
    </row>
    <row r="36098" s="101" customFormat="1" spans="6:6">
      <c r="F36098" s="2423"/>
    </row>
    <row r="36099" s="101" customFormat="1" spans="6:6">
      <c r="F36099" s="2423"/>
    </row>
    <row r="36100" s="101" customFormat="1" spans="6:6">
      <c r="F36100" s="2423"/>
    </row>
    <row r="36101" s="101" customFormat="1" spans="6:6">
      <c r="F36101" s="2423"/>
    </row>
    <row r="36102" s="101" customFormat="1" spans="6:6">
      <c r="F36102" s="2423"/>
    </row>
    <row r="36103" s="101" customFormat="1" spans="6:6">
      <c r="F36103" s="2423"/>
    </row>
    <row r="36104" s="101" customFormat="1" spans="6:6">
      <c r="F36104" s="2423"/>
    </row>
    <row r="36105" s="101" customFormat="1" spans="6:6">
      <c r="F36105" s="2423"/>
    </row>
    <row r="36106" s="101" customFormat="1" spans="6:6">
      <c r="F36106" s="2423"/>
    </row>
    <row r="36107" s="101" customFormat="1" spans="6:6">
      <c r="F36107" s="2423"/>
    </row>
    <row r="36108" s="101" customFormat="1" spans="6:6">
      <c r="F36108" s="2423"/>
    </row>
    <row r="36109" s="101" customFormat="1" spans="6:6">
      <c r="F36109" s="2423"/>
    </row>
    <row r="36110" s="101" customFormat="1" spans="6:6">
      <c r="F36110" s="2423"/>
    </row>
    <row r="36111" s="101" customFormat="1" spans="6:6">
      <c r="F36111" s="2423"/>
    </row>
    <row r="36112" s="101" customFormat="1" spans="6:6">
      <c r="F36112" s="2423"/>
    </row>
    <row r="36113" s="101" customFormat="1" spans="6:6">
      <c r="F36113" s="2423"/>
    </row>
    <row r="36114" s="101" customFormat="1" spans="6:6">
      <c r="F36114" s="2423"/>
    </row>
    <row r="36115" s="101" customFormat="1" spans="6:6">
      <c r="F36115" s="2423"/>
    </row>
    <row r="36116" s="101" customFormat="1" spans="6:6">
      <c r="F36116" s="2423"/>
    </row>
    <row r="36117" s="101" customFormat="1" spans="6:6">
      <c r="F36117" s="2423"/>
    </row>
    <row r="36118" s="101" customFormat="1" spans="6:6">
      <c r="F36118" s="2423"/>
    </row>
    <row r="36119" s="101" customFormat="1" spans="6:6">
      <c r="F36119" s="2423"/>
    </row>
    <row r="36120" s="101" customFormat="1" spans="6:6">
      <c r="F36120" s="2423"/>
    </row>
    <row r="36121" s="101" customFormat="1" spans="6:6">
      <c r="F36121" s="2423"/>
    </row>
    <row r="36122" s="101" customFormat="1" spans="6:6">
      <c r="F36122" s="2423"/>
    </row>
    <row r="36123" s="101" customFormat="1" spans="6:6">
      <c r="F36123" s="2423"/>
    </row>
    <row r="36124" s="101" customFormat="1" spans="6:6">
      <c r="F36124" s="2423"/>
    </row>
    <row r="36125" s="101" customFormat="1" spans="6:6">
      <c r="F36125" s="2423"/>
    </row>
    <row r="36126" s="101" customFormat="1" spans="6:6">
      <c r="F36126" s="2423"/>
    </row>
    <row r="36127" s="101" customFormat="1" spans="6:6">
      <c r="F36127" s="2423"/>
    </row>
    <row r="36128" s="101" customFormat="1" spans="6:6">
      <c r="F36128" s="2423"/>
    </row>
    <row r="36129" s="101" customFormat="1" spans="6:6">
      <c r="F36129" s="2423"/>
    </row>
    <row r="36130" s="101" customFormat="1" spans="6:6">
      <c r="F36130" s="2423"/>
    </row>
    <row r="36131" s="101" customFormat="1" spans="6:6">
      <c r="F36131" s="2423"/>
    </row>
    <row r="36132" s="101" customFormat="1" spans="6:6">
      <c r="F36132" s="2423"/>
    </row>
    <row r="36133" s="101" customFormat="1" spans="6:6">
      <c r="F36133" s="2423"/>
    </row>
    <row r="36134" s="101" customFormat="1" spans="6:6">
      <c r="F36134" s="2423"/>
    </row>
    <row r="36135" s="101" customFormat="1" spans="6:6">
      <c r="F36135" s="2423"/>
    </row>
    <row r="36136" s="101" customFormat="1" spans="6:6">
      <c r="F36136" s="2423"/>
    </row>
    <row r="36137" s="101" customFormat="1" spans="6:6">
      <c r="F36137" s="2423"/>
    </row>
    <row r="36138" s="101" customFormat="1" spans="6:6">
      <c r="F36138" s="2423"/>
    </row>
    <row r="36139" s="101" customFormat="1" spans="6:6">
      <c r="F36139" s="2423"/>
    </row>
    <row r="36140" s="101" customFormat="1" spans="6:6">
      <c r="F36140" s="2423"/>
    </row>
    <row r="36141" s="101" customFormat="1" spans="6:6">
      <c r="F36141" s="2423"/>
    </row>
    <row r="36142" s="101" customFormat="1" spans="6:6">
      <c r="F36142" s="2423"/>
    </row>
    <row r="36143" s="101" customFormat="1" spans="6:6">
      <c r="F36143" s="2423"/>
    </row>
    <row r="36144" s="101" customFormat="1" spans="6:6">
      <c r="F36144" s="2423"/>
    </row>
    <row r="36145" s="101" customFormat="1" spans="6:6">
      <c r="F36145" s="2423"/>
    </row>
    <row r="36146" s="101" customFormat="1" spans="6:6">
      <c r="F36146" s="2423"/>
    </row>
    <row r="36147" s="101" customFormat="1" spans="6:6">
      <c r="F36147" s="2423"/>
    </row>
    <row r="36148" s="101" customFormat="1" spans="6:6">
      <c r="F36148" s="2423"/>
    </row>
    <row r="36149" s="101" customFormat="1" spans="6:6">
      <c r="F36149" s="2423"/>
    </row>
    <row r="36150" s="101" customFormat="1" spans="6:6">
      <c r="F36150" s="2423"/>
    </row>
    <row r="36151" s="101" customFormat="1" spans="6:6">
      <c r="F36151" s="2423"/>
    </row>
    <row r="36152" s="101" customFormat="1" spans="6:6">
      <c r="F36152" s="2423"/>
    </row>
    <row r="36153" s="101" customFormat="1" spans="6:6">
      <c r="F36153" s="2423"/>
    </row>
    <row r="36154" s="101" customFormat="1" spans="6:6">
      <c r="F36154" s="2423"/>
    </row>
    <row r="36155" s="101" customFormat="1" spans="6:6">
      <c r="F36155" s="2423"/>
    </row>
    <row r="36156" s="101" customFormat="1" spans="6:6">
      <c r="F36156" s="2423"/>
    </row>
    <row r="36157" s="101" customFormat="1" spans="6:6">
      <c r="F36157" s="2423"/>
    </row>
    <row r="36158" s="101" customFormat="1" spans="6:6">
      <c r="F36158" s="2423"/>
    </row>
    <row r="36159" s="101" customFormat="1" spans="6:6">
      <c r="F36159" s="2423"/>
    </row>
    <row r="36160" s="101" customFormat="1" spans="6:6">
      <c r="F36160" s="2423"/>
    </row>
    <row r="36161" s="101" customFormat="1" spans="6:6">
      <c r="F36161" s="2423"/>
    </row>
    <row r="36162" s="101" customFormat="1" spans="6:6">
      <c r="F36162" s="2423"/>
    </row>
    <row r="36163" s="101" customFormat="1" spans="6:6">
      <c r="F36163" s="2423"/>
    </row>
    <row r="36164" s="101" customFormat="1" spans="6:6">
      <c r="F36164" s="2423"/>
    </row>
    <row r="36165" s="101" customFormat="1" spans="6:6">
      <c r="F36165" s="2423"/>
    </row>
    <row r="36166" s="101" customFormat="1" spans="6:6">
      <c r="F36166" s="2423"/>
    </row>
    <row r="36167" s="101" customFormat="1" spans="6:6">
      <c r="F36167" s="2423"/>
    </row>
    <row r="36168" s="101" customFormat="1" spans="6:6">
      <c r="F36168" s="2423"/>
    </row>
    <row r="36169" s="101" customFormat="1" spans="6:6">
      <c r="F36169" s="2423"/>
    </row>
    <row r="36170" s="101" customFormat="1" spans="6:6">
      <c r="F36170" s="2423"/>
    </row>
    <row r="36171" s="101" customFormat="1" spans="6:6">
      <c r="F36171" s="2423"/>
    </row>
    <row r="36172" s="101" customFormat="1" spans="6:6">
      <c r="F36172" s="2423"/>
    </row>
    <row r="36173" s="101" customFormat="1" spans="6:6">
      <c r="F36173" s="2423"/>
    </row>
    <row r="36174" s="101" customFormat="1" spans="6:6">
      <c r="F36174" s="2423"/>
    </row>
    <row r="36175" s="101" customFormat="1" spans="6:6">
      <c r="F36175" s="2423"/>
    </row>
    <row r="36176" s="101" customFormat="1" spans="6:6">
      <c r="F36176" s="2423"/>
    </row>
    <row r="36177" s="101" customFormat="1" spans="6:6">
      <c r="F36177" s="2423"/>
    </row>
    <row r="36178" s="101" customFormat="1" spans="6:6">
      <c r="F36178" s="2423"/>
    </row>
    <row r="36179" s="101" customFormat="1" spans="6:6">
      <c r="F36179" s="2423"/>
    </row>
    <row r="36180" s="101" customFormat="1" spans="6:6">
      <c r="F36180" s="2423"/>
    </row>
    <row r="36181" s="101" customFormat="1" spans="6:6">
      <c r="F36181" s="2423"/>
    </row>
    <row r="36182" s="101" customFormat="1" spans="6:6">
      <c r="F36182" s="2423"/>
    </row>
    <row r="36183" s="101" customFormat="1" spans="6:6">
      <c r="F36183" s="2423"/>
    </row>
    <row r="36184" s="101" customFormat="1" spans="6:6">
      <c r="F36184" s="2423"/>
    </row>
    <row r="36185" s="101" customFormat="1" spans="6:6">
      <c r="F36185" s="2423"/>
    </row>
    <row r="36186" s="101" customFormat="1" spans="6:6">
      <c r="F36186" s="2423"/>
    </row>
    <row r="36187" s="101" customFormat="1" spans="6:6">
      <c r="F36187" s="2423"/>
    </row>
    <row r="36188" s="101" customFormat="1" spans="6:6">
      <c r="F36188" s="2423"/>
    </row>
    <row r="36189" s="101" customFormat="1" spans="6:6">
      <c r="F36189" s="2423"/>
    </row>
    <row r="36190" s="101" customFormat="1" spans="6:6">
      <c r="F36190" s="2423"/>
    </row>
    <row r="36191" s="101" customFormat="1" spans="6:6">
      <c r="F36191" s="2423"/>
    </row>
    <row r="36192" s="101" customFormat="1" spans="6:6">
      <c r="F36192" s="2423"/>
    </row>
    <row r="36193" s="101" customFormat="1" spans="6:6">
      <c r="F36193" s="2423"/>
    </row>
    <row r="36194" s="101" customFormat="1" spans="6:6">
      <c r="F36194" s="2423"/>
    </row>
    <row r="36195" s="101" customFormat="1" spans="6:6">
      <c r="F36195" s="2423"/>
    </row>
    <row r="36196" s="101" customFormat="1" spans="6:6">
      <c r="F36196" s="2423"/>
    </row>
    <row r="36197" s="101" customFormat="1" spans="6:6">
      <c r="F36197" s="2423"/>
    </row>
    <row r="36198" s="101" customFormat="1" spans="6:6">
      <c r="F36198" s="2423"/>
    </row>
    <row r="36199" s="101" customFormat="1" spans="6:6">
      <c r="F36199" s="2423"/>
    </row>
    <row r="36200" s="101" customFormat="1" spans="6:6">
      <c r="F36200" s="2423"/>
    </row>
    <row r="36201" s="101" customFormat="1" spans="6:6">
      <c r="F36201" s="2423"/>
    </row>
    <row r="36202" s="101" customFormat="1" spans="6:6">
      <c r="F36202" s="2423"/>
    </row>
    <row r="36203" s="101" customFormat="1" spans="6:6">
      <c r="F36203" s="2423"/>
    </row>
    <row r="36204" s="101" customFormat="1" spans="6:6">
      <c r="F36204" s="2423"/>
    </row>
    <row r="36205" s="101" customFormat="1" spans="6:6">
      <c r="F36205" s="2423"/>
    </row>
    <row r="36206" s="101" customFormat="1" spans="6:6">
      <c r="F36206" s="2423"/>
    </row>
    <row r="36207" s="101" customFormat="1" spans="6:6">
      <c r="F36207" s="2423"/>
    </row>
    <row r="36208" s="101" customFormat="1" spans="6:6">
      <c r="F36208" s="2423"/>
    </row>
    <row r="36209" s="101" customFormat="1" spans="6:6">
      <c r="F36209" s="2423"/>
    </row>
    <row r="36210" s="101" customFormat="1" spans="6:6">
      <c r="F36210" s="2423"/>
    </row>
    <row r="36211" s="101" customFormat="1" spans="6:6">
      <c r="F36211" s="2423"/>
    </row>
    <row r="36212" s="101" customFormat="1" spans="6:6">
      <c r="F36212" s="2423"/>
    </row>
    <row r="36213" s="101" customFormat="1" spans="6:6">
      <c r="F36213" s="2423"/>
    </row>
    <row r="36214" s="101" customFormat="1" spans="6:6">
      <c r="F36214" s="2423"/>
    </row>
    <row r="36215" s="101" customFormat="1" spans="6:6">
      <c r="F36215" s="2423"/>
    </row>
    <row r="36216" s="101" customFormat="1" spans="6:6">
      <c r="F36216" s="2423"/>
    </row>
    <row r="36217" s="101" customFormat="1" spans="6:6">
      <c r="F36217" s="2423"/>
    </row>
    <row r="36218" s="101" customFormat="1" spans="6:6">
      <c r="F36218" s="2423"/>
    </row>
    <row r="36219" s="101" customFormat="1" spans="6:6">
      <c r="F36219" s="2423"/>
    </row>
    <row r="36220" s="101" customFormat="1" spans="6:6">
      <c r="F36220" s="2423"/>
    </row>
    <row r="36221" s="101" customFormat="1" spans="6:6">
      <c r="F36221" s="2423"/>
    </row>
    <row r="36222" s="101" customFormat="1" spans="6:6">
      <c r="F36222" s="2423"/>
    </row>
    <row r="36223" s="101" customFormat="1" spans="6:6">
      <c r="F36223" s="2423"/>
    </row>
    <row r="36224" s="101" customFormat="1" spans="6:6">
      <c r="F36224" s="2423"/>
    </row>
    <row r="36225" s="101" customFormat="1" spans="6:6">
      <c r="F36225" s="2423"/>
    </row>
    <row r="36226" s="101" customFormat="1" spans="6:6">
      <c r="F36226" s="2423"/>
    </row>
    <row r="36227" s="101" customFormat="1" spans="6:6">
      <c r="F36227" s="2423"/>
    </row>
    <row r="36228" s="101" customFormat="1" spans="6:6">
      <c r="F36228" s="2423"/>
    </row>
    <row r="36229" s="101" customFormat="1" spans="6:6">
      <c r="F36229" s="2423"/>
    </row>
    <row r="36230" s="101" customFormat="1" spans="6:6">
      <c r="F36230" s="2423"/>
    </row>
    <row r="36231" s="101" customFormat="1" spans="6:6">
      <c r="F36231" s="2423"/>
    </row>
    <row r="36232" s="101" customFormat="1" spans="6:6">
      <c r="F36232" s="2423"/>
    </row>
    <row r="36233" s="101" customFormat="1" spans="6:6">
      <c r="F36233" s="2423"/>
    </row>
    <row r="36234" s="101" customFormat="1" spans="6:6">
      <c r="F36234" s="2423"/>
    </row>
    <row r="36235" s="101" customFormat="1" spans="6:6">
      <c r="F36235" s="2423"/>
    </row>
    <row r="36236" s="101" customFormat="1" spans="6:6">
      <c r="F36236" s="2423"/>
    </row>
    <row r="36237" s="101" customFormat="1" spans="6:6">
      <c r="F36237" s="2423"/>
    </row>
    <row r="36238" s="101" customFormat="1" spans="6:6">
      <c r="F36238" s="2423"/>
    </row>
    <row r="36239" s="101" customFormat="1" spans="6:6">
      <c r="F36239" s="2423"/>
    </row>
    <row r="36240" s="101" customFormat="1" spans="6:6">
      <c r="F36240" s="2423"/>
    </row>
    <row r="36241" s="101" customFormat="1" spans="6:6">
      <c r="F36241" s="2423"/>
    </row>
    <row r="36242" s="101" customFormat="1" spans="6:6">
      <c r="F36242" s="2423"/>
    </row>
    <row r="36243" s="101" customFormat="1" spans="6:6">
      <c r="F36243" s="2423"/>
    </row>
    <row r="36244" s="101" customFormat="1" spans="6:6">
      <c r="F36244" s="2423"/>
    </row>
    <row r="36245" s="101" customFormat="1" spans="6:6">
      <c r="F36245" s="2423"/>
    </row>
    <row r="36246" s="101" customFormat="1" spans="6:6">
      <c r="F36246" s="2423"/>
    </row>
    <row r="36247" s="101" customFormat="1" spans="6:6">
      <c r="F36247" s="2423"/>
    </row>
    <row r="36248" s="101" customFormat="1" spans="6:6">
      <c r="F36248" s="2423"/>
    </row>
    <row r="36249" s="101" customFormat="1" spans="6:6">
      <c r="F36249" s="2423"/>
    </row>
    <row r="36250" s="101" customFormat="1" spans="6:6">
      <c r="F36250" s="2423"/>
    </row>
    <row r="36251" s="101" customFormat="1" spans="6:6">
      <c r="F36251" s="2423"/>
    </row>
    <row r="36252" s="101" customFormat="1" spans="6:6">
      <c r="F36252" s="2423"/>
    </row>
    <row r="36253" s="101" customFormat="1" spans="6:6">
      <c r="F36253" s="2423"/>
    </row>
    <row r="36254" s="101" customFormat="1" spans="6:6">
      <c r="F36254" s="2423"/>
    </row>
    <row r="36255" s="101" customFormat="1" spans="6:6">
      <c r="F36255" s="2423"/>
    </row>
    <row r="36256" s="101" customFormat="1" spans="6:6">
      <c r="F36256" s="2423"/>
    </row>
    <row r="36257" s="101" customFormat="1" spans="6:6">
      <c r="F36257" s="2423"/>
    </row>
    <row r="36258" s="101" customFormat="1" spans="6:6">
      <c r="F36258" s="2423"/>
    </row>
    <row r="36259" s="101" customFormat="1" spans="6:6">
      <c r="F36259" s="2423"/>
    </row>
    <row r="36260" s="101" customFormat="1" spans="6:6">
      <c r="F36260" s="2423"/>
    </row>
    <row r="36261" s="101" customFormat="1" spans="6:6">
      <c r="F36261" s="2423"/>
    </row>
    <row r="36262" s="101" customFormat="1" spans="6:6">
      <c r="F36262" s="2423"/>
    </row>
    <row r="36263" s="101" customFormat="1" spans="6:6">
      <c r="F36263" s="2423"/>
    </row>
    <row r="36264" s="101" customFormat="1" spans="6:6">
      <c r="F36264" s="2423"/>
    </row>
    <row r="36265" s="101" customFormat="1" spans="6:6">
      <c r="F36265" s="2423"/>
    </row>
    <row r="36266" s="101" customFormat="1" spans="6:6">
      <c r="F36266" s="2423"/>
    </row>
    <row r="36267" s="101" customFormat="1" spans="6:6">
      <c r="F36267" s="2423"/>
    </row>
    <row r="36268" s="101" customFormat="1" spans="6:6">
      <c r="F36268" s="2423"/>
    </row>
    <row r="36269" s="101" customFormat="1" spans="6:6">
      <c r="F36269" s="2423"/>
    </row>
    <row r="36270" s="101" customFormat="1" spans="6:6">
      <c r="F36270" s="2423"/>
    </row>
    <row r="36271" s="101" customFormat="1" spans="6:6">
      <c r="F36271" s="2423"/>
    </row>
    <row r="36272" s="101" customFormat="1" spans="6:6">
      <c r="F36272" s="2423"/>
    </row>
    <row r="36273" s="101" customFormat="1" spans="6:6">
      <c r="F36273" s="2423"/>
    </row>
    <row r="36274" s="101" customFormat="1" spans="6:6">
      <c r="F36274" s="2423"/>
    </row>
    <row r="36275" s="101" customFormat="1" spans="6:6">
      <c r="F36275" s="2423"/>
    </row>
    <row r="36276" s="101" customFormat="1" spans="6:6">
      <c r="F36276" s="2423"/>
    </row>
    <row r="36277" s="101" customFormat="1" spans="6:6">
      <c r="F36277" s="2423"/>
    </row>
    <row r="36278" s="101" customFormat="1" spans="6:6">
      <c r="F36278" s="2423"/>
    </row>
    <row r="36279" s="101" customFormat="1" spans="6:6">
      <c r="F36279" s="2423"/>
    </row>
    <row r="36280" s="101" customFormat="1" spans="6:6">
      <c r="F36280" s="2423"/>
    </row>
    <row r="36281" s="101" customFormat="1" spans="6:6">
      <c r="F36281" s="2423"/>
    </row>
    <row r="36282" s="101" customFormat="1" spans="6:6">
      <c r="F36282" s="2423"/>
    </row>
    <row r="36283" s="101" customFormat="1" spans="6:6">
      <c r="F36283" s="2423"/>
    </row>
    <row r="36284" s="101" customFormat="1" spans="6:6">
      <c r="F36284" s="2423"/>
    </row>
    <row r="36285" s="101" customFormat="1" spans="6:6">
      <c r="F36285" s="2423"/>
    </row>
    <row r="36286" s="101" customFormat="1" spans="6:6">
      <c r="F36286" s="2423"/>
    </row>
    <row r="36287" s="101" customFormat="1" spans="6:6">
      <c r="F36287" s="2423"/>
    </row>
    <row r="36288" s="101" customFormat="1" spans="6:6">
      <c r="F36288" s="2423"/>
    </row>
    <row r="36289" s="101" customFormat="1" spans="6:6">
      <c r="F36289" s="2423"/>
    </row>
    <row r="36290" s="101" customFormat="1" spans="6:6">
      <c r="F36290" s="2423"/>
    </row>
    <row r="36291" s="101" customFormat="1" spans="6:6">
      <c r="F36291" s="2423"/>
    </row>
    <row r="36292" s="101" customFormat="1" spans="6:6">
      <c r="F36292" s="2423"/>
    </row>
    <row r="36293" s="101" customFormat="1" spans="6:6">
      <c r="F36293" s="2423"/>
    </row>
    <row r="36294" s="101" customFormat="1" spans="6:6">
      <c r="F36294" s="2423"/>
    </row>
    <row r="36295" s="101" customFormat="1" spans="6:6">
      <c r="F36295" s="2423"/>
    </row>
    <row r="36296" s="101" customFormat="1" spans="6:6">
      <c r="F36296" s="2423"/>
    </row>
    <row r="36297" s="101" customFormat="1" spans="6:6">
      <c r="F36297" s="2423"/>
    </row>
    <row r="36298" s="101" customFormat="1" spans="6:6">
      <c r="F36298" s="2423"/>
    </row>
    <row r="36299" s="101" customFormat="1" spans="6:6">
      <c r="F36299" s="2423"/>
    </row>
    <row r="36300" s="101" customFormat="1" spans="6:6">
      <c r="F36300" s="2423"/>
    </row>
    <row r="36301" s="101" customFormat="1" spans="6:6">
      <c r="F36301" s="2423"/>
    </row>
    <row r="36302" s="101" customFormat="1" spans="6:6">
      <c r="F36302" s="2423"/>
    </row>
    <row r="36303" s="101" customFormat="1" spans="6:6">
      <c r="F36303" s="2423"/>
    </row>
    <row r="36304" s="101" customFormat="1" spans="6:6">
      <c r="F36304" s="2423"/>
    </row>
    <row r="36305" s="101" customFormat="1" spans="6:6">
      <c r="F36305" s="2423"/>
    </row>
    <row r="36306" s="101" customFormat="1" spans="6:6">
      <c r="F36306" s="2423"/>
    </row>
    <row r="36307" s="101" customFormat="1" spans="6:6">
      <c r="F36307" s="2423"/>
    </row>
    <row r="36308" s="101" customFormat="1" spans="6:6">
      <c r="F36308" s="2423"/>
    </row>
    <row r="36309" s="101" customFormat="1" spans="6:6">
      <c r="F36309" s="2423"/>
    </row>
    <row r="36310" s="101" customFormat="1" spans="6:6">
      <c r="F36310" s="2423"/>
    </row>
    <row r="36311" s="101" customFormat="1" spans="6:6">
      <c r="F36311" s="2423"/>
    </row>
    <row r="36312" s="101" customFormat="1" spans="6:6">
      <c r="F36312" s="2423"/>
    </row>
    <row r="36313" s="101" customFormat="1" spans="6:6">
      <c r="F36313" s="2423"/>
    </row>
    <row r="36314" s="101" customFormat="1" spans="6:6">
      <c r="F36314" s="2423"/>
    </row>
    <row r="36315" s="101" customFormat="1" spans="6:6">
      <c r="F36315" s="2423"/>
    </row>
    <row r="36316" s="101" customFormat="1" spans="6:6">
      <c r="F36316" s="2423"/>
    </row>
    <row r="36317" s="101" customFormat="1" spans="6:6">
      <c r="F36317" s="2423"/>
    </row>
    <row r="36318" s="101" customFormat="1" spans="6:6">
      <c r="F36318" s="2423"/>
    </row>
    <row r="36319" s="101" customFormat="1" spans="6:6">
      <c r="F36319" s="2423"/>
    </row>
    <row r="36320" s="101" customFormat="1" spans="6:6">
      <c r="F36320" s="2423"/>
    </row>
    <row r="36321" s="101" customFormat="1" spans="6:6">
      <c r="F36321" s="2423"/>
    </row>
    <row r="36322" s="101" customFormat="1" spans="6:6">
      <c r="F36322" s="2423"/>
    </row>
    <row r="36323" s="101" customFormat="1" spans="6:6">
      <c r="F36323" s="2423"/>
    </row>
    <row r="36324" s="101" customFormat="1" spans="6:6">
      <c r="F36324" s="2423"/>
    </row>
    <row r="36325" s="101" customFormat="1" spans="6:6">
      <c r="F36325" s="2423"/>
    </row>
    <row r="36326" s="101" customFormat="1" spans="6:6">
      <c r="F36326" s="2423"/>
    </row>
    <row r="36327" s="101" customFormat="1" spans="6:6">
      <c r="F36327" s="2423"/>
    </row>
    <row r="36328" s="101" customFormat="1" spans="6:6">
      <c r="F36328" s="2423"/>
    </row>
    <row r="36329" s="101" customFormat="1" spans="6:6">
      <c r="F36329" s="2423"/>
    </row>
    <row r="36330" s="101" customFormat="1" spans="6:6">
      <c r="F36330" s="2423"/>
    </row>
    <row r="36331" s="101" customFormat="1" spans="6:6">
      <c r="F36331" s="2423"/>
    </row>
    <row r="36332" s="101" customFormat="1" spans="6:6">
      <c r="F36332" s="2423"/>
    </row>
    <row r="36333" s="101" customFormat="1" spans="6:6">
      <c r="F36333" s="2423"/>
    </row>
    <row r="36334" s="101" customFormat="1" spans="6:6">
      <c r="F36334" s="2423"/>
    </row>
    <row r="36335" s="101" customFormat="1" spans="6:6">
      <c r="F36335" s="2423"/>
    </row>
    <row r="36336" s="101" customFormat="1" spans="6:6">
      <c r="F36336" s="2423"/>
    </row>
    <row r="36337" s="101" customFormat="1" spans="6:6">
      <c r="F36337" s="2423"/>
    </row>
    <row r="36338" s="101" customFormat="1" spans="6:6">
      <c r="F36338" s="2423"/>
    </row>
    <row r="36339" s="101" customFormat="1" spans="6:6">
      <c r="F36339" s="2423"/>
    </row>
    <row r="36340" s="101" customFormat="1" spans="6:6">
      <c r="F36340" s="2423"/>
    </row>
    <row r="36341" s="101" customFormat="1" spans="6:6">
      <c r="F36341" s="2423"/>
    </row>
    <row r="36342" s="101" customFormat="1" spans="6:6">
      <c r="F36342" s="2423"/>
    </row>
    <row r="36343" s="101" customFormat="1" spans="6:6">
      <c r="F36343" s="2423"/>
    </row>
    <row r="36344" s="101" customFormat="1" spans="6:6">
      <c r="F36344" s="2423"/>
    </row>
    <row r="36345" s="101" customFormat="1" spans="6:6">
      <c r="F36345" s="2423"/>
    </row>
    <row r="36346" s="101" customFormat="1" spans="6:6">
      <c r="F36346" s="2423"/>
    </row>
    <row r="36347" s="101" customFormat="1" spans="6:6">
      <c r="F36347" s="2423"/>
    </row>
    <row r="36348" s="101" customFormat="1" spans="6:6">
      <c r="F36348" s="2423"/>
    </row>
    <row r="36349" s="101" customFormat="1" spans="6:6">
      <c r="F36349" s="2423"/>
    </row>
    <row r="36350" s="101" customFormat="1" spans="6:6">
      <c r="F36350" s="2423"/>
    </row>
    <row r="36351" s="101" customFormat="1" spans="6:6">
      <c r="F36351" s="2423"/>
    </row>
    <row r="36352" s="101" customFormat="1" spans="6:6">
      <c r="F36352" s="2423"/>
    </row>
    <row r="36353" s="101" customFormat="1" spans="6:6">
      <c r="F36353" s="2423"/>
    </row>
    <row r="36354" s="101" customFormat="1" spans="6:6">
      <c r="F36354" s="2423"/>
    </row>
    <row r="36355" s="101" customFormat="1" spans="6:6">
      <c r="F36355" s="2423"/>
    </row>
    <row r="36356" s="101" customFormat="1" spans="6:6">
      <c r="F36356" s="2423"/>
    </row>
    <row r="36357" s="101" customFormat="1" spans="6:6">
      <c r="F36357" s="2423"/>
    </row>
    <row r="36358" s="101" customFormat="1" spans="6:6">
      <c r="F36358" s="2423"/>
    </row>
    <row r="36359" s="101" customFormat="1" spans="6:6">
      <c r="F36359" s="2423"/>
    </row>
    <row r="36360" s="101" customFormat="1" spans="6:6">
      <c r="F36360" s="2423"/>
    </row>
    <row r="36361" s="101" customFormat="1" spans="6:6">
      <c r="F36361" s="2423"/>
    </row>
    <row r="36362" s="101" customFormat="1" spans="6:6">
      <c r="F36362" s="2423"/>
    </row>
    <row r="36363" s="101" customFormat="1" spans="6:6">
      <c r="F36363" s="2423"/>
    </row>
    <row r="36364" s="101" customFormat="1" spans="6:6">
      <c r="F36364" s="2423"/>
    </row>
    <row r="36365" s="101" customFormat="1" spans="6:6">
      <c r="F36365" s="2423"/>
    </row>
    <row r="36366" s="101" customFormat="1" spans="6:6">
      <c r="F36366" s="2423"/>
    </row>
    <row r="36367" s="101" customFormat="1" spans="6:6">
      <c r="F36367" s="2423"/>
    </row>
    <row r="36368" s="101" customFormat="1" spans="6:6">
      <c r="F36368" s="2423"/>
    </row>
    <row r="36369" s="101" customFormat="1" spans="6:6">
      <c r="F36369" s="2423"/>
    </row>
    <row r="36370" s="101" customFormat="1" spans="6:6">
      <c r="F36370" s="2423"/>
    </row>
    <row r="36371" s="101" customFormat="1" spans="6:6">
      <c r="F36371" s="2423"/>
    </row>
    <row r="36372" s="101" customFormat="1" spans="6:6">
      <c r="F36372" s="2423"/>
    </row>
    <row r="36373" s="101" customFormat="1" spans="6:6">
      <c r="F36373" s="2423"/>
    </row>
    <row r="36374" s="101" customFormat="1" spans="6:6">
      <c r="F36374" s="2423"/>
    </row>
    <row r="36375" s="101" customFormat="1" spans="6:6">
      <c r="F36375" s="2423"/>
    </row>
    <row r="36376" s="101" customFormat="1" spans="6:6">
      <c r="F36376" s="2423"/>
    </row>
    <row r="36377" s="101" customFormat="1" spans="6:6">
      <c r="F36377" s="2423"/>
    </row>
    <row r="36378" s="101" customFormat="1" spans="6:6">
      <c r="F36378" s="2423"/>
    </row>
    <row r="36379" s="101" customFormat="1" spans="6:6">
      <c r="F36379" s="2423"/>
    </row>
    <row r="36380" s="101" customFormat="1" spans="6:6">
      <c r="F36380" s="2423"/>
    </row>
    <row r="36381" s="101" customFormat="1" spans="6:6">
      <c r="F36381" s="2423"/>
    </row>
    <row r="36382" s="101" customFormat="1" spans="6:6">
      <c r="F36382" s="2423"/>
    </row>
    <row r="36383" s="101" customFormat="1" spans="6:6">
      <c r="F36383" s="2423"/>
    </row>
    <row r="36384" s="101" customFormat="1" spans="6:6">
      <c r="F36384" s="2423"/>
    </row>
    <row r="36385" s="101" customFormat="1" spans="6:6">
      <c r="F36385" s="2423"/>
    </row>
    <row r="36386" s="101" customFormat="1" spans="6:6">
      <c r="F36386" s="2423"/>
    </row>
    <row r="36387" s="101" customFormat="1" spans="6:6">
      <c r="F36387" s="2423"/>
    </row>
    <row r="36388" s="101" customFormat="1" spans="6:6">
      <c r="F36388" s="2423"/>
    </row>
    <row r="36389" s="101" customFormat="1" spans="6:6">
      <c r="F36389" s="2423"/>
    </row>
    <row r="36390" s="101" customFormat="1" spans="6:6">
      <c r="F36390" s="2423"/>
    </row>
    <row r="36391" s="101" customFormat="1" spans="6:6">
      <c r="F36391" s="2423"/>
    </row>
    <row r="36392" s="101" customFormat="1" spans="6:6">
      <c r="F36392" s="2423"/>
    </row>
    <row r="36393" s="101" customFormat="1" spans="6:6">
      <c r="F36393" s="2423"/>
    </row>
    <row r="36394" s="101" customFormat="1" spans="6:6">
      <c r="F36394" s="2423"/>
    </row>
    <row r="36395" s="101" customFormat="1" spans="6:6">
      <c r="F36395" s="2423"/>
    </row>
    <row r="36396" s="101" customFormat="1" spans="6:6">
      <c r="F36396" s="2423"/>
    </row>
    <row r="36397" s="101" customFormat="1" spans="6:6">
      <c r="F36397" s="2423"/>
    </row>
    <row r="36398" s="101" customFormat="1" spans="6:6">
      <c r="F36398" s="2423"/>
    </row>
    <row r="36399" s="101" customFormat="1" spans="6:6">
      <c r="F36399" s="2423"/>
    </row>
    <row r="36400" s="101" customFormat="1" spans="6:6">
      <c r="F36400" s="2423"/>
    </row>
    <row r="36401" s="101" customFormat="1" spans="6:6">
      <c r="F36401" s="2423"/>
    </row>
    <row r="36402" s="101" customFormat="1" spans="6:6">
      <c r="F36402" s="2423"/>
    </row>
    <row r="36403" s="101" customFormat="1" spans="6:6">
      <c r="F36403" s="2423"/>
    </row>
    <row r="36404" s="101" customFormat="1" spans="6:6">
      <c r="F36404" s="2423"/>
    </row>
    <row r="36405" s="101" customFormat="1" spans="6:6">
      <c r="F36405" s="2423"/>
    </row>
    <row r="36406" s="101" customFormat="1" spans="6:6">
      <c r="F36406" s="2423"/>
    </row>
    <row r="36407" s="101" customFormat="1" spans="6:6">
      <c r="F36407" s="2423"/>
    </row>
    <row r="36408" s="101" customFormat="1" spans="6:6">
      <c r="F36408" s="2423"/>
    </row>
    <row r="36409" s="101" customFormat="1" spans="6:6">
      <c r="F36409" s="2423"/>
    </row>
    <row r="36410" s="101" customFormat="1" spans="6:6">
      <c r="F36410" s="2423"/>
    </row>
    <row r="36411" s="101" customFormat="1" spans="6:6">
      <c r="F36411" s="2423"/>
    </row>
    <row r="36412" s="101" customFormat="1" spans="6:6">
      <c r="F36412" s="2423"/>
    </row>
    <row r="36413" s="101" customFormat="1" spans="6:6">
      <c r="F36413" s="2423"/>
    </row>
    <row r="36414" s="101" customFormat="1" spans="6:6">
      <c r="F36414" s="2423"/>
    </row>
    <row r="36415" s="101" customFormat="1" spans="6:6">
      <c r="F36415" s="2423"/>
    </row>
    <row r="36416" s="101" customFormat="1" spans="6:6">
      <c r="F36416" s="2423"/>
    </row>
    <row r="36417" s="101" customFormat="1" spans="6:6">
      <c r="F36417" s="2423"/>
    </row>
    <row r="36418" s="101" customFormat="1" spans="6:6">
      <c r="F36418" s="2423"/>
    </row>
    <row r="36419" s="101" customFormat="1" spans="6:6">
      <c r="F36419" s="2423"/>
    </row>
    <row r="36420" s="101" customFormat="1" spans="6:6">
      <c r="F36420" s="2423"/>
    </row>
    <row r="36421" s="101" customFormat="1" spans="6:6">
      <c r="F36421" s="2423"/>
    </row>
    <row r="36422" s="101" customFormat="1" spans="6:6">
      <c r="F36422" s="2423"/>
    </row>
    <row r="36423" s="101" customFormat="1" spans="6:6">
      <c r="F36423" s="2423"/>
    </row>
    <row r="36424" s="101" customFormat="1" spans="6:6">
      <c r="F36424" s="2423"/>
    </row>
    <row r="36425" s="101" customFormat="1" spans="6:6">
      <c r="F36425" s="2423"/>
    </row>
    <row r="36426" s="101" customFormat="1" spans="6:6">
      <c r="F36426" s="2423"/>
    </row>
    <row r="36427" s="101" customFormat="1" spans="6:6">
      <c r="F36427" s="2423"/>
    </row>
    <row r="36428" s="101" customFormat="1" spans="6:6">
      <c r="F36428" s="2423"/>
    </row>
    <row r="36429" s="101" customFormat="1" spans="6:6">
      <c r="F36429" s="2423"/>
    </row>
    <row r="36430" s="101" customFormat="1" spans="6:6">
      <c r="F36430" s="2423"/>
    </row>
    <row r="36431" s="101" customFormat="1" spans="6:6">
      <c r="F36431" s="2423"/>
    </row>
    <row r="36432" s="101" customFormat="1" spans="6:6">
      <c r="F36432" s="2423"/>
    </row>
    <row r="36433" s="101" customFormat="1" spans="6:6">
      <c r="F36433" s="2423"/>
    </row>
    <row r="36434" s="101" customFormat="1" spans="6:6">
      <c r="F36434" s="2423"/>
    </row>
    <row r="36435" s="101" customFormat="1" spans="6:6">
      <c r="F36435" s="2423"/>
    </row>
    <row r="36436" s="101" customFormat="1" spans="6:6">
      <c r="F36436" s="2423"/>
    </row>
    <row r="36437" s="101" customFormat="1" spans="6:6">
      <c r="F36437" s="2423"/>
    </row>
    <row r="36438" s="101" customFormat="1" spans="6:6">
      <c r="F36438" s="2423"/>
    </row>
    <row r="36439" s="101" customFormat="1" spans="6:6">
      <c r="F36439" s="2423"/>
    </row>
    <row r="36440" s="101" customFormat="1" spans="6:6">
      <c r="F36440" s="2423"/>
    </row>
    <row r="36441" s="101" customFormat="1" spans="6:6">
      <c r="F36441" s="2423"/>
    </row>
    <row r="36442" s="101" customFormat="1" spans="6:6">
      <c r="F36442" s="2423"/>
    </row>
    <row r="36443" s="101" customFormat="1" spans="6:6">
      <c r="F36443" s="2423"/>
    </row>
    <row r="36444" s="101" customFormat="1" spans="6:6">
      <c r="F36444" s="2423"/>
    </row>
    <row r="36445" s="101" customFormat="1" spans="6:6">
      <c r="F36445" s="2423"/>
    </row>
    <row r="36446" s="101" customFormat="1" spans="6:6">
      <c r="F36446" s="2423"/>
    </row>
    <row r="36447" s="101" customFormat="1" spans="6:6">
      <c r="F36447" s="2423"/>
    </row>
    <row r="36448" s="101" customFormat="1" spans="6:6">
      <c r="F36448" s="2423"/>
    </row>
    <row r="36449" s="101" customFormat="1" spans="6:6">
      <c r="F36449" s="2423"/>
    </row>
    <row r="36450" s="101" customFormat="1" spans="6:6">
      <c r="F36450" s="2423"/>
    </row>
    <row r="36451" s="101" customFormat="1" spans="6:6">
      <c r="F36451" s="2423"/>
    </row>
    <row r="36452" s="101" customFormat="1" spans="6:6">
      <c r="F36452" s="2423"/>
    </row>
    <row r="36453" s="101" customFormat="1" spans="6:6">
      <c r="F36453" s="2423"/>
    </row>
    <row r="36454" s="101" customFormat="1" spans="6:6">
      <c r="F36454" s="2423"/>
    </row>
    <row r="36455" s="101" customFormat="1" spans="6:6">
      <c r="F36455" s="2423"/>
    </row>
    <row r="36456" s="101" customFormat="1" spans="6:6">
      <c r="F36456" s="2423"/>
    </row>
    <row r="36457" s="101" customFormat="1" spans="6:6">
      <c r="F36457" s="2423"/>
    </row>
    <row r="36458" s="101" customFormat="1" spans="6:6">
      <c r="F36458" s="2423"/>
    </row>
    <row r="36459" s="101" customFormat="1" spans="6:6">
      <c r="F36459" s="2423"/>
    </row>
    <row r="36460" s="101" customFormat="1" spans="6:6">
      <c r="F36460" s="2423"/>
    </row>
    <row r="36461" s="101" customFormat="1" spans="6:6">
      <c r="F36461" s="2423"/>
    </row>
    <row r="36462" s="101" customFormat="1" spans="6:6">
      <c r="F36462" s="2423"/>
    </row>
    <row r="36463" s="101" customFormat="1" spans="6:6">
      <c r="F36463" s="2423"/>
    </row>
    <row r="36464" s="101" customFormat="1" spans="6:6">
      <c r="F36464" s="2423"/>
    </row>
    <row r="36465" s="101" customFormat="1" spans="6:6">
      <c r="F36465" s="2423"/>
    </row>
    <row r="36466" s="101" customFormat="1" spans="6:6">
      <c r="F36466" s="2423"/>
    </row>
    <row r="36467" s="101" customFormat="1" spans="6:6">
      <c r="F36467" s="2423"/>
    </row>
    <row r="36468" s="101" customFormat="1" spans="6:6">
      <c r="F36468" s="2423"/>
    </row>
    <row r="36469" s="101" customFormat="1" spans="6:6">
      <c r="F36469" s="2423"/>
    </row>
    <row r="36470" s="101" customFormat="1" spans="6:6">
      <c r="F36470" s="2423"/>
    </row>
    <row r="36471" s="101" customFormat="1" spans="6:6">
      <c r="F36471" s="2423"/>
    </row>
    <row r="36472" s="101" customFormat="1" spans="6:6">
      <c r="F36472" s="2423"/>
    </row>
    <row r="36473" s="101" customFormat="1" spans="6:6">
      <c r="F36473" s="2423"/>
    </row>
    <row r="36474" s="101" customFormat="1" spans="6:6">
      <c r="F36474" s="2423"/>
    </row>
    <row r="36475" s="101" customFormat="1" spans="6:6">
      <c r="F36475" s="2423"/>
    </row>
    <row r="36476" s="101" customFormat="1" spans="6:6">
      <c r="F36476" s="2423"/>
    </row>
    <row r="36477" s="101" customFormat="1" spans="6:6">
      <c r="F36477" s="2423"/>
    </row>
    <row r="36478" s="101" customFormat="1" spans="6:6">
      <c r="F36478" s="2423"/>
    </row>
    <row r="36479" s="101" customFormat="1" spans="6:6">
      <c r="F36479" s="2423"/>
    </row>
    <row r="36480" s="101" customFormat="1" spans="6:6">
      <c r="F36480" s="2423"/>
    </row>
    <row r="36481" s="101" customFormat="1" spans="6:6">
      <c r="F36481" s="2423"/>
    </row>
    <row r="36482" s="101" customFormat="1" spans="6:6">
      <c r="F36482" s="2423"/>
    </row>
    <row r="36483" s="101" customFormat="1" spans="6:6">
      <c r="F36483" s="2423"/>
    </row>
    <row r="36484" s="101" customFormat="1" spans="6:6">
      <c r="F36484" s="2423"/>
    </row>
    <row r="36485" s="101" customFormat="1" spans="6:6">
      <c r="F36485" s="2423"/>
    </row>
    <row r="36486" s="101" customFormat="1" spans="6:6">
      <c r="F36486" s="2423"/>
    </row>
    <row r="36487" s="101" customFormat="1" spans="6:6">
      <c r="F36487" s="2423"/>
    </row>
    <row r="36488" s="101" customFormat="1" spans="6:6">
      <c r="F36488" s="2423"/>
    </row>
    <row r="36489" s="101" customFormat="1" spans="6:6">
      <c r="F36489" s="2423"/>
    </row>
    <row r="36490" s="101" customFormat="1" spans="6:6">
      <c r="F36490" s="2423"/>
    </row>
    <row r="36491" s="101" customFormat="1" spans="6:6">
      <c r="F36491" s="2423"/>
    </row>
    <row r="36492" s="101" customFormat="1" spans="6:6">
      <c r="F36492" s="2423"/>
    </row>
    <row r="36493" s="101" customFormat="1" spans="6:6">
      <c r="F36493" s="2423"/>
    </row>
    <row r="36494" s="101" customFormat="1" spans="6:6">
      <c r="F36494" s="2423"/>
    </row>
    <row r="36495" s="101" customFormat="1" spans="6:6">
      <c r="F36495" s="2423"/>
    </row>
    <row r="36496" s="101" customFormat="1" spans="6:6">
      <c r="F36496" s="2423"/>
    </row>
    <row r="36497" s="101" customFormat="1" spans="6:6">
      <c r="F36497" s="2423"/>
    </row>
    <row r="36498" s="101" customFormat="1" spans="6:6">
      <c r="F36498" s="2423"/>
    </row>
    <row r="36499" s="101" customFormat="1" spans="6:6">
      <c r="F36499" s="2423"/>
    </row>
    <row r="36500" s="101" customFormat="1" spans="6:6">
      <c r="F36500" s="2423"/>
    </row>
    <row r="36501" s="101" customFormat="1" spans="6:6">
      <c r="F36501" s="2423"/>
    </row>
    <row r="36502" s="101" customFormat="1" spans="6:6">
      <c r="F36502" s="2423"/>
    </row>
    <row r="36503" s="101" customFormat="1" spans="6:6">
      <c r="F36503" s="2423"/>
    </row>
    <row r="36504" s="101" customFormat="1" spans="6:6">
      <c r="F36504" s="2423"/>
    </row>
    <row r="36505" s="101" customFormat="1" spans="6:6">
      <c r="F36505" s="2423"/>
    </row>
    <row r="36506" s="101" customFormat="1" spans="6:6">
      <c r="F36506" s="2423"/>
    </row>
    <row r="36507" s="101" customFormat="1" spans="6:6">
      <c r="F36507" s="2423"/>
    </row>
    <row r="36508" s="101" customFormat="1" spans="6:6">
      <c r="F36508" s="2423"/>
    </row>
    <row r="36509" s="101" customFormat="1" spans="6:6">
      <c r="F36509" s="2423"/>
    </row>
    <row r="36510" s="101" customFormat="1" spans="6:6">
      <c r="F36510" s="2423"/>
    </row>
    <row r="36511" s="101" customFormat="1" spans="6:6">
      <c r="F36511" s="2423"/>
    </row>
    <row r="36512" s="101" customFormat="1" spans="6:6">
      <c r="F36512" s="2423"/>
    </row>
    <row r="36513" s="101" customFormat="1" spans="6:6">
      <c r="F36513" s="2423"/>
    </row>
    <row r="36514" s="101" customFormat="1" spans="6:6">
      <c r="F36514" s="2423"/>
    </row>
    <row r="36515" s="101" customFormat="1" spans="6:6">
      <c r="F36515" s="2423"/>
    </row>
    <row r="36516" s="101" customFormat="1" spans="6:6">
      <c r="F36516" s="2423"/>
    </row>
    <row r="36517" s="101" customFormat="1" spans="6:6">
      <c r="F36517" s="2423"/>
    </row>
    <row r="36518" s="101" customFormat="1" spans="6:6">
      <c r="F36518" s="2423"/>
    </row>
    <row r="36519" s="101" customFormat="1" spans="6:6">
      <c r="F36519" s="2423"/>
    </row>
    <row r="36520" s="101" customFormat="1" spans="6:6">
      <c r="F36520" s="2423"/>
    </row>
    <row r="36521" s="101" customFormat="1" spans="6:6">
      <c r="F36521" s="2423"/>
    </row>
    <row r="36522" s="101" customFormat="1" spans="6:6">
      <c r="F36522" s="2423"/>
    </row>
    <row r="36523" s="101" customFormat="1" spans="6:6">
      <c r="F36523" s="2423"/>
    </row>
    <row r="36524" s="101" customFormat="1" spans="6:6">
      <c r="F36524" s="2423"/>
    </row>
    <row r="36525" s="101" customFormat="1" spans="6:6">
      <c r="F36525" s="2423"/>
    </row>
    <row r="36526" s="101" customFormat="1" spans="6:6">
      <c r="F36526" s="2423"/>
    </row>
    <row r="36527" s="101" customFormat="1" spans="6:6">
      <c r="F36527" s="2423"/>
    </row>
    <row r="36528" s="101" customFormat="1" spans="6:6">
      <c r="F36528" s="2423"/>
    </row>
    <row r="36529" s="101" customFormat="1" spans="6:6">
      <c r="F36529" s="2423"/>
    </row>
    <row r="36530" s="101" customFormat="1" spans="6:6">
      <c r="F36530" s="2423"/>
    </row>
    <row r="36531" s="101" customFormat="1" spans="6:6">
      <c r="F36531" s="2423"/>
    </row>
    <row r="36532" s="101" customFormat="1" spans="6:6">
      <c r="F36532" s="2423"/>
    </row>
    <row r="36533" s="101" customFormat="1" spans="6:6">
      <c r="F36533" s="2423"/>
    </row>
    <row r="36534" s="101" customFormat="1" spans="6:6">
      <c r="F36534" s="2423"/>
    </row>
    <row r="36535" s="101" customFormat="1" spans="6:6">
      <c r="F36535" s="2423"/>
    </row>
    <row r="36536" s="101" customFormat="1" spans="6:6">
      <c r="F36536" s="2423"/>
    </row>
    <row r="36537" s="101" customFormat="1" spans="6:6">
      <c r="F36537" s="2423"/>
    </row>
    <row r="36538" s="101" customFormat="1" spans="6:6">
      <c r="F36538" s="2423"/>
    </row>
    <row r="36539" s="101" customFormat="1" spans="6:6">
      <c r="F36539" s="2423"/>
    </row>
    <row r="36540" s="101" customFormat="1" spans="6:6">
      <c r="F36540" s="2423"/>
    </row>
    <row r="36541" s="101" customFormat="1" spans="6:6">
      <c r="F36541" s="2423"/>
    </row>
    <row r="36542" s="101" customFormat="1" spans="6:6">
      <c r="F36542" s="2423"/>
    </row>
    <row r="36543" s="101" customFormat="1" spans="6:6">
      <c r="F36543" s="2423"/>
    </row>
    <row r="36544" s="101" customFormat="1" spans="6:6">
      <c r="F36544" s="2423"/>
    </row>
    <row r="36545" s="101" customFormat="1" spans="6:6">
      <c r="F36545" s="2423"/>
    </row>
    <row r="36546" s="101" customFormat="1" spans="6:6">
      <c r="F36546" s="2423"/>
    </row>
    <row r="36547" s="101" customFormat="1" spans="6:6">
      <c r="F36547" s="2423"/>
    </row>
    <row r="36548" s="101" customFormat="1" spans="6:6">
      <c r="F36548" s="2423"/>
    </row>
    <row r="36549" s="101" customFormat="1" spans="6:6">
      <c r="F36549" s="2423"/>
    </row>
    <row r="36550" s="101" customFormat="1" spans="6:6">
      <c r="F36550" s="2423"/>
    </row>
    <row r="36551" s="101" customFormat="1" spans="6:6">
      <c r="F36551" s="2423"/>
    </row>
    <row r="36552" s="101" customFormat="1" spans="6:6">
      <c r="F36552" s="2423"/>
    </row>
    <row r="36553" s="101" customFormat="1" spans="6:6">
      <c r="F36553" s="2423"/>
    </row>
    <row r="36554" s="101" customFormat="1" spans="6:6">
      <c r="F36554" s="2423"/>
    </row>
    <row r="36555" s="101" customFormat="1" spans="6:6">
      <c r="F36555" s="2423"/>
    </row>
    <row r="36556" s="101" customFormat="1" spans="6:6">
      <c r="F36556" s="2423"/>
    </row>
    <row r="36557" s="101" customFormat="1" spans="6:6">
      <c r="F36557" s="2423"/>
    </row>
    <row r="36558" s="101" customFormat="1" spans="6:6">
      <c r="F36558" s="2423"/>
    </row>
    <row r="36559" s="101" customFormat="1" spans="6:6">
      <c r="F36559" s="2423"/>
    </row>
    <row r="36560" s="101" customFormat="1" spans="6:6">
      <c r="F36560" s="2423"/>
    </row>
    <row r="36561" s="101" customFormat="1" spans="6:6">
      <c r="F36561" s="2423"/>
    </row>
    <row r="36562" s="101" customFormat="1" spans="6:6">
      <c r="F36562" s="2423"/>
    </row>
    <row r="36563" s="101" customFormat="1" spans="6:6">
      <c r="F36563" s="2423"/>
    </row>
    <row r="36564" s="101" customFormat="1" spans="6:6">
      <c r="F36564" s="2423"/>
    </row>
    <row r="36565" s="101" customFormat="1" spans="6:6">
      <c r="F36565" s="2423"/>
    </row>
    <row r="36566" s="101" customFormat="1" spans="6:6">
      <c r="F36566" s="2423"/>
    </row>
    <row r="36567" s="101" customFormat="1" spans="6:6">
      <c r="F36567" s="2423"/>
    </row>
    <row r="36568" s="101" customFormat="1" spans="6:6">
      <c r="F36568" s="2423"/>
    </row>
    <row r="36569" s="101" customFormat="1" spans="6:6">
      <c r="F36569" s="2423"/>
    </row>
    <row r="36570" s="101" customFormat="1" spans="6:6">
      <c r="F36570" s="2423"/>
    </row>
    <row r="36571" s="101" customFormat="1" spans="6:6">
      <c r="F36571" s="2423"/>
    </row>
    <row r="36572" s="101" customFormat="1" spans="6:6">
      <c r="F36572" s="2423"/>
    </row>
    <row r="36573" s="101" customFormat="1" spans="6:6">
      <c r="F36573" s="2423"/>
    </row>
    <row r="36574" s="101" customFormat="1" spans="6:6">
      <c r="F36574" s="2423"/>
    </row>
    <row r="36575" s="101" customFormat="1" spans="6:6">
      <c r="F36575" s="2423"/>
    </row>
    <row r="36576" s="101" customFormat="1" spans="6:6">
      <c r="F36576" s="2423"/>
    </row>
    <row r="36577" s="101" customFormat="1" spans="6:6">
      <c r="F36577" s="2423"/>
    </row>
    <row r="36578" s="101" customFormat="1" spans="6:6">
      <c r="F36578" s="2423"/>
    </row>
    <row r="36579" s="101" customFormat="1" spans="6:6">
      <c r="F36579" s="2423"/>
    </row>
    <row r="36580" s="101" customFormat="1" spans="6:6">
      <c r="F36580" s="2423"/>
    </row>
    <row r="36581" s="101" customFormat="1" spans="6:6">
      <c r="F36581" s="2423"/>
    </row>
    <row r="36582" s="101" customFormat="1" spans="6:6">
      <c r="F36582" s="2423"/>
    </row>
    <row r="36583" s="101" customFormat="1" spans="6:6">
      <c r="F36583" s="2423"/>
    </row>
    <row r="36584" s="101" customFormat="1" spans="6:6">
      <c r="F36584" s="2423"/>
    </row>
    <row r="36585" s="101" customFormat="1" spans="6:6">
      <c r="F36585" s="2423"/>
    </row>
    <row r="36586" s="101" customFormat="1" spans="6:6">
      <c r="F36586" s="2423"/>
    </row>
    <row r="36587" s="101" customFormat="1" spans="6:6">
      <c r="F36587" s="2423"/>
    </row>
    <row r="36588" s="101" customFormat="1" spans="6:6">
      <c r="F36588" s="2423"/>
    </row>
    <row r="36589" s="101" customFormat="1" spans="6:6">
      <c r="F36589" s="2423"/>
    </row>
    <row r="36590" s="101" customFormat="1" spans="6:6">
      <c r="F36590" s="2423"/>
    </row>
    <row r="36591" s="101" customFormat="1" spans="6:6">
      <c r="F36591" s="2423"/>
    </row>
    <row r="36592" s="101" customFormat="1" spans="6:6">
      <c r="F36592" s="2423"/>
    </row>
    <row r="36593" s="101" customFormat="1" spans="6:6">
      <c r="F36593" s="2423"/>
    </row>
    <row r="36594" s="101" customFormat="1" spans="6:6">
      <c r="F36594" s="2423"/>
    </row>
    <row r="36595" s="101" customFormat="1" spans="6:6">
      <c r="F36595" s="2423"/>
    </row>
    <row r="36596" s="101" customFormat="1" spans="6:6">
      <c r="F36596" s="2423"/>
    </row>
    <row r="36597" s="101" customFormat="1" spans="6:6">
      <c r="F36597" s="2423"/>
    </row>
    <row r="36598" s="101" customFormat="1" spans="6:6">
      <c r="F36598" s="2423"/>
    </row>
    <row r="36599" s="101" customFormat="1" spans="6:6">
      <c r="F36599" s="2423"/>
    </row>
    <row r="36600" s="101" customFormat="1" spans="6:6">
      <c r="F36600" s="2423"/>
    </row>
    <row r="36601" s="101" customFormat="1" spans="6:6">
      <c r="F36601" s="2423"/>
    </row>
    <row r="36602" s="101" customFormat="1" spans="6:6">
      <c r="F36602" s="2423"/>
    </row>
    <row r="36603" s="101" customFormat="1" spans="6:6">
      <c r="F36603" s="2423"/>
    </row>
    <row r="36604" s="101" customFormat="1" spans="6:6">
      <c r="F36604" s="2423"/>
    </row>
    <row r="36605" s="101" customFormat="1" spans="6:6">
      <c r="F36605" s="2423"/>
    </row>
    <row r="36606" s="101" customFormat="1" spans="6:6">
      <c r="F36606" s="2423"/>
    </row>
    <row r="36607" s="101" customFormat="1" spans="6:6">
      <c r="F36607" s="2423"/>
    </row>
    <row r="36608" s="101" customFormat="1" spans="6:6">
      <c r="F36608" s="2423"/>
    </row>
    <row r="36609" s="101" customFormat="1" spans="6:6">
      <c r="F36609" s="2423"/>
    </row>
    <row r="36610" s="101" customFormat="1" spans="6:6">
      <c r="F36610" s="2423"/>
    </row>
    <row r="36611" s="101" customFormat="1" spans="6:6">
      <c r="F36611" s="2423"/>
    </row>
    <row r="36612" s="101" customFormat="1" spans="6:6">
      <c r="F36612" s="2423"/>
    </row>
    <row r="36613" s="101" customFormat="1" spans="6:6">
      <c r="F36613" s="2423"/>
    </row>
    <row r="36614" s="101" customFormat="1" spans="6:6">
      <c r="F36614" s="2423"/>
    </row>
    <row r="36615" s="101" customFormat="1" spans="6:6">
      <c r="F36615" s="2423"/>
    </row>
    <row r="36616" s="101" customFormat="1" spans="6:6">
      <c r="F36616" s="2423"/>
    </row>
    <row r="36617" s="101" customFormat="1" spans="6:6">
      <c r="F36617" s="2423"/>
    </row>
    <row r="36618" s="101" customFormat="1" spans="6:6">
      <c r="F36618" s="2423"/>
    </row>
    <row r="36619" s="101" customFormat="1" spans="6:6">
      <c r="F36619" s="2423"/>
    </row>
    <row r="36620" s="101" customFormat="1" spans="6:6">
      <c r="F36620" s="2423"/>
    </row>
    <row r="36621" s="101" customFormat="1" spans="6:6">
      <c r="F36621" s="2423"/>
    </row>
    <row r="36622" s="101" customFormat="1" spans="6:6">
      <c r="F36622" s="2423"/>
    </row>
    <row r="36623" s="101" customFormat="1" spans="6:6">
      <c r="F36623" s="2423"/>
    </row>
    <row r="36624" s="101" customFormat="1" spans="6:6">
      <c r="F36624" s="2423"/>
    </row>
    <row r="36625" s="101" customFormat="1" spans="6:6">
      <c r="F36625" s="2423"/>
    </row>
    <row r="36626" s="101" customFormat="1" spans="6:6">
      <c r="F36626" s="2423"/>
    </row>
    <row r="36627" s="101" customFormat="1" spans="6:6">
      <c r="F36627" s="2423"/>
    </row>
    <row r="36628" s="101" customFormat="1" spans="6:6">
      <c r="F36628" s="2423"/>
    </row>
    <row r="36629" s="101" customFormat="1" spans="6:6">
      <c r="F36629" s="2423"/>
    </row>
    <row r="36630" s="101" customFormat="1" spans="6:6">
      <c r="F36630" s="2423"/>
    </row>
    <row r="36631" s="101" customFormat="1" spans="6:6">
      <c r="F36631" s="2423"/>
    </row>
    <row r="36632" s="101" customFormat="1" spans="6:6">
      <c r="F36632" s="2423"/>
    </row>
    <row r="36633" s="101" customFormat="1" spans="6:6">
      <c r="F36633" s="2423"/>
    </row>
    <row r="36634" s="101" customFormat="1" spans="6:6">
      <c r="F36634" s="2423"/>
    </row>
    <row r="36635" s="101" customFormat="1" spans="6:6">
      <c r="F36635" s="2423"/>
    </row>
    <row r="36636" s="101" customFormat="1" spans="6:6">
      <c r="F36636" s="2423"/>
    </row>
    <row r="36637" s="101" customFormat="1" spans="6:6">
      <c r="F36637" s="2423"/>
    </row>
    <row r="36638" s="101" customFormat="1" spans="6:6">
      <c r="F36638" s="2423"/>
    </row>
    <row r="36639" s="101" customFormat="1" spans="6:6">
      <c r="F36639" s="2423"/>
    </row>
    <row r="36640" s="101" customFormat="1" spans="6:6">
      <c r="F36640" s="2423"/>
    </row>
    <row r="36641" s="101" customFormat="1" spans="6:6">
      <c r="F36641" s="2423"/>
    </row>
    <row r="36642" s="101" customFormat="1" spans="6:6">
      <c r="F36642" s="2423"/>
    </row>
    <row r="36643" s="101" customFormat="1" spans="6:6">
      <c r="F36643" s="2423"/>
    </row>
    <row r="36644" s="101" customFormat="1" spans="6:6">
      <c r="F36644" s="2423"/>
    </row>
    <row r="36645" s="101" customFormat="1" spans="6:6">
      <c r="F36645" s="2423"/>
    </row>
    <row r="36646" s="101" customFormat="1" spans="6:6">
      <c r="F36646" s="2423"/>
    </row>
    <row r="36647" s="101" customFormat="1" spans="6:6">
      <c r="F36647" s="2423"/>
    </row>
    <row r="36648" s="101" customFormat="1" spans="6:6">
      <c r="F36648" s="2423"/>
    </row>
    <row r="36649" s="101" customFormat="1" spans="6:6">
      <c r="F36649" s="2423"/>
    </row>
    <row r="36650" s="101" customFormat="1" spans="6:6">
      <c r="F36650" s="2423"/>
    </row>
    <row r="36651" s="101" customFormat="1" spans="6:6">
      <c r="F36651" s="2423"/>
    </row>
    <row r="36652" s="101" customFormat="1" spans="6:6">
      <c r="F36652" s="2423"/>
    </row>
    <row r="36653" s="101" customFormat="1" spans="6:6">
      <c r="F36653" s="2423"/>
    </row>
    <row r="36654" s="101" customFormat="1" spans="6:6">
      <c r="F36654" s="2423"/>
    </row>
    <row r="36655" s="101" customFormat="1" spans="6:6">
      <c r="F36655" s="2423"/>
    </row>
    <row r="36656" s="101" customFormat="1" spans="6:6">
      <c r="F36656" s="2423"/>
    </row>
    <row r="36657" s="101" customFormat="1" spans="6:6">
      <c r="F36657" s="2423"/>
    </row>
    <row r="36658" s="101" customFormat="1" spans="6:6">
      <c r="F36658" s="2423"/>
    </row>
    <row r="36659" s="101" customFormat="1" spans="6:6">
      <c r="F36659" s="2423"/>
    </row>
    <row r="36660" s="101" customFormat="1" spans="6:6">
      <c r="F36660" s="2423"/>
    </row>
    <row r="36661" s="101" customFormat="1" spans="6:6">
      <c r="F36661" s="2423"/>
    </row>
    <row r="36662" s="101" customFormat="1" spans="6:6">
      <c r="F36662" s="2423"/>
    </row>
    <row r="36663" s="101" customFormat="1" spans="6:6">
      <c r="F36663" s="2423"/>
    </row>
    <row r="36664" s="101" customFormat="1" spans="6:6">
      <c r="F36664" s="2423"/>
    </row>
    <row r="36665" s="101" customFormat="1" spans="6:6">
      <c r="F36665" s="2423"/>
    </row>
    <row r="36666" s="101" customFormat="1" spans="6:6">
      <c r="F36666" s="2423"/>
    </row>
    <row r="36667" s="101" customFormat="1" spans="6:6">
      <c r="F36667" s="2423"/>
    </row>
    <row r="36668" s="101" customFormat="1" spans="6:6">
      <c r="F36668" s="2423"/>
    </row>
    <row r="36669" s="101" customFormat="1" spans="6:6">
      <c r="F36669" s="2423"/>
    </row>
    <row r="36670" s="101" customFormat="1" spans="6:6">
      <c r="F36670" s="2423"/>
    </row>
    <row r="36671" s="101" customFormat="1" spans="6:6">
      <c r="F36671" s="2423"/>
    </row>
    <row r="36672" s="101" customFormat="1" spans="6:6">
      <c r="F36672" s="2423"/>
    </row>
    <row r="36673" s="101" customFormat="1" spans="6:6">
      <c r="F36673" s="2423"/>
    </row>
    <row r="36674" s="101" customFormat="1" spans="6:6">
      <c r="F36674" s="2423"/>
    </row>
    <row r="36675" s="101" customFormat="1" spans="6:6">
      <c r="F36675" s="2423"/>
    </row>
    <row r="36676" s="101" customFormat="1" spans="6:6">
      <c r="F36676" s="2423"/>
    </row>
    <row r="36677" s="101" customFormat="1" spans="6:6">
      <c r="F36677" s="2423"/>
    </row>
    <row r="36678" s="101" customFormat="1" spans="6:6">
      <c r="F36678" s="2423"/>
    </row>
    <row r="36679" s="101" customFormat="1" spans="6:6">
      <c r="F36679" s="2423"/>
    </row>
    <row r="36680" s="101" customFormat="1" spans="6:6">
      <c r="F36680" s="2423"/>
    </row>
    <row r="36681" s="101" customFormat="1" spans="6:6">
      <c r="F36681" s="2423"/>
    </row>
    <row r="36682" s="101" customFormat="1" spans="6:6">
      <c r="F36682" s="2423"/>
    </row>
    <row r="36683" s="101" customFormat="1" spans="6:6">
      <c r="F36683" s="2423"/>
    </row>
    <row r="36684" s="101" customFormat="1" spans="6:6">
      <c r="F36684" s="2423"/>
    </row>
    <row r="36685" s="101" customFormat="1" spans="6:6">
      <c r="F36685" s="2423"/>
    </row>
    <row r="36686" s="101" customFormat="1" spans="6:6">
      <c r="F36686" s="2423"/>
    </row>
    <row r="36687" s="101" customFormat="1" spans="6:6">
      <c r="F36687" s="2423"/>
    </row>
    <row r="36688" s="101" customFormat="1" spans="6:6">
      <c r="F36688" s="2423"/>
    </row>
    <row r="36689" s="101" customFormat="1" spans="6:6">
      <c r="F36689" s="2423"/>
    </row>
    <row r="36690" s="101" customFormat="1" spans="6:6">
      <c r="F36690" s="2423"/>
    </row>
    <row r="36691" s="101" customFormat="1" spans="6:6">
      <c r="F36691" s="2423"/>
    </row>
    <row r="36692" s="101" customFormat="1" spans="6:6">
      <c r="F36692" s="2423"/>
    </row>
    <row r="36693" s="101" customFormat="1" spans="6:6">
      <c r="F36693" s="2423"/>
    </row>
    <row r="36694" s="101" customFormat="1" spans="6:6">
      <c r="F36694" s="2423"/>
    </row>
    <row r="36695" s="101" customFormat="1" spans="6:6">
      <c r="F36695" s="2423"/>
    </row>
    <row r="36696" s="101" customFormat="1" spans="6:6">
      <c r="F36696" s="2423"/>
    </row>
    <row r="36697" s="101" customFormat="1" spans="6:6">
      <c r="F36697" s="2423"/>
    </row>
    <row r="36698" s="101" customFormat="1" spans="6:6">
      <c r="F36698" s="2423"/>
    </row>
    <row r="36699" s="101" customFormat="1" spans="6:6">
      <c r="F36699" s="2423"/>
    </row>
    <row r="36700" s="101" customFormat="1" spans="6:6">
      <c r="F36700" s="2423"/>
    </row>
    <row r="36701" s="101" customFormat="1" spans="6:6">
      <c r="F36701" s="2423"/>
    </row>
    <row r="36702" s="101" customFormat="1" spans="6:6">
      <c r="F36702" s="2423"/>
    </row>
    <row r="36703" s="101" customFormat="1" spans="6:6">
      <c r="F36703" s="2423"/>
    </row>
    <row r="36704" s="101" customFormat="1" spans="6:6">
      <c r="F36704" s="2423"/>
    </row>
    <row r="36705" s="101" customFormat="1" spans="6:6">
      <c r="F36705" s="2423"/>
    </row>
    <row r="36706" s="101" customFormat="1" spans="6:6">
      <c r="F36706" s="2423"/>
    </row>
    <row r="36707" s="101" customFormat="1" spans="6:6">
      <c r="F36707" s="2423"/>
    </row>
    <row r="36708" s="101" customFormat="1" spans="6:6">
      <c r="F36708" s="2423"/>
    </row>
    <row r="36709" s="101" customFormat="1" spans="6:6">
      <c r="F36709" s="2423"/>
    </row>
    <row r="36710" s="101" customFormat="1" spans="6:6">
      <c r="F36710" s="2423"/>
    </row>
    <row r="36711" s="101" customFormat="1" spans="6:6">
      <c r="F36711" s="2423"/>
    </row>
    <row r="36712" s="101" customFormat="1" spans="6:6">
      <c r="F36712" s="2423"/>
    </row>
    <row r="36713" s="101" customFormat="1" spans="6:6">
      <c r="F36713" s="2423"/>
    </row>
    <row r="36714" s="101" customFormat="1" spans="6:6">
      <c r="F36714" s="2423"/>
    </row>
    <row r="36715" s="101" customFormat="1" spans="6:6">
      <c r="F36715" s="2423"/>
    </row>
    <row r="36716" s="101" customFormat="1" spans="6:6">
      <c r="F36716" s="2423"/>
    </row>
    <row r="36717" s="101" customFormat="1" spans="6:6">
      <c r="F36717" s="2423"/>
    </row>
    <row r="36718" s="101" customFormat="1" spans="6:6">
      <c r="F36718" s="2423"/>
    </row>
    <row r="36719" s="101" customFormat="1" spans="6:6">
      <c r="F36719" s="2423"/>
    </row>
    <row r="36720" s="101" customFormat="1" spans="6:6">
      <c r="F36720" s="2423"/>
    </row>
    <row r="36721" s="101" customFormat="1" spans="6:6">
      <c r="F36721" s="2423"/>
    </row>
    <row r="36722" s="101" customFormat="1" spans="6:6">
      <c r="F36722" s="2423"/>
    </row>
    <row r="36723" s="101" customFormat="1" spans="6:6">
      <c r="F36723" s="2423"/>
    </row>
    <row r="36724" s="101" customFormat="1" spans="6:6">
      <c r="F36724" s="2423"/>
    </row>
    <row r="36725" s="101" customFormat="1" spans="6:6">
      <c r="F36725" s="2423"/>
    </row>
    <row r="36726" s="101" customFormat="1" spans="6:6">
      <c r="F36726" s="2423"/>
    </row>
    <row r="36727" s="101" customFormat="1" spans="6:6">
      <c r="F36727" s="2423"/>
    </row>
    <row r="36728" s="101" customFormat="1" spans="6:6">
      <c r="F36728" s="2423"/>
    </row>
    <row r="36729" s="101" customFormat="1" spans="6:6">
      <c r="F36729" s="2423"/>
    </row>
    <row r="36730" s="101" customFormat="1" spans="6:6">
      <c r="F36730" s="2423"/>
    </row>
    <row r="36731" s="101" customFormat="1" spans="6:6">
      <c r="F36731" s="2423"/>
    </row>
    <row r="36732" s="101" customFormat="1" spans="6:6">
      <c r="F36732" s="2423"/>
    </row>
    <row r="36733" s="101" customFormat="1" spans="6:6">
      <c r="F36733" s="2423"/>
    </row>
    <row r="36734" s="101" customFormat="1" spans="6:6">
      <c r="F36734" s="2423"/>
    </row>
    <row r="36735" s="101" customFormat="1" spans="6:6">
      <c r="F36735" s="2423"/>
    </row>
    <row r="36736" s="101" customFormat="1" spans="6:6">
      <c r="F36736" s="2423"/>
    </row>
    <row r="36737" s="101" customFormat="1" spans="6:6">
      <c r="F36737" s="2423"/>
    </row>
    <row r="36738" s="101" customFormat="1" spans="6:6">
      <c r="F36738" s="2423"/>
    </row>
    <row r="36739" s="101" customFormat="1" spans="6:6">
      <c r="F36739" s="2423"/>
    </row>
    <row r="36740" s="101" customFormat="1" spans="6:6">
      <c r="F36740" s="2423"/>
    </row>
    <row r="36741" s="101" customFormat="1" spans="6:6">
      <c r="F36741" s="2423"/>
    </row>
    <row r="36742" s="101" customFormat="1" spans="6:6">
      <c r="F36742" s="2423"/>
    </row>
    <row r="36743" s="101" customFormat="1" spans="6:6">
      <c r="F36743" s="2423"/>
    </row>
    <row r="36744" s="101" customFormat="1" spans="6:6">
      <c r="F36744" s="2423"/>
    </row>
    <row r="36745" s="101" customFormat="1" spans="6:6">
      <c r="F36745" s="2423"/>
    </row>
    <row r="36746" s="101" customFormat="1" spans="6:6">
      <c r="F36746" s="2423"/>
    </row>
    <row r="36747" s="101" customFormat="1" spans="6:6">
      <c r="F36747" s="2423"/>
    </row>
    <row r="36748" s="101" customFormat="1" spans="6:6">
      <c r="F36748" s="2423"/>
    </row>
    <row r="36749" s="101" customFormat="1" spans="6:6">
      <c r="F36749" s="2423"/>
    </row>
    <row r="36750" s="101" customFormat="1" spans="6:6">
      <c r="F36750" s="2423"/>
    </row>
    <row r="36751" s="101" customFormat="1" spans="6:6">
      <c r="F36751" s="2423"/>
    </row>
    <row r="36752" s="101" customFormat="1" spans="6:6">
      <c r="F36752" s="2423"/>
    </row>
    <row r="36753" s="101" customFormat="1" spans="6:6">
      <c r="F36753" s="2423"/>
    </row>
    <row r="36754" s="101" customFormat="1" spans="6:6">
      <c r="F36754" s="2423"/>
    </row>
    <row r="36755" s="101" customFormat="1" spans="6:6">
      <c r="F36755" s="2423"/>
    </row>
    <row r="36756" s="101" customFormat="1" spans="6:6">
      <c r="F36756" s="2423"/>
    </row>
    <row r="36757" s="101" customFormat="1" spans="6:6">
      <c r="F36757" s="2423"/>
    </row>
    <row r="36758" s="101" customFormat="1" spans="6:6">
      <c r="F36758" s="2423"/>
    </row>
    <row r="36759" s="101" customFormat="1" spans="6:6">
      <c r="F36759" s="2423"/>
    </row>
    <row r="36760" s="101" customFormat="1" spans="6:6">
      <c r="F36760" s="2423"/>
    </row>
    <row r="36761" s="101" customFormat="1" spans="6:6">
      <c r="F36761" s="2423"/>
    </row>
    <row r="36762" s="101" customFormat="1" spans="6:6">
      <c r="F36762" s="2423"/>
    </row>
    <row r="36763" s="101" customFormat="1" spans="6:6">
      <c r="F36763" s="2423"/>
    </row>
    <row r="36764" s="101" customFormat="1" spans="6:6">
      <c r="F36764" s="2423"/>
    </row>
    <row r="36765" s="101" customFormat="1" spans="6:6">
      <c r="F36765" s="2423"/>
    </row>
    <row r="36766" s="101" customFormat="1" spans="6:6">
      <c r="F36766" s="2423"/>
    </row>
    <row r="36767" s="101" customFormat="1" spans="6:6">
      <c r="F36767" s="2423"/>
    </row>
    <row r="36768" s="101" customFormat="1" spans="6:6">
      <c r="F36768" s="2423"/>
    </row>
    <row r="36769" s="101" customFormat="1" spans="6:6">
      <c r="F36769" s="2423"/>
    </row>
    <row r="36770" s="101" customFormat="1" spans="6:6">
      <c r="F36770" s="2423"/>
    </row>
    <row r="36771" s="101" customFormat="1" spans="6:6">
      <c r="F36771" s="2423"/>
    </row>
    <row r="36772" s="101" customFormat="1" spans="6:6">
      <c r="F36772" s="2423"/>
    </row>
    <row r="36773" s="101" customFormat="1" spans="6:6">
      <c r="F36773" s="2423"/>
    </row>
    <row r="36774" s="101" customFormat="1" spans="6:6">
      <c r="F36774" s="2423"/>
    </row>
    <row r="36775" s="101" customFormat="1" spans="6:6">
      <c r="F36775" s="2423"/>
    </row>
    <row r="36776" s="101" customFormat="1" spans="6:6">
      <c r="F36776" s="2423"/>
    </row>
    <row r="36777" s="101" customFormat="1" spans="6:6">
      <c r="F36777" s="2423"/>
    </row>
    <row r="36778" s="101" customFormat="1" spans="6:6">
      <c r="F36778" s="2423"/>
    </row>
    <row r="36779" s="101" customFormat="1" spans="6:6">
      <c r="F36779" s="2423"/>
    </row>
    <row r="36780" s="101" customFormat="1" spans="6:6">
      <c r="F36780" s="2423"/>
    </row>
    <row r="36781" s="101" customFormat="1" spans="6:6">
      <c r="F36781" s="2423"/>
    </row>
    <row r="36782" s="101" customFormat="1" spans="6:6">
      <c r="F36782" s="2423"/>
    </row>
    <row r="36783" s="101" customFormat="1" spans="6:6">
      <c r="F36783" s="2423"/>
    </row>
    <row r="36784" s="101" customFormat="1" spans="6:6">
      <c r="F36784" s="2423"/>
    </row>
    <row r="36785" s="101" customFormat="1" spans="6:6">
      <c r="F36785" s="2423"/>
    </row>
    <row r="36786" s="101" customFormat="1" spans="6:6">
      <c r="F36786" s="2423"/>
    </row>
    <row r="36787" s="101" customFormat="1" spans="6:6">
      <c r="F36787" s="2423"/>
    </row>
    <row r="36788" s="101" customFormat="1" spans="6:6">
      <c r="F36788" s="2423"/>
    </row>
    <row r="36789" s="101" customFormat="1" spans="6:6">
      <c r="F36789" s="2423"/>
    </row>
    <row r="36790" s="101" customFormat="1" spans="6:6">
      <c r="F36790" s="2423"/>
    </row>
    <row r="36791" s="101" customFormat="1" spans="6:6">
      <c r="F36791" s="2423"/>
    </row>
    <row r="36792" s="101" customFormat="1" spans="6:6">
      <c r="F36792" s="2423"/>
    </row>
    <row r="36793" s="101" customFormat="1" spans="6:6">
      <c r="F36793" s="2423"/>
    </row>
    <row r="36794" s="101" customFormat="1" spans="6:6">
      <c r="F36794" s="2423"/>
    </row>
    <row r="36795" s="101" customFormat="1" spans="6:6">
      <c r="F36795" s="2423"/>
    </row>
    <row r="36796" s="101" customFormat="1" spans="6:6">
      <c r="F36796" s="2423"/>
    </row>
    <row r="36797" s="101" customFormat="1" spans="6:6">
      <c r="F36797" s="2423"/>
    </row>
    <row r="36798" s="101" customFormat="1" spans="6:6">
      <c r="F36798" s="2423"/>
    </row>
    <row r="36799" s="101" customFormat="1" spans="6:6">
      <c r="F36799" s="2423"/>
    </row>
    <row r="36800" s="101" customFormat="1" spans="6:6">
      <c r="F36800" s="2423"/>
    </row>
    <row r="36801" s="101" customFormat="1" spans="6:6">
      <c r="F36801" s="2423"/>
    </row>
    <row r="36802" s="101" customFormat="1" spans="6:6">
      <c r="F36802" s="2423"/>
    </row>
    <row r="36803" s="101" customFormat="1" spans="6:6">
      <c r="F36803" s="2423"/>
    </row>
    <row r="36804" s="101" customFormat="1" spans="6:6">
      <c r="F36804" s="2423"/>
    </row>
    <row r="36805" s="101" customFormat="1" spans="6:6">
      <c r="F36805" s="2423"/>
    </row>
    <row r="36806" s="101" customFormat="1" spans="6:6">
      <c r="F36806" s="2423"/>
    </row>
    <row r="36807" s="101" customFormat="1" spans="6:6">
      <c r="F36807" s="2423"/>
    </row>
    <row r="36808" s="101" customFormat="1" spans="6:6">
      <c r="F36808" s="2423"/>
    </row>
    <row r="36809" s="101" customFormat="1" spans="6:6">
      <c r="F36809" s="2423"/>
    </row>
    <row r="36810" s="101" customFormat="1" spans="6:6">
      <c r="F36810" s="2423"/>
    </row>
    <row r="36811" s="101" customFormat="1" spans="6:6">
      <c r="F36811" s="2423"/>
    </row>
    <row r="36812" s="101" customFormat="1" spans="6:6">
      <c r="F36812" s="2423"/>
    </row>
    <row r="36813" s="101" customFormat="1" spans="6:6">
      <c r="F36813" s="2423"/>
    </row>
    <row r="36814" s="101" customFormat="1" spans="6:6">
      <c r="F36814" s="2423"/>
    </row>
    <row r="36815" s="101" customFormat="1" spans="6:6">
      <c r="F36815" s="2423"/>
    </row>
    <row r="36816" s="101" customFormat="1" spans="6:6">
      <c r="F36816" s="2423"/>
    </row>
    <row r="36817" s="101" customFormat="1" spans="6:6">
      <c r="F36817" s="2423"/>
    </row>
    <row r="36818" s="101" customFormat="1" spans="6:6">
      <c r="F36818" s="2423"/>
    </row>
    <row r="36819" s="101" customFormat="1" spans="6:6">
      <c r="F36819" s="2423"/>
    </row>
    <row r="36820" s="101" customFormat="1" spans="6:6">
      <c r="F36820" s="2423"/>
    </row>
    <row r="36821" s="101" customFormat="1" spans="6:6">
      <c r="F36821" s="2423"/>
    </row>
    <row r="36822" s="101" customFormat="1" spans="6:6">
      <c r="F36822" s="2423"/>
    </row>
    <row r="36823" s="101" customFormat="1" spans="6:6">
      <c r="F36823" s="2423"/>
    </row>
    <row r="36824" s="101" customFormat="1" spans="6:6">
      <c r="F36824" s="2423"/>
    </row>
    <row r="36825" s="101" customFormat="1" spans="6:6">
      <c r="F36825" s="2423"/>
    </row>
    <row r="36826" s="101" customFormat="1" spans="6:6">
      <c r="F36826" s="2423"/>
    </row>
    <row r="36827" s="101" customFormat="1" spans="6:6">
      <c r="F36827" s="2423"/>
    </row>
    <row r="36828" s="101" customFormat="1" spans="6:6">
      <c r="F36828" s="2423"/>
    </row>
    <row r="36829" s="101" customFormat="1" spans="6:6">
      <c r="F36829" s="2423"/>
    </row>
    <row r="36830" s="101" customFormat="1" spans="6:6">
      <c r="F36830" s="2423"/>
    </row>
    <row r="36831" s="101" customFormat="1" spans="6:6">
      <c r="F36831" s="2423"/>
    </row>
    <row r="36832" s="101" customFormat="1" spans="6:6">
      <c r="F36832" s="2423"/>
    </row>
    <row r="36833" s="101" customFormat="1" spans="6:6">
      <c r="F36833" s="2423"/>
    </row>
    <row r="36834" s="101" customFormat="1" spans="6:6">
      <c r="F36834" s="2423"/>
    </row>
    <row r="36835" s="101" customFormat="1" spans="6:6">
      <c r="F36835" s="2423"/>
    </row>
    <row r="36836" s="101" customFormat="1" spans="6:6">
      <c r="F36836" s="2423"/>
    </row>
    <row r="36837" s="101" customFormat="1" spans="6:6">
      <c r="F36837" s="2423"/>
    </row>
    <row r="36838" s="101" customFormat="1" spans="6:6">
      <c r="F36838" s="2423"/>
    </row>
    <row r="36839" s="101" customFormat="1" spans="6:6">
      <c r="F36839" s="2423"/>
    </row>
    <row r="36840" s="101" customFormat="1" spans="6:6">
      <c r="F36840" s="2423"/>
    </row>
    <row r="36841" s="101" customFormat="1" spans="6:6">
      <c r="F36841" s="2423"/>
    </row>
    <row r="36842" s="101" customFormat="1" spans="6:6">
      <c r="F36842" s="2423"/>
    </row>
    <row r="36843" s="101" customFormat="1" spans="6:6">
      <c r="F36843" s="2423"/>
    </row>
    <row r="36844" s="101" customFormat="1" spans="6:6">
      <c r="F36844" s="2423"/>
    </row>
    <row r="36845" s="101" customFormat="1" spans="6:6">
      <c r="F36845" s="2423"/>
    </row>
    <row r="36846" s="101" customFormat="1" spans="6:6">
      <c r="F36846" s="2423"/>
    </row>
    <row r="36847" s="101" customFormat="1" spans="6:6">
      <c r="F36847" s="2423"/>
    </row>
    <row r="36848" s="101" customFormat="1" spans="6:6">
      <c r="F36848" s="2423"/>
    </row>
    <row r="36849" s="101" customFormat="1" spans="6:6">
      <c r="F36849" s="2423"/>
    </row>
    <row r="36850" s="101" customFormat="1" spans="6:6">
      <c r="F36850" s="2423"/>
    </row>
    <row r="36851" s="101" customFormat="1" spans="6:6">
      <c r="F36851" s="2423"/>
    </row>
    <row r="36852" s="101" customFormat="1" spans="6:6">
      <c r="F36852" s="2423"/>
    </row>
    <row r="36853" s="101" customFormat="1" spans="6:6">
      <c r="F36853" s="2423"/>
    </row>
    <row r="36854" s="101" customFormat="1" spans="6:6">
      <c r="F36854" s="2423"/>
    </row>
    <row r="36855" s="101" customFormat="1" spans="6:6">
      <c r="F36855" s="2423"/>
    </row>
    <row r="36856" s="101" customFormat="1" spans="6:6">
      <c r="F36856" s="2423"/>
    </row>
    <row r="36857" s="101" customFormat="1" spans="6:6">
      <c r="F36857" s="2423"/>
    </row>
    <row r="36858" s="101" customFormat="1" spans="6:6">
      <c r="F36858" s="2423"/>
    </row>
    <row r="36859" s="101" customFormat="1" spans="6:6">
      <c r="F36859" s="2423"/>
    </row>
    <row r="36860" s="101" customFormat="1" spans="6:6">
      <c r="F36860" s="2423"/>
    </row>
    <row r="36861" s="101" customFormat="1" spans="6:6">
      <c r="F36861" s="2423"/>
    </row>
    <row r="36862" s="101" customFormat="1" spans="6:6">
      <c r="F36862" s="2423"/>
    </row>
    <row r="36863" s="101" customFormat="1" spans="6:6">
      <c r="F36863" s="2423"/>
    </row>
    <row r="36864" s="101" customFormat="1" spans="6:6">
      <c r="F36864" s="2423"/>
    </row>
    <row r="36865" s="101" customFormat="1" spans="6:6">
      <c r="F36865" s="2423"/>
    </row>
    <row r="36866" s="101" customFormat="1" spans="6:6">
      <c r="F36866" s="2423"/>
    </row>
    <row r="36867" s="101" customFormat="1" spans="6:6">
      <c r="F36867" s="2423"/>
    </row>
    <row r="36868" s="101" customFormat="1" spans="6:6">
      <c r="F36868" s="2423"/>
    </row>
    <row r="36869" s="101" customFormat="1" spans="6:6">
      <c r="F36869" s="2423"/>
    </row>
    <row r="36870" s="101" customFormat="1" spans="6:6">
      <c r="F36870" s="2423"/>
    </row>
    <row r="36871" s="101" customFormat="1" spans="6:6">
      <c r="F36871" s="2423"/>
    </row>
    <row r="36872" s="101" customFormat="1" spans="6:6">
      <c r="F36872" s="2423"/>
    </row>
    <row r="36873" s="101" customFormat="1" spans="6:6">
      <c r="F36873" s="2423"/>
    </row>
    <row r="36874" s="101" customFormat="1" spans="6:6">
      <c r="F36874" s="2423"/>
    </row>
    <row r="36875" s="101" customFormat="1" spans="6:6">
      <c r="F36875" s="2423"/>
    </row>
    <row r="36876" s="101" customFormat="1" spans="6:6">
      <c r="F36876" s="2423"/>
    </row>
    <row r="36877" s="101" customFormat="1" spans="6:6">
      <c r="F36877" s="2423"/>
    </row>
    <row r="36878" s="101" customFormat="1" spans="6:6">
      <c r="F36878" s="2423"/>
    </row>
    <row r="36879" s="101" customFormat="1" spans="6:6">
      <c r="F36879" s="2423"/>
    </row>
    <row r="36880" s="101" customFormat="1" spans="6:6">
      <c r="F36880" s="2423"/>
    </row>
    <row r="36881" s="101" customFormat="1" spans="6:6">
      <c r="F36881" s="2423"/>
    </row>
    <row r="36882" s="101" customFormat="1" spans="6:6">
      <c r="F36882" s="2423"/>
    </row>
    <row r="36883" s="101" customFormat="1" spans="6:6">
      <c r="F36883" s="2423"/>
    </row>
    <row r="36884" s="101" customFormat="1" spans="6:6">
      <c r="F36884" s="2423"/>
    </row>
    <row r="36885" s="101" customFormat="1" spans="6:6">
      <c r="F36885" s="2423"/>
    </row>
    <row r="36886" s="101" customFormat="1" spans="6:6">
      <c r="F36886" s="2423"/>
    </row>
    <row r="36887" s="101" customFormat="1" spans="6:6">
      <c r="F36887" s="2423"/>
    </row>
    <row r="36888" s="101" customFormat="1" spans="6:6">
      <c r="F36888" s="2423"/>
    </row>
    <row r="36889" s="101" customFormat="1" spans="6:6">
      <c r="F36889" s="2423"/>
    </row>
    <row r="36890" s="101" customFormat="1" spans="6:6">
      <c r="F36890" s="2423"/>
    </row>
    <row r="36891" s="101" customFormat="1" spans="6:6">
      <c r="F36891" s="2423"/>
    </row>
    <row r="36892" s="101" customFormat="1" spans="6:6">
      <c r="F36892" s="2423"/>
    </row>
    <row r="36893" s="101" customFormat="1" spans="6:6">
      <c r="F36893" s="2423"/>
    </row>
    <row r="36894" s="101" customFormat="1" spans="6:6">
      <c r="F36894" s="2423"/>
    </row>
    <row r="36895" s="101" customFormat="1" spans="6:6">
      <c r="F36895" s="2423"/>
    </row>
    <row r="36896" s="101" customFormat="1" spans="6:6">
      <c r="F36896" s="2423"/>
    </row>
    <row r="36897" s="101" customFormat="1" spans="6:6">
      <c r="F36897" s="2423"/>
    </row>
    <row r="36898" s="101" customFormat="1" spans="6:6">
      <c r="F36898" s="2423"/>
    </row>
    <row r="36899" s="101" customFormat="1" spans="6:6">
      <c r="F36899" s="2423"/>
    </row>
    <row r="36900" s="101" customFormat="1" spans="6:6">
      <c r="F36900" s="2423"/>
    </row>
    <row r="36901" s="101" customFormat="1" spans="6:6">
      <c r="F36901" s="2423"/>
    </row>
    <row r="36902" s="101" customFormat="1" spans="6:6">
      <c r="F36902" s="2423"/>
    </row>
    <row r="36903" s="101" customFormat="1" spans="6:6">
      <c r="F36903" s="2423"/>
    </row>
    <row r="36904" s="101" customFormat="1" spans="6:6">
      <c r="F36904" s="2423"/>
    </row>
    <row r="36905" s="101" customFormat="1" spans="6:6">
      <c r="F36905" s="2423"/>
    </row>
    <row r="36906" s="101" customFormat="1" spans="6:6">
      <c r="F36906" s="2423"/>
    </row>
    <row r="36907" s="101" customFormat="1" spans="6:6">
      <c r="F36907" s="2423"/>
    </row>
    <row r="36908" s="101" customFormat="1" spans="6:6">
      <c r="F36908" s="2423"/>
    </row>
    <row r="36909" s="101" customFormat="1" spans="6:6">
      <c r="F36909" s="2423"/>
    </row>
    <row r="36910" s="101" customFormat="1" spans="6:6">
      <c r="F36910" s="2423"/>
    </row>
    <row r="36911" s="101" customFormat="1" spans="6:6">
      <c r="F36911" s="2423"/>
    </row>
    <row r="36912" s="101" customFormat="1" spans="6:6">
      <c r="F36912" s="2423"/>
    </row>
    <row r="36913" s="101" customFormat="1" spans="6:6">
      <c r="F36913" s="2423"/>
    </row>
    <row r="36914" s="101" customFormat="1" spans="6:6">
      <c r="F36914" s="2423"/>
    </row>
    <row r="36915" s="101" customFormat="1" spans="6:6">
      <c r="F36915" s="2423"/>
    </row>
    <row r="36916" s="101" customFormat="1" spans="6:6">
      <c r="F36916" s="2423"/>
    </row>
    <row r="36917" s="101" customFormat="1" spans="6:6">
      <c r="F36917" s="2423"/>
    </row>
    <row r="36918" s="101" customFormat="1" spans="6:6">
      <c r="F36918" s="2423"/>
    </row>
    <row r="36919" s="101" customFormat="1" spans="6:6">
      <c r="F36919" s="2423"/>
    </row>
    <row r="36920" s="101" customFormat="1" spans="6:6">
      <c r="F36920" s="2423"/>
    </row>
    <row r="36921" s="101" customFormat="1" spans="6:6">
      <c r="F36921" s="2423"/>
    </row>
    <row r="36922" s="101" customFormat="1" spans="6:6">
      <c r="F36922" s="2423"/>
    </row>
    <row r="36923" s="101" customFormat="1" spans="6:6">
      <c r="F36923" s="2423"/>
    </row>
    <row r="36924" s="101" customFormat="1" spans="6:6">
      <c r="F36924" s="2423"/>
    </row>
    <row r="36925" s="101" customFormat="1" spans="6:6">
      <c r="F36925" s="2423"/>
    </row>
    <row r="36926" s="101" customFormat="1" spans="6:6">
      <c r="F36926" s="2423"/>
    </row>
    <row r="36927" s="101" customFormat="1" spans="6:6">
      <c r="F36927" s="2423"/>
    </row>
    <row r="36928" s="101" customFormat="1" spans="6:6">
      <c r="F36928" s="2423"/>
    </row>
    <row r="36929" s="101" customFormat="1" spans="6:6">
      <c r="F36929" s="2423"/>
    </row>
    <row r="36930" s="101" customFormat="1" spans="6:6">
      <c r="F36930" s="2423"/>
    </row>
    <row r="36931" s="101" customFormat="1" spans="6:6">
      <c r="F36931" s="2423"/>
    </row>
    <row r="36932" s="101" customFormat="1" spans="6:6">
      <c r="F36932" s="2423"/>
    </row>
    <row r="36933" s="101" customFormat="1" spans="6:6">
      <c r="F36933" s="2423"/>
    </row>
    <row r="36934" s="101" customFormat="1" spans="6:6">
      <c r="F36934" s="2423"/>
    </row>
    <row r="36935" s="101" customFormat="1" spans="6:6">
      <c r="F36935" s="2423"/>
    </row>
    <row r="36936" s="101" customFormat="1" spans="6:6">
      <c r="F36936" s="2423"/>
    </row>
    <row r="36937" s="101" customFormat="1" spans="6:6">
      <c r="F36937" s="2423"/>
    </row>
    <row r="36938" s="101" customFormat="1" spans="6:6">
      <c r="F36938" s="2423"/>
    </row>
    <row r="36939" s="101" customFormat="1" spans="6:6">
      <c r="F36939" s="2423"/>
    </row>
    <row r="36940" s="101" customFormat="1" spans="6:6">
      <c r="F36940" s="2423"/>
    </row>
    <row r="36941" s="101" customFormat="1" spans="6:6">
      <c r="F36941" s="2423"/>
    </row>
    <row r="36942" s="101" customFormat="1" spans="6:6">
      <c r="F36942" s="2423"/>
    </row>
    <row r="36943" s="101" customFormat="1" spans="6:6">
      <c r="F36943" s="2423"/>
    </row>
    <row r="36944" s="101" customFormat="1" spans="6:6">
      <c r="F36944" s="2423"/>
    </row>
    <row r="36945" s="101" customFormat="1" spans="6:6">
      <c r="F36945" s="2423"/>
    </row>
    <row r="36946" s="101" customFormat="1" spans="6:6">
      <c r="F36946" s="2423"/>
    </row>
    <row r="36947" s="101" customFormat="1" spans="6:6">
      <c r="F36947" s="2423"/>
    </row>
    <row r="36948" s="101" customFormat="1" spans="6:6">
      <c r="F36948" s="2423"/>
    </row>
    <row r="36949" s="101" customFormat="1" spans="6:6">
      <c r="F36949" s="2423"/>
    </row>
    <row r="36950" s="101" customFormat="1" spans="6:6">
      <c r="F36950" s="2423"/>
    </row>
    <row r="36951" s="101" customFormat="1" spans="6:6">
      <c r="F36951" s="2423"/>
    </row>
    <row r="36952" s="101" customFormat="1" spans="6:6">
      <c r="F36952" s="2423"/>
    </row>
    <row r="36953" s="101" customFormat="1" spans="6:6">
      <c r="F36953" s="2423"/>
    </row>
    <row r="36954" s="101" customFormat="1" spans="6:6">
      <c r="F36954" s="2423"/>
    </row>
    <row r="36955" s="101" customFormat="1" spans="6:6">
      <c r="F36955" s="2423"/>
    </row>
    <row r="36956" s="101" customFormat="1" spans="6:6">
      <c r="F36956" s="2423"/>
    </row>
    <row r="36957" s="101" customFormat="1" spans="6:6">
      <c r="F36957" s="2423"/>
    </row>
    <row r="36958" s="101" customFormat="1" spans="6:6">
      <c r="F36958" s="2423"/>
    </row>
    <row r="36959" s="101" customFormat="1" spans="6:6">
      <c r="F36959" s="2423"/>
    </row>
    <row r="36960" s="101" customFormat="1" spans="6:6">
      <c r="F36960" s="2423"/>
    </row>
    <row r="36961" s="101" customFormat="1" spans="6:6">
      <c r="F36961" s="2423"/>
    </row>
    <row r="36962" s="101" customFormat="1" spans="6:6">
      <c r="F36962" s="2423"/>
    </row>
    <row r="36963" s="101" customFormat="1" spans="6:6">
      <c r="F36963" s="2423"/>
    </row>
    <row r="36964" s="101" customFormat="1" spans="6:6">
      <c r="F36964" s="2423"/>
    </row>
    <row r="36965" s="101" customFormat="1" spans="6:6">
      <c r="F36965" s="2423"/>
    </row>
    <row r="36966" s="101" customFormat="1" spans="6:6">
      <c r="F36966" s="2423"/>
    </row>
    <row r="36967" s="101" customFormat="1" spans="6:6">
      <c r="F36967" s="2423"/>
    </row>
    <row r="36968" s="101" customFormat="1" spans="6:6">
      <c r="F36968" s="2423"/>
    </row>
    <row r="36969" s="101" customFormat="1" spans="6:6">
      <c r="F36969" s="2423"/>
    </row>
    <row r="36970" s="101" customFormat="1" spans="6:6">
      <c r="F36970" s="2423"/>
    </row>
    <row r="36971" s="101" customFormat="1" spans="6:6">
      <c r="F36971" s="2423"/>
    </row>
    <row r="36972" s="101" customFormat="1" spans="6:6">
      <c r="F36972" s="2423"/>
    </row>
    <row r="36973" s="101" customFormat="1" spans="6:6">
      <c r="F36973" s="2423"/>
    </row>
    <row r="36974" s="101" customFormat="1" spans="6:6">
      <c r="F36974" s="2423"/>
    </row>
    <row r="36975" s="101" customFormat="1" spans="6:6">
      <c r="F36975" s="2423"/>
    </row>
    <row r="36976" s="101" customFormat="1" spans="6:6">
      <c r="F36976" s="2423"/>
    </row>
    <row r="36977" s="101" customFormat="1" spans="6:6">
      <c r="F36977" s="2423"/>
    </row>
    <row r="36978" s="101" customFormat="1" spans="6:6">
      <c r="F36978" s="2423"/>
    </row>
    <row r="36979" s="101" customFormat="1" spans="6:6">
      <c r="F36979" s="2423"/>
    </row>
    <row r="36980" s="101" customFormat="1" spans="6:6">
      <c r="F36980" s="2423"/>
    </row>
    <row r="36981" s="101" customFormat="1" spans="6:6">
      <c r="F36981" s="2423"/>
    </row>
    <row r="36982" s="101" customFormat="1" spans="6:6">
      <c r="F36982" s="2423"/>
    </row>
    <row r="36983" s="101" customFormat="1" spans="6:6">
      <c r="F36983" s="2423"/>
    </row>
    <row r="36984" s="101" customFormat="1" spans="6:6">
      <c r="F36984" s="2423"/>
    </row>
    <row r="36985" s="101" customFormat="1" spans="6:6">
      <c r="F36985" s="2423"/>
    </row>
    <row r="36986" s="101" customFormat="1" spans="6:6">
      <c r="F36986" s="2423"/>
    </row>
    <row r="36987" s="101" customFormat="1" spans="6:6">
      <c r="F36987" s="2423"/>
    </row>
    <row r="36988" s="101" customFormat="1" spans="6:6">
      <c r="F36988" s="2423"/>
    </row>
    <row r="36989" s="101" customFormat="1" spans="6:6">
      <c r="F36989" s="2423"/>
    </row>
    <row r="36990" s="101" customFormat="1" spans="6:6">
      <c r="F36990" s="2423"/>
    </row>
    <row r="36991" s="101" customFormat="1" spans="6:6">
      <c r="F36991" s="2423"/>
    </row>
    <row r="36992" s="101" customFormat="1" spans="6:6">
      <c r="F36992" s="2423"/>
    </row>
    <row r="36993" s="101" customFormat="1" spans="6:6">
      <c r="F36993" s="2423"/>
    </row>
    <row r="36994" s="101" customFormat="1" spans="6:6">
      <c r="F36994" s="2423"/>
    </row>
    <row r="36995" s="101" customFormat="1" spans="6:6">
      <c r="F36995" s="2423"/>
    </row>
    <row r="36996" s="101" customFormat="1" spans="6:6">
      <c r="F36996" s="2423"/>
    </row>
    <row r="36997" s="101" customFormat="1" spans="6:6">
      <c r="F36997" s="2423"/>
    </row>
    <row r="36998" s="101" customFormat="1" spans="6:6">
      <c r="F36998" s="2423"/>
    </row>
    <row r="36999" s="101" customFormat="1" spans="6:6">
      <c r="F36999" s="2423"/>
    </row>
    <row r="37000" s="101" customFormat="1" spans="6:6">
      <c r="F37000" s="2423"/>
    </row>
    <row r="37001" s="101" customFormat="1" spans="6:6">
      <c r="F37001" s="2423"/>
    </row>
    <row r="37002" s="101" customFormat="1" spans="6:6">
      <c r="F37002" s="2423"/>
    </row>
    <row r="37003" s="101" customFormat="1" spans="6:6">
      <c r="F37003" s="2423"/>
    </row>
    <row r="37004" s="101" customFormat="1" spans="6:6">
      <c r="F37004" s="2423"/>
    </row>
    <row r="37005" s="101" customFormat="1" spans="6:6">
      <c r="F37005" s="2423"/>
    </row>
    <row r="37006" s="101" customFormat="1" spans="6:6">
      <c r="F37006" s="2423"/>
    </row>
    <row r="37007" s="101" customFormat="1" spans="6:6">
      <c r="F37007" s="2423"/>
    </row>
    <row r="37008" s="101" customFormat="1" spans="6:6">
      <c r="F37008" s="2423"/>
    </row>
    <row r="37009" s="101" customFormat="1" spans="6:6">
      <c r="F37009" s="2423"/>
    </row>
    <row r="37010" s="101" customFormat="1" spans="6:6">
      <c r="F37010" s="2423"/>
    </row>
    <row r="37011" s="101" customFormat="1" spans="6:6">
      <c r="F37011" s="2423"/>
    </row>
    <row r="37012" s="101" customFormat="1" spans="6:6">
      <c r="F37012" s="2423"/>
    </row>
    <row r="37013" s="101" customFormat="1" spans="6:6">
      <c r="F37013" s="2423"/>
    </row>
    <row r="37014" s="101" customFormat="1" spans="6:6">
      <c r="F37014" s="2423"/>
    </row>
    <row r="37015" s="101" customFormat="1" spans="6:6">
      <c r="F37015" s="2423"/>
    </row>
    <row r="37016" s="101" customFormat="1" spans="6:6">
      <c r="F37016" s="2423"/>
    </row>
    <row r="37017" s="101" customFormat="1" spans="6:6">
      <c r="F37017" s="2423"/>
    </row>
    <row r="37018" s="101" customFormat="1" spans="6:6">
      <c r="F37018" s="2423"/>
    </row>
    <row r="37019" s="101" customFormat="1" spans="6:6">
      <c r="F37019" s="2423"/>
    </row>
    <row r="37020" s="101" customFormat="1" spans="6:6">
      <c r="F37020" s="2423"/>
    </row>
    <row r="37021" s="101" customFormat="1" spans="6:6">
      <c r="F37021" s="2423"/>
    </row>
    <row r="37022" s="101" customFormat="1" spans="6:6">
      <c r="F37022" s="2423"/>
    </row>
    <row r="37023" s="101" customFormat="1" spans="6:6">
      <c r="F37023" s="2423"/>
    </row>
    <row r="37024" s="101" customFormat="1" spans="6:6">
      <c r="F37024" s="2423"/>
    </row>
    <row r="37025" s="101" customFormat="1" spans="6:6">
      <c r="F37025" s="2423"/>
    </row>
    <row r="37026" s="101" customFormat="1" spans="6:6">
      <c r="F37026" s="2423"/>
    </row>
    <row r="37027" s="101" customFormat="1" spans="6:6">
      <c r="F37027" s="2423"/>
    </row>
    <row r="37028" s="101" customFormat="1" spans="6:6">
      <c r="F37028" s="2423"/>
    </row>
    <row r="37029" s="101" customFormat="1" spans="6:6">
      <c r="F37029" s="2423"/>
    </row>
    <row r="37030" s="101" customFormat="1" spans="6:6">
      <c r="F37030" s="2423"/>
    </row>
    <row r="37031" s="101" customFormat="1" spans="6:6">
      <c r="F37031" s="2423"/>
    </row>
    <row r="37032" s="101" customFormat="1" spans="6:6">
      <c r="F37032" s="2423"/>
    </row>
    <row r="37033" s="101" customFormat="1" spans="6:6">
      <c r="F37033" s="2423"/>
    </row>
    <row r="37034" s="101" customFormat="1" spans="6:6">
      <c r="F37034" s="2423"/>
    </row>
    <row r="37035" s="101" customFormat="1" spans="6:6">
      <c r="F37035" s="2423"/>
    </row>
    <row r="37036" s="101" customFormat="1" spans="6:6">
      <c r="F37036" s="2423"/>
    </row>
    <row r="37037" s="101" customFormat="1" spans="6:6">
      <c r="F37037" s="2423"/>
    </row>
    <row r="37038" s="101" customFormat="1" spans="6:6">
      <c r="F37038" s="2423"/>
    </row>
    <row r="37039" s="101" customFormat="1" spans="6:6">
      <c r="F37039" s="2423"/>
    </row>
    <row r="37040" s="101" customFormat="1" spans="6:6">
      <c r="F37040" s="2423"/>
    </row>
    <row r="37041" s="101" customFormat="1" spans="6:6">
      <c r="F37041" s="2423"/>
    </row>
    <row r="37042" s="101" customFormat="1" spans="6:6">
      <c r="F37042" s="2423"/>
    </row>
    <row r="37043" s="101" customFormat="1" spans="6:6">
      <c r="F37043" s="2423"/>
    </row>
    <row r="37044" s="101" customFormat="1" spans="6:6">
      <c r="F37044" s="2423"/>
    </row>
    <row r="37045" s="101" customFormat="1" spans="6:6">
      <c r="F37045" s="2423"/>
    </row>
    <row r="37046" s="101" customFormat="1" spans="6:6">
      <c r="F37046" s="2423"/>
    </row>
    <row r="37047" s="101" customFormat="1" spans="6:6">
      <c r="F37047" s="2423"/>
    </row>
    <row r="37048" s="101" customFormat="1" spans="6:6">
      <c r="F37048" s="2423"/>
    </row>
    <row r="37049" s="101" customFormat="1" spans="6:6">
      <c r="F37049" s="2423"/>
    </row>
    <row r="37050" s="101" customFormat="1" spans="6:6">
      <c r="F37050" s="2423"/>
    </row>
    <row r="37051" s="101" customFormat="1" spans="6:6">
      <c r="F37051" s="2423"/>
    </row>
    <row r="37052" s="101" customFormat="1" spans="6:6">
      <c r="F37052" s="2423"/>
    </row>
    <row r="37053" s="101" customFormat="1" spans="6:6">
      <c r="F37053" s="2423"/>
    </row>
    <row r="37054" s="101" customFormat="1" spans="6:6">
      <c r="F37054" s="2423"/>
    </row>
    <row r="37055" s="101" customFormat="1" spans="6:6">
      <c r="F37055" s="2423"/>
    </row>
    <row r="37056" s="101" customFormat="1" spans="6:6">
      <c r="F37056" s="2423"/>
    </row>
    <row r="37057" s="101" customFormat="1" spans="6:6">
      <c r="F37057" s="2423"/>
    </row>
    <row r="37058" s="101" customFormat="1" spans="6:6">
      <c r="F37058" s="2423"/>
    </row>
    <row r="37059" s="101" customFormat="1" spans="6:6">
      <c r="F37059" s="2423"/>
    </row>
    <row r="37060" s="101" customFormat="1" spans="6:6">
      <c r="F37060" s="2423"/>
    </row>
    <row r="37061" s="101" customFormat="1" spans="6:6">
      <c r="F37061" s="2423"/>
    </row>
    <row r="37062" s="101" customFormat="1" spans="6:6">
      <c r="F37062" s="2423"/>
    </row>
    <row r="37063" s="101" customFormat="1" spans="6:6">
      <c r="F37063" s="2423"/>
    </row>
    <row r="37064" s="101" customFormat="1" spans="6:6">
      <c r="F37064" s="2423"/>
    </row>
    <row r="37065" s="101" customFormat="1" spans="6:6">
      <c r="F37065" s="2423"/>
    </row>
    <row r="37066" s="101" customFormat="1" spans="6:6">
      <c r="F37066" s="2423"/>
    </row>
    <row r="37067" s="101" customFormat="1" spans="6:6">
      <c r="F37067" s="2423"/>
    </row>
    <row r="37068" s="101" customFormat="1" spans="6:6">
      <c r="F37068" s="2423"/>
    </row>
    <row r="37069" s="101" customFormat="1" spans="6:6">
      <c r="F37069" s="2423"/>
    </row>
    <row r="37070" s="101" customFormat="1" spans="6:6">
      <c r="F37070" s="2423"/>
    </row>
    <row r="37071" s="101" customFormat="1" spans="6:6">
      <c r="F37071" s="2423"/>
    </row>
    <row r="37072" s="101" customFormat="1" spans="6:6">
      <c r="F37072" s="2423"/>
    </row>
    <row r="37073" s="101" customFormat="1" spans="6:6">
      <c r="F37073" s="2423"/>
    </row>
    <row r="37074" s="101" customFormat="1" spans="6:6">
      <c r="F37074" s="2423"/>
    </row>
    <row r="37075" s="101" customFormat="1" spans="6:6">
      <c r="F37075" s="2423"/>
    </row>
    <row r="37076" s="101" customFormat="1" spans="6:6">
      <c r="F37076" s="2423"/>
    </row>
    <row r="37077" s="101" customFormat="1" spans="6:6">
      <c r="F37077" s="2423"/>
    </row>
    <row r="37078" s="101" customFormat="1" spans="6:6">
      <c r="F37078" s="2423"/>
    </row>
    <row r="37079" s="101" customFormat="1" spans="6:6">
      <c r="F37079" s="2423"/>
    </row>
    <row r="37080" s="101" customFormat="1" spans="6:6">
      <c r="F37080" s="2423"/>
    </row>
    <row r="37081" s="101" customFormat="1" spans="6:6">
      <c r="F37081" s="2423"/>
    </row>
    <row r="37082" s="101" customFormat="1" spans="6:6">
      <c r="F37082" s="2423"/>
    </row>
    <row r="37083" s="101" customFormat="1" spans="6:6">
      <c r="F37083" s="2423"/>
    </row>
    <row r="37084" s="101" customFormat="1" spans="6:6">
      <c r="F37084" s="2423"/>
    </row>
    <row r="37085" s="101" customFormat="1" spans="6:6">
      <c r="F37085" s="2423"/>
    </row>
    <row r="37086" s="101" customFormat="1" spans="6:6">
      <c r="F37086" s="2423"/>
    </row>
    <row r="37087" s="101" customFormat="1" spans="6:6">
      <c r="F37087" s="2423"/>
    </row>
    <row r="37088" s="101" customFormat="1" spans="6:6">
      <c r="F37088" s="2423"/>
    </row>
    <row r="37089" s="101" customFormat="1" spans="6:6">
      <c r="F37089" s="2423"/>
    </row>
    <row r="37090" s="101" customFormat="1" spans="6:6">
      <c r="F37090" s="2423"/>
    </row>
    <row r="37091" s="101" customFormat="1" spans="6:6">
      <c r="F37091" s="2423"/>
    </row>
    <row r="37092" s="101" customFormat="1" spans="6:6">
      <c r="F37092" s="2423"/>
    </row>
    <row r="37093" s="101" customFormat="1" spans="6:6">
      <c r="F37093" s="2423"/>
    </row>
    <row r="37094" s="101" customFormat="1" spans="6:6">
      <c r="F37094" s="2423"/>
    </row>
    <row r="37095" s="101" customFormat="1" spans="6:6">
      <c r="F37095" s="2423"/>
    </row>
    <row r="37096" s="101" customFormat="1" spans="6:6">
      <c r="F37096" s="2423"/>
    </row>
    <row r="37097" s="101" customFormat="1" spans="6:6">
      <c r="F37097" s="2423"/>
    </row>
    <row r="37098" s="101" customFormat="1" spans="6:6">
      <c r="F37098" s="2423"/>
    </row>
    <row r="37099" s="101" customFormat="1" spans="6:6">
      <c r="F37099" s="2423"/>
    </row>
    <row r="37100" s="101" customFormat="1" spans="6:6">
      <c r="F37100" s="2423"/>
    </row>
    <row r="37101" s="101" customFormat="1" spans="6:6">
      <c r="F37101" s="2423"/>
    </row>
    <row r="37102" s="101" customFormat="1" spans="6:6">
      <c r="F37102" s="2423"/>
    </row>
    <row r="37103" s="101" customFormat="1" spans="6:6">
      <c r="F37103" s="2423"/>
    </row>
    <row r="37104" s="101" customFormat="1" spans="6:6">
      <c r="F37104" s="2423"/>
    </row>
    <row r="37105" s="101" customFormat="1" spans="6:6">
      <c r="F37105" s="2423"/>
    </row>
    <row r="37106" s="101" customFormat="1" spans="6:6">
      <c r="F37106" s="2423"/>
    </row>
    <row r="37107" s="101" customFormat="1" spans="6:6">
      <c r="F37107" s="2423"/>
    </row>
    <row r="37108" s="101" customFormat="1" spans="6:6">
      <c r="F37108" s="2423"/>
    </row>
    <row r="37109" s="101" customFormat="1" spans="6:6">
      <c r="F37109" s="2423"/>
    </row>
    <row r="37110" s="101" customFormat="1" spans="6:6">
      <c r="F37110" s="2423"/>
    </row>
    <row r="37111" s="101" customFormat="1" spans="6:6">
      <c r="F37111" s="2423"/>
    </row>
    <row r="37112" s="101" customFormat="1" spans="6:6">
      <c r="F37112" s="2423"/>
    </row>
    <row r="37113" s="101" customFormat="1" spans="6:6">
      <c r="F37113" s="2423"/>
    </row>
    <row r="37114" s="101" customFormat="1" spans="6:6">
      <c r="F37114" s="2423"/>
    </row>
    <row r="37115" s="101" customFormat="1" spans="6:6">
      <c r="F37115" s="2423"/>
    </row>
    <row r="37116" s="101" customFormat="1" spans="6:6">
      <c r="F37116" s="2423"/>
    </row>
    <row r="37117" s="101" customFormat="1" spans="6:6">
      <c r="F37117" s="2423"/>
    </row>
    <row r="37118" s="101" customFormat="1" spans="6:6">
      <c r="F37118" s="2423"/>
    </row>
    <row r="37119" s="101" customFormat="1" spans="6:6">
      <c r="F37119" s="2423"/>
    </row>
    <row r="37120" s="101" customFormat="1" spans="6:6">
      <c r="F37120" s="2423"/>
    </row>
    <row r="37121" s="101" customFormat="1" spans="6:6">
      <c r="F37121" s="2423"/>
    </row>
    <row r="37122" s="101" customFormat="1" spans="6:6">
      <c r="F37122" s="2423"/>
    </row>
    <row r="37123" s="101" customFormat="1" spans="6:6">
      <c r="F37123" s="2423"/>
    </row>
    <row r="37124" s="101" customFormat="1" spans="6:6">
      <c r="F37124" s="2423"/>
    </row>
    <row r="37125" s="101" customFormat="1" spans="6:6">
      <c r="F37125" s="2423"/>
    </row>
    <row r="37126" s="101" customFormat="1" spans="6:6">
      <c r="F37126" s="2423"/>
    </row>
    <row r="37127" s="101" customFormat="1" spans="6:6">
      <c r="F37127" s="2423"/>
    </row>
    <row r="37128" s="101" customFormat="1" spans="6:6">
      <c r="F37128" s="2423"/>
    </row>
    <row r="37129" s="101" customFormat="1" spans="6:6">
      <c r="F37129" s="2423"/>
    </row>
    <row r="37130" s="101" customFormat="1" spans="6:6">
      <c r="F37130" s="2423"/>
    </row>
    <row r="37131" s="101" customFormat="1" spans="6:6">
      <c r="F37131" s="2423"/>
    </row>
    <row r="37132" s="101" customFormat="1" spans="6:6">
      <c r="F37132" s="2423"/>
    </row>
    <row r="37133" s="101" customFormat="1" spans="6:6">
      <c r="F37133" s="2423"/>
    </row>
    <row r="37134" s="101" customFormat="1" spans="6:6">
      <c r="F37134" s="2423"/>
    </row>
    <row r="37135" s="101" customFormat="1" spans="6:6">
      <c r="F37135" s="2423"/>
    </row>
    <row r="37136" s="101" customFormat="1" spans="6:6">
      <c r="F37136" s="2423"/>
    </row>
    <row r="37137" s="101" customFormat="1" spans="6:6">
      <c r="F37137" s="2423"/>
    </row>
    <row r="37138" s="101" customFormat="1" spans="6:6">
      <c r="F37138" s="2423"/>
    </row>
    <row r="37139" s="101" customFormat="1" spans="6:6">
      <c r="F37139" s="2423"/>
    </row>
    <row r="37140" s="101" customFormat="1" spans="6:6">
      <c r="F37140" s="2423"/>
    </row>
    <row r="37141" s="101" customFormat="1" spans="6:6">
      <c r="F37141" s="2423"/>
    </row>
    <row r="37142" s="101" customFormat="1" spans="6:6">
      <c r="F37142" s="2423"/>
    </row>
    <row r="37143" s="101" customFormat="1" spans="6:6">
      <c r="F37143" s="2423"/>
    </row>
    <row r="37144" s="101" customFormat="1" spans="6:6">
      <c r="F37144" s="2423"/>
    </row>
    <row r="37145" s="101" customFormat="1" spans="6:6">
      <c r="F37145" s="2423"/>
    </row>
    <row r="37146" s="101" customFormat="1" spans="6:6">
      <c r="F37146" s="2423"/>
    </row>
    <row r="37147" s="101" customFormat="1" spans="6:6">
      <c r="F37147" s="2423"/>
    </row>
    <row r="37148" s="101" customFormat="1" spans="6:6">
      <c r="F37148" s="2423"/>
    </row>
    <row r="37149" s="101" customFormat="1" spans="6:6">
      <c r="F37149" s="2423"/>
    </row>
    <row r="37150" s="101" customFormat="1" spans="6:6">
      <c r="F37150" s="2423"/>
    </row>
    <row r="37151" s="101" customFormat="1" spans="6:6">
      <c r="F37151" s="2423"/>
    </row>
    <row r="37152" s="101" customFormat="1" spans="6:6">
      <c r="F37152" s="2423"/>
    </row>
    <row r="37153" s="101" customFormat="1" spans="6:6">
      <c r="F37153" s="2423"/>
    </row>
    <row r="37154" s="101" customFormat="1" spans="6:6">
      <c r="F37154" s="2423"/>
    </row>
    <row r="37155" s="101" customFormat="1" spans="6:6">
      <c r="F37155" s="2423"/>
    </row>
    <row r="37156" s="101" customFormat="1" spans="6:6">
      <c r="F37156" s="2423"/>
    </row>
    <row r="37157" s="101" customFormat="1" spans="6:6">
      <c r="F37157" s="2423"/>
    </row>
    <row r="37158" s="101" customFormat="1" spans="6:6">
      <c r="F37158" s="2423"/>
    </row>
    <row r="37159" s="101" customFormat="1" spans="6:6">
      <c r="F37159" s="2423"/>
    </row>
    <row r="37160" s="101" customFormat="1" spans="6:6">
      <c r="F37160" s="2423"/>
    </row>
    <row r="37161" s="101" customFormat="1" spans="6:6">
      <c r="F37161" s="2423"/>
    </row>
    <row r="37162" s="101" customFormat="1" spans="6:6">
      <c r="F37162" s="2423"/>
    </row>
    <row r="37163" s="101" customFormat="1" spans="6:6">
      <c r="F37163" s="2423"/>
    </row>
    <row r="37164" s="101" customFormat="1" spans="6:6">
      <c r="F37164" s="2423"/>
    </row>
    <row r="37165" s="101" customFormat="1" spans="6:6">
      <c r="F37165" s="2423"/>
    </row>
    <row r="37166" s="101" customFormat="1" spans="6:6">
      <c r="F37166" s="2423"/>
    </row>
    <row r="37167" s="101" customFormat="1" spans="6:6">
      <c r="F37167" s="2423"/>
    </row>
    <row r="37168" s="101" customFormat="1" spans="6:6">
      <c r="F37168" s="2423"/>
    </row>
    <row r="37169" s="101" customFormat="1" spans="6:6">
      <c r="F37169" s="2423"/>
    </row>
    <row r="37170" s="101" customFormat="1" spans="6:6">
      <c r="F37170" s="2423"/>
    </row>
    <row r="37171" s="101" customFormat="1" spans="6:6">
      <c r="F37171" s="2423"/>
    </row>
    <row r="37172" s="101" customFormat="1" spans="6:6">
      <c r="F37172" s="2423"/>
    </row>
    <row r="37173" s="101" customFormat="1" spans="6:6">
      <c r="F37173" s="2423"/>
    </row>
    <row r="37174" s="101" customFormat="1" spans="6:6">
      <c r="F37174" s="2423"/>
    </row>
    <row r="37175" s="101" customFormat="1" spans="6:6">
      <c r="F37175" s="2423"/>
    </row>
    <row r="37176" s="101" customFormat="1" spans="6:6">
      <c r="F37176" s="2423"/>
    </row>
    <row r="37177" s="101" customFormat="1" spans="6:6">
      <c r="F37177" s="2423"/>
    </row>
    <row r="37178" s="101" customFormat="1" spans="6:6">
      <c r="F37178" s="2423"/>
    </row>
    <row r="37179" s="101" customFormat="1" spans="6:6">
      <c r="F37179" s="2423"/>
    </row>
    <row r="37180" s="101" customFormat="1" spans="6:6">
      <c r="F37180" s="2423"/>
    </row>
    <row r="37181" s="101" customFormat="1" spans="6:6">
      <c r="F37181" s="2423"/>
    </row>
    <row r="37182" s="101" customFormat="1" spans="6:6">
      <c r="F37182" s="2423"/>
    </row>
    <row r="37183" s="101" customFormat="1" spans="6:6">
      <c r="F37183" s="2423"/>
    </row>
    <row r="37184" s="101" customFormat="1" spans="6:6">
      <c r="F37184" s="2423"/>
    </row>
    <row r="37185" s="101" customFormat="1" spans="6:6">
      <c r="F37185" s="2423"/>
    </row>
    <row r="37186" s="101" customFormat="1" spans="6:6">
      <c r="F37186" s="2423"/>
    </row>
    <row r="37187" s="101" customFormat="1" spans="6:6">
      <c r="F37187" s="2423"/>
    </row>
    <row r="37188" s="101" customFormat="1" spans="6:6">
      <c r="F37188" s="2423"/>
    </row>
    <row r="37189" s="101" customFormat="1" spans="6:6">
      <c r="F37189" s="2423"/>
    </row>
    <row r="37190" s="101" customFormat="1" spans="6:6">
      <c r="F37190" s="2423"/>
    </row>
    <row r="37191" s="101" customFormat="1" spans="6:6">
      <c r="F37191" s="2423"/>
    </row>
    <row r="37192" s="101" customFormat="1" spans="6:6">
      <c r="F37192" s="2423"/>
    </row>
    <row r="37193" s="101" customFormat="1" spans="6:6">
      <c r="F37193" s="2423"/>
    </row>
    <row r="37194" s="101" customFormat="1" spans="6:6">
      <c r="F37194" s="2423"/>
    </row>
    <row r="37195" s="101" customFormat="1" spans="6:6">
      <c r="F37195" s="2423"/>
    </row>
    <row r="37196" s="101" customFormat="1" spans="6:6">
      <c r="F37196" s="2423"/>
    </row>
    <row r="37197" s="101" customFormat="1" spans="6:6">
      <c r="F37197" s="2423"/>
    </row>
    <row r="37198" s="101" customFormat="1" spans="6:6">
      <c r="F37198" s="2423"/>
    </row>
    <row r="37199" s="101" customFormat="1" spans="6:6">
      <c r="F37199" s="2423"/>
    </row>
    <row r="37200" s="101" customFormat="1" spans="6:6">
      <c r="F37200" s="2423"/>
    </row>
    <row r="37201" s="101" customFormat="1" spans="6:6">
      <c r="F37201" s="2423"/>
    </row>
    <row r="37202" s="101" customFormat="1" spans="6:6">
      <c r="F37202" s="2423"/>
    </row>
    <row r="37203" s="101" customFormat="1" spans="6:6">
      <c r="F37203" s="2423"/>
    </row>
    <row r="37204" s="101" customFormat="1" spans="6:6">
      <c r="F37204" s="2423"/>
    </row>
    <row r="37205" s="101" customFormat="1" spans="6:6">
      <c r="F37205" s="2423"/>
    </row>
    <row r="37206" s="101" customFormat="1" spans="6:6">
      <c r="F37206" s="2423"/>
    </row>
    <row r="37207" s="101" customFormat="1" spans="6:6">
      <c r="F37207" s="2423"/>
    </row>
    <row r="37208" s="101" customFormat="1" spans="6:6">
      <c r="F37208" s="2423"/>
    </row>
    <row r="37209" s="101" customFormat="1" spans="6:6">
      <c r="F37209" s="2423"/>
    </row>
    <row r="37210" s="101" customFormat="1" spans="6:6">
      <c r="F37210" s="2423"/>
    </row>
    <row r="37211" s="101" customFormat="1" spans="6:6">
      <c r="F37211" s="2423"/>
    </row>
    <row r="37212" s="101" customFormat="1" spans="6:6">
      <c r="F37212" s="2423"/>
    </row>
    <row r="37213" s="101" customFormat="1" spans="6:6">
      <c r="F37213" s="2423"/>
    </row>
    <row r="37214" s="101" customFormat="1" spans="6:6">
      <c r="F37214" s="2423"/>
    </row>
    <row r="37215" s="101" customFormat="1" spans="6:6">
      <c r="F37215" s="2423"/>
    </row>
    <row r="37216" s="101" customFormat="1" spans="6:6">
      <c r="F37216" s="2423"/>
    </row>
    <row r="37217" s="101" customFormat="1" spans="6:6">
      <c r="F37217" s="2423"/>
    </row>
    <row r="37218" s="101" customFormat="1" spans="6:6">
      <c r="F37218" s="2423"/>
    </row>
    <row r="37219" s="101" customFormat="1" spans="6:6">
      <c r="F37219" s="2423"/>
    </row>
    <row r="37220" s="101" customFormat="1" spans="6:6">
      <c r="F37220" s="2423"/>
    </row>
    <row r="37221" s="101" customFormat="1" spans="6:6">
      <c r="F37221" s="2423"/>
    </row>
    <row r="37222" s="101" customFormat="1" spans="6:6">
      <c r="F37222" s="2423"/>
    </row>
    <row r="37223" s="101" customFormat="1" spans="6:6">
      <c r="F37223" s="2423"/>
    </row>
    <row r="37224" s="101" customFormat="1" spans="6:6">
      <c r="F37224" s="2423"/>
    </row>
    <row r="37225" s="101" customFormat="1" spans="6:6">
      <c r="F37225" s="2423"/>
    </row>
    <row r="37226" s="101" customFormat="1" spans="6:6">
      <c r="F37226" s="2423"/>
    </row>
    <row r="37227" s="101" customFormat="1" spans="6:6">
      <c r="F37227" s="2423"/>
    </row>
    <row r="37228" s="101" customFormat="1" spans="6:6">
      <c r="F37228" s="2423"/>
    </row>
    <row r="37229" s="101" customFormat="1" spans="6:6">
      <c r="F37229" s="2423"/>
    </row>
    <row r="37230" s="101" customFormat="1" spans="6:6">
      <c r="F37230" s="2423"/>
    </row>
    <row r="37231" s="101" customFormat="1" spans="6:6">
      <c r="F37231" s="2423"/>
    </row>
    <row r="37232" s="101" customFormat="1" spans="6:6">
      <c r="F37232" s="2423"/>
    </row>
    <row r="37233" s="101" customFormat="1" spans="6:6">
      <c r="F37233" s="2423"/>
    </row>
    <row r="37234" s="101" customFormat="1" spans="6:6">
      <c r="F37234" s="2423"/>
    </row>
    <row r="37235" s="101" customFormat="1" spans="6:6">
      <c r="F37235" s="2423"/>
    </row>
    <row r="37236" s="101" customFormat="1" spans="6:6">
      <c r="F37236" s="2423"/>
    </row>
    <row r="37237" s="101" customFormat="1" spans="6:6">
      <c r="F37237" s="2423"/>
    </row>
    <row r="37238" s="101" customFormat="1" spans="6:6">
      <c r="F37238" s="2423"/>
    </row>
    <row r="37239" s="101" customFormat="1" spans="6:6">
      <c r="F37239" s="2423"/>
    </row>
    <row r="37240" s="101" customFormat="1" spans="6:6">
      <c r="F37240" s="2423"/>
    </row>
    <row r="37241" s="101" customFormat="1" spans="6:6">
      <c r="F37241" s="2423"/>
    </row>
    <row r="37242" s="101" customFormat="1" spans="6:6">
      <c r="F37242" s="2423"/>
    </row>
    <row r="37243" s="101" customFormat="1" spans="6:6">
      <c r="F37243" s="2423"/>
    </row>
    <row r="37244" s="101" customFormat="1" spans="6:6">
      <c r="F37244" s="2423"/>
    </row>
    <row r="37245" s="101" customFormat="1" spans="6:6">
      <c r="F37245" s="2423"/>
    </row>
    <row r="37246" s="101" customFormat="1" spans="6:6">
      <c r="F37246" s="2423"/>
    </row>
    <row r="37247" s="101" customFormat="1" spans="6:6">
      <c r="F37247" s="2423"/>
    </row>
    <row r="37248" s="101" customFormat="1" spans="6:6">
      <c r="F37248" s="2423"/>
    </row>
    <row r="37249" s="101" customFormat="1" spans="6:6">
      <c r="F37249" s="2423"/>
    </row>
    <row r="37250" s="101" customFormat="1" spans="6:6">
      <c r="F37250" s="2423"/>
    </row>
    <row r="37251" s="101" customFormat="1" spans="6:6">
      <c r="F37251" s="2423"/>
    </row>
    <row r="37252" s="101" customFormat="1" spans="6:6">
      <c r="F37252" s="2423"/>
    </row>
    <row r="37253" s="101" customFormat="1" spans="6:6">
      <c r="F37253" s="2423"/>
    </row>
    <row r="37254" s="101" customFormat="1" spans="6:6">
      <c r="F37254" s="2423"/>
    </row>
    <row r="37255" s="101" customFormat="1" spans="6:6">
      <c r="F37255" s="2423"/>
    </row>
    <row r="37256" s="101" customFormat="1" spans="6:6">
      <c r="F37256" s="2423"/>
    </row>
    <row r="37257" s="101" customFormat="1" spans="6:6">
      <c r="F37257" s="2423"/>
    </row>
    <row r="37258" s="101" customFormat="1" spans="6:6">
      <c r="F37258" s="2423"/>
    </row>
    <row r="37259" s="101" customFormat="1" spans="6:6">
      <c r="F37259" s="2423"/>
    </row>
    <row r="37260" s="101" customFormat="1" spans="6:6">
      <c r="F37260" s="2423"/>
    </row>
    <row r="37261" s="101" customFormat="1" spans="6:6">
      <c r="F37261" s="2423"/>
    </row>
    <row r="37262" s="101" customFormat="1" spans="6:6">
      <c r="F37262" s="2423"/>
    </row>
    <row r="37263" s="101" customFormat="1" spans="6:6">
      <c r="F37263" s="2423"/>
    </row>
    <row r="37264" s="101" customFormat="1" spans="6:6">
      <c r="F37264" s="2423"/>
    </row>
    <row r="37265" s="101" customFormat="1" spans="6:6">
      <c r="F37265" s="2423"/>
    </row>
    <row r="37266" s="101" customFormat="1" spans="6:6">
      <c r="F37266" s="2423"/>
    </row>
    <row r="37267" s="101" customFormat="1" spans="6:6">
      <c r="F37267" s="2423"/>
    </row>
    <row r="37268" s="101" customFormat="1" spans="6:6">
      <c r="F37268" s="2423"/>
    </row>
    <row r="37269" s="101" customFormat="1" spans="6:6">
      <c r="F37269" s="2423"/>
    </row>
    <row r="37270" s="101" customFormat="1" spans="6:6">
      <c r="F37270" s="2423"/>
    </row>
    <row r="37271" s="101" customFormat="1" spans="6:6">
      <c r="F37271" s="2423"/>
    </row>
    <row r="37272" s="101" customFormat="1" spans="6:6">
      <c r="F37272" s="2423"/>
    </row>
    <row r="37273" s="101" customFormat="1" spans="6:6">
      <c r="F37273" s="2423"/>
    </row>
    <row r="37274" s="101" customFormat="1" spans="6:6">
      <c r="F37274" s="2423"/>
    </row>
    <row r="37275" s="101" customFormat="1" spans="6:6">
      <c r="F37275" s="2423"/>
    </row>
    <row r="37276" s="101" customFormat="1" spans="6:6">
      <c r="F37276" s="2423"/>
    </row>
    <row r="37277" s="101" customFormat="1" spans="6:6">
      <c r="F37277" s="2423"/>
    </row>
    <row r="37278" s="101" customFormat="1" spans="6:6">
      <c r="F37278" s="2423"/>
    </row>
    <row r="37279" s="101" customFormat="1" spans="6:6">
      <c r="F37279" s="2423"/>
    </row>
    <row r="37280" s="101" customFormat="1" spans="6:6">
      <c r="F37280" s="2423"/>
    </row>
    <row r="37281" s="101" customFormat="1" spans="6:6">
      <c r="F37281" s="2423"/>
    </row>
    <row r="37282" s="101" customFormat="1" spans="6:6">
      <c r="F37282" s="2423"/>
    </row>
    <row r="37283" s="101" customFormat="1" spans="6:6">
      <c r="F37283" s="2423"/>
    </row>
    <row r="37284" s="101" customFormat="1" spans="6:6">
      <c r="F37284" s="2423"/>
    </row>
    <row r="37285" s="101" customFormat="1" spans="6:6">
      <c r="F37285" s="2423"/>
    </row>
    <row r="37286" s="101" customFormat="1" spans="6:6">
      <c r="F37286" s="2423"/>
    </row>
    <row r="37287" s="101" customFormat="1" spans="6:6">
      <c r="F37287" s="2423"/>
    </row>
    <row r="37288" s="101" customFormat="1" spans="6:6">
      <c r="F37288" s="2423"/>
    </row>
    <row r="37289" s="101" customFormat="1" spans="6:6">
      <c r="F37289" s="2423"/>
    </row>
    <row r="37290" s="101" customFormat="1" spans="6:6">
      <c r="F37290" s="2423"/>
    </row>
    <row r="37291" s="101" customFormat="1" spans="6:6">
      <c r="F37291" s="2423"/>
    </row>
    <row r="37292" s="101" customFormat="1" spans="6:6">
      <c r="F37292" s="2423"/>
    </row>
    <row r="37293" s="101" customFormat="1" spans="6:6">
      <c r="F37293" s="2423"/>
    </row>
    <row r="37294" s="101" customFormat="1" spans="6:6">
      <c r="F37294" s="2423"/>
    </row>
    <row r="37295" s="101" customFormat="1" spans="6:6">
      <c r="F37295" s="2423"/>
    </row>
    <row r="37296" s="101" customFormat="1" spans="6:6">
      <c r="F37296" s="2423"/>
    </row>
    <row r="37297" s="101" customFormat="1" spans="6:6">
      <c r="F37297" s="2423"/>
    </row>
    <row r="37298" s="101" customFormat="1" spans="6:6">
      <c r="F37298" s="2423"/>
    </row>
    <row r="37299" s="101" customFormat="1" spans="6:6">
      <c r="F37299" s="2423"/>
    </row>
    <row r="37300" s="101" customFormat="1" spans="6:6">
      <c r="F37300" s="2423"/>
    </row>
    <row r="37301" s="101" customFormat="1" spans="6:6">
      <c r="F37301" s="2423"/>
    </row>
    <row r="37302" s="101" customFormat="1" spans="6:6">
      <c r="F37302" s="2423"/>
    </row>
    <row r="37303" s="101" customFormat="1" spans="6:6">
      <c r="F37303" s="2423"/>
    </row>
    <row r="37304" s="101" customFormat="1" spans="6:6">
      <c r="F37304" s="2423"/>
    </row>
    <row r="37305" s="101" customFormat="1" spans="6:6">
      <c r="F37305" s="2423"/>
    </row>
    <row r="37306" s="101" customFormat="1" spans="6:6">
      <c r="F37306" s="2423"/>
    </row>
    <row r="37307" s="101" customFormat="1" spans="6:6">
      <c r="F37307" s="2423"/>
    </row>
    <row r="37308" s="101" customFormat="1" spans="6:6">
      <c r="F37308" s="2423"/>
    </row>
    <row r="37309" s="101" customFormat="1" spans="6:6">
      <c r="F37309" s="2423"/>
    </row>
    <row r="37310" s="101" customFormat="1" spans="6:6">
      <c r="F37310" s="2423"/>
    </row>
    <row r="37311" s="101" customFormat="1" spans="6:6">
      <c r="F37311" s="2423"/>
    </row>
    <row r="37312" s="101" customFormat="1" spans="6:6">
      <c r="F37312" s="2423"/>
    </row>
    <row r="37313" s="101" customFormat="1" spans="6:6">
      <c r="F37313" s="2423"/>
    </row>
    <row r="37314" s="101" customFormat="1" spans="6:6">
      <c r="F37314" s="2423"/>
    </row>
    <row r="37315" s="101" customFormat="1" spans="6:6">
      <c r="F37315" s="2423"/>
    </row>
    <row r="37316" s="101" customFormat="1" spans="6:6">
      <c r="F37316" s="2423"/>
    </row>
    <row r="37317" s="101" customFormat="1" spans="6:6">
      <c r="F37317" s="2423"/>
    </row>
    <row r="37318" s="101" customFormat="1" spans="6:6">
      <c r="F37318" s="2423"/>
    </row>
    <row r="37319" s="101" customFormat="1" spans="6:6">
      <c r="F37319" s="2423"/>
    </row>
    <row r="37320" s="101" customFormat="1" spans="6:6">
      <c r="F37320" s="2423"/>
    </row>
    <row r="37321" s="101" customFormat="1" spans="6:6">
      <c r="F37321" s="2423"/>
    </row>
    <row r="37322" s="101" customFormat="1" spans="6:6">
      <c r="F37322" s="2423"/>
    </row>
    <row r="37323" s="101" customFormat="1" spans="6:6">
      <c r="F37323" s="2423"/>
    </row>
    <row r="37324" s="101" customFormat="1" spans="6:6">
      <c r="F37324" s="2423"/>
    </row>
    <row r="37325" s="101" customFormat="1" spans="6:6">
      <c r="F37325" s="2423"/>
    </row>
    <row r="37326" s="101" customFormat="1" spans="6:6">
      <c r="F37326" s="2423"/>
    </row>
    <row r="37327" s="101" customFormat="1" spans="6:6">
      <c r="F37327" s="2423"/>
    </row>
    <row r="37328" s="101" customFormat="1" spans="6:6">
      <c r="F37328" s="2423"/>
    </row>
    <row r="37329" s="101" customFormat="1" spans="6:6">
      <c r="F37329" s="2423"/>
    </row>
    <row r="37330" s="101" customFormat="1" spans="6:6">
      <c r="F37330" s="2423"/>
    </row>
    <row r="37331" s="101" customFormat="1" spans="6:6">
      <c r="F37331" s="2423"/>
    </row>
    <row r="37332" s="101" customFormat="1" spans="6:6">
      <c r="F37332" s="2423"/>
    </row>
    <row r="37333" s="101" customFormat="1" spans="6:6">
      <c r="F37333" s="2423"/>
    </row>
    <row r="37334" s="101" customFormat="1" spans="6:6">
      <c r="F37334" s="2423"/>
    </row>
    <row r="37335" s="101" customFormat="1" spans="6:6">
      <c r="F37335" s="2423"/>
    </row>
    <row r="37336" s="101" customFormat="1" spans="6:6">
      <c r="F37336" s="2423"/>
    </row>
    <row r="37337" s="101" customFormat="1" spans="6:6">
      <c r="F37337" s="2423"/>
    </row>
    <row r="37338" s="101" customFormat="1" spans="6:6">
      <c r="F37338" s="2423"/>
    </row>
    <row r="37339" s="101" customFormat="1" spans="6:6">
      <c r="F37339" s="2423"/>
    </row>
    <row r="37340" s="101" customFormat="1" spans="6:6">
      <c r="F37340" s="2423"/>
    </row>
    <row r="37341" s="101" customFormat="1" spans="6:6">
      <c r="F37341" s="2423"/>
    </row>
    <row r="37342" s="101" customFormat="1" spans="6:6">
      <c r="F37342" s="2423"/>
    </row>
    <row r="37343" s="101" customFormat="1" spans="6:6">
      <c r="F37343" s="2423"/>
    </row>
    <row r="37344" s="101" customFormat="1" spans="6:6">
      <c r="F37344" s="2423"/>
    </row>
    <row r="37345" s="101" customFormat="1" spans="6:6">
      <c r="F37345" s="2423"/>
    </row>
    <row r="37346" s="101" customFormat="1" spans="6:6">
      <c r="F37346" s="2423"/>
    </row>
    <row r="37347" s="101" customFormat="1" spans="6:6">
      <c r="F37347" s="2423"/>
    </row>
    <row r="37348" s="101" customFormat="1" spans="6:6">
      <c r="F37348" s="2423"/>
    </row>
    <row r="37349" s="101" customFormat="1" spans="6:6">
      <c r="F37349" s="2423"/>
    </row>
    <row r="37350" s="101" customFormat="1" spans="6:6">
      <c r="F37350" s="2423"/>
    </row>
    <row r="37351" s="101" customFormat="1" spans="6:6">
      <c r="F37351" s="2423"/>
    </row>
    <row r="37352" s="101" customFormat="1" spans="6:6">
      <c r="F37352" s="2423"/>
    </row>
    <row r="37353" s="101" customFormat="1" spans="6:6">
      <c r="F37353" s="2423"/>
    </row>
    <row r="37354" s="101" customFormat="1" spans="6:6">
      <c r="F37354" s="2423"/>
    </row>
    <row r="37355" s="101" customFormat="1" spans="6:6">
      <c r="F37355" s="2423"/>
    </row>
    <row r="37356" s="101" customFormat="1" spans="6:6">
      <c r="F37356" s="2423"/>
    </row>
    <row r="37357" s="101" customFormat="1" spans="6:6">
      <c r="F37357" s="2423"/>
    </row>
    <row r="37358" s="101" customFormat="1" spans="6:6">
      <c r="F37358" s="2423"/>
    </row>
    <row r="37359" s="101" customFormat="1" spans="6:6">
      <c r="F37359" s="2423"/>
    </row>
    <row r="37360" s="101" customFormat="1" spans="6:6">
      <c r="F37360" s="2423"/>
    </row>
    <row r="37361" s="101" customFormat="1" spans="6:6">
      <c r="F37361" s="2423"/>
    </row>
    <row r="37362" s="101" customFormat="1" spans="6:6">
      <c r="F37362" s="2423"/>
    </row>
    <row r="37363" s="101" customFormat="1" spans="6:6">
      <c r="F37363" s="2423"/>
    </row>
    <row r="37364" s="101" customFormat="1" spans="6:6">
      <c r="F37364" s="2423"/>
    </row>
    <row r="37365" s="101" customFormat="1" spans="6:6">
      <c r="F37365" s="2423"/>
    </row>
    <row r="37366" s="101" customFormat="1" spans="6:6">
      <c r="F37366" s="2423"/>
    </row>
    <row r="37367" s="101" customFormat="1" spans="6:6">
      <c r="F37367" s="2423"/>
    </row>
    <row r="37368" s="101" customFormat="1" spans="6:6">
      <c r="F37368" s="2423"/>
    </row>
    <row r="37369" s="101" customFormat="1" spans="6:6">
      <c r="F37369" s="2423"/>
    </row>
    <row r="37370" s="101" customFormat="1" spans="6:6">
      <c r="F37370" s="2423"/>
    </row>
    <row r="37371" s="101" customFormat="1" spans="6:6">
      <c r="F37371" s="2423"/>
    </row>
    <row r="37372" s="101" customFormat="1" spans="6:6">
      <c r="F37372" s="2423"/>
    </row>
    <row r="37373" s="101" customFormat="1" spans="6:6">
      <c r="F37373" s="2423"/>
    </row>
    <row r="37374" s="101" customFormat="1" spans="6:6">
      <c r="F37374" s="2423"/>
    </row>
    <row r="37375" s="101" customFormat="1" spans="6:6">
      <c r="F37375" s="2423"/>
    </row>
    <row r="37376" s="101" customFormat="1" spans="6:6">
      <c r="F37376" s="2423"/>
    </row>
    <row r="37377" s="101" customFormat="1" spans="6:6">
      <c r="F37377" s="2423"/>
    </row>
    <row r="37378" s="101" customFormat="1" spans="6:6">
      <c r="F37378" s="2423"/>
    </row>
    <row r="37379" s="101" customFormat="1" spans="6:6">
      <c r="F37379" s="2423"/>
    </row>
    <row r="37380" s="101" customFormat="1" spans="6:6">
      <c r="F37380" s="2423"/>
    </row>
    <row r="37381" s="101" customFormat="1" spans="6:6">
      <c r="F37381" s="2423"/>
    </row>
    <row r="37382" s="101" customFormat="1" spans="6:6">
      <c r="F37382" s="2423"/>
    </row>
    <row r="37383" s="101" customFormat="1" spans="6:6">
      <c r="F37383" s="2423"/>
    </row>
    <row r="37384" s="101" customFormat="1" spans="6:6">
      <c r="F37384" s="2423"/>
    </row>
    <row r="37385" s="101" customFormat="1" spans="6:6">
      <c r="F37385" s="2423"/>
    </row>
    <row r="37386" s="101" customFormat="1" spans="6:6">
      <c r="F37386" s="2423"/>
    </row>
    <row r="37387" s="101" customFormat="1" spans="6:6">
      <c r="F37387" s="2423"/>
    </row>
    <row r="37388" s="101" customFormat="1" spans="6:6">
      <c r="F37388" s="2423"/>
    </row>
    <row r="37389" s="101" customFormat="1" spans="6:6">
      <c r="F37389" s="2423"/>
    </row>
    <row r="37390" s="101" customFormat="1" spans="6:6">
      <c r="F37390" s="2423"/>
    </row>
    <row r="37391" s="101" customFormat="1" spans="6:6">
      <c r="F37391" s="2423"/>
    </row>
    <row r="37392" s="101" customFormat="1" spans="6:6">
      <c r="F37392" s="2423"/>
    </row>
    <row r="37393" s="101" customFormat="1" spans="6:6">
      <c r="F37393" s="2423"/>
    </row>
    <row r="37394" s="101" customFormat="1" spans="6:6">
      <c r="F37394" s="2423"/>
    </row>
    <row r="37395" s="101" customFormat="1" spans="6:6">
      <c r="F37395" s="2423"/>
    </row>
    <row r="37396" s="101" customFormat="1" spans="6:6">
      <c r="F37396" s="2423"/>
    </row>
    <row r="37397" s="101" customFormat="1" spans="6:6">
      <c r="F37397" s="2423"/>
    </row>
    <row r="37398" s="101" customFormat="1" spans="6:6">
      <c r="F37398" s="2423"/>
    </row>
    <row r="37399" s="101" customFormat="1" spans="6:6">
      <c r="F37399" s="2423"/>
    </row>
    <row r="37400" s="101" customFormat="1" spans="6:6">
      <c r="F37400" s="2423"/>
    </row>
    <row r="37401" s="101" customFormat="1" spans="6:6">
      <c r="F37401" s="2423"/>
    </row>
    <row r="37402" s="101" customFormat="1" spans="6:6">
      <c r="F37402" s="2423"/>
    </row>
    <row r="37403" s="101" customFormat="1" spans="6:6">
      <c r="F37403" s="2423"/>
    </row>
    <row r="37404" s="101" customFormat="1" spans="6:6">
      <c r="F37404" s="2423"/>
    </row>
    <row r="37405" s="101" customFormat="1" spans="6:6">
      <c r="F37405" s="2423"/>
    </row>
    <row r="37406" s="101" customFormat="1" spans="6:6">
      <c r="F37406" s="2423"/>
    </row>
    <row r="37407" s="101" customFormat="1" spans="6:6">
      <c r="F37407" s="2423"/>
    </row>
    <row r="37408" s="101" customFormat="1" spans="6:6">
      <c r="F37408" s="2423"/>
    </row>
    <row r="37409" s="101" customFormat="1" spans="6:6">
      <c r="F37409" s="2423"/>
    </row>
    <row r="37410" s="101" customFormat="1" spans="6:6">
      <c r="F37410" s="2423"/>
    </row>
    <row r="37411" s="101" customFormat="1" spans="6:6">
      <c r="F37411" s="2423"/>
    </row>
    <row r="37412" s="101" customFormat="1" spans="6:6">
      <c r="F37412" s="2423"/>
    </row>
    <row r="37413" s="101" customFormat="1" spans="6:6">
      <c r="F37413" s="2423"/>
    </row>
    <row r="37414" s="101" customFormat="1" spans="6:6">
      <c r="F37414" s="2423"/>
    </row>
    <row r="37415" s="101" customFormat="1" spans="6:6">
      <c r="F37415" s="2423"/>
    </row>
    <row r="37416" s="101" customFormat="1" spans="6:6">
      <c r="F37416" s="2423"/>
    </row>
    <row r="37417" s="101" customFormat="1" spans="6:6">
      <c r="F37417" s="2423"/>
    </row>
    <row r="37418" s="101" customFormat="1" spans="6:6">
      <c r="F37418" s="2423"/>
    </row>
    <row r="37419" s="101" customFormat="1" spans="6:6">
      <c r="F37419" s="2423"/>
    </row>
    <row r="37420" s="101" customFormat="1" spans="6:6">
      <c r="F37420" s="2423"/>
    </row>
    <row r="37421" s="101" customFormat="1" spans="6:6">
      <c r="F37421" s="2423"/>
    </row>
    <row r="37422" s="101" customFormat="1" spans="6:6">
      <c r="F37422" s="2423"/>
    </row>
    <row r="37423" s="101" customFormat="1" spans="6:6">
      <c r="F37423" s="2423"/>
    </row>
    <row r="37424" s="101" customFormat="1" spans="6:6">
      <c r="F37424" s="2423"/>
    </row>
    <row r="37425" s="101" customFormat="1" spans="6:6">
      <c r="F37425" s="2423"/>
    </row>
    <row r="37426" s="101" customFormat="1" spans="6:6">
      <c r="F37426" s="2423"/>
    </row>
    <row r="37427" s="101" customFormat="1" spans="6:6">
      <c r="F37427" s="2423"/>
    </row>
    <row r="37428" s="101" customFormat="1" spans="6:6">
      <c r="F37428" s="2423"/>
    </row>
    <row r="37429" s="101" customFormat="1" spans="6:6">
      <c r="F37429" s="2423"/>
    </row>
    <row r="37430" s="101" customFormat="1" spans="6:6">
      <c r="F37430" s="2423"/>
    </row>
    <row r="37431" s="101" customFormat="1" spans="6:6">
      <c r="F37431" s="2423"/>
    </row>
    <row r="37432" s="101" customFormat="1" spans="6:6">
      <c r="F37432" s="2423"/>
    </row>
    <row r="37433" s="101" customFormat="1" spans="6:6">
      <c r="F37433" s="2423"/>
    </row>
    <row r="37434" s="101" customFormat="1" spans="6:6">
      <c r="F37434" s="2423"/>
    </row>
    <row r="37435" s="101" customFormat="1" spans="6:6">
      <c r="F37435" s="2423"/>
    </row>
    <row r="37436" s="101" customFormat="1" spans="6:6">
      <c r="F37436" s="2423"/>
    </row>
    <row r="37437" s="101" customFormat="1" spans="6:6">
      <c r="F37437" s="2423"/>
    </row>
    <row r="37438" s="101" customFormat="1" spans="6:6">
      <c r="F37438" s="2423"/>
    </row>
    <row r="37439" s="101" customFormat="1" spans="6:6">
      <c r="F37439" s="2423"/>
    </row>
    <row r="37440" s="101" customFormat="1" spans="6:6">
      <c r="F37440" s="2423"/>
    </row>
    <row r="37441" s="101" customFormat="1" spans="6:6">
      <c r="F37441" s="2423"/>
    </row>
    <row r="37442" s="101" customFormat="1" spans="6:6">
      <c r="F37442" s="2423"/>
    </row>
    <row r="37443" s="101" customFormat="1" spans="6:6">
      <c r="F37443" s="2423"/>
    </row>
    <row r="37444" s="101" customFormat="1" spans="6:6">
      <c r="F37444" s="2423"/>
    </row>
    <row r="37445" s="101" customFormat="1" spans="6:6">
      <c r="F37445" s="2423"/>
    </row>
    <row r="37446" s="101" customFormat="1" spans="6:6">
      <c r="F37446" s="2423"/>
    </row>
    <row r="37447" s="101" customFormat="1" spans="6:6">
      <c r="F37447" s="2423"/>
    </row>
    <row r="37448" s="101" customFormat="1" spans="6:6">
      <c r="F37448" s="2423"/>
    </row>
    <row r="37449" s="101" customFormat="1" spans="6:6">
      <c r="F37449" s="2423"/>
    </row>
    <row r="37450" s="101" customFormat="1" spans="6:6">
      <c r="F37450" s="2423"/>
    </row>
    <row r="37451" s="101" customFormat="1" spans="6:6">
      <c r="F37451" s="2423"/>
    </row>
    <row r="37452" s="101" customFormat="1" spans="6:6">
      <c r="F37452" s="2423"/>
    </row>
    <row r="37453" s="101" customFormat="1" spans="6:6">
      <c r="F37453" s="2423"/>
    </row>
    <row r="37454" s="101" customFormat="1" spans="6:6">
      <c r="F37454" s="2423"/>
    </row>
    <row r="37455" s="101" customFormat="1" spans="6:6">
      <c r="F37455" s="2423"/>
    </row>
    <row r="37456" s="101" customFormat="1" spans="6:6">
      <c r="F37456" s="2423"/>
    </row>
    <row r="37457" s="101" customFormat="1" spans="6:6">
      <c r="F37457" s="2423"/>
    </row>
    <row r="37458" s="101" customFormat="1" spans="6:6">
      <c r="F37458" s="2423"/>
    </row>
    <row r="37459" s="101" customFormat="1" spans="6:6">
      <c r="F37459" s="2423"/>
    </row>
    <row r="37460" s="101" customFormat="1" spans="6:6">
      <c r="F37460" s="2423"/>
    </row>
    <row r="37461" s="101" customFormat="1" spans="6:6">
      <c r="F37461" s="2423"/>
    </row>
    <row r="37462" s="101" customFormat="1" spans="6:6">
      <c r="F37462" s="2423"/>
    </row>
    <row r="37463" s="101" customFormat="1" spans="6:6">
      <c r="F37463" s="2423"/>
    </row>
    <row r="37464" s="101" customFormat="1" spans="6:6">
      <c r="F37464" s="2423"/>
    </row>
    <row r="37465" s="101" customFormat="1" spans="6:6">
      <c r="F37465" s="2423"/>
    </row>
    <row r="37466" s="101" customFormat="1" spans="6:6">
      <c r="F37466" s="2423"/>
    </row>
    <row r="37467" s="101" customFormat="1" spans="6:6">
      <c r="F37467" s="2423"/>
    </row>
    <row r="37468" s="101" customFormat="1" spans="6:6">
      <c r="F37468" s="2423"/>
    </row>
    <row r="37469" s="101" customFormat="1" spans="6:6">
      <c r="F37469" s="2423"/>
    </row>
    <row r="37470" s="101" customFormat="1" spans="6:6">
      <c r="F37470" s="2423"/>
    </row>
    <row r="37471" s="101" customFormat="1" spans="6:6">
      <c r="F37471" s="2423"/>
    </row>
    <row r="37472" s="101" customFormat="1" spans="6:6">
      <c r="F37472" s="2423"/>
    </row>
    <row r="37473" s="101" customFormat="1" spans="6:6">
      <c r="F37473" s="2423"/>
    </row>
    <row r="37474" s="101" customFormat="1" spans="6:6">
      <c r="F37474" s="2423"/>
    </row>
    <row r="37475" s="101" customFormat="1" spans="6:6">
      <c r="F37475" s="2423"/>
    </row>
    <row r="37476" s="101" customFormat="1" spans="6:6">
      <c r="F37476" s="2423"/>
    </row>
    <row r="37477" s="101" customFormat="1" spans="6:6">
      <c r="F37477" s="2423"/>
    </row>
    <row r="37478" s="101" customFormat="1" spans="6:6">
      <c r="F37478" s="2423"/>
    </row>
    <row r="37479" s="101" customFormat="1" spans="6:6">
      <c r="F37479" s="2423"/>
    </row>
    <row r="37480" s="101" customFormat="1" spans="6:6">
      <c r="F37480" s="2423"/>
    </row>
    <row r="37481" s="101" customFormat="1" spans="6:6">
      <c r="F37481" s="2423"/>
    </row>
    <row r="37482" s="101" customFormat="1" spans="6:6">
      <c r="F37482" s="2423"/>
    </row>
    <row r="37483" s="101" customFormat="1" spans="6:6">
      <c r="F37483" s="2423"/>
    </row>
    <row r="37484" s="101" customFormat="1" spans="6:6">
      <c r="F37484" s="2423"/>
    </row>
    <row r="37485" s="101" customFormat="1" spans="6:6">
      <c r="F37485" s="2423"/>
    </row>
    <row r="37486" s="101" customFormat="1" spans="6:6">
      <c r="F37486" s="2423"/>
    </row>
    <row r="37487" s="101" customFormat="1" spans="6:6">
      <c r="F37487" s="2423"/>
    </row>
    <row r="37488" s="101" customFormat="1" spans="6:6">
      <c r="F37488" s="2423"/>
    </row>
    <row r="37489" s="101" customFormat="1" spans="6:6">
      <c r="F37489" s="2423"/>
    </row>
    <row r="37490" s="101" customFormat="1" spans="6:6">
      <c r="F37490" s="2423"/>
    </row>
    <row r="37491" s="101" customFormat="1" spans="6:6">
      <c r="F37491" s="2423"/>
    </row>
    <row r="37492" s="101" customFormat="1" spans="6:6">
      <c r="F37492" s="2423"/>
    </row>
    <row r="37493" s="101" customFormat="1" spans="6:6">
      <c r="F37493" s="2423"/>
    </row>
    <row r="37494" s="101" customFormat="1" spans="6:6">
      <c r="F37494" s="2423"/>
    </row>
    <row r="37495" s="101" customFormat="1" spans="6:6">
      <c r="F37495" s="2423"/>
    </row>
    <row r="37496" s="101" customFormat="1" spans="6:6">
      <c r="F37496" s="2423"/>
    </row>
    <row r="37497" s="101" customFormat="1" spans="6:6">
      <c r="F37497" s="2423"/>
    </row>
    <row r="37498" s="101" customFormat="1" spans="6:6">
      <c r="F37498" s="2423"/>
    </row>
    <row r="37499" s="101" customFormat="1" spans="6:6">
      <c r="F37499" s="2423"/>
    </row>
    <row r="37500" s="101" customFormat="1" spans="6:6">
      <c r="F37500" s="2423"/>
    </row>
    <row r="37501" s="101" customFormat="1" spans="6:6">
      <c r="F37501" s="2423"/>
    </row>
    <row r="37502" s="101" customFormat="1" spans="6:6">
      <c r="F37502" s="2423"/>
    </row>
    <row r="37503" s="101" customFormat="1" spans="6:6">
      <c r="F37503" s="2423"/>
    </row>
    <row r="37504" s="101" customFormat="1" spans="6:6">
      <c r="F37504" s="2423"/>
    </row>
    <row r="37505" s="101" customFormat="1" spans="6:6">
      <c r="F37505" s="2423"/>
    </row>
    <row r="37506" s="101" customFormat="1" spans="6:6">
      <c r="F37506" s="2423"/>
    </row>
    <row r="37507" s="101" customFormat="1" spans="6:6">
      <c r="F37507" s="2423"/>
    </row>
    <row r="37508" s="101" customFormat="1" spans="6:6">
      <c r="F37508" s="2423"/>
    </row>
    <row r="37509" s="101" customFormat="1" spans="6:6">
      <c r="F37509" s="2423"/>
    </row>
    <row r="37510" s="101" customFormat="1" spans="6:6">
      <c r="F37510" s="2423"/>
    </row>
    <row r="37511" s="101" customFormat="1" spans="6:6">
      <c r="F37511" s="2423"/>
    </row>
    <row r="37512" s="101" customFormat="1" spans="6:6">
      <c r="F37512" s="2423"/>
    </row>
    <row r="37513" s="101" customFormat="1" spans="6:6">
      <c r="F37513" s="2423"/>
    </row>
    <row r="37514" s="101" customFormat="1" spans="6:6">
      <c r="F37514" s="2423"/>
    </row>
    <row r="37515" s="101" customFormat="1" spans="6:6">
      <c r="F37515" s="2423"/>
    </row>
    <row r="37516" s="101" customFormat="1" spans="6:6">
      <c r="F37516" s="2423"/>
    </row>
    <row r="37517" s="101" customFormat="1" spans="6:6">
      <c r="F37517" s="2423"/>
    </row>
    <row r="37518" s="101" customFormat="1" spans="6:6">
      <c r="F37518" s="2423"/>
    </row>
    <row r="37519" s="101" customFormat="1" spans="6:6">
      <c r="F37519" s="2423"/>
    </row>
    <row r="37520" s="101" customFormat="1" spans="6:6">
      <c r="F37520" s="2423"/>
    </row>
    <row r="37521" s="101" customFormat="1" spans="6:6">
      <c r="F37521" s="2423"/>
    </row>
    <row r="37522" s="101" customFormat="1" spans="6:6">
      <c r="F37522" s="2423"/>
    </row>
    <row r="37523" s="101" customFormat="1" spans="6:6">
      <c r="F37523" s="2423"/>
    </row>
    <row r="37524" s="101" customFormat="1" spans="6:6">
      <c r="F37524" s="2423"/>
    </row>
    <row r="37525" s="101" customFormat="1" spans="6:6">
      <c r="F37525" s="2423"/>
    </row>
    <row r="37526" s="101" customFormat="1" spans="6:6">
      <c r="F37526" s="2423"/>
    </row>
    <row r="37527" s="101" customFormat="1" spans="6:6">
      <c r="F37527" s="2423"/>
    </row>
    <row r="37528" s="101" customFormat="1" spans="6:6">
      <c r="F37528" s="2423"/>
    </row>
    <row r="37529" s="101" customFormat="1" spans="6:6">
      <c r="F37529" s="2423"/>
    </row>
    <row r="37530" s="101" customFormat="1" spans="6:6">
      <c r="F37530" s="2423"/>
    </row>
    <row r="37531" s="101" customFormat="1" spans="6:6">
      <c r="F37531" s="2423"/>
    </row>
    <row r="37532" s="101" customFormat="1" spans="6:6">
      <c r="F37532" s="2423"/>
    </row>
    <row r="37533" s="101" customFormat="1" spans="6:6">
      <c r="F37533" s="2423"/>
    </row>
    <row r="37534" s="101" customFormat="1" spans="6:6">
      <c r="F37534" s="2423"/>
    </row>
    <row r="37535" s="101" customFormat="1" spans="6:6">
      <c r="F37535" s="2423"/>
    </row>
    <row r="37536" s="101" customFormat="1" spans="6:6">
      <c r="F37536" s="2423"/>
    </row>
    <row r="37537" s="101" customFormat="1" spans="6:6">
      <c r="F37537" s="2423"/>
    </row>
    <row r="37538" s="101" customFormat="1" spans="6:6">
      <c r="F37538" s="2423"/>
    </row>
    <row r="37539" s="101" customFormat="1" spans="6:6">
      <c r="F37539" s="2423"/>
    </row>
    <row r="37540" s="101" customFormat="1" spans="6:6">
      <c r="F37540" s="2423"/>
    </row>
    <row r="37541" s="101" customFormat="1" spans="6:6">
      <c r="F37541" s="2423"/>
    </row>
    <row r="37542" s="101" customFormat="1" spans="6:6">
      <c r="F37542" s="2423"/>
    </row>
    <row r="37543" s="101" customFormat="1" spans="6:6">
      <c r="F37543" s="2423"/>
    </row>
    <row r="37544" s="101" customFormat="1" spans="6:6">
      <c r="F37544" s="2423"/>
    </row>
    <row r="37545" s="101" customFormat="1" spans="6:6">
      <c r="F37545" s="2423"/>
    </row>
    <row r="37546" s="101" customFormat="1" spans="6:6">
      <c r="F37546" s="2423"/>
    </row>
    <row r="37547" s="101" customFormat="1" spans="6:6">
      <c r="F37547" s="2423"/>
    </row>
    <row r="37548" s="101" customFormat="1" spans="6:6">
      <c r="F37548" s="2423"/>
    </row>
    <row r="37549" s="101" customFormat="1" spans="6:6">
      <c r="F37549" s="2423"/>
    </row>
    <row r="37550" s="101" customFormat="1" spans="6:6">
      <c r="F37550" s="2423"/>
    </row>
    <row r="37551" s="101" customFormat="1" spans="6:6">
      <c r="F37551" s="2423"/>
    </row>
    <row r="37552" s="101" customFormat="1" spans="6:6">
      <c r="F37552" s="2423"/>
    </row>
    <row r="37553" s="101" customFormat="1" spans="6:6">
      <c r="F37553" s="2423"/>
    </row>
    <row r="37554" s="101" customFormat="1" spans="6:6">
      <c r="F37554" s="2423"/>
    </row>
    <row r="37555" s="101" customFormat="1" spans="6:6">
      <c r="F37555" s="2423"/>
    </row>
    <row r="37556" s="101" customFormat="1" spans="6:6">
      <c r="F37556" s="2423"/>
    </row>
    <row r="37557" s="101" customFormat="1" spans="6:6">
      <c r="F37557" s="2423"/>
    </row>
    <row r="37558" s="101" customFormat="1" spans="6:6">
      <c r="F37558" s="2423"/>
    </row>
    <row r="37559" s="101" customFormat="1" spans="6:6">
      <c r="F37559" s="2423"/>
    </row>
    <row r="37560" s="101" customFormat="1" spans="6:6">
      <c r="F37560" s="2423"/>
    </row>
    <row r="37561" s="101" customFormat="1" spans="6:6">
      <c r="F37561" s="2423"/>
    </row>
    <row r="37562" s="101" customFormat="1" spans="6:6">
      <c r="F37562" s="2423"/>
    </row>
    <row r="37563" s="101" customFormat="1" spans="6:6">
      <c r="F37563" s="2423"/>
    </row>
    <row r="37564" s="101" customFormat="1" spans="6:6">
      <c r="F37564" s="2423"/>
    </row>
    <row r="37565" s="101" customFormat="1" spans="6:6">
      <c r="F37565" s="2423"/>
    </row>
    <row r="37566" s="101" customFormat="1" spans="6:6">
      <c r="F37566" s="2423"/>
    </row>
    <row r="37567" s="101" customFormat="1" spans="6:6">
      <c r="F37567" s="2423"/>
    </row>
    <row r="37568" s="101" customFormat="1" spans="6:6">
      <c r="F37568" s="2423"/>
    </row>
    <row r="37569" s="101" customFormat="1" spans="6:6">
      <c r="F37569" s="2423"/>
    </row>
    <row r="37570" s="101" customFormat="1" spans="6:6">
      <c r="F37570" s="2423"/>
    </row>
    <row r="37571" s="101" customFormat="1" spans="6:6">
      <c r="F37571" s="2423"/>
    </row>
    <row r="37572" s="101" customFormat="1" spans="6:6">
      <c r="F37572" s="2423"/>
    </row>
    <row r="37573" s="101" customFormat="1" spans="6:6">
      <c r="F37573" s="2423"/>
    </row>
    <row r="37574" s="101" customFormat="1" spans="6:6">
      <c r="F37574" s="2423"/>
    </row>
    <row r="37575" s="101" customFormat="1" spans="6:6">
      <c r="F37575" s="2423"/>
    </row>
    <row r="37576" s="101" customFormat="1" spans="6:6">
      <c r="F37576" s="2423"/>
    </row>
    <row r="37577" s="101" customFormat="1" spans="6:6">
      <c r="F37577" s="2423"/>
    </row>
    <row r="37578" s="101" customFormat="1" spans="6:6">
      <c r="F37578" s="2423"/>
    </row>
    <row r="37579" s="101" customFormat="1" spans="6:6">
      <c r="F37579" s="2423"/>
    </row>
    <row r="37580" s="101" customFormat="1" spans="6:6">
      <c r="F37580" s="2423"/>
    </row>
    <row r="37581" s="101" customFormat="1" spans="6:6">
      <c r="F37581" s="2423"/>
    </row>
    <row r="37582" s="101" customFormat="1" spans="6:6">
      <c r="F37582" s="2423"/>
    </row>
    <row r="37583" s="101" customFormat="1" spans="6:6">
      <c r="F37583" s="2423"/>
    </row>
    <row r="37584" s="101" customFormat="1" spans="6:6">
      <c r="F37584" s="2423"/>
    </row>
    <row r="37585" s="101" customFormat="1" spans="6:6">
      <c r="F37585" s="2423"/>
    </row>
    <row r="37586" s="101" customFormat="1" spans="6:6">
      <c r="F37586" s="2423"/>
    </row>
    <row r="37587" s="101" customFormat="1" spans="6:6">
      <c r="F37587" s="2423"/>
    </row>
    <row r="37588" s="101" customFormat="1" spans="6:6">
      <c r="F37588" s="2423"/>
    </row>
    <row r="37589" s="101" customFormat="1" spans="6:6">
      <c r="F37589" s="2423"/>
    </row>
    <row r="37590" s="101" customFormat="1" spans="6:6">
      <c r="F37590" s="2423"/>
    </row>
    <row r="37591" s="101" customFormat="1" spans="6:6">
      <c r="F37591" s="2423"/>
    </row>
    <row r="37592" s="101" customFormat="1" spans="6:6">
      <c r="F37592" s="2423"/>
    </row>
    <row r="37593" s="101" customFormat="1" spans="6:6">
      <c r="F37593" s="2423"/>
    </row>
    <row r="37594" s="101" customFormat="1" spans="6:6">
      <c r="F37594" s="2423"/>
    </row>
    <row r="37595" s="101" customFormat="1" spans="6:6">
      <c r="F37595" s="2423"/>
    </row>
    <row r="37596" s="101" customFormat="1" spans="6:6">
      <c r="F37596" s="2423"/>
    </row>
    <row r="37597" s="101" customFormat="1" spans="6:6">
      <c r="F37597" s="2423"/>
    </row>
    <row r="37598" s="101" customFormat="1" spans="6:6">
      <c r="F37598" s="2423"/>
    </row>
    <row r="37599" s="101" customFormat="1" spans="6:6">
      <c r="F37599" s="2423"/>
    </row>
    <row r="37600" s="101" customFormat="1" spans="6:6">
      <c r="F37600" s="2423"/>
    </row>
    <row r="37601" s="101" customFormat="1" spans="6:6">
      <c r="F37601" s="2423"/>
    </row>
    <row r="37602" s="101" customFormat="1" spans="6:6">
      <c r="F37602" s="2423"/>
    </row>
    <row r="37603" s="101" customFormat="1" spans="6:6">
      <c r="F37603" s="2423"/>
    </row>
    <row r="37604" s="101" customFormat="1" spans="6:6">
      <c r="F37604" s="2423"/>
    </row>
    <row r="37605" s="101" customFormat="1" spans="6:6">
      <c r="F37605" s="2423"/>
    </row>
    <row r="37606" s="101" customFormat="1" spans="6:6">
      <c r="F37606" s="2423"/>
    </row>
    <row r="37607" s="101" customFormat="1" spans="6:6">
      <c r="F37607" s="2423"/>
    </row>
    <row r="37608" s="101" customFormat="1" spans="6:6">
      <c r="F37608" s="2423"/>
    </row>
    <row r="37609" s="101" customFormat="1" spans="6:6">
      <c r="F37609" s="2423"/>
    </row>
    <row r="37610" s="101" customFormat="1" spans="6:6">
      <c r="F37610" s="2423"/>
    </row>
    <row r="37611" s="101" customFormat="1" spans="6:6">
      <c r="F37611" s="2423"/>
    </row>
    <row r="37612" s="101" customFormat="1" spans="6:6">
      <c r="F37612" s="2423"/>
    </row>
    <row r="37613" s="101" customFormat="1" spans="6:6">
      <c r="F37613" s="2423"/>
    </row>
    <row r="37614" s="101" customFormat="1" spans="6:6">
      <c r="F37614" s="2423"/>
    </row>
    <row r="37615" s="101" customFormat="1" spans="6:6">
      <c r="F37615" s="2423"/>
    </row>
    <row r="37616" s="101" customFormat="1" spans="6:6">
      <c r="F37616" s="2423"/>
    </row>
    <row r="37617" s="101" customFormat="1" spans="6:6">
      <c r="F37617" s="2423"/>
    </row>
    <row r="37618" s="101" customFormat="1" spans="6:6">
      <c r="F37618" s="2423"/>
    </row>
    <row r="37619" s="101" customFormat="1" spans="6:6">
      <c r="F37619" s="2423"/>
    </row>
    <row r="37620" s="101" customFormat="1" spans="6:6">
      <c r="F37620" s="2423"/>
    </row>
    <row r="37621" s="101" customFormat="1" spans="6:6">
      <c r="F37621" s="2423"/>
    </row>
    <row r="37622" s="101" customFormat="1" spans="6:6">
      <c r="F37622" s="2423"/>
    </row>
    <row r="37623" s="101" customFormat="1" spans="6:6">
      <c r="F37623" s="2423"/>
    </row>
    <row r="37624" s="101" customFormat="1" spans="6:6">
      <c r="F37624" s="2423"/>
    </row>
    <row r="37625" s="101" customFormat="1" spans="6:6">
      <c r="F37625" s="2423"/>
    </row>
    <row r="37626" s="101" customFormat="1" spans="6:6">
      <c r="F37626" s="2423"/>
    </row>
    <row r="37627" s="101" customFormat="1" spans="6:6">
      <c r="F37627" s="2423"/>
    </row>
    <row r="37628" s="101" customFormat="1" spans="6:6">
      <c r="F37628" s="2423"/>
    </row>
    <row r="37629" s="101" customFormat="1" spans="6:6">
      <c r="F37629" s="2423"/>
    </row>
    <row r="37630" s="101" customFormat="1" spans="6:6">
      <c r="F37630" s="2423"/>
    </row>
    <row r="37631" s="101" customFormat="1" spans="6:6">
      <c r="F37631" s="2423"/>
    </row>
    <row r="37632" s="101" customFormat="1" spans="6:6">
      <c r="F37632" s="2423"/>
    </row>
    <row r="37633" s="101" customFormat="1" spans="6:6">
      <c r="F37633" s="2423"/>
    </row>
    <row r="37634" s="101" customFormat="1" spans="6:6">
      <c r="F37634" s="2423"/>
    </row>
    <row r="37635" s="101" customFormat="1" spans="6:6">
      <c r="F37635" s="2423"/>
    </row>
    <row r="37636" s="101" customFormat="1" spans="6:6">
      <c r="F37636" s="2423"/>
    </row>
    <row r="37637" s="101" customFormat="1" spans="6:6">
      <c r="F37637" s="2423"/>
    </row>
    <row r="37638" s="101" customFormat="1" spans="6:6">
      <c r="F37638" s="2423"/>
    </row>
    <row r="37639" s="101" customFormat="1" spans="6:6">
      <c r="F37639" s="2423"/>
    </row>
    <row r="37640" s="101" customFormat="1" spans="6:6">
      <c r="F37640" s="2423"/>
    </row>
    <row r="37641" s="101" customFormat="1" spans="6:6">
      <c r="F37641" s="2423"/>
    </row>
    <row r="37642" s="101" customFormat="1" spans="6:6">
      <c r="F37642" s="2423"/>
    </row>
    <row r="37643" s="101" customFormat="1" spans="6:6">
      <c r="F37643" s="2423"/>
    </row>
    <row r="37644" s="101" customFormat="1" spans="6:6">
      <c r="F37644" s="2423"/>
    </row>
    <row r="37645" s="101" customFormat="1" spans="6:6">
      <c r="F37645" s="2423"/>
    </row>
    <row r="37646" s="101" customFormat="1" spans="6:6">
      <c r="F37646" s="2423"/>
    </row>
    <row r="37647" s="101" customFormat="1" spans="6:6">
      <c r="F37647" s="2423"/>
    </row>
    <row r="37648" s="101" customFormat="1" spans="6:6">
      <c r="F37648" s="2423"/>
    </row>
    <row r="37649" s="101" customFormat="1" spans="6:6">
      <c r="F37649" s="2423"/>
    </row>
    <row r="37650" s="101" customFormat="1" spans="6:6">
      <c r="F37650" s="2423"/>
    </row>
    <row r="37651" s="101" customFormat="1" spans="6:6">
      <c r="F37651" s="2423"/>
    </row>
    <row r="37652" s="101" customFormat="1" spans="6:6">
      <c r="F37652" s="2423"/>
    </row>
    <row r="37653" s="101" customFormat="1" spans="6:6">
      <c r="F37653" s="2423"/>
    </row>
    <row r="37654" s="101" customFormat="1" spans="6:6">
      <c r="F37654" s="2423"/>
    </row>
    <row r="37655" s="101" customFormat="1" spans="6:6">
      <c r="F37655" s="2423"/>
    </row>
    <row r="37656" s="101" customFormat="1" spans="6:6">
      <c r="F37656" s="2423"/>
    </row>
    <row r="37657" s="101" customFormat="1" spans="6:6">
      <c r="F37657" s="2423"/>
    </row>
    <row r="37658" s="101" customFormat="1" spans="6:6">
      <c r="F37658" s="2423"/>
    </row>
    <row r="37659" s="101" customFormat="1" spans="6:6">
      <c r="F37659" s="2423"/>
    </row>
    <row r="37660" s="101" customFormat="1" spans="6:6">
      <c r="F37660" s="2423"/>
    </row>
    <row r="37661" s="101" customFormat="1" spans="6:6">
      <c r="F37661" s="2423"/>
    </row>
    <row r="37662" s="101" customFormat="1" spans="6:6">
      <c r="F37662" s="2423"/>
    </row>
    <row r="37663" s="101" customFormat="1" spans="6:6">
      <c r="F37663" s="2423"/>
    </row>
    <row r="37664" s="101" customFormat="1" spans="6:6">
      <c r="F37664" s="2423"/>
    </row>
    <row r="37665" s="101" customFormat="1" spans="6:6">
      <c r="F37665" s="2423"/>
    </row>
    <row r="37666" s="101" customFormat="1" spans="6:6">
      <c r="F37666" s="2423"/>
    </row>
    <row r="37667" s="101" customFormat="1" spans="6:6">
      <c r="F37667" s="2423"/>
    </row>
    <row r="37668" s="101" customFormat="1" spans="6:6">
      <c r="F37668" s="2423"/>
    </row>
    <row r="37669" s="101" customFormat="1" spans="6:6">
      <c r="F37669" s="2423"/>
    </row>
    <row r="37670" s="101" customFormat="1" spans="6:6">
      <c r="F37670" s="2423"/>
    </row>
    <row r="37671" s="101" customFormat="1" spans="6:6">
      <c r="F37671" s="2423"/>
    </row>
    <row r="37672" s="101" customFormat="1" spans="6:6">
      <c r="F37672" s="2423"/>
    </row>
    <row r="37673" s="101" customFormat="1" spans="6:6">
      <c r="F37673" s="2423"/>
    </row>
    <row r="37674" s="101" customFormat="1" spans="6:6">
      <c r="F37674" s="2423"/>
    </row>
    <row r="37675" s="101" customFormat="1" spans="6:6">
      <c r="F37675" s="2423"/>
    </row>
    <row r="37676" s="101" customFormat="1" spans="6:6">
      <c r="F37676" s="2423"/>
    </row>
    <row r="37677" s="101" customFormat="1" spans="6:6">
      <c r="F37677" s="2423"/>
    </row>
    <row r="37678" s="101" customFormat="1" spans="6:6">
      <c r="F37678" s="2423"/>
    </row>
    <row r="37679" s="101" customFormat="1" spans="6:6">
      <c r="F37679" s="2423"/>
    </row>
    <row r="37680" s="101" customFormat="1" spans="6:6">
      <c r="F37680" s="2423"/>
    </row>
    <row r="37681" s="101" customFormat="1" spans="6:6">
      <c r="F37681" s="2423"/>
    </row>
    <row r="37682" s="101" customFormat="1" spans="6:6">
      <c r="F37682" s="2423"/>
    </row>
    <row r="37683" s="101" customFormat="1" spans="6:6">
      <c r="F37683" s="2423"/>
    </row>
    <row r="37684" s="101" customFormat="1" spans="6:6">
      <c r="F37684" s="2423"/>
    </row>
    <row r="37685" s="101" customFormat="1" spans="6:6">
      <c r="F37685" s="2423"/>
    </row>
    <row r="37686" s="101" customFormat="1" spans="6:6">
      <c r="F37686" s="2423"/>
    </row>
    <row r="37687" s="101" customFormat="1" spans="6:6">
      <c r="F37687" s="2423"/>
    </row>
    <row r="37688" s="101" customFormat="1" spans="6:6">
      <c r="F37688" s="2423"/>
    </row>
    <row r="37689" s="101" customFormat="1" spans="6:6">
      <c r="F37689" s="2423"/>
    </row>
    <row r="37690" s="101" customFormat="1" spans="6:6">
      <c r="F37690" s="2423"/>
    </row>
    <row r="37691" s="101" customFormat="1" spans="6:6">
      <c r="F37691" s="2423"/>
    </row>
    <row r="37692" s="101" customFormat="1" spans="6:6">
      <c r="F37692" s="2423"/>
    </row>
    <row r="37693" s="101" customFormat="1" spans="6:6">
      <c r="F37693" s="2423"/>
    </row>
    <row r="37694" s="101" customFormat="1" spans="6:6">
      <c r="F37694" s="2423"/>
    </row>
    <row r="37695" s="101" customFormat="1" spans="6:6">
      <c r="F37695" s="2423"/>
    </row>
    <row r="37696" s="101" customFormat="1" spans="6:6">
      <c r="F37696" s="2423"/>
    </row>
    <row r="37697" s="101" customFormat="1" spans="6:6">
      <c r="F37697" s="2423"/>
    </row>
    <row r="37698" s="101" customFormat="1" spans="6:6">
      <c r="F37698" s="2423"/>
    </row>
    <row r="37699" s="101" customFormat="1" spans="6:6">
      <c r="F37699" s="2423"/>
    </row>
    <row r="37700" s="101" customFormat="1" spans="6:6">
      <c r="F37700" s="2423"/>
    </row>
    <row r="37701" s="101" customFormat="1" spans="6:6">
      <c r="F37701" s="2423"/>
    </row>
    <row r="37702" s="101" customFormat="1" spans="6:6">
      <c r="F37702" s="2423"/>
    </row>
    <row r="37703" s="101" customFormat="1" spans="6:6">
      <c r="F37703" s="2423"/>
    </row>
    <row r="37704" s="101" customFormat="1" spans="6:6">
      <c r="F37704" s="2423"/>
    </row>
    <row r="37705" s="101" customFormat="1" spans="6:6">
      <c r="F37705" s="2423"/>
    </row>
    <row r="37706" s="101" customFormat="1" spans="6:6">
      <c r="F37706" s="2423"/>
    </row>
    <row r="37707" s="101" customFormat="1" spans="6:6">
      <c r="F37707" s="2423"/>
    </row>
    <row r="37708" s="101" customFormat="1" spans="6:6">
      <c r="F37708" s="2423"/>
    </row>
    <row r="37709" s="101" customFormat="1" spans="6:6">
      <c r="F37709" s="2423"/>
    </row>
    <row r="37710" s="101" customFormat="1" spans="6:6">
      <c r="F37710" s="2423"/>
    </row>
    <row r="37711" s="101" customFormat="1" spans="6:6">
      <c r="F37711" s="2423"/>
    </row>
    <row r="37712" s="101" customFormat="1" spans="6:6">
      <c r="F37712" s="2423"/>
    </row>
    <row r="37713" s="101" customFormat="1" spans="6:6">
      <c r="F37713" s="2423"/>
    </row>
    <row r="37714" s="101" customFormat="1" spans="6:6">
      <c r="F37714" s="2423"/>
    </row>
    <row r="37715" s="101" customFormat="1" spans="6:6">
      <c r="F37715" s="2423"/>
    </row>
    <row r="37716" s="101" customFormat="1" spans="6:6">
      <c r="F37716" s="2423"/>
    </row>
    <row r="37717" s="101" customFormat="1" spans="6:6">
      <c r="F37717" s="2423"/>
    </row>
    <row r="37718" s="101" customFormat="1" spans="6:6">
      <c r="F37718" s="2423"/>
    </row>
    <row r="37719" s="101" customFormat="1" spans="6:6">
      <c r="F37719" s="2423"/>
    </row>
    <row r="37720" s="101" customFormat="1" spans="6:6">
      <c r="F37720" s="2423"/>
    </row>
    <row r="37721" s="101" customFormat="1" spans="6:6">
      <c r="F37721" s="2423"/>
    </row>
    <row r="37722" s="101" customFormat="1" spans="6:6">
      <c r="F37722" s="2423"/>
    </row>
    <row r="37723" s="101" customFormat="1" spans="6:6">
      <c r="F37723" s="2423"/>
    </row>
    <row r="37724" s="101" customFormat="1" spans="6:6">
      <c r="F37724" s="2423"/>
    </row>
    <row r="37725" s="101" customFormat="1" spans="6:6">
      <c r="F37725" s="2423"/>
    </row>
    <row r="37726" s="101" customFormat="1" spans="6:6">
      <c r="F37726" s="2423"/>
    </row>
    <row r="37727" s="101" customFormat="1" spans="6:6">
      <c r="F37727" s="2423"/>
    </row>
    <row r="37728" s="101" customFormat="1" spans="6:6">
      <c r="F37728" s="2423"/>
    </row>
    <row r="37729" s="101" customFormat="1" spans="6:6">
      <c r="F37729" s="2423"/>
    </row>
    <row r="37730" s="101" customFormat="1" spans="6:6">
      <c r="F37730" s="2423"/>
    </row>
    <row r="37731" s="101" customFormat="1" spans="6:6">
      <c r="F37731" s="2423"/>
    </row>
    <row r="37732" s="101" customFormat="1" spans="6:6">
      <c r="F37732" s="2423"/>
    </row>
    <row r="37733" s="101" customFormat="1" spans="6:6">
      <c r="F37733" s="2423"/>
    </row>
    <row r="37734" s="101" customFormat="1" spans="6:6">
      <c r="F37734" s="2423"/>
    </row>
    <row r="37735" s="101" customFormat="1" spans="6:6">
      <c r="F37735" s="2423"/>
    </row>
    <row r="37736" s="101" customFormat="1" spans="6:6">
      <c r="F37736" s="2423"/>
    </row>
    <row r="37737" s="101" customFormat="1" spans="6:6">
      <c r="F37737" s="2423"/>
    </row>
    <row r="37738" s="101" customFormat="1" spans="6:6">
      <c r="F37738" s="2423"/>
    </row>
    <row r="37739" s="101" customFormat="1" spans="6:6">
      <c r="F37739" s="2423"/>
    </row>
    <row r="37740" s="101" customFormat="1" spans="6:6">
      <c r="F37740" s="2423"/>
    </row>
    <row r="37741" s="101" customFormat="1" spans="6:6">
      <c r="F37741" s="2423"/>
    </row>
    <row r="37742" s="101" customFormat="1" spans="6:6">
      <c r="F37742" s="2423"/>
    </row>
    <row r="37743" s="101" customFormat="1" spans="6:6">
      <c r="F37743" s="2423"/>
    </row>
    <row r="37744" s="101" customFormat="1" spans="6:6">
      <c r="F37744" s="2423"/>
    </row>
    <row r="37745" s="101" customFormat="1" spans="6:6">
      <c r="F37745" s="2423"/>
    </row>
    <row r="37746" s="101" customFormat="1" spans="6:6">
      <c r="F37746" s="2423"/>
    </row>
    <row r="37747" s="101" customFormat="1" spans="6:6">
      <c r="F37747" s="2423"/>
    </row>
    <row r="37748" s="101" customFormat="1" spans="6:6">
      <c r="F37748" s="2423"/>
    </row>
    <row r="37749" s="101" customFormat="1" spans="6:6">
      <c r="F37749" s="2423"/>
    </row>
    <row r="37750" s="101" customFormat="1" spans="6:6">
      <c r="F37750" s="2423"/>
    </row>
    <row r="37751" s="101" customFormat="1" spans="6:6">
      <c r="F37751" s="2423"/>
    </row>
    <row r="37752" s="101" customFormat="1" spans="6:6">
      <c r="F37752" s="2423"/>
    </row>
    <row r="37753" s="101" customFormat="1" spans="6:6">
      <c r="F37753" s="2423"/>
    </row>
    <row r="37754" s="101" customFormat="1" spans="6:6">
      <c r="F37754" s="2423"/>
    </row>
    <row r="37755" s="101" customFormat="1" spans="6:6">
      <c r="F37755" s="2423"/>
    </row>
    <row r="37756" s="101" customFormat="1" spans="6:6">
      <c r="F37756" s="2423"/>
    </row>
    <row r="37757" s="101" customFormat="1" spans="6:6">
      <c r="F37757" s="2423"/>
    </row>
    <row r="37758" s="101" customFormat="1" spans="6:6">
      <c r="F37758" s="2423"/>
    </row>
    <row r="37759" s="101" customFormat="1" spans="6:6">
      <c r="F37759" s="2423"/>
    </row>
    <row r="37760" s="101" customFormat="1" spans="6:6">
      <c r="F37760" s="2423"/>
    </row>
    <row r="37761" s="101" customFormat="1" spans="6:6">
      <c r="F37761" s="2423"/>
    </row>
    <row r="37762" s="101" customFormat="1" spans="6:6">
      <c r="F37762" s="2423"/>
    </row>
    <row r="37763" s="101" customFormat="1" spans="6:6">
      <c r="F37763" s="2423"/>
    </row>
    <row r="37764" s="101" customFormat="1" spans="6:6">
      <c r="F37764" s="2423"/>
    </row>
    <row r="37765" s="101" customFormat="1" spans="6:6">
      <c r="F37765" s="2423"/>
    </row>
    <row r="37766" s="101" customFormat="1" spans="6:6">
      <c r="F37766" s="2423"/>
    </row>
    <row r="37767" s="101" customFormat="1" spans="6:6">
      <c r="F37767" s="2423"/>
    </row>
    <row r="37768" s="101" customFormat="1" spans="6:6">
      <c r="F37768" s="2423"/>
    </row>
    <row r="37769" s="101" customFormat="1" spans="6:6">
      <c r="F37769" s="2423"/>
    </row>
    <row r="37770" s="101" customFormat="1" spans="6:6">
      <c r="F37770" s="2423"/>
    </row>
    <row r="37771" s="101" customFormat="1" spans="6:6">
      <c r="F37771" s="2423"/>
    </row>
    <row r="37772" s="101" customFormat="1" spans="6:6">
      <c r="F37772" s="2423"/>
    </row>
    <row r="37773" s="101" customFormat="1" spans="6:6">
      <c r="F37773" s="2423"/>
    </row>
    <row r="37774" s="101" customFormat="1" spans="6:6">
      <c r="F37774" s="2423"/>
    </row>
    <row r="37775" s="101" customFormat="1" spans="6:6">
      <c r="F37775" s="2423"/>
    </row>
    <row r="37776" s="101" customFormat="1" spans="6:6">
      <c r="F37776" s="2423"/>
    </row>
    <row r="37777" s="101" customFormat="1" spans="6:6">
      <c r="F37777" s="2423"/>
    </row>
    <row r="37778" s="101" customFormat="1" spans="6:6">
      <c r="F37778" s="2423"/>
    </row>
    <row r="37779" s="101" customFormat="1" spans="6:6">
      <c r="F37779" s="2423"/>
    </row>
    <row r="37780" s="101" customFormat="1" spans="6:6">
      <c r="F37780" s="2423"/>
    </row>
    <row r="37781" s="101" customFormat="1" spans="6:6">
      <c r="F37781" s="2423"/>
    </row>
    <row r="37782" s="101" customFormat="1" spans="6:6">
      <c r="F37782" s="2423"/>
    </row>
    <row r="37783" s="101" customFormat="1" spans="6:6">
      <c r="F37783" s="2423"/>
    </row>
    <row r="37784" s="101" customFormat="1" spans="6:6">
      <c r="F37784" s="2423"/>
    </row>
    <row r="37785" s="101" customFormat="1" spans="6:6">
      <c r="F37785" s="2423"/>
    </row>
    <row r="37786" s="101" customFormat="1" spans="6:6">
      <c r="F37786" s="2423"/>
    </row>
    <row r="37787" s="101" customFormat="1" spans="6:6">
      <c r="F37787" s="2423"/>
    </row>
    <row r="37788" s="101" customFormat="1" spans="6:6">
      <c r="F37788" s="2423"/>
    </row>
    <row r="37789" s="101" customFormat="1" spans="6:6">
      <c r="F37789" s="2423"/>
    </row>
    <row r="37790" s="101" customFormat="1" spans="6:6">
      <c r="F37790" s="2423"/>
    </row>
    <row r="37791" s="101" customFormat="1" spans="6:6">
      <c r="F37791" s="2423"/>
    </row>
    <row r="37792" s="101" customFormat="1" spans="6:6">
      <c r="F37792" s="2423"/>
    </row>
    <row r="37793" s="101" customFormat="1" spans="6:6">
      <c r="F37793" s="2423"/>
    </row>
    <row r="37794" s="101" customFormat="1" spans="6:6">
      <c r="F37794" s="2423"/>
    </row>
    <row r="37795" s="101" customFormat="1" spans="6:6">
      <c r="F37795" s="2423"/>
    </row>
    <row r="37796" s="101" customFormat="1" spans="6:6">
      <c r="F37796" s="2423"/>
    </row>
    <row r="37797" s="101" customFormat="1" spans="6:6">
      <c r="F37797" s="2423"/>
    </row>
    <row r="37798" s="101" customFormat="1" spans="6:6">
      <c r="F37798" s="2423"/>
    </row>
    <row r="37799" s="101" customFormat="1" spans="6:6">
      <c r="F37799" s="2423"/>
    </row>
    <row r="37800" s="101" customFormat="1" spans="6:6">
      <c r="F37800" s="2423"/>
    </row>
    <row r="37801" s="101" customFormat="1" spans="6:6">
      <c r="F37801" s="2423"/>
    </row>
    <row r="37802" s="101" customFormat="1" spans="6:6">
      <c r="F37802" s="2423"/>
    </row>
    <row r="37803" s="101" customFormat="1" spans="6:6">
      <c r="F37803" s="2423"/>
    </row>
    <row r="37804" s="101" customFormat="1" spans="6:6">
      <c r="F37804" s="2423"/>
    </row>
    <row r="37805" s="101" customFormat="1" spans="6:6">
      <c r="F37805" s="2423"/>
    </row>
    <row r="37806" s="101" customFormat="1" spans="6:6">
      <c r="F37806" s="2423"/>
    </row>
    <row r="37807" s="101" customFormat="1" spans="6:6">
      <c r="F37807" s="2423"/>
    </row>
    <row r="37808" s="101" customFormat="1" spans="6:6">
      <c r="F37808" s="2423"/>
    </row>
    <row r="37809" s="101" customFormat="1" spans="6:6">
      <c r="F37809" s="2423"/>
    </row>
    <row r="37810" s="101" customFormat="1" spans="6:6">
      <c r="F37810" s="2423"/>
    </row>
    <row r="37811" s="101" customFormat="1" spans="6:6">
      <c r="F37811" s="2423"/>
    </row>
    <row r="37812" s="101" customFormat="1" spans="6:6">
      <c r="F37812" s="2423"/>
    </row>
    <row r="37813" s="101" customFormat="1" spans="6:6">
      <c r="F37813" s="2423"/>
    </row>
    <row r="37814" s="101" customFormat="1" spans="6:6">
      <c r="F37814" s="2423"/>
    </row>
    <row r="37815" s="101" customFormat="1" spans="6:6">
      <c r="F37815" s="2423"/>
    </row>
    <row r="37816" s="101" customFormat="1" spans="6:6">
      <c r="F37816" s="2423"/>
    </row>
    <row r="37817" s="101" customFormat="1" spans="6:6">
      <c r="F37817" s="2423"/>
    </row>
    <row r="37818" s="101" customFormat="1" spans="6:6">
      <c r="F37818" s="2423"/>
    </row>
    <row r="37819" s="101" customFormat="1" spans="6:6">
      <c r="F37819" s="2423"/>
    </row>
    <row r="37820" s="101" customFormat="1" spans="6:6">
      <c r="F37820" s="2423"/>
    </row>
    <row r="37821" s="101" customFormat="1" spans="6:6">
      <c r="F37821" s="2423"/>
    </row>
    <row r="37822" s="101" customFormat="1" spans="6:6">
      <c r="F37822" s="2423"/>
    </row>
    <row r="37823" s="101" customFormat="1" spans="6:6">
      <c r="F37823" s="2423"/>
    </row>
    <row r="37824" s="101" customFormat="1" spans="6:6">
      <c r="F37824" s="2423"/>
    </row>
    <row r="37825" s="101" customFormat="1" spans="6:6">
      <c r="F37825" s="2423"/>
    </row>
    <row r="37826" s="101" customFormat="1" spans="6:6">
      <c r="F37826" s="2423"/>
    </row>
    <row r="37827" s="101" customFormat="1" spans="6:6">
      <c r="F37827" s="2423"/>
    </row>
    <row r="37828" s="101" customFormat="1" spans="6:6">
      <c r="F37828" s="2423"/>
    </row>
    <row r="37829" s="101" customFormat="1" spans="6:6">
      <c r="F37829" s="2423"/>
    </row>
    <row r="37830" s="101" customFormat="1" spans="6:6">
      <c r="F37830" s="2423"/>
    </row>
    <row r="37831" s="101" customFormat="1" spans="6:6">
      <c r="F37831" s="2423"/>
    </row>
    <row r="37832" s="101" customFormat="1" spans="6:6">
      <c r="F37832" s="2423"/>
    </row>
    <row r="37833" s="101" customFormat="1" spans="6:6">
      <c r="F37833" s="2423"/>
    </row>
    <row r="37834" s="101" customFormat="1" spans="6:6">
      <c r="F37834" s="2423"/>
    </row>
    <row r="37835" s="101" customFormat="1" spans="6:6">
      <c r="F37835" s="2423"/>
    </row>
    <row r="37836" s="101" customFormat="1" spans="6:6">
      <c r="F37836" s="2423"/>
    </row>
    <row r="37837" s="101" customFormat="1" spans="6:6">
      <c r="F37837" s="2423"/>
    </row>
    <row r="37838" s="101" customFormat="1" spans="6:6">
      <c r="F37838" s="2423"/>
    </row>
    <row r="37839" s="101" customFormat="1" spans="6:6">
      <c r="F37839" s="2423"/>
    </row>
    <row r="37840" s="101" customFormat="1" spans="6:6">
      <c r="F37840" s="2423"/>
    </row>
    <row r="37841" s="101" customFormat="1" spans="6:6">
      <c r="F37841" s="2423"/>
    </row>
    <row r="37842" s="101" customFormat="1" spans="6:6">
      <c r="F37842" s="2423"/>
    </row>
    <row r="37843" s="101" customFormat="1" spans="6:6">
      <c r="F37843" s="2423"/>
    </row>
    <row r="37844" s="101" customFormat="1" spans="6:6">
      <c r="F37844" s="2423"/>
    </row>
    <row r="37845" s="101" customFormat="1" spans="6:6">
      <c r="F37845" s="2423"/>
    </row>
    <row r="37846" s="101" customFormat="1" spans="6:6">
      <c r="F37846" s="2423"/>
    </row>
    <row r="37847" s="101" customFormat="1" spans="6:6">
      <c r="F37847" s="2423"/>
    </row>
    <row r="37848" s="101" customFormat="1" spans="6:6">
      <c r="F37848" s="2423"/>
    </row>
    <row r="37849" s="101" customFormat="1" spans="6:6">
      <c r="F37849" s="2423"/>
    </row>
    <row r="37850" s="101" customFormat="1" spans="6:6">
      <c r="F37850" s="2423"/>
    </row>
    <row r="37851" s="101" customFormat="1" spans="6:6">
      <c r="F37851" s="2423"/>
    </row>
    <row r="37852" s="101" customFormat="1" spans="6:6">
      <c r="F37852" s="2423"/>
    </row>
    <row r="37853" s="101" customFormat="1" spans="6:6">
      <c r="F37853" s="2423"/>
    </row>
    <row r="37854" s="101" customFormat="1" spans="6:6">
      <c r="F37854" s="2423"/>
    </row>
    <row r="37855" s="101" customFormat="1" spans="6:6">
      <c r="F37855" s="2423"/>
    </row>
    <row r="37856" s="101" customFormat="1" spans="6:6">
      <c r="F37856" s="2423"/>
    </row>
    <row r="37857" s="101" customFormat="1" spans="6:6">
      <c r="F37857" s="2423"/>
    </row>
    <row r="37858" s="101" customFormat="1" spans="6:6">
      <c r="F37858" s="2423"/>
    </row>
    <row r="37859" s="101" customFormat="1" spans="6:6">
      <c r="F37859" s="2423"/>
    </row>
    <row r="37860" s="101" customFormat="1" spans="6:6">
      <c r="F37860" s="2423"/>
    </row>
    <row r="37861" s="101" customFormat="1" spans="6:6">
      <c r="F37861" s="2423"/>
    </row>
    <row r="37862" s="101" customFormat="1" spans="6:6">
      <c r="F37862" s="2423"/>
    </row>
    <row r="37863" s="101" customFormat="1" spans="6:6">
      <c r="F37863" s="2423"/>
    </row>
    <row r="37864" s="101" customFormat="1" spans="6:6">
      <c r="F37864" s="2423"/>
    </row>
    <row r="37865" s="101" customFormat="1" spans="6:6">
      <c r="F37865" s="2423"/>
    </row>
    <row r="37866" s="101" customFormat="1" spans="6:6">
      <c r="F37866" s="2423"/>
    </row>
    <row r="37867" s="101" customFormat="1" spans="6:6">
      <c r="F37867" s="2423"/>
    </row>
    <row r="37868" s="101" customFormat="1" spans="6:6">
      <c r="F37868" s="2423"/>
    </row>
    <row r="37869" s="101" customFormat="1" spans="6:6">
      <c r="F37869" s="2423"/>
    </row>
    <row r="37870" s="101" customFormat="1" spans="6:6">
      <c r="F37870" s="2423"/>
    </row>
    <row r="37871" s="101" customFormat="1" spans="6:6">
      <c r="F37871" s="2423"/>
    </row>
    <row r="37872" s="101" customFormat="1" spans="6:6">
      <c r="F37872" s="2423"/>
    </row>
    <row r="37873" s="101" customFormat="1" spans="6:6">
      <c r="F37873" s="2423"/>
    </row>
    <row r="37874" s="101" customFormat="1" spans="6:6">
      <c r="F37874" s="2423"/>
    </row>
    <row r="37875" s="101" customFormat="1" spans="6:6">
      <c r="F37875" s="2423"/>
    </row>
    <row r="37876" s="101" customFormat="1" spans="6:6">
      <c r="F37876" s="2423"/>
    </row>
    <row r="37877" s="101" customFormat="1" spans="6:6">
      <c r="F37877" s="2423"/>
    </row>
    <row r="37878" s="101" customFormat="1" spans="6:6">
      <c r="F37878" s="2423"/>
    </row>
    <row r="37879" s="101" customFormat="1" spans="6:6">
      <c r="F37879" s="2423"/>
    </row>
    <row r="37880" s="101" customFormat="1" spans="6:6">
      <c r="F37880" s="2423"/>
    </row>
    <row r="37881" s="101" customFormat="1" spans="6:6">
      <c r="F37881" s="2423"/>
    </row>
    <row r="37882" s="101" customFormat="1" spans="6:6">
      <c r="F37882" s="2423"/>
    </row>
    <row r="37883" s="101" customFormat="1" spans="6:6">
      <c r="F37883" s="2423"/>
    </row>
    <row r="37884" s="101" customFormat="1" spans="6:6">
      <c r="F37884" s="2423"/>
    </row>
    <row r="37885" s="101" customFormat="1" spans="6:6">
      <c r="F37885" s="2423"/>
    </row>
    <row r="37886" s="101" customFormat="1" spans="6:6">
      <c r="F37886" s="2423"/>
    </row>
    <row r="37887" s="101" customFormat="1" spans="6:6">
      <c r="F37887" s="2423"/>
    </row>
    <row r="37888" s="101" customFormat="1" spans="6:6">
      <c r="F37888" s="2423"/>
    </row>
    <row r="37889" s="101" customFormat="1" spans="6:6">
      <c r="F37889" s="2423"/>
    </row>
    <row r="37890" s="101" customFormat="1" spans="6:6">
      <c r="F37890" s="2423"/>
    </row>
    <row r="37891" s="101" customFormat="1" spans="6:6">
      <c r="F37891" s="2423"/>
    </row>
    <row r="37892" s="101" customFormat="1" spans="6:6">
      <c r="F37892" s="2423"/>
    </row>
    <row r="37893" s="101" customFormat="1" spans="6:6">
      <c r="F37893" s="2423"/>
    </row>
    <row r="37894" s="101" customFormat="1" spans="6:6">
      <c r="F37894" s="2423"/>
    </row>
    <row r="37895" s="101" customFormat="1" spans="6:6">
      <c r="F37895" s="2423"/>
    </row>
    <row r="37896" s="101" customFormat="1" spans="6:6">
      <c r="F37896" s="2423"/>
    </row>
    <row r="37897" s="101" customFormat="1" spans="6:6">
      <c r="F37897" s="2423"/>
    </row>
    <row r="37898" s="101" customFormat="1" spans="6:6">
      <c r="F37898" s="2423"/>
    </row>
    <row r="37899" s="101" customFormat="1" spans="6:6">
      <c r="F37899" s="2423"/>
    </row>
    <row r="37900" s="101" customFormat="1" spans="6:6">
      <c r="F37900" s="2423"/>
    </row>
    <row r="37901" s="101" customFormat="1" spans="6:6">
      <c r="F37901" s="2423"/>
    </row>
    <row r="37902" s="101" customFormat="1" spans="6:6">
      <c r="F37902" s="2423"/>
    </row>
    <row r="37903" s="101" customFormat="1" spans="6:6">
      <c r="F37903" s="2423"/>
    </row>
    <row r="37904" s="101" customFormat="1" spans="6:6">
      <c r="F37904" s="2423"/>
    </row>
    <row r="37905" s="101" customFormat="1" spans="6:6">
      <c r="F37905" s="2423"/>
    </row>
    <row r="37906" s="101" customFormat="1" spans="6:6">
      <c r="F37906" s="2423"/>
    </row>
    <row r="37907" s="101" customFormat="1" spans="6:6">
      <c r="F37907" s="2423"/>
    </row>
    <row r="37908" s="101" customFormat="1" spans="6:6">
      <c r="F37908" s="2423"/>
    </row>
    <row r="37909" s="101" customFormat="1" spans="6:6">
      <c r="F37909" s="2423"/>
    </row>
    <row r="37910" s="101" customFormat="1" spans="6:6">
      <c r="F37910" s="2423"/>
    </row>
    <row r="37911" s="101" customFormat="1" spans="6:6">
      <c r="F37911" s="2423"/>
    </row>
    <row r="37912" s="101" customFormat="1" spans="6:6">
      <c r="F37912" s="2423"/>
    </row>
    <row r="37913" s="101" customFormat="1" spans="6:6">
      <c r="F37913" s="2423"/>
    </row>
    <row r="37914" s="101" customFormat="1" spans="6:6">
      <c r="F37914" s="2423"/>
    </row>
    <row r="37915" s="101" customFormat="1" spans="6:6">
      <c r="F37915" s="2423"/>
    </row>
    <row r="37916" s="101" customFormat="1" spans="6:6">
      <c r="F37916" s="2423"/>
    </row>
    <row r="37917" s="101" customFormat="1" spans="6:6">
      <c r="F37917" s="2423"/>
    </row>
    <row r="37918" s="101" customFormat="1" spans="6:6">
      <c r="F37918" s="2423"/>
    </row>
    <row r="37919" s="101" customFormat="1" spans="6:6">
      <c r="F37919" s="2423"/>
    </row>
    <row r="37920" s="101" customFormat="1" spans="6:6">
      <c r="F37920" s="2423"/>
    </row>
    <row r="37921" s="101" customFormat="1" spans="6:6">
      <c r="F37921" s="2423"/>
    </row>
    <row r="37922" s="101" customFormat="1" spans="6:6">
      <c r="F37922" s="2423"/>
    </row>
    <row r="37923" s="101" customFormat="1" spans="6:6">
      <c r="F37923" s="2423"/>
    </row>
    <row r="37924" s="101" customFormat="1" spans="6:6">
      <c r="F37924" s="2423"/>
    </row>
    <row r="37925" s="101" customFormat="1" spans="6:6">
      <c r="F37925" s="2423"/>
    </row>
    <row r="37926" s="101" customFormat="1" spans="6:6">
      <c r="F37926" s="2423"/>
    </row>
    <row r="37927" s="101" customFormat="1" spans="6:6">
      <c r="F37927" s="2423"/>
    </row>
    <row r="37928" s="101" customFormat="1" spans="6:6">
      <c r="F37928" s="2423"/>
    </row>
    <row r="37929" s="101" customFormat="1" spans="6:6">
      <c r="F37929" s="2423"/>
    </row>
    <row r="37930" s="101" customFormat="1" spans="6:6">
      <c r="F37930" s="2423"/>
    </row>
    <row r="37931" s="101" customFormat="1" spans="6:6">
      <c r="F37931" s="2423"/>
    </row>
    <row r="37932" s="101" customFormat="1" spans="6:6">
      <c r="F37932" s="2423"/>
    </row>
    <row r="37933" s="101" customFormat="1" spans="6:6">
      <c r="F37933" s="2423"/>
    </row>
    <row r="37934" s="101" customFormat="1" spans="6:6">
      <c r="F37934" s="2423"/>
    </row>
    <row r="37935" s="101" customFormat="1" spans="6:6">
      <c r="F37935" s="2423"/>
    </row>
    <row r="37936" s="101" customFormat="1" spans="6:6">
      <c r="F37936" s="2423"/>
    </row>
    <row r="37937" s="101" customFormat="1" spans="6:6">
      <c r="F37937" s="2423"/>
    </row>
    <row r="37938" s="101" customFormat="1" spans="6:6">
      <c r="F37938" s="2423"/>
    </row>
    <row r="37939" s="101" customFormat="1" spans="6:6">
      <c r="F37939" s="2423"/>
    </row>
    <row r="37940" s="101" customFormat="1" spans="6:6">
      <c r="F37940" s="2423"/>
    </row>
    <row r="37941" s="101" customFormat="1" spans="6:6">
      <c r="F37941" s="2423"/>
    </row>
    <row r="37942" s="101" customFormat="1" spans="6:6">
      <c r="F37942" s="2423"/>
    </row>
    <row r="37943" s="101" customFormat="1" spans="6:6">
      <c r="F37943" s="2423"/>
    </row>
    <row r="37944" s="101" customFormat="1" spans="6:6">
      <c r="F37944" s="2423"/>
    </row>
    <row r="37945" s="101" customFormat="1" spans="6:6">
      <c r="F37945" s="2423"/>
    </row>
    <row r="37946" s="101" customFormat="1" spans="6:6">
      <c r="F37946" s="2423"/>
    </row>
    <row r="37947" s="101" customFormat="1" spans="6:6">
      <c r="F37947" s="2423"/>
    </row>
    <row r="37948" s="101" customFormat="1" spans="6:6">
      <c r="F37948" s="2423"/>
    </row>
    <row r="37949" s="101" customFormat="1" spans="6:6">
      <c r="F37949" s="2423"/>
    </row>
    <row r="37950" s="101" customFormat="1" spans="6:6">
      <c r="F37950" s="2423"/>
    </row>
    <row r="37951" s="101" customFormat="1" spans="6:6">
      <c r="F37951" s="2423"/>
    </row>
    <row r="37952" s="101" customFormat="1" spans="6:6">
      <c r="F37952" s="2423"/>
    </row>
    <row r="37953" s="101" customFormat="1" spans="6:6">
      <c r="F37953" s="2423"/>
    </row>
    <row r="37954" s="101" customFormat="1" spans="6:6">
      <c r="F37954" s="2423"/>
    </row>
    <row r="37955" s="101" customFormat="1" spans="6:6">
      <c r="F37955" s="2423"/>
    </row>
    <row r="37956" s="101" customFormat="1" spans="6:6">
      <c r="F37956" s="2423"/>
    </row>
    <row r="37957" s="101" customFormat="1" spans="6:6">
      <c r="F37957" s="2423"/>
    </row>
    <row r="37958" s="101" customFormat="1" spans="6:6">
      <c r="F37958" s="2423"/>
    </row>
    <row r="37959" s="101" customFormat="1" spans="6:6">
      <c r="F37959" s="2423"/>
    </row>
    <row r="37960" s="101" customFormat="1" spans="6:6">
      <c r="F37960" s="2423"/>
    </row>
    <row r="37961" s="101" customFormat="1" spans="6:6">
      <c r="F37961" s="2423"/>
    </row>
    <row r="37962" s="101" customFormat="1" spans="6:6">
      <c r="F37962" s="2423"/>
    </row>
    <row r="37963" s="101" customFormat="1" spans="6:6">
      <c r="F37963" s="2423"/>
    </row>
    <row r="37964" s="101" customFormat="1" spans="6:6">
      <c r="F37964" s="2423"/>
    </row>
    <row r="37965" s="101" customFormat="1" spans="6:6">
      <c r="F37965" s="2423"/>
    </row>
    <row r="37966" s="101" customFormat="1" spans="6:6">
      <c r="F37966" s="2423"/>
    </row>
    <row r="37967" s="101" customFormat="1" spans="6:6">
      <c r="F37967" s="2423"/>
    </row>
    <row r="37968" s="101" customFormat="1" spans="6:6">
      <c r="F37968" s="2423"/>
    </row>
    <row r="37969" s="101" customFormat="1" spans="6:6">
      <c r="F37969" s="2423"/>
    </row>
    <row r="37970" s="101" customFormat="1" spans="6:6">
      <c r="F37970" s="2423"/>
    </row>
    <row r="37971" s="101" customFormat="1" spans="6:6">
      <c r="F37971" s="2423"/>
    </row>
    <row r="37972" s="101" customFormat="1" spans="6:6">
      <c r="F37972" s="2423"/>
    </row>
    <row r="37973" s="101" customFormat="1" spans="6:6">
      <c r="F37973" s="2423"/>
    </row>
    <row r="37974" s="101" customFormat="1" spans="6:6">
      <c r="F37974" s="2423"/>
    </row>
    <row r="37975" s="101" customFormat="1" spans="6:6">
      <c r="F37975" s="2423"/>
    </row>
    <row r="37976" s="101" customFormat="1" spans="6:6">
      <c r="F37976" s="2423"/>
    </row>
    <row r="37977" s="101" customFormat="1" spans="6:6">
      <c r="F37977" s="2423"/>
    </row>
    <row r="37978" s="101" customFormat="1" spans="6:6">
      <c r="F37978" s="2423"/>
    </row>
    <row r="37979" s="101" customFormat="1" spans="6:6">
      <c r="F37979" s="2423"/>
    </row>
    <row r="37980" s="101" customFormat="1" spans="6:6">
      <c r="F37980" s="2423"/>
    </row>
    <row r="37981" s="101" customFormat="1" spans="6:6">
      <c r="F37981" s="2423"/>
    </row>
    <row r="37982" s="101" customFormat="1" spans="6:6">
      <c r="F37982" s="2423"/>
    </row>
    <row r="37983" s="101" customFormat="1" spans="6:6">
      <c r="F37983" s="2423"/>
    </row>
    <row r="37984" s="101" customFormat="1" spans="6:6">
      <c r="F37984" s="2423"/>
    </row>
    <row r="37985" s="101" customFormat="1" spans="6:6">
      <c r="F37985" s="2423"/>
    </row>
    <row r="37986" s="101" customFormat="1" spans="6:6">
      <c r="F37986" s="2423"/>
    </row>
    <row r="37987" s="101" customFormat="1" spans="6:6">
      <c r="F37987" s="2423"/>
    </row>
    <row r="37988" s="101" customFormat="1" spans="6:6">
      <c r="F37988" s="2423"/>
    </row>
    <row r="37989" s="101" customFormat="1" spans="6:6">
      <c r="F37989" s="2423"/>
    </row>
    <row r="37990" s="101" customFormat="1" spans="6:6">
      <c r="F37990" s="2423"/>
    </row>
    <row r="37991" s="101" customFormat="1" spans="6:6">
      <c r="F37991" s="2423"/>
    </row>
    <row r="37992" s="101" customFormat="1" spans="6:6">
      <c r="F37992" s="2423"/>
    </row>
    <row r="37993" s="101" customFormat="1" spans="6:6">
      <c r="F37993" s="2423"/>
    </row>
    <row r="37994" s="101" customFormat="1" spans="6:6">
      <c r="F37994" s="2423"/>
    </row>
    <row r="37995" s="101" customFormat="1" spans="6:6">
      <c r="F37995" s="2423"/>
    </row>
    <row r="37996" s="101" customFormat="1" spans="6:6">
      <c r="F37996" s="2423"/>
    </row>
    <row r="37997" s="101" customFormat="1" spans="6:6">
      <c r="F37997" s="2423"/>
    </row>
    <row r="37998" s="101" customFormat="1" spans="6:6">
      <c r="F37998" s="2423"/>
    </row>
    <row r="37999" s="101" customFormat="1" spans="6:6">
      <c r="F37999" s="2423"/>
    </row>
    <row r="38000" s="101" customFormat="1" spans="6:6">
      <c r="F38000" s="2423"/>
    </row>
    <row r="38001" s="101" customFormat="1" spans="6:6">
      <c r="F38001" s="2423"/>
    </row>
    <row r="38002" s="101" customFormat="1" spans="6:6">
      <c r="F38002" s="2423"/>
    </row>
    <row r="38003" s="101" customFormat="1" spans="6:6">
      <c r="F38003" s="2423"/>
    </row>
    <row r="38004" s="101" customFormat="1" spans="6:6">
      <c r="F38004" s="2423"/>
    </row>
    <row r="38005" s="101" customFormat="1" spans="6:6">
      <c r="F38005" s="2423"/>
    </row>
    <row r="38006" s="101" customFormat="1" spans="6:6">
      <c r="F38006" s="2423"/>
    </row>
    <row r="38007" s="101" customFormat="1" spans="6:6">
      <c r="F38007" s="2423"/>
    </row>
    <row r="38008" s="101" customFormat="1" spans="6:6">
      <c r="F38008" s="2423"/>
    </row>
    <row r="38009" s="101" customFormat="1" spans="6:6">
      <c r="F38009" s="2423"/>
    </row>
    <row r="38010" s="101" customFormat="1" spans="6:6">
      <c r="F38010" s="2423"/>
    </row>
    <row r="38011" s="101" customFormat="1" spans="6:6">
      <c r="F38011" s="2423"/>
    </row>
    <row r="38012" s="101" customFormat="1" spans="6:6">
      <c r="F38012" s="2423"/>
    </row>
    <row r="38013" s="101" customFormat="1" spans="6:6">
      <c r="F38013" s="2423"/>
    </row>
    <row r="38014" s="101" customFormat="1" spans="6:6">
      <c r="F38014" s="2423"/>
    </row>
    <row r="38015" s="101" customFormat="1" spans="6:6">
      <c r="F38015" s="2423"/>
    </row>
    <row r="38016" s="101" customFormat="1" spans="6:6">
      <c r="F38016" s="2423"/>
    </row>
    <row r="38017" s="101" customFormat="1" spans="6:6">
      <c r="F38017" s="2423"/>
    </row>
    <row r="38018" s="101" customFormat="1" spans="6:6">
      <c r="F38018" s="2423"/>
    </row>
    <row r="38019" s="101" customFormat="1" spans="6:6">
      <c r="F38019" s="2423"/>
    </row>
    <row r="38020" s="101" customFormat="1" spans="6:6">
      <c r="F38020" s="2423"/>
    </row>
    <row r="38021" s="101" customFormat="1" spans="6:6">
      <c r="F38021" s="2423"/>
    </row>
    <row r="38022" s="101" customFormat="1" spans="6:6">
      <c r="F38022" s="2423"/>
    </row>
    <row r="38023" s="101" customFormat="1" spans="6:6">
      <c r="F38023" s="2423"/>
    </row>
    <row r="38024" s="101" customFormat="1" spans="6:6">
      <c r="F38024" s="2423"/>
    </row>
    <row r="38025" s="101" customFormat="1" spans="6:6">
      <c r="F38025" s="2423"/>
    </row>
    <row r="38026" s="101" customFormat="1" spans="6:6">
      <c r="F38026" s="2423"/>
    </row>
    <row r="38027" s="101" customFormat="1" spans="6:6">
      <c r="F38027" s="2423"/>
    </row>
    <row r="38028" s="101" customFormat="1" spans="6:6">
      <c r="F38028" s="2423"/>
    </row>
    <row r="38029" s="101" customFormat="1" spans="6:6">
      <c r="F38029" s="2423"/>
    </row>
    <row r="38030" s="101" customFormat="1" spans="6:6">
      <c r="F38030" s="2423"/>
    </row>
    <row r="38031" s="101" customFormat="1" spans="6:6">
      <c r="F38031" s="2423"/>
    </row>
    <row r="38032" s="101" customFormat="1" spans="6:6">
      <c r="F38032" s="2423"/>
    </row>
    <row r="38033" s="101" customFormat="1" spans="6:6">
      <c r="F38033" s="2423"/>
    </row>
    <row r="38034" s="101" customFormat="1" spans="6:6">
      <c r="F38034" s="2423"/>
    </row>
    <row r="38035" s="101" customFormat="1" spans="6:6">
      <c r="F38035" s="2423"/>
    </row>
    <row r="38036" s="101" customFormat="1" spans="6:6">
      <c r="F38036" s="2423"/>
    </row>
    <row r="38037" s="101" customFormat="1" spans="6:6">
      <c r="F38037" s="2423"/>
    </row>
    <row r="38038" s="101" customFormat="1" spans="6:6">
      <c r="F38038" s="2423"/>
    </row>
    <row r="38039" s="101" customFormat="1" spans="6:6">
      <c r="F38039" s="2423"/>
    </row>
    <row r="38040" s="101" customFormat="1" spans="6:6">
      <c r="F38040" s="2423"/>
    </row>
    <row r="38041" s="101" customFormat="1" spans="6:6">
      <c r="F38041" s="2423"/>
    </row>
    <row r="38042" s="101" customFormat="1" spans="6:6">
      <c r="F38042" s="2423"/>
    </row>
    <row r="38043" s="101" customFormat="1" spans="6:6">
      <c r="F38043" s="2423"/>
    </row>
    <row r="38044" s="101" customFormat="1" spans="6:6">
      <c r="F38044" s="2423"/>
    </row>
    <row r="38045" s="101" customFormat="1" spans="6:6">
      <c r="F38045" s="2423"/>
    </row>
    <row r="38046" s="101" customFormat="1" spans="6:6">
      <c r="F38046" s="2423"/>
    </row>
    <row r="38047" s="101" customFormat="1" spans="6:6">
      <c r="F38047" s="2423"/>
    </row>
    <row r="38048" s="101" customFormat="1" spans="6:6">
      <c r="F38048" s="2423"/>
    </row>
    <row r="38049" s="101" customFormat="1" spans="6:6">
      <c r="F38049" s="2423"/>
    </row>
    <row r="38050" s="101" customFormat="1" spans="6:6">
      <c r="F38050" s="2423"/>
    </row>
    <row r="38051" s="101" customFormat="1" spans="6:6">
      <c r="F38051" s="2423"/>
    </row>
    <row r="38052" s="101" customFormat="1" spans="6:6">
      <c r="F38052" s="2423"/>
    </row>
    <row r="38053" s="101" customFormat="1" spans="6:6">
      <c r="F38053" s="2423"/>
    </row>
    <row r="38054" s="101" customFormat="1" spans="6:6">
      <c r="F38054" s="2423"/>
    </row>
    <row r="38055" s="101" customFormat="1" spans="6:6">
      <c r="F38055" s="2423"/>
    </row>
    <row r="38056" s="101" customFormat="1" spans="6:6">
      <c r="F38056" s="2423"/>
    </row>
    <row r="38057" s="101" customFormat="1" spans="6:6">
      <c r="F38057" s="2423"/>
    </row>
    <row r="38058" s="101" customFormat="1" spans="6:6">
      <c r="F38058" s="2423"/>
    </row>
    <row r="38059" s="101" customFormat="1" spans="6:6">
      <c r="F38059" s="2423"/>
    </row>
    <row r="38060" s="101" customFormat="1" spans="6:6">
      <c r="F38060" s="2423"/>
    </row>
    <row r="38061" s="101" customFormat="1" spans="6:6">
      <c r="F38061" s="2423"/>
    </row>
    <row r="38062" s="101" customFormat="1" spans="6:6">
      <c r="F38062" s="2423"/>
    </row>
    <row r="38063" s="101" customFormat="1" spans="6:6">
      <c r="F38063" s="2423"/>
    </row>
    <row r="38064" s="101" customFormat="1" spans="6:6">
      <c r="F38064" s="2423"/>
    </row>
    <row r="38065" s="101" customFormat="1" spans="6:6">
      <c r="F38065" s="2423"/>
    </row>
    <row r="38066" s="101" customFormat="1" spans="6:6">
      <c r="F38066" s="2423"/>
    </row>
    <row r="38067" s="101" customFormat="1" spans="6:6">
      <c r="F38067" s="2423"/>
    </row>
    <row r="38068" s="101" customFormat="1" spans="6:6">
      <c r="F38068" s="2423"/>
    </row>
    <row r="38069" s="101" customFormat="1" spans="6:6">
      <c r="F38069" s="2423"/>
    </row>
    <row r="38070" s="101" customFormat="1" spans="6:6">
      <c r="F38070" s="2423"/>
    </row>
    <row r="38071" s="101" customFormat="1" spans="6:6">
      <c r="F38071" s="2423"/>
    </row>
    <row r="38072" s="101" customFormat="1" spans="6:6">
      <c r="F38072" s="2423"/>
    </row>
    <row r="38073" s="101" customFormat="1" spans="6:6">
      <c r="F38073" s="2423"/>
    </row>
    <row r="38074" s="101" customFormat="1" spans="6:6">
      <c r="F38074" s="2423"/>
    </row>
    <row r="38075" s="101" customFormat="1" spans="6:6">
      <c r="F38075" s="2423"/>
    </row>
    <row r="38076" s="101" customFormat="1" spans="6:6">
      <c r="F38076" s="2423"/>
    </row>
    <row r="38077" s="101" customFormat="1" spans="6:6">
      <c r="F38077" s="2423"/>
    </row>
    <row r="38078" s="101" customFormat="1" spans="6:6">
      <c r="F38078" s="2423"/>
    </row>
    <row r="38079" s="101" customFormat="1" spans="6:6">
      <c r="F38079" s="2423"/>
    </row>
    <row r="38080" s="101" customFormat="1" spans="6:6">
      <c r="F38080" s="2423"/>
    </row>
    <row r="38081" s="101" customFormat="1" spans="6:6">
      <c r="F38081" s="2423"/>
    </row>
    <row r="38082" s="101" customFormat="1" spans="6:6">
      <c r="F38082" s="2423"/>
    </row>
    <row r="38083" s="101" customFormat="1" spans="6:6">
      <c r="F38083" s="2423"/>
    </row>
    <row r="38084" s="101" customFormat="1" spans="6:6">
      <c r="F38084" s="2423"/>
    </row>
    <row r="38085" s="101" customFormat="1" spans="6:6">
      <c r="F38085" s="2423"/>
    </row>
    <row r="38086" s="101" customFormat="1" spans="6:6">
      <c r="F38086" s="2423"/>
    </row>
    <row r="38087" s="101" customFormat="1" spans="6:6">
      <c r="F38087" s="2423"/>
    </row>
    <row r="38088" s="101" customFormat="1" spans="6:6">
      <c r="F38088" s="2423"/>
    </row>
    <row r="38089" s="101" customFormat="1" spans="6:6">
      <c r="F38089" s="2423"/>
    </row>
    <row r="38090" s="101" customFormat="1" spans="6:6">
      <c r="F38090" s="2423"/>
    </row>
    <row r="38091" s="101" customFormat="1" spans="6:6">
      <c r="F38091" s="2423"/>
    </row>
    <row r="38092" s="101" customFormat="1" spans="6:6">
      <c r="F38092" s="2423"/>
    </row>
    <row r="38093" s="101" customFormat="1" spans="6:6">
      <c r="F38093" s="2423"/>
    </row>
    <row r="38094" s="101" customFormat="1" spans="6:6">
      <c r="F38094" s="2423"/>
    </row>
    <row r="38095" s="101" customFormat="1" spans="6:6">
      <c r="F38095" s="2423"/>
    </row>
    <row r="38096" s="101" customFormat="1" spans="6:6">
      <c r="F38096" s="2423"/>
    </row>
    <row r="38097" s="101" customFormat="1" spans="6:6">
      <c r="F38097" s="2423"/>
    </row>
    <row r="38098" s="101" customFormat="1" spans="6:6">
      <c r="F38098" s="2423"/>
    </row>
    <row r="38099" s="101" customFormat="1" spans="6:6">
      <c r="F38099" s="2423"/>
    </row>
    <row r="38100" s="101" customFormat="1" spans="6:6">
      <c r="F38100" s="2423"/>
    </row>
    <row r="38101" s="101" customFormat="1" spans="6:6">
      <c r="F38101" s="2423"/>
    </row>
    <row r="38102" s="101" customFormat="1" spans="6:6">
      <c r="F38102" s="2423"/>
    </row>
    <row r="38103" s="101" customFormat="1" spans="6:6">
      <c r="F38103" s="2423"/>
    </row>
    <row r="38104" s="101" customFormat="1" spans="6:6">
      <c r="F38104" s="2423"/>
    </row>
    <row r="38105" s="101" customFormat="1" spans="6:6">
      <c r="F38105" s="2423"/>
    </row>
    <row r="38106" s="101" customFormat="1" spans="6:6">
      <c r="F38106" s="2423"/>
    </row>
    <row r="38107" s="101" customFormat="1" spans="6:6">
      <c r="F38107" s="2423"/>
    </row>
    <row r="38108" s="101" customFormat="1" spans="6:6">
      <c r="F38108" s="2423"/>
    </row>
    <row r="38109" s="101" customFormat="1" spans="6:6">
      <c r="F38109" s="2423"/>
    </row>
    <row r="38110" s="101" customFormat="1" spans="6:6">
      <c r="F38110" s="2423"/>
    </row>
    <row r="38111" s="101" customFormat="1" spans="6:6">
      <c r="F38111" s="2423"/>
    </row>
    <row r="38112" s="101" customFormat="1" spans="6:6">
      <c r="F38112" s="2423"/>
    </row>
    <row r="38113" s="101" customFormat="1" spans="6:6">
      <c r="F38113" s="2423"/>
    </row>
    <row r="38114" s="101" customFormat="1" spans="6:6">
      <c r="F38114" s="2423"/>
    </row>
    <row r="38115" s="101" customFormat="1" spans="6:6">
      <c r="F38115" s="2423"/>
    </row>
    <row r="38116" s="101" customFormat="1" spans="6:6">
      <c r="F38116" s="2423"/>
    </row>
    <row r="38117" s="101" customFormat="1" spans="6:6">
      <c r="F38117" s="2423"/>
    </row>
    <row r="38118" s="101" customFormat="1" spans="6:6">
      <c r="F38118" s="2423"/>
    </row>
    <row r="38119" s="101" customFormat="1" spans="6:6">
      <c r="F38119" s="2423"/>
    </row>
    <row r="38120" s="101" customFormat="1" spans="6:6">
      <c r="F38120" s="2423"/>
    </row>
    <row r="38121" s="101" customFormat="1" spans="6:6">
      <c r="F38121" s="2423"/>
    </row>
    <row r="38122" s="101" customFormat="1" spans="6:6">
      <c r="F38122" s="2423"/>
    </row>
    <row r="38123" s="101" customFormat="1" spans="6:6">
      <c r="F38123" s="2423"/>
    </row>
    <row r="38124" s="101" customFormat="1" spans="6:6">
      <c r="F38124" s="2423"/>
    </row>
    <row r="38125" s="101" customFormat="1" spans="6:6">
      <c r="F38125" s="2423"/>
    </row>
    <row r="38126" s="101" customFormat="1" spans="6:6">
      <c r="F38126" s="2423"/>
    </row>
    <row r="38127" s="101" customFormat="1" spans="6:6">
      <c r="F38127" s="2423"/>
    </row>
    <row r="38128" s="101" customFormat="1" spans="6:6">
      <c r="F38128" s="2423"/>
    </row>
    <row r="38129" s="101" customFormat="1" spans="6:6">
      <c r="F38129" s="2423"/>
    </row>
    <row r="38130" s="101" customFormat="1" spans="6:6">
      <c r="F38130" s="2423"/>
    </row>
    <row r="38131" s="101" customFormat="1" spans="6:6">
      <c r="F38131" s="2423"/>
    </row>
    <row r="38132" s="101" customFormat="1" spans="6:6">
      <c r="F38132" s="2423"/>
    </row>
    <row r="38133" s="101" customFormat="1" spans="6:6">
      <c r="F38133" s="2423"/>
    </row>
    <row r="38134" s="101" customFormat="1" spans="6:6">
      <c r="F38134" s="2423"/>
    </row>
    <row r="38135" s="101" customFormat="1" spans="6:6">
      <c r="F38135" s="2423"/>
    </row>
    <row r="38136" s="101" customFormat="1" spans="6:6">
      <c r="F38136" s="2423"/>
    </row>
    <row r="38137" s="101" customFormat="1" spans="6:6">
      <c r="F38137" s="2423"/>
    </row>
    <row r="38138" s="101" customFormat="1" spans="6:6">
      <c r="F38138" s="2423"/>
    </row>
    <row r="38139" s="101" customFormat="1" spans="6:6">
      <c r="F38139" s="2423"/>
    </row>
    <row r="38140" s="101" customFormat="1" spans="6:6">
      <c r="F38140" s="2423"/>
    </row>
    <row r="38141" s="101" customFormat="1" spans="6:6">
      <c r="F38141" s="2423"/>
    </row>
    <row r="38142" s="101" customFormat="1" spans="6:6">
      <c r="F38142" s="2423"/>
    </row>
    <row r="38143" s="101" customFormat="1" spans="6:6">
      <c r="F38143" s="2423"/>
    </row>
    <row r="38144" s="101" customFormat="1" spans="6:6">
      <c r="F38144" s="2423"/>
    </row>
    <row r="38145" s="101" customFormat="1" spans="6:6">
      <c r="F38145" s="2423"/>
    </row>
    <row r="38146" s="101" customFormat="1" spans="6:6">
      <c r="F38146" s="2423"/>
    </row>
    <row r="38147" s="101" customFormat="1" spans="6:6">
      <c r="F38147" s="2423"/>
    </row>
    <row r="38148" s="101" customFormat="1" spans="6:6">
      <c r="F38148" s="2423"/>
    </row>
    <row r="38149" s="101" customFormat="1" spans="6:6">
      <c r="F38149" s="2423"/>
    </row>
    <row r="38150" s="101" customFormat="1" spans="6:6">
      <c r="F38150" s="2423"/>
    </row>
    <row r="38151" s="101" customFormat="1" spans="6:6">
      <c r="F38151" s="2423"/>
    </row>
    <row r="38152" s="101" customFormat="1" spans="6:6">
      <c r="F38152" s="2423"/>
    </row>
    <row r="38153" s="101" customFormat="1" spans="6:6">
      <c r="F38153" s="2423"/>
    </row>
    <row r="38154" s="101" customFormat="1" spans="6:6">
      <c r="F38154" s="2423"/>
    </row>
    <row r="38155" s="101" customFormat="1" spans="6:6">
      <c r="F38155" s="2423"/>
    </row>
    <row r="38156" s="101" customFormat="1" spans="6:6">
      <c r="F38156" s="2423"/>
    </row>
    <row r="38157" s="101" customFormat="1" spans="6:6">
      <c r="F38157" s="2423"/>
    </row>
    <row r="38158" s="101" customFormat="1" spans="6:6">
      <c r="F38158" s="2423"/>
    </row>
    <row r="38159" s="101" customFormat="1" spans="6:6">
      <c r="F38159" s="2423"/>
    </row>
    <row r="38160" s="101" customFormat="1" spans="6:6">
      <c r="F38160" s="2423"/>
    </row>
    <row r="38161" s="101" customFormat="1" spans="6:6">
      <c r="F38161" s="2423"/>
    </row>
    <row r="38162" s="101" customFormat="1" spans="6:6">
      <c r="F38162" s="2423"/>
    </row>
    <row r="38163" s="101" customFormat="1" spans="6:6">
      <c r="F38163" s="2423"/>
    </row>
    <row r="38164" s="101" customFormat="1" spans="6:6">
      <c r="F38164" s="2423"/>
    </row>
    <row r="38165" s="101" customFormat="1" spans="6:6">
      <c r="F38165" s="2423"/>
    </row>
    <row r="38166" s="101" customFormat="1" spans="6:6">
      <c r="F38166" s="2423"/>
    </row>
    <row r="38167" s="101" customFormat="1" spans="6:6">
      <c r="F38167" s="2423"/>
    </row>
    <row r="38168" s="101" customFormat="1" spans="6:6">
      <c r="F38168" s="2423"/>
    </row>
    <row r="38169" s="101" customFormat="1" spans="6:6">
      <c r="F38169" s="2423"/>
    </row>
    <row r="38170" s="101" customFormat="1" spans="6:6">
      <c r="F38170" s="2423"/>
    </row>
    <row r="38171" s="101" customFormat="1" spans="6:6">
      <c r="F38171" s="2423"/>
    </row>
    <row r="38172" s="101" customFormat="1" spans="6:6">
      <c r="F38172" s="2423"/>
    </row>
    <row r="38173" s="101" customFormat="1" spans="6:6">
      <c r="F38173" s="2423"/>
    </row>
    <row r="38174" s="101" customFormat="1" spans="6:6">
      <c r="F38174" s="2423"/>
    </row>
    <row r="38175" s="101" customFormat="1" spans="6:6">
      <c r="F38175" s="2423"/>
    </row>
    <row r="38176" s="101" customFormat="1" spans="6:6">
      <c r="F38176" s="2423"/>
    </row>
    <row r="38177" s="101" customFormat="1" spans="6:6">
      <c r="F38177" s="2423"/>
    </row>
    <row r="38178" s="101" customFormat="1" spans="6:6">
      <c r="F38178" s="2423"/>
    </row>
    <row r="38179" s="101" customFormat="1" spans="6:6">
      <c r="F38179" s="2423"/>
    </row>
    <row r="38180" s="101" customFormat="1" spans="6:6">
      <c r="F38180" s="2423"/>
    </row>
    <row r="38181" s="101" customFormat="1" spans="6:6">
      <c r="F38181" s="2423"/>
    </row>
    <row r="38182" s="101" customFormat="1" spans="6:6">
      <c r="F38182" s="2423"/>
    </row>
    <row r="38183" s="101" customFormat="1" spans="6:6">
      <c r="F38183" s="2423"/>
    </row>
    <row r="38184" s="101" customFormat="1" spans="6:6">
      <c r="F38184" s="2423"/>
    </row>
    <row r="38185" s="101" customFormat="1" spans="6:6">
      <c r="F38185" s="2423"/>
    </row>
    <row r="38186" s="101" customFormat="1" spans="6:6">
      <c r="F38186" s="2423"/>
    </row>
    <row r="38187" s="101" customFormat="1" spans="6:6">
      <c r="F38187" s="2423"/>
    </row>
    <row r="38188" s="101" customFormat="1" spans="6:6">
      <c r="F38188" s="2423"/>
    </row>
    <row r="38189" s="101" customFormat="1" spans="6:6">
      <c r="F38189" s="2423"/>
    </row>
    <row r="38190" s="101" customFormat="1" spans="6:6">
      <c r="F38190" s="2423"/>
    </row>
    <row r="38191" s="101" customFormat="1" spans="6:6">
      <c r="F38191" s="2423"/>
    </row>
    <row r="38192" s="101" customFormat="1" spans="6:6">
      <c r="F38192" s="2423"/>
    </row>
    <row r="38193" s="101" customFormat="1" spans="6:6">
      <c r="F38193" s="2423"/>
    </row>
    <row r="38194" s="101" customFormat="1" spans="6:6">
      <c r="F38194" s="2423"/>
    </row>
    <row r="38195" s="101" customFormat="1" spans="6:6">
      <c r="F38195" s="2423"/>
    </row>
    <row r="38196" s="101" customFormat="1" spans="6:6">
      <c r="F38196" s="2423"/>
    </row>
    <row r="38197" s="101" customFormat="1" spans="6:6">
      <c r="F38197" s="2423"/>
    </row>
    <row r="38198" s="101" customFormat="1" spans="6:6">
      <c r="F38198" s="2423"/>
    </row>
    <row r="38199" s="101" customFormat="1" spans="6:6">
      <c r="F38199" s="2423"/>
    </row>
    <row r="38200" s="101" customFormat="1" spans="6:6">
      <c r="F38200" s="2423"/>
    </row>
    <row r="38201" s="101" customFormat="1" spans="6:6">
      <c r="F38201" s="2423"/>
    </row>
    <row r="38202" s="101" customFormat="1" spans="6:6">
      <c r="F38202" s="2423"/>
    </row>
    <row r="38203" s="101" customFormat="1" spans="6:6">
      <c r="F38203" s="2423"/>
    </row>
    <row r="38204" s="101" customFormat="1" spans="6:6">
      <c r="F38204" s="2423"/>
    </row>
    <row r="38205" s="101" customFormat="1" spans="6:6">
      <c r="F38205" s="2423"/>
    </row>
    <row r="38206" s="101" customFormat="1" spans="6:6">
      <c r="F38206" s="2423"/>
    </row>
    <row r="38207" s="101" customFormat="1" spans="6:6">
      <c r="F38207" s="2423"/>
    </row>
    <row r="38208" s="101" customFormat="1" spans="6:6">
      <c r="F38208" s="2423"/>
    </row>
    <row r="38209" s="101" customFormat="1" spans="6:6">
      <c r="F38209" s="2423"/>
    </row>
    <row r="38210" s="101" customFormat="1" spans="6:6">
      <c r="F38210" s="2423"/>
    </row>
    <row r="38211" s="101" customFormat="1" spans="6:6">
      <c r="F38211" s="2423"/>
    </row>
    <row r="38212" s="101" customFormat="1" spans="6:6">
      <c r="F38212" s="2423"/>
    </row>
    <row r="38213" s="101" customFormat="1" spans="6:6">
      <c r="F38213" s="2423"/>
    </row>
    <row r="38214" s="101" customFormat="1" spans="6:6">
      <c r="F38214" s="2423"/>
    </row>
    <row r="38215" s="101" customFormat="1" spans="6:6">
      <c r="F38215" s="2423"/>
    </row>
    <row r="38216" s="101" customFormat="1" spans="6:6">
      <c r="F38216" s="2423"/>
    </row>
    <row r="38217" s="101" customFormat="1" spans="6:6">
      <c r="F38217" s="2423"/>
    </row>
    <row r="38218" s="101" customFormat="1" spans="6:6">
      <c r="F38218" s="2423"/>
    </row>
    <row r="38219" s="101" customFormat="1" spans="6:6">
      <c r="F38219" s="2423"/>
    </row>
    <row r="38220" s="101" customFormat="1" spans="6:6">
      <c r="F38220" s="2423"/>
    </row>
    <row r="38221" s="101" customFormat="1" spans="6:6">
      <c r="F38221" s="2423"/>
    </row>
    <row r="38222" s="101" customFormat="1" spans="6:6">
      <c r="F38222" s="2423"/>
    </row>
    <row r="38223" s="101" customFormat="1" spans="6:6">
      <c r="F38223" s="2423"/>
    </row>
    <row r="38224" s="101" customFormat="1" spans="6:6">
      <c r="F38224" s="2423"/>
    </row>
    <row r="38225" s="101" customFormat="1" spans="6:6">
      <c r="F38225" s="2423"/>
    </row>
    <row r="38226" s="101" customFormat="1" spans="6:6">
      <c r="F38226" s="2423"/>
    </row>
    <row r="38227" s="101" customFormat="1" spans="6:6">
      <c r="F38227" s="2423"/>
    </row>
    <row r="38228" s="101" customFormat="1" spans="6:6">
      <c r="F38228" s="2423"/>
    </row>
    <row r="38229" s="101" customFormat="1" spans="6:6">
      <c r="F38229" s="2423"/>
    </row>
    <row r="38230" s="101" customFormat="1" spans="6:6">
      <c r="F38230" s="2423"/>
    </row>
    <row r="38231" s="101" customFormat="1" spans="6:6">
      <c r="F38231" s="2423"/>
    </row>
    <row r="38232" s="101" customFormat="1" spans="6:6">
      <c r="F38232" s="2423"/>
    </row>
    <row r="38233" s="101" customFormat="1" spans="6:6">
      <c r="F38233" s="2423"/>
    </row>
    <row r="38234" s="101" customFormat="1" spans="6:6">
      <c r="F38234" s="2423"/>
    </row>
    <row r="38235" s="101" customFormat="1" spans="6:6">
      <c r="F38235" s="2423"/>
    </row>
    <row r="38236" s="101" customFormat="1" spans="6:6">
      <c r="F38236" s="2423"/>
    </row>
    <row r="38237" s="101" customFormat="1" spans="6:6">
      <c r="F38237" s="2423"/>
    </row>
    <row r="38238" s="101" customFormat="1" spans="6:6">
      <c r="F38238" s="2423"/>
    </row>
    <row r="38239" s="101" customFormat="1" spans="6:6">
      <c r="F38239" s="2423"/>
    </row>
    <row r="38240" s="101" customFormat="1" spans="6:6">
      <c r="F38240" s="2423"/>
    </row>
    <row r="38241" s="101" customFormat="1" spans="6:6">
      <c r="F38241" s="2423"/>
    </row>
    <row r="38242" s="101" customFormat="1" spans="6:6">
      <c r="F38242" s="2423"/>
    </row>
    <row r="38243" s="101" customFormat="1" spans="6:6">
      <c r="F38243" s="2423"/>
    </row>
    <row r="38244" s="101" customFormat="1" spans="6:6">
      <c r="F38244" s="2423"/>
    </row>
    <row r="38245" s="101" customFormat="1" spans="6:6">
      <c r="F38245" s="2423"/>
    </row>
    <row r="38246" s="101" customFormat="1" spans="6:6">
      <c r="F38246" s="2423"/>
    </row>
    <row r="38247" s="101" customFormat="1" spans="6:6">
      <c r="F38247" s="2423"/>
    </row>
    <row r="38248" s="101" customFormat="1" spans="6:6">
      <c r="F38248" s="2423"/>
    </row>
    <row r="38249" s="101" customFormat="1" spans="6:6">
      <c r="F38249" s="2423"/>
    </row>
    <row r="38250" s="101" customFormat="1" spans="6:6">
      <c r="F38250" s="2423"/>
    </row>
    <row r="38251" s="101" customFormat="1" spans="6:6">
      <c r="F38251" s="2423"/>
    </row>
    <row r="38252" s="101" customFormat="1" spans="6:6">
      <c r="F38252" s="2423"/>
    </row>
    <row r="38253" s="101" customFormat="1" spans="6:6">
      <c r="F38253" s="2423"/>
    </row>
    <row r="38254" s="101" customFormat="1" spans="6:6">
      <c r="F38254" s="2423"/>
    </row>
    <row r="38255" s="101" customFormat="1" spans="6:6">
      <c r="F38255" s="2423"/>
    </row>
    <row r="38256" s="101" customFormat="1" spans="6:6">
      <c r="F38256" s="2423"/>
    </row>
    <row r="38257" s="101" customFormat="1" spans="6:6">
      <c r="F38257" s="2423"/>
    </row>
    <row r="38258" s="101" customFormat="1" spans="6:6">
      <c r="F38258" s="2423"/>
    </row>
    <row r="38259" s="101" customFormat="1" spans="6:6">
      <c r="F38259" s="2423"/>
    </row>
    <row r="38260" s="101" customFormat="1" spans="6:6">
      <c r="F38260" s="2423"/>
    </row>
    <row r="38261" s="101" customFormat="1" spans="6:6">
      <c r="F38261" s="2423"/>
    </row>
    <row r="38262" s="101" customFormat="1" spans="6:6">
      <c r="F38262" s="2423"/>
    </row>
    <row r="38263" s="101" customFormat="1" spans="6:6">
      <c r="F38263" s="2423"/>
    </row>
    <row r="38264" s="101" customFormat="1" spans="6:6">
      <c r="F38264" s="2423"/>
    </row>
    <row r="38265" s="101" customFormat="1" spans="6:6">
      <c r="F38265" s="2423"/>
    </row>
    <row r="38266" s="101" customFormat="1" spans="6:6">
      <c r="F38266" s="2423"/>
    </row>
    <row r="38267" s="101" customFormat="1" spans="6:6">
      <c r="F38267" s="2423"/>
    </row>
    <row r="38268" s="101" customFormat="1" spans="6:6">
      <c r="F38268" s="2423"/>
    </row>
    <row r="38269" s="101" customFormat="1" spans="6:6">
      <c r="F38269" s="2423"/>
    </row>
    <row r="38270" s="101" customFormat="1" spans="6:6">
      <c r="F38270" s="2423"/>
    </row>
    <row r="38271" s="101" customFormat="1" spans="6:6">
      <c r="F38271" s="2423"/>
    </row>
    <row r="38272" s="101" customFormat="1" spans="6:6">
      <c r="F38272" s="2423"/>
    </row>
    <row r="38273" s="101" customFormat="1" spans="6:6">
      <c r="F38273" s="2423"/>
    </row>
    <row r="38274" s="101" customFormat="1" spans="6:6">
      <c r="F38274" s="2423"/>
    </row>
    <row r="38275" s="101" customFormat="1" spans="6:6">
      <c r="F38275" s="2423"/>
    </row>
    <row r="38276" s="101" customFormat="1" spans="6:6">
      <c r="F38276" s="2423"/>
    </row>
    <row r="38277" s="101" customFormat="1" spans="6:6">
      <c r="F38277" s="2423"/>
    </row>
    <row r="38278" s="101" customFormat="1" spans="6:6">
      <c r="F38278" s="2423"/>
    </row>
    <row r="38279" s="101" customFormat="1" spans="6:6">
      <c r="F38279" s="2423"/>
    </row>
    <row r="38280" s="101" customFormat="1" spans="6:6">
      <c r="F38280" s="2423"/>
    </row>
    <row r="38281" s="101" customFormat="1" spans="6:6">
      <c r="F38281" s="2423"/>
    </row>
    <row r="38282" s="101" customFormat="1" spans="6:6">
      <c r="F38282" s="2423"/>
    </row>
    <row r="38283" s="101" customFormat="1" spans="6:6">
      <c r="F38283" s="2423"/>
    </row>
    <row r="38284" s="101" customFormat="1" spans="6:6">
      <c r="F38284" s="2423"/>
    </row>
    <row r="38285" s="101" customFormat="1" spans="6:6">
      <c r="F38285" s="2423"/>
    </row>
    <row r="38286" s="101" customFormat="1" spans="6:6">
      <c r="F38286" s="2423"/>
    </row>
    <row r="38287" s="101" customFormat="1" spans="6:6">
      <c r="F38287" s="2423"/>
    </row>
    <row r="38288" s="101" customFormat="1" spans="6:6">
      <c r="F38288" s="2423"/>
    </row>
    <row r="38289" s="101" customFormat="1" spans="6:6">
      <c r="F38289" s="2423"/>
    </row>
    <row r="38290" s="101" customFormat="1" spans="6:6">
      <c r="F38290" s="2423"/>
    </row>
    <row r="38291" s="101" customFormat="1" spans="6:6">
      <c r="F38291" s="2423"/>
    </row>
    <row r="38292" s="101" customFormat="1" spans="6:6">
      <c r="F38292" s="2423"/>
    </row>
    <row r="38293" s="101" customFormat="1" spans="6:6">
      <c r="F38293" s="2423"/>
    </row>
    <row r="38294" s="101" customFormat="1" spans="6:6">
      <c r="F38294" s="2423"/>
    </row>
    <row r="38295" s="101" customFormat="1" spans="6:6">
      <c r="F38295" s="2423"/>
    </row>
    <row r="38296" s="101" customFormat="1" spans="6:6">
      <c r="F38296" s="2423"/>
    </row>
    <row r="38297" s="101" customFormat="1" spans="6:6">
      <c r="F38297" s="2423"/>
    </row>
    <row r="38298" s="101" customFormat="1" spans="6:6">
      <c r="F38298" s="2423"/>
    </row>
    <row r="38299" s="101" customFormat="1" spans="6:6">
      <c r="F38299" s="2423"/>
    </row>
    <row r="38300" s="101" customFormat="1" spans="6:6">
      <c r="F38300" s="2423"/>
    </row>
    <row r="38301" s="101" customFormat="1" spans="6:6">
      <c r="F38301" s="2423"/>
    </row>
    <row r="38302" s="101" customFormat="1" spans="6:6">
      <c r="F38302" s="2423"/>
    </row>
    <row r="38303" s="101" customFormat="1" spans="6:6">
      <c r="F38303" s="2423"/>
    </row>
    <row r="38304" s="101" customFormat="1" spans="6:6">
      <c r="F38304" s="2423"/>
    </row>
    <row r="38305" s="101" customFormat="1" spans="6:6">
      <c r="F38305" s="2423"/>
    </row>
    <row r="38306" s="101" customFormat="1" spans="6:6">
      <c r="F38306" s="2423"/>
    </row>
    <row r="38307" s="101" customFormat="1" spans="6:6">
      <c r="F38307" s="2423"/>
    </row>
    <row r="38308" s="101" customFormat="1" spans="6:6">
      <c r="F38308" s="2423"/>
    </row>
    <row r="38309" s="101" customFormat="1" spans="6:6">
      <c r="F38309" s="2423"/>
    </row>
    <row r="38310" s="101" customFormat="1" spans="6:6">
      <c r="F38310" s="2423"/>
    </row>
    <row r="38311" s="101" customFormat="1" spans="6:6">
      <c r="F38311" s="2423"/>
    </row>
    <row r="38312" s="101" customFormat="1" spans="6:6">
      <c r="F38312" s="2423"/>
    </row>
    <row r="38313" s="101" customFormat="1" spans="6:6">
      <c r="F38313" s="2423"/>
    </row>
    <row r="38314" s="101" customFormat="1" spans="6:6">
      <c r="F38314" s="2423"/>
    </row>
    <row r="38315" s="101" customFormat="1" spans="6:6">
      <c r="F38315" s="2423"/>
    </row>
    <row r="38316" s="101" customFormat="1" spans="6:6">
      <c r="F38316" s="2423"/>
    </row>
    <row r="38317" s="101" customFormat="1" spans="6:6">
      <c r="F38317" s="2423"/>
    </row>
    <row r="38318" s="101" customFormat="1" spans="6:6">
      <c r="F38318" s="2423"/>
    </row>
    <row r="38319" s="101" customFormat="1" spans="6:6">
      <c r="F38319" s="2423"/>
    </row>
    <row r="38320" s="101" customFormat="1" spans="6:6">
      <c r="F38320" s="2423"/>
    </row>
    <row r="38321" s="101" customFormat="1" spans="6:6">
      <c r="F38321" s="2423"/>
    </row>
    <row r="38322" s="101" customFormat="1" spans="6:6">
      <c r="F38322" s="2423"/>
    </row>
    <row r="38323" s="101" customFormat="1" spans="6:6">
      <c r="F38323" s="2423"/>
    </row>
    <row r="38324" s="101" customFormat="1" spans="6:6">
      <c r="F38324" s="2423"/>
    </row>
    <row r="38325" s="101" customFormat="1" spans="6:6">
      <c r="F38325" s="2423"/>
    </row>
    <row r="38326" s="101" customFormat="1" spans="6:6">
      <c r="F38326" s="2423"/>
    </row>
    <row r="38327" s="101" customFormat="1" spans="6:6">
      <c r="F38327" s="2423"/>
    </row>
    <row r="38328" s="101" customFormat="1" spans="6:6">
      <c r="F38328" s="2423"/>
    </row>
    <row r="38329" s="101" customFormat="1" spans="6:6">
      <c r="F38329" s="2423"/>
    </row>
    <row r="38330" s="101" customFormat="1" spans="6:6">
      <c r="F38330" s="2423"/>
    </row>
    <row r="38331" s="101" customFormat="1" spans="6:6">
      <c r="F38331" s="2423"/>
    </row>
    <row r="38332" s="101" customFormat="1" spans="6:6">
      <c r="F38332" s="2423"/>
    </row>
    <row r="38333" s="101" customFormat="1" spans="6:6">
      <c r="F38333" s="2423"/>
    </row>
    <row r="38334" s="101" customFormat="1" spans="6:6">
      <c r="F38334" s="2423"/>
    </row>
    <row r="38335" s="101" customFormat="1" spans="6:6">
      <c r="F38335" s="2423"/>
    </row>
    <row r="38336" s="101" customFormat="1" spans="6:6">
      <c r="F38336" s="2423"/>
    </row>
    <row r="38337" s="101" customFormat="1" spans="6:6">
      <c r="F38337" s="2423"/>
    </row>
    <row r="38338" s="101" customFormat="1" spans="6:6">
      <c r="F38338" s="2423"/>
    </row>
    <row r="38339" s="101" customFormat="1" spans="6:6">
      <c r="F38339" s="2423"/>
    </row>
    <row r="38340" s="101" customFormat="1" spans="6:6">
      <c r="F38340" s="2423"/>
    </row>
    <row r="38341" s="101" customFormat="1" spans="6:6">
      <c r="F38341" s="2423"/>
    </row>
    <row r="38342" s="101" customFormat="1" spans="6:6">
      <c r="F38342" s="2423"/>
    </row>
    <row r="38343" s="101" customFormat="1" spans="6:6">
      <c r="F38343" s="2423"/>
    </row>
    <row r="38344" s="101" customFormat="1" spans="6:6">
      <c r="F38344" s="2423"/>
    </row>
    <row r="38345" s="101" customFormat="1" spans="6:6">
      <c r="F38345" s="2423"/>
    </row>
    <row r="38346" s="101" customFormat="1" spans="6:6">
      <c r="F38346" s="2423"/>
    </row>
    <row r="38347" s="101" customFormat="1" spans="6:6">
      <c r="F38347" s="2423"/>
    </row>
    <row r="38348" s="101" customFormat="1" spans="6:6">
      <c r="F38348" s="2423"/>
    </row>
    <row r="38349" s="101" customFormat="1" spans="6:6">
      <c r="F38349" s="2423"/>
    </row>
    <row r="38350" s="101" customFormat="1" spans="6:6">
      <c r="F38350" s="2423"/>
    </row>
    <row r="38351" s="101" customFormat="1" spans="6:6">
      <c r="F38351" s="2423"/>
    </row>
    <row r="38352" s="101" customFormat="1" spans="6:6">
      <c r="F38352" s="2423"/>
    </row>
    <row r="38353" s="101" customFormat="1" spans="6:6">
      <c r="F38353" s="2423"/>
    </row>
    <row r="38354" s="101" customFormat="1" spans="6:6">
      <c r="F38354" s="2423"/>
    </row>
    <row r="38355" s="101" customFormat="1" spans="6:6">
      <c r="F38355" s="2423"/>
    </row>
    <row r="38356" s="101" customFormat="1" spans="6:6">
      <c r="F38356" s="2423"/>
    </row>
    <row r="38357" s="101" customFormat="1" spans="6:6">
      <c r="F38357" s="2423"/>
    </row>
    <row r="38358" s="101" customFormat="1" spans="6:6">
      <c r="F38358" s="2423"/>
    </row>
    <row r="38359" s="101" customFormat="1" spans="6:6">
      <c r="F38359" s="2423"/>
    </row>
    <row r="38360" s="101" customFormat="1" spans="6:6">
      <c r="F38360" s="2423"/>
    </row>
    <row r="38361" s="101" customFormat="1" spans="6:6">
      <c r="F38361" s="2423"/>
    </row>
    <row r="38362" s="101" customFormat="1" spans="6:6">
      <c r="F38362" s="2423"/>
    </row>
    <row r="38363" s="101" customFormat="1" spans="6:6">
      <c r="F38363" s="2423"/>
    </row>
    <row r="38364" s="101" customFormat="1" spans="6:6">
      <c r="F38364" s="2423"/>
    </row>
    <row r="38365" s="101" customFormat="1" spans="6:6">
      <c r="F38365" s="2423"/>
    </row>
    <row r="38366" s="101" customFormat="1" spans="6:6">
      <c r="F38366" s="2423"/>
    </row>
    <row r="38367" s="101" customFormat="1" spans="6:6">
      <c r="F38367" s="2423"/>
    </row>
    <row r="38368" s="101" customFormat="1" spans="6:6">
      <c r="F38368" s="2423"/>
    </row>
    <row r="38369" s="101" customFormat="1" spans="6:6">
      <c r="F38369" s="2423"/>
    </row>
    <row r="38370" s="101" customFormat="1" spans="6:6">
      <c r="F38370" s="2423"/>
    </row>
    <row r="38371" s="101" customFormat="1" spans="6:6">
      <c r="F38371" s="2423"/>
    </row>
    <row r="38372" s="101" customFormat="1" spans="6:6">
      <c r="F38372" s="2423"/>
    </row>
    <row r="38373" s="101" customFormat="1" spans="6:6">
      <c r="F38373" s="2423"/>
    </row>
    <row r="38374" s="101" customFormat="1" spans="6:6">
      <c r="F38374" s="2423"/>
    </row>
    <row r="38375" s="101" customFormat="1" spans="6:6">
      <c r="F38375" s="2423"/>
    </row>
    <row r="38376" s="101" customFormat="1" spans="6:6">
      <c r="F38376" s="2423"/>
    </row>
    <row r="38377" s="101" customFormat="1" spans="6:6">
      <c r="F38377" s="2423"/>
    </row>
    <row r="38378" s="101" customFormat="1" spans="6:6">
      <c r="F38378" s="2423"/>
    </row>
    <row r="38379" s="101" customFormat="1" spans="6:6">
      <c r="F38379" s="2423"/>
    </row>
    <row r="38380" s="101" customFormat="1" spans="6:6">
      <c r="F38380" s="2423"/>
    </row>
    <row r="38381" s="101" customFormat="1" spans="6:6">
      <c r="F38381" s="2423"/>
    </row>
    <row r="38382" s="101" customFormat="1" spans="6:6">
      <c r="F38382" s="2423"/>
    </row>
    <row r="38383" s="101" customFormat="1" spans="6:6">
      <c r="F38383" s="2423"/>
    </row>
    <row r="38384" s="101" customFormat="1" spans="6:6">
      <c r="F38384" s="2423"/>
    </row>
    <row r="38385" s="101" customFormat="1" spans="6:6">
      <c r="F38385" s="2423"/>
    </row>
    <row r="38386" s="101" customFormat="1" spans="6:6">
      <c r="F38386" s="2423"/>
    </row>
    <row r="38387" s="101" customFormat="1" spans="6:6">
      <c r="F38387" s="2423"/>
    </row>
    <row r="38388" s="101" customFormat="1" spans="6:6">
      <c r="F38388" s="2423"/>
    </row>
    <row r="38389" s="101" customFormat="1" spans="6:6">
      <c r="F38389" s="2423"/>
    </row>
    <row r="38390" s="101" customFormat="1" spans="6:6">
      <c r="F38390" s="2423"/>
    </row>
    <row r="38391" s="101" customFormat="1" spans="6:6">
      <c r="F38391" s="2423"/>
    </row>
    <row r="38392" s="101" customFormat="1" spans="6:6">
      <c r="F38392" s="2423"/>
    </row>
    <row r="38393" s="101" customFormat="1" spans="6:6">
      <c r="F38393" s="2423"/>
    </row>
    <row r="38394" s="101" customFormat="1" spans="6:6">
      <c r="F38394" s="2423"/>
    </row>
    <row r="38395" s="101" customFormat="1" spans="6:6">
      <c r="F38395" s="2423"/>
    </row>
    <row r="38396" s="101" customFormat="1" spans="6:6">
      <c r="F38396" s="2423"/>
    </row>
    <row r="38397" s="101" customFormat="1" spans="6:6">
      <c r="F38397" s="2423"/>
    </row>
    <row r="38398" s="101" customFormat="1" spans="6:6">
      <c r="F38398" s="2423"/>
    </row>
    <row r="38399" s="101" customFormat="1" spans="6:6">
      <c r="F38399" s="2423"/>
    </row>
    <row r="38400" s="101" customFormat="1" spans="6:6">
      <c r="F38400" s="2423"/>
    </row>
    <row r="38401" s="101" customFormat="1" spans="6:6">
      <c r="F38401" s="2423"/>
    </row>
    <row r="38402" s="101" customFormat="1" spans="6:6">
      <c r="F38402" s="2423"/>
    </row>
    <row r="38403" s="101" customFormat="1" spans="6:6">
      <c r="F38403" s="2423"/>
    </row>
    <row r="38404" s="101" customFormat="1" spans="6:6">
      <c r="F38404" s="2423"/>
    </row>
    <row r="38405" s="101" customFormat="1" spans="6:6">
      <c r="F38405" s="2423"/>
    </row>
    <row r="38406" s="101" customFormat="1" spans="6:6">
      <c r="F38406" s="2423"/>
    </row>
    <row r="38407" s="101" customFormat="1" spans="6:6">
      <c r="F38407" s="2423"/>
    </row>
    <row r="38408" s="101" customFormat="1" spans="6:6">
      <c r="F38408" s="2423"/>
    </row>
    <row r="38409" s="101" customFormat="1" spans="6:6">
      <c r="F38409" s="2423"/>
    </row>
    <row r="38410" s="101" customFormat="1" spans="6:6">
      <c r="F38410" s="2423"/>
    </row>
    <row r="38411" s="101" customFormat="1" spans="6:6">
      <c r="F38411" s="2423"/>
    </row>
    <row r="38412" s="101" customFormat="1" spans="6:6">
      <c r="F38412" s="2423"/>
    </row>
    <row r="38413" s="101" customFormat="1" spans="6:6">
      <c r="F38413" s="2423"/>
    </row>
    <row r="38414" s="101" customFormat="1" spans="6:6">
      <c r="F38414" s="2423"/>
    </row>
    <row r="38415" s="101" customFormat="1" spans="6:6">
      <c r="F38415" s="2423"/>
    </row>
    <row r="38416" s="101" customFormat="1" spans="6:6">
      <c r="F38416" s="2423"/>
    </row>
    <row r="38417" s="101" customFormat="1" spans="6:6">
      <c r="F38417" s="2423"/>
    </row>
    <row r="38418" s="101" customFormat="1" spans="6:6">
      <c r="F38418" s="2423"/>
    </row>
    <row r="38419" s="101" customFormat="1" spans="6:6">
      <c r="F38419" s="2423"/>
    </row>
    <row r="38420" s="101" customFormat="1" spans="6:6">
      <c r="F38420" s="2423"/>
    </row>
    <row r="38421" s="101" customFormat="1" spans="6:6">
      <c r="F38421" s="2423"/>
    </row>
    <row r="38422" s="101" customFormat="1" spans="6:6">
      <c r="F38422" s="2423"/>
    </row>
    <row r="38423" s="101" customFormat="1" spans="6:6">
      <c r="F38423" s="2423"/>
    </row>
    <row r="38424" s="101" customFormat="1" spans="6:6">
      <c r="F38424" s="2423"/>
    </row>
    <row r="38425" s="101" customFormat="1" spans="6:6">
      <c r="F38425" s="2423"/>
    </row>
    <row r="38426" s="101" customFormat="1" spans="6:6">
      <c r="F38426" s="2423"/>
    </row>
    <row r="38427" s="101" customFormat="1" spans="6:6">
      <c r="F38427" s="2423"/>
    </row>
    <row r="38428" s="101" customFormat="1" spans="6:6">
      <c r="F38428" s="2423"/>
    </row>
    <row r="38429" s="101" customFormat="1" spans="6:6">
      <c r="F38429" s="2423"/>
    </row>
    <row r="38430" s="101" customFormat="1" spans="6:6">
      <c r="F38430" s="2423"/>
    </row>
    <row r="38431" s="101" customFormat="1" spans="6:6">
      <c r="F38431" s="2423"/>
    </row>
    <row r="38432" s="101" customFormat="1" spans="6:6">
      <c r="F38432" s="2423"/>
    </row>
    <row r="38433" s="101" customFormat="1" spans="6:6">
      <c r="F38433" s="2423"/>
    </row>
    <row r="38434" s="101" customFormat="1" spans="6:6">
      <c r="F38434" s="2423"/>
    </row>
    <row r="38435" s="101" customFormat="1" spans="6:6">
      <c r="F38435" s="2423"/>
    </row>
    <row r="38436" s="101" customFormat="1" spans="6:6">
      <c r="F38436" s="2423"/>
    </row>
    <row r="38437" s="101" customFormat="1" spans="6:6">
      <c r="F38437" s="2423"/>
    </row>
    <row r="38438" s="101" customFormat="1" spans="6:6">
      <c r="F38438" s="2423"/>
    </row>
    <row r="38439" s="101" customFormat="1" spans="6:6">
      <c r="F38439" s="2423"/>
    </row>
    <row r="38440" s="101" customFormat="1" spans="6:6">
      <c r="F38440" s="2423"/>
    </row>
    <row r="38441" s="101" customFormat="1" spans="6:6">
      <c r="F38441" s="2423"/>
    </row>
    <row r="38442" s="101" customFormat="1" spans="6:6">
      <c r="F38442" s="2423"/>
    </row>
    <row r="38443" s="101" customFormat="1" spans="6:6">
      <c r="F38443" s="2423"/>
    </row>
    <row r="38444" s="101" customFormat="1" spans="6:6">
      <c r="F38444" s="2423"/>
    </row>
    <row r="38445" s="101" customFormat="1" spans="6:6">
      <c r="F38445" s="2423"/>
    </row>
    <row r="38446" s="101" customFormat="1" spans="6:6">
      <c r="F38446" s="2423"/>
    </row>
    <row r="38447" s="101" customFormat="1" spans="6:6">
      <c r="F38447" s="2423"/>
    </row>
    <row r="38448" s="101" customFormat="1" spans="6:6">
      <c r="F38448" s="2423"/>
    </row>
    <row r="38449" s="101" customFormat="1" spans="6:6">
      <c r="F38449" s="2423"/>
    </row>
    <row r="38450" s="101" customFormat="1" spans="6:6">
      <c r="F38450" s="2423"/>
    </row>
    <row r="38451" s="101" customFormat="1" spans="6:6">
      <c r="F38451" s="2423"/>
    </row>
    <row r="38452" s="101" customFormat="1" spans="6:6">
      <c r="F38452" s="2423"/>
    </row>
    <row r="38453" s="101" customFormat="1" spans="6:6">
      <c r="F38453" s="2423"/>
    </row>
    <row r="38454" s="101" customFormat="1" spans="6:6">
      <c r="F38454" s="2423"/>
    </row>
    <row r="38455" s="101" customFormat="1" spans="6:6">
      <c r="F38455" s="2423"/>
    </row>
    <row r="38456" s="101" customFormat="1" spans="6:6">
      <c r="F38456" s="2423"/>
    </row>
    <row r="38457" s="101" customFormat="1" spans="6:6">
      <c r="F38457" s="2423"/>
    </row>
    <row r="38458" s="101" customFormat="1" spans="6:6">
      <c r="F38458" s="2423"/>
    </row>
    <row r="38459" s="101" customFormat="1" spans="6:6">
      <c r="F38459" s="2423"/>
    </row>
    <row r="38460" s="101" customFormat="1" spans="6:6">
      <c r="F38460" s="2423"/>
    </row>
    <row r="38461" s="101" customFormat="1" spans="6:6">
      <c r="F38461" s="2423"/>
    </row>
    <row r="38462" s="101" customFormat="1" spans="6:6">
      <c r="F38462" s="2423"/>
    </row>
    <row r="38463" s="101" customFormat="1" spans="6:6">
      <c r="F38463" s="2423"/>
    </row>
    <row r="38464" s="101" customFormat="1" spans="6:6">
      <c r="F38464" s="2423"/>
    </row>
    <row r="38465" s="101" customFormat="1" spans="6:6">
      <c r="F38465" s="2423"/>
    </row>
    <row r="38466" s="101" customFormat="1" spans="6:6">
      <c r="F38466" s="2423"/>
    </row>
    <row r="38467" s="101" customFormat="1" spans="6:6">
      <c r="F38467" s="2423"/>
    </row>
    <row r="38468" s="101" customFormat="1" spans="6:6">
      <c r="F38468" s="2423"/>
    </row>
    <row r="38469" s="101" customFormat="1" spans="6:6">
      <c r="F38469" s="2423"/>
    </row>
    <row r="38470" s="101" customFormat="1" spans="6:6">
      <c r="F38470" s="2423"/>
    </row>
    <row r="38471" s="101" customFormat="1" spans="6:6">
      <c r="F38471" s="2423"/>
    </row>
    <row r="38472" s="101" customFormat="1" spans="6:6">
      <c r="F38472" s="2423"/>
    </row>
    <row r="38473" s="101" customFormat="1" spans="6:6">
      <c r="F38473" s="2423"/>
    </row>
    <row r="38474" s="101" customFormat="1" spans="6:6">
      <c r="F38474" s="2423"/>
    </row>
    <row r="38475" s="101" customFormat="1" spans="6:6">
      <c r="F38475" s="2423"/>
    </row>
    <row r="38476" s="101" customFormat="1" spans="6:6">
      <c r="F38476" s="2423"/>
    </row>
    <row r="38477" s="101" customFormat="1" spans="6:6">
      <c r="F38477" s="2423"/>
    </row>
    <row r="38478" s="101" customFormat="1" spans="6:6">
      <c r="F38478" s="2423"/>
    </row>
    <row r="38479" s="101" customFormat="1" spans="6:6">
      <c r="F38479" s="2423"/>
    </row>
    <row r="38480" s="101" customFormat="1" spans="6:6">
      <c r="F38480" s="2423"/>
    </row>
    <row r="38481" s="101" customFormat="1" spans="6:6">
      <c r="F38481" s="2423"/>
    </row>
    <row r="38482" s="101" customFormat="1" spans="6:6">
      <c r="F38482" s="2423"/>
    </row>
    <row r="38483" s="101" customFormat="1" spans="6:6">
      <c r="F38483" s="2423"/>
    </row>
    <row r="38484" s="101" customFormat="1" spans="6:6">
      <c r="F38484" s="2423"/>
    </row>
    <row r="38485" s="101" customFormat="1" spans="6:6">
      <c r="F38485" s="2423"/>
    </row>
    <row r="38486" s="101" customFormat="1" spans="6:6">
      <c r="F38486" s="2423"/>
    </row>
    <row r="38487" s="101" customFormat="1" spans="6:6">
      <c r="F38487" s="2423"/>
    </row>
    <row r="38488" s="101" customFormat="1" spans="6:6">
      <c r="F38488" s="2423"/>
    </row>
    <row r="38489" s="101" customFormat="1" spans="6:6">
      <c r="F38489" s="2423"/>
    </row>
    <row r="38490" s="101" customFormat="1" spans="6:6">
      <c r="F38490" s="2423"/>
    </row>
    <row r="38491" s="101" customFormat="1" spans="6:6">
      <c r="F38491" s="2423"/>
    </row>
    <row r="38492" s="101" customFormat="1" spans="6:6">
      <c r="F38492" s="2423"/>
    </row>
    <row r="38493" s="101" customFormat="1" spans="6:6">
      <c r="F38493" s="2423"/>
    </row>
    <row r="38494" s="101" customFormat="1" spans="6:6">
      <c r="F38494" s="2423"/>
    </row>
    <row r="38495" s="101" customFormat="1" spans="6:6">
      <c r="F38495" s="2423"/>
    </row>
    <row r="38496" s="101" customFormat="1" spans="6:6">
      <c r="F38496" s="2423"/>
    </row>
    <row r="38497" s="101" customFormat="1" spans="6:6">
      <c r="F38497" s="2423"/>
    </row>
    <row r="38498" s="101" customFormat="1" spans="6:6">
      <c r="F38498" s="2423"/>
    </row>
    <row r="38499" s="101" customFormat="1" spans="6:6">
      <c r="F38499" s="2423"/>
    </row>
    <row r="38500" s="101" customFormat="1" spans="6:6">
      <c r="F38500" s="2423"/>
    </row>
    <row r="38501" s="101" customFormat="1" spans="6:6">
      <c r="F38501" s="2423"/>
    </row>
    <row r="38502" s="101" customFormat="1" spans="6:6">
      <c r="F38502" s="2423"/>
    </row>
    <row r="38503" s="101" customFormat="1" spans="6:6">
      <c r="F38503" s="2423"/>
    </row>
    <row r="38504" s="101" customFormat="1" spans="6:6">
      <c r="F38504" s="2423"/>
    </row>
    <row r="38505" s="101" customFormat="1" spans="6:6">
      <c r="F38505" s="2423"/>
    </row>
    <row r="38506" s="101" customFormat="1" spans="6:6">
      <c r="F38506" s="2423"/>
    </row>
    <row r="38507" s="101" customFormat="1" spans="6:6">
      <c r="F38507" s="2423"/>
    </row>
    <row r="38508" s="101" customFormat="1" spans="6:6">
      <c r="F38508" s="2423"/>
    </row>
    <row r="38509" s="101" customFormat="1" spans="6:6">
      <c r="F38509" s="2423"/>
    </row>
    <row r="38510" s="101" customFormat="1" spans="6:6">
      <c r="F38510" s="2423"/>
    </row>
    <row r="38511" s="101" customFormat="1" spans="6:6">
      <c r="F38511" s="2423"/>
    </row>
    <row r="38512" s="101" customFormat="1" spans="6:6">
      <c r="F38512" s="2423"/>
    </row>
    <row r="38513" s="101" customFormat="1" spans="6:6">
      <c r="F38513" s="2423"/>
    </row>
    <row r="38514" s="101" customFormat="1" spans="6:6">
      <c r="F38514" s="2423"/>
    </row>
    <row r="38515" s="101" customFormat="1" spans="6:6">
      <c r="F38515" s="2423"/>
    </row>
    <row r="38516" s="101" customFormat="1" spans="6:6">
      <c r="F38516" s="2423"/>
    </row>
    <row r="38517" s="101" customFormat="1" spans="6:6">
      <c r="F38517" s="2423"/>
    </row>
    <row r="38518" s="101" customFormat="1" spans="6:6">
      <c r="F38518" s="2423"/>
    </row>
    <row r="38519" s="101" customFormat="1" spans="6:6">
      <c r="F38519" s="2423"/>
    </row>
    <row r="38520" s="101" customFormat="1" spans="6:6">
      <c r="F38520" s="2423"/>
    </row>
    <row r="38521" s="101" customFormat="1" spans="6:6">
      <c r="F38521" s="2423"/>
    </row>
    <row r="38522" s="101" customFormat="1" spans="6:6">
      <c r="F38522" s="2423"/>
    </row>
    <row r="38523" s="101" customFormat="1" spans="6:6">
      <c r="F38523" s="2423"/>
    </row>
    <row r="38524" s="101" customFormat="1" spans="6:6">
      <c r="F38524" s="2423"/>
    </row>
    <row r="38525" s="101" customFormat="1" spans="6:6">
      <c r="F38525" s="2423"/>
    </row>
    <row r="38526" s="101" customFormat="1" spans="6:6">
      <c r="F38526" s="2423"/>
    </row>
    <row r="38527" s="101" customFormat="1" spans="6:6">
      <c r="F38527" s="2423"/>
    </row>
    <row r="38528" s="101" customFormat="1" spans="6:6">
      <c r="F38528" s="2423"/>
    </row>
    <row r="38529" s="101" customFormat="1" spans="6:6">
      <c r="F38529" s="2423"/>
    </row>
    <row r="38530" s="101" customFormat="1" spans="6:6">
      <c r="F38530" s="2423"/>
    </row>
    <row r="38531" s="101" customFormat="1" spans="6:6">
      <c r="F38531" s="2423"/>
    </row>
    <row r="38532" s="101" customFormat="1" spans="6:6">
      <c r="F38532" s="2423"/>
    </row>
    <row r="38533" s="101" customFormat="1" spans="6:6">
      <c r="F38533" s="2423"/>
    </row>
    <row r="38534" s="101" customFormat="1" spans="6:6">
      <c r="F38534" s="2423"/>
    </row>
    <row r="38535" s="101" customFormat="1" spans="6:6">
      <c r="F38535" s="2423"/>
    </row>
    <row r="38536" s="101" customFormat="1" spans="6:6">
      <c r="F38536" s="2423"/>
    </row>
    <row r="38537" s="101" customFormat="1" spans="6:6">
      <c r="F38537" s="2423"/>
    </row>
    <row r="38538" s="101" customFormat="1" spans="6:6">
      <c r="F38538" s="2423"/>
    </row>
    <row r="38539" s="101" customFormat="1" spans="6:6">
      <c r="F38539" s="2423"/>
    </row>
    <row r="38540" s="101" customFormat="1" spans="6:6">
      <c r="F38540" s="2423"/>
    </row>
    <row r="38541" s="101" customFormat="1" spans="6:6">
      <c r="F38541" s="2423"/>
    </row>
    <row r="38542" s="101" customFormat="1" spans="6:6">
      <c r="F38542" s="2423"/>
    </row>
    <row r="38543" s="101" customFormat="1" spans="6:6">
      <c r="F38543" s="2423"/>
    </row>
    <row r="38544" s="101" customFormat="1" spans="6:6">
      <c r="F38544" s="2423"/>
    </row>
    <row r="38545" s="101" customFormat="1" spans="6:6">
      <c r="F38545" s="2423"/>
    </row>
    <row r="38546" s="101" customFormat="1" spans="6:6">
      <c r="F38546" s="2423"/>
    </row>
    <row r="38547" s="101" customFormat="1" spans="6:6">
      <c r="F38547" s="2423"/>
    </row>
    <row r="38548" s="101" customFormat="1" spans="6:6">
      <c r="F38548" s="2423"/>
    </row>
    <row r="38549" s="101" customFormat="1" spans="6:6">
      <c r="F38549" s="2423"/>
    </row>
    <row r="38550" s="101" customFormat="1" spans="6:6">
      <c r="F38550" s="2423"/>
    </row>
    <row r="38551" s="101" customFormat="1" spans="6:6">
      <c r="F38551" s="2423"/>
    </row>
    <row r="38552" s="101" customFormat="1" spans="6:6">
      <c r="F38552" s="2423"/>
    </row>
    <row r="38553" s="101" customFormat="1" spans="6:6">
      <c r="F38553" s="2423"/>
    </row>
    <row r="38554" s="101" customFormat="1" spans="6:6">
      <c r="F38554" s="2423"/>
    </row>
    <row r="38555" s="101" customFormat="1" spans="6:6">
      <c r="F38555" s="2423"/>
    </row>
    <row r="38556" s="101" customFormat="1" spans="6:6">
      <c r="F38556" s="2423"/>
    </row>
    <row r="38557" s="101" customFormat="1" spans="6:6">
      <c r="F38557" s="2423"/>
    </row>
    <row r="38558" s="101" customFormat="1" spans="6:6">
      <c r="F38558" s="2423"/>
    </row>
    <row r="38559" s="101" customFormat="1" spans="6:6">
      <c r="F38559" s="2423"/>
    </row>
    <row r="38560" s="101" customFormat="1" spans="6:6">
      <c r="F38560" s="2423"/>
    </row>
    <row r="38561" s="101" customFormat="1" spans="6:6">
      <c r="F38561" s="2423"/>
    </row>
    <row r="38562" s="101" customFormat="1" spans="6:6">
      <c r="F38562" s="2423"/>
    </row>
    <row r="38563" s="101" customFormat="1" spans="6:6">
      <c r="F38563" s="2423"/>
    </row>
    <row r="38564" s="101" customFormat="1" spans="6:6">
      <c r="F38564" s="2423"/>
    </row>
    <row r="38565" s="101" customFormat="1" spans="6:6">
      <c r="F38565" s="2423"/>
    </row>
    <row r="38566" s="101" customFormat="1" spans="6:6">
      <c r="F38566" s="2423"/>
    </row>
    <row r="38567" s="101" customFormat="1" spans="6:6">
      <c r="F38567" s="2423"/>
    </row>
    <row r="38568" s="101" customFormat="1" spans="6:6">
      <c r="F38568" s="2423"/>
    </row>
    <row r="38569" s="101" customFormat="1" spans="6:6">
      <c r="F38569" s="2423"/>
    </row>
    <row r="38570" s="101" customFormat="1" spans="6:6">
      <c r="F38570" s="2423"/>
    </row>
    <row r="38571" s="101" customFormat="1" spans="6:6">
      <c r="F38571" s="2423"/>
    </row>
    <row r="38572" s="101" customFormat="1" spans="6:6">
      <c r="F38572" s="2423"/>
    </row>
    <row r="38573" s="101" customFormat="1" spans="6:6">
      <c r="F38573" s="2423"/>
    </row>
    <row r="38574" s="101" customFormat="1" spans="6:6">
      <c r="F38574" s="2423"/>
    </row>
    <row r="38575" s="101" customFormat="1" spans="6:6">
      <c r="F38575" s="2423"/>
    </row>
    <row r="38576" s="101" customFormat="1" spans="6:6">
      <c r="F38576" s="2423"/>
    </row>
    <row r="38577" s="101" customFormat="1" spans="6:6">
      <c r="F38577" s="2423"/>
    </row>
    <row r="38578" s="101" customFormat="1" spans="6:6">
      <c r="F38578" s="2423"/>
    </row>
    <row r="38579" s="101" customFormat="1" spans="6:6">
      <c r="F38579" s="2423"/>
    </row>
    <row r="38580" s="101" customFormat="1" spans="6:6">
      <c r="F38580" s="2423"/>
    </row>
    <row r="38581" s="101" customFormat="1" spans="6:6">
      <c r="F38581" s="2423"/>
    </row>
    <row r="38582" s="101" customFormat="1" spans="6:6">
      <c r="F38582" s="2423"/>
    </row>
    <row r="38583" s="101" customFormat="1" spans="6:6">
      <c r="F38583" s="2423"/>
    </row>
    <row r="38584" s="101" customFormat="1" spans="6:6">
      <c r="F38584" s="2423"/>
    </row>
    <row r="38585" s="101" customFormat="1" spans="6:6">
      <c r="F38585" s="2423"/>
    </row>
    <row r="38586" s="101" customFormat="1" spans="6:6">
      <c r="F38586" s="2423"/>
    </row>
    <row r="38587" s="101" customFormat="1" spans="6:6">
      <c r="F38587" s="2423"/>
    </row>
    <row r="38588" s="101" customFormat="1" spans="6:6">
      <c r="F38588" s="2423"/>
    </row>
    <row r="38589" s="101" customFormat="1" spans="6:6">
      <c r="F38589" s="2423"/>
    </row>
    <row r="38590" s="101" customFormat="1" spans="6:6">
      <c r="F38590" s="2423"/>
    </row>
    <row r="38591" s="101" customFormat="1" spans="6:6">
      <c r="F38591" s="2423"/>
    </row>
    <row r="38592" s="101" customFormat="1" spans="6:6">
      <c r="F38592" s="2423"/>
    </row>
    <row r="38593" s="101" customFormat="1" spans="6:6">
      <c r="F38593" s="2423"/>
    </row>
    <row r="38594" s="101" customFormat="1" spans="6:6">
      <c r="F38594" s="2423"/>
    </row>
    <row r="38595" s="101" customFormat="1" spans="6:6">
      <c r="F38595" s="2423"/>
    </row>
    <row r="38596" s="101" customFormat="1" spans="6:6">
      <c r="F38596" s="2423"/>
    </row>
    <row r="38597" s="101" customFormat="1" spans="6:6">
      <c r="F38597" s="2423"/>
    </row>
    <row r="38598" s="101" customFormat="1" spans="6:6">
      <c r="F38598" s="2423"/>
    </row>
    <row r="38599" s="101" customFormat="1" spans="6:6">
      <c r="F38599" s="2423"/>
    </row>
    <row r="38600" s="101" customFormat="1" spans="6:6">
      <c r="F38600" s="2423"/>
    </row>
    <row r="38601" s="101" customFormat="1" spans="6:6">
      <c r="F38601" s="2423"/>
    </row>
    <row r="38602" s="101" customFormat="1" spans="6:6">
      <c r="F38602" s="2423"/>
    </row>
    <row r="38603" s="101" customFormat="1" spans="6:6">
      <c r="F38603" s="2423"/>
    </row>
    <row r="38604" s="101" customFormat="1" spans="6:6">
      <c r="F38604" s="2423"/>
    </row>
    <row r="38605" s="101" customFormat="1" spans="6:6">
      <c r="F38605" s="2423"/>
    </row>
    <row r="38606" s="101" customFormat="1" spans="6:6">
      <c r="F38606" s="2423"/>
    </row>
    <row r="38607" s="101" customFormat="1" spans="6:6">
      <c r="F38607" s="2423"/>
    </row>
    <row r="38608" s="101" customFormat="1" spans="6:6">
      <c r="F38608" s="2423"/>
    </row>
    <row r="38609" s="101" customFormat="1" spans="6:6">
      <c r="F38609" s="2423"/>
    </row>
    <row r="38610" s="101" customFormat="1" spans="6:6">
      <c r="F38610" s="2423"/>
    </row>
    <row r="38611" s="101" customFormat="1" spans="6:6">
      <c r="F38611" s="2423"/>
    </row>
    <row r="38612" s="101" customFormat="1" spans="6:6">
      <c r="F38612" s="2423"/>
    </row>
    <row r="38613" s="101" customFormat="1" spans="6:6">
      <c r="F38613" s="2423"/>
    </row>
    <row r="38614" s="101" customFormat="1" spans="6:6">
      <c r="F38614" s="2423"/>
    </row>
    <row r="38615" s="101" customFormat="1" spans="6:6">
      <c r="F38615" s="2423"/>
    </row>
    <row r="38616" s="101" customFormat="1" spans="6:6">
      <c r="F38616" s="2423"/>
    </row>
    <row r="38617" s="101" customFormat="1" spans="6:6">
      <c r="F38617" s="2423"/>
    </row>
    <row r="38618" s="101" customFormat="1" spans="6:6">
      <c r="F38618" s="2423"/>
    </row>
    <row r="38619" s="101" customFormat="1" spans="6:6">
      <c r="F38619" s="2423"/>
    </row>
    <row r="38620" s="101" customFormat="1" spans="6:6">
      <c r="F38620" s="2423"/>
    </row>
    <row r="38621" s="101" customFormat="1" spans="6:6">
      <c r="F38621" s="2423"/>
    </row>
    <row r="38622" s="101" customFormat="1" spans="6:6">
      <c r="F38622" s="2423"/>
    </row>
    <row r="38623" s="101" customFormat="1" spans="6:6">
      <c r="F38623" s="2423"/>
    </row>
    <row r="38624" s="101" customFormat="1" spans="6:6">
      <c r="F38624" s="2423"/>
    </row>
    <row r="38625" s="101" customFormat="1" spans="6:6">
      <c r="F38625" s="2423"/>
    </row>
    <row r="38626" s="101" customFormat="1" spans="6:6">
      <c r="F38626" s="2423"/>
    </row>
    <row r="38627" s="101" customFormat="1" spans="6:6">
      <c r="F38627" s="2423"/>
    </row>
    <row r="38628" s="101" customFormat="1" spans="6:6">
      <c r="F38628" s="2423"/>
    </row>
    <row r="38629" s="101" customFormat="1" spans="6:6">
      <c r="F38629" s="2423"/>
    </row>
    <row r="38630" s="101" customFormat="1" spans="6:6">
      <c r="F38630" s="2423"/>
    </row>
    <row r="38631" s="101" customFormat="1" spans="6:6">
      <c r="F38631" s="2423"/>
    </row>
    <row r="38632" s="101" customFormat="1" spans="6:6">
      <c r="F38632" s="2423"/>
    </row>
    <row r="38633" s="101" customFormat="1" spans="6:6">
      <c r="F38633" s="2423"/>
    </row>
    <row r="38634" s="101" customFormat="1" spans="6:6">
      <c r="F38634" s="2423"/>
    </row>
    <row r="38635" s="101" customFormat="1" spans="6:6">
      <c r="F38635" s="2423"/>
    </row>
    <row r="38636" s="101" customFormat="1" spans="6:6">
      <c r="F38636" s="2423"/>
    </row>
    <row r="38637" s="101" customFormat="1" spans="6:6">
      <c r="F38637" s="2423"/>
    </row>
    <row r="38638" s="101" customFormat="1" spans="6:6">
      <c r="F38638" s="2423"/>
    </row>
    <row r="38639" s="101" customFormat="1" spans="6:6">
      <c r="F38639" s="2423"/>
    </row>
    <row r="38640" s="101" customFormat="1" spans="6:6">
      <c r="F38640" s="2423"/>
    </row>
    <row r="38641" s="101" customFormat="1" spans="6:6">
      <c r="F38641" s="2423"/>
    </row>
    <row r="38642" s="101" customFormat="1" spans="6:6">
      <c r="F38642" s="2423"/>
    </row>
    <row r="38643" s="101" customFormat="1" spans="6:6">
      <c r="F38643" s="2423"/>
    </row>
    <row r="38644" s="101" customFormat="1" spans="6:6">
      <c r="F38644" s="2423"/>
    </row>
    <row r="38645" s="101" customFormat="1" spans="6:6">
      <c r="F38645" s="2423"/>
    </row>
    <row r="38646" s="101" customFormat="1" spans="6:6">
      <c r="F38646" s="2423"/>
    </row>
    <row r="38647" s="101" customFormat="1" spans="6:6">
      <c r="F38647" s="2423"/>
    </row>
    <row r="38648" s="101" customFormat="1" spans="6:6">
      <c r="F38648" s="2423"/>
    </row>
    <row r="38649" s="101" customFormat="1" spans="6:6">
      <c r="F38649" s="2423"/>
    </row>
    <row r="38650" s="101" customFormat="1" spans="6:6">
      <c r="F38650" s="2423"/>
    </row>
    <row r="38651" s="101" customFormat="1" spans="6:6">
      <c r="F38651" s="2423"/>
    </row>
    <row r="38652" s="101" customFormat="1" spans="6:6">
      <c r="F38652" s="2423"/>
    </row>
    <row r="38653" s="101" customFormat="1" spans="6:6">
      <c r="F38653" s="2423"/>
    </row>
    <row r="38654" s="101" customFormat="1" spans="6:6">
      <c r="F38654" s="2423"/>
    </row>
    <row r="38655" s="101" customFormat="1" spans="6:6">
      <c r="F38655" s="2423"/>
    </row>
    <row r="38656" s="101" customFormat="1" spans="6:6">
      <c r="F38656" s="2423"/>
    </row>
    <row r="38657" s="101" customFormat="1" spans="6:6">
      <c r="F38657" s="2423"/>
    </row>
    <row r="38658" s="101" customFormat="1" spans="6:6">
      <c r="F38658" s="2423"/>
    </row>
    <row r="38659" s="101" customFormat="1" spans="6:6">
      <c r="F38659" s="2423"/>
    </row>
    <row r="38660" s="101" customFormat="1" spans="6:6">
      <c r="F38660" s="2423"/>
    </row>
    <row r="38661" s="101" customFormat="1" spans="6:6">
      <c r="F38661" s="2423"/>
    </row>
    <row r="38662" s="101" customFormat="1" spans="6:6">
      <c r="F38662" s="2423"/>
    </row>
    <row r="38663" s="101" customFormat="1" spans="6:6">
      <c r="F38663" s="2423"/>
    </row>
    <row r="38664" s="101" customFormat="1" spans="6:6">
      <c r="F38664" s="2423"/>
    </row>
    <row r="38665" s="101" customFormat="1" spans="6:6">
      <c r="F38665" s="2423"/>
    </row>
    <row r="38666" s="101" customFormat="1" spans="6:6">
      <c r="F38666" s="2423"/>
    </row>
    <row r="38667" s="101" customFormat="1" spans="6:6">
      <c r="F38667" s="2423"/>
    </row>
    <row r="38668" s="101" customFormat="1" spans="6:6">
      <c r="F38668" s="2423"/>
    </row>
    <row r="38669" s="101" customFormat="1" spans="6:6">
      <c r="F38669" s="2423"/>
    </row>
    <row r="38670" s="101" customFormat="1" spans="6:6">
      <c r="F38670" s="2423"/>
    </row>
    <row r="38671" s="101" customFormat="1" spans="6:6">
      <c r="F38671" s="2423"/>
    </row>
    <row r="38672" s="101" customFormat="1" spans="6:6">
      <c r="F38672" s="2423"/>
    </row>
    <row r="38673" s="101" customFormat="1" spans="6:6">
      <c r="F38673" s="2423"/>
    </row>
    <row r="38674" s="101" customFormat="1" spans="6:6">
      <c r="F38674" s="2423"/>
    </row>
    <row r="38675" s="101" customFormat="1" spans="6:6">
      <c r="F38675" s="2423"/>
    </row>
    <row r="38676" s="101" customFormat="1" spans="6:6">
      <c r="F38676" s="2423"/>
    </row>
    <row r="38677" s="101" customFormat="1" spans="6:6">
      <c r="F38677" s="2423"/>
    </row>
    <row r="38678" s="101" customFormat="1" spans="6:6">
      <c r="F38678" s="2423"/>
    </row>
    <row r="38679" s="101" customFormat="1" spans="6:6">
      <c r="F38679" s="2423"/>
    </row>
    <row r="38680" s="101" customFormat="1" spans="6:6">
      <c r="F38680" s="2423"/>
    </row>
    <row r="38681" s="101" customFormat="1" spans="6:6">
      <c r="F38681" s="2423"/>
    </row>
    <row r="38682" s="101" customFormat="1" spans="6:6">
      <c r="F38682" s="2423"/>
    </row>
    <row r="38683" s="101" customFormat="1" spans="6:6">
      <c r="F38683" s="2423"/>
    </row>
    <row r="38684" s="101" customFormat="1" spans="6:6">
      <c r="F38684" s="2423"/>
    </row>
    <row r="38685" s="101" customFormat="1" spans="6:6">
      <c r="F38685" s="2423"/>
    </row>
    <row r="38686" s="101" customFormat="1" spans="6:6">
      <c r="F38686" s="2423"/>
    </row>
    <row r="38687" s="101" customFormat="1" spans="6:6">
      <c r="F38687" s="2423"/>
    </row>
    <row r="38688" s="101" customFormat="1" spans="6:6">
      <c r="F38688" s="2423"/>
    </row>
    <row r="38689" s="101" customFormat="1" spans="6:6">
      <c r="F38689" s="2423"/>
    </row>
    <row r="38690" s="101" customFormat="1" spans="6:6">
      <c r="F38690" s="2423"/>
    </row>
    <row r="38691" s="101" customFormat="1" spans="6:6">
      <c r="F38691" s="2423"/>
    </row>
    <row r="38692" s="101" customFormat="1" spans="6:6">
      <c r="F38692" s="2423"/>
    </row>
    <row r="38693" s="101" customFormat="1" spans="6:6">
      <c r="F38693" s="2423"/>
    </row>
    <row r="38694" s="101" customFormat="1" spans="6:6">
      <c r="F38694" s="2423"/>
    </row>
    <row r="38695" s="101" customFormat="1" spans="6:6">
      <c r="F38695" s="2423"/>
    </row>
    <row r="38696" s="101" customFormat="1" spans="6:6">
      <c r="F38696" s="2423"/>
    </row>
    <row r="38697" s="101" customFormat="1" spans="6:6">
      <c r="F38697" s="2423"/>
    </row>
    <row r="38698" s="101" customFormat="1" spans="6:6">
      <c r="F38698" s="2423"/>
    </row>
    <row r="38699" s="101" customFormat="1" spans="6:6">
      <c r="F38699" s="2423"/>
    </row>
    <row r="38700" s="101" customFormat="1" spans="6:6">
      <c r="F38700" s="2423"/>
    </row>
    <row r="38701" s="101" customFormat="1" spans="6:6">
      <c r="F38701" s="2423"/>
    </row>
    <row r="38702" s="101" customFormat="1" spans="6:6">
      <c r="F38702" s="2423"/>
    </row>
    <row r="38703" s="101" customFormat="1" spans="6:6">
      <c r="F38703" s="2423"/>
    </row>
    <row r="38704" s="101" customFormat="1" spans="6:6">
      <c r="F38704" s="2423"/>
    </row>
    <row r="38705" s="101" customFormat="1" spans="6:6">
      <c r="F38705" s="2423"/>
    </row>
    <row r="38706" s="101" customFormat="1" spans="6:6">
      <c r="F38706" s="2423"/>
    </row>
    <row r="38707" s="101" customFormat="1" spans="6:6">
      <c r="F38707" s="2423"/>
    </row>
    <row r="38708" s="101" customFormat="1" spans="6:6">
      <c r="F38708" s="2423"/>
    </row>
    <row r="38709" s="101" customFormat="1" spans="6:6">
      <c r="F38709" s="2423"/>
    </row>
    <row r="38710" s="101" customFormat="1" spans="6:6">
      <c r="F38710" s="2423"/>
    </row>
    <row r="38711" s="101" customFormat="1" spans="6:6">
      <c r="F38711" s="2423"/>
    </row>
    <row r="38712" s="101" customFormat="1" spans="6:6">
      <c r="F38712" s="2423"/>
    </row>
    <row r="38713" s="101" customFormat="1" spans="6:6">
      <c r="F38713" s="2423"/>
    </row>
    <row r="38714" s="101" customFormat="1" spans="6:6">
      <c r="F38714" s="2423"/>
    </row>
    <row r="38715" s="101" customFormat="1" spans="6:6">
      <c r="F38715" s="2423"/>
    </row>
    <row r="38716" s="101" customFormat="1" spans="6:6">
      <c r="F38716" s="2423"/>
    </row>
    <row r="38717" s="101" customFormat="1" spans="6:6">
      <c r="F38717" s="2423"/>
    </row>
    <row r="38718" s="101" customFormat="1" spans="6:6">
      <c r="F38718" s="2423"/>
    </row>
    <row r="38719" s="101" customFormat="1" spans="6:6">
      <c r="F38719" s="2423"/>
    </row>
    <row r="38720" s="101" customFormat="1" spans="6:6">
      <c r="F38720" s="2423"/>
    </row>
    <row r="38721" s="101" customFormat="1" spans="6:6">
      <c r="F38721" s="2423"/>
    </row>
    <row r="38722" s="101" customFormat="1" spans="6:6">
      <c r="F38722" s="2423"/>
    </row>
    <row r="38723" s="101" customFormat="1" spans="6:6">
      <c r="F38723" s="2423"/>
    </row>
    <row r="38724" s="101" customFormat="1" spans="6:6">
      <c r="F38724" s="2423"/>
    </row>
    <row r="38725" s="101" customFormat="1" spans="6:6">
      <c r="F38725" s="2423"/>
    </row>
    <row r="38726" s="101" customFormat="1" spans="6:6">
      <c r="F38726" s="2423"/>
    </row>
    <row r="38727" s="101" customFormat="1" spans="6:6">
      <c r="F38727" s="2423"/>
    </row>
    <row r="38728" s="101" customFormat="1" spans="6:6">
      <c r="F38728" s="2423"/>
    </row>
    <row r="38729" s="101" customFormat="1" spans="6:6">
      <c r="F38729" s="2423"/>
    </row>
    <row r="38730" s="101" customFormat="1" spans="6:6">
      <c r="F38730" s="2423"/>
    </row>
    <row r="38731" s="101" customFormat="1" spans="6:6">
      <c r="F38731" s="2423"/>
    </row>
    <row r="38732" s="101" customFormat="1" spans="6:6">
      <c r="F38732" s="2423"/>
    </row>
    <row r="38733" s="101" customFormat="1" spans="6:6">
      <c r="F38733" s="2423"/>
    </row>
    <row r="38734" s="101" customFormat="1" spans="6:6">
      <c r="F38734" s="2423"/>
    </row>
    <row r="38735" s="101" customFormat="1" spans="6:6">
      <c r="F38735" s="2423"/>
    </row>
    <row r="38736" s="101" customFormat="1" spans="6:6">
      <c r="F38736" s="2423"/>
    </row>
    <row r="38737" s="101" customFormat="1" spans="6:6">
      <c r="F38737" s="2423"/>
    </row>
    <row r="38738" s="101" customFormat="1" spans="6:6">
      <c r="F38738" s="2423"/>
    </row>
    <row r="38739" s="101" customFormat="1" spans="6:6">
      <c r="F38739" s="2423"/>
    </row>
    <row r="38740" s="101" customFormat="1" spans="6:6">
      <c r="F38740" s="2423"/>
    </row>
    <row r="38741" s="101" customFormat="1" spans="6:6">
      <c r="F38741" s="2423"/>
    </row>
    <row r="38742" s="101" customFormat="1" spans="6:6">
      <c r="F38742" s="2423"/>
    </row>
    <row r="38743" s="101" customFormat="1" spans="6:6">
      <c r="F38743" s="2423"/>
    </row>
    <row r="38744" s="101" customFormat="1" spans="6:6">
      <c r="F38744" s="2423"/>
    </row>
    <row r="38745" s="101" customFormat="1" spans="6:6">
      <c r="F38745" s="2423"/>
    </row>
    <row r="38746" s="101" customFormat="1" spans="6:6">
      <c r="F38746" s="2423"/>
    </row>
    <row r="38747" s="101" customFormat="1" spans="6:6">
      <c r="F38747" s="2423"/>
    </row>
    <row r="38748" s="101" customFormat="1" spans="6:6">
      <c r="F38748" s="2423"/>
    </row>
    <row r="38749" s="101" customFormat="1" spans="6:6">
      <c r="F38749" s="2423"/>
    </row>
    <row r="38750" s="101" customFormat="1" spans="6:6">
      <c r="F38750" s="2423"/>
    </row>
    <row r="38751" s="101" customFormat="1" spans="6:6">
      <c r="F38751" s="2423"/>
    </row>
    <row r="38752" s="101" customFormat="1" spans="6:6">
      <c r="F38752" s="2423"/>
    </row>
    <row r="38753" s="101" customFormat="1" spans="6:6">
      <c r="F38753" s="2423"/>
    </row>
    <row r="38754" s="101" customFormat="1" spans="6:6">
      <c r="F38754" s="2423"/>
    </row>
    <row r="38755" s="101" customFormat="1" spans="6:6">
      <c r="F38755" s="2423"/>
    </row>
    <row r="38756" s="101" customFormat="1" spans="6:6">
      <c r="F38756" s="2423"/>
    </row>
    <row r="38757" s="101" customFormat="1" spans="6:6">
      <c r="F38757" s="2423"/>
    </row>
    <row r="38758" s="101" customFormat="1" spans="6:6">
      <c r="F38758" s="2423"/>
    </row>
    <row r="38759" s="101" customFormat="1" spans="6:6">
      <c r="F38759" s="2423"/>
    </row>
    <row r="38760" s="101" customFormat="1" spans="6:6">
      <c r="F38760" s="2423"/>
    </row>
    <row r="38761" s="101" customFormat="1" spans="6:6">
      <c r="F38761" s="2423"/>
    </row>
    <row r="38762" s="101" customFormat="1" spans="6:6">
      <c r="F38762" s="2423"/>
    </row>
    <row r="38763" s="101" customFormat="1" spans="6:6">
      <c r="F38763" s="2423"/>
    </row>
    <row r="38764" s="101" customFormat="1" spans="6:6">
      <c r="F38764" s="2423"/>
    </row>
    <row r="38765" s="101" customFormat="1" spans="6:6">
      <c r="F38765" s="2423"/>
    </row>
    <row r="38766" s="101" customFormat="1" spans="6:6">
      <c r="F38766" s="2423"/>
    </row>
    <row r="38767" s="101" customFormat="1" spans="6:6">
      <c r="F38767" s="2423"/>
    </row>
    <row r="38768" s="101" customFormat="1" spans="6:6">
      <c r="F38768" s="2423"/>
    </row>
    <row r="38769" s="101" customFormat="1" spans="6:6">
      <c r="F38769" s="2423"/>
    </row>
    <row r="38770" s="101" customFormat="1" spans="6:6">
      <c r="F38770" s="2423"/>
    </row>
    <row r="38771" s="101" customFormat="1" spans="6:6">
      <c r="F38771" s="2423"/>
    </row>
    <row r="38772" s="101" customFormat="1" spans="6:6">
      <c r="F38772" s="2423"/>
    </row>
    <row r="38773" s="101" customFormat="1" spans="6:6">
      <c r="F38773" s="2423"/>
    </row>
    <row r="38774" s="101" customFormat="1" spans="6:6">
      <c r="F38774" s="2423"/>
    </row>
    <row r="38775" s="101" customFormat="1" spans="6:6">
      <c r="F38775" s="2423"/>
    </row>
    <row r="38776" s="101" customFormat="1" spans="6:6">
      <c r="F38776" s="2423"/>
    </row>
    <row r="38777" s="101" customFormat="1" spans="6:6">
      <c r="F38777" s="2423"/>
    </row>
    <row r="38778" s="101" customFormat="1" spans="6:6">
      <c r="F38778" s="2423"/>
    </row>
    <row r="38779" s="101" customFormat="1" spans="6:6">
      <c r="F38779" s="2423"/>
    </row>
    <row r="38780" s="101" customFormat="1" spans="6:6">
      <c r="F38780" s="2423"/>
    </row>
    <row r="38781" s="101" customFormat="1" spans="6:6">
      <c r="F38781" s="2423"/>
    </row>
    <row r="38782" s="101" customFormat="1" spans="6:6">
      <c r="F38782" s="2423"/>
    </row>
    <row r="38783" s="101" customFormat="1" spans="6:6">
      <c r="F38783" s="2423"/>
    </row>
    <row r="38784" s="101" customFormat="1" spans="6:6">
      <c r="F38784" s="2423"/>
    </row>
    <row r="38785" s="101" customFormat="1" spans="6:6">
      <c r="F38785" s="2423"/>
    </row>
    <row r="38786" s="101" customFormat="1" spans="6:6">
      <c r="F38786" s="2423"/>
    </row>
    <row r="38787" s="101" customFormat="1" spans="6:6">
      <c r="F38787" s="2423"/>
    </row>
    <row r="38788" s="101" customFormat="1" spans="6:6">
      <c r="F38788" s="2423"/>
    </row>
    <row r="38789" s="101" customFormat="1" spans="6:6">
      <c r="F38789" s="2423"/>
    </row>
    <row r="38790" s="101" customFormat="1" spans="6:6">
      <c r="F38790" s="2423"/>
    </row>
    <row r="38791" s="101" customFormat="1" spans="6:6">
      <c r="F38791" s="2423"/>
    </row>
    <row r="38792" s="101" customFormat="1" spans="6:6">
      <c r="F38792" s="2423"/>
    </row>
    <row r="38793" s="101" customFormat="1" spans="6:6">
      <c r="F38793" s="2423"/>
    </row>
    <row r="38794" s="101" customFormat="1" spans="6:6">
      <c r="F38794" s="2423"/>
    </row>
    <row r="38795" s="101" customFormat="1" spans="6:6">
      <c r="F38795" s="2423"/>
    </row>
    <row r="38796" s="101" customFormat="1" spans="6:6">
      <c r="F38796" s="2423"/>
    </row>
    <row r="38797" s="101" customFormat="1" spans="6:6">
      <c r="F38797" s="2423"/>
    </row>
    <row r="38798" s="101" customFormat="1" spans="6:6">
      <c r="F38798" s="2423"/>
    </row>
    <row r="38799" s="101" customFormat="1" spans="6:6">
      <c r="F38799" s="2423"/>
    </row>
    <row r="38800" s="101" customFormat="1" spans="6:6">
      <c r="F38800" s="2423"/>
    </row>
    <row r="38801" s="101" customFormat="1" spans="6:6">
      <c r="F38801" s="2423"/>
    </row>
    <row r="38802" s="101" customFormat="1" spans="6:6">
      <c r="F38802" s="2423"/>
    </row>
    <row r="38803" s="101" customFormat="1" spans="6:6">
      <c r="F38803" s="2423"/>
    </row>
    <row r="38804" s="101" customFormat="1" spans="6:6">
      <c r="F38804" s="2423"/>
    </row>
    <row r="38805" s="101" customFormat="1" spans="6:6">
      <c r="F38805" s="2423"/>
    </row>
    <row r="38806" s="101" customFormat="1" spans="6:6">
      <c r="F38806" s="2423"/>
    </row>
    <row r="38807" s="101" customFormat="1" spans="6:6">
      <c r="F38807" s="2423"/>
    </row>
    <row r="38808" s="101" customFormat="1" spans="6:6">
      <c r="F38808" s="2423"/>
    </row>
    <row r="38809" s="101" customFormat="1" spans="6:6">
      <c r="F38809" s="2423"/>
    </row>
    <row r="38810" s="101" customFormat="1" spans="6:6">
      <c r="F38810" s="2423"/>
    </row>
    <row r="38811" s="101" customFormat="1" spans="6:6">
      <c r="F38811" s="2423"/>
    </row>
    <row r="38812" s="101" customFormat="1" spans="6:6">
      <c r="F38812" s="2423"/>
    </row>
    <row r="38813" s="101" customFormat="1" spans="6:6">
      <c r="F38813" s="2423"/>
    </row>
    <row r="38814" s="101" customFormat="1" spans="6:6">
      <c r="F38814" s="2423"/>
    </row>
    <row r="38815" s="101" customFormat="1" spans="6:6">
      <c r="F38815" s="2423"/>
    </row>
    <row r="38816" s="101" customFormat="1" spans="6:6">
      <c r="F38816" s="2423"/>
    </row>
    <row r="38817" s="101" customFormat="1" spans="6:6">
      <c r="F38817" s="2423"/>
    </row>
    <row r="38818" s="101" customFormat="1" spans="6:6">
      <c r="F38818" s="2423"/>
    </row>
    <row r="38819" s="101" customFormat="1" spans="6:6">
      <c r="F38819" s="2423"/>
    </row>
    <row r="38820" s="101" customFormat="1" spans="6:6">
      <c r="F38820" s="2423"/>
    </row>
    <row r="38821" s="101" customFormat="1" spans="6:6">
      <c r="F38821" s="2423"/>
    </row>
    <row r="38822" s="101" customFormat="1" spans="6:6">
      <c r="F38822" s="2423"/>
    </row>
    <row r="38823" s="101" customFormat="1" spans="6:6">
      <c r="F38823" s="2423"/>
    </row>
    <row r="38824" s="101" customFormat="1" spans="6:6">
      <c r="F38824" s="2423"/>
    </row>
    <row r="38825" s="101" customFormat="1" spans="6:6">
      <c r="F38825" s="2423"/>
    </row>
    <row r="38826" s="101" customFormat="1" spans="6:6">
      <c r="F38826" s="2423"/>
    </row>
    <row r="38827" s="101" customFormat="1" spans="6:6">
      <c r="F38827" s="2423"/>
    </row>
    <row r="38828" s="101" customFormat="1" spans="6:6">
      <c r="F38828" s="2423"/>
    </row>
    <row r="38829" s="101" customFormat="1" spans="6:6">
      <c r="F38829" s="2423"/>
    </row>
    <row r="38830" s="101" customFormat="1" spans="6:6">
      <c r="F38830" s="2423"/>
    </row>
    <row r="38831" s="101" customFormat="1" spans="6:6">
      <c r="F38831" s="2423"/>
    </row>
    <row r="38832" s="101" customFormat="1" spans="6:6">
      <c r="F38832" s="2423"/>
    </row>
    <row r="38833" s="101" customFormat="1" spans="6:6">
      <c r="F38833" s="2423"/>
    </row>
    <row r="38834" s="101" customFormat="1" spans="6:6">
      <c r="F38834" s="2423"/>
    </row>
    <row r="38835" s="101" customFormat="1" spans="6:6">
      <c r="F38835" s="2423"/>
    </row>
    <row r="38836" s="101" customFormat="1" spans="6:6">
      <c r="F38836" s="2423"/>
    </row>
    <row r="38837" s="101" customFormat="1" spans="6:6">
      <c r="F38837" s="2423"/>
    </row>
    <row r="38838" s="101" customFormat="1" spans="6:6">
      <c r="F38838" s="2423"/>
    </row>
    <row r="38839" s="101" customFormat="1" spans="6:6">
      <c r="F38839" s="2423"/>
    </row>
    <row r="38840" s="101" customFormat="1" spans="6:6">
      <c r="F38840" s="2423"/>
    </row>
    <row r="38841" s="101" customFormat="1" spans="6:6">
      <c r="F38841" s="2423"/>
    </row>
    <row r="38842" s="101" customFormat="1" spans="6:6">
      <c r="F38842" s="2423"/>
    </row>
    <row r="38843" s="101" customFormat="1" spans="6:6">
      <c r="F38843" s="2423"/>
    </row>
    <row r="38844" s="101" customFormat="1" spans="6:6">
      <c r="F38844" s="2423"/>
    </row>
    <row r="38845" s="101" customFormat="1" spans="6:6">
      <c r="F38845" s="2423"/>
    </row>
    <row r="38846" s="101" customFormat="1" spans="6:6">
      <c r="F38846" s="2423"/>
    </row>
    <row r="38847" s="101" customFormat="1" spans="6:6">
      <c r="F38847" s="2423"/>
    </row>
    <row r="38848" s="101" customFormat="1" spans="6:6">
      <c r="F38848" s="2423"/>
    </row>
    <row r="38849" s="101" customFormat="1" spans="6:6">
      <c r="F38849" s="2423"/>
    </row>
    <row r="38850" s="101" customFormat="1" spans="6:6">
      <c r="F38850" s="2423"/>
    </row>
    <row r="38851" s="101" customFormat="1" spans="6:6">
      <c r="F38851" s="2423"/>
    </row>
    <row r="38852" s="101" customFormat="1" spans="6:6">
      <c r="F38852" s="2423"/>
    </row>
    <row r="38853" s="101" customFormat="1" spans="6:6">
      <c r="F38853" s="2423"/>
    </row>
    <row r="38854" s="101" customFormat="1" spans="6:6">
      <c r="F38854" s="2423"/>
    </row>
    <row r="38855" s="101" customFormat="1" spans="6:6">
      <c r="F38855" s="2423"/>
    </row>
    <row r="38856" s="101" customFormat="1" spans="6:6">
      <c r="F38856" s="2423"/>
    </row>
    <row r="38857" s="101" customFormat="1" spans="6:6">
      <c r="F38857" s="2423"/>
    </row>
    <row r="38858" s="101" customFormat="1" spans="6:6">
      <c r="F38858" s="2423"/>
    </row>
    <row r="38859" s="101" customFormat="1" spans="6:6">
      <c r="F38859" s="2423"/>
    </row>
    <row r="38860" s="101" customFormat="1" spans="6:6">
      <c r="F38860" s="2423"/>
    </row>
    <row r="38861" s="101" customFormat="1" spans="6:6">
      <c r="F38861" s="2423"/>
    </row>
    <row r="38862" s="101" customFormat="1" spans="6:6">
      <c r="F38862" s="2423"/>
    </row>
    <row r="38863" s="101" customFormat="1" spans="6:6">
      <c r="F38863" s="2423"/>
    </row>
    <row r="38864" s="101" customFormat="1" spans="6:6">
      <c r="F38864" s="2423"/>
    </row>
    <row r="38865" s="101" customFormat="1" spans="6:6">
      <c r="F38865" s="2423"/>
    </row>
    <row r="38866" s="101" customFormat="1" spans="6:6">
      <c r="F38866" s="2423"/>
    </row>
    <row r="38867" s="101" customFormat="1" spans="6:6">
      <c r="F38867" s="2423"/>
    </row>
    <row r="38868" s="101" customFormat="1" spans="6:6">
      <c r="F38868" s="2423"/>
    </row>
    <row r="38869" s="101" customFormat="1" spans="6:6">
      <c r="F38869" s="2423"/>
    </row>
    <row r="38870" s="101" customFormat="1" spans="6:6">
      <c r="F38870" s="2423"/>
    </row>
    <row r="38871" s="101" customFormat="1" spans="6:6">
      <c r="F38871" s="2423"/>
    </row>
    <row r="38872" s="101" customFormat="1" spans="6:6">
      <c r="F38872" s="2423"/>
    </row>
    <row r="38873" s="101" customFormat="1" spans="6:6">
      <c r="F38873" s="2423"/>
    </row>
    <row r="38874" s="101" customFormat="1" spans="6:6">
      <c r="F38874" s="2423"/>
    </row>
    <row r="38875" s="101" customFormat="1" spans="6:6">
      <c r="F38875" s="2423"/>
    </row>
    <row r="38876" s="101" customFormat="1" spans="6:6">
      <c r="F38876" s="2423"/>
    </row>
    <row r="38877" s="101" customFormat="1" spans="6:6">
      <c r="F38877" s="2423"/>
    </row>
    <row r="38878" s="101" customFormat="1" spans="6:6">
      <c r="F38878" s="2423"/>
    </row>
    <row r="38879" s="101" customFormat="1" spans="6:6">
      <c r="F38879" s="2423"/>
    </row>
    <row r="38880" s="101" customFormat="1" spans="6:6">
      <c r="F38880" s="2423"/>
    </row>
    <row r="38881" s="101" customFormat="1" spans="6:6">
      <c r="F38881" s="2423"/>
    </row>
    <row r="38882" s="101" customFormat="1" spans="6:6">
      <c r="F38882" s="2423"/>
    </row>
    <row r="38883" s="101" customFormat="1" spans="6:6">
      <c r="F38883" s="2423"/>
    </row>
    <row r="38884" s="101" customFormat="1" spans="6:6">
      <c r="F38884" s="2423"/>
    </row>
    <row r="38885" s="101" customFormat="1" spans="6:6">
      <c r="F38885" s="2423"/>
    </row>
    <row r="38886" s="101" customFormat="1" spans="6:6">
      <c r="F38886" s="2423"/>
    </row>
    <row r="38887" s="101" customFormat="1" spans="6:6">
      <c r="F38887" s="2423"/>
    </row>
    <row r="38888" s="101" customFormat="1" spans="6:6">
      <c r="F38888" s="2423"/>
    </row>
    <row r="38889" s="101" customFormat="1" spans="6:6">
      <c r="F38889" s="2423"/>
    </row>
    <row r="38890" s="101" customFormat="1" spans="6:6">
      <c r="F38890" s="2423"/>
    </row>
    <row r="38891" s="101" customFormat="1" spans="6:6">
      <c r="F38891" s="2423"/>
    </row>
    <row r="38892" s="101" customFormat="1" spans="6:6">
      <c r="F38892" s="2423"/>
    </row>
    <row r="38893" s="101" customFormat="1" spans="6:6">
      <c r="F38893" s="2423"/>
    </row>
    <row r="38894" s="101" customFormat="1" spans="6:6">
      <c r="F38894" s="2423"/>
    </row>
    <row r="38895" s="101" customFormat="1" spans="6:6">
      <c r="F38895" s="2423"/>
    </row>
    <row r="38896" s="101" customFormat="1" spans="6:6">
      <c r="F38896" s="2423"/>
    </row>
    <row r="38897" s="101" customFormat="1" spans="6:6">
      <c r="F38897" s="2423"/>
    </row>
    <row r="38898" s="101" customFormat="1" spans="6:6">
      <c r="F38898" s="2423"/>
    </row>
    <row r="38899" s="101" customFormat="1" spans="6:6">
      <c r="F38899" s="2423"/>
    </row>
    <row r="38900" s="101" customFormat="1" spans="6:6">
      <c r="F38900" s="2423"/>
    </row>
    <row r="38901" s="101" customFormat="1" spans="6:6">
      <c r="F38901" s="2423"/>
    </row>
    <row r="38902" s="101" customFormat="1" spans="6:6">
      <c r="F38902" s="2423"/>
    </row>
    <row r="38903" s="101" customFormat="1" spans="6:6">
      <c r="F38903" s="2423"/>
    </row>
    <row r="38904" s="101" customFormat="1" spans="6:6">
      <c r="F38904" s="2423"/>
    </row>
    <row r="38905" s="101" customFormat="1" spans="6:6">
      <c r="F38905" s="2423"/>
    </row>
    <row r="38906" s="101" customFormat="1" spans="6:6">
      <c r="F38906" s="2423"/>
    </row>
    <row r="38907" s="101" customFormat="1" spans="6:6">
      <c r="F38907" s="2423"/>
    </row>
    <row r="38908" s="101" customFormat="1" spans="6:6">
      <c r="F38908" s="2423"/>
    </row>
    <row r="38909" s="101" customFormat="1" spans="6:6">
      <c r="F38909" s="2423"/>
    </row>
    <row r="38910" s="101" customFormat="1" spans="6:6">
      <c r="F38910" s="2423"/>
    </row>
    <row r="38911" s="101" customFormat="1" spans="6:6">
      <c r="F38911" s="2423"/>
    </row>
    <row r="38912" s="101" customFormat="1" spans="6:6">
      <c r="F38912" s="2423"/>
    </row>
    <row r="38913" s="101" customFormat="1" spans="6:6">
      <c r="F38913" s="2423"/>
    </row>
    <row r="38914" s="101" customFormat="1" spans="6:6">
      <c r="F38914" s="2423"/>
    </row>
    <row r="38915" s="101" customFormat="1" spans="6:6">
      <c r="F38915" s="2423"/>
    </row>
    <row r="38916" s="101" customFormat="1" spans="6:6">
      <c r="F38916" s="2423"/>
    </row>
    <row r="38917" s="101" customFormat="1" spans="6:6">
      <c r="F38917" s="2423"/>
    </row>
    <row r="38918" s="101" customFormat="1" spans="6:6">
      <c r="F38918" s="2423"/>
    </row>
    <row r="38919" s="101" customFormat="1" spans="6:6">
      <c r="F38919" s="2423"/>
    </row>
    <row r="38920" s="101" customFormat="1" spans="6:6">
      <c r="F38920" s="2423"/>
    </row>
    <row r="38921" s="101" customFormat="1" spans="6:6">
      <c r="F38921" s="2423"/>
    </row>
    <row r="38922" s="101" customFormat="1" spans="6:6">
      <c r="F38922" s="2423"/>
    </row>
    <row r="38923" s="101" customFormat="1" spans="6:6">
      <c r="F38923" s="2423"/>
    </row>
    <row r="38924" s="101" customFormat="1" spans="6:6">
      <c r="F38924" s="2423"/>
    </row>
    <row r="38925" s="101" customFormat="1" spans="6:6">
      <c r="F38925" s="2423"/>
    </row>
    <row r="38926" s="101" customFormat="1" spans="6:6">
      <c r="F38926" s="2423"/>
    </row>
    <row r="38927" s="101" customFormat="1" spans="6:6">
      <c r="F38927" s="2423"/>
    </row>
    <row r="38928" s="101" customFormat="1" spans="6:6">
      <c r="F38928" s="2423"/>
    </row>
    <row r="38929" s="101" customFormat="1" spans="6:6">
      <c r="F38929" s="2423"/>
    </row>
    <row r="38930" s="101" customFormat="1" spans="6:6">
      <c r="F38930" s="2423"/>
    </row>
    <row r="38931" s="101" customFormat="1" spans="6:6">
      <c r="F38931" s="2423"/>
    </row>
    <row r="38932" s="101" customFormat="1" spans="6:6">
      <c r="F38932" s="2423"/>
    </row>
    <row r="38933" s="101" customFormat="1" spans="6:6">
      <c r="F38933" s="2423"/>
    </row>
    <row r="38934" s="101" customFormat="1" spans="6:6">
      <c r="F38934" s="2423"/>
    </row>
    <row r="38935" s="101" customFormat="1" spans="6:6">
      <c r="F38935" s="2423"/>
    </row>
    <row r="38936" s="101" customFormat="1" spans="6:6">
      <c r="F38936" s="2423"/>
    </row>
    <row r="38937" s="101" customFormat="1" spans="6:6">
      <c r="F38937" s="2423"/>
    </row>
    <row r="38938" s="101" customFormat="1" spans="6:6">
      <c r="F38938" s="2423"/>
    </row>
    <row r="38939" s="101" customFormat="1" spans="6:6">
      <c r="F38939" s="2423"/>
    </row>
    <row r="38940" s="101" customFormat="1" spans="6:6">
      <c r="F38940" s="2423"/>
    </row>
    <row r="38941" s="101" customFormat="1" spans="6:6">
      <c r="F38941" s="2423"/>
    </row>
    <row r="38942" s="101" customFormat="1" spans="6:6">
      <c r="F38942" s="2423"/>
    </row>
    <row r="38943" s="101" customFormat="1" spans="6:6">
      <c r="F38943" s="2423"/>
    </row>
    <row r="38944" s="101" customFormat="1" spans="6:6">
      <c r="F38944" s="2423"/>
    </row>
    <row r="38945" s="101" customFormat="1" spans="6:6">
      <c r="F38945" s="2423"/>
    </row>
    <row r="38946" s="101" customFormat="1" spans="6:6">
      <c r="F38946" s="2423"/>
    </row>
    <row r="38947" s="101" customFormat="1" spans="6:6">
      <c r="F38947" s="2423"/>
    </row>
    <row r="38948" s="101" customFormat="1" spans="6:6">
      <c r="F38948" s="2423"/>
    </row>
    <row r="38949" s="101" customFormat="1" spans="6:6">
      <c r="F38949" s="2423"/>
    </row>
    <row r="38950" s="101" customFormat="1" spans="6:6">
      <c r="F38950" s="2423"/>
    </row>
    <row r="38951" s="101" customFormat="1" spans="6:6">
      <c r="F38951" s="2423"/>
    </row>
    <row r="38952" s="101" customFormat="1" spans="6:6">
      <c r="F38952" s="2423"/>
    </row>
    <row r="38953" s="101" customFormat="1" spans="6:6">
      <c r="F38953" s="2423"/>
    </row>
    <row r="38954" s="101" customFormat="1" spans="6:6">
      <c r="F38954" s="2423"/>
    </row>
    <row r="38955" s="101" customFormat="1" spans="6:6">
      <c r="F38955" s="2423"/>
    </row>
    <row r="38956" s="101" customFormat="1" spans="6:6">
      <c r="F38956" s="2423"/>
    </row>
    <row r="38957" s="101" customFormat="1" spans="6:6">
      <c r="F38957" s="2423"/>
    </row>
    <row r="38958" s="101" customFormat="1" spans="6:6">
      <c r="F38958" s="2423"/>
    </row>
    <row r="38959" s="101" customFormat="1" spans="6:6">
      <c r="F38959" s="2423"/>
    </row>
    <row r="38960" s="101" customFormat="1" spans="6:6">
      <c r="F38960" s="2423"/>
    </row>
    <row r="38961" s="101" customFormat="1" spans="6:6">
      <c r="F38961" s="2423"/>
    </row>
    <row r="38962" s="101" customFormat="1" spans="6:6">
      <c r="F38962" s="2423"/>
    </row>
    <row r="38963" s="101" customFormat="1" spans="6:6">
      <c r="F38963" s="2423"/>
    </row>
    <row r="38964" s="101" customFormat="1" spans="6:6">
      <c r="F38964" s="2423"/>
    </row>
    <row r="38965" s="101" customFormat="1" spans="6:6">
      <c r="F38965" s="2423"/>
    </row>
    <row r="38966" s="101" customFormat="1" spans="6:6">
      <c r="F38966" s="2423"/>
    </row>
    <row r="38967" s="101" customFormat="1" spans="6:6">
      <c r="F38967" s="2423"/>
    </row>
    <row r="38968" s="101" customFormat="1" spans="6:6">
      <c r="F38968" s="2423"/>
    </row>
    <row r="38969" s="101" customFormat="1" spans="6:6">
      <c r="F38969" s="2423"/>
    </row>
    <row r="38970" s="101" customFormat="1" spans="6:6">
      <c r="F38970" s="2423"/>
    </row>
    <row r="38971" s="101" customFormat="1" spans="6:6">
      <c r="F38971" s="2423"/>
    </row>
    <row r="38972" s="101" customFormat="1" spans="6:6">
      <c r="F38972" s="2423"/>
    </row>
    <row r="38973" s="101" customFormat="1" spans="6:6">
      <c r="F38973" s="2423"/>
    </row>
    <row r="38974" s="101" customFormat="1" spans="6:6">
      <c r="F38974" s="2423"/>
    </row>
    <row r="38975" s="101" customFormat="1" spans="6:6">
      <c r="F38975" s="2423"/>
    </row>
    <row r="38976" s="101" customFormat="1" spans="6:6">
      <c r="F38976" s="2423"/>
    </row>
    <row r="38977" s="101" customFormat="1" spans="6:6">
      <c r="F38977" s="2423"/>
    </row>
    <row r="38978" s="101" customFormat="1" spans="6:6">
      <c r="F38978" s="2423"/>
    </row>
    <row r="38979" s="101" customFormat="1" spans="6:6">
      <c r="F38979" s="2423"/>
    </row>
    <row r="38980" s="101" customFormat="1" spans="6:6">
      <c r="F38980" s="2423"/>
    </row>
    <row r="38981" s="101" customFormat="1" spans="6:6">
      <c r="F38981" s="2423"/>
    </row>
    <row r="38982" s="101" customFormat="1" spans="6:6">
      <c r="F38982" s="2423"/>
    </row>
    <row r="38983" s="101" customFormat="1" spans="6:6">
      <c r="F38983" s="2423"/>
    </row>
    <row r="38984" s="101" customFormat="1" spans="6:6">
      <c r="F38984" s="2423"/>
    </row>
    <row r="38985" s="101" customFormat="1" spans="6:6">
      <c r="F38985" s="2423"/>
    </row>
    <row r="38986" s="101" customFormat="1" spans="6:6">
      <c r="F38986" s="2423"/>
    </row>
    <row r="38987" s="101" customFormat="1" spans="6:6">
      <c r="F38987" s="2423"/>
    </row>
    <row r="38988" s="101" customFormat="1" spans="6:6">
      <c r="F38988" s="2423"/>
    </row>
    <row r="38989" s="101" customFormat="1" spans="6:6">
      <c r="F38989" s="2423"/>
    </row>
    <row r="38990" s="101" customFormat="1" spans="6:6">
      <c r="F38990" s="2423"/>
    </row>
    <row r="38991" s="101" customFormat="1" spans="6:6">
      <c r="F38991" s="2423"/>
    </row>
    <row r="38992" s="101" customFormat="1" spans="6:6">
      <c r="F38992" s="2423"/>
    </row>
    <row r="38993" s="101" customFormat="1" spans="6:6">
      <c r="F38993" s="2423"/>
    </row>
    <row r="38994" s="101" customFormat="1" spans="6:6">
      <c r="F38994" s="2423"/>
    </row>
    <row r="38995" s="101" customFormat="1" spans="6:6">
      <c r="F38995" s="2423"/>
    </row>
    <row r="38996" s="101" customFormat="1" spans="6:6">
      <c r="F38996" s="2423"/>
    </row>
    <row r="38997" s="101" customFormat="1" spans="6:6">
      <c r="F38997" s="2423"/>
    </row>
    <row r="38998" s="101" customFormat="1" spans="6:6">
      <c r="F38998" s="2423"/>
    </row>
    <row r="38999" s="101" customFormat="1" spans="6:6">
      <c r="F38999" s="2423"/>
    </row>
    <row r="39000" s="101" customFormat="1" spans="6:6">
      <c r="F39000" s="2423"/>
    </row>
    <row r="39001" s="101" customFormat="1" spans="6:6">
      <c r="F39001" s="2423"/>
    </row>
    <row r="39002" s="101" customFormat="1" spans="6:6">
      <c r="F39002" s="2423"/>
    </row>
    <row r="39003" s="101" customFormat="1" spans="6:6">
      <c r="F39003" s="2423"/>
    </row>
    <row r="39004" s="101" customFormat="1" spans="6:6">
      <c r="F39004" s="2423"/>
    </row>
    <row r="39005" s="101" customFormat="1" spans="6:6">
      <c r="F39005" s="2423"/>
    </row>
    <row r="39006" s="101" customFormat="1" spans="6:6">
      <c r="F39006" s="2423"/>
    </row>
    <row r="39007" s="101" customFormat="1" spans="6:6">
      <c r="F39007" s="2423"/>
    </row>
    <row r="39008" s="101" customFormat="1" spans="6:6">
      <c r="F39008" s="2423"/>
    </row>
    <row r="39009" s="101" customFormat="1" spans="6:6">
      <c r="F39009" s="2423"/>
    </row>
    <row r="39010" s="101" customFormat="1" spans="6:6">
      <c r="F39010" s="2423"/>
    </row>
    <row r="39011" s="101" customFormat="1" spans="6:6">
      <c r="F39011" s="2423"/>
    </row>
    <row r="39012" s="101" customFormat="1" spans="6:6">
      <c r="F39012" s="2423"/>
    </row>
    <row r="39013" s="101" customFormat="1" spans="6:6">
      <c r="F39013" s="2423"/>
    </row>
    <row r="39014" s="101" customFormat="1" spans="6:6">
      <c r="F39014" s="2423"/>
    </row>
    <row r="39015" s="101" customFormat="1" spans="6:6">
      <c r="F39015" s="2423"/>
    </row>
    <row r="39016" s="101" customFormat="1" spans="6:6">
      <c r="F39016" s="2423"/>
    </row>
    <row r="39017" s="101" customFormat="1" spans="6:6">
      <c r="F39017" s="2423"/>
    </row>
    <row r="39018" s="101" customFormat="1" spans="6:6">
      <c r="F39018" s="2423"/>
    </row>
    <row r="39019" s="101" customFormat="1" spans="6:6">
      <c r="F39019" s="2423"/>
    </row>
    <row r="39020" s="101" customFormat="1" spans="6:6">
      <c r="F39020" s="2423"/>
    </row>
    <row r="39021" s="101" customFormat="1" spans="6:6">
      <c r="F39021" s="2423"/>
    </row>
    <row r="39022" s="101" customFormat="1" spans="6:6">
      <c r="F39022" s="2423"/>
    </row>
    <row r="39023" s="101" customFormat="1" spans="6:6">
      <c r="F39023" s="2423"/>
    </row>
    <row r="39024" s="101" customFormat="1" spans="6:6">
      <c r="F39024" s="2423"/>
    </row>
    <row r="39025" s="101" customFormat="1" spans="6:6">
      <c r="F39025" s="2423"/>
    </row>
    <row r="39026" s="101" customFormat="1" spans="6:6">
      <c r="F39026" s="2423"/>
    </row>
    <row r="39027" s="101" customFormat="1" spans="6:6">
      <c r="F39027" s="2423"/>
    </row>
    <row r="39028" s="101" customFormat="1" spans="6:6">
      <c r="F39028" s="2423"/>
    </row>
    <row r="39029" s="101" customFormat="1" spans="6:6">
      <c r="F39029" s="2423"/>
    </row>
    <row r="39030" s="101" customFormat="1" spans="6:6">
      <c r="F39030" s="2423"/>
    </row>
    <row r="39031" s="101" customFormat="1" spans="6:6">
      <c r="F39031" s="2423"/>
    </row>
    <row r="39032" s="101" customFormat="1" spans="6:6">
      <c r="F39032" s="2423"/>
    </row>
    <row r="39033" s="101" customFormat="1" spans="6:6">
      <c r="F39033" s="2423"/>
    </row>
    <row r="39034" s="101" customFormat="1" spans="6:6">
      <c r="F39034" s="2423"/>
    </row>
    <row r="39035" s="101" customFormat="1" spans="6:6">
      <c r="F39035" s="2423"/>
    </row>
    <row r="39036" s="101" customFormat="1" spans="6:6">
      <c r="F39036" s="2423"/>
    </row>
    <row r="39037" s="101" customFormat="1" spans="6:6">
      <c r="F39037" s="2423"/>
    </row>
    <row r="39038" s="101" customFormat="1" spans="6:6">
      <c r="F39038" s="2423"/>
    </row>
    <row r="39039" s="101" customFormat="1" spans="6:6">
      <c r="F39039" s="2423"/>
    </row>
    <row r="39040" s="101" customFormat="1" spans="6:6">
      <c r="F39040" s="2423"/>
    </row>
    <row r="39041" s="101" customFormat="1" spans="6:6">
      <c r="F39041" s="2423"/>
    </row>
    <row r="39042" s="101" customFormat="1" spans="6:6">
      <c r="F39042" s="2423"/>
    </row>
    <row r="39043" s="101" customFormat="1" spans="6:6">
      <c r="F39043" s="2423"/>
    </row>
    <row r="39044" s="101" customFormat="1" spans="6:6">
      <c r="F39044" s="2423"/>
    </row>
    <row r="39045" s="101" customFormat="1" spans="6:6">
      <c r="F39045" s="2423"/>
    </row>
    <row r="39046" s="101" customFormat="1" spans="6:6">
      <c r="F39046" s="2423"/>
    </row>
    <row r="39047" s="101" customFormat="1" spans="6:6">
      <c r="F39047" s="2423"/>
    </row>
    <row r="39048" s="101" customFormat="1" spans="6:6">
      <c r="F39048" s="2423"/>
    </row>
    <row r="39049" s="101" customFormat="1" spans="6:6">
      <c r="F39049" s="2423"/>
    </row>
    <row r="39050" s="101" customFormat="1" spans="6:6">
      <c r="F39050" s="2423"/>
    </row>
    <row r="39051" s="101" customFormat="1" spans="6:6">
      <c r="F39051" s="2423"/>
    </row>
    <row r="39052" s="101" customFormat="1" spans="6:6">
      <c r="F39052" s="2423"/>
    </row>
    <row r="39053" s="101" customFormat="1" spans="6:6">
      <c r="F39053" s="2423"/>
    </row>
    <row r="39054" s="101" customFormat="1" spans="6:6">
      <c r="F39054" s="2423"/>
    </row>
    <row r="39055" s="101" customFormat="1" spans="6:6">
      <c r="F39055" s="2423"/>
    </row>
    <row r="39056" s="101" customFormat="1" spans="6:6">
      <c r="F39056" s="2423"/>
    </row>
    <row r="39057" s="101" customFormat="1" spans="6:6">
      <c r="F39057" s="2423"/>
    </row>
    <row r="39058" s="101" customFormat="1" spans="6:6">
      <c r="F39058" s="2423"/>
    </row>
    <row r="39059" s="101" customFormat="1" spans="6:6">
      <c r="F39059" s="2423"/>
    </row>
    <row r="39060" s="101" customFormat="1" spans="6:6">
      <c r="F39060" s="2423"/>
    </row>
    <row r="39061" s="101" customFormat="1" spans="6:6">
      <c r="F39061" s="2423"/>
    </row>
    <row r="39062" s="101" customFormat="1" spans="6:6">
      <c r="F39062" s="2423"/>
    </row>
    <row r="39063" s="101" customFormat="1" spans="6:6">
      <c r="F39063" s="2423"/>
    </row>
    <row r="39064" s="101" customFormat="1" spans="6:6">
      <c r="F39064" s="2423"/>
    </row>
    <row r="39065" s="101" customFormat="1" spans="6:6">
      <c r="F39065" s="2423"/>
    </row>
    <row r="39066" s="101" customFormat="1" spans="6:6">
      <c r="F39066" s="2423"/>
    </row>
    <row r="39067" s="101" customFormat="1" spans="6:6">
      <c r="F39067" s="2423"/>
    </row>
    <row r="39068" s="101" customFormat="1" spans="6:6">
      <c r="F39068" s="2423"/>
    </row>
    <row r="39069" s="101" customFormat="1" spans="6:6">
      <c r="F39069" s="2423"/>
    </row>
    <row r="39070" s="101" customFormat="1" spans="6:6">
      <c r="F39070" s="2423"/>
    </row>
    <row r="39071" s="101" customFormat="1" spans="6:6">
      <c r="F39071" s="2423"/>
    </row>
    <row r="39072" s="101" customFormat="1" spans="6:6">
      <c r="F39072" s="2423"/>
    </row>
    <row r="39073" s="101" customFormat="1" spans="6:6">
      <c r="F39073" s="2423"/>
    </row>
    <row r="39074" s="101" customFormat="1" spans="6:6">
      <c r="F39074" s="2423"/>
    </row>
    <row r="39075" s="101" customFormat="1" spans="6:6">
      <c r="F39075" s="2423"/>
    </row>
    <row r="39076" s="101" customFormat="1" spans="6:6">
      <c r="F39076" s="2423"/>
    </row>
    <row r="39077" s="101" customFormat="1" spans="6:6">
      <c r="F39077" s="2423"/>
    </row>
    <row r="39078" s="101" customFormat="1" spans="6:6">
      <c r="F39078" s="2423"/>
    </row>
    <row r="39079" s="101" customFormat="1" spans="6:6">
      <c r="F39079" s="2423"/>
    </row>
    <row r="39080" s="101" customFormat="1" spans="6:6">
      <c r="F39080" s="2423"/>
    </row>
    <row r="39081" s="101" customFormat="1" spans="6:6">
      <c r="F39081" s="2423"/>
    </row>
    <row r="39082" s="101" customFormat="1" spans="6:6">
      <c r="F39082" s="2423"/>
    </row>
    <row r="39083" s="101" customFormat="1" spans="6:6">
      <c r="F39083" s="2423"/>
    </row>
    <row r="39084" s="101" customFormat="1" spans="6:6">
      <c r="F39084" s="2423"/>
    </row>
    <row r="39085" s="101" customFormat="1" spans="6:6">
      <c r="F39085" s="2423"/>
    </row>
    <row r="39086" s="101" customFormat="1" spans="6:6">
      <c r="F39086" s="2423"/>
    </row>
    <row r="39087" s="101" customFormat="1" spans="6:6">
      <c r="F39087" s="2423"/>
    </row>
    <row r="39088" s="101" customFormat="1" spans="6:6">
      <c r="F39088" s="2423"/>
    </row>
    <row r="39089" s="101" customFormat="1" spans="6:6">
      <c r="F39089" s="2423"/>
    </row>
    <row r="39090" s="101" customFormat="1" spans="6:6">
      <c r="F39090" s="2423"/>
    </row>
    <row r="39091" s="101" customFormat="1" spans="6:6">
      <c r="F39091" s="2423"/>
    </row>
    <row r="39092" s="101" customFormat="1" spans="6:6">
      <c r="F39092" s="2423"/>
    </row>
    <row r="39093" s="101" customFormat="1" spans="6:6">
      <c r="F39093" s="2423"/>
    </row>
    <row r="39094" s="101" customFormat="1" spans="6:6">
      <c r="F39094" s="2423"/>
    </row>
    <row r="39095" s="101" customFormat="1" spans="6:6">
      <c r="F39095" s="2423"/>
    </row>
    <row r="39096" s="101" customFormat="1" spans="6:6">
      <c r="F39096" s="2423"/>
    </row>
    <row r="39097" s="101" customFormat="1" spans="6:6">
      <c r="F39097" s="2423"/>
    </row>
    <row r="39098" s="101" customFormat="1" spans="6:6">
      <c r="F39098" s="2423"/>
    </row>
    <row r="39099" s="101" customFormat="1" spans="6:6">
      <c r="F39099" s="2423"/>
    </row>
    <row r="39100" s="101" customFormat="1" spans="6:6">
      <c r="F39100" s="2423"/>
    </row>
    <row r="39101" s="101" customFormat="1" spans="6:6">
      <c r="F39101" s="2423"/>
    </row>
    <row r="39102" s="101" customFormat="1" spans="6:6">
      <c r="F39102" s="2423"/>
    </row>
    <row r="39103" s="101" customFormat="1" spans="6:6">
      <c r="F39103" s="2423"/>
    </row>
    <row r="39104" s="101" customFormat="1" spans="6:6">
      <c r="F39104" s="2423"/>
    </row>
    <row r="39105" s="101" customFormat="1" spans="6:6">
      <c r="F39105" s="2423"/>
    </row>
    <row r="39106" s="101" customFormat="1" spans="6:6">
      <c r="F39106" s="2423"/>
    </row>
    <row r="39107" s="101" customFormat="1" spans="6:6">
      <c r="F39107" s="2423"/>
    </row>
    <row r="39108" s="101" customFormat="1" spans="6:6">
      <c r="F39108" s="2423"/>
    </row>
    <row r="39109" s="101" customFormat="1" spans="6:6">
      <c r="F39109" s="2423"/>
    </row>
    <row r="39110" s="101" customFormat="1" spans="6:6">
      <c r="F39110" s="2423"/>
    </row>
    <row r="39111" s="101" customFormat="1" spans="6:6">
      <c r="F39111" s="2423"/>
    </row>
    <row r="39112" s="101" customFormat="1" spans="6:6">
      <c r="F39112" s="2423"/>
    </row>
    <row r="39113" s="101" customFormat="1" spans="6:6">
      <c r="F39113" s="2423"/>
    </row>
    <row r="39114" s="101" customFormat="1" spans="6:6">
      <c r="F39114" s="2423"/>
    </row>
    <row r="39115" s="101" customFormat="1" spans="6:6">
      <c r="F39115" s="2423"/>
    </row>
    <row r="39116" s="101" customFormat="1" spans="6:6">
      <c r="F39116" s="2423"/>
    </row>
    <row r="39117" s="101" customFormat="1" spans="6:6">
      <c r="F39117" s="2423"/>
    </row>
    <row r="39118" s="101" customFormat="1" spans="6:6">
      <c r="F39118" s="2423"/>
    </row>
    <row r="39119" s="101" customFormat="1" spans="6:6">
      <c r="F39119" s="2423"/>
    </row>
    <row r="39120" s="101" customFormat="1" spans="6:6">
      <c r="F39120" s="2423"/>
    </row>
    <row r="39121" s="101" customFormat="1" spans="6:6">
      <c r="F39121" s="2423"/>
    </row>
    <row r="39122" s="101" customFormat="1" spans="6:6">
      <c r="F39122" s="2423"/>
    </row>
    <row r="39123" s="101" customFormat="1" spans="6:6">
      <c r="F39123" s="2423"/>
    </row>
    <row r="39124" s="101" customFormat="1" spans="6:6">
      <c r="F39124" s="2423"/>
    </row>
    <row r="39125" s="101" customFormat="1" spans="6:6">
      <c r="F39125" s="2423"/>
    </row>
    <row r="39126" s="101" customFormat="1" spans="6:6">
      <c r="F39126" s="2423"/>
    </row>
    <row r="39127" s="101" customFormat="1" spans="6:6">
      <c r="F39127" s="2423"/>
    </row>
    <row r="39128" s="101" customFormat="1" spans="6:6">
      <c r="F39128" s="2423"/>
    </row>
    <row r="39129" s="101" customFormat="1" spans="6:6">
      <c r="F39129" s="2423"/>
    </row>
    <row r="39130" s="101" customFormat="1" spans="6:6">
      <c r="F39130" s="2423"/>
    </row>
    <row r="39131" s="101" customFormat="1" spans="6:6">
      <c r="F39131" s="2423"/>
    </row>
    <row r="39132" s="101" customFormat="1" spans="6:6">
      <c r="F39132" s="2423"/>
    </row>
    <row r="39133" s="101" customFormat="1" spans="6:6">
      <c r="F39133" s="2423"/>
    </row>
    <row r="39134" s="101" customFormat="1" spans="6:6">
      <c r="F39134" s="2423"/>
    </row>
    <row r="39135" s="101" customFormat="1" spans="6:6">
      <c r="F39135" s="2423"/>
    </row>
    <row r="39136" s="101" customFormat="1" spans="6:6">
      <c r="F39136" s="2423"/>
    </row>
    <row r="39137" s="101" customFormat="1" spans="6:6">
      <c r="F39137" s="2423"/>
    </row>
    <row r="39138" s="101" customFormat="1" spans="6:6">
      <c r="F39138" s="2423"/>
    </row>
    <row r="39139" s="101" customFormat="1" spans="6:6">
      <c r="F39139" s="2423"/>
    </row>
    <row r="39140" s="101" customFormat="1" spans="6:6">
      <c r="F39140" s="2423"/>
    </row>
    <row r="39141" s="101" customFormat="1" spans="6:6">
      <c r="F39141" s="2423"/>
    </row>
    <row r="39142" s="101" customFormat="1" spans="6:6">
      <c r="F39142" s="2423"/>
    </row>
    <row r="39143" s="101" customFormat="1" spans="6:6">
      <c r="F39143" s="2423"/>
    </row>
    <row r="39144" s="101" customFormat="1" spans="6:6">
      <c r="F39144" s="2423"/>
    </row>
    <row r="39145" s="101" customFormat="1" spans="6:6">
      <c r="F39145" s="2423"/>
    </row>
    <row r="39146" s="101" customFormat="1" spans="6:6">
      <c r="F39146" s="2423"/>
    </row>
    <row r="39147" s="101" customFormat="1" spans="6:6">
      <c r="F39147" s="2423"/>
    </row>
    <row r="39148" s="101" customFormat="1" spans="6:6">
      <c r="F39148" s="2423"/>
    </row>
    <row r="39149" s="101" customFormat="1" spans="6:6">
      <c r="F39149" s="2423"/>
    </row>
    <row r="39150" s="101" customFormat="1" spans="6:6">
      <c r="F39150" s="2423"/>
    </row>
    <row r="39151" s="101" customFormat="1" spans="6:6">
      <c r="F39151" s="2423"/>
    </row>
    <row r="39152" s="101" customFormat="1" spans="6:6">
      <c r="F39152" s="2423"/>
    </row>
    <row r="39153" s="101" customFormat="1" spans="6:6">
      <c r="F39153" s="2423"/>
    </row>
    <row r="39154" s="101" customFormat="1" spans="6:6">
      <c r="F39154" s="2423"/>
    </row>
    <row r="39155" s="101" customFormat="1" spans="6:6">
      <c r="F39155" s="2423"/>
    </row>
    <row r="39156" s="101" customFormat="1" spans="6:6">
      <c r="F39156" s="2423"/>
    </row>
    <row r="39157" s="101" customFormat="1" spans="6:6">
      <c r="F39157" s="2423"/>
    </row>
    <row r="39158" s="101" customFormat="1" spans="6:6">
      <c r="F39158" s="2423"/>
    </row>
    <row r="39159" s="101" customFormat="1" spans="6:6">
      <c r="F39159" s="2423"/>
    </row>
    <row r="39160" s="101" customFormat="1" spans="6:6">
      <c r="F39160" s="2423"/>
    </row>
    <row r="39161" s="101" customFormat="1" spans="6:6">
      <c r="F39161" s="2423"/>
    </row>
    <row r="39162" s="101" customFormat="1" spans="6:6">
      <c r="F39162" s="2423"/>
    </row>
    <row r="39163" s="101" customFormat="1" spans="6:6">
      <c r="F39163" s="2423"/>
    </row>
    <row r="39164" s="101" customFormat="1" spans="6:6">
      <c r="F39164" s="2423"/>
    </row>
    <row r="39165" s="101" customFormat="1" spans="6:6">
      <c r="F39165" s="2423"/>
    </row>
    <row r="39166" s="101" customFormat="1" spans="6:6">
      <c r="F39166" s="2423"/>
    </row>
    <row r="39167" s="101" customFormat="1" spans="6:6">
      <c r="F39167" s="2423"/>
    </row>
    <row r="39168" s="101" customFormat="1" spans="6:6">
      <c r="F39168" s="2423"/>
    </row>
    <row r="39169" s="101" customFormat="1" spans="6:6">
      <c r="F39169" s="2423"/>
    </row>
    <row r="39170" s="101" customFormat="1" spans="6:6">
      <c r="F39170" s="2423"/>
    </row>
    <row r="39171" s="101" customFormat="1" spans="6:6">
      <c r="F39171" s="2423"/>
    </row>
    <row r="39172" s="101" customFormat="1" spans="6:6">
      <c r="F39172" s="2423"/>
    </row>
    <row r="39173" s="101" customFormat="1" spans="6:6">
      <c r="F39173" s="2423"/>
    </row>
    <row r="39174" s="101" customFormat="1" spans="6:6">
      <c r="F39174" s="2423"/>
    </row>
    <row r="39175" s="101" customFormat="1" spans="6:6">
      <c r="F39175" s="2423"/>
    </row>
    <row r="39176" s="101" customFormat="1" spans="6:6">
      <c r="F39176" s="2423"/>
    </row>
    <row r="39177" s="101" customFormat="1" spans="6:6">
      <c r="F39177" s="2423"/>
    </row>
    <row r="39178" s="101" customFormat="1" spans="6:6">
      <c r="F39178" s="2423"/>
    </row>
    <row r="39179" s="101" customFormat="1" spans="6:6">
      <c r="F39179" s="2423"/>
    </row>
    <row r="39180" s="101" customFormat="1" spans="6:6">
      <c r="F39180" s="2423"/>
    </row>
    <row r="39181" s="101" customFormat="1" spans="6:6">
      <c r="F39181" s="2423"/>
    </row>
    <row r="39182" s="101" customFormat="1" spans="6:6">
      <c r="F39182" s="2423"/>
    </row>
    <row r="39183" s="101" customFormat="1" spans="6:6">
      <c r="F39183" s="2423"/>
    </row>
    <row r="39184" s="101" customFormat="1" spans="6:6">
      <c r="F39184" s="2423"/>
    </row>
    <row r="39185" s="101" customFormat="1" spans="6:6">
      <c r="F39185" s="2423"/>
    </row>
    <row r="39186" s="101" customFormat="1" spans="6:6">
      <c r="F39186" s="2423"/>
    </row>
    <row r="39187" s="101" customFormat="1" spans="6:6">
      <c r="F39187" s="2423"/>
    </row>
    <row r="39188" s="101" customFormat="1" spans="6:6">
      <c r="F39188" s="2423"/>
    </row>
    <row r="39189" s="101" customFormat="1" spans="6:6">
      <c r="F39189" s="2423"/>
    </row>
    <row r="39190" s="101" customFormat="1" spans="6:6">
      <c r="F39190" s="2423"/>
    </row>
    <row r="39191" s="101" customFormat="1" spans="6:6">
      <c r="F39191" s="2423"/>
    </row>
    <row r="39192" s="101" customFormat="1" spans="6:6">
      <c r="F39192" s="2423"/>
    </row>
    <row r="39193" s="101" customFormat="1" spans="6:6">
      <c r="F39193" s="2423"/>
    </row>
    <row r="39194" s="101" customFormat="1" spans="6:6">
      <c r="F39194" s="2423"/>
    </row>
    <row r="39195" s="101" customFormat="1" spans="6:6">
      <c r="F39195" s="2423"/>
    </row>
    <row r="39196" s="101" customFormat="1" spans="6:6">
      <c r="F39196" s="2423"/>
    </row>
    <row r="39197" s="101" customFormat="1" spans="6:6">
      <c r="F39197" s="2423"/>
    </row>
    <row r="39198" s="101" customFormat="1" spans="6:6">
      <c r="F39198" s="2423"/>
    </row>
    <row r="39199" s="101" customFormat="1" spans="6:6">
      <c r="F39199" s="2423"/>
    </row>
    <row r="39200" s="101" customFormat="1" spans="6:6">
      <c r="F39200" s="2423"/>
    </row>
    <row r="39201" s="101" customFormat="1" spans="6:6">
      <c r="F39201" s="2423"/>
    </row>
    <row r="39202" s="101" customFormat="1" spans="6:6">
      <c r="F39202" s="2423"/>
    </row>
    <row r="39203" s="101" customFormat="1" spans="6:6">
      <c r="F39203" s="2423"/>
    </row>
    <row r="39204" s="101" customFormat="1" spans="6:6">
      <c r="F39204" s="2423"/>
    </row>
    <row r="39205" s="101" customFormat="1" spans="6:6">
      <c r="F39205" s="2423"/>
    </row>
    <row r="39206" s="101" customFormat="1" spans="6:6">
      <c r="F39206" s="2423"/>
    </row>
    <row r="39207" s="101" customFormat="1" spans="6:6">
      <c r="F39207" s="2423"/>
    </row>
    <row r="39208" s="101" customFormat="1" spans="6:6">
      <c r="F39208" s="2423"/>
    </row>
    <row r="39209" s="101" customFormat="1" spans="6:6">
      <c r="F39209" s="2423"/>
    </row>
    <row r="39210" s="101" customFormat="1" spans="6:6">
      <c r="F39210" s="2423"/>
    </row>
    <row r="39211" s="101" customFormat="1" spans="6:6">
      <c r="F39211" s="2423"/>
    </row>
    <row r="39212" s="101" customFormat="1" spans="6:6">
      <c r="F39212" s="2423"/>
    </row>
    <row r="39213" s="101" customFormat="1" spans="6:6">
      <c r="F39213" s="2423"/>
    </row>
    <row r="39214" s="101" customFormat="1" spans="6:6">
      <c r="F39214" s="2423"/>
    </row>
    <row r="39215" s="101" customFormat="1" spans="6:6">
      <c r="F39215" s="2423"/>
    </row>
    <row r="39216" s="101" customFormat="1" spans="6:6">
      <c r="F39216" s="2423"/>
    </row>
    <row r="39217" s="101" customFormat="1" spans="6:6">
      <c r="F39217" s="2423"/>
    </row>
    <row r="39218" s="101" customFormat="1" spans="6:6">
      <c r="F39218" s="2423"/>
    </row>
    <row r="39219" s="101" customFormat="1" spans="6:6">
      <c r="F39219" s="2423"/>
    </row>
    <row r="39220" s="101" customFormat="1" spans="6:6">
      <c r="F39220" s="2423"/>
    </row>
    <row r="39221" s="101" customFormat="1" spans="6:6">
      <c r="F39221" s="2423"/>
    </row>
    <row r="39222" s="101" customFormat="1" spans="6:6">
      <c r="F39222" s="2423"/>
    </row>
    <row r="39223" s="101" customFormat="1" spans="6:6">
      <c r="F39223" s="2423"/>
    </row>
    <row r="39224" s="101" customFormat="1" spans="6:6">
      <c r="F39224" s="2423"/>
    </row>
    <row r="39225" s="101" customFormat="1" spans="6:6">
      <c r="F39225" s="2423"/>
    </row>
    <row r="39226" s="101" customFormat="1" spans="6:6">
      <c r="F39226" s="2423"/>
    </row>
    <row r="39227" s="101" customFormat="1" spans="6:6">
      <c r="F39227" s="2423"/>
    </row>
    <row r="39228" s="101" customFormat="1" spans="6:6">
      <c r="F39228" s="2423"/>
    </row>
    <row r="39229" s="101" customFormat="1" spans="6:6">
      <c r="F39229" s="2423"/>
    </row>
    <row r="39230" s="101" customFormat="1" spans="6:6">
      <c r="F39230" s="2423"/>
    </row>
    <row r="39231" s="101" customFormat="1" spans="6:6">
      <c r="F39231" s="2423"/>
    </row>
    <row r="39232" s="101" customFormat="1" spans="6:6">
      <c r="F39232" s="2423"/>
    </row>
    <row r="39233" s="101" customFormat="1" spans="6:6">
      <c r="F39233" s="2423"/>
    </row>
    <row r="39234" s="101" customFormat="1" spans="6:6">
      <c r="F39234" s="2423"/>
    </row>
    <row r="39235" s="101" customFormat="1" spans="6:6">
      <c r="F39235" s="2423"/>
    </row>
    <row r="39236" s="101" customFormat="1" spans="6:6">
      <c r="F39236" s="2423"/>
    </row>
    <row r="39237" s="101" customFormat="1" spans="6:6">
      <c r="F39237" s="2423"/>
    </row>
    <row r="39238" s="101" customFormat="1" spans="6:6">
      <c r="F39238" s="2423"/>
    </row>
    <row r="39239" s="101" customFormat="1" spans="6:6">
      <c r="F39239" s="2423"/>
    </row>
    <row r="39240" s="101" customFormat="1" spans="6:6">
      <c r="F39240" s="2423"/>
    </row>
    <row r="39241" s="101" customFormat="1" spans="6:6">
      <c r="F39241" s="2423"/>
    </row>
    <row r="39242" s="101" customFormat="1" spans="6:6">
      <c r="F39242" s="2423"/>
    </row>
    <row r="39243" s="101" customFormat="1" spans="6:6">
      <c r="F39243" s="2423"/>
    </row>
    <row r="39244" s="101" customFormat="1" spans="6:6">
      <c r="F39244" s="2423"/>
    </row>
    <row r="39245" s="101" customFormat="1" spans="6:6">
      <c r="F39245" s="2423"/>
    </row>
    <row r="39246" s="101" customFormat="1" spans="6:6">
      <c r="F39246" s="2423"/>
    </row>
    <row r="39247" s="101" customFormat="1" spans="6:6">
      <c r="F39247" s="2423"/>
    </row>
    <row r="39248" s="101" customFormat="1" spans="6:6">
      <c r="F39248" s="2423"/>
    </row>
    <row r="39249" s="101" customFormat="1" spans="6:6">
      <c r="F39249" s="2423"/>
    </row>
    <row r="39250" s="101" customFormat="1" spans="6:6">
      <c r="F39250" s="2423"/>
    </row>
    <row r="39251" s="101" customFormat="1" spans="6:6">
      <c r="F39251" s="2423"/>
    </row>
    <row r="39252" s="101" customFormat="1" spans="6:6">
      <c r="F39252" s="2423"/>
    </row>
    <row r="39253" s="101" customFormat="1" spans="6:6">
      <c r="F39253" s="2423"/>
    </row>
    <row r="39254" s="101" customFormat="1" spans="6:6">
      <c r="F39254" s="2423"/>
    </row>
    <row r="39255" s="101" customFormat="1" spans="6:6">
      <c r="F39255" s="2423"/>
    </row>
    <row r="39256" s="101" customFormat="1" spans="6:6">
      <c r="F39256" s="2423"/>
    </row>
    <row r="39257" s="101" customFormat="1" spans="6:6">
      <c r="F39257" s="2423"/>
    </row>
    <row r="39258" s="101" customFormat="1" spans="6:6">
      <c r="F39258" s="2423"/>
    </row>
    <row r="39259" s="101" customFormat="1" spans="6:6">
      <c r="F39259" s="2423"/>
    </row>
    <row r="39260" s="101" customFormat="1" spans="6:6">
      <c r="F39260" s="2423"/>
    </row>
    <row r="39261" s="101" customFormat="1" spans="6:6">
      <c r="F39261" s="2423"/>
    </row>
    <row r="39262" s="101" customFormat="1" spans="6:6">
      <c r="F39262" s="2423"/>
    </row>
    <row r="39263" s="101" customFormat="1" spans="6:6">
      <c r="F39263" s="2423"/>
    </row>
    <row r="39264" s="101" customFormat="1" spans="6:6">
      <c r="F39264" s="2423"/>
    </row>
    <row r="39265" s="101" customFormat="1" spans="6:6">
      <c r="F39265" s="2423"/>
    </row>
    <row r="39266" s="101" customFormat="1" spans="6:6">
      <c r="F39266" s="2423"/>
    </row>
    <row r="39267" s="101" customFormat="1" spans="6:6">
      <c r="F39267" s="2423"/>
    </row>
    <row r="39268" s="101" customFormat="1" spans="6:6">
      <c r="F39268" s="2423"/>
    </row>
    <row r="39269" s="101" customFormat="1" spans="6:6">
      <c r="F39269" s="2423"/>
    </row>
    <row r="39270" s="101" customFormat="1" spans="6:6">
      <c r="F39270" s="2423"/>
    </row>
    <row r="39271" s="101" customFormat="1" spans="6:6">
      <c r="F39271" s="2423"/>
    </row>
    <row r="39272" s="101" customFormat="1" spans="6:6">
      <c r="F39272" s="2423"/>
    </row>
    <row r="39273" s="101" customFormat="1" spans="6:6">
      <c r="F39273" s="2423"/>
    </row>
    <row r="39274" s="101" customFormat="1" spans="6:6">
      <c r="F39274" s="2423"/>
    </row>
    <row r="39275" s="101" customFormat="1" spans="6:6">
      <c r="F39275" s="2423"/>
    </row>
    <row r="39276" s="101" customFormat="1" spans="6:6">
      <c r="F39276" s="2423"/>
    </row>
    <row r="39277" s="101" customFormat="1" spans="6:6">
      <c r="F39277" s="2423"/>
    </row>
    <row r="39278" s="101" customFormat="1" spans="6:6">
      <c r="F39278" s="2423"/>
    </row>
    <row r="39279" s="101" customFormat="1" spans="6:6">
      <c r="F39279" s="2423"/>
    </row>
    <row r="39280" s="101" customFormat="1" spans="6:6">
      <c r="F39280" s="2423"/>
    </row>
    <row r="39281" s="101" customFormat="1" spans="6:6">
      <c r="F39281" s="2423"/>
    </row>
    <row r="39282" s="101" customFormat="1" spans="6:6">
      <c r="F39282" s="2423"/>
    </row>
    <row r="39283" s="101" customFormat="1" spans="6:6">
      <c r="F39283" s="2423"/>
    </row>
    <row r="39284" s="101" customFormat="1" spans="6:6">
      <c r="F39284" s="2423"/>
    </row>
    <row r="39285" s="101" customFormat="1" spans="6:6">
      <c r="F39285" s="2423"/>
    </row>
    <row r="39286" s="101" customFormat="1" spans="6:6">
      <c r="F39286" s="2423"/>
    </row>
    <row r="39287" s="101" customFormat="1" spans="6:6">
      <c r="F39287" s="2423"/>
    </row>
    <row r="39288" s="101" customFormat="1" spans="6:6">
      <c r="F39288" s="2423"/>
    </row>
    <row r="39289" s="101" customFormat="1" spans="6:6">
      <c r="F39289" s="2423"/>
    </row>
    <row r="39290" s="101" customFormat="1" spans="6:6">
      <c r="F39290" s="2423"/>
    </row>
    <row r="39291" s="101" customFormat="1" spans="6:6">
      <c r="F39291" s="2423"/>
    </row>
    <row r="39292" s="101" customFormat="1" spans="6:6">
      <c r="F39292" s="2423"/>
    </row>
    <row r="39293" s="101" customFormat="1" spans="6:6">
      <c r="F39293" s="2423"/>
    </row>
    <row r="39294" s="101" customFormat="1" spans="6:6">
      <c r="F39294" s="2423"/>
    </row>
    <row r="39295" s="101" customFormat="1" spans="6:6">
      <c r="F39295" s="2423"/>
    </row>
    <row r="39296" s="101" customFormat="1" spans="6:6">
      <c r="F39296" s="2423"/>
    </row>
    <row r="39297" s="101" customFormat="1" spans="6:6">
      <c r="F39297" s="2423"/>
    </row>
    <row r="39298" s="101" customFormat="1" spans="6:6">
      <c r="F39298" s="2423"/>
    </row>
    <row r="39299" s="101" customFormat="1" spans="6:6">
      <c r="F39299" s="2423"/>
    </row>
    <row r="39300" s="101" customFormat="1" spans="6:6">
      <c r="F39300" s="2423"/>
    </row>
    <row r="39301" s="101" customFormat="1" spans="6:6">
      <c r="F39301" s="2423"/>
    </row>
    <row r="39302" s="101" customFormat="1" spans="6:6">
      <c r="F39302" s="2423"/>
    </row>
    <row r="39303" s="101" customFormat="1" spans="6:6">
      <c r="F39303" s="2423"/>
    </row>
    <row r="39304" s="101" customFormat="1" spans="6:6">
      <c r="F39304" s="2423"/>
    </row>
    <row r="39305" s="101" customFormat="1" spans="6:6">
      <c r="F39305" s="2423"/>
    </row>
    <row r="39306" s="101" customFormat="1" spans="6:6">
      <c r="F39306" s="2423"/>
    </row>
    <row r="39307" s="101" customFormat="1" spans="6:6">
      <c r="F39307" s="2423"/>
    </row>
    <row r="39308" s="101" customFormat="1" spans="6:6">
      <c r="F39308" s="2423"/>
    </row>
    <row r="39309" s="101" customFormat="1" spans="6:6">
      <c r="F39309" s="2423"/>
    </row>
    <row r="39310" s="101" customFormat="1" spans="6:6">
      <c r="F39310" s="2423"/>
    </row>
    <row r="39311" s="101" customFormat="1" spans="6:6">
      <c r="F39311" s="2423"/>
    </row>
    <row r="39312" s="101" customFormat="1" spans="6:6">
      <c r="F39312" s="2423"/>
    </row>
    <row r="39313" s="101" customFormat="1" spans="6:6">
      <c r="F39313" s="2423"/>
    </row>
    <row r="39314" s="101" customFormat="1" spans="6:6">
      <c r="F39314" s="2423"/>
    </row>
    <row r="39315" s="101" customFormat="1" spans="6:6">
      <c r="F39315" s="2423"/>
    </row>
    <row r="39316" s="101" customFormat="1" spans="6:6">
      <c r="F39316" s="2423"/>
    </row>
    <row r="39317" s="101" customFormat="1" spans="6:6">
      <c r="F39317" s="2423"/>
    </row>
    <row r="39318" s="101" customFormat="1" spans="6:6">
      <c r="F39318" s="2423"/>
    </row>
    <row r="39319" s="101" customFormat="1" spans="6:6">
      <c r="F39319" s="2423"/>
    </row>
    <row r="39320" s="101" customFormat="1" spans="6:6">
      <c r="F39320" s="2423"/>
    </row>
    <row r="39321" s="101" customFormat="1" spans="6:6">
      <c r="F39321" s="2423"/>
    </row>
    <row r="39322" s="101" customFormat="1" spans="6:6">
      <c r="F39322" s="2423"/>
    </row>
    <row r="39323" s="101" customFormat="1" spans="6:6">
      <c r="F39323" s="2423"/>
    </row>
    <row r="39324" s="101" customFormat="1" spans="6:6">
      <c r="F39324" s="2423"/>
    </row>
    <row r="39325" s="101" customFormat="1" spans="6:6">
      <c r="F39325" s="2423"/>
    </row>
    <row r="39326" s="101" customFormat="1" spans="6:6">
      <c r="F39326" s="2423"/>
    </row>
    <row r="39327" s="101" customFormat="1" spans="6:6">
      <c r="F39327" s="2423"/>
    </row>
    <row r="39328" s="101" customFormat="1" spans="6:6">
      <c r="F39328" s="2423"/>
    </row>
    <row r="39329" s="101" customFormat="1" spans="6:6">
      <c r="F39329" s="2423"/>
    </row>
    <row r="39330" s="101" customFormat="1" spans="6:6">
      <c r="F39330" s="2423"/>
    </row>
    <row r="39331" s="101" customFormat="1" spans="6:6">
      <c r="F39331" s="2423"/>
    </row>
    <row r="39332" s="101" customFormat="1" spans="6:6">
      <c r="F39332" s="2423"/>
    </row>
    <row r="39333" s="101" customFormat="1" spans="6:6">
      <c r="F39333" s="2423"/>
    </row>
    <row r="39334" s="101" customFormat="1" spans="6:6">
      <c r="F39334" s="2423"/>
    </row>
    <row r="39335" s="101" customFormat="1" spans="6:6">
      <c r="F39335" s="2423"/>
    </row>
    <row r="39336" s="101" customFormat="1" spans="6:6">
      <c r="F39336" s="2423"/>
    </row>
    <row r="39337" s="101" customFormat="1" spans="6:6">
      <c r="F39337" s="2423"/>
    </row>
    <row r="39338" s="101" customFormat="1" spans="6:6">
      <c r="F39338" s="2423"/>
    </row>
    <row r="39339" s="101" customFormat="1" spans="6:6">
      <c r="F39339" s="2423"/>
    </row>
    <row r="39340" s="101" customFormat="1" spans="6:6">
      <c r="F39340" s="2423"/>
    </row>
    <row r="39341" s="101" customFormat="1" spans="6:6">
      <c r="F39341" s="2423"/>
    </row>
    <row r="39342" s="101" customFormat="1" spans="6:6">
      <c r="F39342" s="2423"/>
    </row>
    <row r="39343" s="101" customFormat="1" spans="6:6">
      <c r="F39343" s="2423"/>
    </row>
    <row r="39344" s="101" customFormat="1" spans="6:6">
      <c r="F39344" s="2423"/>
    </row>
    <row r="39345" s="101" customFormat="1" spans="6:6">
      <c r="F39345" s="2423"/>
    </row>
    <row r="39346" s="101" customFormat="1" spans="6:6">
      <c r="F39346" s="2423"/>
    </row>
    <row r="39347" s="101" customFormat="1" spans="6:6">
      <c r="F39347" s="2423"/>
    </row>
    <row r="39348" s="101" customFormat="1" spans="6:6">
      <c r="F39348" s="2423"/>
    </row>
    <row r="39349" s="101" customFormat="1" spans="6:6">
      <c r="F39349" s="2423"/>
    </row>
    <row r="39350" s="101" customFormat="1" spans="6:6">
      <c r="F39350" s="2423"/>
    </row>
    <row r="39351" s="101" customFormat="1" spans="6:6">
      <c r="F39351" s="2423"/>
    </row>
    <row r="39352" s="101" customFormat="1" spans="6:6">
      <c r="F39352" s="2423"/>
    </row>
    <row r="39353" s="101" customFormat="1" spans="6:6">
      <c r="F39353" s="2423"/>
    </row>
    <row r="39354" s="101" customFormat="1" spans="6:6">
      <c r="F39354" s="2423"/>
    </row>
    <row r="39355" s="101" customFormat="1" spans="6:6">
      <c r="F39355" s="2423"/>
    </row>
    <row r="39356" s="101" customFormat="1" spans="6:6">
      <c r="F39356" s="2423"/>
    </row>
    <row r="39357" s="101" customFormat="1" spans="6:6">
      <c r="F39357" s="2423"/>
    </row>
    <row r="39358" s="101" customFormat="1" spans="6:6">
      <c r="F39358" s="2423"/>
    </row>
    <row r="39359" s="101" customFormat="1" spans="6:6">
      <c r="F39359" s="2423"/>
    </row>
    <row r="39360" s="101" customFormat="1" spans="6:6">
      <c r="F39360" s="2423"/>
    </row>
    <row r="39361" s="101" customFormat="1" spans="6:6">
      <c r="F39361" s="2423"/>
    </row>
    <row r="39362" s="101" customFormat="1" spans="6:6">
      <c r="F39362" s="2423"/>
    </row>
    <row r="39363" s="101" customFormat="1" spans="6:6">
      <c r="F39363" s="2423"/>
    </row>
    <row r="39364" s="101" customFormat="1" spans="6:6">
      <c r="F39364" s="2423"/>
    </row>
    <row r="39365" s="101" customFormat="1" spans="6:6">
      <c r="F39365" s="2423"/>
    </row>
    <row r="39366" s="101" customFormat="1" spans="6:6">
      <c r="F39366" s="2423"/>
    </row>
    <row r="39367" s="101" customFormat="1" spans="6:6">
      <c r="F39367" s="2423"/>
    </row>
    <row r="39368" s="101" customFormat="1" spans="6:6">
      <c r="F39368" s="2423"/>
    </row>
    <row r="39369" s="101" customFormat="1" spans="6:6">
      <c r="F39369" s="2423"/>
    </row>
    <row r="39370" s="101" customFormat="1" spans="6:6">
      <c r="F39370" s="2423"/>
    </row>
    <row r="39371" s="101" customFormat="1" spans="6:6">
      <c r="F39371" s="2423"/>
    </row>
    <row r="39372" s="101" customFormat="1" spans="6:6">
      <c r="F39372" s="2423"/>
    </row>
    <row r="39373" s="101" customFormat="1" spans="6:6">
      <c r="F39373" s="2423"/>
    </row>
    <row r="39374" s="101" customFormat="1" spans="6:6">
      <c r="F39374" s="2423"/>
    </row>
    <row r="39375" s="101" customFormat="1" spans="6:6">
      <c r="F39375" s="2423"/>
    </row>
    <row r="39376" s="101" customFormat="1" spans="6:6">
      <c r="F39376" s="2423"/>
    </row>
    <row r="39377" s="101" customFormat="1" spans="6:6">
      <c r="F39377" s="2423"/>
    </row>
    <row r="39378" s="101" customFormat="1" spans="6:6">
      <c r="F39378" s="2423"/>
    </row>
    <row r="39379" s="101" customFormat="1" spans="6:6">
      <c r="F39379" s="2423"/>
    </row>
    <row r="39380" s="101" customFormat="1" spans="6:6">
      <c r="F39380" s="2423"/>
    </row>
    <row r="39381" s="101" customFormat="1" spans="6:6">
      <c r="F39381" s="2423"/>
    </row>
    <row r="39382" s="101" customFormat="1" spans="6:6">
      <c r="F39382" s="2423"/>
    </row>
    <row r="39383" s="101" customFormat="1" spans="6:6">
      <c r="F39383" s="2423"/>
    </row>
    <row r="39384" s="101" customFormat="1" spans="6:6">
      <c r="F39384" s="2423"/>
    </row>
    <row r="39385" s="101" customFormat="1" spans="6:6">
      <c r="F39385" s="2423"/>
    </row>
    <row r="39386" s="101" customFormat="1" spans="6:6">
      <c r="F39386" s="2423"/>
    </row>
    <row r="39387" s="101" customFormat="1" spans="6:6">
      <c r="F39387" s="2423"/>
    </row>
    <row r="39388" s="101" customFormat="1" spans="6:6">
      <c r="F39388" s="2423"/>
    </row>
    <row r="39389" s="101" customFormat="1" spans="6:6">
      <c r="F39389" s="2423"/>
    </row>
    <row r="39390" s="101" customFormat="1" spans="6:6">
      <c r="F39390" s="2423"/>
    </row>
    <row r="39391" s="101" customFormat="1" spans="6:6">
      <c r="F39391" s="2423"/>
    </row>
    <row r="39392" s="101" customFormat="1" spans="6:6">
      <c r="F39392" s="2423"/>
    </row>
    <row r="39393" s="101" customFormat="1" spans="6:6">
      <c r="F39393" s="2423"/>
    </row>
    <row r="39394" s="101" customFormat="1" spans="6:6">
      <c r="F39394" s="2423"/>
    </row>
    <row r="39395" s="101" customFormat="1" spans="6:6">
      <c r="F39395" s="2423"/>
    </row>
    <row r="39396" s="101" customFormat="1" spans="6:6">
      <c r="F39396" s="2423"/>
    </row>
    <row r="39397" s="101" customFormat="1" spans="6:6">
      <c r="F39397" s="2423"/>
    </row>
    <row r="39398" s="101" customFormat="1" spans="6:6">
      <c r="F39398" s="2423"/>
    </row>
    <row r="39399" s="101" customFormat="1" spans="6:6">
      <c r="F39399" s="2423"/>
    </row>
    <row r="39400" s="101" customFormat="1" spans="6:6">
      <c r="F39400" s="2423"/>
    </row>
    <row r="39401" s="101" customFormat="1" spans="6:6">
      <c r="F39401" s="2423"/>
    </row>
    <row r="39402" s="101" customFormat="1" spans="6:6">
      <c r="F39402" s="2423"/>
    </row>
    <row r="39403" s="101" customFormat="1" spans="6:6">
      <c r="F39403" s="2423"/>
    </row>
    <row r="39404" s="101" customFormat="1" spans="6:6">
      <c r="F39404" s="2423"/>
    </row>
    <row r="39405" s="101" customFormat="1" spans="6:6">
      <c r="F39405" s="2423"/>
    </row>
    <row r="39406" s="101" customFormat="1" spans="6:6">
      <c r="F39406" s="2423"/>
    </row>
    <row r="39407" s="101" customFormat="1" spans="6:6">
      <c r="F39407" s="2423"/>
    </row>
    <row r="39408" s="101" customFormat="1" spans="6:6">
      <c r="F39408" s="2423"/>
    </row>
    <row r="39409" s="101" customFormat="1" spans="6:6">
      <c r="F39409" s="2423"/>
    </row>
    <row r="39410" s="101" customFormat="1" spans="6:6">
      <c r="F39410" s="2423"/>
    </row>
    <row r="39411" s="101" customFormat="1" spans="6:6">
      <c r="F39411" s="2423"/>
    </row>
    <row r="39412" s="101" customFormat="1" spans="6:6">
      <c r="F39412" s="2423"/>
    </row>
    <row r="39413" s="101" customFormat="1" spans="6:6">
      <c r="F39413" s="2423"/>
    </row>
    <row r="39414" s="101" customFormat="1" spans="6:6">
      <c r="F39414" s="2423"/>
    </row>
    <row r="39415" s="101" customFormat="1" spans="6:6">
      <c r="F39415" s="2423"/>
    </row>
    <row r="39416" s="101" customFormat="1" spans="6:6">
      <c r="F39416" s="2423"/>
    </row>
    <row r="39417" s="101" customFormat="1" spans="6:6">
      <c r="F39417" s="2423"/>
    </row>
    <row r="39418" s="101" customFormat="1" spans="6:6">
      <c r="F39418" s="2423"/>
    </row>
    <row r="39419" s="101" customFormat="1" spans="6:6">
      <c r="F39419" s="2423"/>
    </row>
    <row r="39420" s="101" customFormat="1" spans="6:6">
      <c r="F39420" s="2423"/>
    </row>
    <row r="39421" s="101" customFormat="1" spans="6:6">
      <c r="F39421" s="2423"/>
    </row>
    <row r="39422" s="101" customFormat="1" spans="6:6">
      <c r="F39422" s="2423"/>
    </row>
    <row r="39423" s="101" customFormat="1" spans="6:6">
      <c r="F39423" s="2423"/>
    </row>
    <row r="39424" s="101" customFormat="1" spans="6:6">
      <c r="F39424" s="2423"/>
    </row>
    <row r="39425" s="101" customFormat="1" spans="6:6">
      <c r="F39425" s="2423"/>
    </row>
    <row r="39426" s="101" customFormat="1" spans="6:6">
      <c r="F39426" s="2423"/>
    </row>
    <row r="39427" s="101" customFormat="1" spans="6:6">
      <c r="F39427" s="2423"/>
    </row>
    <row r="39428" s="101" customFormat="1" spans="6:6">
      <c r="F39428" s="2423"/>
    </row>
    <row r="39429" s="101" customFormat="1" spans="6:6">
      <c r="F39429" s="2423"/>
    </row>
    <row r="39430" s="101" customFormat="1" spans="6:6">
      <c r="F39430" s="2423"/>
    </row>
    <row r="39431" s="101" customFormat="1" spans="6:6">
      <c r="F39431" s="2423"/>
    </row>
    <row r="39432" s="101" customFormat="1" spans="6:6">
      <c r="F39432" s="2423"/>
    </row>
    <row r="39433" s="101" customFormat="1" spans="6:6">
      <c r="F39433" s="2423"/>
    </row>
    <row r="39434" s="101" customFormat="1" spans="6:6">
      <c r="F39434" s="2423"/>
    </row>
    <row r="39435" s="101" customFormat="1" spans="6:6">
      <c r="F39435" s="2423"/>
    </row>
    <row r="39436" s="101" customFormat="1" spans="6:6">
      <c r="F39436" s="2423"/>
    </row>
    <row r="39437" s="101" customFormat="1" spans="6:6">
      <c r="F39437" s="2423"/>
    </row>
    <row r="39438" s="101" customFormat="1" spans="6:6">
      <c r="F39438" s="2423"/>
    </row>
    <row r="39439" s="101" customFormat="1" spans="6:6">
      <c r="F39439" s="2423"/>
    </row>
    <row r="39440" s="101" customFormat="1" spans="6:6">
      <c r="F39440" s="2423"/>
    </row>
    <row r="39441" s="101" customFormat="1" spans="6:6">
      <c r="F39441" s="2423"/>
    </row>
    <row r="39442" s="101" customFormat="1" spans="6:6">
      <c r="F39442" s="2423"/>
    </row>
    <row r="39443" s="101" customFormat="1" spans="6:6">
      <c r="F39443" s="2423"/>
    </row>
    <row r="39444" s="101" customFormat="1" spans="6:6">
      <c r="F39444" s="2423"/>
    </row>
    <row r="39445" s="101" customFormat="1" spans="6:6">
      <c r="F39445" s="2423"/>
    </row>
    <row r="39446" s="101" customFormat="1" spans="6:6">
      <c r="F39446" s="2423"/>
    </row>
    <row r="39447" s="101" customFormat="1" spans="6:6">
      <c r="F39447" s="2423"/>
    </row>
    <row r="39448" s="101" customFormat="1" spans="6:6">
      <c r="F39448" s="2423"/>
    </row>
    <row r="39449" s="101" customFormat="1" spans="6:6">
      <c r="F39449" s="2423"/>
    </row>
    <row r="39450" s="101" customFormat="1" spans="6:6">
      <c r="F39450" s="2423"/>
    </row>
    <row r="39451" s="101" customFormat="1" spans="6:6">
      <c r="F39451" s="2423"/>
    </row>
    <row r="39452" s="101" customFormat="1" spans="6:6">
      <c r="F39452" s="2423"/>
    </row>
    <row r="39453" s="101" customFormat="1" spans="6:6">
      <c r="F39453" s="2423"/>
    </row>
    <row r="39454" s="101" customFormat="1" spans="6:6">
      <c r="F39454" s="2423"/>
    </row>
    <row r="39455" s="101" customFormat="1" spans="6:6">
      <c r="F39455" s="2423"/>
    </row>
    <row r="39456" s="101" customFormat="1" spans="6:6">
      <c r="F39456" s="2423"/>
    </row>
    <row r="39457" s="101" customFormat="1" spans="6:6">
      <c r="F39457" s="2423"/>
    </row>
    <row r="39458" s="101" customFormat="1" spans="6:6">
      <c r="F39458" s="2423"/>
    </row>
    <row r="39459" s="101" customFormat="1" spans="6:6">
      <c r="F39459" s="2423"/>
    </row>
    <row r="39460" s="101" customFormat="1" spans="6:6">
      <c r="F39460" s="2423"/>
    </row>
    <row r="39461" s="101" customFormat="1" spans="6:6">
      <c r="F39461" s="2423"/>
    </row>
    <row r="39462" s="101" customFormat="1" spans="6:6">
      <c r="F39462" s="2423"/>
    </row>
    <row r="39463" s="101" customFormat="1" spans="6:6">
      <c r="F39463" s="2423"/>
    </row>
    <row r="39464" s="101" customFormat="1" spans="6:6">
      <c r="F39464" s="2423"/>
    </row>
    <row r="39465" s="101" customFormat="1" spans="6:6">
      <c r="F39465" s="2423"/>
    </row>
    <row r="39466" s="101" customFormat="1" spans="6:6">
      <c r="F39466" s="2423"/>
    </row>
    <row r="39467" s="101" customFormat="1" spans="6:6">
      <c r="F39467" s="2423"/>
    </row>
    <row r="39468" s="101" customFormat="1" spans="6:6">
      <c r="F39468" s="2423"/>
    </row>
    <row r="39469" s="101" customFormat="1" spans="6:6">
      <c r="F39469" s="2423"/>
    </row>
    <row r="39470" s="101" customFormat="1" spans="6:6">
      <c r="F39470" s="2423"/>
    </row>
    <row r="39471" s="101" customFormat="1" spans="6:6">
      <c r="F39471" s="2423"/>
    </row>
    <row r="39472" s="101" customFormat="1" spans="6:6">
      <c r="F39472" s="2423"/>
    </row>
    <row r="39473" s="101" customFormat="1" spans="6:6">
      <c r="F39473" s="2423"/>
    </row>
    <row r="39474" s="101" customFormat="1" spans="6:6">
      <c r="F39474" s="2423"/>
    </row>
    <row r="39475" s="101" customFormat="1" spans="6:6">
      <c r="F39475" s="2423"/>
    </row>
    <row r="39476" s="101" customFormat="1" spans="6:6">
      <c r="F39476" s="2423"/>
    </row>
    <row r="39477" s="101" customFormat="1" spans="6:6">
      <c r="F39477" s="2423"/>
    </row>
    <row r="39478" s="101" customFormat="1" spans="6:6">
      <c r="F39478" s="2423"/>
    </row>
    <row r="39479" s="101" customFormat="1" spans="6:6">
      <c r="F39479" s="2423"/>
    </row>
    <row r="39480" s="101" customFormat="1" spans="6:6">
      <c r="F39480" s="2423"/>
    </row>
    <row r="39481" s="101" customFormat="1" spans="6:6">
      <c r="F39481" s="2423"/>
    </row>
    <row r="39482" s="101" customFormat="1" spans="6:6">
      <c r="F39482" s="2423"/>
    </row>
    <row r="39483" s="101" customFormat="1" spans="6:6">
      <c r="F39483" s="2423"/>
    </row>
    <row r="39484" s="101" customFormat="1" spans="6:6">
      <c r="F39484" s="2423"/>
    </row>
    <row r="39485" s="101" customFormat="1" spans="6:6">
      <c r="F39485" s="2423"/>
    </row>
    <row r="39486" s="101" customFormat="1" spans="6:6">
      <c r="F39486" s="2423"/>
    </row>
    <row r="39487" s="101" customFormat="1" spans="6:6">
      <c r="F39487" s="2423"/>
    </row>
    <row r="39488" s="101" customFormat="1" spans="6:6">
      <c r="F39488" s="2423"/>
    </row>
    <row r="39489" s="101" customFormat="1" spans="6:6">
      <c r="F39489" s="2423"/>
    </row>
    <row r="39490" s="101" customFormat="1" spans="6:6">
      <c r="F39490" s="2423"/>
    </row>
    <row r="39491" s="101" customFormat="1" spans="6:6">
      <c r="F39491" s="2423"/>
    </row>
    <row r="39492" s="101" customFormat="1" spans="6:6">
      <c r="F39492" s="2423"/>
    </row>
    <row r="39493" s="101" customFormat="1" spans="6:6">
      <c r="F39493" s="2423"/>
    </row>
    <row r="39494" s="101" customFormat="1" spans="6:6">
      <c r="F39494" s="2423"/>
    </row>
    <row r="39495" s="101" customFormat="1" spans="6:6">
      <c r="F39495" s="2423"/>
    </row>
    <row r="39496" s="101" customFormat="1" spans="6:6">
      <c r="F39496" s="2423"/>
    </row>
    <row r="39497" s="101" customFormat="1" spans="6:6">
      <c r="F39497" s="2423"/>
    </row>
    <row r="39498" s="101" customFormat="1" spans="6:6">
      <c r="F39498" s="2423"/>
    </row>
    <row r="39499" s="101" customFormat="1" spans="6:6">
      <c r="F39499" s="2423"/>
    </row>
    <row r="39500" s="101" customFormat="1" spans="6:6">
      <c r="F39500" s="2423"/>
    </row>
    <row r="39501" s="101" customFormat="1" spans="6:6">
      <c r="F39501" s="2423"/>
    </row>
    <row r="39502" s="101" customFormat="1" spans="6:6">
      <c r="F39502" s="2423"/>
    </row>
    <row r="39503" s="101" customFormat="1" spans="6:6">
      <c r="F39503" s="2423"/>
    </row>
    <row r="39504" s="101" customFormat="1" spans="6:6">
      <c r="F39504" s="2423"/>
    </row>
    <row r="39505" s="101" customFormat="1" spans="6:6">
      <c r="F39505" s="2423"/>
    </row>
    <row r="39506" s="101" customFormat="1" spans="6:6">
      <c r="F39506" s="2423"/>
    </row>
    <row r="39507" s="101" customFormat="1" spans="6:6">
      <c r="F39507" s="2423"/>
    </row>
    <row r="39508" s="101" customFormat="1" spans="6:6">
      <c r="F39508" s="2423"/>
    </row>
    <row r="39509" s="101" customFormat="1" spans="6:6">
      <c r="F39509" s="2423"/>
    </row>
    <row r="39510" s="101" customFormat="1" spans="6:6">
      <c r="F39510" s="2423"/>
    </row>
    <row r="39511" s="101" customFormat="1" spans="6:6">
      <c r="F39511" s="2423"/>
    </row>
    <row r="39512" s="101" customFormat="1" spans="6:6">
      <c r="F39512" s="2423"/>
    </row>
    <row r="39513" s="101" customFormat="1" spans="6:6">
      <c r="F39513" s="2423"/>
    </row>
    <row r="39514" s="101" customFormat="1" spans="6:6">
      <c r="F39514" s="2423"/>
    </row>
    <row r="39515" s="101" customFormat="1" spans="6:6">
      <c r="F39515" s="2423"/>
    </row>
    <row r="39516" s="101" customFormat="1" spans="6:6">
      <c r="F39516" s="2423"/>
    </row>
    <row r="39517" s="101" customFormat="1" spans="6:6">
      <c r="F39517" s="2423"/>
    </row>
    <row r="39518" s="101" customFormat="1" spans="6:6">
      <c r="F39518" s="2423"/>
    </row>
    <row r="39519" s="101" customFormat="1" spans="6:6">
      <c r="F39519" s="2423"/>
    </row>
    <row r="39520" s="101" customFormat="1" spans="6:6">
      <c r="F39520" s="2423"/>
    </row>
    <row r="39521" s="101" customFormat="1" spans="6:6">
      <c r="F39521" s="2423"/>
    </row>
    <row r="39522" s="101" customFormat="1" spans="6:6">
      <c r="F39522" s="2423"/>
    </row>
    <row r="39523" s="101" customFormat="1" spans="6:6">
      <c r="F39523" s="2423"/>
    </row>
    <row r="39524" s="101" customFormat="1" spans="6:6">
      <c r="F39524" s="2423"/>
    </row>
    <row r="39525" s="101" customFormat="1" spans="6:6">
      <c r="F39525" s="2423"/>
    </row>
    <row r="39526" s="101" customFormat="1" spans="6:6">
      <c r="F39526" s="2423"/>
    </row>
    <row r="39527" s="101" customFormat="1" spans="6:6">
      <c r="F39527" s="2423"/>
    </row>
    <row r="39528" s="101" customFormat="1" spans="6:6">
      <c r="F39528" s="2423"/>
    </row>
    <row r="39529" s="101" customFormat="1" spans="6:6">
      <c r="F39529" s="2423"/>
    </row>
    <row r="39530" s="101" customFormat="1" spans="6:6">
      <c r="F39530" s="2423"/>
    </row>
    <row r="39531" s="101" customFormat="1" spans="6:6">
      <c r="F39531" s="2423"/>
    </row>
    <row r="39532" s="101" customFormat="1" spans="6:6">
      <c r="F39532" s="2423"/>
    </row>
    <row r="39533" s="101" customFormat="1" spans="6:6">
      <c r="F39533" s="2423"/>
    </row>
    <row r="39534" s="101" customFormat="1" spans="6:6">
      <c r="F39534" s="2423"/>
    </row>
    <row r="39535" s="101" customFormat="1" spans="6:6">
      <c r="F39535" s="2423"/>
    </row>
    <row r="39536" s="101" customFormat="1" spans="6:6">
      <c r="F39536" s="2423"/>
    </row>
    <row r="39537" s="101" customFormat="1" spans="6:6">
      <c r="F39537" s="2423"/>
    </row>
    <row r="39538" s="101" customFormat="1" spans="6:6">
      <c r="F39538" s="2423"/>
    </row>
    <row r="39539" s="101" customFormat="1" spans="6:6">
      <c r="F39539" s="2423"/>
    </row>
    <row r="39540" s="101" customFormat="1" spans="6:6">
      <c r="F39540" s="2423"/>
    </row>
    <row r="39541" s="101" customFormat="1" spans="6:6">
      <c r="F39541" s="2423"/>
    </row>
    <row r="39542" s="101" customFormat="1" spans="6:6">
      <c r="F39542" s="2423"/>
    </row>
    <row r="39543" s="101" customFormat="1" spans="6:6">
      <c r="F39543" s="2423"/>
    </row>
    <row r="39544" s="101" customFormat="1" spans="6:6">
      <c r="F39544" s="2423"/>
    </row>
    <row r="39545" s="101" customFormat="1" spans="6:6">
      <c r="F39545" s="2423"/>
    </row>
    <row r="39546" s="101" customFormat="1" spans="6:6">
      <c r="F39546" s="2423"/>
    </row>
    <row r="39547" s="101" customFormat="1" spans="6:6">
      <c r="F39547" s="2423"/>
    </row>
    <row r="39548" s="101" customFormat="1" spans="6:6">
      <c r="F39548" s="2423"/>
    </row>
    <row r="39549" s="101" customFormat="1" spans="6:6">
      <c r="F39549" s="2423"/>
    </row>
    <row r="39550" s="101" customFormat="1" spans="6:6">
      <c r="F39550" s="2423"/>
    </row>
    <row r="39551" s="101" customFormat="1" spans="6:6">
      <c r="F39551" s="2423"/>
    </row>
    <row r="39552" s="101" customFormat="1" spans="6:6">
      <c r="F39552" s="2423"/>
    </row>
    <row r="39553" s="101" customFormat="1" spans="6:6">
      <c r="F39553" s="2423"/>
    </row>
    <row r="39554" s="101" customFormat="1" spans="6:6">
      <c r="F39554" s="2423"/>
    </row>
    <row r="39555" s="101" customFormat="1" spans="6:6">
      <c r="F39555" s="2423"/>
    </row>
    <row r="39556" s="101" customFormat="1" spans="6:6">
      <c r="F39556" s="2423"/>
    </row>
    <row r="39557" s="101" customFormat="1" spans="6:6">
      <c r="F39557" s="2423"/>
    </row>
    <row r="39558" s="101" customFormat="1" spans="6:6">
      <c r="F39558" s="2423"/>
    </row>
    <row r="39559" s="101" customFormat="1" spans="6:6">
      <c r="F39559" s="2423"/>
    </row>
    <row r="39560" s="101" customFormat="1" spans="6:6">
      <c r="F39560" s="2423"/>
    </row>
    <row r="39561" s="101" customFormat="1" spans="6:6">
      <c r="F39561" s="2423"/>
    </row>
    <row r="39562" s="101" customFormat="1" spans="6:6">
      <c r="F39562" s="2423"/>
    </row>
    <row r="39563" s="101" customFormat="1" spans="6:6">
      <c r="F39563" s="2423"/>
    </row>
    <row r="39564" s="101" customFormat="1" spans="6:6">
      <c r="F39564" s="2423"/>
    </row>
    <row r="39565" s="101" customFormat="1" spans="6:6">
      <c r="F39565" s="2423"/>
    </row>
    <row r="39566" s="101" customFormat="1" spans="6:6">
      <c r="F39566" s="2423"/>
    </row>
    <row r="39567" s="101" customFormat="1" spans="6:6">
      <c r="F39567" s="2423"/>
    </row>
    <row r="39568" s="101" customFormat="1" spans="6:6">
      <c r="F39568" s="2423"/>
    </row>
    <row r="39569" s="101" customFormat="1" spans="6:6">
      <c r="F39569" s="2423"/>
    </row>
    <row r="39570" s="101" customFormat="1" spans="6:6">
      <c r="F39570" s="2423"/>
    </row>
    <row r="39571" s="101" customFormat="1" spans="6:6">
      <c r="F39571" s="2423"/>
    </row>
    <row r="39572" s="101" customFormat="1" spans="6:6">
      <c r="F39572" s="2423"/>
    </row>
    <row r="39573" s="101" customFormat="1" spans="6:6">
      <c r="F39573" s="2423"/>
    </row>
    <row r="39574" s="101" customFormat="1" spans="6:6">
      <c r="F39574" s="2423"/>
    </row>
    <row r="39575" s="101" customFormat="1" spans="6:6">
      <c r="F39575" s="2423"/>
    </row>
    <row r="39576" s="101" customFormat="1" spans="6:6">
      <c r="F39576" s="2423"/>
    </row>
    <row r="39577" s="101" customFormat="1" spans="6:6">
      <c r="F39577" s="2423"/>
    </row>
    <row r="39578" s="101" customFormat="1" spans="6:6">
      <c r="F39578" s="2423"/>
    </row>
    <row r="39579" s="101" customFormat="1" spans="6:6">
      <c r="F39579" s="2423"/>
    </row>
    <row r="39580" s="101" customFormat="1" spans="6:6">
      <c r="F39580" s="2423"/>
    </row>
    <row r="39581" s="101" customFormat="1" spans="6:6">
      <c r="F39581" s="2423"/>
    </row>
    <row r="39582" s="101" customFormat="1" spans="6:6">
      <c r="F39582" s="2423"/>
    </row>
    <row r="39583" s="101" customFormat="1" spans="6:6">
      <c r="F39583" s="2423"/>
    </row>
    <row r="39584" s="101" customFormat="1" spans="6:6">
      <c r="F39584" s="2423"/>
    </row>
    <row r="39585" s="101" customFormat="1" spans="6:6">
      <c r="F39585" s="2423"/>
    </row>
    <row r="39586" s="101" customFormat="1" spans="6:6">
      <c r="F39586" s="2423"/>
    </row>
    <row r="39587" s="101" customFormat="1" spans="6:6">
      <c r="F39587" s="2423"/>
    </row>
    <row r="39588" s="101" customFormat="1" spans="6:6">
      <c r="F39588" s="2423"/>
    </row>
    <row r="39589" s="101" customFormat="1" spans="6:6">
      <c r="F39589" s="2423"/>
    </row>
    <row r="39590" s="101" customFormat="1" spans="6:6">
      <c r="F39590" s="2423"/>
    </row>
    <row r="39591" s="101" customFormat="1" spans="6:6">
      <c r="F39591" s="2423"/>
    </row>
    <row r="39592" s="101" customFormat="1" spans="6:6">
      <c r="F39592" s="2423"/>
    </row>
    <row r="39593" s="101" customFormat="1" spans="6:6">
      <c r="F39593" s="2423"/>
    </row>
    <row r="39594" s="101" customFormat="1" spans="6:6">
      <c r="F39594" s="2423"/>
    </row>
    <row r="39595" s="101" customFormat="1" spans="6:6">
      <c r="F39595" s="2423"/>
    </row>
    <row r="39596" s="101" customFormat="1" spans="6:6">
      <c r="F39596" s="2423"/>
    </row>
    <row r="39597" s="101" customFormat="1" spans="6:6">
      <c r="F39597" s="2423"/>
    </row>
    <row r="39598" s="101" customFormat="1" spans="6:6">
      <c r="F39598" s="2423"/>
    </row>
    <row r="39599" s="101" customFormat="1" spans="6:6">
      <c r="F39599" s="2423"/>
    </row>
    <row r="39600" s="101" customFormat="1" spans="6:6">
      <c r="F39600" s="2423"/>
    </row>
    <row r="39601" s="101" customFormat="1" spans="6:6">
      <c r="F39601" s="2423"/>
    </row>
    <row r="39602" s="101" customFormat="1" spans="6:6">
      <c r="F39602" s="2423"/>
    </row>
    <row r="39603" s="101" customFormat="1" spans="6:6">
      <c r="F39603" s="2423"/>
    </row>
    <row r="39604" s="101" customFormat="1" spans="6:6">
      <c r="F39604" s="2423"/>
    </row>
    <row r="39605" s="101" customFormat="1" spans="6:6">
      <c r="F39605" s="2423"/>
    </row>
    <row r="39606" s="101" customFormat="1" spans="6:6">
      <c r="F39606" s="2423"/>
    </row>
    <row r="39607" s="101" customFormat="1" spans="6:6">
      <c r="F39607" s="2423"/>
    </row>
    <row r="39608" s="101" customFormat="1" spans="6:6">
      <c r="F39608" s="2423"/>
    </row>
    <row r="39609" s="101" customFormat="1" spans="6:6">
      <c r="F39609" s="2423"/>
    </row>
    <row r="39610" s="101" customFormat="1" spans="6:6">
      <c r="F39610" s="2423"/>
    </row>
    <row r="39611" s="101" customFormat="1" spans="6:6">
      <c r="F39611" s="2423"/>
    </row>
    <row r="39612" s="101" customFormat="1" spans="6:6">
      <c r="F39612" s="2423"/>
    </row>
    <row r="39613" s="101" customFormat="1" spans="6:6">
      <c r="F39613" s="2423"/>
    </row>
    <row r="39614" s="101" customFormat="1" spans="6:6">
      <c r="F39614" s="2423"/>
    </row>
    <row r="39615" s="101" customFormat="1" spans="6:6">
      <c r="F39615" s="2423"/>
    </row>
    <row r="39616" s="101" customFormat="1" spans="6:6">
      <c r="F39616" s="2423"/>
    </row>
    <row r="39617" s="101" customFormat="1" spans="6:6">
      <c r="F39617" s="2423"/>
    </row>
    <row r="39618" s="101" customFormat="1" spans="6:6">
      <c r="F39618" s="2423"/>
    </row>
    <row r="39619" s="101" customFormat="1" spans="6:6">
      <c r="F39619" s="2423"/>
    </row>
    <row r="39620" s="101" customFormat="1" spans="6:6">
      <c r="F39620" s="2423"/>
    </row>
    <row r="39621" s="101" customFormat="1" spans="6:6">
      <c r="F39621" s="2423"/>
    </row>
    <row r="39622" s="101" customFormat="1" spans="6:6">
      <c r="F39622" s="2423"/>
    </row>
    <row r="39623" s="101" customFormat="1" spans="6:6">
      <c r="F39623" s="2423"/>
    </row>
    <row r="39624" s="101" customFormat="1" spans="6:6">
      <c r="F39624" s="2423"/>
    </row>
    <row r="39625" s="101" customFormat="1" spans="6:6">
      <c r="F39625" s="2423"/>
    </row>
    <row r="39626" s="101" customFormat="1" spans="6:6">
      <c r="F39626" s="2423"/>
    </row>
    <row r="39627" s="101" customFormat="1" spans="6:6">
      <c r="F39627" s="2423"/>
    </row>
    <row r="39628" s="101" customFormat="1" spans="6:6">
      <c r="F39628" s="2423"/>
    </row>
    <row r="39629" s="101" customFormat="1" spans="6:6">
      <c r="F39629" s="2423"/>
    </row>
    <row r="39630" s="101" customFormat="1" spans="6:6">
      <c r="F39630" s="2423"/>
    </row>
    <row r="39631" s="101" customFormat="1" spans="6:6">
      <c r="F39631" s="2423"/>
    </row>
    <row r="39632" s="101" customFormat="1" spans="6:6">
      <c r="F39632" s="2423"/>
    </row>
    <row r="39633" s="101" customFormat="1" spans="6:6">
      <c r="F39633" s="2423"/>
    </row>
    <row r="39634" s="101" customFormat="1" spans="6:6">
      <c r="F39634" s="2423"/>
    </row>
    <row r="39635" s="101" customFormat="1" spans="6:6">
      <c r="F39635" s="2423"/>
    </row>
    <row r="39636" s="101" customFormat="1" spans="6:6">
      <c r="F39636" s="2423"/>
    </row>
    <row r="39637" s="101" customFormat="1" spans="6:6">
      <c r="F39637" s="2423"/>
    </row>
    <row r="39638" s="101" customFormat="1" spans="6:6">
      <c r="F39638" s="2423"/>
    </row>
    <row r="39639" s="101" customFormat="1" spans="6:6">
      <c r="F39639" s="2423"/>
    </row>
    <row r="39640" s="101" customFormat="1" spans="6:6">
      <c r="F39640" s="2423"/>
    </row>
    <row r="39641" s="101" customFormat="1" spans="6:6">
      <c r="F39641" s="2423"/>
    </row>
    <row r="39642" s="101" customFormat="1" spans="6:6">
      <c r="F39642" s="2423"/>
    </row>
    <row r="39643" s="101" customFormat="1" spans="6:6">
      <c r="F39643" s="2423"/>
    </row>
    <row r="39644" s="101" customFormat="1" spans="6:6">
      <c r="F39644" s="2423"/>
    </row>
    <row r="39645" s="101" customFormat="1" spans="6:6">
      <c r="F39645" s="2423"/>
    </row>
    <row r="39646" s="101" customFormat="1" spans="6:6">
      <c r="F39646" s="2423"/>
    </row>
    <row r="39647" s="101" customFormat="1" spans="6:6">
      <c r="F39647" s="2423"/>
    </row>
    <row r="39648" s="101" customFormat="1" spans="6:6">
      <c r="F39648" s="2423"/>
    </row>
    <row r="39649" s="101" customFormat="1" spans="6:6">
      <c r="F39649" s="2423"/>
    </row>
    <row r="39650" s="101" customFormat="1" spans="6:6">
      <c r="F39650" s="2423"/>
    </row>
    <row r="39651" s="101" customFormat="1" spans="6:6">
      <c r="F39651" s="2423"/>
    </row>
    <row r="39652" s="101" customFormat="1" spans="6:6">
      <c r="F39652" s="2423"/>
    </row>
    <row r="39653" s="101" customFormat="1" spans="6:6">
      <c r="F39653" s="2423"/>
    </row>
    <row r="39654" s="101" customFormat="1" spans="6:6">
      <c r="F39654" s="2423"/>
    </row>
    <row r="39655" s="101" customFormat="1" spans="6:6">
      <c r="F39655" s="2423"/>
    </row>
    <row r="39656" s="101" customFormat="1" spans="6:6">
      <c r="F39656" s="2423"/>
    </row>
    <row r="39657" s="101" customFormat="1" spans="6:6">
      <c r="F39657" s="2423"/>
    </row>
    <row r="39658" s="101" customFormat="1" spans="6:6">
      <c r="F39658" s="2423"/>
    </row>
    <row r="39659" s="101" customFormat="1" spans="6:6">
      <c r="F39659" s="2423"/>
    </row>
    <row r="39660" s="101" customFormat="1" spans="6:6">
      <c r="F39660" s="2423"/>
    </row>
    <row r="39661" s="101" customFormat="1" spans="6:6">
      <c r="F39661" s="2423"/>
    </row>
    <row r="39662" s="101" customFormat="1" spans="6:6">
      <c r="F39662" s="2423"/>
    </row>
    <row r="39663" s="101" customFormat="1" spans="6:6">
      <c r="F39663" s="2423"/>
    </row>
    <row r="39664" s="101" customFormat="1" spans="6:6">
      <c r="F39664" s="2423"/>
    </row>
    <row r="39665" s="101" customFormat="1" spans="6:6">
      <c r="F39665" s="2423"/>
    </row>
    <row r="39666" s="101" customFormat="1" spans="6:6">
      <c r="F39666" s="2423"/>
    </row>
    <row r="39667" s="101" customFormat="1" spans="6:6">
      <c r="F39667" s="2423"/>
    </row>
    <row r="39668" s="101" customFormat="1" spans="6:6">
      <c r="F39668" s="2423"/>
    </row>
    <row r="39669" s="101" customFormat="1" spans="6:6">
      <c r="F39669" s="2423"/>
    </row>
    <row r="39670" s="101" customFormat="1" spans="6:6">
      <c r="F39670" s="2423"/>
    </row>
    <row r="39671" s="101" customFormat="1" spans="6:6">
      <c r="F39671" s="2423"/>
    </row>
    <row r="39672" s="101" customFormat="1" spans="6:6">
      <c r="F39672" s="2423"/>
    </row>
    <row r="39673" s="101" customFormat="1" spans="6:6">
      <c r="F39673" s="2423"/>
    </row>
    <row r="39674" s="101" customFormat="1" spans="6:6">
      <c r="F39674" s="2423"/>
    </row>
    <row r="39675" s="101" customFormat="1" spans="6:6">
      <c r="F39675" s="2423"/>
    </row>
    <row r="39676" s="101" customFormat="1" spans="6:6">
      <c r="F39676" s="2423"/>
    </row>
    <row r="39677" s="101" customFormat="1" spans="6:6">
      <c r="F39677" s="2423"/>
    </row>
    <row r="39678" s="101" customFormat="1" spans="6:6">
      <c r="F39678" s="2423"/>
    </row>
    <row r="39679" s="101" customFormat="1" spans="6:6">
      <c r="F39679" s="2423"/>
    </row>
    <row r="39680" s="101" customFormat="1" spans="6:6">
      <c r="F39680" s="2423"/>
    </row>
    <row r="39681" s="101" customFormat="1" spans="6:6">
      <c r="F39681" s="2423"/>
    </row>
    <row r="39682" s="101" customFormat="1" spans="6:6">
      <c r="F39682" s="2423"/>
    </row>
    <row r="39683" s="101" customFormat="1" spans="6:6">
      <c r="F39683" s="2423"/>
    </row>
    <row r="39684" s="101" customFormat="1" spans="6:6">
      <c r="F39684" s="2423"/>
    </row>
    <row r="39685" s="101" customFormat="1" spans="6:6">
      <c r="F39685" s="2423"/>
    </row>
    <row r="39686" s="101" customFormat="1" spans="6:6">
      <c r="F39686" s="2423"/>
    </row>
    <row r="39687" s="101" customFormat="1" spans="6:6">
      <c r="F39687" s="2423"/>
    </row>
    <row r="39688" s="101" customFormat="1" spans="6:6">
      <c r="F39688" s="2423"/>
    </row>
    <row r="39689" s="101" customFormat="1" spans="6:6">
      <c r="F39689" s="2423"/>
    </row>
    <row r="39690" s="101" customFormat="1" spans="6:6">
      <c r="F39690" s="2423"/>
    </row>
    <row r="39691" s="101" customFormat="1" spans="6:6">
      <c r="F39691" s="2423"/>
    </row>
    <row r="39692" s="101" customFormat="1" spans="6:6">
      <c r="F39692" s="2423"/>
    </row>
    <row r="39693" s="101" customFormat="1" spans="6:6">
      <c r="F39693" s="2423"/>
    </row>
    <row r="39694" s="101" customFormat="1" spans="6:6">
      <c r="F39694" s="2423"/>
    </row>
    <row r="39695" s="101" customFormat="1" spans="6:6">
      <c r="F39695" s="2423"/>
    </row>
    <row r="39696" s="101" customFormat="1" spans="6:6">
      <c r="F39696" s="2423"/>
    </row>
    <row r="39697" s="101" customFormat="1" spans="6:6">
      <c r="F39697" s="2423"/>
    </row>
    <row r="39698" s="101" customFormat="1" spans="6:6">
      <c r="F39698" s="2423"/>
    </row>
    <row r="39699" s="101" customFormat="1" spans="6:6">
      <c r="F39699" s="2423"/>
    </row>
    <row r="39700" s="101" customFormat="1" spans="6:6">
      <c r="F39700" s="2423"/>
    </row>
    <row r="39701" s="101" customFormat="1" spans="6:6">
      <c r="F39701" s="2423"/>
    </row>
    <row r="39702" s="101" customFormat="1" spans="6:6">
      <c r="F39702" s="2423"/>
    </row>
    <row r="39703" s="101" customFormat="1" spans="6:6">
      <c r="F39703" s="2423"/>
    </row>
    <row r="39704" s="101" customFormat="1" spans="6:6">
      <c r="F39704" s="2423"/>
    </row>
    <row r="39705" s="101" customFormat="1" spans="6:6">
      <c r="F39705" s="2423"/>
    </row>
    <row r="39706" s="101" customFormat="1" spans="6:6">
      <c r="F39706" s="2423"/>
    </row>
    <row r="39707" s="101" customFormat="1" spans="6:6">
      <c r="F39707" s="2423"/>
    </row>
    <row r="39708" s="101" customFormat="1" spans="6:6">
      <c r="F39708" s="2423"/>
    </row>
    <row r="39709" s="101" customFormat="1" spans="6:6">
      <c r="F39709" s="2423"/>
    </row>
    <row r="39710" s="101" customFormat="1" spans="6:6">
      <c r="F39710" s="2423"/>
    </row>
    <row r="39711" s="101" customFormat="1" spans="6:6">
      <c r="F39711" s="2423"/>
    </row>
    <row r="39712" s="101" customFormat="1" spans="6:6">
      <c r="F39712" s="2423"/>
    </row>
    <row r="39713" s="101" customFormat="1" spans="6:6">
      <c r="F39713" s="2423"/>
    </row>
    <row r="39714" s="101" customFormat="1" spans="6:6">
      <c r="F39714" s="2423"/>
    </row>
    <row r="39715" s="101" customFormat="1" spans="6:6">
      <c r="F39715" s="2423"/>
    </row>
    <row r="39716" s="101" customFormat="1" spans="6:6">
      <c r="F39716" s="2423"/>
    </row>
    <row r="39717" s="101" customFormat="1" spans="6:6">
      <c r="F39717" s="2423"/>
    </row>
    <row r="39718" s="101" customFormat="1" spans="6:6">
      <c r="F39718" s="2423"/>
    </row>
    <row r="39719" s="101" customFormat="1" spans="6:6">
      <c r="F39719" s="2423"/>
    </row>
    <row r="39720" s="101" customFormat="1" spans="6:6">
      <c r="F39720" s="2423"/>
    </row>
    <row r="39721" s="101" customFormat="1" spans="6:6">
      <c r="F39721" s="2423"/>
    </row>
    <row r="39722" s="101" customFormat="1" spans="6:6">
      <c r="F39722" s="2423"/>
    </row>
    <row r="39723" s="101" customFormat="1" spans="6:6">
      <c r="F39723" s="2423"/>
    </row>
    <row r="39724" s="101" customFormat="1" spans="6:6">
      <c r="F39724" s="2423"/>
    </row>
    <row r="39725" s="101" customFormat="1" spans="6:6">
      <c r="F39725" s="2423"/>
    </row>
    <row r="39726" s="101" customFormat="1" spans="6:6">
      <c r="F39726" s="2423"/>
    </row>
    <row r="39727" s="101" customFormat="1" spans="6:6">
      <c r="F39727" s="2423"/>
    </row>
    <row r="39728" s="101" customFormat="1" spans="6:6">
      <c r="F39728" s="2423"/>
    </row>
    <row r="39729" s="101" customFormat="1" spans="6:6">
      <c r="F39729" s="2423"/>
    </row>
    <row r="39730" s="101" customFormat="1" spans="6:6">
      <c r="F39730" s="2423"/>
    </row>
    <row r="39731" s="101" customFormat="1" spans="6:6">
      <c r="F39731" s="2423"/>
    </row>
    <row r="39732" s="101" customFormat="1" spans="6:6">
      <c r="F39732" s="2423"/>
    </row>
    <row r="39733" s="101" customFormat="1" spans="6:6">
      <c r="F39733" s="2423"/>
    </row>
    <row r="39734" s="101" customFormat="1" spans="6:6">
      <c r="F39734" s="2423"/>
    </row>
    <row r="39735" s="101" customFormat="1" spans="6:6">
      <c r="F39735" s="2423"/>
    </row>
    <row r="39736" s="101" customFormat="1" spans="6:6">
      <c r="F39736" s="2423"/>
    </row>
    <row r="39737" s="101" customFormat="1" spans="6:6">
      <c r="F39737" s="2423"/>
    </row>
    <row r="39738" s="101" customFormat="1" spans="6:6">
      <c r="F39738" s="2423"/>
    </row>
    <row r="39739" s="101" customFormat="1" spans="6:6">
      <c r="F39739" s="2423"/>
    </row>
    <row r="39740" s="101" customFormat="1" spans="6:6">
      <c r="F39740" s="2423"/>
    </row>
    <row r="39741" s="101" customFormat="1" spans="6:6">
      <c r="F39741" s="2423"/>
    </row>
    <row r="39742" s="101" customFormat="1" spans="6:6">
      <c r="F39742" s="2423"/>
    </row>
    <row r="39743" s="101" customFormat="1" spans="6:6">
      <c r="F39743" s="2423"/>
    </row>
    <row r="39744" s="101" customFormat="1" spans="6:6">
      <c r="F39744" s="2423"/>
    </row>
    <row r="39745" s="101" customFormat="1" spans="6:6">
      <c r="F39745" s="2423"/>
    </row>
    <row r="39746" s="101" customFormat="1" spans="6:6">
      <c r="F39746" s="2423"/>
    </row>
    <row r="39747" s="101" customFormat="1" spans="6:6">
      <c r="F39747" s="2423"/>
    </row>
    <row r="39748" s="101" customFormat="1" spans="6:6">
      <c r="F39748" s="2423"/>
    </row>
    <row r="39749" s="101" customFormat="1" spans="6:6">
      <c r="F39749" s="2423"/>
    </row>
    <row r="39750" s="101" customFormat="1" spans="6:6">
      <c r="F39750" s="2423"/>
    </row>
    <row r="39751" s="101" customFormat="1" spans="6:6">
      <c r="F39751" s="2423"/>
    </row>
    <row r="39752" s="101" customFormat="1" spans="6:6">
      <c r="F39752" s="2423"/>
    </row>
    <row r="39753" s="101" customFormat="1" spans="6:6">
      <c r="F39753" s="2423"/>
    </row>
    <row r="39754" s="101" customFormat="1" spans="6:6">
      <c r="F39754" s="2423"/>
    </row>
    <row r="39755" s="101" customFormat="1" spans="6:6">
      <c r="F39755" s="2423"/>
    </row>
    <row r="39756" s="101" customFormat="1" spans="6:6">
      <c r="F39756" s="2423"/>
    </row>
    <row r="39757" s="101" customFormat="1" spans="6:6">
      <c r="F39757" s="2423"/>
    </row>
    <row r="39758" s="101" customFormat="1" spans="6:6">
      <c r="F39758" s="2423"/>
    </row>
    <row r="39759" s="101" customFormat="1" spans="6:6">
      <c r="F39759" s="2423"/>
    </row>
    <row r="39760" s="101" customFormat="1" spans="6:6">
      <c r="F39760" s="2423"/>
    </row>
    <row r="39761" s="101" customFormat="1" spans="6:6">
      <c r="F39761" s="2423"/>
    </row>
    <row r="39762" s="101" customFormat="1" spans="6:6">
      <c r="F39762" s="2423"/>
    </row>
    <row r="39763" s="101" customFormat="1" spans="6:6">
      <c r="F39763" s="2423"/>
    </row>
    <row r="39764" s="101" customFormat="1" spans="6:6">
      <c r="F39764" s="2423"/>
    </row>
    <row r="39765" s="101" customFormat="1" spans="6:6">
      <c r="F39765" s="2423"/>
    </row>
    <row r="39766" s="101" customFormat="1" spans="6:6">
      <c r="F39766" s="2423"/>
    </row>
    <row r="39767" s="101" customFormat="1" spans="6:6">
      <c r="F39767" s="2423"/>
    </row>
    <row r="39768" s="101" customFormat="1" spans="6:6">
      <c r="F39768" s="2423"/>
    </row>
    <row r="39769" s="101" customFormat="1" spans="6:6">
      <c r="F39769" s="2423"/>
    </row>
    <row r="39770" s="101" customFormat="1" spans="6:6">
      <c r="F39770" s="2423"/>
    </row>
    <row r="39771" s="101" customFormat="1" spans="6:6">
      <c r="F39771" s="2423"/>
    </row>
    <row r="39772" s="101" customFormat="1" spans="6:6">
      <c r="F39772" s="2423"/>
    </row>
    <row r="39773" s="101" customFormat="1" spans="6:6">
      <c r="F39773" s="2423"/>
    </row>
    <row r="39774" s="101" customFormat="1" spans="6:6">
      <c r="F39774" s="2423"/>
    </row>
    <row r="39775" s="101" customFormat="1" spans="6:6">
      <c r="F39775" s="2423"/>
    </row>
    <row r="39776" s="101" customFormat="1" spans="6:6">
      <c r="F39776" s="2423"/>
    </row>
    <row r="39777" s="101" customFormat="1" spans="6:6">
      <c r="F39777" s="2423"/>
    </row>
    <row r="39778" s="101" customFormat="1" spans="6:6">
      <c r="F39778" s="2423"/>
    </row>
    <row r="39779" s="101" customFormat="1" spans="6:6">
      <c r="F39779" s="2423"/>
    </row>
    <row r="39780" s="101" customFormat="1" spans="6:6">
      <c r="F39780" s="2423"/>
    </row>
    <row r="39781" s="101" customFormat="1" spans="6:6">
      <c r="F39781" s="2423"/>
    </row>
    <row r="39782" s="101" customFormat="1" spans="6:6">
      <c r="F39782" s="2423"/>
    </row>
    <row r="39783" s="101" customFormat="1" spans="6:6">
      <c r="F39783" s="2423"/>
    </row>
    <row r="39784" s="101" customFormat="1" spans="6:6">
      <c r="F39784" s="2423"/>
    </row>
    <row r="39785" s="101" customFormat="1" spans="6:6">
      <c r="F39785" s="2423"/>
    </row>
    <row r="39786" s="101" customFormat="1" spans="6:6">
      <c r="F39786" s="2423"/>
    </row>
    <row r="39787" s="101" customFormat="1" spans="6:6">
      <c r="F39787" s="2423"/>
    </row>
    <row r="39788" s="101" customFormat="1" spans="6:6">
      <c r="F39788" s="2423"/>
    </row>
    <row r="39789" s="101" customFormat="1" spans="6:6">
      <c r="F39789" s="2423"/>
    </row>
    <row r="39790" s="101" customFormat="1" spans="6:6">
      <c r="F39790" s="2423"/>
    </row>
    <row r="39791" s="101" customFormat="1" spans="6:6">
      <c r="F39791" s="2423"/>
    </row>
    <row r="39792" s="101" customFormat="1" spans="6:6">
      <c r="F39792" s="2423"/>
    </row>
    <row r="39793" s="101" customFormat="1" spans="6:6">
      <c r="F39793" s="2423"/>
    </row>
    <row r="39794" s="101" customFormat="1" spans="6:6">
      <c r="F39794" s="2423"/>
    </row>
    <row r="39795" s="101" customFormat="1" spans="6:6">
      <c r="F39795" s="2423"/>
    </row>
    <row r="39796" s="101" customFormat="1" spans="6:6">
      <c r="F39796" s="2423"/>
    </row>
    <row r="39797" s="101" customFormat="1" spans="6:6">
      <c r="F39797" s="2423"/>
    </row>
    <row r="39798" s="101" customFormat="1" spans="6:6">
      <c r="F39798" s="2423"/>
    </row>
    <row r="39799" s="101" customFormat="1" spans="6:6">
      <c r="F39799" s="2423"/>
    </row>
    <row r="39800" s="101" customFormat="1" spans="6:6">
      <c r="F39800" s="2423"/>
    </row>
    <row r="39801" s="101" customFormat="1" spans="6:6">
      <c r="F39801" s="2423"/>
    </row>
    <row r="39802" s="101" customFormat="1" spans="6:6">
      <c r="F39802" s="2423"/>
    </row>
    <row r="39803" s="101" customFormat="1" spans="6:6">
      <c r="F39803" s="2423"/>
    </row>
    <row r="39804" s="101" customFormat="1" spans="6:6">
      <c r="F39804" s="2423"/>
    </row>
    <row r="39805" s="101" customFormat="1" spans="6:6">
      <c r="F39805" s="2423"/>
    </row>
    <row r="39806" s="101" customFormat="1" spans="6:6">
      <c r="F39806" s="2423"/>
    </row>
    <row r="39807" s="101" customFormat="1" spans="6:6">
      <c r="F39807" s="2423"/>
    </row>
    <row r="39808" s="101" customFormat="1" spans="6:6">
      <c r="F39808" s="2423"/>
    </row>
    <row r="39809" s="101" customFormat="1" spans="6:6">
      <c r="F39809" s="2423"/>
    </row>
    <row r="39810" s="101" customFormat="1" spans="6:6">
      <c r="F39810" s="2423"/>
    </row>
    <row r="39811" s="101" customFormat="1" spans="6:6">
      <c r="F39811" s="2423"/>
    </row>
    <row r="39812" s="101" customFormat="1" spans="6:6">
      <c r="F39812" s="2423"/>
    </row>
    <row r="39813" s="101" customFormat="1" spans="6:6">
      <c r="F39813" s="2423"/>
    </row>
    <row r="39814" s="101" customFormat="1" spans="6:6">
      <c r="F39814" s="2423"/>
    </row>
    <row r="39815" s="101" customFormat="1" spans="6:6">
      <c r="F39815" s="2423"/>
    </row>
    <row r="39816" s="101" customFormat="1" spans="6:6">
      <c r="F39816" s="2423"/>
    </row>
    <row r="39817" s="101" customFormat="1" spans="6:6">
      <c r="F39817" s="2423"/>
    </row>
    <row r="39818" s="101" customFormat="1" spans="6:6">
      <c r="F39818" s="2423"/>
    </row>
    <row r="39819" s="101" customFormat="1" spans="6:6">
      <c r="F39819" s="2423"/>
    </row>
    <row r="39820" s="101" customFormat="1" spans="6:6">
      <c r="F39820" s="2423"/>
    </row>
    <row r="39821" s="101" customFormat="1" spans="6:6">
      <c r="F39821" s="2423"/>
    </row>
    <row r="39822" s="101" customFormat="1" spans="6:6">
      <c r="F39822" s="2423"/>
    </row>
    <row r="39823" s="101" customFormat="1" spans="6:6">
      <c r="F39823" s="2423"/>
    </row>
    <row r="39824" s="101" customFormat="1" spans="6:6">
      <c r="F39824" s="2423"/>
    </row>
    <row r="39825" s="101" customFormat="1" spans="6:6">
      <c r="F39825" s="2423"/>
    </row>
    <row r="39826" s="101" customFormat="1" spans="6:6">
      <c r="F39826" s="2423"/>
    </row>
    <row r="39827" s="101" customFormat="1" spans="6:6">
      <c r="F39827" s="2423"/>
    </row>
    <row r="39828" s="101" customFormat="1" spans="6:6">
      <c r="F39828" s="2423"/>
    </row>
    <row r="39829" s="101" customFormat="1" spans="6:6">
      <c r="F39829" s="2423"/>
    </row>
    <row r="39830" s="101" customFormat="1" spans="6:6">
      <c r="F39830" s="2423"/>
    </row>
    <row r="39831" s="101" customFormat="1" spans="6:6">
      <c r="F39831" s="2423"/>
    </row>
    <row r="39832" s="101" customFormat="1" spans="6:6">
      <c r="F39832" s="2423"/>
    </row>
    <row r="39833" s="101" customFormat="1" spans="6:6">
      <c r="F39833" s="2423"/>
    </row>
    <row r="39834" s="101" customFormat="1" spans="6:6">
      <c r="F39834" s="2423"/>
    </row>
    <row r="39835" s="101" customFormat="1" spans="6:6">
      <c r="F39835" s="2423"/>
    </row>
    <row r="39836" s="101" customFormat="1" spans="6:6">
      <c r="F39836" s="2423"/>
    </row>
    <row r="39837" s="101" customFormat="1" spans="6:6">
      <c r="F39837" s="2423"/>
    </row>
    <row r="39838" s="101" customFormat="1" spans="6:6">
      <c r="F39838" s="2423"/>
    </row>
    <row r="39839" s="101" customFormat="1" spans="6:6">
      <c r="F39839" s="2423"/>
    </row>
    <row r="39840" s="101" customFormat="1" spans="6:6">
      <c r="F39840" s="2423"/>
    </row>
    <row r="39841" s="101" customFormat="1" spans="6:6">
      <c r="F39841" s="2423"/>
    </row>
    <row r="39842" s="101" customFormat="1" spans="6:6">
      <c r="F39842" s="2423"/>
    </row>
    <row r="39843" s="101" customFormat="1" spans="6:6">
      <c r="F39843" s="2423"/>
    </row>
    <row r="39844" s="101" customFormat="1" spans="6:6">
      <c r="F39844" s="2423"/>
    </row>
    <row r="39845" s="101" customFormat="1" spans="6:6">
      <c r="F39845" s="2423"/>
    </row>
    <row r="39846" s="101" customFormat="1" spans="6:6">
      <c r="F39846" s="2423"/>
    </row>
    <row r="39847" s="101" customFormat="1" spans="6:6">
      <c r="F39847" s="2423"/>
    </row>
    <row r="39848" s="101" customFormat="1" spans="6:6">
      <c r="F39848" s="2423"/>
    </row>
    <row r="39849" s="101" customFormat="1" spans="6:6">
      <c r="F39849" s="2423"/>
    </row>
    <row r="39850" s="101" customFormat="1" spans="6:6">
      <c r="F39850" s="2423"/>
    </row>
    <row r="39851" s="101" customFormat="1" spans="6:6">
      <c r="F39851" s="2423"/>
    </row>
    <row r="39852" s="101" customFormat="1" spans="6:6">
      <c r="F39852" s="2423"/>
    </row>
    <row r="39853" s="101" customFormat="1" spans="6:6">
      <c r="F39853" s="2423"/>
    </row>
    <row r="39854" s="101" customFormat="1" spans="6:6">
      <c r="F39854" s="2423"/>
    </row>
    <row r="39855" s="101" customFormat="1" spans="6:6">
      <c r="F39855" s="2423"/>
    </row>
    <row r="39856" s="101" customFormat="1" spans="6:6">
      <c r="F39856" s="2423"/>
    </row>
    <row r="39857" s="101" customFormat="1" spans="6:6">
      <c r="F39857" s="2423"/>
    </row>
    <row r="39858" s="101" customFormat="1" spans="6:6">
      <c r="F39858" s="2423"/>
    </row>
    <row r="39859" s="101" customFormat="1" spans="6:6">
      <c r="F39859" s="2423"/>
    </row>
    <row r="39860" s="101" customFormat="1" spans="6:6">
      <c r="F39860" s="2423"/>
    </row>
    <row r="39861" s="101" customFormat="1" spans="6:6">
      <c r="F39861" s="2423"/>
    </row>
    <row r="39862" s="101" customFormat="1" spans="6:6">
      <c r="F39862" s="2423"/>
    </row>
    <row r="39863" s="101" customFormat="1" spans="6:6">
      <c r="F39863" s="2423"/>
    </row>
    <row r="39864" s="101" customFormat="1" spans="6:6">
      <c r="F39864" s="2423"/>
    </row>
    <row r="39865" s="101" customFormat="1" spans="6:6">
      <c r="F39865" s="2423"/>
    </row>
    <row r="39866" s="101" customFormat="1" spans="6:6">
      <c r="F39866" s="2423"/>
    </row>
    <row r="39867" s="101" customFormat="1" spans="6:6">
      <c r="F39867" s="2423"/>
    </row>
    <row r="39868" s="101" customFormat="1" spans="6:6">
      <c r="F39868" s="2423"/>
    </row>
    <row r="39869" s="101" customFormat="1" spans="6:6">
      <c r="F39869" s="2423"/>
    </row>
    <row r="39870" s="101" customFormat="1" spans="6:6">
      <c r="F39870" s="2423"/>
    </row>
    <row r="39871" s="101" customFormat="1" spans="6:6">
      <c r="F39871" s="2423"/>
    </row>
    <row r="39872" s="101" customFormat="1" spans="6:6">
      <c r="F39872" s="2423"/>
    </row>
    <row r="39873" s="101" customFormat="1" spans="6:6">
      <c r="F39873" s="2423"/>
    </row>
    <row r="39874" s="101" customFormat="1" spans="6:6">
      <c r="F39874" s="2423"/>
    </row>
    <row r="39875" s="101" customFormat="1" spans="6:6">
      <c r="F39875" s="2423"/>
    </row>
    <row r="39876" s="101" customFormat="1" spans="6:6">
      <c r="F39876" s="2423"/>
    </row>
    <row r="39877" s="101" customFormat="1" spans="6:6">
      <c r="F39877" s="2423"/>
    </row>
    <row r="39878" s="101" customFormat="1" spans="6:6">
      <c r="F39878" s="2423"/>
    </row>
    <row r="39879" s="101" customFormat="1" spans="6:6">
      <c r="F39879" s="2423"/>
    </row>
    <row r="39880" s="101" customFormat="1" spans="6:6">
      <c r="F39880" s="2423"/>
    </row>
    <row r="39881" s="101" customFormat="1" spans="6:6">
      <c r="F39881" s="2423"/>
    </row>
    <row r="39882" s="101" customFormat="1" spans="6:6">
      <c r="F39882" s="2423"/>
    </row>
    <row r="39883" s="101" customFormat="1" spans="6:6">
      <c r="F39883" s="2423"/>
    </row>
    <row r="39884" s="101" customFormat="1" spans="6:6">
      <c r="F39884" s="2423"/>
    </row>
    <row r="39885" s="101" customFormat="1" spans="6:6">
      <c r="F39885" s="2423"/>
    </row>
    <row r="39886" s="101" customFormat="1" spans="6:6">
      <c r="F39886" s="2423"/>
    </row>
    <row r="39887" s="101" customFormat="1" spans="6:6">
      <c r="F39887" s="2423"/>
    </row>
    <row r="39888" s="101" customFormat="1" spans="6:6">
      <c r="F39888" s="2423"/>
    </row>
    <row r="39889" s="101" customFormat="1" spans="6:6">
      <c r="F39889" s="2423"/>
    </row>
    <row r="39890" s="101" customFormat="1" spans="6:6">
      <c r="F39890" s="2423"/>
    </row>
    <row r="39891" s="101" customFormat="1" spans="6:6">
      <c r="F39891" s="2423"/>
    </row>
    <row r="39892" s="101" customFormat="1" spans="6:6">
      <c r="F39892" s="2423"/>
    </row>
    <row r="39893" s="101" customFormat="1" spans="6:6">
      <c r="F39893" s="2423"/>
    </row>
    <row r="39894" s="101" customFormat="1" spans="6:6">
      <c r="F39894" s="2423"/>
    </row>
    <row r="39895" s="101" customFormat="1" spans="6:6">
      <c r="F39895" s="2423"/>
    </row>
    <row r="39896" s="101" customFormat="1" spans="6:6">
      <c r="F39896" s="2423"/>
    </row>
    <row r="39897" s="101" customFormat="1" spans="6:6">
      <c r="F39897" s="2423"/>
    </row>
    <row r="39898" s="101" customFormat="1" spans="6:6">
      <c r="F39898" s="2423"/>
    </row>
    <row r="39899" s="101" customFormat="1" spans="6:6">
      <c r="F39899" s="2423"/>
    </row>
    <row r="39900" s="101" customFormat="1" spans="6:6">
      <c r="F39900" s="2423"/>
    </row>
    <row r="39901" s="101" customFormat="1" spans="6:6">
      <c r="F39901" s="2423"/>
    </row>
    <row r="39902" s="101" customFormat="1" spans="6:6">
      <c r="F39902" s="2423"/>
    </row>
    <row r="39903" s="101" customFormat="1" spans="6:6">
      <c r="F39903" s="2423"/>
    </row>
    <row r="39904" s="101" customFormat="1" spans="6:6">
      <c r="F39904" s="2423"/>
    </row>
    <row r="39905" s="101" customFormat="1" spans="6:6">
      <c r="F39905" s="2423"/>
    </row>
    <row r="39906" s="101" customFormat="1" spans="6:6">
      <c r="F39906" s="2423"/>
    </row>
    <row r="39907" s="101" customFormat="1" spans="6:6">
      <c r="F39907" s="2423"/>
    </row>
    <row r="39908" s="101" customFormat="1" spans="6:6">
      <c r="F39908" s="2423"/>
    </row>
    <row r="39909" s="101" customFormat="1" spans="6:6">
      <c r="F39909" s="2423"/>
    </row>
    <row r="39910" s="101" customFormat="1" spans="6:6">
      <c r="F39910" s="2423"/>
    </row>
    <row r="39911" s="101" customFormat="1" spans="6:6">
      <c r="F39911" s="2423"/>
    </row>
    <row r="39912" s="101" customFormat="1" spans="6:6">
      <c r="F39912" s="2423"/>
    </row>
    <row r="39913" s="101" customFormat="1" spans="6:6">
      <c r="F39913" s="2423"/>
    </row>
    <row r="39914" s="101" customFormat="1" spans="6:6">
      <c r="F39914" s="2423"/>
    </row>
    <row r="39915" s="101" customFormat="1" spans="6:6">
      <c r="F39915" s="2423"/>
    </row>
    <row r="39916" s="101" customFormat="1" spans="6:6">
      <c r="F39916" s="2423"/>
    </row>
    <row r="39917" s="101" customFormat="1" spans="6:6">
      <c r="F39917" s="2423"/>
    </row>
    <row r="39918" s="101" customFormat="1" spans="6:6">
      <c r="F39918" s="2423"/>
    </row>
    <row r="39919" s="101" customFormat="1" spans="6:6">
      <c r="F39919" s="2423"/>
    </row>
    <row r="39920" s="101" customFormat="1" spans="6:6">
      <c r="F39920" s="2423"/>
    </row>
    <row r="39921" s="101" customFormat="1" spans="6:6">
      <c r="F39921" s="2423"/>
    </row>
    <row r="39922" s="101" customFormat="1" spans="6:6">
      <c r="F39922" s="2423"/>
    </row>
    <row r="39923" s="101" customFormat="1" spans="6:6">
      <c r="F39923" s="2423"/>
    </row>
    <row r="39924" s="101" customFormat="1" spans="6:6">
      <c r="F39924" s="2423"/>
    </row>
    <row r="39925" s="101" customFormat="1" spans="6:6">
      <c r="F39925" s="2423"/>
    </row>
    <row r="39926" s="101" customFormat="1" spans="6:6">
      <c r="F39926" s="2423"/>
    </row>
    <row r="39927" s="101" customFormat="1" spans="6:6">
      <c r="F39927" s="2423"/>
    </row>
    <row r="39928" s="101" customFormat="1" spans="6:6">
      <c r="F39928" s="2423"/>
    </row>
    <row r="39929" s="101" customFormat="1" spans="6:6">
      <c r="F39929" s="2423"/>
    </row>
    <row r="39930" s="101" customFormat="1" spans="6:6">
      <c r="F39930" s="2423"/>
    </row>
    <row r="39931" s="101" customFormat="1" spans="6:6">
      <c r="F39931" s="2423"/>
    </row>
    <row r="39932" s="101" customFormat="1" spans="6:6">
      <c r="F39932" s="2423"/>
    </row>
    <row r="39933" s="101" customFormat="1" spans="6:6">
      <c r="F39933" s="2423"/>
    </row>
    <row r="39934" s="101" customFormat="1" spans="6:6">
      <c r="F39934" s="2423"/>
    </row>
    <row r="39935" s="101" customFormat="1" spans="6:6">
      <c r="F39935" s="2423"/>
    </row>
    <row r="39936" s="101" customFormat="1" spans="6:6">
      <c r="F39936" s="2423"/>
    </row>
    <row r="39937" s="101" customFormat="1" spans="6:6">
      <c r="F39937" s="2423"/>
    </row>
    <row r="39938" s="101" customFormat="1" spans="6:6">
      <c r="F39938" s="2423"/>
    </row>
    <row r="39939" s="101" customFormat="1" spans="6:6">
      <c r="F39939" s="2423"/>
    </row>
    <row r="39940" s="101" customFormat="1" spans="6:6">
      <c r="F39940" s="2423"/>
    </row>
    <row r="39941" s="101" customFormat="1" spans="6:6">
      <c r="F39941" s="2423"/>
    </row>
    <row r="39942" s="101" customFormat="1" spans="6:6">
      <c r="F39942" s="2423"/>
    </row>
    <row r="39943" s="101" customFormat="1" spans="6:6">
      <c r="F39943" s="2423"/>
    </row>
    <row r="39944" s="101" customFormat="1" spans="6:6">
      <c r="F39944" s="2423"/>
    </row>
    <row r="39945" s="101" customFormat="1" spans="6:6">
      <c r="F39945" s="2423"/>
    </row>
    <row r="39946" s="101" customFormat="1" spans="6:6">
      <c r="F39946" s="2423"/>
    </row>
    <row r="39947" s="101" customFormat="1" spans="6:6">
      <c r="F39947" s="2423"/>
    </row>
    <row r="39948" s="101" customFormat="1" spans="6:6">
      <c r="F39948" s="2423"/>
    </row>
    <row r="39949" s="101" customFormat="1" spans="6:6">
      <c r="F39949" s="2423"/>
    </row>
    <row r="39950" s="101" customFormat="1" spans="6:6">
      <c r="F39950" s="2423"/>
    </row>
    <row r="39951" s="101" customFormat="1" spans="6:6">
      <c r="F39951" s="2423"/>
    </row>
    <row r="39952" s="101" customFormat="1" spans="6:6">
      <c r="F39952" s="2423"/>
    </row>
    <row r="39953" s="101" customFormat="1" spans="6:6">
      <c r="F39953" s="2423"/>
    </row>
    <row r="39954" s="101" customFormat="1" spans="6:6">
      <c r="F39954" s="2423"/>
    </row>
    <row r="39955" s="101" customFormat="1" spans="6:6">
      <c r="F39955" s="2423"/>
    </row>
    <row r="39956" s="101" customFormat="1" spans="6:6">
      <c r="F39956" s="2423"/>
    </row>
    <row r="39957" s="101" customFormat="1" spans="6:6">
      <c r="F39957" s="2423"/>
    </row>
    <row r="39958" s="101" customFormat="1" spans="6:6">
      <c r="F39958" s="2423"/>
    </row>
    <row r="39959" s="101" customFormat="1" spans="6:6">
      <c r="F39959" s="2423"/>
    </row>
    <row r="39960" s="101" customFormat="1" spans="6:6">
      <c r="F39960" s="2423"/>
    </row>
    <row r="39961" s="101" customFormat="1" spans="6:6">
      <c r="F39961" s="2423"/>
    </row>
    <row r="39962" s="101" customFormat="1" spans="6:6">
      <c r="F39962" s="2423"/>
    </row>
    <row r="39963" s="101" customFormat="1" spans="6:6">
      <c r="F39963" s="2423"/>
    </row>
    <row r="39964" s="101" customFormat="1" spans="6:6">
      <c r="F39964" s="2423"/>
    </row>
    <row r="39965" s="101" customFormat="1" spans="6:6">
      <c r="F39965" s="2423"/>
    </row>
    <row r="39966" s="101" customFormat="1" spans="6:6">
      <c r="F39966" s="2423"/>
    </row>
    <row r="39967" s="101" customFormat="1" spans="6:6">
      <c r="F39967" s="2423"/>
    </row>
    <row r="39968" s="101" customFormat="1" spans="6:6">
      <c r="F39968" s="2423"/>
    </row>
    <row r="39969" s="101" customFormat="1" spans="6:6">
      <c r="F39969" s="2423"/>
    </row>
    <row r="39970" s="101" customFormat="1" spans="6:6">
      <c r="F39970" s="2423"/>
    </row>
    <row r="39971" s="101" customFormat="1" spans="6:6">
      <c r="F39971" s="2423"/>
    </row>
    <row r="39972" s="101" customFormat="1" spans="6:6">
      <c r="F39972" s="2423"/>
    </row>
    <row r="39973" s="101" customFormat="1" spans="6:6">
      <c r="F39973" s="2423"/>
    </row>
    <row r="39974" s="101" customFormat="1" spans="6:6">
      <c r="F39974" s="2423"/>
    </row>
    <row r="39975" s="101" customFormat="1" spans="6:6">
      <c r="F39975" s="2423"/>
    </row>
    <row r="39976" s="101" customFormat="1" spans="6:6">
      <c r="F39976" s="2423"/>
    </row>
    <row r="39977" s="101" customFormat="1" spans="6:6">
      <c r="F39977" s="2423"/>
    </row>
    <row r="39978" s="101" customFormat="1" spans="6:6">
      <c r="F39978" s="2423"/>
    </row>
    <row r="39979" s="101" customFormat="1" spans="6:6">
      <c r="F39979" s="2423"/>
    </row>
    <row r="39980" s="101" customFormat="1" spans="6:6">
      <c r="F39980" s="2423"/>
    </row>
    <row r="39981" s="101" customFormat="1" spans="6:6">
      <c r="F39981" s="2423"/>
    </row>
    <row r="39982" s="101" customFormat="1" spans="6:6">
      <c r="F39982" s="2423"/>
    </row>
    <row r="39983" s="101" customFormat="1" spans="6:6">
      <c r="F39983" s="2423"/>
    </row>
    <row r="39984" s="101" customFormat="1" spans="6:6">
      <c r="F39984" s="2423"/>
    </row>
    <row r="39985" s="101" customFormat="1" spans="6:6">
      <c r="F39985" s="2423"/>
    </row>
    <row r="39986" s="101" customFormat="1" spans="6:6">
      <c r="F39986" s="2423"/>
    </row>
    <row r="39987" s="101" customFormat="1" spans="6:6">
      <c r="F39987" s="2423"/>
    </row>
    <row r="39988" s="101" customFormat="1" spans="6:6">
      <c r="F39988" s="2423"/>
    </row>
    <row r="39989" s="101" customFormat="1" spans="6:6">
      <c r="F39989" s="2423"/>
    </row>
    <row r="39990" s="101" customFormat="1" spans="6:6">
      <c r="F39990" s="2423"/>
    </row>
    <row r="39991" s="101" customFormat="1" spans="6:6">
      <c r="F39991" s="2423"/>
    </row>
    <row r="39992" s="101" customFormat="1" spans="6:6">
      <c r="F39992" s="2423"/>
    </row>
    <row r="39993" s="101" customFormat="1" spans="6:6">
      <c r="F39993" s="2423"/>
    </row>
    <row r="39994" s="101" customFormat="1" spans="6:6">
      <c r="F39994" s="2423"/>
    </row>
    <row r="39995" s="101" customFormat="1" spans="6:6">
      <c r="F39995" s="2423"/>
    </row>
    <row r="39996" s="101" customFormat="1" spans="6:6">
      <c r="F39996" s="2423"/>
    </row>
    <row r="39997" s="101" customFormat="1" spans="6:6">
      <c r="F39997" s="2423"/>
    </row>
    <row r="39998" s="101" customFormat="1" spans="6:6">
      <c r="F39998" s="2423"/>
    </row>
    <row r="39999" s="101" customFormat="1" spans="6:6">
      <c r="F39999" s="2423"/>
    </row>
    <row r="40000" s="101" customFormat="1" spans="6:6">
      <c r="F40000" s="2423"/>
    </row>
    <row r="40001" s="101" customFormat="1" spans="6:6">
      <c r="F40001" s="2423"/>
    </row>
    <row r="40002" s="101" customFormat="1" spans="6:6">
      <c r="F40002" s="2423"/>
    </row>
    <row r="40003" s="101" customFormat="1" spans="6:6">
      <c r="F40003" s="2423"/>
    </row>
    <row r="40004" s="101" customFormat="1" spans="6:6">
      <c r="F40004" s="2423"/>
    </row>
    <row r="40005" s="101" customFormat="1" spans="6:6">
      <c r="F40005" s="2423"/>
    </row>
    <row r="40006" s="101" customFormat="1" spans="6:6">
      <c r="F40006" s="2423"/>
    </row>
    <row r="40007" s="101" customFormat="1" spans="6:6">
      <c r="F40007" s="2423"/>
    </row>
    <row r="40008" s="101" customFormat="1" spans="6:6">
      <c r="F40008" s="2423"/>
    </row>
    <row r="40009" s="101" customFormat="1" spans="6:6">
      <c r="F40009" s="2423"/>
    </row>
    <row r="40010" s="101" customFormat="1" spans="6:6">
      <c r="F40010" s="2423"/>
    </row>
    <row r="40011" s="101" customFormat="1" spans="6:6">
      <c r="F40011" s="2423"/>
    </row>
    <row r="40012" s="101" customFormat="1" spans="6:6">
      <c r="F40012" s="2423"/>
    </row>
    <row r="40013" s="101" customFormat="1" spans="6:6">
      <c r="F40013" s="2423"/>
    </row>
    <row r="40014" s="101" customFormat="1" spans="6:6">
      <c r="F40014" s="2423"/>
    </row>
    <row r="40015" s="101" customFormat="1" spans="6:6">
      <c r="F40015" s="2423"/>
    </row>
    <row r="40016" s="101" customFormat="1" spans="6:6">
      <c r="F40016" s="2423"/>
    </row>
    <row r="40017" s="101" customFormat="1" spans="6:6">
      <c r="F40017" s="2423"/>
    </row>
    <row r="40018" s="101" customFormat="1" spans="6:6">
      <c r="F40018" s="2423"/>
    </row>
    <row r="40019" s="101" customFormat="1" spans="6:6">
      <c r="F40019" s="2423"/>
    </row>
    <row r="40020" s="101" customFormat="1" spans="6:6">
      <c r="F40020" s="2423"/>
    </row>
    <row r="40021" s="101" customFormat="1" spans="6:6">
      <c r="F40021" s="2423"/>
    </row>
    <row r="40022" s="101" customFormat="1" spans="6:6">
      <c r="F40022" s="2423"/>
    </row>
    <row r="40023" s="101" customFormat="1" spans="6:6">
      <c r="F40023" s="2423"/>
    </row>
    <row r="40024" s="101" customFormat="1" spans="6:6">
      <c r="F40024" s="2423"/>
    </row>
    <row r="40025" s="101" customFormat="1" spans="6:6">
      <c r="F40025" s="2423"/>
    </row>
    <row r="40026" s="101" customFormat="1" spans="6:6">
      <c r="F40026" s="2423"/>
    </row>
    <row r="40027" s="101" customFormat="1" spans="6:6">
      <c r="F40027" s="2423"/>
    </row>
    <row r="40028" s="101" customFormat="1" spans="6:6">
      <c r="F40028" s="2423"/>
    </row>
    <row r="40029" s="101" customFormat="1" spans="6:6">
      <c r="F40029" s="2423"/>
    </row>
    <row r="40030" s="101" customFormat="1" spans="6:6">
      <c r="F40030" s="2423"/>
    </row>
    <row r="40031" s="101" customFormat="1" spans="6:6">
      <c r="F40031" s="2423"/>
    </row>
    <row r="40032" s="101" customFormat="1" spans="6:6">
      <c r="F40032" s="2423"/>
    </row>
    <row r="40033" s="101" customFormat="1" spans="6:6">
      <c r="F40033" s="2423"/>
    </row>
    <row r="40034" s="101" customFormat="1" spans="6:6">
      <c r="F40034" s="2423"/>
    </row>
    <row r="40035" s="101" customFormat="1" spans="6:6">
      <c r="F40035" s="2423"/>
    </row>
    <row r="40036" s="101" customFormat="1" spans="6:6">
      <c r="F40036" s="2423"/>
    </row>
    <row r="40037" s="101" customFormat="1" spans="6:6">
      <c r="F40037" s="2423"/>
    </row>
    <row r="40038" s="101" customFormat="1" spans="6:6">
      <c r="F40038" s="2423"/>
    </row>
    <row r="40039" s="101" customFormat="1" spans="6:6">
      <c r="F40039" s="2423"/>
    </row>
    <row r="40040" s="101" customFormat="1" spans="6:6">
      <c r="F40040" s="2423"/>
    </row>
    <row r="40041" s="101" customFormat="1" spans="6:6">
      <c r="F40041" s="2423"/>
    </row>
    <row r="40042" s="101" customFormat="1" spans="6:6">
      <c r="F40042" s="2423"/>
    </row>
    <row r="40043" s="101" customFormat="1" spans="6:6">
      <c r="F40043" s="2423"/>
    </row>
    <row r="40044" s="101" customFormat="1" spans="6:6">
      <c r="F40044" s="2423"/>
    </row>
    <row r="40045" s="101" customFormat="1" spans="6:6">
      <c r="F40045" s="2423"/>
    </row>
    <row r="40046" s="101" customFormat="1" spans="6:6">
      <c r="F40046" s="2423"/>
    </row>
    <row r="40047" s="101" customFormat="1" spans="6:6">
      <c r="F40047" s="2423"/>
    </row>
    <row r="40048" s="101" customFormat="1" spans="6:6">
      <c r="F40048" s="2423"/>
    </row>
    <row r="40049" s="101" customFormat="1" spans="6:6">
      <c r="F40049" s="2423"/>
    </row>
    <row r="40050" s="101" customFormat="1" spans="6:6">
      <c r="F40050" s="2423"/>
    </row>
    <row r="40051" s="101" customFormat="1" spans="6:6">
      <c r="F40051" s="2423"/>
    </row>
    <row r="40052" s="101" customFormat="1" spans="6:6">
      <c r="F40052" s="2423"/>
    </row>
    <row r="40053" s="101" customFormat="1" spans="6:6">
      <c r="F40053" s="2423"/>
    </row>
    <row r="40054" s="101" customFormat="1" spans="6:6">
      <c r="F40054" s="2423"/>
    </row>
    <row r="40055" s="101" customFormat="1" spans="6:6">
      <c r="F40055" s="2423"/>
    </row>
    <row r="40056" s="101" customFormat="1" spans="6:6">
      <c r="F40056" s="2423"/>
    </row>
    <row r="40057" s="101" customFormat="1" spans="6:6">
      <c r="F40057" s="2423"/>
    </row>
    <row r="40058" s="101" customFormat="1" spans="6:6">
      <c r="F40058" s="2423"/>
    </row>
    <row r="40059" s="101" customFormat="1" spans="6:6">
      <c r="F40059" s="2423"/>
    </row>
    <row r="40060" s="101" customFormat="1" spans="6:6">
      <c r="F40060" s="2423"/>
    </row>
    <row r="40061" s="101" customFormat="1" spans="6:6">
      <c r="F40061" s="2423"/>
    </row>
    <row r="40062" s="101" customFormat="1" spans="6:6">
      <c r="F40062" s="2423"/>
    </row>
    <row r="40063" s="101" customFormat="1" spans="6:6">
      <c r="F40063" s="2423"/>
    </row>
    <row r="40064" s="101" customFormat="1" spans="6:6">
      <c r="F40064" s="2423"/>
    </row>
    <row r="40065" s="101" customFormat="1" spans="6:6">
      <c r="F40065" s="2423"/>
    </row>
    <row r="40066" s="101" customFormat="1" spans="6:6">
      <c r="F40066" s="2423"/>
    </row>
    <row r="40067" s="101" customFormat="1" spans="6:6">
      <c r="F40067" s="2423"/>
    </row>
    <row r="40068" s="101" customFormat="1" spans="6:6">
      <c r="F40068" s="2423"/>
    </row>
    <row r="40069" s="101" customFormat="1" spans="6:6">
      <c r="F40069" s="2423"/>
    </row>
    <row r="40070" s="101" customFormat="1" spans="6:6">
      <c r="F40070" s="2423"/>
    </row>
    <row r="40071" s="101" customFormat="1" spans="6:6">
      <c r="F40071" s="2423"/>
    </row>
    <row r="40072" s="101" customFormat="1" spans="6:6">
      <c r="F40072" s="2423"/>
    </row>
    <row r="40073" s="101" customFormat="1" spans="6:6">
      <c r="F40073" s="2423"/>
    </row>
    <row r="40074" s="101" customFormat="1" spans="6:6">
      <c r="F40074" s="2423"/>
    </row>
    <row r="40075" s="101" customFormat="1" spans="6:6">
      <c r="F40075" s="2423"/>
    </row>
    <row r="40076" s="101" customFormat="1" spans="6:6">
      <c r="F40076" s="2423"/>
    </row>
    <row r="40077" s="101" customFormat="1" spans="6:6">
      <c r="F40077" s="2423"/>
    </row>
    <row r="40078" s="101" customFormat="1" spans="6:6">
      <c r="F40078" s="2423"/>
    </row>
    <row r="40079" s="101" customFormat="1" spans="6:6">
      <c r="F40079" s="2423"/>
    </row>
    <row r="40080" s="101" customFormat="1" spans="6:6">
      <c r="F40080" s="2423"/>
    </row>
    <row r="40081" s="101" customFormat="1" spans="6:6">
      <c r="F40081" s="2423"/>
    </row>
    <row r="40082" s="101" customFormat="1" spans="6:6">
      <c r="F40082" s="2423"/>
    </row>
    <row r="40083" s="101" customFormat="1" spans="6:6">
      <c r="F40083" s="2423"/>
    </row>
    <row r="40084" s="101" customFormat="1" spans="6:6">
      <c r="F40084" s="2423"/>
    </row>
    <row r="40085" s="101" customFormat="1" spans="6:6">
      <c r="F40085" s="2423"/>
    </row>
    <row r="40086" s="101" customFormat="1" spans="6:6">
      <c r="F40086" s="2423"/>
    </row>
    <row r="40087" s="101" customFormat="1" spans="6:6">
      <c r="F40087" s="2423"/>
    </row>
    <row r="40088" s="101" customFormat="1" spans="6:6">
      <c r="F40088" s="2423"/>
    </row>
    <row r="40089" s="101" customFormat="1" spans="6:6">
      <c r="F40089" s="2423"/>
    </row>
    <row r="40090" s="101" customFormat="1" spans="6:6">
      <c r="F40090" s="2423"/>
    </row>
    <row r="40091" s="101" customFormat="1" spans="6:6">
      <c r="F40091" s="2423"/>
    </row>
    <row r="40092" s="101" customFormat="1" spans="6:6">
      <c r="F40092" s="2423"/>
    </row>
    <row r="40093" s="101" customFormat="1" spans="6:6">
      <c r="F40093" s="2423"/>
    </row>
    <row r="40094" s="101" customFormat="1" spans="6:6">
      <c r="F40094" s="2423"/>
    </row>
    <row r="40095" s="101" customFormat="1" spans="6:6">
      <c r="F40095" s="2423"/>
    </row>
    <row r="40096" s="101" customFormat="1" spans="6:6">
      <c r="F40096" s="2423"/>
    </row>
    <row r="40097" s="101" customFormat="1" spans="6:6">
      <c r="F40097" s="2423"/>
    </row>
    <row r="40098" s="101" customFormat="1" spans="6:6">
      <c r="F40098" s="2423"/>
    </row>
    <row r="40099" s="101" customFormat="1" spans="6:6">
      <c r="F40099" s="2423"/>
    </row>
    <row r="40100" s="101" customFormat="1" spans="6:6">
      <c r="F40100" s="2423"/>
    </row>
    <row r="40101" s="101" customFormat="1" spans="6:6">
      <c r="F40101" s="2423"/>
    </row>
    <row r="40102" s="101" customFormat="1" spans="6:6">
      <c r="F40102" s="2423"/>
    </row>
    <row r="40103" s="101" customFormat="1" spans="6:6">
      <c r="F40103" s="2423"/>
    </row>
    <row r="40104" s="101" customFormat="1" spans="6:6">
      <c r="F40104" s="2423"/>
    </row>
    <row r="40105" s="101" customFormat="1" spans="6:6">
      <c r="F40105" s="2423"/>
    </row>
    <row r="40106" s="101" customFormat="1" spans="6:6">
      <c r="F40106" s="2423"/>
    </row>
    <row r="40107" s="101" customFormat="1" spans="6:6">
      <c r="F40107" s="2423"/>
    </row>
    <row r="40108" s="101" customFormat="1" spans="6:6">
      <c r="F40108" s="2423"/>
    </row>
    <row r="40109" s="101" customFormat="1" spans="6:6">
      <c r="F40109" s="2423"/>
    </row>
    <row r="40110" s="101" customFormat="1" spans="6:6">
      <c r="F40110" s="2423"/>
    </row>
    <row r="40111" s="101" customFormat="1" spans="6:6">
      <c r="F40111" s="2423"/>
    </row>
    <row r="40112" s="101" customFormat="1" spans="6:6">
      <c r="F40112" s="2423"/>
    </row>
    <row r="40113" s="101" customFormat="1" spans="6:6">
      <c r="F40113" s="2423"/>
    </row>
    <row r="40114" s="101" customFormat="1" spans="6:6">
      <c r="F40114" s="2423"/>
    </row>
    <row r="40115" s="101" customFormat="1" spans="6:6">
      <c r="F40115" s="2423"/>
    </row>
    <row r="40116" s="101" customFormat="1" spans="6:6">
      <c r="F40116" s="2423"/>
    </row>
    <row r="40117" s="101" customFormat="1" spans="6:6">
      <c r="F40117" s="2423"/>
    </row>
    <row r="40118" s="101" customFormat="1" spans="6:6">
      <c r="F40118" s="2423"/>
    </row>
    <row r="40119" s="101" customFormat="1" spans="6:6">
      <c r="F40119" s="2423"/>
    </row>
    <row r="40120" s="101" customFormat="1" spans="6:6">
      <c r="F40120" s="2423"/>
    </row>
    <row r="40121" s="101" customFormat="1" spans="6:6">
      <c r="F40121" s="2423"/>
    </row>
    <row r="40122" s="101" customFormat="1" spans="6:6">
      <c r="F40122" s="2423"/>
    </row>
    <row r="40123" s="101" customFormat="1" spans="6:6">
      <c r="F40123" s="2423"/>
    </row>
    <row r="40124" s="101" customFormat="1" spans="6:6">
      <c r="F40124" s="2423"/>
    </row>
    <row r="40125" s="101" customFormat="1" spans="6:6">
      <c r="F40125" s="2423"/>
    </row>
    <row r="40126" s="101" customFormat="1" spans="6:6">
      <c r="F40126" s="2423"/>
    </row>
    <row r="40127" s="101" customFormat="1" spans="6:6">
      <c r="F40127" s="2423"/>
    </row>
    <row r="40128" s="101" customFormat="1" spans="6:6">
      <c r="F40128" s="2423"/>
    </row>
    <row r="40129" s="101" customFormat="1" spans="6:6">
      <c r="F40129" s="2423"/>
    </row>
    <row r="40130" s="101" customFormat="1" spans="6:6">
      <c r="F40130" s="2423"/>
    </row>
    <row r="40131" s="101" customFormat="1" spans="6:6">
      <c r="F40131" s="2423"/>
    </row>
    <row r="40132" s="101" customFormat="1" spans="6:6">
      <c r="F40132" s="2423"/>
    </row>
    <row r="40133" s="101" customFormat="1" spans="6:6">
      <c r="F40133" s="2423"/>
    </row>
    <row r="40134" s="101" customFormat="1" spans="6:6">
      <c r="F40134" s="2423"/>
    </row>
    <row r="40135" s="101" customFormat="1" spans="6:6">
      <c r="F40135" s="2423"/>
    </row>
    <row r="40136" s="101" customFormat="1" spans="6:6">
      <c r="F40136" s="2423"/>
    </row>
    <row r="40137" s="101" customFormat="1" spans="6:6">
      <c r="F40137" s="2423"/>
    </row>
    <row r="40138" s="101" customFormat="1" spans="6:6">
      <c r="F40138" s="2423"/>
    </row>
    <row r="40139" s="101" customFormat="1" spans="6:6">
      <c r="F40139" s="2423"/>
    </row>
    <row r="40140" s="101" customFormat="1" spans="6:6">
      <c r="F40140" s="2423"/>
    </row>
    <row r="40141" s="101" customFormat="1" spans="6:6">
      <c r="F40141" s="2423"/>
    </row>
    <row r="40142" s="101" customFormat="1" spans="6:6">
      <c r="F40142" s="2423"/>
    </row>
    <row r="40143" s="101" customFormat="1" spans="6:6">
      <c r="F40143" s="2423"/>
    </row>
    <row r="40144" s="101" customFormat="1" spans="6:6">
      <c r="F40144" s="2423"/>
    </row>
    <row r="40145" s="101" customFormat="1" spans="6:6">
      <c r="F40145" s="2423"/>
    </row>
    <row r="40146" s="101" customFormat="1" spans="6:6">
      <c r="F40146" s="2423"/>
    </row>
    <row r="40147" s="101" customFormat="1" spans="6:6">
      <c r="F40147" s="2423"/>
    </row>
    <row r="40148" s="101" customFormat="1" spans="6:6">
      <c r="F40148" s="2423"/>
    </row>
    <row r="40149" s="101" customFormat="1" spans="6:6">
      <c r="F40149" s="2423"/>
    </row>
    <row r="40150" s="101" customFormat="1" spans="6:6">
      <c r="F40150" s="2423"/>
    </row>
    <row r="40151" s="101" customFormat="1" spans="6:6">
      <c r="F40151" s="2423"/>
    </row>
    <row r="40152" s="101" customFormat="1" spans="6:6">
      <c r="F40152" s="2423"/>
    </row>
    <row r="40153" s="101" customFormat="1" spans="6:6">
      <c r="F40153" s="2423"/>
    </row>
    <row r="40154" s="101" customFormat="1" spans="6:6">
      <c r="F40154" s="2423"/>
    </row>
    <row r="40155" s="101" customFormat="1" spans="6:6">
      <c r="F40155" s="2423"/>
    </row>
    <row r="40156" s="101" customFormat="1" spans="6:6">
      <c r="F40156" s="2423"/>
    </row>
    <row r="40157" s="101" customFormat="1" spans="6:6">
      <c r="F40157" s="2423"/>
    </row>
    <row r="40158" s="101" customFormat="1" spans="6:6">
      <c r="F40158" s="2423"/>
    </row>
    <row r="40159" s="101" customFormat="1" spans="6:6">
      <c r="F40159" s="2423"/>
    </row>
    <row r="40160" s="101" customFormat="1" spans="6:6">
      <c r="F40160" s="2423"/>
    </row>
    <row r="40161" s="101" customFormat="1" spans="6:6">
      <c r="F40161" s="2423"/>
    </row>
    <row r="40162" s="101" customFormat="1" spans="6:6">
      <c r="F40162" s="2423"/>
    </row>
    <row r="40163" s="101" customFormat="1" spans="6:6">
      <c r="F40163" s="2423"/>
    </row>
    <row r="40164" s="101" customFormat="1" spans="6:6">
      <c r="F40164" s="2423"/>
    </row>
    <row r="40165" s="101" customFormat="1" spans="6:6">
      <c r="F40165" s="2423"/>
    </row>
    <row r="40166" s="101" customFormat="1" spans="6:6">
      <c r="F40166" s="2423"/>
    </row>
    <row r="40167" s="101" customFormat="1" spans="6:6">
      <c r="F40167" s="2423"/>
    </row>
    <row r="40168" s="101" customFormat="1" spans="6:6">
      <c r="F40168" s="2423"/>
    </row>
    <row r="40169" s="101" customFormat="1" spans="6:6">
      <c r="F40169" s="2423"/>
    </row>
    <row r="40170" s="101" customFormat="1" spans="6:6">
      <c r="F40170" s="2423"/>
    </row>
    <row r="40171" s="101" customFormat="1" spans="6:6">
      <c r="F40171" s="2423"/>
    </row>
    <row r="40172" s="101" customFormat="1" spans="6:6">
      <c r="F40172" s="2423"/>
    </row>
    <row r="40173" s="101" customFormat="1" spans="6:6">
      <c r="F40173" s="2423"/>
    </row>
    <row r="40174" s="101" customFormat="1" spans="6:6">
      <c r="F40174" s="2423"/>
    </row>
    <row r="40175" s="101" customFormat="1" spans="6:6">
      <c r="F40175" s="2423"/>
    </row>
    <row r="40176" s="101" customFormat="1" spans="6:6">
      <c r="F40176" s="2423"/>
    </row>
    <row r="40177" s="101" customFormat="1" spans="6:6">
      <c r="F40177" s="2423"/>
    </row>
    <row r="40178" s="101" customFormat="1" spans="6:6">
      <c r="F40178" s="2423"/>
    </row>
    <row r="40179" s="101" customFormat="1" spans="6:6">
      <c r="F40179" s="2423"/>
    </row>
    <row r="40180" s="101" customFormat="1" spans="6:6">
      <c r="F40180" s="2423"/>
    </row>
    <row r="40181" s="101" customFormat="1" spans="6:6">
      <c r="F40181" s="2423"/>
    </row>
    <row r="40182" s="101" customFormat="1" spans="6:6">
      <c r="F40182" s="2423"/>
    </row>
    <row r="40183" s="101" customFormat="1" spans="6:6">
      <c r="F40183" s="2423"/>
    </row>
    <row r="40184" s="101" customFormat="1" spans="6:6">
      <c r="F40184" s="2423"/>
    </row>
    <row r="40185" s="101" customFormat="1" spans="6:6">
      <c r="F40185" s="2423"/>
    </row>
    <row r="40186" s="101" customFormat="1" spans="6:6">
      <c r="F40186" s="2423"/>
    </row>
    <row r="40187" s="101" customFormat="1" spans="6:6">
      <c r="F40187" s="2423"/>
    </row>
    <row r="40188" s="101" customFormat="1" spans="6:6">
      <c r="F40188" s="2423"/>
    </row>
    <row r="40189" s="101" customFormat="1" spans="6:6">
      <c r="F40189" s="2423"/>
    </row>
    <row r="40190" s="101" customFormat="1" spans="6:6">
      <c r="F40190" s="2423"/>
    </row>
    <row r="40191" s="101" customFormat="1" spans="6:6">
      <c r="F40191" s="2423"/>
    </row>
    <row r="40192" s="101" customFormat="1" spans="6:6">
      <c r="F40192" s="2423"/>
    </row>
    <row r="40193" s="101" customFormat="1" spans="6:6">
      <c r="F40193" s="2423"/>
    </row>
    <row r="40194" s="101" customFormat="1" spans="6:6">
      <c r="F40194" s="2423"/>
    </row>
    <row r="40195" s="101" customFormat="1" spans="6:6">
      <c r="F40195" s="2423"/>
    </row>
    <row r="40196" s="101" customFormat="1" spans="6:6">
      <c r="F40196" s="2423"/>
    </row>
    <row r="40197" s="101" customFormat="1" spans="6:6">
      <c r="F40197" s="2423"/>
    </row>
    <row r="40198" s="101" customFormat="1" spans="6:6">
      <c r="F40198" s="2423"/>
    </row>
    <row r="40199" s="101" customFormat="1" spans="6:6">
      <c r="F40199" s="2423"/>
    </row>
    <row r="40200" s="101" customFormat="1" spans="6:6">
      <c r="F40200" s="2423"/>
    </row>
    <row r="40201" s="101" customFormat="1" spans="6:6">
      <c r="F40201" s="2423"/>
    </row>
    <row r="40202" s="101" customFormat="1" spans="6:6">
      <c r="F40202" s="2423"/>
    </row>
    <row r="40203" s="101" customFormat="1" spans="6:6">
      <c r="F40203" s="2423"/>
    </row>
    <row r="40204" s="101" customFormat="1" spans="6:6">
      <c r="F40204" s="2423"/>
    </row>
    <row r="40205" s="101" customFormat="1" spans="6:6">
      <c r="F40205" s="2423"/>
    </row>
    <row r="40206" s="101" customFormat="1" spans="6:6">
      <c r="F40206" s="2423"/>
    </row>
    <row r="40207" s="101" customFormat="1" spans="6:6">
      <c r="F40207" s="2423"/>
    </row>
    <row r="40208" s="101" customFormat="1" spans="6:6">
      <c r="F40208" s="2423"/>
    </row>
    <row r="40209" s="101" customFormat="1" spans="6:6">
      <c r="F40209" s="2423"/>
    </row>
    <row r="40210" s="101" customFormat="1" spans="6:6">
      <c r="F40210" s="2423"/>
    </row>
    <row r="40211" s="101" customFormat="1" spans="6:6">
      <c r="F40211" s="2423"/>
    </row>
    <row r="40212" s="101" customFormat="1" spans="6:6">
      <c r="F40212" s="2423"/>
    </row>
    <row r="40213" s="101" customFormat="1" spans="6:6">
      <c r="F40213" s="2423"/>
    </row>
    <row r="40214" s="101" customFormat="1" spans="6:6">
      <c r="F40214" s="2423"/>
    </row>
    <row r="40215" s="101" customFormat="1" spans="6:6">
      <c r="F40215" s="2423"/>
    </row>
    <row r="40216" s="101" customFormat="1" spans="6:6">
      <c r="F40216" s="2423"/>
    </row>
    <row r="40217" s="101" customFormat="1" spans="6:6">
      <c r="F40217" s="2423"/>
    </row>
    <row r="40218" s="101" customFormat="1" spans="6:6">
      <c r="F40218" s="2423"/>
    </row>
    <row r="40219" s="101" customFormat="1" spans="6:6">
      <c r="F40219" s="2423"/>
    </row>
    <row r="40220" s="101" customFormat="1" spans="6:6">
      <c r="F40220" s="2423"/>
    </row>
    <row r="40221" s="101" customFormat="1" spans="6:6">
      <c r="F40221" s="2423"/>
    </row>
    <row r="40222" s="101" customFormat="1" spans="6:6">
      <c r="F40222" s="2423"/>
    </row>
    <row r="40223" s="101" customFormat="1" spans="6:6">
      <c r="F40223" s="2423"/>
    </row>
    <row r="40224" s="101" customFormat="1" spans="6:6">
      <c r="F40224" s="2423"/>
    </row>
    <row r="40225" s="101" customFormat="1" spans="6:6">
      <c r="F40225" s="2423"/>
    </row>
    <row r="40226" s="101" customFormat="1" spans="6:6">
      <c r="F40226" s="2423"/>
    </row>
    <row r="40227" s="101" customFormat="1" spans="6:6">
      <c r="F40227" s="2423"/>
    </row>
    <row r="40228" s="101" customFormat="1" spans="6:6">
      <c r="F40228" s="2423"/>
    </row>
    <row r="40229" s="101" customFormat="1" spans="6:6">
      <c r="F40229" s="2423"/>
    </row>
    <row r="40230" s="101" customFormat="1" spans="6:6">
      <c r="F40230" s="2423"/>
    </row>
    <row r="40231" s="101" customFormat="1" spans="6:6">
      <c r="F40231" s="2423"/>
    </row>
    <row r="40232" s="101" customFormat="1" spans="6:6">
      <c r="F40232" s="2423"/>
    </row>
    <row r="40233" s="101" customFormat="1" spans="6:6">
      <c r="F40233" s="2423"/>
    </row>
    <row r="40234" s="101" customFormat="1" spans="6:6">
      <c r="F40234" s="2423"/>
    </row>
    <row r="40235" s="101" customFormat="1" spans="6:6">
      <c r="F40235" s="2423"/>
    </row>
    <row r="40236" s="101" customFormat="1" spans="6:6">
      <c r="F40236" s="2423"/>
    </row>
    <row r="40237" s="101" customFormat="1" spans="6:6">
      <c r="F40237" s="2423"/>
    </row>
    <row r="40238" s="101" customFormat="1" spans="6:6">
      <c r="F40238" s="2423"/>
    </row>
    <row r="40239" s="101" customFormat="1" spans="6:6">
      <c r="F40239" s="2423"/>
    </row>
    <row r="40240" s="101" customFormat="1" spans="6:6">
      <c r="F40240" s="2423"/>
    </row>
    <row r="40241" s="101" customFormat="1" spans="6:6">
      <c r="F40241" s="2423"/>
    </row>
    <row r="40242" s="101" customFormat="1" spans="6:6">
      <c r="F40242" s="2423"/>
    </row>
    <row r="40243" s="101" customFormat="1" spans="6:6">
      <c r="F40243" s="2423"/>
    </row>
    <row r="40244" s="101" customFormat="1" spans="6:6">
      <c r="F40244" s="2423"/>
    </row>
    <row r="40245" s="101" customFormat="1" spans="6:6">
      <c r="F40245" s="2423"/>
    </row>
    <row r="40246" s="101" customFormat="1" spans="6:6">
      <c r="F40246" s="2423"/>
    </row>
    <row r="40247" s="101" customFormat="1" spans="6:6">
      <c r="F40247" s="2423"/>
    </row>
    <row r="40248" s="101" customFormat="1" spans="6:6">
      <c r="F40248" s="2423"/>
    </row>
    <row r="40249" s="101" customFormat="1" spans="6:6">
      <c r="F40249" s="2423"/>
    </row>
    <row r="40250" s="101" customFormat="1" spans="6:6">
      <c r="F40250" s="2423"/>
    </row>
    <row r="40251" s="101" customFormat="1" spans="6:6">
      <c r="F40251" s="2423"/>
    </row>
    <row r="40252" s="101" customFormat="1" spans="6:6">
      <c r="F40252" s="2423"/>
    </row>
    <row r="40253" s="101" customFormat="1" spans="6:6">
      <c r="F40253" s="2423"/>
    </row>
    <row r="40254" s="101" customFormat="1" spans="6:6">
      <c r="F40254" s="2423"/>
    </row>
    <row r="40255" s="101" customFormat="1" spans="6:6">
      <c r="F40255" s="2423"/>
    </row>
    <row r="40256" s="101" customFormat="1" spans="6:6">
      <c r="F40256" s="2423"/>
    </row>
    <row r="40257" s="101" customFormat="1" spans="6:6">
      <c r="F40257" s="2423"/>
    </row>
    <row r="40258" s="101" customFormat="1" spans="6:6">
      <c r="F40258" s="2423"/>
    </row>
    <row r="40259" s="101" customFormat="1" spans="6:6">
      <c r="F40259" s="2423"/>
    </row>
    <row r="40260" s="101" customFormat="1" spans="6:6">
      <c r="F40260" s="2423"/>
    </row>
    <row r="40261" s="101" customFormat="1" spans="6:6">
      <c r="F40261" s="2423"/>
    </row>
    <row r="40262" s="101" customFormat="1" spans="6:6">
      <c r="F40262" s="2423"/>
    </row>
    <row r="40263" s="101" customFormat="1" spans="6:6">
      <c r="F40263" s="2423"/>
    </row>
    <row r="40264" s="101" customFormat="1" spans="6:6">
      <c r="F40264" s="2423"/>
    </row>
    <row r="40265" s="101" customFormat="1" spans="6:6">
      <c r="F40265" s="2423"/>
    </row>
    <row r="40266" s="101" customFormat="1" spans="6:6">
      <c r="F40266" s="2423"/>
    </row>
    <row r="40267" s="101" customFormat="1" spans="6:6">
      <c r="F40267" s="2423"/>
    </row>
    <row r="40268" s="101" customFormat="1" spans="6:6">
      <c r="F40268" s="2423"/>
    </row>
    <row r="40269" s="101" customFormat="1" spans="6:6">
      <c r="F40269" s="2423"/>
    </row>
    <row r="40270" s="101" customFormat="1" spans="6:6">
      <c r="F40270" s="2423"/>
    </row>
    <row r="40271" s="101" customFormat="1" spans="6:6">
      <c r="F40271" s="2423"/>
    </row>
    <row r="40272" s="101" customFormat="1" spans="6:6">
      <c r="F40272" s="2423"/>
    </row>
    <row r="40273" s="101" customFormat="1" spans="6:6">
      <c r="F40273" s="2423"/>
    </row>
    <row r="40274" s="101" customFormat="1" spans="6:6">
      <c r="F40274" s="2423"/>
    </row>
    <row r="40275" s="101" customFormat="1" spans="6:6">
      <c r="F40275" s="2423"/>
    </row>
    <row r="40276" s="101" customFormat="1" spans="6:6">
      <c r="F40276" s="2423"/>
    </row>
    <row r="40277" s="101" customFormat="1" spans="6:6">
      <c r="F40277" s="2423"/>
    </row>
    <row r="40278" s="101" customFormat="1" spans="6:6">
      <c r="F40278" s="2423"/>
    </row>
    <row r="40279" s="101" customFormat="1" spans="6:6">
      <c r="F40279" s="2423"/>
    </row>
    <row r="40280" s="101" customFormat="1" spans="6:6">
      <c r="F40280" s="2423"/>
    </row>
    <row r="40281" s="101" customFormat="1" spans="6:6">
      <c r="F40281" s="2423"/>
    </row>
    <row r="40282" s="101" customFormat="1" spans="6:6">
      <c r="F40282" s="2423"/>
    </row>
    <row r="40283" s="101" customFormat="1" spans="6:6">
      <c r="F40283" s="2423"/>
    </row>
    <row r="40284" s="101" customFormat="1" spans="6:6">
      <c r="F40284" s="2423"/>
    </row>
    <row r="40285" s="101" customFormat="1" spans="6:6">
      <c r="F40285" s="2423"/>
    </row>
    <row r="40286" s="101" customFormat="1" spans="6:6">
      <c r="F40286" s="2423"/>
    </row>
    <row r="40287" s="101" customFormat="1" spans="6:6">
      <c r="F40287" s="2423"/>
    </row>
    <row r="40288" s="101" customFormat="1" spans="6:6">
      <c r="F40288" s="2423"/>
    </row>
    <row r="40289" s="101" customFormat="1" spans="6:6">
      <c r="F40289" s="2423"/>
    </row>
    <row r="40290" s="101" customFormat="1" spans="6:6">
      <c r="F40290" s="2423"/>
    </row>
    <row r="40291" s="101" customFormat="1" spans="6:6">
      <c r="F40291" s="2423"/>
    </row>
    <row r="40292" s="101" customFormat="1" spans="6:6">
      <c r="F40292" s="2423"/>
    </row>
    <row r="40293" s="101" customFormat="1" spans="6:6">
      <c r="F40293" s="2423"/>
    </row>
    <row r="40294" s="101" customFormat="1" spans="6:6">
      <c r="F40294" s="2423"/>
    </row>
    <row r="40295" s="101" customFormat="1" spans="6:6">
      <c r="F40295" s="2423"/>
    </row>
    <row r="40296" s="101" customFormat="1" spans="6:6">
      <c r="F40296" s="2423"/>
    </row>
    <row r="40297" s="101" customFormat="1" spans="6:6">
      <c r="F40297" s="2423"/>
    </row>
    <row r="40298" s="101" customFormat="1" spans="6:6">
      <c r="F40298" s="2423"/>
    </row>
    <row r="40299" s="101" customFormat="1" spans="6:6">
      <c r="F40299" s="2423"/>
    </row>
    <row r="40300" s="101" customFormat="1" spans="6:6">
      <c r="F40300" s="2423"/>
    </row>
    <row r="40301" s="101" customFormat="1" spans="6:6">
      <c r="F40301" s="2423"/>
    </row>
    <row r="40302" s="101" customFormat="1" spans="6:6">
      <c r="F40302" s="2423"/>
    </row>
    <row r="40303" s="101" customFormat="1" spans="6:6">
      <c r="F40303" s="2423"/>
    </row>
    <row r="40304" s="101" customFormat="1" spans="6:6">
      <c r="F40304" s="2423"/>
    </row>
    <row r="40305" s="101" customFormat="1" spans="6:6">
      <c r="F40305" s="2423"/>
    </row>
    <row r="40306" s="101" customFormat="1" spans="6:6">
      <c r="F40306" s="2423"/>
    </row>
    <row r="40307" s="101" customFormat="1" spans="6:6">
      <c r="F40307" s="2423"/>
    </row>
    <row r="40308" s="101" customFormat="1" spans="6:6">
      <c r="F40308" s="2423"/>
    </row>
    <row r="40309" s="101" customFormat="1" spans="6:6">
      <c r="F40309" s="2423"/>
    </row>
    <row r="40310" s="101" customFormat="1" spans="6:6">
      <c r="F40310" s="2423"/>
    </row>
    <row r="40311" s="101" customFormat="1" spans="6:6">
      <c r="F40311" s="2423"/>
    </row>
    <row r="40312" s="101" customFormat="1" spans="6:6">
      <c r="F40312" s="2423"/>
    </row>
    <row r="40313" s="101" customFormat="1" spans="6:6">
      <c r="F40313" s="2423"/>
    </row>
    <row r="40314" s="101" customFormat="1" spans="6:6">
      <c r="F40314" s="2423"/>
    </row>
    <row r="40315" s="101" customFormat="1" spans="6:6">
      <c r="F40315" s="2423"/>
    </row>
    <row r="40316" s="101" customFormat="1" spans="6:6">
      <c r="F40316" s="2423"/>
    </row>
    <row r="40317" s="101" customFormat="1" spans="6:6">
      <c r="F40317" s="2423"/>
    </row>
    <row r="40318" s="101" customFormat="1" spans="6:6">
      <c r="F40318" s="2423"/>
    </row>
    <row r="40319" s="101" customFormat="1" spans="6:6">
      <c r="F40319" s="2423"/>
    </row>
    <row r="40320" s="101" customFormat="1" spans="6:6">
      <c r="F40320" s="2423"/>
    </row>
    <row r="40321" s="101" customFormat="1" spans="6:6">
      <c r="F40321" s="2423"/>
    </row>
    <row r="40322" s="101" customFormat="1" spans="6:6">
      <c r="F40322" s="2423"/>
    </row>
    <row r="40323" s="101" customFormat="1" spans="6:6">
      <c r="F40323" s="2423"/>
    </row>
    <row r="40324" s="101" customFormat="1" spans="6:6">
      <c r="F40324" s="2423"/>
    </row>
    <row r="40325" s="101" customFormat="1" spans="6:6">
      <c r="F40325" s="2423"/>
    </row>
    <row r="40326" s="101" customFormat="1" spans="6:6">
      <c r="F40326" s="2423"/>
    </row>
    <row r="40327" s="101" customFormat="1" spans="6:6">
      <c r="F40327" s="2423"/>
    </row>
    <row r="40328" s="101" customFormat="1" spans="6:6">
      <c r="F40328" s="2423"/>
    </row>
    <row r="40329" s="101" customFormat="1" spans="6:6">
      <c r="F40329" s="2423"/>
    </row>
    <row r="40330" s="101" customFormat="1" spans="6:6">
      <c r="F40330" s="2423"/>
    </row>
    <row r="40331" s="101" customFormat="1" spans="6:6">
      <c r="F40331" s="2423"/>
    </row>
    <row r="40332" s="101" customFormat="1" spans="6:6">
      <c r="F40332" s="2423"/>
    </row>
    <row r="40333" s="101" customFormat="1" spans="6:6">
      <c r="F40333" s="2423"/>
    </row>
    <row r="40334" s="101" customFormat="1" spans="6:6">
      <c r="F40334" s="2423"/>
    </row>
    <row r="40335" s="101" customFormat="1" spans="6:6">
      <c r="F40335" s="2423"/>
    </row>
    <row r="40336" s="101" customFormat="1" spans="6:6">
      <c r="F40336" s="2423"/>
    </row>
    <row r="40337" s="101" customFormat="1" spans="6:6">
      <c r="F40337" s="2423"/>
    </row>
    <row r="40338" s="101" customFormat="1" spans="6:6">
      <c r="F40338" s="2423"/>
    </row>
    <row r="40339" s="101" customFormat="1" spans="6:6">
      <c r="F40339" s="2423"/>
    </row>
    <row r="40340" s="101" customFormat="1" spans="6:6">
      <c r="F40340" s="2423"/>
    </row>
    <row r="40341" s="101" customFormat="1" spans="6:6">
      <c r="F40341" s="2423"/>
    </row>
    <row r="40342" s="101" customFormat="1" spans="6:6">
      <c r="F40342" s="2423"/>
    </row>
    <row r="40343" s="101" customFormat="1" spans="6:6">
      <c r="F40343" s="2423"/>
    </row>
    <row r="40344" s="101" customFormat="1" spans="6:6">
      <c r="F40344" s="2423"/>
    </row>
    <row r="40345" s="101" customFormat="1" spans="6:6">
      <c r="F40345" s="2423"/>
    </row>
    <row r="40346" s="101" customFormat="1" spans="6:6">
      <c r="F40346" s="2423"/>
    </row>
    <row r="40347" s="101" customFormat="1" spans="6:6">
      <c r="F40347" s="2423"/>
    </row>
    <row r="40348" s="101" customFormat="1" spans="6:6">
      <c r="F40348" s="2423"/>
    </row>
    <row r="40349" s="101" customFormat="1" spans="6:6">
      <c r="F40349" s="2423"/>
    </row>
    <row r="40350" s="101" customFormat="1" spans="6:6">
      <c r="F40350" s="2423"/>
    </row>
    <row r="40351" s="101" customFormat="1" spans="6:6">
      <c r="F40351" s="2423"/>
    </row>
    <row r="40352" s="101" customFormat="1" spans="6:6">
      <c r="F40352" s="2423"/>
    </row>
    <row r="40353" s="101" customFormat="1" spans="6:6">
      <c r="F40353" s="2423"/>
    </row>
    <row r="40354" s="101" customFormat="1" spans="6:6">
      <c r="F40354" s="2423"/>
    </row>
    <row r="40355" s="101" customFormat="1" spans="6:6">
      <c r="F40355" s="2423"/>
    </row>
    <row r="40356" s="101" customFormat="1" spans="6:6">
      <c r="F40356" s="2423"/>
    </row>
    <row r="40357" s="101" customFormat="1" spans="6:6">
      <c r="F40357" s="2423"/>
    </row>
    <row r="40358" s="101" customFormat="1" spans="6:6">
      <c r="F40358" s="2423"/>
    </row>
    <row r="40359" s="101" customFormat="1" spans="6:6">
      <c r="F40359" s="2423"/>
    </row>
    <row r="40360" s="101" customFormat="1" spans="6:6">
      <c r="F40360" s="2423"/>
    </row>
    <row r="40361" s="101" customFormat="1" spans="6:6">
      <c r="F40361" s="2423"/>
    </row>
    <row r="40362" s="101" customFormat="1" spans="6:6">
      <c r="F40362" s="2423"/>
    </row>
    <row r="40363" s="101" customFormat="1" spans="6:6">
      <c r="F40363" s="2423"/>
    </row>
    <row r="40364" s="101" customFormat="1" spans="6:6">
      <c r="F40364" s="2423"/>
    </row>
    <row r="40365" s="101" customFormat="1" spans="6:6">
      <c r="F40365" s="2423"/>
    </row>
    <row r="40366" s="101" customFormat="1" spans="6:6">
      <c r="F40366" s="2423"/>
    </row>
    <row r="40367" s="101" customFormat="1" spans="6:6">
      <c r="F40367" s="2423"/>
    </row>
    <row r="40368" s="101" customFormat="1" spans="6:6">
      <c r="F40368" s="2423"/>
    </row>
    <row r="40369" s="101" customFormat="1" spans="6:6">
      <c r="F40369" s="2423"/>
    </row>
    <row r="40370" s="101" customFormat="1" spans="6:6">
      <c r="F40370" s="2423"/>
    </row>
    <row r="40371" s="101" customFormat="1" spans="6:6">
      <c r="F40371" s="2423"/>
    </row>
    <row r="40372" s="101" customFormat="1" spans="6:6">
      <c r="F40372" s="2423"/>
    </row>
    <row r="40373" s="101" customFormat="1" spans="6:6">
      <c r="F40373" s="2423"/>
    </row>
    <row r="40374" s="101" customFormat="1" spans="6:6">
      <c r="F40374" s="2423"/>
    </row>
    <row r="40375" s="101" customFormat="1" spans="6:6">
      <c r="F40375" s="2423"/>
    </row>
    <row r="40376" s="101" customFormat="1" spans="6:6">
      <c r="F40376" s="2423"/>
    </row>
    <row r="40377" s="101" customFormat="1" spans="6:6">
      <c r="F40377" s="2423"/>
    </row>
    <row r="40378" s="101" customFormat="1" spans="6:6">
      <c r="F40378" s="2423"/>
    </row>
    <row r="40379" s="101" customFormat="1" spans="6:6">
      <c r="F40379" s="2423"/>
    </row>
    <row r="40380" s="101" customFormat="1" spans="6:6">
      <c r="F40380" s="2423"/>
    </row>
    <row r="40381" s="101" customFormat="1" spans="6:6">
      <c r="F40381" s="2423"/>
    </row>
    <row r="40382" s="101" customFormat="1" spans="6:6">
      <c r="F40382" s="2423"/>
    </row>
    <row r="40383" s="101" customFormat="1" spans="6:6">
      <c r="F40383" s="2423"/>
    </row>
    <row r="40384" s="101" customFormat="1" spans="6:6">
      <c r="F40384" s="2423"/>
    </row>
    <row r="40385" s="101" customFormat="1" spans="6:6">
      <c r="F40385" s="2423"/>
    </row>
    <row r="40386" s="101" customFormat="1" spans="6:6">
      <c r="F40386" s="2423"/>
    </row>
    <row r="40387" s="101" customFormat="1" spans="6:6">
      <c r="F40387" s="2423"/>
    </row>
    <row r="40388" s="101" customFormat="1" spans="6:6">
      <c r="F40388" s="2423"/>
    </row>
    <row r="40389" s="101" customFormat="1" spans="6:6">
      <c r="F40389" s="2423"/>
    </row>
    <row r="40390" s="101" customFormat="1" spans="6:6">
      <c r="F40390" s="2423"/>
    </row>
    <row r="40391" s="101" customFormat="1" spans="6:6">
      <c r="F40391" s="2423"/>
    </row>
    <row r="40392" s="101" customFormat="1" spans="6:6">
      <c r="F40392" s="2423"/>
    </row>
    <row r="40393" s="101" customFormat="1" spans="6:6">
      <c r="F40393" s="2423"/>
    </row>
    <row r="40394" s="101" customFormat="1" spans="6:6">
      <c r="F40394" s="2423"/>
    </row>
    <row r="40395" s="101" customFormat="1" spans="6:6">
      <c r="F40395" s="2423"/>
    </row>
    <row r="40396" s="101" customFormat="1" spans="6:6">
      <c r="F40396" s="2423"/>
    </row>
    <row r="40397" s="101" customFormat="1" spans="6:6">
      <c r="F40397" s="2423"/>
    </row>
    <row r="40398" s="101" customFormat="1" spans="6:6">
      <c r="F40398" s="2423"/>
    </row>
    <row r="40399" s="101" customFormat="1" spans="6:6">
      <c r="F40399" s="2423"/>
    </row>
    <row r="40400" s="101" customFormat="1" spans="6:6">
      <c r="F40400" s="2423"/>
    </row>
    <row r="40401" s="101" customFormat="1" spans="6:6">
      <c r="F40401" s="2423"/>
    </row>
    <row r="40402" s="101" customFormat="1" spans="6:6">
      <c r="F40402" s="2423"/>
    </row>
    <row r="40403" s="101" customFormat="1" spans="6:6">
      <c r="F40403" s="2423"/>
    </row>
    <row r="40404" s="101" customFormat="1" spans="6:6">
      <c r="F40404" s="2423"/>
    </row>
    <row r="40405" s="101" customFormat="1" spans="6:6">
      <c r="F40405" s="2423"/>
    </row>
    <row r="40406" s="101" customFormat="1" spans="6:6">
      <c r="F40406" s="2423"/>
    </row>
    <row r="40407" s="101" customFormat="1" spans="6:6">
      <c r="F40407" s="2423"/>
    </row>
    <row r="40408" s="101" customFormat="1" spans="6:6">
      <c r="F40408" s="2423"/>
    </row>
    <row r="40409" s="101" customFormat="1" spans="6:6">
      <c r="F40409" s="2423"/>
    </row>
    <row r="40410" s="101" customFormat="1" spans="6:6">
      <c r="F40410" s="2423"/>
    </row>
    <row r="40411" s="101" customFormat="1" spans="6:6">
      <c r="F40411" s="2423"/>
    </row>
    <row r="40412" s="101" customFormat="1" spans="6:6">
      <c r="F40412" s="2423"/>
    </row>
    <row r="40413" s="101" customFormat="1" spans="6:6">
      <c r="F40413" s="2423"/>
    </row>
    <row r="40414" s="101" customFormat="1" spans="6:6">
      <c r="F40414" s="2423"/>
    </row>
    <row r="40415" s="101" customFormat="1" spans="6:6">
      <c r="F40415" s="2423"/>
    </row>
    <row r="40416" s="101" customFormat="1" spans="6:6">
      <c r="F40416" s="2423"/>
    </row>
    <row r="40417" s="101" customFormat="1" spans="6:6">
      <c r="F40417" s="2423"/>
    </row>
    <row r="40418" s="101" customFormat="1" spans="6:6">
      <c r="F40418" s="2423"/>
    </row>
    <row r="40419" s="101" customFormat="1" spans="6:6">
      <c r="F40419" s="2423"/>
    </row>
    <row r="40420" s="101" customFormat="1" spans="6:6">
      <c r="F40420" s="2423"/>
    </row>
    <row r="40421" s="101" customFormat="1" spans="6:6">
      <c r="F40421" s="2423"/>
    </row>
    <row r="40422" s="101" customFormat="1" spans="6:6">
      <c r="F40422" s="2423"/>
    </row>
    <row r="40423" s="101" customFormat="1" spans="6:6">
      <c r="F40423" s="2423"/>
    </row>
    <row r="40424" s="101" customFormat="1" spans="6:6">
      <c r="F40424" s="2423"/>
    </row>
    <row r="40425" s="101" customFormat="1" spans="6:6">
      <c r="F40425" s="2423"/>
    </row>
    <row r="40426" s="101" customFormat="1" spans="6:6">
      <c r="F40426" s="2423"/>
    </row>
    <row r="40427" s="101" customFormat="1" spans="6:6">
      <c r="F40427" s="2423"/>
    </row>
    <row r="40428" s="101" customFormat="1" spans="6:6">
      <c r="F40428" s="2423"/>
    </row>
    <row r="40429" s="101" customFormat="1" spans="6:6">
      <c r="F40429" s="2423"/>
    </row>
    <row r="40430" s="101" customFormat="1" spans="6:6">
      <c r="F40430" s="2423"/>
    </row>
    <row r="40431" s="101" customFormat="1" spans="6:6">
      <c r="F40431" s="2423"/>
    </row>
    <row r="40432" s="101" customFormat="1" spans="6:6">
      <c r="F40432" s="2423"/>
    </row>
    <row r="40433" s="101" customFormat="1" spans="6:6">
      <c r="F40433" s="2423"/>
    </row>
    <row r="40434" s="101" customFormat="1" spans="6:6">
      <c r="F40434" s="2423"/>
    </row>
    <row r="40435" s="101" customFormat="1" spans="6:6">
      <c r="F40435" s="2423"/>
    </row>
    <row r="40436" s="101" customFormat="1" spans="6:6">
      <c r="F40436" s="2423"/>
    </row>
    <row r="40437" s="101" customFormat="1" spans="6:6">
      <c r="F40437" s="2423"/>
    </row>
    <row r="40438" s="101" customFormat="1" spans="6:6">
      <c r="F40438" s="2423"/>
    </row>
    <row r="40439" s="101" customFormat="1" spans="6:6">
      <c r="F40439" s="2423"/>
    </row>
    <row r="40440" s="101" customFormat="1" spans="6:6">
      <c r="F40440" s="2423"/>
    </row>
    <row r="40441" s="101" customFormat="1" spans="6:6">
      <c r="F40441" s="2423"/>
    </row>
    <row r="40442" s="101" customFormat="1" spans="6:6">
      <c r="F40442" s="2423"/>
    </row>
    <row r="40443" s="101" customFormat="1" spans="6:6">
      <c r="F40443" s="2423"/>
    </row>
    <row r="40444" s="101" customFormat="1" spans="6:6">
      <c r="F40444" s="2423"/>
    </row>
    <row r="40445" s="101" customFormat="1" spans="6:6">
      <c r="F40445" s="2423"/>
    </row>
    <row r="40446" s="101" customFormat="1" spans="6:6">
      <c r="F40446" s="2423"/>
    </row>
    <row r="40447" s="101" customFormat="1" spans="6:6">
      <c r="F40447" s="2423"/>
    </row>
    <row r="40448" s="101" customFormat="1" spans="6:6">
      <c r="F40448" s="2423"/>
    </row>
    <row r="40449" s="101" customFormat="1" spans="6:6">
      <c r="F40449" s="2423"/>
    </row>
    <row r="40450" s="101" customFormat="1" spans="6:6">
      <c r="F40450" s="2423"/>
    </row>
    <row r="40451" s="101" customFormat="1" spans="6:6">
      <c r="F40451" s="2423"/>
    </row>
    <row r="40452" s="101" customFormat="1" spans="6:6">
      <c r="F40452" s="2423"/>
    </row>
    <row r="40453" s="101" customFormat="1" spans="6:6">
      <c r="F40453" s="2423"/>
    </row>
    <row r="40454" s="101" customFormat="1" spans="6:6">
      <c r="F40454" s="2423"/>
    </row>
    <row r="40455" s="101" customFormat="1" spans="6:6">
      <c r="F40455" s="2423"/>
    </row>
    <row r="40456" s="101" customFormat="1" spans="6:6">
      <c r="F40456" s="2423"/>
    </row>
    <row r="40457" s="101" customFormat="1" spans="6:6">
      <c r="F40457" s="2423"/>
    </row>
    <row r="40458" s="101" customFormat="1" spans="6:6">
      <c r="F40458" s="2423"/>
    </row>
    <row r="40459" s="101" customFormat="1" spans="6:6">
      <c r="F40459" s="2423"/>
    </row>
    <row r="40460" s="101" customFormat="1" spans="6:6">
      <c r="F40460" s="2423"/>
    </row>
    <row r="40461" s="101" customFormat="1" spans="6:6">
      <c r="F40461" s="2423"/>
    </row>
    <row r="40462" s="101" customFormat="1" spans="6:6">
      <c r="F40462" s="2423"/>
    </row>
    <row r="40463" s="101" customFormat="1" spans="6:6">
      <c r="F40463" s="2423"/>
    </row>
    <row r="40464" s="101" customFormat="1" spans="6:6">
      <c r="F40464" s="2423"/>
    </row>
    <row r="40465" s="101" customFormat="1" spans="6:6">
      <c r="F40465" s="2423"/>
    </row>
    <row r="40466" s="101" customFormat="1" spans="6:6">
      <c r="F40466" s="2423"/>
    </row>
    <row r="40467" s="101" customFormat="1" spans="6:6">
      <c r="F40467" s="2423"/>
    </row>
    <row r="40468" s="101" customFormat="1" spans="6:6">
      <c r="F40468" s="2423"/>
    </row>
    <row r="40469" s="101" customFormat="1" spans="6:6">
      <c r="F40469" s="2423"/>
    </row>
    <row r="40470" s="101" customFormat="1" spans="6:6">
      <c r="F40470" s="2423"/>
    </row>
    <row r="40471" s="101" customFormat="1" spans="6:6">
      <c r="F40471" s="2423"/>
    </row>
    <row r="40472" s="101" customFormat="1" spans="6:6">
      <c r="F40472" s="2423"/>
    </row>
    <row r="40473" s="101" customFormat="1" spans="6:6">
      <c r="F40473" s="2423"/>
    </row>
    <row r="40474" s="101" customFormat="1" spans="6:6">
      <c r="F40474" s="2423"/>
    </row>
    <row r="40475" s="101" customFormat="1" spans="6:6">
      <c r="F40475" s="2423"/>
    </row>
    <row r="40476" s="101" customFormat="1" spans="6:6">
      <c r="F40476" s="2423"/>
    </row>
    <row r="40477" s="101" customFormat="1" spans="6:6">
      <c r="F40477" s="2423"/>
    </row>
    <row r="40478" s="101" customFormat="1" spans="6:6">
      <c r="F40478" s="2423"/>
    </row>
    <row r="40479" s="101" customFormat="1" spans="6:6">
      <c r="F40479" s="2423"/>
    </row>
    <row r="40480" s="101" customFormat="1" spans="6:6">
      <c r="F40480" s="2423"/>
    </row>
    <row r="40481" s="101" customFormat="1" spans="6:6">
      <c r="F40481" s="2423"/>
    </row>
    <row r="40482" s="101" customFormat="1" spans="6:6">
      <c r="F40482" s="2423"/>
    </row>
    <row r="40483" s="101" customFormat="1" spans="6:6">
      <c r="F40483" s="2423"/>
    </row>
    <row r="40484" s="101" customFormat="1" spans="6:6">
      <c r="F40484" s="2423"/>
    </row>
    <row r="40485" s="101" customFormat="1" spans="6:6">
      <c r="F40485" s="2423"/>
    </row>
    <row r="40486" s="101" customFormat="1" spans="6:6">
      <c r="F40486" s="2423"/>
    </row>
    <row r="40487" s="101" customFormat="1" spans="6:6">
      <c r="F40487" s="2423"/>
    </row>
    <row r="40488" s="101" customFormat="1" spans="6:6">
      <c r="F40488" s="2423"/>
    </row>
    <row r="40489" s="101" customFormat="1" spans="6:6">
      <c r="F40489" s="2423"/>
    </row>
    <row r="40490" s="101" customFormat="1" spans="6:6">
      <c r="F40490" s="2423"/>
    </row>
    <row r="40491" s="101" customFormat="1" spans="6:6">
      <c r="F40491" s="2423"/>
    </row>
    <row r="40492" s="101" customFormat="1" spans="6:6">
      <c r="F40492" s="2423"/>
    </row>
    <row r="40493" s="101" customFormat="1" spans="6:6">
      <c r="F40493" s="2423"/>
    </row>
    <row r="40494" s="101" customFormat="1" spans="6:6">
      <c r="F40494" s="2423"/>
    </row>
    <row r="40495" s="101" customFormat="1" spans="6:6">
      <c r="F40495" s="2423"/>
    </row>
    <row r="40496" s="101" customFormat="1" spans="6:6">
      <c r="F40496" s="2423"/>
    </row>
    <row r="40497" s="101" customFormat="1" spans="6:6">
      <c r="F40497" s="2423"/>
    </row>
    <row r="40498" s="101" customFormat="1" spans="6:6">
      <c r="F40498" s="2423"/>
    </row>
    <row r="40499" s="101" customFormat="1" spans="6:6">
      <c r="F40499" s="2423"/>
    </row>
    <row r="40500" s="101" customFormat="1" spans="6:6">
      <c r="F40500" s="2423"/>
    </row>
    <row r="40501" s="101" customFormat="1" spans="6:6">
      <c r="F40501" s="2423"/>
    </row>
    <row r="40502" s="101" customFormat="1" spans="6:6">
      <c r="F40502" s="2423"/>
    </row>
    <row r="40503" s="101" customFormat="1" spans="6:6">
      <c r="F40503" s="2423"/>
    </row>
    <row r="40504" s="101" customFormat="1" spans="6:6">
      <c r="F40504" s="2423"/>
    </row>
    <row r="40505" s="101" customFormat="1" spans="6:6">
      <c r="F40505" s="2423"/>
    </row>
    <row r="40506" s="101" customFormat="1" spans="6:6">
      <c r="F40506" s="2423"/>
    </row>
    <row r="40507" s="101" customFormat="1" spans="6:6">
      <c r="F40507" s="2423"/>
    </row>
    <row r="40508" s="101" customFormat="1" spans="6:6">
      <c r="F40508" s="2423"/>
    </row>
    <row r="40509" s="101" customFormat="1" spans="6:6">
      <c r="F40509" s="2423"/>
    </row>
    <row r="40510" s="101" customFormat="1" spans="6:6">
      <c r="F40510" s="2423"/>
    </row>
    <row r="40511" s="101" customFormat="1" spans="6:6">
      <c r="F40511" s="2423"/>
    </row>
    <row r="40512" s="101" customFormat="1" spans="6:6">
      <c r="F40512" s="2423"/>
    </row>
    <row r="40513" s="101" customFormat="1" spans="6:6">
      <c r="F40513" s="2423"/>
    </row>
    <row r="40514" s="101" customFormat="1" spans="6:6">
      <c r="F40514" s="2423"/>
    </row>
    <row r="40515" s="101" customFormat="1" spans="6:6">
      <c r="F40515" s="2423"/>
    </row>
    <row r="40516" s="101" customFormat="1" spans="6:6">
      <c r="F40516" s="2423"/>
    </row>
    <row r="40517" s="101" customFormat="1" spans="6:6">
      <c r="F40517" s="2423"/>
    </row>
    <row r="40518" s="101" customFormat="1" spans="6:6">
      <c r="F40518" s="2423"/>
    </row>
    <row r="40519" s="101" customFormat="1" spans="6:6">
      <c r="F40519" s="2423"/>
    </row>
    <row r="40520" s="101" customFormat="1" spans="6:6">
      <c r="F40520" s="2423"/>
    </row>
    <row r="40521" s="101" customFormat="1" spans="6:6">
      <c r="F40521" s="2423"/>
    </row>
    <row r="40522" s="101" customFormat="1" spans="6:6">
      <c r="F40522" s="2423"/>
    </row>
    <row r="40523" s="101" customFormat="1" spans="6:6">
      <c r="F40523" s="2423"/>
    </row>
    <row r="40524" s="101" customFormat="1" spans="6:6">
      <c r="F40524" s="2423"/>
    </row>
    <row r="40525" s="101" customFormat="1" spans="6:6">
      <c r="F40525" s="2423"/>
    </row>
    <row r="40526" s="101" customFormat="1" spans="6:6">
      <c r="F40526" s="2423"/>
    </row>
    <row r="40527" s="101" customFormat="1" spans="6:6">
      <c r="F40527" s="2423"/>
    </row>
    <row r="40528" s="101" customFormat="1" spans="6:6">
      <c r="F40528" s="2423"/>
    </row>
    <row r="40529" s="101" customFormat="1" spans="6:6">
      <c r="F40529" s="2423"/>
    </row>
    <row r="40530" s="101" customFormat="1" spans="6:6">
      <c r="F40530" s="2423"/>
    </row>
    <row r="40531" s="101" customFormat="1" spans="6:6">
      <c r="F40531" s="2423"/>
    </row>
    <row r="40532" s="101" customFormat="1" spans="6:6">
      <c r="F40532" s="2423"/>
    </row>
    <row r="40533" s="101" customFormat="1" spans="6:6">
      <c r="F40533" s="2423"/>
    </row>
    <row r="40534" s="101" customFormat="1" spans="6:6">
      <c r="F40534" s="2423"/>
    </row>
    <row r="40535" s="101" customFormat="1" spans="6:6">
      <c r="F40535" s="2423"/>
    </row>
    <row r="40536" s="101" customFormat="1" spans="6:6">
      <c r="F40536" s="2423"/>
    </row>
    <row r="40537" s="101" customFormat="1" spans="6:6">
      <c r="F40537" s="2423"/>
    </row>
    <row r="40538" s="101" customFormat="1" spans="6:6">
      <c r="F40538" s="2423"/>
    </row>
    <row r="40539" s="101" customFormat="1" spans="6:6">
      <c r="F40539" s="2423"/>
    </row>
    <row r="40540" s="101" customFormat="1" spans="6:6">
      <c r="F40540" s="2423"/>
    </row>
    <row r="40541" s="101" customFormat="1" spans="6:6">
      <c r="F40541" s="2423"/>
    </row>
    <row r="40542" s="101" customFormat="1" spans="6:6">
      <c r="F40542" s="2423"/>
    </row>
    <row r="40543" s="101" customFormat="1" spans="6:6">
      <c r="F40543" s="2423"/>
    </row>
    <row r="40544" s="101" customFormat="1" spans="6:6">
      <c r="F40544" s="2423"/>
    </row>
    <row r="40545" s="101" customFormat="1" spans="6:6">
      <c r="F40545" s="2423"/>
    </row>
    <row r="40546" s="101" customFormat="1" spans="6:6">
      <c r="F40546" s="2423"/>
    </row>
    <row r="40547" s="101" customFormat="1" spans="6:6">
      <c r="F40547" s="2423"/>
    </row>
    <row r="40548" s="101" customFormat="1" spans="6:6">
      <c r="F40548" s="2423"/>
    </row>
    <row r="40549" s="101" customFormat="1" spans="6:6">
      <c r="F40549" s="2423"/>
    </row>
    <row r="40550" s="101" customFormat="1" spans="6:6">
      <c r="F40550" s="2423"/>
    </row>
    <row r="40551" s="101" customFormat="1" spans="6:6">
      <c r="F40551" s="2423"/>
    </row>
    <row r="40552" s="101" customFormat="1" spans="6:6">
      <c r="F40552" s="2423"/>
    </row>
    <row r="40553" s="101" customFormat="1" spans="6:6">
      <c r="F40553" s="2423"/>
    </row>
    <row r="40554" s="101" customFormat="1" spans="6:6">
      <c r="F40554" s="2423"/>
    </row>
    <row r="40555" s="101" customFormat="1" spans="6:6">
      <c r="F40555" s="2423"/>
    </row>
    <row r="40556" s="101" customFormat="1" spans="6:6">
      <c r="F40556" s="2423"/>
    </row>
    <row r="40557" s="101" customFormat="1" spans="6:6">
      <c r="F40557" s="2423"/>
    </row>
    <row r="40558" s="101" customFormat="1" spans="6:6">
      <c r="F40558" s="2423"/>
    </row>
    <row r="40559" s="101" customFormat="1" spans="6:6">
      <c r="F40559" s="2423"/>
    </row>
    <row r="40560" s="101" customFormat="1" spans="6:6">
      <c r="F40560" s="2423"/>
    </row>
    <row r="40561" s="101" customFormat="1" spans="6:6">
      <c r="F40561" s="2423"/>
    </row>
    <row r="40562" s="101" customFormat="1" spans="6:6">
      <c r="F40562" s="2423"/>
    </row>
    <row r="40563" s="101" customFormat="1" spans="6:6">
      <c r="F40563" s="2423"/>
    </row>
    <row r="40564" s="101" customFormat="1" spans="6:6">
      <c r="F40564" s="2423"/>
    </row>
    <row r="40565" s="101" customFormat="1" spans="6:6">
      <c r="F40565" s="2423"/>
    </row>
    <row r="40566" s="101" customFormat="1" spans="6:6">
      <c r="F40566" s="2423"/>
    </row>
    <row r="40567" s="101" customFormat="1" spans="6:6">
      <c r="F40567" s="2423"/>
    </row>
    <row r="40568" s="101" customFormat="1" spans="6:6">
      <c r="F40568" s="2423"/>
    </row>
    <row r="40569" s="101" customFormat="1" spans="6:6">
      <c r="F40569" s="2423"/>
    </row>
    <row r="40570" s="101" customFormat="1" spans="6:6">
      <c r="F40570" s="2423"/>
    </row>
    <row r="40571" s="101" customFormat="1" spans="6:6">
      <c r="F40571" s="2423"/>
    </row>
    <row r="40572" s="101" customFormat="1" spans="6:6">
      <c r="F40572" s="2423"/>
    </row>
    <row r="40573" s="101" customFormat="1" spans="6:6">
      <c r="F40573" s="2423"/>
    </row>
    <row r="40574" s="101" customFormat="1" spans="6:6">
      <c r="F40574" s="2423"/>
    </row>
    <row r="40575" s="101" customFormat="1" spans="6:6">
      <c r="F40575" s="2423"/>
    </row>
    <row r="40576" s="101" customFormat="1" spans="6:6">
      <c r="F40576" s="2423"/>
    </row>
    <row r="40577" s="101" customFormat="1" spans="6:6">
      <c r="F40577" s="2423"/>
    </row>
    <row r="40578" s="101" customFormat="1" spans="6:6">
      <c r="F40578" s="2423"/>
    </row>
    <row r="40579" s="101" customFormat="1" spans="6:6">
      <c r="F40579" s="2423"/>
    </row>
    <row r="40580" s="101" customFormat="1" spans="6:6">
      <c r="F40580" s="2423"/>
    </row>
    <row r="40581" s="101" customFormat="1" spans="6:6">
      <c r="F40581" s="2423"/>
    </row>
    <row r="40582" s="101" customFormat="1" spans="6:6">
      <c r="F40582" s="2423"/>
    </row>
    <row r="40583" s="101" customFormat="1" spans="6:6">
      <c r="F40583" s="2423"/>
    </row>
    <row r="40584" s="101" customFormat="1" spans="6:6">
      <c r="F40584" s="2423"/>
    </row>
    <row r="40585" s="101" customFormat="1" spans="6:6">
      <c r="F40585" s="2423"/>
    </row>
    <row r="40586" s="101" customFormat="1" spans="6:6">
      <c r="F40586" s="2423"/>
    </row>
    <row r="40587" s="101" customFormat="1" spans="6:6">
      <c r="F40587" s="2423"/>
    </row>
    <row r="40588" s="101" customFormat="1" spans="6:6">
      <c r="F40588" s="2423"/>
    </row>
    <row r="40589" s="101" customFormat="1" spans="6:6">
      <c r="F40589" s="2423"/>
    </row>
    <row r="40590" s="101" customFormat="1" spans="6:6">
      <c r="F40590" s="2423"/>
    </row>
    <row r="40591" s="101" customFormat="1" spans="6:6">
      <c r="F40591" s="2423"/>
    </row>
    <row r="40592" s="101" customFormat="1" spans="6:6">
      <c r="F40592" s="2423"/>
    </row>
    <row r="40593" s="101" customFormat="1" spans="6:6">
      <c r="F40593" s="2423"/>
    </row>
    <row r="40594" s="101" customFormat="1" spans="6:6">
      <c r="F40594" s="2423"/>
    </row>
    <row r="40595" s="101" customFormat="1" spans="6:6">
      <c r="F40595" s="2423"/>
    </row>
    <row r="40596" s="101" customFormat="1" spans="6:6">
      <c r="F40596" s="2423"/>
    </row>
    <row r="40597" s="101" customFormat="1" spans="6:6">
      <c r="F40597" s="2423"/>
    </row>
    <row r="40598" s="101" customFormat="1" spans="6:6">
      <c r="F40598" s="2423"/>
    </row>
    <row r="40599" s="101" customFormat="1" spans="6:6">
      <c r="F40599" s="2423"/>
    </row>
    <row r="40600" s="101" customFormat="1" spans="6:6">
      <c r="F40600" s="2423"/>
    </row>
    <row r="40601" s="101" customFormat="1" spans="6:6">
      <c r="F40601" s="2423"/>
    </row>
    <row r="40602" s="101" customFormat="1" spans="6:6">
      <c r="F40602" s="2423"/>
    </row>
    <row r="40603" s="101" customFormat="1" spans="6:6">
      <c r="F40603" s="2423"/>
    </row>
    <row r="40604" s="101" customFormat="1" spans="6:6">
      <c r="F40604" s="2423"/>
    </row>
    <row r="40605" s="101" customFormat="1" spans="6:6">
      <c r="F40605" s="2423"/>
    </row>
    <row r="40606" s="101" customFormat="1" spans="6:6">
      <c r="F40606" s="2423"/>
    </row>
    <row r="40607" s="101" customFormat="1" spans="6:6">
      <c r="F40607" s="2423"/>
    </row>
    <row r="40608" s="101" customFormat="1" spans="6:6">
      <c r="F40608" s="2423"/>
    </row>
    <row r="40609" s="101" customFormat="1" spans="6:6">
      <c r="F40609" s="2423"/>
    </row>
    <row r="40610" s="101" customFormat="1" spans="6:6">
      <c r="F40610" s="2423"/>
    </row>
    <row r="40611" s="101" customFormat="1" spans="6:6">
      <c r="F40611" s="2423"/>
    </row>
    <row r="40612" s="101" customFormat="1" spans="6:6">
      <c r="F40612" s="2423"/>
    </row>
    <row r="40613" s="101" customFormat="1" spans="6:6">
      <c r="F40613" s="2423"/>
    </row>
    <row r="40614" s="101" customFormat="1" spans="6:6">
      <c r="F40614" s="2423"/>
    </row>
    <row r="40615" s="101" customFormat="1" spans="6:6">
      <c r="F40615" s="2423"/>
    </row>
    <row r="40616" s="101" customFormat="1" spans="6:6">
      <c r="F40616" s="2423"/>
    </row>
    <row r="40617" s="101" customFormat="1" spans="6:6">
      <c r="F40617" s="2423"/>
    </row>
    <row r="40618" s="101" customFormat="1" spans="6:6">
      <c r="F40618" s="2423"/>
    </row>
    <row r="40619" s="101" customFormat="1" spans="6:6">
      <c r="F40619" s="2423"/>
    </row>
    <row r="40620" s="101" customFormat="1" spans="6:6">
      <c r="F40620" s="2423"/>
    </row>
    <row r="40621" s="101" customFormat="1" spans="6:6">
      <c r="F40621" s="2423"/>
    </row>
    <row r="40622" s="101" customFormat="1" spans="6:6">
      <c r="F40622" s="2423"/>
    </row>
    <row r="40623" s="101" customFormat="1" spans="6:6">
      <c r="F40623" s="2423"/>
    </row>
    <row r="40624" s="101" customFormat="1" spans="6:6">
      <c r="F40624" s="2423"/>
    </row>
    <row r="40625" s="101" customFormat="1" spans="6:6">
      <c r="F40625" s="2423"/>
    </row>
    <row r="40626" s="101" customFormat="1" spans="6:6">
      <c r="F40626" s="2423"/>
    </row>
    <row r="40627" s="101" customFormat="1" spans="6:6">
      <c r="F40627" s="2423"/>
    </row>
    <row r="40628" s="101" customFormat="1" spans="6:6">
      <c r="F40628" s="2423"/>
    </row>
    <row r="40629" s="101" customFormat="1" spans="6:6">
      <c r="F40629" s="2423"/>
    </row>
    <row r="40630" s="101" customFormat="1" spans="6:6">
      <c r="F40630" s="2423"/>
    </row>
    <row r="40631" s="101" customFormat="1" spans="6:6">
      <c r="F40631" s="2423"/>
    </row>
    <row r="40632" s="101" customFormat="1" spans="6:6">
      <c r="F40632" s="2423"/>
    </row>
    <row r="40633" s="101" customFormat="1" spans="6:6">
      <c r="F40633" s="2423"/>
    </row>
    <row r="40634" s="101" customFormat="1" spans="6:6">
      <c r="F40634" s="2423"/>
    </row>
    <row r="40635" s="101" customFormat="1" spans="6:6">
      <c r="F40635" s="2423"/>
    </row>
    <row r="40636" s="101" customFormat="1" spans="6:6">
      <c r="F40636" s="2423"/>
    </row>
    <row r="40637" s="101" customFormat="1" spans="6:6">
      <c r="F40637" s="2423"/>
    </row>
    <row r="40638" s="101" customFormat="1" spans="6:6">
      <c r="F40638" s="2423"/>
    </row>
    <row r="40639" s="101" customFormat="1" spans="6:6">
      <c r="F40639" s="2423"/>
    </row>
    <row r="40640" s="101" customFormat="1" spans="6:6">
      <c r="F40640" s="2423"/>
    </row>
    <row r="40641" s="101" customFormat="1" spans="6:6">
      <c r="F40641" s="2423"/>
    </row>
    <row r="40642" s="101" customFormat="1" spans="6:6">
      <c r="F40642" s="2423"/>
    </row>
    <row r="40643" s="101" customFormat="1" spans="6:6">
      <c r="F40643" s="2423"/>
    </row>
    <row r="40644" s="101" customFormat="1" spans="6:6">
      <c r="F40644" s="2423"/>
    </row>
    <row r="40645" s="101" customFormat="1" spans="6:6">
      <c r="F40645" s="2423"/>
    </row>
    <row r="40646" s="101" customFormat="1" spans="6:6">
      <c r="F40646" s="2423"/>
    </row>
    <row r="40647" s="101" customFormat="1" spans="6:6">
      <c r="F40647" s="2423"/>
    </row>
    <row r="40648" s="101" customFormat="1" spans="6:6">
      <c r="F40648" s="2423"/>
    </row>
    <row r="40649" s="101" customFormat="1" spans="6:6">
      <c r="F40649" s="2423"/>
    </row>
    <row r="40650" s="101" customFormat="1" spans="6:6">
      <c r="F40650" s="2423"/>
    </row>
    <row r="40651" s="101" customFormat="1" spans="6:6">
      <c r="F40651" s="2423"/>
    </row>
    <row r="40652" s="101" customFormat="1" spans="6:6">
      <c r="F40652" s="2423"/>
    </row>
    <row r="40653" s="101" customFormat="1" spans="6:6">
      <c r="F40653" s="2423"/>
    </row>
    <row r="40654" s="101" customFormat="1" spans="6:6">
      <c r="F40654" s="2423"/>
    </row>
    <row r="40655" s="101" customFormat="1" spans="6:6">
      <c r="F40655" s="2423"/>
    </row>
    <row r="40656" s="101" customFormat="1" spans="6:6">
      <c r="F40656" s="2423"/>
    </row>
    <row r="40657" s="101" customFormat="1" spans="6:6">
      <c r="F40657" s="2423"/>
    </row>
    <row r="40658" s="101" customFormat="1" spans="6:6">
      <c r="F40658" s="2423"/>
    </row>
    <row r="40659" s="101" customFormat="1" spans="6:6">
      <c r="F40659" s="2423"/>
    </row>
    <row r="40660" s="101" customFormat="1" spans="6:6">
      <c r="F40660" s="2423"/>
    </row>
    <row r="40661" s="101" customFormat="1" spans="6:6">
      <c r="F40661" s="2423"/>
    </row>
    <row r="40662" s="101" customFormat="1" spans="6:6">
      <c r="F40662" s="2423"/>
    </row>
    <row r="40663" s="101" customFormat="1" spans="6:6">
      <c r="F40663" s="2423"/>
    </row>
    <row r="40664" s="101" customFormat="1" spans="6:6">
      <c r="F40664" s="2423"/>
    </row>
    <row r="40665" s="101" customFormat="1" spans="6:6">
      <c r="F40665" s="2423"/>
    </row>
    <row r="40666" s="101" customFormat="1" spans="6:6">
      <c r="F40666" s="2423"/>
    </row>
    <row r="40667" s="101" customFormat="1" spans="6:6">
      <c r="F40667" s="2423"/>
    </row>
    <row r="40668" s="101" customFormat="1" spans="6:6">
      <c r="F40668" s="2423"/>
    </row>
    <row r="40669" s="101" customFormat="1" spans="6:6">
      <c r="F40669" s="2423"/>
    </row>
    <row r="40670" s="101" customFormat="1" spans="6:6">
      <c r="F40670" s="2423"/>
    </row>
    <row r="40671" s="101" customFormat="1" spans="6:6">
      <c r="F40671" s="2423"/>
    </row>
    <row r="40672" s="101" customFormat="1" spans="6:6">
      <c r="F40672" s="2423"/>
    </row>
    <row r="40673" s="101" customFormat="1" spans="6:6">
      <c r="F40673" s="2423"/>
    </row>
    <row r="40674" s="101" customFormat="1" spans="6:6">
      <c r="F40674" s="2423"/>
    </row>
    <row r="40675" s="101" customFormat="1" spans="6:6">
      <c r="F40675" s="2423"/>
    </row>
    <row r="40676" s="101" customFormat="1" spans="6:6">
      <c r="F40676" s="2423"/>
    </row>
    <row r="40677" s="101" customFormat="1" spans="6:6">
      <c r="F40677" s="2423"/>
    </row>
    <row r="40678" s="101" customFormat="1" spans="6:6">
      <c r="F40678" s="2423"/>
    </row>
    <row r="40679" s="101" customFormat="1" spans="6:6">
      <c r="F40679" s="2423"/>
    </row>
    <row r="40680" s="101" customFormat="1" spans="6:6">
      <c r="F40680" s="2423"/>
    </row>
    <row r="40681" s="101" customFormat="1" spans="6:6">
      <c r="F40681" s="2423"/>
    </row>
    <row r="40682" s="101" customFormat="1" spans="6:6">
      <c r="F40682" s="2423"/>
    </row>
    <row r="40683" s="101" customFormat="1" spans="6:6">
      <c r="F40683" s="2423"/>
    </row>
    <row r="40684" s="101" customFormat="1" spans="6:6">
      <c r="F40684" s="2423"/>
    </row>
    <row r="40685" s="101" customFormat="1" spans="6:6">
      <c r="F40685" s="2423"/>
    </row>
    <row r="40686" s="101" customFormat="1" spans="6:6">
      <c r="F40686" s="2423"/>
    </row>
    <row r="40687" s="101" customFormat="1" spans="6:6">
      <c r="F40687" s="2423"/>
    </row>
    <row r="40688" s="101" customFormat="1" spans="6:6">
      <c r="F40688" s="2423"/>
    </row>
    <row r="40689" s="101" customFormat="1" spans="6:6">
      <c r="F40689" s="2423"/>
    </row>
    <row r="40690" s="101" customFormat="1" spans="6:6">
      <c r="F40690" s="2423"/>
    </row>
    <row r="40691" s="101" customFormat="1" spans="6:6">
      <c r="F40691" s="2423"/>
    </row>
    <row r="40692" s="101" customFormat="1" spans="6:6">
      <c r="F40692" s="2423"/>
    </row>
    <row r="40693" s="101" customFormat="1" spans="6:6">
      <c r="F40693" s="2423"/>
    </row>
    <row r="40694" s="101" customFormat="1" spans="6:6">
      <c r="F40694" s="2423"/>
    </row>
    <row r="40695" s="101" customFormat="1" spans="6:6">
      <c r="F40695" s="2423"/>
    </row>
    <row r="40696" s="101" customFormat="1" spans="6:6">
      <c r="F40696" s="2423"/>
    </row>
    <row r="40697" s="101" customFormat="1" spans="6:6">
      <c r="F40697" s="2423"/>
    </row>
    <row r="40698" s="101" customFormat="1" spans="6:6">
      <c r="F40698" s="2423"/>
    </row>
    <row r="40699" s="101" customFormat="1" spans="6:6">
      <c r="F40699" s="2423"/>
    </row>
    <row r="40700" s="101" customFormat="1" spans="6:6">
      <c r="F40700" s="2423"/>
    </row>
    <row r="40701" s="101" customFormat="1" spans="6:6">
      <c r="F40701" s="2423"/>
    </row>
    <row r="40702" s="101" customFormat="1" spans="6:6">
      <c r="F40702" s="2423"/>
    </row>
    <row r="40703" s="101" customFormat="1" spans="6:6">
      <c r="F40703" s="2423"/>
    </row>
    <row r="40704" s="101" customFormat="1" spans="6:6">
      <c r="F40704" s="2423"/>
    </row>
    <row r="40705" s="101" customFormat="1" spans="6:6">
      <c r="F40705" s="2423"/>
    </row>
    <row r="40706" s="101" customFormat="1" spans="6:6">
      <c r="F40706" s="2423"/>
    </row>
    <row r="40707" s="101" customFormat="1" spans="6:6">
      <c r="F40707" s="2423"/>
    </row>
    <row r="40708" s="101" customFormat="1" spans="6:6">
      <c r="F40708" s="2423"/>
    </row>
    <row r="40709" s="101" customFormat="1" spans="6:6">
      <c r="F40709" s="2423"/>
    </row>
    <row r="40710" s="101" customFormat="1" spans="6:6">
      <c r="F40710" s="2423"/>
    </row>
    <row r="40711" s="101" customFormat="1" spans="6:6">
      <c r="F40711" s="2423"/>
    </row>
    <row r="40712" s="101" customFormat="1" spans="6:6">
      <c r="F40712" s="2423"/>
    </row>
    <row r="40713" s="101" customFormat="1" spans="6:6">
      <c r="F40713" s="2423"/>
    </row>
    <row r="40714" s="101" customFormat="1" spans="6:6">
      <c r="F40714" s="2423"/>
    </row>
    <row r="40715" s="101" customFormat="1" spans="6:6">
      <c r="F40715" s="2423"/>
    </row>
    <row r="40716" s="101" customFormat="1" spans="6:6">
      <c r="F40716" s="2423"/>
    </row>
    <row r="40717" s="101" customFormat="1" spans="6:6">
      <c r="F40717" s="2423"/>
    </row>
    <row r="40718" s="101" customFormat="1" spans="6:6">
      <c r="F40718" s="2423"/>
    </row>
    <row r="40719" s="101" customFormat="1" spans="6:6">
      <c r="F40719" s="2423"/>
    </row>
    <row r="40720" s="101" customFormat="1" spans="6:6">
      <c r="F40720" s="2423"/>
    </row>
    <row r="40721" s="101" customFormat="1" spans="6:6">
      <c r="F40721" s="2423"/>
    </row>
    <row r="40722" s="101" customFormat="1" spans="6:6">
      <c r="F40722" s="2423"/>
    </row>
    <row r="40723" s="101" customFormat="1" spans="6:6">
      <c r="F40723" s="2423"/>
    </row>
    <row r="40724" s="101" customFormat="1" spans="6:6">
      <c r="F40724" s="2423"/>
    </row>
    <row r="40725" s="101" customFormat="1" spans="6:6">
      <c r="F40725" s="2423"/>
    </row>
    <row r="40726" s="101" customFormat="1" spans="6:6">
      <c r="F40726" s="2423"/>
    </row>
    <row r="40727" s="101" customFormat="1" spans="6:6">
      <c r="F40727" s="2423"/>
    </row>
    <row r="40728" s="101" customFormat="1" spans="6:6">
      <c r="F40728" s="2423"/>
    </row>
    <row r="40729" s="101" customFormat="1" spans="6:6">
      <c r="F40729" s="2423"/>
    </row>
    <row r="40730" s="101" customFormat="1" spans="6:6">
      <c r="F40730" s="2423"/>
    </row>
    <row r="40731" s="101" customFormat="1" spans="6:6">
      <c r="F40731" s="2423"/>
    </row>
    <row r="40732" s="101" customFormat="1" spans="6:6">
      <c r="F40732" s="2423"/>
    </row>
    <row r="40733" s="101" customFormat="1" spans="6:6">
      <c r="F40733" s="2423"/>
    </row>
    <row r="40734" s="101" customFormat="1" spans="6:6">
      <c r="F40734" s="2423"/>
    </row>
    <row r="40735" s="101" customFormat="1" spans="6:6">
      <c r="F40735" s="2423"/>
    </row>
    <row r="40736" s="101" customFormat="1" spans="6:6">
      <c r="F40736" s="2423"/>
    </row>
    <row r="40737" s="101" customFormat="1" spans="6:6">
      <c r="F40737" s="2423"/>
    </row>
    <row r="40738" s="101" customFormat="1" spans="6:6">
      <c r="F40738" s="2423"/>
    </row>
    <row r="40739" s="101" customFormat="1" spans="6:6">
      <c r="F40739" s="2423"/>
    </row>
    <row r="40740" s="101" customFormat="1" spans="6:6">
      <c r="F40740" s="2423"/>
    </row>
    <row r="40741" s="101" customFormat="1" spans="6:6">
      <c r="F40741" s="2423"/>
    </row>
    <row r="40742" s="101" customFormat="1" spans="6:6">
      <c r="F40742" s="2423"/>
    </row>
    <row r="40743" s="101" customFormat="1" spans="6:6">
      <c r="F40743" s="2423"/>
    </row>
    <row r="40744" s="101" customFormat="1" spans="6:6">
      <c r="F40744" s="2423"/>
    </row>
    <row r="40745" s="101" customFormat="1" spans="6:6">
      <c r="F40745" s="2423"/>
    </row>
    <row r="40746" s="101" customFormat="1" spans="6:6">
      <c r="F40746" s="2423"/>
    </row>
    <row r="40747" s="101" customFormat="1" spans="6:6">
      <c r="F40747" s="2423"/>
    </row>
    <row r="40748" s="101" customFormat="1" spans="6:6">
      <c r="F40748" s="2423"/>
    </row>
    <row r="40749" s="101" customFormat="1" spans="6:6">
      <c r="F40749" s="2423"/>
    </row>
    <row r="40750" s="101" customFormat="1" spans="6:6">
      <c r="F40750" s="2423"/>
    </row>
    <row r="40751" s="101" customFormat="1" spans="6:6">
      <c r="F40751" s="2423"/>
    </row>
    <row r="40752" s="101" customFormat="1" spans="6:6">
      <c r="F40752" s="2423"/>
    </row>
    <row r="40753" s="101" customFormat="1" spans="6:6">
      <c r="F40753" s="2423"/>
    </row>
    <row r="40754" s="101" customFormat="1" spans="6:6">
      <c r="F40754" s="2423"/>
    </row>
    <row r="40755" s="101" customFormat="1" spans="6:6">
      <c r="F40755" s="2423"/>
    </row>
    <row r="40756" s="101" customFormat="1" spans="6:6">
      <c r="F40756" s="2423"/>
    </row>
    <row r="40757" s="101" customFormat="1" spans="6:6">
      <c r="F40757" s="2423"/>
    </row>
    <row r="40758" s="101" customFormat="1" spans="6:6">
      <c r="F40758" s="2423"/>
    </row>
    <row r="40759" s="101" customFormat="1" spans="6:6">
      <c r="F40759" s="2423"/>
    </row>
    <row r="40760" s="101" customFormat="1" spans="6:6">
      <c r="F40760" s="2423"/>
    </row>
    <row r="40761" s="101" customFormat="1" spans="6:6">
      <c r="F40761" s="2423"/>
    </row>
    <row r="40762" s="101" customFormat="1" spans="6:6">
      <c r="F40762" s="2423"/>
    </row>
    <row r="40763" s="101" customFormat="1" spans="6:6">
      <c r="F40763" s="2423"/>
    </row>
    <row r="40764" s="101" customFormat="1" spans="6:6">
      <c r="F40764" s="2423"/>
    </row>
    <row r="40765" s="101" customFormat="1" spans="6:6">
      <c r="F40765" s="2423"/>
    </row>
    <row r="40766" s="101" customFormat="1" spans="6:6">
      <c r="F40766" s="2423"/>
    </row>
    <row r="40767" s="101" customFormat="1" spans="6:6">
      <c r="F40767" s="2423"/>
    </row>
    <row r="40768" s="101" customFormat="1" spans="6:6">
      <c r="F40768" s="2423"/>
    </row>
    <row r="40769" s="101" customFormat="1" spans="6:6">
      <c r="F40769" s="2423"/>
    </row>
    <row r="40770" s="101" customFormat="1" spans="6:6">
      <c r="F40770" s="2423"/>
    </row>
    <row r="40771" s="101" customFormat="1" spans="6:6">
      <c r="F40771" s="2423"/>
    </row>
    <row r="40772" s="101" customFormat="1" spans="6:6">
      <c r="F40772" s="2423"/>
    </row>
    <row r="40773" s="101" customFormat="1" spans="6:6">
      <c r="F40773" s="2423"/>
    </row>
    <row r="40774" s="101" customFormat="1" spans="6:6">
      <c r="F40774" s="2423"/>
    </row>
    <row r="40775" s="101" customFormat="1" spans="6:6">
      <c r="F40775" s="2423"/>
    </row>
    <row r="40776" s="101" customFormat="1" spans="6:6">
      <c r="F40776" s="2423"/>
    </row>
    <row r="40777" s="101" customFormat="1" spans="6:6">
      <c r="F40777" s="2423"/>
    </row>
    <row r="40778" s="101" customFormat="1" spans="6:6">
      <c r="F40778" s="2423"/>
    </row>
    <row r="40779" s="101" customFormat="1" spans="6:6">
      <c r="F40779" s="2423"/>
    </row>
    <row r="40780" s="101" customFormat="1" spans="6:6">
      <c r="F40780" s="2423"/>
    </row>
    <row r="40781" s="101" customFormat="1" spans="6:6">
      <c r="F40781" s="2423"/>
    </row>
    <row r="40782" s="101" customFormat="1" spans="6:6">
      <c r="F40782" s="2423"/>
    </row>
    <row r="40783" s="101" customFormat="1" spans="6:6">
      <c r="F40783" s="2423"/>
    </row>
    <row r="40784" s="101" customFormat="1" spans="6:6">
      <c r="F40784" s="2423"/>
    </row>
    <row r="40785" s="101" customFormat="1" spans="6:6">
      <c r="F40785" s="2423"/>
    </row>
    <row r="40786" s="101" customFormat="1" spans="6:6">
      <c r="F40786" s="2423"/>
    </row>
    <row r="40787" s="101" customFormat="1" spans="6:6">
      <c r="F40787" s="2423"/>
    </row>
    <row r="40788" s="101" customFormat="1" spans="6:6">
      <c r="F40788" s="2423"/>
    </row>
    <row r="40789" s="101" customFormat="1" spans="6:6">
      <c r="F40789" s="2423"/>
    </row>
    <row r="40790" s="101" customFormat="1" spans="6:6">
      <c r="F40790" s="2423"/>
    </row>
    <row r="40791" s="101" customFormat="1" spans="6:6">
      <c r="F40791" s="2423"/>
    </row>
    <row r="40792" s="101" customFormat="1" spans="6:6">
      <c r="F40792" s="2423"/>
    </row>
    <row r="40793" s="101" customFormat="1" spans="6:6">
      <c r="F40793" s="2423"/>
    </row>
    <row r="40794" s="101" customFormat="1" spans="6:6">
      <c r="F40794" s="2423"/>
    </row>
    <row r="40795" s="101" customFormat="1" spans="6:6">
      <c r="F40795" s="2423"/>
    </row>
    <row r="40796" s="101" customFormat="1" spans="6:6">
      <c r="F40796" s="2423"/>
    </row>
    <row r="40797" s="101" customFormat="1" spans="6:6">
      <c r="F40797" s="2423"/>
    </row>
    <row r="40798" s="101" customFormat="1" spans="6:6">
      <c r="F40798" s="2423"/>
    </row>
    <row r="40799" s="101" customFormat="1" spans="6:6">
      <c r="F40799" s="2423"/>
    </row>
    <row r="40800" s="101" customFormat="1" spans="6:6">
      <c r="F40800" s="2423"/>
    </row>
    <row r="40801" s="101" customFormat="1" spans="6:6">
      <c r="F40801" s="2423"/>
    </row>
    <row r="40802" s="101" customFormat="1" spans="6:6">
      <c r="F40802" s="2423"/>
    </row>
    <row r="40803" s="101" customFormat="1" spans="6:6">
      <c r="F40803" s="2423"/>
    </row>
    <row r="40804" s="101" customFormat="1" spans="6:6">
      <c r="F40804" s="2423"/>
    </row>
    <row r="40805" s="101" customFormat="1" spans="6:6">
      <c r="F40805" s="2423"/>
    </row>
    <row r="40806" s="101" customFormat="1" spans="6:6">
      <c r="F40806" s="2423"/>
    </row>
    <row r="40807" s="101" customFormat="1" spans="6:6">
      <c r="F40807" s="2423"/>
    </row>
    <row r="40808" s="101" customFormat="1" spans="6:6">
      <c r="F40808" s="2423"/>
    </row>
    <row r="40809" s="101" customFormat="1" spans="6:6">
      <c r="F40809" s="2423"/>
    </row>
    <row r="40810" s="101" customFormat="1" spans="6:6">
      <c r="F40810" s="2423"/>
    </row>
    <row r="40811" s="101" customFormat="1" spans="6:6">
      <c r="F40811" s="2423"/>
    </row>
    <row r="40812" s="101" customFormat="1" spans="6:6">
      <c r="F40812" s="2423"/>
    </row>
    <row r="40813" s="101" customFormat="1" spans="6:6">
      <c r="F40813" s="2423"/>
    </row>
    <row r="40814" s="101" customFormat="1" spans="6:6">
      <c r="F40814" s="2423"/>
    </row>
    <row r="40815" s="101" customFormat="1" spans="6:6">
      <c r="F40815" s="2423"/>
    </row>
    <row r="40816" s="101" customFormat="1" spans="6:6">
      <c r="F40816" s="2423"/>
    </row>
    <row r="40817" s="101" customFormat="1" spans="6:6">
      <c r="F40817" s="2423"/>
    </row>
    <row r="40818" s="101" customFormat="1" spans="6:6">
      <c r="F40818" s="2423"/>
    </row>
    <row r="40819" s="101" customFormat="1" spans="6:6">
      <c r="F40819" s="2423"/>
    </row>
    <row r="40820" s="101" customFormat="1" spans="6:6">
      <c r="F40820" s="2423"/>
    </row>
    <row r="40821" s="101" customFormat="1" spans="6:6">
      <c r="F40821" s="2423"/>
    </row>
    <row r="40822" s="101" customFormat="1" spans="6:6">
      <c r="F40822" s="2423"/>
    </row>
    <row r="40823" s="101" customFormat="1" spans="6:6">
      <c r="F40823" s="2423"/>
    </row>
    <row r="40824" s="101" customFormat="1" spans="6:6">
      <c r="F40824" s="2423"/>
    </row>
    <row r="40825" s="101" customFormat="1" spans="6:6">
      <c r="F40825" s="2423"/>
    </row>
    <row r="40826" s="101" customFormat="1" spans="6:6">
      <c r="F40826" s="2423"/>
    </row>
    <row r="40827" s="101" customFormat="1" spans="6:6">
      <c r="F40827" s="2423"/>
    </row>
    <row r="40828" s="101" customFormat="1" spans="6:6">
      <c r="F40828" s="2423"/>
    </row>
    <row r="40829" s="101" customFormat="1" spans="6:6">
      <c r="F40829" s="2423"/>
    </row>
    <row r="40830" s="101" customFormat="1" spans="6:6">
      <c r="F40830" s="2423"/>
    </row>
    <row r="40831" s="101" customFormat="1" spans="6:6">
      <c r="F40831" s="2423"/>
    </row>
    <row r="40832" s="101" customFormat="1" spans="6:6">
      <c r="F40832" s="2423"/>
    </row>
    <row r="40833" s="101" customFormat="1" spans="6:6">
      <c r="F40833" s="2423"/>
    </row>
    <row r="40834" s="101" customFormat="1" spans="6:6">
      <c r="F40834" s="2423"/>
    </row>
    <row r="40835" s="101" customFormat="1" spans="6:6">
      <c r="F40835" s="2423"/>
    </row>
    <row r="40836" s="101" customFormat="1" spans="6:6">
      <c r="F40836" s="2423"/>
    </row>
    <row r="40837" s="101" customFormat="1" spans="6:6">
      <c r="F40837" s="2423"/>
    </row>
    <row r="40838" s="101" customFormat="1" spans="6:6">
      <c r="F40838" s="2423"/>
    </row>
    <row r="40839" s="101" customFormat="1" spans="6:6">
      <c r="F40839" s="2423"/>
    </row>
    <row r="40840" s="101" customFormat="1" spans="6:6">
      <c r="F40840" s="2423"/>
    </row>
    <row r="40841" s="101" customFormat="1" spans="6:6">
      <c r="F40841" s="2423"/>
    </row>
    <row r="40842" s="101" customFormat="1" spans="6:6">
      <c r="F40842" s="2423"/>
    </row>
    <row r="40843" s="101" customFormat="1" spans="6:6">
      <c r="F40843" s="2423"/>
    </row>
    <row r="40844" s="101" customFormat="1" spans="6:6">
      <c r="F40844" s="2423"/>
    </row>
    <row r="40845" s="101" customFormat="1" spans="6:6">
      <c r="F40845" s="2423"/>
    </row>
    <row r="40846" s="101" customFormat="1" spans="6:6">
      <c r="F40846" s="2423"/>
    </row>
    <row r="40847" s="101" customFormat="1" spans="6:6">
      <c r="F40847" s="2423"/>
    </row>
    <row r="40848" s="101" customFormat="1" spans="6:6">
      <c r="F40848" s="2423"/>
    </row>
    <row r="40849" s="101" customFormat="1" spans="6:6">
      <c r="F40849" s="2423"/>
    </row>
    <row r="40850" s="101" customFormat="1" spans="6:6">
      <c r="F40850" s="2423"/>
    </row>
    <row r="40851" s="101" customFormat="1" spans="6:6">
      <c r="F40851" s="2423"/>
    </row>
    <row r="40852" s="101" customFormat="1" spans="6:6">
      <c r="F40852" s="2423"/>
    </row>
    <row r="40853" s="101" customFormat="1" spans="6:6">
      <c r="F40853" s="2423"/>
    </row>
    <row r="40854" s="101" customFormat="1" spans="6:6">
      <c r="F40854" s="2423"/>
    </row>
    <row r="40855" s="101" customFormat="1" spans="6:6">
      <c r="F40855" s="2423"/>
    </row>
    <row r="40856" s="101" customFormat="1" spans="6:6">
      <c r="F40856" s="2423"/>
    </row>
    <row r="40857" s="101" customFormat="1" spans="6:6">
      <c r="F40857" s="2423"/>
    </row>
    <row r="40858" s="101" customFormat="1" spans="6:6">
      <c r="F40858" s="2423"/>
    </row>
    <row r="40859" s="101" customFormat="1" spans="6:6">
      <c r="F40859" s="2423"/>
    </row>
    <row r="40860" s="101" customFormat="1" spans="6:6">
      <c r="F40860" s="2423"/>
    </row>
    <row r="40861" s="101" customFormat="1" spans="6:6">
      <c r="F40861" s="2423"/>
    </row>
    <row r="40862" s="101" customFormat="1" spans="6:6">
      <c r="F40862" s="2423"/>
    </row>
    <row r="40863" s="101" customFormat="1" spans="6:6">
      <c r="F40863" s="2423"/>
    </row>
    <row r="40864" s="101" customFormat="1" spans="6:6">
      <c r="F40864" s="2423"/>
    </row>
    <row r="40865" s="101" customFormat="1" spans="6:6">
      <c r="F40865" s="2423"/>
    </row>
    <row r="40866" s="101" customFormat="1" spans="6:6">
      <c r="F40866" s="2423"/>
    </row>
    <row r="40867" s="101" customFormat="1" spans="6:6">
      <c r="F40867" s="2423"/>
    </row>
    <row r="40868" s="101" customFormat="1" spans="6:6">
      <c r="F40868" s="2423"/>
    </row>
    <row r="40869" s="101" customFormat="1" spans="6:6">
      <c r="F40869" s="2423"/>
    </row>
    <row r="40870" s="101" customFormat="1" spans="6:6">
      <c r="F40870" s="2423"/>
    </row>
    <row r="40871" s="101" customFormat="1" spans="6:6">
      <c r="F40871" s="2423"/>
    </row>
    <row r="40872" s="101" customFormat="1" spans="6:6">
      <c r="F40872" s="2423"/>
    </row>
    <row r="40873" s="101" customFormat="1" spans="6:6">
      <c r="F40873" s="2423"/>
    </row>
    <row r="40874" s="101" customFormat="1" spans="6:6">
      <c r="F40874" s="2423"/>
    </row>
    <row r="40875" s="101" customFormat="1" spans="6:6">
      <c r="F40875" s="2423"/>
    </row>
    <row r="40876" s="101" customFormat="1" spans="6:6">
      <c r="F40876" s="2423"/>
    </row>
    <row r="40877" s="101" customFormat="1" spans="6:6">
      <c r="F40877" s="2423"/>
    </row>
    <row r="40878" s="101" customFormat="1" spans="6:6">
      <c r="F40878" s="2423"/>
    </row>
    <row r="40879" s="101" customFormat="1" spans="6:6">
      <c r="F40879" s="2423"/>
    </row>
    <row r="40880" s="101" customFormat="1" spans="6:6">
      <c r="F40880" s="2423"/>
    </row>
    <row r="40881" s="101" customFormat="1" spans="6:6">
      <c r="F40881" s="2423"/>
    </row>
    <row r="40882" s="101" customFormat="1" spans="6:6">
      <c r="F40882" s="2423"/>
    </row>
    <row r="40883" s="101" customFormat="1" spans="6:6">
      <c r="F40883" s="2423"/>
    </row>
    <row r="40884" s="101" customFormat="1" spans="6:6">
      <c r="F40884" s="2423"/>
    </row>
    <row r="40885" s="101" customFormat="1" spans="6:6">
      <c r="F40885" s="2423"/>
    </row>
    <row r="40886" s="101" customFormat="1" spans="6:6">
      <c r="F40886" s="2423"/>
    </row>
    <row r="40887" s="101" customFormat="1" spans="6:6">
      <c r="F40887" s="2423"/>
    </row>
    <row r="40888" s="101" customFormat="1" spans="6:6">
      <c r="F40888" s="2423"/>
    </row>
    <row r="40889" s="101" customFormat="1" spans="6:6">
      <c r="F40889" s="2423"/>
    </row>
    <row r="40890" s="101" customFormat="1" spans="6:6">
      <c r="F40890" s="2423"/>
    </row>
    <row r="40891" s="101" customFormat="1" spans="6:6">
      <c r="F40891" s="2423"/>
    </row>
    <row r="40892" s="101" customFormat="1" spans="6:6">
      <c r="F40892" s="2423"/>
    </row>
    <row r="40893" s="101" customFormat="1" spans="6:6">
      <c r="F40893" s="2423"/>
    </row>
    <row r="40894" s="101" customFormat="1" spans="6:6">
      <c r="F40894" s="2423"/>
    </row>
    <row r="40895" s="101" customFormat="1" spans="6:6">
      <c r="F40895" s="2423"/>
    </row>
    <row r="40896" s="101" customFormat="1" spans="6:6">
      <c r="F40896" s="2423"/>
    </row>
    <row r="40897" s="101" customFormat="1" spans="6:6">
      <c r="F40897" s="2423"/>
    </row>
    <row r="40898" s="101" customFormat="1" spans="6:6">
      <c r="F40898" s="2423"/>
    </row>
    <row r="40899" s="101" customFormat="1" spans="6:6">
      <c r="F40899" s="2423"/>
    </row>
    <row r="40900" s="101" customFormat="1" spans="6:6">
      <c r="F40900" s="2423"/>
    </row>
    <row r="40901" s="101" customFormat="1" spans="6:6">
      <c r="F40901" s="2423"/>
    </row>
    <row r="40902" s="101" customFormat="1" spans="6:6">
      <c r="F40902" s="2423"/>
    </row>
    <row r="40903" s="101" customFormat="1" spans="6:6">
      <c r="F40903" s="2423"/>
    </row>
    <row r="40904" s="101" customFormat="1" spans="6:6">
      <c r="F40904" s="2423"/>
    </row>
    <row r="40905" s="101" customFormat="1" spans="6:6">
      <c r="F40905" s="2423"/>
    </row>
    <row r="40906" s="101" customFormat="1" spans="6:6">
      <c r="F40906" s="2423"/>
    </row>
    <row r="40907" s="101" customFormat="1" spans="6:6">
      <c r="F40907" s="2423"/>
    </row>
    <row r="40908" s="101" customFormat="1" spans="6:6">
      <c r="F40908" s="2423"/>
    </row>
    <row r="40909" s="101" customFormat="1" spans="6:6">
      <c r="F40909" s="2423"/>
    </row>
    <row r="40910" s="101" customFormat="1" spans="6:6">
      <c r="F40910" s="2423"/>
    </row>
    <row r="40911" s="101" customFormat="1" spans="6:6">
      <c r="F40911" s="2423"/>
    </row>
    <row r="40912" s="101" customFormat="1" spans="6:6">
      <c r="F40912" s="2423"/>
    </row>
    <row r="40913" s="101" customFormat="1" spans="6:6">
      <c r="F40913" s="2423"/>
    </row>
    <row r="40914" s="101" customFormat="1" spans="6:6">
      <c r="F40914" s="2423"/>
    </row>
    <row r="40915" s="101" customFormat="1" spans="6:6">
      <c r="F40915" s="2423"/>
    </row>
    <row r="40916" s="101" customFormat="1" spans="6:6">
      <c r="F40916" s="2423"/>
    </row>
    <row r="40917" s="101" customFormat="1" spans="6:6">
      <c r="F40917" s="2423"/>
    </row>
    <row r="40918" s="101" customFormat="1" spans="6:6">
      <c r="F40918" s="2423"/>
    </row>
    <row r="40919" s="101" customFormat="1" spans="6:6">
      <c r="F40919" s="2423"/>
    </row>
    <row r="40920" s="101" customFormat="1" spans="6:6">
      <c r="F40920" s="2423"/>
    </row>
    <row r="40921" s="101" customFormat="1" spans="6:6">
      <c r="F40921" s="2423"/>
    </row>
    <row r="40922" s="101" customFormat="1" spans="6:6">
      <c r="F40922" s="2423"/>
    </row>
    <row r="40923" s="101" customFormat="1" spans="6:6">
      <c r="F40923" s="2423"/>
    </row>
    <row r="40924" s="101" customFormat="1" spans="6:6">
      <c r="F40924" s="2423"/>
    </row>
    <row r="40925" s="101" customFormat="1" spans="6:6">
      <c r="F40925" s="2423"/>
    </row>
    <row r="40926" s="101" customFormat="1" spans="6:6">
      <c r="F40926" s="2423"/>
    </row>
    <row r="40927" s="101" customFormat="1" spans="6:6">
      <c r="F40927" s="2423"/>
    </row>
    <row r="40928" s="101" customFormat="1" spans="6:6">
      <c r="F40928" s="2423"/>
    </row>
    <row r="40929" s="101" customFormat="1" spans="6:6">
      <c r="F40929" s="2423"/>
    </row>
    <row r="40930" s="101" customFormat="1" spans="6:6">
      <c r="F40930" s="2423"/>
    </row>
    <row r="40931" s="101" customFormat="1" spans="6:6">
      <c r="F40931" s="2423"/>
    </row>
    <row r="40932" s="101" customFormat="1" spans="6:6">
      <c r="F40932" s="2423"/>
    </row>
    <row r="40933" s="101" customFormat="1" spans="6:6">
      <c r="F40933" s="2423"/>
    </row>
    <row r="40934" s="101" customFormat="1" spans="6:6">
      <c r="F40934" s="2423"/>
    </row>
    <row r="40935" s="101" customFormat="1" spans="6:6">
      <c r="F40935" s="2423"/>
    </row>
    <row r="40936" s="101" customFormat="1" spans="6:6">
      <c r="F40936" s="2423"/>
    </row>
    <row r="40937" s="101" customFormat="1" spans="6:6">
      <c r="F40937" s="2423"/>
    </row>
    <row r="40938" s="101" customFormat="1" spans="6:6">
      <c r="F40938" s="2423"/>
    </row>
    <row r="40939" s="101" customFormat="1" spans="6:6">
      <c r="F40939" s="2423"/>
    </row>
    <row r="40940" s="101" customFormat="1" spans="6:6">
      <c r="F40940" s="2423"/>
    </row>
    <row r="40941" s="101" customFormat="1" spans="6:6">
      <c r="F40941" s="2423"/>
    </row>
    <row r="40942" s="101" customFormat="1" spans="6:6">
      <c r="F40942" s="2423"/>
    </row>
    <row r="40943" s="101" customFormat="1" spans="6:6">
      <c r="F40943" s="2423"/>
    </row>
    <row r="40944" s="101" customFormat="1" spans="6:6">
      <c r="F40944" s="2423"/>
    </row>
    <row r="40945" s="101" customFormat="1" spans="6:6">
      <c r="F40945" s="2423"/>
    </row>
    <row r="40946" s="101" customFormat="1" spans="6:6">
      <c r="F40946" s="2423"/>
    </row>
    <row r="40947" s="101" customFormat="1" spans="6:6">
      <c r="F40947" s="2423"/>
    </row>
    <row r="40948" s="101" customFormat="1" spans="6:6">
      <c r="F40948" s="2423"/>
    </row>
    <row r="40949" s="101" customFormat="1" spans="6:6">
      <c r="F40949" s="2423"/>
    </row>
    <row r="40950" s="101" customFormat="1" spans="6:6">
      <c r="F40950" s="2423"/>
    </row>
    <row r="40951" s="101" customFormat="1" spans="6:6">
      <c r="F40951" s="2423"/>
    </row>
    <row r="40952" s="101" customFormat="1" spans="6:6">
      <c r="F40952" s="2423"/>
    </row>
    <row r="40953" s="101" customFormat="1" spans="6:6">
      <c r="F40953" s="2423"/>
    </row>
    <row r="40954" s="101" customFormat="1" spans="6:6">
      <c r="F40954" s="2423"/>
    </row>
    <row r="40955" s="101" customFormat="1" spans="6:6">
      <c r="F40955" s="2423"/>
    </row>
    <row r="40956" s="101" customFormat="1" spans="6:6">
      <c r="F40956" s="2423"/>
    </row>
    <row r="40957" s="101" customFormat="1" spans="6:6">
      <c r="F40957" s="2423"/>
    </row>
    <row r="40958" s="101" customFormat="1" spans="6:6">
      <c r="F40958" s="2423"/>
    </row>
    <row r="40959" s="101" customFormat="1" spans="6:6">
      <c r="F40959" s="2423"/>
    </row>
    <row r="40960" s="101" customFormat="1" spans="6:6">
      <c r="F40960" s="2423"/>
    </row>
    <row r="40961" s="101" customFormat="1" spans="6:6">
      <c r="F40961" s="2423"/>
    </row>
    <row r="40962" s="101" customFormat="1" spans="6:6">
      <c r="F40962" s="2423"/>
    </row>
    <row r="40963" s="101" customFormat="1" spans="6:6">
      <c r="F40963" s="2423"/>
    </row>
    <row r="40964" s="101" customFormat="1" spans="6:6">
      <c r="F40964" s="2423"/>
    </row>
    <row r="40965" s="101" customFormat="1" spans="6:6">
      <c r="F40965" s="2423"/>
    </row>
    <row r="40966" s="101" customFormat="1" spans="6:6">
      <c r="F40966" s="2423"/>
    </row>
    <row r="40967" s="101" customFormat="1" spans="6:6">
      <c r="F40967" s="2423"/>
    </row>
    <row r="40968" s="101" customFormat="1" spans="6:6">
      <c r="F40968" s="2423"/>
    </row>
    <row r="40969" s="101" customFormat="1" spans="6:6">
      <c r="F40969" s="2423"/>
    </row>
    <row r="40970" s="101" customFormat="1" spans="6:6">
      <c r="F40970" s="2423"/>
    </row>
    <row r="40971" s="101" customFormat="1" spans="6:6">
      <c r="F40971" s="2423"/>
    </row>
    <row r="40972" s="101" customFormat="1" spans="6:6">
      <c r="F40972" s="2423"/>
    </row>
    <row r="40973" s="101" customFormat="1" spans="6:6">
      <c r="F40973" s="2423"/>
    </row>
    <row r="40974" s="101" customFormat="1" spans="6:6">
      <c r="F40974" s="2423"/>
    </row>
    <row r="40975" s="101" customFormat="1" spans="6:6">
      <c r="F40975" s="2423"/>
    </row>
    <row r="40976" s="101" customFormat="1" spans="6:6">
      <c r="F40976" s="2423"/>
    </row>
    <row r="40977" s="101" customFormat="1" spans="6:6">
      <c r="F40977" s="2423"/>
    </row>
    <row r="40978" s="101" customFormat="1" spans="6:6">
      <c r="F40978" s="2423"/>
    </row>
    <row r="40979" s="101" customFormat="1" spans="6:6">
      <c r="F40979" s="2423"/>
    </row>
    <row r="40980" s="101" customFormat="1" spans="6:6">
      <c r="F40980" s="2423"/>
    </row>
    <row r="40981" s="101" customFormat="1" spans="6:6">
      <c r="F40981" s="2423"/>
    </row>
    <row r="40982" s="101" customFormat="1" spans="6:6">
      <c r="F40982" s="2423"/>
    </row>
    <row r="40983" s="101" customFormat="1" spans="6:6">
      <c r="F40983" s="2423"/>
    </row>
    <row r="40984" s="101" customFormat="1" spans="6:6">
      <c r="F40984" s="2423"/>
    </row>
    <row r="40985" s="101" customFormat="1" spans="6:6">
      <c r="F40985" s="2423"/>
    </row>
    <row r="40986" s="101" customFormat="1" spans="6:6">
      <c r="F40986" s="2423"/>
    </row>
    <row r="40987" s="101" customFormat="1" spans="6:6">
      <c r="F40987" s="2423"/>
    </row>
    <row r="40988" s="101" customFormat="1" spans="6:6">
      <c r="F40988" s="2423"/>
    </row>
    <row r="40989" s="101" customFormat="1" spans="6:6">
      <c r="F40989" s="2423"/>
    </row>
    <row r="40990" s="101" customFormat="1" spans="6:6">
      <c r="F40990" s="2423"/>
    </row>
    <row r="40991" s="101" customFormat="1" spans="6:6">
      <c r="F40991" s="2423"/>
    </row>
    <row r="40992" s="101" customFormat="1" spans="6:6">
      <c r="F40992" s="2423"/>
    </row>
    <row r="40993" s="101" customFormat="1" spans="6:6">
      <c r="F40993" s="2423"/>
    </row>
    <row r="40994" s="101" customFormat="1" spans="6:6">
      <c r="F40994" s="2423"/>
    </row>
    <row r="40995" s="101" customFormat="1" spans="6:6">
      <c r="F40995" s="2423"/>
    </row>
    <row r="40996" s="101" customFormat="1" spans="6:6">
      <c r="F40996" s="2423"/>
    </row>
    <row r="40997" s="101" customFormat="1" spans="6:6">
      <c r="F40997" s="2423"/>
    </row>
    <row r="40998" s="101" customFormat="1" spans="6:6">
      <c r="F40998" s="2423"/>
    </row>
    <row r="40999" s="101" customFormat="1" spans="6:6">
      <c r="F40999" s="2423"/>
    </row>
    <row r="41000" s="101" customFormat="1" spans="6:6">
      <c r="F41000" s="2423"/>
    </row>
    <row r="41001" s="101" customFormat="1" spans="6:6">
      <c r="F41001" s="2423"/>
    </row>
    <row r="41002" s="101" customFormat="1" spans="6:6">
      <c r="F41002" s="2423"/>
    </row>
    <row r="41003" s="101" customFormat="1" spans="6:6">
      <c r="F41003" s="2423"/>
    </row>
    <row r="41004" s="101" customFormat="1" spans="6:6">
      <c r="F41004" s="2423"/>
    </row>
    <row r="41005" s="101" customFormat="1" spans="6:6">
      <c r="F41005" s="2423"/>
    </row>
    <row r="41006" s="101" customFormat="1" spans="6:6">
      <c r="F41006" s="2423"/>
    </row>
    <row r="41007" s="101" customFormat="1" spans="6:6">
      <c r="F41007" s="2423"/>
    </row>
    <row r="41008" s="101" customFormat="1" spans="6:6">
      <c r="F41008" s="2423"/>
    </row>
    <row r="41009" s="101" customFormat="1" spans="6:6">
      <c r="F41009" s="2423"/>
    </row>
    <row r="41010" s="101" customFormat="1" spans="6:6">
      <c r="F41010" s="2423"/>
    </row>
    <row r="41011" s="101" customFormat="1" spans="6:6">
      <c r="F41011" s="2423"/>
    </row>
    <row r="41012" s="101" customFormat="1" spans="6:6">
      <c r="F41012" s="2423"/>
    </row>
    <row r="41013" s="101" customFormat="1" spans="6:6">
      <c r="F41013" s="2423"/>
    </row>
    <row r="41014" s="101" customFormat="1" spans="6:6">
      <c r="F41014" s="2423"/>
    </row>
    <row r="41015" s="101" customFormat="1" spans="6:6">
      <c r="F41015" s="2423"/>
    </row>
    <row r="41016" s="101" customFormat="1" spans="6:6">
      <c r="F41016" s="2423"/>
    </row>
    <row r="41017" s="101" customFormat="1" spans="6:6">
      <c r="F41017" s="2423"/>
    </row>
    <row r="41018" s="101" customFormat="1" spans="6:6">
      <c r="F41018" s="2423"/>
    </row>
    <row r="41019" s="101" customFormat="1" spans="6:6">
      <c r="F41019" s="2423"/>
    </row>
    <row r="41020" s="101" customFormat="1" spans="6:6">
      <c r="F41020" s="2423"/>
    </row>
    <row r="41021" s="101" customFormat="1" spans="6:6">
      <c r="F41021" s="2423"/>
    </row>
    <row r="41022" s="101" customFormat="1" spans="6:6">
      <c r="F41022" s="2423"/>
    </row>
    <row r="41023" s="101" customFormat="1" spans="6:6">
      <c r="F41023" s="2423"/>
    </row>
    <row r="41024" s="101" customFormat="1" spans="6:6">
      <c r="F41024" s="2423"/>
    </row>
    <row r="41025" s="101" customFormat="1" spans="6:6">
      <c r="F41025" s="2423"/>
    </row>
    <row r="41026" s="101" customFormat="1" spans="6:6">
      <c r="F41026" s="2423"/>
    </row>
    <row r="41027" s="101" customFormat="1" spans="6:6">
      <c r="F41027" s="2423"/>
    </row>
    <row r="41028" s="101" customFormat="1" spans="6:6">
      <c r="F41028" s="2423"/>
    </row>
    <row r="41029" s="101" customFormat="1" spans="6:6">
      <c r="F41029" s="2423"/>
    </row>
    <row r="41030" s="101" customFormat="1" spans="6:6">
      <c r="F41030" s="2423"/>
    </row>
    <row r="41031" s="101" customFormat="1" spans="6:6">
      <c r="F41031" s="2423"/>
    </row>
    <row r="41032" s="101" customFormat="1" spans="6:6">
      <c r="F41032" s="2423"/>
    </row>
    <row r="41033" s="101" customFormat="1" spans="6:6">
      <c r="F41033" s="2423"/>
    </row>
    <row r="41034" s="101" customFormat="1" spans="6:6">
      <c r="F41034" s="2423"/>
    </row>
    <row r="41035" s="101" customFormat="1" spans="6:6">
      <c r="F41035" s="2423"/>
    </row>
    <row r="41036" s="101" customFormat="1" spans="6:6">
      <c r="F41036" s="2423"/>
    </row>
    <row r="41037" s="101" customFormat="1" spans="6:6">
      <c r="F41037" s="2423"/>
    </row>
    <row r="41038" s="101" customFormat="1" spans="6:6">
      <c r="F41038" s="2423"/>
    </row>
    <row r="41039" s="101" customFormat="1" spans="6:6">
      <c r="F41039" s="2423"/>
    </row>
    <row r="41040" s="101" customFormat="1" spans="6:6">
      <c r="F41040" s="2423"/>
    </row>
    <row r="41041" s="101" customFormat="1" spans="6:6">
      <c r="F41041" s="2423"/>
    </row>
    <row r="41042" s="101" customFormat="1" spans="6:6">
      <c r="F41042" s="2423"/>
    </row>
    <row r="41043" s="101" customFormat="1" spans="6:6">
      <c r="F41043" s="2423"/>
    </row>
    <row r="41044" s="101" customFormat="1" spans="6:6">
      <c r="F41044" s="2423"/>
    </row>
    <row r="41045" s="101" customFormat="1" spans="6:6">
      <c r="F41045" s="2423"/>
    </row>
    <row r="41046" s="101" customFormat="1" spans="6:6">
      <c r="F41046" s="2423"/>
    </row>
    <row r="41047" s="101" customFormat="1" spans="6:6">
      <c r="F41047" s="2423"/>
    </row>
    <row r="41048" s="101" customFormat="1" spans="6:6">
      <c r="F41048" s="2423"/>
    </row>
    <row r="41049" s="101" customFormat="1" spans="6:6">
      <c r="F41049" s="2423"/>
    </row>
    <row r="41050" s="101" customFormat="1" spans="6:6">
      <c r="F41050" s="2423"/>
    </row>
    <row r="41051" s="101" customFormat="1" spans="6:6">
      <c r="F41051" s="2423"/>
    </row>
    <row r="41052" s="101" customFormat="1" spans="6:6">
      <c r="F41052" s="2423"/>
    </row>
    <row r="41053" s="101" customFormat="1" spans="6:6">
      <c r="F41053" s="2423"/>
    </row>
    <row r="41054" s="101" customFormat="1" spans="6:6">
      <c r="F41054" s="2423"/>
    </row>
    <row r="41055" s="101" customFormat="1" spans="6:6">
      <c r="F41055" s="2423"/>
    </row>
    <row r="41056" s="101" customFormat="1" spans="6:6">
      <c r="F41056" s="2423"/>
    </row>
    <row r="41057" s="101" customFormat="1" spans="6:6">
      <c r="F41057" s="2423"/>
    </row>
    <row r="41058" s="101" customFormat="1" spans="6:6">
      <c r="F41058" s="2423"/>
    </row>
    <row r="41059" s="101" customFormat="1" spans="6:6">
      <c r="F41059" s="2423"/>
    </row>
    <row r="41060" s="101" customFormat="1" spans="6:6">
      <c r="F41060" s="2423"/>
    </row>
    <row r="41061" s="101" customFormat="1" spans="6:6">
      <c r="F41061" s="2423"/>
    </row>
    <row r="41062" s="101" customFormat="1" spans="6:6">
      <c r="F41062" s="2423"/>
    </row>
    <row r="41063" s="101" customFormat="1" spans="6:6">
      <c r="F41063" s="2423"/>
    </row>
    <row r="41064" s="101" customFormat="1" spans="6:6">
      <c r="F41064" s="2423"/>
    </row>
    <row r="41065" s="101" customFormat="1" spans="6:6">
      <c r="F41065" s="2423"/>
    </row>
    <row r="41066" s="101" customFormat="1" spans="6:6">
      <c r="F41066" s="2423"/>
    </row>
    <row r="41067" s="101" customFormat="1" spans="6:6">
      <c r="F41067" s="2423"/>
    </row>
    <row r="41068" s="101" customFormat="1" spans="6:6">
      <c r="F41068" s="2423"/>
    </row>
    <row r="41069" s="101" customFormat="1" spans="6:6">
      <c r="F41069" s="2423"/>
    </row>
    <row r="41070" s="101" customFormat="1" spans="6:6">
      <c r="F41070" s="2423"/>
    </row>
    <row r="41071" s="101" customFormat="1" spans="6:6">
      <c r="F41071" s="2423"/>
    </row>
    <row r="41072" s="101" customFormat="1" spans="6:6">
      <c r="F41072" s="2423"/>
    </row>
    <row r="41073" s="101" customFormat="1" spans="6:6">
      <c r="F41073" s="2423"/>
    </row>
    <row r="41074" s="101" customFormat="1" spans="6:6">
      <c r="F41074" s="2423"/>
    </row>
    <row r="41075" s="101" customFormat="1" spans="6:6">
      <c r="F41075" s="2423"/>
    </row>
    <row r="41076" s="101" customFormat="1" spans="6:6">
      <c r="F41076" s="2423"/>
    </row>
    <row r="41077" s="101" customFormat="1" spans="6:6">
      <c r="F41077" s="2423"/>
    </row>
    <row r="41078" s="101" customFormat="1" spans="6:6">
      <c r="F41078" s="2423"/>
    </row>
    <row r="41079" s="101" customFormat="1" spans="6:6">
      <c r="F41079" s="2423"/>
    </row>
    <row r="41080" s="101" customFormat="1" spans="6:6">
      <c r="F41080" s="2423"/>
    </row>
    <row r="41081" s="101" customFormat="1" spans="6:6">
      <c r="F41081" s="2423"/>
    </row>
    <row r="41082" s="101" customFormat="1" spans="6:6">
      <c r="F41082" s="2423"/>
    </row>
    <row r="41083" s="101" customFormat="1" spans="6:6">
      <c r="F41083" s="2423"/>
    </row>
    <row r="41084" s="101" customFormat="1" spans="6:6">
      <c r="F41084" s="2423"/>
    </row>
    <row r="41085" s="101" customFormat="1" spans="6:6">
      <c r="F41085" s="2423"/>
    </row>
    <row r="41086" s="101" customFormat="1" spans="6:6">
      <c r="F41086" s="2423"/>
    </row>
    <row r="41087" s="101" customFormat="1" spans="6:6">
      <c r="F41087" s="2423"/>
    </row>
    <row r="41088" s="101" customFormat="1" spans="6:6">
      <c r="F41088" s="2423"/>
    </row>
    <row r="41089" s="101" customFormat="1" spans="6:6">
      <c r="F41089" s="2423"/>
    </row>
    <row r="41090" s="101" customFormat="1" spans="6:6">
      <c r="F41090" s="2423"/>
    </row>
    <row r="41091" s="101" customFormat="1" spans="6:6">
      <c r="F41091" s="2423"/>
    </row>
    <row r="41092" s="101" customFormat="1" spans="6:6">
      <c r="F41092" s="2423"/>
    </row>
    <row r="41093" s="101" customFormat="1" spans="6:6">
      <c r="F41093" s="2423"/>
    </row>
    <row r="41094" s="101" customFormat="1" spans="6:6">
      <c r="F41094" s="2423"/>
    </row>
    <row r="41095" s="101" customFormat="1" spans="6:6">
      <c r="F41095" s="2423"/>
    </row>
    <row r="41096" s="101" customFormat="1" spans="6:6">
      <c r="F41096" s="2423"/>
    </row>
    <row r="41097" s="101" customFormat="1" spans="6:6">
      <c r="F41097" s="2423"/>
    </row>
    <row r="41098" s="101" customFormat="1" spans="6:6">
      <c r="F41098" s="2423"/>
    </row>
    <row r="41099" s="101" customFormat="1" spans="6:6">
      <c r="F41099" s="2423"/>
    </row>
    <row r="41100" s="101" customFormat="1" spans="6:6">
      <c r="F41100" s="2423"/>
    </row>
    <row r="41101" s="101" customFormat="1" spans="6:6">
      <c r="F41101" s="2423"/>
    </row>
    <row r="41102" s="101" customFormat="1" spans="6:6">
      <c r="F41102" s="2423"/>
    </row>
    <row r="41103" s="101" customFormat="1" spans="6:6">
      <c r="F41103" s="2423"/>
    </row>
    <row r="41104" s="101" customFormat="1" spans="6:6">
      <c r="F41104" s="2423"/>
    </row>
    <row r="41105" s="101" customFormat="1" spans="6:6">
      <c r="F41105" s="2423"/>
    </row>
    <row r="41106" s="101" customFormat="1" spans="6:6">
      <c r="F41106" s="2423"/>
    </row>
    <row r="41107" s="101" customFormat="1" spans="6:6">
      <c r="F41107" s="2423"/>
    </row>
    <row r="41108" s="101" customFormat="1" spans="6:6">
      <c r="F41108" s="2423"/>
    </row>
    <row r="41109" s="101" customFormat="1" spans="6:6">
      <c r="F41109" s="2423"/>
    </row>
    <row r="41110" s="101" customFormat="1" spans="6:6">
      <c r="F41110" s="2423"/>
    </row>
    <row r="41111" s="101" customFormat="1" spans="6:6">
      <c r="F41111" s="2423"/>
    </row>
    <row r="41112" s="101" customFormat="1" spans="6:6">
      <c r="F41112" s="2423"/>
    </row>
    <row r="41113" s="101" customFormat="1" spans="6:6">
      <c r="F41113" s="2423"/>
    </row>
    <row r="41114" s="101" customFormat="1" spans="6:6">
      <c r="F41114" s="2423"/>
    </row>
    <row r="41115" s="101" customFormat="1" spans="6:6">
      <c r="F41115" s="2423"/>
    </row>
    <row r="41116" s="101" customFormat="1" spans="6:6">
      <c r="F41116" s="2423"/>
    </row>
    <row r="41117" s="101" customFormat="1" spans="6:6">
      <c r="F41117" s="2423"/>
    </row>
    <row r="41118" s="101" customFormat="1" spans="6:6">
      <c r="F41118" s="2423"/>
    </row>
    <row r="41119" s="101" customFormat="1" spans="6:6">
      <c r="F41119" s="2423"/>
    </row>
    <row r="41120" s="101" customFormat="1" spans="6:6">
      <c r="F41120" s="2423"/>
    </row>
    <row r="41121" s="101" customFormat="1" spans="6:6">
      <c r="F41121" s="2423"/>
    </row>
    <row r="41122" s="101" customFormat="1" spans="6:6">
      <c r="F41122" s="2423"/>
    </row>
    <row r="41123" s="101" customFormat="1" spans="6:6">
      <c r="F41123" s="2423"/>
    </row>
    <row r="41124" s="101" customFormat="1" spans="6:6">
      <c r="F41124" s="2423"/>
    </row>
    <row r="41125" s="101" customFormat="1" spans="6:6">
      <c r="F41125" s="2423"/>
    </row>
    <row r="41126" s="101" customFormat="1" spans="6:6">
      <c r="F41126" s="2423"/>
    </row>
    <row r="41127" s="101" customFormat="1" spans="6:6">
      <c r="F41127" s="2423"/>
    </row>
    <row r="41128" s="101" customFormat="1" spans="6:6">
      <c r="F41128" s="2423"/>
    </row>
    <row r="41129" s="101" customFormat="1" spans="6:6">
      <c r="F41129" s="2423"/>
    </row>
    <row r="41130" s="101" customFormat="1" spans="6:6">
      <c r="F41130" s="2423"/>
    </row>
    <row r="41131" s="101" customFormat="1" spans="6:6">
      <c r="F41131" s="2423"/>
    </row>
    <row r="41132" s="101" customFormat="1" spans="6:6">
      <c r="F41132" s="2423"/>
    </row>
    <row r="41133" s="101" customFormat="1" spans="6:6">
      <c r="F41133" s="2423"/>
    </row>
    <row r="41134" s="101" customFormat="1" spans="6:6">
      <c r="F41134" s="2423"/>
    </row>
    <row r="41135" s="101" customFormat="1" spans="6:6">
      <c r="F41135" s="2423"/>
    </row>
    <row r="41136" s="101" customFormat="1" spans="6:6">
      <c r="F41136" s="2423"/>
    </row>
    <row r="41137" s="101" customFormat="1" spans="6:6">
      <c r="F41137" s="2423"/>
    </row>
    <row r="41138" s="101" customFormat="1" spans="6:6">
      <c r="F41138" s="2423"/>
    </row>
    <row r="41139" s="101" customFormat="1" spans="6:6">
      <c r="F41139" s="2423"/>
    </row>
    <row r="41140" s="101" customFormat="1" spans="6:6">
      <c r="F41140" s="2423"/>
    </row>
    <row r="41141" s="101" customFormat="1" spans="6:6">
      <c r="F41141" s="2423"/>
    </row>
    <row r="41142" s="101" customFormat="1" spans="6:6">
      <c r="F41142" s="2423"/>
    </row>
    <row r="41143" s="101" customFormat="1" spans="6:6">
      <c r="F41143" s="2423"/>
    </row>
    <row r="41144" s="101" customFormat="1" spans="6:6">
      <c r="F41144" s="2423"/>
    </row>
    <row r="41145" s="101" customFormat="1" spans="6:6">
      <c r="F41145" s="2423"/>
    </row>
    <row r="41146" s="101" customFormat="1" spans="6:6">
      <c r="F41146" s="2423"/>
    </row>
    <row r="41147" s="101" customFormat="1" spans="6:6">
      <c r="F41147" s="2423"/>
    </row>
    <row r="41148" s="101" customFormat="1" spans="6:6">
      <c r="F41148" s="2423"/>
    </row>
    <row r="41149" s="101" customFormat="1" spans="6:6">
      <c r="F41149" s="2423"/>
    </row>
    <row r="41150" s="101" customFormat="1" spans="6:6">
      <c r="F41150" s="2423"/>
    </row>
    <row r="41151" s="101" customFormat="1" spans="6:6">
      <c r="F41151" s="2423"/>
    </row>
    <row r="41152" s="101" customFormat="1" spans="6:6">
      <c r="F41152" s="2423"/>
    </row>
    <row r="41153" s="101" customFormat="1" spans="6:6">
      <c r="F41153" s="2423"/>
    </row>
    <row r="41154" s="101" customFormat="1" spans="6:6">
      <c r="F41154" s="2423"/>
    </row>
    <row r="41155" s="101" customFormat="1" spans="6:6">
      <c r="F41155" s="2423"/>
    </row>
    <row r="41156" s="101" customFormat="1" spans="6:6">
      <c r="F41156" s="2423"/>
    </row>
    <row r="41157" s="101" customFormat="1" spans="6:6">
      <c r="F41157" s="2423"/>
    </row>
    <row r="41158" s="101" customFormat="1" spans="6:6">
      <c r="F41158" s="2423"/>
    </row>
    <row r="41159" s="101" customFormat="1" spans="6:6">
      <c r="F41159" s="2423"/>
    </row>
    <row r="41160" s="101" customFormat="1" spans="6:6">
      <c r="F41160" s="2423"/>
    </row>
    <row r="41161" s="101" customFormat="1" spans="6:6">
      <c r="F41161" s="2423"/>
    </row>
    <row r="41162" s="101" customFormat="1" spans="6:6">
      <c r="F41162" s="2423"/>
    </row>
    <row r="41163" s="101" customFormat="1" spans="6:6">
      <c r="F41163" s="2423"/>
    </row>
    <row r="41164" s="101" customFormat="1" spans="6:6">
      <c r="F41164" s="2423"/>
    </row>
    <row r="41165" s="101" customFormat="1" spans="6:6">
      <c r="F41165" s="2423"/>
    </row>
    <row r="41166" s="101" customFormat="1" spans="6:6">
      <c r="F41166" s="2423"/>
    </row>
    <row r="41167" s="101" customFormat="1" spans="6:6">
      <c r="F41167" s="2423"/>
    </row>
    <row r="41168" s="101" customFormat="1" spans="6:6">
      <c r="F41168" s="2423"/>
    </row>
    <row r="41169" s="101" customFormat="1" spans="6:6">
      <c r="F41169" s="2423"/>
    </row>
    <row r="41170" s="101" customFormat="1" spans="6:6">
      <c r="F41170" s="2423"/>
    </row>
    <row r="41171" s="101" customFormat="1" spans="6:6">
      <c r="F41171" s="2423"/>
    </row>
    <row r="41172" s="101" customFormat="1" spans="6:6">
      <c r="F41172" s="2423"/>
    </row>
    <row r="41173" s="101" customFormat="1" spans="6:6">
      <c r="F41173" s="2423"/>
    </row>
    <row r="41174" s="101" customFormat="1" spans="6:6">
      <c r="F41174" s="2423"/>
    </row>
    <row r="41175" s="101" customFormat="1" spans="6:6">
      <c r="F41175" s="2423"/>
    </row>
    <row r="41176" s="101" customFormat="1" spans="6:6">
      <c r="F41176" s="2423"/>
    </row>
    <row r="41177" s="101" customFormat="1" spans="6:6">
      <c r="F41177" s="2423"/>
    </row>
    <row r="41178" s="101" customFormat="1" spans="6:6">
      <c r="F41178" s="2423"/>
    </row>
    <row r="41179" s="101" customFormat="1" spans="6:6">
      <c r="F41179" s="2423"/>
    </row>
    <row r="41180" s="101" customFormat="1" spans="6:6">
      <c r="F41180" s="2423"/>
    </row>
    <row r="41181" s="101" customFormat="1" spans="6:6">
      <c r="F41181" s="2423"/>
    </row>
    <row r="41182" s="101" customFormat="1" spans="6:6">
      <c r="F41182" s="2423"/>
    </row>
    <row r="41183" s="101" customFormat="1" spans="6:6">
      <c r="F41183" s="2423"/>
    </row>
    <row r="41184" s="101" customFormat="1" spans="6:6">
      <c r="F41184" s="2423"/>
    </row>
    <row r="41185" s="101" customFormat="1" spans="6:6">
      <c r="F41185" s="2423"/>
    </row>
    <row r="41186" s="101" customFormat="1" spans="6:6">
      <c r="F41186" s="2423"/>
    </row>
    <row r="41187" s="101" customFormat="1" spans="6:6">
      <c r="F41187" s="2423"/>
    </row>
    <row r="41188" s="101" customFormat="1" spans="6:6">
      <c r="F41188" s="2423"/>
    </row>
    <row r="41189" s="101" customFormat="1" spans="6:6">
      <c r="F41189" s="2423"/>
    </row>
    <row r="41190" s="101" customFormat="1" spans="6:6">
      <c r="F41190" s="2423"/>
    </row>
    <row r="41191" s="101" customFormat="1" spans="6:6">
      <c r="F41191" s="2423"/>
    </row>
    <row r="41192" s="101" customFormat="1" spans="6:6">
      <c r="F41192" s="2423"/>
    </row>
    <row r="41193" s="101" customFormat="1" spans="6:6">
      <c r="F41193" s="2423"/>
    </row>
    <row r="41194" s="101" customFormat="1" spans="6:6">
      <c r="F41194" s="2423"/>
    </row>
    <row r="41195" s="101" customFormat="1" spans="6:6">
      <c r="F41195" s="2423"/>
    </row>
    <row r="41196" s="101" customFormat="1" spans="6:6">
      <c r="F41196" s="2423"/>
    </row>
    <row r="41197" s="101" customFormat="1" spans="6:6">
      <c r="F41197" s="2423"/>
    </row>
    <row r="41198" s="101" customFormat="1" spans="6:6">
      <c r="F41198" s="2423"/>
    </row>
    <row r="41199" s="101" customFormat="1" spans="6:6">
      <c r="F41199" s="2423"/>
    </row>
    <row r="41200" s="101" customFormat="1" spans="6:6">
      <c r="F41200" s="2423"/>
    </row>
    <row r="41201" s="101" customFormat="1" spans="6:6">
      <c r="F41201" s="2423"/>
    </row>
    <row r="41202" s="101" customFormat="1" spans="6:6">
      <c r="F41202" s="2423"/>
    </row>
    <row r="41203" s="101" customFormat="1" spans="6:6">
      <c r="F41203" s="2423"/>
    </row>
    <row r="41204" s="101" customFormat="1" spans="6:6">
      <c r="F41204" s="2423"/>
    </row>
    <row r="41205" s="101" customFormat="1" spans="6:6">
      <c r="F41205" s="2423"/>
    </row>
    <row r="41206" s="101" customFormat="1" spans="6:6">
      <c r="F41206" s="2423"/>
    </row>
    <row r="41207" s="101" customFormat="1" spans="6:6">
      <c r="F41207" s="2423"/>
    </row>
    <row r="41208" s="101" customFormat="1" spans="6:6">
      <c r="F41208" s="2423"/>
    </row>
    <row r="41209" s="101" customFormat="1" spans="6:6">
      <c r="F41209" s="2423"/>
    </row>
    <row r="41210" s="101" customFormat="1" spans="6:6">
      <c r="F41210" s="2423"/>
    </row>
    <row r="41211" s="101" customFormat="1" spans="6:6">
      <c r="F41211" s="2423"/>
    </row>
    <row r="41212" s="101" customFormat="1" spans="6:6">
      <c r="F41212" s="2423"/>
    </row>
    <row r="41213" s="101" customFormat="1" spans="6:6">
      <c r="F41213" s="2423"/>
    </row>
    <row r="41214" s="101" customFormat="1" spans="6:6">
      <c r="F41214" s="2423"/>
    </row>
    <row r="41215" s="101" customFormat="1" spans="6:6">
      <c r="F41215" s="2423"/>
    </row>
    <row r="41216" s="101" customFormat="1" spans="6:6">
      <c r="F41216" s="2423"/>
    </row>
    <row r="41217" s="101" customFormat="1" spans="6:6">
      <c r="F41217" s="2423"/>
    </row>
    <row r="41218" s="101" customFormat="1" spans="6:6">
      <c r="F41218" s="2423"/>
    </row>
    <row r="41219" s="101" customFormat="1" spans="6:6">
      <c r="F41219" s="2423"/>
    </row>
    <row r="41220" s="101" customFormat="1" spans="6:6">
      <c r="F41220" s="2423"/>
    </row>
    <row r="41221" s="101" customFormat="1" spans="6:6">
      <c r="F41221" s="2423"/>
    </row>
    <row r="41222" s="101" customFormat="1" spans="6:6">
      <c r="F41222" s="2423"/>
    </row>
    <row r="41223" s="101" customFormat="1" spans="6:6">
      <c r="F41223" s="2423"/>
    </row>
    <row r="41224" s="101" customFormat="1" spans="6:6">
      <c r="F41224" s="2423"/>
    </row>
    <row r="41225" s="101" customFormat="1" spans="6:6">
      <c r="F41225" s="2423"/>
    </row>
    <row r="41226" s="101" customFormat="1" spans="6:6">
      <c r="F41226" s="2423"/>
    </row>
    <row r="41227" s="101" customFormat="1" spans="6:6">
      <c r="F41227" s="2423"/>
    </row>
    <row r="41228" s="101" customFormat="1" spans="6:6">
      <c r="F41228" s="2423"/>
    </row>
    <row r="41229" s="101" customFormat="1" spans="6:6">
      <c r="F41229" s="2423"/>
    </row>
    <row r="41230" s="101" customFormat="1" spans="6:6">
      <c r="F41230" s="2423"/>
    </row>
    <row r="41231" s="101" customFormat="1" spans="6:6">
      <c r="F41231" s="2423"/>
    </row>
    <row r="41232" s="101" customFormat="1" spans="6:6">
      <c r="F41232" s="2423"/>
    </row>
    <row r="41233" s="101" customFormat="1" spans="6:6">
      <c r="F41233" s="2423"/>
    </row>
    <row r="41234" s="101" customFormat="1" spans="6:6">
      <c r="F41234" s="2423"/>
    </row>
    <row r="41235" s="101" customFormat="1" spans="6:6">
      <c r="F41235" s="2423"/>
    </row>
    <row r="41236" s="101" customFormat="1" spans="6:6">
      <c r="F41236" s="2423"/>
    </row>
    <row r="41237" s="101" customFormat="1" spans="6:6">
      <c r="F41237" s="2423"/>
    </row>
    <row r="41238" s="101" customFormat="1" spans="6:6">
      <c r="F41238" s="2423"/>
    </row>
    <row r="41239" s="101" customFormat="1" spans="6:6">
      <c r="F41239" s="2423"/>
    </row>
    <row r="41240" s="101" customFormat="1" spans="6:6">
      <c r="F41240" s="2423"/>
    </row>
    <row r="41241" s="101" customFormat="1" spans="6:6">
      <c r="F41241" s="2423"/>
    </row>
    <row r="41242" s="101" customFormat="1" spans="6:6">
      <c r="F41242" s="2423"/>
    </row>
    <row r="41243" s="101" customFormat="1" spans="6:6">
      <c r="F41243" s="2423"/>
    </row>
    <row r="41244" s="101" customFormat="1" spans="6:6">
      <c r="F41244" s="2423"/>
    </row>
    <row r="41245" s="101" customFormat="1" spans="6:6">
      <c r="F41245" s="2423"/>
    </row>
    <row r="41246" s="101" customFormat="1" spans="6:6">
      <c r="F41246" s="2423"/>
    </row>
    <row r="41247" s="101" customFormat="1" spans="6:6">
      <c r="F41247" s="2423"/>
    </row>
    <row r="41248" s="101" customFormat="1" spans="6:6">
      <c r="F41248" s="2423"/>
    </row>
    <row r="41249" s="101" customFormat="1" spans="6:6">
      <c r="F41249" s="2423"/>
    </row>
    <row r="41250" s="101" customFormat="1" spans="6:6">
      <c r="F41250" s="2423"/>
    </row>
    <row r="41251" s="101" customFormat="1" spans="6:6">
      <c r="F41251" s="2423"/>
    </row>
    <row r="41252" s="101" customFormat="1" spans="6:6">
      <c r="F41252" s="2423"/>
    </row>
    <row r="41253" s="101" customFormat="1" spans="6:6">
      <c r="F41253" s="2423"/>
    </row>
    <row r="41254" s="101" customFormat="1" spans="6:6">
      <c r="F41254" s="2423"/>
    </row>
    <row r="41255" s="101" customFormat="1" spans="6:6">
      <c r="F41255" s="2423"/>
    </row>
    <row r="41256" s="101" customFormat="1" spans="6:6">
      <c r="F41256" s="2423"/>
    </row>
    <row r="41257" s="101" customFormat="1" spans="6:6">
      <c r="F41257" s="2423"/>
    </row>
    <row r="41258" s="101" customFormat="1" spans="6:6">
      <c r="F41258" s="2423"/>
    </row>
    <row r="41259" s="101" customFormat="1" spans="6:6">
      <c r="F41259" s="2423"/>
    </row>
    <row r="41260" s="101" customFormat="1" spans="6:6">
      <c r="F41260" s="2423"/>
    </row>
    <row r="41261" s="101" customFormat="1" spans="6:6">
      <c r="F41261" s="2423"/>
    </row>
    <row r="41262" s="101" customFormat="1" spans="6:6">
      <c r="F41262" s="2423"/>
    </row>
    <row r="41263" s="101" customFormat="1" spans="6:6">
      <c r="F41263" s="2423"/>
    </row>
    <row r="41264" s="101" customFormat="1" spans="6:6">
      <c r="F41264" s="2423"/>
    </row>
    <row r="41265" s="101" customFormat="1" spans="6:6">
      <c r="F41265" s="2423"/>
    </row>
    <row r="41266" s="101" customFormat="1" spans="6:6">
      <c r="F41266" s="2423"/>
    </row>
    <row r="41267" s="101" customFormat="1" spans="6:6">
      <c r="F41267" s="2423"/>
    </row>
    <row r="41268" s="101" customFormat="1" spans="6:6">
      <c r="F41268" s="2423"/>
    </row>
    <row r="41269" s="101" customFormat="1" spans="6:6">
      <c r="F41269" s="2423"/>
    </row>
    <row r="41270" s="101" customFormat="1" spans="6:6">
      <c r="F41270" s="2423"/>
    </row>
    <row r="41271" s="101" customFormat="1" spans="6:6">
      <c r="F41271" s="2423"/>
    </row>
    <row r="41272" s="101" customFormat="1" spans="6:6">
      <c r="F41272" s="2423"/>
    </row>
    <row r="41273" s="101" customFormat="1" spans="6:6">
      <c r="F41273" s="2423"/>
    </row>
    <row r="41274" s="101" customFormat="1" spans="6:6">
      <c r="F41274" s="2423"/>
    </row>
    <row r="41275" s="101" customFormat="1" spans="6:6">
      <c r="F41275" s="2423"/>
    </row>
    <row r="41276" s="101" customFormat="1" spans="6:6">
      <c r="F41276" s="2423"/>
    </row>
    <row r="41277" s="101" customFormat="1" spans="6:6">
      <c r="F41277" s="2423"/>
    </row>
    <row r="41278" s="101" customFormat="1" spans="6:6">
      <c r="F41278" s="2423"/>
    </row>
    <row r="41279" s="101" customFormat="1" spans="6:6">
      <c r="F41279" s="2423"/>
    </row>
    <row r="41280" s="101" customFormat="1" spans="6:6">
      <c r="F41280" s="2423"/>
    </row>
    <row r="41281" s="101" customFormat="1" spans="6:6">
      <c r="F41281" s="2423"/>
    </row>
    <row r="41282" s="101" customFormat="1" spans="6:6">
      <c r="F41282" s="2423"/>
    </row>
    <row r="41283" s="101" customFormat="1" spans="6:6">
      <c r="F41283" s="2423"/>
    </row>
    <row r="41284" s="101" customFormat="1" spans="6:6">
      <c r="F41284" s="2423"/>
    </row>
    <row r="41285" s="101" customFormat="1" spans="6:6">
      <c r="F41285" s="2423"/>
    </row>
    <row r="41286" s="101" customFormat="1" spans="6:6">
      <c r="F41286" s="2423"/>
    </row>
    <row r="41287" s="101" customFormat="1" spans="6:6">
      <c r="F41287" s="2423"/>
    </row>
    <row r="41288" s="101" customFormat="1" spans="6:6">
      <c r="F41288" s="2423"/>
    </row>
    <row r="41289" s="101" customFormat="1" spans="6:6">
      <c r="F41289" s="2423"/>
    </row>
    <row r="41290" s="101" customFormat="1" spans="6:6">
      <c r="F41290" s="2423"/>
    </row>
    <row r="41291" s="101" customFormat="1" spans="6:6">
      <c r="F41291" s="2423"/>
    </row>
    <row r="41292" s="101" customFormat="1" spans="6:6">
      <c r="F41292" s="2423"/>
    </row>
    <row r="41293" s="101" customFormat="1" spans="6:6">
      <c r="F41293" s="2423"/>
    </row>
    <row r="41294" s="101" customFormat="1" spans="6:6">
      <c r="F41294" s="2423"/>
    </row>
    <row r="41295" s="101" customFormat="1" spans="6:6">
      <c r="F41295" s="2423"/>
    </row>
    <row r="41296" s="101" customFormat="1" spans="6:6">
      <c r="F41296" s="2423"/>
    </row>
    <row r="41297" s="101" customFormat="1" spans="6:6">
      <c r="F41297" s="2423"/>
    </row>
    <row r="41298" s="101" customFormat="1" spans="6:6">
      <c r="F41298" s="2423"/>
    </row>
    <row r="41299" s="101" customFormat="1" spans="6:6">
      <c r="F41299" s="2423"/>
    </row>
    <row r="41300" s="101" customFormat="1" spans="6:6">
      <c r="F41300" s="2423"/>
    </row>
    <row r="41301" s="101" customFormat="1" spans="6:6">
      <c r="F41301" s="2423"/>
    </row>
    <row r="41302" s="101" customFormat="1" spans="6:6">
      <c r="F41302" s="2423"/>
    </row>
    <row r="41303" s="101" customFormat="1" spans="6:6">
      <c r="F41303" s="2423"/>
    </row>
    <row r="41304" s="101" customFormat="1" spans="6:6">
      <c r="F41304" s="2423"/>
    </row>
    <row r="41305" s="101" customFormat="1" spans="6:6">
      <c r="F41305" s="2423"/>
    </row>
    <row r="41306" s="101" customFormat="1" spans="6:6">
      <c r="F41306" s="2423"/>
    </row>
    <row r="41307" s="101" customFormat="1" spans="6:6">
      <c r="F41307" s="2423"/>
    </row>
    <row r="41308" s="101" customFormat="1" spans="6:6">
      <c r="F41308" s="2423"/>
    </row>
    <row r="41309" s="101" customFormat="1" spans="6:6">
      <c r="F41309" s="2423"/>
    </row>
    <row r="41310" s="101" customFormat="1" spans="6:6">
      <c r="F41310" s="2423"/>
    </row>
    <row r="41311" s="101" customFormat="1" spans="6:6">
      <c r="F41311" s="2423"/>
    </row>
    <row r="41312" s="101" customFormat="1" spans="6:6">
      <c r="F41312" s="2423"/>
    </row>
    <row r="41313" s="101" customFormat="1" spans="6:6">
      <c r="F41313" s="2423"/>
    </row>
    <row r="41314" s="101" customFormat="1" spans="6:6">
      <c r="F41314" s="2423"/>
    </row>
    <row r="41315" s="101" customFormat="1" spans="6:6">
      <c r="F41315" s="2423"/>
    </row>
    <row r="41316" s="101" customFormat="1" spans="6:6">
      <c r="F41316" s="2423"/>
    </row>
    <row r="41317" s="101" customFormat="1" spans="6:6">
      <c r="F41317" s="2423"/>
    </row>
    <row r="41318" s="101" customFormat="1" spans="6:6">
      <c r="F41318" s="2423"/>
    </row>
    <row r="41319" s="101" customFormat="1" spans="6:6">
      <c r="F41319" s="2423"/>
    </row>
    <row r="41320" s="101" customFormat="1" spans="6:6">
      <c r="F41320" s="2423"/>
    </row>
    <row r="41321" s="101" customFormat="1" spans="6:6">
      <c r="F41321" s="2423"/>
    </row>
    <row r="41322" s="101" customFormat="1" spans="6:6">
      <c r="F41322" s="2423"/>
    </row>
    <row r="41323" s="101" customFormat="1" spans="6:6">
      <c r="F41323" s="2423"/>
    </row>
    <row r="41324" s="101" customFormat="1" spans="6:6">
      <c r="F41324" s="2423"/>
    </row>
    <row r="41325" s="101" customFormat="1" spans="6:6">
      <c r="F41325" s="2423"/>
    </row>
    <row r="41326" s="101" customFormat="1" spans="6:6">
      <c r="F41326" s="2423"/>
    </row>
    <row r="41327" s="101" customFormat="1" spans="6:6">
      <c r="F41327" s="2423"/>
    </row>
    <row r="41328" s="101" customFormat="1" spans="6:6">
      <c r="F41328" s="2423"/>
    </row>
    <row r="41329" s="101" customFormat="1" spans="6:6">
      <c r="F41329" s="2423"/>
    </row>
    <row r="41330" s="101" customFormat="1" spans="6:6">
      <c r="F41330" s="2423"/>
    </row>
    <row r="41331" s="101" customFormat="1" spans="6:6">
      <c r="F41331" s="2423"/>
    </row>
    <row r="41332" s="101" customFormat="1" spans="6:6">
      <c r="F41332" s="2423"/>
    </row>
    <row r="41333" s="101" customFormat="1" spans="6:6">
      <c r="F41333" s="2423"/>
    </row>
    <row r="41334" s="101" customFormat="1" spans="6:6">
      <c r="F41334" s="2423"/>
    </row>
    <row r="41335" s="101" customFormat="1" spans="6:6">
      <c r="F41335" s="2423"/>
    </row>
    <row r="41336" s="101" customFormat="1" spans="6:6">
      <c r="F41336" s="2423"/>
    </row>
    <row r="41337" s="101" customFormat="1" spans="6:6">
      <c r="F41337" s="2423"/>
    </row>
    <row r="41338" s="101" customFormat="1" spans="6:6">
      <c r="F41338" s="2423"/>
    </row>
    <row r="41339" s="101" customFormat="1" spans="6:6">
      <c r="F41339" s="2423"/>
    </row>
    <row r="41340" s="101" customFormat="1" spans="6:6">
      <c r="F41340" s="2423"/>
    </row>
    <row r="41341" s="101" customFormat="1" spans="6:6">
      <c r="F41341" s="2423"/>
    </row>
    <row r="41342" s="101" customFormat="1" spans="6:6">
      <c r="F41342" s="2423"/>
    </row>
    <row r="41343" s="101" customFormat="1" spans="6:6">
      <c r="F41343" s="2423"/>
    </row>
    <row r="41344" s="101" customFormat="1" spans="6:6">
      <c r="F41344" s="2423"/>
    </row>
    <row r="41345" s="101" customFormat="1" spans="6:6">
      <c r="F41345" s="2423"/>
    </row>
    <row r="41346" s="101" customFormat="1" spans="6:6">
      <c r="F41346" s="2423"/>
    </row>
    <row r="41347" s="101" customFormat="1" spans="6:6">
      <c r="F41347" s="2423"/>
    </row>
    <row r="41348" s="101" customFormat="1" spans="6:6">
      <c r="F41348" s="2423"/>
    </row>
    <row r="41349" s="101" customFormat="1" spans="6:6">
      <c r="F41349" s="2423"/>
    </row>
    <row r="41350" s="101" customFormat="1" spans="6:6">
      <c r="F41350" s="2423"/>
    </row>
    <row r="41351" s="101" customFormat="1" spans="6:6">
      <c r="F41351" s="2423"/>
    </row>
    <row r="41352" s="101" customFormat="1" spans="6:6">
      <c r="F41352" s="2423"/>
    </row>
    <row r="41353" s="101" customFormat="1" spans="6:6">
      <c r="F41353" s="2423"/>
    </row>
    <row r="41354" s="101" customFormat="1" spans="6:6">
      <c r="F41354" s="2423"/>
    </row>
    <row r="41355" s="101" customFormat="1" spans="6:6">
      <c r="F41355" s="2423"/>
    </row>
    <row r="41356" s="101" customFormat="1" spans="6:6">
      <c r="F41356" s="2423"/>
    </row>
    <row r="41357" s="101" customFormat="1" spans="6:6">
      <c r="F41357" s="2423"/>
    </row>
    <row r="41358" s="101" customFormat="1" spans="6:6">
      <c r="F41358" s="2423"/>
    </row>
    <row r="41359" s="101" customFormat="1" spans="6:6">
      <c r="F41359" s="2423"/>
    </row>
    <row r="41360" s="101" customFormat="1" spans="6:6">
      <c r="F41360" s="2423"/>
    </row>
    <row r="41361" s="101" customFormat="1" spans="6:6">
      <c r="F41361" s="2423"/>
    </row>
    <row r="41362" s="101" customFormat="1" spans="6:6">
      <c r="F41362" s="2423"/>
    </row>
    <row r="41363" s="101" customFormat="1" spans="6:6">
      <c r="F41363" s="2423"/>
    </row>
    <row r="41364" s="101" customFormat="1" spans="6:6">
      <c r="F41364" s="2423"/>
    </row>
    <row r="41365" s="101" customFormat="1" spans="6:6">
      <c r="F41365" s="2423"/>
    </row>
    <row r="41366" s="101" customFormat="1" spans="6:6">
      <c r="F41366" s="2423"/>
    </row>
    <row r="41367" s="101" customFormat="1" spans="6:6">
      <c r="F41367" s="2423"/>
    </row>
    <row r="41368" s="101" customFormat="1" spans="6:6">
      <c r="F41368" s="2423"/>
    </row>
    <row r="41369" s="101" customFormat="1" spans="6:6">
      <c r="F41369" s="2423"/>
    </row>
    <row r="41370" s="101" customFormat="1" spans="6:6">
      <c r="F41370" s="2423"/>
    </row>
    <row r="41371" s="101" customFormat="1" spans="6:6">
      <c r="F41371" s="2423"/>
    </row>
    <row r="41372" s="101" customFormat="1" spans="6:6">
      <c r="F41372" s="2423"/>
    </row>
    <row r="41373" s="101" customFormat="1" spans="6:6">
      <c r="F41373" s="2423"/>
    </row>
    <row r="41374" s="101" customFormat="1" spans="6:6">
      <c r="F41374" s="2423"/>
    </row>
    <row r="41375" s="101" customFormat="1" spans="6:6">
      <c r="F41375" s="2423"/>
    </row>
    <row r="41376" s="101" customFormat="1" spans="6:6">
      <c r="F41376" s="2423"/>
    </row>
    <row r="41377" s="101" customFormat="1" spans="6:6">
      <c r="F41377" s="2423"/>
    </row>
    <row r="41378" s="101" customFormat="1" spans="6:6">
      <c r="F41378" s="2423"/>
    </row>
    <row r="41379" s="101" customFormat="1" spans="6:6">
      <c r="F41379" s="2423"/>
    </row>
    <row r="41380" s="101" customFormat="1" spans="6:6">
      <c r="F41380" s="2423"/>
    </row>
    <row r="41381" s="101" customFormat="1" spans="6:6">
      <c r="F41381" s="2423"/>
    </row>
    <row r="41382" s="101" customFormat="1" spans="6:6">
      <c r="F41382" s="2423"/>
    </row>
    <row r="41383" s="101" customFormat="1" spans="6:6">
      <c r="F41383" s="2423"/>
    </row>
    <row r="41384" s="101" customFormat="1" spans="6:6">
      <c r="F41384" s="2423"/>
    </row>
    <row r="41385" s="101" customFormat="1" spans="6:6">
      <c r="F41385" s="2423"/>
    </row>
    <row r="41386" s="101" customFormat="1" spans="6:6">
      <c r="F41386" s="2423"/>
    </row>
    <row r="41387" s="101" customFormat="1" spans="6:6">
      <c r="F41387" s="2423"/>
    </row>
    <row r="41388" s="101" customFormat="1" spans="6:6">
      <c r="F41388" s="2423"/>
    </row>
    <row r="41389" s="101" customFormat="1" spans="6:6">
      <c r="F41389" s="2423"/>
    </row>
    <row r="41390" s="101" customFormat="1" spans="6:6">
      <c r="F41390" s="2423"/>
    </row>
    <row r="41391" s="101" customFormat="1" spans="6:6">
      <c r="F41391" s="2423"/>
    </row>
    <row r="41392" s="101" customFormat="1" spans="6:6">
      <c r="F41392" s="2423"/>
    </row>
    <row r="41393" s="101" customFormat="1" spans="6:6">
      <c r="F41393" s="2423"/>
    </row>
    <row r="41394" s="101" customFormat="1" spans="6:6">
      <c r="F41394" s="2423"/>
    </row>
    <row r="41395" s="101" customFormat="1" spans="6:6">
      <c r="F41395" s="2423"/>
    </row>
    <row r="41396" s="101" customFormat="1" spans="6:6">
      <c r="F41396" s="2423"/>
    </row>
    <row r="41397" s="101" customFormat="1" spans="6:6">
      <c r="F41397" s="2423"/>
    </row>
    <row r="41398" s="101" customFormat="1" spans="6:6">
      <c r="F41398" s="2423"/>
    </row>
    <row r="41399" s="101" customFormat="1" spans="6:6">
      <c r="F41399" s="2423"/>
    </row>
    <row r="41400" s="101" customFormat="1" spans="6:6">
      <c r="F41400" s="2423"/>
    </row>
    <row r="41401" s="101" customFormat="1" spans="6:6">
      <c r="F41401" s="2423"/>
    </row>
    <row r="41402" s="101" customFormat="1" spans="6:6">
      <c r="F41402" s="2423"/>
    </row>
    <row r="41403" s="101" customFormat="1" spans="6:6">
      <c r="F41403" s="2423"/>
    </row>
    <row r="41404" s="101" customFormat="1" spans="6:6">
      <c r="F41404" s="2423"/>
    </row>
    <row r="41405" s="101" customFormat="1" spans="6:6">
      <c r="F41405" s="2423"/>
    </row>
    <row r="41406" s="101" customFormat="1" spans="6:6">
      <c r="F41406" s="2423"/>
    </row>
    <row r="41407" s="101" customFormat="1" spans="6:6">
      <c r="F41407" s="2423"/>
    </row>
    <row r="41408" s="101" customFormat="1" spans="6:6">
      <c r="F41408" s="2423"/>
    </row>
    <row r="41409" s="101" customFormat="1" spans="6:6">
      <c r="F41409" s="2423"/>
    </row>
    <row r="41410" s="101" customFormat="1" spans="6:6">
      <c r="F41410" s="2423"/>
    </row>
    <row r="41411" s="101" customFormat="1" spans="6:6">
      <c r="F41411" s="2423"/>
    </row>
    <row r="41412" s="101" customFormat="1" spans="6:6">
      <c r="F41412" s="2423"/>
    </row>
    <row r="41413" s="101" customFormat="1" spans="6:6">
      <c r="F41413" s="2423"/>
    </row>
    <row r="41414" s="101" customFormat="1" spans="6:6">
      <c r="F41414" s="2423"/>
    </row>
    <row r="41415" s="101" customFormat="1" spans="6:6">
      <c r="F41415" s="2423"/>
    </row>
    <row r="41416" s="101" customFormat="1" spans="6:6">
      <c r="F41416" s="2423"/>
    </row>
    <row r="41417" s="101" customFormat="1" spans="6:6">
      <c r="F41417" s="2423"/>
    </row>
    <row r="41418" s="101" customFormat="1" spans="6:6">
      <c r="F41418" s="2423"/>
    </row>
    <row r="41419" s="101" customFormat="1" spans="6:6">
      <c r="F41419" s="2423"/>
    </row>
    <row r="41420" s="101" customFormat="1" spans="6:6">
      <c r="F41420" s="2423"/>
    </row>
    <row r="41421" s="101" customFormat="1" spans="6:6">
      <c r="F41421" s="2423"/>
    </row>
    <row r="41422" s="101" customFormat="1" spans="6:6">
      <c r="F41422" s="2423"/>
    </row>
    <row r="41423" s="101" customFormat="1" spans="6:6">
      <c r="F41423" s="2423"/>
    </row>
    <row r="41424" s="101" customFormat="1" spans="6:6">
      <c r="F41424" s="2423"/>
    </row>
    <row r="41425" s="101" customFormat="1" spans="6:6">
      <c r="F41425" s="2423"/>
    </row>
    <row r="41426" s="101" customFormat="1" spans="6:6">
      <c r="F41426" s="2423"/>
    </row>
    <row r="41427" s="101" customFormat="1" spans="6:6">
      <c r="F41427" s="2423"/>
    </row>
    <row r="41428" s="101" customFormat="1" spans="6:6">
      <c r="F41428" s="2423"/>
    </row>
    <row r="41429" s="101" customFormat="1" spans="6:6">
      <c r="F41429" s="2423"/>
    </row>
    <row r="41430" s="101" customFormat="1" spans="6:6">
      <c r="F41430" s="2423"/>
    </row>
    <row r="41431" s="101" customFormat="1" spans="6:6">
      <c r="F41431" s="2423"/>
    </row>
    <row r="41432" s="101" customFormat="1" spans="6:6">
      <c r="F41432" s="2423"/>
    </row>
    <row r="41433" s="101" customFormat="1" spans="6:6">
      <c r="F41433" s="2423"/>
    </row>
    <row r="41434" s="101" customFormat="1" spans="6:6">
      <c r="F41434" s="2423"/>
    </row>
    <row r="41435" s="101" customFormat="1" spans="6:6">
      <c r="F41435" s="2423"/>
    </row>
    <row r="41436" s="101" customFormat="1" spans="6:6">
      <c r="F41436" s="2423"/>
    </row>
    <row r="41437" s="101" customFormat="1" spans="6:6">
      <c r="F41437" s="2423"/>
    </row>
    <row r="41438" s="101" customFormat="1" spans="6:6">
      <c r="F41438" s="2423"/>
    </row>
    <row r="41439" s="101" customFormat="1" spans="6:6">
      <c r="F41439" s="2423"/>
    </row>
    <row r="41440" s="101" customFormat="1" spans="6:6">
      <c r="F41440" s="2423"/>
    </row>
    <row r="41441" s="101" customFormat="1" spans="6:6">
      <c r="F41441" s="2423"/>
    </row>
    <row r="41442" s="101" customFormat="1" spans="6:6">
      <c r="F41442" s="2423"/>
    </row>
    <row r="41443" s="101" customFormat="1" spans="6:6">
      <c r="F41443" s="2423"/>
    </row>
    <row r="41444" s="101" customFormat="1" spans="6:6">
      <c r="F41444" s="2423"/>
    </row>
    <row r="41445" s="101" customFormat="1" spans="6:6">
      <c r="F41445" s="2423"/>
    </row>
    <row r="41446" s="101" customFormat="1" spans="6:6">
      <c r="F41446" s="2423"/>
    </row>
    <row r="41447" s="101" customFormat="1" spans="6:6">
      <c r="F41447" s="2423"/>
    </row>
    <row r="41448" s="101" customFormat="1" spans="6:6">
      <c r="F41448" s="2423"/>
    </row>
    <row r="41449" s="101" customFormat="1" spans="6:6">
      <c r="F41449" s="2423"/>
    </row>
    <row r="41450" s="101" customFormat="1" spans="6:6">
      <c r="F41450" s="2423"/>
    </row>
    <row r="41451" s="101" customFormat="1" spans="6:6">
      <c r="F41451" s="2423"/>
    </row>
    <row r="41452" s="101" customFormat="1" spans="6:6">
      <c r="F41452" s="2423"/>
    </row>
    <row r="41453" s="101" customFormat="1" spans="6:6">
      <c r="F41453" s="2423"/>
    </row>
    <row r="41454" s="101" customFormat="1" spans="6:6">
      <c r="F41454" s="2423"/>
    </row>
    <row r="41455" s="101" customFormat="1" spans="6:6">
      <c r="F41455" s="2423"/>
    </row>
    <row r="41456" s="101" customFormat="1" spans="6:6">
      <c r="F41456" s="2423"/>
    </row>
    <row r="41457" s="101" customFormat="1" spans="6:6">
      <c r="F41457" s="2423"/>
    </row>
    <row r="41458" s="101" customFormat="1" spans="6:6">
      <c r="F41458" s="2423"/>
    </row>
    <row r="41459" s="101" customFormat="1" spans="6:6">
      <c r="F41459" s="2423"/>
    </row>
    <row r="41460" s="101" customFormat="1" spans="6:6">
      <c r="F41460" s="2423"/>
    </row>
    <row r="41461" s="101" customFormat="1" spans="6:6">
      <c r="F41461" s="2423"/>
    </row>
    <row r="41462" s="101" customFormat="1" spans="6:6">
      <c r="F41462" s="2423"/>
    </row>
    <row r="41463" s="101" customFormat="1" spans="6:6">
      <c r="F41463" s="2423"/>
    </row>
    <row r="41464" s="101" customFormat="1" spans="6:6">
      <c r="F41464" s="2423"/>
    </row>
    <row r="41465" s="101" customFormat="1" spans="6:6">
      <c r="F41465" s="2423"/>
    </row>
    <row r="41466" s="101" customFormat="1" spans="6:6">
      <c r="F41466" s="2423"/>
    </row>
    <row r="41467" s="101" customFormat="1" spans="6:6">
      <c r="F41467" s="2423"/>
    </row>
    <row r="41468" s="101" customFormat="1" spans="6:6">
      <c r="F41468" s="2423"/>
    </row>
    <row r="41469" s="101" customFormat="1" spans="6:6">
      <c r="F41469" s="2423"/>
    </row>
    <row r="41470" s="101" customFormat="1" spans="6:6">
      <c r="F41470" s="2423"/>
    </row>
    <row r="41471" s="101" customFormat="1" spans="6:6">
      <c r="F41471" s="2423"/>
    </row>
    <row r="41472" s="101" customFormat="1" spans="6:6">
      <c r="F41472" s="2423"/>
    </row>
    <row r="41473" s="101" customFormat="1" spans="6:6">
      <c r="F41473" s="2423"/>
    </row>
    <row r="41474" s="101" customFormat="1" spans="6:6">
      <c r="F41474" s="2423"/>
    </row>
    <row r="41475" s="101" customFormat="1" spans="6:6">
      <c r="F41475" s="2423"/>
    </row>
    <row r="41476" s="101" customFormat="1" spans="6:6">
      <c r="F41476" s="2423"/>
    </row>
    <row r="41477" s="101" customFormat="1" spans="6:6">
      <c r="F41477" s="2423"/>
    </row>
    <row r="41478" s="101" customFormat="1" spans="6:6">
      <c r="F41478" s="2423"/>
    </row>
    <row r="41479" s="101" customFormat="1" spans="6:6">
      <c r="F41479" s="2423"/>
    </row>
    <row r="41480" s="101" customFormat="1" spans="6:6">
      <c r="F41480" s="2423"/>
    </row>
    <row r="41481" s="101" customFormat="1" spans="6:6">
      <c r="F41481" s="2423"/>
    </row>
    <row r="41482" s="101" customFormat="1" spans="6:6">
      <c r="F41482" s="2423"/>
    </row>
    <row r="41483" s="101" customFormat="1" spans="6:6">
      <c r="F41483" s="2423"/>
    </row>
    <row r="41484" s="101" customFormat="1" spans="6:6">
      <c r="F41484" s="2423"/>
    </row>
    <row r="41485" s="101" customFormat="1" spans="6:6">
      <c r="F41485" s="2423"/>
    </row>
    <row r="41486" s="101" customFormat="1" spans="6:6">
      <c r="F41486" s="2423"/>
    </row>
    <row r="41487" s="101" customFormat="1" spans="6:6">
      <c r="F41487" s="2423"/>
    </row>
    <row r="41488" s="101" customFormat="1" spans="6:6">
      <c r="F41488" s="2423"/>
    </row>
    <row r="41489" s="101" customFormat="1" spans="6:6">
      <c r="F41489" s="2423"/>
    </row>
    <row r="41490" s="101" customFormat="1" spans="6:6">
      <c r="F41490" s="2423"/>
    </row>
    <row r="41491" s="101" customFormat="1" spans="6:6">
      <c r="F41491" s="2423"/>
    </row>
    <row r="41492" s="101" customFormat="1" spans="6:6">
      <c r="F41492" s="2423"/>
    </row>
    <row r="41493" s="101" customFormat="1" spans="6:6">
      <c r="F41493" s="2423"/>
    </row>
    <row r="41494" s="101" customFormat="1" spans="6:6">
      <c r="F41494" s="2423"/>
    </row>
    <row r="41495" s="101" customFormat="1" spans="6:6">
      <c r="F41495" s="2423"/>
    </row>
    <row r="41496" s="101" customFormat="1" spans="6:6">
      <c r="F41496" s="2423"/>
    </row>
    <row r="41497" s="101" customFormat="1" spans="6:6">
      <c r="F41497" s="2423"/>
    </row>
    <row r="41498" s="101" customFormat="1" spans="6:6">
      <c r="F41498" s="2423"/>
    </row>
    <row r="41499" s="101" customFormat="1" spans="6:6">
      <c r="F41499" s="2423"/>
    </row>
    <row r="41500" s="101" customFormat="1" spans="6:6">
      <c r="F41500" s="2423"/>
    </row>
    <row r="41501" s="101" customFormat="1" spans="6:6">
      <c r="F41501" s="2423"/>
    </row>
    <row r="41502" s="101" customFormat="1" spans="6:6">
      <c r="F41502" s="2423"/>
    </row>
    <row r="41503" s="101" customFormat="1" spans="6:6">
      <c r="F41503" s="2423"/>
    </row>
    <row r="41504" s="101" customFormat="1" spans="6:6">
      <c r="F41504" s="2423"/>
    </row>
    <row r="41505" s="101" customFormat="1" spans="6:6">
      <c r="F41505" s="2423"/>
    </row>
    <row r="41506" s="101" customFormat="1" spans="6:6">
      <c r="F41506" s="2423"/>
    </row>
    <row r="41507" s="101" customFormat="1" spans="6:6">
      <c r="F41507" s="2423"/>
    </row>
    <row r="41508" s="101" customFormat="1" spans="6:6">
      <c r="F41508" s="2423"/>
    </row>
    <row r="41509" s="101" customFormat="1" spans="6:6">
      <c r="F41509" s="2423"/>
    </row>
    <row r="41510" s="101" customFormat="1" spans="6:6">
      <c r="F41510" s="2423"/>
    </row>
    <row r="41511" s="101" customFormat="1" spans="6:6">
      <c r="F41511" s="2423"/>
    </row>
    <row r="41512" s="101" customFormat="1" spans="6:6">
      <c r="F41512" s="2423"/>
    </row>
    <row r="41513" s="101" customFormat="1" spans="6:6">
      <c r="F41513" s="2423"/>
    </row>
    <row r="41514" s="101" customFormat="1" spans="6:6">
      <c r="F41514" s="2423"/>
    </row>
    <row r="41515" s="101" customFormat="1" spans="6:6">
      <c r="F41515" s="2423"/>
    </row>
    <row r="41516" s="101" customFormat="1" spans="6:6">
      <c r="F41516" s="2423"/>
    </row>
    <row r="41517" s="101" customFormat="1" spans="6:6">
      <c r="F41517" s="2423"/>
    </row>
    <row r="41518" s="101" customFormat="1" spans="6:6">
      <c r="F41518" s="2423"/>
    </row>
    <row r="41519" s="101" customFormat="1" spans="6:6">
      <c r="F41519" s="2423"/>
    </row>
    <row r="41520" s="101" customFormat="1" spans="6:6">
      <c r="F41520" s="2423"/>
    </row>
    <row r="41521" s="101" customFormat="1" spans="6:6">
      <c r="F41521" s="2423"/>
    </row>
    <row r="41522" s="101" customFormat="1" spans="6:6">
      <c r="F41522" s="2423"/>
    </row>
    <row r="41523" s="101" customFormat="1" spans="6:6">
      <c r="F41523" s="2423"/>
    </row>
    <row r="41524" s="101" customFormat="1" spans="6:6">
      <c r="F41524" s="2423"/>
    </row>
    <row r="41525" s="101" customFormat="1" spans="6:6">
      <c r="F41525" s="2423"/>
    </row>
    <row r="41526" s="101" customFormat="1" spans="6:6">
      <c r="F41526" s="2423"/>
    </row>
    <row r="41527" s="101" customFormat="1" spans="6:6">
      <c r="F41527" s="2423"/>
    </row>
    <row r="41528" s="101" customFormat="1" spans="6:6">
      <c r="F41528" s="2423"/>
    </row>
    <row r="41529" s="101" customFormat="1" spans="6:6">
      <c r="F41529" s="2423"/>
    </row>
    <row r="41530" s="101" customFormat="1" spans="6:6">
      <c r="F41530" s="2423"/>
    </row>
    <row r="41531" s="101" customFormat="1" spans="6:6">
      <c r="F41531" s="2423"/>
    </row>
    <row r="41532" s="101" customFormat="1" spans="6:6">
      <c r="F41532" s="2423"/>
    </row>
    <row r="41533" s="101" customFormat="1" spans="6:6">
      <c r="F41533" s="2423"/>
    </row>
    <row r="41534" s="101" customFormat="1" spans="6:6">
      <c r="F41534" s="2423"/>
    </row>
    <row r="41535" s="101" customFormat="1" spans="6:6">
      <c r="F41535" s="2423"/>
    </row>
    <row r="41536" s="101" customFormat="1" spans="6:6">
      <c r="F41536" s="2423"/>
    </row>
    <row r="41537" s="101" customFormat="1" spans="6:6">
      <c r="F41537" s="2423"/>
    </row>
    <row r="41538" s="101" customFormat="1" spans="6:6">
      <c r="F41538" s="2423"/>
    </row>
    <row r="41539" s="101" customFormat="1" spans="6:6">
      <c r="F41539" s="2423"/>
    </row>
    <row r="41540" s="101" customFormat="1" spans="6:6">
      <c r="F41540" s="2423"/>
    </row>
    <row r="41541" s="101" customFormat="1" spans="6:6">
      <c r="F41541" s="2423"/>
    </row>
    <row r="41542" s="101" customFormat="1" spans="6:6">
      <c r="F41542" s="2423"/>
    </row>
    <row r="41543" s="101" customFormat="1" spans="6:6">
      <c r="F41543" s="2423"/>
    </row>
    <row r="41544" s="101" customFormat="1" spans="6:6">
      <c r="F41544" s="2423"/>
    </row>
    <row r="41545" s="101" customFormat="1" spans="6:6">
      <c r="F41545" s="2423"/>
    </row>
    <row r="41546" s="101" customFormat="1" spans="6:6">
      <c r="F41546" s="2423"/>
    </row>
    <row r="41547" s="101" customFormat="1" spans="6:6">
      <c r="F41547" s="2423"/>
    </row>
    <row r="41548" s="101" customFormat="1" spans="6:6">
      <c r="F41548" s="2423"/>
    </row>
    <row r="41549" s="101" customFormat="1" spans="6:6">
      <c r="F41549" s="2423"/>
    </row>
    <row r="41550" s="101" customFormat="1" spans="6:6">
      <c r="F41550" s="2423"/>
    </row>
    <row r="41551" s="101" customFormat="1" spans="6:6">
      <c r="F41551" s="2423"/>
    </row>
    <row r="41552" s="101" customFormat="1" spans="6:6">
      <c r="F41552" s="2423"/>
    </row>
    <row r="41553" s="101" customFormat="1" spans="6:6">
      <c r="F41553" s="2423"/>
    </row>
    <row r="41554" s="101" customFormat="1" spans="6:6">
      <c r="F41554" s="2423"/>
    </row>
    <row r="41555" s="101" customFormat="1" spans="6:6">
      <c r="F41555" s="2423"/>
    </row>
    <row r="41556" s="101" customFormat="1" spans="6:6">
      <c r="F41556" s="2423"/>
    </row>
    <row r="41557" s="101" customFormat="1" spans="6:6">
      <c r="F41557" s="2423"/>
    </row>
    <row r="41558" s="101" customFormat="1" spans="6:6">
      <c r="F41558" s="2423"/>
    </row>
    <row r="41559" s="101" customFormat="1" spans="6:6">
      <c r="F41559" s="2423"/>
    </row>
    <row r="41560" s="101" customFormat="1" spans="6:6">
      <c r="F41560" s="2423"/>
    </row>
    <row r="41561" s="101" customFormat="1" spans="6:6">
      <c r="F41561" s="2423"/>
    </row>
    <row r="41562" s="101" customFormat="1" spans="6:6">
      <c r="F41562" s="2423"/>
    </row>
    <row r="41563" s="101" customFormat="1" spans="6:6">
      <c r="F41563" s="2423"/>
    </row>
    <row r="41564" s="101" customFormat="1" spans="6:6">
      <c r="F41564" s="2423"/>
    </row>
    <row r="41565" s="101" customFormat="1" spans="6:6">
      <c r="F41565" s="2423"/>
    </row>
    <row r="41566" s="101" customFormat="1" spans="6:6">
      <c r="F41566" s="2423"/>
    </row>
    <row r="41567" s="101" customFormat="1" spans="6:6">
      <c r="F41567" s="2423"/>
    </row>
    <row r="41568" s="101" customFormat="1" spans="6:6">
      <c r="F41568" s="2423"/>
    </row>
    <row r="41569" s="101" customFormat="1" spans="6:6">
      <c r="F41569" s="2423"/>
    </row>
    <row r="41570" s="101" customFormat="1" spans="6:6">
      <c r="F41570" s="2423"/>
    </row>
    <row r="41571" s="101" customFormat="1" spans="6:6">
      <c r="F41571" s="2423"/>
    </row>
    <row r="41572" s="101" customFormat="1" spans="6:6">
      <c r="F41572" s="2423"/>
    </row>
    <row r="41573" s="101" customFormat="1" spans="6:6">
      <c r="F41573" s="2423"/>
    </row>
    <row r="41574" s="101" customFormat="1" spans="6:6">
      <c r="F41574" s="2423"/>
    </row>
    <row r="41575" s="101" customFormat="1" spans="6:6">
      <c r="F41575" s="2423"/>
    </row>
    <row r="41576" s="101" customFormat="1" spans="6:6">
      <c r="F41576" s="2423"/>
    </row>
    <row r="41577" s="101" customFormat="1" spans="6:6">
      <c r="F41577" s="2423"/>
    </row>
    <row r="41578" s="101" customFormat="1" spans="6:6">
      <c r="F41578" s="2423"/>
    </row>
    <row r="41579" s="101" customFormat="1" spans="6:6">
      <c r="F41579" s="2423"/>
    </row>
    <row r="41580" s="101" customFormat="1" spans="6:6">
      <c r="F41580" s="2423"/>
    </row>
    <row r="41581" s="101" customFormat="1" spans="6:6">
      <c r="F41581" s="2423"/>
    </row>
    <row r="41582" s="101" customFormat="1" spans="6:6">
      <c r="F41582" s="2423"/>
    </row>
    <row r="41583" s="101" customFormat="1" spans="6:6">
      <c r="F41583" s="2423"/>
    </row>
    <row r="41584" s="101" customFormat="1" spans="6:6">
      <c r="F41584" s="2423"/>
    </row>
    <row r="41585" s="101" customFormat="1" spans="6:6">
      <c r="F41585" s="2423"/>
    </row>
    <row r="41586" s="101" customFormat="1" spans="6:6">
      <c r="F41586" s="2423"/>
    </row>
    <row r="41587" s="101" customFormat="1" spans="6:6">
      <c r="F41587" s="2423"/>
    </row>
    <row r="41588" s="101" customFormat="1" spans="6:6">
      <c r="F41588" s="2423"/>
    </row>
    <row r="41589" s="101" customFormat="1" spans="6:6">
      <c r="F41589" s="2423"/>
    </row>
    <row r="41590" s="101" customFormat="1" spans="6:6">
      <c r="F41590" s="2423"/>
    </row>
    <row r="41591" s="101" customFormat="1" spans="6:6">
      <c r="F41591" s="2423"/>
    </row>
    <row r="41592" s="101" customFormat="1" spans="6:6">
      <c r="F41592" s="2423"/>
    </row>
    <row r="41593" s="101" customFormat="1" spans="6:6">
      <c r="F41593" s="2423"/>
    </row>
    <row r="41594" s="101" customFormat="1" spans="6:6">
      <c r="F41594" s="2423"/>
    </row>
    <row r="41595" s="101" customFormat="1" spans="6:6">
      <c r="F41595" s="2423"/>
    </row>
    <row r="41596" s="101" customFormat="1" spans="6:6">
      <c r="F41596" s="2423"/>
    </row>
    <row r="41597" s="101" customFormat="1" spans="6:6">
      <c r="F41597" s="2423"/>
    </row>
    <row r="41598" s="101" customFormat="1" spans="6:6">
      <c r="F41598" s="2423"/>
    </row>
    <row r="41599" s="101" customFormat="1" spans="6:6">
      <c r="F41599" s="2423"/>
    </row>
    <row r="41600" s="101" customFormat="1" spans="6:6">
      <c r="F41600" s="2423"/>
    </row>
    <row r="41601" s="101" customFormat="1" spans="6:6">
      <c r="F41601" s="2423"/>
    </row>
    <row r="41602" s="101" customFormat="1" spans="6:6">
      <c r="F41602" s="2423"/>
    </row>
    <row r="41603" s="101" customFormat="1" spans="6:6">
      <c r="F41603" s="2423"/>
    </row>
    <row r="41604" s="101" customFormat="1" spans="6:6">
      <c r="F41604" s="2423"/>
    </row>
    <row r="41605" s="101" customFormat="1" spans="6:6">
      <c r="F41605" s="2423"/>
    </row>
    <row r="41606" s="101" customFormat="1" spans="6:6">
      <c r="F41606" s="2423"/>
    </row>
    <row r="41607" s="101" customFormat="1" spans="6:6">
      <c r="F41607" s="2423"/>
    </row>
    <row r="41608" s="101" customFormat="1" spans="6:6">
      <c r="F41608" s="2423"/>
    </row>
    <row r="41609" s="101" customFormat="1" spans="6:6">
      <c r="F41609" s="2423"/>
    </row>
    <row r="41610" s="101" customFormat="1" spans="6:6">
      <c r="F41610" s="2423"/>
    </row>
    <row r="41611" s="101" customFormat="1" spans="6:6">
      <c r="F41611" s="2423"/>
    </row>
    <row r="41612" s="101" customFormat="1" spans="6:6">
      <c r="F41612" s="2423"/>
    </row>
    <row r="41613" s="101" customFormat="1" spans="6:6">
      <c r="F41613" s="2423"/>
    </row>
    <row r="41614" s="101" customFormat="1" spans="6:6">
      <c r="F41614" s="2423"/>
    </row>
    <row r="41615" s="101" customFormat="1" spans="6:6">
      <c r="F41615" s="2423"/>
    </row>
    <row r="41616" s="101" customFormat="1" spans="6:6">
      <c r="F41616" s="2423"/>
    </row>
    <row r="41617" s="101" customFormat="1" spans="6:6">
      <c r="F41617" s="2423"/>
    </row>
    <row r="41618" s="101" customFormat="1" spans="6:6">
      <c r="F41618" s="2423"/>
    </row>
    <row r="41619" s="101" customFormat="1" spans="6:6">
      <c r="F41619" s="2423"/>
    </row>
    <row r="41620" s="101" customFormat="1" spans="6:6">
      <c r="F41620" s="2423"/>
    </row>
    <row r="41621" s="101" customFormat="1" spans="6:6">
      <c r="F41621" s="2423"/>
    </row>
    <row r="41622" s="101" customFormat="1" spans="6:6">
      <c r="F41622" s="2423"/>
    </row>
    <row r="41623" s="101" customFormat="1" spans="6:6">
      <c r="F41623" s="2423"/>
    </row>
    <row r="41624" s="101" customFormat="1" spans="6:6">
      <c r="F41624" s="2423"/>
    </row>
    <row r="41625" s="101" customFormat="1" spans="6:6">
      <c r="F41625" s="2423"/>
    </row>
    <row r="41626" s="101" customFormat="1" spans="6:6">
      <c r="F41626" s="2423"/>
    </row>
    <row r="41627" s="101" customFormat="1" spans="6:6">
      <c r="F41627" s="2423"/>
    </row>
    <row r="41628" s="101" customFormat="1" spans="6:6">
      <c r="F41628" s="2423"/>
    </row>
    <row r="41629" s="101" customFormat="1" spans="6:6">
      <c r="F41629" s="2423"/>
    </row>
    <row r="41630" s="101" customFormat="1" spans="6:6">
      <c r="F41630" s="2423"/>
    </row>
    <row r="41631" s="101" customFormat="1" spans="6:6">
      <c r="F41631" s="2423"/>
    </row>
    <row r="41632" s="101" customFormat="1" spans="6:6">
      <c r="F41632" s="2423"/>
    </row>
    <row r="41633" s="101" customFormat="1" spans="6:6">
      <c r="F41633" s="2423"/>
    </row>
    <row r="41634" s="101" customFormat="1" spans="6:6">
      <c r="F41634" s="2423"/>
    </row>
    <row r="41635" s="101" customFormat="1" spans="6:6">
      <c r="F41635" s="2423"/>
    </row>
    <row r="41636" s="101" customFormat="1" spans="6:6">
      <c r="F41636" s="2423"/>
    </row>
    <row r="41637" s="101" customFormat="1" spans="6:6">
      <c r="F41637" s="2423"/>
    </row>
    <row r="41638" s="101" customFormat="1" spans="6:6">
      <c r="F41638" s="2423"/>
    </row>
    <row r="41639" s="101" customFormat="1" spans="6:6">
      <c r="F41639" s="2423"/>
    </row>
    <row r="41640" s="101" customFormat="1" spans="6:6">
      <c r="F41640" s="2423"/>
    </row>
    <row r="41641" s="101" customFormat="1" spans="6:6">
      <c r="F41641" s="2423"/>
    </row>
    <row r="41642" s="101" customFormat="1" spans="6:6">
      <c r="F41642" s="2423"/>
    </row>
    <row r="41643" s="101" customFormat="1" spans="6:6">
      <c r="F41643" s="2423"/>
    </row>
    <row r="41644" s="101" customFormat="1" spans="6:6">
      <c r="F41644" s="2423"/>
    </row>
    <row r="41645" s="101" customFormat="1" spans="6:6">
      <c r="F41645" s="2423"/>
    </row>
    <row r="41646" s="101" customFormat="1" spans="6:6">
      <c r="F41646" s="2423"/>
    </row>
    <row r="41647" s="101" customFormat="1" spans="6:6">
      <c r="F41647" s="2423"/>
    </row>
    <row r="41648" s="101" customFormat="1" spans="6:6">
      <c r="F41648" s="2423"/>
    </row>
    <row r="41649" s="101" customFormat="1" spans="6:6">
      <c r="F41649" s="2423"/>
    </row>
    <row r="41650" s="101" customFormat="1" spans="6:6">
      <c r="F41650" s="2423"/>
    </row>
    <row r="41651" s="101" customFormat="1" spans="6:6">
      <c r="F41651" s="2423"/>
    </row>
    <row r="41652" s="101" customFormat="1" spans="6:6">
      <c r="F41652" s="2423"/>
    </row>
    <row r="41653" s="101" customFormat="1" spans="6:6">
      <c r="F41653" s="2423"/>
    </row>
    <row r="41654" s="101" customFormat="1" spans="6:6">
      <c r="F41654" s="2423"/>
    </row>
    <row r="41655" s="101" customFormat="1" spans="6:6">
      <c r="F41655" s="2423"/>
    </row>
    <row r="41656" s="101" customFormat="1" spans="6:6">
      <c r="F41656" s="2423"/>
    </row>
    <row r="41657" s="101" customFormat="1" spans="6:6">
      <c r="F41657" s="2423"/>
    </row>
    <row r="41658" s="101" customFormat="1" spans="6:6">
      <c r="F41658" s="2423"/>
    </row>
    <row r="41659" s="101" customFormat="1" spans="6:6">
      <c r="F41659" s="2423"/>
    </row>
    <row r="41660" s="101" customFormat="1" spans="6:6">
      <c r="F41660" s="2423"/>
    </row>
    <row r="41661" s="101" customFormat="1" spans="6:6">
      <c r="F41661" s="2423"/>
    </row>
    <row r="41662" s="101" customFormat="1" spans="6:6">
      <c r="F41662" s="2423"/>
    </row>
    <row r="41663" s="101" customFormat="1" spans="6:6">
      <c r="F41663" s="2423"/>
    </row>
    <row r="41664" s="101" customFormat="1" spans="6:6">
      <c r="F41664" s="2423"/>
    </row>
    <row r="41665" s="101" customFormat="1" spans="6:6">
      <c r="F41665" s="2423"/>
    </row>
    <row r="41666" s="101" customFormat="1" spans="6:6">
      <c r="F41666" s="2423"/>
    </row>
    <row r="41667" s="101" customFormat="1" spans="6:6">
      <c r="F41667" s="2423"/>
    </row>
    <row r="41668" s="101" customFormat="1" spans="6:6">
      <c r="F41668" s="2423"/>
    </row>
    <row r="41669" s="101" customFormat="1" spans="6:6">
      <c r="F41669" s="2423"/>
    </row>
    <row r="41670" s="101" customFormat="1" spans="6:6">
      <c r="F41670" s="2423"/>
    </row>
    <row r="41671" s="101" customFormat="1" spans="6:6">
      <c r="F41671" s="2423"/>
    </row>
    <row r="41672" s="101" customFormat="1" spans="6:6">
      <c r="F41672" s="2423"/>
    </row>
    <row r="41673" s="101" customFormat="1" spans="6:6">
      <c r="F41673" s="2423"/>
    </row>
    <row r="41674" s="101" customFormat="1" spans="6:6">
      <c r="F41674" s="2423"/>
    </row>
    <row r="41675" s="101" customFormat="1" spans="6:6">
      <c r="F41675" s="2423"/>
    </row>
    <row r="41676" s="101" customFormat="1" spans="6:6">
      <c r="F41676" s="2423"/>
    </row>
    <row r="41677" s="101" customFormat="1" spans="6:6">
      <c r="F41677" s="2423"/>
    </row>
    <row r="41678" s="101" customFormat="1" spans="6:6">
      <c r="F41678" s="2423"/>
    </row>
    <row r="41679" s="101" customFormat="1" spans="6:6">
      <c r="F41679" s="2423"/>
    </row>
    <row r="41680" s="101" customFormat="1" spans="6:6">
      <c r="F41680" s="2423"/>
    </row>
    <row r="41681" s="101" customFormat="1" spans="6:6">
      <c r="F41681" s="2423"/>
    </row>
    <row r="41682" s="101" customFormat="1" spans="6:6">
      <c r="F41682" s="2423"/>
    </row>
    <row r="41683" s="101" customFormat="1" spans="6:6">
      <c r="F41683" s="2423"/>
    </row>
    <row r="41684" s="101" customFormat="1" spans="6:6">
      <c r="F41684" s="2423"/>
    </row>
    <row r="41685" s="101" customFormat="1" spans="6:6">
      <c r="F41685" s="2423"/>
    </row>
    <row r="41686" s="101" customFormat="1" spans="6:6">
      <c r="F41686" s="2423"/>
    </row>
    <row r="41687" s="101" customFormat="1" spans="6:6">
      <c r="F41687" s="2423"/>
    </row>
    <row r="41688" s="101" customFormat="1" spans="6:6">
      <c r="F41688" s="2423"/>
    </row>
    <row r="41689" s="101" customFormat="1" spans="6:6">
      <c r="F41689" s="2423"/>
    </row>
    <row r="41690" s="101" customFormat="1" spans="6:6">
      <c r="F41690" s="2423"/>
    </row>
    <row r="41691" s="101" customFormat="1" spans="6:6">
      <c r="F41691" s="2423"/>
    </row>
    <row r="41692" s="101" customFormat="1" spans="6:6">
      <c r="F41692" s="2423"/>
    </row>
    <row r="41693" s="101" customFormat="1" spans="6:6">
      <c r="F41693" s="2423"/>
    </row>
    <row r="41694" s="101" customFormat="1" spans="6:6">
      <c r="F41694" s="2423"/>
    </row>
    <row r="41695" s="101" customFormat="1" spans="6:6">
      <c r="F41695" s="2423"/>
    </row>
    <row r="41696" s="101" customFormat="1" spans="6:6">
      <c r="F41696" s="2423"/>
    </row>
    <row r="41697" s="101" customFormat="1" spans="6:6">
      <c r="F41697" s="2423"/>
    </row>
    <row r="41698" s="101" customFormat="1" spans="6:6">
      <c r="F41698" s="2423"/>
    </row>
    <row r="41699" s="101" customFormat="1" spans="6:6">
      <c r="F41699" s="2423"/>
    </row>
    <row r="41700" s="101" customFormat="1" spans="6:6">
      <c r="F41700" s="2423"/>
    </row>
    <row r="41701" s="101" customFormat="1" spans="6:6">
      <c r="F41701" s="2423"/>
    </row>
    <row r="41702" s="101" customFormat="1" spans="6:6">
      <c r="F41702" s="2423"/>
    </row>
    <row r="41703" s="101" customFormat="1" spans="6:6">
      <c r="F41703" s="2423"/>
    </row>
    <row r="41704" s="101" customFormat="1" spans="6:6">
      <c r="F41704" s="2423"/>
    </row>
    <row r="41705" s="101" customFormat="1" spans="6:6">
      <c r="F41705" s="2423"/>
    </row>
    <row r="41706" s="101" customFormat="1" spans="6:6">
      <c r="F41706" s="2423"/>
    </row>
    <row r="41707" s="101" customFormat="1" spans="6:6">
      <c r="F41707" s="2423"/>
    </row>
    <row r="41708" s="101" customFormat="1" spans="6:6">
      <c r="F41708" s="2423"/>
    </row>
    <row r="41709" s="101" customFormat="1" spans="6:6">
      <c r="F41709" s="2423"/>
    </row>
    <row r="41710" s="101" customFormat="1" spans="6:6">
      <c r="F41710" s="2423"/>
    </row>
    <row r="41711" s="101" customFormat="1" spans="6:6">
      <c r="F41711" s="2423"/>
    </row>
    <row r="41712" s="101" customFormat="1" spans="6:6">
      <c r="F41712" s="2423"/>
    </row>
    <row r="41713" s="101" customFormat="1" spans="6:6">
      <c r="F41713" s="2423"/>
    </row>
    <row r="41714" s="101" customFormat="1" spans="6:6">
      <c r="F41714" s="2423"/>
    </row>
    <row r="41715" s="101" customFormat="1" spans="6:6">
      <c r="F41715" s="2423"/>
    </row>
    <row r="41716" s="101" customFormat="1" spans="6:6">
      <c r="F41716" s="2423"/>
    </row>
    <row r="41717" s="101" customFormat="1" spans="6:6">
      <c r="F41717" s="2423"/>
    </row>
    <row r="41718" s="101" customFormat="1" spans="6:6">
      <c r="F41718" s="2423"/>
    </row>
    <row r="41719" s="101" customFormat="1" spans="6:6">
      <c r="F41719" s="2423"/>
    </row>
    <row r="41720" s="101" customFormat="1" spans="6:6">
      <c r="F41720" s="2423"/>
    </row>
    <row r="41721" s="101" customFormat="1" spans="6:6">
      <c r="F41721" s="2423"/>
    </row>
    <row r="41722" s="101" customFormat="1" spans="6:6">
      <c r="F41722" s="2423"/>
    </row>
    <row r="41723" s="101" customFormat="1" spans="6:6">
      <c r="F41723" s="2423"/>
    </row>
    <row r="41724" s="101" customFormat="1" spans="6:6">
      <c r="F41724" s="2423"/>
    </row>
    <row r="41725" s="101" customFormat="1" spans="6:6">
      <c r="F41725" s="2423"/>
    </row>
    <row r="41726" s="101" customFormat="1" spans="6:6">
      <c r="F41726" s="2423"/>
    </row>
    <row r="41727" s="101" customFormat="1" spans="6:6">
      <c r="F41727" s="2423"/>
    </row>
    <row r="41728" s="101" customFormat="1" spans="6:6">
      <c r="F41728" s="2423"/>
    </row>
    <row r="41729" s="101" customFormat="1" spans="6:6">
      <c r="F41729" s="2423"/>
    </row>
    <row r="41730" s="101" customFormat="1" spans="6:6">
      <c r="F41730" s="2423"/>
    </row>
    <row r="41731" s="101" customFormat="1" spans="6:6">
      <c r="F41731" s="2423"/>
    </row>
    <row r="41732" s="101" customFormat="1" spans="6:6">
      <c r="F41732" s="2423"/>
    </row>
    <row r="41733" s="101" customFormat="1" spans="6:6">
      <c r="F41733" s="2423"/>
    </row>
    <row r="41734" s="101" customFormat="1" spans="6:6">
      <c r="F41734" s="2423"/>
    </row>
    <row r="41735" s="101" customFormat="1" spans="6:6">
      <c r="F41735" s="2423"/>
    </row>
    <row r="41736" s="101" customFormat="1" spans="6:6">
      <c r="F41736" s="2423"/>
    </row>
    <row r="41737" s="101" customFormat="1" spans="6:6">
      <c r="F41737" s="2423"/>
    </row>
    <row r="41738" s="101" customFormat="1" spans="6:6">
      <c r="F41738" s="2423"/>
    </row>
    <row r="41739" s="101" customFormat="1" spans="6:6">
      <c r="F41739" s="2423"/>
    </row>
    <row r="41740" s="101" customFormat="1" spans="6:6">
      <c r="F41740" s="2423"/>
    </row>
    <row r="41741" s="101" customFormat="1" spans="6:6">
      <c r="F41741" s="2423"/>
    </row>
    <row r="41742" s="101" customFormat="1" spans="6:6">
      <c r="F41742" s="2423"/>
    </row>
    <row r="41743" s="101" customFormat="1" spans="6:6">
      <c r="F41743" s="2423"/>
    </row>
    <row r="41744" s="101" customFormat="1" spans="6:6">
      <c r="F41744" s="2423"/>
    </row>
    <row r="41745" s="101" customFormat="1" spans="6:6">
      <c r="F41745" s="2423"/>
    </row>
    <row r="41746" s="101" customFormat="1" spans="6:6">
      <c r="F41746" s="2423"/>
    </row>
    <row r="41747" s="101" customFormat="1" spans="6:6">
      <c r="F41747" s="2423"/>
    </row>
    <row r="41748" s="101" customFormat="1" spans="6:6">
      <c r="F41748" s="2423"/>
    </row>
    <row r="41749" s="101" customFormat="1" spans="6:6">
      <c r="F41749" s="2423"/>
    </row>
    <row r="41750" s="101" customFormat="1" spans="6:6">
      <c r="F41750" s="2423"/>
    </row>
    <row r="41751" s="101" customFormat="1" spans="6:6">
      <c r="F41751" s="2423"/>
    </row>
    <row r="41752" s="101" customFormat="1" spans="6:6">
      <c r="F41752" s="2423"/>
    </row>
    <row r="41753" s="101" customFormat="1" spans="6:6">
      <c r="F41753" s="2423"/>
    </row>
    <row r="41754" s="101" customFormat="1" spans="6:6">
      <c r="F41754" s="2423"/>
    </row>
    <row r="41755" s="101" customFormat="1" spans="6:6">
      <c r="F41755" s="2423"/>
    </row>
    <row r="41756" s="101" customFormat="1" spans="6:6">
      <c r="F41756" s="2423"/>
    </row>
    <row r="41757" s="101" customFormat="1" spans="6:6">
      <c r="F41757" s="2423"/>
    </row>
    <row r="41758" s="101" customFormat="1" spans="6:6">
      <c r="F41758" s="2423"/>
    </row>
    <row r="41759" s="101" customFormat="1" spans="6:6">
      <c r="F41759" s="2423"/>
    </row>
    <row r="41760" s="101" customFormat="1" spans="6:6">
      <c r="F41760" s="2423"/>
    </row>
    <row r="41761" s="101" customFormat="1" spans="6:6">
      <c r="F41761" s="2423"/>
    </row>
    <row r="41762" s="101" customFormat="1" spans="6:6">
      <c r="F41762" s="2423"/>
    </row>
    <row r="41763" s="101" customFormat="1" spans="6:6">
      <c r="F41763" s="2423"/>
    </row>
    <row r="41764" s="101" customFormat="1" spans="6:6">
      <c r="F41764" s="2423"/>
    </row>
    <row r="41765" s="101" customFormat="1" spans="6:6">
      <c r="F41765" s="2423"/>
    </row>
    <row r="41766" s="101" customFormat="1" spans="6:6">
      <c r="F41766" s="2423"/>
    </row>
    <row r="41767" s="101" customFormat="1" spans="6:6">
      <c r="F41767" s="2423"/>
    </row>
    <row r="41768" s="101" customFormat="1" spans="6:6">
      <c r="F41768" s="2423"/>
    </row>
    <row r="41769" s="101" customFormat="1" spans="6:6">
      <c r="F41769" s="2423"/>
    </row>
    <row r="41770" s="101" customFormat="1" spans="6:6">
      <c r="F41770" s="2423"/>
    </row>
    <row r="41771" s="101" customFormat="1" spans="6:6">
      <c r="F41771" s="2423"/>
    </row>
    <row r="41772" s="101" customFormat="1" spans="6:6">
      <c r="F41772" s="2423"/>
    </row>
    <row r="41773" s="101" customFormat="1" spans="6:6">
      <c r="F41773" s="2423"/>
    </row>
    <row r="41774" s="101" customFormat="1" spans="6:6">
      <c r="F41774" s="2423"/>
    </row>
    <row r="41775" s="101" customFormat="1" spans="6:6">
      <c r="F41775" s="2423"/>
    </row>
    <row r="41776" s="101" customFormat="1" spans="6:6">
      <c r="F41776" s="2423"/>
    </row>
    <row r="41777" s="101" customFormat="1" spans="6:6">
      <c r="F41777" s="2423"/>
    </row>
    <row r="41778" s="101" customFormat="1" spans="6:6">
      <c r="F41778" s="2423"/>
    </row>
    <row r="41779" s="101" customFormat="1" spans="6:6">
      <c r="F41779" s="2423"/>
    </row>
    <row r="41780" s="101" customFormat="1" spans="6:6">
      <c r="F41780" s="2423"/>
    </row>
    <row r="41781" s="101" customFormat="1" spans="6:6">
      <c r="F41781" s="2423"/>
    </row>
    <row r="41782" s="101" customFormat="1" spans="6:6">
      <c r="F41782" s="2423"/>
    </row>
    <row r="41783" s="101" customFormat="1" spans="6:6">
      <c r="F41783" s="2423"/>
    </row>
    <row r="41784" s="101" customFormat="1" spans="6:6">
      <c r="F41784" s="2423"/>
    </row>
    <row r="41785" s="101" customFormat="1" spans="6:6">
      <c r="F41785" s="2423"/>
    </row>
    <row r="41786" s="101" customFormat="1" spans="6:6">
      <c r="F41786" s="2423"/>
    </row>
    <row r="41787" s="101" customFormat="1" spans="6:6">
      <c r="F41787" s="2423"/>
    </row>
    <row r="41788" s="101" customFormat="1" spans="6:6">
      <c r="F41788" s="2423"/>
    </row>
    <row r="41789" s="101" customFormat="1" spans="6:6">
      <c r="F41789" s="2423"/>
    </row>
    <row r="41790" s="101" customFormat="1" spans="6:6">
      <c r="F41790" s="2423"/>
    </row>
    <row r="41791" s="101" customFormat="1" spans="6:6">
      <c r="F41791" s="2423"/>
    </row>
    <row r="41792" s="101" customFormat="1" spans="6:6">
      <c r="F41792" s="2423"/>
    </row>
    <row r="41793" s="101" customFormat="1" spans="6:6">
      <c r="F41793" s="2423"/>
    </row>
    <row r="41794" s="101" customFormat="1" spans="6:6">
      <c r="F41794" s="2423"/>
    </row>
    <row r="41795" s="101" customFormat="1" spans="6:6">
      <c r="F41795" s="2423"/>
    </row>
    <row r="41796" s="101" customFormat="1" spans="6:6">
      <c r="F41796" s="2423"/>
    </row>
    <row r="41797" s="101" customFormat="1" spans="6:6">
      <c r="F41797" s="2423"/>
    </row>
    <row r="41798" s="101" customFormat="1" spans="6:6">
      <c r="F41798" s="2423"/>
    </row>
    <row r="41799" s="101" customFormat="1" spans="6:6">
      <c r="F41799" s="2423"/>
    </row>
    <row r="41800" s="101" customFormat="1" spans="6:6">
      <c r="F41800" s="2423"/>
    </row>
    <row r="41801" s="101" customFormat="1" spans="6:6">
      <c r="F41801" s="2423"/>
    </row>
    <row r="41802" s="101" customFormat="1" spans="6:6">
      <c r="F41802" s="2423"/>
    </row>
    <row r="41803" s="101" customFormat="1" spans="6:6">
      <c r="F41803" s="2423"/>
    </row>
    <row r="41804" s="101" customFormat="1" spans="6:6">
      <c r="F41804" s="2423"/>
    </row>
    <row r="41805" s="101" customFormat="1" spans="6:6">
      <c r="F41805" s="2423"/>
    </row>
    <row r="41806" s="101" customFormat="1" spans="6:6">
      <c r="F41806" s="2423"/>
    </row>
    <row r="41807" s="101" customFormat="1" spans="6:6">
      <c r="F41807" s="2423"/>
    </row>
    <row r="41808" s="101" customFormat="1" spans="6:6">
      <c r="F41808" s="2423"/>
    </row>
    <row r="41809" s="101" customFormat="1" spans="6:6">
      <c r="F41809" s="2423"/>
    </row>
    <row r="41810" s="101" customFormat="1" spans="6:6">
      <c r="F41810" s="2423"/>
    </row>
    <row r="41811" s="101" customFormat="1" spans="6:6">
      <c r="F41811" s="2423"/>
    </row>
    <row r="41812" s="101" customFormat="1" spans="6:6">
      <c r="F41812" s="2423"/>
    </row>
    <row r="41813" s="101" customFormat="1" spans="6:6">
      <c r="F41813" s="2423"/>
    </row>
    <row r="41814" s="101" customFormat="1" spans="6:6">
      <c r="F41814" s="2423"/>
    </row>
    <row r="41815" s="101" customFormat="1" spans="6:6">
      <c r="F41815" s="2423"/>
    </row>
    <row r="41816" s="101" customFormat="1" spans="6:6">
      <c r="F41816" s="2423"/>
    </row>
    <row r="41817" s="101" customFormat="1" spans="6:6">
      <c r="F41817" s="2423"/>
    </row>
    <row r="41818" s="101" customFormat="1" spans="6:6">
      <c r="F41818" s="2423"/>
    </row>
    <row r="41819" s="101" customFormat="1" spans="6:6">
      <c r="F41819" s="2423"/>
    </row>
    <row r="41820" s="101" customFormat="1" spans="6:6">
      <c r="F41820" s="2423"/>
    </row>
    <row r="41821" s="101" customFormat="1" spans="6:6">
      <c r="F41821" s="2423"/>
    </row>
    <row r="41822" s="101" customFormat="1" spans="6:6">
      <c r="F41822" s="2423"/>
    </row>
    <row r="41823" s="101" customFormat="1" spans="6:6">
      <c r="F41823" s="2423"/>
    </row>
    <row r="41824" s="101" customFormat="1" spans="6:6">
      <c r="F41824" s="2423"/>
    </row>
    <row r="41825" s="101" customFormat="1" spans="6:6">
      <c r="F41825" s="2423"/>
    </row>
    <row r="41826" s="101" customFormat="1" spans="6:6">
      <c r="F41826" s="2423"/>
    </row>
    <row r="41827" s="101" customFormat="1" spans="6:6">
      <c r="F41827" s="2423"/>
    </row>
    <row r="41828" s="101" customFormat="1" spans="6:6">
      <c r="F41828" s="2423"/>
    </row>
    <row r="41829" s="101" customFormat="1" spans="6:6">
      <c r="F41829" s="2423"/>
    </row>
    <row r="41830" s="101" customFormat="1" spans="6:6">
      <c r="F41830" s="2423"/>
    </row>
    <row r="41831" s="101" customFormat="1" spans="6:6">
      <c r="F41831" s="2423"/>
    </row>
    <row r="41832" s="101" customFormat="1" spans="6:6">
      <c r="F41832" s="2423"/>
    </row>
    <row r="41833" s="101" customFormat="1" spans="6:6">
      <c r="F41833" s="2423"/>
    </row>
    <row r="41834" s="101" customFormat="1" spans="6:6">
      <c r="F41834" s="2423"/>
    </row>
    <row r="41835" s="101" customFormat="1" spans="6:6">
      <c r="F41835" s="2423"/>
    </row>
    <row r="41836" s="101" customFormat="1" spans="6:6">
      <c r="F41836" s="2423"/>
    </row>
    <row r="41837" s="101" customFormat="1" spans="6:6">
      <c r="F41837" s="2423"/>
    </row>
    <row r="41838" s="101" customFormat="1" spans="6:6">
      <c r="F41838" s="2423"/>
    </row>
    <row r="41839" s="101" customFormat="1" spans="6:6">
      <c r="F41839" s="2423"/>
    </row>
    <row r="41840" s="101" customFormat="1" spans="6:6">
      <c r="F41840" s="2423"/>
    </row>
    <row r="41841" s="101" customFormat="1" spans="6:6">
      <c r="F41841" s="2423"/>
    </row>
    <row r="41842" s="101" customFormat="1" spans="6:6">
      <c r="F41842" s="2423"/>
    </row>
    <row r="41843" s="101" customFormat="1" spans="6:6">
      <c r="F41843" s="2423"/>
    </row>
    <row r="41844" s="101" customFormat="1" spans="6:6">
      <c r="F41844" s="2423"/>
    </row>
    <row r="41845" s="101" customFormat="1" spans="6:6">
      <c r="F41845" s="2423"/>
    </row>
    <row r="41846" s="101" customFormat="1" spans="6:6">
      <c r="F41846" s="2423"/>
    </row>
    <row r="41847" s="101" customFormat="1" spans="6:6">
      <c r="F41847" s="2423"/>
    </row>
    <row r="41848" s="101" customFormat="1" spans="6:6">
      <c r="F41848" s="2423"/>
    </row>
    <row r="41849" s="101" customFormat="1" spans="6:6">
      <c r="F41849" s="2423"/>
    </row>
    <row r="41850" s="101" customFormat="1" spans="6:6">
      <c r="F41850" s="2423"/>
    </row>
    <row r="41851" s="101" customFormat="1" spans="6:6">
      <c r="F41851" s="2423"/>
    </row>
    <row r="41852" s="101" customFormat="1" spans="6:6">
      <c r="F41852" s="2423"/>
    </row>
    <row r="41853" s="101" customFormat="1" spans="6:6">
      <c r="F41853" s="2423"/>
    </row>
    <row r="41854" s="101" customFormat="1" spans="6:6">
      <c r="F41854" s="2423"/>
    </row>
    <row r="41855" s="101" customFormat="1" spans="6:6">
      <c r="F41855" s="2423"/>
    </row>
    <row r="41856" s="101" customFormat="1" spans="6:6">
      <c r="F41856" s="2423"/>
    </row>
    <row r="41857" s="101" customFormat="1" spans="6:6">
      <c r="F41857" s="2423"/>
    </row>
    <row r="41858" s="101" customFormat="1" spans="6:6">
      <c r="F41858" s="2423"/>
    </row>
    <row r="41859" s="101" customFormat="1" spans="6:6">
      <c r="F41859" s="2423"/>
    </row>
    <row r="41860" s="101" customFormat="1" spans="6:6">
      <c r="F41860" s="2423"/>
    </row>
    <row r="41861" s="101" customFormat="1" spans="6:6">
      <c r="F41861" s="2423"/>
    </row>
    <row r="41862" s="101" customFormat="1" spans="6:6">
      <c r="F41862" s="2423"/>
    </row>
    <row r="41863" s="101" customFormat="1" spans="6:6">
      <c r="F41863" s="2423"/>
    </row>
    <row r="41864" s="101" customFormat="1" spans="6:6">
      <c r="F41864" s="2423"/>
    </row>
    <row r="41865" s="101" customFormat="1" spans="6:6">
      <c r="F41865" s="2423"/>
    </row>
    <row r="41866" s="101" customFormat="1" spans="6:6">
      <c r="F41866" s="2423"/>
    </row>
    <row r="41867" s="101" customFormat="1" spans="6:6">
      <c r="F41867" s="2423"/>
    </row>
    <row r="41868" s="101" customFormat="1" spans="6:6">
      <c r="F41868" s="2423"/>
    </row>
    <row r="41869" s="101" customFormat="1" spans="6:6">
      <c r="F41869" s="2423"/>
    </row>
    <row r="41870" s="101" customFormat="1" spans="6:6">
      <c r="F41870" s="2423"/>
    </row>
    <row r="41871" s="101" customFormat="1" spans="6:6">
      <c r="F41871" s="2423"/>
    </row>
    <row r="41872" s="101" customFormat="1" spans="6:6">
      <c r="F41872" s="2423"/>
    </row>
    <row r="41873" s="101" customFormat="1" spans="6:6">
      <c r="F41873" s="2423"/>
    </row>
    <row r="41874" s="101" customFormat="1" spans="6:6">
      <c r="F41874" s="2423"/>
    </row>
    <row r="41875" s="101" customFormat="1" spans="6:6">
      <c r="F41875" s="2423"/>
    </row>
    <row r="41876" s="101" customFormat="1" spans="6:6">
      <c r="F41876" s="2423"/>
    </row>
    <row r="41877" s="101" customFormat="1" spans="6:6">
      <c r="F41877" s="2423"/>
    </row>
    <row r="41878" s="101" customFormat="1" spans="6:6">
      <c r="F41878" s="2423"/>
    </row>
    <row r="41879" s="101" customFormat="1" spans="6:6">
      <c r="F41879" s="2423"/>
    </row>
    <row r="41880" s="101" customFormat="1" spans="6:6">
      <c r="F41880" s="2423"/>
    </row>
    <row r="41881" s="101" customFormat="1" spans="6:6">
      <c r="F41881" s="2423"/>
    </row>
    <row r="41882" s="101" customFormat="1" spans="6:6">
      <c r="F41882" s="2423"/>
    </row>
    <row r="41883" s="101" customFormat="1" spans="6:6">
      <c r="F41883" s="2423"/>
    </row>
    <row r="41884" s="101" customFormat="1" spans="6:6">
      <c r="F41884" s="2423"/>
    </row>
    <row r="41885" s="101" customFormat="1" spans="6:6">
      <c r="F41885" s="2423"/>
    </row>
    <row r="41886" s="101" customFormat="1" spans="6:6">
      <c r="F41886" s="2423"/>
    </row>
    <row r="41887" s="101" customFormat="1" spans="6:6">
      <c r="F41887" s="2423"/>
    </row>
    <row r="41888" s="101" customFormat="1" spans="6:6">
      <c r="F41888" s="2423"/>
    </row>
    <row r="41889" s="101" customFormat="1" spans="6:6">
      <c r="F41889" s="2423"/>
    </row>
    <row r="41890" s="101" customFormat="1" spans="6:6">
      <c r="F41890" s="2423"/>
    </row>
    <row r="41891" s="101" customFormat="1" spans="6:6">
      <c r="F41891" s="2423"/>
    </row>
    <row r="41892" s="101" customFormat="1" spans="6:6">
      <c r="F41892" s="2423"/>
    </row>
    <row r="41893" s="101" customFormat="1" spans="6:6">
      <c r="F41893" s="2423"/>
    </row>
    <row r="41894" s="101" customFormat="1" spans="6:6">
      <c r="F41894" s="2423"/>
    </row>
    <row r="41895" s="101" customFormat="1" spans="6:6">
      <c r="F41895" s="2423"/>
    </row>
    <row r="41896" s="101" customFormat="1" spans="6:6">
      <c r="F41896" s="2423"/>
    </row>
    <row r="41897" s="101" customFormat="1" spans="6:6">
      <c r="F41897" s="2423"/>
    </row>
    <row r="41898" s="101" customFormat="1" spans="6:6">
      <c r="F41898" s="2423"/>
    </row>
    <row r="41899" s="101" customFormat="1" spans="6:6">
      <c r="F41899" s="2423"/>
    </row>
    <row r="41900" s="101" customFormat="1" spans="6:6">
      <c r="F41900" s="2423"/>
    </row>
    <row r="41901" s="101" customFormat="1" spans="6:6">
      <c r="F41901" s="2423"/>
    </row>
    <row r="41902" s="101" customFormat="1" spans="6:6">
      <c r="F41902" s="2423"/>
    </row>
    <row r="41903" s="101" customFormat="1" spans="6:6">
      <c r="F41903" s="2423"/>
    </row>
    <row r="41904" s="101" customFormat="1" spans="6:6">
      <c r="F41904" s="2423"/>
    </row>
    <row r="41905" s="101" customFormat="1" spans="6:6">
      <c r="F41905" s="2423"/>
    </row>
    <row r="41906" s="101" customFormat="1" spans="6:6">
      <c r="F41906" s="2423"/>
    </row>
    <row r="41907" s="101" customFormat="1" spans="6:6">
      <c r="F41907" s="2423"/>
    </row>
    <row r="41908" s="101" customFormat="1" spans="6:6">
      <c r="F41908" s="2423"/>
    </row>
    <row r="41909" s="101" customFormat="1" spans="6:6">
      <c r="F41909" s="2423"/>
    </row>
    <row r="41910" s="101" customFormat="1" spans="6:6">
      <c r="F41910" s="2423"/>
    </row>
    <row r="41911" s="101" customFormat="1" spans="6:6">
      <c r="F41911" s="2423"/>
    </row>
    <row r="41912" s="101" customFormat="1" spans="6:6">
      <c r="F41912" s="2423"/>
    </row>
    <row r="41913" s="101" customFormat="1" spans="6:6">
      <c r="F41913" s="2423"/>
    </row>
    <row r="41914" s="101" customFormat="1" spans="6:6">
      <c r="F41914" s="2423"/>
    </row>
    <row r="41915" s="101" customFormat="1" spans="6:6">
      <c r="F41915" s="2423"/>
    </row>
    <row r="41916" s="101" customFormat="1" spans="6:6">
      <c r="F41916" s="2423"/>
    </row>
    <row r="41917" s="101" customFormat="1" spans="6:6">
      <c r="F41917" s="2423"/>
    </row>
    <row r="41918" s="101" customFormat="1" spans="6:6">
      <c r="F41918" s="2423"/>
    </row>
    <row r="41919" s="101" customFormat="1" spans="6:6">
      <c r="F41919" s="2423"/>
    </row>
    <row r="41920" s="101" customFormat="1" spans="6:6">
      <c r="F41920" s="2423"/>
    </row>
    <row r="41921" s="101" customFormat="1" spans="6:6">
      <c r="F41921" s="2423"/>
    </row>
    <row r="41922" s="101" customFormat="1" spans="6:6">
      <c r="F41922" s="2423"/>
    </row>
    <row r="41923" s="101" customFormat="1" spans="6:6">
      <c r="F41923" s="2423"/>
    </row>
    <row r="41924" s="101" customFormat="1" spans="6:6">
      <c r="F41924" s="2423"/>
    </row>
    <row r="41925" s="101" customFormat="1" spans="6:6">
      <c r="F41925" s="2423"/>
    </row>
    <row r="41926" s="101" customFormat="1" spans="6:6">
      <c r="F41926" s="2423"/>
    </row>
    <row r="41927" s="101" customFormat="1" spans="6:6">
      <c r="F41927" s="2423"/>
    </row>
    <row r="41928" s="101" customFormat="1" spans="6:6">
      <c r="F41928" s="2423"/>
    </row>
    <row r="41929" s="101" customFormat="1" spans="6:6">
      <c r="F41929" s="2423"/>
    </row>
    <row r="41930" s="101" customFormat="1" spans="6:6">
      <c r="F41930" s="2423"/>
    </row>
    <row r="41931" s="101" customFormat="1" spans="6:6">
      <c r="F41931" s="2423"/>
    </row>
    <row r="41932" s="101" customFormat="1" spans="6:6">
      <c r="F41932" s="2423"/>
    </row>
    <row r="41933" s="101" customFormat="1" spans="6:6">
      <c r="F41933" s="2423"/>
    </row>
    <row r="41934" s="101" customFormat="1" spans="6:6">
      <c r="F41934" s="2423"/>
    </row>
    <row r="41935" s="101" customFormat="1" spans="6:6">
      <c r="F41935" s="2423"/>
    </row>
    <row r="41936" s="101" customFormat="1" spans="6:6">
      <c r="F41936" s="2423"/>
    </row>
    <row r="41937" s="101" customFormat="1" spans="6:6">
      <c r="F41937" s="2423"/>
    </row>
    <row r="41938" s="101" customFormat="1" spans="6:6">
      <c r="F41938" s="2423"/>
    </row>
    <row r="41939" s="101" customFormat="1" spans="6:6">
      <c r="F41939" s="2423"/>
    </row>
    <row r="41940" s="101" customFormat="1" spans="6:6">
      <c r="F41940" s="2423"/>
    </row>
    <row r="41941" s="101" customFormat="1" spans="6:6">
      <c r="F41941" s="2423"/>
    </row>
    <row r="41942" s="101" customFormat="1" spans="6:6">
      <c r="F41942" s="2423"/>
    </row>
    <row r="41943" s="101" customFormat="1" spans="6:6">
      <c r="F41943" s="2423"/>
    </row>
    <row r="41944" s="101" customFormat="1" spans="6:6">
      <c r="F41944" s="2423"/>
    </row>
    <row r="41945" s="101" customFormat="1" spans="6:6">
      <c r="F41945" s="2423"/>
    </row>
    <row r="41946" s="101" customFormat="1" spans="6:6">
      <c r="F41946" s="2423"/>
    </row>
    <row r="41947" s="101" customFormat="1" spans="6:6">
      <c r="F41947" s="2423"/>
    </row>
    <row r="41948" s="101" customFormat="1" spans="6:6">
      <c r="F41948" s="2423"/>
    </row>
    <row r="41949" s="101" customFormat="1" spans="6:6">
      <c r="F41949" s="2423"/>
    </row>
    <row r="41950" s="101" customFormat="1" spans="6:6">
      <c r="F41950" s="2423"/>
    </row>
    <row r="41951" s="101" customFormat="1" spans="6:6">
      <c r="F41951" s="2423"/>
    </row>
    <row r="41952" s="101" customFormat="1" spans="6:6">
      <c r="F41952" s="2423"/>
    </row>
    <row r="41953" s="101" customFormat="1" spans="6:6">
      <c r="F41953" s="2423"/>
    </row>
    <row r="41954" s="101" customFormat="1" spans="6:6">
      <c r="F41954" s="2423"/>
    </row>
    <row r="41955" s="101" customFormat="1" spans="6:6">
      <c r="F41955" s="2423"/>
    </row>
    <row r="41956" s="101" customFormat="1" spans="6:6">
      <c r="F41956" s="2423"/>
    </row>
    <row r="41957" s="101" customFormat="1" spans="6:6">
      <c r="F41957" s="2423"/>
    </row>
    <row r="41958" s="101" customFormat="1" spans="6:6">
      <c r="F41958" s="2423"/>
    </row>
    <row r="41959" s="101" customFormat="1" spans="6:6">
      <c r="F41959" s="2423"/>
    </row>
    <row r="41960" s="101" customFormat="1" spans="6:6">
      <c r="F41960" s="2423"/>
    </row>
    <row r="41961" s="101" customFormat="1" spans="6:6">
      <c r="F41961" s="2423"/>
    </row>
    <row r="41962" s="101" customFormat="1" spans="6:6">
      <c r="F41962" s="2423"/>
    </row>
    <row r="41963" s="101" customFormat="1" spans="6:6">
      <c r="F41963" s="2423"/>
    </row>
    <row r="41964" s="101" customFormat="1" spans="6:6">
      <c r="F41964" s="2423"/>
    </row>
    <row r="41965" s="101" customFormat="1" spans="6:6">
      <c r="F41965" s="2423"/>
    </row>
    <row r="41966" s="101" customFormat="1" spans="6:6">
      <c r="F41966" s="2423"/>
    </row>
    <row r="41967" s="101" customFormat="1" spans="6:6">
      <c r="F41967" s="2423"/>
    </row>
    <row r="41968" s="101" customFormat="1" spans="6:6">
      <c r="F41968" s="2423"/>
    </row>
    <row r="41969" s="101" customFormat="1" spans="6:6">
      <c r="F41969" s="2423"/>
    </row>
    <row r="41970" s="101" customFormat="1" spans="6:6">
      <c r="F41970" s="2423"/>
    </row>
    <row r="41971" s="101" customFormat="1" spans="6:6">
      <c r="F41971" s="2423"/>
    </row>
    <row r="41972" s="101" customFormat="1" spans="6:6">
      <c r="F41972" s="2423"/>
    </row>
    <row r="41973" s="101" customFormat="1" spans="6:6">
      <c r="F41973" s="2423"/>
    </row>
    <row r="41974" s="101" customFormat="1" spans="6:6">
      <c r="F41974" s="2423"/>
    </row>
    <row r="41975" s="101" customFormat="1" spans="6:6">
      <c r="F41975" s="2423"/>
    </row>
    <row r="41976" s="101" customFormat="1" spans="6:6">
      <c r="F41976" s="2423"/>
    </row>
    <row r="41977" s="101" customFormat="1" spans="6:6">
      <c r="F41977" s="2423"/>
    </row>
    <row r="41978" s="101" customFormat="1" spans="6:6">
      <c r="F41978" s="2423"/>
    </row>
    <row r="41979" s="101" customFormat="1" spans="6:6">
      <c r="F41979" s="2423"/>
    </row>
    <row r="41980" s="101" customFormat="1" spans="6:6">
      <c r="F41980" s="2423"/>
    </row>
    <row r="41981" s="101" customFormat="1" spans="6:6">
      <c r="F41981" s="2423"/>
    </row>
    <row r="41982" s="101" customFormat="1" spans="6:6">
      <c r="F41982" s="2423"/>
    </row>
    <row r="41983" s="101" customFormat="1" spans="6:6">
      <c r="F41983" s="2423"/>
    </row>
    <row r="41984" s="101" customFormat="1" spans="6:6">
      <c r="F41984" s="2423"/>
    </row>
    <row r="41985" s="101" customFormat="1" spans="6:6">
      <c r="F41985" s="2423"/>
    </row>
    <row r="41986" s="101" customFormat="1" spans="6:6">
      <c r="F41986" s="2423"/>
    </row>
    <row r="41987" s="101" customFormat="1" spans="6:6">
      <c r="F41987" s="2423"/>
    </row>
    <row r="41988" s="101" customFormat="1" spans="6:6">
      <c r="F41988" s="2423"/>
    </row>
    <row r="41989" s="101" customFormat="1" spans="6:6">
      <c r="F41989" s="2423"/>
    </row>
    <row r="41990" s="101" customFormat="1" spans="6:6">
      <c r="F41990" s="2423"/>
    </row>
    <row r="41991" s="101" customFormat="1" spans="6:6">
      <c r="F41991" s="2423"/>
    </row>
    <row r="41992" s="101" customFormat="1" spans="6:6">
      <c r="F41992" s="2423"/>
    </row>
    <row r="41993" s="101" customFormat="1" spans="6:6">
      <c r="F41993" s="2423"/>
    </row>
    <row r="41994" s="101" customFormat="1" spans="6:6">
      <c r="F41994" s="2423"/>
    </row>
    <row r="41995" s="101" customFormat="1" spans="6:6">
      <c r="F41995" s="2423"/>
    </row>
    <row r="41996" s="101" customFormat="1" spans="6:6">
      <c r="F41996" s="2423"/>
    </row>
    <row r="41997" s="101" customFormat="1" spans="6:6">
      <c r="F41997" s="2423"/>
    </row>
    <row r="41998" s="101" customFormat="1" spans="6:6">
      <c r="F41998" s="2423"/>
    </row>
    <row r="41999" s="101" customFormat="1" spans="6:6">
      <c r="F41999" s="2423"/>
    </row>
    <row r="42000" s="101" customFormat="1" spans="6:6">
      <c r="F42000" s="2423"/>
    </row>
    <row r="42001" s="101" customFormat="1" spans="6:6">
      <c r="F42001" s="2423"/>
    </row>
    <row r="42002" s="101" customFormat="1" spans="6:6">
      <c r="F42002" s="2423"/>
    </row>
    <row r="42003" s="101" customFormat="1" spans="6:6">
      <c r="F42003" s="2423"/>
    </row>
    <row r="42004" s="101" customFormat="1" spans="6:6">
      <c r="F42004" s="2423"/>
    </row>
    <row r="42005" s="101" customFormat="1" spans="6:6">
      <c r="F42005" s="2423"/>
    </row>
    <row r="42006" s="101" customFormat="1" spans="6:6">
      <c r="F42006" s="2423"/>
    </row>
    <row r="42007" s="101" customFormat="1" spans="6:6">
      <c r="F42007" s="2423"/>
    </row>
    <row r="42008" s="101" customFormat="1" spans="6:6">
      <c r="F42008" s="2423"/>
    </row>
    <row r="42009" s="101" customFormat="1" spans="6:6">
      <c r="F42009" s="2423"/>
    </row>
    <row r="42010" s="101" customFormat="1" spans="6:6">
      <c r="F42010" s="2423"/>
    </row>
    <row r="42011" s="101" customFormat="1" spans="6:6">
      <c r="F42011" s="2423"/>
    </row>
    <row r="42012" s="101" customFormat="1" spans="6:6">
      <c r="F42012" s="2423"/>
    </row>
    <row r="42013" s="101" customFormat="1" spans="6:6">
      <c r="F42013" s="2423"/>
    </row>
    <row r="42014" s="101" customFormat="1" spans="6:6">
      <c r="F42014" s="2423"/>
    </row>
    <row r="42015" s="101" customFormat="1" spans="6:6">
      <c r="F42015" s="2423"/>
    </row>
    <row r="42016" s="101" customFormat="1" spans="6:6">
      <c r="F42016" s="2423"/>
    </row>
    <row r="42017" s="101" customFormat="1" spans="6:6">
      <c r="F42017" s="2423"/>
    </row>
    <row r="42018" s="101" customFormat="1" spans="6:6">
      <c r="F42018" s="2423"/>
    </row>
    <row r="42019" s="101" customFormat="1" spans="6:6">
      <c r="F42019" s="2423"/>
    </row>
    <row r="42020" s="101" customFormat="1" spans="6:6">
      <c r="F42020" s="2423"/>
    </row>
    <row r="42021" s="101" customFormat="1" spans="6:6">
      <c r="F42021" s="2423"/>
    </row>
    <row r="42022" s="101" customFormat="1" spans="6:6">
      <c r="F42022" s="2423"/>
    </row>
    <row r="42023" s="101" customFormat="1" spans="6:6">
      <c r="F42023" s="2423"/>
    </row>
    <row r="42024" s="101" customFormat="1" spans="6:6">
      <c r="F42024" s="2423"/>
    </row>
    <row r="42025" s="101" customFormat="1" spans="6:6">
      <c r="F42025" s="2423"/>
    </row>
    <row r="42026" s="101" customFormat="1" spans="6:6">
      <c r="F42026" s="2423"/>
    </row>
    <row r="42027" s="101" customFormat="1" spans="6:6">
      <c r="F42027" s="2423"/>
    </row>
    <row r="42028" s="101" customFormat="1" spans="6:6">
      <c r="F42028" s="2423"/>
    </row>
    <row r="42029" s="101" customFormat="1" spans="6:6">
      <c r="F42029" s="2423"/>
    </row>
    <row r="42030" s="101" customFormat="1" spans="6:6">
      <c r="F42030" s="2423"/>
    </row>
    <row r="42031" s="101" customFormat="1" spans="6:6">
      <c r="F42031" s="2423"/>
    </row>
    <row r="42032" s="101" customFormat="1" spans="6:6">
      <c r="F42032" s="2423"/>
    </row>
    <row r="42033" s="101" customFormat="1" spans="6:6">
      <c r="F42033" s="2423"/>
    </row>
    <row r="42034" s="101" customFormat="1" spans="6:6">
      <c r="F42034" s="2423"/>
    </row>
    <row r="42035" s="101" customFormat="1" spans="6:6">
      <c r="F42035" s="2423"/>
    </row>
    <row r="42036" s="101" customFormat="1" spans="6:6">
      <c r="F42036" s="2423"/>
    </row>
    <row r="42037" s="101" customFormat="1" spans="6:6">
      <c r="F42037" s="2423"/>
    </row>
    <row r="42038" s="101" customFormat="1" spans="6:6">
      <c r="F42038" s="2423"/>
    </row>
    <row r="42039" s="101" customFormat="1" spans="6:6">
      <c r="F42039" s="2423"/>
    </row>
    <row r="42040" s="101" customFormat="1" spans="6:6">
      <c r="F42040" s="2423"/>
    </row>
    <row r="42041" s="101" customFormat="1" spans="6:6">
      <c r="F42041" s="2423"/>
    </row>
    <row r="42042" s="101" customFormat="1" spans="6:6">
      <c r="F42042" s="2423"/>
    </row>
    <row r="42043" s="101" customFormat="1" spans="6:6">
      <c r="F42043" s="2423"/>
    </row>
    <row r="42044" s="101" customFormat="1" spans="6:6">
      <c r="F42044" s="2423"/>
    </row>
    <row r="42045" s="101" customFormat="1" spans="6:6">
      <c r="F42045" s="2423"/>
    </row>
    <row r="42046" s="101" customFormat="1" spans="6:6">
      <c r="F42046" s="2423"/>
    </row>
    <row r="42047" s="101" customFormat="1" spans="6:6">
      <c r="F42047" s="2423"/>
    </row>
    <row r="42048" s="101" customFormat="1" spans="6:6">
      <c r="F42048" s="2423"/>
    </row>
    <row r="42049" s="101" customFormat="1" spans="6:6">
      <c r="F42049" s="2423"/>
    </row>
    <row r="42050" s="101" customFormat="1" spans="6:6">
      <c r="F42050" s="2423"/>
    </row>
    <row r="42051" s="101" customFormat="1" spans="6:6">
      <c r="F42051" s="2423"/>
    </row>
    <row r="42052" s="101" customFormat="1" spans="6:6">
      <c r="F42052" s="2423"/>
    </row>
    <row r="42053" s="101" customFormat="1" spans="6:6">
      <c r="F42053" s="2423"/>
    </row>
    <row r="42054" s="101" customFormat="1" spans="6:6">
      <c r="F42054" s="2423"/>
    </row>
    <row r="42055" s="101" customFormat="1" spans="6:6">
      <c r="F42055" s="2423"/>
    </row>
    <row r="42056" s="101" customFormat="1" spans="6:6">
      <c r="F42056" s="2423"/>
    </row>
    <row r="42057" s="101" customFormat="1" spans="6:6">
      <c r="F42057" s="2423"/>
    </row>
    <row r="42058" s="101" customFormat="1" spans="6:6">
      <c r="F42058" s="2423"/>
    </row>
    <row r="42059" s="101" customFormat="1" spans="6:6">
      <c r="F42059" s="2423"/>
    </row>
    <row r="42060" s="101" customFormat="1" spans="6:6">
      <c r="F42060" s="2423"/>
    </row>
    <row r="42061" s="101" customFormat="1" spans="6:6">
      <c r="F42061" s="2423"/>
    </row>
    <row r="42062" s="101" customFormat="1" spans="6:6">
      <c r="F42062" s="2423"/>
    </row>
    <row r="42063" s="101" customFormat="1" spans="6:6">
      <c r="F42063" s="2423"/>
    </row>
    <row r="42064" s="101" customFormat="1" spans="6:6">
      <c r="F42064" s="2423"/>
    </row>
    <row r="42065" s="101" customFormat="1" spans="6:6">
      <c r="F42065" s="2423"/>
    </row>
    <row r="42066" s="101" customFormat="1" spans="6:6">
      <c r="F42066" s="2423"/>
    </row>
    <row r="42067" s="101" customFormat="1" spans="6:6">
      <c r="F42067" s="2423"/>
    </row>
    <row r="42068" s="101" customFormat="1" spans="6:6">
      <c r="F42068" s="2423"/>
    </row>
    <row r="42069" s="101" customFormat="1" spans="6:6">
      <c r="F42069" s="2423"/>
    </row>
    <row r="42070" s="101" customFormat="1" spans="6:6">
      <c r="F42070" s="2423"/>
    </row>
    <row r="42071" s="101" customFormat="1" spans="6:6">
      <c r="F42071" s="2423"/>
    </row>
    <row r="42072" s="101" customFormat="1" spans="6:6">
      <c r="F42072" s="2423"/>
    </row>
    <row r="42073" s="101" customFormat="1" spans="6:6">
      <c r="F42073" s="2423"/>
    </row>
    <row r="42074" s="101" customFormat="1" spans="6:6">
      <c r="F42074" s="2423"/>
    </row>
    <row r="42075" s="101" customFormat="1" spans="6:6">
      <c r="F42075" s="2423"/>
    </row>
    <row r="42076" s="101" customFormat="1" spans="6:6">
      <c r="F42076" s="2423"/>
    </row>
    <row r="42077" s="101" customFormat="1" spans="6:6">
      <c r="F42077" s="2423"/>
    </row>
    <row r="42078" s="101" customFormat="1" spans="6:6">
      <c r="F42078" s="2423"/>
    </row>
    <row r="42079" s="101" customFormat="1" spans="6:6">
      <c r="F42079" s="2423"/>
    </row>
    <row r="42080" s="101" customFormat="1" spans="6:6">
      <c r="F42080" s="2423"/>
    </row>
    <row r="42081" s="101" customFormat="1" spans="6:6">
      <c r="F42081" s="2423"/>
    </row>
    <row r="42082" s="101" customFormat="1" spans="6:6">
      <c r="F42082" s="2423"/>
    </row>
    <row r="42083" s="101" customFormat="1" spans="6:6">
      <c r="F42083" s="2423"/>
    </row>
    <row r="42084" s="101" customFormat="1" spans="6:6">
      <c r="F42084" s="2423"/>
    </row>
    <row r="42085" s="101" customFormat="1" spans="6:6">
      <c r="F42085" s="2423"/>
    </row>
    <row r="42086" s="101" customFormat="1" spans="6:6">
      <c r="F42086" s="2423"/>
    </row>
    <row r="42087" s="101" customFormat="1" spans="6:6">
      <c r="F42087" s="2423"/>
    </row>
    <row r="42088" s="101" customFormat="1" spans="6:6">
      <c r="F42088" s="2423"/>
    </row>
    <row r="42089" s="101" customFormat="1" spans="6:6">
      <c r="F42089" s="2423"/>
    </row>
    <row r="42090" s="101" customFormat="1" spans="6:6">
      <c r="F42090" s="2423"/>
    </row>
    <row r="42091" s="101" customFormat="1" spans="6:6">
      <c r="F42091" s="2423"/>
    </row>
    <row r="42092" s="101" customFormat="1" spans="6:6">
      <c r="F42092" s="2423"/>
    </row>
    <row r="42093" s="101" customFormat="1" spans="6:6">
      <c r="F42093" s="2423"/>
    </row>
    <row r="42094" s="101" customFormat="1" spans="6:6">
      <c r="F42094" s="2423"/>
    </row>
    <row r="42095" s="101" customFormat="1" spans="6:6">
      <c r="F42095" s="2423"/>
    </row>
    <row r="42096" s="101" customFormat="1" spans="6:6">
      <c r="F42096" s="2423"/>
    </row>
    <row r="42097" s="101" customFormat="1" spans="6:6">
      <c r="F42097" s="2423"/>
    </row>
    <row r="42098" s="101" customFormat="1" spans="6:6">
      <c r="F42098" s="2423"/>
    </row>
    <row r="42099" s="101" customFormat="1" spans="6:6">
      <c r="F42099" s="2423"/>
    </row>
    <row r="42100" s="101" customFormat="1" spans="6:6">
      <c r="F42100" s="2423"/>
    </row>
    <row r="42101" s="101" customFormat="1" spans="6:6">
      <c r="F42101" s="2423"/>
    </row>
    <row r="42102" s="101" customFormat="1" spans="6:6">
      <c r="F42102" s="2423"/>
    </row>
    <row r="42103" s="101" customFormat="1" spans="6:6">
      <c r="F42103" s="2423"/>
    </row>
    <row r="42104" s="101" customFormat="1" spans="6:6">
      <c r="F42104" s="2423"/>
    </row>
    <row r="42105" s="101" customFormat="1" spans="6:6">
      <c r="F42105" s="2423"/>
    </row>
    <row r="42106" s="101" customFormat="1" spans="6:6">
      <c r="F42106" s="2423"/>
    </row>
    <row r="42107" s="101" customFormat="1" spans="6:6">
      <c r="F42107" s="2423"/>
    </row>
    <row r="42108" s="101" customFormat="1" spans="6:6">
      <c r="F42108" s="2423"/>
    </row>
    <row r="42109" s="101" customFormat="1" spans="6:6">
      <c r="F42109" s="2423"/>
    </row>
    <row r="42110" s="101" customFormat="1" spans="6:6">
      <c r="F42110" s="2423"/>
    </row>
    <row r="42111" s="101" customFormat="1" spans="6:6">
      <c r="F42111" s="2423"/>
    </row>
    <row r="42112" s="101" customFormat="1" spans="6:6">
      <c r="F42112" s="2423"/>
    </row>
    <row r="42113" s="101" customFormat="1" spans="6:6">
      <c r="F42113" s="2423"/>
    </row>
    <row r="42114" s="101" customFormat="1" spans="6:6">
      <c r="F42114" s="2423"/>
    </row>
    <row r="42115" s="101" customFormat="1" spans="6:6">
      <c r="F42115" s="2423"/>
    </row>
    <row r="42116" s="101" customFormat="1" spans="6:6">
      <c r="F42116" s="2423"/>
    </row>
    <row r="42117" s="101" customFormat="1" spans="6:6">
      <c r="F42117" s="2423"/>
    </row>
    <row r="42118" s="101" customFormat="1" spans="6:6">
      <c r="F42118" s="2423"/>
    </row>
    <row r="42119" s="101" customFormat="1" spans="6:6">
      <c r="F42119" s="2423"/>
    </row>
    <row r="42120" s="101" customFormat="1" spans="6:6">
      <c r="F42120" s="2423"/>
    </row>
    <row r="42121" s="101" customFormat="1" spans="6:6">
      <c r="F42121" s="2423"/>
    </row>
    <row r="42122" s="101" customFormat="1" spans="6:6">
      <c r="F42122" s="2423"/>
    </row>
    <row r="42123" s="101" customFormat="1" spans="6:6">
      <c r="F42123" s="2423"/>
    </row>
    <row r="42124" s="101" customFormat="1" spans="6:6">
      <c r="F42124" s="2423"/>
    </row>
    <row r="42125" s="101" customFormat="1" spans="6:6">
      <c r="F42125" s="2423"/>
    </row>
    <row r="42126" s="101" customFormat="1" spans="6:6">
      <c r="F42126" s="2423"/>
    </row>
    <row r="42127" s="101" customFormat="1" spans="6:6">
      <c r="F42127" s="2423"/>
    </row>
    <row r="42128" s="101" customFormat="1" spans="6:6">
      <c r="F42128" s="2423"/>
    </row>
    <row r="42129" s="101" customFormat="1" spans="6:6">
      <c r="F42129" s="2423"/>
    </row>
    <row r="42130" s="101" customFormat="1" spans="6:6">
      <c r="F42130" s="2423"/>
    </row>
    <row r="42131" s="101" customFormat="1" spans="6:6">
      <c r="F42131" s="2423"/>
    </row>
    <row r="42132" s="101" customFormat="1" spans="6:6">
      <c r="F42132" s="2423"/>
    </row>
    <row r="42133" s="101" customFormat="1" spans="6:6">
      <c r="F42133" s="2423"/>
    </row>
    <row r="42134" s="101" customFormat="1" spans="6:6">
      <c r="F42134" s="2423"/>
    </row>
    <row r="42135" s="101" customFormat="1" spans="6:6">
      <c r="F42135" s="2423"/>
    </row>
    <row r="42136" s="101" customFormat="1" spans="6:6">
      <c r="F42136" s="2423"/>
    </row>
    <row r="42137" s="101" customFormat="1" spans="6:6">
      <c r="F42137" s="2423"/>
    </row>
    <row r="42138" s="101" customFormat="1" spans="6:6">
      <c r="F42138" s="2423"/>
    </row>
    <row r="42139" s="101" customFormat="1" spans="6:6">
      <c r="F42139" s="2423"/>
    </row>
    <row r="42140" s="101" customFormat="1" spans="6:6">
      <c r="F42140" s="2423"/>
    </row>
    <row r="42141" s="101" customFormat="1" spans="6:6">
      <c r="F42141" s="2423"/>
    </row>
    <row r="42142" s="101" customFormat="1" spans="6:6">
      <c r="F42142" s="2423"/>
    </row>
    <row r="42143" s="101" customFormat="1" spans="6:6">
      <c r="F42143" s="2423"/>
    </row>
    <row r="42144" s="101" customFormat="1" spans="6:6">
      <c r="F42144" s="2423"/>
    </row>
    <row r="42145" s="101" customFormat="1" spans="6:6">
      <c r="F42145" s="2423"/>
    </row>
    <row r="42146" s="101" customFormat="1" spans="6:6">
      <c r="F42146" s="2423"/>
    </row>
    <row r="42147" s="101" customFormat="1" spans="6:6">
      <c r="F42147" s="2423"/>
    </row>
    <row r="42148" s="101" customFormat="1" spans="6:6">
      <c r="F42148" s="2423"/>
    </row>
    <row r="42149" s="101" customFormat="1" spans="6:6">
      <c r="F42149" s="2423"/>
    </row>
    <row r="42150" s="101" customFormat="1" spans="6:6">
      <c r="F42150" s="2423"/>
    </row>
    <row r="42151" s="101" customFormat="1" spans="6:6">
      <c r="F42151" s="2423"/>
    </row>
    <row r="42152" s="101" customFormat="1" spans="6:6">
      <c r="F42152" s="2423"/>
    </row>
    <row r="42153" s="101" customFormat="1" spans="6:6">
      <c r="F42153" s="2423"/>
    </row>
    <row r="42154" s="101" customFormat="1" spans="6:6">
      <c r="F42154" s="2423"/>
    </row>
    <row r="42155" s="101" customFormat="1" spans="6:6">
      <c r="F42155" s="2423"/>
    </row>
    <row r="42156" s="101" customFormat="1" spans="6:6">
      <c r="F42156" s="2423"/>
    </row>
    <row r="42157" s="101" customFormat="1" spans="6:6">
      <c r="F42157" s="2423"/>
    </row>
    <row r="42158" s="101" customFormat="1" spans="6:6">
      <c r="F42158" s="2423"/>
    </row>
    <row r="42159" s="101" customFormat="1" spans="6:6">
      <c r="F42159" s="2423"/>
    </row>
    <row r="42160" s="101" customFormat="1" spans="6:6">
      <c r="F42160" s="2423"/>
    </row>
    <row r="42161" s="101" customFormat="1" spans="6:6">
      <c r="F42161" s="2423"/>
    </row>
    <row r="42162" s="101" customFormat="1" spans="6:6">
      <c r="F42162" s="2423"/>
    </row>
    <row r="42163" s="101" customFormat="1" spans="6:6">
      <c r="F42163" s="2423"/>
    </row>
    <row r="42164" s="101" customFormat="1" spans="6:6">
      <c r="F42164" s="2423"/>
    </row>
    <row r="42165" s="101" customFormat="1" spans="6:6">
      <c r="F42165" s="2423"/>
    </row>
    <row r="42166" s="101" customFormat="1" spans="6:6">
      <c r="F42166" s="2423"/>
    </row>
    <row r="42167" s="101" customFormat="1" spans="6:6">
      <c r="F42167" s="2423"/>
    </row>
    <row r="42168" s="101" customFormat="1" spans="6:6">
      <c r="F42168" s="2423"/>
    </row>
    <row r="42169" s="101" customFormat="1" spans="6:6">
      <c r="F42169" s="2423"/>
    </row>
    <row r="42170" s="101" customFormat="1" spans="6:6">
      <c r="F42170" s="2423"/>
    </row>
    <row r="42171" s="101" customFormat="1" spans="6:6">
      <c r="F42171" s="2423"/>
    </row>
    <row r="42172" s="101" customFormat="1" spans="6:6">
      <c r="F42172" s="2423"/>
    </row>
    <row r="42173" s="101" customFormat="1" spans="6:6">
      <c r="F42173" s="2423"/>
    </row>
    <row r="42174" s="101" customFormat="1" spans="6:6">
      <c r="F42174" s="2423"/>
    </row>
    <row r="42175" s="101" customFormat="1" spans="6:6">
      <c r="F42175" s="2423"/>
    </row>
    <row r="42176" s="101" customFormat="1" spans="6:6">
      <c r="F42176" s="2423"/>
    </row>
    <row r="42177" s="101" customFormat="1" spans="6:6">
      <c r="F42177" s="2423"/>
    </row>
    <row r="42178" s="101" customFormat="1" spans="6:6">
      <c r="F42178" s="2423"/>
    </row>
    <row r="42179" s="101" customFormat="1" spans="6:6">
      <c r="F42179" s="2423"/>
    </row>
    <row r="42180" s="101" customFormat="1" spans="6:6">
      <c r="F42180" s="2423"/>
    </row>
    <row r="42181" s="101" customFormat="1" spans="6:6">
      <c r="F42181" s="2423"/>
    </row>
    <row r="42182" s="101" customFormat="1" spans="6:6">
      <c r="F42182" s="2423"/>
    </row>
    <row r="42183" s="101" customFormat="1" spans="6:6">
      <c r="F42183" s="2423"/>
    </row>
    <row r="42184" s="101" customFormat="1" spans="6:6">
      <c r="F42184" s="2423"/>
    </row>
    <row r="42185" s="101" customFormat="1" spans="6:6">
      <c r="F42185" s="2423"/>
    </row>
    <row r="42186" s="101" customFormat="1" spans="6:6">
      <c r="F42186" s="2423"/>
    </row>
    <row r="42187" s="101" customFormat="1" spans="6:6">
      <c r="F42187" s="2423"/>
    </row>
    <row r="42188" s="101" customFormat="1" spans="6:6">
      <c r="F42188" s="2423"/>
    </row>
    <row r="42189" s="101" customFormat="1" spans="6:6">
      <c r="F42189" s="2423"/>
    </row>
    <row r="42190" s="101" customFormat="1" spans="6:6">
      <c r="F42190" s="2423"/>
    </row>
    <row r="42191" s="101" customFormat="1" spans="6:6">
      <c r="F42191" s="2423"/>
    </row>
    <row r="42192" s="101" customFormat="1" spans="6:6">
      <c r="F42192" s="2423"/>
    </row>
    <row r="42193" s="101" customFormat="1" spans="6:6">
      <c r="F42193" s="2423"/>
    </row>
    <row r="42194" s="101" customFormat="1" spans="6:6">
      <c r="F42194" s="2423"/>
    </row>
    <row r="42195" s="101" customFormat="1" spans="6:6">
      <c r="F42195" s="2423"/>
    </row>
    <row r="42196" s="101" customFormat="1" spans="6:6">
      <c r="F42196" s="2423"/>
    </row>
    <row r="42197" s="101" customFormat="1" spans="6:6">
      <c r="F42197" s="2423"/>
    </row>
    <row r="42198" s="101" customFormat="1" spans="6:6">
      <c r="F42198" s="2423"/>
    </row>
    <row r="42199" s="101" customFormat="1" spans="6:6">
      <c r="F42199" s="2423"/>
    </row>
    <row r="42200" s="101" customFormat="1" spans="6:6">
      <c r="F42200" s="2423"/>
    </row>
    <row r="42201" s="101" customFormat="1" spans="6:6">
      <c r="F42201" s="2423"/>
    </row>
    <row r="42202" s="101" customFormat="1" spans="6:6">
      <c r="F42202" s="2423"/>
    </row>
    <row r="42203" s="101" customFormat="1" spans="6:6">
      <c r="F42203" s="2423"/>
    </row>
    <row r="42204" s="101" customFormat="1" spans="6:6">
      <c r="F42204" s="2423"/>
    </row>
    <row r="42205" s="101" customFormat="1" spans="6:6">
      <c r="F42205" s="2423"/>
    </row>
    <row r="42206" s="101" customFormat="1" spans="6:6">
      <c r="F42206" s="2423"/>
    </row>
    <row r="42207" s="101" customFormat="1" spans="6:6">
      <c r="F42207" s="2423"/>
    </row>
    <row r="42208" s="101" customFormat="1" spans="6:6">
      <c r="F42208" s="2423"/>
    </row>
    <row r="42209" s="101" customFormat="1" spans="6:6">
      <c r="F42209" s="2423"/>
    </row>
    <row r="42210" s="101" customFormat="1" spans="6:6">
      <c r="F42210" s="2423"/>
    </row>
    <row r="42211" s="101" customFormat="1" spans="6:6">
      <c r="F42211" s="2423"/>
    </row>
    <row r="42212" s="101" customFormat="1" spans="6:6">
      <c r="F42212" s="2423"/>
    </row>
    <row r="42213" s="101" customFormat="1" spans="6:6">
      <c r="F42213" s="2423"/>
    </row>
    <row r="42214" s="101" customFormat="1" spans="6:6">
      <c r="F42214" s="2423"/>
    </row>
    <row r="42215" s="101" customFormat="1" spans="6:6">
      <c r="F42215" s="2423"/>
    </row>
    <row r="42216" s="101" customFormat="1" spans="6:6">
      <c r="F42216" s="2423"/>
    </row>
    <row r="42217" s="101" customFormat="1" spans="6:6">
      <c r="F42217" s="2423"/>
    </row>
    <row r="42218" s="101" customFormat="1" spans="6:6">
      <c r="F42218" s="2423"/>
    </row>
    <row r="42219" s="101" customFormat="1" spans="6:6">
      <c r="F42219" s="2423"/>
    </row>
    <row r="42220" s="101" customFormat="1" spans="6:6">
      <c r="F42220" s="2423"/>
    </row>
    <row r="42221" s="101" customFormat="1" spans="6:6">
      <c r="F42221" s="2423"/>
    </row>
    <row r="42222" s="101" customFormat="1" spans="6:6">
      <c r="F42222" s="2423"/>
    </row>
    <row r="42223" s="101" customFormat="1" spans="6:6">
      <c r="F42223" s="2423"/>
    </row>
    <row r="42224" s="101" customFormat="1" spans="6:6">
      <c r="F42224" s="2423"/>
    </row>
    <row r="42225" s="101" customFormat="1" spans="6:6">
      <c r="F42225" s="2423"/>
    </row>
    <row r="42226" s="101" customFormat="1" spans="6:6">
      <c r="F42226" s="2423"/>
    </row>
    <row r="42227" s="101" customFormat="1" spans="6:6">
      <c r="F42227" s="2423"/>
    </row>
    <row r="42228" s="101" customFormat="1" spans="6:6">
      <c r="F42228" s="2423"/>
    </row>
    <row r="42229" s="101" customFormat="1" spans="6:6">
      <c r="F42229" s="2423"/>
    </row>
    <row r="42230" s="101" customFormat="1" spans="6:6">
      <c r="F42230" s="2423"/>
    </row>
    <row r="42231" s="101" customFormat="1" spans="6:6">
      <c r="F42231" s="2423"/>
    </row>
    <row r="42232" s="101" customFormat="1" spans="6:6">
      <c r="F42232" s="2423"/>
    </row>
    <row r="42233" s="101" customFormat="1" spans="6:6">
      <c r="F42233" s="2423"/>
    </row>
    <row r="42234" s="101" customFormat="1" spans="6:6">
      <c r="F42234" s="2423"/>
    </row>
    <row r="42235" s="101" customFormat="1" spans="6:6">
      <c r="F42235" s="2423"/>
    </row>
    <row r="42236" s="101" customFormat="1" spans="6:6">
      <c r="F42236" s="2423"/>
    </row>
    <row r="42237" s="101" customFormat="1" spans="6:6">
      <c r="F42237" s="2423"/>
    </row>
    <row r="42238" s="101" customFormat="1" spans="6:6">
      <c r="F42238" s="2423"/>
    </row>
    <row r="42239" s="101" customFormat="1" spans="6:6">
      <c r="F42239" s="2423"/>
    </row>
    <row r="42240" s="101" customFormat="1" spans="6:6">
      <c r="F42240" s="2423"/>
    </row>
    <row r="42241" s="101" customFormat="1" spans="6:6">
      <c r="F42241" s="2423"/>
    </row>
    <row r="42242" s="101" customFormat="1" spans="6:6">
      <c r="F42242" s="2423"/>
    </row>
    <row r="42243" s="101" customFormat="1" spans="6:6">
      <c r="F42243" s="2423"/>
    </row>
    <row r="42244" s="101" customFormat="1" spans="6:6">
      <c r="F42244" s="2423"/>
    </row>
    <row r="42245" s="101" customFormat="1" spans="6:6">
      <c r="F42245" s="2423"/>
    </row>
    <row r="42246" s="101" customFormat="1" spans="6:6">
      <c r="F42246" s="2423"/>
    </row>
    <row r="42247" s="101" customFormat="1" spans="6:6">
      <c r="F42247" s="2423"/>
    </row>
    <row r="42248" s="101" customFormat="1" spans="6:6">
      <c r="F42248" s="2423"/>
    </row>
    <row r="42249" s="101" customFormat="1" spans="6:6">
      <c r="F42249" s="2423"/>
    </row>
    <row r="42250" s="101" customFormat="1" spans="6:6">
      <c r="F42250" s="2423"/>
    </row>
    <row r="42251" s="101" customFormat="1" spans="6:6">
      <c r="F42251" s="2423"/>
    </row>
    <row r="42252" s="101" customFormat="1" spans="6:6">
      <c r="F42252" s="2423"/>
    </row>
    <row r="42253" s="101" customFormat="1" spans="6:6">
      <c r="F42253" s="2423"/>
    </row>
    <row r="42254" s="101" customFormat="1" spans="6:6">
      <c r="F42254" s="2423"/>
    </row>
    <row r="42255" s="101" customFormat="1" spans="6:6">
      <c r="F42255" s="2423"/>
    </row>
    <row r="42256" s="101" customFormat="1" spans="6:6">
      <c r="F42256" s="2423"/>
    </row>
    <row r="42257" s="101" customFormat="1" spans="6:6">
      <c r="F42257" s="2423"/>
    </row>
    <row r="42258" s="101" customFormat="1" spans="6:6">
      <c r="F42258" s="2423"/>
    </row>
    <row r="42259" s="101" customFormat="1" spans="6:6">
      <c r="F42259" s="2423"/>
    </row>
    <row r="42260" s="101" customFormat="1" spans="6:6">
      <c r="F42260" s="2423"/>
    </row>
    <row r="42261" s="101" customFormat="1" spans="6:6">
      <c r="F42261" s="2423"/>
    </row>
    <row r="42262" s="101" customFormat="1" spans="6:6">
      <c r="F42262" s="2423"/>
    </row>
    <row r="42263" s="101" customFormat="1" spans="6:6">
      <c r="F42263" s="2423"/>
    </row>
    <row r="42264" s="101" customFormat="1" spans="6:6">
      <c r="F42264" s="2423"/>
    </row>
    <row r="42265" s="101" customFormat="1" spans="6:6">
      <c r="F42265" s="2423"/>
    </row>
    <row r="42266" s="101" customFormat="1" spans="6:6">
      <c r="F42266" s="2423"/>
    </row>
    <row r="42267" s="101" customFormat="1" spans="6:6">
      <c r="F42267" s="2423"/>
    </row>
    <row r="42268" s="101" customFormat="1" spans="6:6">
      <c r="F42268" s="2423"/>
    </row>
    <row r="42269" s="101" customFormat="1" spans="6:6">
      <c r="F42269" s="2423"/>
    </row>
    <row r="42270" s="101" customFormat="1" spans="6:6">
      <c r="F42270" s="2423"/>
    </row>
    <row r="42271" s="101" customFormat="1" spans="6:6">
      <c r="F42271" s="2423"/>
    </row>
    <row r="42272" s="101" customFormat="1" spans="6:6">
      <c r="F42272" s="2423"/>
    </row>
    <row r="42273" s="101" customFormat="1" spans="6:6">
      <c r="F42273" s="2423"/>
    </row>
    <row r="42274" s="101" customFormat="1" spans="6:6">
      <c r="F42274" s="2423"/>
    </row>
    <row r="42275" s="101" customFormat="1" spans="6:6">
      <c r="F42275" s="2423"/>
    </row>
    <row r="42276" s="101" customFormat="1" spans="6:6">
      <c r="F42276" s="2423"/>
    </row>
    <row r="42277" s="101" customFormat="1" spans="6:6">
      <c r="F42277" s="2423"/>
    </row>
    <row r="42278" s="101" customFormat="1" spans="6:6">
      <c r="F42278" s="2423"/>
    </row>
    <row r="42279" s="101" customFormat="1" spans="6:6">
      <c r="F42279" s="2423"/>
    </row>
    <row r="42280" s="101" customFormat="1" spans="6:6">
      <c r="F42280" s="2423"/>
    </row>
    <row r="42281" s="101" customFormat="1" spans="6:6">
      <c r="F42281" s="2423"/>
    </row>
    <row r="42282" s="101" customFormat="1" spans="6:6">
      <c r="F42282" s="2423"/>
    </row>
    <row r="42283" s="101" customFormat="1" spans="6:6">
      <c r="F42283" s="2423"/>
    </row>
    <row r="42284" s="101" customFormat="1" spans="6:6">
      <c r="F42284" s="2423"/>
    </row>
    <row r="42285" s="101" customFormat="1" spans="6:6">
      <c r="F42285" s="2423"/>
    </row>
    <row r="42286" s="101" customFormat="1" spans="6:6">
      <c r="F42286" s="2423"/>
    </row>
    <row r="42287" s="101" customFormat="1" spans="6:6">
      <c r="F42287" s="2423"/>
    </row>
    <row r="42288" s="101" customFormat="1" spans="6:6">
      <c r="F42288" s="2423"/>
    </row>
    <row r="42289" s="101" customFormat="1" spans="6:6">
      <c r="F42289" s="2423"/>
    </row>
    <row r="42290" s="101" customFormat="1" spans="6:6">
      <c r="F42290" s="2423"/>
    </row>
    <row r="42291" s="101" customFormat="1" spans="6:6">
      <c r="F42291" s="2423"/>
    </row>
    <row r="42292" s="101" customFormat="1" spans="6:6">
      <c r="F42292" s="2423"/>
    </row>
    <row r="42293" s="101" customFormat="1" spans="6:6">
      <c r="F42293" s="2423"/>
    </row>
    <row r="42294" s="101" customFormat="1" spans="6:6">
      <c r="F42294" s="2423"/>
    </row>
    <row r="42295" s="101" customFormat="1" spans="6:6">
      <c r="F42295" s="2423"/>
    </row>
    <row r="42296" s="101" customFormat="1" spans="6:6">
      <c r="F42296" s="2423"/>
    </row>
    <row r="42297" s="101" customFormat="1" spans="6:6">
      <c r="F42297" s="2423"/>
    </row>
    <row r="42298" s="101" customFormat="1" spans="6:6">
      <c r="F42298" s="2423"/>
    </row>
    <row r="42299" s="101" customFormat="1" spans="6:6">
      <c r="F42299" s="2423"/>
    </row>
    <row r="42300" s="101" customFormat="1" spans="6:6">
      <c r="F42300" s="2423"/>
    </row>
    <row r="42301" s="101" customFormat="1" spans="6:6">
      <c r="F42301" s="2423"/>
    </row>
    <row r="42302" s="101" customFormat="1" spans="6:6">
      <c r="F42302" s="2423"/>
    </row>
    <row r="42303" s="101" customFormat="1" spans="6:6">
      <c r="F42303" s="2423"/>
    </row>
    <row r="42304" s="101" customFormat="1" spans="6:6">
      <c r="F42304" s="2423"/>
    </row>
    <row r="42305" s="101" customFormat="1" spans="6:6">
      <c r="F42305" s="2423"/>
    </row>
    <row r="42306" s="101" customFormat="1" spans="6:6">
      <c r="F42306" s="2423"/>
    </row>
    <row r="42307" s="101" customFormat="1" spans="6:6">
      <c r="F42307" s="2423"/>
    </row>
    <row r="42308" s="101" customFormat="1" spans="6:6">
      <c r="F42308" s="2423"/>
    </row>
    <row r="42309" s="101" customFormat="1" spans="6:6">
      <c r="F42309" s="2423"/>
    </row>
    <row r="42310" s="101" customFormat="1" spans="6:6">
      <c r="F42310" s="2423"/>
    </row>
    <row r="42311" s="101" customFormat="1" spans="6:6">
      <c r="F42311" s="2423"/>
    </row>
    <row r="42312" s="101" customFormat="1" spans="6:6">
      <c r="F42312" s="2423"/>
    </row>
    <row r="42313" s="101" customFormat="1" spans="6:6">
      <c r="F42313" s="2423"/>
    </row>
    <row r="42314" s="101" customFormat="1" spans="6:6">
      <c r="F42314" s="2423"/>
    </row>
    <row r="42315" s="101" customFormat="1" spans="6:6">
      <c r="F42315" s="2423"/>
    </row>
    <row r="42316" s="101" customFormat="1" spans="6:6">
      <c r="F42316" s="2423"/>
    </row>
    <row r="42317" s="101" customFormat="1" spans="6:6">
      <c r="F42317" s="2423"/>
    </row>
    <row r="42318" s="101" customFormat="1" spans="6:6">
      <c r="F42318" s="2423"/>
    </row>
    <row r="42319" s="101" customFormat="1" spans="6:6">
      <c r="F42319" s="2423"/>
    </row>
    <row r="42320" s="101" customFormat="1" spans="6:6">
      <c r="F42320" s="2423"/>
    </row>
    <row r="42321" s="101" customFormat="1" spans="6:6">
      <c r="F42321" s="2423"/>
    </row>
    <row r="42322" s="101" customFormat="1" spans="6:6">
      <c r="F42322" s="2423"/>
    </row>
    <row r="42323" s="101" customFormat="1" spans="6:6">
      <c r="F42323" s="2423"/>
    </row>
    <row r="42324" s="101" customFormat="1" spans="6:6">
      <c r="F42324" s="2423"/>
    </row>
    <row r="42325" s="101" customFormat="1" spans="6:6">
      <c r="F42325" s="2423"/>
    </row>
    <row r="42326" s="101" customFormat="1" spans="6:6">
      <c r="F42326" s="2423"/>
    </row>
    <row r="42327" s="101" customFormat="1" spans="6:6">
      <c r="F42327" s="2423"/>
    </row>
    <row r="42328" s="101" customFormat="1" spans="6:6">
      <c r="F42328" s="2423"/>
    </row>
    <row r="42329" s="101" customFormat="1" spans="6:6">
      <c r="F42329" s="2423"/>
    </row>
    <row r="42330" s="101" customFormat="1" spans="6:6">
      <c r="F42330" s="2423"/>
    </row>
    <row r="42331" s="101" customFormat="1" spans="6:6">
      <c r="F42331" s="2423"/>
    </row>
    <row r="42332" s="101" customFormat="1" spans="6:6">
      <c r="F42332" s="2423"/>
    </row>
    <row r="42333" s="101" customFormat="1" spans="6:6">
      <c r="F42333" s="2423"/>
    </row>
    <row r="42334" s="101" customFormat="1" spans="6:6">
      <c r="F42334" s="2423"/>
    </row>
    <row r="42335" s="101" customFormat="1" spans="6:6">
      <c r="F42335" s="2423"/>
    </row>
    <row r="42336" s="101" customFormat="1" spans="6:6">
      <c r="F42336" s="2423"/>
    </row>
    <row r="42337" s="101" customFormat="1" spans="6:6">
      <c r="F42337" s="2423"/>
    </row>
    <row r="42338" s="101" customFormat="1" spans="6:6">
      <c r="F42338" s="2423"/>
    </row>
    <row r="42339" s="101" customFormat="1" spans="6:6">
      <c r="F42339" s="2423"/>
    </row>
    <row r="42340" s="101" customFormat="1" spans="6:6">
      <c r="F42340" s="2423"/>
    </row>
    <row r="42341" s="101" customFormat="1" spans="6:6">
      <c r="F42341" s="2423"/>
    </row>
    <row r="42342" s="101" customFormat="1" spans="6:6">
      <c r="F42342" s="2423"/>
    </row>
    <row r="42343" s="101" customFormat="1" spans="6:6">
      <c r="F42343" s="2423"/>
    </row>
    <row r="42344" s="101" customFormat="1" spans="6:6">
      <c r="F42344" s="2423"/>
    </row>
    <row r="42345" s="101" customFormat="1" spans="6:6">
      <c r="F42345" s="2423"/>
    </row>
    <row r="42346" s="101" customFormat="1" spans="6:6">
      <c r="F42346" s="2423"/>
    </row>
    <row r="42347" s="101" customFormat="1" spans="6:6">
      <c r="F42347" s="2423"/>
    </row>
    <row r="42348" s="101" customFormat="1" spans="6:6">
      <c r="F42348" s="2423"/>
    </row>
    <row r="42349" s="101" customFormat="1" spans="6:6">
      <c r="F42349" s="2423"/>
    </row>
    <row r="42350" s="101" customFormat="1" spans="6:6">
      <c r="F42350" s="2423"/>
    </row>
    <row r="42351" s="101" customFormat="1" spans="6:6">
      <c r="F42351" s="2423"/>
    </row>
    <row r="42352" s="101" customFormat="1" spans="6:6">
      <c r="F42352" s="2423"/>
    </row>
    <row r="42353" s="101" customFormat="1" spans="6:6">
      <c r="F42353" s="2423"/>
    </row>
    <row r="42354" s="101" customFormat="1" spans="6:6">
      <c r="F42354" s="2423"/>
    </row>
    <row r="42355" s="101" customFormat="1" spans="6:6">
      <c r="F42355" s="2423"/>
    </row>
    <row r="42356" s="101" customFormat="1" spans="6:6">
      <c r="F42356" s="2423"/>
    </row>
    <row r="42357" s="101" customFormat="1" spans="6:6">
      <c r="F42357" s="2423"/>
    </row>
    <row r="42358" s="101" customFormat="1" spans="6:6">
      <c r="F42358" s="2423"/>
    </row>
    <row r="42359" s="101" customFormat="1" spans="6:6">
      <c r="F42359" s="2423"/>
    </row>
    <row r="42360" s="101" customFormat="1" spans="6:6">
      <c r="F42360" s="2423"/>
    </row>
    <row r="42361" s="101" customFormat="1" spans="6:6">
      <c r="F42361" s="2423"/>
    </row>
    <row r="42362" s="101" customFormat="1" spans="6:6">
      <c r="F42362" s="2423"/>
    </row>
    <row r="42363" s="101" customFormat="1" spans="6:6">
      <c r="F42363" s="2423"/>
    </row>
    <row r="42364" s="101" customFormat="1" spans="6:6">
      <c r="F42364" s="2423"/>
    </row>
    <row r="42365" s="101" customFormat="1" spans="6:6">
      <c r="F42365" s="2423"/>
    </row>
    <row r="42366" s="101" customFormat="1" spans="6:6">
      <c r="F42366" s="2423"/>
    </row>
    <row r="42367" s="101" customFormat="1" spans="6:6">
      <c r="F42367" s="2423"/>
    </row>
    <row r="42368" s="101" customFormat="1" spans="6:6">
      <c r="F42368" s="2423"/>
    </row>
    <row r="42369" s="101" customFormat="1" spans="6:6">
      <c r="F42369" s="2423"/>
    </row>
    <row r="42370" s="101" customFormat="1" spans="6:6">
      <c r="F42370" s="2423"/>
    </row>
    <row r="42371" s="101" customFormat="1" spans="6:6">
      <c r="F42371" s="2423"/>
    </row>
    <row r="42372" s="101" customFormat="1" spans="6:6">
      <c r="F42372" s="2423"/>
    </row>
    <row r="42373" s="101" customFormat="1" spans="6:6">
      <c r="F42373" s="2423"/>
    </row>
    <row r="42374" s="101" customFormat="1" spans="6:6">
      <c r="F42374" s="2423"/>
    </row>
    <row r="42375" s="101" customFormat="1" spans="6:6">
      <c r="F42375" s="2423"/>
    </row>
    <row r="42376" s="101" customFormat="1" spans="6:6">
      <c r="F42376" s="2423"/>
    </row>
    <row r="42377" s="101" customFormat="1" spans="6:6">
      <c r="F42377" s="2423"/>
    </row>
    <row r="42378" s="101" customFormat="1" spans="6:6">
      <c r="F42378" s="2423"/>
    </row>
    <row r="42379" s="101" customFormat="1" spans="6:6">
      <c r="F42379" s="2423"/>
    </row>
    <row r="42380" s="101" customFormat="1" spans="6:6">
      <c r="F42380" s="2423"/>
    </row>
    <row r="42381" s="101" customFormat="1" spans="6:6">
      <c r="F42381" s="2423"/>
    </row>
    <row r="42382" s="101" customFormat="1" spans="6:6">
      <c r="F42382" s="2423"/>
    </row>
    <row r="42383" s="101" customFormat="1" spans="6:6">
      <c r="F42383" s="2423"/>
    </row>
    <row r="42384" s="101" customFormat="1" spans="6:6">
      <c r="F42384" s="2423"/>
    </row>
    <row r="42385" s="101" customFormat="1" spans="6:6">
      <c r="F42385" s="2423"/>
    </row>
    <row r="42386" s="101" customFormat="1" spans="6:6">
      <c r="F42386" s="2423"/>
    </row>
    <row r="42387" s="101" customFormat="1" spans="6:6">
      <c r="F42387" s="2423"/>
    </row>
    <row r="42388" s="101" customFormat="1" spans="6:6">
      <c r="F42388" s="2423"/>
    </row>
    <row r="42389" s="101" customFormat="1" spans="6:6">
      <c r="F42389" s="2423"/>
    </row>
    <row r="42390" s="101" customFormat="1" spans="6:6">
      <c r="F42390" s="2423"/>
    </row>
    <row r="42391" s="101" customFormat="1" spans="6:6">
      <c r="F42391" s="2423"/>
    </row>
    <row r="42392" s="101" customFormat="1" spans="6:6">
      <c r="F42392" s="2423"/>
    </row>
    <row r="42393" s="101" customFormat="1" spans="6:6">
      <c r="F42393" s="2423"/>
    </row>
    <row r="42394" s="101" customFormat="1" spans="6:6">
      <c r="F42394" s="2423"/>
    </row>
    <row r="42395" s="101" customFormat="1" spans="6:6">
      <c r="F42395" s="2423"/>
    </row>
    <row r="42396" s="101" customFormat="1" spans="6:6">
      <c r="F42396" s="2423"/>
    </row>
    <row r="42397" s="101" customFormat="1" spans="6:6">
      <c r="F42397" s="2423"/>
    </row>
    <row r="42398" s="101" customFormat="1" spans="6:6">
      <c r="F42398" s="2423"/>
    </row>
    <row r="42399" s="101" customFormat="1" spans="6:6">
      <c r="F42399" s="2423"/>
    </row>
    <row r="42400" s="101" customFormat="1" spans="6:6">
      <c r="F42400" s="2423"/>
    </row>
    <row r="42401" s="101" customFormat="1" spans="6:6">
      <c r="F42401" s="2423"/>
    </row>
    <row r="42402" s="101" customFormat="1" spans="6:6">
      <c r="F42402" s="2423"/>
    </row>
    <row r="42403" s="101" customFormat="1" spans="6:6">
      <c r="F42403" s="2423"/>
    </row>
    <row r="42404" s="101" customFormat="1" spans="6:6">
      <c r="F42404" s="2423"/>
    </row>
    <row r="42405" s="101" customFormat="1" spans="6:6">
      <c r="F42405" s="2423"/>
    </row>
    <row r="42406" s="101" customFormat="1" spans="6:6">
      <c r="F42406" s="2423"/>
    </row>
    <row r="42407" s="101" customFormat="1" spans="6:6">
      <c r="F42407" s="2423"/>
    </row>
    <row r="42408" s="101" customFormat="1" spans="6:6">
      <c r="F42408" s="2423"/>
    </row>
    <row r="42409" s="101" customFormat="1" spans="6:6">
      <c r="F42409" s="2423"/>
    </row>
    <row r="42410" s="101" customFormat="1" spans="6:6">
      <c r="F42410" s="2423"/>
    </row>
    <row r="42411" s="101" customFormat="1" spans="6:6">
      <c r="F42411" s="2423"/>
    </row>
    <row r="42412" s="101" customFormat="1" spans="6:6">
      <c r="F42412" s="2423"/>
    </row>
    <row r="42413" s="101" customFormat="1" spans="6:6">
      <c r="F42413" s="2423"/>
    </row>
    <row r="42414" s="101" customFormat="1" spans="6:6">
      <c r="F42414" s="2423"/>
    </row>
    <row r="42415" s="101" customFormat="1" spans="6:6">
      <c r="F42415" s="2423"/>
    </row>
    <row r="42416" s="101" customFormat="1" spans="6:6">
      <c r="F42416" s="2423"/>
    </row>
    <row r="42417" s="101" customFormat="1" spans="6:6">
      <c r="F42417" s="2423"/>
    </row>
    <row r="42418" s="101" customFormat="1" spans="6:6">
      <c r="F42418" s="2423"/>
    </row>
    <row r="42419" s="101" customFormat="1" spans="6:6">
      <c r="F42419" s="2423"/>
    </row>
    <row r="42420" s="101" customFormat="1" spans="6:6">
      <c r="F42420" s="2423"/>
    </row>
    <row r="42421" s="101" customFormat="1" spans="6:6">
      <c r="F42421" s="2423"/>
    </row>
    <row r="42422" s="101" customFormat="1" spans="6:6">
      <c r="F42422" s="2423"/>
    </row>
    <row r="42423" s="101" customFormat="1" spans="6:6">
      <c r="F42423" s="2423"/>
    </row>
    <row r="42424" s="101" customFormat="1" spans="6:6">
      <c r="F42424" s="2423"/>
    </row>
    <row r="42425" s="101" customFormat="1" spans="6:6">
      <c r="F42425" s="2423"/>
    </row>
    <row r="42426" s="101" customFormat="1" spans="6:6">
      <c r="F42426" s="2423"/>
    </row>
    <row r="42427" s="101" customFormat="1" spans="6:6">
      <c r="F42427" s="2423"/>
    </row>
    <row r="42428" s="101" customFormat="1" spans="6:6">
      <c r="F42428" s="2423"/>
    </row>
    <row r="42429" s="101" customFormat="1" spans="6:6">
      <c r="F42429" s="2423"/>
    </row>
    <row r="42430" s="101" customFormat="1" spans="6:6">
      <c r="F42430" s="2423"/>
    </row>
    <row r="42431" s="101" customFormat="1" spans="6:6">
      <c r="F42431" s="2423"/>
    </row>
    <row r="42432" s="101" customFormat="1" spans="6:6">
      <c r="F42432" s="2423"/>
    </row>
    <row r="42433" s="101" customFormat="1" spans="6:6">
      <c r="F42433" s="2423"/>
    </row>
    <row r="42434" s="101" customFormat="1" spans="6:6">
      <c r="F42434" s="2423"/>
    </row>
    <row r="42435" s="101" customFormat="1" spans="6:6">
      <c r="F42435" s="2423"/>
    </row>
    <row r="42436" s="101" customFormat="1" spans="6:6">
      <c r="F42436" s="2423"/>
    </row>
    <row r="42437" s="101" customFormat="1" spans="6:6">
      <c r="F42437" s="2423"/>
    </row>
    <row r="42438" s="101" customFormat="1" spans="6:6">
      <c r="F42438" s="2423"/>
    </row>
    <row r="42439" s="101" customFormat="1" spans="6:6">
      <c r="F42439" s="2423"/>
    </row>
    <row r="42440" s="101" customFormat="1" spans="6:6">
      <c r="F42440" s="2423"/>
    </row>
    <row r="42441" s="101" customFormat="1" spans="6:6">
      <c r="F42441" s="2423"/>
    </row>
    <row r="42442" s="101" customFormat="1" spans="6:6">
      <c r="F42442" s="2423"/>
    </row>
    <row r="42443" s="101" customFormat="1" spans="6:6">
      <c r="F42443" s="2423"/>
    </row>
    <row r="42444" s="101" customFormat="1" spans="6:6">
      <c r="F42444" s="2423"/>
    </row>
    <row r="42445" s="101" customFormat="1" spans="6:6">
      <c r="F42445" s="2423"/>
    </row>
    <row r="42446" s="101" customFormat="1" spans="6:6">
      <c r="F42446" s="2423"/>
    </row>
    <row r="42447" s="101" customFormat="1" spans="6:6">
      <c r="F42447" s="2423"/>
    </row>
    <row r="42448" s="101" customFormat="1" spans="6:6">
      <c r="F42448" s="2423"/>
    </row>
    <row r="42449" s="101" customFormat="1" spans="6:6">
      <c r="F42449" s="2423"/>
    </row>
    <row r="42450" s="101" customFormat="1" spans="6:6">
      <c r="F42450" s="2423"/>
    </row>
    <row r="42451" s="101" customFormat="1" spans="6:6">
      <c r="F42451" s="2423"/>
    </row>
    <row r="42452" s="101" customFormat="1" spans="6:6">
      <c r="F42452" s="2423"/>
    </row>
    <row r="42453" s="101" customFormat="1" spans="6:6">
      <c r="F42453" s="2423"/>
    </row>
    <row r="42454" s="101" customFormat="1" spans="6:6">
      <c r="F42454" s="2423"/>
    </row>
    <row r="42455" s="101" customFormat="1" spans="6:6">
      <c r="F42455" s="2423"/>
    </row>
    <row r="42456" s="101" customFormat="1" spans="6:6">
      <c r="F42456" s="2423"/>
    </row>
    <row r="42457" s="101" customFormat="1" spans="6:6">
      <c r="F42457" s="2423"/>
    </row>
    <row r="42458" s="101" customFormat="1" spans="6:6">
      <c r="F42458" s="2423"/>
    </row>
    <row r="42459" s="101" customFormat="1" spans="6:6">
      <c r="F42459" s="2423"/>
    </row>
    <row r="42460" s="101" customFormat="1" spans="6:6">
      <c r="F42460" s="2423"/>
    </row>
    <row r="42461" s="101" customFormat="1" spans="6:6">
      <c r="F42461" s="2423"/>
    </row>
    <row r="42462" s="101" customFormat="1" spans="6:6">
      <c r="F42462" s="2423"/>
    </row>
    <row r="42463" s="101" customFormat="1" spans="6:6">
      <c r="F42463" s="2423"/>
    </row>
    <row r="42464" s="101" customFormat="1" spans="6:6">
      <c r="F42464" s="2423"/>
    </row>
    <row r="42465" s="101" customFormat="1" spans="6:6">
      <c r="F42465" s="2423"/>
    </row>
    <row r="42466" s="101" customFormat="1" spans="6:6">
      <c r="F42466" s="2423"/>
    </row>
    <row r="42467" s="101" customFormat="1" spans="6:6">
      <c r="F42467" s="2423"/>
    </row>
    <row r="42468" s="101" customFormat="1" spans="6:6">
      <c r="F42468" s="2423"/>
    </row>
    <row r="42469" s="101" customFormat="1" spans="6:6">
      <c r="F42469" s="2423"/>
    </row>
    <row r="42470" s="101" customFormat="1" spans="6:6">
      <c r="F42470" s="2423"/>
    </row>
    <row r="42471" s="101" customFormat="1" spans="6:6">
      <c r="F42471" s="2423"/>
    </row>
    <row r="42472" s="101" customFormat="1" spans="6:6">
      <c r="F42472" s="2423"/>
    </row>
    <row r="42473" s="101" customFormat="1" spans="6:6">
      <c r="F42473" s="2423"/>
    </row>
    <row r="42474" s="101" customFormat="1" spans="6:6">
      <c r="F42474" s="2423"/>
    </row>
    <row r="42475" s="101" customFormat="1" spans="6:6">
      <c r="F42475" s="2423"/>
    </row>
    <row r="42476" s="101" customFormat="1" spans="6:6">
      <c r="F42476" s="2423"/>
    </row>
    <row r="42477" s="101" customFormat="1" spans="6:6">
      <c r="F42477" s="2423"/>
    </row>
    <row r="42478" s="101" customFormat="1" spans="6:6">
      <c r="F42478" s="2423"/>
    </row>
    <row r="42479" s="101" customFormat="1" spans="6:6">
      <c r="F42479" s="2423"/>
    </row>
    <row r="42480" s="101" customFormat="1" spans="6:6">
      <c r="F42480" s="2423"/>
    </row>
    <row r="42481" s="101" customFormat="1" spans="6:6">
      <c r="F42481" s="2423"/>
    </row>
    <row r="42482" s="101" customFormat="1" spans="6:6">
      <c r="F42482" s="2423"/>
    </row>
    <row r="42483" s="101" customFormat="1" spans="6:6">
      <c r="F42483" s="2423"/>
    </row>
    <row r="42484" s="101" customFormat="1" spans="6:6">
      <c r="F42484" s="2423"/>
    </row>
    <row r="42485" s="101" customFormat="1" spans="6:6">
      <c r="F42485" s="2423"/>
    </row>
    <row r="42486" s="101" customFormat="1" spans="6:6">
      <c r="F42486" s="2423"/>
    </row>
    <row r="42487" s="101" customFormat="1" spans="6:6">
      <c r="F42487" s="2423"/>
    </row>
    <row r="42488" s="101" customFormat="1" spans="6:6">
      <c r="F42488" s="2423"/>
    </row>
    <row r="42489" s="101" customFormat="1" spans="6:6">
      <c r="F42489" s="2423"/>
    </row>
    <row r="42490" s="101" customFormat="1" spans="6:6">
      <c r="F42490" s="2423"/>
    </row>
    <row r="42491" s="101" customFormat="1" spans="6:6">
      <c r="F42491" s="2423"/>
    </row>
    <row r="42492" s="101" customFormat="1" spans="6:6">
      <c r="F42492" s="2423"/>
    </row>
    <row r="42493" s="101" customFormat="1" spans="6:6">
      <c r="F42493" s="2423"/>
    </row>
    <row r="42494" s="101" customFormat="1" spans="6:6">
      <c r="F42494" s="2423"/>
    </row>
    <row r="42495" s="101" customFormat="1" spans="6:6">
      <c r="F42495" s="2423"/>
    </row>
    <row r="42496" s="101" customFormat="1" spans="6:6">
      <c r="F42496" s="2423"/>
    </row>
    <row r="42497" s="101" customFormat="1" spans="6:6">
      <c r="F42497" s="2423"/>
    </row>
    <row r="42498" s="101" customFormat="1" spans="6:6">
      <c r="F42498" s="2423"/>
    </row>
    <row r="42499" s="101" customFormat="1" spans="6:6">
      <c r="F42499" s="2423"/>
    </row>
    <row r="42500" s="101" customFormat="1" spans="6:6">
      <c r="F42500" s="2423"/>
    </row>
    <row r="42501" s="101" customFormat="1" spans="6:6">
      <c r="F42501" s="2423"/>
    </row>
    <row r="42502" s="101" customFormat="1" spans="6:6">
      <c r="F42502" s="2423"/>
    </row>
    <row r="42503" s="101" customFormat="1" spans="6:6">
      <c r="F42503" s="2423"/>
    </row>
    <row r="42504" s="101" customFormat="1" spans="6:6">
      <c r="F42504" s="2423"/>
    </row>
    <row r="42505" s="101" customFormat="1" spans="6:6">
      <c r="F42505" s="2423"/>
    </row>
    <row r="42506" s="101" customFormat="1" spans="6:6">
      <c r="F42506" s="2423"/>
    </row>
    <row r="42507" s="101" customFormat="1" spans="6:6">
      <c r="F42507" s="2423"/>
    </row>
    <row r="42508" s="101" customFormat="1" spans="6:6">
      <c r="F42508" s="2423"/>
    </row>
    <row r="42509" s="101" customFormat="1" spans="6:6">
      <c r="F42509" s="2423"/>
    </row>
    <row r="42510" s="101" customFormat="1" spans="6:6">
      <c r="F42510" s="2423"/>
    </row>
    <row r="42511" s="101" customFormat="1" spans="6:6">
      <c r="F42511" s="2423"/>
    </row>
    <row r="42512" s="101" customFormat="1" spans="6:6">
      <c r="F42512" s="2423"/>
    </row>
    <row r="42513" s="101" customFormat="1" spans="6:6">
      <c r="F42513" s="2423"/>
    </row>
    <row r="42514" s="101" customFormat="1" spans="6:6">
      <c r="F42514" s="2423"/>
    </row>
    <row r="42515" s="101" customFormat="1" spans="6:6">
      <c r="F42515" s="2423"/>
    </row>
    <row r="42516" s="101" customFormat="1" spans="6:6">
      <c r="F42516" s="2423"/>
    </row>
    <row r="42517" s="101" customFormat="1" spans="6:6">
      <c r="F42517" s="2423"/>
    </row>
    <row r="42518" s="101" customFormat="1" spans="6:6">
      <c r="F42518" s="2423"/>
    </row>
    <row r="42519" s="101" customFormat="1" spans="6:6">
      <c r="F42519" s="2423"/>
    </row>
    <row r="42520" s="101" customFormat="1" spans="6:6">
      <c r="F42520" s="2423"/>
    </row>
    <row r="42521" s="101" customFormat="1" spans="6:6">
      <c r="F42521" s="2423"/>
    </row>
    <row r="42522" s="101" customFormat="1" spans="6:6">
      <c r="F42522" s="2423"/>
    </row>
    <row r="42523" s="101" customFormat="1" spans="6:6">
      <c r="F42523" s="2423"/>
    </row>
    <row r="42524" s="101" customFormat="1" spans="6:6">
      <c r="F42524" s="2423"/>
    </row>
    <row r="42525" s="101" customFormat="1" spans="6:6">
      <c r="F42525" s="2423"/>
    </row>
    <row r="42526" s="101" customFormat="1" spans="6:6">
      <c r="F42526" s="2423"/>
    </row>
    <row r="42527" s="101" customFormat="1" spans="6:6">
      <c r="F42527" s="2423"/>
    </row>
    <row r="42528" s="101" customFormat="1" spans="6:6">
      <c r="F42528" s="2423"/>
    </row>
    <row r="42529" s="101" customFormat="1" spans="6:6">
      <c r="F42529" s="2423"/>
    </row>
    <row r="42530" s="101" customFormat="1" spans="6:6">
      <c r="F42530" s="2423"/>
    </row>
    <row r="42531" s="101" customFormat="1" spans="6:6">
      <c r="F42531" s="2423"/>
    </row>
    <row r="42532" s="101" customFormat="1" spans="6:6">
      <c r="F42532" s="2423"/>
    </row>
    <row r="42533" s="101" customFormat="1" spans="6:6">
      <c r="F42533" s="2423"/>
    </row>
    <row r="42534" s="101" customFormat="1" spans="6:6">
      <c r="F42534" s="2423"/>
    </row>
    <row r="42535" s="101" customFormat="1" spans="6:6">
      <c r="F42535" s="2423"/>
    </row>
    <row r="42536" s="101" customFormat="1" spans="6:6">
      <c r="F42536" s="2423"/>
    </row>
    <row r="42537" s="101" customFormat="1" spans="6:6">
      <c r="F42537" s="2423"/>
    </row>
    <row r="42538" s="101" customFormat="1" spans="6:6">
      <c r="F42538" s="2423"/>
    </row>
    <row r="42539" s="101" customFormat="1" spans="6:6">
      <c r="F42539" s="2423"/>
    </row>
    <row r="42540" s="101" customFormat="1" spans="6:6">
      <c r="F42540" s="2423"/>
    </row>
    <row r="42541" s="101" customFormat="1" spans="6:6">
      <c r="F42541" s="2423"/>
    </row>
    <row r="42542" s="101" customFormat="1" spans="6:6">
      <c r="F42542" s="2423"/>
    </row>
    <row r="42543" s="101" customFormat="1" spans="6:6">
      <c r="F42543" s="2423"/>
    </row>
    <row r="42544" s="101" customFormat="1" spans="6:6">
      <c r="F42544" s="2423"/>
    </row>
    <row r="42545" s="101" customFormat="1" spans="6:6">
      <c r="F42545" s="2423"/>
    </row>
    <row r="42546" s="101" customFormat="1" spans="6:6">
      <c r="F42546" s="2423"/>
    </row>
    <row r="42547" s="101" customFormat="1" spans="6:6">
      <c r="F42547" s="2423"/>
    </row>
    <row r="42548" s="101" customFormat="1" spans="6:6">
      <c r="F42548" s="2423"/>
    </row>
    <row r="42549" s="101" customFormat="1" spans="6:6">
      <c r="F42549" s="2423"/>
    </row>
    <row r="42550" s="101" customFormat="1" spans="6:6">
      <c r="F42550" s="2423"/>
    </row>
    <row r="42551" s="101" customFormat="1" spans="6:6">
      <c r="F42551" s="2423"/>
    </row>
    <row r="42552" s="101" customFormat="1" spans="6:6">
      <c r="F42552" s="2423"/>
    </row>
    <row r="42553" s="101" customFormat="1" spans="6:6">
      <c r="F42553" s="2423"/>
    </row>
    <row r="42554" s="101" customFormat="1" spans="6:6">
      <c r="F42554" s="2423"/>
    </row>
    <row r="42555" s="101" customFormat="1" spans="6:6">
      <c r="F42555" s="2423"/>
    </row>
    <row r="42556" s="101" customFormat="1" spans="6:6">
      <c r="F42556" s="2423"/>
    </row>
    <row r="42557" s="101" customFormat="1" spans="6:6">
      <c r="F42557" s="2423"/>
    </row>
    <row r="42558" s="101" customFormat="1" spans="6:6">
      <c r="F42558" s="2423"/>
    </row>
    <row r="42559" s="101" customFormat="1" spans="6:6">
      <c r="F42559" s="2423"/>
    </row>
    <row r="42560" s="101" customFormat="1" spans="6:6">
      <c r="F42560" s="2423"/>
    </row>
    <row r="42561" s="101" customFormat="1" spans="6:6">
      <c r="F42561" s="2423"/>
    </row>
    <row r="42562" s="101" customFormat="1" spans="6:6">
      <c r="F42562" s="2423"/>
    </row>
    <row r="42563" s="101" customFormat="1" spans="6:6">
      <c r="F42563" s="2423"/>
    </row>
    <row r="42564" s="101" customFormat="1" spans="6:6">
      <c r="F42564" s="2423"/>
    </row>
    <row r="42565" s="101" customFormat="1" spans="6:6">
      <c r="F42565" s="2423"/>
    </row>
    <row r="42566" s="101" customFormat="1" spans="6:6">
      <c r="F42566" s="2423"/>
    </row>
    <row r="42567" s="101" customFormat="1" spans="6:6">
      <c r="F42567" s="2423"/>
    </row>
    <row r="42568" s="101" customFormat="1" spans="6:6">
      <c r="F42568" s="2423"/>
    </row>
    <row r="42569" s="101" customFormat="1" spans="6:6">
      <c r="F42569" s="2423"/>
    </row>
    <row r="42570" s="101" customFormat="1" spans="6:6">
      <c r="F42570" s="2423"/>
    </row>
    <row r="42571" s="101" customFormat="1" spans="6:6">
      <c r="F42571" s="2423"/>
    </row>
    <row r="42572" s="101" customFormat="1" spans="6:6">
      <c r="F42572" s="2423"/>
    </row>
    <row r="42573" s="101" customFormat="1" spans="6:6">
      <c r="F42573" s="2423"/>
    </row>
    <row r="42574" s="101" customFormat="1" spans="6:6">
      <c r="F42574" s="2423"/>
    </row>
    <row r="42575" s="101" customFormat="1" spans="6:6">
      <c r="F42575" s="2423"/>
    </row>
    <row r="42576" s="101" customFormat="1" spans="6:6">
      <c r="F42576" s="2423"/>
    </row>
    <row r="42577" s="101" customFormat="1" spans="6:6">
      <c r="F42577" s="2423"/>
    </row>
    <row r="42578" s="101" customFormat="1" spans="6:6">
      <c r="F42578" s="2423"/>
    </row>
    <row r="42579" s="101" customFormat="1" spans="6:6">
      <c r="F42579" s="2423"/>
    </row>
    <row r="42580" s="101" customFormat="1" spans="6:6">
      <c r="F42580" s="2423"/>
    </row>
    <row r="42581" s="101" customFormat="1" spans="6:6">
      <c r="F42581" s="2423"/>
    </row>
    <row r="42582" s="101" customFormat="1" spans="6:6">
      <c r="F42582" s="2423"/>
    </row>
    <row r="42583" s="101" customFormat="1" spans="6:6">
      <c r="F42583" s="2423"/>
    </row>
    <row r="42584" s="101" customFormat="1" spans="6:6">
      <c r="F42584" s="2423"/>
    </row>
    <row r="42585" s="101" customFormat="1" spans="6:6">
      <c r="F42585" s="2423"/>
    </row>
    <row r="42586" s="101" customFormat="1" spans="6:6">
      <c r="F42586" s="2423"/>
    </row>
    <row r="42587" s="101" customFormat="1" spans="6:6">
      <c r="F42587" s="2423"/>
    </row>
    <row r="42588" s="101" customFormat="1" spans="6:6">
      <c r="F42588" s="2423"/>
    </row>
    <row r="42589" s="101" customFormat="1" spans="6:6">
      <c r="F42589" s="2423"/>
    </row>
    <row r="42590" s="101" customFormat="1" spans="6:6">
      <c r="F42590" s="2423"/>
    </row>
    <row r="42591" s="101" customFormat="1" spans="6:6">
      <c r="F42591" s="2423"/>
    </row>
    <row r="42592" s="101" customFormat="1" spans="6:6">
      <c r="F42592" s="2423"/>
    </row>
    <row r="42593" s="101" customFormat="1" spans="6:6">
      <c r="F42593" s="2423"/>
    </row>
    <row r="42594" s="101" customFormat="1" spans="6:6">
      <c r="F42594" s="2423"/>
    </row>
    <row r="42595" s="101" customFormat="1" spans="6:6">
      <c r="F42595" s="2423"/>
    </row>
    <row r="42596" s="101" customFormat="1" spans="6:6">
      <c r="F42596" s="2423"/>
    </row>
    <row r="42597" s="101" customFormat="1" spans="6:6">
      <c r="F42597" s="2423"/>
    </row>
    <row r="42598" s="101" customFormat="1" spans="6:6">
      <c r="F42598" s="2423"/>
    </row>
    <row r="42599" s="101" customFormat="1" spans="6:6">
      <c r="F42599" s="2423"/>
    </row>
    <row r="42600" s="101" customFormat="1" spans="6:6">
      <c r="F42600" s="2423"/>
    </row>
    <row r="42601" s="101" customFormat="1" spans="6:6">
      <c r="F42601" s="2423"/>
    </row>
    <row r="42602" s="101" customFormat="1" spans="6:6">
      <c r="F42602" s="2423"/>
    </row>
    <row r="42603" s="101" customFormat="1" spans="6:6">
      <c r="F42603" s="2423"/>
    </row>
    <row r="42604" s="101" customFormat="1" spans="6:6">
      <c r="F42604" s="2423"/>
    </row>
    <row r="42605" s="101" customFormat="1" spans="6:6">
      <c r="F42605" s="2423"/>
    </row>
    <row r="42606" s="101" customFormat="1" spans="6:6">
      <c r="F42606" s="2423"/>
    </row>
    <row r="42607" s="101" customFormat="1" spans="6:6">
      <c r="F42607" s="2423"/>
    </row>
    <row r="42608" s="101" customFormat="1" spans="6:6">
      <c r="F42608" s="2423"/>
    </row>
    <row r="42609" s="101" customFormat="1" spans="6:6">
      <c r="F42609" s="2423"/>
    </row>
    <row r="42610" s="101" customFormat="1" spans="6:6">
      <c r="F42610" s="2423"/>
    </row>
    <row r="42611" s="101" customFormat="1" spans="6:6">
      <c r="F42611" s="2423"/>
    </row>
    <row r="42612" s="101" customFormat="1" spans="6:6">
      <c r="F42612" s="2423"/>
    </row>
    <row r="42613" s="101" customFormat="1" spans="6:6">
      <c r="F42613" s="2423"/>
    </row>
    <row r="42614" s="101" customFormat="1" spans="6:6">
      <c r="F42614" s="2423"/>
    </row>
    <row r="42615" s="101" customFormat="1" spans="6:6">
      <c r="F42615" s="2423"/>
    </row>
    <row r="42616" s="101" customFormat="1" spans="6:6">
      <c r="F42616" s="2423"/>
    </row>
    <row r="42617" s="101" customFormat="1" spans="6:6">
      <c r="F42617" s="2423"/>
    </row>
    <row r="42618" s="101" customFormat="1" spans="6:6">
      <c r="F42618" s="2423"/>
    </row>
    <row r="42619" s="101" customFormat="1" spans="6:6">
      <c r="F42619" s="2423"/>
    </row>
    <row r="42620" s="101" customFormat="1" spans="6:6">
      <c r="F42620" s="2423"/>
    </row>
    <row r="42621" s="101" customFormat="1" spans="6:6">
      <c r="F42621" s="2423"/>
    </row>
    <row r="42622" s="101" customFormat="1" spans="6:6">
      <c r="F42622" s="2423"/>
    </row>
    <row r="42623" s="101" customFormat="1" spans="6:6">
      <c r="F42623" s="2423"/>
    </row>
    <row r="42624" s="101" customFormat="1" spans="6:6">
      <c r="F42624" s="2423"/>
    </row>
    <row r="42625" s="101" customFormat="1" spans="6:6">
      <c r="F42625" s="2423"/>
    </row>
    <row r="42626" s="101" customFormat="1" spans="6:6">
      <c r="F42626" s="2423"/>
    </row>
    <row r="42627" s="101" customFormat="1" spans="6:6">
      <c r="F42627" s="2423"/>
    </row>
    <row r="42628" s="101" customFormat="1" spans="6:6">
      <c r="F42628" s="2423"/>
    </row>
    <row r="42629" s="101" customFormat="1" spans="6:6">
      <c r="F42629" s="2423"/>
    </row>
    <row r="42630" s="101" customFormat="1" spans="6:6">
      <c r="F42630" s="2423"/>
    </row>
    <row r="42631" s="101" customFormat="1" spans="6:6">
      <c r="F42631" s="2423"/>
    </row>
    <row r="42632" s="101" customFormat="1" spans="6:6">
      <c r="F42632" s="2423"/>
    </row>
    <row r="42633" s="101" customFormat="1" spans="6:6">
      <c r="F42633" s="2423"/>
    </row>
    <row r="42634" s="101" customFormat="1" spans="6:6">
      <c r="F42634" s="2423"/>
    </row>
    <row r="42635" s="101" customFormat="1" spans="6:6">
      <c r="F42635" s="2423"/>
    </row>
    <row r="42636" s="101" customFormat="1" spans="6:6">
      <c r="F42636" s="2423"/>
    </row>
    <row r="42637" s="101" customFormat="1" spans="6:6">
      <c r="F42637" s="2423"/>
    </row>
    <row r="42638" s="101" customFormat="1" spans="6:6">
      <c r="F42638" s="2423"/>
    </row>
    <row r="42639" s="101" customFormat="1" spans="6:6">
      <c r="F42639" s="2423"/>
    </row>
    <row r="42640" s="101" customFormat="1" spans="6:6">
      <c r="F42640" s="2423"/>
    </row>
    <row r="42641" s="101" customFormat="1" spans="6:6">
      <c r="F42641" s="2423"/>
    </row>
    <row r="42642" s="101" customFormat="1" spans="6:6">
      <c r="F42642" s="2423"/>
    </row>
    <row r="42643" s="101" customFormat="1" spans="6:6">
      <c r="F42643" s="2423"/>
    </row>
    <row r="42644" s="101" customFormat="1" spans="6:6">
      <c r="F42644" s="2423"/>
    </row>
    <row r="42645" s="101" customFormat="1" spans="6:6">
      <c r="F42645" s="2423"/>
    </row>
    <row r="42646" s="101" customFormat="1" spans="6:6">
      <c r="F42646" s="2423"/>
    </row>
    <row r="42647" s="101" customFormat="1" spans="6:6">
      <c r="F42647" s="2423"/>
    </row>
    <row r="42648" s="101" customFormat="1" spans="6:6">
      <c r="F42648" s="2423"/>
    </row>
    <row r="42649" s="101" customFormat="1" spans="6:6">
      <c r="F42649" s="2423"/>
    </row>
    <row r="42650" s="101" customFormat="1" spans="6:6">
      <c r="F42650" s="2423"/>
    </row>
    <row r="42651" s="101" customFormat="1" spans="6:6">
      <c r="F42651" s="2423"/>
    </row>
    <row r="42652" s="101" customFormat="1" spans="6:6">
      <c r="F42652" s="2423"/>
    </row>
    <row r="42653" s="101" customFormat="1" spans="6:6">
      <c r="F42653" s="2423"/>
    </row>
    <row r="42654" s="101" customFormat="1" spans="6:6">
      <c r="F42654" s="2423"/>
    </row>
    <row r="42655" s="101" customFormat="1" spans="6:6">
      <c r="F42655" s="2423"/>
    </row>
    <row r="42656" s="101" customFormat="1" spans="6:6">
      <c r="F42656" s="2423"/>
    </row>
    <row r="42657" s="101" customFormat="1" spans="6:6">
      <c r="F42657" s="2423"/>
    </row>
    <row r="42658" s="101" customFormat="1" spans="6:6">
      <c r="F42658" s="2423"/>
    </row>
    <row r="42659" s="101" customFormat="1" spans="6:6">
      <c r="F42659" s="2423"/>
    </row>
    <row r="42660" s="101" customFormat="1" spans="6:6">
      <c r="F42660" s="2423"/>
    </row>
    <row r="42661" s="101" customFormat="1" spans="6:6">
      <c r="F42661" s="2423"/>
    </row>
    <row r="42662" s="101" customFormat="1" spans="6:6">
      <c r="F42662" s="2423"/>
    </row>
    <row r="42663" s="101" customFormat="1" spans="6:6">
      <c r="F42663" s="2423"/>
    </row>
    <row r="42664" s="101" customFormat="1" spans="6:6">
      <c r="F42664" s="2423"/>
    </row>
    <row r="42665" s="101" customFormat="1" spans="6:6">
      <c r="F42665" s="2423"/>
    </row>
    <row r="42666" s="101" customFormat="1" spans="6:6">
      <c r="F42666" s="2423"/>
    </row>
    <row r="42667" s="101" customFormat="1" spans="6:6">
      <c r="F42667" s="2423"/>
    </row>
    <row r="42668" s="101" customFormat="1" spans="6:6">
      <c r="F42668" s="2423"/>
    </row>
    <row r="42669" s="101" customFormat="1" spans="6:6">
      <c r="F42669" s="2423"/>
    </row>
    <row r="42670" s="101" customFormat="1" spans="6:6">
      <c r="F42670" s="2423"/>
    </row>
    <row r="42671" s="101" customFormat="1" spans="6:6">
      <c r="F42671" s="2423"/>
    </row>
    <row r="42672" s="101" customFormat="1" spans="6:6">
      <c r="F42672" s="2423"/>
    </row>
    <row r="42673" s="101" customFormat="1" spans="6:6">
      <c r="F42673" s="2423"/>
    </row>
    <row r="42674" s="101" customFormat="1" spans="6:6">
      <c r="F42674" s="2423"/>
    </row>
    <row r="42675" s="101" customFormat="1" spans="6:6">
      <c r="F42675" s="2423"/>
    </row>
    <row r="42676" s="101" customFormat="1" spans="6:6">
      <c r="F42676" s="2423"/>
    </row>
    <row r="42677" s="101" customFormat="1" spans="6:6">
      <c r="F42677" s="2423"/>
    </row>
    <row r="42678" s="101" customFormat="1" spans="6:6">
      <c r="F42678" s="2423"/>
    </row>
    <row r="42679" s="101" customFormat="1" spans="6:6">
      <c r="F42679" s="2423"/>
    </row>
    <row r="42680" s="101" customFormat="1" spans="6:6">
      <c r="F42680" s="2423"/>
    </row>
    <row r="42681" s="101" customFormat="1" spans="6:6">
      <c r="F42681" s="2423"/>
    </row>
    <row r="42682" s="101" customFormat="1" spans="6:6">
      <c r="F42682" s="2423"/>
    </row>
    <row r="42683" s="101" customFormat="1" spans="6:6">
      <c r="F42683" s="2423"/>
    </row>
    <row r="42684" s="101" customFormat="1" spans="6:6">
      <c r="F42684" s="2423"/>
    </row>
    <row r="42685" s="101" customFormat="1" spans="6:6">
      <c r="F42685" s="2423"/>
    </row>
    <row r="42686" s="101" customFormat="1" spans="6:6">
      <c r="F42686" s="2423"/>
    </row>
    <row r="42687" s="101" customFormat="1" spans="6:6">
      <c r="F42687" s="2423"/>
    </row>
    <row r="42688" s="101" customFormat="1" spans="6:6">
      <c r="F42688" s="2423"/>
    </row>
    <row r="42689" s="101" customFormat="1" spans="6:6">
      <c r="F42689" s="2423"/>
    </row>
    <row r="42690" s="101" customFormat="1" spans="6:6">
      <c r="F42690" s="2423"/>
    </row>
    <row r="42691" s="101" customFormat="1" spans="6:6">
      <c r="F42691" s="2423"/>
    </row>
    <row r="42692" s="101" customFormat="1" spans="6:6">
      <c r="F42692" s="2423"/>
    </row>
    <row r="42693" s="101" customFormat="1" spans="6:6">
      <c r="F42693" s="2423"/>
    </row>
    <row r="42694" s="101" customFormat="1" spans="6:6">
      <c r="F42694" s="2423"/>
    </row>
    <row r="42695" s="101" customFormat="1" spans="6:6">
      <c r="F42695" s="2423"/>
    </row>
    <row r="42696" s="101" customFormat="1" spans="6:6">
      <c r="F42696" s="2423"/>
    </row>
    <row r="42697" s="101" customFormat="1" spans="6:6">
      <c r="F42697" s="2423"/>
    </row>
    <row r="42698" s="101" customFormat="1" spans="6:6">
      <c r="F42698" s="2423"/>
    </row>
    <row r="42699" s="101" customFormat="1" spans="6:6">
      <c r="F42699" s="2423"/>
    </row>
    <row r="42700" s="101" customFormat="1" spans="6:6">
      <c r="F42700" s="2423"/>
    </row>
    <row r="42701" s="101" customFormat="1" spans="6:6">
      <c r="F42701" s="2423"/>
    </row>
    <row r="42702" s="101" customFormat="1" spans="6:6">
      <c r="F42702" s="2423"/>
    </row>
    <row r="42703" s="101" customFormat="1" spans="6:6">
      <c r="F42703" s="2423"/>
    </row>
    <row r="42704" s="101" customFormat="1" spans="6:6">
      <c r="F42704" s="2423"/>
    </row>
    <row r="42705" s="101" customFormat="1" spans="6:6">
      <c r="F42705" s="2423"/>
    </row>
    <row r="42706" s="101" customFormat="1" spans="6:6">
      <c r="F42706" s="2423"/>
    </row>
    <row r="42707" s="101" customFormat="1" spans="6:6">
      <c r="F42707" s="2423"/>
    </row>
    <row r="42708" s="101" customFormat="1" spans="6:6">
      <c r="F42708" s="2423"/>
    </row>
    <row r="42709" s="101" customFormat="1" spans="6:6">
      <c r="F42709" s="2423"/>
    </row>
    <row r="42710" s="101" customFormat="1" spans="6:6">
      <c r="F42710" s="2423"/>
    </row>
    <row r="42711" s="101" customFormat="1" spans="6:6">
      <c r="F42711" s="2423"/>
    </row>
    <row r="42712" s="101" customFormat="1" spans="6:6">
      <c r="F42712" s="2423"/>
    </row>
    <row r="42713" s="101" customFormat="1" spans="6:6">
      <c r="F42713" s="2423"/>
    </row>
    <row r="42714" s="101" customFormat="1" spans="6:6">
      <c r="F42714" s="2423"/>
    </row>
    <row r="42715" s="101" customFormat="1" spans="6:6">
      <c r="F42715" s="2423"/>
    </row>
    <row r="42716" s="101" customFormat="1" spans="6:6">
      <c r="F42716" s="2423"/>
    </row>
    <row r="42717" s="101" customFormat="1" spans="6:6">
      <c r="F42717" s="2423"/>
    </row>
    <row r="42718" s="101" customFormat="1" spans="6:6">
      <c r="F42718" s="2423"/>
    </row>
    <row r="42719" s="101" customFormat="1" spans="6:6">
      <c r="F42719" s="2423"/>
    </row>
    <row r="42720" s="101" customFormat="1" spans="6:6">
      <c r="F42720" s="2423"/>
    </row>
    <row r="42721" s="101" customFormat="1" spans="6:6">
      <c r="F42721" s="2423"/>
    </row>
    <row r="42722" s="101" customFormat="1" spans="6:6">
      <c r="F42722" s="2423"/>
    </row>
    <row r="42723" s="101" customFormat="1" spans="6:6">
      <c r="F42723" s="2423"/>
    </row>
    <row r="42724" s="101" customFormat="1" spans="6:6">
      <c r="F42724" s="2423"/>
    </row>
    <row r="42725" s="101" customFormat="1" spans="6:6">
      <c r="F42725" s="2423"/>
    </row>
    <row r="42726" s="101" customFormat="1" spans="6:6">
      <c r="F42726" s="2423"/>
    </row>
    <row r="42727" s="101" customFormat="1" spans="6:6">
      <c r="F42727" s="2423"/>
    </row>
    <row r="42728" s="101" customFormat="1" spans="6:6">
      <c r="F42728" s="2423"/>
    </row>
    <row r="42729" s="101" customFormat="1" spans="6:6">
      <c r="F42729" s="2423"/>
    </row>
    <row r="42730" s="101" customFormat="1" spans="6:6">
      <c r="F42730" s="2423"/>
    </row>
    <row r="42731" s="101" customFormat="1" spans="6:6">
      <c r="F42731" s="2423"/>
    </row>
    <row r="42732" s="101" customFormat="1" spans="6:6">
      <c r="F42732" s="2423"/>
    </row>
    <row r="42733" s="101" customFormat="1" spans="6:6">
      <c r="F42733" s="2423"/>
    </row>
    <row r="42734" s="101" customFormat="1" spans="6:6">
      <c r="F42734" s="2423"/>
    </row>
    <row r="42735" s="101" customFormat="1" spans="6:6">
      <c r="F42735" s="2423"/>
    </row>
    <row r="42736" s="101" customFormat="1" spans="6:6">
      <c r="F42736" s="2423"/>
    </row>
    <row r="42737" s="101" customFormat="1" spans="6:6">
      <c r="F42737" s="2423"/>
    </row>
    <row r="42738" s="101" customFormat="1" spans="6:6">
      <c r="F42738" s="2423"/>
    </row>
    <row r="42739" s="101" customFormat="1" spans="6:6">
      <c r="F42739" s="2423"/>
    </row>
    <row r="42740" s="101" customFormat="1" spans="6:6">
      <c r="F42740" s="2423"/>
    </row>
    <row r="42741" s="101" customFormat="1" spans="6:6">
      <c r="F42741" s="2423"/>
    </row>
    <row r="42742" s="101" customFormat="1" spans="6:6">
      <c r="F42742" s="2423"/>
    </row>
    <row r="42743" s="101" customFormat="1" spans="6:6">
      <c r="F42743" s="2423"/>
    </row>
    <row r="42744" s="101" customFormat="1" spans="6:6">
      <c r="F42744" s="2423"/>
    </row>
    <row r="42745" s="101" customFormat="1" spans="6:6">
      <c r="F42745" s="2423"/>
    </row>
    <row r="42746" s="101" customFormat="1" spans="6:6">
      <c r="F42746" s="2423"/>
    </row>
    <row r="42747" s="101" customFormat="1" spans="6:6">
      <c r="F42747" s="2423"/>
    </row>
    <row r="42748" s="101" customFormat="1" spans="6:6">
      <c r="F42748" s="2423"/>
    </row>
    <row r="42749" s="101" customFormat="1" spans="6:6">
      <c r="F42749" s="2423"/>
    </row>
    <row r="42750" s="101" customFormat="1" spans="6:6">
      <c r="F42750" s="2423"/>
    </row>
    <row r="42751" s="101" customFormat="1" spans="6:6">
      <c r="F42751" s="2423"/>
    </row>
    <row r="42752" s="101" customFormat="1" spans="6:6">
      <c r="F42752" s="2423"/>
    </row>
    <row r="42753" s="101" customFormat="1" spans="6:6">
      <c r="F42753" s="2423"/>
    </row>
    <row r="42754" s="101" customFormat="1" spans="6:6">
      <c r="F42754" s="2423"/>
    </row>
    <row r="42755" s="101" customFormat="1" spans="6:6">
      <c r="F42755" s="2423"/>
    </row>
    <row r="42756" s="101" customFormat="1" spans="6:6">
      <c r="F42756" s="2423"/>
    </row>
    <row r="42757" s="101" customFormat="1" spans="6:6">
      <c r="F42757" s="2423"/>
    </row>
    <row r="42758" s="101" customFormat="1" spans="6:6">
      <c r="F42758" s="2423"/>
    </row>
    <row r="42759" s="101" customFormat="1" spans="6:6">
      <c r="F42759" s="2423"/>
    </row>
    <row r="42760" s="101" customFormat="1" spans="6:6">
      <c r="F42760" s="2423"/>
    </row>
    <row r="42761" s="101" customFormat="1" spans="6:6">
      <c r="F42761" s="2423"/>
    </row>
    <row r="42762" s="101" customFormat="1" spans="6:6">
      <c r="F42762" s="2423"/>
    </row>
    <row r="42763" s="101" customFormat="1" spans="6:6">
      <c r="F42763" s="2423"/>
    </row>
    <row r="42764" s="101" customFormat="1" spans="6:6">
      <c r="F42764" s="2423"/>
    </row>
    <row r="42765" s="101" customFormat="1" spans="6:6">
      <c r="F42765" s="2423"/>
    </row>
    <row r="42766" s="101" customFormat="1" spans="6:6">
      <c r="F42766" s="2423"/>
    </row>
    <row r="42767" s="101" customFormat="1" spans="6:6">
      <c r="F42767" s="2423"/>
    </row>
    <row r="42768" s="101" customFormat="1" spans="6:6">
      <c r="F42768" s="2423"/>
    </row>
    <row r="42769" s="101" customFormat="1" spans="6:6">
      <c r="F42769" s="2423"/>
    </row>
    <row r="42770" s="101" customFormat="1" spans="6:6">
      <c r="F42770" s="2423"/>
    </row>
    <row r="42771" s="101" customFormat="1" spans="6:6">
      <c r="F42771" s="2423"/>
    </row>
    <row r="42772" s="101" customFormat="1" spans="6:6">
      <c r="F42772" s="2423"/>
    </row>
    <row r="42773" s="101" customFormat="1" spans="6:6">
      <c r="F42773" s="2423"/>
    </row>
    <row r="42774" s="101" customFormat="1" spans="6:6">
      <c r="F42774" s="2423"/>
    </row>
    <row r="42775" s="101" customFormat="1" spans="6:6">
      <c r="F42775" s="2423"/>
    </row>
    <row r="42776" s="101" customFormat="1" spans="6:6">
      <c r="F42776" s="2423"/>
    </row>
    <row r="42777" s="101" customFormat="1" spans="6:6">
      <c r="F42777" s="2423"/>
    </row>
    <row r="42778" s="101" customFormat="1" spans="6:6">
      <c r="F42778" s="2423"/>
    </row>
    <row r="42779" s="101" customFormat="1" spans="6:6">
      <c r="F42779" s="2423"/>
    </row>
    <row r="42780" s="101" customFormat="1" spans="6:6">
      <c r="F42780" s="2423"/>
    </row>
    <row r="42781" s="101" customFormat="1" spans="6:6">
      <c r="F42781" s="2423"/>
    </row>
    <row r="42782" s="101" customFormat="1" spans="6:6">
      <c r="F42782" s="2423"/>
    </row>
    <row r="42783" s="101" customFormat="1" spans="6:6">
      <c r="F42783" s="2423"/>
    </row>
    <row r="42784" s="101" customFormat="1" spans="6:6">
      <c r="F42784" s="2423"/>
    </row>
    <row r="42785" s="101" customFormat="1" spans="6:6">
      <c r="F42785" s="2423"/>
    </row>
    <row r="42786" s="101" customFormat="1" spans="6:6">
      <c r="F42786" s="2423"/>
    </row>
    <row r="42787" s="101" customFormat="1" spans="6:6">
      <c r="F42787" s="2423"/>
    </row>
    <row r="42788" s="101" customFormat="1" spans="6:6">
      <c r="F42788" s="2423"/>
    </row>
    <row r="42789" s="101" customFormat="1" spans="6:6">
      <c r="F42789" s="2423"/>
    </row>
    <row r="42790" s="101" customFormat="1" spans="6:6">
      <c r="F42790" s="2423"/>
    </row>
    <row r="42791" s="101" customFormat="1" spans="6:6">
      <c r="F42791" s="2423"/>
    </row>
    <row r="42792" s="101" customFormat="1" spans="6:6">
      <c r="F42792" s="2423"/>
    </row>
    <row r="42793" s="101" customFormat="1" spans="6:6">
      <c r="F42793" s="2423"/>
    </row>
    <row r="42794" s="101" customFormat="1" spans="6:6">
      <c r="F42794" s="2423"/>
    </row>
    <row r="42795" s="101" customFormat="1" spans="6:6">
      <c r="F42795" s="2423"/>
    </row>
    <row r="42796" s="101" customFormat="1" spans="6:6">
      <c r="F42796" s="2423"/>
    </row>
    <row r="42797" s="101" customFormat="1" spans="6:6">
      <c r="F42797" s="2423"/>
    </row>
    <row r="42798" s="101" customFormat="1" spans="6:6">
      <c r="F42798" s="2423"/>
    </row>
    <row r="42799" s="101" customFormat="1" spans="6:6">
      <c r="F42799" s="2423"/>
    </row>
    <row r="42800" s="101" customFormat="1" spans="6:6">
      <c r="F42800" s="2423"/>
    </row>
    <row r="42801" s="101" customFormat="1" spans="6:6">
      <c r="F42801" s="2423"/>
    </row>
    <row r="42802" s="101" customFormat="1" spans="6:6">
      <c r="F42802" s="2423"/>
    </row>
    <row r="42803" s="101" customFormat="1" spans="6:6">
      <c r="F42803" s="2423"/>
    </row>
    <row r="42804" s="101" customFormat="1" spans="6:6">
      <c r="F42804" s="2423"/>
    </row>
    <row r="42805" s="101" customFormat="1" spans="6:6">
      <c r="F42805" s="2423"/>
    </row>
    <row r="42806" s="101" customFormat="1" spans="6:6">
      <c r="F42806" s="2423"/>
    </row>
    <row r="42807" s="101" customFormat="1" spans="6:6">
      <c r="F42807" s="2423"/>
    </row>
    <row r="42808" s="101" customFormat="1" spans="6:6">
      <c r="F42808" s="2423"/>
    </row>
    <row r="42809" s="101" customFormat="1" spans="6:6">
      <c r="F42809" s="2423"/>
    </row>
    <row r="42810" s="101" customFormat="1" spans="6:6">
      <c r="F42810" s="2423"/>
    </row>
    <row r="42811" s="101" customFormat="1" spans="6:6">
      <c r="F42811" s="2423"/>
    </row>
    <row r="42812" s="101" customFormat="1" spans="6:6">
      <c r="F42812" s="2423"/>
    </row>
    <row r="42813" s="101" customFormat="1" spans="6:6">
      <c r="F42813" s="2423"/>
    </row>
    <row r="42814" s="101" customFormat="1" spans="6:6">
      <c r="F42814" s="2423"/>
    </row>
    <row r="42815" s="101" customFormat="1" spans="6:6">
      <c r="F42815" s="2423"/>
    </row>
    <row r="42816" s="101" customFormat="1" spans="6:6">
      <c r="F42816" s="2423"/>
    </row>
    <row r="42817" s="101" customFormat="1" spans="6:6">
      <c r="F42817" s="2423"/>
    </row>
    <row r="42818" s="101" customFormat="1" spans="6:6">
      <c r="F42818" s="2423"/>
    </row>
    <row r="42819" s="101" customFormat="1" spans="6:6">
      <c r="F42819" s="2423"/>
    </row>
    <row r="42820" s="101" customFormat="1" spans="6:6">
      <c r="F42820" s="2423"/>
    </row>
    <row r="42821" s="101" customFormat="1" spans="6:6">
      <c r="F42821" s="2423"/>
    </row>
    <row r="42822" s="101" customFormat="1" spans="6:6">
      <c r="F42822" s="2423"/>
    </row>
    <row r="42823" s="101" customFormat="1" spans="6:6">
      <c r="F42823" s="2423"/>
    </row>
    <row r="42824" s="101" customFormat="1" spans="6:6">
      <c r="F42824" s="2423"/>
    </row>
    <row r="42825" s="101" customFormat="1" spans="6:6">
      <c r="F42825" s="2423"/>
    </row>
    <row r="42826" s="101" customFormat="1" spans="6:6">
      <c r="F42826" s="2423"/>
    </row>
    <row r="42827" s="101" customFormat="1" spans="6:6">
      <c r="F42827" s="2423"/>
    </row>
    <row r="42828" s="101" customFormat="1" spans="6:6">
      <c r="F42828" s="2423"/>
    </row>
    <row r="42829" s="101" customFormat="1" spans="6:6">
      <c r="F42829" s="2423"/>
    </row>
    <row r="42830" s="101" customFormat="1" spans="6:6">
      <c r="F42830" s="2423"/>
    </row>
    <row r="42831" s="101" customFormat="1" spans="6:6">
      <c r="F42831" s="2423"/>
    </row>
    <row r="42832" s="101" customFormat="1" spans="6:6">
      <c r="F42832" s="2423"/>
    </row>
    <row r="42833" s="101" customFormat="1" spans="6:6">
      <c r="F42833" s="2423"/>
    </row>
    <row r="42834" s="101" customFormat="1" spans="6:6">
      <c r="F42834" s="2423"/>
    </row>
    <row r="42835" s="101" customFormat="1" spans="6:6">
      <c r="F42835" s="2423"/>
    </row>
    <row r="42836" s="101" customFormat="1" spans="6:6">
      <c r="F42836" s="2423"/>
    </row>
    <row r="42837" s="101" customFormat="1" spans="6:6">
      <c r="F42837" s="2423"/>
    </row>
    <row r="42838" s="101" customFormat="1" spans="6:6">
      <c r="F42838" s="2423"/>
    </row>
    <row r="42839" s="101" customFormat="1" spans="6:6">
      <c r="F42839" s="2423"/>
    </row>
    <row r="42840" s="101" customFormat="1" spans="6:6">
      <c r="F42840" s="2423"/>
    </row>
    <row r="42841" s="101" customFormat="1" spans="6:6">
      <c r="F42841" s="2423"/>
    </row>
    <row r="42842" s="101" customFormat="1" spans="6:6">
      <c r="F42842" s="2423"/>
    </row>
    <row r="42843" s="101" customFormat="1" spans="6:6">
      <c r="F42843" s="2423"/>
    </row>
    <row r="42844" s="101" customFormat="1" spans="6:6">
      <c r="F42844" s="2423"/>
    </row>
    <row r="42845" s="101" customFormat="1" spans="6:6">
      <c r="F42845" s="2423"/>
    </row>
    <row r="42846" s="101" customFormat="1" spans="6:6">
      <c r="F42846" s="2423"/>
    </row>
    <row r="42847" s="101" customFormat="1" spans="6:6">
      <c r="F42847" s="2423"/>
    </row>
    <row r="42848" s="101" customFormat="1" spans="6:6">
      <c r="F42848" s="2423"/>
    </row>
    <row r="42849" s="101" customFormat="1" spans="6:6">
      <c r="F42849" s="2423"/>
    </row>
    <row r="42850" s="101" customFormat="1" spans="6:6">
      <c r="F42850" s="2423"/>
    </row>
    <row r="42851" s="101" customFormat="1" spans="6:6">
      <c r="F42851" s="2423"/>
    </row>
    <row r="42852" s="101" customFormat="1" spans="6:6">
      <c r="F42852" s="2423"/>
    </row>
    <row r="42853" s="101" customFormat="1" spans="6:6">
      <c r="F42853" s="2423"/>
    </row>
    <row r="42854" s="101" customFormat="1" spans="6:6">
      <c r="F42854" s="2423"/>
    </row>
    <row r="42855" s="101" customFormat="1" spans="6:6">
      <c r="F42855" s="2423"/>
    </row>
    <row r="42856" s="101" customFormat="1" spans="6:6">
      <c r="F42856" s="2423"/>
    </row>
    <row r="42857" s="101" customFormat="1" spans="6:6">
      <c r="F42857" s="2423"/>
    </row>
    <row r="42858" s="101" customFormat="1" spans="6:6">
      <c r="F42858" s="2423"/>
    </row>
    <row r="42859" s="101" customFormat="1" spans="6:6">
      <c r="F42859" s="2423"/>
    </row>
    <row r="42860" s="101" customFormat="1" spans="6:6">
      <c r="F42860" s="2423"/>
    </row>
    <row r="42861" s="101" customFormat="1" spans="6:6">
      <c r="F42861" s="2423"/>
    </row>
    <row r="42862" s="101" customFormat="1" spans="6:6">
      <c r="F42862" s="2423"/>
    </row>
    <row r="42863" s="101" customFormat="1" spans="6:6">
      <c r="F42863" s="2423"/>
    </row>
    <row r="42864" s="101" customFormat="1" spans="6:6">
      <c r="F42864" s="2423"/>
    </row>
    <row r="42865" s="101" customFormat="1" spans="6:6">
      <c r="F42865" s="2423"/>
    </row>
    <row r="42866" s="101" customFormat="1" spans="6:6">
      <c r="F42866" s="2423"/>
    </row>
    <row r="42867" s="101" customFormat="1" spans="6:6">
      <c r="F42867" s="2423"/>
    </row>
    <row r="42868" s="101" customFormat="1" spans="6:6">
      <c r="F42868" s="2423"/>
    </row>
    <row r="42869" s="101" customFormat="1" spans="6:6">
      <c r="F42869" s="2423"/>
    </row>
    <row r="42870" s="101" customFormat="1" spans="6:6">
      <c r="F42870" s="2423"/>
    </row>
    <row r="42871" s="101" customFormat="1" spans="6:6">
      <c r="F42871" s="2423"/>
    </row>
    <row r="42872" s="101" customFormat="1" spans="6:6">
      <c r="F42872" s="2423"/>
    </row>
    <row r="42873" s="101" customFormat="1" spans="6:6">
      <c r="F42873" s="2423"/>
    </row>
    <row r="42874" s="101" customFormat="1" spans="6:6">
      <c r="F42874" s="2423"/>
    </row>
    <row r="42875" s="101" customFormat="1" spans="6:6">
      <c r="F42875" s="2423"/>
    </row>
    <row r="42876" s="101" customFormat="1" spans="6:6">
      <c r="F42876" s="2423"/>
    </row>
    <row r="42877" s="101" customFormat="1" spans="6:6">
      <c r="F42877" s="2423"/>
    </row>
    <row r="42878" s="101" customFormat="1" spans="6:6">
      <c r="F42878" s="2423"/>
    </row>
    <row r="42879" s="101" customFormat="1" spans="6:6">
      <c r="F42879" s="2423"/>
    </row>
    <row r="42880" s="101" customFormat="1" spans="6:6">
      <c r="F42880" s="2423"/>
    </row>
    <row r="42881" s="101" customFormat="1" spans="6:6">
      <c r="F42881" s="2423"/>
    </row>
    <row r="42882" s="101" customFormat="1" spans="6:6">
      <c r="F42882" s="2423"/>
    </row>
    <row r="42883" s="101" customFormat="1" spans="6:6">
      <c r="F42883" s="2423"/>
    </row>
    <row r="42884" s="101" customFormat="1" spans="6:6">
      <c r="F42884" s="2423"/>
    </row>
    <row r="42885" s="101" customFormat="1" spans="6:6">
      <c r="F42885" s="2423"/>
    </row>
    <row r="42886" s="101" customFormat="1" spans="6:6">
      <c r="F42886" s="2423"/>
    </row>
    <row r="42887" s="101" customFormat="1" spans="6:6">
      <c r="F42887" s="2423"/>
    </row>
    <row r="42888" s="101" customFormat="1" spans="6:6">
      <c r="F42888" s="2423"/>
    </row>
    <row r="42889" s="101" customFormat="1" spans="6:6">
      <c r="F42889" s="2423"/>
    </row>
    <row r="42890" s="101" customFormat="1" spans="6:6">
      <c r="F42890" s="2423"/>
    </row>
    <row r="42891" s="101" customFormat="1" spans="6:6">
      <c r="F42891" s="2423"/>
    </row>
    <row r="42892" s="101" customFormat="1" spans="6:6">
      <c r="F42892" s="2423"/>
    </row>
    <row r="42893" s="101" customFormat="1" spans="6:6">
      <c r="F42893" s="2423"/>
    </row>
    <row r="42894" s="101" customFormat="1" spans="6:6">
      <c r="F42894" s="2423"/>
    </row>
    <row r="42895" s="101" customFormat="1" spans="6:6">
      <c r="F42895" s="2423"/>
    </row>
    <row r="42896" s="101" customFormat="1" spans="6:6">
      <c r="F42896" s="2423"/>
    </row>
    <row r="42897" s="101" customFormat="1" spans="6:6">
      <c r="F42897" s="2423"/>
    </row>
    <row r="42898" s="101" customFormat="1" spans="6:6">
      <c r="F42898" s="2423"/>
    </row>
    <row r="42899" s="101" customFormat="1" spans="6:6">
      <c r="F42899" s="2423"/>
    </row>
    <row r="42900" s="101" customFormat="1" spans="6:6">
      <c r="F42900" s="2423"/>
    </row>
    <row r="42901" s="101" customFormat="1" spans="6:6">
      <c r="F42901" s="2423"/>
    </row>
    <row r="42902" s="101" customFormat="1" spans="6:6">
      <c r="F42902" s="2423"/>
    </row>
    <row r="42903" s="101" customFormat="1" spans="6:6">
      <c r="F42903" s="2423"/>
    </row>
    <row r="42904" s="101" customFormat="1" spans="6:6">
      <c r="F42904" s="2423"/>
    </row>
    <row r="42905" s="101" customFormat="1" spans="6:6">
      <c r="F42905" s="2423"/>
    </row>
    <row r="42906" s="101" customFormat="1" spans="6:6">
      <c r="F42906" s="2423"/>
    </row>
    <row r="42907" s="101" customFormat="1" spans="6:6">
      <c r="F42907" s="2423"/>
    </row>
    <row r="42908" s="101" customFormat="1" spans="6:6">
      <c r="F42908" s="2423"/>
    </row>
    <row r="42909" s="101" customFormat="1" spans="6:6">
      <c r="F42909" s="2423"/>
    </row>
    <row r="42910" s="101" customFormat="1" spans="6:6">
      <c r="F42910" s="2423"/>
    </row>
    <row r="42911" s="101" customFormat="1" spans="6:6">
      <c r="F42911" s="2423"/>
    </row>
    <row r="42912" s="101" customFormat="1" spans="6:6">
      <c r="F42912" s="2423"/>
    </row>
    <row r="42913" s="101" customFormat="1" spans="6:6">
      <c r="F42913" s="2423"/>
    </row>
    <row r="42914" s="101" customFormat="1" spans="6:6">
      <c r="F42914" s="2423"/>
    </row>
    <row r="42915" s="101" customFormat="1" spans="6:6">
      <c r="F42915" s="2423"/>
    </row>
    <row r="42916" s="101" customFormat="1" spans="6:6">
      <c r="F42916" s="2423"/>
    </row>
    <row r="42917" s="101" customFormat="1" spans="6:6">
      <c r="F42917" s="2423"/>
    </row>
    <row r="42918" s="101" customFormat="1" spans="6:6">
      <c r="F42918" s="2423"/>
    </row>
    <row r="42919" s="101" customFormat="1" spans="6:6">
      <c r="F42919" s="2423"/>
    </row>
    <row r="42920" s="101" customFormat="1" spans="6:6">
      <c r="F42920" s="2423"/>
    </row>
    <row r="42921" s="101" customFormat="1" spans="6:6">
      <c r="F42921" s="2423"/>
    </row>
    <row r="42922" s="101" customFormat="1" spans="6:6">
      <c r="F42922" s="2423"/>
    </row>
    <row r="42923" s="101" customFormat="1" spans="6:6">
      <c r="F42923" s="2423"/>
    </row>
    <row r="42924" s="101" customFormat="1" spans="6:6">
      <c r="F42924" s="2423"/>
    </row>
    <row r="42925" s="101" customFormat="1" spans="6:6">
      <c r="F42925" s="2423"/>
    </row>
    <row r="42926" s="101" customFormat="1" spans="6:6">
      <c r="F42926" s="2423"/>
    </row>
    <row r="42927" s="101" customFormat="1" spans="6:6">
      <c r="F42927" s="2423"/>
    </row>
    <row r="42928" s="101" customFormat="1" spans="6:6">
      <c r="F42928" s="2423"/>
    </row>
    <row r="42929" s="101" customFormat="1" spans="6:6">
      <c r="F42929" s="2423"/>
    </row>
    <row r="42930" s="101" customFormat="1" spans="6:6">
      <c r="F42930" s="2423"/>
    </row>
    <row r="42931" s="101" customFormat="1" spans="6:6">
      <c r="F42931" s="2423"/>
    </row>
    <row r="42932" s="101" customFormat="1" spans="6:6">
      <c r="F42932" s="2423"/>
    </row>
    <row r="42933" s="101" customFormat="1" spans="6:6">
      <c r="F42933" s="2423"/>
    </row>
    <row r="42934" s="101" customFormat="1" spans="6:6">
      <c r="F42934" s="2423"/>
    </row>
    <row r="42935" s="101" customFormat="1" spans="6:6">
      <c r="F42935" s="2423"/>
    </row>
    <row r="42936" s="101" customFormat="1" spans="6:6">
      <c r="F42936" s="2423"/>
    </row>
    <row r="42937" s="101" customFormat="1" spans="6:6">
      <c r="F42937" s="2423"/>
    </row>
    <row r="42938" s="101" customFormat="1" spans="6:6">
      <c r="F42938" s="2423"/>
    </row>
    <row r="42939" s="101" customFormat="1" spans="6:6">
      <c r="F42939" s="2423"/>
    </row>
    <row r="42940" s="101" customFormat="1" spans="6:6">
      <c r="F42940" s="2423"/>
    </row>
    <row r="42941" s="101" customFormat="1" spans="6:6">
      <c r="F42941" s="2423"/>
    </row>
    <row r="42942" s="101" customFormat="1" spans="6:6">
      <c r="F42942" s="2423"/>
    </row>
    <row r="42943" s="101" customFormat="1" spans="6:6">
      <c r="F42943" s="2423"/>
    </row>
    <row r="42944" s="101" customFormat="1" spans="6:6">
      <c r="F42944" s="2423"/>
    </row>
    <row r="42945" s="101" customFormat="1" spans="6:6">
      <c r="F42945" s="2423"/>
    </row>
    <row r="42946" s="101" customFormat="1" spans="6:6">
      <c r="F42946" s="2423"/>
    </row>
    <row r="42947" s="101" customFormat="1" spans="6:6">
      <c r="F42947" s="2423"/>
    </row>
    <row r="42948" s="101" customFormat="1" spans="6:6">
      <c r="F42948" s="2423"/>
    </row>
    <row r="42949" s="101" customFormat="1" spans="6:6">
      <c r="F42949" s="2423"/>
    </row>
    <row r="42950" s="101" customFormat="1" spans="6:6">
      <c r="F42950" s="2423"/>
    </row>
    <row r="42951" s="101" customFormat="1" spans="6:6">
      <c r="F42951" s="2423"/>
    </row>
    <row r="42952" s="101" customFormat="1" spans="6:6">
      <c r="F42952" s="2423"/>
    </row>
    <row r="42953" s="101" customFormat="1" spans="6:6">
      <c r="F42953" s="2423"/>
    </row>
    <row r="42954" s="101" customFormat="1" spans="6:6">
      <c r="F42954" s="2423"/>
    </row>
    <row r="42955" s="101" customFormat="1" spans="6:6">
      <c r="F42955" s="2423"/>
    </row>
    <row r="42956" s="101" customFormat="1" spans="6:6">
      <c r="F42956" s="2423"/>
    </row>
    <row r="42957" s="101" customFormat="1" spans="6:6">
      <c r="F42957" s="2423"/>
    </row>
    <row r="42958" s="101" customFormat="1" spans="6:6">
      <c r="F42958" s="2423"/>
    </row>
    <row r="42959" s="101" customFormat="1" spans="6:6">
      <c r="F42959" s="2423"/>
    </row>
    <row r="42960" s="101" customFormat="1" spans="6:6">
      <c r="F42960" s="2423"/>
    </row>
    <row r="42961" s="101" customFormat="1" spans="6:6">
      <c r="F42961" s="2423"/>
    </row>
    <row r="42962" s="101" customFormat="1" spans="6:6">
      <c r="F42962" s="2423"/>
    </row>
    <row r="42963" s="101" customFormat="1" spans="6:6">
      <c r="F42963" s="2423"/>
    </row>
    <row r="42964" s="101" customFormat="1" spans="6:6">
      <c r="F42964" s="2423"/>
    </row>
    <row r="42965" s="101" customFormat="1" spans="6:6">
      <c r="F42965" s="2423"/>
    </row>
    <row r="42966" s="101" customFormat="1" spans="6:6">
      <c r="F42966" s="2423"/>
    </row>
    <row r="42967" s="101" customFormat="1" spans="6:6">
      <c r="F42967" s="2423"/>
    </row>
    <row r="42968" s="101" customFormat="1" spans="6:6">
      <c r="F42968" s="2423"/>
    </row>
    <row r="42969" s="101" customFormat="1" spans="6:6">
      <c r="F42969" s="2423"/>
    </row>
    <row r="42970" s="101" customFormat="1" spans="6:6">
      <c r="F42970" s="2423"/>
    </row>
    <row r="42971" s="101" customFormat="1" spans="6:6">
      <c r="F42971" s="2423"/>
    </row>
    <row r="42972" s="101" customFormat="1" spans="6:6">
      <c r="F42972" s="2423"/>
    </row>
    <row r="42973" s="101" customFormat="1" spans="6:6">
      <c r="F42973" s="2423"/>
    </row>
    <row r="42974" s="101" customFormat="1" spans="6:6">
      <c r="F42974" s="2423"/>
    </row>
    <row r="42975" s="101" customFormat="1" spans="6:6">
      <c r="F42975" s="2423"/>
    </row>
    <row r="42976" s="101" customFormat="1" spans="6:6">
      <c r="F42976" s="2423"/>
    </row>
    <row r="42977" s="101" customFormat="1" spans="6:6">
      <c r="F42977" s="2423"/>
    </row>
    <row r="42978" s="101" customFormat="1" spans="6:6">
      <c r="F42978" s="2423"/>
    </row>
    <row r="42979" s="101" customFormat="1" spans="6:6">
      <c r="F42979" s="2423"/>
    </row>
    <row r="42980" s="101" customFormat="1" spans="6:6">
      <c r="F42980" s="2423"/>
    </row>
    <row r="42981" s="101" customFormat="1" spans="6:6">
      <c r="F42981" s="2423"/>
    </row>
    <row r="42982" s="101" customFormat="1" spans="6:6">
      <c r="F42982" s="2423"/>
    </row>
    <row r="42983" s="101" customFormat="1" spans="6:6">
      <c r="F42983" s="2423"/>
    </row>
    <row r="42984" s="101" customFormat="1" spans="6:6">
      <c r="F42984" s="2423"/>
    </row>
    <row r="42985" s="101" customFormat="1" spans="6:6">
      <c r="F42985" s="2423"/>
    </row>
    <row r="42986" s="101" customFormat="1" spans="6:6">
      <c r="F42986" s="2423"/>
    </row>
    <row r="42987" s="101" customFormat="1" spans="6:6">
      <c r="F42987" s="2423"/>
    </row>
    <row r="42988" s="101" customFormat="1" spans="6:6">
      <c r="F42988" s="2423"/>
    </row>
    <row r="42989" s="101" customFormat="1" spans="6:6">
      <c r="F42989" s="2423"/>
    </row>
    <row r="42990" s="101" customFormat="1" spans="6:6">
      <c r="F42990" s="2423"/>
    </row>
    <row r="42991" s="101" customFormat="1" spans="6:6">
      <c r="F42991" s="2423"/>
    </row>
    <row r="42992" s="101" customFormat="1" spans="6:6">
      <c r="F42992" s="2423"/>
    </row>
    <row r="42993" s="101" customFormat="1" spans="6:6">
      <c r="F42993" s="2423"/>
    </row>
    <row r="42994" s="101" customFormat="1" spans="6:6">
      <c r="F42994" s="2423"/>
    </row>
    <row r="42995" s="101" customFormat="1" spans="6:6">
      <c r="F42995" s="2423"/>
    </row>
    <row r="42996" s="101" customFormat="1" spans="6:6">
      <c r="F42996" s="2423"/>
    </row>
    <row r="42997" s="101" customFormat="1" spans="6:6">
      <c r="F42997" s="2423"/>
    </row>
    <row r="42998" s="101" customFormat="1" spans="6:6">
      <c r="F42998" s="2423"/>
    </row>
    <row r="42999" s="101" customFormat="1" spans="6:6">
      <c r="F42999" s="2423"/>
    </row>
    <row r="43000" s="101" customFormat="1" spans="6:6">
      <c r="F43000" s="2423"/>
    </row>
    <row r="43001" s="101" customFormat="1" spans="6:6">
      <c r="F43001" s="2423"/>
    </row>
    <row r="43002" s="101" customFormat="1" spans="6:6">
      <c r="F43002" s="2423"/>
    </row>
    <row r="43003" s="101" customFormat="1" spans="6:6">
      <c r="F43003" s="2423"/>
    </row>
    <row r="43004" s="101" customFormat="1" spans="6:6">
      <c r="F43004" s="2423"/>
    </row>
    <row r="43005" s="101" customFormat="1" spans="6:6">
      <c r="F43005" s="2423"/>
    </row>
    <row r="43006" s="101" customFormat="1" spans="6:6">
      <c r="F43006" s="2423"/>
    </row>
    <row r="43007" s="101" customFormat="1" spans="6:6">
      <c r="F43007" s="2423"/>
    </row>
    <row r="43008" s="101" customFormat="1" spans="6:6">
      <c r="F43008" s="2423"/>
    </row>
    <row r="43009" s="101" customFormat="1" spans="6:6">
      <c r="F43009" s="2423"/>
    </row>
    <row r="43010" s="101" customFormat="1" spans="6:6">
      <c r="F43010" s="2423"/>
    </row>
    <row r="43011" s="101" customFormat="1" spans="6:6">
      <c r="F43011" s="2423"/>
    </row>
    <row r="43012" s="101" customFormat="1" spans="6:6">
      <c r="F43012" s="2423"/>
    </row>
    <row r="43013" s="101" customFormat="1" spans="6:6">
      <c r="F43013" s="2423"/>
    </row>
    <row r="43014" s="101" customFormat="1" spans="6:6">
      <c r="F43014" s="2423"/>
    </row>
    <row r="43015" s="101" customFormat="1" spans="6:6">
      <c r="F43015" s="2423"/>
    </row>
    <row r="43016" s="101" customFormat="1" spans="6:6">
      <c r="F43016" s="2423"/>
    </row>
    <row r="43017" s="101" customFormat="1" spans="6:6">
      <c r="F43017" s="2423"/>
    </row>
    <row r="43018" s="101" customFormat="1" spans="6:6">
      <c r="F43018" s="2423"/>
    </row>
    <row r="43019" s="101" customFormat="1" spans="6:6">
      <c r="F43019" s="2423"/>
    </row>
    <row r="43020" s="101" customFormat="1" spans="6:6">
      <c r="F43020" s="2423"/>
    </row>
    <row r="43021" s="101" customFormat="1" spans="6:6">
      <c r="F43021" s="2423"/>
    </row>
    <row r="43022" s="101" customFormat="1" spans="6:6">
      <c r="F43022" s="2423"/>
    </row>
    <row r="43023" s="101" customFormat="1" spans="6:6">
      <c r="F43023" s="2423"/>
    </row>
    <row r="43024" s="101" customFormat="1" spans="6:6">
      <c r="F43024" s="2423"/>
    </row>
    <row r="43025" s="101" customFormat="1" spans="6:6">
      <c r="F43025" s="2423"/>
    </row>
    <row r="43026" s="101" customFormat="1" spans="6:6">
      <c r="F43026" s="2423"/>
    </row>
    <row r="43027" s="101" customFormat="1" spans="6:6">
      <c r="F43027" s="2423"/>
    </row>
    <row r="43028" s="101" customFormat="1" spans="6:6">
      <c r="F43028" s="2423"/>
    </row>
    <row r="43029" s="101" customFormat="1" spans="6:6">
      <c r="F43029" s="2423"/>
    </row>
    <row r="43030" s="101" customFormat="1" spans="6:6">
      <c r="F43030" s="2423"/>
    </row>
    <row r="43031" s="101" customFormat="1" spans="6:6">
      <c r="F43031" s="2423"/>
    </row>
    <row r="43032" s="101" customFormat="1" spans="6:6">
      <c r="F43032" s="2423"/>
    </row>
    <row r="43033" s="101" customFormat="1" spans="6:6">
      <c r="F43033" s="2423"/>
    </row>
    <row r="43034" s="101" customFormat="1" spans="6:6">
      <c r="F43034" s="2423"/>
    </row>
    <row r="43035" s="101" customFormat="1" spans="6:6">
      <c r="F43035" s="2423"/>
    </row>
    <row r="43036" s="101" customFormat="1" spans="6:6">
      <c r="F43036" s="2423"/>
    </row>
    <row r="43037" s="101" customFormat="1" spans="6:6">
      <c r="F43037" s="2423"/>
    </row>
    <row r="43038" s="101" customFormat="1" spans="6:6">
      <c r="F43038" s="2423"/>
    </row>
    <row r="43039" s="101" customFormat="1" spans="6:6">
      <c r="F43039" s="2423"/>
    </row>
    <row r="43040" s="101" customFormat="1" spans="6:6">
      <c r="F43040" s="2423"/>
    </row>
    <row r="43041" s="101" customFormat="1" spans="6:6">
      <c r="F43041" s="2423"/>
    </row>
    <row r="43042" s="101" customFormat="1" spans="6:6">
      <c r="F43042" s="2423"/>
    </row>
    <row r="43043" s="101" customFormat="1" spans="6:6">
      <c r="F43043" s="2423"/>
    </row>
    <row r="43044" s="101" customFormat="1" spans="6:6">
      <c r="F43044" s="2423"/>
    </row>
    <row r="43045" s="101" customFormat="1" spans="6:6">
      <c r="F43045" s="2423"/>
    </row>
    <row r="43046" s="101" customFormat="1" spans="6:6">
      <c r="F43046" s="2423"/>
    </row>
    <row r="43047" s="101" customFormat="1" spans="6:6">
      <c r="F43047" s="2423"/>
    </row>
    <row r="43048" s="101" customFormat="1" spans="6:6">
      <c r="F43048" s="2423"/>
    </row>
    <row r="43049" s="101" customFormat="1" spans="6:6">
      <c r="F43049" s="2423"/>
    </row>
    <row r="43050" s="101" customFormat="1" spans="6:6">
      <c r="F43050" s="2423"/>
    </row>
    <row r="43051" s="101" customFormat="1" spans="6:6">
      <c r="F43051" s="2423"/>
    </row>
    <row r="43052" s="101" customFormat="1" spans="6:6">
      <c r="F43052" s="2423"/>
    </row>
    <row r="43053" s="101" customFormat="1" spans="6:6">
      <c r="F43053" s="2423"/>
    </row>
    <row r="43054" s="101" customFormat="1" spans="6:6">
      <c r="F43054" s="2423"/>
    </row>
    <row r="43055" s="101" customFormat="1" spans="6:6">
      <c r="F43055" s="2423"/>
    </row>
    <row r="43056" s="101" customFormat="1" spans="6:6">
      <c r="F43056" s="2423"/>
    </row>
    <row r="43057" s="101" customFormat="1" spans="6:6">
      <c r="F43057" s="2423"/>
    </row>
    <row r="43058" s="101" customFormat="1" spans="6:6">
      <c r="F43058" s="2423"/>
    </row>
    <row r="43059" s="101" customFormat="1" spans="6:6">
      <c r="F43059" s="2423"/>
    </row>
    <row r="43060" s="101" customFormat="1" spans="6:6">
      <c r="F43060" s="2423"/>
    </row>
    <row r="43061" s="101" customFormat="1" spans="6:6">
      <c r="F43061" s="2423"/>
    </row>
    <row r="43062" s="101" customFormat="1" spans="6:6">
      <c r="F43062" s="2423"/>
    </row>
    <row r="43063" s="101" customFormat="1" spans="6:6">
      <c r="F43063" s="2423"/>
    </row>
    <row r="43064" s="101" customFormat="1" spans="6:6">
      <c r="F43064" s="2423"/>
    </row>
    <row r="43065" s="101" customFormat="1" spans="6:6">
      <c r="F43065" s="2423"/>
    </row>
    <row r="43066" s="101" customFormat="1" spans="6:6">
      <c r="F43066" s="2423"/>
    </row>
    <row r="43067" s="101" customFormat="1" spans="6:6">
      <c r="F43067" s="2423"/>
    </row>
    <row r="43068" s="101" customFormat="1" spans="6:6">
      <c r="F43068" s="2423"/>
    </row>
    <row r="43069" s="101" customFormat="1" spans="6:6">
      <c r="F43069" s="2423"/>
    </row>
    <row r="43070" s="101" customFormat="1" spans="6:6">
      <c r="F43070" s="2423"/>
    </row>
    <row r="43071" s="101" customFormat="1" spans="6:6">
      <c r="F43071" s="2423"/>
    </row>
    <row r="43072" s="101" customFormat="1" spans="6:6">
      <c r="F43072" s="2423"/>
    </row>
    <row r="43073" s="101" customFormat="1" spans="6:6">
      <c r="F43073" s="2423"/>
    </row>
    <row r="43074" s="101" customFormat="1" spans="6:6">
      <c r="F43074" s="2423"/>
    </row>
    <row r="43075" s="101" customFormat="1" spans="6:6">
      <c r="F43075" s="2423"/>
    </row>
    <row r="43076" s="101" customFormat="1" spans="6:6">
      <c r="F43076" s="2423"/>
    </row>
    <row r="43077" s="101" customFormat="1" spans="6:6">
      <c r="F43077" s="2423"/>
    </row>
    <row r="43078" s="101" customFormat="1" spans="6:6">
      <c r="F43078" s="2423"/>
    </row>
    <row r="43079" s="101" customFormat="1" spans="6:6">
      <c r="F43079" s="2423"/>
    </row>
    <row r="43080" s="101" customFormat="1" spans="6:6">
      <c r="F43080" s="2423"/>
    </row>
    <row r="43081" s="101" customFormat="1" spans="6:6">
      <c r="F43081" s="2423"/>
    </row>
    <row r="43082" s="101" customFormat="1" spans="6:6">
      <c r="F43082" s="2423"/>
    </row>
    <row r="43083" s="101" customFormat="1" spans="6:6">
      <c r="F43083" s="2423"/>
    </row>
    <row r="43084" s="101" customFormat="1" spans="6:6">
      <c r="F43084" s="2423"/>
    </row>
    <row r="43085" s="101" customFormat="1" spans="6:6">
      <c r="F43085" s="2423"/>
    </row>
    <row r="43086" s="101" customFormat="1" spans="6:6">
      <c r="F43086" s="2423"/>
    </row>
    <row r="43087" s="101" customFormat="1" spans="6:6">
      <c r="F43087" s="2423"/>
    </row>
    <row r="43088" s="101" customFormat="1" spans="6:6">
      <c r="F43088" s="2423"/>
    </row>
    <row r="43089" s="101" customFormat="1" spans="6:6">
      <c r="F43089" s="2423"/>
    </row>
    <row r="43090" s="101" customFormat="1" spans="6:6">
      <c r="F43090" s="2423"/>
    </row>
    <row r="43091" s="101" customFormat="1" spans="6:6">
      <c r="F43091" s="2423"/>
    </row>
    <row r="43092" s="101" customFormat="1" spans="6:6">
      <c r="F43092" s="2423"/>
    </row>
    <row r="43093" s="101" customFormat="1" spans="6:6">
      <c r="F43093" s="2423"/>
    </row>
    <row r="43094" s="101" customFormat="1" spans="6:6">
      <c r="F43094" s="2423"/>
    </row>
    <row r="43095" s="101" customFormat="1" spans="6:6">
      <c r="F43095" s="2423"/>
    </row>
    <row r="43096" s="101" customFormat="1" spans="6:6">
      <c r="F43096" s="2423"/>
    </row>
    <row r="43097" s="101" customFormat="1" spans="6:6">
      <c r="F43097" s="2423"/>
    </row>
    <row r="43098" s="101" customFormat="1" spans="6:6">
      <c r="F43098" s="2423"/>
    </row>
    <row r="43099" s="101" customFormat="1" spans="6:6">
      <c r="F43099" s="2423"/>
    </row>
    <row r="43100" s="101" customFormat="1" spans="6:6">
      <c r="F43100" s="2423"/>
    </row>
    <row r="43101" s="101" customFormat="1" spans="6:6">
      <c r="F43101" s="2423"/>
    </row>
    <row r="43102" s="101" customFormat="1" spans="6:6">
      <c r="F43102" s="2423"/>
    </row>
    <row r="43103" s="101" customFormat="1" spans="6:6">
      <c r="F43103" s="2423"/>
    </row>
    <row r="43104" s="101" customFormat="1" spans="6:6">
      <c r="F43104" s="2423"/>
    </row>
    <row r="43105" s="101" customFormat="1" spans="6:6">
      <c r="F43105" s="2423"/>
    </row>
    <row r="43106" s="101" customFormat="1" spans="6:6">
      <c r="F43106" s="2423"/>
    </row>
    <row r="43107" s="101" customFormat="1" spans="6:6">
      <c r="F43107" s="2423"/>
    </row>
    <row r="43108" s="101" customFormat="1" spans="6:6">
      <c r="F43108" s="2423"/>
    </row>
    <row r="43109" s="101" customFormat="1" spans="6:6">
      <c r="F43109" s="2423"/>
    </row>
    <row r="43110" s="101" customFormat="1" spans="6:6">
      <c r="F43110" s="2423"/>
    </row>
    <row r="43111" s="101" customFormat="1" spans="6:6">
      <c r="F43111" s="2423"/>
    </row>
    <row r="43112" s="101" customFormat="1" spans="6:6">
      <c r="F43112" s="2423"/>
    </row>
    <row r="43113" s="101" customFormat="1" spans="6:6">
      <c r="F43113" s="2423"/>
    </row>
    <row r="43114" s="101" customFormat="1" spans="6:6">
      <c r="F43114" s="2423"/>
    </row>
    <row r="43115" s="101" customFormat="1" spans="6:6">
      <c r="F43115" s="2423"/>
    </row>
    <row r="43116" s="101" customFormat="1" spans="6:6">
      <c r="F43116" s="2423"/>
    </row>
    <row r="43117" s="101" customFormat="1" spans="6:6">
      <c r="F43117" s="2423"/>
    </row>
    <row r="43118" s="101" customFormat="1" spans="6:6">
      <c r="F43118" s="2423"/>
    </row>
    <row r="43119" s="101" customFormat="1" spans="6:6">
      <c r="F43119" s="2423"/>
    </row>
    <row r="43120" s="101" customFormat="1" spans="6:6">
      <c r="F43120" s="2423"/>
    </row>
    <row r="43121" s="101" customFormat="1" spans="6:6">
      <c r="F43121" s="2423"/>
    </row>
    <row r="43122" s="101" customFormat="1" spans="6:6">
      <c r="F43122" s="2423"/>
    </row>
    <row r="43123" s="101" customFormat="1" spans="6:6">
      <c r="F43123" s="2423"/>
    </row>
    <row r="43124" s="101" customFormat="1" spans="6:6">
      <c r="F43124" s="2423"/>
    </row>
    <row r="43125" s="101" customFormat="1" spans="6:6">
      <c r="F43125" s="2423"/>
    </row>
    <row r="43126" s="101" customFormat="1" spans="6:6">
      <c r="F43126" s="2423"/>
    </row>
    <row r="43127" s="101" customFormat="1" spans="6:6">
      <c r="F43127" s="2423"/>
    </row>
    <row r="43128" s="101" customFormat="1" spans="6:6">
      <c r="F43128" s="2423"/>
    </row>
    <row r="43129" s="101" customFormat="1" spans="6:6">
      <c r="F43129" s="2423"/>
    </row>
    <row r="43130" s="101" customFormat="1" spans="6:6">
      <c r="F43130" s="2423"/>
    </row>
    <row r="43131" s="101" customFormat="1" spans="6:6">
      <c r="F43131" s="2423"/>
    </row>
    <row r="43132" s="101" customFormat="1" spans="6:6">
      <c r="F43132" s="2423"/>
    </row>
    <row r="43133" s="101" customFormat="1" spans="6:6">
      <c r="F43133" s="2423"/>
    </row>
    <row r="43134" s="101" customFormat="1" spans="6:6">
      <c r="F43134" s="2423"/>
    </row>
    <row r="43135" s="101" customFormat="1" spans="6:6">
      <c r="F43135" s="2423"/>
    </row>
    <row r="43136" s="101" customFormat="1" spans="6:6">
      <c r="F43136" s="2423"/>
    </row>
    <row r="43137" s="101" customFormat="1" spans="6:6">
      <c r="F43137" s="2423"/>
    </row>
    <row r="43138" s="101" customFormat="1" spans="6:6">
      <c r="F43138" s="2423"/>
    </row>
    <row r="43139" s="101" customFormat="1" spans="6:6">
      <c r="F43139" s="2423"/>
    </row>
    <row r="43140" s="101" customFormat="1" spans="6:6">
      <c r="F43140" s="2423"/>
    </row>
    <row r="43141" s="101" customFormat="1" spans="6:6">
      <c r="F43141" s="2423"/>
    </row>
    <row r="43142" s="101" customFormat="1" spans="6:6">
      <c r="F43142" s="2423"/>
    </row>
    <row r="43143" s="101" customFormat="1" spans="6:6">
      <c r="F43143" s="2423"/>
    </row>
    <row r="43144" s="101" customFormat="1" spans="6:6">
      <c r="F43144" s="2423"/>
    </row>
    <row r="43145" s="101" customFormat="1" spans="6:6">
      <c r="F43145" s="2423"/>
    </row>
    <row r="43146" s="101" customFormat="1" spans="6:6">
      <c r="F43146" s="2423"/>
    </row>
    <row r="43147" s="101" customFormat="1" spans="6:6">
      <c r="F43147" s="2423"/>
    </row>
    <row r="43148" s="101" customFormat="1" spans="6:6">
      <c r="F43148" s="2423"/>
    </row>
    <row r="43149" s="101" customFormat="1" spans="6:6">
      <c r="F43149" s="2423"/>
    </row>
    <row r="43150" s="101" customFormat="1" spans="6:6">
      <c r="F43150" s="2423"/>
    </row>
    <row r="43151" s="101" customFormat="1" spans="6:6">
      <c r="F43151" s="2423"/>
    </row>
    <row r="43152" s="101" customFormat="1" spans="6:6">
      <c r="F43152" s="2423"/>
    </row>
    <row r="43153" s="101" customFormat="1" spans="6:6">
      <c r="F43153" s="2423"/>
    </row>
    <row r="43154" s="101" customFormat="1" spans="6:6">
      <c r="F43154" s="2423"/>
    </row>
    <row r="43155" s="101" customFormat="1" spans="6:6">
      <c r="F43155" s="2423"/>
    </row>
    <row r="43156" s="101" customFormat="1" spans="6:6">
      <c r="F43156" s="2423"/>
    </row>
    <row r="43157" s="101" customFormat="1" spans="6:6">
      <c r="F43157" s="2423"/>
    </row>
    <row r="43158" s="101" customFormat="1" spans="6:6">
      <c r="F43158" s="2423"/>
    </row>
    <row r="43159" s="101" customFormat="1" spans="6:6">
      <c r="F43159" s="2423"/>
    </row>
    <row r="43160" s="101" customFormat="1" spans="6:6">
      <c r="F43160" s="2423"/>
    </row>
    <row r="43161" s="101" customFormat="1" spans="6:6">
      <c r="F43161" s="2423"/>
    </row>
    <row r="43162" s="101" customFormat="1" spans="6:6">
      <c r="F43162" s="2423"/>
    </row>
    <row r="43163" s="101" customFormat="1" spans="6:6">
      <c r="F43163" s="2423"/>
    </row>
    <row r="43164" s="101" customFormat="1" spans="6:6">
      <c r="F43164" s="2423"/>
    </row>
    <row r="43165" s="101" customFormat="1" spans="6:6">
      <c r="F43165" s="2423"/>
    </row>
    <row r="43166" s="101" customFormat="1" spans="6:6">
      <c r="F43166" s="2423"/>
    </row>
    <row r="43167" s="101" customFormat="1" spans="6:6">
      <c r="F43167" s="2423"/>
    </row>
    <row r="43168" s="101" customFormat="1" spans="6:6">
      <c r="F43168" s="2423"/>
    </row>
    <row r="43169" s="101" customFormat="1" spans="6:6">
      <c r="F43169" s="2423"/>
    </row>
    <row r="43170" s="101" customFormat="1" spans="6:6">
      <c r="F43170" s="2423"/>
    </row>
    <row r="43171" s="101" customFormat="1" spans="6:6">
      <c r="F43171" s="2423"/>
    </row>
    <row r="43172" s="101" customFormat="1" spans="6:6">
      <c r="F43172" s="2423"/>
    </row>
    <row r="43173" s="101" customFormat="1" spans="6:6">
      <c r="F43173" s="2423"/>
    </row>
    <row r="43174" s="101" customFormat="1" spans="6:6">
      <c r="F43174" s="2423"/>
    </row>
    <row r="43175" s="101" customFormat="1" spans="6:6">
      <c r="F43175" s="2423"/>
    </row>
    <row r="43176" s="101" customFormat="1" spans="6:6">
      <c r="F43176" s="2423"/>
    </row>
    <row r="43177" s="101" customFormat="1" spans="6:6">
      <c r="F43177" s="2423"/>
    </row>
    <row r="43178" s="101" customFormat="1" spans="6:6">
      <c r="F43178" s="2423"/>
    </row>
    <row r="43179" s="101" customFormat="1" spans="6:6">
      <c r="F43179" s="2423"/>
    </row>
    <row r="43180" s="101" customFormat="1" spans="6:6">
      <c r="F43180" s="2423"/>
    </row>
    <row r="43181" s="101" customFormat="1" spans="6:6">
      <c r="F43181" s="2423"/>
    </row>
    <row r="43182" s="101" customFormat="1" spans="6:6">
      <c r="F43182" s="2423"/>
    </row>
    <row r="43183" s="101" customFormat="1" spans="6:6">
      <c r="F43183" s="2423"/>
    </row>
    <row r="43184" s="101" customFormat="1" spans="6:6">
      <c r="F43184" s="2423"/>
    </row>
    <row r="43185" s="101" customFormat="1" spans="6:6">
      <c r="F43185" s="2423"/>
    </row>
    <row r="43186" s="101" customFormat="1" spans="6:6">
      <c r="F43186" s="2423"/>
    </row>
    <row r="43187" s="101" customFormat="1" spans="6:6">
      <c r="F43187" s="2423"/>
    </row>
    <row r="43188" s="101" customFormat="1" spans="6:6">
      <c r="F43188" s="2423"/>
    </row>
    <row r="43189" s="101" customFormat="1" spans="6:6">
      <c r="F43189" s="2423"/>
    </row>
    <row r="43190" s="101" customFormat="1" spans="6:6">
      <c r="F43190" s="2423"/>
    </row>
    <row r="43191" s="101" customFormat="1" spans="6:6">
      <c r="F43191" s="2423"/>
    </row>
    <row r="43192" s="101" customFormat="1" spans="6:6">
      <c r="F43192" s="2423"/>
    </row>
    <row r="43193" s="101" customFormat="1" spans="6:6">
      <c r="F43193" s="2423"/>
    </row>
    <row r="43194" s="101" customFormat="1" spans="6:6">
      <c r="F43194" s="2423"/>
    </row>
    <row r="43195" s="101" customFormat="1" spans="6:6">
      <c r="F43195" s="2423"/>
    </row>
    <row r="43196" s="101" customFormat="1" spans="6:6">
      <c r="F43196" s="2423"/>
    </row>
    <row r="43197" s="101" customFormat="1" spans="6:6">
      <c r="F43197" s="2423"/>
    </row>
    <row r="43198" s="101" customFormat="1" spans="6:6">
      <c r="F43198" s="2423"/>
    </row>
    <row r="43199" s="101" customFormat="1" spans="6:6">
      <c r="F43199" s="2423"/>
    </row>
    <row r="43200" s="101" customFormat="1" spans="6:6">
      <c r="F43200" s="2423"/>
    </row>
    <row r="43201" s="101" customFormat="1" spans="6:6">
      <c r="F43201" s="2423"/>
    </row>
    <row r="43202" s="101" customFormat="1" spans="6:6">
      <c r="F43202" s="2423"/>
    </row>
    <row r="43203" s="101" customFormat="1" spans="6:6">
      <c r="F43203" s="2423"/>
    </row>
    <row r="43204" s="101" customFormat="1" spans="6:6">
      <c r="F43204" s="2423"/>
    </row>
    <row r="43205" s="101" customFormat="1" spans="6:6">
      <c r="F43205" s="2423"/>
    </row>
    <row r="43206" s="101" customFormat="1" spans="6:6">
      <c r="F43206" s="2423"/>
    </row>
    <row r="43207" s="101" customFormat="1" spans="6:6">
      <c r="F43207" s="2423"/>
    </row>
    <row r="43208" s="101" customFormat="1" spans="6:6">
      <c r="F43208" s="2423"/>
    </row>
    <row r="43209" s="101" customFormat="1" spans="6:6">
      <c r="F43209" s="2423"/>
    </row>
    <row r="43210" s="101" customFormat="1" spans="6:6">
      <c r="F43210" s="2423"/>
    </row>
    <row r="43211" s="101" customFormat="1" spans="6:6">
      <c r="F43211" s="2423"/>
    </row>
    <row r="43212" s="101" customFormat="1" spans="6:6">
      <c r="F43212" s="2423"/>
    </row>
    <row r="43213" s="101" customFormat="1" spans="6:6">
      <c r="F43213" s="2423"/>
    </row>
    <row r="43214" s="101" customFormat="1" spans="6:6">
      <c r="F43214" s="2423"/>
    </row>
    <row r="43215" s="101" customFormat="1" spans="6:6">
      <c r="F43215" s="2423"/>
    </row>
    <row r="43216" s="101" customFormat="1" spans="6:6">
      <c r="F43216" s="2423"/>
    </row>
    <row r="43217" s="101" customFormat="1" spans="6:6">
      <c r="F43217" s="2423"/>
    </row>
    <row r="43218" s="101" customFormat="1" spans="6:6">
      <c r="F43218" s="2423"/>
    </row>
    <row r="43219" s="101" customFormat="1" spans="6:6">
      <c r="F43219" s="2423"/>
    </row>
    <row r="43220" s="101" customFormat="1" spans="6:6">
      <c r="F43220" s="2423"/>
    </row>
    <row r="43221" s="101" customFormat="1" spans="6:6">
      <c r="F43221" s="2423"/>
    </row>
    <row r="43222" s="101" customFormat="1" spans="6:6">
      <c r="F43222" s="2423"/>
    </row>
    <row r="43223" s="101" customFormat="1" spans="6:6">
      <c r="F43223" s="2423"/>
    </row>
    <row r="43224" s="101" customFormat="1" spans="6:6">
      <c r="F43224" s="2423"/>
    </row>
    <row r="43225" s="101" customFormat="1" spans="6:6">
      <c r="F43225" s="2423"/>
    </row>
    <row r="43226" s="101" customFormat="1" spans="6:6">
      <c r="F43226" s="2423"/>
    </row>
    <row r="43227" s="101" customFormat="1" spans="6:6">
      <c r="F43227" s="2423"/>
    </row>
    <row r="43228" s="101" customFormat="1" spans="6:6">
      <c r="F43228" s="2423"/>
    </row>
    <row r="43229" s="101" customFormat="1" spans="6:6">
      <c r="F43229" s="2423"/>
    </row>
    <row r="43230" s="101" customFormat="1" spans="6:6">
      <c r="F43230" s="2423"/>
    </row>
    <row r="43231" s="101" customFormat="1" spans="6:6">
      <c r="F43231" s="2423"/>
    </row>
    <row r="43232" s="101" customFormat="1" spans="6:6">
      <c r="F43232" s="2423"/>
    </row>
    <row r="43233" s="101" customFormat="1" spans="6:6">
      <c r="F43233" s="2423"/>
    </row>
    <row r="43234" s="101" customFormat="1" spans="6:6">
      <c r="F43234" s="2423"/>
    </row>
    <row r="43235" s="101" customFormat="1" spans="6:6">
      <c r="F43235" s="2423"/>
    </row>
    <row r="43236" s="101" customFormat="1" spans="6:6">
      <c r="F43236" s="2423"/>
    </row>
    <row r="43237" s="101" customFormat="1" spans="6:6">
      <c r="F43237" s="2423"/>
    </row>
    <row r="43238" s="101" customFormat="1" spans="6:6">
      <c r="F43238" s="2423"/>
    </row>
    <row r="43239" s="101" customFormat="1" spans="6:6">
      <c r="F43239" s="2423"/>
    </row>
    <row r="43240" s="101" customFormat="1" spans="6:6">
      <c r="F43240" s="2423"/>
    </row>
    <row r="43241" s="101" customFormat="1" spans="6:6">
      <c r="F43241" s="2423"/>
    </row>
    <row r="43242" s="101" customFormat="1" spans="6:6">
      <c r="F43242" s="2423"/>
    </row>
    <row r="43243" s="101" customFormat="1" spans="6:6">
      <c r="F43243" s="2423"/>
    </row>
    <row r="43244" s="101" customFormat="1" spans="6:6">
      <c r="F43244" s="2423"/>
    </row>
    <row r="43245" s="101" customFormat="1" spans="6:6">
      <c r="F43245" s="2423"/>
    </row>
    <row r="43246" s="101" customFormat="1" spans="6:6">
      <c r="F43246" s="2423"/>
    </row>
    <row r="43247" s="101" customFormat="1" spans="6:6">
      <c r="F43247" s="2423"/>
    </row>
    <row r="43248" s="101" customFormat="1" spans="6:6">
      <c r="F43248" s="2423"/>
    </row>
    <row r="43249" s="101" customFormat="1" spans="6:6">
      <c r="F43249" s="2423"/>
    </row>
    <row r="43250" s="101" customFormat="1" spans="6:6">
      <c r="F43250" s="2423"/>
    </row>
    <row r="43251" s="101" customFormat="1" spans="6:6">
      <c r="F43251" s="2423"/>
    </row>
    <row r="43252" s="101" customFormat="1" spans="6:6">
      <c r="F43252" s="2423"/>
    </row>
    <row r="43253" s="101" customFormat="1" spans="6:6">
      <c r="F43253" s="2423"/>
    </row>
    <row r="43254" s="101" customFormat="1" spans="6:6">
      <c r="F43254" s="2423"/>
    </row>
    <row r="43255" s="101" customFormat="1" spans="6:6">
      <c r="F43255" s="2423"/>
    </row>
    <row r="43256" s="101" customFormat="1" spans="6:6">
      <c r="F43256" s="2423"/>
    </row>
    <row r="43257" s="101" customFormat="1" spans="6:6">
      <c r="F43257" s="2423"/>
    </row>
    <row r="43258" s="101" customFormat="1" spans="6:6">
      <c r="F43258" s="2423"/>
    </row>
    <row r="43259" s="101" customFormat="1" spans="6:6">
      <c r="F43259" s="2423"/>
    </row>
    <row r="43260" s="101" customFormat="1" spans="6:6">
      <c r="F43260" s="2423"/>
    </row>
    <row r="43261" s="101" customFormat="1" spans="6:6">
      <c r="F43261" s="2423"/>
    </row>
    <row r="43262" s="101" customFormat="1" spans="6:6">
      <c r="F43262" s="2423"/>
    </row>
    <row r="43263" s="101" customFormat="1" spans="6:6">
      <c r="F43263" s="2423"/>
    </row>
    <row r="43264" s="101" customFormat="1" spans="6:6">
      <c r="F43264" s="2423"/>
    </row>
    <row r="43265" s="101" customFormat="1" spans="6:6">
      <c r="F43265" s="2423"/>
    </row>
    <row r="43266" s="101" customFormat="1" spans="6:6">
      <c r="F43266" s="2423"/>
    </row>
    <row r="43267" s="101" customFormat="1" spans="6:6">
      <c r="F43267" s="2423"/>
    </row>
    <row r="43268" s="101" customFormat="1" spans="6:6">
      <c r="F43268" s="2423"/>
    </row>
    <row r="43269" s="101" customFormat="1" spans="6:6">
      <c r="F43269" s="2423"/>
    </row>
    <row r="43270" s="101" customFormat="1" spans="6:6">
      <c r="F43270" s="2423"/>
    </row>
    <row r="43271" s="101" customFormat="1" spans="6:6">
      <c r="F43271" s="2423"/>
    </row>
    <row r="43272" s="101" customFormat="1" spans="6:6">
      <c r="F43272" s="2423"/>
    </row>
    <row r="43273" s="101" customFormat="1" spans="6:6">
      <c r="F43273" s="2423"/>
    </row>
    <row r="43274" s="101" customFormat="1" spans="6:6">
      <c r="F43274" s="2423"/>
    </row>
    <row r="43275" s="101" customFormat="1" spans="6:6">
      <c r="F43275" s="2423"/>
    </row>
    <row r="43276" s="101" customFormat="1" spans="6:6">
      <c r="F43276" s="2423"/>
    </row>
    <row r="43277" s="101" customFormat="1" spans="6:6">
      <c r="F43277" s="2423"/>
    </row>
    <row r="43278" s="101" customFormat="1" spans="6:6">
      <c r="F43278" s="2423"/>
    </row>
    <row r="43279" s="101" customFormat="1" spans="6:6">
      <c r="F43279" s="2423"/>
    </row>
    <row r="43280" s="101" customFormat="1" spans="6:6">
      <c r="F43280" s="2423"/>
    </row>
    <row r="43281" s="101" customFormat="1" spans="6:6">
      <c r="F43281" s="2423"/>
    </row>
    <row r="43282" s="101" customFormat="1" spans="6:6">
      <c r="F43282" s="2423"/>
    </row>
    <row r="43283" s="101" customFormat="1" spans="6:6">
      <c r="F43283" s="2423"/>
    </row>
    <row r="43284" s="101" customFormat="1" spans="6:6">
      <c r="F43284" s="2423"/>
    </row>
    <row r="43285" s="101" customFormat="1" spans="6:6">
      <c r="F43285" s="2423"/>
    </row>
    <row r="43286" s="101" customFormat="1" spans="6:6">
      <c r="F43286" s="2423"/>
    </row>
    <row r="43287" s="101" customFormat="1" spans="6:6">
      <c r="F43287" s="2423"/>
    </row>
    <row r="43288" s="101" customFormat="1" spans="6:6">
      <c r="F43288" s="2423"/>
    </row>
    <row r="43289" s="101" customFormat="1" spans="6:6">
      <c r="F43289" s="2423"/>
    </row>
    <row r="43290" s="101" customFormat="1" spans="6:6">
      <c r="F43290" s="2423"/>
    </row>
    <row r="43291" s="101" customFormat="1" spans="6:6">
      <c r="F43291" s="2423"/>
    </row>
    <row r="43292" s="101" customFormat="1" spans="6:6">
      <c r="F43292" s="2423"/>
    </row>
    <row r="43293" s="101" customFormat="1" spans="6:6">
      <c r="F43293" s="2423"/>
    </row>
    <row r="43294" s="101" customFormat="1" spans="6:6">
      <c r="F43294" s="2423"/>
    </row>
    <row r="43295" s="101" customFormat="1" spans="6:6">
      <c r="F43295" s="2423"/>
    </row>
    <row r="43296" s="101" customFormat="1" spans="6:6">
      <c r="F43296" s="2423"/>
    </row>
    <row r="43297" s="101" customFormat="1" spans="6:6">
      <c r="F43297" s="2423"/>
    </row>
    <row r="43298" s="101" customFormat="1" spans="6:6">
      <c r="F43298" s="2423"/>
    </row>
    <row r="43299" s="101" customFormat="1" spans="6:6">
      <c r="F43299" s="2423"/>
    </row>
    <row r="43300" s="101" customFormat="1" spans="6:6">
      <c r="F43300" s="2423"/>
    </row>
    <row r="43301" s="101" customFormat="1" spans="6:6">
      <c r="F43301" s="2423"/>
    </row>
    <row r="43302" s="101" customFormat="1" spans="6:6">
      <c r="F43302" s="2423"/>
    </row>
    <row r="43303" s="101" customFormat="1" spans="6:6">
      <c r="F43303" s="2423"/>
    </row>
    <row r="43304" s="101" customFormat="1" spans="6:6">
      <c r="F43304" s="2423"/>
    </row>
    <row r="43305" s="101" customFormat="1" spans="6:6">
      <c r="F43305" s="2423"/>
    </row>
    <row r="43306" s="101" customFormat="1" spans="6:6">
      <c r="F43306" s="2423"/>
    </row>
    <row r="43307" s="101" customFormat="1" spans="6:6">
      <c r="F43307" s="2423"/>
    </row>
    <row r="43308" s="101" customFormat="1" spans="6:6">
      <c r="F43308" s="2423"/>
    </row>
    <row r="43309" s="101" customFormat="1" spans="6:6">
      <c r="F43309" s="2423"/>
    </row>
    <row r="43310" s="101" customFormat="1" spans="6:6">
      <c r="F43310" s="2423"/>
    </row>
    <row r="43311" s="101" customFormat="1" spans="6:6">
      <c r="F43311" s="2423"/>
    </row>
    <row r="43312" s="101" customFormat="1" spans="6:6">
      <c r="F43312" s="2423"/>
    </row>
    <row r="43313" s="101" customFormat="1" spans="6:6">
      <c r="F43313" s="2423"/>
    </row>
    <row r="43314" s="101" customFormat="1" spans="6:6">
      <c r="F43314" s="2423"/>
    </row>
    <row r="43315" s="101" customFormat="1" spans="6:6">
      <c r="F43315" s="2423"/>
    </row>
    <row r="43316" s="101" customFormat="1" spans="6:6">
      <c r="F43316" s="2423"/>
    </row>
    <row r="43317" s="101" customFormat="1" spans="6:6">
      <c r="F43317" s="2423"/>
    </row>
    <row r="43318" s="101" customFormat="1" spans="6:6">
      <c r="F43318" s="2423"/>
    </row>
    <row r="43319" s="101" customFormat="1" spans="6:6">
      <c r="F43319" s="2423"/>
    </row>
    <row r="43320" s="101" customFormat="1" spans="6:6">
      <c r="F43320" s="2423"/>
    </row>
    <row r="43321" s="101" customFormat="1" spans="6:6">
      <c r="F43321" s="2423"/>
    </row>
    <row r="43322" s="101" customFormat="1" spans="6:6">
      <c r="F43322" s="2423"/>
    </row>
    <row r="43323" s="101" customFormat="1" spans="6:6">
      <c r="F43323" s="2423"/>
    </row>
    <row r="43324" s="101" customFormat="1" spans="6:6">
      <c r="F43324" s="2423"/>
    </row>
    <row r="43325" s="101" customFormat="1" spans="6:6">
      <c r="F43325" s="2423"/>
    </row>
    <row r="43326" s="101" customFormat="1" spans="6:6">
      <c r="F43326" s="2423"/>
    </row>
    <row r="43327" s="101" customFormat="1" spans="6:6">
      <c r="F43327" s="2423"/>
    </row>
    <row r="43328" s="101" customFormat="1" spans="6:6">
      <c r="F43328" s="2423"/>
    </row>
    <row r="43329" s="101" customFormat="1" spans="6:6">
      <c r="F43329" s="2423"/>
    </row>
    <row r="43330" s="101" customFormat="1" spans="6:6">
      <c r="F43330" s="2423"/>
    </row>
    <row r="43331" s="101" customFormat="1" spans="6:6">
      <c r="F43331" s="2423"/>
    </row>
    <row r="43332" s="101" customFormat="1" spans="6:6">
      <c r="F43332" s="2423"/>
    </row>
    <row r="43333" s="101" customFormat="1" spans="6:6">
      <c r="F43333" s="2423"/>
    </row>
    <row r="43334" s="101" customFormat="1" spans="6:6">
      <c r="F43334" s="2423"/>
    </row>
    <row r="43335" s="101" customFormat="1" spans="6:6">
      <c r="F43335" s="2423"/>
    </row>
    <row r="43336" s="101" customFormat="1" spans="6:6">
      <c r="F43336" s="2423"/>
    </row>
    <row r="43337" s="101" customFormat="1" spans="6:6">
      <c r="F43337" s="2423"/>
    </row>
    <row r="43338" s="101" customFormat="1" spans="6:6">
      <c r="F43338" s="2423"/>
    </row>
    <row r="43339" s="101" customFormat="1" spans="6:6">
      <c r="F43339" s="2423"/>
    </row>
    <row r="43340" s="101" customFormat="1" spans="6:6">
      <c r="F43340" s="2423"/>
    </row>
    <row r="43341" s="101" customFormat="1" spans="6:6">
      <c r="F43341" s="2423"/>
    </row>
    <row r="43342" s="101" customFormat="1" spans="6:6">
      <c r="F43342" s="2423"/>
    </row>
    <row r="43343" s="101" customFormat="1" spans="6:6">
      <c r="F43343" s="2423"/>
    </row>
    <row r="43344" s="101" customFormat="1" spans="6:6">
      <c r="F43344" s="2423"/>
    </row>
    <row r="43345" s="101" customFormat="1" spans="6:6">
      <c r="F43345" s="2423"/>
    </row>
    <row r="43346" s="101" customFormat="1" spans="6:6">
      <c r="F43346" s="2423"/>
    </row>
    <row r="43347" s="101" customFormat="1" spans="6:6">
      <c r="F43347" s="2423"/>
    </row>
    <row r="43348" s="101" customFormat="1" spans="6:6">
      <c r="F43348" s="2423"/>
    </row>
    <row r="43349" s="101" customFormat="1" spans="6:6">
      <c r="F43349" s="2423"/>
    </row>
    <row r="43350" s="101" customFormat="1" spans="6:6">
      <c r="F43350" s="2423"/>
    </row>
    <row r="43351" s="101" customFormat="1" spans="6:6">
      <c r="F43351" s="2423"/>
    </row>
    <row r="43352" s="101" customFormat="1" spans="6:6">
      <c r="F43352" s="2423"/>
    </row>
    <row r="43353" s="101" customFormat="1" spans="6:6">
      <c r="F43353" s="2423"/>
    </row>
    <row r="43354" s="101" customFormat="1" spans="6:6">
      <c r="F43354" s="2423"/>
    </row>
    <row r="43355" s="101" customFormat="1" spans="6:6">
      <c r="F43355" s="2423"/>
    </row>
    <row r="43356" s="101" customFormat="1" spans="6:6">
      <c r="F43356" s="2423"/>
    </row>
    <row r="43357" s="101" customFormat="1" spans="6:6">
      <c r="F43357" s="2423"/>
    </row>
    <row r="43358" s="101" customFormat="1" spans="6:6">
      <c r="F43358" s="2423"/>
    </row>
    <row r="43359" s="101" customFormat="1" spans="6:6">
      <c r="F43359" s="2423"/>
    </row>
    <row r="43360" s="101" customFormat="1" spans="6:6">
      <c r="F43360" s="2423"/>
    </row>
    <row r="43361" s="101" customFormat="1" spans="6:6">
      <c r="F43361" s="2423"/>
    </row>
    <row r="43362" s="101" customFormat="1" spans="6:6">
      <c r="F43362" s="2423"/>
    </row>
    <row r="43363" s="101" customFormat="1" spans="6:6">
      <c r="F43363" s="2423"/>
    </row>
    <row r="43364" s="101" customFormat="1" spans="6:6">
      <c r="F43364" s="2423"/>
    </row>
    <row r="43365" s="101" customFormat="1" spans="6:6">
      <c r="F43365" s="2423"/>
    </row>
    <row r="43366" s="101" customFormat="1" spans="6:6">
      <c r="F43366" s="2423"/>
    </row>
    <row r="43367" s="101" customFormat="1" spans="6:6">
      <c r="F43367" s="2423"/>
    </row>
    <row r="43368" s="101" customFormat="1" spans="6:6">
      <c r="F43368" s="2423"/>
    </row>
    <row r="43369" s="101" customFormat="1" spans="6:6">
      <c r="F43369" s="2423"/>
    </row>
    <row r="43370" s="101" customFormat="1" spans="6:6">
      <c r="F43370" s="2423"/>
    </row>
    <row r="43371" s="101" customFormat="1" spans="6:6">
      <c r="F43371" s="2423"/>
    </row>
    <row r="43372" s="101" customFormat="1" spans="6:6">
      <c r="F43372" s="2423"/>
    </row>
    <row r="43373" s="101" customFormat="1" spans="6:6">
      <c r="F43373" s="2423"/>
    </row>
    <row r="43374" s="101" customFormat="1" spans="6:6">
      <c r="F43374" s="2423"/>
    </row>
    <row r="43375" s="101" customFormat="1" spans="6:6">
      <c r="F43375" s="2423"/>
    </row>
    <row r="43376" s="101" customFormat="1" spans="6:6">
      <c r="F43376" s="2423"/>
    </row>
    <row r="43377" s="101" customFormat="1" spans="6:6">
      <c r="F43377" s="2423"/>
    </row>
    <row r="43378" s="101" customFormat="1" spans="6:6">
      <c r="F43378" s="2423"/>
    </row>
    <row r="43379" s="101" customFormat="1" spans="6:6">
      <c r="F43379" s="2423"/>
    </row>
    <row r="43380" s="101" customFormat="1" spans="6:6">
      <c r="F43380" s="2423"/>
    </row>
    <row r="43381" s="101" customFormat="1" spans="6:6">
      <c r="F43381" s="2423"/>
    </row>
    <row r="43382" s="101" customFormat="1" spans="6:6">
      <c r="F43382" s="2423"/>
    </row>
    <row r="43383" s="101" customFormat="1" spans="6:6">
      <c r="F43383" s="2423"/>
    </row>
    <row r="43384" s="101" customFormat="1" spans="6:6">
      <c r="F43384" s="2423"/>
    </row>
    <row r="43385" s="101" customFormat="1" spans="6:6">
      <c r="F43385" s="2423"/>
    </row>
    <row r="43386" s="101" customFormat="1" spans="6:6">
      <c r="F43386" s="2423"/>
    </row>
    <row r="43387" s="101" customFormat="1" spans="6:6">
      <c r="F43387" s="2423"/>
    </row>
    <row r="43388" s="101" customFormat="1" spans="6:6">
      <c r="F43388" s="2423"/>
    </row>
    <row r="43389" s="101" customFormat="1" spans="6:6">
      <c r="F43389" s="2423"/>
    </row>
    <row r="43390" s="101" customFormat="1" spans="6:6">
      <c r="F43390" s="2423"/>
    </row>
    <row r="43391" s="101" customFormat="1" spans="6:6">
      <c r="F43391" s="2423"/>
    </row>
    <row r="43392" s="101" customFormat="1" spans="6:6">
      <c r="F43392" s="2423"/>
    </row>
    <row r="43393" s="101" customFormat="1" spans="6:6">
      <c r="F43393" s="2423"/>
    </row>
    <row r="43394" s="101" customFormat="1" spans="6:6">
      <c r="F43394" s="2423"/>
    </row>
    <row r="43395" s="101" customFormat="1" spans="6:6">
      <c r="F43395" s="2423"/>
    </row>
    <row r="43396" s="101" customFormat="1" spans="6:6">
      <c r="F43396" s="2423"/>
    </row>
    <row r="43397" s="101" customFormat="1" spans="6:6">
      <c r="F43397" s="2423"/>
    </row>
    <row r="43398" s="101" customFormat="1" spans="6:6">
      <c r="F43398" s="2423"/>
    </row>
    <row r="43399" s="101" customFormat="1" spans="6:6">
      <c r="F43399" s="2423"/>
    </row>
    <row r="43400" s="101" customFormat="1" spans="6:6">
      <c r="F43400" s="2423"/>
    </row>
    <row r="43401" s="101" customFormat="1" spans="6:6">
      <c r="F43401" s="2423"/>
    </row>
    <row r="43402" s="101" customFormat="1" spans="6:6">
      <c r="F43402" s="2423"/>
    </row>
    <row r="43403" s="101" customFormat="1" spans="6:6">
      <c r="F43403" s="2423"/>
    </row>
    <row r="43404" s="101" customFormat="1" spans="6:6">
      <c r="F43404" s="2423"/>
    </row>
    <row r="43405" s="101" customFormat="1" spans="6:6">
      <c r="F43405" s="2423"/>
    </row>
    <row r="43406" s="101" customFormat="1" spans="6:6">
      <c r="F43406" s="2423"/>
    </row>
    <row r="43407" s="101" customFormat="1" spans="6:6">
      <c r="F43407" s="2423"/>
    </row>
    <row r="43408" s="101" customFormat="1" spans="6:6">
      <c r="F43408" s="2423"/>
    </row>
    <row r="43409" s="101" customFormat="1" spans="6:6">
      <c r="F43409" s="2423"/>
    </row>
    <row r="43410" s="101" customFormat="1" spans="6:6">
      <c r="F43410" s="2423"/>
    </row>
    <row r="43411" s="101" customFormat="1" spans="6:6">
      <c r="F43411" s="2423"/>
    </row>
    <row r="43412" s="101" customFormat="1" spans="6:6">
      <c r="F43412" s="2423"/>
    </row>
    <row r="43413" s="101" customFormat="1" spans="6:6">
      <c r="F43413" s="2423"/>
    </row>
    <row r="43414" s="101" customFormat="1" spans="6:6">
      <c r="F43414" s="2423"/>
    </row>
    <row r="43415" s="101" customFormat="1" spans="6:6">
      <c r="F43415" s="2423"/>
    </row>
    <row r="43416" s="101" customFormat="1" spans="6:6">
      <c r="F43416" s="2423"/>
    </row>
    <row r="43417" s="101" customFormat="1" spans="6:6">
      <c r="F43417" s="2423"/>
    </row>
    <row r="43418" s="101" customFormat="1" spans="6:6">
      <c r="F43418" s="2423"/>
    </row>
    <row r="43419" s="101" customFormat="1" spans="6:6">
      <c r="F43419" s="2423"/>
    </row>
    <row r="43420" s="101" customFormat="1" spans="6:6">
      <c r="F43420" s="2423"/>
    </row>
    <row r="43421" s="101" customFormat="1" spans="6:6">
      <c r="F43421" s="2423"/>
    </row>
    <row r="43422" s="101" customFormat="1" spans="6:6">
      <c r="F43422" s="2423"/>
    </row>
    <row r="43423" s="101" customFormat="1" spans="6:6">
      <c r="F43423" s="2423"/>
    </row>
    <row r="43424" s="101" customFormat="1" spans="6:6">
      <c r="F43424" s="2423"/>
    </row>
    <row r="43425" s="101" customFormat="1" spans="6:6">
      <c r="F43425" s="2423"/>
    </row>
    <row r="43426" s="101" customFormat="1" spans="6:6">
      <c r="F43426" s="2423"/>
    </row>
    <row r="43427" s="101" customFormat="1" spans="6:6">
      <c r="F43427" s="2423"/>
    </row>
    <row r="43428" s="101" customFormat="1" spans="6:6">
      <c r="F43428" s="2423"/>
    </row>
    <row r="43429" s="101" customFormat="1" spans="6:6">
      <c r="F43429" s="2423"/>
    </row>
    <row r="43430" s="101" customFormat="1" spans="6:6">
      <c r="F43430" s="2423"/>
    </row>
    <row r="43431" s="101" customFormat="1" spans="6:6">
      <c r="F43431" s="2423"/>
    </row>
    <row r="43432" s="101" customFormat="1" spans="6:6">
      <c r="F43432" s="2423"/>
    </row>
    <row r="43433" s="101" customFormat="1" spans="6:6">
      <c r="F43433" s="2423"/>
    </row>
    <row r="43434" s="101" customFormat="1" spans="6:6">
      <c r="F43434" s="2423"/>
    </row>
    <row r="43435" s="101" customFormat="1" spans="6:6">
      <c r="F43435" s="2423"/>
    </row>
    <row r="43436" s="101" customFormat="1" spans="6:6">
      <c r="F43436" s="2423"/>
    </row>
    <row r="43437" s="101" customFormat="1" spans="6:6">
      <c r="F43437" s="2423"/>
    </row>
    <row r="43438" s="101" customFormat="1" spans="6:6">
      <c r="F43438" s="2423"/>
    </row>
    <row r="43439" s="101" customFormat="1" spans="6:6">
      <c r="F43439" s="2423"/>
    </row>
    <row r="43440" s="101" customFormat="1" spans="6:6">
      <c r="F43440" s="2423"/>
    </row>
    <row r="43441" s="101" customFormat="1" spans="6:6">
      <c r="F43441" s="2423"/>
    </row>
    <row r="43442" s="101" customFormat="1" spans="6:6">
      <c r="F43442" s="2423"/>
    </row>
    <row r="43443" s="101" customFormat="1" spans="6:6">
      <c r="F43443" s="2423"/>
    </row>
    <row r="43444" s="101" customFormat="1" spans="6:6">
      <c r="F43444" s="2423"/>
    </row>
    <row r="43445" s="101" customFormat="1" spans="6:6">
      <c r="F43445" s="2423"/>
    </row>
    <row r="43446" s="101" customFormat="1" spans="6:6">
      <c r="F43446" s="2423"/>
    </row>
    <row r="43447" s="101" customFormat="1" spans="6:6">
      <c r="F43447" s="2423"/>
    </row>
    <row r="43448" s="101" customFormat="1" spans="6:6">
      <c r="F43448" s="2423"/>
    </row>
    <row r="43449" s="101" customFormat="1" spans="6:6">
      <c r="F43449" s="2423"/>
    </row>
    <row r="43450" s="101" customFormat="1" spans="6:6">
      <c r="F43450" s="2423"/>
    </row>
    <row r="43451" s="101" customFormat="1" spans="6:6">
      <c r="F43451" s="2423"/>
    </row>
    <row r="43452" s="101" customFormat="1" spans="6:6">
      <c r="F43452" s="2423"/>
    </row>
    <row r="43453" s="101" customFormat="1" spans="6:6">
      <c r="F43453" s="2423"/>
    </row>
    <row r="43454" s="101" customFormat="1" spans="6:6">
      <c r="F43454" s="2423"/>
    </row>
    <row r="43455" s="101" customFormat="1" spans="6:6">
      <c r="F43455" s="2423"/>
    </row>
    <row r="43456" s="101" customFormat="1" spans="6:6">
      <c r="F43456" s="2423"/>
    </row>
    <row r="43457" s="101" customFormat="1" spans="6:6">
      <c r="F43457" s="2423"/>
    </row>
    <row r="43458" s="101" customFormat="1" spans="6:6">
      <c r="F43458" s="2423"/>
    </row>
    <row r="43459" s="101" customFormat="1" spans="6:6">
      <c r="F43459" s="2423"/>
    </row>
    <row r="43460" s="101" customFormat="1" spans="6:6">
      <c r="F43460" s="2423"/>
    </row>
    <row r="43461" s="101" customFormat="1" spans="6:6">
      <c r="F43461" s="2423"/>
    </row>
    <row r="43462" s="101" customFormat="1" spans="6:6">
      <c r="F43462" s="2423"/>
    </row>
    <row r="43463" s="101" customFormat="1" spans="6:6">
      <c r="F43463" s="2423"/>
    </row>
    <row r="43464" s="101" customFormat="1" spans="6:6">
      <c r="F43464" s="2423"/>
    </row>
    <row r="43465" s="101" customFormat="1" spans="6:6">
      <c r="F43465" s="2423"/>
    </row>
    <row r="43466" s="101" customFormat="1" spans="6:6">
      <c r="F43466" s="2423"/>
    </row>
    <row r="43467" s="101" customFormat="1" spans="6:6">
      <c r="F43467" s="2423"/>
    </row>
    <row r="43468" s="101" customFormat="1" spans="6:6">
      <c r="F43468" s="2423"/>
    </row>
    <row r="43469" s="101" customFormat="1" spans="6:6">
      <c r="F43469" s="2423"/>
    </row>
    <row r="43470" s="101" customFormat="1" spans="6:6">
      <c r="F43470" s="2423"/>
    </row>
    <row r="43471" s="101" customFormat="1" spans="6:6">
      <c r="F43471" s="2423"/>
    </row>
    <row r="43472" s="101" customFormat="1" spans="6:6">
      <c r="F43472" s="2423"/>
    </row>
    <row r="43473" s="101" customFormat="1" spans="6:6">
      <c r="F43473" s="2423"/>
    </row>
    <row r="43474" s="101" customFormat="1" spans="6:6">
      <c r="F43474" s="2423"/>
    </row>
    <row r="43475" s="101" customFormat="1" spans="6:6">
      <c r="F43475" s="2423"/>
    </row>
    <row r="43476" s="101" customFormat="1" spans="6:6">
      <c r="F43476" s="2423"/>
    </row>
    <row r="43477" s="101" customFormat="1" spans="6:6">
      <c r="F43477" s="2423"/>
    </row>
    <row r="43478" s="101" customFormat="1" spans="6:6">
      <c r="F43478" s="2423"/>
    </row>
    <row r="43479" s="101" customFormat="1" spans="6:6">
      <c r="F43479" s="2423"/>
    </row>
    <row r="43480" s="101" customFormat="1" spans="6:6">
      <c r="F43480" s="2423"/>
    </row>
    <row r="43481" s="101" customFormat="1" spans="6:6">
      <c r="F43481" s="2423"/>
    </row>
    <row r="43482" s="101" customFormat="1" spans="6:6">
      <c r="F43482" s="2423"/>
    </row>
    <row r="43483" s="101" customFormat="1" spans="6:6">
      <c r="F43483" s="2423"/>
    </row>
    <row r="43484" s="101" customFormat="1" spans="6:6">
      <c r="F43484" s="2423"/>
    </row>
    <row r="43485" s="101" customFormat="1" spans="6:6">
      <c r="F43485" s="2423"/>
    </row>
    <row r="43486" s="101" customFormat="1" spans="6:6">
      <c r="F43486" s="2423"/>
    </row>
    <row r="43487" s="101" customFormat="1" spans="6:6">
      <c r="F43487" s="2423"/>
    </row>
    <row r="43488" s="101" customFormat="1" spans="6:6">
      <c r="F43488" s="2423"/>
    </row>
    <row r="43489" s="101" customFormat="1" spans="6:6">
      <c r="F43489" s="2423"/>
    </row>
    <row r="43490" s="101" customFormat="1" spans="6:6">
      <c r="F43490" s="2423"/>
    </row>
    <row r="43491" s="101" customFormat="1" spans="6:6">
      <c r="F43491" s="2423"/>
    </row>
    <row r="43492" s="101" customFormat="1" spans="6:6">
      <c r="F43492" s="2423"/>
    </row>
    <row r="43493" s="101" customFormat="1" spans="6:6">
      <c r="F43493" s="2423"/>
    </row>
    <row r="43494" s="101" customFormat="1" spans="6:6">
      <c r="F43494" s="2423"/>
    </row>
    <row r="43495" s="101" customFormat="1" spans="6:6">
      <c r="F43495" s="2423"/>
    </row>
    <row r="43496" s="101" customFormat="1" spans="6:6">
      <c r="F43496" s="2423"/>
    </row>
    <row r="43497" s="101" customFormat="1" spans="6:6">
      <c r="F43497" s="2423"/>
    </row>
    <row r="43498" s="101" customFormat="1" spans="6:6">
      <c r="F43498" s="2423"/>
    </row>
    <row r="43499" s="101" customFormat="1" spans="6:6">
      <c r="F43499" s="2423"/>
    </row>
    <row r="43500" s="101" customFormat="1" spans="6:6">
      <c r="F43500" s="2423"/>
    </row>
    <row r="43501" s="101" customFormat="1" spans="6:6">
      <c r="F43501" s="2423"/>
    </row>
    <row r="43502" s="101" customFormat="1" spans="6:6">
      <c r="F43502" s="2423"/>
    </row>
    <row r="43503" s="101" customFormat="1" spans="6:6">
      <c r="F43503" s="2423"/>
    </row>
    <row r="43504" s="101" customFormat="1" spans="6:6">
      <c r="F43504" s="2423"/>
    </row>
    <row r="43505" s="101" customFormat="1" spans="6:6">
      <c r="F43505" s="2423"/>
    </row>
    <row r="43506" s="101" customFormat="1" spans="6:6">
      <c r="F43506" s="2423"/>
    </row>
    <row r="43507" s="101" customFormat="1" spans="6:6">
      <c r="F43507" s="2423"/>
    </row>
    <row r="43508" s="101" customFormat="1" spans="6:6">
      <c r="F43508" s="2423"/>
    </row>
    <row r="43509" s="101" customFormat="1" spans="6:6">
      <c r="F43509" s="2423"/>
    </row>
    <row r="43510" s="101" customFormat="1" spans="6:6">
      <c r="F43510" s="2423"/>
    </row>
    <row r="43511" s="101" customFormat="1" spans="6:6">
      <c r="F43511" s="2423"/>
    </row>
    <row r="43512" s="101" customFormat="1" spans="6:6">
      <c r="F43512" s="2423"/>
    </row>
    <row r="43513" s="101" customFormat="1" spans="6:6">
      <c r="F43513" s="2423"/>
    </row>
    <row r="43514" s="101" customFormat="1" spans="6:6">
      <c r="F43514" s="2423"/>
    </row>
    <row r="43515" s="101" customFormat="1" spans="6:6">
      <c r="F43515" s="2423"/>
    </row>
    <row r="43516" s="101" customFormat="1" spans="6:6">
      <c r="F43516" s="2423"/>
    </row>
    <row r="43517" s="101" customFormat="1" spans="6:6">
      <c r="F43517" s="2423"/>
    </row>
    <row r="43518" s="101" customFormat="1" spans="6:6">
      <c r="F43518" s="2423"/>
    </row>
    <row r="43519" s="101" customFormat="1" spans="6:6">
      <c r="F43519" s="2423"/>
    </row>
    <row r="43520" s="101" customFormat="1" spans="6:6">
      <c r="F43520" s="2423"/>
    </row>
    <row r="43521" s="101" customFormat="1" spans="6:6">
      <c r="F43521" s="2423"/>
    </row>
    <row r="43522" s="101" customFormat="1" spans="6:6">
      <c r="F43522" s="2423"/>
    </row>
    <row r="43523" s="101" customFormat="1" spans="6:6">
      <c r="F43523" s="2423"/>
    </row>
    <row r="43524" s="101" customFormat="1" spans="6:6">
      <c r="F43524" s="2423"/>
    </row>
    <row r="43525" s="101" customFormat="1" spans="6:6">
      <c r="F43525" s="2423"/>
    </row>
    <row r="43526" s="101" customFormat="1" spans="6:6">
      <c r="F43526" s="2423"/>
    </row>
    <row r="43527" s="101" customFormat="1" spans="6:6">
      <c r="F43527" s="2423"/>
    </row>
    <row r="43528" s="101" customFormat="1" spans="6:6">
      <c r="F43528" s="2423"/>
    </row>
    <row r="43529" s="101" customFormat="1" spans="6:6">
      <c r="F43529" s="2423"/>
    </row>
    <row r="43530" s="101" customFormat="1" spans="6:6">
      <c r="F43530" s="2423"/>
    </row>
    <row r="43531" s="101" customFormat="1" spans="6:6">
      <c r="F43531" s="2423"/>
    </row>
    <row r="43532" s="101" customFormat="1" spans="6:6">
      <c r="F43532" s="2423"/>
    </row>
    <row r="43533" s="101" customFormat="1" spans="6:6">
      <c r="F43533" s="2423"/>
    </row>
    <row r="43534" s="101" customFormat="1" spans="6:6">
      <c r="F43534" s="2423"/>
    </row>
    <row r="43535" s="101" customFormat="1" spans="6:6">
      <c r="F43535" s="2423"/>
    </row>
    <row r="43536" s="101" customFormat="1" spans="6:6">
      <c r="F43536" s="2423"/>
    </row>
    <row r="43537" s="101" customFormat="1" spans="6:6">
      <c r="F43537" s="2423"/>
    </row>
    <row r="43538" s="101" customFormat="1" spans="6:6">
      <c r="F43538" s="2423"/>
    </row>
    <row r="43539" s="101" customFormat="1" spans="6:6">
      <c r="F43539" s="2423"/>
    </row>
    <row r="43540" s="101" customFormat="1" spans="6:6">
      <c r="F43540" s="2423"/>
    </row>
    <row r="43541" s="101" customFormat="1" spans="6:6">
      <c r="F43541" s="2423"/>
    </row>
    <row r="43542" s="101" customFormat="1" spans="6:6">
      <c r="F43542" s="2423"/>
    </row>
    <row r="43543" s="101" customFormat="1" spans="6:6">
      <c r="F43543" s="2423"/>
    </row>
    <row r="43544" s="101" customFormat="1" spans="6:6">
      <c r="F43544" s="2423"/>
    </row>
    <row r="43545" s="101" customFormat="1" spans="6:6">
      <c r="F43545" s="2423"/>
    </row>
    <row r="43546" s="101" customFormat="1" spans="6:6">
      <c r="F43546" s="2423"/>
    </row>
    <row r="43547" s="101" customFormat="1" spans="6:6">
      <c r="F43547" s="2423"/>
    </row>
    <row r="43548" s="101" customFormat="1" spans="6:6">
      <c r="F43548" s="2423"/>
    </row>
    <row r="43549" s="101" customFormat="1" spans="6:6">
      <c r="F43549" s="2423"/>
    </row>
    <row r="43550" s="101" customFormat="1" spans="6:6">
      <c r="F43550" s="2423"/>
    </row>
    <row r="43551" s="101" customFormat="1" spans="6:6">
      <c r="F43551" s="2423"/>
    </row>
    <row r="43552" s="101" customFormat="1" spans="6:6">
      <c r="F43552" s="2423"/>
    </row>
    <row r="43553" s="101" customFormat="1" spans="6:6">
      <c r="F43553" s="2423"/>
    </row>
    <row r="43554" s="101" customFormat="1" spans="6:6">
      <c r="F43554" s="2423"/>
    </row>
    <row r="43555" s="101" customFormat="1" spans="6:6">
      <c r="F43555" s="2423"/>
    </row>
    <row r="43556" s="101" customFormat="1" spans="6:6">
      <c r="F43556" s="2423"/>
    </row>
    <row r="43557" s="101" customFormat="1" spans="6:6">
      <c r="F43557" s="2423"/>
    </row>
    <row r="43558" s="101" customFormat="1" spans="6:6">
      <c r="F43558" s="2423"/>
    </row>
    <row r="43559" s="101" customFormat="1" spans="6:6">
      <c r="F43559" s="2423"/>
    </row>
    <row r="43560" s="101" customFormat="1" spans="6:6">
      <c r="F43560" s="2423"/>
    </row>
    <row r="43561" s="101" customFormat="1" spans="6:6">
      <c r="F43561" s="2423"/>
    </row>
    <row r="43562" s="101" customFormat="1" spans="6:6">
      <c r="F43562" s="2423"/>
    </row>
    <row r="43563" s="101" customFormat="1" spans="6:6">
      <c r="F43563" s="2423"/>
    </row>
    <row r="43564" s="101" customFormat="1" spans="6:6">
      <c r="F43564" s="2423"/>
    </row>
    <row r="43565" s="101" customFormat="1" spans="6:6">
      <c r="F43565" s="2423"/>
    </row>
    <row r="43566" s="101" customFormat="1" spans="6:6">
      <c r="F43566" s="2423"/>
    </row>
    <row r="43567" s="101" customFormat="1" spans="6:6">
      <c r="F43567" s="2423"/>
    </row>
    <row r="43568" s="101" customFormat="1" spans="6:6">
      <c r="F43568" s="2423"/>
    </row>
    <row r="43569" s="101" customFormat="1" spans="6:6">
      <c r="F43569" s="2423"/>
    </row>
    <row r="43570" s="101" customFormat="1" spans="6:6">
      <c r="F43570" s="2423"/>
    </row>
    <row r="43571" s="101" customFormat="1" spans="6:6">
      <c r="F43571" s="2423"/>
    </row>
    <row r="43572" s="101" customFormat="1" spans="6:6">
      <c r="F43572" s="2423"/>
    </row>
    <row r="43573" s="101" customFormat="1" spans="6:6">
      <c r="F43573" s="2423"/>
    </row>
    <row r="43574" s="101" customFormat="1" spans="6:6">
      <c r="F43574" s="2423"/>
    </row>
    <row r="43575" s="101" customFormat="1" spans="6:6">
      <c r="F43575" s="2423"/>
    </row>
    <row r="43576" s="101" customFormat="1" spans="6:6">
      <c r="F43576" s="2423"/>
    </row>
    <row r="43577" s="101" customFormat="1" spans="6:6">
      <c r="F43577" s="2423"/>
    </row>
    <row r="43578" s="101" customFormat="1" spans="6:6">
      <c r="F43578" s="2423"/>
    </row>
    <row r="43579" s="101" customFormat="1" spans="6:6">
      <c r="F43579" s="2423"/>
    </row>
    <row r="43580" s="101" customFormat="1" spans="6:6">
      <c r="F43580" s="2423"/>
    </row>
    <row r="43581" s="101" customFormat="1" spans="6:6">
      <c r="F43581" s="2423"/>
    </row>
    <row r="43582" s="101" customFormat="1" spans="6:6">
      <c r="F43582" s="2423"/>
    </row>
    <row r="43583" s="101" customFormat="1" spans="6:6">
      <c r="F43583" s="2423"/>
    </row>
    <row r="43584" s="101" customFormat="1" spans="6:6">
      <c r="F43584" s="2423"/>
    </row>
    <row r="43585" s="101" customFormat="1" spans="6:6">
      <c r="F43585" s="2423"/>
    </row>
    <row r="43586" s="101" customFormat="1" spans="6:6">
      <c r="F43586" s="2423"/>
    </row>
    <row r="43587" s="101" customFormat="1" spans="6:6">
      <c r="F43587" s="2423"/>
    </row>
    <row r="43588" s="101" customFormat="1" spans="6:6">
      <c r="F43588" s="2423"/>
    </row>
    <row r="43589" s="101" customFormat="1" spans="6:6">
      <c r="F43589" s="2423"/>
    </row>
    <row r="43590" s="101" customFormat="1" spans="6:6">
      <c r="F43590" s="2423"/>
    </row>
    <row r="43591" s="101" customFormat="1" spans="6:6">
      <c r="F43591" s="2423"/>
    </row>
    <row r="43592" s="101" customFormat="1" spans="6:6">
      <c r="F43592" s="2423"/>
    </row>
    <row r="43593" s="101" customFormat="1" spans="6:6">
      <c r="F43593" s="2423"/>
    </row>
    <row r="43594" s="101" customFormat="1" spans="6:6">
      <c r="F43594" s="2423"/>
    </row>
    <row r="43595" s="101" customFormat="1" spans="6:6">
      <c r="F43595" s="2423"/>
    </row>
    <row r="43596" s="101" customFormat="1" spans="6:6">
      <c r="F43596" s="2423"/>
    </row>
    <row r="43597" s="101" customFormat="1" spans="6:6">
      <c r="F43597" s="2423"/>
    </row>
    <row r="43598" s="101" customFormat="1" spans="6:6">
      <c r="F43598" s="2423"/>
    </row>
    <row r="43599" s="101" customFormat="1" spans="6:6">
      <c r="F43599" s="2423"/>
    </row>
    <row r="43600" s="101" customFormat="1" spans="6:6">
      <c r="F43600" s="2423"/>
    </row>
    <row r="43601" s="101" customFormat="1" spans="6:6">
      <c r="F43601" s="2423"/>
    </row>
    <row r="43602" s="101" customFormat="1" spans="6:6">
      <c r="F43602" s="2423"/>
    </row>
    <row r="43603" s="101" customFormat="1" spans="6:6">
      <c r="F43603" s="2423"/>
    </row>
    <row r="43604" s="101" customFormat="1" spans="6:6">
      <c r="F43604" s="2423"/>
    </row>
    <row r="43605" s="101" customFormat="1" spans="6:6">
      <c r="F43605" s="2423"/>
    </row>
    <row r="43606" s="101" customFormat="1" spans="6:6">
      <c r="F43606" s="2423"/>
    </row>
    <row r="43607" s="101" customFormat="1" spans="6:6">
      <c r="F43607" s="2423"/>
    </row>
    <row r="43608" s="101" customFormat="1" spans="6:6">
      <c r="F43608" s="2423"/>
    </row>
    <row r="43609" s="101" customFormat="1" spans="6:6">
      <c r="F43609" s="2423"/>
    </row>
    <row r="43610" s="101" customFormat="1" spans="6:6">
      <c r="F43610" s="2423"/>
    </row>
    <row r="43611" s="101" customFormat="1" spans="6:6">
      <c r="F43611" s="2423"/>
    </row>
    <row r="43612" s="101" customFormat="1" spans="6:6">
      <c r="F43612" s="2423"/>
    </row>
    <row r="43613" s="101" customFormat="1" spans="6:6">
      <c r="F43613" s="2423"/>
    </row>
    <row r="43614" s="101" customFormat="1" spans="6:6">
      <c r="F43614" s="2423"/>
    </row>
    <row r="43615" s="101" customFormat="1" spans="6:6">
      <c r="F43615" s="2423"/>
    </row>
    <row r="43616" s="101" customFormat="1" spans="6:6">
      <c r="F43616" s="2423"/>
    </row>
    <row r="43617" s="101" customFormat="1" spans="6:6">
      <c r="F43617" s="2423"/>
    </row>
    <row r="43618" s="101" customFormat="1" spans="6:6">
      <c r="F43618" s="2423"/>
    </row>
    <row r="43619" s="101" customFormat="1" spans="6:6">
      <c r="F43619" s="2423"/>
    </row>
    <row r="43620" s="101" customFormat="1" spans="6:6">
      <c r="F43620" s="2423"/>
    </row>
    <row r="43621" s="101" customFormat="1" spans="6:6">
      <c r="F43621" s="2423"/>
    </row>
    <row r="43622" s="101" customFormat="1" spans="6:6">
      <c r="F43622" s="2423"/>
    </row>
    <row r="43623" s="101" customFormat="1" spans="6:6">
      <c r="F43623" s="2423"/>
    </row>
    <row r="43624" s="101" customFormat="1" spans="6:6">
      <c r="F43624" s="2423"/>
    </row>
    <row r="43625" s="101" customFormat="1" spans="6:6">
      <c r="F43625" s="2423"/>
    </row>
    <row r="43626" s="101" customFormat="1" spans="6:6">
      <c r="F43626" s="2423"/>
    </row>
    <row r="43627" s="101" customFormat="1" spans="6:6">
      <c r="F43627" s="2423"/>
    </row>
    <row r="43628" s="101" customFormat="1" spans="6:6">
      <c r="F43628" s="2423"/>
    </row>
    <row r="43629" s="101" customFormat="1" spans="6:6">
      <c r="F43629" s="2423"/>
    </row>
    <row r="43630" s="101" customFormat="1" spans="6:6">
      <c r="F43630" s="2423"/>
    </row>
    <row r="43631" s="101" customFormat="1" spans="6:6">
      <c r="F43631" s="2423"/>
    </row>
    <row r="43632" s="101" customFormat="1" spans="6:6">
      <c r="F43632" s="2423"/>
    </row>
    <row r="43633" s="101" customFormat="1" spans="6:6">
      <c r="F43633" s="2423"/>
    </row>
    <row r="43634" s="101" customFormat="1" spans="6:6">
      <c r="F43634" s="2423"/>
    </row>
    <row r="43635" s="101" customFormat="1" spans="6:6">
      <c r="F43635" s="2423"/>
    </row>
    <row r="43636" s="101" customFormat="1" spans="6:6">
      <c r="F43636" s="2423"/>
    </row>
    <row r="43637" s="101" customFormat="1" spans="6:6">
      <c r="F43637" s="2423"/>
    </row>
    <row r="43638" s="101" customFormat="1" spans="6:6">
      <c r="F43638" s="2423"/>
    </row>
    <row r="43639" s="101" customFormat="1" spans="6:6">
      <c r="F43639" s="2423"/>
    </row>
    <row r="43640" s="101" customFormat="1" spans="6:6">
      <c r="F43640" s="2423"/>
    </row>
    <row r="43641" s="101" customFormat="1" spans="6:6">
      <c r="F43641" s="2423"/>
    </row>
    <row r="43642" s="101" customFormat="1" spans="6:6">
      <c r="F43642" s="2423"/>
    </row>
    <row r="43643" s="101" customFormat="1" spans="6:6">
      <c r="F43643" s="2423"/>
    </row>
    <row r="43644" s="101" customFormat="1" spans="6:6">
      <c r="F43644" s="2423"/>
    </row>
    <row r="43645" s="101" customFormat="1" spans="6:6">
      <c r="F43645" s="2423"/>
    </row>
    <row r="43646" s="101" customFormat="1" spans="6:6">
      <c r="F43646" s="2423"/>
    </row>
    <row r="43647" s="101" customFormat="1" spans="6:6">
      <c r="F43647" s="2423"/>
    </row>
    <row r="43648" s="101" customFormat="1" spans="6:6">
      <c r="F43648" s="2423"/>
    </row>
    <row r="43649" s="101" customFormat="1" spans="6:6">
      <c r="F43649" s="2423"/>
    </row>
    <row r="43650" s="101" customFormat="1" spans="6:6">
      <c r="F43650" s="2423"/>
    </row>
    <row r="43651" s="101" customFormat="1" spans="6:6">
      <c r="F43651" s="2423"/>
    </row>
    <row r="43652" s="101" customFormat="1" spans="6:6">
      <c r="F43652" s="2423"/>
    </row>
    <row r="43653" s="101" customFormat="1" spans="6:6">
      <c r="F43653" s="2423"/>
    </row>
    <row r="43654" s="101" customFormat="1" spans="6:6">
      <c r="F43654" s="2423"/>
    </row>
    <row r="43655" s="101" customFormat="1" spans="6:6">
      <c r="F43655" s="2423"/>
    </row>
    <row r="43656" s="101" customFormat="1" spans="6:6">
      <c r="F43656" s="2423"/>
    </row>
    <row r="43657" s="101" customFormat="1" spans="6:6">
      <c r="F43657" s="2423"/>
    </row>
    <row r="43658" s="101" customFormat="1" spans="6:6">
      <c r="F43658" s="2423"/>
    </row>
    <row r="43659" s="101" customFormat="1" spans="6:6">
      <c r="F43659" s="2423"/>
    </row>
    <row r="43660" s="101" customFormat="1" spans="6:6">
      <c r="F43660" s="2423"/>
    </row>
    <row r="43661" s="101" customFormat="1" spans="6:6">
      <c r="F43661" s="2423"/>
    </row>
    <row r="43662" s="101" customFormat="1" spans="6:6">
      <c r="F43662" s="2423"/>
    </row>
    <row r="43663" s="101" customFormat="1" spans="6:6">
      <c r="F43663" s="2423"/>
    </row>
    <row r="43664" s="101" customFormat="1" spans="6:6">
      <c r="F43664" s="2423"/>
    </row>
    <row r="43665" s="101" customFormat="1" spans="6:6">
      <c r="F43665" s="2423"/>
    </row>
    <row r="43666" s="101" customFormat="1" spans="6:6">
      <c r="F43666" s="2423"/>
    </row>
    <row r="43667" s="101" customFormat="1" spans="6:6">
      <c r="F43667" s="2423"/>
    </row>
    <row r="43668" s="101" customFormat="1" spans="6:6">
      <c r="F43668" s="2423"/>
    </row>
    <row r="43669" s="101" customFormat="1" spans="6:6">
      <c r="F43669" s="2423"/>
    </row>
    <row r="43670" s="101" customFormat="1" spans="6:6">
      <c r="F43670" s="2423"/>
    </row>
    <row r="43671" s="101" customFormat="1" spans="6:6">
      <c r="F43671" s="2423"/>
    </row>
    <row r="43672" s="101" customFormat="1" spans="6:6">
      <c r="F43672" s="2423"/>
    </row>
    <row r="43673" s="101" customFormat="1" spans="6:6">
      <c r="F43673" s="2423"/>
    </row>
    <row r="43674" s="101" customFormat="1" spans="6:6">
      <c r="F43674" s="2423"/>
    </row>
    <row r="43675" s="101" customFormat="1" spans="6:6">
      <c r="F43675" s="2423"/>
    </row>
    <row r="43676" s="101" customFormat="1" spans="6:6">
      <c r="F43676" s="2423"/>
    </row>
    <row r="43677" s="101" customFormat="1" spans="6:6">
      <c r="F43677" s="2423"/>
    </row>
    <row r="43678" s="101" customFormat="1" spans="6:6">
      <c r="F43678" s="2423"/>
    </row>
    <row r="43679" s="101" customFormat="1" spans="6:6">
      <c r="F43679" s="2423"/>
    </row>
    <row r="43680" s="101" customFormat="1" spans="6:6">
      <c r="F43680" s="2423"/>
    </row>
    <row r="43681" s="101" customFormat="1" spans="6:6">
      <c r="F43681" s="2423"/>
    </row>
    <row r="43682" s="101" customFormat="1" spans="6:6">
      <c r="F43682" s="2423"/>
    </row>
    <row r="43683" s="101" customFormat="1" spans="6:6">
      <c r="F43683" s="2423"/>
    </row>
    <row r="43684" s="101" customFormat="1" spans="6:6">
      <c r="F43684" s="2423"/>
    </row>
    <row r="43685" s="101" customFormat="1" spans="6:6">
      <c r="F43685" s="2423"/>
    </row>
    <row r="43686" s="101" customFormat="1" spans="6:6">
      <c r="F43686" s="2423"/>
    </row>
    <row r="43687" s="101" customFormat="1" spans="6:6">
      <c r="F43687" s="2423"/>
    </row>
    <row r="43688" s="101" customFormat="1" spans="6:6">
      <c r="F43688" s="2423"/>
    </row>
    <row r="43689" s="101" customFormat="1" spans="6:6">
      <c r="F43689" s="2423"/>
    </row>
    <row r="43690" s="101" customFormat="1" spans="6:6">
      <c r="F43690" s="2423"/>
    </row>
    <row r="43691" s="101" customFormat="1" spans="6:6">
      <c r="F43691" s="2423"/>
    </row>
    <row r="43692" s="101" customFormat="1" spans="6:6">
      <c r="F43692" s="2423"/>
    </row>
    <row r="43693" s="101" customFormat="1" spans="6:6">
      <c r="F43693" s="2423"/>
    </row>
    <row r="43694" s="101" customFormat="1" spans="6:6">
      <c r="F43694" s="2423"/>
    </row>
    <row r="43695" s="101" customFormat="1" spans="6:6">
      <c r="F43695" s="2423"/>
    </row>
    <row r="43696" s="101" customFormat="1" spans="6:6">
      <c r="F43696" s="2423"/>
    </row>
    <row r="43697" s="101" customFormat="1" spans="6:6">
      <c r="F43697" s="2423"/>
    </row>
    <row r="43698" s="101" customFormat="1" spans="6:6">
      <c r="F43698" s="2423"/>
    </row>
    <row r="43699" s="101" customFormat="1" spans="6:6">
      <c r="F43699" s="2423"/>
    </row>
    <row r="43700" s="101" customFormat="1" spans="6:6">
      <c r="F43700" s="2423"/>
    </row>
    <row r="43701" s="101" customFormat="1" spans="6:6">
      <c r="F43701" s="2423"/>
    </row>
    <row r="43702" s="101" customFormat="1" spans="6:6">
      <c r="F43702" s="2423"/>
    </row>
    <row r="43703" s="101" customFormat="1" spans="6:6">
      <c r="F43703" s="2423"/>
    </row>
    <row r="43704" s="101" customFormat="1" spans="6:6">
      <c r="F43704" s="2423"/>
    </row>
    <row r="43705" s="101" customFormat="1" spans="6:6">
      <c r="F43705" s="2423"/>
    </row>
    <row r="43706" s="101" customFormat="1" spans="6:6">
      <c r="F43706" s="2423"/>
    </row>
    <row r="43707" s="101" customFormat="1" spans="6:6">
      <c r="F43707" s="2423"/>
    </row>
    <row r="43708" s="101" customFormat="1" spans="6:6">
      <c r="F43708" s="2423"/>
    </row>
    <row r="43709" s="101" customFormat="1" spans="6:6">
      <c r="F43709" s="2423"/>
    </row>
    <row r="43710" s="101" customFormat="1" spans="6:6">
      <c r="F43710" s="2423"/>
    </row>
    <row r="43711" s="101" customFormat="1" spans="6:6">
      <c r="F43711" s="2423"/>
    </row>
    <row r="43712" s="101" customFormat="1" spans="6:6">
      <c r="F43712" s="2423"/>
    </row>
    <row r="43713" s="101" customFormat="1" spans="6:6">
      <c r="F43713" s="2423"/>
    </row>
    <row r="43714" s="101" customFormat="1" spans="6:6">
      <c r="F43714" s="2423"/>
    </row>
    <row r="43715" s="101" customFormat="1" spans="6:6">
      <c r="F43715" s="2423"/>
    </row>
    <row r="43716" s="101" customFormat="1" spans="6:6">
      <c r="F43716" s="2423"/>
    </row>
    <row r="43717" s="101" customFormat="1" spans="6:6">
      <c r="F43717" s="2423"/>
    </row>
    <row r="43718" s="101" customFormat="1" spans="6:6">
      <c r="F43718" s="2423"/>
    </row>
    <row r="43719" s="101" customFormat="1" spans="6:6">
      <c r="F43719" s="2423"/>
    </row>
    <row r="43720" s="101" customFormat="1" spans="6:6">
      <c r="F43720" s="2423"/>
    </row>
    <row r="43721" s="101" customFormat="1" spans="6:6">
      <c r="F43721" s="2423"/>
    </row>
    <row r="43722" s="101" customFormat="1" spans="6:6">
      <c r="F43722" s="2423"/>
    </row>
    <row r="43723" s="101" customFormat="1" spans="6:6">
      <c r="F43723" s="2423"/>
    </row>
    <row r="43724" s="101" customFormat="1" spans="6:6">
      <c r="F43724" s="2423"/>
    </row>
    <row r="43725" s="101" customFormat="1" spans="6:6">
      <c r="F43725" s="2423"/>
    </row>
    <row r="43726" s="101" customFormat="1" spans="6:6">
      <c r="F43726" s="2423"/>
    </row>
    <row r="43727" s="101" customFormat="1" spans="6:6">
      <c r="F43727" s="2423"/>
    </row>
    <row r="43728" s="101" customFormat="1" spans="6:6">
      <c r="F43728" s="2423"/>
    </row>
    <row r="43729" s="101" customFormat="1" spans="6:6">
      <c r="F43729" s="2423"/>
    </row>
    <row r="43730" s="101" customFormat="1" spans="6:6">
      <c r="F43730" s="2423"/>
    </row>
    <row r="43731" s="101" customFormat="1" spans="6:6">
      <c r="F43731" s="2423"/>
    </row>
    <row r="43732" s="101" customFormat="1" spans="6:6">
      <c r="F43732" s="2423"/>
    </row>
    <row r="43733" s="101" customFormat="1" spans="6:6">
      <c r="F43733" s="2423"/>
    </row>
    <row r="43734" s="101" customFormat="1" spans="6:6">
      <c r="F43734" s="2423"/>
    </row>
    <row r="43735" s="101" customFormat="1" spans="6:6">
      <c r="F43735" s="2423"/>
    </row>
    <row r="43736" s="101" customFormat="1" spans="6:6">
      <c r="F43736" s="2423"/>
    </row>
    <row r="43737" s="101" customFormat="1" spans="6:6">
      <c r="F43737" s="2423"/>
    </row>
    <row r="43738" s="101" customFormat="1" spans="6:6">
      <c r="F43738" s="2423"/>
    </row>
    <row r="43739" s="101" customFormat="1" spans="6:6">
      <c r="F43739" s="2423"/>
    </row>
    <row r="43740" s="101" customFormat="1" spans="6:6">
      <c r="F43740" s="2423"/>
    </row>
    <row r="43741" s="101" customFormat="1" spans="6:6">
      <c r="F43741" s="2423"/>
    </row>
    <row r="43742" s="101" customFormat="1" spans="6:6">
      <c r="F43742" s="2423"/>
    </row>
    <row r="43743" s="101" customFormat="1" spans="6:6">
      <c r="F43743" s="2423"/>
    </row>
    <row r="43744" s="101" customFormat="1" spans="6:6">
      <c r="F43744" s="2423"/>
    </row>
    <row r="43745" s="101" customFormat="1" spans="6:6">
      <c r="F43745" s="2423"/>
    </row>
    <row r="43746" s="101" customFormat="1" spans="6:6">
      <c r="F43746" s="2423"/>
    </row>
    <row r="43747" s="101" customFormat="1" spans="6:6">
      <c r="F43747" s="2423"/>
    </row>
    <row r="43748" s="101" customFormat="1" spans="6:6">
      <c r="F43748" s="2423"/>
    </row>
    <row r="43749" s="101" customFormat="1" spans="6:6">
      <c r="F43749" s="2423"/>
    </row>
    <row r="43750" s="101" customFormat="1" spans="6:6">
      <c r="F43750" s="2423"/>
    </row>
    <row r="43751" s="101" customFormat="1" spans="6:6">
      <c r="F43751" s="2423"/>
    </row>
    <row r="43752" s="101" customFormat="1" spans="6:6">
      <c r="F43752" s="2423"/>
    </row>
    <row r="43753" s="101" customFormat="1" spans="6:6">
      <c r="F43753" s="2423"/>
    </row>
    <row r="43754" s="101" customFormat="1" spans="6:6">
      <c r="F43754" s="2423"/>
    </row>
    <row r="43755" s="101" customFormat="1" spans="6:6">
      <c r="F43755" s="2423"/>
    </row>
    <row r="43756" s="101" customFormat="1" spans="6:6">
      <c r="F43756" s="2423"/>
    </row>
    <row r="43757" s="101" customFormat="1" spans="6:6">
      <c r="F43757" s="2423"/>
    </row>
    <row r="43758" s="101" customFormat="1" spans="6:6">
      <c r="F43758" s="2423"/>
    </row>
    <row r="43759" s="101" customFormat="1" spans="6:6">
      <c r="F43759" s="2423"/>
    </row>
    <row r="43760" s="101" customFormat="1" spans="6:6">
      <c r="F43760" s="2423"/>
    </row>
    <row r="43761" s="101" customFormat="1" spans="6:6">
      <c r="F43761" s="2423"/>
    </row>
    <row r="43762" s="101" customFormat="1" spans="6:6">
      <c r="F43762" s="2423"/>
    </row>
    <row r="43763" s="101" customFormat="1" spans="6:6">
      <c r="F43763" s="2423"/>
    </row>
    <row r="43764" s="101" customFormat="1" spans="6:6">
      <c r="F43764" s="2423"/>
    </row>
    <row r="43765" s="101" customFormat="1" spans="6:6">
      <c r="F43765" s="2423"/>
    </row>
    <row r="43766" s="101" customFormat="1" spans="6:6">
      <c r="F43766" s="2423"/>
    </row>
    <row r="43767" s="101" customFormat="1" spans="6:6">
      <c r="F43767" s="2423"/>
    </row>
    <row r="43768" s="101" customFormat="1" spans="6:6">
      <c r="F43768" s="2423"/>
    </row>
    <row r="43769" s="101" customFormat="1" spans="6:6">
      <c r="F43769" s="2423"/>
    </row>
    <row r="43770" s="101" customFormat="1" spans="6:6">
      <c r="F43770" s="2423"/>
    </row>
    <row r="43771" s="101" customFormat="1" spans="6:6">
      <c r="F43771" s="2423"/>
    </row>
    <row r="43772" s="101" customFormat="1" spans="6:6">
      <c r="F43772" s="2423"/>
    </row>
    <row r="43773" s="101" customFormat="1" spans="6:6">
      <c r="F43773" s="2423"/>
    </row>
    <row r="43774" s="101" customFormat="1" spans="6:6">
      <c r="F43774" s="2423"/>
    </row>
    <row r="43775" s="101" customFormat="1" spans="6:6">
      <c r="F43775" s="2423"/>
    </row>
    <row r="43776" s="101" customFormat="1" spans="6:6">
      <c r="F43776" s="2423"/>
    </row>
    <row r="43777" s="101" customFormat="1" spans="6:6">
      <c r="F43777" s="2423"/>
    </row>
    <row r="43778" s="101" customFormat="1" spans="6:6">
      <c r="F43778" s="2423"/>
    </row>
    <row r="43779" s="101" customFormat="1" spans="6:6">
      <c r="F43779" s="2423"/>
    </row>
    <row r="43780" s="101" customFormat="1" spans="6:6">
      <c r="F43780" s="2423"/>
    </row>
    <row r="43781" s="101" customFormat="1" spans="6:6">
      <c r="F43781" s="2423"/>
    </row>
    <row r="43782" s="101" customFormat="1" spans="6:6">
      <c r="F43782" s="2423"/>
    </row>
    <row r="43783" s="101" customFormat="1" spans="6:6">
      <c r="F43783" s="2423"/>
    </row>
    <row r="43784" s="101" customFormat="1" spans="6:6">
      <c r="F43784" s="2423"/>
    </row>
    <row r="43785" s="101" customFormat="1" spans="6:6">
      <c r="F43785" s="2423"/>
    </row>
    <row r="43786" s="101" customFormat="1" spans="6:6">
      <c r="F43786" s="2423"/>
    </row>
    <row r="43787" s="101" customFormat="1" spans="6:6">
      <c r="F43787" s="2423"/>
    </row>
    <row r="43788" s="101" customFormat="1" spans="6:6">
      <c r="F43788" s="2423"/>
    </row>
    <row r="43789" s="101" customFormat="1" spans="6:6">
      <c r="F43789" s="2423"/>
    </row>
    <row r="43790" s="101" customFormat="1" spans="6:6">
      <c r="F43790" s="2423"/>
    </row>
    <row r="43791" s="101" customFormat="1" spans="6:6">
      <c r="F43791" s="2423"/>
    </row>
    <row r="43792" s="101" customFormat="1" spans="6:6">
      <c r="F43792" s="2423"/>
    </row>
    <row r="43793" s="101" customFormat="1" spans="6:6">
      <c r="F43793" s="2423"/>
    </row>
    <row r="43794" s="101" customFormat="1" spans="6:6">
      <c r="F43794" s="2423"/>
    </row>
    <row r="43795" s="101" customFormat="1" spans="6:6">
      <c r="F43795" s="2423"/>
    </row>
    <row r="43796" s="101" customFormat="1" spans="6:6">
      <c r="F43796" s="2423"/>
    </row>
    <row r="43797" s="101" customFormat="1" spans="6:6">
      <c r="F43797" s="2423"/>
    </row>
    <row r="43798" s="101" customFormat="1" spans="6:6">
      <c r="F43798" s="2423"/>
    </row>
    <row r="43799" s="101" customFormat="1" spans="6:6">
      <c r="F43799" s="2423"/>
    </row>
    <row r="43800" s="101" customFormat="1" spans="6:6">
      <c r="F43800" s="2423"/>
    </row>
    <row r="43801" s="101" customFormat="1" spans="6:6">
      <c r="F43801" s="2423"/>
    </row>
    <row r="43802" s="101" customFormat="1" spans="6:6">
      <c r="F43802" s="2423"/>
    </row>
    <row r="43803" s="101" customFormat="1" spans="6:6">
      <c r="F43803" s="2423"/>
    </row>
    <row r="43804" s="101" customFormat="1" spans="6:6">
      <c r="F43804" s="2423"/>
    </row>
    <row r="43805" s="101" customFormat="1" spans="6:6">
      <c r="F43805" s="2423"/>
    </row>
    <row r="43806" s="101" customFormat="1" spans="6:6">
      <c r="F43806" s="2423"/>
    </row>
    <row r="43807" s="101" customFormat="1" spans="6:6">
      <c r="F43807" s="2423"/>
    </row>
    <row r="43808" s="101" customFormat="1" spans="6:6">
      <c r="F43808" s="2423"/>
    </row>
    <row r="43809" s="101" customFormat="1" spans="6:6">
      <c r="F43809" s="2423"/>
    </row>
    <row r="43810" s="101" customFormat="1" spans="6:6">
      <c r="F43810" s="2423"/>
    </row>
    <row r="43811" s="101" customFormat="1" spans="6:6">
      <c r="F43811" s="2423"/>
    </row>
    <row r="43812" s="101" customFormat="1" spans="6:6">
      <c r="F43812" s="2423"/>
    </row>
    <row r="43813" s="101" customFormat="1" spans="6:6">
      <c r="F43813" s="2423"/>
    </row>
    <row r="43814" s="101" customFormat="1" spans="6:6">
      <c r="F43814" s="2423"/>
    </row>
    <row r="43815" s="101" customFormat="1" spans="6:6">
      <c r="F43815" s="2423"/>
    </row>
    <row r="43816" s="101" customFormat="1" spans="6:6">
      <c r="F43816" s="2423"/>
    </row>
    <row r="43817" s="101" customFormat="1" spans="6:6">
      <c r="F43817" s="2423"/>
    </row>
    <row r="43818" s="101" customFormat="1" spans="6:6">
      <c r="F43818" s="2423"/>
    </row>
    <row r="43819" s="101" customFormat="1" spans="6:6">
      <c r="F43819" s="2423"/>
    </row>
    <row r="43820" s="101" customFormat="1" spans="6:6">
      <c r="F43820" s="2423"/>
    </row>
    <row r="43821" s="101" customFormat="1" spans="6:6">
      <c r="F43821" s="2423"/>
    </row>
    <row r="43822" s="101" customFormat="1" spans="6:6">
      <c r="F43822" s="2423"/>
    </row>
    <row r="43823" s="101" customFormat="1" spans="6:6">
      <c r="F43823" s="2423"/>
    </row>
    <row r="43824" s="101" customFormat="1" spans="6:6">
      <c r="F43824" s="2423"/>
    </row>
    <row r="43825" s="101" customFormat="1" spans="6:6">
      <c r="F43825" s="2423"/>
    </row>
    <row r="43826" s="101" customFormat="1" spans="6:6">
      <c r="F43826" s="2423"/>
    </row>
    <row r="43827" s="101" customFormat="1" spans="6:6">
      <c r="F43827" s="2423"/>
    </row>
    <row r="43828" s="101" customFormat="1" spans="6:6">
      <c r="F43828" s="2423"/>
    </row>
    <row r="43829" s="101" customFormat="1" spans="6:6">
      <c r="F43829" s="2423"/>
    </row>
    <row r="43830" s="101" customFormat="1" spans="6:6">
      <c r="F43830" s="2423"/>
    </row>
    <row r="43831" s="101" customFormat="1" spans="6:6">
      <c r="F43831" s="2423"/>
    </row>
    <row r="43832" s="101" customFormat="1" spans="6:6">
      <c r="F43832" s="2423"/>
    </row>
    <row r="43833" s="101" customFormat="1" spans="6:6">
      <c r="F43833" s="2423"/>
    </row>
    <row r="43834" s="101" customFormat="1" spans="6:6">
      <c r="F43834" s="2423"/>
    </row>
    <row r="43835" s="101" customFormat="1" spans="6:6">
      <c r="F43835" s="2423"/>
    </row>
    <row r="43836" s="101" customFormat="1" spans="6:6">
      <c r="F43836" s="2423"/>
    </row>
    <row r="43837" s="101" customFormat="1" spans="6:6">
      <c r="F43837" s="2423"/>
    </row>
    <row r="43838" s="101" customFormat="1" spans="6:6">
      <c r="F43838" s="2423"/>
    </row>
    <row r="43839" s="101" customFormat="1" spans="6:6">
      <c r="F43839" s="2423"/>
    </row>
    <row r="43840" s="101" customFormat="1" spans="6:6">
      <c r="F43840" s="2423"/>
    </row>
    <row r="43841" s="101" customFormat="1" spans="6:6">
      <c r="F43841" s="2423"/>
    </row>
    <row r="43842" s="101" customFormat="1" spans="6:6">
      <c r="F43842" s="2423"/>
    </row>
    <row r="43843" s="101" customFormat="1" spans="6:6">
      <c r="F43843" s="2423"/>
    </row>
    <row r="43844" s="101" customFormat="1" spans="6:6">
      <c r="F43844" s="2423"/>
    </row>
    <row r="43845" s="101" customFormat="1" spans="6:6">
      <c r="F43845" s="2423"/>
    </row>
    <row r="43846" s="101" customFormat="1" spans="6:6">
      <c r="F43846" s="2423"/>
    </row>
    <row r="43847" s="101" customFormat="1" spans="6:6">
      <c r="F43847" s="2423"/>
    </row>
    <row r="43848" s="101" customFormat="1" spans="6:6">
      <c r="F43848" s="2423"/>
    </row>
    <row r="43849" s="101" customFormat="1" spans="6:6">
      <c r="F43849" s="2423"/>
    </row>
    <row r="43850" s="101" customFormat="1" spans="6:6">
      <c r="F43850" s="2423"/>
    </row>
    <row r="43851" s="101" customFormat="1" spans="6:6">
      <c r="F43851" s="2423"/>
    </row>
    <row r="43852" s="101" customFormat="1" spans="6:6">
      <c r="F43852" s="2423"/>
    </row>
    <row r="43853" s="101" customFormat="1" spans="6:6">
      <c r="F43853" s="2423"/>
    </row>
    <row r="43854" s="101" customFormat="1" spans="6:6">
      <c r="F43854" s="2423"/>
    </row>
    <row r="43855" s="101" customFormat="1" spans="6:6">
      <c r="F43855" s="2423"/>
    </row>
    <row r="43856" s="101" customFormat="1" spans="6:6">
      <c r="F43856" s="2423"/>
    </row>
    <row r="43857" s="101" customFormat="1" spans="6:6">
      <c r="F43857" s="2423"/>
    </row>
    <row r="43858" s="101" customFormat="1" spans="6:6">
      <c r="F43858" s="2423"/>
    </row>
    <row r="43859" s="101" customFormat="1" spans="6:6">
      <c r="F43859" s="2423"/>
    </row>
    <row r="43860" s="101" customFormat="1" spans="6:6">
      <c r="F43860" s="2423"/>
    </row>
    <row r="43861" s="101" customFormat="1" spans="6:6">
      <c r="F43861" s="2423"/>
    </row>
    <row r="43862" s="101" customFormat="1" spans="6:6">
      <c r="F43862" s="2423"/>
    </row>
    <row r="43863" s="101" customFormat="1" spans="6:6">
      <c r="F43863" s="2423"/>
    </row>
    <row r="43864" s="101" customFormat="1" spans="6:6">
      <c r="F43864" s="2423"/>
    </row>
    <row r="43865" s="101" customFormat="1" spans="6:6">
      <c r="F43865" s="2423"/>
    </row>
    <row r="43866" s="101" customFormat="1" spans="6:6">
      <c r="F43866" s="2423"/>
    </row>
    <row r="43867" s="101" customFormat="1" spans="6:6">
      <c r="F43867" s="2423"/>
    </row>
    <row r="43868" s="101" customFormat="1" spans="6:6">
      <c r="F43868" s="2423"/>
    </row>
    <row r="43869" s="101" customFormat="1" spans="6:6">
      <c r="F43869" s="2423"/>
    </row>
    <row r="43870" s="101" customFormat="1" spans="6:6">
      <c r="F43870" s="2423"/>
    </row>
    <row r="43871" s="101" customFormat="1" spans="6:6">
      <c r="F43871" s="2423"/>
    </row>
    <row r="43872" s="101" customFormat="1" spans="6:6">
      <c r="F43872" s="2423"/>
    </row>
    <row r="43873" s="101" customFormat="1" spans="6:6">
      <c r="F43873" s="2423"/>
    </row>
    <row r="43874" s="101" customFormat="1" spans="6:6">
      <c r="F43874" s="2423"/>
    </row>
    <row r="43875" s="101" customFormat="1" spans="6:6">
      <c r="F43875" s="2423"/>
    </row>
    <row r="43876" s="101" customFormat="1" spans="6:6">
      <c r="F43876" s="2423"/>
    </row>
    <row r="43877" s="101" customFormat="1" spans="6:6">
      <c r="F43877" s="2423"/>
    </row>
    <row r="43878" s="101" customFormat="1" spans="6:6">
      <c r="F43878" s="2423"/>
    </row>
    <row r="43879" s="101" customFormat="1" spans="6:6">
      <c r="F43879" s="2423"/>
    </row>
    <row r="43880" s="101" customFormat="1" spans="6:6">
      <c r="F43880" s="2423"/>
    </row>
    <row r="43881" s="101" customFormat="1" spans="6:6">
      <c r="F43881" s="2423"/>
    </row>
    <row r="43882" s="101" customFormat="1" spans="6:6">
      <c r="F43882" s="2423"/>
    </row>
    <row r="43883" s="101" customFormat="1" spans="6:6">
      <c r="F43883" s="2423"/>
    </row>
    <row r="43884" s="101" customFormat="1" spans="6:6">
      <c r="F43884" s="2423"/>
    </row>
    <row r="43885" s="101" customFormat="1" spans="6:6">
      <c r="F43885" s="2423"/>
    </row>
    <row r="43886" s="101" customFormat="1" spans="6:6">
      <c r="F43886" s="2423"/>
    </row>
    <row r="43887" s="101" customFormat="1" spans="6:6">
      <c r="F43887" s="2423"/>
    </row>
    <row r="43888" s="101" customFormat="1" spans="6:6">
      <c r="F43888" s="2423"/>
    </row>
    <row r="43889" s="101" customFormat="1" spans="6:6">
      <c r="F43889" s="2423"/>
    </row>
    <row r="43890" s="101" customFormat="1" spans="6:6">
      <c r="F43890" s="2423"/>
    </row>
    <row r="43891" s="101" customFormat="1" spans="6:6">
      <c r="F43891" s="2423"/>
    </row>
    <row r="43892" s="101" customFormat="1" spans="6:6">
      <c r="F43892" s="2423"/>
    </row>
    <row r="43893" s="101" customFormat="1" spans="6:6">
      <c r="F43893" s="2423"/>
    </row>
    <row r="43894" s="101" customFormat="1" spans="6:6">
      <c r="F43894" s="2423"/>
    </row>
    <row r="43895" s="101" customFormat="1" spans="6:6">
      <c r="F43895" s="2423"/>
    </row>
    <row r="43896" s="101" customFormat="1" spans="6:6">
      <c r="F43896" s="2423"/>
    </row>
    <row r="43897" s="101" customFormat="1" spans="6:6">
      <c r="F43897" s="2423"/>
    </row>
    <row r="43898" s="101" customFormat="1" spans="6:6">
      <c r="F43898" s="2423"/>
    </row>
    <row r="43899" s="101" customFormat="1" spans="6:6">
      <c r="F43899" s="2423"/>
    </row>
    <row r="43900" s="101" customFormat="1" spans="6:6">
      <c r="F43900" s="2423"/>
    </row>
    <row r="43901" s="101" customFormat="1" spans="6:6">
      <c r="F43901" s="2423"/>
    </row>
    <row r="43902" s="101" customFormat="1" spans="6:6">
      <c r="F43902" s="2423"/>
    </row>
    <row r="43903" s="101" customFormat="1" spans="6:6">
      <c r="F43903" s="2423"/>
    </row>
    <row r="43904" s="101" customFormat="1" spans="6:6">
      <c r="F43904" s="2423"/>
    </row>
    <row r="43905" s="101" customFormat="1" spans="6:6">
      <c r="F43905" s="2423"/>
    </row>
    <row r="43906" s="101" customFormat="1" spans="6:6">
      <c r="F43906" s="2423"/>
    </row>
    <row r="43907" s="101" customFormat="1" spans="6:6">
      <c r="F43907" s="2423"/>
    </row>
    <row r="43908" s="101" customFormat="1" spans="6:6">
      <c r="F43908" s="2423"/>
    </row>
    <row r="43909" s="101" customFormat="1" spans="6:6">
      <c r="F43909" s="2423"/>
    </row>
    <row r="43910" s="101" customFormat="1" spans="6:6">
      <c r="F43910" s="2423"/>
    </row>
    <row r="43911" s="101" customFormat="1" spans="6:6">
      <c r="F43911" s="2423"/>
    </row>
    <row r="43912" s="101" customFormat="1" spans="6:6">
      <c r="F43912" s="2423"/>
    </row>
    <row r="43913" s="101" customFormat="1" spans="6:6">
      <c r="F43913" s="2423"/>
    </row>
    <row r="43914" s="101" customFormat="1" spans="6:6">
      <c r="F43914" s="2423"/>
    </row>
    <row r="43915" s="101" customFormat="1" spans="6:6">
      <c r="F43915" s="2423"/>
    </row>
    <row r="43916" s="101" customFormat="1" spans="6:6">
      <c r="F43916" s="2423"/>
    </row>
    <row r="43917" s="101" customFormat="1" spans="6:6">
      <c r="F43917" s="2423"/>
    </row>
    <row r="43918" s="101" customFormat="1" spans="6:6">
      <c r="F43918" s="2423"/>
    </row>
    <row r="43919" s="101" customFormat="1" spans="6:6">
      <c r="F43919" s="2423"/>
    </row>
    <row r="43920" s="101" customFormat="1" spans="6:6">
      <c r="F43920" s="2423"/>
    </row>
    <row r="43921" s="101" customFormat="1" spans="6:6">
      <c r="F43921" s="2423"/>
    </row>
    <row r="43922" s="101" customFormat="1" spans="6:6">
      <c r="F43922" s="2423"/>
    </row>
    <row r="43923" s="101" customFormat="1" spans="6:6">
      <c r="F43923" s="2423"/>
    </row>
    <row r="43924" s="101" customFormat="1" spans="6:6">
      <c r="F43924" s="2423"/>
    </row>
    <row r="43925" s="101" customFormat="1" spans="6:6">
      <c r="F43925" s="2423"/>
    </row>
    <row r="43926" s="101" customFormat="1" spans="6:6">
      <c r="F43926" s="2423"/>
    </row>
    <row r="43927" s="101" customFormat="1" spans="6:6">
      <c r="F43927" s="2423"/>
    </row>
    <row r="43928" s="101" customFormat="1" spans="6:6">
      <c r="F43928" s="2423"/>
    </row>
    <row r="43929" s="101" customFormat="1" spans="6:6">
      <c r="F43929" s="2423"/>
    </row>
    <row r="43930" s="101" customFormat="1" spans="6:6">
      <c r="F43930" s="2423"/>
    </row>
    <row r="43931" s="101" customFormat="1" spans="6:6">
      <c r="F43931" s="2423"/>
    </row>
    <row r="43932" s="101" customFormat="1" spans="6:6">
      <c r="F43932" s="2423"/>
    </row>
    <row r="43933" s="101" customFormat="1" spans="6:6">
      <c r="F43933" s="2423"/>
    </row>
    <row r="43934" s="101" customFormat="1" spans="6:6">
      <c r="F43934" s="2423"/>
    </row>
    <row r="43935" s="101" customFormat="1" spans="6:6">
      <c r="F43935" s="2423"/>
    </row>
    <row r="43936" s="101" customFormat="1" spans="6:6">
      <c r="F43936" s="2423"/>
    </row>
    <row r="43937" s="101" customFormat="1" spans="6:6">
      <c r="F43937" s="2423"/>
    </row>
    <row r="43938" s="101" customFormat="1" spans="6:6">
      <c r="F43938" s="2423"/>
    </row>
    <row r="43939" s="101" customFormat="1" spans="6:6">
      <c r="F43939" s="2423"/>
    </row>
    <row r="43940" s="101" customFormat="1" spans="6:6">
      <c r="F43940" s="2423"/>
    </row>
    <row r="43941" s="101" customFormat="1" spans="6:6">
      <c r="F43941" s="2423"/>
    </row>
    <row r="43942" s="101" customFormat="1" spans="6:6">
      <c r="F43942" s="2423"/>
    </row>
    <row r="43943" s="101" customFormat="1" spans="6:6">
      <c r="F43943" s="2423"/>
    </row>
    <row r="43944" s="101" customFormat="1" spans="6:6">
      <c r="F43944" s="2423"/>
    </row>
    <row r="43945" s="101" customFormat="1" spans="6:6">
      <c r="F43945" s="2423"/>
    </row>
    <row r="43946" s="101" customFormat="1" spans="6:6">
      <c r="F43946" s="2423"/>
    </row>
    <row r="43947" s="101" customFormat="1" spans="6:6">
      <c r="F43947" s="2423"/>
    </row>
    <row r="43948" s="101" customFormat="1" spans="6:6">
      <c r="F43948" s="2423"/>
    </row>
    <row r="43949" s="101" customFormat="1" spans="6:6">
      <c r="F43949" s="2423"/>
    </row>
    <row r="43950" s="101" customFormat="1" spans="6:6">
      <c r="F43950" s="2423"/>
    </row>
    <row r="43951" s="101" customFormat="1" spans="6:6">
      <c r="F43951" s="2423"/>
    </row>
    <row r="43952" s="101" customFormat="1" spans="6:6">
      <c r="F43952" s="2423"/>
    </row>
    <row r="43953" s="101" customFormat="1" spans="6:6">
      <c r="F43953" s="2423"/>
    </row>
    <row r="43954" s="101" customFormat="1" spans="6:6">
      <c r="F43954" s="2423"/>
    </row>
    <row r="43955" s="101" customFormat="1" spans="6:6">
      <c r="F43955" s="2423"/>
    </row>
    <row r="43956" s="101" customFormat="1" spans="6:6">
      <c r="F43956" s="2423"/>
    </row>
    <row r="43957" s="101" customFormat="1" spans="6:6">
      <c r="F43957" s="2423"/>
    </row>
    <row r="43958" s="101" customFormat="1" spans="6:6">
      <c r="F43958" s="2423"/>
    </row>
    <row r="43959" s="101" customFormat="1" spans="6:6">
      <c r="F43959" s="2423"/>
    </row>
    <row r="43960" s="101" customFormat="1" spans="6:6">
      <c r="F43960" s="2423"/>
    </row>
    <row r="43961" s="101" customFormat="1" spans="6:6">
      <c r="F43961" s="2423"/>
    </row>
    <row r="43962" s="101" customFormat="1" spans="6:6">
      <c r="F43962" s="2423"/>
    </row>
    <row r="43963" s="101" customFormat="1" spans="6:6">
      <c r="F43963" s="2423"/>
    </row>
    <row r="43964" s="101" customFormat="1" spans="6:6">
      <c r="F43964" s="2423"/>
    </row>
    <row r="43965" s="101" customFormat="1" spans="6:6">
      <c r="F43965" s="2423"/>
    </row>
    <row r="43966" s="101" customFormat="1" spans="6:6">
      <c r="F43966" s="2423"/>
    </row>
    <row r="43967" s="101" customFormat="1" spans="6:6">
      <c r="F43967" s="2423"/>
    </row>
    <row r="43968" s="101" customFormat="1" spans="6:6">
      <c r="F43968" s="2423"/>
    </row>
    <row r="43969" s="101" customFormat="1" spans="6:6">
      <c r="F43969" s="2423"/>
    </row>
    <row r="43970" s="101" customFormat="1" spans="6:6">
      <c r="F43970" s="2423"/>
    </row>
    <row r="43971" s="101" customFormat="1" spans="6:6">
      <c r="F43971" s="2423"/>
    </row>
    <row r="43972" s="101" customFormat="1" spans="6:6">
      <c r="F43972" s="2423"/>
    </row>
    <row r="43973" s="101" customFormat="1" spans="6:6">
      <c r="F43973" s="2423"/>
    </row>
    <row r="43974" s="101" customFormat="1" spans="6:6">
      <c r="F43974" s="2423"/>
    </row>
    <row r="43975" s="101" customFormat="1" spans="6:6">
      <c r="F43975" s="2423"/>
    </row>
    <row r="43976" s="101" customFormat="1" spans="6:6">
      <c r="F43976" s="2423"/>
    </row>
    <row r="43977" s="101" customFormat="1" spans="6:6">
      <c r="F43977" s="2423"/>
    </row>
    <row r="43978" s="101" customFormat="1" spans="6:6">
      <c r="F43978" s="2423"/>
    </row>
    <row r="43979" s="101" customFormat="1" spans="6:6">
      <c r="F43979" s="2423"/>
    </row>
    <row r="43980" s="101" customFormat="1" spans="6:6">
      <c r="F43980" s="2423"/>
    </row>
    <row r="43981" s="101" customFormat="1" spans="6:6">
      <c r="F43981" s="2423"/>
    </row>
    <row r="43982" s="101" customFormat="1" spans="6:6">
      <c r="F43982" s="2423"/>
    </row>
    <row r="43983" s="101" customFormat="1" spans="6:6">
      <c r="F43983" s="2423"/>
    </row>
    <row r="43984" s="101" customFormat="1" spans="6:6">
      <c r="F43984" s="2423"/>
    </row>
    <row r="43985" s="101" customFormat="1" spans="6:6">
      <c r="F43985" s="2423"/>
    </row>
    <row r="43986" s="101" customFormat="1" spans="6:6">
      <c r="F43986" s="2423"/>
    </row>
    <row r="43987" s="101" customFormat="1" spans="6:6">
      <c r="F43987" s="2423"/>
    </row>
    <row r="43988" s="101" customFormat="1" spans="6:6">
      <c r="F43988" s="2423"/>
    </row>
    <row r="43989" s="101" customFormat="1" spans="6:6">
      <c r="F43989" s="2423"/>
    </row>
    <row r="43990" s="101" customFormat="1" spans="6:6">
      <c r="F43990" s="2423"/>
    </row>
    <row r="43991" s="101" customFormat="1" spans="6:6">
      <c r="F43991" s="2423"/>
    </row>
    <row r="43992" s="101" customFormat="1" spans="6:6">
      <c r="F43992" s="2423"/>
    </row>
    <row r="43993" s="101" customFormat="1" spans="6:6">
      <c r="F43993" s="2423"/>
    </row>
    <row r="43994" s="101" customFormat="1" spans="6:6">
      <c r="F43994" s="2423"/>
    </row>
    <row r="43995" s="101" customFormat="1" spans="6:6">
      <c r="F43995" s="2423"/>
    </row>
    <row r="43996" s="101" customFormat="1" spans="6:6">
      <c r="F43996" s="2423"/>
    </row>
    <row r="43997" s="101" customFormat="1" spans="6:6">
      <c r="F43997" s="2423"/>
    </row>
    <row r="43998" s="101" customFormat="1" spans="6:6">
      <c r="F43998" s="2423"/>
    </row>
    <row r="43999" s="101" customFormat="1" spans="6:6">
      <c r="F43999" s="2423"/>
    </row>
    <row r="44000" s="101" customFormat="1" spans="6:6">
      <c r="F44000" s="2423"/>
    </row>
    <row r="44001" s="101" customFormat="1" spans="6:6">
      <c r="F44001" s="2423"/>
    </row>
    <row r="44002" s="101" customFormat="1" spans="6:6">
      <c r="F44002" s="2423"/>
    </row>
    <row r="44003" s="101" customFormat="1" spans="6:6">
      <c r="F44003" s="2423"/>
    </row>
    <row r="44004" s="101" customFormat="1" spans="6:6">
      <c r="F44004" s="2423"/>
    </row>
    <row r="44005" s="101" customFormat="1" spans="6:6">
      <c r="F44005" s="2423"/>
    </row>
    <row r="44006" s="101" customFormat="1" spans="6:6">
      <c r="F44006" s="2423"/>
    </row>
    <row r="44007" s="101" customFormat="1" spans="6:6">
      <c r="F44007" s="2423"/>
    </row>
    <row r="44008" s="101" customFormat="1" spans="6:6">
      <c r="F44008" s="2423"/>
    </row>
    <row r="44009" s="101" customFormat="1" spans="6:6">
      <c r="F44009" s="2423"/>
    </row>
    <row r="44010" s="101" customFormat="1" spans="6:6">
      <c r="F44010" s="2423"/>
    </row>
    <row r="44011" s="101" customFormat="1" spans="6:6">
      <c r="F44011" s="2423"/>
    </row>
    <row r="44012" s="101" customFormat="1" spans="6:6">
      <c r="F44012" s="2423"/>
    </row>
    <row r="44013" s="101" customFormat="1" spans="6:6">
      <c r="F44013" s="2423"/>
    </row>
    <row r="44014" s="101" customFormat="1" spans="6:6">
      <c r="F44014" s="2423"/>
    </row>
    <row r="44015" s="101" customFormat="1" spans="6:6">
      <c r="F44015" s="2423"/>
    </row>
    <row r="44016" s="101" customFormat="1" spans="6:6">
      <c r="F44016" s="2423"/>
    </row>
    <row r="44017" s="101" customFormat="1" spans="6:6">
      <c r="F44017" s="2423"/>
    </row>
    <row r="44018" s="101" customFormat="1" spans="6:6">
      <c r="F44018" s="2423"/>
    </row>
    <row r="44019" s="101" customFormat="1" spans="6:6">
      <c r="F44019" s="2423"/>
    </row>
    <row r="44020" s="101" customFormat="1" spans="6:6">
      <c r="F44020" s="2423"/>
    </row>
    <row r="44021" s="101" customFormat="1" spans="6:6">
      <c r="F44021" s="2423"/>
    </row>
    <row r="44022" s="101" customFormat="1" spans="6:6">
      <c r="F44022" s="2423"/>
    </row>
    <row r="44023" s="101" customFormat="1" spans="6:6">
      <c r="F44023" s="2423"/>
    </row>
    <row r="44024" s="101" customFormat="1" spans="6:6">
      <c r="F44024" s="2423"/>
    </row>
    <row r="44025" s="101" customFormat="1" spans="6:6">
      <c r="F44025" s="2423"/>
    </row>
    <row r="44026" s="101" customFormat="1" spans="6:6">
      <c r="F44026" s="2423"/>
    </row>
    <row r="44027" s="101" customFormat="1" spans="6:6">
      <c r="F44027" s="2423"/>
    </row>
    <row r="44028" s="101" customFormat="1" spans="6:6">
      <c r="F44028" s="2423"/>
    </row>
    <row r="44029" s="101" customFormat="1" spans="6:6">
      <c r="F44029" s="2423"/>
    </row>
    <row r="44030" s="101" customFormat="1" spans="6:6">
      <c r="F44030" s="2423"/>
    </row>
    <row r="44031" s="101" customFormat="1" spans="6:6">
      <c r="F44031" s="2423"/>
    </row>
    <row r="44032" s="101" customFormat="1" spans="6:6">
      <c r="F44032" s="2423"/>
    </row>
    <row r="44033" s="101" customFormat="1" spans="6:6">
      <c r="F44033" s="2423"/>
    </row>
    <row r="44034" s="101" customFormat="1" spans="6:6">
      <c r="F44034" s="2423"/>
    </row>
    <row r="44035" s="101" customFormat="1" spans="6:6">
      <c r="F44035" s="2423"/>
    </row>
    <row r="44036" s="101" customFormat="1" spans="6:6">
      <c r="F44036" s="2423"/>
    </row>
    <row r="44037" s="101" customFormat="1" spans="6:6">
      <c r="F44037" s="2423"/>
    </row>
    <row r="44038" s="101" customFormat="1" spans="6:6">
      <c r="F44038" s="2423"/>
    </row>
    <row r="44039" s="101" customFormat="1" spans="6:6">
      <c r="F44039" s="2423"/>
    </row>
    <row r="44040" s="101" customFormat="1" spans="6:6">
      <c r="F44040" s="2423"/>
    </row>
    <row r="44041" s="101" customFormat="1" spans="6:6">
      <c r="F44041" s="2423"/>
    </row>
    <row r="44042" s="101" customFormat="1" spans="6:6">
      <c r="F44042" s="2423"/>
    </row>
    <row r="44043" s="101" customFormat="1" spans="6:6">
      <c r="F44043" s="2423"/>
    </row>
    <row r="44044" s="101" customFormat="1" spans="6:6">
      <c r="F44044" s="2423"/>
    </row>
    <row r="44045" s="101" customFormat="1" spans="6:6">
      <c r="F44045" s="2423"/>
    </row>
    <row r="44046" s="101" customFormat="1" spans="6:6">
      <c r="F44046" s="2423"/>
    </row>
    <row r="44047" s="101" customFormat="1" spans="6:6">
      <c r="F44047" s="2423"/>
    </row>
    <row r="44048" s="101" customFormat="1" spans="6:6">
      <c r="F44048" s="2423"/>
    </row>
    <row r="44049" s="101" customFormat="1" spans="6:6">
      <c r="F44049" s="2423"/>
    </row>
    <row r="44050" s="101" customFormat="1" spans="6:6">
      <c r="F44050" s="2423"/>
    </row>
    <row r="44051" s="101" customFormat="1" spans="6:6">
      <c r="F44051" s="2423"/>
    </row>
    <row r="44052" s="101" customFormat="1" spans="6:6">
      <c r="F44052" s="2423"/>
    </row>
    <row r="44053" s="101" customFormat="1" spans="6:6">
      <c r="F44053" s="2423"/>
    </row>
    <row r="44054" s="101" customFormat="1" spans="6:6">
      <c r="F44054" s="2423"/>
    </row>
    <row r="44055" s="101" customFormat="1" spans="6:6">
      <c r="F44055" s="2423"/>
    </row>
    <row r="44056" s="101" customFormat="1" spans="6:6">
      <c r="F44056" s="2423"/>
    </row>
    <row r="44057" s="101" customFormat="1" spans="6:6">
      <c r="F44057" s="2423"/>
    </row>
    <row r="44058" s="101" customFormat="1" spans="6:6">
      <c r="F44058" s="2423"/>
    </row>
    <row r="44059" s="101" customFormat="1" spans="6:6">
      <c r="F44059" s="2423"/>
    </row>
    <row r="44060" s="101" customFormat="1" spans="6:6">
      <c r="F44060" s="2423"/>
    </row>
    <row r="44061" s="101" customFormat="1" spans="6:6">
      <c r="F44061" s="2423"/>
    </row>
    <row r="44062" s="101" customFormat="1" spans="6:6">
      <c r="F44062" s="2423"/>
    </row>
    <row r="44063" s="101" customFormat="1" spans="6:6">
      <c r="F44063" s="2423"/>
    </row>
    <row r="44064" s="101" customFormat="1" spans="6:6">
      <c r="F44064" s="2423"/>
    </row>
    <row r="44065" s="101" customFormat="1" spans="6:6">
      <c r="F44065" s="2423"/>
    </row>
    <row r="44066" s="101" customFormat="1" spans="6:6">
      <c r="F44066" s="2423"/>
    </row>
    <row r="44067" s="101" customFormat="1" spans="6:6">
      <c r="F44067" s="2423"/>
    </row>
    <row r="44068" s="101" customFormat="1" spans="6:6">
      <c r="F44068" s="2423"/>
    </row>
    <row r="44069" s="101" customFormat="1" spans="6:6">
      <c r="F44069" s="2423"/>
    </row>
    <row r="44070" s="101" customFormat="1" spans="6:6">
      <c r="F44070" s="2423"/>
    </row>
    <row r="44071" s="101" customFormat="1" spans="6:6">
      <c r="F44071" s="2423"/>
    </row>
    <row r="44072" s="101" customFormat="1" spans="6:6">
      <c r="F44072" s="2423"/>
    </row>
    <row r="44073" s="101" customFormat="1" spans="6:6">
      <c r="F44073" s="2423"/>
    </row>
    <row r="44074" s="101" customFormat="1" spans="6:6">
      <c r="F44074" s="2423"/>
    </row>
    <row r="44075" s="101" customFormat="1" spans="6:6">
      <c r="F44075" s="2423"/>
    </row>
    <row r="44076" s="101" customFormat="1" spans="6:6">
      <c r="F44076" s="2423"/>
    </row>
    <row r="44077" s="101" customFormat="1" spans="6:6">
      <c r="F44077" s="2423"/>
    </row>
    <row r="44078" s="101" customFormat="1" spans="6:6">
      <c r="F44078" s="2423"/>
    </row>
    <row r="44079" s="101" customFormat="1" spans="6:6">
      <c r="F44079" s="2423"/>
    </row>
    <row r="44080" s="101" customFormat="1" spans="6:6">
      <c r="F44080" s="2423"/>
    </row>
    <row r="44081" s="101" customFormat="1" spans="6:6">
      <c r="F44081" s="2423"/>
    </row>
    <row r="44082" s="101" customFormat="1" spans="6:6">
      <c r="F44082" s="2423"/>
    </row>
    <row r="44083" s="101" customFormat="1" spans="6:6">
      <c r="F44083" s="2423"/>
    </row>
    <row r="44084" s="101" customFormat="1" spans="6:6">
      <c r="F44084" s="2423"/>
    </row>
    <row r="44085" s="101" customFormat="1" spans="6:6">
      <c r="F44085" s="2423"/>
    </row>
    <row r="44086" s="101" customFormat="1" spans="6:6">
      <c r="F44086" s="2423"/>
    </row>
    <row r="44087" s="101" customFormat="1" spans="6:6">
      <c r="F44087" s="2423"/>
    </row>
    <row r="44088" s="101" customFormat="1" spans="6:6">
      <c r="F44088" s="2423"/>
    </row>
    <row r="44089" s="101" customFormat="1" spans="6:6">
      <c r="F44089" s="2423"/>
    </row>
    <row r="44090" s="101" customFormat="1" spans="6:6">
      <c r="F44090" s="2423"/>
    </row>
    <row r="44091" s="101" customFormat="1" spans="6:6">
      <c r="F44091" s="2423"/>
    </row>
    <row r="44092" s="101" customFormat="1" spans="6:6">
      <c r="F44092" s="2423"/>
    </row>
    <row r="44093" s="101" customFormat="1" spans="6:6">
      <c r="F44093" s="2423"/>
    </row>
    <row r="44094" s="101" customFormat="1" spans="6:6">
      <c r="F44094" s="2423"/>
    </row>
    <row r="44095" s="101" customFormat="1" spans="6:6">
      <c r="F44095" s="2423"/>
    </row>
    <row r="44096" s="101" customFormat="1" spans="6:6">
      <c r="F44096" s="2423"/>
    </row>
    <row r="44097" s="101" customFormat="1" spans="6:6">
      <c r="F44097" s="2423"/>
    </row>
    <row r="44098" s="101" customFormat="1" spans="6:6">
      <c r="F44098" s="2423"/>
    </row>
    <row r="44099" s="101" customFormat="1" spans="6:6">
      <c r="F44099" s="2423"/>
    </row>
    <row r="44100" s="101" customFormat="1" spans="6:6">
      <c r="F44100" s="2423"/>
    </row>
    <row r="44101" s="101" customFormat="1" spans="6:6">
      <c r="F44101" s="2423"/>
    </row>
    <row r="44102" s="101" customFormat="1" spans="6:6">
      <c r="F44102" s="2423"/>
    </row>
    <row r="44103" s="101" customFormat="1" spans="6:6">
      <c r="F44103" s="2423"/>
    </row>
    <row r="44104" s="101" customFormat="1" spans="6:6">
      <c r="F44104" s="2423"/>
    </row>
    <row r="44105" s="101" customFormat="1" spans="6:6">
      <c r="F44105" s="2423"/>
    </row>
    <row r="44106" s="101" customFormat="1" spans="6:6">
      <c r="F44106" s="2423"/>
    </row>
    <row r="44107" s="101" customFormat="1" spans="6:6">
      <c r="F44107" s="2423"/>
    </row>
    <row r="44108" s="101" customFormat="1" spans="6:6">
      <c r="F44108" s="2423"/>
    </row>
    <row r="44109" s="101" customFormat="1" spans="6:6">
      <c r="F44109" s="2423"/>
    </row>
    <row r="44110" s="101" customFormat="1" spans="6:6">
      <c r="F44110" s="2423"/>
    </row>
    <row r="44111" s="101" customFormat="1" spans="6:6">
      <c r="F44111" s="2423"/>
    </row>
    <row r="44112" s="101" customFormat="1" spans="6:6">
      <c r="F44112" s="2423"/>
    </row>
    <row r="44113" s="101" customFormat="1" spans="6:6">
      <c r="F44113" s="2423"/>
    </row>
    <row r="44114" s="101" customFormat="1" spans="6:6">
      <c r="F44114" s="2423"/>
    </row>
    <row r="44115" s="101" customFormat="1" spans="6:6">
      <c r="F44115" s="2423"/>
    </row>
    <row r="44116" s="101" customFormat="1" spans="6:6">
      <c r="F44116" s="2423"/>
    </row>
    <row r="44117" s="101" customFormat="1" spans="6:6">
      <c r="F44117" s="2423"/>
    </row>
    <row r="44118" s="101" customFormat="1" spans="6:6">
      <c r="F44118" s="2423"/>
    </row>
    <row r="44119" s="101" customFormat="1" spans="6:6">
      <c r="F44119" s="2423"/>
    </row>
    <row r="44120" s="101" customFormat="1" spans="6:6">
      <c r="F44120" s="2423"/>
    </row>
    <row r="44121" s="101" customFormat="1" spans="6:6">
      <c r="F44121" s="2423"/>
    </row>
    <row r="44122" s="101" customFormat="1" spans="6:6">
      <c r="F44122" s="2423"/>
    </row>
    <row r="44123" s="101" customFormat="1" spans="6:6">
      <c r="F44123" s="2423"/>
    </row>
    <row r="44124" s="101" customFormat="1" spans="6:6">
      <c r="F44124" s="2423"/>
    </row>
    <row r="44125" s="101" customFormat="1" spans="6:6">
      <c r="F44125" s="2423"/>
    </row>
    <row r="44126" s="101" customFormat="1" spans="6:6">
      <c r="F44126" s="2423"/>
    </row>
    <row r="44127" s="101" customFormat="1" spans="6:6">
      <c r="F44127" s="2423"/>
    </row>
    <row r="44128" s="101" customFormat="1" spans="6:6">
      <c r="F44128" s="2423"/>
    </row>
    <row r="44129" s="101" customFormat="1" spans="6:6">
      <c r="F44129" s="2423"/>
    </row>
    <row r="44130" s="101" customFormat="1" spans="6:6">
      <c r="F44130" s="2423"/>
    </row>
    <row r="44131" s="101" customFormat="1" spans="6:6">
      <c r="F44131" s="2423"/>
    </row>
    <row r="44132" s="101" customFormat="1" spans="6:6">
      <c r="F44132" s="2423"/>
    </row>
    <row r="44133" s="101" customFormat="1" spans="6:6">
      <c r="F44133" s="2423"/>
    </row>
    <row r="44134" s="101" customFormat="1" spans="6:6">
      <c r="F44134" s="2423"/>
    </row>
    <row r="44135" s="101" customFormat="1" spans="6:6">
      <c r="F44135" s="2423"/>
    </row>
    <row r="44136" s="101" customFormat="1" spans="6:6">
      <c r="F44136" s="2423"/>
    </row>
    <row r="44137" s="101" customFormat="1" spans="6:6">
      <c r="F44137" s="2423"/>
    </row>
    <row r="44138" s="101" customFormat="1" spans="6:6">
      <c r="F44138" s="2423"/>
    </row>
    <row r="44139" s="101" customFormat="1" spans="6:6">
      <c r="F44139" s="2423"/>
    </row>
    <row r="44140" s="101" customFormat="1" spans="6:6">
      <c r="F44140" s="2423"/>
    </row>
    <row r="44141" s="101" customFormat="1" spans="6:6">
      <c r="F44141" s="2423"/>
    </row>
    <row r="44142" s="101" customFormat="1" spans="6:6">
      <c r="F44142" s="2423"/>
    </row>
    <row r="44143" s="101" customFormat="1" spans="6:6">
      <c r="F44143" s="2423"/>
    </row>
    <row r="44144" s="101" customFormat="1" spans="6:6">
      <c r="F44144" s="2423"/>
    </row>
    <row r="44145" s="101" customFormat="1" spans="6:6">
      <c r="F44145" s="2423"/>
    </row>
    <row r="44146" s="101" customFormat="1" spans="6:6">
      <c r="F44146" s="2423"/>
    </row>
    <row r="44147" s="101" customFormat="1" spans="6:6">
      <c r="F44147" s="2423"/>
    </row>
    <row r="44148" s="101" customFormat="1" spans="6:6">
      <c r="F44148" s="2423"/>
    </row>
    <row r="44149" s="101" customFormat="1" spans="6:6">
      <c r="F44149" s="2423"/>
    </row>
    <row r="44150" s="101" customFormat="1" spans="6:6">
      <c r="F44150" s="2423"/>
    </row>
    <row r="44151" s="101" customFormat="1" spans="6:6">
      <c r="F44151" s="2423"/>
    </row>
    <row r="44152" s="101" customFormat="1" spans="6:6">
      <c r="F44152" s="2423"/>
    </row>
    <row r="44153" s="101" customFormat="1" spans="6:6">
      <c r="F44153" s="2423"/>
    </row>
    <row r="44154" s="101" customFormat="1" spans="6:6">
      <c r="F44154" s="2423"/>
    </row>
    <row r="44155" s="101" customFormat="1" spans="6:6">
      <c r="F44155" s="2423"/>
    </row>
    <row r="44156" s="101" customFormat="1" spans="6:6">
      <c r="F44156" s="2423"/>
    </row>
    <row r="44157" s="101" customFormat="1" spans="6:6">
      <c r="F44157" s="2423"/>
    </row>
    <row r="44158" s="101" customFormat="1" spans="6:6">
      <c r="F44158" s="2423"/>
    </row>
    <row r="44159" s="101" customFormat="1" spans="6:6">
      <c r="F44159" s="2423"/>
    </row>
    <row r="44160" s="101" customFormat="1" spans="6:6">
      <c r="F44160" s="2423"/>
    </row>
    <row r="44161" s="101" customFormat="1" spans="6:6">
      <c r="F44161" s="2423"/>
    </row>
    <row r="44162" s="101" customFormat="1" spans="6:6">
      <c r="F44162" s="2423"/>
    </row>
    <row r="44163" s="101" customFormat="1" spans="6:6">
      <c r="F44163" s="2423"/>
    </row>
    <row r="44164" s="101" customFormat="1" spans="6:6">
      <c r="F44164" s="2423"/>
    </row>
    <row r="44165" s="101" customFormat="1" spans="6:6">
      <c r="F44165" s="2423"/>
    </row>
    <row r="44166" s="101" customFormat="1" spans="6:6">
      <c r="F44166" s="2423"/>
    </row>
    <row r="44167" s="101" customFormat="1" spans="6:6">
      <c r="F44167" s="2423"/>
    </row>
    <row r="44168" s="101" customFormat="1" spans="6:6">
      <c r="F44168" s="2423"/>
    </row>
    <row r="44169" s="101" customFormat="1" spans="6:6">
      <c r="F44169" s="2423"/>
    </row>
    <row r="44170" s="101" customFormat="1" spans="6:6">
      <c r="F44170" s="2423"/>
    </row>
    <row r="44171" s="101" customFormat="1" spans="6:6">
      <c r="F44171" s="2423"/>
    </row>
    <row r="44172" s="101" customFormat="1" spans="6:6">
      <c r="F44172" s="2423"/>
    </row>
    <row r="44173" s="101" customFormat="1" spans="6:6">
      <c r="F44173" s="2423"/>
    </row>
    <row r="44174" s="101" customFormat="1" spans="6:6">
      <c r="F44174" s="2423"/>
    </row>
    <row r="44175" s="101" customFormat="1" spans="6:6">
      <c r="F44175" s="2423"/>
    </row>
    <row r="44176" s="101" customFormat="1" spans="6:6">
      <c r="F44176" s="2423"/>
    </row>
    <row r="44177" s="101" customFormat="1" spans="6:6">
      <c r="F44177" s="2423"/>
    </row>
    <row r="44178" s="101" customFormat="1" spans="6:6">
      <c r="F44178" s="2423"/>
    </row>
    <row r="44179" s="101" customFormat="1" spans="6:6">
      <c r="F44179" s="2423"/>
    </row>
    <row r="44180" s="101" customFormat="1" spans="6:6">
      <c r="F44180" s="2423"/>
    </row>
    <row r="44181" s="101" customFormat="1" spans="6:6">
      <c r="F44181" s="2423"/>
    </row>
    <row r="44182" s="101" customFormat="1" spans="6:6">
      <c r="F44182" s="2423"/>
    </row>
    <row r="44183" s="101" customFormat="1" spans="6:6">
      <c r="F44183" s="2423"/>
    </row>
    <row r="44184" s="101" customFormat="1" spans="6:6">
      <c r="F44184" s="2423"/>
    </row>
    <row r="44185" s="101" customFormat="1" spans="6:6">
      <c r="F44185" s="2423"/>
    </row>
    <row r="44186" s="101" customFormat="1" spans="6:6">
      <c r="F44186" s="2423"/>
    </row>
    <row r="44187" s="101" customFormat="1" spans="6:6">
      <c r="F44187" s="2423"/>
    </row>
    <row r="44188" s="101" customFormat="1" spans="6:6">
      <c r="F44188" s="2423"/>
    </row>
    <row r="44189" s="101" customFormat="1" spans="6:6">
      <c r="F44189" s="2423"/>
    </row>
    <row r="44190" s="101" customFormat="1" spans="6:6">
      <c r="F44190" s="2423"/>
    </row>
    <row r="44191" s="101" customFormat="1" spans="6:6">
      <c r="F44191" s="2423"/>
    </row>
    <row r="44192" s="101" customFormat="1" spans="6:6">
      <c r="F44192" s="2423"/>
    </row>
    <row r="44193" s="101" customFormat="1" spans="6:6">
      <c r="F44193" s="2423"/>
    </row>
    <row r="44194" s="101" customFormat="1" spans="6:6">
      <c r="F44194" s="2423"/>
    </row>
    <row r="44195" s="101" customFormat="1" spans="6:6">
      <c r="F44195" s="2423"/>
    </row>
    <row r="44196" s="101" customFormat="1" spans="6:6">
      <c r="F44196" s="2423"/>
    </row>
    <row r="44197" s="101" customFormat="1" spans="6:6">
      <c r="F44197" s="2423"/>
    </row>
    <row r="44198" s="101" customFormat="1" spans="6:6">
      <c r="F44198" s="2423"/>
    </row>
    <row r="44199" s="101" customFormat="1" spans="6:6">
      <c r="F44199" s="2423"/>
    </row>
    <row r="44200" s="101" customFormat="1" spans="6:6">
      <c r="F44200" s="2423"/>
    </row>
    <row r="44201" s="101" customFormat="1" spans="6:6">
      <c r="F44201" s="2423"/>
    </row>
    <row r="44202" s="101" customFormat="1" spans="6:6">
      <c r="F44202" s="2423"/>
    </row>
    <row r="44203" s="101" customFormat="1" spans="6:6">
      <c r="F44203" s="2423"/>
    </row>
    <row r="44204" s="101" customFormat="1" spans="6:6">
      <c r="F44204" s="2423"/>
    </row>
    <row r="44205" s="101" customFormat="1" spans="6:6">
      <c r="F44205" s="2423"/>
    </row>
    <row r="44206" s="101" customFormat="1" spans="6:6">
      <c r="F44206" s="2423"/>
    </row>
    <row r="44207" s="101" customFormat="1" spans="6:6">
      <c r="F44207" s="2423"/>
    </row>
    <row r="44208" s="101" customFormat="1" spans="6:6">
      <c r="F44208" s="2423"/>
    </row>
    <row r="44209" s="101" customFormat="1" spans="6:6">
      <c r="F44209" s="2423"/>
    </row>
    <row r="44210" s="101" customFormat="1" spans="6:6">
      <c r="F44210" s="2423"/>
    </row>
    <row r="44211" s="101" customFormat="1" spans="6:6">
      <c r="F44211" s="2423"/>
    </row>
    <row r="44212" s="101" customFormat="1" spans="6:6">
      <c r="F44212" s="2423"/>
    </row>
    <row r="44213" s="101" customFormat="1" spans="6:6">
      <c r="F44213" s="2423"/>
    </row>
    <row r="44214" s="101" customFormat="1" spans="6:6">
      <c r="F44214" s="2423"/>
    </row>
    <row r="44215" s="101" customFormat="1" spans="6:6">
      <c r="F44215" s="2423"/>
    </row>
    <row r="44216" s="101" customFormat="1" spans="6:6">
      <c r="F44216" s="2423"/>
    </row>
    <row r="44217" s="101" customFormat="1" spans="6:6">
      <c r="F44217" s="2423"/>
    </row>
    <row r="44218" s="101" customFormat="1" spans="6:6">
      <c r="F44218" s="2423"/>
    </row>
    <row r="44219" s="101" customFormat="1" spans="6:6">
      <c r="F44219" s="2423"/>
    </row>
    <row r="44220" s="101" customFormat="1" spans="6:6">
      <c r="F44220" s="2423"/>
    </row>
    <row r="44221" s="101" customFormat="1" spans="6:6">
      <c r="F44221" s="2423"/>
    </row>
    <row r="44222" s="101" customFormat="1" spans="6:6">
      <c r="F44222" s="2423"/>
    </row>
    <row r="44223" s="101" customFormat="1" spans="6:6">
      <c r="F44223" s="2423"/>
    </row>
    <row r="44224" s="101" customFormat="1" spans="6:6">
      <c r="F44224" s="2423"/>
    </row>
    <row r="44225" s="101" customFormat="1" spans="6:6">
      <c r="F44225" s="2423"/>
    </row>
    <row r="44226" s="101" customFormat="1" spans="6:6">
      <c r="F44226" s="2423"/>
    </row>
    <row r="44227" s="101" customFormat="1" spans="6:6">
      <c r="F44227" s="2423"/>
    </row>
    <row r="44228" s="101" customFormat="1" spans="6:6">
      <c r="F44228" s="2423"/>
    </row>
    <row r="44229" s="101" customFormat="1" spans="6:6">
      <c r="F44229" s="2423"/>
    </row>
    <row r="44230" s="101" customFormat="1" spans="6:6">
      <c r="F44230" s="2423"/>
    </row>
    <row r="44231" s="101" customFormat="1" spans="6:6">
      <c r="F44231" s="2423"/>
    </row>
    <row r="44232" s="101" customFormat="1" spans="6:6">
      <c r="F44232" s="2423"/>
    </row>
    <row r="44233" s="101" customFormat="1" spans="6:6">
      <c r="F44233" s="2423"/>
    </row>
    <row r="44234" s="101" customFormat="1" spans="6:6">
      <c r="F44234" s="2423"/>
    </row>
    <row r="44235" s="101" customFormat="1" spans="6:6">
      <c r="F44235" s="2423"/>
    </row>
    <row r="44236" s="101" customFormat="1" spans="6:6">
      <c r="F44236" s="2423"/>
    </row>
    <row r="44237" s="101" customFormat="1" spans="6:6">
      <c r="F44237" s="2423"/>
    </row>
    <row r="44238" s="101" customFormat="1" spans="6:6">
      <c r="F44238" s="2423"/>
    </row>
    <row r="44239" s="101" customFormat="1" spans="6:6">
      <c r="F44239" s="2423"/>
    </row>
    <row r="44240" s="101" customFormat="1" spans="6:6">
      <c r="F44240" s="2423"/>
    </row>
    <row r="44241" s="101" customFormat="1" spans="6:6">
      <c r="F44241" s="2423"/>
    </row>
    <row r="44242" s="101" customFormat="1" spans="6:6">
      <c r="F44242" s="2423"/>
    </row>
    <row r="44243" s="101" customFormat="1" spans="6:6">
      <c r="F44243" s="2423"/>
    </row>
    <row r="44244" s="101" customFormat="1" spans="6:6">
      <c r="F44244" s="2423"/>
    </row>
    <row r="44245" s="101" customFormat="1" spans="6:6">
      <c r="F44245" s="2423"/>
    </row>
    <row r="44246" s="101" customFormat="1" spans="6:6">
      <c r="F44246" s="2423"/>
    </row>
    <row r="44247" s="101" customFormat="1" spans="6:6">
      <c r="F44247" s="2423"/>
    </row>
    <row r="44248" s="101" customFormat="1" spans="6:6">
      <c r="F44248" s="2423"/>
    </row>
    <row r="44249" s="101" customFormat="1" spans="6:6">
      <c r="F44249" s="2423"/>
    </row>
    <row r="44250" s="101" customFormat="1" spans="6:6">
      <c r="F44250" s="2423"/>
    </row>
    <row r="44251" s="101" customFormat="1" spans="6:6">
      <c r="F44251" s="2423"/>
    </row>
    <row r="44252" s="101" customFormat="1" spans="6:6">
      <c r="F44252" s="2423"/>
    </row>
    <row r="44253" s="101" customFormat="1" spans="6:6">
      <c r="F44253" s="2423"/>
    </row>
    <row r="44254" s="101" customFormat="1" spans="6:6">
      <c r="F44254" s="2423"/>
    </row>
    <row r="44255" s="101" customFormat="1" spans="6:6">
      <c r="F44255" s="2423"/>
    </row>
    <row r="44256" s="101" customFormat="1" spans="6:6">
      <c r="F44256" s="2423"/>
    </row>
    <row r="44257" s="101" customFormat="1" spans="6:6">
      <c r="F44257" s="2423"/>
    </row>
    <row r="44258" s="101" customFormat="1" spans="6:6">
      <c r="F44258" s="2423"/>
    </row>
    <row r="44259" s="101" customFormat="1" spans="6:6">
      <c r="F44259" s="2423"/>
    </row>
    <row r="44260" s="101" customFormat="1" spans="6:6">
      <c r="F44260" s="2423"/>
    </row>
    <row r="44261" s="101" customFormat="1" spans="6:6">
      <c r="F44261" s="2423"/>
    </row>
    <row r="44262" s="101" customFormat="1" spans="6:6">
      <c r="F44262" s="2423"/>
    </row>
    <row r="44263" s="101" customFormat="1" spans="6:6">
      <c r="F44263" s="2423"/>
    </row>
    <row r="44264" s="101" customFormat="1" spans="6:6">
      <c r="F44264" s="2423"/>
    </row>
    <row r="44265" s="101" customFormat="1" spans="6:6">
      <c r="F44265" s="2423"/>
    </row>
    <row r="44266" s="101" customFormat="1" spans="6:6">
      <c r="F44266" s="2423"/>
    </row>
    <row r="44267" s="101" customFormat="1" spans="6:6">
      <c r="F44267" s="2423"/>
    </row>
    <row r="44268" s="101" customFormat="1" spans="6:6">
      <c r="F44268" s="2423"/>
    </row>
    <row r="44269" s="101" customFormat="1" spans="6:6">
      <c r="F44269" s="2423"/>
    </row>
    <row r="44270" s="101" customFormat="1" spans="6:6">
      <c r="F44270" s="2423"/>
    </row>
    <row r="44271" s="101" customFormat="1" spans="6:6">
      <c r="F44271" s="2423"/>
    </row>
    <row r="44272" s="101" customFormat="1" spans="6:6">
      <c r="F44272" s="2423"/>
    </row>
    <row r="44273" s="101" customFormat="1" spans="6:6">
      <c r="F44273" s="2423"/>
    </row>
    <row r="44274" s="101" customFormat="1" spans="6:6">
      <c r="F44274" s="2423"/>
    </row>
    <row r="44275" s="101" customFormat="1" spans="6:6">
      <c r="F44275" s="2423"/>
    </row>
    <row r="44276" s="101" customFormat="1" spans="6:6">
      <c r="F44276" s="2423"/>
    </row>
    <row r="44277" s="101" customFormat="1" spans="6:6">
      <c r="F44277" s="2423"/>
    </row>
    <row r="44278" s="101" customFormat="1" spans="6:6">
      <c r="F44278" s="2423"/>
    </row>
    <row r="44279" s="101" customFormat="1" spans="6:6">
      <c r="F44279" s="2423"/>
    </row>
    <row r="44280" s="101" customFormat="1" spans="6:6">
      <c r="F44280" s="2423"/>
    </row>
    <row r="44281" s="101" customFormat="1" spans="6:6">
      <c r="F44281" s="2423"/>
    </row>
    <row r="44282" s="101" customFormat="1" spans="6:6">
      <c r="F44282" s="2423"/>
    </row>
    <row r="44283" s="101" customFormat="1" spans="6:6">
      <c r="F44283" s="2423"/>
    </row>
    <row r="44284" s="101" customFormat="1" spans="6:6">
      <c r="F44284" s="2423"/>
    </row>
    <row r="44285" s="101" customFormat="1" spans="6:6">
      <c r="F44285" s="2423"/>
    </row>
    <row r="44286" s="101" customFormat="1" spans="6:6">
      <c r="F44286" s="2423"/>
    </row>
    <row r="44287" s="101" customFormat="1" spans="6:6">
      <c r="F44287" s="2423"/>
    </row>
    <row r="44288" s="101" customFormat="1" spans="6:6">
      <c r="F44288" s="2423"/>
    </row>
    <row r="44289" s="101" customFormat="1" spans="6:6">
      <c r="F44289" s="2423"/>
    </row>
    <row r="44290" s="101" customFormat="1" spans="6:6">
      <c r="F44290" s="2423"/>
    </row>
    <row r="44291" s="101" customFormat="1" spans="6:6">
      <c r="F44291" s="2423"/>
    </row>
    <row r="44292" s="101" customFormat="1" spans="6:6">
      <c r="F44292" s="2423"/>
    </row>
    <row r="44293" s="101" customFormat="1" spans="6:6">
      <c r="F44293" s="2423"/>
    </row>
    <row r="44294" s="101" customFormat="1" spans="6:6">
      <c r="F44294" s="2423"/>
    </row>
    <row r="44295" s="101" customFormat="1" spans="6:6">
      <c r="F44295" s="2423"/>
    </row>
    <row r="44296" s="101" customFormat="1" spans="6:6">
      <c r="F44296" s="2423"/>
    </row>
    <row r="44297" s="101" customFormat="1" spans="6:6">
      <c r="F44297" s="2423"/>
    </row>
    <row r="44298" s="101" customFormat="1" spans="6:6">
      <c r="F44298" s="2423"/>
    </row>
    <row r="44299" s="101" customFormat="1" spans="6:6">
      <c r="F44299" s="2423"/>
    </row>
    <row r="44300" s="101" customFormat="1" spans="6:6">
      <c r="F44300" s="2423"/>
    </row>
    <row r="44301" s="101" customFormat="1" spans="6:6">
      <c r="F44301" s="2423"/>
    </row>
    <row r="44302" s="101" customFormat="1" spans="6:6">
      <c r="F44302" s="2423"/>
    </row>
    <row r="44303" s="101" customFormat="1" spans="6:6">
      <c r="F44303" s="2423"/>
    </row>
    <row r="44304" s="101" customFormat="1" spans="6:6">
      <c r="F44304" s="2423"/>
    </row>
    <row r="44305" s="101" customFormat="1" spans="6:6">
      <c r="F44305" s="2423"/>
    </row>
    <row r="44306" s="101" customFormat="1" spans="6:6">
      <c r="F44306" s="2423"/>
    </row>
    <row r="44307" s="101" customFormat="1" spans="6:6">
      <c r="F44307" s="2423"/>
    </row>
    <row r="44308" s="101" customFormat="1" spans="6:6">
      <c r="F44308" s="2423"/>
    </row>
    <row r="44309" s="101" customFormat="1" spans="6:6">
      <c r="F44309" s="2423"/>
    </row>
    <row r="44310" s="101" customFormat="1" spans="6:6">
      <c r="F44310" s="2423"/>
    </row>
    <row r="44311" s="101" customFormat="1" spans="6:6">
      <c r="F44311" s="2423"/>
    </row>
    <row r="44312" s="101" customFormat="1" spans="6:6">
      <c r="F44312" s="2423"/>
    </row>
    <row r="44313" s="101" customFormat="1" spans="6:6">
      <c r="F44313" s="2423"/>
    </row>
    <row r="44314" s="101" customFormat="1" spans="6:6">
      <c r="F44314" s="2423"/>
    </row>
    <row r="44315" s="101" customFormat="1" spans="6:6">
      <c r="F44315" s="2423"/>
    </row>
    <row r="44316" s="101" customFormat="1" spans="6:6">
      <c r="F44316" s="2423"/>
    </row>
    <row r="44317" s="101" customFormat="1" spans="6:6">
      <c r="F44317" s="2423"/>
    </row>
    <row r="44318" s="101" customFormat="1" spans="6:6">
      <c r="F44318" s="2423"/>
    </row>
    <row r="44319" s="101" customFormat="1" spans="6:6">
      <c r="F44319" s="2423"/>
    </row>
    <row r="44320" s="101" customFormat="1" spans="6:6">
      <c r="F44320" s="2423"/>
    </row>
    <row r="44321" s="101" customFormat="1" spans="6:6">
      <c r="F44321" s="2423"/>
    </row>
    <row r="44322" s="101" customFormat="1" spans="6:6">
      <c r="F44322" s="2423"/>
    </row>
    <row r="44323" s="101" customFormat="1" spans="6:6">
      <c r="F44323" s="2423"/>
    </row>
    <row r="44324" s="101" customFormat="1" spans="6:6">
      <c r="F44324" s="2423"/>
    </row>
    <row r="44325" s="101" customFormat="1" spans="6:6">
      <c r="F44325" s="2423"/>
    </row>
    <row r="44326" s="101" customFormat="1" spans="6:6">
      <c r="F44326" s="2423"/>
    </row>
    <row r="44327" s="101" customFormat="1" spans="6:6">
      <c r="F44327" s="2423"/>
    </row>
    <row r="44328" s="101" customFormat="1" spans="6:6">
      <c r="F44328" s="2423"/>
    </row>
    <row r="44329" s="101" customFormat="1" spans="6:6">
      <c r="F44329" s="2423"/>
    </row>
    <row r="44330" s="101" customFormat="1" spans="6:6">
      <c r="F44330" s="2423"/>
    </row>
    <row r="44331" s="101" customFormat="1" spans="6:6">
      <c r="F44331" s="2423"/>
    </row>
    <row r="44332" s="101" customFormat="1" spans="6:6">
      <c r="F44332" s="2423"/>
    </row>
    <row r="44333" s="101" customFormat="1" spans="6:6">
      <c r="F44333" s="2423"/>
    </row>
    <row r="44334" s="101" customFormat="1" spans="6:6">
      <c r="F44334" s="2423"/>
    </row>
    <row r="44335" s="101" customFormat="1" spans="6:6">
      <c r="F44335" s="2423"/>
    </row>
    <row r="44336" s="101" customFormat="1" spans="6:6">
      <c r="F44336" s="2423"/>
    </row>
    <row r="44337" s="101" customFormat="1" spans="6:6">
      <c r="F44337" s="2423"/>
    </row>
    <row r="44338" s="101" customFormat="1" spans="6:6">
      <c r="F44338" s="2423"/>
    </row>
    <row r="44339" s="101" customFormat="1" spans="6:6">
      <c r="F44339" s="2423"/>
    </row>
    <row r="44340" s="101" customFormat="1" spans="6:6">
      <c r="F44340" s="2423"/>
    </row>
    <row r="44341" s="101" customFormat="1" spans="6:6">
      <c r="F44341" s="2423"/>
    </row>
    <row r="44342" s="101" customFormat="1" spans="6:6">
      <c r="F44342" s="2423"/>
    </row>
    <row r="44343" s="101" customFormat="1" spans="6:6">
      <c r="F44343" s="2423"/>
    </row>
    <row r="44344" s="101" customFormat="1" spans="6:6">
      <c r="F44344" s="2423"/>
    </row>
    <row r="44345" s="101" customFormat="1" spans="6:6">
      <c r="F44345" s="2423"/>
    </row>
    <row r="44346" s="101" customFormat="1" spans="6:6">
      <c r="F44346" s="2423"/>
    </row>
    <row r="44347" s="101" customFormat="1" spans="6:6">
      <c r="F44347" s="2423"/>
    </row>
    <row r="44348" s="101" customFormat="1" spans="6:6">
      <c r="F44348" s="2423"/>
    </row>
    <row r="44349" s="101" customFormat="1" spans="6:6">
      <c r="F44349" s="2423"/>
    </row>
    <row r="44350" s="101" customFormat="1" spans="6:6">
      <c r="F44350" s="2423"/>
    </row>
    <row r="44351" s="101" customFormat="1" spans="6:6">
      <c r="F44351" s="2423"/>
    </row>
    <row r="44352" s="101" customFormat="1" spans="6:6">
      <c r="F44352" s="2423"/>
    </row>
    <row r="44353" s="101" customFormat="1" spans="6:6">
      <c r="F44353" s="2423"/>
    </row>
    <row r="44354" s="101" customFormat="1" spans="6:6">
      <c r="F44354" s="2423"/>
    </row>
    <row r="44355" s="101" customFormat="1" spans="6:6">
      <c r="F44355" s="2423"/>
    </row>
    <row r="44356" s="101" customFormat="1" spans="6:6">
      <c r="F44356" s="2423"/>
    </row>
    <row r="44357" s="101" customFormat="1" spans="6:6">
      <c r="F44357" s="2423"/>
    </row>
    <row r="44358" s="101" customFormat="1" spans="6:6">
      <c r="F44358" s="2423"/>
    </row>
    <row r="44359" s="101" customFormat="1" spans="6:6">
      <c r="F44359" s="2423"/>
    </row>
    <row r="44360" s="101" customFormat="1" spans="6:6">
      <c r="F44360" s="2423"/>
    </row>
    <row r="44361" s="101" customFormat="1" spans="6:6">
      <c r="F44361" s="2423"/>
    </row>
    <row r="44362" s="101" customFormat="1" spans="6:6">
      <c r="F44362" s="2423"/>
    </row>
    <row r="44363" s="101" customFormat="1" spans="6:6">
      <c r="F44363" s="2423"/>
    </row>
    <row r="44364" s="101" customFormat="1" spans="6:6">
      <c r="F44364" s="2423"/>
    </row>
    <row r="44365" s="101" customFormat="1" spans="6:6">
      <c r="F44365" s="2423"/>
    </row>
    <row r="44366" s="101" customFormat="1" spans="6:6">
      <c r="F44366" s="2423"/>
    </row>
    <row r="44367" s="101" customFormat="1" spans="6:6">
      <c r="F44367" s="2423"/>
    </row>
    <row r="44368" s="101" customFormat="1" spans="6:6">
      <c r="F44368" s="2423"/>
    </row>
    <row r="44369" s="101" customFormat="1" spans="6:6">
      <c r="F44369" s="2423"/>
    </row>
    <row r="44370" s="101" customFormat="1" spans="6:6">
      <c r="F44370" s="2423"/>
    </row>
    <row r="44371" s="101" customFormat="1" spans="6:6">
      <c r="F44371" s="2423"/>
    </row>
    <row r="44372" s="101" customFormat="1" spans="6:6">
      <c r="F44372" s="2423"/>
    </row>
    <row r="44373" s="101" customFormat="1" spans="6:6">
      <c r="F44373" s="2423"/>
    </row>
    <row r="44374" s="101" customFormat="1" spans="6:6">
      <c r="F44374" s="2423"/>
    </row>
    <row r="44375" s="101" customFormat="1" spans="6:6">
      <c r="F44375" s="2423"/>
    </row>
    <row r="44376" s="101" customFormat="1" spans="6:6">
      <c r="F44376" s="2423"/>
    </row>
    <row r="44377" s="101" customFormat="1" spans="6:6">
      <c r="F44377" s="2423"/>
    </row>
    <row r="44378" s="101" customFormat="1" spans="6:6">
      <c r="F44378" s="2423"/>
    </row>
    <row r="44379" s="101" customFormat="1" spans="6:6">
      <c r="F44379" s="2423"/>
    </row>
    <row r="44380" s="101" customFormat="1" spans="6:6">
      <c r="F44380" s="2423"/>
    </row>
    <row r="44381" s="101" customFormat="1" spans="6:6">
      <c r="F44381" s="2423"/>
    </row>
    <row r="44382" s="101" customFormat="1" spans="6:6">
      <c r="F44382" s="2423"/>
    </row>
    <row r="44383" s="101" customFormat="1" spans="6:6">
      <c r="F44383" s="2423"/>
    </row>
    <row r="44384" s="101" customFormat="1" spans="6:6">
      <c r="F44384" s="2423"/>
    </row>
    <row r="44385" s="101" customFormat="1" spans="6:6">
      <c r="F44385" s="2423"/>
    </row>
    <row r="44386" s="101" customFormat="1" spans="6:6">
      <c r="F44386" s="2423"/>
    </row>
    <row r="44387" s="101" customFormat="1" spans="6:6">
      <c r="F44387" s="2423"/>
    </row>
    <row r="44388" s="101" customFormat="1" spans="6:6">
      <c r="F44388" s="2423"/>
    </row>
    <row r="44389" s="101" customFormat="1" spans="6:6">
      <c r="F44389" s="2423"/>
    </row>
    <row r="44390" s="101" customFormat="1" spans="6:6">
      <c r="F44390" s="2423"/>
    </row>
    <row r="44391" s="101" customFormat="1" spans="6:6">
      <c r="F44391" s="2423"/>
    </row>
    <row r="44392" s="101" customFormat="1" spans="6:6">
      <c r="F44392" s="2423"/>
    </row>
    <row r="44393" s="101" customFormat="1" spans="6:6">
      <c r="F44393" s="2423"/>
    </row>
    <row r="44394" s="101" customFormat="1" spans="6:6">
      <c r="F44394" s="2423"/>
    </row>
    <row r="44395" s="101" customFormat="1" spans="6:6">
      <c r="F44395" s="2423"/>
    </row>
    <row r="44396" s="101" customFormat="1" spans="6:6">
      <c r="F44396" s="2423"/>
    </row>
    <row r="44397" s="101" customFormat="1" spans="6:6">
      <c r="F44397" s="2423"/>
    </row>
    <row r="44398" s="101" customFormat="1" spans="6:6">
      <c r="F44398" s="2423"/>
    </row>
    <row r="44399" s="101" customFormat="1" spans="6:6">
      <c r="F44399" s="2423"/>
    </row>
    <row r="44400" s="101" customFormat="1" spans="6:6">
      <c r="F44400" s="2423"/>
    </row>
    <row r="44401" s="101" customFormat="1" spans="6:6">
      <c r="F44401" s="2423"/>
    </row>
    <row r="44402" s="101" customFormat="1" spans="6:6">
      <c r="F44402" s="2423"/>
    </row>
    <row r="44403" s="101" customFormat="1" spans="6:6">
      <c r="F44403" s="2423"/>
    </row>
    <row r="44404" s="101" customFormat="1" spans="6:6">
      <c r="F44404" s="2423"/>
    </row>
    <row r="44405" s="101" customFormat="1" spans="6:6">
      <c r="F44405" s="2423"/>
    </row>
    <row r="44406" s="101" customFormat="1" spans="6:6">
      <c r="F44406" s="2423"/>
    </row>
    <row r="44407" s="101" customFormat="1" spans="6:6">
      <c r="F44407" s="2423"/>
    </row>
    <row r="44408" s="101" customFormat="1" spans="6:6">
      <c r="F44408" s="2423"/>
    </row>
    <row r="44409" s="101" customFormat="1" spans="6:6">
      <c r="F44409" s="2423"/>
    </row>
    <row r="44410" s="101" customFormat="1" spans="6:6">
      <c r="F44410" s="2423"/>
    </row>
    <row r="44411" s="101" customFormat="1" spans="6:6">
      <c r="F44411" s="2423"/>
    </row>
    <row r="44412" s="101" customFormat="1" spans="6:6">
      <c r="F44412" s="2423"/>
    </row>
    <row r="44413" s="101" customFormat="1" spans="6:6">
      <c r="F44413" s="2423"/>
    </row>
    <row r="44414" s="101" customFormat="1" spans="6:6">
      <c r="F44414" s="2423"/>
    </row>
    <row r="44415" s="101" customFormat="1" spans="6:6">
      <c r="F44415" s="2423"/>
    </row>
    <row r="44416" s="101" customFormat="1" spans="6:6">
      <c r="F44416" s="2423"/>
    </row>
    <row r="44417" s="101" customFormat="1" spans="6:6">
      <c r="F44417" s="2423"/>
    </row>
    <row r="44418" s="101" customFormat="1" spans="6:6">
      <c r="F44418" s="2423"/>
    </row>
    <row r="44419" s="101" customFormat="1" spans="6:6">
      <c r="F44419" s="2423"/>
    </row>
    <row r="44420" s="101" customFormat="1" spans="6:6">
      <c r="F44420" s="2423"/>
    </row>
    <row r="44421" s="101" customFormat="1" spans="6:6">
      <c r="F44421" s="2423"/>
    </row>
    <row r="44422" s="101" customFormat="1" spans="6:6">
      <c r="F44422" s="2423"/>
    </row>
    <row r="44423" s="101" customFormat="1" spans="6:6">
      <c r="F44423" s="2423"/>
    </row>
    <row r="44424" s="101" customFormat="1" spans="6:6">
      <c r="F44424" s="2423"/>
    </row>
    <row r="44425" s="101" customFormat="1" spans="6:6">
      <c r="F44425" s="2423"/>
    </row>
    <row r="44426" s="101" customFormat="1" spans="6:6">
      <c r="F44426" s="2423"/>
    </row>
    <row r="44427" s="101" customFormat="1" spans="6:6">
      <c r="F44427" s="2423"/>
    </row>
    <row r="44428" s="101" customFormat="1" spans="6:6">
      <c r="F44428" s="2423"/>
    </row>
    <row r="44429" s="101" customFormat="1" spans="6:6">
      <c r="F44429" s="2423"/>
    </row>
    <row r="44430" s="101" customFormat="1" spans="6:6">
      <c r="F44430" s="2423"/>
    </row>
    <row r="44431" s="101" customFormat="1" spans="6:6">
      <c r="F44431" s="2423"/>
    </row>
    <row r="44432" s="101" customFormat="1" spans="6:6">
      <c r="F44432" s="2423"/>
    </row>
    <row r="44433" s="101" customFormat="1" spans="6:6">
      <c r="F44433" s="2423"/>
    </row>
    <row r="44434" s="101" customFormat="1" spans="6:6">
      <c r="F44434" s="2423"/>
    </row>
    <row r="44435" s="101" customFormat="1" spans="6:6">
      <c r="F44435" s="2423"/>
    </row>
    <row r="44436" s="101" customFormat="1" spans="6:6">
      <c r="F44436" s="2423"/>
    </row>
    <row r="44437" s="101" customFormat="1" spans="6:6">
      <c r="F44437" s="2423"/>
    </row>
    <row r="44438" s="101" customFormat="1" spans="6:6">
      <c r="F44438" s="2423"/>
    </row>
    <row r="44439" s="101" customFormat="1" spans="6:6">
      <c r="F44439" s="2423"/>
    </row>
    <row r="44440" s="101" customFormat="1" spans="6:6">
      <c r="F44440" s="2423"/>
    </row>
    <row r="44441" s="101" customFormat="1" spans="6:6">
      <c r="F44441" s="2423"/>
    </row>
    <row r="44442" s="101" customFormat="1" spans="6:6">
      <c r="F44442" s="2423"/>
    </row>
    <row r="44443" s="101" customFormat="1" spans="6:6">
      <c r="F44443" s="2423"/>
    </row>
    <row r="44444" s="101" customFormat="1" spans="6:6">
      <c r="F44444" s="2423"/>
    </row>
    <row r="44445" s="101" customFormat="1" spans="6:6">
      <c r="F44445" s="2423"/>
    </row>
    <row r="44446" s="101" customFormat="1" spans="6:6">
      <c r="F44446" s="2423"/>
    </row>
    <row r="44447" s="101" customFormat="1" spans="6:6">
      <c r="F44447" s="2423"/>
    </row>
    <row r="44448" s="101" customFormat="1" spans="6:6">
      <c r="F44448" s="2423"/>
    </row>
    <row r="44449" s="101" customFormat="1" spans="6:6">
      <c r="F44449" s="2423"/>
    </row>
    <row r="44450" s="101" customFormat="1" spans="6:6">
      <c r="F44450" s="2423"/>
    </row>
    <row r="44451" s="101" customFormat="1" spans="6:6">
      <c r="F44451" s="2423"/>
    </row>
    <row r="44452" s="101" customFormat="1" spans="6:6">
      <c r="F44452" s="2423"/>
    </row>
    <row r="44453" s="101" customFormat="1" spans="6:6">
      <c r="F44453" s="2423"/>
    </row>
    <row r="44454" s="101" customFormat="1" spans="6:6">
      <c r="F44454" s="2423"/>
    </row>
    <row r="44455" s="101" customFormat="1" spans="6:6">
      <c r="F44455" s="2423"/>
    </row>
    <row r="44456" s="101" customFormat="1" spans="6:6">
      <c r="F44456" s="2423"/>
    </row>
    <row r="44457" s="101" customFormat="1" spans="6:6">
      <c r="F44457" s="2423"/>
    </row>
    <row r="44458" s="101" customFormat="1" spans="6:6">
      <c r="F44458" s="2423"/>
    </row>
    <row r="44459" s="101" customFormat="1" spans="6:6">
      <c r="F44459" s="2423"/>
    </row>
    <row r="44460" s="101" customFormat="1" spans="6:6">
      <c r="F44460" s="2423"/>
    </row>
    <row r="44461" s="101" customFormat="1" spans="6:6">
      <c r="F44461" s="2423"/>
    </row>
    <row r="44462" s="101" customFormat="1" spans="6:6">
      <c r="F44462" s="2423"/>
    </row>
    <row r="44463" s="101" customFormat="1" spans="6:6">
      <c r="F44463" s="2423"/>
    </row>
    <row r="44464" s="101" customFormat="1" spans="6:6">
      <c r="F44464" s="2423"/>
    </row>
    <row r="44465" s="101" customFormat="1" spans="6:6">
      <c r="F44465" s="2423"/>
    </row>
    <row r="44466" s="101" customFormat="1" spans="6:6">
      <c r="F44466" s="2423"/>
    </row>
    <row r="44467" s="101" customFormat="1" spans="6:6">
      <c r="F44467" s="2423"/>
    </row>
    <row r="44468" s="101" customFormat="1" spans="6:6">
      <c r="F44468" s="2423"/>
    </row>
    <row r="44469" s="101" customFormat="1" spans="6:6">
      <c r="F44469" s="2423"/>
    </row>
    <row r="44470" s="101" customFormat="1" spans="6:6">
      <c r="F44470" s="2423"/>
    </row>
    <row r="44471" s="101" customFormat="1" spans="6:6">
      <c r="F44471" s="2423"/>
    </row>
    <row r="44472" s="101" customFormat="1" spans="6:6">
      <c r="F44472" s="2423"/>
    </row>
    <row r="44473" s="101" customFormat="1" spans="6:6">
      <c r="F44473" s="2423"/>
    </row>
    <row r="44474" s="101" customFormat="1" spans="6:6">
      <c r="F44474" s="2423"/>
    </row>
    <row r="44475" s="101" customFormat="1" spans="6:6">
      <c r="F44475" s="2423"/>
    </row>
    <row r="44476" s="101" customFormat="1" spans="6:6">
      <c r="F44476" s="2423"/>
    </row>
    <row r="44477" s="101" customFormat="1" spans="6:6">
      <c r="F44477" s="2423"/>
    </row>
    <row r="44478" s="101" customFormat="1" spans="6:6">
      <c r="F44478" s="2423"/>
    </row>
    <row r="44479" s="101" customFormat="1" spans="6:6">
      <c r="F44479" s="2423"/>
    </row>
    <row r="44480" s="101" customFormat="1" spans="6:6">
      <c r="F44480" s="2423"/>
    </row>
    <row r="44481" s="101" customFormat="1" spans="6:6">
      <c r="F44481" s="2423"/>
    </row>
    <row r="44482" s="101" customFormat="1" spans="6:6">
      <c r="F44482" s="2423"/>
    </row>
    <row r="44483" s="101" customFormat="1" spans="6:6">
      <c r="F44483" s="2423"/>
    </row>
    <row r="44484" s="101" customFormat="1" spans="6:6">
      <c r="F44484" s="2423"/>
    </row>
    <row r="44485" s="101" customFormat="1" spans="6:6">
      <c r="F44485" s="2423"/>
    </row>
    <row r="44486" s="101" customFormat="1" spans="6:6">
      <c r="F44486" s="2423"/>
    </row>
    <row r="44487" s="101" customFormat="1" spans="6:6">
      <c r="F44487" s="2423"/>
    </row>
    <row r="44488" s="101" customFormat="1" spans="6:6">
      <c r="F44488" s="2423"/>
    </row>
    <row r="44489" s="101" customFormat="1" spans="6:6">
      <c r="F44489" s="2423"/>
    </row>
    <row r="44490" s="101" customFormat="1" spans="6:6">
      <c r="F44490" s="2423"/>
    </row>
    <row r="44491" s="101" customFormat="1" spans="6:6">
      <c r="F44491" s="2423"/>
    </row>
    <row r="44492" s="101" customFormat="1" spans="6:6">
      <c r="F44492" s="2423"/>
    </row>
    <row r="44493" s="101" customFormat="1" spans="6:6">
      <c r="F44493" s="2423"/>
    </row>
    <row r="44494" s="101" customFormat="1" spans="6:6">
      <c r="F44494" s="2423"/>
    </row>
    <row r="44495" s="101" customFormat="1" spans="6:6">
      <c r="F44495" s="2423"/>
    </row>
    <row r="44496" s="101" customFormat="1" spans="6:6">
      <c r="F44496" s="2423"/>
    </row>
    <row r="44497" s="101" customFormat="1" spans="6:6">
      <c r="F44497" s="2423"/>
    </row>
    <row r="44498" s="101" customFormat="1" spans="6:6">
      <c r="F44498" s="2423"/>
    </row>
    <row r="44499" s="101" customFormat="1" spans="6:6">
      <c r="F44499" s="2423"/>
    </row>
    <row r="44500" s="101" customFormat="1" spans="6:6">
      <c r="F44500" s="2423"/>
    </row>
    <row r="44501" s="101" customFormat="1" spans="6:6">
      <c r="F44501" s="2423"/>
    </row>
    <row r="44502" s="101" customFormat="1" spans="6:6">
      <c r="F44502" s="2423"/>
    </row>
    <row r="44503" s="101" customFormat="1" spans="6:6">
      <c r="F44503" s="2423"/>
    </row>
    <row r="44504" s="101" customFormat="1" spans="6:6">
      <c r="F44504" s="2423"/>
    </row>
    <row r="44505" s="101" customFormat="1" spans="6:6">
      <c r="F44505" s="2423"/>
    </row>
    <row r="44506" s="101" customFormat="1" spans="6:6">
      <c r="F44506" s="2423"/>
    </row>
    <row r="44507" s="101" customFormat="1" spans="6:6">
      <c r="F44507" s="2423"/>
    </row>
    <row r="44508" s="101" customFormat="1" spans="6:6">
      <c r="F44508" s="2423"/>
    </row>
    <row r="44509" s="101" customFormat="1" spans="6:6">
      <c r="F44509" s="2423"/>
    </row>
    <row r="44510" s="101" customFormat="1" spans="6:6">
      <c r="F44510" s="2423"/>
    </row>
    <row r="44511" s="101" customFormat="1" spans="6:6">
      <c r="F44511" s="2423"/>
    </row>
    <row r="44512" s="101" customFormat="1" spans="6:6">
      <c r="F44512" s="2423"/>
    </row>
    <row r="44513" s="101" customFormat="1" spans="6:6">
      <c r="F44513" s="2423"/>
    </row>
    <row r="44514" s="101" customFormat="1" spans="6:6">
      <c r="F44514" s="2423"/>
    </row>
    <row r="44515" s="101" customFormat="1" spans="6:6">
      <c r="F44515" s="2423"/>
    </row>
    <row r="44516" s="101" customFormat="1" spans="6:6">
      <c r="F44516" s="2423"/>
    </row>
    <row r="44517" s="101" customFormat="1" spans="6:6">
      <c r="F44517" s="2423"/>
    </row>
    <row r="44518" s="101" customFormat="1" spans="6:6">
      <c r="F44518" s="2423"/>
    </row>
    <row r="44519" s="101" customFormat="1" spans="6:6">
      <c r="F44519" s="2423"/>
    </row>
    <row r="44520" s="101" customFormat="1" spans="6:6">
      <c r="F44520" s="2423"/>
    </row>
    <row r="44521" s="101" customFormat="1" spans="6:6">
      <c r="F44521" s="2423"/>
    </row>
    <row r="44522" s="101" customFormat="1" spans="6:6">
      <c r="F44522" s="2423"/>
    </row>
    <row r="44523" s="101" customFormat="1" spans="6:6">
      <c r="F44523" s="2423"/>
    </row>
    <row r="44524" s="101" customFormat="1" spans="6:6">
      <c r="F44524" s="2423"/>
    </row>
    <row r="44525" s="101" customFormat="1" spans="6:6">
      <c r="F44525" s="2423"/>
    </row>
    <row r="44526" s="101" customFormat="1" spans="6:6">
      <c r="F44526" s="2423"/>
    </row>
    <row r="44527" s="101" customFormat="1" spans="6:6">
      <c r="F44527" s="2423"/>
    </row>
    <row r="44528" s="101" customFormat="1" spans="6:6">
      <c r="F44528" s="2423"/>
    </row>
    <row r="44529" s="101" customFormat="1" spans="6:6">
      <c r="F44529" s="2423"/>
    </row>
    <row r="44530" s="101" customFormat="1" spans="6:6">
      <c r="F44530" s="2423"/>
    </row>
    <row r="44531" s="101" customFormat="1" spans="6:6">
      <c r="F44531" s="2423"/>
    </row>
    <row r="44532" s="101" customFormat="1" spans="6:6">
      <c r="F44532" s="2423"/>
    </row>
    <row r="44533" s="101" customFormat="1" spans="6:6">
      <c r="F44533" s="2423"/>
    </row>
    <row r="44534" s="101" customFormat="1" spans="6:6">
      <c r="F44534" s="2423"/>
    </row>
    <row r="44535" s="101" customFormat="1" spans="6:6">
      <c r="F44535" s="2423"/>
    </row>
    <row r="44536" s="101" customFormat="1" spans="6:6">
      <c r="F44536" s="2423"/>
    </row>
    <row r="44537" s="101" customFormat="1" spans="6:6">
      <c r="F44537" s="2423"/>
    </row>
    <row r="44538" s="101" customFormat="1" spans="6:6">
      <c r="F44538" s="2423"/>
    </row>
    <row r="44539" s="101" customFormat="1" spans="6:6">
      <c r="F44539" s="2423"/>
    </row>
    <row r="44540" s="101" customFormat="1" spans="6:6">
      <c r="F44540" s="2423"/>
    </row>
    <row r="44541" s="101" customFormat="1" spans="6:6">
      <c r="F44541" s="2423"/>
    </row>
    <row r="44542" s="101" customFormat="1" spans="6:6">
      <c r="F44542" s="2423"/>
    </row>
    <row r="44543" s="101" customFormat="1" spans="6:6">
      <c r="F44543" s="2423"/>
    </row>
    <row r="44544" s="101" customFormat="1" spans="6:6">
      <c r="F44544" s="2423"/>
    </row>
    <row r="44545" s="101" customFormat="1" spans="6:6">
      <c r="F44545" s="2423"/>
    </row>
    <row r="44546" s="101" customFormat="1" spans="6:6">
      <c r="F44546" s="2423"/>
    </row>
    <row r="44547" s="101" customFormat="1" spans="6:6">
      <c r="F44547" s="2423"/>
    </row>
    <row r="44548" s="101" customFormat="1" spans="6:6">
      <c r="F44548" s="2423"/>
    </row>
    <row r="44549" s="101" customFormat="1" spans="6:6">
      <c r="F44549" s="2423"/>
    </row>
    <row r="44550" s="101" customFormat="1" spans="6:6">
      <c r="F44550" s="2423"/>
    </row>
    <row r="44551" s="101" customFormat="1" spans="6:6">
      <c r="F44551" s="2423"/>
    </row>
    <row r="44552" s="101" customFormat="1" spans="6:6">
      <c r="F44552" s="2423"/>
    </row>
    <row r="44553" s="101" customFormat="1" spans="6:6">
      <c r="F44553" s="2423"/>
    </row>
    <row r="44554" s="101" customFormat="1" spans="6:6">
      <c r="F44554" s="2423"/>
    </row>
    <row r="44555" s="101" customFormat="1" spans="6:6">
      <c r="F44555" s="2423"/>
    </row>
    <row r="44556" s="101" customFormat="1" spans="6:6">
      <c r="F44556" s="2423"/>
    </row>
    <row r="44557" s="101" customFormat="1" spans="6:6">
      <c r="F44557" s="2423"/>
    </row>
    <row r="44558" s="101" customFormat="1" spans="6:6">
      <c r="F44558" s="2423"/>
    </row>
    <row r="44559" s="101" customFormat="1" spans="6:6">
      <c r="F44559" s="2423"/>
    </row>
    <row r="44560" s="101" customFormat="1" spans="6:6">
      <c r="F44560" s="2423"/>
    </row>
    <row r="44561" s="101" customFormat="1" spans="6:6">
      <c r="F44561" s="2423"/>
    </row>
    <row r="44562" s="101" customFormat="1" spans="6:6">
      <c r="F44562" s="2423"/>
    </row>
    <row r="44563" s="101" customFormat="1" spans="6:6">
      <c r="F44563" s="2423"/>
    </row>
    <row r="44564" s="101" customFormat="1" spans="6:6">
      <c r="F44564" s="2423"/>
    </row>
    <row r="44565" s="101" customFormat="1" spans="6:6">
      <c r="F44565" s="2423"/>
    </row>
    <row r="44566" s="101" customFormat="1" spans="6:6">
      <c r="F44566" s="2423"/>
    </row>
    <row r="44567" s="101" customFormat="1" spans="6:6">
      <c r="F44567" s="2423"/>
    </row>
    <row r="44568" s="101" customFormat="1" spans="6:6">
      <c r="F44568" s="2423"/>
    </row>
    <row r="44569" s="101" customFormat="1" spans="6:6">
      <c r="F44569" s="2423"/>
    </row>
    <row r="44570" s="101" customFormat="1" spans="6:6">
      <c r="F44570" s="2423"/>
    </row>
    <row r="44571" s="101" customFormat="1" spans="6:6">
      <c r="F44571" s="2423"/>
    </row>
    <row r="44572" s="101" customFormat="1" spans="6:6">
      <c r="F44572" s="2423"/>
    </row>
    <row r="44573" s="101" customFormat="1" spans="6:6">
      <c r="F44573" s="2423"/>
    </row>
    <row r="44574" s="101" customFormat="1" spans="6:6">
      <c r="F44574" s="2423"/>
    </row>
    <row r="44575" s="101" customFormat="1" spans="6:6">
      <c r="F44575" s="2423"/>
    </row>
    <row r="44576" s="101" customFormat="1" spans="6:6">
      <c r="F44576" s="2423"/>
    </row>
    <row r="44577" s="101" customFormat="1" spans="6:6">
      <c r="F44577" s="2423"/>
    </row>
    <row r="44578" s="101" customFormat="1" spans="6:6">
      <c r="F44578" s="2423"/>
    </row>
    <row r="44579" s="101" customFormat="1" spans="6:6">
      <c r="F44579" s="2423"/>
    </row>
    <row r="44580" s="101" customFormat="1" spans="6:6">
      <c r="F44580" s="2423"/>
    </row>
    <row r="44581" s="101" customFormat="1" spans="6:6">
      <c r="F44581" s="2423"/>
    </row>
    <row r="44582" s="101" customFormat="1" spans="6:6">
      <c r="F44582" s="2423"/>
    </row>
    <row r="44583" s="101" customFormat="1" spans="6:6">
      <c r="F44583" s="2423"/>
    </row>
    <row r="44584" s="101" customFormat="1" spans="6:6">
      <c r="F44584" s="2423"/>
    </row>
    <row r="44585" s="101" customFormat="1" spans="6:6">
      <c r="F44585" s="2423"/>
    </row>
    <row r="44586" s="101" customFormat="1" spans="6:6">
      <c r="F44586" s="2423"/>
    </row>
    <row r="44587" s="101" customFormat="1" spans="6:6">
      <c r="F44587" s="2423"/>
    </row>
    <row r="44588" s="101" customFormat="1" spans="6:6">
      <c r="F44588" s="2423"/>
    </row>
    <row r="44589" s="101" customFormat="1" spans="6:6">
      <c r="F44589" s="2423"/>
    </row>
    <row r="44590" s="101" customFormat="1" spans="6:6">
      <c r="F44590" s="2423"/>
    </row>
    <row r="44591" s="101" customFormat="1" spans="6:6">
      <c r="F44591" s="2423"/>
    </row>
    <row r="44592" s="101" customFormat="1" spans="6:6">
      <c r="F44592" s="2423"/>
    </row>
    <row r="44593" s="101" customFormat="1" spans="6:6">
      <c r="F44593" s="2423"/>
    </row>
    <row r="44594" s="101" customFormat="1" spans="6:6">
      <c r="F44594" s="2423"/>
    </row>
    <row r="44595" s="101" customFormat="1" spans="6:6">
      <c r="F44595" s="2423"/>
    </row>
    <row r="44596" s="101" customFormat="1" spans="6:6">
      <c r="F44596" s="2423"/>
    </row>
    <row r="44597" s="101" customFormat="1" spans="6:6">
      <c r="F44597" s="2423"/>
    </row>
    <row r="44598" s="101" customFormat="1" spans="6:6">
      <c r="F44598" s="2423"/>
    </row>
    <row r="44599" s="101" customFormat="1" spans="6:6">
      <c r="F44599" s="2423"/>
    </row>
    <row r="44600" s="101" customFormat="1" spans="6:6">
      <c r="F44600" s="2423"/>
    </row>
    <row r="44601" s="101" customFormat="1" spans="6:6">
      <c r="F44601" s="2423"/>
    </row>
    <row r="44602" s="101" customFormat="1" spans="6:6">
      <c r="F44602" s="2423"/>
    </row>
    <row r="44603" s="101" customFormat="1" spans="6:6">
      <c r="F44603" s="2423"/>
    </row>
    <row r="44604" s="101" customFormat="1" spans="6:6">
      <c r="F44604" s="2423"/>
    </row>
    <row r="44605" s="101" customFormat="1" spans="6:6">
      <c r="F44605" s="2423"/>
    </row>
    <row r="44606" s="101" customFormat="1" spans="6:6">
      <c r="F44606" s="2423"/>
    </row>
    <row r="44607" s="101" customFormat="1" spans="6:6">
      <c r="F44607" s="2423"/>
    </row>
    <row r="44608" s="101" customFormat="1" spans="6:6">
      <c r="F44608" s="2423"/>
    </row>
    <row r="44609" s="101" customFormat="1" spans="6:6">
      <c r="F44609" s="2423"/>
    </row>
    <row r="44610" s="101" customFormat="1" spans="6:6">
      <c r="F44610" s="2423"/>
    </row>
    <row r="44611" s="101" customFormat="1" spans="6:6">
      <c r="F44611" s="2423"/>
    </row>
    <row r="44612" s="101" customFormat="1" spans="6:6">
      <c r="F44612" s="2423"/>
    </row>
    <row r="44613" s="101" customFormat="1" spans="6:6">
      <c r="F44613" s="2423"/>
    </row>
    <row r="44614" s="101" customFormat="1" spans="6:6">
      <c r="F44614" s="2423"/>
    </row>
    <row r="44615" s="101" customFormat="1" spans="6:6">
      <c r="F44615" s="2423"/>
    </row>
    <row r="44616" s="101" customFormat="1" spans="6:6">
      <c r="F44616" s="2423"/>
    </row>
    <row r="44617" s="101" customFormat="1" spans="6:6">
      <c r="F44617" s="2423"/>
    </row>
    <row r="44618" s="101" customFormat="1" spans="6:6">
      <c r="F44618" s="2423"/>
    </row>
    <row r="44619" s="101" customFormat="1" spans="6:6">
      <c r="F44619" s="2423"/>
    </row>
    <row r="44620" s="101" customFormat="1" spans="6:6">
      <c r="F44620" s="2423"/>
    </row>
    <row r="44621" s="101" customFormat="1" spans="6:6">
      <c r="F44621" s="2423"/>
    </row>
    <row r="44622" s="101" customFormat="1" spans="6:6">
      <c r="F44622" s="2423"/>
    </row>
    <row r="44623" s="101" customFormat="1" spans="6:6">
      <c r="F44623" s="2423"/>
    </row>
    <row r="44624" s="101" customFormat="1" spans="6:6">
      <c r="F44624" s="2423"/>
    </row>
    <row r="44625" s="101" customFormat="1" spans="6:6">
      <c r="F44625" s="2423"/>
    </row>
    <row r="44626" s="101" customFormat="1" spans="6:6">
      <c r="F44626" s="2423"/>
    </row>
    <row r="44627" s="101" customFormat="1" spans="6:6">
      <c r="F44627" s="2423"/>
    </row>
    <row r="44628" s="101" customFormat="1" spans="6:6">
      <c r="F44628" s="2423"/>
    </row>
    <row r="44629" s="101" customFormat="1" spans="6:6">
      <c r="F44629" s="2423"/>
    </row>
    <row r="44630" s="101" customFormat="1" spans="6:6">
      <c r="F44630" s="2423"/>
    </row>
    <row r="44631" s="101" customFormat="1" spans="6:6">
      <c r="F44631" s="2423"/>
    </row>
    <row r="44632" s="101" customFormat="1" spans="6:6">
      <c r="F44632" s="2423"/>
    </row>
    <row r="44633" s="101" customFormat="1" spans="6:6">
      <c r="F44633" s="2423"/>
    </row>
    <row r="44634" s="101" customFormat="1" spans="6:6">
      <c r="F44634" s="2423"/>
    </row>
    <row r="44635" s="101" customFormat="1" spans="6:6">
      <c r="F44635" s="2423"/>
    </row>
    <row r="44636" s="101" customFormat="1" spans="6:6">
      <c r="F44636" s="2423"/>
    </row>
    <row r="44637" s="101" customFormat="1" spans="6:6">
      <c r="F44637" s="2423"/>
    </row>
    <row r="44638" s="101" customFormat="1" spans="6:6">
      <c r="F44638" s="2423"/>
    </row>
    <row r="44639" s="101" customFormat="1" spans="6:6">
      <c r="F44639" s="2423"/>
    </row>
    <row r="44640" s="101" customFormat="1" spans="6:6">
      <c r="F44640" s="2423"/>
    </row>
    <row r="44641" s="101" customFormat="1" spans="6:6">
      <c r="F44641" s="2423"/>
    </row>
    <row r="44642" s="101" customFormat="1" spans="6:6">
      <c r="F44642" s="2423"/>
    </row>
    <row r="44643" s="101" customFormat="1" spans="6:6">
      <c r="F44643" s="2423"/>
    </row>
    <row r="44644" s="101" customFormat="1" spans="6:6">
      <c r="F44644" s="2423"/>
    </row>
    <row r="44645" s="101" customFormat="1" spans="6:6">
      <c r="F44645" s="2423"/>
    </row>
    <row r="44646" s="101" customFormat="1" spans="6:6">
      <c r="F44646" s="2423"/>
    </row>
    <row r="44647" s="101" customFormat="1" spans="6:6">
      <c r="F44647" s="2423"/>
    </row>
    <row r="44648" s="101" customFormat="1" spans="6:6">
      <c r="F44648" s="2423"/>
    </row>
    <row r="44649" s="101" customFormat="1" spans="6:6">
      <c r="F44649" s="2423"/>
    </row>
    <row r="44650" s="101" customFormat="1" spans="6:6">
      <c r="F44650" s="2423"/>
    </row>
    <row r="44651" s="101" customFormat="1" spans="6:6">
      <c r="F44651" s="2423"/>
    </row>
    <row r="44652" s="101" customFormat="1" spans="6:6">
      <c r="F44652" s="2423"/>
    </row>
    <row r="44653" s="101" customFormat="1" spans="6:6">
      <c r="F44653" s="2423"/>
    </row>
    <row r="44654" s="101" customFormat="1" spans="6:6">
      <c r="F44654" s="2423"/>
    </row>
    <row r="44655" s="101" customFormat="1" spans="6:6">
      <c r="F44655" s="2423"/>
    </row>
    <row r="44656" s="101" customFormat="1" spans="6:6">
      <c r="F44656" s="2423"/>
    </row>
    <row r="44657" s="101" customFormat="1" spans="6:6">
      <c r="F44657" s="2423"/>
    </row>
    <row r="44658" s="101" customFormat="1" spans="6:6">
      <c r="F44658" s="2423"/>
    </row>
    <row r="44659" s="101" customFormat="1" spans="6:6">
      <c r="F44659" s="2423"/>
    </row>
    <row r="44660" s="101" customFormat="1" spans="6:6">
      <c r="F44660" s="2423"/>
    </row>
    <row r="44661" s="101" customFormat="1" spans="6:6">
      <c r="F44661" s="2423"/>
    </row>
    <row r="44662" s="101" customFormat="1" spans="6:6">
      <c r="F44662" s="2423"/>
    </row>
    <row r="44663" s="101" customFormat="1" spans="6:6">
      <c r="F44663" s="2423"/>
    </row>
    <row r="44664" s="101" customFormat="1" spans="6:6">
      <c r="F44664" s="2423"/>
    </row>
    <row r="44665" s="101" customFormat="1" spans="6:6">
      <c r="F44665" s="2423"/>
    </row>
    <row r="44666" s="101" customFormat="1" spans="6:6">
      <c r="F44666" s="2423"/>
    </row>
    <row r="44667" s="101" customFormat="1" spans="6:6">
      <c r="F44667" s="2423"/>
    </row>
    <row r="44668" s="101" customFormat="1" spans="6:6">
      <c r="F44668" s="2423"/>
    </row>
    <row r="44669" s="101" customFormat="1" spans="6:6">
      <c r="F44669" s="2423"/>
    </row>
    <row r="44670" s="101" customFormat="1" spans="6:6">
      <c r="F44670" s="2423"/>
    </row>
    <row r="44671" s="101" customFormat="1" spans="6:6">
      <c r="F44671" s="2423"/>
    </row>
    <row r="44672" s="101" customFormat="1" spans="6:6">
      <c r="F44672" s="2423"/>
    </row>
    <row r="44673" s="101" customFormat="1" spans="6:6">
      <c r="F44673" s="2423"/>
    </row>
    <row r="44674" s="101" customFormat="1" spans="6:6">
      <c r="F44674" s="2423"/>
    </row>
    <row r="44675" s="101" customFormat="1" spans="6:6">
      <c r="F44675" s="2423"/>
    </row>
    <row r="44676" s="101" customFormat="1" spans="6:6">
      <c r="F44676" s="2423"/>
    </row>
    <row r="44677" s="101" customFormat="1" spans="6:6">
      <c r="F44677" s="2423"/>
    </row>
    <row r="44678" s="101" customFormat="1" spans="6:6">
      <c r="F44678" s="2423"/>
    </row>
    <row r="44679" s="101" customFormat="1" spans="6:6">
      <c r="F44679" s="2423"/>
    </row>
    <row r="44680" s="101" customFormat="1" spans="6:6">
      <c r="F44680" s="2423"/>
    </row>
    <row r="44681" s="101" customFormat="1" spans="6:6">
      <c r="F44681" s="2423"/>
    </row>
    <row r="44682" s="101" customFormat="1" spans="6:6">
      <c r="F44682" s="2423"/>
    </row>
    <row r="44683" s="101" customFormat="1" spans="6:6">
      <c r="F44683" s="2423"/>
    </row>
    <row r="44684" s="101" customFormat="1" spans="6:6">
      <c r="F44684" s="2423"/>
    </row>
    <row r="44685" s="101" customFormat="1" spans="6:6">
      <c r="F44685" s="2423"/>
    </row>
    <row r="44686" s="101" customFormat="1" spans="6:6">
      <c r="F44686" s="2423"/>
    </row>
    <row r="44687" s="101" customFormat="1" spans="6:6">
      <c r="F44687" s="2423"/>
    </row>
    <row r="44688" s="101" customFormat="1" spans="6:6">
      <c r="F44688" s="2423"/>
    </row>
    <row r="44689" s="101" customFormat="1" spans="6:6">
      <c r="F44689" s="2423"/>
    </row>
    <row r="44690" s="101" customFormat="1" spans="6:6">
      <c r="F44690" s="2423"/>
    </row>
    <row r="44691" s="101" customFormat="1" spans="6:6">
      <c r="F44691" s="2423"/>
    </row>
    <row r="44692" s="101" customFormat="1" spans="6:6">
      <c r="F44692" s="2423"/>
    </row>
    <row r="44693" s="101" customFormat="1" spans="6:6">
      <c r="F44693" s="2423"/>
    </row>
    <row r="44694" s="101" customFormat="1" spans="6:6">
      <c r="F44694" s="2423"/>
    </row>
    <row r="44695" s="101" customFormat="1" spans="6:6">
      <c r="F44695" s="2423"/>
    </row>
    <row r="44696" s="101" customFormat="1" spans="6:6">
      <c r="F44696" s="2423"/>
    </row>
    <row r="44697" s="101" customFormat="1" spans="6:6">
      <c r="F44697" s="2423"/>
    </row>
    <row r="44698" s="101" customFormat="1" spans="6:6">
      <c r="F44698" s="2423"/>
    </row>
    <row r="44699" s="101" customFormat="1" spans="6:6">
      <c r="F44699" s="2423"/>
    </row>
    <row r="44700" s="101" customFormat="1" spans="6:6">
      <c r="F44700" s="2423"/>
    </row>
    <row r="44701" s="101" customFormat="1" spans="6:6">
      <c r="F44701" s="2423"/>
    </row>
    <row r="44702" s="101" customFormat="1" spans="6:6">
      <c r="F44702" s="2423"/>
    </row>
    <row r="44703" s="101" customFormat="1" spans="6:6">
      <c r="F44703" s="2423"/>
    </row>
    <row r="44704" s="101" customFormat="1" spans="6:6">
      <c r="F44704" s="2423"/>
    </row>
    <row r="44705" s="101" customFormat="1" spans="6:6">
      <c r="F44705" s="2423"/>
    </row>
    <row r="44706" s="101" customFormat="1" spans="6:6">
      <c r="F44706" s="2423"/>
    </row>
    <row r="44707" s="101" customFormat="1" spans="6:6">
      <c r="F44707" s="2423"/>
    </row>
    <row r="44708" s="101" customFormat="1" spans="6:6">
      <c r="F44708" s="2423"/>
    </row>
    <row r="44709" s="101" customFormat="1" spans="6:6">
      <c r="F44709" s="2423"/>
    </row>
    <row r="44710" s="101" customFormat="1" spans="6:6">
      <c r="F44710" s="2423"/>
    </row>
    <row r="44711" s="101" customFormat="1" spans="6:6">
      <c r="F44711" s="2423"/>
    </row>
    <row r="44712" s="101" customFormat="1" spans="6:6">
      <c r="F44712" s="2423"/>
    </row>
    <row r="44713" s="101" customFormat="1" spans="6:6">
      <c r="F44713" s="2423"/>
    </row>
    <row r="44714" s="101" customFormat="1" spans="6:6">
      <c r="F44714" s="2423"/>
    </row>
    <row r="44715" s="101" customFormat="1" spans="6:6">
      <c r="F44715" s="2423"/>
    </row>
    <row r="44716" s="101" customFormat="1" spans="6:6">
      <c r="F44716" s="2423"/>
    </row>
    <row r="44717" s="101" customFormat="1" spans="6:6">
      <c r="F44717" s="2423"/>
    </row>
    <row r="44718" s="101" customFormat="1" spans="6:6">
      <c r="F44718" s="2423"/>
    </row>
    <row r="44719" s="101" customFormat="1" spans="6:6">
      <c r="F44719" s="2423"/>
    </row>
    <row r="44720" s="101" customFormat="1" spans="6:6">
      <c r="F44720" s="2423"/>
    </row>
    <row r="44721" s="101" customFormat="1" spans="6:6">
      <c r="F44721" s="2423"/>
    </row>
    <row r="44722" s="101" customFormat="1" spans="6:6">
      <c r="F44722" s="2423"/>
    </row>
    <row r="44723" s="101" customFormat="1" spans="6:6">
      <c r="F44723" s="2423"/>
    </row>
    <row r="44724" s="101" customFormat="1" spans="6:6">
      <c r="F44724" s="2423"/>
    </row>
    <row r="44725" s="101" customFormat="1" spans="6:6">
      <c r="F44725" s="2423"/>
    </row>
    <row r="44726" s="101" customFormat="1" spans="6:6">
      <c r="F44726" s="2423"/>
    </row>
    <row r="44727" s="101" customFormat="1" spans="6:6">
      <c r="F44727" s="2423"/>
    </row>
    <row r="44728" s="101" customFormat="1" spans="6:6">
      <c r="F44728" s="2423"/>
    </row>
    <row r="44729" s="101" customFormat="1" spans="6:6">
      <c r="F44729" s="2423"/>
    </row>
    <row r="44730" s="101" customFormat="1" spans="6:6">
      <c r="F44730" s="2423"/>
    </row>
    <row r="44731" s="101" customFormat="1" spans="6:6">
      <c r="F44731" s="2423"/>
    </row>
    <row r="44732" s="101" customFormat="1" spans="6:6">
      <c r="F44732" s="2423"/>
    </row>
    <row r="44733" s="101" customFormat="1" spans="6:6">
      <c r="F44733" s="2423"/>
    </row>
    <row r="44734" s="101" customFormat="1" spans="6:6">
      <c r="F44734" s="2423"/>
    </row>
    <row r="44735" s="101" customFormat="1" spans="6:6">
      <c r="F44735" s="2423"/>
    </row>
    <row r="44736" s="101" customFormat="1" spans="6:6">
      <c r="F44736" s="2423"/>
    </row>
    <row r="44737" s="101" customFormat="1" spans="6:6">
      <c r="F44737" s="2423"/>
    </row>
    <row r="44738" s="101" customFormat="1" spans="6:6">
      <c r="F44738" s="2423"/>
    </row>
    <row r="44739" s="101" customFormat="1" spans="6:6">
      <c r="F44739" s="2423"/>
    </row>
    <row r="44740" s="101" customFormat="1" spans="6:6">
      <c r="F44740" s="2423"/>
    </row>
    <row r="44741" s="101" customFormat="1" spans="6:6">
      <c r="F44741" s="2423"/>
    </row>
    <row r="44742" s="101" customFormat="1" spans="6:6">
      <c r="F44742" s="2423"/>
    </row>
    <row r="44743" s="101" customFormat="1" spans="6:6">
      <c r="F44743" s="2423"/>
    </row>
    <row r="44744" s="101" customFormat="1" spans="6:6">
      <c r="F44744" s="2423"/>
    </row>
    <row r="44745" s="101" customFormat="1" spans="6:6">
      <c r="F44745" s="2423"/>
    </row>
    <row r="44746" s="101" customFormat="1" spans="6:6">
      <c r="F44746" s="2423"/>
    </row>
    <row r="44747" s="101" customFormat="1" spans="6:6">
      <c r="F44747" s="2423"/>
    </row>
    <row r="44748" s="101" customFormat="1" spans="6:6">
      <c r="F44748" s="2423"/>
    </row>
    <row r="44749" s="101" customFormat="1" spans="6:6">
      <c r="F44749" s="2423"/>
    </row>
    <row r="44750" s="101" customFormat="1" spans="6:6">
      <c r="F44750" s="2423"/>
    </row>
    <row r="44751" s="101" customFormat="1" spans="6:6">
      <c r="F44751" s="2423"/>
    </row>
    <row r="44752" s="101" customFormat="1" spans="6:6">
      <c r="F44752" s="2423"/>
    </row>
    <row r="44753" s="101" customFormat="1" spans="6:6">
      <c r="F44753" s="2423"/>
    </row>
    <row r="44754" s="101" customFormat="1" spans="6:6">
      <c r="F44754" s="2423"/>
    </row>
    <row r="44755" s="101" customFormat="1" spans="6:6">
      <c r="F44755" s="2423"/>
    </row>
    <row r="44756" s="101" customFormat="1" spans="6:6">
      <c r="F44756" s="2423"/>
    </row>
    <row r="44757" s="101" customFormat="1" spans="6:6">
      <c r="F44757" s="2423"/>
    </row>
    <row r="44758" s="101" customFormat="1" spans="6:6">
      <c r="F44758" s="2423"/>
    </row>
    <row r="44759" s="101" customFormat="1" spans="6:6">
      <c r="F44759" s="2423"/>
    </row>
    <row r="44760" s="101" customFormat="1" spans="6:6">
      <c r="F44760" s="2423"/>
    </row>
    <row r="44761" s="101" customFormat="1" spans="6:6">
      <c r="F44761" s="2423"/>
    </row>
    <row r="44762" s="101" customFormat="1" spans="6:6">
      <c r="F44762" s="2423"/>
    </row>
    <row r="44763" s="101" customFormat="1" spans="6:6">
      <c r="F44763" s="2423"/>
    </row>
    <row r="44764" s="101" customFormat="1" spans="6:6">
      <c r="F44764" s="2423"/>
    </row>
    <row r="44765" s="101" customFormat="1" spans="6:6">
      <c r="F44765" s="2423"/>
    </row>
    <row r="44766" s="101" customFormat="1" spans="6:6">
      <c r="F44766" s="2423"/>
    </row>
    <row r="44767" s="101" customFormat="1" spans="6:6">
      <c r="F44767" s="2423"/>
    </row>
    <row r="44768" s="101" customFormat="1" spans="6:6">
      <c r="F44768" s="2423"/>
    </row>
    <row r="44769" s="101" customFormat="1" spans="6:6">
      <c r="F44769" s="2423"/>
    </row>
    <row r="44770" s="101" customFormat="1" spans="6:6">
      <c r="F44770" s="2423"/>
    </row>
    <row r="44771" s="101" customFormat="1" spans="6:6">
      <c r="F44771" s="2423"/>
    </row>
    <row r="44772" s="101" customFormat="1" spans="6:6">
      <c r="F44772" s="2423"/>
    </row>
    <row r="44773" s="101" customFormat="1" spans="6:6">
      <c r="F44773" s="2423"/>
    </row>
    <row r="44774" s="101" customFormat="1" spans="6:6">
      <c r="F44774" s="2423"/>
    </row>
    <row r="44775" s="101" customFormat="1" spans="6:6">
      <c r="F44775" s="2423"/>
    </row>
    <row r="44776" s="101" customFormat="1" spans="6:6">
      <c r="F44776" s="2423"/>
    </row>
    <row r="44777" s="101" customFormat="1" spans="6:6">
      <c r="F44777" s="2423"/>
    </row>
    <row r="44778" s="101" customFormat="1" spans="6:6">
      <c r="F44778" s="2423"/>
    </row>
    <row r="44779" s="101" customFormat="1" spans="6:6">
      <c r="F44779" s="2423"/>
    </row>
    <row r="44780" s="101" customFormat="1" spans="6:6">
      <c r="F44780" s="2423"/>
    </row>
    <row r="44781" s="101" customFormat="1" spans="6:6">
      <c r="F44781" s="2423"/>
    </row>
    <row r="44782" s="101" customFormat="1" spans="6:6">
      <c r="F44782" s="2423"/>
    </row>
    <row r="44783" s="101" customFormat="1" spans="6:6">
      <c r="F44783" s="2423"/>
    </row>
    <row r="44784" s="101" customFormat="1" spans="6:6">
      <c r="F44784" s="2423"/>
    </row>
    <row r="44785" s="101" customFormat="1" spans="6:6">
      <c r="F44785" s="2423"/>
    </row>
    <row r="44786" s="101" customFormat="1" spans="6:6">
      <c r="F44786" s="2423"/>
    </row>
    <row r="44787" s="101" customFormat="1" spans="6:6">
      <c r="F44787" s="2423"/>
    </row>
    <row r="44788" s="101" customFormat="1" spans="6:6">
      <c r="F44788" s="2423"/>
    </row>
    <row r="44789" s="101" customFormat="1" spans="6:6">
      <c r="F44789" s="2423"/>
    </row>
    <row r="44790" s="101" customFormat="1" spans="6:6">
      <c r="F44790" s="2423"/>
    </row>
    <row r="44791" s="101" customFormat="1" spans="6:6">
      <c r="F44791" s="2423"/>
    </row>
    <row r="44792" s="101" customFormat="1" spans="6:6">
      <c r="F44792" s="2423"/>
    </row>
    <row r="44793" s="101" customFormat="1" spans="6:6">
      <c r="F44793" s="2423"/>
    </row>
    <row r="44794" s="101" customFormat="1" spans="6:6">
      <c r="F44794" s="2423"/>
    </row>
    <row r="44795" s="101" customFormat="1" spans="6:6">
      <c r="F44795" s="2423"/>
    </row>
    <row r="44796" s="101" customFormat="1" spans="6:6">
      <c r="F44796" s="2423"/>
    </row>
    <row r="44797" s="101" customFormat="1" spans="6:6">
      <c r="F44797" s="2423"/>
    </row>
    <row r="44798" s="101" customFormat="1" spans="6:6">
      <c r="F44798" s="2423"/>
    </row>
    <row r="44799" s="101" customFormat="1" spans="6:6">
      <c r="F44799" s="2423"/>
    </row>
    <row r="44800" s="101" customFormat="1" spans="6:6">
      <c r="F44800" s="2423"/>
    </row>
    <row r="44801" s="101" customFormat="1" spans="6:6">
      <c r="F44801" s="2423"/>
    </row>
    <row r="44802" s="101" customFormat="1" spans="6:6">
      <c r="F44802" s="2423"/>
    </row>
    <row r="44803" s="101" customFormat="1" spans="6:6">
      <c r="F44803" s="2423"/>
    </row>
    <row r="44804" s="101" customFormat="1" spans="6:6">
      <c r="F44804" s="2423"/>
    </row>
    <row r="44805" s="101" customFormat="1" spans="6:6">
      <c r="F44805" s="2423"/>
    </row>
    <row r="44806" s="101" customFormat="1" spans="6:6">
      <c r="F44806" s="2423"/>
    </row>
    <row r="44807" s="101" customFormat="1" spans="6:6">
      <c r="F44807" s="2423"/>
    </row>
    <row r="44808" s="101" customFormat="1" spans="6:6">
      <c r="F44808" s="2423"/>
    </row>
    <row r="44809" s="101" customFormat="1" spans="6:6">
      <c r="F44809" s="2423"/>
    </row>
    <row r="44810" s="101" customFormat="1" spans="6:6">
      <c r="F44810" s="2423"/>
    </row>
    <row r="44811" s="101" customFormat="1" spans="6:6">
      <c r="F44811" s="2423"/>
    </row>
    <row r="44812" s="101" customFormat="1" spans="6:6">
      <c r="F44812" s="2423"/>
    </row>
    <row r="44813" s="101" customFormat="1" spans="6:6">
      <c r="F44813" s="2423"/>
    </row>
    <row r="44814" s="101" customFormat="1" spans="6:6">
      <c r="F44814" s="2423"/>
    </row>
    <row r="44815" s="101" customFormat="1" spans="6:6">
      <c r="F44815" s="2423"/>
    </row>
    <row r="44816" s="101" customFormat="1" spans="6:6">
      <c r="F44816" s="2423"/>
    </row>
    <row r="44817" s="101" customFormat="1" spans="6:6">
      <c r="F44817" s="2423"/>
    </row>
    <row r="44818" s="101" customFormat="1" spans="6:6">
      <c r="F44818" s="2423"/>
    </row>
    <row r="44819" s="101" customFormat="1" spans="6:6">
      <c r="F44819" s="2423"/>
    </row>
    <row r="44820" s="101" customFormat="1" spans="6:6">
      <c r="F44820" s="2423"/>
    </row>
    <row r="44821" s="101" customFormat="1" spans="6:6">
      <c r="F44821" s="2423"/>
    </row>
    <row r="44822" s="101" customFormat="1" spans="6:6">
      <c r="F44822" s="2423"/>
    </row>
    <row r="44823" s="101" customFormat="1" spans="6:6">
      <c r="F44823" s="2423"/>
    </row>
    <row r="44824" s="101" customFormat="1" spans="6:6">
      <c r="F44824" s="2423"/>
    </row>
    <row r="44825" s="101" customFormat="1" spans="6:6">
      <c r="F44825" s="2423"/>
    </row>
    <row r="44826" s="101" customFormat="1" spans="6:6">
      <c r="F44826" s="2423"/>
    </row>
    <row r="44827" s="101" customFormat="1" spans="6:6">
      <c r="F44827" s="2423"/>
    </row>
    <row r="44828" s="101" customFormat="1" spans="6:6">
      <c r="F44828" s="2423"/>
    </row>
    <row r="44829" s="101" customFormat="1" spans="6:6">
      <c r="F44829" s="2423"/>
    </row>
    <row r="44830" s="101" customFormat="1" spans="6:6">
      <c r="F44830" s="2423"/>
    </row>
    <row r="44831" s="101" customFormat="1" spans="6:6">
      <c r="F44831" s="2423"/>
    </row>
    <row r="44832" s="101" customFormat="1" spans="6:6">
      <c r="F44832" s="2423"/>
    </row>
    <row r="44833" s="101" customFormat="1" spans="6:6">
      <c r="F44833" s="2423"/>
    </row>
    <row r="44834" s="101" customFormat="1" spans="6:6">
      <c r="F44834" s="2423"/>
    </row>
    <row r="44835" s="101" customFormat="1" spans="6:6">
      <c r="F44835" s="2423"/>
    </row>
    <row r="44836" s="101" customFormat="1" spans="6:6">
      <c r="F44836" s="2423"/>
    </row>
    <row r="44837" s="101" customFormat="1" spans="6:6">
      <c r="F44837" s="2423"/>
    </row>
    <row r="44838" s="101" customFormat="1" spans="6:6">
      <c r="F44838" s="2423"/>
    </row>
    <row r="44839" s="101" customFormat="1" spans="6:6">
      <c r="F44839" s="2423"/>
    </row>
    <row r="44840" s="101" customFormat="1" spans="6:6">
      <c r="F44840" s="2423"/>
    </row>
    <row r="44841" s="101" customFormat="1" spans="6:6">
      <c r="F44841" s="2423"/>
    </row>
    <row r="44842" s="101" customFormat="1" spans="6:6">
      <c r="F44842" s="2423"/>
    </row>
    <row r="44843" s="101" customFormat="1" spans="6:6">
      <c r="F44843" s="2423"/>
    </row>
    <row r="44844" s="101" customFormat="1" spans="6:6">
      <c r="F44844" s="2423"/>
    </row>
    <row r="44845" s="101" customFormat="1" spans="6:6">
      <c r="F44845" s="2423"/>
    </row>
    <row r="44846" s="101" customFormat="1" spans="6:6">
      <c r="F44846" s="2423"/>
    </row>
    <row r="44847" s="101" customFormat="1" spans="6:6">
      <c r="F44847" s="2423"/>
    </row>
    <row r="44848" s="101" customFormat="1" spans="6:6">
      <c r="F44848" s="2423"/>
    </row>
    <row r="44849" s="101" customFormat="1" spans="6:6">
      <c r="F44849" s="2423"/>
    </row>
    <row r="44850" s="101" customFormat="1" spans="6:6">
      <c r="F44850" s="2423"/>
    </row>
    <row r="44851" s="101" customFormat="1" spans="6:6">
      <c r="F44851" s="2423"/>
    </row>
    <row r="44852" s="101" customFormat="1" spans="6:6">
      <c r="F44852" s="2423"/>
    </row>
    <row r="44853" s="101" customFormat="1" spans="6:6">
      <c r="F44853" s="2423"/>
    </row>
    <row r="44854" s="101" customFormat="1" spans="6:6">
      <c r="F44854" s="2423"/>
    </row>
    <row r="44855" s="101" customFormat="1" spans="6:6">
      <c r="F44855" s="2423"/>
    </row>
    <row r="44856" s="101" customFormat="1" spans="6:6">
      <c r="F44856" s="2423"/>
    </row>
    <row r="44857" s="101" customFormat="1" spans="6:6">
      <c r="F44857" s="2423"/>
    </row>
    <row r="44858" s="101" customFormat="1" spans="6:6">
      <c r="F44858" s="2423"/>
    </row>
    <row r="44859" s="101" customFormat="1" spans="6:6">
      <c r="F44859" s="2423"/>
    </row>
    <row r="44860" s="101" customFormat="1" spans="6:6">
      <c r="F44860" s="2423"/>
    </row>
    <row r="44861" s="101" customFormat="1" spans="6:6">
      <c r="F44861" s="2423"/>
    </row>
    <row r="44862" s="101" customFormat="1" spans="6:6">
      <c r="F44862" s="2423"/>
    </row>
    <row r="44863" s="101" customFormat="1" spans="6:6">
      <c r="F44863" s="2423"/>
    </row>
    <row r="44864" s="101" customFormat="1" spans="6:6">
      <c r="F44864" s="2423"/>
    </row>
    <row r="44865" s="101" customFormat="1" spans="6:6">
      <c r="F44865" s="2423"/>
    </row>
    <row r="44866" s="101" customFormat="1" spans="6:6">
      <c r="F44866" s="2423"/>
    </row>
    <row r="44867" s="101" customFormat="1" spans="6:6">
      <c r="F44867" s="2423"/>
    </row>
    <row r="44868" s="101" customFormat="1" spans="6:6">
      <c r="F44868" s="2423"/>
    </row>
    <row r="44869" s="101" customFormat="1" spans="6:6">
      <c r="F44869" s="2423"/>
    </row>
    <row r="44870" s="101" customFormat="1" spans="6:6">
      <c r="F44870" s="2423"/>
    </row>
    <row r="44871" s="101" customFormat="1" spans="6:6">
      <c r="F44871" s="2423"/>
    </row>
    <row r="44872" s="101" customFormat="1" spans="6:6">
      <c r="F44872" s="2423"/>
    </row>
    <row r="44873" s="101" customFormat="1" spans="6:6">
      <c r="F44873" s="2423"/>
    </row>
    <row r="44874" s="101" customFormat="1" spans="6:6">
      <c r="F44874" s="2423"/>
    </row>
    <row r="44875" s="101" customFormat="1" spans="6:6">
      <c r="F44875" s="2423"/>
    </row>
    <row r="44876" s="101" customFormat="1" spans="6:6">
      <c r="F44876" s="2423"/>
    </row>
    <row r="44877" s="101" customFormat="1" spans="6:6">
      <c r="F44877" s="2423"/>
    </row>
    <row r="44878" s="101" customFormat="1" spans="6:6">
      <c r="F44878" s="2423"/>
    </row>
    <row r="44879" s="101" customFormat="1" spans="6:6">
      <c r="F44879" s="2423"/>
    </row>
    <row r="44880" s="101" customFormat="1" spans="6:6">
      <c r="F44880" s="2423"/>
    </row>
    <row r="44881" s="101" customFormat="1" spans="6:6">
      <c r="F44881" s="2423"/>
    </row>
    <row r="44882" s="101" customFormat="1" spans="6:6">
      <c r="F44882" s="2423"/>
    </row>
    <row r="44883" s="101" customFormat="1" spans="6:6">
      <c r="F44883" s="2423"/>
    </row>
    <row r="44884" s="101" customFormat="1" spans="6:6">
      <c r="F44884" s="2423"/>
    </row>
    <row r="44885" s="101" customFormat="1" spans="6:6">
      <c r="F44885" s="2423"/>
    </row>
    <row r="44886" s="101" customFormat="1" spans="6:6">
      <c r="F44886" s="2423"/>
    </row>
    <row r="44887" s="101" customFormat="1" spans="6:6">
      <c r="F44887" s="2423"/>
    </row>
    <row r="44888" s="101" customFormat="1" spans="6:6">
      <c r="F44888" s="2423"/>
    </row>
    <row r="44889" s="101" customFormat="1" spans="6:6">
      <c r="F44889" s="2423"/>
    </row>
    <row r="44890" s="101" customFormat="1" spans="6:6">
      <c r="F44890" s="2423"/>
    </row>
    <row r="44891" s="101" customFormat="1" spans="6:6">
      <c r="F44891" s="2423"/>
    </row>
    <row r="44892" s="101" customFormat="1" spans="6:6">
      <c r="F44892" s="2423"/>
    </row>
    <row r="44893" s="101" customFormat="1" spans="6:6">
      <c r="F44893" s="2423"/>
    </row>
    <row r="44894" s="101" customFormat="1" spans="6:6">
      <c r="F44894" s="2423"/>
    </row>
    <row r="44895" s="101" customFormat="1" spans="6:6">
      <c r="F44895" s="2423"/>
    </row>
    <row r="44896" s="101" customFormat="1" spans="6:6">
      <c r="F44896" s="2423"/>
    </row>
    <row r="44897" s="101" customFormat="1" spans="6:6">
      <c r="F44897" s="2423"/>
    </row>
    <row r="44898" s="101" customFormat="1" spans="6:6">
      <c r="F44898" s="2423"/>
    </row>
    <row r="44899" s="101" customFormat="1" spans="6:6">
      <c r="F44899" s="2423"/>
    </row>
    <row r="44900" s="101" customFormat="1" spans="6:6">
      <c r="F44900" s="2423"/>
    </row>
    <row r="44901" s="101" customFormat="1" spans="6:6">
      <c r="F44901" s="2423"/>
    </row>
    <row r="44902" s="101" customFormat="1" spans="6:6">
      <c r="F44902" s="2423"/>
    </row>
    <row r="44903" s="101" customFormat="1" spans="6:6">
      <c r="F44903" s="2423"/>
    </row>
    <row r="44904" s="101" customFormat="1" spans="6:6">
      <c r="F44904" s="2423"/>
    </row>
    <row r="44905" s="101" customFormat="1" spans="6:6">
      <c r="F44905" s="2423"/>
    </row>
    <row r="44906" s="101" customFormat="1" spans="6:6">
      <c r="F44906" s="2423"/>
    </row>
    <row r="44907" s="101" customFormat="1" spans="6:6">
      <c r="F44907" s="2423"/>
    </row>
    <row r="44908" s="101" customFormat="1" spans="6:6">
      <c r="F44908" s="2423"/>
    </row>
    <row r="44909" s="101" customFormat="1" spans="6:6">
      <c r="F44909" s="2423"/>
    </row>
    <row r="44910" s="101" customFormat="1" spans="6:6">
      <c r="F44910" s="2423"/>
    </row>
    <row r="44911" s="101" customFormat="1" spans="6:6">
      <c r="F44911" s="2423"/>
    </row>
    <row r="44912" s="101" customFormat="1" spans="6:6">
      <c r="F44912" s="2423"/>
    </row>
    <row r="44913" s="101" customFormat="1" spans="6:6">
      <c r="F44913" s="2423"/>
    </row>
    <row r="44914" s="101" customFormat="1" spans="6:6">
      <c r="F44914" s="2423"/>
    </row>
    <row r="44915" s="101" customFormat="1" spans="6:6">
      <c r="F44915" s="2423"/>
    </row>
    <row r="44916" s="101" customFormat="1" spans="6:6">
      <c r="F44916" s="2423"/>
    </row>
    <row r="44917" s="101" customFormat="1" spans="6:6">
      <c r="F44917" s="2423"/>
    </row>
    <row r="44918" s="101" customFormat="1" spans="6:6">
      <c r="F44918" s="2423"/>
    </row>
    <row r="44919" s="101" customFormat="1" spans="6:6">
      <c r="F44919" s="2423"/>
    </row>
    <row r="44920" s="101" customFormat="1" spans="6:6">
      <c r="F44920" s="2423"/>
    </row>
    <row r="44921" s="101" customFormat="1" spans="6:6">
      <c r="F44921" s="2423"/>
    </row>
    <row r="44922" s="101" customFormat="1" spans="6:6">
      <c r="F44922" s="2423"/>
    </row>
    <row r="44923" s="101" customFormat="1" spans="6:6">
      <c r="F44923" s="2423"/>
    </row>
    <row r="44924" s="101" customFormat="1" spans="6:6">
      <c r="F44924" s="2423"/>
    </row>
    <row r="44925" s="101" customFormat="1" spans="6:6">
      <c r="F44925" s="2423"/>
    </row>
    <row r="44926" s="101" customFormat="1" spans="6:6">
      <c r="F44926" s="2423"/>
    </row>
    <row r="44927" s="101" customFormat="1" spans="6:6">
      <c r="F44927" s="2423"/>
    </row>
    <row r="44928" s="101" customFormat="1" spans="6:6">
      <c r="F44928" s="2423"/>
    </row>
    <row r="44929" s="101" customFormat="1" spans="6:6">
      <c r="F44929" s="2423"/>
    </row>
    <row r="44930" s="101" customFormat="1" spans="6:6">
      <c r="F44930" s="2423"/>
    </row>
    <row r="44931" s="101" customFormat="1" spans="6:6">
      <c r="F44931" s="2423"/>
    </row>
    <row r="44932" s="101" customFormat="1" spans="6:6">
      <c r="F44932" s="2423"/>
    </row>
    <row r="44933" s="101" customFormat="1" spans="6:6">
      <c r="F44933" s="2423"/>
    </row>
    <row r="44934" s="101" customFormat="1" spans="6:6">
      <c r="F44934" s="2423"/>
    </row>
    <row r="44935" s="101" customFormat="1" spans="6:6">
      <c r="F44935" s="2423"/>
    </row>
    <row r="44936" s="101" customFormat="1" spans="6:6">
      <c r="F44936" s="2423"/>
    </row>
    <row r="44937" s="101" customFormat="1" spans="6:6">
      <c r="F44937" s="2423"/>
    </row>
    <row r="44938" s="101" customFormat="1" spans="6:6">
      <c r="F44938" s="2423"/>
    </row>
    <row r="44939" s="101" customFormat="1" spans="6:6">
      <c r="F44939" s="2423"/>
    </row>
    <row r="44940" s="101" customFormat="1" spans="6:6">
      <c r="F44940" s="2423"/>
    </row>
    <row r="44941" s="101" customFormat="1" spans="6:6">
      <c r="F44941" s="2423"/>
    </row>
    <row r="44942" s="101" customFormat="1" spans="6:6">
      <c r="F44942" s="2423"/>
    </row>
    <row r="44943" s="101" customFormat="1" spans="6:6">
      <c r="F44943" s="2423"/>
    </row>
    <row r="44944" s="101" customFormat="1" spans="6:6">
      <c r="F44944" s="2423"/>
    </row>
    <row r="44945" s="101" customFormat="1" spans="6:6">
      <c r="F44945" s="2423"/>
    </row>
    <row r="44946" s="101" customFormat="1" spans="6:6">
      <c r="F44946" s="2423"/>
    </row>
    <row r="44947" s="101" customFormat="1" spans="6:6">
      <c r="F44947" s="2423"/>
    </row>
    <row r="44948" s="101" customFormat="1" spans="6:6">
      <c r="F44948" s="2423"/>
    </row>
    <row r="44949" s="101" customFormat="1" spans="6:6">
      <c r="F44949" s="2423"/>
    </row>
    <row r="44950" s="101" customFormat="1" spans="6:6">
      <c r="F44950" s="2423"/>
    </row>
    <row r="44951" s="101" customFormat="1" spans="6:6">
      <c r="F44951" s="2423"/>
    </row>
    <row r="44952" s="101" customFormat="1" spans="6:6">
      <c r="F44952" s="2423"/>
    </row>
    <row r="44953" s="101" customFormat="1" spans="6:6">
      <c r="F44953" s="2423"/>
    </row>
    <row r="44954" s="101" customFormat="1" spans="6:6">
      <c r="F44954" s="2423"/>
    </row>
    <row r="44955" s="101" customFormat="1" spans="6:6">
      <c r="F44955" s="2423"/>
    </row>
    <row r="44956" s="101" customFormat="1" spans="6:6">
      <c r="F44956" s="2423"/>
    </row>
    <row r="44957" s="101" customFormat="1" spans="6:6">
      <c r="F44957" s="2423"/>
    </row>
    <row r="44958" s="101" customFormat="1" spans="6:6">
      <c r="F44958" s="2423"/>
    </row>
    <row r="44959" s="101" customFormat="1" spans="6:6">
      <c r="F44959" s="2423"/>
    </row>
    <row r="44960" s="101" customFormat="1" spans="6:6">
      <c r="F44960" s="2423"/>
    </row>
    <row r="44961" s="101" customFormat="1" spans="6:6">
      <c r="F44961" s="2423"/>
    </row>
    <row r="44962" s="101" customFormat="1" spans="6:6">
      <c r="F44962" s="2423"/>
    </row>
    <row r="44963" s="101" customFormat="1" spans="6:6">
      <c r="F44963" s="2423"/>
    </row>
    <row r="44964" s="101" customFormat="1" spans="6:6">
      <c r="F44964" s="2423"/>
    </row>
    <row r="44965" s="101" customFormat="1" spans="6:6">
      <c r="F44965" s="2423"/>
    </row>
    <row r="44966" s="101" customFormat="1" spans="6:6">
      <c r="F44966" s="2423"/>
    </row>
    <row r="44967" s="101" customFormat="1" spans="6:6">
      <c r="F44967" s="2423"/>
    </row>
    <row r="44968" s="101" customFormat="1" spans="6:6">
      <c r="F44968" s="2423"/>
    </row>
    <row r="44969" s="101" customFormat="1" spans="6:6">
      <c r="F44969" s="2423"/>
    </row>
    <row r="44970" s="101" customFormat="1" spans="6:6">
      <c r="F44970" s="2423"/>
    </row>
    <row r="44971" s="101" customFormat="1" spans="6:6">
      <c r="F44971" s="2423"/>
    </row>
    <row r="44972" s="101" customFormat="1" spans="6:6">
      <c r="F44972" s="2423"/>
    </row>
    <row r="44973" s="101" customFormat="1" spans="6:6">
      <c r="F44973" s="2423"/>
    </row>
    <row r="44974" s="101" customFormat="1" spans="6:6">
      <c r="F44974" s="2423"/>
    </row>
    <row r="44975" s="101" customFormat="1" spans="6:6">
      <c r="F44975" s="2423"/>
    </row>
    <row r="44976" s="101" customFormat="1" spans="6:6">
      <c r="F44976" s="2423"/>
    </row>
    <row r="44977" s="101" customFormat="1" spans="6:6">
      <c r="F44977" s="2423"/>
    </row>
    <row r="44978" s="101" customFormat="1" spans="6:6">
      <c r="F44978" s="2423"/>
    </row>
    <row r="44979" s="101" customFormat="1" spans="6:6">
      <c r="F44979" s="2423"/>
    </row>
    <row r="44980" s="101" customFormat="1" spans="6:6">
      <c r="F44980" s="2423"/>
    </row>
    <row r="44981" s="101" customFormat="1" spans="6:6">
      <c r="F44981" s="2423"/>
    </row>
    <row r="44982" s="101" customFormat="1" spans="6:6">
      <c r="F44982" s="2423"/>
    </row>
    <row r="44983" s="101" customFormat="1" spans="6:6">
      <c r="F44983" s="2423"/>
    </row>
    <row r="44984" s="101" customFormat="1" spans="6:6">
      <c r="F44984" s="2423"/>
    </row>
    <row r="44985" s="101" customFormat="1" spans="6:6">
      <c r="F44985" s="2423"/>
    </row>
    <row r="44986" s="101" customFormat="1" spans="6:6">
      <c r="F44986" s="2423"/>
    </row>
    <row r="44987" s="101" customFormat="1" spans="6:6">
      <c r="F44987" s="2423"/>
    </row>
    <row r="44988" s="101" customFormat="1" spans="6:6">
      <c r="F44988" s="2423"/>
    </row>
    <row r="44989" s="101" customFormat="1" spans="6:6">
      <c r="F44989" s="2423"/>
    </row>
    <row r="44990" s="101" customFormat="1" spans="6:6">
      <c r="F44990" s="2423"/>
    </row>
    <row r="44991" s="101" customFormat="1" spans="6:6">
      <c r="F44991" s="2423"/>
    </row>
    <row r="44992" s="101" customFormat="1" spans="6:6">
      <c r="F44992" s="2423"/>
    </row>
    <row r="44993" s="101" customFormat="1" spans="6:6">
      <c r="F44993" s="2423"/>
    </row>
    <row r="44994" s="101" customFormat="1" spans="6:6">
      <c r="F44994" s="2423"/>
    </row>
    <row r="44995" s="101" customFormat="1" spans="6:6">
      <c r="F44995" s="2423"/>
    </row>
    <row r="44996" s="101" customFormat="1" spans="6:6">
      <c r="F44996" s="2423"/>
    </row>
    <row r="44997" s="101" customFormat="1" spans="6:6">
      <c r="F44997" s="2423"/>
    </row>
    <row r="44998" s="101" customFormat="1" spans="6:6">
      <c r="F44998" s="2423"/>
    </row>
    <row r="44999" s="101" customFormat="1" spans="6:6">
      <c r="F44999" s="2423"/>
    </row>
    <row r="45000" s="101" customFormat="1" spans="6:6">
      <c r="F45000" s="2423"/>
    </row>
    <row r="45001" s="101" customFormat="1" spans="6:6">
      <c r="F45001" s="2423"/>
    </row>
    <row r="45002" s="101" customFormat="1" spans="6:6">
      <c r="F45002" s="2423"/>
    </row>
    <row r="45003" s="101" customFormat="1" spans="6:6">
      <c r="F45003" s="2423"/>
    </row>
    <row r="45004" s="101" customFormat="1" spans="6:6">
      <c r="F45004" s="2423"/>
    </row>
    <row r="45005" s="101" customFormat="1" spans="6:6">
      <c r="F45005" s="2423"/>
    </row>
    <row r="45006" s="101" customFormat="1" spans="6:6">
      <c r="F45006" s="2423"/>
    </row>
    <row r="45007" s="101" customFormat="1" spans="6:6">
      <c r="F45007" s="2423"/>
    </row>
    <row r="45008" s="101" customFormat="1" spans="6:6">
      <c r="F45008" s="2423"/>
    </row>
    <row r="45009" s="101" customFormat="1" spans="6:6">
      <c r="F45009" s="2423"/>
    </row>
    <row r="45010" s="101" customFormat="1" spans="6:6">
      <c r="F45010" s="2423"/>
    </row>
    <row r="45011" s="101" customFormat="1" spans="6:6">
      <c r="F45011" s="2423"/>
    </row>
    <row r="45012" s="101" customFormat="1" spans="6:6">
      <c r="F45012" s="2423"/>
    </row>
    <row r="45013" s="101" customFormat="1" spans="6:6">
      <c r="F45013" s="2423"/>
    </row>
    <row r="45014" s="101" customFormat="1" spans="6:6">
      <c r="F45014" s="2423"/>
    </row>
    <row r="45015" s="101" customFormat="1" spans="6:6">
      <c r="F45015" s="2423"/>
    </row>
    <row r="45016" s="101" customFormat="1" spans="6:6">
      <c r="F45016" s="2423"/>
    </row>
    <row r="45017" s="101" customFormat="1" spans="6:6">
      <c r="F45017" s="2423"/>
    </row>
    <row r="45018" s="101" customFormat="1" spans="6:6">
      <c r="F45018" s="2423"/>
    </row>
    <row r="45019" s="101" customFormat="1" spans="6:6">
      <c r="F45019" s="2423"/>
    </row>
    <row r="45020" s="101" customFormat="1" spans="6:6">
      <c r="F45020" s="2423"/>
    </row>
    <row r="45021" s="101" customFormat="1" spans="6:6">
      <c r="F45021" s="2423"/>
    </row>
    <row r="45022" s="101" customFormat="1" spans="6:6">
      <c r="F45022" s="2423"/>
    </row>
    <row r="45023" s="101" customFormat="1" spans="6:6">
      <c r="F45023" s="2423"/>
    </row>
    <row r="45024" s="101" customFormat="1" spans="6:6">
      <c r="F45024" s="2423"/>
    </row>
    <row r="45025" s="101" customFormat="1" spans="6:6">
      <c r="F45025" s="2423"/>
    </row>
    <row r="45026" s="101" customFormat="1" spans="6:6">
      <c r="F45026" s="2423"/>
    </row>
    <row r="45027" s="101" customFormat="1" spans="6:6">
      <c r="F45027" s="2423"/>
    </row>
    <row r="45028" s="101" customFormat="1" spans="6:6">
      <c r="F45028" s="2423"/>
    </row>
    <row r="45029" s="101" customFormat="1" spans="6:6">
      <c r="F45029" s="2423"/>
    </row>
    <row r="45030" s="101" customFormat="1" spans="6:6">
      <c r="F45030" s="2423"/>
    </row>
    <row r="45031" s="101" customFormat="1" spans="6:6">
      <c r="F45031" s="2423"/>
    </row>
    <row r="45032" s="101" customFormat="1" spans="6:6">
      <c r="F45032" s="2423"/>
    </row>
    <row r="45033" s="101" customFormat="1" spans="6:6">
      <c r="F45033" s="2423"/>
    </row>
    <row r="45034" s="101" customFormat="1" spans="6:6">
      <c r="F45034" s="2423"/>
    </row>
    <row r="45035" s="101" customFormat="1" spans="6:6">
      <c r="F45035" s="2423"/>
    </row>
    <row r="45036" s="101" customFormat="1" spans="6:6">
      <c r="F45036" s="2423"/>
    </row>
    <row r="45037" s="101" customFormat="1" spans="6:6">
      <c r="F45037" s="2423"/>
    </row>
    <row r="45038" s="101" customFormat="1" spans="6:6">
      <c r="F45038" s="2423"/>
    </row>
    <row r="45039" s="101" customFormat="1" spans="6:6">
      <c r="F45039" s="2423"/>
    </row>
    <row r="45040" s="101" customFormat="1" spans="6:6">
      <c r="F45040" s="2423"/>
    </row>
    <row r="45041" s="101" customFormat="1" spans="6:6">
      <c r="F45041" s="2423"/>
    </row>
    <row r="45042" s="101" customFormat="1" spans="6:6">
      <c r="F45042" s="2423"/>
    </row>
    <row r="45043" s="101" customFormat="1" spans="6:6">
      <c r="F45043" s="2423"/>
    </row>
    <row r="45044" s="101" customFormat="1" spans="6:6">
      <c r="F45044" s="2423"/>
    </row>
    <row r="45045" s="101" customFormat="1" spans="6:6">
      <c r="F45045" s="2423"/>
    </row>
    <row r="45046" s="101" customFormat="1" spans="6:6">
      <c r="F45046" s="2423"/>
    </row>
    <row r="45047" s="101" customFormat="1" spans="6:6">
      <c r="F45047" s="2423"/>
    </row>
    <row r="45048" s="101" customFormat="1" spans="6:6">
      <c r="F45048" s="2423"/>
    </row>
    <row r="45049" s="101" customFormat="1" spans="6:6">
      <c r="F45049" s="2423"/>
    </row>
    <row r="45050" s="101" customFormat="1" spans="6:6">
      <c r="F45050" s="2423"/>
    </row>
    <row r="45051" s="101" customFormat="1" spans="6:6">
      <c r="F45051" s="2423"/>
    </row>
    <row r="45052" s="101" customFormat="1" spans="6:6">
      <c r="F45052" s="2423"/>
    </row>
    <row r="45053" s="101" customFormat="1" spans="6:6">
      <c r="F45053" s="2423"/>
    </row>
    <row r="45054" s="101" customFormat="1" spans="6:6">
      <c r="F45054" s="2423"/>
    </row>
    <row r="45055" s="101" customFormat="1" spans="6:6">
      <c r="F45055" s="2423"/>
    </row>
    <row r="45056" s="101" customFormat="1" spans="6:6">
      <c r="F45056" s="2423"/>
    </row>
    <row r="45057" s="101" customFormat="1" spans="6:6">
      <c r="F45057" s="2423"/>
    </row>
    <row r="45058" s="101" customFormat="1" spans="6:6">
      <c r="F45058" s="2423"/>
    </row>
    <row r="45059" s="101" customFormat="1" spans="6:6">
      <c r="F45059" s="2423"/>
    </row>
    <row r="45060" s="101" customFormat="1" spans="6:6">
      <c r="F45060" s="2423"/>
    </row>
    <row r="45061" s="101" customFormat="1" spans="6:6">
      <c r="F45061" s="2423"/>
    </row>
    <row r="45062" s="101" customFormat="1" spans="6:6">
      <c r="F45062" s="2423"/>
    </row>
    <row r="45063" s="101" customFormat="1" spans="6:6">
      <c r="F45063" s="2423"/>
    </row>
    <row r="45064" s="101" customFormat="1" spans="6:6">
      <c r="F45064" s="2423"/>
    </row>
    <row r="45065" s="101" customFormat="1" spans="6:6">
      <c r="F45065" s="2423"/>
    </row>
    <row r="45066" s="101" customFormat="1" spans="6:6">
      <c r="F45066" s="2423"/>
    </row>
    <row r="45067" s="101" customFormat="1" spans="6:6">
      <c r="F45067" s="2423"/>
    </row>
    <row r="45068" s="101" customFormat="1" spans="6:6">
      <c r="F45068" s="2423"/>
    </row>
    <row r="45069" s="101" customFormat="1" spans="6:6">
      <c r="F45069" s="2423"/>
    </row>
    <row r="45070" s="101" customFormat="1" spans="6:6">
      <c r="F45070" s="2423"/>
    </row>
    <row r="45071" s="101" customFormat="1" spans="6:6">
      <c r="F45071" s="2423"/>
    </row>
    <row r="45072" s="101" customFormat="1" spans="6:6">
      <c r="F45072" s="2423"/>
    </row>
    <row r="45073" s="101" customFormat="1" spans="6:6">
      <c r="F45073" s="2423"/>
    </row>
    <row r="45074" s="101" customFormat="1" spans="6:6">
      <c r="F45074" s="2423"/>
    </row>
    <row r="45075" s="101" customFormat="1" spans="6:6">
      <c r="F45075" s="2423"/>
    </row>
    <row r="45076" s="101" customFormat="1" spans="6:6">
      <c r="F45076" s="2423"/>
    </row>
    <row r="45077" s="101" customFormat="1" spans="6:6">
      <c r="F45077" s="2423"/>
    </row>
    <row r="45078" s="101" customFormat="1" spans="6:6">
      <c r="F45078" s="2423"/>
    </row>
    <row r="45079" s="101" customFormat="1" spans="6:6">
      <c r="F45079" s="2423"/>
    </row>
    <row r="45080" s="101" customFormat="1" spans="6:6">
      <c r="F45080" s="2423"/>
    </row>
    <row r="45081" s="101" customFormat="1" spans="6:6">
      <c r="F45081" s="2423"/>
    </row>
    <row r="45082" s="101" customFormat="1" spans="6:6">
      <c r="F45082" s="2423"/>
    </row>
    <row r="45083" s="101" customFormat="1" spans="6:6">
      <c r="F45083" s="2423"/>
    </row>
    <row r="45084" s="101" customFormat="1" spans="6:6">
      <c r="F45084" s="2423"/>
    </row>
    <row r="45085" s="101" customFormat="1" spans="6:6">
      <c r="F45085" s="2423"/>
    </row>
    <row r="45086" s="101" customFormat="1" spans="6:6">
      <c r="F45086" s="2423"/>
    </row>
    <row r="45087" s="101" customFormat="1" spans="6:6">
      <c r="F45087" s="2423"/>
    </row>
    <row r="45088" s="101" customFormat="1" spans="6:6">
      <c r="F45088" s="2423"/>
    </row>
    <row r="45089" s="101" customFormat="1" spans="6:6">
      <c r="F45089" s="2423"/>
    </row>
    <row r="45090" s="101" customFormat="1" spans="6:6">
      <c r="F45090" s="2423"/>
    </row>
    <row r="45091" s="101" customFormat="1" spans="6:6">
      <c r="F45091" s="2423"/>
    </row>
    <row r="45092" s="101" customFormat="1" spans="6:6">
      <c r="F45092" s="2423"/>
    </row>
    <row r="45093" s="101" customFormat="1" spans="6:6">
      <c r="F45093" s="2423"/>
    </row>
    <row r="45094" s="101" customFormat="1" spans="6:6">
      <c r="F45094" s="2423"/>
    </row>
    <row r="45095" s="101" customFormat="1" spans="6:6">
      <c r="F45095" s="2423"/>
    </row>
    <row r="45096" s="101" customFormat="1" spans="6:6">
      <c r="F45096" s="2423"/>
    </row>
    <row r="45097" s="101" customFormat="1" spans="6:6">
      <c r="F45097" s="2423"/>
    </row>
    <row r="45098" s="101" customFormat="1" spans="6:6">
      <c r="F45098" s="2423"/>
    </row>
    <row r="45099" s="101" customFormat="1" spans="6:6">
      <c r="F45099" s="2423"/>
    </row>
    <row r="45100" s="101" customFormat="1" spans="6:6">
      <c r="F45100" s="2423"/>
    </row>
    <row r="45101" s="101" customFormat="1" spans="6:6">
      <c r="F45101" s="2423"/>
    </row>
    <row r="45102" s="101" customFormat="1" spans="6:6">
      <c r="F45102" s="2423"/>
    </row>
    <row r="45103" s="101" customFormat="1" spans="6:6">
      <c r="F45103" s="2423"/>
    </row>
    <row r="45104" s="101" customFormat="1" spans="6:6">
      <c r="F45104" s="2423"/>
    </row>
    <row r="45105" s="101" customFormat="1" spans="6:6">
      <c r="F45105" s="2423"/>
    </row>
    <row r="45106" s="101" customFormat="1" spans="6:6">
      <c r="F45106" s="2423"/>
    </row>
    <row r="45107" s="101" customFormat="1" spans="6:6">
      <c r="F45107" s="2423"/>
    </row>
    <row r="45108" s="101" customFormat="1" spans="6:6">
      <c r="F45108" s="2423"/>
    </row>
    <row r="45109" s="101" customFormat="1" spans="6:6">
      <c r="F45109" s="2423"/>
    </row>
    <row r="45110" s="101" customFormat="1" spans="6:6">
      <c r="F45110" s="2423"/>
    </row>
    <row r="45111" s="101" customFormat="1" spans="6:6">
      <c r="F45111" s="2423"/>
    </row>
    <row r="45112" s="101" customFormat="1" spans="6:6">
      <c r="F45112" s="2423"/>
    </row>
    <row r="45113" s="101" customFormat="1" spans="6:6">
      <c r="F45113" s="2423"/>
    </row>
    <row r="45114" s="101" customFormat="1" spans="6:6">
      <c r="F45114" s="2423"/>
    </row>
    <row r="45115" s="101" customFormat="1" spans="6:6">
      <c r="F45115" s="2423"/>
    </row>
    <row r="45116" s="101" customFormat="1" spans="6:6">
      <c r="F45116" s="2423"/>
    </row>
    <row r="45117" s="101" customFormat="1" spans="6:6">
      <c r="F45117" s="2423"/>
    </row>
    <row r="45118" s="101" customFormat="1" spans="6:6">
      <c r="F45118" s="2423"/>
    </row>
    <row r="45119" s="101" customFormat="1" spans="6:6">
      <c r="F45119" s="2423"/>
    </row>
    <row r="45120" s="101" customFormat="1" spans="6:6">
      <c r="F45120" s="2423"/>
    </row>
    <row r="45121" s="101" customFormat="1" spans="6:6">
      <c r="F45121" s="2423"/>
    </row>
    <row r="45122" s="101" customFormat="1" spans="6:6">
      <c r="F45122" s="2423"/>
    </row>
    <row r="45123" s="101" customFormat="1" spans="6:6">
      <c r="F45123" s="2423"/>
    </row>
    <row r="45124" s="101" customFormat="1" spans="6:6">
      <c r="F45124" s="2423"/>
    </row>
    <row r="45125" s="101" customFormat="1" spans="6:6">
      <c r="F45125" s="2423"/>
    </row>
    <row r="45126" s="101" customFormat="1" spans="6:6">
      <c r="F45126" s="2423"/>
    </row>
    <row r="45127" s="101" customFormat="1" spans="6:6">
      <c r="F45127" s="2423"/>
    </row>
    <row r="45128" s="101" customFormat="1" spans="6:6">
      <c r="F45128" s="2423"/>
    </row>
    <row r="45129" s="101" customFormat="1" spans="6:6">
      <c r="F45129" s="2423"/>
    </row>
    <row r="45130" s="101" customFormat="1" spans="6:6">
      <c r="F45130" s="2423"/>
    </row>
    <row r="45131" s="101" customFormat="1" spans="6:6">
      <c r="F45131" s="2423"/>
    </row>
    <row r="45132" s="101" customFormat="1" spans="6:6">
      <c r="F45132" s="2423"/>
    </row>
    <row r="45133" s="101" customFormat="1" spans="6:6">
      <c r="F45133" s="2423"/>
    </row>
    <row r="45134" s="101" customFormat="1" spans="6:6">
      <c r="F45134" s="2423"/>
    </row>
    <row r="45135" s="101" customFormat="1" spans="6:6">
      <c r="F45135" s="2423"/>
    </row>
    <row r="45136" s="101" customFormat="1" spans="6:6">
      <c r="F45136" s="2423"/>
    </row>
    <row r="45137" s="101" customFormat="1" spans="6:6">
      <c r="F45137" s="2423"/>
    </row>
    <row r="45138" s="101" customFormat="1" spans="6:6">
      <c r="F45138" s="2423"/>
    </row>
    <row r="45139" s="101" customFormat="1" spans="6:6">
      <c r="F45139" s="2423"/>
    </row>
    <row r="45140" s="101" customFormat="1" spans="6:6">
      <c r="F45140" s="2423"/>
    </row>
    <row r="45141" s="101" customFormat="1" spans="6:6">
      <c r="F45141" s="2423"/>
    </row>
    <row r="45142" s="101" customFormat="1" spans="6:6">
      <c r="F45142" s="2423"/>
    </row>
    <row r="45143" s="101" customFormat="1" spans="6:6">
      <c r="F45143" s="2423"/>
    </row>
    <row r="45144" s="101" customFormat="1" spans="6:6">
      <c r="F45144" s="2423"/>
    </row>
    <row r="45145" s="101" customFormat="1" spans="6:6">
      <c r="F45145" s="2423"/>
    </row>
    <row r="45146" s="101" customFormat="1" spans="6:6">
      <c r="F45146" s="2423"/>
    </row>
    <row r="45147" s="101" customFormat="1" spans="6:6">
      <c r="F45147" s="2423"/>
    </row>
    <row r="45148" s="101" customFormat="1" spans="6:6">
      <c r="F45148" s="2423"/>
    </row>
    <row r="45149" s="101" customFormat="1" spans="6:6">
      <c r="F45149" s="2423"/>
    </row>
    <row r="45150" s="101" customFormat="1" spans="6:6">
      <c r="F45150" s="2423"/>
    </row>
    <row r="45151" s="101" customFormat="1" spans="6:6">
      <c r="F45151" s="2423"/>
    </row>
    <row r="45152" s="101" customFormat="1" spans="6:6">
      <c r="F45152" s="2423"/>
    </row>
    <row r="45153" s="101" customFormat="1" spans="6:6">
      <c r="F45153" s="2423"/>
    </row>
    <row r="45154" s="101" customFormat="1" spans="6:6">
      <c r="F45154" s="2423"/>
    </row>
    <row r="45155" s="101" customFormat="1" spans="6:6">
      <c r="F45155" s="2423"/>
    </row>
    <row r="45156" s="101" customFormat="1" spans="6:6">
      <c r="F45156" s="2423"/>
    </row>
    <row r="45157" s="101" customFormat="1" spans="6:6">
      <c r="F45157" s="2423"/>
    </row>
    <row r="45158" s="101" customFormat="1" spans="6:6">
      <c r="F45158" s="2423"/>
    </row>
    <row r="45159" s="101" customFormat="1" spans="6:6">
      <c r="F45159" s="2423"/>
    </row>
    <row r="45160" s="101" customFormat="1" spans="6:6">
      <c r="F45160" s="2423"/>
    </row>
    <row r="45161" s="101" customFormat="1" spans="6:6">
      <c r="F45161" s="2423"/>
    </row>
    <row r="45162" s="101" customFormat="1" spans="6:6">
      <c r="F45162" s="2423"/>
    </row>
    <row r="45163" s="101" customFormat="1" spans="6:6">
      <c r="F45163" s="2423"/>
    </row>
    <row r="45164" s="101" customFormat="1" spans="6:6">
      <c r="F45164" s="2423"/>
    </row>
    <row r="45165" s="101" customFormat="1" spans="6:6">
      <c r="F45165" s="2423"/>
    </row>
    <row r="45166" s="101" customFormat="1" spans="6:6">
      <c r="F45166" s="2423"/>
    </row>
    <row r="45167" s="101" customFormat="1" spans="6:6">
      <c r="F45167" s="2423"/>
    </row>
    <row r="45168" s="101" customFormat="1" spans="6:6">
      <c r="F45168" s="2423"/>
    </row>
    <row r="45169" s="101" customFormat="1" spans="6:6">
      <c r="F45169" s="2423"/>
    </row>
    <row r="45170" s="101" customFormat="1" spans="6:6">
      <c r="F45170" s="2423"/>
    </row>
    <row r="45171" s="101" customFormat="1" spans="6:6">
      <c r="F45171" s="2423"/>
    </row>
    <row r="45172" s="101" customFormat="1" spans="6:6">
      <c r="F45172" s="2423"/>
    </row>
    <row r="45173" s="101" customFormat="1" spans="6:6">
      <c r="F45173" s="2423"/>
    </row>
    <row r="45174" s="101" customFormat="1" spans="6:6">
      <c r="F45174" s="2423"/>
    </row>
    <row r="45175" s="101" customFormat="1" spans="6:6">
      <c r="F45175" s="2423"/>
    </row>
    <row r="45176" s="101" customFormat="1" spans="6:6">
      <c r="F45176" s="2423"/>
    </row>
    <row r="45177" s="101" customFormat="1" spans="6:6">
      <c r="F45177" s="2423"/>
    </row>
    <row r="45178" s="101" customFormat="1" spans="6:6">
      <c r="F45178" s="2423"/>
    </row>
    <row r="45179" s="101" customFormat="1" spans="6:6">
      <c r="F45179" s="2423"/>
    </row>
    <row r="45180" s="101" customFormat="1" spans="6:6">
      <c r="F45180" s="2423"/>
    </row>
    <row r="45181" s="101" customFormat="1" spans="6:6">
      <c r="F45181" s="2423"/>
    </row>
    <row r="45182" s="101" customFormat="1" spans="6:6">
      <c r="F45182" s="2423"/>
    </row>
    <row r="45183" s="101" customFormat="1" spans="6:6">
      <c r="F45183" s="2423"/>
    </row>
    <row r="45184" s="101" customFormat="1" spans="6:6">
      <c r="F45184" s="2423"/>
    </row>
    <row r="45185" s="101" customFormat="1" spans="6:6">
      <c r="F45185" s="2423"/>
    </row>
    <row r="45186" s="101" customFormat="1" spans="6:6">
      <c r="F45186" s="2423"/>
    </row>
    <row r="45187" s="101" customFormat="1" spans="6:6">
      <c r="F45187" s="2423"/>
    </row>
    <row r="45188" s="101" customFormat="1" spans="6:6">
      <c r="F45188" s="2423"/>
    </row>
    <row r="45189" s="101" customFormat="1" spans="6:6">
      <c r="F45189" s="2423"/>
    </row>
    <row r="45190" s="101" customFormat="1" spans="6:6">
      <c r="F45190" s="2423"/>
    </row>
    <row r="45191" s="101" customFormat="1" spans="6:6">
      <c r="F45191" s="2423"/>
    </row>
    <row r="45192" s="101" customFormat="1" spans="6:6">
      <c r="F45192" s="2423"/>
    </row>
    <row r="45193" s="101" customFormat="1" spans="6:6">
      <c r="F45193" s="2423"/>
    </row>
    <row r="45194" s="101" customFormat="1" spans="6:6">
      <c r="F45194" s="2423"/>
    </row>
    <row r="45195" s="101" customFormat="1" spans="6:6">
      <c r="F45195" s="2423"/>
    </row>
    <row r="45196" s="101" customFormat="1" spans="6:6">
      <c r="F45196" s="2423"/>
    </row>
    <row r="45197" s="101" customFormat="1" spans="6:6">
      <c r="F45197" s="2423"/>
    </row>
    <row r="45198" s="101" customFormat="1" spans="6:6">
      <c r="F45198" s="2423"/>
    </row>
    <row r="45199" s="101" customFormat="1" spans="6:6">
      <c r="F45199" s="2423"/>
    </row>
    <row r="45200" s="101" customFormat="1" spans="6:6">
      <c r="F45200" s="2423"/>
    </row>
    <row r="45201" s="101" customFormat="1" spans="6:6">
      <c r="F45201" s="2423"/>
    </row>
    <row r="45202" s="101" customFormat="1" spans="6:6">
      <c r="F45202" s="2423"/>
    </row>
    <row r="45203" s="101" customFormat="1" spans="6:6">
      <c r="F45203" s="2423"/>
    </row>
    <row r="45204" s="101" customFormat="1" spans="6:6">
      <c r="F45204" s="2423"/>
    </row>
    <row r="45205" s="101" customFormat="1" spans="6:6">
      <c r="F45205" s="2423"/>
    </row>
    <row r="45206" s="101" customFormat="1" spans="6:6">
      <c r="F45206" s="2423"/>
    </row>
    <row r="45207" s="101" customFormat="1" spans="6:6">
      <c r="F45207" s="2423"/>
    </row>
    <row r="45208" s="101" customFormat="1" spans="6:6">
      <c r="F45208" s="2423"/>
    </row>
    <row r="45209" s="101" customFormat="1" spans="6:6">
      <c r="F45209" s="2423"/>
    </row>
    <row r="45210" s="101" customFormat="1" spans="6:6">
      <c r="F45210" s="2423"/>
    </row>
    <row r="45211" s="101" customFormat="1" spans="6:6">
      <c r="F45211" s="2423"/>
    </row>
    <row r="45212" s="101" customFormat="1" spans="6:6">
      <c r="F45212" s="2423"/>
    </row>
    <row r="45213" s="101" customFormat="1" spans="6:6">
      <c r="F45213" s="2423"/>
    </row>
    <row r="45214" s="101" customFormat="1" spans="6:6">
      <c r="F45214" s="2423"/>
    </row>
    <row r="45215" s="101" customFormat="1" spans="6:6">
      <c r="F45215" s="2423"/>
    </row>
    <row r="45216" s="101" customFormat="1" spans="6:6">
      <c r="F45216" s="2423"/>
    </row>
    <row r="45217" s="101" customFormat="1" spans="6:6">
      <c r="F45217" s="2423"/>
    </row>
    <row r="45218" s="101" customFormat="1" spans="6:6">
      <c r="F45218" s="2423"/>
    </row>
    <row r="45219" s="101" customFormat="1" spans="6:6">
      <c r="F45219" s="2423"/>
    </row>
    <row r="45220" s="101" customFormat="1" spans="6:6">
      <c r="F45220" s="2423"/>
    </row>
    <row r="45221" s="101" customFormat="1" spans="6:6">
      <c r="F45221" s="2423"/>
    </row>
    <row r="45222" s="101" customFormat="1" spans="6:6">
      <c r="F45222" s="2423"/>
    </row>
    <row r="45223" s="101" customFormat="1" spans="6:6">
      <c r="F45223" s="2423"/>
    </row>
    <row r="45224" s="101" customFormat="1" spans="6:6">
      <c r="F45224" s="2423"/>
    </row>
    <row r="45225" s="101" customFormat="1" spans="6:6">
      <c r="F45225" s="2423"/>
    </row>
    <row r="45226" s="101" customFormat="1" spans="6:6">
      <c r="F45226" s="2423"/>
    </row>
    <row r="45227" s="101" customFormat="1" spans="6:6">
      <c r="F45227" s="2423"/>
    </row>
    <row r="45228" s="101" customFormat="1" spans="6:6">
      <c r="F45228" s="2423"/>
    </row>
    <row r="45229" s="101" customFormat="1" spans="6:6">
      <c r="F45229" s="2423"/>
    </row>
    <row r="45230" s="101" customFormat="1" spans="6:6">
      <c r="F45230" s="2423"/>
    </row>
    <row r="45231" s="101" customFormat="1" spans="6:6">
      <c r="F45231" s="2423"/>
    </row>
    <row r="45232" s="101" customFormat="1" spans="6:6">
      <c r="F45232" s="2423"/>
    </row>
    <row r="45233" s="101" customFormat="1" spans="6:6">
      <c r="F45233" s="2423"/>
    </row>
    <row r="45234" s="101" customFormat="1" spans="6:6">
      <c r="F45234" s="2423"/>
    </row>
    <row r="45235" s="101" customFormat="1" spans="6:6">
      <c r="F45235" s="2423"/>
    </row>
    <row r="45236" s="101" customFormat="1" spans="6:6">
      <c r="F45236" s="2423"/>
    </row>
    <row r="45237" s="101" customFormat="1" spans="6:6">
      <c r="F45237" s="2423"/>
    </row>
    <row r="45238" s="101" customFormat="1" spans="6:6">
      <c r="F45238" s="2423"/>
    </row>
    <row r="45239" s="101" customFormat="1" spans="6:6">
      <c r="F45239" s="2423"/>
    </row>
    <row r="45240" s="101" customFormat="1" spans="6:6">
      <c r="F45240" s="2423"/>
    </row>
    <row r="45241" s="101" customFormat="1" spans="6:6">
      <c r="F45241" s="2423"/>
    </row>
    <row r="45242" s="101" customFormat="1" spans="6:6">
      <c r="F45242" s="2423"/>
    </row>
    <row r="45243" s="101" customFormat="1" spans="6:6">
      <c r="F45243" s="2423"/>
    </row>
    <row r="45244" s="101" customFormat="1" spans="6:6">
      <c r="F45244" s="2423"/>
    </row>
    <row r="45245" s="101" customFormat="1" spans="6:6">
      <c r="F45245" s="2423"/>
    </row>
    <row r="45246" s="101" customFormat="1" spans="6:6">
      <c r="F45246" s="2423"/>
    </row>
    <row r="45247" s="101" customFormat="1" spans="6:6">
      <c r="F45247" s="2423"/>
    </row>
    <row r="45248" s="101" customFormat="1" spans="6:6">
      <c r="F45248" s="2423"/>
    </row>
    <row r="45249" s="101" customFormat="1" spans="6:6">
      <c r="F45249" s="2423"/>
    </row>
    <row r="45250" s="101" customFormat="1" spans="6:6">
      <c r="F45250" s="2423"/>
    </row>
    <row r="45251" s="101" customFormat="1" spans="6:6">
      <c r="F45251" s="2423"/>
    </row>
    <row r="45252" s="101" customFormat="1" spans="6:6">
      <c r="F45252" s="2423"/>
    </row>
    <row r="45253" s="101" customFormat="1" spans="6:6">
      <c r="F45253" s="2423"/>
    </row>
    <row r="45254" s="101" customFormat="1" spans="6:6">
      <c r="F45254" s="2423"/>
    </row>
    <row r="45255" s="101" customFormat="1" spans="6:6">
      <c r="F45255" s="2423"/>
    </row>
    <row r="45256" s="101" customFormat="1" spans="6:6">
      <c r="F45256" s="2423"/>
    </row>
    <row r="45257" s="101" customFormat="1" spans="6:6">
      <c r="F45257" s="2423"/>
    </row>
    <row r="45258" s="101" customFormat="1" spans="6:6">
      <c r="F45258" s="2423"/>
    </row>
    <row r="45259" s="101" customFormat="1" spans="6:6">
      <c r="F45259" s="2423"/>
    </row>
    <row r="45260" s="101" customFormat="1" spans="6:6">
      <c r="F45260" s="2423"/>
    </row>
    <row r="45261" s="101" customFormat="1" spans="6:6">
      <c r="F45261" s="2423"/>
    </row>
    <row r="45262" s="101" customFormat="1" spans="6:6">
      <c r="F45262" s="2423"/>
    </row>
    <row r="45263" s="101" customFormat="1" spans="6:6">
      <c r="F45263" s="2423"/>
    </row>
    <row r="45264" s="101" customFormat="1" spans="6:6">
      <c r="F45264" s="2423"/>
    </row>
    <row r="45265" s="101" customFormat="1" spans="6:6">
      <c r="F45265" s="2423"/>
    </row>
    <row r="45266" s="101" customFormat="1" spans="6:6">
      <c r="F45266" s="2423"/>
    </row>
    <row r="45267" s="101" customFormat="1" spans="6:6">
      <c r="F45267" s="2423"/>
    </row>
    <row r="45268" s="101" customFormat="1" spans="6:6">
      <c r="F45268" s="2423"/>
    </row>
    <row r="45269" s="101" customFormat="1" spans="6:6">
      <c r="F45269" s="2423"/>
    </row>
    <row r="45270" s="101" customFormat="1" spans="6:6">
      <c r="F45270" s="2423"/>
    </row>
    <row r="45271" s="101" customFormat="1" spans="6:6">
      <c r="F45271" s="2423"/>
    </row>
    <row r="45272" s="101" customFormat="1" spans="6:6">
      <c r="F45272" s="2423"/>
    </row>
    <row r="45273" s="101" customFormat="1" spans="6:6">
      <c r="F45273" s="2423"/>
    </row>
    <row r="45274" s="101" customFormat="1" spans="6:6">
      <c r="F45274" s="2423"/>
    </row>
    <row r="45275" s="101" customFormat="1" spans="6:6">
      <c r="F45275" s="2423"/>
    </row>
    <row r="45276" s="101" customFormat="1" spans="6:6">
      <c r="F45276" s="2423"/>
    </row>
    <row r="45277" s="101" customFormat="1" spans="6:6">
      <c r="F45277" s="2423"/>
    </row>
    <row r="45278" s="101" customFormat="1" spans="6:6">
      <c r="F45278" s="2423"/>
    </row>
    <row r="45279" s="101" customFormat="1" spans="6:6">
      <c r="F45279" s="2423"/>
    </row>
    <row r="45280" s="101" customFormat="1" spans="6:6">
      <c r="F45280" s="2423"/>
    </row>
    <row r="45281" s="101" customFormat="1" spans="6:6">
      <c r="F45281" s="2423"/>
    </row>
    <row r="45282" s="101" customFormat="1" spans="6:6">
      <c r="F45282" s="2423"/>
    </row>
    <row r="45283" s="101" customFormat="1" spans="6:6">
      <c r="F45283" s="2423"/>
    </row>
    <row r="45284" s="101" customFormat="1" spans="6:6">
      <c r="F45284" s="2423"/>
    </row>
    <row r="45285" s="101" customFormat="1" spans="6:6">
      <c r="F45285" s="2423"/>
    </row>
    <row r="45286" s="101" customFormat="1" spans="6:6">
      <c r="F45286" s="2423"/>
    </row>
    <row r="45287" s="101" customFormat="1" spans="6:6">
      <c r="F45287" s="2423"/>
    </row>
    <row r="45288" s="101" customFormat="1" spans="6:6">
      <c r="F45288" s="2423"/>
    </row>
    <row r="45289" s="101" customFormat="1" spans="6:6">
      <c r="F45289" s="2423"/>
    </row>
    <row r="45290" s="101" customFormat="1" spans="6:6">
      <c r="F45290" s="2423"/>
    </row>
    <row r="45291" s="101" customFormat="1" spans="6:6">
      <c r="F45291" s="2423"/>
    </row>
    <row r="45292" s="101" customFormat="1" spans="6:6">
      <c r="F45292" s="2423"/>
    </row>
    <row r="45293" s="101" customFormat="1" spans="6:6">
      <c r="F45293" s="2423"/>
    </row>
    <row r="45294" s="101" customFormat="1" spans="6:6">
      <c r="F45294" s="2423"/>
    </row>
    <row r="45295" s="101" customFormat="1" spans="6:6">
      <c r="F45295" s="2423"/>
    </row>
    <row r="45296" s="101" customFormat="1" spans="6:6">
      <c r="F45296" s="2423"/>
    </row>
    <row r="45297" s="101" customFormat="1" spans="6:6">
      <c r="F45297" s="2423"/>
    </row>
    <row r="45298" s="101" customFormat="1" spans="6:6">
      <c r="F45298" s="2423"/>
    </row>
    <row r="45299" s="101" customFormat="1" spans="6:6">
      <c r="F45299" s="2423"/>
    </row>
    <row r="45300" s="101" customFormat="1" spans="6:6">
      <c r="F45300" s="2423"/>
    </row>
    <row r="45301" s="101" customFormat="1" spans="6:6">
      <c r="F45301" s="2423"/>
    </row>
    <row r="45302" s="101" customFormat="1" spans="6:6">
      <c r="F45302" s="2423"/>
    </row>
    <row r="45303" s="101" customFormat="1" spans="6:6">
      <c r="F45303" s="2423"/>
    </row>
    <row r="45304" s="101" customFormat="1" spans="6:6">
      <c r="F45304" s="2423"/>
    </row>
    <row r="45305" s="101" customFormat="1" spans="6:6">
      <c r="F45305" s="2423"/>
    </row>
    <row r="45306" s="101" customFormat="1" spans="6:6">
      <c r="F45306" s="2423"/>
    </row>
    <row r="45307" s="101" customFormat="1" spans="6:6">
      <c r="F45307" s="2423"/>
    </row>
    <row r="45308" s="101" customFormat="1" spans="6:6">
      <c r="F45308" s="2423"/>
    </row>
    <row r="45309" s="101" customFormat="1" spans="6:6">
      <c r="F45309" s="2423"/>
    </row>
    <row r="45310" s="101" customFormat="1" spans="6:6">
      <c r="F45310" s="2423"/>
    </row>
    <row r="45311" s="101" customFormat="1" spans="6:6">
      <c r="F45311" s="2423"/>
    </row>
    <row r="45312" s="101" customFormat="1" spans="6:6">
      <c r="F45312" s="2423"/>
    </row>
    <row r="45313" s="101" customFormat="1" spans="6:6">
      <c r="F45313" s="2423"/>
    </row>
    <row r="45314" s="101" customFormat="1" spans="6:6">
      <c r="F45314" s="2423"/>
    </row>
    <row r="45315" s="101" customFormat="1" spans="6:6">
      <c r="F45315" s="2423"/>
    </row>
    <row r="45316" s="101" customFormat="1" spans="6:6">
      <c r="F45316" s="2423"/>
    </row>
    <row r="45317" s="101" customFormat="1" spans="6:6">
      <c r="F45317" s="2423"/>
    </row>
    <row r="45318" s="101" customFormat="1" spans="6:6">
      <c r="F45318" s="2423"/>
    </row>
    <row r="45319" s="101" customFormat="1" spans="6:6">
      <c r="F45319" s="2423"/>
    </row>
    <row r="45320" s="101" customFormat="1" spans="6:6">
      <c r="F45320" s="2423"/>
    </row>
    <row r="45321" s="101" customFormat="1" spans="6:6">
      <c r="F45321" s="2423"/>
    </row>
    <row r="45322" s="101" customFormat="1" spans="6:6">
      <c r="F45322" s="2423"/>
    </row>
    <row r="45323" s="101" customFormat="1" spans="6:6">
      <c r="F45323" s="2423"/>
    </row>
    <row r="45324" s="101" customFormat="1" spans="6:6">
      <c r="F45324" s="2423"/>
    </row>
    <row r="45325" s="101" customFormat="1" spans="6:6">
      <c r="F45325" s="2423"/>
    </row>
    <row r="45326" s="101" customFormat="1" spans="6:6">
      <c r="F45326" s="2423"/>
    </row>
    <row r="45327" s="101" customFormat="1" spans="6:6">
      <c r="F45327" s="2423"/>
    </row>
    <row r="45328" s="101" customFormat="1" spans="6:6">
      <c r="F45328" s="2423"/>
    </row>
    <row r="45329" s="101" customFormat="1" spans="6:6">
      <c r="F45329" s="2423"/>
    </row>
    <row r="45330" s="101" customFormat="1" spans="6:6">
      <c r="F45330" s="2423"/>
    </row>
    <row r="45331" s="101" customFormat="1" spans="6:6">
      <c r="F45331" s="2423"/>
    </row>
    <row r="45332" s="101" customFormat="1" spans="6:6">
      <c r="F45332" s="2423"/>
    </row>
    <row r="45333" s="101" customFormat="1" spans="6:6">
      <c r="F45333" s="2423"/>
    </row>
    <row r="45334" s="101" customFormat="1" spans="6:6">
      <c r="F45334" s="2423"/>
    </row>
    <row r="45335" s="101" customFormat="1" spans="6:6">
      <c r="F45335" s="2423"/>
    </row>
    <row r="45336" s="101" customFormat="1" spans="6:6">
      <c r="F45336" s="2423"/>
    </row>
    <row r="45337" s="101" customFormat="1" spans="6:6">
      <c r="F45337" s="2423"/>
    </row>
    <row r="45338" s="101" customFormat="1" spans="6:6">
      <c r="F45338" s="2423"/>
    </row>
    <row r="45339" s="101" customFormat="1" spans="6:6">
      <c r="F45339" s="2423"/>
    </row>
    <row r="45340" s="101" customFormat="1" spans="6:6">
      <c r="F45340" s="2423"/>
    </row>
    <row r="45341" s="101" customFormat="1" spans="6:6">
      <c r="F45341" s="2423"/>
    </row>
    <row r="45342" s="101" customFormat="1" spans="6:6">
      <c r="F45342" s="2423"/>
    </row>
    <row r="45343" s="101" customFormat="1" spans="6:6">
      <c r="F45343" s="2423"/>
    </row>
    <row r="45344" s="101" customFormat="1" spans="6:6">
      <c r="F45344" s="2423"/>
    </row>
    <row r="45345" s="101" customFormat="1" spans="6:6">
      <c r="F45345" s="2423"/>
    </row>
    <row r="45346" s="101" customFormat="1" spans="6:6">
      <c r="F45346" s="2423"/>
    </row>
    <row r="45347" s="101" customFormat="1" spans="6:6">
      <c r="F45347" s="2423"/>
    </row>
    <row r="45348" s="101" customFormat="1" spans="6:6">
      <c r="F45348" s="2423"/>
    </row>
    <row r="45349" s="101" customFormat="1" spans="6:6">
      <c r="F45349" s="2423"/>
    </row>
    <row r="45350" s="101" customFormat="1" spans="6:6">
      <c r="F45350" s="2423"/>
    </row>
    <row r="45351" s="101" customFormat="1" spans="6:6">
      <c r="F45351" s="2423"/>
    </row>
    <row r="45352" s="101" customFormat="1" spans="6:6">
      <c r="F45352" s="2423"/>
    </row>
    <row r="45353" s="101" customFormat="1" spans="6:6">
      <c r="F45353" s="2423"/>
    </row>
    <row r="45354" s="101" customFormat="1" spans="6:6">
      <c r="F45354" s="2423"/>
    </row>
    <row r="45355" s="101" customFormat="1" spans="6:6">
      <c r="F45355" s="2423"/>
    </row>
    <row r="45356" s="101" customFormat="1" spans="6:6">
      <c r="F45356" s="2423"/>
    </row>
    <row r="45357" s="101" customFormat="1" spans="6:6">
      <c r="F45357" s="2423"/>
    </row>
    <row r="45358" s="101" customFormat="1" spans="6:6">
      <c r="F45358" s="2423"/>
    </row>
    <row r="45359" s="101" customFormat="1" spans="6:6">
      <c r="F45359" s="2423"/>
    </row>
    <row r="45360" s="101" customFormat="1" spans="6:6">
      <c r="F45360" s="2423"/>
    </row>
    <row r="45361" s="101" customFormat="1" spans="6:6">
      <c r="F45361" s="2423"/>
    </row>
    <row r="45362" s="101" customFormat="1" spans="6:6">
      <c r="F45362" s="2423"/>
    </row>
    <row r="45363" s="101" customFormat="1" spans="6:6">
      <c r="F45363" s="2423"/>
    </row>
    <row r="45364" s="101" customFormat="1" spans="6:6">
      <c r="F45364" s="2423"/>
    </row>
    <row r="45365" s="101" customFormat="1" spans="6:6">
      <c r="F45365" s="2423"/>
    </row>
    <row r="45366" s="101" customFormat="1" spans="6:6">
      <c r="F45366" s="2423"/>
    </row>
    <row r="45367" s="101" customFormat="1" spans="6:6">
      <c r="F45367" s="2423"/>
    </row>
    <row r="45368" s="101" customFormat="1" spans="6:6">
      <c r="F45368" s="2423"/>
    </row>
    <row r="45369" s="101" customFormat="1" spans="6:6">
      <c r="F45369" s="2423"/>
    </row>
    <row r="45370" s="101" customFormat="1" spans="6:6">
      <c r="F45370" s="2423"/>
    </row>
    <row r="45371" s="101" customFormat="1" spans="6:6">
      <c r="F45371" s="2423"/>
    </row>
    <row r="45372" s="101" customFormat="1" spans="6:6">
      <c r="F45372" s="2423"/>
    </row>
    <row r="45373" s="101" customFormat="1" spans="6:6">
      <c r="F45373" s="2423"/>
    </row>
    <row r="45374" s="101" customFormat="1" spans="6:6">
      <c r="F45374" s="2423"/>
    </row>
    <row r="45375" s="101" customFormat="1" spans="6:6">
      <c r="F45375" s="2423"/>
    </row>
    <row r="45376" s="101" customFormat="1" spans="6:6">
      <c r="F45376" s="2423"/>
    </row>
    <row r="45377" s="101" customFormat="1" spans="6:6">
      <c r="F45377" s="2423"/>
    </row>
    <row r="45378" s="101" customFormat="1" spans="6:6">
      <c r="F45378" s="2423"/>
    </row>
    <row r="45379" s="101" customFormat="1" spans="6:6">
      <c r="F45379" s="2423"/>
    </row>
    <row r="45380" s="101" customFormat="1" spans="6:6">
      <c r="F45380" s="2423"/>
    </row>
    <row r="45381" s="101" customFormat="1" spans="6:6">
      <c r="F45381" s="2423"/>
    </row>
    <row r="45382" s="101" customFormat="1" spans="6:6">
      <c r="F45382" s="2423"/>
    </row>
    <row r="45383" s="101" customFormat="1" spans="6:6">
      <c r="F45383" s="2423"/>
    </row>
    <row r="45384" s="101" customFormat="1" spans="6:6">
      <c r="F45384" s="2423"/>
    </row>
    <row r="45385" s="101" customFormat="1" spans="6:6">
      <c r="F45385" s="2423"/>
    </row>
    <row r="45386" s="101" customFormat="1" spans="6:6">
      <c r="F45386" s="2423"/>
    </row>
    <row r="45387" s="101" customFormat="1" spans="6:6">
      <c r="F45387" s="2423"/>
    </row>
    <row r="45388" s="101" customFormat="1" spans="6:6">
      <c r="F45388" s="2423"/>
    </row>
    <row r="45389" s="101" customFormat="1" spans="6:6">
      <c r="F45389" s="2423"/>
    </row>
    <row r="45390" s="101" customFormat="1" spans="6:6">
      <c r="F45390" s="2423"/>
    </row>
    <row r="45391" s="101" customFormat="1" spans="6:6">
      <c r="F45391" s="2423"/>
    </row>
    <row r="45392" s="101" customFormat="1" spans="6:6">
      <c r="F45392" s="2423"/>
    </row>
    <row r="45393" s="101" customFormat="1" spans="6:6">
      <c r="F45393" s="2423"/>
    </row>
    <row r="45394" s="101" customFormat="1" spans="6:6">
      <c r="F45394" s="2423"/>
    </row>
    <row r="45395" s="101" customFormat="1" spans="6:6">
      <c r="F45395" s="2423"/>
    </row>
    <row r="45396" s="101" customFormat="1" spans="6:6">
      <c r="F45396" s="2423"/>
    </row>
    <row r="45397" s="101" customFormat="1" spans="6:6">
      <c r="F45397" s="2423"/>
    </row>
    <row r="45398" s="101" customFormat="1" spans="6:6">
      <c r="F45398" s="2423"/>
    </row>
    <row r="45399" s="101" customFormat="1" spans="6:6">
      <c r="F45399" s="2423"/>
    </row>
    <row r="45400" s="101" customFormat="1" spans="6:6">
      <c r="F45400" s="2423"/>
    </row>
    <row r="45401" s="101" customFormat="1" spans="6:6">
      <c r="F45401" s="2423"/>
    </row>
    <row r="45402" s="101" customFormat="1" spans="6:6">
      <c r="F45402" s="2423"/>
    </row>
    <row r="45403" s="101" customFormat="1" spans="6:6">
      <c r="F45403" s="2423"/>
    </row>
    <row r="45404" s="101" customFormat="1" spans="6:6">
      <c r="F45404" s="2423"/>
    </row>
    <row r="45405" s="101" customFormat="1" spans="6:6">
      <c r="F45405" s="2423"/>
    </row>
    <row r="45406" s="101" customFormat="1" spans="6:6">
      <c r="F45406" s="2423"/>
    </row>
    <row r="45407" s="101" customFormat="1" spans="6:6">
      <c r="F45407" s="2423"/>
    </row>
    <row r="45408" s="101" customFormat="1" spans="6:6">
      <c r="F45408" s="2423"/>
    </row>
    <row r="45409" s="101" customFormat="1" spans="6:6">
      <c r="F45409" s="2423"/>
    </row>
    <row r="45410" s="101" customFormat="1" spans="6:6">
      <c r="F45410" s="2423"/>
    </row>
    <row r="45411" s="101" customFormat="1" spans="6:6">
      <c r="F45411" s="2423"/>
    </row>
    <row r="45412" s="101" customFormat="1" spans="6:6">
      <c r="F45412" s="2423"/>
    </row>
    <row r="45413" s="101" customFormat="1" spans="6:6">
      <c r="F45413" s="2423"/>
    </row>
    <row r="45414" s="101" customFormat="1" spans="6:6">
      <c r="F45414" s="2423"/>
    </row>
    <row r="45415" s="101" customFormat="1" spans="6:6">
      <c r="F45415" s="2423"/>
    </row>
    <row r="45416" s="101" customFormat="1" spans="6:6">
      <c r="F45416" s="2423"/>
    </row>
    <row r="45417" s="101" customFormat="1" spans="6:6">
      <c r="F45417" s="2423"/>
    </row>
    <row r="45418" s="101" customFormat="1" spans="6:6">
      <c r="F45418" s="2423"/>
    </row>
    <row r="45419" s="101" customFormat="1" spans="6:6">
      <c r="F45419" s="2423"/>
    </row>
    <row r="45420" s="101" customFormat="1" spans="6:6">
      <c r="F45420" s="2423"/>
    </row>
    <row r="45421" s="101" customFormat="1" spans="6:6">
      <c r="F45421" s="2423"/>
    </row>
    <row r="45422" s="101" customFormat="1" spans="6:6">
      <c r="F45422" s="2423"/>
    </row>
    <row r="45423" s="101" customFormat="1" spans="6:6">
      <c r="F45423" s="2423"/>
    </row>
    <row r="45424" s="101" customFormat="1" spans="6:6">
      <c r="F45424" s="2423"/>
    </row>
    <row r="45425" s="101" customFormat="1" spans="6:6">
      <c r="F45425" s="2423"/>
    </row>
    <row r="45426" s="101" customFormat="1" spans="6:6">
      <c r="F45426" s="2423"/>
    </row>
    <row r="45427" s="101" customFormat="1" spans="6:6">
      <c r="F45427" s="2423"/>
    </row>
    <row r="45428" s="101" customFormat="1" spans="6:6">
      <c r="F45428" s="2423"/>
    </row>
    <row r="45429" s="101" customFormat="1" spans="6:6">
      <c r="F45429" s="2423"/>
    </row>
    <row r="45430" s="101" customFormat="1" spans="6:6">
      <c r="F45430" s="2423"/>
    </row>
    <row r="45431" s="101" customFormat="1" spans="6:6">
      <c r="F45431" s="2423"/>
    </row>
    <row r="45432" s="101" customFormat="1" spans="6:6">
      <c r="F45432" s="2423"/>
    </row>
    <row r="45433" s="101" customFormat="1" spans="6:6">
      <c r="F45433" s="2423"/>
    </row>
    <row r="45434" s="101" customFormat="1" spans="6:6">
      <c r="F45434" s="2423"/>
    </row>
    <row r="45435" s="101" customFormat="1" spans="6:6">
      <c r="F45435" s="2423"/>
    </row>
    <row r="45436" s="101" customFormat="1" spans="6:6">
      <c r="F45436" s="2423"/>
    </row>
    <row r="45437" s="101" customFormat="1" spans="6:6">
      <c r="F45437" s="2423"/>
    </row>
    <row r="45438" s="101" customFormat="1" spans="6:6">
      <c r="F45438" s="2423"/>
    </row>
    <row r="45439" s="101" customFormat="1" spans="6:6">
      <c r="F45439" s="2423"/>
    </row>
    <row r="45440" s="101" customFormat="1" spans="6:6">
      <c r="F45440" s="2423"/>
    </row>
    <row r="45441" s="101" customFormat="1" spans="6:6">
      <c r="F45441" s="2423"/>
    </row>
    <row r="45442" s="101" customFormat="1" spans="6:6">
      <c r="F45442" s="2423"/>
    </row>
    <row r="45443" s="101" customFormat="1" spans="6:6">
      <c r="F45443" s="2423"/>
    </row>
    <row r="45444" s="101" customFormat="1" spans="6:6">
      <c r="F45444" s="2423"/>
    </row>
    <row r="45445" s="101" customFormat="1" spans="6:6">
      <c r="F45445" s="2423"/>
    </row>
    <row r="45446" s="101" customFormat="1" spans="6:6">
      <c r="F45446" s="2423"/>
    </row>
    <row r="45447" s="101" customFormat="1" spans="6:6">
      <c r="F45447" s="2423"/>
    </row>
    <row r="45448" s="101" customFormat="1" spans="6:6">
      <c r="F45448" s="2423"/>
    </row>
    <row r="45449" s="101" customFormat="1" spans="6:6">
      <c r="F45449" s="2423"/>
    </row>
    <row r="45450" s="101" customFormat="1" spans="6:6">
      <c r="F45450" s="2423"/>
    </row>
    <row r="45451" s="101" customFormat="1" spans="6:6">
      <c r="F45451" s="2423"/>
    </row>
    <row r="45452" s="101" customFormat="1" spans="6:6">
      <c r="F45452" s="2423"/>
    </row>
    <row r="45453" s="101" customFormat="1" spans="6:6">
      <c r="F45453" s="2423"/>
    </row>
    <row r="45454" s="101" customFormat="1" spans="6:6">
      <c r="F45454" s="2423"/>
    </row>
    <row r="45455" s="101" customFormat="1" spans="6:6">
      <c r="F45455" s="2423"/>
    </row>
    <row r="45456" s="101" customFormat="1" spans="6:6">
      <c r="F45456" s="2423"/>
    </row>
    <row r="45457" s="101" customFormat="1" spans="6:6">
      <c r="F45457" s="2423"/>
    </row>
    <row r="45458" s="101" customFormat="1" spans="6:6">
      <c r="F45458" s="2423"/>
    </row>
    <row r="45459" s="101" customFormat="1" spans="6:6">
      <c r="F45459" s="2423"/>
    </row>
    <row r="45460" s="101" customFormat="1" spans="6:6">
      <c r="F45460" s="2423"/>
    </row>
    <row r="45461" s="101" customFormat="1" spans="6:6">
      <c r="F45461" s="2423"/>
    </row>
    <row r="45462" s="101" customFormat="1" spans="6:6">
      <c r="F45462" s="2423"/>
    </row>
    <row r="45463" s="101" customFormat="1" spans="6:6">
      <c r="F45463" s="2423"/>
    </row>
    <row r="45464" s="101" customFormat="1" spans="6:6">
      <c r="F45464" s="2423"/>
    </row>
    <row r="45465" s="101" customFormat="1" spans="6:6">
      <c r="F45465" s="2423"/>
    </row>
    <row r="45466" s="101" customFormat="1" spans="6:6">
      <c r="F45466" s="2423"/>
    </row>
    <row r="45467" s="101" customFormat="1" spans="6:6">
      <c r="F45467" s="2423"/>
    </row>
    <row r="45468" s="101" customFormat="1" spans="6:6">
      <c r="F45468" s="2423"/>
    </row>
    <row r="45469" s="101" customFormat="1" spans="6:6">
      <c r="F45469" s="2423"/>
    </row>
    <row r="45470" s="101" customFormat="1" spans="6:6">
      <c r="F45470" s="2423"/>
    </row>
    <row r="45471" s="101" customFormat="1" spans="6:6">
      <c r="F45471" s="2423"/>
    </row>
    <row r="45472" s="101" customFormat="1" spans="6:6">
      <c r="F45472" s="2423"/>
    </row>
    <row r="45473" s="101" customFormat="1" spans="6:6">
      <c r="F45473" s="2423"/>
    </row>
    <row r="45474" s="101" customFormat="1" spans="6:6">
      <c r="F45474" s="2423"/>
    </row>
    <row r="45475" s="101" customFormat="1" spans="6:6">
      <c r="F45475" s="2423"/>
    </row>
    <row r="45476" s="101" customFormat="1" spans="6:6">
      <c r="F45476" s="2423"/>
    </row>
    <row r="45477" s="101" customFormat="1" spans="6:6">
      <c r="F45477" s="2423"/>
    </row>
    <row r="45478" s="101" customFormat="1" spans="6:6">
      <c r="F45478" s="2423"/>
    </row>
    <row r="45479" s="101" customFormat="1" spans="6:6">
      <c r="F45479" s="2423"/>
    </row>
    <row r="45480" s="101" customFormat="1" spans="6:6">
      <c r="F45480" s="2423"/>
    </row>
    <row r="45481" s="101" customFormat="1" spans="6:6">
      <c r="F45481" s="2423"/>
    </row>
    <row r="45482" s="101" customFormat="1" spans="6:6">
      <c r="F45482" s="2423"/>
    </row>
    <row r="45483" s="101" customFormat="1" spans="6:6">
      <c r="F45483" s="2423"/>
    </row>
    <row r="45484" s="101" customFormat="1" spans="6:6">
      <c r="F45484" s="2423"/>
    </row>
    <row r="45485" s="101" customFormat="1" spans="6:6">
      <c r="F45485" s="2423"/>
    </row>
    <row r="45486" s="101" customFormat="1" spans="6:6">
      <c r="F45486" s="2423"/>
    </row>
    <row r="45487" s="101" customFormat="1" spans="6:6">
      <c r="F45487" s="2423"/>
    </row>
    <row r="45488" s="101" customFormat="1" spans="6:6">
      <c r="F45488" s="2423"/>
    </row>
    <row r="45489" s="101" customFormat="1" spans="6:6">
      <c r="F45489" s="2423"/>
    </row>
    <row r="45490" s="101" customFormat="1" spans="6:6">
      <c r="F45490" s="2423"/>
    </row>
    <row r="45491" s="101" customFormat="1" spans="6:6">
      <c r="F45491" s="2423"/>
    </row>
    <row r="45492" s="101" customFormat="1" spans="6:6">
      <c r="F45492" s="2423"/>
    </row>
    <row r="45493" s="101" customFormat="1" spans="6:6">
      <c r="F45493" s="2423"/>
    </row>
    <row r="45494" s="101" customFormat="1" spans="6:6">
      <c r="F45494" s="2423"/>
    </row>
    <row r="45495" s="101" customFormat="1" spans="6:6">
      <c r="F45495" s="2423"/>
    </row>
    <row r="45496" s="101" customFormat="1" spans="6:6">
      <c r="F45496" s="2423"/>
    </row>
    <row r="45497" s="101" customFormat="1" spans="6:6">
      <c r="F45497" s="2423"/>
    </row>
    <row r="45498" s="101" customFormat="1" spans="6:6">
      <c r="F45498" s="2423"/>
    </row>
    <row r="45499" s="101" customFormat="1" spans="6:6">
      <c r="F45499" s="2423"/>
    </row>
    <row r="45500" s="101" customFormat="1" spans="6:6">
      <c r="F45500" s="2423"/>
    </row>
    <row r="45501" s="101" customFormat="1" spans="6:6">
      <c r="F45501" s="2423"/>
    </row>
    <row r="45502" s="101" customFormat="1" spans="6:6">
      <c r="F45502" s="2423"/>
    </row>
    <row r="45503" s="101" customFormat="1" spans="6:6">
      <c r="F45503" s="2423"/>
    </row>
    <row r="45504" s="101" customFormat="1" spans="6:6">
      <c r="F45504" s="2423"/>
    </row>
    <row r="45505" s="101" customFormat="1" spans="6:6">
      <c r="F45505" s="2423"/>
    </row>
    <row r="45506" s="101" customFormat="1" spans="6:6">
      <c r="F45506" s="2423"/>
    </row>
    <row r="45507" s="101" customFormat="1" spans="6:6">
      <c r="F45507" s="2423"/>
    </row>
    <row r="45508" s="101" customFormat="1" spans="6:6">
      <c r="F45508" s="2423"/>
    </row>
    <row r="45509" s="101" customFormat="1" spans="6:6">
      <c r="F45509" s="2423"/>
    </row>
    <row r="45510" s="101" customFormat="1" spans="6:6">
      <c r="F45510" s="2423"/>
    </row>
    <row r="45511" s="101" customFormat="1" spans="6:6">
      <c r="F45511" s="2423"/>
    </row>
    <row r="45512" s="101" customFormat="1" spans="6:6">
      <c r="F45512" s="2423"/>
    </row>
    <row r="45513" s="101" customFormat="1" spans="6:6">
      <c r="F45513" s="2423"/>
    </row>
    <row r="45514" s="101" customFormat="1" spans="6:6">
      <c r="F45514" s="2423"/>
    </row>
    <row r="45515" s="101" customFormat="1" spans="6:6">
      <c r="F45515" s="2423"/>
    </row>
    <row r="45516" s="101" customFormat="1" spans="6:6">
      <c r="F45516" s="2423"/>
    </row>
    <row r="45517" s="101" customFormat="1" spans="6:6">
      <c r="F45517" s="2423"/>
    </row>
    <row r="45518" s="101" customFormat="1" spans="6:6">
      <c r="F45518" s="2423"/>
    </row>
    <row r="45519" s="101" customFormat="1" spans="6:6">
      <c r="F45519" s="2423"/>
    </row>
    <row r="45520" s="101" customFormat="1" spans="6:6">
      <c r="F45520" s="2423"/>
    </row>
    <row r="45521" s="101" customFormat="1" spans="6:6">
      <c r="F45521" s="2423"/>
    </row>
    <row r="45522" s="101" customFormat="1" spans="6:6">
      <c r="F45522" s="2423"/>
    </row>
    <row r="45523" s="101" customFormat="1" spans="6:6">
      <c r="F45523" s="2423"/>
    </row>
    <row r="45524" s="101" customFormat="1" spans="6:6">
      <c r="F45524" s="2423"/>
    </row>
    <row r="45525" s="101" customFormat="1" spans="6:6">
      <c r="F45525" s="2423"/>
    </row>
    <row r="45526" s="101" customFormat="1" spans="6:6">
      <c r="F45526" s="2423"/>
    </row>
    <row r="45527" s="101" customFormat="1" spans="6:6">
      <c r="F45527" s="2423"/>
    </row>
    <row r="45528" s="101" customFormat="1" spans="6:6">
      <c r="F45528" s="2423"/>
    </row>
    <row r="45529" s="101" customFormat="1" spans="6:6">
      <c r="F45529" s="2423"/>
    </row>
    <row r="45530" s="101" customFormat="1" spans="6:6">
      <c r="F45530" s="2423"/>
    </row>
    <row r="45531" s="101" customFormat="1" spans="6:6">
      <c r="F45531" s="2423"/>
    </row>
    <row r="45532" s="101" customFormat="1" spans="6:6">
      <c r="F45532" s="2423"/>
    </row>
    <row r="45533" s="101" customFormat="1" spans="6:6">
      <c r="F45533" s="2423"/>
    </row>
    <row r="45534" s="101" customFormat="1" spans="6:6">
      <c r="F45534" s="2423"/>
    </row>
    <row r="45535" s="101" customFormat="1" spans="6:6">
      <c r="F45535" s="2423"/>
    </row>
    <row r="45536" s="101" customFormat="1" spans="6:6">
      <c r="F45536" s="2423"/>
    </row>
    <row r="45537" s="101" customFormat="1" spans="6:6">
      <c r="F45537" s="2423"/>
    </row>
    <row r="45538" s="101" customFormat="1" spans="6:6">
      <c r="F45538" s="2423"/>
    </row>
    <row r="45539" s="101" customFormat="1" spans="6:6">
      <c r="F45539" s="2423"/>
    </row>
    <row r="45540" s="101" customFormat="1" spans="6:6">
      <c r="F45540" s="2423"/>
    </row>
    <row r="45541" s="101" customFormat="1" spans="6:6">
      <c r="F45541" s="2423"/>
    </row>
    <row r="45542" s="101" customFormat="1" spans="6:6">
      <c r="F45542" s="2423"/>
    </row>
    <row r="45543" s="101" customFormat="1" spans="6:6">
      <c r="F45543" s="2423"/>
    </row>
    <row r="45544" s="101" customFormat="1" spans="6:6">
      <c r="F45544" s="2423"/>
    </row>
    <row r="45545" s="101" customFormat="1" spans="6:6">
      <c r="F45545" s="2423"/>
    </row>
    <row r="45546" s="101" customFormat="1" spans="6:6">
      <c r="F45546" s="2423"/>
    </row>
    <row r="45547" s="101" customFormat="1" spans="6:6">
      <c r="F45547" s="2423"/>
    </row>
    <row r="45548" s="101" customFormat="1" spans="6:6">
      <c r="F45548" s="2423"/>
    </row>
    <row r="45549" s="101" customFormat="1" spans="6:6">
      <c r="F45549" s="2423"/>
    </row>
    <row r="45550" s="101" customFormat="1" spans="6:6">
      <c r="F45550" s="2423"/>
    </row>
    <row r="45551" s="101" customFormat="1" spans="6:6">
      <c r="F45551" s="2423"/>
    </row>
    <row r="45552" s="101" customFormat="1" spans="6:6">
      <c r="F45552" s="2423"/>
    </row>
    <row r="45553" s="101" customFormat="1" spans="6:6">
      <c r="F45553" s="2423"/>
    </row>
    <row r="45554" s="101" customFormat="1" spans="6:6">
      <c r="F45554" s="2423"/>
    </row>
    <row r="45555" s="101" customFormat="1" spans="6:6">
      <c r="F45555" s="2423"/>
    </row>
    <row r="45556" s="101" customFormat="1" spans="6:6">
      <c r="F45556" s="2423"/>
    </row>
    <row r="45557" s="101" customFormat="1" spans="6:6">
      <c r="F45557" s="2423"/>
    </row>
    <row r="45558" s="101" customFormat="1" spans="6:6">
      <c r="F45558" s="2423"/>
    </row>
    <row r="45559" s="101" customFormat="1" spans="6:6">
      <c r="F45559" s="2423"/>
    </row>
    <row r="45560" s="101" customFormat="1" spans="6:6">
      <c r="F45560" s="2423"/>
    </row>
    <row r="45561" s="101" customFormat="1" spans="6:6">
      <c r="F45561" s="2423"/>
    </row>
    <row r="45562" s="101" customFormat="1" spans="6:6">
      <c r="F45562" s="2423"/>
    </row>
    <row r="45563" s="101" customFormat="1" spans="6:6">
      <c r="F45563" s="2423"/>
    </row>
    <row r="45564" s="101" customFormat="1" spans="6:6">
      <c r="F45564" s="2423"/>
    </row>
    <row r="45565" s="101" customFormat="1" spans="6:6">
      <c r="F45565" s="2423"/>
    </row>
    <row r="45566" s="101" customFormat="1" spans="6:6">
      <c r="F45566" s="2423"/>
    </row>
    <row r="45567" s="101" customFormat="1" spans="6:6">
      <c r="F45567" s="2423"/>
    </row>
    <row r="45568" s="101" customFormat="1" spans="6:6">
      <c r="F45568" s="2423"/>
    </row>
    <row r="45569" s="101" customFormat="1" spans="6:6">
      <c r="F45569" s="2423"/>
    </row>
    <row r="45570" s="101" customFormat="1" spans="6:6">
      <c r="F45570" s="2423"/>
    </row>
    <row r="45571" s="101" customFormat="1" spans="6:6">
      <c r="F45571" s="2423"/>
    </row>
    <row r="45572" s="101" customFormat="1" spans="6:6">
      <c r="F45572" s="2423"/>
    </row>
    <row r="45573" s="101" customFormat="1" spans="6:6">
      <c r="F45573" s="2423"/>
    </row>
    <row r="45574" s="101" customFormat="1" spans="6:6">
      <c r="F45574" s="2423"/>
    </row>
    <row r="45575" s="101" customFormat="1" spans="6:6">
      <c r="F45575" s="2423"/>
    </row>
    <row r="45576" s="101" customFormat="1" spans="6:6">
      <c r="F45576" s="2423"/>
    </row>
    <row r="45577" s="101" customFormat="1" spans="6:6">
      <c r="F45577" s="2423"/>
    </row>
    <row r="45578" s="101" customFormat="1" spans="6:6">
      <c r="F45578" s="2423"/>
    </row>
    <row r="45579" s="101" customFormat="1" spans="6:6">
      <c r="F45579" s="2423"/>
    </row>
    <row r="45580" s="101" customFormat="1" spans="6:6">
      <c r="F45580" s="2423"/>
    </row>
    <row r="45581" s="101" customFormat="1" spans="6:6">
      <c r="F45581" s="2423"/>
    </row>
    <row r="45582" s="101" customFormat="1" spans="6:6">
      <c r="F45582" s="2423"/>
    </row>
    <row r="45583" s="101" customFormat="1" spans="6:6">
      <c r="F45583" s="2423"/>
    </row>
    <row r="45584" s="101" customFormat="1" spans="6:6">
      <c r="F45584" s="2423"/>
    </row>
    <row r="45585" s="101" customFormat="1" spans="6:6">
      <c r="F45585" s="2423"/>
    </row>
    <row r="45586" s="101" customFormat="1" spans="6:6">
      <c r="F45586" s="2423"/>
    </row>
    <row r="45587" s="101" customFormat="1" spans="6:6">
      <c r="F45587" s="2423"/>
    </row>
    <row r="45588" s="101" customFormat="1" spans="6:6">
      <c r="F45588" s="2423"/>
    </row>
    <row r="45589" s="101" customFormat="1" spans="6:6">
      <c r="F45589" s="2423"/>
    </row>
    <row r="45590" s="101" customFormat="1" spans="6:6">
      <c r="F45590" s="2423"/>
    </row>
    <row r="45591" s="101" customFormat="1" spans="6:6">
      <c r="F45591" s="2423"/>
    </row>
    <row r="45592" s="101" customFormat="1" spans="6:6">
      <c r="F45592" s="2423"/>
    </row>
    <row r="45593" s="101" customFormat="1" spans="6:6">
      <c r="F45593" s="2423"/>
    </row>
    <row r="45594" s="101" customFormat="1" spans="6:6">
      <c r="F45594" s="2423"/>
    </row>
    <row r="45595" s="101" customFormat="1" spans="6:6">
      <c r="F45595" s="2423"/>
    </row>
    <row r="45596" s="101" customFormat="1" spans="6:6">
      <c r="F45596" s="2423"/>
    </row>
    <row r="45597" s="101" customFormat="1" spans="6:6">
      <c r="F45597" s="2423"/>
    </row>
    <row r="45598" s="101" customFormat="1" spans="6:6">
      <c r="F45598" s="2423"/>
    </row>
    <row r="45599" s="101" customFormat="1" spans="6:6">
      <c r="F45599" s="2423"/>
    </row>
    <row r="45600" s="101" customFormat="1" spans="6:6">
      <c r="F45600" s="2423"/>
    </row>
    <row r="45601" s="101" customFormat="1" spans="6:6">
      <c r="F45601" s="2423"/>
    </row>
    <row r="45602" s="101" customFormat="1" spans="6:6">
      <c r="F45602" s="2423"/>
    </row>
    <row r="45603" s="101" customFormat="1" spans="6:6">
      <c r="F45603" s="2423"/>
    </row>
    <row r="45604" s="101" customFormat="1" spans="6:6">
      <c r="F45604" s="2423"/>
    </row>
    <row r="45605" s="101" customFormat="1" spans="6:6">
      <c r="F45605" s="2423"/>
    </row>
    <row r="45606" s="101" customFormat="1" spans="6:6">
      <c r="F45606" s="2423"/>
    </row>
    <row r="45607" s="101" customFormat="1" spans="6:6">
      <c r="F45607" s="2423"/>
    </row>
    <row r="45608" s="101" customFormat="1" spans="6:6">
      <c r="F45608" s="2423"/>
    </row>
    <row r="45609" s="101" customFormat="1" spans="6:6">
      <c r="F45609" s="2423"/>
    </row>
    <row r="45610" s="101" customFormat="1" spans="6:6">
      <c r="F45610" s="2423"/>
    </row>
    <row r="45611" s="101" customFormat="1" spans="6:6">
      <c r="F45611" s="2423"/>
    </row>
    <row r="45612" s="101" customFormat="1" spans="6:6">
      <c r="F45612" s="2423"/>
    </row>
    <row r="45613" s="101" customFormat="1" spans="6:6">
      <c r="F45613" s="2423"/>
    </row>
    <row r="45614" s="101" customFormat="1" spans="6:6">
      <c r="F45614" s="2423"/>
    </row>
    <row r="45615" s="101" customFormat="1" spans="6:6">
      <c r="F45615" s="2423"/>
    </row>
    <row r="45616" s="101" customFormat="1" spans="6:6">
      <c r="F45616" s="2423"/>
    </row>
    <row r="45617" s="101" customFormat="1" spans="6:6">
      <c r="F45617" s="2423"/>
    </row>
    <row r="45618" s="101" customFormat="1" spans="6:6">
      <c r="F45618" s="2423"/>
    </row>
    <row r="45619" s="101" customFormat="1" spans="6:6">
      <c r="F45619" s="2423"/>
    </row>
    <row r="45620" s="101" customFormat="1" spans="6:6">
      <c r="F45620" s="2423"/>
    </row>
    <row r="45621" s="101" customFormat="1" spans="6:6">
      <c r="F45621" s="2423"/>
    </row>
    <row r="45622" s="101" customFormat="1" spans="6:6">
      <c r="F45622" s="2423"/>
    </row>
    <row r="45623" s="101" customFormat="1" spans="6:6">
      <c r="F45623" s="2423"/>
    </row>
    <row r="45624" s="101" customFormat="1" spans="6:6">
      <c r="F45624" s="2423"/>
    </row>
    <row r="45625" s="101" customFormat="1" spans="6:6">
      <c r="F45625" s="2423"/>
    </row>
    <row r="45626" s="101" customFormat="1" spans="6:6">
      <c r="F45626" s="2423"/>
    </row>
    <row r="45627" s="101" customFormat="1" spans="6:6">
      <c r="F45627" s="2423"/>
    </row>
    <row r="45628" s="101" customFormat="1" spans="6:6">
      <c r="F45628" s="2423"/>
    </row>
    <row r="45629" s="101" customFormat="1" spans="6:6">
      <c r="F45629" s="2423"/>
    </row>
    <row r="45630" s="101" customFormat="1" spans="6:6">
      <c r="F45630" s="2423"/>
    </row>
    <row r="45631" s="101" customFormat="1" spans="6:6">
      <c r="F45631" s="2423"/>
    </row>
    <row r="45632" s="101" customFormat="1" spans="6:6">
      <c r="F45632" s="2423"/>
    </row>
    <row r="45633" s="101" customFormat="1" spans="6:6">
      <c r="F45633" s="2423"/>
    </row>
    <row r="45634" s="101" customFormat="1" spans="6:6">
      <c r="F45634" s="2423"/>
    </row>
    <row r="45635" s="101" customFormat="1" spans="6:6">
      <c r="F45635" s="2423"/>
    </row>
    <row r="45636" s="101" customFormat="1" spans="6:6">
      <c r="F45636" s="2423"/>
    </row>
    <row r="45637" s="101" customFormat="1" spans="6:6">
      <c r="F45637" s="2423"/>
    </row>
    <row r="45638" s="101" customFormat="1" spans="6:6">
      <c r="F45638" s="2423"/>
    </row>
    <row r="45639" s="101" customFormat="1" spans="6:6">
      <c r="F45639" s="2423"/>
    </row>
    <row r="45640" s="101" customFormat="1" spans="6:6">
      <c r="F45640" s="2423"/>
    </row>
    <row r="45641" s="101" customFormat="1" spans="6:6">
      <c r="F45641" s="2423"/>
    </row>
    <row r="45642" s="101" customFormat="1" spans="6:6">
      <c r="F45642" s="2423"/>
    </row>
    <row r="45643" s="101" customFormat="1" spans="6:6">
      <c r="F45643" s="2423"/>
    </row>
    <row r="45644" s="101" customFormat="1" spans="6:6">
      <c r="F45644" s="2423"/>
    </row>
    <row r="45645" s="101" customFormat="1" spans="6:6">
      <c r="F45645" s="2423"/>
    </row>
    <row r="45646" s="101" customFormat="1" spans="6:6">
      <c r="F45646" s="2423"/>
    </row>
    <row r="45647" s="101" customFormat="1" spans="6:6">
      <c r="F45647" s="2423"/>
    </row>
    <row r="45648" s="101" customFormat="1" spans="6:6">
      <c r="F45648" s="2423"/>
    </row>
    <row r="45649" s="101" customFormat="1" spans="6:6">
      <c r="F45649" s="2423"/>
    </row>
    <row r="45650" s="101" customFormat="1" spans="6:6">
      <c r="F45650" s="2423"/>
    </row>
    <row r="45651" s="101" customFormat="1" spans="6:6">
      <c r="F45651" s="2423"/>
    </row>
    <row r="45652" s="101" customFormat="1" spans="6:6">
      <c r="F45652" s="2423"/>
    </row>
    <row r="45653" s="101" customFormat="1" spans="6:6">
      <c r="F45653" s="2423"/>
    </row>
    <row r="45654" s="101" customFormat="1" spans="6:6">
      <c r="F45654" s="2423"/>
    </row>
    <row r="45655" s="101" customFormat="1" spans="6:6">
      <c r="F45655" s="2423"/>
    </row>
    <row r="45656" s="101" customFormat="1" spans="6:6">
      <c r="F45656" s="2423"/>
    </row>
    <row r="45657" s="101" customFormat="1" spans="6:6">
      <c r="F45657" s="2423"/>
    </row>
    <row r="45658" s="101" customFormat="1" spans="6:6">
      <c r="F45658" s="2423"/>
    </row>
    <row r="45659" s="101" customFormat="1" spans="6:6">
      <c r="F45659" s="2423"/>
    </row>
    <row r="45660" s="101" customFormat="1" spans="6:6">
      <c r="F45660" s="2423"/>
    </row>
    <row r="45661" s="101" customFormat="1" spans="6:6">
      <c r="F45661" s="2423"/>
    </row>
    <row r="45662" s="101" customFormat="1" spans="6:6">
      <c r="F45662" s="2423"/>
    </row>
    <row r="45663" s="101" customFormat="1" spans="6:6">
      <c r="F45663" s="2423"/>
    </row>
    <row r="45664" s="101" customFormat="1" spans="6:6">
      <c r="F45664" s="2423"/>
    </row>
    <row r="45665" s="101" customFormat="1" spans="6:6">
      <c r="F45665" s="2423"/>
    </row>
    <row r="45666" s="101" customFormat="1" spans="6:6">
      <c r="F45666" s="2423"/>
    </row>
    <row r="45667" s="101" customFormat="1" spans="6:6">
      <c r="F45667" s="2423"/>
    </row>
    <row r="45668" s="101" customFormat="1" spans="6:6">
      <c r="F45668" s="2423"/>
    </row>
    <row r="45669" s="101" customFormat="1" spans="6:6">
      <c r="F45669" s="2423"/>
    </row>
    <row r="45670" s="101" customFormat="1" spans="6:6">
      <c r="F45670" s="2423"/>
    </row>
    <row r="45671" s="101" customFormat="1" spans="6:6">
      <c r="F45671" s="2423"/>
    </row>
    <row r="45672" s="101" customFormat="1" spans="6:6">
      <c r="F45672" s="2423"/>
    </row>
    <row r="45673" s="101" customFormat="1" spans="6:6">
      <c r="F45673" s="2423"/>
    </row>
    <row r="45674" s="101" customFormat="1" spans="6:6">
      <c r="F45674" s="2423"/>
    </row>
    <row r="45675" s="101" customFormat="1" spans="6:6">
      <c r="F45675" s="2423"/>
    </row>
    <row r="45676" s="101" customFormat="1" spans="6:6">
      <c r="F45676" s="2423"/>
    </row>
    <row r="45677" s="101" customFormat="1" spans="6:6">
      <c r="F45677" s="2423"/>
    </row>
    <row r="45678" s="101" customFormat="1" spans="6:6">
      <c r="F45678" s="2423"/>
    </row>
    <row r="45679" s="101" customFormat="1" spans="6:6">
      <c r="F45679" s="2423"/>
    </row>
    <row r="45680" s="101" customFormat="1" spans="6:6">
      <c r="F45680" s="2423"/>
    </row>
    <row r="45681" s="101" customFormat="1" spans="6:6">
      <c r="F45681" s="2423"/>
    </row>
    <row r="45682" s="101" customFormat="1" spans="6:6">
      <c r="F45682" s="2423"/>
    </row>
    <row r="45683" s="101" customFormat="1" spans="6:6">
      <c r="F45683" s="2423"/>
    </row>
    <row r="45684" s="101" customFormat="1" spans="6:6">
      <c r="F45684" s="2423"/>
    </row>
    <row r="45685" s="101" customFormat="1" spans="6:6">
      <c r="F45685" s="2423"/>
    </row>
    <row r="45686" s="101" customFormat="1" spans="6:6">
      <c r="F45686" s="2423"/>
    </row>
    <row r="45687" s="101" customFormat="1" spans="6:6">
      <c r="F45687" s="2423"/>
    </row>
    <row r="45688" s="101" customFormat="1" spans="6:6">
      <c r="F45688" s="2423"/>
    </row>
    <row r="45689" s="101" customFormat="1" spans="6:6">
      <c r="F45689" s="2423"/>
    </row>
    <row r="45690" s="101" customFormat="1" spans="6:6">
      <c r="F45690" s="2423"/>
    </row>
    <row r="45691" s="101" customFormat="1" spans="6:6">
      <c r="F45691" s="2423"/>
    </row>
    <row r="45692" s="101" customFormat="1" spans="6:6">
      <c r="F45692" s="2423"/>
    </row>
    <row r="45693" s="101" customFormat="1" spans="6:6">
      <c r="F45693" s="2423"/>
    </row>
    <row r="45694" s="101" customFormat="1" spans="6:6">
      <c r="F45694" s="2423"/>
    </row>
    <row r="45695" s="101" customFormat="1" spans="6:6">
      <c r="F45695" s="2423"/>
    </row>
    <row r="45696" s="101" customFormat="1" spans="6:6">
      <c r="F45696" s="2423"/>
    </row>
    <row r="45697" s="101" customFormat="1" spans="6:6">
      <c r="F45697" s="2423"/>
    </row>
    <row r="45698" s="101" customFormat="1" spans="6:6">
      <c r="F45698" s="2423"/>
    </row>
    <row r="45699" s="101" customFormat="1" spans="6:6">
      <c r="F45699" s="2423"/>
    </row>
    <row r="45700" s="101" customFormat="1" spans="6:6">
      <c r="F45700" s="2423"/>
    </row>
    <row r="45701" s="101" customFormat="1" spans="6:6">
      <c r="F45701" s="2423"/>
    </row>
    <row r="45702" s="101" customFormat="1" spans="6:6">
      <c r="F45702" s="2423"/>
    </row>
    <row r="45703" s="101" customFormat="1" spans="6:6">
      <c r="F45703" s="2423"/>
    </row>
    <row r="45704" s="101" customFormat="1" spans="6:6">
      <c r="F45704" s="2423"/>
    </row>
    <row r="45705" s="101" customFormat="1" spans="6:6">
      <c r="F45705" s="2423"/>
    </row>
    <row r="45706" s="101" customFormat="1" spans="6:6">
      <c r="F45706" s="2423"/>
    </row>
    <row r="45707" s="101" customFormat="1" spans="6:6">
      <c r="F45707" s="2423"/>
    </row>
    <row r="45708" s="101" customFormat="1" spans="6:6">
      <c r="F45708" s="2423"/>
    </row>
    <row r="45709" s="101" customFormat="1" spans="6:6">
      <c r="F45709" s="2423"/>
    </row>
    <row r="45710" s="101" customFormat="1" spans="6:6">
      <c r="F45710" s="2423"/>
    </row>
    <row r="45711" s="101" customFormat="1" spans="6:6">
      <c r="F45711" s="2423"/>
    </row>
    <row r="45712" s="101" customFormat="1" spans="6:6">
      <c r="F45712" s="2423"/>
    </row>
    <row r="45713" s="101" customFormat="1" spans="6:6">
      <c r="F45713" s="2423"/>
    </row>
    <row r="45714" s="101" customFormat="1" spans="6:6">
      <c r="F45714" s="2423"/>
    </row>
    <row r="45715" s="101" customFormat="1" spans="6:6">
      <c r="F45715" s="2423"/>
    </row>
    <row r="45716" s="101" customFormat="1" spans="6:6">
      <c r="F45716" s="2423"/>
    </row>
    <row r="45717" s="101" customFormat="1" spans="6:6">
      <c r="F45717" s="2423"/>
    </row>
    <row r="45718" s="101" customFormat="1" spans="6:6">
      <c r="F45718" s="2423"/>
    </row>
    <row r="45719" s="101" customFormat="1" spans="6:6">
      <c r="F45719" s="2423"/>
    </row>
    <row r="45720" s="101" customFormat="1" spans="6:6">
      <c r="F45720" s="2423"/>
    </row>
    <row r="45721" s="101" customFormat="1" spans="6:6">
      <c r="F45721" s="2423"/>
    </row>
    <row r="45722" s="101" customFormat="1" spans="6:6">
      <c r="F45722" s="2423"/>
    </row>
    <row r="45723" s="101" customFormat="1" spans="6:6">
      <c r="F45723" s="2423"/>
    </row>
    <row r="45724" s="101" customFormat="1" spans="6:6">
      <c r="F45724" s="2423"/>
    </row>
    <row r="45725" s="101" customFormat="1" spans="6:6">
      <c r="F45725" s="2423"/>
    </row>
    <row r="45726" s="101" customFormat="1" spans="6:6">
      <c r="F45726" s="2423"/>
    </row>
    <row r="45727" s="101" customFormat="1" spans="6:6">
      <c r="F45727" s="2423"/>
    </row>
    <row r="45728" s="101" customFormat="1" spans="6:6">
      <c r="F45728" s="2423"/>
    </row>
    <row r="45729" s="101" customFormat="1" spans="6:6">
      <c r="F45729" s="2423"/>
    </row>
    <row r="45730" s="101" customFormat="1" spans="6:6">
      <c r="F45730" s="2423"/>
    </row>
    <row r="45731" s="101" customFormat="1" spans="6:6">
      <c r="F45731" s="2423"/>
    </row>
    <row r="45732" s="101" customFormat="1" spans="6:6">
      <c r="F45732" s="2423"/>
    </row>
    <row r="45733" s="101" customFormat="1" spans="6:6">
      <c r="F45733" s="2423"/>
    </row>
    <row r="45734" s="101" customFormat="1" spans="6:6">
      <c r="F45734" s="2423"/>
    </row>
    <row r="45735" s="101" customFormat="1" spans="6:6">
      <c r="F45735" s="2423"/>
    </row>
    <row r="45736" s="101" customFormat="1" spans="6:6">
      <c r="F45736" s="2423"/>
    </row>
    <row r="45737" s="101" customFormat="1" spans="6:6">
      <c r="F45737" s="2423"/>
    </row>
    <row r="45738" s="101" customFormat="1" spans="6:6">
      <c r="F45738" s="2423"/>
    </row>
    <row r="45739" s="101" customFormat="1" spans="6:6">
      <c r="F45739" s="2423"/>
    </row>
    <row r="45740" s="101" customFormat="1" spans="6:6">
      <c r="F45740" s="2423"/>
    </row>
    <row r="45741" s="101" customFormat="1" spans="6:6">
      <c r="F45741" s="2423"/>
    </row>
    <row r="45742" s="101" customFormat="1" spans="6:6">
      <c r="F45742" s="2423"/>
    </row>
    <row r="45743" s="101" customFormat="1" spans="6:6">
      <c r="F45743" s="2423"/>
    </row>
    <row r="45744" s="101" customFormat="1" spans="6:6">
      <c r="F45744" s="2423"/>
    </row>
    <row r="45745" s="101" customFormat="1" spans="6:6">
      <c r="F45745" s="2423"/>
    </row>
    <row r="45746" s="101" customFormat="1" spans="6:6">
      <c r="F45746" s="2423"/>
    </row>
    <row r="45747" s="101" customFormat="1" spans="6:6">
      <c r="F45747" s="2423"/>
    </row>
    <row r="45748" s="101" customFormat="1" spans="6:6">
      <c r="F45748" s="2423"/>
    </row>
    <row r="45749" s="101" customFormat="1" spans="6:6">
      <c r="F45749" s="2423"/>
    </row>
    <row r="45750" s="101" customFormat="1" spans="6:6">
      <c r="F45750" s="2423"/>
    </row>
    <row r="45751" s="101" customFormat="1" spans="6:6">
      <c r="F45751" s="2423"/>
    </row>
    <row r="45752" s="101" customFormat="1" spans="6:6">
      <c r="F45752" s="2423"/>
    </row>
    <row r="45753" s="101" customFormat="1" spans="6:6">
      <c r="F45753" s="2423"/>
    </row>
    <row r="45754" s="101" customFormat="1" spans="6:6">
      <c r="F45754" s="2423"/>
    </row>
    <row r="45755" s="101" customFormat="1" spans="6:6">
      <c r="F45755" s="2423"/>
    </row>
    <row r="45756" s="101" customFormat="1" spans="6:6">
      <c r="F45756" s="2423"/>
    </row>
    <row r="45757" s="101" customFormat="1" spans="6:6">
      <c r="F45757" s="2423"/>
    </row>
    <row r="45758" s="101" customFormat="1" spans="6:6">
      <c r="F45758" s="2423"/>
    </row>
    <row r="45759" s="101" customFormat="1" spans="6:6">
      <c r="F45759" s="2423"/>
    </row>
    <row r="45760" s="101" customFormat="1" spans="6:6">
      <c r="F45760" s="2423"/>
    </row>
    <row r="45761" s="101" customFormat="1" spans="6:6">
      <c r="F45761" s="2423"/>
    </row>
    <row r="45762" s="101" customFormat="1" spans="6:6">
      <c r="F45762" s="2423"/>
    </row>
    <row r="45763" s="101" customFormat="1" spans="6:6">
      <c r="F45763" s="2423"/>
    </row>
    <row r="45764" s="101" customFormat="1" spans="6:6">
      <c r="F45764" s="2423"/>
    </row>
    <row r="45765" s="101" customFormat="1" spans="6:6">
      <c r="F45765" s="2423"/>
    </row>
    <row r="45766" s="101" customFormat="1" spans="6:6">
      <c r="F45766" s="2423"/>
    </row>
    <row r="45767" s="101" customFormat="1" spans="6:6">
      <c r="F45767" s="2423"/>
    </row>
    <row r="45768" s="101" customFormat="1" spans="6:6">
      <c r="F45768" s="2423"/>
    </row>
    <row r="45769" s="101" customFormat="1" spans="6:6">
      <c r="F45769" s="2423"/>
    </row>
    <row r="45770" s="101" customFormat="1" spans="6:6">
      <c r="F45770" s="2423"/>
    </row>
    <row r="45771" s="101" customFormat="1" spans="6:6">
      <c r="F45771" s="2423"/>
    </row>
    <row r="45772" s="101" customFormat="1" spans="6:6">
      <c r="F45772" s="2423"/>
    </row>
    <row r="45773" s="101" customFormat="1" spans="6:6">
      <c r="F45773" s="2423"/>
    </row>
    <row r="45774" s="101" customFormat="1" spans="6:6">
      <c r="F45774" s="2423"/>
    </row>
    <row r="45775" s="101" customFormat="1" spans="6:6">
      <c r="F45775" s="2423"/>
    </row>
    <row r="45776" s="101" customFormat="1" spans="6:6">
      <c r="F45776" s="2423"/>
    </row>
    <row r="45777" s="101" customFormat="1" spans="6:6">
      <c r="F45777" s="2423"/>
    </row>
    <row r="45778" s="101" customFormat="1" spans="6:6">
      <c r="F45778" s="2423"/>
    </row>
    <row r="45779" s="101" customFormat="1" spans="6:6">
      <c r="F45779" s="2423"/>
    </row>
    <row r="45780" s="101" customFormat="1" spans="6:6">
      <c r="F45780" s="2423"/>
    </row>
    <row r="45781" s="101" customFormat="1" spans="6:6">
      <c r="F45781" s="2423"/>
    </row>
    <row r="45782" s="101" customFormat="1" spans="6:6">
      <c r="F45782" s="2423"/>
    </row>
    <row r="45783" s="101" customFormat="1" spans="6:6">
      <c r="F45783" s="2423"/>
    </row>
    <row r="45784" s="101" customFormat="1" spans="6:6">
      <c r="F45784" s="2423"/>
    </row>
    <row r="45785" s="101" customFormat="1" spans="6:6">
      <c r="F45785" s="2423"/>
    </row>
    <row r="45786" s="101" customFormat="1" spans="6:6">
      <c r="F45786" s="2423"/>
    </row>
    <row r="45787" s="101" customFormat="1" spans="6:6">
      <c r="F45787" s="2423"/>
    </row>
    <row r="45788" s="101" customFormat="1" spans="6:6">
      <c r="F45788" s="2423"/>
    </row>
    <row r="45789" s="101" customFormat="1" spans="6:6">
      <c r="F45789" s="2423"/>
    </row>
    <row r="45790" s="101" customFormat="1" spans="6:6">
      <c r="F45790" s="2423"/>
    </row>
    <row r="45791" s="101" customFormat="1" spans="6:6">
      <c r="F45791" s="2423"/>
    </row>
    <row r="45792" s="101" customFormat="1" spans="6:6">
      <c r="F45792" s="2423"/>
    </row>
    <row r="45793" s="101" customFormat="1" spans="6:6">
      <c r="F45793" s="2423"/>
    </row>
    <row r="45794" s="101" customFormat="1" spans="6:6">
      <c r="F45794" s="2423"/>
    </row>
    <row r="45795" s="101" customFormat="1" spans="6:6">
      <c r="F45795" s="2423"/>
    </row>
    <row r="45796" s="101" customFormat="1" spans="6:6">
      <c r="F45796" s="2423"/>
    </row>
    <row r="45797" s="101" customFormat="1" spans="6:6">
      <c r="F45797" s="2423"/>
    </row>
    <row r="45798" s="101" customFormat="1" spans="6:6">
      <c r="F45798" s="2423"/>
    </row>
    <row r="45799" s="101" customFormat="1" spans="6:6">
      <c r="F45799" s="2423"/>
    </row>
    <row r="45800" s="101" customFormat="1" spans="6:6">
      <c r="F45800" s="2423"/>
    </row>
    <row r="45801" s="101" customFormat="1" spans="6:6">
      <c r="F45801" s="2423"/>
    </row>
    <row r="45802" s="101" customFormat="1" spans="6:6">
      <c r="F45802" s="2423"/>
    </row>
    <row r="45803" s="101" customFormat="1" spans="6:6">
      <c r="F45803" s="2423"/>
    </row>
    <row r="45804" s="101" customFormat="1" spans="6:6">
      <c r="F45804" s="2423"/>
    </row>
    <row r="45805" s="101" customFormat="1" spans="6:6">
      <c r="F45805" s="2423"/>
    </row>
    <row r="45806" s="101" customFormat="1" spans="6:6">
      <c r="F45806" s="2423"/>
    </row>
    <row r="45807" s="101" customFormat="1" spans="6:6">
      <c r="F45807" s="2423"/>
    </row>
    <row r="45808" s="101" customFormat="1" spans="6:6">
      <c r="F45808" s="2423"/>
    </row>
    <row r="45809" s="101" customFormat="1" spans="6:6">
      <c r="F45809" s="2423"/>
    </row>
    <row r="45810" s="101" customFormat="1" spans="6:6">
      <c r="F45810" s="2423"/>
    </row>
    <row r="45811" s="101" customFormat="1" spans="6:6">
      <c r="F45811" s="2423"/>
    </row>
    <row r="45812" s="101" customFormat="1" spans="6:6">
      <c r="F45812" s="2423"/>
    </row>
    <row r="45813" s="101" customFormat="1" spans="6:6">
      <c r="F45813" s="2423"/>
    </row>
    <row r="45814" s="101" customFormat="1" spans="6:6">
      <c r="F45814" s="2423"/>
    </row>
    <row r="45815" s="101" customFormat="1" spans="6:6">
      <c r="F45815" s="2423"/>
    </row>
    <row r="45816" s="101" customFormat="1" spans="6:6">
      <c r="F45816" s="2423"/>
    </row>
    <row r="45817" s="101" customFormat="1" spans="6:6">
      <c r="F45817" s="2423"/>
    </row>
    <row r="45818" s="101" customFormat="1" spans="6:6">
      <c r="F45818" s="2423"/>
    </row>
    <row r="45819" s="101" customFormat="1" spans="6:6">
      <c r="F45819" s="2423"/>
    </row>
    <row r="45820" s="101" customFormat="1" spans="6:6">
      <c r="F45820" s="2423"/>
    </row>
    <row r="45821" s="101" customFormat="1" spans="6:6">
      <c r="F45821" s="2423"/>
    </row>
    <row r="45822" s="101" customFormat="1" spans="6:6">
      <c r="F45822" s="2423"/>
    </row>
    <row r="45823" s="101" customFormat="1" spans="6:6">
      <c r="F45823" s="2423"/>
    </row>
    <row r="45824" s="101" customFormat="1" spans="6:6">
      <c r="F45824" s="2423"/>
    </row>
    <row r="45825" s="101" customFormat="1" spans="6:6">
      <c r="F45825" s="2423"/>
    </row>
    <row r="45826" s="101" customFormat="1" spans="6:6">
      <c r="F45826" s="2423"/>
    </row>
    <row r="45827" s="101" customFormat="1" spans="6:6">
      <c r="F45827" s="2423"/>
    </row>
    <row r="45828" s="101" customFormat="1" spans="6:6">
      <c r="F45828" s="2423"/>
    </row>
    <row r="45829" s="101" customFormat="1" spans="6:6">
      <c r="F45829" s="2423"/>
    </row>
    <row r="45830" s="101" customFormat="1" spans="6:6">
      <c r="F45830" s="2423"/>
    </row>
    <row r="45831" s="101" customFormat="1" spans="6:6">
      <c r="F45831" s="2423"/>
    </row>
    <row r="45832" s="101" customFormat="1" spans="6:6">
      <c r="F45832" s="2423"/>
    </row>
    <row r="45833" s="101" customFormat="1" spans="6:6">
      <c r="F45833" s="2423"/>
    </row>
    <row r="45834" s="101" customFormat="1" spans="6:6">
      <c r="F45834" s="2423"/>
    </row>
    <row r="45835" s="101" customFormat="1" spans="6:6">
      <c r="F45835" s="2423"/>
    </row>
    <row r="45836" s="101" customFormat="1" spans="6:6">
      <c r="F45836" s="2423"/>
    </row>
    <row r="45837" s="101" customFormat="1" spans="6:6">
      <c r="F45837" s="2423"/>
    </row>
    <row r="45838" s="101" customFormat="1" spans="6:6">
      <c r="F45838" s="2423"/>
    </row>
    <row r="45839" s="101" customFormat="1" spans="6:6">
      <c r="F45839" s="2423"/>
    </row>
    <row r="45840" s="101" customFormat="1" spans="6:6">
      <c r="F45840" s="2423"/>
    </row>
    <row r="45841" s="101" customFormat="1" spans="6:6">
      <c r="F45841" s="2423"/>
    </row>
    <row r="45842" s="101" customFormat="1" spans="6:6">
      <c r="F45842" s="2423"/>
    </row>
    <row r="45843" s="101" customFormat="1" spans="6:6">
      <c r="F45843" s="2423"/>
    </row>
    <row r="45844" s="101" customFormat="1" spans="6:6">
      <c r="F45844" s="2423"/>
    </row>
    <row r="45845" s="101" customFormat="1" spans="6:6">
      <c r="F45845" s="2423"/>
    </row>
    <row r="45846" s="101" customFormat="1" spans="6:6">
      <c r="F45846" s="2423"/>
    </row>
    <row r="45847" s="101" customFormat="1" spans="6:6">
      <c r="F45847" s="2423"/>
    </row>
    <row r="45848" s="101" customFormat="1" spans="6:6">
      <c r="F45848" s="2423"/>
    </row>
    <row r="45849" s="101" customFormat="1" spans="6:6">
      <c r="F45849" s="2423"/>
    </row>
    <row r="45850" s="101" customFormat="1" spans="6:6">
      <c r="F45850" s="2423"/>
    </row>
    <row r="45851" s="101" customFormat="1" spans="6:6">
      <c r="F45851" s="2423"/>
    </row>
    <row r="45852" s="101" customFormat="1" spans="6:6">
      <c r="F45852" s="2423"/>
    </row>
    <row r="45853" s="101" customFormat="1" spans="6:6">
      <c r="F45853" s="2423"/>
    </row>
    <row r="45854" s="101" customFormat="1" spans="6:6">
      <c r="F45854" s="2423"/>
    </row>
    <row r="45855" s="101" customFormat="1" spans="6:6">
      <c r="F45855" s="2423"/>
    </row>
    <row r="45856" s="101" customFormat="1" spans="6:6">
      <c r="F45856" s="2423"/>
    </row>
    <row r="45857" s="101" customFormat="1" spans="6:6">
      <c r="F45857" s="2423"/>
    </row>
    <row r="45858" s="101" customFormat="1" spans="6:6">
      <c r="F45858" s="2423"/>
    </row>
    <row r="45859" s="101" customFormat="1" spans="6:6">
      <c r="F45859" s="2423"/>
    </row>
    <row r="45860" s="101" customFormat="1" spans="6:6">
      <c r="F45860" s="2423"/>
    </row>
    <row r="45861" s="101" customFormat="1" spans="6:6">
      <c r="F45861" s="2423"/>
    </row>
    <row r="45862" s="101" customFormat="1" spans="6:6">
      <c r="F45862" s="2423"/>
    </row>
    <row r="45863" s="101" customFormat="1" spans="6:6">
      <c r="F45863" s="2423"/>
    </row>
    <row r="45864" s="101" customFormat="1" spans="6:6">
      <c r="F45864" s="2423"/>
    </row>
    <row r="45865" s="101" customFormat="1" spans="6:6">
      <c r="F45865" s="2423"/>
    </row>
    <row r="45866" s="101" customFormat="1" spans="6:6">
      <c r="F45866" s="2423"/>
    </row>
    <row r="45867" s="101" customFormat="1" spans="6:6">
      <c r="F45867" s="2423"/>
    </row>
    <row r="45868" s="101" customFormat="1" spans="6:6">
      <c r="F45868" s="2423"/>
    </row>
    <row r="45869" s="101" customFormat="1" spans="6:6">
      <c r="F45869" s="2423"/>
    </row>
    <row r="45870" s="101" customFormat="1" spans="6:6">
      <c r="F45870" s="2423"/>
    </row>
    <row r="45871" s="101" customFormat="1" spans="6:6">
      <c r="F45871" s="2423"/>
    </row>
    <row r="45872" s="101" customFormat="1" spans="6:6">
      <c r="F45872" s="2423"/>
    </row>
    <row r="45873" s="101" customFormat="1" spans="6:6">
      <c r="F45873" s="2423"/>
    </row>
    <row r="45874" s="101" customFormat="1" spans="6:6">
      <c r="F45874" s="2423"/>
    </row>
    <row r="45875" s="101" customFormat="1" spans="6:6">
      <c r="F45875" s="2423"/>
    </row>
    <row r="45876" s="101" customFormat="1" spans="6:6">
      <c r="F45876" s="2423"/>
    </row>
    <row r="45877" s="101" customFormat="1" spans="6:6">
      <c r="F45877" s="2423"/>
    </row>
    <row r="45878" s="101" customFormat="1" spans="6:6">
      <c r="F45878" s="2423"/>
    </row>
    <row r="45879" s="101" customFormat="1" spans="6:6">
      <c r="F45879" s="2423"/>
    </row>
    <row r="45880" s="101" customFormat="1" spans="6:6">
      <c r="F45880" s="2423"/>
    </row>
    <row r="45881" s="101" customFormat="1" spans="6:6">
      <c r="F45881" s="2423"/>
    </row>
    <row r="45882" s="101" customFormat="1" spans="6:6">
      <c r="F45882" s="2423"/>
    </row>
    <row r="45883" s="101" customFormat="1" spans="6:6">
      <c r="F45883" s="2423"/>
    </row>
    <row r="45884" s="101" customFormat="1" spans="6:6">
      <c r="F45884" s="2423"/>
    </row>
    <row r="45885" s="101" customFormat="1" spans="6:6">
      <c r="F45885" s="2423"/>
    </row>
    <row r="45886" s="101" customFormat="1" spans="6:6">
      <c r="F45886" s="2423"/>
    </row>
    <row r="45887" s="101" customFormat="1" spans="6:6">
      <c r="F45887" s="2423"/>
    </row>
    <row r="45888" s="101" customFormat="1" spans="6:6">
      <c r="F45888" s="2423"/>
    </row>
    <row r="45889" s="101" customFormat="1" spans="6:6">
      <c r="F45889" s="2423"/>
    </row>
    <row r="45890" s="101" customFormat="1" spans="6:6">
      <c r="F45890" s="2423"/>
    </row>
    <row r="45891" s="101" customFormat="1" spans="6:6">
      <c r="F45891" s="2423"/>
    </row>
    <row r="45892" s="101" customFormat="1" spans="6:6">
      <c r="F45892" s="2423"/>
    </row>
    <row r="45893" s="101" customFormat="1" spans="6:6">
      <c r="F45893" s="2423"/>
    </row>
    <row r="45894" s="101" customFormat="1" spans="6:6">
      <c r="F45894" s="2423"/>
    </row>
    <row r="45895" s="101" customFormat="1" spans="6:6">
      <c r="F45895" s="2423"/>
    </row>
    <row r="45896" s="101" customFormat="1" spans="6:6">
      <c r="F45896" s="2423"/>
    </row>
    <row r="45897" s="101" customFormat="1" spans="6:6">
      <c r="F45897" s="2423"/>
    </row>
    <row r="45898" s="101" customFormat="1" spans="6:6">
      <c r="F45898" s="2423"/>
    </row>
    <row r="45899" s="101" customFormat="1" spans="6:6">
      <c r="F45899" s="2423"/>
    </row>
    <row r="45900" s="101" customFormat="1" spans="6:6">
      <c r="F45900" s="2423"/>
    </row>
    <row r="45901" s="101" customFormat="1" spans="6:6">
      <c r="F45901" s="2423"/>
    </row>
    <row r="45902" s="101" customFormat="1" spans="6:6">
      <c r="F45902" s="2423"/>
    </row>
    <row r="45903" s="101" customFormat="1" spans="6:6">
      <c r="F45903" s="2423"/>
    </row>
    <row r="45904" s="101" customFormat="1" spans="6:6">
      <c r="F45904" s="2423"/>
    </row>
    <row r="45905" s="101" customFormat="1" spans="6:6">
      <c r="F45905" s="2423"/>
    </row>
    <row r="45906" s="101" customFormat="1" spans="6:6">
      <c r="F45906" s="2423"/>
    </row>
    <row r="45907" s="101" customFormat="1" spans="6:6">
      <c r="F45907" s="2423"/>
    </row>
    <row r="45908" s="101" customFormat="1" spans="6:6">
      <c r="F45908" s="2423"/>
    </row>
    <row r="45909" s="101" customFormat="1" spans="6:6">
      <c r="F45909" s="2423"/>
    </row>
    <row r="45910" s="101" customFormat="1" spans="6:6">
      <c r="F45910" s="2423"/>
    </row>
    <row r="45911" s="101" customFormat="1" spans="6:6">
      <c r="F45911" s="2423"/>
    </row>
    <row r="45912" s="101" customFormat="1" spans="6:6">
      <c r="F45912" s="2423"/>
    </row>
    <row r="45913" s="101" customFormat="1" spans="6:6">
      <c r="F45913" s="2423"/>
    </row>
    <row r="45914" s="101" customFormat="1" spans="6:6">
      <c r="F45914" s="2423"/>
    </row>
    <row r="45915" s="101" customFormat="1" spans="6:6">
      <c r="F45915" s="2423"/>
    </row>
    <row r="45916" s="101" customFormat="1" spans="6:6">
      <c r="F45916" s="2423"/>
    </row>
    <row r="45917" s="101" customFormat="1" spans="6:6">
      <c r="F45917" s="2423"/>
    </row>
    <row r="45918" s="101" customFormat="1" spans="6:6">
      <c r="F45918" s="2423"/>
    </row>
    <row r="45919" s="101" customFormat="1" spans="6:6">
      <c r="F45919" s="2423"/>
    </row>
    <row r="45920" s="101" customFormat="1" spans="6:6">
      <c r="F45920" s="2423"/>
    </row>
    <row r="45921" s="101" customFormat="1" spans="6:6">
      <c r="F45921" s="2423"/>
    </row>
    <row r="45922" s="101" customFormat="1" spans="6:6">
      <c r="F45922" s="2423"/>
    </row>
    <row r="45923" s="101" customFormat="1" spans="6:6">
      <c r="F45923" s="2423"/>
    </row>
    <row r="45924" s="101" customFormat="1" spans="6:6">
      <c r="F45924" s="2423"/>
    </row>
    <row r="45925" s="101" customFormat="1" spans="6:6">
      <c r="F45925" s="2423"/>
    </row>
    <row r="45926" s="101" customFormat="1" spans="6:6">
      <c r="F45926" s="2423"/>
    </row>
    <row r="45927" s="101" customFormat="1" spans="6:6">
      <c r="F45927" s="2423"/>
    </row>
    <row r="45928" s="101" customFormat="1" spans="6:6">
      <c r="F45928" s="2423"/>
    </row>
    <row r="45929" s="101" customFormat="1" spans="6:6">
      <c r="F45929" s="2423"/>
    </row>
    <row r="45930" s="101" customFormat="1" spans="6:6">
      <c r="F45930" s="2423"/>
    </row>
    <row r="45931" s="101" customFormat="1" spans="6:6">
      <c r="F45931" s="2423"/>
    </row>
    <row r="45932" s="101" customFormat="1" spans="6:6">
      <c r="F45932" s="2423"/>
    </row>
    <row r="45933" s="101" customFormat="1" spans="6:6">
      <c r="F45933" s="2423"/>
    </row>
    <row r="45934" s="101" customFormat="1" spans="6:6">
      <c r="F45934" s="2423"/>
    </row>
    <row r="45935" s="101" customFormat="1" spans="6:6">
      <c r="F45935" s="2423"/>
    </row>
    <row r="45936" s="101" customFormat="1" spans="6:6">
      <c r="F45936" s="2423"/>
    </row>
    <row r="45937" s="101" customFormat="1" spans="6:6">
      <c r="F45937" s="2423"/>
    </row>
    <row r="45938" s="101" customFormat="1" spans="6:6">
      <c r="F45938" s="2423"/>
    </row>
    <row r="45939" s="101" customFormat="1" spans="6:6">
      <c r="F45939" s="2423"/>
    </row>
    <row r="45940" s="101" customFormat="1" spans="6:6">
      <c r="F45940" s="2423"/>
    </row>
    <row r="45941" s="101" customFormat="1" spans="6:6">
      <c r="F45941" s="2423"/>
    </row>
    <row r="45942" s="101" customFormat="1" spans="6:6">
      <c r="F45942" s="2423"/>
    </row>
    <row r="45943" s="101" customFormat="1" spans="6:6">
      <c r="F45943" s="2423"/>
    </row>
    <row r="45944" s="101" customFormat="1" spans="6:6">
      <c r="F45944" s="2423"/>
    </row>
    <row r="45945" s="101" customFormat="1" spans="6:6">
      <c r="F45945" s="2423"/>
    </row>
    <row r="45946" s="101" customFormat="1" spans="6:6">
      <c r="F45946" s="2423"/>
    </row>
    <row r="45947" s="101" customFormat="1" spans="6:6">
      <c r="F45947" s="2423"/>
    </row>
    <row r="45948" s="101" customFormat="1" spans="6:6">
      <c r="F45948" s="2423"/>
    </row>
    <row r="45949" s="101" customFormat="1" spans="6:6">
      <c r="F45949" s="2423"/>
    </row>
    <row r="45950" s="101" customFormat="1" spans="6:6">
      <c r="F45950" s="2423"/>
    </row>
    <row r="45951" s="101" customFormat="1" spans="6:6">
      <c r="F45951" s="2423"/>
    </row>
    <row r="45952" s="101" customFormat="1" spans="6:6">
      <c r="F45952" s="2423"/>
    </row>
    <row r="45953" s="101" customFormat="1" spans="6:6">
      <c r="F45953" s="2423"/>
    </row>
    <row r="45954" s="101" customFormat="1" spans="6:6">
      <c r="F45954" s="2423"/>
    </row>
    <row r="45955" s="101" customFormat="1" spans="6:6">
      <c r="F45955" s="2423"/>
    </row>
    <row r="45956" s="101" customFormat="1" spans="6:6">
      <c r="F45956" s="2423"/>
    </row>
    <row r="45957" s="101" customFormat="1" spans="6:6">
      <c r="F45957" s="2423"/>
    </row>
    <row r="45958" s="101" customFormat="1" spans="6:6">
      <c r="F45958" s="2423"/>
    </row>
    <row r="45959" s="101" customFormat="1" spans="6:6">
      <c r="F45959" s="2423"/>
    </row>
    <row r="45960" s="101" customFormat="1" spans="6:6">
      <c r="F45960" s="2423"/>
    </row>
    <row r="45961" s="101" customFormat="1" spans="6:6">
      <c r="F45961" s="2423"/>
    </row>
    <row r="45962" s="101" customFormat="1" spans="6:6">
      <c r="F45962" s="2423"/>
    </row>
    <row r="45963" s="101" customFormat="1" spans="6:6">
      <c r="F45963" s="2423"/>
    </row>
    <row r="45964" s="101" customFormat="1" spans="6:6">
      <c r="F45964" s="2423"/>
    </row>
    <row r="45965" s="101" customFormat="1" spans="6:6">
      <c r="F45965" s="2423"/>
    </row>
    <row r="45966" s="101" customFormat="1" spans="6:6">
      <c r="F45966" s="2423"/>
    </row>
    <row r="45967" s="101" customFormat="1" spans="6:6">
      <c r="F45967" s="2423"/>
    </row>
    <row r="45968" s="101" customFormat="1" spans="6:6">
      <c r="F45968" s="2423"/>
    </row>
    <row r="45969" s="101" customFormat="1" spans="6:6">
      <c r="F45969" s="2423"/>
    </row>
    <row r="45970" s="101" customFormat="1" spans="6:6">
      <c r="F45970" s="2423"/>
    </row>
    <row r="45971" s="101" customFormat="1" spans="6:6">
      <c r="F45971" s="2423"/>
    </row>
    <row r="45972" s="101" customFormat="1" spans="6:6">
      <c r="F45972" s="2423"/>
    </row>
    <row r="45973" s="101" customFormat="1" spans="6:6">
      <c r="F45973" s="2423"/>
    </row>
    <row r="45974" s="101" customFormat="1" spans="6:6">
      <c r="F45974" s="2423"/>
    </row>
    <row r="45975" s="101" customFormat="1" spans="6:6">
      <c r="F45975" s="2423"/>
    </row>
    <row r="45976" s="101" customFormat="1" spans="6:6">
      <c r="F45976" s="2423"/>
    </row>
    <row r="45977" s="101" customFormat="1" spans="6:6">
      <c r="F45977" s="2423"/>
    </row>
    <row r="45978" s="101" customFormat="1" spans="6:6">
      <c r="F45978" s="2423"/>
    </row>
    <row r="45979" s="101" customFormat="1" spans="6:6">
      <c r="F45979" s="2423"/>
    </row>
    <row r="45980" s="101" customFormat="1" spans="6:6">
      <c r="F45980" s="2423"/>
    </row>
    <row r="45981" s="101" customFormat="1" spans="6:6">
      <c r="F45981" s="2423"/>
    </row>
    <row r="45982" s="101" customFormat="1" spans="6:6">
      <c r="F45982" s="2423"/>
    </row>
    <row r="45983" s="101" customFormat="1" spans="6:6">
      <c r="F45983" s="2423"/>
    </row>
    <row r="45984" s="101" customFormat="1" spans="6:6">
      <c r="F45984" s="2423"/>
    </row>
    <row r="45985" s="101" customFormat="1" spans="6:6">
      <c r="F45985" s="2423"/>
    </row>
    <row r="45986" s="101" customFormat="1" spans="6:6">
      <c r="F45986" s="2423"/>
    </row>
    <row r="45987" s="101" customFormat="1" spans="6:6">
      <c r="F45987" s="2423"/>
    </row>
    <row r="45988" s="101" customFormat="1" spans="6:6">
      <c r="F45988" s="2423"/>
    </row>
    <row r="45989" s="101" customFormat="1" spans="6:6">
      <c r="F45989" s="2423"/>
    </row>
    <row r="45990" s="101" customFormat="1" spans="6:6">
      <c r="F45990" s="2423"/>
    </row>
    <row r="45991" s="101" customFormat="1" spans="6:6">
      <c r="F45991" s="2423"/>
    </row>
    <row r="45992" s="101" customFormat="1" spans="6:6">
      <c r="F45992" s="2423"/>
    </row>
    <row r="45993" s="101" customFormat="1" spans="6:6">
      <c r="F45993" s="2423"/>
    </row>
    <row r="45994" s="101" customFormat="1" spans="6:6">
      <c r="F45994" s="2423"/>
    </row>
    <row r="45995" s="101" customFormat="1" spans="6:6">
      <c r="F45995" s="2423"/>
    </row>
    <row r="45996" s="101" customFormat="1" spans="6:6">
      <c r="F45996" s="2423"/>
    </row>
    <row r="45997" s="101" customFormat="1" spans="6:6">
      <c r="F45997" s="2423"/>
    </row>
    <row r="45998" s="101" customFormat="1" spans="6:6">
      <c r="F45998" s="2423"/>
    </row>
    <row r="45999" s="101" customFormat="1" spans="6:6">
      <c r="F45999" s="2423"/>
    </row>
    <row r="46000" s="101" customFormat="1" spans="6:6">
      <c r="F46000" s="2423"/>
    </row>
    <row r="46001" s="101" customFormat="1" spans="6:6">
      <c r="F46001" s="2423"/>
    </row>
    <row r="46002" s="101" customFormat="1" spans="6:6">
      <c r="F46002" s="2423"/>
    </row>
    <row r="46003" s="101" customFormat="1" spans="6:6">
      <c r="F46003" s="2423"/>
    </row>
    <row r="46004" s="101" customFormat="1" spans="6:6">
      <c r="F46004" s="2423"/>
    </row>
    <row r="46005" s="101" customFormat="1" spans="6:6">
      <c r="F46005" s="2423"/>
    </row>
    <row r="46006" s="101" customFormat="1" spans="6:6">
      <c r="F46006" s="2423"/>
    </row>
    <row r="46007" s="101" customFormat="1" spans="6:6">
      <c r="F46007" s="2423"/>
    </row>
    <row r="46008" s="101" customFormat="1" spans="6:6">
      <c r="F46008" s="2423"/>
    </row>
    <row r="46009" s="101" customFormat="1" spans="6:6">
      <c r="F46009" s="2423"/>
    </row>
    <row r="46010" s="101" customFormat="1" spans="6:6">
      <c r="F46010" s="2423"/>
    </row>
    <row r="46011" s="101" customFormat="1" spans="6:6">
      <c r="F46011" s="2423"/>
    </row>
    <row r="46012" s="101" customFormat="1" spans="6:6">
      <c r="F46012" s="2423"/>
    </row>
    <row r="46013" s="101" customFormat="1" spans="6:6">
      <c r="F46013" s="2423"/>
    </row>
    <row r="46014" s="101" customFormat="1" spans="6:6">
      <c r="F46014" s="2423"/>
    </row>
    <row r="46015" s="101" customFormat="1" spans="6:6">
      <c r="F46015" s="2423"/>
    </row>
    <row r="46016" s="101" customFormat="1" spans="6:6">
      <c r="F46016" s="2423"/>
    </row>
    <row r="46017" s="101" customFormat="1" spans="6:6">
      <c r="F46017" s="2423"/>
    </row>
    <row r="46018" s="101" customFormat="1" spans="6:6">
      <c r="F46018" s="2423"/>
    </row>
    <row r="46019" s="101" customFormat="1" spans="6:6">
      <c r="F46019" s="2423"/>
    </row>
    <row r="46020" s="101" customFormat="1" spans="6:6">
      <c r="F46020" s="2423"/>
    </row>
    <row r="46021" s="101" customFormat="1" spans="6:6">
      <c r="F46021" s="2423"/>
    </row>
    <row r="46022" s="101" customFormat="1" spans="6:6">
      <c r="F46022" s="2423"/>
    </row>
    <row r="46023" s="101" customFormat="1" spans="6:6">
      <c r="F46023" s="2423"/>
    </row>
    <row r="46024" s="101" customFormat="1" spans="6:6">
      <c r="F46024" s="2423"/>
    </row>
    <row r="46025" s="101" customFormat="1" spans="6:6">
      <c r="F46025" s="2423"/>
    </row>
    <row r="46026" s="101" customFormat="1" spans="6:6">
      <c r="F46026" s="2423"/>
    </row>
    <row r="46027" s="101" customFormat="1" spans="6:6">
      <c r="F46027" s="2423"/>
    </row>
    <row r="46028" s="101" customFormat="1" spans="6:6">
      <c r="F46028" s="2423"/>
    </row>
    <row r="46029" s="101" customFormat="1" spans="6:6">
      <c r="F46029" s="2423"/>
    </row>
    <row r="46030" s="101" customFormat="1" spans="6:6">
      <c r="F46030" s="2423"/>
    </row>
    <row r="46031" s="101" customFormat="1" spans="6:6">
      <c r="F46031" s="2423"/>
    </row>
    <row r="46032" s="101" customFormat="1" spans="6:6">
      <c r="F46032" s="2423"/>
    </row>
    <row r="46033" s="101" customFormat="1" spans="6:6">
      <c r="F46033" s="2423"/>
    </row>
    <row r="46034" s="101" customFormat="1" spans="6:6">
      <c r="F46034" s="2423"/>
    </row>
    <row r="46035" s="101" customFormat="1" spans="6:6">
      <c r="F46035" s="2423"/>
    </row>
    <row r="46036" s="101" customFormat="1" spans="6:6">
      <c r="F46036" s="2423"/>
    </row>
    <row r="46037" s="101" customFormat="1" spans="6:6">
      <c r="F46037" s="2423"/>
    </row>
    <row r="46038" s="101" customFormat="1" spans="6:6">
      <c r="F46038" s="2423"/>
    </row>
    <row r="46039" s="101" customFormat="1" spans="6:6">
      <c r="F46039" s="2423"/>
    </row>
    <row r="46040" s="101" customFormat="1" spans="6:6">
      <c r="F46040" s="2423"/>
    </row>
    <row r="46041" s="101" customFormat="1" spans="6:6">
      <c r="F46041" s="2423"/>
    </row>
    <row r="46042" s="101" customFormat="1" spans="6:6">
      <c r="F46042" s="2423"/>
    </row>
    <row r="46043" s="101" customFormat="1" spans="6:6">
      <c r="F46043" s="2423"/>
    </row>
    <row r="46044" s="101" customFormat="1" spans="6:6">
      <c r="F46044" s="2423"/>
    </row>
    <row r="46045" s="101" customFormat="1" spans="6:6">
      <c r="F46045" s="2423"/>
    </row>
    <row r="46046" s="101" customFormat="1" spans="6:6">
      <c r="F46046" s="2423"/>
    </row>
    <row r="46047" s="101" customFormat="1" spans="6:6">
      <c r="F46047" s="2423"/>
    </row>
    <row r="46048" s="101" customFormat="1" spans="6:6">
      <c r="F46048" s="2423"/>
    </row>
    <row r="46049" s="101" customFormat="1" spans="6:6">
      <c r="F46049" s="2423"/>
    </row>
    <row r="46050" s="101" customFormat="1" spans="6:6">
      <c r="F46050" s="2423"/>
    </row>
    <row r="46051" s="101" customFormat="1" spans="6:6">
      <c r="F46051" s="2423"/>
    </row>
    <row r="46052" s="101" customFormat="1" spans="6:6">
      <c r="F46052" s="2423"/>
    </row>
    <row r="46053" s="101" customFormat="1" spans="6:6">
      <c r="F46053" s="2423"/>
    </row>
    <row r="46054" s="101" customFormat="1" spans="6:6">
      <c r="F46054" s="2423"/>
    </row>
    <row r="46055" s="101" customFormat="1" spans="6:6">
      <c r="F46055" s="2423"/>
    </row>
    <row r="46056" s="101" customFormat="1" spans="6:6">
      <c r="F46056" s="2423"/>
    </row>
    <row r="46057" s="101" customFormat="1" spans="6:6">
      <c r="F46057" s="2423"/>
    </row>
    <row r="46058" s="101" customFormat="1" spans="6:6">
      <c r="F46058" s="2423"/>
    </row>
    <row r="46059" s="101" customFormat="1" spans="6:6">
      <c r="F46059" s="2423"/>
    </row>
    <row r="46060" s="101" customFormat="1" spans="6:6">
      <c r="F46060" s="2423"/>
    </row>
    <row r="46061" s="101" customFormat="1" spans="6:6">
      <c r="F46061" s="2423"/>
    </row>
    <row r="46062" s="101" customFormat="1" spans="6:6">
      <c r="F46062" s="2423"/>
    </row>
    <row r="46063" s="101" customFormat="1" spans="6:6">
      <c r="F46063" s="2423"/>
    </row>
    <row r="46064" s="101" customFormat="1" spans="6:6">
      <c r="F46064" s="2423"/>
    </row>
    <row r="46065" s="101" customFormat="1" spans="6:6">
      <c r="F46065" s="2423"/>
    </row>
    <row r="46066" s="101" customFormat="1" spans="6:6">
      <c r="F46066" s="2423"/>
    </row>
    <row r="46067" s="101" customFormat="1" spans="6:6">
      <c r="F46067" s="2423"/>
    </row>
    <row r="46068" s="101" customFormat="1" spans="6:6">
      <c r="F46068" s="2423"/>
    </row>
    <row r="46069" s="101" customFormat="1" spans="6:6">
      <c r="F46069" s="2423"/>
    </row>
    <row r="46070" s="101" customFormat="1" spans="6:6">
      <c r="F46070" s="2423"/>
    </row>
    <row r="46071" s="101" customFormat="1" spans="6:6">
      <c r="F46071" s="2423"/>
    </row>
    <row r="46072" s="101" customFormat="1" spans="6:6">
      <c r="F46072" s="2423"/>
    </row>
    <row r="46073" s="101" customFormat="1" spans="6:6">
      <c r="F46073" s="2423"/>
    </row>
    <row r="46074" s="101" customFormat="1" spans="6:6">
      <c r="F46074" s="2423"/>
    </row>
    <row r="46075" s="101" customFormat="1" spans="6:6">
      <c r="F46075" s="2423"/>
    </row>
    <row r="46076" s="101" customFormat="1" spans="6:6">
      <c r="F46076" s="2423"/>
    </row>
    <row r="46077" s="101" customFormat="1" spans="6:6">
      <c r="F46077" s="2423"/>
    </row>
    <row r="46078" s="101" customFormat="1" spans="6:6">
      <c r="F46078" s="2423"/>
    </row>
    <row r="46079" s="101" customFormat="1" spans="6:6">
      <c r="F46079" s="2423"/>
    </row>
    <row r="46080" s="101" customFormat="1" spans="6:6">
      <c r="F46080" s="2423"/>
    </row>
    <row r="46081" s="101" customFormat="1" spans="6:6">
      <c r="F46081" s="2423"/>
    </row>
    <row r="46082" s="101" customFormat="1" spans="6:6">
      <c r="F46082" s="2423"/>
    </row>
    <row r="46083" s="101" customFormat="1" spans="6:6">
      <c r="F46083" s="2423"/>
    </row>
    <row r="46084" s="101" customFormat="1" spans="6:6">
      <c r="F46084" s="2423"/>
    </row>
    <row r="46085" s="101" customFormat="1" spans="6:6">
      <c r="F46085" s="2423"/>
    </row>
    <row r="46086" s="101" customFormat="1" spans="6:6">
      <c r="F46086" s="2423"/>
    </row>
    <row r="46087" s="101" customFormat="1" spans="6:6">
      <c r="F46087" s="2423"/>
    </row>
    <row r="46088" s="101" customFormat="1" spans="6:6">
      <c r="F46088" s="2423"/>
    </row>
    <row r="46089" s="101" customFormat="1" spans="6:6">
      <c r="F46089" s="2423"/>
    </row>
    <row r="46090" s="101" customFormat="1" spans="6:6">
      <c r="F46090" s="2423"/>
    </row>
    <row r="46091" s="101" customFormat="1" spans="6:6">
      <c r="F46091" s="2423"/>
    </row>
    <row r="46092" s="101" customFormat="1" spans="6:6">
      <c r="F46092" s="2423"/>
    </row>
    <row r="46093" s="101" customFormat="1" spans="6:6">
      <c r="F46093" s="2423"/>
    </row>
    <row r="46094" s="101" customFormat="1" spans="6:6">
      <c r="F46094" s="2423"/>
    </row>
    <row r="46095" s="101" customFormat="1" spans="6:6">
      <c r="F46095" s="2423"/>
    </row>
    <row r="46096" s="101" customFormat="1" spans="6:6">
      <c r="F46096" s="2423"/>
    </row>
    <row r="46097" s="101" customFormat="1" spans="6:6">
      <c r="F46097" s="2423"/>
    </row>
    <row r="46098" s="101" customFormat="1" spans="6:6">
      <c r="F46098" s="2423"/>
    </row>
    <row r="46099" s="101" customFormat="1" spans="6:6">
      <c r="F46099" s="2423"/>
    </row>
    <row r="46100" s="101" customFormat="1" spans="6:6">
      <c r="F46100" s="2423"/>
    </row>
    <row r="46101" s="101" customFormat="1" spans="6:6">
      <c r="F46101" s="2423"/>
    </row>
    <row r="46102" s="101" customFormat="1" spans="6:6">
      <c r="F46102" s="2423"/>
    </row>
    <row r="46103" s="101" customFormat="1" spans="6:6">
      <c r="F46103" s="2423"/>
    </row>
    <row r="46104" s="101" customFormat="1" spans="6:6">
      <c r="F46104" s="2423"/>
    </row>
    <row r="46105" s="101" customFormat="1" spans="6:6">
      <c r="F46105" s="2423"/>
    </row>
    <row r="46106" s="101" customFormat="1" spans="6:6">
      <c r="F46106" s="2423"/>
    </row>
    <row r="46107" s="101" customFormat="1" spans="6:6">
      <c r="F46107" s="2423"/>
    </row>
    <row r="46108" s="101" customFormat="1" spans="6:6">
      <c r="F46108" s="2423"/>
    </row>
    <row r="46109" s="101" customFormat="1" spans="6:6">
      <c r="F46109" s="2423"/>
    </row>
    <row r="46110" s="101" customFormat="1" spans="6:6">
      <c r="F46110" s="2423"/>
    </row>
    <row r="46111" s="101" customFormat="1" spans="6:6">
      <c r="F46111" s="2423"/>
    </row>
    <row r="46112" s="101" customFormat="1" spans="6:6">
      <c r="F46112" s="2423"/>
    </row>
    <row r="46113" s="101" customFormat="1" spans="6:6">
      <c r="F46113" s="2423"/>
    </row>
    <row r="46114" s="101" customFormat="1" spans="6:6">
      <c r="F46114" s="2423"/>
    </row>
    <row r="46115" s="101" customFormat="1" spans="6:6">
      <c r="F46115" s="2423"/>
    </row>
    <row r="46116" s="101" customFormat="1" spans="6:6">
      <c r="F46116" s="2423"/>
    </row>
    <row r="46117" s="101" customFormat="1" spans="6:6">
      <c r="F46117" s="2423"/>
    </row>
    <row r="46118" s="101" customFormat="1" spans="6:6">
      <c r="F46118" s="2423"/>
    </row>
    <row r="46119" s="101" customFormat="1" spans="6:6">
      <c r="F46119" s="2423"/>
    </row>
    <row r="46120" s="101" customFormat="1" spans="6:6">
      <c r="F46120" s="2423"/>
    </row>
    <row r="46121" s="101" customFormat="1" spans="6:6">
      <c r="F46121" s="2423"/>
    </row>
    <row r="46122" s="101" customFormat="1" spans="6:6">
      <c r="F46122" s="2423"/>
    </row>
    <row r="46123" s="101" customFormat="1" spans="6:6">
      <c r="F46123" s="2423"/>
    </row>
    <row r="46124" s="101" customFormat="1" spans="6:6">
      <c r="F46124" s="2423"/>
    </row>
    <row r="46125" s="101" customFormat="1" spans="6:6">
      <c r="F46125" s="2423"/>
    </row>
    <row r="46126" s="101" customFormat="1" spans="6:6">
      <c r="F46126" s="2423"/>
    </row>
    <row r="46127" s="101" customFormat="1" spans="6:6">
      <c r="F46127" s="2423"/>
    </row>
    <row r="46128" s="101" customFormat="1" spans="6:6">
      <c r="F46128" s="2423"/>
    </row>
    <row r="46129" s="101" customFormat="1" spans="6:6">
      <c r="F46129" s="2423"/>
    </row>
    <row r="46130" s="101" customFormat="1" spans="6:6">
      <c r="F46130" s="2423"/>
    </row>
    <row r="46131" s="101" customFormat="1" spans="6:6">
      <c r="F46131" s="2423"/>
    </row>
    <row r="46132" s="101" customFormat="1" spans="6:6">
      <c r="F46132" s="2423"/>
    </row>
    <row r="46133" s="101" customFormat="1" spans="6:6">
      <c r="F46133" s="2423"/>
    </row>
    <row r="46134" s="101" customFormat="1" spans="6:6">
      <c r="F46134" s="2423"/>
    </row>
    <row r="46135" s="101" customFormat="1" spans="6:6">
      <c r="F46135" s="2423"/>
    </row>
    <row r="46136" s="101" customFormat="1" spans="6:6">
      <c r="F46136" s="2423"/>
    </row>
    <row r="46137" s="101" customFormat="1" spans="6:6">
      <c r="F46137" s="2423"/>
    </row>
    <row r="46138" s="101" customFormat="1" spans="6:6">
      <c r="F46138" s="2423"/>
    </row>
    <row r="46139" s="101" customFormat="1" spans="6:6">
      <c r="F46139" s="2423"/>
    </row>
    <row r="46140" s="101" customFormat="1" spans="6:6">
      <c r="F46140" s="2423"/>
    </row>
    <row r="46141" s="101" customFormat="1" spans="6:6">
      <c r="F46141" s="2423"/>
    </row>
    <row r="46142" s="101" customFormat="1" spans="6:6">
      <c r="F46142" s="2423"/>
    </row>
    <row r="46143" s="101" customFormat="1" spans="6:6">
      <c r="F46143" s="2423"/>
    </row>
    <row r="46144" s="101" customFormat="1" spans="6:6">
      <c r="F46144" s="2423"/>
    </row>
    <row r="46145" s="101" customFormat="1" spans="6:6">
      <c r="F46145" s="2423"/>
    </row>
    <row r="46146" s="101" customFormat="1" spans="6:6">
      <c r="F46146" s="2423"/>
    </row>
    <row r="46147" s="101" customFormat="1" spans="6:6">
      <c r="F46147" s="2423"/>
    </row>
    <row r="46148" s="101" customFormat="1" spans="6:6">
      <c r="F46148" s="2423"/>
    </row>
    <row r="46149" s="101" customFormat="1" spans="6:6">
      <c r="F46149" s="2423"/>
    </row>
    <row r="46150" s="101" customFormat="1" spans="6:6">
      <c r="F46150" s="2423"/>
    </row>
    <row r="46151" s="101" customFormat="1" spans="6:6">
      <c r="F46151" s="2423"/>
    </row>
    <row r="46152" s="101" customFormat="1" spans="6:6">
      <c r="F46152" s="2423"/>
    </row>
    <row r="46153" s="101" customFormat="1" spans="6:6">
      <c r="F46153" s="2423"/>
    </row>
    <row r="46154" s="101" customFormat="1" spans="6:6">
      <c r="F46154" s="2423"/>
    </row>
    <row r="46155" s="101" customFormat="1" spans="6:6">
      <c r="F46155" s="2423"/>
    </row>
    <row r="46156" s="101" customFormat="1" spans="6:6">
      <c r="F46156" s="2423"/>
    </row>
    <row r="46157" s="101" customFormat="1" spans="6:6">
      <c r="F46157" s="2423"/>
    </row>
    <row r="46158" s="101" customFormat="1" spans="6:6">
      <c r="F46158" s="2423"/>
    </row>
    <row r="46159" s="101" customFormat="1" spans="6:6">
      <c r="F46159" s="2423"/>
    </row>
    <row r="46160" s="101" customFormat="1" spans="6:6">
      <c r="F46160" s="2423"/>
    </row>
    <row r="46161" s="101" customFormat="1" spans="6:6">
      <c r="F46161" s="2423"/>
    </row>
    <row r="46162" s="101" customFormat="1" spans="6:6">
      <c r="F46162" s="2423"/>
    </row>
    <row r="46163" s="101" customFormat="1" spans="6:6">
      <c r="F46163" s="2423"/>
    </row>
    <row r="46164" s="101" customFormat="1" spans="6:6">
      <c r="F46164" s="2423"/>
    </row>
    <row r="46165" s="101" customFormat="1" spans="6:6">
      <c r="F46165" s="2423"/>
    </row>
    <row r="46166" s="101" customFormat="1" spans="6:6">
      <c r="F46166" s="2423"/>
    </row>
    <row r="46167" s="101" customFormat="1" spans="6:6">
      <c r="F46167" s="2423"/>
    </row>
    <row r="46168" s="101" customFormat="1" spans="6:6">
      <c r="F46168" s="2423"/>
    </row>
    <row r="46169" s="101" customFormat="1" spans="6:6">
      <c r="F46169" s="2423"/>
    </row>
    <row r="46170" s="101" customFormat="1" spans="6:6">
      <c r="F46170" s="2423"/>
    </row>
    <row r="46171" s="101" customFormat="1" spans="6:6">
      <c r="F46171" s="2423"/>
    </row>
    <row r="46172" s="101" customFormat="1" spans="6:6">
      <c r="F46172" s="2423"/>
    </row>
    <row r="46173" s="101" customFormat="1" spans="6:6">
      <c r="F46173" s="2423"/>
    </row>
    <row r="46174" s="101" customFormat="1" spans="6:6">
      <c r="F46174" s="2423"/>
    </row>
    <row r="46175" s="101" customFormat="1" spans="6:6">
      <c r="F46175" s="2423"/>
    </row>
    <row r="46176" s="101" customFormat="1" spans="6:6">
      <c r="F46176" s="2423"/>
    </row>
    <row r="46177" s="101" customFormat="1" spans="6:6">
      <c r="F46177" s="2423"/>
    </row>
    <row r="46178" s="101" customFormat="1" spans="6:6">
      <c r="F46178" s="2423"/>
    </row>
    <row r="46179" s="101" customFormat="1" spans="6:6">
      <c r="F46179" s="2423"/>
    </row>
    <row r="46180" s="101" customFormat="1" spans="6:6">
      <c r="F46180" s="2423"/>
    </row>
    <row r="46181" s="101" customFormat="1" spans="6:6">
      <c r="F46181" s="2423"/>
    </row>
    <row r="46182" s="101" customFormat="1" spans="6:6">
      <c r="F46182" s="2423"/>
    </row>
    <row r="46183" s="101" customFormat="1" spans="6:6">
      <c r="F46183" s="2423"/>
    </row>
    <row r="46184" s="101" customFormat="1" spans="6:6">
      <c r="F46184" s="2423"/>
    </row>
    <row r="46185" s="101" customFormat="1" spans="6:6">
      <c r="F46185" s="2423"/>
    </row>
    <row r="46186" s="101" customFormat="1" spans="6:6">
      <c r="F46186" s="2423"/>
    </row>
    <row r="46187" s="101" customFormat="1" spans="6:6">
      <c r="F46187" s="2423"/>
    </row>
    <row r="46188" s="101" customFormat="1" spans="6:6">
      <c r="F46188" s="2423"/>
    </row>
    <row r="46189" s="101" customFormat="1" spans="6:6">
      <c r="F46189" s="2423"/>
    </row>
    <row r="46190" s="101" customFormat="1" spans="6:6">
      <c r="F46190" s="2423"/>
    </row>
    <row r="46191" s="101" customFormat="1" spans="6:6">
      <c r="F46191" s="2423"/>
    </row>
    <row r="46192" s="101" customFormat="1" spans="6:6">
      <c r="F46192" s="2423"/>
    </row>
    <row r="46193" s="101" customFormat="1" spans="6:6">
      <c r="F46193" s="2423"/>
    </row>
    <row r="46194" s="101" customFormat="1" spans="6:6">
      <c r="F46194" s="2423"/>
    </row>
    <row r="46195" s="101" customFormat="1" spans="6:6">
      <c r="F46195" s="2423"/>
    </row>
    <row r="46196" s="101" customFormat="1" spans="6:6">
      <c r="F46196" s="2423"/>
    </row>
    <row r="46197" s="101" customFormat="1" spans="6:6">
      <c r="F46197" s="2423"/>
    </row>
    <row r="46198" s="101" customFormat="1" spans="6:6">
      <c r="F46198" s="2423"/>
    </row>
    <row r="46199" s="101" customFormat="1" spans="6:6">
      <c r="F46199" s="2423"/>
    </row>
    <row r="46200" s="101" customFormat="1" spans="6:6">
      <c r="F46200" s="2423"/>
    </row>
    <row r="46201" s="101" customFormat="1" spans="6:6">
      <c r="F46201" s="2423"/>
    </row>
    <row r="46202" s="101" customFormat="1" spans="6:6">
      <c r="F46202" s="2423"/>
    </row>
    <row r="46203" s="101" customFormat="1" spans="6:6">
      <c r="F46203" s="2423"/>
    </row>
    <row r="46204" s="101" customFormat="1" spans="6:6">
      <c r="F46204" s="2423"/>
    </row>
    <row r="46205" s="101" customFormat="1" spans="6:6">
      <c r="F46205" s="2423"/>
    </row>
    <row r="46206" s="101" customFormat="1" spans="6:6">
      <c r="F46206" s="2423"/>
    </row>
    <row r="46207" s="101" customFormat="1" spans="6:6">
      <c r="F46207" s="2423"/>
    </row>
    <row r="46208" s="101" customFormat="1" spans="6:6">
      <c r="F46208" s="2423"/>
    </row>
    <row r="46209" s="101" customFormat="1" spans="6:6">
      <c r="F46209" s="2423"/>
    </row>
    <row r="46210" s="101" customFormat="1" spans="6:6">
      <c r="F46210" s="2423"/>
    </row>
    <row r="46211" s="101" customFormat="1" spans="6:6">
      <c r="F46211" s="2423"/>
    </row>
    <row r="46212" s="101" customFormat="1" spans="6:6">
      <c r="F46212" s="2423"/>
    </row>
    <row r="46213" s="101" customFormat="1" spans="6:6">
      <c r="F46213" s="2423"/>
    </row>
    <row r="46214" s="101" customFormat="1" spans="6:6">
      <c r="F46214" s="2423"/>
    </row>
    <row r="46215" s="101" customFormat="1" spans="6:6">
      <c r="F46215" s="2423"/>
    </row>
    <row r="46216" s="101" customFormat="1" spans="6:6">
      <c r="F46216" s="2423"/>
    </row>
    <row r="46217" s="101" customFormat="1" spans="6:6">
      <c r="F46217" s="2423"/>
    </row>
    <row r="46218" s="101" customFormat="1" spans="6:6">
      <c r="F46218" s="2423"/>
    </row>
    <row r="46219" s="101" customFormat="1" spans="6:6">
      <c r="F46219" s="2423"/>
    </row>
    <row r="46220" s="101" customFormat="1" spans="6:6">
      <c r="F46220" s="2423"/>
    </row>
    <row r="46221" s="101" customFormat="1" spans="6:6">
      <c r="F46221" s="2423"/>
    </row>
    <row r="46222" s="101" customFormat="1" spans="6:6">
      <c r="F46222" s="2423"/>
    </row>
    <row r="46223" s="101" customFormat="1" spans="6:6">
      <c r="F46223" s="2423"/>
    </row>
    <row r="46224" s="101" customFormat="1" spans="6:6">
      <c r="F46224" s="2423"/>
    </row>
    <row r="46225" s="101" customFormat="1" spans="6:6">
      <c r="F46225" s="2423"/>
    </row>
    <row r="46226" s="101" customFormat="1" spans="6:6">
      <c r="F46226" s="2423"/>
    </row>
    <row r="46227" s="101" customFormat="1" spans="6:6">
      <c r="F46227" s="2423"/>
    </row>
    <row r="46228" s="101" customFormat="1" spans="6:6">
      <c r="F46228" s="2423"/>
    </row>
    <row r="46229" s="101" customFormat="1" spans="6:6">
      <c r="F46229" s="2423"/>
    </row>
    <row r="46230" s="101" customFormat="1" spans="6:6">
      <c r="F46230" s="2423"/>
    </row>
    <row r="46231" s="101" customFormat="1" spans="6:6">
      <c r="F46231" s="2423"/>
    </row>
    <row r="46232" s="101" customFormat="1" spans="6:6">
      <c r="F46232" s="2423"/>
    </row>
    <row r="46233" s="101" customFormat="1" spans="6:6">
      <c r="F46233" s="2423"/>
    </row>
    <row r="46234" s="101" customFormat="1" spans="6:6">
      <c r="F46234" s="2423"/>
    </row>
    <row r="46235" s="101" customFormat="1" spans="6:6">
      <c r="F46235" s="2423"/>
    </row>
    <row r="46236" s="101" customFormat="1" spans="6:6">
      <c r="F46236" s="2423"/>
    </row>
    <row r="46237" s="101" customFormat="1" spans="6:6">
      <c r="F46237" s="2423"/>
    </row>
    <row r="46238" s="101" customFormat="1" spans="6:6">
      <c r="F46238" s="2423"/>
    </row>
    <row r="46239" s="101" customFormat="1" spans="6:6">
      <c r="F46239" s="2423"/>
    </row>
    <row r="46240" s="101" customFormat="1" spans="6:6">
      <c r="F46240" s="2423"/>
    </row>
    <row r="46241" s="101" customFormat="1" spans="6:6">
      <c r="F46241" s="2423"/>
    </row>
    <row r="46242" s="101" customFormat="1" spans="6:6">
      <c r="F46242" s="2423"/>
    </row>
    <row r="46243" s="101" customFormat="1" spans="6:6">
      <c r="F46243" s="2423"/>
    </row>
    <row r="46244" s="101" customFormat="1" spans="6:6">
      <c r="F46244" s="2423"/>
    </row>
    <row r="46245" s="101" customFormat="1" spans="6:6">
      <c r="F46245" s="2423"/>
    </row>
    <row r="46246" s="101" customFormat="1" spans="6:6">
      <c r="F46246" s="2423"/>
    </row>
    <row r="46247" s="101" customFormat="1" spans="6:6">
      <c r="F46247" s="2423"/>
    </row>
    <row r="46248" s="101" customFormat="1" spans="6:6">
      <c r="F46248" s="2423"/>
    </row>
    <row r="46249" s="101" customFormat="1" spans="6:6">
      <c r="F46249" s="2423"/>
    </row>
    <row r="46250" s="101" customFormat="1" spans="6:6">
      <c r="F46250" s="2423"/>
    </row>
    <row r="46251" s="101" customFormat="1" spans="6:6">
      <c r="F46251" s="2423"/>
    </row>
    <row r="46252" s="101" customFormat="1" spans="6:6">
      <c r="F46252" s="2423"/>
    </row>
    <row r="46253" s="101" customFormat="1" spans="6:6">
      <c r="F46253" s="2423"/>
    </row>
    <row r="46254" s="101" customFormat="1" spans="6:6">
      <c r="F46254" s="2423"/>
    </row>
    <row r="46255" s="101" customFormat="1" spans="6:6">
      <c r="F46255" s="2423"/>
    </row>
    <row r="46256" s="101" customFormat="1" spans="6:6">
      <c r="F46256" s="2423"/>
    </row>
    <row r="46257" s="101" customFormat="1" spans="6:6">
      <c r="F46257" s="2423"/>
    </row>
    <row r="46258" s="101" customFormat="1" spans="6:6">
      <c r="F46258" s="2423"/>
    </row>
    <row r="46259" s="101" customFormat="1" spans="6:6">
      <c r="F46259" s="2423"/>
    </row>
    <row r="46260" s="101" customFormat="1" spans="6:6">
      <c r="F46260" s="2423"/>
    </row>
    <row r="46261" s="101" customFormat="1" spans="6:6">
      <c r="F46261" s="2423"/>
    </row>
    <row r="46262" s="101" customFormat="1" spans="6:6">
      <c r="F46262" s="2423"/>
    </row>
    <row r="46263" s="101" customFormat="1" spans="6:6">
      <c r="F46263" s="2423"/>
    </row>
    <row r="46264" s="101" customFormat="1" spans="6:6">
      <c r="F46264" s="2423"/>
    </row>
    <row r="46265" s="101" customFormat="1" spans="6:6">
      <c r="F46265" s="2423"/>
    </row>
    <row r="46266" s="101" customFormat="1" spans="6:6">
      <c r="F46266" s="2423"/>
    </row>
    <row r="46267" s="101" customFormat="1" spans="6:6">
      <c r="F46267" s="2423"/>
    </row>
    <row r="46268" s="101" customFormat="1" spans="6:6">
      <c r="F46268" s="2423"/>
    </row>
    <row r="46269" s="101" customFormat="1" spans="6:6">
      <c r="F46269" s="2423"/>
    </row>
    <row r="46270" s="101" customFormat="1" spans="6:6">
      <c r="F46270" s="2423"/>
    </row>
    <row r="46271" s="101" customFormat="1" spans="6:6">
      <c r="F46271" s="2423"/>
    </row>
    <row r="46272" s="101" customFormat="1" spans="6:6">
      <c r="F46272" s="2423"/>
    </row>
    <row r="46273" s="101" customFormat="1" spans="6:6">
      <c r="F46273" s="2423"/>
    </row>
    <row r="46274" s="101" customFormat="1" spans="6:6">
      <c r="F46274" s="2423"/>
    </row>
    <row r="46275" s="101" customFormat="1" spans="6:6">
      <c r="F46275" s="2423"/>
    </row>
    <row r="46276" s="101" customFormat="1" spans="6:6">
      <c r="F46276" s="2423"/>
    </row>
    <row r="46277" s="101" customFormat="1" spans="6:6">
      <c r="F46277" s="2423"/>
    </row>
    <row r="46278" s="101" customFormat="1" spans="6:6">
      <c r="F46278" s="2423"/>
    </row>
    <row r="46279" s="101" customFormat="1" spans="6:6">
      <c r="F46279" s="2423"/>
    </row>
    <row r="46280" s="101" customFormat="1" spans="6:6">
      <c r="F46280" s="2423"/>
    </row>
    <row r="46281" s="101" customFormat="1" spans="6:6">
      <c r="F46281" s="2423"/>
    </row>
    <row r="46282" s="101" customFormat="1" spans="6:6">
      <c r="F46282" s="2423"/>
    </row>
    <row r="46283" s="101" customFormat="1" spans="6:6">
      <c r="F46283" s="2423"/>
    </row>
    <row r="46284" s="101" customFormat="1" spans="6:6">
      <c r="F46284" s="2423"/>
    </row>
    <row r="46285" s="101" customFormat="1" spans="6:6">
      <c r="F46285" s="2423"/>
    </row>
    <row r="46286" s="101" customFormat="1" spans="6:6">
      <c r="F46286" s="2423"/>
    </row>
    <row r="46287" s="101" customFormat="1" spans="6:6">
      <c r="F46287" s="2423"/>
    </row>
    <row r="46288" s="101" customFormat="1" spans="6:6">
      <c r="F46288" s="2423"/>
    </row>
    <row r="46289" s="101" customFormat="1" spans="6:6">
      <c r="F46289" s="2423"/>
    </row>
    <row r="46290" s="101" customFormat="1" spans="6:6">
      <c r="F46290" s="2423"/>
    </row>
    <row r="46291" s="101" customFormat="1" spans="6:6">
      <c r="F46291" s="2423"/>
    </row>
    <row r="46292" s="101" customFormat="1" spans="6:6">
      <c r="F46292" s="2423"/>
    </row>
    <row r="46293" s="101" customFormat="1" spans="6:6">
      <c r="F46293" s="2423"/>
    </row>
    <row r="46294" s="101" customFormat="1" spans="6:6">
      <c r="F46294" s="2423"/>
    </row>
    <row r="46295" s="101" customFormat="1" spans="6:6">
      <c r="F46295" s="2423"/>
    </row>
    <row r="46296" s="101" customFormat="1" spans="6:6">
      <c r="F46296" s="2423"/>
    </row>
    <row r="46297" s="101" customFormat="1" spans="6:6">
      <c r="F46297" s="2423"/>
    </row>
    <row r="46298" s="101" customFormat="1" spans="6:6">
      <c r="F46298" s="2423"/>
    </row>
    <row r="46299" s="101" customFormat="1" spans="6:6">
      <c r="F46299" s="2423"/>
    </row>
    <row r="46300" s="101" customFormat="1" spans="6:6">
      <c r="F46300" s="2423"/>
    </row>
    <row r="46301" s="101" customFormat="1" spans="6:6">
      <c r="F46301" s="2423"/>
    </row>
    <row r="46302" s="101" customFormat="1" spans="6:6">
      <c r="F46302" s="2423"/>
    </row>
    <row r="46303" s="101" customFormat="1" spans="6:6">
      <c r="F46303" s="2423"/>
    </row>
    <row r="46304" s="101" customFormat="1" spans="6:6">
      <c r="F46304" s="2423"/>
    </row>
    <row r="46305" s="101" customFormat="1" spans="6:6">
      <c r="F46305" s="2423"/>
    </row>
    <row r="46306" s="101" customFormat="1" spans="6:6">
      <c r="F46306" s="2423"/>
    </row>
    <row r="46307" s="101" customFormat="1" spans="6:6">
      <c r="F46307" s="2423"/>
    </row>
    <row r="46308" s="101" customFormat="1" spans="6:6">
      <c r="F46308" s="2423"/>
    </row>
    <row r="46309" s="101" customFormat="1" spans="6:6">
      <c r="F46309" s="2423"/>
    </row>
    <row r="46310" s="101" customFormat="1" spans="6:6">
      <c r="F46310" s="2423"/>
    </row>
    <row r="46311" s="101" customFormat="1" spans="6:6">
      <c r="F46311" s="2423"/>
    </row>
    <row r="46312" s="101" customFormat="1" spans="6:6">
      <c r="F46312" s="2423"/>
    </row>
    <row r="46313" s="101" customFormat="1" spans="6:6">
      <c r="F46313" s="2423"/>
    </row>
    <row r="46314" s="101" customFormat="1" spans="6:6">
      <c r="F46314" s="2423"/>
    </row>
    <row r="46315" s="101" customFormat="1" spans="6:6">
      <c r="F46315" s="2423"/>
    </row>
    <row r="46316" s="101" customFormat="1" spans="6:6">
      <c r="F46316" s="2423"/>
    </row>
    <row r="46317" s="101" customFormat="1" spans="6:6">
      <c r="F46317" s="2423"/>
    </row>
    <row r="46318" s="101" customFormat="1" spans="6:6">
      <c r="F46318" s="2423"/>
    </row>
    <row r="46319" s="101" customFormat="1" spans="6:6">
      <c r="F46319" s="2423"/>
    </row>
    <row r="46320" s="101" customFormat="1" spans="6:6">
      <c r="F46320" s="2423"/>
    </row>
    <row r="46321" s="101" customFormat="1" spans="6:6">
      <c r="F46321" s="2423"/>
    </row>
    <row r="46322" s="101" customFormat="1" spans="6:6">
      <c r="F46322" s="2423"/>
    </row>
    <row r="46323" s="101" customFormat="1" spans="6:6">
      <c r="F46323" s="2423"/>
    </row>
    <row r="46324" s="101" customFormat="1" spans="6:6">
      <c r="F46324" s="2423"/>
    </row>
    <row r="46325" s="101" customFormat="1" spans="6:6">
      <c r="F46325" s="2423"/>
    </row>
    <row r="46326" s="101" customFormat="1" spans="6:6">
      <c r="F46326" s="2423"/>
    </row>
    <row r="46327" s="101" customFormat="1" spans="6:6">
      <c r="F46327" s="2423"/>
    </row>
    <row r="46328" s="101" customFormat="1" spans="6:6">
      <c r="F46328" s="2423"/>
    </row>
    <row r="46329" s="101" customFormat="1" spans="6:6">
      <c r="F46329" s="2423"/>
    </row>
    <row r="46330" s="101" customFormat="1" spans="6:6">
      <c r="F46330" s="2423"/>
    </row>
    <row r="46331" s="101" customFormat="1" spans="6:6">
      <c r="F46331" s="2423"/>
    </row>
    <row r="46332" s="101" customFormat="1" spans="6:6">
      <c r="F46332" s="2423"/>
    </row>
    <row r="46333" s="101" customFormat="1" spans="6:6">
      <c r="F46333" s="2423"/>
    </row>
    <row r="46334" s="101" customFormat="1" spans="6:6">
      <c r="F46334" s="2423"/>
    </row>
    <row r="46335" s="101" customFormat="1" spans="6:6">
      <c r="F46335" s="2423"/>
    </row>
    <row r="46336" s="101" customFormat="1" spans="6:6">
      <c r="F46336" s="2423"/>
    </row>
    <row r="46337" s="101" customFormat="1" spans="6:6">
      <c r="F46337" s="2423"/>
    </row>
    <row r="46338" s="101" customFormat="1" spans="6:6">
      <c r="F46338" s="2423"/>
    </row>
    <row r="46339" s="101" customFormat="1" spans="6:6">
      <c r="F46339" s="2423"/>
    </row>
    <row r="46340" s="101" customFormat="1" spans="6:6">
      <c r="F46340" s="2423"/>
    </row>
    <row r="46341" s="101" customFormat="1" spans="6:6">
      <c r="F46341" s="2423"/>
    </row>
    <row r="46342" s="101" customFormat="1" spans="6:6">
      <c r="F46342" s="2423"/>
    </row>
    <row r="46343" s="101" customFormat="1" spans="6:6">
      <c r="F46343" s="2423"/>
    </row>
    <row r="46344" s="101" customFormat="1" spans="6:6">
      <c r="F46344" s="2423"/>
    </row>
    <row r="46345" s="101" customFormat="1" spans="6:6">
      <c r="F46345" s="2423"/>
    </row>
    <row r="46346" s="101" customFormat="1" spans="6:6">
      <c r="F46346" s="2423"/>
    </row>
    <row r="46347" s="101" customFormat="1" spans="6:6">
      <c r="F46347" s="2423"/>
    </row>
    <row r="46348" s="101" customFormat="1" spans="6:6">
      <c r="F46348" s="2423"/>
    </row>
    <row r="46349" s="101" customFormat="1" spans="6:6">
      <c r="F46349" s="2423"/>
    </row>
    <row r="46350" s="101" customFormat="1" spans="6:6">
      <c r="F46350" s="2423"/>
    </row>
    <row r="46351" s="101" customFormat="1" spans="6:6">
      <c r="F46351" s="2423"/>
    </row>
    <row r="46352" s="101" customFormat="1" spans="6:6">
      <c r="F46352" s="2423"/>
    </row>
    <row r="46353" s="101" customFormat="1" spans="6:6">
      <c r="F46353" s="2423"/>
    </row>
    <row r="46354" s="101" customFormat="1" spans="6:6">
      <c r="F46354" s="2423"/>
    </row>
    <row r="46355" s="101" customFormat="1" spans="6:6">
      <c r="F46355" s="2423"/>
    </row>
    <row r="46356" s="101" customFormat="1" spans="6:6">
      <c r="F46356" s="2423"/>
    </row>
    <row r="46357" s="101" customFormat="1" spans="6:6">
      <c r="F46357" s="2423"/>
    </row>
    <row r="46358" s="101" customFormat="1" spans="6:6">
      <c r="F46358" s="2423"/>
    </row>
    <row r="46359" s="101" customFormat="1" spans="6:6">
      <c r="F46359" s="2423"/>
    </row>
    <row r="46360" s="101" customFormat="1" spans="6:6">
      <c r="F46360" s="2423"/>
    </row>
    <row r="46361" s="101" customFormat="1" spans="6:6">
      <c r="F46361" s="2423"/>
    </row>
    <row r="46362" s="101" customFormat="1" spans="6:6">
      <c r="F46362" s="2423"/>
    </row>
    <row r="46363" s="101" customFormat="1" spans="6:6">
      <c r="F46363" s="2423"/>
    </row>
    <row r="46364" s="101" customFormat="1" spans="6:6">
      <c r="F46364" s="2423"/>
    </row>
    <row r="46365" s="101" customFormat="1" spans="6:6">
      <c r="F46365" s="2423"/>
    </row>
    <row r="46366" s="101" customFormat="1" spans="6:6">
      <c r="F46366" s="2423"/>
    </row>
    <row r="46367" s="101" customFormat="1" spans="6:6">
      <c r="F46367" s="2423"/>
    </row>
    <row r="46368" s="101" customFormat="1" spans="6:6">
      <c r="F46368" s="2423"/>
    </row>
    <row r="46369" s="101" customFormat="1" spans="6:6">
      <c r="F46369" s="2423"/>
    </row>
    <row r="46370" s="101" customFormat="1" spans="6:6">
      <c r="F46370" s="2423"/>
    </row>
    <row r="46371" s="101" customFormat="1" spans="6:6">
      <c r="F46371" s="2423"/>
    </row>
    <row r="46372" s="101" customFormat="1" spans="6:6">
      <c r="F46372" s="2423"/>
    </row>
    <row r="46373" s="101" customFormat="1" spans="6:6">
      <c r="F46373" s="2423"/>
    </row>
    <row r="46374" s="101" customFormat="1" spans="6:6">
      <c r="F46374" s="2423"/>
    </row>
    <row r="46375" s="101" customFormat="1" spans="6:6">
      <c r="F46375" s="2423"/>
    </row>
    <row r="46376" s="101" customFormat="1" spans="6:6">
      <c r="F46376" s="2423"/>
    </row>
    <row r="46377" s="101" customFormat="1" spans="6:6">
      <c r="F46377" s="2423"/>
    </row>
    <row r="46378" s="101" customFormat="1" spans="6:6">
      <c r="F46378" s="2423"/>
    </row>
    <row r="46379" s="101" customFormat="1" spans="6:6">
      <c r="F46379" s="2423"/>
    </row>
    <row r="46380" s="101" customFormat="1" spans="6:6">
      <c r="F46380" s="2423"/>
    </row>
    <row r="46381" s="101" customFormat="1" spans="6:6">
      <c r="F46381" s="2423"/>
    </row>
    <row r="46382" s="101" customFormat="1" spans="6:6">
      <c r="F46382" s="2423"/>
    </row>
    <row r="46383" s="101" customFormat="1" spans="6:6">
      <c r="F46383" s="2423"/>
    </row>
    <row r="46384" s="101" customFormat="1" spans="6:6">
      <c r="F46384" s="2423"/>
    </row>
    <row r="46385" s="101" customFormat="1" spans="6:6">
      <c r="F46385" s="2423"/>
    </row>
    <row r="46386" s="101" customFormat="1" spans="6:6">
      <c r="F46386" s="2423"/>
    </row>
    <row r="46387" s="101" customFormat="1" spans="6:6">
      <c r="F46387" s="2423"/>
    </row>
    <row r="46388" s="101" customFormat="1" spans="6:6">
      <c r="F46388" s="2423"/>
    </row>
    <row r="46389" s="101" customFormat="1" spans="6:6">
      <c r="F46389" s="2423"/>
    </row>
    <row r="46390" s="101" customFormat="1" spans="6:6">
      <c r="F46390" s="2423"/>
    </row>
    <row r="46391" s="101" customFormat="1" spans="6:6">
      <c r="F46391" s="2423"/>
    </row>
    <row r="46392" s="101" customFormat="1" spans="6:6">
      <c r="F46392" s="2423"/>
    </row>
    <row r="46393" s="101" customFormat="1" spans="6:6">
      <c r="F46393" s="2423"/>
    </row>
    <row r="46394" s="101" customFormat="1" spans="6:6">
      <c r="F46394" s="2423"/>
    </row>
    <row r="46395" s="101" customFormat="1" spans="6:6">
      <c r="F46395" s="2423"/>
    </row>
    <row r="46396" s="101" customFormat="1" spans="6:6">
      <c r="F46396" s="2423"/>
    </row>
    <row r="46397" s="101" customFormat="1" spans="6:6">
      <c r="F46397" s="2423"/>
    </row>
    <row r="46398" s="101" customFormat="1" spans="6:6">
      <c r="F46398" s="2423"/>
    </row>
    <row r="46399" s="101" customFormat="1" spans="6:6">
      <c r="F46399" s="2423"/>
    </row>
    <row r="46400" s="101" customFormat="1" spans="6:6">
      <c r="F46400" s="2423"/>
    </row>
    <row r="46401" s="101" customFormat="1" spans="6:6">
      <c r="F46401" s="2423"/>
    </row>
    <row r="46402" s="101" customFormat="1" spans="6:6">
      <c r="F46402" s="2423"/>
    </row>
    <row r="46403" s="101" customFormat="1" spans="6:6">
      <c r="F46403" s="2423"/>
    </row>
    <row r="46404" s="101" customFormat="1" spans="6:6">
      <c r="F46404" s="2423"/>
    </row>
    <row r="46405" s="101" customFormat="1" spans="6:6">
      <c r="F46405" s="2423"/>
    </row>
    <row r="46406" s="101" customFormat="1" spans="6:6">
      <c r="F46406" s="2423"/>
    </row>
    <row r="46407" s="101" customFormat="1" spans="6:6">
      <c r="F46407" s="2423"/>
    </row>
    <row r="46408" s="101" customFormat="1" spans="6:6">
      <c r="F46408" s="2423"/>
    </row>
    <row r="46409" s="101" customFormat="1" spans="6:6">
      <c r="F46409" s="2423"/>
    </row>
    <row r="46410" s="101" customFormat="1" spans="6:6">
      <c r="F46410" s="2423"/>
    </row>
    <row r="46411" s="101" customFormat="1" spans="6:6">
      <c r="F46411" s="2423"/>
    </row>
    <row r="46412" s="101" customFormat="1" spans="6:6">
      <c r="F46412" s="2423"/>
    </row>
    <row r="46413" s="101" customFormat="1" spans="6:6">
      <c r="F46413" s="2423"/>
    </row>
    <row r="46414" s="101" customFormat="1" spans="6:6">
      <c r="F46414" s="2423"/>
    </row>
    <row r="46415" s="101" customFormat="1" spans="6:6">
      <c r="F46415" s="2423"/>
    </row>
    <row r="46416" s="101" customFormat="1" spans="6:6">
      <c r="F46416" s="2423"/>
    </row>
    <row r="46417" s="101" customFormat="1" spans="6:6">
      <c r="F46417" s="2423"/>
    </row>
    <row r="46418" s="101" customFormat="1" spans="6:6">
      <c r="F46418" s="2423"/>
    </row>
    <row r="46419" s="101" customFormat="1" spans="6:6">
      <c r="F46419" s="2423"/>
    </row>
    <row r="46420" s="101" customFormat="1" spans="6:6">
      <c r="F46420" s="2423"/>
    </row>
    <row r="46421" s="101" customFormat="1" spans="6:6">
      <c r="F46421" s="2423"/>
    </row>
    <row r="46422" s="101" customFormat="1" spans="6:6">
      <c r="F46422" s="2423"/>
    </row>
    <row r="46423" s="101" customFormat="1" spans="6:6">
      <c r="F46423" s="2423"/>
    </row>
    <row r="46424" s="101" customFormat="1" spans="6:6">
      <c r="F46424" s="2423"/>
    </row>
    <row r="46425" s="101" customFormat="1" spans="6:6">
      <c r="F46425" s="2423"/>
    </row>
    <row r="46426" s="101" customFormat="1" spans="6:6">
      <c r="F46426" s="2423"/>
    </row>
    <row r="46427" s="101" customFormat="1" spans="6:6">
      <c r="F46427" s="2423"/>
    </row>
    <row r="46428" s="101" customFormat="1" spans="6:6">
      <c r="F46428" s="2423"/>
    </row>
    <row r="46429" s="101" customFormat="1" spans="6:6">
      <c r="F46429" s="2423"/>
    </row>
    <row r="46430" s="101" customFormat="1" spans="6:6">
      <c r="F46430" s="2423"/>
    </row>
    <row r="46431" s="101" customFormat="1" spans="6:6">
      <c r="F46431" s="2423"/>
    </row>
    <row r="46432" s="101" customFormat="1" spans="6:6">
      <c r="F46432" s="2423"/>
    </row>
    <row r="46433" s="101" customFormat="1" spans="6:6">
      <c r="F46433" s="2423"/>
    </row>
    <row r="46434" s="101" customFormat="1" spans="6:6">
      <c r="F46434" s="2423"/>
    </row>
    <row r="46435" s="101" customFormat="1" spans="6:6">
      <c r="F46435" s="2423"/>
    </row>
    <row r="46436" s="101" customFormat="1" spans="6:6">
      <c r="F46436" s="2423"/>
    </row>
    <row r="46437" s="101" customFormat="1" spans="6:6">
      <c r="F46437" s="2423"/>
    </row>
    <row r="46438" s="101" customFormat="1" spans="6:6">
      <c r="F46438" s="2423"/>
    </row>
    <row r="46439" s="101" customFormat="1" spans="6:6">
      <c r="F46439" s="2423"/>
    </row>
    <row r="46440" s="101" customFormat="1" spans="6:6">
      <c r="F46440" s="2423"/>
    </row>
    <row r="46441" s="101" customFormat="1" spans="6:6">
      <c r="F46441" s="2423"/>
    </row>
    <row r="46442" s="101" customFormat="1" spans="6:6">
      <c r="F46442" s="2423"/>
    </row>
    <row r="46443" s="101" customFormat="1" spans="6:6">
      <c r="F46443" s="2423"/>
    </row>
    <row r="46444" s="101" customFormat="1" spans="6:6">
      <c r="F46444" s="2423"/>
    </row>
    <row r="46445" s="101" customFormat="1" spans="6:6">
      <c r="F46445" s="2423"/>
    </row>
    <row r="46446" s="101" customFormat="1" spans="6:6">
      <c r="F46446" s="2423"/>
    </row>
    <row r="46447" s="101" customFormat="1" spans="6:6">
      <c r="F46447" s="2423"/>
    </row>
    <row r="46448" s="101" customFormat="1" spans="6:6">
      <c r="F46448" s="2423"/>
    </row>
    <row r="46449" s="101" customFormat="1" spans="6:6">
      <c r="F46449" s="2423"/>
    </row>
    <row r="46450" s="101" customFormat="1" spans="6:6">
      <c r="F46450" s="2423"/>
    </row>
    <row r="46451" s="101" customFormat="1" spans="6:6">
      <c r="F46451" s="2423"/>
    </row>
    <row r="46452" s="101" customFormat="1" spans="6:6">
      <c r="F46452" s="2423"/>
    </row>
    <row r="46453" s="101" customFormat="1" spans="6:6">
      <c r="F46453" s="2423"/>
    </row>
    <row r="46454" s="101" customFormat="1" spans="6:6">
      <c r="F46454" s="2423"/>
    </row>
    <row r="46455" s="101" customFormat="1" spans="6:6">
      <c r="F46455" s="2423"/>
    </row>
    <row r="46456" s="101" customFormat="1" spans="6:6">
      <c r="F46456" s="2423"/>
    </row>
    <row r="46457" s="101" customFormat="1" spans="6:6">
      <c r="F46457" s="2423"/>
    </row>
    <row r="46458" s="101" customFormat="1" spans="6:6">
      <c r="F46458" s="2423"/>
    </row>
    <row r="46459" s="101" customFormat="1" spans="6:6">
      <c r="F46459" s="2423"/>
    </row>
    <row r="46460" s="101" customFormat="1" spans="6:6">
      <c r="F46460" s="2423"/>
    </row>
    <row r="46461" s="101" customFormat="1" spans="6:6">
      <c r="F46461" s="2423"/>
    </row>
    <row r="46462" s="101" customFormat="1" spans="6:6">
      <c r="F46462" s="2423"/>
    </row>
    <row r="46463" s="101" customFormat="1" spans="6:6">
      <c r="F46463" s="2423"/>
    </row>
    <row r="46464" s="101" customFormat="1" spans="6:6">
      <c r="F46464" s="2423"/>
    </row>
    <row r="46465" s="101" customFormat="1" spans="6:6">
      <c r="F46465" s="2423"/>
    </row>
    <row r="46466" s="101" customFormat="1" spans="6:6">
      <c r="F46466" s="2423"/>
    </row>
    <row r="46467" s="101" customFormat="1" spans="6:6">
      <c r="F46467" s="2423"/>
    </row>
    <row r="46468" s="101" customFormat="1" spans="6:6">
      <c r="F46468" s="2423"/>
    </row>
    <row r="46469" s="101" customFormat="1" spans="6:6">
      <c r="F46469" s="2423"/>
    </row>
    <row r="46470" s="101" customFormat="1" spans="6:6">
      <c r="F46470" s="2423"/>
    </row>
    <row r="46471" s="101" customFormat="1" spans="6:6">
      <c r="F46471" s="2423"/>
    </row>
    <row r="46472" s="101" customFormat="1" spans="6:6">
      <c r="F46472" s="2423"/>
    </row>
    <row r="46473" s="101" customFormat="1" spans="6:6">
      <c r="F46473" s="2423"/>
    </row>
    <row r="46474" s="101" customFormat="1" spans="6:6">
      <c r="F46474" s="2423"/>
    </row>
    <row r="46475" s="101" customFormat="1" spans="6:6">
      <c r="F46475" s="2423"/>
    </row>
    <row r="46476" s="101" customFormat="1" spans="6:6">
      <c r="F46476" s="2423"/>
    </row>
    <row r="46477" s="101" customFormat="1" spans="6:6">
      <c r="F46477" s="2423"/>
    </row>
    <row r="46478" s="101" customFormat="1" spans="6:6">
      <c r="F46478" s="2423"/>
    </row>
    <row r="46479" s="101" customFormat="1" spans="6:6">
      <c r="F46479" s="2423"/>
    </row>
    <row r="46480" s="101" customFormat="1" spans="6:6">
      <c r="F46480" s="2423"/>
    </row>
    <row r="46481" s="101" customFormat="1" spans="6:6">
      <c r="F46481" s="2423"/>
    </row>
    <row r="46482" s="101" customFormat="1" spans="6:6">
      <c r="F46482" s="2423"/>
    </row>
    <row r="46483" s="101" customFormat="1" spans="6:6">
      <c r="F46483" s="2423"/>
    </row>
    <row r="46484" s="101" customFormat="1" spans="6:6">
      <c r="F46484" s="2423"/>
    </row>
    <row r="46485" s="101" customFormat="1" spans="6:6">
      <c r="F46485" s="2423"/>
    </row>
    <row r="46486" s="101" customFormat="1" spans="6:6">
      <c r="F46486" s="2423"/>
    </row>
    <row r="46487" s="101" customFormat="1" spans="6:6">
      <c r="F46487" s="2423"/>
    </row>
    <row r="46488" s="101" customFormat="1" spans="6:6">
      <c r="F46488" s="2423"/>
    </row>
    <row r="46489" s="101" customFormat="1" spans="6:6">
      <c r="F46489" s="2423"/>
    </row>
    <row r="46490" s="101" customFormat="1" spans="6:6">
      <c r="F46490" s="2423"/>
    </row>
    <row r="46491" s="101" customFormat="1" spans="6:6">
      <c r="F46491" s="2423"/>
    </row>
    <row r="46492" s="101" customFormat="1" spans="6:6">
      <c r="F46492" s="2423"/>
    </row>
    <row r="46493" s="101" customFormat="1" spans="6:6">
      <c r="F46493" s="2423"/>
    </row>
    <row r="46494" s="101" customFormat="1" spans="6:6">
      <c r="F46494" s="2423"/>
    </row>
    <row r="46495" s="101" customFormat="1" spans="6:6">
      <c r="F46495" s="2423"/>
    </row>
    <row r="46496" s="101" customFormat="1" spans="6:6">
      <c r="F46496" s="2423"/>
    </row>
    <row r="46497" s="101" customFormat="1" spans="6:6">
      <c r="F46497" s="2423"/>
    </row>
    <row r="46498" s="101" customFormat="1" spans="6:6">
      <c r="F46498" s="2423"/>
    </row>
    <row r="46499" s="101" customFormat="1" spans="6:6">
      <c r="F46499" s="2423"/>
    </row>
    <row r="46500" s="101" customFormat="1" spans="6:6">
      <c r="F46500" s="2423"/>
    </row>
    <row r="46501" s="101" customFormat="1" spans="6:6">
      <c r="F46501" s="2423"/>
    </row>
    <row r="46502" s="101" customFormat="1" spans="6:6">
      <c r="F46502" s="2423"/>
    </row>
    <row r="46503" s="101" customFormat="1" spans="6:6">
      <c r="F46503" s="2423"/>
    </row>
    <row r="46504" s="101" customFormat="1" spans="6:6">
      <c r="F46504" s="2423"/>
    </row>
    <row r="46505" s="101" customFormat="1" spans="6:6">
      <c r="F46505" s="2423"/>
    </row>
    <row r="46506" s="101" customFormat="1" spans="6:6">
      <c r="F46506" s="2423"/>
    </row>
    <row r="46507" s="101" customFormat="1" spans="6:6">
      <c r="F46507" s="2423"/>
    </row>
    <row r="46508" s="101" customFormat="1" spans="6:6">
      <c r="F46508" s="2423"/>
    </row>
    <row r="46509" s="101" customFormat="1" spans="6:6">
      <c r="F46509" s="2423"/>
    </row>
    <row r="46510" s="101" customFormat="1" spans="6:6">
      <c r="F46510" s="2423"/>
    </row>
    <row r="46511" s="101" customFormat="1" spans="6:6">
      <c r="F46511" s="2423"/>
    </row>
    <row r="46512" s="101" customFormat="1" spans="6:6">
      <c r="F46512" s="2423"/>
    </row>
    <row r="46513" s="101" customFormat="1" spans="6:6">
      <c r="F46513" s="2423"/>
    </row>
    <row r="46514" s="101" customFormat="1" spans="6:6">
      <c r="F46514" s="2423"/>
    </row>
    <row r="46515" s="101" customFormat="1" spans="6:6">
      <c r="F46515" s="2423"/>
    </row>
    <row r="46516" s="101" customFormat="1" spans="6:6">
      <c r="F46516" s="2423"/>
    </row>
    <row r="46517" s="101" customFormat="1" spans="6:6">
      <c r="F46517" s="2423"/>
    </row>
    <row r="46518" s="101" customFormat="1" spans="6:6">
      <c r="F46518" s="2423"/>
    </row>
    <row r="46519" s="101" customFormat="1" spans="6:6">
      <c r="F46519" s="2423"/>
    </row>
    <row r="46520" s="101" customFormat="1" spans="6:6">
      <c r="F46520" s="2423"/>
    </row>
    <row r="46521" s="101" customFormat="1" spans="6:6">
      <c r="F46521" s="2423"/>
    </row>
    <row r="46522" s="101" customFormat="1" spans="6:6">
      <c r="F46522" s="2423"/>
    </row>
    <row r="46523" s="101" customFormat="1" spans="6:6">
      <c r="F46523" s="2423"/>
    </row>
    <row r="46524" s="101" customFormat="1" spans="6:6">
      <c r="F46524" s="2423"/>
    </row>
    <row r="46525" s="101" customFormat="1" spans="6:6">
      <c r="F46525" s="2423"/>
    </row>
    <row r="46526" s="101" customFormat="1" spans="6:6">
      <c r="F46526" s="2423"/>
    </row>
    <row r="46527" s="101" customFormat="1" spans="6:6">
      <c r="F46527" s="2423"/>
    </row>
    <row r="46528" s="101" customFormat="1" spans="6:6">
      <c r="F46528" s="2423"/>
    </row>
    <row r="46529" s="101" customFormat="1" spans="6:6">
      <c r="F46529" s="2423"/>
    </row>
    <row r="46530" s="101" customFormat="1" spans="6:6">
      <c r="F46530" s="2423"/>
    </row>
    <row r="46531" s="101" customFormat="1" spans="6:6">
      <c r="F46531" s="2423"/>
    </row>
    <row r="46532" s="101" customFormat="1" spans="6:6">
      <c r="F46532" s="2423"/>
    </row>
    <row r="46533" s="101" customFormat="1" spans="6:6">
      <c r="F46533" s="2423"/>
    </row>
    <row r="46534" s="101" customFormat="1" spans="6:6">
      <c r="F46534" s="2423"/>
    </row>
    <row r="46535" s="101" customFormat="1" spans="6:6">
      <c r="F46535" s="2423"/>
    </row>
    <row r="46536" s="101" customFormat="1" spans="6:6">
      <c r="F46536" s="2423"/>
    </row>
    <row r="46537" s="101" customFormat="1" spans="6:6">
      <c r="F46537" s="2423"/>
    </row>
    <row r="46538" s="101" customFormat="1" spans="6:6">
      <c r="F46538" s="2423"/>
    </row>
    <row r="46539" s="101" customFormat="1" spans="6:6">
      <c r="F46539" s="2423"/>
    </row>
    <row r="46540" s="101" customFormat="1" spans="6:6">
      <c r="F46540" s="2423"/>
    </row>
    <row r="46541" s="101" customFormat="1" spans="6:6">
      <c r="F46541" s="2423"/>
    </row>
    <row r="46542" s="101" customFormat="1" spans="6:6">
      <c r="F46542" s="2423"/>
    </row>
    <row r="46543" s="101" customFormat="1" spans="6:6">
      <c r="F46543" s="2423"/>
    </row>
    <row r="46544" s="101" customFormat="1" spans="6:6">
      <c r="F46544" s="2423"/>
    </row>
    <row r="46545" s="101" customFormat="1" spans="6:6">
      <c r="F46545" s="2423"/>
    </row>
    <row r="46546" s="101" customFormat="1" spans="6:6">
      <c r="F46546" s="2423"/>
    </row>
    <row r="46547" s="101" customFormat="1" spans="6:6">
      <c r="F46547" s="2423"/>
    </row>
    <row r="46548" s="101" customFormat="1" spans="6:6">
      <c r="F46548" s="2423"/>
    </row>
    <row r="46549" s="101" customFormat="1" spans="6:6">
      <c r="F46549" s="2423"/>
    </row>
    <row r="46550" s="101" customFormat="1" spans="6:6">
      <c r="F46550" s="2423"/>
    </row>
    <row r="46551" s="101" customFormat="1" spans="6:6">
      <c r="F46551" s="2423"/>
    </row>
    <row r="46552" s="101" customFormat="1" spans="6:6">
      <c r="F46552" s="2423"/>
    </row>
    <row r="46553" s="101" customFormat="1" spans="6:6">
      <c r="F46553" s="2423"/>
    </row>
    <row r="46554" s="101" customFormat="1" spans="6:6">
      <c r="F46554" s="2423"/>
    </row>
    <row r="46555" s="101" customFormat="1" spans="6:6">
      <c r="F46555" s="2423"/>
    </row>
    <row r="46556" s="101" customFormat="1" spans="6:6">
      <c r="F46556" s="2423"/>
    </row>
    <row r="46557" s="101" customFormat="1" spans="6:6">
      <c r="F46557" s="2423"/>
    </row>
    <row r="46558" s="101" customFormat="1" spans="6:6">
      <c r="F46558" s="2423"/>
    </row>
    <row r="46559" s="101" customFormat="1" spans="6:6">
      <c r="F46559" s="2423"/>
    </row>
    <row r="46560" s="101" customFormat="1" spans="6:6">
      <c r="F46560" s="2423"/>
    </row>
    <row r="46561" s="101" customFormat="1" spans="6:6">
      <c r="F46561" s="2423"/>
    </row>
    <row r="46562" s="101" customFormat="1" spans="6:6">
      <c r="F46562" s="2423"/>
    </row>
    <row r="46563" s="101" customFormat="1" spans="6:6">
      <c r="F46563" s="2423"/>
    </row>
    <row r="46564" s="101" customFormat="1" spans="6:6">
      <c r="F46564" s="2423"/>
    </row>
    <row r="46565" s="101" customFormat="1" spans="6:6">
      <c r="F46565" s="2423"/>
    </row>
    <row r="46566" s="101" customFormat="1" spans="6:6">
      <c r="F46566" s="2423"/>
    </row>
    <row r="46567" s="101" customFormat="1" spans="6:6">
      <c r="F46567" s="2423"/>
    </row>
    <row r="46568" s="101" customFormat="1" spans="6:6">
      <c r="F46568" s="2423"/>
    </row>
    <row r="46569" s="101" customFormat="1" spans="6:6">
      <c r="F46569" s="2423"/>
    </row>
    <row r="46570" s="101" customFormat="1" spans="6:6">
      <c r="F46570" s="2423"/>
    </row>
    <row r="46571" s="101" customFormat="1" spans="6:6">
      <c r="F46571" s="2423"/>
    </row>
    <row r="46572" s="101" customFormat="1" spans="6:6">
      <c r="F46572" s="2423"/>
    </row>
    <row r="46573" s="101" customFormat="1" spans="6:6">
      <c r="F46573" s="2423"/>
    </row>
    <row r="46574" s="101" customFormat="1" spans="6:6">
      <c r="F46574" s="2423"/>
    </row>
    <row r="46575" s="101" customFormat="1" spans="6:6">
      <c r="F46575" s="2423"/>
    </row>
    <row r="46576" s="101" customFormat="1" spans="6:6">
      <c r="F46576" s="2423"/>
    </row>
    <row r="46577" s="101" customFormat="1" spans="6:6">
      <c r="F46577" s="2423"/>
    </row>
    <row r="46578" s="101" customFormat="1" spans="6:6">
      <c r="F46578" s="2423"/>
    </row>
    <row r="46579" s="101" customFormat="1" spans="6:6">
      <c r="F46579" s="2423"/>
    </row>
    <row r="46580" s="101" customFormat="1" spans="6:6">
      <c r="F46580" s="2423"/>
    </row>
    <row r="46581" s="101" customFormat="1" spans="6:6">
      <c r="F46581" s="2423"/>
    </row>
    <row r="46582" s="101" customFormat="1" spans="6:6">
      <c r="F46582" s="2423"/>
    </row>
    <row r="46583" s="101" customFormat="1" spans="6:6">
      <c r="F46583" s="2423"/>
    </row>
    <row r="46584" s="101" customFormat="1" spans="6:6">
      <c r="F46584" s="2423"/>
    </row>
    <row r="46585" s="101" customFormat="1" spans="6:6">
      <c r="F46585" s="2423"/>
    </row>
    <row r="46586" s="101" customFormat="1" spans="6:6">
      <c r="F46586" s="2423"/>
    </row>
    <row r="46587" s="101" customFormat="1" spans="6:6">
      <c r="F46587" s="2423"/>
    </row>
    <row r="46588" s="101" customFormat="1" spans="6:6">
      <c r="F46588" s="2423"/>
    </row>
    <row r="46589" s="101" customFormat="1" spans="6:6">
      <c r="F46589" s="2423"/>
    </row>
    <row r="46590" s="101" customFormat="1" spans="6:6">
      <c r="F46590" s="2423"/>
    </row>
    <row r="46591" s="101" customFormat="1" spans="6:6">
      <c r="F46591" s="2423"/>
    </row>
    <row r="46592" s="101" customFormat="1" spans="6:6">
      <c r="F46592" s="2423"/>
    </row>
    <row r="46593" s="101" customFormat="1" spans="6:6">
      <c r="F46593" s="2423"/>
    </row>
    <row r="46594" s="101" customFormat="1" spans="6:6">
      <c r="F46594" s="2423"/>
    </row>
    <row r="46595" s="101" customFormat="1" spans="6:6">
      <c r="F46595" s="2423"/>
    </row>
    <row r="46596" s="101" customFormat="1" spans="6:6">
      <c r="F46596" s="2423"/>
    </row>
    <row r="46597" s="101" customFormat="1" spans="6:6">
      <c r="F46597" s="2423"/>
    </row>
    <row r="46598" s="101" customFormat="1" spans="6:6">
      <c r="F46598" s="2423"/>
    </row>
    <row r="46599" s="101" customFormat="1" spans="6:6">
      <c r="F46599" s="2423"/>
    </row>
    <row r="46600" s="101" customFormat="1" spans="6:6">
      <c r="F46600" s="2423"/>
    </row>
    <row r="46601" s="101" customFormat="1" spans="6:6">
      <c r="F46601" s="2423"/>
    </row>
    <row r="46602" s="101" customFormat="1" spans="6:6">
      <c r="F46602" s="2423"/>
    </row>
    <row r="46603" s="101" customFormat="1" spans="6:6">
      <c r="F46603" s="2423"/>
    </row>
    <row r="46604" s="101" customFormat="1" spans="6:6">
      <c r="F46604" s="2423"/>
    </row>
    <row r="46605" s="101" customFormat="1" spans="6:6">
      <c r="F46605" s="2423"/>
    </row>
    <row r="46606" s="101" customFormat="1" spans="6:6">
      <c r="F46606" s="2423"/>
    </row>
    <row r="46607" s="101" customFormat="1" spans="6:6">
      <c r="F46607" s="2423"/>
    </row>
    <row r="46608" s="101" customFormat="1" spans="6:6">
      <c r="F46608" s="2423"/>
    </row>
    <row r="46609" s="101" customFormat="1" spans="6:6">
      <c r="F46609" s="2423"/>
    </row>
    <row r="46610" s="101" customFormat="1" spans="6:6">
      <c r="F46610" s="2423"/>
    </row>
    <row r="46611" s="101" customFormat="1" spans="6:6">
      <c r="F46611" s="2423"/>
    </row>
    <row r="46612" s="101" customFormat="1" spans="6:6">
      <c r="F46612" s="2423"/>
    </row>
    <row r="46613" s="101" customFormat="1" spans="6:6">
      <c r="F46613" s="2423"/>
    </row>
    <row r="46614" s="101" customFormat="1" spans="6:6">
      <c r="F46614" s="2423"/>
    </row>
    <row r="46615" s="101" customFormat="1" spans="6:6">
      <c r="F46615" s="2423"/>
    </row>
    <row r="46616" s="101" customFormat="1" spans="6:6">
      <c r="F46616" s="2423"/>
    </row>
    <row r="46617" s="101" customFormat="1" spans="6:6">
      <c r="F46617" s="2423"/>
    </row>
    <row r="46618" s="101" customFormat="1" spans="6:6">
      <c r="F46618" s="2423"/>
    </row>
    <row r="46619" s="101" customFormat="1" spans="6:6">
      <c r="F46619" s="2423"/>
    </row>
    <row r="46620" s="101" customFormat="1" spans="6:6">
      <c r="F46620" s="2423"/>
    </row>
    <row r="46621" s="101" customFormat="1" spans="6:6">
      <c r="F46621" s="2423"/>
    </row>
    <row r="46622" s="101" customFormat="1" spans="6:6">
      <c r="F46622" s="2423"/>
    </row>
    <row r="46623" s="101" customFormat="1" spans="6:6">
      <c r="F46623" s="2423"/>
    </row>
    <row r="46624" s="101" customFormat="1" spans="6:6">
      <c r="F46624" s="2423"/>
    </row>
    <row r="46625" s="101" customFormat="1" spans="6:6">
      <c r="F46625" s="2423"/>
    </row>
    <row r="46626" s="101" customFormat="1" spans="6:6">
      <c r="F46626" s="2423"/>
    </row>
    <row r="46627" s="101" customFormat="1" spans="6:6">
      <c r="F46627" s="2423"/>
    </row>
    <row r="46628" s="101" customFormat="1" spans="6:6">
      <c r="F46628" s="2423"/>
    </row>
    <row r="46629" s="101" customFormat="1" spans="6:6">
      <c r="F46629" s="2423"/>
    </row>
    <row r="46630" s="101" customFormat="1" spans="6:6">
      <c r="F46630" s="2423"/>
    </row>
    <row r="46631" s="101" customFormat="1" spans="6:6">
      <c r="F46631" s="2423"/>
    </row>
    <row r="46632" s="101" customFormat="1" spans="6:6">
      <c r="F46632" s="2423"/>
    </row>
    <row r="46633" s="101" customFormat="1" spans="6:6">
      <c r="F46633" s="2423"/>
    </row>
    <row r="46634" s="101" customFormat="1" spans="6:6">
      <c r="F46634" s="2423"/>
    </row>
    <row r="46635" s="101" customFormat="1" spans="6:6">
      <c r="F46635" s="2423"/>
    </row>
    <row r="46636" s="101" customFormat="1" spans="6:6">
      <c r="F46636" s="2423"/>
    </row>
    <row r="46637" s="101" customFormat="1" spans="6:6">
      <c r="F46637" s="2423"/>
    </row>
    <row r="46638" s="101" customFormat="1" spans="6:6">
      <c r="F46638" s="2423"/>
    </row>
    <row r="46639" s="101" customFormat="1" spans="6:6">
      <c r="F46639" s="2423"/>
    </row>
    <row r="46640" s="101" customFormat="1" spans="6:6">
      <c r="F46640" s="2423"/>
    </row>
    <row r="46641" s="101" customFormat="1" spans="6:6">
      <c r="F46641" s="2423"/>
    </row>
    <row r="46642" s="101" customFormat="1" spans="6:6">
      <c r="F46642" s="2423"/>
    </row>
    <row r="46643" s="101" customFormat="1" spans="6:6">
      <c r="F46643" s="2423"/>
    </row>
    <row r="46644" s="101" customFormat="1" spans="6:6">
      <c r="F46644" s="2423"/>
    </row>
    <row r="46645" s="101" customFormat="1" spans="6:6">
      <c r="F46645" s="2423"/>
    </row>
    <row r="46646" s="101" customFormat="1" spans="6:6">
      <c r="F46646" s="2423"/>
    </row>
    <row r="46647" s="101" customFormat="1" spans="6:6">
      <c r="F46647" s="2423"/>
    </row>
    <row r="46648" s="101" customFormat="1" spans="6:6">
      <c r="F46648" s="2423"/>
    </row>
    <row r="46649" s="101" customFormat="1" spans="6:6">
      <c r="F46649" s="2423"/>
    </row>
    <row r="46650" s="101" customFormat="1" spans="6:6">
      <c r="F46650" s="2423"/>
    </row>
    <row r="46651" s="101" customFormat="1" spans="6:6">
      <c r="F46651" s="2423"/>
    </row>
    <row r="46652" s="101" customFormat="1" spans="6:6">
      <c r="F46652" s="2423"/>
    </row>
    <row r="46653" s="101" customFormat="1" spans="6:6">
      <c r="F46653" s="2423"/>
    </row>
    <row r="46654" s="101" customFormat="1" spans="6:6">
      <c r="F46654" s="2423"/>
    </row>
    <row r="46655" s="101" customFormat="1" spans="6:6">
      <c r="F46655" s="2423"/>
    </row>
    <row r="46656" s="101" customFormat="1" spans="6:6">
      <c r="F46656" s="2423"/>
    </row>
    <row r="46657" s="101" customFormat="1" spans="6:6">
      <c r="F46657" s="2423"/>
    </row>
    <row r="46658" s="101" customFormat="1" spans="6:6">
      <c r="F46658" s="2423"/>
    </row>
    <row r="46659" s="101" customFormat="1" spans="6:6">
      <c r="F46659" s="2423"/>
    </row>
    <row r="46660" s="101" customFormat="1" spans="6:6">
      <c r="F46660" s="2423"/>
    </row>
    <row r="46661" s="101" customFormat="1" spans="6:6">
      <c r="F46661" s="2423"/>
    </row>
    <row r="46662" s="101" customFormat="1" spans="6:6">
      <c r="F46662" s="2423"/>
    </row>
    <row r="46663" s="101" customFormat="1" spans="6:6">
      <c r="F46663" s="2423"/>
    </row>
    <row r="46664" s="101" customFormat="1" spans="6:6">
      <c r="F46664" s="2423"/>
    </row>
    <row r="46665" s="101" customFormat="1" spans="6:6">
      <c r="F46665" s="2423"/>
    </row>
    <row r="46666" s="101" customFormat="1" spans="6:6">
      <c r="F46666" s="2423"/>
    </row>
    <row r="46667" s="101" customFormat="1" spans="6:6">
      <c r="F46667" s="2423"/>
    </row>
    <row r="46668" s="101" customFormat="1" spans="6:6">
      <c r="F46668" s="2423"/>
    </row>
    <row r="46669" s="101" customFormat="1" spans="6:6">
      <c r="F46669" s="2423"/>
    </row>
    <row r="46670" s="101" customFormat="1" spans="6:6">
      <c r="F46670" s="2423"/>
    </row>
    <row r="46671" s="101" customFormat="1" spans="6:6">
      <c r="F46671" s="2423"/>
    </row>
    <row r="46672" s="101" customFormat="1" spans="6:6">
      <c r="F46672" s="2423"/>
    </row>
    <row r="46673" s="101" customFormat="1" spans="6:6">
      <c r="F46673" s="2423"/>
    </row>
    <row r="46674" s="101" customFormat="1" spans="6:6">
      <c r="F46674" s="2423"/>
    </row>
    <row r="46675" s="101" customFormat="1" spans="6:6">
      <c r="F46675" s="2423"/>
    </row>
    <row r="46676" s="101" customFormat="1" spans="6:6">
      <c r="F46676" s="2423"/>
    </row>
    <row r="46677" s="101" customFormat="1" spans="6:6">
      <c r="F46677" s="2423"/>
    </row>
    <row r="46678" s="101" customFormat="1" spans="6:6">
      <c r="F46678" s="2423"/>
    </row>
    <row r="46679" s="101" customFormat="1" spans="6:6">
      <c r="F46679" s="2423"/>
    </row>
    <row r="46680" s="101" customFormat="1" spans="6:6">
      <c r="F46680" s="2423"/>
    </row>
    <row r="46681" s="101" customFormat="1" spans="6:6">
      <c r="F46681" s="2423"/>
    </row>
    <row r="46682" s="101" customFormat="1" spans="6:6">
      <c r="F46682" s="2423"/>
    </row>
    <row r="46683" s="101" customFormat="1" spans="6:6">
      <c r="F46683" s="2423"/>
    </row>
    <row r="46684" s="101" customFormat="1" spans="6:6">
      <c r="F46684" s="2423"/>
    </row>
    <row r="46685" s="101" customFormat="1" spans="6:6">
      <c r="F46685" s="2423"/>
    </row>
    <row r="46686" s="101" customFormat="1" spans="6:6">
      <c r="F46686" s="2423"/>
    </row>
    <row r="46687" s="101" customFormat="1" spans="6:6">
      <c r="F46687" s="2423"/>
    </row>
    <row r="46688" s="101" customFormat="1" spans="6:6">
      <c r="F46688" s="2423"/>
    </row>
    <row r="46689" s="101" customFormat="1" spans="6:6">
      <c r="F46689" s="2423"/>
    </row>
    <row r="46690" s="101" customFormat="1" spans="6:6">
      <c r="F46690" s="2423"/>
    </row>
    <row r="46691" s="101" customFormat="1" spans="6:6">
      <c r="F46691" s="2423"/>
    </row>
    <row r="46692" s="101" customFormat="1" spans="6:6">
      <c r="F46692" s="2423"/>
    </row>
    <row r="46693" s="101" customFormat="1" spans="6:6">
      <c r="F46693" s="2423"/>
    </row>
    <row r="46694" s="101" customFormat="1" spans="6:6">
      <c r="F46694" s="2423"/>
    </row>
    <row r="46695" s="101" customFormat="1" spans="6:6">
      <c r="F46695" s="2423"/>
    </row>
    <row r="46696" s="101" customFormat="1" spans="6:6">
      <c r="F46696" s="2423"/>
    </row>
    <row r="46697" s="101" customFormat="1" spans="6:6">
      <c r="F46697" s="2423"/>
    </row>
    <row r="46698" s="101" customFormat="1" spans="6:6">
      <c r="F46698" s="2423"/>
    </row>
    <row r="46699" s="101" customFormat="1" spans="6:6">
      <c r="F46699" s="2423"/>
    </row>
    <row r="46700" s="101" customFormat="1" spans="6:6">
      <c r="F46700" s="2423"/>
    </row>
    <row r="46701" s="101" customFormat="1" spans="6:6">
      <c r="F46701" s="2423"/>
    </row>
    <row r="46702" s="101" customFormat="1" spans="6:6">
      <c r="F46702" s="2423"/>
    </row>
    <row r="46703" s="101" customFormat="1" spans="6:6">
      <c r="F46703" s="2423"/>
    </row>
    <row r="46704" s="101" customFormat="1" spans="6:6">
      <c r="F46704" s="2423"/>
    </row>
    <row r="46705" s="101" customFormat="1" spans="6:6">
      <c r="F46705" s="2423"/>
    </row>
    <row r="46706" s="101" customFormat="1" spans="6:6">
      <c r="F46706" s="2423"/>
    </row>
    <row r="46707" s="101" customFormat="1" spans="6:6">
      <c r="F46707" s="2423"/>
    </row>
    <row r="46708" s="101" customFormat="1" spans="6:6">
      <c r="F46708" s="2423"/>
    </row>
    <row r="46709" s="101" customFormat="1" spans="6:6">
      <c r="F46709" s="2423"/>
    </row>
    <row r="46710" s="101" customFormat="1" spans="6:6">
      <c r="F46710" s="2423"/>
    </row>
    <row r="46711" s="101" customFormat="1" spans="6:6">
      <c r="F46711" s="2423"/>
    </row>
    <row r="46712" s="101" customFormat="1" spans="6:6">
      <c r="F46712" s="2423"/>
    </row>
    <row r="46713" s="101" customFormat="1" spans="6:6">
      <c r="F46713" s="2423"/>
    </row>
    <row r="46714" s="101" customFormat="1" spans="6:6">
      <c r="F46714" s="2423"/>
    </row>
    <row r="46715" s="101" customFormat="1" spans="6:6">
      <c r="F46715" s="2423"/>
    </row>
    <row r="46716" s="101" customFormat="1" spans="6:6">
      <c r="F46716" s="2423"/>
    </row>
    <row r="46717" s="101" customFormat="1" spans="6:6">
      <c r="F46717" s="2423"/>
    </row>
    <row r="46718" s="101" customFormat="1" spans="6:6">
      <c r="F46718" s="2423"/>
    </row>
    <row r="46719" s="101" customFormat="1" spans="6:6">
      <c r="F46719" s="2423"/>
    </row>
    <row r="46720" s="101" customFormat="1" spans="6:6">
      <c r="F46720" s="2423"/>
    </row>
    <row r="46721" s="101" customFormat="1" spans="6:6">
      <c r="F46721" s="2423"/>
    </row>
    <row r="46722" s="101" customFormat="1" spans="6:6">
      <c r="F46722" s="2423"/>
    </row>
    <row r="46723" s="101" customFormat="1" spans="6:6">
      <c r="F46723" s="2423"/>
    </row>
    <row r="46724" s="101" customFormat="1" spans="6:6">
      <c r="F46724" s="2423"/>
    </row>
    <row r="46725" s="101" customFormat="1" spans="6:6">
      <c r="F46725" s="2423"/>
    </row>
    <row r="46726" s="101" customFormat="1" spans="6:6">
      <c r="F46726" s="2423"/>
    </row>
    <row r="46727" s="101" customFormat="1" spans="6:6">
      <c r="F46727" s="2423"/>
    </row>
    <row r="46728" s="101" customFormat="1" spans="6:6">
      <c r="F46728" s="2423"/>
    </row>
    <row r="46729" s="101" customFormat="1" spans="6:6">
      <c r="F46729" s="2423"/>
    </row>
    <row r="46730" s="101" customFormat="1" spans="6:6">
      <c r="F46730" s="2423"/>
    </row>
    <row r="46731" s="101" customFormat="1" spans="6:6">
      <c r="F46731" s="2423"/>
    </row>
    <row r="46732" s="101" customFormat="1" spans="6:6">
      <c r="F46732" s="2423"/>
    </row>
    <row r="46733" s="101" customFormat="1" spans="6:6">
      <c r="F46733" s="2423"/>
    </row>
    <row r="46734" s="101" customFormat="1" spans="6:6">
      <c r="F46734" s="2423"/>
    </row>
    <row r="46735" s="101" customFormat="1" spans="6:6">
      <c r="F46735" s="2423"/>
    </row>
    <row r="46736" s="101" customFormat="1" spans="6:6">
      <c r="F46736" s="2423"/>
    </row>
    <row r="46737" s="101" customFormat="1" spans="6:6">
      <c r="F46737" s="2423"/>
    </row>
    <row r="46738" s="101" customFormat="1" spans="6:6">
      <c r="F46738" s="2423"/>
    </row>
    <row r="46739" s="101" customFormat="1" spans="6:6">
      <c r="F46739" s="2423"/>
    </row>
    <row r="46740" s="101" customFormat="1" spans="6:6">
      <c r="F46740" s="2423"/>
    </row>
    <row r="46741" s="101" customFormat="1" spans="6:6">
      <c r="F46741" s="2423"/>
    </row>
    <row r="46742" s="101" customFormat="1" spans="6:6">
      <c r="F46742" s="2423"/>
    </row>
    <row r="46743" s="101" customFormat="1" spans="6:6">
      <c r="F46743" s="2423"/>
    </row>
    <row r="46744" s="101" customFormat="1" spans="6:6">
      <c r="F46744" s="2423"/>
    </row>
    <row r="46745" s="101" customFormat="1" spans="6:6">
      <c r="F46745" s="2423"/>
    </row>
    <row r="46746" s="101" customFormat="1" spans="6:6">
      <c r="F46746" s="2423"/>
    </row>
    <row r="46747" s="101" customFormat="1" spans="6:6">
      <c r="F46747" s="2423"/>
    </row>
    <row r="46748" s="101" customFormat="1" spans="6:6">
      <c r="F46748" s="2423"/>
    </row>
    <row r="46749" s="101" customFormat="1" spans="6:6">
      <c r="F46749" s="2423"/>
    </row>
    <row r="46750" s="101" customFormat="1" spans="6:6">
      <c r="F46750" s="2423"/>
    </row>
    <row r="46751" s="101" customFormat="1" spans="6:6">
      <c r="F46751" s="2423"/>
    </row>
    <row r="46752" s="101" customFormat="1" spans="6:6">
      <c r="F46752" s="2423"/>
    </row>
    <row r="46753" s="101" customFormat="1" spans="6:6">
      <c r="F46753" s="2423"/>
    </row>
    <row r="46754" s="101" customFormat="1" spans="6:6">
      <c r="F46754" s="2423"/>
    </row>
    <row r="46755" s="101" customFormat="1" spans="6:6">
      <c r="F46755" s="2423"/>
    </row>
    <row r="46756" s="101" customFormat="1" spans="6:6">
      <c r="F46756" s="2423"/>
    </row>
    <row r="46757" s="101" customFormat="1" spans="6:6">
      <c r="F46757" s="2423"/>
    </row>
    <row r="46758" s="101" customFormat="1" spans="6:6">
      <c r="F46758" s="2423"/>
    </row>
    <row r="46759" s="101" customFormat="1" spans="6:6">
      <c r="F46759" s="2423"/>
    </row>
    <row r="46760" s="101" customFormat="1" spans="6:6">
      <c r="F46760" s="2423"/>
    </row>
    <row r="46761" s="101" customFormat="1" spans="6:6">
      <c r="F46761" s="2423"/>
    </row>
    <row r="46762" s="101" customFormat="1" spans="6:6">
      <c r="F46762" s="2423"/>
    </row>
    <row r="46763" s="101" customFormat="1" spans="6:6">
      <c r="F46763" s="2423"/>
    </row>
    <row r="46764" s="101" customFormat="1" spans="6:6">
      <c r="F46764" s="2423"/>
    </row>
    <row r="46765" s="101" customFormat="1" spans="6:6">
      <c r="F46765" s="2423"/>
    </row>
    <row r="46766" s="101" customFormat="1" spans="6:6">
      <c r="F46766" s="2423"/>
    </row>
    <row r="46767" s="101" customFormat="1" spans="6:6">
      <c r="F46767" s="2423"/>
    </row>
    <row r="46768" s="101" customFormat="1" spans="6:6">
      <c r="F46768" s="2423"/>
    </row>
    <row r="46769" s="101" customFormat="1" spans="6:6">
      <c r="F46769" s="2423"/>
    </row>
    <row r="46770" s="101" customFormat="1" spans="6:6">
      <c r="F46770" s="2423"/>
    </row>
    <row r="46771" s="101" customFormat="1" spans="6:6">
      <c r="F46771" s="2423"/>
    </row>
    <row r="46772" s="101" customFormat="1" spans="6:6">
      <c r="F46772" s="2423"/>
    </row>
    <row r="46773" s="101" customFormat="1" spans="6:6">
      <c r="F46773" s="2423"/>
    </row>
    <row r="46774" s="101" customFormat="1" spans="6:6">
      <c r="F46774" s="2423"/>
    </row>
    <row r="46775" s="101" customFormat="1" spans="6:6">
      <c r="F46775" s="2423"/>
    </row>
    <row r="46776" s="101" customFormat="1" spans="6:6">
      <c r="F46776" s="2423"/>
    </row>
    <row r="46777" s="101" customFormat="1" spans="6:6">
      <c r="F46777" s="2423"/>
    </row>
    <row r="46778" s="101" customFormat="1" spans="6:6">
      <c r="F46778" s="2423"/>
    </row>
    <row r="46779" s="101" customFormat="1" spans="6:6">
      <c r="F46779" s="2423"/>
    </row>
    <row r="46780" s="101" customFormat="1" spans="6:6">
      <c r="F46780" s="2423"/>
    </row>
    <row r="46781" s="101" customFormat="1" spans="6:6">
      <c r="F46781" s="2423"/>
    </row>
    <row r="46782" s="101" customFormat="1" spans="6:6">
      <c r="F46782" s="2423"/>
    </row>
    <row r="46783" s="101" customFormat="1" spans="6:6">
      <c r="F46783" s="2423"/>
    </row>
    <row r="46784" s="101" customFormat="1" spans="6:6">
      <c r="F46784" s="2423"/>
    </row>
    <row r="46785" s="101" customFormat="1" spans="6:6">
      <c r="F46785" s="2423"/>
    </row>
    <row r="46786" s="101" customFormat="1" spans="6:6">
      <c r="F46786" s="2423"/>
    </row>
    <row r="46787" s="101" customFormat="1" spans="6:6">
      <c r="F46787" s="2423"/>
    </row>
    <row r="46788" s="101" customFormat="1" spans="6:6">
      <c r="F46788" s="2423"/>
    </row>
    <row r="46789" s="101" customFormat="1" spans="6:6">
      <c r="F46789" s="2423"/>
    </row>
    <row r="46790" s="101" customFormat="1" spans="6:6">
      <c r="F46790" s="2423"/>
    </row>
    <row r="46791" s="101" customFormat="1" spans="6:6">
      <c r="F46791" s="2423"/>
    </row>
    <row r="46792" s="101" customFormat="1" spans="6:6">
      <c r="F46792" s="2423"/>
    </row>
    <row r="46793" s="101" customFormat="1" spans="6:6">
      <c r="F46793" s="2423"/>
    </row>
    <row r="46794" s="101" customFormat="1" spans="6:6">
      <c r="F46794" s="2423"/>
    </row>
    <row r="46795" s="101" customFormat="1" spans="6:6">
      <c r="F46795" s="2423"/>
    </row>
    <row r="46796" s="101" customFormat="1" spans="6:6">
      <c r="F46796" s="2423"/>
    </row>
    <row r="46797" s="101" customFormat="1" spans="6:6">
      <c r="F46797" s="2423"/>
    </row>
    <row r="46798" s="101" customFormat="1" spans="6:6">
      <c r="F46798" s="2423"/>
    </row>
    <row r="46799" s="101" customFormat="1" spans="6:6">
      <c r="F46799" s="2423"/>
    </row>
    <row r="46800" s="101" customFormat="1" spans="6:6">
      <c r="F46800" s="2423"/>
    </row>
    <row r="46801" s="101" customFormat="1" spans="6:6">
      <c r="F46801" s="2423"/>
    </row>
    <row r="46802" s="101" customFormat="1" spans="6:6">
      <c r="F46802" s="2423"/>
    </row>
    <row r="46803" s="101" customFormat="1" spans="6:6">
      <c r="F46803" s="2423"/>
    </row>
    <row r="46804" s="101" customFormat="1" spans="6:6">
      <c r="F46804" s="2423"/>
    </row>
    <row r="46805" s="101" customFormat="1" spans="6:6">
      <c r="F46805" s="2423"/>
    </row>
    <row r="46806" s="101" customFormat="1" spans="6:6">
      <c r="F46806" s="2423"/>
    </row>
    <row r="46807" s="101" customFormat="1" spans="6:6">
      <c r="F46807" s="2423"/>
    </row>
    <row r="46808" s="101" customFormat="1" spans="6:6">
      <c r="F46808" s="2423"/>
    </row>
    <row r="46809" s="101" customFormat="1" spans="6:6">
      <c r="F46809" s="2423"/>
    </row>
    <row r="46810" s="101" customFormat="1" spans="6:6">
      <c r="F46810" s="2423"/>
    </row>
    <row r="46811" s="101" customFormat="1" spans="6:6">
      <c r="F46811" s="2423"/>
    </row>
    <row r="46812" s="101" customFormat="1" spans="6:6">
      <c r="F46812" s="2423"/>
    </row>
    <row r="46813" s="101" customFormat="1" spans="6:6">
      <c r="F46813" s="2423"/>
    </row>
    <row r="46814" s="101" customFormat="1" spans="6:6">
      <c r="F46814" s="2423"/>
    </row>
    <row r="46815" s="101" customFormat="1" spans="6:6">
      <c r="F46815" s="2423"/>
    </row>
    <row r="46816" s="101" customFormat="1" spans="6:6">
      <c r="F46816" s="2423"/>
    </row>
    <row r="46817" s="101" customFormat="1" spans="6:6">
      <c r="F46817" s="2423"/>
    </row>
    <row r="46818" s="101" customFormat="1" spans="6:6">
      <c r="F46818" s="2423"/>
    </row>
    <row r="46819" s="101" customFormat="1" spans="6:6">
      <c r="F46819" s="2423"/>
    </row>
    <row r="46820" s="101" customFormat="1" spans="6:6">
      <c r="F46820" s="2423"/>
    </row>
    <row r="46821" s="101" customFormat="1" spans="6:6">
      <c r="F46821" s="2423"/>
    </row>
    <row r="46822" s="101" customFormat="1" spans="6:6">
      <c r="F46822" s="2423"/>
    </row>
    <row r="46823" s="101" customFormat="1" spans="6:6">
      <c r="F46823" s="2423"/>
    </row>
    <row r="46824" s="101" customFormat="1" spans="6:6">
      <c r="F46824" s="2423"/>
    </row>
    <row r="46825" s="101" customFormat="1" spans="6:6">
      <c r="F46825" s="2423"/>
    </row>
    <row r="46826" s="101" customFormat="1" spans="6:6">
      <c r="F46826" s="2423"/>
    </row>
    <row r="46827" s="101" customFormat="1" spans="6:6">
      <c r="F46827" s="2423"/>
    </row>
    <row r="46828" s="101" customFormat="1" spans="6:6">
      <c r="F46828" s="2423"/>
    </row>
    <row r="46829" s="101" customFormat="1" spans="6:6">
      <c r="F46829" s="2423"/>
    </row>
    <row r="46830" s="101" customFormat="1" spans="6:6">
      <c r="F46830" s="2423"/>
    </row>
    <row r="46831" s="101" customFormat="1" spans="6:6">
      <c r="F46831" s="2423"/>
    </row>
    <row r="46832" s="101" customFormat="1" spans="6:6">
      <c r="F46832" s="2423"/>
    </row>
    <row r="46833" s="101" customFormat="1" spans="6:6">
      <c r="F46833" s="2423"/>
    </row>
    <row r="46834" s="101" customFormat="1" spans="6:6">
      <c r="F46834" s="2423"/>
    </row>
    <row r="46835" s="101" customFormat="1" spans="6:6">
      <c r="F46835" s="2423"/>
    </row>
    <row r="46836" s="101" customFormat="1" spans="6:6">
      <c r="F46836" s="2423"/>
    </row>
    <row r="46837" s="101" customFormat="1" spans="6:6">
      <c r="F46837" s="2423"/>
    </row>
    <row r="46838" s="101" customFormat="1" spans="6:6">
      <c r="F46838" s="2423"/>
    </row>
    <row r="46839" s="101" customFormat="1" spans="6:6">
      <c r="F46839" s="2423"/>
    </row>
    <row r="46840" s="101" customFormat="1" spans="6:6">
      <c r="F46840" s="2423"/>
    </row>
    <row r="46841" s="101" customFormat="1" spans="6:6">
      <c r="F46841" s="2423"/>
    </row>
    <row r="46842" s="101" customFormat="1" spans="6:6">
      <c r="F46842" s="2423"/>
    </row>
    <row r="46843" s="101" customFormat="1" spans="6:6">
      <c r="F46843" s="2423"/>
    </row>
    <row r="46844" s="101" customFormat="1" spans="6:6">
      <c r="F46844" s="2423"/>
    </row>
    <row r="46845" s="101" customFormat="1" spans="6:6">
      <c r="F46845" s="2423"/>
    </row>
    <row r="46846" s="101" customFormat="1" spans="6:6">
      <c r="F46846" s="2423"/>
    </row>
    <row r="46847" s="101" customFormat="1" spans="6:6">
      <c r="F46847" s="2423"/>
    </row>
    <row r="46848" s="101" customFormat="1" spans="6:6">
      <c r="F46848" s="2423"/>
    </row>
    <row r="46849" s="101" customFormat="1" spans="6:6">
      <c r="F46849" s="2423"/>
    </row>
    <row r="46850" s="101" customFormat="1" spans="6:6">
      <c r="F46850" s="2423"/>
    </row>
    <row r="46851" s="101" customFormat="1" spans="6:6">
      <c r="F46851" s="2423"/>
    </row>
    <row r="46852" s="101" customFormat="1" spans="6:6">
      <c r="F46852" s="2423"/>
    </row>
    <row r="46853" s="101" customFormat="1" spans="6:6">
      <c r="F46853" s="2423"/>
    </row>
    <row r="46854" s="101" customFormat="1" spans="6:6">
      <c r="F46854" s="2423"/>
    </row>
    <row r="46855" s="101" customFormat="1" spans="6:6">
      <c r="F46855" s="2423"/>
    </row>
    <row r="46856" s="101" customFormat="1" spans="6:6">
      <c r="F46856" s="2423"/>
    </row>
    <row r="46857" s="101" customFormat="1" spans="6:6">
      <c r="F46857" s="2423"/>
    </row>
    <row r="46858" s="101" customFormat="1" spans="6:6">
      <c r="F46858" s="2423"/>
    </row>
    <row r="46859" s="101" customFormat="1" spans="6:6">
      <c r="F46859" s="2423"/>
    </row>
    <row r="46860" s="101" customFormat="1" spans="6:6">
      <c r="F46860" s="2423"/>
    </row>
    <row r="46861" s="101" customFormat="1" spans="6:6">
      <c r="F46861" s="2423"/>
    </row>
    <row r="46862" s="101" customFormat="1" spans="6:6">
      <c r="F46862" s="2423"/>
    </row>
    <row r="46863" s="101" customFormat="1" spans="6:6">
      <c r="F46863" s="2423"/>
    </row>
    <row r="46864" s="101" customFormat="1" spans="6:6">
      <c r="F46864" s="2423"/>
    </row>
    <row r="46865" s="101" customFormat="1" spans="6:6">
      <c r="F46865" s="2423"/>
    </row>
    <row r="46866" s="101" customFormat="1" spans="6:6">
      <c r="F46866" s="2423"/>
    </row>
    <row r="46867" s="101" customFormat="1" spans="6:6">
      <c r="F46867" s="2423"/>
    </row>
    <row r="46868" s="101" customFormat="1" spans="6:6">
      <c r="F46868" s="2423"/>
    </row>
    <row r="46869" s="101" customFormat="1" spans="6:6">
      <c r="F46869" s="2423"/>
    </row>
    <row r="46870" s="101" customFormat="1" spans="6:6">
      <c r="F46870" s="2423"/>
    </row>
    <row r="46871" s="101" customFormat="1" spans="6:6">
      <c r="F46871" s="2423"/>
    </row>
    <row r="46872" s="101" customFormat="1" spans="6:6">
      <c r="F46872" s="2423"/>
    </row>
    <row r="46873" s="101" customFormat="1" spans="6:6">
      <c r="F46873" s="2423"/>
    </row>
    <row r="46874" s="101" customFormat="1" spans="6:6">
      <c r="F46874" s="2423"/>
    </row>
    <row r="46875" s="101" customFormat="1" spans="6:6">
      <c r="F46875" s="2423"/>
    </row>
    <row r="46876" s="101" customFormat="1" spans="6:6">
      <c r="F46876" s="2423"/>
    </row>
    <row r="46877" s="101" customFormat="1" spans="6:6">
      <c r="F46877" s="2423"/>
    </row>
    <row r="46878" s="101" customFormat="1" spans="6:6">
      <c r="F46878" s="2423"/>
    </row>
    <row r="46879" s="101" customFormat="1" spans="6:6">
      <c r="F46879" s="2423"/>
    </row>
    <row r="46880" s="101" customFormat="1" spans="6:6">
      <c r="F46880" s="2423"/>
    </row>
    <row r="46881" s="101" customFormat="1" spans="6:6">
      <c r="F46881" s="2423"/>
    </row>
    <row r="46882" s="101" customFormat="1" spans="6:6">
      <c r="F46882" s="2423"/>
    </row>
    <row r="46883" s="101" customFormat="1" spans="6:6">
      <c r="F46883" s="2423"/>
    </row>
    <row r="46884" s="101" customFormat="1" spans="6:6">
      <c r="F46884" s="2423"/>
    </row>
    <row r="46885" s="101" customFormat="1" spans="6:6">
      <c r="F46885" s="2423"/>
    </row>
    <row r="46886" s="101" customFormat="1" spans="6:6">
      <c r="F46886" s="2423"/>
    </row>
    <row r="46887" s="101" customFormat="1" spans="6:6">
      <c r="F46887" s="2423"/>
    </row>
    <row r="46888" s="101" customFormat="1" spans="6:6">
      <c r="F46888" s="2423"/>
    </row>
    <row r="46889" s="101" customFormat="1" spans="6:6">
      <c r="F46889" s="2423"/>
    </row>
    <row r="46890" s="101" customFormat="1" spans="6:6">
      <c r="F46890" s="2423"/>
    </row>
    <row r="46891" s="101" customFormat="1" spans="6:6">
      <c r="F46891" s="2423"/>
    </row>
    <row r="46892" s="101" customFormat="1" spans="6:6">
      <c r="F46892" s="2423"/>
    </row>
    <row r="46893" s="101" customFormat="1" spans="6:6">
      <c r="F46893" s="2423"/>
    </row>
    <row r="46894" s="101" customFormat="1" spans="6:6">
      <c r="F46894" s="2423"/>
    </row>
    <row r="46895" s="101" customFormat="1" spans="6:6">
      <c r="F46895" s="2423"/>
    </row>
    <row r="46896" s="101" customFormat="1" spans="6:6">
      <c r="F46896" s="2423"/>
    </row>
    <row r="46897" s="101" customFormat="1" spans="6:6">
      <c r="F46897" s="2423"/>
    </row>
    <row r="46898" s="101" customFormat="1" spans="6:6">
      <c r="F46898" s="2423"/>
    </row>
    <row r="46899" s="101" customFormat="1" spans="6:6">
      <c r="F46899" s="2423"/>
    </row>
    <row r="46900" s="101" customFormat="1" spans="6:6">
      <c r="F46900" s="2423"/>
    </row>
    <row r="46901" s="101" customFormat="1" spans="6:6">
      <c r="F46901" s="2423"/>
    </row>
    <row r="46902" s="101" customFormat="1" spans="6:6">
      <c r="F46902" s="2423"/>
    </row>
    <row r="46903" s="101" customFormat="1" spans="6:6">
      <c r="F46903" s="2423"/>
    </row>
    <row r="46904" s="101" customFormat="1" spans="6:6">
      <c r="F46904" s="2423"/>
    </row>
    <row r="46905" s="101" customFormat="1" spans="6:6">
      <c r="F46905" s="2423"/>
    </row>
    <row r="46906" s="101" customFormat="1" spans="6:6">
      <c r="F46906" s="2423"/>
    </row>
    <row r="46907" s="101" customFormat="1" spans="6:6">
      <c r="F46907" s="2423"/>
    </row>
    <row r="46908" s="101" customFormat="1" spans="6:6">
      <c r="F46908" s="2423"/>
    </row>
    <row r="46909" s="101" customFormat="1" spans="6:6">
      <c r="F46909" s="2423"/>
    </row>
    <row r="46910" s="101" customFormat="1" spans="6:6">
      <c r="F46910" s="2423"/>
    </row>
    <row r="46911" s="101" customFormat="1" spans="6:6">
      <c r="F46911" s="2423"/>
    </row>
    <row r="46912" s="101" customFormat="1" spans="6:6">
      <c r="F46912" s="2423"/>
    </row>
    <row r="46913" s="101" customFormat="1" spans="6:6">
      <c r="F46913" s="2423"/>
    </row>
    <row r="46914" s="101" customFormat="1" spans="6:6">
      <c r="F46914" s="2423"/>
    </row>
    <row r="46915" s="101" customFormat="1" spans="6:6">
      <c r="F46915" s="2423"/>
    </row>
    <row r="46916" s="101" customFormat="1" spans="6:6">
      <c r="F46916" s="2423"/>
    </row>
    <row r="46917" s="101" customFormat="1" spans="6:6">
      <c r="F46917" s="2423"/>
    </row>
    <row r="46918" s="101" customFormat="1" spans="6:6">
      <c r="F46918" s="2423"/>
    </row>
    <row r="46919" s="101" customFormat="1" spans="6:6">
      <c r="F46919" s="2423"/>
    </row>
    <row r="46920" s="101" customFormat="1" spans="6:6">
      <c r="F46920" s="2423"/>
    </row>
    <row r="46921" s="101" customFormat="1" spans="6:6">
      <c r="F46921" s="2423"/>
    </row>
    <row r="46922" s="101" customFormat="1" spans="6:6">
      <c r="F46922" s="2423"/>
    </row>
    <row r="46923" s="101" customFormat="1" spans="6:6">
      <c r="F46923" s="2423"/>
    </row>
    <row r="46924" s="101" customFormat="1" spans="6:6">
      <c r="F46924" s="2423"/>
    </row>
    <row r="46925" s="101" customFormat="1" spans="6:6">
      <c r="F46925" s="2423"/>
    </row>
    <row r="46926" s="101" customFormat="1" spans="6:6">
      <c r="F46926" s="2423"/>
    </row>
    <row r="46927" s="101" customFormat="1" spans="6:6">
      <c r="F46927" s="2423"/>
    </row>
    <row r="46928" s="101" customFormat="1" spans="6:6">
      <c r="F46928" s="2423"/>
    </row>
    <row r="46929" s="101" customFormat="1" spans="6:6">
      <c r="F46929" s="2423"/>
    </row>
    <row r="46930" s="101" customFormat="1" spans="6:6">
      <c r="F46930" s="2423"/>
    </row>
    <row r="46931" s="101" customFormat="1" spans="6:6">
      <c r="F46931" s="2423"/>
    </row>
    <row r="46932" s="101" customFormat="1" spans="6:6">
      <c r="F46932" s="2423"/>
    </row>
    <row r="46933" s="101" customFormat="1" spans="6:6">
      <c r="F46933" s="2423"/>
    </row>
    <row r="46934" s="101" customFormat="1" spans="6:6">
      <c r="F46934" s="2423"/>
    </row>
    <row r="46935" s="101" customFormat="1" spans="6:6">
      <c r="F46935" s="2423"/>
    </row>
    <row r="46936" s="101" customFormat="1" spans="6:6">
      <c r="F46936" s="2423"/>
    </row>
    <row r="46937" s="101" customFormat="1" spans="6:6">
      <c r="F46937" s="2423"/>
    </row>
    <row r="46938" s="101" customFormat="1" spans="6:6">
      <c r="F46938" s="2423"/>
    </row>
    <row r="46939" s="101" customFormat="1" spans="6:6">
      <c r="F46939" s="2423"/>
    </row>
    <row r="46940" s="101" customFormat="1" spans="6:6">
      <c r="F46940" s="2423"/>
    </row>
    <row r="46941" s="101" customFormat="1" spans="6:6">
      <c r="F46941" s="2423"/>
    </row>
    <row r="46942" s="101" customFormat="1" spans="6:6">
      <c r="F46942" s="2423"/>
    </row>
    <row r="46943" s="101" customFormat="1" spans="6:6">
      <c r="F46943" s="2423"/>
    </row>
    <row r="46944" s="101" customFormat="1" spans="6:6">
      <c r="F46944" s="2423"/>
    </row>
    <row r="46945" s="101" customFormat="1" spans="6:6">
      <c r="F46945" s="2423"/>
    </row>
    <row r="46946" s="101" customFormat="1" spans="6:6">
      <c r="F46946" s="2423"/>
    </row>
    <row r="46947" s="101" customFormat="1" spans="6:6">
      <c r="F46947" s="2423"/>
    </row>
    <row r="46948" s="101" customFormat="1" spans="6:6">
      <c r="F46948" s="2423"/>
    </row>
    <row r="46949" s="101" customFormat="1" spans="6:6">
      <c r="F46949" s="2423"/>
    </row>
    <row r="46950" s="101" customFormat="1" spans="6:6">
      <c r="F46950" s="2423"/>
    </row>
    <row r="46951" s="101" customFormat="1" spans="6:6">
      <c r="F46951" s="2423"/>
    </row>
    <row r="46952" s="101" customFormat="1" spans="6:6">
      <c r="F46952" s="2423"/>
    </row>
    <row r="46953" s="101" customFormat="1" spans="6:6">
      <c r="F46953" s="2423"/>
    </row>
    <row r="46954" s="101" customFormat="1" spans="6:6">
      <c r="F46954" s="2423"/>
    </row>
    <row r="46955" s="101" customFormat="1" spans="6:6">
      <c r="F46955" s="2423"/>
    </row>
    <row r="46956" s="101" customFormat="1" spans="6:6">
      <c r="F46956" s="2423"/>
    </row>
    <row r="46957" s="101" customFormat="1" spans="6:6">
      <c r="F46957" s="2423"/>
    </row>
    <row r="46958" s="101" customFormat="1" spans="6:6">
      <c r="F46958" s="2423"/>
    </row>
    <row r="46959" s="101" customFormat="1" spans="6:6">
      <c r="F46959" s="2423"/>
    </row>
    <row r="46960" s="101" customFormat="1" spans="6:6">
      <c r="F46960" s="2423"/>
    </row>
    <row r="46961" s="101" customFormat="1" spans="6:6">
      <c r="F46961" s="2423"/>
    </row>
    <row r="46962" s="101" customFormat="1" spans="6:6">
      <c r="F46962" s="2423"/>
    </row>
    <row r="46963" s="101" customFormat="1" spans="6:6">
      <c r="F46963" s="2423"/>
    </row>
    <row r="46964" s="101" customFormat="1" spans="6:6">
      <c r="F46964" s="2423"/>
    </row>
    <row r="46965" s="101" customFormat="1" spans="6:6">
      <c r="F46965" s="2423"/>
    </row>
    <row r="46966" s="101" customFormat="1" spans="6:6">
      <c r="F46966" s="2423"/>
    </row>
    <row r="46967" s="101" customFormat="1" spans="6:6">
      <c r="F46967" s="2423"/>
    </row>
    <row r="46968" s="101" customFormat="1" spans="6:6">
      <c r="F46968" s="2423"/>
    </row>
    <row r="46969" s="101" customFormat="1" spans="6:6">
      <c r="F46969" s="2423"/>
    </row>
    <row r="46970" s="101" customFormat="1" spans="6:6">
      <c r="F46970" s="2423"/>
    </row>
    <row r="46971" s="101" customFormat="1" spans="6:6">
      <c r="F46971" s="2423"/>
    </row>
    <row r="46972" s="101" customFormat="1" spans="6:6">
      <c r="F46972" s="2423"/>
    </row>
    <row r="46973" s="101" customFormat="1" spans="6:6">
      <c r="F46973" s="2423"/>
    </row>
    <row r="46974" s="101" customFormat="1" spans="6:6">
      <c r="F46974" s="2423"/>
    </row>
    <row r="46975" s="101" customFormat="1" spans="6:6">
      <c r="F46975" s="2423"/>
    </row>
    <row r="46976" s="101" customFormat="1" spans="6:6">
      <c r="F46976" s="2423"/>
    </row>
    <row r="46977" s="101" customFormat="1" spans="6:6">
      <c r="F46977" s="2423"/>
    </row>
    <row r="46978" s="101" customFormat="1" spans="6:6">
      <c r="F46978" s="2423"/>
    </row>
    <row r="46979" s="101" customFormat="1" spans="6:6">
      <c r="F46979" s="2423"/>
    </row>
    <row r="46980" s="101" customFormat="1" spans="6:6">
      <c r="F46980" s="2423"/>
    </row>
    <row r="46981" s="101" customFormat="1" spans="6:6">
      <c r="F46981" s="2423"/>
    </row>
    <row r="46982" s="101" customFormat="1" spans="6:6">
      <c r="F46982" s="2423"/>
    </row>
    <row r="46983" s="101" customFormat="1" spans="6:6">
      <c r="F46983" s="2423"/>
    </row>
    <row r="46984" s="101" customFormat="1" spans="6:6">
      <c r="F46984" s="2423"/>
    </row>
    <row r="46985" s="101" customFormat="1" spans="6:6">
      <c r="F46985" s="2423"/>
    </row>
    <row r="46986" s="101" customFormat="1" spans="6:6">
      <c r="F46986" s="2423"/>
    </row>
    <row r="46987" s="101" customFormat="1" spans="6:6">
      <c r="F46987" s="2423"/>
    </row>
    <row r="46988" s="101" customFormat="1" spans="6:6">
      <c r="F46988" s="2423"/>
    </row>
    <row r="46989" s="101" customFormat="1" spans="6:6">
      <c r="F46989" s="2423"/>
    </row>
    <row r="46990" s="101" customFormat="1" spans="6:6">
      <c r="F46990" s="2423"/>
    </row>
    <row r="46991" s="101" customFormat="1" spans="6:6">
      <c r="F46991" s="2423"/>
    </row>
    <row r="46992" s="101" customFormat="1" spans="6:6">
      <c r="F46992" s="2423"/>
    </row>
    <row r="46993" s="101" customFormat="1" spans="6:6">
      <c r="F46993" s="2423"/>
    </row>
    <row r="46994" s="101" customFormat="1" spans="6:6">
      <c r="F46994" s="2423"/>
    </row>
    <row r="46995" s="101" customFormat="1" spans="6:6">
      <c r="F46995" s="2423"/>
    </row>
    <row r="46996" s="101" customFormat="1" spans="6:6">
      <c r="F46996" s="2423"/>
    </row>
    <row r="46997" s="101" customFormat="1" spans="6:6">
      <c r="F46997" s="2423"/>
    </row>
    <row r="46998" s="101" customFormat="1" spans="6:6">
      <c r="F46998" s="2423"/>
    </row>
    <row r="46999" s="101" customFormat="1" spans="6:6">
      <c r="F46999" s="2423"/>
    </row>
    <row r="47000" s="101" customFormat="1" spans="6:6">
      <c r="F47000" s="2423"/>
    </row>
    <row r="47001" s="101" customFormat="1" spans="6:6">
      <c r="F47001" s="2423"/>
    </row>
    <row r="47002" s="101" customFormat="1" spans="6:6">
      <c r="F47002" s="2423"/>
    </row>
    <row r="47003" s="101" customFormat="1" spans="6:6">
      <c r="F47003" s="2423"/>
    </row>
    <row r="47004" s="101" customFormat="1" spans="6:6">
      <c r="F47004" s="2423"/>
    </row>
    <row r="47005" s="101" customFormat="1" spans="6:6">
      <c r="F47005" s="2423"/>
    </row>
    <row r="47006" s="101" customFormat="1" spans="6:6">
      <c r="F47006" s="2423"/>
    </row>
    <row r="47007" s="101" customFormat="1" spans="6:6">
      <c r="F47007" s="2423"/>
    </row>
    <row r="47008" s="101" customFormat="1" spans="6:6">
      <c r="F47008" s="2423"/>
    </row>
    <row r="47009" s="101" customFormat="1" spans="6:6">
      <c r="F47009" s="2423"/>
    </row>
    <row r="47010" s="101" customFormat="1" spans="6:6">
      <c r="F47010" s="2423"/>
    </row>
    <row r="47011" s="101" customFormat="1" spans="6:6">
      <c r="F47011" s="2423"/>
    </row>
    <row r="47012" s="101" customFormat="1" spans="6:6">
      <c r="F47012" s="2423"/>
    </row>
    <row r="47013" s="101" customFormat="1" spans="6:6">
      <c r="F47013" s="2423"/>
    </row>
    <row r="47014" s="101" customFormat="1" spans="6:6">
      <c r="F47014" s="2423"/>
    </row>
    <row r="47015" s="101" customFormat="1" spans="6:6">
      <c r="F47015" s="2423"/>
    </row>
    <row r="47016" s="101" customFormat="1" spans="6:6">
      <c r="F47016" s="2423"/>
    </row>
    <row r="47017" s="101" customFormat="1" spans="6:6">
      <c r="F47017" s="2423"/>
    </row>
    <row r="47018" s="101" customFormat="1" spans="6:6">
      <c r="F47018" s="2423"/>
    </row>
    <row r="47019" s="101" customFormat="1" spans="6:6">
      <c r="F47019" s="2423"/>
    </row>
    <row r="47020" s="101" customFormat="1" spans="6:6">
      <c r="F47020" s="2423"/>
    </row>
    <row r="47021" s="101" customFormat="1" spans="6:6">
      <c r="F47021" s="2423"/>
    </row>
    <row r="47022" s="101" customFormat="1" spans="6:6">
      <c r="F47022" s="2423"/>
    </row>
    <row r="47023" s="101" customFormat="1" spans="6:6">
      <c r="F47023" s="2423"/>
    </row>
    <row r="47024" s="101" customFormat="1" spans="6:6">
      <c r="F47024" s="2423"/>
    </row>
    <row r="47025" s="101" customFormat="1" spans="6:6">
      <c r="F47025" s="2423"/>
    </row>
    <row r="47026" s="101" customFormat="1" spans="6:6">
      <c r="F47026" s="2423"/>
    </row>
    <row r="47027" s="101" customFormat="1" spans="6:6">
      <c r="F47027" s="2423"/>
    </row>
    <row r="47028" s="101" customFormat="1" spans="6:6">
      <c r="F47028" s="2423"/>
    </row>
    <row r="47029" s="101" customFormat="1" spans="6:6">
      <c r="F47029" s="2423"/>
    </row>
    <row r="47030" s="101" customFormat="1" spans="6:6">
      <c r="F47030" s="2423"/>
    </row>
    <row r="47031" s="101" customFormat="1" spans="6:6">
      <c r="F47031" s="2423"/>
    </row>
    <row r="47032" s="101" customFormat="1" spans="6:6">
      <c r="F47032" s="2423"/>
    </row>
    <row r="47033" s="101" customFormat="1" spans="6:6">
      <c r="F47033" s="2423"/>
    </row>
    <row r="47034" s="101" customFormat="1" spans="6:6">
      <c r="F47034" s="2423"/>
    </row>
    <row r="47035" s="101" customFormat="1" spans="6:6">
      <c r="F47035" s="2423"/>
    </row>
    <row r="47036" s="101" customFormat="1" spans="6:6">
      <c r="F47036" s="2423"/>
    </row>
    <row r="47037" s="101" customFormat="1" spans="6:6">
      <c r="F47037" s="2423"/>
    </row>
    <row r="47038" s="101" customFormat="1" spans="6:6">
      <c r="F47038" s="2423"/>
    </row>
    <row r="47039" s="101" customFormat="1" spans="6:6">
      <c r="F47039" s="2423"/>
    </row>
    <row r="47040" s="101" customFormat="1" spans="6:6">
      <c r="F47040" s="2423"/>
    </row>
    <row r="47041" s="101" customFormat="1" spans="6:6">
      <c r="F47041" s="2423"/>
    </row>
    <row r="47042" s="101" customFormat="1" spans="6:6">
      <c r="F47042" s="2423"/>
    </row>
    <row r="47043" s="101" customFormat="1" spans="6:6">
      <c r="F47043" s="2423"/>
    </row>
    <row r="47044" s="101" customFormat="1" spans="6:6">
      <c r="F47044" s="2423"/>
    </row>
    <row r="47045" s="101" customFormat="1" spans="6:6">
      <c r="F47045" s="2423"/>
    </row>
    <row r="47046" s="101" customFormat="1" spans="6:6">
      <c r="F47046" s="2423"/>
    </row>
    <row r="47047" s="101" customFormat="1" spans="6:6">
      <c r="F47047" s="2423"/>
    </row>
    <row r="47048" s="101" customFormat="1" spans="6:6">
      <c r="F47048" s="2423"/>
    </row>
    <row r="47049" s="101" customFormat="1" spans="6:6">
      <c r="F47049" s="2423"/>
    </row>
    <row r="47050" s="101" customFormat="1" spans="6:6">
      <c r="F47050" s="2423"/>
    </row>
    <row r="47051" s="101" customFormat="1" spans="6:6">
      <c r="F47051" s="2423"/>
    </row>
    <row r="47052" s="101" customFormat="1" spans="6:6">
      <c r="F47052" s="2423"/>
    </row>
    <row r="47053" s="101" customFormat="1" spans="6:6">
      <c r="F47053" s="2423"/>
    </row>
    <row r="47054" s="101" customFormat="1" spans="6:6">
      <c r="F47054" s="2423"/>
    </row>
    <row r="47055" s="101" customFormat="1" spans="6:6">
      <c r="F47055" s="2423"/>
    </row>
    <row r="47056" s="101" customFormat="1" spans="6:6">
      <c r="F47056" s="2423"/>
    </row>
    <row r="47057" s="101" customFormat="1" spans="6:6">
      <c r="F47057" s="2423"/>
    </row>
    <row r="47058" s="101" customFormat="1" spans="6:6">
      <c r="F47058" s="2423"/>
    </row>
    <row r="47059" s="101" customFormat="1" spans="6:6">
      <c r="F47059" s="2423"/>
    </row>
    <row r="47060" s="101" customFormat="1" spans="6:6">
      <c r="F47060" s="2423"/>
    </row>
    <row r="47061" s="101" customFormat="1" spans="6:6">
      <c r="F47061" s="2423"/>
    </row>
    <row r="47062" s="101" customFormat="1" spans="6:6">
      <c r="F47062" s="2423"/>
    </row>
    <row r="47063" s="101" customFormat="1" spans="6:6">
      <c r="F47063" s="2423"/>
    </row>
    <row r="47064" s="101" customFormat="1" spans="6:6">
      <c r="F47064" s="2423"/>
    </row>
    <row r="47065" s="101" customFormat="1" spans="6:6">
      <c r="F47065" s="2423"/>
    </row>
    <row r="47066" s="101" customFormat="1" spans="6:6">
      <c r="F47066" s="2423"/>
    </row>
    <row r="47067" s="101" customFormat="1" spans="6:6">
      <c r="F47067" s="2423"/>
    </row>
    <row r="47068" s="101" customFormat="1" spans="6:6">
      <c r="F47068" s="2423"/>
    </row>
    <row r="47069" s="101" customFormat="1" spans="6:6">
      <c r="F47069" s="2423"/>
    </row>
    <row r="47070" s="101" customFormat="1" spans="6:6">
      <c r="F47070" s="2423"/>
    </row>
    <row r="47071" s="101" customFormat="1" spans="6:6">
      <c r="F47071" s="2423"/>
    </row>
    <row r="47072" s="101" customFormat="1" spans="6:6">
      <c r="F47072" s="2423"/>
    </row>
    <row r="47073" s="101" customFormat="1" spans="6:6">
      <c r="F47073" s="2423"/>
    </row>
    <row r="47074" s="101" customFormat="1" spans="6:6">
      <c r="F47074" s="2423"/>
    </row>
    <row r="47075" s="101" customFormat="1" spans="6:6">
      <c r="F47075" s="2423"/>
    </row>
    <row r="47076" s="101" customFormat="1" spans="6:6">
      <c r="F47076" s="2423"/>
    </row>
    <row r="47077" s="101" customFormat="1" spans="6:6">
      <c r="F47077" s="2423"/>
    </row>
    <row r="47078" s="101" customFormat="1" spans="6:6">
      <c r="F47078" s="2423"/>
    </row>
    <row r="47079" s="101" customFormat="1" spans="6:6">
      <c r="F47079" s="2423"/>
    </row>
    <row r="47080" s="101" customFormat="1" spans="6:6">
      <c r="F47080" s="2423"/>
    </row>
    <row r="47081" s="101" customFormat="1" spans="6:6">
      <c r="F47081" s="2423"/>
    </row>
    <row r="47082" s="101" customFormat="1" spans="6:6">
      <c r="F47082" s="2423"/>
    </row>
    <row r="47083" s="101" customFormat="1" spans="6:6">
      <c r="F47083" s="2423"/>
    </row>
    <row r="47084" s="101" customFormat="1" spans="6:6">
      <c r="F47084" s="2423"/>
    </row>
    <row r="47085" s="101" customFormat="1" spans="6:6">
      <c r="F47085" s="2423"/>
    </row>
    <row r="47086" s="101" customFormat="1" spans="6:6">
      <c r="F47086" s="2423"/>
    </row>
    <row r="47087" s="101" customFormat="1" spans="6:6">
      <c r="F47087" s="2423"/>
    </row>
    <row r="47088" s="101" customFormat="1" spans="6:6">
      <c r="F47088" s="2423"/>
    </row>
    <row r="47089" s="101" customFormat="1" spans="6:6">
      <c r="F47089" s="2423"/>
    </row>
    <row r="47090" s="101" customFormat="1" spans="6:6">
      <c r="F47090" s="2423"/>
    </row>
    <row r="47091" s="101" customFormat="1" spans="6:6">
      <c r="F47091" s="2423"/>
    </row>
    <row r="47092" s="101" customFormat="1" spans="6:6">
      <c r="F47092" s="2423"/>
    </row>
    <row r="47093" s="101" customFormat="1" spans="6:6">
      <c r="F47093" s="2423"/>
    </row>
    <row r="47094" s="101" customFormat="1" spans="6:6">
      <c r="F47094" s="2423"/>
    </row>
    <row r="47095" s="101" customFormat="1" spans="6:6">
      <c r="F47095" s="2423"/>
    </row>
    <row r="47096" s="101" customFormat="1" spans="6:6">
      <c r="F47096" s="2423"/>
    </row>
    <row r="47097" s="101" customFormat="1" spans="6:6">
      <c r="F47097" s="2423"/>
    </row>
    <row r="47098" s="101" customFormat="1" spans="6:6">
      <c r="F47098" s="2423"/>
    </row>
    <row r="47099" s="101" customFormat="1" spans="6:6">
      <c r="F47099" s="2423"/>
    </row>
    <row r="47100" s="101" customFormat="1" spans="6:6">
      <c r="F47100" s="2423"/>
    </row>
    <row r="47101" s="101" customFormat="1" spans="6:6">
      <c r="F47101" s="2423"/>
    </row>
    <row r="47102" s="101" customFormat="1" spans="6:6">
      <c r="F47102" s="2423"/>
    </row>
    <row r="47103" s="101" customFormat="1" spans="6:6">
      <c r="F47103" s="2423"/>
    </row>
    <row r="47104" s="101" customFormat="1" spans="6:6">
      <c r="F47104" s="2423"/>
    </row>
    <row r="47105" s="101" customFormat="1" spans="6:6">
      <c r="F47105" s="2423"/>
    </row>
    <row r="47106" s="101" customFormat="1" spans="6:6">
      <c r="F47106" s="2423"/>
    </row>
    <row r="47107" s="101" customFormat="1" spans="6:6">
      <c r="F47107" s="2423"/>
    </row>
    <row r="47108" s="101" customFormat="1" spans="6:6">
      <c r="F47108" s="2423"/>
    </row>
    <row r="47109" s="101" customFormat="1" spans="6:6">
      <c r="F47109" s="2423"/>
    </row>
    <row r="47110" s="101" customFormat="1" spans="6:6">
      <c r="F47110" s="2423"/>
    </row>
    <row r="47111" s="101" customFormat="1" spans="6:6">
      <c r="F47111" s="2423"/>
    </row>
    <row r="47112" s="101" customFormat="1" spans="6:6">
      <c r="F47112" s="2423"/>
    </row>
    <row r="47113" s="101" customFormat="1" spans="6:6">
      <c r="F47113" s="2423"/>
    </row>
    <row r="47114" s="101" customFormat="1" spans="6:6">
      <c r="F47114" s="2423"/>
    </row>
    <row r="47115" s="101" customFormat="1" spans="6:6">
      <c r="F47115" s="2423"/>
    </row>
    <row r="47116" s="101" customFormat="1" spans="6:6">
      <c r="F47116" s="2423"/>
    </row>
    <row r="47117" s="101" customFormat="1" spans="6:6">
      <c r="F47117" s="2423"/>
    </row>
    <row r="47118" s="101" customFormat="1" spans="6:6">
      <c r="F47118" s="2423"/>
    </row>
    <row r="47119" s="101" customFormat="1" spans="6:6">
      <c r="F47119" s="2423"/>
    </row>
    <row r="47120" s="101" customFormat="1" spans="6:6">
      <c r="F47120" s="2423"/>
    </row>
    <row r="47121" s="101" customFormat="1" spans="6:6">
      <c r="F47121" s="2423"/>
    </row>
    <row r="47122" s="101" customFormat="1" spans="6:6">
      <c r="F47122" s="2423"/>
    </row>
    <row r="47123" s="101" customFormat="1" spans="6:6">
      <c r="F47123" s="2423"/>
    </row>
    <row r="47124" s="101" customFormat="1" spans="6:6">
      <c r="F47124" s="2423"/>
    </row>
    <row r="47125" s="101" customFormat="1" spans="6:6">
      <c r="F47125" s="2423"/>
    </row>
    <row r="47126" s="101" customFormat="1" spans="6:6">
      <c r="F47126" s="2423"/>
    </row>
    <row r="47127" s="101" customFormat="1" spans="6:6">
      <c r="F47127" s="2423"/>
    </row>
    <row r="47128" s="101" customFormat="1" spans="6:6">
      <c r="F47128" s="2423"/>
    </row>
    <row r="47129" s="101" customFormat="1" spans="6:6">
      <c r="F47129" s="2423"/>
    </row>
    <row r="47130" s="101" customFormat="1" spans="6:6">
      <c r="F47130" s="2423"/>
    </row>
    <row r="47131" s="101" customFormat="1" spans="6:6">
      <c r="F47131" s="2423"/>
    </row>
    <row r="47132" s="101" customFormat="1" spans="6:6">
      <c r="F47132" s="2423"/>
    </row>
    <row r="47133" s="101" customFormat="1" spans="6:6">
      <c r="F47133" s="2423"/>
    </row>
    <row r="47134" s="101" customFormat="1" spans="6:6">
      <c r="F47134" s="2423"/>
    </row>
    <row r="47135" s="101" customFormat="1" spans="6:6">
      <c r="F47135" s="2423"/>
    </row>
    <row r="47136" s="101" customFormat="1" spans="6:6">
      <c r="F47136" s="2423"/>
    </row>
    <row r="47137" s="101" customFormat="1" spans="6:6">
      <c r="F47137" s="2423"/>
    </row>
    <row r="47138" s="101" customFormat="1" spans="6:6">
      <c r="F47138" s="2423"/>
    </row>
    <row r="47139" s="101" customFormat="1" spans="6:6">
      <c r="F47139" s="2423"/>
    </row>
    <row r="47140" s="101" customFormat="1" spans="6:6">
      <c r="F47140" s="2423"/>
    </row>
    <row r="47141" s="101" customFormat="1" spans="6:6">
      <c r="F47141" s="2423"/>
    </row>
    <row r="47142" s="101" customFormat="1" spans="6:6">
      <c r="F47142" s="2423"/>
    </row>
    <row r="47143" s="101" customFormat="1" spans="6:6">
      <c r="F47143" s="2423"/>
    </row>
    <row r="47144" s="101" customFormat="1" spans="6:6">
      <c r="F47144" s="2423"/>
    </row>
    <row r="47145" s="101" customFormat="1" spans="6:6">
      <c r="F47145" s="2423"/>
    </row>
    <row r="47146" s="101" customFormat="1" spans="6:6">
      <c r="F47146" s="2423"/>
    </row>
    <row r="47147" s="101" customFormat="1" spans="6:6">
      <c r="F47147" s="2423"/>
    </row>
    <row r="47148" s="101" customFormat="1" spans="6:6">
      <c r="F47148" s="2423"/>
    </row>
    <row r="47149" s="101" customFormat="1" spans="6:6">
      <c r="F47149" s="2423"/>
    </row>
    <row r="47150" s="101" customFormat="1" spans="6:6">
      <c r="F47150" s="2423"/>
    </row>
    <row r="47151" s="101" customFormat="1" spans="6:6">
      <c r="F47151" s="2423"/>
    </row>
    <row r="47152" s="101" customFormat="1" spans="6:6">
      <c r="F47152" s="2423"/>
    </row>
    <row r="47153" s="101" customFormat="1" spans="6:6">
      <c r="F47153" s="2423"/>
    </row>
    <row r="47154" s="101" customFormat="1" spans="6:6">
      <c r="F47154" s="2423"/>
    </row>
    <row r="47155" s="101" customFormat="1" spans="6:6">
      <c r="F47155" s="2423"/>
    </row>
    <row r="47156" s="101" customFormat="1" spans="6:6">
      <c r="F47156" s="2423"/>
    </row>
    <row r="47157" s="101" customFormat="1" spans="6:6">
      <c r="F47157" s="2423"/>
    </row>
    <row r="47158" s="101" customFormat="1" spans="6:6">
      <c r="F47158" s="2423"/>
    </row>
    <row r="47159" s="101" customFormat="1" spans="6:6">
      <c r="F47159" s="2423"/>
    </row>
    <row r="47160" s="101" customFormat="1" spans="6:6">
      <c r="F47160" s="2423"/>
    </row>
    <row r="47161" s="101" customFormat="1" spans="6:6">
      <c r="F47161" s="2423"/>
    </row>
    <row r="47162" s="101" customFormat="1" spans="6:6">
      <c r="F47162" s="2423"/>
    </row>
    <row r="47163" s="101" customFormat="1" spans="6:6">
      <c r="F47163" s="2423"/>
    </row>
    <row r="47164" s="101" customFormat="1" spans="6:6">
      <c r="F47164" s="2423"/>
    </row>
    <row r="47165" s="101" customFormat="1" spans="6:6">
      <c r="F47165" s="2423"/>
    </row>
    <row r="47166" s="101" customFormat="1" spans="6:6">
      <c r="F47166" s="2423"/>
    </row>
    <row r="47167" s="101" customFormat="1" spans="6:6">
      <c r="F47167" s="2423"/>
    </row>
    <row r="47168" s="101" customFormat="1" spans="6:6">
      <c r="F47168" s="2423"/>
    </row>
    <row r="47169" s="101" customFormat="1" spans="6:6">
      <c r="F47169" s="2423"/>
    </row>
    <row r="47170" s="101" customFormat="1" spans="6:6">
      <c r="F47170" s="2423"/>
    </row>
    <row r="47171" s="101" customFormat="1" spans="6:6">
      <c r="F47171" s="2423"/>
    </row>
    <row r="47172" s="101" customFormat="1" spans="6:6">
      <c r="F47172" s="2423"/>
    </row>
    <row r="47173" s="101" customFormat="1" spans="6:6">
      <c r="F47173" s="2423"/>
    </row>
    <row r="47174" s="101" customFormat="1" spans="6:6">
      <c r="F47174" s="2423"/>
    </row>
    <row r="47175" s="101" customFormat="1" spans="6:6">
      <c r="F47175" s="2423"/>
    </row>
    <row r="47176" s="101" customFormat="1" spans="6:6">
      <c r="F47176" s="2423"/>
    </row>
    <row r="47177" s="101" customFormat="1" spans="6:6">
      <c r="F47177" s="2423"/>
    </row>
    <row r="47178" s="101" customFormat="1" spans="6:6">
      <c r="F47178" s="2423"/>
    </row>
    <row r="47179" s="101" customFormat="1" spans="6:6">
      <c r="F47179" s="2423"/>
    </row>
    <row r="47180" s="101" customFormat="1" spans="6:6">
      <c r="F47180" s="2423"/>
    </row>
    <row r="47181" s="101" customFormat="1" spans="6:6">
      <c r="F47181" s="2423"/>
    </row>
    <row r="47182" s="101" customFormat="1" spans="6:6">
      <c r="F47182" s="2423"/>
    </row>
    <row r="47183" s="101" customFormat="1" spans="6:6">
      <c r="F47183" s="2423"/>
    </row>
    <row r="47184" s="101" customFormat="1" spans="6:6">
      <c r="F47184" s="2423"/>
    </row>
    <row r="47185" s="101" customFormat="1" spans="6:6">
      <c r="F47185" s="2423"/>
    </row>
    <row r="47186" s="101" customFormat="1" spans="6:6">
      <c r="F47186" s="2423"/>
    </row>
    <row r="47187" s="101" customFormat="1" spans="6:6">
      <c r="F47187" s="2423"/>
    </row>
    <row r="47188" s="101" customFormat="1" spans="6:6">
      <c r="F47188" s="2423"/>
    </row>
    <row r="47189" s="101" customFormat="1" spans="6:6">
      <c r="F47189" s="2423"/>
    </row>
    <row r="47190" s="101" customFormat="1" spans="6:6">
      <c r="F47190" s="2423"/>
    </row>
    <row r="47191" s="101" customFormat="1" spans="6:6">
      <c r="F47191" s="2423"/>
    </row>
    <row r="47192" s="101" customFormat="1" spans="6:6">
      <c r="F47192" s="2423"/>
    </row>
    <row r="47193" s="101" customFormat="1" spans="6:6">
      <c r="F47193" s="2423"/>
    </row>
    <row r="47194" s="101" customFormat="1" spans="6:6">
      <c r="F47194" s="2423"/>
    </row>
    <row r="47195" s="101" customFormat="1" spans="6:6">
      <c r="F47195" s="2423"/>
    </row>
    <row r="47196" s="101" customFormat="1" spans="6:6">
      <c r="F47196" s="2423"/>
    </row>
    <row r="47197" s="101" customFormat="1" spans="6:6">
      <c r="F47197" s="2423"/>
    </row>
    <row r="47198" s="101" customFormat="1" spans="6:6">
      <c r="F47198" s="2423"/>
    </row>
    <row r="47199" s="101" customFormat="1" spans="6:6">
      <c r="F47199" s="2423"/>
    </row>
    <row r="47200" s="101" customFormat="1" spans="6:6">
      <c r="F47200" s="2423"/>
    </row>
    <row r="47201" s="101" customFormat="1" spans="6:6">
      <c r="F47201" s="2423"/>
    </row>
    <row r="47202" s="101" customFormat="1" spans="6:6">
      <c r="F47202" s="2423"/>
    </row>
    <row r="47203" s="101" customFormat="1" spans="6:6">
      <c r="F47203" s="2423"/>
    </row>
    <row r="47204" s="101" customFormat="1" spans="6:6">
      <c r="F47204" s="2423"/>
    </row>
    <row r="47205" s="101" customFormat="1" spans="6:6">
      <c r="F47205" s="2423"/>
    </row>
    <row r="47206" s="101" customFormat="1" spans="6:6">
      <c r="F47206" s="2423"/>
    </row>
    <row r="47207" s="101" customFormat="1" spans="6:6">
      <c r="F47207" s="2423"/>
    </row>
    <row r="47208" s="101" customFormat="1" spans="6:6">
      <c r="F47208" s="2423"/>
    </row>
    <row r="47209" s="101" customFormat="1" spans="6:6">
      <c r="F47209" s="2423"/>
    </row>
    <row r="47210" s="101" customFormat="1" spans="6:6">
      <c r="F47210" s="2423"/>
    </row>
    <row r="47211" s="101" customFormat="1" spans="6:6">
      <c r="F47211" s="2423"/>
    </row>
    <row r="47212" s="101" customFormat="1" spans="6:6">
      <c r="F47212" s="2423"/>
    </row>
    <row r="47213" s="101" customFormat="1" spans="6:6">
      <c r="F47213" s="2423"/>
    </row>
    <row r="47214" s="101" customFormat="1" spans="6:6">
      <c r="F47214" s="2423"/>
    </row>
    <row r="47215" s="101" customFormat="1" spans="6:6">
      <c r="F47215" s="2423"/>
    </row>
    <row r="47216" s="101" customFormat="1" spans="6:6">
      <c r="F47216" s="2423"/>
    </row>
    <row r="47217" s="101" customFormat="1" spans="6:6">
      <c r="F47217" s="2423"/>
    </row>
    <row r="47218" s="101" customFormat="1" spans="6:6">
      <c r="F47218" s="2423"/>
    </row>
    <row r="47219" s="101" customFormat="1" spans="6:6">
      <c r="F47219" s="2423"/>
    </row>
    <row r="47220" s="101" customFormat="1" spans="6:6">
      <c r="F47220" s="2423"/>
    </row>
    <row r="47221" s="101" customFormat="1" spans="6:6">
      <c r="F47221" s="2423"/>
    </row>
    <row r="47222" s="101" customFormat="1" spans="6:6">
      <c r="F47222" s="2423"/>
    </row>
    <row r="47223" s="101" customFormat="1" spans="6:6">
      <c r="F47223" s="2423"/>
    </row>
    <row r="47224" s="101" customFormat="1" spans="6:6">
      <c r="F47224" s="2423"/>
    </row>
    <row r="47225" s="101" customFormat="1" spans="6:6">
      <c r="F47225" s="2423"/>
    </row>
    <row r="47226" s="101" customFormat="1" spans="6:6">
      <c r="F47226" s="2423"/>
    </row>
    <row r="47227" s="101" customFormat="1" spans="6:6">
      <c r="F47227" s="2423"/>
    </row>
    <row r="47228" s="101" customFormat="1" spans="6:6">
      <c r="F47228" s="2423"/>
    </row>
    <row r="47229" s="101" customFormat="1" spans="6:6">
      <c r="F47229" s="2423"/>
    </row>
    <row r="47230" s="101" customFormat="1" spans="6:6">
      <c r="F47230" s="2423"/>
    </row>
    <row r="47231" s="101" customFormat="1" spans="6:6">
      <c r="F47231" s="2423"/>
    </row>
    <row r="47232" s="101" customFormat="1" spans="6:6">
      <c r="F47232" s="2423"/>
    </row>
    <row r="47233" s="101" customFormat="1" spans="6:6">
      <c r="F47233" s="2423"/>
    </row>
    <row r="47234" s="101" customFormat="1" spans="6:6">
      <c r="F47234" s="2423"/>
    </row>
    <row r="47235" s="101" customFormat="1" spans="6:6">
      <c r="F47235" s="2423"/>
    </row>
    <row r="47236" s="101" customFormat="1" spans="6:6">
      <c r="F47236" s="2423"/>
    </row>
    <row r="47237" s="101" customFormat="1" spans="6:6">
      <c r="F47237" s="2423"/>
    </row>
    <row r="47238" s="101" customFormat="1" spans="6:6">
      <c r="F47238" s="2423"/>
    </row>
    <row r="47239" s="101" customFormat="1" spans="6:6">
      <c r="F47239" s="2423"/>
    </row>
    <row r="47240" s="101" customFormat="1" spans="6:6">
      <c r="F47240" s="2423"/>
    </row>
    <row r="47241" s="101" customFormat="1" spans="6:6">
      <c r="F47241" s="2423"/>
    </row>
    <row r="47242" s="101" customFormat="1" spans="6:6">
      <c r="F47242" s="2423"/>
    </row>
    <row r="47243" s="101" customFormat="1" spans="6:6">
      <c r="F47243" s="2423"/>
    </row>
    <row r="47244" s="101" customFormat="1" spans="6:6">
      <c r="F47244" s="2423"/>
    </row>
    <row r="47245" s="101" customFormat="1" spans="6:6">
      <c r="F47245" s="2423"/>
    </row>
    <row r="47246" s="101" customFormat="1" spans="6:6">
      <c r="F47246" s="2423"/>
    </row>
    <row r="47247" s="101" customFormat="1" spans="6:6">
      <c r="F47247" s="2423"/>
    </row>
    <row r="47248" s="101" customFormat="1" spans="6:6">
      <c r="F47248" s="2423"/>
    </row>
    <row r="47249" s="101" customFormat="1" spans="6:6">
      <c r="F47249" s="2423"/>
    </row>
    <row r="47250" s="101" customFormat="1" spans="6:6">
      <c r="F47250" s="2423"/>
    </row>
    <row r="47251" s="101" customFormat="1" spans="6:6">
      <c r="F47251" s="2423"/>
    </row>
    <row r="47252" s="101" customFormat="1" spans="6:6">
      <c r="F47252" s="2423"/>
    </row>
    <row r="47253" s="101" customFormat="1" spans="6:6">
      <c r="F47253" s="2423"/>
    </row>
    <row r="47254" s="101" customFormat="1" spans="6:6">
      <c r="F47254" s="2423"/>
    </row>
    <row r="47255" s="101" customFormat="1" spans="6:6">
      <c r="F47255" s="2423"/>
    </row>
    <row r="47256" s="101" customFormat="1" spans="6:6">
      <c r="F47256" s="2423"/>
    </row>
    <row r="47257" s="101" customFormat="1" spans="6:6">
      <c r="F47257" s="2423"/>
    </row>
    <row r="47258" s="101" customFormat="1" spans="6:6">
      <c r="F47258" s="2423"/>
    </row>
    <row r="47259" s="101" customFormat="1" spans="6:6">
      <c r="F47259" s="2423"/>
    </row>
    <row r="47260" s="101" customFormat="1" spans="6:6">
      <c r="F47260" s="2423"/>
    </row>
    <row r="47261" s="101" customFormat="1" spans="6:6">
      <c r="F47261" s="2423"/>
    </row>
    <row r="47262" s="101" customFormat="1" spans="6:6">
      <c r="F47262" s="2423"/>
    </row>
    <row r="47263" s="101" customFormat="1" spans="6:6">
      <c r="F47263" s="2423"/>
    </row>
    <row r="47264" s="101" customFormat="1" spans="6:6">
      <c r="F47264" s="2423"/>
    </row>
    <row r="47265" s="101" customFormat="1" spans="6:6">
      <c r="F47265" s="2423"/>
    </row>
    <row r="47266" s="101" customFormat="1" spans="6:6">
      <c r="F47266" s="2423"/>
    </row>
    <row r="47267" s="101" customFormat="1" spans="6:6">
      <c r="F47267" s="2423"/>
    </row>
    <row r="47268" s="101" customFormat="1" spans="6:6">
      <c r="F47268" s="2423"/>
    </row>
    <row r="47269" s="101" customFormat="1" spans="6:6">
      <c r="F47269" s="2423"/>
    </row>
    <row r="47270" s="101" customFormat="1" spans="6:6">
      <c r="F47270" s="2423"/>
    </row>
    <row r="47271" s="101" customFormat="1" spans="6:6">
      <c r="F47271" s="2423"/>
    </row>
    <row r="47272" s="101" customFormat="1" spans="6:6">
      <c r="F47272" s="2423"/>
    </row>
    <row r="47273" s="101" customFormat="1" spans="6:6">
      <c r="F47273" s="2423"/>
    </row>
    <row r="47274" s="101" customFormat="1" spans="6:6">
      <c r="F47274" s="2423"/>
    </row>
    <row r="47275" s="101" customFormat="1" spans="6:6">
      <c r="F47275" s="2423"/>
    </row>
    <row r="47276" s="101" customFormat="1" spans="6:6">
      <c r="F47276" s="2423"/>
    </row>
    <row r="47277" s="101" customFormat="1" spans="6:6">
      <c r="F47277" s="2423"/>
    </row>
    <row r="47278" s="101" customFormat="1" spans="6:6">
      <c r="F47278" s="2423"/>
    </row>
    <row r="47279" s="101" customFormat="1" spans="6:6">
      <c r="F47279" s="2423"/>
    </row>
    <row r="47280" s="101" customFormat="1" spans="6:6">
      <c r="F47280" s="2423"/>
    </row>
    <row r="47281" s="101" customFormat="1" spans="6:6">
      <c r="F47281" s="2423"/>
    </row>
    <row r="47282" s="101" customFormat="1" spans="6:6">
      <c r="F47282" s="2423"/>
    </row>
    <row r="47283" s="101" customFormat="1" spans="6:6">
      <c r="F47283" s="2423"/>
    </row>
    <row r="47284" s="101" customFormat="1" spans="6:6">
      <c r="F47284" s="2423"/>
    </row>
    <row r="47285" s="101" customFormat="1" spans="6:6">
      <c r="F47285" s="2423"/>
    </row>
    <row r="47286" s="101" customFormat="1" spans="6:6">
      <c r="F47286" s="2423"/>
    </row>
    <row r="47287" s="101" customFormat="1" spans="6:6">
      <c r="F47287" s="2423"/>
    </row>
    <row r="47288" s="101" customFormat="1" spans="6:6">
      <c r="F47288" s="2423"/>
    </row>
    <row r="47289" s="101" customFormat="1" spans="6:6">
      <c r="F47289" s="2423"/>
    </row>
    <row r="47290" s="101" customFormat="1" spans="6:6">
      <c r="F47290" s="2423"/>
    </row>
    <row r="47291" s="101" customFormat="1" spans="6:6">
      <c r="F47291" s="2423"/>
    </row>
    <row r="47292" s="101" customFormat="1" spans="6:6">
      <c r="F47292" s="2423"/>
    </row>
    <row r="47293" s="101" customFormat="1" spans="6:6">
      <c r="F47293" s="2423"/>
    </row>
    <row r="47294" s="101" customFormat="1" spans="6:6">
      <c r="F47294" s="2423"/>
    </row>
    <row r="47295" s="101" customFormat="1" spans="6:6">
      <c r="F47295" s="2423"/>
    </row>
    <row r="47296" s="101" customFormat="1" spans="6:6">
      <c r="F47296" s="2423"/>
    </row>
    <row r="47297" s="101" customFormat="1" spans="6:6">
      <c r="F47297" s="2423"/>
    </row>
    <row r="47298" s="101" customFormat="1" spans="6:6">
      <c r="F47298" s="2423"/>
    </row>
    <row r="47299" s="101" customFormat="1" spans="6:6">
      <c r="F47299" s="2423"/>
    </row>
    <row r="47300" s="101" customFormat="1" spans="6:6">
      <c r="F47300" s="2423"/>
    </row>
    <row r="47301" s="101" customFormat="1" spans="6:6">
      <c r="F47301" s="2423"/>
    </row>
    <row r="47302" s="101" customFormat="1" spans="6:6">
      <c r="F47302" s="2423"/>
    </row>
    <row r="47303" s="101" customFormat="1" spans="6:6">
      <c r="F47303" s="2423"/>
    </row>
    <row r="47304" s="101" customFormat="1" spans="6:6">
      <c r="F47304" s="2423"/>
    </row>
    <row r="47305" s="101" customFormat="1" spans="6:6">
      <c r="F47305" s="2423"/>
    </row>
    <row r="47306" s="101" customFormat="1" spans="6:6">
      <c r="F47306" s="2423"/>
    </row>
    <row r="47307" s="101" customFormat="1" spans="6:6">
      <c r="F47307" s="2423"/>
    </row>
    <row r="47308" s="101" customFormat="1" spans="6:6">
      <c r="F47308" s="2423"/>
    </row>
    <row r="47309" s="101" customFormat="1" spans="6:6">
      <c r="F47309" s="2423"/>
    </row>
    <row r="47310" s="101" customFormat="1" spans="6:6">
      <c r="F47310" s="2423"/>
    </row>
    <row r="47311" s="101" customFormat="1" spans="6:6">
      <c r="F47311" s="2423"/>
    </row>
    <row r="47312" s="101" customFormat="1" spans="6:6">
      <c r="F47312" s="2423"/>
    </row>
    <row r="47313" s="101" customFormat="1" spans="6:6">
      <c r="F47313" s="2423"/>
    </row>
    <row r="47314" s="101" customFormat="1" spans="6:6">
      <c r="F47314" s="2423"/>
    </row>
    <row r="47315" s="101" customFormat="1" spans="6:6">
      <c r="F47315" s="2423"/>
    </row>
    <row r="47316" s="101" customFormat="1" spans="6:6">
      <c r="F47316" s="2423"/>
    </row>
    <row r="47317" s="101" customFormat="1" spans="6:6">
      <c r="F47317" s="2423"/>
    </row>
    <row r="47318" s="101" customFormat="1" spans="6:6">
      <c r="F47318" s="2423"/>
    </row>
    <row r="47319" s="101" customFormat="1" spans="6:6">
      <c r="F47319" s="2423"/>
    </row>
    <row r="47320" s="101" customFormat="1" spans="6:6">
      <c r="F47320" s="2423"/>
    </row>
    <row r="47321" s="101" customFormat="1" spans="6:6">
      <c r="F47321" s="2423"/>
    </row>
    <row r="47322" s="101" customFormat="1" spans="6:6">
      <c r="F47322" s="2423"/>
    </row>
    <row r="47323" s="101" customFormat="1" spans="6:6">
      <c r="F47323" s="2423"/>
    </row>
    <row r="47324" s="101" customFormat="1" spans="6:6">
      <c r="F47324" s="2423"/>
    </row>
    <row r="47325" s="101" customFormat="1" spans="6:6">
      <c r="F47325" s="2423"/>
    </row>
    <row r="47326" s="101" customFormat="1" spans="6:6">
      <c r="F47326" s="2423"/>
    </row>
    <row r="47327" s="101" customFormat="1" spans="6:6">
      <c r="F47327" s="2423"/>
    </row>
    <row r="47328" s="101" customFormat="1" spans="6:6">
      <c r="F47328" s="2423"/>
    </row>
    <row r="47329" s="101" customFormat="1" spans="6:6">
      <c r="F47329" s="2423"/>
    </row>
    <row r="47330" s="101" customFormat="1" spans="6:6">
      <c r="F47330" s="2423"/>
    </row>
    <row r="47331" s="101" customFormat="1" spans="6:6">
      <c r="F47331" s="2423"/>
    </row>
    <row r="47332" s="101" customFormat="1" spans="6:6">
      <c r="F47332" s="2423"/>
    </row>
    <row r="47333" s="101" customFormat="1" spans="6:6">
      <c r="F47333" s="2423"/>
    </row>
    <row r="47334" s="101" customFormat="1" spans="6:6">
      <c r="F47334" s="2423"/>
    </row>
    <row r="47335" s="101" customFormat="1" spans="6:6">
      <c r="F47335" s="2423"/>
    </row>
    <row r="47336" s="101" customFormat="1" spans="6:6">
      <c r="F47336" s="2423"/>
    </row>
    <row r="47337" s="101" customFormat="1" spans="6:6">
      <c r="F47337" s="2423"/>
    </row>
    <row r="47338" s="101" customFormat="1" spans="6:6">
      <c r="F47338" s="2423"/>
    </row>
    <row r="47339" s="101" customFormat="1" spans="6:6">
      <c r="F47339" s="2423"/>
    </row>
    <row r="47340" s="101" customFormat="1" spans="6:6">
      <c r="F47340" s="2423"/>
    </row>
    <row r="47341" s="101" customFormat="1" spans="6:6">
      <c r="F47341" s="2423"/>
    </row>
    <row r="47342" s="101" customFormat="1" spans="6:6">
      <c r="F47342" s="2423"/>
    </row>
    <row r="47343" s="101" customFormat="1" spans="6:6">
      <c r="F47343" s="2423"/>
    </row>
    <row r="47344" s="101" customFormat="1" spans="6:6">
      <c r="F47344" s="2423"/>
    </row>
    <row r="47345" s="101" customFormat="1" spans="6:6">
      <c r="F47345" s="2423"/>
    </row>
    <row r="47346" s="101" customFormat="1" spans="6:6">
      <c r="F47346" s="2423"/>
    </row>
    <row r="47347" s="101" customFormat="1" spans="6:6">
      <c r="F47347" s="2423"/>
    </row>
    <row r="47348" s="101" customFormat="1" spans="6:6">
      <c r="F47348" s="2423"/>
    </row>
    <row r="47349" s="101" customFormat="1" spans="6:6">
      <c r="F47349" s="2423"/>
    </row>
    <row r="47350" s="101" customFormat="1" spans="6:6">
      <c r="F47350" s="2423"/>
    </row>
    <row r="47351" s="101" customFormat="1" spans="6:6">
      <c r="F47351" s="2423"/>
    </row>
    <row r="47352" s="101" customFormat="1" spans="6:6">
      <c r="F47352" s="2423"/>
    </row>
    <row r="47353" s="101" customFormat="1" spans="6:6">
      <c r="F47353" s="2423"/>
    </row>
    <row r="47354" s="101" customFormat="1" spans="6:6">
      <c r="F47354" s="2423"/>
    </row>
    <row r="47355" s="101" customFormat="1" spans="6:6">
      <c r="F47355" s="2423"/>
    </row>
    <row r="47356" s="101" customFormat="1" spans="6:6">
      <c r="F47356" s="2423"/>
    </row>
    <row r="47357" s="101" customFormat="1" spans="6:6">
      <c r="F47357" s="2423"/>
    </row>
    <row r="47358" s="101" customFormat="1" spans="6:6">
      <c r="F47358" s="2423"/>
    </row>
    <row r="47359" s="101" customFormat="1" spans="6:6">
      <c r="F47359" s="2423"/>
    </row>
    <row r="47360" s="101" customFormat="1" spans="6:6">
      <c r="F47360" s="2423"/>
    </row>
    <row r="47361" s="101" customFormat="1" spans="6:6">
      <c r="F47361" s="2423"/>
    </row>
    <row r="47362" s="101" customFormat="1" spans="6:6">
      <c r="F47362" s="2423"/>
    </row>
    <row r="47363" s="101" customFormat="1" spans="6:6">
      <c r="F47363" s="2423"/>
    </row>
    <row r="47364" s="101" customFormat="1" spans="6:6">
      <c r="F47364" s="2423"/>
    </row>
    <row r="47365" s="101" customFormat="1" spans="6:6">
      <c r="F47365" s="2423"/>
    </row>
    <row r="47366" s="101" customFormat="1" spans="6:6">
      <c r="F47366" s="2423"/>
    </row>
    <row r="47367" s="101" customFormat="1" spans="6:6">
      <c r="F47367" s="2423"/>
    </row>
    <row r="47368" s="101" customFormat="1" spans="6:6">
      <c r="F47368" s="2423"/>
    </row>
    <row r="47369" s="101" customFormat="1" spans="6:6">
      <c r="F47369" s="2423"/>
    </row>
    <row r="47370" s="101" customFormat="1" spans="6:6">
      <c r="F47370" s="2423"/>
    </row>
    <row r="47371" s="101" customFormat="1" spans="6:6">
      <c r="F47371" s="2423"/>
    </row>
    <row r="47372" s="101" customFormat="1" spans="6:6">
      <c r="F47372" s="2423"/>
    </row>
    <row r="47373" s="101" customFormat="1" spans="6:6">
      <c r="F47373" s="2423"/>
    </row>
    <row r="47374" s="101" customFormat="1" spans="6:6">
      <c r="F47374" s="2423"/>
    </row>
    <row r="47375" s="101" customFormat="1" spans="6:6">
      <c r="F47375" s="2423"/>
    </row>
    <row r="47376" s="101" customFormat="1" spans="6:6">
      <c r="F47376" s="2423"/>
    </row>
    <row r="47377" s="101" customFormat="1" spans="6:6">
      <c r="F47377" s="2423"/>
    </row>
    <row r="47378" s="101" customFormat="1" spans="6:6">
      <c r="F47378" s="2423"/>
    </row>
    <row r="47379" s="101" customFormat="1" spans="6:6">
      <c r="F47379" s="2423"/>
    </row>
    <row r="47380" s="101" customFormat="1" spans="6:6">
      <c r="F47380" s="2423"/>
    </row>
    <row r="47381" s="101" customFormat="1" spans="6:6">
      <c r="F47381" s="2423"/>
    </row>
    <row r="47382" s="101" customFormat="1" spans="6:6">
      <c r="F47382" s="2423"/>
    </row>
    <row r="47383" s="101" customFormat="1" spans="6:6">
      <c r="F47383" s="2423"/>
    </row>
    <row r="47384" s="101" customFormat="1" spans="6:6">
      <c r="F47384" s="2423"/>
    </row>
    <row r="47385" s="101" customFormat="1" spans="6:6">
      <c r="F47385" s="2423"/>
    </row>
    <row r="47386" s="101" customFormat="1" spans="6:6">
      <c r="F47386" s="2423"/>
    </row>
    <row r="47387" s="101" customFormat="1" spans="6:6">
      <c r="F47387" s="2423"/>
    </row>
    <row r="47388" s="101" customFormat="1" spans="6:6">
      <c r="F47388" s="2423"/>
    </row>
    <row r="47389" s="101" customFormat="1" spans="6:6">
      <c r="F47389" s="2423"/>
    </row>
    <row r="47390" s="101" customFormat="1" spans="6:6">
      <c r="F47390" s="2423"/>
    </row>
    <row r="47391" s="101" customFormat="1" spans="6:6">
      <c r="F47391" s="2423"/>
    </row>
    <row r="47392" s="101" customFormat="1" spans="6:6">
      <c r="F47392" s="2423"/>
    </row>
    <row r="47393" s="101" customFormat="1" spans="6:6">
      <c r="F47393" s="2423"/>
    </row>
    <row r="47394" s="101" customFormat="1" spans="6:6">
      <c r="F47394" s="2423"/>
    </row>
    <row r="47395" s="101" customFormat="1" spans="6:6">
      <c r="F47395" s="2423"/>
    </row>
    <row r="47396" s="101" customFormat="1" spans="6:6">
      <c r="F47396" s="2423"/>
    </row>
    <row r="47397" s="101" customFormat="1" spans="6:6">
      <c r="F47397" s="2423"/>
    </row>
    <row r="47398" s="101" customFormat="1" spans="6:6">
      <c r="F47398" s="2423"/>
    </row>
    <row r="47399" s="101" customFormat="1" spans="6:6">
      <c r="F47399" s="2423"/>
    </row>
    <row r="47400" s="101" customFormat="1" spans="6:6">
      <c r="F47400" s="2423"/>
    </row>
    <row r="47401" s="101" customFormat="1" spans="6:6">
      <c r="F47401" s="2423"/>
    </row>
    <row r="47402" s="101" customFormat="1" spans="6:6">
      <c r="F47402" s="2423"/>
    </row>
    <row r="47403" s="101" customFormat="1" spans="6:6">
      <c r="F47403" s="2423"/>
    </row>
    <row r="47404" s="101" customFormat="1" spans="6:6">
      <c r="F47404" s="2423"/>
    </row>
    <row r="47405" s="101" customFormat="1" spans="6:6">
      <c r="F47405" s="2423"/>
    </row>
    <row r="47406" s="101" customFormat="1" spans="6:6">
      <c r="F47406" s="2423"/>
    </row>
    <row r="47407" s="101" customFormat="1" spans="6:6">
      <c r="F47407" s="2423"/>
    </row>
    <row r="47408" s="101" customFormat="1" spans="6:6">
      <c r="F47408" s="2423"/>
    </row>
    <row r="47409" s="101" customFormat="1" spans="6:6">
      <c r="F47409" s="2423"/>
    </row>
    <row r="47410" s="101" customFormat="1" spans="6:6">
      <c r="F47410" s="2423"/>
    </row>
    <row r="47411" s="101" customFormat="1" spans="6:6">
      <c r="F47411" s="2423"/>
    </row>
    <row r="47412" s="101" customFormat="1" spans="6:6">
      <c r="F47412" s="2423"/>
    </row>
    <row r="47413" s="101" customFormat="1" spans="6:6">
      <c r="F47413" s="2423"/>
    </row>
    <row r="47414" s="101" customFormat="1" spans="6:6">
      <c r="F47414" s="2423"/>
    </row>
    <row r="47415" s="101" customFormat="1" spans="6:6">
      <c r="F47415" s="2423"/>
    </row>
    <row r="47416" s="101" customFormat="1" spans="6:6">
      <c r="F47416" s="2423"/>
    </row>
    <row r="47417" s="101" customFormat="1" spans="6:6">
      <c r="F47417" s="2423"/>
    </row>
    <row r="47418" s="101" customFormat="1" spans="6:6">
      <c r="F47418" s="2423"/>
    </row>
    <row r="47419" s="101" customFormat="1" spans="6:6">
      <c r="F47419" s="2423"/>
    </row>
    <row r="47420" s="101" customFormat="1" spans="6:6">
      <c r="F47420" s="2423"/>
    </row>
    <row r="47421" s="101" customFormat="1" spans="6:6">
      <c r="F47421" s="2423"/>
    </row>
    <row r="47422" s="101" customFormat="1" spans="6:6">
      <c r="F47422" s="2423"/>
    </row>
    <row r="47423" s="101" customFormat="1" spans="6:6">
      <c r="F47423" s="2423"/>
    </row>
    <row r="47424" s="101" customFormat="1" spans="6:6">
      <c r="F47424" s="2423"/>
    </row>
    <row r="47425" s="101" customFormat="1" spans="6:6">
      <c r="F47425" s="2423"/>
    </row>
    <row r="47426" s="101" customFormat="1" spans="6:6">
      <c r="F47426" s="2423"/>
    </row>
    <row r="47427" s="101" customFormat="1" spans="6:6">
      <c r="F47427" s="2423"/>
    </row>
    <row r="47428" s="101" customFormat="1" spans="6:6">
      <c r="F47428" s="2423"/>
    </row>
    <row r="47429" s="101" customFormat="1" spans="6:6">
      <c r="F47429" s="2423"/>
    </row>
    <row r="47430" s="101" customFormat="1" spans="6:6">
      <c r="F47430" s="2423"/>
    </row>
    <row r="47431" s="101" customFormat="1" spans="6:6">
      <c r="F47431" s="2423"/>
    </row>
    <row r="47432" s="101" customFormat="1" spans="6:6">
      <c r="F47432" s="2423"/>
    </row>
    <row r="47433" s="101" customFormat="1" spans="6:6">
      <c r="F47433" s="2423"/>
    </row>
    <row r="47434" s="101" customFormat="1" spans="6:6">
      <c r="F47434" s="2423"/>
    </row>
    <row r="47435" s="101" customFormat="1" spans="6:6">
      <c r="F47435" s="2423"/>
    </row>
    <row r="47436" s="101" customFormat="1" spans="6:6">
      <c r="F47436" s="2423"/>
    </row>
    <row r="47437" s="101" customFormat="1" spans="6:6">
      <c r="F47437" s="2423"/>
    </row>
    <row r="47438" s="101" customFormat="1" spans="6:6">
      <c r="F47438" s="2423"/>
    </row>
    <row r="47439" s="101" customFormat="1" spans="6:6">
      <c r="F47439" s="2423"/>
    </row>
    <row r="47440" s="101" customFormat="1" spans="6:6">
      <c r="F47440" s="2423"/>
    </row>
    <row r="47441" s="101" customFormat="1" spans="6:6">
      <c r="F47441" s="2423"/>
    </row>
    <row r="47442" s="101" customFormat="1" spans="6:6">
      <c r="F47442" s="2423"/>
    </row>
    <row r="47443" s="101" customFormat="1" spans="6:6">
      <c r="F47443" s="2423"/>
    </row>
    <row r="47444" s="101" customFormat="1" spans="6:6">
      <c r="F47444" s="2423"/>
    </row>
    <row r="47445" s="101" customFormat="1" spans="6:6">
      <c r="F47445" s="2423"/>
    </row>
    <row r="47446" s="101" customFormat="1" spans="6:6">
      <c r="F47446" s="2423"/>
    </row>
    <row r="47447" s="101" customFormat="1" spans="6:6">
      <c r="F47447" s="2423"/>
    </row>
    <row r="47448" s="101" customFormat="1" spans="6:6">
      <c r="F47448" s="2423"/>
    </row>
    <row r="47449" s="101" customFormat="1" spans="6:6">
      <c r="F47449" s="2423"/>
    </row>
    <row r="47450" s="101" customFormat="1" spans="6:6">
      <c r="F47450" s="2423"/>
    </row>
    <row r="47451" s="101" customFormat="1" spans="6:6">
      <c r="F47451" s="2423"/>
    </row>
    <row r="47452" s="101" customFormat="1" spans="6:6">
      <c r="F47452" s="2423"/>
    </row>
    <row r="47453" s="101" customFormat="1" spans="6:6">
      <c r="F47453" s="2423"/>
    </row>
    <row r="47454" s="101" customFormat="1" spans="6:6">
      <c r="F47454" s="2423"/>
    </row>
    <row r="47455" s="101" customFormat="1" spans="6:6">
      <c r="F47455" s="2423"/>
    </row>
    <row r="47456" s="101" customFormat="1" spans="6:6">
      <c r="F47456" s="2423"/>
    </row>
    <row r="47457" s="101" customFormat="1" spans="6:6">
      <c r="F47457" s="2423"/>
    </row>
    <row r="47458" s="101" customFormat="1" spans="6:6">
      <c r="F47458" s="2423"/>
    </row>
    <row r="47459" s="101" customFormat="1" spans="6:6">
      <c r="F47459" s="2423"/>
    </row>
    <row r="47460" s="101" customFormat="1" spans="6:6">
      <c r="F47460" s="2423"/>
    </row>
    <row r="47461" s="101" customFormat="1" spans="6:6">
      <c r="F47461" s="2423"/>
    </row>
    <row r="47462" s="101" customFormat="1" spans="6:6">
      <c r="F47462" s="2423"/>
    </row>
    <row r="47463" s="101" customFormat="1" spans="6:6">
      <c r="F47463" s="2423"/>
    </row>
    <row r="47464" s="101" customFormat="1" spans="6:6">
      <c r="F47464" s="2423"/>
    </row>
    <row r="47465" s="101" customFormat="1" spans="6:6">
      <c r="F47465" s="2423"/>
    </row>
    <row r="47466" s="101" customFormat="1" spans="6:6">
      <c r="F47466" s="2423"/>
    </row>
    <row r="47467" s="101" customFormat="1" spans="6:6">
      <c r="F47467" s="2423"/>
    </row>
    <row r="47468" s="101" customFormat="1" spans="6:6">
      <c r="F47468" s="2423"/>
    </row>
    <row r="47469" s="101" customFormat="1" spans="6:6">
      <c r="F47469" s="2423"/>
    </row>
    <row r="47470" s="101" customFormat="1" spans="6:6">
      <c r="F47470" s="2423"/>
    </row>
    <row r="47471" s="101" customFormat="1" spans="6:6">
      <c r="F47471" s="2423"/>
    </row>
    <row r="47472" s="101" customFormat="1" spans="6:6">
      <c r="F47472" s="2423"/>
    </row>
    <row r="47473" s="101" customFormat="1" spans="6:6">
      <c r="F47473" s="2423"/>
    </row>
    <row r="47474" s="101" customFormat="1" spans="6:6">
      <c r="F47474" s="2423"/>
    </row>
    <row r="47475" s="101" customFormat="1" spans="6:6">
      <c r="F47475" s="2423"/>
    </row>
    <row r="47476" s="101" customFormat="1" spans="6:6">
      <c r="F47476" s="2423"/>
    </row>
    <row r="47477" s="101" customFormat="1" spans="6:6">
      <c r="F47477" s="2423"/>
    </row>
    <row r="47478" s="101" customFormat="1" spans="6:6">
      <c r="F47478" s="2423"/>
    </row>
    <row r="47479" s="101" customFormat="1" spans="6:6">
      <c r="F47479" s="2423"/>
    </row>
    <row r="47480" s="101" customFormat="1" spans="6:6">
      <c r="F47480" s="2423"/>
    </row>
    <row r="47481" s="101" customFormat="1" spans="6:6">
      <c r="F47481" s="2423"/>
    </row>
    <row r="47482" s="101" customFormat="1" spans="6:6">
      <c r="F47482" s="2423"/>
    </row>
    <row r="47483" s="101" customFormat="1" spans="6:6">
      <c r="F47483" s="2423"/>
    </row>
    <row r="47484" s="101" customFormat="1" spans="6:6">
      <c r="F47484" s="2423"/>
    </row>
    <row r="47485" s="101" customFormat="1" spans="6:6">
      <c r="F47485" s="2423"/>
    </row>
    <row r="47486" s="101" customFormat="1" spans="6:6">
      <c r="F47486" s="2423"/>
    </row>
    <row r="47487" s="101" customFormat="1" spans="6:6">
      <c r="F47487" s="2423"/>
    </row>
    <row r="47488" s="101" customFormat="1" spans="6:6">
      <c r="F47488" s="2423"/>
    </row>
    <row r="47489" s="101" customFormat="1" spans="6:6">
      <c r="F47489" s="2423"/>
    </row>
    <row r="47490" s="101" customFormat="1" spans="6:6">
      <c r="F47490" s="2423"/>
    </row>
    <row r="47491" s="101" customFormat="1" spans="6:6">
      <c r="F47491" s="2423"/>
    </row>
    <row r="47492" s="101" customFormat="1" spans="6:6">
      <c r="F47492" s="2423"/>
    </row>
    <row r="47493" s="101" customFormat="1" spans="6:6">
      <c r="F47493" s="2423"/>
    </row>
    <row r="47494" s="101" customFormat="1" spans="6:6">
      <c r="F47494" s="2423"/>
    </row>
    <row r="47495" s="101" customFormat="1" spans="6:6">
      <c r="F47495" s="2423"/>
    </row>
    <row r="47496" s="101" customFormat="1" spans="6:6">
      <c r="F47496" s="2423"/>
    </row>
    <row r="47497" s="101" customFormat="1" spans="6:6">
      <c r="F47497" s="2423"/>
    </row>
    <row r="47498" s="101" customFormat="1" spans="6:6">
      <c r="F47498" s="2423"/>
    </row>
    <row r="47499" s="101" customFormat="1" spans="6:6">
      <c r="F47499" s="2423"/>
    </row>
    <row r="47500" s="101" customFormat="1" spans="6:6">
      <c r="F47500" s="2423"/>
    </row>
    <row r="47501" s="101" customFormat="1" spans="6:6">
      <c r="F47501" s="2423"/>
    </row>
    <row r="47502" s="101" customFormat="1" spans="6:6">
      <c r="F47502" s="2423"/>
    </row>
    <row r="47503" s="101" customFormat="1" spans="6:6">
      <c r="F47503" s="2423"/>
    </row>
    <row r="47504" s="101" customFormat="1" spans="6:6">
      <c r="F47504" s="2423"/>
    </row>
    <row r="47505" s="101" customFormat="1" spans="6:6">
      <c r="F47505" s="2423"/>
    </row>
    <row r="47506" s="101" customFormat="1" spans="6:6">
      <c r="F47506" s="2423"/>
    </row>
    <row r="47507" s="101" customFormat="1" spans="6:6">
      <c r="F47507" s="2423"/>
    </row>
    <row r="47508" s="101" customFormat="1" spans="6:6">
      <c r="F47508" s="2423"/>
    </row>
    <row r="47509" s="101" customFormat="1" spans="6:6">
      <c r="F47509" s="2423"/>
    </row>
    <row r="47510" s="101" customFormat="1" spans="6:6">
      <c r="F47510" s="2423"/>
    </row>
    <row r="47511" s="101" customFormat="1" spans="6:6">
      <c r="F47511" s="2423"/>
    </row>
    <row r="47512" s="101" customFormat="1" spans="6:6">
      <c r="F47512" s="2423"/>
    </row>
    <row r="47513" s="101" customFormat="1" spans="6:6">
      <c r="F47513" s="2423"/>
    </row>
    <row r="47514" s="101" customFormat="1" spans="6:6">
      <c r="F47514" s="2423"/>
    </row>
    <row r="47515" s="101" customFormat="1" spans="6:6">
      <c r="F47515" s="2423"/>
    </row>
    <row r="47516" s="101" customFormat="1" spans="6:6">
      <c r="F47516" s="2423"/>
    </row>
    <row r="47517" s="101" customFormat="1" spans="6:6">
      <c r="F47517" s="2423"/>
    </row>
    <row r="47518" s="101" customFormat="1" spans="6:6">
      <c r="F47518" s="2423"/>
    </row>
    <row r="47519" s="101" customFormat="1" spans="6:6">
      <c r="F47519" s="2423"/>
    </row>
    <row r="47520" s="101" customFormat="1" spans="6:6">
      <c r="F47520" s="2423"/>
    </row>
    <row r="47521" s="101" customFormat="1" spans="6:6">
      <c r="F47521" s="2423"/>
    </row>
    <row r="47522" s="101" customFormat="1" spans="6:6">
      <c r="F47522" s="2423"/>
    </row>
    <row r="47523" s="101" customFormat="1" spans="6:6">
      <c r="F47523" s="2423"/>
    </row>
    <row r="47524" s="101" customFormat="1" spans="6:6">
      <c r="F47524" s="2423"/>
    </row>
    <row r="47525" s="101" customFormat="1" spans="6:6">
      <c r="F47525" s="2423"/>
    </row>
    <row r="47526" s="101" customFormat="1" spans="6:6">
      <c r="F47526" s="2423"/>
    </row>
    <row r="47527" s="101" customFormat="1" spans="6:6">
      <c r="F47527" s="2423"/>
    </row>
    <row r="47528" s="101" customFormat="1" spans="6:6">
      <c r="F47528" s="2423"/>
    </row>
    <row r="47529" s="101" customFormat="1" spans="6:6">
      <c r="F47529" s="2423"/>
    </row>
    <row r="47530" s="101" customFormat="1" spans="6:6">
      <c r="F47530" s="2423"/>
    </row>
    <row r="47531" s="101" customFormat="1" spans="6:6">
      <c r="F47531" s="2423"/>
    </row>
    <row r="47532" s="101" customFormat="1" spans="6:6">
      <c r="F47532" s="2423"/>
    </row>
    <row r="47533" s="101" customFormat="1" spans="6:6">
      <c r="F47533" s="2423"/>
    </row>
    <row r="47534" s="101" customFormat="1" spans="6:6">
      <c r="F47534" s="2423"/>
    </row>
    <row r="47535" s="101" customFormat="1" spans="6:6">
      <c r="F47535" s="2423"/>
    </row>
    <row r="47536" s="101" customFormat="1" spans="6:6">
      <c r="F47536" s="2423"/>
    </row>
    <row r="47537" s="101" customFormat="1" spans="6:6">
      <c r="F47537" s="2423"/>
    </row>
    <row r="47538" s="101" customFormat="1" spans="6:6">
      <c r="F47538" s="2423"/>
    </row>
    <row r="47539" s="101" customFormat="1" spans="6:6">
      <c r="F47539" s="2423"/>
    </row>
    <row r="47540" s="101" customFormat="1" spans="6:6">
      <c r="F47540" s="2423"/>
    </row>
    <row r="47541" s="101" customFormat="1" spans="6:6">
      <c r="F47541" s="2423"/>
    </row>
    <row r="47542" s="101" customFormat="1" spans="6:6">
      <c r="F47542" s="2423"/>
    </row>
    <row r="47543" s="101" customFormat="1" spans="6:6">
      <c r="F47543" s="2423"/>
    </row>
    <row r="47544" s="101" customFormat="1" spans="6:6">
      <c r="F47544" s="2423"/>
    </row>
    <row r="47545" s="101" customFormat="1" spans="6:6">
      <c r="F47545" s="2423"/>
    </row>
    <row r="47546" s="101" customFormat="1" spans="6:6">
      <c r="F47546" s="2423"/>
    </row>
    <row r="47547" s="101" customFormat="1" spans="6:6">
      <c r="F47547" s="2423"/>
    </row>
    <row r="47548" s="101" customFormat="1" spans="6:6">
      <c r="F47548" s="2423"/>
    </row>
    <row r="47549" s="101" customFormat="1" spans="6:6">
      <c r="F47549" s="2423"/>
    </row>
    <row r="47550" s="101" customFormat="1" spans="6:6">
      <c r="F47550" s="2423"/>
    </row>
    <row r="47551" s="101" customFormat="1" spans="6:6">
      <c r="F47551" s="2423"/>
    </row>
    <row r="47552" s="101" customFormat="1" spans="6:6">
      <c r="F47552" s="2423"/>
    </row>
    <row r="47553" s="101" customFormat="1" spans="6:6">
      <c r="F47553" s="2423"/>
    </row>
    <row r="47554" s="101" customFormat="1" spans="6:6">
      <c r="F47554" s="2423"/>
    </row>
    <row r="47555" s="101" customFormat="1" spans="6:6">
      <c r="F47555" s="2423"/>
    </row>
    <row r="47556" s="101" customFormat="1" spans="6:6">
      <c r="F47556" s="2423"/>
    </row>
    <row r="47557" s="101" customFormat="1" spans="6:6">
      <c r="F47557" s="2423"/>
    </row>
    <row r="47558" s="101" customFormat="1" spans="6:6">
      <c r="F47558" s="2423"/>
    </row>
    <row r="47559" s="101" customFormat="1" spans="6:6">
      <c r="F47559" s="2423"/>
    </row>
    <row r="47560" s="101" customFormat="1" spans="6:6">
      <c r="F47560" s="2423"/>
    </row>
    <row r="47561" s="101" customFormat="1" spans="6:6">
      <c r="F47561" s="2423"/>
    </row>
    <row r="47562" s="101" customFormat="1" spans="6:6">
      <c r="F47562" s="2423"/>
    </row>
    <row r="47563" s="101" customFormat="1" spans="6:6">
      <c r="F47563" s="2423"/>
    </row>
    <row r="47564" s="101" customFormat="1" spans="6:6">
      <c r="F47564" s="2423"/>
    </row>
    <row r="47565" s="101" customFormat="1" spans="6:6">
      <c r="F47565" s="2423"/>
    </row>
    <row r="47566" s="101" customFormat="1" spans="6:6">
      <c r="F47566" s="2423"/>
    </row>
    <row r="47567" s="101" customFormat="1" spans="6:6">
      <c r="F47567" s="2423"/>
    </row>
    <row r="47568" s="101" customFormat="1" spans="6:6">
      <c r="F47568" s="2423"/>
    </row>
    <row r="47569" s="101" customFormat="1" spans="6:6">
      <c r="F47569" s="2423"/>
    </row>
    <row r="47570" s="101" customFormat="1" spans="6:6">
      <c r="F47570" s="2423"/>
    </row>
    <row r="47571" s="101" customFormat="1" spans="6:6">
      <c r="F47571" s="2423"/>
    </row>
    <row r="47572" s="101" customFormat="1" spans="6:6">
      <c r="F47572" s="2423"/>
    </row>
    <row r="47573" s="101" customFormat="1" spans="6:6">
      <c r="F47573" s="2423"/>
    </row>
    <row r="47574" s="101" customFormat="1" spans="6:6">
      <c r="F47574" s="2423"/>
    </row>
    <row r="47575" s="101" customFormat="1" spans="6:6">
      <c r="F47575" s="2423"/>
    </row>
    <row r="47576" s="101" customFormat="1" spans="6:6">
      <c r="F47576" s="2423"/>
    </row>
    <row r="47577" s="101" customFormat="1" spans="6:6">
      <c r="F47577" s="2423"/>
    </row>
    <row r="47578" s="101" customFormat="1" spans="6:6">
      <c r="F47578" s="2423"/>
    </row>
    <row r="47579" s="101" customFormat="1" spans="6:6">
      <c r="F47579" s="2423"/>
    </row>
    <row r="47580" s="101" customFormat="1" spans="6:6">
      <c r="F47580" s="2423"/>
    </row>
    <row r="47581" s="101" customFormat="1" spans="6:6">
      <c r="F47581" s="2423"/>
    </row>
    <row r="47582" s="101" customFormat="1" spans="6:6">
      <c r="F47582" s="2423"/>
    </row>
    <row r="47583" s="101" customFormat="1" spans="6:6">
      <c r="F47583" s="2423"/>
    </row>
    <row r="47584" s="101" customFormat="1" spans="6:6">
      <c r="F47584" s="2423"/>
    </row>
    <row r="47585" s="101" customFormat="1" spans="6:6">
      <c r="F47585" s="2423"/>
    </row>
    <row r="47586" s="101" customFormat="1" spans="6:6">
      <c r="F47586" s="2423"/>
    </row>
    <row r="47587" s="101" customFormat="1" spans="6:6">
      <c r="F47587" s="2423"/>
    </row>
    <row r="47588" s="101" customFormat="1" spans="6:6">
      <c r="F47588" s="2423"/>
    </row>
    <row r="47589" s="101" customFormat="1" spans="6:6">
      <c r="F47589" s="2423"/>
    </row>
    <row r="47590" s="101" customFormat="1" spans="6:6">
      <c r="F47590" s="2423"/>
    </row>
    <row r="47591" s="101" customFormat="1" spans="6:6">
      <c r="F47591" s="2423"/>
    </row>
    <row r="47592" s="101" customFormat="1" spans="6:6">
      <c r="F47592" s="2423"/>
    </row>
    <row r="47593" s="101" customFormat="1" spans="6:6">
      <c r="F47593" s="2423"/>
    </row>
    <row r="47594" s="101" customFormat="1" spans="6:6">
      <c r="F47594" s="2423"/>
    </row>
    <row r="47595" s="101" customFormat="1" spans="6:6">
      <c r="F47595" s="2423"/>
    </row>
    <row r="47596" s="101" customFormat="1" spans="6:6">
      <c r="F47596" s="2423"/>
    </row>
    <row r="47597" s="101" customFormat="1" spans="6:6">
      <c r="F47597" s="2423"/>
    </row>
    <row r="47598" s="101" customFormat="1" spans="6:6">
      <c r="F47598" s="2423"/>
    </row>
    <row r="47599" s="101" customFormat="1" spans="6:6">
      <c r="F47599" s="2423"/>
    </row>
    <row r="47600" s="101" customFormat="1" spans="6:6">
      <c r="F47600" s="2423"/>
    </row>
    <row r="47601" s="101" customFormat="1" spans="6:6">
      <c r="F47601" s="2423"/>
    </row>
    <row r="47602" s="101" customFormat="1" spans="6:6">
      <c r="F47602" s="2423"/>
    </row>
    <row r="47603" s="101" customFormat="1" spans="6:6">
      <c r="F47603" s="2423"/>
    </row>
    <row r="47604" s="101" customFormat="1" spans="6:6">
      <c r="F47604" s="2423"/>
    </row>
    <row r="47605" s="101" customFormat="1" spans="6:6">
      <c r="F47605" s="2423"/>
    </row>
    <row r="47606" s="101" customFormat="1" spans="6:6">
      <c r="F47606" s="2423"/>
    </row>
    <row r="47607" s="101" customFormat="1" spans="6:6">
      <c r="F47607" s="2423"/>
    </row>
    <row r="47608" s="101" customFormat="1" spans="6:6">
      <c r="F47608" s="2423"/>
    </row>
    <row r="47609" s="101" customFormat="1" spans="6:6">
      <c r="F47609" s="2423"/>
    </row>
    <row r="47610" s="101" customFormat="1" spans="6:6">
      <c r="F47610" s="2423"/>
    </row>
    <row r="47611" s="101" customFormat="1" spans="6:6">
      <c r="F47611" s="2423"/>
    </row>
    <row r="47612" s="101" customFormat="1" spans="6:6">
      <c r="F47612" s="2423"/>
    </row>
    <row r="47613" s="101" customFormat="1" spans="6:6">
      <c r="F47613" s="2423"/>
    </row>
    <row r="47614" s="101" customFormat="1" spans="6:6">
      <c r="F47614" s="2423"/>
    </row>
    <row r="47615" s="101" customFormat="1" spans="6:6">
      <c r="F47615" s="2423"/>
    </row>
    <row r="47616" s="101" customFormat="1" spans="6:6">
      <c r="F47616" s="2423"/>
    </row>
    <row r="47617" s="101" customFormat="1" spans="6:6">
      <c r="F47617" s="2423"/>
    </row>
    <row r="47618" s="101" customFormat="1" spans="6:6">
      <c r="F47618" s="2423"/>
    </row>
    <row r="47619" s="101" customFormat="1" spans="6:6">
      <c r="F47619" s="2423"/>
    </row>
    <row r="47620" s="101" customFormat="1" spans="6:6">
      <c r="F47620" s="2423"/>
    </row>
    <row r="47621" s="101" customFormat="1" spans="6:6">
      <c r="F47621" s="2423"/>
    </row>
    <row r="47622" s="101" customFormat="1" spans="6:6">
      <c r="F47622" s="2423"/>
    </row>
    <row r="47623" s="101" customFormat="1" spans="6:6">
      <c r="F47623" s="2423"/>
    </row>
    <row r="47624" s="101" customFormat="1" spans="6:6">
      <c r="F47624" s="2423"/>
    </row>
    <row r="47625" s="101" customFormat="1" spans="6:6">
      <c r="F47625" s="2423"/>
    </row>
    <row r="47626" s="101" customFormat="1" spans="6:6">
      <c r="F47626" s="2423"/>
    </row>
    <row r="47627" s="101" customFormat="1" spans="6:6">
      <c r="F47627" s="2423"/>
    </row>
    <row r="47628" s="101" customFormat="1" spans="6:6">
      <c r="F47628" s="2423"/>
    </row>
    <row r="47629" s="101" customFormat="1" spans="6:6">
      <c r="F47629" s="2423"/>
    </row>
    <row r="47630" s="101" customFormat="1" spans="6:6">
      <c r="F47630" s="2423"/>
    </row>
    <row r="47631" s="101" customFormat="1" spans="6:6">
      <c r="F47631" s="2423"/>
    </row>
    <row r="47632" s="101" customFormat="1" spans="6:6">
      <c r="F47632" s="2423"/>
    </row>
    <row r="47633" s="101" customFormat="1" spans="6:6">
      <c r="F47633" s="2423"/>
    </row>
    <row r="47634" s="101" customFormat="1" spans="6:6">
      <c r="F47634" s="2423"/>
    </row>
    <row r="47635" s="101" customFormat="1" spans="6:6">
      <c r="F47635" s="2423"/>
    </row>
    <row r="47636" s="101" customFormat="1" spans="6:6">
      <c r="F47636" s="2423"/>
    </row>
    <row r="47637" s="101" customFormat="1" spans="6:6">
      <c r="F47637" s="2423"/>
    </row>
    <row r="47638" s="101" customFormat="1" spans="6:6">
      <c r="F47638" s="2423"/>
    </row>
    <row r="47639" s="101" customFormat="1" spans="6:6">
      <c r="F47639" s="2423"/>
    </row>
    <row r="47640" s="101" customFormat="1" spans="6:6">
      <c r="F47640" s="2423"/>
    </row>
    <row r="47641" s="101" customFormat="1" spans="6:6">
      <c r="F47641" s="2423"/>
    </row>
    <row r="47642" s="101" customFormat="1" spans="6:6">
      <c r="F47642" s="2423"/>
    </row>
    <row r="47643" s="101" customFormat="1" spans="6:6">
      <c r="F47643" s="2423"/>
    </row>
    <row r="47644" s="101" customFormat="1" spans="6:6">
      <c r="F47644" s="2423"/>
    </row>
    <row r="47645" s="101" customFormat="1" spans="6:6">
      <c r="F47645" s="2423"/>
    </row>
    <row r="47646" s="101" customFormat="1" spans="6:6">
      <c r="F47646" s="2423"/>
    </row>
    <row r="47647" s="101" customFormat="1" spans="6:6">
      <c r="F47647" s="2423"/>
    </row>
    <row r="47648" s="101" customFormat="1" spans="6:6">
      <c r="F47648" s="2423"/>
    </row>
    <row r="47649" s="101" customFormat="1" spans="6:6">
      <c r="F47649" s="2423"/>
    </row>
    <row r="47650" s="101" customFormat="1" spans="6:6">
      <c r="F47650" s="2423"/>
    </row>
    <row r="47651" s="101" customFormat="1" spans="6:6">
      <c r="F47651" s="2423"/>
    </row>
    <row r="47652" s="101" customFormat="1" spans="6:6">
      <c r="F47652" s="2423"/>
    </row>
    <row r="47653" s="101" customFormat="1" spans="6:6">
      <c r="F47653" s="2423"/>
    </row>
    <row r="47654" s="101" customFormat="1" spans="6:6">
      <c r="F47654" s="2423"/>
    </row>
    <row r="47655" s="101" customFormat="1" spans="6:6">
      <c r="F47655" s="2423"/>
    </row>
    <row r="47656" s="101" customFormat="1" spans="6:6">
      <c r="F47656" s="2423"/>
    </row>
    <row r="47657" s="101" customFormat="1" spans="6:6">
      <c r="F47657" s="2423"/>
    </row>
    <row r="47658" s="101" customFormat="1" spans="6:6">
      <c r="F47658" s="2423"/>
    </row>
    <row r="47659" s="101" customFormat="1" spans="6:6">
      <c r="F47659" s="2423"/>
    </row>
    <row r="47660" s="101" customFormat="1" spans="6:6">
      <c r="F47660" s="2423"/>
    </row>
    <row r="47661" s="101" customFormat="1" spans="6:6">
      <c r="F47661" s="2423"/>
    </row>
    <row r="47662" s="101" customFormat="1" spans="6:6">
      <c r="F47662" s="2423"/>
    </row>
    <row r="47663" s="101" customFormat="1" spans="6:6">
      <c r="F47663" s="2423"/>
    </row>
    <row r="47664" s="101" customFormat="1" spans="6:6">
      <c r="F47664" s="2423"/>
    </row>
    <row r="47665" s="101" customFormat="1" spans="6:6">
      <c r="F47665" s="2423"/>
    </row>
    <row r="47666" s="101" customFormat="1" spans="6:6">
      <c r="F47666" s="2423"/>
    </row>
    <row r="47667" s="101" customFormat="1" spans="6:6">
      <c r="F47667" s="2423"/>
    </row>
    <row r="47668" s="101" customFormat="1" spans="6:6">
      <c r="F47668" s="2423"/>
    </row>
    <row r="47669" s="101" customFormat="1" spans="6:6">
      <c r="F47669" s="2423"/>
    </row>
    <row r="47670" s="101" customFormat="1" spans="6:6">
      <c r="F47670" s="2423"/>
    </row>
    <row r="47671" s="101" customFormat="1" spans="6:6">
      <c r="F47671" s="2423"/>
    </row>
    <row r="47672" s="101" customFormat="1" spans="6:6">
      <c r="F47672" s="2423"/>
    </row>
    <row r="47673" s="101" customFormat="1" spans="6:6">
      <c r="F47673" s="2423"/>
    </row>
    <row r="47674" s="101" customFormat="1" spans="6:6">
      <c r="F47674" s="2423"/>
    </row>
    <row r="47675" s="101" customFormat="1" spans="6:6">
      <c r="F47675" s="2423"/>
    </row>
    <row r="47676" s="101" customFormat="1" spans="6:6">
      <c r="F47676" s="2423"/>
    </row>
    <row r="47677" s="101" customFormat="1" spans="6:6">
      <c r="F47677" s="2423"/>
    </row>
    <row r="47678" s="101" customFormat="1" spans="6:6">
      <c r="F47678" s="2423"/>
    </row>
    <row r="47679" s="101" customFormat="1" spans="6:6">
      <c r="F47679" s="2423"/>
    </row>
    <row r="47680" s="101" customFormat="1" spans="6:6">
      <c r="F47680" s="2423"/>
    </row>
    <row r="47681" s="101" customFormat="1" spans="6:6">
      <c r="F47681" s="2423"/>
    </row>
    <row r="47682" s="101" customFormat="1" spans="6:6">
      <c r="F47682" s="2423"/>
    </row>
    <row r="47683" s="101" customFormat="1" spans="6:6">
      <c r="F47683" s="2423"/>
    </row>
    <row r="47684" s="101" customFormat="1" spans="6:6">
      <c r="F47684" s="2423"/>
    </row>
    <row r="47685" s="101" customFormat="1" spans="6:6">
      <c r="F47685" s="2423"/>
    </row>
    <row r="47686" s="101" customFormat="1" spans="6:6">
      <c r="F47686" s="2423"/>
    </row>
    <row r="47687" s="101" customFormat="1" spans="6:6">
      <c r="F47687" s="2423"/>
    </row>
    <row r="47688" s="101" customFormat="1" spans="6:6">
      <c r="F47688" s="2423"/>
    </row>
    <row r="47689" s="101" customFormat="1" spans="6:6">
      <c r="F47689" s="2423"/>
    </row>
    <row r="47690" s="101" customFormat="1" spans="6:6">
      <c r="F47690" s="2423"/>
    </row>
    <row r="47691" s="101" customFormat="1" spans="6:6">
      <c r="F47691" s="2423"/>
    </row>
    <row r="47692" s="101" customFormat="1" spans="6:6">
      <c r="F47692" s="2423"/>
    </row>
    <row r="47693" s="101" customFormat="1" spans="6:6">
      <c r="F47693" s="2423"/>
    </row>
    <row r="47694" s="101" customFormat="1" spans="6:6">
      <c r="F47694" s="2423"/>
    </row>
    <row r="47695" s="101" customFormat="1" spans="6:6">
      <c r="F47695" s="2423"/>
    </row>
    <row r="47696" s="101" customFormat="1" spans="6:6">
      <c r="F47696" s="2423"/>
    </row>
    <row r="47697" s="101" customFormat="1" spans="6:6">
      <c r="F47697" s="2423"/>
    </row>
    <row r="47698" s="101" customFormat="1" spans="6:6">
      <c r="F47698" s="2423"/>
    </row>
    <row r="47699" s="101" customFormat="1" spans="6:6">
      <c r="F47699" s="2423"/>
    </row>
    <row r="47700" s="101" customFormat="1" spans="6:6">
      <c r="F47700" s="2423"/>
    </row>
    <row r="47701" s="101" customFormat="1" spans="6:6">
      <c r="F47701" s="2423"/>
    </row>
    <row r="47702" s="101" customFormat="1" spans="6:6">
      <c r="F47702" s="2423"/>
    </row>
    <row r="47703" s="101" customFormat="1" spans="6:6">
      <c r="F47703" s="2423"/>
    </row>
    <row r="47704" s="101" customFormat="1" spans="6:6">
      <c r="F47704" s="2423"/>
    </row>
    <row r="47705" s="101" customFormat="1" spans="6:6">
      <c r="F47705" s="2423"/>
    </row>
    <row r="47706" s="101" customFormat="1" spans="6:6">
      <c r="F47706" s="2423"/>
    </row>
    <row r="47707" s="101" customFormat="1" spans="6:6">
      <c r="F47707" s="2423"/>
    </row>
    <row r="47708" s="101" customFormat="1" spans="6:6">
      <c r="F47708" s="2423"/>
    </row>
    <row r="47709" s="101" customFormat="1" spans="6:6">
      <c r="F47709" s="2423"/>
    </row>
    <row r="47710" s="101" customFormat="1" spans="6:6">
      <c r="F47710" s="2423"/>
    </row>
    <row r="47711" s="101" customFormat="1" spans="6:6">
      <c r="F47711" s="2423"/>
    </row>
    <row r="47712" s="101" customFormat="1" spans="6:6">
      <c r="F47712" s="2423"/>
    </row>
    <row r="47713" s="101" customFormat="1" spans="6:6">
      <c r="F47713" s="2423"/>
    </row>
    <row r="47714" s="101" customFormat="1" spans="6:6">
      <c r="F47714" s="2423"/>
    </row>
    <row r="47715" s="101" customFormat="1" spans="6:6">
      <c r="F47715" s="2423"/>
    </row>
    <row r="47716" s="101" customFormat="1" spans="6:6">
      <c r="F47716" s="2423"/>
    </row>
    <row r="47717" s="101" customFormat="1" spans="6:6">
      <c r="F47717" s="2423"/>
    </row>
    <row r="47718" s="101" customFormat="1" spans="6:6">
      <c r="F47718" s="2423"/>
    </row>
    <row r="47719" s="101" customFormat="1" spans="6:6">
      <c r="F47719" s="2423"/>
    </row>
    <row r="47720" s="101" customFormat="1" spans="6:6">
      <c r="F47720" s="2423"/>
    </row>
    <row r="47721" s="101" customFormat="1" spans="6:6">
      <c r="F47721" s="2423"/>
    </row>
    <row r="47722" s="101" customFormat="1" spans="6:6">
      <c r="F47722" s="2423"/>
    </row>
    <row r="47723" s="101" customFormat="1" spans="6:6">
      <c r="F47723" s="2423"/>
    </row>
    <row r="47724" s="101" customFormat="1" spans="6:6">
      <c r="F47724" s="2423"/>
    </row>
    <row r="47725" s="101" customFormat="1" spans="6:6">
      <c r="F47725" s="2423"/>
    </row>
    <row r="47726" s="101" customFormat="1" spans="6:6">
      <c r="F47726" s="2423"/>
    </row>
    <row r="47727" s="101" customFormat="1" spans="6:6">
      <c r="F47727" s="2423"/>
    </row>
    <row r="47728" s="101" customFormat="1" spans="6:6">
      <c r="F47728" s="2423"/>
    </row>
    <row r="47729" s="101" customFormat="1" spans="6:6">
      <c r="F47729" s="2423"/>
    </row>
    <row r="47730" s="101" customFormat="1" spans="6:6">
      <c r="F47730" s="2423"/>
    </row>
    <row r="47731" s="101" customFormat="1" spans="6:6">
      <c r="F47731" s="2423"/>
    </row>
    <row r="47732" s="101" customFormat="1" spans="6:6">
      <c r="F47732" s="2423"/>
    </row>
    <row r="47733" s="101" customFormat="1" spans="6:6">
      <c r="F47733" s="2423"/>
    </row>
    <row r="47734" s="101" customFormat="1" spans="6:6">
      <c r="F47734" s="2423"/>
    </row>
    <row r="47735" s="101" customFormat="1" spans="6:6">
      <c r="F47735" s="2423"/>
    </row>
    <row r="47736" s="101" customFormat="1" spans="6:6">
      <c r="F47736" s="2423"/>
    </row>
    <row r="47737" s="101" customFormat="1" spans="6:6">
      <c r="F47737" s="2423"/>
    </row>
    <row r="47738" s="101" customFormat="1" spans="6:6">
      <c r="F47738" s="2423"/>
    </row>
    <row r="47739" s="101" customFormat="1" spans="6:6">
      <c r="F47739" s="2423"/>
    </row>
    <row r="47740" s="101" customFormat="1" spans="6:6">
      <c r="F47740" s="2423"/>
    </row>
    <row r="47741" s="101" customFormat="1" spans="6:6">
      <c r="F47741" s="2423"/>
    </row>
    <row r="47742" s="101" customFormat="1" spans="6:6">
      <c r="F47742" s="2423"/>
    </row>
    <row r="47743" s="101" customFormat="1" spans="6:6">
      <c r="F47743" s="2423"/>
    </row>
    <row r="47744" s="101" customFormat="1" spans="6:6">
      <c r="F47744" s="2423"/>
    </row>
    <row r="47745" s="101" customFormat="1" spans="6:6">
      <c r="F47745" s="2423"/>
    </row>
    <row r="47746" s="101" customFormat="1" spans="6:6">
      <c r="F47746" s="2423"/>
    </row>
    <row r="47747" s="101" customFormat="1" spans="6:6">
      <c r="F47747" s="2423"/>
    </row>
    <row r="47748" s="101" customFormat="1" spans="6:6">
      <c r="F47748" s="2423"/>
    </row>
    <row r="47749" s="101" customFormat="1" spans="6:6">
      <c r="F47749" s="2423"/>
    </row>
    <row r="47750" s="101" customFormat="1" spans="6:6">
      <c r="F47750" s="2423"/>
    </row>
    <row r="47751" s="101" customFormat="1" spans="6:6">
      <c r="F47751" s="2423"/>
    </row>
    <row r="47752" s="101" customFormat="1" spans="6:6">
      <c r="F47752" s="2423"/>
    </row>
    <row r="47753" s="101" customFormat="1" spans="6:6">
      <c r="F47753" s="2423"/>
    </row>
    <row r="47754" s="101" customFormat="1" spans="6:6">
      <c r="F47754" s="2423"/>
    </row>
    <row r="47755" s="101" customFormat="1" spans="6:6">
      <c r="F47755" s="2423"/>
    </row>
    <row r="47756" s="101" customFormat="1" spans="6:6">
      <c r="F47756" s="2423"/>
    </row>
    <row r="47757" s="101" customFormat="1" spans="6:6">
      <c r="F47757" s="2423"/>
    </row>
    <row r="47758" s="101" customFormat="1" spans="6:6">
      <c r="F47758" s="2423"/>
    </row>
    <row r="47759" s="101" customFormat="1" spans="6:6">
      <c r="F47759" s="2423"/>
    </row>
    <row r="47760" s="101" customFormat="1" spans="6:6">
      <c r="F47760" s="2423"/>
    </row>
    <row r="47761" s="101" customFormat="1" spans="6:6">
      <c r="F47761" s="2423"/>
    </row>
    <row r="47762" s="101" customFormat="1" spans="6:6">
      <c r="F47762" s="2423"/>
    </row>
    <row r="47763" s="101" customFormat="1" spans="6:6">
      <c r="F47763" s="2423"/>
    </row>
    <row r="47764" s="101" customFormat="1" spans="6:6">
      <c r="F47764" s="2423"/>
    </row>
    <row r="47765" s="101" customFormat="1" spans="6:6">
      <c r="F47765" s="2423"/>
    </row>
    <row r="47766" s="101" customFormat="1" spans="6:6">
      <c r="F47766" s="2423"/>
    </row>
    <row r="47767" s="101" customFormat="1" spans="6:6">
      <c r="F47767" s="2423"/>
    </row>
    <row r="47768" s="101" customFormat="1" spans="6:6">
      <c r="F47768" s="2423"/>
    </row>
    <row r="47769" s="101" customFormat="1" spans="6:6">
      <c r="F47769" s="2423"/>
    </row>
    <row r="47770" s="101" customFormat="1" spans="6:6">
      <c r="F47770" s="2423"/>
    </row>
    <row r="47771" s="101" customFormat="1" spans="6:6">
      <c r="F47771" s="2423"/>
    </row>
    <row r="47772" s="101" customFormat="1" spans="6:6">
      <c r="F47772" s="2423"/>
    </row>
    <row r="47773" s="101" customFormat="1" spans="6:6">
      <c r="F47773" s="2423"/>
    </row>
    <row r="47774" s="101" customFormat="1" spans="6:6">
      <c r="F47774" s="2423"/>
    </row>
    <row r="47775" s="101" customFormat="1" spans="6:6">
      <c r="F47775" s="2423"/>
    </row>
    <row r="47776" s="101" customFormat="1" spans="6:6">
      <c r="F47776" s="2423"/>
    </row>
    <row r="47777" s="101" customFormat="1" spans="6:6">
      <c r="F47777" s="2423"/>
    </row>
    <row r="47778" s="101" customFormat="1" spans="6:6">
      <c r="F47778" s="2423"/>
    </row>
    <row r="47779" s="101" customFormat="1" spans="6:6">
      <c r="F47779" s="2423"/>
    </row>
    <row r="47780" s="101" customFormat="1" spans="6:6">
      <c r="F47780" s="2423"/>
    </row>
    <row r="47781" s="101" customFormat="1" spans="6:6">
      <c r="F47781" s="2423"/>
    </row>
    <row r="47782" s="101" customFormat="1" spans="6:6">
      <c r="F47782" s="2423"/>
    </row>
    <row r="47783" s="101" customFormat="1" spans="6:6">
      <c r="F47783" s="2423"/>
    </row>
    <row r="47784" s="101" customFormat="1" spans="6:6">
      <c r="F47784" s="2423"/>
    </row>
    <row r="47785" s="101" customFormat="1" spans="6:6">
      <c r="F47785" s="2423"/>
    </row>
    <row r="47786" s="101" customFormat="1" spans="6:6">
      <c r="F47786" s="2423"/>
    </row>
    <row r="47787" s="101" customFormat="1" spans="6:6">
      <c r="F47787" s="2423"/>
    </row>
    <row r="47788" s="101" customFormat="1" spans="6:6">
      <c r="F47788" s="2423"/>
    </row>
    <row r="47789" s="101" customFormat="1" spans="6:6">
      <c r="F47789" s="2423"/>
    </row>
    <row r="47790" s="101" customFormat="1" spans="6:6">
      <c r="F47790" s="2423"/>
    </row>
    <row r="47791" s="101" customFormat="1" spans="6:6">
      <c r="F47791" s="2423"/>
    </row>
    <row r="47792" s="101" customFormat="1" spans="6:6">
      <c r="F47792" s="2423"/>
    </row>
    <row r="47793" s="101" customFormat="1" spans="6:6">
      <c r="F47793" s="2423"/>
    </row>
    <row r="47794" s="101" customFormat="1" spans="6:6">
      <c r="F47794" s="2423"/>
    </row>
    <row r="47795" s="101" customFormat="1" spans="6:6">
      <c r="F47795" s="2423"/>
    </row>
    <row r="47796" s="101" customFormat="1" spans="6:6">
      <c r="F47796" s="2423"/>
    </row>
    <row r="47797" s="101" customFormat="1" spans="6:6">
      <c r="F47797" s="2423"/>
    </row>
    <row r="47798" s="101" customFormat="1" spans="6:6">
      <c r="F47798" s="2423"/>
    </row>
    <row r="47799" s="101" customFormat="1" spans="6:6">
      <c r="F47799" s="2423"/>
    </row>
    <row r="47800" s="101" customFormat="1" spans="6:6">
      <c r="F47800" s="2423"/>
    </row>
    <row r="47801" s="101" customFormat="1" spans="6:6">
      <c r="F47801" s="2423"/>
    </row>
    <row r="47802" s="101" customFormat="1" spans="6:6">
      <c r="F47802" s="2423"/>
    </row>
    <row r="47803" s="101" customFormat="1" spans="6:6">
      <c r="F47803" s="2423"/>
    </row>
    <row r="47804" s="101" customFormat="1" spans="6:6">
      <c r="F47804" s="2423"/>
    </row>
    <row r="47805" s="101" customFormat="1" spans="6:6">
      <c r="F47805" s="2423"/>
    </row>
    <row r="47806" s="101" customFormat="1" spans="6:6">
      <c r="F47806" s="2423"/>
    </row>
    <row r="47807" s="101" customFormat="1" spans="6:6">
      <c r="F47807" s="2423"/>
    </row>
    <row r="47808" s="101" customFormat="1" spans="6:6">
      <c r="F47808" s="2423"/>
    </row>
    <row r="47809" s="101" customFormat="1" spans="6:6">
      <c r="F47809" s="2423"/>
    </row>
    <row r="47810" s="101" customFormat="1" spans="6:6">
      <c r="F47810" s="2423"/>
    </row>
    <row r="47811" s="101" customFormat="1" spans="6:6">
      <c r="F47811" s="2423"/>
    </row>
    <row r="47812" s="101" customFormat="1" spans="6:6">
      <c r="F47812" s="2423"/>
    </row>
    <row r="47813" s="101" customFormat="1" spans="6:6">
      <c r="F47813" s="2423"/>
    </row>
    <row r="47814" s="101" customFormat="1" spans="6:6">
      <c r="F47814" s="2423"/>
    </row>
    <row r="47815" s="101" customFormat="1" spans="6:6">
      <c r="F47815" s="2423"/>
    </row>
    <row r="47816" s="101" customFormat="1" spans="6:6">
      <c r="F47816" s="2423"/>
    </row>
    <row r="47817" s="101" customFormat="1" spans="6:6">
      <c r="F47817" s="2423"/>
    </row>
    <row r="47818" s="101" customFormat="1" spans="6:6">
      <c r="F47818" s="2423"/>
    </row>
    <row r="47819" s="101" customFormat="1" spans="6:6">
      <c r="F47819" s="2423"/>
    </row>
    <row r="47820" s="101" customFormat="1" spans="6:6">
      <c r="F47820" s="2423"/>
    </row>
    <row r="47821" s="101" customFormat="1" spans="6:6">
      <c r="F47821" s="2423"/>
    </row>
    <row r="47822" s="101" customFormat="1" spans="6:6">
      <c r="F47822" s="2423"/>
    </row>
    <row r="47823" s="101" customFormat="1" spans="6:6">
      <c r="F47823" s="2423"/>
    </row>
    <row r="47824" s="101" customFormat="1" spans="6:6">
      <c r="F47824" s="2423"/>
    </row>
    <row r="47825" s="101" customFormat="1" spans="6:6">
      <c r="F47825" s="2423"/>
    </row>
    <row r="47826" s="101" customFormat="1" spans="6:6">
      <c r="F47826" s="2423"/>
    </row>
    <row r="47827" s="101" customFormat="1" spans="6:6">
      <c r="F47827" s="2423"/>
    </row>
    <row r="47828" s="101" customFormat="1" spans="6:6">
      <c r="F47828" s="2423"/>
    </row>
    <row r="47829" s="101" customFormat="1" spans="6:6">
      <c r="F47829" s="2423"/>
    </row>
    <row r="47830" s="101" customFormat="1" spans="6:6">
      <c r="F47830" s="2423"/>
    </row>
    <row r="47831" s="101" customFormat="1" spans="6:6">
      <c r="F47831" s="2423"/>
    </row>
    <row r="47832" s="101" customFormat="1" spans="6:6">
      <c r="F47832" s="2423"/>
    </row>
    <row r="47833" s="101" customFormat="1" spans="6:6">
      <c r="F47833" s="2423"/>
    </row>
    <row r="47834" s="101" customFormat="1" spans="6:6">
      <c r="F47834" s="2423"/>
    </row>
    <row r="47835" s="101" customFormat="1" spans="6:6">
      <c r="F47835" s="2423"/>
    </row>
    <row r="47836" s="101" customFormat="1" spans="6:6">
      <c r="F47836" s="2423"/>
    </row>
    <row r="47837" s="101" customFormat="1" spans="6:6">
      <c r="F47837" s="2423"/>
    </row>
    <row r="47838" s="101" customFormat="1" spans="6:6">
      <c r="F47838" s="2423"/>
    </row>
    <row r="47839" s="101" customFormat="1" spans="6:6">
      <c r="F47839" s="2423"/>
    </row>
    <row r="47840" s="101" customFormat="1" spans="6:6">
      <c r="F47840" s="2423"/>
    </row>
    <row r="47841" s="101" customFormat="1" spans="6:6">
      <c r="F47841" s="2423"/>
    </row>
    <row r="47842" s="101" customFormat="1" spans="6:6">
      <c r="F47842" s="2423"/>
    </row>
    <row r="47843" s="101" customFormat="1" spans="6:6">
      <c r="F47843" s="2423"/>
    </row>
    <row r="47844" s="101" customFormat="1" spans="6:6">
      <c r="F47844" s="2423"/>
    </row>
    <row r="47845" s="101" customFormat="1" spans="6:6">
      <c r="F47845" s="2423"/>
    </row>
    <row r="47846" s="101" customFormat="1" spans="6:6">
      <c r="F47846" s="2423"/>
    </row>
    <row r="47847" s="101" customFormat="1" spans="6:6">
      <c r="F47847" s="2423"/>
    </row>
    <row r="47848" s="101" customFormat="1" spans="6:6">
      <c r="F47848" s="2423"/>
    </row>
    <row r="47849" s="101" customFormat="1" spans="6:6">
      <c r="F47849" s="2423"/>
    </row>
    <row r="47850" s="101" customFormat="1" spans="6:6">
      <c r="F47850" s="2423"/>
    </row>
    <row r="47851" s="101" customFormat="1" spans="6:6">
      <c r="F47851" s="2423"/>
    </row>
    <row r="47852" s="101" customFormat="1" spans="6:6">
      <c r="F47852" s="2423"/>
    </row>
    <row r="47853" s="101" customFormat="1" spans="6:6">
      <c r="F47853" s="2423"/>
    </row>
    <row r="47854" s="101" customFormat="1" spans="6:6">
      <c r="F47854" s="2423"/>
    </row>
    <row r="47855" s="101" customFormat="1" spans="6:6">
      <c r="F47855" s="2423"/>
    </row>
    <row r="47856" s="101" customFormat="1" spans="6:6">
      <c r="F47856" s="2423"/>
    </row>
    <row r="47857" s="101" customFormat="1" spans="6:6">
      <c r="F47857" s="2423"/>
    </row>
    <row r="47858" s="101" customFormat="1" spans="6:6">
      <c r="F47858" s="2423"/>
    </row>
    <row r="47859" s="101" customFormat="1" spans="6:6">
      <c r="F47859" s="2423"/>
    </row>
    <row r="47860" s="101" customFormat="1" spans="6:6">
      <c r="F47860" s="2423"/>
    </row>
    <row r="47861" s="101" customFormat="1" spans="6:6">
      <c r="F47861" s="2423"/>
    </row>
    <row r="47862" s="101" customFormat="1" spans="6:6">
      <c r="F47862" s="2423"/>
    </row>
    <row r="47863" s="101" customFormat="1" spans="6:6">
      <c r="F47863" s="2423"/>
    </row>
    <row r="47864" s="101" customFormat="1" spans="6:6">
      <c r="F47864" s="2423"/>
    </row>
    <row r="47865" s="101" customFormat="1" spans="6:6">
      <c r="F47865" s="2423"/>
    </row>
    <row r="47866" s="101" customFormat="1" spans="6:6">
      <c r="F47866" s="2423"/>
    </row>
    <row r="47867" s="101" customFormat="1" spans="6:6">
      <c r="F47867" s="2423"/>
    </row>
    <row r="47868" s="101" customFormat="1" spans="6:6">
      <c r="F47868" s="2423"/>
    </row>
    <row r="47869" s="101" customFormat="1" spans="6:6">
      <c r="F47869" s="2423"/>
    </row>
    <row r="47870" s="101" customFormat="1" spans="6:6">
      <c r="F47870" s="2423"/>
    </row>
    <row r="47871" s="101" customFormat="1" spans="6:6">
      <c r="F47871" s="2423"/>
    </row>
    <row r="47872" s="101" customFormat="1" spans="6:6">
      <c r="F47872" s="2423"/>
    </row>
    <row r="47873" s="101" customFormat="1" spans="6:6">
      <c r="F47873" s="2423"/>
    </row>
    <row r="47874" s="101" customFormat="1" spans="6:6">
      <c r="F47874" s="2423"/>
    </row>
    <row r="47875" s="101" customFormat="1" spans="6:6">
      <c r="F47875" s="2423"/>
    </row>
    <row r="47876" s="101" customFormat="1" spans="6:6">
      <c r="F47876" s="2423"/>
    </row>
    <row r="47877" s="101" customFormat="1" spans="6:6">
      <c r="F47877" s="2423"/>
    </row>
    <row r="47878" s="101" customFormat="1" spans="6:6">
      <c r="F47878" s="2423"/>
    </row>
    <row r="47879" s="101" customFormat="1" spans="6:6">
      <c r="F47879" s="2423"/>
    </row>
    <row r="47880" s="101" customFormat="1" spans="6:6">
      <c r="F47880" s="2423"/>
    </row>
    <row r="47881" s="101" customFormat="1" spans="6:6">
      <c r="F47881" s="2423"/>
    </row>
    <row r="47882" s="101" customFormat="1" spans="6:6">
      <c r="F47882" s="2423"/>
    </row>
    <row r="47883" s="101" customFormat="1" spans="6:6">
      <c r="F47883" s="2423"/>
    </row>
    <row r="47884" s="101" customFormat="1" spans="6:6">
      <c r="F47884" s="2423"/>
    </row>
    <row r="47885" s="101" customFormat="1" spans="6:6">
      <c r="F47885" s="2423"/>
    </row>
    <row r="47886" s="101" customFormat="1" spans="6:6">
      <c r="F47886" s="2423"/>
    </row>
    <row r="47887" s="101" customFormat="1" spans="6:6">
      <c r="F47887" s="2423"/>
    </row>
    <row r="47888" s="101" customFormat="1" spans="6:6">
      <c r="F47888" s="2423"/>
    </row>
    <row r="47889" s="101" customFormat="1" spans="6:6">
      <c r="F47889" s="2423"/>
    </row>
    <row r="47890" s="101" customFormat="1" spans="6:6">
      <c r="F47890" s="2423"/>
    </row>
    <row r="47891" s="101" customFormat="1" spans="6:6">
      <c r="F47891" s="2423"/>
    </row>
    <row r="47892" s="101" customFormat="1" spans="6:6">
      <c r="F47892" s="2423"/>
    </row>
    <row r="47893" s="101" customFormat="1" spans="6:6">
      <c r="F47893" s="2423"/>
    </row>
    <row r="47894" s="101" customFormat="1" spans="6:6">
      <c r="F47894" s="2423"/>
    </row>
    <row r="47895" s="101" customFormat="1" spans="6:6">
      <c r="F47895" s="2423"/>
    </row>
    <row r="47896" s="101" customFormat="1" spans="6:6">
      <c r="F47896" s="2423"/>
    </row>
    <row r="47897" s="101" customFormat="1" spans="6:6">
      <c r="F47897" s="2423"/>
    </row>
    <row r="47898" s="101" customFormat="1" spans="6:6">
      <c r="F47898" s="2423"/>
    </row>
    <row r="47899" s="101" customFormat="1" spans="6:6">
      <c r="F47899" s="2423"/>
    </row>
    <row r="47900" s="101" customFormat="1" spans="6:6">
      <c r="F47900" s="2423"/>
    </row>
    <row r="47901" s="101" customFormat="1" spans="6:6">
      <c r="F47901" s="2423"/>
    </row>
    <row r="47902" s="101" customFormat="1" spans="6:6">
      <c r="F47902" s="2423"/>
    </row>
    <row r="47903" s="101" customFormat="1" spans="6:6">
      <c r="F47903" s="2423"/>
    </row>
    <row r="47904" s="101" customFormat="1" spans="6:6">
      <c r="F47904" s="2423"/>
    </row>
    <row r="47905" s="101" customFormat="1" spans="6:6">
      <c r="F47905" s="2423"/>
    </row>
    <row r="47906" s="101" customFormat="1" spans="6:6">
      <c r="F47906" s="2423"/>
    </row>
    <row r="47907" s="101" customFormat="1" spans="6:6">
      <c r="F47907" s="2423"/>
    </row>
    <row r="47908" s="101" customFormat="1" spans="6:6">
      <c r="F47908" s="2423"/>
    </row>
    <row r="47909" s="101" customFormat="1" spans="6:6">
      <c r="F47909" s="2423"/>
    </row>
    <row r="47910" s="101" customFormat="1" spans="6:6">
      <c r="F47910" s="2423"/>
    </row>
    <row r="47911" s="101" customFormat="1" spans="6:6">
      <c r="F47911" s="2423"/>
    </row>
    <row r="47912" s="101" customFormat="1" spans="6:6">
      <c r="F47912" s="2423"/>
    </row>
    <row r="47913" s="101" customFormat="1" spans="6:6">
      <c r="F47913" s="2423"/>
    </row>
    <row r="47914" s="101" customFormat="1" spans="6:6">
      <c r="F47914" s="2423"/>
    </row>
    <row r="47915" s="101" customFormat="1" spans="6:6">
      <c r="F47915" s="2423"/>
    </row>
    <row r="47916" s="101" customFormat="1" spans="6:6">
      <c r="F47916" s="2423"/>
    </row>
    <row r="47917" s="101" customFormat="1" spans="6:6">
      <c r="F47917" s="2423"/>
    </row>
    <row r="47918" s="101" customFormat="1" spans="6:6">
      <c r="F47918" s="2423"/>
    </row>
    <row r="47919" s="101" customFormat="1" spans="6:6">
      <c r="F47919" s="2423"/>
    </row>
    <row r="47920" s="101" customFormat="1" spans="6:6">
      <c r="F47920" s="2423"/>
    </row>
    <row r="47921" s="101" customFormat="1" spans="6:6">
      <c r="F47921" s="2423"/>
    </row>
    <row r="47922" s="101" customFormat="1" spans="6:6">
      <c r="F47922" s="2423"/>
    </row>
    <row r="47923" s="101" customFormat="1" spans="6:6">
      <c r="F47923" s="2423"/>
    </row>
    <row r="47924" s="101" customFormat="1" spans="6:6">
      <c r="F47924" s="2423"/>
    </row>
    <row r="47925" s="101" customFormat="1" spans="6:6">
      <c r="F47925" s="2423"/>
    </row>
    <row r="47926" s="101" customFormat="1" spans="6:6">
      <c r="F47926" s="2423"/>
    </row>
    <row r="47927" s="101" customFormat="1" spans="6:6">
      <c r="F47927" s="2423"/>
    </row>
    <row r="47928" s="101" customFormat="1" spans="6:6">
      <c r="F47928" s="2423"/>
    </row>
    <row r="47929" s="101" customFormat="1" spans="6:6">
      <c r="F47929" s="2423"/>
    </row>
    <row r="47930" s="101" customFormat="1" spans="6:6">
      <c r="F47930" s="2423"/>
    </row>
    <row r="47931" s="101" customFormat="1" spans="6:6">
      <c r="F47931" s="2423"/>
    </row>
    <row r="47932" s="101" customFormat="1" spans="6:6">
      <c r="F47932" s="2423"/>
    </row>
    <row r="47933" s="101" customFormat="1" spans="6:6">
      <c r="F47933" s="2423"/>
    </row>
    <row r="47934" s="101" customFormat="1" spans="6:6">
      <c r="F47934" s="2423"/>
    </row>
    <row r="47935" s="101" customFormat="1" spans="6:6">
      <c r="F47935" s="2423"/>
    </row>
    <row r="47936" s="101" customFormat="1" spans="6:6">
      <c r="F47936" s="2423"/>
    </row>
    <row r="47937" s="101" customFormat="1" spans="6:6">
      <c r="F47937" s="2423"/>
    </row>
    <row r="47938" s="101" customFormat="1" spans="6:6">
      <c r="F47938" s="2423"/>
    </row>
    <row r="47939" s="101" customFormat="1" spans="6:6">
      <c r="F47939" s="2423"/>
    </row>
    <row r="47940" s="101" customFormat="1" spans="6:6">
      <c r="F47940" s="2423"/>
    </row>
    <row r="47941" s="101" customFormat="1" spans="6:6">
      <c r="F47941" s="2423"/>
    </row>
    <row r="47942" s="101" customFormat="1" spans="6:6">
      <c r="F47942" s="2423"/>
    </row>
    <row r="47943" s="101" customFormat="1" spans="6:6">
      <c r="F47943" s="2423"/>
    </row>
    <row r="47944" s="101" customFormat="1" spans="6:6">
      <c r="F47944" s="2423"/>
    </row>
    <row r="47945" s="101" customFormat="1" spans="6:6">
      <c r="F47945" s="2423"/>
    </row>
    <row r="47946" s="101" customFormat="1" spans="6:6">
      <c r="F47946" s="2423"/>
    </row>
    <row r="47947" s="101" customFormat="1" spans="6:6">
      <c r="F47947" s="2423"/>
    </row>
    <row r="47948" s="101" customFormat="1" spans="6:6">
      <c r="F47948" s="2423"/>
    </row>
    <row r="47949" s="101" customFormat="1" spans="6:6">
      <c r="F47949" s="2423"/>
    </row>
    <row r="47950" s="101" customFormat="1" spans="6:6">
      <c r="F47950" s="2423"/>
    </row>
    <row r="47951" s="101" customFormat="1" spans="6:6">
      <c r="F47951" s="2423"/>
    </row>
    <row r="47952" s="101" customFormat="1" spans="6:6">
      <c r="F47952" s="2423"/>
    </row>
    <row r="47953" s="101" customFormat="1" spans="6:6">
      <c r="F47953" s="2423"/>
    </row>
    <row r="47954" s="101" customFormat="1" spans="6:6">
      <c r="F47954" s="2423"/>
    </row>
    <row r="47955" s="101" customFormat="1" spans="6:6">
      <c r="F47955" s="2423"/>
    </row>
    <row r="47956" s="101" customFormat="1" spans="6:6">
      <c r="F47956" s="2423"/>
    </row>
    <row r="47957" s="101" customFormat="1" spans="6:6">
      <c r="F47957" s="2423"/>
    </row>
    <row r="47958" s="101" customFormat="1" spans="6:6">
      <c r="F47958" s="2423"/>
    </row>
    <row r="47959" s="101" customFormat="1" spans="6:6">
      <c r="F47959" s="2423"/>
    </row>
    <row r="47960" s="101" customFormat="1" spans="6:6">
      <c r="F47960" s="2423"/>
    </row>
    <row r="47961" s="101" customFormat="1" spans="6:6">
      <c r="F47961" s="2423"/>
    </row>
    <row r="47962" s="101" customFormat="1" spans="6:6">
      <c r="F47962" s="2423"/>
    </row>
    <row r="47963" s="101" customFormat="1" spans="6:6">
      <c r="F47963" s="2423"/>
    </row>
    <row r="47964" s="101" customFormat="1" spans="6:6">
      <c r="F47964" s="2423"/>
    </row>
    <row r="47965" s="101" customFormat="1" spans="6:6">
      <c r="F47965" s="2423"/>
    </row>
    <row r="47966" s="101" customFormat="1" spans="6:6">
      <c r="F47966" s="2423"/>
    </row>
    <row r="47967" s="101" customFormat="1" spans="6:6">
      <c r="F47967" s="2423"/>
    </row>
    <row r="47968" s="101" customFormat="1" spans="6:6">
      <c r="F47968" s="2423"/>
    </row>
    <row r="47969" s="101" customFormat="1" spans="6:6">
      <c r="F47969" s="2423"/>
    </row>
    <row r="47970" s="101" customFormat="1" spans="6:6">
      <c r="F47970" s="2423"/>
    </row>
    <row r="47971" s="101" customFormat="1" spans="6:6">
      <c r="F47971" s="2423"/>
    </row>
    <row r="47972" s="101" customFormat="1" spans="6:6">
      <c r="F47972" s="2423"/>
    </row>
    <row r="47973" s="101" customFormat="1" spans="6:6">
      <c r="F47973" s="2423"/>
    </row>
    <row r="47974" s="101" customFormat="1" spans="6:6">
      <c r="F47974" s="2423"/>
    </row>
    <row r="47975" s="101" customFormat="1" spans="6:6">
      <c r="F47975" s="2423"/>
    </row>
    <row r="47976" s="101" customFormat="1" spans="6:6">
      <c r="F47976" s="2423"/>
    </row>
    <row r="47977" s="101" customFormat="1" spans="6:6">
      <c r="F47977" s="2423"/>
    </row>
    <row r="47978" s="101" customFormat="1" spans="6:6">
      <c r="F47978" s="2423"/>
    </row>
    <row r="47979" s="101" customFormat="1" spans="6:6">
      <c r="F47979" s="2423"/>
    </row>
    <row r="47980" s="101" customFormat="1" spans="6:6">
      <c r="F47980" s="2423"/>
    </row>
    <row r="47981" s="101" customFormat="1" spans="6:6">
      <c r="F47981" s="2423"/>
    </row>
    <row r="47982" s="101" customFormat="1" spans="6:6">
      <c r="F47982" s="2423"/>
    </row>
    <row r="47983" s="101" customFormat="1" spans="6:6">
      <c r="F47983" s="2423"/>
    </row>
    <row r="47984" s="101" customFormat="1" spans="6:6">
      <c r="F47984" s="2423"/>
    </row>
    <row r="47985" s="101" customFormat="1" spans="6:6">
      <c r="F47985" s="2423"/>
    </row>
    <row r="47986" s="101" customFormat="1" spans="6:6">
      <c r="F47986" s="2423"/>
    </row>
    <row r="47987" s="101" customFormat="1" spans="6:6">
      <c r="F47987" s="2423"/>
    </row>
    <row r="47988" s="101" customFormat="1" spans="6:6">
      <c r="F47988" s="2423"/>
    </row>
    <row r="47989" s="101" customFormat="1" spans="6:6">
      <c r="F47989" s="2423"/>
    </row>
    <row r="47990" s="101" customFormat="1" spans="6:6">
      <c r="F47990" s="2423"/>
    </row>
    <row r="47991" s="101" customFormat="1" spans="6:6">
      <c r="F47991" s="2423"/>
    </row>
    <row r="47992" s="101" customFormat="1" spans="6:6">
      <c r="F47992" s="2423"/>
    </row>
    <row r="47993" s="101" customFormat="1" spans="6:6">
      <c r="F47993" s="2423"/>
    </row>
    <row r="47994" s="101" customFormat="1" spans="6:6">
      <c r="F47994" s="2423"/>
    </row>
    <row r="47995" s="101" customFormat="1" spans="6:6">
      <c r="F47995" s="2423"/>
    </row>
    <row r="47996" s="101" customFormat="1" spans="6:6">
      <c r="F47996" s="2423"/>
    </row>
    <row r="47997" s="101" customFormat="1" spans="6:6">
      <c r="F47997" s="2423"/>
    </row>
    <row r="47998" s="101" customFormat="1" spans="6:6">
      <c r="F47998" s="2423"/>
    </row>
    <row r="47999" s="101" customFormat="1" spans="6:6">
      <c r="F47999" s="2423"/>
    </row>
    <row r="48000" s="101" customFormat="1" spans="6:6">
      <c r="F48000" s="2423"/>
    </row>
    <row r="48001" s="101" customFormat="1" spans="6:6">
      <c r="F48001" s="2423"/>
    </row>
    <row r="48002" s="101" customFormat="1" spans="6:6">
      <c r="F48002" s="2423"/>
    </row>
    <row r="48003" s="101" customFormat="1" spans="6:6">
      <c r="F48003" s="2423"/>
    </row>
    <row r="48004" s="101" customFormat="1" spans="6:6">
      <c r="F48004" s="2423"/>
    </row>
    <row r="48005" s="101" customFormat="1" spans="6:6">
      <c r="F48005" s="2423"/>
    </row>
    <row r="48006" s="101" customFormat="1" spans="6:6">
      <c r="F48006" s="2423"/>
    </row>
    <row r="48007" s="101" customFormat="1" spans="6:6">
      <c r="F48007" s="2423"/>
    </row>
    <row r="48008" s="101" customFormat="1" spans="6:6">
      <c r="F48008" s="2423"/>
    </row>
    <row r="48009" s="101" customFormat="1" spans="6:6">
      <c r="F48009" s="2423"/>
    </row>
    <row r="48010" s="101" customFormat="1" spans="6:6">
      <c r="F48010" s="2423"/>
    </row>
    <row r="48011" s="101" customFormat="1" spans="6:6">
      <c r="F48011" s="2423"/>
    </row>
    <row r="48012" s="101" customFormat="1" spans="6:6">
      <c r="F48012" s="2423"/>
    </row>
    <row r="48013" s="101" customFormat="1" spans="6:6">
      <c r="F48013" s="2423"/>
    </row>
    <row r="48014" s="101" customFormat="1" spans="6:6">
      <c r="F48014" s="2423"/>
    </row>
    <row r="48015" s="101" customFormat="1" spans="6:6">
      <c r="F48015" s="2423"/>
    </row>
    <row r="48016" s="101" customFormat="1" spans="6:6">
      <c r="F48016" s="2423"/>
    </row>
    <row r="48017" s="101" customFormat="1" spans="6:6">
      <c r="F48017" s="2423"/>
    </row>
    <row r="48018" s="101" customFormat="1" spans="6:6">
      <c r="F48018" s="2423"/>
    </row>
    <row r="48019" s="101" customFormat="1" spans="6:6">
      <c r="F48019" s="2423"/>
    </row>
    <row r="48020" s="101" customFormat="1" spans="6:6">
      <c r="F48020" s="2423"/>
    </row>
    <row r="48021" s="101" customFormat="1" spans="6:6">
      <c r="F48021" s="2423"/>
    </row>
    <row r="48022" s="101" customFormat="1" spans="6:6">
      <c r="F48022" s="2423"/>
    </row>
    <row r="48023" s="101" customFormat="1" spans="6:6">
      <c r="F48023" s="2423"/>
    </row>
    <row r="48024" s="101" customFormat="1" spans="6:6">
      <c r="F48024" s="2423"/>
    </row>
    <row r="48025" s="101" customFormat="1" spans="6:6">
      <c r="F48025" s="2423"/>
    </row>
    <row r="48026" s="101" customFormat="1" spans="6:6">
      <c r="F48026" s="2423"/>
    </row>
    <row r="48027" s="101" customFormat="1" spans="6:6">
      <c r="F48027" s="2423"/>
    </row>
    <row r="48028" s="101" customFormat="1" spans="6:6">
      <c r="F48028" s="2423"/>
    </row>
    <row r="48029" s="101" customFormat="1" spans="6:6">
      <c r="F48029" s="2423"/>
    </row>
    <row r="48030" s="101" customFormat="1" spans="6:6">
      <c r="F48030" s="2423"/>
    </row>
    <row r="48031" s="101" customFormat="1" spans="6:6">
      <c r="F48031" s="2423"/>
    </row>
    <row r="48032" s="101" customFormat="1" spans="6:6">
      <c r="F48032" s="2423"/>
    </row>
    <row r="48033" s="101" customFormat="1" spans="6:6">
      <c r="F48033" s="2423"/>
    </row>
    <row r="48034" s="101" customFormat="1" spans="6:6">
      <c r="F48034" s="2423"/>
    </row>
    <row r="48035" s="101" customFormat="1" spans="6:6">
      <c r="F48035" s="2423"/>
    </row>
    <row r="48036" s="101" customFormat="1" spans="6:6">
      <c r="F48036" s="2423"/>
    </row>
    <row r="48037" s="101" customFormat="1" spans="6:6">
      <c r="F48037" s="2423"/>
    </row>
    <row r="48038" s="101" customFormat="1" spans="6:6">
      <c r="F48038" s="2423"/>
    </row>
    <row r="48039" s="101" customFormat="1" spans="6:6">
      <c r="F48039" s="2423"/>
    </row>
    <row r="48040" s="101" customFormat="1" spans="6:6">
      <c r="F48040" s="2423"/>
    </row>
    <row r="48041" s="101" customFormat="1" spans="6:6">
      <c r="F48041" s="2423"/>
    </row>
    <row r="48042" s="101" customFormat="1" spans="6:6">
      <c r="F48042" s="2423"/>
    </row>
    <row r="48043" s="101" customFormat="1" spans="6:6">
      <c r="F48043" s="2423"/>
    </row>
    <row r="48044" s="101" customFormat="1" spans="6:6">
      <c r="F48044" s="2423"/>
    </row>
    <row r="48045" s="101" customFormat="1" spans="6:6">
      <c r="F48045" s="2423"/>
    </row>
    <row r="48046" s="101" customFormat="1" spans="6:6">
      <c r="F48046" s="2423"/>
    </row>
    <row r="48047" s="101" customFormat="1" spans="6:6">
      <c r="F48047" s="2423"/>
    </row>
    <row r="48048" s="101" customFormat="1" spans="6:6">
      <c r="F48048" s="2423"/>
    </row>
    <row r="48049" s="101" customFormat="1" spans="6:6">
      <c r="F48049" s="2423"/>
    </row>
    <row r="48050" s="101" customFormat="1" spans="6:6">
      <c r="F48050" s="2423"/>
    </row>
    <row r="48051" s="101" customFormat="1" spans="6:6">
      <c r="F48051" s="2423"/>
    </row>
    <row r="48052" s="101" customFormat="1" spans="6:6">
      <c r="F48052" s="2423"/>
    </row>
    <row r="48053" s="101" customFormat="1" spans="6:6">
      <c r="F48053" s="2423"/>
    </row>
    <row r="48054" s="101" customFormat="1" spans="6:6">
      <c r="F48054" s="2423"/>
    </row>
    <row r="48055" s="101" customFormat="1" spans="6:6">
      <c r="F48055" s="2423"/>
    </row>
    <row r="48056" s="101" customFormat="1" spans="6:6">
      <c r="F48056" s="2423"/>
    </row>
    <row r="48057" s="101" customFormat="1" spans="6:6">
      <c r="F48057" s="2423"/>
    </row>
    <row r="48058" s="101" customFormat="1" spans="6:6">
      <c r="F48058" s="2423"/>
    </row>
    <row r="48059" s="101" customFormat="1" spans="6:6">
      <c r="F48059" s="2423"/>
    </row>
    <row r="48060" s="101" customFormat="1" spans="6:6">
      <c r="F48060" s="2423"/>
    </row>
    <row r="48061" s="101" customFormat="1" spans="6:6">
      <c r="F48061" s="2423"/>
    </row>
    <row r="48062" s="101" customFormat="1" spans="6:6">
      <c r="F48062" s="2423"/>
    </row>
    <row r="48063" s="101" customFormat="1" spans="6:6">
      <c r="F48063" s="2423"/>
    </row>
    <row r="48064" s="101" customFormat="1" spans="6:6">
      <c r="F48064" s="2423"/>
    </row>
    <row r="48065" s="101" customFormat="1" spans="6:6">
      <c r="F48065" s="2423"/>
    </row>
    <row r="48066" s="101" customFormat="1" spans="6:6">
      <c r="F48066" s="2423"/>
    </row>
    <row r="48067" s="101" customFormat="1" spans="6:6">
      <c r="F48067" s="2423"/>
    </row>
    <row r="48068" s="101" customFormat="1" spans="6:6">
      <c r="F48068" s="2423"/>
    </row>
    <row r="48069" s="101" customFormat="1" spans="6:6">
      <c r="F48069" s="2423"/>
    </row>
    <row r="48070" s="101" customFormat="1" spans="6:6">
      <c r="F48070" s="2423"/>
    </row>
    <row r="48071" s="101" customFormat="1" spans="6:6">
      <c r="F48071" s="2423"/>
    </row>
    <row r="48072" s="101" customFormat="1" spans="6:6">
      <c r="F48072" s="2423"/>
    </row>
    <row r="48073" s="101" customFormat="1" spans="6:6">
      <c r="F48073" s="2423"/>
    </row>
    <row r="48074" s="101" customFormat="1" spans="6:6">
      <c r="F48074" s="2423"/>
    </row>
    <row r="48075" s="101" customFormat="1" spans="6:6">
      <c r="F48075" s="2423"/>
    </row>
    <row r="48076" s="101" customFormat="1" spans="6:6">
      <c r="F48076" s="2423"/>
    </row>
    <row r="48077" s="101" customFormat="1" spans="6:6">
      <c r="F48077" s="2423"/>
    </row>
    <row r="48078" s="101" customFormat="1" spans="6:6">
      <c r="F48078" s="2423"/>
    </row>
    <row r="48079" s="101" customFormat="1" spans="6:6">
      <c r="F48079" s="2423"/>
    </row>
    <row r="48080" s="101" customFormat="1" spans="6:6">
      <c r="F48080" s="2423"/>
    </row>
    <row r="48081" s="101" customFormat="1" spans="6:6">
      <c r="F48081" s="2423"/>
    </row>
    <row r="48082" s="101" customFormat="1" spans="6:6">
      <c r="F48082" s="2423"/>
    </row>
    <row r="48083" s="101" customFormat="1" spans="6:6">
      <c r="F48083" s="2423"/>
    </row>
    <row r="48084" s="101" customFormat="1" spans="6:6">
      <c r="F48084" s="2423"/>
    </row>
    <row r="48085" s="101" customFormat="1" spans="6:6">
      <c r="F48085" s="2423"/>
    </row>
    <row r="48086" s="101" customFormat="1" spans="6:6">
      <c r="F48086" s="2423"/>
    </row>
    <row r="48087" s="101" customFormat="1" spans="6:6">
      <c r="F48087" s="2423"/>
    </row>
    <row r="48088" s="101" customFormat="1" spans="6:6">
      <c r="F48088" s="2423"/>
    </row>
    <row r="48089" s="101" customFormat="1" spans="6:6">
      <c r="F48089" s="2423"/>
    </row>
    <row r="48090" s="101" customFormat="1" spans="6:6">
      <c r="F48090" s="2423"/>
    </row>
    <row r="48091" s="101" customFormat="1" spans="6:6">
      <c r="F48091" s="2423"/>
    </row>
    <row r="48092" s="101" customFormat="1" spans="6:6">
      <c r="F48092" s="2423"/>
    </row>
    <row r="48093" s="101" customFormat="1" spans="6:6">
      <c r="F48093" s="2423"/>
    </row>
    <row r="48094" s="101" customFormat="1" spans="6:6">
      <c r="F48094" s="2423"/>
    </row>
    <row r="48095" s="101" customFormat="1" spans="6:6">
      <c r="F48095" s="2423"/>
    </row>
    <row r="48096" s="101" customFormat="1" spans="6:6">
      <c r="F48096" s="2423"/>
    </row>
    <row r="48097" s="101" customFormat="1" spans="6:6">
      <c r="F48097" s="2423"/>
    </row>
    <row r="48098" s="101" customFormat="1" spans="6:6">
      <c r="F48098" s="2423"/>
    </row>
    <row r="48099" s="101" customFormat="1" spans="6:6">
      <c r="F48099" s="2423"/>
    </row>
    <row r="48100" s="101" customFormat="1" spans="6:6">
      <c r="F48100" s="2423"/>
    </row>
    <row r="48101" s="101" customFormat="1" spans="6:6">
      <c r="F48101" s="2423"/>
    </row>
    <row r="48102" s="101" customFormat="1" spans="6:6">
      <c r="F48102" s="2423"/>
    </row>
    <row r="48103" s="101" customFormat="1" spans="6:6">
      <c r="F48103" s="2423"/>
    </row>
    <row r="48104" s="101" customFormat="1" spans="6:6">
      <c r="F48104" s="2423"/>
    </row>
    <row r="48105" s="101" customFormat="1" spans="6:6">
      <c r="F48105" s="2423"/>
    </row>
    <row r="48106" s="101" customFormat="1" spans="6:6">
      <c r="F48106" s="2423"/>
    </row>
    <row r="48107" s="101" customFormat="1" spans="6:6">
      <c r="F48107" s="2423"/>
    </row>
    <row r="48108" s="101" customFormat="1" spans="6:6">
      <c r="F48108" s="2423"/>
    </row>
    <row r="48109" s="101" customFormat="1" spans="6:6">
      <c r="F48109" s="2423"/>
    </row>
    <row r="48110" s="101" customFormat="1" spans="6:6">
      <c r="F48110" s="2423"/>
    </row>
    <row r="48111" s="101" customFormat="1" spans="6:6">
      <c r="F48111" s="2423"/>
    </row>
    <row r="48112" s="101" customFormat="1" spans="6:6">
      <c r="F48112" s="2423"/>
    </row>
    <row r="48113" s="101" customFormat="1" spans="6:6">
      <c r="F48113" s="2423"/>
    </row>
    <row r="48114" s="101" customFormat="1" spans="6:6">
      <c r="F48114" s="2423"/>
    </row>
    <row r="48115" s="101" customFormat="1" spans="6:6">
      <c r="F48115" s="2423"/>
    </row>
    <row r="48116" s="101" customFormat="1" spans="6:6">
      <c r="F48116" s="2423"/>
    </row>
    <row r="48117" s="101" customFormat="1" spans="6:6">
      <c r="F48117" s="2423"/>
    </row>
    <row r="48118" s="101" customFormat="1" spans="6:6">
      <c r="F48118" s="2423"/>
    </row>
    <row r="48119" s="101" customFormat="1" spans="6:6">
      <c r="F48119" s="2423"/>
    </row>
    <row r="48120" s="101" customFormat="1" spans="6:6">
      <c r="F48120" s="2423"/>
    </row>
    <row r="48121" s="101" customFormat="1" spans="6:6">
      <c r="F48121" s="2423"/>
    </row>
    <row r="48122" s="101" customFormat="1" spans="6:6">
      <c r="F48122" s="2423"/>
    </row>
    <row r="48123" s="101" customFormat="1" spans="6:6">
      <c r="F48123" s="2423"/>
    </row>
    <row r="48124" s="101" customFormat="1" spans="6:6">
      <c r="F48124" s="2423"/>
    </row>
    <row r="48125" s="101" customFormat="1" spans="6:6">
      <c r="F48125" s="2423"/>
    </row>
    <row r="48126" s="101" customFormat="1" spans="6:6">
      <c r="F48126" s="2423"/>
    </row>
    <row r="48127" s="101" customFormat="1" spans="6:6">
      <c r="F48127" s="2423"/>
    </row>
    <row r="48128" s="101" customFormat="1" spans="6:6">
      <c r="F48128" s="2423"/>
    </row>
    <row r="48129" s="101" customFormat="1" spans="6:6">
      <c r="F48129" s="2423"/>
    </row>
    <row r="48130" s="101" customFormat="1" spans="6:6">
      <c r="F48130" s="2423"/>
    </row>
    <row r="48131" s="101" customFormat="1" spans="6:6">
      <c r="F48131" s="2423"/>
    </row>
    <row r="48132" s="101" customFormat="1" spans="6:6">
      <c r="F48132" s="2423"/>
    </row>
    <row r="48133" s="101" customFormat="1" spans="6:6">
      <c r="F48133" s="2423"/>
    </row>
    <row r="48134" s="101" customFormat="1" spans="6:6">
      <c r="F48134" s="2423"/>
    </row>
    <row r="48135" s="101" customFormat="1" spans="6:6">
      <c r="F48135" s="2423"/>
    </row>
    <row r="48136" s="101" customFormat="1" spans="6:6">
      <c r="F48136" s="2423"/>
    </row>
    <row r="48137" s="101" customFormat="1" spans="6:6">
      <c r="F48137" s="2423"/>
    </row>
    <row r="48138" s="101" customFormat="1" spans="6:6">
      <c r="F48138" s="2423"/>
    </row>
    <row r="48139" s="101" customFormat="1" spans="6:6">
      <c r="F48139" s="2423"/>
    </row>
    <row r="48140" s="101" customFormat="1" spans="6:6">
      <c r="F48140" s="2423"/>
    </row>
    <row r="48141" s="101" customFormat="1" spans="6:6">
      <c r="F48141" s="2423"/>
    </row>
    <row r="48142" s="101" customFormat="1" spans="6:6">
      <c r="F48142" s="2423"/>
    </row>
    <row r="48143" s="101" customFormat="1" spans="6:6">
      <c r="F48143" s="2423"/>
    </row>
    <row r="48144" s="101" customFormat="1" spans="6:6">
      <c r="F48144" s="2423"/>
    </row>
    <row r="48145" s="101" customFormat="1" spans="6:6">
      <c r="F48145" s="2423"/>
    </row>
    <row r="48146" s="101" customFormat="1" spans="6:6">
      <c r="F48146" s="2423"/>
    </row>
    <row r="48147" s="101" customFormat="1" spans="6:6">
      <c r="F48147" s="2423"/>
    </row>
    <row r="48148" s="101" customFormat="1" spans="6:6">
      <c r="F48148" s="2423"/>
    </row>
    <row r="48149" s="101" customFormat="1" spans="6:6">
      <c r="F48149" s="2423"/>
    </row>
    <row r="48150" s="101" customFormat="1" spans="6:6">
      <c r="F48150" s="2423"/>
    </row>
    <row r="48151" s="101" customFormat="1" spans="6:6">
      <c r="F48151" s="2423"/>
    </row>
    <row r="48152" s="101" customFormat="1" spans="6:6">
      <c r="F48152" s="2423"/>
    </row>
    <row r="48153" s="101" customFormat="1" spans="6:6">
      <c r="F48153" s="2423"/>
    </row>
    <row r="48154" s="101" customFormat="1" spans="6:6">
      <c r="F48154" s="2423"/>
    </row>
    <row r="48155" s="101" customFormat="1" spans="6:6">
      <c r="F48155" s="2423"/>
    </row>
    <row r="48156" s="101" customFormat="1" spans="6:6">
      <c r="F48156" s="2423"/>
    </row>
    <row r="48157" s="101" customFormat="1" spans="6:6">
      <c r="F48157" s="2423"/>
    </row>
    <row r="48158" s="101" customFormat="1" spans="6:6">
      <c r="F48158" s="2423"/>
    </row>
    <row r="48159" s="101" customFormat="1" spans="6:6">
      <c r="F48159" s="2423"/>
    </row>
    <row r="48160" s="101" customFormat="1" spans="6:6">
      <c r="F48160" s="2423"/>
    </row>
    <row r="48161" s="101" customFormat="1" spans="6:6">
      <c r="F48161" s="2423"/>
    </row>
    <row r="48162" s="101" customFormat="1" spans="6:6">
      <c r="F48162" s="2423"/>
    </row>
    <row r="48163" s="101" customFormat="1" spans="6:6">
      <c r="F48163" s="2423"/>
    </row>
    <row r="48164" s="101" customFormat="1" spans="6:6">
      <c r="F48164" s="2423"/>
    </row>
    <row r="48165" s="101" customFormat="1" spans="6:6">
      <c r="F48165" s="2423"/>
    </row>
    <row r="48166" s="101" customFormat="1" spans="6:6">
      <c r="F48166" s="2423"/>
    </row>
    <row r="48167" s="101" customFormat="1" spans="6:6">
      <c r="F48167" s="2423"/>
    </row>
    <row r="48168" s="101" customFormat="1" spans="6:6">
      <c r="F48168" s="2423"/>
    </row>
    <row r="48169" s="101" customFormat="1" spans="6:6">
      <c r="F48169" s="2423"/>
    </row>
    <row r="48170" s="101" customFormat="1" spans="6:6">
      <c r="F48170" s="2423"/>
    </row>
    <row r="48171" s="101" customFormat="1" spans="6:6">
      <c r="F48171" s="2423"/>
    </row>
    <row r="48172" s="101" customFormat="1" spans="6:6">
      <c r="F48172" s="2423"/>
    </row>
    <row r="48173" s="101" customFormat="1" spans="6:6">
      <c r="F48173" s="2423"/>
    </row>
    <row r="48174" s="101" customFormat="1" spans="6:6">
      <c r="F48174" s="2423"/>
    </row>
    <row r="48175" s="101" customFormat="1" spans="6:6">
      <c r="F48175" s="2423"/>
    </row>
    <row r="48176" s="101" customFormat="1" spans="6:6">
      <c r="F48176" s="2423"/>
    </row>
    <row r="48177" s="101" customFormat="1" spans="6:6">
      <c r="F48177" s="2423"/>
    </row>
    <row r="48178" s="101" customFormat="1" spans="6:6">
      <c r="F48178" s="2423"/>
    </row>
    <row r="48179" s="101" customFormat="1" spans="6:6">
      <c r="F48179" s="2423"/>
    </row>
    <row r="48180" s="101" customFormat="1" spans="6:6">
      <c r="F48180" s="2423"/>
    </row>
    <row r="48181" s="101" customFormat="1" spans="6:6">
      <c r="F48181" s="2423"/>
    </row>
    <row r="48182" s="101" customFormat="1" spans="6:6">
      <c r="F48182" s="2423"/>
    </row>
    <row r="48183" s="101" customFormat="1" spans="6:6">
      <c r="F48183" s="2423"/>
    </row>
    <row r="48184" s="101" customFormat="1" spans="6:6">
      <c r="F48184" s="2423"/>
    </row>
    <row r="48185" s="101" customFormat="1" spans="6:6">
      <c r="F48185" s="2423"/>
    </row>
    <row r="48186" s="101" customFormat="1" spans="6:6">
      <c r="F48186" s="2423"/>
    </row>
    <row r="48187" s="101" customFormat="1" spans="6:6">
      <c r="F48187" s="2423"/>
    </row>
    <row r="48188" s="101" customFormat="1" spans="6:6">
      <c r="F48188" s="2423"/>
    </row>
    <row r="48189" s="101" customFormat="1" spans="6:6">
      <c r="F48189" s="2423"/>
    </row>
    <row r="48190" s="101" customFormat="1" spans="6:6">
      <c r="F48190" s="2423"/>
    </row>
    <row r="48191" s="101" customFormat="1" spans="6:6">
      <c r="F48191" s="2423"/>
    </row>
    <row r="48192" s="101" customFormat="1" spans="6:6">
      <c r="F48192" s="2423"/>
    </row>
    <row r="48193" s="101" customFormat="1" spans="6:6">
      <c r="F48193" s="2423"/>
    </row>
    <row r="48194" s="101" customFormat="1" spans="6:6">
      <c r="F48194" s="2423"/>
    </row>
    <row r="48195" s="101" customFormat="1" spans="6:6">
      <c r="F48195" s="2423"/>
    </row>
    <row r="48196" s="101" customFormat="1" spans="6:6">
      <c r="F48196" s="2423"/>
    </row>
    <row r="48197" s="101" customFormat="1" spans="6:6">
      <c r="F48197" s="2423"/>
    </row>
    <row r="48198" s="101" customFormat="1" spans="6:6">
      <c r="F48198" s="2423"/>
    </row>
    <row r="48199" s="101" customFormat="1" spans="6:6">
      <c r="F48199" s="2423"/>
    </row>
    <row r="48200" s="101" customFormat="1" spans="6:6">
      <c r="F48200" s="2423"/>
    </row>
    <row r="48201" s="101" customFormat="1" spans="6:6">
      <c r="F48201" s="2423"/>
    </row>
    <row r="48202" s="101" customFormat="1" spans="6:6">
      <c r="F48202" s="2423"/>
    </row>
    <row r="48203" s="101" customFormat="1" spans="6:6">
      <c r="F48203" s="2423"/>
    </row>
    <row r="48204" s="101" customFormat="1" spans="6:6">
      <c r="F48204" s="2423"/>
    </row>
    <row r="48205" s="101" customFormat="1" spans="6:6">
      <c r="F48205" s="2423"/>
    </row>
    <row r="48206" s="101" customFormat="1" spans="6:6">
      <c r="F48206" s="2423"/>
    </row>
    <row r="48207" s="101" customFormat="1" spans="6:6">
      <c r="F48207" s="2423"/>
    </row>
    <row r="48208" s="101" customFormat="1" spans="6:6">
      <c r="F48208" s="2423"/>
    </row>
    <row r="48209" s="101" customFormat="1" spans="6:6">
      <c r="F48209" s="2423"/>
    </row>
    <row r="48210" s="101" customFormat="1" spans="6:6">
      <c r="F48210" s="2423"/>
    </row>
    <row r="48211" s="101" customFormat="1" spans="6:6">
      <c r="F48211" s="2423"/>
    </row>
    <row r="48212" s="101" customFormat="1" spans="6:6">
      <c r="F48212" s="2423"/>
    </row>
    <row r="48213" s="101" customFormat="1" spans="6:6">
      <c r="F48213" s="2423"/>
    </row>
    <row r="48214" s="101" customFormat="1" spans="6:6">
      <c r="F48214" s="2423"/>
    </row>
    <row r="48215" s="101" customFormat="1" spans="6:6">
      <c r="F48215" s="2423"/>
    </row>
    <row r="48216" s="101" customFormat="1" spans="6:6">
      <c r="F48216" s="2423"/>
    </row>
    <row r="48217" s="101" customFormat="1" spans="6:6">
      <c r="F48217" s="2423"/>
    </row>
    <row r="48218" s="101" customFormat="1" spans="6:6">
      <c r="F48218" s="2423"/>
    </row>
    <row r="48219" s="101" customFormat="1" spans="6:6">
      <c r="F48219" s="2423"/>
    </row>
    <row r="48220" s="101" customFormat="1" spans="6:6">
      <c r="F48220" s="2423"/>
    </row>
    <row r="48221" s="101" customFormat="1" spans="6:6">
      <c r="F48221" s="2423"/>
    </row>
    <row r="48222" s="101" customFormat="1" spans="6:6">
      <c r="F48222" s="2423"/>
    </row>
    <row r="48223" s="101" customFormat="1" spans="6:6">
      <c r="F48223" s="2423"/>
    </row>
    <row r="48224" s="101" customFormat="1" spans="6:6">
      <c r="F48224" s="2423"/>
    </row>
    <row r="48225" s="101" customFormat="1" spans="6:6">
      <c r="F48225" s="2423"/>
    </row>
    <row r="48226" s="101" customFormat="1" spans="6:6">
      <c r="F48226" s="2423"/>
    </row>
    <row r="48227" s="101" customFormat="1" spans="6:6">
      <c r="F48227" s="2423"/>
    </row>
    <row r="48228" s="101" customFormat="1" spans="6:6">
      <c r="F48228" s="2423"/>
    </row>
    <row r="48229" s="101" customFormat="1" spans="6:6">
      <c r="F48229" s="2423"/>
    </row>
    <row r="48230" s="101" customFormat="1" spans="6:6">
      <c r="F48230" s="2423"/>
    </row>
    <row r="48231" s="101" customFormat="1" spans="6:6">
      <c r="F48231" s="2423"/>
    </row>
    <row r="48232" s="101" customFormat="1" spans="6:6">
      <c r="F48232" s="2423"/>
    </row>
    <row r="48233" s="101" customFormat="1" spans="6:6">
      <c r="F48233" s="2423"/>
    </row>
    <row r="48234" s="101" customFormat="1" spans="6:6">
      <c r="F48234" s="2423"/>
    </row>
    <row r="48235" s="101" customFormat="1" spans="6:6">
      <c r="F48235" s="2423"/>
    </row>
    <row r="48236" s="101" customFormat="1" spans="6:6">
      <c r="F48236" s="2423"/>
    </row>
    <row r="48237" s="101" customFormat="1" spans="6:6">
      <c r="F48237" s="2423"/>
    </row>
    <row r="48238" s="101" customFormat="1" spans="6:6">
      <c r="F48238" s="2423"/>
    </row>
    <row r="48239" s="101" customFormat="1" spans="6:6">
      <c r="F48239" s="2423"/>
    </row>
    <row r="48240" s="101" customFormat="1" spans="6:6">
      <c r="F48240" s="2423"/>
    </row>
    <row r="48241" s="101" customFormat="1" spans="6:6">
      <c r="F48241" s="2423"/>
    </row>
    <row r="48242" s="101" customFormat="1" spans="6:6">
      <c r="F48242" s="2423"/>
    </row>
    <row r="48243" s="101" customFormat="1" spans="6:6">
      <c r="F48243" s="2423"/>
    </row>
    <row r="48244" s="101" customFormat="1" spans="6:6">
      <c r="F48244" s="2423"/>
    </row>
    <row r="48245" s="101" customFormat="1" spans="6:6">
      <c r="F48245" s="2423"/>
    </row>
    <row r="48246" s="101" customFormat="1" spans="6:6">
      <c r="F48246" s="2423"/>
    </row>
    <row r="48247" s="101" customFormat="1" spans="6:6">
      <c r="F48247" s="2423"/>
    </row>
    <row r="48248" s="101" customFormat="1" spans="6:6">
      <c r="F48248" s="2423"/>
    </row>
    <row r="48249" s="101" customFormat="1" spans="6:6">
      <c r="F48249" s="2423"/>
    </row>
    <row r="48250" s="101" customFormat="1" spans="6:6">
      <c r="F48250" s="2423"/>
    </row>
    <row r="48251" s="101" customFormat="1" spans="6:6">
      <c r="F48251" s="2423"/>
    </row>
    <row r="48252" s="101" customFormat="1" spans="6:6">
      <c r="F48252" s="2423"/>
    </row>
    <row r="48253" s="101" customFormat="1" spans="6:6">
      <c r="F48253" s="2423"/>
    </row>
    <row r="48254" s="101" customFormat="1" spans="6:6">
      <c r="F48254" s="2423"/>
    </row>
    <row r="48255" s="101" customFormat="1" spans="6:6">
      <c r="F48255" s="2423"/>
    </row>
    <row r="48256" s="101" customFormat="1" spans="6:6">
      <c r="F48256" s="2423"/>
    </row>
    <row r="48257" s="101" customFormat="1" spans="6:6">
      <c r="F48257" s="2423"/>
    </row>
    <row r="48258" s="101" customFormat="1" spans="6:6">
      <c r="F48258" s="2423"/>
    </row>
    <row r="48259" s="101" customFormat="1" spans="6:6">
      <c r="F48259" s="2423"/>
    </row>
    <row r="48260" s="101" customFormat="1" spans="6:6">
      <c r="F48260" s="2423"/>
    </row>
    <row r="48261" s="101" customFormat="1" spans="6:6">
      <c r="F48261" s="2423"/>
    </row>
    <row r="48262" s="101" customFormat="1" spans="6:6">
      <c r="F48262" s="2423"/>
    </row>
    <row r="48263" s="101" customFormat="1" spans="6:6">
      <c r="F48263" s="2423"/>
    </row>
    <row r="48264" s="101" customFormat="1" spans="6:6">
      <c r="F48264" s="2423"/>
    </row>
    <row r="48265" s="101" customFormat="1" spans="6:6">
      <c r="F48265" s="2423"/>
    </row>
    <row r="48266" s="101" customFormat="1" spans="6:6">
      <c r="F48266" s="2423"/>
    </row>
    <row r="48267" s="101" customFormat="1" spans="6:6">
      <c r="F48267" s="2423"/>
    </row>
    <row r="48268" s="101" customFormat="1" spans="6:6">
      <c r="F48268" s="2423"/>
    </row>
    <row r="48269" s="101" customFormat="1" spans="6:6">
      <c r="F48269" s="2423"/>
    </row>
    <row r="48270" s="101" customFormat="1" spans="6:6">
      <c r="F48270" s="2423"/>
    </row>
    <row r="48271" s="101" customFormat="1" spans="6:6">
      <c r="F48271" s="2423"/>
    </row>
    <row r="48272" s="101" customFormat="1" spans="6:6">
      <c r="F48272" s="2423"/>
    </row>
    <row r="48273" s="101" customFormat="1" spans="6:6">
      <c r="F48273" s="2423"/>
    </row>
    <row r="48274" s="101" customFormat="1" spans="6:6">
      <c r="F48274" s="2423"/>
    </row>
    <row r="48275" s="101" customFormat="1" spans="6:6">
      <c r="F48275" s="2423"/>
    </row>
    <row r="48276" s="101" customFormat="1" spans="6:6">
      <c r="F48276" s="2423"/>
    </row>
    <row r="48277" s="101" customFormat="1" spans="6:6">
      <c r="F48277" s="2423"/>
    </row>
    <row r="48278" s="101" customFormat="1" spans="6:6">
      <c r="F48278" s="2423"/>
    </row>
    <row r="48279" s="101" customFormat="1" spans="6:6">
      <c r="F48279" s="2423"/>
    </row>
    <row r="48280" s="101" customFormat="1" spans="6:6">
      <c r="F48280" s="2423"/>
    </row>
    <row r="48281" s="101" customFormat="1" spans="6:6">
      <c r="F48281" s="2423"/>
    </row>
    <row r="48282" s="101" customFormat="1" spans="6:6">
      <c r="F48282" s="2423"/>
    </row>
    <row r="48283" s="101" customFormat="1" spans="6:6">
      <c r="F48283" s="2423"/>
    </row>
    <row r="48284" s="101" customFormat="1" spans="6:6">
      <c r="F48284" s="2423"/>
    </row>
    <row r="48285" s="101" customFormat="1" spans="6:6">
      <c r="F48285" s="2423"/>
    </row>
    <row r="48286" s="101" customFormat="1" spans="6:6">
      <c r="F48286" s="2423"/>
    </row>
    <row r="48287" s="101" customFormat="1" spans="6:6">
      <c r="F48287" s="2423"/>
    </row>
    <row r="48288" s="101" customFormat="1" spans="6:6">
      <c r="F48288" s="2423"/>
    </row>
    <row r="48289" s="101" customFormat="1" spans="6:6">
      <c r="F48289" s="2423"/>
    </row>
    <row r="48290" s="101" customFormat="1" spans="6:6">
      <c r="F48290" s="2423"/>
    </row>
    <row r="48291" s="101" customFormat="1" spans="6:6">
      <c r="F48291" s="2423"/>
    </row>
    <row r="48292" s="101" customFormat="1" spans="6:6">
      <c r="F48292" s="2423"/>
    </row>
    <row r="48293" s="101" customFormat="1" spans="6:6">
      <c r="F48293" s="2423"/>
    </row>
    <row r="48294" s="101" customFormat="1" spans="6:6">
      <c r="F48294" s="2423"/>
    </row>
    <row r="48295" s="101" customFormat="1" spans="6:6">
      <c r="F48295" s="2423"/>
    </row>
    <row r="48296" s="101" customFormat="1" spans="6:6">
      <c r="F48296" s="2423"/>
    </row>
    <row r="48297" s="101" customFormat="1" spans="6:6">
      <c r="F48297" s="2423"/>
    </row>
    <row r="48298" s="101" customFormat="1" spans="6:6">
      <c r="F48298" s="2423"/>
    </row>
    <row r="48299" s="101" customFormat="1" spans="6:6">
      <c r="F48299" s="2423"/>
    </row>
    <row r="48300" s="101" customFormat="1" spans="6:6">
      <c r="F48300" s="2423"/>
    </row>
    <row r="48301" s="101" customFormat="1" spans="6:6">
      <c r="F48301" s="2423"/>
    </row>
    <row r="48302" s="101" customFormat="1" spans="6:6">
      <c r="F48302" s="2423"/>
    </row>
    <row r="48303" s="101" customFormat="1" spans="6:6">
      <c r="F48303" s="2423"/>
    </row>
    <row r="48304" s="101" customFormat="1" spans="6:6">
      <c r="F48304" s="2423"/>
    </row>
    <row r="48305" s="101" customFormat="1" spans="6:6">
      <c r="F48305" s="2423"/>
    </row>
    <row r="48306" s="101" customFormat="1" spans="6:6">
      <c r="F48306" s="2423"/>
    </row>
    <row r="48307" s="101" customFormat="1" spans="6:6">
      <c r="F48307" s="2423"/>
    </row>
    <row r="48308" s="101" customFormat="1" spans="6:6">
      <c r="F48308" s="2423"/>
    </row>
    <row r="48309" s="101" customFormat="1" spans="6:6">
      <c r="F48309" s="2423"/>
    </row>
    <row r="48310" s="101" customFormat="1" spans="6:6">
      <c r="F48310" s="2423"/>
    </row>
    <row r="48311" s="101" customFormat="1" spans="6:6">
      <c r="F48311" s="2423"/>
    </row>
    <row r="48312" s="101" customFormat="1" spans="6:6">
      <c r="F48312" s="2423"/>
    </row>
    <row r="48313" s="101" customFormat="1" spans="6:6">
      <c r="F48313" s="2423"/>
    </row>
    <row r="48314" s="101" customFormat="1" spans="6:6">
      <c r="F48314" s="2423"/>
    </row>
    <row r="48315" s="101" customFormat="1" spans="6:6">
      <c r="F48315" s="2423"/>
    </row>
    <row r="48316" s="101" customFormat="1" spans="6:6">
      <c r="F48316" s="2423"/>
    </row>
    <row r="48317" s="101" customFormat="1" spans="6:6">
      <c r="F48317" s="2423"/>
    </row>
    <row r="48318" s="101" customFormat="1" spans="6:6">
      <c r="F48318" s="2423"/>
    </row>
    <row r="48319" s="101" customFormat="1" spans="6:6">
      <c r="F48319" s="2423"/>
    </row>
    <row r="48320" s="101" customFormat="1" spans="6:6">
      <c r="F48320" s="2423"/>
    </row>
    <row r="48321" s="101" customFormat="1" spans="6:6">
      <c r="F48321" s="2423"/>
    </row>
    <row r="48322" s="101" customFormat="1" spans="6:6">
      <c r="F48322" s="2423"/>
    </row>
    <row r="48323" s="101" customFormat="1" spans="6:6">
      <c r="F48323" s="2423"/>
    </row>
    <row r="48324" s="101" customFormat="1" spans="6:6">
      <c r="F48324" s="2423"/>
    </row>
    <row r="48325" s="101" customFormat="1" spans="6:6">
      <c r="F48325" s="2423"/>
    </row>
    <row r="48326" s="101" customFormat="1" spans="6:6">
      <c r="F48326" s="2423"/>
    </row>
    <row r="48327" s="101" customFormat="1" spans="6:6">
      <c r="F48327" s="2423"/>
    </row>
    <row r="48328" s="101" customFormat="1" spans="6:6">
      <c r="F48328" s="2423"/>
    </row>
    <row r="48329" s="101" customFormat="1" spans="6:6">
      <c r="F48329" s="2423"/>
    </row>
    <row r="48330" s="101" customFormat="1" spans="6:6">
      <c r="F48330" s="2423"/>
    </row>
    <row r="48331" s="101" customFormat="1" spans="6:6">
      <c r="F48331" s="2423"/>
    </row>
    <row r="48332" s="101" customFormat="1" spans="6:6">
      <c r="F48332" s="2423"/>
    </row>
    <row r="48333" s="101" customFormat="1" spans="6:6">
      <c r="F48333" s="2423"/>
    </row>
    <row r="48334" s="101" customFormat="1" spans="6:6">
      <c r="F48334" s="2423"/>
    </row>
    <row r="48335" s="101" customFormat="1" spans="6:6">
      <c r="F48335" s="2423"/>
    </row>
    <row r="48336" s="101" customFormat="1" spans="6:6">
      <c r="F48336" s="2423"/>
    </row>
    <row r="48337" s="101" customFormat="1" spans="6:6">
      <c r="F48337" s="2423"/>
    </row>
    <row r="48338" s="101" customFormat="1" spans="6:6">
      <c r="F48338" s="2423"/>
    </row>
    <row r="48339" s="101" customFormat="1" spans="6:6">
      <c r="F48339" s="2423"/>
    </row>
    <row r="48340" s="101" customFormat="1" spans="6:6">
      <c r="F48340" s="2423"/>
    </row>
    <row r="48341" s="101" customFormat="1" spans="6:6">
      <c r="F48341" s="2423"/>
    </row>
    <row r="48342" s="101" customFormat="1" spans="6:6">
      <c r="F48342" s="2423"/>
    </row>
    <row r="48343" s="101" customFormat="1" spans="6:6">
      <c r="F48343" s="2423"/>
    </row>
    <row r="48344" s="101" customFormat="1" spans="6:6">
      <c r="F48344" s="2423"/>
    </row>
    <row r="48345" s="101" customFormat="1" spans="6:6">
      <c r="F48345" s="2423"/>
    </row>
    <row r="48346" s="101" customFormat="1" spans="6:6">
      <c r="F48346" s="2423"/>
    </row>
    <row r="48347" s="101" customFormat="1" spans="6:6">
      <c r="F48347" s="2423"/>
    </row>
    <row r="48348" s="101" customFormat="1" spans="6:6">
      <c r="F48348" s="2423"/>
    </row>
    <row r="48349" s="101" customFormat="1" spans="6:6">
      <c r="F48349" s="2423"/>
    </row>
    <row r="48350" s="101" customFormat="1" spans="6:6">
      <c r="F48350" s="2423"/>
    </row>
    <row r="48351" s="101" customFormat="1" spans="6:6">
      <c r="F48351" s="2423"/>
    </row>
    <row r="48352" s="101" customFormat="1" spans="6:6">
      <c r="F48352" s="2423"/>
    </row>
    <row r="48353" s="101" customFormat="1" spans="6:6">
      <c r="F48353" s="2423"/>
    </row>
    <row r="48354" s="101" customFormat="1" spans="6:6">
      <c r="F48354" s="2423"/>
    </row>
    <row r="48355" s="101" customFormat="1" spans="6:6">
      <c r="F48355" s="2423"/>
    </row>
    <row r="48356" s="101" customFormat="1" spans="6:6">
      <c r="F48356" s="2423"/>
    </row>
    <row r="48357" s="101" customFormat="1" spans="6:6">
      <c r="F48357" s="2423"/>
    </row>
    <row r="48358" s="101" customFormat="1" spans="6:6">
      <c r="F48358" s="2423"/>
    </row>
    <row r="48359" s="101" customFormat="1" spans="6:6">
      <c r="F48359" s="2423"/>
    </row>
    <row r="48360" s="101" customFormat="1" spans="6:6">
      <c r="F48360" s="2423"/>
    </row>
    <row r="48361" s="101" customFormat="1" spans="6:6">
      <c r="F48361" s="2423"/>
    </row>
    <row r="48362" s="101" customFormat="1" spans="6:6">
      <c r="F48362" s="2423"/>
    </row>
    <row r="48363" s="101" customFormat="1" spans="6:6">
      <c r="F48363" s="2423"/>
    </row>
    <row r="48364" s="101" customFormat="1" spans="6:6">
      <c r="F48364" s="2423"/>
    </row>
    <row r="48365" s="101" customFormat="1" spans="6:6">
      <c r="F48365" s="2423"/>
    </row>
    <row r="48366" s="101" customFormat="1" spans="6:6">
      <c r="F48366" s="2423"/>
    </row>
    <row r="48367" s="101" customFormat="1" spans="6:6">
      <c r="F48367" s="2423"/>
    </row>
    <row r="48368" s="101" customFormat="1" spans="6:6">
      <c r="F48368" s="2423"/>
    </row>
    <row r="48369" s="101" customFormat="1" spans="6:6">
      <c r="F48369" s="2423"/>
    </row>
    <row r="48370" s="101" customFormat="1" spans="6:6">
      <c r="F48370" s="2423"/>
    </row>
    <row r="48371" s="101" customFormat="1" spans="6:6">
      <c r="F48371" s="2423"/>
    </row>
    <row r="48372" s="101" customFormat="1" spans="6:6">
      <c r="F48372" s="2423"/>
    </row>
    <row r="48373" s="101" customFormat="1" spans="6:6">
      <c r="F48373" s="2423"/>
    </row>
    <row r="48374" s="101" customFormat="1" spans="6:6">
      <c r="F48374" s="2423"/>
    </row>
    <row r="48375" s="101" customFormat="1" spans="6:6">
      <c r="F48375" s="2423"/>
    </row>
    <row r="48376" s="101" customFormat="1" spans="6:6">
      <c r="F48376" s="2423"/>
    </row>
    <row r="48377" s="101" customFormat="1" spans="6:6">
      <c r="F48377" s="2423"/>
    </row>
    <row r="48378" s="101" customFormat="1" spans="6:6">
      <c r="F48378" s="2423"/>
    </row>
    <row r="48379" s="101" customFormat="1" spans="6:6">
      <c r="F48379" s="2423"/>
    </row>
    <row r="48380" s="101" customFormat="1" spans="6:6">
      <c r="F48380" s="2423"/>
    </row>
    <row r="48381" s="101" customFormat="1" spans="6:6">
      <c r="F48381" s="2423"/>
    </row>
    <row r="48382" s="101" customFormat="1" spans="6:6">
      <c r="F48382" s="2423"/>
    </row>
    <row r="48383" s="101" customFormat="1" spans="6:6">
      <c r="F48383" s="2423"/>
    </row>
    <row r="48384" s="101" customFormat="1" spans="6:6">
      <c r="F48384" s="2423"/>
    </row>
    <row r="48385" s="101" customFormat="1" spans="6:6">
      <c r="F48385" s="2423"/>
    </row>
    <row r="48386" s="101" customFormat="1" spans="6:6">
      <c r="F48386" s="2423"/>
    </row>
    <row r="48387" s="101" customFormat="1" spans="6:6">
      <c r="F48387" s="2423"/>
    </row>
    <row r="48388" s="101" customFormat="1" spans="6:6">
      <c r="F48388" s="2423"/>
    </row>
    <row r="48389" s="101" customFormat="1" spans="6:6">
      <c r="F48389" s="2423"/>
    </row>
    <row r="48390" s="101" customFormat="1" spans="6:6">
      <c r="F48390" s="2423"/>
    </row>
    <row r="48391" s="101" customFormat="1" spans="6:6">
      <c r="F48391" s="2423"/>
    </row>
    <row r="48392" s="101" customFormat="1" spans="6:6">
      <c r="F48392" s="2423"/>
    </row>
    <row r="48393" s="101" customFormat="1" spans="6:6">
      <c r="F48393" s="2423"/>
    </row>
    <row r="48394" s="101" customFormat="1" spans="6:6">
      <c r="F48394" s="2423"/>
    </row>
    <row r="48395" s="101" customFormat="1" spans="6:6">
      <c r="F48395" s="2423"/>
    </row>
    <row r="48396" s="101" customFormat="1" spans="6:6">
      <c r="F48396" s="2423"/>
    </row>
    <row r="48397" s="101" customFormat="1" spans="6:6">
      <c r="F48397" s="2423"/>
    </row>
    <row r="48398" s="101" customFormat="1" spans="6:6">
      <c r="F48398" s="2423"/>
    </row>
    <row r="48399" s="101" customFormat="1" spans="6:6">
      <c r="F48399" s="2423"/>
    </row>
    <row r="48400" s="101" customFormat="1" spans="6:6">
      <c r="F48400" s="2423"/>
    </row>
    <row r="48401" s="101" customFormat="1" spans="6:6">
      <c r="F48401" s="2423"/>
    </row>
    <row r="48402" s="101" customFormat="1" spans="6:6">
      <c r="F48402" s="2423"/>
    </row>
    <row r="48403" s="101" customFormat="1" spans="6:6">
      <c r="F48403" s="2423"/>
    </row>
    <row r="48404" s="101" customFormat="1" spans="6:6">
      <c r="F48404" s="2423"/>
    </row>
    <row r="48405" s="101" customFormat="1" spans="6:6">
      <c r="F48405" s="2423"/>
    </row>
    <row r="48406" s="101" customFormat="1" spans="6:6">
      <c r="F48406" s="2423"/>
    </row>
    <row r="48407" s="101" customFormat="1" spans="6:6">
      <c r="F48407" s="2423"/>
    </row>
    <row r="48408" s="101" customFormat="1" spans="6:6">
      <c r="F48408" s="2423"/>
    </row>
    <row r="48409" s="101" customFormat="1" spans="6:6">
      <c r="F48409" s="2423"/>
    </row>
    <row r="48410" s="101" customFormat="1" spans="6:6">
      <c r="F48410" s="2423"/>
    </row>
    <row r="48411" s="101" customFormat="1" spans="6:6">
      <c r="F48411" s="2423"/>
    </row>
    <row r="48412" s="101" customFormat="1" spans="6:6">
      <c r="F48412" s="2423"/>
    </row>
    <row r="48413" s="101" customFormat="1" spans="6:6">
      <c r="F48413" s="2423"/>
    </row>
    <row r="48414" s="101" customFormat="1" spans="6:6">
      <c r="F48414" s="2423"/>
    </row>
    <row r="48415" s="101" customFormat="1" spans="6:6">
      <c r="F48415" s="2423"/>
    </row>
    <row r="48416" s="101" customFormat="1" spans="6:6">
      <c r="F48416" s="2423"/>
    </row>
    <row r="48417" s="101" customFormat="1" spans="6:6">
      <c r="F48417" s="2423"/>
    </row>
    <row r="48418" s="101" customFormat="1" spans="6:6">
      <c r="F48418" s="2423"/>
    </row>
    <row r="48419" s="101" customFormat="1" spans="6:6">
      <c r="F48419" s="2423"/>
    </row>
    <row r="48420" s="101" customFormat="1" spans="6:6">
      <c r="F48420" s="2423"/>
    </row>
    <row r="48421" s="101" customFormat="1" spans="6:6">
      <c r="F48421" s="2423"/>
    </row>
    <row r="48422" s="101" customFormat="1" spans="6:6">
      <c r="F48422" s="2423"/>
    </row>
    <row r="48423" s="101" customFormat="1" spans="6:6">
      <c r="F48423" s="2423"/>
    </row>
    <row r="48424" s="101" customFormat="1" spans="6:6">
      <c r="F48424" s="2423"/>
    </row>
    <row r="48425" s="101" customFormat="1" spans="6:6">
      <c r="F48425" s="2423"/>
    </row>
    <row r="48426" s="101" customFormat="1" spans="6:6">
      <c r="F48426" s="2423"/>
    </row>
    <row r="48427" s="101" customFormat="1" spans="6:6">
      <c r="F48427" s="2423"/>
    </row>
    <row r="48428" s="101" customFormat="1" spans="6:6">
      <c r="F48428" s="2423"/>
    </row>
    <row r="48429" s="101" customFormat="1" spans="6:6">
      <c r="F48429" s="2423"/>
    </row>
    <row r="48430" s="101" customFormat="1" spans="6:6">
      <c r="F48430" s="2423"/>
    </row>
    <row r="48431" s="101" customFormat="1" spans="6:6">
      <c r="F48431" s="2423"/>
    </row>
    <row r="48432" s="101" customFormat="1" spans="6:6">
      <c r="F48432" s="2423"/>
    </row>
    <row r="48433" s="101" customFormat="1" spans="6:6">
      <c r="F48433" s="2423"/>
    </row>
    <row r="48434" s="101" customFormat="1" spans="6:6">
      <c r="F48434" s="2423"/>
    </row>
    <row r="48435" s="101" customFormat="1" spans="6:6">
      <c r="F48435" s="2423"/>
    </row>
    <row r="48436" s="101" customFormat="1" spans="6:6">
      <c r="F48436" s="2423"/>
    </row>
    <row r="48437" s="101" customFormat="1" spans="6:6">
      <c r="F48437" s="2423"/>
    </row>
    <row r="48438" s="101" customFormat="1" spans="6:6">
      <c r="F48438" s="2423"/>
    </row>
    <row r="48439" s="101" customFormat="1" spans="6:6">
      <c r="F48439" s="2423"/>
    </row>
    <row r="48440" s="101" customFormat="1" spans="6:6">
      <c r="F48440" s="2423"/>
    </row>
    <row r="48441" s="101" customFormat="1" spans="6:6">
      <c r="F48441" s="2423"/>
    </row>
    <row r="48442" s="101" customFormat="1" spans="6:6">
      <c r="F48442" s="2423"/>
    </row>
    <row r="48443" s="101" customFormat="1" spans="6:6">
      <c r="F48443" s="2423"/>
    </row>
    <row r="48444" s="101" customFormat="1" spans="6:6">
      <c r="F48444" s="2423"/>
    </row>
    <row r="48445" s="101" customFormat="1" spans="6:6">
      <c r="F48445" s="2423"/>
    </row>
    <row r="48446" s="101" customFormat="1" spans="6:6">
      <c r="F48446" s="2423"/>
    </row>
    <row r="48447" s="101" customFormat="1" spans="6:6">
      <c r="F48447" s="2423"/>
    </row>
    <row r="48448" s="101" customFormat="1" spans="6:6">
      <c r="F48448" s="2423"/>
    </row>
    <row r="48449" s="101" customFormat="1" spans="6:6">
      <c r="F48449" s="2423"/>
    </row>
    <row r="48450" s="101" customFormat="1" spans="6:6">
      <c r="F48450" s="2423"/>
    </row>
    <row r="48451" s="101" customFormat="1" spans="6:6">
      <c r="F48451" s="2423"/>
    </row>
    <row r="48452" s="101" customFormat="1" spans="6:6">
      <c r="F48452" s="2423"/>
    </row>
    <row r="48453" s="101" customFormat="1" spans="6:6">
      <c r="F48453" s="2423"/>
    </row>
    <row r="48454" s="101" customFormat="1" spans="6:6">
      <c r="F48454" s="2423"/>
    </row>
    <row r="48455" s="101" customFormat="1" spans="6:6">
      <c r="F48455" s="2423"/>
    </row>
    <row r="48456" s="101" customFormat="1" spans="6:6">
      <c r="F48456" s="2423"/>
    </row>
    <row r="48457" s="101" customFormat="1" spans="6:6">
      <c r="F48457" s="2423"/>
    </row>
    <row r="48458" s="101" customFormat="1" spans="6:6">
      <c r="F48458" s="2423"/>
    </row>
    <row r="48459" s="101" customFormat="1" spans="6:6">
      <c r="F48459" s="2423"/>
    </row>
    <row r="48460" s="101" customFormat="1" spans="6:6">
      <c r="F48460" s="2423"/>
    </row>
    <row r="48461" s="101" customFormat="1" spans="6:6">
      <c r="F48461" s="2423"/>
    </row>
    <row r="48462" s="101" customFormat="1" spans="6:6">
      <c r="F48462" s="2423"/>
    </row>
    <row r="48463" s="101" customFormat="1" spans="6:6">
      <c r="F48463" s="2423"/>
    </row>
    <row r="48464" s="101" customFormat="1" spans="6:6">
      <c r="F48464" s="2423"/>
    </row>
    <row r="48465" s="101" customFormat="1" spans="6:6">
      <c r="F48465" s="2423"/>
    </row>
    <row r="48466" s="101" customFormat="1" spans="6:6">
      <c r="F48466" s="2423"/>
    </row>
    <row r="48467" s="101" customFormat="1" spans="6:6">
      <c r="F48467" s="2423"/>
    </row>
    <row r="48468" s="101" customFormat="1" spans="6:6">
      <c r="F48468" s="2423"/>
    </row>
    <row r="48469" s="101" customFormat="1" spans="6:6">
      <c r="F48469" s="2423"/>
    </row>
    <row r="48470" s="101" customFormat="1" spans="6:6">
      <c r="F48470" s="2423"/>
    </row>
    <row r="48471" s="101" customFormat="1" spans="6:6">
      <c r="F48471" s="2423"/>
    </row>
    <row r="48472" s="101" customFormat="1" spans="6:6">
      <c r="F48472" s="2423"/>
    </row>
    <row r="48473" s="101" customFormat="1" spans="6:6">
      <c r="F48473" s="2423"/>
    </row>
    <row r="48474" s="101" customFormat="1" spans="6:6">
      <c r="F48474" s="2423"/>
    </row>
    <row r="48475" s="101" customFormat="1" spans="6:6">
      <c r="F48475" s="2423"/>
    </row>
    <row r="48476" s="101" customFormat="1" spans="6:6">
      <c r="F48476" s="2423"/>
    </row>
    <row r="48477" s="101" customFormat="1" spans="6:6">
      <c r="F48477" s="2423"/>
    </row>
    <row r="48478" s="101" customFormat="1" spans="6:6">
      <c r="F48478" s="2423"/>
    </row>
    <row r="48479" s="101" customFormat="1" spans="6:6">
      <c r="F48479" s="2423"/>
    </row>
    <row r="48480" s="101" customFormat="1" spans="6:6">
      <c r="F48480" s="2423"/>
    </row>
    <row r="48481" s="101" customFormat="1" spans="6:6">
      <c r="F48481" s="2423"/>
    </row>
    <row r="48482" s="101" customFormat="1" spans="6:6">
      <c r="F48482" s="2423"/>
    </row>
    <row r="48483" s="101" customFormat="1" spans="6:6">
      <c r="F48483" s="2423"/>
    </row>
    <row r="48484" s="101" customFormat="1" spans="6:6">
      <c r="F48484" s="2423"/>
    </row>
    <row r="48485" s="101" customFormat="1" spans="6:6">
      <c r="F48485" s="2423"/>
    </row>
    <row r="48486" s="101" customFormat="1" spans="6:6">
      <c r="F48486" s="2423"/>
    </row>
    <row r="48487" s="101" customFormat="1" spans="6:6">
      <c r="F48487" s="2423"/>
    </row>
    <row r="48488" s="101" customFormat="1" spans="6:6">
      <c r="F48488" s="2423"/>
    </row>
    <row r="48489" s="101" customFormat="1" spans="6:6">
      <c r="F48489" s="2423"/>
    </row>
    <row r="48490" s="101" customFormat="1" spans="6:6">
      <c r="F48490" s="2423"/>
    </row>
    <row r="48491" s="101" customFormat="1" spans="6:6">
      <c r="F48491" s="2423"/>
    </row>
    <row r="48492" s="101" customFormat="1" spans="6:6">
      <c r="F48492" s="2423"/>
    </row>
    <row r="48493" s="101" customFormat="1" spans="6:6">
      <c r="F48493" s="2423"/>
    </row>
    <row r="48494" s="101" customFormat="1" spans="6:6">
      <c r="F48494" s="2423"/>
    </row>
    <row r="48495" s="101" customFormat="1" spans="6:6">
      <c r="F48495" s="2423"/>
    </row>
    <row r="48496" s="101" customFormat="1" spans="6:6">
      <c r="F48496" s="2423"/>
    </row>
    <row r="48497" s="101" customFormat="1" spans="6:6">
      <c r="F48497" s="2423"/>
    </row>
    <row r="48498" s="101" customFormat="1" spans="6:6">
      <c r="F48498" s="2423"/>
    </row>
    <row r="48499" s="101" customFormat="1" spans="6:6">
      <c r="F48499" s="2423"/>
    </row>
    <row r="48500" s="101" customFormat="1" spans="6:6">
      <c r="F48500" s="2423"/>
    </row>
    <row r="48501" s="101" customFormat="1" spans="6:6">
      <c r="F48501" s="2423"/>
    </row>
    <row r="48502" s="101" customFormat="1" spans="6:6">
      <c r="F48502" s="2423"/>
    </row>
    <row r="48503" s="101" customFormat="1" spans="6:6">
      <c r="F48503" s="2423"/>
    </row>
    <row r="48504" s="101" customFormat="1" spans="6:6">
      <c r="F48504" s="2423"/>
    </row>
    <row r="48505" s="101" customFormat="1" spans="6:6">
      <c r="F48505" s="2423"/>
    </row>
    <row r="48506" s="101" customFormat="1" spans="6:6">
      <c r="F48506" s="2423"/>
    </row>
    <row r="48507" s="101" customFormat="1" spans="6:6">
      <c r="F48507" s="2423"/>
    </row>
    <row r="48508" s="101" customFormat="1" spans="6:6">
      <c r="F48508" s="2423"/>
    </row>
    <row r="48509" s="101" customFormat="1" spans="6:6">
      <c r="F48509" s="2423"/>
    </row>
    <row r="48510" s="101" customFormat="1" spans="6:6">
      <c r="F48510" s="2423"/>
    </row>
    <row r="48511" s="101" customFormat="1" spans="6:6">
      <c r="F48511" s="2423"/>
    </row>
    <row r="48512" s="101" customFormat="1" spans="6:6">
      <c r="F48512" s="2423"/>
    </row>
    <row r="48513" s="101" customFormat="1" spans="6:6">
      <c r="F48513" s="2423"/>
    </row>
    <row r="48514" s="101" customFormat="1" spans="6:6">
      <c r="F48514" s="2423"/>
    </row>
    <row r="48515" s="101" customFormat="1" spans="6:6">
      <c r="F48515" s="2423"/>
    </row>
    <row r="48516" s="101" customFormat="1" spans="6:6">
      <c r="F48516" s="2423"/>
    </row>
    <row r="48517" s="101" customFormat="1" spans="6:6">
      <c r="F48517" s="2423"/>
    </row>
    <row r="48518" s="101" customFormat="1" spans="6:6">
      <c r="F48518" s="2423"/>
    </row>
    <row r="48519" s="101" customFormat="1" spans="6:6">
      <c r="F48519" s="2423"/>
    </row>
    <row r="48520" s="101" customFormat="1" spans="6:6">
      <c r="F48520" s="2423"/>
    </row>
    <row r="48521" s="101" customFormat="1" spans="6:6">
      <c r="F48521" s="2423"/>
    </row>
    <row r="48522" s="101" customFormat="1" spans="6:6">
      <c r="F48522" s="2423"/>
    </row>
    <row r="48523" s="101" customFormat="1" spans="6:6">
      <c r="F48523" s="2423"/>
    </row>
    <row r="48524" s="101" customFormat="1" spans="6:6">
      <c r="F48524" s="2423"/>
    </row>
    <row r="48525" s="101" customFormat="1" spans="6:6">
      <c r="F48525" s="2423"/>
    </row>
    <row r="48526" s="101" customFormat="1" spans="6:6">
      <c r="F48526" s="2423"/>
    </row>
    <row r="48527" s="101" customFormat="1" spans="6:6">
      <c r="F48527" s="2423"/>
    </row>
    <row r="48528" s="101" customFormat="1" spans="6:6">
      <c r="F48528" s="2423"/>
    </row>
    <row r="48529" s="101" customFormat="1" spans="6:6">
      <c r="F48529" s="2423"/>
    </row>
    <row r="48530" s="101" customFormat="1" spans="6:6">
      <c r="F48530" s="2423"/>
    </row>
    <row r="48531" s="101" customFormat="1" spans="6:6">
      <c r="F48531" s="2423"/>
    </row>
    <row r="48532" s="101" customFormat="1" spans="6:6">
      <c r="F48532" s="2423"/>
    </row>
    <row r="48533" s="101" customFormat="1" spans="6:6">
      <c r="F48533" s="2423"/>
    </row>
    <row r="48534" s="101" customFormat="1" spans="6:6">
      <c r="F48534" s="2423"/>
    </row>
    <row r="48535" s="101" customFormat="1" spans="6:6">
      <c r="F48535" s="2423"/>
    </row>
    <row r="48536" s="101" customFormat="1" spans="6:6">
      <c r="F48536" s="2423"/>
    </row>
    <row r="48537" s="101" customFormat="1" spans="6:6">
      <c r="F48537" s="2423"/>
    </row>
    <row r="48538" s="101" customFormat="1" spans="6:6">
      <c r="F48538" s="2423"/>
    </row>
    <row r="48539" s="101" customFormat="1" spans="6:6">
      <c r="F48539" s="2423"/>
    </row>
    <row r="48540" s="101" customFormat="1" spans="6:6">
      <c r="F48540" s="2423"/>
    </row>
    <row r="48541" s="101" customFormat="1" spans="6:6">
      <c r="F48541" s="2423"/>
    </row>
    <row r="48542" s="101" customFormat="1" spans="6:6">
      <c r="F48542" s="2423"/>
    </row>
    <row r="48543" s="101" customFormat="1" spans="6:6">
      <c r="F48543" s="2423"/>
    </row>
    <row r="48544" s="101" customFormat="1" spans="6:6">
      <c r="F48544" s="2423"/>
    </row>
    <row r="48545" s="101" customFormat="1" spans="6:6">
      <c r="F48545" s="2423"/>
    </row>
    <row r="48546" s="101" customFormat="1" spans="6:6">
      <c r="F48546" s="2423"/>
    </row>
    <row r="48547" s="101" customFormat="1" spans="6:6">
      <c r="F48547" s="2423"/>
    </row>
    <row r="48548" s="101" customFormat="1" spans="6:6">
      <c r="F48548" s="2423"/>
    </row>
    <row r="48549" s="101" customFormat="1" spans="6:6">
      <c r="F48549" s="2423"/>
    </row>
    <row r="48550" s="101" customFormat="1" spans="6:6">
      <c r="F48550" s="2423"/>
    </row>
    <row r="48551" s="101" customFormat="1" spans="6:6">
      <c r="F48551" s="2423"/>
    </row>
    <row r="48552" s="101" customFormat="1" spans="6:6">
      <c r="F48552" s="2423"/>
    </row>
    <row r="48553" s="101" customFormat="1" spans="6:6">
      <c r="F48553" s="2423"/>
    </row>
    <row r="48554" s="101" customFormat="1" spans="6:6">
      <c r="F48554" s="2423"/>
    </row>
    <row r="48555" s="101" customFormat="1" spans="6:6">
      <c r="F48555" s="2423"/>
    </row>
    <row r="48556" s="101" customFormat="1" spans="6:6">
      <c r="F48556" s="2423"/>
    </row>
    <row r="48557" s="101" customFormat="1" spans="6:6">
      <c r="F48557" s="2423"/>
    </row>
    <row r="48558" s="101" customFormat="1" spans="6:6">
      <c r="F48558" s="2423"/>
    </row>
    <row r="48559" s="101" customFormat="1" spans="6:6">
      <c r="F48559" s="2423"/>
    </row>
    <row r="48560" s="101" customFormat="1" spans="6:6">
      <c r="F48560" s="2423"/>
    </row>
    <row r="48561" s="101" customFormat="1" spans="6:6">
      <c r="F48561" s="2423"/>
    </row>
    <row r="48562" s="101" customFormat="1" spans="6:6">
      <c r="F48562" s="2423"/>
    </row>
    <row r="48563" s="101" customFormat="1" spans="6:6">
      <c r="F48563" s="2423"/>
    </row>
    <row r="48564" s="101" customFormat="1" spans="6:6">
      <c r="F48564" s="2423"/>
    </row>
    <row r="48565" s="101" customFormat="1" spans="6:6">
      <c r="F48565" s="2423"/>
    </row>
    <row r="48566" s="101" customFormat="1" spans="6:6">
      <c r="F48566" s="2423"/>
    </row>
    <row r="48567" s="101" customFormat="1" spans="6:6">
      <c r="F48567" s="2423"/>
    </row>
    <row r="48568" s="101" customFormat="1" spans="6:6">
      <c r="F48568" s="2423"/>
    </row>
    <row r="48569" s="101" customFormat="1" spans="6:6">
      <c r="F48569" s="2423"/>
    </row>
    <row r="48570" s="101" customFormat="1" spans="6:6">
      <c r="F48570" s="2423"/>
    </row>
    <row r="48571" s="101" customFormat="1" spans="6:6">
      <c r="F48571" s="2423"/>
    </row>
    <row r="48572" s="101" customFormat="1" spans="6:6">
      <c r="F48572" s="2423"/>
    </row>
    <row r="48573" s="101" customFormat="1" spans="6:6">
      <c r="F48573" s="2423"/>
    </row>
    <row r="48574" s="101" customFormat="1" spans="6:6">
      <c r="F48574" s="2423"/>
    </row>
    <row r="48575" s="101" customFormat="1" spans="6:6">
      <c r="F48575" s="2423"/>
    </row>
    <row r="48576" s="101" customFormat="1" spans="6:6">
      <c r="F48576" s="2423"/>
    </row>
    <row r="48577" s="101" customFormat="1" spans="6:6">
      <c r="F48577" s="2423"/>
    </row>
    <row r="48578" s="101" customFormat="1" spans="6:6">
      <c r="F48578" s="2423"/>
    </row>
    <row r="48579" s="101" customFormat="1" spans="6:6">
      <c r="F48579" s="2423"/>
    </row>
    <row r="48580" s="101" customFormat="1" spans="6:6">
      <c r="F48580" s="2423"/>
    </row>
    <row r="48581" s="101" customFormat="1" spans="6:6">
      <c r="F48581" s="2423"/>
    </row>
    <row r="48582" s="101" customFormat="1" spans="6:6">
      <c r="F48582" s="2423"/>
    </row>
    <row r="48583" s="101" customFormat="1" spans="6:6">
      <c r="F48583" s="2423"/>
    </row>
    <row r="48584" s="101" customFormat="1" spans="6:6">
      <c r="F48584" s="2423"/>
    </row>
    <row r="48585" s="101" customFormat="1" spans="6:6">
      <c r="F48585" s="2423"/>
    </row>
    <row r="48586" s="101" customFormat="1" spans="6:6">
      <c r="F48586" s="2423"/>
    </row>
    <row r="48587" s="101" customFormat="1" spans="6:6">
      <c r="F48587" s="2423"/>
    </row>
    <row r="48588" s="101" customFormat="1" spans="6:6">
      <c r="F48588" s="2423"/>
    </row>
    <row r="48589" s="101" customFormat="1" spans="6:6">
      <c r="F48589" s="2423"/>
    </row>
    <row r="48590" s="101" customFormat="1" spans="6:6">
      <c r="F48590" s="2423"/>
    </row>
    <row r="48591" s="101" customFormat="1" spans="6:6">
      <c r="F48591" s="2423"/>
    </row>
    <row r="48592" s="101" customFormat="1" spans="6:6">
      <c r="F48592" s="2423"/>
    </row>
    <row r="48593" s="101" customFormat="1" spans="6:6">
      <c r="F48593" s="2423"/>
    </row>
    <row r="48594" s="101" customFormat="1" spans="6:6">
      <c r="F48594" s="2423"/>
    </row>
    <row r="48595" s="101" customFormat="1" spans="6:6">
      <c r="F48595" s="2423"/>
    </row>
    <row r="48596" s="101" customFormat="1" spans="6:6">
      <c r="F48596" s="2423"/>
    </row>
    <row r="48597" s="101" customFormat="1" spans="6:6">
      <c r="F48597" s="2423"/>
    </row>
    <row r="48598" s="101" customFormat="1" spans="6:6">
      <c r="F48598" s="2423"/>
    </row>
    <row r="48599" s="101" customFormat="1" spans="6:6">
      <c r="F48599" s="2423"/>
    </row>
    <row r="48600" s="101" customFormat="1" spans="6:6">
      <c r="F48600" s="2423"/>
    </row>
    <row r="48601" s="101" customFormat="1" spans="6:6">
      <c r="F48601" s="2423"/>
    </row>
    <row r="48602" s="101" customFormat="1" spans="6:6">
      <c r="F48602" s="2423"/>
    </row>
    <row r="48603" s="101" customFormat="1" spans="6:6">
      <c r="F48603" s="2423"/>
    </row>
    <row r="48604" s="101" customFormat="1" spans="6:6">
      <c r="F48604" s="2423"/>
    </row>
    <row r="48605" s="101" customFormat="1" spans="6:6">
      <c r="F48605" s="2423"/>
    </row>
    <row r="48606" s="101" customFormat="1" spans="6:6">
      <c r="F48606" s="2423"/>
    </row>
    <row r="48607" s="101" customFormat="1" spans="6:6">
      <c r="F48607" s="2423"/>
    </row>
    <row r="48608" s="101" customFormat="1" spans="6:6">
      <c r="F48608" s="2423"/>
    </row>
    <row r="48609" s="101" customFormat="1" spans="6:6">
      <c r="F48609" s="2423"/>
    </row>
    <row r="48610" s="101" customFormat="1" spans="6:6">
      <c r="F48610" s="2423"/>
    </row>
    <row r="48611" s="101" customFormat="1" spans="6:6">
      <c r="F48611" s="2423"/>
    </row>
    <row r="48612" s="101" customFormat="1" spans="6:6">
      <c r="F48612" s="2423"/>
    </row>
    <row r="48613" s="101" customFormat="1" spans="6:6">
      <c r="F48613" s="2423"/>
    </row>
    <row r="48614" s="101" customFormat="1" spans="6:6">
      <c r="F48614" s="2423"/>
    </row>
    <row r="48615" s="101" customFormat="1" spans="6:6">
      <c r="F48615" s="2423"/>
    </row>
    <row r="48616" s="101" customFormat="1" spans="6:6">
      <c r="F48616" s="2423"/>
    </row>
    <row r="48617" s="101" customFormat="1" spans="6:6">
      <c r="F48617" s="2423"/>
    </row>
    <row r="48618" s="101" customFormat="1" spans="6:6">
      <c r="F48618" s="2423"/>
    </row>
    <row r="48619" s="101" customFormat="1" spans="6:6">
      <c r="F48619" s="2423"/>
    </row>
    <row r="48620" s="101" customFormat="1" spans="6:6">
      <c r="F48620" s="2423"/>
    </row>
    <row r="48621" s="101" customFormat="1" spans="6:6">
      <c r="F48621" s="2423"/>
    </row>
    <row r="48622" s="101" customFormat="1" spans="6:6">
      <c r="F48622" s="2423"/>
    </row>
    <row r="48623" s="101" customFormat="1" spans="6:6">
      <c r="F48623" s="2423"/>
    </row>
    <row r="48624" s="101" customFormat="1" spans="6:6">
      <c r="F48624" s="2423"/>
    </row>
    <row r="48625" s="101" customFormat="1" spans="6:6">
      <c r="F48625" s="2423"/>
    </row>
    <row r="48626" s="101" customFormat="1" spans="6:6">
      <c r="F48626" s="2423"/>
    </row>
    <row r="48627" s="101" customFormat="1" spans="6:6">
      <c r="F48627" s="2423"/>
    </row>
    <row r="48628" s="101" customFormat="1" spans="6:6">
      <c r="F48628" s="2423"/>
    </row>
    <row r="48629" s="101" customFormat="1" spans="6:6">
      <c r="F48629" s="2423"/>
    </row>
    <row r="48630" s="101" customFormat="1" spans="6:6">
      <c r="F48630" s="2423"/>
    </row>
    <row r="48631" s="101" customFormat="1" spans="6:6">
      <c r="F48631" s="2423"/>
    </row>
    <row r="48632" s="101" customFormat="1" spans="6:6">
      <c r="F48632" s="2423"/>
    </row>
    <row r="48633" s="101" customFormat="1" spans="6:6">
      <c r="F48633" s="2423"/>
    </row>
    <row r="48634" s="101" customFormat="1" spans="6:6">
      <c r="F48634" s="2423"/>
    </row>
    <row r="48635" s="101" customFormat="1" spans="6:6">
      <c r="F48635" s="2423"/>
    </row>
    <row r="48636" s="101" customFormat="1" spans="6:6">
      <c r="F48636" s="2423"/>
    </row>
    <row r="48637" s="101" customFormat="1" spans="6:6">
      <c r="F48637" s="2423"/>
    </row>
    <row r="48638" s="101" customFormat="1" spans="6:6">
      <c r="F48638" s="2423"/>
    </row>
    <row r="48639" s="101" customFormat="1" spans="6:6">
      <c r="F48639" s="2423"/>
    </row>
    <row r="48640" s="101" customFormat="1" spans="6:6">
      <c r="F48640" s="2423"/>
    </row>
    <row r="48641" s="101" customFormat="1" spans="6:6">
      <c r="F48641" s="2423"/>
    </row>
    <row r="48642" s="101" customFormat="1" spans="6:6">
      <c r="F48642" s="2423"/>
    </row>
    <row r="48643" s="101" customFormat="1" spans="6:6">
      <c r="F48643" s="2423"/>
    </row>
    <row r="48644" s="101" customFormat="1" spans="6:6">
      <c r="F48644" s="2423"/>
    </row>
    <row r="48645" s="101" customFormat="1" spans="6:6">
      <c r="F48645" s="2423"/>
    </row>
    <row r="48646" s="101" customFormat="1" spans="6:6">
      <c r="F48646" s="2423"/>
    </row>
    <row r="48647" s="101" customFormat="1" spans="6:6">
      <c r="F48647" s="2423"/>
    </row>
    <row r="48648" s="101" customFormat="1" spans="6:6">
      <c r="F48648" s="2423"/>
    </row>
    <row r="48649" s="101" customFormat="1" spans="6:6">
      <c r="F48649" s="2423"/>
    </row>
    <row r="48650" s="101" customFormat="1" spans="6:6">
      <c r="F48650" s="2423"/>
    </row>
    <row r="48651" s="101" customFormat="1" spans="6:6">
      <c r="F48651" s="2423"/>
    </row>
    <row r="48652" s="101" customFormat="1" spans="6:6">
      <c r="F48652" s="2423"/>
    </row>
    <row r="48653" s="101" customFormat="1" spans="6:6">
      <c r="F48653" s="2423"/>
    </row>
    <row r="48654" s="101" customFormat="1" spans="6:6">
      <c r="F48654" s="2423"/>
    </row>
    <row r="48655" s="101" customFormat="1" spans="6:6">
      <c r="F48655" s="2423"/>
    </row>
    <row r="48656" s="101" customFormat="1" spans="6:6">
      <c r="F48656" s="2423"/>
    </row>
    <row r="48657" s="101" customFormat="1" spans="6:6">
      <c r="F48657" s="2423"/>
    </row>
    <row r="48658" s="101" customFormat="1" spans="6:6">
      <c r="F48658" s="2423"/>
    </row>
    <row r="48659" s="101" customFormat="1" spans="6:6">
      <c r="F48659" s="2423"/>
    </row>
    <row r="48660" s="101" customFormat="1" spans="6:6">
      <c r="F48660" s="2423"/>
    </row>
    <row r="48661" s="101" customFormat="1" spans="6:6">
      <c r="F48661" s="2423"/>
    </row>
    <row r="48662" s="101" customFormat="1" spans="6:6">
      <c r="F48662" s="2423"/>
    </row>
    <row r="48663" s="101" customFormat="1" spans="6:6">
      <c r="F48663" s="2423"/>
    </row>
    <row r="48664" s="101" customFormat="1" spans="6:6">
      <c r="F48664" s="2423"/>
    </row>
    <row r="48665" s="101" customFormat="1" spans="6:6">
      <c r="F48665" s="2423"/>
    </row>
    <row r="48666" s="101" customFormat="1" spans="6:6">
      <c r="F48666" s="2423"/>
    </row>
    <row r="48667" s="101" customFormat="1" spans="6:6">
      <c r="F48667" s="2423"/>
    </row>
    <row r="48668" s="101" customFormat="1" spans="6:6">
      <c r="F48668" s="2423"/>
    </row>
    <row r="48669" s="101" customFormat="1" spans="6:6">
      <c r="F48669" s="2423"/>
    </row>
    <row r="48670" s="101" customFormat="1" spans="6:6">
      <c r="F48670" s="2423"/>
    </row>
    <row r="48671" s="101" customFormat="1" spans="6:6">
      <c r="F48671" s="2423"/>
    </row>
    <row r="48672" s="101" customFormat="1" spans="6:6">
      <c r="F48672" s="2423"/>
    </row>
    <row r="48673" s="101" customFormat="1" spans="6:6">
      <c r="F48673" s="2423"/>
    </row>
    <row r="48674" s="101" customFormat="1" spans="6:6">
      <c r="F48674" s="2423"/>
    </row>
    <row r="48675" s="101" customFormat="1" spans="6:6">
      <c r="F48675" s="2423"/>
    </row>
    <row r="48676" s="101" customFormat="1" spans="6:6">
      <c r="F48676" s="2423"/>
    </row>
    <row r="48677" s="101" customFormat="1" spans="6:6">
      <c r="F48677" s="2423"/>
    </row>
    <row r="48678" s="101" customFormat="1" spans="6:6">
      <c r="F48678" s="2423"/>
    </row>
    <row r="48679" s="101" customFormat="1" spans="6:6">
      <c r="F48679" s="2423"/>
    </row>
    <row r="48680" s="101" customFormat="1" spans="6:6">
      <c r="F48680" s="2423"/>
    </row>
    <row r="48681" s="101" customFormat="1" spans="6:6">
      <c r="F48681" s="2423"/>
    </row>
    <row r="48682" s="101" customFormat="1" spans="6:6">
      <c r="F48682" s="2423"/>
    </row>
    <row r="48683" s="101" customFormat="1" spans="6:6">
      <c r="F48683" s="2423"/>
    </row>
    <row r="48684" s="101" customFormat="1" spans="6:6">
      <c r="F48684" s="2423"/>
    </row>
    <row r="48685" s="101" customFormat="1" spans="6:6">
      <c r="F48685" s="2423"/>
    </row>
    <row r="48686" s="101" customFormat="1" spans="6:6">
      <c r="F48686" s="2423"/>
    </row>
    <row r="48687" s="101" customFormat="1" spans="6:6">
      <c r="F48687" s="2423"/>
    </row>
    <row r="48688" s="101" customFormat="1" spans="6:6">
      <c r="F48688" s="2423"/>
    </row>
    <row r="48689" s="101" customFormat="1" spans="6:6">
      <c r="F48689" s="2423"/>
    </row>
    <row r="48690" s="101" customFormat="1" spans="6:6">
      <c r="F48690" s="2423"/>
    </row>
    <row r="48691" s="101" customFormat="1" spans="6:6">
      <c r="F48691" s="2423"/>
    </row>
    <row r="48692" s="101" customFormat="1" spans="6:6">
      <c r="F48692" s="2423"/>
    </row>
    <row r="48693" s="101" customFormat="1" spans="6:6">
      <c r="F48693" s="2423"/>
    </row>
    <row r="48694" s="101" customFormat="1" spans="6:6">
      <c r="F48694" s="2423"/>
    </row>
    <row r="48695" s="101" customFormat="1" spans="6:6">
      <c r="F48695" s="2423"/>
    </row>
    <row r="48696" s="101" customFormat="1" spans="6:6">
      <c r="F48696" s="2423"/>
    </row>
    <row r="48697" s="101" customFormat="1" spans="6:6">
      <c r="F48697" s="2423"/>
    </row>
    <row r="48698" s="101" customFormat="1" spans="6:6">
      <c r="F48698" s="2423"/>
    </row>
    <row r="48699" s="101" customFormat="1" spans="6:6">
      <c r="F48699" s="2423"/>
    </row>
    <row r="48700" s="101" customFormat="1" spans="6:6">
      <c r="F48700" s="2423"/>
    </row>
    <row r="48701" s="101" customFormat="1" spans="6:6">
      <c r="F48701" s="2423"/>
    </row>
    <row r="48702" s="101" customFormat="1" spans="6:6">
      <c r="F48702" s="2423"/>
    </row>
    <row r="48703" s="101" customFormat="1" spans="6:6">
      <c r="F48703" s="2423"/>
    </row>
    <row r="48704" s="101" customFormat="1" spans="6:6">
      <c r="F48704" s="2423"/>
    </row>
    <row r="48705" s="101" customFormat="1" spans="6:6">
      <c r="F48705" s="2423"/>
    </row>
    <row r="48706" s="101" customFormat="1" spans="6:6">
      <c r="F48706" s="2423"/>
    </row>
    <row r="48707" s="101" customFormat="1" spans="6:6">
      <c r="F48707" s="2423"/>
    </row>
    <row r="48708" s="101" customFormat="1" spans="6:6">
      <c r="F48708" s="2423"/>
    </row>
    <row r="48709" s="101" customFormat="1" spans="6:6">
      <c r="F48709" s="2423"/>
    </row>
    <row r="48710" s="101" customFormat="1" spans="6:6">
      <c r="F48710" s="2423"/>
    </row>
    <row r="48711" s="101" customFormat="1" spans="6:6">
      <c r="F48711" s="2423"/>
    </row>
    <row r="48712" s="101" customFormat="1" spans="6:6">
      <c r="F48712" s="2423"/>
    </row>
    <row r="48713" s="101" customFormat="1" spans="6:6">
      <c r="F48713" s="2423"/>
    </row>
    <row r="48714" s="101" customFormat="1" spans="6:6">
      <c r="F48714" s="2423"/>
    </row>
    <row r="48715" s="101" customFormat="1" spans="6:6">
      <c r="F48715" s="2423"/>
    </row>
    <row r="48716" s="101" customFormat="1" spans="6:6">
      <c r="F48716" s="2423"/>
    </row>
    <row r="48717" s="101" customFormat="1" spans="6:6">
      <c r="F48717" s="2423"/>
    </row>
    <row r="48718" s="101" customFormat="1" spans="6:6">
      <c r="F48718" s="2423"/>
    </row>
    <row r="48719" s="101" customFormat="1" spans="6:6">
      <c r="F48719" s="2423"/>
    </row>
    <row r="48720" s="101" customFormat="1" spans="6:6">
      <c r="F48720" s="2423"/>
    </row>
    <row r="48721" s="101" customFormat="1" spans="6:6">
      <c r="F48721" s="2423"/>
    </row>
    <row r="48722" s="101" customFormat="1" spans="6:6">
      <c r="F48722" s="2423"/>
    </row>
    <row r="48723" s="101" customFormat="1" spans="6:6">
      <c r="F48723" s="2423"/>
    </row>
    <row r="48724" s="101" customFormat="1" spans="6:6">
      <c r="F48724" s="2423"/>
    </row>
    <row r="48725" s="101" customFormat="1" spans="6:6">
      <c r="F48725" s="2423"/>
    </row>
    <row r="48726" s="101" customFormat="1" spans="6:6">
      <c r="F48726" s="2423"/>
    </row>
    <row r="48727" s="101" customFormat="1" spans="6:6">
      <c r="F48727" s="2423"/>
    </row>
    <row r="48728" s="101" customFormat="1" spans="6:6">
      <c r="F48728" s="2423"/>
    </row>
    <row r="48729" s="101" customFormat="1" spans="6:6">
      <c r="F48729" s="2423"/>
    </row>
    <row r="48730" s="101" customFormat="1" spans="6:6">
      <c r="F48730" s="2423"/>
    </row>
    <row r="48731" s="101" customFormat="1" spans="6:6">
      <c r="F48731" s="2423"/>
    </row>
    <row r="48732" s="101" customFormat="1" spans="6:6">
      <c r="F48732" s="2423"/>
    </row>
    <row r="48733" s="101" customFormat="1" spans="6:6">
      <c r="F48733" s="2423"/>
    </row>
    <row r="48734" s="101" customFormat="1" spans="6:6">
      <c r="F48734" s="2423"/>
    </row>
    <row r="48735" s="101" customFormat="1" spans="6:6">
      <c r="F48735" s="2423"/>
    </row>
    <row r="48736" s="101" customFormat="1" spans="6:6">
      <c r="F48736" s="2423"/>
    </row>
    <row r="48737" s="101" customFormat="1" spans="6:6">
      <c r="F48737" s="2423"/>
    </row>
    <row r="48738" s="101" customFormat="1" spans="6:6">
      <c r="F48738" s="2423"/>
    </row>
    <row r="48739" s="101" customFormat="1" spans="6:6">
      <c r="F48739" s="2423"/>
    </row>
    <row r="48740" s="101" customFormat="1" spans="6:6">
      <c r="F48740" s="2423"/>
    </row>
    <row r="48741" s="101" customFormat="1" spans="6:6">
      <c r="F48741" s="2423"/>
    </row>
    <row r="48742" s="101" customFormat="1" spans="6:6">
      <c r="F48742" s="2423"/>
    </row>
    <row r="48743" s="101" customFormat="1" spans="6:6">
      <c r="F48743" s="2423"/>
    </row>
    <row r="48744" s="101" customFormat="1" spans="6:6">
      <c r="F48744" s="2423"/>
    </row>
    <row r="48745" s="101" customFormat="1" spans="6:6">
      <c r="F48745" s="2423"/>
    </row>
    <row r="48746" s="101" customFormat="1" spans="6:6">
      <c r="F48746" s="2423"/>
    </row>
    <row r="48747" s="101" customFormat="1" spans="6:6">
      <c r="F48747" s="2423"/>
    </row>
    <row r="48748" s="101" customFormat="1" spans="6:6">
      <c r="F48748" s="2423"/>
    </row>
    <row r="48749" s="101" customFormat="1" spans="6:6">
      <c r="F48749" s="2423"/>
    </row>
    <row r="48750" s="101" customFormat="1" spans="6:6">
      <c r="F48750" s="2423"/>
    </row>
    <row r="48751" s="101" customFormat="1" spans="6:6">
      <c r="F48751" s="2423"/>
    </row>
    <row r="48752" s="101" customFormat="1" spans="6:6">
      <c r="F48752" s="2423"/>
    </row>
    <row r="48753" s="101" customFormat="1" spans="6:6">
      <c r="F48753" s="2423"/>
    </row>
    <row r="48754" s="101" customFormat="1" spans="6:6">
      <c r="F48754" s="2423"/>
    </row>
    <row r="48755" s="101" customFormat="1" spans="6:6">
      <c r="F48755" s="2423"/>
    </row>
    <row r="48756" s="101" customFormat="1" spans="6:6">
      <c r="F48756" s="2423"/>
    </row>
    <row r="48757" s="101" customFormat="1" spans="6:6">
      <c r="F48757" s="2423"/>
    </row>
    <row r="48758" s="101" customFormat="1" spans="6:6">
      <c r="F48758" s="2423"/>
    </row>
    <row r="48759" s="101" customFormat="1" spans="6:6">
      <c r="F48759" s="2423"/>
    </row>
    <row r="48760" s="101" customFormat="1" spans="6:6">
      <c r="F48760" s="2423"/>
    </row>
    <row r="48761" s="101" customFormat="1" spans="6:6">
      <c r="F48761" s="2423"/>
    </row>
    <row r="48762" s="101" customFormat="1" spans="6:6">
      <c r="F48762" s="2423"/>
    </row>
    <row r="48763" s="101" customFormat="1" spans="6:6">
      <c r="F48763" s="2423"/>
    </row>
    <row r="48764" s="101" customFormat="1" spans="6:6">
      <c r="F48764" s="2423"/>
    </row>
    <row r="48765" s="101" customFormat="1" spans="6:6">
      <c r="F48765" s="2423"/>
    </row>
    <row r="48766" s="101" customFormat="1" spans="6:6">
      <c r="F48766" s="2423"/>
    </row>
    <row r="48767" s="101" customFormat="1" spans="6:6">
      <c r="F48767" s="2423"/>
    </row>
    <row r="48768" s="101" customFormat="1" spans="6:6">
      <c r="F48768" s="2423"/>
    </row>
    <row r="48769" s="101" customFormat="1" spans="6:6">
      <c r="F48769" s="2423"/>
    </row>
    <row r="48770" s="101" customFormat="1" spans="6:6">
      <c r="F48770" s="2423"/>
    </row>
    <row r="48771" s="101" customFormat="1" spans="6:6">
      <c r="F48771" s="2423"/>
    </row>
    <row r="48772" s="101" customFormat="1" spans="6:6">
      <c r="F48772" s="2423"/>
    </row>
    <row r="48773" s="101" customFormat="1" spans="6:6">
      <c r="F48773" s="2423"/>
    </row>
    <row r="48774" s="101" customFormat="1" spans="6:6">
      <c r="F48774" s="2423"/>
    </row>
    <row r="48775" s="101" customFormat="1" spans="6:6">
      <c r="F48775" s="2423"/>
    </row>
    <row r="48776" s="101" customFormat="1" spans="6:6">
      <c r="F48776" s="2423"/>
    </row>
    <row r="48777" s="101" customFormat="1" spans="6:6">
      <c r="F48777" s="2423"/>
    </row>
    <row r="48778" s="101" customFormat="1" spans="6:6">
      <c r="F48778" s="2423"/>
    </row>
    <row r="48779" s="101" customFormat="1" spans="6:6">
      <c r="F48779" s="2423"/>
    </row>
    <row r="48780" s="101" customFormat="1" spans="6:6">
      <c r="F48780" s="2423"/>
    </row>
    <row r="48781" s="101" customFormat="1" spans="6:6">
      <c r="F48781" s="2423"/>
    </row>
    <row r="48782" s="101" customFormat="1" spans="6:6">
      <c r="F48782" s="2423"/>
    </row>
    <row r="48783" s="101" customFormat="1" spans="6:6">
      <c r="F48783" s="2423"/>
    </row>
    <row r="48784" s="101" customFormat="1" spans="6:6">
      <c r="F48784" s="2423"/>
    </row>
    <row r="48785" s="101" customFormat="1" spans="6:6">
      <c r="F48785" s="2423"/>
    </row>
    <row r="48786" s="101" customFormat="1" spans="6:6">
      <c r="F48786" s="2423"/>
    </row>
    <row r="48787" s="101" customFormat="1" spans="6:6">
      <c r="F48787" s="2423"/>
    </row>
    <row r="48788" s="101" customFormat="1" spans="6:6">
      <c r="F48788" s="2423"/>
    </row>
    <row r="48789" s="101" customFormat="1" spans="6:6">
      <c r="F48789" s="2423"/>
    </row>
    <row r="48790" s="101" customFormat="1" spans="6:6">
      <c r="F48790" s="2423"/>
    </row>
    <row r="48791" s="101" customFormat="1" spans="6:6">
      <c r="F48791" s="2423"/>
    </row>
    <row r="48792" s="101" customFormat="1" spans="6:6">
      <c r="F48792" s="2423"/>
    </row>
    <row r="48793" s="101" customFormat="1" spans="6:6">
      <c r="F48793" s="2423"/>
    </row>
    <row r="48794" s="101" customFormat="1" spans="6:6">
      <c r="F48794" s="2423"/>
    </row>
    <row r="48795" s="101" customFormat="1" spans="6:6">
      <c r="F48795" s="2423"/>
    </row>
    <row r="48796" s="101" customFormat="1" spans="6:6">
      <c r="F48796" s="2423"/>
    </row>
    <row r="48797" s="101" customFormat="1" spans="6:6">
      <c r="F48797" s="2423"/>
    </row>
    <row r="48798" s="101" customFormat="1" spans="6:6">
      <c r="F48798" s="2423"/>
    </row>
    <row r="48799" s="101" customFormat="1" spans="6:6">
      <c r="F48799" s="2423"/>
    </row>
    <row r="48800" s="101" customFormat="1" spans="6:6">
      <c r="F48800" s="2423"/>
    </row>
    <row r="48801" s="101" customFormat="1" spans="6:6">
      <c r="F48801" s="2423"/>
    </row>
    <row r="48802" s="101" customFormat="1" spans="6:6">
      <c r="F48802" s="2423"/>
    </row>
    <row r="48803" s="101" customFormat="1" spans="6:6">
      <c r="F48803" s="2423"/>
    </row>
    <row r="48804" s="101" customFormat="1" spans="6:6">
      <c r="F48804" s="2423"/>
    </row>
    <row r="48805" s="101" customFormat="1" spans="6:6">
      <c r="F48805" s="2423"/>
    </row>
    <row r="48806" s="101" customFormat="1" spans="6:6">
      <c r="F48806" s="2423"/>
    </row>
    <row r="48807" s="101" customFormat="1" spans="6:6">
      <c r="F48807" s="2423"/>
    </row>
    <row r="48808" s="101" customFormat="1" spans="6:6">
      <c r="F48808" s="2423"/>
    </row>
    <row r="48809" s="101" customFormat="1" spans="6:6">
      <c r="F48809" s="2423"/>
    </row>
    <row r="48810" s="101" customFormat="1" spans="6:6">
      <c r="F48810" s="2423"/>
    </row>
    <row r="48811" s="101" customFormat="1" spans="6:6">
      <c r="F48811" s="2423"/>
    </row>
    <row r="48812" s="101" customFormat="1" spans="6:6">
      <c r="F48812" s="2423"/>
    </row>
    <row r="48813" s="101" customFormat="1" spans="6:6">
      <c r="F48813" s="2423"/>
    </row>
    <row r="48814" s="101" customFormat="1" spans="6:6">
      <c r="F48814" s="2423"/>
    </row>
    <row r="48815" s="101" customFormat="1" spans="6:6">
      <c r="F48815" s="2423"/>
    </row>
    <row r="48816" s="101" customFormat="1" spans="6:6">
      <c r="F48816" s="2423"/>
    </row>
    <row r="48817" s="101" customFormat="1" spans="6:6">
      <c r="F48817" s="2423"/>
    </row>
    <row r="48818" s="101" customFormat="1" spans="6:6">
      <c r="F48818" s="2423"/>
    </row>
    <row r="48819" s="101" customFormat="1" spans="6:6">
      <c r="F48819" s="2423"/>
    </row>
    <row r="48820" s="101" customFormat="1" spans="6:6">
      <c r="F48820" s="2423"/>
    </row>
    <row r="48821" s="101" customFormat="1" spans="6:6">
      <c r="F48821" s="2423"/>
    </row>
    <row r="48822" s="101" customFormat="1" spans="6:6">
      <c r="F48822" s="2423"/>
    </row>
    <row r="48823" s="101" customFormat="1" spans="6:6">
      <c r="F48823" s="2423"/>
    </row>
    <row r="48824" s="101" customFormat="1" spans="6:6">
      <c r="F48824" s="2423"/>
    </row>
    <row r="48825" s="101" customFormat="1" spans="6:6">
      <c r="F48825" s="2423"/>
    </row>
    <row r="48826" s="101" customFormat="1" spans="6:6">
      <c r="F48826" s="2423"/>
    </row>
    <row r="48827" s="101" customFormat="1" spans="6:6">
      <c r="F48827" s="2423"/>
    </row>
    <row r="48828" s="101" customFormat="1" spans="6:6">
      <c r="F48828" s="2423"/>
    </row>
    <row r="48829" s="101" customFormat="1" spans="6:6">
      <c r="F48829" s="2423"/>
    </row>
    <row r="48830" s="101" customFormat="1" spans="6:6">
      <c r="F48830" s="2423"/>
    </row>
    <row r="48831" s="101" customFormat="1" spans="6:6">
      <c r="F48831" s="2423"/>
    </row>
    <row r="48832" s="101" customFormat="1" spans="6:6">
      <c r="F48832" s="2423"/>
    </row>
    <row r="48833" s="101" customFormat="1" spans="6:6">
      <c r="F48833" s="2423"/>
    </row>
    <row r="48834" s="101" customFormat="1" spans="6:6">
      <c r="F48834" s="2423"/>
    </row>
    <row r="48835" s="101" customFormat="1" spans="6:6">
      <c r="F48835" s="2423"/>
    </row>
    <row r="48836" s="101" customFormat="1" spans="6:6">
      <c r="F48836" s="2423"/>
    </row>
    <row r="48837" s="101" customFormat="1" spans="6:6">
      <c r="F48837" s="2423"/>
    </row>
    <row r="48838" s="101" customFormat="1" spans="6:6">
      <c r="F48838" s="2423"/>
    </row>
    <row r="48839" s="101" customFormat="1" spans="6:6">
      <c r="F48839" s="2423"/>
    </row>
    <row r="48840" s="101" customFormat="1" spans="6:6">
      <c r="F48840" s="2423"/>
    </row>
    <row r="48841" s="101" customFormat="1" spans="6:6">
      <c r="F48841" s="2423"/>
    </row>
    <row r="48842" s="101" customFormat="1" spans="6:6">
      <c r="F48842" s="2423"/>
    </row>
    <row r="48843" s="101" customFormat="1" spans="6:6">
      <c r="F48843" s="2423"/>
    </row>
    <row r="48844" s="101" customFormat="1" spans="6:6">
      <c r="F48844" s="2423"/>
    </row>
    <row r="48845" s="101" customFormat="1" spans="6:6">
      <c r="F48845" s="2423"/>
    </row>
    <row r="48846" s="101" customFormat="1" spans="6:6">
      <c r="F48846" s="2423"/>
    </row>
    <row r="48847" s="101" customFormat="1" spans="6:6">
      <c r="F48847" s="2423"/>
    </row>
    <row r="48848" s="101" customFormat="1" spans="6:6">
      <c r="F48848" s="2423"/>
    </row>
    <row r="48849" s="101" customFormat="1" spans="6:6">
      <c r="F48849" s="2423"/>
    </row>
    <row r="48850" s="101" customFormat="1" spans="6:6">
      <c r="F48850" s="2423"/>
    </row>
    <row r="48851" s="101" customFormat="1" spans="6:6">
      <c r="F48851" s="2423"/>
    </row>
    <row r="48852" s="101" customFormat="1" spans="6:6">
      <c r="F48852" s="2423"/>
    </row>
    <row r="48853" s="101" customFormat="1" spans="6:6">
      <c r="F48853" s="2423"/>
    </row>
    <row r="48854" s="101" customFormat="1" spans="6:6">
      <c r="F48854" s="2423"/>
    </row>
    <row r="48855" s="101" customFormat="1" spans="6:6">
      <c r="F48855" s="2423"/>
    </row>
    <row r="48856" s="101" customFormat="1" spans="6:6">
      <c r="F48856" s="2423"/>
    </row>
    <row r="48857" s="101" customFormat="1" spans="6:6">
      <c r="F48857" s="2423"/>
    </row>
    <row r="48858" s="101" customFormat="1" spans="6:6">
      <c r="F48858" s="2423"/>
    </row>
    <row r="48859" s="101" customFormat="1" spans="6:6">
      <c r="F48859" s="2423"/>
    </row>
    <row r="48860" s="101" customFormat="1" spans="6:6">
      <c r="F48860" s="2423"/>
    </row>
    <row r="48861" s="101" customFormat="1" spans="6:6">
      <c r="F48861" s="2423"/>
    </row>
    <row r="48862" s="101" customFormat="1" spans="6:6">
      <c r="F48862" s="2423"/>
    </row>
    <row r="48863" s="101" customFormat="1" spans="6:6">
      <c r="F48863" s="2423"/>
    </row>
    <row r="48864" s="101" customFormat="1" spans="6:6">
      <c r="F48864" s="2423"/>
    </row>
    <row r="48865" s="101" customFormat="1" spans="6:6">
      <c r="F48865" s="2423"/>
    </row>
    <row r="48866" s="101" customFormat="1" spans="6:6">
      <c r="F48866" s="2423"/>
    </row>
    <row r="48867" s="101" customFormat="1" spans="6:6">
      <c r="F48867" s="2423"/>
    </row>
    <row r="48868" s="101" customFormat="1" spans="6:6">
      <c r="F48868" s="2423"/>
    </row>
    <row r="48869" s="101" customFormat="1" spans="6:6">
      <c r="F48869" s="2423"/>
    </row>
    <row r="48870" s="101" customFormat="1" spans="6:6">
      <c r="F48870" s="2423"/>
    </row>
    <row r="48871" s="101" customFormat="1" spans="6:6">
      <c r="F48871" s="2423"/>
    </row>
    <row r="48872" s="101" customFormat="1" spans="6:6">
      <c r="F48872" s="2423"/>
    </row>
    <row r="48873" s="101" customFormat="1" spans="6:6">
      <c r="F48873" s="2423"/>
    </row>
    <row r="48874" s="101" customFormat="1" spans="6:6">
      <c r="F48874" s="2423"/>
    </row>
    <row r="48875" s="101" customFormat="1" spans="6:6">
      <c r="F48875" s="2423"/>
    </row>
    <row r="48876" s="101" customFormat="1" spans="6:6">
      <c r="F48876" s="2423"/>
    </row>
    <row r="48877" s="101" customFormat="1" spans="6:6">
      <c r="F48877" s="2423"/>
    </row>
    <row r="48878" s="101" customFormat="1" spans="6:6">
      <c r="F48878" s="2423"/>
    </row>
    <row r="48879" s="101" customFormat="1" spans="6:6">
      <c r="F48879" s="2423"/>
    </row>
    <row r="48880" s="101" customFormat="1" spans="6:6">
      <c r="F48880" s="2423"/>
    </row>
    <row r="48881" s="101" customFormat="1" spans="6:6">
      <c r="F48881" s="2423"/>
    </row>
    <row r="48882" s="101" customFormat="1" spans="6:6">
      <c r="F48882" s="2423"/>
    </row>
    <row r="48883" s="101" customFormat="1" spans="6:6">
      <c r="F48883" s="2423"/>
    </row>
    <row r="48884" s="101" customFormat="1" spans="6:6">
      <c r="F48884" s="2423"/>
    </row>
    <row r="48885" s="101" customFormat="1" spans="6:6">
      <c r="F48885" s="2423"/>
    </row>
    <row r="48886" s="101" customFormat="1" spans="6:6">
      <c r="F48886" s="2423"/>
    </row>
    <row r="48887" s="101" customFormat="1" spans="6:6">
      <c r="F48887" s="2423"/>
    </row>
    <row r="48888" s="101" customFormat="1" spans="6:6">
      <c r="F48888" s="2423"/>
    </row>
    <row r="48889" s="101" customFormat="1" spans="6:6">
      <c r="F48889" s="2423"/>
    </row>
    <row r="48890" s="101" customFormat="1" spans="6:6">
      <c r="F48890" s="2423"/>
    </row>
    <row r="48891" s="101" customFormat="1" spans="6:6">
      <c r="F48891" s="2423"/>
    </row>
    <row r="48892" s="101" customFormat="1" spans="6:6">
      <c r="F48892" s="2423"/>
    </row>
    <row r="48893" s="101" customFormat="1" spans="6:6">
      <c r="F48893" s="2423"/>
    </row>
    <row r="48894" s="101" customFormat="1" spans="6:6">
      <c r="F48894" s="2423"/>
    </row>
    <row r="48895" s="101" customFormat="1" spans="6:6">
      <c r="F48895" s="2423"/>
    </row>
    <row r="48896" s="101" customFormat="1" spans="6:6">
      <c r="F48896" s="2423"/>
    </row>
    <row r="48897" s="101" customFormat="1" spans="6:6">
      <c r="F48897" s="2423"/>
    </row>
    <row r="48898" s="101" customFormat="1" spans="6:6">
      <c r="F48898" s="2423"/>
    </row>
    <row r="48899" s="101" customFormat="1" spans="6:6">
      <c r="F48899" s="2423"/>
    </row>
    <row r="48900" s="101" customFormat="1" spans="6:6">
      <c r="F48900" s="2423"/>
    </row>
    <row r="48901" s="101" customFormat="1" spans="6:6">
      <c r="F48901" s="2423"/>
    </row>
    <row r="48902" s="101" customFormat="1" spans="6:6">
      <c r="F48902" s="2423"/>
    </row>
    <row r="48903" s="101" customFormat="1" spans="6:6">
      <c r="F48903" s="2423"/>
    </row>
    <row r="48904" s="101" customFormat="1" spans="6:6">
      <c r="F48904" s="2423"/>
    </row>
    <row r="48905" s="101" customFormat="1" spans="6:6">
      <c r="F48905" s="2423"/>
    </row>
    <row r="48906" s="101" customFormat="1" spans="6:6">
      <c r="F48906" s="2423"/>
    </row>
    <row r="48907" s="101" customFormat="1" spans="6:6">
      <c r="F48907" s="2423"/>
    </row>
    <row r="48908" s="101" customFormat="1" spans="6:6">
      <c r="F48908" s="2423"/>
    </row>
    <row r="48909" s="101" customFormat="1" spans="6:6">
      <c r="F48909" s="2423"/>
    </row>
    <row r="48910" s="101" customFormat="1" spans="6:6">
      <c r="F48910" s="2423"/>
    </row>
    <row r="48911" s="101" customFormat="1" spans="6:6">
      <c r="F48911" s="2423"/>
    </row>
    <row r="48912" s="101" customFormat="1" spans="6:6">
      <c r="F48912" s="2423"/>
    </row>
    <row r="48913" s="101" customFormat="1" spans="6:6">
      <c r="F48913" s="2423"/>
    </row>
    <row r="48914" s="101" customFormat="1" spans="6:6">
      <c r="F48914" s="2423"/>
    </row>
    <row r="48915" s="101" customFormat="1" spans="6:6">
      <c r="F48915" s="2423"/>
    </row>
    <row r="48916" s="101" customFormat="1" spans="6:6">
      <c r="F48916" s="2423"/>
    </row>
    <row r="48917" s="101" customFormat="1" spans="6:6">
      <c r="F48917" s="2423"/>
    </row>
    <row r="48918" s="101" customFormat="1" spans="6:6">
      <c r="F48918" s="2423"/>
    </row>
    <row r="48919" s="101" customFormat="1" spans="6:6">
      <c r="F48919" s="2423"/>
    </row>
    <row r="48920" s="101" customFormat="1" spans="6:6">
      <c r="F48920" s="2423"/>
    </row>
    <row r="48921" s="101" customFormat="1" spans="6:6">
      <c r="F48921" s="2423"/>
    </row>
    <row r="48922" s="101" customFormat="1" spans="6:6">
      <c r="F48922" s="2423"/>
    </row>
    <row r="48923" s="101" customFormat="1" spans="6:6">
      <c r="F48923" s="2423"/>
    </row>
    <row r="48924" s="101" customFormat="1" spans="6:6">
      <c r="F48924" s="2423"/>
    </row>
    <row r="48925" s="101" customFormat="1" spans="6:6">
      <c r="F48925" s="2423"/>
    </row>
    <row r="48926" s="101" customFormat="1" spans="6:6">
      <c r="F48926" s="2423"/>
    </row>
    <row r="48927" s="101" customFormat="1" spans="6:6">
      <c r="F48927" s="2423"/>
    </row>
    <row r="48928" s="101" customFormat="1" spans="6:6">
      <c r="F48928" s="2423"/>
    </row>
    <row r="48929" s="101" customFormat="1" spans="6:6">
      <c r="F48929" s="2423"/>
    </row>
    <row r="48930" s="101" customFormat="1" spans="6:6">
      <c r="F48930" s="2423"/>
    </row>
    <row r="48931" s="101" customFormat="1" spans="6:6">
      <c r="F48931" s="2423"/>
    </row>
    <row r="48932" s="101" customFormat="1" spans="6:6">
      <c r="F48932" s="2423"/>
    </row>
    <row r="48933" s="101" customFormat="1" spans="6:6">
      <c r="F48933" s="2423"/>
    </row>
    <row r="48934" s="101" customFormat="1" spans="6:6">
      <c r="F48934" s="2423"/>
    </row>
    <row r="48935" s="101" customFormat="1" spans="6:6">
      <c r="F48935" s="2423"/>
    </row>
    <row r="48936" s="101" customFormat="1" spans="6:6">
      <c r="F48936" s="2423"/>
    </row>
    <row r="48937" s="101" customFormat="1" spans="6:6">
      <c r="F48937" s="2423"/>
    </row>
    <row r="48938" s="101" customFormat="1" spans="6:6">
      <c r="F48938" s="2423"/>
    </row>
    <row r="48939" s="101" customFormat="1" spans="6:6">
      <c r="F48939" s="2423"/>
    </row>
    <row r="48940" s="101" customFormat="1" spans="6:6">
      <c r="F48940" s="2423"/>
    </row>
    <row r="48941" s="101" customFormat="1" spans="6:6">
      <c r="F48941" s="2423"/>
    </row>
    <row r="48942" s="101" customFormat="1" spans="6:6">
      <c r="F48942" s="2423"/>
    </row>
    <row r="48943" s="101" customFormat="1" spans="6:6">
      <c r="F48943" s="2423"/>
    </row>
    <row r="48944" s="101" customFormat="1" spans="6:6">
      <c r="F48944" s="2423"/>
    </row>
    <row r="48945" s="101" customFormat="1" spans="6:6">
      <c r="F48945" s="2423"/>
    </row>
    <row r="48946" s="101" customFormat="1" spans="6:6">
      <c r="F48946" s="2423"/>
    </row>
    <row r="48947" s="101" customFormat="1" spans="6:6">
      <c r="F48947" s="2423"/>
    </row>
    <row r="48948" s="101" customFormat="1" spans="6:6">
      <c r="F48948" s="2423"/>
    </row>
    <row r="48949" s="101" customFormat="1" spans="6:6">
      <c r="F48949" s="2423"/>
    </row>
    <row r="48950" s="101" customFormat="1" spans="6:6">
      <c r="F48950" s="2423"/>
    </row>
    <row r="48951" s="101" customFormat="1" spans="6:6">
      <c r="F48951" s="2423"/>
    </row>
    <row r="48952" s="101" customFormat="1" spans="6:6">
      <c r="F48952" s="2423"/>
    </row>
    <row r="48953" s="101" customFormat="1" spans="6:6">
      <c r="F48953" s="2423"/>
    </row>
    <row r="48954" s="101" customFormat="1" spans="6:6">
      <c r="F48954" s="2423"/>
    </row>
    <row r="48955" s="101" customFormat="1" spans="6:6">
      <c r="F48955" s="2423"/>
    </row>
    <row r="48956" s="101" customFormat="1" spans="6:6">
      <c r="F48956" s="2423"/>
    </row>
    <row r="48957" s="101" customFormat="1" spans="6:6">
      <c r="F48957" s="2423"/>
    </row>
    <row r="48958" s="101" customFormat="1" spans="6:6">
      <c r="F48958" s="2423"/>
    </row>
    <row r="48959" s="101" customFormat="1" spans="6:6">
      <c r="F48959" s="2423"/>
    </row>
    <row r="48960" s="101" customFormat="1" spans="6:6">
      <c r="F48960" s="2423"/>
    </row>
    <row r="48961" s="101" customFormat="1" spans="6:6">
      <c r="F48961" s="2423"/>
    </row>
    <row r="48962" s="101" customFormat="1" spans="6:6">
      <c r="F48962" s="2423"/>
    </row>
    <row r="48963" s="101" customFormat="1" spans="6:6">
      <c r="F48963" s="2423"/>
    </row>
    <row r="48964" s="101" customFormat="1" spans="6:6">
      <c r="F48964" s="2423"/>
    </row>
    <row r="48965" s="101" customFormat="1" spans="6:6">
      <c r="F48965" s="2423"/>
    </row>
    <row r="48966" s="101" customFormat="1" spans="6:6">
      <c r="F48966" s="2423"/>
    </row>
    <row r="48967" s="101" customFormat="1" spans="6:6">
      <c r="F48967" s="2423"/>
    </row>
    <row r="48968" s="101" customFormat="1" spans="6:6">
      <c r="F48968" s="2423"/>
    </row>
    <row r="48969" s="101" customFormat="1" spans="6:6">
      <c r="F48969" s="2423"/>
    </row>
    <row r="48970" s="101" customFormat="1" spans="6:6">
      <c r="F48970" s="2423"/>
    </row>
    <row r="48971" s="101" customFormat="1" spans="6:6">
      <c r="F48971" s="2423"/>
    </row>
    <row r="48972" s="101" customFormat="1" spans="6:6">
      <c r="F48972" s="2423"/>
    </row>
    <row r="48973" s="101" customFormat="1" spans="6:6">
      <c r="F48973" s="2423"/>
    </row>
    <row r="48974" s="101" customFormat="1" spans="6:6">
      <c r="F48974" s="2423"/>
    </row>
    <row r="48975" s="101" customFormat="1" spans="6:6">
      <c r="F48975" s="2423"/>
    </row>
    <row r="48976" s="101" customFormat="1" spans="6:6">
      <c r="F48976" s="2423"/>
    </row>
    <row r="48977" s="101" customFormat="1" spans="6:6">
      <c r="F48977" s="2423"/>
    </row>
    <row r="48978" s="101" customFormat="1" spans="6:6">
      <c r="F48978" s="2423"/>
    </row>
    <row r="48979" s="101" customFormat="1" spans="6:6">
      <c r="F48979" s="2423"/>
    </row>
    <row r="48980" s="101" customFormat="1" spans="6:6">
      <c r="F48980" s="2423"/>
    </row>
    <row r="48981" s="101" customFormat="1" spans="6:6">
      <c r="F48981" s="2423"/>
    </row>
    <row r="48982" s="101" customFormat="1" spans="6:6">
      <c r="F48982" s="2423"/>
    </row>
    <row r="48983" s="101" customFormat="1" spans="6:6">
      <c r="F48983" s="2423"/>
    </row>
    <row r="48984" s="101" customFormat="1" spans="6:6">
      <c r="F48984" s="2423"/>
    </row>
    <row r="48985" s="101" customFormat="1" spans="6:6">
      <c r="F48985" s="2423"/>
    </row>
    <row r="48986" s="101" customFormat="1" spans="6:6">
      <c r="F48986" s="2423"/>
    </row>
    <row r="48987" s="101" customFormat="1" spans="6:6">
      <c r="F48987" s="2423"/>
    </row>
    <row r="48988" s="101" customFormat="1" spans="6:6">
      <c r="F48988" s="2423"/>
    </row>
    <row r="48989" s="101" customFormat="1" spans="6:6">
      <c r="F48989" s="2423"/>
    </row>
    <row r="48990" s="101" customFormat="1" spans="6:6">
      <c r="F48990" s="2423"/>
    </row>
    <row r="48991" s="101" customFormat="1" spans="6:6">
      <c r="F48991" s="2423"/>
    </row>
    <row r="48992" s="101" customFormat="1" spans="6:6">
      <c r="F48992" s="2423"/>
    </row>
    <row r="48993" s="101" customFormat="1" spans="6:6">
      <c r="F48993" s="2423"/>
    </row>
    <row r="48994" s="101" customFormat="1" spans="6:6">
      <c r="F48994" s="2423"/>
    </row>
    <row r="48995" s="101" customFormat="1" spans="6:6">
      <c r="F48995" s="2423"/>
    </row>
    <row r="48996" s="101" customFormat="1" spans="6:6">
      <c r="F48996" s="2423"/>
    </row>
    <row r="48997" s="101" customFormat="1" spans="6:6">
      <c r="F48997" s="2423"/>
    </row>
    <row r="48998" s="101" customFormat="1" spans="6:6">
      <c r="F48998" s="2423"/>
    </row>
    <row r="48999" s="101" customFormat="1" spans="6:6">
      <c r="F48999" s="2423"/>
    </row>
    <row r="49000" s="101" customFormat="1" spans="6:6">
      <c r="F49000" s="2423"/>
    </row>
    <row r="49001" s="101" customFormat="1" spans="6:6">
      <c r="F49001" s="2423"/>
    </row>
    <row r="49002" s="101" customFormat="1" spans="6:6">
      <c r="F49002" s="2423"/>
    </row>
    <row r="49003" s="101" customFormat="1" spans="6:6">
      <c r="F49003" s="2423"/>
    </row>
    <row r="49004" s="101" customFormat="1" spans="6:6">
      <c r="F49004" s="2423"/>
    </row>
    <row r="49005" s="101" customFormat="1" spans="6:6">
      <c r="F49005" s="2423"/>
    </row>
    <row r="49006" s="101" customFormat="1" spans="6:6">
      <c r="F49006" s="2423"/>
    </row>
    <row r="49007" s="101" customFormat="1" spans="6:6">
      <c r="F49007" s="2423"/>
    </row>
    <row r="49008" s="101" customFormat="1" spans="6:6">
      <c r="F49008" s="2423"/>
    </row>
    <row r="49009" s="101" customFormat="1" spans="6:6">
      <c r="F49009" s="2423"/>
    </row>
    <row r="49010" s="101" customFormat="1" spans="6:6">
      <c r="F49010" s="2423"/>
    </row>
    <row r="49011" s="101" customFormat="1" spans="6:6">
      <c r="F49011" s="2423"/>
    </row>
    <row r="49012" s="101" customFormat="1" spans="6:6">
      <c r="F49012" s="2423"/>
    </row>
    <row r="49013" s="101" customFormat="1" spans="6:6">
      <c r="F49013" s="2423"/>
    </row>
    <row r="49014" s="101" customFormat="1" spans="6:6">
      <c r="F49014" s="2423"/>
    </row>
    <row r="49015" s="101" customFormat="1" spans="6:6">
      <c r="F49015" s="2423"/>
    </row>
    <row r="49016" s="101" customFormat="1" spans="6:6">
      <c r="F49016" s="2423"/>
    </row>
    <row r="49017" s="101" customFormat="1" spans="6:6">
      <c r="F49017" s="2423"/>
    </row>
    <row r="49018" s="101" customFormat="1" spans="6:6">
      <c r="F49018" s="2423"/>
    </row>
    <row r="49019" s="101" customFormat="1" spans="6:6">
      <c r="F49019" s="2423"/>
    </row>
    <row r="49020" s="101" customFormat="1" spans="6:6">
      <c r="F49020" s="2423"/>
    </row>
    <row r="49021" s="101" customFormat="1" spans="6:6">
      <c r="F49021" s="2423"/>
    </row>
    <row r="49022" s="101" customFormat="1" spans="6:6">
      <c r="F49022" s="2423"/>
    </row>
    <row r="49023" s="101" customFormat="1" spans="6:6">
      <c r="F49023" s="2423"/>
    </row>
    <row r="49024" s="101" customFormat="1" spans="6:6">
      <c r="F49024" s="2423"/>
    </row>
    <row r="49025" s="101" customFormat="1" spans="6:6">
      <c r="F49025" s="2423"/>
    </row>
    <row r="49026" s="101" customFormat="1" spans="6:6">
      <c r="F49026" s="2423"/>
    </row>
    <row r="49027" s="101" customFormat="1" spans="6:6">
      <c r="F49027" s="2423"/>
    </row>
    <row r="49028" s="101" customFormat="1" spans="6:6">
      <c r="F49028" s="2423"/>
    </row>
    <row r="49029" s="101" customFormat="1" spans="6:6">
      <c r="F49029" s="2423"/>
    </row>
    <row r="49030" s="101" customFormat="1" spans="6:6">
      <c r="F49030" s="2423"/>
    </row>
    <row r="49031" s="101" customFormat="1" spans="6:6">
      <c r="F49031" s="2423"/>
    </row>
    <row r="49032" s="101" customFormat="1" spans="6:6">
      <c r="F49032" s="2423"/>
    </row>
    <row r="49033" s="101" customFormat="1" spans="6:6">
      <c r="F49033" s="2423"/>
    </row>
    <row r="49034" s="101" customFormat="1" spans="6:6">
      <c r="F49034" s="2423"/>
    </row>
    <row r="49035" s="101" customFormat="1" spans="6:6">
      <c r="F49035" s="2423"/>
    </row>
    <row r="49036" s="101" customFormat="1" spans="6:6">
      <c r="F49036" s="2423"/>
    </row>
    <row r="49037" s="101" customFormat="1" spans="6:6">
      <c r="F49037" s="2423"/>
    </row>
    <row r="49038" s="101" customFormat="1" spans="6:6">
      <c r="F49038" s="2423"/>
    </row>
    <row r="49039" s="101" customFormat="1" spans="6:6">
      <c r="F49039" s="2423"/>
    </row>
    <row r="49040" s="101" customFormat="1" spans="6:6">
      <c r="F49040" s="2423"/>
    </row>
    <row r="49041" s="101" customFormat="1" spans="6:6">
      <c r="F49041" s="2423"/>
    </row>
    <row r="49042" s="101" customFormat="1" spans="6:6">
      <c r="F49042" s="2423"/>
    </row>
    <row r="49043" s="101" customFormat="1" spans="6:6">
      <c r="F49043" s="2423"/>
    </row>
    <row r="49044" s="101" customFormat="1" spans="6:6">
      <c r="F49044" s="2423"/>
    </row>
    <row r="49045" s="101" customFormat="1" spans="6:6">
      <c r="F49045" s="2423"/>
    </row>
    <row r="49046" s="101" customFormat="1" spans="6:6">
      <c r="F49046" s="2423"/>
    </row>
    <row r="49047" s="101" customFormat="1" spans="6:6">
      <c r="F49047" s="2423"/>
    </row>
    <row r="49048" s="101" customFormat="1" spans="6:6">
      <c r="F49048" s="2423"/>
    </row>
    <row r="49049" s="101" customFormat="1" spans="6:6">
      <c r="F49049" s="2423"/>
    </row>
    <row r="49050" s="101" customFormat="1" spans="6:6">
      <c r="F49050" s="2423"/>
    </row>
    <row r="49051" s="101" customFormat="1" spans="6:6">
      <c r="F49051" s="2423"/>
    </row>
    <row r="49052" s="101" customFormat="1" spans="6:6">
      <c r="F49052" s="2423"/>
    </row>
    <row r="49053" s="101" customFormat="1" spans="6:6">
      <c r="F49053" s="2423"/>
    </row>
    <row r="49054" s="101" customFormat="1" spans="6:6">
      <c r="F49054" s="2423"/>
    </row>
    <row r="49055" s="101" customFormat="1" spans="6:6">
      <c r="F49055" s="2423"/>
    </row>
    <row r="49056" s="101" customFormat="1" spans="6:6">
      <c r="F49056" s="2423"/>
    </row>
    <row r="49057" s="101" customFormat="1" spans="6:6">
      <c r="F49057" s="2423"/>
    </row>
    <row r="49058" s="101" customFormat="1" spans="6:6">
      <c r="F49058" s="2423"/>
    </row>
    <row r="49059" s="101" customFormat="1" spans="6:6">
      <c r="F49059" s="2423"/>
    </row>
    <row r="49060" s="101" customFormat="1" spans="6:6">
      <c r="F49060" s="2423"/>
    </row>
    <row r="49061" s="101" customFormat="1" spans="6:6">
      <c r="F49061" s="2423"/>
    </row>
    <row r="49062" s="101" customFormat="1" spans="6:6">
      <c r="F49062" s="2423"/>
    </row>
    <row r="49063" s="101" customFormat="1" spans="6:6">
      <c r="F49063" s="2423"/>
    </row>
    <row r="49064" s="101" customFormat="1" spans="6:6">
      <c r="F49064" s="2423"/>
    </row>
    <row r="49065" s="101" customFormat="1" spans="6:6">
      <c r="F49065" s="2423"/>
    </row>
    <row r="49066" s="101" customFormat="1" spans="6:6">
      <c r="F49066" s="2423"/>
    </row>
    <row r="49067" s="101" customFormat="1" spans="6:6">
      <c r="F49067" s="2423"/>
    </row>
    <row r="49068" s="101" customFormat="1" spans="6:6">
      <c r="F49068" s="2423"/>
    </row>
    <row r="49069" s="101" customFormat="1" spans="6:6">
      <c r="F49069" s="2423"/>
    </row>
    <row r="49070" s="101" customFormat="1" spans="6:6">
      <c r="F49070" s="2423"/>
    </row>
    <row r="49071" s="101" customFormat="1" spans="6:6">
      <c r="F49071" s="2423"/>
    </row>
    <row r="49072" s="101" customFormat="1" spans="6:6">
      <c r="F49072" s="2423"/>
    </row>
    <row r="49073" s="101" customFormat="1" spans="6:6">
      <c r="F49073" s="2423"/>
    </row>
    <row r="49074" s="101" customFormat="1" spans="6:6">
      <c r="F49074" s="2423"/>
    </row>
    <row r="49075" s="101" customFormat="1" spans="6:6">
      <c r="F49075" s="2423"/>
    </row>
    <row r="49076" s="101" customFormat="1" spans="6:6">
      <c r="F49076" s="2423"/>
    </row>
    <row r="49077" s="101" customFormat="1" spans="6:6">
      <c r="F49077" s="2423"/>
    </row>
    <row r="49078" s="101" customFormat="1" spans="6:6">
      <c r="F49078" s="2423"/>
    </row>
    <row r="49079" s="101" customFormat="1" spans="6:6">
      <c r="F49079" s="2423"/>
    </row>
    <row r="49080" s="101" customFormat="1" spans="6:6">
      <c r="F49080" s="2423"/>
    </row>
    <row r="49081" s="101" customFormat="1" spans="6:6">
      <c r="F49081" s="2423"/>
    </row>
    <row r="49082" s="101" customFormat="1" spans="6:6">
      <c r="F49082" s="2423"/>
    </row>
    <row r="49083" s="101" customFormat="1" spans="6:6">
      <c r="F49083" s="2423"/>
    </row>
    <row r="49084" s="101" customFormat="1" spans="6:6">
      <c r="F49084" s="2423"/>
    </row>
    <row r="49085" s="101" customFormat="1" spans="6:6">
      <c r="F49085" s="2423"/>
    </row>
    <row r="49086" s="101" customFormat="1" spans="6:6">
      <c r="F49086" s="2423"/>
    </row>
    <row r="49087" s="101" customFormat="1" spans="6:6">
      <c r="F49087" s="2423"/>
    </row>
    <row r="49088" s="101" customFormat="1" spans="6:6">
      <c r="F49088" s="2423"/>
    </row>
    <row r="49089" s="101" customFormat="1" spans="6:6">
      <c r="F49089" s="2423"/>
    </row>
    <row r="49090" s="101" customFormat="1" spans="6:6">
      <c r="F49090" s="2423"/>
    </row>
    <row r="49091" s="101" customFormat="1" spans="6:6">
      <c r="F49091" s="2423"/>
    </row>
    <row r="49092" s="101" customFormat="1" spans="6:6">
      <c r="F49092" s="2423"/>
    </row>
    <row r="49093" s="101" customFormat="1" spans="6:6">
      <c r="F49093" s="2423"/>
    </row>
    <row r="49094" s="101" customFormat="1" spans="6:6">
      <c r="F49094" s="2423"/>
    </row>
    <row r="49095" s="101" customFormat="1" spans="6:6">
      <c r="F49095" s="2423"/>
    </row>
    <row r="49096" s="101" customFormat="1" spans="6:6">
      <c r="F49096" s="2423"/>
    </row>
    <row r="49097" s="101" customFormat="1" spans="6:6">
      <c r="F49097" s="2423"/>
    </row>
    <row r="49098" s="101" customFormat="1" spans="6:6">
      <c r="F49098" s="2423"/>
    </row>
    <row r="49099" s="101" customFormat="1" spans="6:6">
      <c r="F49099" s="2423"/>
    </row>
    <row r="49100" s="101" customFormat="1" spans="6:6">
      <c r="F49100" s="2423"/>
    </row>
    <row r="49101" s="101" customFormat="1" spans="6:6">
      <c r="F49101" s="2423"/>
    </row>
    <row r="49102" s="101" customFormat="1" spans="6:6">
      <c r="F49102" s="2423"/>
    </row>
    <row r="49103" s="101" customFormat="1" spans="6:6">
      <c r="F49103" s="2423"/>
    </row>
    <row r="49104" s="101" customFormat="1" spans="6:6">
      <c r="F49104" s="2423"/>
    </row>
    <row r="49105" s="101" customFormat="1" spans="6:6">
      <c r="F49105" s="2423"/>
    </row>
    <row r="49106" s="101" customFormat="1" spans="6:6">
      <c r="F49106" s="2423"/>
    </row>
    <row r="49107" s="101" customFormat="1" spans="6:6">
      <c r="F49107" s="2423"/>
    </row>
    <row r="49108" s="101" customFormat="1" spans="6:6">
      <c r="F49108" s="2423"/>
    </row>
    <row r="49109" s="101" customFormat="1" spans="6:6">
      <c r="F49109" s="2423"/>
    </row>
    <row r="49110" s="101" customFormat="1" spans="6:6">
      <c r="F49110" s="2423"/>
    </row>
    <row r="49111" s="101" customFormat="1" spans="6:6">
      <c r="F49111" s="2423"/>
    </row>
    <row r="49112" s="101" customFormat="1" spans="6:6">
      <c r="F49112" s="2423"/>
    </row>
    <row r="49113" s="101" customFormat="1" spans="6:6">
      <c r="F49113" s="2423"/>
    </row>
    <row r="49114" s="101" customFormat="1" spans="6:6">
      <c r="F49114" s="2423"/>
    </row>
    <row r="49115" s="101" customFormat="1" spans="6:6">
      <c r="F49115" s="2423"/>
    </row>
    <row r="49116" s="101" customFormat="1" spans="6:6">
      <c r="F49116" s="2423"/>
    </row>
    <row r="49117" s="101" customFormat="1" spans="6:6">
      <c r="F49117" s="2423"/>
    </row>
    <row r="49118" s="101" customFormat="1" spans="6:6">
      <c r="F49118" s="2423"/>
    </row>
    <row r="49119" s="101" customFormat="1" spans="6:6">
      <c r="F49119" s="2423"/>
    </row>
    <row r="49120" s="101" customFormat="1" spans="6:6">
      <c r="F49120" s="2423"/>
    </row>
    <row r="49121" s="101" customFormat="1" spans="6:6">
      <c r="F49121" s="2423"/>
    </row>
    <row r="49122" s="101" customFormat="1" spans="6:6">
      <c r="F49122" s="2423"/>
    </row>
    <row r="49123" s="101" customFormat="1" spans="6:6">
      <c r="F49123" s="2423"/>
    </row>
    <row r="49124" s="101" customFormat="1" spans="6:6">
      <c r="F49124" s="2423"/>
    </row>
    <row r="49125" s="101" customFormat="1" spans="6:6">
      <c r="F49125" s="2423"/>
    </row>
    <row r="49126" s="101" customFormat="1" spans="6:6">
      <c r="F49126" s="2423"/>
    </row>
    <row r="49127" s="101" customFormat="1" spans="6:6">
      <c r="F49127" s="2423"/>
    </row>
    <row r="49128" s="101" customFormat="1" spans="6:6">
      <c r="F49128" s="2423"/>
    </row>
    <row r="49129" s="101" customFormat="1" spans="6:6">
      <c r="F49129" s="2423"/>
    </row>
    <row r="49130" s="101" customFormat="1" spans="6:6">
      <c r="F49130" s="2423"/>
    </row>
    <row r="49131" s="101" customFormat="1" spans="6:6">
      <c r="F49131" s="2423"/>
    </row>
    <row r="49132" s="101" customFormat="1" spans="6:6">
      <c r="F49132" s="2423"/>
    </row>
    <row r="49133" s="101" customFormat="1" spans="6:6">
      <c r="F49133" s="2423"/>
    </row>
    <row r="49134" s="101" customFormat="1" spans="6:6">
      <c r="F49134" s="2423"/>
    </row>
    <row r="49135" s="101" customFormat="1" spans="6:6">
      <c r="F49135" s="2423"/>
    </row>
    <row r="49136" s="101" customFormat="1" spans="6:6">
      <c r="F49136" s="2423"/>
    </row>
    <row r="49137" s="101" customFormat="1" spans="6:6">
      <c r="F49137" s="2423"/>
    </row>
    <row r="49138" s="101" customFormat="1" spans="6:6">
      <c r="F49138" s="2423"/>
    </row>
    <row r="49139" s="101" customFormat="1" spans="6:6">
      <c r="F49139" s="2423"/>
    </row>
    <row r="49140" s="101" customFormat="1" spans="6:6">
      <c r="F49140" s="2423"/>
    </row>
    <row r="49141" s="101" customFormat="1" spans="6:6">
      <c r="F49141" s="2423"/>
    </row>
    <row r="49142" s="101" customFormat="1" spans="6:6">
      <c r="F49142" s="2423"/>
    </row>
    <row r="49143" s="101" customFormat="1" spans="6:6">
      <c r="F49143" s="2423"/>
    </row>
    <row r="49144" s="101" customFormat="1" spans="6:6">
      <c r="F49144" s="2423"/>
    </row>
    <row r="49145" s="101" customFormat="1" spans="6:6">
      <c r="F49145" s="2423"/>
    </row>
    <row r="49146" s="101" customFormat="1" spans="6:6">
      <c r="F49146" s="2423"/>
    </row>
    <row r="49147" s="101" customFormat="1" spans="6:6">
      <c r="F49147" s="2423"/>
    </row>
    <row r="49148" s="101" customFormat="1" spans="6:6">
      <c r="F49148" s="2423"/>
    </row>
    <row r="49149" s="101" customFormat="1" spans="6:6">
      <c r="F49149" s="2423"/>
    </row>
    <row r="49150" s="101" customFormat="1" spans="6:6">
      <c r="F49150" s="2423"/>
    </row>
    <row r="49151" s="101" customFormat="1" spans="6:6">
      <c r="F49151" s="2423"/>
    </row>
    <row r="49152" s="101" customFormat="1" spans="6:6">
      <c r="F49152" s="2423"/>
    </row>
    <row r="49153" s="101" customFormat="1" spans="6:6">
      <c r="F49153" s="2423"/>
    </row>
    <row r="49154" s="101" customFormat="1" spans="6:6">
      <c r="F49154" s="2423"/>
    </row>
    <row r="49155" s="101" customFormat="1" spans="6:6">
      <c r="F49155" s="2423"/>
    </row>
    <row r="49156" s="101" customFormat="1" spans="6:6">
      <c r="F49156" s="2423"/>
    </row>
    <row r="49157" s="101" customFormat="1" spans="6:6">
      <c r="F49157" s="2423"/>
    </row>
    <row r="49158" s="101" customFormat="1" spans="6:6">
      <c r="F49158" s="2423"/>
    </row>
    <row r="49159" s="101" customFormat="1" spans="6:6">
      <c r="F49159" s="2423"/>
    </row>
    <row r="49160" s="101" customFormat="1" spans="6:6">
      <c r="F49160" s="2423"/>
    </row>
    <row r="49161" s="101" customFormat="1" spans="6:6">
      <c r="F49161" s="2423"/>
    </row>
    <row r="49162" s="101" customFormat="1" spans="6:6">
      <c r="F49162" s="2423"/>
    </row>
    <row r="49163" s="101" customFormat="1" spans="6:6">
      <c r="F49163" s="2423"/>
    </row>
    <row r="49164" s="101" customFormat="1" spans="6:6">
      <c r="F49164" s="2423"/>
    </row>
    <row r="49165" s="101" customFormat="1" spans="6:6">
      <c r="F49165" s="2423"/>
    </row>
    <row r="49166" s="101" customFormat="1" spans="6:6">
      <c r="F49166" s="2423"/>
    </row>
    <row r="49167" s="101" customFormat="1" spans="6:6">
      <c r="F49167" s="2423"/>
    </row>
    <row r="49168" s="101" customFormat="1" spans="6:6">
      <c r="F49168" s="2423"/>
    </row>
    <row r="49169" s="101" customFormat="1" spans="6:6">
      <c r="F49169" s="2423"/>
    </row>
    <row r="49170" s="101" customFormat="1" spans="6:6">
      <c r="F49170" s="2423"/>
    </row>
    <row r="49171" s="101" customFormat="1" spans="6:6">
      <c r="F49171" s="2423"/>
    </row>
    <row r="49172" s="101" customFormat="1" spans="6:6">
      <c r="F49172" s="2423"/>
    </row>
    <row r="49173" s="101" customFormat="1" spans="6:6">
      <c r="F49173" s="2423"/>
    </row>
    <row r="49174" s="101" customFormat="1" spans="6:6">
      <c r="F49174" s="2423"/>
    </row>
    <row r="49175" s="101" customFormat="1" spans="6:6">
      <c r="F49175" s="2423"/>
    </row>
    <row r="49176" s="101" customFormat="1" spans="6:6">
      <c r="F49176" s="2423"/>
    </row>
    <row r="49177" s="101" customFormat="1" spans="6:6">
      <c r="F49177" s="2423"/>
    </row>
    <row r="49178" s="101" customFormat="1" spans="6:6">
      <c r="F49178" s="2423"/>
    </row>
    <row r="49179" s="101" customFormat="1" spans="6:6">
      <c r="F49179" s="2423"/>
    </row>
    <row r="49180" s="101" customFormat="1" spans="6:6">
      <c r="F49180" s="2423"/>
    </row>
    <row r="49181" s="101" customFormat="1" spans="6:6">
      <c r="F49181" s="2423"/>
    </row>
    <row r="49182" s="101" customFormat="1" spans="6:6">
      <c r="F49182" s="2423"/>
    </row>
    <row r="49183" s="101" customFormat="1" spans="6:6">
      <c r="F49183" s="2423"/>
    </row>
    <row r="49184" s="101" customFormat="1" spans="6:6">
      <c r="F49184" s="2423"/>
    </row>
    <row r="49185" s="101" customFormat="1" spans="6:6">
      <c r="F49185" s="2423"/>
    </row>
    <row r="49186" s="101" customFormat="1" spans="6:6">
      <c r="F49186" s="2423"/>
    </row>
    <row r="49187" s="101" customFormat="1" spans="6:6">
      <c r="F49187" s="2423"/>
    </row>
    <row r="49188" s="101" customFormat="1" spans="6:6">
      <c r="F49188" s="2423"/>
    </row>
    <row r="49189" s="101" customFormat="1" spans="6:6">
      <c r="F49189" s="2423"/>
    </row>
    <row r="49190" s="101" customFormat="1" spans="6:6">
      <c r="F49190" s="2423"/>
    </row>
    <row r="49191" s="101" customFormat="1" spans="6:6">
      <c r="F49191" s="2423"/>
    </row>
    <row r="49192" s="101" customFormat="1" spans="6:6">
      <c r="F49192" s="2423"/>
    </row>
    <row r="49193" s="101" customFormat="1" spans="6:6">
      <c r="F49193" s="2423"/>
    </row>
    <row r="49194" s="101" customFormat="1" spans="6:6">
      <c r="F49194" s="2423"/>
    </row>
    <row r="49195" s="101" customFormat="1" spans="6:6">
      <c r="F49195" s="2423"/>
    </row>
    <row r="49196" s="101" customFormat="1" spans="6:6">
      <c r="F49196" s="2423"/>
    </row>
    <row r="49197" s="101" customFormat="1" spans="6:6">
      <c r="F49197" s="2423"/>
    </row>
    <row r="49198" s="101" customFormat="1" spans="6:6">
      <c r="F49198" s="2423"/>
    </row>
    <row r="49199" s="101" customFormat="1" spans="6:6">
      <c r="F49199" s="2423"/>
    </row>
    <row r="49200" s="101" customFormat="1" spans="6:6">
      <c r="F49200" s="2423"/>
    </row>
    <row r="49201" s="101" customFormat="1" spans="6:6">
      <c r="F49201" s="2423"/>
    </row>
    <row r="49202" s="101" customFormat="1" spans="6:6">
      <c r="F49202" s="2423"/>
    </row>
    <row r="49203" s="101" customFormat="1" spans="6:6">
      <c r="F49203" s="2423"/>
    </row>
    <row r="49204" s="101" customFormat="1" spans="6:6">
      <c r="F49204" s="2423"/>
    </row>
    <row r="49205" s="101" customFormat="1" spans="6:6">
      <c r="F49205" s="2423"/>
    </row>
    <row r="49206" s="101" customFormat="1" spans="6:6">
      <c r="F49206" s="2423"/>
    </row>
    <row r="49207" s="101" customFormat="1" spans="6:6">
      <c r="F49207" s="2423"/>
    </row>
    <row r="49208" s="101" customFormat="1" spans="6:6">
      <c r="F49208" s="2423"/>
    </row>
    <row r="49209" s="101" customFormat="1" spans="6:6">
      <c r="F49209" s="2423"/>
    </row>
    <row r="49210" s="101" customFormat="1" spans="6:6">
      <c r="F49210" s="2423"/>
    </row>
    <row r="49211" s="101" customFormat="1" spans="6:6">
      <c r="F49211" s="2423"/>
    </row>
    <row r="49212" s="101" customFormat="1" spans="6:6">
      <c r="F49212" s="2423"/>
    </row>
    <row r="49213" s="101" customFormat="1" spans="6:6">
      <c r="F49213" s="2423"/>
    </row>
    <row r="49214" s="101" customFormat="1" spans="6:6">
      <c r="F49214" s="2423"/>
    </row>
    <row r="49215" s="101" customFormat="1" spans="6:6">
      <c r="F49215" s="2423"/>
    </row>
    <row r="49216" s="101" customFormat="1" spans="6:6">
      <c r="F49216" s="2423"/>
    </row>
    <row r="49217" s="101" customFormat="1" spans="6:6">
      <c r="F49217" s="2423"/>
    </row>
    <row r="49218" s="101" customFormat="1" spans="6:6">
      <c r="F49218" s="2423"/>
    </row>
    <row r="49219" s="101" customFormat="1" spans="6:6">
      <c r="F49219" s="2423"/>
    </row>
    <row r="49220" s="101" customFormat="1" spans="6:6">
      <c r="F49220" s="2423"/>
    </row>
    <row r="49221" s="101" customFormat="1" spans="6:6">
      <c r="F49221" s="2423"/>
    </row>
    <row r="49222" s="101" customFormat="1" spans="6:6">
      <c r="F49222" s="2423"/>
    </row>
    <row r="49223" s="101" customFormat="1" spans="6:6">
      <c r="F49223" s="2423"/>
    </row>
    <row r="49224" s="101" customFormat="1" spans="6:6">
      <c r="F49224" s="2423"/>
    </row>
    <row r="49225" s="101" customFormat="1" spans="6:6">
      <c r="F49225" s="2423"/>
    </row>
    <row r="49226" s="101" customFormat="1" spans="6:6">
      <c r="F49226" s="2423"/>
    </row>
    <row r="49227" s="101" customFormat="1" spans="6:6">
      <c r="F49227" s="2423"/>
    </row>
    <row r="49228" s="101" customFormat="1" spans="6:6">
      <c r="F49228" s="2423"/>
    </row>
    <row r="49229" s="101" customFormat="1" spans="6:6">
      <c r="F49229" s="2423"/>
    </row>
    <row r="49230" s="101" customFormat="1" spans="6:6">
      <c r="F49230" s="2423"/>
    </row>
    <row r="49231" s="101" customFormat="1" spans="6:6">
      <c r="F49231" s="2423"/>
    </row>
    <row r="49232" s="101" customFormat="1" spans="6:6">
      <c r="F49232" s="2423"/>
    </row>
    <row r="49233" s="101" customFormat="1" spans="6:6">
      <c r="F49233" s="2423"/>
    </row>
    <row r="49234" s="101" customFormat="1" spans="6:6">
      <c r="F49234" s="2423"/>
    </row>
    <row r="49235" s="101" customFormat="1" spans="6:6">
      <c r="F49235" s="2423"/>
    </row>
    <row r="49236" s="101" customFormat="1" spans="6:6">
      <c r="F49236" s="2423"/>
    </row>
    <row r="49237" s="101" customFormat="1" spans="6:6">
      <c r="F49237" s="2423"/>
    </row>
    <row r="49238" s="101" customFormat="1" spans="6:6">
      <c r="F49238" s="2423"/>
    </row>
    <row r="49239" s="101" customFormat="1" spans="6:6">
      <c r="F49239" s="2423"/>
    </row>
    <row r="49240" s="101" customFormat="1" spans="6:6">
      <c r="F49240" s="2423"/>
    </row>
    <row r="49241" s="101" customFormat="1" spans="6:6">
      <c r="F49241" s="2423"/>
    </row>
    <row r="49242" s="101" customFormat="1" spans="6:6">
      <c r="F49242" s="2423"/>
    </row>
    <row r="49243" s="101" customFormat="1" spans="6:6">
      <c r="F49243" s="2423"/>
    </row>
    <row r="49244" s="101" customFormat="1" spans="6:6">
      <c r="F49244" s="2423"/>
    </row>
    <row r="49245" s="101" customFormat="1" spans="6:6">
      <c r="F49245" s="2423"/>
    </row>
    <row r="49246" s="101" customFormat="1" spans="6:6">
      <c r="F49246" s="2423"/>
    </row>
    <row r="49247" s="101" customFormat="1" spans="6:6">
      <c r="F49247" s="2423"/>
    </row>
    <row r="49248" s="101" customFormat="1" spans="6:6">
      <c r="F49248" s="2423"/>
    </row>
    <row r="49249" s="101" customFormat="1" spans="6:6">
      <c r="F49249" s="2423"/>
    </row>
    <row r="49250" s="101" customFormat="1" spans="6:6">
      <c r="F49250" s="2423"/>
    </row>
    <row r="49251" s="101" customFormat="1" spans="6:6">
      <c r="F49251" s="2423"/>
    </row>
    <row r="49252" s="101" customFormat="1" spans="6:6">
      <c r="F49252" s="2423"/>
    </row>
    <row r="49253" s="101" customFormat="1" spans="6:6">
      <c r="F49253" s="2423"/>
    </row>
    <row r="49254" s="101" customFormat="1" spans="6:6">
      <c r="F49254" s="2423"/>
    </row>
    <row r="49255" s="101" customFormat="1" spans="6:6">
      <c r="F49255" s="2423"/>
    </row>
    <row r="49256" s="101" customFormat="1" spans="6:6">
      <c r="F49256" s="2423"/>
    </row>
    <row r="49257" s="101" customFormat="1" spans="6:6">
      <c r="F49257" s="2423"/>
    </row>
    <row r="49258" s="101" customFormat="1" spans="6:6">
      <c r="F49258" s="2423"/>
    </row>
    <row r="49259" s="101" customFormat="1" spans="6:6">
      <c r="F49259" s="2423"/>
    </row>
    <row r="49260" s="101" customFormat="1" spans="6:6">
      <c r="F49260" s="2423"/>
    </row>
    <row r="49261" s="101" customFormat="1" spans="6:6">
      <c r="F49261" s="2423"/>
    </row>
    <row r="49262" s="101" customFormat="1" spans="6:6">
      <c r="F49262" s="2423"/>
    </row>
    <row r="49263" s="101" customFormat="1" spans="6:6">
      <c r="F49263" s="2423"/>
    </row>
    <row r="49264" s="101" customFormat="1" spans="6:6">
      <c r="F49264" s="2423"/>
    </row>
    <row r="49265" s="101" customFormat="1" spans="6:6">
      <c r="F49265" s="2423"/>
    </row>
    <row r="49266" s="101" customFormat="1" spans="6:6">
      <c r="F49266" s="2423"/>
    </row>
    <row r="49267" s="101" customFormat="1" spans="6:6">
      <c r="F49267" s="2423"/>
    </row>
    <row r="49268" s="101" customFormat="1" spans="6:6">
      <c r="F49268" s="2423"/>
    </row>
    <row r="49269" s="101" customFormat="1" spans="6:6">
      <c r="F49269" s="2423"/>
    </row>
    <row r="49270" s="101" customFormat="1" spans="6:6">
      <c r="F49270" s="2423"/>
    </row>
    <row r="49271" s="101" customFormat="1" spans="6:6">
      <c r="F49271" s="2423"/>
    </row>
    <row r="49272" s="101" customFormat="1" spans="6:6">
      <c r="F49272" s="2423"/>
    </row>
    <row r="49273" s="101" customFormat="1" spans="6:6">
      <c r="F49273" s="2423"/>
    </row>
    <row r="49274" s="101" customFormat="1" spans="6:6">
      <c r="F49274" s="2423"/>
    </row>
    <row r="49275" s="101" customFormat="1" spans="6:6">
      <c r="F49275" s="2423"/>
    </row>
    <row r="49276" s="101" customFormat="1" spans="6:6">
      <c r="F49276" s="2423"/>
    </row>
    <row r="49277" s="101" customFormat="1" spans="6:6">
      <c r="F49277" s="2423"/>
    </row>
    <row r="49278" s="101" customFormat="1" spans="6:6">
      <c r="F49278" s="2423"/>
    </row>
    <row r="49279" s="101" customFormat="1" spans="6:6">
      <c r="F49279" s="2423"/>
    </row>
    <row r="49280" s="101" customFormat="1" spans="6:6">
      <c r="F49280" s="2423"/>
    </row>
    <row r="49281" s="101" customFormat="1" spans="6:6">
      <c r="F49281" s="2423"/>
    </row>
    <row r="49282" s="101" customFormat="1" spans="6:6">
      <c r="F49282" s="2423"/>
    </row>
    <row r="49283" s="101" customFormat="1" spans="6:6">
      <c r="F49283" s="2423"/>
    </row>
    <row r="49284" s="101" customFormat="1" spans="6:6">
      <c r="F49284" s="2423"/>
    </row>
    <row r="49285" s="101" customFormat="1" spans="6:6">
      <c r="F49285" s="2423"/>
    </row>
    <row r="49286" s="101" customFormat="1" spans="6:6">
      <c r="F49286" s="2423"/>
    </row>
    <row r="49287" s="101" customFormat="1" spans="6:6">
      <c r="F49287" s="2423"/>
    </row>
    <row r="49288" s="101" customFormat="1" spans="6:6">
      <c r="F49288" s="2423"/>
    </row>
    <row r="49289" s="101" customFormat="1" spans="6:6">
      <c r="F49289" s="2423"/>
    </row>
    <row r="49290" s="101" customFormat="1" spans="6:6">
      <c r="F49290" s="2423"/>
    </row>
    <row r="49291" s="101" customFormat="1" spans="6:6">
      <c r="F49291" s="2423"/>
    </row>
    <row r="49292" s="101" customFormat="1" spans="6:6">
      <c r="F49292" s="2423"/>
    </row>
    <row r="49293" s="101" customFormat="1" spans="6:6">
      <c r="F49293" s="2423"/>
    </row>
    <row r="49294" s="101" customFormat="1" spans="6:6">
      <c r="F49294" s="2423"/>
    </row>
    <row r="49295" s="101" customFormat="1" spans="6:6">
      <c r="F49295" s="2423"/>
    </row>
    <row r="49296" s="101" customFormat="1" spans="6:6">
      <c r="F49296" s="2423"/>
    </row>
    <row r="49297" s="101" customFormat="1" spans="6:6">
      <c r="F49297" s="2423"/>
    </row>
    <row r="49298" s="101" customFormat="1" spans="6:6">
      <c r="F49298" s="2423"/>
    </row>
    <row r="49299" s="101" customFormat="1" spans="6:6">
      <c r="F49299" s="2423"/>
    </row>
    <row r="49300" s="101" customFormat="1" spans="6:6">
      <c r="F49300" s="2423"/>
    </row>
    <row r="49301" s="101" customFormat="1" spans="6:6">
      <c r="F49301" s="2423"/>
    </row>
    <row r="49302" s="101" customFormat="1" spans="6:6">
      <c r="F49302" s="2423"/>
    </row>
    <row r="49303" s="101" customFormat="1" spans="6:6">
      <c r="F49303" s="2423"/>
    </row>
    <row r="49304" s="101" customFormat="1" spans="6:6">
      <c r="F49304" s="2423"/>
    </row>
    <row r="49305" s="101" customFormat="1" spans="6:6">
      <c r="F49305" s="2423"/>
    </row>
    <row r="49306" s="101" customFormat="1" spans="6:6">
      <c r="F49306" s="2423"/>
    </row>
    <row r="49307" s="101" customFormat="1" spans="6:6">
      <c r="F49307" s="2423"/>
    </row>
    <row r="49308" s="101" customFormat="1" spans="6:6">
      <c r="F49308" s="2423"/>
    </row>
    <row r="49309" s="101" customFormat="1" spans="6:6">
      <c r="F49309" s="2423"/>
    </row>
    <row r="49310" s="101" customFormat="1" spans="6:6">
      <c r="F49310" s="2423"/>
    </row>
    <row r="49311" s="101" customFormat="1" spans="6:6">
      <c r="F49311" s="2423"/>
    </row>
    <row r="49312" s="101" customFormat="1" spans="6:6">
      <c r="F49312" s="2423"/>
    </row>
    <row r="49313" s="101" customFormat="1" spans="6:6">
      <c r="F49313" s="2423"/>
    </row>
    <row r="49314" s="101" customFormat="1" spans="6:6">
      <c r="F49314" s="2423"/>
    </row>
    <row r="49315" s="101" customFormat="1" spans="6:6">
      <c r="F49315" s="2423"/>
    </row>
    <row r="49316" s="101" customFormat="1" spans="6:6">
      <c r="F49316" s="2423"/>
    </row>
    <row r="49317" s="101" customFormat="1" spans="6:6">
      <c r="F49317" s="2423"/>
    </row>
    <row r="49318" s="101" customFormat="1" spans="6:6">
      <c r="F49318" s="2423"/>
    </row>
    <row r="49319" s="101" customFormat="1" spans="6:6">
      <c r="F49319" s="2423"/>
    </row>
    <row r="49320" s="101" customFormat="1" spans="6:6">
      <c r="F49320" s="2423"/>
    </row>
    <row r="49321" s="101" customFormat="1" spans="6:6">
      <c r="F49321" s="2423"/>
    </row>
    <row r="49322" s="101" customFormat="1" spans="6:6">
      <c r="F49322" s="2423"/>
    </row>
    <row r="49323" s="101" customFormat="1" spans="6:6">
      <c r="F49323" s="2423"/>
    </row>
    <row r="49324" s="101" customFormat="1" spans="6:6">
      <c r="F49324" s="2423"/>
    </row>
    <row r="49325" s="101" customFormat="1" spans="6:6">
      <c r="F49325" s="2423"/>
    </row>
    <row r="49326" s="101" customFormat="1" spans="6:6">
      <c r="F49326" s="2423"/>
    </row>
    <row r="49327" s="101" customFormat="1" spans="6:6">
      <c r="F49327" s="2423"/>
    </row>
    <row r="49328" s="101" customFormat="1" spans="6:6">
      <c r="F49328" s="2423"/>
    </row>
    <row r="49329" s="101" customFormat="1" spans="6:6">
      <c r="F49329" s="2423"/>
    </row>
    <row r="49330" s="101" customFormat="1" spans="6:6">
      <c r="F49330" s="2423"/>
    </row>
    <row r="49331" s="101" customFormat="1" spans="6:6">
      <c r="F49331" s="2423"/>
    </row>
    <row r="49332" s="101" customFormat="1" spans="6:6">
      <c r="F49332" s="2423"/>
    </row>
    <row r="49333" s="101" customFormat="1" spans="6:6">
      <c r="F49333" s="2423"/>
    </row>
    <row r="49334" s="101" customFormat="1" spans="6:6">
      <c r="F49334" s="2423"/>
    </row>
    <row r="49335" s="101" customFormat="1" spans="6:6">
      <c r="F49335" s="2423"/>
    </row>
    <row r="49336" s="101" customFormat="1" spans="6:6">
      <c r="F49336" s="2423"/>
    </row>
    <row r="49337" s="101" customFormat="1" spans="6:6">
      <c r="F49337" s="2423"/>
    </row>
    <row r="49338" s="101" customFormat="1" spans="6:6">
      <c r="F49338" s="2423"/>
    </row>
    <row r="49339" s="101" customFormat="1" spans="6:6">
      <c r="F49339" s="2423"/>
    </row>
    <row r="49340" s="101" customFormat="1" spans="6:6">
      <c r="F49340" s="2423"/>
    </row>
    <row r="49341" s="101" customFormat="1" spans="6:6">
      <c r="F49341" s="2423"/>
    </row>
    <row r="49342" s="101" customFormat="1" spans="6:6">
      <c r="F49342" s="2423"/>
    </row>
    <row r="49343" s="101" customFormat="1" spans="6:6">
      <c r="F49343" s="2423"/>
    </row>
    <row r="49344" s="101" customFormat="1" spans="6:6">
      <c r="F49344" s="2423"/>
    </row>
    <row r="49345" s="101" customFormat="1" spans="6:6">
      <c r="F49345" s="2423"/>
    </row>
    <row r="49346" s="101" customFormat="1" spans="6:6">
      <c r="F49346" s="2423"/>
    </row>
    <row r="49347" s="101" customFormat="1" spans="6:6">
      <c r="F49347" s="2423"/>
    </row>
    <row r="49348" s="101" customFormat="1" spans="6:6">
      <c r="F49348" s="2423"/>
    </row>
    <row r="49349" s="101" customFormat="1" spans="6:6">
      <c r="F49349" s="2423"/>
    </row>
    <row r="49350" s="101" customFormat="1" spans="6:6">
      <c r="F49350" s="2423"/>
    </row>
    <row r="49351" s="101" customFormat="1" spans="6:6">
      <c r="F49351" s="2423"/>
    </row>
    <row r="49352" s="101" customFormat="1" spans="6:6">
      <c r="F49352" s="2423"/>
    </row>
    <row r="49353" s="101" customFormat="1" spans="6:6">
      <c r="F49353" s="2423"/>
    </row>
    <row r="49354" s="101" customFormat="1" spans="6:6">
      <c r="F49354" s="2423"/>
    </row>
    <row r="49355" s="101" customFormat="1" spans="6:6">
      <c r="F49355" s="2423"/>
    </row>
    <row r="49356" s="101" customFormat="1" spans="6:6">
      <c r="F49356" s="2423"/>
    </row>
    <row r="49357" s="101" customFormat="1" spans="6:6">
      <c r="F49357" s="2423"/>
    </row>
    <row r="49358" s="101" customFormat="1" spans="6:6">
      <c r="F49358" s="2423"/>
    </row>
    <row r="49359" s="101" customFormat="1" spans="6:6">
      <c r="F49359" s="2423"/>
    </row>
    <row r="49360" s="101" customFormat="1" spans="6:6">
      <c r="F49360" s="2423"/>
    </row>
    <row r="49361" s="101" customFormat="1" spans="6:6">
      <c r="F49361" s="2423"/>
    </row>
    <row r="49362" s="101" customFormat="1" spans="6:6">
      <c r="F49362" s="2423"/>
    </row>
    <row r="49363" s="101" customFormat="1" spans="6:6">
      <c r="F49363" s="2423"/>
    </row>
    <row r="49364" s="101" customFormat="1" spans="6:6">
      <c r="F49364" s="2423"/>
    </row>
    <row r="49365" s="101" customFormat="1" spans="6:6">
      <c r="F49365" s="2423"/>
    </row>
    <row r="49366" s="101" customFormat="1" spans="6:6">
      <c r="F49366" s="2423"/>
    </row>
    <row r="49367" s="101" customFormat="1" spans="6:6">
      <c r="F49367" s="2423"/>
    </row>
    <row r="49368" s="101" customFormat="1" spans="6:6">
      <c r="F49368" s="2423"/>
    </row>
    <row r="49369" s="101" customFormat="1" spans="6:6">
      <c r="F49369" s="2423"/>
    </row>
    <row r="49370" s="101" customFormat="1" spans="6:6">
      <c r="F49370" s="2423"/>
    </row>
    <row r="49371" s="101" customFormat="1" spans="6:6">
      <c r="F49371" s="2423"/>
    </row>
    <row r="49372" s="101" customFormat="1" spans="6:6">
      <c r="F49372" s="2423"/>
    </row>
    <row r="49373" s="101" customFormat="1" spans="6:6">
      <c r="F49373" s="2423"/>
    </row>
    <row r="49374" s="101" customFormat="1" spans="6:6">
      <c r="F49374" s="2423"/>
    </row>
    <row r="49375" s="101" customFormat="1" spans="6:6">
      <c r="F49375" s="2423"/>
    </row>
    <row r="49376" s="101" customFormat="1" spans="6:6">
      <c r="F49376" s="2423"/>
    </row>
    <row r="49377" s="101" customFormat="1" spans="6:6">
      <c r="F49377" s="2423"/>
    </row>
    <row r="49378" s="101" customFormat="1" spans="6:6">
      <c r="F49378" s="2423"/>
    </row>
    <row r="49379" s="101" customFormat="1" spans="6:6">
      <c r="F49379" s="2423"/>
    </row>
    <row r="49380" s="101" customFormat="1" spans="6:6">
      <c r="F49380" s="2423"/>
    </row>
    <row r="49381" s="101" customFormat="1" spans="6:6">
      <c r="F49381" s="2423"/>
    </row>
    <row r="49382" s="101" customFormat="1" spans="6:6">
      <c r="F49382" s="2423"/>
    </row>
    <row r="49383" s="101" customFormat="1" spans="6:6">
      <c r="F49383" s="2423"/>
    </row>
    <row r="49384" s="101" customFormat="1" spans="6:6">
      <c r="F49384" s="2423"/>
    </row>
    <row r="49385" s="101" customFormat="1" spans="6:6">
      <c r="F49385" s="2423"/>
    </row>
    <row r="49386" s="101" customFormat="1" spans="6:6">
      <c r="F49386" s="2423"/>
    </row>
    <row r="49387" s="101" customFormat="1" spans="6:6">
      <c r="F49387" s="2423"/>
    </row>
    <row r="49388" s="101" customFormat="1" spans="6:6">
      <c r="F49388" s="2423"/>
    </row>
    <row r="49389" s="101" customFormat="1" spans="6:6">
      <c r="F49389" s="2423"/>
    </row>
    <row r="49390" s="101" customFormat="1" spans="6:6">
      <c r="F49390" s="2423"/>
    </row>
    <row r="49391" s="101" customFormat="1" spans="6:6">
      <c r="F49391" s="2423"/>
    </row>
    <row r="49392" s="101" customFormat="1" spans="6:6">
      <c r="F49392" s="2423"/>
    </row>
    <row r="49393" s="101" customFormat="1" spans="6:6">
      <c r="F49393" s="2423"/>
    </row>
    <row r="49394" s="101" customFormat="1" spans="6:6">
      <c r="F49394" s="2423"/>
    </row>
    <row r="49395" s="101" customFormat="1" spans="6:6">
      <c r="F49395" s="2423"/>
    </row>
    <row r="49396" s="101" customFormat="1" spans="6:6">
      <c r="F49396" s="2423"/>
    </row>
    <row r="49397" s="101" customFormat="1" spans="6:6">
      <c r="F49397" s="2423"/>
    </row>
    <row r="49398" s="101" customFormat="1" spans="6:6">
      <c r="F49398" s="2423"/>
    </row>
    <row r="49399" s="101" customFormat="1" spans="6:6">
      <c r="F49399" s="2423"/>
    </row>
    <row r="49400" s="101" customFormat="1" spans="6:6">
      <c r="F49400" s="2423"/>
    </row>
    <row r="49401" s="101" customFormat="1" spans="6:6">
      <c r="F49401" s="2423"/>
    </row>
    <row r="49402" s="101" customFormat="1" spans="6:6">
      <c r="F49402" s="2423"/>
    </row>
    <row r="49403" s="101" customFormat="1" spans="6:6">
      <c r="F49403" s="2423"/>
    </row>
    <row r="49404" s="101" customFormat="1" spans="6:6">
      <c r="F49404" s="2423"/>
    </row>
    <row r="49405" s="101" customFormat="1" spans="6:6">
      <c r="F49405" s="2423"/>
    </row>
    <row r="49406" s="101" customFormat="1" spans="6:6">
      <c r="F49406" s="2423"/>
    </row>
    <row r="49407" s="101" customFormat="1" spans="6:6">
      <c r="F49407" s="2423"/>
    </row>
    <row r="49408" s="101" customFormat="1" spans="6:6">
      <c r="F49408" s="2423"/>
    </row>
    <row r="49409" s="101" customFormat="1" spans="6:6">
      <c r="F49409" s="2423"/>
    </row>
    <row r="49410" s="101" customFormat="1" spans="6:6">
      <c r="F49410" s="2423"/>
    </row>
    <row r="49411" s="101" customFormat="1" spans="6:6">
      <c r="F49411" s="2423"/>
    </row>
    <row r="49412" s="101" customFormat="1" spans="6:6">
      <c r="F49412" s="2423"/>
    </row>
    <row r="49413" s="101" customFormat="1" spans="6:6">
      <c r="F49413" s="2423"/>
    </row>
    <row r="49414" s="101" customFormat="1" spans="6:6">
      <c r="F49414" s="2423"/>
    </row>
    <row r="49415" s="101" customFormat="1" spans="6:6">
      <c r="F49415" s="2423"/>
    </row>
    <row r="49416" s="101" customFormat="1" spans="6:6">
      <c r="F49416" s="2423"/>
    </row>
    <row r="49417" s="101" customFormat="1" spans="6:6">
      <c r="F49417" s="2423"/>
    </row>
    <row r="49418" s="101" customFormat="1" spans="6:6">
      <c r="F49418" s="2423"/>
    </row>
    <row r="49419" s="101" customFormat="1" spans="6:6">
      <c r="F49419" s="2423"/>
    </row>
    <row r="49420" s="101" customFormat="1" spans="6:6">
      <c r="F49420" s="2423"/>
    </row>
    <row r="49421" s="101" customFormat="1" spans="6:6">
      <c r="F49421" s="2423"/>
    </row>
    <row r="49422" s="101" customFormat="1" spans="6:6">
      <c r="F49422" s="2423"/>
    </row>
    <row r="49423" s="101" customFormat="1" spans="6:6">
      <c r="F49423" s="2423"/>
    </row>
    <row r="49424" s="101" customFormat="1" spans="6:6">
      <c r="F49424" s="2423"/>
    </row>
    <row r="49425" s="101" customFormat="1" spans="6:6">
      <c r="F49425" s="2423"/>
    </row>
    <row r="49426" s="101" customFormat="1" spans="6:6">
      <c r="F49426" s="2423"/>
    </row>
    <row r="49427" s="101" customFormat="1" spans="6:6">
      <c r="F49427" s="2423"/>
    </row>
    <row r="49428" s="101" customFormat="1" spans="6:6">
      <c r="F49428" s="2423"/>
    </row>
    <row r="49429" s="101" customFormat="1" spans="6:6">
      <c r="F49429" s="2423"/>
    </row>
    <row r="49430" s="101" customFormat="1" spans="6:6">
      <c r="F49430" s="2423"/>
    </row>
    <row r="49431" s="101" customFormat="1" spans="6:6">
      <c r="F49431" s="2423"/>
    </row>
    <row r="49432" s="101" customFormat="1" spans="6:6">
      <c r="F49432" s="2423"/>
    </row>
    <row r="49433" s="101" customFormat="1" spans="6:6">
      <c r="F49433" s="2423"/>
    </row>
    <row r="49434" s="101" customFormat="1" spans="6:6">
      <c r="F49434" s="2423"/>
    </row>
    <row r="49435" s="101" customFormat="1" spans="6:6">
      <c r="F49435" s="2423"/>
    </row>
    <row r="49436" s="101" customFormat="1" spans="6:6">
      <c r="F49436" s="2423"/>
    </row>
    <row r="49437" s="101" customFormat="1" spans="6:6">
      <c r="F49437" s="2423"/>
    </row>
    <row r="49438" s="101" customFormat="1" spans="6:6">
      <c r="F49438" s="2423"/>
    </row>
    <row r="49439" s="101" customFormat="1" spans="6:6">
      <c r="F49439" s="2423"/>
    </row>
    <row r="49440" s="101" customFormat="1" spans="6:6">
      <c r="F49440" s="2423"/>
    </row>
    <row r="49441" s="101" customFormat="1" spans="6:6">
      <c r="F49441" s="2423"/>
    </row>
    <row r="49442" s="101" customFormat="1" spans="6:6">
      <c r="F49442" s="2423"/>
    </row>
    <row r="49443" s="101" customFormat="1" spans="6:6">
      <c r="F49443" s="2423"/>
    </row>
    <row r="49444" s="101" customFormat="1" spans="6:6">
      <c r="F49444" s="2423"/>
    </row>
    <row r="49445" s="101" customFormat="1" spans="6:6">
      <c r="F49445" s="2423"/>
    </row>
    <row r="49446" s="101" customFormat="1" spans="6:6">
      <c r="F49446" s="2423"/>
    </row>
    <row r="49447" s="101" customFormat="1" spans="6:6">
      <c r="F49447" s="2423"/>
    </row>
    <row r="49448" s="101" customFormat="1" spans="6:6">
      <c r="F49448" s="2423"/>
    </row>
    <row r="49449" s="101" customFormat="1" spans="6:6">
      <c r="F49449" s="2423"/>
    </row>
    <row r="49450" s="101" customFormat="1" spans="6:6">
      <c r="F49450" s="2423"/>
    </row>
    <row r="49451" s="101" customFormat="1" spans="6:6">
      <c r="F49451" s="2423"/>
    </row>
    <row r="49452" s="101" customFormat="1" spans="6:6">
      <c r="F49452" s="2423"/>
    </row>
    <row r="49453" s="101" customFormat="1" spans="6:6">
      <c r="F49453" s="2423"/>
    </row>
    <row r="49454" s="101" customFormat="1" spans="6:6">
      <c r="F49454" s="2423"/>
    </row>
    <row r="49455" s="101" customFormat="1" spans="6:6">
      <c r="F49455" s="2423"/>
    </row>
    <row r="49456" s="101" customFormat="1" spans="6:6">
      <c r="F49456" s="2423"/>
    </row>
    <row r="49457" s="101" customFormat="1" spans="6:6">
      <c r="F49457" s="2423"/>
    </row>
    <row r="49458" s="101" customFormat="1" spans="6:6">
      <c r="F49458" s="2423"/>
    </row>
    <row r="49459" s="101" customFormat="1" spans="6:6">
      <c r="F49459" s="2423"/>
    </row>
    <row r="49460" s="101" customFormat="1" spans="6:6">
      <c r="F49460" s="2423"/>
    </row>
    <row r="49461" s="101" customFormat="1" spans="6:6">
      <c r="F49461" s="2423"/>
    </row>
    <row r="49462" s="101" customFormat="1" spans="6:6">
      <c r="F49462" s="2423"/>
    </row>
    <row r="49463" s="101" customFormat="1" spans="6:6">
      <c r="F49463" s="2423"/>
    </row>
    <row r="49464" s="101" customFormat="1" spans="6:6">
      <c r="F49464" s="2423"/>
    </row>
    <row r="49465" s="101" customFormat="1" spans="6:6">
      <c r="F49465" s="2423"/>
    </row>
    <row r="49466" s="101" customFormat="1" spans="6:6">
      <c r="F49466" s="2423"/>
    </row>
    <row r="49467" s="101" customFormat="1" spans="6:6">
      <c r="F49467" s="2423"/>
    </row>
    <row r="49468" s="101" customFormat="1" spans="6:6">
      <c r="F49468" s="2423"/>
    </row>
    <row r="49469" s="101" customFormat="1" spans="6:6">
      <c r="F49469" s="2423"/>
    </row>
    <row r="49470" s="101" customFormat="1" spans="6:6">
      <c r="F49470" s="2423"/>
    </row>
    <row r="49471" s="101" customFormat="1" spans="6:6">
      <c r="F49471" s="2423"/>
    </row>
    <row r="49472" s="101" customFormat="1" spans="6:6">
      <c r="F49472" s="2423"/>
    </row>
    <row r="49473" s="101" customFormat="1" spans="6:6">
      <c r="F49473" s="2423"/>
    </row>
    <row r="49474" s="101" customFormat="1" spans="6:6">
      <c r="F49474" s="2423"/>
    </row>
    <row r="49475" s="101" customFormat="1" spans="6:6">
      <c r="F49475" s="2423"/>
    </row>
    <row r="49476" s="101" customFormat="1" spans="6:6">
      <c r="F49476" s="2423"/>
    </row>
    <row r="49477" s="101" customFormat="1" spans="6:6">
      <c r="F49477" s="2423"/>
    </row>
    <row r="49478" s="101" customFormat="1" spans="6:6">
      <c r="F49478" s="2423"/>
    </row>
    <row r="49479" s="101" customFormat="1" spans="6:6">
      <c r="F49479" s="2423"/>
    </row>
    <row r="49480" s="101" customFormat="1" spans="6:6">
      <c r="F49480" s="2423"/>
    </row>
    <row r="49481" s="101" customFormat="1" spans="6:6">
      <c r="F49481" s="2423"/>
    </row>
    <row r="49482" s="101" customFormat="1" spans="6:6">
      <c r="F49482" s="2423"/>
    </row>
    <row r="49483" s="101" customFormat="1" spans="6:6">
      <c r="F49483" s="2423"/>
    </row>
    <row r="49484" s="101" customFormat="1" spans="6:6">
      <c r="F49484" s="2423"/>
    </row>
    <row r="49485" s="101" customFormat="1" spans="6:6">
      <c r="F49485" s="2423"/>
    </row>
    <row r="49486" s="101" customFormat="1" spans="6:6">
      <c r="F49486" s="2423"/>
    </row>
    <row r="49487" s="101" customFormat="1" spans="6:6">
      <c r="F49487" s="2423"/>
    </row>
    <row r="49488" s="101" customFormat="1" spans="6:6">
      <c r="F49488" s="2423"/>
    </row>
    <row r="49489" s="101" customFormat="1" spans="6:6">
      <c r="F49489" s="2423"/>
    </row>
    <row r="49490" s="101" customFormat="1" spans="6:6">
      <c r="F49490" s="2423"/>
    </row>
    <row r="49491" s="101" customFormat="1" spans="6:6">
      <c r="F49491" s="2423"/>
    </row>
    <row r="49492" s="101" customFormat="1" spans="6:6">
      <c r="F49492" s="2423"/>
    </row>
    <row r="49493" s="101" customFormat="1" spans="6:6">
      <c r="F49493" s="2423"/>
    </row>
    <row r="49494" s="101" customFormat="1" spans="6:6">
      <c r="F49494" s="2423"/>
    </row>
    <row r="49495" s="101" customFormat="1" spans="6:6">
      <c r="F49495" s="2423"/>
    </row>
    <row r="49496" s="101" customFormat="1" spans="6:6">
      <c r="F49496" s="2423"/>
    </row>
    <row r="49497" s="101" customFormat="1" spans="6:6">
      <c r="F49497" s="2423"/>
    </row>
    <row r="49498" s="101" customFormat="1" spans="6:6">
      <c r="F49498" s="2423"/>
    </row>
    <row r="49499" s="101" customFormat="1" spans="6:6">
      <c r="F49499" s="2423"/>
    </row>
    <row r="49500" s="101" customFormat="1" spans="6:6">
      <c r="F49500" s="2423"/>
    </row>
    <row r="49501" s="101" customFormat="1" spans="6:6">
      <c r="F49501" s="2423"/>
    </row>
    <row r="49502" s="101" customFormat="1" spans="6:6">
      <c r="F49502" s="2423"/>
    </row>
    <row r="49503" s="101" customFormat="1" spans="6:6">
      <c r="F49503" s="2423"/>
    </row>
    <row r="49504" s="101" customFormat="1" spans="6:6">
      <c r="F49504" s="2423"/>
    </row>
    <row r="49505" s="101" customFormat="1" spans="6:6">
      <c r="F49505" s="2423"/>
    </row>
    <row r="49506" s="101" customFormat="1" spans="6:6">
      <c r="F49506" s="2423"/>
    </row>
    <row r="49507" s="101" customFormat="1" spans="6:6">
      <c r="F49507" s="2423"/>
    </row>
    <row r="49508" s="101" customFormat="1" spans="6:6">
      <c r="F49508" s="2423"/>
    </row>
    <row r="49509" s="101" customFormat="1" spans="6:6">
      <c r="F49509" s="2423"/>
    </row>
    <row r="49510" s="101" customFormat="1" spans="6:6">
      <c r="F49510" s="2423"/>
    </row>
    <row r="49511" s="101" customFormat="1" spans="6:6">
      <c r="F49511" s="2423"/>
    </row>
    <row r="49512" s="101" customFormat="1" spans="6:6">
      <c r="F49512" s="2423"/>
    </row>
    <row r="49513" s="101" customFormat="1" spans="6:6">
      <c r="F49513" s="2423"/>
    </row>
    <row r="49514" s="101" customFormat="1" spans="6:6">
      <c r="F49514" s="2423"/>
    </row>
    <row r="49515" s="101" customFormat="1" spans="6:6">
      <c r="F49515" s="2423"/>
    </row>
    <row r="49516" s="101" customFormat="1" spans="6:6">
      <c r="F49516" s="2423"/>
    </row>
    <row r="49517" s="101" customFormat="1" spans="6:6">
      <c r="F49517" s="2423"/>
    </row>
    <row r="49518" s="101" customFormat="1" spans="6:6">
      <c r="F49518" s="2423"/>
    </row>
    <row r="49519" s="101" customFormat="1" spans="6:6">
      <c r="F49519" s="2423"/>
    </row>
    <row r="49520" s="101" customFormat="1" spans="6:6">
      <c r="F49520" s="2423"/>
    </row>
    <row r="49521" s="101" customFormat="1" spans="6:6">
      <c r="F49521" s="2423"/>
    </row>
    <row r="49522" s="101" customFormat="1" spans="6:6">
      <c r="F49522" s="2423"/>
    </row>
    <row r="49523" s="101" customFormat="1" spans="6:6">
      <c r="F49523" s="2423"/>
    </row>
    <row r="49524" s="101" customFormat="1" spans="6:6">
      <c r="F49524" s="2423"/>
    </row>
    <row r="49525" s="101" customFormat="1" spans="6:6">
      <c r="F49525" s="2423"/>
    </row>
    <row r="49526" s="101" customFormat="1" spans="6:6">
      <c r="F49526" s="2423"/>
    </row>
    <row r="49527" s="101" customFormat="1" spans="6:6">
      <c r="F49527" s="2423"/>
    </row>
    <row r="49528" s="101" customFormat="1" spans="6:6">
      <c r="F49528" s="2423"/>
    </row>
    <row r="49529" s="101" customFormat="1" spans="6:6">
      <c r="F49529" s="2423"/>
    </row>
    <row r="49530" s="101" customFormat="1" spans="6:6">
      <c r="F49530" s="2423"/>
    </row>
    <row r="49531" s="101" customFormat="1" spans="6:6">
      <c r="F49531" s="2423"/>
    </row>
    <row r="49532" s="101" customFormat="1" spans="6:6">
      <c r="F49532" s="2423"/>
    </row>
    <row r="49533" s="101" customFormat="1" spans="6:6">
      <c r="F49533" s="2423"/>
    </row>
    <row r="49534" s="101" customFormat="1" spans="6:6">
      <c r="F49534" s="2423"/>
    </row>
    <row r="49535" s="101" customFormat="1" spans="6:6">
      <c r="F49535" s="2423"/>
    </row>
    <row r="49536" s="101" customFormat="1" spans="6:6">
      <c r="F49536" s="2423"/>
    </row>
    <row r="49537" s="101" customFormat="1" spans="6:6">
      <c r="F49537" s="2423"/>
    </row>
    <row r="49538" s="101" customFormat="1" spans="6:6">
      <c r="F49538" s="2423"/>
    </row>
    <row r="49539" s="101" customFormat="1" spans="6:6">
      <c r="F49539" s="2423"/>
    </row>
    <row r="49540" s="101" customFormat="1" spans="6:6">
      <c r="F49540" s="2423"/>
    </row>
    <row r="49541" s="101" customFormat="1" spans="6:6">
      <c r="F49541" s="2423"/>
    </row>
    <row r="49542" s="101" customFormat="1" spans="6:6">
      <c r="F49542" s="2423"/>
    </row>
    <row r="49543" s="101" customFormat="1" spans="6:6">
      <c r="F49543" s="2423"/>
    </row>
    <row r="49544" s="101" customFormat="1" spans="6:6">
      <c r="F49544" s="2423"/>
    </row>
    <row r="49545" s="101" customFormat="1" spans="6:6">
      <c r="F49545" s="2423"/>
    </row>
    <row r="49546" s="101" customFormat="1" spans="6:6">
      <c r="F49546" s="2423"/>
    </row>
    <row r="49547" s="101" customFormat="1" spans="6:6">
      <c r="F49547" s="2423"/>
    </row>
    <row r="49548" s="101" customFormat="1" spans="6:6">
      <c r="F49548" s="2423"/>
    </row>
    <row r="49549" s="101" customFormat="1" spans="6:6">
      <c r="F49549" s="2423"/>
    </row>
    <row r="49550" s="101" customFormat="1" spans="6:6">
      <c r="F49550" s="2423"/>
    </row>
    <row r="49551" s="101" customFormat="1" spans="6:6">
      <c r="F49551" s="2423"/>
    </row>
    <row r="49552" s="101" customFormat="1" spans="6:6">
      <c r="F49552" s="2423"/>
    </row>
    <row r="49553" s="101" customFormat="1" spans="6:6">
      <c r="F49553" s="2423"/>
    </row>
    <row r="49554" s="101" customFormat="1" spans="6:6">
      <c r="F49554" s="2423"/>
    </row>
    <row r="49555" s="101" customFormat="1" spans="6:6">
      <c r="F49555" s="2423"/>
    </row>
    <row r="49556" s="101" customFormat="1" spans="6:6">
      <c r="F49556" s="2423"/>
    </row>
    <row r="49557" s="101" customFormat="1" spans="6:6">
      <c r="F49557" s="2423"/>
    </row>
    <row r="49558" s="101" customFormat="1" spans="6:6">
      <c r="F49558" s="2423"/>
    </row>
    <row r="49559" s="101" customFormat="1" spans="6:6">
      <c r="F49559" s="2423"/>
    </row>
    <row r="49560" s="101" customFormat="1" spans="6:6">
      <c r="F49560" s="2423"/>
    </row>
    <row r="49561" s="101" customFormat="1" spans="6:6">
      <c r="F49561" s="2423"/>
    </row>
    <row r="49562" s="101" customFormat="1" spans="6:6">
      <c r="F49562" s="2423"/>
    </row>
    <row r="49563" s="101" customFormat="1" spans="6:6">
      <c r="F49563" s="2423"/>
    </row>
    <row r="49564" s="101" customFormat="1" spans="6:6">
      <c r="F49564" s="2423"/>
    </row>
    <row r="49565" s="101" customFormat="1" spans="6:6">
      <c r="F49565" s="2423"/>
    </row>
    <row r="49566" s="101" customFormat="1" spans="6:6">
      <c r="F49566" s="2423"/>
    </row>
    <row r="49567" s="101" customFormat="1" spans="6:6">
      <c r="F49567" s="2423"/>
    </row>
    <row r="49568" s="101" customFormat="1" spans="6:6">
      <c r="F49568" s="2423"/>
    </row>
    <row r="49569" s="101" customFormat="1" spans="6:6">
      <c r="F49569" s="2423"/>
    </row>
    <row r="49570" s="101" customFormat="1" spans="6:6">
      <c r="F49570" s="2423"/>
    </row>
    <row r="49571" s="101" customFormat="1" spans="6:6">
      <c r="F49571" s="2423"/>
    </row>
    <row r="49572" s="101" customFormat="1" spans="6:6">
      <c r="F49572" s="2423"/>
    </row>
    <row r="49573" s="101" customFormat="1" spans="6:6">
      <c r="F49573" s="2423"/>
    </row>
    <row r="49574" s="101" customFormat="1" spans="6:6">
      <c r="F49574" s="2423"/>
    </row>
    <row r="49575" s="101" customFormat="1" spans="6:6">
      <c r="F49575" s="2423"/>
    </row>
    <row r="49576" s="101" customFormat="1" spans="6:6">
      <c r="F49576" s="2423"/>
    </row>
    <row r="49577" s="101" customFormat="1" spans="6:6">
      <c r="F49577" s="2423"/>
    </row>
    <row r="49578" s="101" customFormat="1" spans="6:6">
      <c r="F49578" s="2423"/>
    </row>
    <row r="49579" s="101" customFormat="1" spans="6:6">
      <c r="F49579" s="2423"/>
    </row>
    <row r="49580" s="101" customFormat="1" spans="6:6">
      <c r="F49580" s="2423"/>
    </row>
    <row r="49581" s="101" customFormat="1" spans="6:6">
      <c r="F49581" s="2423"/>
    </row>
    <row r="49582" s="101" customFormat="1" spans="6:6">
      <c r="F49582" s="2423"/>
    </row>
    <row r="49583" s="101" customFormat="1" spans="6:6">
      <c r="F49583" s="2423"/>
    </row>
    <row r="49584" s="101" customFormat="1" spans="6:6">
      <c r="F49584" s="2423"/>
    </row>
    <row r="49585" s="101" customFormat="1" spans="6:6">
      <c r="F49585" s="2423"/>
    </row>
    <row r="49586" s="101" customFormat="1" spans="6:6">
      <c r="F49586" s="2423"/>
    </row>
    <row r="49587" s="101" customFormat="1" spans="6:6">
      <c r="F49587" s="2423"/>
    </row>
    <row r="49588" s="101" customFormat="1" spans="6:6">
      <c r="F49588" s="2423"/>
    </row>
    <row r="49589" s="101" customFormat="1" spans="6:6">
      <c r="F49589" s="2423"/>
    </row>
    <row r="49590" s="101" customFormat="1" spans="6:6">
      <c r="F49590" s="2423"/>
    </row>
    <row r="49591" s="101" customFormat="1" spans="6:6">
      <c r="F49591" s="2423"/>
    </row>
    <row r="49592" s="101" customFormat="1" spans="6:6">
      <c r="F49592" s="2423"/>
    </row>
    <row r="49593" s="101" customFormat="1" spans="6:6">
      <c r="F49593" s="2423"/>
    </row>
    <row r="49594" s="101" customFormat="1" spans="6:6">
      <c r="F49594" s="2423"/>
    </row>
    <row r="49595" s="101" customFormat="1" spans="6:6">
      <c r="F49595" s="2423"/>
    </row>
    <row r="49596" s="101" customFormat="1" spans="6:6">
      <c r="F49596" s="2423"/>
    </row>
    <row r="49597" s="101" customFormat="1" spans="6:6">
      <c r="F49597" s="2423"/>
    </row>
    <row r="49598" s="101" customFormat="1" spans="6:6">
      <c r="F49598" s="2423"/>
    </row>
    <row r="49599" s="101" customFormat="1" spans="6:6">
      <c r="F49599" s="2423"/>
    </row>
    <row r="49600" s="101" customFormat="1" spans="6:6">
      <c r="F49600" s="2423"/>
    </row>
    <row r="49601" s="101" customFormat="1" spans="6:6">
      <c r="F49601" s="2423"/>
    </row>
    <row r="49602" s="101" customFormat="1" spans="6:6">
      <c r="F49602" s="2423"/>
    </row>
    <row r="49603" s="101" customFormat="1" spans="6:6">
      <c r="F49603" s="2423"/>
    </row>
    <row r="49604" s="101" customFormat="1" spans="6:6">
      <c r="F49604" s="2423"/>
    </row>
    <row r="49605" s="101" customFormat="1" spans="6:6">
      <c r="F49605" s="2423"/>
    </row>
    <row r="49606" s="101" customFormat="1" spans="6:6">
      <c r="F49606" s="2423"/>
    </row>
    <row r="49607" s="101" customFormat="1" spans="6:6">
      <c r="F49607" s="2423"/>
    </row>
    <row r="49608" s="101" customFormat="1" spans="6:6">
      <c r="F49608" s="2423"/>
    </row>
    <row r="49609" s="101" customFormat="1" spans="6:6">
      <c r="F49609" s="2423"/>
    </row>
    <row r="49610" s="101" customFormat="1" spans="6:6">
      <c r="F49610" s="2423"/>
    </row>
    <row r="49611" s="101" customFormat="1" spans="6:6">
      <c r="F49611" s="2423"/>
    </row>
    <row r="49612" s="101" customFormat="1" spans="6:6">
      <c r="F49612" s="2423"/>
    </row>
    <row r="49613" s="101" customFormat="1" spans="6:6">
      <c r="F49613" s="2423"/>
    </row>
    <row r="49614" s="101" customFormat="1" spans="6:6">
      <c r="F49614" s="2423"/>
    </row>
    <row r="49615" s="101" customFormat="1" spans="6:6">
      <c r="F49615" s="2423"/>
    </row>
    <row r="49616" s="101" customFormat="1" spans="6:6">
      <c r="F49616" s="2423"/>
    </row>
    <row r="49617" s="101" customFormat="1" spans="6:6">
      <c r="F49617" s="2423"/>
    </row>
    <row r="49618" s="101" customFormat="1" spans="6:6">
      <c r="F49618" s="2423"/>
    </row>
    <row r="49619" s="101" customFormat="1" spans="6:6">
      <c r="F49619" s="2423"/>
    </row>
    <row r="49620" s="101" customFormat="1" spans="6:6">
      <c r="F49620" s="2423"/>
    </row>
    <row r="49621" s="101" customFormat="1" spans="6:6">
      <c r="F49621" s="2423"/>
    </row>
    <row r="49622" s="101" customFormat="1" spans="6:6">
      <c r="F49622" s="2423"/>
    </row>
    <row r="49623" s="101" customFormat="1" spans="6:6">
      <c r="F49623" s="2423"/>
    </row>
    <row r="49624" s="101" customFormat="1" spans="6:6">
      <c r="F49624" s="2423"/>
    </row>
    <row r="49625" s="101" customFormat="1" spans="6:6">
      <c r="F49625" s="2423"/>
    </row>
    <row r="49626" s="101" customFormat="1" spans="6:6">
      <c r="F49626" s="2423"/>
    </row>
    <row r="49627" s="101" customFormat="1" spans="6:6">
      <c r="F49627" s="2423"/>
    </row>
    <row r="49628" s="101" customFormat="1" spans="6:6">
      <c r="F49628" s="2423"/>
    </row>
    <row r="49629" s="101" customFormat="1" spans="6:6">
      <c r="F49629" s="2423"/>
    </row>
    <row r="49630" s="101" customFormat="1" spans="6:6">
      <c r="F49630" s="2423"/>
    </row>
    <row r="49631" s="101" customFormat="1" spans="6:6">
      <c r="F49631" s="2423"/>
    </row>
    <row r="49632" s="101" customFormat="1" spans="6:6">
      <c r="F49632" s="2423"/>
    </row>
    <row r="49633" s="101" customFormat="1" spans="6:6">
      <c r="F49633" s="2423"/>
    </row>
    <row r="49634" s="101" customFormat="1" spans="6:6">
      <c r="F49634" s="2423"/>
    </row>
    <row r="49635" s="101" customFormat="1" spans="6:6">
      <c r="F49635" s="2423"/>
    </row>
    <row r="49636" s="101" customFormat="1" spans="6:6">
      <c r="F49636" s="2423"/>
    </row>
    <row r="49637" s="101" customFormat="1" spans="6:6">
      <c r="F49637" s="2423"/>
    </row>
    <row r="49638" s="101" customFormat="1" spans="6:6">
      <c r="F49638" s="2423"/>
    </row>
    <row r="49639" s="101" customFormat="1" spans="6:6">
      <c r="F49639" s="2423"/>
    </row>
    <row r="49640" s="101" customFormat="1" spans="6:6">
      <c r="F49640" s="2423"/>
    </row>
    <row r="49641" s="101" customFormat="1" spans="6:6">
      <c r="F49641" s="2423"/>
    </row>
    <row r="49642" s="101" customFormat="1" spans="6:6">
      <c r="F49642" s="2423"/>
    </row>
    <row r="49643" s="101" customFormat="1" spans="6:6">
      <c r="F49643" s="2423"/>
    </row>
    <row r="49644" s="101" customFormat="1" spans="6:6">
      <c r="F49644" s="2423"/>
    </row>
    <row r="49645" s="101" customFormat="1" spans="6:6">
      <c r="F49645" s="2423"/>
    </row>
    <row r="49646" s="101" customFormat="1" spans="6:6">
      <c r="F49646" s="2423"/>
    </row>
    <row r="49647" s="101" customFormat="1" spans="6:6">
      <c r="F49647" s="2423"/>
    </row>
    <row r="49648" s="101" customFormat="1" spans="6:6">
      <c r="F49648" s="2423"/>
    </row>
    <row r="49649" s="101" customFormat="1" spans="6:6">
      <c r="F49649" s="2423"/>
    </row>
    <row r="49650" s="101" customFormat="1" spans="6:6">
      <c r="F49650" s="2423"/>
    </row>
    <row r="49651" s="101" customFormat="1" spans="6:6">
      <c r="F49651" s="2423"/>
    </row>
    <row r="49652" s="101" customFormat="1" spans="6:6">
      <c r="F49652" s="2423"/>
    </row>
    <row r="49653" s="101" customFormat="1" spans="6:6">
      <c r="F49653" s="2423"/>
    </row>
    <row r="49654" s="101" customFormat="1" spans="6:6">
      <c r="F49654" s="2423"/>
    </row>
    <row r="49655" s="101" customFormat="1" spans="6:6">
      <c r="F49655" s="2423"/>
    </row>
    <row r="49656" s="101" customFormat="1" spans="6:6">
      <c r="F49656" s="2423"/>
    </row>
    <row r="49657" s="101" customFormat="1" spans="6:6">
      <c r="F49657" s="2423"/>
    </row>
    <row r="49658" s="101" customFormat="1" spans="6:6">
      <c r="F49658" s="2423"/>
    </row>
    <row r="49659" s="101" customFormat="1" spans="6:6">
      <c r="F49659" s="2423"/>
    </row>
    <row r="49660" s="101" customFormat="1" spans="6:6">
      <c r="F49660" s="2423"/>
    </row>
    <row r="49661" s="101" customFormat="1" spans="6:6">
      <c r="F49661" s="2423"/>
    </row>
    <row r="49662" s="101" customFormat="1" spans="6:6">
      <c r="F49662" s="2423"/>
    </row>
    <row r="49663" s="101" customFormat="1" spans="6:6">
      <c r="F49663" s="2423"/>
    </row>
    <row r="49664" s="101" customFormat="1" spans="6:6">
      <c r="F49664" s="2423"/>
    </row>
    <row r="49665" s="101" customFormat="1" spans="6:6">
      <c r="F49665" s="2423"/>
    </row>
    <row r="49666" s="101" customFormat="1" spans="6:6">
      <c r="F49666" s="2423"/>
    </row>
    <row r="49667" s="101" customFormat="1" spans="6:6">
      <c r="F49667" s="2423"/>
    </row>
    <row r="49668" s="101" customFormat="1" spans="6:6">
      <c r="F49668" s="2423"/>
    </row>
    <row r="49669" s="101" customFormat="1" spans="6:6">
      <c r="F49669" s="2423"/>
    </row>
    <row r="49670" s="101" customFormat="1" spans="6:6">
      <c r="F49670" s="2423"/>
    </row>
    <row r="49671" s="101" customFormat="1" spans="6:6">
      <c r="F49671" s="2423"/>
    </row>
    <row r="49672" s="101" customFormat="1" spans="6:6">
      <c r="F49672" s="2423"/>
    </row>
    <row r="49673" s="101" customFormat="1" spans="6:6">
      <c r="F49673" s="2423"/>
    </row>
    <row r="49674" s="101" customFormat="1" spans="6:6">
      <c r="F49674" s="2423"/>
    </row>
    <row r="49675" s="101" customFormat="1" spans="6:6">
      <c r="F49675" s="2423"/>
    </row>
    <row r="49676" s="101" customFormat="1" spans="6:6">
      <c r="F49676" s="2423"/>
    </row>
    <row r="49677" s="101" customFormat="1" spans="6:6">
      <c r="F49677" s="2423"/>
    </row>
    <row r="49678" s="101" customFormat="1" spans="6:6">
      <c r="F49678" s="2423"/>
    </row>
    <row r="49679" s="101" customFormat="1" spans="6:6">
      <c r="F49679" s="2423"/>
    </row>
    <row r="49680" s="101" customFormat="1" spans="6:6">
      <c r="F49680" s="2423"/>
    </row>
    <row r="49681" s="101" customFormat="1" spans="6:6">
      <c r="F49681" s="2423"/>
    </row>
    <row r="49682" s="101" customFormat="1" spans="6:6">
      <c r="F49682" s="2423"/>
    </row>
    <row r="49683" s="101" customFormat="1" spans="6:6">
      <c r="F49683" s="2423"/>
    </row>
    <row r="49684" s="101" customFormat="1" spans="6:6">
      <c r="F49684" s="2423"/>
    </row>
    <row r="49685" s="101" customFormat="1" spans="6:6">
      <c r="F49685" s="2423"/>
    </row>
    <row r="49686" s="101" customFormat="1" spans="6:6">
      <c r="F49686" s="2423"/>
    </row>
    <row r="49687" s="101" customFormat="1" spans="6:6">
      <c r="F49687" s="2423"/>
    </row>
    <row r="49688" s="101" customFormat="1" spans="6:6">
      <c r="F49688" s="2423"/>
    </row>
    <row r="49689" s="101" customFormat="1" spans="6:6">
      <c r="F49689" s="2423"/>
    </row>
    <row r="49690" s="101" customFormat="1" spans="6:6">
      <c r="F49690" s="2423"/>
    </row>
    <row r="49691" s="101" customFormat="1" spans="6:6">
      <c r="F49691" s="2423"/>
    </row>
    <row r="49692" s="101" customFormat="1" spans="6:6">
      <c r="F49692" s="2423"/>
    </row>
    <row r="49693" s="101" customFormat="1" spans="6:6">
      <c r="F49693" s="2423"/>
    </row>
    <row r="49694" s="101" customFormat="1" spans="6:6">
      <c r="F49694" s="2423"/>
    </row>
    <row r="49695" s="101" customFormat="1" spans="6:6">
      <c r="F49695" s="2423"/>
    </row>
    <row r="49696" s="101" customFormat="1" spans="6:6">
      <c r="F49696" s="2423"/>
    </row>
    <row r="49697" s="101" customFormat="1" spans="6:6">
      <c r="F49697" s="2423"/>
    </row>
    <row r="49698" s="101" customFormat="1" spans="6:6">
      <c r="F49698" s="2423"/>
    </row>
    <row r="49699" s="101" customFormat="1" spans="6:6">
      <c r="F49699" s="2423"/>
    </row>
    <row r="49700" s="101" customFormat="1" spans="6:6">
      <c r="F49700" s="2423"/>
    </row>
    <row r="49701" s="101" customFormat="1" spans="6:6">
      <c r="F49701" s="2423"/>
    </row>
    <row r="49702" s="101" customFormat="1" spans="6:6">
      <c r="F49702" s="2423"/>
    </row>
    <row r="49703" s="101" customFormat="1" spans="6:6">
      <c r="F49703" s="2423"/>
    </row>
    <row r="49704" s="101" customFormat="1" spans="6:6">
      <c r="F49704" s="2423"/>
    </row>
    <row r="49705" s="101" customFormat="1" spans="6:6">
      <c r="F49705" s="2423"/>
    </row>
    <row r="49706" s="101" customFormat="1" spans="6:6">
      <c r="F49706" s="2423"/>
    </row>
    <row r="49707" s="101" customFormat="1" spans="6:6">
      <c r="F49707" s="2423"/>
    </row>
    <row r="49708" s="101" customFormat="1" spans="6:6">
      <c r="F49708" s="2423"/>
    </row>
    <row r="49709" s="101" customFormat="1" spans="6:6">
      <c r="F49709" s="2423"/>
    </row>
    <row r="49710" s="101" customFormat="1" spans="6:6">
      <c r="F49710" s="2423"/>
    </row>
    <row r="49711" s="101" customFormat="1" spans="6:6">
      <c r="F49711" s="2423"/>
    </row>
    <row r="49712" s="101" customFormat="1" spans="6:6">
      <c r="F49712" s="2423"/>
    </row>
    <row r="49713" s="101" customFormat="1" spans="6:6">
      <c r="F49713" s="2423"/>
    </row>
    <row r="49714" s="101" customFormat="1" spans="6:6">
      <c r="F49714" s="2423"/>
    </row>
    <row r="49715" s="101" customFormat="1" spans="6:6">
      <c r="F49715" s="2423"/>
    </row>
    <row r="49716" s="101" customFormat="1" spans="6:6">
      <c r="F49716" s="2423"/>
    </row>
    <row r="49717" s="101" customFormat="1" spans="6:6">
      <c r="F49717" s="2423"/>
    </row>
    <row r="49718" s="101" customFormat="1" spans="6:6">
      <c r="F49718" s="2423"/>
    </row>
    <row r="49719" s="101" customFormat="1" spans="6:6">
      <c r="F49719" s="2423"/>
    </row>
    <row r="49720" s="101" customFormat="1" spans="6:6">
      <c r="F49720" s="2423"/>
    </row>
    <row r="49721" s="101" customFormat="1" spans="6:6">
      <c r="F49721" s="2423"/>
    </row>
    <row r="49722" s="101" customFormat="1" spans="6:6">
      <c r="F49722" s="2423"/>
    </row>
    <row r="49723" s="101" customFormat="1" spans="6:6">
      <c r="F49723" s="2423"/>
    </row>
    <row r="49724" s="101" customFormat="1" spans="6:6">
      <c r="F49724" s="2423"/>
    </row>
    <row r="49725" s="101" customFormat="1" spans="6:6">
      <c r="F49725" s="2423"/>
    </row>
    <row r="49726" s="101" customFormat="1" spans="6:6">
      <c r="F49726" s="2423"/>
    </row>
    <row r="49727" s="101" customFormat="1" spans="6:6">
      <c r="F49727" s="2423"/>
    </row>
    <row r="49728" s="101" customFormat="1" spans="6:6">
      <c r="F49728" s="2423"/>
    </row>
    <row r="49729" s="101" customFormat="1" spans="6:6">
      <c r="F49729" s="2423"/>
    </row>
    <row r="49730" s="101" customFormat="1" spans="6:6">
      <c r="F49730" s="2423"/>
    </row>
    <row r="49731" s="101" customFormat="1" spans="6:6">
      <c r="F49731" s="2423"/>
    </row>
    <row r="49732" s="101" customFormat="1" spans="6:6">
      <c r="F49732" s="2423"/>
    </row>
    <row r="49733" s="101" customFormat="1" spans="6:6">
      <c r="F49733" s="2423"/>
    </row>
    <row r="49734" s="101" customFormat="1" spans="6:6">
      <c r="F49734" s="2423"/>
    </row>
    <row r="49735" s="101" customFormat="1" spans="6:6">
      <c r="F49735" s="2423"/>
    </row>
    <row r="49736" s="101" customFormat="1" spans="6:6">
      <c r="F49736" s="2423"/>
    </row>
    <row r="49737" s="101" customFormat="1" spans="6:6">
      <c r="F49737" s="2423"/>
    </row>
    <row r="49738" s="101" customFormat="1" spans="6:6">
      <c r="F49738" s="2423"/>
    </row>
    <row r="49739" s="101" customFormat="1" spans="6:6">
      <c r="F49739" s="2423"/>
    </row>
    <row r="49740" s="101" customFormat="1" spans="6:6">
      <c r="F49740" s="2423"/>
    </row>
    <row r="49741" s="101" customFormat="1" spans="6:6">
      <c r="F49741" s="2423"/>
    </row>
    <row r="49742" s="101" customFormat="1" spans="6:6">
      <c r="F49742" s="2423"/>
    </row>
    <row r="49743" s="101" customFormat="1" spans="6:6">
      <c r="F49743" s="2423"/>
    </row>
    <row r="49744" s="101" customFormat="1" spans="6:6">
      <c r="F49744" s="2423"/>
    </row>
    <row r="49745" s="101" customFormat="1" spans="6:6">
      <c r="F49745" s="2423"/>
    </row>
    <row r="49746" s="101" customFormat="1" spans="6:6">
      <c r="F49746" s="2423"/>
    </row>
    <row r="49747" s="101" customFormat="1" spans="6:6">
      <c r="F49747" s="2423"/>
    </row>
    <row r="49748" s="101" customFormat="1" spans="6:6">
      <c r="F49748" s="2423"/>
    </row>
    <row r="49749" s="101" customFormat="1" spans="6:6">
      <c r="F49749" s="2423"/>
    </row>
    <row r="49750" s="101" customFormat="1" spans="6:6">
      <c r="F49750" s="2423"/>
    </row>
    <row r="49751" s="101" customFormat="1" spans="6:6">
      <c r="F49751" s="2423"/>
    </row>
    <row r="49752" s="101" customFormat="1" spans="6:6">
      <c r="F49752" s="2423"/>
    </row>
    <row r="49753" s="101" customFormat="1" spans="6:6">
      <c r="F49753" s="2423"/>
    </row>
    <row r="49754" s="101" customFormat="1" spans="6:6">
      <c r="F49754" s="2423"/>
    </row>
    <row r="49755" s="101" customFormat="1" spans="6:6">
      <c r="F49755" s="2423"/>
    </row>
    <row r="49756" s="101" customFormat="1" spans="6:6">
      <c r="F49756" s="2423"/>
    </row>
    <row r="49757" s="101" customFormat="1" spans="6:6">
      <c r="F49757" s="2423"/>
    </row>
    <row r="49758" s="101" customFormat="1" spans="6:6">
      <c r="F49758" s="2423"/>
    </row>
    <row r="49759" s="101" customFormat="1" spans="6:6">
      <c r="F49759" s="2423"/>
    </row>
    <row r="49760" s="101" customFormat="1" spans="6:6">
      <c r="F49760" s="2423"/>
    </row>
    <row r="49761" s="101" customFormat="1" spans="6:6">
      <c r="F49761" s="2423"/>
    </row>
    <row r="49762" s="101" customFormat="1" spans="6:6">
      <c r="F49762" s="2423"/>
    </row>
    <row r="49763" s="101" customFormat="1" spans="6:6">
      <c r="F49763" s="2423"/>
    </row>
    <row r="49764" s="101" customFormat="1" spans="6:6">
      <c r="F49764" s="2423"/>
    </row>
    <row r="49765" s="101" customFormat="1" spans="6:6">
      <c r="F49765" s="2423"/>
    </row>
    <row r="49766" s="101" customFormat="1" spans="6:6">
      <c r="F49766" s="2423"/>
    </row>
    <row r="49767" s="101" customFormat="1" spans="6:6">
      <c r="F49767" s="2423"/>
    </row>
    <row r="49768" s="101" customFormat="1" spans="6:6">
      <c r="F49768" s="2423"/>
    </row>
    <row r="49769" s="101" customFormat="1" spans="6:6">
      <c r="F49769" s="2423"/>
    </row>
    <row r="49770" s="101" customFormat="1" spans="6:6">
      <c r="F49770" s="2423"/>
    </row>
    <row r="49771" s="101" customFormat="1" spans="6:6">
      <c r="F49771" s="2423"/>
    </row>
    <row r="49772" s="101" customFormat="1" spans="6:6">
      <c r="F49772" s="2423"/>
    </row>
    <row r="49773" s="101" customFormat="1" spans="6:6">
      <c r="F49773" s="2423"/>
    </row>
    <row r="49774" s="101" customFormat="1" spans="6:6">
      <c r="F49774" s="2423"/>
    </row>
    <row r="49775" s="101" customFormat="1" spans="6:6">
      <c r="F49775" s="2423"/>
    </row>
    <row r="49776" s="101" customFormat="1" spans="6:6">
      <c r="F49776" s="2423"/>
    </row>
    <row r="49777" s="101" customFormat="1" spans="6:6">
      <c r="F49777" s="2423"/>
    </row>
    <row r="49778" s="101" customFormat="1" spans="6:6">
      <c r="F49778" s="2423"/>
    </row>
    <row r="49779" s="101" customFormat="1" spans="6:6">
      <c r="F49779" s="2423"/>
    </row>
    <row r="49780" s="101" customFormat="1" spans="6:6">
      <c r="F49780" s="2423"/>
    </row>
    <row r="49781" s="101" customFormat="1" spans="6:6">
      <c r="F49781" s="2423"/>
    </row>
    <row r="49782" s="101" customFormat="1" spans="6:6">
      <c r="F49782" s="2423"/>
    </row>
    <row r="49783" s="101" customFormat="1" spans="6:6">
      <c r="F49783" s="2423"/>
    </row>
    <row r="49784" s="101" customFormat="1" spans="6:6">
      <c r="F49784" s="2423"/>
    </row>
    <row r="49785" s="101" customFormat="1" spans="6:6">
      <c r="F49785" s="2423"/>
    </row>
    <row r="49786" s="101" customFormat="1" spans="6:6">
      <c r="F49786" s="2423"/>
    </row>
    <row r="49787" s="101" customFormat="1" spans="6:6">
      <c r="F49787" s="2423"/>
    </row>
    <row r="49788" s="101" customFormat="1" spans="6:6">
      <c r="F49788" s="2423"/>
    </row>
    <row r="49789" s="101" customFormat="1" spans="6:6">
      <c r="F49789" s="2423"/>
    </row>
    <row r="49790" s="101" customFormat="1" spans="6:6">
      <c r="F49790" s="2423"/>
    </row>
    <row r="49791" s="101" customFormat="1" spans="6:6">
      <c r="F49791" s="2423"/>
    </row>
    <row r="49792" s="101" customFormat="1" spans="6:6">
      <c r="F49792" s="2423"/>
    </row>
    <row r="49793" s="101" customFormat="1" spans="6:6">
      <c r="F49793" s="2423"/>
    </row>
    <row r="49794" s="101" customFormat="1" spans="6:6">
      <c r="F49794" s="2423"/>
    </row>
    <row r="49795" s="101" customFormat="1" spans="6:6">
      <c r="F49795" s="2423"/>
    </row>
    <row r="49796" s="101" customFormat="1" spans="6:6">
      <c r="F49796" s="2423"/>
    </row>
    <row r="49797" s="101" customFormat="1" spans="6:6">
      <c r="F49797" s="2423"/>
    </row>
    <row r="49798" s="101" customFormat="1" spans="6:6">
      <c r="F49798" s="2423"/>
    </row>
    <row r="49799" s="101" customFormat="1" spans="6:6">
      <c r="F49799" s="2423"/>
    </row>
    <row r="49800" s="101" customFormat="1" spans="6:6">
      <c r="F49800" s="2423"/>
    </row>
    <row r="49801" s="101" customFormat="1" spans="6:6">
      <c r="F49801" s="2423"/>
    </row>
    <row r="49802" s="101" customFormat="1" spans="6:6">
      <c r="F49802" s="2423"/>
    </row>
    <row r="49803" s="101" customFormat="1" spans="6:6">
      <c r="F49803" s="2423"/>
    </row>
    <row r="49804" s="101" customFormat="1" spans="6:6">
      <c r="F49804" s="2423"/>
    </row>
    <row r="49805" s="101" customFormat="1" spans="6:6">
      <c r="F49805" s="2423"/>
    </row>
    <row r="49806" s="101" customFormat="1" spans="6:6">
      <c r="F49806" s="2423"/>
    </row>
    <row r="49807" s="101" customFormat="1" spans="6:6">
      <c r="F49807" s="2423"/>
    </row>
    <row r="49808" s="101" customFormat="1" spans="6:6">
      <c r="F49808" s="2423"/>
    </row>
    <row r="49809" s="101" customFormat="1" spans="6:6">
      <c r="F49809" s="2423"/>
    </row>
    <row r="49810" s="101" customFormat="1" spans="6:6">
      <c r="F49810" s="2423"/>
    </row>
    <row r="49811" s="101" customFormat="1" spans="6:6">
      <c r="F49811" s="2423"/>
    </row>
    <row r="49812" s="101" customFormat="1" spans="6:6">
      <c r="F49812" s="2423"/>
    </row>
    <row r="49813" s="101" customFormat="1" spans="6:6">
      <c r="F49813" s="2423"/>
    </row>
    <row r="49814" s="101" customFormat="1" spans="6:6">
      <c r="F49814" s="2423"/>
    </row>
    <row r="49815" s="101" customFormat="1" spans="6:6">
      <c r="F49815" s="2423"/>
    </row>
    <row r="49816" s="101" customFormat="1" spans="6:6">
      <c r="F49816" s="2423"/>
    </row>
    <row r="49817" s="101" customFormat="1" spans="6:6">
      <c r="F49817" s="2423"/>
    </row>
    <row r="49818" s="101" customFormat="1" spans="6:6">
      <c r="F49818" s="2423"/>
    </row>
    <row r="49819" s="101" customFormat="1" spans="6:6">
      <c r="F49819" s="2423"/>
    </row>
    <row r="49820" s="101" customFormat="1" spans="6:6">
      <c r="F49820" s="2423"/>
    </row>
    <row r="49821" s="101" customFormat="1" spans="6:6">
      <c r="F49821" s="2423"/>
    </row>
    <row r="49822" s="101" customFormat="1" spans="6:6">
      <c r="F49822" s="2423"/>
    </row>
    <row r="49823" s="101" customFormat="1" spans="6:6">
      <c r="F49823" s="2423"/>
    </row>
    <row r="49824" s="101" customFormat="1" spans="6:6">
      <c r="F49824" s="2423"/>
    </row>
    <row r="49825" s="101" customFormat="1" spans="6:6">
      <c r="F49825" s="2423"/>
    </row>
    <row r="49826" s="101" customFormat="1" spans="6:6">
      <c r="F49826" s="2423"/>
    </row>
    <row r="49827" s="101" customFormat="1" spans="6:6">
      <c r="F49827" s="2423"/>
    </row>
    <row r="49828" s="101" customFormat="1" spans="6:6">
      <c r="F49828" s="2423"/>
    </row>
    <row r="49829" s="101" customFormat="1" spans="6:6">
      <c r="F49829" s="2423"/>
    </row>
    <row r="49830" s="101" customFormat="1" spans="6:6">
      <c r="F49830" s="2423"/>
    </row>
    <row r="49831" s="101" customFormat="1" spans="6:6">
      <c r="F49831" s="2423"/>
    </row>
    <row r="49832" s="101" customFormat="1" spans="6:6">
      <c r="F49832" s="2423"/>
    </row>
    <row r="49833" s="101" customFormat="1" spans="6:6">
      <c r="F49833" s="2423"/>
    </row>
    <row r="49834" s="101" customFormat="1" spans="6:6">
      <c r="F49834" s="2423"/>
    </row>
    <row r="49835" s="101" customFormat="1" spans="6:6">
      <c r="F49835" s="2423"/>
    </row>
    <row r="49836" s="101" customFormat="1" spans="6:6">
      <c r="F49836" s="2423"/>
    </row>
    <row r="49837" s="101" customFormat="1" spans="6:6">
      <c r="F49837" s="2423"/>
    </row>
    <row r="49838" s="101" customFormat="1" spans="6:6">
      <c r="F49838" s="2423"/>
    </row>
    <row r="49839" s="101" customFormat="1" spans="6:6">
      <c r="F49839" s="2423"/>
    </row>
    <row r="49840" s="101" customFormat="1" spans="6:6">
      <c r="F49840" s="2423"/>
    </row>
    <row r="49841" s="101" customFormat="1" spans="6:6">
      <c r="F49841" s="2423"/>
    </row>
    <row r="49842" s="101" customFormat="1" spans="6:6">
      <c r="F49842" s="2423"/>
    </row>
    <row r="49843" s="101" customFormat="1" spans="6:6">
      <c r="F49843" s="2423"/>
    </row>
    <row r="49844" s="101" customFormat="1" spans="6:6">
      <c r="F49844" s="2423"/>
    </row>
    <row r="49845" s="101" customFormat="1" spans="6:6">
      <c r="F49845" s="2423"/>
    </row>
    <row r="49846" s="101" customFormat="1" spans="6:6">
      <c r="F49846" s="2423"/>
    </row>
    <row r="49847" s="101" customFormat="1" spans="6:6">
      <c r="F49847" s="2423"/>
    </row>
    <row r="49848" s="101" customFormat="1" spans="6:6">
      <c r="F49848" s="2423"/>
    </row>
    <row r="49849" s="101" customFormat="1" spans="6:6">
      <c r="F49849" s="2423"/>
    </row>
    <row r="49850" s="101" customFormat="1" spans="6:6">
      <c r="F49850" s="2423"/>
    </row>
    <row r="49851" s="101" customFormat="1" spans="6:6">
      <c r="F49851" s="2423"/>
    </row>
    <row r="49852" s="101" customFormat="1" spans="6:6">
      <c r="F49852" s="2423"/>
    </row>
    <row r="49853" s="101" customFormat="1" spans="6:6">
      <c r="F49853" s="2423"/>
    </row>
    <row r="49854" s="101" customFormat="1" spans="6:6">
      <c r="F49854" s="2423"/>
    </row>
    <row r="49855" s="101" customFormat="1" spans="6:6">
      <c r="F49855" s="2423"/>
    </row>
    <row r="49856" s="101" customFormat="1" spans="6:6">
      <c r="F49856" s="2423"/>
    </row>
    <row r="49857" s="101" customFormat="1" spans="6:6">
      <c r="F49857" s="2423"/>
    </row>
    <row r="49858" s="101" customFormat="1" spans="6:6">
      <c r="F49858" s="2423"/>
    </row>
    <row r="49859" s="101" customFormat="1" spans="6:6">
      <c r="F49859" s="2423"/>
    </row>
    <row r="49860" s="101" customFormat="1" spans="6:6">
      <c r="F49860" s="2423"/>
    </row>
    <row r="49861" s="101" customFormat="1" spans="6:6">
      <c r="F49861" s="2423"/>
    </row>
    <row r="49862" s="101" customFormat="1" spans="6:6">
      <c r="F49862" s="2423"/>
    </row>
    <row r="49863" s="101" customFormat="1" spans="6:6">
      <c r="F49863" s="2423"/>
    </row>
    <row r="49864" s="101" customFormat="1" spans="6:6">
      <c r="F49864" s="2423"/>
    </row>
    <row r="49865" s="101" customFormat="1" spans="6:6">
      <c r="F49865" s="2423"/>
    </row>
    <row r="49866" s="101" customFormat="1" spans="6:6">
      <c r="F49866" s="2423"/>
    </row>
    <row r="49867" s="101" customFormat="1" spans="6:6">
      <c r="F49867" s="2423"/>
    </row>
    <row r="49868" s="101" customFormat="1" spans="6:6">
      <c r="F49868" s="2423"/>
    </row>
    <row r="49869" s="101" customFormat="1" spans="6:6">
      <c r="F49869" s="2423"/>
    </row>
    <row r="49870" s="101" customFormat="1" spans="6:6">
      <c r="F49870" s="2423"/>
    </row>
    <row r="49871" s="101" customFormat="1" spans="6:6">
      <c r="F49871" s="2423"/>
    </row>
    <row r="49872" s="101" customFormat="1" spans="6:6">
      <c r="F49872" s="2423"/>
    </row>
    <row r="49873" s="101" customFormat="1" spans="6:6">
      <c r="F49873" s="2423"/>
    </row>
    <row r="49874" s="101" customFormat="1" spans="6:6">
      <c r="F49874" s="2423"/>
    </row>
    <row r="49875" s="101" customFormat="1" spans="6:6">
      <c r="F49875" s="2423"/>
    </row>
    <row r="49876" s="101" customFormat="1" spans="6:6">
      <c r="F49876" s="2423"/>
    </row>
    <row r="49877" s="101" customFormat="1" spans="6:6">
      <c r="F49877" s="2423"/>
    </row>
    <row r="49878" s="101" customFormat="1" spans="6:6">
      <c r="F49878" s="2423"/>
    </row>
    <row r="49879" s="101" customFormat="1" spans="6:6">
      <c r="F49879" s="2423"/>
    </row>
    <row r="49880" s="101" customFormat="1" spans="6:6">
      <c r="F49880" s="2423"/>
    </row>
    <row r="49881" s="101" customFormat="1" spans="6:6">
      <c r="F49881" s="2423"/>
    </row>
    <row r="49882" s="101" customFormat="1" spans="6:6">
      <c r="F49882" s="2423"/>
    </row>
    <row r="49883" s="101" customFormat="1" spans="6:6">
      <c r="F49883" s="2423"/>
    </row>
    <row r="49884" s="101" customFormat="1" spans="6:6">
      <c r="F49884" s="2423"/>
    </row>
    <row r="49885" s="101" customFormat="1" spans="6:6">
      <c r="F49885" s="2423"/>
    </row>
    <row r="49886" s="101" customFormat="1" spans="6:6">
      <c r="F49886" s="2423"/>
    </row>
    <row r="49887" s="101" customFormat="1" spans="6:6">
      <c r="F49887" s="2423"/>
    </row>
    <row r="49888" s="101" customFormat="1" spans="6:6">
      <c r="F49888" s="2423"/>
    </row>
    <row r="49889" s="101" customFormat="1" spans="6:6">
      <c r="F49889" s="2423"/>
    </row>
    <row r="49890" s="101" customFormat="1" spans="6:6">
      <c r="F49890" s="2423"/>
    </row>
    <row r="49891" s="101" customFormat="1" spans="6:6">
      <c r="F49891" s="2423"/>
    </row>
    <row r="49892" s="101" customFormat="1" spans="6:6">
      <c r="F49892" s="2423"/>
    </row>
    <row r="49893" s="101" customFormat="1" spans="6:6">
      <c r="F49893" s="2423"/>
    </row>
    <row r="49894" s="101" customFormat="1" spans="6:6">
      <c r="F49894" s="2423"/>
    </row>
    <row r="49895" s="101" customFormat="1" spans="6:6">
      <c r="F49895" s="2423"/>
    </row>
    <row r="49896" s="101" customFormat="1" spans="6:6">
      <c r="F49896" s="2423"/>
    </row>
    <row r="49897" s="101" customFormat="1" spans="6:6">
      <c r="F49897" s="2423"/>
    </row>
    <row r="49898" s="101" customFormat="1" spans="6:6">
      <c r="F49898" s="2423"/>
    </row>
    <row r="49899" s="101" customFormat="1" spans="6:6">
      <c r="F49899" s="2423"/>
    </row>
    <row r="49900" s="101" customFormat="1" spans="6:6">
      <c r="F49900" s="2423"/>
    </row>
    <row r="49901" s="101" customFormat="1" spans="6:6">
      <c r="F49901" s="2423"/>
    </row>
    <row r="49902" s="101" customFormat="1" spans="6:6">
      <c r="F49902" s="2423"/>
    </row>
    <row r="49903" s="101" customFormat="1" spans="6:6">
      <c r="F49903" s="2423"/>
    </row>
    <row r="49904" s="101" customFormat="1" spans="6:6">
      <c r="F49904" s="2423"/>
    </row>
    <row r="49905" s="101" customFormat="1" spans="6:6">
      <c r="F49905" s="2423"/>
    </row>
    <row r="49906" s="101" customFormat="1" spans="6:6">
      <c r="F49906" s="2423"/>
    </row>
    <row r="49907" s="101" customFormat="1" spans="6:6">
      <c r="F49907" s="2423"/>
    </row>
    <row r="49908" s="101" customFormat="1" spans="6:6">
      <c r="F49908" s="2423"/>
    </row>
    <row r="49909" s="101" customFormat="1" spans="6:6">
      <c r="F49909" s="2423"/>
    </row>
    <row r="49910" s="101" customFormat="1" spans="6:6">
      <c r="F49910" s="2423"/>
    </row>
    <row r="49911" s="101" customFormat="1" spans="6:6">
      <c r="F49911" s="2423"/>
    </row>
    <row r="49912" s="101" customFormat="1" spans="6:6">
      <c r="F49912" s="2423"/>
    </row>
    <row r="49913" s="101" customFormat="1" spans="6:6">
      <c r="F49913" s="2423"/>
    </row>
    <row r="49914" s="101" customFormat="1" spans="6:6">
      <c r="F49914" s="2423"/>
    </row>
    <row r="49915" s="101" customFormat="1" spans="6:6">
      <c r="F49915" s="2423"/>
    </row>
    <row r="49916" s="101" customFormat="1" spans="6:6">
      <c r="F49916" s="2423"/>
    </row>
    <row r="49917" s="101" customFormat="1" spans="6:6">
      <c r="F49917" s="2423"/>
    </row>
    <row r="49918" s="101" customFormat="1" spans="6:6">
      <c r="F49918" s="2423"/>
    </row>
    <row r="49919" s="101" customFormat="1" spans="6:6">
      <c r="F49919" s="2423"/>
    </row>
    <row r="49920" s="101" customFormat="1" spans="6:6">
      <c r="F49920" s="2423"/>
    </row>
    <row r="49921" s="101" customFormat="1" spans="6:6">
      <c r="F49921" s="2423"/>
    </row>
    <row r="49922" s="101" customFormat="1" spans="6:6">
      <c r="F49922" s="2423"/>
    </row>
    <row r="49923" s="101" customFormat="1" spans="6:6">
      <c r="F49923" s="2423"/>
    </row>
    <row r="49924" s="101" customFormat="1" spans="6:6">
      <c r="F49924" s="2423"/>
    </row>
    <row r="49925" s="101" customFormat="1" spans="6:6">
      <c r="F49925" s="2423"/>
    </row>
    <row r="49926" s="101" customFormat="1" spans="6:6">
      <c r="F49926" s="2423"/>
    </row>
    <row r="49927" s="101" customFormat="1" spans="6:6">
      <c r="F49927" s="2423"/>
    </row>
    <row r="49928" s="101" customFormat="1" spans="6:6">
      <c r="F49928" s="2423"/>
    </row>
    <row r="49929" s="101" customFormat="1" spans="6:6">
      <c r="F49929" s="2423"/>
    </row>
    <row r="49930" s="101" customFormat="1" spans="6:6">
      <c r="F49930" s="2423"/>
    </row>
    <row r="49931" s="101" customFormat="1" spans="6:6">
      <c r="F49931" s="2423"/>
    </row>
    <row r="49932" s="101" customFormat="1" spans="6:6">
      <c r="F49932" s="2423"/>
    </row>
    <row r="49933" s="101" customFormat="1" spans="6:6">
      <c r="F49933" s="2423"/>
    </row>
    <row r="49934" s="101" customFormat="1" spans="6:6">
      <c r="F49934" s="2423"/>
    </row>
    <row r="49935" s="101" customFormat="1" spans="6:6">
      <c r="F49935" s="2423"/>
    </row>
    <row r="49936" s="101" customFormat="1" spans="6:6">
      <c r="F49936" s="2423"/>
    </row>
    <row r="49937" s="101" customFormat="1" spans="6:6">
      <c r="F49937" s="2423"/>
    </row>
    <row r="49938" s="101" customFormat="1" spans="6:6">
      <c r="F49938" s="2423"/>
    </row>
    <row r="49939" s="101" customFormat="1" spans="6:6">
      <c r="F49939" s="2423"/>
    </row>
    <row r="49940" s="101" customFormat="1" spans="6:6">
      <c r="F49940" s="2423"/>
    </row>
    <row r="49941" s="101" customFormat="1" spans="6:6">
      <c r="F49941" s="2423"/>
    </row>
    <row r="49942" s="101" customFormat="1" spans="6:6">
      <c r="F49942" s="2423"/>
    </row>
    <row r="49943" s="101" customFormat="1" spans="6:6">
      <c r="F49943" s="2423"/>
    </row>
    <row r="49944" s="101" customFormat="1" spans="6:6">
      <c r="F49944" s="2423"/>
    </row>
    <row r="49945" s="101" customFormat="1" spans="6:6">
      <c r="F49945" s="2423"/>
    </row>
    <row r="49946" s="101" customFormat="1" spans="6:6">
      <c r="F49946" s="2423"/>
    </row>
    <row r="49947" s="101" customFormat="1" spans="6:6">
      <c r="F49947" s="2423"/>
    </row>
    <row r="49948" s="101" customFormat="1" spans="6:6">
      <c r="F49948" s="2423"/>
    </row>
    <row r="49949" s="101" customFormat="1" spans="6:6">
      <c r="F49949" s="2423"/>
    </row>
    <row r="49950" s="101" customFormat="1" spans="6:6">
      <c r="F49950" s="2423"/>
    </row>
    <row r="49951" s="101" customFormat="1" spans="6:6">
      <c r="F49951" s="2423"/>
    </row>
    <row r="49952" s="101" customFormat="1" spans="6:6">
      <c r="F49952" s="2423"/>
    </row>
    <row r="49953" s="101" customFormat="1" spans="6:6">
      <c r="F49953" s="2423"/>
    </row>
    <row r="49954" s="101" customFormat="1" spans="6:6">
      <c r="F49954" s="2423"/>
    </row>
    <row r="49955" s="101" customFormat="1" spans="6:6">
      <c r="F49955" s="2423"/>
    </row>
    <row r="49956" s="101" customFormat="1" spans="6:6">
      <c r="F49956" s="2423"/>
    </row>
    <row r="49957" s="101" customFormat="1" spans="6:6">
      <c r="F49957" s="2423"/>
    </row>
    <row r="49958" s="101" customFormat="1" spans="6:6">
      <c r="F49958" s="2423"/>
    </row>
    <row r="49959" s="101" customFormat="1" spans="6:6">
      <c r="F49959" s="2423"/>
    </row>
    <row r="49960" s="101" customFormat="1" spans="6:6">
      <c r="F49960" s="2423"/>
    </row>
    <row r="49961" s="101" customFormat="1" spans="6:6">
      <c r="F49961" s="2423"/>
    </row>
    <row r="49962" s="101" customFormat="1" spans="6:6">
      <c r="F49962" s="2423"/>
    </row>
    <row r="49963" s="101" customFormat="1" spans="6:6">
      <c r="F49963" s="2423"/>
    </row>
    <row r="49964" s="101" customFormat="1" spans="6:6">
      <c r="F49964" s="2423"/>
    </row>
    <row r="49965" s="101" customFormat="1" spans="6:6">
      <c r="F49965" s="2423"/>
    </row>
    <row r="49966" s="101" customFormat="1" spans="6:6">
      <c r="F49966" s="2423"/>
    </row>
    <row r="49967" s="101" customFormat="1" spans="6:6">
      <c r="F49967" s="2423"/>
    </row>
    <row r="49968" s="101" customFormat="1" spans="6:6">
      <c r="F49968" s="2423"/>
    </row>
    <row r="49969" s="101" customFormat="1" spans="6:6">
      <c r="F49969" s="2423"/>
    </row>
    <row r="49970" s="101" customFormat="1" spans="6:6">
      <c r="F49970" s="2423"/>
    </row>
    <row r="49971" s="101" customFormat="1" spans="6:6">
      <c r="F49971" s="2423"/>
    </row>
    <row r="49972" s="101" customFormat="1" spans="6:6">
      <c r="F49972" s="2423"/>
    </row>
    <row r="49973" s="101" customFormat="1" spans="6:6">
      <c r="F49973" s="2423"/>
    </row>
    <row r="49974" s="101" customFormat="1" spans="6:6">
      <c r="F49974" s="2423"/>
    </row>
    <row r="49975" s="101" customFormat="1" spans="6:6">
      <c r="F49975" s="2423"/>
    </row>
    <row r="49976" s="101" customFormat="1" spans="6:6">
      <c r="F49976" s="2423"/>
    </row>
    <row r="49977" s="101" customFormat="1" spans="6:6">
      <c r="F49977" s="2423"/>
    </row>
    <row r="49978" s="101" customFormat="1" spans="6:6">
      <c r="F49978" s="2423"/>
    </row>
    <row r="49979" s="101" customFormat="1" spans="6:6">
      <c r="F49979" s="2423"/>
    </row>
    <row r="49980" s="101" customFormat="1" spans="6:6">
      <c r="F49980" s="2423"/>
    </row>
    <row r="49981" s="101" customFormat="1" spans="6:6">
      <c r="F49981" s="2423"/>
    </row>
    <row r="49982" s="101" customFormat="1" spans="6:6">
      <c r="F49982" s="2423"/>
    </row>
    <row r="49983" s="101" customFormat="1" spans="6:6">
      <c r="F49983" s="2423"/>
    </row>
    <row r="49984" s="101" customFormat="1" spans="6:6">
      <c r="F49984" s="2423"/>
    </row>
    <row r="49985" s="101" customFormat="1" spans="6:6">
      <c r="F49985" s="2423"/>
    </row>
    <row r="49986" s="101" customFormat="1" spans="6:6">
      <c r="F49986" s="2423"/>
    </row>
    <row r="49987" s="101" customFormat="1" spans="6:6">
      <c r="F49987" s="2423"/>
    </row>
    <row r="49988" s="101" customFormat="1" spans="6:6">
      <c r="F49988" s="2423"/>
    </row>
    <row r="49989" s="101" customFormat="1" spans="6:6">
      <c r="F49989" s="2423"/>
    </row>
    <row r="49990" s="101" customFormat="1" spans="6:6">
      <c r="F49990" s="2423"/>
    </row>
    <row r="49991" s="101" customFormat="1" spans="6:6">
      <c r="F49991" s="2423"/>
    </row>
    <row r="49992" s="101" customFormat="1" spans="6:6">
      <c r="F49992" s="2423"/>
    </row>
    <row r="49993" s="101" customFormat="1" spans="6:6">
      <c r="F49993" s="2423"/>
    </row>
    <row r="49994" s="101" customFormat="1" spans="6:6">
      <c r="F49994" s="2423"/>
    </row>
    <row r="49995" s="101" customFormat="1" spans="6:6">
      <c r="F49995" s="2423"/>
    </row>
    <row r="49996" s="101" customFormat="1" spans="6:6">
      <c r="F49996" s="2423"/>
    </row>
    <row r="49997" s="101" customFormat="1" spans="6:6">
      <c r="F49997" s="2423"/>
    </row>
    <row r="49998" s="101" customFormat="1" spans="6:6">
      <c r="F49998" s="2423"/>
    </row>
    <row r="49999" s="101" customFormat="1" spans="6:6">
      <c r="F49999" s="2423"/>
    </row>
    <row r="50000" s="101" customFormat="1" spans="6:6">
      <c r="F50000" s="2423"/>
    </row>
    <row r="50001" s="101" customFormat="1" spans="6:6">
      <c r="F50001" s="2423"/>
    </row>
    <row r="50002" s="101" customFormat="1" spans="6:6">
      <c r="F50002" s="2423"/>
    </row>
    <row r="50003" s="101" customFormat="1" spans="6:6">
      <c r="F50003" s="2423"/>
    </row>
    <row r="50004" s="101" customFormat="1" spans="6:6">
      <c r="F50004" s="2423"/>
    </row>
    <row r="50005" s="101" customFormat="1" spans="6:6">
      <c r="F50005" s="2423"/>
    </row>
    <row r="50006" s="101" customFormat="1" spans="6:6">
      <c r="F50006" s="2423"/>
    </row>
    <row r="50007" s="101" customFormat="1" spans="6:6">
      <c r="F50007" s="2423"/>
    </row>
    <row r="50008" s="101" customFormat="1" spans="6:6">
      <c r="F50008" s="2423"/>
    </row>
    <row r="50009" s="101" customFormat="1" spans="6:6">
      <c r="F50009" s="2423"/>
    </row>
    <row r="50010" s="101" customFormat="1" spans="6:6">
      <c r="F50010" s="2423"/>
    </row>
    <row r="50011" s="101" customFormat="1" spans="6:6">
      <c r="F50011" s="2423"/>
    </row>
    <row r="50012" s="101" customFormat="1" spans="6:6">
      <c r="F50012" s="2423"/>
    </row>
    <row r="50013" s="101" customFormat="1" spans="6:6">
      <c r="F50013" s="2423"/>
    </row>
    <row r="50014" s="101" customFormat="1" spans="6:6">
      <c r="F50014" s="2423"/>
    </row>
    <row r="50015" s="101" customFormat="1" spans="6:6">
      <c r="F50015" s="2423"/>
    </row>
    <row r="50016" s="101" customFormat="1" spans="6:6">
      <c r="F50016" s="2423"/>
    </row>
    <row r="50017" s="101" customFormat="1" spans="6:6">
      <c r="F50017" s="2423"/>
    </row>
    <row r="50018" s="101" customFormat="1" spans="6:6">
      <c r="F50018" s="2423"/>
    </row>
    <row r="50019" s="101" customFormat="1" spans="6:6">
      <c r="F50019" s="2423"/>
    </row>
    <row r="50020" s="101" customFormat="1" spans="6:6">
      <c r="F50020" s="2423"/>
    </row>
    <row r="50021" s="101" customFormat="1" spans="6:6">
      <c r="F50021" s="2423"/>
    </row>
    <row r="50022" s="101" customFormat="1" spans="6:6">
      <c r="F50022" s="2423"/>
    </row>
    <row r="50023" s="101" customFormat="1" spans="6:6">
      <c r="F50023" s="2423"/>
    </row>
    <row r="50024" s="101" customFormat="1" spans="6:6">
      <c r="F50024" s="2423"/>
    </row>
    <row r="50025" s="101" customFormat="1" spans="6:6">
      <c r="F50025" s="2423"/>
    </row>
    <row r="50026" s="101" customFormat="1" spans="6:6">
      <c r="F50026" s="2423"/>
    </row>
    <row r="50027" s="101" customFormat="1" spans="6:6">
      <c r="F50027" s="2423"/>
    </row>
    <row r="50028" s="101" customFormat="1" spans="6:6">
      <c r="F50028" s="2423"/>
    </row>
    <row r="50029" s="101" customFormat="1" spans="6:6">
      <c r="F50029" s="2423"/>
    </row>
    <row r="50030" s="101" customFormat="1" spans="6:6">
      <c r="F50030" s="2423"/>
    </row>
    <row r="50031" s="101" customFormat="1" spans="6:6">
      <c r="F50031" s="2423"/>
    </row>
    <row r="50032" s="101" customFormat="1" spans="6:6">
      <c r="F50032" s="2423"/>
    </row>
    <row r="50033" s="101" customFormat="1" spans="6:6">
      <c r="F50033" s="2423"/>
    </row>
    <row r="50034" s="101" customFormat="1" spans="6:6">
      <c r="F50034" s="2423"/>
    </row>
    <row r="50035" s="101" customFormat="1" spans="6:6">
      <c r="F50035" s="2423"/>
    </row>
    <row r="50036" s="101" customFormat="1" spans="6:6">
      <c r="F50036" s="2423"/>
    </row>
    <row r="50037" s="101" customFormat="1" spans="6:6">
      <c r="F50037" s="2423"/>
    </row>
    <row r="50038" s="101" customFormat="1" spans="6:6">
      <c r="F50038" s="2423"/>
    </row>
    <row r="50039" s="101" customFormat="1" spans="6:6">
      <c r="F50039" s="2423"/>
    </row>
    <row r="50040" s="101" customFormat="1" spans="6:6">
      <c r="F50040" s="2423"/>
    </row>
    <row r="50041" s="101" customFormat="1" spans="6:6">
      <c r="F50041" s="2423"/>
    </row>
    <row r="50042" s="101" customFormat="1" spans="6:6">
      <c r="F50042" s="2423"/>
    </row>
    <row r="50043" s="101" customFormat="1" spans="6:6">
      <c r="F50043" s="2423"/>
    </row>
    <row r="50044" s="101" customFormat="1" spans="6:6">
      <c r="F50044" s="2423"/>
    </row>
    <row r="50045" s="101" customFormat="1" spans="6:6">
      <c r="F50045" s="2423"/>
    </row>
    <row r="50046" s="101" customFormat="1" spans="6:6">
      <c r="F50046" s="2423"/>
    </row>
    <row r="50047" s="101" customFormat="1" spans="6:6">
      <c r="F50047" s="2423"/>
    </row>
    <row r="50048" s="101" customFormat="1" spans="6:6">
      <c r="F50048" s="2423"/>
    </row>
    <row r="50049" s="101" customFormat="1" spans="6:6">
      <c r="F50049" s="2423"/>
    </row>
    <row r="50050" s="101" customFormat="1" spans="6:6">
      <c r="F50050" s="2423"/>
    </row>
    <row r="50051" s="101" customFormat="1" spans="6:6">
      <c r="F50051" s="2423"/>
    </row>
    <row r="50052" s="101" customFormat="1" spans="6:6">
      <c r="F50052" s="2423"/>
    </row>
    <row r="50053" s="101" customFormat="1" spans="6:6">
      <c r="F50053" s="2423"/>
    </row>
    <row r="50054" s="101" customFormat="1" spans="6:6">
      <c r="F50054" s="2423"/>
    </row>
    <row r="50055" s="101" customFormat="1" spans="6:6">
      <c r="F50055" s="2423"/>
    </row>
    <row r="50056" s="101" customFormat="1" spans="6:6">
      <c r="F50056" s="2423"/>
    </row>
    <row r="50057" s="101" customFormat="1" spans="6:6">
      <c r="F50057" s="2423"/>
    </row>
    <row r="50058" s="101" customFormat="1" spans="6:6">
      <c r="F50058" s="2423"/>
    </row>
    <row r="50059" s="101" customFormat="1" spans="6:6">
      <c r="F50059" s="2423"/>
    </row>
    <row r="50060" s="101" customFormat="1" spans="6:6">
      <c r="F50060" s="2423"/>
    </row>
    <row r="50061" s="101" customFormat="1" spans="6:6">
      <c r="F50061" s="2423"/>
    </row>
    <row r="50062" s="101" customFormat="1" spans="6:6">
      <c r="F50062" s="2423"/>
    </row>
    <row r="50063" s="101" customFormat="1" spans="6:6">
      <c r="F50063" s="2423"/>
    </row>
    <row r="50064" s="101" customFormat="1" spans="6:6">
      <c r="F50064" s="2423"/>
    </row>
    <row r="50065" s="101" customFormat="1" spans="6:6">
      <c r="F50065" s="2423"/>
    </row>
    <row r="50066" s="101" customFormat="1" spans="6:6">
      <c r="F50066" s="2423"/>
    </row>
    <row r="50067" s="101" customFormat="1" spans="6:6">
      <c r="F50067" s="2423"/>
    </row>
    <row r="50068" s="101" customFormat="1" spans="6:6">
      <c r="F50068" s="2423"/>
    </row>
    <row r="50069" s="101" customFormat="1" spans="6:6">
      <c r="F50069" s="2423"/>
    </row>
    <row r="50070" s="101" customFormat="1" spans="6:6">
      <c r="F50070" s="2423"/>
    </row>
    <row r="50071" s="101" customFormat="1" spans="6:6">
      <c r="F50071" s="2423"/>
    </row>
    <row r="50072" s="101" customFormat="1" spans="6:6">
      <c r="F50072" s="2423"/>
    </row>
    <row r="50073" s="101" customFormat="1" spans="6:6">
      <c r="F50073" s="2423"/>
    </row>
    <row r="50074" s="101" customFormat="1" spans="6:6">
      <c r="F50074" s="2423"/>
    </row>
    <row r="50075" s="101" customFormat="1" spans="6:6">
      <c r="F50075" s="2423"/>
    </row>
    <row r="50076" s="101" customFormat="1" spans="6:6">
      <c r="F50076" s="2423"/>
    </row>
    <row r="50077" s="101" customFormat="1" spans="6:6">
      <c r="F50077" s="2423"/>
    </row>
    <row r="50078" s="101" customFormat="1" spans="6:6">
      <c r="F50078" s="2423"/>
    </row>
    <row r="50079" s="101" customFormat="1" spans="6:6">
      <c r="F50079" s="2423"/>
    </row>
    <row r="50080" s="101" customFormat="1" spans="6:6">
      <c r="F50080" s="2423"/>
    </row>
    <row r="50081" s="101" customFormat="1" spans="6:6">
      <c r="F50081" s="2423"/>
    </row>
    <row r="50082" s="101" customFormat="1" spans="6:6">
      <c r="F50082" s="2423"/>
    </row>
    <row r="50083" s="101" customFormat="1" spans="6:6">
      <c r="F50083" s="2423"/>
    </row>
    <row r="50084" s="101" customFormat="1" spans="6:6">
      <c r="F50084" s="2423"/>
    </row>
    <row r="50085" s="101" customFormat="1" spans="6:6">
      <c r="F50085" s="2423"/>
    </row>
    <row r="50086" s="101" customFormat="1" spans="6:6">
      <c r="F50086" s="2423"/>
    </row>
    <row r="50087" s="101" customFormat="1" spans="6:6">
      <c r="F50087" s="2423"/>
    </row>
    <row r="50088" s="101" customFormat="1" spans="6:6">
      <c r="F50088" s="2423"/>
    </row>
    <row r="50089" s="101" customFormat="1" spans="6:6">
      <c r="F50089" s="2423"/>
    </row>
    <row r="50090" s="101" customFormat="1" spans="6:6">
      <c r="F50090" s="2423"/>
    </row>
    <row r="50091" s="101" customFormat="1" spans="6:6">
      <c r="F50091" s="2423"/>
    </row>
    <row r="50092" s="101" customFormat="1" spans="6:6">
      <c r="F50092" s="2423"/>
    </row>
    <row r="50093" s="101" customFormat="1" spans="6:6">
      <c r="F50093" s="2423"/>
    </row>
    <row r="50094" s="101" customFormat="1" spans="6:6">
      <c r="F50094" s="2423"/>
    </row>
    <row r="50095" s="101" customFormat="1" spans="6:6">
      <c r="F50095" s="2423"/>
    </row>
    <row r="50096" s="101" customFormat="1" spans="6:6">
      <c r="F50096" s="2423"/>
    </row>
    <row r="50097" s="101" customFormat="1" spans="6:6">
      <c r="F50097" s="2423"/>
    </row>
    <row r="50098" s="101" customFormat="1" spans="6:6">
      <c r="F50098" s="2423"/>
    </row>
    <row r="50099" s="101" customFormat="1" spans="6:6">
      <c r="F50099" s="2423"/>
    </row>
    <row r="50100" s="101" customFormat="1" spans="6:6">
      <c r="F50100" s="2423"/>
    </row>
    <row r="50101" s="101" customFormat="1" spans="6:6">
      <c r="F50101" s="2423"/>
    </row>
    <row r="50102" s="101" customFormat="1" spans="6:6">
      <c r="F50102" s="2423"/>
    </row>
    <row r="50103" s="101" customFormat="1" spans="6:6">
      <c r="F50103" s="2423"/>
    </row>
    <row r="50104" s="101" customFormat="1" spans="6:6">
      <c r="F50104" s="2423"/>
    </row>
    <row r="50105" s="101" customFormat="1" spans="6:6">
      <c r="F50105" s="2423"/>
    </row>
    <row r="50106" s="101" customFormat="1" spans="6:6">
      <c r="F50106" s="2423"/>
    </row>
    <row r="50107" s="101" customFormat="1" spans="6:6">
      <c r="F50107" s="2423"/>
    </row>
    <row r="50108" s="101" customFormat="1" spans="6:6">
      <c r="F50108" s="2423"/>
    </row>
    <row r="50109" s="101" customFormat="1" spans="6:6">
      <c r="F50109" s="2423"/>
    </row>
    <row r="50110" s="101" customFormat="1" spans="6:6">
      <c r="F50110" s="2423"/>
    </row>
    <row r="50111" s="101" customFormat="1" spans="6:6">
      <c r="F50111" s="2423"/>
    </row>
    <row r="50112" s="101" customFormat="1" spans="6:6">
      <c r="F50112" s="2423"/>
    </row>
    <row r="50113" s="101" customFormat="1" spans="6:6">
      <c r="F50113" s="2423"/>
    </row>
    <row r="50114" s="101" customFormat="1" spans="6:6">
      <c r="F50114" s="2423"/>
    </row>
    <row r="50115" s="101" customFormat="1" spans="6:6">
      <c r="F50115" s="2423"/>
    </row>
    <row r="50116" s="101" customFormat="1" spans="6:6">
      <c r="F50116" s="2423"/>
    </row>
    <row r="50117" s="101" customFormat="1" spans="6:6">
      <c r="F50117" s="2423"/>
    </row>
    <row r="50118" s="101" customFormat="1" spans="6:6">
      <c r="F50118" s="2423"/>
    </row>
    <row r="50119" s="101" customFormat="1" spans="6:6">
      <c r="F50119" s="2423"/>
    </row>
    <row r="50120" s="101" customFormat="1" spans="6:6">
      <c r="F50120" s="2423"/>
    </row>
    <row r="50121" s="101" customFormat="1" spans="6:6">
      <c r="F50121" s="2423"/>
    </row>
    <row r="50122" s="101" customFormat="1" spans="6:6">
      <c r="F50122" s="2423"/>
    </row>
    <row r="50123" s="101" customFormat="1" spans="6:6">
      <c r="F50123" s="2423"/>
    </row>
    <row r="50124" s="101" customFormat="1" spans="6:6">
      <c r="F50124" s="2423"/>
    </row>
    <row r="50125" s="101" customFormat="1" spans="6:6">
      <c r="F50125" s="2423"/>
    </row>
    <row r="50126" s="101" customFormat="1" spans="6:6">
      <c r="F50126" s="2423"/>
    </row>
    <row r="50127" s="101" customFormat="1" spans="6:6">
      <c r="F50127" s="2423"/>
    </row>
    <row r="50128" s="101" customFormat="1" spans="6:6">
      <c r="F50128" s="2423"/>
    </row>
    <row r="50129" s="101" customFormat="1" spans="6:6">
      <c r="F50129" s="2423"/>
    </row>
    <row r="50130" s="101" customFormat="1" spans="6:6">
      <c r="F50130" s="2423"/>
    </row>
    <row r="50131" s="101" customFormat="1" spans="6:6">
      <c r="F50131" s="2423"/>
    </row>
    <row r="50132" s="101" customFormat="1" spans="6:6">
      <c r="F50132" s="2423"/>
    </row>
    <row r="50133" s="101" customFormat="1" spans="6:6">
      <c r="F50133" s="2423"/>
    </row>
    <row r="50134" s="101" customFormat="1" spans="6:6">
      <c r="F50134" s="2423"/>
    </row>
    <row r="50135" s="101" customFormat="1" spans="6:6">
      <c r="F50135" s="2423"/>
    </row>
    <row r="50136" s="101" customFormat="1" spans="6:6">
      <c r="F50136" s="2423"/>
    </row>
    <row r="50137" s="101" customFormat="1" spans="6:6">
      <c r="F50137" s="2423"/>
    </row>
    <row r="50138" s="101" customFormat="1" spans="6:6">
      <c r="F50138" s="2423"/>
    </row>
    <row r="50139" s="101" customFormat="1" spans="6:6">
      <c r="F50139" s="2423"/>
    </row>
    <row r="50140" s="101" customFormat="1" spans="6:6">
      <c r="F50140" s="2423"/>
    </row>
    <row r="50141" s="101" customFormat="1" spans="6:6">
      <c r="F50141" s="2423"/>
    </row>
    <row r="50142" s="101" customFormat="1" spans="6:6">
      <c r="F50142" s="2423"/>
    </row>
    <row r="50143" s="101" customFormat="1" spans="6:6">
      <c r="F50143" s="2423"/>
    </row>
    <row r="50144" s="101" customFormat="1" spans="6:6">
      <c r="F50144" s="2423"/>
    </row>
    <row r="50145" s="101" customFormat="1" spans="6:6">
      <c r="F50145" s="2423"/>
    </row>
    <row r="50146" s="101" customFormat="1" spans="6:6">
      <c r="F50146" s="2423"/>
    </row>
    <row r="50147" s="101" customFormat="1" spans="6:6">
      <c r="F50147" s="2423"/>
    </row>
    <row r="50148" s="101" customFormat="1" spans="6:6">
      <c r="F50148" s="2423"/>
    </row>
    <row r="50149" s="101" customFormat="1" spans="6:6">
      <c r="F50149" s="2423"/>
    </row>
    <row r="50150" s="101" customFormat="1" spans="6:6">
      <c r="F50150" s="2423"/>
    </row>
    <row r="50151" s="101" customFormat="1" spans="6:6">
      <c r="F50151" s="2423"/>
    </row>
    <row r="50152" s="101" customFormat="1" spans="6:6">
      <c r="F50152" s="2423"/>
    </row>
    <row r="50153" s="101" customFormat="1" spans="6:6">
      <c r="F50153" s="2423"/>
    </row>
    <row r="50154" s="101" customFormat="1" spans="6:6">
      <c r="F50154" s="2423"/>
    </row>
    <row r="50155" s="101" customFormat="1" spans="6:6">
      <c r="F50155" s="2423"/>
    </row>
    <row r="50156" s="101" customFormat="1" spans="6:6">
      <c r="F50156" s="2423"/>
    </row>
    <row r="50157" s="101" customFormat="1" spans="6:6">
      <c r="F50157" s="2423"/>
    </row>
    <row r="50158" s="101" customFormat="1" spans="6:6">
      <c r="F50158" s="2423"/>
    </row>
    <row r="50159" s="101" customFormat="1" spans="6:6">
      <c r="F50159" s="2423"/>
    </row>
    <row r="50160" s="101" customFormat="1" spans="6:6">
      <c r="F50160" s="2423"/>
    </row>
    <row r="50161" s="101" customFormat="1" spans="6:6">
      <c r="F50161" s="2423"/>
    </row>
    <row r="50162" s="101" customFormat="1" spans="6:6">
      <c r="F50162" s="2423"/>
    </row>
    <row r="50163" s="101" customFormat="1" spans="6:6">
      <c r="F50163" s="2423"/>
    </row>
    <row r="50164" s="101" customFormat="1" spans="6:6">
      <c r="F50164" s="2423"/>
    </row>
    <row r="50165" s="101" customFormat="1" spans="6:6">
      <c r="F50165" s="2423"/>
    </row>
    <row r="50166" s="101" customFormat="1" spans="6:6">
      <c r="F50166" s="2423"/>
    </row>
    <row r="50167" s="101" customFormat="1" spans="6:6">
      <c r="F50167" s="2423"/>
    </row>
    <row r="50168" s="101" customFormat="1" spans="6:6">
      <c r="F50168" s="2423"/>
    </row>
    <row r="50169" s="101" customFormat="1" spans="6:6">
      <c r="F50169" s="2423"/>
    </row>
    <row r="50170" s="101" customFormat="1" spans="6:6">
      <c r="F50170" s="2423"/>
    </row>
    <row r="50171" s="101" customFormat="1" spans="6:6">
      <c r="F50171" s="2423"/>
    </row>
    <row r="50172" s="101" customFormat="1" spans="6:6">
      <c r="F50172" s="2423"/>
    </row>
    <row r="50173" s="101" customFormat="1" spans="6:6">
      <c r="F50173" s="2423"/>
    </row>
    <row r="50174" s="101" customFormat="1" spans="6:6">
      <c r="F50174" s="2423"/>
    </row>
    <row r="50175" s="101" customFormat="1" spans="6:6">
      <c r="F50175" s="2423"/>
    </row>
    <row r="50176" s="101" customFormat="1" spans="6:6">
      <c r="F50176" s="2423"/>
    </row>
    <row r="50177" s="101" customFormat="1" spans="6:6">
      <c r="F50177" s="2423"/>
    </row>
    <row r="50178" s="101" customFormat="1" spans="6:6">
      <c r="F50178" s="2423"/>
    </row>
    <row r="50179" s="101" customFormat="1" spans="6:6">
      <c r="F50179" s="2423"/>
    </row>
    <row r="50180" s="101" customFormat="1" spans="6:6">
      <c r="F50180" s="2423"/>
    </row>
    <row r="50181" s="101" customFormat="1" spans="6:6">
      <c r="F50181" s="2423"/>
    </row>
    <row r="50182" s="101" customFormat="1" spans="6:6">
      <c r="F50182" s="2423"/>
    </row>
    <row r="50183" s="101" customFormat="1" spans="6:6">
      <c r="F50183" s="2423"/>
    </row>
    <row r="50184" s="101" customFormat="1" spans="6:6">
      <c r="F50184" s="2423"/>
    </row>
    <row r="50185" s="101" customFormat="1" spans="6:6">
      <c r="F50185" s="2423"/>
    </row>
    <row r="50186" s="101" customFormat="1" spans="6:6">
      <c r="F50186" s="2423"/>
    </row>
    <row r="50187" s="101" customFormat="1" spans="6:6">
      <c r="F50187" s="2423"/>
    </row>
    <row r="50188" s="101" customFormat="1" spans="6:6">
      <c r="F50188" s="2423"/>
    </row>
    <row r="50189" s="101" customFormat="1" spans="6:6">
      <c r="F50189" s="2423"/>
    </row>
    <row r="50190" s="101" customFormat="1" spans="6:6">
      <c r="F50190" s="2423"/>
    </row>
    <row r="50191" s="101" customFormat="1" spans="6:6">
      <c r="F50191" s="2423"/>
    </row>
    <row r="50192" s="101" customFormat="1" spans="6:6">
      <c r="F50192" s="2423"/>
    </row>
    <row r="50193" s="101" customFormat="1" spans="6:6">
      <c r="F50193" s="2423"/>
    </row>
    <row r="50194" s="101" customFormat="1" spans="6:6">
      <c r="F50194" s="2423"/>
    </row>
    <row r="50195" s="101" customFormat="1" spans="6:6">
      <c r="F50195" s="2423"/>
    </row>
    <row r="50196" s="101" customFormat="1" spans="6:6">
      <c r="F50196" s="2423"/>
    </row>
    <row r="50197" s="101" customFormat="1" spans="6:6">
      <c r="F50197" s="2423"/>
    </row>
    <row r="50198" s="101" customFormat="1" spans="6:6">
      <c r="F50198" s="2423"/>
    </row>
    <row r="50199" s="101" customFormat="1" spans="6:6">
      <c r="F50199" s="2423"/>
    </row>
    <row r="50200" s="101" customFormat="1" spans="6:6">
      <c r="F50200" s="2423"/>
    </row>
    <row r="50201" s="101" customFormat="1" spans="6:6">
      <c r="F50201" s="2423"/>
    </row>
    <row r="50202" s="101" customFormat="1" spans="6:6">
      <c r="F50202" s="2423"/>
    </row>
    <row r="50203" s="101" customFormat="1" spans="6:6">
      <c r="F50203" s="2423"/>
    </row>
    <row r="50204" s="101" customFormat="1" spans="6:6">
      <c r="F50204" s="2423"/>
    </row>
    <row r="50205" s="101" customFormat="1" spans="6:6">
      <c r="F50205" s="2423"/>
    </row>
    <row r="50206" s="101" customFormat="1" spans="6:6">
      <c r="F50206" s="2423"/>
    </row>
    <row r="50207" s="101" customFormat="1" spans="6:6">
      <c r="F50207" s="2423"/>
    </row>
    <row r="50208" s="101" customFormat="1" spans="6:6">
      <c r="F50208" s="2423"/>
    </row>
    <row r="50209" s="101" customFormat="1" spans="6:6">
      <c r="F50209" s="2423"/>
    </row>
    <row r="50210" s="101" customFormat="1" spans="6:6">
      <c r="F50210" s="2423"/>
    </row>
    <row r="50211" s="101" customFormat="1" spans="6:6">
      <c r="F50211" s="2423"/>
    </row>
    <row r="50212" s="101" customFormat="1" spans="6:6">
      <c r="F50212" s="2423"/>
    </row>
    <row r="50213" s="101" customFormat="1" spans="6:6">
      <c r="F50213" s="2423"/>
    </row>
    <row r="50214" s="101" customFormat="1" spans="6:6">
      <c r="F50214" s="2423"/>
    </row>
    <row r="50215" s="101" customFormat="1" spans="6:6">
      <c r="F50215" s="2423"/>
    </row>
    <row r="50216" s="101" customFormat="1" spans="6:6">
      <c r="F50216" s="2423"/>
    </row>
    <row r="50217" s="101" customFormat="1" spans="6:6">
      <c r="F50217" s="2423"/>
    </row>
    <row r="50218" s="101" customFormat="1" spans="6:6">
      <c r="F50218" s="2423"/>
    </row>
    <row r="50219" s="101" customFormat="1" spans="6:6">
      <c r="F50219" s="2423"/>
    </row>
    <row r="50220" s="101" customFormat="1" spans="6:6">
      <c r="F50220" s="2423"/>
    </row>
    <row r="50221" s="101" customFormat="1" spans="6:6">
      <c r="F50221" s="2423"/>
    </row>
    <row r="50222" s="101" customFormat="1" spans="6:6">
      <c r="F50222" s="2423"/>
    </row>
    <row r="50223" s="101" customFormat="1" spans="6:6">
      <c r="F50223" s="2423"/>
    </row>
    <row r="50224" s="101" customFormat="1" spans="6:6">
      <c r="F50224" s="2423"/>
    </row>
    <row r="50225" s="101" customFormat="1" spans="6:6">
      <c r="F50225" s="2423"/>
    </row>
    <row r="50226" s="101" customFormat="1" spans="6:6">
      <c r="F50226" s="2423"/>
    </row>
    <row r="50227" s="101" customFormat="1" spans="6:6">
      <c r="F50227" s="2423"/>
    </row>
    <row r="50228" s="101" customFormat="1" spans="6:6">
      <c r="F50228" s="2423"/>
    </row>
    <row r="50229" s="101" customFormat="1" spans="6:6">
      <c r="F50229" s="2423"/>
    </row>
    <row r="50230" s="101" customFormat="1" spans="6:6">
      <c r="F50230" s="2423"/>
    </row>
    <row r="50231" s="101" customFormat="1" spans="6:6">
      <c r="F50231" s="2423"/>
    </row>
    <row r="50232" s="101" customFormat="1" spans="6:6">
      <c r="F50232" s="2423"/>
    </row>
    <row r="50233" s="101" customFormat="1" spans="6:6">
      <c r="F50233" s="2423"/>
    </row>
    <row r="50234" s="101" customFormat="1" spans="6:6">
      <c r="F50234" s="2423"/>
    </row>
    <row r="50235" s="101" customFormat="1" spans="6:6">
      <c r="F50235" s="2423"/>
    </row>
    <row r="50236" s="101" customFormat="1" spans="6:6">
      <c r="F50236" s="2423"/>
    </row>
    <row r="50237" s="101" customFormat="1" spans="6:6">
      <c r="F50237" s="2423"/>
    </row>
    <row r="50238" s="101" customFormat="1" spans="6:6">
      <c r="F50238" s="2423"/>
    </row>
    <row r="50239" s="101" customFormat="1" spans="6:6">
      <c r="F50239" s="2423"/>
    </row>
    <row r="50240" s="101" customFormat="1" spans="6:6">
      <c r="F50240" s="2423"/>
    </row>
    <row r="50241" s="101" customFormat="1" spans="6:6">
      <c r="F50241" s="2423"/>
    </row>
    <row r="50242" s="101" customFormat="1" spans="6:6">
      <c r="F50242" s="2423"/>
    </row>
    <row r="50243" s="101" customFormat="1" spans="6:6">
      <c r="F50243" s="2423"/>
    </row>
    <row r="50244" s="101" customFormat="1" spans="6:6">
      <c r="F50244" s="2423"/>
    </row>
    <row r="50245" s="101" customFormat="1" spans="6:6">
      <c r="F50245" s="2423"/>
    </row>
    <row r="50246" s="101" customFormat="1" spans="6:6">
      <c r="F50246" s="2423"/>
    </row>
    <row r="50247" s="101" customFormat="1" spans="6:6">
      <c r="F50247" s="2423"/>
    </row>
    <row r="50248" s="101" customFormat="1" spans="6:6">
      <c r="F50248" s="2423"/>
    </row>
    <row r="50249" s="101" customFormat="1" spans="6:6">
      <c r="F50249" s="2423"/>
    </row>
    <row r="50250" s="101" customFormat="1" spans="6:6">
      <c r="F50250" s="2423"/>
    </row>
    <row r="50251" s="101" customFormat="1" spans="6:6">
      <c r="F50251" s="2423"/>
    </row>
    <row r="50252" s="101" customFormat="1" spans="6:6">
      <c r="F50252" s="2423"/>
    </row>
    <row r="50253" s="101" customFormat="1" spans="6:6">
      <c r="F50253" s="2423"/>
    </row>
    <row r="50254" s="101" customFormat="1" spans="6:6">
      <c r="F50254" s="2423"/>
    </row>
    <row r="50255" s="101" customFormat="1" spans="6:6">
      <c r="F50255" s="2423"/>
    </row>
    <row r="50256" s="101" customFormat="1" spans="6:6">
      <c r="F50256" s="2423"/>
    </row>
    <row r="50257" s="101" customFormat="1" spans="6:6">
      <c r="F50257" s="2423"/>
    </row>
    <row r="50258" s="101" customFormat="1" spans="6:6">
      <c r="F50258" s="2423"/>
    </row>
    <row r="50259" s="101" customFormat="1" spans="6:6">
      <c r="F50259" s="2423"/>
    </row>
    <row r="50260" s="101" customFormat="1" spans="6:6">
      <c r="F50260" s="2423"/>
    </row>
    <row r="50261" s="101" customFormat="1" spans="6:6">
      <c r="F50261" s="2423"/>
    </row>
    <row r="50262" s="101" customFormat="1" spans="6:6">
      <c r="F50262" s="2423"/>
    </row>
    <row r="50263" s="101" customFormat="1" spans="6:6">
      <c r="F50263" s="2423"/>
    </row>
    <row r="50264" s="101" customFormat="1" spans="6:6">
      <c r="F50264" s="2423"/>
    </row>
    <row r="50265" s="101" customFormat="1" spans="6:6">
      <c r="F50265" s="2423"/>
    </row>
    <row r="50266" s="101" customFormat="1" spans="6:6">
      <c r="F50266" s="2423"/>
    </row>
    <row r="50267" s="101" customFormat="1" spans="6:6">
      <c r="F50267" s="2423"/>
    </row>
    <row r="50268" s="101" customFormat="1" spans="6:6">
      <c r="F50268" s="2423"/>
    </row>
    <row r="50269" s="101" customFormat="1" spans="6:6">
      <c r="F50269" s="2423"/>
    </row>
    <row r="50270" s="101" customFormat="1" spans="6:6">
      <c r="F50270" s="2423"/>
    </row>
    <row r="50271" s="101" customFormat="1" spans="6:6">
      <c r="F50271" s="2423"/>
    </row>
    <row r="50272" s="101" customFormat="1" spans="6:6">
      <c r="F50272" s="2423"/>
    </row>
    <row r="50273" s="101" customFormat="1" spans="6:6">
      <c r="F50273" s="2423"/>
    </row>
    <row r="50274" s="101" customFormat="1" spans="6:6">
      <c r="F50274" s="2423"/>
    </row>
    <row r="50275" s="101" customFormat="1" spans="6:6">
      <c r="F50275" s="2423"/>
    </row>
    <row r="50276" s="101" customFormat="1" spans="6:6">
      <c r="F50276" s="2423"/>
    </row>
    <row r="50277" s="101" customFormat="1" spans="6:6">
      <c r="F50277" s="2423"/>
    </row>
    <row r="50278" s="101" customFormat="1" spans="6:6">
      <c r="F50278" s="2423"/>
    </row>
    <row r="50279" s="101" customFormat="1" spans="6:6">
      <c r="F50279" s="2423"/>
    </row>
    <row r="50280" s="101" customFormat="1" spans="6:6">
      <c r="F50280" s="2423"/>
    </row>
    <row r="50281" s="101" customFormat="1" spans="6:6">
      <c r="F50281" s="2423"/>
    </row>
    <row r="50282" s="101" customFormat="1" spans="6:6">
      <c r="F50282" s="2423"/>
    </row>
    <row r="50283" s="101" customFormat="1" spans="6:6">
      <c r="F50283" s="2423"/>
    </row>
    <row r="50284" s="101" customFormat="1" spans="6:6">
      <c r="F50284" s="2423"/>
    </row>
    <row r="50285" s="101" customFormat="1" spans="6:6">
      <c r="F50285" s="2423"/>
    </row>
    <row r="50286" s="101" customFormat="1" spans="6:6">
      <c r="F50286" s="2423"/>
    </row>
    <row r="50287" s="101" customFormat="1" spans="6:6">
      <c r="F50287" s="2423"/>
    </row>
    <row r="50288" s="101" customFormat="1" spans="6:6">
      <c r="F50288" s="2423"/>
    </row>
    <row r="50289" s="101" customFormat="1" spans="6:6">
      <c r="F50289" s="2423"/>
    </row>
    <row r="50290" s="101" customFormat="1" spans="6:6">
      <c r="F50290" s="2423"/>
    </row>
    <row r="50291" s="101" customFormat="1" spans="6:6">
      <c r="F50291" s="2423"/>
    </row>
    <row r="50292" s="101" customFormat="1" spans="6:6">
      <c r="F50292" s="2423"/>
    </row>
    <row r="50293" s="101" customFormat="1" spans="6:6">
      <c r="F50293" s="2423"/>
    </row>
    <row r="50294" s="101" customFormat="1" spans="6:6">
      <c r="F50294" s="2423"/>
    </row>
    <row r="50295" s="101" customFormat="1" spans="6:6">
      <c r="F50295" s="2423"/>
    </row>
    <row r="50296" s="101" customFormat="1" spans="6:6">
      <c r="F50296" s="2423"/>
    </row>
    <row r="50297" s="101" customFormat="1" spans="6:6">
      <c r="F50297" s="2423"/>
    </row>
    <row r="50298" s="101" customFormat="1" spans="6:6">
      <c r="F50298" s="2423"/>
    </row>
    <row r="50299" s="101" customFormat="1" spans="6:6">
      <c r="F50299" s="2423"/>
    </row>
    <row r="50300" s="101" customFormat="1" spans="6:6">
      <c r="F50300" s="2423"/>
    </row>
    <row r="50301" s="101" customFormat="1" spans="6:6">
      <c r="F50301" s="2423"/>
    </row>
    <row r="50302" s="101" customFormat="1" spans="6:6">
      <c r="F50302" s="2423"/>
    </row>
    <row r="50303" s="101" customFormat="1" spans="6:6">
      <c r="F50303" s="2423"/>
    </row>
    <row r="50304" s="101" customFormat="1" spans="6:6">
      <c r="F50304" s="2423"/>
    </row>
    <row r="50305" s="101" customFormat="1" spans="6:6">
      <c r="F50305" s="2423"/>
    </row>
    <row r="50306" s="101" customFormat="1" spans="6:6">
      <c r="F50306" s="2423"/>
    </row>
    <row r="50307" s="101" customFormat="1" spans="6:6">
      <c r="F50307" s="2423"/>
    </row>
    <row r="50308" s="101" customFormat="1" spans="6:6">
      <c r="F50308" s="2423"/>
    </row>
    <row r="50309" s="101" customFormat="1" spans="6:6">
      <c r="F50309" s="2423"/>
    </row>
    <row r="50310" s="101" customFormat="1" spans="6:6">
      <c r="F50310" s="2423"/>
    </row>
    <row r="50311" s="101" customFormat="1" spans="6:6">
      <c r="F50311" s="2423"/>
    </row>
    <row r="50312" s="101" customFormat="1" spans="6:6">
      <c r="F50312" s="2423"/>
    </row>
    <row r="50313" s="101" customFormat="1" spans="6:6">
      <c r="F50313" s="2423"/>
    </row>
    <row r="50314" s="101" customFormat="1" spans="6:6">
      <c r="F50314" s="2423"/>
    </row>
    <row r="50315" s="101" customFormat="1" spans="6:6">
      <c r="F50315" s="2423"/>
    </row>
    <row r="50316" s="101" customFormat="1" spans="6:6">
      <c r="F50316" s="2423"/>
    </row>
    <row r="50317" s="101" customFormat="1" spans="6:6">
      <c r="F50317" s="2423"/>
    </row>
    <row r="50318" s="101" customFormat="1" spans="6:6">
      <c r="F50318" s="2423"/>
    </row>
    <row r="50319" s="101" customFormat="1" spans="6:6">
      <c r="F50319" s="2423"/>
    </row>
    <row r="50320" s="101" customFormat="1" spans="6:6">
      <c r="F50320" s="2423"/>
    </row>
    <row r="50321" s="101" customFormat="1" spans="6:6">
      <c r="F50321" s="2423"/>
    </row>
    <row r="50322" s="101" customFormat="1" spans="6:6">
      <c r="F50322" s="2423"/>
    </row>
    <row r="50323" s="101" customFormat="1" spans="6:6">
      <c r="F50323" s="2423"/>
    </row>
    <row r="50324" s="101" customFormat="1" spans="6:6">
      <c r="F50324" s="2423"/>
    </row>
    <row r="50325" s="101" customFormat="1" spans="6:6">
      <c r="F50325" s="2423"/>
    </row>
    <row r="50326" s="101" customFormat="1" spans="6:6">
      <c r="F50326" s="2423"/>
    </row>
    <row r="50327" s="101" customFormat="1" spans="6:6">
      <c r="F50327" s="2423"/>
    </row>
    <row r="50328" s="101" customFormat="1" spans="6:6">
      <c r="F50328" s="2423"/>
    </row>
    <row r="50329" s="101" customFormat="1" spans="6:6">
      <c r="F50329" s="2423"/>
    </row>
    <row r="50330" s="101" customFormat="1" spans="6:6">
      <c r="F50330" s="2423"/>
    </row>
    <row r="50331" s="101" customFormat="1" spans="6:6">
      <c r="F50331" s="2423"/>
    </row>
    <row r="50332" s="101" customFormat="1" spans="6:6">
      <c r="F50332" s="2423"/>
    </row>
    <row r="50333" s="101" customFormat="1" spans="6:6">
      <c r="F50333" s="2423"/>
    </row>
    <row r="50334" s="101" customFormat="1" spans="6:6">
      <c r="F50334" s="2423"/>
    </row>
    <row r="50335" s="101" customFormat="1" spans="6:6">
      <c r="F50335" s="2423"/>
    </row>
    <row r="50336" s="101" customFormat="1" spans="6:6">
      <c r="F50336" s="2423"/>
    </row>
    <row r="50337" s="101" customFormat="1" spans="6:6">
      <c r="F50337" s="2423"/>
    </row>
    <row r="50338" s="101" customFormat="1" spans="6:6">
      <c r="F50338" s="2423"/>
    </row>
    <row r="50339" s="101" customFormat="1" spans="6:6">
      <c r="F50339" s="2423"/>
    </row>
    <row r="50340" s="101" customFormat="1" spans="6:6">
      <c r="F50340" s="2423"/>
    </row>
    <row r="50341" s="101" customFormat="1" spans="6:6">
      <c r="F50341" s="2423"/>
    </row>
    <row r="50342" s="101" customFormat="1" spans="6:6">
      <c r="F50342" s="2423"/>
    </row>
    <row r="50343" s="101" customFormat="1" spans="6:6">
      <c r="F50343" s="2423"/>
    </row>
    <row r="50344" s="101" customFormat="1" spans="6:6">
      <c r="F50344" s="2423"/>
    </row>
    <row r="50345" s="101" customFormat="1" spans="6:6">
      <c r="F50345" s="2423"/>
    </row>
    <row r="50346" s="101" customFormat="1" spans="6:6">
      <c r="F50346" s="2423"/>
    </row>
    <row r="50347" s="101" customFormat="1" spans="6:6">
      <c r="F50347" s="2423"/>
    </row>
    <row r="50348" s="101" customFormat="1" spans="6:6">
      <c r="F50348" s="2423"/>
    </row>
    <row r="50349" s="101" customFormat="1" spans="6:6">
      <c r="F50349" s="2423"/>
    </row>
    <row r="50350" s="101" customFormat="1" spans="6:6">
      <c r="F50350" s="2423"/>
    </row>
    <row r="50351" s="101" customFormat="1" spans="6:6">
      <c r="F50351" s="2423"/>
    </row>
    <row r="50352" s="101" customFormat="1" spans="6:6">
      <c r="F50352" s="2423"/>
    </row>
    <row r="50353" s="101" customFormat="1" spans="6:6">
      <c r="F50353" s="2423"/>
    </row>
    <row r="50354" s="101" customFormat="1" spans="6:6">
      <c r="F50354" s="2423"/>
    </row>
    <row r="50355" s="101" customFormat="1" spans="6:6">
      <c r="F50355" s="2423"/>
    </row>
    <row r="50356" s="101" customFormat="1" spans="6:6">
      <c r="F50356" s="2423"/>
    </row>
    <row r="50357" s="101" customFormat="1" spans="6:6">
      <c r="F50357" s="2423"/>
    </row>
    <row r="50358" s="101" customFormat="1" spans="6:6">
      <c r="F50358" s="2423"/>
    </row>
    <row r="50359" s="101" customFormat="1" spans="6:6">
      <c r="F50359" s="2423"/>
    </row>
    <row r="50360" s="101" customFormat="1" spans="6:6">
      <c r="F50360" s="2423"/>
    </row>
    <row r="50361" s="101" customFormat="1" spans="6:6">
      <c r="F50361" s="2423"/>
    </row>
    <row r="50362" s="101" customFormat="1" spans="6:6">
      <c r="F50362" s="2423"/>
    </row>
    <row r="50363" s="101" customFormat="1" spans="6:6">
      <c r="F50363" s="2423"/>
    </row>
    <row r="50364" s="101" customFormat="1" spans="6:6">
      <c r="F50364" s="2423"/>
    </row>
    <row r="50365" s="101" customFormat="1" spans="6:6">
      <c r="F50365" s="2423"/>
    </row>
    <row r="50366" s="101" customFormat="1" spans="6:6">
      <c r="F50366" s="2423"/>
    </row>
    <row r="50367" s="101" customFormat="1" spans="6:6">
      <c r="F50367" s="2423"/>
    </row>
    <row r="50368" s="101" customFormat="1" spans="6:6">
      <c r="F50368" s="2423"/>
    </row>
    <row r="50369" s="101" customFormat="1" spans="6:6">
      <c r="F50369" s="2423"/>
    </row>
    <row r="50370" s="101" customFormat="1" spans="6:6">
      <c r="F50370" s="2423"/>
    </row>
    <row r="50371" s="101" customFormat="1" spans="6:6">
      <c r="F50371" s="2423"/>
    </row>
    <row r="50372" s="101" customFormat="1" spans="6:6">
      <c r="F50372" s="2423"/>
    </row>
    <row r="50373" s="101" customFormat="1" spans="6:6">
      <c r="F50373" s="2423"/>
    </row>
    <row r="50374" s="101" customFormat="1" spans="6:6">
      <c r="F50374" s="2423"/>
    </row>
    <row r="50375" s="101" customFormat="1" spans="6:6">
      <c r="F50375" s="2423"/>
    </row>
    <row r="50376" s="101" customFormat="1" spans="6:6">
      <c r="F50376" s="2423"/>
    </row>
    <row r="50377" s="101" customFormat="1" spans="6:6">
      <c r="F50377" s="2423"/>
    </row>
    <row r="50378" s="101" customFormat="1" spans="6:6">
      <c r="F50378" s="2423"/>
    </row>
    <row r="50379" s="101" customFormat="1" spans="6:6">
      <c r="F50379" s="2423"/>
    </row>
    <row r="50380" s="101" customFormat="1" spans="6:6">
      <c r="F50380" s="2423"/>
    </row>
    <row r="50381" s="101" customFormat="1" spans="6:6">
      <c r="F50381" s="2423"/>
    </row>
    <row r="50382" s="101" customFormat="1" spans="6:6">
      <c r="F50382" s="2423"/>
    </row>
    <row r="50383" s="101" customFormat="1" spans="6:6">
      <c r="F50383" s="2423"/>
    </row>
    <row r="50384" s="101" customFormat="1" spans="6:6">
      <c r="F50384" s="2423"/>
    </row>
    <row r="50385" s="101" customFormat="1" spans="6:6">
      <c r="F50385" s="2423"/>
    </row>
    <row r="50386" s="101" customFormat="1" spans="6:6">
      <c r="F50386" s="2423"/>
    </row>
    <row r="50387" s="101" customFormat="1" spans="6:6">
      <c r="F50387" s="2423"/>
    </row>
    <row r="50388" s="101" customFormat="1" spans="6:6">
      <c r="F50388" s="2423"/>
    </row>
    <row r="50389" s="101" customFormat="1" spans="6:6">
      <c r="F50389" s="2423"/>
    </row>
    <row r="50390" s="101" customFormat="1" spans="6:6">
      <c r="F50390" s="2423"/>
    </row>
    <row r="50391" s="101" customFormat="1" spans="6:6">
      <c r="F50391" s="2423"/>
    </row>
    <row r="50392" s="101" customFormat="1" spans="6:6">
      <c r="F50392" s="2423"/>
    </row>
    <row r="50393" s="101" customFormat="1" spans="6:6">
      <c r="F50393" s="2423"/>
    </row>
    <row r="50394" s="101" customFormat="1" spans="6:6">
      <c r="F50394" s="2423"/>
    </row>
    <row r="50395" s="101" customFormat="1" spans="6:6">
      <c r="F50395" s="2423"/>
    </row>
    <row r="50396" s="101" customFormat="1" spans="6:6">
      <c r="F50396" s="2423"/>
    </row>
    <row r="50397" s="101" customFormat="1" spans="6:6">
      <c r="F50397" s="2423"/>
    </row>
    <row r="50398" s="101" customFormat="1" spans="6:6">
      <c r="F50398" s="2423"/>
    </row>
    <row r="50399" s="101" customFormat="1" spans="6:6">
      <c r="F50399" s="2423"/>
    </row>
    <row r="50400" s="101" customFormat="1" spans="6:6">
      <c r="F50400" s="2423"/>
    </row>
    <row r="50401" s="101" customFormat="1" spans="6:6">
      <c r="F50401" s="2423"/>
    </row>
    <row r="50402" s="101" customFormat="1" spans="6:6">
      <c r="F50402" s="2423"/>
    </row>
    <row r="50403" s="101" customFormat="1" spans="6:6">
      <c r="F50403" s="2423"/>
    </row>
    <row r="50404" s="101" customFormat="1" spans="6:6">
      <c r="F50404" s="2423"/>
    </row>
    <row r="50405" s="101" customFormat="1" spans="6:6">
      <c r="F50405" s="2423"/>
    </row>
    <row r="50406" s="101" customFormat="1" spans="6:6">
      <c r="F50406" s="2423"/>
    </row>
    <row r="50407" s="101" customFormat="1" spans="6:6">
      <c r="F50407" s="2423"/>
    </row>
    <row r="50408" s="101" customFormat="1" spans="6:6">
      <c r="F50408" s="2423"/>
    </row>
    <row r="50409" s="101" customFormat="1" spans="6:6">
      <c r="F50409" s="2423"/>
    </row>
    <row r="50410" s="101" customFormat="1" spans="6:6">
      <c r="F50410" s="2423"/>
    </row>
    <row r="50411" s="101" customFormat="1" spans="6:6">
      <c r="F50411" s="2423"/>
    </row>
    <row r="50412" s="101" customFormat="1" spans="6:6">
      <c r="F50412" s="2423"/>
    </row>
    <row r="50413" s="101" customFormat="1" spans="6:6">
      <c r="F50413" s="2423"/>
    </row>
    <row r="50414" s="101" customFormat="1" spans="6:6">
      <c r="F50414" s="2423"/>
    </row>
    <row r="50415" s="101" customFormat="1" spans="6:6">
      <c r="F50415" s="2423"/>
    </row>
    <row r="50416" s="101" customFormat="1" spans="6:6">
      <c r="F50416" s="2423"/>
    </row>
    <row r="50417" s="101" customFormat="1" spans="6:6">
      <c r="F50417" s="2423"/>
    </row>
    <row r="50418" s="101" customFormat="1" spans="6:6">
      <c r="F50418" s="2423"/>
    </row>
    <row r="50419" s="101" customFormat="1" spans="6:6">
      <c r="F50419" s="2423"/>
    </row>
    <row r="50420" s="101" customFormat="1" spans="6:6">
      <c r="F50420" s="2423"/>
    </row>
    <row r="50421" s="101" customFormat="1" spans="6:6">
      <c r="F50421" s="2423"/>
    </row>
    <row r="50422" s="101" customFormat="1" spans="6:6">
      <c r="F50422" s="2423"/>
    </row>
    <row r="50423" s="101" customFormat="1" spans="6:6">
      <c r="F50423" s="2423"/>
    </row>
    <row r="50424" s="101" customFormat="1" spans="6:6">
      <c r="F50424" s="2423"/>
    </row>
    <row r="50425" s="101" customFormat="1" spans="6:6">
      <c r="F50425" s="2423"/>
    </row>
    <row r="50426" s="101" customFormat="1" spans="6:6">
      <c r="F50426" s="2423"/>
    </row>
    <row r="50427" s="101" customFormat="1" spans="6:6">
      <c r="F50427" s="2423"/>
    </row>
    <row r="50428" s="101" customFormat="1" spans="6:6">
      <c r="F50428" s="2423"/>
    </row>
    <row r="50429" s="101" customFormat="1" spans="6:6">
      <c r="F50429" s="2423"/>
    </row>
    <row r="50430" s="101" customFormat="1" spans="6:6">
      <c r="F50430" s="2423"/>
    </row>
    <row r="50431" s="101" customFormat="1" spans="6:6">
      <c r="F50431" s="2423"/>
    </row>
    <row r="50432" s="101" customFormat="1" spans="6:6">
      <c r="F50432" s="2423"/>
    </row>
    <row r="50433" s="101" customFormat="1" spans="6:6">
      <c r="F50433" s="2423"/>
    </row>
    <row r="50434" s="101" customFormat="1" spans="6:6">
      <c r="F50434" s="2423"/>
    </row>
    <row r="50435" s="101" customFormat="1" spans="6:6">
      <c r="F50435" s="2423"/>
    </row>
    <row r="50436" s="101" customFormat="1" spans="6:6">
      <c r="F50436" s="2423"/>
    </row>
    <row r="50437" s="101" customFormat="1" spans="6:6">
      <c r="F50437" s="2423"/>
    </row>
    <row r="50438" s="101" customFormat="1" spans="6:6">
      <c r="F50438" s="2423"/>
    </row>
    <row r="50439" s="101" customFormat="1" spans="6:6">
      <c r="F50439" s="2423"/>
    </row>
    <row r="50440" s="101" customFormat="1" spans="6:6">
      <c r="F50440" s="2423"/>
    </row>
    <row r="50441" s="101" customFormat="1" spans="6:6">
      <c r="F50441" s="2423"/>
    </row>
    <row r="50442" s="101" customFormat="1" spans="6:6">
      <c r="F50442" s="2423"/>
    </row>
    <row r="50443" s="101" customFormat="1" spans="6:6">
      <c r="F50443" s="2423"/>
    </row>
    <row r="50444" s="101" customFormat="1" spans="6:6">
      <c r="F50444" s="2423"/>
    </row>
    <row r="50445" s="101" customFormat="1" spans="6:6">
      <c r="F50445" s="2423"/>
    </row>
    <row r="50446" s="101" customFormat="1" spans="6:6">
      <c r="F50446" s="2423"/>
    </row>
    <row r="50447" s="101" customFormat="1" spans="6:6">
      <c r="F50447" s="2423"/>
    </row>
    <row r="50448" s="101" customFormat="1" spans="6:6">
      <c r="F50448" s="2423"/>
    </row>
    <row r="50449" s="101" customFormat="1" spans="6:6">
      <c r="F50449" s="2423"/>
    </row>
    <row r="50450" s="101" customFormat="1" spans="6:6">
      <c r="F50450" s="2423"/>
    </row>
    <row r="50451" s="101" customFormat="1" spans="6:6">
      <c r="F50451" s="2423"/>
    </row>
    <row r="50452" s="101" customFormat="1" spans="6:6">
      <c r="F50452" s="2423"/>
    </row>
    <row r="50453" s="101" customFormat="1" spans="6:6">
      <c r="F50453" s="2423"/>
    </row>
    <row r="50454" s="101" customFormat="1" spans="6:6">
      <c r="F50454" s="2423"/>
    </row>
    <row r="50455" s="101" customFormat="1" spans="6:6">
      <c r="F50455" s="2423"/>
    </row>
    <row r="50456" s="101" customFormat="1" spans="6:6">
      <c r="F50456" s="2423"/>
    </row>
    <row r="50457" s="101" customFormat="1" spans="6:6">
      <c r="F50457" s="2423"/>
    </row>
    <row r="50458" s="101" customFormat="1" spans="6:6">
      <c r="F50458" s="2423"/>
    </row>
    <row r="50459" s="101" customFormat="1" spans="6:6">
      <c r="F50459" s="2423"/>
    </row>
    <row r="50460" s="101" customFormat="1" spans="6:6">
      <c r="F50460" s="2423"/>
    </row>
    <row r="50461" s="101" customFormat="1" spans="6:6">
      <c r="F50461" s="2423"/>
    </row>
    <row r="50462" s="101" customFormat="1" spans="6:6">
      <c r="F50462" s="2423"/>
    </row>
    <row r="50463" s="101" customFormat="1" spans="6:6">
      <c r="F50463" s="2423"/>
    </row>
    <row r="50464" s="101" customFormat="1" spans="6:6">
      <c r="F50464" s="2423"/>
    </row>
    <row r="50465" s="101" customFormat="1" spans="6:6">
      <c r="F50465" s="2423"/>
    </row>
    <row r="50466" s="101" customFormat="1" spans="6:6">
      <c r="F50466" s="2423"/>
    </row>
    <row r="50467" s="101" customFormat="1" spans="6:6">
      <c r="F50467" s="2423"/>
    </row>
    <row r="50468" s="101" customFormat="1" spans="6:6">
      <c r="F50468" s="2423"/>
    </row>
    <row r="50469" s="101" customFormat="1" spans="6:6">
      <c r="F50469" s="2423"/>
    </row>
    <row r="50470" s="101" customFormat="1" spans="6:6">
      <c r="F50470" s="2423"/>
    </row>
    <row r="50471" s="101" customFormat="1" spans="6:6">
      <c r="F50471" s="2423"/>
    </row>
    <row r="50472" s="101" customFormat="1" spans="6:6">
      <c r="F50472" s="2423"/>
    </row>
    <row r="50473" s="101" customFormat="1" spans="6:6">
      <c r="F50473" s="2423"/>
    </row>
    <row r="50474" s="101" customFormat="1" spans="6:6">
      <c r="F50474" s="2423"/>
    </row>
    <row r="50475" s="101" customFormat="1" spans="6:6">
      <c r="F50475" s="2423"/>
    </row>
    <row r="50476" s="101" customFormat="1" spans="6:6">
      <c r="F50476" s="2423"/>
    </row>
    <row r="50477" s="101" customFormat="1" spans="6:6">
      <c r="F50477" s="2423"/>
    </row>
    <row r="50478" s="101" customFormat="1" spans="6:6">
      <c r="F50478" s="2423"/>
    </row>
    <row r="50479" s="101" customFormat="1" spans="6:6">
      <c r="F50479" s="2423"/>
    </row>
    <row r="50480" s="101" customFormat="1" spans="6:6">
      <c r="F50480" s="2423"/>
    </row>
    <row r="50481" s="101" customFormat="1" spans="6:6">
      <c r="F50481" s="2423"/>
    </row>
    <row r="50482" s="101" customFormat="1" spans="6:6">
      <c r="F50482" s="2423"/>
    </row>
    <row r="50483" s="101" customFormat="1" spans="6:6">
      <c r="F50483" s="2423"/>
    </row>
    <row r="50484" s="101" customFormat="1" spans="6:6">
      <c r="F50484" s="2423"/>
    </row>
    <row r="50485" s="101" customFormat="1" spans="6:6">
      <c r="F50485" s="2423"/>
    </row>
    <row r="50486" s="101" customFormat="1" spans="6:6">
      <c r="F50486" s="2423"/>
    </row>
    <row r="50487" s="101" customFormat="1" spans="6:6">
      <c r="F50487" s="2423"/>
    </row>
    <row r="50488" s="101" customFormat="1" spans="6:6">
      <c r="F50488" s="2423"/>
    </row>
    <row r="50489" s="101" customFormat="1" spans="6:6">
      <c r="F50489" s="2423"/>
    </row>
    <row r="50490" s="101" customFormat="1" spans="6:6">
      <c r="F50490" s="2423"/>
    </row>
    <row r="50491" s="101" customFormat="1" spans="6:6">
      <c r="F50491" s="2423"/>
    </row>
    <row r="50492" s="101" customFormat="1" spans="6:6">
      <c r="F50492" s="2423"/>
    </row>
    <row r="50493" s="101" customFormat="1" spans="6:6">
      <c r="F50493" s="2423"/>
    </row>
    <row r="50494" s="101" customFormat="1" spans="6:6">
      <c r="F50494" s="2423"/>
    </row>
    <row r="50495" s="101" customFormat="1" spans="6:6">
      <c r="F50495" s="2423"/>
    </row>
    <row r="50496" s="101" customFormat="1" spans="6:6">
      <c r="F50496" s="2423"/>
    </row>
    <row r="50497" s="101" customFormat="1" spans="6:6">
      <c r="F50497" s="2423"/>
    </row>
    <row r="50498" s="101" customFormat="1" spans="6:6">
      <c r="F50498" s="2423"/>
    </row>
    <row r="50499" s="101" customFormat="1" spans="6:6">
      <c r="F50499" s="2423"/>
    </row>
    <row r="50500" s="101" customFormat="1" spans="6:6">
      <c r="F50500" s="2423"/>
    </row>
    <row r="50501" s="101" customFormat="1" spans="6:6">
      <c r="F50501" s="2423"/>
    </row>
    <row r="50502" s="101" customFormat="1" spans="6:6">
      <c r="F50502" s="2423"/>
    </row>
    <row r="50503" s="101" customFormat="1" spans="6:6">
      <c r="F50503" s="2423"/>
    </row>
    <row r="50504" s="101" customFormat="1" spans="6:6">
      <c r="F50504" s="2423"/>
    </row>
    <row r="50505" s="101" customFormat="1" spans="6:6">
      <c r="F50505" s="2423"/>
    </row>
    <row r="50506" s="101" customFormat="1" spans="6:6">
      <c r="F50506" s="2423"/>
    </row>
    <row r="50507" s="101" customFormat="1" spans="6:6">
      <c r="F50507" s="2423"/>
    </row>
    <row r="50508" s="101" customFormat="1" spans="6:6">
      <c r="F50508" s="2423"/>
    </row>
    <row r="50509" s="101" customFormat="1" spans="6:6">
      <c r="F50509" s="2423"/>
    </row>
    <row r="50510" s="101" customFormat="1" spans="6:6">
      <c r="F50510" s="2423"/>
    </row>
    <row r="50511" s="101" customFormat="1" spans="6:6">
      <c r="F50511" s="2423"/>
    </row>
    <row r="50512" s="101" customFormat="1" spans="6:6">
      <c r="F50512" s="2423"/>
    </row>
    <row r="50513" s="101" customFormat="1" spans="6:6">
      <c r="F50513" s="2423"/>
    </row>
    <row r="50514" s="101" customFormat="1" spans="6:6">
      <c r="F50514" s="2423"/>
    </row>
    <row r="50515" s="101" customFormat="1" spans="6:6">
      <c r="F50515" s="2423"/>
    </row>
    <row r="50516" s="101" customFormat="1" spans="6:6">
      <c r="F50516" s="2423"/>
    </row>
    <row r="50517" s="101" customFormat="1" spans="6:6">
      <c r="F50517" s="2423"/>
    </row>
    <row r="50518" s="101" customFormat="1" spans="6:6">
      <c r="F50518" s="2423"/>
    </row>
    <row r="50519" s="101" customFormat="1" spans="6:6">
      <c r="F50519" s="2423"/>
    </row>
    <row r="50520" s="101" customFormat="1" spans="6:6">
      <c r="F50520" s="2423"/>
    </row>
    <row r="50521" s="101" customFormat="1" spans="6:6">
      <c r="F50521" s="2423"/>
    </row>
    <row r="50522" s="101" customFormat="1" spans="6:6">
      <c r="F50522" s="2423"/>
    </row>
    <row r="50523" s="101" customFormat="1" spans="6:6">
      <c r="F50523" s="2423"/>
    </row>
    <row r="50524" s="101" customFormat="1" spans="6:6">
      <c r="F50524" s="2423"/>
    </row>
    <row r="50525" s="101" customFormat="1" spans="6:6">
      <c r="F50525" s="2423"/>
    </row>
    <row r="50526" s="101" customFormat="1" spans="6:6">
      <c r="F50526" s="2423"/>
    </row>
    <row r="50527" s="101" customFormat="1" spans="6:6">
      <c r="F50527" s="2423"/>
    </row>
    <row r="50528" s="101" customFormat="1" spans="6:6">
      <c r="F50528" s="2423"/>
    </row>
    <row r="50529" s="101" customFormat="1" spans="6:6">
      <c r="F50529" s="2423"/>
    </row>
    <row r="50530" s="101" customFormat="1" spans="6:6">
      <c r="F50530" s="2423"/>
    </row>
    <row r="50531" s="101" customFormat="1" spans="6:6">
      <c r="F50531" s="2423"/>
    </row>
    <row r="50532" s="101" customFormat="1" spans="6:6">
      <c r="F50532" s="2423"/>
    </row>
    <row r="50533" s="101" customFormat="1" spans="6:6">
      <c r="F50533" s="2423"/>
    </row>
    <row r="50534" s="101" customFormat="1" spans="6:6">
      <c r="F50534" s="2423"/>
    </row>
    <row r="50535" s="101" customFormat="1" spans="6:6">
      <c r="F50535" s="2423"/>
    </row>
    <row r="50536" s="101" customFormat="1" spans="6:6">
      <c r="F50536" s="2423"/>
    </row>
    <row r="50537" s="101" customFormat="1" spans="6:6">
      <c r="F50537" s="2423"/>
    </row>
    <row r="50538" s="101" customFormat="1" spans="6:6">
      <c r="F50538" s="2423"/>
    </row>
    <row r="50539" s="101" customFormat="1" spans="6:6">
      <c r="F50539" s="2423"/>
    </row>
    <row r="50540" s="101" customFormat="1" spans="6:6">
      <c r="F50540" s="2423"/>
    </row>
    <row r="50541" s="101" customFormat="1" spans="6:6">
      <c r="F50541" s="2423"/>
    </row>
    <row r="50542" s="101" customFormat="1" spans="6:6">
      <c r="F50542" s="2423"/>
    </row>
    <row r="50543" s="101" customFormat="1" spans="6:6">
      <c r="F50543" s="2423"/>
    </row>
    <row r="50544" s="101" customFormat="1" spans="6:6">
      <c r="F50544" s="2423"/>
    </row>
    <row r="50545" s="101" customFormat="1" spans="6:6">
      <c r="F50545" s="2423"/>
    </row>
    <row r="50546" s="101" customFormat="1" spans="6:6">
      <c r="F50546" s="2423"/>
    </row>
    <row r="50547" s="101" customFormat="1" spans="6:6">
      <c r="F50547" s="2423"/>
    </row>
    <row r="50548" s="101" customFormat="1" spans="6:6">
      <c r="F50548" s="2423"/>
    </row>
    <row r="50549" s="101" customFormat="1" spans="6:6">
      <c r="F50549" s="2423"/>
    </row>
    <row r="50550" s="101" customFormat="1" spans="6:6">
      <c r="F50550" s="2423"/>
    </row>
    <row r="50551" s="101" customFormat="1" spans="6:6">
      <c r="F50551" s="2423"/>
    </row>
    <row r="50552" s="101" customFormat="1" spans="6:6">
      <c r="F50552" s="2423"/>
    </row>
    <row r="50553" s="101" customFormat="1" spans="6:6">
      <c r="F50553" s="2423"/>
    </row>
    <row r="50554" s="101" customFormat="1" spans="6:6">
      <c r="F50554" s="2423"/>
    </row>
    <row r="50555" s="101" customFormat="1" spans="6:6">
      <c r="F50555" s="2423"/>
    </row>
    <row r="50556" s="101" customFormat="1" spans="6:6">
      <c r="F50556" s="2423"/>
    </row>
    <row r="50557" s="101" customFormat="1" spans="6:6">
      <c r="F50557" s="2423"/>
    </row>
    <row r="50558" s="101" customFormat="1" spans="6:6">
      <c r="F50558" s="2423"/>
    </row>
    <row r="50559" s="101" customFormat="1" spans="6:6">
      <c r="F50559" s="2423"/>
    </row>
    <row r="50560" s="101" customFormat="1" spans="6:6">
      <c r="F50560" s="2423"/>
    </row>
    <row r="50561" s="101" customFormat="1" spans="6:6">
      <c r="F50561" s="2423"/>
    </row>
    <row r="50562" s="101" customFormat="1" spans="6:6">
      <c r="F50562" s="2423"/>
    </row>
    <row r="50563" s="101" customFormat="1" spans="6:6">
      <c r="F50563" s="2423"/>
    </row>
    <row r="50564" s="101" customFormat="1" spans="6:6">
      <c r="F50564" s="2423"/>
    </row>
    <row r="50565" s="101" customFormat="1" spans="6:6">
      <c r="F50565" s="2423"/>
    </row>
    <row r="50566" s="101" customFormat="1" spans="6:6">
      <c r="F50566" s="2423"/>
    </row>
    <row r="50567" s="101" customFormat="1" spans="6:6">
      <c r="F50567" s="2423"/>
    </row>
    <row r="50568" s="101" customFormat="1" spans="6:6">
      <c r="F50568" s="2423"/>
    </row>
    <row r="50569" s="101" customFormat="1" spans="6:6">
      <c r="F50569" s="2423"/>
    </row>
    <row r="50570" s="101" customFormat="1" spans="6:6">
      <c r="F50570" s="2423"/>
    </row>
    <row r="50571" s="101" customFormat="1" spans="6:6">
      <c r="F50571" s="2423"/>
    </row>
    <row r="50572" s="101" customFormat="1" spans="6:6">
      <c r="F50572" s="2423"/>
    </row>
    <row r="50573" s="101" customFormat="1" spans="6:6">
      <c r="F50573" s="2423"/>
    </row>
    <row r="50574" s="101" customFormat="1" spans="6:6">
      <c r="F50574" s="2423"/>
    </row>
    <row r="50575" s="101" customFormat="1" spans="6:6">
      <c r="F50575" s="2423"/>
    </row>
    <row r="50576" s="101" customFormat="1" spans="6:6">
      <c r="F50576" s="2423"/>
    </row>
    <row r="50577" s="101" customFormat="1" spans="6:6">
      <c r="F50577" s="2423"/>
    </row>
    <row r="50578" s="101" customFormat="1" spans="6:6">
      <c r="F50578" s="2423"/>
    </row>
    <row r="50579" s="101" customFormat="1" spans="6:6">
      <c r="F50579" s="2423"/>
    </row>
    <row r="50580" s="101" customFormat="1" spans="6:6">
      <c r="F50580" s="2423"/>
    </row>
    <row r="50581" s="101" customFormat="1" spans="6:6">
      <c r="F50581" s="2423"/>
    </row>
    <row r="50582" s="101" customFormat="1" spans="6:6">
      <c r="F50582" s="2423"/>
    </row>
    <row r="50583" s="101" customFormat="1" spans="6:6">
      <c r="F50583" s="2423"/>
    </row>
    <row r="50584" s="101" customFormat="1" spans="6:6">
      <c r="F50584" s="2423"/>
    </row>
    <row r="50585" s="101" customFormat="1" spans="6:6">
      <c r="F50585" s="2423"/>
    </row>
    <row r="50586" s="101" customFormat="1" spans="6:6">
      <c r="F50586" s="2423"/>
    </row>
    <row r="50587" s="101" customFormat="1" spans="6:6">
      <c r="F50587" s="2423"/>
    </row>
    <row r="50588" s="101" customFormat="1" spans="6:6">
      <c r="F50588" s="2423"/>
    </row>
    <row r="50589" s="101" customFormat="1" spans="6:6">
      <c r="F50589" s="2423"/>
    </row>
    <row r="50590" s="101" customFormat="1" spans="6:6">
      <c r="F50590" s="2423"/>
    </row>
    <row r="50591" s="101" customFormat="1" spans="6:6">
      <c r="F50591" s="2423"/>
    </row>
    <row r="50592" s="101" customFormat="1" spans="6:6">
      <c r="F50592" s="2423"/>
    </row>
    <row r="50593" s="101" customFormat="1" spans="6:6">
      <c r="F50593" s="2423"/>
    </row>
    <row r="50594" s="101" customFormat="1" spans="6:6">
      <c r="F50594" s="2423"/>
    </row>
    <row r="50595" s="101" customFormat="1" spans="6:6">
      <c r="F50595" s="2423"/>
    </row>
    <row r="50596" s="101" customFormat="1" spans="6:6">
      <c r="F50596" s="2423"/>
    </row>
    <row r="50597" s="101" customFormat="1" spans="6:6">
      <c r="F50597" s="2423"/>
    </row>
    <row r="50598" s="101" customFormat="1" spans="6:6">
      <c r="F50598" s="2423"/>
    </row>
    <row r="50599" s="101" customFormat="1" spans="6:6">
      <c r="F50599" s="2423"/>
    </row>
    <row r="50600" s="101" customFormat="1" spans="6:6">
      <c r="F50600" s="2423"/>
    </row>
    <row r="50601" s="101" customFormat="1" spans="6:6">
      <c r="F50601" s="2423"/>
    </row>
    <row r="50602" s="101" customFormat="1" spans="6:6">
      <c r="F50602" s="2423"/>
    </row>
    <row r="50603" s="101" customFormat="1" spans="6:6">
      <c r="F50603" s="2423"/>
    </row>
    <row r="50604" s="101" customFormat="1" spans="6:6">
      <c r="F50604" s="2423"/>
    </row>
    <row r="50605" s="101" customFormat="1" spans="6:6">
      <c r="F50605" s="2423"/>
    </row>
    <row r="50606" s="101" customFormat="1" spans="6:6">
      <c r="F50606" s="2423"/>
    </row>
    <row r="50607" s="101" customFormat="1" spans="6:6">
      <c r="F50607" s="2423"/>
    </row>
    <row r="50608" s="101" customFormat="1" spans="6:6">
      <c r="F50608" s="2423"/>
    </row>
    <row r="50609" s="101" customFormat="1" spans="6:6">
      <c r="F50609" s="2423"/>
    </row>
    <row r="50610" s="101" customFormat="1" spans="6:6">
      <c r="F50610" s="2423"/>
    </row>
    <row r="50611" s="101" customFormat="1" spans="6:6">
      <c r="F50611" s="2423"/>
    </row>
    <row r="50612" s="101" customFormat="1" spans="6:6">
      <c r="F50612" s="2423"/>
    </row>
    <row r="50613" s="101" customFormat="1" spans="6:6">
      <c r="F50613" s="2423"/>
    </row>
    <row r="50614" s="101" customFormat="1" spans="6:6">
      <c r="F50614" s="2423"/>
    </row>
    <row r="50615" s="101" customFormat="1" spans="6:6">
      <c r="F50615" s="2423"/>
    </row>
    <row r="50616" s="101" customFormat="1" spans="6:6">
      <c r="F50616" s="2423"/>
    </row>
    <row r="50617" s="101" customFormat="1" spans="6:6">
      <c r="F50617" s="2423"/>
    </row>
    <row r="50618" s="101" customFormat="1" spans="6:6">
      <c r="F50618" s="2423"/>
    </row>
    <row r="50619" s="101" customFormat="1" spans="6:6">
      <c r="F50619" s="2423"/>
    </row>
    <row r="50620" s="101" customFormat="1" spans="6:6">
      <c r="F50620" s="2423"/>
    </row>
    <row r="50621" s="101" customFormat="1" spans="6:6">
      <c r="F50621" s="2423"/>
    </row>
    <row r="50622" s="101" customFormat="1" spans="6:6">
      <c r="F50622" s="2423"/>
    </row>
    <row r="50623" s="101" customFormat="1" spans="6:6">
      <c r="F50623" s="2423"/>
    </row>
    <row r="50624" s="101" customFormat="1" spans="6:6">
      <c r="F50624" s="2423"/>
    </row>
    <row r="50625" s="101" customFormat="1" spans="6:6">
      <c r="F50625" s="2423"/>
    </row>
    <row r="50626" s="101" customFormat="1" spans="6:6">
      <c r="F50626" s="2423"/>
    </row>
    <row r="50627" s="101" customFormat="1" spans="6:6">
      <c r="F50627" s="2423"/>
    </row>
    <row r="50628" s="101" customFormat="1" spans="6:6">
      <c r="F50628" s="2423"/>
    </row>
    <row r="50629" s="101" customFormat="1" spans="6:6">
      <c r="F50629" s="2423"/>
    </row>
    <row r="50630" s="101" customFormat="1" spans="6:6">
      <c r="F50630" s="2423"/>
    </row>
    <row r="50631" s="101" customFormat="1" spans="6:6">
      <c r="F50631" s="2423"/>
    </row>
    <row r="50632" s="101" customFormat="1" spans="6:6">
      <c r="F50632" s="2423"/>
    </row>
    <row r="50633" s="101" customFormat="1" spans="6:6">
      <c r="F50633" s="2423"/>
    </row>
    <row r="50634" s="101" customFormat="1" spans="6:6">
      <c r="F50634" s="2423"/>
    </row>
    <row r="50635" s="101" customFormat="1" spans="6:6">
      <c r="F50635" s="2423"/>
    </row>
    <row r="50636" s="101" customFormat="1" spans="6:6">
      <c r="F50636" s="2423"/>
    </row>
    <row r="50637" s="101" customFormat="1" spans="6:6">
      <c r="F50637" s="2423"/>
    </row>
    <row r="50638" s="101" customFormat="1" spans="6:6">
      <c r="F50638" s="2423"/>
    </row>
    <row r="50639" s="101" customFormat="1" spans="6:6">
      <c r="F50639" s="2423"/>
    </row>
    <row r="50640" s="101" customFormat="1" spans="6:6">
      <c r="F50640" s="2423"/>
    </row>
    <row r="50641" s="101" customFormat="1" spans="6:6">
      <c r="F50641" s="2423"/>
    </row>
    <row r="50642" s="101" customFormat="1" spans="6:6">
      <c r="F50642" s="2423"/>
    </row>
    <row r="50643" s="101" customFormat="1" spans="6:6">
      <c r="F50643" s="2423"/>
    </row>
    <row r="50644" s="101" customFormat="1" spans="6:6">
      <c r="F50644" s="2423"/>
    </row>
    <row r="50645" s="101" customFormat="1" spans="6:6">
      <c r="F50645" s="2423"/>
    </row>
    <row r="50646" s="101" customFormat="1" spans="6:6">
      <c r="F50646" s="2423"/>
    </row>
    <row r="50647" s="101" customFormat="1" spans="6:6">
      <c r="F50647" s="2423"/>
    </row>
    <row r="50648" s="101" customFormat="1" spans="6:6">
      <c r="F50648" s="2423"/>
    </row>
    <row r="50649" s="101" customFormat="1" spans="6:6">
      <c r="F50649" s="2423"/>
    </row>
    <row r="50650" s="101" customFormat="1" spans="6:6">
      <c r="F50650" s="2423"/>
    </row>
    <row r="50651" s="101" customFormat="1" spans="6:6">
      <c r="F50651" s="2423"/>
    </row>
    <row r="50652" s="101" customFormat="1" spans="6:6">
      <c r="F50652" s="2423"/>
    </row>
    <row r="50653" s="101" customFormat="1" spans="6:6">
      <c r="F50653" s="2423"/>
    </row>
    <row r="50654" s="101" customFormat="1" spans="6:6">
      <c r="F50654" s="2423"/>
    </row>
    <row r="50655" s="101" customFormat="1" spans="6:6">
      <c r="F50655" s="2423"/>
    </row>
    <row r="50656" s="101" customFormat="1" spans="6:6">
      <c r="F50656" s="2423"/>
    </row>
    <row r="50657" s="101" customFormat="1" spans="6:6">
      <c r="F50657" s="2423"/>
    </row>
    <row r="50658" s="101" customFormat="1" spans="6:6">
      <c r="F50658" s="2423"/>
    </row>
    <row r="50659" s="101" customFormat="1" spans="6:6">
      <c r="F50659" s="2423"/>
    </row>
    <row r="50660" s="101" customFormat="1" spans="6:6">
      <c r="F50660" s="2423"/>
    </row>
    <row r="50661" s="101" customFormat="1" spans="6:6">
      <c r="F50661" s="2423"/>
    </row>
    <row r="50662" s="101" customFormat="1" spans="6:6">
      <c r="F50662" s="2423"/>
    </row>
    <row r="50663" s="101" customFormat="1" spans="6:6">
      <c r="F50663" s="2423"/>
    </row>
    <row r="50664" s="101" customFormat="1" spans="6:6">
      <c r="F50664" s="2423"/>
    </row>
    <row r="50665" s="101" customFormat="1" spans="6:6">
      <c r="F50665" s="2423"/>
    </row>
    <row r="50666" s="101" customFormat="1" spans="6:6">
      <c r="F50666" s="2423"/>
    </row>
    <row r="50667" s="101" customFormat="1" spans="6:6">
      <c r="F50667" s="2423"/>
    </row>
    <row r="50668" s="101" customFormat="1" spans="6:6">
      <c r="F50668" s="2423"/>
    </row>
    <row r="50669" s="101" customFormat="1" spans="6:6">
      <c r="F50669" s="2423"/>
    </row>
    <row r="50670" s="101" customFormat="1" spans="6:6">
      <c r="F50670" s="2423"/>
    </row>
    <row r="50671" s="101" customFormat="1" spans="6:6">
      <c r="F50671" s="2423"/>
    </row>
    <row r="50672" s="101" customFormat="1" spans="6:6">
      <c r="F50672" s="2423"/>
    </row>
    <row r="50673" s="101" customFormat="1" spans="6:6">
      <c r="F50673" s="2423"/>
    </row>
    <row r="50674" s="101" customFormat="1" spans="6:6">
      <c r="F50674" s="2423"/>
    </row>
    <row r="50675" s="101" customFormat="1" spans="6:6">
      <c r="F50675" s="2423"/>
    </row>
    <row r="50676" s="101" customFormat="1" spans="6:6">
      <c r="F50676" s="2423"/>
    </row>
    <row r="50677" s="101" customFormat="1" spans="6:6">
      <c r="F50677" s="2423"/>
    </row>
    <row r="50678" s="101" customFormat="1" spans="6:6">
      <c r="F50678" s="2423"/>
    </row>
    <row r="50679" s="101" customFormat="1" spans="6:6">
      <c r="F50679" s="2423"/>
    </row>
    <row r="50680" s="101" customFormat="1" spans="6:6">
      <c r="F50680" s="2423"/>
    </row>
    <row r="50681" s="101" customFormat="1" spans="6:6">
      <c r="F50681" s="2423"/>
    </row>
    <row r="50682" s="101" customFormat="1" spans="6:6">
      <c r="F50682" s="2423"/>
    </row>
    <row r="50683" s="101" customFormat="1" spans="6:6">
      <c r="F50683" s="2423"/>
    </row>
    <row r="50684" s="101" customFormat="1" spans="6:6">
      <c r="F50684" s="2423"/>
    </row>
    <row r="50685" s="101" customFormat="1" spans="6:6">
      <c r="F50685" s="2423"/>
    </row>
    <row r="50686" s="101" customFormat="1" spans="6:6">
      <c r="F50686" s="2423"/>
    </row>
    <row r="50687" s="101" customFormat="1" spans="6:6">
      <c r="F50687" s="2423"/>
    </row>
    <row r="50688" s="101" customFormat="1" spans="6:6">
      <c r="F50688" s="2423"/>
    </row>
    <row r="50689" s="101" customFormat="1" spans="6:6">
      <c r="F50689" s="2423"/>
    </row>
    <row r="50690" s="101" customFormat="1" spans="6:6">
      <c r="F50690" s="2423"/>
    </row>
    <row r="50691" s="101" customFormat="1" spans="6:6">
      <c r="F50691" s="2423"/>
    </row>
    <row r="50692" s="101" customFormat="1" spans="6:6">
      <c r="F50692" s="2423"/>
    </row>
    <row r="50693" s="101" customFormat="1" spans="6:6">
      <c r="F50693" s="2423"/>
    </row>
    <row r="50694" s="101" customFormat="1" spans="6:6">
      <c r="F50694" s="2423"/>
    </row>
    <row r="50695" s="101" customFormat="1" spans="6:6">
      <c r="F50695" s="2423"/>
    </row>
    <row r="50696" s="101" customFormat="1" spans="6:6">
      <c r="F50696" s="2423"/>
    </row>
    <row r="50697" s="101" customFormat="1" spans="6:6">
      <c r="F50697" s="2423"/>
    </row>
    <row r="50698" s="101" customFormat="1" spans="6:6">
      <c r="F50698" s="2423"/>
    </row>
    <row r="50699" s="101" customFormat="1" spans="6:6">
      <c r="F50699" s="2423"/>
    </row>
    <row r="50700" s="101" customFormat="1" spans="6:6">
      <c r="F50700" s="2423"/>
    </row>
    <row r="50701" s="101" customFormat="1" spans="6:6">
      <c r="F50701" s="2423"/>
    </row>
    <row r="50702" s="101" customFormat="1" spans="6:6">
      <c r="F50702" s="2423"/>
    </row>
    <row r="50703" s="101" customFormat="1" spans="6:6">
      <c r="F50703" s="2423"/>
    </row>
    <row r="50704" s="101" customFormat="1" spans="6:6">
      <c r="F50704" s="2423"/>
    </row>
    <row r="50705" s="101" customFormat="1" spans="6:6">
      <c r="F50705" s="2423"/>
    </row>
    <row r="50706" s="101" customFormat="1" spans="6:6">
      <c r="F50706" s="2423"/>
    </row>
    <row r="50707" s="101" customFormat="1" spans="6:6">
      <c r="F50707" s="2423"/>
    </row>
    <row r="50708" s="101" customFormat="1" spans="6:6">
      <c r="F50708" s="2423"/>
    </row>
    <row r="50709" s="101" customFormat="1" spans="6:6">
      <c r="F50709" s="2423"/>
    </row>
    <row r="50710" s="101" customFormat="1" spans="6:6">
      <c r="F50710" s="2423"/>
    </row>
    <row r="50711" s="101" customFormat="1" spans="6:6">
      <c r="F50711" s="2423"/>
    </row>
    <row r="50712" s="101" customFormat="1" spans="6:6">
      <c r="F50712" s="2423"/>
    </row>
    <row r="50713" s="101" customFormat="1" spans="6:6">
      <c r="F50713" s="2423"/>
    </row>
    <row r="50714" s="101" customFormat="1" spans="6:6">
      <c r="F50714" s="2423"/>
    </row>
    <row r="50715" s="101" customFormat="1" spans="6:6">
      <c r="F50715" s="2423"/>
    </row>
    <row r="50716" s="101" customFormat="1" spans="6:6">
      <c r="F50716" s="2423"/>
    </row>
    <row r="50717" s="101" customFormat="1" spans="6:6">
      <c r="F50717" s="2423"/>
    </row>
    <row r="50718" s="101" customFormat="1" spans="6:6">
      <c r="F50718" s="2423"/>
    </row>
    <row r="50719" s="101" customFormat="1" spans="6:6">
      <c r="F50719" s="2423"/>
    </row>
    <row r="50720" s="101" customFormat="1" spans="6:6">
      <c r="F50720" s="2423"/>
    </row>
    <row r="50721" s="101" customFormat="1" spans="6:6">
      <c r="F50721" s="2423"/>
    </row>
    <row r="50722" s="101" customFormat="1" spans="6:6">
      <c r="F50722" s="2423"/>
    </row>
    <row r="50723" s="101" customFormat="1" spans="6:6">
      <c r="F50723" s="2423"/>
    </row>
    <row r="50724" s="101" customFormat="1" spans="6:6">
      <c r="F50724" s="2423"/>
    </row>
    <row r="50725" s="101" customFormat="1" spans="6:6">
      <c r="F50725" s="2423"/>
    </row>
    <row r="50726" s="101" customFormat="1" spans="6:6">
      <c r="F50726" s="2423"/>
    </row>
    <row r="50727" s="101" customFormat="1" spans="6:6">
      <c r="F50727" s="2423"/>
    </row>
    <row r="50728" s="101" customFormat="1" spans="6:6">
      <c r="F50728" s="2423"/>
    </row>
    <row r="50729" s="101" customFormat="1" spans="6:6">
      <c r="F50729" s="2423"/>
    </row>
    <row r="50730" s="101" customFormat="1" spans="6:6">
      <c r="F50730" s="2423"/>
    </row>
    <row r="50731" s="101" customFormat="1" spans="6:6">
      <c r="F50731" s="2423"/>
    </row>
    <row r="50732" s="101" customFormat="1" spans="6:6">
      <c r="F50732" s="2423"/>
    </row>
    <row r="50733" s="101" customFormat="1" spans="6:6">
      <c r="F50733" s="2423"/>
    </row>
    <row r="50734" s="101" customFormat="1" spans="6:6">
      <c r="F50734" s="2423"/>
    </row>
    <row r="50735" s="101" customFormat="1" spans="6:6">
      <c r="F50735" s="2423"/>
    </row>
    <row r="50736" s="101" customFormat="1" spans="6:6">
      <c r="F50736" s="2423"/>
    </row>
    <row r="50737" s="101" customFormat="1" spans="6:6">
      <c r="F50737" s="2423"/>
    </row>
    <row r="50738" s="101" customFormat="1" spans="6:6">
      <c r="F50738" s="2423"/>
    </row>
    <row r="50739" s="101" customFormat="1" spans="6:6">
      <c r="F50739" s="2423"/>
    </row>
    <row r="50740" s="101" customFormat="1" spans="6:6">
      <c r="F50740" s="2423"/>
    </row>
    <row r="50741" s="101" customFormat="1" spans="6:6">
      <c r="F50741" s="2423"/>
    </row>
    <row r="50742" s="101" customFormat="1" spans="6:6">
      <c r="F50742" s="2423"/>
    </row>
    <row r="50743" s="101" customFormat="1" spans="6:6">
      <c r="F50743" s="2423"/>
    </row>
    <row r="50744" s="101" customFormat="1" spans="6:6">
      <c r="F50744" s="2423"/>
    </row>
    <row r="50745" s="101" customFormat="1" spans="6:6">
      <c r="F50745" s="2423"/>
    </row>
    <row r="50746" s="101" customFormat="1" spans="6:6">
      <c r="F50746" s="2423"/>
    </row>
    <row r="50747" s="101" customFormat="1" spans="6:6">
      <c r="F50747" s="2423"/>
    </row>
    <row r="50748" s="101" customFormat="1" spans="6:6">
      <c r="F50748" s="2423"/>
    </row>
    <row r="50749" s="101" customFormat="1" spans="6:6">
      <c r="F50749" s="2423"/>
    </row>
    <row r="50750" s="101" customFormat="1" spans="6:6">
      <c r="F50750" s="2423"/>
    </row>
    <row r="50751" s="101" customFormat="1" spans="6:6">
      <c r="F50751" s="2423"/>
    </row>
    <row r="50752" s="101" customFormat="1" spans="6:6">
      <c r="F50752" s="2423"/>
    </row>
    <row r="50753" s="101" customFormat="1" spans="6:6">
      <c r="F50753" s="2423"/>
    </row>
    <row r="50754" s="101" customFormat="1" spans="6:6">
      <c r="F50754" s="2423"/>
    </row>
    <row r="50755" s="101" customFormat="1" spans="6:6">
      <c r="F50755" s="2423"/>
    </row>
    <row r="50756" s="101" customFormat="1" spans="6:6">
      <c r="F50756" s="2423"/>
    </row>
    <row r="50757" s="101" customFormat="1" spans="6:6">
      <c r="F50757" s="2423"/>
    </row>
    <row r="50758" s="101" customFormat="1" spans="6:6">
      <c r="F50758" s="2423"/>
    </row>
    <row r="50759" s="101" customFormat="1" spans="6:6">
      <c r="F50759" s="2423"/>
    </row>
    <row r="50760" s="101" customFormat="1" spans="6:6">
      <c r="F50760" s="2423"/>
    </row>
    <row r="50761" s="101" customFormat="1" spans="6:6">
      <c r="F50761" s="2423"/>
    </row>
    <row r="50762" s="101" customFormat="1" spans="6:6">
      <c r="F50762" s="2423"/>
    </row>
    <row r="50763" s="101" customFormat="1" spans="6:6">
      <c r="F50763" s="2423"/>
    </row>
    <row r="50764" s="101" customFormat="1" spans="6:6">
      <c r="F50764" s="2423"/>
    </row>
    <row r="50765" s="101" customFormat="1" spans="6:6">
      <c r="F50765" s="2423"/>
    </row>
    <row r="50766" s="101" customFormat="1" spans="6:6">
      <c r="F50766" s="2423"/>
    </row>
    <row r="50767" s="101" customFormat="1" spans="6:6">
      <c r="F50767" s="2423"/>
    </row>
    <row r="50768" s="101" customFormat="1" spans="6:6">
      <c r="F50768" s="2423"/>
    </row>
    <row r="50769" s="101" customFormat="1" spans="6:6">
      <c r="F50769" s="2423"/>
    </row>
    <row r="50770" s="101" customFormat="1" spans="6:6">
      <c r="F50770" s="2423"/>
    </row>
    <row r="50771" s="101" customFormat="1" spans="6:6">
      <c r="F50771" s="2423"/>
    </row>
    <row r="50772" s="101" customFormat="1" spans="6:6">
      <c r="F50772" s="2423"/>
    </row>
    <row r="50773" s="101" customFormat="1" spans="6:6">
      <c r="F50773" s="2423"/>
    </row>
    <row r="50774" s="101" customFormat="1" spans="6:6">
      <c r="F50774" s="2423"/>
    </row>
    <row r="50775" s="101" customFormat="1" spans="6:6">
      <c r="F50775" s="2423"/>
    </row>
    <row r="50776" s="101" customFormat="1" spans="6:6">
      <c r="F50776" s="2423"/>
    </row>
    <row r="50777" s="101" customFormat="1" spans="6:6">
      <c r="F50777" s="2423"/>
    </row>
    <row r="50778" s="101" customFormat="1" spans="6:6">
      <c r="F50778" s="2423"/>
    </row>
    <row r="50779" s="101" customFormat="1" spans="6:6">
      <c r="F50779" s="2423"/>
    </row>
    <row r="50780" s="101" customFormat="1" spans="6:6">
      <c r="F50780" s="2423"/>
    </row>
    <row r="50781" s="101" customFormat="1" spans="6:6">
      <c r="F50781" s="2423"/>
    </row>
    <row r="50782" s="101" customFormat="1" spans="6:6">
      <c r="F50782" s="2423"/>
    </row>
    <row r="50783" s="101" customFormat="1" spans="6:6">
      <c r="F50783" s="2423"/>
    </row>
    <row r="50784" s="101" customFormat="1" spans="6:6">
      <c r="F50784" s="2423"/>
    </row>
    <row r="50785" s="101" customFormat="1" spans="6:6">
      <c r="F50785" s="2423"/>
    </row>
    <row r="50786" s="101" customFormat="1" spans="6:6">
      <c r="F50786" s="2423"/>
    </row>
    <row r="50787" s="101" customFormat="1" spans="6:6">
      <c r="F50787" s="2423"/>
    </row>
    <row r="50788" s="101" customFormat="1" spans="6:6">
      <c r="F50788" s="2423"/>
    </row>
    <row r="50789" s="101" customFormat="1" spans="6:6">
      <c r="F50789" s="2423"/>
    </row>
    <row r="50790" s="101" customFormat="1" spans="6:6">
      <c r="F50790" s="2423"/>
    </row>
    <row r="50791" s="101" customFormat="1" spans="6:6">
      <c r="F50791" s="2423"/>
    </row>
    <row r="50792" s="101" customFormat="1" spans="6:6">
      <c r="F50792" s="2423"/>
    </row>
    <row r="50793" s="101" customFormat="1" spans="6:6">
      <c r="F50793" s="2423"/>
    </row>
    <row r="50794" s="101" customFormat="1" spans="6:6">
      <c r="F50794" s="2423"/>
    </row>
    <row r="50795" s="101" customFormat="1" spans="6:6">
      <c r="F50795" s="2423"/>
    </row>
    <row r="50796" s="101" customFormat="1" spans="6:6">
      <c r="F50796" s="2423"/>
    </row>
    <row r="50797" s="101" customFormat="1" spans="6:6">
      <c r="F50797" s="2423"/>
    </row>
    <row r="50798" s="101" customFormat="1" spans="6:6">
      <c r="F50798" s="2423"/>
    </row>
    <row r="50799" s="101" customFormat="1" spans="6:6">
      <c r="F50799" s="2423"/>
    </row>
    <row r="50800" s="101" customFormat="1" spans="6:6">
      <c r="F50800" s="2423"/>
    </row>
    <row r="50801" s="101" customFormat="1" spans="6:6">
      <c r="F50801" s="2423"/>
    </row>
    <row r="50802" s="101" customFormat="1" spans="6:6">
      <c r="F50802" s="2423"/>
    </row>
    <row r="50803" s="101" customFormat="1" spans="6:6">
      <c r="F50803" s="2423"/>
    </row>
    <row r="50804" s="101" customFormat="1" spans="6:6">
      <c r="F50804" s="2423"/>
    </row>
    <row r="50805" s="101" customFormat="1" spans="6:6">
      <c r="F50805" s="2423"/>
    </row>
    <row r="50806" s="101" customFormat="1" spans="6:6">
      <c r="F50806" s="2423"/>
    </row>
    <row r="50807" s="101" customFormat="1" spans="6:6">
      <c r="F50807" s="2423"/>
    </row>
    <row r="50808" s="101" customFormat="1" spans="6:6">
      <c r="F50808" s="2423"/>
    </row>
    <row r="50809" s="101" customFormat="1" spans="6:6">
      <c r="F50809" s="2423"/>
    </row>
    <row r="50810" s="101" customFormat="1" spans="6:6">
      <c r="F50810" s="2423"/>
    </row>
    <row r="50811" s="101" customFormat="1" spans="6:6">
      <c r="F50811" s="2423"/>
    </row>
    <row r="50812" s="101" customFormat="1" spans="6:6">
      <c r="F50812" s="2423"/>
    </row>
    <row r="50813" s="101" customFormat="1" spans="6:6">
      <c r="F50813" s="2423"/>
    </row>
    <row r="50814" s="101" customFormat="1" spans="6:6">
      <c r="F50814" s="2423"/>
    </row>
    <row r="50815" s="101" customFormat="1" spans="6:6">
      <c r="F50815" s="2423"/>
    </row>
    <row r="50816" s="101" customFormat="1" spans="6:6">
      <c r="F50816" s="2423"/>
    </row>
    <row r="50817" s="101" customFormat="1" spans="6:6">
      <c r="F50817" s="2423"/>
    </row>
    <row r="50818" s="101" customFormat="1" spans="6:6">
      <c r="F50818" s="2423"/>
    </row>
    <row r="50819" s="101" customFormat="1" spans="6:6">
      <c r="F50819" s="2423"/>
    </row>
    <row r="50820" s="101" customFormat="1" spans="6:6">
      <c r="F50820" s="2423"/>
    </row>
    <row r="50821" s="101" customFormat="1" spans="6:6">
      <c r="F50821" s="2423"/>
    </row>
    <row r="50822" s="101" customFormat="1" spans="6:6">
      <c r="F50822" s="2423"/>
    </row>
    <row r="50823" s="101" customFormat="1" spans="6:6">
      <c r="F50823" s="2423"/>
    </row>
    <row r="50824" s="101" customFormat="1" spans="6:6">
      <c r="F50824" s="2423"/>
    </row>
    <row r="50825" s="101" customFormat="1" spans="6:6">
      <c r="F50825" s="2423"/>
    </row>
    <row r="50826" s="101" customFormat="1" spans="6:6">
      <c r="F50826" s="2423"/>
    </row>
    <row r="50827" s="101" customFormat="1" spans="6:6">
      <c r="F50827" s="2423"/>
    </row>
    <row r="50828" s="101" customFormat="1" spans="6:6">
      <c r="F50828" s="2423"/>
    </row>
    <row r="50829" s="101" customFormat="1" spans="6:6">
      <c r="F50829" s="2423"/>
    </row>
    <row r="50830" s="101" customFormat="1" spans="6:6">
      <c r="F50830" s="2423"/>
    </row>
    <row r="50831" s="101" customFormat="1" spans="6:6">
      <c r="F50831" s="2423"/>
    </row>
    <row r="50832" s="101" customFormat="1" spans="6:6">
      <c r="F50832" s="2423"/>
    </row>
    <row r="50833" s="101" customFormat="1" spans="6:6">
      <c r="F50833" s="2423"/>
    </row>
    <row r="50834" s="101" customFormat="1" spans="6:6">
      <c r="F50834" s="2423"/>
    </row>
    <row r="50835" s="101" customFormat="1" spans="6:6">
      <c r="F50835" s="2423"/>
    </row>
    <row r="50836" s="101" customFormat="1" spans="6:6">
      <c r="F50836" s="2423"/>
    </row>
    <row r="50837" s="101" customFormat="1" spans="6:6">
      <c r="F50837" s="2423"/>
    </row>
    <row r="50838" s="101" customFormat="1" spans="6:6">
      <c r="F50838" s="2423"/>
    </row>
    <row r="50839" s="101" customFormat="1" spans="6:6">
      <c r="F50839" s="2423"/>
    </row>
    <row r="50840" s="101" customFormat="1" spans="6:6">
      <c r="F50840" s="2423"/>
    </row>
    <row r="50841" s="101" customFormat="1" spans="6:6">
      <c r="F50841" s="2423"/>
    </row>
    <row r="50842" s="101" customFormat="1" spans="6:6">
      <c r="F50842" s="2423"/>
    </row>
    <row r="50843" s="101" customFormat="1" spans="6:6">
      <c r="F50843" s="2423"/>
    </row>
    <row r="50844" s="101" customFormat="1" spans="6:6">
      <c r="F50844" s="2423"/>
    </row>
    <row r="50845" s="101" customFormat="1" spans="6:6">
      <c r="F50845" s="2423"/>
    </row>
    <row r="50846" s="101" customFormat="1" spans="6:6">
      <c r="F50846" s="2423"/>
    </row>
    <row r="50847" s="101" customFormat="1" spans="6:6">
      <c r="F50847" s="2423"/>
    </row>
    <row r="50848" s="101" customFormat="1" spans="6:6">
      <c r="F50848" s="2423"/>
    </row>
    <row r="50849" s="101" customFormat="1" spans="6:6">
      <c r="F50849" s="2423"/>
    </row>
    <row r="50850" s="101" customFormat="1" spans="6:6">
      <c r="F50850" s="2423"/>
    </row>
    <row r="50851" s="101" customFormat="1" spans="6:6">
      <c r="F50851" s="2423"/>
    </row>
    <row r="50852" s="101" customFormat="1" spans="6:6">
      <c r="F50852" s="2423"/>
    </row>
    <row r="50853" s="101" customFormat="1" spans="6:6">
      <c r="F50853" s="2423"/>
    </row>
    <row r="50854" s="101" customFormat="1" spans="6:6">
      <c r="F50854" s="2423"/>
    </row>
    <row r="50855" s="101" customFormat="1" spans="6:6">
      <c r="F50855" s="2423"/>
    </row>
    <row r="50856" s="101" customFormat="1" spans="6:6">
      <c r="F50856" s="2423"/>
    </row>
    <row r="50857" s="101" customFormat="1" spans="6:6">
      <c r="F50857" s="2423"/>
    </row>
    <row r="50858" s="101" customFormat="1" spans="6:6">
      <c r="F50858" s="2423"/>
    </row>
    <row r="50859" s="101" customFormat="1" spans="6:6">
      <c r="F50859" s="2423"/>
    </row>
    <row r="50860" s="101" customFormat="1" spans="6:6">
      <c r="F50860" s="2423"/>
    </row>
    <row r="50861" s="101" customFormat="1" spans="6:6">
      <c r="F50861" s="2423"/>
    </row>
    <row r="50862" s="101" customFormat="1" spans="6:6">
      <c r="F50862" s="2423"/>
    </row>
    <row r="50863" s="101" customFormat="1" spans="6:6">
      <c r="F50863" s="2423"/>
    </row>
    <row r="50864" s="101" customFormat="1" spans="6:6">
      <c r="F50864" s="2423"/>
    </row>
    <row r="50865" s="101" customFormat="1" spans="6:6">
      <c r="F50865" s="2423"/>
    </row>
    <row r="50866" s="101" customFormat="1" spans="6:6">
      <c r="F50866" s="2423"/>
    </row>
    <row r="50867" s="101" customFormat="1" spans="6:6">
      <c r="F50867" s="2423"/>
    </row>
    <row r="50868" s="101" customFormat="1" spans="6:6">
      <c r="F50868" s="2423"/>
    </row>
    <row r="50869" s="101" customFormat="1" spans="6:6">
      <c r="F50869" s="2423"/>
    </row>
    <row r="50870" s="101" customFormat="1" spans="6:6">
      <c r="F50870" s="2423"/>
    </row>
    <row r="50871" s="101" customFormat="1" spans="6:6">
      <c r="F50871" s="2423"/>
    </row>
    <row r="50872" s="101" customFormat="1" spans="6:6">
      <c r="F50872" s="2423"/>
    </row>
    <row r="50873" s="101" customFormat="1" spans="6:6">
      <c r="F50873" s="2423"/>
    </row>
    <row r="50874" s="101" customFormat="1" spans="6:6">
      <c r="F50874" s="2423"/>
    </row>
    <row r="50875" s="101" customFormat="1" spans="6:6">
      <c r="F50875" s="2423"/>
    </row>
    <row r="50876" s="101" customFormat="1" spans="6:6">
      <c r="F50876" s="2423"/>
    </row>
    <row r="50877" s="101" customFormat="1" spans="6:6">
      <c r="F50877" s="2423"/>
    </row>
    <row r="50878" s="101" customFormat="1" spans="6:6">
      <c r="F50878" s="2423"/>
    </row>
    <row r="50879" s="101" customFormat="1" spans="6:6">
      <c r="F50879" s="2423"/>
    </row>
    <row r="50880" s="101" customFormat="1" spans="6:6">
      <c r="F50880" s="2423"/>
    </row>
    <row r="50881" s="101" customFormat="1" spans="6:6">
      <c r="F50881" s="2423"/>
    </row>
    <row r="50882" s="101" customFormat="1" spans="6:6">
      <c r="F50882" s="2423"/>
    </row>
    <row r="50883" s="101" customFormat="1" spans="6:6">
      <c r="F50883" s="2423"/>
    </row>
    <row r="50884" s="101" customFormat="1" spans="6:6">
      <c r="F50884" s="2423"/>
    </row>
    <row r="50885" s="101" customFormat="1" spans="6:6">
      <c r="F50885" s="2423"/>
    </row>
    <row r="50886" s="101" customFormat="1" spans="6:6">
      <c r="F50886" s="2423"/>
    </row>
    <row r="50887" s="101" customFormat="1" spans="6:6">
      <c r="F50887" s="2423"/>
    </row>
    <row r="50888" s="101" customFormat="1" spans="6:6">
      <c r="F50888" s="2423"/>
    </row>
    <row r="50889" s="101" customFormat="1" spans="6:6">
      <c r="F50889" s="2423"/>
    </row>
    <row r="50890" s="101" customFormat="1" spans="6:6">
      <c r="F50890" s="2423"/>
    </row>
    <row r="50891" s="101" customFormat="1" spans="6:6">
      <c r="F50891" s="2423"/>
    </row>
    <row r="50892" s="101" customFormat="1" spans="6:6">
      <c r="F50892" s="2423"/>
    </row>
    <row r="50893" s="101" customFormat="1" spans="6:6">
      <c r="F50893" s="2423"/>
    </row>
    <row r="50894" s="101" customFormat="1" spans="6:6">
      <c r="F50894" s="2423"/>
    </row>
    <row r="50895" s="101" customFormat="1" spans="6:6">
      <c r="F50895" s="2423"/>
    </row>
    <row r="50896" s="101" customFormat="1" spans="6:6">
      <c r="F50896" s="2423"/>
    </row>
    <row r="50897" s="101" customFormat="1" spans="6:6">
      <c r="F50897" s="2423"/>
    </row>
    <row r="50898" s="101" customFormat="1" spans="6:6">
      <c r="F50898" s="2423"/>
    </row>
    <row r="50899" s="101" customFormat="1" spans="6:6">
      <c r="F50899" s="2423"/>
    </row>
    <row r="50900" s="101" customFormat="1" spans="6:6">
      <c r="F50900" s="2423"/>
    </row>
    <row r="50901" s="101" customFormat="1" spans="6:6">
      <c r="F50901" s="2423"/>
    </row>
    <row r="50902" s="101" customFormat="1" spans="6:6">
      <c r="F50902" s="2423"/>
    </row>
    <row r="50903" s="101" customFormat="1" spans="6:6">
      <c r="F50903" s="2423"/>
    </row>
    <row r="50904" s="101" customFormat="1" spans="6:6">
      <c r="F50904" s="2423"/>
    </row>
    <row r="50905" s="101" customFormat="1" spans="6:6">
      <c r="F50905" s="2423"/>
    </row>
    <row r="50906" s="101" customFormat="1" spans="6:6">
      <c r="F50906" s="2423"/>
    </row>
    <row r="50907" s="101" customFormat="1" spans="6:6">
      <c r="F50907" s="2423"/>
    </row>
    <row r="50908" s="101" customFormat="1" spans="6:6">
      <c r="F50908" s="2423"/>
    </row>
    <row r="50909" s="101" customFormat="1" spans="6:6">
      <c r="F50909" s="2423"/>
    </row>
    <row r="50910" s="101" customFormat="1" spans="6:6">
      <c r="F50910" s="2423"/>
    </row>
    <row r="50911" s="101" customFormat="1" spans="6:6">
      <c r="F50911" s="2423"/>
    </row>
    <row r="50912" s="101" customFormat="1" spans="6:6">
      <c r="F50912" s="2423"/>
    </row>
    <row r="50913" s="101" customFormat="1" spans="6:6">
      <c r="F50913" s="2423"/>
    </row>
    <row r="50914" s="101" customFormat="1" spans="6:6">
      <c r="F50914" s="2423"/>
    </row>
    <row r="50915" s="101" customFormat="1" spans="6:6">
      <c r="F50915" s="2423"/>
    </row>
    <row r="50916" s="101" customFormat="1" spans="6:6">
      <c r="F50916" s="2423"/>
    </row>
    <row r="50917" s="101" customFormat="1" spans="6:6">
      <c r="F50917" s="2423"/>
    </row>
    <row r="50918" s="101" customFormat="1" spans="6:6">
      <c r="F50918" s="2423"/>
    </row>
    <row r="50919" s="101" customFormat="1" spans="6:6">
      <c r="F50919" s="2423"/>
    </row>
    <row r="50920" s="101" customFormat="1" spans="6:6">
      <c r="F50920" s="2423"/>
    </row>
    <row r="50921" s="101" customFormat="1" spans="6:6">
      <c r="F50921" s="2423"/>
    </row>
    <row r="50922" s="101" customFormat="1" spans="6:6">
      <c r="F50922" s="2423"/>
    </row>
    <row r="50923" s="101" customFormat="1" spans="6:6">
      <c r="F50923" s="2423"/>
    </row>
    <row r="50924" s="101" customFormat="1" spans="6:6">
      <c r="F50924" s="2423"/>
    </row>
    <row r="50925" s="101" customFormat="1" spans="6:6">
      <c r="F50925" s="2423"/>
    </row>
    <row r="50926" s="101" customFormat="1" spans="6:6">
      <c r="F50926" s="2423"/>
    </row>
    <row r="50927" s="101" customFormat="1" spans="6:6">
      <c r="F50927" s="2423"/>
    </row>
    <row r="50928" s="101" customFormat="1" spans="6:6">
      <c r="F50928" s="2423"/>
    </row>
    <row r="50929" s="101" customFormat="1" spans="6:6">
      <c r="F50929" s="2423"/>
    </row>
    <row r="50930" s="101" customFormat="1" spans="6:6">
      <c r="F50930" s="2423"/>
    </row>
    <row r="50931" s="101" customFormat="1" spans="6:6">
      <c r="F50931" s="2423"/>
    </row>
    <row r="50932" s="101" customFormat="1" spans="6:6">
      <c r="F50932" s="2423"/>
    </row>
    <row r="50933" s="101" customFormat="1" spans="6:6">
      <c r="F50933" s="2423"/>
    </row>
    <row r="50934" s="101" customFormat="1" spans="6:6">
      <c r="F50934" s="2423"/>
    </row>
    <row r="50935" s="101" customFormat="1" spans="6:6">
      <c r="F50935" s="2423"/>
    </row>
    <row r="50936" s="101" customFormat="1" spans="6:6">
      <c r="F50936" s="2423"/>
    </row>
    <row r="50937" s="101" customFormat="1" spans="6:6">
      <c r="F50937" s="2423"/>
    </row>
    <row r="50938" s="101" customFormat="1" spans="6:6">
      <c r="F50938" s="2423"/>
    </row>
    <row r="50939" s="101" customFormat="1" spans="6:6">
      <c r="F50939" s="2423"/>
    </row>
    <row r="50940" s="101" customFormat="1" spans="6:6">
      <c r="F50940" s="2423"/>
    </row>
    <row r="50941" s="101" customFormat="1" spans="6:6">
      <c r="F50941" s="2423"/>
    </row>
    <row r="50942" s="101" customFormat="1" spans="6:6">
      <c r="F50942" s="2423"/>
    </row>
    <row r="50943" s="101" customFormat="1" spans="6:6">
      <c r="F50943" s="2423"/>
    </row>
    <row r="50944" s="101" customFormat="1" spans="6:6">
      <c r="F50944" s="2423"/>
    </row>
    <row r="50945" s="101" customFormat="1" spans="6:6">
      <c r="F50945" s="2423"/>
    </row>
    <row r="50946" s="101" customFormat="1" spans="6:6">
      <c r="F50946" s="2423"/>
    </row>
    <row r="50947" s="101" customFormat="1" spans="6:6">
      <c r="F50947" s="2423"/>
    </row>
    <row r="50948" s="101" customFormat="1" spans="6:6">
      <c r="F50948" s="2423"/>
    </row>
    <row r="50949" s="101" customFormat="1" spans="6:6">
      <c r="F50949" s="2423"/>
    </row>
    <row r="50950" s="101" customFormat="1" spans="6:6">
      <c r="F50950" s="2423"/>
    </row>
    <row r="50951" s="101" customFormat="1" spans="6:6">
      <c r="F50951" s="2423"/>
    </row>
    <row r="50952" s="101" customFormat="1" spans="6:6">
      <c r="F50952" s="2423"/>
    </row>
    <row r="50953" s="101" customFormat="1" spans="6:6">
      <c r="F50953" s="2423"/>
    </row>
    <row r="50954" s="101" customFormat="1" spans="6:6">
      <c r="F50954" s="2423"/>
    </row>
    <row r="50955" s="101" customFormat="1" spans="6:6">
      <c r="F50955" s="2423"/>
    </row>
    <row r="50956" s="101" customFormat="1" spans="6:6">
      <c r="F50956" s="2423"/>
    </row>
    <row r="50957" s="101" customFormat="1" spans="6:6">
      <c r="F50957" s="2423"/>
    </row>
    <row r="50958" s="101" customFormat="1" spans="6:6">
      <c r="F50958" s="2423"/>
    </row>
    <row r="50959" s="101" customFormat="1" spans="6:6">
      <c r="F50959" s="2423"/>
    </row>
    <row r="50960" s="101" customFormat="1" spans="6:6">
      <c r="F50960" s="2423"/>
    </row>
    <row r="50961" s="101" customFormat="1" spans="6:6">
      <c r="F50961" s="2423"/>
    </row>
    <row r="50962" s="101" customFormat="1" spans="6:6">
      <c r="F50962" s="2423"/>
    </row>
    <row r="50963" s="101" customFormat="1" spans="6:6">
      <c r="F50963" s="2423"/>
    </row>
    <row r="50964" s="101" customFormat="1" spans="6:6">
      <c r="F50964" s="2423"/>
    </row>
    <row r="50965" s="101" customFormat="1" spans="6:6">
      <c r="F50965" s="2423"/>
    </row>
    <row r="50966" s="101" customFormat="1" spans="6:6">
      <c r="F50966" s="2423"/>
    </row>
    <row r="50967" s="101" customFormat="1" spans="6:6">
      <c r="F50967" s="2423"/>
    </row>
    <row r="50968" s="101" customFormat="1" spans="6:6">
      <c r="F50968" s="2423"/>
    </row>
    <row r="50969" s="101" customFormat="1" spans="6:6">
      <c r="F50969" s="2423"/>
    </row>
    <row r="50970" s="101" customFormat="1" spans="6:6">
      <c r="F50970" s="2423"/>
    </row>
    <row r="50971" s="101" customFormat="1" spans="6:6">
      <c r="F50971" s="2423"/>
    </row>
    <row r="50972" s="101" customFormat="1" spans="6:6">
      <c r="F50972" s="2423"/>
    </row>
    <row r="50973" s="101" customFormat="1" spans="6:6">
      <c r="F50973" s="2423"/>
    </row>
    <row r="50974" s="101" customFormat="1" spans="6:6">
      <c r="F50974" s="2423"/>
    </row>
    <row r="50975" s="101" customFormat="1" spans="6:6">
      <c r="F50975" s="2423"/>
    </row>
    <row r="50976" s="101" customFormat="1" spans="6:6">
      <c r="F50976" s="2423"/>
    </row>
    <row r="50977" s="101" customFormat="1" spans="6:6">
      <c r="F50977" s="2423"/>
    </row>
    <row r="50978" s="101" customFormat="1" spans="6:6">
      <c r="F50978" s="2423"/>
    </row>
    <row r="50979" s="101" customFormat="1" spans="6:6">
      <c r="F50979" s="2423"/>
    </row>
    <row r="50980" s="101" customFormat="1" spans="6:6">
      <c r="F50980" s="2423"/>
    </row>
    <row r="50981" s="101" customFormat="1" spans="6:6">
      <c r="F50981" s="2423"/>
    </row>
    <row r="50982" s="101" customFormat="1" spans="6:6">
      <c r="F50982" s="2423"/>
    </row>
    <row r="50983" s="101" customFormat="1" spans="6:6">
      <c r="F50983" s="2423"/>
    </row>
    <row r="50984" s="101" customFormat="1" spans="6:6">
      <c r="F50984" s="2423"/>
    </row>
    <row r="50985" s="101" customFormat="1" spans="6:6">
      <c r="F50985" s="2423"/>
    </row>
    <row r="50986" s="101" customFormat="1" spans="6:6">
      <c r="F50986" s="2423"/>
    </row>
    <row r="50987" s="101" customFormat="1" spans="6:6">
      <c r="F50987" s="2423"/>
    </row>
    <row r="50988" s="101" customFormat="1" spans="6:6">
      <c r="F50988" s="2423"/>
    </row>
    <row r="50989" s="101" customFormat="1" spans="6:6">
      <c r="F50989" s="2423"/>
    </row>
    <row r="50990" s="101" customFormat="1" spans="6:6">
      <c r="F50990" s="2423"/>
    </row>
    <row r="50991" s="101" customFormat="1" spans="6:6">
      <c r="F50991" s="2423"/>
    </row>
    <row r="50992" s="101" customFormat="1" spans="6:6">
      <c r="F50992" s="2423"/>
    </row>
    <row r="50993" s="101" customFormat="1" spans="6:6">
      <c r="F50993" s="2423"/>
    </row>
    <row r="50994" s="101" customFormat="1" spans="6:6">
      <c r="F50994" s="2423"/>
    </row>
    <row r="50995" s="101" customFormat="1" spans="6:6">
      <c r="F50995" s="2423"/>
    </row>
    <row r="50996" s="101" customFormat="1" spans="6:6">
      <c r="F50996" s="2423"/>
    </row>
    <row r="50997" s="101" customFormat="1" spans="6:6">
      <c r="F50997" s="2423"/>
    </row>
    <row r="50998" s="101" customFormat="1" spans="6:6">
      <c r="F50998" s="2423"/>
    </row>
    <row r="50999" s="101" customFormat="1" spans="6:6">
      <c r="F50999" s="2423"/>
    </row>
    <row r="51000" s="101" customFormat="1" spans="6:6">
      <c r="F51000" s="2423"/>
    </row>
    <row r="51001" s="101" customFormat="1" spans="6:6">
      <c r="F51001" s="2423"/>
    </row>
    <row r="51002" s="101" customFormat="1" spans="6:6">
      <c r="F51002" s="2423"/>
    </row>
    <row r="51003" s="101" customFormat="1" spans="6:6">
      <c r="F51003" s="2423"/>
    </row>
    <row r="51004" s="101" customFormat="1" spans="6:6">
      <c r="F51004" s="2423"/>
    </row>
    <row r="51005" s="101" customFormat="1" spans="6:6">
      <c r="F51005" s="2423"/>
    </row>
    <row r="51006" s="101" customFormat="1" spans="6:6">
      <c r="F51006" s="2423"/>
    </row>
    <row r="51007" s="101" customFormat="1" spans="6:6">
      <c r="F51007" s="2423"/>
    </row>
    <row r="51008" s="101" customFormat="1" spans="6:6">
      <c r="F51008" s="2423"/>
    </row>
    <row r="51009" s="101" customFormat="1" spans="6:6">
      <c r="F51009" s="2423"/>
    </row>
    <row r="51010" s="101" customFormat="1" spans="6:6">
      <c r="F51010" s="2423"/>
    </row>
    <row r="51011" s="101" customFormat="1" spans="6:6">
      <c r="F51011" s="2423"/>
    </row>
    <row r="51012" s="101" customFormat="1" spans="6:6">
      <c r="F51012" s="2423"/>
    </row>
    <row r="51013" s="101" customFormat="1" spans="6:6">
      <c r="F51013" s="2423"/>
    </row>
    <row r="51014" s="101" customFormat="1" spans="6:6">
      <c r="F51014" s="2423"/>
    </row>
    <row r="51015" s="101" customFormat="1" spans="6:6">
      <c r="F51015" s="2423"/>
    </row>
    <row r="51016" s="101" customFormat="1" spans="6:6">
      <c r="F51016" s="2423"/>
    </row>
    <row r="51017" s="101" customFormat="1" spans="6:6">
      <c r="F51017" s="2423"/>
    </row>
    <row r="51018" s="101" customFormat="1" spans="6:6">
      <c r="F51018" s="2423"/>
    </row>
    <row r="51019" s="101" customFormat="1" spans="6:6">
      <c r="F51019" s="2423"/>
    </row>
    <row r="51020" s="101" customFormat="1" spans="6:6">
      <c r="F51020" s="2423"/>
    </row>
    <row r="51021" s="101" customFormat="1" spans="6:6">
      <c r="F51021" s="2423"/>
    </row>
    <row r="51022" s="101" customFormat="1" spans="6:6">
      <c r="F51022" s="2423"/>
    </row>
    <row r="51023" s="101" customFormat="1" spans="6:6">
      <c r="F51023" s="2423"/>
    </row>
    <row r="51024" s="101" customFormat="1" spans="6:6">
      <c r="F51024" s="2423"/>
    </row>
    <row r="51025" s="101" customFormat="1" spans="6:6">
      <c r="F51025" s="2423"/>
    </row>
    <row r="51026" s="101" customFormat="1" spans="6:6">
      <c r="F51026" s="2423"/>
    </row>
    <row r="51027" s="101" customFormat="1" spans="6:6">
      <c r="F51027" s="2423"/>
    </row>
    <row r="51028" s="101" customFormat="1" spans="6:6">
      <c r="F51028" s="2423"/>
    </row>
    <row r="51029" s="101" customFormat="1" spans="6:6">
      <c r="F51029" s="2423"/>
    </row>
    <row r="51030" s="101" customFormat="1" spans="6:6">
      <c r="F51030" s="2423"/>
    </row>
    <row r="51031" s="101" customFormat="1" spans="6:6">
      <c r="F51031" s="2423"/>
    </row>
    <row r="51032" s="101" customFormat="1" spans="6:6">
      <c r="F51032" s="2423"/>
    </row>
    <row r="51033" s="101" customFormat="1" spans="6:6">
      <c r="F51033" s="2423"/>
    </row>
    <row r="51034" s="101" customFormat="1" spans="6:6">
      <c r="F51034" s="2423"/>
    </row>
    <row r="51035" s="101" customFormat="1" spans="6:6">
      <c r="F51035" s="2423"/>
    </row>
    <row r="51036" s="101" customFormat="1" spans="6:6">
      <c r="F51036" s="2423"/>
    </row>
    <row r="51037" s="101" customFormat="1" spans="6:6">
      <c r="F51037" s="2423"/>
    </row>
    <row r="51038" s="101" customFormat="1" spans="6:6">
      <c r="F51038" s="2423"/>
    </row>
    <row r="51039" s="101" customFormat="1" spans="6:6">
      <c r="F51039" s="2423"/>
    </row>
    <row r="51040" s="101" customFormat="1" spans="6:6">
      <c r="F51040" s="2423"/>
    </row>
    <row r="51041" s="101" customFormat="1" spans="6:6">
      <c r="F51041" s="2423"/>
    </row>
    <row r="51042" s="101" customFormat="1" spans="6:6">
      <c r="F51042" s="2423"/>
    </row>
    <row r="51043" s="101" customFormat="1" spans="6:6">
      <c r="F51043" s="2423"/>
    </row>
    <row r="51044" s="101" customFormat="1" spans="6:6">
      <c r="F51044" s="2423"/>
    </row>
    <row r="51045" s="101" customFormat="1" spans="6:6">
      <c r="F51045" s="2423"/>
    </row>
    <row r="51046" s="101" customFormat="1" spans="6:6">
      <c r="F51046" s="2423"/>
    </row>
    <row r="51047" s="101" customFormat="1" spans="6:6">
      <c r="F51047" s="2423"/>
    </row>
    <row r="51048" s="101" customFormat="1" spans="6:6">
      <c r="F51048" s="2423"/>
    </row>
    <row r="51049" s="101" customFormat="1" spans="6:6">
      <c r="F51049" s="2423"/>
    </row>
    <row r="51050" s="101" customFormat="1" spans="6:6">
      <c r="F51050" s="2423"/>
    </row>
    <row r="51051" s="101" customFormat="1" spans="6:6">
      <c r="F51051" s="2423"/>
    </row>
    <row r="51052" s="101" customFormat="1" spans="6:6">
      <c r="F51052" s="2423"/>
    </row>
    <row r="51053" s="101" customFormat="1" spans="6:6">
      <c r="F51053" s="2423"/>
    </row>
    <row r="51054" s="101" customFormat="1" spans="6:6">
      <c r="F51054" s="2423"/>
    </row>
    <row r="51055" s="101" customFormat="1" spans="6:6">
      <c r="F51055" s="2423"/>
    </row>
    <row r="51056" s="101" customFormat="1" spans="6:6">
      <c r="F51056" s="2423"/>
    </row>
    <row r="51057" s="101" customFormat="1" spans="6:6">
      <c r="F51057" s="2423"/>
    </row>
    <row r="51058" s="101" customFormat="1" spans="6:6">
      <c r="F51058" s="2423"/>
    </row>
    <row r="51059" s="101" customFormat="1" spans="6:6">
      <c r="F51059" s="2423"/>
    </row>
    <row r="51060" s="101" customFormat="1" spans="6:6">
      <c r="F51060" s="2423"/>
    </row>
    <row r="51061" s="101" customFormat="1" spans="6:6">
      <c r="F51061" s="2423"/>
    </row>
    <row r="51062" s="101" customFormat="1" spans="6:6">
      <c r="F51062" s="2423"/>
    </row>
    <row r="51063" s="101" customFormat="1" spans="6:6">
      <c r="F51063" s="2423"/>
    </row>
    <row r="51064" s="101" customFormat="1" spans="6:6">
      <c r="F51064" s="2423"/>
    </row>
    <row r="51065" s="101" customFormat="1" spans="6:6">
      <c r="F51065" s="2423"/>
    </row>
    <row r="51066" s="101" customFormat="1" spans="6:6">
      <c r="F51066" s="2423"/>
    </row>
    <row r="51067" s="101" customFormat="1" spans="6:6">
      <c r="F51067" s="2423"/>
    </row>
    <row r="51068" s="101" customFormat="1" spans="6:6">
      <c r="F51068" s="2423"/>
    </row>
    <row r="51069" s="101" customFormat="1" spans="6:6">
      <c r="F51069" s="2423"/>
    </row>
    <row r="51070" s="101" customFormat="1" spans="6:6">
      <c r="F51070" s="2423"/>
    </row>
    <row r="51071" s="101" customFormat="1" spans="6:6">
      <c r="F51071" s="2423"/>
    </row>
    <row r="51072" s="101" customFormat="1" spans="6:6">
      <c r="F51072" s="2423"/>
    </row>
    <row r="51073" s="101" customFormat="1" spans="6:6">
      <c r="F51073" s="2423"/>
    </row>
    <row r="51074" s="101" customFormat="1" spans="6:6">
      <c r="F51074" s="2423"/>
    </row>
    <row r="51075" s="101" customFormat="1" spans="6:6">
      <c r="F51075" s="2423"/>
    </row>
    <row r="51076" s="101" customFormat="1" spans="6:6">
      <c r="F51076" s="2423"/>
    </row>
    <row r="51077" s="101" customFormat="1" spans="6:6">
      <c r="F51077" s="2423"/>
    </row>
    <row r="51078" s="101" customFormat="1" spans="6:6">
      <c r="F51078" s="2423"/>
    </row>
    <row r="51079" s="101" customFormat="1" spans="6:6">
      <c r="F51079" s="2423"/>
    </row>
    <row r="51080" s="101" customFormat="1" spans="6:6">
      <c r="F51080" s="2423"/>
    </row>
    <row r="51081" s="101" customFormat="1" spans="6:6">
      <c r="F51081" s="2423"/>
    </row>
    <row r="51082" s="101" customFormat="1" spans="6:6">
      <c r="F51082" s="2423"/>
    </row>
    <row r="51083" s="101" customFormat="1" spans="6:6">
      <c r="F51083" s="2423"/>
    </row>
    <row r="51084" s="101" customFormat="1" spans="6:6">
      <c r="F51084" s="2423"/>
    </row>
    <row r="51085" s="101" customFormat="1" spans="6:6">
      <c r="F51085" s="2423"/>
    </row>
    <row r="51086" s="101" customFormat="1" spans="6:6">
      <c r="F51086" s="2423"/>
    </row>
    <row r="51087" s="101" customFormat="1" spans="6:6">
      <c r="F51087" s="2423"/>
    </row>
    <row r="51088" s="101" customFormat="1" spans="6:6">
      <c r="F51088" s="2423"/>
    </row>
    <row r="51089" s="101" customFormat="1" spans="6:6">
      <c r="F51089" s="2423"/>
    </row>
    <row r="51090" s="101" customFormat="1" spans="6:6">
      <c r="F51090" s="2423"/>
    </row>
    <row r="51091" s="101" customFormat="1" spans="6:6">
      <c r="F51091" s="2423"/>
    </row>
    <row r="51092" s="101" customFormat="1" spans="6:6">
      <c r="F51092" s="2423"/>
    </row>
    <row r="51093" s="101" customFormat="1" spans="6:6">
      <c r="F51093" s="2423"/>
    </row>
    <row r="51094" s="101" customFormat="1" spans="6:6">
      <c r="F51094" s="2423"/>
    </row>
    <row r="51095" s="101" customFormat="1" spans="6:6">
      <c r="F51095" s="2423"/>
    </row>
    <row r="51096" s="101" customFormat="1" spans="6:6">
      <c r="F51096" s="2423"/>
    </row>
    <row r="51097" s="101" customFormat="1" spans="6:6">
      <c r="F51097" s="2423"/>
    </row>
    <row r="51098" s="101" customFormat="1" spans="6:6">
      <c r="F51098" s="2423"/>
    </row>
    <row r="51099" s="101" customFormat="1" spans="6:6">
      <c r="F51099" s="2423"/>
    </row>
    <row r="51100" s="101" customFormat="1" spans="6:6">
      <c r="F51100" s="2423"/>
    </row>
    <row r="51101" s="101" customFormat="1" spans="6:6">
      <c r="F51101" s="2423"/>
    </row>
    <row r="51102" s="101" customFormat="1" spans="6:6">
      <c r="F51102" s="2423"/>
    </row>
    <row r="51103" s="101" customFormat="1" spans="6:6">
      <c r="F51103" s="2423"/>
    </row>
    <row r="51104" s="101" customFormat="1" spans="6:6">
      <c r="F51104" s="2423"/>
    </row>
    <row r="51105" s="101" customFormat="1" spans="6:6">
      <c r="F51105" s="2423"/>
    </row>
    <row r="51106" s="101" customFormat="1" spans="6:6">
      <c r="F51106" s="2423"/>
    </row>
    <row r="51107" s="101" customFormat="1" spans="6:6">
      <c r="F51107" s="2423"/>
    </row>
    <row r="51108" s="101" customFormat="1" spans="6:6">
      <c r="F51108" s="2423"/>
    </row>
    <row r="51109" s="101" customFormat="1" spans="6:6">
      <c r="F51109" s="2423"/>
    </row>
    <row r="51110" s="101" customFormat="1" spans="6:6">
      <c r="F51110" s="2423"/>
    </row>
    <row r="51111" s="101" customFormat="1" spans="6:6">
      <c r="F51111" s="2423"/>
    </row>
    <row r="51112" s="101" customFormat="1" spans="6:6">
      <c r="F51112" s="2423"/>
    </row>
    <row r="51113" s="101" customFormat="1" spans="6:6">
      <c r="F51113" s="2423"/>
    </row>
    <row r="51114" s="101" customFormat="1" spans="6:6">
      <c r="F51114" s="2423"/>
    </row>
    <row r="51115" s="101" customFormat="1" spans="6:6">
      <c r="F51115" s="2423"/>
    </row>
    <row r="51116" s="101" customFormat="1" spans="6:6">
      <c r="F51116" s="2423"/>
    </row>
    <row r="51117" s="101" customFormat="1" spans="6:6">
      <c r="F51117" s="2423"/>
    </row>
    <row r="51118" s="101" customFormat="1" spans="6:6">
      <c r="F51118" s="2423"/>
    </row>
    <row r="51119" s="101" customFormat="1" spans="6:6">
      <c r="F51119" s="2423"/>
    </row>
    <row r="51120" s="101" customFormat="1" spans="6:6">
      <c r="F51120" s="2423"/>
    </row>
    <row r="51121" s="101" customFormat="1" spans="6:6">
      <c r="F51121" s="2423"/>
    </row>
    <row r="51122" s="101" customFormat="1" spans="6:6">
      <c r="F51122" s="2423"/>
    </row>
    <row r="51123" s="101" customFormat="1" spans="6:6">
      <c r="F51123" s="2423"/>
    </row>
    <row r="51124" s="101" customFormat="1" spans="6:6">
      <c r="F51124" s="2423"/>
    </row>
    <row r="51125" s="101" customFormat="1" spans="6:6">
      <c r="F51125" s="2423"/>
    </row>
    <row r="51126" s="101" customFormat="1" spans="6:6">
      <c r="F51126" s="2423"/>
    </row>
    <row r="51127" s="101" customFormat="1" spans="6:6">
      <c r="F51127" s="2423"/>
    </row>
    <row r="51128" s="101" customFormat="1" spans="6:6">
      <c r="F51128" s="2423"/>
    </row>
    <row r="51129" s="101" customFormat="1" spans="6:6">
      <c r="F51129" s="2423"/>
    </row>
    <row r="51130" s="101" customFormat="1" spans="6:6">
      <c r="F51130" s="2423"/>
    </row>
    <row r="51131" s="101" customFormat="1" spans="6:6">
      <c r="F51131" s="2423"/>
    </row>
    <row r="51132" s="101" customFormat="1" spans="6:6">
      <c r="F51132" s="2423"/>
    </row>
    <row r="51133" s="101" customFormat="1" spans="6:6">
      <c r="F51133" s="2423"/>
    </row>
    <row r="51134" s="101" customFormat="1" spans="6:6">
      <c r="F51134" s="2423"/>
    </row>
    <row r="51135" s="101" customFormat="1" spans="6:6">
      <c r="F51135" s="2423"/>
    </row>
    <row r="51136" s="101" customFormat="1" spans="6:6">
      <c r="F51136" s="2423"/>
    </row>
    <row r="51137" s="101" customFormat="1" spans="6:6">
      <c r="F51137" s="2423"/>
    </row>
    <row r="51138" s="101" customFormat="1" spans="6:6">
      <c r="F51138" s="2423"/>
    </row>
    <row r="51139" s="101" customFormat="1" spans="6:6">
      <c r="F51139" s="2423"/>
    </row>
    <row r="51140" s="101" customFormat="1" spans="6:6">
      <c r="F51140" s="2423"/>
    </row>
    <row r="51141" s="101" customFormat="1" spans="6:6">
      <c r="F51141" s="2423"/>
    </row>
    <row r="51142" s="101" customFormat="1" spans="6:6">
      <c r="F51142" s="2423"/>
    </row>
    <row r="51143" s="101" customFormat="1" spans="6:6">
      <c r="F51143" s="2423"/>
    </row>
    <row r="51144" s="101" customFormat="1" spans="6:6">
      <c r="F51144" s="2423"/>
    </row>
    <row r="51145" s="101" customFormat="1" spans="6:6">
      <c r="F51145" s="2423"/>
    </row>
    <row r="51146" s="101" customFormat="1" spans="6:6">
      <c r="F51146" s="2423"/>
    </row>
    <row r="51147" s="101" customFormat="1" spans="6:6">
      <c r="F51147" s="2423"/>
    </row>
    <row r="51148" s="101" customFormat="1" spans="6:6">
      <c r="F51148" s="2423"/>
    </row>
    <row r="51149" s="101" customFormat="1" spans="6:6">
      <c r="F51149" s="2423"/>
    </row>
    <row r="51150" s="101" customFormat="1" spans="6:6">
      <c r="F51150" s="2423"/>
    </row>
    <row r="51151" s="101" customFormat="1" spans="6:6">
      <c r="F51151" s="2423"/>
    </row>
    <row r="51152" s="101" customFormat="1" spans="6:6">
      <c r="F51152" s="2423"/>
    </row>
    <row r="51153" s="101" customFormat="1" spans="6:6">
      <c r="F51153" s="2423"/>
    </row>
    <row r="51154" s="101" customFormat="1" spans="6:6">
      <c r="F51154" s="2423"/>
    </row>
    <row r="51155" s="101" customFormat="1" spans="6:6">
      <c r="F51155" s="2423"/>
    </row>
    <row r="51156" s="101" customFormat="1" spans="6:6">
      <c r="F51156" s="2423"/>
    </row>
    <row r="51157" s="101" customFormat="1" spans="6:6">
      <c r="F51157" s="2423"/>
    </row>
    <row r="51158" s="101" customFormat="1" spans="6:6">
      <c r="F51158" s="2423"/>
    </row>
    <row r="51159" s="101" customFormat="1" spans="6:6">
      <c r="F51159" s="2423"/>
    </row>
    <row r="51160" s="101" customFormat="1" spans="6:6">
      <c r="F51160" s="2423"/>
    </row>
    <row r="51161" s="101" customFormat="1" spans="6:6">
      <c r="F51161" s="2423"/>
    </row>
    <row r="51162" s="101" customFormat="1" spans="6:6">
      <c r="F51162" s="2423"/>
    </row>
    <row r="51163" s="101" customFormat="1" spans="6:6">
      <c r="F51163" s="2423"/>
    </row>
    <row r="51164" s="101" customFormat="1" spans="6:6">
      <c r="F51164" s="2423"/>
    </row>
    <row r="51165" s="101" customFormat="1" spans="6:6">
      <c r="F51165" s="2423"/>
    </row>
    <row r="51166" s="101" customFormat="1" spans="6:6">
      <c r="F51166" s="2423"/>
    </row>
    <row r="51167" s="101" customFormat="1" spans="6:6">
      <c r="F51167" s="2423"/>
    </row>
    <row r="51168" s="101" customFormat="1" spans="6:6">
      <c r="F51168" s="2423"/>
    </row>
    <row r="51169" s="101" customFormat="1" spans="6:6">
      <c r="F51169" s="2423"/>
    </row>
    <row r="51170" s="101" customFormat="1" spans="6:6">
      <c r="F51170" s="2423"/>
    </row>
    <row r="51171" s="101" customFormat="1" spans="6:6">
      <c r="F51171" s="2423"/>
    </row>
    <row r="51172" s="101" customFormat="1" spans="6:6">
      <c r="F51172" s="2423"/>
    </row>
    <row r="51173" s="101" customFormat="1" spans="6:6">
      <c r="F51173" s="2423"/>
    </row>
    <row r="51174" s="101" customFormat="1" spans="6:6">
      <c r="F51174" s="2423"/>
    </row>
    <row r="51175" s="101" customFormat="1" spans="6:6">
      <c r="F51175" s="2423"/>
    </row>
    <row r="51176" s="101" customFormat="1" spans="6:6">
      <c r="F51176" s="2423"/>
    </row>
    <row r="51177" s="101" customFormat="1" spans="6:6">
      <c r="F51177" s="2423"/>
    </row>
    <row r="51178" s="101" customFormat="1" spans="6:6">
      <c r="F51178" s="2423"/>
    </row>
    <row r="51179" s="101" customFormat="1" spans="6:6">
      <c r="F51179" s="2423"/>
    </row>
    <row r="51180" s="101" customFormat="1" spans="6:6">
      <c r="F51180" s="2423"/>
    </row>
    <row r="51181" s="101" customFormat="1" spans="6:6">
      <c r="F51181" s="2423"/>
    </row>
    <row r="51182" s="101" customFormat="1" spans="6:6">
      <c r="F51182" s="2423"/>
    </row>
    <row r="51183" s="101" customFormat="1" spans="6:6">
      <c r="F51183" s="2423"/>
    </row>
    <row r="51184" s="101" customFormat="1" spans="6:6">
      <c r="F51184" s="2423"/>
    </row>
    <row r="51185" s="101" customFormat="1" spans="6:6">
      <c r="F51185" s="2423"/>
    </row>
    <row r="51186" s="101" customFormat="1" spans="6:6">
      <c r="F51186" s="2423"/>
    </row>
    <row r="51187" s="101" customFormat="1" spans="6:6">
      <c r="F51187" s="2423"/>
    </row>
    <row r="51188" s="101" customFormat="1" spans="6:6">
      <c r="F51188" s="2423"/>
    </row>
    <row r="51189" s="101" customFormat="1" spans="6:6">
      <c r="F51189" s="2423"/>
    </row>
    <row r="51190" s="101" customFormat="1" spans="6:6">
      <c r="F51190" s="2423"/>
    </row>
    <row r="51191" s="101" customFormat="1" spans="6:6">
      <c r="F51191" s="2423"/>
    </row>
    <row r="51192" s="101" customFormat="1" spans="6:6">
      <c r="F51192" s="2423"/>
    </row>
    <row r="51193" s="101" customFormat="1" spans="6:6">
      <c r="F51193" s="2423"/>
    </row>
    <row r="51194" s="101" customFormat="1" spans="6:6">
      <c r="F51194" s="2423"/>
    </row>
    <row r="51195" s="101" customFormat="1" spans="6:6">
      <c r="F51195" s="2423"/>
    </row>
    <row r="51196" s="101" customFormat="1" spans="6:6">
      <c r="F51196" s="2423"/>
    </row>
    <row r="51197" s="101" customFormat="1" spans="6:6">
      <c r="F51197" s="2423"/>
    </row>
    <row r="51198" s="101" customFormat="1" spans="6:6">
      <c r="F51198" s="2423"/>
    </row>
    <row r="51199" s="101" customFormat="1" spans="6:6">
      <c r="F51199" s="2423"/>
    </row>
    <row r="51200" s="101" customFormat="1" spans="6:6">
      <c r="F51200" s="2423"/>
    </row>
    <row r="51201" s="101" customFormat="1" spans="6:6">
      <c r="F51201" s="2423"/>
    </row>
    <row r="51202" s="101" customFormat="1" spans="6:6">
      <c r="F51202" s="2423"/>
    </row>
    <row r="51203" s="101" customFormat="1" spans="6:6">
      <c r="F51203" s="2423"/>
    </row>
    <row r="51204" s="101" customFormat="1" spans="6:6">
      <c r="F51204" s="2423"/>
    </row>
    <row r="51205" s="101" customFormat="1" spans="6:6">
      <c r="F51205" s="2423"/>
    </row>
    <row r="51206" s="101" customFormat="1" spans="6:6">
      <c r="F51206" s="2423"/>
    </row>
    <row r="51207" s="101" customFormat="1" spans="6:6">
      <c r="F51207" s="2423"/>
    </row>
    <row r="51208" s="101" customFormat="1" spans="6:6">
      <c r="F51208" s="2423"/>
    </row>
    <row r="51209" s="101" customFormat="1" spans="6:6">
      <c r="F51209" s="2423"/>
    </row>
    <row r="51210" s="101" customFormat="1" spans="6:6">
      <c r="F51210" s="2423"/>
    </row>
    <row r="51211" s="101" customFormat="1" spans="6:6">
      <c r="F51211" s="2423"/>
    </row>
    <row r="51212" s="101" customFormat="1" spans="6:6">
      <c r="F51212" s="2423"/>
    </row>
    <row r="51213" s="101" customFormat="1" spans="6:6">
      <c r="F51213" s="2423"/>
    </row>
    <row r="51214" s="101" customFormat="1" spans="6:6">
      <c r="F51214" s="2423"/>
    </row>
    <row r="51215" s="101" customFormat="1" spans="6:6">
      <c r="F51215" s="2423"/>
    </row>
    <row r="51216" s="101" customFormat="1" spans="6:6">
      <c r="F51216" s="2423"/>
    </row>
    <row r="51217" s="101" customFormat="1" spans="6:6">
      <c r="F51217" s="2423"/>
    </row>
    <row r="51218" s="101" customFormat="1" spans="6:6">
      <c r="F51218" s="2423"/>
    </row>
    <row r="51219" s="101" customFormat="1" spans="6:6">
      <c r="F51219" s="2423"/>
    </row>
    <row r="51220" s="101" customFormat="1" spans="6:6">
      <c r="F51220" s="2423"/>
    </row>
    <row r="51221" s="101" customFormat="1" spans="6:6">
      <c r="F51221" s="2423"/>
    </row>
    <row r="51222" s="101" customFormat="1" spans="6:6">
      <c r="F51222" s="2423"/>
    </row>
    <row r="51223" s="101" customFormat="1" spans="6:6">
      <c r="F51223" s="2423"/>
    </row>
    <row r="51224" s="101" customFormat="1" spans="6:6">
      <c r="F51224" s="2423"/>
    </row>
    <row r="51225" s="101" customFormat="1" spans="6:6">
      <c r="F51225" s="2423"/>
    </row>
    <row r="51226" s="101" customFormat="1" spans="6:6">
      <c r="F51226" s="2423"/>
    </row>
    <row r="51227" s="101" customFormat="1" spans="6:6">
      <c r="F51227" s="2423"/>
    </row>
    <row r="51228" s="101" customFormat="1" spans="6:6">
      <c r="F51228" s="2423"/>
    </row>
    <row r="51229" s="101" customFormat="1" spans="6:6">
      <c r="F51229" s="2423"/>
    </row>
    <row r="51230" s="101" customFormat="1" spans="6:6">
      <c r="F51230" s="2423"/>
    </row>
    <row r="51231" s="101" customFormat="1" spans="6:6">
      <c r="F51231" s="2423"/>
    </row>
    <row r="51232" s="101" customFormat="1" spans="6:6">
      <c r="F51232" s="2423"/>
    </row>
    <row r="51233" s="101" customFormat="1" spans="6:6">
      <c r="F51233" s="2423"/>
    </row>
    <row r="51234" s="101" customFormat="1" spans="6:6">
      <c r="F51234" s="2423"/>
    </row>
    <row r="51235" s="101" customFormat="1" spans="6:6">
      <c r="F51235" s="2423"/>
    </row>
    <row r="51236" s="101" customFormat="1" spans="6:6">
      <c r="F51236" s="2423"/>
    </row>
    <row r="51237" s="101" customFormat="1" spans="6:6">
      <c r="F51237" s="2423"/>
    </row>
    <row r="51238" s="101" customFormat="1" spans="6:6">
      <c r="F51238" s="2423"/>
    </row>
    <row r="51239" s="101" customFormat="1" spans="6:6">
      <c r="F51239" s="2423"/>
    </row>
    <row r="51240" s="101" customFormat="1" spans="6:6">
      <c r="F51240" s="2423"/>
    </row>
    <row r="51241" s="101" customFormat="1" spans="6:6">
      <c r="F51241" s="2423"/>
    </row>
    <row r="51242" s="101" customFormat="1" spans="6:6">
      <c r="F51242" s="2423"/>
    </row>
    <row r="51243" s="101" customFormat="1" spans="6:6">
      <c r="F51243" s="2423"/>
    </row>
    <row r="51244" s="101" customFormat="1" spans="6:6">
      <c r="F51244" s="2423"/>
    </row>
    <row r="51245" s="101" customFormat="1" spans="6:6">
      <c r="F51245" s="2423"/>
    </row>
    <row r="51246" s="101" customFormat="1" spans="6:6">
      <c r="F51246" s="2423"/>
    </row>
    <row r="51247" s="101" customFormat="1" spans="6:6">
      <c r="F51247" s="2423"/>
    </row>
    <row r="51248" s="101" customFormat="1" spans="6:6">
      <c r="F51248" s="2423"/>
    </row>
    <row r="51249" s="101" customFormat="1" spans="6:6">
      <c r="F51249" s="2423"/>
    </row>
    <row r="51250" s="101" customFormat="1" spans="6:6">
      <c r="F51250" s="2423"/>
    </row>
    <row r="51251" s="101" customFormat="1" spans="6:6">
      <c r="F51251" s="2423"/>
    </row>
    <row r="51252" s="101" customFormat="1" spans="6:6">
      <c r="F51252" s="2423"/>
    </row>
    <row r="51253" s="101" customFormat="1" spans="6:6">
      <c r="F51253" s="2423"/>
    </row>
    <row r="51254" s="101" customFormat="1" spans="6:6">
      <c r="F51254" s="2423"/>
    </row>
    <row r="51255" s="101" customFormat="1" spans="6:6">
      <c r="F51255" s="2423"/>
    </row>
    <row r="51256" s="101" customFormat="1" spans="6:6">
      <c r="F51256" s="2423"/>
    </row>
    <row r="51257" s="101" customFormat="1" spans="6:6">
      <c r="F51257" s="2423"/>
    </row>
    <row r="51258" s="101" customFormat="1" spans="6:6">
      <c r="F51258" s="2423"/>
    </row>
    <row r="51259" s="101" customFormat="1" spans="6:6">
      <c r="F51259" s="2423"/>
    </row>
    <row r="51260" s="101" customFormat="1" spans="6:6">
      <c r="F51260" s="2423"/>
    </row>
    <row r="51261" s="101" customFormat="1" spans="6:6">
      <c r="F51261" s="2423"/>
    </row>
    <row r="51262" s="101" customFormat="1" spans="6:6">
      <c r="F51262" s="2423"/>
    </row>
    <row r="51263" s="101" customFormat="1" spans="6:6">
      <c r="F51263" s="2423"/>
    </row>
    <row r="51264" s="101" customFormat="1" spans="6:6">
      <c r="F51264" s="2423"/>
    </row>
    <row r="51265" s="101" customFormat="1" spans="6:6">
      <c r="F51265" s="2423"/>
    </row>
    <row r="51266" s="101" customFormat="1" spans="6:6">
      <c r="F51266" s="2423"/>
    </row>
    <row r="51267" s="101" customFormat="1" spans="6:6">
      <c r="F51267" s="2423"/>
    </row>
    <row r="51268" s="101" customFormat="1" spans="6:6">
      <c r="F51268" s="2423"/>
    </row>
    <row r="51269" s="101" customFormat="1" spans="6:6">
      <c r="F51269" s="2423"/>
    </row>
    <row r="51270" s="101" customFormat="1" spans="6:6">
      <c r="F51270" s="2423"/>
    </row>
    <row r="51271" s="101" customFormat="1" spans="6:6">
      <c r="F51271" s="2423"/>
    </row>
    <row r="51272" s="101" customFormat="1" spans="6:6">
      <c r="F51272" s="2423"/>
    </row>
    <row r="51273" s="101" customFormat="1" spans="6:6">
      <c r="F51273" s="2423"/>
    </row>
    <row r="51274" s="101" customFormat="1" spans="6:6">
      <c r="F51274" s="2423"/>
    </row>
    <row r="51275" s="101" customFormat="1" spans="6:6">
      <c r="F51275" s="2423"/>
    </row>
    <row r="51276" s="101" customFormat="1" spans="6:6">
      <c r="F51276" s="2423"/>
    </row>
    <row r="51277" s="101" customFormat="1" spans="6:6">
      <c r="F51277" s="2423"/>
    </row>
    <row r="51278" s="101" customFormat="1" spans="6:6">
      <c r="F51278" s="2423"/>
    </row>
    <row r="51279" s="101" customFormat="1" spans="6:6">
      <c r="F51279" s="2423"/>
    </row>
    <row r="51280" s="101" customFormat="1" spans="6:6">
      <c r="F51280" s="2423"/>
    </row>
    <row r="51281" s="101" customFormat="1" spans="6:6">
      <c r="F51281" s="2423"/>
    </row>
    <row r="51282" s="101" customFormat="1" spans="6:6">
      <c r="F51282" s="2423"/>
    </row>
    <row r="51283" s="101" customFormat="1" spans="6:6">
      <c r="F51283" s="2423"/>
    </row>
    <row r="51284" s="101" customFormat="1" spans="6:6">
      <c r="F51284" s="2423"/>
    </row>
    <row r="51285" s="101" customFormat="1" spans="6:6">
      <c r="F51285" s="2423"/>
    </row>
    <row r="51286" s="101" customFormat="1" spans="6:6">
      <c r="F51286" s="2423"/>
    </row>
    <row r="51287" s="101" customFormat="1" spans="6:6">
      <c r="F51287" s="2423"/>
    </row>
    <row r="51288" s="101" customFormat="1" spans="6:6">
      <c r="F51288" s="2423"/>
    </row>
    <row r="51289" s="101" customFormat="1" spans="6:6">
      <c r="F51289" s="2423"/>
    </row>
    <row r="51290" s="101" customFormat="1" spans="6:6">
      <c r="F51290" s="2423"/>
    </row>
    <row r="51291" s="101" customFormat="1" spans="6:6">
      <c r="F51291" s="2423"/>
    </row>
    <row r="51292" s="101" customFormat="1" spans="6:6">
      <c r="F51292" s="2423"/>
    </row>
    <row r="51293" s="101" customFormat="1" spans="6:6">
      <c r="F51293" s="2423"/>
    </row>
    <row r="51294" s="101" customFormat="1" spans="6:6">
      <c r="F51294" s="2423"/>
    </row>
    <row r="51295" s="101" customFormat="1" spans="6:6">
      <c r="F51295" s="2423"/>
    </row>
    <row r="51296" s="101" customFormat="1" spans="6:6">
      <c r="F51296" s="2423"/>
    </row>
    <row r="51297" s="101" customFormat="1" spans="6:6">
      <c r="F51297" s="2423"/>
    </row>
    <row r="51298" s="101" customFormat="1" spans="6:6">
      <c r="F51298" s="2423"/>
    </row>
    <row r="51299" s="101" customFormat="1" spans="6:6">
      <c r="F51299" s="2423"/>
    </row>
    <row r="51300" s="101" customFormat="1" spans="6:6">
      <c r="F51300" s="2423"/>
    </row>
    <row r="51301" s="101" customFormat="1" spans="6:6">
      <c r="F51301" s="2423"/>
    </row>
    <row r="51302" s="101" customFormat="1" spans="6:6">
      <c r="F51302" s="2423"/>
    </row>
    <row r="51303" s="101" customFormat="1" spans="6:6">
      <c r="F51303" s="2423"/>
    </row>
    <row r="51304" s="101" customFormat="1" spans="6:6">
      <c r="F51304" s="2423"/>
    </row>
    <row r="51305" s="101" customFormat="1" spans="6:6">
      <c r="F51305" s="2423"/>
    </row>
    <row r="51306" s="101" customFormat="1" spans="6:6">
      <c r="F51306" s="2423"/>
    </row>
    <row r="51307" s="101" customFormat="1" spans="6:6">
      <c r="F51307" s="2423"/>
    </row>
    <row r="51308" s="101" customFormat="1" spans="6:6">
      <c r="F51308" s="2423"/>
    </row>
    <row r="51309" s="101" customFormat="1" spans="6:6">
      <c r="F51309" s="2423"/>
    </row>
    <row r="51310" s="101" customFormat="1" spans="6:6">
      <c r="F51310" s="2423"/>
    </row>
    <row r="51311" s="101" customFormat="1" spans="6:6">
      <c r="F51311" s="2423"/>
    </row>
    <row r="51312" s="101" customFormat="1" spans="6:6">
      <c r="F51312" s="2423"/>
    </row>
    <row r="51313" s="101" customFormat="1" spans="6:6">
      <c r="F51313" s="2423"/>
    </row>
    <row r="51314" s="101" customFormat="1" spans="6:6">
      <c r="F51314" s="2423"/>
    </row>
    <row r="51315" s="101" customFormat="1" spans="6:6">
      <c r="F51315" s="2423"/>
    </row>
    <row r="51316" s="101" customFormat="1" spans="6:6">
      <c r="F51316" s="2423"/>
    </row>
    <row r="51317" s="101" customFormat="1" spans="6:6">
      <c r="F51317" s="2423"/>
    </row>
    <row r="51318" s="101" customFormat="1" spans="6:6">
      <c r="F51318" s="2423"/>
    </row>
    <row r="51319" s="101" customFormat="1" spans="6:6">
      <c r="F51319" s="2423"/>
    </row>
    <row r="51320" s="101" customFormat="1" spans="6:6">
      <c r="F51320" s="2423"/>
    </row>
    <row r="51321" s="101" customFormat="1" spans="6:6">
      <c r="F51321" s="2423"/>
    </row>
    <row r="51322" s="101" customFormat="1" spans="6:6">
      <c r="F51322" s="2423"/>
    </row>
    <row r="51323" s="101" customFormat="1" spans="6:6">
      <c r="F51323" s="2423"/>
    </row>
    <row r="51324" s="101" customFormat="1" spans="6:6">
      <c r="F51324" s="2423"/>
    </row>
    <row r="51325" s="101" customFormat="1" spans="6:6">
      <c r="F51325" s="2423"/>
    </row>
    <row r="51326" s="101" customFormat="1" spans="6:6">
      <c r="F51326" s="2423"/>
    </row>
    <row r="51327" s="101" customFormat="1" spans="6:6">
      <c r="F51327" s="2423"/>
    </row>
    <row r="51328" s="101" customFormat="1" spans="6:6">
      <c r="F51328" s="2423"/>
    </row>
    <row r="51329" s="101" customFormat="1" spans="6:6">
      <c r="F51329" s="2423"/>
    </row>
    <row r="51330" s="101" customFormat="1" spans="6:6">
      <c r="F51330" s="2423"/>
    </row>
    <row r="51331" s="101" customFormat="1" spans="6:6">
      <c r="F51331" s="2423"/>
    </row>
    <row r="51332" s="101" customFormat="1" spans="6:6">
      <c r="F51332" s="2423"/>
    </row>
    <row r="51333" s="101" customFormat="1" spans="6:6">
      <c r="F51333" s="2423"/>
    </row>
    <row r="51334" s="101" customFormat="1" spans="6:6">
      <c r="F51334" s="2423"/>
    </row>
    <row r="51335" s="101" customFormat="1" spans="6:6">
      <c r="F51335" s="2423"/>
    </row>
    <row r="51336" s="101" customFormat="1" spans="6:6">
      <c r="F51336" s="2423"/>
    </row>
    <row r="51337" s="101" customFormat="1" spans="6:6">
      <c r="F51337" s="2423"/>
    </row>
    <row r="51338" s="101" customFormat="1" spans="6:6">
      <c r="F51338" s="2423"/>
    </row>
    <row r="51339" s="101" customFormat="1" spans="6:6">
      <c r="F51339" s="2423"/>
    </row>
    <row r="51340" s="101" customFormat="1" spans="6:6">
      <c r="F51340" s="2423"/>
    </row>
    <row r="51341" s="101" customFormat="1" spans="6:6">
      <c r="F51341" s="2423"/>
    </row>
    <row r="51342" s="101" customFormat="1" spans="6:6">
      <c r="F51342" s="2423"/>
    </row>
    <row r="51343" s="101" customFormat="1" spans="6:6">
      <c r="F51343" s="2423"/>
    </row>
    <row r="51344" s="101" customFormat="1" spans="6:6">
      <c r="F51344" s="2423"/>
    </row>
    <row r="51345" s="101" customFormat="1" spans="6:6">
      <c r="F51345" s="2423"/>
    </row>
    <row r="51346" s="101" customFormat="1" spans="6:6">
      <c r="F51346" s="2423"/>
    </row>
    <row r="51347" s="101" customFormat="1" spans="6:6">
      <c r="F51347" s="2423"/>
    </row>
    <row r="51348" s="101" customFormat="1" spans="6:6">
      <c r="F51348" s="2423"/>
    </row>
    <row r="51349" s="101" customFormat="1" spans="6:6">
      <c r="F51349" s="2423"/>
    </row>
    <row r="51350" s="101" customFormat="1" spans="6:6">
      <c r="F51350" s="2423"/>
    </row>
    <row r="51351" s="101" customFormat="1" spans="6:6">
      <c r="F51351" s="2423"/>
    </row>
    <row r="51352" s="101" customFormat="1" spans="6:6">
      <c r="F51352" s="2423"/>
    </row>
    <row r="51353" s="101" customFormat="1" spans="6:6">
      <c r="F51353" s="2423"/>
    </row>
    <row r="51354" s="101" customFormat="1" spans="6:6">
      <c r="F51354" s="2423"/>
    </row>
    <row r="51355" s="101" customFormat="1" spans="6:6">
      <c r="F51355" s="2423"/>
    </row>
    <row r="51356" s="101" customFormat="1" spans="6:6">
      <c r="F51356" s="2423"/>
    </row>
    <row r="51357" s="101" customFormat="1" spans="6:6">
      <c r="F51357" s="2423"/>
    </row>
    <row r="51358" s="101" customFormat="1" spans="6:6">
      <c r="F51358" s="2423"/>
    </row>
    <row r="51359" s="101" customFormat="1" spans="6:6">
      <c r="F51359" s="2423"/>
    </row>
    <row r="51360" s="101" customFormat="1" spans="6:6">
      <c r="F51360" s="2423"/>
    </row>
    <row r="51361" s="101" customFormat="1" spans="6:6">
      <c r="F51361" s="2423"/>
    </row>
    <row r="51362" s="101" customFormat="1" spans="6:6">
      <c r="F51362" s="2423"/>
    </row>
    <row r="51363" s="101" customFormat="1" spans="6:6">
      <c r="F51363" s="2423"/>
    </row>
    <row r="51364" s="101" customFormat="1" spans="6:6">
      <c r="F51364" s="2423"/>
    </row>
    <row r="51365" s="101" customFormat="1" spans="6:6">
      <c r="F51365" s="2423"/>
    </row>
    <row r="51366" s="101" customFormat="1" spans="6:6">
      <c r="F51366" s="2423"/>
    </row>
    <row r="51367" s="101" customFormat="1" spans="6:6">
      <c r="F51367" s="2423"/>
    </row>
    <row r="51368" s="101" customFormat="1" spans="6:6">
      <c r="F51368" s="2423"/>
    </row>
    <row r="51369" s="101" customFormat="1" spans="6:6">
      <c r="F51369" s="2423"/>
    </row>
    <row r="51370" s="101" customFormat="1" spans="6:6">
      <c r="F51370" s="2423"/>
    </row>
    <row r="51371" s="101" customFormat="1" spans="6:6">
      <c r="F51371" s="2423"/>
    </row>
    <row r="51372" s="101" customFormat="1" spans="6:6">
      <c r="F51372" s="2423"/>
    </row>
    <row r="51373" s="101" customFormat="1" spans="6:6">
      <c r="F51373" s="2423"/>
    </row>
    <row r="51374" s="101" customFormat="1" spans="6:6">
      <c r="F51374" s="2423"/>
    </row>
    <row r="51375" s="101" customFormat="1" spans="6:6">
      <c r="F51375" s="2423"/>
    </row>
    <row r="51376" s="101" customFormat="1" spans="6:6">
      <c r="F51376" s="2423"/>
    </row>
    <row r="51377" s="101" customFormat="1" spans="6:6">
      <c r="F51377" s="2423"/>
    </row>
    <row r="51378" s="101" customFormat="1" spans="6:6">
      <c r="F51378" s="2423"/>
    </row>
    <row r="51379" s="101" customFormat="1" spans="6:6">
      <c r="F51379" s="2423"/>
    </row>
    <row r="51380" s="101" customFormat="1" spans="6:6">
      <c r="F51380" s="2423"/>
    </row>
    <row r="51381" s="101" customFormat="1" spans="6:6">
      <c r="F51381" s="2423"/>
    </row>
    <row r="51382" s="101" customFormat="1" spans="6:6">
      <c r="F51382" s="2423"/>
    </row>
    <row r="51383" s="101" customFormat="1" spans="6:6">
      <c r="F51383" s="2423"/>
    </row>
    <row r="51384" s="101" customFormat="1" spans="6:6">
      <c r="F51384" s="2423"/>
    </row>
    <row r="51385" s="101" customFormat="1" spans="6:6">
      <c r="F51385" s="2423"/>
    </row>
    <row r="51386" s="101" customFormat="1" spans="6:6">
      <c r="F51386" s="2423"/>
    </row>
    <row r="51387" s="101" customFormat="1" spans="6:6">
      <c r="F51387" s="2423"/>
    </row>
    <row r="51388" s="101" customFormat="1" spans="6:6">
      <c r="F51388" s="2423"/>
    </row>
    <row r="51389" s="101" customFormat="1" spans="6:6">
      <c r="F51389" s="2423"/>
    </row>
    <row r="51390" s="101" customFormat="1" spans="6:6">
      <c r="F51390" s="2423"/>
    </row>
    <row r="51391" s="101" customFormat="1" spans="6:6">
      <c r="F51391" s="2423"/>
    </row>
    <row r="51392" s="101" customFormat="1" spans="6:6">
      <c r="F51392" s="2423"/>
    </row>
    <row r="51393" s="101" customFormat="1" spans="6:6">
      <c r="F51393" s="2423"/>
    </row>
    <row r="51394" s="101" customFormat="1" spans="6:6">
      <c r="F51394" s="2423"/>
    </row>
    <row r="51395" s="101" customFormat="1" spans="6:6">
      <c r="F51395" s="2423"/>
    </row>
    <row r="51396" s="101" customFormat="1" spans="6:6">
      <c r="F51396" s="2423"/>
    </row>
    <row r="51397" s="101" customFormat="1" spans="6:6">
      <c r="F51397" s="2423"/>
    </row>
    <row r="51398" s="101" customFormat="1" spans="6:6">
      <c r="F51398" s="2423"/>
    </row>
    <row r="51399" s="101" customFormat="1" spans="6:6">
      <c r="F51399" s="2423"/>
    </row>
    <row r="51400" s="101" customFormat="1" spans="6:6">
      <c r="F51400" s="2423"/>
    </row>
    <row r="51401" s="101" customFormat="1" spans="6:6">
      <c r="F51401" s="2423"/>
    </row>
    <row r="51402" s="101" customFormat="1" spans="6:6">
      <c r="F51402" s="2423"/>
    </row>
    <row r="51403" s="101" customFormat="1" spans="6:6">
      <c r="F51403" s="2423"/>
    </row>
    <row r="51404" s="101" customFormat="1" spans="6:6">
      <c r="F51404" s="2423"/>
    </row>
    <row r="51405" s="101" customFormat="1" spans="6:6">
      <c r="F51405" s="2423"/>
    </row>
    <row r="51406" s="101" customFormat="1" spans="6:6">
      <c r="F51406" s="2423"/>
    </row>
    <row r="51407" s="101" customFormat="1" spans="6:6">
      <c r="F51407" s="2423"/>
    </row>
    <row r="51408" s="101" customFormat="1" spans="6:6">
      <c r="F51408" s="2423"/>
    </row>
    <row r="51409" s="101" customFormat="1" spans="6:6">
      <c r="F51409" s="2423"/>
    </row>
    <row r="51410" s="101" customFormat="1" spans="6:6">
      <c r="F51410" s="2423"/>
    </row>
    <row r="51411" s="101" customFormat="1" spans="6:6">
      <c r="F51411" s="2423"/>
    </row>
    <row r="51412" s="101" customFormat="1" spans="6:6">
      <c r="F51412" s="2423"/>
    </row>
    <row r="51413" s="101" customFormat="1" spans="6:6">
      <c r="F51413" s="2423"/>
    </row>
    <row r="51414" s="101" customFormat="1" spans="6:6">
      <c r="F51414" s="2423"/>
    </row>
    <row r="51415" s="101" customFormat="1" spans="6:6">
      <c r="F51415" s="2423"/>
    </row>
    <row r="51416" s="101" customFormat="1" spans="6:6">
      <c r="F51416" s="2423"/>
    </row>
    <row r="51417" s="101" customFormat="1" spans="6:6">
      <c r="F51417" s="2423"/>
    </row>
    <row r="51418" s="101" customFormat="1" spans="6:6">
      <c r="F51418" s="2423"/>
    </row>
    <row r="51419" s="101" customFormat="1" spans="6:6">
      <c r="F51419" s="2423"/>
    </row>
    <row r="51420" s="101" customFormat="1" spans="6:6">
      <c r="F51420" s="2423"/>
    </row>
    <row r="51421" s="101" customFormat="1" spans="6:6">
      <c r="F51421" s="2423"/>
    </row>
    <row r="51422" s="101" customFormat="1" spans="6:6">
      <c r="F51422" s="2423"/>
    </row>
    <row r="51423" s="101" customFormat="1" spans="6:6">
      <c r="F51423" s="2423"/>
    </row>
    <row r="51424" s="101" customFormat="1" spans="6:6">
      <c r="F51424" s="2423"/>
    </row>
    <row r="51425" s="101" customFormat="1" spans="6:6">
      <c r="F51425" s="2423"/>
    </row>
    <row r="51426" s="101" customFormat="1" spans="6:6">
      <c r="F51426" s="2423"/>
    </row>
    <row r="51427" s="101" customFormat="1" spans="6:6">
      <c r="F51427" s="2423"/>
    </row>
    <row r="51428" s="101" customFormat="1" spans="6:6">
      <c r="F51428" s="2423"/>
    </row>
    <row r="51429" s="101" customFormat="1" spans="6:6">
      <c r="F51429" s="2423"/>
    </row>
    <row r="51430" s="101" customFormat="1" spans="6:6">
      <c r="F51430" s="2423"/>
    </row>
    <row r="51431" s="101" customFormat="1" spans="6:6">
      <c r="F51431" s="2423"/>
    </row>
    <row r="51432" s="101" customFormat="1" spans="6:6">
      <c r="F51432" s="2423"/>
    </row>
    <row r="51433" s="101" customFormat="1" spans="6:6">
      <c r="F51433" s="2423"/>
    </row>
    <row r="51434" s="101" customFormat="1" spans="6:6">
      <c r="F51434" s="2423"/>
    </row>
    <row r="51435" s="101" customFormat="1" spans="6:6">
      <c r="F51435" s="2423"/>
    </row>
    <row r="51436" s="101" customFormat="1" spans="6:6">
      <c r="F51436" s="2423"/>
    </row>
    <row r="51437" s="101" customFormat="1" spans="6:6">
      <c r="F51437" s="2423"/>
    </row>
    <row r="51438" s="101" customFormat="1" spans="6:6">
      <c r="F51438" s="2423"/>
    </row>
    <row r="51439" s="101" customFormat="1" spans="6:6">
      <c r="F51439" s="2423"/>
    </row>
    <row r="51440" s="101" customFormat="1" spans="6:6">
      <c r="F51440" s="2423"/>
    </row>
    <row r="51441" s="101" customFormat="1" spans="6:6">
      <c r="F51441" s="2423"/>
    </row>
    <row r="51442" s="101" customFormat="1" spans="6:6">
      <c r="F51442" s="2423"/>
    </row>
    <row r="51443" s="101" customFormat="1" spans="6:6">
      <c r="F51443" s="2423"/>
    </row>
    <row r="51444" s="101" customFormat="1" spans="6:6">
      <c r="F51444" s="2423"/>
    </row>
    <row r="51445" s="101" customFormat="1" spans="6:6">
      <c r="F51445" s="2423"/>
    </row>
    <row r="51446" s="101" customFormat="1" spans="6:6">
      <c r="F51446" s="2423"/>
    </row>
    <row r="51447" s="101" customFormat="1" spans="6:6">
      <c r="F51447" s="2423"/>
    </row>
    <row r="51448" s="101" customFormat="1" spans="6:6">
      <c r="F51448" s="2423"/>
    </row>
    <row r="51449" s="101" customFormat="1" spans="6:6">
      <c r="F51449" s="2423"/>
    </row>
    <row r="51450" s="101" customFormat="1" spans="6:6">
      <c r="F51450" s="2423"/>
    </row>
    <row r="51451" s="101" customFormat="1" spans="6:6">
      <c r="F51451" s="2423"/>
    </row>
    <row r="51452" s="101" customFormat="1" spans="6:6">
      <c r="F51452" s="2423"/>
    </row>
    <row r="51453" s="101" customFormat="1" spans="6:6">
      <c r="F51453" s="2423"/>
    </row>
    <row r="51454" s="101" customFormat="1" spans="6:6">
      <c r="F51454" s="2423"/>
    </row>
    <row r="51455" s="101" customFormat="1" spans="6:6">
      <c r="F51455" s="2423"/>
    </row>
    <row r="51456" s="101" customFormat="1" spans="6:6">
      <c r="F51456" s="2423"/>
    </row>
    <row r="51457" s="101" customFormat="1" spans="6:6">
      <c r="F51457" s="2423"/>
    </row>
    <row r="51458" s="101" customFormat="1" spans="6:6">
      <c r="F51458" s="2423"/>
    </row>
    <row r="51459" s="101" customFormat="1" spans="6:6">
      <c r="F51459" s="2423"/>
    </row>
    <row r="51460" s="101" customFormat="1" spans="6:6">
      <c r="F51460" s="2423"/>
    </row>
    <row r="51461" s="101" customFormat="1" spans="6:6">
      <c r="F51461" s="2423"/>
    </row>
    <row r="51462" s="101" customFormat="1" spans="6:6">
      <c r="F51462" s="2423"/>
    </row>
    <row r="51463" s="101" customFormat="1" spans="6:6">
      <c r="F51463" s="2423"/>
    </row>
    <row r="51464" s="101" customFormat="1" spans="6:6">
      <c r="F51464" s="2423"/>
    </row>
    <row r="51465" s="101" customFormat="1" spans="6:6">
      <c r="F51465" s="2423"/>
    </row>
    <row r="51466" s="101" customFormat="1" spans="6:6">
      <c r="F51466" s="2423"/>
    </row>
    <row r="51467" s="101" customFormat="1" spans="6:6">
      <c r="F51467" s="2423"/>
    </row>
    <row r="51468" s="101" customFormat="1" spans="6:6">
      <c r="F51468" s="2423"/>
    </row>
    <row r="51469" s="101" customFormat="1" spans="6:6">
      <c r="F51469" s="2423"/>
    </row>
    <row r="51470" s="101" customFormat="1" spans="6:6">
      <c r="F51470" s="2423"/>
    </row>
    <row r="51471" s="101" customFormat="1" spans="6:6">
      <c r="F51471" s="2423"/>
    </row>
    <row r="51472" s="101" customFormat="1" spans="6:6">
      <c r="F51472" s="2423"/>
    </row>
    <row r="51473" s="101" customFormat="1" spans="6:6">
      <c r="F51473" s="2423"/>
    </row>
    <row r="51474" s="101" customFormat="1" spans="6:6">
      <c r="F51474" s="2423"/>
    </row>
    <row r="51475" s="101" customFormat="1" spans="6:6">
      <c r="F51475" s="2423"/>
    </row>
    <row r="51476" s="101" customFormat="1" spans="6:6">
      <c r="F51476" s="2423"/>
    </row>
    <row r="51477" s="101" customFormat="1" spans="6:6">
      <c r="F51477" s="2423"/>
    </row>
    <row r="51478" s="101" customFormat="1" spans="6:6">
      <c r="F51478" s="2423"/>
    </row>
    <row r="51479" s="101" customFormat="1" spans="6:6">
      <c r="F51479" s="2423"/>
    </row>
    <row r="51480" s="101" customFormat="1" spans="6:6">
      <c r="F51480" s="2423"/>
    </row>
    <row r="51481" s="101" customFormat="1" spans="6:6">
      <c r="F51481" s="2423"/>
    </row>
    <row r="51482" s="101" customFormat="1" spans="6:6">
      <c r="F51482" s="2423"/>
    </row>
    <row r="51483" s="101" customFormat="1" spans="6:6">
      <c r="F51483" s="2423"/>
    </row>
    <row r="51484" s="101" customFormat="1" spans="6:6">
      <c r="F51484" s="2423"/>
    </row>
    <row r="51485" s="101" customFormat="1" spans="6:6">
      <c r="F51485" s="2423"/>
    </row>
    <row r="51486" s="101" customFormat="1" spans="6:6">
      <c r="F51486" s="2423"/>
    </row>
    <row r="51487" s="101" customFormat="1" spans="6:6">
      <c r="F51487" s="2423"/>
    </row>
    <row r="51488" s="101" customFormat="1" spans="6:6">
      <c r="F51488" s="2423"/>
    </row>
    <row r="51489" s="101" customFormat="1" spans="6:6">
      <c r="F51489" s="2423"/>
    </row>
    <row r="51490" s="101" customFormat="1" spans="6:6">
      <c r="F51490" s="2423"/>
    </row>
    <row r="51491" s="101" customFormat="1" spans="6:6">
      <c r="F51491" s="2423"/>
    </row>
    <row r="51492" s="101" customFormat="1" spans="6:6">
      <c r="F51492" s="2423"/>
    </row>
    <row r="51493" s="101" customFormat="1" spans="6:6">
      <c r="F51493" s="2423"/>
    </row>
    <row r="51494" s="101" customFormat="1" spans="6:6">
      <c r="F51494" s="2423"/>
    </row>
    <row r="51495" s="101" customFormat="1" spans="6:6">
      <c r="F51495" s="2423"/>
    </row>
    <row r="51496" s="101" customFormat="1" spans="6:6">
      <c r="F51496" s="2423"/>
    </row>
    <row r="51497" s="101" customFormat="1" spans="6:6">
      <c r="F51497" s="2423"/>
    </row>
    <row r="51498" s="101" customFormat="1" spans="6:6">
      <c r="F51498" s="2423"/>
    </row>
    <row r="51499" s="101" customFormat="1" spans="6:6">
      <c r="F51499" s="2423"/>
    </row>
    <row r="51500" s="101" customFormat="1" spans="6:6">
      <c r="F51500" s="2423"/>
    </row>
    <row r="51501" s="101" customFormat="1" spans="6:6">
      <c r="F51501" s="2423"/>
    </row>
    <row r="51502" s="101" customFormat="1" spans="6:6">
      <c r="F51502" s="2423"/>
    </row>
    <row r="51503" s="101" customFormat="1" spans="6:6">
      <c r="F51503" s="2423"/>
    </row>
    <row r="51504" s="101" customFormat="1" spans="6:6">
      <c r="F51504" s="2423"/>
    </row>
    <row r="51505" s="101" customFormat="1" spans="6:6">
      <c r="F51505" s="2423"/>
    </row>
    <row r="51506" s="101" customFormat="1" spans="6:6">
      <c r="F51506" s="2423"/>
    </row>
    <row r="51507" s="101" customFormat="1" spans="6:6">
      <c r="F51507" s="2423"/>
    </row>
    <row r="51508" s="101" customFormat="1" spans="6:6">
      <c r="F51508" s="2423"/>
    </row>
    <row r="51509" s="101" customFormat="1" spans="6:6">
      <c r="F51509" s="2423"/>
    </row>
    <row r="51510" s="101" customFormat="1" spans="6:6">
      <c r="F51510" s="2423"/>
    </row>
    <row r="51511" s="101" customFormat="1" spans="6:6">
      <c r="F51511" s="2423"/>
    </row>
    <row r="51512" s="101" customFormat="1" spans="6:6">
      <c r="F51512" s="2423"/>
    </row>
    <row r="51513" s="101" customFormat="1" spans="6:6">
      <c r="F51513" s="2423"/>
    </row>
    <row r="51514" s="101" customFormat="1" spans="6:6">
      <c r="F51514" s="2423"/>
    </row>
    <row r="51515" s="101" customFormat="1" spans="6:6">
      <c r="F51515" s="2423"/>
    </row>
    <row r="51516" s="101" customFormat="1" spans="6:6">
      <c r="F51516" s="2423"/>
    </row>
    <row r="51517" s="101" customFormat="1" spans="6:6">
      <c r="F51517" s="2423"/>
    </row>
    <row r="51518" s="101" customFormat="1" spans="6:6">
      <c r="F51518" s="2423"/>
    </row>
    <row r="51519" s="101" customFormat="1" spans="6:6">
      <c r="F51519" s="2423"/>
    </row>
    <row r="51520" s="101" customFormat="1" spans="6:6">
      <c r="F51520" s="2423"/>
    </row>
    <row r="51521" s="101" customFormat="1" spans="6:6">
      <c r="F51521" s="2423"/>
    </row>
    <row r="51522" s="101" customFormat="1" spans="6:6">
      <c r="F51522" s="2423"/>
    </row>
    <row r="51523" s="101" customFormat="1" spans="6:6">
      <c r="F51523" s="2423"/>
    </row>
    <row r="51524" s="101" customFormat="1" spans="6:6">
      <c r="F51524" s="2423"/>
    </row>
    <row r="51525" s="101" customFormat="1" spans="6:6">
      <c r="F51525" s="2423"/>
    </row>
    <row r="51526" s="101" customFormat="1" spans="6:6">
      <c r="F51526" s="2423"/>
    </row>
    <row r="51527" s="101" customFormat="1" spans="6:6">
      <c r="F51527" s="2423"/>
    </row>
    <row r="51528" s="101" customFormat="1" spans="6:6">
      <c r="F51528" s="2423"/>
    </row>
    <row r="51529" s="101" customFormat="1" spans="6:6">
      <c r="F51529" s="2423"/>
    </row>
    <row r="51530" s="101" customFormat="1" spans="6:6">
      <c r="F51530" s="2423"/>
    </row>
    <row r="51531" s="101" customFormat="1" spans="6:6">
      <c r="F51531" s="2423"/>
    </row>
    <row r="51532" s="101" customFormat="1" spans="6:6">
      <c r="F51532" s="2423"/>
    </row>
    <row r="51533" s="101" customFormat="1" spans="6:6">
      <c r="F51533" s="2423"/>
    </row>
    <row r="51534" s="101" customFormat="1" spans="6:6">
      <c r="F51534" s="2423"/>
    </row>
    <row r="51535" s="101" customFormat="1" spans="6:6">
      <c r="F51535" s="2423"/>
    </row>
    <row r="51536" s="101" customFormat="1" spans="6:6">
      <c r="F51536" s="2423"/>
    </row>
    <row r="51537" s="101" customFormat="1" spans="6:6">
      <c r="F51537" s="2423"/>
    </row>
    <row r="51538" s="101" customFormat="1" spans="6:6">
      <c r="F51538" s="2423"/>
    </row>
    <row r="51539" s="101" customFormat="1" spans="6:6">
      <c r="F51539" s="2423"/>
    </row>
    <row r="51540" s="101" customFormat="1" spans="6:6">
      <c r="F51540" s="2423"/>
    </row>
    <row r="51541" s="101" customFormat="1" spans="6:6">
      <c r="F51541" s="2423"/>
    </row>
    <row r="51542" s="101" customFormat="1" spans="6:6">
      <c r="F51542" s="2423"/>
    </row>
    <row r="51543" s="101" customFormat="1" spans="6:6">
      <c r="F51543" s="2423"/>
    </row>
    <row r="51544" s="101" customFormat="1" spans="6:6">
      <c r="F51544" s="2423"/>
    </row>
    <row r="51545" s="101" customFormat="1" spans="6:6">
      <c r="F51545" s="2423"/>
    </row>
    <row r="51546" s="101" customFormat="1" spans="6:6">
      <c r="F51546" s="2423"/>
    </row>
    <row r="51547" s="101" customFormat="1" spans="6:6">
      <c r="F51547" s="2423"/>
    </row>
    <row r="51548" s="101" customFormat="1" spans="6:6">
      <c r="F51548" s="2423"/>
    </row>
    <row r="51549" s="101" customFormat="1" spans="6:6">
      <c r="F51549" s="2423"/>
    </row>
    <row r="51550" s="101" customFormat="1" spans="6:6">
      <c r="F51550" s="2423"/>
    </row>
    <row r="51551" s="101" customFormat="1" spans="6:6">
      <c r="F51551" s="2423"/>
    </row>
    <row r="51552" s="101" customFormat="1" spans="6:6">
      <c r="F51552" s="2423"/>
    </row>
    <row r="51553" s="101" customFormat="1" spans="6:6">
      <c r="F51553" s="2423"/>
    </row>
    <row r="51554" s="101" customFormat="1" spans="6:6">
      <c r="F51554" s="2423"/>
    </row>
    <row r="51555" s="101" customFormat="1" spans="6:6">
      <c r="F51555" s="2423"/>
    </row>
    <row r="51556" s="101" customFormat="1" spans="6:6">
      <c r="F51556" s="2423"/>
    </row>
    <row r="51557" s="101" customFormat="1" spans="6:6">
      <c r="F51557" s="2423"/>
    </row>
    <row r="51558" s="101" customFormat="1" spans="6:6">
      <c r="F51558" s="2423"/>
    </row>
    <row r="51559" s="101" customFormat="1" spans="6:6">
      <c r="F51559" s="2423"/>
    </row>
    <row r="51560" s="101" customFormat="1" spans="6:6">
      <c r="F51560" s="2423"/>
    </row>
    <row r="51561" s="101" customFormat="1" spans="6:6">
      <c r="F51561" s="2423"/>
    </row>
    <row r="51562" s="101" customFormat="1" spans="6:6">
      <c r="F51562" s="2423"/>
    </row>
    <row r="51563" s="101" customFormat="1" spans="6:6">
      <c r="F51563" s="2423"/>
    </row>
    <row r="51564" s="101" customFormat="1" spans="6:6">
      <c r="F51564" s="2423"/>
    </row>
    <row r="51565" s="101" customFormat="1" spans="6:6">
      <c r="F51565" s="2423"/>
    </row>
    <row r="51566" s="101" customFormat="1" spans="6:6">
      <c r="F51566" s="2423"/>
    </row>
    <row r="51567" s="101" customFormat="1" spans="6:6">
      <c r="F51567" s="2423"/>
    </row>
    <row r="51568" s="101" customFormat="1" spans="6:6">
      <c r="F51568" s="2423"/>
    </row>
    <row r="51569" s="101" customFormat="1" spans="6:6">
      <c r="F51569" s="2423"/>
    </row>
    <row r="51570" s="101" customFormat="1" spans="6:6">
      <c r="F51570" s="2423"/>
    </row>
    <row r="51571" s="101" customFormat="1" spans="6:6">
      <c r="F51571" s="2423"/>
    </row>
    <row r="51572" s="101" customFormat="1" spans="6:6">
      <c r="F51572" s="2423"/>
    </row>
    <row r="51573" s="101" customFormat="1" spans="6:6">
      <c r="F51573" s="2423"/>
    </row>
    <row r="51574" s="101" customFormat="1" spans="6:6">
      <c r="F51574" s="2423"/>
    </row>
    <row r="51575" s="101" customFormat="1" spans="6:6">
      <c r="F51575" s="2423"/>
    </row>
    <row r="51576" s="101" customFormat="1" spans="6:6">
      <c r="F51576" s="2423"/>
    </row>
    <row r="51577" s="101" customFormat="1" spans="6:6">
      <c r="F51577" s="2423"/>
    </row>
    <row r="51578" s="101" customFormat="1" spans="6:6">
      <c r="F51578" s="2423"/>
    </row>
    <row r="51579" s="101" customFormat="1" spans="6:6">
      <c r="F51579" s="2423"/>
    </row>
    <row r="51580" s="101" customFormat="1" spans="6:6">
      <c r="F51580" s="2423"/>
    </row>
    <row r="51581" s="101" customFormat="1" spans="6:6">
      <c r="F51581" s="2423"/>
    </row>
    <row r="51582" s="101" customFormat="1" spans="6:6">
      <c r="F51582" s="2423"/>
    </row>
    <row r="51583" s="101" customFormat="1" spans="6:6">
      <c r="F51583" s="2423"/>
    </row>
    <row r="51584" s="101" customFormat="1" spans="6:6">
      <c r="F51584" s="2423"/>
    </row>
    <row r="51585" s="101" customFormat="1" spans="6:6">
      <c r="F51585" s="2423"/>
    </row>
    <row r="51586" s="101" customFormat="1" spans="6:6">
      <c r="F51586" s="2423"/>
    </row>
    <row r="51587" s="101" customFormat="1" spans="6:6">
      <c r="F51587" s="2423"/>
    </row>
    <row r="51588" s="101" customFormat="1" spans="6:6">
      <c r="F51588" s="2423"/>
    </row>
    <row r="51589" s="101" customFormat="1" spans="6:6">
      <c r="F51589" s="2423"/>
    </row>
    <row r="51590" s="101" customFormat="1" spans="6:6">
      <c r="F51590" s="2423"/>
    </row>
    <row r="51591" s="101" customFormat="1" spans="6:6">
      <c r="F51591" s="2423"/>
    </row>
    <row r="51592" s="101" customFormat="1" spans="6:6">
      <c r="F51592" s="2423"/>
    </row>
    <row r="51593" s="101" customFormat="1" spans="6:6">
      <c r="F51593" s="2423"/>
    </row>
    <row r="51594" s="101" customFormat="1" spans="6:6">
      <c r="F51594" s="2423"/>
    </row>
    <row r="51595" s="101" customFormat="1" spans="6:6">
      <c r="F51595" s="2423"/>
    </row>
    <row r="51596" s="101" customFormat="1" spans="6:6">
      <c r="F51596" s="2423"/>
    </row>
    <row r="51597" s="101" customFormat="1" spans="6:6">
      <c r="F51597" s="2423"/>
    </row>
    <row r="51598" s="101" customFormat="1" spans="6:6">
      <c r="F51598" s="2423"/>
    </row>
    <row r="51599" s="101" customFormat="1" spans="6:6">
      <c r="F51599" s="2423"/>
    </row>
    <row r="51600" s="101" customFormat="1" spans="6:6">
      <c r="F51600" s="2423"/>
    </row>
    <row r="51601" s="101" customFormat="1" spans="6:6">
      <c r="F51601" s="2423"/>
    </row>
    <row r="51602" s="101" customFormat="1" spans="6:6">
      <c r="F51602" s="2423"/>
    </row>
    <row r="51603" s="101" customFormat="1" spans="6:6">
      <c r="F51603" s="2423"/>
    </row>
    <row r="51604" s="101" customFormat="1" spans="6:6">
      <c r="F51604" s="2423"/>
    </row>
    <row r="51605" s="101" customFormat="1" spans="6:6">
      <c r="F51605" s="2423"/>
    </row>
    <row r="51606" s="101" customFormat="1" spans="6:6">
      <c r="F51606" s="2423"/>
    </row>
    <row r="51607" s="101" customFormat="1" spans="6:6">
      <c r="F51607" s="2423"/>
    </row>
    <row r="51608" s="101" customFormat="1" spans="6:6">
      <c r="F51608" s="2423"/>
    </row>
    <row r="51609" s="101" customFormat="1" spans="6:6">
      <c r="F51609" s="2423"/>
    </row>
    <row r="51610" s="101" customFormat="1" spans="6:6">
      <c r="F51610" s="2423"/>
    </row>
    <row r="51611" s="101" customFormat="1" spans="6:6">
      <c r="F51611" s="2423"/>
    </row>
    <row r="51612" s="101" customFormat="1" spans="6:6">
      <c r="F51612" s="2423"/>
    </row>
    <row r="51613" s="101" customFormat="1" spans="6:6">
      <c r="F51613" s="2423"/>
    </row>
    <row r="51614" s="101" customFormat="1" spans="6:6">
      <c r="F51614" s="2423"/>
    </row>
    <row r="51615" s="101" customFormat="1" spans="6:6">
      <c r="F51615" s="2423"/>
    </row>
    <row r="51616" s="101" customFormat="1" spans="6:6">
      <c r="F51616" s="2423"/>
    </row>
    <row r="51617" s="101" customFormat="1" spans="6:6">
      <c r="F51617" s="2423"/>
    </row>
    <row r="51618" s="101" customFormat="1" spans="6:6">
      <c r="F51618" s="2423"/>
    </row>
    <row r="51619" s="101" customFormat="1" spans="6:6">
      <c r="F51619" s="2423"/>
    </row>
    <row r="51620" s="101" customFormat="1" spans="6:6">
      <c r="F51620" s="2423"/>
    </row>
    <row r="51621" s="101" customFormat="1" spans="6:6">
      <c r="F51621" s="2423"/>
    </row>
    <row r="51622" s="101" customFormat="1" spans="6:6">
      <c r="F51622" s="2423"/>
    </row>
    <row r="51623" s="101" customFormat="1" spans="6:6">
      <c r="F51623" s="2423"/>
    </row>
    <row r="51624" s="101" customFormat="1" spans="6:6">
      <c r="F51624" s="2423"/>
    </row>
    <row r="51625" s="101" customFormat="1" spans="6:6">
      <c r="F51625" s="2423"/>
    </row>
    <row r="51626" s="101" customFormat="1" spans="6:6">
      <c r="F51626" s="2423"/>
    </row>
    <row r="51627" s="101" customFormat="1" spans="6:6">
      <c r="F51627" s="2423"/>
    </row>
    <row r="51628" s="101" customFormat="1" spans="6:6">
      <c r="F51628" s="2423"/>
    </row>
    <row r="51629" s="101" customFormat="1" spans="6:6">
      <c r="F51629" s="2423"/>
    </row>
    <row r="51630" s="101" customFormat="1" spans="6:6">
      <c r="F51630" s="2423"/>
    </row>
    <row r="51631" s="101" customFormat="1" spans="6:6">
      <c r="F51631" s="2423"/>
    </row>
    <row r="51632" s="101" customFormat="1" spans="6:6">
      <c r="F51632" s="2423"/>
    </row>
    <row r="51633" s="101" customFormat="1" spans="6:6">
      <c r="F51633" s="2423"/>
    </row>
    <row r="51634" s="101" customFormat="1" spans="6:6">
      <c r="F51634" s="2423"/>
    </row>
    <row r="51635" s="101" customFormat="1" spans="6:6">
      <c r="F51635" s="2423"/>
    </row>
    <row r="51636" s="101" customFormat="1" spans="6:6">
      <c r="F51636" s="2423"/>
    </row>
    <row r="51637" s="101" customFormat="1" spans="6:6">
      <c r="F51637" s="2423"/>
    </row>
    <row r="51638" s="101" customFormat="1" spans="6:6">
      <c r="F51638" s="2423"/>
    </row>
    <row r="51639" s="101" customFormat="1" spans="6:6">
      <c r="F51639" s="2423"/>
    </row>
    <row r="51640" s="101" customFormat="1" spans="6:6">
      <c r="F51640" s="2423"/>
    </row>
    <row r="51641" s="101" customFormat="1" spans="6:6">
      <c r="F51641" s="2423"/>
    </row>
    <row r="51642" s="101" customFormat="1" spans="6:6">
      <c r="F51642" s="2423"/>
    </row>
    <row r="51643" s="101" customFormat="1" spans="6:6">
      <c r="F51643" s="2423"/>
    </row>
    <row r="51644" s="101" customFormat="1" spans="6:6">
      <c r="F51644" s="2423"/>
    </row>
    <row r="51645" s="101" customFormat="1" spans="6:6">
      <c r="F51645" s="2423"/>
    </row>
    <row r="51646" s="101" customFormat="1" spans="6:6">
      <c r="F51646" s="2423"/>
    </row>
    <row r="51647" s="101" customFormat="1" spans="6:6">
      <c r="F51647" s="2423"/>
    </row>
    <row r="51648" s="101" customFormat="1" spans="6:6">
      <c r="F51648" s="2423"/>
    </row>
    <row r="51649" s="101" customFormat="1" spans="6:6">
      <c r="F51649" s="2423"/>
    </row>
    <row r="51650" s="101" customFormat="1" spans="6:6">
      <c r="F51650" s="2423"/>
    </row>
    <row r="51651" s="101" customFormat="1" spans="6:6">
      <c r="F51651" s="2423"/>
    </row>
    <row r="51652" s="101" customFormat="1" spans="6:6">
      <c r="F51652" s="2423"/>
    </row>
    <row r="51653" s="101" customFormat="1" spans="6:6">
      <c r="F51653" s="2423"/>
    </row>
    <row r="51654" s="101" customFormat="1" spans="6:6">
      <c r="F51654" s="2423"/>
    </row>
    <row r="51655" s="101" customFormat="1" spans="6:6">
      <c r="F51655" s="2423"/>
    </row>
    <row r="51656" s="101" customFormat="1" spans="6:6">
      <c r="F51656" s="2423"/>
    </row>
    <row r="51657" s="101" customFormat="1" spans="6:6">
      <c r="F51657" s="2423"/>
    </row>
    <row r="51658" s="101" customFormat="1" spans="6:6">
      <c r="F51658" s="2423"/>
    </row>
    <row r="51659" s="101" customFormat="1" spans="6:6">
      <c r="F51659" s="2423"/>
    </row>
    <row r="51660" s="101" customFormat="1" spans="6:6">
      <c r="F51660" s="2423"/>
    </row>
    <row r="51661" s="101" customFormat="1" spans="6:6">
      <c r="F51661" s="2423"/>
    </row>
    <row r="51662" s="101" customFormat="1" spans="6:6">
      <c r="F51662" s="2423"/>
    </row>
    <row r="51663" s="101" customFormat="1" spans="6:6">
      <c r="F51663" s="2423"/>
    </row>
    <row r="51664" s="101" customFormat="1" spans="6:6">
      <c r="F51664" s="2423"/>
    </row>
    <row r="51665" s="101" customFormat="1" spans="6:6">
      <c r="F51665" s="2423"/>
    </row>
    <row r="51666" s="101" customFormat="1" spans="6:6">
      <c r="F51666" s="2423"/>
    </row>
    <row r="51667" s="101" customFormat="1" spans="6:6">
      <c r="F51667" s="2423"/>
    </row>
    <row r="51668" s="101" customFormat="1" spans="6:6">
      <c r="F51668" s="2423"/>
    </row>
    <row r="51669" s="101" customFormat="1" spans="6:6">
      <c r="F51669" s="2423"/>
    </row>
    <row r="51670" s="101" customFormat="1" spans="6:6">
      <c r="F51670" s="2423"/>
    </row>
    <row r="51671" s="101" customFormat="1" spans="6:6">
      <c r="F51671" s="2423"/>
    </row>
    <row r="51672" s="101" customFormat="1" spans="6:6">
      <c r="F51672" s="2423"/>
    </row>
    <row r="51673" s="101" customFormat="1" spans="6:6">
      <c r="F51673" s="2423"/>
    </row>
    <row r="51674" s="101" customFormat="1" spans="6:6">
      <c r="F51674" s="2423"/>
    </row>
    <row r="51675" s="101" customFormat="1" spans="6:6">
      <c r="F51675" s="2423"/>
    </row>
    <row r="51676" s="101" customFormat="1" spans="6:6">
      <c r="F51676" s="2423"/>
    </row>
    <row r="51677" s="101" customFormat="1" spans="6:6">
      <c r="F51677" s="2423"/>
    </row>
    <row r="51678" s="101" customFormat="1" spans="6:6">
      <c r="F51678" s="2423"/>
    </row>
    <row r="51679" s="101" customFormat="1" spans="6:6">
      <c r="F51679" s="2423"/>
    </row>
    <row r="51680" s="101" customFormat="1" spans="6:6">
      <c r="F51680" s="2423"/>
    </row>
    <row r="51681" s="101" customFormat="1" spans="6:6">
      <c r="F51681" s="2423"/>
    </row>
    <row r="51682" s="101" customFormat="1" spans="6:6">
      <c r="F51682" s="2423"/>
    </row>
    <row r="51683" s="101" customFormat="1" spans="6:6">
      <c r="F51683" s="2423"/>
    </row>
    <row r="51684" s="101" customFormat="1" spans="6:6">
      <c r="F51684" s="2423"/>
    </row>
    <row r="51685" s="101" customFormat="1" spans="6:6">
      <c r="F51685" s="2423"/>
    </row>
    <row r="51686" s="101" customFormat="1" spans="6:6">
      <c r="F51686" s="2423"/>
    </row>
    <row r="51687" s="101" customFormat="1" spans="6:6">
      <c r="F51687" s="2423"/>
    </row>
    <row r="51688" s="101" customFormat="1" spans="6:6">
      <c r="F51688" s="2423"/>
    </row>
    <row r="51689" s="101" customFormat="1" spans="6:6">
      <c r="F51689" s="2423"/>
    </row>
    <row r="51690" s="101" customFormat="1" spans="6:6">
      <c r="F51690" s="2423"/>
    </row>
    <row r="51691" s="101" customFormat="1" spans="6:6">
      <c r="F51691" s="2423"/>
    </row>
    <row r="51692" s="101" customFormat="1" spans="6:6">
      <c r="F51692" s="2423"/>
    </row>
    <row r="51693" s="101" customFormat="1" spans="6:6">
      <c r="F51693" s="2423"/>
    </row>
    <row r="51694" s="101" customFormat="1" spans="6:6">
      <c r="F51694" s="2423"/>
    </row>
    <row r="51695" s="101" customFormat="1" spans="6:6">
      <c r="F51695" s="2423"/>
    </row>
    <row r="51696" s="101" customFormat="1" spans="6:6">
      <c r="F51696" s="2423"/>
    </row>
    <row r="51697" s="101" customFormat="1" spans="6:6">
      <c r="F51697" s="2423"/>
    </row>
    <row r="51698" s="101" customFormat="1" spans="6:6">
      <c r="F51698" s="2423"/>
    </row>
    <row r="51699" s="101" customFormat="1" spans="6:6">
      <c r="F51699" s="2423"/>
    </row>
    <row r="51700" s="101" customFormat="1" spans="6:6">
      <c r="F51700" s="2423"/>
    </row>
    <row r="51701" s="101" customFormat="1" spans="6:6">
      <c r="F51701" s="2423"/>
    </row>
    <row r="51702" s="101" customFormat="1" spans="6:6">
      <c r="F51702" s="2423"/>
    </row>
    <row r="51703" s="101" customFormat="1" spans="6:6">
      <c r="F51703" s="2423"/>
    </row>
    <row r="51704" s="101" customFormat="1" spans="6:6">
      <c r="F51704" s="2423"/>
    </row>
    <row r="51705" s="101" customFormat="1" spans="6:6">
      <c r="F51705" s="2423"/>
    </row>
    <row r="51706" s="101" customFormat="1" spans="6:6">
      <c r="F51706" s="2423"/>
    </row>
    <row r="51707" s="101" customFormat="1" spans="6:6">
      <c r="F51707" s="2423"/>
    </row>
    <row r="51708" s="101" customFormat="1" spans="6:6">
      <c r="F51708" s="2423"/>
    </row>
    <row r="51709" s="101" customFormat="1" spans="6:6">
      <c r="F51709" s="2423"/>
    </row>
    <row r="51710" s="101" customFormat="1" spans="6:6">
      <c r="F51710" s="2423"/>
    </row>
    <row r="51711" s="101" customFormat="1" spans="6:6">
      <c r="F51711" s="2423"/>
    </row>
    <row r="51712" s="101" customFormat="1" spans="6:6">
      <c r="F51712" s="2423"/>
    </row>
    <row r="51713" s="101" customFormat="1" spans="6:6">
      <c r="F51713" s="2423"/>
    </row>
    <row r="51714" s="101" customFormat="1" spans="6:6">
      <c r="F51714" s="2423"/>
    </row>
    <row r="51715" s="101" customFormat="1" spans="6:6">
      <c r="F51715" s="2423"/>
    </row>
    <row r="51716" s="101" customFormat="1" spans="6:6">
      <c r="F51716" s="2423"/>
    </row>
    <row r="51717" s="101" customFormat="1" spans="6:6">
      <c r="F51717" s="2423"/>
    </row>
    <row r="51718" s="101" customFormat="1" spans="6:6">
      <c r="F51718" s="2423"/>
    </row>
    <row r="51719" s="101" customFormat="1" spans="6:6">
      <c r="F51719" s="2423"/>
    </row>
    <row r="51720" s="101" customFormat="1" spans="6:6">
      <c r="F51720" s="2423"/>
    </row>
    <row r="51721" s="101" customFormat="1" spans="6:6">
      <c r="F51721" s="2423"/>
    </row>
    <row r="51722" s="101" customFormat="1" spans="6:6">
      <c r="F51722" s="2423"/>
    </row>
    <row r="51723" s="101" customFormat="1" spans="6:6">
      <c r="F51723" s="2423"/>
    </row>
    <row r="51724" s="101" customFormat="1" spans="6:6">
      <c r="F51724" s="2423"/>
    </row>
    <row r="51725" s="101" customFormat="1" spans="6:6">
      <c r="F51725" s="2423"/>
    </row>
    <row r="51726" s="101" customFormat="1" spans="6:6">
      <c r="F51726" s="2423"/>
    </row>
    <row r="51727" s="101" customFormat="1" spans="6:6">
      <c r="F51727" s="2423"/>
    </row>
    <row r="51728" s="101" customFormat="1" spans="6:6">
      <c r="F51728" s="2423"/>
    </row>
    <row r="51729" s="101" customFormat="1" spans="6:6">
      <c r="F51729" s="2423"/>
    </row>
    <row r="51730" s="101" customFormat="1" spans="6:6">
      <c r="F51730" s="2423"/>
    </row>
    <row r="51731" s="101" customFormat="1" spans="6:6">
      <c r="F51731" s="2423"/>
    </row>
    <row r="51732" s="101" customFormat="1" spans="6:6">
      <c r="F51732" s="2423"/>
    </row>
    <row r="51733" s="101" customFormat="1" spans="6:6">
      <c r="F51733" s="2423"/>
    </row>
    <row r="51734" s="101" customFormat="1" spans="6:6">
      <c r="F51734" s="2423"/>
    </row>
    <row r="51735" s="101" customFormat="1" spans="6:6">
      <c r="F51735" s="2423"/>
    </row>
    <row r="51736" s="101" customFormat="1" spans="6:6">
      <c r="F51736" s="2423"/>
    </row>
    <row r="51737" s="101" customFormat="1" spans="6:6">
      <c r="F51737" s="2423"/>
    </row>
    <row r="51738" s="101" customFormat="1" spans="6:6">
      <c r="F51738" s="2423"/>
    </row>
    <row r="51739" s="101" customFormat="1" spans="6:6">
      <c r="F51739" s="2423"/>
    </row>
    <row r="51740" s="101" customFormat="1" spans="6:6">
      <c r="F51740" s="2423"/>
    </row>
    <row r="51741" s="101" customFormat="1" spans="6:6">
      <c r="F51741" s="2423"/>
    </row>
    <row r="51742" s="101" customFormat="1" spans="6:6">
      <c r="F51742" s="2423"/>
    </row>
    <row r="51743" s="101" customFormat="1" spans="6:6">
      <c r="F51743" s="2423"/>
    </row>
    <row r="51744" s="101" customFormat="1" spans="6:6">
      <c r="F51744" s="2423"/>
    </row>
    <row r="51745" s="101" customFormat="1" spans="6:6">
      <c r="F51745" s="2423"/>
    </row>
    <row r="51746" s="101" customFormat="1" spans="6:6">
      <c r="F51746" s="2423"/>
    </row>
    <row r="51747" s="101" customFormat="1" spans="6:6">
      <c r="F51747" s="2423"/>
    </row>
    <row r="51748" s="101" customFormat="1" spans="6:6">
      <c r="F51748" s="2423"/>
    </row>
    <row r="51749" s="101" customFormat="1" spans="6:6">
      <c r="F51749" s="2423"/>
    </row>
    <row r="51750" s="101" customFormat="1" spans="6:6">
      <c r="F51750" s="2423"/>
    </row>
    <row r="51751" s="101" customFormat="1" spans="6:6">
      <c r="F51751" s="2423"/>
    </row>
    <row r="51752" s="101" customFormat="1" spans="6:6">
      <c r="F51752" s="2423"/>
    </row>
    <row r="51753" s="101" customFormat="1" spans="6:6">
      <c r="F51753" s="2423"/>
    </row>
    <row r="51754" s="101" customFormat="1" spans="6:6">
      <c r="F51754" s="2423"/>
    </row>
    <row r="51755" s="101" customFormat="1" spans="6:6">
      <c r="F51755" s="2423"/>
    </row>
    <row r="51756" s="101" customFormat="1" spans="6:6">
      <c r="F51756" s="2423"/>
    </row>
    <row r="51757" s="101" customFormat="1" spans="6:6">
      <c r="F51757" s="2423"/>
    </row>
    <row r="51758" s="101" customFormat="1" spans="6:6">
      <c r="F51758" s="2423"/>
    </row>
    <row r="51759" s="101" customFormat="1" spans="6:6">
      <c r="F51759" s="2423"/>
    </row>
    <row r="51760" s="101" customFormat="1" spans="6:6">
      <c r="F51760" s="2423"/>
    </row>
    <row r="51761" s="101" customFormat="1" spans="6:6">
      <c r="F51761" s="2423"/>
    </row>
    <row r="51762" s="101" customFormat="1" spans="6:6">
      <c r="F51762" s="2423"/>
    </row>
    <row r="51763" s="101" customFormat="1" spans="6:6">
      <c r="F51763" s="2423"/>
    </row>
    <row r="51764" s="101" customFormat="1" spans="6:6">
      <c r="F51764" s="2423"/>
    </row>
    <row r="51765" s="101" customFormat="1" spans="6:6">
      <c r="F51765" s="2423"/>
    </row>
    <row r="51766" s="101" customFormat="1" spans="6:6">
      <c r="F51766" s="2423"/>
    </row>
    <row r="51767" s="101" customFormat="1" spans="6:6">
      <c r="F51767" s="2423"/>
    </row>
    <row r="51768" s="101" customFormat="1" spans="6:6">
      <c r="F51768" s="2423"/>
    </row>
    <row r="51769" s="101" customFormat="1" spans="6:6">
      <c r="F51769" s="2423"/>
    </row>
    <row r="51770" s="101" customFormat="1" spans="6:6">
      <c r="F51770" s="2423"/>
    </row>
    <row r="51771" s="101" customFormat="1" spans="6:6">
      <c r="F51771" s="2423"/>
    </row>
    <row r="51772" s="101" customFormat="1" spans="6:6">
      <c r="F51772" s="2423"/>
    </row>
    <row r="51773" s="101" customFormat="1" spans="6:6">
      <c r="F51773" s="2423"/>
    </row>
    <row r="51774" s="101" customFormat="1" spans="6:6">
      <c r="F51774" s="2423"/>
    </row>
    <row r="51775" s="101" customFormat="1" spans="6:6">
      <c r="F51775" s="2423"/>
    </row>
    <row r="51776" s="101" customFormat="1" spans="6:6">
      <c r="F51776" s="2423"/>
    </row>
    <row r="51777" s="101" customFormat="1" spans="6:6">
      <c r="F51777" s="2423"/>
    </row>
    <row r="51778" s="101" customFormat="1" spans="6:6">
      <c r="F51778" s="2423"/>
    </row>
    <row r="51779" s="101" customFormat="1" spans="6:6">
      <c r="F51779" s="2423"/>
    </row>
    <row r="51780" s="101" customFormat="1" spans="6:6">
      <c r="F51780" s="2423"/>
    </row>
    <row r="51781" s="101" customFormat="1" spans="6:6">
      <c r="F51781" s="2423"/>
    </row>
    <row r="51782" s="101" customFormat="1" spans="6:6">
      <c r="F51782" s="2423"/>
    </row>
    <row r="51783" s="101" customFormat="1" spans="6:6">
      <c r="F51783" s="2423"/>
    </row>
    <row r="51784" s="101" customFormat="1" spans="6:6">
      <c r="F51784" s="2423"/>
    </row>
    <row r="51785" s="101" customFormat="1" spans="6:6">
      <c r="F51785" s="2423"/>
    </row>
    <row r="51786" s="101" customFormat="1" spans="6:6">
      <c r="F51786" s="2423"/>
    </row>
    <row r="51787" s="101" customFormat="1" spans="6:6">
      <c r="F51787" s="2423"/>
    </row>
    <row r="51788" s="101" customFormat="1" spans="6:6">
      <c r="F51788" s="2423"/>
    </row>
    <row r="51789" s="101" customFormat="1" spans="6:6">
      <c r="F51789" s="2423"/>
    </row>
    <row r="51790" s="101" customFormat="1" spans="6:6">
      <c r="F51790" s="2423"/>
    </row>
    <row r="51791" s="101" customFormat="1" spans="6:6">
      <c r="F51791" s="2423"/>
    </row>
    <row r="51792" s="101" customFormat="1" spans="6:6">
      <c r="F51792" s="2423"/>
    </row>
    <row r="51793" s="101" customFormat="1" spans="6:6">
      <c r="F51793" s="2423"/>
    </row>
    <row r="51794" s="101" customFormat="1" spans="6:6">
      <c r="F51794" s="2423"/>
    </row>
    <row r="51795" s="101" customFormat="1" spans="6:6">
      <c r="F51795" s="2423"/>
    </row>
    <row r="51796" s="101" customFormat="1" spans="6:6">
      <c r="F51796" s="2423"/>
    </row>
    <row r="51797" s="101" customFormat="1" spans="6:6">
      <c r="F51797" s="2423"/>
    </row>
    <row r="51798" s="101" customFormat="1" spans="6:6">
      <c r="F51798" s="2423"/>
    </row>
    <row r="51799" s="101" customFormat="1" spans="6:6">
      <c r="F51799" s="2423"/>
    </row>
    <row r="51800" s="101" customFormat="1" spans="6:6">
      <c r="F51800" s="2423"/>
    </row>
    <row r="51801" s="101" customFormat="1" spans="6:6">
      <c r="F51801" s="2423"/>
    </row>
    <row r="51802" s="101" customFormat="1" spans="6:6">
      <c r="F51802" s="2423"/>
    </row>
    <row r="51803" s="101" customFormat="1" spans="6:6">
      <c r="F51803" s="2423"/>
    </row>
    <row r="51804" s="101" customFormat="1" spans="6:6">
      <c r="F51804" s="2423"/>
    </row>
    <row r="51805" s="101" customFormat="1" spans="6:6">
      <c r="F51805" s="2423"/>
    </row>
    <row r="51806" s="101" customFormat="1" spans="6:6">
      <c r="F51806" s="2423"/>
    </row>
    <row r="51807" s="101" customFormat="1" spans="6:6">
      <c r="F51807" s="2423"/>
    </row>
    <row r="51808" s="101" customFormat="1" spans="6:6">
      <c r="F51808" s="2423"/>
    </row>
    <row r="51809" s="101" customFormat="1" spans="6:6">
      <c r="F51809" s="2423"/>
    </row>
    <row r="51810" s="101" customFormat="1" spans="6:6">
      <c r="F51810" s="2423"/>
    </row>
    <row r="51811" s="101" customFormat="1" spans="6:6">
      <c r="F51811" s="2423"/>
    </row>
    <row r="51812" s="101" customFormat="1" spans="6:6">
      <c r="F51812" s="2423"/>
    </row>
    <row r="51813" s="101" customFormat="1" spans="6:6">
      <c r="F51813" s="2423"/>
    </row>
    <row r="51814" s="101" customFormat="1" spans="6:6">
      <c r="F51814" s="2423"/>
    </row>
    <row r="51815" s="101" customFormat="1" spans="6:6">
      <c r="F51815" s="2423"/>
    </row>
    <row r="51816" s="101" customFormat="1" spans="6:6">
      <c r="F51816" s="2423"/>
    </row>
    <row r="51817" s="101" customFormat="1" spans="6:6">
      <c r="F51817" s="2423"/>
    </row>
    <row r="51818" s="101" customFormat="1" spans="6:6">
      <c r="F51818" s="2423"/>
    </row>
    <row r="51819" s="101" customFormat="1" spans="6:6">
      <c r="F51819" s="2423"/>
    </row>
    <row r="51820" s="101" customFormat="1" spans="6:6">
      <c r="F51820" s="2423"/>
    </row>
    <row r="51821" s="101" customFormat="1" spans="6:6">
      <c r="F51821" s="2423"/>
    </row>
    <row r="51822" s="101" customFormat="1" spans="6:6">
      <c r="F51822" s="2423"/>
    </row>
    <row r="51823" s="101" customFormat="1" spans="6:6">
      <c r="F51823" s="2423"/>
    </row>
    <row r="51824" s="101" customFormat="1" spans="6:6">
      <c r="F51824" s="2423"/>
    </row>
    <row r="51825" s="101" customFormat="1" spans="6:6">
      <c r="F51825" s="2423"/>
    </row>
    <row r="51826" s="101" customFormat="1" spans="6:6">
      <c r="F51826" s="2423"/>
    </row>
    <row r="51827" s="101" customFormat="1" spans="6:6">
      <c r="F51827" s="2423"/>
    </row>
    <row r="51828" s="101" customFormat="1" spans="6:6">
      <c r="F51828" s="2423"/>
    </row>
    <row r="51829" s="101" customFormat="1" spans="6:6">
      <c r="F51829" s="2423"/>
    </row>
    <row r="51830" s="101" customFormat="1" spans="6:6">
      <c r="F51830" s="2423"/>
    </row>
    <row r="51831" s="101" customFormat="1" spans="6:6">
      <c r="F51831" s="2423"/>
    </row>
    <row r="51832" s="101" customFormat="1" spans="6:6">
      <c r="F51832" s="2423"/>
    </row>
    <row r="51833" s="101" customFormat="1" spans="6:6">
      <c r="F51833" s="2423"/>
    </row>
    <row r="51834" s="101" customFormat="1" spans="6:6">
      <c r="F51834" s="2423"/>
    </row>
    <row r="51835" s="101" customFormat="1" spans="6:6">
      <c r="F51835" s="2423"/>
    </row>
    <row r="51836" s="101" customFormat="1" spans="6:6">
      <c r="F51836" s="2423"/>
    </row>
    <row r="51837" s="101" customFormat="1" spans="6:6">
      <c r="F51837" s="2423"/>
    </row>
    <row r="51838" s="101" customFormat="1" spans="6:6">
      <c r="F51838" s="2423"/>
    </row>
    <row r="51839" s="101" customFormat="1" spans="6:6">
      <c r="F51839" s="2423"/>
    </row>
    <row r="51840" s="101" customFormat="1" spans="6:6">
      <c r="F51840" s="2423"/>
    </row>
    <row r="51841" s="101" customFormat="1" spans="6:6">
      <c r="F51841" s="2423"/>
    </row>
    <row r="51842" s="101" customFormat="1" spans="6:6">
      <c r="F51842" s="2423"/>
    </row>
    <row r="51843" s="101" customFormat="1" spans="6:6">
      <c r="F51843" s="2423"/>
    </row>
    <row r="51844" s="101" customFormat="1" spans="6:6">
      <c r="F51844" s="2423"/>
    </row>
    <row r="51845" s="101" customFormat="1" spans="6:6">
      <c r="F51845" s="2423"/>
    </row>
    <row r="51846" s="101" customFormat="1" spans="6:6">
      <c r="F51846" s="2423"/>
    </row>
    <row r="51847" s="101" customFormat="1" spans="6:6">
      <c r="F51847" s="2423"/>
    </row>
    <row r="51848" s="101" customFormat="1" spans="6:6">
      <c r="F51848" s="2423"/>
    </row>
    <row r="51849" s="101" customFormat="1" spans="6:6">
      <c r="F51849" s="2423"/>
    </row>
    <row r="51850" s="101" customFormat="1" spans="6:6">
      <c r="F51850" s="2423"/>
    </row>
    <row r="51851" s="101" customFormat="1" spans="6:6">
      <c r="F51851" s="2423"/>
    </row>
    <row r="51852" s="101" customFormat="1" spans="6:6">
      <c r="F51852" s="2423"/>
    </row>
    <row r="51853" s="101" customFormat="1" spans="6:6">
      <c r="F51853" s="2423"/>
    </row>
    <row r="51854" s="101" customFormat="1" spans="6:6">
      <c r="F51854" s="2423"/>
    </row>
    <row r="51855" s="101" customFormat="1" spans="6:6">
      <c r="F51855" s="2423"/>
    </row>
    <row r="51856" s="101" customFormat="1" spans="6:6">
      <c r="F51856" s="2423"/>
    </row>
    <row r="51857" s="101" customFormat="1" spans="6:6">
      <c r="F51857" s="2423"/>
    </row>
    <row r="51858" s="101" customFormat="1" spans="6:6">
      <c r="F51858" s="2423"/>
    </row>
    <row r="51859" s="101" customFormat="1" spans="6:6">
      <c r="F51859" s="2423"/>
    </row>
    <row r="51860" s="101" customFormat="1" spans="6:6">
      <c r="F51860" s="2423"/>
    </row>
    <row r="51861" s="101" customFormat="1" spans="6:6">
      <c r="F51861" s="2423"/>
    </row>
    <row r="51862" s="101" customFormat="1" spans="6:6">
      <c r="F51862" s="2423"/>
    </row>
    <row r="51863" s="101" customFormat="1" spans="6:6">
      <c r="F51863" s="2423"/>
    </row>
    <row r="51864" s="101" customFormat="1" spans="6:6">
      <c r="F51864" s="2423"/>
    </row>
    <row r="51865" s="101" customFormat="1" spans="6:6">
      <c r="F51865" s="2423"/>
    </row>
    <row r="51866" s="101" customFormat="1" spans="6:6">
      <c r="F51866" s="2423"/>
    </row>
    <row r="51867" s="101" customFormat="1" spans="6:6">
      <c r="F51867" s="2423"/>
    </row>
    <row r="51868" s="101" customFormat="1" spans="6:6">
      <c r="F51868" s="2423"/>
    </row>
    <row r="51869" s="101" customFormat="1" spans="6:6">
      <c r="F51869" s="2423"/>
    </row>
    <row r="51870" s="101" customFormat="1" spans="6:6">
      <c r="F51870" s="2423"/>
    </row>
    <row r="51871" s="101" customFormat="1" spans="6:6">
      <c r="F51871" s="2423"/>
    </row>
    <row r="51872" s="101" customFormat="1" spans="6:6">
      <c r="F51872" s="2423"/>
    </row>
    <row r="51873" s="101" customFormat="1" spans="6:6">
      <c r="F51873" s="2423"/>
    </row>
    <row r="51874" s="101" customFormat="1" spans="6:6">
      <c r="F51874" s="2423"/>
    </row>
    <row r="51875" s="101" customFormat="1" spans="6:6">
      <c r="F51875" s="2423"/>
    </row>
    <row r="51876" s="101" customFormat="1" spans="6:6">
      <c r="F51876" s="2423"/>
    </row>
    <row r="51877" s="101" customFormat="1" spans="6:6">
      <c r="F51877" s="2423"/>
    </row>
    <row r="51878" s="101" customFormat="1" spans="6:6">
      <c r="F51878" s="2423"/>
    </row>
    <row r="51879" s="101" customFormat="1" spans="6:6">
      <c r="F51879" s="2423"/>
    </row>
    <row r="51880" s="101" customFormat="1" spans="6:6">
      <c r="F51880" s="2423"/>
    </row>
    <row r="51881" s="101" customFormat="1" spans="6:6">
      <c r="F51881" s="2423"/>
    </row>
    <row r="51882" s="101" customFormat="1" spans="6:6">
      <c r="F51882" s="2423"/>
    </row>
    <row r="51883" s="101" customFormat="1" spans="6:6">
      <c r="F51883" s="2423"/>
    </row>
    <row r="51884" s="101" customFormat="1" spans="6:6">
      <c r="F51884" s="2423"/>
    </row>
    <row r="51885" s="101" customFormat="1" spans="6:6">
      <c r="F51885" s="2423"/>
    </row>
    <row r="51886" s="101" customFormat="1" spans="6:6">
      <c r="F51886" s="2423"/>
    </row>
    <row r="51887" s="101" customFormat="1" spans="6:6">
      <c r="F51887" s="2423"/>
    </row>
    <row r="51888" s="101" customFormat="1" spans="6:6">
      <c r="F51888" s="2423"/>
    </row>
    <row r="51889" s="101" customFormat="1" spans="6:6">
      <c r="F51889" s="2423"/>
    </row>
    <row r="51890" s="101" customFormat="1" spans="6:6">
      <c r="F51890" s="2423"/>
    </row>
    <row r="51891" s="101" customFormat="1" spans="6:6">
      <c r="F51891" s="2423"/>
    </row>
    <row r="51892" s="101" customFormat="1" spans="6:6">
      <c r="F51892" s="2423"/>
    </row>
    <row r="51893" s="101" customFormat="1" spans="6:6">
      <c r="F51893" s="2423"/>
    </row>
    <row r="51894" s="101" customFormat="1" spans="6:6">
      <c r="F51894" s="2423"/>
    </row>
    <row r="51895" s="101" customFormat="1" spans="6:6">
      <c r="F51895" s="2423"/>
    </row>
    <row r="51896" s="101" customFormat="1" spans="6:6">
      <c r="F51896" s="2423"/>
    </row>
    <row r="51897" s="101" customFormat="1" spans="6:6">
      <c r="F51897" s="2423"/>
    </row>
    <row r="51898" s="101" customFormat="1" spans="6:6">
      <c r="F51898" s="2423"/>
    </row>
    <row r="51899" s="101" customFormat="1" spans="6:6">
      <c r="F51899" s="2423"/>
    </row>
    <row r="51900" s="101" customFormat="1" spans="6:6">
      <c r="F51900" s="2423"/>
    </row>
    <row r="51901" s="101" customFormat="1" spans="6:6">
      <c r="F51901" s="2423"/>
    </row>
    <row r="51902" s="101" customFormat="1" spans="6:6">
      <c r="F51902" s="2423"/>
    </row>
    <row r="51903" s="101" customFormat="1" spans="6:6">
      <c r="F51903" s="2423"/>
    </row>
    <row r="51904" s="101" customFormat="1" spans="6:6">
      <c r="F51904" s="2423"/>
    </row>
    <row r="51905" s="101" customFormat="1" spans="6:6">
      <c r="F51905" s="2423"/>
    </row>
    <row r="51906" s="101" customFormat="1" spans="6:6">
      <c r="F51906" s="2423"/>
    </row>
    <row r="51907" s="101" customFormat="1" spans="6:6">
      <c r="F51907" s="2423"/>
    </row>
    <row r="51908" s="101" customFormat="1" spans="6:6">
      <c r="F51908" s="2423"/>
    </row>
    <row r="51909" s="101" customFormat="1" spans="6:6">
      <c r="F51909" s="2423"/>
    </row>
    <row r="51910" s="101" customFormat="1" spans="6:6">
      <c r="F51910" s="2423"/>
    </row>
    <row r="51911" s="101" customFormat="1" spans="6:6">
      <c r="F51911" s="2423"/>
    </row>
    <row r="51912" s="101" customFormat="1" spans="6:6">
      <c r="F51912" s="2423"/>
    </row>
    <row r="51913" s="101" customFormat="1" spans="6:6">
      <c r="F51913" s="2423"/>
    </row>
    <row r="51914" s="101" customFormat="1" spans="6:6">
      <c r="F51914" s="2423"/>
    </row>
    <row r="51915" s="101" customFormat="1" spans="6:6">
      <c r="F51915" s="2423"/>
    </row>
    <row r="51916" s="101" customFormat="1" spans="6:6">
      <c r="F51916" s="2423"/>
    </row>
    <row r="51917" s="101" customFormat="1" spans="6:6">
      <c r="F51917" s="2423"/>
    </row>
    <row r="51918" s="101" customFormat="1" spans="6:6">
      <c r="F51918" s="2423"/>
    </row>
    <row r="51919" s="101" customFormat="1" spans="6:6">
      <c r="F51919" s="2423"/>
    </row>
    <row r="51920" s="101" customFormat="1" spans="6:6">
      <c r="F51920" s="2423"/>
    </row>
    <row r="51921" s="101" customFormat="1" spans="6:6">
      <c r="F51921" s="2423"/>
    </row>
    <row r="51922" s="101" customFormat="1" spans="6:6">
      <c r="F51922" s="2423"/>
    </row>
    <row r="51923" s="101" customFormat="1" spans="6:6">
      <c r="F51923" s="2423"/>
    </row>
    <row r="51924" s="101" customFormat="1" spans="6:6">
      <c r="F51924" s="2423"/>
    </row>
    <row r="51925" s="101" customFormat="1" spans="6:6">
      <c r="F51925" s="2423"/>
    </row>
    <row r="51926" s="101" customFormat="1" spans="6:6">
      <c r="F51926" s="2423"/>
    </row>
    <row r="51927" s="101" customFormat="1" spans="6:6">
      <c r="F51927" s="2423"/>
    </row>
    <row r="51928" s="101" customFormat="1" spans="6:6">
      <c r="F51928" s="2423"/>
    </row>
    <row r="51929" s="101" customFormat="1" spans="6:6">
      <c r="F51929" s="2423"/>
    </row>
    <row r="51930" s="101" customFormat="1" spans="6:6">
      <c r="F51930" s="2423"/>
    </row>
    <row r="51931" s="101" customFormat="1" spans="6:6">
      <c r="F51931" s="2423"/>
    </row>
    <row r="51932" s="101" customFormat="1" spans="6:6">
      <c r="F51932" s="2423"/>
    </row>
    <row r="51933" s="101" customFormat="1" spans="6:6">
      <c r="F51933" s="2423"/>
    </row>
    <row r="51934" s="101" customFormat="1" spans="6:6">
      <c r="F51934" s="2423"/>
    </row>
    <row r="51935" s="101" customFormat="1" spans="6:6">
      <c r="F51935" s="2423"/>
    </row>
    <row r="51936" s="101" customFormat="1" spans="6:6">
      <c r="F51936" s="2423"/>
    </row>
    <row r="51937" s="101" customFormat="1" spans="6:6">
      <c r="F51937" s="2423"/>
    </row>
    <row r="51938" s="101" customFormat="1" spans="6:6">
      <c r="F51938" s="2423"/>
    </row>
    <row r="51939" s="101" customFormat="1" spans="6:6">
      <c r="F51939" s="2423"/>
    </row>
    <row r="51940" s="101" customFormat="1" spans="6:6">
      <c r="F51940" s="2423"/>
    </row>
    <row r="51941" s="101" customFormat="1" spans="6:6">
      <c r="F51941" s="2423"/>
    </row>
    <row r="51942" s="101" customFormat="1" spans="6:6">
      <c r="F51942" s="2423"/>
    </row>
    <row r="51943" s="101" customFormat="1" spans="6:6">
      <c r="F51943" s="2423"/>
    </row>
    <row r="51944" s="101" customFormat="1" spans="6:6">
      <c r="F51944" s="2423"/>
    </row>
    <row r="51945" s="101" customFormat="1" spans="6:6">
      <c r="F51945" s="2423"/>
    </row>
    <row r="51946" s="101" customFormat="1" spans="6:6">
      <c r="F51946" s="2423"/>
    </row>
    <row r="51947" s="101" customFormat="1" spans="6:6">
      <c r="F51947" s="2423"/>
    </row>
    <row r="51948" s="101" customFormat="1" spans="6:6">
      <c r="F51948" s="2423"/>
    </row>
    <row r="51949" s="101" customFormat="1" spans="6:6">
      <c r="F51949" s="2423"/>
    </row>
    <row r="51950" s="101" customFormat="1" spans="6:6">
      <c r="F51950" s="2423"/>
    </row>
    <row r="51951" s="101" customFormat="1" spans="6:6">
      <c r="F51951" s="2423"/>
    </row>
    <row r="51952" s="101" customFormat="1" spans="6:6">
      <c r="F51952" s="2423"/>
    </row>
    <row r="51953" s="101" customFormat="1" spans="6:6">
      <c r="F51953" s="2423"/>
    </row>
    <row r="51954" s="101" customFormat="1" spans="6:6">
      <c r="F51954" s="2423"/>
    </row>
    <row r="51955" s="101" customFormat="1" spans="6:6">
      <c r="F51955" s="2423"/>
    </row>
    <row r="51956" s="101" customFormat="1" spans="6:6">
      <c r="F51956" s="2423"/>
    </row>
    <row r="51957" s="101" customFormat="1" spans="6:6">
      <c r="F51957" s="2423"/>
    </row>
    <row r="51958" s="101" customFormat="1" spans="6:6">
      <c r="F51958" s="2423"/>
    </row>
    <row r="51959" s="101" customFormat="1" spans="6:6">
      <c r="F51959" s="2423"/>
    </row>
    <row r="51960" s="101" customFormat="1" spans="6:6">
      <c r="F51960" s="2423"/>
    </row>
    <row r="51961" s="101" customFormat="1" spans="6:6">
      <c r="F51961" s="2423"/>
    </row>
    <row r="51962" s="101" customFormat="1" spans="6:6">
      <c r="F51962" s="2423"/>
    </row>
    <row r="51963" s="101" customFormat="1" spans="6:6">
      <c r="F51963" s="2423"/>
    </row>
    <row r="51964" s="101" customFormat="1" spans="6:6">
      <c r="F51964" s="2423"/>
    </row>
    <row r="51965" s="101" customFormat="1" spans="6:6">
      <c r="F51965" s="2423"/>
    </row>
    <row r="51966" s="101" customFormat="1" spans="6:6">
      <c r="F51966" s="2423"/>
    </row>
    <row r="51967" s="101" customFormat="1" spans="6:6">
      <c r="F51967" s="2423"/>
    </row>
    <row r="51968" s="101" customFormat="1" spans="6:6">
      <c r="F51968" s="2423"/>
    </row>
    <row r="51969" s="101" customFormat="1" spans="6:6">
      <c r="F51969" s="2423"/>
    </row>
    <row r="51970" s="101" customFormat="1" spans="6:6">
      <c r="F51970" s="2423"/>
    </row>
    <row r="51971" s="101" customFormat="1" spans="6:6">
      <c r="F51971" s="2423"/>
    </row>
    <row r="51972" s="101" customFormat="1" spans="6:6">
      <c r="F51972" s="2423"/>
    </row>
    <row r="51973" s="101" customFormat="1" spans="6:6">
      <c r="F51973" s="2423"/>
    </row>
    <row r="51974" s="101" customFormat="1" spans="6:6">
      <c r="F51974" s="2423"/>
    </row>
    <row r="51975" s="101" customFormat="1" spans="6:6">
      <c r="F51975" s="2423"/>
    </row>
    <row r="51976" s="101" customFormat="1" spans="6:6">
      <c r="F51976" s="2423"/>
    </row>
    <row r="51977" s="101" customFormat="1" spans="6:6">
      <c r="F51977" s="2423"/>
    </row>
    <row r="51978" s="101" customFormat="1" spans="6:6">
      <c r="F51978" s="2423"/>
    </row>
    <row r="51979" s="101" customFormat="1" spans="6:6">
      <c r="F51979" s="2423"/>
    </row>
    <row r="51980" s="101" customFormat="1" spans="6:6">
      <c r="F51980" s="2423"/>
    </row>
    <row r="51981" s="101" customFormat="1" spans="6:6">
      <c r="F51981" s="2423"/>
    </row>
    <row r="51982" s="101" customFormat="1" spans="6:6">
      <c r="F51982" s="2423"/>
    </row>
    <row r="51983" s="101" customFormat="1" spans="6:6">
      <c r="F51983" s="2423"/>
    </row>
    <row r="51984" s="101" customFormat="1" spans="6:6">
      <c r="F51984" s="2423"/>
    </row>
    <row r="51985" s="101" customFormat="1" spans="6:6">
      <c r="F51985" s="2423"/>
    </row>
    <row r="51986" s="101" customFormat="1" spans="6:6">
      <c r="F51986" s="2423"/>
    </row>
    <row r="51987" s="101" customFormat="1" spans="6:6">
      <c r="F51987" s="2423"/>
    </row>
    <row r="51988" s="101" customFormat="1" spans="6:6">
      <c r="F51988" s="2423"/>
    </row>
    <row r="51989" s="101" customFormat="1" spans="6:6">
      <c r="F51989" s="2423"/>
    </row>
    <row r="51990" s="101" customFormat="1" spans="6:6">
      <c r="F51990" s="2423"/>
    </row>
    <row r="51991" s="101" customFormat="1" spans="6:6">
      <c r="F51991" s="2423"/>
    </row>
    <row r="51992" s="101" customFormat="1" spans="6:6">
      <c r="F51992" s="2423"/>
    </row>
    <row r="51993" s="101" customFormat="1" spans="6:6">
      <c r="F51993" s="2423"/>
    </row>
    <row r="51994" s="101" customFormat="1" spans="6:6">
      <c r="F51994" s="2423"/>
    </row>
    <row r="51995" s="101" customFormat="1" spans="6:6">
      <c r="F51995" s="2423"/>
    </row>
    <row r="51996" s="101" customFormat="1" spans="6:6">
      <c r="F51996" s="2423"/>
    </row>
    <row r="51997" s="101" customFormat="1" spans="6:6">
      <c r="F51997" s="2423"/>
    </row>
    <row r="51998" s="101" customFormat="1" spans="6:6">
      <c r="F51998" s="2423"/>
    </row>
    <row r="51999" s="101" customFormat="1" spans="6:6">
      <c r="F51999" s="2423"/>
    </row>
    <row r="52000" s="101" customFormat="1" spans="6:6">
      <c r="F52000" s="2423"/>
    </row>
    <row r="52001" s="101" customFormat="1" spans="6:6">
      <c r="F52001" s="2423"/>
    </row>
    <row r="52002" s="101" customFormat="1" spans="6:6">
      <c r="F52002" s="2423"/>
    </row>
    <row r="52003" s="101" customFormat="1" spans="6:6">
      <c r="F52003" s="2423"/>
    </row>
    <row r="52004" s="101" customFormat="1" spans="6:6">
      <c r="F52004" s="2423"/>
    </row>
    <row r="52005" s="101" customFormat="1" spans="6:6">
      <c r="F52005" s="2423"/>
    </row>
    <row r="52006" s="101" customFormat="1" spans="6:6">
      <c r="F52006" s="2423"/>
    </row>
    <row r="52007" s="101" customFormat="1" spans="6:6">
      <c r="F52007" s="2423"/>
    </row>
    <row r="52008" s="101" customFormat="1" spans="6:6">
      <c r="F52008" s="2423"/>
    </row>
    <row r="52009" s="101" customFormat="1" spans="6:6">
      <c r="F52009" s="2423"/>
    </row>
    <row r="52010" s="101" customFormat="1" spans="6:6">
      <c r="F52010" s="2423"/>
    </row>
    <row r="52011" s="101" customFormat="1" spans="6:6">
      <c r="F52011" s="2423"/>
    </row>
    <row r="52012" s="101" customFormat="1" spans="6:6">
      <c r="F52012" s="2423"/>
    </row>
    <row r="52013" s="101" customFormat="1" spans="6:6">
      <c r="F52013" s="2423"/>
    </row>
    <row r="52014" s="101" customFormat="1" spans="6:6">
      <c r="F52014" s="2423"/>
    </row>
    <row r="52015" s="101" customFormat="1" spans="6:6">
      <c r="F52015" s="2423"/>
    </row>
    <row r="52016" s="101" customFormat="1" spans="6:6">
      <c r="F52016" s="2423"/>
    </row>
    <row r="52017" s="101" customFormat="1" spans="6:6">
      <c r="F52017" s="2423"/>
    </row>
    <row r="52018" s="101" customFormat="1" spans="6:6">
      <c r="F52018" s="2423"/>
    </row>
    <row r="52019" s="101" customFormat="1" spans="6:6">
      <c r="F52019" s="2423"/>
    </row>
    <row r="52020" s="101" customFormat="1" spans="6:6">
      <c r="F52020" s="2423"/>
    </row>
    <row r="52021" s="101" customFormat="1" spans="6:6">
      <c r="F52021" s="2423"/>
    </row>
    <row r="52022" s="101" customFormat="1" spans="6:6">
      <c r="F52022" s="2423"/>
    </row>
    <row r="52023" s="101" customFormat="1" spans="6:6">
      <c r="F52023" s="2423"/>
    </row>
    <row r="52024" s="101" customFormat="1" spans="6:6">
      <c r="F52024" s="2423"/>
    </row>
    <row r="52025" s="101" customFormat="1" spans="6:6">
      <c r="F52025" s="2423"/>
    </row>
    <row r="52026" s="101" customFormat="1" spans="6:6">
      <c r="F52026" s="2423"/>
    </row>
    <row r="52027" s="101" customFormat="1" spans="6:6">
      <c r="F52027" s="2423"/>
    </row>
    <row r="52028" s="101" customFormat="1" spans="6:6">
      <c r="F52028" s="2423"/>
    </row>
    <row r="52029" s="101" customFormat="1" spans="6:6">
      <c r="F52029" s="2423"/>
    </row>
    <row r="52030" s="101" customFormat="1" spans="6:6">
      <c r="F52030" s="2423"/>
    </row>
    <row r="52031" s="101" customFormat="1" spans="6:6">
      <c r="F52031" s="2423"/>
    </row>
    <row r="52032" s="101" customFormat="1" spans="6:6">
      <c r="F52032" s="2423"/>
    </row>
    <row r="52033" s="101" customFormat="1" spans="6:6">
      <c r="F52033" s="2423"/>
    </row>
    <row r="52034" s="101" customFormat="1" spans="6:6">
      <c r="F52034" s="2423"/>
    </row>
    <row r="52035" s="101" customFormat="1" spans="6:6">
      <c r="F52035" s="2423"/>
    </row>
    <row r="52036" s="101" customFormat="1" spans="6:6">
      <c r="F52036" s="2423"/>
    </row>
    <row r="52037" s="101" customFormat="1" spans="6:6">
      <c r="F52037" s="2423"/>
    </row>
    <row r="52038" s="101" customFormat="1" spans="6:6">
      <c r="F52038" s="2423"/>
    </row>
    <row r="52039" s="101" customFormat="1" spans="6:6">
      <c r="F52039" s="2423"/>
    </row>
    <row r="52040" s="101" customFormat="1" spans="6:6">
      <c r="F52040" s="2423"/>
    </row>
    <row r="52041" s="101" customFormat="1" spans="6:6">
      <c r="F52041" s="2423"/>
    </row>
    <row r="52042" s="101" customFormat="1" spans="6:6">
      <c r="F52042" s="2423"/>
    </row>
    <row r="52043" s="101" customFormat="1" spans="6:6">
      <c r="F52043" s="2423"/>
    </row>
    <row r="52044" s="101" customFormat="1" spans="6:6">
      <c r="F52044" s="2423"/>
    </row>
    <row r="52045" s="101" customFormat="1" spans="6:6">
      <c r="F52045" s="2423"/>
    </row>
    <row r="52046" s="101" customFormat="1" spans="6:6">
      <c r="F52046" s="2423"/>
    </row>
    <row r="52047" s="101" customFormat="1" spans="6:6">
      <c r="F52047" s="2423"/>
    </row>
    <row r="52048" s="101" customFormat="1" spans="6:6">
      <c r="F52048" s="2423"/>
    </row>
    <row r="52049" s="101" customFormat="1" spans="6:6">
      <c r="F52049" s="2423"/>
    </row>
    <row r="52050" s="101" customFormat="1" spans="6:6">
      <c r="F52050" s="2423"/>
    </row>
    <row r="52051" s="101" customFormat="1" spans="6:6">
      <c r="F52051" s="2423"/>
    </row>
    <row r="52052" s="101" customFormat="1" spans="6:6">
      <c r="F52052" s="2423"/>
    </row>
    <row r="52053" s="101" customFormat="1" spans="6:6">
      <c r="F52053" s="2423"/>
    </row>
    <row r="52054" s="101" customFormat="1" spans="6:6">
      <c r="F52054" s="2423"/>
    </row>
    <row r="52055" s="101" customFormat="1" spans="6:6">
      <c r="F52055" s="2423"/>
    </row>
    <row r="52056" s="101" customFormat="1" spans="6:6">
      <c r="F52056" s="2423"/>
    </row>
    <row r="52057" s="101" customFormat="1" spans="6:6">
      <c r="F52057" s="2423"/>
    </row>
    <row r="52058" s="101" customFormat="1" spans="6:6">
      <c r="F52058" s="2423"/>
    </row>
    <row r="52059" s="101" customFormat="1" spans="6:6">
      <c r="F52059" s="2423"/>
    </row>
    <row r="52060" s="101" customFormat="1" spans="6:6">
      <c r="F52060" s="2423"/>
    </row>
    <row r="52061" s="101" customFormat="1" spans="6:6">
      <c r="F52061" s="2423"/>
    </row>
    <row r="52062" s="101" customFormat="1" spans="6:6">
      <c r="F52062" s="2423"/>
    </row>
    <row r="52063" s="101" customFormat="1" spans="6:6">
      <c r="F52063" s="2423"/>
    </row>
    <row r="52064" s="101" customFormat="1" spans="6:6">
      <c r="F52064" s="2423"/>
    </row>
    <row r="52065" s="101" customFormat="1" spans="6:6">
      <c r="F52065" s="2423"/>
    </row>
    <row r="52066" s="101" customFormat="1" spans="6:6">
      <c r="F52066" s="2423"/>
    </row>
    <row r="52067" s="101" customFormat="1" spans="6:6">
      <c r="F52067" s="2423"/>
    </row>
    <row r="52068" s="101" customFormat="1" spans="6:6">
      <c r="F52068" s="2423"/>
    </row>
    <row r="52069" s="101" customFormat="1" spans="6:6">
      <c r="F52069" s="2423"/>
    </row>
    <row r="52070" s="101" customFormat="1" spans="6:6">
      <c r="F52070" s="2423"/>
    </row>
    <row r="52071" s="101" customFormat="1" spans="6:6">
      <c r="F52071" s="2423"/>
    </row>
    <row r="52072" s="101" customFormat="1" spans="6:6">
      <c r="F52072" s="2423"/>
    </row>
    <row r="52073" s="101" customFormat="1" spans="6:6">
      <c r="F52073" s="2423"/>
    </row>
    <row r="52074" s="101" customFormat="1" spans="6:6">
      <c r="F52074" s="2423"/>
    </row>
    <row r="52075" s="101" customFormat="1" spans="6:6">
      <c r="F52075" s="2423"/>
    </row>
    <row r="52076" s="101" customFormat="1" spans="6:6">
      <c r="F52076" s="2423"/>
    </row>
    <row r="52077" s="101" customFormat="1" spans="6:6">
      <c r="F52077" s="2423"/>
    </row>
    <row r="52078" s="101" customFormat="1" spans="6:6">
      <c r="F52078" s="2423"/>
    </row>
    <row r="52079" s="101" customFormat="1" spans="6:6">
      <c r="F52079" s="2423"/>
    </row>
    <row r="52080" s="101" customFormat="1" spans="6:6">
      <c r="F52080" s="2423"/>
    </row>
    <row r="52081" s="101" customFormat="1" spans="6:6">
      <c r="F52081" s="2423"/>
    </row>
    <row r="52082" s="101" customFormat="1" spans="6:6">
      <c r="F52082" s="2423"/>
    </row>
    <row r="52083" s="101" customFormat="1" spans="6:6">
      <c r="F52083" s="2423"/>
    </row>
    <row r="52084" s="101" customFormat="1" spans="6:6">
      <c r="F52084" s="2423"/>
    </row>
    <row r="52085" s="101" customFormat="1" spans="6:6">
      <c r="F52085" s="2423"/>
    </row>
    <row r="52086" s="101" customFormat="1" spans="6:6">
      <c r="F52086" s="2423"/>
    </row>
    <row r="52087" s="101" customFormat="1" spans="6:6">
      <c r="F52087" s="2423"/>
    </row>
    <row r="52088" s="101" customFormat="1" spans="6:6">
      <c r="F52088" s="2423"/>
    </row>
    <row r="52089" s="101" customFormat="1" spans="6:6">
      <c r="F52089" s="2423"/>
    </row>
    <row r="52090" s="101" customFormat="1" spans="6:6">
      <c r="F52090" s="2423"/>
    </row>
    <row r="52091" s="101" customFormat="1" spans="6:6">
      <c r="F52091" s="2423"/>
    </row>
    <row r="52092" s="101" customFormat="1" spans="6:6">
      <c r="F52092" s="2423"/>
    </row>
    <row r="52093" s="101" customFormat="1" spans="6:6">
      <c r="F52093" s="2423"/>
    </row>
    <row r="52094" s="101" customFormat="1" spans="6:6">
      <c r="F52094" s="2423"/>
    </row>
    <row r="52095" s="101" customFormat="1" spans="6:6">
      <c r="F52095" s="2423"/>
    </row>
    <row r="52096" s="101" customFormat="1" spans="6:6">
      <c r="F52096" s="2423"/>
    </row>
    <row r="52097" s="101" customFormat="1" spans="6:6">
      <c r="F52097" s="2423"/>
    </row>
    <row r="52098" s="101" customFormat="1" spans="6:6">
      <c r="F52098" s="2423"/>
    </row>
    <row r="52099" s="101" customFormat="1" spans="6:6">
      <c r="F52099" s="2423"/>
    </row>
    <row r="52100" s="101" customFormat="1" spans="6:6">
      <c r="F52100" s="2423"/>
    </row>
    <row r="52101" s="101" customFormat="1" spans="6:6">
      <c r="F52101" s="2423"/>
    </row>
    <row r="52102" s="101" customFormat="1" spans="6:6">
      <c r="F52102" s="2423"/>
    </row>
    <row r="52103" s="101" customFormat="1" spans="6:6">
      <c r="F52103" s="2423"/>
    </row>
    <row r="52104" s="101" customFormat="1" spans="6:6">
      <c r="F52104" s="2423"/>
    </row>
    <row r="52105" s="101" customFormat="1" spans="6:6">
      <c r="F52105" s="2423"/>
    </row>
    <row r="52106" s="101" customFormat="1" spans="6:6">
      <c r="F52106" s="2423"/>
    </row>
    <row r="52107" s="101" customFormat="1" spans="6:6">
      <c r="F52107" s="2423"/>
    </row>
    <row r="52108" s="101" customFormat="1" spans="6:6">
      <c r="F52108" s="2423"/>
    </row>
    <row r="52109" s="101" customFormat="1" spans="6:6">
      <c r="F52109" s="2423"/>
    </row>
    <row r="52110" s="101" customFormat="1" spans="6:6">
      <c r="F52110" s="2423"/>
    </row>
    <row r="52111" s="101" customFormat="1" spans="6:6">
      <c r="F52111" s="2423"/>
    </row>
    <row r="52112" s="101" customFormat="1" spans="6:6">
      <c r="F52112" s="2423"/>
    </row>
    <row r="52113" s="101" customFormat="1" spans="6:6">
      <c r="F52113" s="2423"/>
    </row>
    <row r="52114" s="101" customFormat="1" spans="6:6">
      <c r="F52114" s="2423"/>
    </row>
    <row r="52115" s="101" customFormat="1" spans="6:6">
      <c r="F52115" s="2423"/>
    </row>
    <row r="52116" s="101" customFormat="1" spans="6:6">
      <c r="F52116" s="2423"/>
    </row>
    <row r="52117" s="101" customFormat="1" spans="6:6">
      <c r="F52117" s="2423"/>
    </row>
    <row r="52118" s="101" customFormat="1" spans="6:6">
      <c r="F52118" s="2423"/>
    </row>
    <row r="52119" s="101" customFormat="1" spans="6:6">
      <c r="F52119" s="2423"/>
    </row>
    <row r="52120" s="101" customFormat="1" spans="6:6">
      <c r="F52120" s="2423"/>
    </row>
    <row r="52121" s="101" customFormat="1" spans="6:6">
      <c r="F52121" s="2423"/>
    </row>
    <row r="52122" s="101" customFormat="1" spans="6:6">
      <c r="F52122" s="2423"/>
    </row>
    <row r="52123" s="101" customFormat="1" spans="6:6">
      <c r="F52123" s="2423"/>
    </row>
    <row r="52124" s="101" customFormat="1" spans="6:6">
      <c r="F52124" s="2423"/>
    </row>
    <row r="52125" s="101" customFormat="1" spans="6:6">
      <c r="F52125" s="2423"/>
    </row>
    <row r="52126" s="101" customFormat="1" spans="6:6">
      <c r="F52126" s="2423"/>
    </row>
    <row r="52127" s="101" customFormat="1" spans="6:6">
      <c r="F52127" s="2423"/>
    </row>
    <row r="52128" s="101" customFormat="1" spans="6:6">
      <c r="F52128" s="2423"/>
    </row>
    <row r="52129" s="101" customFormat="1" spans="6:6">
      <c r="F52129" s="2423"/>
    </row>
    <row r="52130" s="101" customFormat="1" spans="6:6">
      <c r="F52130" s="2423"/>
    </row>
    <row r="52131" s="101" customFormat="1" spans="6:6">
      <c r="F52131" s="2423"/>
    </row>
    <row r="52132" s="101" customFormat="1" spans="6:6">
      <c r="F52132" s="2423"/>
    </row>
    <row r="52133" s="101" customFormat="1" spans="6:6">
      <c r="F52133" s="2423"/>
    </row>
    <row r="52134" s="101" customFormat="1" spans="6:6">
      <c r="F52134" s="2423"/>
    </row>
    <row r="52135" s="101" customFormat="1" spans="6:6">
      <c r="F52135" s="2423"/>
    </row>
    <row r="52136" s="101" customFormat="1" spans="6:6">
      <c r="F52136" s="2423"/>
    </row>
    <row r="52137" s="101" customFormat="1" spans="6:6">
      <c r="F52137" s="2423"/>
    </row>
    <row r="52138" s="101" customFormat="1" spans="6:6">
      <c r="F52138" s="2423"/>
    </row>
    <row r="52139" s="101" customFormat="1" spans="6:6">
      <c r="F52139" s="2423"/>
    </row>
    <row r="52140" s="101" customFormat="1" spans="6:6">
      <c r="F52140" s="2423"/>
    </row>
    <row r="52141" s="101" customFormat="1" spans="6:6">
      <c r="F52141" s="2423"/>
    </row>
    <row r="52142" s="101" customFormat="1" spans="6:6">
      <c r="F52142" s="2423"/>
    </row>
    <row r="52143" s="101" customFormat="1" spans="6:6">
      <c r="F52143" s="2423"/>
    </row>
    <row r="52144" s="101" customFormat="1" spans="6:6">
      <c r="F52144" s="2423"/>
    </row>
    <row r="52145" s="101" customFormat="1" spans="6:6">
      <c r="F52145" s="2423"/>
    </row>
    <row r="52146" s="101" customFormat="1" spans="6:6">
      <c r="F52146" s="2423"/>
    </row>
    <row r="52147" s="101" customFormat="1" spans="6:6">
      <c r="F52147" s="2423"/>
    </row>
    <row r="52148" s="101" customFormat="1" spans="6:6">
      <c r="F52148" s="2423"/>
    </row>
    <row r="52149" s="101" customFormat="1" spans="6:6">
      <c r="F52149" s="2423"/>
    </row>
    <row r="52150" s="101" customFormat="1" spans="6:6">
      <c r="F52150" s="2423"/>
    </row>
    <row r="52151" s="101" customFormat="1" spans="6:6">
      <c r="F52151" s="2423"/>
    </row>
    <row r="52152" s="101" customFormat="1" spans="6:6">
      <c r="F52152" s="2423"/>
    </row>
    <row r="52153" s="101" customFormat="1" spans="6:6">
      <c r="F52153" s="2423"/>
    </row>
    <row r="52154" s="101" customFormat="1" spans="6:6">
      <c r="F52154" s="2423"/>
    </row>
    <row r="52155" s="101" customFormat="1" spans="6:6">
      <c r="F52155" s="2423"/>
    </row>
    <row r="52156" s="101" customFormat="1" spans="6:6">
      <c r="F52156" s="2423"/>
    </row>
    <row r="52157" s="101" customFormat="1" spans="6:6">
      <c r="F52157" s="2423"/>
    </row>
    <row r="52158" s="101" customFormat="1" spans="6:6">
      <c r="F52158" s="2423"/>
    </row>
    <row r="52159" s="101" customFormat="1" spans="6:6">
      <c r="F52159" s="2423"/>
    </row>
    <row r="52160" s="101" customFormat="1" spans="6:6">
      <c r="F52160" s="2423"/>
    </row>
    <row r="52161" s="101" customFormat="1" spans="6:6">
      <c r="F52161" s="2423"/>
    </row>
    <row r="52162" s="101" customFormat="1" spans="6:6">
      <c r="F52162" s="2423"/>
    </row>
    <row r="52163" s="101" customFormat="1" spans="6:6">
      <c r="F52163" s="2423"/>
    </row>
    <row r="52164" s="101" customFormat="1" spans="6:6">
      <c r="F52164" s="2423"/>
    </row>
    <row r="52165" s="101" customFormat="1" spans="6:6">
      <c r="F52165" s="2423"/>
    </row>
    <row r="52166" s="101" customFormat="1" spans="6:6">
      <c r="F52166" s="2423"/>
    </row>
    <row r="52167" s="101" customFormat="1" spans="6:6">
      <c r="F52167" s="2423"/>
    </row>
    <row r="52168" s="101" customFormat="1" spans="6:6">
      <c r="F52168" s="2423"/>
    </row>
    <row r="52169" s="101" customFormat="1" spans="6:6">
      <c r="F52169" s="2423"/>
    </row>
    <row r="52170" s="101" customFormat="1" spans="6:6">
      <c r="F52170" s="2423"/>
    </row>
    <row r="52171" s="101" customFormat="1" spans="6:6">
      <c r="F52171" s="2423"/>
    </row>
    <row r="52172" s="101" customFormat="1" spans="6:6">
      <c r="F52172" s="2423"/>
    </row>
    <row r="52173" s="101" customFormat="1" spans="6:6">
      <c r="F52173" s="2423"/>
    </row>
    <row r="52174" s="101" customFormat="1" spans="6:6">
      <c r="F52174" s="2423"/>
    </row>
    <row r="52175" s="101" customFormat="1" spans="6:6">
      <c r="F52175" s="2423"/>
    </row>
    <row r="52176" s="101" customFormat="1" spans="6:6">
      <c r="F52176" s="2423"/>
    </row>
    <row r="52177" s="101" customFormat="1" spans="6:6">
      <c r="F52177" s="2423"/>
    </row>
    <row r="52178" s="101" customFormat="1" spans="6:6">
      <c r="F52178" s="2423"/>
    </row>
    <row r="52179" s="101" customFormat="1" spans="6:6">
      <c r="F52179" s="2423"/>
    </row>
    <row r="52180" s="101" customFormat="1" spans="6:6">
      <c r="F52180" s="2423"/>
    </row>
    <row r="52181" s="101" customFormat="1" spans="6:6">
      <c r="F52181" s="2423"/>
    </row>
    <row r="52182" s="101" customFormat="1" spans="6:6">
      <c r="F52182" s="2423"/>
    </row>
    <row r="52183" s="101" customFormat="1" spans="6:6">
      <c r="F52183" s="2423"/>
    </row>
    <row r="52184" s="101" customFormat="1" spans="6:6">
      <c r="F52184" s="2423"/>
    </row>
    <row r="52185" s="101" customFormat="1" spans="6:6">
      <c r="F52185" s="2423"/>
    </row>
    <row r="52186" s="101" customFormat="1" spans="6:6">
      <c r="F52186" s="2423"/>
    </row>
    <row r="52187" s="101" customFormat="1" spans="6:6">
      <c r="F52187" s="2423"/>
    </row>
    <row r="52188" s="101" customFormat="1" spans="6:6">
      <c r="F52188" s="2423"/>
    </row>
    <row r="52189" s="101" customFormat="1" spans="6:6">
      <c r="F52189" s="2423"/>
    </row>
    <row r="52190" s="101" customFormat="1" spans="6:6">
      <c r="F52190" s="2423"/>
    </row>
    <row r="52191" s="101" customFormat="1" spans="6:6">
      <c r="F52191" s="2423"/>
    </row>
    <row r="52192" s="101" customFormat="1" spans="6:6">
      <c r="F52192" s="2423"/>
    </row>
    <row r="52193" s="101" customFormat="1" spans="6:6">
      <c r="F52193" s="2423"/>
    </row>
    <row r="52194" s="101" customFormat="1" spans="6:6">
      <c r="F52194" s="2423"/>
    </row>
    <row r="52195" s="101" customFormat="1" spans="6:6">
      <c r="F52195" s="2423"/>
    </row>
    <row r="52196" s="101" customFormat="1" spans="6:6">
      <c r="F52196" s="2423"/>
    </row>
    <row r="52197" s="101" customFormat="1" spans="6:6">
      <c r="F52197" s="2423"/>
    </row>
    <row r="52198" s="101" customFormat="1" spans="6:6">
      <c r="F52198" s="2423"/>
    </row>
    <row r="52199" s="101" customFormat="1" spans="6:6">
      <c r="F52199" s="2423"/>
    </row>
    <row r="52200" s="101" customFormat="1" spans="6:6">
      <c r="F52200" s="2423"/>
    </row>
    <row r="52201" s="101" customFormat="1" spans="6:6">
      <c r="F52201" s="2423"/>
    </row>
    <row r="52202" s="101" customFormat="1" spans="6:6">
      <c r="F52202" s="2423"/>
    </row>
    <row r="52203" s="101" customFormat="1" spans="6:6">
      <c r="F52203" s="2423"/>
    </row>
    <row r="52204" s="101" customFormat="1" spans="6:6">
      <c r="F52204" s="2423"/>
    </row>
    <row r="52205" s="101" customFormat="1" spans="6:6">
      <c r="F52205" s="2423"/>
    </row>
    <row r="52206" s="101" customFormat="1" spans="6:6">
      <c r="F52206" s="2423"/>
    </row>
    <row r="52207" s="101" customFormat="1" spans="6:6">
      <c r="F52207" s="2423"/>
    </row>
    <row r="52208" s="101" customFormat="1" spans="6:6">
      <c r="F52208" s="2423"/>
    </row>
    <row r="52209" s="101" customFormat="1" spans="6:6">
      <c r="F52209" s="2423"/>
    </row>
    <row r="52210" s="101" customFormat="1" spans="6:6">
      <c r="F52210" s="2423"/>
    </row>
    <row r="52211" s="101" customFormat="1" spans="6:6">
      <c r="F52211" s="2423"/>
    </row>
    <row r="52212" s="101" customFormat="1" spans="6:6">
      <c r="F52212" s="2423"/>
    </row>
    <row r="52213" s="101" customFormat="1" spans="6:6">
      <c r="F52213" s="2423"/>
    </row>
    <row r="52214" s="101" customFormat="1" spans="6:6">
      <c r="F52214" s="2423"/>
    </row>
    <row r="52215" s="101" customFormat="1" spans="6:6">
      <c r="F52215" s="2423"/>
    </row>
    <row r="52216" s="101" customFormat="1" spans="6:6">
      <c r="F52216" s="2423"/>
    </row>
    <row r="52217" s="101" customFormat="1" spans="6:6">
      <c r="F52217" s="2423"/>
    </row>
    <row r="52218" s="101" customFormat="1" spans="6:6">
      <c r="F52218" s="2423"/>
    </row>
    <row r="52219" s="101" customFormat="1" spans="6:6">
      <c r="F52219" s="2423"/>
    </row>
    <row r="52220" s="101" customFormat="1" spans="6:6">
      <c r="F52220" s="2423"/>
    </row>
    <row r="52221" s="101" customFormat="1" spans="6:6">
      <c r="F52221" s="2423"/>
    </row>
    <row r="52222" s="101" customFormat="1" spans="6:6">
      <c r="F52222" s="2423"/>
    </row>
    <row r="52223" s="101" customFormat="1" spans="6:6">
      <c r="F52223" s="2423"/>
    </row>
    <row r="52224" s="101" customFormat="1" spans="6:6">
      <c r="F52224" s="2423"/>
    </row>
    <row r="52225" s="101" customFormat="1" spans="6:6">
      <c r="F52225" s="2423"/>
    </row>
    <row r="52226" s="101" customFormat="1" spans="6:6">
      <c r="F52226" s="2423"/>
    </row>
    <row r="52227" s="101" customFormat="1" spans="6:6">
      <c r="F52227" s="2423"/>
    </row>
    <row r="52228" s="101" customFormat="1" spans="6:6">
      <c r="F52228" s="2423"/>
    </row>
    <row r="52229" s="101" customFormat="1" spans="6:6">
      <c r="F52229" s="2423"/>
    </row>
    <row r="52230" s="101" customFormat="1" spans="6:6">
      <c r="F52230" s="2423"/>
    </row>
    <row r="52231" s="101" customFormat="1" spans="6:6">
      <c r="F52231" s="2423"/>
    </row>
    <row r="52232" s="101" customFormat="1" spans="6:6">
      <c r="F52232" s="2423"/>
    </row>
    <row r="52233" s="101" customFormat="1" spans="6:6">
      <c r="F52233" s="2423"/>
    </row>
    <row r="52234" s="101" customFormat="1" spans="6:6">
      <c r="F52234" s="2423"/>
    </row>
    <row r="52235" s="101" customFormat="1" spans="6:6">
      <c r="F52235" s="2423"/>
    </row>
    <row r="52236" s="101" customFormat="1" spans="6:6">
      <c r="F52236" s="2423"/>
    </row>
    <row r="52237" s="101" customFormat="1" spans="6:6">
      <c r="F52237" s="2423"/>
    </row>
    <row r="52238" s="101" customFormat="1" spans="6:6">
      <c r="F52238" s="2423"/>
    </row>
    <row r="52239" s="101" customFormat="1" spans="6:6">
      <c r="F52239" s="2423"/>
    </row>
    <row r="52240" s="101" customFormat="1" spans="6:6">
      <c r="F52240" s="2423"/>
    </row>
    <row r="52241" s="101" customFormat="1" spans="6:6">
      <c r="F52241" s="2423"/>
    </row>
    <row r="52242" s="101" customFormat="1" spans="6:6">
      <c r="F52242" s="2423"/>
    </row>
    <row r="52243" s="101" customFormat="1" spans="6:6">
      <c r="F52243" s="2423"/>
    </row>
    <row r="52244" s="101" customFormat="1" spans="6:6">
      <c r="F52244" s="2423"/>
    </row>
    <row r="52245" s="101" customFormat="1" spans="6:6">
      <c r="F52245" s="2423"/>
    </row>
    <row r="52246" s="101" customFormat="1" spans="6:6">
      <c r="F52246" s="2423"/>
    </row>
    <row r="52247" s="101" customFormat="1" spans="6:6">
      <c r="F52247" s="2423"/>
    </row>
    <row r="52248" s="101" customFormat="1" spans="6:6">
      <c r="F52248" s="2423"/>
    </row>
    <row r="52249" s="101" customFormat="1" spans="6:6">
      <c r="F52249" s="2423"/>
    </row>
    <row r="52250" s="101" customFormat="1" spans="6:6">
      <c r="F52250" s="2423"/>
    </row>
    <row r="52251" s="101" customFormat="1" spans="6:6">
      <c r="F52251" s="2423"/>
    </row>
    <row r="52252" s="101" customFormat="1" spans="6:6">
      <c r="F52252" s="2423"/>
    </row>
    <row r="52253" s="101" customFormat="1" spans="6:6">
      <c r="F52253" s="2423"/>
    </row>
    <row r="52254" s="101" customFormat="1" spans="6:6">
      <c r="F52254" s="2423"/>
    </row>
    <row r="52255" s="101" customFormat="1" spans="6:6">
      <c r="F52255" s="2423"/>
    </row>
    <row r="52256" s="101" customFormat="1" spans="6:6">
      <c r="F52256" s="2423"/>
    </row>
    <row r="52257" s="101" customFormat="1" spans="6:6">
      <c r="F52257" s="2423"/>
    </row>
    <row r="52258" s="101" customFormat="1" spans="6:6">
      <c r="F52258" s="2423"/>
    </row>
    <row r="52259" s="101" customFormat="1" spans="6:6">
      <c r="F52259" s="2423"/>
    </row>
    <row r="52260" s="101" customFormat="1" spans="6:6">
      <c r="F52260" s="2423"/>
    </row>
    <row r="52261" s="101" customFormat="1" spans="6:6">
      <c r="F52261" s="2423"/>
    </row>
    <row r="52262" s="101" customFormat="1" spans="6:6">
      <c r="F52262" s="2423"/>
    </row>
    <row r="52263" s="101" customFormat="1" spans="6:6">
      <c r="F52263" s="2423"/>
    </row>
    <row r="52264" s="101" customFormat="1" spans="6:6">
      <c r="F52264" s="2423"/>
    </row>
    <row r="52265" s="101" customFormat="1" spans="6:6">
      <c r="F52265" s="2423"/>
    </row>
    <row r="52266" s="101" customFormat="1" spans="6:6">
      <c r="F52266" s="2423"/>
    </row>
    <row r="52267" s="101" customFormat="1" spans="6:6">
      <c r="F52267" s="2423"/>
    </row>
    <row r="52268" s="101" customFormat="1" spans="6:6">
      <c r="F52268" s="2423"/>
    </row>
    <row r="52269" s="101" customFormat="1" spans="6:6">
      <c r="F52269" s="2423"/>
    </row>
    <row r="52270" s="101" customFormat="1" spans="6:6">
      <c r="F52270" s="2423"/>
    </row>
    <row r="52271" s="101" customFormat="1" spans="6:6">
      <c r="F52271" s="2423"/>
    </row>
    <row r="52272" s="101" customFormat="1" spans="6:6">
      <c r="F52272" s="2423"/>
    </row>
    <row r="52273" s="101" customFormat="1" spans="6:6">
      <c r="F52273" s="2423"/>
    </row>
    <row r="52274" s="101" customFormat="1" spans="6:6">
      <c r="F52274" s="2423"/>
    </row>
    <row r="52275" s="101" customFormat="1" spans="6:6">
      <c r="F52275" s="2423"/>
    </row>
    <row r="52276" s="101" customFormat="1" spans="6:6">
      <c r="F52276" s="2423"/>
    </row>
    <row r="52277" s="101" customFormat="1" spans="6:6">
      <c r="F52277" s="2423"/>
    </row>
    <row r="52278" s="101" customFormat="1" spans="6:6">
      <c r="F52278" s="2423"/>
    </row>
    <row r="52279" s="101" customFormat="1" spans="6:6">
      <c r="F52279" s="2423"/>
    </row>
    <row r="52280" s="101" customFormat="1" spans="6:6">
      <c r="F52280" s="2423"/>
    </row>
    <row r="52281" s="101" customFormat="1" spans="6:6">
      <c r="F52281" s="2423"/>
    </row>
    <row r="52282" s="101" customFormat="1" spans="6:6">
      <c r="F52282" s="2423"/>
    </row>
    <row r="52283" s="101" customFormat="1" spans="6:6">
      <c r="F52283" s="2423"/>
    </row>
    <row r="52284" s="101" customFormat="1" spans="6:6">
      <c r="F52284" s="2423"/>
    </row>
    <row r="52285" s="101" customFormat="1" spans="6:6">
      <c r="F52285" s="2423"/>
    </row>
    <row r="52286" s="101" customFormat="1" spans="6:6">
      <c r="F52286" s="2423"/>
    </row>
    <row r="52287" s="101" customFormat="1" spans="6:6">
      <c r="F52287" s="2423"/>
    </row>
    <row r="52288" s="101" customFormat="1" spans="6:6">
      <c r="F52288" s="2423"/>
    </row>
    <row r="52289" s="101" customFormat="1" spans="6:6">
      <c r="F52289" s="2423"/>
    </row>
    <row r="52290" s="101" customFormat="1" spans="6:6">
      <c r="F52290" s="2423"/>
    </row>
    <row r="52291" s="101" customFormat="1" spans="6:6">
      <c r="F52291" s="2423"/>
    </row>
    <row r="52292" s="101" customFormat="1" spans="6:6">
      <c r="F52292" s="2423"/>
    </row>
    <row r="52293" s="101" customFormat="1" spans="6:6">
      <c r="F52293" s="2423"/>
    </row>
    <row r="52294" s="101" customFormat="1" spans="6:6">
      <c r="F52294" s="2423"/>
    </row>
    <row r="52295" s="101" customFormat="1" spans="6:6">
      <c r="F52295" s="2423"/>
    </row>
    <row r="52296" s="101" customFormat="1" spans="6:6">
      <c r="F52296" s="2423"/>
    </row>
    <row r="52297" s="101" customFormat="1" spans="6:6">
      <c r="F52297" s="2423"/>
    </row>
    <row r="52298" s="101" customFormat="1" spans="6:6">
      <c r="F52298" s="2423"/>
    </row>
    <row r="52299" s="101" customFormat="1" spans="6:6">
      <c r="F52299" s="2423"/>
    </row>
    <row r="52300" s="101" customFormat="1" spans="6:6">
      <c r="F52300" s="2423"/>
    </row>
    <row r="52301" s="101" customFormat="1" spans="6:6">
      <c r="F52301" s="2423"/>
    </row>
    <row r="52302" s="101" customFormat="1" spans="6:6">
      <c r="F52302" s="2423"/>
    </row>
    <row r="52303" s="101" customFormat="1" spans="6:6">
      <c r="F52303" s="2423"/>
    </row>
    <row r="52304" s="101" customFormat="1" spans="6:6">
      <c r="F52304" s="2423"/>
    </row>
    <row r="52305" s="101" customFormat="1" spans="6:6">
      <c r="F52305" s="2423"/>
    </row>
    <row r="52306" s="101" customFormat="1" spans="6:6">
      <c r="F52306" s="2423"/>
    </row>
    <row r="52307" s="101" customFormat="1" spans="6:6">
      <c r="F52307" s="2423"/>
    </row>
    <row r="52308" s="101" customFormat="1" spans="6:6">
      <c r="F52308" s="2423"/>
    </row>
    <row r="52309" s="101" customFormat="1" spans="6:6">
      <c r="F52309" s="2423"/>
    </row>
    <row r="52310" s="101" customFormat="1" spans="6:6">
      <c r="F52310" s="2423"/>
    </row>
    <row r="52311" s="101" customFormat="1" spans="6:6">
      <c r="F52311" s="2423"/>
    </row>
    <row r="52312" s="101" customFormat="1" spans="6:6">
      <c r="F52312" s="2423"/>
    </row>
    <row r="52313" s="101" customFormat="1" spans="6:6">
      <c r="F52313" s="2423"/>
    </row>
    <row r="52314" s="101" customFormat="1" spans="6:6">
      <c r="F52314" s="2423"/>
    </row>
    <row r="52315" s="101" customFormat="1" spans="6:6">
      <c r="F52315" s="2423"/>
    </row>
    <row r="52316" s="101" customFormat="1" spans="6:6">
      <c r="F52316" s="2423"/>
    </row>
    <row r="52317" s="101" customFormat="1" spans="6:6">
      <c r="F52317" s="2423"/>
    </row>
    <row r="52318" s="101" customFormat="1" spans="6:6">
      <c r="F52318" s="2423"/>
    </row>
    <row r="52319" s="101" customFormat="1" spans="6:6">
      <c r="F52319" s="2423"/>
    </row>
    <row r="52320" s="101" customFormat="1" spans="6:6">
      <c r="F52320" s="2423"/>
    </row>
    <row r="52321" s="101" customFormat="1" spans="6:6">
      <c r="F52321" s="2423"/>
    </row>
    <row r="52322" s="101" customFormat="1" spans="6:6">
      <c r="F52322" s="2423"/>
    </row>
    <row r="52323" s="101" customFormat="1" spans="6:6">
      <c r="F52323" s="2423"/>
    </row>
    <row r="52324" s="101" customFormat="1" spans="6:6">
      <c r="F52324" s="2423"/>
    </row>
    <row r="52325" s="101" customFormat="1" spans="6:6">
      <c r="F52325" s="2423"/>
    </row>
    <row r="52326" s="101" customFormat="1" spans="6:6">
      <c r="F52326" s="2423"/>
    </row>
    <row r="52327" s="101" customFormat="1" spans="6:6">
      <c r="F52327" s="2423"/>
    </row>
    <row r="52328" s="101" customFormat="1" spans="6:6">
      <c r="F52328" s="2423"/>
    </row>
    <row r="52329" s="101" customFormat="1" spans="6:6">
      <c r="F52329" s="2423"/>
    </row>
    <row r="52330" s="101" customFormat="1" spans="6:6">
      <c r="F52330" s="2423"/>
    </row>
    <row r="52331" s="101" customFormat="1" spans="6:6">
      <c r="F52331" s="2423"/>
    </row>
    <row r="52332" s="101" customFormat="1" spans="6:6">
      <c r="F52332" s="2423"/>
    </row>
    <row r="52333" s="101" customFormat="1" spans="6:6">
      <c r="F52333" s="2423"/>
    </row>
    <row r="52334" s="101" customFormat="1" spans="6:6">
      <c r="F52334" s="2423"/>
    </row>
    <row r="52335" s="101" customFormat="1" spans="6:6">
      <c r="F52335" s="2423"/>
    </row>
    <row r="52336" s="101" customFormat="1" spans="6:6">
      <c r="F52336" s="2423"/>
    </row>
    <row r="52337" s="101" customFormat="1" spans="6:6">
      <c r="F52337" s="2423"/>
    </row>
    <row r="52338" s="101" customFormat="1" spans="6:6">
      <c r="F52338" s="2423"/>
    </row>
    <row r="52339" s="101" customFormat="1" spans="6:6">
      <c r="F52339" s="2423"/>
    </row>
    <row r="52340" s="101" customFormat="1" spans="6:6">
      <c r="F52340" s="2423"/>
    </row>
    <row r="52341" s="101" customFormat="1" spans="6:6">
      <c r="F52341" s="2423"/>
    </row>
    <row r="52342" s="101" customFormat="1" spans="6:6">
      <c r="F52342" s="2423"/>
    </row>
    <row r="52343" s="101" customFormat="1" spans="6:6">
      <c r="F52343" s="2423"/>
    </row>
    <row r="52344" s="101" customFormat="1" spans="6:6">
      <c r="F52344" s="2423"/>
    </row>
    <row r="52345" s="101" customFormat="1" spans="6:6">
      <c r="F52345" s="2423"/>
    </row>
    <row r="52346" s="101" customFormat="1" spans="6:6">
      <c r="F52346" s="2423"/>
    </row>
    <row r="52347" s="101" customFormat="1" spans="6:6">
      <c r="F52347" s="2423"/>
    </row>
    <row r="52348" s="101" customFormat="1" spans="6:6">
      <c r="F52348" s="2423"/>
    </row>
    <row r="52349" s="101" customFormat="1" spans="6:6">
      <c r="F52349" s="2423"/>
    </row>
    <row r="52350" s="101" customFormat="1" spans="6:6">
      <c r="F52350" s="2423"/>
    </row>
    <row r="52351" s="101" customFormat="1" spans="6:6">
      <c r="F52351" s="2423"/>
    </row>
    <row r="52352" s="101" customFormat="1" spans="6:6">
      <c r="F52352" s="2423"/>
    </row>
    <row r="52353" s="101" customFormat="1" spans="6:6">
      <c r="F52353" s="2423"/>
    </row>
    <row r="52354" s="101" customFormat="1" spans="6:6">
      <c r="F52354" s="2423"/>
    </row>
    <row r="52355" s="101" customFormat="1" spans="6:6">
      <c r="F52355" s="2423"/>
    </row>
    <row r="52356" s="101" customFormat="1" spans="6:6">
      <c r="F52356" s="2423"/>
    </row>
    <row r="52357" s="101" customFormat="1" spans="6:6">
      <c r="F52357" s="2423"/>
    </row>
    <row r="52358" s="101" customFormat="1" spans="6:6">
      <c r="F52358" s="2423"/>
    </row>
    <row r="52359" s="101" customFormat="1" spans="6:6">
      <c r="F52359" s="2423"/>
    </row>
    <row r="52360" s="101" customFormat="1" spans="6:6">
      <c r="F52360" s="2423"/>
    </row>
    <row r="52361" s="101" customFormat="1" spans="6:6">
      <c r="F52361" s="2423"/>
    </row>
    <row r="52362" s="101" customFormat="1" spans="6:6">
      <c r="F52362" s="2423"/>
    </row>
    <row r="52363" s="101" customFormat="1" spans="6:6">
      <c r="F52363" s="2423"/>
    </row>
    <row r="52364" s="101" customFormat="1" spans="6:6">
      <c r="F52364" s="2423"/>
    </row>
    <row r="52365" s="101" customFormat="1" spans="6:6">
      <c r="F52365" s="2423"/>
    </row>
    <row r="52366" s="101" customFormat="1" spans="6:6">
      <c r="F52366" s="2423"/>
    </row>
    <row r="52367" s="101" customFormat="1" spans="6:6">
      <c r="F52367" s="2423"/>
    </row>
    <row r="52368" s="101" customFormat="1" spans="6:6">
      <c r="F52368" s="2423"/>
    </row>
    <row r="52369" s="101" customFormat="1" spans="6:6">
      <c r="F52369" s="2423"/>
    </row>
    <row r="52370" s="101" customFormat="1" spans="6:6">
      <c r="F52370" s="2423"/>
    </row>
    <row r="52371" s="101" customFormat="1" spans="6:6">
      <c r="F52371" s="2423"/>
    </row>
    <row r="52372" s="101" customFormat="1" spans="6:6">
      <c r="F52372" s="2423"/>
    </row>
    <row r="52373" s="101" customFormat="1" spans="6:6">
      <c r="F52373" s="2423"/>
    </row>
    <row r="52374" s="101" customFormat="1" spans="6:6">
      <c r="F52374" s="2423"/>
    </row>
    <row r="52375" s="101" customFormat="1" spans="6:6">
      <c r="F52375" s="2423"/>
    </row>
    <row r="52376" s="101" customFormat="1" spans="6:6">
      <c r="F52376" s="2423"/>
    </row>
    <row r="52377" s="101" customFormat="1" spans="6:6">
      <c r="F52377" s="2423"/>
    </row>
    <row r="52378" s="101" customFormat="1" spans="6:6">
      <c r="F52378" s="2423"/>
    </row>
    <row r="52379" s="101" customFormat="1" spans="6:6">
      <c r="F52379" s="2423"/>
    </row>
    <row r="52380" s="101" customFormat="1" spans="6:6">
      <c r="F52380" s="2423"/>
    </row>
    <row r="52381" s="101" customFormat="1" spans="6:6">
      <c r="F52381" s="2423"/>
    </row>
    <row r="52382" s="101" customFormat="1" spans="6:6">
      <c r="F52382" s="2423"/>
    </row>
    <row r="52383" s="101" customFormat="1" spans="6:6">
      <c r="F52383" s="2423"/>
    </row>
    <row r="52384" s="101" customFormat="1" spans="6:6">
      <c r="F52384" s="2423"/>
    </row>
    <row r="52385" s="101" customFormat="1" spans="6:6">
      <c r="F52385" s="2423"/>
    </row>
    <row r="52386" s="101" customFormat="1" spans="6:6">
      <c r="F52386" s="2423"/>
    </row>
    <row r="52387" s="101" customFormat="1" spans="6:6">
      <c r="F52387" s="2423"/>
    </row>
    <row r="52388" s="101" customFormat="1" spans="6:6">
      <c r="F52388" s="2423"/>
    </row>
    <row r="52389" s="101" customFormat="1" spans="6:6">
      <c r="F52389" s="2423"/>
    </row>
    <row r="52390" s="101" customFormat="1" spans="6:6">
      <c r="F52390" s="2423"/>
    </row>
    <row r="52391" s="101" customFormat="1" spans="6:6">
      <c r="F52391" s="2423"/>
    </row>
    <row r="52392" s="101" customFormat="1" spans="6:6">
      <c r="F52392" s="2423"/>
    </row>
    <row r="52393" s="101" customFormat="1" spans="6:6">
      <c r="F52393" s="2423"/>
    </row>
    <row r="52394" s="101" customFormat="1" spans="6:6">
      <c r="F52394" s="2423"/>
    </row>
    <row r="52395" s="101" customFormat="1" spans="6:6">
      <c r="F52395" s="2423"/>
    </row>
    <row r="52396" s="101" customFormat="1" spans="6:6">
      <c r="F52396" s="2423"/>
    </row>
    <row r="52397" s="101" customFormat="1" spans="6:6">
      <c r="F52397" s="2423"/>
    </row>
    <row r="52398" s="101" customFormat="1" spans="6:6">
      <c r="F52398" s="2423"/>
    </row>
    <row r="52399" s="101" customFormat="1" spans="6:6">
      <c r="F52399" s="2423"/>
    </row>
    <row r="52400" s="101" customFormat="1" spans="6:6">
      <c r="F52400" s="2423"/>
    </row>
    <row r="52401" s="101" customFormat="1" spans="6:6">
      <c r="F52401" s="2423"/>
    </row>
    <row r="52402" s="101" customFormat="1" spans="6:6">
      <c r="F52402" s="2423"/>
    </row>
    <row r="52403" s="101" customFormat="1" spans="6:6">
      <c r="F52403" s="2423"/>
    </row>
    <row r="52404" s="101" customFormat="1" spans="6:6">
      <c r="F52404" s="2423"/>
    </row>
    <row r="52405" s="101" customFormat="1" spans="6:6">
      <c r="F52405" s="2423"/>
    </row>
    <row r="52406" s="101" customFormat="1" spans="6:6">
      <c r="F52406" s="2423"/>
    </row>
    <row r="52407" s="101" customFormat="1" spans="6:6">
      <c r="F52407" s="2423"/>
    </row>
    <row r="52408" s="101" customFormat="1" spans="6:6">
      <c r="F52408" s="2423"/>
    </row>
    <row r="52409" s="101" customFormat="1" spans="6:6">
      <c r="F52409" s="2423"/>
    </row>
    <row r="52410" s="101" customFormat="1" spans="6:6">
      <c r="F52410" s="2423"/>
    </row>
    <row r="52411" s="101" customFormat="1" spans="6:6">
      <c r="F52411" s="2423"/>
    </row>
    <row r="52412" s="101" customFormat="1" spans="6:6">
      <c r="F52412" s="2423"/>
    </row>
    <row r="52413" s="101" customFormat="1" spans="6:6">
      <c r="F52413" s="2423"/>
    </row>
    <row r="52414" s="101" customFormat="1" spans="6:6">
      <c r="F52414" s="2423"/>
    </row>
    <row r="52415" s="101" customFormat="1" spans="6:6">
      <c r="F52415" s="2423"/>
    </row>
    <row r="52416" s="101" customFormat="1" spans="6:6">
      <c r="F52416" s="2423"/>
    </row>
    <row r="52417" s="101" customFormat="1" spans="6:6">
      <c r="F52417" s="2423"/>
    </row>
    <row r="52418" s="101" customFormat="1" spans="6:6">
      <c r="F52418" s="2423"/>
    </row>
    <row r="52419" s="101" customFormat="1" spans="6:6">
      <c r="F52419" s="2423"/>
    </row>
    <row r="52420" s="101" customFormat="1" spans="6:6">
      <c r="F52420" s="2423"/>
    </row>
    <row r="52421" s="101" customFormat="1" spans="6:6">
      <c r="F52421" s="2423"/>
    </row>
    <row r="52422" s="101" customFormat="1" spans="6:6">
      <c r="F52422" s="2423"/>
    </row>
    <row r="52423" s="101" customFormat="1" spans="6:6">
      <c r="F52423" s="2423"/>
    </row>
    <row r="52424" s="101" customFormat="1" spans="6:6">
      <c r="F52424" s="2423"/>
    </row>
    <row r="52425" s="101" customFormat="1" spans="6:6">
      <c r="F52425" s="2423"/>
    </row>
    <row r="52426" s="101" customFormat="1" spans="6:6">
      <c r="F52426" s="2423"/>
    </row>
    <row r="52427" s="101" customFormat="1" spans="6:6">
      <c r="F52427" s="2423"/>
    </row>
    <row r="52428" s="101" customFormat="1" spans="6:6">
      <c r="F52428" s="2423"/>
    </row>
    <row r="52429" s="101" customFormat="1" spans="6:6">
      <c r="F52429" s="2423"/>
    </row>
    <row r="52430" s="101" customFormat="1" spans="6:6">
      <c r="F52430" s="2423"/>
    </row>
    <row r="52431" s="101" customFormat="1" spans="6:6">
      <c r="F52431" s="2423"/>
    </row>
    <row r="52432" s="101" customFormat="1" spans="6:6">
      <c r="F52432" s="2423"/>
    </row>
    <row r="52433" s="101" customFormat="1" spans="6:6">
      <c r="F52433" s="2423"/>
    </row>
    <row r="52434" s="101" customFormat="1" spans="6:6">
      <c r="F52434" s="2423"/>
    </row>
    <row r="52435" s="101" customFormat="1" spans="6:6">
      <c r="F52435" s="2423"/>
    </row>
    <row r="52436" s="101" customFormat="1" spans="6:6">
      <c r="F52436" s="2423"/>
    </row>
    <row r="52437" s="101" customFormat="1" spans="6:6">
      <c r="F52437" s="2423"/>
    </row>
    <row r="52438" s="101" customFormat="1" spans="6:6">
      <c r="F52438" s="2423"/>
    </row>
    <row r="52439" s="101" customFormat="1" spans="6:6">
      <c r="F52439" s="2423"/>
    </row>
    <row r="52440" s="101" customFormat="1" spans="6:6">
      <c r="F52440" s="2423"/>
    </row>
    <row r="52441" s="101" customFormat="1" spans="6:6">
      <c r="F52441" s="2423"/>
    </row>
    <row r="52442" s="101" customFormat="1" spans="6:6">
      <c r="F52442" s="2423"/>
    </row>
    <row r="52443" s="101" customFormat="1" spans="6:6">
      <c r="F52443" s="2423"/>
    </row>
    <row r="52444" s="101" customFormat="1" spans="6:6">
      <c r="F52444" s="2423"/>
    </row>
    <row r="52445" s="101" customFormat="1" spans="6:6">
      <c r="F52445" s="2423"/>
    </row>
    <row r="52446" s="101" customFormat="1" spans="6:6">
      <c r="F52446" s="2423"/>
    </row>
    <row r="52447" s="101" customFormat="1" spans="6:6">
      <c r="F52447" s="2423"/>
    </row>
    <row r="52448" s="101" customFormat="1" spans="6:6">
      <c r="F52448" s="2423"/>
    </row>
    <row r="52449" s="101" customFormat="1" spans="6:6">
      <c r="F52449" s="2423"/>
    </row>
    <row r="52450" s="101" customFormat="1" spans="6:6">
      <c r="F52450" s="2423"/>
    </row>
    <row r="52451" s="101" customFormat="1" spans="6:6">
      <c r="F52451" s="2423"/>
    </row>
    <row r="52452" s="101" customFormat="1" spans="6:6">
      <c r="F52452" s="2423"/>
    </row>
    <row r="52453" s="101" customFormat="1" spans="6:6">
      <c r="F52453" s="2423"/>
    </row>
    <row r="52454" s="101" customFormat="1" spans="6:6">
      <c r="F52454" s="2423"/>
    </row>
    <row r="52455" s="101" customFormat="1" spans="6:6">
      <c r="F52455" s="2423"/>
    </row>
    <row r="52456" s="101" customFormat="1" spans="6:6">
      <c r="F52456" s="2423"/>
    </row>
    <row r="52457" s="101" customFormat="1" spans="6:6">
      <c r="F52457" s="2423"/>
    </row>
    <row r="52458" s="101" customFormat="1" spans="6:6">
      <c r="F52458" s="2423"/>
    </row>
    <row r="52459" s="101" customFormat="1" spans="6:6">
      <c r="F52459" s="2423"/>
    </row>
    <row r="52460" s="101" customFormat="1" spans="6:6">
      <c r="F52460" s="2423"/>
    </row>
    <row r="52461" s="101" customFormat="1" spans="6:6">
      <c r="F52461" s="2423"/>
    </row>
    <row r="52462" s="101" customFormat="1" spans="6:6">
      <c r="F52462" s="2423"/>
    </row>
    <row r="52463" s="101" customFormat="1" spans="6:6">
      <c r="F52463" s="2423"/>
    </row>
    <row r="52464" s="101" customFormat="1" spans="6:6">
      <c r="F52464" s="2423"/>
    </row>
    <row r="52465" s="101" customFormat="1" spans="6:6">
      <c r="F52465" s="2423"/>
    </row>
    <row r="52466" s="101" customFormat="1" spans="6:6">
      <c r="F52466" s="2423"/>
    </row>
    <row r="52467" s="101" customFormat="1" spans="6:6">
      <c r="F52467" s="2423"/>
    </row>
    <row r="52468" s="101" customFormat="1" spans="6:6">
      <c r="F52468" s="2423"/>
    </row>
    <row r="52469" s="101" customFormat="1" spans="6:6">
      <c r="F52469" s="2423"/>
    </row>
    <row r="52470" s="101" customFormat="1" spans="6:6">
      <c r="F52470" s="2423"/>
    </row>
    <row r="52471" s="101" customFormat="1" spans="6:6">
      <c r="F52471" s="2423"/>
    </row>
    <row r="52472" s="101" customFormat="1" spans="6:6">
      <c r="F52472" s="2423"/>
    </row>
    <row r="52473" s="101" customFormat="1" spans="6:6">
      <c r="F52473" s="2423"/>
    </row>
    <row r="52474" s="101" customFormat="1" spans="6:6">
      <c r="F52474" s="2423"/>
    </row>
    <row r="52475" s="101" customFormat="1" spans="6:6">
      <c r="F52475" s="2423"/>
    </row>
    <row r="52476" s="101" customFormat="1" spans="6:6">
      <c r="F52476" s="2423"/>
    </row>
    <row r="52477" s="101" customFormat="1" spans="6:6">
      <c r="F52477" s="2423"/>
    </row>
    <row r="52478" s="101" customFormat="1" spans="6:6">
      <c r="F52478" s="2423"/>
    </row>
    <row r="52479" s="101" customFormat="1" spans="6:6">
      <c r="F52479" s="2423"/>
    </row>
    <row r="52480" s="101" customFormat="1" spans="6:6">
      <c r="F52480" s="2423"/>
    </row>
    <row r="52481" s="101" customFormat="1" spans="6:6">
      <c r="F52481" s="2423"/>
    </row>
    <row r="52482" s="101" customFormat="1" spans="6:6">
      <c r="F52482" s="2423"/>
    </row>
    <row r="52483" s="101" customFormat="1" spans="6:6">
      <c r="F52483" s="2423"/>
    </row>
    <row r="52484" s="101" customFormat="1" spans="6:6">
      <c r="F52484" s="2423"/>
    </row>
    <row r="52485" s="101" customFormat="1" spans="6:6">
      <c r="F52485" s="2423"/>
    </row>
    <row r="52486" s="101" customFormat="1" spans="6:6">
      <c r="F52486" s="2423"/>
    </row>
    <row r="52487" s="101" customFormat="1" spans="6:6">
      <c r="F52487" s="2423"/>
    </row>
    <row r="52488" s="101" customFormat="1" spans="6:6">
      <c r="F52488" s="2423"/>
    </row>
    <row r="52489" s="101" customFormat="1" spans="6:6">
      <c r="F52489" s="2423"/>
    </row>
    <row r="52490" s="101" customFormat="1" spans="6:6">
      <c r="F52490" s="2423"/>
    </row>
    <row r="52491" s="101" customFormat="1" spans="6:6">
      <c r="F52491" s="2423"/>
    </row>
    <row r="52492" s="101" customFormat="1" spans="6:6">
      <c r="F52492" s="2423"/>
    </row>
    <row r="52493" s="101" customFormat="1" spans="6:6">
      <c r="F52493" s="2423"/>
    </row>
    <row r="52494" s="101" customFormat="1" spans="6:6">
      <c r="F52494" s="2423"/>
    </row>
    <row r="52495" s="101" customFormat="1" spans="6:6">
      <c r="F52495" s="2423"/>
    </row>
    <row r="52496" s="101" customFormat="1" spans="6:6">
      <c r="F52496" s="2423"/>
    </row>
    <row r="52497" s="101" customFormat="1" spans="6:6">
      <c r="F52497" s="2423"/>
    </row>
    <row r="52498" s="101" customFormat="1" spans="6:6">
      <c r="F52498" s="2423"/>
    </row>
    <row r="52499" s="101" customFormat="1" spans="6:6">
      <c r="F52499" s="2423"/>
    </row>
    <row r="52500" s="101" customFormat="1" spans="6:6">
      <c r="F52500" s="2423"/>
    </row>
    <row r="52501" s="101" customFormat="1" spans="6:6">
      <c r="F52501" s="2423"/>
    </row>
    <row r="52502" s="101" customFormat="1" spans="6:6">
      <c r="F52502" s="2423"/>
    </row>
    <row r="52503" s="101" customFormat="1" spans="6:6">
      <c r="F52503" s="2423"/>
    </row>
    <row r="52504" s="101" customFormat="1" spans="6:6">
      <c r="F52504" s="2423"/>
    </row>
    <row r="52505" s="101" customFormat="1" spans="6:6">
      <c r="F52505" s="2423"/>
    </row>
    <row r="52506" s="101" customFormat="1" spans="6:6">
      <c r="F52506" s="2423"/>
    </row>
    <row r="52507" s="101" customFormat="1" spans="6:6">
      <c r="F52507" s="2423"/>
    </row>
    <row r="52508" s="101" customFormat="1" spans="6:6">
      <c r="F52508" s="2423"/>
    </row>
    <row r="52509" s="101" customFormat="1" spans="6:6">
      <c r="F52509" s="2423"/>
    </row>
    <row r="52510" s="101" customFormat="1" spans="6:6">
      <c r="F52510" s="2423"/>
    </row>
    <row r="52511" s="101" customFormat="1" spans="6:6">
      <c r="F52511" s="2423"/>
    </row>
    <row r="52512" s="101" customFormat="1" spans="6:6">
      <c r="F52512" s="2423"/>
    </row>
    <row r="52513" s="101" customFormat="1" spans="6:6">
      <c r="F52513" s="2423"/>
    </row>
    <row r="52514" s="101" customFormat="1" spans="6:6">
      <c r="F52514" s="2423"/>
    </row>
    <row r="52515" s="101" customFormat="1" spans="6:6">
      <c r="F52515" s="2423"/>
    </row>
    <row r="52516" s="101" customFormat="1" spans="6:6">
      <c r="F52516" s="2423"/>
    </row>
    <row r="52517" s="101" customFormat="1" spans="6:6">
      <c r="F52517" s="2423"/>
    </row>
    <row r="52518" s="101" customFormat="1" spans="6:6">
      <c r="F52518" s="2423"/>
    </row>
    <row r="52519" s="101" customFormat="1" spans="6:6">
      <c r="F52519" s="2423"/>
    </row>
    <row r="52520" s="101" customFormat="1" spans="6:6">
      <c r="F52520" s="2423"/>
    </row>
    <row r="52521" s="101" customFormat="1" spans="6:6">
      <c r="F52521" s="2423"/>
    </row>
    <row r="52522" s="101" customFormat="1" spans="6:6">
      <c r="F52522" s="2423"/>
    </row>
    <row r="52523" s="101" customFormat="1" spans="6:6">
      <c r="F52523" s="2423"/>
    </row>
    <row r="52524" s="101" customFormat="1" spans="6:6">
      <c r="F52524" s="2423"/>
    </row>
    <row r="52525" s="101" customFormat="1" spans="6:6">
      <c r="F52525" s="2423"/>
    </row>
    <row r="52526" s="101" customFormat="1" spans="6:6">
      <c r="F52526" s="2423"/>
    </row>
    <row r="52527" s="101" customFormat="1" spans="6:6">
      <c r="F52527" s="2423"/>
    </row>
    <row r="52528" s="101" customFormat="1" spans="6:6">
      <c r="F52528" s="2423"/>
    </row>
    <row r="52529" s="101" customFormat="1" spans="6:6">
      <c r="F52529" s="2423"/>
    </row>
    <row r="52530" s="101" customFormat="1" spans="6:6">
      <c r="F52530" s="2423"/>
    </row>
    <row r="52531" s="101" customFormat="1" spans="6:6">
      <c r="F52531" s="2423"/>
    </row>
    <row r="52532" s="101" customFormat="1" spans="6:6">
      <c r="F52532" s="2423"/>
    </row>
    <row r="52533" s="101" customFormat="1" spans="6:6">
      <c r="F52533" s="2423"/>
    </row>
    <row r="52534" s="101" customFormat="1" spans="6:6">
      <c r="F52534" s="2423"/>
    </row>
    <row r="52535" s="101" customFormat="1" spans="6:6">
      <c r="F52535" s="2423"/>
    </row>
    <row r="52536" s="101" customFormat="1" spans="6:6">
      <c r="F52536" s="2423"/>
    </row>
    <row r="52537" s="101" customFormat="1" spans="6:6">
      <c r="F52537" s="2423"/>
    </row>
    <row r="52538" s="101" customFormat="1" spans="6:6">
      <c r="F52538" s="2423"/>
    </row>
    <row r="52539" s="101" customFormat="1" spans="6:6">
      <c r="F52539" s="2423"/>
    </row>
    <row r="52540" s="101" customFormat="1" spans="6:6">
      <c r="F52540" s="2423"/>
    </row>
    <row r="52541" s="101" customFormat="1" spans="6:6">
      <c r="F52541" s="2423"/>
    </row>
    <row r="52542" s="101" customFormat="1" spans="6:6">
      <c r="F52542" s="2423"/>
    </row>
    <row r="52543" s="101" customFormat="1" spans="6:6">
      <c r="F52543" s="2423"/>
    </row>
    <row r="52544" s="101" customFormat="1" spans="6:6">
      <c r="F52544" s="2423"/>
    </row>
    <row r="52545" s="101" customFormat="1" spans="6:6">
      <c r="F52545" s="2423"/>
    </row>
    <row r="52546" s="101" customFormat="1" spans="6:6">
      <c r="F52546" s="2423"/>
    </row>
    <row r="52547" s="101" customFormat="1" spans="6:6">
      <c r="F52547" s="2423"/>
    </row>
    <row r="52548" s="101" customFormat="1" spans="6:6">
      <c r="F52548" s="2423"/>
    </row>
    <row r="52549" s="101" customFormat="1" spans="6:6">
      <c r="F52549" s="2423"/>
    </row>
    <row r="52550" s="101" customFormat="1" spans="6:6">
      <c r="F52550" s="2423"/>
    </row>
    <row r="52551" s="101" customFormat="1" spans="6:6">
      <c r="F52551" s="2423"/>
    </row>
    <row r="52552" s="101" customFormat="1" spans="6:6">
      <c r="F52552" s="2423"/>
    </row>
    <row r="52553" s="101" customFormat="1" spans="6:6">
      <c r="F52553" s="2423"/>
    </row>
    <row r="52554" s="101" customFormat="1" spans="6:6">
      <c r="F52554" s="2423"/>
    </row>
    <row r="52555" s="101" customFormat="1" spans="6:6">
      <c r="F52555" s="2423"/>
    </row>
    <row r="52556" s="101" customFormat="1" spans="6:6">
      <c r="F52556" s="2423"/>
    </row>
    <row r="52557" s="101" customFormat="1" spans="6:6">
      <c r="F52557" s="2423"/>
    </row>
    <row r="52558" s="101" customFormat="1" spans="6:6">
      <c r="F52558" s="2423"/>
    </row>
    <row r="52559" s="101" customFormat="1" spans="6:6">
      <c r="F52559" s="2423"/>
    </row>
    <row r="52560" s="101" customFormat="1" spans="6:6">
      <c r="F52560" s="2423"/>
    </row>
    <row r="52561" s="101" customFormat="1" spans="6:6">
      <c r="F52561" s="2423"/>
    </row>
    <row r="52562" s="101" customFormat="1" spans="6:6">
      <c r="F52562" s="2423"/>
    </row>
    <row r="52563" s="101" customFormat="1" spans="6:6">
      <c r="F52563" s="2423"/>
    </row>
    <row r="52564" s="101" customFormat="1" spans="6:6">
      <c r="F52564" s="2423"/>
    </row>
    <row r="52565" s="101" customFormat="1" spans="6:6">
      <c r="F52565" s="2423"/>
    </row>
    <row r="52566" s="101" customFormat="1" spans="6:6">
      <c r="F52566" s="2423"/>
    </row>
    <row r="52567" s="101" customFormat="1" spans="6:6">
      <c r="F52567" s="2423"/>
    </row>
    <row r="52568" s="101" customFormat="1" spans="6:6">
      <c r="F52568" s="2423"/>
    </row>
    <row r="52569" s="101" customFormat="1" spans="6:6">
      <c r="F52569" s="2423"/>
    </row>
    <row r="52570" s="101" customFormat="1" spans="6:6">
      <c r="F52570" s="2423"/>
    </row>
    <row r="52571" s="101" customFormat="1" spans="6:6">
      <c r="F52571" s="2423"/>
    </row>
    <row r="52572" s="101" customFormat="1" spans="6:6">
      <c r="F52572" s="2423"/>
    </row>
    <row r="52573" s="101" customFormat="1" spans="6:6">
      <c r="F52573" s="2423"/>
    </row>
    <row r="52574" s="101" customFormat="1" spans="6:6">
      <c r="F52574" s="2423"/>
    </row>
    <row r="52575" s="101" customFormat="1" spans="6:6">
      <c r="F52575" s="2423"/>
    </row>
    <row r="52576" s="101" customFormat="1" spans="6:6">
      <c r="F52576" s="2423"/>
    </row>
    <row r="52577" s="101" customFormat="1" spans="6:6">
      <c r="F52577" s="2423"/>
    </row>
    <row r="52578" s="101" customFormat="1" spans="6:6">
      <c r="F52578" s="2423"/>
    </row>
    <row r="52579" s="101" customFormat="1" spans="6:6">
      <c r="F52579" s="2423"/>
    </row>
    <row r="52580" s="101" customFormat="1" spans="6:6">
      <c r="F52580" s="2423"/>
    </row>
    <row r="52581" s="101" customFormat="1" spans="6:6">
      <c r="F52581" s="2423"/>
    </row>
    <row r="52582" s="101" customFormat="1" spans="6:6">
      <c r="F52582" s="2423"/>
    </row>
    <row r="52583" s="101" customFormat="1" spans="6:6">
      <c r="F52583" s="2423"/>
    </row>
    <row r="52584" s="101" customFormat="1" spans="6:6">
      <c r="F52584" s="2423"/>
    </row>
    <row r="52585" s="101" customFormat="1" spans="6:6">
      <c r="F52585" s="2423"/>
    </row>
    <row r="52586" s="101" customFormat="1" spans="6:6">
      <c r="F52586" s="2423"/>
    </row>
    <row r="52587" s="101" customFormat="1" spans="6:6">
      <c r="F52587" s="2423"/>
    </row>
    <row r="52588" s="101" customFormat="1" spans="6:6">
      <c r="F52588" s="2423"/>
    </row>
    <row r="52589" s="101" customFormat="1" spans="6:6">
      <c r="F52589" s="2423"/>
    </row>
    <row r="52590" s="101" customFormat="1" spans="6:6">
      <c r="F52590" s="2423"/>
    </row>
    <row r="52591" s="101" customFormat="1" spans="6:6">
      <c r="F52591" s="2423"/>
    </row>
    <row r="52592" s="101" customFormat="1" spans="6:6">
      <c r="F52592" s="2423"/>
    </row>
    <row r="52593" s="101" customFormat="1" spans="6:6">
      <c r="F52593" s="2423"/>
    </row>
    <row r="52594" s="101" customFormat="1" spans="6:6">
      <c r="F52594" s="2423"/>
    </row>
    <row r="52595" s="101" customFormat="1" spans="6:6">
      <c r="F52595" s="2423"/>
    </row>
    <row r="52596" s="101" customFormat="1" spans="6:6">
      <c r="F52596" s="2423"/>
    </row>
    <row r="52597" s="101" customFormat="1" spans="6:6">
      <c r="F52597" s="2423"/>
    </row>
    <row r="52598" s="101" customFormat="1" spans="6:6">
      <c r="F52598" s="2423"/>
    </row>
    <row r="52599" s="101" customFormat="1" spans="6:6">
      <c r="F52599" s="2423"/>
    </row>
    <row r="52600" s="101" customFormat="1" spans="6:6">
      <c r="F52600" s="2423"/>
    </row>
    <row r="52601" s="101" customFormat="1" spans="6:6">
      <c r="F52601" s="2423"/>
    </row>
    <row r="52602" s="101" customFormat="1" spans="6:6">
      <c r="F52602" s="2423"/>
    </row>
    <row r="52603" s="101" customFormat="1" spans="6:6">
      <c r="F52603" s="2423"/>
    </row>
    <row r="52604" s="101" customFormat="1" spans="6:6">
      <c r="F52604" s="2423"/>
    </row>
    <row r="52605" s="101" customFormat="1" spans="6:6">
      <c r="F52605" s="2423"/>
    </row>
    <row r="52606" s="101" customFormat="1" spans="6:6">
      <c r="F52606" s="2423"/>
    </row>
    <row r="52607" s="101" customFormat="1" spans="6:6">
      <c r="F52607" s="2423"/>
    </row>
    <row r="52608" s="101" customFormat="1" spans="6:6">
      <c r="F52608" s="2423"/>
    </row>
    <row r="52609" s="101" customFormat="1" spans="6:6">
      <c r="F52609" s="2423"/>
    </row>
    <row r="52610" s="101" customFormat="1" spans="6:6">
      <c r="F52610" s="2423"/>
    </row>
    <row r="52611" s="101" customFormat="1" spans="6:6">
      <c r="F52611" s="2423"/>
    </row>
    <row r="52612" s="101" customFormat="1" spans="6:6">
      <c r="F52612" s="2423"/>
    </row>
    <row r="52613" s="101" customFormat="1" spans="6:6">
      <c r="F52613" s="2423"/>
    </row>
    <row r="52614" s="101" customFormat="1" spans="6:6">
      <c r="F52614" s="2423"/>
    </row>
    <row r="52615" s="101" customFormat="1" spans="6:6">
      <c r="F52615" s="2423"/>
    </row>
    <row r="52616" s="101" customFormat="1" spans="6:6">
      <c r="F52616" s="2423"/>
    </row>
    <row r="52617" s="101" customFormat="1" spans="6:6">
      <c r="F52617" s="2423"/>
    </row>
    <row r="52618" s="101" customFormat="1" spans="6:6">
      <c r="F52618" s="2423"/>
    </row>
    <row r="52619" s="101" customFormat="1" spans="6:6">
      <c r="F52619" s="2423"/>
    </row>
    <row r="52620" s="101" customFormat="1" spans="6:6">
      <c r="F52620" s="2423"/>
    </row>
    <row r="52621" s="101" customFormat="1" spans="6:6">
      <c r="F52621" s="2423"/>
    </row>
    <row r="52622" s="101" customFormat="1" spans="6:6">
      <c r="F52622" s="2423"/>
    </row>
    <row r="52623" s="101" customFormat="1" spans="6:6">
      <c r="F52623" s="2423"/>
    </row>
    <row r="52624" s="101" customFormat="1" spans="6:6">
      <c r="F52624" s="2423"/>
    </row>
    <row r="52625" s="101" customFormat="1" spans="6:6">
      <c r="F52625" s="2423"/>
    </row>
    <row r="52626" s="101" customFormat="1" spans="6:6">
      <c r="F52626" s="2423"/>
    </row>
    <row r="52627" s="101" customFormat="1" spans="6:6">
      <c r="F52627" s="2423"/>
    </row>
    <row r="52628" s="101" customFormat="1" spans="6:6">
      <c r="F52628" s="2423"/>
    </row>
    <row r="52629" s="101" customFormat="1" spans="6:6">
      <c r="F52629" s="2423"/>
    </row>
    <row r="52630" s="101" customFormat="1" spans="6:6">
      <c r="F52630" s="2423"/>
    </row>
    <row r="52631" s="101" customFormat="1" spans="6:6">
      <c r="F52631" s="2423"/>
    </row>
    <row r="52632" s="101" customFormat="1" spans="6:6">
      <c r="F52632" s="2423"/>
    </row>
    <row r="52633" s="101" customFormat="1" spans="6:6">
      <c r="F52633" s="2423"/>
    </row>
    <row r="52634" s="101" customFormat="1" spans="6:6">
      <c r="F52634" s="2423"/>
    </row>
    <row r="52635" s="101" customFormat="1" spans="6:6">
      <c r="F52635" s="2423"/>
    </row>
    <row r="52636" s="101" customFormat="1" spans="6:6">
      <c r="F52636" s="2423"/>
    </row>
    <row r="52637" s="101" customFormat="1" spans="6:6">
      <c r="F52637" s="2423"/>
    </row>
    <row r="52638" s="101" customFormat="1" spans="6:6">
      <c r="F52638" s="2423"/>
    </row>
    <row r="52639" s="101" customFormat="1" spans="6:6">
      <c r="F52639" s="2423"/>
    </row>
    <row r="52640" s="101" customFormat="1" spans="6:6">
      <c r="F52640" s="2423"/>
    </row>
    <row r="52641" s="101" customFormat="1" spans="6:6">
      <c r="F52641" s="2423"/>
    </row>
    <row r="52642" s="101" customFormat="1" spans="6:6">
      <c r="F52642" s="2423"/>
    </row>
    <row r="52643" s="101" customFormat="1" spans="6:6">
      <c r="F52643" s="2423"/>
    </row>
    <row r="52644" s="101" customFormat="1" spans="6:6">
      <c r="F52644" s="2423"/>
    </row>
    <row r="52645" s="101" customFormat="1" spans="6:6">
      <c r="F52645" s="2423"/>
    </row>
    <row r="52646" s="101" customFormat="1" spans="6:6">
      <c r="F52646" s="2423"/>
    </row>
    <row r="52647" s="101" customFormat="1" spans="6:6">
      <c r="F52647" s="2423"/>
    </row>
    <row r="52648" s="101" customFormat="1" spans="6:6">
      <c r="F52648" s="2423"/>
    </row>
    <row r="52649" s="101" customFormat="1" spans="6:6">
      <c r="F52649" s="2423"/>
    </row>
    <row r="52650" s="101" customFormat="1" spans="6:6">
      <c r="F52650" s="2423"/>
    </row>
    <row r="52651" s="101" customFormat="1" spans="6:6">
      <c r="F52651" s="2423"/>
    </row>
    <row r="52652" s="101" customFormat="1" spans="6:6">
      <c r="F52652" s="2423"/>
    </row>
    <row r="52653" s="101" customFormat="1" spans="6:6">
      <c r="F52653" s="2423"/>
    </row>
    <row r="52654" s="101" customFormat="1" spans="6:6">
      <c r="F52654" s="2423"/>
    </row>
    <row r="52655" s="101" customFormat="1" spans="6:6">
      <c r="F52655" s="2423"/>
    </row>
    <row r="52656" s="101" customFormat="1" spans="6:6">
      <c r="F52656" s="2423"/>
    </row>
    <row r="52657" s="101" customFormat="1" spans="6:6">
      <c r="F52657" s="2423"/>
    </row>
    <row r="52658" s="101" customFormat="1" spans="6:6">
      <c r="F52658" s="2423"/>
    </row>
    <row r="52659" s="101" customFormat="1" spans="6:6">
      <c r="F52659" s="2423"/>
    </row>
    <row r="52660" s="101" customFormat="1" spans="6:6">
      <c r="F52660" s="2423"/>
    </row>
    <row r="52661" s="101" customFormat="1" spans="6:6">
      <c r="F52661" s="2423"/>
    </row>
    <row r="52662" s="101" customFormat="1" spans="6:6">
      <c r="F52662" s="2423"/>
    </row>
    <row r="52663" s="101" customFormat="1" spans="6:6">
      <c r="F52663" s="2423"/>
    </row>
    <row r="52664" s="101" customFormat="1" spans="6:6">
      <c r="F52664" s="2423"/>
    </row>
    <row r="52665" s="101" customFormat="1" spans="6:6">
      <c r="F52665" s="2423"/>
    </row>
    <row r="52666" s="101" customFormat="1" spans="6:6">
      <c r="F52666" s="2423"/>
    </row>
    <row r="52667" s="101" customFormat="1" spans="6:6">
      <c r="F52667" s="2423"/>
    </row>
    <row r="52668" s="101" customFormat="1" spans="6:6">
      <c r="F52668" s="2423"/>
    </row>
    <row r="52669" s="101" customFormat="1" spans="6:6">
      <c r="F52669" s="2423"/>
    </row>
    <row r="52670" s="101" customFormat="1" spans="6:6">
      <c r="F52670" s="2423"/>
    </row>
    <row r="52671" s="101" customFormat="1" spans="6:6">
      <c r="F52671" s="2423"/>
    </row>
    <row r="52672" s="101" customFormat="1" spans="6:6">
      <c r="F52672" s="2423"/>
    </row>
    <row r="52673" s="101" customFormat="1" spans="6:6">
      <c r="F52673" s="2423"/>
    </row>
    <row r="52674" s="101" customFormat="1" spans="6:6">
      <c r="F52674" s="2423"/>
    </row>
    <row r="52675" s="101" customFormat="1" spans="6:6">
      <c r="F52675" s="2423"/>
    </row>
    <row r="52676" s="101" customFormat="1" spans="6:6">
      <c r="F52676" s="2423"/>
    </row>
    <row r="52677" s="101" customFormat="1" spans="6:6">
      <c r="F52677" s="2423"/>
    </row>
    <row r="52678" s="101" customFormat="1" spans="6:6">
      <c r="F52678" s="2423"/>
    </row>
    <row r="52679" s="101" customFormat="1" spans="6:6">
      <c r="F52679" s="2423"/>
    </row>
    <row r="52680" s="101" customFormat="1" spans="6:6">
      <c r="F52680" s="2423"/>
    </row>
    <row r="52681" s="101" customFormat="1" spans="6:6">
      <c r="F52681" s="2423"/>
    </row>
    <row r="52682" s="101" customFormat="1" spans="6:6">
      <c r="F52682" s="2423"/>
    </row>
    <row r="52683" s="101" customFormat="1" spans="6:6">
      <c r="F52683" s="2423"/>
    </row>
    <row r="52684" s="101" customFormat="1" spans="6:6">
      <c r="F52684" s="2423"/>
    </row>
    <row r="52685" s="101" customFormat="1" spans="6:6">
      <c r="F52685" s="2423"/>
    </row>
    <row r="52686" s="101" customFormat="1" spans="6:6">
      <c r="F52686" s="2423"/>
    </row>
    <row r="52687" s="101" customFormat="1" spans="6:6">
      <c r="F52687" s="2423"/>
    </row>
    <row r="52688" s="101" customFormat="1" spans="6:6">
      <c r="F52688" s="2423"/>
    </row>
    <row r="52689" s="101" customFormat="1" spans="6:6">
      <c r="F52689" s="2423"/>
    </row>
    <row r="52690" s="101" customFormat="1" spans="6:6">
      <c r="F52690" s="2423"/>
    </row>
    <row r="52691" s="101" customFormat="1" spans="6:6">
      <c r="F52691" s="2423"/>
    </row>
    <row r="52692" s="101" customFormat="1" spans="6:6">
      <c r="F52692" s="2423"/>
    </row>
    <row r="52693" s="101" customFormat="1" spans="6:6">
      <c r="F52693" s="2423"/>
    </row>
    <row r="52694" s="101" customFormat="1" spans="6:6">
      <c r="F52694" s="2423"/>
    </row>
    <row r="52695" s="101" customFormat="1" spans="6:6">
      <c r="F52695" s="2423"/>
    </row>
    <row r="52696" s="101" customFormat="1" spans="6:6">
      <c r="F52696" s="2423"/>
    </row>
    <row r="52697" s="101" customFormat="1" spans="6:6">
      <c r="F52697" s="2423"/>
    </row>
    <row r="52698" s="101" customFormat="1" spans="6:6">
      <c r="F52698" s="2423"/>
    </row>
    <row r="52699" s="101" customFormat="1" spans="6:6">
      <c r="F52699" s="2423"/>
    </row>
    <row r="52700" s="101" customFormat="1" spans="6:6">
      <c r="F52700" s="2423"/>
    </row>
    <row r="52701" s="101" customFormat="1" spans="6:6">
      <c r="F52701" s="2423"/>
    </row>
    <row r="52702" s="101" customFormat="1" spans="6:6">
      <c r="F52702" s="2423"/>
    </row>
    <row r="52703" s="101" customFormat="1" spans="6:6">
      <c r="F52703" s="2423"/>
    </row>
    <row r="52704" s="101" customFormat="1" spans="6:6">
      <c r="F52704" s="2423"/>
    </row>
    <row r="52705" s="101" customFormat="1" spans="6:6">
      <c r="F52705" s="2423"/>
    </row>
    <row r="52706" s="101" customFormat="1" spans="6:6">
      <c r="F52706" s="2423"/>
    </row>
    <row r="52707" s="101" customFormat="1" spans="6:6">
      <c r="F52707" s="2423"/>
    </row>
    <row r="52708" s="101" customFormat="1" spans="6:6">
      <c r="F52708" s="2423"/>
    </row>
    <row r="52709" s="101" customFormat="1" spans="6:6">
      <c r="F52709" s="2423"/>
    </row>
    <row r="52710" s="101" customFormat="1" spans="6:6">
      <c r="F52710" s="2423"/>
    </row>
    <row r="52711" s="101" customFormat="1" spans="6:6">
      <c r="F52711" s="2423"/>
    </row>
    <row r="52712" s="101" customFormat="1" spans="6:6">
      <c r="F52712" s="2423"/>
    </row>
    <row r="52713" s="101" customFormat="1" spans="6:6">
      <c r="F52713" s="2423"/>
    </row>
    <row r="52714" s="101" customFormat="1" spans="6:6">
      <c r="F52714" s="2423"/>
    </row>
    <row r="52715" s="101" customFormat="1" spans="6:6">
      <c r="F52715" s="2423"/>
    </row>
    <row r="52716" s="101" customFormat="1" spans="6:6">
      <c r="F52716" s="2423"/>
    </row>
    <row r="52717" s="101" customFormat="1" spans="6:6">
      <c r="F52717" s="2423"/>
    </row>
    <row r="52718" s="101" customFormat="1" spans="6:6">
      <c r="F52718" s="2423"/>
    </row>
    <row r="52719" s="101" customFormat="1" spans="6:6">
      <c r="F52719" s="2423"/>
    </row>
    <row r="52720" s="101" customFormat="1" spans="6:6">
      <c r="F52720" s="2423"/>
    </row>
    <row r="52721" s="101" customFormat="1" spans="6:6">
      <c r="F52721" s="2423"/>
    </row>
    <row r="52722" s="101" customFormat="1" spans="6:6">
      <c r="F52722" s="2423"/>
    </row>
    <row r="52723" s="101" customFormat="1" spans="6:6">
      <c r="F52723" s="2423"/>
    </row>
    <row r="52724" s="101" customFormat="1" spans="6:6">
      <c r="F52724" s="2423"/>
    </row>
    <row r="52725" s="101" customFormat="1" spans="6:6">
      <c r="F52725" s="2423"/>
    </row>
    <row r="52726" s="101" customFormat="1" spans="6:6">
      <c r="F52726" s="2423"/>
    </row>
    <row r="52727" s="101" customFormat="1" spans="6:6">
      <c r="F52727" s="2423"/>
    </row>
    <row r="52728" s="101" customFormat="1" spans="6:6">
      <c r="F52728" s="2423"/>
    </row>
    <row r="52729" s="101" customFormat="1" spans="6:6">
      <c r="F52729" s="2423"/>
    </row>
    <row r="52730" s="101" customFormat="1" spans="6:6">
      <c r="F52730" s="2423"/>
    </row>
    <row r="52731" s="101" customFormat="1" spans="6:6">
      <c r="F52731" s="2423"/>
    </row>
    <row r="52732" s="101" customFormat="1" spans="6:6">
      <c r="F52732" s="2423"/>
    </row>
    <row r="52733" s="101" customFormat="1" spans="6:6">
      <c r="F52733" s="2423"/>
    </row>
    <row r="52734" s="101" customFormat="1" spans="6:6">
      <c r="F52734" s="2423"/>
    </row>
    <row r="52735" s="101" customFormat="1" spans="6:6">
      <c r="F52735" s="2423"/>
    </row>
    <row r="52736" s="101" customFormat="1" spans="6:6">
      <c r="F52736" s="2423"/>
    </row>
    <row r="52737" s="101" customFormat="1" spans="6:6">
      <c r="F52737" s="2423"/>
    </row>
    <row r="52738" s="101" customFormat="1" spans="6:6">
      <c r="F52738" s="2423"/>
    </row>
    <row r="52739" s="101" customFormat="1" spans="6:6">
      <c r="F52739" s="2423"/>
    </row>
    <row r="52740" s="101" customFormat="1" spans="6:6">
      <c r="F52740" s="2423"/>
    </row>
    <row r="52741" s="101" customFormat="1" spans="6:6">
      <c r="F52741" s="2423"/>
    </row>
    <row r="52742" s="101" customFormat="1" spans="6:6">
      <c r="F52742" s="2423"/>
    </row>
    <row r="52743" s="101" customFormat="1" spans="6:6">
      <c r="F52743" s="2423"/>
    </row>
    <row r="52744" s="101" customFormat="1" spans="6:6">
      <c r="F52744" s="2423"/>
    </row>
    <row r="52745" s="101" customFormat="1" spans="6:6">
      <c r="F52745" s="2423"/>
    </row>
    <row r="52746" s="101" customFormat="1" spans="6:6">
      <c r="F52746" s="2423"/>
    </row>
    <row r="52747" s="101" customFormat="1" spans="6:6">
      <c r="F52747" s="2423"/>
    </row>
    <row r="52748" s="101" customFormat="1" spans="6:6">
      <c r="F52748" s="2423"/>
    </row>
    <row r="52749" s="101" customFormat="1" spans="6:6">
      <c r="F52749" s="2423"/>
    </row>
    <row r="52750" s="101" customFormat="1" spans="6:6">
      <c r="F52750" s="2423"/>
    </row>
    <row r="52751" s="101" customFormat="1" spans="6:6">
      <c r="F52751" s="2423"/>
    </row>
    <row r="52752" s="101" customFormat="1" spans="6:6">
      <c r="F52752" s="2423"/>
    </row>
    <row r="52753" s="101" customFormat="1" spans="6:6">
      <c r="F52753" s="2423"/>
    </row>
    <row r="52754" s="101" customFormat="1" spans="6:6">
      <c r="F52754" s="2423"/>
    </row>
    <row r="52755" s="101" customFormat="1" spans="6:6">
      <c r="F52755" s="2423"/>
    </row>
    <row r="52756" s="101" customFormat="1" spans="6:6">
      <c r="F52756" s="2423"/>
    </row>
    <row r="52757" s="101" customFormat="1" spans="6:6">
      <c r="F52757" s="2423"/>
    </row>
    <row r="52758" s="101" customFormat="1" spans="6:6">
      <c r="F52758" s="2423"/>
    </row>
    <row r="52759" s="101" customFormat="1" spans="6:6">
      <c r="F52759" s="2423"/>
    </row>
    <row r="52760" s="101" customFormat="1" spans="6:6">
      <c r="F52760" s="2423"/>
    </row>
    <row r="52761" s="101" customFormat="1" spans="6:6">
      <c r="F52761" s="2423"/>
    </row>
    <row r="52762" s="101" customFormat="1" spans="6:6">
      <c r="F52762" s="2423"/>
    </row>
    <row r="52763" s="101" customFormat="1" spans="6:6">
      <c r="F52763" s="2423"/>
    </row>
    <row r="52764" s="101" customFormat="1" spans="6:6">
      <c r="F52764" s="2423"/>
    </row>
    <row r="52765" s="101" customFormat="1" spans="6:6">
      <c r="F52765" s="2423"/>
    </row>
    <row r="52766" s="101" customFormat="1" spans="6:6">
      <c r="F52766" s="2423"/>
    </row>
    <row r="52767" s="101" customFormat="1" spans="6:6">
      <c r="F52767" s="2423"/>
    </row>
    <row r="52768" s="101" customFormat="1" spans="6:6">
      <c r="F52768" s="2423"/>
    </row>
    <row r="52769" s="101" customFormat="1" spans="6:6">
      <c r="F52769" s="2423"/>
    </row>
    <row r="52770" s="101" customFormat="1" spans="6:6">
      <c r="F52770" s="2423"/>
    </row>
    <row r="52771" s="101" customFormat="1" spans="6:6">
      <c r="F52771" s="2423"/>
    </row>
    <row r="52772" s="101" customFormat="1" spans="6:6">
      <c r="F52772" s="2423"/>
    </row>
    <row r="52773" s="101" customFormat="1" spans="6:6">
      <c r="F52773" s="2423"/>
    </row>
    <row r="52774" s="101" customFormat="1" spans="6:6">
      <c r="F52774" s="2423"/>
    </row>
    <row r="52775" s="101" customFormat="1" spans="6:6">
      <c r="F52775" s="2423"/>
    </row>
    <row r="52776" s="101" customFormat="1" spans="6:6">
      <c r="F52776" s="2423"/>
    </row>
    <row r="52777" s="101" customFormat="1" spans="6:6">
      <c r="F52777" s="2423"/>
    </row>
    <row r="52778" s="101" customFormat="1" spans="6:6">
      <c r="F52778" s="2423"/>
    </row>
    <row r="52779" s="101" customFormat="1" spans="6:6">
      <c r="F52779" s="2423"/>
    </row>
    <row r="52780" s="101" customFormat="1" spans="6:6">
      <c r="F52780" s="2423"/>
    </row>
    <row r="52781" s="101" customFormat="1" spans="6:6">
      <c r="F52781" s="2423"/>
    </row>
    <row r="52782" s="101" customFormat="1" spans="6:6">
      <c r="F52782" s="2423"/>
    </row>
    <row r="52783" s="101" customFormat="1" spans="6:6">
      <c r="F52783" s="2423"/>
    </row>
    <row r="52784" s="101" customFormat="1" spans="6:6">
      <c r="F52784" s="2423"/>
    </row>
    <row r="52785" s="101" customFormat="1" spans="6:6">
      <c r="F52785" s="2423"/>
    </row>
    <row r="52786" s="101" customFormat="1" spans="6:6">
      <c r="F52786" s="2423"/>
    </row>
    <row r="52787" s="101" customFormat="1" spans="6:6">
      <c r="F52787" s="2423"/>
    </row>
    <row r="52788" s="101" customFormat="1" spans="6:6">
      <c r="F52788" s="2423"/>
    </row>
    <row r="52789" s="101" customFormat="1" spans="6:6">
      <c r="F52789" s="2423"/>
    </row>
    <row r="52790" s="101" customFormat="1" spans="6:6">
      <c r="F52790" s="2423"/>
    </row>
    <row r="52791" s="101" customFormat="1" spans="6:6">
      <c r="F52791" s="2423"/>
    </row>
    <row r="52792" s="101" customFormat="1" spans="6:6">
      <c r="F52792" s="2423"/>
    </row>
    <row r="52793" s="101" customFormat="1" spans="6:6">
      <c r="F52793" s="2423"/>
    </row>
    <row r="52794" s="101" customFormat="1" spans="6:6">
      <c r="F52794" s="2423"/>
    </row>
    <row r="52795" s="101" customFormat="1" spans="6:6">
      <c r="F52795" s="2423"/>
    </row>
    <row r="52796" s="101" customFormat="1" spans="6:6">
      <c r="F52796" s="2423"/>
    </row>
    <row r="52797" s="101" customFormat="1" spans="6:6">
      <c r="F52797" s="2423"/>
    </row>
    <row r="52798" s="101" customFormat="1" spans="6:6">
      <c r="F52798" s="2423"/>
    </row>
    <row r="52799" s="101" customFormat="1" spans="6:6">
      <c r="F52799" s="2423"/>
    </row>
    <row r="52800" s="101" customFormat="1" spans="6:6">
      <c r="F52800" s="2423"/>
    </row>
    <row r="52801" s="101" customFormat="1" spans="6:6">
      <c r="F52801" s="2423"/>
    </row>
    <row r="52802" s="101" customFormat="1" spans="6:6">
      <c r="F52802" s="2423"/>
    </row>
    <row r="52803" s="101" customFormat="1" spans="6:6">
      <c r="F52803" s="2423"/>
    </row>
    <row r="52804" s="101" customFormat="1" spans="6:6">
      <c r="F52804" s="2423"/>
    </row>
    <row r="52805" s="101" customFormat="1" spans="6:6">
      <c r="F52805" s="2423"/>
    </row>
    <row r="52806" s="101" customFormat="1" spans="6:6">
      <c r="F52806" s="2423"/>
    </row>
    <row r="52807" s="101" customFormat="1" spans="6:6">
      <c r="F52807" s="2423"/>
    </row>
    <row r="52808" s="101" customFormat="1" spans="6:6">
      <c r="F52808" s="2423"/>
    </row>
    <row r="52809" s="101" customFormat="1" spans="6:6">
      <c r="F52809" s="2423"/>
    </row>
    <row r="52810" s="101" customFormat="1" spans="6:6">
      <c r="F52810" s="2423"/>
    </row>
    <row r="52811" s="101" customFormat="1" spans="6:6">
      <c r="F52811" s="2423"/>
    </row>
    <row r="52812" s="101" customFormat="1" spans="6:6">
      <c r="F52812" s="2423"/>
    </row>
    <row r="52813" s="101" customFormat="1" spans="6:6">
      <c r="F52813" s="2423"/>
    </row>
    <row r="52814" s="101" customFormat="1" spans="6:6">
      <c r="F52814" s="2423"/>
    </row>
    <row r="52815" s="101" customFormat="1" spans="6:6">
      <c r="F52815" s="2423"/>
    </row>
    <row r="52816" s="101" customFormat="1" spans="6:6">
      <c r="F52816" s="2423"/>
    </row>
    <row r="52817" s="101" customFormat="1" spans="6:6">
      <c r="F52817" s="2423"/>
    </row>
    <row r="52818" s="101" customFormat="1" spans="6:6">
      <c r="F52818" s="2423"/>
    </row>
    <row r="52819" s="101" customFormat="1" spans="6:6">
      <c r="F52819" s="2423"/>
    </row>
    <row r="52820" s="101" customFormat="1" spans="6:6">
      <c r="F52820" s="2423"/>
    </row>
    <row r="52821" s="101" customFormat="1" spans="6:6">
      <c r="F52821" s="2423"/>
    </row>
    <row r="52822" s="101" customFormat="1" spans="6:6">
      <c r="F52822" s="2423"/>
    </row>
    <row r="52823" s="101" customFormat="1" spans="6:6">
      <c r="F52823" s="2423"/>
    </row>
    <row r="52824" s="101" customFormat="1" spans="6:6">
      <c r="F52824" s="2423"/>
    </row>
    <row r="52825" s="101" customFormat="1" spans="6:6">
      <c r="F52825" s="2423"/>
    </row>
    <row r="52826" s="101" customFormat="1" spans="6:6">
      <c r="F52826" s="2423"/>
    </row>
    <row r="52827" s="101" customFormat="1" spans="6:6">
      <c r="F52827" s="2423"/>
    </row>
    <row r="52828" s="101" customFormat="1" spans="6:6">
      <c r="F52828" s="2423"/>
    </row>
    <row r="52829" s="101" customFormat="1" spans="6:6">
      <c r="F52829" s="2423"/>
    </row>
    <row r="52830" s="101" customFormat="1" spans="6:6">
      <c r="F52830" s="2423"/>
    </row>
    <row r="52831" s="101" customFormat="1" spans="6:6">
      <c r="F52831" s="2423"/>
    </row>
    <row r="52832" s="101" customFormat="1" spans="6:6">
      <c r="F52832" s="2423"/>
    </row>
    <row r="52833" s="101" customFormat="1" spans="6:6">
      <c r="F52833" s="2423"/>
    </row>
    <row r="52834" s="101" customFormat="1" spans="6:6">
      <c r="F52834" s="2423"/>
    </row>
    <row r="52835" s="101" customFormat="1" spans="6:6">
      <c r="F52835" s="2423"/>
    </row>
    <row r="52836" s="101" customFormat="1" spans="6:6">
      <c r="F52836" s="2423"/>
    </row>
    <row r="52837" s="101" customFormat="1" spans="6:6">
      <c r="F52837" s="2423"/>
    </row>
    <row r="52838" s="101" customFormat="1" spans="6:6">
      <c r="F52838" s="2423"/>
    </row>
    <row r="52839" s="101" customFormat="1" spans="6:6">
      <c r="F52839" s="2423"/>
    </row>
    <row r="52840" s="101" customFormat="1" spans="6:6">
      <c r="F52840" s="2423"/>
    </row>
    <row r="52841" s="101" customFormat="1" spans="6:6">
      <c r="F52841" s="2423"/>
    </row>
    <row r="52842" s="101" customFormat="1" spans="6:6">
      <c r="F52842" s="2423"/>
    </row>
    <row r="52843" s="101" customFormat="1" spans="6:6">
      <c r="F52843" s="2423"/>
    </row>
    <row r="52844" s="101" customFormat="1" spans="6:6">
      <c r="F52844" s="2423"/>
    </row>
    <row r="52845" s="101" customFormat="1" spans="6:6">
      <c r="F52845" s="2423"/>
    </row>
    <row r="52846" s="101" customFormat="1" spans="6:6">
      <c r="F52846" s="2423"/>
    </row>
    <row r="52847" s="101" customFormat="1" spans="6:6">
      <c r="F52847" s="2423"/>
    </row>
    <row r="52848" s="101" customFormat="1" spans="6:6">
      <c r="F52848" s="2423"/>
    </row>
    <row r="52849" s="101" customFormat="1" spans="6:6">
      <c r="F52849" s="2423"/>
    </row>
    <row r="52850" s="101" customFormat="1" spans="6:6">
      <c r="F52850" s="2423"/>
    </row>
    <row r="52851" s="101" customFormat="1" spans="6:6">
      <c r="F52851" s="2423"/>
    </row>
    <row r="52852" s="101" customFormat="1" spans="6:6">
      <c r="F52852" s="2423"/>
    </row>
    <row r="52853" s="101" customFormat="1" spans="6:6">
      <c r="F52853" s="2423"/>
    </row>
    <row r="52854" s="101" customFormat="1" spans="6:6">
      <c r="F52854" s="2423"/>
    </row>
    <row r="52855" s="101" customFormat="1" spans="6:6">
      <c r="F52855" s="2423"/>
    </row>
    <row r="52856" s="101" customFormat="1" spans="6:6">
      <c r="F52856" s="2423"/>
    </row>
    <row r="52857" s="101" customFormat="1" spans="6:6">
      <c r="F52857" s="2423"/>
    </row>
    <row r="52858" s="101" customFormat="1" spans="6:6">
      <c r="F52858" s="2423"/>
    </row>
    <row r="52859" s="101" customFormat="1" spans="6:6">
      <c r="F52859" s="2423"/>
    </row>
    <row r="52860" s="101" customFormat="1" spans="6:6">
      <c r="F52860" s="2423"/>
    </row>
    <row r="52861" s="101" customFormat="1" spans="6:6">
      <c r="F52861" s="2423"/>
    </row>
    <row r="52862" s="101" customFormat="1" spans="6:6">
      <c r="F52862" s="2423"/>
    </row>
    <row r="52863" s="101" customFormat="1" spans="6:6">
      <c r="F52863" s="2423"/>
    </row>
    <row r="52864" s="101" customFormat="1" spans="6:6">
      <c r="F52864" s="2423"/>
    </row>
    <row r="52865" s="101" customFormat="1" spans="6:6">
      <c r="F52865" s="2423"/>
    </row>
    <row r="52866" s="101" customFormat="1" spans="6:6">
      <c r="F52866" s="2423"/>
    </row>
    <row r="52867" s="101" customFormat="1" spans="6:6">
      <c r="F52867" s="2423"/>
    </row>
    <row r="52868" s="101" customFormat="1" spans="6:6">
      <c r="F52868" s="2423"/>
    </row>
    <row r="52869" s="101" customFormat="1" spans="6:6">
      <c r="F52869" s="2423"/>
    </row>
    <row r="52870" s="101" customFormat="1" spans="6:6">
      <c r="F52870" s="2423"/>
    </row>
    <row r="52871" s="101" customFormat="1" spans="6:6">
      <c r="F52871" s="2423"/>
    </row>
    <row r="52872" s="101" customFormat="1" spans="6:6">
      <c r="F52872" s="2423"/>
    </row>
    <row r="52873" s="101" customFormat="1" spans="6:6">
      <c r="F52873" s="2423"/>
    </row>
    <row r="52874" s="101" customFormat="1" spans="6:6">
      <c r="F52874" s="2423"/>
    </row>
    <row r="52875" s="101" customFormat="1" spans="6:6">
      <c r="F52875" s="2423"/>
    </row>
    <row r="52876" s="101" customFormat="1" spans="6:6">
      <c r="F52876" s="2423"/>
    </row>
    <row r="52877" s="101" customFormat="1" spans="6:6">
      <c r="F52877" s="2423"/>
    </row>
    <row r="52878" s="101" customFormat="1" spans="6:6">
      <c r="F52878" s="2423"/>
    </row>
    <row r="52879" s="101" customFormat="1" spans="6:6">
      <c r="F52879" s="2423"/>
    </row>
    <row r="52880" s="101" customFormat="1" spans="6:6">
      <c r="F52880" s="2423"/>
    </row>
    <row r="52881" s="101" customFormat="1" spans="6:6">
      <c r="F52881" s="2423"/>
    </row>
    <row r="52882" s="101" customFormat="1" spans="6:6">
      <c r="F52882" s="2423"/>
    </row>
    <row r="52883" s="101" customFormat="1" spans="6:6">
      <c r="F52883" s="2423"/>
    </row>
    <row r="52884" s="101" customFormat="1" spans="6:6">
      <c r="F52884" s="2423"/>
    </row>
    <row r="52885" s="101" customFormat="1" spans="6:6">
      <c r="F52885" s="2423"/>
    </row>
    <row r="52886" s="101" customFormat="1" spans="6:6">
      <c r="F52886" s="2423"/>
    </row>
    <row r="52887" s="101" customFormat="1" spans="6:6">
      <c r="F52887" s="2423"/>
    </row>
    <row r="52888" s="101" customFormat="1" spans="6:6">
      <c r="F52888" s="2423"/>
    </row>
    <row r="52889" s="101" customFormat="1" spans="6:6">
      <c r="F52889" s="2423"/>
    </row>
    <row r="52890" s="101" customFormat="1" spans="6:6">
      <c r="F52890" s="2423"/>
    </row>
    <row r="52891" s="101" customFormat="1" spans="6:6">
      <c r="F52891" s="2423"/>
    </row>
    <row r="52892" s="101" customFormat="1" spans="6:6">
      <c r="F52892" s="2423"/>
    </row>
    <row r="52893" s="101" customFormat="1" spans="6:6">
      <c r="F52893" s="2423"/>
    </row>
    <row r="52894" s="101" customFormat="1" spans="6:6">
      <c r="F52894" s="2423"/>
    </row>
    <row r="52895" s="101" customFormat="1" spans="6:6">
      <c r="F52895" s="2423"/>
    </row>
    <row r="52896" s="101" customFormat="1" spans="6:6">
      <c r="F52896" s="2423"/>
    </row>
    <row r="52897" s="101" customFormat="1" spans="6:6">
      <c r="F52897" s="2423"/>
    </row>
    <row r="52898" s="101" customFormat="1" spans="6:6">
      <c r="F52898" s="2423"/>
    </row>
    <row r="52899" s="101" customFormat="1" spans="6:6">
      <c r="F52899" s="2423"/>
    </row>
    <row r="52900" s="101" customFormat="1" spans="6:6">
      <c r="F52900" s="2423"/>
    </row>
    <row r="52901" s="101" customFormat="1" spans="6:6">
      <c r="F52901" s="2423"/>
    </row>
    <row r="52902" s="101" customFormat="1" spans="6:6">
      <c r="F52902" s="2423"/>
    </row>
    <row r="52903" s="101" customFormat="1" spans="6:6">
      <c r="F52903" s="2423"/>
    </row>
    <row r="52904" s="101" customFormat="1" spans="6:6">
      <c r="F52904" s="2423"/>
    </row>
    <row r="52905" s="101" customFormat="1" spans="6:6">
      <c r="F52905" s="2423"/>
    </row>
    <row r="52906" s="101" customFormat="1" spans="6:6">
      <c r="F52906" s="2423"/>
    </row>
    <row r="52907" s="101" customFormat="1" spans="6:6">
      <c r="F52907" s="2423"/>
    </row>
    <row r="52908" s="101" customFormat="1" spans="6:6">
      <c r="F52908" s="2423"/>
    </row>
    <row r="52909" s="101" customFormat="1" spans="6:6">
      <c r="F52909" s="2423"/>
    </row>
    <row r="52910" s="101" customFormat="1" spans="6:6">
      <c r="F52910" s="2423"/>
    </row>
    <row r="52911" s="101" customFormat="1" spans="6:6">
      <c r="F52911" s="2423"/>
    </row>
    <row r="52912" s="101" customFormat="1" spans="6:6">
      <c r="F52912" s="2423"/>
    </row>
    <row r="52913" s="101" customFormat="1" spans="6:6">
      <c r="F52913" s="2423"/>
    </row>
    <row r="52914" s="101" customFormat="1" spans="6:6">
      <c r="F52914" s="2423"/>
    </row>
    <row r="52915" s="101" customFormat="1" spans="6:6">
      <c r="F52915" s="2423"/>
    </row>
    <row r="52916" s="101" customFormat="1" spans="6:6">
      <c r="F52916" s="2423"/>
    </row>
    <row r="52917" s="101" customFormat="1" spans="6:6">
      <c r="F52917" s="2423"/>
    </row>
    <row r="52918" s="101" customFormat="1" spans="6:6">
      <c r="F52918" s="2423"/>
    </row>
    <row r="52919" s="101" customFormat="1" spans="6:6">
      <c r="F52919" s="2423"/>
    </row>
    <row r="52920" s="101" customFormat="1" spans="6:6">
      <c r="F52920" s="2423"/>
    </row>
    <row r="52921" s="101" customFormat="1" spans="6:6">
      <c r="F52921" s="2423"/>
    </row>
    <row r="52922" s="101" customFormat="1" spans="6:6">
      <c r="F52922" s="2423"/>
    </row>
    <row r="52923" s="101" customFormat="1" spans="6:6">
      <c r="F52923" s="2423"/>
    </row>
    <row r="52924" s="101" customFormat="1" spans="6:6">
      <c r="F52924" s="2423"/>
    </row>
    <row r="52925" s="101" customFormat="1" spans="6:6">
      <c r="F52925" s="2423"/>
    </row>
    <row r="52926" s="101" customFormat="1" spans="6:6">
      <c r="F52926" s="2423"/>
    </row>
    <row r="52927" s="101" customFormat="1" spans="6:6">
      <c r="F52927" s="2423"/>
    </row>
    <row r="52928" s="101" customFormat="1" spans="6:6">
      <c r="F52928" s="2423"/>
    </row>
    <row r="52929" s="101" customFormat="1" spans="6:6">
      <c r="F52929" s="2423"/>
    </row>
    <row r="52930" s="101" customFormat="1" spans="6:6">
      <c r="F52930" s="2423"/>
    </row>
    <row r="52931" s="101" customFormat="1" spans="6:6">
      <c r="F52931" s="2423"/>
    </row>
    <row r="52932" s="101" customFormat="1" spans="6:6">
      <c r="F52932" s="2423"/>
    </row>
    <row r="52933" s="101" customFormat="1" spans="6:6">
      <c r="F52933" s="2423"/>
    </row>
    <row r="52934" s="101" customFormat="1" spans="6:6">
      <c r="F52934" s="2423"/>
    </row>
    <row r="52935" s="101" customFormat="1" spans="6:6">
      <c r="F52935" s="2423"/>
    </row>
    <row r="52936" s="101" customFormat="1" spans="6:6">
      <c r="F52936" s="2423"/>
    </row>
    <row r="52937" s="101" customFormat="1" spans="6:6">
      <c r="F52937" s="2423"/>
    </row>
    <row r="52938" s="101" customFormat="1" spans="6:6">
      <c r="F52938" s="2423"/>
    </row>
    <row r="52939" s="101" customFormat="1" spans="6:6">
      <c r="F52939" s="2423"/>
    </row>
    <row r="52940" s="101" customFormat="1" spans="6:6">
      <c r="F52940" s="2423"/>
    </row>
    <row r="52941" s="101" customFormat="1" spans="6:6">
      <c r="F52941" s="2423"/>
    </row>
    <row r="52942" s="101" customFormat="1" spans="6:6">
      <c r="F52942" s="2423"/>
    </row>
    <row r="52943" s="101" customFormat="1" spans="6:6">
      <c r="F52943" s="2423"/>
    </row>
    <row r="52944" s="101" customFormat="1" spans="6:6">
      <c r="F52944" s="2423"/>
    </row>
    <row r="52945" s="101" customFormat="1" spans="6:6">
      <c r="F52945" s="2423"/>
    </row>
    <row r="52946" s="101" customFormat="1" spans="6:6">
      <c r="F52946" s="2423"/>
    </row>
    <row r="52947" s="101" customFormat="1" spans="6:6">
      <c r="F52947" s="2423"/>
    </row>
    <row r="52948" s="101" customFormat="1" spans="6:6">
      <c r="F52948" s="2423"/>
    </row>
    <row r="52949" s="101" customFormat="1" spans="6:6">
      <c r="F52949" s="2423"/>
    </row>
    <row r="52950" s="101" customFormat="1" spans="6:6">
      <c r="F52950" s="2423"/>
    </row>
    <row r="52951" s="101" customFormat="1" spans="6:6">
      <c r="F52951" s="2423"/>
    </row>
    <row r="52952" s="101" customFormat="1" spans="6:6">
      <c r="F52952" s="2423"/>
    </row>
    <row r="52953" s="101" customFormat="1" spans="6:6">
      <c r="F52953" s="2423"/>
    </row>
    <row r="52954" s="101" customFormat="1" spans="6:6">
      <c r="F52954" s="2423"/>
    </row>
    <row r="52955" s="101" customFormat="1" spans="6:6">
      <c r="F52955" s="2423"/>
    </row>
    <row r="52956" s="101" customFormat="1" spans="6:6">
      <c r="F52956" s="2423"/>
    </row>
    <row r="52957" s="101" customFormat="1" spans="6:6">
      <c r="F52957" s="2423"/>
    </row>
    <row r="52958" s="101" customFormat="1" spans="6:6">
      <c r="F52958" s="2423"/>
    </row>
    <row r="52959" s="101" customFormat="1" spans="6:6">
      <c r="F52959" s="2423"/>
    </row>
    <row r="52960" s="101" customFormat="1" spans="6:6">
      <c r="F52960" s="2423"/>
    </row>
    <row r="52961" s="101" customFormat="1" spans="6:6">
      <c r="F52961" s="2423"/>
    </row>
    <row r="52962" s="101" customFormat="1" spans="6:6">
      <c r="F52962" s="2423"/>
    </row>
    <row r="52963" s="101" customFormat="1" spans="6:6">
      <c r="F52963" s="2423"/>
    </row>
    <row r="52964" s="101" customFormat="1" spans="6:6">
      <c r="F52964" s="2423"/>
    </row>
    <row r="52965" s="101" customFormat="1" spans="6:6">
      <c r="F52965" s="2423"/>
    </row>
    <row r="52966" s="101" customFormat="1" spans="6:6">
      <c r="F52966" s="2423"/>
    </row>
    <row r="52967" s="101" customFormat="1" spans="6:6">
      <c r="F52967" s="2423"/>
    </row>
    <row r="52968" s="101" customFormat="1" spans="6:6">
      <c r="F52968" s="2423"/>
    </row>
    <row r="52969" s="101" customFormat="1" spans="6:6">
      <c r="F52969" s="2423"/>
    </row>
    <row r="52970" s="101" customFormat="1" spans="6:6">
      <c r="F52970" s="2423"/>
    </row>
    <row r="52971" s="101" customFormat="1" spans="6:6">
      <c r="F52971" s="2423"/>
    </row>
    <row r="52972" s="101" customFormat="1" spans="6:6">
      <c r="F52972" s="2423"/>
    </row>
    <row r="52973" s="101" customFormat="1" spans="6:6">
      <c r="F52973" s="2423"/>
    </row>
    <row r="52974" s="101" customFormat="1" spans="6:6">
      <c r="F52974" s="2423"/>
    </row>
    <row r="52975" s="101" customFormat="1" spans="6:6">
      <c r="F52975" s="2423"/>
    </row>
    <row r="52976" s="101" customFormat="1" spans="6:6">
      <c r="F52976" s="2423"/>
    </row>
    <row r="52977" s="101" customFormat="1" spans="6:6">
      <c r="F52977" s="2423"/>
    </row>
    <row r="52978" s="101" customFormat="1" spans="6:6">
      <c r="F52978" s="2423"/>
    </row>
    <row r="52979" s="101" customFormat="1" spans="6:6">
      <c r="F52979" s="2423"/>
    </row>
    <row r="52980" s="101" customFormat="1" spans="6:6">
      <c r="F52980" s="2423"/>
    </row>
    <row r="52981" s="101" customFormat="1" spans="6:6">
      <c r="F52981" s="2423"/>
    </row>
    <row r="52982" s="101" customFormat="1" spans="6:6">
      <c r="F52982" s="2423"/>
    </row>
    <row r="52983" s="101" customFormat="1" spans="6:6">
      <c r="F52983" s="2423"/>
    </row>
    <row r="52984" s="101" customFormat="1" spans="6:6">
      <c r="F52984" s="2423"/>
    </row>
    <row r="52985" s="101" customFormat="1" spans="6:6">
      <c r="F52985" s="2423"/>
    </row>
    <row r="52986" s="101" customFormat="1" spans="6:6">
      <c r="F52986" s="2423"/>
    </row>
    <row r="52987" s="101" customFormat="1" spans="6:6">
      <c r="F52987" s="2423"/>
    </row>
    <row r="52988" s="101" customFormat="1" spans="6:6">
      <c r="F52988" s="2423"/>
    </row>
    <row r="52989" s="101" customFormat="1" spans="6:6">
      <c r="F52989" s="2423"/>
    </row>
    <row r="52990" s="101" customFormat="1" spans="6:6">
      <c r="F52990" s="2423"/>
    </row>
    <row r="52991" s="101" customFormat="1" spans="6:6">
      <c r="F52991" s="2423"/>
    </row>
    <row r="52992" s="101" customFormat="1" spans="6:6">
      <c r="F52992" s="2423"/>
    </row>
    <row r="52993" s="101" customFormat="1" spans="6:6">
      <c r="F52993" s="2423"/>
    </row>
    <row r="52994" s="101" customFormat="1" spans="6:6">
      <c r="F52994" s="2423"/>
    </row>
    <row r="52995" s="101" customFormat="1" spans="6:6">
      <c r="F52995" s="2423"/>
    </row>
    <row r="52996" s="101" customFormat="1" spans="6:6">
      <c r="F52996" s="2423"/>
    </row>
    <row r="52997" s="101" customFormat="1" spans="6:6">
      <c r="F52997" s="2423"/>
    </row>
    <row r="52998" s="101" customFormat="1" spans="6:6">
      <c r="F52998" s="2423"/>
    </row>
    <row r="52999" s="101" customFormat="1" spans="6:6">
      <c r="F52999" s="2423"/>
    </row>
    <row r="53000" s="101" customFormat="1" spans="6:6">
      <c r="F53000" s="2423"/>
    </row>
    <row r="53001" s="101" customFormat="1" spans="6:6">
      <c r="F53001" s="2423"/>
    </row>
    <row r="53002" s="101" customFormat="1" spans="6:6">
      <c r="F53002" s="2423"/>
    </row>
    <row r="53003" s="101" customFormat="1" spans="6:6">
      <c r="F53003" s="2423"/>
    </row>
    <row r="53004" s="101" customFormat="1" spans="6:6">
      <c r="F53004" s="2423"/>
    </row>
    <row r="53005" s="101" customFormat="1" spans="6:6">
      <c r="F53005" s="2423"/>
    </row>
    <row r="53006" s="101" customFormat="1" spans="6:6">
      <c r="F53006" s="2423"/>
    </row>
    <row r="53007" s="101" customFormat="1" spans="6:6">
      <c r="F53007" s="2423"/>
    </row>
    <row r="53008" s="101" customFormat="1" spans="6:6">
      <c r="F53008" s="2423"/>
    </row>
    <row r="53009" s="101" customFormat="1" spans="6:6">
      <c r="F53009" s="2423"/>
    </row>
    <row r="53010" s="101" customFormat="1" spans="6:6">
      <c r="F53010" s="2423"/>
    </row>
    <row r="53011" s="101" customFormat="1" spans="6:6">
      <c r="F53011" s="2423"/>
    </row>
    <row r="53012" s="101" customFormat="1" spans="6:6">
      <c r="F53012" s="2423"/>
    </row>
    <row r="53013" s="101" customFormat="1" spans="6:6">
      <c r="F53013" s="2423"/>
    </row>
    <row r="53014" s="101" customFormat="1" spans="6:6">
      <c r="F53014" s="2423"/>
    </row>
    <row r="53015" s="101" customFormat="1" spans="6:6">
      <c r="F53015" s="2423"/>
    </row>
    <row r="53016" s="101" customFormat="1" spans="6:6">
      <c r="F53016" s="2423"/>
    </row>
    <row r="53017" s="101" customFormat="1" spans="6:6">
      <c r="F53017" s="2423"/>
    </row>
    <row r="53018" s="101" customFormat="1" spans="6:6">
      <c r="F53018" s="2423"/>
    </row>
    <row r="53019" s="101" customFormat="1" spans="6:6">
      <c r="F53019" s="2423"/>
    </row>
    <row r="53020" s="101" customFormat="1" spans="6:6">
      <c r="F53020" s="2423"/>
    </row>
    <row r="53021" s="101" customFormat="1" spans="6:6">
      <c r="F53021" s="2423"/>
    </row>
    <row r="53022" s="101" customFormat="1" spans="6:6">
      <c r="F53022" s="2423"/>
    </row>
    <row r="53023" s="101" customFormat="1" spans="6:6">
      <c r="F53023" s="2423"/>
    </row>
    <row r="53024" s="101" customFormat="1" spans="6:6">
      <c r="F53024" s="2423"/>
    </row>
    <row r="53025" s="101" customFormat="1" spans="6:6">
      <c r="F53025" s="2423"/>
    </row>
    <row r="53026" s="101" customFormat="1" spans="6:6">
      <c r="F53026" s="2423"/>
    </row>
    <row r="53027" s="101" customFormat="1" spans="6:6">
      <c r="F53027" s="2423"/>
    </row>
    <row r="53028" s="101" customFormat="1" spans="6:6">
      <c r="F53028" s="2423"/>
    </row>
    <row r="53029" s="101" customFormat="1" spans="6:6">
      <c r="F53029" s="2423"/>
    </row>
    <row r="53030" s="101" customFormat="1" spans="6:6">
      <c r="F53030" s="2423"/>
    </row>
    <row r="53031" s="101" customFormat="1" spans="6:6">
      <c r="F53031" s="2423"/>
    </row>
    <row r="53032" s="101" customFormat="1" spans="6:6">
      <c r="F53032" s="2423"/>
    </row>
    <row r="53033" s="101" customFormat="1" spans="6:6">
      <c r="F53033" s="2423"/>
    </row>
    <row r="53034" s="101" customFormat="1" spans="6:6">
      <c r="F53034" s="2423"/>
    </row>
    <row r="53035" s="101" customFormat="1" spans="6:6">
      <c r="F53035" s="2423"/>
    </row>
    <row r="53036" s="101" customFormat="1" spans="6:6">
      <c r="F53036" s="2423"/>
    </row>
    <row r="53037" s="101" customFormat="1" spans="6:6">
      <c r="F53037" s="2423"/>
    </row>
    <row r="53038" s="101" customFormat="1" spans="6:6">
      <c r="F53038" s="2423"/>
    </row>
    <row r="53039" s="101" customFormat="1" spans="6:6">
      <c r="F53039" s="2423"/>
    </row>
    <row r="53040" s="101" customFormat="1" spans="6:6">
      <c r="F53040" s="2423"/>
    </row>
    <row r="53041" s="101" customFormat="1" spans="6:6">
      <c r="F53041" s="2423"/>
    </row>
    <row r="53042" s="101" customFormat="1" spans="6:6">
      <c r="F53042" s="2423"/>
    </row>
    <row r="53043" s="101" customFormat="1" spans="6:6">
      <c r="F53043" s="2423"/>
    </row>
    <row r="53044" s="101" customFormat="1" spans="6:6">
      <c r="F53044" s="2423"/>
    </row>
    <row r="53045" s="101" customFormat="1" spans="6:6">
      <c r="F53045" s="2423"/>
    </row>
    <row r="53046" s="101" customFormat="1" spans="6:6">
      <c r="F53046" s="2423"/>
    </row>
    <row r="53047" s="101" customFormat="1" spans="6:6">
      <c r="F53047" s="2423"/>
    </row>
    <row r="53048" s="101" customFormat="1" spans="6:6">
      <c r="F53048" s="2423"/>
    </row>
    <row r="53049" s="101" customFormat="1" spans="6:6">
      <c r="F53049" s="2423"/>
    </row>
    <row r="53050" s="101" customFormat="1" spans="6:6">
      <c r="F53050" s="2423"/>
    </row>
    <row r="53051" s="101" customFormat="1" spans="6:6">
      <c r="F53051" s="2423"/>
    </row>
    <row r="53052" s="101" customFormat="1" spans="6:6">
      <c r="F53052" s="2423"/>
    </row>
    <row r="53053" s="101" customFormat="1" spans="6:6">
      <c r="F53053" s="2423"/>
    </row>
    <row r="53054" s="101" customFormat="1" spans="6:6">
      <c r="F53054" s="2423"/>
    </row>
    <row r="53055" s="101" customFormat="1" spans="6:6">
      <c r="F53055" s="2423"/>
    </row>
    <row r="53056" s="101" customFormat="1" spans="6:6">
      <c r="F53056" s="2423"/>
    </row>
    <row r="53057" s="101" customFormat="1" spans="6:6">
      <c r="F53057" s="2423"/>
    </row>
    <row r="53058" s="101" customFormat="1" spans="6:6">
      <c r="F53058" s="2423"/>
    </row>
    <row r="53059" s="101" customFormat="1" spans="6:6">
      <c r="F53059" s="2423"/>
    </row>
    <row r="53060" s="101" customFormat="1" spans="6:6">
      <c r="F53060" s="2423"/>
    </row>
    <row r="53061" s="101" customFormat="1" spans="6:6">
      <c r="F53061" s="2423"/>
    </row>
    <row r="53062" s="101" customFormat="1" spans="6:6">
      <c r="F53062" s="2423"/>
    </row>
    <row r="53063" s="101" customFormat="1" spans="6:6">
      <c r="F53063" s="2423"/>
    </row>
    <row r="53064" s="101" customFormat="1" spans="6:6">
      <c r="F53064" s="2423"/>
    </row>
    <row r="53065" s="101" customFormat="1" spans="6:6">
      <c r="F53065" s="2423"/>
    </row>
    <row r="53066" s="101" customFormat="1" spans="6:6">
      <c r="F53066" s="2423"/>
    </row>
    <row r="53067" s="101" customFormat="1" spans="6:6">
      <c r="F53067" s="2423"/>
    </row>
    <row r="53068" s="101" customFormat="1" spans="6:6">
      <c r="F53068" s="2423"/>
    </row>
    <row r="53069" s="101" customFormat="1" spans="6:6">
      <c r="F53069" s="2423"/>
    </row>
    <row r="53070" s="101" customFormat="1" spans="6:6">
      <c r="F53070" s="2423"/>
    </row>
    <row r="53071" s="101" customFormat="1" spans="6:6">
      <c r="F53071" s="2423"/>
    </row>
    <row r="53072" s="101" customFormat="1" spans="6:6">
      <c r="F53072" s="2423"/>
    </row>
    <row r="53073" s="101" customFormat="1" spans="6:6">
      <c r="F53073" s="2423"/>
    </row>
    <row r="53074" s="101" customFormat="1" spans="6:6">
      <c r="F53074" s="2423"/>
    </row>
    <row r="53075" s="101" customFormat="1" spans="6:6">
      <c r="F53075" s="2423"/>
    </row>
    <row r="53076" s="101" customFormat="1" spans="6:6">
      <c r="F53076" s="2423"/>
    </row>
    <row r="53077" s="101" customFormat="1" spans="6:6">
      <c r="F53077" s="2423"/>
    </row>
    <row r="53078" s="101" customFormat="1" spans="6:6">
      <c r="F53078" s="2423"/>
    </row>
    <row r="53079" s="101" customFormat="1" spans="6:6">
      <c r="F53079" s="2423"/>
    </row>
    <row r="53080" s="101" customFormat="1" spans="6:6">
      <c r="F53080" s="2423"/>
    </row>
    <row r="53081" s="101" customFormat="1" spans="6:6">
      <c r="F53081" s="2423"/>
    </row>
    <row r="53082" s="101" customFormat="1" spans="6:6">
      <c r="F53082" s="2423"/>
    </row>
    <row r="53083" s="101" customFormat="1" spans="6:6">
      <c r="F53083" s="2423"/>
    </row>
    <row r="53084" s="101" customFormat="1" spans="6:6">
      <c r="F53084" s="2423"/>
    </row>
    <row r="53085" s="101" customFormat="1" spans="6:6">
      <c r="F53085" s="2423"/>
    </row>
    <row r="53086" s="101" customFormat="1" spans="6:6">
      <c r="F53086" s="2423"/>
    </row>
    <row r="53087" s="101" customFormat="1" spans="6:6">
      <c r="F53087" s="2423"/>
    </row>
    <row r="53088" s="101" customFormat="1" spans="6:6">
      <c r="F53088" s="2423"/>
    </row>
    <row r="53089" s="101" customFormat="1" spans="6:6">
      <c r="F53089" s="2423"/>
    </row>
    <row r="53090" s="101" customFormat="1" spans="6:6">
      <c r="F53090" s="2423"/>
    </row>
    <row r="53091" s="101" customFormat="1" spans="6:6">
      <c r="F53091" s="2423"/>
    </row>
    <row r="53092" s="101" customFormat="1" spans="6:6">
      <c r="F53092" s="2423"/>
    </row>
    <row r="53093" s="101" customFormat="1" spans="6:6">
      <c r="F53093" s="2423"/>
    </row>
    <row r="53094" s="101" customFormat="1" spans="6:6">
      <c r="F53094" s="2423"/>
    </row>
    <row r="53095" s="101" customFormat="1" spans="6:6">
      <c r="F53095" s="2423"/>
    </row>
    <row r="53096" s="101" customFormat="1" spans="6:6">
      <c r="F53096" s="2423"/>
    </row>
    <row r="53097" s="101" customFormat="1" spans="6:6">
      <c r="F53097" s="2423"/>
    </row>
    <row r="53098" s="101" customFormat="1" spans="6:6">
      <c r="F53098" s="2423"/>
    </row>
    <row r="53099" s="101" customFormat="1" spans="6:6">
      <c r="F53099" s="2423"/>
    </row>
    <row r="53100" s="101" customFormat="1" spans="6:6">
      <c r="F53100" s="2423"/>
    </row>
    <row r="53101" s="101" customFormat="1" spans="6:6">
      <c r="F53101" s="2423"/>
    </row>
    <row r="53102" s="101" customFormat="1" spans="6:6">
      <c r="F53102" s="2423"/>
    </row>
    <row r="53103" s="101" customFormat="1" spans="6:6">
      <c r="F53103" s="2423"/>
    </row>
    <row r="53104" s="101" customFormat="1" spans="6:6">
      <c r="F53104" s="2423"/>
    </row>
    <row r="53105" s="101" customFormat="1" spans="6:6">
      <c r="F53105" s="2423"/>
    </row>
    <row r="53106" s="101" customFormat="1" spans="6:6">
      <c r="F53106" s="2423"/>
    </row>
    <row r="53107" s="101" customFormat="1" spans="6:6">
      <c r="F53107" s="2423"/>
    </row>
    <row r="53108" s="101" customFormat="1" spans="6:6">
      <c r="F53108" s="2423"/>
    </row>
    <row r="53109" s="101" customFormat="1" spans="6:6">
      <c r="F53109" s="2423"/>
    </row>
    <row r="53110" s="101" customFormat="1" spans="6:6">
      <c r="F53110" s="2423"/>
    </row>
    <row r="53111" s="101" customFormat="1" spans="6:6">
      <c r="F53111" s="2423"/>
    </row>
    <row r="53112" s="101" customFormat="1" spans="6:6">
      <c r="F53112" s="2423"/>
    </row>
    <row r="53113" s="101" customFormat="1" spans="6:6">
      <c r="F53113" s="2423"/>
    </row>
    <row r="53114" s="101" customFormat="1" spans="6:6">
      <c r="F53114" s="2423"/>
    </row>
    <row r="53115" s="101" customFormat="1" spans="6:6">
      <c r="F53115" s="2423"/>
    </row>
    <row r="53116" s="101" customFormat="1" spans="6:6">
      <c r="F53116" s="2423"/>
    </row>
    <row r="53117" s="101" customFormat="1" spans="6:6">
      <c r="F53117" s="2423"/>
    </row>
    <row r="53118" s="101" customFormat="1" spans="6:6">
      <c r="F53118" s="2423"/>
    </row>
    <row r="53119" s="101" customFormat="1" spans="6:6">
      <c r="F53119" s="2423"/>
    </row>
    <row r="53120" s="101" customFormat="1" spans="6:6">
      <c r="F53120" s="2423"/>
    </row>
    <row r="53121" s="101" customFormat="1" spans="6:6">
      <c r="F53121" s="2423"/>
    </row>
    <row r="53122" s="101" customFormat="1" spans="6:6">
      <c r="F53122" s="2423"/>
    </row>
    <row r="53123" s="101" customFormat="1" spans="6:6">
      <c r="F53123" s="2423"/>
    </row>
    <row r="53124" s="101" customFormat="1" spans="6:6">
      <c r="F53124" s="2423"/>
    </row>
    <row r="53125" s="101" customFormat="1" spans="6:6">
      <c r="F53125" s="2423"/>
    </row>
    <row r="53126" s="101" customFormat="1" spans="6:6">
      <c r="F53126" s="2423"/>
    </row>
    <row r="53127" s="101" customFormat="1" spans="6:6">
      <c r="F53127" s="2423"/>
    </row>
    <row r="53128" s="101" customFormat="1" spans="6:6">
      <c r="F53128" s="2423"/>
    </row>
    <row r="53129" s="101" customFormat="1" spans="6:6">
      <c r="F53129" s="2423"/>
    </row>
    <row r="53130" s="101" customFormat="1" spans="6:6">
      <c r="F53130" s="2423"/>
    </row>
    <row r="53131" s="101" customFormat="1" spans="6:6">
      <c r="F53131" s="2423"/>
    </row>
    <row r="53132" s="101" customFormat="1" spans="6:6">
      <c r="F53132" s="2423"/>
    </row>
    <row r="53133" s="101" customFormat="1" spans="6:6">
      <c r="F53133" s="2423"/>
    </row>
    <row r="53134" s="101" customFormat="1" spans="6:6">
      <c r="F53134" s="2423"/>
    </row>
    <row r="53135" s="101" customFormat="1" spans="6:6">
      <c r="F53135" s="2423"/>
    </row>
    <row r="53136" s="101" customFormat="1" spans="6:6">
      <c r="F53136" s="2423"/>
    </row>
    <row r="53137" s="101" customFormat="1" spans="6:6">
      <c r="F53137" s="2423"/>
    </row>
    <row r="53138" s="101" customFormat="1" spans="6:6">
      <c r="F53138" s="2423"/>
    </row>
    <row r="53139" s="101" customFormat="1" spans="6:6">
      <c r="F53139" s="2423"/>
    </row>
    <row r="53140" s="101" customFormat="1" spans="6:6">
      <c r="F53140" s="2423"/>
    </row>
    <row r="53141" s="101" customFormat="1" spans="6:6">
      <c r="F53141" s="2423"/>
    </row>
    <row r="53142" s="101" customFormat="1" spans="6:6">
      <c r="F53142" s="2423"/>
    </row>
    <row r="53143" s="101" customFormat="1" spans="6:6">
      <c r="F53143" s="2423"/>
    </row>
    <row r="53144" s="101" customFormat="1" spans="6:6">
      <c r="F53144" s="2423"/>
    </row>
    <row r="53145" s="101" customFormat="1" spans="6:6">
      <c r="F53145" s="2423"/>
    </row>
    <row r="53146" s="101" customFormat="1" spans="6:6">
      <c r="F53146" s="2423"/>
    </row>
    <row r="53147" s="101" customFormat="1" spans="6:6">
      <c r="F53147" s="2423"/>
    </row>
    <row r="53148" s="101" customFormat="1" spans="6:6">
      <c r="F53148" s="2423"/>
    </row>
    <row r="53149" s="101" customFormat="1" spans="6:6">
      <c r="F53149" s="2423"/>
    </row>
    <row r="53150" s="101" customFormat="1" spans="6:6">
      <c r="F53150" s="2423"/>
    </row>
    <row r="53151" s="101" customFormat="1" spans="6:6">
      <c r="F53151" s="2423"/>
    </row>
    <row r="53152" s="101" customFormat="1" spans="6:6">
      <c r="F53152" s="2423"/>
    </row>
    <row r="53153" s="101" customFormat="1" spans="6:6">
      <c r="F53153" s="2423"/>
    </row>
    <row r="53154" s="101" customFormat="1" spans="6:6">
      <c r="F53154" s="2423"/>
    </row>
    <row r="53155" s="101" customFormat="1" spans="6:6">
      <c r="F53155" s="2423"/>
    </row>
    <row r="53156" s="101" customFormat="1" spans="6:6">
      <c r="F53156" s="2423"/>
    </row>
    <row r="53157" s="101" customFormat="1" spans="6:6">
      <c r="F53157" s="2423"/>
    </row>
    <row r="53158" s="101" customFormat="1" spans="6:6">
      <c r="F53158" s="2423"/>
    </row>
    <row r="53159" s="101" customFormat="1" spans="6:6">
      <c r="F53159" s="2423"/>
    </row>
    <row r="53160" s="101" customFormat="1" spans="6:6">
      <c r="F53160" s="2423"/>
    </row>
    <row r="53161" s="101" customFormat="1" spans="6:6">
      <c r="F53161" s="2423"/>
    </row>
    <row r="53162" s="101" customFormat="1" spans="6:6">
      <c r="F53162" s="2423"/>
    </row>
    <row r="53163" s="101" customFormat="1" spans="6:6">
      <c r="F53163" s="2423"/>
    </row>
    <row r="53164" s="101" customFormat="1" spans="6:6">
      <c r="F53164" s="2423"/>
    </row>
    <row r="53165" s="101" customFormat="1" spans="6:6">
      <c r="F53165" s="2423"/>
    </row>
    <row r="53166" s="101" customFormat="1" spans="6:6">
      <c r="F53166" s="2423"/>
    </row>
    <row r="53167" s="101" customFormat="1" spans="6:6">
      <c r="F53167" s="2423"/>
    </row>
    <row r="53168" s="101" customFormat="1" spans="6:6">
      <c r="F53168" s="2423"/>
    </row>
    <row r="53169" s="101" customFormat="1" spans="6:6">
      <c r="F53169" s="2423"/>
    </row>
    <row r="53170" s="101" customFormat="1" spans="6:6">
      <c r="F53170" s="2423"/>
    </row>
    <row r="53171" s="101" customFormat="1" spans="6:6">
      <c r="F53171" s="2423"/>
    </row>
    <row r="53172" s="101" customFormat="1" spans="6:6">
      <c r="F53172" s="2423"/>
    </row>
    <row r="53173" s="101" customFormat="1" spans="6:6">
      <c r="F53173" s="2423"/>
    </row>
    <row r="53174" s="101" customFormat="1" spans="6:6">
      <c r="F53174" s="2423"/>
    </row>
    <row r="53175" s="101" customFormat="1" spans="6:6">
      <c r="F53175" s="2423"/>
    </row>
    <row r="53176" s="101" customFormat="1" spans="6:6">
      <c r="F53176" s="2423"/>
    </row>
    <row r="53177" s="101" customFormat="1" spans="6:6">
      <c r="F53177" s="2423"/>
    </row>
    <row r="53178" s="101" customFormat="1" spans="6:6">
      <c r="F53178" s="2423"/>
    </row>
    <row r="53179" s="101" customFormat="1" spans="6:6">
      <c r="F53179" s="2423"/>
    </row>
    <row r="53180" s="101" customFormat="1" spans="6:6">
      <c r="F53180" s="2423"/>
    </row>
    <row r="53181" s="101" customFormat="1" spans="6:6">
      <c r="F53181" s="2423"/>
    </row>
    <row r="53182" s="101" customFormat="1" spans="6:6">
      <c r="F53182" s="2423"/>
    </row>
    <row r="53183" s="101" customFormat="1" spans="6:6">
      <c r="F53183" s="2423"/>
    </row>
    <row r="53184" s="101" customFormat="1" spans="6:6">
      <c r="F53184" s="2423"/>
    </row>
    <row r="53185" s="101" customFormat="1" spans="6:6">
      <c r="F53185" s="2423"/>
    </row>
    <row r="53186" s="101" customFormat="1" spans="6:6">
      <c r="F53186" s="2423"/>
    </row>
    <row r="53187" s="101" customFormat="1" spans="6:6">
      <c r="F53187" s="2423"/>
    </row>
    <row r="53188" s="101" customFormat="1" spans="6:6">
      <c r="F53188" s="2423"/>
    </row>
    <row r="53189" s="101" customFormat="1" spans="6:6">
      <c r="F53189" s="2423"/>
    </row>
    <row r="53190" s="101" customFormat="1" spans="6:6">
      <c r="F53190" s="2423"/>
    </row>
    <row r="53191" s="101" customFormat="1" spans="6:6">
      <c r="F53191" s="2423"/>
    </row>
    <row r="53192" s="101" customFormat="1" spans="6:6">
      <c r="F53192" s="2423"/>
    </row>
    <row r="53193" s="101" customFormat="1" spans="6:6">
      <c r="F53193" s="2423"/>
    </row>
    <row r="53194" s="101" customFormat="1" spans="6:6">
      <c r="F53194" s="2423"/>
    </row>
    <row r="53195" s="101" customFormat="1" spans="6:6">
      <c r="F53195" s="2423"/>
    </row>
    <row r="53196" s="101" customFormat="1" spans="6:6">
      <c r="F53196" s="2423"/>
    </row>
    <row r="53197" s="101" customFormat="1" spans="6:6">
      <c r="F53197" s="2423"/>
    </row>
    <row r="53198" s="101" customFormat="1" spans="6:6">
      <c r="F53198" s="2423"/>
    </row>
    <row r="53199" s="101" customFormat="1" spans="6:6">
      <c r="F53199" s="2423"/>
    </row>
    <row r="53200" s="101" customFormat="1" spans="6:6">
      <c r="F53200" s="2423"/>
    </row>
    <row r="53201" s="101" customFormat="1" spans="6:6">
      <c r="F53201" s="2423"/>
    </row>
    <row r="53202" s="101" customFormat="1" spans="6:6">
      <c r="F53202" s="2423"/>
    </row>
    <row r="53203" s="101" customFormat="1" spans="6:6">
      <c r="F53203" s="2423"/>
    </row>
    <row r="53204" s="101" customFormat="1" spans="6:6">
      <c r="F53204" s="2423"/>
    </row>
    <row r="53205" s="101" customFormat="1" spans="6:6">
      <c r="F53205" s="2423"/>
    </row>
    <row r="53206" s="101" customFormat="1" spans="6:6">
      <c r="F53206" s="2423"/>
    </row>
    <row r="53207" s="101" customFormat="1" spans="6:6">
      <c r="F53207" s="2423"/>
    </row>
    <row r="53208" s="101" customFormat="1" spans="6:6">
      <c r="F53208" s="2423"/>
    </row>
    <row r="53209" s="101" customFormat="1" spans="6:6">
      <c r="F53209" s="2423"/>
    </row>
    <row r="53210" s="101" customFormat="1" spans="6:6">
      <c r="F53210" s="2423"/>
    </row>
    <row r="53211" s="101" customFormat="1" spans="6:6">
      <c r="F53211" s="2423"/>
    </row>
    <row r="53212" s="101" customFormat="1" spans="6:6">
      <c r="F53212" s="2423"/>
    </row>
    <row r="53213" s="101" customFormat="1" spans="6:6">
      <c r="F53213" s="2423"/>
    </row>
    <row r="53214" s="101" customFormat="1" spans="6:6">
      <c r="F53214" s="2423"/>
    </row>
    <row r="53215" s="101" customFormat="1" spans="6:6">
      <c r="F53215" s="2423"/>
    </row>
    <row r="53216" s="101" customFormat="1" spans="6:6">
      <c r="F53216" s="2423"/>
    </row>
    <row r="53217" s="101" customFormat="1" spans="6:6">
      <c r="F53217" s="2423"/>
    </row>
    <row r="53218" s="101" customFormat="1" spans="6:6">
      <c r="F53218" s="2423"/>
    </row>
    <row r="53219" s="101" customFormat="1" spans="6:6">
      <c r="F53219" s="2423"/>
    </row>
    <row r="53220" s="101" customFormat="1" spans="6:6">
      <c r="F53220" s="2423"/>
    </row>
    <row r="53221" s="101" customFormat="1" spans="6:6">
      <c r="F53221" s="2423"/>
    </row>
    <row r="53222" s="101" customFormat="1" spans="6:6">
      <c r="F53222" s="2423"/>
    </row>
    <row r="53223" s="101" customFormat="1" spans="6:6">
      <c r="F53223" s="2423"/>
    </row>
    <row r="53224" s="101" customFormat="1" spans="6:6">
      <c r="F53224" s="2423"/>
    </row>
    <row r="53225" s="101" customFormat="1" spans="6:6">
      <c r="F53225" s="2423"/>
    </row>
    <row r="53226" s="101" customFormat="1" spans="6:6">
      <c r="F53226" s="2423"/>
    </row>
    <row r="53227" s="101" customFormat="1" spans="6:6">
      <c r="F53227" s="2423"/>
    </row>
    <row r="53228" s="101" customFormat="1" spans="6:6">
      <c r="F53228" s="2423"/>
    </row>
    <row r="53229" s="101" customFormat="1" spans="6:6">
      <c r="F53229" s="2423"/>
    </row>
    <row r="53230" s="101" customFormat="1" spans="6:6">
      <c r="F53230" s="2423"/>
    </row>
    <row r="53231" s="101" customFormat="1" spans="6:6">
      <c r="F53231" s="2423"/>
    </row>
    <row r="53232" s="101" customFormat="1" spans="6:6">
      <c r="F53232" s="2423"/>
    </row>
    <row r="53233" s="101" customFormat="1" spans="6:6">
      <c r="F53233" s="2423"/>
    </row>
    <row r="53234" s="101" customFormat="1" spans="6:6">
      <c r="F53234" s="2423"/>
    </row>
    <row r="53235" s="101" customFormat="1" spans="6:6">
      <c r="F53235" s="2423"/>
    </row>
    <row r="53236" s="101" customFormat="1" spans="6:6">
      <c r="F53236" s="2423"/>
    </row>
    <row r="53237" s="101" customFormat="1" spans="6:6">
      <c r="F53237" s="2423"/>
    </row>
    <row r="53238" s="101" customFormat="1" spans="6:6">
      <c r="F53238" s="2423"/>
    </row>
    <row r="53239" s="101" customFormat="1" spans="6:6">
      <c r="F53239" s="2423"/>
    </row>
    <row r="53240" s="101" customFormat="1" spans="6:6">
      <c r="F53240" s="2423"/>
    </row>
    <row r="53241" s="101" customFormat="1" spans="6:6">
      <c r="F53241" s="2423"/>
    </row>
    <row r="53242" s="101" customFormat="1" spans="6:6">
      <c r="F53242" s="2423"/>
    </row>
    <row r="53243" s="101" customFormat="1" spans="6:6">
      <c r="F53243" s="2423"/>
    </row>
    <row r="53244" s="101" customFormat="1" spans="6:6">
      <c r="F53244" s="2423"/>
    </row>
    <row r="53245" s="101" customFormat="1" spans="6:6">
      <c r="F53245" s="2423"/>
    </row>
    <row r="53246" s="101" customFormat="1" spans="6:6">
      <c r="F53246" s="2423"/>
    </row>
    <row r="53247" s="101" customFormat="1" spans="6:6">
      <c r="F53247" s="2423"/>
    </row>
    <row r="53248" s="101" customFormat="1" spans="6:6">
      <c r="F53248" s="2423"/>
    </row>
    <row r="53249" s="101" customFormat="1" spans="6:6">
      <c r="F53249" s="2423"/>
    </row>
    <row r="53250" s="101" customFormat="1" spans="6:6">
      <c r="F53250" s="2423"/>
    </row>
    <row r="53251" s="101" customFormat="1" spans="6:6">
      <c r="F53251" s="2423"/>
    </row>
    <row r="53252" s="101" customFormat="1" spans="6:6">
      <c r="F53252" s="2423"/>
    </row>
    <row r="53253" s="101" customFormat="1" spans="6:6">
      <c r="F53253" s="2423"/>
    </row>
    <row r="53254" s="101" customFormat="1" spans="6:6">
      <c r="F53254" s="2423"/>
    </row>
    <row r="53255" s="101" customFormat="1" spans="6:6">
      <c r="F53255" s="2423"/>
    </row>
    <row r="53256" s="101" customFormat="1" spans="6:6">
      <c r="F53256" s="2423"/>
    </row>
    <row r="53257" s="101" customFormat="1" spans="6:6">
      <c r="F53257" s="2423"/>
    </row>
    <row r="53258" s="101" customFormat="1" spans="6:6">
      <c r="F53258" s="2423"/>
    </row>
    <row r="53259" s="101" customFormat="1" spans="6:6">
      <c r="F53259" s="2423"/>
    </row>
    <row r="53260" s="101" customFormat="1" spans="6:6">
      <c r="F53260" s="2423"/>
    </row>
    <row r="53261" s="101" customFormat="1" spans="6:6">
      <c r="F53261" s="2423"/>
    </row>
    <row r="53262" s="101" customFormat="1" spans="6:6">
      <c r="F53262" s="2423"/>
    </row>
    <row r="53263" s="101" customFormat="1" spans="6:6">
      <c r="F53263" s="2423"/>
    </row>
    <row r="53264" s="101" customFormat="1" spans="6:6">
      <c r="F53264" s="2423"/>
    </row>
    <row r="53265" s="101" customFormat="1" spans="6:6">
      <c r="F53265" s="2423"/>
    </row>
    <row r="53266" s="101" customFormat="1" spans="6:6">
      <c r="F53266" s="2423"/>
    </row>
    <row r="53267" s="101" customFormat="1" spans="6:6">
      <c r="F53267" s="2423"/>
    </row>
    <row r="53268" s="101" customFormat="1" spans="6:6">
      <c r="F53268" s="2423"/>
    </row>
    <row r="53269" s="101" customFormat="1" spans="6:6">
      <c r="F53269" s="2423"/>
    </row>
    <row r="53270" s="101" customFormat="1" spans="6:6">
      <c r="F53270" s="2423"/>
    </row>
    <row r="53271" s="101" customFormat="1" spans="6:6">
      <c r="F53271" s="2423"/>
    </row>
    <row r="53272" s="101" customFormat="1" spans="6:6">
      <c r="F53272" s="2423"/>
    </row>
    <row r="53273" s="101" customFormat="1" spans="6:6">
      <c r="F53273" s="2423"/>
    </row>
    <row r="53274" s="101" customFormat="1" spans="6:6">
      <c r="F53274" s="2423"/>
    </row>
    <row r="53275" s="101" customFormat="1" spans="6:6">
      <c r="F53275" s="2423"/>
    </row>
    <row r="53276" s="101" customFormat="1" spans="6:6">
      <c r="F53276" s="2423"/>
    </row>
    <row r="53277" s="101" customFormat="1" spans="6:6">
      <c r="F53277" s="2423"/>
    </row>
    <row r="53278" s="101" customFormat="1" spans="6:6">
      <c r="F53278" s="2423"/>
    </row>
    <row r="53279" s="101" customFormat="1" spans="6:6">
      <c r="F53279" s="2423"/>
    </row>
    <row r="53280" s="101" customFormat="1" spans="6:6">
      <c r="F53280" s="2423"/>
    </row>
    <row r="53281" s="101" customFormat="1" spans="6:6">
      <c r="F53281" s="2423"/>
    </row>
    <row r="53282" s="101" customFormat="1" spans="6:6">
      <c r="F53282" s="2423"/>
    </row>
    <row r="53283" s="101" customFormat="1" spans="6:6">
      <c r="F53283" s="2423"/>
    </row>
    <row r="53284" s="101" customFormat="1" spans="6:6">
      <c r="F53284" s="2423"/>
    </row>
    <row r="53285" s="101" customFormat="1" spans="6:6">
      <c r="F53285" s="2423"/>
    </row>
    <row r="53286" s="101" customFormat="1" spans="6:6">
      <c r="F53286" s="2423"/>
    </row>
    <row r="53287" s="101" customFormat="1" spans="6:6">
      <c r="F53287" s="2423"/>
    </row>
    <row r="53288" s="101" customFormat="1" spans="6:6">
      <c r="F53288" s="2423"/>
    </row>
    <row r="53289" s="101" customFormat="1" spans="6:6">
      <c r="F53289" s="2423"/>
    </row>
    <row r="53290" s="101" customFormat="1" spans="6:6">
      <c r="F53290" s="2423"/>
    </row>
    <row r="53291" s="101" customFormat="1" spans="6:6">
      <c r="F53291" s="2423"/>
    </row>
    <row r="53292" s="101" customFormat="1" spans="6:6">
      <c r="F53292" s="2423"/>
    </row>
    <row r="53293" s="101" customFormat="1" spans="6:6">
      <c r="F53293" s="2423"/>
    </row>
    <row r="53294" s="101" customFormat="1" spans="6:6">
      <c r="F53294" s="2423"/>
    </row>
    <row r="53295" s="101" customFormat="1" spans="6:6">
      <c r="F53295" s="2423"/>
    </row>
    <row r="53296" s="101" customFormat="1" spans="6:6">
      <c r="F53296" s="2423"/>
    </row>
    <row r="53297" s="101" customFormat="1" spans="6:6">
      <c r="F53297" s="2423"/>
    </row>
    <row r="53298" s="101" customFormat="1" spans="6:6">
      <c r="F53298" s="2423"/>
    </row>
    <row r="53299" s="101" customFormat="1" spans="6:6">
      <c r="F53299" s="2423"/>
    </row>
    <row r="53300" s="101" customFormat="1" spans="6:6">
      <c r="F53300" s="2423"/>
    </row>
    <row r="53301" s="101" customFormat="1" spans="6:6">
      <c r="F53301" s="2423"/>
    </row>
    <row r="53302" s="101" customFormat="1" spans="6:6">
      <c r="F53302" s="2423"/>
    </row>
    <row r="53303" s="101" customFormat="1" spans="6:6">
      <c r="F53303" s="2423"/>
    </row>
    <row r="53304" s="101" customFormat="1" spans="6:6">
      <c r="F53304" s="2423"/>
    </row>
    <row r="53305" s="101" customFormat="1" spans="6:6">
      <c r="F53305" s="2423"/>
    </row>
    <row r="53306" s="101" customFormat="1" spans="6:6">
      <c r="F53306" s="2423"/>
    </row>
    <row r="53307" s="101" customFormat="1" spans="6:6">
      <c r="F53307" s="2423"/>
    </row>
    <row r="53308" s="101" customFormat="1" spans="6:6">
      <c r="F53308" s="2423"/>
    </row>
    <row r="53309" s="101" customFormat="1" spans="6:6">
      <c r="F53309" s="2423"/>
    </row>
    <row r="53310" s="101" customFormat="1" spans="6:6">
      <c r="F53310" s="2423"/>
    </row>
    <row r="53311" s="101" customFormat="1" spans="6:6">
      <c r="F53311" s="2423"/>
    </row>
    <row r="53312" s="101" customFormat="1" spans="6:6">
      <c r="F53312" s="2423"/>
    </row>
    <row r="53313" s="101" customFormat="1" spans="6:6">
      <c r="F53313" s="2423"/>
    </row>
    <row r="53314" s="101" customFormat="1" spans="6:6">
      <c r="F53314" s="2423"/>
    </row>
    <row r="53315" s="101" customFormat="1" spans="6:6">
      <c r="F53315" s="2423"/>
    </row>
    <row r="53316" s="101" customFormat="1" spans="6:6">
      <c r="F53316" s="2423"/>
    </row>
    <row r="53317" s="101" customFormat="1" spans="6:6">
      <c r="F53317" s="2423"/>
    </row>
    <row r="53318" s="101" customFormat="1" spans="6:6">
      <c r="F53318" s="2423"/>
    </row>
    <row r="53319" s="101" customFormat="1" spans="6:6">
      <c r="F53319" s="2423"/>
    </row>
    <row r="53320" s="101" customFormat="1" spans="6:6">
      <c r="F53320" s="2423"/>
    </row>
    <row r="53321" s="101" customFormat="1" spans="6:6">
      <c r="F53321" s="2423"/>
    </row>
    <row r="53322" s="101" customFormat="1" spans="6:6">
      <c r="F53322" s="2423"/>
    </row>
    <row r="53323" s="101" customFormat="1" spans="6:6">
      <c r="F53323" s="2423"/>
    </row>
    <row r="53324" s="101" customFormat="1" spans="6:6">
      <c r="F53324" s="2423"/>
    </row>
    <row r="53325" s="101" customFormat="1" spans="6:6">
      <c r="F53325" s="2423"/>
    </row>
    <row r="53326" s="101" customFormat="1" spans="6:6">
      <c r="F53326" s="2423"/>
    </row>
    <row r="53327" s="101" customFormat="1" spans="6:6">
      <c r="F53327" s="2423"/>
    </row>
    <row r="53328" s="101" customFormat="1" spans="6:6">
      <c r="F53328" s="2423"/>
    </row>
    <row r="53329" s="101" customFormat="1" spans="6:6">
      <c r="F53329" s="2423"/>
    </row>
    <row r="53330" s="101" customFormat="1" spans="6:6">
      <c r="F53330" s="2423"/>
    </row>
    <row r="53331" s="101" customFormat="1" spans="6:6">
      <c r="F53331" s="2423"/>
    </row>
    <row r="53332" s="101" customFormat="1" spans="6:6">
      <c r="F53332" s="2423"/>
    </row>
    <row r="53333" s="101" customFormat="1" spans="6:6">
      <c r="F53333" s="2423"/>
    </row>
    <row r="53334" s="101" customFormat="1" spans="6:6">
      <c r="F53334" s="2423"/>
    </row>
    <row r="53335" s="101" customFormat="1" spans="6:6">
      <c r="F53335" s="2423"/>
    </row>
    <row r="53336" s="101" customFormat="1" spans="6:6">
      <c r="F53336" s="2423"/>
    </row>
    <row r="53337" s="101" customFormat="1" spans="6:6">
      <c r="F53337" s="2423"/>
    </row>
    <row r="53338" s="101" customFormat="1" spans="6:6">
      <c r="F53338" s="2423"/>
    </row>
    <row r="53339" s="101" customFormat="1" spans="6:6">
      <c r="F53339" s="2423"/>
    </row>
    <row r="53340" s="101" customFormat="1" spans="6:6">
      <c r="F53340" s="2423"/>
    </row>
    <row r="53341" s="101" customFormat="1" spans="6:6">
      <c r="F53341" s="2423"/>
    </row>
    <row r="53342" s="101" customFormat="1" spans="6:6">
      <c r="F53342" s="2423"/>
    </row>
    <row r="53343" s="101" customFormat="1" spans="6:6">
      <c r="F53343" s="2423"/>
    </row>
    <row r="53344" s="101" customFormat="1" spans="6:6">
      <c r="F53344" s="2423"/>
    </row>
    <row r="53345" s="101" customFormat="1" spans="6:6">
      <c r="F53345" s="2423"/>
    </row>
    <row r="53346" s="101" customFormat="1" spans="6:6">
      <c r="F53346" s="2423"/>
    </row>
    <row r="53347" s="101" customFormat="1" spans="6:6">
      <c r="F53347" s="2423"/>
    </row>
    <row r="53348" s="101" customFormat="1" spans="6:6">
      <c r="F53348" s="2423"/>
    </row>
    <row r="53349" s="101" customFormat="1" spans="6:6">
      <c r="F53349" s="2423"/>
    </row>
    <row r="53350" s="101" customFormat="1" spans="6:6">
      <c r="F53350" s="2423"/>
    </row>
    <row r="53351" s="101" customFormat="1" spans="6:6">
      <c r="F53351" s="2423"/>
    </row>
    <row r="53352" s="101" customFormat="1" spans="6:6">
      <c r="F53352" s="2423"/>
    </row>
    <row r="53353" s="101" customFormat="1" spans="6:6">
      <c r="F53353" s="2423"/>
    </row>
    <row r="53354" s="101" customFormat="1" spans="6:6">
      <c r="F53354" s="2423"/>
    </row>
    <row r="53355" s="101" customFormat="1" spans="6:6">
      <c r="F53355" s="2423"/>
    </row>
    <row r="53356" s="101" customFormat="1" spans="6:6">
      <c r="F53356" s="2423"/>
    </row>
    <row r="53357" s="101" customFormat="1" spans="6:6">
      <c r="F53357" s="2423"/>
    </row>
    <row r="53358" s="101" customFormat="1" spans="6:6">
      <c r="F53358" s="2423"/>
    </row>
    <row r="53359" s="101" customFormat="1" spans="6:6">
      <c r="F53359" s="2423"/>
    </row>
    <row r="53360" s="101" customFormat="1" spans="6:6">
      <c r="F53360" s="2423"/>
    </row>
    <row r="53361" s="101" customFormat="1" spans="6:6">
      <c r="F53361" s="2423"/>
    </row>
    <row r="53362" s="101" customFormat="1" spans="6:6">
      <c r="F53362" s="2423"/>
    </row>
    <row r="53363" s="101" customFormat="1" spans="6:6">
      <c r="F53363" s="2423"/>
    </row>
    <row r="53364" s="101" customFormat="1" spans="6:6">
      <c r="F53364" s="2423"/>
    </row>
    <row r="53365" s="101" customFormat="1" spans="6:6">
      <c r="F53365" s="2423"/>
    </row>
    <row r="53366" s="101" customFormat="1" spans="6:6">
      <c r="F53366" s="2423"/>
    </row>
    <row r="53367" s="101" customFormat="1" spans="6:6">
      <c r="F53367" s="2423"/>
    </row>
    <row r="53368" s="101" customFormat="1" spans="6:6">
      <c r="F53368" s="2423"/>
    </row>
    <row r="53369" s="101" customFormat="1" spans="6:6">
      <c r="F53369" s="2423"/>
    </row>
    <row r="53370" s="101" customFormat="1" spans="6:6">
      <c r="F53370" s="2423"/>
    </row>
    <row r="53371" s="101" customFormat="1" spans="6:6">
      <c r="F53371" s="2423"/>
    </row>
    <row r="53372" s="101" customFormat="1" spans="6:6">
      <c r="F53372" s="2423"/>
    </row>
    <row r="53373" s="101" customFormat="1" spans="6:6">
      <c r="F53373" s="2423"/>
    </row>
    <row r="53374" s="101" customFormat="1" spans="6:6">
      <c r="F53374" s="2423"/>
    </row>
    <row r="53375" s="101" customFormat="1" spans="6:6">
      <c r="F53375" s="2423"/>
    </row>
    <row r="53376" s="101" customFormat="1" spans="6:6">
      <c r="F53376" s="2423"/>
    </row>
    <row r="53377" s="101" customFormat="1" spans="6:6">
      <c r="F53377" s="2423"/>
    </row>
    <row r="53378" s="101" customFormat="1" spans="6:6">
      <c r="F53378" s="2423"/>
    </row>
    <row r="53379" s="101" customFormat="1" spans="6:6">
      <c r="F53379" s="2423"/>
    </row>
    <row r="53380" s="101" customFormat="1" spans="6:6">
      <c r="F53380" s="2423"/>
    </row>
    <row r="53381" s="101" customFormat="1" spans="6:6">
      <c r="F53381" s="2423"/>
    </row>
    <row r="53382" s="101" customFormat="1" spans="6:6">
      <c r="F53382" s="2423"/>
    </row>
    <row r="53383" s="101" customFormat="1" spans="6:6">
      <c r="F53383" s="2423"/>
    </row>
    <row r="53384" s="101" customFormat="1" spans="6:6">
      <c r="F53384" s="2423"/>
    </row>
    <row r="53385" s="101" customFormat="1" spans="6:6">
      <c r="F53385" s="2423"/>
    </row>
    <row r="53386" s="101" customFormat="1" spans="6:6">
      <c r="F53386" s="2423"/>
    </row>
    <row r="53387" s="101" customFormat="1" spans="6:6">
      <c r="F53387" s="2423"/>
    </row>
    <row r="53388" s="101" customFormat="1" spans="6:6">
      <c r="F53388" s="2423"/>
    </row>
    <row r="53389" s="101" customFormat="1" spans="6:6">
      <c r="F53389" s="2423"/>
    </row>
    <row r="53390" s="101" customFormat="1" spans="6:6">
      <c r="F53390" s="2423"/>
    </row>
    <row r="53391" s="101" customFormat="1" spans="6:6">
      <c r="F53391" s="2423"/>
    </row>
    <row r="53392" s="101" customFormat="1" spans="6:6">
      <c r="F53392" s="2423"/>
    </row>
    <row r="53393" s="101" customFormat="1" spans="6:6">
      <c r="F53393" s="2423"/>
    </row>
    <row r="53394" s="101" customFormat="1" spans="6:6">
      <c r="F53394" s="2423"/>
    </row>
    <row r="53395" s="101" customFormat="1" spans="6:6">
      <c r="F53395" s="2423"/>
    </row>
    <row r="53396" s="101" customFormat="1" spans="6:6">
      <c r="F53396" s="2423"/>
    </row>
    <row r="53397" s="101" customFormat="1" spans="6:6">
      <c r="F53397" s="2423"/>
    </row>
    <row r="53398" s="101" customFormat="1" spans="6:6">
      <c r="F53398" s="2423"/>
    </row>
    <row r="53399" s="101" customFormat="1" spans="6:6">
      <c r="F53399" s="2423"/>
    </row>
    <row r="53400" s="101" customFormat="1" spans="6:6">
      <c r="F53400" s="2423"/>
    </row>
    <row r="53401" s="101" customFormat="1" spans="6:6">
      <c r="F53401" s="2423"/>
    </row>
    <row r="53402" s="101" customFormat="1" spans="6:6">
      <c r="F53402" s="2423"/>
    </row>
    <row r="53403" s="101" customFormat="1" spans="6:6">
      <c r="F53403" s="2423"/>
    </row>
    <row r="53404" s="101" customFormat="1" spans="6:6">
      <c r="F53404" s="2423"/>
    </row>
    <row r="53405" s="101" customFormat="1" spans="6:6">
      <c r="F53405" s="2423"/>
    </row>
    <row r="53406" s="101" customFormat="1" spans="6:6">
      <c r="F53406" s="2423"/>
    </row>
    <row r="53407" s="101" customFormat="1" spans="6:6">
      <c r="F53407" s="2423"/>
    </row>
    <row r="53408" s="101" customFormat="1" spans="6:6">
      <c r="F53408" s="2423"/>
    </row>
    <row r="53409" s="101" customFormat="1" spans="6:6">
      <c r="F53409" s="2423"/>
    </row>
    <row r="53410" s="101" customFormat="1" spans="6:6">
      <c r="F53410" s="2423"/>
    </row>
    <row r="53411" s="101" customFormat="1" spans="6:6">
      <c r="F53411" s="2423"/>
    </row>
    <row r="53412" s="101" customFormat="1" spans="6:6">
      <c r="F53412" s="2423"/>
    </row>
    <row r="53413" s="101" customFormat="1" spans="6:6">
      <c r="F53413" s="2423"/>
    </row>
    <row r="53414" s="101" customFormat="1" spans="6:6">
      <c r="F53414" s="2423"/>
    </row>
    <row r="53415" s="101" customFormat="1" spans="6:6">
      <c r="F53415" s="2423"/>
    </row>
    <row r="53416" s="101" customFormat="1" spans="6:6">
      <c r="F53416" s="2423"/>
    </row>
    <row r="53417" s="101" customFormat="1" spans="6:6">
      <c r="F53417" s="2423"/>
    </row>
    <row r="53418" s="101" customFormat="1" spans="6:6">
      <c r="F53418" s="2423"/>
    </row>
    <row r="53419" s="101" customFormat="1" spans="6:6">
      <c r="F53419" s="2423"/>
    </row>
    <row r="53420" s="101" customFormat="1" spans="6:6">
      <c r="F53420" s="2423"/>
    </row>
    <row r="53421" s="101" customFormat="1" spans="6:6">
      <c r="F53421" s="2423"/>
    </row>
    <row r="53422" s="101" customFormat="1" spans="6:6">
      <c r="F53422" s="2423"/>
    </row>
    <row r="53423" s="101" customFormat="1" spans="6:6">
      <c r="F53423" s="2423"/>
    </row>
    <row r="53424" s="101" customFormat="1" spans="6:6">
      <c r="F53424" s="2423"/>
    </row>
    <row r="53425" s="101" customFormat="1" spans="6:6">
      <c r="F53425" s="2423"/>
    </row>
    <row r="53426" s="101" customFormat="1" spans="6:6">
      <c r="F53426" s="2423"/>
    </row>
    <row r="53427" s="101" customFormat="1" spans="6:6">
      <c r="F53427" s="2423"/>
    </row>
    <row r="53428" s="101" customFormat="1" spans="6:6">
      <c r="F53428" s="2423"/>
    </row>
    <row r="53429" s="101" customFormat="1" spans="6:6">
      <c r="F53429" s="2423"/>
    </row>
    <row r="53430" s="101" customFormat="1" spans="6:6">
      <c r="F53430" s="2423"/>
    </row>
    <row r="53431" s="101" customFormat="1" spans="6:6">
      <c r="F53431" s="2423"/>
    </row>
    <row r="53432" s="101" customFormat="1" spans="6:6">
      <c r="F53432" s="2423"/>
    </row>
    <row r="53433" s="101" customFormat="1" spans="6:6">
      <c r="F53433" s="2423"/>
    </row>
    <row r="53434" s="101" customFormat="1" spans="6:6">
      <c r="F53434" s="2423"/>
    </row>
    <row r="53435" s="101" customFormat="1" spans="6:6">
      <c r="F53435" s="2423"/>
    </row>
    <row r="53436" s="101" customFormat="1" spans="6:6">
      <c r="F53436" s="2423"/>
    </row>
    <row r="53437" s="101" customFormat="1" spans="6:6">
      <c r="F53437" s="2423"/>
    </row>
    <row r="53438" s="101" customFormat="1" spans="6:6">
      <c r="F53438" s="2423"/>
    </row>
    <row r="53439" s="101" customFormat="1" spans="6:6">
      <c r="F53439" s="2423"/>
    </row>
    <row r="53440" s="101" customFormat="1" spans="6:6">
      <c r="F53440" s="2423"/>
    </row>
    <row r="53441" s="101" customFormat="1" spans="6:6">
      <c r="F53441" s="2423"/>
    </row>
    <row r="53442" s="101" customFormat="1" spans="6:6">
      <c r="F53442" s="2423"/>
    </row>
    <row r="53443" s="101" customFormat="1" spans="6:6">
      <c r="F53443" s="2423"/>
    </row>
    <row r="53444" s="101" customFormat="1" spans="6:6">
      <c r="F53444" s="2423"/>
    </row>
    <row r="53445" s="101" customFormat="1" spans="6:6">
      <c r="F53445" s="2423"/>
    </row>
    <row r="53446" s="101" customFormat="1" spans="6:6">
      <c r="F53446" s="2423"/>
    </row>
    <row r="53447" s="101" customFormat="1" spans="6:6">
      <c r="F53447" s="2423"/>
    </row>
    <row r="53448" s="101" customFormat="1" spans="6:6">
      <c r="F53448" s="2423"/>
    </row>
    <row r="53449" s="101" customFormat="1" spans="6:6">
      <c r="F53449" s="2423"/>
    </row>
    <row r="53450" s="101" customFormat="1" spans="6:6">
      <c r="F53450" s="2423"/>
    </row>
    <row r="53451" s="101" customFormat="1" spans="6:6">
      <c r="F53451" s="2423"/>
    </row>
    <row r="53452" s="101" customFormat="1" spans="6:6">
      <c r="F53452" s="2423"/>
    </row>
    <row r="53453" s="101" customFormat="1" spans="6:6">
      <c r="F53453" s="2423"/>
    </row>
    <row r="53454" s="101" customFormat="1" spans="6:6">
      <c r="F53454" s="2423"/>
    </row>
    <row r="53455" s="101" customFormat="1" spans="6:6">
      <c r="F53455" s="2423"/>
    </row>
    <row r="53456" s="101" customFormat="1" spans="6:6">
      <c r="F53456" s="2423"/>
    </row>
    <row r="53457" s="101" customFormat="1" spans="6:6">
      <c r="F53457" s="2423"/>
    </row>
    <row r="53458" s="101" customFormat="1" spans="6:6">
      <c r="F53458" s="2423"/>
    </row>
    <row r="53459" s="101" customFormat="1" spans="6:6">
      <c r="F53459" s="2423"/>
    </row>
    <row r="53460" s="101" customFormat="1" spans="6:6">
      <c r="F53460" s="2423"/>
    </row>
    <row r="53461" s="101" customFormat="1" spans="6:6">
      <c r="F53461" s="2423"/>
    </row>
    <row r="53462" s="101" customFormat="1" spans="6:6">
      <c r="F53462" s="2423"/>
    </row>
    <row r="53463" s="101" customFormat="1" spans="6:6">
      <c r="F53463" s="2423"/>
    </row>
    <row r="53464" s="101" customFormat="1" spans="6:6">
      <c r="F53464" s="2423"/>
    </row>
    <row r="53465" s="101" customFormat="1" spans="6:6">
      <c r="F53465" s="2423"/>
    </row>
    <row r="53466" s="101" customFormat="1" spans="6:6">
      <c r="F53466" s="2423"/>
    </row>
    <row r="53467" s="101" customFormat="1" spans="6:6">
      <c r="F53467" s="2423"/>
    </row>
    <row r="53468" s="101" customFormat="1" spans="6:6">
      <c r="F53468" s="2423"/>
    </row>
    <row r="53469" s="101" customFormat="1" spans="6:6">
      <c r="F53469" s="2423"/>
    </row>
    <row r="53470" s="101" customFormat="1" spans="6:6">
      <c r="F53470" s="2423"/>
    </row>
    <row r="53471" s="101" customFormat="1" spans="6:6">
      <c r="F53471" s="2423"/>
    </row>
    <row r="53472" s="101" customFormat="1" spans="6:6">
      <c r="F53472" s="2423"/>
    </row>
    <row r="53473" s="101" customFormat="1" spans="6:6">
      <c r="F53473" s="2423"/>
    </row>
    <row r="53474" s="101" customFormat="1" spans="6:6">
      <c r="F53474" s="2423"/>
    </row>
    <row r="53475" s="101" customFormat="1" spans="6:6">
      <c r="F53475" s="2423"/>
    </row>
    <row r="53476" s="101" customFormat="1" spans="6:6">
      <c r="F53476" s="2423"/>
    </row>
    <row r="53477" s="101" customFormat="1" spans="6:6">
      <c r="F53477" s="2423"/>
    </row>
    <row r="53478" s="101" customFormat="1" spans="6:6">
      <c r="F53478" s="2423"/>
    </row>
    <row r="53479" s="101" customFormat="1" spans="6:6">
      <c r="F53479" s="2423"/>
    </row>
    <row r="53480" s="101" customFormat="1" spans="6:6">
      <c r="F53480" s="2423"/>
    </row>
    <row r="53481" s="101" customFormat="1" spans="6:6">
      <c r="F53481" s="2423"/>
    </row>
    <row r="53482" s="101" customFormat="1" spans="6:6">
      <c r="F53482" s="2423"/>
    </row>
    <row r="53483" s="101" customFormat="1" spans="6:6">
      <c r="F53483" s="2423"/>
    </row>
    <row r="53484" s="101" customFormat="1" spans="6:6">
      <c r="F53484" s="2423"/>
    </row>
    <row r="53485" s="101" customFormat="1" spans="6:6">
      <c r="F53485" s="2423"/>
    </row>
    <row r="53486" s="101" customFormat="1" spans="6:6">
      <c r="F53486" s="2423"/>
    </row>
    <row r="53487" s="101" customFormat="1" spans="6:6">
      <c r="F53487" s="2423"/>
    </row>
    <row r="53488" s="101" customFormat="1" spans="6:6">
      <c r="F53488" s="2423"/>
    </row>
    <row r="53489" s="101" customFormat="1" spans="6:6">
      <c r="F53489" s="2423"/>
    </row>
    <row r="53490" s="101" customFormat="1" spans="6:6">
      <c r="F53490" s="2423"/>
    </row>
    <row r="53491" s="101" customFormat="1" spans="6:6">
      <c r="F53491" s="2423"/>
    </row>
    <row r="53492" s="101" customFormat="1" spans="6:6">
      <c r="F53492" s="2423"/>
    </row>
    <row r="53493" s="101" customFormat="1" spans="6:6">
      <c r="F53493" s="2423"/>
    </row>
    <row r="53494" s="101" customFormat="1" spans="6:6">
      <c r="F53494" s="2423"/>
    </row>
    <row r="53495" s="101" customFormat="1" spans="6:6">
      <c r="F53495" s="2423"/>
    </row>
    <row r="53496" s="101" customFormat="1" spans="6:6">
      <c r="F53496" s="2423"/>
    </row>
    <row r="53497" s="101" customFormat="1" spans="6:6">
      <c r="F53497" s="2423"/>
    </row>
    <row r="53498" s="101" customFormat="1" spans="6:6">
      <c r="F53498" s="2423"/>
    </row>
    <row r="53499" s="101" customFormat="1" spans="6:6">
      <c r="F53499" s="2423"/>
    </row>
    <row r="53500" s="101" customFormat="1" spans="6:6">
      <c r="F53500" s="2423"/>
    </row>
    <row r="53501" s="101" customFormat="1" spans="6:6">
      <c r="F53501" s="2423"/>
    </row>
    <row r="53502" s="101" customFormat="1" spans="6:6">
      <c r="F53502" s="2423"/>
    </row>
    <row r="53503" s="101" customFormat="1" spans="6:6">
      <c r="F53503" s="2423"/>
    </row>
    <row r="53504" s="101" customFormat="1" spans="6:6">
      <c r="F53504" s="2423"/>
    </row>
    <row r="53505" s="101" customFormat="1" spans="6:6">
      <c r="F53505" s="2423"/>
    </row>
    <row r="53506" s="101" customFormat="1" spans="6:6">
      <c r="F53506" s="2423"/>
    </row>
    <row r="53507" s="101" customFormat="1" spans="6:6">
      <c r="F53507" s="2423"/>
    </row>
    <row r="53508" s="101" customFormat="1" spans="6:6">
      <c r="F53508" s="2423"/>
    </row>
    <row r="53509" s="101" customFormat="1" spans="6:6">
      <c r="F53509" s="2423"/>
    </row>
    <row r="53510" s="101" customFormat="1" spans="6:6">
      <c r="F53510" s="2423"/>
    </row>
    <row r="53511" s="101" customFormat="1" spans="6:6">
      <c r="F53511" s="2423"/>
    </row>
    <row r="53512" s="101" customFormat="1" spans="6:6">
      <c r="F53512" s="2423"/>
    </row>
    <row r="53513" s="101" customFormat="1" spans="6:6">
      <c r="F53513" s="2423"/>
    </row>
    <row r="53514" s="101" customFormat="1" spans="6:6">
      <c r="F53514" s="2423"/>
    </row>
    <row r="53515" s="101" customFormat="1" spans="6:6">
      <c r="F53515" s="2423"/>
    </row>
    <row r="53516" s="101" customFormat="1" spans="6:6">
      <c r="F53516" s="2423"/>
    </row>
    <row r="53517" s="101" customFormat="1" spans="6:6">
      <c r="F53517" s="2423"/>
    </row>
    <row r="53518" s="101" customFormat="1" spans="6:6">
      <c r="F53518" s="2423"/>
    </row>
    <row r="53519" s="101" customFormat="1" spans="6:6">
      <c r="F53519" s="2423"/>
    </row>
    <row r="53520" s="101" customFormat="1" spans="6:6">
      <c r="F53520" s="2423"/>
    </row>
    <row r="53521" s="101" customFormat="1" spans="6:6">
      <c r="F53521" s="2423"/>
    </row>
    <row r="53522" s="101" customFormat="1" spans="6:6">
      <c r="F53522" s="2423"/>
    </row>
    <row r="53523" s="101" customFormat="1" spans="6:6">
      <c r="F53523" s="2423"/>
    </row>
    <row r="53524" s="101" customFormat="1" spans="6:6">
      <c r="F53524" s="2423"/>
    </row>
    <row r="53525" s="101" customFormat="1" spans="6:6">
      <c r="F53525" s="2423"/>
    </row>
    <row r="53526" s="101" customFormat="1" spans="6:6">
      <c r="F53526" s="2423"/>
    </row>
    <row r="53527" s="101" customFormat="1" spans="6:6">
      <c r="F53527" s="2423"/>
    </row>
    <row r="53528" s="101" customFormat="1" spans="6:6">
      <c r="F53528" s="2423"/>
    </row>
    <row r="53529" s="101" customFormat="1" spans="6:6">
      <c r="F53529" s="2423"/>
    </row>
    <row r="53530" s="101" customFormat="1" spans="6:6">
      <c r="F53530" s="2423"/>
    </row>
    <row r="53531" s="101" customFormat="1" spans="6:6">
      <c r="F53531" s="2423"/>
    </row>
    <row r="53532" s="101" customFormat="1" spans="6:6">
      <c r="F53532" s="2423"/>
    </row>
    <row r="53533" s="101" customFormat="1" spans="6:6">
      <c r="F53533" s="2423"/>
    </row>
    <row r="53534" s="101" customFormat="1" spans="6:6">
      <c r="F53534" s="2423"/>
    </row>
    <row r="53535" s="101" customFormat="1" spans="6:6">
      <c r="F53535" s="2423"/>
    </row>
    <row r="53536" s="101" customFormat="1" spans="6:6">
      <c r="F53536" s="2423"/>
    </row>
    <row r="53537" s="101" customFormat="1" spans="6:6">
      <c r="F53537" s="2423"/>
    </row>
    <row r="53538" s="101" customFormat="1" spans="6:6">
      <c r="F53538" s="2423"/>
    </row>
    <row r="53539" s="101" customFormat="1" spans="6:6">
      <c r="F53539" s="2423"/>
    </row>
    <row r="53540" s="101" customFormat="1" spans="6:6">
      <c r="F53540" s="2423"/>
    </row>
    <row r="53541" s="101" customFormat="1" spans="6:6">
      <c r="F53541" s="2423"/>
    </row>
    <row r="53542" s="101" customFormat="1" spans="6:6">
      <c r="F53542" s="2423"/>
    </row>
    <row r="53543" s="101" customFormat="1" spans="6:6">
      <c r="F53543" s="2423"/>
    </row>
    <row r="53544" s="101" customFormat="1" spans="6:6">
      <c r="F53544" s="2423"/>
    </row>
    <row r="53545" s="101" customFormat="1" spans="6:6">
      <c r="F53545" s="2423"/>
    </row>
    <row r="53546" s="101" customFormat="1" spans="6:6">
      <c r="F53546" s="2423"/>
    </row>
    <row r="53547" s="101" customFormat="1" spans="6:6">
      <c r="F53547" s="2423"/>
    </row>
    <row r="53548" s="101" customFormat="1" spans="6:6">
      <c r="F53548" s="2423"/>
    </row>
    <row r="53549" s="101" customFormat="1" spans="6:6">
      <c r="F53549" s="2423"/>
    </row>
    <row r="53550" s="101" customFormat="1" spans="6:6">
      <c r="F53550" s="2423"/>
    </row>
    <row r="53551" s="101" customFormat="1" spans="6:6">
      <c r="F53551" s="2423"/>
    </row>
    <row r="53552" s="101" customFormat="1" spans="6:6">
      <c r="F53552" s="2423"/>
    </row>
    <row r="53553" s="101" customFormat="1" spans="6:6">
      <c r="F53553" s="2423"/>
    </row>
    <row r="53554" s="101" customFormat="1" spans="6:6">
      <c r="F53554" s="2423"/>
    </row>
    <row r="53555" s="101" customFormat="1" spans="6:6">
      <c r="F53555" s="2423"/>
    </row>
    <row r="53556" s="101" customFormat="1" spans="6:6">
      <c r="F53556" s="2423"/>
    </row>
    <row r="53557" s="101" customFormat="1" spans="6:6">
      <c r="F53557" s="2423"/>
    </row>
    <row r="53558" s="101" customFormat="1" spans="6:6">
      <c r="F53558" s="2423"/>
    </row>
    <row r="53559" s="101" customFormat="1" spans="6:6">
      <c r="F53559" s="2423"/>
    </row>
    <row r="53560" s="101" customFormat="1" spans="6:6">
      <c r="F53560" s="2423"/>
    </row>
    <row r="53561" s="101" customFormat="1" spans="6:6">
      <c r="F53561" s="2423"/>
    </row>
    <row r="53562" s="101" customFormat="1" spans="6:6">
      <c r="F53562" s="2423"/>
    </row>
    <row r="53563" s="101" customFormat="1" spans="6:6">
      <c r="F53563" s="2423"/>
    </row>
    <row r="53564" s="101" customFormat="1" spans="6:6">
      <c r="F53564" s="2423"/>
    </row>
    <row r="53565" s="101" customFormat="1" spans="6:6">
      <c r="F53565" s="2423"/>
    </row>
    <row r="53566" s="101" customFormat="1" spans="6:6">
      <c r="F53566" s="2423"/>
    </row>
    <row r="53567" s="101" customFormat="1" spans="6:6">
      <c r="F53567" s="2423"/>
    </row>
    <row r="53568" s="101" customFormat="1" spans="6:6">
      <c r="F53568" s="2423"/>
    </row>
    <row r="53569" s="101" customFormat="1" spans="6:6">
      <c r="F53569" s="2423"/>
    </row>
    <row r="53570" s="101" customFormat="1" spans="6:6">
      <c r="F53570" s="2423"/>
    </row>
    <row r="53571" s="101" customFormat="1" spans="6:6">
      <c r="F53571" s="2423"/>
    </row>
    <row r="53572" s="101" customFormat="1" spans="6:6">
      <c r="F53572" s="2423"/>
    </row>
    <row r="53573" s="101" customFormat="1" spans="6:6">
      <c r="F53573" s="2423"/>
    </row>
    <row r="53574" s="101" customFormat="1" spans="6:6">
      <c r="F53574" s="2423"/>
    </row>
    <row r="53575" s="101" customFormat="1" spans="6:6">
      <c r="F53575" s="2423"/>
    </row>
    <row r="53576" s="101" customFormat="1" spans="6:6">
      <c r="F53576" s="2423"/>
    </row>
    <row r="53577" s="101" customFormat="1" spans="6:6">
      <c r="F53577" s="2423"/>
    </row>
    <row r="53578" s="101" customFormat="1" spans="6:6">
      <c r="F53578" s="2423"/>
    </row>
    <row r="53579" s="101" customFormat="1" spans="6:6">
      <c r="F53579" s="2423"/>
    </row>
    <row r="53580" s="101" customFormat="1" spans="6:6">
      <c r="F53580" s="2423"/>
    </row>
    <row r="53581" s="101" customFormat="1" spans="6:6">
      <c r="F53581" s="2423"/>
    </row>
    <row r="53582" s="101" customFormat="1" spans="6:6">
      <c r="F53582" s="2423"/>
    </row>
    <row r="53583" s="101" customFormat="1" spans="6:6">
      <c r="F53583" s="2423"/>
    </row>
    <row r="53584" s="101" customFormat="1" spans="6:6">
      <c r="F53584" s="2423"/>
    </row>
    <row r="53585" s="101" customFormat="1" spans="6:6">
      <c r="F53585" s="2423"/>
    </row>
    <row r="53586" s="101" customFormat="1" spans="6:6">
      <c r="F53586" s="2423"/>
    </row>
    <row r="53587" s="101" customFormat="1" spans="6:6">
      <c r="F53587" s="2423"/>
    </row>
    <row r="53588" s="101" customFormat="1" spans="6:6">
      <c r="F53588" s="2423"/>
    </row>
    <row r="53589" s="101" customFormat="1" spans="6:6">
      <c r="F53589" s="2423"/>
    </row>
    <row r="53590" s="101" customFormat="1" spans="6:6">
      <c r="F53590" s="2423"/>
    </row>
    <row r="53591" s="101" customFormat="1" spans="6:6">
      <c r="F53591" s="2423"/>
    </row>
    <row r="53592" s="101" customFormat="1" spans="6:6">
      <c r="F53592" s="2423"/>
    </row>
    <row r="53593" s="101" customFormat="1" spans="6:6">
      <c r="F53593" s="2423"/>
    </row>
    <row r="53594" s="101" customFormat="1" spans="6:6">
      <c r="F53594" s="2423"/>
    </row>
    <row r="53595" s="101" customFormat="1" spans="6:6">
      <c r="F53595" s="2423"/>
    </row>
    <row r="53596" s="101" customFormat="1" spans="6:6">
      <c r="F53596" s="2423"/>
    </row>
    <row r="53597" s="101" customFormat="1" spans="6:6">
      <c r="F53597" s="2423"/>
    </row>
    <row r="53598" s="101" customFormat="1" spans="6:6">
      <c r="F53598" s="2423"/>
    </row>
    <row r="53599" s="101" customFormat="1" spans="6:6">
      <c r="F53599" s="2423"/>
    </row>
    <row r="53600" s="101" customFormat="1" spans="6:6">
      <c r="F53600" s="2423"/>
    </row>
    <row r="53601" s="101" customFormat="1" spans="6:6">
      <c r="F53601" s="2423"/>
    </row>
    <row r="53602" s="101" customFormat="1" spans="6:6">
      <c r="F53602" s="2423"/>
    </row>
    <row r="53603" s="101" customFormat="1" spans="6:6">
      <c r="F53603" s="2423"/>
    </row>
    <row r="53604" s="101" customFormat="1" spans="6:6">
      <c r="F53604" s="2423"/>
    </row>
    <row r="53605" s="101" customFormat="1" spans="6:6">
      <c r="F53605" s="2423"/>
    </row>
    <row r="53606" s="101" customFormat="1" spans="6:6">
      <c r="F53606" s="2423"/>
    </row>
    <row r="53607" s="101" customFormat="1" spans="6:6">
      <c r="F53607" s="2423"/>
    </row>
    <row r="53608" s="101" customFormat="1" spans="6:6">
      <c r="F53608" s="2423"/>
    </row>
    <row r="53609" s="101" customFormat="1" spans="6:6">
      <c r="F53609" s="2423"/>
    </row>
    <row r="53610" s="101" customFormat="1" spans="6:6">
      <c r="F53610" s="2423"/>
    </row>
    <row r="53611" s="101" customFormat="1" spans="6:6">
      <c r="F53611" s="2423"/>
    </row>
    <row r="53612" s="101" customFormat="1" spans="6:6">
      <c r="F53612" s="2423"/>
    </row>
    <row r="53613" s="101" customFormat="1" spans="6:6">
      <c r="F53613" s="2423"/>
    </row>
    <row r="53614" s="101" customFormat="1" spans="6:6">
      <c r="F53614" s="2423"/>
    </row>
    <row r="53615" s="101" customFormat="1" spans="6:6">
      <c r="F53615" s="2423"/>
    </row>
    <row r="53616" s="101" customFormat="1" spans="6:6">
      <c r="F53616" s="2423"/>
    </row>
    <row r="53617" s="101" customFormat="1" spans="6:6">
      <c r="F53617" s="2423"/>
    </row>
    <row r="53618" s="101" customFormat="1" spans="6:6">
      <c r="F53618" s="2423"/>
    </row>
    <row r="53619" s="101" customFormat="1" spans="6:6">
      <c r="F53619" s="2423"/>
    </row>
    <row r="53620" s="101" customFormat="1" spans="6:6">
      <c r="F53620" s="2423"/>
    </row>
    <row r="53621" s="101" customFormat="1" spans="6:6">
      <c r="F53621" s="2423"/>
    </row>
    <row r="53622" s="101" customFormat="1" spans="6:6">
      <c r="F53622" s="2423"/>
    </row>
    <row r="53623" s="101" customFormat="1" spans="6:6">
      <c r="F53623" s="2423"/>
    </row>
    <row r="53624" s="101" customFormat="1" spans="6:6">
      <c r="F53624" s="2423"/>
    </row>
    <row r="53625" s="101" customFormat="1" spans="6:6">
      <c r="F53625" s="2423"/>
    </row>
    <row r="53626" s="101" customFormat="1" spans="6:6">
      <c r="F53626" s="2423"/>
    </row>
    <row r="53627" s="101" customFormat="1" spans="6:6">
      <c r="F53627" s="2423"/>
    </row>
    <row r="53628" s="101" customFormat="1" spans="6:6">
      <c r="F53628" s="2423"/>
    </row>
    <row r="53629" s="101" customFormat="1" spans="6:6">
      <c r="F53629" s="2423"/>
    </row>
    <row r="53630" s="101" customFormat="1" spans="6:6">
      <c r="F53630" s="2423"/>
    </row>
    <row r="53631" s="101" customFormat="1" spans="6:6">
      <c r="F53631" s="2423"/>
    </row>
    <row r="53632" s="101" customFormat="1" spans="6:6">
      <c r="F53632" s="2423"/>
    </row>
    <row r="53633" s="101" customFormat="1" spans="6:6">
      <c r="F53633" s="2423"/>
    </row>
    <row r="53634" s="101" customFormat="1" spans="6:6">
      <c r="F53634" s="2423"/>
    </row>
    <row r="53635" s="101" customFormat="1" spans="6:6">
      <c r="F53635" s="2423"/>
    </row>
    <row r="53636" s="101" customFormat="1" spans="6:6">
      <c r="F53636" s="2423"/>
    </row>
    <row r="53637" s="101" customFormat="1" spans="6:6">
      <c r="F53637" s="2423"/>
    </row>
    <row r="53638" s="101" customFormat="1" spans="6:6">
      <c r="F53638" s="2423"/>
    </row>
    <row r="53639" s="101" customFormat="1" spans="6:6">
      <c r="F53639" s="2423"/>
    </row>
    <row r="53640" s="101" customFormat="1" spans="6:6">
      <c r="F53640" s="2423"/>
    </row>
    <row r="53641" s="101" customFormat="1" spans="6:6">
      <c r="F53641" s="2423"/>
    </row>
    <row r="53642" s="101" customFormat="1" spans="6:6">
      <c r="F53642" s="2423"/>
    </row>
    <row r="53643" s="101" customFormat="1" spans="6:6">
      <c r="F53643" s="2423"/>
    </row>
    <row r="53644" s="101" customFormat="1" spans="6:6">
      <c r="F53644" s="2423"/>
    </row>
    <row r="53645" s="101" customFormat="1" spans="6:6">
      <c r="F53645" s="2423"/>
    </row>
    <row r="53646" s="101" customFormat="1" spans="6:6">
      <c r="F53646" s="2423"/>
    </row>
    <row r="53647" s="101" customFormat="1" spans="6:6">
      <c r="F53647" s="2423"/>
    </row>
    <row r="53648" s="101" customFormat="1" spans="6:6">
      <c r="F53648" s="2423"/>
    </row>
    <row r="53649" s="101" customFormat="1" spans="6:6">
      <c r="F53649" s="2423"/>
    </row>
    <row r="53650" s="101" customFormat="1" spans="6:6">
      <c r="F53650" s="2423"/>
    </row>
    <row r="53651" s="101" customFormat="1" spans="6:6">
      <c r="F53651" s="2423"/>
    </row>
    <row r="53652" s="101" customFormat="1" spans="6:6">
      <c r="F53652" s="2423"/>
    </row>
    <row r="53653" s="101" customFormat="1" spans="6:6">
      <c r="F53653" s="2423"/>
    </row>
    <row r="53654" s="101" customFormat="1" spans="6:6">
      <c r="F53654" s="2423"/>
    </row>
    <row r="53655" s="101" customFormat="1" spans="6:6">
      <c r="F53655" s="2423"/>
    </row>
    <row r="53656" s="101" customFormat="1" spans="6:6">
      <c r="F53656" s="2423"/>
    </row>
    <row r="53657" s="101" customFormat="1" spans="6:6">
      <c r="F53657" s="2423"/>
    </row>
    <row r="53658" s="101" customFormat="1" spans="6:6">
      <c r="F53658" s="2423"/>
    </row>
    <row r="53659" s="101" customFormat="1" spans="6:6">
      <c r="F53659" s="2423"/>
    </row>
    <row r="53660" s="101" customFormat="1" spans="6:6">
      <c r="F53660" s="2423"/>
    </row>
    <row r="53661" s="101" customFormat="1" spans="6:6">
      <c r="F53661" s="2423"/>
    </row>
    <row r="53662" s="101" customFormat="1" spans="6:6">
      <c r="F53662" s="2423"/>
    </row>
    <row r="53663" s="101" customFormat="1" spans="6:6">
      <c r="F53663" s="2423"/>
    </row>
    <row r="53664" s="101" customFormat="1" spans="6:6">
      <c r="F53664" s="2423"/>
    </row>
    <row r="53665" s="101" customFormat="1" spans="6:6">
      <c r="F53665" s="2423"/>
    </row>
    <row r="53666" s="101" customFormat="1" spans="6:6">
      <c r="F53666" s="2423"/>
    </row>
    <row r="53667" s="101" customFormat="1" spans="6:6">
      <c r="F53667" s="2423"/>
    </row>
    <row r="53668" s="101" customFormat="1" spans="6:6">
      <c r="F53668" s="2423"/>
    </row>
    <row r="53669" s="101" customFormat="1" spans="6:6">
      <c r="F53669" s="2423"/>
    </row>
    <row r="53670" s="101" customFormat="1" spans="6:6">
      <c r="F53670" s="2423"/>
    </row>
    <row r="53671" s="101" customFormat="1" spans="6:6">
      <c r="F53671" s="2423"/>
    </row>
    <row r="53672" s="101" customFormat="1" spans="6:6">
      <c r="F53672" s="2423"/>
    </row>
    <row r="53673" s="101" customFormat="1" spans="6:6">
      <c r="F53673" s="2423"/>
    </row>
    <row r="53674" s="101" customFormat="1" spans="6:6">
      <c r="F53674" s="2423"/>
    </row>
    <row r="53675" s="101" customFormat="1" spans="6:6">
      <c r="F53675" s="2423"/>
    </row>
    <row r="53676" s="101" customFormat="1" spans="6:6">
      <c r="F53676" s="2423"/>
    </row>
    <row r="53677" s="101" customFormat="1" spans="6:6">
      <c r="F53677" s="2423"/>
    </row>
    <row r="53678" s="101" customFormat="1" spans="6:6">
      <c r="F53678" s="2423"/>
    </row>
    <row r="53679" s="101" customFormat="1" spans="6:6">
      <c r="F53679" s="2423"/>
    </row>
    <row r="53680" s="101" customFormat="1" spans="6:6">
      <c r="F53680" s="2423"/>
    </row>
    <row r="53681" s="101" customFormat="1" spans="6:6">
      <c r="F53681" s="2423"/>
    </row>
    <row r="53682" s="101" customFormat="1" spans="6:6">
      <c r="F53682" s="2423"/>
    </row>
    <row r="53683" s="101" customFormat="1" spans="6:6">
      <c r="F53683" s="2423"/>
    </row>
    <row r="53684" s="101" customFormat="1" spans="6:6">
      <c r="F53684" s="2423"/>
    </row>
    <row r="53685" s="101" customFormat="1" spans="6:6">
      <c r="F53685" s="2423"/>
    </row>
    <row r="53686" s="101" customFormat="1" spans="6:6">
      <c r="F53686" s="2423"/>
    </row>
    <row r="53687" s="101" customFormat="1" spans="6:6">
      <c r="F53687" s="2423"/>
    </row>
    <row r="53688" s="101" customFormat="1" spans="6:6">
      <c r="F53688" s="2423"/>
    </row>
    <row r="53689" s="101" customFormat="1" spans="6:6">
      <c r="F53689" s="2423"/>
    </row>
    <row r="53690" s="101" customFormat="1" spans="6:6">
      <c r="F53690" s="2423"/>
    </row>
    <row r="53691" s="101" customFormat="1" spans="6:6">
      <c r="F53691" s="2423"/>
    </row>
    <row r="53692" s="101" customFormat="1" spans="6:6">
      <c r="F53692" s="2423"/>
    </row>
    <row r="53693" s="101" customFormat="1" spans="6:6">
      <c r="F53693" s="2423"/>
    </row>
    <row r="53694" s="101" customFormat="1" spans="6:6">
      <c r="F53694" s="2423"/>
    </row>
    <row r="53695" s="101" customFormat="1" spans="6:6">
      <c r="F53695" s="2423"/>
    </row>
    <row r="53696" s="101" customFormat="1" spans="6:6">
      <c r="F53696" s="2423"/>
    </row>
    <row r="53697" s="101" customFormat="1" spans="6:6">
      <c r="F53697" s="2423"/>
    </row>
    <row r="53698" s="101" customFormat="1" spans="6:6">
      <c r="F53698" s="2423"/>
    </row>
    <row r="53699" s="101" customFormat="1" spans="6:6">
      <c r="F53699" s="2423"/>
    </row>
    <row r="53700" s="101" customFormat="1" spans="6:6">
      <c r="F53700" s="2423"/>
    </row>
    <row r="53701" s="101" customFormat="1" spans="6:6">
      <c r="F53701" s="2423"/>
    </row>
    <row r="53702" s="101" customFormat="1" spans="6:6">
      <c r="F53702" s="2423"/>
    </row>
    <row r="53703" s="101" customFormat="1" spans="6:6">
      <c r="F53703" s="2423"/>
    </row>
    <row r="53704" s="101" customFormat="1" spans="6:6">
      <c r="F53704" s="2423"/>
    </row>
    <row r="53705" s="101" customFormat="1" spans="6:6">
      <c r="F53705" s="2423"/>
    </row>
    <row r="53706" s="101" customFormat="1" spans="6:6">
      <c r="F53706" s="2423"/>
    </row>
    <row r="53707" s="101" customFormat="1" spans="6:6">
      <c r="F53707" s="2423"/>
    </row>
    <row r="53708" s="101" customFormat="1" spans="6:6">
      <c r="F53708" s="2423"/>
    </row>
    <row r="53709" s="101" customFormat="1" spans="6:6">
      <c r="F53709" s="2423"/>
    </row>
    <row r="53710" s="101" customFormat="1" spans="6:6">
      <c r="F53710" s="2423"/>
    </row>
    <row r="53711" s="101" customFormat="1" spans="6:6">
      <c r="F53711" s="2423"/>
    </row>
    <row r="53712" s="101" customFormat="1" spans="6:6">
      <c r="F53712" s="2423"/>
    </row>
    <row r="53713" s="101" customFormat="1" spans="6:6">
      <c r="F53713" s="2423"/>
    </row>
    <row r="53714" s="101" customFormat="1" spans="6:6">
      <c r="F53714" s="2423"/>
    </row>
    <row r="53715" s="101" customFormat="1" spans="6:6">
      <c r="F53715" s="2423"/>
    </row>
    <row r="53716" s="101" customFormat="1" spans="6:6">
      <c r="F53716" s="2423"/>
    </row>
    <row r="53717" s="101" customFormat="1" spans="6:6">
      <c r="F53717" s="2423"/>
    </row>
    <row r="53718" s="101" customFormat="1" spans="6:6">
      <c r="F53718" s="2423"/>
    </row>
    <row r="53719" s="101" customFormat="1" spans="6:6">
      <c r="F53719" s="2423"/>
    </row>
    <row r="53720" s="101" customFormat="1" spans="6:6">
      <c r="F53720" s="2423"/>
    </row>
    <row r="53721" s="101" customFormat="1" spans="6:6">
      <c r="F53721" s="2423"/>
    </row>
    <row r="53722" s="101" customFormat="1" spans="6:6">
      <c r="F53722" s="2423"/>
    </row>
    <row r="53723" s="101" customFormat="1" spans="6:6">
      <c r="F53723" s="2423"/>
    </row>
    <row r="53724" s="101" customFormat="1" spans="6:6">
      <c r="F53724" s="2423"/>
    </row>
    <row r="53725" s="101" customFormat="1" spans="6:6">
      <c r="F53725" s="2423"/>
    </row>
    <row r="53726" s="101" customFormat="1" spans="6:6">
      <c r="F53726" s="2423"/>
    </row>
    <row r="53727" s="101" customFormat="1" spans="6:6">
      <c r="F53727" s="2423"/>
    </row>
    <row r="53728" s="101" customFormat="1" spans="6:6">
      <c r="F53728" s="2423"/>
    </row>
    <row r="53729" s="101" customFormat="1" spans="6:6">
      <c r="F53729" s="2423"/>
    </row>
    <row r="53730" s="101" customFormat="1" spans="6:6">
      <c r="F53730" s="2423"/>
    </row>
    <row r="53731" s="101" customFormat="1" spans="6:6">
      <c r="F53731" s="2423"/>
    </row>
    <row r="53732" s="101" customFormat="1" spans="6:6">
      <c r="F53732" s="2423"/>
    </row>
    <row r="53733" s="101" customFormat="1" spans="6:6">
      <c r="F53733" s="2423"/>
    </row>
    <row r="53734" s="101" customFormat="1" spans="6:6">
      <c r="F53734" s="2423"/>
    </row>
    <row r="53735" s="101" customFormat="1" spans="6:6">
      <c r="F53735" s="2423"/>
    </row>
    <row r="53736" s="101" customFormat="1" spans="6:6">
      <c r="F53736" s="2423"/>
    </row>
    <row r="53737" s="101" customFormat="1" spans="6:6">
      <c r="F53737" s="2423"/>
    </row>
    <row r="53738" s="101" customFormat="1" spans="6:6">
      <c r="F53738" s="2423"/>
    </row>
    <row r="53739" s="101" customFormat="1" spans="6:6">
      <c r="F53739" s="2423"/>
    </row>
    <row r="53740" s="101" customFormat="1" spans="6:6">
      <c r="F53740" s="2423"/>
    </row>
    <row r="53741" s="101" customFormat="1" spans="6:6">
      <c r="F53741" s="2423"/>
    </row>
    <row r="53742" s="101" customFormat="1" spans="6:6">
      <c r="F53742" s="2423"/>
    </row>
    <row r="53743" s="101" customFormat="1" spans="6:6">
      <c r="F53743" s="2423"/>
    </row>
    <row r="53744" s="101" customFormat="1" spans="6:6">
      <c r="F53744" s="2423"/>
    </row>
    <row r="53745" s="101" customFormat="1" spans="6:6">
      <c r="F53745" s="2423"/>
    </row>
    <row r="53746" s="101" customFormat="1" spans="6:6">
      <c r="F53746" s="2423"/>
    </row>
    <row r="53747" s="101" customFormat="1" spans="6:6">
      <c r="F53747" s="2423"/>
    </row>
    <row r="53748" s="101" customFormat="1" spans="6:6">
      <c r="F53748" s="2423"/>
    </row>
    <row r="53749" s="101" customFormat="1" spans="6:6">
      <c r="F53749" s="2423"/>
    </row>
    <row r="53750" s="101" customFormat="1" spans="6:6">
      <c r="F53750" s="2423"/>
    </row>
    <row r="53751" s="101" customFormat="1" spans="6:6">
      <c r="F53751" s="2423"/>
    </row>
    <row r="53752" s="101" customFormat="1" spans="6:6">
      <c r="F53752" s="2423"/>
    </row>
    <row r="53753" s="101" customFormat="1" spans="6:6">
      <c r="F53753" s="2423"/>
    </row>
    <row r="53754" s="101" customFormat="1" spans="6:6">
      <c r="F53754" s="2423"/>
    </row>
    <row r="53755" s="101" customFormat="1" spans="6:6">
      <c r="F53755" s="2423"/>
    </row>
    <row r="53756" s="101" customFormat="1" spans="6:6">
      <c r="F53756" s="2423"/>
    </row>
    <row r="53757" s="101" customFormat="1" spans="6:6">
      <c r="F53757" s="2423"/>
    </row>
    <row r="53758" s="101" customFormat="1" spans="6:6">
      <c r="F53758" s="2423"/>
    </row>
    <row r="53759" s="101" customFormat="1" spans="6:6">
      <c r="F53759" s="2423"/>
    </row>
    <row r="53760" s="101" customFormat="1" spans="6:6">
      <c r="F53760" s="2423"/>
    </row>
    <row r="53761" s="101" customFormat="1" spans="6:6">
      <c r="F53761" s="2423"/>
    </row>
    <row r="53762" s="101" customFormat="1" spans="6:6">
      <c r="F53762" s="2423"/>
    </row>
    <row r="53763" s="101" customFormat="1" spans="6:6">
      <c r="F53763" s="2423"/>
    </row>
    <row r="53764" s="101" customFormat="1" spans="6:6">
      <c r="F53764" s="2423"/>
    </row>
    <row r="53765" s="101" customFormat="1" spans="6:6">
      <c r="F53765" s="2423"/>
    </row>
    <row r="53766" s="101" customFormat="1" spans="6:6">
      <c r="F53766" s="2423"/>
    </row>
    <row r="53767" s="101" customFormat="1" spans="6:6">
      <c r="F53767" s="2423"/>
    </row>
    <row r="53768" s="101" customFormat="1" spans="6:6">
      <c r="F53768" s="2423"/>
    </row>
    <row r="53769" s="101" customFormat="1" spans="6:6">
      <c r="F53769" s="2423"/>
    </row>
    <row r="53770" s="101" customFormat="1" spans="6:6">
      <c r="F53770" s="2423"/>
    </row>
    <row r="53771" s="101" customFormat="1" spans="6:6">
      <c r="F53771" s="2423"/>
    </row>
    <row r="53772" s="101" customFormat="1" spans="6:6">
      <c r="F53772" s="2423"/>
    </row>
    <row r="53773" s="101" customFormat="1" spans="6:6">
      <c r="F53773" s="2423"/>
    </row>
    <row r="53774" s="101" customFormat="1" spans="6:6">
      <c r="F53774" s="2423"/>
    </row>
    <row r="53775" s="101" customFormat="1" spans="6:6">
      <c r="F53775" s="2423"/>
    </row>
    <row r="53776" s="101" customFormat="1" spans="6:6">
      <c r="F53776" s="2423"/>
    </row>
    <row r="53777" s="101" customFormat="1" spans="6:6">
      <c r="F53777" s="2423"/>
    </row>
    <row r="53778" s="101" customFormat="1" spans="6:6">
      <c r="F53778" s="2423"/>
    </row>
    <row r="53779" s="101" customFormat="1" spans="6:6">
      <c r="F53779" s="2423"/>
    </row>
    <row r="53780" s="101" customFormat="1" spans="6:6">
      <c r="F53780" s="2423"/>
    </row>
    <row r="53781" s="101" customFormat="1" spans="6:6">
      <c r="F53781" s="2423"/>
    </row>
    <row r="53782" s="101" customFormat="1" spans="6:6">
      <c r="F53782" s="2423"/>
    </row>
    <row r="53783" s="101" customFormat="1" spans="6:6">
      <c r="F53783" s="2423"/>
    </row>
    <row r="53784" s="101" customFormat="1" spans="6:6">
      <c r="F53784" s="2423"/>
    </row>
    <row r="53785" s="101" customFormat="1" spans="6:6">
      <c r="F53785" s="2423"/>
    </row>
    <row r="53786" s="101" customFormat="1" spans="6:6">
      <c r="F53786" s="2423"/>
    </row>
    <row r="53787" s="101" customFormat="1" spans="6:6">
      <c r="F53787" s="2423"/>
    </row>
    <row r="53788" s="101" customFormat="1" spans="6:6">
      <c r="F53788" s="2423"/>
    </row>
    <row r="53789" s="101" customFormat="1" spans="6:6">
      <c r="F53789" s="2423"/>
    </row>
    <row r="53790" s="101" customFormat="1" spans="6:6">
      <c r="F53790" s="2423"/>
    </row>
    <row r="53791" s="101" customFormat="1" spans="6:6">
      <c r="F53791" s="2423"/>
    </row>
    <row r="53792" s="101" customFormat="1" spans="6:6">
      <c r="F53792" s="2423"/>
    </row>
    <row r="53793" s="101" customFormat="1" spans="6:6">
      <c r="F53793" s="2423"/>
    </row>
    <row r="53794" s="101" customFormat="1" spans="6:6">
      <c r="F53794" s="2423"/>
    </row>
    <row r="53795" s="101" customFormat="1" spans="6:6">
      <c r="F53795" s="2423"/>
    </row>
    <row r="53796" s="101" customFormat="1" spans="6:6">
      <c r="F53796" s="2423"/>
    </row>
    <row r="53797" s="101" customFormat="1" spans="6:6">
      <c r="F53797" s="2423"/>
    </row>
    <row r="53798" s="101" customFormat="1" spans="6:6">
      <c r="F53798" s="2423"/>
    </row>
    <row r="53799" s="101" customFormat="1" spans="6:6">
      <c r="F53799" s="2423"/>
    </row>
    <row r="53800" s="101" customFormat="1" spans="6:6">
      <c r="F53800" s="2423"/>
    </row>
    <row r="53801" s="101" customFormat="1" spans="6:6">
      <c r="F53801" s="2423"/>
    </row>
    <row r="53802" s="101" customFormat="1" spans="6:6">
      <c r="F53802" s="2423"/>
    </row>
    <row r="53803" s="101" customFormat="1" spans="6:6">
      <c r="F53803" s="2423"/>
    </row>
    <row r="53804" s="101" customFormat="1" spans="6:6">
      <c r="F53804" s="2423"/>
    </row>
    <row r="53805" s="101" customFormat="1" spans="6:6">
      <c r="F53805" s="2423"/>
    </row>
    <row r="53806" s="101" customFormat="1" spans="6:6">
      <c r="F53806" s="2423"/>
    </row>
    <row r="53807" s="101" customFormat="1" spans="6:6">
      <c r="F53807" s="2423"/>
    </row>
    <row r="53808" s="101" customFormat="1" spans="6:6">
      <c r="F53808" s="2423"/>
    </row>
    <row r="53809" s="101" customFormat="1" spans="6:6">
      <c r="F53809" s="2423"/>
    </row>
    <row r="53810" s="101" customFormat="1" spans="6:6">
      <c r="F53810" s="2423"/>
    </row>
    <row r="53811" s="101" customFormat="1" spans="6:6">
      <c r="F53811" s="2423"/>
    </row>
    <row r="53812" s="101" customFormat="1" spans="6:6">
      <c r="F53812" s="2423"/>
    </row>
    <row r="53813" s="101" customFormat="1" spans="6:6">
      <c r="F53813" s="2423"/>
    </row>
    <row r="53814" s="101" customFormat="1" spans="6:6">
      <c r="F53814" s="2423"/>
    </row>
    <row r="53815" s="101" customFormat="1" spans="6:6">
      <c r="F53815" s="2423"/>
    </row>
    <row r="53816" s="101" customFormat="1" spans="6:6">
      <c r="F53816" s="2423"/>
    </row>
    <row r="53817" s="101" customFormat="1" spans="6:6">
      <c r="F53817" s="2423"/>
    </row>
    <row r="53818" s="101" customFormat="1" spans="6:6">
      <c r="F53818" s="2423"/>
    </row>
    <row r="53819" s="101" customFormat="1" spans="6:6">
      <c r="F53819" s="2423"/>
    </row>
    <row r="53820" s="101" customFormat="1" spans="6:6">
      <c r="F53820" s="2423"/>
    </row>
    <row r="53821" s="101" customFormat="1" spans="6:6">
      <c r="F53821" s="2423"/>
    </row>
    <row r="53822" s="101" customFormat="1" spans="6:6">
      <c r="F53822" s="2423"/>
    </row>
    <row r="53823" s="101" customFormat="1" spans="6:6">
      <c r="F53823" s="2423"/>
    </row>
    <row r="53824" s="101" customFormat="1" spans="6:6">
      <c r="F53824" s="2423"/>
    </row>
    <row r="53825" s="101" customFormat="1" spans="6:6">
      <c r="F53825" s="2423"/>
    </row>
    <row r="53826" s="101" customFormat="1" spans="6:6">
      <c r="F53826" s="2423"/>
    </row>
    <row r="53827" s="101" customFormat="1" spans="6:6">
      <c r="F53827" s="2423"/>
    </row>
    <row r="53828" s="101" customFormat="1" spans="6:6">
      <c r="F53828" s="2423"/>
    </row>
    <row r="53829" s="101" customFormat="1" spans="6:6">
      <c r="F53829" s="2423"/>
    </row>
    <row r="53830" s="101" customFormat="1" spans="6:6">
      <c r="F53830" s="2423"/>
    </row>
    <row r="53831" s="101" customFormat="1" spans="6:6">
      <c r="F53831" s="2423"/>
    </row>
    <row r="53832" s="101" customFormat="1" spans="6:6">
      <c r="F53832" s="2423"/>
    </row>
    <row r="53833" s="101" customFormat="1" spans="6:6">
      <c r="F53833" s="2423"/>
    </row>
    <row r="53834" s="101" customFormat="1" spans="6:6">
      <c r="F53834" s="2423"/>
    </row>
    <row r="53835" s="101" customFormat="1" spans="6:6">
      <c r="F53835" s="2423"/>
    </row>
    <row r="53836" s="101" customFormat="1" spans="6:6">
      <c r="F53836" s="2423"/>
    </row>
    <row r="53837" s="101" customFormat="1" spans="6:6">
      <c r="F53837" s="2423"/>
    </row>
    <row r="53838" s="101" customFormat="1" spans="6:6">
      <c r="F53838" s="2423"/>
    </row>
    <row r="53839" s="101" customFormat="1" spans="6:6">
      <c r="F53839" s="2423"/>
    </row>
    <row r="53840" s="101" customFormat="1" spans="6:6">
      <c r="F53840" s="2423"/>
    </row>
    <row r="53841" s="101" customFormat="1" spans="6:6">
      <c r="F53841" s="2423"/>
    </row>
    <row r="53842" s="101" customFormat="1" spans="6:6">
      <c r="F53842" s="2423"/>
    </row>
    <row r="53843" s="101" customFormat="1" spans="6:6">
      <c r="F53843" s="2423"/>
    </row>
    <row r="53844" s="101" customFormat="1" spans="6:6">
      <c r="F53844" s="2423"/>
    </row>
    <row r="53845" s="101" customFormat="1" spans="6:6">
      <c r="F53845" s="2423"/>
    </row>
    <row r="53846" s="101" customFormat="1" spans="6:6">
      <c r="F53846" s="2423"/>
    </row>
    <row r="53847" s="101" customFormat="1" spans="6:6">
      <c r="F53847" s="2423"/>
    </row>
    <row r="53848" s="101" customFormat="1" spans="6:6">
      <c r="F53848" s="2423"/>
    </row>
    <row r="53849" s="101" customFormat="1" spans="6:6">
      <c r="F53849" s="2423"/>
    </row>
    <row r="53850" s="101" customFormat="1" spans="6:6">
      <c r="F53850" s="2423"/>
    </row>
    <row r="53851" s="101" customFormat="1" spans="6:6">
      <c r="F53851" s="2423"/>
    </row>
    <row r="53852" s="101" customFormat="1" spans="6:6">
      <c r="F53852" s="2423"/>
    </row>
    <row r="53853" s="101" customFormat="1" spans="6:6">
      <c r="F53853" s="2423"/>
    </row>
    <row r="53854" s="101" customFormat="1" spans="6:6">
      <c r="F53854" s="2423"/>
    </row>
    <row r="53855" s="101" customFormat="1" spans="6:6">
      <c r="F53855" s="2423"/>
    </row>
    <row r="53856" s="101" customFormat="1" spans="6:6">
      <c r="F53856" s="2423"/>
    </row>
    <row r="53857" s="101" customFormat="1" spans="6:6">
      <c r="F53857" s="2423"/>
    </row>
    <row r="53858" s="101" customFormat="1" spans="6:6">
      <c r="F53858" s="2423"/>
    </row>
    <row r="53859" s="101" customFormat="1" spans="6:6">
      <c r="F53859" s="2423"/>
    </row>
    <row r="53860" s="101" customFormat="1" spans="6:6">
      <c r="F53860" s="2423"/>
    </row>
    <row r="53861" s="101" customFormat="1" spans="6:6">
      <c r="F53861" s="2423"/>
    </row>
    <row r="53862" s="101" customFormat="1" spans="6:6">
      <c r="F53862" s="2423"/>
    </row>
    <row r="53863" s="101" customFormat="1" spans="6:6">
      <c r="F53863" s="2423"/>
    </row>
    <row r="53864" s="101" customFormat="1" spans="6:6">
      <c r="F53864" s="2423"/>
    </row>
    <row r="53865" s="101" customFormat="1" spans="6:6">
      <c r="F53865" s="2423"/>
    </row>
    <row r="53866" s="101" customFormat="1" spans="6:6">
      <c r="F53866" s="2423"/>
    </row>
    <row r="53867" s="101" customFormat="1" spans="6:6">
      <c r="F53867" s="2423"/>
    </row>
    <row r="53868" s="101" customFormat="1" spans="6:6">
      <c r="F53868" s="2423"/>
    </row>
    <row r="53869" s="101" customFormat="1" spans="6:6">
      <c r="F53869" s="2423"/>
    </row>
    <row r="53870" s="101" customFormat="1" spans="6:6">
      <c r="F53870" s="2423"/>
    </row>
    <row r="53871" s="101" customFormat="1" spans="6:6">
      <c r="F53871" s="2423"/>
    </row>
    <row r="53872" s="101" customFormat="1" spans="6:6">
      <c r="F53872" s="2423"/>
    </row>
    <row r="53873" s="101" customFormat="1" spans="6:6">
      <c r="F53873" s="2423"/>
    </row>
    <row r="53874" s="101" customFormat="1" spans="6:6">
      <c r="F53874" s="2423"/>
    </row>
    <row r="53875" s="101" customFormat="1" spans="6:6">
      <c r="F53875" s="2423"/>
    </row>
    <row r="53876" s="101" customFormat="1" spans="6:6">
      <c r="F53876" s="2423"/>
    </row>
    <row r="53877" s="101" customFormat="1" spans="6:6">
      <c r="F53877" s="2423"/>
    </row>
    <row r="53878" s="101" customFormat="1" spans="6:6">
      <c r="F53878" s="2423"/>
    </row>
    <row r="53879" s="101" customFormat="1" spans="6:6">
      <c r="F53879" s="2423"/>
    </row>
    <row r="53880" s="101" customFormat="1" spans="6:6">
      <c r="F53880" s="2423"/>
    </row>
    <row r="53881" s="101" customFormat="1" spans="6:6">
      <c r="F53881" s="2423"/>
    </row>
    <row r="53882" s="101" customFormat="1" spans="6:6">
      <c r="F53882" s="2423"/>
    </row>
    <row r="53883" s="101" customFormat="1" spans="6:6">
      <c r="F53883" s="2423"/>
    </row>
    <row r="53884" s="101" customFormat="1" spans="6:6">
      <c r="F53884" s="2423"/>
    </row>
    <row r="53885" s="101" customFormat="1" spans="6:6">
      <c r="F53885" s="2423"/>
    </row>
    <row r="53886" s="101" customFormat="1" spans="6:6">
      <c r="F53886" s="2423"/>
    </row>
    <row r="53887" s="101" customFormat="1" spans="6:6">
      <c r="F53887" s="2423"/>
    </row>
    <row r="53888" s="101" customFormat="1" spans="6:6">
      <c r="F53888" s="2423"/>
    </row>
    <row r="53889" s="101" customFormat="1" spans="6:6">
      <c r="F53889" s="2423"/>
    </row>
    <row r="53890" s="101" customFormat="1" spans="6:6">
      <c r="F53890" s="2423"/>
    </row>
    <row r="53891" s="101" customFormat="1" spans="6:6">
      <c r="F53891" s="2423"/>
    </row>
    <row r="53892" s="101" customFormat="1" spans="6:6">
      <c r="F53892" s="2423"/>
    </row>
    <row r="53893" s="101" customFormat="1" spans="6:6">
      <c r="F53893" s="2423"/>
    </row>
    <row r="53894" s="101" customFormat="1" spans="6:6">
      <c r="F53894" s="2423"/>
    </row>
    <row r="53895" s="101" customFormat="1" spans="6:6">
      <c r="F53895" s="2423"/>
    </row>
    <row r="53896" s="101" customFormat="1" spans="6:6">
      <c r="F53896" s="2423"/>
    </row>
    <row r="53897" s="101" customFormat="1" spans="6:6">
      <c r="F53897" s="2423"/>
    </row>
    <row r="53898" s="101" customFormat="1" spans="6:6">
      <c r="F53898" s="2423"/>
    </row>
    <row r="53899" s="101" customFormat="1" spans="6:6">
      <c r="F53899" s="2423"/>
    </row>
    <row r="53900" s="101" customFormat="1" spans="6:6">
      <c r="F53900" s="2423"/>
    </row>
    <row r="53901" s="101" customFormat="1" spans="6:6">
      <c r="F53901" s="2423"/>
    </row>
    <row r="53902" s="101" customFormat="1" spans="6:6">
      <c r="F53902" s="2423"/>
    </row>
    <row r="53903" s="101" customFormat="1" spans="6:6">
      <c r="F53903" s="2423"/>
    </row>
    <row r="53904" s="101" customFormat="1" spans="6:6">
      <c r="F53904" s="2423"/>
    </row>
    <row r="53905" s="101" customFormat="1" spans="6:6">
      <c r="F53905" s="2423"/>
    </row>
    <row r="53906" s="101" customFormat="1" spans="6:6">
      <c r="F53906" s="2423"/>
    </row>
    <row r="53907" s="101" customFormat="1" spans="6:6">
      <c r="F53907" s="2423"/>
    </row>
    <row r="53908" s="101" customFormat="1" spans="6:6">
      <c r="F53908" s="2423"/>
    </row>
    <row r="53909" s="101" customFormat="1" spans="6:6">
      <c r="F53909" s="2423"/>
    </row>
    <row r="53910" s="101" customFormat="1" spans="6:6">
      <c r="F53910" s="2423"/>
    </row>
    <row r="53911" s="101" customFormat="1" spans="6:6">
      <c r="F53911" s="2423"/>
    </row>
    <row r="53912" s="101" customFormat="1" spans="6:6">
      <c r="F53912" s="2423"/>
    </row>
    <row r="53913" s="101" customFormat="1" spans="6:6">
      <c r="F53913" s="2423"/>
    </row>
    <row r="53914" s="101" customFormat="1" spans="6:6">
      <c r="F53914" s="2423"/>
    </row>
    <row r="53915" s="101" customFormat="1" spans="6:6">
      <c r="F53915" s="2423"/>
    </row>
    <row r="53916" s="101" customFormat="1" spans="6:6">
      <c r="F53916" s="2423"/>
    </row>
    <row r="53917" s="101" customFormat="1" spans="6:6">
      <c r="F53917" s="2423"/>
    </row>
    <row r="53918" s="101" customFormat="1" spans="6:6">
      <c r="F53918" s="2423"/>
    </row>
    <row r="53919" s="101" customFormat="1" spans="6:6">
      <c r="F53919" s="2423"/>
    </row>
    <row r="53920" s="101" customFormat="1" spans="6:6">
      <c r="F53920" s="2423"/>
    </row>
    <row r="53921" s="101" customFormat="1" spans="6:6">
      <c r="F53921" s="2423"/>
    </row>
    <row r="53922" s="101" customFormat="1" spans="6:6">
      <c r="F53922" s="2423"/>
    </row>
    <row r="53923" s="101" customFormat="1" spans="6:6">
      <c r="F53923" s="2423"/>
    </row>
    <row r="53924" s="101" customFormat="1" spans="6:6">
      <c r="F53924" s="2423"/>
    </row>
    <row r="53925" s="101" customFormat="1" spans="6:6">
      <c r="F53925" s="2423"/>
    </row>
    <row r="53926" s="101" customFormat="1" spans="6:6">
      <c r="F53926" s="2423"/>
    </row>
    <row r="53927" s="101" customFormat="1" spans="6:6">
      <c r="F53927" s="2423"/>
    </row>
    <row r="53928" s="101" customFormat="1" spans="6:6">
      <c r="F53928" s="2423"/>
    </row>
    <row r="53929" s="101" customFormat="1" spans="6:6">
      <c r="F53929" s="2423"/>
    </row>
    <row r="53930" s="101" customFormat="1" spans="6:6">
      <c r="F53930" s="2423"/>
    </row>
    <row r="53931" s="101" customFormat="1" spans="6:6">
      <c r="F53931" s="2423"/>
    </row>
    <row r="53932" s="101" customFormat="1" spans="6:6">
      <c r="F53932" s="2423"/>
    </row>
    <row r="53933" s="101" customFormat="1" spans="6:6">
      <c r="F53933" s="2423"/>
    </row>
    <row r="53934" s="101" customFormat="1" spans="6:6">
      <c r="F53934" s="2423"/>
    </row>
    <row r="53935" s="101" customFormat="1" spans="6:6">
      <c r="F53935" s="2423"/>
    </row>
    <row r="53936" s="101" customFormat="1" spans="6:6">
      <c r="F53936" s="2423"/>
    </row>
    <row r="53937" s="101" customFormat="1" spans="6:6">
      <c r="F53937" s="2423"/>
    </row>
    <row r="53938" s="101" customFormat="1" spans="6:6">
      <c r="F53938" s="2423"/>
    </row>
    <row r="53939" s="101" customFormat="1" spans="6:6">
      <c r="F53939" s="2423"/>
    </row>
    <row r="53940" s="101" customFormat="1" spans="6:6">
      <c r="F53940" s="2423"/>
    </row>
    <row r="53941" s="101" customFormat="1" spans="6:6">
      <c r="F53941" s="2423"/>
    </row>
    <row r="53942" s="101" customFormat="1" spans="6:6">
      <c r="F53942" s="2423"/>
    </row>
    <row r="53943" s="101" customFormat="1" spans="6:6">
      <c r="F53943" s="2423"/>
    </row>
    <row r="53944" s="101" customFormat="1" spans="6:6">
      <c r="F53944" s="2423"/>
    </row>
    <row r="53945" s="101" customFormat="1" spans="6:6">
      <c r="F53945" s="2423"/>
    </row>
    <row r="53946" s="101" customFormat="1" spans="6:6">
      <c r="F53946" s="2423"/>
    </row>
    <row r="53947" s="101" customFormat="1" spans="6:6">
      <c r="F53947" s="2423"/>
    </row>
    <row r="53948" s="101" customFormat="1" spans="6:6">
      <c r="F53948" s="2423"/>
    </row>
    <row r="53949" s="101" customFormat="1" spans="6:6">
      <c r="F53949" s="2423"/>
    </row>
    <row r="53950" s="101" customFormat="1" spans="6:6">
      <c r="F53950" s="2423"/>
    </row>
    <row r="53951" s="101" customFormat="1" spans="6:6">
      <c r="F53951" s="2423"/>
    </row>
    <row r="53952" s="101" customFormat="1" spans="6:6">
      <c r="F53952" s="2423"/>
    </row>
    <row r="53953" s="101" customFormat="1" spans="6:6">
      <c r="F53953" s="2423"/>
    </row>
    <row r="53954" s="101" customFormat="1" spans="6:6">
      <c r="F53954" s="2423"/>
    </row>
    <row r="53955" s="101" customFormat="1" spans="6:6">
      <c r="F53955" s="2423"/>
    </row>
    <row r="53956" s="101" customFormat="1" spans="6:6">
      <c r="F53956" s="2423"/>
    </row>
    <row r="53957" s="101" customFormat="1" spans="6:6">
      <c r="F53957" s="2423"/>
    </row>
    <row r="53958" s="101" customFormat="1" spans="6:6">
      <c r="F53958" s="2423"/>
    </row>
    <row r="53959" s="101" customFormat="1" spans="6:6">
      <c r="F53959" s="2423"/>
    </row>
    <row r="53960" s="101" customFormat="1" spans="6:6">
      <c r="F53960" s="2423"/>
    </row>
    <row r="53961" s="101" customFormat="1" spans="6:6">
      <c r="F53961" s="2423"/>
    </row>
    <row r="53962" s="101" customFormat="1" spans="6:6">
      <c r="F53962" s="2423"/>
    </row>
    <row r="53963" s="101" customFormat="1" spans="6:6">
      <c r="F53963" s="2423"/>
    </row>
    <row r="53964" s="101" customFormat="1" spans="6:6">
      <c r="F53964" s="2423"/>
    </row>
    <row r="53965" s="101" customFormat="1" spans="6:6">
      <c r="F53965" s="2423"/>
    </row>
    <row r="53966" s="101" customFormat="1" spans="6:6">
      <c r="F53966" s="2423"/>
    </row>
    <row r="53967" s="101" customFormat="1" spans="6:6">
      <c r="F53967" s="2423"/>
    </row>
    <row r="53968" s="101" customFormat="1" spans="6:6">
      <c r="F53968" s="2423"/>
    </row>
    <row r="53969" s="101" customFormat="1" spans="6:6">
      <c r="F53969" s="2423"/>
    </row>
    <row r="53970" s="101" customFormat="1" spans="6:6">
      <c r="F53970" s="2423"/>
    </row>
    <row r="53971" s="101" customFormat="1" spans="6:6">
      <c r="F53971" s="2423"/>
    </row>
    <row r="53972" s="101" customFormat="1" spans="6:6">
      <c r="F53972" s="2423"/>
    </row>
    <row r="53973" s="101" customFormat="1" spans="6:6">
      <c r="F53973" s="2423"/>
    </row>
    <row r="53974" s="101" customFormat="1" spans="6:6">
      <c r="F53974" s="2423"/>
    </row>
    <row r="53975" s="101" customFormat="1" spans="6:6">
      <c r="F53975" s="2423"/>
    </row>
    <row r="53976" s="101" customFormat="1" spans="6:6">
      <c r="F53976" s="2423"/>
    </row>
    <row r="53977" s="101" customFormat="1" spans="6:6">
      <c r="F53977" s="2423"/>
    </row>
    <row r="53978" s="101" customFormat="1" spans="6:6">
      <c r="F53978" s="2423"/>
    </row>
    <row r="53979" s="101" customFormat="1" spans="6:6">
      <c r="F53979" s="2423"/>
    </row>
    <row r="53980" s="101" customFormat="1" spans="6:6">
      <c r="F53980" s="2423"/>
    </row>
    <row r="53981" s="101" customFormat="1" spans="6:6">
      <c r="F53981" s="2423"/>
    </row>
    <row r="53982" s="101" customFormat="1" spans="6:6">
      <c r="F53982" s="2423"/>
    </row>
    <row r="53983" s="101" customFormat="1" spans="6:6">
      <c r="F53983" s="2423"/>
    </row>
    <row r="53984" s="101" customFormat="1" spans="6:6">
      <c r="F53984" s="2423"/>
    </row>
    <row r="53985" s="101" customFormat="1" spans="6:6">
      <c r="F53985" s="2423"/>
    </row>
    <row r="53986" s="101" customFormat="1" spans="6:6">
      <c r="F53986" s="2423"/>
    </row>
    <row r="53987" s="101" customFormat="1" spans="6:6">
      <c r="F53987" s="2423"/>
    </row>
    <row r="53988" s="101" customFormat="1" spans="6:6">
      <c r="F53988" s="2423"/>
    </row>
    <row r="53989" s="101" customFormat="1" spans="6:6">
      <c r="F53989" s="2423"/>
    </row>
    <row r="53990" s="101" customFormat="1" spans="6:6">
      <c r="F53990" s="2423"/>
    </row>
    <row r="53991" s="101" customFormat="1" spans="6:6">
      <c r="F53991" s="2423"/>
    </row>
    <row r="53992" s="101" customFormat="1" spans="6:6">
      <c r="F53992" s="2423"/>
    </row>
    <row r="53993" s="101" customFormat="1" spans="6:6">
      <c r="F53993" s="2423"/>
    </row>
    <row r="53994" s="101" customFormat="1" spans="6:6">
      <c r="F53994" s="2423"/>
    </row>
    <row r="53995" s="101" customFormat="1" spans="6:6">
      <c r="F53995" s="2423"/>
    </row>
    <row r="53996" s="101" customFormat="1" spans="6:6">
      <c r="F53996" s="2423"/>
    </row>
    <row r="53997" s="101" customFormat="1" spans="6:6">
      <c r="F53997" s="2423"/>
    </row>
    <row r="53998" s="101" customFormat="1" spans="6:6">
      <c r="F53998" s="2423"/>
    </row>
    <row r="53999" s="101" customFormat="1" spans="6:6">
      <c r="F53999" s="2423"/>
    </row>
    <row r="54000" s="101" customFormat="1" spans="6:6">
      <c r="F54000" s="2423"/>
    </row>
    <row r="54001" s="101" customFormat="1" spans="6:6">
      <c r="F54001" s="2423"/>
    </row>
    <row r="54002" s="101" customFormat="1" spans="6:6">
      <c r="F54002" s="2423"/>
    </row>
    <row r="54003" s="101" customFormat="1" spans="6:6">
      <c r="F54003" s="2423"/>
    </row>
    <row r="54004" s="101" customFormat="1" spans="6:6">
      <c r="F54004" s="2423"/>
    </row>
    <row r="54005" s="101" customFormat="1" spans="6:6">
      <c r="F54005" s="2423"/>
    </row>
    <row r="54006" s="101" customFormat="1" spans="6:6">
      <c r="F54006" s="2423"/>
    </row>
    <row r="54007" s="101" customFormat="1" spans="6:6">
      <c r="F54007" s="2423"/>
    </row>
    <row r="54008" s="101" customFormat="1" spans="6:6">
      <c r="F54008" s="2423"/>
    </row>
    <row r="54009" s="101" customFormat="1" spans="6:6">
      <c r="F54009" s="2423"/>
    </row>
    <row r="54010" s="101" customFormat="1" spans="6:6">
      <c r="F54010" s="2423"/>
    </row>
    <row r="54011" s="101" customFormat="1" spans="6:6">
      <c r="F54011" s="2423"/>
    </row>
    <row r="54012" s="101" customFormat="1" spans="6:6">
      <c r="F54012" s="2423"/>
    </row>
    <row r="54013" s="101" customFormat="1" spans="6:6">
      <c r="F54013" s="2423"/>
    </row>
    <row r="54014" s="101" customFormat="1" spans="6:6">
      <c r="F54014" s="2423"/>
    </row>
    <row r="54015" s="101" customFormat="1" spans="6:6">
      <c r="F54015" s="2423"/>
    </row>
    <row r="54016" s="101" customFormat="1" spans="6:6">
      <c r="F54016" s="2423"/>
    </row>
    <row r="54017" s="101" customFormat="1" spans="6:6">
      <c r="F54017" s="2423"/>
    </row>
    <row r="54018" s="101" customFormat="1" spans="6:6">
      <c r="F54018" s="2423"/>
    </row>
    <row r="54019" s="101" customFormat="1" spans="6:6">
      <c r="F54019" s="2423"/>
    </row>
    <row r="54020" s="101" customFormat="1" spans="6:6">
      <c r="F54020" s="2423"/>
    </row>
    <row r="54021" s="101" customFormat="1" spans="6:6">
      <c r="F54021" s="2423"/>
    </row>
    <row r="54022" s="101" customFormat="1" spans="6:6">
      <c r="F54022" s="2423"/>
    </row>
    <row r="54023" s="101" customFormat="1" spans="6:6">
      <c r="F54023" s="2423"/>
    </row>
    <row r="54024" s="101" customFormat="1" spans="6:6">
      <c r="F54024" s="2423"/>
    </row>
    <row r="54025" s="101" customFormat="1" spans="6:6">
      <c r="F54025" s="2423"/>
    </row>
    <row r="54026" s="101" customFormat="1" spans="6:6">
      <c r="F54026" s="2423"/>
    </row>
    <row r="54027" s="101" customFormat="1" spans="6:6">
      <c r="F54027" s="2423"/>
    </row>
    <row r="54028" s="101" customFormat="1" spans="6:6">
      <c r="F54028" s="2423"/>
    </row>
    <row r="54029" s="101" customFormat="1" spans="6:6">
      <c r="F54029" s="2423"/>
    </row>
    <row r="54030" s="101" customFormat="1" spans="6:6">
      <c r="F54030" s="2423"/>
    </row>
    <row r="54031" s="101" customFormat="1" spans="6:6">
      <c r="F54031" s="2423"/>
    </row>
    <row r="54032" s="101" customFormat="1" spans="6:6">
      <c r="F54032" s="2423"/>
    </row>
    <row r="54033" s="101" customFormat="1" spans="6:6">
      <c r="F54033" s="2423"/>
    </row>
    <row r="54034" s="101" customFormat="1" spans="6:6">
      <c r="F54034" s="2423"/>
    </row>
    <row r="54035" s="101" customFormat="1" spans="6:6">
      <c r="F54035" s="2423"/>
    </row>
    <row r="54036" s="101" customFormat="1" spans="6:6">
      <c r="F54036" s="2423"/>
    </row>
    <row r="54037" s="101" customFormat="1" spans="6:6">
      <c r="F54037" s="2423"/>
    </row>
    <row r="54038" s="101" customFormat="1" spans="6:6">
      <c r="F54038" s="2423"/>
    </row>
    <row r="54039" s="101" customFormat="1" spans="6:6">
      <c r="F54039" s="2423"/>
    </row>
    <row r="54040" s="101" customFormat="1" spans="6:6">
      <c r="F54040" s="2423"/>
    </row>
    <row r="54041" s="101" customFormat="1" spans="6:6">
      <c r="F54041" s="2423"/>
    </row>
    <row r="54042" s="101" customFormat="1" spans="6:6">
      <c r="F54042" s="2423"/>
    </row>
    <row r="54043" s="101" customFormat="1" spans="6:6">
      <c r="F54043" s="2423"/>
    </row>
    <row r="54044" s="101" customFormat="1" spans="6:6">
      <c r="F54044" s="2423"/>
    </row>
    <row r="54045" s="101" customFormat="1" spans="6:6">
      <c r="F54045" s="2423"/>
    </row>
    <row r="54046" s="101" customFormat="1" spans="6:6">
      <c r="F54046" s="2423"/>
    </row>
    <row r="54047" s="101" customFormat="1" spans="6:6">
      <c r="F54047" s="2423"/>
    </row>
    <row r="54048" s="101" customFormat="1" spans="6:6">
      <c r="F54048" s="2423"/>
    </row>
    <row r="54049" s="101" customFormat="1" spans="6:6">
      <c r="F54049" s="2423"/>
    </row>
    <row r="54050" s="101" customFormat="1" spans="6:6">
      <c r="F54050" s="2423"/>
    </row>
    <row r="54051" s="101" customFormat="1" spans="6:6">
      <c r="F54051" s="2423"/>
    </row>
    <row r="54052" s="101" customFormat="1" spans="6:6">
      <c r="F54052" s="2423"/>
    </row>
    <row r="54053" s="101" customFormat="1" spans="6:6">
      <c r="F54053" s="2423"/>
    </row>
    <row r="54054" s="101" customFormat="1" spans="6:6">
      <c r="F54054" s="2423"/>
    </row>
    <row r="54055" s="101" customFormat="1" spans="6:6">
      <c r="F54055" s="2423"/>
    </row>
    <row r="54056" s="101" customFormat="1" spans="6:6">
      <c r="F54056" s="2423"/>
    </row>
    <row r="54057" s="101" customFormat="1" spans="6:6">
      <c r="F54057" s="2423"/>
    </row>
    <row r="54058" s="101" customFormat="1" spans="6:6">
      <c r="F54058" s="2423"/>
    </row>
    <row r="54059" s="101" customFormat="1" spans="6:6">
      <c r="F54059" s="2423"/>
    </row>
    <row r="54060" s="101" customFormat="1" spans="6:6">
      <c r="F54060" s="2423"/>
    </row>
    <row r="54061" s="101" customFormat="1" spans="6:6">
      <c r="F54061" s="2423"/>
    </row>
    <row r="54062" s="101" customFormat="1" spans="6:6">
      <c r="F54062" s="2423"/>
    </row>
    <row r="54063" s="101" customFormat="1" spans="6:6">
      <c r="F54063" s="2423"/>
    </row>
    <row r="54064" s="101" customFormat="1" spans="6:6">
      <c r="F54064" s="2423"/>
    </row>
    <row r="54065" s="101" customFormat="1" spans="6:6">
      <c r="F54065" s="2423"/>
    </row>
    <row r="54066" s="101" customFormat="1" spans="6:6">
      <c r="F54066" s="2423"/>
    </row>
    <row r="54067" s="101" customFormat="1" spans="6:6">
      <c r="F54067" s="2423"/>
    </row>
    <row r="54068" s="101" customFormat="1" spans="6:6">
      <c r="F54068" s="2423"/>
    </row>
    <row r="54069" s="101" customFormat="1" spans="6:6">
      <c r="F54069" s="2423"/>
    </row>
    <row r="54070" s="101" customFormat="1" spans="6:6">
      <c r="F54070" s="2423"/>
    </row>
    <row r="54071" s="101" customFormat="1" spans="6:6">
      <c r="F54071" s="2423"/>
    </row>
    <row r="54072" s="101" customFormat="1" spans="6:6">
      <c r="F54072" s="2423"/>
    </row>
    <row r="54073" s="101" customFormat="1" spans="6:6">
      <c r="F54073" s="2423"/>
    </row>
    <row r="54074" s="101" customFormat="1" spans="6:6">
      <c r="F54074" s="2423"/>
    </row>
    <row r="54075" s="101" customFormat="1" spans="6:6">
      <c r="F54075" s="2423"/>
    </row>
    <row r="54076" s="101" customFormat="1" spans="6:6">
      <c r="F54076" s="2423"/>
    </row>
    <row r="54077" s="101" customFormat="1" spans="6:6">
      <c r="F54077" s="2423"/>
    </row>
    <row r="54078" s="101" customFormat="1" spans="6:6">
      <c r="F54078" s="2423"/>
    </row>
    <row r="54079" s="101" customFormat="1" spans="6:6">
      <c r="F54079" s="2423"/>
    </row>
    <row r="54080" s="101" customFormat="1" spans="6:6">
      <c r="F54080" s="2423"/>
    </row>
    <row r="54081" s="101" customFormat="1" spans="6:6">
      <c r="F54081" s="2423"/>
    </row>
    <row r="54082" s="101" customFormat="1" spans="6:6">
      <c r="F54082" s="2423"/>
    </row>
    <row r="54083" s="101" customFormat="1" spans="6:6">
      <c r="F54083" s="2423"/>
    </row>
    <row r="54084" s="101" customFormat="1" spans="6:6">
      <c r="F54084" s="2423"/>
    </row>
    <row r="54085" s="101" customFormat="1" spans="6:6">
      <c r="F54085" s="2423"/>
    </row>
    <row r="54086" s="101" customFormat="1" spans="6:6">
      <c r="F54086" s="2423"/>
    </row>
    <row r="54087" s="101" customFormat="1" spans="6:6">
      <c r="F54087" s="2423"/>
    </row>
    <row r="54088" s="101" customFormat="1" spans="6:6">
      <c r="F54088" s="2423"/>
    </row>
    <row r="54089" s="101" customFormat="1" spans="6:6">
      <c r="F54089" s="2423"/>
    </row>
    <row r="54090" s="101" customFormat="1" spans="6:6">
      <c r="F54090" s="2423"/>
    </row>
    <row r="54091" s="101" customFormat="1" spans="6:6">
      <c r="F54091" s="2423"/>
    </row>
    <row r="54092" s="101" customFormat="1" spans="6:6">
      <c r="F54092" s="2423"/>
    </row>
    <row r="54093" s="101" customFormat="1" spans="6:6">
      <c r="F54093" s="2423"/>
    </row>
    <row r="54094" s="101" customFormat="1" spans="6:6">
      <c r="F54094" s="2423"/>
    </row>
    <row r="54095" s="101" customFormat="1" spans="6:6">
      <c r="F54095" s="2423"/>
    </row>
    <row r="54096" s="101" customFormat="1" spans="6:6">
      <c r="F54096" s="2423"/>
    </row>
    <row r="54097" s="101" customFormat="1" spans="6:6">
      <c r="F54097" s="2423"/>
    </row>
    <row r="54098" s="101" customFormat="1" spans="6:6">
      <c r="F54098" s="2423"/>
    </row>
    <row r="54099" s="101" customFormat="1" spans="6:6">
      <c r="F54099" s="2423"/>
    </row>
    <row r="54100" s="101" customFormat="1" spans="6:6">
      <c r="F54100" s="2423"/>
    </row>
    <row r="54101" s="101" customFormat="1" spans="6:6">
      <c r="F54101" s="2423"/>
    </row>
    <row r="54102" s="101" customFormat="1" spans="6:6">
      <c r="F54102" s="2423"/>
    </row>
    <row r="54103" s="101" customFormat="1" spans="6:6">
      <c r="F54103" s="2423"/>
    </row>
    <row r="54104" s="101" customFormat="1" spans="6:6">
      <c r="F54104" s="2423"/>
    </row>
    <row r="54105" s="101" customFormat="1" spans="6:6">
      <c r="F54105" s="2423"/>
    </row>
    <row r="54106" s="101" customFormat="1" spans="6:6">
      <c r="F54106" s="2423"/>
    </row>
    <row r="54107" s="101" customFormat="1" spans="6:6">
      <c r="F54107" s="2423"/>
    </row>
    <row r="54108" s="101" customFormat="1" spans="6:6">
      <c r="F54108" s="2423"/>
    </row>
    <row r="54109" s="101" customFormat="1" spans="6:6">
      <c r="F54109" s="2423"/>
    </row>
    <row r="54110" s="101" customFormat="1" spans="6:6">
      <c r="F54110" s="2423"/>
    </row>
    <row r="54111" s="101" customFormat="1" spans="6:6">
      <c r="F54111" s="2423"/>
    </row>
    <row r="54112" s="101" customFormat="1" spans="6:6">
      <c r="F54112" s="2423"/>
    </row>
    <row r="54113" s="101" customFormat="1" spans="6:6">
      <c r="F54113" s="2423"/>
    </row>
    <row r="54114" s="101" customFormat="1" spans="6:6">
      <c r="F54114" s="2423"/>
    </row>
    <row r="54115" s="101" customFormat="1" spans="6:6">
      <c r="F54115" s="2423"/>
    </row>
    <row r="54116" s="101" customFormat="1" spans="6:6">
      <c r="F54116" s="2423"/>
    </row>
    <row r="54117" s="101" customFormat="1" spans="6:6">
      <c r="F54117" s="2423"/>
    </row>
    <row r="54118" s="101" customFormat="1" spans="6:6">
      <c r="F54118" s="2423"/>
    </row>
    <row r="54119" s="101" customFormat="1" spans="6:6">
      <c r="F54119" s="2423"/>
    </row>
    <row r="54120" s="101" customFormat="1" spans="6:6">
      <c r="F54120" s="2423"/>
    </row>
    <row r="54121" s="101" customFormat="1" spans="6:6">
      <c r="F54121" s="2423"/>
    </row>
    <row r="54122" s="101" customFormat="1" spans="6:6">
      <c r="F54122" s="2423"/>
    </row>
    <row r="54123" s="101" customFormat="1" spans="6:6">
      <c r="F54123" s="2423"/>
    </row>
    <row r="54124" s="101" customFormat="1" spans="6:6">
      <c r="F54124" s="2423"/>
    </row>
    <row r="54125" s="101" customFormat="1" spans="6:6">
      <c r="F54125" s="2423"/>
    </row>
    <row r="54126" s="101" customFormat="1" spans="6:6">
      <c r="F54126" s="2423"/>
    </row>
    <row r="54127" s="101" customFormat="1" spans="6:6">
      <c r="F54127" s="2423"/>
    </row>
    <row r="54128" s="101" customFormat="1" spans="6:6">
      <c r="F54128" s="2423"/>
    </row>
    <row r="54129" s="101" customFormat="1" spans="6:6">
      <c r="F54129" s="2423"/>
    </row>
    <row r="54130" s="101" customFormat="1" spans="6:6">
      <c r="F54130" s="2423"/>
    </row>
    <row r="54131" s="101" customFormat="1" spans="6:6">
      <c r="F54131" s="2423"/>
    </row>
    <row r="54132" s="101" customFormat="1" spans="6:6">
      <c r="F54132" s="2423"/>
    </row>
    <row r="54133" s="101" customFormat="1" spans="6:6">
      <c r="F54133" s="2423"/>
    </row>
    <row r="54134" s="101" customFormat="1" spans="6:6">
      <c r="F54134" s="2423"/>
    </row>
    <row r="54135" s="101" customFormat="1" spans="6:6">
      <c r="F54135" s="2423"/>
    </row>
    <row r="54136" s="101" customFormat="1" spans="6:6">
      <c r="F54136" s="2423"/>
    </row>
    <row r="54137" s="101" customFormat="1" spans="6:6">
      <c r="F54137" s="2423"/>
    </row>
    <row r="54138" s="101" customFormat="1" spans="6:6">
      <c r="F54138" s="2423"/>
    </row>
    <row r="54139" s="101" customFormat="1" spans="6:6">
      <c r="F54139" s="2423"/>
    </row>
    <row r="54140" s="101" customFormat="1" spans="6:6">
      <c r="F54140" s="2423"/>
    </row>
    <row r="54141" s="101" customFormat="1" spans="6:6">
      <c r="F54141" s="2423"/>
    </row>
    <row r="54142" s="101" customFormat="1" spans="6:6">
      <c r="F54142" s="2423"/>
    </row>
    <row r="54143" s="101" customFormat="1" spans="6:6">
      <c r="F54143" s="2423"/>
    </row>
    <row r="54144" s="101" customFormat="1" spans="6:6">
      <c r="F54144" s="2423"/>
    </row>
    <row r="54145" s="101" customFormat="1" spans="6:6">
      <c r="F54145" s="2423"/>
    </row>
    <row r="54146" s="101" customFormat="1" spans="6:6">
      <c r="F54146" s="2423"/>
    </row>
    <row r="54147" s="101" customFormat="1" spans="6:6">
      <c r="F54147" s="2423"/>
    </row>
    <row r="54148" s="101" customFormat="1" spans="6:6">
      <c r="F54148" s="2423"/>
    </row>
    <row r="54149" s="101" customFormat="1" spans="6:6">
      <c r="F54149" s="2423"/>
    </row>
    <row r="54150" s="101" customFormat="1" spans="6:6">
      <c r="F54150" s="2423"/>
    </row>
    <row r="54151" s="101" customFormat="1" spans="6:6">
      <c r="F54151" s="2423"/>
    </row>
    <row r="54152" s="101" customFormat="1" spans="6:6">
      <c r="F54152" s="2423"/>
    </row>
    <row r="54153" s="101" customFormat="1" spans="6:6">
      <c r="F54153" s="2423"/>
    </row>
    <row r="54154" s="101" customFormat="1" spans="6:6">
      <c r="F54154" s="2423"/>
    </row>
    <row r="54155" s="101" customFormat="1" spans="6:6">
      <c r="F54155" s="2423"/>
    </row>
    <row r="54156" s="101" customFormat="1" spans="6:6">
      <c r="F54156" s="2423"/>
    </row>
    <row r="54157" s="101" customFormat="1" spans="6:6">
      <c r="F54157" s="2423"/>
    </row>
    <row r="54158" s="101" customFormat="1" spans="6:6">
      <c r="F54158" s="2423"/>
    </row>
    <row r="54159" s="101" customFormat="1" spans="6:6">
      <c r="F54159" s="2423"/>
    </row>
    <row r="54160" s="101" customFormat="1" spans="6:6">
      <c r="F54160" s="2423"/>
    </row>
    <row r="54161" s="101" customFormat="1" spans="6:6">
      <c r="F54161" s="2423"/>
    </row>
    <row r="54162" s="101" customFormat="1" spans="6:6">
      <c r="F54162" s="2423"/>
    </row>
    <row r="54163" s="101" customFormat="1" spans="6:6">
      <c r="F54163" s="2423"/>
    </row>
    <row r="54164" s="101" customFormat="1" spans="6:6">
      <c r="F54164" s="2423"/>
    </row>
    <row r="54165" s="101" customFormat="1" spans="6:6">
      <c r="F54165" s="2423"/>
    </row>
    <row r="54166" s="101" customFormat="1" spans="6:6">
      <c r="F54166" s="2423"/>
    </row>
    <row r="54167" s="101" customFormat="1" spans="6:6">
      <c r="F54167" s="2423"/>
    </row>
    <row r="54168" s="101" customFormat="1" spans="6:6">
      <c r="F54168" s="2423"/>
    </row>
    <row r="54169" s="101" customFormat="1" spans="6:6">
      <c r="F54169" s="2423"/>
    </row>
    <row r="54170" s="101" customFormat="1" spans="6:6">
      <c r="F54170" s="2423"/>
    </row>
    <row r="54171" s="101" customFormat="1" spans="6:6">
      <c r="F54171" s="2423"/>
    </row>
    <row r="54172" s="101" customFormat="1" spans="6:6">
      <c r="F54172" s="2423"/>
    </row>
    <row r="54173" s="101" customFormat="1" spans="6:6">
      <c r="F54173" s="2423"/>
    </row>
    <row r="54174" s="101" customFormat="1" spans="6:6">
      <c r="F54174" s="2423"/>
    </row>
    <row r="54175" s="101" customFormat="1" spans="6:6">
      <c r="F54175" s="2423"/>
    </row>
    <row r="54176" s="101" customFormat="1" spans="6:6">
      <c r="F54176" s="2423"/>
    </row>
    <row r="54177" s="101" customFormat="1" spans="6:6">
      <c r="F54177" s="2423"/>
    </row>
    <row r="54178" s="101" customFormat="1" spans="6:6">
      <c r="F54178" s="2423"/>
    </row>
    <row r="54179" s="101" customFormat="1" spans="6:6">
      <c r="F54179" s="2423"/>
    </row>
    <row r="54180" s="101" customFormat="1" spans="6:6">
      <c r="F54180" s="2423"/>
    </row>
    <row r="54181" s="101" customFormat="1" spans="6:6">
      <c r="F54181" s="2423"/>
    </row>
    <row r="54182" s="101" customFormat="1" spans="6:6">
      <c r="F54182" s="2423"/>
    </row>
    <row r="54183" s="101" customFormat="1" spans="6:6">
      <c r="F54183" s="2423"/>
    </row>
    <row r="54184" s="101" customFormat="1" spans="6:6">
      <c r="F54184" s="2423"/>
    </row>
    <row r="54185" s="101" customFormat="1" spans="6:6">
      <c r="F54185" s="2423"/>
    </row>
    <row r="54186" s="101" customFormat="1" spans="6:6">
      <c r="F54186" s="2423"/>
    </row>
    <row r="54187" s="101" customFormat="1" spans="6:6">
      <c r="F54187" s="2423"/>
    </row>
    <row r="54188" s="101" customFormat="1" spans="6:6">
      <c r="F54188" s="2423"/>
    </row>
    <row r="54189" s="101" customFormat="1" spans="6:6">
      <c r="F54189" s="2423"/>
    </row>
    <row r="54190" s="101" customFormat="1" spans="6:6">
      <c r="F54190" s="2423"/>
    </row>
    <row r="54191" s="101" customFormat="1" spans="6:6">
      <c r="F54191" s="2423"/>
    </row>
    <row r="54192" s="101" customFormat="1" spans="6:6">
      <c r="F54192" s="2423"/>
    </row>
    <row r="54193" s="101" customFormat="1" spans="6:6">
      <c r="F54193" s="2423"/>
    </row>
    <row r="54194" s="101" customFormat="1" spans="6:6">
      <c r="F54194" s="2423"/>
    </row>
    <row r="54195" s="101" customFormat="1" spans="6:6">
      <c r="F54195" s="2423"/>
    </row>
    <row r="54196" s="101" customFormat="1" spans="6:6">
      <c r="F54196" s="2423"/>
    </row>
    <row r="54197" s="101" customFormat="1" spans="6:6">
      <c r="F54197" s="2423"/>
    </row>
    <row r="54198" s="101" customFormat="1" spans="6:6">
      <c r="F54198" s="2423"/>
    </row>
    <row r="54199" s="101" customFormat="1" spans="6:6">
      <c r="F54199" s="2423"/>
    </row>
    <row r="54200" s="101" customFormat="1" spans="6:6">
      <c r="F54200" s="2423"/>
    </row>
    <row r="54201" s="101" customFormat="1" spans="6:6">
      <c r="F54201" s="2423"/>
    </row>
    <row r="54202" s="101" customFormat="1" spans="6:6">
      <c r="F54202" s="2423"/>
    </row>
    <row r="54203" s="101" customFormat="1" spans="6:6">
      <c r="F54203" s="2423"/>
    </row>
    <row r="54204" s="101" customFormat="1" spans="6:6">
      <c r="F54204" s="2423"/>
    </row>
    <row r="54205" s="101" customFormat="1" spans="6:6">
      <c r="F54205" s="2423"/>
    </row>
    <row r="54206" s="101" customFormat="1" spans="6:6">
      <c r="F54206" s="2423"/>
    </row>
    <row r="54207" s="101" customFormat="1" spans="6:6">
      <c r="F54207" s="2423"/>
    </row>
    <row r="54208" s="101" customFormat="1" spans="6:6">
      <c r="F54208" s="2423"/>
    </row>
    <row r="54209" s="101" customFormat="1" spans="6:6">
      <c r="F54209" s="2423"/>
    </row>
    <row r="54210" s="101" customFormat="1" spans="6:6">
      <c r="F54210" s="2423"/>
    </row>
    <row r="54211" s="101" customFormat="1" spans="6:6">
      <c r="F54211" s="2423"/>
    </row>
    <row r="54212" s="101" customFormat="1" spans="6:6">
      <c r="F54212" s="2423"/>
    </row>
    <row r="54213" s="101" customFormat="1" spans="6:6">
      <c r="F54213" s="2423"/>
    </row>
    <row r="54214" s="101" customFormat="1" spans="6:6">
      <c r="F54214" s="2423"/>
    </row>
    <row r="54215" s="101" customFormat="1" spans="6:6">
      <c r="F54215" s="2423"/>
    </row>
    <row r="54216" s="101" customFormat="1" spans="6:6">
      <c r="F54216" s="2423"/>
    </row>
    <row r="54217" s="101" customFormat="1" spans="6:6">
      <c r="F54217" s="2423"/>
    </row>
    <row r="54218" s="101" customFormat="1" spans="6:6">
      <c r="F54218" s="2423"/>
    </row>
    <row r="54219" s="101" customFormat="1" spans="6:6">
      <c r="F54219" s="2423"/>
    </row>
    <row r="54220" s="101" customFormat="1" spans="6:6">
      <c r="F54220" s="2423"/>
    </row>
    <row r="54221" s="101" customFormat="1" spans="6:6">
      <c r="F54221" s="2423"/>
    </row>
    <row r="54222" s="101" customFormat="1" spans="6:6">
      <c r="F54222" s="2423"/>
    </row>
    <row r="54223" s="101" customFormat="1" spans="6:6">
      <c r="F54223" s="2423"/>
    </row>
    <row r="54224" s="101" customFormat="1" spans="6:6">
      <c r="F54224" s="2423"/>
    </row>
    <row r="54225" s="101" customFormat="1" spans="6:6">
      <c r="F54225" s="2423"/>
    </row>
    <row r="54226" s="101" customFormat="1" spans="6:6">
      <c r="F54226" s="2423"/>
    </row>
    <row r="54227" s="101" customFormat="1" spans="6:6">
      <c r="F54227" s="2423"/>
    </row>
    <row r="54228" s="101" customFormat="1" spans="6:6">
      <c r="F54228" s="2423"/>
    </row>
    <row r="54229" s="101" customFormat="1" spans="6:6">
      <c r="F54229" s="2423"/>
    </row>
    <row r="54230" s="101" customFormat="1" spans="6:6">
      <c r="F54230" s="2423"/>
    </row>
    <row r="54231" s="101" customFormat="1" spans="6:6">
      <c r="F54231" s="2423"/>
    </row>
    <row r="54232" s="101" customFormat="1" spans="6:6">
      <c r="F54232" s="2423"/>
    </row>
    <row r="54233" s="101" customFormat="1" spans="6:6">
      <c r="F54233" s="2423"/>
    </row>
    <row r="54234" s="101" customFormat="1" spans="6:6">
      <c r="F54234" s="2423"/>
    </row>
    <row r="54235" s="101" customFormat="1" spans="6:6">
      <c r="F54235" s="2423"/>
    </row>
    <row r="54236" s="101" customFormat="1" spans="6:6">
      <c r="F54236" s="2423"/>
    </row>
    <row r="54237" s="101" customFormat="1" spans="6:6">
      <c r="F54237" s="2423"/>
    </row>
    <row r="54238" s="101" customFormat="1" spans="6:6">
      <c r="F54238" s="2423"/>
    </row>
    <row r="54239" s="101" customFormat="1" spans="6:6">
      <c r="F54239" s="2423"/>
    </row>
    <row r="54240" s="101" customFormat="1" spans="6:6">
      <c r="F54240" s="2423"/>
    </row>
    <row r="54241" s="101" customFormat="1" spans="6:6">
      <c r="F54241" s="2423"/>
    </row>
    <row r="54242" s="101" customFormat="1" spans="6:6">
      <c r="F54242" s="2423"/>
    </row>
    <row r="54243" s="101" customFormat="1" spans="6:6">
      <c r="F54243" s="2423"/>
    </row>
    <row r="54244" s="101" customFormat="1" spans="6:6">
      <c r="F54244" s="2423"/>
    </row>
    <row r="54245" s="101" customFormat="1" spans="6:6">
      <c r="F54245" s="2423"/>
    </row>
    <row r="54246" s="101" customFormat="1" spans="6:6">
      <c r="F54246" s="2423"/>
    </row>
    <row r="54247" s="101" customFormat="1" spans="6:6">
      <c r="F54247" s="2423"/>
    </row>
    <row r="54248" s="101" customFormat="1" spans="6:6">
      <c r="F54248" s="2423"/>
    </row>
    <row r="54249" s="101" customFormat="1" spans="6:6">
      <c r="F54249" s="2423"/>
    </row>
    <row r="54250" s="101" customFormat="1" spans="6:6">
      <c r="F54250" s="2423"/>
    </row>
    <row r="54251" s="101" customFormat="1" spans="6:6">
      <c r="F54251" s="2423"/>
    </row>
    <row r="54252" s="101" customFormat="1" spans="6:6">
      <c r="F54252" s="2423"/>
    </row>
    <row r="54253" s="101" customFormat="1" spans="6:6">
      <c r="F54253" s="2423"/>
    </row>
    <row r="54254" s="101" customFormat="1" spans="6:6">
      <c r="F54254" s="2423"/>
    </row>
    <row r="54255" s="101" customFormat="1" spans="6:6">
      <c r="F54255" s="2423"/>
    </row>
    <row r="54256" s="101" customFormat="1" spans="6:6">
      <c r="F54256" s="2423"/>
    </row>
    <row r="54257" s="101" customFormat="1" spans="6:6">
      <c r="F54257" s="2423"/>
    </row>
    <row r="54258" s="101" customFormat="1" spans="6:6">
      <c r="F54258" s="2423"/>
    </row>
    <row r="54259" s="101" customFormat="1" spans="6:6">
      <c r="F54259" s="2423"/>
    </row>
    <row r="54260" s="101" customFormat="1" spans="6:6">
      <c r="F54260" s="2423"/>
    </row>
    <row r="54261" s="101" customFormat="1" spans="6:6">
      <c r="F54261" s="2423"/>
    </row>
    <row r="54262" s="101" customFormat="1" spans="6:6">
      <c r="F54262" s="2423"/>
    </row>
    <row r="54263" s="101" customFormat="1" spans="6:6">
      <c r="F54263" s="2423"/>
    </row>
    <row r="54264" s="101" customFormat="1" spans="6:6">
      <c r="F54264" s="2423"/>
    </row>
    <row r="54265" s="101" customFormat="1" spans="6:6">
      <c r="F54265" s="2423"/>
    </row>
    <row r="54266" s="101" customFormat="1" spans="6:6">
      <c r="F54266" s="2423"/>
    </row>
    <row r="54267" s="101" customFormat="1" spans="6:6">
      <c r="F54267" s="2423"/>
    </row>
    <row r="54268" s="101" customFormat="1" spans="6:6">
      <c r="F54268" s="2423"/>
    </row>
    <row r="54269" s="101" customFormat="1" spans="6:6">
      <c r="F54269" s="2423"/>
    </row>
    <row r="54270" s="101" customFormat="1" spans="6:6">
      <c r="F54270" s="2423"/>
    </row>
    <row r="54271" s="101" customFormat="1" spans="6:6">
      <c r="F54271" s="2423"/>
    </row>
    <row r="54272" s="101" customFormat="1" spans="6:6">
      <c r="F54272" s="2423"/>
    </row>
    <row r="54273" s="101" customFormat="1" spans="6:6">
      <c r="F54273" s="2423"/>
    </row>
    <row r="54274" s="101" customFormat="1" spans="6:6">
      <c r="F54274" s="2423"/>
    </row>
    <row r="54275" s="101" customFormat="1" spans="6:6">
      <c r="F54275" s="2423"/>
    </row>
    <row r="54276" s="101" customFormat="1" spans="6:6">
      <c r="F54276" s="2423"/>
    </row>
    <row r="54277" s="101" customFormat="1" spans="6:6">
      <c r="F54277" s="2423"/>
    </row>
    <row r="54278" s="101" customFormat="1" spans="6:6">
      <c r="F54278" s="2423"/>
    </row>
    <row r="54279" s="101" customFormat="1" spans="6:6">
      <c r="F54279" s="2423"/>
    </row>
    <row r="54280" s="101" customFormat="1" spans="6:6">
      <c r="F54280" s="2423"/>
    </row>
    <row r="54281" s="101" customFormat="1" spans="6:6">
      <c r="F54281" s="2423"/>
    </row>
    <row r="54282" s="101" customFormat="1" spans="6:6">
      <c r="F54282" s="2423"/>
    </row>
    <row r="54283" s="101" customFormat="1" spans="6:6">
      <c r="F54283" s="2423"/>
    </row>
    <row r="54284" s="101" customFormat="1" spans="6:6">
      <c r="F54284" s="2423"/>
    </row>
    <row r="54285" s="101" customFormat="1" spans="6:6">
      <c r="F54285" s="2423"/>
    </row>
    <row r="54286" s="101" customFormat="1" spans="6:6">
      <c r="F54286" s="2423"/>
    </row>
    <row r="54287" s="101" customFormat="1" spans="6:6">
      <c r="F54287" s="2423"/>
    </row>
    <row r="54288" s="101" customFormat="1" spans="6:6">
      <c r="F54288" s="2423"/>
    </row>
    <row r="54289" s="101" customFormat="1" spans="6:6">
      <c r="F54289" s="2423"/>
    </row>
    <row r="54290" s="101" customFormat="1" spans="6:6">
      <c r="F54290" s="2423"/>
    </row>
    <row r="54291" s="101" customFormat="1" spans="6:6">
      <c r="F54291" s="2423"/>
    </row>
    <row r="54292" s="101" customFormat="1" spans="6:6">
      <c r="F54292" s="2423"/>
    </row>
    <row r="54293" s="101" customFormat="1" spans="6:6">
      <c r="F54293" s="2423"/>
    </row>
    <row r="54294" s="101" customFormat="1" spans="6:6">
      <c r="F54294" s="2423"/>
    </row>
    <row r="54295" s="101" customFormat="1" spans="6:6">
      <c r="F54295" s="2423"/>
    </row>
    <row r="54296" s="101" customFormat="1" spans="6:6">
      <c r="F54296" s="2423"/>
    </row>
    <row r="54297" s="101" customFormat="1" spans="6:6">
      <c r="F54297" s="2423"/>
    </row>
    <row r="54298" s="101" customFormat="1" spans="6:6">
      <c r="F54298" s="2423"/>
    </row>
    <row r="54299" s="101" customFormat="1" spans="6:6">
      <c r="F54299" s="2423"/>
    </row>
    <row r="54300" s="101" customFormat="1" spans="6:6">
      <c r="F54300" s="2423"/>
    </row>
    <row r="54301" s="101" customFormat="1" spans="6:6">
      <c r="F54301" s="2423"/>
    </row>
    <row r="54302" s="101" customFormat="1" spans="6:6">
      <c r="F54302" s="2423"/>
    </row>
    <row r="54303" s="101" customFormat="1" spans="6:6">
      <c r="F54303" s="2423"/>
    </row>
    <row r="54304" s="101" customFormat="1" spans="6:6">
      <c r="F54304" s="2423"/>
    </row>
    <row r="54305" s="101" customFormat="1" spans="6:6">
      <c r="F54305" s="2423"/>
    </row>
    <row r="54306" s="101" customFormat="1" spans="6:6">
      <c r="F54306" s="2423"/>
    </row>
    <row r="54307" s="101" customFormat="1" spans="6:6">
      <c r="F54307" s="2423"/>
    </row>
    <row r="54308" s="101" customFormat="1" spans="6:6">
      <c r="F54308" s="2423"/>
    </row>
    <row r="54309" s="101" customFormat="1" spans="6:6">
      <c r="F54309" s="2423"/>
    </row>
    <row r="54310" s="101" customFormat="1" spans="6:6">
      <c r="F54310" s="2423"/>
    </row>
    <row r="54311" s="101" customFormat="1" spans="6:6">
      <c r="F54311" s="2423"/>
    </row>
    <row r="54312" s="101" customFormat="1" spans="6:6">
      <c r="F54312" s="2423"/>
    </row>
    <row r="54313" s="101" customFormat="1" spans="6:6">
      <c r="F54313" s="2423"/>
    </row>
    <row r="54314" s="101" customFormat="1" spans="6:6">
      <c r="F54314" s="2423"/>
    </row>
    <row r="54315" s="101" customFormat="1" spans="6:6">
      <c r="F54315" s="2423"/>
    </row>
    <row r="54316" s="101" customFormat="1" spans="6:6">
      <c r="F54316" s="2423"/>
    </row>
    <row r="54317" s="101" customFormat="1" spans="6:6">
      <c r="F54317" s="2423"/>
    </row>
    <row r="54318" s="101" customFormat="1" spans="6:6">
      <c r="F54318" s="2423"/>
    </row>
    <row r="54319" s="101" customFormat="1" spans="6:6">
      <c r="F54319" s="2423"/>
    </row>
    <row r="54320" s="101" customFormat="1" spans="6:6">
      <c r="F54320" s="2423"/>
    </row>
    <row r="54321" s="101" customFormat="1" spans="6:6">
      <c r="F54321" s="2423"/>
    </row>
    <row r="54322" s="101" customFormat="1" spans="6:6">
      <c r="F54322" s="2423"/>
    </row>
    <row r="54323" s="101" customFormat="1" spans="6:6">
      <c r="F54323" s="2423"/>
    </row>
    <row r="54324" s="101" customFormat="1" spans="6:6">
      <c r="F54324" s="2423"/>
    </row>
    <row r="54325" s="101" customFormat="1" spans="6:6">
      <c r="F54325" s="2423"/>
    </row>
    <row r="54326" s="101" customFormat="1" spans="6:6">
      <c r="F54326" s="2423"/>
    </row>
    <row r="54327" s="101" customFormat="1" spans="6:6">
      <c r="F54327" s="2423"/>
    </row>
    <row r="54328" s="101" customFormat="1" spans="6:6">
      <c r="F54328" s="2423"/>
    </row>
    <row r="54329" s="101" customFormat="1" spans="6:6">
      <c r="F54329" s="2423"/>
    </row>
    <row r="54330" s="101" customFormat="1" spans="6:6">
      <c r="F54330" s="2423"/>
    </row>
    <row r="54331" s="101" customFormat="1" spans="6:6">
      <c r="F54331" s="2423"/>
    </row>
    <row r="54332" s="101" customFormat="1" spans="6:6">
      <c r="F54332" s="2423"/>
    </row>
    <row r="54333" s="101" customFormat="1" spans="6:6">
      <c r="F54333" s="2423"/>
    </row>
    <row r="54334" s="101" customFormat="1" spans="6:6">
      <c r="F54334" s="2423"/>
    </row>
    <row r="54335" s="101" customFormat="1" spans="6:6">
      <c r="F54335" s="2423"/>
    </row>
    <row r="54336" s="101" customFormat="1" spans="6:6">
      <c r="F54336" s="2423"/>
    </row>
    <row r="54337" s="101" customFormat="1" spans="6:6">
      <c r="F54337" s="2423"/>
    </row>
    <row r="54338" s="101" customFormat="1" spans="6:6">
      <c r="F54338" s="2423"/>
    </row>
    <row r="54339" s="101" customFormat="1" spans="6:6">
      <c r="F54339" s="2423"/>
    </row>
    <row r="54340" s="101" customFormat="1" spans="6:6">
      <c r="F54340" s="2423"/>
    </row>
    <row r="54341" s="101" customFormat="1" spans="6:6">
      <c r="F54341" s="2423"/>
    </row>
    <row r="54342" s="101" customFormat="1" spans="6:6">
      <c r="F54342" s="2423"/>
    </row>
    <row r="54343" s="101" customFormat="1" spans="6:6">
      <c r="F54343" s="2423"/>
    </row>
    <row r="54344" s="101" customFormat="1" spans="6:6">
      <c r="F54344" s="2423"/>
    </row>
    <row r="54345" s="101" customFormat="1" spans="6:6">
      <c r="F54345" s="2423"/>
    </row>
    <row r="54346" s="101" customFormat="1" spans="6:6">
      <c r="F54346" s="2423"/>
    </row>
    <row r="54347" s="101" customFormat="1" spans="6:6">
      <c r="F54347" s="2423"/>
    </row>
    <row r="54348" s="101" customFormat="1" spans="6:6">
      <c r="F54348" s="2423"/>
    </row>
    <row r="54349" s="101" customFormat="1" spans="6:6">
      <c r="F54349" s="2423"/>
    </row>
    <row r="54350" s="101" customFormat="1" spans="6:6">
      <c r="F54350" s="2423"/>
    </row>
    <row r="54351" s="101" customFormat="1" spans="6:6">
      <c r="F54351" s="2423"/>
    </row>
    <row r="54352" s="101" customFormat="1" spans="6:6">
      <c r="F54352" s="2423"/>
    </row>
    <row r="54353" s="101" customFormat="1" spans="6:6">
      <c r="F54353" s="2423"/>
    </row>
    <row r="54354" s="101" customFormat="1" spans="6:6">
      <c r="F54354" s="2423"/>
    </row>
    <row r="54355" s="101" customFormat="1" spans="6:6">
      <c r="F54355" s="2423"/>
    </row>
    <row r="54356" s="101" customFormat="1" spans="6:6">
      <c r="F54356" s="2423"/>
    </row>
    <row r="54357" s="101" customFormat="1" spans="6:6">
      <c r="F54357" s="2423"/>
    </row>
    <row r="54358" s="101" customFormat="1" spans="6:6">
      <c r="F54358" s="2423"/>
    </row>
    <row r="54359" s="101" customFormat="1" spans="6:6">
      <c r="F54359" s="2423"/>
    </row>
    <row r="54360" s="101" customFormat="1" spans="6:6">
      <c r="F54360" s="2423"/>
    </row>
    <row r="54361" s="101" customFormat="1" spans="6:6">
      <c r="F54361" s="2423"/>
    </row>
    <row r="54362" s="101" customFormat="1" spans="6:6">
      <c r="F54362" s="2423"/>
    </row>
    <row r="54363" s="101" customFormat="1" spans="6:6">
      <c r="F54363" s="2423"/>
    </row>
    <row r="54364" s="101" customFormat="1" spans="6:6">
      <c r="F54364" s="2423"/>
    </row>
    <row r="54365" s="101" customFormat="1" spans="6:6">
      <c r="F54365" s="2423"/>
    </row>
    <row r="54366" s="101" customFormat="1" spans="6:6">
      <c r="F54366" s="2423"/>
    </row>
    <row r="54367" s="101" customFormat="1" spans="6:6">
      <c r="F54367" s="2423"/>
    </row>
    <row r="54368" s="101" customFormat="1" spans="6:6">
      <c r="F54368" s="2423"/>
    </row>
    <row r="54369" s="101" customFormat="1" spans="6:6">
      <c r="F54369" s="2423"/>
    </row>
    <row r="54370" s="101" customFormat="1" spans="6:6">
      <c r="F54370" s="2423"/>
    </row>
    <row r="54371" s="101" customFormat="1" spans="6:6">
      <c r="F54371" s="2423"/>
    </row>
    <row r="54372" s="101" customFormat="1" spans="6:6">
      <c r="F54372" s="2423"/>
    </row>
    <row r="54373" s="101" customFormat="1" spans="6:6">
      <c r="F54373" s="2423"/>
    </row>
    <row r="54374" s="101" customFormat="1" spans="6:6">
      <c r="F54374" s="2423"/>
    </row>
    <row r="54375" s="101" customFormat="1" spans="6:6">
      <c r="F54375" s="2423"/>
    </row>
    <row r="54376" s="101" customFormat="1" spans="6:6">
      <c r="F54376" s="2423"/>
    </row>
    <row r="54377" s="101" customFormat="1" spans="6:6">
      <c r="F54377" s="2423"/>
    </row>
    <row r="54378" s="101" customFormat="1" spans="6:6">
      <c r="F54378" s="2423"/>
    </row>
    <row r="54379" s="101" customFormat="1" spans="6:6">
      <c r="F54379" s="2423"/>
    </row>
    <row r="54380" s="101" customFormat="1" spans="6:6">
      <c r="F54380" s="2423"/>
    </row>
    <row r="54381" s="101" customFormat="1" spans="6:6">
      <c r="F54381" s="2423"/>
    </row>
    <row r="54382" s="101" customFormat="1" spans="6:6">
      <c r="F54382" s="2423"/>
    </row>
    <row r="54383" s="101" customFormat="1" spans="6:6">
      <c r="F54383" s="2423"/>
    </row>
    <row r="54384" s="101" customFormat="1" spans="6:6">
      <c r="F54384" s="2423"/>
    </row>
    <row r="54385" s="101" customFormat="1" spans="6:6">
      <c r="F54385" s="2423"/>
    </row>
    <row r="54386" s="101" customFormat="1" spans="6:6">
      <c r="F54386" s="2423"/>
    </row>
    <row r="54387" s="101" customFormat="1" spans="6:6">
      <c r="F54387" s="2423"/>
    </row>
    <row r="54388" s="101" customFormat="1" spans="6:6">
      <c r="F54388" s="2423"/>
    </row>
    <row r="54389" s="101" customFormat="1" spans="6:6">
      <c r="F54389" s="2423"/>
    </row>
    <row r="54390" s="101" customFormat="1" spans="6:6">
      <c r="F54390" s="2423"/>
    </row>
    <row r="54391" s="101" customFormat="1" spans="6:6">
      <c r="F54391" s="2423"/>
    </row>
    <row r="54392" s="101" customFormat="1" spans="6:6">
      <c r="F54392" s="2423"/>
    </row>
    <row r="54393" s="101" customFormat="1" spans="6:6">
      <c r="F54393" s="2423"/>
    </row>
    <row r="54394" s="101" customFormat="1" spans="6:6">
      <c r="F54394" s="2423"/>
    </row>
    <row r="54395" s="101" customFormat="1" spans="6:6">
      <c r="F54395" s="2423"/>
    </row>
    <row r="54396" s="101" customFormat="1" spans="6:6">
      <c r="F54396" s="2423"/>
    </row>
    <row r="54397" s="101" customFormat="1" spans="6:6">
      <c r="F54397" s="2423"/>
    </row>
    <row r="54398" s="101" customFormat="1" spans="6:6">
      <c r="F54398" s="2423"/>
    </row>
    <row r="54399" s="101" customFormat="1" spans="6:6">
      <c r="F54399" s="2423"/>
    </row>
    <row r="54400" s="101" customFormat="1" spans="6:6">
      <c r="F54400" s="2423"/>
    </row>
    <row r="54401" s="101" customFormat="1" spans="6:6">
      <c r="F54401" s="2423"/>
    </row>
    <row r="54402" s="101" customFormat="1" spans="6:6">
      <c r="F54402" s="2423"/>
    </row>
    <row r="54403" s="101" customFormat="1" spans="6:6">
      <c r="F54403" s="2423"/>
    </row>
    <row r="54404" s="101" customFormat="1" spans="6:6">
      <c r="F54404" s="2423"/>
    </row>
    <row r="54405" s="101" customFormat="1" spans="6:6">
      <c r="F54405" s="2423"/>
    </row>
    <row r="54406" s="101" customFormat="1" spans="6:6">
      <c r="F54406" s="2423"/>
    </row>
    <row r="54407" s="101" customFormat="1" spans="6:6">
      <c r="F54407" s="2423"/>
    </row>
    <row r="54408" s="101" customFormat="1" spans="6:6">
      <c r="F54408" s="2423"/>
    </row>
    <row r="54409" s="101" customFormat="1" spans="6:6">
      <c r="F54409" s="2423"/>
    </row>
    <row r="54410" s="101" customFormat="1" spans="6:6">
      <c r="F54410" s="2423"/>
    </row>
    <row r="54411" s="101" customFormat="1" spans="6:6">
      <c r="F54411" s="2423"/>
    </row>
    <row r="54412" s="101" customFormat="1" spans="6:6">
      <c r="F54412" s="2423"/>
    </row>
    <row r="54413" s="101" customFormat="1" spans="6:6">
      <c r="F54413" s="2423"/>
    </row>
    <row r="54414" s="101" customFormat="1" spans="6:6">
      <c r="F54414" s="2423"/>
    </row>
    <row r="54415" s="101" customFormat="1" spans="6:6">
      <c r="F54415" s="2423"/>
    </row>
    <row r="54416" s="101" customFormat="1" spans="6:6">
      <c r="F54416" s="2423"/>
    </row>
    <row r="54417" s="101" customFormat="1" spans="6:6">
      <c r="F54417" s="2423"/>
    </row>
    <row r="54418" s="101" customFormat="1" spans="6:6">
      <c r="F54418" s="2423"/>
    </row>
    <row r="54419" s="101" customFormat="1" spans="6:6">
      <c r="F54419" s="2423"/>
    </row>
    <row r="54420" s="101" customFormat="1" spans="6:6">
      <c r="F54420" s="2423"/>
    </row>
    <row r="54421" s="101" customFormat="1" spans="6:6">
      <c r="F54421" s="2423"/>
    </row>
    <row r="54422" s="101" customFormat="1" spans="6:6">
      <c r="F54422" s="2423"/>
    </row>
    <row r="54423" s="101" customFormat="1" spans="6:6">
      <c r="F54423" s="2423"/>
    </row>
    <row r="54424" s="101" customFormat="1" spans="6:6">
      <c r="F54424" s="2423"/>
    </row>
    <row r="54425" s="101" customFormat="1" spans="6:6">
      <c r="F54425" s="2423"/>
    </row>
    <row r="54426" s="101" customFormat="1" spans="6:6">
      <c r="F54426" s="2423"/>
    </row>
    <row r="54427" s="101" customFormat="1" spans="6:6">
      <c r="F54427" s="2423"/>
    </row>
    <row r="54428" s="101" customFormat="1" spans="6:6">
      <c r="F54428" s="2423"/>
    </row>
    <row r="54429" s="101" customFormat="1" spans="6:6">
      <c r="F54429" s="2423"/>
    </row>
    <row r="54430" s="101" customFormat="1" spans="6:6">
      <c r="F54430" s="2423"/>
    </row>
    <row r="54431" s="101" customFormat="1" spans="6:6">
      <c r="F54431" s="2423"/>
    </row>
    <row r="54432" s="101" customFormat="1" spans="6:6">
      <c r="F54432" s="2423"/>
    </row>
    <row r="54433" s="101" customFormat="1" spans="6:6">
      <c r="F54433" s="2423"/>
    </row>
    <row r="54434" s="101" customFormat="1" spans="6:6">
      <c r="F54434" s="2423"/>
    </row>
    <row r="54435" s="101" customFormat="1" spans="6:6">
      <c r="F54435" s="2423"/>
    </row>
    <row r="54436" s="101" customFormat="1" spans="6:6">
      <c r="F54436" s="2423"/>
    </row>
    <row r="54437" s="101" customFormat="1" spans="6:6">
      <c r="F54437" s="2423"/>
    </row>
    <row r="54438" s="101" customFormat="1" spans="6:6">
      <c r="F54438" s="2423"/>
    </row>
    <row r="54439" s="101" customFormat="1" spans="6:6">
      <c r="F54439" s="2423"/>
    </row>
    <row r="54440" s="101" customFormat="1" spans="6:6">
      <c r="F54440" s="2423"/>
    </row>
    <row r="54441" s="101" customFormat="1" spans="6:6">
      <c r="F54441" s="2423"/>
    </row>
    <row r="54442" s="101" customFormat="1" spans="6:6">
      <c r="F54442" s="2423"/>
    </row>
    <row r="54443" s="101" customFormat="1" spans="6:6">
      <c r="F54443" s="2423"/>
    </row>
    <row r="54444" s="101" customFormat="1" spans="6:6">
      <c r="F54444" s="2423"/>
    </row>
    <row r="54445" s="101" customFormat="1" spans="6:6">
      <c r="F54445" s="2423"/>
    </row>
    <row r="54446" s="101" customFormat="1" spans="6:6">
      <c r="F54446" s="2423"/>
    </row>
    <row r="54447" s="101" customFormat="1" spans="6:6">
      <c r="F54447" s="2423"/>
    </row>
    <row r="54448" s="101" customFormat="1" spans="6:6">
      <c r="F54448" s="2423"/>
    </row>
    <row r="54449" s="101" customFormat="1" spans="6:6">
      <c r="F54449" s="2423"/>
    </row>
    <row r="54450" s="101" customFormat="1" spans="6:6">
      <c r="F54450" s="2423"/>
    </row>
    <row r="54451" s="101" customFormat="1" spans="6:6">
      <c r="F54451" s="2423"/>
    </row>
    <row r="54452" s="101" customFormat="1" spans="6:6">
      <c r="F54452" s="2423"/>
    </row>
    <row r="54453" s="101" customFormat="1" spans="6:6">
      <c r="F54453" s="2423"/>
    </row>
    <row r="54454" s="101" customFormat="1" spans="6:6">
      <c r="F54454" s="2423"/>
    </row>
    <row r="54455" s="101" customFormat="1" spans="6:6">
      <c r="F54455" s="2423"/>
    </row>
    <row r="54456" s="101" customFormat="1" spans="6:6">
      <c r="F54456" s="2423"/>
    </row>
    <row r="54457" s="101" customFormat="1" spans="6:6">
      <c r="F54457" s="2423"/>
    </row>
    <row r="54458" s="101" customFormat="1" spans="6:6">
      <c r="F54458" s="2423"/>
    </row>
    <row r="54459" s="101" customFormat="1" spans="6:6">
      <c r="F54459" s="2423"/>
    </row>
    <row r="54460" s="101" customFormat="1" spans="6:6">
      <c r="F54460" s="2423"/>
    </row>
    <row r="54461" s="101" customFormat="1" spans="6:6">
      <c r="F54461" s="2423"/>
    </row>
    <row r="54462" s="101" customFormat="1" spans="6:6">
      <c r="F54462" s="2423"/>
    </row>
    <row r="54463" s="101" customFormat="1" spans="6:6">
      <c r="F54463" s="2423"/>
    </row>
    <row r="54464" s="101" customFormat="1" spans="6:6">
      <c r="F54464" s="2423"/>
    </row>
    <row r="54465" s="101" customFormat="1" spans="6:6">
      <c r="F54465" s="2423"/>
    </row>
    <row r="54466" s="101" customFormat="1" spans="6:6">
      <c r="F54466" s="2423"/>
    </row>
    <row r="54467" s="101" customFormat="1" spans="6:6">
      <c r="F54467" s="2423"/>
    </row>
    <row r="54468" s="101" customFormat="1" spans="6:6">
      <c r="F54468" s="2423"/>
    </row>
    <row r="54469" s="101" customFormat="1" spans="6:6">
      <c r="F54469" s="2423"/>
    </row>
    <row r="54470" s="101" customFormat="1" spans="6:6">
      <c r="F54470" s="2423"/>
    </row>
    <row r="54471" s="101" customFormat="1" spans="6:6">
      <c r="F54471" s="2423"/>
    </row>
    <row r="54472" s="101" customFormat="1" spans="6:6">
      <c r="F54472" s="2423"/>
    </row>
    <row r="54473" s="101" customFormat="1" spans="6:6">
      <c r="F54473" s="2423"/>
    </row>
    <row r="54474" s="101" customFormat="1" spans="6:6">
      <c r="F54474" s="2423"/>
    </row>
    <row r="54475" s="101" customFormat="1" spans="6:6">
      <c r="F54475" s="2423"/>
    </row>
    <row r="54476" s="101" customFormat="1" spans="6:6">
      <c r="F54476" s="2423"/>
    </row>
    <row r="54477" s="101" customFormat="1" spans="6:6">
      <c r="F54477" s="2423"/>
    </row>
    <row r="54478" s="101" customFormat="1" spans="6:6">
      <c r="F54478" s="2423"/>
    </row>
    <row r="54479" s="101" customFormat="1" spans="6:6">
      <c r="F54479" s="2423"/>
    </row>
    <row r="54480" s="101" customFormat="1" spans="6:6">
      <c r="F54480" s="2423"/>
    </row>
    <row r="54481" s="101" customFormat="1" spans="6:6">
      <c r="F54481" s="2423"/>
    </row>
    <row r="54482" s="101" customFormat="1" spans="6:6">
      <c r="F54482" s="2423"/>
    </row>
    <row r="54483" s="101" customFormat="1" spans="6:6">
      <c r="F54483" s="2423"/>
    </row>
    <row r="54484" s="101" customFormat="1" spans="6:6">
      <c r="F54484" s="2423"/>
    </row>
    <row r="54485" s="101" customFormat="1" spans="6:6">
      <c r="F54485" s="2423"/>
    </row>
    <row r="54486" s="101" customFormat="1" spans="6:6">
      <c r="F54486" s="2423"/>
    </row>
    <row r="54487" s="101" customFormat="1" spans="6:6">
      <c r="F54487" s="2423"/>
    </row>
    <row r="54488" s="101" customFormat="1" spans="6:6">
      <c r="F54488" s="2423"/>
    </row>
    <row r="54489" s="101" customFormat="1" spans="6:6">
      <c r="F54489" s="2423"/>
    </row>
    <row r="54490" s="101" customFormat="1" spans="6:6">
      <c r="F54490" s="2423"/>
    </row>
    <row r="54491" s="101" customFormat="1" spans="6:6">
      <c r="F54491" s="2423"/>
    </row>
    <row r="54492" s="101" customFormat="1" spans="6:6">
      <c r="F54492" s="2423"/>
    </row>
    <row r="54493" s="101" customFormat="1" spans="6:6">
      <c r="F54493" s="2423"/>
    </row>
    <row r="54494" s="101" customFormat="1" spans="6:6">
      <c r="F54494" s="2423"/>
    </row>
    <row r="54495" s="101" customFormat="1" spans="6:6">
      <c r="F54495" s="2423"/>
    </row>
    <row r="54496" s="101" customFormat="1" spans="6:6">
      <c r="F54496" s="2423"/>
    </row>
    <row r="54497" s="101" customFormat="1" spans="6:6">
      <c r="F54497" s="2423"/>
    </row>
    <row r="54498" s="101" customFormat="1" spans="6:6">
      <c r="F54498" s="2423"/>
    </row>
    <row r="54499" s="101" customFormat="1" spans="6:6">
      <c r="F54499" s="2423"/>
    </row>
    <row r="54500" s="101" customFormat="1" spans="6:6">
      <c r="F54500" s="2423"/>
    </row>
    <row r="54501" s="101" customFormat="1" spans="6:6">
      <c r="F54501" s="2423"/>
    </row>
    <row r="54502" s="101" customFormat="1" spans="6:6">
      <c r="F54502" s="2423"/>
    </row>
    <row r="54503" s="101" customFormat="1" spans="6:6">
      <c r="F54503" s="2423"/>
    </row>
    <row r="54504" s="101" customFormat="1" spans="6:6">
      <c r="F54504" s="2423"/>
    </row>
    <row r="54505" s="101" customFormat="1" spans="6:6">
      <c r="F54505" s="2423"/>
    </row>
    <row r="54506" s="101" customFormat="1" spans="6:6">
      <c r="F54506" s="2423"/>
    </row>
    <row r="54507" s="101" customFormat="1" spans="6:6">
      <c r="F54507" s="2423"/>
    </row>
    <row r="54508" s="101" customFormat="1" spans="6:6">
      <c r="F54508" s="2423"/>
    </row>
    <row r="54509" s="101" customFormat="1" spans="6:6">
      <c r="F54509" s="2423"/>
    </row>
    <row r="54510" s="101" customFormat="1" spans="6:6">
      <c r="F54510" s="2423"/>
    </row>
    <row r="54511" s="101" customFormat="1" spans="6:6">
      <c r="F54511" s="2423"/>
    </row>
    <row r="54512" s="101" customFormat="1" spans="6:6">
      <c r="F54512" s="2423"/>
    </row>
    <row r="54513" s="101" customFormat="1" spans="6:6">
      <c r="F54513" s="2423"/>
    </row>
    <row r="54514" s="101" customFormat="1" spans="6:6">
      <c r="F54514" s="2423"/>
    </row>
    <row r="54515" s="101" customFormat="1" spans="6:6">
      <c r="F54515" s="2423"/>
    </row>
    <row r="54516" s="101" customFormat="1" spans="6:6">
      <c r="F54516" s="2423"/>
    </row>
    <row r="54517" s="101" customFormat="1" spans="6:6">
      <c r="F54517" s="2423"/>
    </row>
    <row r="54518" s="101" customFormat="1" spans="6:6">
      <c r="F54518" s="2423"/>
    </row>
    <row r="54519" s="101" customFormat="1" spans="6:6">
      <c r="F54519" s="2423"/>
    </row>
    <row r="54520" s="101" customFormat="1" spans="6:6">
      <c r="F54520" s="2423"/>
    </row>
    <row r="54521" s="101" customFormat="1" spans="6:6">
      <c r="F54521" s="2423"/>
    </row>
    <row r="54522" s="101" customFormat="1" spans="6:6">
      <c r="F54522" s="2423"/>
    </row>
    <row r="54523" s="101" customFormat="1" spans="6:6">
      <c r="F54523" s="2423"/>
    </row>
    <row r="54524" s="101" customFormat="1" spans="6:6">
      <c r="F54524" s="2423"/>
    </row>
    <row r="54525" s="101" customFormat="1" spans="6:6">
      <c r="F54525" s="2423"/>
    </row>
    <row r="54526" s="101" customFormat="1" spans="6:6">
      <c r="F54526" s="2423"/>
    </row>
    <row r="54527" s="101" customFormat="1" spans="6:6">
      <c r="F54527" s="2423"/>
    </row>
    <row r="54528" s="101" customFormat="1" spans="6:6">
      <c r="F54528" s="2423"/>
    </row>
    <row r="54529" s="101" customFormat="1" spans="6:6">
      <c r="F54529" s="2423"/>
    </row>
    <row r="54530" s="101" customFormat="1" spans="6:6">
      <c r="F54530" s="2423"/>
    </row>
    <row r="54531" s="101" customFormat="1" spans="6:6">
      <c r="F54531" s="2423"/>
    </row>
    <row r="54532" s="101" customFormat="1" spans="6:6">
      <c r="F54532" s="2423"/>
    </row>
    <row r="54533" s="101" customFormat="1" spans="6:6">
      <c r="F54533" s="2423"/>
    </row>
    <row r="54534" s="101" customFormat="1" spans="6:6">
      <c r="F54534" s="2423"/>
    </row>
    <row r="54535" s="101" customFormat="1" spans="6:6">
      <c r="F54535" s="2423"/>
    </row>
    <row r="54536" s="101" customFormat="1" spans="6:6">
      <c r="F54536" s="2423"/>
    </row>
    <row r="54537" s="101" customFormat="1" spans="6:6">
      <c r="F54537" s="2423"/>
    </row>
    <row r="54538" s="101" customFormat="1" spans="6:6">
      <c r="F54538" s="2423"/>
    </row>
    <row r="54539" s="101" customFormat="1" spans="6:6">
      <c r="F54539" s="2423"/>
    </row>
    <row r="54540" s="101" customFormat="1" spans="6:6">
      <c r="F54540" s="2423"/>
    </row>
    <row r="54541" s="101" customFormat="1" spans="6:6">
      <c r="F54541" s="2423"/>
    </row>
    <row r="54542" s="101" customFormat="1" spans="6:6">
      <c r="F54542" s="2423"/>
    </row>
    <row r="54543" s="101" customFormat="1" spans="6:6">
      <c r="F54543" s="2423"/>
    </row>
    <row r="54544" s="101" customFormat="1" spans="6:6">
      <c r="F54544" s="2423"/>
    </row>
    <row r="54545" s="101" customFormat="1" spans="6:6">
      <c r="F54545" s="2423"/>
    </row>
    <row r="54546" s="101" customFormat="1" spans="6:6">
      <c r="F54546" s="2423"/>
    </row>
    <row r="54547" s="101" customFormat="1" spans="6:6">
      <c r="F54547" s="2423"/>
    </row>
    <row r="54548" s="101" customFormat="1" spans="6:6">
      <c r="F54548" s="2423"/>
    </row>
    <row r="54549" s="101" customFormat="1" spans="6:6">
      <c r="F54549" s="2423"/>
    </row>
    <row r="54550" s="101" customFormat="1" spans="6:6">
      <c r="F54550" s="2423"/>
    </row>
    <row r="54551" s="101" customFormat="1" spans="6:6">
      <c r="F54551" s="2423"/>
    </row>
    <row r="54552" s="101" customFormat="1" spans="6:6">
      <c r="F54552" s="2423"/>
    </row>
    <row r="54553" s="101" customFormat="1" spans="6:6">
      <c r="F54553" s="2423"/>
    </row>
    <row r="54554" s="101" customFormat="1" spans="6:6">
      <c r="F54554" s="2423"/>
    </row>
    <row r="54555" s="101" customFormat="1" spans="6:6">
      <c r="F54555" s="2423"/>
    </row>
    <row r="54556" s="101" customFormat="1" spans="6:6">
      <c r="F54556" s="2423"/>
    </row>
    <row r="54557" s="101" customFormat="1" spans="6:6">
      <c r="F54557" s="2423"/>
    </row>
    <row r="54558" s="101" customFormat="1" spans="6:6">
      <c r="F54558" s="2423"/>
    </row>
    <row r="54559" s="101" customFormat="1" spans="6:6">
      <c r="F54559" s="2423"/>
    </row>
    <row r="54560" s="101" customFormat="1" spans="6:6">
      <c r="F54560" s="2423"/>
    </row>
    <row r="54561" s="101" customFormat="1" spans="6:6">
      <c r="F54561" s="2423"/>
    </row>
    <row r="54562" s="101" customFormat="1" spans="6:6">
      <c r="F54562" s="2423"/>
    </row>
    <row r="54563" s="101" customFormat="1" spans="6:6">
      <c r="F54563" s="2423"/>
    </row>
    <row r="54564" s="101" customFormat="1" spans="6:6">
      <c r="F54564" s="2423"/>
    </row>
    <row r="54565" s="101" customFormat="1" spans="6:6">
      <c r="F54565" s="2423"/>
    </row>
    <row r="54566" s="101" customFormat="1" spans="6:6">
      <c r="F54566" s="2423"/>
    </row>
    <row r="54567" s="101" customFormat="1" spans="6:6">
      <c r="F54567" s="2423"/>
    </row>
    <row r="54568" s="101" customFormat="1" spans="6:6">
      <c r="F54568" s="2423"/>
    </row>
    <row r="54569" s="101" customFormat="1" spans="6:6">
      <c r="F54569" s="2423"/>
    </row>
    <row r="54570" s="101" customFormat="1" spans="6:6">
      <c r="F54570" s="2423"/>
    </row>
    <row r="54571" s="101" customFormat="1" spans="6:6">
      <c r="F54571" s="2423"/>
    </row>
    <row r="54572" s="101" customFormat="1" spans="6:6">
      <c r="F54572" s="2423"/>
    </row>
    <row r="54573" s="101" customFormat="1" spans="6:6">
      <c r="F54573" s="2423"/>
    </row>
    <row r="54574" s="101" customFormat="1" spans="6:6">
      <c r="F54574" s="2423"/>
    </row>
    <row r="54575" s="101" customFormat="1" spans="6:6">
      <c r="F54575" s="2423"/>
    </row>
    <row r="54576" s="101" customFormat="1" spans="6:6">
      <c r="F54576" s="2423"/>
    </row>
    <row r="54577" s="101" customFormat="1" spans="6:6">
      <c r="F54577" s="2423"/>
    </row>
    <row r="54578" s="101" customFormat="1" spans="6:6">
      <c r="F54578" s="2423"/>
    </row>
    <row r="54579" s="101" customFormat="1" spans="6:6">
      <c r="F54579" s="2423"/>
    </row>
    <row r="54580" s="101" customFormat="1" spans="6:6">
      <c r="F54580" s="2423"/>
    </row>
    <row r="54581" s="101" customFormat="1" spans="6:6">
      <c r="F54581" s="2423"/>
    </row>
    <row r="54582" s="101" customFormat="1" spans="6:6">
      <c r="F54582" s="2423"/>
    </row>
    <row r="54583" s="101" customFormat="1" spans="6:6">
      <c r="F54583" s="2423"/>
    </row>
    <row r="54584" s="101" customFormat="1" spans="6:6">
      <c r="F54584" s="2423"/>
    </row>
    <row r="54585" s="101" customFormat="1" spans="6:6">
      <c r="F54585" s="2423"/>
    </row>
    <row r="54586" s="101" customFormat="1" spans="6:6">
      <c r="F54586" s="2423"/>
    </row>
    <row r="54587" s="101" customFormat="1" spans="6:6">
      <c r="F54587" s="2423"/>
    </row>
    <row r="54588" s="101" customFormat="1" spans="6:6">
      <c r="F54588" s="2423"/>
    </row>
    <row r="54589" s="101" customFormat="1" spans="6:6">
      <c r="F54589" s="2423"/>
    </row>
    <row r="54590" s="101" customFormat="1" spans="6:6">
      <c r="F54590" s="2423"/>
    </row>
    <row r="54591" s="101" customFormat="1" spans="6:6">
      <c r="F54591" s="2423"/>
    </row>
    <row r="54592" s="101" customFormat="1" spans="6:6">
      <c r="F54592" s="2423"/>
    </row>
    <row r="54593" s="101" customFormat="1" spans="6:6">
      <c r="F54593" s="2423"/>
    </row>
    <row r="54594" s="101" customFormat="1" spans="6:6">
      <c r="F54594" s="2423"/>
    </row>
    <row r="54595" s="101" customFormat="1" spans="6:6">
      <c r="F54595" s="2423"/>
    </row>
    <row r="54596" s="101" customFormat="1" spans="6:6">
      <c r="F54596" s="2423"/>
    </row>
    <row r="54597" s="101" customFormat="1" spans="6:6">
      <c r="F54597" s="2423"/>
    </row>
    <row r="54598" s="101" customFormat="1" spans="6:6">
      <c r="F54598" s="2423"/>
    </row>
    <row r="54599" s="101" customFormat="1" spans="6:6">
      <c r="F54599" s="2423"/>
    </row>
    <row r="54600" s="101" customFormat="1" spans="6:6">
      <c r="F54600" s="2423"/>
    </row>
    <row r="54601" s="101" customFormat="1" spans="6:6">
      <c r="F54601" s="2423"/>
    </row>
    <row r="54602" s="101" customFormat="1" spans="6:6">
      <c r="F54602" s="2423"/>
    </row>
    <row r="54603" s="101" customFormat="1" spans="6:6">
      <c r="F54603" s="2423"/>
    </row>
    <row r="54604" s="101" customFormat="1" spans="6:6">
      <c r="F54604" s="2423"/>
    </row>
    <row r="54605" s="101" customFormat="1" spans="6:6">
      <c r="F54605" s="2423"/>
    </row>
    <row r="54606" s="101" customFormat="1" spans="6:6">
      <c r="F54606" s="2423"/>
    </row>
    <row r="54607" s="101" customFormat="1" spans="6:6">
      <c r="F54607" s="2423"/>
    </row>
    <row r="54608" s="101" customFormat="1" spans="6:6">
      <c r="F54608" s="2423"/>
    </row>
    <row r="54609" s="101" customFormat="1" spans="6:6">
      <c r="F54609" s="2423"/>
    </row>
    <row r="54610" s="101" customFormat="1" spans="6:6">
      <c r="F54610" s="2423"/>
    </row>
    <row r="54611" s="101" customFormat="1" spans="6:6">
      <c r="F54611" s="2423"/>
    </row>
    <row r="54612" s="101" customFormat="1" spans="6:6">
      <c r="F54612" s="2423"/>
    </row>
    <row r="54613" s="101" customFormat="1" spans="6:6">
      <c r="F54613" s="2423"/>
    </row>
    <row r="54614" s="101" customFormat="1" spans="6:6">
      <c r="F54614" s="2423"/>
    </row>
    <row r="54615" s="101" customFormat="1" spans="6:6">
      <c r="F54615" s="2423"/>
    </row>
    <row r="54616" s="101" customFormat="1" spans="6:6">
      <c r="F54616" s="2423"/>
    </row>
    <row r="54617" s="101" customFormat="1" spans="6:6">
      <c r="F54617" s="2423"/>
    </row>
    <row r="54618" s="101" customFormat="1" spans="6:6">
      <c r="F54618" s="2423"/>
    </row>
    <row r="54619" s="101" customFormat="1" spans="6:6">
      <c r="F54619" s="2423"/>
    </row>
    <row r="54620" s="101" customFormat="1" spans="6:6">
      <c r="F54620" s="2423"/>
    </row>
    <row r="54621" s="101" customFormat="1" spans="6:6">
      <c r="F54621" s="2423"/>
    </row>
    <row r="54622" s="101" customFormat="1" spans="6:6">
      <c r="F54622" s="2423"/>
    </row>
    <row r="54623" s="101" customFormat="1" spans="6:6">
      <c r="F54623" s="2423"/>
    </row>
    <row r="54624" s="101" customFormat="1" spans="6:6">
      <c r="F54624" s="2423"/>
    </row>
    <row r="54625" s="101" customFormat="1" spans="6:6">
      <c r="F54625" s="2423"/>
    </row>
    <row r="54626" s="101" customFormat="1" spans="6:6">
      <c r="F54626" s="2423"/>
    </row>
    <row r="54627" s="101" customFormat="1" spans="6:6">
      <c r="F54627" s="2423"/>
    </row>
    <row r="54628" s="101" customFormat="1" spans="6:6">
      <c r="F54628" s="2423"/>
    </row>
    <row r="54629" s="101" customFormat="1" spans="6:6">
      <c r="F54629" s="2423"/>
    </row>
    <row r="54630" s="101" customFormat="1" spans="6:6">
      <c r="F54630" s="2423"/>
    </row>
    <row r="54631" s="101" customFormat="1" spans="6:6">
      <c r="F54631" s="2423"/>
    </row>
    <row r="54632" s="101" customFormat="1" spans="6:6">
      <c r="F54632" s="2423"/>
    </row>
    <row r="54633" s="101" customFormat="1" spans="6:6">
      <c r="F54633" s="2423"/>
    </row>
    <row r="54634" s="101" customFormat="1" spans="6:6">
      <c r="F54634" s="2423"/>
    </row>
    <row r="54635" s="101" customFormat="1" spans="6:6">
      <c r="F54635" s="2423"/>
    </row>
    <row r="54636" s="101" customFormat="1" spans="6:6">
      <c r="F54636" s="2423"/>
    </row>
    <row r="54637" s="101" customFormat="1" spans="6:6">
      <c r="F54637" s="2423"/>
    </row>
    <row r="54638" s="101" customFormat="1" spans="6:6">
      <c r="F54638" s="2423"/>
    </row>
    <row r="54639" s="101" customFormat="1" spans="6:6">
      <c r="F54639" s="2423"/>
    </row>
    <row r="54640" s="101" customFormat="1" spans="6:6">
      <c r="F54640" s="2423"/>
    </row>
    <row r="54641" s="101" customFormat="1" spans="6:6">
      <c r="F54641" s="2423"/>
    </row>
    <row r="54642" s="101" customFormat="1" spans="6:6">
      <c r="F54642" s="2423"/>
    </row>
    <row r="54643" s="101" customFormat="1" spans="6:6">
      <c r="F54643" s="2423"/>
    </row>
    <row r="54644" s="101" customFormat="1" spans="6:6">
      <c r="F54644" s="2423"/>
    </row>
    <row r="54645" s="101" customFormat="1" spans="6:6">
      <c r="F54645" s="2423"/>
    </row>
    <row r="54646" s="101" customFormat="1" spans="6:6">
      <c r="F54646" s="2423"/>
    </row>
    <row r="54647" s="101" customFormat="1" spans="6:6">
      <c r="F54647" s="2423"/>
    </row>
    <row r="54648" s="101" customFormat="1" spans="6:6">
      <c r="F54648" s="2423"/>
    </row>
    <row r="54649" s="101" customFormat="1" spans="6:6">
      <c r="F54649" s="2423"/>
    </row>
    <row r="54650" s="101" customFormat="1" spans="6:6">
      <c r="F54650" s="2423"/>
    </row>
    <row r="54651" s="101" customFormat="1" spans="6:6">
      <c r="F54651" s="2423"/>
    </row>
    <row r="54652" s="101" customFormat="1" spans="6:6">
      <c r="F54652" s="2423"/>
    </row>
    <row r="54653" s="101" customFormat="1" spans="6:6">
      <c r="F54653" s="2423"/>
    </row>
    <row r="54654" s="101" customFormat="1" spans="6:6">
      <c r="F54654" s="2423"/>
    </row>
    <row r="54655" s="101" customFormat="1" spans="6:6">
      <c r="F54655" s="2423"/>
    </row>
    <row r="54656" s="101" customFormat="1" spans="6:6">
      <c r="F54656" s="2423"/>
    </row>
    <row r="54657" s="101" customFormat="1" spans="6:6">
      <c r="F54657" s="2423"/>
    </row>
    <row r="54658" s="101" customFormat="1" spans="6:6">
      <c r="F54658" s="2423"/>
    </row>
    <row r="54659" s="101" customFormat="1" spans="6:6">
      <c r="F54659" s="2423"/>
    </row>
    <row r="54660" s="101" customFormat="1" spans="6:6">
      <c r="F54660" s="2423"/>
    </row>
    <row r="54661" s="101" customFormat="1" spans="6:6">
      <c r="F54661" s="2423"/>
    </row>
    <row r="54662" s="101" customFormat="1" spans="6:6">
      <c r="F54662" s="2423"/>
    </row>
    <row r="54663" s="101" customFormat="1" spans="6:6">
      <c r="F54663" s="2423"/>
    </row>
    <row r="54664" s="101" customFormat="1" spans="6:6">
      <c r="F54664" s="2423"/>
    </row>
    <row r="54665" s="101" customFormat="1" spans="6:6">
      <c r="F54665" s="2423"/>
    </row>
    <row r="54666" s="101" customFormat="1" spans="6:6">
      <c r="F54666" s="2423"/>
    </row>
    <row r="54667" s="101" customFormat="1" spans="6:6">
      <c r="F54667" s="2423"/>
    </row>
    <row r="54668" s="101" customFormat="1" spans="6:6">
      <c r="F54668" s="2423"/>
    </row>
    <row r="54669" s="101" customFormat="1" spans="6:6">
      <c r="F54669" s="2423"/>
    </row>
    <row r="54670" s="101" customFormat="1" spans="6:6">
      <c r="F54670" s="2423"/>
    </row>
    <row r="54671" s="101" customFormat="1" spans="6:6">
      <c r="F54671" s="2423"/>
    </row>
    <row r="54672" s="101" customFormat="1" spans="6:6">
      <c r="F54672" s="2423"/>
    </row>
    <row r="54673" s="101" customFormat="1" spans="6:6">
      <c r="F54673" s="2423"/>
    </row>
    <row r="54674" s="101" customFormat="1" spans="6:6">
      <c r="F54674" s="2423"/>
    </row>
    <row r="54675" s="101" customFormat="1" spans="6:6">
      <c r="F54675" s="2423"/>
    </row>
    <row r="54676" s="101" customFormat="1" spans="6:6">
      <c r="F54676" s="2423"/>
    </row>
    <row r="54677" s="101" customFormat="1" spans="6:6">
      <c r="F54677" s="2423"/>
    </row>
    <row r="54678" s="101" customFormat="1" spans="6:6">
      <c r="F54678" s="2423"/>
    </row>
    <row r="54679" s="101" customFormat="1" spans="6:6">
      <c r="F54679" s="2423"/>
    </row>
    <row r="54680" s="101" customFormat="1" spans="6:6">
      <c r="F54680" s="2423"/>
    </row>
    <row r="54681" s="101" customFormat="1" spans="6:6">
      <c r="F54681" s="2423"/>
    </row>
    <row r="54682" s="101" customFormat="1" spans="6:6">
      <c r="F54682" s="2423"/>
    </row>
    <row r="54683" s="101" customFormat="1" spans="6:6">
      <c r="F54683" s="2423"/>
    </row>
    <row r="54684" s="101" customFormat="1" spans="6:6">
      <c r="F54684" s="2423"/>
    </row>
    <row r="54685" s="101" customFormat="1" spans="6:6">
      <c r="F54685" s="2423"/>
    </row>
    <row r="54686" s="101" customFormat="1" spans="6:6">
      <c r="F54686" s="2423"/>
    </row>
    <row r="54687" s="101" customFormat="1" spans="6:6">
      <c r="F54687" s="2423"/>
    </row>
    <row r="54688" s="101" customFormat="1" spans="6:6">
      <c r="F54688" s="2423"/>
    </row>
    <row r="54689" s="101" customFormat="1" spans="6:6">
      <c r="F54689" s="2423"/>
    </row>
    <row r="54690" s="101" customFormat="1" spans="6:6">
      <c r="F54690" s="2423"/>
    </row>
    <row r="54691" s="101" customFormat="1" spans="6:6">
      <c r="F54691" s="2423"/>
    </row>
    <row r="54692" s="101" customFormat="1" spans="6:6">
      <c r="F54692" s="2423"/>
    </row>
    <row r="54693" s="101" customFormat="1" spans="6:6">
      <c r="F54693" s="2423"/>
    </row>
    <row r="54694" s="101" customFormat="1" spans="6:6">
      <c r="F54694" s="2423"/>
    </row>
    <row r="54695" s="101" customFormat="1" spans="6:6">
      <c r="F54695" s="2423"/>
    </row>
    <row r="54696" s="101" customFormat="1" spans="6:6">
      <c r="F54696" s="2423"/>
    </row>
    <row r="54697" s="101" customFormat="1" spans="6:6">
      <c r="F54697" s="2423"/>
    </row>
    <row r="54698" s="101" customFormat="1" spans="6:6">
      <c r="F54698" s="2423"/>
    </row>
    <row r="54699" s="101" customFormat="1" spans="6:6">
      <c r="F54699" s="2423"/>
    </row>
    <row r="54700" s="101" customFormat="1" spans="6:6">
      <c r="F54700" s="2423"/>
    </row>
    <row r="54701" s="101" customFormat="1" spans="6:6">
      <c r="F54701" s="2423"/>
    </row>
    <row r="54702" s="101" customFormat="1" spans="6:6">
      <c r="F54702" s="2423"/>
    </row>
    <row r="54703" s="101" customFormat="1" spans="6:6">
      <c r="F54703" s="2423"/>
    </row>
    <row r="54704" s="101" customFormat="1" spans="6:6">
      <c r="F54704" s="2423"/>
    </row>
    <row r="54705" s="101" customFormat="1" spans="6:6">
      <c r="F54705" s="2423"/>
    </row>
    <row r="54706" s="101" customFormat="1" spans="6:6">
      <c r="F54706" s="2423"/>
    </row>
    <row r="54707" s="101" customFormat="1" spans="6:6">
      <c r="F54707" s="2423"/>
    </row>
    <row r="54708" s="101" customFormat="1" spans="6:6">
      <c r="F54708" s="2423"/>
    </row>
    <row r="54709" s="101" customFormat="1" spans="6:6">
      <c r="F54709" s="2423"/>
    </row>
    <row r="54710" s="101" customFormat="1" spans="6:6">
      <c r="F54710" s="2423"/>
    </row>
    <row r="54711" s="101" customFormat="1" spans="6:6">
      <c r="F54711" s="2423"/>
    </row>
    <row r="54712" s="101" customFormat="1" spans="6:6">
      <c r="F54712" s="2423"/>
    </row>
    <row r="54713" s="101" customFormat="1" spans="6:6">
      <c r="F54713" s="2423"/>
    </row>
    <row r="54714" s="101" customFormat="1" spans="6:6">
      <c r="F54714" s="2423"/>
    </row>
    <row r="54715" s="101" customFormat="1" spans="6:6">
      <c r="F54715" s="2423"/>
    </row>
    <row r="54716" s="101" customFormat="1" spans="6:6">
      <c r="F54716" s="2423"/>
    </row>
    <row r="54717" s="101" customFormat="1" spans="6:6">
      <c r="F54717" s="2423"/>
    </row>
    <row r="54718" s="101" customFormat="1" spans="6:6">
      <c r="F54718" s="2423"/>
    </row>
    <row r="54719" s="101" customFormat="1" spans="6:6">
      <c r="F54719" s="2423"/>
    </row>
    <row r="54720" s="101" customFormat="1" spans="6:6">
      <c r="F54720" s="2423"/>
    </row>
    <row r="54721" s="101" customFormat="1" spans="6:6">
      <c r="F54721" s="2423"/>
    </row>
    <row r="54722" s="101" customFormat="1" spans="6:6">
      <c r="F54722" s="2423"/>
    </row>
    <row r="54723" s="101" customFormat="1" spans="6:6">
      <c r="F54723" s="2423"/>
    </row>
    <row r="54724" s="101" customFormat="1" spans="6:6">
      <c r="F54724" s="2423"/>
    </row>
    <row r="54725" s="101" customFormat="1" spans="6:6">
      <c r="F54725" s="2423"/>
    </row>
    <row r="54726" s="101" customFormat="1" spans="6:6">
      <c r="F54726" s="2423"/>
    </row>
    <row r="54727" s="101" customFormat="1" spans="6:6">
      <c r="F54727" s="2423"/>
    </row>
    <row r="54728" s="101" customFormat="1" spans="6:6">
      <c r="F54728" s="2423"/>
    </row>
    <row r="54729" s="101" customFormat="1" spans="6:6">
      <c r="F54729" s="2423"/>
    </row>
    <row r="54730" s="101" customFormat="1" spans="6:6">
      <c r="F54730" s="2423"/>
    </row>
    <row r="54731" s="101" customFormat="1" spans="6:6">
      <c r="F54731" s="2423"/>
    </row>
    <row r="54732" s="101" customFormat="1" spans="6:6">
      <c r="F54732" s="2423"/>
    </row>
    <row r="54733" s="101" customFormat="1" spans="6:6">
      <c r="F54733" s="2423"/>
    </row>
    <row r="54734" s="101" customFormat="1" spans="6:6">
      <c r="F54734" s="2423"/>
    </row>
    <row r="54735" s="101" customFormat="1" spans="6:6">
      <c r="F54735" s="2423"/>
    </row>
    <row r="54736" s="101" customFormat="1" spans="6:6">
      <c r="F54736" s="2423"/>
    </row>
    <row r="54737" s="101" customFormat="1" spans="6:6">
      <c r="F54737" s="2423"/>
    </row>
    <row r="54738" s="101" customFormat="1" spans="6:6">
      <c r="F54738" s="2423"/>
    </row>
    <row r="54739" s="101" customFormat="1" spans="6:6">
      <c r="F54739" s="2423"/>
    </row>
    <row r="54740" s="101" customFormat="1" spans="6:6">
      <c r="F54740" s="2423"/>
    </row>
    <row r="54741" s="101" customFormat="1" spans="6:6">
      <c r="F54741" s="2423"/>
    </row>
    <row r="54742" s="101" customFormat="1" spans="6:6">
      <c r="F54742" s="2423"/>
    </row>
    <row r="54743" s="101" customFormat="1" spans="6:6">
      <c r="F54743" s="2423"/>
    </row>
    <row r="54744" s="101" customFormat="1" spans="6:6">
      <c r="F54744" s="2423"/>
    </row>
    <row r="54745" s="101" customFormat="1" spans="6:6">
      <c r="F54745" s="2423"/>
    </row>
    <row r="54746" s="101" customFormat="1" spans="6:6">
      <c r="F54746" s="2423"/>
    </row>
    <row r="54747" s="101" customFormat="1" spans="6:6">
      <c r="F54747" s="2423"/>
    </row>
    <row r="54748" s="101" customFormat="1" spans="6:6">
      <c r="F54748" s="2423"/>
    </row>
    <row r="54749" s="101" customFormat="1" spans="6:6">
      <c r="F54749" s="2423"/>
    </row>
    <row r="54750" s="101" customFormat="1" spans="6:6">
      <c r="F54750" s="2423"/>
    </row>
    <row r="54751" s="101" customFormat="1" spans="6:6">
      <c r="F54751" s="2423"/>
    </row>
    <row r="54752" s="101" customFormat="1" spans="6:6">
      <c r="F54752" s="2423"/>
    </row>
    <row r="54753" s="101" customFormat="1" spans="6:6">
      <c r="F54753" s="2423"/>
    </row>
    <row r="54754" s="101" customFormat="1" spans="6:6">
      <c r="F54754" s="2423"/>
    </row>
    <row r="54755" s="101" customFormat="1" spans="6:6">
      <c r="F54755" s="2423"/>
    </row>
    <row r="54756" s="101" customFormat="1" spans="6:6">
      <c r="F54756" s="2423"/>
    </row>
    <row r="54757" s="101" customFormat="1" spans="6:6">
      <c r="F54757" s="2423"/>
    </row>
    <row r="54758" s="101" customFormat="1" spans="6:6">
      <c r="F54758" s="2423"/>
    </row>
    <row r="54759" s="101" customFormat="1" spans="6:6">
      <c r="F54759" s="2423"/>
    </row>
    <row r="54760" s="101" customFormat="1" spans="6:6">
      <c r="F54760" s="2423"/>
    </row>
    <row r="54761" s="101" customFormat="1" spans="6:6">
      <c r="F54761" s="2423"/>
    </row>
    <row r="54762" s="101" customFormat="1" spans="6:6">
      <c r="F54762" s="2423"/>
    </row>
    <row r="54763" s="101" customFormat="1" spans="6:6">
      <c r="F54763" s="2423"/>
    </row>
    <row r="54764" s="101" customFormat="1" spans="6:6">
      <c r="F54764" s="2423"/>
    </row>
    <row r="54765" s="101" customFormat="1" spans="6:6">
      <c r="F54765" s="2423"/>
    </row>
    <row r="54766" s="101" customFormat="1" spans="6:6">
      <c r="F54766" s="2423"/>
    </row>
    <row r="54767" s="101" customFormat="1" spans="6:6">
      <c r="F54767" s="2423"/>
    </row>
    <row r="54768" s="101" customFormat="1" spans="6:6">
      <c r="F54768" s="2423"/>
    </row>
    <row r="54769" s="101" customFormat="1" spans="6:6">
      <c r="F54769" s="2423"/>
    </row>
    <row r="54770" s="101" customFormat="1" spans="6:6">
      <c r="F54770" s="2423"/>
    </row>
    <row r="54771" s="101" customFormat="1" spans="6:6">
      <c r="F54771" s="2423"/>
    </row>
    <row r="54772" s="101" customFormat="1" spans="6:6">
      <c r="F54772" s="2423"/>
    </row>
    <row r="54773" s="101" customFormat="1" spans="6:6">
      <c r="F54773" s="2423"/>
    </row>
    <row r="54774" s="101" customFormat="1" spans="6:6">
      <c r="F54774" s="2423"/>
    </row>
    <row r="54775" s="101" customFormat="1" spans="6:6">
      <c r="F54775" s="2423"/>
    </row>
    <row r="54776" s="101" customFormat="1" spans="6:6">
      <c r="F54776" s="2423"/>
    </row>
    <row r="54777" s="101" customFormat="1" spans="6:6">
      <c r="F54777" s="2423"/>
    </row>
    <row r="54778" s="101" customFormat="1" spans="6:6">
      <c r="F54778" s="2423"/>
    </row>
    <row r="54779" s="101" customFormat="1" spans="6:6">
      <c r="F54779" s="2423"/>
    </row>
    <row r="54780" s="101" customFormat="1" spans="6:6">
      <c r="F54780" s="2423"/>
    </row>
    <row r="54781" s="101" customFormat="1" spans="6:6">
      <c r="F54781" s="2423"/>
    </row>
    <row r="54782" s="101" customFormat="1" spans="6:6">
      <c r="F54782" s="2423"/>
    </row>
    <row r="54783" s="101" customFormat="1" spans="6:6">
      <c r="F54783" s="2423"/>
    </row>
    <row r="54784" s="101" customFormat="1" spans="6:6">
      <c r="F54784" s="2423"/>
    </row>
    <row r="54785" s="101" customFormat="1" spans="6:6">
      <c r="F54785" s="2423"/>
    </row>
    <row r="54786" s="101" customFormat="1" spans="6:6">
      <c r="F54786" s="2423"/>
    </row>
    <row r="54787" s="101" customFormat="1" spans="6:6">
      <c r="F54787" s="2423"/>
    </row>
    <row r="54788" s="101" customFormat="1" spans="6:6">
      <c r="F54788" s="2423"/>
    </row>
    <row r="54789" s="101" customFormat="1" spans="6:6">
      <c r="F54789" s="2423"/>
    </row>
    <row r="54790" s="101" customFormat="1" spans="6:6">
      <c r="F54790" s="2423"/>
    </row>
    <row r="54791" s="101" customFormat="1" spans="6:6">
      <c r="F54791" s="2423"/>
    </row>
    <row r="54792" s="101" customFormat="1" spans="6:6">
      <c r="F54792" s="2423"/>
    </row>
    <row r="54793" s="101" customFormat="1" spans="6:6">
      <c r="F54793" s="2423"/>
    </row>
    <row r="54794" s="101" customFormat="1" spans="6:6">
      <c r="F54794" s="2423"/>
    </row>
    <row r="54795" s="101" customFormat="1" spans="6:6">
      <c r="F54795" s="2423"/>
    </row>
    <row r="54796" s="101" customFormat="1" spans="6:6">
      <c r="F54796" s="2423"/>
    </row>
    <row r="54797" s="101" customFormat="1" spans="6:6">
      <c r="F54797" s="2423"/>
    </row>
    <row r="54798" s="101" customFormat="1" spans="6:6">
      <c r="F54798" s="2423"/>
    </row>
    <row r="54799" s="101" customFormat="1" spans="6:6">
      <c r="F54799" s="2423"/>
    </row>
    <row r="54800" s="101" customFormat="1" spans="6:6">
      <c r="F54800" s="2423"/>
    </row>
    <row r="54801" s="101" customFormat="1" spans="6:6">
      <c r="F54801" s="2423"/>
    </row>
    <row r="54802" s="101" customFormat="1" spans="6:6">
      <c r="F54802" s="2423"/>
    </row>
    <row r="54803" s="101" customFormat="1" spans="6:6">
      <c r="F54803" s="2423"/>
    </row>
    <row r="54804" s="101" customFormat="1" spans="6:6">
      <c r="F54804" s="2423"/>
    </row>
    <row r="54805" s="101" customFormat="1" spans="6:6">
      <c r="F54805" s="2423"/>
    </row>
    <row r="54806" s="101" customFormat="1" spans="6:6">
      <c r="F54806" s="2423"/>
    </row>
    <row r="54807" s="101" customFormat="1" spans="6:6">
      <c r="F54807" s="2423"/>
    </row>
    <row r="54808" s="101" customFormat="1" spans="6:6">
      <c r="F54808" s="2423"/>
    </row>
    <row r="54809" s="101" customFormat="1" spans="6:6">
      <c r="F54809" s="2423"/>
    </row>
    <row r="54810" s="101" customFormat="1" spans="6:6">
      <c r="F54810" s="2423"/>
    </row>
    <row r="54811" s="101" customFormat="1" spans="6:6">
      <c r="F54811" s="2423"/>
    </row>
    <row r="54812" s="101" customFormat="1" spans="6:6">
      <c r="F54812" s="2423"/>
    </row>
    <row r="54813" s="101" customFormat="1" spans="6:6">
      <c r="F54813" s="2423"/>
    </row>
    <row r="54814" s="101" customFormat="1" spans="6:6">
      <c r="F54814" s="2423"/>
    </row>
    <row r="54815" s="101" customFormat="1" spans="6:6">
      <c r="F54815" s="2423"/>
    </row>
    <row r="54816" s="101" customFormat="1" spans="6:6">
      <c r="F54816" s="2423"/>
    </row>
    <row r="54817" s="101" customFormat="1" spans="6:6">
      <c r="F54817" s="2423"/>
    </row>
    <row r="54818" s="101" customFormat="1" spans="6:6">
      <c r="F54818" s="2423"/>
    </row>
    <row r="54819" s="101" customFormat="1" spans="6:6">
      <c r="F54819" s="2423"/>
    </row>
    <row r="54820" s="101" customFormat="1" spans="6:6">
      <c r="F54820" s="2423"/>
    </row>
    <row r="54821" s="101" customFormat="1" spans="6:6">
      <c r="F54821" s="2423"/>
    </row>
    <row r="54822" s="101" customFormat="1" spans="6:6">
      <c r="F54822" s="2423"/>
    </row>
    <row r="54823" s="101" customFormat="1" spans="6:6">
      <c r="F54823" s="2423"/>
    </row>
    <row r="54824" s="101" customFormat="1" spans="6:6">
      <c r="F54824" s="2423"/>
    </row>
    <row r="54825" s="101" customFormat="1" spans="6:6">
      <c r="F54825" s="2423"/>
    </row>
    <row r="54826" s="101" customFormat="1" spans="6:6">
      <c r="F54826" s="2423"/>
    </row>
    <row r="54827" s="101" customFormat="1" spans="6:6">
      <c r="F54827" s="2423"/>
    </row>
    <row r="54828" s="101" customFormat="1" spans="6:6">
      <c r="F54828" s="2423"/>
    </row>
    <row r="54829" s="101" customFormat="1" spans="6:6">
      <c r="F54829" s="2423"/>
    </row>
    <row r="54830" s="101" customFormat="1" spans="6:6">
      <c r="F54830" s="2423"/>
    </row>
    <row r="54831" s="101" customFormat="1" spans="6:6">
      <c r="F54831" s="2423"/>
    </row>
    <row r="54832" s="101" customFormat="1" spans="6:6">
      <c r="F54832" s="2423"/>
    </row>
    <row r="54833" s="101" customFormat="1" spans="6:6">
      <c r="F54833" s="2423"/>
    </row>
    <row r="54834" s="101" customFormat="1" spans="6:6">
      <c r="F54834" s="2423"/>
    </row>
    <row r="54835" s="101" customFormat="1" spans="6:6">
      <c r="F54835" s="2423"/>
    </row>
    <row r="54836" s="101" customFormat="1" spans="6:6">
      <c r="F54836" s="2423"/>
    </row>
    <row r="54837" s="101" customFormat="1" spans="6:6">
      <c r="F54837" s="2423"/>
    </row>
    <row r="54838" s="101" customFormat="1" spans="6:6">
      <c r="F54838" s="2423"/>
    </row>
    <row r="54839" s="101" customFormat="1" spans="6:6">
      <c r="F54839" s="2423"/>
    </row>
    <row r="54840" s="101" customFormat="1" spans="6:6">
      <c r="F54840" s="2423"/>
    </row>
    <row r="54841" s="101" customFormat="1" spans="6:6">
      <c r="F54841" s="2423"/>
    </row>
    <row r="54842" s="101" customFormat="1" spans="6:6">
      <c r="F54842" s="2423"/>
    </row>
    <row r="54843" s="101" customFormat="1" spans="6:6">
      <c r="F54843" s="2423"/>
    </row>
    <row r="54844" s="101" customFormat="1" spans="6:6">
      <c r="F54844" s="2423"/>
    </row>
    <row r="54845" s="101" customFormat="1" spans="6:6">
      <c r="F54845" s="2423"/>
    </row>
    <row r="54846" s="101" customFormat="1" spans="6:6">
      <c r="F54846" s="2423"/>
    </row>
    <row r="54847" s="101" customFormat="1" spans="6:6">
      <c r="F54847" s="2423"/>
    </row>
    <row r="54848" s="101" customFormat="1" spans="6:6">
      <c r="F54848" s="2423"/>
    </row>
    <row r="54849" s="101" customFormat="1" spans="6:6">
      <c r="F54849" s="2423"/>
    </row>
    <row r="54850" s="101" customFormat="1" spans="6:6">
      <c r="F54850" s="2423"/>
    </row>
    <row r="54851" s="101" customFormat="1" spans="6:6">
      <c r="F54851" s="2423"/>
    </row>
    <row r="54852" s="101" customFormat="1" spans="6:6">
      <c r="F54852" s="2423"/>
    </row>
    <row r="54853" s="101" customFormat="1" spans="6:6">
      <c r="F54853" s="2423"/>
    </row>
    <row r="54854" s="101" customFormat="1" spans="6:6">
      <c r="F54854" s="2423"/>
    </row>
    <row r="54855" s="101" customFormat="1" spans="6:6">
      <c r="F54855" s="2423"/>
    </row>
    <row r="54856" s="101" customFormat="1" spans="6:6">
      <c r="F54856" s="2423"/>
    </row>
    <row r="54857" s="101" customFormat="1" spans="6:6">
      <c r="F54857" s="2423"/>
    </row>
    <row r="54858" s="101" customFormat="1" spans="6:6">
      <c r="F54858" s="2423"/>
    </row>
    <row r="54859" s="101" customFormat="1" spans="6:6">
      <c r="F54859" s="2423"/>
    </row>
    <row r="54860" s="101" customFormat="1" spans="6:6">
      <c r="F54860" s="2423"/>
    </row>
    <row r="54861" s="101" customFormat="1" spans="6:6">
      <c r="F54861" s="2423"/>
    </row>
    <row r="54862" s="101" customFormat="1" spans="6:6">
      <c r="F54862" s="2423"/>
    </row>
    <row r="54863" s="101" customFormat="1" spans="6:6">
      <c r="F54863" s="2423"/>
    </row>
    <row r="54864" s="101" customFormat="1" spans="6:6">
      <c r="F54864" s="2423"/>
    </row>
    <row r="54865" s="101" customFormat="1" spans="6:6">
      <c r="F54865" s="2423"/>
    </row>
    <row r="54866" s="101" customFormat="1" spans="6:6">
      <c r="F54866" s="2423"/>
    </row>
    <row r="54867" s="101" customFormat="1" spans="6:6">
      <c r="F54867" s="2423"/>
    </row>
    <row r="54868" s="101" customFormat="1" spans="6:6">
      <c r="F54868" s="2423"/>
    </row>
    <row r="54869" s="101" customFormat="1" spans="6:6">
      <c r="F54869" s="2423"/>
    </row>
    <row r="54870" s="101" customFormat="1" spans="6:6">
      <c r="F54870" s="2423"/>
    </row>
    <row r="54871" s="101" customFormat="1" spans="6:6">
      <c r="F54871" s="2423"/>
    </row>
    <row r="54872" s="101" customFormat="1" spans="6:6">
      <c r="F54872" s="2423"/>
    </row>
    <row r="54873" s="101" customFormat="1" spans="6:6">
      <c r="F54873" s="2423"/>
    </row>
    <row r="54874" s="101" customFormat="1" spans="6:6">
      <c r="F54874" s="2423"/>
    </row>
    <row r="54875" s="101" customFormat="1" spans="6:6">
      <c r="F54875" s="2423"/>
    </row>
    <row r="54876" s="101" customFormat="1" spans="6:6">
      <c r="F54876" s="2423"/>
    </row>
    <row r="54877" s="101" customFormat="1" spans="6:6">
      <c r="F54877" s="2423"/>
    </row>
    <row r="54878" s="101" customFormat="1" spans="6:6">
      <c r="F54878" s="2423"/>
    </row>
    <row r="54879" s="101" customFormat="1" spans="6:6">
      <c r="F54879" s="2423"/>
    </row>
    <row r="54880" s="101" customFormat="1" spans="6:6">
      <c r="F54880" s="2423"/>
    </row>
    <row r="54881" s="101" customFormat="1" spans="6:6">
      <c r="F54881" s="2423"/>
    </row>
    <row r="54882" s="101" customFormat="1" spans="6:6">
      <c r="F54882" s="2423"/>
    </row>
    <row r="54883" s="101" customFormat="1" spans="6:6">
      <c r="F54883" s="2423"/>
    </row>
    <row r="54884" s="101" customFormat="1" spans="6:6">
      <c r="F54884" s="2423"/>
    </row>
    <row r="54885" s="101" customFormat="1" spans="6:6">
      <c r="F54885" s="2423"/>
    </row>
    <row r="54886" s="101" customFormat="1" spans="6:6">
      <c r="F54886" s="2423"/>
    </row>
    <row r="54887" s="101" customFormat="1" spans="6:6">
      <c r="F54887" s="2423"/>
    </row>
    <row r="54888" s="101" customFormat="1" spans="6:6">
      <c r="F54888" s="2423"/>
    </row>
    <row r="54889" s="101" customFormat="1" spans="6:6">
      <c r="F54889" s="2423"/>
    </row>
    <row r="54890" s="101" customFormat="1" spans="6:6">
      <c r="F54890" s="2423"/>
    </row>
    <row r="54891" s="101" customFormat="1" spans="6:6">
      <c r="F54891" s="2423"/>
    </row>
    <row r="54892" s="101" customFormat="1" spans="6:6">
      <c r="F54892" s="2423"/>
    </row>
    <row r="54893" s="101" customFormat="1" spans="6:6">
      <c r="F54893" s="2423"/>
    </row>
    <row r="54894" s="101" customFormat="1" spans="6:6">
      <c r="F54894" s="2423"/>
    </row>
    <row r="54895" s="101" customFormat="1" spans="6:6">
      <c r="F54895" s="2423"/>
    </row>
    <row r="54896" s="101" customFormat="1" spans="6:6">
      <c r="F54896" s="2423"/>
    </row>
    <row r="54897" s="101" customFormat="1" spans="6:6">
      <c r="F54897" s="2423"/>
    </row>
    <row r="54898" s="101" customFormat="1" spans="6:6">
      <c r="F54898" s="2423"/>
    </row>
    <row r="54899" s="101" customFormat="1" spans="6:6">
      <c r="F54899" s="2423"/>
    </row>
    <row r="54900" s="101" customFormat="1" spans="6:6">
      <c r="F54900" s="2423"/>
    </row>
    <row r="54901" s="101" customFormat="1" spans="6:6">
      <c r="F54901" s="2423"/>
    </row>
    <row r="54902" s="101" customFormat="1" spans="6:6">
      <c r="F54902" s="2423"/>
    </row>
    <row r="54903" s="101" customFormat="1" spans="6:6">
      <c r="F54903" s="2423"/>
    </row>
    <row r="54904" s="101" customFormat="1" spans="6:6">
      <c r="F54904" s="2423"/>
    </row>
    <row r="54905" s="101" customFormat="1" spans="6:6">
      <c r="F54905" s="2423"/>
    </row>
    <row r="54906" s="101" customFormat="1" spans="6:6">
      <c r="F54906" s="2423"/>
    </row>
    <row r="54907" s="101" customFormat="1" spans="6:6">
      <c r="F54907" s="2423"/>
    </row>
    <row r="54908" s="101" customFormat="1" spans="6:6">
      <c r="F54908" s="2423"/>
    </row>
    <row r="54909" s="101" customFormat="1" spans="6:6">
      <c r="F54909" s="2423"/>
    </row>
    <row r="54910" s="101" customFormat="1" spans="6:6">
      <c r="F54910" s="2423"/>
    </row>
    <row r="54911" s="101" customFormat="1" spans="6:6">
      <c r="F54911" s="2423"/>
    </row>
    <row r="54912" s="101" customFormat="1" spans="6:6">
      <c r="F54912" s="2423"/>
    </row>
    <row r="54913" s="101" customFormat="1" spans="6:6">
      <c r="F54913" s="2423"/>
    </row>
    <row r="54914" s="101" customFormat="1" spans="6:6">
      <c r="F54914" s="2423"/>
    </row>
    <row r="54915" s="101" customFormat="1" spans="6:6">
      <c r="F54915" s="2423"/>
    </row>
    <row r="54916" s="101" customFormat="1" spans="6:6">
      <c r="F54916" s="2423"/>
    </row>
    <row r="54917" s="101" customFormat="1" spans="6:6">
      <c r="F54917" s="2423"/>
    </row>
    <row r="54918" s="101" customFormat="1" spans="6:6">
      <c r="F54918" s="2423"/>
    </row>
    <row r="54919" s="101" customFormat="1" spans="6:6">
      <c r="F54919" s="2423"/>
    </row>
    <row r="54920" s="101" customFormat="1" spans="6:6">
      <c r="F54920" s="2423"/>
    </row>
    <row r="54921" s="101" customFormat="1" spans="6:6">
      <c r="F54921" s="2423"/>
    </row>
    <row r="54922" s="101" customFormat="1" spans="6:6">
      <c r="F54922" s="2423"/>
    </row>
    <row r="54923" s="101" customFormat="1" spans="6:6">
      <c r="F54923" s="2423"/>
    </row>
    <row r="54924" s="101" customFormat="1" spans="6:6">
      <c r="F54924" s="2423"/>
    </row>
    <row r="54925" s="101" customFormat="1" spans="6:6">
      <c r="F54925" s="2423"/>
    </row>
    <row r="54926" s="101" customFormat="1" spans="6:6">
      <c r="F54926" s="2423"/>
    </row>
    <row r="54927" s="101" customFormat="1" spans="6:6">
      <c r="F54927" s="2423"/>
    </row>
    <row r="54928" s="101" customFormat="1" spans="6:6">
      <c r="F54928" s="2423"/>
    </row>
    <row r="54929" s="101" customFormat="1" spans="6:6">
      <c r="F54929" s="2423"/>
    </row>
    <row r="54930" s="101" customFormat="1" spans="6:6">
      <c r="F54930" s="2423"/>
    </row>
    <row r="54931" s="101" customFormat="1" spans="6:6">
      <c r="F54931" s="2423"/>
    </row>
    <row r="54932" s="101" customFormat="1" spans="6:6">
      <c r="F54932" s="2423"/>
    </row>
    <row r="54933" s="101" customFormat="1" spans="6:6">
      <c r="F54933" s="2423"/>
    </row>
    <row r="54934" s="101" customFormat="1" spans="6:6">
      <c r="F54934" s="2423"/>
    </row>
    <row r="54935" s="101" customFormat="1" spans="6:6">
      <c r="F54935" s="2423"/>
    </row>
    <row r="54936" s="101" customFormat="1" spans="6:6">
      <c r="F54936" s="2423"/>
    </row>
    <row r="54937" s="101" customFormat="1" spans="6:6">
      <c r="F54937" s="2423"/>
    </row>
    <row r="54938" s="101" customFormat="1" spans="6:6">
      <c r="F54938" s="2423"/>
    </row>
    <row r="54939" s="101" customFormat="1" spans="6:6">
      <c r="F54939" s="2423"/>
    </row>
    <row r="54940" s="101" customFormat="1" spans="6:6">
      <c r="F54940" s="2423"/>
    </row>
    <row r="54941" s="101" customFormat="1" spans="6:6">
      <c r="F54941" s="2423"/>
    </row>
    <row r="54942" s="101" customFormat="1" spans="6:6">
      <c r="F54942" s="2423"/>
    </row>
    <row r="54943" s="101" customFormat="1" spans="6:6">
      <c r="F54943" s="2423"/>
    </row>
    <row r="54944" s="101" customFormat="1" spans="6:6">
      <c r="F54944" s="2423"/>
    </row>
    <row r="54945" s="101" customFormat="1" spans="6:6">
      <c r="F54945" s="2423"/>
    </row>
    <row r="54946" s="101" customFormat="1" spans="6:6">
      <c r="F54946" s="2423"/>
    </row>
    <row r="54947" s="101" customFormat="1" spans="6:6">
      <c r="F54947" s="2423"/>
    </row>
    <row r="54948" s="101" customFormat="1" spans="6:6">
      <c r="F54948" s="2423"/>
    </row>
    <row r="54949" s="101" customFormat="1" spans="6:6">
      <c r="F54949" s="2423"/>
    </row>
    <row r="54950" s="101" customFormat="1" spans="6:6">
      <c r="F54950" s="2423"/>
    </row>
    <row r="54951" s="101" customFormat="1" spans="6:6">
      <c r="F54951" s="2423"/>
    </row>
    <row r="54952" s="101" customFormat="1" spans="6:6">
      <c r="F54952" s="2423"/>
    </row>
    <row r="54953" s="101" customFormat="1" spans="6:6">
      <c r="F54953" s="2423"/>
    </row>
    <row r="54954" s="101" customFormat="1" spans="6:6">
      <c r="F54954" s="2423"/>
    </row>
    <row r="54955" s="101" customFormat="1" spans="6:6">
      <c r="F54955" s="2423"/>
    </row>
    <row r="54956" s="101" customFormat="1" spans="6:6">
      <c r="F54956" s="2423"/>
    </row>
    <row r="54957" s="101" customFormat="1" spans="6:6">
      <c r="F54957" s="2423"/>
    </row>
    <row r="54958" s="101" customFormat="1" spans="6:6">
      <c r="F54958" s="2423"/>
    </row>
    <row r="54959" s="101" customFormat="1" spans="6:6">
      <c r="F54959" s="2423"/>
    </row>
    <row r="54960" s="101" customFormat="1" spans="6:6">
      <c r="F54960" s="2423"/>
    </row>
    <row r="54961" s="101" customFormat="1" spans="6:6">
      <c r="F54961" s="2423"/>
    </row>
    <row r="54962" s="101" customFormat="1" spans="6:6">
      <c r="F54962" s="2423"/>
    </row>
    <row r="54963" s="101" customFormat="1" spans="6:6">
      <c r="F54963" s="2423"/>
    </row>
    <row r="54964" s="101" customFormat="1" spans="6:6">
      <c r="F54964" s="2423"/>
    </row>
    <row r="54965" s="101" customFormat="1" spans="6:6">
      <c r="F54965" s="2423"/>
    </row>
    <row r="54966" s="101" customFormat="1" spans="6:6">
      <c r="F54966" s="2423"/>
    </row>
    <row r="54967" s="101" customFormat="1" spans="6:6">
      <c r="F54967" s="2423"/>
    </row>
    <row r="54968" s="101" customFormat="1" spans="6:6">
      <c r="F54968" s="2423"/>
    </row>
    <row r="54969" s="101" customFormat="1" spans="6:6">
      <c r="F54969" s="2423"/>
    </row>
    <row r="54970" s="101" customFormat="1" spans="6:6">
      <c r="F54970" s="2423"/>
    </row>
    <row r="54971" s="101" customFormat="1" spans="6:6">
      <c r="F54971" s="2423"/>
    </row>
    <row r="54972" s="101" customFormat="1" spans="6:6">
      <c r="F54972" s="2423"/>
    </row>
    <row r="54973" s="101" customFormat="1" spans="6:6">
      <c r="F54973" s="2423"/>
    </row>
    <row r="54974" s="101" customFormat="1" spans="6:6">
      <c r="F54974" s="2423"/>
    </row>
    <row r="54975" s="101" customFormat="1" spans="6:6">
      <c r="F54975" s="2423"/>
    </row>
    <row r="54976" s="101" customFormat="1" spans="6:6">
      <c r="F54976" s="2423"/>
    </row>
    <row r="54977" s="101" customFormat="1" spans="6:6">
      <c r="F54977" s="2423"/>
    </row>
    <row r="54978" s="101" customFormat="1" spans="6:6">
      <c r="F54978" s="2423"/>
    </row>
    <row r="54979" s="101" customFormat="1" spans="6:6">
      <c r="F54979" s="2423"/>
    </row>
    <row r="54980" s="101" customFormat="1" spans="6:6">
      <c r="F54980" s="2423"/>
    </row>
    <row r="54981" s="101" customFormat="1" spans="6:6">
      <c r="F54981" s="2423"/>
    </row>
    <row r="54982" s="101" customFormat="1" spans="6:6">
      <c r="F54982" s="2423"/>
    </row>
    <row r="54983" s="101" customFormat="1" spans="6:6">
      <c r="F54983" s="2423"/>
    </row>
    <row r="54984" s="101" customFormat="1" spans="6:6">
      <c r="F54984" s="2423"/>
    </row>
    <row r="54985" s="101" customFormat="1" spans="6:6">
      <c r="F54985" s="2423"/>
    </row>
    <row r="54986" s="101" customFormat="1" spans="6:6">
      <c r="F54986" s="2423"/>
    </row>
    <row r="54987" s="101" customFormat="1" spans="6:6">
      <c r="F54987" s="2423"/>
    </row>
    <row r="54988" s="101" customFormat="1" spans="6:6">
      <c r="F54988" s="2423"/>
    </row>
    <row r="54989" s="101" customFormat="1" spans="6:6">
      <c r="F54989" s="2423"/>
    </row>
    <row r="54990" s="101" customFormat="1" spans="6:6">
      <c r="F54990" s="2423"/>
    </row>
    <row r="54991" s="101" customFormat="1" spans="6:6">
      <c r="F54991" s="2423"/>
    </row>
    <row r="54992" s="101" customFormat="1" spans="6:6">
      <c r="F54992" s="2423"/>
    </row>
    <row r="54993" s="101" customFormat="1" spans="6:6">
      <c r="F54993" s="2423"/>
    </row>
    <row r="54994" s="101" customFormat="1" spans="6:6">
      <c r="F54994" s="2423"/>
    </row>
    <row r="54995" s="101" customFormat="1" spans="6:6">
      <c r="F54995" s="2423"/>
    </row>
    <row r="54996" s="101" customFormat="1" spans="6:6">
      <c r="F54996" s="2423"/>
    </row>
    <row r="54997" s="101" customFormat="1" spans="6:6">
      <c r="F54997" s="2423"/>
    </row>
    <row r="54998" s="101" customFormat="1" spans="6:6">
      <c r="F54998" s="2423"/>
    </row>
    <row r="54999" s="101" customFormat="1" spans="6:6">
      <c r="F54999" s="2423"/>
    </row>
    <row r="55000" s="101" customFormat="1" spans="6:6">
      <c r="F55000" s="2423"/>
    </row>
    <row r="55001" s="101" customFormat="1" spans="6:6">
      <c r="F55001" s="2423"/>
    </row>
    <row r="55002" s="101" customFormat="1" spans="6:6">
      <c r="F55002" s="2423"/>
    </row>
    <row r="55003" s="101" customFormat="1" spans="6:6">
      <c r="F55003" s="2423"/>
    </row>
    <row r="55004" s="101" customFormat="1" spans="6:6">
      <c r="F55004" s="2423"/>
    </row>
    <row r="55005" s="101" customFormat="1" spans="6:6">
      <c r="F55005" s="2423"/>
    </row>
    <row r="55006" s="101" customFormat="1" spans="6:6">
      <c r="F55006" s="2423"/>
    </row>
    <row r="55007" s="101" customFormat="1" spans="6:6">
      <c r="F55007" s="2423"/>
    </row>
    <row r="55008" s="101" customFormat="1" spans="6:6">
      <c r="F55008" s="2423"/>
    </row>
    <row r="55009" s="101" customFormat="1" spans="6:6">
      <c r="F55009" s="2423"/>
    </row>
    <row r="55010" s="101" customFormat="1" spans="6:6">
      <c r="F55010" s="2423"/>
    </row>
    <row r="55011" s="101" customFormat="1" spans="6:6">
      <c r="F55011" s="2423"/>
    </row>
    <row r="55012" s="101" customFormat="1" spans="6:6">
      <c r="F55012" s="2423"/>
    </row>
    <row r="55013" s="101" customFormat="1" spans="6:6">
      <c r="F55013" s="2423"/>
    </row>
    <row r="55014" s="101" customFormat="1" spans="6:6">
      <c r="F55014" s="2423"/>
    </row>
    <row r="55015" s="101" customFormat="1" spans="6:6">
      <c r="F55015" s="2423"/>
    </row>
    <row r="55016" s="101" customFormat="1" spans="6:6">
      <c r="F55016" s="2423"/>
    </row>
    <row r="55017" s="101" customFormat="1" spans="6:6">
      <c r="F55017" s="2423"/>
    </row>
    <row r="55018" s="101" customFormat="1" spans="6:6">
      <c r="F55018" s="2423"/>
    </row>
    <row r="55019" s="101" customFormat="1" spans="6:6">
      <c r="F55019" s="2423"/>
    </row>
    <row r="55020" s="101" customFormat="1" spans="6:6">
      <c r="F55020" s="2423"/>
    </row>
    <row r="55021" s="101" customFormat="1" spans="6:6">
      <c r="F55021" s="2423"/>
    </row>
    <row r="55022" s="101" customFormat="1" spans="6:6">
      <c r="F55022" s="2423"/>
    </row>
    <row r="55023" s="101" customFormat="1" spans="6:6">
      <c r="F55023" s="2423"/>
    </row>
    <row r="55024" s="101" customFormat="1" spans="6:6">
      <c r="F55024" s="2423"/>
    </row>
    <row r="55025" s="101" customFormat="1" spans="6:6">
      <c r="F55025" s="2423"/>
    </row>
    <row r="55026" s="101" customFormat="1" spans="6:6">
      <c r="F55026" s="2423"/>
    </row>
    <row r="55027" s="101" customFormat="1" spans="6:6">
      <c r="F55027" s="2423"/>
    </row>
    <row r="55028" s="101" customFormat="1" spans="6:6">
      <c r="F55028" s="2423"/>
    </row>
    <row r="55029" s="101" customFormat="1" spans="6:6">
      <c r="F55029" s="2423"/>
    </row>
    <row r="55030" s="101" customFormat="1" spans="6:6">
      <c r="F55030" s="2423"/>
    </row>
    <row r="55031" s="101" customFormat="1" spans="6:6">
      <c r="F55031" s="2423"/>
    </row>
    <row r="55032" s="101" customFormat="1" spans="6:6">
      <c r="F55032" s="2423"/>
    </row>
    <row r="55033" s="101" customFormat="1" spans="6:6">
      <c r="F55033" s="2423"/>
    </row>
    <row r="55034" s="101" customFormat="1" spans="6:6">
      <c r="F55034" s="2423"/>
    </row>
    <row r="55035" s="101" customFormat="1" spans="6:6">
      <c r="F55035" s="2423"/>
    </row>
    <row r="55036" s="101" customFormat="1" spans="6:6">
      <c r="F55036" s="2423"/>
    </row>
    <row r="55037" s="101" customFormat="1" spans="6:6">
      <c r="F55037" s="2423"/>
    </row>
    <row r="55038" s="101" customFormat="1" spans="6:6">
      <c r="F55038" s="2423"/>
    </row>
    <row r="55039" s="101" customFormat="1" spans="6:6">
      <c r="F55039" s="2423"/>
    </row>
    <row r="55040" s="101" customFormat="1" spans="6:6">
      <c r="F55040" s="2423"/>
    </row>
    <row r="55041" s="101" customFormat="1" spans="6:6">
      <c r="F55041" s="2423"/>
    </row>
    <row r="55042" s="101" customFormat="1" spans="6:6">
      <c r="F55042" s="2423"/>
    </row>
    <row r="55043" s="101" customFormat="1" spans="6:6">
      <c r="F55043" s="2423"/>
    </row>
    <row r="55044" s="101" customFormat="1" spans="6:6">
      <c r="F55044" s="2423"/>
    </row>
    <row r="55045" s="101" customFormat="1" spans="6:6">
      <c r="F55045" s="2423"/>
    </row>
    <row r="55046" s="101" customFormat="1" spans="6:6">
      <c r="F55046" s="2423"/>
    </row>
    <row r="55047" s="101" customFormat="1" spans="6:6">
      <c r="F55047" s="2423"/>
    </row>
    <row r="55048" s="101" customFormat="1" spans="6:6">
      <c r="F55048" s="2423"/>
    </row>
    <row r="55049" s="101" customFormat="1" spans="6:6">
      <c r="F55049" s="2423"/>
    </row>
    <row r="55050" s="101" customFormat="1" spans="6:6">
      <c r="F55050" s="2423"/>
    </row>
    <row r="55051" s="101" customFormat="1" spans="6:6">
      <c r="F55051" s="2423"/>
    </row>
    <row r="55052" s="101" customFormat="1" spans="6:6">
      <c r="F55052" s="2423"/>
    </row>
    <row r="55053" s="101" customFormat="1" spans="6:6">
      <c r="F55053" s="2423"/>
    </row>
    <row r="55054" s="101" customFormat="1" spans="6:6">
      <c r="F55054" s="2423"/>
    </row>
    <row r="55055" s="101" customFormat="1" spans="6:6">
      <c r="F55055" s="2423"/>
    </row>
    <row r="55056" s="101" customFormat="1" spans="6:6">
      <c r="F55056" s="2423"/>
    </row>
    <row r="55057" s="101" customFormat="1" spans="6:6">
      <c r="F55057" s="2423"/>
    </row>
    <row r="55058" s="101" customFormat="1" spans="6:6">
      <c r="F55058" s="2423"/>
    </row>
    <row r="55059" s="101" customFormat="1" spans="6:6">
      <c r="F55059" s="2423"/>
    </row>
    <row r="55060" s="101" customFormat="1" spans="6:6">
      <c r="F55060" s="2423"/>
    </row>
    <row r="55061" s="101" customFormat="1" spans="6:6">
      <c r="F55061" s="2423"/>
    </row>
    <row r="55062" s="101" customFormat="1" spans="6:6">
      <c r="F55062" s="2423"/>
    </row>
    <row r="55063" s="101" customFormat="1" spans="6:6">
      <c r="F55063" s="2423"/>
    </row>
    <row r="55064" s="101" customFormat="1" spans="6:6">
      <c r="F55064" s="2423"/>
    </row>
    <row r="55065" s="101" customFormat="1" spans="6:6">
      <c r="F55065" s="2423"/>
    </row>
    <row r="55066" s="101" customFormat="1" spans="6:6">
      <c r="F55066" s="2423"/>
    </row>
    <row r="55067" s="101" customFormat="1" spans="6:6">
      <c r="F55067" s="2423"/>
    </row>
    <row r="55068" s="101" customFormat="1" spans="6:6">
      <c r="F55068" s="2423"/>
    </row>
    <row r="55069" s="101" customFormat="1" spans="6:6">
      <c r="F55069" s="2423"/>
    </row>
    <row r="55070" s="101" customFormat="1" spans="6:6">
      <c r="F55070" s="2423"/>
    </row>
    <row r="55071" s="101" customFormat="1" spans="6:6">
      <c r="F55071" s="2423"/>
    </row>
    <row r="55072" s="101" customFormat="1" spans="6:6">
      <c r="F55072" s="2423"/>
    </row>
    <row r="55073" s="101" customFormat="1" spans="6:6">
      <c r="F55073" s="2423"/>
    </row>
    <row r="55074" s="101" customFormat="1" spans="6:6">
      <c r="F55074" s="2423"/>
    </row>
    <row r="55075" s="101" customFormat="1" spans="6:6">
      <c r="F55075" s="2423"/>
    </row>
    <row r="55076" s="101" customFormat="1" spans="6:6">
      <c r="F55076" s="2423"/>
    </row>
    <row r="55077" s="101" customFormat="1" spans="6:6">
      <c r="F55077" s="2423"/>
    </row>
    <row r="55078" s="101" customFormat="1" spans="6:6">
      <c r="F55078" s="2423"/>
    </row>
    <row r="55079" s="101" customFormat="1" spans="6:6">
      <c r="F55079" s="2423"/>
    </row>
    <row r="55080" s="101" customFormat="1" spans="6:6">
      <c r="F55080" s="2423"/>
    </row>
    <row r="55081" s="101" customFormat="1" spans="6:6">
      <c r="F55081" s="2423"/>
    </row>
    <row r="55082" s="101" customFormat="1" spans="6:6">
      <c r="F55082" s="2423"/>
    </row>
    <row r="55083" s="101" customFormat="1" spans="6:6">
      <c r="F55083" s="2423"/>
    </row>
    <row r="55084" s="101" customFormat="1" spans="6:6">
      <c r="F55084" s="2423"/>
    </row>
    <row r="55085" s="101" customFormat="1" spans="6:6">
      <c r="F55085" s="2423"/>
    </row>
    <row r="55086" s="101" customFormat="1" spans="6:6">
      <c r="F55086" s="2423"/>
    </row>
    <row r="55087" s="101" customFormat="1" spans="6:6">
      <c r="F55087" s="2423"/>
    </row>
    <row r="55088" s="101" customFormat="1" spans="6:6">
      <c r="F55088" s="2423"/>
    </row>
    <row r="55089" s="101" customFormat="1" spans="6:6">
      <c r="F55089" s="2423"/>
    </row>
    <row r="55090" s="101" customFormat="1" spans="6:6">
      <c r="F55090" s="2423"/>
    </row>
    <row r="55091" s="101" customFormat="1" spans="6:6">
      <c r="F55091" s="2423"/>
    </row>
    <row r="55092" s="101" customFormat="1" spans="6:6">
      <c r="F55092" s="2423"/>
    </row>
    <row r="55093" s="101" customFormat="1" spans="6:6">
      <c r="F55093" s="2423"/>
    </row>
    <row r="55094" s="101" customFormat="1" spans="6:6">
      <c r="F55094" s="2423"/>
    </row>
    <row r="55095" s="101" customFormat="1" spans="6:6">
      <c r="F55095" s="2423"/>
    </row>
    <row r="55096" s="101" customFormat="1" spans="6:6">
      <c r="F55096" s="2423"/>
    </row>
    <row r="55097" s="101" customFormat="1" spans="6:6">
      <c r="F55097" s="2423"/>
    </row>
    <row r="55098" s="101" customFormat="1" spans="6:6">
      <c r="F55098" s="2423"/>
    </row>
    <row r="55099" s="101" customFormat="1" spans="6:6">
      <c r="F55099" s="2423"/>
    </row>
    <row r="55100" s="101" customFormat="1" spans="6:6">
      <c r="F55100" s="2423"/>
    </row>
    <row r="55101" s="101" customFormat="1" spans="6:6">
      <c r="F55101" s="2423"/>
    </row>
    <row r="55102" s="101" customFormat="1" spans="6:6">
      <c r="F55102" s="2423"/>
    </row>
    <row r="55103" s="101" customFormat="1" spans="6:6">
      <c r="F55103" s="2423"/>
    </row>
    <row r="55104" s="101" customFormat="1" spans="6:6">
      <c r="F55104" s="2423"/>
    </row>
    <row r="55105" s="101" customFormat="1" spans="6:6">
      <c r="F55105" s="2423"/>
    </row>
    <row r="55106" s="101" customFormat="1" spans="6:6">
      <c r="F55106" s="2423"/>
    </row>
    <row r="55107" s="101" customFormat="1" spans="6:6">
      <c r="F55107" s="2423"/>
    </row>
    <row r="55108" s="101" customFormat="1" spans="6:6">
      <c r="F55108" s="2423"/>
    </row>
    <row r="55109" s="101" customFormat="1" spans="6:6">
      <c r="F55109" s="2423"/>
    </row>
    <row r="55110" s="101" customFormat="1" spans="6:6">
      <c r="F55110" s="2423"/>
    </row>
    <row r="55111" s="101" customFormat="1" spans="6:6">
      <c r="F55111" s="2423"/>
    </row>
    <row r="55112" s="101" customFormat="1" spans="6:6">
      <c r="F55112" s="2423"/>
    </row>
    <row r="55113" s="101" customFormat="1" spans="6:6">
      <c r="F55113" s="2423"/>
    </row>
    <row r="55114" s="101" customFormat="1" spans="6:6">
      <c r="F55114" s="2423"/>
    </row>
    <row r="55115" s="101" customFormat="1" spans="6:6">
      <c r="F55115" s="2423"/>
    </row>
    <row r="55116" s="101" customFormat="1" spans="6:6">
      <c r="F55116" s="2423"/>
    </row>
    <row r="55117" s="101" customFormat="1" spans="6:6">
      <c r="F55117" s="2423"/>
    </row>
    <row r="55118" s="101" customFormat="1" spans="6:6">
      <c r="F55118" s="2423"/>
    </row>
    <row r="55119" s="101" customFormat="1" spans="6:6">
      <c r="F55119" s="2423"/>
    </row>
    <row r="55120" s="101" customFormat="1" spans="6:6">
      <c r="F55120" s="2423"/>
    </row>
    <row r="55121" s="101" customFormat="1" spans="6:6">
      <c r="F55121" s="2423"/>
    </row>
    <row r="55122" s="101" customFormat="1" spans="6:6">
      <c r="F55122" s="2423"/>
    </row>
    <row r="55123" s="101" customFormat="1" spans="6:6">
      <c r="F55123" s="2423"/>
    </row>
    <row r="55124" s="101" customFormat="1" spans="6:6">
      <c r="F55124" s="2423"/>
    </row>
    <row r="55125" s="101" customFormat="1" spans="6:6">
      <c r="F55125" s="2423"/>
    </row>
    <row r="55126" s="101" customFormat="1" spans="6:6">
      <c r="F55126" s="2423"/>
    </row>
    <row r="55127" s="101" customFormat="1" spans="6:6">
      <c r="F55127" s="2423"/>
    </row>
    <row r="55128" s="101" customFormat="1" spans="6:6">
      <c r="F55128" s="2423"/>
    </row>
    <row r="55129" s="101" customFormat="1" spans="6:6">
      <c r="F55129" s="2423"/>
    </row>
    <row r="55130" s="101" customFormat="1" spans="6:6">
      <c r="F55130" s="2423"/>
    </row>
    <row r="55131" s="101" customFormat="1" spans="6:6">
      <c r="F55131" s="2423"/>
    </row>
    <row r="55132" s="101" customFormat="1" spans="6:6">
      <c r="F55132" s="2423"/>
    </row>
    <row r="55133" s="101" customFormat="1" spans="6:6">
      <c r="F55133" s="2423"/>
    </row>
    <row r="55134" s="101" customFormat="1" spans="6:6">
      <c r="F55134" s="2423"/>
    </row>
    <row r="55135" s="101" customFormat="1" spans="6:6">
      <c r="F55135" s="2423"/>
    </row>
    <row r="55136" s="101" customFormat="1" spans="6:6">
      <c r="F55136" s="2423"/>
    </row>
    <row r="55137" s="101" customFormat="1" spans="6:6">
      <c r="F55137" s="2423"/>
    </row>
    <row r="55138" s="101" customFormat="1" spans="6:6">
      <c r="F55138" s="2423"/>
    </row>
    <row r="55139" s="101" customFormat="1" spans="6:6">
      <c r="F55139" s="2423"/>
    </row>
    <row r="55140" s="101" customFormat="1" spans="6:6">
      <c r="F55140" s="2423"/>
    </row>
    <row r="55141" s="101" customFormat="1" spans="6:6">
      <c r="F55141" s="2423"/>
    </row>
    <row r="55142" s="101" customFormat="1" spans="6:6">
      <c r="F55142" s="2423"/>
    </row>
    <row r="55143" s="101" customFormat="1" spans="6:6">
      <c r="F55143" s="2423"/>
    </row>
    <row r="55144" s="101" customFormat="1" spans="6:6">
      <c r="F55144" s="2423"/>
    </row>
    <row r="55145" s="101" customFormat="1" spans="6:6">
      <c r="F55145" s="2423"/>
    </row>
    <row r="55146" s="101" customFormat="1" spans="6:6">
      <c r="F55146" s="2423"/>
    </row>
    <row r="55147" s="101" customFormat="1" spans="6:6">
      <c r="F55147" s="2423"/>
    </row>
    <row r="55148" s="101" customFormat="1" spans="6:6">
      <c r="F55148" s="2423"/>
    </row>
    <row r="55149" s="101" customFormat="1" spans="6:6">
      <c r="F55149" s="2423"/>
    </row>
    <row r="55150" s="101" customFormat="1" spans="6:6">
      <c r="F55150" s="2423"/>
    </row>
    <row r="55151" s="101" customFormat="1" spans="6:6">
      <c r="F55151" s="2423"/>
    </row>
    <row r="55152" s="101" customFormat="1" spans="6:6">
      <c r="F55152" s="2423"/>
    </row>
    <row r="55153" s="101" customFormat="1" spans="6:6">
      <c r="F55153" s="2423"/>
    </row>
    <row r="55154" s="101" customFormat="1" spans="6:6">
      <c r="F55154" s="2423"/>
    </row>
    <row r="55155" s="101" customFormat="1" spans="6:6">
      <c r="F55155" s="2423"/>
    </row>
    <row r="55156" s="101" customFormat="1" spans="6:6">
      <c r="F55156" s="2423"/>
    </row>
    <row r="55157" s="101" customFormat="1" spans="6:6">
      <c r="F55157" s="2423"/>
    </row>
    <row r="55158" s="101" customFormat="1" spans="6:6">
      <c r="F55158" s="2423"/>
    </row>
    <row r="55159" s="101" customFormat="1" spans="6:6">
      <c r="F55159" s="2423"/>
    </row>
    <row r="55160" s="101" customFormat="1" spans="6:6">
      <c r="F55160" s="2423"/>
    </row>
    <row r="55161" s="101" customFormat="1" spans="6:6">
      <c r="F55161" s="2423"/>
    </row>
    <row r="55162" s="101" customFormat="1" spans="6:6">
      <c r="F55162" s="2423"/>
    </row>
    <row r="55163" s="101" customFormat="1" spans="6:6">
      <c r="F55163" s="2423"/>
    </row>
    <row r="55164" s="101" customFormat="1" spans="6:6">
      <c r="F55164" s="2423"/>
    </row>
    <row r="55165" s="101" customFormat="1" spans="6:6">
      <c r="F55165" s="2423"/>
    </row>
    <row r="55166" s="101" customFormat="1" spans="6:6">
      <c r="F55166" s="2423"/>
    </row>
    <row r="55167" s="101" customFormat="1" spans="6:6">
      <c r="F55167" s="2423"/>
    </row>
    <row r="55168" s="101" customFormat="1" spans="6:6">
      <c r="F55168" s="2423"/>
    </row>
    <row r="55169" s="101" customFormat="1" spans="6:6">
      <c r="F55169" s="2423"/>
    </row>
    <row r="55170" s="101" customFormat="1" spans="6:6">
      <c r="F55170" s="2423"/>
    </row>
    <row r="55171" s="101" customFormat="1" spans="6:6">
      <c r="F55171" s="2423"/>
    </row>
    <row r="55172" s="101" customFormat="1" spans="6:6">
      <c r="F55172" s="2423"/>
    </row>
    <row r="55173" s="101" customFormat="1" spans="6:6">
      <c r="F55173" s="2423"/>
    </row>
    <row r="55174" s="101" customFormat="1" spans="6:6">
      <c r="F55174" s="2423"/>
    </row>
    <row r="55175" s="101" customFormat="1" spans="6:6">
      <c r="F55175" s="2423"/>
    </row>
    <row r="55176" s="101" customFormat="1" spans="6:6">
      <c r="F55176" s="2423"/>
    </row>
    <row r="55177" s="101" customFormat="1" spans="6:6">
      <c r="F55177" s="2423"/>
    </row>
    <row r="55178" s="101" customFormat="1" spans="6:6">
      <c r="F55178" s="2423"/>
    </row>
    <row r="55179" s="101" customFormat="1" spans="6:6">
      <c r="F55179" s="2423"/>
    </row>
    <row r="55180" s="101" customFormat="1" spans="6:6">
      <c r="F55180" s="2423"/>
    </row>
    <row r="55181" s="101" customFormat="1" spans="6:6">
      <c r="F55181" s="2423"/>
    </row>
    <row r="55182" s="101" customFormat="1" spans="6:6">
      <c r="F55182" s="2423"/>
    </row>
    <row r="55183" s="101" customFormat="1" spans="6:6">
      <c r="F55183" s="2423"/>
    </row>
    <row r="55184" s="101" customFormat="1" spans="6:6">
      <c r="F55184" s="2423"/>
    </row>
    <row r="55185" s="101" customFormat="1" spans="6:6">
      <c r="F55185" s="2423"/>
    </row>
    <row r="55186" s="101" customFormat="1" spans="6:6">
      <c r="F55186" s="2423"/>
    </row>
    <row r="55187" s="101" customFormat="1" spans="6:6">
      <c r="F55187" s="2423"/>
    </row>
    <row r="55188" s="101" customFormat="1" spans="6:6">
      <c r="F55188" s="2423"/>
    </row>
    <row r="55189" s="101" customFormat="1" spans="6:6">
      <c r="F55189" s="2423"/>
    </row>
    <row r="55190" s="101" customFormat="1" spans="6:6">
      <c r="F55190" s="2423"/>
    </row>
    <row r="55191" s="101" customFormat="1" spans="6:6">
      <c r="F55191" s="2423"/>
    </row>
    <row r="55192" s="101" customFormat="1" spans="6:6">
      <c r="F55192" s="2423"/>
    </row>
    <row r="55193" s="101" customFormat="1" spans="6:6">
      <c r="F55193" s="2423"/>
    </row>
    <row r="55194" s="101" customFormat="1" spans="6:6">
      <c r="F55194" s="2423"/>
    </row>
    <row r="55195" s="101" customFormat="1" spans="6:6">
      <c r="F55195" s="2423"/>
    </row>
    <row r="55196" s="101" customFormat="1" spans="6:6">
      <c r="F55196" s="2423"/>
    </row>
    <row r="55197" s="101" customFormat="1" spans="6:6">
      <c r="F55197" s="2423"/>
    </row>
    <row r="55198" s="101" customFormat="1" spans="6:6">
      <c r="F55198" s="2423"/>
    </row>
    <row r="55199" s="101" customFormat="1" spans="6:6">
      <c r="F55199" s="2423"/>
    </row>
    <row r="55200" s="101" customFormat="1" spans="6:6">
      <c r="F55200" s="2423"/>
    </row>
    <row r="55201" s="101" customFormat="1" spans="6:6">
      <c r="F55201" s="2423"/>
    </row>
    <row r="55202" s="101" customFormat="1" spans="6:6">
      <c r="F55202" s="2423"/>
    </row>
    <row r="55203" s="101" customFormat="1" spans="6:6">
      <c r="F55203" s="2423"/>
    </row>
    <row r="55204" s="101" customFormat="1" spans="6:6">
      <c r="F55204" s="2423"/>
    </row>
    <row r="55205" s="101" customFormat="1" spans="6:6">
      <c r="F55205" s="2423"/>
    </row>
    <row r="55206" s="101" customFormat="1" spans="6:6">
      <c r="F55206" s="2423"/>
    </row>
    <row r="55207" s="101" customFormat="1" spans="6:6">
      <c r="F55207" s="2423"/>
    </row>
    <row r="55208" s="101" customFormat="1" spans="6:6">
      <c r="F55208" s="2423"/>
    </row>
    <row r="55209" s="101" customFormat="1" spans="6:6">
      <c r="F55209" s="2423"/>
    </row>
    <row r="55210" s="101" customFormat="1" spans="6:6">
      <c r="F55210" s="2423"/>
    </row>
    <row r="55211" s="101" customFormat="1" spans="6:6">
      <c r="F55211" s="2423"/>
    </row>
    <row r="55212" s="101" customFormat="1" spans="6:6">
      <c r="F55212" s="2423"/>
    </row>
    <row r="55213" s="101" customFormat="1" spans="6:6">
      <c r="F55213" s="2423"/>
    </row>
    <row r="55214" s="101" customFormat="1" spans="6:6">
      <c r="F55214" s="2423"/>
    </row>
    <row r="55215" s="101" customFormat="1" spans="6:6">
      <c r="F55215" s="2423"/>
    </row>
    <row r="55216" s="101" customFormat="1" spans="6:6">
      <c r="F55216" s="2423"/>
    </row>
    <row r="55217" s="101" customFormat="1" spans="6:6">
      <c r="F55217" s="2423"/>
    </row>
    <row r="55218" s="101" customFormat="1" spans="6:6">
      <c r="F55218" s="2423"/>
    </row>
    <row r="55219" s="101" customFormat="1" spans="6:6">
      <c r="F55219" s="2423"/>
    </row>
    <row r="55220" s="101" customFormat="1" spans="6:6">
      <c r="F55220" s="2423"/>
    </row>
    <row r="55221" s="101" customFormat="1" spans="6:6">
      <c r="F55221" s="2423"/>
    </row>
    <row r="55222" s="101" customFormat="1" spans="6:6">
      <c r="F55222" s="2423"/>
    </row>
    <row r="55223" s="101" customFormat="1" spans="6:6">
      <c r="F55223" s="2423"/>
    </row>
    <row r="55224" s="101" customFormat="1" spans="6:6">
      <c r="F55224" s="2423"/>
    </row>
    <row r="55225" s="101" customFormat="1" spans="6:6">
      <c r="F55225" s="2423"/>
    </row>
    <row r="55226" s="101" customFormat="1" spans="6:6">
      <c r="F55226" s="2423"/>
    </row>
    <row r="55227" s="101" customFormat="1" spans="6:6">
      <c r="F55227" s="2423"/>
    </row>
    <row r="55228" s="101" customFormat="1" spans="6:6">
      <c r="F55228" s="2423"/>
    </row>
    <row r="55229" s="101" customFormat="1" spans="6:6">
      <c r="F55229" s="2423"/>
    </row>
    <row r="55230" s="101" customFormat="1" spans="6:6">
      <c r="F55230" s="2423"/>
    </row>
    <row r="55231" s="101" customFormat="1" spans="6:6">
      <c r="F55231" s="2423"/>
    </row>
    <row r="55232" s="101" customFormat="1" spans="6:6">
      <c r="F55232" s="2423"/>
    </row>
    <row r="55233" s="101" customFormat="1" spans="6:6">
      <c r="F55233" s="2423"/>
    </row>
    <row r="55234" s="101" customFormat="1" spans="6:6">
      <c r="F55234" s="2423"/>
    </row>
    <row r="55235" s="101" customFormat="1" spans="6:6">
      <c r="F55235" s="2423"/>
    </row>
    <row r="55236" s="101" customFormat="1" spans="6:6">
      <c r="F55236" s="2423"/>
    </row>
    <row r="55237" s="101" customFormat="1" spans="6:6">
      <c r="F55237" s="2423"/>
    </row>
    <row r="55238" s="101" customFormat="1" spans="6:6">
      <c r="F55238" s="2423"/>
    </row>
    <row r="55239" s="101" customFormat="1" spans="6:6">
      <c r="F55239" s="2423"/>
    </row>
    <row r="55240" s="101" customFormat="1" spans="6:6">
      <c r="F55240" s="2423"/>
    </row>
    <row r="55241" s="101" customFormat="1" spans="6:6">
      <c r="F55241" s="2423"/>
    </row>
    <row r="55242" s="101" customFormat="1" spans="6:6">
      <c r="F55242" s="2423"/>
    </row>
    <row r="55243" s="101" customFormat="1" spans="6:6">
      <c r="F55243" s="2423"/>
    </row>
    <row r="55244" s="101" customFormat="1" spans="6:6">
      <c r="F55244" s="2423"/>
    </row>
    <row r="55245" s="101" customFormat="1" spans="6:6">
      <c r="F55245" s="2423"/>
    </row>
    <row r="55246" s="101" customFormat="1" spans="6:6">
      <c r="F55246" s="2423"/>
    </row>
    <row r="55247" s="101" customFormat="1" spans="6:6">
      <c r="F55247" s="2423"/>
    </row>
    <row r="55248" s="101" customFormat="1" spans="6:6">
      <c r="F55248" s="2423"/>
    </row>
    <row r="55249" s="101" customFormat="1" spans="6:6">
      <c r="F55249" s="2423"/>
    </row>
    <row r="55250" s="101" customFormat="1" spans="6:6">
      <c r="F55250" s="2423"/>
    </row>
    <row r="55251" s="101" customFormat="1" spans="6:6">
      <c r="F55251" s="2423"/>
    </row>
    <row r="55252" s="101" customFormat="1" spans="6:6">
      <c r="F55252" s="2423"/>
    </row>
    <row r="55253" s="101" customFormat="1" spans="6:6">
      <c r="F55253" s="2423"/>
    </row>
    <row r="55254" s="101" customFormat="1" spans="6:6">
      <c r="F55254" s="2423"/>
    </row>
    <row r="55255" s="101" customFormat="1" spans="6:6">
      <c r="F55255" s="2423"/>
    </row>
    <row r="55256" s="101" customFormat="1" spans="6:6">
      <c r="F55256" s="2423"/>
    </row>
    <row r="55257" s="101" customFormat="1" spans="6:6">
      <c r="F55257" s="2423"/>
    </row>
    <row r="55258" s="101" customFormat="1" spans="6:6">
      <c r="F55258" s="2423"/>
    </row>
    <row r="55259" s="101" customFormat="1" spans="6:6">
      <c r="F55259" s="2423"/>
    </row>
    <row r="55260" s="101" customFormat="1" spans="6:6">
      <c r="F55260" s="2423"/>
    </row>
    <row r="55261" s="101" customFormat="1" spans="6:6">
      <c r="F55261" s="2423"/>
    </row>
    <row r="55262" s="101" customFormat="1" spans="6:6">
      <c r="F55262" s="2423"/>
    </row>
    <row r="55263" s="101" customFormat="1" spans="6:6">
      <c r="F55263" s="2423"/>
    </row>
    <row r="55264" s="101" customFormat="1" spans="6:6">
      <c r="F55264" s="2423"/>
    </row>
    <row r="55265" s="101" customFormat="1" spans="6:6">
      <c r="F55265" s="2423"/>
    </row>
    <row r="55266" s="101" customFormat="1" spans="6:6">
      <c r="F55266" s="2423"/>
    </row>
    <row r="55267" s="101" customFormat="1" spans="6:6">
      <c r="F55267" s="2423"/>
    </row>
    <row r="55268" s="101" customFormat="1" spans="6:6">
      <c r="F55268" s="2423"/>
    </row>
    <row r="55269" s="101" customFormat="1" spans="6:6">
      <c r="F55269" s="2423"/>
    </row>
    <row r="55270" s="101" customFormat="1" spans="6:6">
      <c r="F55270" s="2423"/>
    </row>
    <row r="55271" s="101" customFormat="1" spans="6:6">
      <c r="F55271" s="2423"/>
    </row>
    <row r="55272" s="101" customFormat="1" spans="6:6">
      <c r="F55272" s="2423"/>
    </row>
    <row r="55273" s="101" customFormat="1" spans="6:6">
      <c r="F55273" s="2423"/>
    </row>
    <row r="55274" s="101" customFormat="1" spans="6:6">
      <c r="F55274" s="2423"/>
    </row>
    <row r="55275" s="101" customFormat="1" spans="6:6">
      <c r="F55275" s="2423"/>
    </row>
    <row r="55276" s="101" customFormat="1" spans="6:6">
      <c r="F55276" s="2423"/>
    </row>
    <row r="55277" s="101" customFormat="1" spans="6:6">
      <c r="F55277" s="2423"/>
    </row>
    <row r="55278" s="101" customFormat="1" spans="6:6">
      <c r="F55278" s="2423"/>
    </row>
    <row r="55279" s="101" customFormat="1" spans="6:6">
      <c r="F55279" s="2423"/>
    </row>
    <row r="55280" s="101" customFormat="1" spans="6:6">
      <c r="F55280" s="2423"/>
    </row>
    <row r="55281" s="101" customFormat="1" spans="6:6">
      <c r="F55281" s="2423"/>
    </row>
    <row r="55282" s="101" customFormat="1" spans="6:6">
      <c r="F55282" s="2423"/>
    </row>
    <row r="55283" s="101" customFormat="1" spans="6:6">
      <c r="F55283" s="2423"/>
    </row>
    <row r="55284" s="101" customFormat="1" spans="6:6">
      <c r="F55284" s="2423"/>
    </row>
    <row r="55285" s="101" customFormat="1" spans="6:6">
      <c r="F55285" s="2423"/>
    </row>
    <row r="55286" s="101" customFormat="1" spans="6:6">
      <c r="F55286" s="2423"/>
    </row>
    <row r="55287" s="101" customFormat="1" spans="6:6">
      <c r="F55287" s="2423"/>
    </row>
    <row r="55288" s="101" customFormat="1" spans="6:6">
      <c r="F55288" s="2423"/>
    </row>
    <row r="55289" s="101" customFormat="1" spans="6:6">
      <c r="F55289" s="2423"/>
    </row>
    <row r="55290" s="101" customFormat="1" spans="6:6">
      <c r="F55290" s="2423"/>
    </row>
    <row r="55291" s="101" customFormat="1" spans="6:6">
      <c r="F55291" s="2423"/>
    </row>
    <row r="55292" s="101" customFormat="1" spans="6:6">
      <c r="F55292" s="2423"/>
    </row>
    <row r="55293" s="101" customFormat="1" spans="6:6">
      <c r="F55293" s="2423"/>
    </row>
    <row r="55294" s="101" customFormat="1" spans="6:6">
      <c r="F55294" s="2423"/>
    </row>
    <row r="55295" s="101" customFormat="1" spans="6:6">
      <c r="F55295" s="2423"/>
    </row>
    <row r="55296" s="101" customFormat="1" spans="6:6">
      <c r="F55296" s="2423"/>
    </row>
    <row r="55297" s="101" customFormat="1" spans="6:6">
      <c r="F55297" s="2423"/>
    </row>
    <row r="55298" s="101" customFormat="1" spans="6:6">
      <c r="F55298" s="2423"/>
    </row>
    <row r="55299" s="101" customFormat="1" spans="6:6">
      <c r="F55299" s="2423"/>
    </row>
    <row r="55300" s="101" customFormat="1" spans="6:6">
      <c r="F55300" s="2423"/>
    </row>
    <row r="55301" s="101" customFormat="1" spans="6:6">
      <c r="F55301" s="2423"/>
    </row>
    <row r="55302" s="101" customFormat="1" spans="6:6">
      <c r="F55302" s="2423"/>
    </row>
    <row r="55303" s="101" customFormat="1" spans="6:6">
      <c r="F55303" s="2423"/>
    </row>
    <row r="55304" s="101" customFormat="1" spans="6:6">
      <c r="F55304" s="2423"/>
    </row>
    <row r="55305" s="101" customFormat="1" spans="6:6">
      <c r="F55305" s="2423"/>
    </row>
    <row r="55306" s="101" customFormat="1" spans="6:6">
      <c r="F55306" s="2423"/>
    </row>
    <row r="55307" s="101" customFormat="1" spans="6:6">
      <c r="F55307" s="2423"/>
    </row>
    <row r="55308" s="101" customFormat="1" spans="6:6">
      <c r="F55308" s="2423"/>
    </row>
    <row r="55309" s="101" customFormat="1" spans="6:6">
      <c r="F55309" s="2423"/>
    </row>
    <row r="55310" s="101" customFormat="1" spans="6:6">
      <c r="F55310" s="2423"/>
    </row>
    <row r="55311" s="101" customFormat="1" spans="6:6">
      <c r="F55311" s="2423"/>
    </row>
    <row r="55312" s="101" customFormat="1" spans="6:6">
      <c r="F55312" s="2423"/>
    </row>
    <row r="55313" s="101" customFormat="1" spans="6:6">
      <c r="F55313" s="2423"/>
    </row>
    <row r="55314" s="101" customFormat="1" spans="6:6">
      <c r="F55314" s="2423"/>
    </row>
    <row r="55315" s="101" customFormat="1" spans="6:6">
      <c r="F55315" s="2423"/>
    </row>
    <row r="55316" s="101" customFormat="1" spans="6:6">
      <c r="F55316" s="2423"/>
    </row>
    <row r="55317" s="101" customFormat="1" spans="6:6">
      <c r="F55317" s="2423"/>
    </row>
    <row r="55318" s="101" customFormat="1" spans="6:6">
      <c r="F55318" s="2423"/>
    </row>
    <row r="55319" s="101" customFormat="1" spans="6:6">
      <c r="F55319" s="2423"/>
    </row>
    <row r="55320" s="101" customFormat="1" spans="6:6">
      <c r="F55320" s="2423"/>
    </row>
    <row r="55321" s="101" customFormat="1" spans="6:6">
      <c r="F55321" s="2423"/>
    </row>
    <row r="55322" s="101" customFormat="1" spans="6:6">
      <c r="F55322" s="2423"/>
    </row>
    <row r="55323" s="101" customFormat="1" spans="6:6">
      <c r="F55323" s="2423"/>
    </row>
    <row r="55324" s="101" customFormat="1" spans="6:6">
      <c r="F55324" s="2423"/>
    </row>
    <row r="55325" s="101" customFormat="1" spans="6:6">
      <c r="F55325" s="2423"/>
    </row>
    <row r="55326" s="101" customFormat="1" spans="6:6">
      <c r="F55326" s="2423"/>
    </row>
    <row r="55327" s="101" customFormat="1" spans="6:6">
      <c r="F55327" s="2423"/>
    </row>
    <row r="55328" s="101" customFormat="1" spans="6:6">
      <c r="F55328" s="2423"/>
    </row>
    <row r="55329" s="101" customFormat="1" spans="6:6">
      <c r="F55329" s="2423"/>
    </row>
    <row r="55330" s="101" customFormat="1" spans="6:6">
      <c r="F55330" s="2423"/>
    </row>
    <row r="55331" s="101" customFormat="1" spans="6:6">
      <c r="F55331" s="2423"/>
    </row>
    <row r="55332" s="101" customFormat="1" spans="6:6">
      <c r="F55332" s="2423"/>
    </row>
    <row r="55333" s="101" customFormat="1" spans="6:6">
      <c r="F55333" s="2423"/>
    </row>
    <row r="55334" s="101" customFormat="1" spans="6:6">
      <c r="F55334" s="2423"/>
    </row>
    <row r="55335" s="101" customFormat="1" spans="6:6">
      <c r="F55335" s="2423"/>
    </row>
    <row r="55336" s="101" customFormat="1" spans="6:6">
      <c r="F55336" s="2423"/>
    </row>
    <row r="55337" s="101" customFormat="1" spans="6:6">
      <c r="F55337" s="2423"/>
    </row>
    <row r="55338" s="101" customFormat="1" spans="6:6">
      <c r="F55338" s="2423"/>
    </row>
    <row r="55339" s="101" customFormat="1" spans="6:6">
      <c r="F55339" s="2423"/>
    </row>
    <row r="55340" s="101" customFormat="1" spans="6:6">
      <c r="F55340" s="2423"/>
    </row>
    <row r="55341" s="101" customFormat="1" spans="6:6">
      <c r="F55341" s="2423"/>
    </row>
    <row r="55342" s="101" customFormat="1" spans="6:6">
      <c r="F55342" s="2423"/>
    </row>
    <row r="55343" s="101" customFormat="1" spans="6:6">
      <c r="F55343" s="2423"/>
    </row>
    <row r="55344" s="101" customFormat="1" spans="6:6">
      <c r="F55344" s="2423"/>
    </row>
    <row r="55345" s="101" customFormat="1" spans="6:6">
      <c r="F55345" s="2423"/>
    </row>
    <row r="55346" s="101" customFormat="1" spans="6:6">
      <c r="F55346" s="2423"/>
    </row>
    <row r="55347" s="101" customFormat="1" spans="6:6">
      <c r="F55347" s="2423"/>
    </row>
    <row r="55348" s="101" customFormat="1" spans="6:6">
      <c r="F55348" s="2423"/>
    </row>
    <row r="55349" s="101" customFormat="1" spans="6:6">
      <c r="F55349" s="2423"/>
    </row>
    <row r="55350" s="101" customFormat="1" spans="6:6">
      <c r="F55350" s="2423"/>
    </row>
    <row r="55351" s="101" customFormat="1" spans="6:6">
      <c r="F55351" s="2423"/>
    </row>
    <row r="55352" s="101" customFormat="1" spans="6:6">
      <c r="F55352" s="2423"/>
    </row>
    <row r="55353" s="101" customFormat="1" spans="6:6">
      <c r="F55353" s="2423"/>
    </row>
    <row r="55354" s="101" customFormat="1" spans="6:6">
      <c r="F55354" s="2423"/>
    </row>
    <row r="55355" s="101" customFormat="1" spans="6:6">
      <c r="F55355" s="2423"/>
    </row>
    <row r="55356" s="101" customFormat="1" spans="6:6">
      <c r="F55356" s="2423"/>
    </row>
    <row r="55357" s="101" customFormat="1" spans="6:6">
      <c r="F55357" s="2423"/>
    </row>
    <row r="55358" s="101" customFormat="1" spans="6:6">
      <c r="F55358" s="2423"/>
    </row>
    <row r="55359" s="101" customFormat="1" spans="6:6">
      <c r="F55359" s="2423"/>
    </row>
    <row r="55360" s="101" customFormat="1" spans="6:6">
      <c r="F55360" s="2423"/>
    </row>
    <row r="55361" s="101" customFormat="1" spans="6:6">
      <c r="F55361" s="2423"/>
    </row>
    <row r="55362" s="101" customFormat="1" spans="6:6">
      <c r="F55362" s="2423"/>
    </row>
    <row r="55363" s="101" customFormat="1" spans="6:6">
      <c r="F55363" s="2423"/>
    </row>
    <row r="55364" s="101" customFormat="1" spans="6:6">
      <c r="F55364" s="2423"/>
    </row>
    <row r="55365" s="101" customFormat="1" spans="6:6">
      <c r="F55365" s="2423"/>
    </row>
    <row r="55366" s="101" customFormat="1" spans="6:6">
      <c r="F55366" s="2423"/>
    </row>
    <row r="55367" s="101" customFormat="1" spans="6:6">
      <c r="F55367" s="2423"/>
    </row>
    <row r="55368" s="101" customFormat="1" spans="6:6">
      <c r="F55368" s="2423"/>
    </row>
    <row r="55369" s="101" customFormat="1" spans="6:6">
      <c r="F55369" s="2423"/>
    </row>
    <row r="55370" s="101" customFormat="1" spans="6:6">
      <c r="F55370" s="2423"/>
    </row>
    <row r="55371" s="101" customFormat="1" spans="6:6">
      <c r="F55371" s="2423"/>
    </row>
    <row r="55372" s="101" customFormat="1" spans="6:6">
      <c r="F55372" s="2423"/>
    </row>
    <row r="55373" s="101" customFormat="1" spans="6:6">
      <c r="F55373" s="2423"/>
    </row>
    <row r="55374" s="101" customFormat="1" spans="6:6">
      <c r="F55374" s="2423"/>
    </row>
    <row r="55375" s="101" customFormat="1" spans="6:6">
      <c r="F55375" s="2423"/>
    </row>
    <row r="55376" s="101" customFormat="1" spans="6:6">
      <c r="F55376" s="2423"/>
    </row>
    <row r="55377" s="101" customFormat="1" spans="6:6">
      <c r="F55377" s="2423"/>
    </row>
    <row r="55378" s="101" customFormat="1" spans="6:6">
      <c r="F55378" s="2423"/>
    </row>
    <row r="55379" s="101" customFormat="1" spans="6:6">
      <c r="F55379" s="2423"/>
    </row>
    <row r="55380" s="101" customFormat="1" spans="6:6">
      <c r="F55380" s="2423"/>
    </row>
    <row r="55381" s="101" customFormat="1" spans="6:6">
      <c r="F55381" s="2423"/>
    </row>
    <row r="55382" s="101" customFormat="1" spans="6:6">
      <c r="F55382" s="2423"/>
    </row>
    <row r="55383" s="101" customFormat="1" spans="6:6">
      <c r="F55383" s="2423"/>
    </row>
    <row r="55384" s="101" customFormat="1" spans="6:6">
      <c r="F55384" s="2423"/>
    </row>
    <row r="55385" s="101" customFormat="1" spans="6:6">
      <c r="F55385" s="2423"/>
    </row>
    <row r="55386" s="101" customFormat="1" spans="6:6">
      <c r="F55386" s="2423"/>
    </row>
    <row r="55387" s="101" customFormat="1" spans="6:6">
      <c r="F55387" s="2423"/>
    </row>
    <row r="55388" s="101" customFormat="1" spans="6:6">
      <c r="F55388" s="2423"/>
    </row>
    <row r="55389" s="101" customFormat="1" spans="6:6">
      <c r="F55389" s="2423"/>
    </row>
    <row r="55390" s="101" customFormat="1" spans="6:6">
      <c r="F55390" s="2423"/>
    </row>
    <row r="55391" s="101" customFormat="1" spans="6:6">
      <c r="F55391" s="2423"/>
    </row>
    <row r="55392" s="101" customFormat="1" spans="6:6">
      <c r="F55392" s="2423"/>
    </row>
    <row r="55393" s="101" customFormat="1" spans="6:6">
      <c r="F55393" s="2423"/>
    </row>
    <row r="55394" s="101" customFormat="1" spans="6:6">
      <c r="F55394" s="2423"/>
    </row>
    <row r="55395" s="101" customFormat="1" spans="6:6">
      <c r="F55395" s="2423"/>
    </row>
    <row r="55396" s="101" customFormat="1" spans="6:6">
      <c r="F55396" s="2423"/>
    </row>
    <row r="55397" s="101" customFormat="1" spans="6:6">
      <c r="F55397" s="2423"/>
    </row>
    <row r="55398" s="101" customFormat="1" spans="6:6">
      <c r="F55398" s="2423"/>
    </row>
    <row r="55399" s="101" customFormat="1" spans="6:6">
      <c r="F55399" s="2423"/>
    </row>
    <row r="55400" s="101" customFormat="1" spans="6:6">
      <c r="F55400" s="2423"/>
    </row>
    <row r="55401" s="101" customFormat="1" spans="6:6">
      <c r="F55401" s="2423"/>
    </row>
    <row r="55402" s="101" customFormat="1" spans="6:6">
      <c r="F55402" s="2423"/>
    </row>
    <row r="55403" s="101" customFormat="1" spans="6:6">
      <c r="F55403" s="2423"/>
    </row>
    <row r="55404" s="101" customFormat="1" spans="6:6">
      <c r="F55404" s="2423"/>
    </row>
    <row r="55405" s="101" customFormat="1" spans="6:6">
      <c r="F55405" s="2423"/>
    </row>
    <row r="55406" s="101" customFormat="1" spans="6:6">
      <c r="F55406" s="2423"/>
    </row>
    <row r="55407" s="101" customFormat="1" spans="6:6">
      <c r="F55407" s="2423"/>
    </row>
    <row r="55408" s="101" customFormat="1" spans="6:6">
      <c r="F55408" s="2423"/>
    </row>
    <row r="55409" s="101" customFormat="1" spans="6:6">
      <c r="F55409" s="2423"/>
    </row>
    <row r="55410" s="101" customFormat="1" spans="6:6">
      <c r="F55410" s="2423"/>
    </row>
    <row r="55411" s="101" customFormat="1" spans="6:6">
      <c r="F55411" s="2423"/>
    </row>
    <row r="55412" s="101" customFormat="1" spans="6:6">
      <c r="F55412" s="2423"/>
    </row>
    <row r="55413" s="101" customFormat="1" spans="6:6">
      <c r="F55413" s="2423"/>
    </row>
    <row r="55414" s="101" customFormat="1" spans="6:6">
      <c r="F55414" s="2423"/>
    </row>
    <row r="55415" s="101" customFormat="1" spans="6:6">
      <c r="F55415" s="2423"/>
    </row>
    <row r="55416" s="101" customFormat="1" spans="6:6">
      <c r="F55416" s="2423"/>
    </row>
    <row r="55417" s="101" customFormat="1" spans="6:6">
      <c r="F55417" s="2423"/>
    </row>
    <row r="55418" s="101" customFormat="1" spans="6:6">
      <c r="F55418" s="2423"/>
    </row>
    <row r="55419" s="101" customFormat="1" spans="6:6">
      <c r="F55419" s="2423"/>
    </row>
    <row r="55420" s="101" customFormat="1" spans="6:6">
      <c r="F55420" s="2423"/>
    </row>
    <row r="55421" s="101" customFormat="1" spans="6:6">
      <c r="F55421" s="2423"/>
    </row>
    <row r="55422" s="101" customFormat="1" spans="6:6">
      <c r="F55422" s="2423"/>
    </row>
    <row r="55423" s="101" customFormat="1" spans="6:6">
      <c r="F55423" s="2423"/>
    </row>
    <row r="55424" s="101" customFormat="1" spans="6:6">
      <c r="F55424" s="2423"/>
    </row>
    <row r="55425" s="101" customFormat="1" spans="6:6">
      <c r="F55425" s="2423"/>
    </row>
    <row r="55426" s="101" customFormat="1" spans="6:6">
      <c r="F55426" s="2423"/>
    </row>
    <row r="55427" s="101" customFormat="1" spans="6:6">
      <c r="F55427" s="2423"/>
    </row>
    <row r="55428" s="101" customFormat="1" spans="6:6">
      <c r="F55428" s="2423"/>
    </row>
    <row r="55429" s="101" customFormat="1" spans="6:6">
      <c r="F55429" s="2423"/>
    </row>
    <row r="55430" s="101" customFormat="1" spans="6:6">
      <c r="F55430" s="2423"/>
    </row>
    <row r="55431" s="101" customFormat="1" spans="6:6">
      <c r="F55431" s="2423"/>
    </row>
    <row r="55432" s="101" customFormat="1" spans="6:6">
      <c r="F55432" s="2423"/>
    </row>
    <row r="55433" s="101" customFormat="1" spans="6:6">
      <c r="F55433" s="2423"/>
    </row>
    <row r="55434" s="101" customFormat="1" spans="6:6">
      <c r="F55434" s="2423"/>
    </row>
    <row r="55435" s="101" customFormat="1" spans="6:6">
      <c r="F55435" s="2423"/>
    </row>
    <row r="55436" s="101" customFormat="1" spans="6:6">
      <c r="F55436" s="2423"/>
    </row>
    <row r="55437" s="101" customFormat="1" spans="6:6">
      <c r="F55437" s="2423"/>
    </row>
    <row r="55438" s="101" customFormat="1" spans="6:6">
      <c r="F55438" s="2423"/>
    </row>
    <row r="55439" s="101" customFormat="1" spans="6:6">
      <c r="F55439" s="2423"/>
    </row>
    <row r="55440" s="101" customFormat="1" spans="6:6">
      <c r="F55440" s="2423"/>
    </row>
    <row r="55441" s="101" customFormat="1" spans="6:6">
      <c r="F55441" s="2423"/>
    </row>
    <row r="55442" s="101" customFormat="1" spans="6:6">
      <c r="F55442" s="2423"/>
    </row>
    <row r="55443" s="101" customFormat="1" spans="6:6">
      <c r="F55443" s="2423"/>
    </row>
    <row r="55444" s="101" customFormat="1" spans="6:6">
      <c r="F55444" s="2423"/>
    </row>
    <row r="55445" s="101" customFormat="1" spans="6:6">
      <c r="F55445" s="2423"/>
    </row>
    <row r="55446" s="101" customFormat="1" spans="6:6">
      <c r="F55446" s="2423"/>
    </row>
    <row r="55447" s="101" customFormat="1" spans="6:6">
      <c r="F55447" s="2423"/>
    </row>
    <row r="55448" s="101" customFormat="1" spans="6:6">
      <c r="F55448" s="2423"/>
    </row>
    <row r="55449" s="101" customFormat="1" spans="6:6">
      <c r="F55449" s="2423"/>
    </row>
    <row r="55450" s="101" customFormat="1" spans="6:6">
      <c r="F55450" s="2423"/>
    </row>
    <row r="55451" s="101" customFormat="1" spans="6:6">
      <c r="F55451" s="2423"/>
    </row>
    <row r="55452" s="101" customFormat="1" spans="6:6">
      <c r="F55452" s="2423"/>
    </row>
    <row r="55453" s="101" customFormat="1" spans="6:6">
      <c r="F55453" s="2423"/>
    </row>
    <row r="55454" s="101" customFormat="1" spans="6:6">
      <c r="F55454" s="2423"/>
    </row>
    <row r="55455" s="101" customFormat="1" spans="6:6">
      <c r="F55455" s="2423"/>
    </row>
    <row r="55456" s="101" customFormat="1" spans="6:6">
      <c r="F55456" s="2423"/>
    </row>
    <row r="55457" s="101" customFormat="1" spans="6:6">
      <c r="F55457" s="2423"/>
    </row>
    <row r="55458" s="101" customFormat="1" spans="6:6">
      <c r="F55458" s="2423"/>
    </row>
    <row r="55459" s="101" customFormat="1" spans="6:6">
      <c r="F55459" s="2423"/>
    </row>
    <row r="55460" s="101" customFormat="1" spans="6:6">
      <c r="F55460" s="2423"/>
    </row>
    <row r="55461" s="101" customFormat="1" spans="6:6">
      <c r="F55461" s="2423"/>
    </row>
    <row r="55462" s="101" customFormat="1" spans="6:6">
      <c r="F55462" s="2423"/>
    </row>
    <row r="55463" s="101" customFormat="1" spans="6:6">
      <c r="F55463" s="2423"/>
    </row>
    <row r="55464" s="101" customFormat="1" spans="6:6">
      <c r="F55464" s="2423"/>
    </row>
    <row r="55465" s="101" customFormat="1" spans="6:6">
      <c r="F55465" s="2423"/>
    </row>
    <row r="55466" s="101" customFormat="1" spans="6:6">
      <c r="F55466" s="2423"/>
    </row>
    <row r="55467" s="101" customFormat="1" spans="6:6">
      <c r="F55467" s="2423"/>
    </row>
    <row r="55468" s="101" customFormat="1" spans="6:6">
      <c r="F55468" s="2423"/>
    </row>
    <row r="55469" s="101" customFormat="1" spans="6:6">
      <c r="F55469" s="2423"/>
    </row>
    <row r="55470" s="101" customFormat="1" spans="6:6">
      <c r="F55470" s="2423"/>
    </row>
    <row r="55471" s="101" customFormat="1" spans="6:6">
      <c r="F55471" s="2423"/>
    </row>
    <row r="55472" s="101" customFormat="1" spans="6:6">
      <c r="F55472" s="2423"/>
    </row>
    <row r="55473" s="101" customFormat="1" spans="6:6">
      <c r="F55473" s="2423"/>
    </row>
    <row r="55474" s="101" customFormat="1" spans="6:6">
      <c r="F55474" s="2423"/>
    </row>
    <row r="55475" s="101" customFormat="1" spans="6:6">
      <c r="F55475" s="2423"/>
    </row>
    <row r="55476" s="101" customFormat="1" spans="6:6">
      <c r="F55476" s="2423"/>
    </row>
    <row r="55477" s="101" customFormat="1" spans="6:6">
      <c r="F55477" s="2423"/>
    </row>
    <row r="55478" s="101" customFormat="1" spans="6:6">
      <c r="F55478" s="2423"/>
    </row>
    <row r="55479" s="101" customFormat="1" spans="6:6">
      <c r="F55479" s="2423"/>
    </row>
    <row r="55480" s="101" customFormat="1" spans="6:6">
      <c r="F55480" s="2423"/>
    </row>
    <row r="55481" s="101" customFormat="1" spans="6:6">
      <c r="F55481" s="2423"/>
    </row>
    <row r="55482" s="101" customFormat="1" spans="6:6">
      <c r="F55482" s="2423"/>
    </row>
    <row r="55483" s="101" customFormat="1" spans="6:6">
      <c r="F55483" s="2423"/>
    </row>
    <row r="55484" s="101" customFormat="1" spans="6:6">
      <c r="F55484" s="2423"/>
    </row>
    <row r="55485" s="101" customFormat="1" spans="6:6">
      <c r="F55485" s="2423"/>
    </row>
    <row r="55486" s="101" customFormat="1" spans="6:6">
      <c r="F55486" s="2423"/>
    </row>
    <row r="55487" s="101" customFormat="1" spans="6:6">
      <c r="F55487" s="2423"/>
    </row>
    <row r="55488" s="101" customFormat="1" spans="6:6">
      <c r="F55488" s="2423"/>
    </row>
    <row r="55489" s="101" customFormat="1" spans="6:6">
      <c r="F55489" s="2423"/>
    </row>
    <row r="55490" s="101" customFormat="1" spans="6:6">
      <c r="F55490" s="2423"/>
    </row>
    <row r="55491" s="101" customFormat="1" spans="6:6">
      <c r="F55491" s="2423"/>
    </row>
    <row r="55492" s="101" customFormat="1" spans="6:6">
      <c r="F55492" s="2423"/>
    </row>
    <row r="55493" s="101" customFormat="1" spans="6:6">
      <c r="F55493" s="2423"/>
    </row>
    <row r="55494" s="101" customFormat="1" spans="6:6">
      <c r="F55494" s="2423"/>
    </row>
    <row r="55495" s="101" customFormat="1" spans="6:6">
      <c r="F55495" s="2423"/>
    </row>
    <row r="55496" s="101" customFormat="1" spans="6:6">
      <c r="F55496" s="2423"/>
    </row>
    <row r="55497" s="101" customFormat="1" spans="6:6">
      <c r="F55497" s="2423"/>
    </row>
    <row r="55498" s="101" customFormat="1" spans="6:6">
      <c r="F55498" s="2423"/>
    </row>
    <row r="55499" s="101" customFormat="1" spans="6:6">
      <c r="F55499" s="2423"/>
    </row>
    <row r="55500" s="101" customFormat="1" spans="6:6">
      <c r="F55500" s="2423"/>
    </row>
    <row r="55501" s="101" customFormat="1" spans="6:6">
      <c r="F55501" s="2423"/>
    </row>
    <row r="55502" s="101" customFormat="1" spans="6:6">
      <c r="F55502" s="2423"/>
    </row>
    <row r="55503" s="101" customFormat="1" spans="6:6">
      <c r="F55503" s="2423"/>
    </row>
    <row r="55504" s="101" customFormat="1" spans="6:6">
      <c r="F55504" s="2423"/>
    </row>
    <row r="55505" s="101" customFormat="1" spans="6:6">
      <c r="F55505" s="2423"/>
    </row>
    <row r="55506" s="101" customFormat="1" spans="6:6">
      <c r="F55506" s="2423"/>
    </row>
    <row r="55507" s="101" customFormat="1" spans="6:6">
      <c r="F55507" s="2423"/>
    </row>
    <row r="55508" s="101" customFormat="1" spans="6:6">
      <c r="F55508" s="2423"/>
    </row>
    <row r="55509" s="101" customFormat="1" spans="6:6">
      <c r="F55509" s="2423"/>
    </row>
    <row r="55510" s="101" customFormat="1" spans="6:6">
      <c r="F55510" s="2423"/>
    </row>
    <row r="55511" s="101" customFormat="1" spans="6:6">
      <c r="F55511" s="2423"/>
    </row>
    <row r="55512" s="101" customFormat="1" spans="6:6">
      <c r="F55512" s="2423"/>
    </row>
    <row r="55513" s="101" customFormat="1" spans="6:6">
      <c r="F55513" s="2423"/>
    </row>
    <row r="55514" s="101" customFormat="1" spans="6:6">
      <c r="F55514" s="2423"/>
    </row>
    <row r="55515" s="101" customFormat="1" spans="6:6">
      <c r="F55515" s="2423"/>
    </row>
    <row r="55516" s="101" customFormat="1" spans="6:6">
      <c r="F55516" s="2423"/>
    </row>
    <row r="55517" s="101" customFormat="1" spans="6:6">
      <c r="F55517" s="2423"/>
    </row>
    <row r="55518" s="101" customFormat="1" spans="6:6">
      <c r="F55518" s="2423"/>
    </row>
    <row r="55519" s="101" customFormat="1" spans="6:6">
      <c r="F55519" s="2423"/>
    </row>
    <row r="55520" s="101" customFormat="1" spans="6:6">
      <c r="F55520" s="2423"/>
    </row>
    <row r="55521" s="101" customFormat="1" spans="6:6">
      <c r="F55521" s="2423"/>
    </row>
    <row r="55522" s="101" customFormat="1" spans="6:6">
      <c r="F55522" s="2423"/>
    </row>
    <row r="55523" s="101" customFormat="1" spans="6:6">
      <c r="F55523" s="2423"/>
    </row>
    <row r="55524" s="101" customFormat="1" spans="6:6">
      <c r="F55524" s="2423"/>
    </row>
    <row r="55525" s="101" customFormat="1" spans="6:6">
      <c r="F55525" s="2423"/>
    </row>
    <row r="55526" s="101" customFormat="1" spans="6:6">
      <c r="F55526" s="2423"/>
    </row>
    <row r="55527" s="101" customFormat="1" spans="6:6">
      <c r="F55527" s="2423"/>
    </row>
    <row r="55528" s="101" customFormat="1" spans="6:6">
      <c r="F55528" s="2423"/>
    </row>
    <row r="55529" s="101" customFormat="1" spans="6:6">
      <c r="F55529" s="2423"/>
    </row>
    <row r="55530" s="101" customFormat="1" spans="6:6">
      <c r="F55530" s="2423"/>
    </row>
    <row r="55531" s="101" customFormat="1" spans="6:6">
      <c r="F55531" s="2423"/>
    </row>
    <row r="55532" s="101" customFormat="1" spans="6:6">
      <c r="F55532" s="2423"/>
    </row>
    <row r="55533" s="101" customFormat="1" spans="6:6">
      <c r="F55533" s="2423"/>
    </row>
    <row r="55534" s="101" customFormat="1" spans="6:6">
      <c r="F55534" s="2423"/>
    </row>
    <row r="55535" s="101" customFormat="1" spans="6:6">
      <c r="F55535" s="2423"/>
    </row>
    <row r="55536" s="101" customFormat="1" spans="6:6">
      <c r="F55536" s="2423"/>
    </row>
    <row r="55537" s="101" customFormat="1" spans="6:6">
      <c r="F55537" s="2423"/>
    </row>
    <row r="55538" s="101" customFormat="1" spans="6:6">
      <c r="F55538" s="2423"/>
    </row>
    <row r="55539" s="101" customFormat="1" spans="6:6">
      <c r="F55539" s="2423"/>
    </row>
    <row r="55540" s="101" customFormat="1" spans="6:6">
      <c r="F55540" s="2423"/>
    </row>
    <row r="55541" s="101" customFormat="1" spans="6:6">
      <c r="F55541" s="2423"/>
    </row>
    <row r="55542" s="101" customFormat="1" spans="6:6">
      <c r="F55542" s="2423"/>
    </row>
    <row r="55543" s="101" customFormat="1" spans="6:6">
      <c r="F55543" s="2423"/>
    </row>
    <row r="55544" s="101" customFormat="1" spans="6:6">
      <c r="F55544" s="2423"/>
    </row>
    <row r="55545" s="101" customFormat="1" spans="6:6">
      <c r="F55545" s="2423"/>
    </row>
    <row r="55546" s="101" customFormat="1" spans="6:6">
      <c r="F55546" s="2423"/>
    </row>
    <row r="55547" s="101" customFormat="1" spans="6:6">
      <c r="F55547" s="2423"/>
    </row>
    <row r="55548" s="101" customFormat="1" spans="6:6">
      <c r="F55548" s="2423"/>
    </row>
    <row r="55549" s="101" customFormat="1" spans="6:6">
      <c r="F55549" s="2423"/>
    </row>
    <row r="55550" s="101" customFormat="1" spans="6:6">
      <c r="F55550" s="2423"/>
    </row>
    <row r="55551" s="101" customFormat="1" spans="6:6">
      <c r="F55551" s="2423"/>
    </row>
    <row r="55552" s="101" customFormat="1" spans="6:6">
      <c r="F55552" s="2423"/>
    </row>
    <row r="55553" s="101" customFormat="1" spans="6:6">
      <c r="F55553" s="2423"/>
    </row>
    <row r="55554" s="101" customFormat="1" spans="6:6">
      <c r="F55554" s="2423"/>
    </row>
    <row r="55555" s="101" customFormat="1" spans="6:6">
      <c r="F55555" s="2423"/>
    </row>
    <row r="55556" s="101" customFormat="1" spans="6:6">
      <c r="F55556" s="2423"/>
    </row>
    <row r="55557" s="101" customFormat="1" spans="6:6">
      <c r="F55557" s="2423"/>
    </row>
    <row r="55558" s="101" customFormat="1" spans="6:6">
      <c r="F55558" s="2423"/>
    </row>
    <row r="55559" s="101" customFormat="1" spans="6:6">
      <c r="F55559" s="2423"/>
    </row>
    <row r="55560" s="101" customFormat="1" spans="6:6">
      <c r="F55560" s="2423"/>
    </row>
    <row r="55561" s="101" customFormat="1" spans="6:6">
      <c r="F55561" s="2423"/>
    </row>
    <row r="55562" s="101" customFormat="1" spans="6:6">
      <c r="F55562" s="2423"/>
    </row>
    <row r="55563" s="101" customFormat="1" spans="6:6">
      <c r="F55563" s="2423"/>
    </row>
    <row r="55564" s="101" customFormat="1" spans="6:6">
      <c r="F55564" s="2423"/>
    </row>
    <row r="55565" s="101" customFormat="1" spans="6:6">
      <c r="F55565" s="2423"/>
    </row>
    <row r="55566" s="101" customFormat="1" spans="6:6">
      <c r="F55566" s="2423"/>
    </row>
    <row r="55567" s="101" customFormat="1" spans="6:6">
      <c r="F55567" s="2423"/>
    </row>
    <row r="55568" s="101" customFormat="1" spans="6:6">
      <c r="F55568" s="2423"/>
    </row>
    <row r="55569" s="101" customFormat="1" spans="6:6">
      <c r="F55569" s="2423"/>
    </row>
    <row r="55570" s="101" customFormat="1" spans="6:6">
      <c r="F55570" s="2423"/>
    </row>
    <row r="55571" s="101" customFormat="1" spans="6:6">
      <c r="F55571" s="2423"/>
    </row>
    <row r="55572" s="101" customFormat="1" spans="6:6">
      <c r="F55572" s="2423"/>
    </row>
    <row r="55573" s="101" customFormat="1" spans="6:6">
      <c r="F55573" s="2423"/>
    </row>
    <row r="55574" s="101" customFormat="1" spans="6:6">
      <c r="F55574" s="2423"/>
    </row>
    <row r="55575" s="101" customFormat="1" spans="6:6">
      <c r="F55575" s="2423"/>
    </row>
    <row r="55576" s="101" customFormat="1" spans="6:6">
      <c r="F55576" s="2423"/>
    </row>
    <row r="55577" s="101" customFormat="1" spans="6:6">
      <c r="F55577" s="2423"/>
    </row>
    <row r="55578" s="101" customFormat="1" spans="6:6">
      <c r="F55578" s="2423"/>
    </row>
    <row r="55579" s="101" customFormat="1" spans="6:6">
      <c r="F55579" s="2423"/>
    </row>
    <row r="55580" s="101" customFormat="1" spans="6:6">
      <c r="F55580" s="2423"/>
    </row>
    <row r="55581" s="101" customFormat="1" spans="6:6">
      <c r="F55581" s="2423"/>
    </row>
    <row r="55582" s="101" customFormat="1" spans="6:6">
      <c r="F55582" s="2423"/>
    </row>
    <row r="55583" s="101" customFormat="1" spans="6:6">
      <c r="F55583" s="2423"/>
    </row>
    <row r="55584" s="101" customFormat="1" spans="6:6">
      <c r="F55584" s="2423"/>
    </row>
    <row r="55585" s="101" customFormat="1" spans="6:6">
      <c r="F55585" s="2423"/>
    </row>
    <row r="55586" s="101" customFormat="1" spans="6:6">
      <c r="F55586" s="2423"/>
    </row>
    <row r="55587" s="101" customFormat="1" spans="6:6">
      <c r="F55587" s="2423"/>
    </row>
    <row r="55588" s="101" customFormat="1" spans="6:6">
      <c r="F55588" s="2423"/>
    </row>
    <row r="55589" s="101" customFormat="1" spans="6:6">
      <c r="F55589" s="2423"/>
    </row>
    <row r="55590" s="101" customFormat="1" spans="6:6">
      <c r="F55590" s="2423"/>
    </row>
    <row r="55591" s="101" customFormat="1" spans="6:6">
      <c r="F55591" s="2423"/>
    </row>
    <row r="55592" s="101" customFormat="1" spans="6:6">
      <c r="F55592" s="2423"/>
    </row>
    <row r="55593" s="101" customFormat="1" spans="6:6">
      <c r="F55593" s="2423"/>
    </row>
    <row r="55594" s="101" customFormat="1" spans="6:6">
      <c r="F55594" s="2423"/>
    </row>
    <row r="55595" s="101" customFormat="1" spans="6:6">
      <c r="F55595" s="2423"/>
    </row>
    <row r="55596" s="101" customFormat="1" spans="6:6">
      <c r="F55596" s="2423"/>
    </row>
    <row r="55597" s="101" customFormat="1" spans="6:6">
      <c r="F55597" s="2423"/>
    </row>
    <row r="55598" s="101" customFormat="1" spans="6:6">
      <c r="F55598" s="2423"/>
    </row>
    <row r="55599" s="101" customFormat="1" spans="6:6">
      <c r="F55599" s="2423"/>
    </row>
    <row r="55600" s="101" customFormat="1" spans="6:6">
      <c r="F55600" s="2423"/>
    </row>
    <row r="55601" s="101" customFormat="1" spans="6:6">
      <c r="F55601" s="2423"/>
    </row>
    <row r="55602" s="101" customFormat="1" spans="6:6">
      <c r="F55602" s="2423"/>
    </row>
    <row r="55603" s="101" customFormat="1" spans="6:6">
      <c r="F55603" s="2423"/>
    </row>
    <row r="55604" s="101" customFormat="1" spans="6:6">
      <c r="F55604" s="2423"/>
    </row>
    <row r="55605" s="101" customFormat="1" spans="6:6">
      <c r="F55605" s="2423"/>
    </row>
    <row r="55606" s="101" customFormat="1" spans="6:6">
      <c r="F55606" s="2423"/>
    </row>
    <row r="55607" s="101" customFormat="1" spans="6:6">
      <c r="F55607" s="2423"/>
    </row>
    <row r="55608" s="101" customFormat="1" spans="6:6">
      <c r="F55608" s="2423"/>
    </row>
    <row r="55609" s="101" customFormat="1" spans="6:6">
      <c r="F55609" s="2423"/>
    </row>
    <row r="55610" s="101" customFormat="1" spans="6:6">
      <c r="F55610" s="2423"/>
    </row>
    <row r="55611" s="101" customFormat="1" spans="6:6">
      <c r="F55611" s="2423"/>
    </row>
    <row r="55612" s="101" customFormat="1" spans="6:6">
      <c r="F55612" s="2423"/>
    </row>
    <row r="55613" s="101" customFormat="1" spans="6:6">
      <c r="F55613" s="2423"/>
    </row>
    <row r="55614" s="101" customFormat="1" spans="6:6">
      <c r="F55614" s="2423"/>
    </row>
    <row r="55615" s="101" customFormat="1" spans="6:6">
      <c r="F55615" s="2423"/>
    </row>
    <row r="55616" s="101" customFormat="1" spans="6:6">
      <c r="F55616" s="2423"/>
    </row>
    <row r="55617" s="101" customFormat="1" spans="6:6">
      <c r="F55617" s="2423"/>
    </row>
    <row r="55618" s="101" customFormat="1" spans="6:6">
      <c r="F55618" s="2423"/>
    </row>
    <row r="55619" s="101" customFormat="1" spans="6:6">
      <c r="F55619" s="2423"/>
    </row>
    <row r="55620" s="101" customFormat="1" spans="6:6">
      <c r="F55620" s="2423"/>
    </row>
    <row r="55621" s="101" customFormat="1" spans="6:6">
      <c r="F55621" s="2423"/>
    </row>
    <row r="55622" s="101" customFormat="1" spans="6:6">
      <c r="F55622" s="2423"/>
    </row>
    <row r="55623" s="101" customFormat="1" spans="6:6">
      <c r="F55623" s="2423"/>
    </row>
    <row r="55624" s="101" customFormat="1" spans="6:6">
      <c r="F55624" s="2423"/>
    </row>
    <row r="55625" s="101" customFormat="1" spans="6:6">
      <c r="F55625" s="2423"/>
    </row>
    <row r="55626" s="101" customFormat="1" spans="6:6">
      <c r="F55626" s="2423"/>
    </row>
    <row r="55627" s="101" customFormat="1" spans="6:6">
      <c r="F55627" s="2423"/>
    </row>
    <row r="55628" s="101" customFormat="1" spans="6:6">
      <c r="F55628" s="2423"/>
    </row>
    <row r="55629" s="101" customFormat="1" spans="6:6">
      <c r="F55629" s="2423"/>
    </row>
    <row r="55630" s="101" customFormat="1" spans="6:6">
      <c r="F55630" s="2423"/>
    </row>
    <row r="55631" s="101" customFormat="1" spans="6:6">
      <c r="F55631" s="2423"/>
    </row>
    <row r="55632" s="101" customFormat="1" spans="6:6">
      <c r="F55632" s="2423"/>
    </row>
    <row r="55633" s="101" customFormat="1" spans="6:6">
      <c r="F55633" s="2423"/>
    </row>
    <row r="55634" s="101" customFormat="1" spans="6:6">
      <c r="F55634" s="2423"/>
    </row>
    <row r="55635" s="101" customFormat="1" spans="6:6">
      <c r="F55635" s="2423"/>
    </row>
    <row r="55636" s="101" customFormat="1" spans="6:6">
      <c r="F55636" s="2423"/>
    </row>
    <row r="55637" s="101" customFormat="1" spans="6:6">
      <c r="F55637" s="2423"/>
    </row>
    <row r="55638" s="101" customFormat="1" spans="6:6">
      <c r="F55638" s="2423"/>
    </row>
    <row r="55639" s="101" customFormat="1" spans="6:6">
      <c r="F55639" s="2423"/>
    </row>
    <row r="55640" s="101" customFormat="1" spans="6:6">
      <c r="F55640" s="2423"/>
    </row>
    <row r="55641" s="101" customFormat="1" spans="6:6">
      <c r="F55641" s="2423"/>
    </row>
    <row r="55642" s="101" customFormat="1" spans="6:6">
      <c r="F55642" s="2423"/>
    </row>
    <row r="55643" s="101" customFormat="1" spans="6:6">
      <c r="F55643" s="2423"/>
    </row>
    <row r="55644" s="101" customFormat="1" spans="6:6">
      <c r="F55644" s="2423"/>
    </row>
    <row r="55645" s="101" customFormat="1" spans="6:6">
      <c r="F55645" s="2423"/>
    </row>
    <row r="55646" s="101" customFormat="1" spans="6:6">
      <c r="F55646" s="2423"/>
    </row>
    <row r="55647" s="101" customFormat="1" spans="6:6">
      <c r="F55647" s="2423"/>
    </row>
    <row r="55648" s="101" customFormat="1" spans="6:6">
      <c r="F55648" s="2423"/>
    </row>
    <row r="55649" s="101" customFormat="1" spans="6:6">
      <c r="F55649" s="2423"/>
    </row>
    <row r="55650" s="101" customFormat="1" spans="6:6">
      <c r="F55650" s="2423"/>
    </row>
    <row r="55651" s="101" customFormat="1" spans="6:6">
      <c r="F55651" s="2423"/>
    </row>
    <row r="55652" s="101" customFormat="1" spans="6:6">
      <c r="F55652" s="2423"/>
    </row>
    <row r="55653" s="101" customFormat="1" spans="6:6">
      <c r="F55653" s="2423"/>
    </row>
    <row r="55654" s="101" customFormat="1" spans="6:6">
      <c r="F55654" s="2423"/>
    </row>
    <row r="55655" s="101" customFormat="1" spans="6:6">
      <c r="F55655" s="2423"/>
    </row>
    <row r="55656" s="101" customFormat="1" spans="6:6">
      <c r="F55656" s="2423"/>
    </row>
    <row r="55657" s="101" customFormat="1" spans="6:6">
      <c r="F55657" s="2423"/>
    </row>
    <row r="55658" s="101" customFormat="1" spans="6:6">
      <c r="F55658" s="2423"/>
    </row>
    <row r="55659" s="101" customFormat="1" spans="6:6">
      <c r="F55659" s="2423"/>
    </row>
    <row r="55660" s="101" customFormat="1" spans="6:6">
      <c r="F55660" s="2423"/>
    </row>
    <row r="55661" s="101" customFormat="1" spans="6:6">
      <c r="F55661" s="2423"/>
    </row>
    <row r="55662" s="101" customFormat="1" spans="6:6">
      <c r="F55662" s="2423"/>
    </row>
    <row r="55663" s="101" customFormat="1" spans="6:6">
      <c r="F55663" s="2423"/>
    </row>
    <row r="55664" s="101" customFormat="1" spans="6:6">
      <c r="F55664" s="2423"/>
    </row>
    <row r="55665" s="101" customFormat="1" spans="6:6">
      <c r="F55665" s="2423"/>
    </row>
    <row r="55666" s="101" customFormat="1" spans="6:6">
      <c r="F55666" s="2423"/>
    </row>
    <row r="55667" s="101" customFormat="1" spans="6:6">
      <c r="F55667" s="2423"/>
    </row>
    <row r="55668" s="101" customFormat="1" spans="6:6">
      <c r="F55668" s="2423"/>
    </row>
    <row r="55669" s="101" customFormat="1" spans="6:6">
      <c r="F55669" s="2423"/>
    </row>
    <row r="55670" s="101" customFormat="1" spans="6:6">
      <c r="F55670" s="2423"/>
    </row>
    <row r="55671" s="101" customFormat="1" spans="6:6">
      <c r="F55671" s="2423"/>
    </row>
    <row r="55672" s="101" customFormat="1" spans="6:6">
      <c r="F55672" s="2423"/>
    </row>
    <row r="55673" s="101" customFormat="1" spans="6:6">
      <c r="F55673" s="2423"/>
    </row>
    <row r="55674" s="101" customFormat="1" spans="6:6">
      <c r="F55674" s="2423"/>
    </row>
    <row r="55675" s="101" customFormat="1" spans="6:6">
      <c r="F55675" s="2423"/>
    </row>
    <row r="55676" s="101" customFormat="1" spans="6:6">
      <c r="F55676" s="2423"/>
    </row>
    <row r="55677" s="101" customFormat="1" spans="6:6">
      <c r="F55677" s="2423"/>
    </row>
    <row r="55678" s="101" customFormat="1" spans="6:6">
      <c r="F55678" s="2423"/>
    </row>
    <row r="55679" s="101" customFormat="1" spans="6:6">
      <c r="F55679" s="2423"/>
    </row>
    <row r="55680" s="101" customFormat="1" spans="6:6">
      <c r="F55680" s="2423"/>
    </row>
    <row r="55681" s="101" customFormat="1" spans="6:6">
      <c r="F55681" s="2423"/>
    </row>
    <row r="55682" s="101" customFormat="1" spans="6:6">
      <c r="F55682" s="2423"/>
    </row>
    <row r="55683" s="101" customFormat="1" spans="6:6">
      <c r="F55683" s="2423"/>
    </row>
    <row r="55684" s="101" customFormat="1" spans="6:6">
      <c r="F55684" s="2423"/>
    </row>
    <row r="55685" s="101" customFormat="1" spans="6:6">
      <c r="F55685" s="2423"/>
    </row>
    <row r="55686" s="101" customFormat="1" spans="6:6">
      <c r="F55686" s="2423"/>
    </row>
    <row r="55687" s="101" customFormat="1" spans="6:6">
      <c r="F55687" s="2423"/>
    </row>
    <row r="55688" s="101" customFormat="1" spans="6:6">
      <c r="F55688" s="2423"/>
    </row>
    <row r="55689" s="101" customFormat="1" spans="6:6">
      <c r="F55689" s="2423"/>
    </row>
    <row r="55690" s="101" customFormat="1" spans="6:6">
      <c r="F55690" s="2423"/>
    </row>
    <row r="55691" s="101" customFormat="1" spans="6:6">
      <c r="F55691" s="2423"/>
    </row>
    <row r="55692" s="101" customFormat="1" spans="6:6">
      <c r="F55692" s="2423"/>
    </row>
    <row r="55693" s="101" customFormat="1" spans="6:6">
      <c r="F55693" s="2423"/>
    </row>
    <row r="55694" s="101" customFormat="1" spans="6:6">
      <c r="F55694" s="2423"/>
    </row>
    <row r="55695" s="101" customFormat="1" spans="6:6">
      <c r="F55695" s="2423"/>
    </row>
    <row r="55696" s="101" customFormat="1" spans="6:6">
      <c r="F55696" s="2423"/>
    </row>
    <row r="55697" s="101" customFormat="1" spans="6:6">
      <c r="F55697" s="2423"/>
    </row>
    <row r="55698" s="101" customFormat="1" spans="6:6">
      <c r="F55698" s="2423"/>
    </row>
    <row r="55699" s="101" customFormat="1" spans="6:6">
      <c r="F55699" s="2423"/>
    </row>
    <row r="55700" s="101" customFormat="1" spans="6:6">
      <c r="F55700" s="2423"/>
    </row>
    <row r="55701" s="101" customFormat="1" spans="6:6">
      <c r="F55701" s="2423"/>
    </row>
    <row r="55702" s="101" customFormat="1" spans="6:6">
      <c r="F55702" s="2423"/>
    </row>
    <row r="55703" s="101" customFormat="1" spans="6:6">
      <c r="F55703" s="2423"/>
    </row>
    <row r="55704" s="101" customFormat="1" spans="6:6">
      <c r="F55704" s="2423"/>
    </row>
    <row r="55705" s="101" customFormat="1" spans="6:6">
      <c r="F55705" s="2423"/>
    </row>
    <row r="55706" s="101" customFormat="1" spans="6:6">
      <c r="F55706" s="2423"/>
    </row>
    <row r="55707" s="101" customFormat="1" spans="6:6">
      <c r="F55707" s="2423"/>
    </row>
    <row r="55708" s="101" customFormat="1" spans="6:6">
      <c r="F55708" s="2423"/>
    </row>
    <row r="55709" s="101" customFormat="1" spans="6:6">
      <c r="F55709" s="2423"/>
    </row>
    <row r="55710" s="101" customFormat="1" spans="6:6">
      <c r="F55710" s="2423"/>
    </row>
    <row r="55711" s="101" customFormat="1" spans="6:6">
      <c r="F55711" s="2423"/>
    </row>
    <row r="55712" s="101" customFormat="1" spans="6:6">
      <c r="F55712" s="2423"/>
    </row>
    <row r="55713" s="101" customFormat="1" spans="6:6">
      <c r="F55713" s="2423"/>
    </row>
    <row r="55714" s="101" customFormat="1" spans="6:6">
      <c r="F55714" s="2423"/>
    </row>
    <row r="55715" s="101" customFormat="1" spans="6:6">
      <c r="F55715" s="2423"/>
    </row>
    <row r="55716" s="101" customFormat="1" spans="6:6">
      <c r="F55716" s="2423"/>
    </row>
    <row r="55717" s="101" customFormat="1" spans="6:6">
      <c r="F55717" s="2423"/>
    </row>
    <row r="55718" s="101" customFormat="1" spans="6:6">
      <c r="F55718" s="2423"/>
    </row>
    <row r="55719" s="101" customFormat="1" spans="6:6">
      <c r="F55719" s="2423"/>
    </row>
    <row r="55720" s="101" customFormat="1" spans="6:6">
      <c r="F55720" s="2423"/>
    </row>
    <row r="55721" s="101" customFormat="1" spans="6:6">
      <c r="F55721" s="2423"/>
    </row>
    <row r="55722" s="101" customFormat="1" spans="6:6">
      <c r="F55722" s="2423"/>
    </row>
    <row r="55723" s="101" customFormat="1" spans="6:6">
      <c r="F55723" s="2423"/>
    </row>
    <row r="55724" s="101" customFormat="1" spans="6:6">
      <c r="F55724" s="2423"/>
    </row>
    <row r="55725" s="101" customFormat="1" spans="6:6">
      <c r="F55725" s="2423"/>
    </row>
    <row r="55726" s="101" customFormat="1" spans="6:6">
      <c r="F55726" s="2423"/>
    </row>
    <row r="55727" s="101" customFormat="1" spans="6:6">
      <c r="F55727" s="2423"/>
    </row>
    <row r="55728" s="101" customFormat="1" spans="6:6">
      <c r="F55728" s="2423"/>
    </row>
    <row r="55729" s="101" customFormat="1" spans="6:6">
      <c r="F55729" s="2423"/>
    </row>
    <row r="55730" s="101" customFormat="1" spans="6:6">
      <c r="F55730" s="2423"/>
    </row>
    <row r="55731" s="101" customFormat="1" spans="6:6">
      <c r="F55731" s="2423"/>
    </row>
    <row r="55732" s="101" customFormat="1" spans="6:6">
      <c r="F55732" s="2423"/>
    </row>
    <row r="55733" s="101" customFormat="1" spans="6:6">
      <c r="F55733" s="2423"/>
    </row>
    <row r="55734" s="101" customFormat="1" spans="6:6">
      <c r="F55734" s="2423"/>
    </row>
    <row r="55735" s="101" customFormat="1" spans="6:6">
      <c r="F55735" s="2423"/>
    </row>
    <row r="55736" s="101" customFormat="1" spans="6:6">
      <c r="F55736" s="2423"/>
    </row>
    <row r="55737" s="101" customFormat="1" spans="6:6">
      <c r="F55737" s="2423"/>
    </row>
    <row r="55738" s="101" customFormat="1" spans="6:6">
      <c r="F55738" s="2423"/>
    </row>
    <row r="55739" s="101" customFormat="1" spans="6:6">
      <c r="F55739" s="2423"/>
    </row>
    <row r="55740" s="101" customFormat="1" spans="6:6">
      <c r="F55740" s="2423"/>
    </row>
    <row r="55741" s="101" customFormat="1" spans="6:6">
      <c r="F55741" s="2423"/>
    </row>
    <row r="55742" s="101" customFormat="1" spans="6:6">
      <c r="F55742" s="2423"/>
    </row>
    <row r="55743" s="101" customFormat="1" spans="6:6">
      <c r="F55743" s="2423"/>
    </row>
    <row r="55744" s="101" customFormat="1" spans="6:6">
      <c r="F55744" s="2423"/>
    </row>
    <row r="55745" s="101" customFormat="1" spans="6:6">
      <c r="F55745" s="2423"/>
    </row>
    <row r="55746" s="101" customFormat="1" spans="6:6">
      <c r="F55746" s="2423"/>
    </row>
    <row r="55747" s="101" customFormat="1" spans="6:6">
      <c r="F55747" s="2423"/>
    </row>
    <row r="55748" s="101" customFormat="1" spans="6:6">
      <c r="F55748" s="2423"/>
    </row>
    <row r="55749" s="101" customFormat="1" spans="6:6">
      <c r="F55749" s="2423"/>
    </row>
    <row r="55750" s="101" customFormat="1" spans="6:6">
      <c r="F55750" s="2423"/>
    </row>
    <row r="55751" s="101" customFormat="1" spans="6:6">
      <c r="F55751" s="2423"/>
    </row>
    <row r="55752" s="101" customFormat="1" spans="6:6">
      <c r="F55752" s="2423"/>
    </row>
    <row r="55753" s="101" customFormat="1" spans="6:6">
      <c r="F55753" s="2423"/>
    </row>
    <row r="55754" s="101" customFormat="1" spans="6:6">
      <c r="F55754" s="2423"/>
    </row>
    <row r="55755" s="101" customFormat="1" spans="6:6">
      <c r="F55755" s="2423"/>
    </row>
    <row r="55756" s="101" customFormat="1" spans="6:6">
      <c r="F55756" s="2423"/>
    </row>
    <row r="55757" s="101" customFormat="1" spans="6:6">
      <c r="F55757" s="2423"/>
    </row>
    <row r="55758" s="101" customFormat="1" spans="6:6">
      <c r="F55758" s="2423"/>
    </row>
    <row r="55759" s="101" customFormat="1" spans="6:6">
      <c r="F55759" s="2423"/>
    </row>
    <row r="55760" s="101" customFormat="1" spans="6:6">
      <c r="F55760" s="2423"/>
    </row>
    <row r="55761" s="101" customFormat="1" spans="6:6">
      <c r="F55761" s="2423"/>
    </row>
    <row r="55762" s="101" customFormat="1" spans="6:6">
      <c r="F55762" s="2423"/>
    </row>
    <row r="55763" s="101" customFormat="1" spans="6:6">
      <c r="F55763" s="2423"/>
    </row>
    <row r="55764" s="101" customFormat="1" spans="6:6">
      <c r="F55764" s="2423"/>
    </row>
    <row r="55765" s="101" customFormat="1" spans="6:6">
      <c r="F55765" s="2423"/>
    </row>
    <row r="55766" s="101" customFormat="1" spans="6:6">
      <c r="F55766" s="2423"/>
    </row>
    <row r="55767" s="101" customFormat="1" spans="6:6">
      <c r="F55767" s="2423"/>
    </row>
    <row r="55768" s="101" customFormat="1" spans="6:6">
      <c r="F55768" s="2423"/>
    </row>
    <row r="55769" s="101" customFormat="1" spans="6:6">
      <c r="F55769" s="2423"/>
    </row>
    <row r="55770" s="101" customFormat="1" spans="6:6">
      <c r="F55770" s="2423"/>
    </row>
    <row r="55771" s="101" customFormat="1" spans="6:6">
      <c r="F55771" s="2423"/>
    </row>
    <row r="55772" s="101" customFormat="1" spans="6:6">
      <c r="F55772" s="2423"/>
    </row>
    <row r="55773" s="101" customFormat="1" spans="6:6">
      <c r="F55773" s="2423"/>
    </row>
    <row r="55774" s="101" customFormat="1" spans="6:6">
      <c r="F55774" s="2423"/>
    </row>
    <row r="55775" s="101" customFormat="1" spans="6:6">
      <c r="F55775" s="2423"/>
    </row>
    <row r="55776" s="101" customFormat="1" spans="6:6">
      <c r="F55776" s="2423"/>
    </row>
    <row r="55777" s="101" customFormat="1" spans="6:6">
      <c r="F55777" s="2423"/>
    </row>
    <row r="55778" s="101" customFormat="1" spans="6:6">
      <c r="F55778" s="2423"/>
    </row>
    <row r="55779" s="101" customFormat="1" spans="6:6">
      <c r="F55779" s="2423"/>
    </row>
    <row r="55780" s="101" customFormat="1" spans="6:6">
      <c r="F55780" s="2423"/>
    </row>
    <row r="55781" s="101" customFormat="1" spans="6:6">
      <c r="F55781" s="2423"/>
    </row>
    <row r="55782" s="101" customFormat="1" spans="6:6">
      <c r="F55782" s="2423"/>
    </row>
    <row r="55783" s="101" customFormat="1" spans="6:6">
      <c r="F55783" s="2423"/>
    </row>
    <row r="55784" s="101" customFormat="1" spans="6:6">
      <c r="F55784" s="2423"/>
    </row>
    <row r="55785" s="101" customFormat="1" spans="6:6">
      <c r="F55785" s="2423"/>
    </row>
    <row r="55786" s="101" customFormat="1" spans="6:6">
      <c r="F55786" s="2423"/>
    </row>
    <row r="55787" s="101" customFormat="1" spans="6:6">
      <c r="F55787" s="2423"/>
    </row>
    <row r="55788" s="101" customFormat="1" spans="6:6">
      <c r="F55788" s="2423"/>
    </row>
    <row r="55789" s="101" customFormat="1" spans="6:6">
      <c r="F55789" s="2423"/>
    </row>
    <row r="55790" s="101" customFormat="1" spans="6:6">
      <c r="F55790" s="2423"/>
    </row>
    <row r="55791" s="101" customFormat="1" spans="6:6">
      <c r="F55791" s="2423"/>
    </row>
    <row r="55792" s="101" customFormat="1" spans="6:6">
      <c r="F55792" s="2423"/>
    </row>
    <row r="55793" s="101" customFormat="1" spans="6:6">
      <c r="F55793" s="2423"/>
    </row>
    <row r="55794" s="101" customFormat="1" spans="6:6">
      <c r="F55794" s="2423"/>
    </row>
    <row r="55795" s="101" customFormat="1" spans="6:6">
      <c r="F55795" s="2423"/>
    </row>
    <row r="55796" s="101" customFormat="1" spans="6:6">
      <c r="F55796" s="2423"/>
    </row>
    <row r="55797" s="101" customFormat="1" spans="6:6">
      <c r="F55797" s="2423"/>
    </row>
    <row r="55798" s="101" customFormat="1" spans="6:6">
      <c r="F55798" s="2423"/>
    </row>
    <row r="55799" s="101" customFormat="1" spans="6:6">
      <c r="F55799" s="2423"/>
    </row>
    <row r="55800" s="101" customFormat="1" spans="6:6">
      <c r="F55800" s="2423"/>
    </row>
    <row r="55801" s="101" customFormat="1" spans="6:6">
      <c r="F55801" s="2423"/>
    </row>
    <row r="55802" s="101" customFormat="1" spans="6:6">
      <c r="F55802" s="2423"/>
    </row>
    <row r="55803" s="101" customFormat="1" spans="6:6">
      <c r="F55803" s="2423"/>
    </row>
    <row r="55804" s="101" customFormat="1" spans="6:6">
      <c r="F55804" s="2423"/>
    </row>
    <row r="55805" s="101" customFormat="1" spans="6:6">
      <c r="F55805" s="2423"/>
    </row>
    <row r="55806" s="101" customFormat="1" spans="6:6">
      <c r="F55806" s="2423"/>
    </row>
    <row r="55807" s="101" customFormat="1" spans="6:6">
      <c r="F55807" s="2423"/>
    </row>
    <row r="55808" s="101" customFormat="1" spans="6:6">
      <c r="F55808" s="2423"/>
    </row>
    <row r="55809" s="101" customFormat="1" spans="6:6">
      <c r="F55809" s="2423"/>
    </row>
    <row r="55810" s="101" customFormat="1" spans="6:6">
      <c r="F55810" s="2423"/>
    </row>
    <row r="55811" s="101" customFormat="1" spans="6:6">
      <c r="F55811" s="2423"/>
    </row>
    <row r="55812" s="101" customFormat="1" spans="6:6">
      <c r="F55812" s="2423"/>
    </row>
    <row r="55813" s="101" customFormat="1" spans="6:6">
      <c r="F55813" s="2423"/>
    </row>
    <row r="55814" s="101" customFormat="1" spans="6:6">
      <c r="F55814" s="2423"/>
    </row>
    <row r="55815" s="101" customFormat="1" spans="6:6">
      <c r="F55815" s="2423"/>
    </row>
    <row r="55816" s="101" customFormat="1" spans="6:6">
      <c r="F55816" s="2423"/>
    </row>
    <row r="55817" s="101" customFormat="1" spans="6:6">
      <c r="F55817" s="2423"/>
    </row>
    <row r="55818" s="101" customFormat="1" spans="6:6">
      <c r="F55818" s="2423"/>
    </row>
    <row r="55819" s="101" customFormat="1" spans="6:6">
      <c r="F55819" s="2423"/>
    </row>
    <row r="55820" s="101" customFormat="1" spans="6:6">
      <c r="F55820" s="2423"/>
    </row>
    <row r="55821" s="101" customFormat="1" spans="6:6">
      <c r="F55821" s="2423"/>
    </row>
    <row r="55822" s="101" customFormat="1" spans="6:6">
      <c r="F55822" s="2423"/>
    </row>
    <row r="55823" s="101" customFormat="1" spans="6:6">
      <c r="F55823" s="2423"/>
    </row>
    <row r="55824" s="101" customFormat="1" spans="6:6">
      <c r="F55824" s="2423"/>
    </row>
    <row r="55825" s="101" customFormat="1" spans="6:6">
      <c r="F55825" s="2423"/>
    </row>
    <row r="55826" s="101" customFormat="1" spans="6:6">
      <c r="F55826" s="2423"/>
    </row>
    <row r="55827" s="101" customFormat="1" spans="6:6">
      <c r="F55827" s="2423"/>
    </row>
    <row r="55828" s="101" customFormat="1" spans="6:6">
      <c r="F55828" s="2423"/>
    </row>
    <row r="55829" s="101" customFormat="1" spans="6:6">
      <c r="F55829" s="2423"/>
    </row>
    <row r="55830" s="101" customFormat="1" spans="6:6">
      <c r="F55830" s="2423"/>
    </row>
    <row r="55831" s="101" customFormat="1" spans="6:6">
      <c r="F55831" s="2423"/>
    </row>
    <row r="55832" s="101" customFormat="1" spans="6:6">
      <c r="F55832" s="2423"/>
    </row>
    <row r="55833" s="101" customFormat="1" spans="6:6">
      <c r="F55833" s="2423"/>
    </row>
    <row r="55834" s="101" customFormat="1" spans="6:6">
      <c r="F55834" s="2423"/>
    </row>
    <row r="55835" s="101" customFormat="1" spans="6:6">
      <c r="F55835" s="2423"/>
    </row>
    <row r="55836" s="101" customFormat="1" spans="6:6">
      <c r="F55836" s="2423"/>
    </row>
    <row r="55837" s="101" customFormat="1" spans="6:6">
      <c r="F55837" s="2423"/>
    </row>
    <row r="55838" s="101" customFormat="1" spans="6:6">
      <c r="F55838" s="2423"/>
    </row>
    <row r="55839" s="101" customFormat="1" spans="6:6">
      <c r="F55839" s="2423"/>
    </row>
    <row r="55840" s="101" customFormat="1" spans="6:6">
      <c r="F55840" s="2423"/>
    </row>
    <row r="55841" s="101" customFormat="1" spans="6:6">
      <c r="F55841" s="2423"/>
    </row>
    <row r="55842" s="101" customFormat="1" spans="6:6">
      <c r="F55842" s="2423"/>
    </row>
    <row r="55843" s="101" customFormat="1" spans="6:6">
      <c r="F55843" s="2423"/>
    </row>
    <row r="55844" s="101" customFormat="1" spans="6:6">
      <c r="F55844" s="2423"/>
    </row>
    <row r="55845" s="101" customFormat="1" spans="6:6">
      <c r="F55845" s="2423"/>
    </row>
    <row r="55846" s="101" customFormat="1" spans="6:6">
      <c r="F55846" s="2423"/>
    </row>
    <row r="55847" s="101" customFormat="1" spans="6:6">
      <c r="F55847" s="2423"/>
    </row>
    <row r="55848" s="101" customFormat="1" spans="6:6">
      <c r="F55848" s="2423"/>
    </row>
    <row r="55849" s="101" customFormat="1" spans="6:6">
      <c r="F55849" s="2423"/>
    </row>
    <row r="55850" s="101" customFormat="1" spans="6:6">
      <c r="F55850" s="2423"/>
    </row>
    <row r="55851" s="101" customFormat="1" spans="6:6">
      <c r="F55851" s="2423"/>
    </row>
    <row r="55852" s="101" customFormat="1" spans="6:6">
      <c r="F55852" s="2423"/>
    </row>
    <row r="55853" s="101" customFormat="1" spans="6:6">
      <c r="F55853" s="2423"/>
    </row>
    <row r="55854" s="101" customFormat="1" spans="6:6">
      <c r="F55854" s="2423"/>
    </row>
    <row r="55855" s="101" customFormat="1" spans="6:6">
      <c r="F55855" s="2423"/>
    </row>
    <row r="55856" s="101" customFormat="1" spans="6:6">
      <c r="F55856" s="2423"/>
    </row>
    <row r="55857" s="101" customFormat="1" spans="6:6">
      <c r="F55857" s="2423"/>
    </row>
    <row r="55858" s="101" customFormat="1" spans="6:6">
      <c r="F55858" s="2423"/>
    </row>
    <row r="55859" s="101" customFormat="1" spans="6:6">
      <c r="F55859" s="2423"/>
    </row>
    <row r="55860" s="101" customFormat="1" spans="6:6">
      <c r="F55860" s="2423"/>
    </row>
    <row r="55861" s="101" customFormat="1" spans="6:6">
      <c r="F55861" s="2423"/>
    </row>
    <row r="55862" s="101" customFormat="1" spans="6:6">
      <c r="F55862" s="2423"/>
    </row>
    <row r="55863" s="101" customFormat="1" spans="6:6">
      <c r="F55863" s="2423"/>
    </row>
    <row r="55864" s="101" customFormat="1" spans="6:6">
      <c r="F55864" s="2423"/>
    </row>
    <row r="55865" s="101" customFormat="1" spans="6:6">
      <c r="F55865" s="2423"/>
    </row>
    <row r="55866" s="101" customFormat="1" spans="6:6">
      <c r="F55866" s="2423"/>
    </row>
    <row r="55867" s="101" customFormat="1" spans="6:6">
      <c r="F55867" s="2423"/>
    </row>
    <row r="55868" s="101" customFormat="1" spans="6:6">
      <c r="F55868" s="2423"/>
    </row>
    <row r="55869" s="101" customFormat="1" spans="6:6">
      <c r="F55869" s="2423"/>
    </row>
    <row r="55870" s="101" customFormat="1" spans="6:6">
      <c r="F55870" s="2423"/>
    </row>
    <row r="55871" s="101" customFormat="1" spans="6:6">
      <c r="F55871" s="2423"/>
    </row>
    <row r="55872" s="101" customFormat="1" spans="6:6">
      <c r="F55872" s="2423"/>
    </row>
    <row r="55873" s="101" customFormat="1" spans="6:6">
      <c r="F55873" s="2423"/>
    </row>
    <row r="55874" s="101" customFormat="1" spans="6:6">
      <c r="F55874" s="2423"/>
    </row>
    <row r="55875" s="101" customFormat="1" spans="6:6">
      <c r="F55875" s="2423"/>
    </row>
    <row r="55876" s="101" customFormat="1" spans="6:6">
      <c r="F55876" s="2423"/>
    </row>
    <row r="55877" s="101" customFormat="1" spans="6:6">
      <c r="F55877" s="2423"/>
    </row>
    <row r="55878" s="101" customFormat="1" spans="6:6">
      <c r="F55878" s="2423"/>
    </row>
    <row r="55879" s="101" customFormat="1" spans="6:6">
      <c r="F55879" s="2423"/>
    </row>
    <row r="55880" s="101" customFormat="1" spans="6:6">
      <c r="F55880" s="2423"/>
    </row>
    <row r="55881" s="101" customFormat="1" spans="6:6">
      <c r="F55881" s="2423"/>
    </row>
    <row r="55882" s="101" customFormat="1" spans="6:6">
      <c r="F55882" s="2423"/>
    </row>
    <row r="55883" s="101" customFormat="1" spans="6:6">
      <c r="F55883" s="2423"/>
    </row>
    <row r="55884" s="101" customFormat="1" spans="6:6">
      <c r="F55884" s="2423"/>
    </row>
    <row r="55885" s="101" customFormat="1" spans="6:6">
      <c r="F55885" s="2423"/>
    </row>
    <row r="55886" s="101" customFormat="1" spans="6:6">
      <c r="F55886" s="2423"/>
    </row>
    <row r="55887" s="101" customFormat="1" spans="6:6">
      <c r="F55887" s="2423"/>
    </row>
    <row r="55888" s="101" customFormat="1" spans="6:6">
      <c r="F55888" s="2423"/>
    </row>
    <row r="55889" s="101" customFormat="1" spans="6:6">
      <c r="F55889" s="2423"/>
    </row>
    <row r="55890" s="101" customFormat="1" spans="6:6">
      <c r="F55890" s="2423"/>
    </row>
    <row r="55891" s="101" customFormat="1" spans="6:6">
      <c r="F55891" s="2423"/>
    </row>
    <row r="55892" s="101" customFormat="1" spans="6:6">
      <c r="F55892" s="2423"/>
    </row>
    <row r="55893" s="101" customFormat="1" spans="6:6">
      <c r="F55893" s="2423"/>
    </row>
    <row r="55894" s="101" customFormat="1" spans="6:6">
      <c r="F55894" s="2423"/>
    </row>
    <row r="55895" s="101" customFormat="1" spans="6:6">
      <c r="F55895" s="2423"/>
    </row>
    <row r="55896" s="101" customFormat="1" spans="6:6">
      <c r="F55896" s="2423"/>
    </row>
    <row r="55897" s="101" customFormat="1" spans="6:6">
      <c r="F55897" s="2423"/>
    </row>
    <row r="55898" s="101" customFormat="1" spans="6:6">
      <c r="F55898" s="2423"/>
    </row>
    <row r="55899" s="101" customFormat="1" spans="6:6">
      <c r="F55899" s="2423"/>
    </row>
    <row r="55900" s="101" customFormat="1" spans="6:6">
      <c r="F55900" s="2423"/>
    </row>
    <row r="55901" s="101" customFormat="1" spans="6:6">
      <c r="F55901" s="2423"/>
    </row>
    <row r="55902" s="101" customFormat="1" spans="6:6">
      <c r="F55902" s="2423"/>
    </row>
    <row r="55903" s="101" customFormat="1" spans="6:6">
      <c r="F55903" s="2423"/>
    </row>
    <row r="55904" s="101" customFormat="1" spans="6:6">
      <c r="F55904" s="2423"/>
    </row>
    <row r="55905" s="101" customFormat="1" spans="6:6">
      <c r="F55905" s="2423"/>
    </row>
    <row r="55906" s="101" customFormat="1" spans="6:6">
      <c r="F55906" s="2423"/>
    </row>
    <row r="55907" s="101" customFormat="1" spans="6:6">
      <c r="F55907" s="2423"/>
    </row>
    <row r="55908" s="101" customFormat="1" spans="6:6">
      <c r="F55908" s="2423"/>
    </row>
    <row r="55909" s="101" customFormat="1" spans="6:6">
      <c r="F55909" s="2423"/>
    </row>
    <row r="55910" s="101" customFormat="1" spans="6:6">
      <c r="F55910" s="2423"/>
    </row>
    <row r="55911" s="101" customFormat="1" spans="6:6">
      <c r="F55911" s="2423"/>
    </row>
    <row r="55912" s="101" customFormat="1" spans="6:6">
      <c r="F55912" s="2423"/>
    </row>
    <row r="55913" s="101" customFormat="1" spans="6:6">
      <c r="F55913" s="2423"/>
    </row>
    <row r="55914" s="101" customFormat="1" spans="6:6">
      <c r="F55914" s="2423"/>
    </row>
    <row r="55915" s="101" customFormat="1" spans="6:6">
      <c r="F55915" s="2423"/>
    </row>
    <row r="55916" s="101" customFormat="1" spans="6:6">
      <c r="F55916" s="2423"/>
    </row>
    <row r="55917" s="101" customFormat="1" spans="6:6">
      <c r="F55917" s="2423"/>
    </row>
    <row r="55918" s="101" customFormat="1" spans="6:6">
      <c r="F55918" s="2423"/>
    </row>
    <row r="55919" s="101" customFormat="1" spans="6:6">
      <c r="F55919" s="2423"/>
    </row>
    <row r="55920" s="101" customFormat="1" spans="6:6">
      <c r="F55920" s="2423"/>
    </row>
    <row r="55921" s="101" customFormat="1" spans="6:6">
      <c r="F55921" s="2423"/>
    </row>
    <row r="55922" s="101" customFormat="1" spans="6:6">
      <c r="F55922" s="2423"/>
    </row>
    <row r="55923" s="101" customFormat="1" spans="6:6">
      <c r="F55923" s="2423"/>
    </row>
    <row r="55924" s="101" customFormat="1" spans="6:6">
      <c r="F55924" s="2423"/>
    </row>
    <row r="55925" s="101" customFormat="1" spans="6:6">
      <c r="F55925" s="2423"/>
    </row>
    <row r="55926" s="101" customFormat="1" spans="6:6">
      <c r="F55926" s="2423"/>
    </row>
    <row r="55927" s="101" customFormat="1" spans="6:6">
      <c r="F55927" s="2423"/>
    </row>
    <row r="55928" s="101" customFormat="1" spans="6:6">
      <c r="F55928" s="2423"/>
    </row>
    <row r="55929" s="101" customFormat="1" spans="6:6">
      <c r="F55929" s="2423"/>
    </row>
    <row r="55930" s="101" customFormat="1" spans="6:6">
      <c r="F55930" s="2423"/>
    </row>
    <row r="55931" s="101" customFormat="1" spans="6:6">
      <c r="F55931" s="2423"/>
    </row>
    <row r="55932" s="101" customFormat="1" spans="6:6">
      <c r="F55932" s="2423"/>
    </row>
    <row r="55933" s="101" customFormat="1" spans="6:6">
      <c r="F55933" s="2423"/>
    </row>
    <row r="55934" s="101" customFormat="1" spans="6:6">
      <c r="F55934" s="2423"/>
    </row>
    <row r="55935" s="101" customFormat="1" spans="6:6">
      <c r="F55935" s="2423"/>
    </row>
    <row r="55936" s="101" customFormat="1" spans="6:6">
      <c r="F55936" s="2423"/>
    </row>
    <row r="55937" s="101" customFormat="1" spans="6:6">
      <c r="F55937" s="2423"/>
    </row>
    <row r="55938" s="101" customFormat="1" spans="6:6">
      <c r="F55938" s="2423"/>
    </row>
    <row r="55939" s="101" customFormat="1" spans="6:6">
      <c r="F55939" s="2423"/>
    </row>
    <row r="55940" s="101" customFormat="1" spans="6:6">
      <c r="F55940" s="2423"/>
    </row>
    <row r="55941" s="101" customFormat="1" spans="6:6">
      <c r="F55941" s="2423"/>
    </row>
    <row r="55942" s="101" customFormat="1" spans="6:6">
      <c r="F55942" s="2423"/>
    </row>
    <row r="55943" s="101" customFormat="1" spans="6:6">
      <c r="F55943" s="2423"/>
    </row>
    <row r="55944" s="101" customFormat="1" spans="6:6">
      <c r="F55944" s="2423"/>
    </row>
    <row r="55945" s="101" customFormat="1" spans="6:6">
      <c r="F55945" s="2423"/>
    </row>
    <row r="55946" s="101" customFormat="1" spans="6:6">
      <c r="F55946" s="2423"/>
    </row>
    <row r="55947" s="101" customFormat="1" spans="6:6">
      <c r="F55947" s="2423"/>
    </row>
    <row r="55948" s="101" customFormat="1" spans="6:6">
      <c r="F55948" s="2423"/>
    </row>
    <row r="55949" s="101" customFormat="1" spans="6:6">
      <c r="F55949" s="2423"/>
    </row>
    <row r="55950" s="101" customFormat="1" spans="6:6">
      <c r="F55950" s="2423"/>
    </row>
    <row r="55951" s="101" customFormat="1" spans="6:6">
      <c r="F55951" s="2423"/>
    </row>
    <row r="55952" s="101" customFormat="1" spans="6:6">
      <c r="F55952" s="2423"/>
    </row>
    <row r="55953" s="101" customFormat="1" spans="6:6">
      <c r="F55953" s="2423"/>
    </row>
    <row r="55954" s="101" customFormat="1" spans="6:6">
      <c r="F55954" s="2423"/>
    </row>
    <row r="55955" s="101" customFormat="1" spans="6:6">
      <c r="F55955" s="2423"/>
    </row>
    <row r="55956" s="101" customFormat="1" spans="6:6">
      <c r="F55956" s="2423"/>
    </row>
    <row r="55957" s="101" customFormat="1" spans="6:6">
      <c r="F55957" s="2423"/>
    </row>
    <row r="55958" s="101" customFormat="1" spans="6:6">
      <c r="F55958" s="2423"/>
    </row>
    <row r="55959" s="101" customFormat="1" spans="6:6">
      <c r="F55959" s="2423"/>
    </row>
    <row r="55960" s="101" customFormat="1" spans="6:6">
      <c r="F55960" s="2423"/>
    </row>
    <row r="55961" s="101" customFormat="1" spans="6:6">
      <c r="F55961" s="2423"/>
    </row>
    <row r="55962" s="101" customFormat="1" spans="6:6">
      <c r="F55962" s="2423"/>
    </row>
    <row r="55963" s="101" customFormat="1" spans="6:6">
      <c r="F55963" s="2423"/>
    </row>
    <row r="55964" s="101" customFormat="1" spans="6:6">
      <c r="F55964" s="2423"/>
    </row>
    <row r="55965" s="101" customFormat="1" spans="6:6">
      <c r="F55965" s="2423"/>
    </row>
    <row r="55966" s="101" customFormat="1" spans="6:6">
      <c r="F55966" s="2423"/>
    </row>
    <row r="55967" s="101" customFormat="1" spans="6:6">
      <c r="F55967" s="2423"/>
    </row>
    <row r="55968" s="101" customFormat="1" spans="6:6">
      <c r="F55968" s="2423"/>
    </row>
    <row r="55969" s="101" customFormat="1" spans="6:6">
      <c r="F55969" s="2423"/>
    </row>
    <row r="55970" s="101" customFormat="1" spans="6:6">
      <c r="F55970" s="2423"/>
    </row>
    <row r="55971" s="101" customFormat="1" spans="6:6">
      <c r="F55971" s="2423"/>
    </row>
    <row r="55972" s="101" customFormat="1" spans="6:6">
      <c r="F55972" s="2423"/>
    </row>
    <row r="55973" s="101" customFormat="1" spans="6:6">
      <c r="F55973" s="2423"/>
    </row>
    <row r="55974" s="101" customFormat="1" spans="6:6">
      <c r="F55974" s="2423"/>
    </row>
    <row r="55975" s="101" customFormat="1" spans="6:6">
      <c r="F55975" s="2423"/>
    </row>
    <row r="55976" s="101" customFormat="1" spans="6:6">
      <c r="F55976" s="2423"/>
    </row>
    <row r="55977" s="101" customFormat="1" spans="6:6">
      <c r="F55977" s="2423"/>
    </row>
    <row r="55978" s="101" customFormat="1" spans="6:6">
      <c r="F55978" s="2423"/>
    </row>
    <row r="55979" s="101" customFormat="1" spans="6:6">
      <c r="F55979" s="2423"/>
    </row>
    <row r="55980" s="101" customFormat="1" spans="6:6">
      <c r="F55980" s="2423"/>
    </row>
    <row r="55981" s="101" customFormat="1" spans="6:6">
      <c r="F55981" s="2423"/>
    </row>
    <row r="55982" s="101" customFormat="1" spans="6:6">
      <c r="F55982" s="2423"/>
    </row>
    <row r="55983" s="101" customFormat="1" spans="6:6">
      <c r="F55983" s="2423"/>
    </row>
    <row r="55984" s="101" customFormat="1" spans="6:6">
      <c r="F55984" s="2423"/>
    </row>
    <row r="55985" s="101" customFormat="1" spans="6:6">
      <c r="F55985" s="2423"/>
    </row>
    <row r="55986" s="101" customFormat="1" spans="6:6">
      <c r="F55986" s="2423"/>
    </row>
    <row r="55987" s="101" customFormat="1" spans="6:6">
      <c r="F55987" s="2423"/>
    </row>
    <row r="55988" s="101" customFormat="1" spans="6:6">
      <c r="F55988" s="2423"/>
    </row>
    <row r="55989" s="101" customFormat="1" spans="6:6">
      <c r="F55989" s="2423"/>
    </row>
    <row r="55990" s="101" customFormat="1" spans="6:6">
      <c r="F55990" s="2423"/>
    </row>
    <row r="55991" s="101" customFormat="1" spans="6:6">
      <c r="F55991" s="2423"/>
    </row>
    <row r="55992" s="101" customFormat="1" spans="6:6">
      <c r="F55992" s="2423"/>
    </row>
    <row r="55993" s="101" customFormat="1" spans="6:6">
      <c r="F55993" s="2423"/>
    </row>
    <row r="55994" s="101" customFormat="1" spans="6:6">
      <c r="F55994" s="2423"/>
    </row>
    <row r="55995" s="101" customFormat="1" spans="6:6">
      <c r="F55995" s="2423"/>
    </row>
    <row r="55996" s="101" customFormat="1" spans="6:6">
      <c r="F55996" s="2423"/>
    </row>
    <row r="55997" s="101" customFormat="1" spans="6:6">
      <c r="F55997" s="2423"/>
    </row>
    <row r="55998" s="101" customFormat="1" spans="6:6">
      <c r="F55998" s="2423"/>
    </row>
    <row r="55999" s="101" customFormat="1" spans="6:6">
      <c r="F55999" s="2423"/>
    </row>
    <row r="56000" s="101" customFormat="1" spans="6:6">
      <c r="F56000" s="2423"/>
    </row>
    <row r="56001" s="101" customFormat="1" spans="6:6">
      <c r="F56001" s="2423"/>
    </row>
    <row r="56002" s="101" customFormat="1" spans="6:6">
      <c r="F56002" s="2423"/>
    </row>
    <row r="56003" s="101" customFormat="1" spans="6:6">
      <c r="F56003" s="2423"/>
    </row>
    <row r="56004" s="101" customFormat="1" spans="6:6">
      <c r="F56004" s="2423"/>
    </row>
    <row r="56005" s="101" customFormat="1" spans="6:6">
      <c r="F56005" s="2423"/>
    </row>
    <row r="56006" s="101" customFormat="1" spans="6:6">
      <c r="F56006" s="2423"/>
    </row>
    <row r="56007" s="101" customFormat="1" spans="6:6">
      <c r="F56007" s="2423"/>
    </row>
    <row r="56008" s="101" customFormat="1" spans="6:6">
      <c r="F56008" s="2423"/>
    </row>
    <row r="56009" s="101" customFormat="1" spans="6:6">
      <c r="F56009" s="2423"/>
    </row>
    <row r="56010" s="101" customFormat="1" spans="6:6">
      <c r="F56010" s="2423"/>
    </row>
    <row r="56011" s="101" customFormat="1" spans="6:6">
      <c r="F56011" s="2423"/>
    </row>
    <row r="56012" s="101" customFormat="1" spans="6:6">
      <c r="F56012" s="2423"/>
    </row>
    <row r="56013" s="101" customFormat="1" spans="6:6">
      <c r="F56013" s="2423"/>
    </row>
    <row r="56014" s="101" customFormat="1" spans="6:6">
      <c r="F56014" s="2423"/>
    </row>
    <row r="56015" s="101" customFormat="1" spans="6:6">
      <c r="F56015" s="2423"/>
    </row>
    <row r="56016" s="101" customFormat="1" spans="6:6">
      <c r="F56016" s="2423"/>
    </row>
    <row r="56017" s="101" customFormat="1" spans="6:6">
      <c r="F56017" s="2423"/>
    </row>
    <row r="56018" s="101" customFormat="1" spans="6:6">
      <c r="F56018" s="2423"/>
    </row>
    <row r="56019" s="101" customFormat="1" spans="6:6">
      <c r="F56019" s="2423"/>
    </row>
    <row r="56020" s="101" customFormat="1" spans="6:6">
      <c r="F56020" s="2423"/>
    </row>
    <row r="56021" s="101" customFormat="1" spans="6:6">
      <c r="F56021" s="2423"/>
    </row>
    <row r="56022" s="101" customFormat="1" spans="6:6">
      <c r="F56022" s="2423"/>
    </row>
    <row r="56023" s="101" customFormat="1" spans="6:6">
      <c r="F56023" s="2423"/>
    </row>
    <row r="56024" s="101" customFormat="1" spans="6:6">
      <c r="F56024" s="2423"/>
    </row>
    <row r="56025" s="101" customFormat="1" spans="6:6">
      <c r="F56025" s="2423"/>
    </row>
    <row r="56026" s="101" customFormat="1" spans="6:6">
      <c r="F56026" s="2423"/>
    </row>
    <row r="56027" s="101" customFormat="1" spans="6:6">
      <c r="F56027" s="2423"/>
    </row>
    <row r="56028" s="101" customFormat="1" spans="6:6">
      <c r="F56028" s="2423"/>
    </row>
    <row r="56029" s="101" customFormat="1" spans="6:6">
      <c r="F56029" s="2423"/>
    </row>
    <row r="56030" s="101" customFormat="1" spans="6:6">
      <c r="F56030" s="2423"/>
    </row>
    <row r="56031" s="101" customFormat="1" spans="6:6">
      <c r="F56031" s="2423"/>
    </row>
    <row r="56032" s="101" customFormat="1" spans="6:6">
      <c r="F56032" s="2423"/>
    </row>
    <row r="56033" s="101" customFormat="1" spans="6:6">
      <c r="F56033" s="2423"/>
    </row>
    <row r="56034" s="101" customFormat="1" spans="6:6">
      <c r="F56034" s="2423"/>
    </row>
    <row r="56035" s="101" customFormat="1" spans="6:6">
      <c r="F56035" s="2423"/>
    </row>
    <row r="56036" s="101" customFormat="1" spans="6:6">
      <c r="F56036" s="2423"/>
    </row>
    <row r="56037" s="101" customFormat="1" spans="6:6">
      <c r="F56037" s="2423"/>
    </row>
    <row r="56038" s="101" customFormat="1" spans="6:6">
      <c r="F56038" s="2423"/>
    </row>
    <row r="56039" s="101" customFormat="1" spans="6:6">
      <c r="F56039" s="2423"/>
    </row>
    <row r="56040" s="101" customFormat="1" spans="6:6">
      <c r="F56040" s="2423"/>
    </row>
    <row r="56041" s="101" customFormat="1" spans="6:6">
      <c r="F56041" s="2423"/>
    </row>
    <row r="56042" s="101" customFormat="1" spans="6:6">
      <c r="F56042" s="2423"/>
    </row>
    <row r="56043" s="101" customFormat="1" spans="6:6">
      <c r="F56043" s="2423"/>
    </row>
    <row r="56044" s="101" customFormat="1" spans="6:6">
      <c r="F56044" s="2423"/>
    </row>
    <row r="56045" s="101" customFormat="1" spans="6:6">
      <c r="F56045" s="2423"/>
    </row>
    <row r="56046" s="101" customFormat="1" spans="6:6">
      <c r="F56046" s="2423"/>
    </row>
    <row r="56047" s="101" customFormat="1" spans="6:6">
      <c r="F56047" s="2423"/>
    </row>
    <row r="56048" s="101" customFormat="1" spans="6:6">
      <c r="F56048" s="2423"/>
    </row>
    <row r="56049" s="101" customFormat="1" spans="6:6">
      <c r="F56049" s="2423"/>
    </row>
    <row r="56050" s="101" customFormat="1" spans="6:6">
      <c r="F56050" s="2423"/>
    </row>
    <row r="56051" s="101" customFormat="1" spans="6:6">
      <c r="F56051" s="2423"/>
    </row>
    <row r="56052" s="101" customFormat="1" spans="6:6">
      <c r="F56052" s="2423"/>
    </row>
    <row r="56053" s="101" customFormat="1" spans="6:6">
      <c r="F56053" s="2423"/>
    </row>
    <row r="56054" s="101" customFormat="1" spans="6:6">
      <c r="F56054" s="2423"/>
    </row>
    <row r="56055" s="101" customFormat="1" spans="6:6">
      <c r="F56055" s="2423"/>
    </row>
    <row r="56056" s="101" customFormat="1" spans="6:6">
      <c r="F56056" s="2423"/>
    </row>
    <row r="56057" s="101" customFormat="1" spans="6:6">
      <c r="F56057" s="2423"/>
    </row>
    <row r="56058" s="101" customFormat="1" spans="6:6">
      <c r="F56058" s="2423"/>
    </row>
    <row r="56059" s="101" customFormat="1" spans="6:6">
      <c r="F56059" s="2423"/>
    </row>
    <row r="56060" s="101" customFormat="1" spans="6:6">
      <c r="F56060" s="2423"/>
    </row>
    <row r="56061" s="101" customFormat="1" spans="6:6">
      <c r="F56061" s="2423"/>
    </row>
    <row r="56062" s="101" customFormat="1" spans="6:6">
      <c r="F56062" s="2423"/>
    </row>
    <row r="56063" s="101" customFormat="1" spans="6:6">
      <c r="F56063" s="2423"/>
    </row>
    <row r="56064" s="101" customFormat="1" spans="6:6">
      <c r="F56064" s="2423"/>
    </row>
    <row r="56065" s="101" customFormat="1" spans="6:6">
      <c r="F56065" s="2423"/>
    </row>
    <row r="56066" s="101" customFormat="1" spans="6:6">
      <c r="F56066" s="2423"/>
    </row>
    <row r="56067" s="101" customFormat="1" spans="6:6">
      <c r="F56067" s="2423"/>
    </row>
    <row r="56068" s="101" customFormat="1" spans="6:6">
      <c r="F56068" s="2423"/>
    </row>
    <row r="56069" s="101" customFormat="1" spans="6:6">
      <c r="F56069" s="2423"/>
    </row>
    <row r="56070" s="101" customFormat="1" spans="6:6">
      <c r="F56070" s="2423"/>
    </row>
    <row r="56071" s="101" customFormat="1" spans="6:6">
      <c r="F56071" s="2423"/>
    </row>
    <row r="56072" s="101" customFormat="1" spans="6:6">
      <c r="F56072" s="2423"/>
    </row>
    <row r="56073" s="101" customFormat="1" spans="6:6">
      <c r="F56073" s="2423"/>
    </row>
    <row r="56074" s="101" customFormat="1" spans="6:6">
      <c r="F56074" s="2423"/>
    </row>
    <row r="56075" s="101" customFormat="1" spans="6:6">
      <c r="F56075" s="2423"/>
    </row>
    <row r="56076" s="101" customFormat="1" spans="6:6">
      <c r="F56076" s="2423"/>
    </row>
    <row r="56077" s="101" customFormat="1" spans="6:6">
      <c r="F56077" s="2423"/>
    </row>
    <row r="56078" s="101" customFormat="1" spans="6:6">
      <c r="F56078" s="2423"/>
    </row>
    <row r="56079" s="101" customFormat="1" spans="6:6">
      <c r="F56079" s="2423"/>
    </row>
    <row r="56080" s="101" customFormat="1" spans="6:6">
      <c r="F56080" s="2423"/>
    </row>
    <row r="56081" s="101" customFormat="1" spans="6:6">
      <c r="F56081" s="2423"/>
    </row>
    <row r="56082" s="101" customFormat="1" spans="6:6">
      <c r="F56082" s="2423"/>
    </row>
    <row r="56083" s="101" customFormat="1" spans="6:6">
      <c r="F56083" s="2423"/>
    </row>
    <row r="56084" s="101" customFormat="1" spans="6:6">
      <c r="F56084" s="2423"/>
    </row>
    <row r="56085" s="101" customFormat="1" spans="6:6">
      <c r="F56085" s="2423"/>
    </row>
    <row r="56086" s="101" customFormat="1" spans="6:6">
      <c r="F56086" s="2423"/>
    </row>
    <row r="56087" s="101" customFormat="1" spans="6:6">
      <c r="F56087" s="2423"/>
    </row>
    <row r="56088" s="101" customFormat="1" spans="6:6">
      <c r="F56088" s="2423"/>
    </row>
    <row r="56089" s="101" customFormat="1" spans="6:6">
      <c r="F56089" s="2423"/>
    </row>
    <row r="56090" s="101" customFormat="1" spans="6:6">
      <c r="F56090" s="2423"/>
    </row>
    <row r="56091" s="101" customFormat="1" spans="6:6">
      <c r="F56091" s="2423"/>
    </row>
    <row r="56092" s="101" customFormat="1" spans="6:6">
      <c r="F56092" s="2423"/>
    </row>
    <row r="56093" s="101" customFormat="1" spans="6:6">
      <c r="F56093" s="2423"/>
    </row>
    <row r="56094" s="101" customFormat="1" spans="6:6">
      <c r="F56094" s="2423"/>
    </row>
    <row r="56095" s="101" customFormat="1" spans="6:6">
      <c r="F56095" s="2423"/>
    </row>
    <row r="56096" s="101" customFormat="1" spans="6:6">
      <c r="F56096" s="2423"/>
    </row>
    <row r="56097" s="101" customFormat="1" spans="6:6">
      <c r="F56097" s="2423"/>
    </row>
    <row r="56098" s="101" customFormat="1" spans="6:6">
      <c r="F56098" s="2423"/>
    </row>
    <row r="56099" s="101" customFormat="1" spans="6:6">
      <c r="F56099" s="2423"/>
    </row>
    <row r="56100" s="101" customFormat="1" spans="6:6">
      <c r="F56100" s="2423"/>
    </row>
    <row r="56101" s="101" customFormat="1" spans="6:6">
      <c r="F56101" s="2423"/>
    </row>
    <row r="56102" s="101" customFormat="1" spans="6:6">
      <c r="F56102" s="2423"/>
    </row>
    <row r="56103" s="101" customFormat="1" spans="6:6">
      <c r="F56103" s="2423"/>
    </row>
    <row r="56104" s="101" customFormat="1" spans="6:6">
      <c r="F56104" s="2423"/>
    </row>
    <row r="56105" s="101" customFormat="1" spans="6:6">
      <c r="F56105" s="2423"/>
    </row>
    <row r="56106" s="101" customFormat="1" spans="6:6">
      <c r="F56106" s="2423"/>
    </row>
    <row r="56107" s="101" customFormat="1" spans="6:6">
      <c r="F56107" s="2423"/>
    </row>
    <row r="56108" s="101" customFormat="1" spans="6:6">
      <c r="F56108" s="2423"/>
    </row>
    <row r="56109" s="101" customFormat="1" spans="6:6">
      <c r="F56109" s="2423"/>
    </row>
    <row r="56110" s="101" customFormat="1" spans="6:6">
      <c r="F56110" s="2423"/>
    </row>
    <row r="56111" s="101" customFormat="1" spans="6:6">
      <c r="F56111" s="2423"/>
    </row>
    <row r="56112" s="101" customFormat="1" spans="6:6">
      <c r="F56112" s="2423"/>
    </row>
    <row r="56113" s="101" customFormat="1" spans="6:6">
      <c r="F56113" s="2423"/>
    </row>
    <row r="56114" s="101" customFormat="1" spans="6:6">
      <c r="F56114" s="2423"/>
    </row>
    <row r="56115" s="101" customFormat="1" spans="6:6">
      <c r="F56115" s="2423"/>
    </row>
    <row r="56116" s="101" customFormat="1" spans="6:6">
      <c r="F56116" s="2423"/>
    </row>
    <row r="56117" s="101" customFormat="1" spans="6:6">
      <c r="F56117" s="2423"/>
    </row>
    <row r="56118" s="101" customFormat="1" spans="6:6">
      <c r="F56118" s="2423"/>
    </row>
    <row r="56119" s="101" customFormat="1" spans="6:6">
      <c r="F56119" s="2423"/>
    </row>
    <row r="56120" s="101" customFormat="1" spans="6:6">
      <c r="F56120" s="2423"/>
    </row>
    <row r="56121" s="101" customFormat="1" spans="6:6">
      <c r="F56121" s="2423"/>
    </row>
    <row r="56122" s="101" customFormat="1" spans="6:6">
      <c r="F56122" s="2423"/>
    </row>
    <row r="56123" s="101" customFormat="1" spans="6:6">
      <c r="F56123" s="2423"/>
    </row>
    <row r="56124" s="101" customFormat="1" spans="6:6">
      <c r="F56124" s="2423"/>
    </row>
    <row r="56125" s="101" customFormat="1" spans="6:6">
      <c r="F56125" s="2423"/>
    </row>
    <row r="56126" s="101" customFormat="1" spans="6:6">
      <c r="F56126" s="2423"/>
    </row>
    <row r="56127" s="101" customFormat="1" spans="6:6">
      <c r="F56127" s="2423"/>
    </row>
    <row r="56128" s="101" customFormat="1" spans="6:6">
      <c r="F56128" s="2423"/>
    </row>
    <row r="56129" s="101" customFormat="1" spans="6:6">
      <c r="F56129" s="2423"/>
    </row>
    <row r="56130" s="101" customFormat="1" spans="6:6">
      <c r="F56130" s="2423"/>
    </row>
    <row r="56131" s="101" customFormat="1" spans="6:6">
      <c r="F56131" s="2423"/>
    </row>
    <row r="56132" s="101" customFormat="1" spans="6:6">
      <c r="F56132" s="2423"/>
    </row>
    <row r="56133" s="101" customFormat="1" spans="6:6">
      <c r="F56133" s="2423"/>
    </row>
    <row r="56134" s="101" customFormat="1" spans="6:6">
      <c r="F56134" s="2423"/>
    </row>
    <row r="56135" s="101" customFormat="1" spans="6:6">
      <c r="F56135" s="2423"/>
    </row>
    <row r="56136" s="101" customFormat="1" spans="6:6">
      <c r="F56136" s="2423"/>
    </row>
    <row r="56137" s="101" customFormat="1" spans="6:6">
      <c r="F56137" s="2423"/>
    </row>
    <row r="56138" s="101" customFormat="1" spans="6:6">
      <c r="F56138" s="2423"/>
    </row>
    <row r="56139" s="101" customFormat="1" spans="6:6">
      <c r="F56139" s="2423"/>
    </row>
    <row r="56140" s="101" customFormat="1" spans="6:6">
      <c r="F56140" s="2423"/>
    </row>
    <row r="56141" s="101" customFormat="1" spans="6:6">
      <c r="F56141" s="2423"/>
    </row>
    <row r="56142" s="101" customFormat="1" spans="6:6">
      <c r="F56142" s="2423"/>
    </row>
    <row r="56143" s="101" customFormat="1" spans="6:6">
      <c r="F56143" s="2423"/>
    </row>
    <row r="56144" s="101" customFormat="1" spans="6:6">
      <c r="F56144" s="2423"/>
    </row>
    <row r="56145" s="101" customFormat="1" spans="6:6">
      <c r="F56145" s="2423"/>
    </row>
    <row r="56146" s="101" customFormat="1" spans="6:6">
      <c r="F56146" s="2423"/>
    </row>
    <row r="56147" s="101" customFormat="1" spans="6:6">
      <c r="F56147" s="2423"/>
    </row>
    <row r="56148" s="101" customFormat="1" spans="6:6">
      <c r="F56148" s="2423"/>
    </row>
    <row r="56149" s="101" customFormat="1" spans="6:6">
      <c r="F56149" s="2423"/>
    </row>
    <row r="56150" s="101" customFormat="1" spans="6:6">
      <c r="F56150" s="2423"/>
    </row>
    <row r="56151" s="101" customFormat="1" spans="6:6">
      <c r="F56151" s="2423"/>
    </row>
    <row r="56152" s="101" customFormat="1" spans="6:6">
      <c r="F56152" s="2423"/>
    </row>
    <row r="56153" s="101" customFormat="1" spans="6:6">
      <c r="F56153" s="2423"/>
    </row>
    <row r="56154" s="101" customFormat="1" spans="6:6">
      <c r="F56154" s="2423"/>
    </row>
    <row r="56155" s="101" customFormat="1" spans="6:6">
      <c r="F56155" s="2423"/>
    </row>
    <row r="56156" s="101" customFormat="1" spans="6:6">
      <c r="F56156" s="2423"/>
    </row>
    <row r="56157" s="101" customFormat="1" spans="6:6">
      <c r="F56157" s="2423"/>
    </row>
    <row r="56158" s="101" customFormat="1" spans="6:6">
      <c r="F56158" s="2423"/>
    </row>
    <row r="56159" s="101" customFormat="1" spans="6:6">
      <c r="F56159" s="2423"/>
    </row>
    <row r="56160" s="101" customFormat="1" spans="6:6">
      <c r="F56160" s="2423"/>
    </row>
    <row r="56161" s="101" customFormat="1" spans="6:6">
      <c r="F56161" s="2423"/>
    </row>
    <row r="56162" s="101" customFormat="1" spans="6:6">
      <c r="F56162" s="2423"/>
    </row>
    <row r="56163" s="101" customFormat="1" spans="6:6">
      <c r="F56163" s="2423"/>
    </row>
    <row r="56164" s="101" customFormat="1" spans="6:6">
      <c r="F56164" s="2423"/>
    </row>
    <row r="56165" s="101" customFormat="1" spans="6:6">
      <c r="F56165" s="2423"/>
    </row>
    <row r="56166" s="101" customFormat="1" spans="6:6">
      <c r="F56166" s="2423"/>
    </row>
    <row r="56167" s="101" customFormat="1" spans="6:6">
      <c r="F56167" s="2423"/>
    </row>
    <row r="56168" s="101" customFormat="1" spans="6:6">
      <c r="F56168" s="2423"/>
    </row>
    <row r="56169" s="101" customFormat="1" spans="6:6">
      <c r="F56169" s="2423"/>
    </row>
    <row r="56170" s="101" customFormat="1" spans="6:6">
      <c r="F56170" s="2423"/>
    </row>
    <row r="56171" s="101" customFormat="1" spans="6:6">
      <c r="F56171" s="2423"/>
    </row>
    <row r="56172" s="101" customFormat="1" spans="6:6">
      <c r="F56172" s="2423"/>
    </row>
    <row r="56173" s="101" customFormat="1" spans="6:6">
      <c r="F56173" s="2423"/>
    </row>
    <row r="56174" s="101" customFormat="1" spans="6:6">
      <c r="F56174" s="2423"/>
    </row>
    <row r="56175" s="101" customFormat="1" spans="6:6">
      <c r="F56175" s="2423"/>
    </row>
    <row r="56176" s="101" customFormat="1" spans="6:6">
      <c r="F56176" s="2423"/>
    </row>
    <row r="56177" s="101" customFormat="1" spans="6:6">
      <c r="F56177" s="2423"/>
    </row>
    <row r="56178" s="101" customFormat="1" spans="6:6">
      <c r="F56178" s="2423"/>
    </row>
    <row r="56179" s="101" customFormat="1" spans="6:6">
      <c r="F56179" s="2423"/>
    </row>
    <row r="56180" s="101" customFormat="1" spans="6:6">
      <c r="F56180" s="2423"/>
    </row>
    <row r="56181" s="101" customFormat="1" spans="6:6">
      <c r="F56181" s="2423"/>
    </row>
    <row r="56182" s="101" customFormat="1" spans="6:6">
      <c r="F56182" s="2423"/>
    </row>
    <row r="56183" s="101" customFormat="1" spans="6:6">
      <c r="F56183" s="2423"/>
    </row>
    <row r="56184" s="101" customFormat="1" spans="6:6">
      <c r="F56184" s="2423"/>
    </row>
    <row r="56185" s="101" customFormat="1" spans="6:6">
      <c r="F56185" s="2423"/>
    </row>
    <row r="56186" s="101" customFormat="1" spans="6:6">
      <c r="F56186" s="2423"/>
    </row>
    <row r="56187" s="101" customFormat="1" spans="6:6">
      <c r="F56187" s="2423"/>
    </row>
    <row r="56188" s="101" customFormat="1" spans="6:6">
      <c r="F56188" s="2423"/>
    </row>
    <row r="56189" s="101" customFormat="1" spans="6:6">
      <c r="F56189" s="2423"/>
    </row>
    <row r="56190" s="101" customFormat="1" spans="6:6">
      <c r="F56190" s="2423"/>
    </row>
    <row r="56191" s="101" customFormat="1" spans="6:6">
      <c r="F56191" s="2423"/>
    </row>
    <row r="56192" s="101" customFormat="1" spans="6:6">
      <c r="F56192" s="2423"/>
    </row>
    <row r="56193" s="101" customFormat="1" spans="6:6">
      <c r="F56193" s="2423"/>
    </row>
    <row r="56194" s="101" customFormat="1" spans="6:6">
      <c r="F56194" s="2423"/>
    </row>
    <row r="56195" s="101" customFormat="1" spans="6:6">
      <c r="F56195" s="2423"/>
    </row>
    <row r="56196" s="101" customFormat="1" spans="6:6">
      <c r="F56196" s="2423"/>
    </row>
    <row r="56197" s="101" customFormat="1" spans="6:6">
      <c r="F56197" s="2423"/>
    </row>
    <row r="56198" s="101" customFormat="1" spans="6:6">
      <c r="F56198" s="2423"/>
    </row>
    <row r="56199" s="101" customFormat="1" spans="6:6">
      <c r="F56199" s="2423"/>
    </row>
    <row r="56200" s="101" customFormat="1" spans="6:6">
      <c r="F56200" s="2423"/>
    </row>
    <row r="56201" s="101" customFormat="1" spans="6:6">
      <c r="F56201" s="2423"/>
    </row>
    <row r="56202" s="101" customFormat="1" spans="6:6">
      <c r="F56202" s="2423"/>
    </row>
    <row r="56203" s="101" customFormat="1" spans="6:6">
      <c r="F56203" s="2423"/>
    </row>
    <row r="56204" s="101" customFormat="1" spans="6:6">
      <c r="F56204" s="2423"/>
    </row>
    <row r="56205" s="101" customFormat="1" spans="6:6">
      <c r="F56205" s="2423"/>
    </row>
    <row r="56206" s="101" customFormat="1" spans="6:6">
      <c r="F56206" s="2423"/>
    </row>
    <row r="56207" s="101" customFormat="1" spans="6:6">
      <c r="F56207" s="2423"/>
    </row>
    <row r="56208" s="101" customFormat="1" spans="6:6">
      <c r="F56208" s="2423"/>
    </row>
    <row r="56209" s="101" customFormat="1" spans="6:6">
      <c r="F56209" s="2423"/>
    </row>
    <row r="56210" s="101" customFormat="1" spans="6:6">
      <c r="F56210" s="2423"/>
    </row>
    <row r="56211" s="101" customFormat="1" spans="6:6">
      <c r="F56211" s="2423"/>
    </row>
    <row r="56212" s="101" customFormat="1" spans="6:6">
      <c r="F56212" s="2423"/>
    </row>
    <row r="56213" s="101" customFormat="1" spans="6:6">
      <c r="F56213" s="2423"/>
    </row>
    <row r="56214" s="101" customFormat="1" spans="6:6">
      <c r="F56214" s="2423"/>
    </row>
    <row r="56215" s="101" customFormat="1" spans="6:6">
      <c r="F56215" s="2423"/>
    </row>
    <row r="56216" s="101" customFormat="1" spans="6:6">
      <c r="F56216" s="2423"/>
    </row>
    <row r="56217" s="101" customFormat="1" spans="6:6">
      <c r="F56217" s="2423"/>
    </row>
    <row r="56218" s="101" customFormat="1" spans="6:6">
      <c r="F56218" s="2423"/>
    </row>
    <row r="56219" s="101" customFormat="1" spans="6:6">
      <c r="F56219" s="2423"/>
    </row>
    <row r="56220" s="101" customFormat="1" spans="6:6">
      <c r="F56220" s="2423"/>
    </row>
    <row r="56221" s="101" customFormat="1" spans="6:6">
      <c r="F56221" s="2423"/>
    </row>
    <row r="56222" s="101" customFormat="1" spans="6:6">
      <c r="F56222" s="2423"/>
    </row>
    <row r="56223" s="101" customFormat="1" spans="6:6">
      <c r="F56223" s="2423"/>
    </row>
    <row r="56224" s="101" customFormat="1" spans="6:6">
      <c r="F56224" s="2423"/>
    </row>
    <row r="56225" s="101" customFormat="1" spans="6:6">
      <c r="F56225" s="2423"/>
    </row>
    <row r="56226" s="101" customFormat="1" spans="6:6">
      <c r="F56226" s="2423"/>
    </row>
    <row r="56227" s="101" customFormat="1" spans="6:6">
      <c r="F56227" s="2423"/>
    </row>
    <row r="56228" s="101" customFormat="1" spans="6:6">
      <c r="F56228" s="2423"/>
    </row>
    <row r="56229" s="101" customFormat="1" spans="6:6">
      <c r="F56229" s="2423"/>
    </row>
    <row r="56230" s="101" customFormat="1" spans="6:6">
      <c r="F56230" s="2423"/>
    </row>
    <row r="56231" s="101" customFormat="1" spans="6:6">
      <c r="F56231" s="2423"/>
    </row>
    <row r="56232" s="101" customFormat="1" spans="6:6">
      <c r="F56232" s="2423"/>
    </row>
    <row r="56233" s="101" customFormat="1" spans="6:6">
      <c r="F56233" s="2423"/>
    </row>
    <row r="56234" s="101" customFormat="1" spans="6:6">
      <c r="F56234" s="2423"/>
    </row>
    <row r="56235" s="101" customFormat="1" spans="6:6">
      <c r="F56235" s="2423"/>
    </row>
    <row r="56236" s="101" customFormat="1" spans="6:6">
      <c r="F56236" s="2423"/>
    </row>
    <row r="56237" s="101" customFormat="1" spans="6:6">
      <c r="F56237" s="2423"/>
    </row>
    <row r="56238" s="101" customFormat="1" spans="6:6">
      <c r="F56238" s="2423"/>
    </row>
    <row r="56239" s="101" customFormat="1" spans="6:6">
      <c r="F56239" s="2423"/>
    </row>
    <row r="56240" s="101" customFormat="1" spans="6:6">
      <c r="F56240" s="2423"/>
    </row>
    <row r="56241" s="101" customFormat="1" spans="6:6">
      <c r="F56241" s="2423"/>
    </row>
    <row r="56242" s="101" customFormat="1" spans="6:6">
      <c r="F56242" s="2423"/>
    </row>
    <row r="56243" s="101" customFormat="1" spans="6:6">
      <c r="F56243" s="2423"/>
    </row>
    <row r="56244" s="101" customFormat="1" spans="6:6">
      <c r="F56244" s="2423"/>
    </row>
    <row r="56245" s="101" customFormat="1" spans="6:6">
      <c r="F56245" s="2423"/>
    </row>
    <row r="56246" s="101" customFormat="1" spans="6:6">
      <c r="F56246" s="2423"/>
    </row>
    <row r="56247" s="101" customFormat="1" spans="6:6">
      <c r="F56247" s="2423"/>
    </row>
    <row r="56248" s="101" customFormat="1" spans="6:6">
      <c r="F56248" s="2423"/>
    </row>
    <row r="56249" s="101" customFormat="1" spans="6:6">
      <c r="F56249" s="2423"/>
    </row>
    <row r="56250" s="101" customFormat="1" spans="6:6">
      <c r="F56250" s="2423"/>
    </row>
    <row r="56251" s="101" customFormat="1" spans="6:6">
      <c r="F56251" s="2423"/>
    </row>
    <row r="56252" s="101" customFormat="1" spans="6:6">
      <c r="F56252" s="2423"/>
    </row>
    <row r="56253" s="101" customFormat="1" spans="6:6">
      <c r="F56253" s="2423"/>
    </row>
    <row r="56254" s="101" customFormat="1" spans="6:6">
      <c r="F56254" s="2423"/>
    </row>
    <row r="56255" s="101" customFormat="1" spans="6:6">
      <c r="F56255" s="2423"/>
    </row>
    <row r="56256" s="101" customFormat="1" spans="6:6">
      <c r="F56256" s="2423"/>
    </row>
    <row r="56257" s="101" customFormat="1" spans="6:6">
      <c r="F56257" s="2423"/>
    </row>
    <row r="56258" s="101" customFormat="1" spans="6:6">
      <c r="F56258" s="2423"/>
    </row>
    <row r="56259" s="101" customFormat="1" spans="6:6">
      <c r="F56259" s="2423"/>
    </row>
    <row r="56260" s="101" customFormat="1" spans="6:6">
      <c r="F56260" s="2423"/>
    </row>
    <row r="56261" s="101" customFormat="1" spans="6:6">
      <c r="F56261" s="2423"/>
    </row>
    <row r="56262" s="101" customFormat="1" spans="6:6">
      <c r="F56262" s="2423"/>
    </row>
    <row r="56263" s="101" customFormat="1" spans="6:6">
      <c r="F56263" s="2423"/>
    </row>
    <row r="56264" s="101" customFormat="1" spans="6:6">
      <c r="F56264" s="2423"/>
    </row>
    <row r="56265" s="101" customFormat="1" spans="6:6">
      <c r="F56265" s="2423"/>
    </row>
    <row r="56266" s="101" customFormat="1" spans="6:6">
      <c r="F56266" s="2423"/>
    </row>
    <row r="56267" s="101" customFormat="1" spans="6:6">
      <c r="F56267" s="2423"/>
    </row>
    <row r="56268" s="101" customFormat="1" spans="6:6">
      <c r="F56268" s="2423"/>
    </row>
    <row r="56269" s="101" customFormat="1" spans="6:6">
      <c r="F56269" s="2423"/>
    </row>
    <row r="56270" s="101" customFormat="1" spans="6:6">
      <c r="F56270" s="2423"/>
    </row>
    <row r="56271" s="101" customFormat="1" spans="6:6">
      <c r="F56271" s="2423"/>
    </row>
    <row r="56272" s="101" customFormat="1" spans="6:6">
      <c r="F56272" s="2423"/>
    </row>
    <row r="56273" s="101" customFormat="1" spans="6:6">
      <c r="F56273" s="2423"/>
    </row>
    <row r="56274" s="101" customFormat="1" spans="6:6">
      <c r="F56274" s="2423"/>
    </row>
    <row r="56275" s="101" customFormat="1" spans="6:6">
      <c r="F56275" s="2423"/>
    </row>
    <row r="56276" s="101" customFormat="1" spans="6:6">
      <c r="F56276" s="2423"/>
    </row>
    <row r="56277" s="101" customFormat="1" spans="6:6">
      <c r="F56277" s="2423"/>
    </row>
    <row r="56278" s="101" customFormat="1" spans="6:6">
      <c r="F56278" s="2423"/>
    </row>
    <row r="56279" s="101" customFormat="1" spans="6:6">
      <c r="F56279" s="2423"/>
    </row>
    <row r="56280" s="101" customFormat="1" spans="6:6">
      <c r="F56280" s="2423"/>
    </row>
    <row r="56281" s="101" customFormat="1" spans="6:6">
      <c r="F56281" s="2423"/>
    </row>
    <row r="56282" s="101" customFormat="1" spans="6:6">
      <c r="F56282" s="2423"/>
    </row>
    <row r="56283" s="101" customFormat="1" spans="6:6">
      <c r="F56283" s="2423"/>
    </row>
    <row r="56284" s="101" customFormat="1" spans="6:6">
      <c r="F56284" s="2423"/>
    </row>
    <row r="56285" s="101" customFormat="1" spans="6:6">
      <c r="F56285" s="2423"/>
    </row>
    <row r="56286" s="101" customFormat="1" spans="6:6">
      <c r="F56286" s="2423"/>
    </row>
    <row r="56287" s="101" customFormat="1" spans="6:6">
      <c r="F56287" s="2423"/>
    </row>
    <row r="56288" s="101" customFormat="1" spans="6:6">
      <c r="F56288" s="2423"/>
    </row>
    <row r="56289" s="101" customFormat="1" spans="6:6">
      <c r="F56289" s="2423"/>
    </row>
    <row r="56290" s="101" customFormat="1" spans="6:6">
      <c r="F56290" s="2423"/>
    </row>
    <row r="56291" s="101" customFormat="1" spans="6:6">
      <c r="F56291" s="2423"/>
    </row>
    <row r="56292" s="101" customFormat="1" spans="6:6">
      <c r="F56292" s="2423"/>
    </row>
    <row r="56293" s="101" customFormat="1" spans="6:6">
      <c r="F56293" s="2423"/>
    </row>
    <row r="56294" s="101" customFormat="1" spans="6:6">
      <c r="F56294" s="2423"/>
    </row>
    <row r="56295" s="101" customFormat="1" spans="6:6">
      <c r="F56295" s="2423"/>
    </row>
    <row r="56296" s="101" customFormat="1" spans="6:6">
      <c r="F56296" s="2423"/>
    </row>
    <row r="56297" s="101" customFormat="1" spans="6:6">
      <c r="F56297" s="2423"/>
    </row>
    <row r="56298" s="101" customFormat="1" spans="6:6">
      <c r="F56298" s="2423"/>
    </row>
    <row r="56299" s="101" customFormat="1" spans="6:6">
      <c r="F56299" s="2423"/>
    </row>
    <row r="56300" s="101" customFormat="1" spans="6:6">
      <c r="F56300" s="2423"/>
    </row>
    <row r="56301" s="101" customFormat="1" spans="6:6">
      <c r="F56301" s="2423"/>
    </row>
    <row r="56302" s="101" customFormat="1" spans="6:6">
      <c r="F56302" s="2423"/>
    </row>
    <row r="56303" s="101" customFormat="1" spans="6:6">
      <c r="F56303" s="2423"/>
    </row>
    <row r="56304" s="101" customFormat="1" spans="6:6">
      <c r="F56304" s="2423"/>
    </row>
    <row r="56305" s="101" customFormat="1" spans="6:6">
      <c r="F56305" s="2423"/>
    </row>
    <row r="56306" s="101" customFormat="1" spans="6:6">
      <c r="F56306" s="2423"/>
    </row>
    <row r="56307" s="101" customFormat="1" spans="6:6">
      <c r="F56307" s="2423"/>
    </row>
    <row r="56308" s="101" customFormat="1" spans="6:6">
      <c r="F56308" s="2423"/>
    </row>
    <row r="56309" s="101" customFormat="1" spans="6:6">
      <c r="F56309" s="2423"/>
    </row>
    <row r="56310" s="101" customFormat="1" spans="6:6">
      <c r="F56310" s="2423"/>
    </row>
    <row r="56311" s="101" customFormat="1" spans="6:6">
      <c r="F56311" s="2423"/>
    </row>
    <row r="56312" s="101" customFormat="1" spans="6:6">
      <c r="F56312" s="2423"/>
    </row>
    <row r="56313" s="101" customFormat="1" spans="6:6">
      <c r="F56313" s="2423"/>
    </row>
    <row r="56314" s="101" customFormat="1" spans="6:6">
      <c r="F56314" s="2423"/>
    </row>
    <row r="56315" s="101" customFormat="1" spans="6:6">
      <c r="F56315" s="2423"/>
    </row>
    <row r="56316" s="101" customFormat="1" spans="6:6">
      <c r="F56316" s="2423"/>
    </row>
    <row r="56317" s="101" customFormat="1" spans="6:6">
      <c r="F56317" s="2423"/>
    </row>
    <row r="56318" s="101" customFormat="1" spans="6:6">
      <c r="F56318" s="2423"/>
    </row>
    <row r="56319" s="101" customFormat="1" spans="6:6">
      <c r="F56319" s="2423"/>
    </row>
    <row r="56320" s="101" customFormat="1" spans="6:6">
      <c r="F56320" s="2423"/>
    </row>
    <row r="56321" s="101" customFormat="1" spans="6:6">
      <c r="F56321" s="2423"/>
    </row>
    <row r="56322" s="101" customFormat="1" spans="6:6">
      <c r="F56322" s="2423"/>
    </row>
    <row r="56323" s="101" customFormat="1" spans="6:6">
      <c r="F56323" s="2423"/>
    </row>
    <row r="56324" s="101" customFormat="1" spans="6:6">
      <c r="F56324" s="2423"/>
    </row>
    <row r="56325" s="101" customFormat="1" spans="6:6">
      <c r="F56325" s="2423"/>
    </row>
    <row r="56326" s="101" customFormat="1" spans="6:6">
      <c r="F56326" s="2423"/>
    </row>
    <row r="56327" s="101" customFormat="1" spans="6:6">
      <c r="F56327" s="2423"/>
    </row>
    <row r="56328" s="101" customFormat="1" spans="6:6">
      <c r="F56328" s="2423"/>
    </row>
    <row r="56329" s="101" customFormat="1" spans="6:6">
      <c r="F56329" s="2423"/>
    </row>
    <row r="56330" s="101" customFormat="1" spans="6:6">
      <c r="F56330" s="2423"/>
    </row>
    <row r="56331" s="101" customFormat="1" spans="6:6">
      <c r="F56331" s="2423"/>
    </row>
    <row r="56332" s="101" customFormat="1" spans="6:6">
      <c r="F56332" s="2423"/>
    </row>
    <row r="56333" s="101" customFormat="1" spans="6:6">
      <c r="F56333" s="2423"/>
    </row>
    <row r="56334" s="101" customFormat="1" spans="6:6">
      <c r="F56334" s="2423"/>
    </row>
    <row r="56335" s="101" customFormat="1" spans="6:6">
      <c r="F56335" s="2423"/>
    </row>
    <row r="56336" s="101" customFormat="1" spans="6:6">
      <c r="F56336" s="2423"/>
    </row>
    <row r="56337" s="101" customFormat="1" spans="6:6">
      <c r="F56337" s="2423"/>
    </row>
    <row r="56338" s="101" customFormat="1" spans="6:6">
      <c r="F56338" s="2423"/>
    </row>
    <row r="56339" s="101" customFormat="1" spans="6:6">
      <c r="F56339" s="2423"/>
    </row>
    <row r="56340" s="101" customFormat="1" spans="6:6">
      <c r="F56340" s="2423"/>
    </row>
    <row r="56341" s="101" customFormat="1" spans="6:6">
      <c r="F56341" s="2423"/>
    </row>
    <row r="56342" s="101" customFormat="1" spans="6:6">
      <c r="F56342" s="2423"/>
    </row>
    <row r="56343" s="101" customFormat="1" spans="6:6">
      <c r="F56343" s="2423"/>
    </row>
    <row r="56344" s="101" customFormat="1" spans="6:6">
      <c r="F56344" s="2423"/>
    </row>
    <row r="56345" s="101" customFormat="1" spans="6:6">
      <c r="F56345" s="2423"/>
    </row>
    <row r="56346" s="101" customFormat="1" spans="6:6">
      <c r="F56346" s="2423"/>
    </row>
    <row r="56347" s="101" customFormat="1" spans="6:6">
      <c r="F56347" s="2423"/>
    </row>
    <row r="56348" s="101" customFormat="1" spans="6:6">
      <c r="F56348" s="2423"/>
    </row>
    <row r="56349" s="101" customFormat="1" spans="6:6">
      <c r="F56349" s="2423"/>
    </row>
    <row r="56350" s="101" customFormat="1" spans="6:6">
      <c r="F56350" s="2423"/>
    </row>
    <row r="56351" s="101" customFormat="1" spans="6:6">
      <c r="F56351" s="2423"/>
    </row>
    <row r="56352" s="101" customFormat="1" spans="6:6">
      <c r="F56352" s="2423"/>
    </row>
    <row r="56353" s="101" customFormat="1" spans="6:6">
      <c r="F56353" s="2423"/>
    </row>
    <row r="56354" s="101" customFormat="1" spans="6:6">
      <c r="F56354" s="2423"/>
    </row>
    <row r="56355" s="101" customFormat="1" spans="6:6">
      <c r="F56355" s="2423"/>
    </row>
    <row r="56356" s="101" customFormat="1" spans="6:6">
      <c r="F56356" s="2423"/>
    </row>
    <row r="56357" s="101" customFormat="1" spans="6:6">
      <c r="F56357" s="2423"/>
    </row>
    <row r="56358" s="101" customFormat="1" spans="6:6">
      <c r="F56358" s="2423"/>
    </row>
    <row r="56359" s="101" customFormat="1" spans="6:6">
      <c r="F56359" s="2423"/>
    </row>
    <row r="56360" s="101" customFormat="1" spans="6:6">
      <c r="F56360" s="2423"/>
    </row>
    <row r="56361" s="101" customFormat="1" spans="6:6">
      <c r="F56361" s="2423"/>
    </row>
    <row r="56362" s="101" customFormat="1" spans="6:6">
      <c r="F56362" s="2423"/>
    </row>
    <row r="56363" s="101" customFormat="1" spans="6:6">
      <c r="F56363" s="2423"/>
    </row>
    <row r="56364" s="101" customFormat="1" spans="6:6">
      <c r="F56364" s="2423"/>
    </row>
    <row r="56365" s="101" customFormat="1" spans="6:6">
      <c r="F56365" s="2423"/>
    </row>
    <row r="56366" s="101" customFormat="1" spans="6:6">
      <c r="F56366" s="2423"/>
    </row>
    <row r="56367" s="101" customFormat="1" spans="6:6">
      <c r="F56367" s="2423"/>
    </row>
    <row r="56368" s="101" customFormat="1" spans="6:6">
      <c r="F56368" s="2423"/>
    </row>
    <row r="56369" s="101" customFormat="1" spans="6:6">
      <c r="F56369" s="2423"/>
    </row>
    <row r="56370" s="101" customFormat="1" spans="6:6">
      <c r="F56370" s="2423"/>
    </row>
    <row r="56371" s="101" customFormat="1" spans="6:6">
      <c r="F56371" s="2423"/>
    </row>
    <row r="56372" s="101" customFormat="1" spans="6:6">
      <c r="F56372" s="2423"/>
    </row>
    <row r="56373" s="101" customFormat="1" spans="6:6">
      <c r="F56373" s="2423"/>
    </row>
    <row r="56374" s="101" customFormat="1" spans="6:6">
      <c r="F56374" s="2423"/>
    </row>
    <row r="56375" s="101" customFormat="1" spans="6:6">
      <c r="F56375" s="2423"/>
    </row>
    <row r="56376" s="101" customFormat="1" spans="6:6">
      <c r="F56376" s="2423"/>
    </row>
    <row r="56377" s="101" customFormat="1" spans="6:6">
      <c r="F56377" s="2423"/>
    </row>
    <row r="56378" s="101" customFormat="1" spans="6:6">
      <c r="F56378" s="2423"/>
    </row>
    <row r="56379" s="101" customFormat="1" spans="6:6">
      <c r="F56379" s="2423"/>
    </row>
    <row r="56380" s="101" customFormat="1" spans="6:6">
      <c r="F56380" s="2423"/>
    </row>
    <row r="56381" s="101" customFormat="1" spans="6:6">
      <c r="F56381" s="2423"/>
    </row>
    <row r="56382" s="101" customFormat="1" spans="6:6">
      <c r="F56382" s="2423"/>
    </row>
    <row r="56383" s="101" customFormat="1" spans="6:6">
      <c r="F56383" s="2423"/>
    </row>
    <row r="56384" s="101" customFormat="1" spans="6:6">
      <c r="F56384" s="2423"/>
    </row>
    <row r="56385" s="101" customFormat="1" spans="6:6">
      <c r="F56385" s="2423"/>
    </row>
    <row r="56386" s="101" customFormat="1" spans="6:6">
      <c r="F56386" s="2423"/>
    </row>
    <row r="56387" s="101" customFormat="1" spans="6:6">
      <c r="F56387" s="2423"/>
    </row>
    <row r="56388" s="101" customFormat="1" spans="6:6">
      <c r="F56388" s="2423"/>
    </row>
    <row r="56389" s="101" customFormat="1" spans="6:6">
      <c r="F56389" s="2423"/>
    </row>
    <row r="56390" s="101" customFormat="1" spans="6:6">
      <c r="F56390" s="2423"/>
    </row>
    <row r="56391" s="101" customFormat="1" spans="6:6">
      <c r="F56391" s="2423"/>
    </row>
    <row r="56392" s="101" customFormat="1" spans="6:6">
      <c r="F56392" s="2423"/>
    </row>
    <row r="56393" s="101" customFormat="1" spans="6:6">
      <c r="F56393" s="2423"/>
    </row>
    <row r="56394" s="101" customFormat="1" spans="6:6">
      <c r="F56394" s="2423"/>
    </row>
    <row r="56395" s="101" customFormat="1" spans="6:6">
      <c r="F56395" s="2423"/>
    </row>
    <row r="56396" s="101" customFormat="1" spans="6:6">
      <c r="F56396" s="2423"/>
    </row>
    <row r="56397" s="101" customFormat="1" spans="6:6">
      <c r="F56397" s="2423"/>
    </row>
    <row r="56398" s="101" customFormat="1" spans="6:6">
      <c r="F56398" s="2423"/>
    </row>
    <row r="56399" s="101" customFormat="1" spans="6:6">
      <c r="F56399" s="2423"/>
    </row>
    <row r="56400" s="101" customFormat="1" spans="6:6">
      <c r="F56400" s="2423"/>
    </row>
    <row r="56401" s="101" customFormat="1" spans="6:6">
      <c r="F56401" s="2423"/>
    </row>
    <row r="56402" s="101" customFormat="1" spans="6:6">
      <c r="F56402" s="2423"/>
    </row>
    <row r="56403" s="101" customFormat="1" spans="6:6">
      <c r="F56403" s="2423"/>
    </row>
    <row r="56404" s="101" customFormat="1" spans="6:6">
      <c r="F56404" s="2423"/>
    </row>
    <row r="56405" s="101" customFormat="1" spans="6:6">
      <c r="F56405" s="2423"/>
    </row>
    <row r="56406" s="101" customFormat="1" spans="6:6">
      <c r="F56406" s="2423"/>
    </row>
    <row r="56407" s="101" customFormat="1" spans="6:6">
      <c r="F56407" s="2423"/>
    </row>
    <row r="56408" s="101" customFormat="1" spans="6:6">
      <c r="F56408" s="2423"/>
    </row>
    <row r="56409" s="101" customFormat="1" spans="6:6">
      <c r="F56409" s="2423"/>
    </row>
    <row r="56410" s="101" customFormat="1" spans="6:6">
      <c r="F56410" s="2423"/>
    </row>
    <row r="56411" s="101" customFormat="1" spans="6:6">
      <c r="F56411" s="2423"/>
    </row>
    <row r="56412" s="101" customFormat="1" spans="6:6">
      <c r="F56412" s="2423"/>
    </row>
    <row r="56413" s="101" customFormat="1" spans="6:6">
      <c r="F56413" s="2423"/>
    </row>
    <row r="56414" s="101" customFormat="1" spans="6:6">
      <c r="F56414" s="2423"/>
    </row>
    <row r="56415" s="101" customFormat="1" spans="6:6">
      <c r="F56415" s="2423"/>
    </row>
    <row r="56416" s="101" customFormat="1" spans="6:6">
      <c r="F56416" s="2423"/>
    </row>
    <row r="56417" s="101" customFormat="1" spans="6:6">
      <c r="F56417" s="2423"/>
    </row>
    <row r="56418" s="101" customFormat="1" spans="6:6">
      <c r="F56418" s="2423"/>
    </row>
    <row r="56419" s="101" customFormat="1" spans="6:6">
      <c r="F56419" s="2423"/>
    </row>
    <row r="56420" s="101" customFormat="1" spans="6:6">
      <c r="F56420" s="2423"/>
    </row>
    <row r="56421" s="101" customFormat="1" spans="6:6">
      <c r="F56421" s="2423"/>
    </row>
    <row r="56422" s="101" customFormat="1" spans="6:6">
      <c r="F56422" s="2423"/>
    </row>
    <row r="56423" s="101" customFormat="1" spans="6:6">
      <c r="F56423" s="2423"/>
    </row>
    <row r="56424" s="101" customFormat="1" spans="6:6">
      <c r="F56424" s="2423"/>
    </row>
    <row r="56425" s="101" customFormat="1" spans="6:6">
      <c r="F56425" s="2423"/>
    </row>
    <row r="56426" s="101" customFormat="1" spans="6:6">
      <c r="F56426" s="2423"/>
    </row>
    <row r="56427" s="101" customFormat="1" spans="6:6">
      <c r="F56427" s="2423"/>
    </row>
    <row r="56428" s="101" customFormat="1" spans="6:6">
      <c r="F56428" s="2423"/>
    </row>
    <row r="56429" s="101" customFormat="1" spans="6:6">
      <c r="F56429" s="2423"/>
    </row>
    <row r="56430" s="101" customFormat="1" spans="6:6">
      <c r="F56430" s="2423"/>
    </row>
    <row r="56431" s="101" customFormat="1" spans="6:6">
      <c r="F56431" s="2423"/>
    </row>
    <row r="56432" s="101" customFormat="1" spans="6:6">
      <c r="F56432" s="2423"/>
    </row>
    <row r="56433" s="101" customFormat="1" spans="6:6">
      <c r="F56433" s="2423"/>
    </row>
    <row r="56434" s="101" customFormat="1" spans="6:6">
      <c r="F56434" s="2423"/>
    </row>
    <row r="56435" s="101" customFormat="1" spans="6:6">
      <c r="F56435" s="2423"/>
    </row>
    <row r="56436" s="101" customFormat="1" spans="6:6">
      <c r="F56436" s="2423"/>
    </row>
    <row r="56437" s="101" customFormat="1" spans="6:6">
      <c r="F56437" s="2423"/>
    </row>
    <row r="56438" s="101" customFormat="1" spans="6:6">
      <c r="F56438" s="2423"/>
    </row>
    <row r="56439" s="101" customFormat="1" spans="6:6">
      <c r="F56439" s="2423"/>
    </row>
    <row r="56440" s="101" customFormat="1" spans="6:6">
      <c r="F56440" s="2423"/>
    </row>
    <row r="56441" s="101" customFormat="1" spans="6:6">
      <c r="F56441" s="2423"/>
    </row>
    <row r="56442" s="101" customFormat="1" spans="6:6">
      <c r="F56442" s="2423"/>
    </row>
    <row r="56443" s="101" customFormat="1" spans="6:6">
      <c r="F56443" s="2423"/>
    </row>
    <row r="56444" s="101" customFormat="1" spans="6:6">
      <c r="F56444" s="2423"/>
    </row>
    <row r="56445" s="101" customFormat="1" spans="6:6">
      <c r="F56445" s="2423"/>
    </row>
    <row r="56446" s="101" customFormat="1" spans="6:6">
      <c r="F56446" s="2423"/>
    </row>
    <row r="56447" s="101" customFormat="1" spans="6:6">
      <c r="F56447" s="2423"/>
    </row>
    <row r="56448" s="101" customFormat="1" spans="6:6">
      <c r="F56448" s="2423"/>
    </row>
    <row r="56449" s="101" customFormat="1" spans="6:6">
      <c r="F56449" s="2423"/>
    </row>
    <row r="56450" s="101" customFormat="1" spans="6:6">
      <c r="F56450" s="2423"/>
    </row>
    <row r="56451" s="101" customFormat="1" spans="6:6">
      <c r="F56451" s="2423"/>
    </row>
    <row r="56452" s="101" customFormat="1" spans="6:6">
      <c r="F56452" s="2423"/>
    </row>
    <row r="56453" s="101" customFormat="1" spans="6:6">
      <c r="F56453" s="2423"/>
    </row>
    <row r="56454" s="101" customFormat="1" spans="6:6">
      <c r="F56454" s="2423"/>
    </row>
    <row r="56455" s="101" customFormat="1" spans="6:6">
      <c r="F56455" s="2423"/>
    </row>
    <row r="56456" s="101" customFormat="1" spans="6:6">
      <c r="F56456" s="2423"/>
    </row>
    <row r="56457" s="101" customFormat="1" spans="6:6">
      <c r="F56457" s="2423"/>
    </row>
    <row r="56458" s="101" customFormat="1" spans="6:6">
      <c r="F56458" s="2423"/>
    </row>
    <row r="56459" s="101" customFormat="1" spans="6:6">
      <c r="F56459" s="2423"/>
    </row>
    <row r="56460" s="101" customFormat="1" spans="6:6">
      <c r="F56460" s="2423"/>
    </row>
    <row r="56461" s="101" customFormat="1" spans="6:6">
      <c r="F56461" s="2423"/>
    </row>
    <row r="56462" s="101" customFormat="1" spans="6:6">
      <c r="F56462" s="2423"/>
    </row>
    <row r="56463" s="101" customFormat="1" spans="6:6">
      <c r="F56463" s="2423"/>
    </row>
    <row r="56464" s="101" customFormat="1" spans="6:6">
      <c r="F56464" s="2423"/>
    </row>
    <row r="56465" s="101" customFormat="1" spans="6:6">
      <c r="F56465" s="2423"/>
    </row>
    <row r="56466" s="101" customFormat="1" spans="6:6">
      <c r="F56466" s="2423"/>
    </row>
    <row r="56467" s="101" customFormat="1" spans="6:6">
      <c r="F56467" s="2423"/>
    </row>
    <row r="56468" s="101" customFormat="1" spans="6:6">
      <c r="F56468" s="2423"/>
    </row>
    <row r="56469" s="101" customFormat="1" spans="6:6">
      <c r="F56469" s="2423"/>
    </row>
    <row r="56470" s="101" customFormat="1" spans="6:6">
      <c r="F56470" s="2423"/>
    </row>
    <row r="56471" s="101" customFormat="1" spans="6:6">
      <c r="F56471" s="2423"/>
    </row>
    <row r="56472" s="101" customFormat="1" spans="6:6">
      <c r="F56472" s="2423"/>
    </row>
    <row r="56473" s="101" customFormat="1" spans="6:6">
      <c r="F56473" s="2423"/>
    </row>
    <row r="56474" s="101" customFormat="1" spans="6:6">
      <c r="F56474" s="2423"/>
    </row>
    <row r="56475" s="101" customFormat="1" spans="6:6">
      <c r="F56475" s="2423"/>
    </row>
    <row r="56476" s="101" customFormat="1" spans="6:6">
      <c r="F56476" s="2423"/>
    </row>
    <row r="56477" s="101" customFormat="1" spans="6:6">
      <c r="F56477" s="2423"/>
    </row>
    <row r="56478" s="101" customFormat="1" spans="6:6">
      <c r="F56478" s="2423"/>
    </row>
    <row r="56479" s="101" customFormat="1" spans="6:6">
      <c r="F56479" s="2423"/>
    </row>
    <row r="56480" s="101" customFormat="1" spans="6:6">
      <c r="F56480" s="2423"/>
    </row>
    <row r="56481" s="101" customFormat="1" spans="6:6">
      <c r="F56481" s="2423"/>
    </row>
    <row r="56482" s="101" customFormat="1" spans="6:6">
      <c r="F56482" s="2423"/>
    </row>
    <row r="56483" s="101" customFormat="1" spans="6:6">
      <c r="F56483" s="2423"/>
    </row>
    <row r="56484" s="101" customFormat="1" spans="6:6">
      <c r="F56484" s="2423"/>
    </row>
    <row r="56485" s="101" customFormat="1" spans="6:6">
      <c r="F56485" s="2423"/>
    </row>
    <row r="56486" s="101" customFormat="1" spans="6:6">
      <c r="F56486" s="2423"/>
    </row>
    <row r="56487" s="101" customFormat="1" spans="6:6">
      <c r="F56487" s="2423"/>
    </row>
    <row r="56488" s="101" customFormat="1" spans="6:6">
      <c r="F56488" s="2423"/>
    </row>
    <row r="56489" s="101" customFormat="1" spans="6:6">
      <c r="F56489" s="2423"/>
    </row>
    <row r="56490" s="101" customFormat="1" spans="6:6">
      <c r="F56490" s="2423"/>
    </row>
    <row r="56491" s="101" customFormat="1" spans="6:6">
      <c r="F56491" s="2423"/>
    </row>
    <row r="56492" s="101" customFormat="1" spans="6:6">
      <c r="F56492" s="2423"/>
    </row>
    <row r="56493" s="101" customFormat="1" spans="6:6">
      <c r="F56493" s="2423"/>
    </row>
    <row r="56494" s="101" customFormat="1" spans="6:6">
      <c r="F56494" s="2423"/>
    </row>
    <row r="56495" s="101" customFormat="1" spans="6:6">
      <c r="F56495" s="2423"/>
    </row>
    <row r="56496" s="101" customFormat="1" spans="6:6">
      <c r="F56496" s="2423"/>
    </row>
    <row r="56497" s="101" customFormat="1" spans="6:6">
      <c r="F56497" s="2423"/>
    </row>
    <row r="56498" s="101" customFormat="1" spans="6:6">
      <c r="F56498" s="2423"/>
    </row>
    <row r="56499" s="101" customFormat="1" spans="6:6">
      <c r="F56499" s="2423"/>
    </row>
    <row r="56500" s="101" customFormat="1" spans="6:6">
      <c r="F56500" s="2423"/>
    </row>
    <row r="56501" s="101" customFormat="1" spans="6:6">
      <c r="F56501" s="2423"/>
    </row>
    <row r="56502" s="101" customFormat="1" spans="6:6">
      <c r="F56502" s="2423"/>
    </row>
    <row r="56503" s="101" customFormat="1" spans="6:6">
      <c r="F56503" s="2423"/>
    </row>
    <row r="56504" s="101" customFormat="1" spans="6:6">
      <c r="F56504" s="2423"/>
    </row>
    <row r="56505" s="101" customFormat="1" spans="6:6">
      <c r="F56505" s="2423"/>
    </row>
    <row r="56506" s="101" customFormat="1" spans="6:6">
      <c r="F56506" s="2423"/>
    </row>
    <row r="56507" s="101" customFormat="1" spans="6:6">
      <c r="F56507" s="2423"/>
    </row>
    <row r="56508" s="101" customFormat="1" spans="6:6">
      <c r="F56508" s="2423"/>
    </row>
    <row r="56509" s="101" customFormat="1" spans="6:6">
      <c r="F56509" s="2423"/>
    </row>
    <row r="56510" s="101" customFormat="1" spans="6:6">
      <c r="F56510" s="2423"/>
    </row>
    <row r="56511" s="101" customFormat="1" spans="6:6">
      <c r="F56511" s="2423"/>
    </row>
    <row r="56512" s="101" customFormat="1" spans="6:6">
      <c r="F56512" s="2423"/>
    </row>
    <row r="56513" s="101" customFormat="1" spans="6:6">
      <c r="F56513" s="2423"/>
    </row>
    <row r="56514" s="101" customFormat="1" spans="6:6">
      <c r="F56514" s="2423"/>
    </row>
    <row r="56515" s="101" customFormat="1" spans="6:6">
      <c r="F56515" s="2423"/>
    </row>
    <row r="56516" s="101" customFormat="1" spans="6:6">
      <c r="F56516" s="2423"/>
    </row>
    <row r="56517" s="101" customFormat="1" spans="6:6">
      <c r="F56517" s="2423"/>
    </row>
    <row r="56518" s="101" customFormat="1" spans="6:6">
      <c r="F56518" s="2423"/>
    </row>
    <row r="56519" s="101" customFormat="1" spans="6:6">
      <c r="F56519" s="2423"/>
    </row>
    <row r="56520" s="101" customFormat="1" spans="6:6">
      <c r="F56520" s="2423"/>
    </row>
    <row r="56521" s="101" customFormat="1" spans="6:6">
      <c r="F56521" s="2423"/>
    </row>
    <row r="56522" s="101" customFormat="1" spans="6:6">
      <c r="F56522" s="2423"/>
    </row>
    <row r="56523" s="101" customFormat="1" spans="6:6">
      <c r="F56523" s="2423"/>
    </row>
    <row r="56524" s="101" customFormat="1" spans="6:6">
      <c r="F56524" s="2423"/>
    </row>
    <row r="56525" s="101" customFormat="1" spans="6:6">
      <c r="F56525" s="2423"/>
    </row>
    <row r="56526" s="101" customFormat="1" spans="6:6">
      <c r="F56526" s="2423"/>
    </row>
    <row r="56527" s="101" customFormat="1" spans="6:6">
      <c r="F56527" s="2423"/>
    </row>
    <row r="56528" s="101" customFormat="1" spans="6:6">
      <c r="F56528" s="2423"/>
    </row>
    <row r="56529" s="101" customFormat="1" spans="6:6">
      <c r="F56529" s="2423"/>
    </row>
    <row r="56530" s="101" customFormat="1" spans="6:6">
      <c r="F56530" s="2423"/>
    </row>
    <row r="56531" s="101" customFormat="1" spans="6:6">
      <c r="F56531" s="2423"/>
    </row>
    <row r="56532" s="101" customFormat="1" spans="6:6">
      <c r="F56532" s="2423"/>
    </row>
    <row r="56533" s="101" customFormat="1" spans="6:6">
      <c r="F56533" s="2423"/>
    </row>
    <row r="56534" s="101" customFormat="1" spans="6:6">
      <c r="F56534" s="2423"/>
    </row>
    <row r="56535" s="101" customFormat="1" spans="6:6">
      <c r="F56535" s="2423"/>
    </row>
    <row r="56536" s="101" customFormat="1" spans="6:6">
      <c r="F56536" s="2423"/>
    </row>
    <row r="56537" s="101" customFormat="1" spans="6:6">
      <c r="F56537" s="2423"/>
    </row>
    <row r="56538" s="101" customFormat="1" spans="6:6">
      <c r="F56538" s="2423"/>
    </row>
    <row r="56539" s="101" customFormat="1" spans="6:6">
      <c r="F56539" s="2423"/>
    </row>
    <row r="56540" s="101" customFormat="1" spans="6:6">
      <c r="F56540" s="2423"/>
    </row>
    <row r="56541" s="101" customFormat="1" spans="6:6">
      <c r="F56541" s="2423"/>
    </row>
    <row r="56542" s="101" customFormat="1" spans="6:6">
      <c r="F56542" s="2423"/>
    </row>
    <row r="56543" s="101" customFormat="1" spans="6:6">
      <c r="F56543" s="2423"/>
    </row>
    <row r="56544" s="101" customFormat="1" spans="6:6">
      <c r="F56544" s="2423"/>
    </row>
    <row r="56545" s="101" customFormat="1" spans="6:6">
      <c r="F56545" s="2423"/>
    </row>
    <row r="56546" s="101" customFormat="1" spans="6:6">
      <c r="F56546" s="2423"/>
    </row>
    <row r="56547" s="101" customFormat="1" spans="6:6">
      <c r="F56547" s="2423"/>
    </row>
    <row r="56548" s="101" customFormat="1" spans="6:6">
      <c r="F56548" s="2423"/>
    </row>
    <row r="56549" s="101" customFormat="1" spans="6:6">
      <c r="F56549" s="2423"/>
    </row>
    <row r="56550" s="101" customFormat="1" spans="6:6">
      <c r="F56550" s="2423"/>
    </row>
    <row r="56551" s="101" customFormat="1" spans="6:6">
      <c r="F56551" s="2423"/>
    </row>
    <row r="56552" s="101" customFormat="1" spans="6:6">
      <c r="F56552" s="2423"/>
    </row>
    <row r="56553" s="101" customFormat="1" spans="6:6">
      <c r="F56553" s="2423"/>
    </row>
    <row r="56554" s="101" customFormat="1" spans="6:6">
      <c r="F56554" s="2423"/>
    </row>
    <row r="56555" s="101" customFormat="1" spans="6:6">
      <c r="F56555" s="2423"/>
    </row>
    <row r="56556" s="101" customFormat="1" spans="6:6">
      <c r="F56556" s="2423"/>
    </row>
    <row r="56557" s="101" customFormat="1" spans="6:6">
      <c r="F56557" s="2423"/>
    </row>
    <row r="56558" s="101" customFormat="1" spans="6:6">
      <c r="F56558" s="2423"/>
    </row>
    <row r="56559" s="101" customFormat="1" spans="6:6">
      <c r="F56559" s="2423"/>
    </row>
    <row r="56560" s="101" customFormat="1" spans="6:6">
      <c r="F56560" s="2423"/>
    </row>
    <row r="56561" s="101" customFormat="1" spans="6:6">
      <c r="F56561" s="2423"/>
    </row>
    <row r="56562" s="101" customFormat="1" spans="6:6">
      <c r="F56562" s="2423"/>
    </row>
    <row r="56563" s="101" customFormat="1" spans="6:6">
      <c r="F56563" s="2423"/>
    </row>
    <row r="56564" s="101" customFormat="1" spans="6:6">
      <c r="F56564" s="2423"/>
    </row>
    <row r="56565" s="101" customFormat="1" spans="6:6">
      <c r="F56565" s="2423"/>
    </row>
    <row r="56566" s="101" customFormat="1" spans="6:6">
      <c r="F56566" s="2423"/>
    </row>
    <row r="56567" s="101" customFormat="1" spans="6:6">
      <c r="F56567" s="2423"/>
    </row>
    <row r="56568" s="101" customFormat="1" spans="6:6">
      <c r="F56568" s="2423"/>
    </row>
    <row r="56569" s="101" customFormat="1" spans="6:6">
      <c r="F56569" s="2423"/>
    </row>
    <row r="56570" s="101" customFormat="1" spans="6:6">
      <c r="F56570" s="2423"/>
    </row>
    <row r="56571" s="101" customFormat="1" spans="6:6">
      <c r="F56571" s="2423"/>
    </row>
    <row r="56572" s="101" customFormat="1" spans="6:6">
      <c r="F56572" s="2423"/>
    </row>
    <row r="56573" s="101" customFormat="1" spans="6:6">
      <c r="F56573" s="2423"/>
    </row>
    <row r="56574" s="101" customFormat="1" spans="6:6">
      <c r="F56574" s="2423"/>
    </row>
    <row r="56575" s="101" customFormat="1" spans="6:6">
      <c r="F56575" s="2423"/>
    </row>
    <row r="56576" s="101" customFormat="1" spans="6:6">
      <c r="F56576" s="2423"/>
    </row>
    <row r="56577" s="101" customFormat="1" spans="6:6">
      <c r="F56577" s="2423"/>
    </row>
    <row r="56578" s="101" customFormat="1" spans="6:6">
      <c r="F56578" s="2423"/>
    </row>
    <row r="56579" s="101" customFormat="1" spans="6:6">
      <c r="F56579" s="2423"/>
    </row>
    <row r="56580" s="101" customFormat="1" spans="6:6">
      <c r="F56580" s="2423"/>
    </row>
    <row r="56581" s="101" customFormat="1" spans="6:6">
      <c r="F56581" s="2423"/>
    </row>
    <row r="56582" s="101" customFormat="1" spans="6:6">
      <c r="F56582" s="2423"/>
    </row>
    <row r="56583" s="101" customFormat="1" spans="6:6">
      <c r="F56583" s="2423"/>
    </row>
    <row r="56584" s="101" customFormat="1" spans="6:6">
      <c r="F56584" s="2423"/>
    </row>
    <row r="56585" s="101" customFormat="1" spans="6:6">
      <c r="F56585" s="2423"/>
    </row>
    <row r="56586" s="101" customFormat="1" spans="6:6">
      <c r="F56586" s="2423"/>
    </row>
    <row r="56587" s="101" customFormat="1" spans="6:6">
      <c r="F56587" s="2423"/>
    </row>
    <row r="56588" s="101" customFormat="1" spans="6:6">
      <c r="F56588" s="2423"/>
    </row>
    <row r="56589" s="101" customFormat="1" spans="6:6">
      <c r="F56589" s="2423"/>
    </row>
    <row r="56590" s="101" customFormat="1" spans="6:6">
      <c r="F56590" s="2423"/>
    </row>
    <row r="56591" s="101" customFormat="1" spans="6:6">
      <c r="F56591" s="2423"/>
    </row>
    <row r="56592" s="101" customFormat="1" spans="6:6">
      <c r="F56592" s="2423"/>
    </row>
    <row r="56593" s="101" customFormat="1" spans="6:6">
      <c r="F56593" s="2423"/>
    </row>
    <row r="56594" s="101" customFormat="1" spans="6:6">
      <c r="F56594" s="2423"/>
    </row>
    <row r="56595" s="101" customFormat="1" spans="6:6">
      <c r="F56595" s="2423"/>
    </row>
    <row r="56596" s="101" customFormat="1" spans="6:6">
      <c r="F56596" s="2423"/>
    </row>
    <row r="56597" s="101" customFormat="1" spans="6:6">
      <c r="F56597" s="2423"/>
    </row>
    <row r="56598" s="101" customFormat="1" spans="6:6">
      <c r="F56598" s="2423"/>
    </row>
    <row r="56599" s="101" customFormat="1" spans="6:6">
      <c r="F56599" s="2423"/>
    </row>
    <row r="56600" s="101" customFormat="1" spans="6:6">
      <c r="F56600" s="2423"/>
    </row>
    <row r="56601" s="101" customFormat="1" spans="6:6">
      <c r="F56601" s="2423"/>
    </row>
    <row r="56602" s="101" customFormat="1" spans="6:6">
      <c r="F56602" s="2423"/>
    </row>
    <row r="56603" s="101" customFormat="1" spans="6:6">
      <c r="F56603" s="2423"/>
    </row>
    <row r="56604" s="101" customFormat="1" spans="6:6">
      <c r="F56604" s="2423"/>
    </row>
    <row r="56605" s="101" customFormat="1" spans="6:6">
      <c r="F56605" s="2423"/>
    </row>
    <row r="56606" s="101" customFormat="1" spans="6:6">
      <c r="F56606" s="2423"/>
    </row>
    <row r="56607" s="101" customFormat="1" spans="6:6">
      <c r="F56607" s="2423"/>
    </row>
    <row r="56608" s="101" customFormat="1" spans="6:6">
      <c r="F56608" s="2423"/>
    </row>
    <row r="56609" s="101" customFormat="1" spans="6:6">
      <c r="F56609" s="2423"/>
    </row>
    <row r="56610" s="101" customFormat="1" spans="6:6">
      <c r="F56610" s="2423"/>
    </row>
    <row r="56611" s="101" customFormat="1" spans="6:6">
      <c r="F56611" s="2423"/>
    </row>
    <row r="56612" s="101" customFormat="1" spans="6:6">
      <c r="F56612" s="2423"/>
    </row>
    <row r="56613" s="101" customFormat="1" spans="6:6">
      <c r="F56613" s="2423"/>
    </row>
    <row r="56614" s="101" customFormat="1" spans="6:6">
      <c r="F56614" s="2423"/>
    </row>
    <row r="56615" s="101" customFormat="1" spans="6:6">
      <c r="F56615" s="2423"/>
    </row>
    <row r="56616" s="101" customFormat="1" spans="6:6">
      <c r="F56616" s="2423"/>
    </row>
    <row r="56617" s="101" customFormat="1" spans="6:6">
      <c r="F56617" s="2423"/>
    </row>
    <row r="56618" s="101" customFormat="1" spans="6:6">
      <c r="F56618" s="2423"/>
    </row>
    <row r="56619" s="101" customFormat="1" spans="6:6">
      <c r="F56619" s="2423"/>
    </row>
    <row r="56620" s="101" customFormat="1" spans="6:6">
      <c r="F56620" s="2423"/>
    </row>
    <row r="56621" s="101" customFormat="1" spans="6:6">
      <c r="F56621" s="2423"/>
    </row>
    <row r="56622" s="101" customFormat="1" spans="6:6">
      <c r="F56622" s="2423"/>
    </row>
    <row r="56623" s="101" customFormat="1" spans="6:6">
      <c r="F56623" s="2423"/>
    </row>
    <row r="56624" s="101" customFormat="1" spans="6:6">
      <c r="F56624" s="2423"/>
    </row>
    <row r="56625" s="101" customFormat="1" spans="6:6">
      <c r="F56625" s="2423"/>
    </row>
    <row r="56626" s="101" customFormat="1" spans="6:6">
      <c r="F56626" s="2423"/>
    </row>
    <row r="56627" s="101" customFormat="1" spans="6:6">
      <c r="F56627" s="2423"/>
    </row>
    <row r="56628" s="101" customFormat="1" spans="6:6">
      <c r="F56628" s="2423"/>
    </row>
    <row r="56629" s="101" customFormat="1" spans="6:6">
      <c r="F56629" s="2423"/>
    </row>
    <row r="56630" s="101" customFormat="1" spans="6:6">
      <c r="F56630" s="2423"/>
    </row>
    <row r="56631" s="101" customFormat="1" spans="6:6">
      <c r="F56631" s="2423"/>
    </row>
    <row r="56632" s="101" customFormat="1" spans="6:6">
      <c r="F56632" s="2423"/>
    </row>
    <row r="56633" s="101" customFormat="1" spans="6:6">
      <c r="F56633" s="2423"/>
    </row>
    <row r="56634" s="101" customFormat="1" spans="6:6">
      <c r="F56634" s="2423"/>
    </row>
    <row r="56635" s="101" customFormat="1" spans="6:6">
      <c r="F56635" s="2423"/>
    </row>
    <row r="56636" s="101" customFormat="1" spans="6:6">
      <c r="F56636" s="2423"/>
    </row>
    <row r="56637" s="101" customFormat="1" spans="6:6">
      <c r="F56637" s="2423"/>
    </row>
    <row r="56638" s="101" customFormat="1" spans="6:6">
      <c r="F56638" s="2423"/>
    </row>
    <row r="56639" s="101" customFormat="1" spans="6:6">
      <c r="F56639" s="2423"/>
    </row>
    <row r="56640" s="101" customFormat="1" spans="6:6">
      <c r="F56640" s="2423"/>
    </row>
    <row r="56641" s="101" customFormat="1" spans="6:6">
      <c r="F56641" s="2423"/>
    </row>
    <row r="56642" s="101" customFormat="1" spans="6:6">
      <c r="F56642" s="2423"/>
    </row>
    <row r="56643" s="101" customFormat="1" spans="6:6">
      <c r="F56643" s="2423"/>
    </row>
    <row r="56644" s="101" customFormat="1" spans="6:6">
      <c r="F56644" s="2423"/>
    </row>
    <row r="56645" s="101" customFormat="1" spans="6:6">
      <c r="F56645" s="2423"/>
    </row>
    <row r="56646" s="101" customFormat="1" spans="6:6">
      <c r="F56646" s="2423"/>
    </row>
    <row r="56647" s="101" customFormat="1" spans="6:6">
      <c r="F56647" s="2423"/>
    </row>
    <row r="56648" s="101" customFormat="1" spans="6:6">
      <c r="F56648" s="2423"/>
    </row>
    <row r="56649" s="101" customFormat="1" spans="6:6">
      <c r="F56649" s="2423"/>
    </row>
    <row r="56650" s="101" customFormat="1" spans="6:6">
      <c r="F56650" s="2423"/>
    </row>
    <row r="56651" s="101" customFormat="1" spans="6:6">
      <c r="F56651" s="2423"/>
    </row>
    <row r="56652" s="101" customFormat="1" spans="6:6">
      <c r="F56652" s="2423"/>
    </row>
    <row r="56653" s="101" customFormat="1" spans="6:6">
      <c r="F56653" s="2423"/>
    </row>
    <row r="56654" s="101" customFormat="1" spans="6:6">
      <c r="F56654" s="2423"/>
    </row>
    <row r="56655" s="101" customFormat="1" spans="6:6">
      <c r="F56655" s="2423"/>
    </row>
    <row r="56656" s="101" customFormat="1" spans="6:6">
      <c r="F56656" s="2423"/>
    </row>
    <row r="56657" s="101" customFormat="1" spans="6:6">
      <c r="F56657" s="2423"/>
    </row>
    <row r="56658" s="101" customFormat="1" spans="6:6">
      <c r="F56658" s="2423"/>
    </row>
    <row r="56659" s="101" customFormat="1" spans="6:6">
      <c r="F56659" s="2423"/>
    </row>
    <row r="56660" s="101" customFormat="1" spans="6:6">
      <c r="F56660" s="2423"/>
    </row>
    <row r="56661" s="101" customFormat="1" spans="6:6">
      <c r="F56661" s="2423"/>
    </row>
    <row r="56662" s="101" customFormat="1" spans="6:6">
      <c r="F56662" s="2423"/>
    </row>
    <row r="56663" s="101" customFormat="1" spans="6:6">
      <c r="F56663" s="2423"/>
    </row>
    <row r="56664" s="101" customFormat="1" spans="6:6">
      <c r="F56664" s="2423"/>
    </row>
    <row r="56665" s="101" customFormat="1" spans="6:6">
      <c r="F56665" s="2423"/>
    </row>
    <row r="56666" s="101" customFormat="1" spans="6:6">
      <c r="F56666" s="2423"/>
    </row>
    <row r="56667" s="101" customFormat="1" spans="6:6">
      <c r="F56667" s="2423"/>
    </row>
    <row r="56668" s="101" customFormat="1" spans="6:6">
      <c r="F56668" s="2423"/>
    </row>
    <row r="56669" s="101" customFormat="1" spans="6:6">
      <c r="F56669" s="2423"/>
    </row>
    <row r="56670" s="101" customFormat="1" spans="6:6">
      <c r="F56670" s="2423"/>
    </row>
    <row r="56671" s="101" customFormat="1" spans="6:6">
      <c r="F56671" s="2423"/>
    </row>
    <row r="56672" s="101" customFormat="1" spans="6:6">
      <c r="F56672" s="2423"/>
    </row>
    <row r="56673" s="101" customFormat="1" spans="6:6">
      <c r="F56673" s="2423"/>
    </row>
    <row r="56674" s="101" customFormat="1" spans="6:6">
      <c r="F56674" s="2423"/>
    </row>
    <row r="56675" s="101" customFormat="1" spans="6:6">
      <c r="F56675" s="2423"/>
    </row>
    <row r="56676" s="101" customFormat="1" spans="6:6">
      <c r="F56676" s="2423"/>
    </row>
    <row r="56677" s="101" customFormat="1" spans="6:6">
      <c r="F56677" s="2423"/>
    </row>
    <row r="56678" s="101" customFormat="1" spans="6:6">
      <c r="F56678" s="2423"/>
    </row>
    <row r="56679" s="101" customFormat="1" spans="6:6">
      <c r="F56679" s="2423"/>
    </row>
    <row r="56680" s="101" customFormat="1" spans="6:6">
      <c r="F56680" s="2423"/>
    </row>
    <row r="56681" s="101" customFormat="1" spans="6:6">
      <c r="F56681" s="2423"/>
    </row>
    <row r="56682" s="101" customFormat="1" spans="6:6">
      <c r="F56682" s="2423"/>
    </row>
    <row r="56683" s="101" customFormat="1" spans="6:6">
      <c r="F56683" s="2423"/>
    </row>
    <row r="56684" s="101" customFormat="1" spans="6:6">
      <c r="F56684" s="2423"/>
    </row>
    <row r="56685" s="101" customFormat="1" spans="6:6">
      <c r="F56685" s="2423"/>
    </row>
    <row r="56686" s="101" customFormat="1" spans="6:6">
      <c r="F56686" s="2423"/>
    </row>
    <row r="56687" s="101" customFormat="1" spans="6:6">
      <c r="F56687" s="2423"/>
    </row>
    <row r="56688" s="101" customFormat="1" spans="6:6">
      <c r="F56688" s="2423"/>
    </row>
    <row r="56689" s="101" customFormat="1" spans="6:6">
      <c r="F56689" s="2423"/>
    </row>
    <row r="56690" s="101" customFormat="1" spans="6:6">
      <c r="F56690" s="2423"/>
    </row>
    <row r="56691" s="101" customFormat="1" spans="6:6">
      <c r="F56691" s="2423"/>
    </row>
    <row r="56692" s="101" customFormat="1" spans="6:6">
      <c r="F56692" s="2423"/>
    </row>
    <row r="56693" s="101" customFormat="1" spans="6:6">
      <c r="F56693" s="2423"/>
    </row>
    <row r="56694" s="101" customFormat="1" spans="6:6">
      <c r="F56694" s="2423"/>
    </row>
    <row r="56695" s="101" customFormat="1" spans="6:6">
      <c r="F56695" s="2423"/>
    </row>
    <row r="56696" s="101" customFormat="1" spans="6:6">
      <c r="F56696" s="2423"/>
    </row>
    <row r="56697" s="101" customFormat="1" spans="6:6">
      <c r="F56697" s="2423"/>
    </row>
    <row r="56698" s="101" customFormat="1" spans="6:6">
      <c r="F56698" s="2423"/>
    </row>
    <row r="56699" s="101" customFormat="1" spans="6:6">
      <c r="F56699" s="2423"/>
    </row>
    <row r="56700" s="101" customFormat="1" spans="6:6">
      <c r="F56700" s="2423"/>
    </row>
    <row r="56701" s="101" customFormat="1" spans="6:6">
      <c r="F56701" s="2423"/>
    </row>
    <row r="56702" s="101" customFormat="1" spans="6:6">
      <c r="F56702" s="2423"/>
    </row>
    <row r="56703" s="101" customFormat="1" spans="6:6">
      <c r="F56703" s="2423"/>
    </row>
    <row r="56704" s="101" customFormat="1" spans="6:6">
      <c r="F56704" s="2423"/>
    </row>
    <row r="56705" s="101" customFormat="1" spans="6:6">
      <c r="F56705" s="2423"/>
    </row>
    <row r="56706" s="101" customFormat="1" spans="6:6">
      <c r="F56706" s="2423"/>
    </row>
    <row r="56707" s="101" customFormat="1" spans="6:6">
      <c r="F56707" s="2423"/>
    </row>
    <row r="56708" s="101" customFormat="1" spans="6:6">
      <c r="F56708" s="2423"/>
    </row>
    <row r="56709" s="101" customFormat="1" spans="6:6">
      <c r="F56709" s="2423"/>
    </row>
    <row r="56710" s="101" customFormat="1" spans="6:6">
      <c r="F56710" s="2423"/>
    </row>
    <row r="56711" s="101" customFormat="1" spans="6:6">
      <c r="F56711" s="2423"/>
    </row>
    <row r="56712" s="101" customFormat="1" spans="6:6">
      <c r="F56712" s="2423"/>
    </row>
    <row r="56713" s="101" customFormat="1" spans="6:6">
      <c r="F56713" s="2423"/>
    </row>
    <row r="56714" s="101" customFormat="1" spans="6:6">
      <c r="F56714" s="2423"/>
    </row>
    <row r="56715" s="101" customFormat="1" spans="6:6">
      <c r="F56715" s="2423"/>
    </row>
    <row r="56716" s="101" customFormat="1" spans="6:6">
      <c r="F56716" s="2423"/>
    </row>
    <row r="56717" s="101" customFormat="1" spans="6:6">
      <c r="F56717" s="2423"/>
    </row>
    <row r="56718" s="101" customFormat="1" spans="6:6">
      <c r="F56718" s="2423"/>
    </row>
    <row r="56719" s="101" customFormat="1" spans="6:6">
      <c r="F56719" s="2423"/>
    </row>
    <row r="56720" s="101" customFormat="1" spans="6:6">
      <c r="F56720" s="2423"/>
    </row>
    <row r="56721" s="101" customFormat="1" spans="6:6">
      <c r="F56721" s="2423"/>
    </row>
    <row r="56722" s="101" customFormat="1" spans="6:6">
      <c r="F56722" s="2423"/>
    </row>
    <row r="56723" s="101" customFormat="1" spans="6:6">
      <c r="F56723" s="2423"/>
    </row>
    <row r="56724" s="101" customFormat="1" spans="6:6">
      <c r="F56724" s="2423"/>
    </row>
    <row r="56725" s="101" customFormat="1" spans="6:6">
      <c r="F56725" s="2423"/>
    </row>
    <row r="56726" s="101" customFormat="1" spans="6:6">
      <c r="F56726" s="2423"/>
    </row>
    <row r="56727" s="101" customFormat="1" spans="6:6">
      <c r="F56727" s="2423"/>
    </row>
    <row r="56728" s="101" customFormat="1" spans="6:6">
      <c r="F56728" s="2423"/>
    </row>
    <row r="56729" s="101" customFormat="1" spans="6:6">
      <c r="F56729" s="2423"/>
    </row>
    <row r="56730" s="101" customFormat="1" spans="6:6">
      <c r="F56730" s="2423"/>
    </row>
    <row r="56731" s="101" customFormat="1" spans="6:6">
      <c r="F56731" s="2423"/>
    </row>
    <row r="56732" s="101" customFormat="1" spans="6:6">
      <c r="F56732" s="2423"/>
    </row>
    <row r="56733" s="101" customFormat="1" spans="6:6">
      <c r="F56733" s="2423"/>
    </row>
    <row r="56734" s="101" customFormat="1" spans="6:6">
      <c r="F56734" s="2423"/>
    </row>
    <row r="56735" s="101" customFormat="1" spans="6:6">
      <c r="F56735" s="2423"/>
    </row>
    <row r="56736" s="101" customFormat="1" spans="6:6">
      <c r="F56736" s="2423"/>
    </row>
    <row r="56737" s="101" customFormat="1" spans="6:6">
      <c r="F56737" s="2423"/>
    </row>
    <row r="56738" s="101" customFormat="1" spans="6:6">
      <c r="F56738" s="2423"/>
    </row>
    <row r="56739" s="101" customFormat="1" spans="6:6">
      <c r="F56739" s="2423"/>
    </row>
    <row r="56740" s="101" customFormat="1" spans="6:6">
      <c r="F56740" s="2423"/>
    </row>
    <row r="56741" s="101" customFormat="1" spans="6:6">
      <c r="F56741" s="2423"/>
    </row>
    <row r="56742" s="101" customFormat="1" spans="6:6">
      <c r="F56742" s="2423"/>
    </row>
    <row r="56743" s="101" customFormat="1" spans="6:6">
      <c r="F56743" s="2423"/>
    </row>
    <row r="56744" s="101" customFormat="1" spans="6:6">
      <c r="F56744" s="2423"/>
    </row>
    <row r="56745" s="101" customFormat="1" spans="6:6">
      <c r="F56745" s="2423"/>
    </row>
    <row r="56746" s="101" customFormat="1" spans="6:6">
      <c r="F56746" s="2423"/>
    </row>
    <row r="56747" s="101" customFormat="1" spans="6:6">
      <c r="F56747" s="2423"/>
    </row>
    <row r="56748" s="101" customFormat="1" spans="6:6">
      <c r="F56748" s="2423"/>
    </row>
    <row r="56749" s="101" customFormat="1" spans="6:6">
      <c r="F56749" s="2423"/>
    </row>
    <row r="56750" s="101" customFormat="1" spans="6:6">
      <c r="F56750" s="2423"/>
    </row>
    <row r="56751" s="101" customFormat="1" spans="6:6">
      <c r="F56751" s="2423"/>
    </row>
    <row r="56752" s="101" customFormat="1" spans="6:6">
      <c r="F56752" s="2423"/>
    </row>
    <row r="56753" s="101" customFormat="1" spans="6:6">
      <c r="F56753" s="2423"/>
    </row>
    <row r="56754" s="101" customFormat="1" spans="6:6">
      <c r="F56754" s="2423"/>
    </row>
    <row r="56755" s="101" customFormat="1" spans="6:6">
      <c r="F56755" s="2423"/>
    </row>
    <row r="56756" s="101" customFormat="1" spans="6:6">
      <c r="F56756" s="2423"/>
    </row>
    <row r="56757" s="101" customFormat="1" spans="6:6">
      <c r="F56757" s="2423"/>
    </row>
    <row r="56758" s="101" customFormat="1" spans="6:6">
      <c r="F56758" s="2423"/>
    </row>
    <row r="56759" s="101" customFormat="1" spans="6:6">
      <c r="F56759" s="2423"/>
    </row>
    <row r="56760" s="101" customFormat="1" spans="6:6">
      <c r="F56760" s="2423"/>
    </row>
    <row r="56761" s="101" customFormat="1" spans="6:6">
      <c r="F56761" s="2423"/>
    </row>
    <row r="56762" s="101" customFormat="1" spans="6:6">
      <c r="F56762" s="2423"/>
    </row>
    <row r="56763" s="101" customFormat="1" spans="6:6">
      <c r="F56763" s="2423"/>
    </row>
    <row r="56764" s="101" customFormat="1" spans="6:6">
      <c r="F56764" s="2423"/>
    </row>
    <row r="56765" s="101" customFormat="1" spans="6:6">
      <c r="F56765" s="2423"/>
    </row>
    <row r="56766" s="101" customFormat="1" spans="6:6">
      <c r="F56766" s="2423"/>
    </row>
    <row r="56767" s="101" customFormat="1" spans="6:6">
      <c r="F56767" s="2423"/>
    </row>
    <row r="56768" s="101" customFormat="1" spans="6:6">
      <c r="F56768" s="2423"/>
    </row>
    <row r="56769" s="101" customFormat="1" spans="6:6">
      <c r="F56769" s="2423"/>
    </row>
    <row r="56770" s="101" customFormat="1" spans="6:6">
      <c r="F56770" s="2423"/>
    </row>
    <row r="56771" s="101" customFormat="1" spans="6:6">
      <c r="F56771" s="2423"/>
    </row>
    <row r="56772" s="101" customFormat="1" spans="6:6">
      <c r="F56772" s="2423"/>
    </row>
    <row r="56773" s="101" customFormat="1" spans="6:6">
      <c r="F56773" s="2423"/>
    </row>
    <row r="56774" s="101" customFormat="1" spans="6:6">
      <c r="F56774" s="2423"/>
    </row>
    <row r="56775" s="101" customFormat="1" spans="6:6">
      <c r="F56775" s="2423"/>
    </row>
    <row r="56776" s="101" customFormat="1" spans="6:6">
      <c r="F56776" s="2423"/>
    </row>
    <row r="56777" s="101" customFormat="1" spans="6:6">
      <c r="F56777" s="2423"/>
    </row>
    <row r="56778" s="101" customFormat="1" spans="6:6">
      <c r="F56778" s="2423"/>
    </row>
    <row r="56779" s="101" customFormat="1" spans="6:6">
      <c r="F56779" s="2423"/>
    </row>
    <row r="56780" s="101" customFormat="1" spans="6:6">
      <c r="F56780" s="2423"/>
    </row>
    <row r="56781" s="101" customFormat="1" spans="6:6">
      <c r="F56781" s="2423"/>
    </row>
    <row r="56782" s="101" customFormat="1" spans="6:6">
      <c r="F56782" s="2423"/>
    </row>
    <row r="56783" s="101" customFormat="1" spans="6:6">
      <c r="F56783" s="2423"/>
    </row>
    <row r="56784" s="101" customFormat="1" spans="6:6">
      <c r="F56784" s="2423"/>
    </row>
    <row r="56785" s="101" customFormat="1" spans="6:6">
      <c r="F56785" s="2423"/>
    </row>
    <row r="56786" s="101" customFormat="1" spans="6:6">
      <c r="F56786" s="2423"/>
    </row>
    <row r="56787" s="101" customFormat="1" spans="6:6">
      <c r="F56787" s="2423"/>
    </row>
    <row r="56788" s="101" customFormat="1" spans="6:6">
      <c r="F56788" s="2423"/>
    </row>
    <row r="56789" s="101" customFormat="1" spans="6:6">
      <c r="F56789" s="2423"/>
    </row>
    <row r="56790" s="101" customFormat="1" spans="6:6">
      <c r="F56790" s="2423"/>
    </row>
    <row r="56791" s="101" customFormat="1" spans="6:6">
      <c r="F56791" s="2423"/>
    </row>
    <row r="56792" s="101" customFormat="1" spans="6:6">
      <c r="F56792" s="2423"/>
    </row>
    <row r="56793" s="101" customFormat="1" spans="6:6">
      <c r="F56793" s="2423"/>
    </row>
    <row r="56794" s="101" customFormat="1" spans="6:6">
      <c r="F56794" s="2423"/>
    </row>
    <row r="56795" s="101" customFormat="1" spans="6:6">
      <c r="F56795" s="2423"/>
    </row>
    <row r="56796" s="101" customFormat="1" spans="6:6">
      <c r="F56796" s="2423"/>
    </row>
    <row r="56797" s="101" customFormat="1" spans="6:6">
      <c r="F56797" s="2423"/>
    </row>
    <row r="56798" s="101" customFormat="1" spans="6:6">
      <c r="F56798" s="2423"/>
    </row>
    <row r="56799" s="101" customFormat="1" spans="6:6">
      <c r="F56799" s="2423"/>
    </row>
    <row r="56800" s="101" customFormat="1" spans="6:6">
      <c r="F56800" s="2423"/>
    </row>
    <row r="56801" s="101" customFormat="1" spans="6:6">
      <c r="F56801" s="2423"/>
    </row>
    <row r="56802" s="101" customFormat="1" spans="6:6">
      <c r="F56802" s="2423"/>
    </row>
    <row r="56803" s="101" customFormat="1" spans="6:6">
      <c r="F56803" s="2423"/>
    </row>
    <row r="56804" s="101" customFormat="1" spans="6:6">
      <c r="F56804" s="2423"/>
    </row>
    <row r="56805" s="101" customFormat="1" spans="6:6">
      <c r="F56805" s="2423"/>
    </row>
    <row r="56806" s="101" customFormat="1" spans="6:6">
      <c r="F56806" s="2423"/>
    </row>
    <row r="56807" s="101" customFormat="1" spans="6:6">
      <c r="F56807" s="2423"/>
    </row>
    <row r="56808" s="101" customFormat="1" spans="6:6">
      <c r="F56808" s="2423"/>
    </row>
    <row r="56809" s="101" customFormat="1" spans="6:6">
      <c r="F56809" s="2423"/>
    </row>
    <row r="56810" s="101" customFormat="1" spans="6:6">
      <c r="F56810" s="2423"/>
    </row>
    <row r="56811" s="101" customFormat="1" spans="6:6">
      <c r="F56811" s="2423"/>
    </row>
    <row r="56812" s="101" customFormat="1" spans="6:6">
      <c r="F56812" s="2423"/>
    </row>
    <row r="56813" s="101" customFormat="1" spans="6:6">
      <c r="F56813" s="2423"/>
    </row>
    <row r="56814" s="101" customFormat="1" spans="6:6">
      <c r="F56814" s="2423"/>
    </row>
    <row r="56815" s="101" customFormat="1" spans="6:6">
      <c r="F56815" s="2423"/>
    </row>
    <row r="56816" s="101" customFormat="1" spans="6:6">
      <c r="F56816" s="2423"/>
    </row>
    <row r="56817" s="101" customFormat="1" spans="6:6">
      <c r="F56817" s="2423"/>
    </row>
    <row r="56818" s="101" customFormat="1" spans="6:6">
      <c r="F56818" s="2423"/>
    </row>
    <row r="56819" s="101" customFormat="1" spans="6:6">
      <c r="F56819" s="2423"/>
    </row>
    <row r="56820" s="101" customFormat="1" spans="6:6">
      <c r="F56820" s="2423"/>
    </row>
    <row r="56821" s="101" customFormat="1" spans="6:6">
      <c r="F56821" s="2423"/>
    </row>
    <row r="56822" s="101" customFormat="1" spans="6:6">
      <c r="F56822" s="2423"/>
    </row>
    <row r="56823" s="101" customFormat="1" spans="6:6">
      <c r="F56823" s="2423"/>
    </row>
    <row r="56824" s="101" customFormat="1" spans="6:6">
      <c r="F56824" s="2423"/>
    </row>
    <row r="56825" s="101" customFormat="1" spans="6:6">
      <c r="F56825" s="2423"/>
    </row>
    <row r="56826" s="101" customFormat="1" spans="6:6">
      <c r="F56826" s="2423"/>
    </row>
    <row r="56827" s="101" customFormat="1" spans="6:6">
      <c r="F56827" s="2423"/>
    </row>
    <row r="56828" s="101" customFormat="1" spans="6:6">
      <c r="F56828" s="2423"/>
    </row>
    <row r="56829" s="101" customFormat="1" spans="6:6">
      <c r="F56829" s="2423"/>
    </row>
    <row r="56830" s="101" customFormat="1" spans="6:6">
      <c r="F56830" s="2423"/>
    </row>
    <row r="56831" s="101" customFormat="1" spans="6:6">
      <c r="F56831" s="2423"/>
    </row>
    <row r="56832" s="101" customFormat="1" spans="6:6">
      <c r="F56832" s="2423"/>
    </row>
    <row r="56833" s="101" customFormat="1" spans="6:6">
      <c r="F56833" s="2423"/>
    </row>
    <row r="56834" s="101" customFormat="1" spans="6:6">
      <c r="F56834" s="2423"/>
    </row>
    <row r="56835" s="101" customFormat="1" spans="6:6">
      <c r="F56835" s="2423"/>
    </row>
    <row r="56836" s="101" customFormat="1" spans="6:6">
      <c r="F56836" s="2423"/>
    </row>
    <row r="56837" s="101" customFormat="1" spans="6:6">
      <c r="F56837" s="2423"/>
    </row>
    <row r="56838" s="101" customFormat="1" spans="6:6">
      <c r="F56838" s="2423"/>
    </row>
    <row r="56839" s="101" customFormat="1" spans="6:6">
      <c r="F56839" s="2423"/>
    </row>
    <row r="56840" s="101" customFormat="1" spans="6:6">
      <c r="F56840" s="2423"/>
    </row>
    <row r="56841" s="101" customFormat="1" spans="6:6">
      <c r="F56841" s="2423"/>
    </row>
    <row r="56842" s="101" customFormat="1" spans="6:6">
      <c r="F56842" s="2423"/>
    </row>
    <row r="56843" s="101" customFormat="1" spans="6:6">
      <c r="F56843" s="2423"/>
    </row>
    <row r="56844" s="101" customFormat="1" spans="6:6">
      <c r="F56844" s="2423"/>
    </row>
    <row r="56845" s="101" customFormat="1" spans="6:6">
      <c r="F56845" s="2423"/>
    </row>
    <row r="56846" s="101" customFormat="1" spans="6:6">
      <c r="F56846" s="2423"/>
    </row>
    <row r="56847" s="101" customFormat="1" spans="6:6">
      <c r="F56847" s="2423"/>
    </row>
    <row r="56848" s="101" customFormat="1" spans="6:6">
      <c r="F56848" s="2423"/>
    </row>
    <row r="56849" s="101" customFormat="1" spans="6:6">
      <c r="F56849" s="2423"/>
    </row>
    <row r="56850" s="101" customFormat="1" spans="6:6">
      <c r="F56850" s="2423"/>
    </row>
    <row r="56851" s="101" customFormat="1" spans="6:6">
      <c r="F56851" s="2423"/>
    </row>
    <row r="56852" s="101" customFormat="1" spans="6:6">
      <c r="F56852" s="2423"/>
    </row>
    <row r="56853" s="101" customFormat="1" spans="6:6">
      <c r="F56853" s="2423"/>
    </row>
    <row r="56854" s="101" customFormat="1" spans="6:6">
      <c r="F56854" s="2423"/>
    </row>
    <row r="56855" s="101" customFormat="1" spans="6:6">
      <c r="F56855" s="2423"/>
    </row>
    <row r="56856" s="101" customFormat="1" spans="6:6">
      <c r="F56856" s="2423"/>
    </row>
    <row r="56857" s="101" customFormat="1" spans="6:6">
      <c r="F56857" s="2423"/>
    </row>
    <row r="56858" s="101" customFormat="1" spans="6:6">
      <c r="F56858" s="2423"/>
    </row>
    <row r="56859" s="101" customFormat="1" spans="6:6">
      <c r="F56859" s="2423"/>
    </row>
    <row r="56860" s="101" customFormat="1" spans="6:6">
      <c r="F56860" s="2423"/>
    </row>
    <row r="56861" s="101" customFormat="1" spans="6:6">
      <c r="F56861" s="2423"/>
    </row>
    <row r="56862" s="101" customFormat="1" spans="6:6">
      <c r="F56862" s="2423"/>
    </row>
    <row r="56863" s="101" customFormat="1" spans="6:6">
      <c r="F56863" s="2423"/>
    </row>
    <row r="56864" s="101" customFormat="1" spans="6:6">
      <c r="F56864" s="2423"/>
    </row>
    <row r="56865" s="101" customFormat="1" spans="6:6">
      <c r="F56865" s="2423"/>
    </row>
    <row r="56866" s="101" customFormat="1" spans="6:6">
      <c r="F56866" s="2423"/>
    </row>
    <row r="56867" s="101" customFormat="1" spans="6:6">
      <c r="F56867" s="2423"/>
    </row>
    <row r="56868" s="101" customFormat="1" spans="6:6">
      <c r="F56868" s="2423"/>
    </row>
    <row r="56869" s="101" customFormat="1" spans="6:6">
      <c r="F56869" s="2423"/>
    </row>
    <row r="56870" s="101" customFormat="1" spans="6:6">
      <c r="F56870" s="2423"/>
    </row>
    <row r="56871" s="101" customFormat="1" spans="6:6">
      <c r="F56871" s="2423"/>
    </row>
    <row r="56872" s="101" customFormat="1" spans="6:6">
      <c r="F56872" s="2423"/>
    </row>
    <row r="56873" s="101" customFormat="1" spans="6:6">
      <c r="F56873" s="2423"/>
    </row>
    <row r="56874" s="101" customFormat="1" spans="6:6">
      <c r="F56874" s="2423"/>
    </row>
    <row r="56875" s="101" customFormat="1" spans="6:6">
      <c r="F56875" s="2423"/>
    </row>
    <row r="56876" s="101" customFormat="1" spans="6:6">
      <c r="F56876" s="2423"/>
    </row>
    <row r="56877" s="101" customFormat="1" spans="6:6">
      <c r="F56877" s="2423"/>
    </row>
    <row r="56878" s="101" customFormat="1" spans="6:6">
      <c r="F56878" s="2423"/>
    </row>
    <row r="56879" s="101" customFormat="1" spans="6:6">
      <c r="F56879" s="2423"/>
    </row>
    <row r="56880" s="101" customFormat="1" spans="6:6">
      <c r="F56880" s="2423"/>
    </row>
    <row r="56881" s="101" customFormat="1" spans="6:6">
      <c r="F56881" s="2423"/>
    </row>
    <row r="56882" s="101" customFormat="1" spans="6:6">
      <c r="F56882" s="2423"/>
    </row>
    <row r="56883" s="101" customFormat="1" spans="6:6">
      <c r="F56883" s="2423"/>
    </row>
    <row r="56884" s="101" customFormat="1" spans="6:6">
      <c r="F56884" s="2423"/>
    </row>
    <row r="56885" s="101" customFormat="1" spans="6:6">
      <c r="F56885" s="2423"/>
    </row>
    <row r="56886" s="101" customFormat="1" spans="6:6">
      <c r="F56886" s="2423"/>
    </row>
    <row r="56887" s="101" customFormat="1" spans="6:6">
      <c r="F56887" s="2423"/>
    </row>
    <row r="56888" s="101" customFormat="1" spans="6:6">
      <c r="F56888" s="2423"/>
    </row>
    <row r="56889" s="101" customFormat="1" spans="6:6">
      <c r="F56889" s="2423"/>
    </row>
    <row r="56890" s="101" customFormat="1" spans="6:6">
      <c r="F56890" s="2423"/>
    </row>
    <row r="56891" s="101" customFormat="1" spans="6:6">
      <c r="F56891" s="2423"/>
    </row>
    <row r="56892" s="101" customFormat="1" spans="6:6">
      <c r="F56892" s="2423"/>
    </row>
    <row r="56893" s="101" customFormat="1" spans="6:6">
      <c r="F56893" s="2423"/>
    </row>
    <row r="56894" s="101" customFormat="1" spans="6:6">
      <c r="F56894" s="2423"/>
    </row>
    <row r="56895" s="101" customFormat="1" spans="6:6">
      <c r="F56895" s="2423"/>
    </row>
    <row r="56896" s="101" customFormat="1" spans="6:6">
      <c r="F56896" s="2423"/>
    </row>
    <row r="56897" s="101" customFormat="1" spans="6:6">
      <c r="F56897" s="2423"/>
    </row>
    <row r="56898" s="101" customFormat="1" spans="6:6">
      <c r="F56898" s="2423"/>
    </row>
    <row r="56899" s="101" customFormat="1" spans="6:6">
      <c r="F56899" s="2423"/>
    </row>
    <row r="56900" s="101" customFormat="1" spans="6:6">
      <c r="F56900" s="2423"/>
    </row>
    <row r="56901" s="101" customFormat="1" spans="6:6">
      <c r="F56901" s="2423"/>
    </row>
    <row r="56902" s="101" customFormat="1" spans="6:6">
      <c r="F56902" s="2423"/>
    </row>
    <row r="56903" s="101" customFormat="1" spans="6:6">
      <c r="F56903" s="2423"/>
    </row>
    <row r="56904" s="101" customFormat="1" spans="6:6">
      <c r="F56904" s="2423"/>
    </row>
    <row r="56905" s="101" customFormat="1" spans="6:6">
      <c r="F56905" s="2423"/>
    </row>
    <row r="56906" s="101" customFormat="1" spans="6:6">
      <c r="F56906" s="2423"/>
    </row>
    <row r="56907" s="101" customFormat="1" spans="6:6">
      <c r="F56907" s="2423"/>
    </row>
    <row r="56908" s="101" customFormat="1" spans="6:6">
      <c r="F56908" s="2423"/>
    </row>
    <row r="56909" s="101" customFormat="1" spans="6:6">
      <c r="F56909" s="2423"/>
    </row>
    <row r="56910" s="101" customFormat="1" spans="6:6">
      <c r="F56910" s="2423"/>
    </row>
    <row r="56911" s="101" customFormat="1" spans="6:6">
      <c r="F56911" s="2423"/>
    </row>
    <row r="56912" s="101" customFormat="1" spans="6:6">
      <c r="F56912" s="2423"/>
    </row>
    <row r="56913" s="101" customFormat="1" spans="6:6">
      <c r="F56913" s="2423"/>
    </row>
    <row r="56914" s="101" customFormat="1" spans="6:6">
      <c r="F56914" s="2423"/>
    </row>
    <row r="56915" s="101" customFormat="1" spans="6:6">
      <c r="F56915" s="2423"/>
    </row>
    <row r="56916" s="101" customFormat="1" spans="6:6">
      <c r="F56916" s="2423"/>
    </row>
    <row r="56917" s="101" customFormat="1" spans="6:6">
      <c r="F56917" s="2423"/>
    </row>
    <row r="56918" s="101" customFormat="1" spans="6:6">
      <c r="F56918" s="2423"/>
    </row>
    <row r="56919" s="101" customFormat="1" spans="6:6">
      <c r="F56919" s="2423"/>
    </row>
    <row r="56920" s="101" customFormat="1" spans="6:6">
      <c r="F56920" s="2423"/>
    </row>
    <row r="56921" s="101" customFormat="1" spans="6:6">
      <c r="F56921" s="2423"/>
    </row>
    <row r="56922" s="101" customFormat="1" spans="6:6">
      <c r="F56922" s="2423"/>
    </row>
    <row r="56923" s="101" customFormat="1" spans="6:6">
      <c r="F56923" s="2423"/>
    </row>
    <row r="56924" s="101" customFormat="1" spans="6:6">
      <c r="F56924" s="2423"/>
    </row>
    <row r="56925" s="101" customFormat="1" spans="6:6">
      <c r="F56925" s="2423"/>
    </row>
    <row r="56926" s="101" customFormat="1" spans="6:6">
      <c r="F56926" s="2423"/>
    </row>
    <row r="56927" s="101" customFormat="1" spans="6:6">
      <c r="F56927" s="2423"/>
    </row>
    <row r="56928" s="101" customFormat="1" spans="6:6">
      <c r="F56928" s="2423"/>
    </row>
    <row r="56929" s="101" customFormat="1" spans="6:6">
      <c r="F56929" s="2423"/>
    </row>
    <row r="56930" s="101" customFormat="1" spans="6:6">
      <c r="F56930" s="2423"/>
    </row>
    <row r="56931" s="101" customFormat="1" spans="6:6">
      <c r="F56931" s="2423"/>
    </row>
    <row r="56932" s="101" customFormat="1" spans="6:6">
      <c r="F56932" s="2423"/>
    </row>
    <row r="56933" s="101" customFormat="1" spans="6:6">
      <c r="F56933" s="2423"/>
    </row>
    <row r="56934" s="101" customFormat="1" spans="6:6">
      <c r="F56934" s="2423"/>
    </row>
    <row r="56935" s="101" customFormat="1" spans="6:6">
      <c r="F56935" s="2423"/>
    </row>
    <row r="56936" s="101" customFormat="1" spans="6:6">
      <c r="F56936" s="2423"/>
    </row>
    <row r="56937" s="101" customFormat="1" spans="6:6">
      <c r="F56937" s="2423"/>
    </row>
    <row r="56938" s="101" customFormat="1" spans="6:6">
      <c r="F56938" s="2423"/>
    </row>
    <row r="56939" s="101" customFormat="1" spans="6:6">
      <c r="F56939" s="2423"/>
    </row>
    <row r="56940" s="101" customFormat="1" spans="6:6">
      <c r="F56940" s="2423"/>
    </row>
    <row r="56941" s="101" customFormat="1" spans="6:6">
      <c r="F56941" s="2423"/>
    </row>
    <row r="56942" s="101" customFormat="1" spans="6:6">
      <c r="F56942" s="2423"/>
    </row>
    <row r="56943" s="101" customFormat="1" spans="6:6">
      <c r="F56943" s="2423"/>
    </row>
    <row r="56944" s="101" customFormat="1" spans="6:6">
      <c r="F56944" s="2423"/>
    </row>
    <row r="56945" s="101" customFormat="1" spans="6:6">
      <c r="F56945" s="2423"/>
    </row>
    <row r="56946" s="101" customFormat="1" spans="6:6">
      <c r="F56946" s="2423"/>
    </row>
    <row r="56947" s="101" customFormat="1" spans="6:6">
      <c r="F56947" s="2423"/>
    </row>
    <row r="56948" s="101" customFormat="1" spans="6:6">
      <c r="F56948" s="2423"/>
    </row>
    <row r="56949" s="101" customFormat="1" spans="6:6">
      <c r="F56949" s="2423"/>
    </row>
    <row r="56950" s="101" customFormat="1" spans="6:6">
      <c r="F56950" s="2423"/>
    </row>
    <row r="56951" s="101" customFormat="1" spans="6:6">
      <c r="F56951" s="2423"/>
    </row>
    <row r="56952" s="101" customFormat="1" spans="6:6">
      <c r="F56952" s="2423"/>
    </row>
    <row r="56953" s="101" customFormat="1" spans="6:6">
      <c r="F56953" s="2423"/>
    </row>
    <row r="56954" s="101" customFormat="1" spans="6:6">
      <c r="F56954" s="2423"/>
    </row>
    <row r="56955" s="101" customFormat="1" spans="6:6">
      <c r="F56955" s="2423"/>
    </row>
    <row r="56956" s="101" customFormat="1" spans="6:6">
      <c r="F56956" s="2423"/>
    </row>
    <row r="56957" s="101" customFormat="1" spans="6:6">
      <c r="F56957" s="2423"/>
    </row>
    <row r="56958" s="101" customFormat="1" spans="6:6">
      <c r="F56958" s="2423"/>
    </row>
    <row r="56959" s="101" customFormat="1" spans="6:6">
      <c r="F56959" s="2423"/>
    </row>
    <row r="56960" s="101" customFormat="1" spans="6:6">
      <c r="F56960" s="2423"/>
    </row>
    <row r="56961" s="101" customFormat="1" spans="6:6">
      <c r="F56961" s="2423"/>
    </row>
    <row r="56962" s="101" customFormat="1" spans="6:6">
      <c r="F56962" s="2423"/>
    </row>
    <row r="56963" s="101" customFormat="1" spans="6:6">
      <c r="F56963" s="2423"/>
    </row>
    <row r="56964" s="101" customFormat="1" spans="6:6">
      <c r="F56964" s="2423"/>
    </row>
    <row r="56965" s="101" customFormat="1" spans="6:6">
      <c r="F56965" s="2423"/>
    </row>
    <row r="56966" s="101" customFormat="1" spans="6:6">
      <c r="F56966" s="2423"/>
    </row>
    <row r="56967" s="101" customFormat="1" spans="6:6">
      <c r="F56967" s="2423"/>
    </row>
    <row r="56968" s="101" customFormat="1" spans="6:6">
      <c r="F56968" s="2423"/>
    </row>
    <row r="56969" s="101" customFormat="1" spans="6:6">
      <c r="F56969" s="2423"/>
    </row>
    <row r="56970" s="101" customFormat="1" spans="6:6">
      <c r="F56970" s="2423"/>
    </row>
    <row r="56971" s="101" customFormat="1" spans="6:6">
      <c r="F56971" s="2423"/>
    </row>
    <row r="56972" s="101" customFormat="1" spans="6:6">
      <c r="F56972" s="2423"/>
    </row>
    <row r="56973" s="101" customFormat="1" spans="6:6">
      <c r="F56973" s="2423"/>
    </row>
    <row r="56974" s="101" customFormat="1" spans="6:6">
      <c r="F56974" s="2423"/>
    </row>
    <row r="56975" s="101" customFormat="1" spans="6:6">
      <c r="F56975" s="2423"/>
    </row>
    <row r="56976" s="101" customFormat="1" spans="6:6">
      <c r="F56976" s="2423"/>
    </row>
    <row r="56977" s="101" customFormat="1" spans="6:6">
      <c r="F56977" s="2423"/>
    </row>
    <row r="56978" s="101" customFormat="1" spans="6:6">
      <c r="F56978" s="2423"/>
    </row>
    <row r="56979" s="101" customFormat="1" spans="6:6">
      <c r="F56979" s="2423"/>
    </row>
    <row r="56980" s="101" customFormat="1" spans="6:6">
      <c r="F56980" s="2423"/>
    </row>
    <row r="56981" s="101" customFormat="1" spans="6:6">
      <c r="F56981" s="2423"/>
    </row>
    <row r="56982" s="101" customFormat="1" spans="6:6">
      <c r="F56982" s="2423"/>
    </row>
    <row r="56983" s="101" customFormat="1" spans="6:6">
      <c r="F56983" s="2423"/>
    </row>
    <row r="56984" s="101" customFormat="1" spans="6:6">
      <c r="F56984" s="2423"/>
    </row>
    <row r="56985" s="101" customFormat="1" spans="6:6">
      <c r="F56985" s="2423"/>
    </row>
    <row r="56986" s="101" customFormat="1" spans="6:6">
      <c r="F56986" s="2423"/>
    </row>
    <row r="56987" s="101" customFormat="1" spans="6:6">
      <c r="F56987" s="2423"/>
    </row>
    <row r="56988" s="101" customFormat="1" spans="6:6">
      <c r="F56988" s="2423"/>
    </row>
    <row r="56989" s="101" customFormat="1" spans="6:6">
      <c r="F56989" s="2423"/>
    </row>
    <row r="56990" s="101" customFormat="1" spans="6:6">
      <c r="F56990" s="2423"/>
    </row>
    <row r="56991" s="101" customFormat="1" spans="6:6">
      <c r="F56991" s="2423"/>
    </row>
    <row r="56992" s="101" customFormat="1" spans="6:6">
      <c r="F56992" s="2423"/>
    </row>
    <row r="56993" s="101" customFormat="1" spans="6:6">
      <c r="F56993" s="2423"/>
    </row>
    <row r="56994" s="101" customFormat="1" spans="6:6">
      <c r="F56994" s="2423"/>
    </row>
    <row r="56995" s="101" customFormat="1" spans="6:6">
      <c r="F56995" s="2423"/>
    </row>
    <row r="56996" s="101" customFormat="1" spans="6:6">
      <c r="F56996" s="2423"/>
    </row>
    <row r="56997" s="101" customFormat="1" spans="6:6">
      <c r="F56997" s="2423"/>
    </row>
    <row r="56998" s="101" customFormat="1" spans="6:6">
      <c r="F56998" s="2423"/>
    </row>
    <row r="56999" s="101" customFormat="1" spans="6:6">
      <c r="F56999" s="2423"/>
    </row>
    <row r="57000" s="101" customFormat="1" spans="6:6">
      <c r="F57000" s="2423"/>
    </row>
    <row r="57001" s="101" customFormat="1" spans="6:6">
      <c r="F57001" s="2423"/>
    </row>
    <row r="57002" s="101" customFormat="1" spans="6:6">
      <c r="F57002" s="2423"/>
    </row>
    <row r="57003" s="101" customFormat="1" spans="6:6">
      <c r="F57003" s="2423"/>
    </row>
    <row r="57004" s="101" customFormat="1" spans="6:6">
      <c r="F57004" s="2423"/>
    </row>
    <row r="57005" s="101" customFormat="1" spans="6:6">
      <c r="F57005" s="2423"/>
    </row>
    <row r="57006" s="101" customFormat="1" spans="6:6">
      <c r="F57006" s="2423"/>
    </row>
    <row r="57007" s="101" customFormat="1" spans="6:6">
      <c r="F57007" s="2423"/>
    </row>
    <row r="57008" s="101" customFormat="1" spans="6:6">
      <c r="F57008" s="2423"/>
    </row>
    <row r="57009" s="101" customFormat="1" spans="6:6">
      <c r="F57009" s="2423"/>
    </row>
    <row r="57010" s="101" customFormat="1" spans="6:6">
      <c r="F57010" s="2423"/>
    </row>
    <row r="57011" s="101" customFormat="1" spans="6:6">
      <c r="F57011" s="2423"/>
    </row>
    <row r="57012" s="101" customFormat="1" spans="6:6">
      <c r="F57012" s="2423"/>
    </row>
    <row r="57013" s="101" customFormat="1" spans="6:6">
      <c r="F57013" s="2423"/>
    </row>
    <row r="57014" s="101" customFormat="1" spans="6:6">
      <c r="F57014" s="2423"/>
    </row>
    <row r="57015" s="101" customFormat="1" spans="6:6">
      <c r="F57015" s="2423"/>
    </row>
    <row r="57016" s="101" customFormat="1" spans="6:6">
      <c r="F57016" s="2423"/>
    </row>
    <row r="57017" s="101" customFormat="1" spans="6:6">
      <c r="F57017" s="2423"/>
    </row>
    <row r="57018" s="101" customFormat="1" spans="6:6">
      <c r="F57018" s="2423"/>
    </row>
    <row r="57019" s="101" customFormat="1" spans="6:6">
      <c r="F57019" s="2423"/>
    </row>
    <row r="57020" s="101" customFormat="1" spans="6:6">
      <c r="F57020" s="2423"/>
    </row>
    <row r="57021" s="101" customFormat="1" spans="6:6">
      <c r="F57021" s="2423"/>
    </row>
    <row r="57022" s="101" customFormat="1" spans="6:6">
      <c r="F57022" s="2423"/>
    </row>
    <row r="57023" s="101" customFormat="1" spans="6:6">
      <c r="F57023" s="2423"/>
    </row>
    <row r="57024" s="101" customFormat="1" spans="6:6">
      <c r="F57024" s="2423"/>
    </row>
    <row r="57025" s="101" customFormat="1" spans="6:6">
      <c r="F57025" s="2423"/>
    </row>
    <row r="57026" s="101" customFormat="1" spans="6:6">
      <c r="F57026" s="2423"/>
    </row>
    <row r="57027" s="101" customFormat="1" spans="6:6">
      <c r="F57027" s="2423"/>
    </row>
    <row r="57028" s="101" customFormat="1" spans="6:6">
      <c r="F57028" s="2423"/>
    </row>
    <row r="57029" s="101" customFormat="1" spans="6:6">
      <c r="F57029" s="2423"/>
    </row>
    <row r="57030" s="101" customFormat="1" spans="6:6">
      <c r="F57030" s="2423"/>
    </row>
    <row r="57031" s="101" customFormat="1" spans="6:6">
      <c r="F57031" s="2423"/>
    </row>
    <row r="57032" s="101" customFormat="1" spans="6:6">
      <c r="F57032" s="2423"/>
    </row>
    <row r="57033" s="101" customFormat="1" spans="6:6">
      <c r="F57033" s="2423"/>
    </row>
    <row r="57034" s="101" customFormat="1" spans="6:6">
      <c r="F57034" s="2423"/>
    </row>
    <row r="57035" s="101" customFormat="1" spans="6:6">
      <c r="F57035" s="2423"/>
    </row>
    <row r="57036" s="101" customFormat="1" spans="6:6">
      <c r="F57036" s="2423"/>
    </row>
    <row r="57037" s="101" customFormat="1" spans="6:6">
      <c r="F57037" s="2423"/>
    </row>
    <row r="57038" s="101" customFormat="1" spans="6:6">
      <c r="F57038" s="2423"/>
    </row>
    <row r="57039" s="101" customFormat="1" spans="6:6">
      <c r="F57039" s="2423"/>
    </row>
    <row r="57040" s="101" customFormat="1" spans="6:6">
      <c r="F57040" s="2423"/>
    </row>
    <row r="57041" s="101" customFormat="1" spans="6:6">
      <c r="F57041" s="2423"/>
    </row>
    <row r="57042" s="101" customFormat="1" spans="6:6">
      <c r="F57042" s="2423"/>
    </row>
    <row r="57043" s="101" customFormat="1" spans="6:6">
      <c r="F57043" s="2423"/>
    </row>
    <row r="57044" s="101" customFormat="1" spans="6:6">
      <c r="F57044" s="2423"/>
    </row>
    <row r="57045" s="101" customFormat="1" spans="6:6">
      <c r="F57045" s="2423"/>
    </row>
    <row r="57046" s="101" customFormat="1" spans="6:6">
      <c r="F57046" s="2423"/>
    </row>
    <row r="57047" s="101" customFormat="1" spans="6:6">
      <c r="F57047" s="2423"/>
    </row>
    <row r="57048" s="101" customFormat="1" spans="6:6">
      <c r="F57048" s="2423"/>
    </row>
    <row r="57049" s="101" customFormat="1" spans="6:6">
      <c r="F57049" s="2423"/>
    </row>
    <row r="57050" s="101" customFormat="1" spans="6:6">
      <c r="F57050" s="2423"/>
    </row>
    <row r="57051" s="101" customFormat="1" spans="6:6">
      <c r="F57051" s="2423"/>
    </row>
    <row r="57052" s="101" customFormat="1" spans="6:6">
      <c r="F57052" s="2423"/>
    </row>
    <row r="57053" s="101" customFormat="1" spans="6:6">
      <c r="F57053" s="2423"/>
    </row>
    <row r="57054" s="101" customFormat="1" spans="6:6">
      <c r="F57054" s="2423"/>
    </row>
    <row r="57055" s="101" customFormat="1" spans="6:6">
      <c r="F57055" s="2423"/>
    </row>
    <row r="57056" s="101" customFormat="1" spans="6:6">
      <c r="F57056" s="2423"/>
    </row>
    <row r="57057" s="101" customFormat="1" spans="6:6">
      <c r="F57057" s="2423"/>
    </row>
    <row r="57058" s="101" customFormat="1" spans="6:6">
      <c r="F57058" s="2423"/>
    </row>
    <row r="57059" s="101" customFormat="1" spans="6:6">
      <c r="F57059" s="2423"/>
    </row>
    <row r="57060" s="101" customFormat="1" spans="6:6">
      <c r="F57060" s="2423"/>
    </row>
    <row r="57061" s="101" customFormat="1" spans="6:6">
      <c r="F57061" s="2423"/>
    </row>
    <row r="57062" s="101" customFormat="1" spans="6:6">
      <c r="F57062" s="2423"/>
    </row>
    <row r="57063" s="101" customFormat="1" spans="6:6">
      <c r="F57063" s="2423"/>
    </row>
    <row r="57064" s="101" customFormat="1" spans="6:6">
      <c r="F57064" s="2423"/>
    </row>
    <row r="57065" s="101" customFormat="1" spans="6:6">
      <c r="F57065" s="2423"/>
    </row>
    <row r="57066" s="101" customFormat="1" spans="6:6">
      <c r="F57066" s="2423"/>
    </row>
    <row r="57067" s="101" customFormat="1" spans="6:6">
      <c r="F57067" s="2423"/>
    </row>
    <row r="57068" s="101" customFormat="1" spans="6:6">
      <c r="F57068" s="2423"/>
    </row>
    <row r="57069" s="101" customFormat="1" spans="6:6">
      <c r="F57069" s="2423"/>
    </row>
    <row r="57070" s="101" customFormat="1" spans="6:6">
      <c r="F57070" s="2423"/>
    </row>
    <row r="57071" s="101" customFormat="1" spans="6:6">
      <c r="F57071" s="2423"/>
    </row>
    <row r="57072" s="101" customFormat="1" spans="6:6">
      <c r="F57072" s="2423"/>
    </row>
    <row r="57073" s="101" customFormat="1" spans="6:6">
      <c r="F57073" s="2423"/>
    </row>
    <row r="57074" s="101" customFormat="1" spans="6:6">
      <c r="F57074" s="2423"/>
    </row>
    <row r="57075" s="101" customFormat="1" spans="6:6">
      <c r="F57075" s="2423"/>
    </row>
    <row r="57076" s="101" customFormat="1" spans="6:6">
      <c r="F57076" s="2423"/>
    </row>
    <row r="57077" s="101" customFormat="1" spans="6:6">
      <c r="F57077" s="2423"/>
    </row>
    <row r="57078" s="101" customFormat="1" spans="6:6">
      <c r="F57078" s="2423"/>
    </row>
    <row r="57079" s="101" customFormat="1" spans="6:6">
      <c r="F57079" s="2423"/>
    </row>
    <row r="57080" s="101" customFormat="1" spans="6:6">
      <c r="F57080" s="2423"/>
    </row>
    <row r="57081" s="101" customFormat="1" spans="6:6">
      <c r="F57081" s="2423"/>
    </row>
    <row r="57082" s="101" customFormat="1" spans="6:6">
      <c r="F57082" s="2423"/>
    </row>
    <row r="57083" s="101" customFormat="1" spans="6:6">
      <c r="F57083" s="2423"/>
    </row>
    <row r="57084" s="101" customFormat="1" spans="6:6">
      <c r="F57084" s="2423"/>
    </row>
    <row r="57085" s="101" customFormat="1" spans="6:6">
      <c r="F57085" s="2423"/>
    </row>
    <row r="57086" s="101" customFormat="1" spans="6:6">
      <c r="F57086" s="2423"/>
    </row>
    <row r="57087" s="101" customFormat="1" spans="6:6">
      <c r="F57087" s="2423"/>
    </row>
    <row r="57088" s="101" customFormat="1" spans="6:6">
      <c r="F57088" s="2423"/>
    </row>
    <row r="57089" s="101" customFormat="1" spans="6:6">
      <c r="F57089" s="2423"/>
    </row>
    <row r="57090" s="101" customFormat="1" spans="6:6">
      <c r="F57090" s="2423"/>
    </row>
    <row r="57091" s="101" customFormat="1" spans="6:6">
      <c r="F57091" s="2423"/>
    </row>
    <row r="57092" s="101" customFormat="1" spans="6:6">
      <c r="F57092" s="2423"/>
    </row>
    <row r="57093" s="101" customFormat="1" spans="6:6">
      <c r="F57093" s="2423"/>
    </row>
    <row r="57094" s="101" customFormat="1" spans="6:6">
      <c r="F57094" s="2423"/>
    </row>
    <row r="57095" s="101" customFormat="1" spans="6:6">
      <c r="F57095" s="2423"/>
    </row>
    <row r="57096" s="101" customFormat="1" spans="6:6">
      <c r="F57096" s="2423"/>
    </row>
    <row r="57097" s="101" customFormat="1" spans="6:6">
      <c r="F57097" s="2423"/>
    </row>
    <row r="57098" s="101" customFormat="1" spans="6:6">
      <c r="F57098" s="2423"/>
    </row>
    <row r="57099" s="101" customFormat="1" spans="6:6">
      <c r="F57099" s="2423"/>
    </row>
    <row r="57100" s="101" customFormat="1" spans="6:6">
      <c r="F57100" s="2423"/>
    </row>
    <row r="57101" s="101" customFormat="1" spans="6:6">
      <c r="F57101" s="2423"/>
    </row>
    <row r="57102" s="101" customFormat="1" spans="6:6">
      <c r="F57102" s="2423"/>
    </row>
    <row r="57103" s="101" customFormat="1" spans="6:6">
      <c r="F57103" s="2423"/>
    </row>
    <row r="57104" s="101" customFormat="1" spans="6:6">
      <c r="F57104" s="2423"/>
    </row>
    <row r="57105" s="101" customFormat="1" spans="6:6">
      <c r="F57105" s="2423"/>
    </row>
    <row r="57106" s="101" customFormat="1" spans="6:6">
      <c r="F57106" s="2423"/>
    </row>
    <row r="57107" s="101" customFormat="1" spans="6:6">
      <c r="F57107" s="2423"/>
    </row>
    <row r="57108" s="101" customFormat="1" spans="6:6">
      <c r="F57108" s="2423"/>
    </row>
    <row r="57109" s="101" customFormat="1" spans="6:6">
      <c r="F57109" s="2423"/>
    </row>
    <row r="57110" s="101" customFormat="1" spans="6:6">
      <c r="F57110" s="2423"/>
    </row>
    <row r="57111" s="101" customFormat="1" spans="6:6">
      <c r="F57111" s="2423"/>
    </row>
    <row r="57112" s="101" customFormat="1" spans="6:6">
      <c r="F57112" s="2423"/>
    </row>
    <row r="57113" s="101" customFormat="1" spans="6:6">
      <c r="F57113" s="2423"/>
    </row>
    <row r="57114" s="101" customFormat="1" spans="6:6">
      <c r="F57114" s="2423"/>
    </row>
    <row r="57115" s="101" customFormat="1" spans="6:6">
      <c r="F57115" s="2423"/>
    </row>
    <row r="57116" s="101" customFormat="1" spans="6:6">
      <c r="F57116" s="2423"/>
    </row>
    <row r="57117" s="101" customFormat="1" spans="6:6">
      <c r="F57117" s="2423"/>
    </row>
    <row r="57118" s="101" customFormat="1" spans="6:6">
      <c r="F57118" s="2423"/>
    </row>
    <row r="57119" s="101" customFormat="1" spans="6:6">
      <c r="F57119" s="2423"/>
    </row>
    <row r="57120" s="101" customFormat="1" spans="6:6">
      <c r="F57120" s="2423"/>
    </row>
    <row r="57121" s="101" customFormat="1" spans="6:6">
      <c r="F57121" s="2423"/>
    </row>
    <row r="57122" s="101" customFormat="1" spans="6:6">
      <c r="F57122" s="2423"/>
    </row>
    <row r="57123" s="101" customFormat="1" spans="6:6">
      <c r="F57123" s="2423"/>
    </row>
    <row r="57124" s="101" customFormat="1" spans="6:6">
      <c r="F57124" s="2423"/>
    </row>
    <row r="57125" s="101" customFormat="1" spans="6:6">
      <c r="F57125" s="2423"/>
    </row>
    <row r="57126" s="101" customFormat="1" spans="6:6">
      <c r="F57126" s="2423"/>
    </row>
    <row r="57127" s="101" customFormat="1" spans="6:6">
      <c r="F57127" s="2423"/>
    </row>
    <row r="57128" s="101" customFormat="1" spans="6:6">
      <c r="F57128" s="2423"/>
    </row>
    <row r="57129" s="101" customFormat="1" spans="6:6">
      <c r="F57129" s="2423"/>
    </row>
    <row r="57130" s="101" customFormat="1" spans="6:6">
      <c r="F57130" s="2423"/>
    </row>
    <row r="57131" s="101" customFormat="1" spans="6:6">
      <c r="F57131" s="2423"/>
    </row>
    <row r="57132" s="101" customFormat="1" spans="6:6">
      <c r="F57132" s="2423"/>
    </row>
    <row r="57133" s="101" customFormat="1" spans="6:6">
      <c r="F57133" s="2423"/>
    </row>
    <row r="57134" s="101" customFormat="1" spans="6:6">
      <c r="F57134" s="2423"/>
    </row>
    <row r="57135" s="101" customFormat="1" spans="6:6">
      <c r="F57135" s="2423"/>
    </row>
    <row r="57136" s="101" customFormat="1" spans="6:6">
      <c r="F57136" s="2423"/>
    </row>
    <row r="57137" s="101" customFormat="1" spans="6:6">
      <c r="F57137" s="2423"/>
    </row>
    <row r="57138" s="101" customFormat="1" spans="6:6">
      <c r="F57138" s="2423"/>
    </row>
    <row r="57139" s="101" customFormat="1" spans="6:6">
      <c r="F57139" s="2423"/>
    </row>
    <row r="57140" s="101" customFormat="1" spans="6:6">
      <c r="F57140" s="2423"/>
    </row>
    <row r="57141" s="101" customFormat="1" spans="6:6">
      <c r="F57141" s="2423"/>
    </row>
    <row r="57142" s="101" customFormat="1" spans="6:6">
      <c r="F57142" s="2423"/>
    </row>
    <row r="57143" s="101" customFormat="1" spans="6:6">
      <c r="F57143" s="2423"/>
    </row>
    <row r="57144" s="101" customFormat="1" spans="6:6">
      <c r="F57144" s="2423"/>
    </row>
    <row r="57145" s="101" customFormat="1" spans="6:6">
      <c r="F57145" s="2423"/>
    </row>
    <row r="57146" s="101" customFormat="1" spans="6:6">
      <c r="F57146" s="2423"/>
    </row>
    <row r="57147" s="101" customFormat="1" spans="6:6">
      <c r="F57147" s="2423"/>
    </row>
    <row r="57148" s="101" customFormat="1" spans="6:6">
      <c r="F57148" s="2423"/>
    </row>
    <row r="57149" s="101" customFormat="1" spans="6:6">
      <c r="F57149" s="2423"/>
    </row>
    <row r="57150" s="101" customFormat="1" spans="6:6">
      <c r="F57150" s="2423"/>
    </row>
    <row r="57151" s="101" customFormat="1" spans="6:6">
      <c r="F57151" s="2423"/>
    </row>
    <row r="57152" s="101" customFormat="1" spans="6:6">
      <c r="F57152" s="2423"/>
    </row>
    <row r="57153" s="101" customFormat="1" spans="6:6">
      <c r="F57153" s="2423"/>
    </row>
    <row r="57154" s="101" customFormat="1" spans="6:6">
      <c r="F57154" s="2423"/>
    </row>
    <row r="57155" s="101" customFormat="1" spans="6:6">
      <c r="F57155" s="2423"/>
    </row>
    <row r="57156" s="101" customFormat="1" spans="6:6">
      <c r="F57156" s="2423"/>
    </row>
    <row r="57157" s="101" customFormat="1" spans="6:6">
      <c r="F57157" s="2423"/>
    </row>
    <row r="57158" s="101" customFormat="1" spans="6:6">
      <c r="F57158" s="2423"/>
    </row>
    <row r="57159" s="101" customFormat="1" spans="6:6">
      <c r="F57159" s="2423"/>
    </row>
    <row r="57160" s="101" customFormat="1" spans="6:6">
      <c r="F57160" s="2423"/>
    </row>
    <row r="57161" s="101" customFormat="1" spans="6:6">
      <c r="F57161" s="2423"/>
    </row>
    <row r="57162" s="101" customFormat="1" spans="6:6">
      <c r="F57162" s="2423"/>
    </row>
    <row r="57163" s="101" customFormat="1" spans="6:6">
      <c r="F57163" s="2423"/>
    </row>
    <row r="57164" s="101" customFormat="1" spans="6:6">
      <c r="F57164" s="2423"/>
    </row>
    <row r="57165" s="101" customFormat="1" spans="6:6">
      <c r="F57165" s="2423"/>
    </row>
    <row r="57166" s="101" customFormat="1" spans="6:6">
      <c r="F57166" s="2423"/>
    </row>
    <row r="57167" s="101" customFormat="1" spans="6:6">
      <c r="F57167" s="2423"/>
    </row>
    <row r="57168" s="101" customFormat="1" spans="6:6">
      <c r="F57168" s="2423"/>
    </row>
    <row r="57169" s="101" customFormat="1" spans="6:6">
      <c r="F57169" s="2423"/>
    </row>
    <row r="57170" s="101" customFormat="1" spans="6:6">
      <c r="F57170" s="2423"/>
    </row>
    <row r="57171" s="101" customFormat="1" spans="6:6">
      <c r="F57171" s="2423"/>
    </row>
    <row r="57172" s="101" customFormat="1" spans="6:6">
      <c r="F57172" s="2423"/>
    </row>
    <row r="57173" s="101" customFormat="1" spans="6:6">
      <c r="F57173" s="2423"/>
    </row>
    <row r="57174" s="101" customFormat="1" spans="6:6">
      <c r="F57174" s="2423"/>
    </row>
    <row r="57175" s="101" customFormat="1" spans="6:6">
      <c r="F57175" s="2423"/>
    </row>
    <row r="57176" s="101" customFormat="1" spans="6:6">
      <c r="F57176" s="2423"/>
    </row>
    <row r="57177" s="101" customFormat="1" spans="6:6">
      <c r="F57177" s="2423"/>
    </row>
    <row r="57178" s="101" customFormat="1" spans="6:6">
      <c r="F57178" s="2423"/>
    </row>
    <row r="57179" s="101" customFormat="1" spans="6:6">
      <c r="F57179" s="2423"/>
    </row>
    <row r="57180" s="101" customFormat="1" spans="6:6">
      <c r="F57180" s="2423"/>
    </row>
    <row r="57181" s="101" customFormat="1" spans="6:6">
      <c r="F57181" s="2423"/>
    </row>
    <row r="57182" s="101" customFormat="1" spans="6:6">
      <c r="F57182" s="2423"/>
    </row>
    <row r="57183" s="101" customFormat="1" spans="6:6">
      <c r="F57183" s="2423"/>
    </row>
    <row r="57184" s="101" customFormat="1" spans="6:6">
      <c r="F57184" s="2423"/>
    </row>
    <row r="57185" s="101" customFormat="1" spans="6:6">
      <c r="F57185" s="2423"/>
    </row>
    <row r="57186" s="101" customFormat="1" spans="6:6">
      <c r="F57186" s="2423"/>
    </row>
    <row r="57187" s="101" customFormat="1" spans="6:6">
      <c r="F57187" s="2423"/>
    </row>
    <row r="57188" s="101" customFormat="1" spans="6:6">
      <c r="F57188" s="2423"/>
    </row>
    <row r="57189" s="101" customFormat="1" spans="6:6">
      <c r="F57189" s="2423"/>
    </row>
    <row r="57190" s="101" customFormat="1" spans="6:6">
      <c r="F57190" s="2423"/>
    </row>
    <row r="57191" s="101" customFormat="1" spans="6:6">
      <c r="F57191" s="2423"/>
    </row>
    <row r="57192" s="101" customFormat="1" spans="6:6">
      <c r="F57192" s="2423"/>
    </row>
    <row r="57193" s="101" customFormat="1" spans="6:6">
      <c r="F57193" s="2423"/>
    </row>
    <row r="57194" s="101" customFormat="1" spans="6:6">
      <c r="F57194" s="2423"/>
    </row>
    <row r="57195" s="101" customFormat="1" spans="6:6">
      <c r="F57195" s="2423"/>
    </row>
    <row r="57196" s="101" customFormat="1" spans="6:6">
      <c r="F57196" s="2423"/>
    </row>
    <row r="57197" s="101" customFormat="1" spans="6:6">
      <c r="F57197" s="2423"/>
    </row>
    <row r="57198" s="101" customFormat="1" spans="6:6">
      <c r="F57198" s="2423"/>
    </row>
    <row r="57199" s="101" customFormat="1" spans="6:6">
      <c r="F57199" s="2423"/>
    </row>
    <row r="57200" s="101" customFormat="1" spans="6:6">
      <c r="F57200" s="2423"/>
    </row>
    <row r="57201" s="101" customFormat="1" spans="6:6">
      <c r="F57201" s="2423"/>
    </row>
    <row r="57202" s="101" customFormat="1" spans="6:6">
      <c r="F57202" s="2423"/>
    </row>
    <row r="57203" s="101" customFormat="1" spans="6:6">
      <c r="F57203" s="2423"/>
    </row>
    <row r="57204" s="101" customFormat="1" spans="6:6">
      <c r="F57204" s="2423"/>
    </row>
    <row r="57205" s="101" customFormat="1" spans="6:6">
      <c r="F57205" s="2423"/>
    </row>
    <row r="57206" s="101" customFormat="1" spans="6:6">
      <c r="F57206" s="2423"/>
    </row>
    <row r="57207" s="101" customFormat="1" spans="6:6">
      <c r="F57207" s="2423"/>
    </row>
    <row r="57208" s="101" customFormat="1" spans="6:6">
      <c r="F57208" s="2423"/>
    </row>
    <row r="57209" s="101" customFormat="1" spans="6:6">
      <c r="F57209" s="2423"/>
    </row>
    <row r="57210" s="101" customFormat="1" spans="6:6">
      <c r="F57210" s="2423"/>
    </row>
    <row r="57211" s="101" customFormat="1" spans="6:6">
      <c r="F57211" s="2423"/>
    </row>
    <row r="57212" s="101" customFormat="1" spans="6:6">
      <c r="F57212" s="2423"/>
    </row>
    <row r="57213" s="101" customFormat="1" spans="6:6">
      <c r="F57213" s="2423"/>
    </row>
    <row r="57214" s="101" customFormat="1" spans="6:6">
      <c r="F57214" s="2423"/>
    </row>
    <row r="57215" s="101" customFormat="1" spans="6:6">
      <c r="F57215" s="2423"/>
    </row>
    <row r="57216" s="101" customFormat="1" spans="6:6">
      <c r="F57216" s="2423"/>
    </row>
    <row r="57217" s="101" customFormat="1" spans="6:6">
      <c r="F57217" s="2423"/>
    </row>
    <row r="57218" s="101" customFormat="1" spans="6:6">
      <c r="F57218" s="2423"/>
    </row>
    <row r="57219" s="101" customFormat="1" spans="6:6">
      <c r="F57219" s="2423"/>
    </row>
    <row r="57220" s="101" customFormat="1" spans="6:6">
      <c r="F57220" s="2423"/>
    </row>
    <row r="57221" s="101" customFormat="1" spans="6:6">
      <c r="F57221" s="2423"/>
    </row>
    <row r="57222" s="101" customFormat="1" spans="6:6">
      <c r="F57222" s="2423"/>
    </row>
    <row r="57223" s="101" customFormat="1" spans="6:6">
      <c r="F57223" s="2423"/>
    </row>
    <row r="57224" s="101" customFormat="1" spans="6:6">
      <c r="F57224" s="2423"/>
    </row>
    <row r="57225" s="101" customFormat="1" spans="6:6">
      <c r="F57225" s="2423"/>
    </row>
    <row r="57226" s="101" customFormat="1" spans="6:6">
      <c r="F57226" s="2423"/>
    </row>
    <row r="57227" s="101" customFormat="1" spans="6:6">
      <c r="F57227" s="2423"/>
    </row>
    <row r="57228" s="101" customFormat="1" spans="6:6">
      <c r="F57228" s="2423"/>
    </row>
    <row r="57229" s="101" customFormat="1" spans="6:6">
      <c r="F57229" s="2423"/>
    </row>
    <row r="57230" s="101" customFormat="1" spans="6:6">
      <c r="F57230" s="2423"/>
    </row>
    <row r="57231" s="101" customFormat="1" spans="6:6">
      <c r="F57231" s="2423"/>
    </row>
    <row r="57232" s="101" customFormat="1" spans="6:6">
      <c r="F57232" s="2423"/>
    </row>
    <row r="57233" s="101" customFormat="1" spans="6:6">
      <c r="F57233" s="2423"/>
    </row>
    <row r="57234" s="101" customFormat="1" spans="6:6">
      <c r="F57234" s="2423"/>
    </row>
    <row r="57235" s="101" customFormat="1" spans="6:6">
      <c r="F57235" s="2423"/>
    </row>
    <row r="57236" s="101" customFormat="1" spans="6:6">
      <c r="F57236" s="2423"/>
    </row>
    <row r="57237" s="101" customFormat="1" spans="6:6">
      <c r="F57237" s="2423"/>
    </row>
    <row r="57238" s="101" customFormat="1" spans="6:6">
      <c r="F57238" s="2423"/>
    </row>
    <row r="57239" s="101" customFormat="1" spans="6:6">
      <c r="F57239" s="2423"/>
    </row>
    <row r="57240" s="101" customFormat="1" spans="6:6">
      <c r="F57240" s="2423"/>
    </row>
    <row r="57241" s="101" customFormat="1" spans="6:6">
      <c r="F57241" s="2423"/>
    </row>
    <row r="57242" s="101" customFormat="1" spans="6:6">
      <c r="F57242" s="2423"/>
    </row>
    <row r="57243" s="101" customFormat="1" spans="6:6">
      <c r="F57243" s="2423"/>
    </row>
    <row r="57244" s="101" customFormat="1" spans="6:6">
      <c r="F57244" s="2423"/>
    </row>
    <row r="57245" s="101" customFormat="1" spans="6:6">
      <c r="F57245" s="2423"/>
    </row>
    <row r="57246" s="101" customFormat="1" spans="6:6">
      <c r="F57246" s="2423"/>
    </row>
    <row r="57247" s="101" customFormat="1" spans="6:6">
      <c r="F57247" s="2423"/>
    </row>
    <row r="57248" s="101" customFormat="1" spans="6:6">
      <c r="F57248" s="2423"/>
    </row>
    <row r="57249" s="101" customFormat="1" spans="6:6">
      <c r="F57249" s="2423"/>
    </row>
    <row r="57250" s="101" customFormat="1" spans="6:6">
      <c r="F57250" s="2423"/>
    </row>
    <row r="57251" s="101" customFormat="1" spans="6:6">
      <c r="F57251" s="2423"/>
    </row>
    <row r="57252" s="101" customFormat="1" spans="6:6">
      <c r="F57252" s="2423"/>
    </row>
    <row r="57253" s="101" customFormat="1" spans="6:6">
      <c r="F57253" s="2423"/>
    </row>
    <row r="57254" s="101" customFormat="1" spans="6:6">
      <c r="F57254" s="2423"/>
    </row>
    <row r="57255" s="101" customFormat="1" spans="6:6">
      <c r="F57255" s="2423"/>
    </row>
    <row r="57256" s="101" customFormat="1" spans="6:6">
      <c r="F57256" s="2423"/>
    </row>
    <row r="57257" s="101" customFormat="1" spans="6:6">
      <c r="F57257" s="2423"/>
    </row>
    <row r="57258" s="101" customFormat="1" spans="6:6">
      <c r="F57258" s="2423"/>
    </row>
    <row r="57259" s="101" customFormat="1" spans="6:6">
      <c r="F57259" s="2423"/>
    </row>
    <row r="57260" s="101" customFormat="1" spans="6:6">
      <c r="F57260" s="2423"/>
    </row>
    <row r="57261" s="101" customFormat="1" spans="6:6">
      <c r="F57261" s="2423"/>
    </row>
    <row r="57262" s="101" customFormat="1" spans="6:6">
      <c r="F57262" s="2423"/>
    </row>
    <row r="57263" s="101" customFormat="1" spans="6:6">
      <c r="F57263" s="2423"/>
    </row>
    <row r="57264" s="101" customFormat="1" spans="6:6">
      <c r="F57264" s="2423"/>
    </row>
    <row r="57265" s="101" customFormat="1" spans="6:6">
      <c r="F57265" s="2423"/>
    </row>
    <row r="57266" s="101" customFormat="1" spans="6:6">
      <c r="F57266" s="2423"/>
    </row>
    <row r="57267" s="101" customFormat="1" spans="6:6">
      <c r="F57267" s="2423"/>
    </row>
    <row r="57268" s="101" customFormat="1" spans="6:6">
      <c r="F57268" s="2423"/>
    </row>
    <row r="57269" s="101" customFormat="1" spans="6:6">
      <c r="F57269" s="2423"/>
    </row>
    <row r="57270" s="101" customFormat="1" spans="6:6">
      <c r="F57270" s="2423"/>
    </row>
    <row r="57271" s="101" customFormat="1" spans="6:6">
      <c r="F57271" s="2423"/>
    </row>
    <row r="57272" s="101" customFormat="1" spans="6:6">
      <c r="F57272" s="2423"/>
    </row>
    <row r="57273" s="101" customFormat="1" spans="6:6">
      <c r="F57273" s="2423"/>
    </row>
    <row r="57274" s="101" customFormat="1" spans="6:6">
      <c r="F57274" s="2423"/>
    </row>
    <row r="57275" s="101" customFormat="1" spans="6:6">
      <c r="F57275" s="2423"/>
    </row>
    <row r="57276" s="101" customFormat="1" spans="6:6">
      <c r="F57276" s="2423"/>
    </row>
    <row r="57277" s="101" customFormat="1" spans="6:6">
      <c r="F57277" s="2423"/>
    </row>
    <row r="57278" s="101" customFormat="1" spans="6:6">
      <c r="F57278" s="2423"/>
    </row>
    <row r="57279" s="101" customFormat="1" spans="6:6">
      <c r="F57279" s="2423"/>
    </row>
    <row r="57280" s="101" customFormat="1" spans="6:6">
      <c r="F57280" s="2423"/>
    </row>
    <row r="57281" s="101" customFormat="1" spans="6:6">
      <c r="F57281" s="2423"/>
    </row>
    <row r="57282" s="101" customFormat="1" spans="6:6">
      <c r="F57282" s="2423"/>
    </row>
    <row r="57283" s="101" customFormat="1" spans="6:6">
      <c r="F57283" s="2423"/>
    </row>
    <row r="57284" s="101" customFormat="1" spans="6:6">
      <c r="F57284" s="2423"/>
    </row>
    <row r="57285" s="101" customFormat="1" spans="6:6">
      <c r="F57285" s="2423"/>
    </row>
    <row r="57286" s="101" customFormat="1" spans="6:6">
      <c r="F57286" s="2423"/>
    </row>
    <row r="57287" s="101" customFormat="1" spans="6:6">
      <c r="F57287" s="2423"/>
    </row>
    <row r="57288" s="101" customFormat="1" spans="6:6">
      <c r="F57288" s="2423"/>
    </row>
    <row r="57289" s="101" customFormat="1" spans="6:6">
      <c r="F57289" s="2423"/>
    </row>
    <row r="57290" s="101" customFormat="1" spans="6:6">
      <c r="F57290" s="2423"/>
    </row>
    <row r="57291" s="101" customFormat="1" spans="6:6">
      <c r="F57291" s="2423"/>
    </row>
    <row r="57292" s="101" customFormat="1" spans="6:6">
      <c r="F57292" s="2423"/>
    </row>
    <row r="57293" s="101" customFormat="1" spans="6:6">
      <c r="F57293" s="2423"/>
    </row>
    <row r="57294" s="101" customFormat="1" spans="6:6">
      <c r="F57294" s="2423"/>
    </row>
    <row r="57295" s="101" customFormat="1" spans="6:6">
      <c r="F57295" s="2423"/>
    </row>
    <row r="57296" s="101" customFormat="1" spans="6:6">
      <c r="F57296" s="2423"/>
    </row>
    <row r="57297" s="101" customFormat="1" spans="6:6">
      <c r="F57297" s="2423"/>
    </row>
    <row r="57298" s="101" customFormat="1" spans="6:6">
      <c r="F57298" s="2423"/>
    </row>
    <row r="57299" s="101" customFormat="1" spans="6:6">
      <c r="F57299" s="2423"/>
    </row>
    <row r="57300" s="101" customFormat="1" spans="6:6">
      <c r="F57300" s="2423"/>
    </row>
    <row r="57301" s="101" customFormat="1" spans="6:6">
      <c r="F57301" s="2423"/>
    </row>
    <row r="57302" s="101" customFormat="1" spans="6:6">
      <c r="F57302" s="2423"/>
    </row>
    <row r="57303" s="101" customFormat="1" spans="6:6">
      <c r="F57303" s="2423"/>
    </row>
    <row r="57304" s="101" customFormat="1" spans="6:6">
      <c r="F57304" s="2423"/>
    </row>
    <row r="57305" s="101" customFormat="1" spans="6:6">
      <c r="F57305" s="2423"/>
    </row>
    <row r="57306" s="101" customFormat="1" spans="6:6">
      <c r="F57306" s="2423"/>
    </row>
    <row r="57307" s="101" customFormat="1" spans="6:6">
      <c r="F57307" s="2423"/>
    </row>
    <row r="57308" s="101" customFormat="1" spans="6:6">
      <c r="F57308" s="2423"/>
    </row>
    <row r="57309" s="101" customFormat="1" spans="6:6">
      <c r="F57309" s="2423"/>
    </row>
    <row r="57310" s="101" customFormat="1" spans="6:6">
      <c r="F57310" s="2423"/>
    </row>
    <row r="57311" s="101" customFormat="1" spans="6:6">
      <c r="F57311" s="2423"/>
    </row>
    <row r="57312" s="101" customFormat="1" spans="6:6">
      <c r="F57312" s="2423"/>
    </row>
    <row r="57313" s="101" customFormat="1" spans="6:6">
      <c r="F57313" s="2423"/>
    </row>
    <row r="57314" s="101" customFormat="1" spans="6:6">
      <c r="F57314" s="2423"/>
    </row>
    <row r="57315" s="101" customFormat="1" spans="6:6">
      <c r="F57315" s="2423"/>
    </row>
    <row r="57316" s="101" customFormat="1" spans="6:6">
      <c r="F57316" s="2423"/>
    </row>
    <row r="57317" s="101" customFormat="1" spans="6:6">
      <c r="F57317" s="2423"/>
    </row>
    <row r="57318" s="101" customFormat="1" spans="6:6">
      <c r="F57318" s="2423"/>
    </row>
    <row r="57319" s="101" customFormat="1" spans="6:6">
      <c r="F57319" s="2423"/>
    </row>
    <row r="57320" s="101" customFormat="1" spans="6:6">
      <c r="F57320" s="2423"/>
    </row>
    <row r="57321" s="101" customFormat="1" spans="6:6">
      <c r="F57321" s="2423"/>
    </row>
    <row r="57322" s="101" customFormat="1" spans="6:6">
      <c r="F57322" s="2423"/>
    </row>
    <row r="57323" s="101" customFormat="1" spans="6:6">
      <c r="F57323" s="2423"/>
    </row>
    <row r="57324" s="101" customFormat="1" spans="6:6">
      <c r="F57324" s="2423"/>
    </row>
    <row r="57325" s="101" customFormat="1" spans="6:6">
      <c r="F57325" s="2423"/>
    </row>
    <row r="57326" s="101" customFormat="1" spans="6:6">
      <c r="F57326" s="2423"/>
    </row>
    <row r="57327" s="101" customFormat="1" spans="6:6">
      <c r="F57327" s="2423"/>
    </row>
    <row r="57328" s="101" customFormat="1" spans="6:6">
      <c r="F57328" s="2423"/>
    </row>
    <row r="57329" s="101" customFormat="1" spans="6:6">
      <c r="F57329" s="2423"/>
    </row>
    <row r="57330" s="101" customFormat="1" spans="6:6">
      <c r="F57330" s="2423"/>
    </row>
    <row r="57331" s="101" customFormat="1" spans="6:6">
      <c r="F57331" s="2423"/>
    </row>
    <row r="57332" s="101" customFormat="1" spans="6:6">
      <c r="F57332" s="2423"/>
    </row>
    <row r="57333" s="101" customFormat="1" spans="6:6">
      <c r="F57333" s="2423"/>
    </row>
    <row r="57334" s="101" customFormat="1" spans="6:6">
      <c r="F57334" s="2423"/>
    </row>
    <row r="57335" s="101" customFormat="1" spans="6:6">
      <c r="F57335" s="2423"/>
    </row>
    <row r="57336" s="101" customFormat="1" spans="6:6">
      <c r="F57336" s="2423"/>
    </row>
    <row r="57337" s="101" customFormat="1" spans="6:6">
      <c r="F57337" s="2423"/>
    </row>
    <row r="57338" s="101" customFormat="1" spans="6:6">
      <c r="F57338" s="2423"/>
    </row>
    <row r="57339" s="101" customFormat="1" spans="6:6">
      <c r="F57339" s="2423"/>
    </row>
    <row r="57340" s="101" customFormat="1" spans="6:6">
      <c r="F57340" s="2423"/>
    </row>
    <row r="57341" s="101" customFormat="1" spans="6:6">
      <c r="F57341" s="2423"/>
    </row>
    <row r="57342" s="101" customFormat="1" spans="6:6">
      <c r="F57342" s="2423"/>
    </row>
    <row r="57343" s="101" customFormat="1" spans="6:6">
      <c r="F57343" s="2423"/>
    </row>
    <row r="57344" s="101" customFormat="1" spans="6:6">
      <c r="F57344" s="2423"/>
    </row>
    <row r="57345" s="101" customFormat="1" spans="6:6">
      <c r="F57345" s="2423"/>
    </row>
    <row r="57346" s="101" customFormat="1" spans="6:6">
      <c r="F57346" s="2423"/>
    </row>
    <row r="57347" s="101" customFormat="1" spans="6:6">
      <c r="F57347" s="2423"/>
    </row>
    <row r="57348" s="101" customFormat="1" spans="6:6">
      <c r="F57348" s="2423"/>
    </row>
    <row r="57349" s="101" customFormat="1" spans="6:6">
      <c r="F57349" s="2423"/>
    </row>
    <row r="57350" s="101" customFormat="1" spans="6:6">
      <c r="F57350" s="2423"/>
    </row>
    <row r="57351" s="101" customFormat="1" spans="6:6">
      <c r="F57351" s="2423"/>
    </row>
    <row r="57352" s="101" customFormat="1" spans="6:6">
      <c r="F57352" s="2423"/>
    </row>
    <row r="57353" s="101" customFormat="1" spans="6:6">
      <c r="F57353" s="2423"/>
    </row>
    <row r="57354" s="101" customFormat="1" spans="6:6">
      <c r="F57354" s="2423"/>
    </row>
    <row r="57355" s="101" customFormat="1" spans="6:6">
      <c r="F57355" s="2423"/>
    </row>
    <row r="57356" s="101" customFormat="1" spans="6:6">
      <c r="F57356" s="2423"/>
    </row>
    <row r="57357" s="101" customFormat="1" spans="6:6">
      <c r="F57357" s="2423"/>
    </row>
    <row r="57358" s="101" customFormat="1" spans="6:6">
      <c r="F57358" s="2423"/>
    </row>
    <row r="57359" s="101" customFormat="1" spans="6:6">
      <c r="F57359" s="2423"/>
    </row>
    <row r="57360" s="101" customFormat="1" spans="6:6">
      <c r="F57360" s="2423"/>
    </row>
    <row r="57361" s="101" customFormat="1" spans="6:6">
      <c r="F57361" s="2423"/>
    </row>
    <row r="57362" s="101" customFormat="1" spans="6:6">
      <c r="F57362" s="2423"/>
    </row>
    <row r="57363" s="101" customFormat="1" spans="6:6">
      <c r="F57363" s="2423"/>
    </row>
    <row r="57364" s="101" customFormat="1" spans="6:6">
      <c r="F57364" s="2423"/>
    </row>
    <row r="57365" s="101" customFormat="1" spans="6:6">
      <c r="F57365" s="2423"/>
    </row>
    <row r="57366" s="101" customFormat="1" spans="6:6">
      <c r="F57366" s="2423"/>
    </row>
    <row r="57367" s="101" customFormat="1" spans="6:6">
      <c r="F57367" s="2423"/>
    </row>
    <row r="57368" s="101" customFormat="1" spans="6:6">
      <c r="F57368" s="2423"/>
    </row>
    <row r="57369" s="101" customFormat="1" spans="6:6">
      <c r="F57369" s="2423"/>
    </row>
    <row r="57370" s="101" customFormat="1" spans="6:6">
      <c r="F57370" s="2423"/>
    </row>
    <row r="57371" s="101" customFormat="1" spans="6:6">
      <c r="F57371" s="2423"/>
    </row>
    <row r="57372" s="101" customFormat="1" spans="6:6">
      <c r="F57372" s="2423"/>
    </row>
    <row r="57373" s="101" customFormat="1" spans="6:6">
      <c r="F57373" s="2423"/>
    </row>
    <row r="57374" s="101" customFormat="1" spans="6:6">
      <c r="F57374" s="2423"/>
    </row>
    <row r="57375" s="101" customFormat="1" spans="6:6">
      <c r="F57375" s="2423"/>
    </row>
    <row r="57376" s="101" customFormat="1" spans="6:6">
      <c r="F57376" s="2423"/>
    </row>
    <row r="57377" s="101" customFormat="1" spans="6:6">
      <c r="F57377" s="2423"/>
    </row>
    <row r="57378" s="101" customFormat="1" spans="6:6">
      <c r="F57378" s="2423"/>
    </row>
    <row r="57379" s="101" customFormat="1" spans="6:6">
      <c r="F57379" s="2423"/>
    </row>
    <row r="57380" s="101" customFormat="1" spans="6:6">
      <c r="F57380" s="2423"/>
    </row>
    <row r="57381" s="101" customFormat="1" spans="6:6">
      <c r="F57381" s="2423"/>
    </row>
    <row r="57382" s="101" customFormat="1" spans="6:6">
      <c r="F57382" s="2423"/>
    </row>
    <row r="57383" s="101" customFormat="1" spans="6:6">
      <c r="F57383" s="2423"/>
    </row>
    <row r="57384" s="101" customFormat="1" spans="6:6">
      <c r="F57384" s="2423"/>
    </row>
    <row r="57385" s="101" customFormat="1" spans="6:6">
      <c r="F57385" s="2423"/>
    </row>
    <row r="57386" s="101" customFormat="1" spans="6:6">
      <c r="F57386" s="2423"/>
    </row>
    <row r="57387" s="101" customFormat="1" spans="6:6">
      <c r="F57387" s="2423"/>
    </row>
    <row r="57388" s="101" customFormat="1" spans="6:6">
      <c r="F57388" s="2423"/>
    </row>
    <row r="57389" s="101" customFormat="1" spans="6:6">
      <c r="F57389" s="2423"/>
    </row>
    <row r="57390" s="101" customFormat="1" spans="6:6">
      <c r="F57390" s="2423"/>
    </row>
    <row r="57391" s="101" customFormat="1" spans="6:6">
      <c r="F57391" s="2423"/>
    </row>
    <row r="57392" s="101" customFormat="1" spans="6:6">
      <c r="F57392" s="2423"/>
    </row>
    <row r="57393" s="101" customFormat="1" spans="6:6">
      <c r="F57393" s="2423"/>
    </row>
    <row r="57394" s="101" customFormat="1" spans="6:6">
      <c r="F57394" s="2423"/>
    </row>
    <row r="57395" s="101" customFormat="1" spans="6:6">
      <c r="F57395" s="2423"/>
    </row>
    <row r="57396" s="101" customFormat="1" spans="6:6">
      <c r="F57396" s="2423"/>
    </row>
    <row r="57397" s="101" customFormat="1" spans="6:6">
      <c r="F57397" s="2423"/>
    </row>
    <row r="57398" s="101" customFormat="1" spans="6:6">
      <c r="F57398" s="2423"/>
    </row>
    <row r="57399" s="101" customFormat="1" spans="6:6">
      <c r="F57399" s="2423"/>
    </row>
    <row r="57400" s="101" customFormat="1" spans="6:6">
      <c r="F57400" s="2423"/>
    </row>
    <row r="57401" s="101" customFormat="1" spans="6:6">
      <c r="F57401" s="2423"/>
    </row>
    <row r="57402" s="101" customFormat="1" spans="6:6">
      <c r="F57402" s="2423"/>
    </row>
    <row r="57403" s="101" customFormat="1" spans="6:6">
      <c r="F57403" s="2423"/>
    </row>
    <row r="57404" s="101" customFormat="1" spans="6:6">
      <c r="F57404" s="2423"/>
    </row>
    <row r="57405" s="101" customFormat="1" spans="6:6">
      <c r="F57405" s="2423"/>
    </row>
    <row r="57406" s="101" customFormat="1" spans="6:6">
      <c r="F57406" s="2423"/>
    </row>
    <row r="57407" s="101" customFormat="1" spans="6:6">
      <c r="F57407" s="2423"/>
    </row>
    <row r="57408" s="101" customFormat="1" spans="6:6">
      <c r="F57408" s="2423"/>
    </row>
    <row r="57409" s="101" customFormat="1" spans="6:6">
      <c r="F57409" s="2423"/>
    </row>
    <row r="57410" s="101" customFormat="1" spans="6:6">
      <c r="F57410" s="2423"/>
    </row>
    <row r="57411" s="101" customFormat="1" spans="6:6">
      <c r="F57411" s="2423"/>
    </row>
    <row r="57412" s="101" customFormat="1" spans="6:6">
      <c r="F57412" s="2423"/>
    </row>
    <row r="57413" s="101" customFormat="1" spans="6:6">
      <c r="F57413" s="2423"/>
    </row>
    <row r="57414" s="101" customFormat="1" spans="6:6">
      <c r="F57414" s="2423"/>
    </row>
    <row r="57415" s="101" customFormat="1" spans="6:6">
      <c r="F57415" s="2423"/>
    </row>
    <row r="57416" s="101" customFormat="1" spans="6:6">
      <c r="F57416" s="2423"/>
    </row>
    <row r="57417" s="101" customFormat="1" spans="6:6">
      <c r="F57417" s="2423"/>
    </row>
    <row r="57418" s="101" customFormat="1" spans="6:6">
      <c r="F57418" s="2423"/>
    </row>
    <row r="57419" s="101" customFormat="1" spans="6:6">
      <c r="F57419" s="2423"/>
    </row>
    <row r="57420" s="101" customFormat="1" spans="6:6">
      <c r="F57420" s="2423"/>
    </row>
    <row r="57421" s="101" customFormat="1" spans="6:6">
      <c r="F57421" s="2423"/>
    </row>
    <row r="57422" s="101" customFormat="1" spans="6:6">
      <c r="F57422" s="2423"/>
    </row>
    <row r="57423" s="101" customFormat="1" spans="6:6">
      <c r="F57423" s="2423"/>
    </row>
    <row r="57424" s="101" customFormat="1" spans="6:6">
      <c r="F57424" s="2423"/>
    </row>
    <row r="57425" s="101" customFormat="1" spans="6:6">
      <c r="F57425" s="2423"/>
    </row>
    <row r="57426" s="101" customFormat="1" spans="6:6">
      <c r="F57426" s="2423"/>
    </row>
    <row r="57427" s="101" customFormat="1" spans="6:6">
      <c r="F57427" s="2423"/>
    </row>
    <row r="57428" s="101" customFormat="1" spans="6:6">
      <c r="F57428" s="2423"/>
    </row>
    <row r="57429" s="101" customFormat="1" spans="6:6">
      <c r="F57429" s="2423"/>
    </row>
    <row r="57430" s="101" customFormat="1" spans="6:6">
      <c r="F57430" s="2423"/>
    </row>
    <row r="57431" s="101" customFormat="1" spans="6:6">
      <c r="F57431" s="2423"/>
    </row>
    <row r="57432" s="101" customFormat="1" spans="6:6">
      <c r="F57432" s="2423"/>
    </row>
    <row r="57433" s="101" customFormat="1" spans="6:6">
      <c r="F57433" s="2423"/>
    </row>
    <row r="57434" s="101" customFormat="1" spans="6:6">
      <c r="F57434" s="2423"/>
    </row>
    <row r="57435" s="101" customFormat="1" spans="6:6">
      <c r="F57435" s="2423"/>
    </row>
    <row r="57436" s="101" customFormat="1" spans="6:6">
      <c r="F57436" s="2423"/>
    </row>
    <row r="57437" s="101" customFormat="1" spans="6:6">
      <c r="F57437" s="2423"/>
    </row>
    <row r="57438" s="101" customFormat="1" spans="6:6">
      <c r="F57438" s="2423"/>
    </row>
    <row r="57439" s="101" customFormat="1" spans="6:6">
      <c r="F57439" s="2423"/>
    </row>
    <row r="57440" s="101" customFormat="1" spans="6:6">
      <c r="F57440" s="2423"/>
    </row>
    <row r="57441" s="101" customFormat="1" spans="6:6">
      <c r="F57441" s="2423"/>
    </row>
    <row r="57442" s="101" customFormat="1" spans="6:6">
      <c r="F57442" s="2423"/>
    </row>
    <row r="57443" s="101" customFormat="1" spans="6:6">
      <c r="F57443" s="2423"/>
    </row>
    <row r="57444" s="101" customFormat="1" spans="6:6">
      <c r="F57444" s="2423"/>
    </row>
    <row r="57445" s="101" customFormat="1" spans="6:6">
      <c r="F57445" s="2423"/>
    </row>
    <row r="57446" s="101" customFormat="1" spans="6:6">
      <c r="F57446" s="2423"/>
    </row>
    <row r="57447" s="101" customFormat="1" spans="6:6">
      <c r="F57447" s="2423"/>
    </row>
    <row r="57448" s="101" customFormat="1" spans="6:6">
      <c r="F57448" s="2423"/>
    </row>
    <row r="57449" s="101" customFormat="1" spans="6:6">
      <c r="F57449" s="2423"/>
    </row>
    <row r="57450" s="101" customFormat="1" spans="6:6">
      <c r="F57450" s="2423"/>
    </row>
    <row r="57451" s="101" customFormat="1" spans="6:6">
      <c r="F57451" s="2423"/>
    </row>
    <row r="57452" s="101" customFormat="1" spans="6:6">
      <c r="F57452" s="2423"/>
    </row>
    <row r="57453" s="101" customFormat="1" spans="6:6">
      <c r="F57453" s="2423"/>
    </row>
    <row r="57454" s="101" customFormat="1" spans="6:6">
      <c r="F57454" s="2423"/>
    </row>
    <row r="57455" s="101" customFormat="1" spans="6:6">
      <c r="F57455" s="2423"/>
    </row>
    <row r="57456" s="101" customFormat="1" spans="6:6">
      <c r="F57456" s="2423"/>
    </row>
    <row r="57457" s="101" customFormat="1" spans="6:6">
      <c r="F57457" s="2423"/>
    </row>
    <row r="57458" s="101" customFormat="1" spans="6:6">
      <c r="F57458" s="2423"/>
    </row>
    <row r="57459" s="101" customFormat="1" spans="6:6">
      <c r="F57459" s="2423"/>
    </row>
    <row r="57460" s="101" customFormat="1" spans="6:6">
      <c r="F57460" s="2423"/>
    </row>
    <row r="57461" s="101" customFormat="1" spans="6:6">
      <c r="F57461" s="2423"/>
    </row>
    <row r="57462" s="101" customFormat="1" spans="6:6">
      <c r="F57462" s="2423"/>
    </row>
    <row r="57463" s="101" customFormat="1" spans="6:6">
      <c r="F57463" s="2423"/>
    </row>
    <row r="57464" s="101" customFormat="1" spans="6:6">
      <c r="F57464" s="2423"/>
    </row>
    <row r="57465" s="101" customFormat="1" spans="6:6">
      <c r="F57465" s="2423"/>
    </row>
    <row r="57466" s="101" customFormat="1" spans="6:6">
      <c r="F57466" s="2423"/>
    </row>
    <row r="57467" s="101" customFormat="1" spans="6:6">
      <c r="F57467" s="2423"/>
    </row>
    <row r="57468" s="101" customFormat="1" spans="6:6">
      <c r="F57468" s="2423"/>
    </row>
    <row r="57469" s="101" customFormat="1" spans="6:6">
      <c r="F57469" s="2423"/>
    </row>
    <row r="57470" s="101" customFormat="1" spans="6:6">
      <c r="F57470" s="2423"/>
    </row>
    <row r="57471" s="101" customFormat="1" spans="6:6">
      <c r="F57471" s="2423"/>
    </row>
    <row r="57472" s="101" customFormat="1" spans="6:6">
      <c r="F57472" s="2423"/>
    </row>
    <row r="57473" s="101" customFormat="1" spans="6:6">
      <c r="F57473" s="2423"/>
    </row>
    <row r="57474" s="101" customFormat="1" spans="6:6">
      <c r="F57474" s="2423"/>
    </row>
    <row r="57475" s="101" customFormat="1" spans="6:6">
      <c r="F57475" s="2423"/>
    </row>
    <row r="57476" s="101" customFormat="1" spans="6:6">
      <c r="F57476" s="2423"/>
    </row>
    <row r="57477" s="101" customFormat="1" spans="6:6">
      <c r="F57477" s="2423"/>
    </row>
    <row r="57478" s="101" customFormat="1" spans="6:6">
      <c r="F57478" s="2423"/>
    </row>
    <row r="57479" s="101" customFormat="1" spans="6:6">
      <c r="F57479" s="2423"/>
    </row>
    <row r="57480" s="101" customFormat="1" spans="6:6">
      <c r="F57480" s="2423"/>
    </row>
    <row r="57481" s="101" customFormat="1" spans="6:6">
      <c r="F57481" s="2423"/>
    </row>
    <row r="57482" s="101" customFormat="1" spans="6:6">
      <c r="F57482" s="2423"/>
    </row>
    <row r="57483" s="101" customFormat="1" spans="6:6">
      <c r="F57483" s="2423"/>
    </row>
    <row r="57484" s="101" customFormat="1" spans="6:6">
      <c r="F57484" s="2423"/>
    </row>
    <row r="57485" s="101" customFormat="1" spans="6:6">
      <c r="F57485" s="2423"/>
    </row>
    <row r="57486" s="101" customFormat="1" spans="6:6">
      <c r="F57486" s="2423"/>
    </row>
    <row r="57487" s="101" customFormat="1" spans="6:6">
      <c r="F57487" s="2423"/>
    </row>
    <row r="57488" s="101" customFormat="1" spans="6:6">
      <c r="F57488" s="2423"/>
    </row>
    <row r="57489" s="101" customFormat="1" spans="6:6">
      <c r="F57489" s="2423"/>
    </row>
    <row r="57490" s="101" customFormat="1" spans="6:6">
      <c r="F57490" s="2423"/>
    </row>
    <row r="57491" s="101" customFormat="1" spans="6:6">
      <c r="F57491" s="2423"/>
    </row>
    <row r="57492" s="101" customFormat="1" spans="6:6">
      <c r="F57492" s="2423"/>
    </row>
    <row r="57493" s="101" customFormat="1" spans="6:6">
      <c r="F57493" s="2423"/>
    </row>
    <row r="57494" s="101" customFormat="1" spans="6:6">
      <c r="F57494" s="2423"/>
    </row>
    <row r="57495" s="101" customFormat="1" spans="6:6">
      <c r="F57495" s="2423"/>
    </row>
    <row r="57496" s="101" customFormat="1" spans="6:6">
      <c r="F57496" s="2423"/>
    </row>
    <row r="57497" s="101" customFormat="1" spans="6:6">
      <c r="F57497" s="2423"/>
    </row>
    <row r="57498" s="101" customFormat="1" spans="6:6">
      <c r="F57498" s="2423"/>
    </row>
    <row r="57499" s="101" customFormat="1" spans="6:6">
      <c r="F57499" s="2423"/>
    </row>
    <row r="57500" s="101" customFormat="1" spans="6:6">
      <c r="F57500" s="2423"/>
    </row>
    <row r="57501" s="101" customFormat="1" spans="6:6">
      <c r="F57501" s="2423"/>
    </row>
    <row r="57502" s="101" customFormat="1" spans="6:6">
      <c r="F57502" s="2423"/>
    </row>
    <row r="57503" s="101" customFormat="1" spans="6:6">
      <c r="F57503" s="2423"/>
    </row>
    <row r="57504" s="101" customFormat="1" spans="6:6">
      <c r="F57504" s="2423"/>
    </row>
    <row r="57505" s="101" customFormat="1" spans="6:6">
      <c r="F57505" s="2423"/>
    </row>
    <row r="57506" s="101" customFormat="1" spans="6:6">
      <c r="F57506" s="2423"/>
    </row>
    <row r="57507" s="101" customFormat="1" spans="6:6">
      <c r="F57507" s="2423"/>
    </row>
    <row r="57508" s="101" customFormat="1" spans="6:6">
      <c r="F57508" s="2423"/>
    </row>
    <row r="57509" s="101" customFormat="1" spans="6:6">
      <c r="F57509" s="2423"/>
    </row>
    <row r="57510" s="101" customFormat="1" spans="6:6">
      <c r="F57510" s="2423"/>
    </row>
    <row r="57511" s="101" customFormat="1" spans="6:6">
      <c r="F57511" s="2423"/>
    </row>
    <row r="57512" s="101" customFormat="1" spans="6:6">
      <c r="F57512" s="2423"/>
    </row>
    <row r="57513" s="101" customFormat="1" spans="6:6">
      <c r="F57513" s="2423"/>
    </row>
    <row r="57514" s="101" customFormat="1" spans="6:6">
      <c r="F57514" s="2423"/>
    </row>
    <row r="57515" s="101" customFormat="1" spans="6:6">
      <c r="F57515" s="2423"/>
    </row>
    <row r="57516" s="101" customFormat="1" spans="6:6">
      <c r="F57516" s="2423"/>
    </row>
    <row r="57517" s="101" customFormat="1" spans="6:6">
      <c r="F57517" s="2423"/>
    </row>
    <row r="57518" s="101" customFormat="1" spans="6:6">
      <c r="F57518" s="2423"/>
    </row>
    <row r="57519" s="101" customFormat="1" spans="6:6">
      <c r="F57519" s="2423"/>
    </row>
    <row r="57520" s="101" customFormat="1" spans="6:6">
      <c r="F57520" s="2423"/>
    </row>
    <row r="57521" s="101" customFormat="1" spans="6:6">
      <c r="F57521" s="2423"/>
    </row>
    <row r="57522" s="101" customFormat="1" spans="6:6">
      <c r="F57522" s="2423"/>
    </row>
    <row r="57523" s="101" customFormat="1" spans="6:6">
      <c r="F57523" s="2423"/>
    </row>
    <row r="57524" s="101" customFormat="1" spans="6:6">
      <c r="F57524" s="2423"/>
    </row>
    <row r="57525" s="101" customFormat="1" spans="6:6">
      <c r="F57525" s="2423"/>
    </row>
    <row r="57526" s="101" customFormat="1" spans="6:6">
      <c r="F57526" s="2423"/>
    </row>
    <row r="57527" s="101" customFormat="1" spans="6:6">
      <c r="F57527" s="2423"/>
    </row>
    <row r="57528" s="101" customFormat="1" spans="6:6">
      <c r="F57528" s="2423"/>
    </row>
    <row r="57529" s="101" customFormat="1" spans="6:6">
      <c r="F57529" s="2423"/>
    </row>
    <row r="57530" s="101" customFormat="1" spans="6:6">
      <c r="F57530" s="2423"/>
    </row>
    <row r="57531" s="101" customFormat="1" spans="6:6">
      <c r="F57531" s="2423"/>
    </row>
    <row r="57532" s="101" customFormat="1" spans="6:6">
      <c r="F57532" s="2423"/>
    </row>
    <row r="57533" s="101" customFormat="1" spans="6:6">
      <c r="F57533" s="2423"/>
    </row>
    <row r="57534" s="101" customFormat="1" spans="6:6">
      <c r="F57534" s="2423"/>
    </row>
    <row r="57535" s="101" customFormat="1" spans="6:6">
      <c r="F57535" s="2423"/>
    </row>
    <row r="57536" s="101" customFormat="1" spans="6:6">
      <c r="F57536" s="2423"/>
    </row>
    <row r="57537" s="101" customFormat="1" spans="6:6">
      <c r="F57537" s="2423"/>
    </row>
    <row r="57538" s="101" customFormat="1" spans="6:6">
      <c r="F57538" s="2423"/>
    </row>
    <row r="57539" s="101" customFormat="1" spans="6:6">
      <c r="F57539" s="2423"/>
    </row>
    <row r="57540" s="101" customFormat="1" spans="6:6">
      <c r="F57540" s="2423"/>
    </row>
    <row r="57541" s="101" customFormat="1" spans="6:6">
      <c r="F57541" s="2423"/>
    </row>
    <row r="57542" s="101" customFormat="1" spans="6:6">
      <c r="F57542" s="2423"/>
    </row>
    <row r="57543" s="101" customFormat="1" spans="6:6">
      <c r="F57543" s="2423"/>
    </row>
    <row r="57544" s="101" customFormat="1" spans="6:6">
      <c r="F57544" s="2423"/>
    </row>
    <row r="57545" s="101" customFormat="1" spans="6:6">
      <c r="F57545" s="2423"/>
    </row>
    <row r="57546" s="101" customFormat="1" spans="6:6">
      <c r="F57546" s="2423"/>
    </row>
    <row r="57547" s="101" customFormat="1" spans="6:6">
      <c r="F57547" s="2423"/>
    </row>
    <row r="57548" s="101" customFormat="1" spans="6:6">
      <c r="F57548" s="2423"/>
    </row>
    <row r="57549" s="101" customFormat="1" spans="6:6">
      <c r="F57549" s="2423"/>
    </row>
    <row r="57550" s="101" customFormat="1" spans="6:6">
      <c r="F57550" s="2423"/>
    </row>
    <row r="57551" s="101" customFormat="1" spans="6:6">
      <c r="F57551" s="2423"/>
    </row>
    <row r="57552" s="101" customFormat="1" spans="6:6">
      <c r="F57552" s="2423"/>
    </row>
    <row r="57553" s="101" customFormat="1" spans="6:6">
      <c r="F57553" s="2423"/>
    </row>
    <row r="57554" s="101" customFormat="1" spans="6:6">
      <c r="F57554" s="2423"/>
    </row>
    <row r="57555" s="101" customFormat="1" spans="6:6">
      <c r="F57555" s="2423"/>
    </row>
    <row r="57556" s="101" customFormat="1" spans="6:6">
      <c r="F57556" s="2423"/>
    </row>
    <row r="57557" s="101" customFormat="1" spans="6:6">
      <c r="F57557" s="2423"/>
    </row>
    <row r="57558" s="101" customFormat="1" spans="6:6">
      <c r="F57558" s="2423"/>
    </row>
    <row r="57559" s="101" customFormat="1" spans="6:6">
      <c r="F57559" s="2423"/>
    </row>
    <row r="57560" s="101" customFormat="1" spans="6:6">
      <c r="F57560" s="2423"/>
    </row>
    <row r="57561" s="101" customFormat="1" spans="6:6">
      <c r="F57561" s="2423"/>
    </row>
    <row r="57562" s="101" customFormat="1" spans="6:6">
      <c r="F57562" s="2423"/>
    </row>
    <row r="57563" s="101" customFormat="1" spans="6:6">
      <c r="F57563" s="2423"/>
    </row>
    <row r="57564" s="101" customFormat="1" spans="6:6">
      <c r="F57564" s="2423"/>
    </row>
    <row r="57565" s="101" customFormat="1" spans="6:6">
      <c r="F57565" s="2423"/>
    </row>
    <row r="57566" s="101" customFormat="1" spans="6:6">
      <c r="F57566" s="2423"/>
    </row>
    <row r="57567" s="101" customFormat="1" spans="6:6">
      <c r="F57567" s="2423"/>
    </row>
    <row r="57568" s="101" customFormat="1" spans="6:6">
      <c r="F57568" s="2423"/>
    </row>
    <row r="57569" s="101" customFormat="1" spans="6:6">
      <c r="F57569" s="2423"/>
    </row>
    <row r="57570" s="101" customFormat="1" spans="6:6">
      <c r="F57570" s="2423"/>
    </row>
    <row r="57571" s="101" customFormat="1" spans="6:6">
      <c r="F57571" s="2423"/>
    </row>
    <row r="57572" s="101" customFormat="1" spans="6:6">
      <c r="F57572" s="2423"/>
    </row>
    <row r="57573" s="101" customFormat="1" spans="6:6">
      <c r="F57573" s="2423"/>
    </row>
    <row r="57574" s="101" customFormat="1" spans="6:6">
      <c r="F57574" s="2423"/>
    </row>
    <row r="57575" s="101" customFormat="1" spans="6:6">
      <c r="F57575" s="2423"/>
    </row>
    <row r="57576" s="101" customFormat="1" spans="6:6">
      <c r="F57576" s="2423"/>
    </row>
    <row r="57577" s="101" customFormat="1" spans="6:6">
      <c r="F57577" s="2423"/>
    </row>
    <row r="57578" s="101" customFormat="1" spans="6:6">
      <c r="F57578" s="2423"/>
    </row>
    <row r="57579" s="101" customFormat="1" spans="6:6">
      <c r="F57579" s="2423"/>
    </row>
    <row r="57580" s="101" customFormat="1" spans="6:6">
      <c r="F57580" s="2423"/>
    </row>
    <row r="57581" s="101" customFormat="1" spans="6:6">
      <c r="F57581" s="2423"/>
    </row>
    <row r="57582" s="101" customFormat="1" spans="6:6">
      <c r="F57582" s="2423"/>
    </row>
    <row r="57583" s="101" customFormat="1" spans="6:6">
      <c r="F57583" s="2423"/>
    </row>
    <row r="57584" s="101" customFormat="1" spans="6:6">
      <c r="F57584" s="2423"/>
    </row>
    <row r="57585" s="101" customFormat="1" spans="6:6">
      <c r="F57585" s="2423"/>
    </row>
    <row r="57586" s="101" customFormat="1" spans="6:6">
      <c r="F57586" s="2423"/>
    </row>
    <row r="57587" s="101" customFormat="1" spans="6:6">
      <c r="F57587" s="2423"/>
    </row>
    <row r="57588" s="101" customFormat="1" spans="6:6">
      <c r="F57588" s="2423"/>
    </row>
    <row r="57589" s="101" customFormat="1" spans="6:6">
      <c r="F57589" s="2423"/>
    </row>
    <row r="57590" s="101" customFormat="1" spans="6:6">
      <c r="F57590" s="2423"/>
    </row>
    <row r="57591" s="101" customFormat="1" spans="6:6">
      <c r="F57591" s="2423"/>
    </row>
    <row r="57592" s="101" customFormat="1" spans="6:6">
      <c r="F57592" s="2423"/>
    </row>
    <row r="57593" s="101" customFormat="1" spans="6:6">
      <c r="F57593" s="2423"/>
    </row>
    <row r="57594" s="101" customFormat="1" spans="6:6">
      <c r="F57594" s="2423"/>
    </row>
    <row r="57595" s="101" customFormat="1" spans="6:6">
      <c r="F57595" s="2423"/>
    </row>
    <row r="57596" s="101" customFormat="1" spans="6:6">
      <c r="F57596" s="2423"/>
    </row>
    <row r="57597" s="101" customFormat="1" spans="6:6">
      <c r="F57597" s="2423"/>
    </row>
    <row r="57598" s="101" customFormat="1" spans="6:6">
      <c r="F57598" s="2423"/>
    </row>
    <row r="57599" s="101" customFormat="1" spans="6:6">
      <c r="F57599" s="2423"/>
    </row>
    <row r="57600" s="101" customFormat="1" spans="6:6">
      <c r="F57600" s="2423"/>
    </row>
    <row r="57601" s="101" customFormat="1" spans="6:6">
      <c r="F57601" s="2423"/>
    </row>
    <row r="57602" s="101" customFormat="1" spans="6:6">
      <c r="F57602" s="2423"/>
    </row>
    <row r="57603" s="101" customFormat="1" spans="6:6">
      <c r="F57603" s="2423"/>
    </row>
    <row r="57604" s="101" customFormat="1" spans="6:6">
      <c r="F57604" s="2423"/>
    </row>
    <row r="57605" s="101" customFormat="1" spans="6:6">
      <c r="F57605" s="2423"/>
    </row>
    <row r="57606" s="101" customFormat="1" spans="6:6">
      <c r="F57606" s="2423"/>
    </row>
    <row r="57607" s="101" customFormat="1" spans="6:6">
      <c r="F57607" s="2423"/>
    </row>
    <row r="57608" s="101" customFormat="1" spans="6:6">
      <c r="F57608" s="2423"/>
    </row>
    <row r="57609" s="101" customFormat="1" spans="6:6">
      <c r="F57609" s="2423"/>
    </row>
    <row r="57610" s="101" customFormat="1" spans="6:6">
      <c r="F57610" s="2423"/>
    </row>
    <row r="57611" s="101" customFormat="1" spans="6:6">
      <c r="F57611" s="2423"/>
    </row>
    <row r="57612" s="101" customFormat="1" spans="6:6">
      <c r="F57612" s="2423"/>
    </row>
    <row r="57613" s="101" customFormat="1" spans="6:6">
      <c r="F57613" s="2423"/>
    </row>
    <row r="57614" s="101" customFormat="1" spans="6:6">
      <c r="F57614" s="2423"/>
    </row>
    <row r="57615" s="101" customFormat="1" spans="6:6">
      <c r="F57615" s="2423"/>
    </row>
    <row r="57616" s="101" customFormat="1" spans="6:6">
      <c r="F57616" s="2423"/>
    </row>
    <row r="57617" s="101" customFormat="1" spans="6:6">
      <c r="F57617" s="2423"/>
    </row>
    <row r="57618" s="101" customFormat="1" spans="6:6">
      <c r="F57618" s="2423"/>
    </row>
    <row r="57619" s="101" customFormat="1" spans="6:6">
      <c r="F57619" s="2423"/>
    </row>
    <row r="57620" s="101" customFormat="1" spans="6:6">
      <c r="F57620" s="2423"/>
    </row>
    <row r="57621" s="101" customFormat="1" spans="6:6">
      <c r="F57621" s="2423"/>
    </row>
    <row r="57622" s="101" customFormat="1" spans="6:6">
      <c r="F57622" s="2423"/>
    </row>
    <row r="57623" s="101" customFormat="1" spans="6:6">
      <c r="F57623" s="2423"/>
    </row>
    <row r="57624" s="101" customFormat="1" spans="6:6">
      <c r="F57624" s="2423"/>
    </row>
    <row r="57625" s="101" customFormat="1" spans="6:6">
      <c r="F57625" s="2423"/>
    </row>
    <row r="57626" s="101" customFormat="1" spans="6:6">
      <c r="F57626" s="2423"/>
    </row>
    <row r="57627" s="101" customFormat="1" spans="6:6">
      <c r="F57627" s="2423"/>
    </row>
    <row r="57628" s="101" customFormat="1" spans="6:6">
      <c r="F57628" s="2423"/>
    </row>
    <row r="57629" s="101" customFormat="1" spans="6:6">
      <c r="F57629" s="2423"/>
    </row>
    <row r="57630" s="101" customFormat="1" spans="6:6">
      <c r="F57630" s="2423"/>
    </row>
    <row r="57631" s="101" customFormat="1" spans="6:6">
      <c r="F57631" s="2423"/>
    </row>
    <row r="57632" s="101" customFormat="1" spans="6:6">
      <c r="F57632" s="2423"/>
    </row>
    <row r="57633" s="101" customFormat="1" spans="6:6">
      <c r="F57633" s="2423"/>
    </row>
    <row r="57634" s="101" customFormat="1" spans="6:6">
      <c r="F57634" s="2423"/>
    </row>
    <row r="57635" s="101" customFormat="1" spans="6:6">
      <c r="F57635" s="2423"/>
    </row>
    <row r="57636" s="101" customFormat="1" spans="6:6">
      <c r="F57636" s="2423"/>
    </row>
    <row r="57637" s="101" customFormat="1" spans="6:6">
      <c r="F57637" s="2423"/>
    </row>
    <row r="57638" s="101" customFormat="1" spans="6:6">
      <c r="F57638" s="2423"/>
    </row>
    <row r="57639" s="101" customFormat="1" spans="6:6">
      <c r="F57639" s="2423"/>
    </row>
    <row r="57640" s="101" customFormat="1" spans="6:6">
      <c r="F57640" s="2423"/>
    </row>
    <row r="57641" s="101" customFormat="1" spans="6:6">
      <c r="F57641" s="2423"/>
    </row>
    <row r="57642" s="101" customFormat="1" spans="6:6">
      <c r="F57642" s="2423"/>
    </row>
    <row r="57643" s="101" customFormat="1" spans="6:6">
      <c r="F57643" s="2423"/>
    </row>
    <row r="57644" s="101" customFormat="1" spans="6:6">
      <c r="F57644" s="2423"/>
    </row>
    <row r="57645" s="101" customFormat="1" spans="6:6">
      <c r="F57645" s="2423"/>
    </row>
    <row r="57646" s="101" customFormat="1" spans="6:6">
      <c r="F57646" s="2423"/>
    </row>
    <row r="57647" s="101" customFormat="1" spans="6:6">
      <c r="F57647" s="2423"/>
    </row>
    <row r="57648" s="101" customFormat="1" spans="6:6">
      <c r="F57648" s="2423"/>
    </row>
    <row r="57649" s="101" customFormat="1" spans="6:6">
      <c r="F57649" s="2423"/>
    </row>
    <row r="57650" s="101" customFormat="1" spans="6:6">
      <c r="F57650" s="2423"/>
    </row>
    <row r="57651" s="101" customFormat="1" spans="6:6">
      <c r="F57651" s="2423"/>
    </row>
    <row r="57652" s="101" customFormat="1" spans="6:6">
      <c r="F57652" s="2423"/>
    </row>
    <row r="57653" s="101" customFormat="1" spans="6:6">
      <c r="F57653" s="2423"/>
    </row>
    <row r="57654" s="101" customFormat="1" spans="6:6">
      <c r="F57654" s="2423"/>
    </row>
    <row r="57655" s="101" customFormat="1" spans="6:6">
      <c r="F57655" s="2423"/>
    </row>
    <row r="57656" s="101" customFormat="1" spans="6:6">
      <c r="F57656" s="2423"/>
    </row>
    <row r="57657" s="101" customFormat="1" spans="6:6">
      <c r="F57657" s="2423"/>
    </row>
    <row r="57658" s="101" customFormat="1" spans="6:6">
      <c r="F57658" s="2423"/>
    </row>
    <row r="57659" s="101" customFormat="1" spans="6:6">
      <c r="F57659" s="2423"/>
    </row>
    <row r="57660" s="101" customFormat="1" spans="6:6">
      <c r="F57660" s="2423"/>
    </row>
    <row r="57661" s="101" customFormat="1" spans="6:6">
      <c r="F57661" s="2423"/>
    </row>
    <row r="57662" s="101" customFormat="1" spans="6:6">
      <c r="F57662" s="2423"/>
    </row>
    <row r="57663" s="101" customFormat="1" spans="6:6">
      <c r="F57663" s="2423"/>
    </row>
    <row r="57664" s="101" customFormat="1" spans="6:6">
      <c r="F57664" s="2423"/>
    </row>
    <row r="57665" s="101" customFormat="1" spans="6:6">
      <c r="F57665" s="2423"/>
    </row>
    <row r="57666" s="101" customFormat="1" spans="6:6">
      <c r="F57666" s="2423"/>
    </row>
    <row r="57667" s="101" customFormat="1" spans="6:6">
      <c r="F57667" s="2423"/>
    </row>
    <row r="57668" s="101" customFormat="1" spans="6:6">
      <c r="F57668" s="2423"/>
    </row>
    <row r="57669" s="101" customFormat="1" spans="6:6">
      <c r="F57669" s="2423"/>
    </row>
    <row r="57670" s="101" customFormat="1" spans="6:6">
      <c r="F57670" s="2423"/>
    </row>
    <row r="57671" s="101" customFormat="1" spans="6:6">
      <c r="F57671" s="2423"/>
    </row>
    <row r="57672" s="101" customFormat="1" spans="6:6">
      <c r="F57672" s="2423"/>
    </row>
    <row r="57673" s="101" customFormat="1" spans="6:6">
      <c r="F57673" s="2423"/>
    </row>
    <row r="57674" s="101" customFormat="1" spans="6:6">
      <c r="F57674" s="2423"/>
    </row>
    <row r="57675" s="101" customFormat="1" spans="6:6">
      <c r="F57675" s="2423"/>
    </row>
    <row r="57676" s="101" customFormat="1" spans="6:6">
      <c r="F57676" s="2423"/>
    </row>
    <row r="57677" s="101" customFormat="1" spans="6:6">
      <c r="F57677" s="2423"/>
    </row>
    <row r="57678" s="101" customFormat="1" spans="6:6">
      <c r="F57678" s="2423"/>
    </row>
    <row r="57679" s="101" customFormat="1" spans="6:6">
      <c r="F57679" s="2423"/>
    </row>
    <row r="57680" s="101" customFormat="1" spans="6:6">
      <c r="F57680" s="2423"/>
    </row>
    <row r="57681" s="101" customFormat="1" spans="6:6">
      <c r="F57681" s="2423"/>
    </row>
    <row r="57682" s="101" customFormat="1" spans="6:6">
      <c r="F57682" s="2423"/>
    </row>
    <row r="57683" s="101" customFormat="1" spans="6:6">
      <c r="F57683" s="2423"/>
    </row>
    <row r="57684" s="101" customFormat="1" spans="6:6">
      <c r="F57684" s="2423"/>
    </row>
    <row r="57685" s="101" customFormat="1" spans="6:6">
      <c r="F57685" s="2423"/>
    </row>
    <row r="57686" s="101" customFormat="1" spans="6:6">
      <c r="F57686" s="2423"/>
    </row>
    <row r="57687" s="101" customFormat="1" spans="6:6">
      <c r="F57687" s="2423"/>
    </row>
    <row r="57688" s="101" customFormat="1" spans="6:6">
      <c r="F57688" s="2423"/>
    </row>
    <row r="57689" s="101" customFormat="1" spans="6:6">
      <c r="F57689" s="2423"/>
    </row>
    <row r="57690" s="101" customFormat="1" spans="6:6">
      <c r="F57690" s="2423"/>
    </row>
    <row r="57691" s="101" customFormat="1" spans="6:6">
      <c r="F57691" s="2423"/>
    </row>
    <row r="57692" s="101" customFormat="1" spans="6:6">
      <c r="F57692" s="2423"/>
    </row>
    <row r="57693" s="101" customFormat="1" spans="6:6">
      <c r="F57693" s="2423"/>
    </row>
    <row r="57694" s="101" customFormat="1" spans="6:6">
      <c r="F57694" s="2423"/>
    </row>
    <row r="57695" s="101" customFormat="1" spans="6:6">
      <c r="F57695" s="2423"/>
    </row>
    <row r="57696" s="101" customFormat="1" spans="6:6">
      <c r="F57696" s="2423"/>
    </row>
    <row r="57697" s="101" customFormat="1" spans="6:6">
      <c r="F57697" s="2423"/>
    </row>
    <row r="57698" s="101" customFormat="1" spans="6:6">
      <c r="F57698" s="2423"/>
    </row>
    <row r="57699" s="101" customFormat="1" spans="6:6">
      <c r="F57699" s="2423"/>
    </row>
    <row r="57700" s="101" customFormat="1" spans="6:6">
      <c r="F57700" s="2423"/>
    </row>
    <row r="57701" s="101" customFormat="1" spans="6:6">
      <c r="F57701" s="2423"/>
    </row>
    <row r="57702" s="101" customFormat="1" spans="6:6">
      <c r="F57702" s="2423"/>
    </row>
    <row r="57703" s="101" customFormat="1" spans="6:6">
      <c r="F57703" s="2423"/>
    </row>
    <row r="57704" s="101" customFormat="1" spans="6:6">
      <c r="F57704" s="2423"/>
    </row>
    <row r="57705" s="101" customFormat="1" spans="6:6">
      <c r="F57705" s="2423"/>
    </row>
    <row r="57706" s="101" customFormat="1" spans="6:6">
      <c r="F57706" s="2423"/>
    </row>
    <row r="57707" s="101" customFormat="1" spans="6:6">
      <c r="F57707" s="2423"/>
    </row>
    <row r="57708" s="101" customFormat="1" spans="6:6">
      <c r="F57708" s="2423"/>
    </row>
    <row r="57709" s="101" customFormat="1" spans="6:6">
      <c r="F57709" s="2423"/>
    </row>
    <row r="57710" s="101" customFormat="1" spans="6:6">
      <c r="F57710" s="2423"/>
    </row>
    <row r="57711" s="101" customFormat="1" spans="6:6">
      <c r="F57711" s="2423"/>
    </row>
    <row r="57712" s="101" customFormat="1" spans="6:6">
      <c r="F57712" s="2423"/>
    </row>
    <row r="57713" s="101" customFormat="1" spans="6:6">
      <c r="F57713" s="2423"/>
    </row>
    <row r="57714" s="101" customFormat="1" spans="6:6">
      <c r="F57714" s="2423"/>
    </row>
    <row r="57715" s="101" customFormat="1" spans="6:6">
      <c r="F57715" s="2423"/>
    </row>
    <row r="57716" s="101" customFormat="1" spans="6:6">
      <c r="F57716" s="2423"/>
    </row>
    <row r="57717" s="101" customFormat="1" spans="6:6">
      <c r="F57717" s="2423"/>
    </row>
    <row r="57718" s="101" customFormat="1" spans="6:6">
      <c r="F57718" s="2423"/>
    </row>
    <row r="57719" s="101" customFormat="1" spans="6:6">
      <c r="F57719" s="2423"/>
    </row>
    <row r="57720" s="101" customFormat="1" spans="6:6">
      <c r="F57720" s="2423"/>
    </row>
    <row r="57721" s="101" customFormat="1" spans="6:6">
      <c r="F57721" s="2423"/>
    </row>
    <row r="57722" s="101" customFormat="1" spans="6:6">
      <c r="F57722" s="2423"/>
    </row>
    <row r="57723" s="101" customFormat="1" spans="6:6">
      <c r="F57723" s="2423"/>
    </row>
    <row r="57724" s="101" customFormat="1" spans="6:6">
      <c r="F57724" s="2423"/>
    </row>
    <row r="57725" s="101" customFormat="1" spans="6:6">
      <c r="F57725" s="2423"/>
    </row>
    <row r="57726" s="101" customFormat="1" spans="6:6">
      <c r="F57726" s="2423"/>
    </row>
    <row r="57727" s="101" customFormat="1" spans="6:6">
      <c r="F57727" s="2423"/>
    </row>
    <row r="57728" s="101" customFormat="1" spans="6:6">
      <c r="F57728" s="2423"/>
    </row>
    <row r="57729" s="101" customFormat="1" spans="6:6">
      <c r="F57729" s="2423"/>
    </row>
    <row r="57730" s="101" customFormat="1" spans="6:6">
      <c r="F57730" s="2423"/>
    </row>
    <row r="57731" s="101" customFormat="1" spans="6:6">
      <c r="F57731" s="2423"/>
    </row>
    <row r="57732" s="101" customFormat="1" spans="6:6">
      <c r="F57732" s="2423"/>
    </row>
    <row r="57733" s="101" customFormat="1" spans="6:6">
      <c r="F57733" s="2423"/>
    </row>
    <row r="57734" s="101" customFormat="1" spans="6:6">
      <c r="F57734" s="2423"/>
    </row>
    <row r="57735" s="101" customFormat="1" spans="6:6">
      <c r="F57735" s="2423"/>
    </row>
    <row r="57736" s="101" customFormat="1" spans="6:6">
      <c r="F57736" s="2423"/>
    </row>
    <row r="57737" s="101" customFormat="1" spans="6:6">
      <c r="F57737" s="2423"/>
    </row>
    <row r="57738" s="101" customFormat="1" spans="6:6">
      <c r="F57738" s="2423"/>
    </row>
    <row r="57739" s="101" customFormat="1" spans="6:6">
      <c r="F57739" s="2423"/>
    </row>
    <row r="57740" s="101" customFormat="1" spans="6:6">
      <c r="F57740" s="2423"/>
    </row>
    <row r="57741" s="101" customFormat="1" spans="6:6">
      <c r="F57741" s="2423"/>
    </row>
    <row r="57742" s="101" customFormat="1" spans="6:6">
      <c r="F57742" s="2423"/>
    </row>
    <row r="57743" s="101" customFormat="1" spans="6:6">
      <c r="F57743" s="2423"/>
    </row>
    <row r="57744" s="101" customFormat="1" spans="6:6">
      <c r="F57744" s="2423"/>
    </row>
    <row r="57745" s="101" customFormat="1" spans="6:6">
      <c r="F57745" s="2423"/>
    </row>
    <row r="57746" s="101" customFormat="1" spans="6:6">
      <c r="F57746" s="2423"/>
    </row>
    <row r="57747" s="101" customFormat="1" spans="6:6">
      <c r="F57747" s="2423"/>
    </row>
    <row r="57748" s="101" customFormat="1" spans="6:6">
      <c r="F57748" s="2423"/>
    </row>
    <row r="57749" s="101" customFormat="1" spans="6:6">
      <c r="F57749" s="2423"/>
    </row>
    <row r="57750" s="101" customFormat="1" spans="6:6">
      <c r="F57750" s="2423"/>
    </row>
    <row r="57751" s="101" customFormat="1" spans="6:6">
      <c r="F57751" s="2423"/>
    </row>
    <row r="57752" s="101" customFormat="1" spans="6:6">
      <c r="F57752" s="2423"/>
    </row>
    <row r="57753" s="101" customFormat="1" spans="6:6">
      <c r="F57753" s="2423"/>
    </row>
    <row r="57754" s="101" customFormat="1" spans="6:6">
      <c r="F57754" s="2423"/>
    </row>
    <row r="57755" s="101" customFormat="1" spans="6:6">
      <c r="F57755" s="2423"/>
    </row>
    <row r="57756" s="101" customFormat="1" spans="6:6">
      <c r="F57756" s="2423"/>
    </row>
    <row r="57757" s="101" customFormat="1" spans="6:6">
      <c r="F57757" s="2423"/>
    </row>
    <row r="57758" s="101" customFormat="1" spans="6:6">
      <c r="F57758" s="2423"/>
    </row>
    <row r="57759" s="101" customFormat="1" spans="6:6">
      <c r="F57759" s="2423"/>
    </row>
    <row r="57760" s="101" customFormat="1" spans="6:6">
      <c r="F57760" s="2423"/>
    </row>
    <row r="57761" s="101" customFormat="1" spans="6:6">
      <c r="F57761" s="2423"/>
    </row>
    <row r="57762" s="101" customFormat="1" spans="6:6">
      <c r="F57762" s="2423"/>
    </row>
    <row r="57763" s="101" customFormat="1" spans="6:6">
      <c r="F57763" s="2423"/>
    </row>
    <row r="57764" s="101" customFormat="1" spans="6:6">
      <c r="F57764" s="2423"/>
    </row>
    <row r="57765" s="101" customFormat="1" spans="6:6">
      <c r="F57765" s="2423"/>
    </row>
    <row r="57766" s="101" customFormat="1" spans="6:6">
      <c r="F57766" s="2423"/>
    </row>
    <row r="57767" s="101" customFormat="1" spans="6:6">
      <c r="F57767" s="2423"/>
    </row>
    <row r="57768" s="101" customFormat="1" spans="6:6">
      <c r="F57768" s="2423"/>
    </row>
    <row r="57769" s="101" customFormat="1" spans="6:6">
      <c r="F57769" s="2423"/>
    </row>
    <row r="57770" s="101" customFormat="1" spans="6:6">
      <c r="F57770" s="2423"/>
    </row>
    <row r="57771" s="101" customFormat="1" spans="6:6">
      <c r="F57771" s="2423"/>
    </row>
    <row r="57772" s="101" customFormat="1" spans="6:6">
      <c r="F57772" s="2423"/>
    </row>
    <row r="57773" s="101" customFormat="1" spans="6:6">
      <c r="F57773" s="2423"/>
    </row>
    <row r="57774" s="101" customFormat="1" spans="6:6">
      <c r="F57774" s="2423"/>
    </row>
    <row r="57775" s="101" customFormat="1" spans="6:6">
      <c r="F57775" s="2423"/>
    </row>
    <row r="57776" s="101" customFormat="1" spans="6:6">
      <c r="F57776" s="2423"/>
    </row>
    <row r="57777" s="101" customFormat="1" spans="6:6">
      <c r="F57777" s="2423"/>
    </row>
    <row r="57778" s="101" customFormat="1" spans="6:6">
      <c r="F57778" s="2423"/>
    </row>
    <row r="57779" s="101" customFormat="1" spans="6:6">
      <c r="F57779" s="2423"/>
    </row>
    <row r="57780" s="101" customFormat="1" spans="6:6">
      <c r="F57780" s="2423"/>
    </row>
    <row r="57781" s="101" customFormat="1" spans="6:6">
      <c r="F57781" s="2423"/>
    </row>
    <row r="57782" s="101" customFormat="1" spans="6:6">
      <c r="F57782" s="2423"/>
    </row>
    <row r="57783" s="101" customFormat="1" spans="6:6">
      <c r="F57783" s="2423"/>
    </row>
    <row r="57784" s="101" customFormat="1" spans="6:6">
      <c r="F57784" s="2423"/>
    </row>
    <row r="57785" s="101" customFormat="1" spans="6:6">
      <c r="F57785" s="2423"/>
    </row>
    <row r="57786" s="101" customFormat="1" spans="6:6">
      <c r="F57786" s="2423"/>
    </row>
    <row r="57787" s="101" customFormat="1" spans="6:6">
      <c r="F57787" s="2423"/>
    </row>
    <row r="57788" s="101" customFormat="1" spans="6:6">
      <c r="F57788" s="2423"/>
    </row>
    <row r="57789" s="101" customFormat="1" spans="6:6">
      <c r="F57789" s="2423"/>
    </row>
    <row r="57790" s="101" customFormat="1" spans="6:6">
      <c r="F57790" s="2423"/>
    </row>
    <row r="57791" s="101" customFormat="1" spans="6:6">
      <c r="F57791" s="2423"/>
    </row>
    <row r="57792" s="101" customFormat="1" spans="6:6">
      <c r="F57792" s="2423"/>
    </row>
    <row r="57793" s="101" customFormat="1" spans="6:6">
      <c r="F57793" s="2423"/>
    </row>
    <row r="57794" s="101" customFormat="1" spans="6:6">
      <c r="F57794" s="2423"/>
    </row>
    <row r="57795" s="101" customFormat="1" spans="6:6">
      <c r="F57795" s="2423"/>
    </row>
    <row r="57796" s="101" customFormat="1" spans="6:6">
      <c r="F57796" s="2423"/>
    </row>
    <row r="57797" s="101" customFormat="1" spans="6:6">
      <c r="F57797" s="2423"/>
    </row>
    <row r="57798" s="101" customFormat="1" spans="6:6">
      <c r="F57798" s="2423"/>
    </row>
    <row r="57799" s="101" customFormat="1" spans="6:6">
      <c r="F57799" s="2423"/>
    </row>
    <row r="57800" s="101" customFormat="1" spans="6:6">
      <c r="F57800" s="2423"/>
    </row>
    <row r="57801" s="101" customFormat="1" spans="6:6">
      <c r="F57801" s="2423"/>
    </row>
    <row r="57802" s="101" customFormat="1" spans="6:6">
      <c r="F57802" s="2423"/>
    </row>
    <row r="57803" s="101" customFormat="1" spans="6:6">
      <c r="F57803" s="2423"/>
    </row>
    <row r="57804" s="101" customFormat="1" spans="6:6">
      <c r="F57804" s="2423"/>
    </row>
    <row r="57805" s="101" customFormat="1" spans="6:6">
      <c r="F57805" s="2423"/>
    </row>
    <row r="57806" s="101" customFormat="1" spans="6:6">
      <c r="F57806" s="2423"/>
    </row>
    <row r="57807" s="101" customFormat="1" spans="6:6">
      <c r="F57807" s="2423"/>
    </row>
    <row r="57808" s="101" customFormat="1" spans="6:6">
      <c r="F57808" s="2423"/>
    </row>
    <row r="57809" s="101" customFormat="1" spans="6:6">
      <c r="F57809" s="2423"/>
    </row>
    <row r="57810" s="101" customFormat="1" spans="6:6">
      <c r="F57810" s="2423"/>
    </row>
    <row r="57811" s="101" customFormat="1" spans="6:6">
      <c r="F57811" s="2423"/>
    </row>
    <row r="57812" s="101" customFormat="1" spans="6:6">
      <c r="F57812" s="2423"/>
    </row>
    <row r="57813" s="101" customFormat="1" spans="6:6">
      <c r="F57813" s="2423"/>
    </row>
    <row r="57814" s="101" customFormat="1" spans="6:6">
      <c r="F57814" s="2423"/>
    </row>
    <row r="57815" s="101" customFormat="1" spans="6:6">
      <c r="F57815" s="2423"/>
    </row>
    <row r="57816" s="101" customFormat="1" spans="6:6">
      <c r="F57816" s="2423"/>
    </row>
    <row r="57817" s="101" customFormat="1" spans="6:6">
      <c r="F57817" s="2423"/>
    </row>
    <row r="57818" s="101" customFormat="1" spans="6:6">
      <c r="F57818" s="2423"/>
    </row>
    <row r="57819" s="101" customFormat="1" spans="6:6">
      <c r="F57819" s="2423"/>
    </row>
    <row r="57820" s="101" customFormat="1" spans="6:6">
      <c r="F57820" s="2423"/>
    </row>
    <row r="57821" s="101" customFormat="1" spans="6:6">
      <c r="F57821" s="2423"/>
    </row>
    <row r="57822" s="101" customFormat="1" spans="6:6">
      <c r="F57822" s="2423"/>
    </row>
    <row r="57823" s="101" customFormat="1" spans="6:6">
      <c r="F57823" s="2423"/>
    </row>
    <row r="57824" s="101" customFormat="1" spans="6:6">
      <c r="F57824" s="2423"/>
    </row>
    <row r="57825" s="101" customFormat="1" spans="6:6">
      <c r="F57825" s="2423"/>
    </row>
    <row r="57826" s="101" customFormat="1" spans="6:6">
      <c r="F57826" s="2423"/>
    </row>
    <row r="57827" s="101" customFormat="1" spans="6:6">
      <c r="F57827" s="2423"/>
    </row>
    <row r="57828" s="101" customFormat="1" spans="6:6">
      <c r="F57828" s="2423"/>
    </row>
    <row r="57829" s="101" customFormat="1" spans="6:6">
      <c r="F57829" s="2423"/>
    </row>
    <row r="57830" s="101" customFormat="1" spans="6:6">
      <c r="F57830" s="2423"/>
    </row>
    <row r="57831" s="101" customFormat="1" spans="6:6">
      <c r="F57831" s="2423"/>
    </row>
    <row r="57832" s="101" customFormat="1" spans="6:6">
      <c r="F57832" s="2423"/>
    </row>
    <row r="57833" s="101" customFormat="1" spans="6:6">
      <c r="F57833" s="2423"/>
    </row>
    <row r="57834" s="101" customFormat="1" spans="6:6">
      <c r="F57834" s="2423"/>
    </row>
    <row r="57835" s="101" customFormat="1" spans="6:6">
      <c r="F57835" s="2423"/>
    </row>
    <row r="57836" s="101" customFormat="1" spans="6:6">
      <c r="F57836" s="2423"/>
    </row>
    <row r="57837" s="101" customFormat="1" spans="6:6">
      <c r="F57837" s="2423"/>
    </row>
    <row r="57838" s="101" customFormat="1" spans="6:6">
      <c r="F57838" s="2423"/>
    </row>
    <row r="57839" s="101" customFormat="1" spans="6:6">
      <c r="F57839" s="2423"/>
    </row>
    <row r="57840" s="101" customFormat="1" spans="6:6">
      <c r="F57840" s="2423"/>
    </row>
    <row r="57841" s="101" customFormat="1" spans="6:6">
      <c r="F57841" s="2423"/>
    </row>
    <row r="57842" s="101" customFormat="1" spans="6:6">
      <c r="F57842" s="2423"/>
    </row>
    <row r="57843" s="101" customFormat="1" spans="6:6">
      <c r="F57843" s="2423"/>
    </row>
    <row r="57844" s="101" customFormat="1" spans="6:6">
      <c r="F57844" s="2423"/>
    </row>
    <row r="57845" s="101" customFormat="1" spans="6:6">
      <c r="F57845" s="2423"/>
    </row>
    <row r="57846" s="101" customFormat="1" spans="6:6">
      <c r="F57846" s="2423"/>
    </row>
    <row r="57847" s="101" customFormat="1" spans="6:6">
      <c r="F57847" s="2423"/>
    </row>
    <row r="57848" s="101" customFormat="1" spans="6:6">
      <c r="F57848" s="2423"/>
    </row>
    <row r="57849" s="101" customFormat="1" spans="6:6">
      <c r="F57849" s="2423"/>
    </row>
    <row r="57850" s="101" customFormat="1" spans="6:6">
      <c r="F57850" s="2423"/>
    </row>
    <row r="57851" s="101" customFormat="1" spans="6:6">
      <c r="F57851" s="2423"/>
    </row>
    <row r="57852" s="101" customFormat="1" spans="6:6">
      <c r="F57852" s="2423"/>
    </row>
    <row r="57853" s="101" customFormat="1" spans="6:6">
      <c r="F57853" s="2423"/>
    </row>
    <row r="57854" s="101" customFormat="1" spans="6:6">
      <c r="F57854" s="2423"/>
    </row>
    <row r="57855" s="101" customFormat="1" spans="6:6">
      <c r="F57855" s="2423"/>
    </row>
    <row r="57856" s="101" customFormat="1" spans="6:6">
      <c r="F57856" s="2423"/>
    </row>
    <row r="57857" s="101" customFormat="1" spans="6:6">
      <c r="F57857" s="2423"/>
    </row>
    <row r="57858" s="101" customFormat="1" spans="6:6">
      <c r="F57858" s="2423"/>
    </row>
    <row r="57859" s="101" customFormat="1" spans="6:6">
      <c r="F57859" s="2423"/>
    </row>
    <row r="57860" s="101" customFormat="1" spans="6:6">
      <c r="F57860" s="2423"/>
    </row>
    <row r="57861" s="101" customFormat="1" spans="6:6">
      <c r="F57861" s="2423"/>
    </row>
    <row r="57862" s="101" customFormat="1" spans="6:6">
      <c r="F57862" s="2423"/>
    </row>
    <row r="57863" s="101" customFormat="1" spans="6:6">
      <c r="F57863" s="2423"/>
    </row>
    <row r="57864" s="101" customFormat="1" spans="6:6">
      <c r="F57864" s="2423"/>
    </row>
    <row r="57865" s="101" customFormat="1" spans="6:6">
      <c r="F57865" s="2423"/>
    </row>
    <row r="57866" s="101" customFormat="1" spans="6:6">
      <c r="F57866" s="2423"/>
    </row>
    <row r="57867" s="101" customFormat="1" spans="6:6">
      <c r="F57867" s="2423"/>
    </row>
    <row r="57868" s="101" customFormat="1" spans="6:6">
      <c r="F57868" s="2423"/>
    </row>
    <row r="57869" s="101" customFormat="1" spans="6:6">
      <c r="F57869" s="2423"/>
    </row>
    <row r="57870" s="101" customFormat="1" spans="6:6">
      <c r="F57870" s="2423"/>
    </row>
    <row r="57871" s="101" customFormat="1" spans="6:6">
      <c r="F57871" s="2423"/>
    </row>
    <row r="57872" s="101" customFormat="1" spans="6:6">
      <c r="F57872" s="2423"/>
    </row>
    <row r="57873" s="101" customFormat="1" spans="6:6">
      <c r="F57873" s="2423"/>
    </row>
    <row r="57874" s="101" customFormat="1" spans="6:6">
      <c r="F57874" s="2423"/>
    </row>
    <row r="57875" s="101" customFormat="1" spans="6:6">
      <c r="F57875" s="2423"/>
    </row>
    <row r="57876" s="101" customFormat="1" spans="6:6">
      <c r="F57876" s="2423"/>
    </row>
    <row r="57877" s="101" customFormat="1" spans="6:6">
      <c r="F57877" s="2423"/>
    </row>
    <row r="57878" s="101" customFormat="1" spans="6:6">
      <c r="F57878" s="2423"/>
    </row>
    <row r="57879" s="101" customFormat="1" spans="6:6">
      <c r="F57879" s="2423"/>
    </row>
    <row r="57880" s="101" customFormat="1" spans="6:6">
      <c r="F57880" s="2423"/>
    </row>
    <row r="57881" s="101" customFormat="1" spans="6:6">
      <c r="F57881" s="2423"/>
    </row>
    <row r="57882" s="101" customFormat="1" spans="6:6">
      <c r="F57882" s="2423"/>
    </row>
    <row r="57883" s="101" customFormat="1" spans="6:6">
      <c r="F57883" s="2423"/>
    </row>
    <row r="57884" s="101" customFormat="1" spans="6:6">
      <c r="F57884" s="2423"/>
    </row>
    <row r="57885" s="101" customFormat="1" spans="6:6">
      <c r="F57885" s="2423"/>
    </row>
    <row r="57886" s="101" customFormat="1" spans="6:6">
      <c r="F57886" s="2423"/>
    </row>
    <row r="57887" s="101" customFormat="1" spans="6:6">
      <c r="F57887" s="2423"/>
    </row>
    <row r="57888" s="101" customFormat="1" spans="6:6">
      <c r="F57888" s="2423"/>
    </row>
    <row r="57889" s="101" customFormat="1" spans="6:6">
      <c r="F57889" s="2423"/>
    </row>
    <row r="57890" s="101" customFormat="1" spans="6:6">
      <c r="F57890" s="2423"/>
    </row>
    <row r="57891" s="101" customFormat="1" spans="6:6">
      <c r="F57891" s="2423"/>
    </row>
    <row r="57892" s="101" customFormat="1" spans="6:6">
      <c r="F57892" s="2423"/>
    </row>
    <row r="57893" s="101" customFormat="1" spans="6:6">
      <c r="F57893" s="2423"/>
    </row>
    <row r="57894" s="101" customFormat="1" spans="6:6">
      <c r="F57894" s="2423"/>
    </row>
    <row r="57895" s="101" customFormat="1" spans="6:6">
      <c r="F57895" s="2423"/>
    </row>
    <row r="57896" s="101" customFormat="1" spans="6:6">
      <c r="F57896" s="2423"/>
    </row>
    <row r="57897" s="101" customFormat="1" spans="6:6">
      <c r="F57897" s="2423"/>
    </row>
    <row r="57898" s="101" customFormat="1" spans="6:6">
      <c r="F57898" s="2423"/>
    </row>
    <row r="57899" s="101" customFormat="1" spans="6:6">
      <c r="F57899" s="2423"/>
    </row>
    <row r="57900" s="101" customFormat="1" spans="6:6">
      <c r="F57900" s="2423"/>
    </row>
    <row r="57901" s="101" customFormat="1" spans="6:6">
      <c r="F57901" s="2423"/>
    </row>
    <row r="57902" s="101" customFormat="1" spans="6:6">
      <c r="F57902" s="2423"/>
    </row>
    <row r="57903" s="101" customFormat="1" spans="6:6">
      <c r="F57903" s="2423"/>
    </row>
    <row r="57904" s="101" customFormat="1" spans="6:6">
      <c r="F57904" s="2423"/>
    </row>
    <row r="57905" s="101" customFormat="1" spans="6:6">
      <c r="F57905" s="2423"/>
    </row>
    <row r="57906" s="101" customFormat="1" spans="6:6">
      <c r="F57906" s="2423"/>
    </row>
    <row r="57907" s="101" customFormat="1" spans="6:6">
      <c r="F57907" s="2423"/>
    </row>
    <row r="57908" s="101" customFormat="1" spans="6:6">
      <c r="F57908" s="2423"/>
    </row>
    <row r="57909" s="101" customFormat="1" spans="6:6">
      <c r="F57909" s="2423"/>
    </row>
    <row r="57910" s="101" customFormat="1" spans="6:6">
      <c r="F57910" s="2423"/>
    </row>
    <row r="57911" s="101" customFormat="1" spans="6:6">
      <c r="F57911" s="2423"/>
    </row>
    <row r="57912" s="101" customFormat="1" spans="6:6">
      <c r="F57912" s="2423"/>
    </row>
    <row r="57913" s="101" customFormat="1" spans="6:6">
      <c r="F57913" s="2423"/>
    </row>
    <row r="57914" s="101" customFormat="1" spans="6:6">
      <c r="F57914" s="2423"/>
    </row>
    <row r="57915" s="101" customFormat="1" spans="6:6">
      <c r="F57915" s="2423"/>
    </row>
    <row r="57916" s="101" customFormat="1" spans="6:6">
      <c r="F57916" s="2423"/>
    </row>
    <row r="57917" s="101" customFormat="1" spans="6:6">
      <c r="F57917" s="2423"/>
    </row>
    <row r="57918" s="101" customFormat="1" spans="6:6">
      <c r="F57918" s="2423"/>
    </row>
    <row r="57919" s="101" customFormat="1" spans="6:6">
      <c r="F57919" s="2423"/>
    </row>
    <row r="57920" s="101" customFormat="1" spans="6:6">
      <c r="F57920" s="2423"/>
    </row>
    <row r="57921" s="101" customFormat="1" spans="6:6">
      <c r="F57921" s="2423"/>
    </row>
    <row r="57922" s="101" customFormat="1" spans="6:6">
      <c r="F57922" s="2423"/>
    </row>
    <row r="57923" s="101" customFormat="1" spans="6:6">
      <c r="F57923" s="2423"/>
    </row>
    <row r="57924" s="101" customFormat="1" spans="6:6">
      <c r="F57924" s="2423"/>
    </row>
    <row r="57925" s="101" customFormat="1" spans="6:6">
      <c r="F57925" s="2423"/>
    </row>
    <row r="57926" s="101" customFormat="1" spans="6:6">
      <c r="F57926" s="2423"/>
    </row>
    <row r="57927" s="101" customFormat="1" spans="6:6">
      <c r="F57927" s="2423"/>
    </row>
    <row r="57928" s="101" customFormat="1" spans="6:6">
      <c r="F57928" s="2423"/>
    </row>
    <row r="57929" s="101" customFormat="1" spans="6:6">
      <c r="F57929" s="2423"/>
    </row>
    <row r="57930" s="101" customFormat="1" spans="6:6">
      <c r="F57930" s="2423"/>
    </row>
    <row r="57931" s="101" customFormat="1" spans="6:6">
      <c r="F57931" s="2423"/>
    </row>
    <row r="57932" s="101" customFormat="1" spans="6:6">
      <c r="F57932" s="2423"/>
    </row>
    <row r="57933" s="101" customFormat="1" spans="6:6">
      <c r="F57933" s="2423"/>
    </row>
    <row r="57934" s="101" customFormat="1" spans="6:6">
      <c r="F57934" s="2423"/>
    </row>
    <row r="57935" s="101" customFormat="1" spans="6:6">
      <c r="F57935" s="2423"/>
    </row>
    <row r="57936" s="101" customFormat="1" spans="6:6">
      <c r="F57936" s="2423"/>
    </row>
    <row r="57937" s="101" customFormat="1" spans="6:6">
      <c r="F57937" s="2423"/>
    </row>
    <row r="57938" s="101" customFormat="1" spans="6:6">
      <c r="F57938" s="2423"/>
    </row>
    <row r="57939" s="101" customFormat="1" spans="6:6">
      <c r="F57939" s="2423"/>
    </row>
    <row r="57940" s="101" customFormat="1" spans="6:6">
      <c r="F57940" s="2423"/>
    </row>
    <row r="57941" s="101" customFormat="1" spans="6:6">
      <c r="F57941" s="2423"/>
    </row>
    <row r="57942" s="101" customFormat="1" spans="6:6">
      <c r="F57942" s="2423"/>
    </row>
    <row r="57943" s="101" customFormat="1" spans="6:6">
      <c r="F57943" s="2423"/>
    </row>
    <row r="57944" s="101" customFormat="1" spans="6:6">
      <c r="F57944" s="2423"/>
    </row>
    <row r="57945" s="101" customFormat="1" spans="6:6">
      <c r="F57945" s="2423"/>
    </row>
    <row r="57946" s="101" customFormat="1" spans="6:6">
      <c r="F57946" s="2423"/>
    </row>
    <row r="57947" s="101" customFormat="1" spans="6:6">
      <c r="F57947" s="2423"/>
    </row>
    <row r="57948" s="101" customFormat="1" spans="6:6">
      <c r="F57948" s="2423"/>
    </row>
    <row r="57949" s="101" customFormat="1" spans="6:6">
      <c r="F57949" s="2423"/>
    </row>
    <row r="57950" s="101" customFormat="1" spans="6:6">
      <c r="F57950" s="2423"/>
    </row>
    <row r="57951" s="101" customFormat="1" spans="6:6">
      <c r="F57951" s="2423"/>
    </row>
    <row r="57952" s="101" customFormat="1" spans="6:6">
      <c r="F57952" s="2423"/>
    </row>
    <row r="57953" s="101" customFormat="1" spans="6:6">
      <c r="F57953" s="2423"/>
    </row>
    <row r="57954" s="101" customFormat="1" spans="6:6">
      <c r="F57954" s="2423"/>
    </row>
    <row r="57955" s="101" customFormat="1" spans="6:6">
      <c r="F57955" s="2423"/>
    </row>
    <row r="57956" s="101" customFormat="1" spans="6:6">
      <c r="F57956" s="2423"/>
    </row>
    <row r="57957" s="101" customFormat="1" spans="6:6">
      <c r="F57957" s="2423"/>
    </row>
    <row r="57958" s="101" customFormat="1" spans="6:6">
      <c r="F57958" s="2423"/>
    </row>
    <row r="57959" s="101" customFormat="1" spans="6:6">
      <c r="F57959" s="2423"/>
    </row>
    <row r="57960" s="101" customFormat="1" spans="6:6">
      <c r="F57960" s="2423"/>
    </row>
    <row r="57961" s="101" customFormat="1" spans="6:6">
      <c r="F57961" s="2423"/>
    </row>
    <row r="57962" s="101" customFormat="1" spans="6:6">
      <c r="F57962" s="2423"/>
    </row>
    <row r="57963" s="101" customFormat="1" spans="6:6">
      <c r="F57963" s="2423"/>
    </row>
    <row r="57964" s="101" customFormat="1" spans="6:6">
      <c r="F57964" s="2423"/>
    </row>
    <row r="57965" s="101" customFormat="1" spans="6:6">
      <c r="F57965" s="2423"/>
    </row>
    <row r="57966" s="101" customFormat="1" spans="6:6">
      <c r="F57966" s="2423"/>
    </row>
    <row r="57967" s="101" customFormat="1" spans="6:6">
      <c r="F57967" s="2423"/>
    </row>
    <row r="57968" s="101" customFormat="1" spans="6:6">
      <c r="F57968" s="2423"/>
    </row>
    <row r="57969" s="101" customFormat="1" spans="6:6">
      <c r="F57969" s="2423"/>
    </row>
    <row r="57970" s="101" customFormat="1" spans="6:6">
      <c r="F57970" s="2423"/>
    </row>
    <row r="57971" s="101" customFormat="1" spans="6:6">
      <c r="F57971" s="2423"/>
    </row>
    <row r="57972" s="101" customFormat="1" spans="6:6">
      <c r="F57972" s="2423"/>
    </row>
    <row r="57973" s="101" customFormat="1" spans="6:6">
      <c r="F57973" s="2423"/>
    </row>
    <row r="57974" s="101" customFormat="1" spans="6:6">
      <c r="F57974" s="2423"/>
    </row>
    <row r="57975" s="101" customFormat="1" spans="6:6">
      <c r="F57975" s="2423"/>
    </row>
    <row r="57976" s="101" customFormat="1" spans="6:6">
      <c r="F57976" s="2423"/>
    </row>
    <row r="57977" s="101" customFormat="1" spans="6:6">
      <c r="F57977" s="2423"/>
    </row>
    <row r="57978" s="101" customFormat="1" spans="6:6">
      <c r="F57978" s="2423"/>
    </row>
    <row r="57979" s="101" customFormat="1" spans="6:6">
      <c r="F57979" s="2423"/>
    </row>
    <row r="57980" s="101" customFormat="1" spans="6:6">
      <c r="F57980" s="2423"/>
    </row>
    <row r="57981" s="101" customFormat="1" spans="6:6">
      <c r="F57981" s="2423"/>
    </row>
    <row r="57982" s="101" customFormat="1" spans="6:6">
      <c r="F57982" s="2423"/>
    </row>
    <row r="57983" s="101" customFormat="1" spans="6:6">
      <c r="F57983" s="2423"/>
    </row>
    <row r="57984" s="101" customFormat="1" spans="6:6">
      <c r="F57984" s="2423"/>
    </row>
    <row r="57985" s="101" customFormat="1" spans="6:6">
      <c r="F57985" s="2423"/>
    </row>
    <row r="57986" s="101" customFormat="1" spans="6:6">
      <c r="F57986" s="2423"/>
    </row>
    <row r="57987" s="101" customFormat="1" spans="6:6">
      <c r="F57987" s="2423"/>
    </row>
    <row r="57988" s="101" customFormat="1" spans="6:6">
      <c r="F57988" s="2423"/>
    </row>
    <row r="57989" s="101" customFormat="1" spans="6:6">
      <c r="F57989" s="2423"/>
    </row>
    <row r="57990" s="101" customFormat="1" spans="6:6">
      <c r="F57990" s="2423"/>
    </row>
    <row r="57991" s="101" customFormat="1" spans="6:6">
      <c r="F57991" s="2423"/>
    </row>
    <row r="57992" s="101" customFormat="1" spans="6:6">
      <c r="F57992" s="2423"/>
    </row>
    <row r="57993" s="101" customFormat="1" spans="6:6">
      <c r="F57993" s="2423"/>
    </row>
    <row r="57994" s="101" customFormat="1" spans="6:6">
      <c r="F57994" s="2423"/>
    </row>
    <row r="57995" s="101" customFormat="1" spans="6:6">
      <c r="F57995" s="2423"/>
    </row>
    <row r="57996" s="101" customFormat="1" spans="6:6">
      <c r="F57996" s="2423"/>
    </row>
    <row r="57997" s="101" customFormat="1" spans="6:6">
      <c r="F57997" s="2423"/>
    </row>
    <row r="57998" s="101" customFormat="1" spans="6:6">
      <c r="F57998" s="2423"/>
    </row>
    <row r="57999" s="101" customFormat="1" spans="6:6">
      <c r="F57999" s="2423"/>
    </row>
    <row r="58000" s="101" customFormat="1" spans="6:6">
      <c r="F58000" s="2423"/>
    </row>
    <row r="58001" s="101" customFormat="1" spans="6:6">
      <c r="F58001" s="2423"/>
    </row>
    <row r="58002" s="101" customFormat="1" spans="6:6">
      <c r="F58002" s="2423"/>
    </row>
    <row r="58003" s="101" customFormat="1" spans="6:6">
      <c r="F58003" s="2423"/>
    </row>
    <row r="58004" s="101" customFormat="1" spans="6:6">
      <c r="F58004" s="2423"/>
    </row>
    <row r="58005" s="101" customFormat="1" spans="6:6">
      <c r="F58005" s="2423"/>
    </row>
    <row r="58006" s="101" customFormat="1" spans="6:6">
      <c r="F58006" s="2423"/>
    </row>
    <row r="58007" s="101" customFormat="1" spans="6:6">
      <c r="F58007" s="2423"/>
    </row>
    <row r="58008" s="101" customFormat="1" spans="6:6">
      <c r="F58008" s="2423"/>
    </row>
    <row r="58009" s="101" customFormat="1" spans="6:6">
      <c r="F58009" s="2423"/>
    </row>
    <row r="58010" s="101" customFormat="1" spans="6:6">
      <c r="F58010" s="2423"/>
    </row>
    <row r="58011" s="101" customFormat="1" spans="6:6">
      <c r="F58011" s="2423"/>
    </row>
    <row r="58012" s="101" customFormat="1" spans="6:6">
      <c r="F58012" s="2423"/>
    </row>
    <row r="58013" s="101" customFormat="1" spans="6:6">
      <c r="F58013" s="2423"/>
    </row>
    <row r="58014" s="101" customFormat="1" spans="6:6">
      <c r="F58014" s="2423"/>
    </row>
    <row r="58015" s="101" customFormat="1" spans="6:6">
      <c r="F58015" s="2423"/>
    </row>
    <row r="58016" s="101" customFormat="1" spans="6:6">
      <c r="F58016" s="2423"/>
    </row>
    <row r="58017" s="101" customFormat="1" spans="6:6">
      <c r="F58017" s="2423"/>
    </row>
    <row r="58018" s="101" customFormat="1" spans="6:6">
      <c r="F58018" s="2423"/>
    </row>
    <row r="58019" s="101" customFormat="1" spans="6:6">
      <c r="F58019" s="2423"/>
    </row>
    <row r="58020" s="101" customFormat="1" spans="6:6">
      <c r="F58020" s="2423"/>
    </row>
    <row r="58021" s="101" customFormat="1" spans="6:6">
      <c r="F58021" s="2423"/>
    </row>
    <row r="58022" s="101" customFormat="1" spans="6:6">
      <c r="F58022" s="2423"/>
    </row>
    <row r="58023" s="101" customFormat="1" spans="6:6">
      <c r="F58023" s="2423"/>
    </row>
    <row r="58024" s="101" customFormat="1" spans="6:6">
      <c r="F58024" s="2423"/>
    </row>
    <row r="58025" s="101" customFormat="1" spans="6:6">
      <c r="F58025" s="2423"/>
    </row>
    <row r="58026" s="101" customFormat="1" spans="6:6">
      <c r="F58026" s="2423"/>
    </row>
    <row r="58027" s="101" customFormat="1" spans="6:6">
      <c r="F58027" s="2423"/>
    </row>
    <row r="58028" s="101" customFormat="1" spans="6:6">
      <c r="F58028" s="2423"/>
    </row>
    <row r="58029" s="101" customFormat="1" spans="6:6">
      <c r="F58029" s="2423"/>
    </row>
    <row r="58030" s="101" customFormat="1" spans="6:6">
      <c r="F58030" s="2423"/>
    </row>
    <row r="58031" s="101" customFormat="1" spans="6:6">
      <c r="F58031" s="2423"/>
    </row>
    <row r="58032" s="101" customFormat="1" spans="6:6">
      <c r="F58032" s="2423"/>
    </row>
    <row r="58033" s="101" customFormat="1" spans="6:6">
      <c r="F58033" s="2423"/>
    </row>
    <row r="58034" s="101" customFormat="1" spans="6:6">
      <c r="F58034" s="2423"/>
    </row>
    <row r="58035" s="101" customFormat="1" spans="6:6">
      <c r="F58035" s="2423"/>
    </row>
    <row r="58036" s="101" customFormat="1" spans="6:6">
      <c r="F58036" s="2423"/>
    </row>
    <row r="58037" s="101" customFormat="1" spans="6:6">
      <c r="F58037" s="2423"/>
    </row>
    <row r="58038" s="101" customFormat="1" spans="6:6">
      <c r="F58038" s="2423"/>
    </row>
    <row r="58039" s="101" customFormat="1" spans="6:6">
      <c r="F58039" s="2423"/>
    </row>
    <row r="58040" s="101" customFormat="1" spans="6:6">
      <c r="F58040" s="2423"/>
    </row>
    <row r="58041" s="101" customFormat="1" spans="6:6">
      <c r="F58041" s="2423"/>
    </row>
    <row r="58042" s="101" customFormat="1" spans="6:6">
      <c r="F58042" s="2423"/>
    </row>
    <row r="58043" s="101" customFormat="1" spans="6:6">
      <c r="F58043" s="2423"/>
    </row>
    <row r="58044" s="101" customFormat="1" spans="6:6">
      <c r="F58044" s="2423"/>
    </row>
    <row r="58045" s="101" customFormat="1" spans="6:6">
      <c r="F58045" s="2423"/>
    </row>
    <row r="58046" s="101" customFormat="1" spans="6:6">
      <c r="F58046" s="2423"/>
    </row>
    <row r="58047" s="101" customFormat="1" spans="6:6">
      <c r="F58047" s="2423"/>
    </row>
    <row r="58048" s="101" customFormat="1" spans="6:6">
      <c r="F58048" s="2423"/>
    </row>
    <row r="58049" s="101" customFormat="1" spans="6:6">
      <c r="F58049" s="2423"/>
    </row>
    <row r="58050" s="101" customFormat="1" spans="6:6">
      <c r="F58050" s="2423"/>
    </row>
    <row r="58051" s="101" customFormat="1" spans="6:6">
      <c r="F58051" s="2423"/>
    </row>
    <row r="58052" s="101" customFormat="1" spans="6:6">
      <c r="F58052" s="2423"/>
    </row>
    <row r="58053" s="101" customFormat="1" spans="6:6">
      <c r="F58053" s="2423"/>
    </row>
    <row r="58054" s="101" customFormat="1" spans="6:6">
      <c r="F58054" s="2423"/>
    </row>
    <row r="58055" s="101" customFormat="1" spans="6:6">
      <c r="F58055" s="2423"/>
    </row>
    <row r="58056" s="101" customFormat="1" spans="6:6">
      <c r="F58056" s="2423"/>
    </row>
    <row r="58057" s="101" customFormat="1" spans="6:6">
      <c r="F58057" s="2423"/>
    </row>
    <row r="58058" s="101" customFormat="1" spans="6:6">
      <c r="F58058" s="2423"/>
    </row>
    <row r="58059" s="101" customFormat="1" spans="6:6">
      <c r="F58059" s="2423"/>
    </row>
    <row r="58060" s="101" customFormat="1" spans="6:6">
      <c r="F58060" s="2423"/>
    </row>
    <row r="58061" s="101" customFormat="1" spans="6:6">
      <c r="F58061" s="2423"/>
    </row>
    <row r="58062" s="101" customFormat="1" spans="6:6">
      <c r="F58062" s="2423"/>
    </row>
    <row r="58063" s="101" customFormat="1" spans="6:6">
      <c r="F58063" s="2423"/>
    </row>
    <row r="58064" s="101" customFormat="1" spans="6:6">
      <c r="F58064" s="2423"/>
    </row>
    <row r="58065" s="101" customFormat="1" spans="6:6">
      <c r="F58065" s="2423"/>
    </row>
    <row r="58066" s="101" customFormat="1" spans="6:6">
      <c r="F58066" s="2423"/>
    </row>
    <row r="58067" s="101" customFormat="1" spans="6:6">
      <c r="F58067" s="2423"/>
    </row>
    <row r="58068" s="101" customFormat="1" spans="6:6">
      <c r="F58068" s="2423"/>
    </row>
    <row r="58069" s="101" customFormat="1" spans="6:6">
      <c r="F58069" s="2423"/>
    </row>
    <row r="58070" s="101" customFormat="1" spans="6:6">
      <c r="F58070" s="2423"/>
    </row>
    <row r="58071" s="101" customFormat="1" spans="6:6">
      <c r="F58071" s="2423"/>
    </row>
    <row r="58072" s="101" customFormat="1" spans="6:6">
      <c r="F58072" s="2423"/>
    </row>
    <row r="58073" s="101" customFormat="1" spans="6:6">
      <c r="F58073" s="2423"/>
    </row>
    <row r="58074" s="101" customFormat="1" spans="6:6">
      <c r="F58074" s="2423"/>
    </row>
    <row r="58075" s="101" customFormat="1" spans="6:6">
      <c r="F58075" s="2423"/>
    </row>
    <row r="58076" s="101" customFormat="1" spans="6:6">
      <c r="F58076" s="2423"/>
    </row>
    <row r="58077" s="101" customFormat="1" spans="6:6">
      <c r="F58077" s="2423"/>
    </row>
    <row r="58078" s="101" customFormat="1" spans="6:6">
      <c r="F58078" s="2423"/>
    </row>
    <row r="58079" s="101" customFormat="1" spans="6:6">
      <c r="F58079" s="2423"/>
    </row>
    <row r="58080" s="101" customFormat="1" spans="6:6">
      <c r="F58080" s="2423"/>
    </row>
    <row r="58081" s="101" customFormat="1" spans="6:6">
      <c r="F58081" s="2423"/>
    </row>
    <row r="58082" s="101" customFormat="1" spans="6:6">
      <c r="F58082" s="2423"/>
    </row>
    <row r="58083" s="101" customFormat="1" spans="6:6">
      <c r="F58083" s="2423"/>
    </row>
    <row r="58084" s="101" customFormat="1" spans="6:6">
      <c r="F58084" s="2423"/>
    </row>
    <row r="58085" s="101" customFormat="1" spans="6:6">
      <c r="F58085" s="2423"/>
    </row>
    <row r="58086" s="101" customFormat="1" spans="6:6">
      <c r="F58086" s="2423"/>
    </row>
    <row r="58087" s="101" customFormat="1" spans="6:6">
      <c r="F58087" s="2423"/>
    </row>
    <row r="58088" s="101" customFormat="1" spans="6:6">
      <c r="F58088" s="2423"/>
    </row>
    <row r="58089" s="101" customFormat="1" spans="6:6">
      <c r="F58089" s="2423"/>
    </row>
    <row r="58090" s="101" customFormat="1" spans="6:6">
      <c r="F58090" s="2423"/>
    </row>
    <row r="58091" s="101" customFormat="1" spans="6:6">
      <c r="F58091" s="2423"/>
    </row>
    <row r="58092" s="101" customFormat="1" spans="6:6">
      <c r="F58092" s="2423"/>
    </row>
    <row r="58093" s="101" customFormat="1" spans="6:6">
      <c r="F58093" s="2423"/>
    </row>
    <row r="58094" s="101" customFormat="1" spans="6:6">
      <c r="F58094" s="2423"/>
    </row>
    <row r="58095" s="101" customFormat="1" spans="6:6">
      <c r="F58095" s="2423"/>
    </row>
    <row r="58096" s="101" customFormat="1" spans="6:6">
      <c r="F58096" s="2423"/>
    </row>
    <row r="58097" s="101" customFormat="1" spans="6:6">
      <c r="F58097" s="2423"/>
    </row>
    <row r="58098" s="101" customFormat="1" spans="6:6">
      <c r="F58098" s="2423"/>
    </row>
    <row r="58099" s="101" customFormat="1" spans="6:6">
      <c r="F58099" s="2423"/>
    </row>
    <row r="58100" s="101" customFormat="1" spans="6:6">
      <c r="F58100" s="2423"/>
    </row>
    <row r="58101" s="101" customFormat="1" spans="6:6">
      <c r="F58101" s="2423"/>
    </row>
    <row r="58102" s="101" customFormat="1" spans="6:6">
      <c r="F58102" s="2423"/>
    </row>
    <row r="58103" s="101" customFormat="1" spans="6:6">
      <c r="F58103" s="2423"/>
    </row>
    <row r="58104" s="101" customFormat="1" spans="6:6">
      <c r="F58104" s="2423"/>
    </row>
    <row r="58105" s="101" customFormat="1" spans="6:6">
      <c r="F58105" s="2423"/>
    </row>
    <row r="58106" s="101" customFormat="1" spans="6:6">
      <c r="F58106" s="2423"/>
    </row>
    <row r="58107" s="101" customFormat="1" spans="6:6">
      <c r="F58107" s="2423"/>
    </row>
    <row r="58108" s="101" customFormat="1" spans="6:6">
      <c r="F58108" s="2423"/>
    </row>
    <row r="58109" s="101" customFormat="1" spans="6:6">
      <c r="F58109" s="2423"/>
    </row>
    <row r="58110" s="101" customFormat="1" spans="6:6">
      <c r="F58110" s="2423"/>
    </row>
    <row r="58111" s="101" customFormat="1" spans="6:6">
      <c r="F58111" s="2423"/>
    </row>
    <row r="58112" s="101" customFormat="1" spans="6:6">
      <c r="F58112" s="2423"/>
    </row>
    <row r="58113" s="101" customFormat="1" spans="6:6">
      <c r="F58113" s="2423"/>
    </row>
    <row r="58114" s="101" customFormat="1" spans="6:6">
      <c r="F58114" s="2423"/>
    </row>
    <row r="58115" s="101" customFormat="1" spans="6:6">
      <c r="F58115" s="2423"/>
    </row>
    <row r="58116" s="101" customFormat="1" spans="6:6">
      <c r="F58116" s="2423"/>
    </row>
    <row r="58117" s="101" customFormat="1" spans="6:6">
      <c r="F58117" s="2423"/>
    </row>
    <row r="58118" s="101" customFormat="1" spans="6:6">
      <c r="F58118" s="2423"/>
    </row>
    <row r="58119" s="101" customFormat="1" spans="6:6">
      <c r="F58119" s="2423"/>
    </row>
    <row r="58120" s="101" customFormat="1" spans="6:6">
      <c r="F58120" s="2423"/>
    </row>
    <row r="58121" s="101" customFormat="1" spans="6:6">
      <c r="F58121" s="2423"/>
    </row>
    <row r="58122" s="101" customFormat="1" spans="6:6">
      <c r="F58122" s="2423"/>
    </row>
    <row r="58123" s="101" customFormat="1" spans="6:6">
      <c r="F58123" s="2423"/>
    </row>
    <row r="58124" s="101" customFormat="1" spans="6:6">
      <c r="F58124" s="2423"/>
    </row>
    <row r="58125" s="101" customFormat="1" spans="6:6">
      <c r="F58125" s="2423"/>
    </row>
    <row r="58126" s="101" customFormat="1" spans="6:6">
      <c r="F58126" s="2423"/>
    </row>
    <row r="58127" s="101" customFormat="1" spans="6:6">
      <c r="F58127" s="2423"/>
    </row>
    <row r="58128" s="101" customFormat="1" spans="6:6">
      <c r="F58128" s="2423"/>
    </row>
    <row r="58129" s="101" customFormat="1" spans="6:6">
      <c r="F58129" s="2423"/>
    </row>
    <row r="58130" s="101" customFormat="1" spans="6:6">
      <c r="F58130" s="2423"/>
    </row>
    <row r="58131" s="101" customFormat="1" spans="6:6">
      <c r="F58131" s="2423"/>
    </row>
    <row r="58132" s="101" customFormat="1" spans="6:6">
      <c r="F58132" s="2423"/>
    </row>
    <row r="58133" s="101" customFormat="1" spans="6:6">
      <c r="F58133" s="2423"/>
    </row>
    <row r="58134" s="101" customFormat="1" spans="6:6">
      <c r="F58134" s="2423"/>
    </row>
    <row r="58135" s="101" customFormat="1" spans="6:6">
      <c r="F58135" s="2423"/>
    </row>
    <row r="58136" s="101" customFormat="1" spans="6:6">
      <c r="F58136" s="2423"/>
    </row>
    <row r="58137" s="101" customFormat="1" spans="6:6">
      <c r="F58137" s="2423"/>
    </row>
    <row r="58138" s="101" customFormat="1" spans="6:6">
      <c r="F58138" s="2423"/>
    </row>
    <row r="58139" s="101" customFormat="1" spans="6:6">
      <c r="F58139" s="2423"/>
    </row>
    <row r="58140" s="101" customFormat="1" spans="6:6">
      <c r="F58140" s="2423"/>
    </row>
    <row r="58141" s="101" customFormat="1" spans="6:6">
      <c r="F58141" s="2423"/>
    </row>
    <row r="58142" s="101" customFormat="1" spans="6:6">
      <c r="F58142" s="2423"/>
    </row>
    <row r="58143" s="101" customFormat="1" spans="6:6">
      <c r="F58143" s="2423"/>
    </row>
    <row r="58144" s="101" customFormat="1" spans="6:6">
      <c r="F58144" s="2423"/>
    </row>
    <row r="58145" s="101" customFormat="1" spans="6:6">
      <c r="F58145" s="2423"/>
    </row>
    <row r="58146" s="101" customFormat="1" spans="6:6">
      <c r="F58146" s="2423"/>
    </row>
    <row r="58147" s="101" customFormat="1" spans="6:6">
      <c r="F58147" s="2423"/>
    </row>
    <row r="58148" s="101" customFormat="1" spans="6:6">
      <c r="F58148" s="2423"/>
    </row>
    <row r="58149" s="101" customFormat="1" spans="6:6">
      <c r="F58149" s="2423"/>
    </row>
    <row r="58150" s="101" customFormat="1" spans="6:6">
      <c r="F58150" s="2423"/>
    </row>
    <row r="58151" s="101" customFormat="1" spans="6:6">
      <c r="F58151" s="2423"/>
    </row>
    <row r="58152" s="101" customFormat="1" spans="6:6">
      <c r="F58152" s="2423"/>
    </row>
    <row r="58153" s="101" customFormat="1" spans="6:6">
      <c r="F58153" s="2423"/>
    </row>
    <row r="58154" s="101" customFormat="1" spans="6:6">
      <c r="F58154" s="2423"/>
    </row>
    <row r="58155" s="101" customFormat="1" spans="6:6">
      <c r="F58155" s="2423"/>
    </row>
    <row r="58156" s="101" customFormat="1" spans="6:6">
      <c r="F58156" s="2423"/>
    </row>
    <row r="58157" s="101" customFormat="1" spans="6:6">
      <c r="F58157" s="2423"/>
    </row>
    <row r="58158" s="101" customFormat="1" spans="6:6">
      <c r="F58158" s="2423"/>
    </row>
    <row r="58159" s="101" customFormat="1" spans="6:6">
      <c r="F58159" s="2423"/>
    </row>
    <row r="58160" s="101" customFormat="1" spans="6:6">
      <c r="F58160" s="2423"/>
    </row>
    <row r="58161" s="101" customFormat="1" spans="6:6">
      <c r="F58161" s="2423"/>
    </row>
    <row r="58162" s="101" customFormat="1" spans="6:6">
      <c r="F58162" s="2423"/>
    </row>
    <row r="58163" s="101" customFormat="1" spans="6:6">
      <c r="F58163" s="2423"/>
    </row>
    <row r="58164" s="101" customFormat="1" spans="6:6">
      <c r="F58164" s="2423"/>
    </row>
    <row r="58165" s="101" customFormat="1" spans="6:6">
      <c r="F58165" s="2423"/>
    </row>
    <row r="58166" s="101" customFormat="1" spans="6:6">
      <c r="F58166" s="2423"/>
    </row>
    <row r="58167" s="101" customFormat="1" spans="6:6">
      <c r="F58167" s="2423"/>
    </row>
    <row r="58168" s="101" customFormat="1" spans="6:6">
      <c r="F58168" s="2423"/>
    </row>
    <row r="58169" s="101" customFormat="1" spans="6:6">
      <c r="F58169" s="2423"/>
    </row>
    <row r="58170" s="101" customFormat="1" spans="6:6">
      <c r="F58170" s="2423"/>
    </row>
    <row r="58171" s="101" customFormat="1" spans="6:6">
      <c r="F58171" s="2423"/>
    </row>
    <row r="58172" s="101" customFormat="1" spans="6:6">
      <c r="F58172" s="2423"/>
    </row>
    <row r="58173" s="101" customFormat="1" spans="6:6">
      <c r="F58173" s="2423"/>
    </row>
    <row r="58174" s="101" customFormat="1" spans="6:6">
      <c r="F58174" s="2423"/>
    </row>
    <row r="58175" s="101" customFormat="1" spans="6:6">
      <c r="F58175" s="2423"/>
    </row>
    <row r="58176" s="101" customFormat="1" spans="6:6">
      <c r="F58176" s="2423"/>
    </row>
    <row r="58177" s="101" customFormat="1" spans="6:6">
      <c r="F58177" s="2423"/>
    </row>
    <row r="58178" s="101" customFormat="1" spans="6:6">
      <c r="F58178" s="2423"/>
    </row>
    <row r="58179" s="101" customFormat="1" spans="6:6">
      <c r="F58179" s="2423"/>
    </row>
    <row r="58180" s="101" customFormat="1" spans="6:6">
      <c r="F58180" s="2423"/>
    </row>
    <row r="58181" s="101" customFormat="1" spans="6:6">
      <c r="F58181" s="2423"/>
    </row>
    <row r="58182" s="101" customFormat="1" spans="6:6">
      <c r="F58182" s="2423"/>
    </row>
    <row r="58183" s="101" customFormat="1" spans="6:6">
      <c r="F58183" s="2423"/>
    </row>
    <row r="58184" s="101" customFormat="1" spans="6:6">
      <c r="F58184" s="2423"/>
    </row>
    <row r="58185" s="101" customFormat="1" spans="6:6">
      <c r="F58185" s="2423"/>
    </row>
    <row r="58186" s="101" customFormat="1" spans="6:6">
      <c r="F58186" s="2423"/>
    </row>
    <row r="58187" s="101" customFormat="1" spans="6:6">
      <c r="F58187" s="2423"/>
    </row>
    <row r="58188" s="101" customFormat="1" spans="6:6">
      <c r="F58188" s="2423"/>
    </row>
    <row r="58189" s="101" customFormat="1" spans="6:6">
      <c r="F58189" s="2423"/>
    </row>
    <row r="58190" s="101" customFormat="1" spans="6:6">
      <c r="F58190" s="2423"/>
    </row>
    <row r="58191" s="101" customFormat="1" spans="6:6">
      <c r="F58191" s="2423"/>
    </row>
    <row r="58192" s="101" customFormat="1" spans="6:6">
      <c r="F58192" s="2423"/>
    </row>
    <row r="58193" s="101" customFormat="1" spans="6:6">
      <c r="F58193" s="2423"/>
    </row>
    <row r="58194" s="101" customFormat="1" spans="6:6">
      <c r="F58194" s="2423"/>
    </row>
    <row r="58195" s="101" customFormat="1" spans="6:6">
      <c r="F58195" s="2423"/>
    </row>
    <row r="58196" s="101" customFormat="1" spans="6:6">
      <c r="F58196" s="2423"/>
    </row>
    <row r="58197" s="101" customFormat="1" spans="6:6">
      <c r="F58197" s="2423"/>
    </row>
    <row r="58198" s="101" customFormat="1" spans="6:6">
      <c r="F58198" s="2423"/>
    </row>
    <row r="58199" s="101" customFormat="1" spans="6:6">
      <c r="F58199" s="2423"/>
    </row>
    <row r="58200" s="101" customFormat="1" spans="6:6">
      <c r="F58200" s="2423"/>
    </row>
    <row r="58201" s="101" customFormat="1" spans="6:6">
      <c r="F58201" s="2423"/>
    </row>
    <row r="58202" s="101" customFormat="1" spans="6:6">
      <c r="F58202" s="2423"/>
    </row>
    <row r="58203" s="101" customFormat="1" spans="6:6">
      <c r="F58203" s="2423"/>
    </row>
    <row r="58204" s="101" customFormat="1" spans="6:6">
      <c r="F58204" s="2423"/>
    </row>
    <row r="58205" s="101" customFormat="1" spans="6:6">
      <c r="F58205" s="2423"/>
    </row>
    <row r="58206" s="101" customFormat="1" spans="6:6">
      <c r="F58206" s="2423"/>
    </row>
    <row r="58207" s="101" customFormat="1" spans="6:6">
      <c r="F58207" s="2423"/>
    </row>
    <row r="58208" s="101" customFormat="1" spans="6:6">
      <c r="F58208" s="2423"/>
    </row>
    <row r="58209" s="101" customFormat="1" spans="6:6">
      <c r="F58209" s="2423"/>
    </row>
    <row r="58210" s="101" customFormat="1" spans="6:6">
      <c r="F58210" s="2423"/>
    </row>
    <row r="58211" s="101" customFormat="1" spans="6:6">
      <c r="F58211" s="2423"/>
    </row>
    <row r="58212" s="101" customFormat="1" spans="6:6">
      <c r="F58212" s="2423"/>
    </row>
    <row r="58213" s="101" customFormat="1" spans="6:6">
      <c r="F58213" s="2423"/>
    </row>
    <row r="58214" s="101" customFormat="1" spans="6:6">
      <c r="F58214" s="2423"/>
    </row>
    <row r="58215" s="101" customFormat="1" spans="6:6">
      <c r="F58215" s="2423"/>
    </row>
    <row r="58216" s="101" customFormat="1" spans="6:6">
      <c r="F58216" s="2423"/>
    </row>
    <row r="58217" s="101" customFormat="1" spans="6:6">
      <c r="F58217" s="2423"/>
    </row>
    <row r="58218" s="101" customFormat="1" spans="6:6">
      <c r="F58218" s="2423"/>
    </row>
    <row r="58219" s="101" customFormat="1" spans="6:6">
      <c r="F58219" s="2423"/>
    </row>
    <row r="58220" s="101" customFormat="1" spans="6:6">
      <c r="F58220" s="2423"/>
    </row>
    <row r="58221" s="101" customFormat="1" spans="6:6">
      <c r="F58221" s="2423"/>
    </row>
    <row r="58222" s="101" customFormat="1" spans="6:6">
      <c r="F58222" s="2423"/>
    </row>
    <row r="58223" s="101" customFormat="1" spans="6:6">
      <c r="F58223" s="2423"/>
    </row>
    <row r="58224" s="101" customFormat="1" spans="6:6">
      <c r="F58224" s="2423"/>
    </row>
    <row r="58225" s="101" customFormat="1" spans="6:6">
      <c r="F58225" s="2423"/>
    </row>
    <row r="58226" s="101" customFormat="1" spans="6:6">
      <c r="F58226" s="2423"/>
    </row>
    <row r="58227" s="101" customFormat="1" spans="6:6">
      <c r="F58227" s="2423"/>
    </row>
    <row r="58228" s="101" customFormat="1" spans="6:6">
      <c r="F58228" s="2423"/>
    </row>
    <row r="58229" s="101" customFormat="1" spans="6:6">
      <c r="F58229" s="2423"/>
    </row>
    <row r="58230" s="101" customFormat="1" spans="6:6">
      <c r="F58230" s="2423"/>
    </row>
    <row r="58231" s="101" customFormat="1" spans="6:6">
      <c r="F58231" s="2423"/>
    </row>
    <row r="58232" s="101" customFormat="1" spans="6:6">
      <c r="F58232" s="2423"/>
    </row>
    <row r="58233" s="101" customFormat="1" spans="6:6">
      <c r="F58233" s="2423"/>
    </row>
    <row r="58234" s="101" customFormat="1" spans="6:6">
      <c r="F58234" s="2423"/>
    </row>
    <row r="58235" s="101" customFormat="1" spans="6:6">
      <c r="F58235" s="2423"/>
    </row>
    <row r="58236" s="101" customFormat="1" spans="6:6">
      <c r="F58236" s="2423"/>
    </row>
    <row r="58237" s="101" customFormat="1" spans="6:6">
      <c r="F58237" s="2423"/>
    </row>
    <row r="58238" s="101" customFormat="1" spans="6:6">
      <c r="F58238" s="2423"/>
    </row>
    <row r="58239" s="101" customFormat="1" spans="6:6">
      <c r="F58239" s="2423"/>
    </row>
    <row r="58240" s="101" customFormat="1" spans="6:6">
      <c r="F58240" s="2423"/>
    </row>
    <row r="58241" s="101" customFormat="1" spans="6:6">
      <c r="F58241" s="2423"/>
    </row>
    <row r="58242" s="101" customFormat="1" spans="6:6">
      <c r="F58242" s="2423"/>
    </row>
    <row r="58243" s="101" customFormat="1" spans="6:6">
      <c r="F58243" s="2423"/>
    </row>
    <row r="58244" s="101" customFormat="1" spans="6:6">
      <c r="F58244" s="2423"/>
    </row>
    <row r="58245" s="101" customFormat="1" spans="6:6">
      <c r="F58245" s="2423"/>
    </row>
    <row r="58246" s="101" customFormat="1" spans="6:6">
      <c r="F58246" s="2423"/>
    </row>
    <row r="58247" s="101" customFormat="1" spans="6:6">
      <c r="F58247" s="2423"/>
    </row>
    <row r="58248" s="101" customFormat="1" spans="6:6">
      <c r="F58248" s="2423"/>
    </row>
    <row r="58249" s="101" customFormat="1" spans="6:6">
      <c r="F58249" s="2423"/>
    </row>
    <row r="58250" s="101" customFormat="1" spans="6:6">
      <c r="F58250" s="2423"/>
    </row>
    <row r="58251" s="101" customFormat="1" spans="6:6">
      <c r="F58251" s="2423"/>
    </row>
    <row r="58252" s="101" customFormat="1" spans="6:6">
      <c r="F58252" s="2423"/>
    </row>
    <row r="58253" s="101" customFormat="1" spans="6:6">
      <c r="F58253" s="2423"/>
    </row>
    <row r="58254" s="101" customFormat="1" spans="6:6">
      <c r="F58254" s="2423"/>
    </row>
    <row r="58255" s="101" customFormat="1" spans="6:6">
      <c r="F58255" s="2423"/>
    </row>
    <row r="58256" s="101" customFormat="1" spans="6:6">
      <c r="F58256" s="2423"/>
    </row>
    <row r="58257" s="101" customFormat="1" spans="6:6">
      <c r="F58257" s="2423"/>
    </row>
    <row r="58258" s="101" customFormat="1" spans="6:6">
      <c r="F58258" s="2423"/>
    </row>
    <row r="58259" s="101" customFormat="1" spans="6:6">
      <c r="F58259" s="2423"/>
    </row>
    <row r="58260" s="101" customFormat="1" spans="6:6">
      <c r="F58260" s="2423"/>
    </row>
    <row r="58261" s="101" customFormat="1" spans="6:6">
      <c r="F58261" s="2423"/>
    </row>
    <row r="58262" s="101" customFormat="1" spans="6:6">
      <c r="F58262" s="2423"/>
    </row>
    <row r="58263" s="101" customFormat="1" spans="6:6">
      <c r="F58263" s="2423"/>
    </row>
    <row r="58264" s="101" customFormat="1" spans="6:6">
      <c r="F58264" s="2423"/>
    </row>
    <row r="58265" s="101" customFormat="1" spans="6:6">
      <c r="F58265" s="2423"/>
    </row>
    <row r="58266" s="101" customFormat="1" spans="6:6">
      <c r="F58266" s="2423"/>
    </row>
    <row r="58267" s="101" customFormat="1" spans="6:6">
      <c r="F58267" s="2423"/>
    </row>
    <row r="58268" s="101" customFormat="1" spans="6:6">
      <c r="F58268" s="2423"/>
    </row>
    <row r="58269" s="101" customFormat="1" spans="6:6">
      <c r="F58269" s="2423"/>
    </row>
    <row r="58270" s="101" customFormat="1" spans="6:6">
      <c r="F58270" s="2423"/>
    </row>
    <row r="58271" s="101" customFormat="1" spans="6:6">
      <c r="F58271" s="2423"/>
    </row>
    <row r="58272" s="101" customFormat="1" spans="6:6">
      <c r="F58272" s="2423"/>
    </row>
    <row r="58273" s="101" customFormat="1" spans="6:6">
      <c r="F58273" s="2423"/>
    </row>
    <row r="58274" s="101" customFormat="1" spans="6:6">
      <c r="F58274" s="2423"/>
    </row>
    <row r="58275" s="101" customFormat="1" spans="6:6">
      <c r="F58275" s="2423"/>
    </row>
    <row r="58276" s="101" customFormat="1" spans="6:6">
      <c r="F58276" s="2423"/>
    </row>
    <row r="58277" s="101" customFormat="1" spans="6:6">
      <c r="F58277" s="2423"/>
    </row>
    <row r="58278" s="101" customFormat="1" spans="6:6">
      <c r="F58278" s="2423"/>
    </row>
    <row r="58279" s="101" customFormat="1" spans="6:6">
      <c r="F58279" s="2423"/>
    </row>
    <row r="58280" s="101" customFormat="1" spans="6:6">
      <c r="F58280" s="2423"/>
    </row>
    <row r="58281" s="101" customFormat="1" spans="6:6">
      <c r="F58281" s="2423"/>
    </row>
    <row r="58282" s="101" customFormat="1" spans="6:6">
      <c r="F58282" s="2423"/>
    </row>
    <row r="58283" s="101" customFormat="1" spans="6:6">
      <c r="F58283" s="2423"/>
    </row>
    <row r="58284" s="101" customFormat="1" spans="6:6">
      <c r="F58284" s="2423"/>
    </row>
    <row r="58285" s="101" customFormat="1" spans="6:6">
      <c r="F58285" s="2423"/>
    </row>
    <row r="58286" s="101" customFormat="1" spans="6:6">
      <c r="F58286" s="2423"/>
    </row>
    <row r="58287" s="101" customFormat="1" spans="6:6">
      <c r="F58287" s="2423"/>
    </row>
    <row r="58288" s="101" customFormat="1" spans="6:6">
      <c r="F58288" s="2423"/>
    </row>
    <row r="58289" s="101" customFormat="1" spans="6:6">
      <c r="F58289" s="2423"/>
    </row>
    <row r="58290" s="101" customFormat="1" spans="6:6">
      <c r="F58290" s="2423"/>
    </row>
    <row r="58291" s="101" customFormat="1" spans="6:6">
      <c r="F58291" s="2423"/>
    </row>
    <row r="58292" s="101" customFormat="1" spans="6:6">
      <c r="F58292" s="2423"/>
    </row>
    <row r="58293" s="101" customFormat="1" spans="6:6">
      <c r="F58293" s="2423"/>
    </row>
    <row r="58294" s="101" customFormat="1" spans="6:6">
      <c r="F58294" s="2423"/>
    </row>
    <row r="58295" s="101" customFormat="1" spans="6:6">
      <c r="F58295" s="2423"/>
    </row>
    <row r="58296" s="101" customFormat="1" spans="6:6">
      <c r="F58296" s="2423"/>
    </row>
    <row r="58297" s="101" customFormat="1" spans="6:6">
      <c r="F58297" s="2423"/>
    </row>
    <row r="58298" s="101" customFormat="1" spans="6:6">
      <c r="F58298" s="2423"/>
    </row>
    <row r="58299" s="101" customFormat="1" spans="6:6">
      <c r="F58299" s="2423"/>
    </row>
    <row r="58300" s="101" customFormat="1" spans="6:6">
      <c r="F58300" s="2423"/>
    </row>
    <row r="58301" s="101" customFormat="1" spans="6:6">
      <c r="F58301" s="2423"/>
    </row>
    <row r="58302" s="101" customFormat="1" spans="6:6">
      <c r="F58302" s="2423"/>
    </row>
    <row r="58303" s="101" customFormat="1" spans="6:6">
      <c r="F58303" s="2423"/>
    </row>
    <row r="58304" s="101" customFormat="1" spans="6:6">
      <c r="F58304" s="2423"/>
    </row>
    <row r="58305" s="101" customFormat="1" spans="6:6">
      <c r="F58305" s="2423"/>
    </row>
    <row r="58306" s="101" customFormat="1" spans="6:6">
      <c r="F58306" s="2423"/>
    </row>
    <row r="58307" s="101" customFormat="1" spans="6:6">
      <c r="F58307" s="2423"/>
    </row>
    <row r="58308" s="101" customFormat="1" spans="6:6">
      <c r="F58308" s="2423"/>
    </row>
    <row r="58309" s="101" customFormat="1" spans="6:6">
      <c r="F58309" s="2423"/>
    </row>
    <row r="58310" s="101" customFormat="1" spans="6:6">
      <c r="F58310" s="2423"/>
    </row>
    <row r="58311" s="101" customFormat="1" spans="6:6">
      <c r="F58311" s="2423"/>
    </row>
    <row r="58312" s="101" customFormat="1" spans="6:6">
      <c r="F58312" s="2423"/>
    </row>
    <row r="58313" s="101" customFormat="1" spans="6:6">
      <c r="F58313" s="2423"/>
    </row>
    <row r="58314" s="101" customFormat="1" spans="6:6">
      <c r="F58314" s="2423"/>
    </row>
    <row r="58315" s="101" customFormat="1" spans="6:6">
      <c r="F58315" s="2423"/>
    </row>
    <row r="58316" s="101" customFormat="1" spans="6:6">
      <c r="F58316" s="2423"/>
    </row>
    <row r="58317" s="101" customFormat="1" spans="6:6">
      <c r="F58317" s="2423"/>
    </row>
    <row r="58318" s="101" customFormat="1" spans="6:6">
      <c r="F58318" s="2423"/>
    </row>
    <row r="58319" s="101" customFormat="1" spans="6:6">
      <c r="F58319" s="2423"/>
    </row>
    <row r="58320" s="101" customFormat="1" spans="6:6">
      <c r="F58320" s="2423"/>
    </row>
    <row r="58321" s="101" customFormat="1" spans="6:6">
      <c r="F58321" s="2423"/>
    </row>
    <row r="58322" s="101" customFormat="1" spans="6:6">
      <c r="F58322" s="2423"/>
    </row>
    <row r="58323" s="101" customFormat="1" spans="6:6">
      <c r="F58323" s="2423"/>
    </row>
    <row r="58324" s="101" customFormat="1" spans="6:6">
      <c r="F58324" s="2423"/>
    </row>
    <row r="58325" s="101" customFormat="1" spans="6:6">
      <c r="F58325" s="2423"/>
    </row>
    <row r="58326" s="101" customFormat="1" spans="6:6">
      <c r="F58326" s="2423"/>
    </row>
    <row r="58327" s="101" customFormat="1" spans="6:6">
      <c r="F58327" s="2423"/>
    </row>
    <row r="58328" s="101" customFormat="1" spans="6:6">
      <c r="F58328" s="2423"/>
    </row>
    <row r="58329" s="101" customFormat="1" spans="6:6">
      <c r="F58329" s="2423"/>
    </row>
    <row r="58330" s="101" customFormat="1" spans="6:6">
      <c r="F58330" s="2423"/>
    </row>
    <row r="58331" s="101" customFormat="1" spans="6:6">
      <c r="F58331" s="2423"/>
    </row>
    <row r="58332" s="101" customFormat="1" spans="6:6">
      <c r="F58332" s="2423"/>
    </row>
    <row r="58333" s="101" customFormat="1" spans="6:6">
      <c r="F58333" s="2423"/>
    </row>
    <row r="58334" s="101" customFormat="1" spans="6:6">
      <c r="F58334" s="2423"/>
    </row>
    <row r="58335" s="101" customFormat="1" spans="6:6">
      <c r="F58335" s="2423"/>
    </row>
    <row r="58336" s="101" customFormat="1" spans="6:6">
      <c r="F58336" s="2423"/>
    </row>
    <row r="58337" s="101" customFormat="1" spans="6:6">
      <c r="F58337" s="2423"/>
    </row>
    <row r="58338" s="101" customFormat="1" spans="6:6">
      <c r="F58338" s="2423"/>
    </row>
    <row r="58339" s="101" customFormat="1" spans="6:6">
      <c r="F58339" s="2423"/>
    </row>
    <row r="58340" s="101" customFormat="1" spans="6:6">
      <c r="F58340" s="2423"/>
    </row>
    <row r="58341" s="101" customFormat="1" spans="6:6">
      <c r="F58341" s="2423"/>
    </row>
    <row r="58342" s="101" customFormat="1" spans="6:6">
      <c r="F58342" s="2423"/>
    </row>
    <row r="58343" s="101" customFormat="1" spans="6:6">
      <c r="F58343" s="2423"/>
    </row>
    <row r="58344" s="101" customFormat="1" spans="6:6">
      <c r="F58344" s="2423"/>
    </row>
    <row r="58345" s="101" customFormat="1" spans="6:6">
      <c r="F58345" s="2423"/>
    </row>
    <row r="58346" s="101" customFormat="1" spans="6:6">
      <c r="F58346" s="2423"/>
    </row>
    <row r="58347" s="101" customFormat="1" spans="6:6">
      <c r="F58347" s="2423"/>
    </row>
    <row r="58348" s="101" customFormat="1" spans="6:6">
      <c r="F58348" s="2423"/>
    </row>
    <row r="58349" s="101" customFormat="1" spans="6:6">
      <c r="F58349" s="2423"/>
    </row>
    <row r="58350" s="101" customFormat="1" spans="6:6">
      <c r="F58350" s="2423"/>
    </row>
    <row r="58351" s="101" customFormat="1" spans="6:6">
      <c r="F58351" s="2423"/>
    </row>
    <row r="58352" s="101" customFormat="1" spans="6:6">
      <c r="F58352" s="2423"/>
    </row>
    <row r="58353" s="101" customFormat="1" spans="6:6">
      <c r="F58353" s="2423"/>
    </row>
    <row r="58354" s="101" customFormat="1" spans="6:6">
      <c r="F58354" s="2423"/>
    </row>
    <row r="58355" s="101" customFormat="1" spans="6:6">
      <c r="F58355" s="2423"/>
    </row>
    <row r="58356" s="101" customFormat="1" spans="6:6">
      <c r="F58356" s="2423"/>
    </row>
    <row r="58357" s="101" customFormat="1" spans="6:6">
      <c r="F58357" s="2423"/>
    </row>
    <row r="58358" s="101" customFormat="1" spans="6:6">
      <c r="F58358" s="2423"/>
    </row>
    <row r="58359" s="101" customFormat="1" spans="6:6">
      <c r="F58359" s="2423"/>
    </row>
    <row r="58360" s="101" customFormat="1" spans="6:6">
      <c r="F58360" s="2423"/>
    </row>
    <row r="58361" s="101" customFormat="1" spans="6:6">
      <c r="F58361" s="2423"/>
    </row>
    <row r="58362" s="101" customFormat="1" spans="6:6">
      <c r="F58362" s="2423"/>
    </row>
    <row r="58363" s="101" customFormat="1" spans="6:6">
      <c r="F58363" s="2423"/>
    </row>
    <row r="58364" s="101" customFormat="1" spans="6:6">
      <c r="F58364" s="2423"/>
    </row>
    <row r="58365" s="101" customFormat="1" spans="6:6">
      <c r="F58365" s="2423"/>
    </row>
    <row r="58366" s="101" customFormat="1" spans="6:6">
      <c r="F58366" s="2423"/>
    </row>
    <row r="58367" s="101" customFormat="1" spans="6:6">
      <c r="F58367" s="2423"/>
    </row>
    <row r="58368" s="101" customFormat="1" spans="6:6">
      <c r="F58368" s="2423"/>
    </row>
    <row r="58369" s="101" customFormat="1" spans="6:6">
      <c r="F58369" s="2423"/>
    </row>
    <row r="58370" s="101" customFormat="1" spans="6:6">
      <c r="F58370" s="2423"/>
    </row>
    <row r="58371" s="101" customFormat="1" spans="6:6">
      <c r="F58371" s="2423"/>
    </row>
    <row r="58372" s="101" customFormat="1" spans="6:6">
      <c r="F58372" s="2423"/>
    </row>
    <row r="58373" s="101" customFormat="1" spans="6:6">
      <c r="F58373" s="2423"/>
    </row>
    <row r="58374" s="101" customFormat="1" spans="6:6">
      <c r="F58374" s="2423"/>
    </row>
    <row r="58375" s="101" customFormat="1" spans="6:6">
      <c r="F58375" s="2423"/>
    </row>
    <row r="58376" s="101" customFormat="1" spans="6:6">
      <c r="F58376" s="2423"/>
    </row>
    <row r="58377" s="101" customFormat="1" spans="6:6">
      <c r="F58377" s="2423"/>
    </row>
    <row r="58378" s="101" customFormat="1" spans="6:6">
      <c r="F58378" s="2423"/>
    </row>
    <row r="58379" s="101" customFormat="1" spans="6:6">
      <c r="F58379" s="2423"/>
    </row>
    <row r="58380" s="101" customFormat="1" spans="6:6">
      <c r="F58380" s="2423"/>
    </row>
    <row r="58381" s="101" customFormat="1" spans="6:6">
      <c r="F58381" s="2423"/>
    </row>
    <row r="58382" s="101" customFormat="1" spans="6:6">
      <c r="F58382" s="2423"/>
    </row>
    <row r="58383" s="101" customFormat="1" spans="6:6">
      <c r="F58383" s="2423"/>
    </row>
    <row r="58384" s="101" customFormat="1" spans="6:6">
      <c r="F58384" s="2423"/>
    </row>
    <row r="58385" s="101" customFormat="1" spans="6:6">
      <c r="F58385" s="2423"/>
    </row>
    <row r="58386" s="101" customFormat="1" spans="6:6">
      <c r="F58386" s="2423"/>
    </row>
    <row r="58387" s="101" customFormat="1" spans="6:6">
      <c r="F58387" s="2423"/>
    </row>
    <row r="58388" s="101" customFormat="1" spans="6:6">
      <c r="F58388" s="2423"/>
    </row>
    <row r="58389" s="101" customFormat="1" spans="6:6">
      <c r="F58389" s="2423"/>
    </row>
    <row r="58390" s="101" customFormat="1" spans="6:6">
      <c r="F58390" s="2423"/>
    </row>
    <row r="58391" s="101" customFormat="1" spans="6:6">
      <c r="F58391" s="2423"/>
    </row>
    <row r="58392" s="101" customFormat="1" spans="6:6">
      <c r="F58392" s="2423"/>
    </row>
    <row r="58393" s="101" customFormat="1" spans="6:6">
      <c r="F58393" s="2423"/>
    </row>
    <row r="58394" s="101" customFormat="1" spans="6:6">
      <c r="F58394" s="2423"/>
    </row>
    <row r="58395" s="101" customFormat="1" spans="6:6">
      <c r="F58395" s="2423"/>
    </row>
    <row r="58396" s="101" customFormat="1" spans="6:6">
      <c r="F58396" s="2423"/>
    </row>
    <row r="58397" s="101" customFormat="1" spans="6:6">
      <c r="F58397" s="2423"/>
    </row>
    <row r="58398" s="101" customFormat="1" spans="6:6">
      <c r="F58398" s="2423"/>
    </row>
    <row r="58399" s="101" customFormat="1" spans="6:6">
      <c r="F58399" s="2423"/>
    </row>
    <row r="58400" s="101" customFormat="1" spans="6:6">
      <c r="F58400" s="2423"/>
    </row>
    <row r="58401" s="101" customFormat="1" spans="6:6">
      <c r="F58401" s="2423"/>
    </row>
    <row r="58402" s="101" customFormat="1" spans="6:6">
      <c r="F58402" s="2423"/>
    </row>
    <row r="58403" s="101" customFormat="1" spans="6:6">
      <c r="F58403" s="2423"/>
    </row>
    <row r="58404" s="101" customFormat="1" spans="6:6">
      <c r="F58404" s="2423"/>
    </row>
    <row r="58405" s="101" customFormat="1" spans="6:6">
      <c r="F58405" s="2423"/>
    </row>
    <row r="58406" s="101" customFormat="1" spans="6:6">
      <c r="F58406" s="2423"/>
    </row>
    <row r="58407" s="101" customFormat="1" spans="6:6">
      <c r="F58407" s="2423"/>
    </row>
    <row r="58408" s="101" customFormat="1" spans="6:6">
      <c r="F58408" s="2423"/>
    </row>
    <row r="58409" s="101" customFormat="1" spans="6:6">
      <c r="F58409" s="2423"/>
    </row>
    <row r="58410" s="101" customFormat="1" spans="6:6">
      <c r="F58410" s="2423"/>
    </row>
    <row r="58411" s="101" customFormat="1" spans="6:6">
      <c r="F58411" s="2423"/>
    </row>
    <row r="58412" s="101" customFormat="1" spans="6:6">
      <c r="F58412" s="2423"/>
    </row>
    <row r="58413" s="101" customFormat="1" spans="6:6">
      <c r="F58413" s="2423"/>
    </row>
    <row r="58414" s="101" customFormat="1" spans="6:6">
      <c r="F58414" s="2423"/>
    </row>
    <row r="58415" s="101" customFormat="1" spans="6:6">
      <c r="F58415" s="2423"/>
    </row>
    <row r="58416" s="101" customFormat="1" spans="6:6">
      <c r="F58416" s="2423"/>
    </row>
    <row r="58417" s="101" customFormat="1" spans="6:6">
      <c r="F58417" s="2423"/>
    </row>
    <row r="58418" s="101" customFormat="1" spans="6:6">
      <c r="F58418" s="2423"/>
    </row>
    <row r="58419" s="101" customFormat="1" spans="6:6">
      <c r="F58419" s="2423"/>
    </row>
    <row r="58420" s="101" customFormat="1" spans="6:6">
      <c r="F58420" s="2423"/>
    </row>
    <row r="58421" s="101" customFormat="1" spans="6:6">
      <c r="F58421" s="2423"/>
    </row>
    <row r="58422" s="101" customFormat="1" spans="6:6">
      <c r="F58422" s="2423"/>
    </row>
    <row r="58423" s="101" customFormat="1" spans="6:6">
      <c r="F58423" s="2423"/>
    </row>
    <row r="58424" s="101" customFormat="1" spans="6:6">
      <c r="F58424" s="2423"/>
    </row>
    <row r="58425" s="101" customFormat="1" spans="6:6">
      <c r="F58425" s="2423"/>
    </row>
    <row r="58426" s="101" customFormat="1" spans="6:6">
      <c r="F58426" s="2423"/>
    </row>
    <row r="58427" s="101" customFormat="1" spans="6:6">
      <c r="F58427" s="2423"/>
    </row>
    <row r="58428" s="101" customFormat="1" spans="6:6">
      <c r="F58428" s="2423"/>
    </row>
    <row r="58429" s="101" customFormat="1" spans="6:6">
      <c r="F58429" s="2423"/>
    </row>
    <row r="58430" s="101" customFormat="1" spans="6:6">
      <c r="F58430" s="2423"/>
    </row>
    <row r="58431" s="101" customFormat="1" spans="6:6">
      <c r="F58431" s="2423"/>
    </row>
    <row r="58432" s="101" customFormat="1" spans="6:6">
      <c r="F58432" s="2423"/>
    </row>
    <row r="58433" s="101" customFormat="1" spans="6:6">
      <c r="F58433" s="2423"/>
    </row>
    <row r="58434" s="101" customFormat="1" spans="6:6">
      <c r="F58434" s="2423"/>
    </row>
    <row r="58435" s="101" customFormat="1" spans="6:6">
      <c r="F58435" s="2423"/>
    </row>
    <row r="58436" s="101" customFormat="1" spans="6:6">
      <c r="F58436" s="2423"/>
    </row>
    <row r="58437" s="101" customFormat="1" spans="6:6">
      <c r="F58437" s="2423"/>
    </row>
    <row r="58438" s="101" customFormat="1" spans="6:6">
      <c r="F58438" s="2423"/>
    </row>
    <row r="58439" s="101" customFormat="1" spans="6:6">
      <c r="F58439" s="2423"/>
    </row>
    <row r="58440" s="101" customFormat="1" spans="6:6">
      <c r="F58440" s="2423"/>
    </row>
    <row r="58441" s="101" customFormat="1" spans="6:6">
      <c r="F58441" s="2423"/>
    </row>
    <row r="58442" s="101" customFormat="1" spans="6:6">
      <c r="F58442" s="2423"/>
    </row>
    <row r="58443" s="101" customFormat="1" spans="6:6">
      <c r="F58443" s="2423"/>
    </row>
    <row r="58444" s="101" customFormat="1" spans="6:6">
      <c r="F58444" s="2423"/>
    </row>
    <row r="58445" s="101" customFormat="1" spans="6:6">
      <c r="F58445" s="2423"/>
    </row>
    <row r="58446" s="101" customFormat="1" spans="6:6">
      <c r="F58446" s="2423"/>
    </row>
    <row r="58447" s="101" customFormat="1" spans="6:6">
      <c r="F58447" s="2423"/>
    </row>
    <row r="58448" s="101" customFormat="1" spans="6:6">
      <c r="F58448" s="2423"/>
    </row>
    <row r="58449" s="101" customFormat="1" spans="6:6">
      <c r="F58449" s="2423"/>
    </row>
    <row r="58450" s="101" customFormat="1" spans="6:6">
      <c r="F58450" s="2423"/>
    </row>
    <row r="58451" s="101" customFormat="1" spans="6:6">
      <c r="F58451" s="2423"/>
    </row>
    <row r="58452" s="101" customFormat="1" spans="6:6">
      <c r="F58452" s="2423"/>
    </row>
    <row r="58453" s="101" customFormat="1" spans="6:6">
      <c r="F58453" s="2423"/>
    </row>
    <row r="58454" s="101" customFormat="1" spans="6:6">
      <c r="F58454" s="2423"/>
    </row>
    <row r="58455" s="101" customFormat="1" spans="6:6">
      <c r="F58455" s="2423"/>
    </row>
    <row r="58456" s="101" customFormat="1" spans="6:6">
      <c r="F58456" s="2423"/>
    </row>
    <row r="58457" s="101" customFormat="1" spans="6:6">
      <c r="F58457" s="2423"/>
    </row>
    <row r="58458" s="101" customFormat="1" spans="6:6">
      <c r="F58458" s="2423"/>
    </row>
    <row r="58459" s="101" customFormat="1" spans="6:6">
      <c r="F58459" s="2423"/>
    </row>
    <row r="58460" s="101" customFormat="1" spans="6:6">
      <c r="F58460" s="2423"/>
    </row>
    <row r="58461" s="101" customFormat="1" spans="6:6">
      <c r="F58461" s="2423"/>
    </row>
    <row r="58462" s="101" customFormat="1" spans="6:6">
      <c r="F58462" s="2423"/>
    </row>
    <row r="58463" s="101" customFormat="1" spans="6:6">
      <c r="F58463" s="2423"/>
    </row>
    <row r="58464" s="101" customFormat="1" spans="6:6">
      <c r="F58464" s="2423"/>
    </row>
    <row r="58465" s="101" customFormat="1" spans="6:6">
      <c r="F58465" s="2423"/>
    </row>
    <row r="58466" s="101" customFormat="1" spans="6:6">
      <c r="F58466" s="2423"/>
    </row>
    <row r="58467" s="101" customFormat="1" spans="6:6">
      <c r="F58467" s="2423"/>
    </row>
    <row r="58468" s="101" customFormat="1" spans="6:6">
      <c r="F58468" s="2423"/>
    </row>
    <row r="58469" s="101" customFormat="1" spans="6:6">
      <c r="F58469" s="2423"/>
    </row>
    <row r="58470" s="101" customFormat="1" spans="6:6">
      <c r="F58470" s="2423"/>
    </row>
    <row r="58471" s="101" customFormat="1" spans="6:6">
      <c r="F58471" s="2423"/>
    </row>
    <row r="58472" s="101" customFormat="1" spans="6:6">
      <c r="F58472" s="2423"/>
    </row>
    <row r="58473" s="101" customFormat="1" spans="6:6">
      <c r="F58473" s="2423"/>
    </row>
    <row r="58474" s="101" customFormat="1" spans="6:6">
      <c r="F58474" s="2423"/>
    </row>
    <row r="58475" s="101" customFormat="1" spans="6:6">
      <c r="F58475" s="2423"/>
    </row>
    <row r="58476" s="101" customFormat="1" spans="6:6">
      <c r="F58476" s="2423"/>
    </row>
    <row r="58477" s="101" customFormat="1" spans="6:6">
      <c r="F58477" s="2423"/>
    </row>
    <row r="58478" s="101" customFormat="1" spans="6:6">
      <c r="F58478" s="2423"/>
    </row>
    <row r="58479" s="101" customFormat="1" spans="6:6">
      <c r="F58479" s="2423"/>
    </row>
    <row r="58480" s="101" customFormat="1" spans="6:6">
      <c r="F58480" s="2423"/>
    </row>
    <row r="58481" s="101" customFormat="1" spans="6:6">
      <c r="F58481" s="2423"/>
    </row>
    <row r="58482" s="101" customFormat="1" spans="6:6">
      <c r="F58482" s="2423"/>
    </row>
    <row r="58483" s="101" customFormat="1" spans="6:6">
      <c r="F58483" s="2423"/>
    </row>
    <row r="58484" s="101" customFormat="1" spans="6:6">
      <c r="F58484" s="2423"/>
    </row>
    <row r="58485" s="101" customFormat="1" spans="6:6">
      <c r="F58485" s="2423"/>
    </row>
    <row r="58486" s="101" customFormat="1" spans="6:6">
      <c r="F58486" s="2423"/>
    </row>
    <row r="58487" s="101" customFormat="1" spans="6:6">
      <c r="F58487" s="2423"/>
    </row>
    <row r="58488" s="101" customFormat="1" spans="6:6">
      <c r="F58488" s="2423"/>
    </row>
    <row r="58489" s="101" customFormat="1" spans="6:6">
      <c r="F58489" s="2423"/>
    </row>
    <row r="58490" s="101" customFormat="1" spans="6:6">
      <c r="F58490" s="2423"/>
    </row>
    <row r="58491" s="101" customFormat="1" spans="6:6">
      <c r="F58491" s="2423"/>
    </row>
    <row r="58492" s="101" customFormat="1" spans="6:6">
      <c r="F58492" s="2423"/>
    </row>
    <row r="58493" s="101" customFormat="1" spans="6:6">
      <c r="F58493" s="2423"/>
    </row>
    <row r="58494" s="101" customFormat="1" spans="6:6">
      <c r="F58494" s="2423"/>
    </row>
    <row r="58495" s="101" customFormat="1" spans="6:6">
      <c r="F58495" s="2423"/>
    </row>
    <row r="58496" s="101" customFormat="1" spans="6:6">
      <c r="F58496" s="2423"/>
    </row>
    <row r="58497" s="101" customFormat="1" spans="6:6">
      <c r="F58497" s="2423"/>
    </row>
    <row r="58498" s="101" customFormat="1" spans="6:6">
      <c r="F58498" s="2423"/>
    </row>
    <row r="58499" s="101" customFormat="1" spans="6:6">
      <c r="F58499" s="2423"/>
    </row>
    <row r="58500" s="101" customFormat="1" spans="6:6">
      <c r="F58500" s="2423"/>
    </row>
    <row r="58501" s="101" customFormat="1" spans="6:6">
      <c r="F58501" s="2423"/>
    </row>
    <row r="58502" s="101" customFormat="1" spans="6:6">
      <c r="F58502" s="2423"/>
    </row>
    <row r="58503" s="101" customFormat="1" spans="6:6">
      <c r="F58503" s="2423"/>
    </row>
    <row r="58504" s="101" customFormat="1" spans="6:6">
      <c r="F58504" s="2423"/>
    </row>
    <row r="58505" s="101" customFormat="1" spans="6:6">
      <c r="F58505" s="2423"/>
    </row>
    <row r="58506" s="101" customFormat="1" spans="6:6">
      <c r="F58506" s="2423"/>
    </row>
    <row r="58507" s="101" customFormat="1" spans="6:6">
      <c r="F58507" s="2423"/>
    </row>
    <row r="58508" s="101" customFormat="1" spans="6:6">
      <c r="F58508" s="2423"/>
    </row>
    <row r="58509" s="101" customFormat="1" spans="6:6">
      <c r="F58509" s="2423"/>
    </row>
    <row r="58510" s="101" customFormat="1" spans="6:6">
      <c r="F58510" s="2423"/>
    </row>
    <row r="58511" s="101" customFormat="1" spans="6:6">
      <c r="F58511" s="2423"/>
    </row>
    <row r="58512" s="101" customFormat="1" spans="6:6">
      <c r="F58512" s="2423"/>
    </row>
    <row r="58513" s="101" customFormat="1" spans="6:6">
      <c r="F58513" s="2423"/>
    </row>
    <row r="58514" s="101" customFormat="1" spans="6:6">
      <c r="F58514" s="2423"/>
    </row>
    <row r="58515" s="101" customFormat="1" spans="6:6">
      <c r="F58515" s="2423"/>
    </row>
    <row r="58516" s="101" customFormat="1" spans="6:6">
      <c r="F58516" s="2423"/>
    </row>
    <row r="58517" s="101" customFormat="1" spans="6:6">
      <c r="F58517" s="2423"/>
    </row>
    <row r="58518" s="101" customFormat="1" spans="6:6">
      <c r="F58518" s="2423"/>
    </row>
    <row r="58519" s="101" customFormat="1" spans="6:6">
      <c r="F58519" s="2423"/>
    </row>
    <row r="58520" s="101" customFormat="1" spans="6:6">
      <c r="F58520" s="2423"/>
    </row>
    <row r="58521" s="101" customFormat="1" spans="6:6">
      <c r="F58521" s="2423"/>
    </row>
    <row r="58522" s="101" customFormat="1" spans="6:6">
      <c r="F58522" s="2423"/>
    </row>
    <row r="58523" s="101" customFormat="1" spans="6:6">
      <c r="F58523" s="2423"/>
    </row>
    <row r="58524" s="101" customFormat="1" spans="6:6">
      <c r="F58524" s="2423"/>
    </row>
    <row r="58525" s="101" customFormat="1" spans="6:6">
      <c r="F58525" s="2423"/>
    </row>
    <row r="58526" s="101" customFormat="1" spans="6:6">
      <c r="F58526" s="2423"/>
    </row>
    <row r="58527" s="101" customFormat="1" spans="6:6">
      <c r="F58527" s="2423"/>
    </row>
    <row r="58528" s="101" customFormat="1" spans="6:6">
      <c r="F58528" s="2423"/>
    </row>
    <row r="58529" s="101" customFormat="1" spans="6:6">
      <c r="F58529" s="2423"/>
    </row>
    <row r="58530" s="101" customFormat="1" spans="6:6">
      <c r="F58530" s="2423"/>
    </row>
    <row r="58531" s="101" customFormat="1" spans="6:6">
      <c r="F58531" s="2423"/>
    </row>
    <row r="58532" s="101" customFormat="1" spans="6:6">
      <c r="F58532" s="2423"/>
    </row>
    <row r="58533" s="101" customFormat="1" spans="6:6">
      <c r="F58533" s="2423"/>
    </row>
    <row r="58534" s="101" customFormat="1" spans="6:6">
      <c r="F58534" s="2423"/>
    </row>
    <row r="58535" s="101" customFormat="1" spans="6:6">
      <c r="F58535" s="2423"/>
    </row>
    <row r="58536" s="101" customFormat="1" spans="6:6">
      <c r="F58536" s="2423"/>
    </row>
    <row r="58537" s="101" customFormat="1" spans="6:6">
      <c r="F58537" s="2423"/>
    </row>
    <row r="58538" s="101" customFormat="1" spans="6:6">
      <c r="F58538" s="2423"/>
    </row>
    <row r="58539" s="101" customFormat="1" spans="6:6">
      <c r="F58539" s="2423"/>
    </row>
    <row r="58540" s="101" customFormat="1" spans="6:6">
      <c r="F58540" s="2423"/>
    </row>
    <row r="58541" s="101" customFormat="1" spans="6:6">
      <c r="F58541" s="2423"/>
    </row>
    <row r="58542" s="101" customFormat="1" spans="6:6">
      <c r="F58542" s="2423"/>
    </row>
    <row r="58543" s="101" customFormat="1" spans="6:6">
      <c r="F58543" s="2423"/>
    </row>
    <row r="58544" s="101" customFormat="1" spans="6:6">
      <c r="F58544" s="2423"/>
    </row>
    <row r="58545" s="101" customFormat="1" spans="6:6">
      <c r="F58545" s="2423"/>
    </row>
    <row r="58546" s="101" customFormat="1" spans="6:6">
      <c r="F58546" s="2423"/>
    </row>
    <row r="58547" s="101" customFormat="1" spans="6:6">
      <c r="F58547" s="2423"/>
    </row>
    <row r="58548" s="101" customFormat="1" spans="6:6">
      <c r="F58548" s="2423"/>
    </row>
    <row r="58549" s="101" customFormat="1" spans="6:6">
      <c r="F58549" s="2423"/>
    </row>
    <row r="58550" s="101" customFormat="1" spans="6:6">
      <c r="F58550" s="2423"/>
    </row>
    <row r="58551" s="101" customFormat="1" spans="6:6">
      <c r="F58551" s="2423"/>
    </row>
    <row r="58552" s="101" customFormat="1" spans="6:6">
      <c r="F58552" s="2423"/>
    </row>
    <row r="58553" s="101" customFormat="1" spans="6:6">
      <c r="F58553" s="2423"/>
    </row>
    <row r="58554" s="101" customFormat="1" spans="6:6">
      <c r="F58554" s="2423"/>
    </row>
    <row r="58555" s="101" customFormat="1" spans="6:6">
      <c r="F58555" s="2423"/>
    </row>
    <row r="58556" s="101" customFormat="1" spans="6:6">
      <c r="F58556" s="2423"/>
    </row>
    <row r="58557" s="101" customFormat="1" spans="6:6">
      <c r="F58557" s="2423"/>
    </row>
    <row r="58558" s="101" customFormat="1" spans="6:6">
      <c r="F58558" s="2423"/>
    </row>
    <row r="58559" s="101" customFormat="1" spans="6:6">
      <c r="F58559" s="2423"/>
    </row>
    <row r="58560" s="101" customFormat="1" spans="6:6">
      <c r="F58560" s="2423"/>
    </row>
    <row r="58561" s="101" customFormat="1" spans="6:6">
      <c r="F58561" s="2423"/>
    </row>
    <row r="58562" s="101" customFormat="1" spans="6:6">
      <c r="F58562" s="2423"/>
    </row>
    <row r="58563" s="101" customFormat="1" spans="6:6">
      <c r="F58563" s="2423"/>
    </row>
    <row r="58564" s="101" customFormat="1" spans="6:6">
      <c r="F58564" s="2423"/>
    </row>
    <row r="58565" s="101" customFormat="1" spans="6:6">
      <c r="F58565" s="2423"/>
    </row>
    <row r="58566" s="101" customFormat="1" spans="6:6">
      <c r="F58566" s="2423"/>
    </row>
    <row r="58567" s="101" customFormat="1" spans="6:6">
      <c r="F58567" s="2423"/>
    </row>
    <row r="58568" s="101" customFormat="1" spans="6:6">
      <c r="F58568" s="2423"/>
    </row>
    <row r="58569" s="101" customFormat="1" spans="6:6">
      <c r="F58569" s="2423"/>
    </row>
    <row r="58570" s="101" customFormat="1" spans="6:6">
      <c r="F58570" s="2423"/>
    </row>
    <row r="58571" s="101" customFormat="1" spans="6:6">
      <c r="F58571" s="2423"/>
    </row>
    <row r="58572" s="101" customFormat="1" spans="6:6">
      <c r="F58572" s="2423"/>
    </row>
    <row r="58573" s="101" customFormat="1" spans="6:6">
      <c r="F58573" s="2423"/>
    </row>
    <row r="58574" s="101" customFormat="1" spans="6:6">
      <c r="F58574" s="2423"/>
    </row>
    <row r="58575" s="101" customFormat="1" spans="6:6">
      <c r="F58575" s="2423"/>
    </row>
    <row r="58576" s="101" customFormat="1" spans="6:6">
      <c r="F58576" s="2423"/>
    </row>
    <row r="58577" s="101" customFormat="1" spans="6:6">
      <c r="F58577" s="2423"/>
    </row>
    <row r="58578" s="101" customFormat="1" spans="6:6">
      <c r="F58578" s="2423"/>
    </row>
    <row r="58579" s="101" customFormat="1" spans="6:6">
      <c r="F58579" s="2423"/>
    </row>
    <row r="58580" s="101" customFormat="1" spans="6:6">
      <c r="F58580" s="2423"/>
    </row>
    <row r="58581" s="101" customFormat="1" spans="6:6">
      <c r="F58581" s="2423"/>
    </row>
    <row r="58582" s="101" customFormat="1" spans="6:6">
      <c r="F58582" s="2423"/>
    </row>
    <row r="58583" s="101" customFormat="1" spans="6:6">
      <c r="F58583" s="2423"/>
    </row>
    <row r="58584" s="101" customFormat="1" spans="6:6">
      <c r="F58584" s="2423"/>
    </row>
    <row r="58585" s="101" customFormat="1" spans="6:6">
      <c r="F58585" s="2423"/>
    </row>
    <row r="58586" s="101" customFormat="1" spans="6:6">
      <c r="F58586" s="2423"/>
    </row>
    <row r="58587" s="101" customFormat="1" spans="6:6">
      <c r="F58587" s="2423"/>
    </row>
    <row r="58588" s="101" customFormat="1" spans="6:6">
      <c r="F58588" s="2423"/>
    </row>
    <row r="58589" s="101" customFormat="1" spans="6:6">
      <c r="F58589" s="2423"/>
    </row>
    <row r="58590" s="101" customFormat="1" spans="6:6">
      <c r="F58590" s="2423"/>
    </row>
    <row r="58591" s="101" customFormat="1" spans="6:6">
      <c r="F58591" s="2423"/>
    </row>
    <row r="58592" s="101" customFormat="1" spans="6:6">
      <c r="F58592" s="2423"/>
    </row>
    <row r="58593" s="101" customFormat="1" spans="6:6">
      <c r="F58593" s="2423"/>
    </row>
    <row r="58594" s="101" customFormat="1" spans="6:6">
      <c r="F58594" s="2423"/>
    </row>
    <row r="58595" s="101" customFormat="1" spans="6:6">
      <c r="F58595" s="2423"/>
    </row>
    <row r="58596" s="101" customFormat="1" spans="6:6">
      <c r="F58596" s="2423"/>
    </row>
    <row r="58597" s="101" customFormat="1" spans="6:6">
      <c r="F58597" s="2423"/>
    </row>
    <row r="58598" s="101" customFormat="1" spans="6:6">
      <c r="F58598" s="2423"/>
    </row>
    <row r="58599" s="101" customFormat="1" spans="6:6">
      <c r="F58599" s="2423"/>
    </row>
    <row r="58600" s="101" customFormat="1" spans="6:6">
      <c r="F58600" s="2423"/>
    </row>
    <row r="58601" s="101" customFormat="1" spans="6:6">
      <c r="F58601" s="2423"/>
    </row>
    <row r="58602" s="101" customFormat="1" spans="6:6">
      <c r="F58602" s="2423"/>
    </row>
    <row r="58603" s="101" customFormat="1" spans="6:6">
      <c r="F58603" s="2423"/>
    </row>
    <row r="58604" s="101" customFormat="1" spans="6:6">
      <c r="F58604" s="2423"/>
    </row>
    <row r="58605" s="101" customFormat="1" spans="6:6">
      <c r="F58605" s="2423"/>
    </row>
    <row r="58606" s="101" customFormat="1" spans="6:6">
      <c r="F58606" s="2423"/>
    </row>
    <row r="58607" s="101" customFormat="1" spans="6:6">
      <c r="F58607" s="2423"/>
    </row>
    <row r="58608" s="101" customFormat="1" spans="6:6">
      <c r="F58608" s="2423"/>
    </row>
    <row r="58609" s="101" customFormat="1" spans="6:6">
      <c r="F58609" s="2423"/>
    </row>
    <row r="58610" s="101" customFormat="1" spans="6:6">
      <c r="F58610" s="2423"/>
    </row>
    <row r="58611" s="101" customFormat="1" spans="6:6">
      <c r="F58611" s="2423"/>
    </row>
    <row r="58612" s="101" customFormat="1" spans="6:6">
      <c r="F58612" s="2423"/>
    </row>
    <row r="58613" s="101" customFormat="1" spans="6:6">
      <c r="F58613" s="2423"/>
    </row>
    <row r="58614" s="101" customFormat="1" spans="6:6">
      <c r="F58614" s="2423"/>
    </row>
    <row r="58615" s="101" customFormat="1" spans="6:6">
      <c r="F58615" s="2423"/>
    </row>
    <row r="58616" s="101" customFormat="1" spans="6:6">
      <c r="F58616" s="2423"/>
    </row>
    <row r="58617" s="101" customFormat="1" spans="6:6">
      <c r="F58617" s="2423"/>
    </row>
    <row r="58618" s="101" customFormat="1" spans="6:6">
      <c r="F58618" s="2423"/>
    </row>
    <row r="58619" s="101" customFormat="1" spans="6:6">
      <c r="F58619" s="2423"/>
    </row>
    <row r="58620" s="101" customFormat="1" spans="6:6">
      <c r="F58620" s="2423"/>
    </row>
    <row r="58621" s="101" customFormat="1" spans="6:6">
      <c r="F58621" s="2423"/>
    </row>
    <row r="58622" s="101" customFormat="1" spans="6:6">
      <c r="F58622" s="2423"/>
    </row>
    <row r="58623" s="101" customFormat="1" spans="6:6">
      <c r="F58623" s="2423"/>
    </row>
    <row r="58624" s="101" customFormat="1" spans="6:6">
      <c r="F58624" s="2423"/>
    </row>
    <row r="58625" s="101" customFormat="1" spans="6:6">
      <c r="F58625" s="2423"/>
    </row>
    <row r="58626" s="101" customFormat="1" spans="6:6">
      <c r="F58626" s="2423"/>
    </row>
    <row r="58627" s="101" customFormat="1" spans="6:6">
      <c r="F58627" s="2423"/>
    </row>
    <row r="58628" s="101" customFormat="1" spans="6:6">
      <c r="F58628" s="2423"/>
    </row>
    <row r="58629" s="101" customFormat="1" spans="6:6">
      <c r="F58629" s="2423"/>
    </row>
    <row r="58630" s="101" customFormat="1" spans="6:6">
      <c r="F58630" s="2423"/>
    </row>
    <row r="58631" s="101" customFormat="1" spans="6:6">
      <c r="F58631" s="2423"/>
    </row>
    <row r="58632" s="101" customFormat="1" spans="6:6">
      <c r="F58632" s="2423"/>
    </row>
    <row r="58633" s="101" customFormat="1" spans="6:6">
      <c r="F58633" s="2423"/>
    </row>
    <row r="58634" s="101" customFormat="1" spans="6:6">
      <c r="F58634" s="2423"/>
    </row>
    <row r="58635" s="101" customFormat="1" spans="6:6">
      <c r="F58635" s="2423"/>
    </row>
    <row r="58636" s="101" customFormat="1" spans="6:6">
      <c r="F58636" s="2423"/>
    </row>
    <row r="58637" s="101" customFormat="1" spans="6:6">
      <c r="F58637" s="2423"/>
    </row>
    <row r="58638" s="101" customFormat="1" spans="6:6">
      <c r="F58638" s="2423"/>
    </row>
    <row r="58639" s="101" customFormat="1" spans="6:6">
      <c r="F58639" s="2423"/>
    </row>
    <row r="58640" s="101" customFormat="1" spans="6:6">
      <c r="F58640" s="2423"/>
    </row>
    <row r="58641" s="101" customFormat="1" spans="6:6">
      <c r="F58641" s="2423"/>
    </row>
    <row r="58642" s="101" customFormat="1" spans="6:6">
      <c r="F58642" s="2423"/>
    </row>
    <row r="58643" s="101" customFormat="1" spans="6:6">
      <c r="F58643" s="2423"/>
    </row>
    <row r="58644" s="101" customFormat="1" spans="6:6">
      <c r="F58644" s="2423"/>
    </row>
    <row r="58645" s="101" customFormat="1" spans="6:6">
      <c r="F58645" s="2423"/>
    </row>
    <row r="58646" s="101" customFormat="1" spans="6:6">
      <c r="F58646" s="2423"/>
    </row>
    <row r="58647" s="101" customFormat="1" spans="6:6">
      <c r="F58647" s="2423"/>
    </row>
    <row r="58648" s="101" customFormat="1" spans="6:6">
      <c r="F58648" s="2423"/>
    </row>
    <row r="58649" s="101" customFormat="1" spans="6:6">
      <c r="F58649" s="2423"/>
    </row>
    <row r="58650" s="101" customFormat="1" spans="6:6">
      <c r="F58650" s="2423"/>
    </row>
    <row r="58651" s="101" customFormat="1" spans="6:6">
      <c r="F58651" s="2423"/>
    </row>
    <row r="58652" s="101" customFormat="1" spans="6:6">
      <c r="F58652" s="2423"/>
    </row>
    <row r="58653" s="101" customFormat="1" spans="6:6">
      <c r="F58653" s="2423"/>
    </row>
    <row r="58654" s="101" customFormat="1" spans="6:6">
      <c r="F58654" s="2423"/>
    </row>
    <row r="58655" s="101" customFormat="1" spans="6:6">
      <c r="F58655" s="2423"/>
    </row>
    <row r="58656" s="101" customFormat="1" spans="6:6">
      <c r="F58656" s="2423"/>
    </row>
    <row r="58657" s="101" customFormat="1" spans="6:6">
      <c r="F58657" s="2423"/>
    </row>
    <row r="58658" s="101" customFormat="1" spans="6:6">
      <c r="F58658" s="2423"/>
    </row>
    <row r="58659" s="101" customFormat="1" spans="6:6">
      <c r="F58659" s="2423"/>
    </row>
    <row r="58660" s="101" customFormat="1" spans="6:6">
      <c r="F58660" s="2423"/>
    </row>
    <row r="58661" s="101" customFormat="1" spans="6:6">
      <c r="F58661" s="2423"/>
    </row>
    <row r="58662" s="101" customFormat="1" spans="6:6">
      <c r="F58662" s="2423"/>
    </row>
    <row r="58663" s="101" customFormat="1" spans="6:6">
      <c r="F58663" s="2423"/>
    </row>
    <row r="58664" s="101" customFormat="1" spans="6:6">
      <c r="F58664" s="2423"/>
    </row>
    <row r="58665" s="101" customFormat="1" spans="6:6">
      <c r="F58665" s="2423"/>
    </row>
    <row r="58666" s="101" customFormat="1" spans="6:6">
      <c r="F58666" s="2423"/>
    </row>
    <row r="58667" s="101" customFormat="1" spans="6:6">
      <c r="F58667" s="2423"/>
    </row>
    <row r="58668" s="101" customFormat="1" spans="6:6">
      <c r="F58668" s="2423"/>
    </row>
    <row r="58669" s="101" customFormat="1" spans="6:6">
      <c r="F58669" s="2423"/>
    </row>
    <row r="58670" s="101" customFormat="1" spans="6:6">
      <c r="F58670" s="2423"/>
    </row>
    <row r="58671" s="101" customFormat="1" spans="6:6">
      <c r="F58671" s="2423"/>
    </row>
    <row r="58672" s="101" customFormat="1" spans="6:6">
      <c r="F58672" s="2423"/>
    </row>
    <row r="58673" s="101" customFormat="1" spans="6:6">
      <c r="F58673" s="2423"/>
    </row>
    <row r="58674" s="101" customFormat="1" spans="6:6">
      <c r="F58674" s="2423"/>
    </row>
    <row r="58675" s="101" customFormat="1" spans="6:6">
      <c r="F58675" s="2423"/>
    </row>
    <row r="58676" s="101" customFormat="1" spans="6:6">
      <c r="F58676" s="2423"/>
    </row>
    <row r="58677" s="101" customFormat="1" spans="6:6">
      <c r="F58677" s="2423"/>
    </row>
    <row r="58678" s="101" customFormat="1" spans="6:6">
      <c r="F58678" s="2423"/>
    </row>
    <row r="58679" s="101" customFormat="1" spans="6:6">
      <c r="F58679" s="2423"/>
    </row>
    <row r="58680" s="101" customFormat="1" spans="6:6">
      <c r="F58680" s="2423"/>
    </row>
    <row r="58681" s="101" customFormat="1" spans="6:6">
      <c r="F58681" s="2423"/>
    </row>
    <row r="58682" s="101" customFormat="1" spans="6:6">
      <c r="F58682" s="2423"/>
    </row>
    <row r="58683" s="101" customFormat="1" spans="6:6">
      <c r="F58683" s="2423"/>
    </row>
    <row r="58684" s="101" customFormat="1" spans="6:6">
      <c r="F58684" s="2423"/>
    </row>
    <row r="58685" s="101" customFormat="1" spans="6:6">
      <c r="F58685" s="2423"/>
    </row>
    <row r="58686" s="101" customFormat="1" spans="6:6">
      <c r="F58686" s="2423"/>
    </row>
    <row r="58687" s="101" customFormat="1" spans="6:6">
      <c r="F58687" s="2423"/>
    </row>
    <row r="58688" s="101" customFormat="1" spans="6:6">
      <c r="F58688" s="2423"/>
    </row>
    <row r="58689" s="101" customFormat="1" spans="6:6">
      <c r="F58689" s="2423"/>
    </row>
    <row r="58690" s="101" customFormat="1" spans="6:6">
      <c r="F58690" s="2423"/>
    </row>
    <row r="58691" s="101" customFormat="1" spans="6:6">
      <c r="F58691" s="2423"/>
    </row>
    <row r="58692" s="101" customFormat="1" spans="6:6">
      <c r="F58692" s="2423"/>
    </row>
    <row r="58693" s="101" customFormat="1" spans="6:6">
      <c r="F58693" s="2423"/>
    </row>
    <row r="58694" s="101" customFormat="1" spans="6:6">
      <c r="F58694" s="2423"/>
    </row>
    <row r="58695" s="101" customFormat="1" spans="6:6">
      <c r="F58695" s="2423"/>
    </row>
    <row r="58696" s="101" customFormat="1" spans="6:6">
      <c r="F58696" s="2423"/>
    </row>
    <row r="58697" s="101" customFormat="1" spans="6:6">
      <c r="F58697" s="2423"/>
    </row>
    <row r="58698" s="101" customFormat="1" spans="6:6">
      <c r="F58698" s="2423"/>
    </row>
    <row r="58699" s="101" customFormat="1" spans="6:6">
      <c r="F58699" s="2423"/>
    </row>
    <row r="58700" s="101" customFormat="1" spans="6:6">
      <c r="F58700" s="2423"/>
    </row>
    <row r="58701" s="101" customFormat="1" spans="6:6">
      <c r="F58701" s="2423"/>
    </row>
    <row r="58702" s="101" customFormat="1" spans="6:6">
      <c r="F58702" s="2423"/>
    </row>
    <row r="58703" s="101" customFormat="1" spans="6:6">
      <c r="F58703" s="2423"/>
    </row>
    <row r="58704" s="101" customFormat="1" spans="6:6">
      <c r="F58704" s="2423"/>
    </row>
    <row r="58705" s="101" customFormat="1" spans="6:6">
      <c r="F58705" s="2423"/>
    </row>
    <row r="58706" s="101" customFormat="1" spans="6:6">
      <c r="F58706" s="2423"/>
    </row>
    <row r="58707" s="101" customFormat="1" spans="6:6">
      <c r="F58707" s="2423"/>
    </row>
    <row r="58708" s="101" customFormat="1" spans="6:6">
      <c r="F58708" s="2423"/>
    </row>
    <row r="58709" s="101" customFormat="1" spans="6:6">
      <c r="F58709" s="2423"/>
    </row>
    <row r="58710" s="101" customFormat="1" spans="6:6">
      <c r="F58710" s="2423"/>
    </row>
    <row r="58711" s="101" customFormat="1" spans="6:6">
      <c r="F58711" s="2423"/>
    </row>
    <row r="58712" s="101" customFormat="1" spans="6:6">
      <c r="F58712" s="2423"/>
    </row>
    <row r="58713" s="101" customFormat="1" spans="6:6">
      <c r="F58713" s="2423"/>
    </row>
    <row r="58714" s="101" customFormat="1" spans="6:6">
      <c r="F58714" s="2423"/>
    </row>
    <row r="58715" s="101" customFormat="1" spans="6:6">
      <c r="F58715" s="2423"/>
    </row>
    <row r="58716" s="101" customFormat="1" spans="6:6">
      <c r="F58716" s="2423"/>
    </row>
    <row r="58717" s="101" customFormat="1" spans="6:6">
      <c r="F58717" s="2423"/>
    </row>
    <row r="58718" s="101" customFormat="1" spans="6:6">
      <c r="F58718" s="2423"/>
    </row>
    <row r="58719" s="101" customFormat="1" spans="6:6">
      <c r="F58719" s="2423"/>
    </row>
    <row r="58720" s="101" customFormat="1" spans="6:6">
      <c r="F58720" s="2423"/>
    </row>
    <row r="58721" s="101" customFormat="1" spans="6:6">
      <c r="F58721" s="2423"/>
    </row>
    <row r="58722" s="101" customFormat="1" spans="6:6">
      <c r="F58722" s="2423"/>
    </row>
    <row r="58723" s="101" customFormat="1" spans="6:6">
      <c r="F58723" s="2423"/>
    </row>
    <row r="58724" s="101" customFormat="1" spans="6:6">
      <c r="F58724" s="2423"/>
    </row>
    <row r="58725" s="101" customFormat="1" spans="6:6">
      <c r="F58725" s="2423"/>
    </row>
    <row r="58726" s="101" customFormat="1" spans="6:6">
      <c r="F58726" s="2423"/>
    </row>
    <row r="58727" s="101" customFormat="1" spans="6:6">
      <c r="F58727" s="2423"/>
    </row>
    <row r="58728" s="101" customFormat="1" spans="6:6">
      <c r="F58728" s="2423"/>
    </row>
    <row r="58729" s="101" customFormat="1" spans="6:6">
      <c r="F58729" s="2423"/>
    </row>
    <row r="58730" s="101" customFormat="1" spans="6:6">
      <c r="F58730" s="2423"/>
    </row>
    <row r="58731" s="101" customFormat="1" spans="6:6">
      <c r="F58731" s="2423"/>
    </row>
    <row r="58732" s="101" customFormat="1" spans="6:6">
      <c r="F58732" s="2423"/>
    </row>
    <row r="58733" s="101" customFormat="1" spans="6:6">
      <c r="F58733" s="2423"/>
    </row>
    <row r="58734" s="101" customFormat="1" spans="6:6">
      <c r="F58734" s="2423"/>
    </row>
    <row r="58735" s="101" customFormat="1" spans="6:6">
      <c r="F58735" s="2423"/>
    </row>
    <row r="58736" s="101" customFormat="1" spans="6:6">
      <c r="F58736" s="2423"/>
    </row>
    <row r="58737" s="101" customFormat="1" spans="6:6">
      <c r="F58737" s="2423"/>
    </row>
    <row r="58738" s="101" customFormat="1" spans="6:6">
      <c r="F58738" s="2423"/>
    </row>
    <row r="58739" s="101" customFormat="1" spans="6:6">
      <c r="F58739" s="2423"/>
    </row>
    <row r="58740" s="101" customFormat="1" spans="6:6">
      <c r="F58740" s="2423"/>
    </row>
    <row r="58741" s="101" customFormat="1" spans="6:6">
      <c r="F58741" s="2423"/>
    </row>
    <row r="58742" s="101" customFormat="1" spans="6:6">
      <c r="F58742" s="2423"/>
    </row>
    <row r="58743" s="101" customFormat="1" spans="6:6">
      <c r="F58743" s="2423"/>
    </row>
    <row r="58744" s="101" customFormat="1" spans="6:6">
      <c r="F58744" s="2423"/>
    </row>
    <row r="58745" s="101" customFormat="1" spans="6:6">
      <c r="F58745" s="2423"/>
    </row>
    <row r="58746" s="101" customFormat="1" spans="6:6">
      <c r="F58746" s="2423"/>
    </row>
    <row r="58747" s="101" customFormat="1" spans="6:6">
      <c r="F58747" s="2423"/>
    </row>
    <row r="58748" s="101" customFormat="1" spans="6:6">
      <c r="F58748" s="2423"/>
    </row>
    <row r="58749" s="101" customFormat="1" spans="6:6">
      <c r="F58749" s="2423"/>
    </row>
    <row r="58750" s="101" customFormat="1" spans="6:6">
      <c r="F58750" s="2423"/>
    </row>
    <row r="58751" s="101" customFormat="1" spans="6:6">
      <c r="F58751" s="2423"/>
    </row>
    <row r="58752" s="101" customFormat="1" spans="6:6">
      <c r="F58752" s="2423"/>
    </row>
    <row r="58753" s="101" customFormat="1" spans="6:6">
      <c r="F58753" s="2423"/>
    </row>
    <row r="58754" s="101" customFormat="1" spans="6:6">
      <c r="F58754" s="2423"/>
    </row>
    <row r="58755" s="101" customFormat="1" spans="6:6">
      <c r="F58755" s="2423"/>
    </row>
    <row r="58756" s="101" customFormat="1" spans="6:6">
      <c r="F58756" s="2423"/>
    </row>
    <row r="58757" s="101" customFormat="1" spans="6:6">
      <c r="F58757" s="2423"/>
    </row>
    <row r="58758" s="101" customFormat="1" spans="6:6">
      <c r="F58758" s="2423"/>
    </row>
    <row r="58759" s="101" customFormat="1" spans="6:6">
      <c r="F58759" s="2423"/>
    </row>
    <row r="58760" s="101" customFormat="1" spans="6:6">
      <c r="F58760" s="2423"/>
    </row>
    <row r="58761" s="101" customFormat="1" spans="6:6">
      <c r="F58761" s="2423"/>
    </row>
    <row r="58762" s="101" customFormat="1" spans="6:6">
      <c r="F58762" s="2423"/>
    </row>
    <row r="58763" s="101" customFormat="1" spans="6:6">
      <c r="F58763" s="2423"/>
    </row>
    <row r="58764" s="101" customFormat="1" spans="6:6">
      <c r="F58764" s="2423"/>
    </row>
    <row r="58765" s="101" customFormat="1" spans="6:6">
      <c r="F58765" s="2423"/>
    </row>
    <row r="58766" s="101" customFormat="1" spans="6:6">
      <c r="F58766" s="2423"/>
    </row>
    <row r="58767" s="101" customFormat="1" spans="6:6">
      <c r="F58767" s="2423"/>
    </row>
    <row r="58768" s="101" customFormat="1" spans="6:6">
      <c r="F58768" s="2423"/>
    </row>
    <row r="58769" s="101" customFormat="1" spans="6:6">
      <c r="F58769" s="2423"/>
    </row>
    <row r="58770" s="101" customFormat="1" spans="6:6">
      <c r="F58770" s="2423"/>
    </row>
    <row r="58771" s="101" customFormat="1" spans="6:6">
      <c r="F58771" s="2423"/>
    </row>
    <row r="58772" s="101" customFormat="1" spans="6:6">
      <c r="F58772" s="2423"/>
    </row>
    <row r="58773" s="101" customFormat="1" spans="6:6">
      <c r="F58773" s="2423"/>
    </row>
    <row r="58774" s="101" customFormat="1" spans="6:6">
      <c r="F58774" s="2423"/>
    </row>
    <row r="58775" s="101" customFormat="1" spans="6:6">
      <c r="F58775" s="2423"/>
    </row>
    <row r="58776" s="101" customFormat="1" spans="6:6">
      <c r="F58776" s="2423"/>
    </row>
    <row r="58777" s="101" customFormat="1" spans="6:6">
      <c r="F58777" s="2423"/>
    </row>
    <row r="58778" s="101" customFormat="1" spans="6:6">
      <c r="F58778" s="2423"/>
    </row>
    <row r="58779" s="101" customFormat="1" spans="6:6">
      <c r="F58779" s="2423"/>
    </row>
    <row r="58780" s="101" customFormat="1" spans="6:6">
      <c r="F58780" s="2423"/>
    </row>
    <row r="58781" s="101" customFormat="1" spans="6:6">
      <c r="F58781" s="2423"/>
    </row>
    <row r="58782" s="101" customFormat="1" spans="6:6">
      <c r="F58782" s="2423"/>
    </row>
    <row r="58783" s="101" customFormat="1" spans="6:6">
      <c r="F58783" s="2423"/>
    </row>
    <row r="58784" s="101" customFormat="1" spans="6:6">
      <c r="F58784" s="2423"/>
    </row>
    <row r="58785" s="101" customFormat="1" spans="6:6">
      <c r="F58785" s="2423"/>
    </row>
    <row r="58786" s="101" customFormat="1" spans="6:6">
      <c r="F58786" s="2423"/>
    </row>
    <row r="58787" s="101" customFormat="1" spans="6:6">
      <c r="F58787" s="2423"/>
    </row>
    <row r="58788" s="101" customFormat="1" spans="6:6">
      <c r="F58788" s="2423"/>
    </row>
    <row r="58789" s="101" customFormat="1" spans="6:6">
      <c r="F58789" s="2423"/>
    </row>
    <row r="58790" s="101" customFormat="1" spans="6:6">
      <c r="F58790" s="2423"/>
    </row>
    <row r="58791" s="101" customFormat="1" spans="6:6">
      <c r="F58791" s="2423"/>
    </row>
    <row r="58792" s="101" customFormat="1" spans="6:6">
      <c r="F58792" s="2423"/>
    </row>
    <row r="58793" s="101" customFormat="1" spans="6:6">
      <c r="F58793" s="2423"/>
    </row>
    <row r="58794" s="101" customFormat="1" spans="6:6">
      <c r="F58794" s="2423"/>
    </row>
    <row r="58795" s="101" customFormat="1" spans="6:6">
      <c r="F58795" s="2423"/>
    </row>
    <row r="58796" s="101" customFormat="1" spans="6:6">
      <c r="F58796" s="2423"/>
    </row>
    <row r="58797" s="101" customFormat="1" spans="6:6">
      <c r="F58797" s="2423"/>
    </row>
    <row r="58798" s="101" customFormat="1" spans="6:6">
      <c r="F58798" s="2423"/>
    </row>
    <row r="58799" s="101" customFormat="1" spans="6:6">
      <c r="F58799" s="2423"/>
    </row>
    <row r="58800" s="101" customFormat="1" spans="6:6">
      <c r="F58800" s="2423"/>
    </row>
    <row r="58801" s="101" customFormat="1" spans="6:6">
      <c r="F58801" s="2423"/>
    </row>
    <row r="58802" s="101" customFormat="1" spans="6:6">
      <c r="F58802" s="2423"/>
    </row>
    <row r="58803" s="101" customFormat="1" spans="6:6">
      <c r="F58803" s="2423"/>
    </row>
    <row r="58804" s="101" customFormat="1" spans="6:6">
      <c r="F58804" s="2423"/>
    </row>
    <row r="58805" s="101" customFormat="1" spans="6:6">
      <c r="F58805" s="2423"/>
    </row>
    <row r="58806" s="101" customFormat="1" spans="6:6">
      <c r="F58806" s="2423"/>
    </row>
    <row r="58807" s="101" customFormat="1" spans="6:6">
      <c r="F58807" s="2423"/>
    </row>
    <row r="58808" s="101" customFormat="1" spans="6:6">
      <c r="F58808" s="2423"/>
    </row>
    <row r="58809" s="101" customFormat="1" spans="6:6">
      <c r="F58809" s="2423"/>
    </row>
    <row r="58810" s="101" customFormat="1" spans="6:6">
      <c r="F58810" s="2423"/>
    </row>
    <row r="58811" s="101" customFormat="1" spans="6:6">
      <c r="F58811" s="2423"/>
    </row>
    <row r="58812" s="101" customFormat="1" spans="6:6">
      <c r="F58812" s="2423"/>
    </row>
    <row r="58813" s="101" customFormat="1" spans="6:6">
      <c r="F58813" s="2423"/>
    </row>
    <row r="58814" s="101" customFormat="1" spans="6:6">
      <c r="F58814" s="2423"/>
    </row>
    <row r="58815" s="101" customFormat="1" spans="6:6">
      <c r="F58815" s="2423"/>
    </row>
    <row r="58816" s="101" customFormat="1" spans="6:6">
      <c r="F58816" s="2423"/>
    </row>
    <row r="58817" s="101" customFormat="1" spans="6:6">
      <c r="F58817" s="2423"/>
    </row>
    <row r="58818" s="101" customFormat="1" spans="6:6">
      <c r="F58818" s="2423"/>
    </row>
    <row r="58819" s="101" customFormat="1" spans="6:6">
      <c r="F58819" s="2423"/>
    </row>
    <row r="58820" s="101" customFormat="1" spans="6:6">
      <c r="F58820" s="2423"/>
    </row>
    <row r="58821" s="101" customFormat="1" spans="6:6">
      <c r="F58821" s="2423"/>
    </row>
    <row r="58822" s="101" customFormat="1" spans="6:6">
      <c r="F58822" s="2423"/>
    </row>
    <row r="58823" s="101" customFormat="1" spans="6:6">
      <c r="F58823" s="2423"/>
    </row>
    <row r="58824" s="101" customFormat="1" spans="6:6">
      <c r="F58824" s="2423"/>
    </row>
    <row r="58825" s="101" customFormat="1" spans="6:6">
      <c r="F58825" s="2423"/>
    </row>
    <row r="58826" s="101" customFormat="1" spans="6:6">
      <c r="F58826" s="2423"/>
    </row>
    <row r="58827" s="101" customFormat="1" spans="6:6">
      <c r="F58827" s="2423"/>
    </row>
    <row r="58828" s="101" customFormat="1" spans="6:6">
      <c r="F58828" s="2423"/>
    </row>
    <row r="58829" s="101" customFormat="1" spans="6:6">
      <c r="F58829" s="2423"/>
    </row>
    <row r="58830" s="101" customFormat="1" spans="6:6">
      <c r="F58830" s="2423"/>
    </row>
    <row r="58831" s="101" customFormat="1" spans="6:6">
      <c r="F58831" s="2423"/>
    </row>
    <row r="58832" s="101" customFormat="1" spans="6:6">
      <c r="F58832" s="2423"/>
    </row>
    <row r="58833" s="101" customFormat="1" spans="6:6">
      <c r="F58833" s="2423"/>
    </row>
    <row r="58834" s="101" customFormat="1" spans="6:6">
      <c r="F58834" s="2423"/>
    </row>
    <row r="58835" s="101" customFormat="1" spans="6:6">
      <c r="F58835" s="2423"/>
    </row>
    <row r="58836" s="101" customFormat="1" spans="6:6">
      <c r="F58836" s="2423"/>
    </row>
    <row r="58837" s="101" customFormat="1" spans="6:6">
      <c r="F58837" s="2423"/>
    </row>
    <row r="58838" s="101" customFormat="1" spans="6:6">
      <c r="F58838" s="2423"/>
    </row>
    <row r="58839" s="101" customFormat="1" spans="6:6">
      <c r="F58839" s="2423"/>
    </row>
    <row r="58840" s="101" customFormat="1" spans="6:6">
      <c r="F58840" s="2423"/>
    </row>
    <row r="58841" s="101" customFormat="1" spans="6:6">
      <c r="F58841" s="2423"/>
    </row>
    <row r="58842" s="101" customFormat="1" spans="6:6">
      <c r="F58842" s="2423"/>
    </row>
    <row r="58843" s="101" customFormat="1" spans="6:6">
      <c r="F58843" s="2423"/>
    </row>
    <row r="58844" s="101" customFormat="1" spans="6:6">
      <c r="F58844" s="2423"/>
    </row>
    <row r="58845" s="101" customFormat="1" spans="6:6">
      <c r="F58845" s="2423"/>
    </row>
    <row r="58846" s="101" customFormat="1" spans="6:6">
      <c r="F58846" s="2423"/>
    </row>
    <row r="58847" s="101" customFormat="1" spans="6:6">
      <c r="F58847" s="2423"/>
    </row>
    <row r="58848" s="101" customFormat="1" spans="6:6">
      <c r="F58848" s="2423"/>
    </row>
    <row r="58849" s="101" customFormat="1" spans="6:6">
      <c r="F58849" s="2423"/>
    </row>
    <row r="58850" s="101" customFormat="1" spans="6:6">
      <c r="F58850" s="2423"/>
    </row>
    <row r="58851" s="101" customFormat="1" spans="6:6">
      <c r="F58851" s="2423"/>
    </row>
    <row r="58852" s="101" customFormat="1" spans="6:6">
      <c r="F58852" s="2423"/>
    </row>
    <row r="58853" s="101" customFormat="1" spans="6:6">
      <c r="F58853" s="2423"/>
    </row>
    <row r="58854" s="101" customFormat="1" spans="6:6">
      <c r="F58854" s="2423"/>
    </row>
    <row r="58855" s="101" customFormat="1" spans="6:6">
      <c r="F58855" s="2423"/>
    </row>
    <row r="58856" s="101" customFormat="1" spans="6:6">
      <c r="F58856" s="2423"/>
    </row>
    <row r="58857" s="101" customFormat="1" spans="6:6">
      <c r="F58857" s="2423"/>
    </row>
    <row r="58858" s="101" customFormat="1" spans="6:6">
      <c r="F58858" s="2423"/>
    </row>
    <row r="58859" s="101" customFormat="1" spans="6:6">
      <c r="F58859" s="2423"/>
    </row>
    <row r="58860" s="101" customFormat="1" spans="6:6">
      <c r="F58860" s="2423"/>
    </row>
    <row r="58861" s="101" customFormat="1" spans="6:6">
      <c r="F58861" s="2423"/>
    </row>
    <row r="58862" s="101" customFormat="1" spans="6:6">
      <c r="F58862" s="2423"/>
    </row>
    <row r="58863" s="101" customFormat="1" spans="6:6">
      <c r="F58863" s="2423"/>
    </row>
    <row r="58864" s="101" customFormat="1" spans="6:6">
      <c r="F58864" s="2423"/>
    </row>
    <row r="58865" s="101" customFormat="1" spans="6:6">
      <c r="F58865" s="2423"/>
    </row>
    <row r="58866" s="101" customFormat="1" spans="6:6">
      <c r="F58866" s="2423"/>
    </row>
    <row r="58867" s="101" customFormat="1" spans="6:6">
      <c r="F58867" s="2423"/>
    </row>
    <row r="58868" s="101" customFormat="1" spans="6:6">
      <c r="F58868" s="2423"/>
    </row>
    <row r="58869" s="101" customFormat="1" spans="6:6">
      <c r="F58869" s="2423"/>
    </row>
    <row r="58870" s="101" customFormat="1" spans="6:6">
      <c r="F58870" s="2423"/>
    </row>
    <row r="58871" s="101" customFormat="1" spans="6:6">
      <c r="F58871" s="2423"/>
    </row>
    <row r="58872" s="101" customFormat="1" spans="6:6">
      <c r="F58872" s="2423"/>
    </row>
    <row r="58873" s="101" customFormat="1" spans="6:6">
      <c r="F58873" s="2423"/>
    </row>
    <row r="58874" s="101" customFormat="1" spans="6:6">
      <c r="F58874" s="2423"/>
    </row>
    <row r="58875" s="101" customFormat="1" spans="6:6">
      <c r="F58875" s="2423"/>
    </row>
    <row r="58876" s="101" customFormat="1" spans="6:6">
      <c r="F58876" s="2423"/>
    </row>
    <row r="58877" s="101" customFormat="1" spans="6:6">
      <c r="F58877" s="2423"/>
    </row>
    <row r="58878" s="101" customFormat="1" spans="6:6">
      <c r="F58878" s="2423"/>
    </row>
    <row r="58879" s="101" customFormat="1" spans="6:6">
      <c r="F58879" s="2423"/>
    </row>
    <row r="58880" s="101" customFormat="1" spans="6:6">
      <c r="F58880" s="2423"/>
    </row>
    <row r="58881" s="101" customFormat="1" spans="6:6">
      <c r="F58881" s="2423"/>
    </row>
    <row r="58882" s="101" customFormat="1" spans="6:6">
      <c r="F58882" s="2423"/>
    </row>
    <row r="58883" s="101" customFormat="1" spans="6:6">
      <c r="F58883" s="2423"/>
    </row>
    <row r="58884" s="101" customFormat="1" spans="6:6">
      <c r="F58884" s="2423"/>
    </row>
    <row r="58885" s="101" customFormat="1" spans="6:6">
      <c r="F58885" s="2423"/>
    </row>
    <row r="58886" s="101" customFormat="1" spans="6:6">
      <c r="F58886" s="2423"/>
    </row>
    <row r="58887" s="101" customFormat="1" spans="6:6">
      <c r="F58887" s="2423"/>
    </row>
    <row r="58888" s="101" customFormat="1" spans="6:6">
      <c r="F58888" s="2423"/>
    </row>
    <row r="58889" s="101" customFormat="1" spans="6:6">
      <c r="F58889" s="2423"/>
    </row>
    <row r="58890" s="101" customFormat="1" spans="6:6">
      <c r="F58890" s="2423"/>
    </row>
    <row r="58891" s="101" customFormat="1" spans="6:6">
      <c r="F58891" s="2423"/>
    </row>
    <row r="58892" s="101" customFormat="1" spans="6:6">
      <c r="F58892" s="2423"/>
    </row>
    <row r="58893" s="101" customFormat="1" spans="6:6">
      <c r="F58893" s="2423"/>
    </row>
    <row r="58894" s="101" customFormat="1" spans="6:6">
      <c r="F58894" s="2423"/>
    </row>
    <row r="58895" s="101" customFormat="1" spans="6:6">
      <c r="F58895" s="2423"/>
    </row>
    <row r="58896" s="101" customFormat="1" spans="6:6">
      <c r="F58896" s="2423"/>
    </row>
    <row r="58897" s="101" customFormat="1" spans="6:6">
      <c r="F58897" s="2423"/>
    </row>
    <row r="58898" s="101" customFormat="1" spans="6:6">
      <c r="F58898" s="2423"/>
    </row>
    <row r="58899" s="101" customFormat="1" spans="6:6">
      <c r="F58899" s="2423"/>
    </row>
    <row r="58900" s="101" customFormat="1" spans="6:6">
      <c r="F58900" s="2423"/>
    </row>
    <row r="58901" s="101" customFormat="1" spans="6:6">
      <c r="F58901" s="2423"/>
    </row>
    <row r="58902" s="101" customFormat="1" spans="6:6">
      <c r="F58902" s="2423"/>
    </row>
    <row r="58903" s="101" customFormat="1" spans="6:6">
      <c r="F58903" s="2423"/>
    </row>
    <row r="58904" s="101" customFormat="1" spans="6:6">
      <c r="F58904" s="2423"/>
    </row>
    <row r="58905" s="101" customFormat="1" spans="6:6">
      <c r="F58905" s="2423"/>
    </row>
    <row r="58906" s="101" customFormat="1" spans="6:6">
      <c r="F58906" s="2423"/>
    </row>
    <row r="58907" s="101" customFormat="1" spans="6:6">
      <c r="F58907" s="2423"/>
    </row>
    <row r="58908" s="101" customFormat="1" spans="6:6">
      <c r="F58908" s="2423"/>
    </row>
    <row r="58909" s="101" customFormat="1" spans="6:6">
      <c r="F58909" s="2423"/>
    </row>
    <row r="58910" s="101" customFormat="1" spans="6:6">
      <c r="F58910" s="2423"/>
    </row>
    <row r="58911" s="101" customFormat="1" spans="6:6">
      <c r="F58911" s="2423"/>
    </row>
    <row r="58912" s="101" customFormat="1" spans="6:6">
      <c r="F58912" s="2423"/>
    </row>
    <row r="58913" s="101" customFormat="1" spans="6:6">
      <c r="F58913" s="2423"/>
    </row>
    <row r="58914" s="101" customFormat="1" spans="6:6">
      <c r="F58914" s="2423"/>
    </row>
    <row r="58915" s="101" customFormat="1" spans="6:6">
      <c r="F58915" s="2423"/>
    </row>
    <row r="58916" s="101" customFormat="1" spans="6:6">
      <c r="F58916" s="2423"/>
    </row>
    <row r="58917" s="101" customFormat="1" spans="6:6">
      <c r="F58917" s="2423"/>
    </row>
    <row r="58918" s="101" customFormat="1" spans="6:6">
      <c r="F58918" s="2423"/>
    </row>
    <row r="58919" s="101" customFormat="1" spans="6:6">
      <c r="F58919" s="2423"/>
    </row>
    <row r="58920" s="101" customFormat="1" spans="6:6">
      <c r="F58920" s="2423"/>
    </row>
    <row r="58921" s="101" customFormat="1" spans="6:6">
      <c r="F58921" s="2423"/>
    </row>
    <row r="58922" s="101" customFormat="1" spans="6:6">
      <c r="F58922" s="2423"/>
    </row>
    <row r="58923" s="101" customFormat="1" spans="6:6">
      <c r="F58923" s="2423"/>
    </row>
    <row r="58924" s="101" customFormat="1" spans="6:6">
      <c r="F58924" s="2423"/>
    </row>
    <row r="58925" s="101" customFormat="1" spans="6:6">
      <c r="F58925" s="2423"/>
    </row>
    <row r="58926" s="101" customFormat="1" spans="6:6">
      <c r="F58926" s="2423"/>
    </row>
    <row r="58927" s="101" customFormat="1" spans="6:6">
      <c r="F58927" s="2423"/>
    </row>
    <row r="58928" s="101" customFormat="1" spans="6:6">
      <c r="F58928" s="2423"/>
    </row>
    <row r="58929" s="101" customFormat="1" spans="6:6">
      <c r="F58929" s="2423"/>
    </row>
    <row r="58930" s="101" customFormat="1" spans="6:6">
      <c r="F58930" s="2423"/>
    </row>
    <row r="58931" s="101" customFormat="1" spans="6:6">
      <c r="F58931" s="2423"/>
    </row>
    <row r="58932" s="101" customFormat="1" spans="6:6">
      <c r="F58932" s="2423"/>
    </row>
    <row r="58933" s="101" customFormat="1" spans="6:6">
      <c r="F58933" s="2423"/>
    </row>
    <row r="58934" s="101" customFormat="1" spans="6:6">
      <c r="F58934" s="2423"/>
    </row>
    <row r="58935" s="101" customFormat="1" spans="6:6">
      <c r="F58935" s="2423"/>
    </row>
    <row r="58936" s="101" customFormat="1" spans="6:6">
      <c r="F58936" s="2423"/>
    </row>
    <row r="58937" s="101" customFormat="1" spans="6:6">
      <c r="F58937" s="2423"/>
    </row>
    <row r="58938" s="101" customFormat="1" spans="6:6">
      <c r="F58938" s="2423"/>
    </row>
    <row r="58939" s="101" customFormat="1" spans="6:6">
      <c r="F58939" s="2423"/>
    </row>
    <row r="58940" s="101" customFormat="1" spans="6:6">
      <c r="F58940" s="2423"/>
    </row>
    <row r="58941" s="101" customFormat="1" spans="6:6">
      <c r="F58941" s="2423"/>
    </row>
    <row r="58942" s="101" customFormat="1" spans="6:6">
      <c r="F58942" s="2423"/>
    </row>
    <row r="58943" s="101" customFormat="1" spans="6:6">
      <c r="F58943" s="2423"/>
    </row>
    <row r="58944" s="101" customFormat="1" spans="6:6">
      <c r="F58944" s="2423"/>
    </row>
    <row r="58945" s="101" customFormat="1" spans="6:6">
      <c r="F58945" s="2423"/>
    </row>
    <row r="58946" s="101" customFormat="1" spans="6:6">
      <c r="F58946" s="2423"/>
    </row>
    <row r="58947" s="101" customFormat="1" spans="6:6">
      <c r="F58947" s="2423"/>
    </row>
    <row r="58948" s="101" customFormat="1" spans="6:6">
      <c r="F58948" s="2423"/>
    </row>
    <row r="58949" s="101" customFormat="1" spans="6:6">
      <c r="F58949" s="2423"/>
    </row>
    <row r="58950" s="101" customFormat="1" spans="6:6">
      <c r="F58950" s="2423"/>
    </row>
    <row r="58951" s="101" customFormat="1" spans="6:6">
      <c r="F58951" s="2423"/>
    </row>
    <row r="58952" s="101" customFormat="1" spans="6:6">
      <c r="F58952" s="2423"/>
    </row>
    <row r="58953" s="101" customFormat="1" spans="6:6">
      <c r="F58953" s="2423"/>
    </row>
    <row r="58954" s="101" customFormat="1" spans="6:6">
      <c r="F58954" s="2423"/>
    </row>
    <row r="58955" s="101" customFormat="1" spans="6:6">
      <c r="F58955" s="2423"/>
    </row>
    <row r="58956" s="101" customFormat="1" spans="6:6">
      <c r="F58956" s="2423"/>
    </row>
    <row r="58957" s="101" customFormat="1" spans="6:6">
      <c r="F58957" s="2423"/>
    </row>
    <row r="58958" s="101" customFormat="1" spans="6:6">
      <c r="F58958" s="2423"/>
    </row>
    <row r="58959" s="101" customFormat="1" spans="6:6">
      <c r="F58959" s="2423"/>
    </row>
    <row r="58960" s="101" customFormat="1" spans="6:6">
      <c r="F58960" s="2423"/>
    </row>
    <row r="58961" s="101" customFormat="1" spans="6:6">
      <c r="F58961" s="2423"/>
    </row>
    <row r="58962" s="101" customFormat="1" spans="6:6">
      <c r="F58962" s="2423"/>
    </row>
    <row r="58963" s="101" customFormat="1" spans="6:6">
      <c r="F58963" s="2423"/>
    </row>
    <row r="58964" s="101" customFormat="1" spans="6:6">
      <c r="F58964" s="2423"/>
    </row>
    <row r="58965" s="101" customFormat="1" spans="6:6">
      <c r="F58965" s="2423"/>
    </row>
    <row r="58966" s="101" customFormat="1" spans="6:6">
      <c r="F58966" s="2423"/>
    </row>
    <row r="58967" s="101" customFormat="1" spans="6:6">
      <c r="F58967" s="2423"/>
    </row>
    <row r="58968" s="101" customFormat="1" spans="6:6">
      <c r="F58968" s="2423"/>
    </row>
    <row r="58969" s="101" customFormat="1" spans="6:6">
      <c r="F58969" s="2423"/>
    </row>
    <row r="58970" s="101" customFormat="1" spans="6:6">
      <c r="F58970" s="2423"/>
    </row>
    <row r="58971" s="101" customFormat="1" spans="6:6">
      <c r="F58971" s="2423"/>
    </row>
    <row r="58972" s="101" customFormat="1" spans="6:6">
      <c r="F58972" s="2423"/>
    </row>
    <row r="58973" s="101" customFormat="1" spans="6:6">
      <c r="F58973" s="2423"/>
    </row>
    <row r="58974" s="101" customFormat="1" spans="6:6">
      <c r="F58974" s="2423"/>
    </row>
    <row r="58975" s="101" customFormat="1" spans="6:6">
      <c r="F58975" s="2423"/>
    </row>
    <row r="58976" s="101" customFormat="1" spans="6:6">
      <c r="F58976" s="2423"/>
    </row>
    <row r="58977" s="101" customFormat="1" spans="6:6">
      <c r="F58977" s="2423"/>
    </row>
    <row r="58978" s="101" customFormat="1" spans="6:6">
      <c r="F58978" s="2423"/>
    </row>
    <row r="58979" s="101" customFormat="1" spans="6:6">
      <c r="F58979" s="2423"/>
    </row>
    <row r="58980" s="101" customFormat="1" spans="6:6">
      <c r="F58980" s="2423"/>
    </row>
    <row r="58981" s="101" customFormat="1" spans="6:6">
      <c r="F58981" s="2423"/>
    </row>
    <row r="58982" s="101" customFormat="1" spans="6:6">
      <c r="F58982" s="2423"/>
    </row>
    <row r="58983" s="101" customFormat="1" spans="6:6">
      <c r="F58983" s="2423"/>
    </row>
    <row r="58984" s="101" customFormat="1" spans="6:6">
      <c r="F58984" s="2423"/>
    </row>
    <row r="58985" s="101" customFormat="1" spans="6:6">
      <c r="F58985" s="2423"/>
    </row>
    <row r="58986" s="101" customFormat="1" spans="6:6">
      <c r="F58986" s="2423"/>
    </row>
    <row r="58987" s="101" customFormat="1" spans="6:6">
      <c r="F58987" s="2423"/>
    </row>
    <row r="58988" s="101" customFormat="1" spans="6:6">
      <c r="F58988" s="2423"/>
    </row>
    <row r="58989" s="101" customFormat="1" spans="6:6">
      <c r="F58989" s="2423"/>
    </row>
    <row r="58990" s="101" customFormat="1" spans="6:6">
      <c r="F58990" s="2423"/>
    </row>
    <row r="58991" s="101" customFormat="1" spans="6:6">
      <c r="F58991" s="2423"/>
    </row>
    <row r="58992" s="101" customFormat="1" spans="6:6">
      <c r="F58992" s="2423"/>
    </row>
    <row r="58993" s="101" customFormat="1" spans="6:6">
      <c r="F58993" s="2423"/>
    </row>
    <row r="58994" s="101" customFormat="1" spans="6:6">
      <c r="F58994" s="2423"/>
    </row>
    <row r="58995" s="101" customFormat="1" spans="6:6">
      <c r="F58995" s="2423"/>
    </row>
    <row r="58996" s="101" customFormat="1" spans="6:6">
      <c r="F58996" s="2423"/>
    </row>
    <row r="58997" s="101" customFormat="1" spans="6:6">
      <c r="F58997" s="2423"/>
    </row>
    <row r="58998" s="101" customFormat="1" spans="6:6">
      <c r="F58998" s="2423"/>
    </row>
    <row r="58999" s="101" customFormat="1" spans="6:6">
      <c r="F58999" s="2423"/>
    </row>
    <row r="59000" s="101" customFormat="1" spans="6:6">
      <c r="F59000" s="2423"/>
    </row>
    <row r="59001" s="101" customFormat="1" spans="6:6">
      <c r="F59001" s="2423"/>
    </row>
    <row r="59002" s="101" customFormat="1" spans="6:6">
      <c r="F59002" s="2423"/>
    </row>
    <row r="59003" s="101" customFormat="1" spans="6:6">
      <c r="F59003" s="2423"/>
    </row>
    <row r="59004" s="101" customFormat="1" spans="6:6">
      <c r="F59004" s="2423"/>
    </row>
    <row r="59005" s="101" customFormat="1" spans="6:6">
      <c r="F59005" s="2423"/>
    </row>
    <row r="59006" s="101" customFormat="1" spans="6:6">
      <c r="F59006" s="2423"/>
    </row>
    <row r="59007" s="101" customFormat="1" spans="6:6">
      <c r="F59007" s="2423"/>
    </row>
    <row r="59008" s="101" customFormat="1" spans="6:6">
      <c r="F59008" s="2423"/>
    </row>
    <row r="59009" s="101" customFormat="1" spans="6:6">
      <c r="F59009" s="2423"/>
    </row>
    <row r="59010" s="101" customFormat="1" spans="6:6">
      <c r="F59010" s="2423"/>
    </row>
    <row r="59011" s="101" customFormat="1" spans="6:6">
      <c r="F59011" s="2423"/>
    </row>
    <row r="59012" s="101" customFormat="1" spans="6:6">
      <c r="F59012" s="2423"/>
    </row>
    <row r="59013" s="101" customFormat="1" spans="6:6">
      <c r="F59013" s="2423"/>
    </row>
    <row r="59014" s="101" customFormat="1" spans="6:6">
      <c r="F59014" s="2423"/>
    </row>
    <row r="59015" s="101" customFormat="1" spans="6:6">
      <c r="F59015" s="2423"/>
    </row>
    <row r="59016" s="101" customFormat="1" spans="6:6">
      <c r="F59016" s="2423"/>
    </row>
    <row r="59017" s="101" customFormat="1" spans="6:6">
      <c r="F59017" s="2423"/>
    </row>
    <row r="59018" s="101" customFormat="1" spans="6:6">
      <c r="F59018" s="2423"/>
    </row>
    <row r="59019" s="101" customFormat="1" spans="6:6">
      <c r="F59019" s="2423"/>
    </row>
    <row r="59020" s="101" customFormat="1" spans="6:6">
      <c r="F59020" s="2423"/>
    </row>
    <row r="59021" s="101" customFormat="1" spans="6:6">
      <c r="F59021" s="2423"/>
    </row>
    <row r="59022" s="101" customFormat="1" spans="6:6">
      <c r="F59022" s="2423"/>
    </row>
    <row r="59023" s="101" customFormat="1" spans="6:6">
      <c r="F59023" s="2423"/>
    </row>
    <row r="59024" s="101" customFormat="1" spans="6:6">
      <c r="F59024" s="2423"/>
    </row>
    <row r="59025" s="101" customFormat="1" spans="6:6">
      <c r="F59025" s="2423"/>
    </row>
    <row r="59026" s="101" customFormat="1" spans="6:6">
      <c r="F59026" s="2423"/>
    </row>
    <row r="59027" s="101" customFormat="1" spans="6:6">
      <c r="F59027" s="2423"/>
    </row>
    <row r="59028" s="101" customFormat="1" spans="6:6">
      <c r="F59028" s="2423"/>
    </row>
    <row r="59029" s="101" customFormat="1" spans="6:6">
      <c r="F59029" s="2423"/>
    </row>
    <row r="59030" s="101" customFormat="1" spans="6:6">
      <c r="F59030" s="2423"/>
    </row>
    <row r="59031" s="101" customFormat="1" spans="6:6">
      <c r="F59031" s="2423"/>
    </row>
    <row r="59032" s="101" customFormat="1" spans="6:6">
      <c r="F59032" s="2423"/>
    </row>
    <row r="59033" s="101" customFormat="1" spans="6:6">
      <c r="F59033" s="2423"/>
    </row>
    <row r="59034" s="101" customFormat="1" spans="6:6">
      <c r="F59034" s="2423"/>
    </row>
    <row r="59035" s="101" customFormat="1" spans="6:6">
      <c r="F59035" s="2423"/>
    </row>
    <row r="59036" s="101" customFormat="1" spans="6:6">
      <c r="F59036" s="2423"/>
    </row>
    <row r="59037" s="101" customFormat="1" spans="6:6">
      <c r="F59037" s="2423"/>
    </row>
    <row r="59038" s="101" customFormat="1" spans="6:6">
      <c r="F59038" s="2423"/>
    </row>
    <row r="59039" s="101" customFormat="1" spans="6:6">
      <c r="F59039" s="2423"/>
    </row>
    <row r="59040" s="101" customFormat="1" spans="6:6">
      <c r="F59040" s="2423"/>
    </row>
    <row r="59041" s="101" customFormat="1" spans="6:6">
      <c r="F59041" s="2423"/>
    </row>
    <row r="59042" s="101" customFormat="1" spans="6:6">
      <c r="F59042" s="2423"/>
    </row>
    <row r="59043" s="101" customFormat="1" spans="6:6">
      <c r="F59043" s="2423"/>
    </row>
    <row r="59044" s="101" customFormat="1" spans="6:6">
      <c r="F59044" s="2423"/>
    </row>
    <row r="59045" s="101" customFormat="1" spans="6:6">
      <c r="F59045" s="2423"/>
    </row>
    <row r="59046" s="101" customFormat="1" spans="6:6">
      <c r="F59046" s="2423"/>
    </row>
    <row r="59047" s="101" customFormat="1" spans="6:6">
      <c r="F59047" s="2423"/>
    </row>
    <row r="59048" s="101" customFormat="1" spans="6:6">
      <c r="F59048" s="2423"/>
    </row>
    <row r="59049" s="101" customFormat="1" spans="6:6">
      <c r="F59049" s="2423"/>
    </row>
    <row r="59050" s="101" customFormat="1" spans="6:6">
      <c r="F59050" s="2423"/>
    </row>
    <row r="59051" s="101" customFormat="1" spans="6:6">
      <c r="F59051" s="2423"/>
    </row>
    <row r="59052" s="101" customFormat="1" spans="6:6">
      <c r="F59052" s="2423"/>
    </row>
    <row r="59053" s="101" customFormat="1" spans="6:6">
      <c r="F59053" s="2423"/>
    </row>
    <row r="59054" s="101" customFormat="1" spans="6:6">
      <c r="F59054" s="2423"/>
    </row>
    <row r="59055" s="101" customFormat="1" spans="6:6">
      <c r="F59055" s="2423"/>
    </row>
    <row r="59056" s="101" customFormat="1" spans="6:6">
      <c r="F59056" s="2423"/>
    </row>
    <row r="59057" s="101" customFormat="1" spans="6:6">
      <c r="F59057" s="2423"/>
    </row>
    <row r="59058" s="101" customFormat="1" spans="6:6">
      <c r="F59058" s="2423"/>
    </row>
    <row r="59059" s="101" customFormat="1" spans="6:6">
      <c r="F59059" s="2423"/>
    </row>
    <row r="59060" s="101" customFormat="1" spans="6:6">
      <c r="F59060" s="2423"/>
    </row>
    <row r="59061" s="101" customFormat="1" spans="6:6">
      <c r="F59061" s="2423"/>
    </row>
    <row r="59062" s="101" customFormat="1" spans="6:6">
      <c r="F59062" s="2423"/>
    </row>
    <row r="59063" s="101" customFormat="1" spans="6:6">
      <c r="F59063" s="2423"/>
    </row>
    <row r="59064" s="101" customFormat="1" spans="6:6">
      <c r="F59064" s="2423"/>
    </row>
    <row r="59065" s="101" customFormat="1" spans="6:6">
      <c r="F59065" s="2423"/>
    </row>
    <row r="59066" s="101" customFormat="1" spans="6:6">
      <c r="F59066" s="2423"/>
    </row>
    <row r="59067" s="101" customFormat="1" spans="6:6">
      <c r="F59067" s="2423"/>
    </row>
    <row r="59068" s="101" customFormat="1" spans="6:6">
      <c r="F59068" s="2423"/>
    </row>
    <row r="59069" s="101" customFormat="1" spans="6:6">
      <c r="F59069" s="2423"/>
    </row>
    <row r="59070" s="101" customFormat="1" spans="6:6">
      <c r="F59070" s="2423"/>
    </row>
    <row r="59071" s="101" customFormat="1" spans="6:6">
      <c r="F59071" s="2423"/>
    </row>
    <row r="59072" s="101" customFormat="1" spans="6:6">
      <c r="F59072" s="2423"/>
    </row>
    <row r="59073" s="101" customFormat="1" spans="6:6">
      <c r="F59073" s="2423"/>
    </row>
    <row r="59074" s="101" customFormat="1" spans="6:6">
      <c r="F59074" s="2423"/>
    </row>
    <row r="59075" s="101" customFormat="1" spans="6:6">
      <c r="F59075" s="2423"/>
    </row>
    <row r="59076" s="101" customFormat="1" spans="6:6">
      <c r="F59076" s="2423"/>
    </row>
    <row r="59077" s="101" customFormat="1" spans="6:6">
      <c r="F59077" s="2423"/>
    </row>
    <row r="59078" s="101" customFormat="1" spans="6:6">
      <c r="F59078" s="2423"/>
    </row>
    <row r="59079" s="101" customFormat="1" spans="6:6">
      <c r="F59079" s="2423"/>
    </row>
    <row r="59080" s="101" customFormat="1" spans="6:6">
      <c r="F59080" s="2423"/>
    </row>
    <row r="59081" s="101" customFormat="1" spans="6:6">
      <c r="F59081" s="2423"/>
    </row>
    <row r="59082" s="101" customFormat="1" spans="6:6">
      <c r="F59082" s="2423"/>
    </row>
    <row r="59083" s="101" customFormat="1" spans="6:6">
      <c r="F59083" s="2423"/>
    </row>
    <row r="59084" s="101" customFormat="1" spans="6:6">
      <c r="F59084" s="2423"/>
    </row>
    <row r="59085" s="101" customFormat="1" spans="6:6">
      <c r="F59085" s="2423"/>
    </row>
    <row r="59086" s="101" customFormat="1" spans="6:6">
      <c r="F59086" s="2423"/>
    </row>
    <row r="59087" s="101" customFormat="1" spans="6:6">
      <c r="F59087" s="2423"/>
    </row>
    <row r="59088" s="101" customFormat="1" spans="6:6">
      <c r="F59088" s="2423"/>
    </row>
    <row r="59089" s="101" customFormat="1" spans="6:6">
      <c r="F59089" s="2423"/>
    </row>
    <row r="59090" s="101" customFormat="1" spans="6:6">
      <c r="F59090" s="2423"/>
    </row>
    <row r="59091" s="101" customFormat="1" spans="6:6">
      <c r="F59091" s="2423"/>
    </row>
    <row r="59092" s="101" customFormat="1" spans="6:6">
      <c r="F59092" s="2423"/>
    </row>
    <row r="59093" s="101" customFormat="1" spans="6:6">
      <c r="F59093" s="2423"/>
    </row>
    <row r="59094" s="101" customFormat="1" spans="6:6">
      <c r="F59094" s="2423"/>
    </row>
    <row r="59095" s="101" customFormat="1" spans="6:6">
      <c r="F59095" s="2423"/>
    </row>
    <row r="59096" s="101" customFormat="1" spans="6:6">
      <c r="F59096" s="2423"/>
    </row>
    <row r="59097" s="101" customFormat="1" spans="6:6">
      <c r="F59097" s="2423"/>
    </row>
    <row r="59098" s="101" customFormat="1" spans="6:6">
      <c r="F59098" s="2423"/>
    </row>
    <row r="59099" s="101" customFormat="1" spans="6:6">
      <c r="F59099" s="2423"/>
    </row>
    <row r="59100" s="101" customFormat="1" spans="6:6">
      <c r="F59100" s="2423"/>
    </row>
    <row r="59101" s="101" customFormat="1" spans="6:6">
      <c r="F59101" s="2423"/>
    </row>
    <row r="59102" s="101" customFormat="1" spans="6:6">
      <c r="F59102" s="2423"/>
    </row>
    <row r="59103" s="101" customFormat="1" spans="6:6">
      <c r="F59103" s="2423"/>
    </row>
    <row r="59104" s="101" customFormat="1" spans="6:6">
      <c r="F59104" s="2423"/>
    </row>
    <row r="59105" s="101" customFormat="1" spans="6:6">
      <c r="F59105" s="2423"/>
    </row>
    <row r="59106" s="101" customFormat="1" spans="6:6">
      <c r="F59106" s="2423"/>
    </row>
    <row r="59107" s="101" customFormat="1" spans="6:6">
      <c r="F59107" s="2423"/>
    </row>
    <row r="59108" s="101" customFormat="1" spans="6:6">
      <c r="F59108" s="2423"/>
    </row>
    <row r="59109" s="101" customFormat="1" spans="6:6">
      <c r="F59109" s="2423"/>
    </row>
    <row r="59110" s="101" customFormat="1" spans="6:6">
      <c r="F59110" s="2423"/>
    </row>
    <row r="59111" s="101" customFormat="1" spans="6:6">
      <c r="F59111" s="2423"/>
    </row>
    <row r="59112" s="101" customFormat="1" spans="6:6">
      <c r="F59112" s="2423"/>
    </row>
    <row r="59113" s="101" customFormat="1" spans="6:6">
      <c r="F59113" s="2423"/>
    </row>
    <row r="59114" s="101" customFormat="1" spans="6:6">
      <c r="F59114" s="2423"/>
    </row>
    <row r="59115" s="101" customFormat="1" spans="6:6">
      <c r="F59115" s="2423"/>
    </row>
    <row r="59116" s="101" customFormat="1" spans="6:6">
      <c r="F59116" s="2423"/>
    </row>
    <row r="59117" s="101" customFormat="1" spans="6:6">
      <c r="F59117" s="2423"/>
    </row>
    <row r="59118" s="101" customFormat="1" spans="6:6">
      <c r="F59118" s="2423"/>
    </row>
    <row r="59119" s="101" customFormat="1" spans="6:6">
      <c r="F59119" s="2423"/>
    </row>
    <row r="59120" s="101" customFormat="1" spans="6:6">
      <c r="F59120" s="2423"/>
    </row>
    <row r="59121" s="101" customFormat="1" spans="6:6">
      <c r="F59121" s="2423"/>
    </row>
    <row r="59122" s="101" customFormat="1" spans="6:6">
      <c r="F59122" s="2423"/>
    </row>
    <row r="59123" s="101" customFormat="1" spans="6:6">
      <c r="F59123" s="2423"/>
    </row>
    <row r="59124" s="101" customFormat="1" spans="6:6">
      <c r="F59124" s="2423"/>
    </row>
    <row r="59125" s="101" customFormat="1" spans="6:6">
      <c r="F59125" s="2423"/>
    </row>
    <row r="59126" s="101" customFormat="1" spans="6:6">
      <c r="F59126" s="2423"/>
    </row>
    <row r="59127" s="101" customFormat="1" spans="6:6">
      <c r="F59127" s="2423"/>
    </row>
    <row r="59128" s="101" customFormat="1" spans="6:6">
      <c r="F59128" s="2423"/>
    </row>
    <row r="59129" s="101" customFormat="1" spans="6:6">
      <c r="F59129" s="2423"/>
    </row>
    <row r="59130" s="101" customFormat="1" spans="6:6">
      <c r="F59130" s="2423"/>
    </row>
    <row r="59131" s="101" customFormat="1" spans="6:6">
      <c r="F59131" s="2423"/>
    </row>
    <row r="59132" s="101" customFormat="1" spans="6:6">
      <c r="F59132" s="2423"/>
    </row>
    <row r="59133" s="101" customFormat="1" spans="6:6">
      <c r="F59133" s="2423"/>
    </row>
    <row r="59134" s="101" customFormat="1" spans="6:6">
      <c r="F59134" s="2423"/>
    </row>
    <row r="59135" s="101" customFormat="1" spans="6:6">
      <c r="F59135" s="2423"/>
    </row>
    <row r="59136" s="101" customFormat="1" spans="6:6">
      <c r="F59136" s="2423"/>
    </row>
    <row r="59137" s="101" customFormat="1" spans="6:6">
      <c r="F59137" s="2423"/>
    </row>
    <row r="59138" s="101" customFormat="1" spans="6:6">
      <c r="F59138" s="2423"/>
    </row>
    <row r="59139" s="101" customFormat="1" spans="6:6">
      <c r="F59139" s="2423"/>
    </row>
    <row r="59140" s="101" customFormat="1" spans="6:6">
      <c r="F59140" s="2423"/>
    </row>
    <row r="59141" s="101" customFormat="1" spans="6:6">
      <c r="F59141" s="2423"/>
    </row>
    <row r="59142" s="101" customFormat="1" spans="6:6">
      <c r="F59142" s="2423"/>
    </row>
    <row r="59143" s="101" customFormat="1" spans="6:6">
      <c r="F59143" s="2423"/>
    </row>
    <row r="59144" s="101" customFormat="1" spans="6:6">
      <c r="F59144" s="2423"/>
    </row>
    <row r="59145" s="101" customFormat="1" spans="6:6">
      <c r="F59145" s="2423"/>
    </row>
    <row r="59146" s="101" customFormat="1" spans="6:6">
      <c r="F59146" s="2423"/>
    </row>
    <row r="59147" s="101" customFormat="1" spans="6:6">
      <c r="F59147" s="2423"/>
    </row>
    <row r="59148" s="101" customFormat="1" spans="6:6">
      <c r="F59148" s="2423"/>
    </row>
    <row r="59149" s="101" customFormat="1" spans="6:6">
      <c r="F59149" s="2423"/>
    </row>
    <row r="59150" s="101" customFormat="1" spans="6:6">
      <c r="F59150" s="2423"/>
    </row>
    <row r="59151" s="101" customFormat="1" spans="6:6">
      <c r="F59151" s="2423"/>
    </row>
    <row r="59152" s="101" customFormat="1" spans="6:6">
      <c r="F59152" s="2423"/>
    </row>
    <row r="59153" s="101" customFormat="1" spans="6:6">
      <c r="F59153" s="2423"/>
    </row>
    <row r="59154" s="101" customFormat="1" spans="6:6">
      <c r="F59154" s="2423"/>
    </row>
    <row r="59155" s="101" customFormat="1" spans="6:6">
      <c r="F59155" s="2423"/>
    </row>
    <row r="59156" s="101" customFormat="1" spans="6:6">
      <c r="F59156" s="2423"/>
    </row>
    <row r="59157" s="101" customFormat="1" spans="6:6">
      <c r="F59157" s="2423"/>
    </row>
    <row r="59158" s="101" customFormat="1" spans="6:6">
      <c r="F59158" s="2423"/>
    </row>
    <row r="59159" s="101" customFormat="1" spans="6:6">
      <c r="F59159" s="2423"/>
    </row>
    <row r="59160" s="101" customFormat="1" spans="6:6">
      <c r="F59160" s="2423"/>
    </row>
    <row r="59161" s="101" customFormat="1" spans="6:6">
      <c r="F59161" s="2423"/>
    </row>
    <row r="59162" s="101" customFormat="1" spans="6:6">
      <c r="F59162" s="2423"/>
    </row>
    <row r="59163" s="101" customFormat="1" spans="6:6">
      <c r="F59163" s="2423"/>
    </row>
    <row r="59164" s="101" customFormat="1" spans="6:6">
      <c r="F59164" s="2423"/>
    </row>
    <row r="59165" s="101" customFormat="1" spans="6:6">
      <c r="F59165" s="2423"/>
    </row>
    <row r="59166" s="101" customFormat="1" spans="6:6">
      <c r="F59166" s="2423"/>
    </row>
    <row r="59167" s="101" customFormat="1" spans="6:6">
      <c r="F59167" s="2423"/>
    </row>
    <row r="59168" s="101" customFormat="1" spans="6:6">
      <c r="F59168" s="2423"/>
    </row>
    <row r="59169" s="101" customFormat="1" spans="6:6">
      <c r="F59169" s="2423"/>
    </row>
    <row r="59170" s="101" customFormat="1" spans="6:6">
      <c r="F59170" s="2423"/>
    </row>
    <row r="59171" s="101" customFormat="1" spans="6:6">
      <c r="F59171" s="2423"/>
    </row>
    <row r="59172" s="101" customFormat="1" spans="6:6">
      <c r="F59172" s="2423"/>
    </row>
    <row r="59173" s="101" customFormat="1" spans="6:6">
      <c r="F59173" s="2423"/>
    </row>
    <row r="59174" s="101" customFormat="1" spans="6:6">
      <c r="F59174" s="2423"/>
    </row>
    <row r="59175" s="101" customFormat="1" spans="6:6">
      <c r="F59175" s="2423"/>
    </row>
    <row r="59176" s="101" customFormat="1" spans="6:6">
      <c r="F59176" s="2423"/>
    </row>
    <row r="59177" s="101" customFormat="1" spans="6:6">
      <c r="F59177" s="2423"/>
    </row>
    <row r="59178" s="101" customFormat="1" spans="6:6">
      <c r="F59178" s="2423"/>
    </row>
    <row r="59179" s="101" customFormat="1" spans="6:6">
      <c r="F59179" s="2423"/>
    </row>
    <row r="59180" s="101" customFormat="1" spans="6:6">
      <c r="F59180" s="2423"/>
    </row>
    <row r="59181" s="101" customFormat="1" spans="6:6">
      <c r="F59181" s="2423"/>
    </row>
    <row r="59182" s="101" customFormat="1" spans="6:6">
      <c r="F59182" s="2423"/>
    </row>
    <row r="59183" s="101" customFormat="1" spans="6:6">
      <c r="F59183" s="2423"/>
    </row>
    <row r="59184" s="101" customFormat="1" spans="6:6">
      <c r="F59184" s="2423"/>
    </row>
    <row r="59185" s="101" customFormat="1" spans="6:6">
      <c r="F59185" s="2423"/>
    </row>
    <row r="59186" s="101" customFormat="1" spans="6:6">
      <c r="F59186" s="2423"/>
    </row>
    <row r="59187" s="101" customFormat="1" spans="6:6">
      <c r="F59187" s="2423"/>
    </row>
    <row r="59188" s="101" customFormat="1" spans="6:6">
      <c r="F59188" s="2423"/>
    </row>
    <row r="59189" s="101" customFormat="1" spans="6:6">
      <c r="F59189" s="2423"/>
    </row>
    <row r="59190" s="101" customFormat="1" spans="6:6">
      <c r="F59190" s="2423"/>
    </row>
    <row r="59191" s="101" customFormat="1" spans="6:6">
      <c r="F59191" s="2423"/>
    </row>
    <row r="59192" s="101" customFormat="1" spans="6:6">
      <c r="F59192" s="2423"/>
    </row>
    <row r="59193" s="101" customFormat="1" spans="6:6">
      <c r="F59193" s="2423"/>
    </row>
    <row r="59194" s="101" customFormat="1" spans="6:6">
      <c r="F59194" s="2423"/>
    </row>
    <row r="59195" s="101" customFormat="1" spans="6:6">
      <c r="F59195" s="2423"/>
    </row>
    <row r="59196" s="101" customFormat="1" spans="6:6">
      <c r="F59196" s="2423"/>
    </row>
    <row r="59197" s="101" customFormat="1" spans="6:6">
      <c r="F59197" s="2423"/>
    </row>
    <row r="59198" s="101" customFormat="1" spans="6:6">
      <c r="F59198" s="2423"/>
    </row>
    <row r="59199" s="101" customFormat="1" spans="6:6">
      <c r="F59199" s="2423"/>
    </row>
    <row r="59200" s="101" customFormat="1" spans="6:6">
      <c r="F59200" s="2423"/>
    </row>
    <row r="59201" s="101" customFormat="1" spans="6:6">
      <c r="F59201" s="2423"/>
    </row>
    <row r="59202" s="101" customFormat="1" spans="6:6">
      <c r="F59202" s="2423"/>
    </row>
    <row r="59203" s="101" customFormat="1" spans="6:6">
      <c r="F59203" s="2423"/>
    </row>
    <row r="59204" s="101" customFormat="1" spans="6:6">
      <c r="F59204" s="2423"/>
    </row>
    <row r="59205" s="101" customFormat="1" spans="6:6">
      <c r="F59205" s="2423"/>
    </row>
    <row r="59206" s="101" customFormat="1" spans="6:6">
      <c r="F59206" s="2423"/>
    </row>
    <row r="59207" s="101" customFormat="1" spans="6:6">
      <c r="F59207" s="2423"/>
    </row>
    <row r="59208" s="101" customFormat="1" spans="6:6">
      <c r="F59208" s="2423"/>
    </row>
    <row r="59209" s="101" customFormat="1" spans="6:6">
      <c r="F59209" s="2423"/>
    </row>
    <row r="59210" s="101" customFormat="1" spans="6:6">
      <c r="F59210" s="2423"/>
    </row>
    <row r="59211" s="101" customFormat="1" spans="6:6">
      <c r="F59211" s="2423"/>
    </row>
    <row r="59212" s="101" customFormat="1" spans="6:6">
      <c r="F59212" s="2423"/>
    </row>
    <row r="59213" s="101" customFormat="1" spans="6:6">
      <c r="F59213" s="2423"/>
    </row>
    <row r="59214" s="101" customFormat="1" spans="6:6">
      <c r="F59214" s="2423"/>
    </row>
    <row r="59215" s="101" customFormat="1" spans="6:6">
      <c r="F59215" s="2423"/>
    </row>
    <row r="59216" s="101" customFormat="1" spans="6:6">
      <c r="F59216" s="2423"/>
    </row>
    <row r="59217" s="101" customFormat="1" spans="6:6">
      <c r="F59217" s="2423"/>
    </row>
    <row r="59218" s="101" customFormat="1" spans="6:6">
      <c r="F59218" s="2423"/>
    </row>
    <row r="59219" s="101" customFormat="1" spans="6:6">
      <c r="F59219" s="2423"/>
    </row>
    <row r="59220" s="101" customFormat="1" spans="6:6">
      <c r="F59220" s="2423"/>
    </row>
    <row r="59221" s="101" customFormat="1" spans="6:6">
      <c r="F59221" s="2423"/>
    </row>
    <row r="59222" s="101" customFormat="1" spans="6:6">
      <c r="F59222" s="2423"/>
    </row>
    <row r="59223" s="101" customFormat="1" spans="6:6">
      <c r="F59223" s="2423"/>
    </row>
    <row r="59224" s="101" customFormat="1" spans="6:6">
      <c r="F59224" s="2423"/>
    </row>
    <row r="59225" s="101" customFormat="1" spans="6:6">
      <c r="F59225" s="2423"/>
    </row>
    <row r="59226" s="101" customFormat="1" spans="6:6">
      <c r="F59226" s="2423"/>
    </row>
    <row r="59227" s="101" customFormat="1" spans="6:6">
      <c r="F59227" s="2423"/>
    </row>
    <row r="59228" s="101" customFormat="1" spans="6:6">
      <c r="F59228" s="2423"/>
    </row>
    <row r="59229" s="101" customFormat="1" spans="6:6">
      <c r="F59229" s="2423"/>
    </row>
    <row r="59230" s="101" customFormat="1" spans="6:6">
      <c r="F59230" s="2423"/>
    </row>
    <row r="59231" s="101" customFormat="1" spans="6:6">
      <c r="F59231" s="2423"/>
    </row>
    <row r="59232" s="101" customFormat="1" spans="6:6">
      <c r="F59232" s="2423"/>
    </row>
    <row r="59233" s="101" customFormat="1" spans="6:6">
      <c r="F59233" s="2423"/>
    </row>
    <row r="59234" s="101" customFormat="1" spans="6:6">
      <c r="F59234" s="2423"/>
    </row>
    <row r="59235" s="101" customFormat="1" spans="6:6">
      <c r="F59235" s="2423"/>
    </row>
    <row r="59236" s="101" customFormat="1" spans="6:6">
      <c r="F59236" s="2423"/>
    </row>
    <row r="59237" s="101" customFormat="1" spans="6:6">
      <c r="F59237" s="2423"/>
    </row>
    <row r="59238" s="101" customFormat="1" spans="6:6">
      <c r="F59238" s="2423"/>
    </row>
    <row r="59239" s="101" customFormat="1" spans="6:6">
      <c r="F59239" s="2423"/>
    </row>
    <row r="59240" s="101" customFormat="1" spans="6:6">
      <c r="F59240" s="2423"/>
    </row>
    <row r="59241" s="101" customFormat="1" spans="6:6">
      <c r="F59241" s="2423"/>
    </row>
    <row r="59242" s="101" customFormat="1" spans="6:6">
      <c r="F59242" s="2423"/>
    </row>
    <row r="59243" s="101" customFormat="1" spans="6:6">
      <c r="F59243" s="2423"/>
    </row>
    <row r="59244" s="101" customFormat="1" spans="6:6">
      <c r="F59244" s="2423"/>
    </row>
    <row r="59245" s="101" customFormat="1" spans="6:6">
      <c r="F59245" s="2423"/>
    </row>
    <row r="59246" s="101" customFormat="1" spans="6:6">
      <c r="F59246" s="2423"/>
    </row>
    <row r="59247" s="101" customFormat="1" spans="6:6">
      <c r="F59247" s="2423"/>
    </row>
    <row r="59248" s="101" customFormat="1" spans="6:6">
      <c r="F59248" s="2423"/>
    </row>
    <row r="59249" s="101" customFormat="1" spans="6:6">
      <c r="F59249" s="2423"/>
    </row>
    <row r="59250" s="101" customFormat="1" spans="6:6">
      <c r="F59250" s="2423"/>
    </row>
    <row r="59251" s="101" customFormat="1" spans="6:6">
      <c r="F59251" s="2423"/>
    </row>
    <row r="59252" s="101" customFormat="1" spans="6:6">
      <c r="F59252" s="2423"/>
    </row>
    <row r="59253" s="101" customFormat="1" spans="6:6">
      <c r="F59253" s="2423"/>
    </row>
    <row r="59254" s="101" customFormat="1" spans="6:6">
      <c r="F59254" s="2423"/>
    </row>
    <row r="59255" s="101" customFormat="1" spans="6:6">
      <c r="F59255" s="2423"/>
    </row>
    <row r="59256" s="101" customFormat="1" spans="6:6">
      <c r="F59256" s="2423"/>
    </row>
    <row r="59257" s="101" customFormat="1" spans="6:6">
      <c r="F59257" s="2423"/>
    </row>
    <row r="59258" s="101" customFormat="1" spans="6:6">
      <c r="F59258" s="2423"/>
    </row>
    <row r="59259" s="101" customFormat="1" spans="6:6">
      <c r="F59259" s="2423"/>
    </row>
    <row r="59260" s="101" customFormat="1" spans="6:6">
      <c r="F59260" s="2423"/>
    </row>
    <row r="59261" s="101" customFormat="1" spans="6:6">
      <c r="F59261" s="2423"/>
    </row>
    <row r="59262" s="101" customFormat="1" spans="6:6">
      <c r="F59262" s="2423"/>
    </row>
    <row r="59263" s="101" customFormat="1" spans="6:6">
      <c r="F59263" s="2423"/>
    </row>
    <row r="59264" s="101" customFormat="1" spans="6:6">
      <c r="F59264" s="2423"/>
    </row>
    <row r="59265" s="101" customFormat="1" spans="6:6">
      <c r="F59265" s="2423"/>
    </row>
    <row r="59266" s="101" customFormat="1" spans="6:6">
      <c r="F59266" s="2423"/>
    </row>
    <row r="59267" s="101" customFormat="1" spans="6:6">
      <c r="F59267" s="2423"/>
    </row>
    <row r="59268" s="101" customFormat="1" spans="6:6">
      <c r="F59268" s="2423"/>
    </row>
    <row r="59269" s="101" customFormat="1" spans="6:6">
      <c r="F59269" s="2423"/>
    </row>
    <row r="59270" s="101" customFormat="1" spans="6:6">
      <c r="F59270" s="2423"/>
    </row>
    <row r="59271" s="101" customFormat="1" spans="6:6">
      <c r="F59271" s="2423"/>
    </row>
    <row r="59272" s="101" customFormat="1" spans="6:6">
      <c r="F59272" s="2423"/>
    </row>
    <row r="59273" s="101" customFormat="1" spans="6:6">
      <c r="F59273" s="2423"/>
    </row>
    <row r="59274" s="101" customFormat="1" spans="6:6">
      <c r="F59274" s="2423"/>
    </row>
    <row r="59275" s="101" customFormat="1" spans="6:6">
      <c r="F59275" s="2423"/>
    </row>
    <row r="59276" s="101" customFormat="1" spans="6:6">
      <c r="F59276" s="2423"/>
    </row>
    <row r="59277" s="101" customFormat="1" spans="6:6">
      <c r="F59277" s="2423"/>
    </row>
    <row r="59278" s="101" customFormat="1" spans="6:6">
      <c r="F59278" s="2423"/>
    </row>
    <row r="59279" s="101" customFormat="1" spans="6:6">
      <c r="F59279" s="2423"/>
    </row>
    <row r="59280" s="101" customFormat="1" spans="6:6">
      <c r="F59280" s="2423"/>
    </row>
    <row r="59281" s="101" customFormat="1" spans="6:6">
      <c r="F59281" s="2423"/>
    </row>
    <row r="59282" s="101" customFormat="1" spans="6:6">
      <c r="F59282" s="2423"/>
    </row>
    <row r="59283" s="101" customFormat="1" spans="6:6">
      <c r="F59283" s="2423"/>
    </row>
    <row r="59284" s="101" customFormat="1" spans="6:6">
      <c r="F59284" s="2423"/>
    </row>
    <row r="59285" s="101" customFormat="1" spans="6:6">
      <c r="F59285" s="2423"/>
    </row>
    <row r="59286" s="101" customFormat="1" spans="6:6">
      <c r="F59286" s="2423"/>
    </row>
    <row r="59287" s="101" customFormat="1" spans="6:6">
      <c r="F59287" s="2423"/>
    </row>
    <row r="59288" s="101" customFormat="1" spans="6:6">
      <c r="F59288" s="2423"/>
    </row>
    <row r="59289" s="101" customFormat="1" spans="6:6">
      <c r="F59289" s="2423"/>
    </row>
    <row r="59290" s="101" customFormat="1" spans="6:6">
      <c r="F59290" s="2423"/>
    </row>
    <row r="59291" s="101" customFormat="1" spans="6:6">
      <c r="F59291" s="2423"/>
    </row>
    <row r="59292" s="101" customFormat="1" spans="6:6">
      <c r="F59292" s="2423"/>
    </row>
    <row r="59293" s="101" customFormat="1" spans="6:6">
      <c r="F59293" s="2423"/>
    </row>
    <row r="59294" s="101" customFormat="1" spans="6:6">
      <c r="F59294" s="2423"/>
    </row>
    <row r="59295" s="101" customFormat="1" spans="6:6">
      <c r="F59295" s="2423"/>
    </row>
    <row r="59296" s="101" customFormat="1" spans="6:6">
      <c r="F59296" s="2423"/>
    </row>
    <row r="59297" s="101" customFormat="1" spans="6:6">
      <c r="F59297" s="2423"/>
    </row>
    <row r="59298" s="101" customFormat="1" spans="6:6">
      <c r="F59298" s="2423"/>
    </row>
    <row r="59299" s="101" customFormat="1" spans="6:6">
      <c r="F59299" s="2423"/>
    </row>
    <row r="59300" s="101" customFormat="1" spans="6:6">
      <c r="F59300" s="2423"/>
    </row>
    <row r="59301" s="101" customFormat="1" spans="6:6">
      <c r="F59301" s="2423"/>
    </row>
    <row r="59302" s="101" customFormat="1" spans="6:6">
      <c r="F59302" s="2423"/>
    </row>
    <row r="59303" s="101" customFormat="1" spans="6:6">
      <c r="F59303" s="2423"/>
    </row>
    <row r="59304" s="101" customFormat="1" spans="6:6">
      <c r="F59304" s="2423"/>
    </row>
    <row r="59305" s="101" customFormat="1" spans="6:6">
      <c r="F59305" s="2423"/>
    </row>
    <row r="59306" s="101" customFormat="1" spans="6:6">
      <c r="F59306" s="2423"/>
    </row>
    <row r="59307" s="101" customFormat="1" spans="6:6">
      <c r="F59307" s="2423"/>
    </row>
    <row r="59308" s="101" customFormat="1" spans="6:6">
      <c r="F59308" s="2423"/>
    </row>
    <row r="59309" s="101" customFormat="1" spans="6:6">
      <c r="F59309" s="2423"/>
    </row>
    <row r="59310" s="101" customFormat="1" spans="6:6">
      <c r="F59310" s="2423"/>
    </row>
    <row r="59311" s="101" customFormat="1" spans="6:6">
      <c r="F59311" s="2423"/>
    </row>
    <row r="59312" s="101" customFormat="1" spans="6:6">
      <c r="F59312" s="2423"/>
    </row>
    <row r="59313" s="101" customFormat="1" spans="6:6">
      <c r="F59313" s="2423"/>
    </row>
    <row r="59314" s="101" customFormat="1" spans="6:6">
      <c r="F59314" s="2423"/>
    </row>
    <row r="59315" s="101" customFormat="1" spans="6:6">
      <c r="F59315" s="2423"/>
    </row>
    <row r="59316" s="101" customFormat="1" spans="6:6">
      <c r="F59316" s="2423"/>
    </row>
    <row r="59317" s="101" customFormat="1" spans="6:6">
      <c r="F59317" s="2423"/>
    </row>
    <row r="59318" s="101" customFormat="1" spans="6:6">
      <c r="F59318" s="2423"/>
    </row>
    <row r="59319" s="101" customFormat="1" spans="6:6">
      <c r="F59319" s="2423"/>
    </row>
    <row r="59320" s="101" customFormat="1" spans="6:6">
      <c r="F59320" s="2423"/>
    </row>
    <row r="59321" s="101" customFormat="1" spans="6:6">
      <c r="F59321" s="2423"/>
    </row>
    <row r="59322" s="101" customFormat="1" spans="6:6">
      <c r="F59322" s="2423"/>
    </row>
    <row r="59323" s="101" customFormat="1" spans="6:6">
      <c r="F59323" s="2423"/>
    </row>
    <row r="59324" s="101" customFormat="1" spans="6:6">
      <c r="F59324" s="2423"/>
    </row>
    <row r="59325" s="101" customFormat="1" spans="6:6">
      <c r="F59325" s="2423"/>
    </row>
    <row r="59326" s="101" customFormat="1" spans="6:6">
      <c r="F59326" s="2423"/>
    </row>
    <row r="59327" s="101" customFormat="1" spans="6:6">
      <c r="F59327" s="2423"/>
    </row>
    <row r="59328" s="101" customFormat="1" spans="6:6">
      <c r="F59328" s="2423"/>
    </row>
    <row r="59329" s="101" customFormat="1" spans="6:6">
      <c r="F59329" s="2423"/>
    </row>
    <row r="59330" s="101" customFormat="1" spans="6:6">
      <c r="F59330" s="2423"/>
    </row>
    <row r="59331" s="101" customFormat="1" spans="6:6">
      <c r="F59331" s="2423"/>
    </row>
    <row r="59332" s="101" customFormat="1" spans="6:6">
      <c r="F59332" s="2423"/>
    </row>
    <row r="59333" s="101" customFormat="1" spans="6:6">
      <c r="F59333" s="2423"/>
    </row>
    <row r="59334" s="101" customFormat="1" spans="6:6">
      <c r="F59334" s="2423"/>
    </row>
    <row r="59335" s="101" customFormat="1" spans="6:6">
      <c r="F59335" s="2423"/>
    </row>
    <row r="59336" s="101" customFormat="1" spans="6:6">
      <c r="F59336" s="2423"/>
    </row>
    <row r="59337" s="101" customFormat="1" spans="6:6">
      <c r="F59337" s="2423"/>
    </row>
    <row r="59338" s="101" customFormat="1" spans="6:6">
      <c r="F59338" s="2423"/>
    </row>
    <row r="59339" s="101" customFormat="1" spans="6:6">
      <c r="F59339" s="2423"/>
    </row>
    <row r="59340" s="101" customFormat="1" spans="6:6">
      <c r="F59340" s="2423"/>
    </row>
    <row r="59341" s="101" customFormat="1" spans="6:6">
      <c r="F59341" s="2423"/>
    </row>
    <row r="59342" s="101" customFormat="1" spans="6:6">
      <c r="F59342" s="2423"/>
    </row>
    <row r="59343" s="101" customFormat="1" spans="6:6">
      <c r="F59343" s="2423"/>
    </row>
    <row r="59344" s="101" customFormat="1" spans="6:6">
      <c r="F59344" s="2423"/>
    </row>
    <row r="59345" s="101" customFormat="1" spans="6:6">
      <c r="F59345" s="2423"/>
    </row>
    <row r="59346" s="101" customFormat="1" spans="6:6">
      <c r="F59346" s="2423"/>
    </row>
    <row r="59347" s="101" customFormat="1" spans="6:6">
      <c r="F59347" s="2423"/>
    </row>
    <row r="59348" s="101" customFormat="1" spans="6:6">
      <c r="F59348" s="2423"/>
    </row>
    <row r="59349" s="101" customFormat="1" spans="6:6">
      <c r="F59349" s="2423"/>
    </row>
    <row r="59350" s="101" customFormat="1" spans="6:6">
      <c r="F59350" s="2423"/>
    </row>
    <row r="59351" s="101" customFormat="1" spans="6:6">
      <c r="F59351" s="2423"/>
    </row>
    <row r="59352" s="101" customFormat="1" spans="6:6">
      <c r="F59352" s="2423"/>
    </row>
    <row r="59353" s="101" customFormat="1" spans="6:6">
      <c r="F59353" s="2423"/>
    </row>
    <row r="59354" s="101" customFormat="1" spans="6:6">
      <c r="F59354" s="2423"/>
    </row>
    <row r="59355" s="101" customFormat="1" spans="6:6">
      <c r="F59355" s="2423"/>
    </row>
    <row r="59356" s="101" customFormat="1" spans="6:6">
      <c r="F59356" s="2423"/>
    </row>
    <row r="59357" s="101" customFormat="1" spans="6:6">
      <c r="F59357" s="2423"/>
    </row>
    <row r="59358" s="101" customFormat="1" spans="6:6">
      <c r="F59358" s="2423"/>
    </row>
    <row r="59359" s="101" customFormat="1" spans="6:6">
      <c r="F59359" s="2423"/>
    </row>
    <row r="59360" s="101" customFormat="1" spans="6:6">
      <c r="F59360" s="2423"/>
    </row>
    <row r="59361" s="101" customFormat="1" spans="6:6">
      <c r="F59361" s="2423"/>
    </row>
    <row r="59362" s="101" customFormat="1" spans="6:6">
      <c r="F59362" s="2423"/>
    </row>
    <row r="59363" s="101" customFormat="1" spans="6:6">
      <c r="F59363" s="2423"/>
    </row>
    <row r="59364" s="101" customFormat="1" spans="6:6">
      <c r="F59364" s="2423"/>
    </row>
    <row r="59365" s="101" customFormat="1" spans="6:6">
      <c r="F59365" s="2423"/>
    </row>
    <row r="59366" s="101" customFormat="1" spans="6:6">
      <c r="F59366" s="2423"/>
    </row>
    <row r="59367" s="101" customFormat="1" spans="6:6">
      <c r="F59367" s="2423"/>
    </row>
    <row r="59368" s="101" customFormat="1" spans="6:6">
      <c r="F59368" s="2423"/>
    </row>
    <row r="59369" s="101" customFormat="1" spans="6:6">
      <c r="F59369" s="2423"/>
    </row>
    <row r="59370" s="101" customFormat="1" spans="6:6">
      <c r="F59370" s="2423"/>
    </row>
    <row r="59371" s="101" customFormat="1" spans="6:6">
      <c r="F59371" s="2423"/>
    </row>
    <row r="59372" s="101" customFormat="1" spans="6:6">
      <c r="F59372" s="2423"/>
    </row>
    <row r="59373" s="101" customFormat="1" spans="6:6">
      <c r="F59373" s="2423"/>
    </row>
    <row r="59374" s="101" customFormat="1" spans="6:6">
      <c r="F59374" s="2423"/>
    </row>
    <row r="59375" s="101" customFormat="1" spans="6:6">
      <c r="F59375" s="2423"/>
    </row>
    <row r="59376" s="101" customFormat="1" spans="6:6">
      <c r="F59376" s="2423"/>
    </row>
    <row r="59377" s="101" customFormat="1" spans="6:6">
      <c r="F59377" s="2423"/>
    </row>
    <row r="59378" s="101" customFormat="1" spans="6:6">
      <c r="F59378" s="2423"/>
    </row>
    <row r="59379" s="101" customFormat="1" spans="6:6">
      <c r="F59379" s="2423"/>
    </row>
    <row r="59380" s="101" customFormat="1" spans="6:6">
      <c r="F59380" s="2423"/>
    </row>
    <row r="59381" s="101" customFormat="1" spans="6:6">
      <c r="F59381" s="2423"/>
    </row>
    <row r="59382" s="101" customFormat="1" spans="6:6">
      <c r="F59382" s="2423"/>
    </row>
    <row r="59383" s="101" customFormat="1" spans="6:6">
      <c r="F59383" s="2423"/>
    </row>
    <row r="59384" s="101" customFormat="1" spans="6:6">
      <c r="F59384" s="2423"/>
    </row>
    <row r="59385" s="101" customFormat="1" spans="6:6">
      <c r="F59385" s="2423"/>
    </row>
    <row r="59386" s="101" customFormat="1" spans="6:6">
      <c r="F59386" s="2423"/>
    </row>
    <row r="59387" s="101" customFormat="1" spans="6:6">
      <c r="F59387" s="2423"/>
    </row>
    <row r="59388" s="101" customFormat="1" spans="6:6">
      <c r="F59388" s="2423"/>
    </row>
    <row r="59389" s="101" customFormat="1" spans="6:6">
      <c r="F59389" s="2423"/>
    </row>
    <row r="59390" s="101" customFormat="1" spans="6:6">
      <c r="F59390" s="2423"/>
    </row>
    <row r="59391" s="101" customFormat="1" spans="6:6">
      <c r="F59391" s="2423"/>
    </row>
    <row r="59392" s="101" customFormat="1" spans="6:6">
      <c r="F59392" s="2423"/>
    </row>
    <row r="59393" s="101" customFormat="1" spans="6:6">
      <c r="F59393" s="2423"/>
    </row>
    <row r="59394" s="101" customFormat="1" spans="6:6">
      <c r="F59394" s="2423"/>
    </row>
    <row r="59395" s="101" customFormat="1" spans="6:6">
      <c r="F59395" s="2423"/>
    </row>
    <row r="59396" s="101" customFormat="1" spans="6:6">
      <c r="F59396" s="2423"/>
    </row>
    <row r="59397" s="101" customFormat="1" spans="6:6">
      <c r="F59397" s="2423"/>
    </row>
    <row r="59398" s="101" customFormat="1" spans="6:6">
      <c r="F59398" s="2423"/>
    </row>
    <row r="59399" s="101" customFormat="1" spans="6:6">
      <c r="F59399" s="2423"/>
    </row>
    <row r="59400" s="101" customFormat="1" spans="6:6">
      <c r="F59400" s="2423"/>
    </row>
    <row r="59401" s="101" customFormat="1" spans="6:6">
      <c r="F59401" s="2423"/>
    </row>
    <row r="59402" s="101" customFormat="1" spans="6:6">
      <c r="F59402" s="2423"/>
    </row>
    <row r="59403" s="101" customFormat="1" spans="6:6">
      <c r="F59403" s="2423"/>
    </row>
    <row r="59404" s="101" customFormat="1" spans="6:6">
      <c r="F59404" s="2423"/>
    </row>
    <row r="59405" s="101" customFormat="1" spans="6:6">
      <c r="F59405" s="2423"/>
    </row>
    <row r="59406" s="101" customFormat="1" spans="6:6">
      <c r="F59406" s="2423"/>
    </row>
    <row r="59407" s="101" customFormat="1" spans="6:6">
      <c r="F59407" s="2423"/>
    </row>
    <row r="59408" s="101" customFormat="1" spans="6:6">
      <c r="F59408" s="2423"/>
    </row>
    <row r="59409" s="101" customFormat="1" spans="6:6">
      <c r="F59409" s="2423"/>
    </row>
    <row r="59410" s="101" customFormat="1" spans="6:6">
      <c r="F59410" s="2423"/>
    </row>
    <row r="59411" s="101" customFormat="1" spans="6:6">
      <c r="F59411" s="2423"/>
    </row>
    <row r="59412" s="101" customFormat="1" spans="6:6">
      <c r="F59412" s="2423"/>
    </row>
    <row r="59413" s="101" customFormat="1" spans="6:6">
      <c r="F59413" s="2423"/>
    </row>
    <row r="59414" s="101" customFormat="1" spans="6:6">
      <c r="F59414" s="2423"/>
    </row>
    <row r="59415" s="101" customFormat="1" spans="6:6">
      <c r="F59415" s="2423"/>
    </row>
    <row r="59416" s="101" customFormat="1" spans="6:6">
      <c r="F59416" s="2423"/>
    </row>
    <row r="59417" s="101" customFormat="1" spans="6:6">
      <c r="F59417" s="2423"/>
    </row>
    <row r="59418" s="101" customFormat="1" spans="6:6">
      <c r="F59418" s="2423"/>
    </row>
    <row r="59419" s="101" customFormat="1" spans="6:6">
      <c r="F59419" s="2423"/>
    </row>
    <row r="59420" s="101" customFormat="1" spans="6:6">
      <c r="F59420" s="2423"/>
    </row>
    <row r="59421" s="101" customFormat="1" spans="6:6">
      <c r="F59421" s="2423"/>
    </row>
    <row r="59422" s="101" customFormat="1" spans="6:6">
      <c r="F59422" s="2423"/>
    </row>
    <row r="59423" s="101" customFormat="1" spans="6:6">
      <c r="F59423" s="2423"/>
    </row>
    <row r="59424" s="101" customFormat="1" spans="6:6">
      <c r="F59424" s="2423"/>
    </row>
    <row r="59425" s="101" customFormat="1" spans="6:6">
      <c r="F59425" s="2423"/>
    </row>
    <row r="59426" s="101" customFormat="1" spans="6:6">
      <c r="F59426" s="2423"/>
    </row>
    <row r="59427" s="101" customFormat="1" spans="6:6">
      <c r="F59427" s="2423"/>
    </row>
    <row r="59428" s="101" customFormat="1" spans="6:6">
      <c r="F59428" s="2423"/>
    </row>
    <row r="59429" s="101" customFormat="1" spans="6:6">
      <c r="F59429" s="2423"/>
    </row>
    <row r="59430" s="101" customFormat="1" spans="6:6">
      <c r="F59430" s="2423"/>
    </row>
    <row r="59431" s="101" customFormat="1" spans="6:6">
      <c r="F59431" s="2423"/>
    </row>
    <row r="59432" s="101" customFormat="1" spans="6:6">
      <c r="F59432" s="2423"/>
    </row>
    <row r="59433" s="101" customFormat="1" spans="6:6">
      <c r="F59433" s="2423"/>
    </row>
    <row r="59434" s="101" customFormat="1" spans="6:6">
      <c r="F59434" s="2423"/>
    </row>
    <row r="59435" s="101" customFormat="1" spans="6:6">
      <c r="F59435" s="2423"/>
    </row>
    <row r="59436" s="101" customFormat="1" spans="6:6">
      <c r="F59436" s="2423"/>
    </row>
    <row r="59437" s="101" customFormat="1" spans="6:6">
      <c r="F59437" s="2423"/>
    </row>
    <row r="59438" s="101" customFormat="1" spans="6:6">
      <c r="F59438" s="2423"/>
    </row>
    <row r="59439" s="101" customFormat="1" spans="6:6">
      <c r="F59439" s="2423"/>
    </row>
    <row r="59440" s="101" customFormat="1" spans="6:6">
      <c r="F59440" s="2423"/>
    </row>
    <row r="59441" s="101" customFormat="1" spans="6:6">
      <c r="F59441" s="2423"/>
    </row>
    <row r="59442" s="101" customFormat="1" spans="6:6">
      <c r="F59442" s="2423"/>
    </row>
    <row r="59443" s="101" customFormat="1" spans="6:6">
      <c r="F59443" s="2423"/>
    </row>
    <row r="59444" s="101" customFormat="1" spans="6:6">
      <c r="F59444" s="2423"/>
    </row>
    <row r="59445" s="101" customFormat="1" spans="6:6">
      <c r="F59445" s="2423"/>
    </row>
    <row r="59446" s="101" customFormat="1" spans="6:6">
      <c r="F59446" s="2423"/>
    </row>
    <row r="59447" s="101" customFormat="1" spans="6:6">
      <c r="F59447" s="2423"/>
    </row>
    <row r="59448" s="101" customFormat="1" spans="6:6">
      <c r="F59448" s="2423"/>
    </row>
    <row r="59449" s="101" customFormat="1" spans="6:6">
      <c r="F59449" s="2423"/>
    </row>
    <row r="59450" s="101" customFormat="1" spans="6:6">
      <c r="F59450" s="2423"/>
    </row>
    <row r="59451" s="101" customFormat="1" spans="6:6">
      <c r="F59451" s="2423"/>
    </row>
    <row r="59452" s="101" customFormat="1" spans="6:6">
      <c r="F59452" s="2423"/>
    </row>
    <row r="59453" s="101" customFormat="1" spans="6:6">
      <c r="F59453" s="2423"/>
    </row>
    <row r="59454" s="101" customFormat="1" spans="6:6">
      <c r="F59454" s="2423"/>
    </row>
    <row r="59455" s="101" customFormat="1" spans="6:6">
      <c r="F59455" s="2423"/>
    </row>
    <row r="59456" s="101" customFormat="1" spans="6:6">
      <c r="F59456" s="2423"/>
    </row>
    <row r="59457" s="101" customFormat="1" spans="6:6">
      <c r="F59457" s="2423"/>
    </row>
    <row r="59458" s="101" customFormat="1" spans="6:6">
      <c r="F59458" s="2423"/>
    </row>
    <row r="59459" s="101" customFormat="1" spans="6:6">
      <c r="F59459" s="2423"/>
    </row>
    <row r="59460" s="101" customFormat="1" spans="6:6">
      <c r="F59460" s="2423"/>
    </row>
    <row r="59461" s="101" customFormat="1" spans="6:6">
      <c r="F59461" s="2423"/>
    </row>
    <row r="59462" s="101" customFormat="1" spans="6:6">
      <c r="F59462" s="2423"/>
    </row>
    <row r="59463" s="101" customFormat="1" spans="6:6">
      <c r="F59463" s="2423"/>
    </row>
    <row r="59464" s="101" customFormat="1" spans="6:6">
      <c r="F59464" s="2423"/>
    </row>
    <row r="59465" s="101" customFormat="1" spans="6:6">
      <c r="F59465" s="2423"/>
    </row>
    <row r="59466" s="101" customFormat="1" spans="6:6">
      <c r="F59466" s="2423"/>
    </row>
    <row r="59467" s="101" customFormat="1" spans="6:6">
      <c r="F59467" s="2423"/>
    </row>
    <row r="59468" s="101" customFormat="1" spans="6:6">
      <c r="F59468" s="2423"/>
    </row>
    <row r="59469" s="101" customFormat="1" spans="6:6">
      <c r="F59469" s="2423"/>
    </row>
    <row r="59470" s="101" customFormat="1" spans="6:6">
      <c r="F59470" s="2423"/>
    </row>
    <row r="59471" s="101" customFormat="1" spans="6:6">
      <c r="F59471" s="2423"/>
    </row>
    <row r="59472" s="101" customFormat="1" spans="6:6">
      <c r="F59472" s="2423"/>
    </row>
    <row r="59473" s="101" customFormat="1" spans="6:6">
      <c r="F59473" s="2423"/>
    </row>
    <row r="59474" s="101" customFormat="1" spans="6:6">
      <c r="F59474" s="2423"/>
    </row>
    <row r="59475" s="101" customFormat="1" spans="6:6">
      <c r="F59475" s="2423"/>
    </row>
    <row r="59476" s="101" customFormat="1" spans="6:6">
      <c r="F59476" s="2423"/>
    </row>
    <row r="59477" s="101" customFormat="1" spans="6:6">
      <c r="F59477" s="2423"/>
    </row>
    <row r="59478" s="101" customFormat="1" spans="6:6">
      <c r="F59478" s="2423"/>
    </row>
    <row r="59479" s="101" customFormat="1" spans="6:6">
      <c r="F59479" s="2423"/>
    </row>
    <row r="59480" s="101" customFormat="1" spans="6:6">
      <c r="F59480" s="2423"/>
    </row>
    <row r="59481" s="101" customFormat="1" spans="6:6">
      <c r="F59481" s="2423"/>
    </row>
    <row r="59482" s="101" customFormat="1" spans="6:6">
      <c r="F59482" s="2423"/>
    </row>
    <row r="59483" s="101" customFormat="1" spans="6:6">
      <c r="F59483" s="2423"/>
    </row>
    <row r="59484" s="101" customFormat="1" spans="6:6">
      <c r="F59484" s="2423"/>
    </row>
    <row r="59485" s="101" customFormat="1" spans="6:6">
      <c r="F59485" s="2423"/>
    </row>
    <row r="59486" s="101" customFormat="1" spans="6:6">
      <c r="F59486" s="2423"/>
    </row>
    <row r="59487" s="101" customFormat="1" spans="6:6">
      <c r="F59487" s="2423"/>
    </row>
    <row r="59488" s="101" customFormat="1" spans="6:6">
      <c r="F59488" s="2423"/>
    </row>
    <row r="59489" s="101" customFormat="1" spans="6:6">
      <c r="F59489" s="2423"/>
    </row>
    <row r="59490" s="101" customFormat="1" spans="6:6">
      <c r="F59490" s="2423"/>
    </row>
    <row r="59491" s="101" customFormat="1" spans="6:6">
      <c r="F59491" s="2423"/>
    </row>
    <row r="59492" s="101" customFormat="1" spans="6:6">
      <c r="F59492" s="2423"/>
    </row>
    <row r="59493" s="101" customFormat="1" spans="6:6">
      <c r="F59493" s="2423"/>
    </row>
    <row r="59494" s="101" customFormat="1" spans="6:6">
      <c r="F59494" s="2423"/>
    </row>
    <row r="59495" s="101" customFormat="1" spans="6:6">
      <c r="F59495" s="2423"/>
    </row>
    <row r="59496" s="101" customFormat="1" spans="6:6">
      <c r="F59496" s="2423"/>
    </row>
    <row r="59497" s="101" customFormat="1" spans="6:6">
      <c r="F59497" s="2423"/>
    </row>
    <row r="59498" s="101" customFormat="1" spans="6:6">
      <c r="F59498" s="2423"/>
    </row>
    <row r="59499" s="101" customFormat="1" spans="6:6">
      <c r="F59499" s="2423"/>
    </row>
    <row r="59500" s="101" customFormat="1" spans="6:6">
      <c r="F59500" s="2423"/>
    </row>
    <row r="59501" s="101" customFormat="1" spans="6:6">
      <c r="F59501" s="2423"/>
    </row>
    <row r="59502" s="101" customFormat="1" spans="6:6">
      <c r="F59502" s="2423"/>
    </row>
    <row r="59503" s="101" customFormat="1" spans="6:6">
      <c r="F59503" s="2423"/>
    </row>
    <row r="59504" s="101" customFormat="1" spans="6:6">
      <c r="F59504" s="2423"/>
    </row>
    <row r="59505" s="101" customFormat="1" spans="6:6">
      <c r="F59505" s="2423"/>
    </row>
    <row r="59506" s="101" customFormat="1" spans="6:6">
      <c r="F59506" s="2423"/>
    </row>
    <row r="59507" s="101" customFormat="1" spans="6:6">
      <c r="F59507" s="2423"/>
    </row>
    <row r="59508" s="101" customFormat="1" spans="6:6">
      <c r="F59508" s="2423"/>
    </row>
    <row r="59509" s="101" customFormat="1" spans="6:6">
      <c r="F59509" s="2423"/>
    </row>
    <row r="59510" s="101" customFormat="1" spans="6:6">
      <c r="F59510" s="2423"/>
    </row>
    <row r="59511" s="101" customFormat="1" spans="6:6">
      <c r="F59511" s="2423"/>
    </row>
    <row r="59512" s="101" customFormat="1" spans="6:6">
      <c r="F59512" s="2423"/>
    </row>
    <row r="59513" s="101" customFormat="1" spans="6:6">
      <c r="F59513" s="2423"/>
    </row>
    <row r="59514" s="101" customFormat="1" spans="6:6">
      <c r="F59514" s="2423"/>
    </row>
    <row r="59515" s="101" customFormat="1" spans="6:6">
      <c r="F59515" s="2423"/>
    </row>
    <row r="59516" s="101" customFormat="1" spans="6:6">
      <c r="F59516" s="2423"/>
    </row>
    <row r="59517" s="101" customFormat="1" spans="6:6">
      <c r="F59517" s="2423"/>
    </row>
    <row r="59518" s="101" customFormat="1" spans="6:6">
      <c r="F59518" s="2423"/>
    </row>
    <row r="59519" s="101" customFormat="1" spans="6:6">
      <c r="F59519" s="2423"/>
    </row>
    <row r="59520" s="101" customFormat="1" spans="6:6">
      <c r="F59520" s="2423"/>
    </row>
    <row r="59521" s="101" customFormat="1" spans="6:6">
      <c r="F59521" s="2423"/>
    </row>
    <row r="59522" s="101" customFormat="1" spans="6:6">
      <c r="F59522" s="2423"/>
    </row>
    <row r="59523" s="101" customFormat="1" spans="6:6">
      <c r="F59523" s="2423"/>
    </row>
    <row r="59524" s="101" customFormat="1" spans="6:6">
      <c r="F59524" s="2423"/>
    </row>
    <row r="59525" s="101" customFormat="1" spans="6:6">
      <c r="F59525" s="2423"/>
    </row>
    <row r="59526" s="101" customFormat="1" spans="6:6">
      <c r="F59526" s="2423"/>
    </row>
    <row r="59527" s="101" customFormat="1" spans="6:6">
      <c r="F59527" s="2423"/>
    </row>
    <row r="59528" s="101" customFormat="1" spans="6:6">
      <c r="F59528" s="2423"/>
    </row>
    <row r="59529" s="101" customFormat="1" spans="6:6">
      <c r="F59529" s="2423"/>
    </row>
    <row r="59530" s="101" customFormat="1" spans="6:6">
      <c r="F59530" s="2423"/>
    </row>
    <row r="59531" s="101" customFormat="1" spans="6:6">
      <c r="F59531" s="2423"/>
    </row>
    <row r="59532" s="101" customFormat="1" spans="6:6">
      <c r="F59532" s="2423"/>
    </row>
    <row r="59533" s="101" customFormat="1" spans="6:6">
      <c r="F59533" s="2423"/>
    </row>
    <row r="59534" s="101" customFormat="1" spans="6:6">
      <c r="F59534" s="2423"/>
    </row>
    <row r="59535" s="101" customFormat="1" spans="6:6">
      <c r="F59535" s="2423"/>
    </row>
    <row r="59536" s="101" customFormat="1" spans="6:6">
      <c r="F59536" s="2423"/>
    </row>
    <row r="59537" s="101" customFormat="1" spans="6:6">
      <c r="F59537" s="2423"/>
    </row>
    <row r="59538" s="101" customFormat="1" spans="6:6">
      <c r="F59538" s="2423"/>
    </row>
    <row r="59539" s="101" customFormat="1" spans="6:6">
      <c r="F59539" s="2423"/>
    </row>
    <row r="59540" s="101" customFormat="1" spans="6:6">
      <c r="F59540" s="2423"/>
    </row>
    <row r="59541" s="101" customFormat="1" spans="6:6">
      <c r="F59541" s="2423"/>
    </row>
    <row r="59542" s="101" customFormat="1" spans="6:6">
      <c r="F59542" s="2423"/>
    </row>
    <row r="59543" s="101" customFormat="1" spans="6:6">
      <c r="F59543" s="2423"/>
    </row>
    <row r="59544" s="101" customFormat="1" spans="6:6">
      <c r="F59544" s="2423"/>
    </row>
    <row r="59545" s="101" customFormat="1" spans="6:6">
      <c r="F59545" s="2423"/>
    </row>
    <row r="59546" s="101" customFormat="1" spans="6:6">
      <c r="F59546" s="2423"/>
    </row>
    <row r="59547" s="101" customFormat="1" spans="6:6">
      <c r="F59547" s="2423"/>
    </row>
    <row r="59548" s="101" customFormat="1" spans="6:6">
      <c r="F59548" s="2423"/>
    </row>
    <row r="59549" s="101" customFormat="1" spans="6:6">
      <c r="F59549" s="2423"/>
    </row>
    <row r="59550" s="101" customFormat="1" spans="6:6">
      <c r="F59550" s="2423"/>
    </row>
    <row r="59551" s="101" customFormat="1" spans="6:6">
      <c r="F59551" s="2423"/>
    </row>
    <row r="59552" s="101" customFormat="1" spans="6:6">
      <c r="F59552" s="2423"/>
    </row>
    <row r="59553" s="101" customFormat="1" spans="6:6">
      <c r="F59553" s="2423"/>
    </row>
    <row r="59554" s="101" customFormat="1" spans="6:6">
      <c r="F59554" s="2423"/>
    </row>
    <row r="59555" s="101" customFormat="1" spans="6:6">
      <c r="F59555" s="2423"/>
    </row>
    <row r="59556" s="101" customFormat="1" spans="6:6">
      <c r="F59556" s="2423"/>
    </row>
    <row r="59557" s="101" customFormat="1" spans="6:6">
      <c r="F59557" s="2423"/>
    </row>
    <row r="59558" s="101" customFormat="1" spans="6:6">
      <c r="F59558" s="2423"/>
    </row>
    <row r="59559" s="101" customFormat="1" spans="6:6">
      <c r="F59559" s="2423"/>
    </row>
    <row r="59560" s="101" customFormat="1" spans="6:6">
      <c r="F59560" s="2423"/>
    </row>
    <row r="59561" s="101" customFormat="1" spans="6:6">
      <c r="F59561" s="2423"/>
    </row>
    <row r="59562" s="101" customFormat="1" spans="6:6">
      <c r="F59562" s="2423"/>
    </row>
    <row r="59563" s="101" customFormat="1" spans="6:6">
      <c r="F59563" s="2423"/>
    </row>
    <row r="59564" s="101" customFormat="1" spans="6:6">
      <c r="F59564" s="2423"/>
    </row>
    <row r="59565" s="101" customFormat="1" spans="6:6">
      <c r="F59565" s="2423"/>
    </row>
    <row r="59566" s="101" customFormat="1" spans="6:6">
      <c r="F59566" s="2423"/>
    </row>
    <row r="59567" s="101" customFormat="1" spans="6:6">
      <c r="F59567" s="2423"/>
    </row>
    <row r="59568" s="101" customFormat="1" spans="6:6">
      <c r="F59568" s="2423"/>
    </row>
    <row r="59569" s="101" customFormat="1" spans="6:6">
      <c r="F59569" s="2423"/>
    </row>
    <row r="59570" s="101" customFormat="1" spans="6:6">
      <c r="F59570" s="2423"/>
    </row>
    <row r="59571" s="101" customFormat="1" spans="6:6">
      <c r="F59571" s="2423"/>
    </row>
    <row r="59572" s="101" customFormat="1" spans="6:6">
      <c r="F59572" s="2423"/>
    </row>
    <row r="59573" s="101" customFormat="1" spans="6:6">
      <c r="F59573" s="2423"/>
    </row>
    <row r="59574" s="101" customFormat="1" spans="6:6">
      <c r="F59574" s="2423"/>
    </row>
    <row r="59575" s="101" customFormat="1" spans="6:6">
      <c r="F59575" s="2423"/>
    </row>
    <row r="59576" s="101" customFormat="1" spans="6:6">
      <c r="F59576" s="2423"/>
    </row>
    <row r="59577" s="101" customFormat="1" spans="6:6">
      <c r="F59577" s="2423"/>
    </row>
    <row r="59578" s="101" customFormat="1" spans="6:6">
      <c r="F59578" s="2423"/>
    </row>
    <row r="59579" s="101" customFormat="1" spans="6:6">
      <c r="F59579" s="2423"/>
    </row>
    <row r="59580" s="101" customFormat="1" spans="6:6">
      <c r="F59580" s="2423"/>
    </row>
    <row r="59581" s="101" customFormat="1" spans="6:6">
      <c r="F59581" s="2423"/>
    </row>
    <row r="59582" s="101" customFormat="1" spans="6:6">
      <c r="F59582" s="2423"/>
    </row>
    <row r="59583" s="101" customFormat="1" spans="6:6">
      <c r="F59583" s="2423"/>
    </row>
    <row r="59584" s="101" customFormat="1" spans="6:6">
      <c r="F59584" s="2423"/>
    </row>
    <row r="59585" s="101" customFormat="1" spans="6:6">
      <c r="F59585" s="2423"/>
    </row>
    <row r="59586" s="101" customFormat="1" spans="6:6">
      <c r="F59586" s="2423"/>
    </row>
    <row r="59587" s="101" customFormat="1" spans="6:6">
      <c r="F59587" s="2423"/>
    </row>
    <row r="59588" s="101" customFormat="1" spans="6:6">
      <c r="F59588" s="2423"/>
    </row>
    <row r="59589" s="101" customFormat="1" spans="6:6">
      <c r="F59589" s="2423"/>
    </row>
    <row r="59590" s="101" customFormat="1" spans="6:6">
      <c r="F59590" s="2423"/>
    </row>
    <row r="59591" s="101" customFormat="1" spans="6:6">
      <c r="F59591" s="2423"/>
    </row>
    <row r="59592" s="101" customFormat="1" spans="6:6">
      <c r="F59592" s="2423"/>
    </row>
    <row r="59593" s="101" customFormat="1" spans="6:6">
      <c r="F59593" s="2423"/>
    </row>
    <row r="59594" s="101" customFormat="1" spans="6:6">
      <c r="F59594" s="2423"/>
    </row>
    <row r="59595" s="101" customFormat="1" spans="6:6">
      <c r="F59595" s="2423"/>
    </row>
    <row r="59596" s="101" customFormat="1" spans="6:6">
      <c r="F59596" s="2423"/>
    </row>
    <row r="59597" s="101" customFormat="1" spans="6:6">
      <c r="F59597" s="2423"/>
    </row>
    <row r="59598" s="101" customFormat="1" spans="6:6">
      <c r="F59598" s="2423"/>
    </row>
    <row r="59599" s="101" customFormat="1" spans="6:6">
      <c r="F59599" s="2423"/>
    </row>
    <row r="59600" s="101" customFormat="1" spans="6:6">
      <c r="F59600" s="2423"/>
    </row>
    <row r="59601" s="101" customFormat="1" spans="6:6">
      <c r="F59601" s="2423"/>
    </row>
    <row r="59602" s="101" customFormat="1" spans="6:6">
      <c r="F59602" s="2423"/>
    </row>
    <row r="59603" s="101" customFormat="1" spans="6:6">
      <c r="F59603" s="2423"/>
    </row>
    <row r="59604" s="101" customFormat="1" spans="6:6">
      <c r="F59604" s="2423"/>
    </row>
    <row r="59605" s="101" customFormat="1" spans="6:6">
      <c r="F59605" s="2423"/>
    </row>
    <row r="59606" s="101" customFormat="1" spans="6:6">
      <c r="F59606" s="2423"/>
    </row>
    <row r="59607" s="101" customFormat="1" spans="6:6">
      <c r="F59607" s="2423"/>
    </row>
    <row r="59608" s="101" customFormat="1" spans="6:6">
      <c r="F59608" s="2423"/>
    </row>
    <row r="59609" s="101" customFormat="1" spans="6:6">
      <c r="F59609" s="2423"/>
    </row>
    <row r="59610" s="101" customFormat="1" spans="6:6">
      <c r="F59610" s="2423"/>
    </row>
    <row r="59611" s="101" customFormat="1" spans="6:6">
      <c r="F59611" s="2423"/>
    </row>
    <row r="59612" s="101" customFormat="1" spans="6:6">
      <c r="F59612" s="2423"/>
    </row>
    <row r="59613" s="101" customFormat="1" spans="6:6">
      <c r="F59613" s="2423"/>
    </row>
    <row r="59614" s="101" customFormat="1" spans="6:6">
      <c r="F59614" s="2423"/>
    </row>
    <row r="59615" s="101" customFormat="1" spans="6:6">
      <c r="F59615" s="2423"/>
    </row>
    <row r="59616" s="101" customFormat="1" spans="6:6">
      <c r="F59616" s="2423"/>
    </row>
    <row r="59617" s="101" customFormat="1" spans="6:6">
      <c r="F59617" s="2423"/>
    </row>
    <row r="59618" s="101" customFormat="1" spans="6:6">
      <c r="F59618" s="2423"/>
    </row>
    <row r="59619" s="101" customFormat="1" spans="6:6">
      <c r="F59619" s="2423"/>
    </row>
    <row r="59620" s="101" customFormat="1" spans="6:6">
      <c r="F59620" s="2423"/>
    </row>
    <row r="59621" s="101" customFormat="1" spans="6:6">
      <c r="F59621" s="2423"/>
    </row>
    <row r="59622" s="101" customFormat="1" spans="6:6">
      <c r="F59622" s="2423"/>
    </row>
    <row r="59623" s="101" customFormat="1" spans="6:6">
      <c r="F59623" s="2423"/>
    </row>
    <row r="59624" s="101" customFormat="1" spans="6:6">
      <c r="F59624" s="2423"/>
    </row>
    <row r="59625" s="101" customFormat="1" spans="6:6">
      <c r="F59625" s="2423"/>
    </row>
    <row r="59626" s="101" customFormat="1" spans="6:6">
      <c r="F59626" s="2423"/>
    </row>
    <row r="59627" s="101" customFormat="1" spans="6:6">
      <c r="F59627" s="2423"/>
    </row>
    <row r="59628" s="101" customFormat="1" spans="6:6">
      <c r="F59628" s="2423"/>
    </row>
    <row r="59629" s="101" customFormat="1" spans="6:6">
      <c r="F59629" s="2423"/>
    </row>
    <row r="59630" s="101" customFormat="1" spans="6:6">
      <c r="F59630" s="2423"/>
    </row>
    <row r="59631" s="101" customFormat="1" spans="6:6">
      <c r="F59631" s="2423"/>
    </row>
    <row r="59632" s="101" customFormat="1" spans="6:6">
      <c r="F59632" s="2423"/>
    </row>
    <row r="59633" s="101" customFormat="1" spans="6:6">
      <c r="F59633" s="2423"/>
    </row>
    <row r="59634" s="101" customFormat="1" spans="6:6">
      <c r="F59634" s="2423"/>
    </row>
    <row r="59635" s="101" customFormat="1" spans="6:6">
      <c r="F59635" s="2423"/>
    </row>
    <row r="59636" s="101" customFormat="1" spans="6:6">
      <c r="F59636" s="2423"/>
    </row>
    <row r="59637" s="101" customFormat="1" spans="6:6">
      <c r="F59637" s="2423"/>
    </row>
    <row r="59638" s="101" customFormat="1" spans="6:6">
      <c r="F59638" s="2423"/>
    </row>
    <row r="59639" s="101" customFormat="1" spans="6:6">
      <c r="F59639" s="2423"/>
    </row>
    <row r="59640" s="101" customFormat="1" spans="6:6">
      <c r="F59640" s="2423"/>
    </row>
    <row r="59641" s="101" customFormat="1" spans="6:6">
      <c r="F59641" s="2423"/>
    </row>
    <row r="59642" s="101" customFormat="1" spans="6:6">
      <c r="F59642" s="2423"/>
    </row>
    <row r="59643" s="101" customFormat="1" spans="6:6">
      <c r="F59643" s="2423"/>
    </row>
    <row r="59644" s="101" customFormat="1" spans="6:6">
      <c r="F59644" s="2423"/>
    </row>
    <row r="59645" s="101" customFormat="1" spans="6:6">
      <c r="F59645" s="2423"/>
    </row>
    <row r="59646" s="101" customFormat="1" spans="6:6">
      <c r="F59646" s="2423"/>
    </row>
    <row r="59647" s="101" customFormat="1" spans="6:6">
      <c r="F59647" s="2423"/>
    </row>
    <row r="59648" s="101" customFormat="1" spans="6:6">
      <c r="F59648" s="2423"/>
    </row>
    <row r="59649" s="101" customFormat="1" spans="6:6">
      <c r="F59649" s="2423"/>
    </row>
    <row r="59650" s="101" customFormat="1" spans="6:6">
      <c r="F59650" s="2423"/>
    </row>
    <row r="59651" s="101" customFormat="1" spans="6:6">
      <c r="F59651" s="2423"/>
    </row>
    <row r="59652" s="101" customFormat="1" spans="6:6">
      <c r="F59652" s="2423"/>
    </row>
    <row r="59653" s="101" customFormat="1" spans="6:6">
      <c r="F59653" s="2423"/>
    </row>
    <row r="59654" s="101" customFormat="1" spans="6:6">
      <c r="F59654" s="2423"/>
    </row>
    <row r="59655" s="101" customFormat="1" spans="6:6">
      <c r="F59655" s="2423"/>
    </row>
    <row r="59656" s="101" customFormat="1" spans="6:6">
      <c r="F59656" s="2423"/>
    </row>
    <row r="59657" s="101" customFormat="1" spans="6:6">
      <c r="F59657" s="2423"/>
    </row>
    <row r="59658" s="101" customFormat="1" spans="6:6">
      <c r="F59658" s="2423"/>
    </row>
    <row r="59659" s="101" customFormat="1" spans="6:6">
      <c r="F59659" s="2423"/>
    </row>
    <row r="59660" s="101" customFormat="1" spans="6:6">
      <c r="F59660" s="2423"/>
    </row>
    <row r="59661" s="101" customFormat="1" spans="6:6">
      <c r="F59661" s="2423"/>
    </row>
    <row r="59662" s="101" customFormat="1" spans="6:6">
      <c r="F59662" s="2423"/>
    </row>
    <row r="59663" s="101" customFormat="1" spans="6:6">
      <c r="F59663" s="2423"/>
    </row>
    <row r="59664" s="101" customFormat="1" spans="6:6">
      <c r="F59664" s="2423"/>
    </row>
    <row r="59665" s="101" customFormat="1" spans="6:6">
      <c r="F59665" s="2423"/>
    </row>
    <row r="59666" s="101" customFormat="1" spans="6:6">
      <c r="F59666" s="2423"/>
    </row>
    <row r="59667" s="101" customFormat="1" spans="6:6">
      <c r="F59667" s="2423"/>
    </row>
    <row r="59668" s="101" customFormat="1" spans="6:6">
      <c r="F59668" s="2423"/>
    </row>
    <row r="59669" s="101" customFormat="1" spans="6:6">
      <c r="F59669" s="2423"/>
    </row>
    <row r="59670" s="101" customFormat="1" spans="6:6">
      <c r="F59670" s="2423"/>
    </row>
    <row r="59671" s="101" customFormat="1" spans="6:6">
      <c r="F59671" s="2423"/>
    </row>
    <row r="59672" s="101" customFormat="1" spans="6:6">
      <c r="F59672" s="2423"/>
    </row>
    <row r="59673" s="101" customFormat="1" spans="6:6">
      <c r="F59673" s="2423"/>
    </row>
    <row r="59674" s="101" customFormat="1" spans="6:6">
      <c r="F59674" s="2423"/>
    </row>
    <row r="59675" s="101" customFormat="1" spans="6:6">
      <c r="F59675" s="2423"/>
    </row>
    <row r="59676" s="101" customFormat="1" spans="6:6">
      <c r="F59676" s="2423"/>
    </row>
    <row r="59677" s="101" customFormat="1" spans="6:6">
      <c r="F59677" s="2423"/>
    </row>
    <row r="59678" s="101" customFormat="1" spans="6:6">
      <c r="F59678" s="2423"/>
    </row>
    <row r="59679" s="101" customFormat="1" spans="6:6">
      <c r="F59679" s="2423"/>
    </row>
    <row r="59680" s="101" customFormat="1" spans="6:6">
      <c r="F59680" s="2423"/>
    </row>
    <row r="59681" s="101" customFormat="1" spans="6:6">
      <c r="F59681" s="2423"/>
    </row>
    <row r="59682" s="101" customFormat="1" spans="6:6">
      <c r="F59682" s="2423"/>
    </row>
    <row r="59683" s="101" customFormat="1" spans="6:6">
      <c r="F59683" s="2423"/>
    </row>
    <row r="59684" s="101" customFormat="1" spans="6:6">
      <c r="F59684" s="2423"/>
    </row>
    <row r="59685" s="101" customFormat="1" spans="6:6">
      <c r="F59685" s="2423"/>
    </row>
    <row r="59686" s="101" customFormat="1" spans="6:6">
      <c r="F59686" s="2423"/>
    </row>
    <row r="59687" s="101" customFormat="1" spans="6:6">
      <c r="F59687" s="2423"/>
    </row>
    <row r="59688" s="101" customFormat="1" spans="6:6">
      <c r="F59688" s="2423"/>
    </row>
    <row r="59689" s="101" customFormat="1" spans="6:6">
      <c r="F59689" s="2423"/>
    </row>
    <row r="59690" s="101" customFormat="1" spans="6:6">
      <c r="F59690" s="2423"/>
    </row>
    <row r="59691" s="101" customFormat="1" spans="6:6">
      <c r="F59691" s="2423"/>
    </row>
    <row r="59692" s="101" customFormat="1" spans="6:6">
      <c r="F59692" s="2423"/>
    </row>
    <row r="59693" s="101" customFormat="1" spans="6:6">
      <c r="F59693" s="2423"/>
    </row>
    <row r="59694" s="101" customFormat="1" spans="6:6">
      <c r="F59694" s="2423"/>
    </row>
    <row r="59695" s="101" customFormat="1" spans="6:6">
      <c r="F59695" s="2423"/>
    </row>
    <row r="59696" s="101" customFormat="1" spans="6:6">
      <c r="F59696" s="2423"/>
    </row>
    <row r="59697" s="101" customFormat="1" spans="6:6">
      <c r="F59697" s="2423"/>
    </row>
    <row r="59698" s="101" customFormat="1" spans="6:6">
      <c r="F59698" s="2423"/>
    </row>
    <row r="59699" s="101" customFormat="1" spans="6:6">
      <c r="F59699" s="2423"/>
    </row>
    <row r="59700" s="101" customFormat="1" spans="6:6">
      <c r="F59700" s="2423"/>
    </row>
    <row r="59701" s="101" customFormat="1" spans="6:6">
      <c r="F59701" s="2423"/>
    </row>
    <row r="59702" s="101" customFormat="1" spans="6:6">
      <c r="F59702" s="2423"/>
    </row>
    <row r="59703" s="101" customFormat="1" spans="6:6">
      <c r="F59703" s="2423"/>
    </row>
    <row r="59704" s="101" customFormat="1" spans="6:6">
      <c r="F59704" s="2423"/>
    </row>
    <row r="59705" s="101" customFormat="1" spans="6:6">
      <c r="F59705" s="2423"/>
    </row>
    <row r="59706" s="101" customFormat="1" spans="6:6">
      <c r="F59706" s="2423"/>
    </row>
    <row r="59707" s="101" customFormat="1" spans="6:6">
      <c r="F59707" s="2423"/>
    </row>
    <row r="59708" s="101" customFormat="1" spans="6:6">
      <c r="F59708" s="2423"/>
    </row>
    <row r="59709" s="101" customFormat="1" spans="6:6">
      <c r="F59709" s="2423"/>
    </row>
    <row r="59710" s="101" customFormat="1" spans="6:6">
      <c r="F59710" s="2423"/>
    </row>
    <row r="59711" s="101" customFormat="1" spans="6:6">
      <c r="F59711" s="2423"/>
    </row>
    <row r="59712" s="101" customFormat="1" spans="6:6">
      <c r="F59712" s="2423"/>
    </row>
    <row r="59713" s="101" customFormat="1" spans="6:6">
      <c r="F59713" s="2423"/>
    </row>
    <row r="59714" s="101" customFormat="1" spans="6:6">
      <c r="F59714" s="2423"/>
    </row>
    <row r="59715" s="101" customFormat="1" spans="6:6">
      <c r="F59715" s="2423"/>
    </row>
    <row r="59716" s="101" customFormat="1" spans="6:6">
      <c r="F59716" s="2423"/>
    </row>
    <row r="59717" s="101" customFormat="1" spans="6:6">
      <c r="F59717" s="2423"/>
    </row>
    <row r="59718" s="101" customFormat="1" spans="6:6">
      <c r="F59718" s="2423"/>
    </row>
    <row r="59719" s="101" customFormat="1" spans="6:6">
      <c r="F59719" s="2423"/>
    </row>
    <row r="59720" s="101" customFormat="1" spans="6:6">
      <c r="F59720" s="2423"/>
    </row>
    <row r="59721" s="101" customFormat="1" spans="6:6">
      <c r="F59721" s="2423"/>
    </row>
    <row r="59722" s="101" customFormat="1" spans="6:6">
      <c r="F59722" s="2423"/>
    </row>
    <row r="59723" s="101" customFormat="1" spans="6:6">
      <c r="F59723" s="2423"/>
    </row>
    <row r="59724" s="101" customFormat="1" spans="6:6">
      <c r="F59724" s="2423"/>
    </row>
    <row r="59725" s="101" customFormat="1" spans="6:6">
      <c r="F59725" s="2423"/>
    </row>
    <row r="59726" s="101" customFormat="1" spans="6:6">
      <c r="F59726" s="2423"/>
    </row>
    <row r="59727" s="101" customFormat="1" spans="6:6">
      <c r="F59727" s="2423"/>
    </row>
    <row r="59728" s="101" customFormat="1" spans="6:6">
      <c r="F59728" s="2423"/>
    </row>
    <row r="59729" s="101" customFormat="1" spans="6:6">
      <c r="F59729" s="2423"/>
    </row>
    <row r="59730" s="101" customFormat="1" spans="6:6">
      <c r="F59730" s="2423"/>
    </row>
    <row r="59731" s="101" customFormat="1" spans="6:6">
      <c r="F59731" s="2423"/>
    </row>
    <row r="59732" s="101" customFormat="1" spans="6:6">
      <c r="F59732" s="2423"/>
    </row>
    <row r="59733" s="101" customFormat="1" spans="6:6">
      <c r="F59733" s="2423"/>
    </row>
    <row r="59734" s="101" customFormat="1" spans="6:6">
      <c r="F59734" s="2423"/>
    </row>
    <row r="59735" s="101" customFormat="1" spans="6:6">
      <c r="F59735" s="2423"/>
    </row>
    <row r="59736" s="101" customFormat="1" spans="6:6">
      <c r="F59736" s="2423"/>
    </row>
    <row r="59737" s="101" customFormat="1" spans="6:6">
      <c r="F59737" s="2423"/>
    </row>
    <row r="59738" s="101" customFormat="1" spans="6:6">
      <c r="F59738" s="2423"/>
    </row>
    <row r="59739" s="101" customFormat="1" spans="6:6">
      <c r="F59739" s="2423"/>
    </row>
    <row r="59740" s="101" customFormat="1" spans="6:6">
      <c r="F59740" s="2423"/>
    </row>
    <row r="59741" s="101" customFormat="1" spans="6:6">
      <c r="F59741" s="2423"/>
    </row>
    <row r="59742" s="101" customFormat="1" spans="6:6">
      <c r="F59742" s="2423"/>
    </row>
    <row r="59743" s="101" customFormat="1" spans="6:6">
      <c r="F59743" s="2423"/>
    </row>
    <row r="59744" s="101" customFormat="1" spans="6:6">
      <c r="F59744" s="2423"/>
    </row>
    <row r="59745" s="101" customFormat="1" spans="6:6">
      <c r="F59745" s="2423"/>
    </row>
    <row r="59746" s="101" customFormat="1" spans="6:6">
      <c r="F59746" s="2423"/>
    </row>
    <row r="59747" s="101" customFormat="1" spans="6:6">
      <c r="F59747" s="2423"/>
    </row>
    <row r="59748" s="101" customFormat="1" spans="6:6">
      <c r="F59748" s="2423"/>
    </row>
    <row r="59749" s="101" customFormat="1" spans="6:6">
      <c r="F59749" s="2423"/>
    </row>
    <row r="59750" s="101" customFormat="1" spans="6:6">
      <c r="F59750" s="2423"/>
    </row>
    <row r="59751" s="101" customFormat="1" spans="6:6">
      <c r="F59751" s="2423"/>
    </row>
    <row r="59752" s="101" customFormat="1" spans="6:6">
      <c r="F59752" s="2423"/>
    </row>
    <row r="59753" s="101" customFormat="1" spans="6:6">
      <c r="F59753" s="2423"/>
    </row>
    <row r="59754" s="101" customFormat="1" spans="6:6">
      <c r="F59754" s="2423"/>
    </row>
    <row r="59755" s="101" customFormat="1" spans="6:6">
      <c r="F59755" s="2423"/>
    </row>
    <row r="59756" s="101" customFormat="1" spans="6:6">
      <c r="F59756" s="2423"/>
    </row>
    <row r="59757" s="101" customFormat="1" spans="6:6">
      <c r="F59757" s="2423"/>
    </row>
    <row r="59758" s="101" customFormat="1" spans="6:6">
      <c r="F59758" s="2423"/>
    </row>
    <row r="59759" s="101" customFormat="1" spans="6:6">
      <c r="F59759" s="2423"/>
    </row>
    <row r="59760" s="101" customFormat="1" spans="6:6">
      <c r="F59760" s="2423"/>
    </row>
    <row r="59761" s="101" customFormat="1" spans="6:6">
      <c r="F59761" s="2423"/>
    </row>
    <row r="59762" s="101" customFormat="1" spans="6:6">
      <c r="F59762" s="2423"/>
    </row>
    <row r="59763" s="101" customFormat="1" spans="6:6">
      <c r="F59763" s="2423"/>
    </row>
    <row r="59764" s="101" customFormat="1" spans="6:6">
      <c r="F59764" s="2423"/>
    </row>
    <row r="59765" s="101" customFormat="1" spans="6:6">
      <c r="F59765" s="2423"/>
    </row>
    <row r="59766" s="101" customFormat="1" spans="6:6">
      <c r="F59766" s="2423"/>
    </row>
    <row r="59767" s="101" customFormat="1" spans="6:6">
      <c r="F59767" s="2423"/>
    </row>
    <row r="59768" s="101" customFormat="1" spans="6:6">
      <c r="F59768" s="2423"/>
    </row>
    <row r="59769" s="101" customFormat="1" spans="6:6">
      <c r="F59769" s="2423"/>
    </row>
    <row r="59770" s="101" customFormat="1" spans="6:6">
      <c r="F59770" s="2423"/>
    </row>
    <row r="59771" s="101" customFormat="1" spans="6:6">
      <c r="F59771" s="2423"/>
    </row>
    <row r="59772" s="101" customFormat="1" spans="6:6">
      <c r="F59772" s="2423"/>
    </row>
    <row r="59773" s="101" customFormat="1" spans="6:6">
      <c r="F59773" s="2423"/>
    </row>
    <row r="59774" s="101" customFormat="1" spans="6:6">
      <c r="F59774" s="2423"/>
    </row>
    <row r="59775" s="101" customFormat="1" spans="6:6">
      <c r="F59775" s="2423"/>
    </row>
    <row r="59776" s="101" customFormat="1" spans="6:6">
      <c r="F59776" s="2423"/>
    </row>
    <row r="59777" s="101" customFormat="1" spans="6:6">
      <c r="F59777" s="2423"/>
    </row>
    <row r="59778" s="101" customFormat="1" spans="6:6">
      <c r="F59778" s="2423"/>
    </row>
    <row r="59779" s="101" customFormat="1" spans="6:6">
      <c r="F59779" s="2423"/>
    </row>
    <row r="59780" s="101" customFormat="1" spans="6:6">
      <c r="F59780" s="2423"/>
    </row>
    <row r="59781" s="101" customFormat="1" spans="6:6">
      <c r="F59781" s="2423"/>
    </row>
    <row r="59782" s="101" customFormat="1" spans="6:6">
      <c r="F59782" s="2423"/>
    </row>
    <row r="59783" s="101" customFormat="1" spans="6:6">
      <c r="F59783" s="2423"/>
    </row>
    <row r="59784" s="101" customFormat="1" spans="6:6">
      <c r="F59784" s="2423"/>
    </row>
    <row r="59785" s="101" customFormat="1" spans="6:6">
      <c r="F59785" s="2423"/>
    </row>
    <row r="59786" s="101" customFormat="1" spans="6:6">
      <c r="F59786" s="2423"/>
    </row>
    <row r="59787" s="101" customFormat="1" spans="6:6">
      <c r="F59787" s="2423"/>
    </row>
    <row r="59788" s="101" customFormat="1" spans="6:6">
      <c r="F59788" s="2423"/>
    </row>
    <row r="59789" s="101" customFormat="1" spans="6:6">
      <c r="F59789" s="2423"/>
    </row>
    <row r="59790" s="101" customFormat="1" spans="6:6">
      <c r="F59790" s="2423"/>
    </row>
    <row r="59791" s="101" customFormat="1" spans="6:6">
      <c r="F59791" s="2423"/>
    </row>
    <row r="59792" s="101" customFormat="1" spans="6:6">
      <c r="F59792" s="2423"/>
    </row>
    <row r="59793" s="101" customFormat="1" spans="6:6">
      <c r="F59793" s="2423"/>
    </row>
    <row r="59794" s="101" customFormat="1" spans="6:6">
      <c r="F59794" s="2423"/>
    </row>
    <row r="59795" s="101" customFormat="1" spans="6:6">
      <c r="F59795" s="2423"/>
    </row>
    <row r="59796" s="101" customFormat="1" spans="6:6">
      <c r="F59796" s="2423"/>
    </row>
    <row r="59797" s="101" customFormat="1" spans="6:6">
      <c r="F59797" s="2423"/>
    </row>
    <row r="59798" s="101" customFormat="1" spans="6:6">
      <c r="F59798" s="2423"/>
    </row>
    <row r="59799" s="101" customFormat="1" spans="6:6">
      <c r="F59799" s="2423"/>
    </row>
    <row r="59800" s="101" customFormat="1" spans="6:6">
      <c r="F59800" s="2423"/>
    </row>
    <row r="59801" s="101" customFormat="1" spans="6:6">
      <c r="F59801" s="2423"/>
    </row>
    <row r="59802" s="101" customFormat="1" spans="6:6">
      <c r="F59802" s="2423"/>
    </row>
    <row r="59803" s="101" customFormat="1" spans="6:6">
      <c r="F59803" s="2423"/>
    </row>
    <row r="59804" s="101" customFormat="1" spans="6:6">
      <c r="F59804" s="2423"/>
    </row>
    <row r="59805" s="101" customFormat="1" spans="6:6">
      <c r="F59805" s="2423"/>
    </row>
    <row r="59806" s="101" customFormat="1" spans="6:6">
      <c r="F59806" s="2423"/>
    </row>
    <row r="59807" s="101" customFormat="1" spans="6:6">
      <c r="F59807" s="2423"/>
    </row>
    <row r="59808" s="101" customFormat="1" spans="6:6">
      <c r="F59808" s="2423"/>
    </row>
    <row r="59809" s="101" customFormat="1" spans="6:6">
      <c r="F59809" s="2423"/>
    </row>
    <row r="59810" s="101" customFormat="1" spans="6:6">
      <c r="F59810" s="2423"/>
    </row>
    <row r="59811" s="101" customFormat="1" spans="6:6">
      <c r="F59811" s="2423"/>
    </row>
    <row r="59812" s="101" customFormat="1" spans="6:6">
      <c r="F59812" s="2423"/>
    </row>
    <row r="59813" s="101" customFormat="1" spans="6:6">
      <c r="F59813" s="2423"/>
    </row>
    <row r="59814" s="101" customFormat="1" spans="6:6">
      <c r="F59814" s="2423"/>
    </row>
    <row r="59815" s="101" customFormat="1" spans="6:6">
      <c r="F59815" s="2423"/>
    </row>
    <row r="59816" s="101" customFormat="1" spans="6:6">
      <c r="F59816" s="2423"/>
    </row>
    <row r="59817" s="101" customFormat="1" spans="6:6">
      <c r="F59817" s="2423"/>
    </row>
    <row r="59818" s="101" customFormat="1" spans="6:6">
      <c r="F59818" s="2423"/>
    </row>
    <row r="59819" s="101" customFormat="1" spans="6:6">
      <c r="F59819" s="2423"/>
    </row>
    <row r="59820" s="101" customFormat="1" spans="6:6">
      <c r="F59820" s="2423"/>
    </row>
    <row r="59821" s="101" customFormat="1" spans="6:6">
      <c r="F59821" s="2423"/>
    </row>
    <row r="59822" s="101" customFormat="1" spans="6:6">
      <c r="F59822" s="2423"/>
    </row>
    <row r="59823" s="101" customFormat="1" spans="6:6">
      <c r="F59823" s="2423"/>
    </row>
    <row r="59824" s="101" customFormat="1" spans="6:6">
      <c r="F59824" s="2423"/>
    </row>
    <row r="59825" s="101" customFormat="1" spans="6:6">
      <c r="F59825" s="2423"/>
    </row>
    <row r="59826" s="101" customFormat="1" spans="6:6">
      <c r="F59826" s="2423"/>
    </row>
    <row r="59827" s="101" customFormat="1" spans="6:6">
      <c r="F59827" s="2423"/>
    </row>
    <row r="59828" s="101" customFormat="1" spans="6:6">
      <c r="F59828" s="2423"/>
    </row>
    <row r="59829" s="101" customFormat="1" spans="6:6">
      <c r="F59829" s="2423"/>
    </row>
    <row r="59830" s="101" customFormat="1" spans="6:6">
      <c r="F59830" s="2423"/>
    </row>
    <row r="59831" s="101" customFormat="1" spans="6:6">
      <c r="F59831" s="2423"/>
    </row>
    <row r="59832" s="101" customFormat="1" spans="6:6">
      <c r="F59832" s="2423"/>
    </row>
    <row r="59833" s="101" customFormat="1" spans="6:6">
      <c r="F59833" s="2423"/>
    </row>
    <row r="59834" s="101" customFormat="1" spans="6:6">
      <c r="F59834" s="2423"/>
    </row>
    <row r="59835" s="101" customFormat="1" spans="6:6">
      <c r="F59835" s="2423"/>
    </row>
    <row r="59836" s="101" customFormat="1" spans="6:6">
      <c r="F59836" s="2423"/>
    </row>
    <row r="59837" s="101" customFormat="1" spans="6:6">
      <c r="F59837" s="2423"/>
    </row>
    <row r="59838" s="101" customFormat="1" spans="6:6">
      <c r="F59838" s="2423"/>
    </row>
    <row r="59839" s="101" customFormat="1" spans="6:6">
      <c r="F59839" s="2423"/>
    </row>
    <row r="59840" s="101" customFormat="1" spans="6:6">
      <c r="F59840" s="2423"/>
    </row>
    <row r="59841" s="101" customFormat="1" spans="6:6">
      <c r="F59841" s="2423"/>
    </row>
    <row r="59842" s="101" customFormat="1" spans="6:6">
      <c r="F59842" s="2423"/>
    </row>
    <row r="59843" s="101" customFormat="1" spans="6:6">
      <c r="F59843" s="2423"/>
    </row>
    <row r="59844" s="101" customFormat="1" spans="6:6">
      <c r="F59844" s="2423"/>
    </row>
    <row r="59845" s="101" customFormat="1" spans="6:6">
      <c r="F59845" s="2423"/>
    </row>
    <row r="59846" s="101" customFormat="1" spans="6:6">
      <c r="F59846" s="2423"/>
    </row>
    <row r="59847" s="101" customFormat="1" spans="6:6">
      <c r="F59847" s="2423"/>
    </row>
    <row r="59848" s="101" customFormat="1" spans="6:6">
      <c r="F59848" s="2423"/>
    </row>
    <row r="59849" s="101" customFormat="1" spans="6:6">
      <c r="F59849" s="2423"/>
    </row>
    <row r="59850" s="101" customFormat="1" spans="6:6">
      <c r="F59850" s="2423"/>
    </row>
    <row r="59851" s="101" customFormat="1" spans="6:6">
      <c r="F59851" s="2423"/>
    </row>
    <row r="59852" s="101" customFormat="1" spans="6:6">
      <c r="F59852" s="2423"/>
    </row>
    <row r="59853" s="101" customFormat="1" spans="6:6">
      <c r="F59853" s="2423"/>
    </row>
    <row r="59854" s="101" customFormat="1" spans="6:6">
      <c r="F59854" s="2423"/>
    </row>
    <row r="59855" s="101" customFormat="1" spans="6:6">
      <c r="F59855" s="2423"/>
    </row>
    <row r="59856" s="101" customFormat="1" spans="6:6">
      <c r="F59856" s="2423"/>
    </row>
    <row r="59857" s="101" customFormat="1" spans="6:6">
      <c r="F59857" s="2423"/>
    </row>
    <row r="59858" s="101" customFormat="1" spans="6:6">
      <c r="F59858" s="2423"/>
    </row>
    <row r="59859" s="101" customFormat="1" spans="6:6">
      <c r="F59859" s="2423"/>
    </row>
    <row r="59860" s="101" customFormat="1" spans="6:6">
      <c r="F59860" s="2423"/>
    </row>
    <row r="59861" s="101" customFormat="1" spans="6:6">
      <c r="F59861" s="2423"/>
    </row>
    <row r="59862" s="101" customFormat="1" spans="6:6">
      <c r="F59862" s="2423"/>
    </row>
    <row r="59863" s="101" customFormat="1" spans="6:6">
      <c r="F59863" s="2423"/>
    </row>
    <row r="59864" s="101" customFormat="1" spans="6:6">
      <c r="F59864" s="2423"/>
    </row>
    <row r="59865" s="101" customFormat="1" spans="6:6">
      <c r="F59865" s="2423"/>
    </row>
    <row r="59866" s="101" customFormat="1" spans="6:6">
      <c r="F59866" s="2423"/>
    </row>
    <row r="59867" s="101" customFormat="1" spans="6:6">
      <c r="F59867" s="2423"/>
    </row>
    <row r="59868" s="101" customFormat="1" spans="6:6">
      <c r="F59868" s="2423"/>
    </row>
    <row r="59869" s="101" customFormat="1" spans="6:6">
      <c r="F59869" s="2423"/>
    </row>
    <row r="59870" s="101" customFormat="1" spans="6:6">
      <c r="F59870" s="2423"/>
    </row>
    <row r="59871" s="101" customFormat="1" spans="6:6">
      <c r="F59871" s="2423"/>
    </row>
    <row r="59872" s="101" customFormat="1" spans="6:6">
      <c r="F59872" s="2423"/>
    </row>
    <row r="59873" s="101" customFormat="1" spans="6:6">
      <c r="F59873" s="2423"/>
    </row>
    <row r="59874" s="101" customFormat="1" spans="6:6">
      <c r="F59874" s="2423"/>
    </row>
    <row r="59875" s="101" customFormat="1" spans="6:6">
      <c r="F59875" s="2423"/>
    </row>
    <row r="59876" s="101" customFormat="1" spans="6:6">
      <c r="F59876" s="2423"/>
    </row>
    <row r="59877" s="101" customFormat="1" spans="6:6">
      <c r="F59877" s="2423"/>
    </row>
    <row r="59878" s="101" customFormat="1" spans="6:6">
      <c r="F59878" s="2423"/>
    </row>
    <row r="59879" s="101" customFormat="1" spans="6:6">
      <c r="F59879" s="2423"/>
    </row>
    <row r="59880" s="101" customFormat="1" spans="6:6">
      <c r="F59880" s="2423"/>
    </row>
    <row r="59881" s="101" customFormat="1" spans="6:6">
      <c r="F59881" s="2423"/>
    </row>
    <row r="59882" s="101" customFormat="1" spans="6:6">
      <c r="F59882" s="2423"/>
    </row>
    <row r="59883" s="101" customFormat="1" spans="6:6">
      <c r="F59883" s="2423"/>
    </row>
    <row r="59884" s="101" customFormat="1" spans="6:6">
      <c r="F59884" s="2423"/>
    </row>
    <row r="59885" s="101" customFormat="1" spans="6:6">
      <c r="F59885" s="2423"/>
    </row>
    <row r="59886" s="101" customFormat="1" spans="6:6">
      <c r="F59886" s="2423"/>
    </row>
    <row r="59887" s="101" customFormat="1" spans="6:6">
      <c r="F59887" s="2423"/>
    </row>
    <row r="59888" s="101" customFormat="1" spans="6:6">
      <c r="F59888" s="2423"/>
    </row>
    <row r="59889" s="101" customFormat="1" spans="6:6">
      <c r="F59889" s="2423"/>
    </row>
    <row r="59890" s="101" customFormat="1" spans="6:6">
      <c r="F59890" s="2423"/>
    </row>
    <row r="59891" s="101" customFormat="1" spans="6:6">
      <c r="F59891" s="2423"/>
    </row>
    <row r="59892" s="101" customFormat="1" spans="6:6">
      <c r="F59892" s="2423"/>
    </row>
    <row r="59893" s="101" customFormat="1" spans="6:6">
      <c r="F59893" s="2423"/>
    </row>
    <row r="59894" s="101" customFormat="1" spans="6:6">
      <c r="F59894" s="2423"/>
    </row>
    <row r="59895" s="101" customFormat="1" spans="6:6">
      <c r="F59895" s="2423"/>
    </row>
    <row r="59896" s="101" customFormat="1" spans="6:6">
      <c r="F59896" s="2423"/>
    </row>
    <row r="59897" s="101" customFormat="1" spans="6:6">
      <c r="F59897" s="2423"/>
    </row>
    <row r="59898" s="101" customFormat="1" spans="6:6">
      <c r="F59898" s="2423"/>
    </row>
    <row r="59899" s="101" customFormat="1" spans="6:6">
      <c r="F59899" s="2423"/>
    </row>
    <row r="59900" s="101" customFormat="1" spans="6:6">
      <c r="F59900" s="2423"/>
    </row>
    <row r="59901" s="101" customFormat="1" spans="6:6">
      <c r="F59901" s="2423"/>
    </row>
    <row r="59902" s="101" customFormat="1" spans="6:6">
      <c r="F59902" s="2423"/>
    </row>
    <row r="59903" s="101" customFormat="1" spans="6:6">
      <c r="F59903" s="2423"/>
    </row>
    <row r="59904" s="101" customFormat="1" spans="6:6">
      <c r="F59904" s="2423"/>
    </row>
    <row r="59905" s="101" customFormat="1" spans="6:6">
      <c r="F59905" s="2423"/>
    </row>
    <row r="59906" s="101" customFormat="1" spans="6:6">
      <c r="F59906" s="2423"/>
    </row>
    <row r="59907" s="101" customFormat="1" spans="6:6">
      <c r="F59907" s="2423"/>
    </row>
    <row r="59908" s="101" customFormat="1" spans="6:6">
      <c r="F59908" s="2423"/>
    </row>
    <row r="59909" s="101" customFormat="1" spans="6:6">
      <c r="F59909" s="2423"/>
    </row>
    <row r="59910" s="101" customFormat="1" spans="6:6">
      <c r="F59910" s="2423"/>
    </row>
    <row r="59911" s="101" customFormat="1" spans="6:6">
      <c r="F59911" s="2423"/>
    </row>
    <row r="59912" s="101" customFormat="1" spans="6:6">
      <c r="F59912" s="2423"/>
    </row>
    <row r="59913" s="101" customFormat="1" spans="6:6">
      <c r="F59913" s="2423"/>
    </row>
    <row r="59914" s="101" customFormat="1" spans="6:6">
      <c r="F59914" s="2423"/>
    </row>
    <row r="59915" s="101" customFormat="1" spans="6:6">
      <c r="F59915" s="2423"/>
    </row>
    <row r="59916" s="101" customFormat="1" spans="6:6">
      <c r="F59916" s="2423"/>
    </row>
    <row r="59917" s="101" customFormat="1" spans="6:6">
      <c r="F59917" s="2423"/>
    </row>
    <row r="59918" s="101" customFormat="1" spans="6:6">
      <c r="F59918" s="2423"/>
    </row>
    <row r="59919" s="101" customFormat="1" spans="6:6">
      <c r="F59919" s="2423"/>
    </row>
    <row r="59920" s="101" customFormat="1" spans="6:6">
      <c r="F59920" s="2423"/>
    </row>
    <row r="59921" s="101" customFormat="1" spans="6:6">
      <c r="F59921" s="2423"/>
    </row>
    <row r="59922" s="101" customFormat="1" spans="6:6">
      <c r="F59922" s="2423"/>
    </row>
    <row r="59923" s="101" customFormat="1" spans="6:6">
      <c r="F59923" s="2423"/>
    </row>
    <row r="59924" s="101" customFormat="1" spans="6:6">
      <c r="F59924" s="2423"/>
    </row>
    <row r="59925" s="101" customFormat="1" spans="6:6">
      <c r="F59925" s="2423"/>
    </row>
    <row r="59926" s="101" customFormat="1" spans="6:6">
      <c r="F59926" s="2423"/>
    </row>
    <row r="59927" s="101" customFormat="1" spans="6:6">
      <c r="F59927" s="2423"/>
    </row>
    <row r="59928" s="101" customFormat="1" spans="6:6">
      <c r="F59928" s="2423"/>
    </row>
    <row r="59929" s="101" customFormat="1" spans="6:6">
      <c r="F59929" s="2423"/>
    </row>
    <row r="59930" s="101" customFormat="1" spans="6:6">
      <c r="F59930" s="2423"/>
    </row>
    <row r="59931" s="101" customFormat="1" spans="6:6">
      <c r="F59931" s="2423"/>
    </row>
    <row r="59932" s="101" customFormat="1" spans="6:6">
      <c r="F59932" s="2423"/>
    </row>
    <row r="59933" s="101" customFormat="1" spans="6:6">
      <c r="F59933" s="2423"/>
    </row>
    <row r="59934" s="101" customFormat="1" spans="6:6">
      <c r="F59934" s="2423"/>
    </row>
    <row r="59935" s="101" customFormat="1" spans="6:6">
      <c r="F59935" s="2423"/>
    </row>
    <row r="59936" s="101" customFormat="1" spans="6:6">
      <c r="F59936" s="2423"/>
    </row>
    <row r="59937" s="101" customFormat="1" spans="6:6">
      <c r="F59937" s="2423"/>
    </row>
    <row r="59938" s="101" customFormat="1" spans="6:6">
      <c r="F59938" s="2423"/>
    </row>
    <row r="59939" s="101" customFormat="1" spans="6:6">
      <c r="F59939" s="2423"/>
    </row>
    <row r="59940" s="101" customFormat="1" spans="6:6">
      <c r="F59940" s="2423"/>
    </row>
    <row r="59941" s="101" customFormat="1" spans="6:6">
      <c r="F59941" s="2423"/>
    </row>
    <row r="59942" s="101" customFormat="1" spans="6:6">
      <c r="F59942" s="2423"/>
    </row>
    <row r="59943" s="101" customFormat="1" spans="6:6">
      <c r="F59943" s="2423"/>
    </row>
    <row r="59944" s="101" customFormat="1" spans="6:6">
      <c r="F59944" s="2423"/>
    </row>
    <row r="59945" s="101" customFormat="1" spans="6:6">
      <c r="F59945" s="2423"/>
    </row>
    <row r="59946" s="101" customFormat="1" spans="6:6">
      <c r="F59946" s="2423"/>
    </row>
    <row r="59947" s="101" customFormat="1" spans="6:6">
      <c r="F59947" s="2423"/>
    </row>
    <row r="59948" s="101" customFormat="1" spans="6:6">
      <c r="F59948" s="2423"/>
    </row>
    <row r="59949" s="101" customFormat="1" spans="6:6">
      <c r="F59949" s="2423"/>
    </row>
    <row r="59950" s="101" customFormat="1" spans="6:6">
      <c r="F59950" s="2423"/>
    </row>
    <row r="59951" s="101" customFormat="1" spans="6:6">
      <c r="F59951" s="2423"/>
    </row>
    <row r="59952" s="101" customFormat="1" spans="6:6">
      <c r="F59952" s="2423"/>
    </row>
    <row r="59953" s="101" customFormat="1" spans="6:6">
      <c r="F59953" s="2423"/>
    </row>
    <row r="59954" s="101" customFormat="1" spans="6:6">
      <c r="F59954" s="2423"/>
    </row>
    <row r="59955" s="101" customFormat="1" spans="6:6">
      <c r="F59955" s="2423"/>
    </row>
    <row r="59956" s="101" customFormat="1" spans="6:6">
      <c r="F59956" s="2423"/>
    </row>
    <row r="59957" s="101" customFormat="1" spans="6:6">
      <c r="F59957" s="2423"/>
    </row>
    <row r="59958" s="101" customFormat="1" spans="6:6">
      <c r="F59958" s="2423"/>
    </row>
    <row r="59959" s="101" customFormat="1" spans="6:6">
      <c r="F59959" s="2423"/>
    </row>
    <row r="59960" s="101" customFormat="1" spans="6:6">
      <c r="F59960" s="2423"/>
    </row>
    <row r="59961" s="101" customFormat="1" spans="6:6">
      <c r="F59961" s="2423"/>
    </row>
    <row r="59962" s="101" customFormat="1" spans="6:6">
      <c r="F59962" s="2423"/>
    </row>
    <row r="59963" s="101" customFormat="1" spans="6:6">
      <c r="F59963" s="2423"/>
    </row>
    <row r="59964" s="101" customFormat="1" spans="6:6">
      <c r="F59964" s="2423"/>
    </row>
    <row r="59965" s="101" customFormat="1" spans="6:6">
      <c r="F59965" s="2423"/>
    </row>
    <row r="59966" s="101" customFormat="1" spans="6:6">
      <c r="F59966" s="2423"/>
    </row>
    <row r="59967" s="101" customFormat="1" spans="6:6">
      <c r="F59967" s="2423"/>
    </row>
    <row r="59968" s="101" customFormat="1" spans="6:6">
      <c r="F59968" s="2423"/>
    </row>
    <row r="59969" s="101" customFormat="1" spans="6:6">
      <c r="F59969" s="2423"/>
    </row>
    <row r="59970" s="101" customFormat="1" spans="6:6">
      <c r="F59970" s="2423"/>
    </row>
    <row r="59971" s="101" customFormat="1" spans="6:6">
      <c r="F59971" s="2423"/>
    </row>
    <row r="59972" s="101" customFormat="1" spans="6:6">
      <c r="F59972" s="2423"/>
    </row>
    <row r="59973" s="101" customFormat="1" spans="6:6">
      <c r="F59973" s="2423"/>
    </row>
    <row r="59974" s="101" customFormat="1" spans="6:6">
      <c r="F59974" s="2423"/>
    </row>
    <row r="59975" s="101" customFormat="1" spans="6:6">
      <c r="F59975" s="2423"/>
    </row>
    <row r="59976" s="101" customFormat="1" spans="6:6">
      <c r="F59976" s="2423"/>
    </row>
    <row r="59977" s="101" customFormat="1" spans="6:6">
      <c r="F59977" s="2423"/>
    </row>
    <row r="59978" s="101" customFormat="1" spans="6:6">
      <c r="F59978" s="2423"/>
    </row>
    <row r="59979" s="101" customFormat="1" spans="6:6">
      <c r="F59979" s="2423"/>
    </row>
    <row r="59980" s="101" customFormat="1" spans="6:6">
      <c r="F59980" s="2423"/>
    </row>
    <row r="59981" s="101" customFormat="1" spans="6:6">
      <c r="F59981" s="2423"/>
    </row>
    <row r="59982" s="101" customFormat="1" spans="6:6">
      <c r="F59982" s="2423"/>
    </row>
    <row r="59983" s="101" customFormat="1" spans="6:6">
      <c r="F59983" s="2423"/>
    </row>
    <row r="59984" s="101" customFormat="1" spans="6:6">
      <c r="F59984" s="2423"/>
    </row>
    <row r="59985" s="101" customFormat="1" spans="6:6">
      <c r="F59985" s="2423"/>
    </row>
    <row r="59986" s="101" customFormat="1" spans="6:6">
      <c r="F59986" s="2423"/>
    </row>
    <row r="59987" s="101" customFormat="1" spans="6:6">
      <c r="F59987" s="2423"/>
    </row>
    <row r="59988" s="101" customFormat="1" spans="6:6">
      <c r="F59988" s="2423"/>
    </row>
    <row r="59989" s="101" customFormat="1" spans="6:6">
      <c r="F59989" s="2423"/>
    </row>
    <row r="59990" s="101" customFormat="1" spans="6:6">
      <c r="F59990" s="2423"/>
    </row>
    <row r="59991" s="101" customFormat="1" spans="6:6">
      <c r="F59991" s="2423"/>
    </row>
    <row r="59992" s="101" customFormat="1" spans="6:6">
      <c r="F59992" s="2423"/>
    </row>
    <row r="59993" s="101" customFormat="1" spans="6:6">
      <c r="F59993" s="2423"/>
    </row>
    <row r="59994" s="101" customFormat="1" spans="6:6">
      <c r="F59994" s="2423"/>
    </row>
    <row r="59995" s="101" customFormat="1" spans="6:6">
      <c r="F59995" s="2423"/>
    </row>
    <row r="59996" s="101" customFormat="1" spans="6:6">
      <c r="F59996" s="2423"/>
    </row>
    <row r="59997" s="101" customFormat="1" spans="6:6">
      <c r="F59997" s="2423"/>
    </row>
    <row r="59998" s="101" customFormat="1" spans="6:6">
      <c r="F59998" s="2423"/>
    </row>
    <row r="59999" s="101" customFormat="1" spans="6:6">
      <c r="F59999" s="2423"/>
    </row>
    <row r="60000" s="101" customFormat="1" spans="6:6">
      <c r="F60000" s="2423"/>
    </row>
    <row r="60001" s="101" customFormat="1" spans="6:6">
      <c r="F60001" s="2423"/>
    </row>
    <row r="60002" s="101" customFormat="1" spans="6:6">
      <c r="F60002" s="2423"/>
    </row>
    <row r="60003" s="101" customFormat="1" spans="6:6">
      <c r="F60003" s="2423"/>
    </row>
    <row r="60004" s="101" customFormat="1" spans="6:6">
      <c r="F60004" s="2423"/>
    </row>
    <row r="60005" s="101" customFormat="1" spans="6:6">
      <c r="F60005" s="2423"/>
    </row>
    <row r="60006" s="101" customFormat="1" spans="6:6">
      <c r="F60006" s="2423"/>
    </row>
    <row r="60007" s="101" customFormat="1" spans="6:6">
      <c r="F60007" s="2423"/>
    </row>
    <row r="60008" s="101" customFormat="1" spans="6:6">
      <c r="F60008" s="2423"/>
    </row>
    <row r="60009" s="101" customFormat="1" spans="6:6">
      <c r="F60009" s="2423"/>
    </row>
    <row r="60010" s="101" customFormat="1" spans="6:6">
      <c r="F60010" s="2423"/>
    </row>
    <row r="60011" s="101" customFormat="1" spans="6:6">
      <c r="F60011" s="2423"/>
    </row>
    <row r="60012" s="101" customFormat="1" spans="6:6">
      <c r="F60012" s="2423"/>
    </row>
    <row r="60013" s="101" customFormat="1" spans="6:6">
      <c r="F60013" s="2423"/>
    </row>
    <row r="60014" s="101" customFormat="1" spans="6:6">
      <c r="F60014" s="2423"/>
    </row>
    <row r="60015" s="101" customFormat="1" spans="6:6">
      <c r="F60015" s="2423"/>
    </row>
    <row r="60016" s="101" customFormat="1" spans="6:6">
      <c r="F60016" s="2423"/>
    </row>
    <row r="60017" s="101" customFormat="1" spans="6:6">
      <c r="F60017" s="2423"/>
    </row>
    <row r="60018" s="101" customFormat="1" spans="6:6">
      <c r="F60018" s="2423"/>
    </row>
    <row r="60019" s="101" customFormat="1" spans="6:6">
      <c r="F60019" s="2423"/>
    </row>
    <row r="60020" s="101" customFormat="1" spans="6:6">
      <c r="F60020" s="2423"/>
    </row>
    <row r="60021" s="101" customFormat="1" spans="6:6">
      <c r="F60021" s="2423"/>
    </row>
    <row r="60022" s="101" customFormat="1" spans="6:6">
      <c r="F60022" s="2423"/>
    </row>
    <row r="60023" s="101" customFormat="1" spans="6:6">
      <c r="F60023" s="2423"/>
    </row>
    <row r="60024" s="101" customFormat="1" spans="6:6">
      <c r="F60024" s="2423"/>
    </row>
    <row r="60025" s="101" customFormat="1" spans="6:6">
      <c r="F60025" s="2423"/>
    </row>
    <row r="60026" s="101" customFormat="1" spans="6:6">
      <c r="F60026" s="2423"/>
    </row>
    <row r="60027" s="101" customFormat="1" spans="6:6">
      <c r="F60027" s="2423"/>
    </row>
    <row r="60028" s="101" customFormat="1" spans="6:6">
      <c r="F60028" s="2423"/>
    </row>
    <row r="60029" s="101" customFormat="1" spans="6:6">
      <c r="F60029" s="2423"/>
    </row>
    <row r="60030" s="101" customFormat="1" spans="6:6">
      <c r="F60030" s="2423"/>
    </row>
    <row r="60031" s="101" customFormat="1" spans="6:6">
      <c r="F60031" s="2423"/>
    </row>
    <row r="60032" s="101" customFormat="1" spans="6:6">
      <c r="F60032" s="2423"/>
    </row>
    <row r="60033" s="101" customFormat="1" spans="6:6">
      <c r="F60033" s="2423"/>
    </row>
    <row r="60034" s="101" customFormat="1" spans="6:6">
      <c r="F60034" s="2423"/>
    </row>
    <row r="60035" s="101" customFormat="1" spans="6:6">
      <c r="F60035" s="2423"/>
    </row>
    <row r="60036" s="101" customFormat="1" spans="6:6">
      <c r="F60036" s="2423"/>
    </row>
    <row r="60037" s="101" customFormat="1" spans="6:6">
      <c r="F60037" s="2423"/>
    </row>
    <row r="60038" s="101" customFormat="1" spans="6:6">
      <c r="F60038" s="2423"/>
    </row>
    <row r="60039" s="101" customFormat="1" spans="6:6">
      <c r="F60039" s="2423"/>
    </row>
    <row r="60040" s="101" customFormat="1" spans="6:6">
      <c r="F60040" s="2423"/>
    </row>
    <row r="60041" s="101" customFormat="1" spans="6:6">
      <c r="F60041" s="2423"/>
    </row>
    <row r="60042" s="101" customFormat="1" spans="6:6">
      <c r="F60042" s="2423"/>
    </row>
    <row r="60043" s="101" customFormat="1" spans="6:6">
      <c r="F60043" s="2423"/>
    </row>
    <row r="60044" s="101" customFormat="1" spans="6:6">
      <c r="F60044" s="2423"/>
    </row>
    <row r="60045" s="101" customFormat="1" spans="6:6">
      <c r="F60045" s="2423"/>
    </row>
    <row r="60046" s="101" customFormat="1" spans="6:6">
      <c r="F60046" s="2423"/>
    </row>
    <row r="60047" s="101" customFormat="1" spans="6:6">
      <c r="F60047" s="2423"/>
    </row>
    <row r="60048" s="101" customFormat="1" spans="6:6">
      <c r="F60048" s="2423"/>
    </row>
    <row r="60049" s="101" customFormat="1" spans="6:6">
      <c r="F60049" s="2423"/>
    </row>
    <row r="60050" s="101" customFormat="1" spans="6:6">
      <c r="F60050" s="2423"/>
    </row>
    <row r="60051" s="101" customFormat="1" spans="6:6">
      <c r="F60051" s="2423"/>
    </row>
    <row r="60052" s="101" customFormat="1" spans="6:6">
      <c r="F60052" s="2423"/>
    </row>
    <row r="60053" s="101" customFormat="1" spans="6:6">
      <c r="F60053" s="2423"/>
    </row>
    <row r="60054" s="101" customFormat="1" spans="6:6">
      <c r="F60054" s="2423"/>
    </row>
    <row r="60055" s="101" customFormat="1" spans="6:6">
      <c r="F60055" s="2423"/>
    </row>
    <row r="60056" s="101" customFormat="1" spans="6:6">
      <c r="F60056" s="2423"/>
    </row>
    <row r="60057" s="101" customFormat="1" spans="6:6">
      <c r="F60057" s="2423"/>
    </row>
    <row r="60058" s="101" customFormat="1" spans="6:6">
      <c r="F60058" s="2423"/>
    </row>
    <row r="60059" s="101" customFormat="1" spans="6:6">
      <c r="F60059" s="2423"/>
    </row>
    <row r="60060" s="101" customFormat="1" spans="6:6">
      <c r="F60060" s="2423"/>
    </row>
    <row r="60061" s="101" customFormat="1" spans="6:6">
      <c r="F60061" s="2423"/>
    </row>
    <row r="60062" s="101" customFormat="1" spans="6:6">
      <c r="F60062" s="2423"/>
    </row>
    <row r="60063" s="101" customFormat="1" spans="6:6">
      <c r="F60063" s="2423"/>
    </row>
    <row r="60064" s="101" customFormat="1" spans="6:6">
      <c r="F60064" s="2423"/>
    </row>
    <row r="60065" s="101" customFormat="1" spans="6:6">
      <c r="F60065" s="2423"/>
    </row>
    <row r="60066" s="101" customFormat="1" spans="6:6">
      <c r="F60066" s="2423"/>
    </row>
    <row r="60067" s="101" customFormat="1" spans="6:6">
      <c r="F60067" s="2423"/>
    </row>
    <row r="60068" s="101" customFormat="1" spans="6:6">
      <c r="F60068" s="2423"/>
    </row>
    <row r="60069" s="101" customFormat="1" spans="6:6">
      <c r="F60069" s="2423"/>
    </row>
    <row r="60070" s="101" customFormat="1" spans="6:6">
      <c r="F60070" s="2423"/>
    </row>
    <row r="60071" s="101" customFormat="1" spans="6:6">
      <c r="F60071" s="2423"/>
    </row>
    <row r="60072" s="101" customFormat="1" spans="6:6">
      <c r="F60072" s="2423"/>
    </row>
    <row r="60073" s="101" customFormat="1" spans="6:6">
      <c r="F60073" s="2423"/>
    </row>
    <row r="60074" s="101" customFormat="1" spans="6:6">
      <c r="F60074" s="2423"/>
    </row>
    <row r="60075" s="101" customFormat="1" spans="6:6">
      <c r="F60075" s="2423"/>
    </row>
    <row r="60076" s="101" customFormat="1" spans="6:6">
      <c r="F60076" s="2423"/>
    </row>
    <row r="60077" s="101" customFormat="1" spans="6:6">
      <c r="F60077" s="2423"/>
    </row>
    <row r="60078" s="101" customFormat="1" spans="6:6">
      <c r="F60078" s="2423"/>
    </row>
    <row r="60079" s="101" customFormat="1" spans="6:6">
      <c r="F60079" s="2423"/>
    </row>
    <row r="60080" s="101" customFormat="1" spans="6:6">
      <c r="F60080" s="2423"/>
    </row>
    <row r="60081" s="101" customFormat="1" spans="6:6">
      <c r="F60081" s="2423"/>
    </row>
    <row r="60082" s="101" customFormat="1" spans="6:6">
      <c r="F60082" s="2423"/>
    </row>
    <row r="60083" s="101" customFormat="1" spans="6:6">
      <c r="F60083" s="2423"/>
    </row>
    <row r="60084" s="101" customFormat="1" spans="6:6">
      <c r="F60084" s="2423"/>
    </row>
    <row r="60085" s="101" customFormat="1" spans="6:6">
      <c r="F60085" s="2423"/>
    </row>
    <row r="60086" s="101" customFormat="1" spans="6:6">
      <c r="F60086" s="2423"/>
    </row>
    <row r="60087" s="101" customFormat="1" spans="6:6">
      <c r="F60087" s="2423"/>
    </row>
    <row r="60088" s="101" customFormat="1" spans="6:6">
      <c r="F60088" s="2423"/>
    </row>
    <row r="60089" s="101" customFormat="1" spans="6:6">
      <c r="F60089" s="2423"/>
    </row>
    <row r="60090" s="101" customFormat="1" spans="6:6">
      <c r="F60090" s="2423"/>
    </row>
    <row r="60091" s="101" customFormat="1" spans="6:6">
      <c r="F60091" s="2423"/>
    </row>
    <row r="60092" s="101" customFormat="1" spans="6:6">
      <c r="F60092" s="2423"/>
    </row>
    <row r="60093" s="101" customFormat="1" spans="6:6">
      <c r="F60093" s="2423"/>
    </row>
    <row r="60094" s="101" customFormat="1" spans="6:6">
      <c r="F60094" s="2423"/>
    </row>
    <row r="60095" s="101" customFormat="1" spans="6:6">
      <c r="F60095" s="2423"/>
    </row>
    <row r="60096" s="101" customFormat="1" spans="6:6">
      <c r="F60096" s="2423"/>
    </row>
    <row r="60097" s="101" customFormat="1" spans="6:6">
      <c r="F60097" s="2423"/>
    </row>
    <row r="60098" s="101" customFormat="1" spans="6:6">
      <c r="F60098" s="2423"/>
    </row>
    <row r="60099" s="101" customFormat="1" spans="6:6">
      <c r="F60099" s="2423"/>
    </row>
    <row r="60100" s="101" customFormat="1" spans="6:6">
      <c r="F60100" s="2423"/>
    </row>
    <row r="60101" s="101" customFormat="1" spans="6:6">
      <c r="F60101" s="2423"/>
    </row>
    <row r="60102" s="101" customFormat="1" spans="6:6">
      <c r="F60102" s="2423"/>
    </row>
    <row r="60103" s="101" customFormat="1" spans="6:6">
      <c r="F60103" s="2423"/>
    </row>
    <row r="60104" s="101" customFormat="1" spans="6:6">
      <c r="F60104" s="2423"/>
    </row>
    <row r="60105" s="101" customFormat="1" spans="6:6">
      <c r="F60105" s="2423"/>
    </row>
    <row r="60106" s="101" customFormat="1" spans="6:6">
      <c r="F60106" s="2423"/>
    </row>
    <row r="60107" s="101" customFormat="1" spans="6:6">
      <c r="F60107" s="2423"/>
    </row>
    <row r="60108" s="101" customFormat="1" spans="6:6">
      <c r="F60108" s="2423"/>
    </row>
    <row r="60109" s="101" customFormat="1" spans="6:6">
      <c r="F60109" s="2423"/>
    </row>
    <row r="60110" s="101" customFormat="1" spans="6:6">
      <c r="F60110" s="2423"/>
    </row>
    <row r="60111" s="101" customFormat="1" spans="6:6">
      <c r="F60111" s="2423"/>
    </row>
    <row r="60112" s="101" customFormat="1" spans="6:6">
      <c r="F60112" s="2423"/>
    </row>
    <row r="60113" s="101" customFormat="1" spans="6:6">
      <c r="F60113" s="2423"/>
    </row>
    <row r="60114" s="101" customFormat="1" spans="6:6">
      <c r="F60114" s="2423"/>
    </row>
    <row r="60115" s="101" customFormat="1" spans="6:6">
      <c r="F60115" s="2423"/>
    </row>
    <row r="60116" s="101" customFormat="1" spans="6:6">
      <c r="F60116" s="2423"/>
    </row>
    <row r="60117" s="101" customFormat="1" spans="6:6">
      <c r="F60117" s="2423"/>
    </row>
    <row r="60118" s="101" customFormat="1" spans="6:6">
      <c r="F60118" s="2423"/>
    </row>
    <row r="60119" s="101" customFormat="1" spans="6:6">
      <c r="F60119" s="2423"/>
    </row>
    <row r="60120" s="101" customFormat="1" spans="6:6">
      <c r="F60120" s="2423"/>
    </row>
    <row r="60121" s="101" customFormat="1" spans="6:6">
      <c r="F60121" s="2423"/>
    </row>
    <row r="60122" s="101" customFormat="1" spans="6:6">
      <c r="F60122" s="2423"/>
    </row>
    <row r="60123" s="101" customFormat="1" spans="6:6">
      <c r="F60123" s="2423"/>
    </row>
    <row r="60124" s="101" customFormat="1" spans="6:6">
      <c r="F60124" s="2423"/>
    </row>
    <row r="60125" s="101" customFormat="1" spans="6:6">
      <c r="F60125" s="2423"/>
    </row>
    <row r="60126" s="101" customFormat="1" spans="6:6">
      <c r="F60126" s="2423"/>
    </row>
    <row r="60127" s="101" customFormat="1" spans="6:6">
      <c r="F60127" s="2423"/>
    </row>
    <row r="60128" s="101" customFormat="1" spans="6:6">
      <c r="F60128" s="2423"/>
    </row>
    <row r="60129" s="101" customFormat="1" spans="6:6">
      <c r="F60129" s="2423"/>
    </row>
    <row r="60130" s="101" customFormat="1" spans="6:6">
      <c r="F60130" s="2423"/>
    </row>
    <row r="60131" s="101" customFormat="1" spans="6:6">
      <c r="F60131" s="2423"/>
    </row>
    <row r="60132" s="101" customFormat="1" spans="6:6">
      <c r="F60132" s="2423"/>
    </row>
    <row r="60133" s="101" customFormat="1" spans="6:6">
      <c r="F60133" s="2423"/>
    </row>
    <row r="60134" s="101" customFormat="1" spans="6:6">
      <c r="F60134" s="2423"/>
    </row>
    <row r="60135" s="101" customFormat="1" spans="6:6">
      <c r="F60135" s="2423"/>
    </row>
    <row r="60136" s="101" customFormat="1" spans="6:6">
      <c r="F60136" s="2423"/>
    </row>
    <row r="60137" s="101" customFormat="1" spans="6:6">
      <c r="F60137" s="2423"/>
    </row>
    <row r="60138" s="101" customFormat="1" spans="6:6">
      <c r="F60138" s="2423"/>
    </row>
    <row r="60139" s="101" customFormat="1" spans="6:6">
      <c r="F60139" s="2423"/>
    </row>
    <row r="60140" s="101" customFormat="1" spans="6:6">
      <c r="F60140" s="2423"/>
    </row>
    <row r="60141" s="101" customFormat="1" spans="6:6">
      <c r="F60141" s="2423"/>
    </row>
    <row r="60142" s="101" customFormat="1" spans="6:6">
      <c r="F60142" s="2423"/>
    </row>
    <row r="60143" s="101" customFormat="1" spans="6:6">
      <c r="F60143" s="2423"/>
    </row>
    <row r="60144" s="101" customFormat="1" spans="6:6">
      <c r="F60144" s="2423"/>
    </row>
    <row r="60145" s="101" customFormat="1" spans="6:6">
      <c r="F60145" s="2423"/>
    </row>
    <row r="60146" s="101" customFormat="1" spans="6:6">
      <c r="F60146" s="2423"/>
    </row>
    <row r="60147" s="101" customFormat="1" spans="6:6">
      <c r="F60147" s="2423"/>
    </row>
    <row r="60148" s="101" customFormat="1" spans="6:6">
      <c r="F60148" s="2423"/>
    </row>
    <row r="60149" s="101" customFormat="1" spans="6:6">
      <c r="F60149" s="2423"/>
    </row>
    <row r="60150" s="101" customFormat="1" spans="6:6">
      <c r="F60150" s="2423"/>
    </row>
    <row r="60151" s="101" customFormat="1" spans="6:6">
      <c r="F60151" s="2423"/>
    </row>
    <row r="60152" s="101" customFormat="1" spans="6:6">
      <c r="F60152" s="2423"/>
    </row>
    <row r="60153" s="101" customFormat="1" spans="6:6">
      <c r="F60153" s="2423"/>
    </row>
    <row r="60154" s="101" customFormat="1" spans="6:6">
      <c r="F60154" s="2423"/>
    </row>
    <row r="60155" s="101" customFormat="1" spans="6:6">
      <c r="F60155" s="2423"/>
    </row>
    <row r="60156" s="101" customFormat="1" spans="6:6">
      <c r="F60156" s="2423"/>
    </row>
    <row r="60157" s="101" customFormat="1" spans="6:6">
      <c r="F60157" s="2423"/>
    </row>
    <row r="60158" s="101" customFormat="1" spans="6:6">
      <c r="F60158" s="2423"/>
    </row>
    <row r="60159" s="101" customFormat="1" spans="6:6">
      <c r="F60159" s="2423"/>
    </row>
    <row r="60160" s="101" customFormat="1" spans="6:6">
      <c r="F60160" s="2423"/>
    </row>
    <row r="60161" s="101" customFormat="1" spans="6:6">
      <c r="F60161" s="2423"/>
    </row>
    <row r="60162" s="101" customFormat="1" spans="6:6">
      <c r="F60162" s="2423"/>
    </row>
    <row r="60163" s="101" customFormat="1" spans="6:6">
      <c r="F60163" s="2423"/>
    </row>
    <row r="60164" s="101" customFormat="1" spans="6:6">
      <c r="F60164" s="2423"/>
    </row>
    <row r="60165" s="101" customFormat="1" spans="6:6">
      <c r="F60165" s="2423"/>
    </row>
    <row r="60166" s="101" customFormat="1" spans="6:6">
      <c r="F60166" s="2423"/>
    </row>
    <row r="60167" s="101" customFormat="1" spans="6:6">
      <c r="F60167" s="2423"/>
    </row>
    <row r="60168" s="101" customFormat="1" spans="6:6">
      <c r="F60168" s="2423"/>
    </row>
    <row r="60169" s="101" customFormat="1" spans="6:6">
      <c r="F60169" s="2423"/>
    </row>
    <row r="60170" s="101" customFormat="1" spans="6:6">
      <c r="F60170" s="2423"/>
    </row>
    <row r="60171" s="101" customFormat="1" spans="6:6">
      <c r="F60171" s="2423"/>
    </row>
    <row r="60172" s="101" customFormat="1" spans="6:6">
      <c r="F60172" s="2423"/>
    </row>
    <row r="60173" s="101" customFormat="1" spans="6:6">
      <c r="F60173" s="2423"/>
    </row>
    <row r="60174" s="101" customFormat="1" spans="6:6">
      <c r="F60174" s="2423"/>
    </row>
    <row r="60175" s="101" customFormat="1" spans="6:6">
      <c r="F60175" s="2423"/>
    </row>
    <row r="60176" s="101" customFormat="1" spans="6:6">
      <c r="F60176" s="2423"/>
    </row>
    <row r="60177" s="101" customFormat="1" spans="6:6">
      <c r="F60177" s="2423"/>
    </row>
    <row r="60178" s="101" customFormat="1" spans="6:6">
      <c r="F60178" s="2423"/>
    </row>
    <row r="60179" s="101" customFormat="1" spans="6:6">
      <c r="F60179" s="2423"/>
    </row>
    <row r="60180" s="101" customFormat="1" spans="6:6">
      <c r="F60180" s="2423"/>
    </row>
    <row r="60181" s="101" customFormat="1" spans="6:6">
      <c r="F60181" s="2423"/>
    </row>
    <row r="60182" s="101" customFormat="1" spans="6:6">
      <c r="F60182" s="2423"/>
    </row>
    <row r="60183" s="101" customFormat="1" spans="6:6">
      <c r="F60183" s="2423"/>
    </row>
    <row r="60184" s="101" customFormat="1" spans="6:6">
      <c r="F60184" s="2423"/>
    </row>
    <row r="60185" s="101" customFormat="1" spans="6:6">
      <c r="F60185" s="2423"/>
    </row>
    <row r="60186" s="101" customFormat="1" spans="6:6">
      <c r="F60186" s="2423"/>
    </row>
    <row r="60187" s="101" customFormat="1" spans="6:6">
      <c r="F60187" s="2423"/>
    </row>
    <row r="60188" s="101" customFormat="1" spans="6:6">
      <c r="F60188" s="2423"/>
    </row>
    <row r="60189" s="101" customFormat="1" spans="6:6">
      <c r="F60189" s="2423"/>
    </row>
    <row r="60190" s="101" customFormat="1" spans="6:6">
      <c r="F60190" s="2423"/>
    </row>
    <row r="60191" s="101" customFormat="1" spans="6:6">
      <c r="F60191" s="2423"/>
    </row>
    <row r="60192" s="101" customFormat="1" spans="6:6">
      <c r="F60192" s="2423"/>
    </row>
    <row r="60193" s="101" customFormat="1" spans="6:6">
      <c r="F60193" s="2423"/>
    </row>
    <row r="60194" s="101" customFormat="1" spans="6:6">
      <c r="F60194" s="2423"/>
    </row>
    <row r="60195" s="101" customFormat="1" spans="6:6">
      <c r="F60195" s="2423"/>
    </row>
    <row r="60196" s="101" customFormat="1" spans="6:6">
      <c r="F60196" s="2423"/>
    </row>
    <row r="60197" s="101" customFormat="1" spans="6:6">
      <c r="F60197" s="2423"/>
    </row>
    <row r="60198" s="101" customFormat="1" spans="6:6">
      <c r="F60198" s="2423"/>
    </row>
    <row r="60199" s="101" customFormat="1" spans="6:6">
      <c r="F60199" s="2423"/>
    </row>
    <row r="60200" s="101" customFormat="1" spans="6:6">
      <c r="F60200" s="2423"/>
    </row>
    <row r="60201" s="101" customFormat="1" spans="6:6">
      <c r="F60201" s="2423"/>
    </row>
    <row r="60202" s="101" customFormat="1" spans="6:6">
      <c r="F60202" s="2423"/>
    </row>
    <row r="60203" s="101" customFormat="1" spans="6:6">
      <c r="F60203" s="2423"/>
    </row>
    <row r="60204" s="101" customFormat="1" spans="6:6">
      <c r="F60204" s="2423"/>
    </row>
    <row r="60205" s="101" customFormat="1" spans="6:6">
      <c r="F60205" s="2423"/>
    </row>
    <row r="60206" s="101" customFormat="1" spans="6:6">
      <c r="F60206" s="2423"/>
    </row>
    <row r="60207" s="101" customFormat="1" spans="6:6">
      <c r="F60207" s="2423"/>
    </row>
    <row r="60208" s="101" customFormat="1" spans="6:6">
      <c r="F60208" s="2423"/>
    </row>
    <row r="60209" s="101" customFormat="1" spans="6:6">
      <c r="F60209" s="2423"/>
    </row>
    <row r="60210" s="101" customFormat="1" spans="6:6">
      <c r="F60210" s="2423"/>
    </row>
    <row r="60211" s="101" customFormat="1" spans="6:6">
      <c r="F60211" s="2423"/>
    </row>
    <row r="60212" s="101" customFormat="1" spans="6:6">
      <c r="F60212" s="2423"/>
    </row>
    <row r="60213" s="101" customFormat="1" spans="6:6">
      <c r="F60213" s="2423"/>
    </row>
    <row r="60214" s="101" customFormat="1" spans="6:6">
      <c r="F60214" s="2423"/>
    </row>
    <row r="60215" s="101" customFormat="1" spans="6:6">
      <c r="F60215" s="2423"/>
    </row>
    <row r="60216" s="101" customFormat="1" spans="6:6">
      <c r="F60216" s="2423"/>
    </row>
    <row r="60217" s="101" customFormat="1" spans="6:6">
      <c r="F60217" s="2423"/>
    </row>
    <row r="60218" s="101" customFormat="1" spans="6:6">
      <c r="F60218" s="2423"/>
    </row>
    <row r="60219" s="101" customFormat="1" spans="6:6">
      <c r="F60219" s="2423"/>
    </row>
    <row r="60220" s="101" customFormat="1" spans="6:6">
      <c r="F60220" s="2423"/>
    </row>
    <row r="60221" s="101" customFormat="1" spans="6:6">
      <c r="F60221" s="2423"/>
    </row>
    <row r="60222" s="101" customFormat="1" spans="6:6">
      <c r="F60222" s="2423"/>
    </row>
    <row r="60223" s="101" customFormat="1" spans="6:6">
      <c r="F60223" s="2423"/>
    </row>
    <row r="60224" s="101" customFormat="1" spans="6:6">
      <c r="F60224" s="2423"/>
    </row>
    <row r="60225" s="101" customFormat="1" spans="6:6">
      <c r="F60225" s="2423"/>
    </row>
    <row r="60226" s="101" customFormat="1" spans="6:6">
      <c r="F60226" s="2423"/>
    </row>
    <row r="60227" s="101" customFormat="1" spans="6:6">
      <c r="F60227" s="2423"/>
    </row>
    <row r="60228" s="101" customFormat="1" spans="6:6">
      <c r="F60228" s="2423"/>
    </row>
    <row r="60229" s="101" customFormat="1" spans="6:6">
      <c r="F60229" s="2423"/>
    </row>
    <row r="60230" s="101" customFormat="1" spans="6:6">
      <c r="F60230" s="2423"/>
    </row>
    <row r="60231" s="101" customFormat="1" spans="6:6">
      <c r="F60231" s="2423"/>
    </row>
    <row r="60232" s="101" customFormat="1" spans="6:6">
      <c r="F60232" s="2423"/>
    </row>
    <row r="60233" s="101" customFormat="1" spans="6:6">
      <c r="F60233" s="2423"/>
    </row>
    <row r="60234" s="101" customFormat="1" spans="6:6">
      <c r="F60234" s="2423"/>
    </row>
    <row r="60235" s="101" customFormat="1" spans="6:6">
      <c r="F60235" s="2423"/>
    </row>
    <row r="60236" s="101" customFormat="1" spans="6:6">
      <c r="F60236" s="2423"/>
    </row>
    <row r="60237" s="101" customFormat="1" spans="6:6">
      <c r="F60237" s="2423"/>
    </row>
    <row r="60238" s="101" customFormat="1" spans="6:6">
      <c r="F60238" s="2423"/>
    </row>
    <row r="60239" s="101" customFormat="1" spans="6:6">
      <c r="F60239" s="2423"/>
    </row>
    <row r="60240" s="101" customFormat="1" spans="6:6">
      <c r="F60240" s="2423"/>
    </row>
    <row r="60241" s="101" customFormat="1" spans="6:6">
      <c r="F60241" s="2423"/>
    </row>
    <row r="60242" s="101" customFormat="1" spans="6:6">
      <c r="F60242" s="2423"/>
    </row>
    <row r="60243" s="101" customFormat="1" spans="6:6">
      <c r="F60243" s="2423"/>
    </row>
    <row r="60244" s="101" customFormat="1" spans="6:6">
      <c r="F60244" s="2423"/>
    </row>
    <row r="60245" s="101" customFormat="1" spans="6:6">
      <c r="F60245" s="2423"/>
    </row>
    <row r="60246" s="101" customFormat="1" spans="6:6">
      <c r="F60246" s="2423"/>
    </row>
    <row r="60247" s="101" customFormat="1" spans="6:6">
      <c r="F60247" s="2423"/>
    </row>
    <row r="60248" s="101" customFormat="1" spans="6:6">
      <c r="F60248" s="2423"/>
    </row>
    <row r="60249" s="101" customFormat="1" spans="6:6">
      <c r="F60249" s="2423"/>
    </row>
    <row r="60250" s="101" customFormat="1" spans="6:6">
      <c r="F60250" s="2423"/>
    </row>
    <row r="60251" s="101" customFormat="1" spans="6:6">
      <c r="F60251" s="2423"/>
    </row>
    <row r="60252" s="101" customFormat="1" spans="6:6">
      <c r="F60252" s="2423"/>
    </row>
    <row r="60253" s="101" customFormat="1" spans="6:6">
      <c r="F60253" s="2423"/>
    </row>
    <row r="60254" s="101" customFormat="1" spans="6:6">
      <c r="F60254" s="2423"/>
    </row>
    <row r="60255" s="101" customFormat="1" spans="6:6">
      <c r="F60255" s="2423"/>
    </row>
    <row r="60256" s="101" customFormat="1" spans="6:6">
      <c r="F60256" s="2423"/>
    </row>
    <row r="60257" s="101" customFormat="1" spans="6:6">
      <c r="F60257" s="2423"/>
    </row>
    <row r="60258" s="101" customFormat="1" spans="6:6">
      <c r="F60258" s="2423"/>
    </row>
    <row r="60259" s="101" customFormat="1" spans="6:6">
      <c r="F60259" s="2423"/>
    </row>
    <row r="60260" s="101" customFormat="1" spans="6:6">
      <c r="F60260" s="2423"/>
    </row>
    <row r="60261" s="101" customFormat="1" spans="6:6">
      <c r="F60261" s="2423"/>
    </row>
    <row r="60262" s="101" customFormat="1" spans="6:6">
      <c r="F60262" s="2423"/>
    </row>
    <row r="60263" s="101" customFormat="1" spans="6:6">
      <c r="F60263" s="2423"/>
    </row>
    <row r="60264" s="101" customFormat="1" spans="6:6">
      <c r="F60264" s="2423"/>
    </row>
    <row r="60265" s="101" customFormat="1" spans="6:6">
      <c r="F60265" s="2423"/>
    </row>
    <row r="60266" s="101" customFormat="1" spans="6:6">
      <c r="F60266" s="2423"/>
    </row>
    <row r="60267" s="101" customFormat="1" spans="6:6">
      <c r="F60267" s="2423"/>
    </row>
    <row r="60268" s="101" customFormat="1" spans="6:6">
      <c r="F60268" s="2423"/>
    </row>
    <row r="60269" s="101" customFormat="1" spans="6:6">
      <c r="F60269" s="2423"/>
    </row>
    <row r="60270" s="101" customFormat="1" spans="6:6">
      <c r="F60270" s="2423"/>
    </row>
    <row r="60271" s="101" customFormat="1" spans="6:6">
      <c r="F60271" s="2423"/>
    </row>
    <row r="60272" s="101" customFormat="1" spans="6:6">
      <c r="F60272" s="2423"/>
    </row>
    <row r="60273" s="101" customFormat="1" spans="6:6">
      <c r="F60273" s="2423"/>
    </row>
    <row r="60274" s="101" customFormat="1" spans="6:6">
      <c r="F60274" s="2423"/>
    </row>
    <row r="60275" s="101" customFormat="1" spans="6:6">
      <c r="F60275" s="2423"/>
    </row>
    <row r="60276" s="101" customFormat="1" spans="6:6">
      <c r="F60276" s="2423"/>
    </row>
    <row r="60277" s="101" customFormat="1" spans="6:6">
      <c r="F60277" s="2423"/>
    </row>
    <row r="60278" s="101" customFormat="1" spans="6:6">
      <c r="F60278" s="2423"/>
    </row>
    <row r="60279" s="101" customFormat="1" spans="6:6">
      <c r="F60279" s="2423"/>
    </row>
    <row r="60280" s="101" customFormat="1" spans="6:6">
      <c r="F60280" s="2423"/>
    </row>
    <row r="60281" s="101" customFormat="1" spans="6:6">
      <c r="F60281" s="2423"/>
    </row>
    <row r="60282" s="101" customFormat="1" spans="6:6">
      <c r="F60282" s="2423"/>
    </row>
    <row r="60283" s="101" customFormat="1" spans="6:6">
      <c r="F60283" s="2423"/>
    </row>
    <row r="60284" s="101" customFormat="1" spans="6:6">
      <c r="F60284" s="2423"/>
    </row>
    <row r="60285" s="101" customFormat="1" spans="6:6">
      <c r="F60285" s="2423"/>
    </row>
    <row r="60286" s="101" customFormat="1" spans="6:6">
      <c r="F60286" s="2423"/>
    </row>
    <row r="60287" s="101" customFormat="1" spans="6:6">
      <c r="F60287" s="2423"/>
    </row>
    <row r="60288" s="101" customFormat="1" spans="6:6">
      <c r="F60288" s="2423"/>
    </row>
    <row r="60289" s="101" customFormat="1" spans="6:6">
      <c r="F60289" s="2423"/>
    </row>
    <row r="60290" s="101" customFormat="1" spans="6:6">
      <c r="F60290" s="2423"/>
    </row>
    <row r="60291" s="101" customFormat="1" spans="6:6">
      <c r="F60291" s="2423"/>
    </row>
    <row r="60292" s="101" customFormat="1" spans="6:6">
      <c r="F60292" s="2423"/>
    </row>
    <row r="60293" s="101" customFormat="1" spans="6:6">
      <c r="F60293" s="2423"/>
    </row>
    <row r="60294" s="101" customFormat="1" spans="6:6">
      <c r="F60294" s="2423"/>
    </row>
    <row r="60295" s="101" customFormat="1" spans="6:6">
      <c r="F60295" s="2423"/>
    </row>
    <row r="60296" s="101" customFormat="1" spans="6:6">
      <c r="F60296" s="2423"/>
    </row>
    <row r="60297" s="101" customFormat="1" spans="6:6">
      <c r="F60297" s="2423"/>
    </row>
    <row r="60298" s="101" customFormat="1" spans="6:6">
      <c r="F60298" s="2423"/>
    </row>
    <row r="60299" s="101" customFormat="1" spans="6:6">
      <c r="F60299" s="2423"/>
    </row>
    <row r="60300" s="101" customFormat="1" spans="6:6">
      <c r="F60300" s="2423"/>
    </row>
    <row r="60301" s="101" customFormat="1" spans="6:6">
      <c r="F60301" s="2423"/>
    </row>
    <row r="60302" s="101" customFormat="1" spans="6:6">
      <c r="F60302" s="2423"/>
    </row>
    <row r="60303" s="101" customFormat="1" spans="6:6">
      <c r="F60303" s="2423"/>
    </row>
    <row r="60304" s="101" customFormat="1" spans="6:6">
      <c r="F60304" s="2423"/>
    </row>
    <row r="60305" s="101" customFormat="1" spans="6:6">
      <c r="F60305" s="2423"/>
    </row>
    <row r="60306" s="101" customFormat="1" spans="6:6">
      <c r="F60306" s="2423"/>
    </row>
    <row r="60307" s="101" customFormat="1" spans="6:6">
      <c r="F60307" s="2423"/>
    </row>
    <row r="60308" s="101" customFormat="1" spans="6:6">
      <c r="F60308" s="2423"/>
    </row>
    <row r="60309" s="101" customFormat="1" spans="6:6">
      <c r="F60309" s="2423"/>
    </row>
    <row r="60310" s="101" customFormat="1" spans="6:6">
      <c r="F60310" s="2423"/>
    </row>
    <row r="60311" s="101" customFormat="1" spans="6:6">
      <c r="F60311" s="2423"/>
    </row>
    <row r="60312" s="101" customFormat="1" spans="6:6">
      <c r="F60312" s="2423"/>
    </row>
    <row r="60313" s="101" customFormat="1" spans="6:6">
      <c r="F60313" s="2423"/>
    </row>
    <row r="60314" s="101" customFormat="1" spans="6:6">
      <c r="F60314" s="2423"/>
    </row>
    <row r="60315" s="101" customFormat="1" spans="6:6">
      <c r="F60315" s="2423"/>
    </row>
    <row r="60316" s="101" customFormat="1" spans="6:6">
      <c r="F60316" s="2423"/>
    </row>
    <row r="60317" s="101" customFormat="1" spans="6:6">
      <c r="F60317" s="2423"/>
    </row>
    <row r="60318" s="101" customFormat="1" spans="6:6">
      <c r="F60318" s="2423"/>
    </row>
    <row r="60319" s="101" customFormat="1" spans="6:6">
      <c r="F60319" s="2423"/>
    </row>
    <row r="60320" s="101" customFormat="1" spans="6:6">
      <c r="F60320" s="2423"/>
    </row>
    <row r="60321" s="101" customFormat="1" spans="6:6">
      <c r="F60321" s="2423"/>
    </row>
    <row r="60322" s="101" customFormat="1" spans="6:6">
      <c r="F60322" s="2423"/>
    </row>
    <row r="60323" s="101" customFormat="1" spans="6:6">
      <c r="F60323" s="2423"/>
    </row>
    <row r="60324" s="101" customFormat="1" spans="6:6">
      <c r="F60324" s="2423"/>
    </row>
    <row r="60325" s="101" customFormat="1" spans="6:6">
      <c r="F60325" s="2423"/>
    </row>
    <row r="60326" s="101" customFormat="1" spans="6:6">
      <c r="F60326" s="2423"/>
    </row>
    <row r="60327" s="101" customFormat="1" spans="6:6">
      <c r="F60327" s="2423"/>
    </row>
    <row r="60328" s="101" customFormat="1" spans="6:6">
      <c r="F60328" s="2423"/>
    </row>
    <row r="60329" s="101" customFormat="1" spans="6:6">
      <c r="F60329" s="2423"/>
    </row>
    <row r="60330" s="101" customFormat="1" spans="6:6">
      <c r="F60330" s="2423"/>
    </row>
    <row r="60331" s="101" customFormat="1" spans="6:6">
      <c r="F60331" s="2423"/>
    </row>
    <row r="60332" s="101" customFormat="1" spans="6:6">
      <c r="F60332" s="2423"/>
    </row>
    <row r="60333" s="101" customFormat="1" spans="6:6">
      <c r="F60333" s="2423"/>
    </row>
    <row r="60334" s="101" customFormat="1" spans="6:6">
      <c r="F60334" s="2423"/>
    </row>
    <row r="60335" s="101" customFormat="1" spans="6:6">
      <c r="F60335" s="2423"/>
    </row>
    <row r="60336" s="101" customFormat="1" spans="6:6">
      <c r="F60336" s="2423"/>
    </row>
    <row r="60337" s="101" customFormat="1" spans="6:6">
      <c r="F60337" s="2423"/>
    </row>
    <row r="60338" s="101" customFormat="1" spans="6:6">
      <c r="F60338" s="2423"/>
    </row>
    <row r="60339" s="101" customFormat="1" spans="6:6">
      <c r="F60339" s="2423"/>
    </row>
    <row r="60340" s="101" customFormat="1" spans="6:6">
      <c r="F60340" s="2423"/>
    </row>
    <row r="60341" s="101" customFormat="1" spans="6:6">
      <c r="F60341" s="2423"/>
    </row>
    <row r="60342" s="101" customFormat="1" spans="6:6">
      <c r="F60342" s="2423"/>
    </row>
    <row r="60343" s="101" customFormat="1" spans="6:6">
      <c r="F60343" s="2423"/>
    </row>
    <row r="60344" s="101" customFormat="1" spans="6:6">
      <c r="F60344" s="2423"/>
    </row>
    <row r="60345" s="101" customFormat="1" spans="6:6">
      <c r="F60345" s="2423"/>
    </row>
    <row r="60346" s="101" customFormat="1" spans="6:6">
      <c r="F60346" s="2423"/>
    </row>
    <row r="60347" s="101" customFormat="1" spans="6:6">
      <c r="F60347" s="2423"/>
    </row>
    <row r="60348" s="101" customFormat="1" spans="6:6">
      <c r="F60348" s="2423"/>
    </row>
    <row r="60349" s="101" customFormat="1" spans="6:6">
      <c r="F60349" s="2423"/>
    </row>
    <row r="60350" s="101" customFormat="1" spans="6:6">
      <c r="F60350" s="2423"/>
    </row>
    <row r="60351" s="101" customFormat="1" spans="6:6">
      <c r="F60351" s="2423"/>
    </row>
    <row r="60352" s="101" customFormat="1" spans="6:6">
      <c r="F60352" s="2423"/>
    </row>
    <row r="60353" s="101" customFormat="1" spans="6:6">
      <c r="F60353" s="2423"/>
    </row>
    <row r="60354" s="101" customFormat="1" spans="6:6">
      <c r="F60354" s="2423"/>
    </row>
    <row r="60355" s="101" customFormat="1" spans="6:6">
      <c r="F60355" s="2423"/>
    </row>
    <row r="60356" s="101" customFormat="1" spans="6:6">
      <c r="F60356" s="2423"/>
    </row>
    <row r="60357" s="101" customFormat="1" spans="6:6">
      <c r="F60357" s="2423"/>
    </row>
    <row r="60358" s="101" customFormat="1" spans="6:6">
      <c r="F60358" s="2423"/>
    </row>
    <row r="60359" s="101" customFormat="1" spans="6:6">
      <c r="F60359" s="2423"/>
    </row>
    <row r="60360" s="101" customFormat="1" spans="6:6">
      <c r="F60360" s="2423"/>
    </row>
    <row r="60361" s="101" customFormat="1" spans="6:6">
      <c r="F60361" s="2423"/>
    </row>
    <row r="60362" s="101" customFormat="1" spans="6:6">
      <c r="F60362" s="2423"/>
    </row>
    <row r="60363" s="101" customFormat="1" spans="6:6">
      <c r="F60363" s="2423"/>
    </row>
    <row r="60364" s="101" customFormat="1" spans="6:6">
      <c r="F60364" s="2423"/>
    </row>
    <row r="60365" s="101" customFormat="1" spans="6:6">
      <c r="F60365" s="2423"/>
    </row>
    <row r="60366" s="101" customFormat="1" spans="6:6">
      <c r="F60366" s="2423"/>
    </row>
    <row r="60367" s="101" customFormat="1" spans="6:6">
      <c r="F60367" s="2423"/>
    </row>
    <row r="60368" s="101" customFormat="1" spans="6:6">
      <c r="F60368" s="2423"/>
    </row>
    <row r="60369" s="101" customFormat="1" spans="6:6">
      <c r="F60369" s="2423"/>
    </row>
    <row r="60370" s="101" customFormat="1" spans="6:6">
      <c r="F60370" s="2423"/>
    </row>
    <row r="60371" s="101" customFormat="1" spans="6:6">
      <c r="F60371" s="2423"/>
    </row>
    <row r="60372" s="101" customFormat="1" spans="6:6">
      <c r="F60372" s="2423"/>
    </row>
    <row r="60373" s="101" customFormat="1" spans="6:6">
      <c r="F60373" s="2423"/>
    </row>
    <row r="60374" s="101" customFormat="1" spans="6:6">
      <c r="F60374" s="2423"/>
    </row>
    <row r="60375" s="101" customFormat="1" spans="6:6">
      <c r="F60375" s="2423"/>
    </row>
    <row r="60376" s="101" customFormat="1" spans="6:6">
      <c r="F60376" s="2423"/>
    </row>
    <row r="60377" s="101" customFormat="1" spans="6:6">
      <c r="F60377" s="2423"/>
    </row>
    <row r="60378" s="101" customFormat="1" spans="6:6">
      <c r="F60378" s="2423"/>
    </row>
    <row r="60379" s="101" customFormat="1" spans="6:6">
      <c r="F60379" s="2423"/>
    </row>
    <row r="60380" s="101" customFormat="1" spans="6:6">
      <c r="F60380" s="2423"/>
    </row>
    <row r="60381" s="101" customFormat="1" spans="6:6">
      <c r="F60381" s="2423"/>
    </row>
    <row r="60382" s="101" customFormat="1" spans="6:6">
      <c r="F60382" s="2423"/>
    </row>
    <row r="60383" s="101" customFormat="1" spans="6:6">
      <c r="F60383" s="2423"/>
    </row>
    <row r="60384" s="101" customFormat="1" spans="6:6">
      <c r="F60384" s="2423"/>
    </row>
    <row r="60385" s="101" customFormat="1" spans="6:6">
      <c r="F60385" s="2423"/>
    </row>
    <row r="60386" s="101" customFormat="1" spans="6:6">
      <c r="F60386" s="2423"/>
    </row>
    <row r="60387" s="101" customFormat="1" spans="6:6">
      <c r="F60387" s="2423"/>
    </row>
    <row r="60388" s="101" customFormat="1" spans="6:6">
      <c r="F60388" s="2423"/>
    </row>
    <row r="60389" s="101" customFormat="1" spans="6:6">
      <c r="F60389" s="2423"/>
    </row>
    <row r="60390" s="101" customFormat="1" spans="6:6">
      <c r="F60390" s="2423"/>
    </row>
    <row r="60391" s="101" customFormat="1" spans="6:6">
      <c r="F60391" s="2423"/>
    </row>
    <row r="60392" s="101" customFormat="1" spans="6:6">
      <c r="F60392" s="2423"/>
    </row>
    <row r="60393" s="101" customFormat="1" spans="6:6">
      <c r="F60393" s="2423"/>
    </row>
    <row r="60394" s="101" customFormat="1" spans="6:6">
      <c r="F60394" s="2423"/>
    </row>
    <row r="60395" s="101" customFormat="1" spans="6:6">
      <c r="F60395" s="2423"/>
    </row>
    <row r="60396" s="101" customFormat="1" spans="6:6">
      <c r="F60396" s="2423"/>
    </row>
    <row r="60397" s="101" customFormat="1" spans="6:6">
      <c r="F60397" s="2423"/>
    </row>
    <row r="60398" s="101" customFormat="1" spans="6:6">
      <c r="F60398" s="2423"/>
    </row>
    <row r="60399" s="101" customFormat="1" spans="6:6">
      <c r="F60399" s="2423"/>
    </row>
    <row r="60400" s="101" customFormat="1" spans="6:6">
      <c r="F60400" s="2423"/>
    </row>
    <row r="60401" s="101" customFormat="1" spans="6:6">
      <c r="F60401" s="2423"/>
    </row>
    <row r="60402" s="101" customFormat="1" spans="6:6">
      <c r="F60402" s="2423"/>
    </row>
    <row r="60403" s="101" customFormat="1" spans="6:6">
      <c r="F60403" s="2423"/>
    </row>
    <row r="60404" s="101" customFormat="1" spans="6:6">
      <c r="F60404" s="2423"/>
    </row>
    <row r="60405" s="101" customFormat="1" spans="6:6">
      <c r="F60405" s="2423"/>
    </row>
    <row r="60406" s="101" customFormat="1" spans="6:6">
      <c r="F60406" s="2423"/>
    </row>
    <row r="60407" s="101" customFormat="1" spans="6:6">
      <c r="F60407" s="2423"/>
    </row>
    <row r="60408" s="101" customFormat="1" spans="6:6">
      <c r="F60408" s="2423"/>
    </row>
    <row r="60409" s="101" customFormat="1" spans="6:6">
      <c r="F60409" s="2423"/>
    </row>
    <row r="60410" s="101" customFormat="1" spans="6:6">
      <c r="F60410" s="2423"/>
    </row>
    <row r="60411" s="101" customFormat="1" spans="6:6">
      <c r="F60411" s="2423"/>
    </row>
    <row r="60412" s="101" customFormat="1" spans="6:6">
      <c r="F60412" s="2423"/>
    </row>
    <row r="60413" s="101" customFormat="1" spans="6:6">
      <c r="F60413" s="2423"/>
    </row>
    <row r="60414" s="101" customFormat="1" spans="6:6">
      <c r="F60414" s="2423"/>
    </row>
    <row r="60415" s="101" customFormat="1" spans="6:6">
      <c r="F60415" s="2423"/>
    </row>
    <row r="60416" s="101" customFormat="1" spans="6:6">
      <c r="F60416" s="2423"/>
    </row>
    <row r="60417" s="101" customFormat="1" spans="6:6">
      <c r="F60417" s="2423"/>
    </row>
    <row r="60418" s="101" customFormat="1" spans="6:6">
      <c r="F60418" s="2423"/>
    </row>
    <row r="60419" s="101" customFormat="1" spans="6:6">
      <c r="F60419" s="2423"/>
    </row>
    <row r="60420" s="101" customFormat="1" spans="6:6">
      <c r="F60420" s="2423"/>
    </row>
    <row r="60421" s="101" customFormat="1" spans="6:6">
      <c r="F60421" s="2423"/>
    </row>
    <row r="60422" s="101" customFormat="1" spans="6:6">
      <c r="F60422" s="2423"/>
    </row>
    <row r="60423" s="101" customFormat="1" spans="6:6">
      <c r="F60423" s="2423"/>
    </row>
    <row r="60424" s="101" customFormat="1" spans="6:6">
      <c r="F60424" s="2423"/>
    </row>
    <row r="60425" s="101" customFormat="1" spans="6:6">
      <c r="F60425" s="2423"/>
    </row>
    <row r="60426" s="101" customFormat="1" spans="6:6">
      <c r="F60426" s="2423"/>
    </row>
    <row r="60427" s="101" customFormat="1" spans="6:6">
      <c r="F60427" s="2423"/>
    </row>
    <row r="60428" s="101" customFormat="1" spans="6:6">
      <c r="F60428" s="2423"/>
    </row>
    <row r="60429" s="101" customFormat="1" spans="6:6">
      <c r="F60429" s="2423"/>
    </row>
    <row r="60430" s="101" customFormat="1" spans="6:6">
      <c r="F60430" s="2423"/>
    </row>
    <row r="60431" s="101" customFormat="1" spans="6:6">
      <c r="F60431" s="2423"/>
    </row>
    <row r="60432" s="101" customFormat="1" spans="6:6">
      <c r="F60432" s="2423"/>
    </row>
    <row r="60433" s="101" customFormat="1" spans="6:6">
      <c r="F60433" s="2423"/>
    </row>
    <row r="60434" s="101" customFormat="1" spans="6:6">
      <c r="F60434" s="2423"/>
    </row>
    <row r="60435" s="101" customFormat="1" spans="6:6">
      <c r="F60435" s="2423"/>
    </row>
    <row r="60436" s="101" customFormat="1" spans="6:6">
      <c r="F60436" s="2423"/>
    </row>
    <row r="60437" s="101" customFormat="1" spans="6:6">
      <c r="F60437" s="2423"/>
    </row>
    <row r="60438" s="101" customFormat="1" spans="6:6">
      <c r="F60438" s="2423"/>
    </row>
    <row r="60439" s="101" customFormat="1" spans="6:6">
      <c r="F60439" s="2423"/>
    </row>
    <row r="60440" s="101" customFormat="1" spans="6:6">
      <c r="F60440" s="2423"/>
    </row>
    <row r="60441" s="101" customFormat="1" spans="6:6">
      <c r="F60441" s="2423"/>
    </row>
    <row r="60442" s="101" customFormat="1" spans="6:6">
      <c r="F60442" s="2423"/>
    </row>
    <row r="60443" s="101" customFormat="1" spans="6:6">
      <c r="F60443" s="2423"/>
    </row>
    <row r="60444" s="101" customFormat="1" spans="6:6">
      <c r="F60444" s="2423"/>
    </row>
    <row r="60445" s="101" customFormat="1" spans="6:6">
      <c r="F60445" s="2423"/>
    </row>
    <row r="60446" s="101" customFormat="1" spans="6:6">
      <c r="F60446" s="2423"/>
    </row>
    <row r="60447" s="101" customFormat="1" spans="6:6">
      <c r="F60447" s="2423"/>
    </row>
    <row r="60448" s="101" customFormat="1" spans="6:6">
      <c r="F60448" s="2423"/>
    </row>
    <row r="60449" s="101" customFormat="1" spans="6:6">
      <c r="F60449" s="2423"/>
    </row>
    <row r="60450" s="101" customFormat="1" spans="6:6">
      <c r="F60450" s="2423"/>
    </row>
    <row r="60451" s="101" customFormat="1" spans="6:6">
      <c r="F60451" s="2423"/>
    </row>
    <row r="60452" s="101" customFormat="1" spans="6:6">
      <c r="F60452" s="2423"/>
    </row>
    <row r="60453" s="101" customFormat="1" spans="6:6">
      <c r="F60453" s="2423"/>
    </row>
    <row r="60454" s="101" customFormat="1" spans="6:6">
      <c r="F60454" s="2423"/>
    </row>
    <row r="60455" s="101" customFormat="1" spans="6:6">
      <c r="F60455" s="2423"/>
    </row>
    <row r="60456" s="101" customFormat="1" spans="6:6">
      <c r="F60456" s="2423"/>
    </row>
    <row r="60457" s="101" customFormat="1" spans="6:6">
      <c r="F60457" s="2423"/>
    </row>
    <row r="60458" s="101" customFormat="1" spans="6:6">
      <c r="F60458" s="2423"/>
    </row>
    <row r="60459" s="101" customFormat="1" spans="6:6">
      <c r="F60459" s="2423"/>
    </row>
    <row r="60460" s="101" customFormat="1" spans="6:6">
      <c r="F60460" s="2423"/>
    </row>
    <row r="60461" s="101" customFormat="1" spans="6:6">
      <c r="F60461" s="2423"/>
    </row>
    <row r="60462" s="101" customFormat="1" spans="6:6">
      <c r="F60462" s="2423"/>
    </row>
    <row r="60463" s="101" customFormat="1" spans="6:6">
      <c r="F60463" s="2423"/>
    </row>
    <row r="60464" s="101" customFormat="1" spans="6:6">
      <c r="F60464" s="2423"/>
    </row>
    <row r="60465" s="101" customFormat="1" spans="6:6">
      <c r="F60465" s="2423"/>
    </row>
    <row r="60466" s="101" customFormat="1" spans="6:6">
      <c r="F60466" s="2423"/>
    </row>
    <row r="60467" s="101" customFormat="1" spans="6:6">
      <c r="F60467" s="2423"/>
    </row>
    <row r="60468" s="101" customFormat="1" spans="6:6">
      <c r="F60468" s="2423"/>
    </row>
    <row r="60469" s="101" customFormat="1" spans="6:6">
      <c r="F60469" s="2423"/>
    </row>
    <row r="60470" s="101" customFormat="1" spans="6:6">
      <c r="F60470" s="2423"/>
    </row>
    <row r="60471" s="101" customFormat="1" spans="6:6">
      <c r="F60471" s="2423"/>
    </row>
    <row r="60472" s="101" customFormat="1" spans="6:6">
      <c r="F60472" s="2423"/>
    </row>
    <row r="60473" s="101" customFormat="1" spans="6:6">
      <c r="F60473" s="2423"/>
    </row>
    <row r="60474" s="101" customFormat="1" spans="6:6">
      <c r="F60474" s="2423"/>
    </row>
    <row r="60475" s="101" customFormat="1" spans="6:6">
      <c r="F60475" s="2423"/>
    </row>
    <row r="60476" s="101" customFormat="1" spans="6:6">
      <c r="F60476" s="2423"/>
    </row>
    <row r="60477" s="101" customFormat="1" spans="6:6">
      <c r="F60477" s="2423"/>
    </row>
    <row r="60478" s="101" customFormat="1" spans="6:6">
      <c r="F60478" s="2423"/>
    </row>
    <row r="60479" s="101" customFormat="1" spans="6:6">
      <c r="F60479" s="2423"/>
    </row>
    <row r="60480" s="101" customFormat="1" spans="6:6">
      <c r="F60480" s="2423"/>
    </row>
    <row r="60481" s="101" customFormat="1" spans="6:6">
      <c r="F60481" s="2423"/>
    </row>
    <row r="60482" s="101" customFormat="1" spans="6:6">
      <c r="F60482" s="2423"/>
    </row>
    <row r="60483" s="101" customFormat="1" spans="6:6">
      <c r="F60483" s="2423"/>
    </row>
    <row r="60484" s="101" customFormat="1" spans="6:6">
      <c r="F60484" s="2423"/>
    </row>
    <row r="60485" s="101" customFormat="1" spans="6:6">
      <c r="F60485" s="2423"/>
    </row>
    <row r="60486" s="101" customFormat="1" spans="6:6">
      <c r="F60486" s="2423"/>
    </row>
    <row r="60487" s="101" customFormat="1" spans="6:6">
      <c r="F60487" s="2423"/>
    </row>
    <row r="60488" s="101" customFormat="1" spans="6:6">
      <c r="F60488" s="2423"/>
    </row>
    <row r="60489" s="101" customFormat="1" spans="6:6">
      <c r="F60489" s="2423"/>
    </row>
    <row r="60490" s="101" customFormat="1" spans="6:6">
      <c r="F60490" s="2423"/>
    </row>
    <row r="60491" s="101" customFormat="1" spans="6:6">
      <c r="F60491" s="2423"/>
    </row>
    <row r="60492" s="101" customFormat="1" spans="6:6">
      <c r="F60492" s="2423"/>
    </row>
    <row r="60493" s="101" customFormat="1" spans="6:6">
      <c r="F60493" s="2423"/>
    </row>
    <row r="60494" s="101" customFormat="1" spans="6:6">
      <c r="F60494" s="2423"/>
    </row>
    <row r="60495" s="101" customFormat="1" spans="6:6">
      <c r="F60495" s="2423"/>
    </row>
    <row r="60496" s="101" customFormat="1" spans="6:6">
      <c r="F60496" s="2423"/>
    </row>
    <row r="60497" s="101" customFormat="1" spans="6:6">
      <c r="F60497" s="2423"/>
    </row>
    <row r="60498" s="101" customFormat="1" spans="6:6">
      <c r="F60498" s="2423"/>
    </row>
    <row r="60499" s="101" customFormat="1" spans="6:6">
      <c r="F60499" s="2423"/>
    </row>
    <row r="60500" s="101" customFormat="1" spans="6:6">
      <c r="F60500" s="2423"/>
    </row>
    <row r="60501" s="101" customFormat="1" spans="6:6">
      <c r="F60501" s="2423"/>
    </row>
    <row r="60502" s="101" customFormat="1" spans="6:6">
      <c r="F60502" s="2423"/>
    </row>
    <row r="60503" s="101" customFormat="1" spans="6:6">
      <c r="F60503" s="2423"/>
    </row>
    <row r="60504" s="101" customFormat="1" spans="6:6">
      <c r="F60504" s="2423"/>
    </row>
    <row r="60505" s="101" customFormat="1" spans="6:6">
      <c r="F60505" s="2423"/>
    </row>
    <row r="60506" s="101" customFormat="1" spans="6:6">
      <c r="F60506" s="2423"/>
    </row>
    <row r="60507" s="101" customFormat="1" spans="6:6">
      <c r="F60507" s="2423"/>
    </row>
    <row r="60508" s="101" customFormat="1" spans="6:6">
      <c r="F60508" s="2423"/>
    </row>
    <row r="60509" s="101" customFormat="1" spans="6:6">
      <c r="F60509" s="2423"/>
    </row>
    <row r="60510" s="101" customFormat="1" spans="6:6">
      <c r="F60510" s="2423"/>
    </row>
    <row r="60511" s="101" customFormat="1" spans="6:6">
      <c r="F60511" s="2423"/>
    </row>
    <row r="60512" s="101" customFormat="1" spans="6:6">
      <c r="F60512" s="2423"/>
    </row>
    <row r="60513" s="101" customFormat="1" spans="6:6">
      <c r="F60513" s="2423"/>
    </row>
    <row r="60514" s="101" customFormat="1" spans="6:6">
      <c r="F60514" s="2423"/>
    </row>
    <row r="60515" s="101" customFormat="1" spans="6:6">
      <c r="F60515" s="2423"/>
    </row>
    <row r="60516" s="101" customFormat="1" spans="6:6">
      <c r="F60516" s="2423"/>
    </row>
    <row r="60517" s="101" customFormat="1" spans="6:6">
      <c r="F60517" s="2423"/>
    </row>
    <row r="60518" s="101" customFormat="1" spans="6:6">
      <c r="F60518" s="2423"/>
    </row>
    <row r="60519" s="101" customFormat="1" spans="6:6">
      <c r="F60519" s="2423"/>
    </row>
    <row r="60520" s="101" customFormat="1" spans="6:6">
      <c r="F60520" s="2423"/>
    </row>
    <row r="60521" s="101" customFormat="1" spans="6:6">
      <c r="F60521" s="2423"/>
    </row>
    <row r="60522" s="101" customFormat="1" spans="6:6">
      <c r="F60522" s="2423"/>
    </row>
    <row r="60523" s="101" customFormat="1" spans="6:6">
      <c r="F60523" s="2423"/>
    </row>
    <row r="60524" s="101" customFormat="1" spans="6:6">
      <c r="F60524" s="2423"/>
    </row>
    <row r="60525" s="101" customFormat="1" spans="6:6">
      <c r="F60525" s="2423"/>
    </row>
    <row r="60526" s="101" customFormat="1" spans="6:6">
      <c r="F60526" s="2423"/>
    </row>
    <row r="60527" s="101" customFormat="1" spans="6:6">
      <c r="F60527" s="2423"/>
    </row>
    <row r="60528" s="101" customFormat="1" spans="6:6">
      <c r="F60528" s="2423"/>
    </row>
    <row r="60529" s="101" customFormat="1" spans="6:6">
      <c r="F60529" s="2423"/>
    </row>
    <row r="60530" s="101" customFormat="1" spans="6:6">
      <c r="F60530" s="2423"/>
    </row>
    <row r="60531" s="101" customFormat="1" spans="6:6">
      <c r="F60531" s="2423"/>
    </row>
    <row r="60532" s="101" customFormat="1" spans="6:6">
      <c r="F60532" s="2423"/>
    </row>
    <row r="60533" s="101" customFormat="1" spans="6:6">
      <c r="F60533" s="2423"/>
    </row>
    <row r="60534" s="101" customFormat="1" spans="6:6">
      <c r="F60534" s="2423"/>
    </row>
    <row r="60535" s="101" customFormat="1" spans="6:6">
      <c r="F60535" s="2423"/>
    </row>
    <row r="60536" s="101" customFormat="1" spans="6:6">
      <c r="F60536" s="2423"/>
    </row>
    <row r="60537" s="101" customFormat="1" spans="6:6">
      <c r="F60537" s="2423"/>
    </row>
    <row r="60538" s="101" customFormat="1" spans="6:6">
      <c r="F60538" s="2423"/>
    </row>
    <row r="60539" s="101" customFormat="1" spans="6:6">
      <c r="F60539" s="2423"/>
    </row>
    <row r="60540" s="101" customFormat="1" spans="6:6">
      <c r="F60540" s="2423"/>
    </row>
    <row r="60541" s="101" customFormat="1" spans="6:6">
      <c r="F60541" s="2423"/>
    </row>
    <row r="60542" s="101" customFormat="1" spans="6:6">
      <c r="F60542" s="2423"/>
    </row>
    <row r="60543" s="101" customFormat="1" spans="6:6">
      <c r="F60543" s="2423"/>
    </row>
    <row r="60544" s="101" customFormat="1" spans="6:6">
      <c r="F60544" s="2423"/>
    </row>
    <row r="60545" s="101" customFormat="1" spans="6:6">
      <c r="F60545" s="2423"/>
    </row>
    <row r="60546" s="101" customFormat="1" spans="6:6">
      <c r="F60546" s="2423"/>
    </row>
    <row r="60547" s="101" customFormat="1" spans="6:6">
      <c r="F60547" s="2423"/>
    </row>
    <row r="60548" s="101" customFormat="1" spans="6:6">
      <c r="F60548" s="2423"/>
    </row>
    <row r="60549" s="101" customFormat="1" spans="6:6">
      <c r="F60549" s="2423"/>
    </row>
    <row r="60550" s="101" customFormat="1" spans="6:6">
      <c r="F60550" s="2423"/>
    </row>
    <row r="60551" s="101" customFormat="1" spans="6:6">
      <c r="F60551" s="2423"/>
    </row>
    <row r="60552" s="101" customFormat="1" spans="6:6">
      <c r="F60552" s="2423"/>
    </row>
    <row r="60553" s="101" customFormat="1" spans="6:6">
      <c r="F60553" s="2423"/>
    </row>
    <row r="60554" s="101" customFormat="1" spans="6:6">
      <c r="F60554" s="2423"/>
    </row>
    <row r="60555" s="101" customFormat="1" spans="6:6">
      <c r="F60555" s="2423"/>
    </row>
    <row r="60556" s="101" customFormat="1" spans="6:6">
      <c r="F60556" s="2423"/>
    </row>
    <row r="60557" s="101" customFormat="1" spans="6:6">
      <c r="F60557" s="2423"/>
    </row>
    <row r="60558" s="101" customFormat="1" spans="6:6">
      <c r="F60558" s="2423"/>
    </row>
    <row r="60559" s="101" customFormat="1" spans="6:6">
      <c r="F60559" s="2423"/>
    </row>
    <row r="60560" s="101" customFormat="1" spans="6:6">
      <c r="F60560" s="2423"/>
    </row>
    <row r="60561" s="101" customFormat="1" spans="6:6">
      <c r="F60561" s="2423"/>
    </row>
    <row r="60562" s="101" customFormat="1" spans="6:6">
      <c r="F60562" s="2423"/>
    </row>
    <row r="60563" s="101" customFormat="1" spans="6:6">
      <c r="F60563" s="2423"/>
    </row>
    <row r="60564" s="101" customFormat="1" spans="6:6">
      <c r="F60564" s="2423"/>
    </row>
    <row r="60565" s="101" customFormat="1" spans="6:6">
      <c r="F60565" s="2423"/>
    </row>
    <row r="60566" s="101" customFormat="1" spans="6:6">
      <c r="F60566" s="2423"/>
    </row>
    <row r="60567" s="101" customFormat="1" spans="6:6">
      <c r="F60567" s="2423"/>
    </row>
    <row r="60568" s="101" customFormat="1" spans="6:6">
      <c r="F60568" s="2423"/>
    </row>
    <row r="60569" s="101" customFormat="1" spans="6:6">
      <c r="F60569" s="2423"/>
    </row>
    <row r="60570" s="101" customFormat="1" spans="6:6">
      <c r="F60570" s="2423"/>
    </row>
    <row r="60571" s="101" customFormat="1" spans="6:6">
      <c r="F60571" s="2423"/>
    </row>
    <row r="60572" s="101" customFormat="1" spans="6:6">
      <c r="F60572" s="2423"/>
    </row>
    <row r="60573" s="101" customFormat="1" spans="6:6">
      <c r="F60573" s="2423"/>
    </row>
    <row r="60574" s="101" customFormat="1" spans="6:6">
      <c r="F60574" s="2423"/>
    </row>
    <row r="60575" s="101" customFormat="1" spans="6:6">
      <c r="F60575" s="2423"/>
    </row>
    <row r="60576" s="101" customFormat="1" spans="6:6">
      <c r="F60576" s="2423"/>
    </row>
    <row r="60577" s="101" customFormat="1" spans="6:6">
      <c r="F60577" s="2423"/>
    </row>
    <row r="60578" s="101" customFormat="1" spans="6:6">
      <c r="F60578" s="2423"/>
    </row>
    <row r="60579" s="101" customFormat="1" spans="6:6">
      <c r="F60579" s="2423"/>
    </row>
    <row r="60580" s="101" customFormat="1" spans="6:6">
      <c r="F60580" s="2423"/>
    </row>
    <row r="60581" s="101" customFormat="1" spans="6:6">
      <c r="F60581" s="2423"/>
    </row>
    <row r="60582" s="101" customFormat="1" spans="6:6">
      <c r="F60582" s="2423"/>
    </row>
    <row r="60583" s="101" customFormat="1" spans="6:6">
      <c r="F60583" s="2423"/>
    </row>
    <row r="60584" s="101" customFormat="1" spans="6:6">
      <c r="F60584" s="2423"/>
    </row>
    <row r="60585" s="101" customFormat="1" spans="6:6">
      <c r="F60585" s="2423"/>
    </row>
    <row r="60586" s="101" customFormat="1" spans="6:6">
      <c r="F60586" s="2423"/>
    </row>
    <row r="60587" s="101" customFormat="1" spans="6:6">
      <c r="F60587" s="2423"/>
    </row>
    <row r="60588" s="101" customFormat="1" spans="6:6">
      <c r="F60588" s="2423"/>
    </row>
    <row r="60589" s="101" customFormat="1" spans="6:6">
      <c r="F60589" s="2423"/>
    </row>
    <row r="60590" s="101" customFormat="1" spans="6:6">
      <c r="F60590" s="2423"/>
    </row>
    <row r="60591" s="101" customFormat="1" spans="6:6">
      <c r="F60591" s="2423"/>
    </row>
    <row r="60592" s="101" customFormat="1" spans="6:6">
      <c r="F60592" s="2423"/>
    </row>
    <row r="60593" s="101" customFormat="1" spans="6:6">
      <c r="F60593" s="2423"/>
    </row>
    <row r="60594" s="101" customFormat="1" spans="6:6">
      <c r="F60594" s="2423"/>
    </row>
    <row r="60595" s="101" customFormat="1" spans="6:6">
      <c r="F60595" s="2423"/>
    </row>
    <row r="60596" s="101" customFormat="1" spans="6:6">
      <c r="F60596" s="2423"/>
    </row>
    <row r="60597" s="101" customFormat="1" spans="6:6">
      <c r="F60597" s="2423"/>
    </row>
    <row r="60598" s="101" customFormat="1" spans="6:6">
      <c r="F60598" s="2423"/>
    </row>
    <row r="60599" s="101" customFormat="1" spans="6:6">
      <c r="F60599" s="2423"/>
    </row>
    <row r="60600" s="101" customFormat="1" spans="6:6">
      <c r="F60600" s="2423"/>
    </row>
    <row r="60601" s="101" customFormat="1" spans="6:6">
      <c r="F60601" s="2423"/>
    </row>
    <row r="60602" s="101" customFormat="1" spans="6:6">
      <c r="F60602" s="2423"/>
    </row>
    <row r="60603" s="101" customFormat="1" spans="6:6">
      <c r="F60603" s="2423"/>
    </row>
    <row r="60604" s="101" customFormat="1" spans="6:6">
      <c r="F60604" s="2423"/>
    </row>
    <row r="60605" s="101" customFormat="1" spans="6:6">
      <c r="F60605" s="2423"/>
    </row>
    <row r="60606" s="101" customFormat="1" spans="6:6">
      <c r="F60606" s="2423"/>
    </row>
    <row r="60607" s="101" customFormat="1" spans="6:6">
      <c r="F60607" s="2423"/>
    </row>
    <row r="60608" s="101" customFormat="1" spans="6:6">
      <c r="F60608" s="2423"/>
    </row>
    <row r="60609" s="101" customFormat="1" spans="6:6">
      <c r="F60609" s="2423"/>
    </row>
    <row r="60610" s="101" customFormat="1" spans="6:6">
      <c r="F60610" s="2423"/>
    </row>
    <row r="60611" s="101" customFormat="1" spans="6:6">
      <c r="F60611" s="2423"/>
    </row>
    <row r="60612" s="101" customFormat="1" spans="6:6">
      <c r="F60612" s="2423"/>
    </row>
    <row r="60613" s="101" customFormat="1" spans="6:6">
      <c r="F60613" s="2423"/>
    </row>
    <row r="60614" s="101" customFormat="1" spans="6:6">
      <c r="F60614" s="2423"/>
    </row>
    <row r="60615" s="101" customFormat="1" spans="6:6">
      <c r="F60615" s="2423"/>
    </row>
    <row r="60616" s="101" customFormat="1" spans="6:6">
      <c r="F60616" s="2423"/>
    </row>
    <row r="60617" s="101" customFormat="1" spans="6:6">
      <c r="F60617" s="2423"/>
    </row>
    <row r="60618" s="101" customFormat="1" spans="6:6">
      <c r="F60618" s="2423"/>
    </row>
    <row r="60619" s="101" customFormat="1" spans="6:6">
      <c r="F60619" s="2423"/>
    </row>
    <row r="60620" s="101" customFormat="1" spans="6:6">
      <c r="F60620" s="2423"/>
    </row>
    <row r="60621" s="101" customFormat="1" spans="6:6">
      <c r="F60621" s="2423"/>
    </row>
    <row r="60622" s="101" customFormat="1" spans="6:6">
      <c r="F60622" s="2423"/>
    </row>
    <row r="60623" s="101" customFormat="1" spans="6:6">
      <c r="F60623" s="2423"/>
    </row>
    <row r="60624" s="101" customFormat="1" spans="6:6">
      <c r="F60624" s="2423"/>
    </row>
    <row r="60625" s="101" customFormat="1" spans="6:6">
      <c r="F60625" s="2423"/>
    </row>
    <row r="60626" s="101" customFormat="1" spans="6:6">
      <c r="F60626" s="2423"/>
    </row>
    <row r="60627" s="101" customFormat="1" spans="6:6">
      <c r="F60627" s="2423"/>
    </row>
    <row r="60628" s="101" customFormat="1" spans="6:6">
      <c r="F60628" s="2423"/>
    </row>
    <row r="60629" s="101" customFormat="1" spans="6:6">
      <c r="F60629" s="2423"/>
    </row>
    <row r="60630" s="101" customFormat="1" spans="6:6">
      <c r="F60630" s="2423"/>
    </row>
    <row r="60631" s="101" customFormat="1" spans="6:6">
      <c r="F60631" s="2423"/>
    </row>
    <row r="60632" s="101" customFormat="1" spans="6:6">
      <c r="F60632" s="2423"/>
    </row>
    <row r="60633" s="101" customFormat="1" spans="6:6">
      <c r="F60633" s="2423"/>
    </row>
    <row r="60634" s="101" customFormat="1" spans="6:6">
      <c r="F60634" s="2423"/>
    </row>
    <row r="60635" s="101" customFormat="1" spans="6:6">
      <c r="F60635" s="2423"/>
    </row>
    <row r="60636" s="101" customFormat="1" spans="6:6">
      <c r="F60636" s="2423"/>
    </row>
    <row r="60637" s="101" customFormat="1" spans="6:6">
      <c r="F60637" s="2423"/>
    </row>
    <row r="60638" s="101" customFormat="1" spans="6:6">
      <c r="F60638" s="2423"/>
    </row>
    <row r="60639" s="101" customFormat="1" spans="6:6">
      <c r="F60639" s="2423"/>
    </row>
    <row r="60640" s="101" customFormat="1" spans="6:6">
      <c r="F60640" s="2423"/>
    </row>
    <row r="60641" s="101" customFormat="1" spans="6:6">
      <c r="F60641" s="2423"/>
    </row>
    <row r="60642" s="101" customFormat="1" spans="6:6">
      <c r="F60642" s="2423"/>
    </row>
    <row r="60643" s="101" customFormat="1" spans="6:6">
      <c r="F60643" s="2423"/>
    </row>
    <row r="60644" s="101" customFormat="1" spans="6:6">
      <c r="F60644" s="2423"/>
    </row>
    <row r="60645" s="101" customFormat="1" spans="6:6">
      <c r="F60645" s="2423"/>
    </row>
    <row r="60646" s="101" customFormat="1" spans="6:6">
      <c r="F60646" s="2423"/>
    </row>
    <row r="60647" s="101" customFormat="1" spans="6:6">
      <c r="F60647" s="2423"/>
    </row>
    <row r="60648" s="101" customFormat="1" spans="6:6">
      <c r="F60648" s="2423"/>
    </row>
    <row r="60649" s="101" customFormat="1" spans="6:6">
      <c r="F60649" s="2423"/>
    </row>
    <row r="60650" s="101" customFormat="1" spans="6:6">
      <c r="F60650" s="2423"/>
    </row>
    <row r="60651" s="101" customFormat="1" spans="6:6">
      <c r="F60651" s="2423"/>
    </row>
    <row r="60652" s="101" customFormat="1" spans="6:6">
      <c r="F60652" s="2423"/>
    </row>
    <row r="60653" s="101" customFormat="1" spans="6:6">
      <c r="F60653" s="2423"/>
    </row>
    <row r="60654" s="101" customFormat="1" spans="6:6">
      <c r="F60654" s="2423"/>
    </row>
    <row r="60655" s="101" customFormat="1" spans="6:6">
      <c r="F60655" s="2423"/>
    </row>
    <row r="60656" s="101" customFormat="1" spans="6:6">
      <c r="F60656" s="2423"/>
    </row>
    <row r="60657" s="101" customFormat="1" spans="6:6">
      <c r="F60657" s="2423"/>
    </row>
    <row r="60658" s="101" customFormat="1" spans="6:6">
      <c r="F60658" s="2423"/>
    </row>
    <row r="60659" s="101" customFormat="1" spans="6:6">
      <c r="F60659" s="2423"/>
    </row>
    <row r="60660" s="101" customFormat="1" spans="6:6">
      <c r="F60660" s="2423"/>
    </row>
    <row r="60661" s="101" customFormat="1" spans="6:6">
      <c r="F60661" s="2423"/>
    </row>
    <row r="60662" s="101" customFormat="1" spans="6:6">
      <c r="F60662" s="2423"/>
    </row>
    <row r="60663" s="101" customFormat="1" spans="6:6">
      <c r="F60663" s="2423"/>
    </row>
    <row r="60664" s="101" customFormat="1" spans="6:6">
      <c r="F60664" s="2423"/>
    </row>
    <row r="60665" s="101" customFormat="1" spans="6:6">
      <c r="F60665" s="2423"/>
    </row>
    <row r="60666" s="101" customFormat="1" spans="6:6">
      <c r="F60666" s="2423"/>
    </row>
    <row r="60667" s="101" customFormat="1" spans="6:6">
      <c r="F60667" s="2423"/>
    </row>
    <row r="60668" s="101" customFormat="1" spans="6:6">
      <c r="F60668" s="2423"/>
    </row>
    <row r="60669" s="101" customFormat="1" spans="6:6">
      <c r="F60669" s="2423"/>
    </row>
    <row r="60670" s="101" customFormat="1" spans="6:6">
      <c r="F60670" s="2423"/>
    </row>
    <row r="60671" s="101" customFormat="1" spans="6:6">
      <c r="F60671" s="2423"/>
    </row>
    <row r="60672" s="101" customFormat="1" spans="6:6">
      <c r="F60672" s="2423"/>
    </row>
    <row r="60673" s="101" customFormat="1" spans="6:6">
      <c r="F60673" s="2423"/>
    </row>
    <row r="60674" s="101" customFormat="1" spans="6:6">
      <c r="F60674" s="2423"/>
    </row>
    <row r="60675" s="101" customFormat="1" spans="6:6">
      <c r="F60675" s="2423"/>
    </row>
    <row r="60676" s="101" customFormat="1" spans="6:6">
      <c r="F60676" s="2423"/>
    </row>
    <row r="60677" s="101" customFormat="1" spans="6:6">
      <c r="F60677" s="2423"/>
    </row>
    <row r="60678" s="101" customFormat="1" spans="6:6">
      <c r="F60678" s="2423"/>
    </row>
    <row r="60679" s="101" customFormat="1" spans="6:6">
      <c r="F60679" s="2423"/>
    </row>
    <row r="60680" s="101" customFormat="1" spans="6:6">
      <c r="F60680" s="2423"/>
    </row>
    <row r="60681" s="101" customFormat="1" spans="6:6">
      <c r="F60681" s="2423"/>
    </row>
    <row r="60682" s="101" customFormat="1" spans="6:6">
      <c r="F60682" s="2423"/>
    </row>
    <row r="60683" s="101" customFormat="1" spans="6:6">
      <c r="F60683" s="2423"/>
    </row>
    <row r="60684" s="101" customFormat="1" spans="6:6">
      <c r="F60684" s="2423"/>
    </row>
    <row r="60685" s="101" customFormat="1" spans="6:6">
      <c r="F60685" s="2423"/>
    </row>
    <row r="60686" s="101" customFormat="1" spans="6:6">
      <c r="F60686" s="2423"/>
    </row>
    <row r="60687" s="101" customFormat="1" spans="6:6">
      <c r="F60687" s="2423"/>
    </row>
    <row r="60688" s="101" customFormat="1" spans="6:6">
      <c r="F60688" s="2423"/>
    </row>
    <row r="60689" s="101" customFormat="1" spans="6:6">
      <c r="F60689" s="2423"/>
    </row>
    <row r="60690" s="101" customFormat="1" spans="6:6">
      <c r="F60690" s="2423"/>
    </row>
    <row r="60691" s="101" customFormat="1" spans="6:6">
      <c r="F60691" s="2423"/>
    </row>
    <row r="60692" s="101" customFormat="1" spans="6:6">
      <c r="F60692" s="2423"/>
    </row>
    <row r="60693" s="101" customFormat="1" spans="6:6">
      <c r="F60693" s="2423"/>
    </row>
    <row r="60694" s="101" customFormat="1" spans="6:6">
      <c r="F60694" s="2423"/>
    </row>
    <row r="60695" s="101" customFormat="1" spans="6:6">
      <c r="F60695" s="2423"/>
    </row>
    <row r="60696" s="101" customFormat="1" spans="6:6">
      <c r="F60696" s="2423"/>
    </row>
    <row r="60697" s="101" customFormat="1" spans="6:6">
      <c r="F60697" s="2423"/>
    </row>
    <row r="60698" s="101" customFormat="1" spans="6:6">
      <c r="F60698" s="2423"/>
    </row>
    <row r="60699" s="101" customFormat="1" spans="6:6">
      <c r="F60699" s="2423"/>
    </row>
    <row r="60700" s="101" customFormat="1" spans="6:6">
      <c r="F60700" s="2423"/>
    </row>
    <row r="60701" s="101" customFormat="1" spans="6:6">
      <c r="F60701" s="2423"/>
    </row>
    <row r="60702" s="101" customFormat="1" spans="6:6">
      <c r="F60702" s="2423"/>
    </row>
    <row r="60703" s="101" customFormat="1" spans="6:6">
      <c r="F60703" s="2423"/>
    </row>
    <row r="60704" s="101" customFormat="1" spans="6:6">
      <c r="F60704" s="2423"/>
    </row>
    <row r="60705" s="101" customFormat="1" spans="6:6">
      <c r="F60705" s="2423"/>
    </row>
    <row r="60706" s="101" customFormat="1" spans="6:6">
      <c r="F60706" s="2423"/>
    </row>
    <row r="60707" s="101" customFormat="1" spans="6:6">
      <c r="F60707" s="2423"/>
    </row>
    <row r="60708" s="101" customFormat="1" spans="6:6">
      <c r="F60708" s="2423"/>
    </row>
    <row r="60709" s="101" customFormat="1" spans="6:6">
      <c r="F60709" s="2423"/>
    </row>
    <row r="60710" s="101" customFormat="1" spans="6:6">
      <c r="F60710" s="2423"/>
    </row>
    <row r="60711" s="101" customFormat="1" spans="6:6">
      <c r="F60711" s="2423"/>
    </row>
    <row r="60712" s="101" customFormat="1" spans="6:6">
      <c r="F60712" s="2423"/>
    </row>
    <row r="60713" s="101" customFormat="1" spans="6:6">
      <c r="F60713" s="2423"/>
    </row>
    <row r="60714" s="101" customFormat="1" spans="6:6">
      <c r="F60714" s="2423"/>
    </row>
    <row r="60715" s="101" customFormat="1" spans="6:6">
      <c r="F60715" s="2423"/>
    </row>
    <row r="60716" s="101" customFormat="1" spans="6:6">
      <c r="F60716" s="2423"/>
    </row>
    <row r="60717" s="101" customFormat="1" spans="6:6">
      <c r="F60717" s="2423"/>
    </row>
    <row r="60718" s="101" customFormat="1" spans="6:6">
      <c r="F60718" s="2423"/>
    </row>
    <row r="60719" s="101" customFormat="1" spans="6:6">
      <c r="F60719" s="2423"/>
    </row>
    <row r="60720" s="101" customFormat="1" spans="6:6">
      <c r="F60720" s="2423"/>
    </row>
    <row r="60721" s="101" customFormat="1" spans="6:6">
      <c r="F60721" s="2423"/>
    </row>
    <row r="60722" s="101" customFormat="1" spans="6:6">
      <c r="F60722" s="2423"/>
    </row>
    <row r="60723" s="101" customFormat="1" spans="6:6">
      <c r="F60723" s="2423"/>
    </row>
    <row r="60724" s="101" customFormat="1" spans="6:6">
      <c r="F60724" s="2423"/>
    </row>
    <row r="60725" s="101" customFormat="1" spans="6:6">
      <c r="F60725" s="2423"/>
    </row>
    <row r="60726" s="101" customFormat="1" spans="6:6">
      <c r="F60726" s="2423"/>
    </row>
    <row r="60727" s="101" customFormat="1" spans="6:6">
      <c r="F60727" s="2423"/>
    </row>
    <row r="60728" s="101" customFormat="1" spans="6:6">
      <c r="F60728" s="2423"/>
    </row>
    <row r="60729" s="101" customFormat="1" spans="6:6">
      <c r="F60729" s="2423"/>
    </row>
    <row r="60730" s="101" customFormat="1" spans="6:6">
      <c r="F60730" s="2423"/>
    </row>
    <row r="60731" s="101" customFormat="1" spans="6:6">
      <c r="F60731" s="2423"/>
    </row>
    <row r="60732" s="101" customFormat="1" spans="6:6">
      <c r="F60732" s="2423"/>
    </row>
    <row r="60733" s="101" customFormat="1" spans="6:6">
      <c r="F60733" s="2423"/>
    </row>
    <row r="60734" s="101" customFormat="1" spans="6:6">
      <c r="F60734" s="2423"/>
    </row>
    <row r="60735" s="101" customFormat="1" spans="6:6">
      <c r="F60735" s="2423"/>
    </row>
    <row r="60736" s="101" customFormat="1" spans="6:6">
      <c r="F60736" s="2423"/>
    </row>
    <row r="60737" s="101" customFormat="1" spans="6:6">
      <c r="F60737" s="2423"/>
    </row>
    <row r="60738" s="101" customFormat="1" spans="6:6">
      <c r="F60738" s="2423"/>
    </row>
    <row r="60739" s="101" customFormat="1" spans="6:6">
      <c r="F60739" s="2423"/>
    </row>
    <row r="60740" s="101" customFormat="1" spans="6:6">
      <c r="F60740" s="2423"/>
    </row>
    <row r="60741" s="101" customFormat="1" spans="6:6">
      <c r="F60741" s="2423"/>
    </row>
    <row r="60742" s="101" customFormat="1" spans="6:6">
      <c r="F60742" s="2423"/>
    </row>
    <row r="60743" s="101" customFormat="1" spans="6:6">
      <c r="F60743" s="2423"/>
    </row>
    <row r="60744" s="101" customFormat="1" spans="6:6">
      <c r="F60744" s="2423"/>
    </row>
    <row r="60745" s="101" customFormat="1" spans="6:6">
      <c r="F60745" s="2423"/>
    </row>
    <row r="60746" s="101" customFormat="1" spans="6:6">
      <c r="F60746" s="2423"/>
    </row>
    <row r="60747" s="101" customFormat="1" spans="6:6">
      <c r="F60747" s="2423"/>
    </row>
    <row r="60748" s="101" customFormat="1" spans="6:6">
      <c r="F60748" s="2423"/>
    </row>
    <row r="60749" s="101" customFormat="1" spans="6:6">
      <c r="F60749" s="2423"/>
    </row>
    <row r="60750" s="101" customFormat="1" spans="6:6">
      <c r="F60750" s="2423"/>
    </row>
    <row r="60751" s="101" customFormat="1" spans="6:6">
      <c r="F60751" s="2423"/>
    </row>
    <row r="60752" s="101" customFormat="1" spans="6:6">
      <c r="F60752" s="2423"/>
    </row>
    <row r="60753" s="101" customFormat="1" spans="6:6">
      <c r="F60753" s="2423"/>
    </row>
    <row r="60754" s="101" customFormat="1" spans="6:6">
      <c r="F60754" s="2423"/>
    </row>
    <row r="60755" s="101" customFormat="1" spans="6:6">
      <c r="F60755" s="2423"/>
    </row>
    <row r="60756" s="101" customFormat="1" spans="6:6">
      <c r="F60756" s="2423"/>
    </row>
    <row r="60757" s="101" customFormat="1" spans="6:6">
      <c r="F60757" s="2423"/>
    </row>
    <row r="60758" s="101" customFormat="1" spans="6:6">
      <c r="F60758" s="2423"/>
    </row>
    <row r="60759" s="101" customFormat="1" spans="6:6">
      <c r="F60759" s="2423"/>
    </row>
    <row r="60760" s="101" customFormat="1" spans="6:6">
      <c r="F60760" s="2423"/>
    </row>
    <row r="60761" s="101" customFormat="1" spans="6:6">
      <c r="F60761" s="2423"/>
    </row>
    <row r="60762" s="101" customFormat="1" spans="6:6">
      <c r="F60762" s="2423"/>
    </row>
    <row r="60763" s="101" customFormat="1" spans="6:6">
      <c r="F60763" s="2423"/>
    </row>
    <row r="60764" s="101" customFormat="1" spans="6:6">
      <c r="F60764" s="2423"/>
    </row>
    <row r="60765" s="101" customFormat="1" spans="6:6">
      <c r="F60765" s="2423"/>
    </row>
    <row r="60766" s="101" customFormat="1" spans="6:6">
      <c r="F60766" s="2423"/>
    </row>
    <row r="60767" s="101" customFormat="1" spans="6:6">
      <c r="F60767" s="2423"/>
    </row>
    <row r="60768" s="101" customFormat="1" spans="6:6">
      <c r="F60768" s="2423"/>
    </row>
    <row r="60769" s="101" customFormat="1" spans="6:6">
      <c r="F60769" s="2423"/>
    </row>
    <row r="60770" s="101" customFormat="1" spans="6:6">
      <c r="F60770" s="2423"/>
    </row>
    <row r="60771" s="101" customFormat="1" spans="6:6">
      <c r="F60771" s="2423"/>
    </row>
    <row r="60772" s="101" customFormat="1" spans="6:6">
      <c r="F60772" s="2423"/>
    </row>
    <row r="60773" s="101" customFormat="1" spans="6:6">
      <c r="F60773" s="2423"/>
    </row>
    <row r="60774" s="101" customFormat="1" spans="6:6">
      <c r="F60774" s="2423"/>
    </row>
    <row r="60775" s="101" customFormat="1" spans="6:6">
      <c r="F60775" s="2423"/>
    </row>
    <row r="60776" s="101" customFormat="1" spans="6:6">
      <c r="F60776" s="2423"/>
    </row>
    <row r="60777" s="101" customFormat="1" spans="6:6">
      <c r="F60777" s="2423"/>
    </row>
    <row r="60778" s="101" customFormat="1" spans="6:6">
      <c r="F60778" s="2423"/>
    </row>
    <row r="60779" s="101" customFormat="1" spans="6:6">
      <c r="F60779" s="2423"/>
    </row>
    <row r="60780" s="101" customFormat="1" spans="6:6">
      <c r="F60780" s="2423"/>
    </row>
    <row r="60781" s="101" customFormat="1" spans="6:6">
      <c r="F60781" s="2423"/>
    </row>
    <row r="60782" s="101" customFormat="1" spans="6:6">
      <c r="F60782" s="2423"/>
    </row>
    <row r="60783" s="101" customFormat="1" spans="6:6">
      <c r="F60783" s="2423"/>
    </row>
    <row r="60784" s="101" customFormat="1" spans="6:6">
      <c r="F60784" s="2423"/>
    </row>
    <row r="60785" s="101" customFormat="1" spans="6:6">
      <c r="F60785" s="2423"/>
    </row>
    <row r="60786" s="101" customFormat="1" spans="6:6">
      <c r="F60786" s="2423"/>
    </row>
    <row r="60787" s="101" customFormat="1" spans="6:6">
      <c r="F60787" s="2423"/>
    </row>
    <row r="60788" s="101" customFormat="1" spans="6:6">
      <c r="F60788" s="2423"/>
    </row>
    <row r="60789" s="101" customFormat="1" spans="6:6">
      <c r="F60789" s="2423"/>
    </row>
    <row r="60790" s="101" customFormat="1" spans="6:6">
      <c r="F60790" s="2423"/>
    </row>
    <row r="60791" s="101" customFormat="1" spans="6:6">
      <c r="F60791" s="2423"/>
    </row>
    <row r="60792" s="101" customFormat="1" spans="6:6">
      <c r="F60792" s="2423"/>
    </row>
    <row r="60793" s="101" customFormat="1" spans="6:6">
      <c r="F60793" s="2423"/>
    </row>
    <row r="60794" s="101" customFormat="1" spans="6:6">
      <c r="F60794" s="2423"/>
    </row>
    <row r="60795" s="101" customFormat="1" spans="6:6">
      <c r="F60795" s="2423"/>
    </row>
    <row r="60796" s="101" customFormat="1" spans="6:6">
      <c r="F60796" s="2423"/>
    </row>
    <row r="60797" s="101" customFormat="1" spans="6:6">
      <c r="F60797" s="2423"/>
    </row>
    <row r="60798" s="101" customFormat="1" spans="6:6">
      <c r="F60798" s="2423"/>
    </row>
    <row r="60799" s="101" customFormat="1" spans="6:6">
      <c r="F60799" s="2423"/>
    </row>
    <row r="60800" s="101" customFormat="1" spans="6:6">
      <c r="F60800" s="2423"/>
    </row>
    <row r="60801" s="101" customFormat="1" spans="6:6">
      <c r="F60801" s="2423"/>
    </row>
    <row r="60802" s="101" customFormat="1" spans="6:6">
      <c r="F60802" s="2423"/>
    </row>
    <row r="60803" s="101" customFormat="1" spans="6:6">
      <c r="F60803" s="2423"/>
    </row>
    <row r="60804" s="101" customFormat="1" spans="6:6">
      <c r="F60804" s="2423"/>
    </row>
    <row r="60805" s="101" customFormat="1" spans="6:6">
      <c r="F60805" s="2423"/>
    </row>
    <row r="60806" s="101" customFormat="1" spans="6:6">
      <c r="F60806" s="2423"/>
    </row>
    <row r="60807" s="101" customFormat="1" spans="6:6">
      <c r="F60807" s="2423"/>
    </row>
    <row r="60808" s="101" customFormat="1" spans="6:6">
      <c r="F60808" s="2423"/>
    </row>
    <row r="60809" s="101" customFormat="1" spans="6:6">
      <c r="F60809" s="2423"/>
    </row>
    <row r="60810" s="101" customFormat="1" spans="6:6">
      <c r="F60810" s="2423"/>
    </row>
    <row r="60811" s="101" customFormat="1" spans="6:6">
      <c r="F60811" s="2423"/>
    </row>
    <row r="60812" s="101" customFormat="1" spans="6:6">
      <c r="F60812" s="2423"/>
    </row>
    <row r="60813" s="101" customFormat="1" spans="6:6">
      <c r="F60813" s="2423"/>
    </row>
    <row r="60814" s="101" customFormat="1" spans="6:6">
      <c r="F60814" s="2423"/>
    </row>
    <row r="60815" s="101" customFormat="1" spans="6:6">
      <c r="F60815" s="2423"/>
    </row>
    <row r="60816" s="101" customFormat="1" spans="6:6">
      <c r="F60816" s="2423"/>
    </row>
    <row r="60817" s="101" customFormat="1" spans="6:6">
      <c r="F60817" s="2423"/>
    </row>
    <row r="60818" s="101" customFormat="1" spans="6:6">
      <c r="F60818" s="2423"/>
    </row>
    <row r="60819" s="101" customFormat="1" spans="6:6">
      <c r="F60819" s="2423"/>
    </row>
    <row r="60820" s="101" customFormat="1" spans="6:6">
      <c r="F60820" s="2423"/>
    </row>
    <row r="60821" s="101" customFormat="1" spans="6:6">
      <c r="F60821" s="2423"/>
    </row>
    <row r="60822" s="101" customFormat="1" spans="6:6">
      <c r="F60822" s="2423"/>
    </row>
    <row r="60823" s="101" customFormat="1" spans="6:6">
      <c r="F60823" s="2423"/>
    </row>
    <row r="60824" s="101" customFormat="1" spans="6:6">
      <c r="F60824" s="2423"/>
    </row>
    <row r="60825" s="101" customFormat="1" spans="6:6">
      <c r="F60825" s="2423"/>
    </row>
    <row r="60826" s="101" customFormat="1" spans="6:6">
      <c r="F60826" s="2423"/>
    </row>
    <row r="60827" s="101" customFormat="1" spans="6:6">
      <c r="F60827" s="2423"/>
    </row>
    <row r="60828" s="101" customFormat="1" spans="6:6">
      <c r="F60828" s="2423"/>
    </row>
    <row r="60829" s="101" customFormat="1" spans="6:6">
      <c r="F60829" s="2423"/>
    </row>
    <row r="60830" s="101" customFormat="1" spans="6:6">
      <c r="F60830" s="2423"/>
    </row>
    <row r="60831" s="101" customFormat="1" spans="6:6">
      <c r="F60831" s="2423"/>
    </row>
    <row r="60832" s="101" customFormat="1" spans="6:6">
      <c r="F60832" s="2423"/>
    </row>
    <row r="60833" s="101" customFormat="1" spans="6:6">
      <c r="F60833" s="2423"/>
    </row>
    <row r="60834" s="101" customFormat="1" spans="6:6">
      <c r="F60834" s="2423"/>
    </row>
    <row r="60835" s="101" customFormat="1" spans="6:6">
      <c r="F60835" s="2423"/>
    </row>
    <row r="60836" s="101" customFormat="1" spans="6:6">
      <c r="F60836" s="2423"/>
    </row>
    <row r="60837" s="101" customFormat="1" spans="6:6">
      <c r="F60837" s="2423"/>
    </row>
    <row r="60838" s="101" customFormat="1" spans="6:6">
      <c r="F60838" s="2423"/>
    </row>
    <row r="60839" s="101" customFormat="1" spans="6:6">
      <c r="F60839" s="2423"/>
    </row>
    <row r="60840" s="101" customFormat="1" spans="6:6">
      <c r="F60840" s="2423"/>
    </row>
    <row r="60841" s="101" customFormat="1" spans="6:6">
      <c r="F60841" s="2423"/>
    </row>
    <row r="60842" s="101" customFormat="1" spans="6:6">
      <c r="F60842" s="2423"/>
    </row>
    <row r="60843" s="101" customFormat="1" spans="6:6">
      <c r="F60843" s="2423"/>
    </row>
    <row r="60844" s="101" customFormat="1" spans="6:6">
      <c r="F60844" s="2423"/>
    </row>
    <row r="60845" s="101" customFormat="1" spans="6:6">
      <c r="F60845" s="2423"/>
    </row>
    <row r="60846" s="101" customFormat="1" spans="6:6">
      <c r="F60846" s="2423"/>
    </row>
    <row r="60847" s="101" customFormat="1" spans="6:6">
      <c r="F60847" s="2423"/>
    </row>
    <row r="60848" s="101" customFormat="1" spans="6:6">
      <c r="F60848" s="2423"/>
    </row>
    <row r="60849" s="101" customFormat="1" spans="6:6">
      <c r="F60849" s="2423"/>
    </row>
    <row r="60850" s="101" customFormat="1" spans="6:6">
      <c r="F60850" s="2423"/>
    </row>
    <row r="60851" s="101" customFormat="1" spans="6:6">
      <c r="F60851" s="2423"/>
    </row>
    <row r="60852" s="101" customFormat="1" spans="6:6">
      <c r="F60852" s="2423"/>
    </row>
    <row r="60853" s="101" customFormat="1" spans="6:6">
      <c r="F60853" s="2423"/>
    </row>
    <row r="60854" s="101" customFormat="1" spans="6:6">
      <c r="F60854" s="2423"/>
    </row>
    <row r="60855" s="101" customFormat="1" spans="6:6">
      <c r="F60855" s="2423"/>
    </row>
    <row r="60856" s="101" customFormat="1" spans="6:6">
      <c r="F60856" s="2423"/>
    </row>
    <row r="60857" s="101" customFormat="1" spans="6:6">
      <c r="F60857" s="2423"/>
    </row>
    <row r="60858" s="101" customFormat="1" spans="6:6">
      <c r="F60858" s="2423"/>
    </row>
    <row r="60859" s="101" customFormat="1" spans="6:6">
      <c r="F60859" s="2423"/>
    </row>
    <row r="60860" s="101" customFormat="1" spans="6:6">
      <c r="F60860" s="2423"/>
    </row>
    <row r="60861" s="101" customFormat="1" spans="6:6">
      <c r="F60861" s="2423"/>
    </row>
    <row r="60862" s="101" customFormat="1" spans="6:6">
      <c r="F60862" s="2423"/>
    </row>
    <row r="60863" s="101" customFormat="1" spans="6:6">
      <c r="F60863" s="2423"/>
    </row>
    <row r="60864" s="101" customFormat="1" spans="6:6">
      <c r="F60864" s="2423"/>
    </row>
    <row r="60865" s="101" customFormat="1" spans="6:6">
      <c r="F60865" s="2423"/>
    </row>
    <row r="60866" s="101" customFormat="1" spans="6:6">
      <c r="F60866" s="2423"/>
    </row>
    <row r="60867" s="101" customFormat="1" spans="6:6">
      <c r="F60867" s="2423"/>
    </row>
    <row r="60868" s="101" customFormat="1" spans="6:6">
      <c r="F60868" s="2423"/>
    </row>
    <row r="60869" s="101" customFormat="1" spans="6:6">
      <c r="F60869" s="2423"/>
    </row>
    <row r="60870" s="101" customFormat="1" spans="6:6">
      <c r="F60870" s="2423"/>
    </row>
    <row r="60871" s="101" customFormat="1" spans="6:6">
      <c r="F60871" s="2423"/>
    </row>
    <row r="60872" s="101" customFormat="1" spans="6:6">
      <c r="F60872" s="2423"/>
    </row>
    <row r="60873" s="101" customFormat="1" spans="6:6">
      <c r="F60873" s="2423"/>
    </row>
    <row r="60874" s="101" customFormat="1" spans="6:6">
      <c r="F60874" s="2423"/>
    </row>
    <row r="60875" s="101" customFormat="1" spans="6:6">
      <c r="F60875" s="2423"/>
    </row>
    <row r="60876" s="101" customFormat="1" spans="6:6">
      <c r="F60876" s="2423"/>
    </row>
    <row r="60877" s="101" customFormat="1" spans="6:6">
      <c r="F60877" s="2423"/>
    </row>
    <row r="60878" s="101" customFormat="1" spans="6:6">
      <c r="F60878" s="2423"/>
    </row>
    <row r="60879" s="101" customFormat="1" spans="6:6">
      <c r="F60879" s="2423"/>
    </row>
    <row r="60880" s="101" customFormat="1" spans="6:6">
      <c r="F60880" s="2423"/>
    </row>
    <row r="60881" s="101" customFormat="1" spans="6:6">
      <c r="F60881" s="2423"/>
    </row>
    <row r="60882" s="101" customFormat="1" spans="6:6">
      <c r="F60882" s="2423"/>
    </row>
    <row r="60883" s="101" customFormat="1" spans="6:6">
      <c r="F60883" s="2423"/>
    </row>
    <row r="60884" s="101" customFormat="1" spans="6:6">
      <c r="F60884" s="2423"/>
    </row>
    <row r="60885" s="101" customFormat="1" spans="6:6">
      <c r="F60885" s="2423"/>
    </row>
    <row r="60886" s="101" customFormat="1" spans="6:6">
      <c r="F60886" s="2423"/>
    </row>
    <row r="60887" s="101" customFormat="1" spans="6:6">
      <c r="F60887" s="2423"/>
    </row>
    <row r="60888" s="101" customFormat="1" spans="6:6">
      <c r="F60888" s="2423"/>
    </row>
    <row r="60889" s="101" customFormat="1" spans="6:6">
      <c r="F60889" s="2423"/>
    </row>
    <row r="60890" s="101" customFormat="1" spans="6:6">
      <c r="F60890" s="2423"/>
    </row>
    <row r="60891" s="101" customFormat="1" spans="6:6">
      <c r="F60891" s="2423"/>
    </row>
    <row r="60892" s="101" customFormat="1" spans="6:6">
      <c r="F60892" s="2423"/>
    </row>
    <row r="60893" s="101" customFormat="1" spans="6:6">
      <c r="F60893" s="2423"/>
    </row>
    <row r="60894" s="101" customFormat="1" spans="6:6">
      <c r="F60894" s="2423"/>
    </row>
    <row r="60895" s="101" customFormat="1" spans="6:6">
      <c r="F60895" s="2423"/>
    </row>
    <row r="60896" s="101" customFormat="1" spans="6:6">
      <c r="F60896" s="2423"/>
    </row>
    <row r="60897" s="101" customFormat="1" spans="6:6">
      <c r="F60897" s="2423"/>
    </row>
    <row r="60898" s="101" customFormat="1" spans="6:6">
      <c r="F60898" s="2423"/>
    </row>
    <row r="60899" s="101" customFormat="1" spans="6:6">
      <c r="F60899" s="2423"/>
    </row>
    <row r="60900" s="101" customFormat="1" spans="6:6">
      <c r="F60900" s="2423"/>
    </row>
    <row r="60901" s="101" customFormat="1" spans="6:6">
      <c r="F60901" s="2423"/>
    </row>
    <row r="60902" s="101" customFormat="1" spans="6:6">
      <c r="F60902" s="2423"/>
    </row>
    <row r="60903" s="101" customFormat="1" spans="6:6">
      <c r="F60903" s="2423"/>
    </row>
    <row r="60904" s="101" customFormat="1" spans="6:6">
      <c r="F60904" s="2423"/>
    </row>
    <row r="60905" s="101" customFormat="1" spans="6:6">
      <c r="F60905" s="2423"/>
    </row>
    <row r="60906" s="101" customFormat="1" spans="6:6">
      <c r="F60906" s="2423"/>
    </row>
    <row r="60907" s="101" customFormat="1" spans="6:6">
      <c r="F60907" s="2423"/>
    </row>
    <row r="60908" s="101" customFormat="1" spans="6:6">
      <c r="F60908" s="2423"/>
    </row>
    <row r="60909" s="101" customFormat="1" spans="6:6">
      <c r="F60909" s="2423"/>
    </row>
    <row r="60910" s="101" customFormat="1" spans="6:6">
      <c r="F60910" s="2423"/>
    </row>
    <row r="60911" s="101" customFormat="1" spans="6:6">
      <c r="F60911" s="2423"/>
    </row>
    <row r="60912" s="101" customFormat="1" spans="6:6">
      <c r="F60912" s="2423"/>
    </row>
    <row r="60913" s="101" customFormat="1" spans="6:6">
      <c r="F60913" s="2423"/>
    </row>
    <row r="60914" s="101" customFormat="1" spans="6:6">
      <c r="F60914" s="2423"/>
    </row>
    <row r="60915" s="101" customFormat="1" spans="6:6">
      <c r="F60915" s="2423"/>
    </row>
    <row r="60916" s="101" customFormat="1" spans="6:6">
      <c r="F60916" s="2423"/>
    </row>
    <row r="60917" s="101" customFormat="1" spans="6:6">
      <c r="F60917" s="2423"/>
    </row>
    <row r="60918" s="101" customFormat="1" spans="6:6">
      <c r="F60918" s="2423"/>
    </row>
    <row r="60919" s="101" customFormat="1" spans="6:6">
      <c r="F60919" s="2423"/>
    </row>
    <row r="60920" s="101" customFormat="1" spans="6:6">
      <c r="F60920" s="2423"/>
    </row>
    <row r="60921" s="101" customFormat="1" spans="6:6">
      <c r="F60921" s="2423"/>
    </row>
    <row r="60922" s="101" customFormat="1" spans="6:6">
      <c r="F60922" s="2423"/>
    </row>
    <row r="60923" s="101" customFormat="1" spans="6:6">
      <c r="F60923" s="2423"/>
    </row>
    <row r="60924" s="101" customFormat="1" spans="6:6">
      <c r="F60924" s="2423"/>
    </row>
    <row r="60925" s="101" customFormat="1" spans="6:6">
      <c r="F60925" s="2423"/>
    </row>
    <row r="60926" s="101" customFormat="1" spans="6:6">
      <c r="F60926" s="2423"/>
    </row>
    <row r="60927" s="101" customFormat="1" spans="6:6">
      <c r="F60927" s="2423"/>
    </row>
    <row r="60928" s="101" customFormat="1" spans="6:6">
      <c r="F60928" s="2423"/>
    </row>
    <row r="60929" s="101" customFormat="1" spans="6:6">
      <c r="F60929" s="2423"/>
    </row>
    <row r="60930" s="101" customFormat="1" spans="6:6">
      <c r="F60930" s="2423"/>
    </row>
    <row r="60931" s="101" customFormat="1" spans="6:6">
      <c r="F60931" s="2423"/>
    </row>
    <row r="60932" s="101" customFormat="1" spans="6:6">
      <c r="F60932" s="2423"/>
    </row>
    <row r="60933" s="101" customFormat="1" spans="6:6">
      <c r="F60933" s="2423"/>
    </row>
    <row r="60934" s="101" customFormat="1" spans="6:6">
      <c r="F60934" s="2423"/>
    </row>
    <row r="60935" s="101" customFormat="1" spans="6:6">
      <c r="F60935" s="2423"/>
    </row>
    <row r="60936" s="101" customFormat="1" spans="6:6">
      <c r="F60936" s="2423"/>
    </row>
    <row r="60937" s="101" customFormat="1" spans="6:6">
      <c r="F60937" s="2423"/>
    </row>
    <row r="60938" s="101" customFormat="1" spans="6:6">
      <c r="F60938" s="2423"/>
    </row>
    <row r="60939" s="101" customFormat="1" spans="6:6">
      <c r="F60939" s="2423"/>
    </row>
    <row r="60940" s="101" customFormat="1" spans="6:6">
      <c r="F60940" s="2423"/>
    </row>
    <row r="60941" s="101" customFormat="1" spans="6:6">
      <c r="F60941" s="2423"/>
    </row>
    <row r="60942" s="101" customFormat="1" spans="6:6">
      <c r="F60942" s="2423"/>
    </row>
    <row r="60943" s="101" customFormat="1" spans="6:6">
      <c r="F60943" s="2423"/>
    </row>
    <row r="60944" s="101" customFormat="1" spans="6:6">
      <c r="F60944" s="2423"/>
    </row>
    <row r="60945" s="101" customFormat="1" spans="6:6">
      <c r="F60945" s="2423"/>
    </row>
    <row r="60946" s="101" customFormat="1" spans="6:6">
      <c r="F60946" s="2423"/>
    </row>
    <row r="60947" s="101" customFormat="1" spans="6:6">
      <c r="F60947" s="2423"/>
    </row>
    <row r="60948" s="101" customFormat="1" spans="6:6">
      <c r="F60948" s="2423"/>
    </row>
    <row r="60949" s="101" customFormat="1" spans="6:6">
      <c r="F60949" s="2423"/>
    </row>
    <row r="60950" s="101" customFormat="1" spans="6:6">
      <c r="F60950" s="2423"/>
    </row>
    <row r="60951" s="101" customFormat="1" spans="6:6">
      <c r="F60951" s="2423"/>
    </row>
    <row r="60952" s="101" customFormat="1" spans="6:6">
      <c r="F60952" s="2423"/>
    </row>
    <row r="60953" s="101" customFormat="1" spans="6:6">
      <c r="F60953" s="2423"/>
    </row>
    <row r="60954" s="101" customFormat="1" spans="6:6">
      <c r="F60954" s="2423"/>
    </row>
    <row r="60955" s="101" customFormat="1" spans="6:6">
      <c r="F60955" s="2423"/>
    </row>
    <row r="60956" s="101" customFormat="1" spans="6:6">
      <c r="F60956" s="2423"/>
    </row>
    <row r="60957" s="101" customFormat="1" spans="6:6">
      <c r="F60957" s="2423"/>
    </row>
    <row r="60958" s="101" customFormat="1" spans="6:6">
      <c r="F60958" s="2423"/>
    </row>
    <row r="60959" s="101" customFormat="1" spans="6:6">
      <c r="F60959" s="2423"/>
    </row>
    <row r="60960" s="101" customFormat="1" spans="6:6">
      <c r="F60960" s="2423"/>
    </row>
    <row r="60961" s="101" customFormat="1" spans="6:6">
      <c r="F60961" s="2423"/>
    </row>
    <row r="60962" s="101" customFormat="1" spans="6:6">
      <c r="F60962" s="2423"/>
    </row>
    <row r="60963" s="101" customFormat="1" spans="6:6">
      <c r="F60963" s="2423"/>
    </row>
    <row r="60964" s="101" customFormat="1" spans="6:6">
      <c r="F60964" s="2423"/>
    </row>
    <row r="60965" s="101" customFormat="1" spans="6:6">
      <c r="F60965" s="2423"/>
    </row>
    <row r="60966" s="101" customFormat="1" spans="6:6">
      <c r="F60966" s="2423"/>
    </row>
    <row r="60967" s="101" customFormat="1" spans="6:6">
      <c r="F60967" s="2423"/>
    </row>
    <row r="60968" s="101" customFormat="1" spans="6:6">
      <c r="F60968" s="2423"/>
    </row>
    <row r="60969" s="101" customFormat="1" spans="6:6">
      <c r="F60969" s="2423"/>
    </row>
    <row r="60970" s="101" customFormat="1" spans="6:6">
      <c r="F60970" s="2423"/>
    </row>
    <row r="60971" s="101" customFormat="1" spans="6:6">
      <c r="F60971" s="2423"/>
    </row>
    <row r="60972" s="101" customFormat="1" spans="6:6">
      <c r="F60972" s="2423"/>
    </row>
    <row r="60973" s="101" customFormat="1" spans="6:6">
      <c r="F60973" s="2423"/>
    </row>
    <row r="60974" s="101" customFormat="1" spans="6:6">
      <c r="F60974" s="2423"/>
    </row>
    <row r="60975" s="101" customFormat="1" spans="6:6">
      <c r="F60975" s="2423"/>
    </row>
    <row r="60976" s="101" customFormat="1" spans="6:6">
      <c r="F60976" s="2423"/>
    </row>
    <row r="60977" s="101" customFormat="1" spans="6:6">
      <c r="F60977" s="2423"/>
    </row>
    <row r="60978" s="101" customFormat="1" spans="6:6">
      <c r="F60978" s="2423"/>
    </row>
    <row r="60979" s="101" customFormat="1" spans="6:6">
      <c r="F60979" s="2423"/>
    </row>
    <row r="60980" s="101" customFormat="1" spans="6:6">
      <c r="F60980" s="2423"/>
    </row>
    <row r="60981" s="101" customFormat="1" spans="6:6">
      <c r="F60981" s="2423"/>
    </row>
    <row r="60982" s="101" customFormat="1" spans="6:6">
      <c r="F60982" s="2423"/>
    </row>
    <row r="60983" s="101" customFormat="1" spans="6:6">
      <c r="F60983" s="2423"/>
    </row>
    <row r="60984" s="101" customFormat="1" spans="6:6">
      <c r="F60984" s="2423"/>
    </row>
    <row r="60985" s="101" customFormat="1" spans="6:6">
      <c r="F60985" s="2423"/>
    </row>
    <row r="60986" s="101" customFormat="1" spans="6:6">
      <c r="F60986" s="2423"/>
    </row>
    <row r="60987" s="101" customFormat="1" spans="6:6">
      <c r="F60987" s="2423"/>
    </row>
    <row r="60988" s="101" customFormat="1" spans="6:6">
      <c r="F60988" s="2423"/>
    </row>
    <row r="60989" s="101" customFormat="1" spans="6:6">
      <c r="F60989" s="2423"/>
    </row>
    <row r="60990" s="101" customFormat="1" spans="6:6">
      <c r="F60990" s="2423"/>
    </row>
    <row r="60991" s="101" customFormat="1" spans="6:6">
      <c r="F60991" s="2423"/>
    </row>
    <row r="60992" s="101" customFormat="1" spans="6:6">
      <c r="F60992" s="2423"/>
    </row>
    <row r="60993" s="101" customFormat="1" spans="6:6">
      <c r="F60993" s="2423"/>
    </row>
    <row r="60994" s="101" customFormat="1" spans="6:6">
      <c r="F60994" s="2423"/>
    </row>
    <row r="60995" s="101" customFormat="1" spans="6:6">
      <c r="F60995" s="2423"/>
    </row>
    <row r="60996" s="101" customFormat="1" spans="6:6">
      <c r="F60996" s="2423"/>
    </row>
    <row r="60997" s="101" customFormat="1" spans="6:6">
      <c r="F60997" s="2423"/>
    </row>
    <row r="60998" s="101" customFormat="1" spans="6:6">
      <c r="F60998" s="2423"/>
    </row>
    <row r="60999" s="101" customFormat="1" spans="6:6">
      <c r="F60999" s="2423"/>
    </row>
    <row r="61000" s="101" customFormat="1" spans="6:6">
      <c r="F61000" s="2423"/>
    </row>
    <row r="61001" s="101" customFormat="1" spans="6:6">
      <c r="F61001" s="2423"/>
    </row>
    <row r="61002" s="101" customFormat="1" spans="6:6">
      <c r="F61002" s="2423"/>
    </row>
    <row r="61003" s="101" customFormat="1" spans="6:6">
      <c r="F61003" s="2423"/>
    </row>
    <row r="61004" s="101" customFormat="1" spans="6:6">
      <c r="F61004" s="2423"/>
    </row>
    <row r="61005" s="101" customFormat="1" spans="6:6">
      <c r="F61005" s="2423"/>
    </row>
    <row r="61006" s="101" customFormat="1" spans="6:6">
      <c r="F61006" s="2423"/>
    </row>
    <row r="61007" s="101" customFormat="1" spans="6:6">
      <c r="F61007" s="2423"/>
    </row>
    <row r="61008" s="101" customFormat="1" spans="6:6">
      <c r="F61008" s="2423"/>
    </row>
    <row r="61009" s="101" customFormat="1" spans="6:6">
      <c r="F61009" s="2423"/>
    </row>
    <row r="61010" s="101" customFormat="1" spans="6:6">
      <c r="F61010" s="2423"/>
    </row>
    <row r="61011" s="101" customFormat="1" spans="6:6">
      <c r="F61011" s="2423"/>
    </row>
    <row r="61012" s="101" customFormat="1" spans="6:6">
      <c r="F61012" s="2423"/>
    </row>
    <row r="61013" s="101" customFormat="1" spans="6:6">
      <c r="F61013" s="2423"/>
    </row>
    <row r="61014" s="101" customFormat="1" spans="6:6">
      <c r="F61014" s="2423"/>
    </row>
    <row r="61015" s="101" customFormat="1" spans="6:6">
      <c r="F61015" s="2423"/>
    </row>
    <row r="61016" s="101" customFormat="1" spans="6:6">
      <c r="F61016" s="2423"/>
    </row>
    <row r="61017" s="101" customFormat="1" spans="6:6">
      <c r="F61017" s="2423"/>
    </row>
    <row r="61018" s="101" customFormat="1" spans="6:6">
      <c r="F61018" s="2423"/>
    </row>
    <row r="61019" s="101" customFormat="1" spans="6:6">
      <c r="F61019" s="2423"/>
    </row>
    <row r="61020" s="101" customFormat="1" spans="6:6">
      <c r="F61020" s="2423"/>
    </row>
    <row r="61021" s="101" customFormat="1" spans="6:6">
      <c r="F61021" s="2423"/>
    </row>
    <row r="61022" s="101" customFormat="1" spans="6:6">
      <c r="F61022" s="2423"/>
    </row>
    <row r="61023" s="101" customFormat="1" spans="6:6">
      <c r="F61023" s="2423"/>
    </row>
    <row r="61024" s="101" customFormat="1" spans="6:6">
      <c r="F61024" s="2423"/>
    </row>
    <row r="61025" s="101" customFormat="1" spans="6:6">
      <c r="F61025" s="2423"/>
    </row>
    <row r="61026" s="101" customFormat="1" spans="6:6">
      <c r="F61026" s="2423"/>
    </row>
    <row r="61027" s="101" customFormat="1" spans="6:6">
      <c r="F61027" s="2423"/>
    </row>
    <row r="61028" s="101" customFormat="1" spans="6:6">
      <c r="F61028" s="2423"/>
    </row>
    <row r="61029" s="101" customFormat="1" spans="6:6">
      <c r="F61029" s="2423"/>
    </row>
    <row r="61030" s="101" customFormat="1" spans="6:6">
      <c r="F61030" s="2423"/>
    </row>
    <row r="61031" s="101" customFormat="1" spans="6:6">
      <c r="F61031" s="2423"/>
    </row>
    <row r="61032" s="101" customFormat="1" spans="6:6">
      <c r="F61032" s="2423"/>
    </row>
    <row r="61033" s="101" customFormat="1" spans="6:6">
      <c r="F61033" s="2423"/>
    </row>
    <row r="61034" s="101" customFormat="1" spans="6:6">
      <c r="F61034" s="2423"/>
    </row>
    <row r="61035" s="101" customFormat="1" spans="6:6">
      <c r="F61035" s="2423"/>
    </row>
    <row r="61036" s="101" customFormat="1" spans="6:6">
      <c r="F61036" s="2423"/>
    </row>
    <row r="61037" s="101" customFormat="1" spans="6:6">
      <c r="F61037" s="2423"/>
    </row>
    <row r="61038" s="101" customFormat="1" spans="6:6">
      <c r="F61038" s="2423"/>
    </row>
    <row r="61039" s="101" customFormat="1" spans="6:6">
      <c r="F61039" s="2423"/>
    </row>
    <row r="61040" s="101" customFormat="1" spans="6:6">
      <c r="F61040" s="2423"/>
    </row>
    <row r="61041" s="101" customFormat="1" spans="6:6">
      <c r="F61041" s="2423"/>
    </row>
    <row r="61042" s="101" customFormat="1" spans="6:6">
      <c r="F61042" s="2423"/>
    </row>
    <row r="61043" s="101" customFormat="1" spans="6:6">
      <c r="F61043" s="2423"/>
    </row>
    <row r="61044" s="101" customFormat="1" spans="6:6">
      <c r="F61044" s="2423"/>
    </row>
    <row r="61045" s="101" customFormat="1" spans="6:6">
      <c r="F61045" s="2423"/>
    </row>
    <row r="61046" s="101" customFormat="1" spans="6:6">
      <c r="F61046" s="2423"/>
    </row>
    <row r="61047" s="101" customFormat="1" spans="6:6">
      <c r="F61047" s="2423"/>
    </row>
    <row r="61048" s="101" customFormat="1" spans="6:6">
      <c r="F61048" s="2423"/>
    </row>
    <row r="61049" s="101" customFormat="1" spans="6:6">
      <c r="F61049" s="2423"/>
    </row>
    <row r="61050" s="101" customFormat="1" spans="6:6">
      <c r="F61050" s="2423"/>
    </row>
    <row r="61051" s="101" customFormat="1" spans="6:6">
      <c r="F61051" s="2423"/>
    </row>
    <row r="61052" s="101" customFormat="1" spans="6:6">
      <c r="F61052" s="2423"/>
    </row>
    <row r="61053" s="101" customFormat="1" spans="6:6">
      <c r="F61053" s="2423"/>
    </row>
    <row r="61054" s="101" customFormat="1" spans="6:6">
      <c r="F61054" s="2423"/>
    </row>
    <row r="61055" s="101" customFormat="1" spans="6:6">
      <c r="F61055" s="2423"/>
    </row>
    <row r="61056" s="101" customFormat="1" spans="6:6">
      <c r="F61056" s="2423"/>
    </row>
    <row r="61057" s="101" customFormat="1" spans="6:6">
      <c r="F61057" s="2423"/>
    </row>
    <row r="61058" s="101" customFormat="1" spans="6:6">
      <c r="F61058" s="2423"/>
    </row>
    <row r="61059" s="101" customFormat="1" spans="6:6">
      <c r="F61059" s="2423"/>
    </row>
    <row r="61060" s="101" customFormat="1" spans="6:6">
      <c r="F61060" s="2423"/>
    </row>
    <row r="61061" s="101" customFormat="1" spans="6:6">
      <c r="F61061" s="2423"/>
    </row>
    <row r="61062" s="101" customFormat="1" spans="6:6">
      <c r="F61062" s="2423"/>
    </row>
    <row r="61063" s="101" customFormat="1" spans="6:6">
      <c r="F61063" s="2423"/>
    </row>
    <row r="61064" s="101" customFormat="1" spans="6:6">
      <c r="F61064" s="2423"/>
    </row>
    <row r="61065" s="101" customFormat="1" spans="6:6">
      <c r="F61065" s="2423"/>
    </row>
    <row r="61066" s="101" customFormat="1" spans="6:6">
      <c r="F61066" s="2423"/>
    </row>
    <row r="61067" s="101" customFormat="1" spans="6:6">
      <c r="F61067" s="2423"/>
    </row>
    <row r="61068" s="101" customFormat="1" spans="6:6">
      <c r="F61068" s="2423"/>
    </row>
    <row r="61069" s="101" customFormat="1" spans="6:6">
      <c r="F61069" s="2423"/>
    </row>
    <row r="61070" s="101" customFormat="1" spans="6:6">
      <c r="F61070" s="2423"/>
    </row>
    <row r="61071" s="101" customFormat="1" spans="6:6">
      <c r="F61071" s="2423"/>
    </row>
    <row r="61072" s="101" customFormat="1" spans="6:6">
      <c r="F61072" s="2423"/>
    </row>
    <row r="61073" s="101" customFormat="1" spans="6:6">
      <c r="F61073" s="2423"/>
    </row>
    <row r="61074" s="101" customFormat="1" spans="6:6">
      <c r="F61074" s="2423"/>
    </row>
    <row r="61075" s="101" customFormat="1" spans="6:6">
      <c r="F61075" s="2423"/>
    </row>
    <row r="61076" s="101" customFormat="1" spans="6:6">
      <c r="F61076" s="2423"/>
    </row>
    <row r="61077" s="101" customFormat="1" spans="6:6">
      <c r="F61077" s="2423"/>
    </row>
    <row r="61078" s="101" customFormat="1" spans="6:6">
      <c r="F61078" s="2423"/>
    </row>
    <row r="61079" s="101" customFormat="1" spans="6:6">
      <c r="F61079" s="2423"/>
    </row>
    <row r="61080" s="101" customFormat="1" spans="6:6">
      <c r="F61080" s="2423"/>
    </row>
    <row r="61081" s="101" customFormat="1" spans="6:6">
      <c r="F61081" s="2423"/>
    </row>
    <row r="61082" s="101" customFormat="1" spans="6:6">
      <c r="F61082" s="2423"/>
    </row>
    <row r="61083" s="101" customFormat="1" spans="6:6">
      <c r="F61083" s="2423"/>
    </row>
    <row r="61084" s="101" customFormat="1" spans="6:6">
      <c r="F61084" s="2423"/>
    </row>
    <row r="61085" s="101" customFormat="1" spans="6:6">
      <c r="F61085" s="2423"/>
    </row>
    <row r="61086" s="101" customFormat="1" spans="6:6">
      <c r="F61086" s="2423"/>
    </row>
    <row r="61087" s="101" customFormat="1" spans="6:6">
      <c r="F61087" s="2423"/>
    </row>
    <row r="61088" s="101" customFormat="1" spans="6:6">
      <c r="F61088" s="2423"/>
    </row>
    <row r="61089" s="101" customFormat="1" spans="6:6">
      <c r="F61089" s="2423"/>
    </row>
    <row r="61090" s="101" customFormat="1" spans="6:6">
      <c r="F61090" s="2423"/>
    </row>
    <row r="61091" s="101" customFormat="1" spans="6:6">
      <c r="F61091" s="2423"/>
    </row>
    <row r="61092" s="101" customFormat="1" spans="6:6">
      <c r="F61092" s="2423"/>
    </row>
    <row r="61093" s="101" customFormat="1" spans="6:6">
      <c r="F61093" s="2423"/>
    </row>
    <row r="61094" s="101" customFormat="1" spans="6:6">
      <c r="F61094" s="2423"/>
    </row>
    <row r="61095" s="101" customFormat="1" spans="6:6">
      <c r="F61095" s="2423"/>
    </row>
    <row r="61096" s="101" customFormat="1" spans="6:6">
      <c r="F61096" s="2423"/>
    </row>
    <row r="61097" s="101" customFormat="1" spans="6:6">
      <c r="F61097" s="2423"/>
    </row>
    <row r="61098" s="101" customFormat="1" spans="6:6">
      <c r="F61098" s="2423"/>
    </row>
    <row r="61099" s="101" customFormat="1" spans="6:6">
      <c r="F61099" s="2423"/>
    </row>
    <row r="61100" s="101" customFormat="1" spans="6:6">
      <c r="F61100" s="2423"/>
    </row>
    <row r="61101" s="101" customFormat="1" spans="6:6">
      <c r="F61101" s="2423"/>
    </row>
    <row r="61102" s="101" customFormat="1" spans="6:6">
      <c r="F61102" s="2423"/>
    </row>
    <row r="61103" s="101" customFormat="1" spans="6:6">
      <c r="F61103" s="2423"/>
    </row>
    <row r="61104" s="101" customFormat="1" spans="6:6">
      <c r="F61104" s="2423"/>
    </row>
    <row r="61105" s="101" customFormat="1" spans="6:6">
      <c r="F61105" s="2423"/>
    </row>
    <row r="61106" s="101" customFormat="1" spans="6:6">
      <c r="F61106" s="2423"/>
    </row>
    <row r="61107" s="101" customFormat="1" spans="6:6">
      <c r="F61107" s="2423"/>
    </row>
    <row r="61108" s="101" customFormat="1" spans="6:6">
      <c r="F61108" s="2423"/>
    </row>
    <row r="61109" s="101" customFormat="1" spans="6:6">
      <c r="F61109" s="2423"/>
    </row>
    <row r="61110" s="101" customFormat="1" spans="6:6">
      <c r="F61110" s="2423"/>
    </row>
    <row r="61111" s="101" customFormat="1" spans="6:6">
      <c r="F61111" s="2423"/>
    </row>
    <row r="61112" s="101" customFormat="1" spans="6:6">
      <c r="F61112" s="2423"/>
    </row>
    <row r="61113" s="101" customFormat="1" spans="6:6">
      <c r="F61113" s="2423"/>
    </row>
    <row r="61114" s="101" customFormat="1" spans="6:6">
      <c r="F61114" s="2423"/>
    </row>
    <row r="61115" s="101" customFormat="1" spans="6:6">
      <c r="F61115" s="2423"/>
    </row>
    <row r="61116" s="101" customFormat="1" spans="6:6">
      <c r="F61116" s="2423"/>
    </row>
    <row r="61117" s="101" customFormat="1" spans="6:6">
      <c r="F61117" s="2423"/>
    </row>
    <row r="61118" s="101" customFormat="1" spans="6:6">
      <c r="F61118" s="2423"/>
    </row>
    <row r="61119" s="101" customFormat="1" spans="6:6">
      <c r="F61119" s="2423"/>
    </row>
    <row r="61120" s="101" customFormat="1" spans="6:6">
      <c r="F61120" s="2423"/>
    </row>
    <row r="61121" s="101" customFormat="1" spans="6:6">
      <c r="F61121" s="2423"/>
    </row>
    <row r="61122" s="101" customFormat="1" spans="6:6">
      <c r="F61122" s="2423"/>
    </row>
    <row r="61123" s="101" customFormat="1" spans="6:6">
      <c r="F61123" s="2423"/>
    </row>
    <row r="61124" s="101" customFormat="1" spans="6:6">
      <c r="F61124" s="2423"/>
    </row>
    <row r="61125" s="101" customFormat="1" spans="6:6">
      <c r="F61125" s="2423"/>
    </row>
    <row r="61126" s="101" customFormat="1" spans="6:6">
      <c r="F61126" s="2423"/>
    </row>
    <row r="61127" s="101" customFormat="1" spans="6:6">
      <c r="F61127" s="2423"/>
    </row>
    <row r="61128" s="101" customFormat="1" spans="6:6">
      <c r="F61128" s="2423"/>
    </row>
    <row r="61129" s="101" customFormat="1" spans="6:6">
      <c r="F61129" s="2423"/>
    </row>
    <row r="61130" s="101" customFormat="1" spans="6:6">
      <c r="F61130" s="2423"/>
    </row>
    <row r="61131" s="101" customFormat="1" spans="6:6">
      <c r="F61131" s="2423"/>
    </row>
    <row r="61132" s="101" customFormat="1" spans="6:6">
      <c r="F61132" s="2423"/>
    </row>
    <row r="61133" s="101" customFormat="1" spans="6:6">
      <c r="F61133" s="2423"/>
    </row>
    <row r="61134" s="101" customFormat="1" spans="6:6">
      <c r="F61134" s="2423"/>
    </row>
    <row r="61135" s="101" customFormat="1" spans="6:6">
      <c r="F61135" s="2423"/>
    </row>
    <row r="61136" s="101" customFormat="1" spans="6:6">
      <c r="F61136" s="2423"/>
    </row>
    <row r="61137" s="101" customFormat="1" spans="6:6">
      <c r="F61137" s="2423"/>
    </row>
    <row r="61138" s="101" customFormat="1" spans="6:6">
      <c r="F61138" s="2423"/>
    </row>
    <row r="61139" s="101" customFormat="1" spans="6:6">
      <c r="F61139" s="2423"/>
    </row>
    <row r="61140" s="101" customFormat="1" spans="6:6">
      <c r="F61140" s="2423"/>
    </row>
    <row r="61141" s="101" customFormat="1" spans="6:6">
      <c r="F61141" s="2423"/>
    </row>
    <row r="61142" s="101" customFormat="1" spans="6:6">
      <c r="F61142" s="2423"/>
    </row>
    <row r="61143" s="101" customFormat="1" spans="6:6">
      <c r="F61143" s="2423"/>
    </row>
    <row r="61144" s="101" customFormat="1" spans="6:6">
      <c r="F61144" s="2423"/>
    </row>
    <row r="61145" s="101" customFormat="1" spans="6:6">
      <c r="F61145" s="2423"/>
    </row>
    <row r="61146" s="101" customFormat="1" spans="6:6">
      <c r="F61146" s="2423"/>
    </row>
    <row r="61147" s="101" customFormat="1" spans="6:6">
      <c r="F61147" s="2423"/>
    </row>
    <row r="61148" s="101" customFormat="1" spans="6:6">
      <c r="F61148" s="2423"/>
    </row>
    <row r="61149" s="101" customFormat="1" spans="6:6">
      <c r="F61149" s="2423"/>
    </row>
    <row r="61150" s="101" customFormat="1" spans="6:6">
      <c r="F61150" s="2423"/>
    </row>
    <row r="61151" s="101" customFormat="1" spans="6:6">
      <c r="F61151" s="2423"/>
    </row>
    <row r="61152" s="101" customFormat="1" spans="6:6">
      <c r="F61152" s="2423"/>
    </row>
    <row r="61153" s="101" customFormat="1" spans="6:6">
      <c r="F61153" s="2423"/>
    </row>
    <row r="61154" s="101" customFormat="1" spans="6:6">
      <c r="F61154" s="2423"/>
    </row>
    <row r="61155" s="101" customFormat="1" spans="6:6">
      <c r="F61155" s="2423"/>
    </row>
    <row r="61156" s="101" customFormat="1" spans="6:6">
      <c r="F61156" s="2423"/>
    </row>
    <row r="61157" s="101" customFormat="1" spans="6:6">
      <c r="F61157" s="2423"/>
    </row>
    <row r="61158" s="101" customFormat="1" spans="6:6">
      <c r="F61158" s="2423"/>
    </row>
    <row r="61159" s="101" customFormat="1" spans="6:6">
      <c r="F61159" s="2423"/>
    </row>
    <row r="61160" s="101" customFormat="1" spans="6:6">
      <c r="F61160" s="2423"/>
    </row>
    <row r="61161" s="101" customFormat="1" spans="6:6">
      <c r="F61161" s="2423"/>
    </row>
    <row r="61162" s="101" customFormat="1" spans="6:6">
      <c r="F61162" s="2423"/>
    </row>
    <row r="61163" s="101" customFormat="1" spans="6:6">
      <c r="F61163" s="2423"/>
    </row>
    <row r="61164" s="101" customFormat="1" spans="6:6">
      <c r="F61164" s="2423"/>
    </row>
    <row r="61165" s="101" customFormat="1" spans="6:6">
      <c r="F61165" s="2423"/>
    </row>
    <row r="61166" s="101" customFormat="1" spans="6:6">
      <c r="F61166" s="2423"/>
    </row>
    <row r="61167" s="101" customFormat="1" spans="6:6">
      <c r="F61167" s="2423"/>
    </row>
    <row r="61168" s="101" customFormat="1" spans="6:6">
      <c r="F61168" s="2423"/>
    </row>
    <row r="61169" s="101" customFormat="1" spans="6:6">
      <c r="F61169" s="2423"/>
    </row>
    <row r="61170" s="101" customFormat="1" spans="6:6">
      <c r="F61170" s="2423"/>
    </row>
    <row r="61171" s="101" customFormat="1" spans="6:6">
      <c r="F61171" s="2423"/>
    </row>
    <row r="61172" s="101" customFormat="1" spans="6:6">
      <c r="F61172" s="2423"/>
    </row>
    <row r="61173" s="101" customFormat="1" spans="6:6">
      <c r="F61173" s="2423"/>
    </row>
    <row r="61174" s="101" customFormat="1" spans="6:6">
      <c r="F61174" s="2423"/>
    </row>
    <row r="61175" s="101" customFormat="1" spans="6:6">
      <c r="F61175" s="2423"/>
    </row>
    <row r="61176" s="101" customFormat="1" spans="6:6">
      <c r="F61176" s="2423"/>
    </row>
    <row r="61177" s="101" customFormat="1" spans="6:6">
      <c r="F61177" s="2423"/>
    </row>
    <row r="61178" s="101" customFormat="1" spans="6:6">
      <c r="F61178" s="2423"/>
    </row>
    <row r="61179" s="101" customFormat="1" spans="6:6">
      <c r="F61179" s="2423"/>
    </row>
    <row r="61180" s="101" customFormat="1" spans="6:6">
      <c r="F61180" s="2423"/>
    </row>
    <row r="61181" s="101" customFormat="1" spans="6:6">
      <c r="F61181" s="2423"/>
    </row>
    <row r="61182" s="101" customFormat="1" spans="6:6">
      <c r="F61182" s="2423"/>
    </row>
    <row r="61183" s="101" customFormat="1" spans="6:6">
      <c r="F61183" s="2423"/>
    </row>
    <row r="61184" s="101" customFormat="1" spans="6:6">
      <c r="F61184" s="2423"/>
    </row>
    <row r="61185" s="101" customFormat="1" spans="6:6">
      <c r="F61185" s="2423"/>
    </row>
    <row r="61186" s="101" customFormat="1" spans="6:6">
      <c r="F61186" s="2423"/>
    </row>
    <row r="61187" s="101" customFormat="1" spans="6:6">
      <c r="F61187" s="2423"/>
    </row>
    <row r="61188" s="101" customFormat="1" spans="6:6">
      <c r="F61188" s="2423"/>
    </row>
    <row r="61189" s="101" customFormat="1" spans="6:6">
      <c r="F61189" s="2423"/>
    </row>
    <row r="61190" s="101" customFormat="1" spans="6:6">
      <c r="F61190" s="2423"/>
    </row>
    <row r="61191" s="101" customFormat="1" spans="6:6">
      <c r="F61191" s="2423"/>
    </row>
    <row r="61192" s="101" customFormat="1" spans="6:6">
      <c r="F61192" s="2423"/>
    </row>
    <row r="61193" s="101" customFormat="1" spans="6:6">
      <c r="F61193" s="2423"/>
    </row>
    <row r="61194" s="101" customFormat="1" spans="6:6">
      <c r="F61194" s="2423"/>
    </row>
    <row r="61195" s="101" customFormat="1" spans="6:6">
      <c r="F61195" s="2423"/>
    </row>
    <row r="61196" s="101" customFormat="1" spans="6:6">
      <c r="F61196" s="2423"/>
    </row>
    <row r="61197" s="101" customFormat="1" spans="6:6">
      <c r="F61197" s="2423"/>
    </row>
    <row r="61198" s="101" customFormat="1" spans="6:6">
      <c r="F61198" s="2423"/>
    </row>
    <row r="61199" s="101" customFormat="1" spans="6:6">
      <c r="F61199" s="2423"/>
    </row>
    <row r="61200" s="101" customFormat="1" spans="6:6">
      <c r="F61200" s="2423"/>
    </row>
    <row r="61201" s="101" customFormat="1" spans="6:6">
      <c r="F61201" s="2423"/>
    </row>
    <row r="61202" s="101" customFormat="1" spans="6:6">
      <c r="F61202" s="2423"/>
    </row>
    <row r="61203" s="101" customFormat="1" spans="6:6">
      <c r="F61203" s="2423"/>
    </row>
    <row r="61204" s="101" customFormat="1" spans="6:6">
      <c r="F61204" s="2423"/>
    </row>
    <row r="61205" s="101" customFormat="1" spans="6:6">
      <c r="F61205" s="2423"/>
    </row>
    <row r="61206" s="101" customFormat="1" spans="6:6">
      <c r="F61206" s="2423"/>
    </row>
    <row r="61207" s="101" customFormat="1" spans="6:6">
      <c r="F61207" s="2423"/>
    </row>
    <row r="61208" s="101" customFormat="1" spans="6:6">
      <c r="F61208" s="2423"/>
    </row>
    <row r="61209" s="101" customFormat="1" spans="6:6">
      <c r="F61209" s="2423"/>
    </row>
    <row r="61210" s="101" customFormat="1" spans="6:6">
      <c r="F61210" s="2423"/>
    </row>
    <row r="61211" s="101" customFormat="1" spans="6:6">
      <c r="F61211" s="2423"/>
    </row>
    <row r="61212" s="101" customFormat="1" spans="6:6">
      <c r="F61212" s="2423"/>
    </row>
    <row r="61213" s="101" customFormat="1" spans="6:6">
      <c r="F61213" s="2423"/>
    </row>
    <row r="61214" s="101" customFormat="1" spans="6:6">
      <c r="F61214" s="2423"/>
    </row>
    <row r="61215" s="101" customFormat="1" spans="6:6">
      <c r="F61215" s="2423"/>
    </row>
    <row r="61216" s="101" customFormat="1" spans="6:6">
      <c r="F61216" s="2423"/>
    </row>
    <row r="61217" s="101" customFormat="1" spans="6:6">
      <c r="F61217" s="2423"/>
    </row>
    <row r="61218" s="101" customFormat="1" spans="6:6">
      <c r="F61218" s="2423"/>
    </row>
    <row r="61219" s="101" customFormat="1" spans="6:6">
      <c r="F61219" s="2423"/>
    </row>
    <row r="61220" s="101" customFormat="1" spans="6:6">
      <c r="F61220" s="2423"/>
    </row>
    <row r="61221" s="101" customFormat="1" spans="6:6">
      <c r="F61221" s="2423"/>
    </row>
    <row r="61222" s="101" customFormat="1" spans="6:6">
      <c r="F61222" s="2423"/>
    </row>
    <row r="61223" s="101" customFormat="1" spans="6:6">
      <c r="F61223" s="2423"/>
    </row>
    <row r="61224" s="101" customFormat="1" spans="6:6">
      <c r="F61224" s="2423"/>
    </row>
    <row r="61225" s="101" customFormat="1" spans="6:6">
      <c r="F61225" s="2423"/>
    </row>
    <row r="61226" s="101" customFormat="1" spans="6:6">
      <c r="F61226" s="2423"/>
    </row>
    <row r="61227" s="101" customFormat="1" spans="6:6">
      <c r="F61227" s="2423"/>
    </row>
    <row r="61228" s="101" customFormat="1" spans="6:6">
      <c r="F61228" s="2423"/>
    </row>
    <row r="61229" s="101" customFormat="1" spans="6:6">
      <c r="F61229" s="2423"/>
    </row>
    <row r="61230" s="101" customFormat="1" spans="6:6">
      <c r="F61230" s="2423"/>
    </row>
    <row r="61231" s="101" customFormat="1" spans="6:6">
      <c r="F61231" s="2423"/>
    </row>
    <row r="61232" s="101" customFormat="1" spans="6:6">
      <c r="F61232" s="2423"/>
    </row>
    <row r="61233" s="101" customFormat="1" spans="6:6">
      <c r="F61233" s="2423"/>
    </row>
    <row r="61234" s="101" customFormat="1" spans="6:6">
      <c r="F61234" s="2423"/>
    </row>
    <row r="61235" s="101" customFormat="1" spans="6:6">
      <c r="F61235" s="2423"/>
    </row>
    <row r="61236" s="101" customFormat="1" spans="6:6">
      <c r="F61236" s="2423"/>
    </row>
    <row r="61237" s="101" customFormat="1" spans="6:6">
      <c r="F61237" s="2423"/>
    </row>
    <row r="61238" s="101" customFormat="1" spans="6:6">
      <c r="F61238" s="2423"/>
    </row>
    <row r="61239" s="101" customFormat="1" spans="6:6">
      <c r="F61239" s="2423"/>
    </row>
    <row r="61240" s="101" customFormat="1" spans="6:6">
      <c r="F61240" s="2423"/>
    </row>
    <row r="61241" s="101" customFormat="1" spans="6:6">
      <c r="F61241" s="2423"/>
    </row>
    <row r="61242" s="101" customFormat="1" spans="6:6">
      <c r="F61242" s="2423"/>
    </row>
    <row r="61243" s="101" customFormat="1" spans="6:6">
      <c r="F61243" s="2423"/>
    </row>
    <row r="61244" s="101" customFormat="1" spans="6:6">
      <c r="F61244" s="2423"/>
    </row>
    <row r="61245" s="101" customFormat="1" spans="6:6">
      <c r="F61245" s="2423"/>
    </row>
    <row r="61246" s="101" customFormat="1" spans="6:6">
      <c r="F61246" s="2423"/>
    </row>
    <row r="61247" s="101" customFormat="1" spans="6:6">
      <c r="F61247" s="2423"/>
    </row>
    <row r="61248" s="101" customFormat="1" spans="6:6">
      <c r="F61248" s="2423"/>
    </row>
    <row r="61249" s="101" customFormat="1" spans="6:6">
      <c r="F61249" s="2423"/>
    </row>
    <row r="61250" s="101" customFormat="1" spans="6:6">
      <c r="F61250" s="2423"/>
    </row>
    <row r="61251" s="101" customFormat="1" spans="6:6">
      <c r="F61251" s="2423"/>
    </row>
    <row r="61252" s="101" customFormat="1" spans="6:6">
      <c r="F61252" s="2423"/>
    </row>
    <row r="61253" s="101" customFormat="1" spans="6:6">
      <c r="F61253" s="2423"/>
    </row>
    <row r="61254" s="101" customFormat="1" spans="6:6">
      <c r="F61254" s="2423"/>
    </row>
    <row r="61255" s="101" customFormat="1" spans="6:6">
      <c r="F61255" s="2423"/>
    </row>
    <row r="61256" s="101" customFormat="1" spans="6:6">
      <c r="F61256" s="2423"/>
    </row>
    <row r="61257" s="101" customFormat="1" spans="6:6">
      <c r="F61257" s="2423"/>
    </row>
    <row r="61258" s="101" customFormat="1" spans="6:6">
      <c r="F61258" s="2423"/>
    </row>
    <row r="61259" s="101" customFormat="1" spans="6:6">
      <c r="F61259" s="2423"/>
    </row>
    <row r="61260" s="101" customFormat="1" spans="6:6">
      <c r="F61260" s="2423"/>
    </row>
    <row r="61261" s="101" customFormat="1" spans="6:6">
      <c r="F61261" s="2423"/>
    </row>
    <row r="61262" s="101" customFormat="1" spans="6:6">
      <c r="F61262" s="2423"/>
    </row>
    <row r="61263" s="101" customFormat="1" spans="6:6">
      <c r="F61263" s="2423"/>
    </row>
    <row r="61264" s="101" customFormat="1" spans="6:6">
      <c r="F61264" s="2423"/>
    </row>
    <row r="61265" s="101" customFormat="1" spans="6:6">
      <c r="F61265" s="2423"/>
    </row>
    <row r="61266" s="101" customFormat="1" spans="6:6">
      <c r="F61266" s="2423"/>
    </row>
    <row r="61267" s="101" customFormat="1" spans="6:6">
      <c r="F61267" s="2423"/>
    </row>
    <row r="61268" s="101" customFormat="1" spans="6:6">
      <c r="F61268" s="2423"/>
    </row>
    <row r="61269" s="101" customFormat="1" spans="6:6">
      <c r="F61269" s="2423"/>
    </row>
    <row r="61270" s="101" customFormat="1" spans="6:6">
      <c r="F61270" s="2423"/>
    </row>
    <row r="61271" s="101" customFormat="1" spans="6:6">
      <c r="F61271" s="2423"/>
    </row>
    <row r="61272" s="101" customFormat="1" spans="6:6">
      <c r="F61272" s="2423"/>
    </row>
    <row r="61273" s="101" customFormat="1" spans="6:6">
      <c r="F61273" s="2423"/>
    </row>
    <row r="61274" s="101" customFormat="1" spans="6:6">
      <c r="F61274" s="2423"/>
    </row>
    <row r="61275" s="101" customFormat="1" spans="6:6">
      <c r="F61275" s="2423"/>
    </row>
    <row r="61276" s="101" customFormat="1" spans="6:6">
      <c r="F61276" s="2423"/>
    </row>
    <row r="61277" s="101" customFormat="1" spans="6:6">
      <c r="F61277" s="2423"/>
    </row>
    <row r="61278" s="101" customFormat="1" spans="6:6">
      <c r="F61278" s="2423"/>
    </row>
    <row r="61279" s="101" customFormat="1" spans="6:6">
      <c r="F61279" s="2423"/>
    </row>
    <row r="61280" s="101" customFormat="1" spans="6:6">
      <c r="F61280" s="2423"/>
    </row>
    <row r="61281" s="101" customFormat="1" spans="6:6">
      <c r="F61281" s="2423"/>
    </row>
    <row r="61282" s="101" customFormat="1" spans="6:6">
      <c r="F61282" s="2423"/>
    </row>
    <row r="61283" s="101" customFormat="1" spans="6:6">
      <c r="F61283" s="2423"/>
    </row>
    <row r="61284" s="101" customFormat="1" spans="6:6">
      <c r="F61284" s="2423"/>
    </row>
    <row r="61285" s="101" customFormat="1" spans="6:6">
      <c r="F61285" s="2423"/>
    </row>
    <row r="61286" s="101" customFormat="1" spans="6:6">
      <c r="F61286" s="2423"/>
    </row>
    <row r="61287" s="101" customFormat="1" spans="6:6">
      <c r="F61287" s="2423"/>
    </row>
    <row r="61288" s="101" customFormat="1" spans="6:6">
      <c r="F61288" s="2423"/>
    </row>
    <row r="61289" s="101" customFormat="1" spans="6:6">
      <c r="F61289" s="2423"/>
    </row>
    <row r="61290" s="101" customFormat="1" spans="6:6">
      <c r="F61290" s="2423"/>
    </row>
    <row r="61291" s="101" customFormat="1" spans="6:6">
      <c r="F61291" s="2423"/>
    </row>
    <row r="61292" s="101" customFormat="1" spans="6:6">
      <c r="F61292" s="2423"/>
    </row>
    <row r="61293" s="101" customFormat="1" spans="6:6">
      <c r="F61293" s="2423"/>
    </row>
    <row r="61294" s="101" customFormat="1" spans="6:6">
      <c r="F61294" s="2423"/>
    </row>
    <row r="61295" s="101" customFormat="1" spans="6:6">
      <c r="F61295" s="2423"/>
    </row>
    <row r="61296" s="101" customFormat="1" spans="6:6">
      <c r="F61296" s="2423"/>
    </row>
    <row r="61297" s="101" customFormat="1" spans="6:6">
      <c r="F61297" s="2423"/>
    </row>
    <row r="61298" s="101" customFormat="1" spans="6:6">
      <c r="F61298" s="2423"/>
    </row>
    <row r="61299" s="101" customFormat="1" spans="6:6">
      <c r="F61299" s="2423"/>
    </row>
    <row r="61300" s="101" customFormat="1" spans="6:6">
      <c r="F61300" s="2423"/>
    </row>
    <row r="61301" s="101" customFormat="1" spans="6:6">
      <c r="F61301" s="2423"/>
    </row>
    <row r="61302" s="101" customFormat="1" spans="6:6">
      <c r="F61302" s="2423"/>
    </row>
    <row r="61303" s="101" customFormat="1" spans="6:6">
      <c r="F61303" s="2423"/>
    </row>
    <row r="61304" s="101" customFormat="1" spans="6:6">
      <c r="F61304" s="2423"/>
    </row>
    <row r="61305" s="101" customFormat="1" spans="6:6">
      <c r="F61305" s="2423"/>
    </row>
    <row r="61306" s="101" customFormat="1" spans="6:6">
      <c r="F61306" s="2423"/>
    </row>
    <row r="61307" s="101" customFormat="1" spans="6:6">
      <c r="F61307" s="2423"/>
    </row>
    <row r="61308" s="101" customFormat="1" spans="6:6">
      <c r="F61308" s="2423"/>
    </row>
    <row r="61309" s="101" customFormat="1" spans="6:6">
      <c r="F61309" s="2423"/>
    </row>
    <row r="61310" s="101" customFormat="1" spans="6:6">
      <c r="F61310" s="2423"/>
    </row>
    <row r="61311" s="101" customFormat="1" spans="6:6">
      <c r="F61311" s="2423"/>
    </row>
    <row r="61312" s="101" customFormat="1" spans="6:6">
      <c r="F61312" s="2423"/>
    </row>
    <row r="61313" s="101" customFormat="1" spans="6:6">
      <c r="F61313" s="2423"/>
    </row>
    <row r="61314" s="101" customFormat="1" spans="6:6">
      <c r="F61314" s="2423"/>
    </row>
    <row r="61315" s="101" customFormat="1" spans="6:6">
      <c r="F61315" s="2423"/>
    </row>
    <row r="61316" s="101" customFormat="1" spans="6:6">
      <c r="F61316" s="2423"/>
    </row>
    <row r="61317" s="101" customFormat="1" spans="6:6">
      <c r="F61317" s="2423"/>
    </row>
    <row r="61318" s="101" customFormat="1" spans="6:6">
      <c r="F61318" s="2423"/>
    </row>
    <row r="61319" s="101" customFormat="1" spans="6:6">
      <c r="F61319" s="2423"/>
    </row>
    <row r="61320" s="101" customFormat="1" spans="6:6">
      <c r="F61320" s="2423"/>
    </row>
    <row r="61321" s="101" customFormat="1" spans="6:6">
      <c r="F61321" s="2423"/>
    </row>
    <row r="61322" s="101" customFormat="1" spans="6:6">
      <c r="F61322" s="2423"/>
    </row>
    <row r="61323" s="101" customFormat="1" spans="6:6">
      <c r="F61323" s="2423"/>
    </row>
    <row r="61324" s="101" customFormat="1" spans="6:6">
      <c r="F61324" s="2423"/>
    </row>
    <row r="61325" s="101" customFormat="1" spans="6:6">
      <c r="F61325" s="2423"/>
    </row>
    <row r="61326" s="101" customFormat="1" spans="6:6">
      <c r="F61326" s="2423"/>
    </row>
    <row r="61327" s="101" customFormat="1" spans="6:6">
      <c r="F61327" s="2423"/>
    </row>
    <row r="61328" s="101" customFormat="1" spans="6:6">
      <c r="F61328" s="2423"/>
    </row>
    <row r="61329" s="101" customFormat="1" spans="6:6">
      <c r="F61329" s="2423"/>
    </row>
    <row r="61330" s="101" customFormat="1" spans="6:6">
      <c r="F61330" s="2423"/>
    </row>
    <row r="61331" s="101" customFormat="1" spans="6:6">
      <c r="F61331" s="2423"/>
    </row>
    <row r="61332" s="101" customFormat="1" spans="6:6">
      <c r="F61332" s="2423"/>
    </row>
    <row r="61333" s="101" customFormat="1" spans="6:6">
      <c r="F61333" s="2423"/>
    </row>
    <row r="61334" s="101" customFormat="1" spans="6:6">
      <c r="F61334" s="2423"/>
    </row>
    <row r="61335" s="101" customFormat="1" spans="6:6">
      <c r="F61335" s="2423"/>
    </row>
    <row r="61336" s="101" customFormat="1" spans="6:6">
      <c r="F61336" s="2423"/>
    </row>
    <row r="61337" s="101" customFormat="1" spans="6:6">
      <c r="F61337" s="2423"/>
    </row>
    <row r="61338" s="101" customFormat="1" spans="6:6">
      <c r="F61338" s="2423"/>
    </row>
    <row r="61339" s="101" customFormat="1" spans="6:6">
      <c r="F61339" s="2423"/>
    </row>
    <row r="61340" s="101" customFormat="1" spans="6:6">
      <c r="F61340" s="2423"/>
    </row>
    <row r="61341" s="101" customFormat="1" spans="6:6">
      <c r="F61341" s="2423"/>
    </row>
    <row r="61342" s="101" customFormat="1" spans="6:6">
      <c r="F61342" s="2423"/>
    </row>
    <row r="61343" s="101" customFormat="1" spans="6:6">
      <c r="F61343" s="2423"/>
    </row>
    <row r="61344" s="101" customFormat="1" spans="6:6">
      <c r="F61344" s="2423"/>
    </row>
    <row r="61345" s="101" customFormat="1" spans="6:6">
      <c r="F61345" s="2423"/>
    </row>
    <row r="61346" s="101" customFormat="1" spans="6:6">
      <c r="F61346" s="2423"/>
    </row>
    <row r="61347" s="101" customFormat="1" spans="6:6">
      <c r="F61347" s="2423"/>
    </row>
    <row r="61348" s="101" customFormat="1" spans="6:6">
      <c r="F61348" s="2423"/>
    </row>
    <row r="61349" s="101" customFormat="1" spans="6:6">
      <c r="F61349" s="2423"/>
    </row>
    <row r="61350" s="101" customFormat="1" spans="6:6">
      <c r="F61350" s="2423"/>
    </row>
    <row r="61351" s="101" customFormat="1" spans="6:6">
      <c r="F61351" s="2423"/>
    </row>
    <row r="61352" s="101" customFormat="1" spans="6:6">
      <c r="F61352" s="2423"/>
    </row>
    <row r="61353" s="101" customFormat="1" spans="6:6">
      <c r="F61353" s="2423"/>
    </row>
    <row r="61354" s="101" customFormat="1" spans="6:6">
      <c r="F61354" s="2423"/>
    </row>
    <row r="61355" s="101" customFormat="1" spans="6:6">
      <c r="F61355" s="2423"/>
    </row>
    <row r="61356" s="101" customFormat="1" spans="6:6">
      <c r="F61356" s="2423"/>
    </row>
    <row r="61357" s="101" customFormat="1" spans="6:6">
      <c r="F61357" s="2423"/>
    </row>
    <row r="61358" s="101" customFormat="1" spans="6:6">
      <c r="F61358" s="2423"/>
    </row>
    <row r="61359" s="101" customFormat="1" spans="6:6">
      <c r="F61359" s="2423"/>
    </row>
    <row r="61360" s="101" customFormat="1" spans="6:6">
      <c r="F61360" s="2423"/>
    </row>
    <row r="61361" s="101" customFormat="1" spans="6:6">
      <c r="F61361" s="2423"/>
    </row>
    <row r="61362" s="101" customFormat="1" spans="6:6">
      <c r="F61362" s="2423"/>
    </row>
    <row r="61363" s="101" customFormat="1" spans="6:6">
      <c r="F61363" s="2423"/>
    </row>
    <row r="61364" s="101" customFormat="1" spans="6:6">
      <c r="F61364" s="2423"/>
    </row>
    <row r="61365" s="101" customFormat="1" spans="6:6">
      <c r="F61365" s="2423"/>
    </row>
    <row r="61366" s="101" customFormat="1" spans="6:6">
      <c r="F61366" s="2423"/>
    </row>
    <row r="61367" s="101" customFormat="1" spans="6:6">
      <c r="F61367" s="2423"/>
    </row>
    <row r="61368" s="101" customFormat="1" spans="6:6">
      <c r="F61368" s="2423"/>
    </row>
    <row r="61369" s="101" customFormat="1" spans="6:6">
      <c r="F61369" s="2423"/>
    </row>
    <row r="61370" s="101" customFormat="1" spans="6:6">
      <c r="F61370" s="2423"/>
    </row>
    <row r="61371" s="101" customFormat="1" spans="6:6">
      <c r="F61371" s="2423"/>
    </row>
    <row r="61372" s="101" customFormat="1" spans="6:6">
      <c r="F61372" s="2423"/>
    </row>
    <row r="61373" s="101" customFormat="1" spans="6:6">
      <c r="F61373" s="2423"/>
    </row>
    <row r="61374" s="101" customFormat="1" spans="6:6">
      <c r="F61374" s="2423"/>
    </row>
    <row r="61375" s="101" customFormat="1" spans="6:6">
      <c r="F61375" s="2423"/>
    </row>
    <row r="61376" s="101" customFormat="1" spans="6:6">
      <c r="F61376" s="2423"/>
    </row>
    <row r="61377" s="101" customFormat="1" spans="6:6">
      <c r="F61377" s="2423"/>
    </row>
    <row r="61378" s="101" customFormat="1" spans="6:6">
      <c r="F61378" s="2423"/>
    </row>
    <row r="61379" s="101" customFormat="1" spans="6:6">
      <c r="F61379" s="2423"/>
    </row>
    <row r="61380" s="101" customFormat="1" spans="6:6">
      <c r="F61380" s="2423"/>
    </row>
    <row r="61381" s="101" customFormat="1" spans="6:6">
      <c r="F61381" s="2423"/>
    </row>
    <row r="61382" s="101" customFormat="1" spans="6:6">
      <c r="F61382" s="2423"/>
    </row>
    <row r="61383" s="101" customFormat="1" spans="6:6">
      <c r="F61383" s="2423"/>
    </row>
    <row r="61384" s="101" customFormat="1" spans="6:6">
      <c r="F61384" s="2423"/>
    </row>
    <row r="61385" s="101" customFormat="1" spans="6:6">
      <c r="F61385" s="2423"/>
    </row>
    <row r="61386" s="101" customFormat="1" spans="6:6">
      <c r="F61386" s="2423"/>
    </row>
    <row r="61387" s="101" customFormat="1" spans="6:6">
      <c r="F61387" s="2423"/>
    </row>
    <row r="61388" s="101" customFormat="1" spans="6:6">
      <c r="F61388" s="2423"/>
    </row>
    <row r="61389" s="101" customFormat="1" spans="6:6">
      <c r="F61389" s="2423"/>
    </row>
    <row r="61390" s="101" customFormat="1" spans="6:6">
      <c r="F61390" s="2423"/>
    </row>
    <row r="61391" s="101" customFormat="1" spans="6:6">
      <c r="F61391" s="2423"/>
    </row>
    <row r="61392" s="101" customFormat="1" spans="6:6">
      <c r="F61392" s="2423"/>
    </row>
    <row r="61393" s="101" customFormat="1" spans="6:6">
      <c r="F61393" s="2423"/>
    </row>
    <row r="61394" s="101" customFormat="1" spans="6:6">
      <c r="F61394" s="2423"/>
    </row>
    <row r="61395" s="101" customFormat="1" spans="6:6">
      <c r="F61395" s="2423"/>
    </row>
    <row r="61396" s="101" customFormat="1" spans="6:6">
      <c r="F61396" s="2423"/>
    </row>
    <row r="61397" s="101" customFormat="1" spans="6:6">
      <c r="F61397" s="2423"/>
    </row>
    <row r="61398" s="101" customFormat="1" spans="6:6">
      <c r="F61398" s="2423"/>
    </row>
    <row r="61399" s="101" customFormat="1" spans="6:6">
      <c r="F61399" s="2423"/>
    </row>
    <row r="61400" s="101" customFormat="1" spans="6:6">
      <c r="F61400" s="2423"/>
    </row>
    <row r="61401" s="101" customFormat="1" spans="6:6">
      <c r="F61401" s="2423"/>
    </row>
    <row r="61402" s="101" customFormat="1" spans="6:6">
      <c r="F61402" s="2423"/>
    </row>
    <row r="61403" s="101" customFormat="1" spans="6:6">
      <c r="F61403" s="2423"/>
    </row>
    <row r="61404" s="101" customFormat="1" spans="6:6">
      <c r="F61404" s="2423"/>
    </row>
    <row r="61405" s="101" customFormat="1" spans="6:6">
      <c r="F61405" s="2423"/>
    </row>
    <row r="61406" s="101" customFormat="1" spans="6:6">
      <c r="F61406" s="2423"/>
    </row>
    <row r="61407" s="101" customFormat="1" spans="6:6">
      <c r="F61407" s="2423"/>
    </row>
    <row r="61408" s="101" customFormat="1" spans="6:6">
      <c r="F61408" s="2423"/>
    </row>
    <row r="61409" s="101" customFormat="1" spans="6:6">
      <c r="F61409" s="2423"/>
    </row>
    <row r="61410" s="101" customFormat="1" spans="6:6">
      <c r="F61410" s="2423"/>
    </row>
    <row r="61411" s="101" customFormat="1" spans="6:6">
      <c r="F61411" s="2423"/>
    </row>
    <row r="61412" s="101" customFormat="1" spans="6:6">
      <c r="F61412" s="2423"/>
    </row>
    <row r="61413" s="101" customFormat="1" spans="6:6">
      <c r="F61413" s="2423"/>
    </row>
    <row r="61414" s="101" customFormat="1" spans="6:6">
      <c r="F61414" s="2423"/>
    </row>
    <row r="61415" s="101" customFormat="1" spans="6:6">
      <c r="F61415" s="2423"/>
    </row>
    <row r="61416" s="101" customFormat="1" spans="6:6">
      <c r="F61416" s="2423"/>
    </row>
    <row r="61417" s="101" customFormat="1" spans="6:6">
      <c r="F61417" s="2423"/>
    </row>
    <row r="61418" s="101" customFormat="1" spans="6:6">
      <c r="F61418" s="2423"/>
    </row>
    <row r="61419" s="101" customFormat="1" spans="6:6">
      <c r="F61419" s="2423"/>
    </row>
    <row r="61420" s="101" customFormat="1" spans="6:6">
      <c r="F61420" s="2423"/>
    </row>
    <row r="61421" s="101" customFormat="1" spans="6:6">
      <c r="F61421" s="2423"/>
    </row>
    <row r="61422" s="101" customFormat="1" spans="6:6">
      <c r="F61422" s="2423"/>
    </row>
    <row r="61423" s="101" customFormat="1" spans="6:6">
      <c r="F61423" s="2423"/>
    </row>
    <row r="61424" s="101" customFormat="1" spans="6:6">
      <c r="F61424" s="2423"/>
    </row>
    <row r="61425" s="101" customFormat="1" spans="6:6">
      <c r="F61425" s="2423"/>
    </row>
    <row r="61426" s="101" customFormat="1" spans="6:6">
      <c r="F61426" s="2423"/>
    </row>
    <row r="61427" s="101" customFormat="1" spans="6:6">
      <c r="F61427" s="2423"/>
    </row>
    <row r="61428" s="101" customFormat="1" spans="6:6">
      <c r="F61428" s="2423"/>
    </row>
    <row r="61429" s="101" customFormat="1" spans="6:6">
      <c r="F61429" s="2423"/>
    </row>
    <row r="61430" s="101" customFormat="1" spans="6:6">
      <c r="F61430" s="2423"/>
    </row>
    <row r="61431" s="101" customFormat="1" spans="6:6">
      <c r="F61431" s="2423"/>
    </row>
    <row r="61432" s="101" customFormat="1" spans="6:6">
      <c r="F61432" s="2423"/>
    </row>
    <row r="61433" s="101" customFormat="1" spans="6:6">
      <c r="F61433" s="2423"/>
    </row>
    <row r="61434" s="101" customFormat="1" spans="6:6">
      <c r="F61434" s="2423"/>
    </row>
    <row r="61435" s="101" customFormat="1" spans="6:6">
      <c r="F61435" s="2423"/>
    </row>
    <row r="61436" s="101" customFormat="1" spans="6:6">
      <c r="F61436" s="2423"/>
    </row>
    <row r="61437" s="101" customFormat="1" spans="6:6">
      <c r="F61437" s="2423"/>
    </row>
    <row r="61438" s="101" customFormat="1" spans="6:6">
      <c r="F61438" s="2423"/>
    </row>
    <row r="61439" s="101" customFormat="1" spans="6:6">
      <c r="F61439" s="2423"/>
    </row>
    <row r="61440" s="101" customFormat="1" spans="6:6">
      <c r="F61440" s="2423"/>
    </row>
    <row r="61441" s="101" customFormat="1" spans="6:6">
      <c r="F61441" s="2423"/>
    </row>
    <row r="61442" s="101" customFormat="1" spans="6:6">
      <c r="F61442" s="2423"/>
    </row>
    <row r="61443" s="101" customFormat="1" spans="6:6">
      <c r="F61443" s="2423"/>
    </row>
    <row r="61444" s="101" customFormat="1" spans="6:6">
      <c r="F61444" s="2423"/>
    </row>
    <row r="61445" s="101" customFormat="1" spans="6:6">
      <c r="F61445" s="2423"/>
    </row>
    <row r="61446" s="101" customFormat="1" spans="6:6">
      <c r="F61446" s="2423"/>
    </row>
    <row r="61447" s="101" customFormat="1" spans="6:6">
      <c r="F61447" s="2423"/>
    </row>
    <row r="61448" s="101" customFormat="1" spans="6:6">
      <c r="F61448" s="2423"/>
    </row>
    <row r="61449" s="101" customFormat="1" spans="6:6">
      <c r="F61449" s="2423"/>
    </row>
    <row r="61450" s="101" customFormat="1" spans="6:6">
      <c r="F61450" s="2423"/>
    </row>
    <row r="61451" s="101" customFormat="1" spans="6:6">
      <c r="F61451" s="2423"/>
    </row>
    <row r="61452" s="101" customFormat="1" spans="6:6">
      <c r="F61452" s="2423"/>
    </row>
    <row r="61453" s="101" customFormat="1" spans="6:6">
      <c r="F61453" s="2423"/>
    </row>
    <row r="61454" s="101" customFormat="1" spans="6:6">
      <c r="F61454" s="2423"/>
    </row>
    <row r="61455" s="101" customFormat="1" spans="6:6">
      <c r="F61455" s="2423"/>
    </row>
    <row r="61456" s="101" customFormat="1" spans="6:6">
      <c r="F61456" s="2423"/>
    </row>
    <row r="61457" s="101" customFormat="1" spans="6:6">
      <c r="F61457" s="2423"/>
    </row>
    <row r="61458" s="101" customFormat="1" spans="6:6">
      <c r="F61458" s="2423"/>
    </row>
    <row r="61459" s="101" customFormat="1" spans="6:6">
      <c r="F61459" s="2423"/>
    </row>
    <row r="61460" s="101" customFormat="1" spans="6:6">
      <c r="F61460" s="2423"/>
    </row>
    <row r="61461" s="101" customFormat="1" spans="6:6">
      <c r="F61461" s="2423"/>
    </row>
    <row r="61462" s="101" customFormat="1" spans="6:6">
      <c r="F61462" s="2423"/>
    </row>
    <row r="61463" s="101" customFormat="1" spans="6:6">
      <c r="F61463" s="2423"/>
    </row>
    <row r="61464" s="101" customFormat="1" spans="6:6">
      <c r="F61464" s="2423"/>
    </row>
    <row r="61465" s="101" customFormat="1" spans="6:6">
      <c r="F61465" s="2423"/>
    </row>
    <row r="61466" s="101" customFormat="1" spans="6:6">
      <c r="F61466" s="2423"/>
    </row>
    <row r="61467" s="101" customFormat="1" spans="6:6">
      <c r="F61467" s="2423"/>
    </row>
    <row r="61468" s="101" customFormat="1" spans="6:6">
      <c r="F61468" s="2423"/>
    </row>
    <row r="61469" s="101" customFormat="1" spans="6:6">
      <c r="F61469" s="2423"/>
    </row>
    <row r="61470" s="101" customFormat="1" spans="6:6">
      <c r="F61470" s="2423"/>
    </row>
    <row r="61471" s="101" customFormat="1" spans="6:6">
      <c r="F61471" s="2423"/>
    </row>
    <row r="61472" s="101" customFormat="1" spans="6:6">
      <c r="F61472" s="2423"/>
    </row>
    <row r="61473" s="101" customFormat="1" spans="6:6">
      <c r="F61473" s="2423"/>
    </row>
    <row r="61474" s="101" customFormat="1" spans="6:6">
      <c r="F61474" s="2423"/>
    </row>
    <row r="61475" s="101" customFormat="1" spans="6:6">
      <c r="F61475" s="2423"/>
    </row>
    <row r="61476" s="101" customFormat="1" spans="6:6">
      <c r="F61476" s="2423"/>
    </row>
    <row r="61477" s="101" customFormat="1" spans="6:6">
      <c r="F61477" s="2423"/>
    </row>
    <row r="61478" s="101" customFormat="1" spans="6:6">
      <c r="F61478" s="2423"/>
    </row>
    <row r="61479" s="101" customFormat="1" spans="6:6">
      <c r="F61479" s="2423"/>
    </row>
    <row r="61480" s="101" customFormat="1" spans="6:6">
      <c r="F61480" s="2423"/>
    </row>
    <row r="61481" s="101" customFormat="1" spans="6:6">
      <c r="F61481" s="2423"/>
    </row>
    <row r="61482" s="101" customFormat="1" spans="6:6">
      <c r="F61482" s="2423"/>
    </row>
    <row r="61483" s="101" customFormat="1" spans="6:6">
      <c r="F61483" s="2423"/>
    </row>
    <row r="61484" s="101" customFormat="1" spans="6:6">
      <c r="F61484" s="2423"/>
    </row>
    <row r="61485" s="101" customFormat="1" spans="6:6">
      <c r="F61485" s="2423"/>
    </row>
    <row r="61486" s="101" customFormat="1" spans="6:6">
      <c r="F61486" s="2423"/>
    </row>
    <row r="61487" s="101" customFormat="1" spans="6:6">
      <c r="F61487" s="2423"/>
    </row>
    <row r="61488" s="101" customFormat="1" spans="6:6">
      <c r="F61488" s="2423"/>
    </row>
    <row r="61489" s="101" customFormat="1" spans="6:6">
      <c r="F61489" s="2423"/>
    </row>
    <row r="61490" s="101" customFormat="1" spans="6:6">
      <c r="F61490" s="2423"/>
    </row>
    <row r="61491" s="101" customFormat="1" spans="6:6">
      <c r="F61491" s="2423"/>
    </row>
    <row r="61492" s="101" customFormat="1" spans="6:6">
      <c r="F61492" s="2423"/>
    </row>
    <row r="61493" s="101" customFormat="1" spans="6:6">
      <c r="F61493" s="2423"/>
    </row>
    <row r="61494" s="101" customFormat="1" spans="6:6">
      <c r="F61494" s="2423"/>
    </row>
    <row r="61495" s="101" customFormat="1" spans="6:6">
      <c r="F61495" s="2423"/>
    </row>
    <row r="61496" s="101" customFormat="1" spans="6:6">
      <c r="F61496" s="2423"/>
    </row>
    <row r="61497" s="101" customFormat="1" spans="6:6">
      <c r="F61497" s="2423"/>
    </row>
    <row r="61498" s="101" customFormat="1" spans="6:6">
      <c r="F61498" s="2423"/>
    </row>
    <row r="61499" s="101" customFormat="1" spans="6:6">
      <c r="F61499" s="2423"/>
    </row>
    <row r="61500" s="101" customFormat="1" spans="6:6">
      <c r="F61500" s="2423"/>
    </row>
    <row r="61501" s="101" customFormat="1" spans="6:6">
      <c r="F61501" s="2423"/>
    </row>
    <row r="61502" s="101" customFormat="1" spans="6:6">
      <c r="F61502" s="2423"/>
    </row>
    <row r="61503" s="101" customFormat="1" spans="6:6">
      <c r="F61503" s="2423"/>
    </row>
    <row r="61504" s="101" customFormat="1" spans="6:6">
      <c r="F61504" s="2423"/>
    </row>
    <row r="61505" s="101" customFormat="1" spans="6:6">
      <c r="F61505" s="2423"/>
    </row>
    <row r="61506" s="101" customFormat="1" spans="6:6">
      <c r="F61506" s="2423"/>
    </row>
    <row r="61507" s="101" customFormat="1" spans="6:6">
      <c r="F61507" s="2423"/>
    </row>
    <row r="61508" s="101" customFormat="1" spans="6:6">
      <c r="F61508" s="2423"/>
    </row>
    <row r="61509" s="101" customFormat="1" spans="6:6">
      <c r="F61509" s="2423"/>
    </row>
    <row r="61510" s="101" customFormat="1" spans="6:6">
      <c r="F61510" s="2423"/>
    </row>
    <row r="61511" s="101" customFormat="1" spans="6:6">
      <c r="F61511" s="2423"/>
    </row>
    <row r="61512" s="101" customFormat="1" spans="6:6">
      <c r="F61512" s="2423"/>
    </row>
    <row r="61513" s="101" customFormat="1" spans="6:6">
      <c r="F61513" s="2423"/>
    </row>
    <row r="61514" s="101" customFormat="1" spans="6:6">
      <c r="F61514" s="2423"/>
    </row>
    <row r="61515" s="101" customFormat="1" spans="6:6">
      <c r="F61515" s="2423"/>
    </row>
    <row r="61516" s="101" customFormat="1" spans="6:6">
      <c r="F61516" s="2423"/>
    </row>
    <row r="61517" s="101" customFormat="1" spans="6:6">
      <c r="F61517" s="2423"/>
    </row>
    <row r="61518" s="101" customFormat="1" spans="6:6">
      <c r="F61518" s="2423"/>
    </row>
    <row r="61519" s="101" customFormat="1" spans="6:6">
      <c r="F61519" s="2423"/>
    </row>
    <row r="61520" s="101" customFormat="1" spans="6:6">
      <c r="F61520" s="2423"/>
    </row>
    <row r="61521" s="101" customFormat="1" spans="6:6">
      <c r="F61521" s="2423"/>
    </row>
    <row r="61522" s="101" customFormat="1" spans="6:6">
      <c r="F61522" s="2423"/>
    </row>
    <row r="61523" s="101" customFormat="1" spans="6:6">
      <c r="F61523" s="2423"/>
    </row>
    <row r="61524" s="101" customFormat="1" spans="6:6">
      <c r="F61524" s="2423"/>
    </row>
    <row r="61525" s="101" customFormat="1" spans="6:6">
      <c r="F61525" s="2423"/>
    </row>
    <row r="61526" s="101" customFormat="1" spans="6:6">
      <c r="F61526" s="2423"/>
    </row>
    <row r="61527" s="101" customFormat="1" spans="6:6">
      <c r="F61527" s="2423"/>
    </row>
    <row r="61528" s="101" customFormat="1" spans="6:6">
      <c r="F61528" s="2423"/>
    </row>
    <row r="61529" s="101" customFormat="1" spans="6:6">
      <c r="F61529" s="2423"/>
    </row>
    <row r="61530" s="101" customFormat="1" spans="6:6">
      <c r="F61530" s="2423"/>
    </row>
    <row r="61531" s="101" customFormat="1" spans="6:6">
      <c r="F61531" s="2423"/>
    </row>
    <row r="61532" s="101" customFormat="1" spans="6:6">
      <c r="F61532" s="2423"/>
    </row>
    <row r="61533" s="101" customFormat="1" spans="6:6">
      <c r="F61533" s="2423"/>
    </row>
    <row r="61534" s="101" customFormat="1" spans="6:6">
      <c r="F61534" s="2423"/>
    </row>
    <row r="61535" s="101" customFormat="1" spans="6:6">
      <c r="F61535" s="2423"/>
    </row>
    <row r="61536" s="101" customFormat="1" spans="6:6">
      <c r="F61536" s="2423"/>
    </row>
    <row r="61537" s="101" customFormat="1" spans="6:6">
      <c r="F61537" s="2423"/>
    </row>
    <row r="61538" s="101" customFormat="1" spans="6:6">
      <c r="F61538" s="2423"/>
    </row>
    <row r="61539" s="101" customFormat="1" spans="6:6">
      <c r="F61539" s="2423"/>
    </row>
    <row r="61540" s="101" customFormat="1" spans="6:6">
      <c r="F61540" s="2423"/>
    </row>
    <row r="61541" s="101" customFormat="1" spans="6:6">
      <c r="F61541" s="2423"/>
    </row>
    <row r="61542" s="101" customFormat="1" spans="6:6">
      <c r="F61542" s="2423"/>
    </row>
    <row r="61543" s="101" customFormat="1" spans="6:6">
      <c r="F61543" s="2423"/>
    </row>
    <row r="61544" s="101" customFormat="1" spans="6:6">
      <c r="F61544" s="2423"/>
    </row>
    <row r="61545" s="101" customFormat="1" spans="6:6">
      <c r="F61545" s="2423"/>
    </row>
    <row r="61546" s="101" customFormat="1" spans="6:6">
      <c r="F61546" s="2423"/>
    </row>
    <row r="61547" s="101" customFormat="1" spans="6:6">
      <c r="F61547" s="2423"/>
    </row>
    <row r="61548" s="101" customFormat="1" spans="6:6">
      <c r="F61548" s="2423"/>
    </row>
    <row r="61549" s="101" customFormat="1" spans="6:6">
      <c r="F61549" s="2423"/>
    </row>
    <row r="61550" s="101" customFormat="1" spans="6:6">
      <c r="F61550" s="2423"/>
    </row>
    <row r="61551" s="101" customFormat="1" spans="6:6">
      <c r="F61551" s="2423"/>
    </row>
    <row r="61552" s="101" customFormat="1" spans="6:6">
      <c r="F61552" s="2423"/>
    </row>
    <row r="61553" s="101" customFormat="1" spans="6:6">
      <c r="F61553" s="2423"/>
    </row>
    <row r="61554" s="101" customFormat="1" spans="6:6">
      <c r="F61554" s="2423"/>
    </row>
    <row r="61555" s="101" customFormat="1" spans="6:6">
      <c r="F61555" s="2423"/>
    </row>
    <row r="61556" s="101" customFormat="1" spans="6:6">
      <c r="F61556" s="2423"/>
    </row>
    <row r="61557" s="101" customFormat="1" spans="6:6">
      <c r="F61557" s="2423"/>
    </row>
    <row r="61558" s="101" customFormat="1" spans="6:6">
      <c r="F61558" s="2423"/>
    </row>
    <row r="61559" s="101" customFormat="1" spans="6:6">
      <c r="F61559" s="2423"/>
    </row>
    <row r="61560" s="101" customFormat="1" spans="6:6">
      <c r="F61560" s="2423"/>
    </row>
    <row r="61561" s="101" customFormat="1" spans="6:6">
      <c r="F61561" s="2423"/>
    </row>
    <row r="61562" s="101" customFormat="1" spans="6:6">
      <c r="F61562" s="2423"/>
    </row>
    <row r="61563" s="101" customFormat="1" spans="6:6">
      <c r="F61563" s="2423"/>
    </row>
    <row r="61564" s="101" customFormat="1" spans="6:6">
      <c r="F61564" s="2423"/>
    </row>
    <row r="61565" s="101" customFormat="1" spans="6:6">
      <c r="F61565" s="2423"/>
    </row>
    <row r="61566" s="101" customFormat="1" spans="6:6">
      <c r="F61566" s="2423"/>
    </row>
    <row r="61567" s="101" customFormat="1" spans="6:6">
      <c r="F61567" s="2423"/>
    </row>
    <row r="61568" s="101" customFormat="1" spans="6:6">
      <c r="F61568" s="2423"/>
    </row>
    <row r="61569" s="101" customFormat="1" spans="6:6">
      <c r="F61569" s="2423"/>
    </row>
    <row r="61570" s="101" customFormat="1" spans="6:6">
      <c r="F61570" s="2423"/>
    </row>
    <row r="61571" s="101" customFormat="1" spans="6:6">
      <c r="F61571" s="2423"/>
    </row>
    <row r="61572" s="101" customFormat="1" spans="6:6">
      <c r="F61572" s="2423"/>
    </row>
    <row r="61573" s="101" customFormat="1" spans="6:6">
      <c r="F61573" s="2423"/>
    </row>
    <row r="61574" s="101" customFormat="1" spans="6:6">
      <c r="F61574" s="2423"/>
    </row>
    <row r="61575" s="101" customFormat="1" spans="6:6">
      <c r="F61575" s="2423"/>
    </row>
    <row r="61576" s="101" customFormat="1" spans="6:6">
      <c r="F61576" s="2423"/>
    </row>
    <row r="61577" s="101" customFormat="1" spans="6:6">
      <c r="F61577" s="2423"/>
    </row>
    <row r="61578" s="101" customFormat="1" spans="6:6">
      <c r="F61578" s="2423"/>
    </row>
    <row r="61579" s="101" customFormat="1" spans="6:6">
      <c r="F61579" s="2423"/>
    </row>
    <row r="61580" s="101" customFormat="1" spans="6:6">
      <c r="F61580" s="2423"/>
    </row>
    <row r="61581" s="101" customFormat="1" spans="6:6">
      <c r="F61581" s="2423"/>
    </row>
    <row r="61582" s="101" customFormat="1" spans="6:6">
      <c r="F61582" s="2423"/>
    </row>
    <row r="61583" s="101" customFormat="1" spans="6:6">
      <c r="F61583" s="2423"/>
    </row>
    <row r="61584" s="101" customFormat="1" spans="6:6">
      <c r="F61584" s="2423"/>
    </row>
    <row r="61585" s="101" customFormat="1" spans="6:6">
      <c r="F61585" s="2423"/>
    </row>
    <row r="61586" s="101" customFormat="1" spans="6:6">
      <c r="F61586" s="2423"/>
    </row>
    <row r="61587" s="101" customFormat="1" spans="6:6">
      <c r="F61587" s="2423"/>
    </row>
    <row r="61588" s="101" customFormat="1" spans="6:6">
      <c r="F61588" s="2423"/>
    </row>
    <row r="61589" s="101" customFormat="1" spans="6:6">
      <c r="F61589" s="2423"/>
    </row>
    <row r="61590" s="101" customFormat="1" spans="6:6">
      <c r="F61590" s="2423"/>
    </row>
    <row r="61591" s="101" customFormat="1" spans="6:6">
      <c r="F61591" s="2423"/>
    </row>
    <row r="61592" s="101" customFormat="1" spans="6:6">
      <c r="F61592" s="2423"/>
    </row>
    <row r="61593" s="101" customFormat="1" spans="6:6">
      <c r="F61593" s="2423"/>
    </row>
    <row r="61594" s="101" customFormat="1" spans="6:6">
      <c r="F61594" s="2423"/>
    </row>
    <row r="61595" s="101" customFormat="1" spans="6:6">
      <c r="F61595" s="2423"/>
    </row>
    <row r="61596" s="101" customFormat="1" spans="6:6">
      <c r="F61596" s="2423"/>
    </row>
    <row r="61597" s="101" customFormat="1" spans="6:6">
      <c r="F61597" s="2423"/>
    </row>
    <row r="61598" s="101" customFormat="1" spans="6:6">
      <c r="F61598" s="2423"/>
    </row>
    <row r="61599" s="101" customFormat="1" spans="6:6">
      <c r="F61599" s="2423"/>
    </row>
    <row r="61600" s="101" customFormat="1" spans="6:6">
      <c r="F61600" s="2423"/>
    </row>
    <row r="61601" s="101" customFormat="1" spans="6:6">
      <c r="F61601" s="2423"/>
    </row>
    <row r="61602" s="101" customFormat="1" spans="6:6">
      <c r="F61602" s="2423"/>
    </row>
    <row r="61603" s="101" customFormat="1" spans="6:6">
      <c r="F61603" s="2423"/>
    </row>
    <row r="61604" s="101" customFormat="1" spans="6:6">
      <c r="F61604" s="2423"/>
    </row>
    <row r="61605" s="101" customFormat="1" spans="6:6">
      <c r="F61605" s="2423"/>
    </row>
    <row r="61606" s="101" customFormat="1" spans="6:6">
      <c r="F61606" s="2423"/>
    </row>
    <row r="61607" s="101" customFormat="1" spans="6:6">
      <c r="F61607" s="2423"/>
    </row>
    <row r="61608" s="101" customFormat="1" spans="6:6">
      <c r="F61608" s="2423"/>
    </row>
    <row r="61609" s="101" customFormat="1" spans="6:6">
      <c r="F61609" s="2423"/>
    </row>
    <row r="61610" s="101" customFormat="1" spans="6:6">
      <c r="F61610" s="2423"/>
    </row>
    <row r="61611" s="101" customFormat="1" spans="6:6">
      <c r="F61611" s="2423"/>
    </row>
    <row r="61612" s="101" customFormat="1" spans="6:6">
      <c r="F61612" s="2423"/>
    </row>
    <row r="61613" s="101" customFormat="1" spans="6:6">
      <c r="F61613" s="2423"/>
    </row>
    <row r="61614" s="101" customFormat="1" spans="6:6">
      <c r="F61614" s="2423"/>
    </row>
    <row r="61615" s="101" customFormat="1" spans="6:6">
      <c r="F61615" s="2423"/>
    </row>
    <row r="61616" s="101" customFormat="1" spans="6:6">
      <c r="F61616" s="2423"/>
    </row>
    <row r="61617" s="101" customFormat="1" spans="6:6">
      <c r="F61617" s="2423"/>
    </row>
    <row r="61618" s="101" customFormat="1" spans="6:6">
      <c r="F61618" s="2423"/>
    </row>
    <row r="61619" s="101" customFormat="1" spans="6:6">
      <c r="F61619" s="2423"/>
    </row>
    <row r="61620" s="101" customFormat="1" spans="6:6">
      <c r="F61620" s="2423"/>
    </row>
    <row r="61621" s="101" customFormat="1" spans="6:6">
      <c r="F61621" s="2423"/>
    </row>
    <row r="61622" s="101" customFormat="1" spans="6:6">
      <c r="F61622" s="2423"/>
    </row>
    <row r="61623" s="101" customFormat="1" spans="6:6">
      <c r="F61623" s="2423"/>
    </row>
    <row r="61624" s="101" customFormat="1" spans="6:6">
      <c r="F61624" s="2423"/>
    </row>
    <row r="61625" s="101" customFormat="1" spans="6:6">
      <c r="F61625" s="2423"/>
    </row>
    <row r="61626" s="101" customFormat="1" spans="6:6">
      <c r="F61626" s="2423"/>
    </row>
    <row r="61627" s="101" customFormat="1" spans="6:6">
      <c r="F61627" s="2423"/>
    </row>
    <row r="61628" s="101" customFormat="1" spans="6:6">
      <c r="F61628" s="2423"/>
    </row>
    <row r="61629" s="101" customFormat="1" spans="6:6">
      <c r="F61629" s="2423"/>
    </row>
    <row r="61630" s="101" customFormat="1" spans="6:6">
      <c r="F61630" s="2423"/>
    </row>
    <row r="61631" s="101" customFormat="1" spans="6:6">
      <c r="F61631" s="2423"/>
    </row>
    <row r="61632" s="101" customFormat="1" spans="6:6">
      <c r="F61632" s="2423"/>
    </row>
    <row r="61633" s="101" customFormat="1" spans="6:6">
      <c r="F61633" s="2423"/>
    </row>
    <row r="61634" s="101" customFormat="1" spans="6:6">
      <c r="F61634" s="2423"/>
    </row>
    <row r="61635" s="101" customFormat="1" spans="6:6">
      <c r="F61635" s="2423"/>
    </row>
    <row r="61636" s="101" customFormat="1" spans="6:6">
      <c r="F61636" s="2423"/>
    </row>
    <row r="61637" s="101" customFormat="1" spans="6:6">
      <c r="F61637" s="2423"/>
    </row>
    <row r="61638" s="101" customFormat="1" spans="6:6">
      <c r="F61638" s="2423"/>
    </row>
    <row r="61639" s="101" customFormat="1" spans="6:6">
      <c r="F61639" s="2423"/>
    </row>
    <row r="61640" s="101" customFormat="1" spans="6:6">
      <c r="F61640" s="2423"/>
    </row>
    <row r="61641" s="101" customFormat="1" spans="6:6">
      <c r="F61641" s="2423"/>
    </row>
    <row r="61642" s="101" customFormat="1" spans="6:6">
      <c r="F61642" s="2423"/>
    </row>
    <row r="61643" s="101" customFormat="1" spans="6:6">
      <c r="F61643" s="2423"/>
    </row>
    <row r="61644" s="101" customFormat="1" spans="6:6">
      <c r="F61644" s="2423"/>
    </row>
    <row r="61645" s="101" customFormat="1" spans="6:6">
      <c r="F61645" s="2423"/>
    </row>
    <row r="61646" s="101" customFormat="1" spans="6:6">
      <c r="F61646" s="2423"/>
    </row>
    <row r="61647" s="101" customFormat="1" spans="6:6">
      <c r="F61647" s="2423"/>
    </row>
    <row r="61648" s="101" customFormat="1" spans="6:6">
      <c r="F61648" s="2423"/>
    </row>
    <row r="61649" s="101" customFormat="1" spans="6:6">
      <c r="F61649" s="2423"/>
    </row>
    <row r="61650" s="101" customFormat="1" spans="6:6">
      <c r="F61650" s="2423"/>
    </row>
    <row r="61651" s="101" customFormat="1" spans="6:6">
      <c r="F61651" s="2423"/>
    </row>
    <row r="61652" s="101" customFormat="1" spans="6:6">
      <c r="F61652" s="2423"/>
    </row>
    <row r="61653" s="101" customFormat="1" spans="6:6">
      <c r="F61653" s="2423"/>
    </row>
    <row r="61654" s="101" customFormat="1" spans="6:6">
      <c r="F61654" s="2423"/>
    </row>
    <row r="61655" s="101" customFormat="1" spans="6:6">
      <c r="F61655" s="2423"/>
    </row>
    <row r="61656" s="101" customFormat="1" spans="6:6">
      <c r="F61656" s="2423"/>
    </row>
    <row r="61657" s="101" customFormat="1" spans="6:6">
      <c r="F61657" s="2423"/>
    </row>
    <row r="61658" s="101" customFormat="1" spans="6:6">
      <c r="F61658" s="2423"/>
    </row>
    <row r="61659" s="101" customFormat="1" spans="6:6">
      <c r="F61659" s="2423"/>
    </row>
    <row r="61660" s="101" customFormat="1" spans="6:6">
      <c r="F61660" s="2423"/>
    </row>
    <row r="61661" s="101" customFormat="1" spans="6:6">
      <c r="F61661" s="2423"/>
    </row>
    <row r="61662" s="101" customFormat="1" spans="6:6">
      <c r="F61662" s="2423"/>
    </row>
    <row r="61663" s="101" customFormat="1" spans="6:6">
      <c r="F61663" s="2423"/>
    </row>
    <row r="61664" s="101" customFormat="1" spans="6:6">
      <c r="F61664" s="2423"/>
    </row>
    <row r="61665" s="101" customFormat="1" spans="6:6">
      <c r="F61665" s="2423"/>
    </row>
    <row r="61666" s="101" customFormat="1" spans="6:6">
      <c r="F61666" s="2423"/>
    </row>
    <row r="61667" s="101" customFormat="1" spans="6:6">
      <c r="F61667" s="2423"/>
    </row>
    <row r="61668" s="101" customFormat="1" spans="6:6">
      <c r="F61668" s="2423"/>
    </row>
    <row r="61669" s="101" customFormat="1" spans="6:6">
      <c r="F61669" s="2423"/>
    </row>
    <row r="61670" s="101" customFormat="1" spans="6:6">
      <c r="F61670" s="2423"/>
    </row>
    <row r="61671" s="101" customFormat="1" spans="6:6">
      <c r="F61671" s="2423"/>
    </row>
    <row r="61672" s="101" customFormat="1" spans="6:6">
      <c r="F61672" s="2423"/>
    </row>
    <row r="61673" s="101" customFormat="1" spans="6:6">
      <c r="F61673" s="2423"/>
    </row>
    <row r="61674" s="101" customFormat="1" spans="6:6">
      <c r="F61674" s="2423"/>
    </row>
    <row r="61675" s="101" customFormat="1" spans="6:6">
      <c r="F61675" s="2423"/>
    </row>
    <row r="61676" s="101" customFormat="1" spans="6:6">
      <c r="F61676" s="2423"/>
    </row>
    <row r="61677" s="101" customFormat="1" spans="6:6">
      <c r="F61677" s="2423"/>
    </row>
    <row r="61678" s="101" customFormat="1" spans="6:6">
      <c r="F61678" s="2423"/>
    </row>
    <row r="61679" s="101" customFormat="1" spans="6:6">
      <c r="F61679" s="2423"/>
    </row>
    <row r="61680" s="101" customFormat="1" spans="6:6">
      <c r="F61680" s="2423"/>
    </row>
    <row r="61681" s="101" customFormat="1" spans="6:6">
      <c r="F61681" s="2423"/>
    </row>
    <row r="61682" s="101" customFormat="1" spans="6:6">
      <c r="F61682" s="2423"/>
    </row>
    <row r="61683" s="101" customFormat="1" spans="6:6">
      <c r="F61683" s="2423"/>
    </row>
    <row r="61684" s="101" customFormat="1" spans="6:6">
      <c r="F61684" s="2423"/>
    </row>
    <row r="61685" s="101" customFormat="1" spans="6:6">
      <c r="F61685" s="2423"/>
    </row>
    <row r="61686" s="101" customFormat="1" spans="6:6">
      <c r="F61686" s="2423"/>
    </row>
    <row r="61687" s="101" customFormat="1" spans="6:6">
      <c r="F61687" s="2423"/>
    </row>
    <row r="61688" s="101" customFormat="1" spans="6:6">
      <c r="F61688" s="2423"/>
    </row>
    <row r="61689" s="101" customFormat="1" spans="6:6">
      <c r="F61689" s="2423"/>
    </row>
    <row r="61690" s="101" customFormat="1" spans="6:6">
      <c r="F61690" s="2423"/>
    </row>
    <row r="61691" s="101" customFormat="1" spans="6:6">
      <c r="F61691" s="2423"/>
    </row>
    <row r="61692" s="101" customFormat="1" spans="6:6">
      <c r="F61692" s="2423"/>
    </row>
    <row r="61693" s="101" customFormat="1" spans="6:6">
      <c r="F61693" s="2423"/>
    </row>
    <row r="61694" s="101" customFormat="1" spans="6:6">
      <c r="F61694" s="2423"/>
    </row>
    <row r="61695" s="101" customFormat="1" spans="6:6">
      <c r="F61695" s="2423"/>
    </row>
    <row r="61696" s="101" customFormat="1" spans="6:6">
      <c r="F61696" s="2423"/>
    </row>
    <row r="61697" s="101" customFormat="1" spans="6:6">
      <c r="F61697" s="2423"/>
    </row>
    <row r="61698" s="101" customFormat="1" spans="6:6">
      <c r="F61698" s="2423"/>
    </row>
    <row r="61699" s="101" customFormat="1" spans="6:6">
      <c r="F61699" s="2423"/>
    </row>
    <row r="61700" s="101" customFormat="1" spans="6:6">
      <c r="F61700" s="2423"/>
    </row>
    <row r="61701" s="101" customFormat="1" spans="6:6">
      <c r="F61701" s="2423"/>
    </row>
    <row r="61702" s="101" customFormat="1" spans="6:6">
      <c r="F61702" s="2423"/>
    </row>
    <row r="61703" s="101" customFormat="1" spans="6:6">
      <c r="F61703" s="2423"/>
    </row>
    <row r="61704" s="101" customFormat="1" spans="6:6">
      <c r="F61704" s="2423"/>
    </row>
    <row r="61705" s="101" customFormat="1" spans="6:6">
      <c r="F61705" s="2423"/>
    </row>
    <row r="61706" s="101" customFormat="1" spans="6:6">
      <c r="F61706" s="2423"/>
    </row>
    <row r="61707" s="101" customFormat="1" spans="6:6">
      <c r="F61707" s="2423"/>
    </row>
    <row r="61708" s="101" customFormat="1" spans="6:6">
      <c r="F61708" s="2423"/>
    </row>
    <row r="61709" s="101" customFormat="1" spans="6:6">
      <c r="F61709" s="2423"/>
    </row>
    <row r="61710" s="101" customFormat="1" spans="6:6">
      <c r="F61710" s="2423"/>
    </row>
    <row r="61711" s="101" customFormat="1" spans="6:6">
      <c r="F61711" s="2423"/>
    </row>
    <row r="61712" s="101" customFormat="1" spans="6:6">
      <c r="F61712" s="2423"/>
    </row>
    <row r="61713" s="101" customFormat="1" spans="6:6">
      <c r="F61713" s="2423"/>
    </row>
    <row r="61714" s="101" customFormat="1" spans="6:6">
      <c r="F61714" s="2423"/>
    </row>
    <row r="61715" s="101" customFormat="1" spans="6:6">
      <c r="F61715" s="2423"/>
    </row>
    <row r="61716" s="101" customFormat="1" spans="6:6">
      <c r="F61716" s="2423"/>
    </row>
    <row r="61717" s="101" customFormat="1" spans="6:6">
      <c r="F61717" s="2423"/>
    </row>
    <row r="61718" s="101" customFormat="1" spans="6:6">
      <c r="F61718" s="2423"/>
    </row>
    <row r="61719" s="101" customFormat="1" spans="6:6">
      <c r="F61719" s="2423"/>
    </row>
    <row r="61720" s="101" customFormat="1" spans="6:6">
      <c r="F61720" s="2423"/>
    </row>
    <row r="61721" s="101" customFormat="1" spans="6:6">
      <c r="F61721" s="2423"/>
    </row>
    <row r="61722" s="101" customFormat="1" spans="6:6">
      <c r="F61722" s="2423"/>
    </row>
    <row r="61723" s="101" customFormat="1" spans="6:6">
      <c r="F61723" s="2423"/>
    </row>
    <row r="61724" s="101" customFormat="1" spans="6:6">
      <c r="F61724" s="2423"/>
    </row>
    <row r="61725" s="101" customFormat="1" spans="6:6">
      <c r="F61725" s="2423"/>
    </row>
    <row r="61726" s="101" customFormat="1" spans="6:6">
      <c r="F61726" s="2423"/>
    </row>
    <row r="61727" s="101" customFormat="1" spans="6:6">
      <c r="F61727" s="2423"/>
    </row>
    <row r="61728" s="101" customFormat="1" spans="6:6">
      <c r="F61728" s="2423"/>
    </row>
    <row r="61729" s="101" customFormat="1" spans="6:6">
      <c r="F61729" s="2423"/>
    </row>
    <row r="61730" s="101" customFormat="1" spans="6:6">
      <c r="F61730" s="2423"/>
    </row>
    <row r="61731" s="101" customFormat="1" spans="6:6">
      <c r="F61731" s="2423"/>
    </row>
    <row r="61732" s="101" customFormat="1" spans="6:6">
      <c r="F61732" s="2423"/>
    </row>
    <row r="61733" s="101" customFormat="1" spans="6:6">
      <c r="F61733" s="2423"/>
    </row>
    <row r="61734" s="101" customFormat="1" spans="6:6">
      <c r="F61734" s="2423"/>
    </row>
    <row r="61735" s="101" customFormat="1" spans="6:6">
      <c r="F61735" s="2423"/>
    </row>
    <row r="61736" s="101" customFormat="1" spans="6:6">
      <c r="F61736" s="2423"/>
    </row>
    <row r="61737" s="101" customFormat="1" spans="6:6">
      <c r="F61737" s="2423"/>
    </row>
    <row r="61738" s="101" customFormat="1" spans="6:6">
      <c r="F61738" s="2423"/>
    </row>
    <row r="61739" s="101" customFormat="1" spans="6:6">
      <c r="F61739" s="2423"/>
    </row>
    <row r="61740" s="101" customFormat="1" spans="6:6">
      <c r="F61740" s="2423"/>
    </row>
    <row r="61741" s="101" customFormat="1" spans="6:6">
      <c r="F61741" s="2423"/>
    </row>
    <row r="61742" s="101" customFormat="1" spans="6:6">
      <c r="F61742" s="2423"/>
    </row>
    <row r="61743" s="101" customFormat="1" spans="6:6">
      <c r="F61743" s="2423"/>
    </row>
    <row r="61744" s="101" customFormat="1" spans="6:6">
      <c r="F61744" s="2423"/>
    </row>
    <row r="61745" s="101" customFormat="1" spans="6:6">
      <c r="F61745" s="2423"/>
    </row>
    <row r="61746" s="101" customFormat="1" spans="6:6">
      <c r="F61746" s="2423"/>
    </row>
    <row r="61747" s="101" customFormat="1" spans="6:6">
      <c r="F61747" s="2423"/>
    </row>
    <row r="61748" s="101" customFormat="1" spans="6:6">
      <c r="F61748" s="2423"/>
    </row>
    <row r="61749" s="101" customFormat="1" spans="6:6">
      <c r="F61749" s="2423"/>
    </row>
    <row r="61750" s="101" customFormat="1" spans="6:6">
      <c r="F61750" s="2423"/>
    </row>
    <row r="61751" s="101" customFormat="1" spans="6:6">
      <c r="F61751" s="2423"/>
    </row>
    <row r="61752" s="101" customFormat="1" spans="6:6">
      <c r="F61752" s="2423"/>
    </row>
    <row r="61753" s="101" customFormat="1" spans="6:6">
      <c r="F61753" s="2423"/>
    </row>
    <row r="61754" s="101" customFormat="1" spans="6:6">
      <c r="F61754" s="2423"/>
    </row>
    <row r="61755" s="101" customFormat="1" spans="6:6">
      <c r="F61755" s="2423"/>
    </row>
    <row r="61756" s="101" customFormat="1" spans="6:6">
      <c r="F61756" s="2423"/>
    </row>
    <row r="61757" s="101" customFormat="1" spans="6:6">
      <c r="F61757" s="2423"/>
    </row>
    <row r="61758" s="101" customFormat="1" spans="6:6">
      <c r="F61758" s="2423"/>
    </row>
    <row r="61759" s="101" customFormat="1" spans="6:6">
      <c r="F61759" s="2423"/>
    </row>
    <row r="61760" s="101" customFormat="1" spans="6:6">
      <c r="F61760" s="2423"/>
    </row>
    <row r="61761" s="101" customFormat="1" spans="6:6">
      <c r="F61761" s="2423"/>
    </row>
    <row r="61762" s="101" customFormat="1" spans="6:6">
      <c r="F61762" s="2423"/>
    </row>
    <row r="61763" s="101" customFormat="1" spans="6:6">
      <c r="F61763" s="2423"/>
    </row>
    <row r="61764" s="101" customFormat="1" spans="6:6">
      <c r="F61764" s="2423"/>
    </row>
    <row r="61765" s="101" customFormat="1" spans="6:6">
      <c r="F61765" s="2423"/>
    </row>
    <row r="61766" s="101" customFormat="1" spans="6:6">
      <c r="F61766" s="2423"/>
    </row>
    <row r="61767" s="101" customFormat="1" spans="6:6">
      <c r="F61767" s="2423"/>
    </row>
    <row r="61768" s="101" customFormat="1" spans="6:6">
      <c r="F61768" s="2423"/>
    </row>
    <row r="61769" s="101" customFormat="1" spans="6:6">
      <c r="F61769" s="2423"/>
    </row>
    <row r="61770" s="101" customFormat="1" spans="6:6">
      <c r="F61770" s="2423"/>
    </row>
    <row r="61771" s="101" customFormat="1" spans="6:6">
      <c r="F61771" s="2423"/>
    </row>
    <row r="61772" s="101" customFormat="1" spans="6:6">
      <c r="F61772" s="2423"/>
    </row>
    <row r="61773" s="101" customFormat="1" spans="6:6">
      <c r="F61773" s="2423"/>
    </row>
    <row r="61774" s="101" customFormat="1" spans="6:6">
      <c r="F61774" s="2423"/>
    </row>
    <row r="61775" s="101" customFormat="1" spans="6:6">
      <c r="F61775" s="2423"/>
    </row>
    <row r="61776" s="101" customFormat="1" spans="6:6">
      <c r="F61776" s="2423"/>
    </row>
    <row r="61777" s="101" customFormat="1" spans="6:6">
      <c r="F61777" s="2423"/>
    </row>
    <row r="61778" s="101" customFormat="1" spans="6:6">
      <c r="F61778" s="2423"/>
    </row>
    <row r="61779" s="101" customFormat="1" spans="6:6">
      <c r="F61779" s="2423"/>
    </row>
    <row r="61780" s="101" customFormat="1" spans="6:6">
      <c r="F61780" s="2423"/>
    </row>
    <row r="61781" s="101" customFormat="1" spans="6:6">
      <c r="F61781" s="2423"/>
    </row>
    <row r="61782" s="101" customFormat="1" spans="6:6">
      <c r="F61782" s="2423"/>
    </row>
    <row r="61783" s="101" customFormat="1" spans="6:6">
      <c r="F61783" s="2423"/>
    </row>
    <row r="61784" s="101" customFormat="1" spans="6:6">
      <c r="F61784" s="2423"/>
    </row>
    <row r="61785" s="101" customFormat="1" spans="6:6">
      <c r="F61785" s="2423"/>
    </row>
    <row r="61786" s="101" customFormat="1" spans="6:6">
      <c r="F61786" s="2423"/>
    </row>
    <row r="61787" s="101" customFormat="1" spans="6:6">
      <c r="F61787" s="2423"/>
    </row>
    <row r="61788" s="101" customFormat="1" spans="6:6">
      <c r="F61788" s="2423"/>
    </row>
    <row r="61789" s="101" customFormat="1" spans="6:6">
      <c r="F61789" s="2423"/>
    </row>
    <row r="61790" s="101" customFormat="1" spans="6:6">
      <c r="F61790" s="2423"/>
    </row>
    <row r="61791" s="101" customFormat="1" spans="6:6">
      <c r="F61791" s="2423"/>
    </row>
    <row r="61792" s="101" customFormat="1" spans="6:6">
      <c r="F61792" s="2423"/>
    </row>
    <row r="61793" s="101" customFormat="1" spans="6:6">
      <c r="F61793" s="2423"/>
    </row>
    <row r="61794" s="101" customFormat="1" spans="6:6">
      <c r="F61794" s="2423"/>
    </row>
    <row r="61795" s="101" customFormat="1" spans="6:6">
      <c r="F61795" s="2423"/>
    </row>
    <row r="61796" s="101" customFormat="1" spans="6:6">
      <c r="F61796" s="2423"/>
    </row>
    <row r="61797" s="101" customFormat="1" spans="6:6">
      <c r="F61797" s="2423"/>
    </row>
    <row r="61798" s="101" customFormat="1" spans="6:6">
      <c r="F61798" s="2423"/>
    </row>
    <row r="61799" s="101" customFormat="1" spans="6:6">
      <c r="F61799" s="2423"/>
    </row>
    <row r="61800" s="101" customFormat="1" spans="6:6">
      <c r="F61800" s="2423"/>
    </row>
    <row r="61801" s="101" customFormat="1" spans="6:6">
      <c r="F61801" s="2423"/>
    </row>
    <row r="61802" s="101" customFormat="1" spans="6:6">
      <c r="F61802" s="2423"/>
    </row>
    <row r="61803" s="101" customFormat="1" spans="6:6">
      <c r="F61803" s="2423"/>
    </row>
    <row r="61804" s="101" customFormat="1" spans="6:6">
      <c r="F61804" s="2423"/>
    </row>
    <row r="61805" s="101" customFormat="1" spans="6:6">
      <c r="F61805" s="2423"/>
    </row>
    <row r="61806" s="101" customFormat="1" spans="6:6">
      <c r="F61806" s="2423"/>
    </row>
    <row r="61807" s="101" customFormat="1" spans="6:6">
      <c r="F61807" s="2423"/>
    </row>
    <row r="61808" s="101" customFormat="1" spans="6:6">
      <c r="F61808" s="2423"/>
    </row>
    <row r="61809" s="101" customFormat="1" spans="6:6">
      <c r="F61809" s="2423"/>
    </row>
    <row r="61810" s="101" customFormat="1" spans="6:6">
      <c r="F61810" s="2423"/>
    </row>
    <row r="61811" s="101" customFormat="1" spans="6:6">
      <c r="F61811" s="2423"/>
    </row>
    <row r="61812" s="101" customFormat="1" spans="6:6">
      <c r="F61812" s="2423"/>
    </row>
    <row r="61813" s="101" customFormat="1" spans="6:6">
      <c r="F61813" s="2423"/>
    </row>
    <row r="61814" s="101" customFormat="1" spans="6:6">
      <c r="F61814" s="2423"/>
    </row>
    <row r="61815" s="101" customFormat="1" spans="6:6">
      <c r="F61815" s="2423"/>
    </row>
    <row r="61816" s="101" customFormat="1" spans="6:6">
      <c r="F61816" s="2423"/>
    </row>
    <row r="61817" s="101" customFormat="1" spans="6:6">
      <c r="F61817" s="2423"/>
    </row>
    <row r="61818" s="101" customFormat="1" spans="6:6">
      <c r="F61818" s="2423"/>
    </row>
    <row r="61819" s="101" customFormat="1" spans="6:6">
      <c r="F61819" s="2423"/>
    </row>
    <row r="61820" s="101" customFormat="1" spans="6:6">
      <c r="F61820" s="2423"/>
    </row>
    <row r="61821" s="101" customFormat="1" spans="6:6">
      <c r="F61821" s="2423"/>
    </row>
    <row r="61822" s="101" customFormat="1" spans="6:6">
      <c r="F61822" s="2423"/>
    </row>
    <row r="61823" s="101" customFormat="1" spans="6:6">
      <c r="F61823" s="2423"/>
    </row>
    <row r="61824" s="101" customFormat="1" spans="6:6">
      <c r="F61824" s="2423"/>
    </row>
    <row r="61825" s="101" customFormat="1" spans="6:6">
      <c r="F61825" s="2423"/>
    </row>
    <row r="61826" s="101" customFormat="1" spans="6:6">
      <c r="F61826" s="2423"/>
    </row>
    <row r="61827" s="101" customFormat="1" spans="6:6">
      <c r="F61827" s="2423"/>
    </row>
    <row r="61828" s="101" customFormat="1" spans="6:6">
      <c r="F61828" s="2423"/>
    </row>
    <row r="61829" s="101" customFormat="1" spans="6:6">
      <c r="F61829" s="2423"/>
    </row>
    <row r="61830" s="101" customFormat="1" spans="6:6">
      <c r="F61830" s="2423"/>
    </row>
    <row r="61831" s="101" customFormat="1" spans="6:6">
      <c r="F61831" s="2423"/>
    </row>
    <row r="61832" s="101" customFormat="1" spans="6:6">
      <c r="F61832" s="2423"/>
    </row>
    <row r="61833" s="101" customFormat="1" spans="6:6">
      <c r="F61833" s="2423"/>
    </row>
    <row r="61834" s="101" customFormat="1" spans="6:6">
      <c r="F61834" s="2423"/>
    </row>
    <row r="61835" s="101" customFormat="1" spans="6:6">
      <c r="F61835" s="2423"/>
    </row>
    <row r="61836" s="101" customFormat="1" spans="6:6">
      <c r="F61836" s="2423"/>
    </row>
    <row r="61837" s="101" customFormat="1" spans="6:6">
      <c r="F61837" s="2423"/>
    </row>
    <row r="61838" s="101" customFormat="1" spans="6:6">
      <c r="F61838" s="2423"/>
    </row>
    <row r="61839" s="101" customFormat="1" spans="6:6">
      <c r="F61839" s="2423"/>
    </row>
    <row r="61840" s="101" customFormat="1" spans="6:6">
      <c r="F61840" s="2423"/>
    </row>
    <row r="61841" s="101" customFormat="1" spans="6:6">
      <c r="F61841" s="2423"/>
    </row>
    <row r="61842" s="101" customFormat="1" spans="6:6">
      <c r="F61842" s="2423"/>
    </row>
    <row r="61843" s="101" customFormat="1" spans="6:6">
      <c r="F61843" s="2423"/>
    </row>
    <row r="61844" s="101" customFormat="1" spans="6:6">
      <c r="F61844" s="2423"/>
    </row>
    <row r="61845" s="101" customFormat="1" spans="6:6">
      <c r="F61845" s="2423"/>
    </row>
    <row r="61846" s="101" customFormat="1" spans="6:6">
      <c r="F61846" s="2423"/>
    </row>
    <row r="61847" s="101" customFormat="1" spans="6:6">
      <c r="F61847" s="2423"/>
    </row>
    <row r="61848" s="101" customFormat="1" spans="6:6">
      <c r="F61848" s="2423"/>
    </row>
    <row r="61849" s="101" customFormat="1" spans="6:6">
      <c r="F61849" s="2423"/>
    </row>
    <row r="61850" s="101" customFormat="1" spans="6:6">
      <c r="F61850" s="2423"/>
    </row>
    <row r="61851" s="101" customFormat="1" spans="6:6">
      <c r="F61851" s="2423"/>
    </row>
    <row r="61852" s="101" customFormat="1" spans="6:6">
      <c r="F61852" s="2423"/>
    </row>
    <row r="61853" s="101" customFormat="1" spans="6:6">
      <c r="F61853" s="2423"/>
    </row>
    <row r="61854" s="101" customFormat="1" spans="6:6">
      <c r="F61854" s="2423"/>
    </row>
    <row r="61855" s="101" customFormat="1" spans="6:6">
      <c r="F61855" s="2423"/>
    </row>
    <row r="61856" s="101" customFormat="1" spans="6:6">
      <c r="F61856" s="2423"/>
    </row>
    <row r="61857" s="101" customFormat="1" spans="6:6">
      <c r="F61857" s="2423"/>
    </row>
    <row r="61858" s="101" customFormat="1" spans="6:6">
      <c r="F61858" s="2423"/>
    </row>
    <row r="61859" s="101" customFormat="1" spans="6:6">
      <c r="F61859" s="2423"/>
    </row>
    <row r="61860" s="101" customFormat="1" spans="6:6">
      <c r="F61860" s="2423"/>
    </row>
    <row r="61861" s="101" customFormat="1" spans="6:6">
      <c r="F61861" s="2423"/>
    </row>
    <row r="61862" s="101" customFormat="1" spans="6:6">
      <c r="F61862" s="2423"/>
    </row>
    <row r="61863" s="101" customFormat="1" spans="6:6">
      <c r="F61863" s="2423"/>
    </row>
    <row r="61864" s="101" customFormat="1" spans="6:6">
      <c r="F61864" s="2423"/>
    </row>
    <row r="61865" s="101" customFormat="1" spans="6:6">
      <c r="F61865" s="2423"/>
    </row>
    <row r="61866" s="101" customFormat="1" spans="6:6">
      <c r="F61866" s="2423"/>
    </row>
    <row r="61867" s="101" customFormat="1" spans="6:6">
      <c r="F61867" s="2423"/>
    </row>
    <row r="61868" s="101" customFormat="1" spans="6:6">
      <c r="F61868" s="2423"/>
    </row>
    <row r="61869" s="101" customFormat="1" spans="6:6">
      <c r="F61869" s="2423"/>
    </row>
    <row r="61870" s="101" customFormat="1" spans="6:6">
      <c r="F61870" s="2423"/>
    </row>
    <row r="61871" s="101" customFormat="1" spans="6:6">
      <c r="F61871" s="2423"/>
    </row>
    <row r="61872" s="101" customFormat="1" spans="6:6">
      <c r="F61872" s="2423"/>
    </row>
    <row r="61873" s="101" customFormat="1" spans="6:6">
      <c r="F61873" s="2423"/>
    </row>
    <row r="61874" s="101" customFormat="1" spans="6:6">
      <c r="F61874" s="2423"/>
    </row>
    <row r="61875" s="101" customFormat="1" spans="6:6">
      <c r="F61875" s="2423"/>
    </row>
    <row r="61876" s="101" customFormat="1" spans="6:6">
      <c r="F61876" s="2423"/>
    </row>
    <row r="61877" s="101" customFormat="1" spans="6:6">
      <c r="F61877" s="2423"/>
    </row>
    <row r="61878" s="101" customFormat="1" spans="6:6">
      <c r="F61878" s="2423"/>
    </row>
    <row r="61879" s="101" customFormat="1" spans="6:6">
      <c r="F61879" s="2423"/>
    </row>
    <row r="61880" s="101" customFormat="1" spans="6:6">
      <c r="F61880" s="2423"/>
    </row>
    <row r="61881" s="101" customFormat="1" spans="6:6">
      <c r="F61881" s="2423"/>
    </row>
    <row r="61882" s="101" customFormat="1" spans="6:6">
      <c r="F61882" s="2423"/>
    </row>
    <row r="61883" s="101" customFormat="1" spans="6:6">
      <c r="F61883" s="2423"/>
    </row>
    <row r="61884" s="101" customFormat="1" spans="6:6">
      <c r="F61884" s="2423"/>
    </row>
    <row r="61885" s="101" customFormat="1" spans="6:6">
      <c r="F61885" s="2423"/>
    </row>
    <row r="61886" s="101" customFormat="1" spans="6:6">
      <c r="F61886" s="2423"/>
    </row>
    <row r="61887" s="101" customFormat="1" spans="6:6">
      <c r="F61887" s="2423"/>
    </row>
    <row r="61888" s="101" customFormat="1" spans="6:6">
      <c r="F61888" s="2423"/>
    </row>
    <row r="61889" s="101" customFormat="1" spans="6:6">
      <c r="F61889" s="2423"/>
    </row>
    <row r="61890" s="101" customFormat="1" spans="6:6">
      <c r="F61890" s="2423"/>
    </row>
    <row r="61891" s="101" customFormat="1" spans="6:6">
      <c r="F61891" s="2423"/>
    </row>
    <row r="61892" s="101" customFormat="1" spans="6:6">
      <c r="F61892" s="2423"/>
    </row>
    <row r="61893" s="101" customFormat="1" spans="6:6">
      <c r="F61893" s="2423"/>
    </row>
    <row r="61894" s="101" customFormat="1" spans="6:6">
      <c r="F61894" s="2423"/>
    </row>
    <row r="61895" s="101" customFormat="1" spans="6:6">
      <c r="F61895" s="2423"/>
    </row>
    <row r="61896" s="101" customFormat="1" spans="6:6">
      <c r="F61896" s="2423"/>
    </row>
    <row r="61897" s="101" customFormat="1" spans="6:6">
      <c r="F61897" s="2423"/>
    </row>
    <row r="61898" s="101" customFormat="1" spans="6:6">
      <c r="F61898" s="2423"/>
    </row>
    <row r="61899" s="101" customFormat="1" spans="6:6">
      <c r="F61899" s="2423"/>
    </row>
    <row r="61900" s="101" customFormat="1" spans="6:6">
      <c r="F61900" s="2423"/>
    </row>
    <row r="61901" s="101" customFormat="1" spans="6:6">
      <c r="F61901" s="2423"/>
    </row>
    <row r="61902" s="101" customFormat="1" spans="6:6">
      <c r="F61902" s="2423"/>
    </row>
    <row r="61903" s="101" customFormat="1" spans="6:6">
      <c r="F61903" s="2423"/>
    </row>
    <row r="61904" s="101" customFormat="1" spans="6:6">
      <c r="F61904" s="2423"/>
    </row>
    <row r="61905" s="101" customFormat="1" spans="6:6">
      <c r="F61905" s="2423"/>
    </row>
    <row r="61906" s="101" customFormat="1" spans="6:6">
      <c r="F61906" s="2423"/>
    </row>
    <row r="61907" s="101" customFormat="1" spans="6:6">
      <c r="F61907" s="2423"/>
    </row>
    <row r="61908" s="101" customFormat="1" spans="6:6">
      <c r="F61908" s="2423"/>
    </row>
    <row r="61909" s="101" customFormat="1" spans="6:6">
      <c r="F61909" s="2423"/>
    </row>
    <row r="61910" s="101" customFormat="1" spans="6:6">
      <c r="F61910" s="2423"/>
    </row>
    <row r="61911" s="101" customFormat="1" spans="6:6">
      <c r="F61911" s="2423"/>
    </row>
    <row r="61912" s="101" customFormat="1" spans="6:6">
      <c r="F61912" s="2423"/>
    </row>
    <row r="61913" s="101" customFormat="1" spans="6:6">
      <c r="F61913" s="2423"/>
    </row>
    <row r="61914" s="101" customFormat="1" spans="6:6">
      <c r="F61914" s="2423"/>
    </row>
    <row r="61915" s="101" customFormat="1" spans="6:6">
      <c r="F61915" s="2423"/>
    </row>
    <row r="61916" s="101" customFormat="1" spans="6:6">
      <c r="F61916" s="2423"/>
    </row>
    <row r="61917" s="101" customFormat="1" spans="6:6">
      <c r="F61917" s="2423"/>
    </row>
    <row r="61918" s="101" customFormat="1" spans="6:6">
      <c r="F61918" s="2423"/>
    </row>
    <row r="61919" s="101" customFormat="1" spans="6:6">
      <c r="F61919" s="2423"/>
    </row>
    <row r="61920" s="101" customFormat="1" spans="6:6">
      <c r="F61920" s="2423"/>
    </row>
    <row r="61921" s="101" customFormat="1" spans="6:6">
      <c r="F61921" s="2423"/>
    </row>
    <row r="61922" s="101" customFormat="1" spans="6:6">
      <c r="F61922" s="2423"/>
    </row>
    <row r="61923" s="101" customFormat="1" spans="6:6">
      <c r="F61923" s="2423"/>
    </row>
    <row r="61924" s="101" customFormat="1" spans="6:6">
      <c r="F61924" s="2423"/>
    </row>
    <row r="61925" s="101" customFormat="1" spans="6:6">
      <c r="F61925" s="2423"/>
    </row>
    <row r="61926" s="101" customFormat="1" spans="6:6">
      <c r="F61926" s="2423"/>
    </row>
    <row r="61927" s="101" customFormat="1" spans="6:6">
      <c r="F61927" s="2423"/>
    </row>
    <row r="61928" s="101" customFormat="1" spans="6:6">
      <c r="F61928" s="2423"/>
    </row>
    <row r="61929" s="101" customFormat="1" spans="6:6">
      <c r="F61929" s="2423"/>
    </row>
    <row r="61930" s="101" customFormat="1" spans="6:6">
      <c r="F61930" s="2423"/>
    </row>
    <row r="61931" s="101" customFormat="1" spans="6:6">
      <c r="F61931" s="2423"/>
    </row>
    <row r="61932" s="101" customFormat="1" spans="6:6">
      <c r="F61932" s="2423"/>
    </row>
    <row r="61933" s="101" customFormat="1" spans="6:6">
      <c r="F61933" s="2423"/>
    </row>
    <row r="61934" s="101" customFormat="1" spans="6:6">
      <c r="F61934" s="2423"/>
    </row>
    <row r="61935" s="101" customFormat="1" spans="6:6">
      <c r="F61935" s="2423"/>
    </row>
    <row r="61936" s="101" customFormat="1" spans="6:6">
      <c r="F61936" s="2423"/>
    </row>
    <row r="61937" s="101" customFormat="1" spans="6:6">
      <c r="F61937" s="2423"/>
    </row>
    <row r="61938" s="101" customFormat="1" spans="6:6">
      <c r="F61938" s="2423"/>
    </row>
    <row r="61939" s="101" customFormat="1" spans="6:6">
      <c r="F61939" s="2423"/>
    </row>
    <row r="61940" s="101" customFormat="1" spans="6:6">
      <c r="F61940" s="2423"/>
    </row>
    <row r="61941" s="101" customFormat="1" spans="6:6">
      <c r="F61941" s="2423"/>
    </row>
    <row r="61942" s="101" customFormat="1" spans="6:6">
      <c r="F61942" s="2423"/>
    </row>
    <row r="61943" s="101" customFormat="1" spans="6:6">
      <c r="F61943" s="2423"/>
    </row>
    <row r="61944" s="101" customFormat="1" spans="6:6">
      <c r="F61944" s="2423"/>
    </row>
    <row r="61945" s="101" customFormat="1" spans="6:6">
      <c r="F61945" s="2423"/>
    </row>
    <row r="61946" s="101" customFormat="1" spans="6:6">
      <c r="F61946" s="2423"/>
    </row>
    <row r="61947" s="101" customFormat="1" spans="6:6">
      <c r="F61947" s="2423"/>
    </row>
    <row r="61948" s="101" customFormat="1" spans="6:6">
      <c r="F61948" s="2423"/>
    </row>
    <row r="61949" s="101" customFormat="1" spans="6:6">
      <c r="F61949" s="2423"/>
    </row>
    <row r="61950" s="101" customFormat="1" spans="6:6">
      <c r="F61950" s="2423"/>
    </row>
    <row r="61951" s="101" customFormat="1" spans="6:6">
      <c r="F61951" s="2423"/>
    </row>
    <row r="61952" s="101" customFormat="1" spans="6:6">
      <c r="F61952" s="2423"/>
    </row>
    <row r="61953" s="101" customFormat="1" spans="6:6">
      <c r="F61953" s="2423"/>
    </row>
    <row r="61954" s="101" customFormat="1" spans="6:6">
      <c r="F61954" s="2423"/>
    </row>
    <row r="61955" s="101" customFormat="1" spans="6:6">
      <c r="F61955" s="2423"/>
    </row>
    <row r="61956" s="101" customFormat="1" spans="6:6">
      <c r="F61956" s="2423"/>
    </row>
    <row r="61957" s="101" customFormat="1" spans="6:6">
      <c r="F61957" s="2423"/>
    </row>
    <row r="61958" s="101" customFormat="1" spans="6:6">
      <c r="F61958" s="2423"/>
    </row>
    <row r="61959" s="101" customFormat="1" spans="6:6">
      <c r="F61959" s="2423"/>
    </row>
    <row r="61960" s="101" customFormat="1" spans="6:6">
      <c r="F61960" s="2423"/>
    </row>
    <row r="61961" s="101" customFormat="1" spans="6:6">
      <c r="F61961" s="2423"/>
    </row>
    <row r="61962" s="101" customFormat="1" spans="6:6">
      <c r="F61962" s="2423"/>
    </row>
    <row r="61963" s="101" customFormat="1" spans="6:6">
      <c r="F61963" s="2423"/>
    </row>
    <row r="61964" s="101" customFormat="1" spans="6:6">
      <c r="F61964" s="2423"/>
    </row>
    <row r="61965" s="101" customFormat="1" spans="6:6">
      <c r="F61965" s="2423"/>
    </row>
    <row r="61966" s="101" customFormat="1" spans="6:6">
      <c r="F61966" s="2423"/>
    </row>
    <row r="61967" s="101" customFormat="1" spans="6:6">
      <c r="F61967" s="2423"/>
    </row>
    <row r="61968" s="101" customFormat="1" spans="6:6">
      <c r="F61968" s="2423"/>
    </row>
    <row r="61969" s="101" customFormat="1" spans="6:6">
      <c r="F61969" s="2423"/>
    </row>
    <row r="61970" s="101" customFormat="1" spans="6:6">
      <c r="F61970" s="2423"/>
    </row>
    <row r="61971" s="101" customFormat="1" spans="6:6">
      <c r="F61971" s="2423"/>
    </row>
    <row r="61972" s="101" customFormat="1" spans="6:6">
      <c r="F61972" s="2423"/>
    </row>
    <row r="61973" s="101" customFormat="1" spans="6:6">
      <c r="F61973" s="2423"/>
    </row>
    <row r="61974" s="101" customFormat="1" spans="6:6">
      <c r="F61974" s="2423"/>
    </row>
    <row r="61975" s="101" customFormat="1" spans="6:6">
      <c r="F61975" s="2423"/>
    </row>
    <row r="61976" s="101" customFormat="1" spans="6:6">
      <c r="F61976" s="2423"/>
    </row>
    <row r="61977" s="101" customFormat="1" spans="6:6">
      <c r="F61977" s="2423"/>
    </row>
    <row r="61978" s="101" customFormat="1" spans="6:6">
      <c r="F61978" s="2423"/>
    </row>
    <row r="61979" s="101" customFormat="1" spans="6:6">
      <c r="F61979" s="2423"/>
    </row>
    <row r="61980" s="101" customFormat="1" spans="6:6">
      <c r="F61980" s="2423"/>
    </row>
    <row r="61981" s="101" customFormat="1" spans="6:6">
      <c r="F61981" s="2423"/>
    </row>
    <row r="61982" s="101" customFormat="1" spans="6:6">
      <c r="F61982" s="2423"/>
    </row>
    <row r="61983" s="101" customFormat="1" spans="6:6">
      <c r="F61983" s="2423"/>
    </row>
    <row r="61984" s="101" customFormat="1" spans="6:6">
      <c r="F61984" s="2423"/>
    </row>
    <row r="61985" s="101" customFormat="1" spans="6:6">
      <c r="F61985" s="2423"/>
    </row>
    <row r="61986" s="101" customFormat="1" spans="6:6">
      <c r="F61986" s="2423"/>
    </row>
    <row r="61987" s="101" customFormat="1" spans="6:6">
      <c r="F61987" s="2423"/>
    </row>
    <row r="61988" s="101" customFormat="1" spans="6:6">
      <c r="F61988" s="2423"/>
    </row>
    <row r="61989" s="101" customFormat="1" spans="6:6">
      <c r="F61989" s="2423"/>
    </row>
    <row r="61990" s="101" customFormat="1" spans="6:6">
      <c r="F61990" s="2423"/>
    </row>
    <row r="61991" s="101" customFormat="1" spans="6:6">
      <c r="F61991" s="2423"/>
    </row>
    <row r="61992" s="101" customFormat="1" spans="6:6">
      <c r="F61992" s="2423"/>
    </row>
    <row r="61993" s="101" customFormat="1" spans="6:6">
      <c r="F61993" s="2423"/>
    </row>
    <row r="61994" s="101" customFormat="1" spans="6:6">
      <c r="F61994" s="2423"/>
    </row>
    <row r="61995" s="101" customFormat="1" spans="6:6">
      <c r="F61995" s="2423"/>
    </row>
    <row r="61996" s="101" customFormat="1" spans="6:6">
      <c r="F61996" s="2423"/>
    </row>
    <row r="61997" s="101" customFormat="1" spans="6:6">
      <c r="F61997" s="2423"/>
    </row>
    <row r="61998" s="101" customFormat="1" spans="6:6">
      <c r="F61998" s="2423"/>
    </row>
    <row r="61999" s="101" customFormat="1" spans="6:6">
      <c r="F61999" s="2423"/>
    </row>
    <row r="62000" s="101" customFormat="1" spans="6:6">
      <c r="F62000" s="2423"/>
    </row>
    <row r="62001" s="101" customFormat="1" spans="6:6">
      <c r="F62001" s="2423"/>
    </row>
    <row r="62002" s="101" customFormat="1" spans="6:6">
      <c r="F62002" s="2423"/>
    </row>
    <row r="62003" s="101" customFormat="1" spans="6:6">
      <c r="F62003" s="2423"/>
    </row>
    <row r="62004" s="101" customFormat="1" spans="6:6">
      <c r="F62004" s="2423"/>
    </row>
    <row r="62005" s="101" customFormat="1" spans="6:6">
      <c r="F62005" s="2423"/>
    </row>
    <row r="62006" s="101" customFormat="1" spans="6:6">
      <c r="F62006" s="2423"/>
    </row>
    <row r="62007" s="101" customFormat="1" spans="6:6">
      <c r="F62007" s="2423"/>
    </row>
    <row r="62008" s="101" customFormat="1" spans="6:6">
      <c r="F62008" s="2423"/>
    </row>
    <row r="62009" s="101" customFormat="1" spans="6:6">
      <c r="F62009" s="2423"/>
    </row>
    <row r="62010" s="101" customFormat="1" spans="6:6">
      <c r="F62010" s="2423"/>
    </row>
    <row r="62011" s="101" customFormat="1" spans="6:6">
      <c r="F62011" s="2423"/>
    </row>
    <row r="62012" s="101" customFormat="1" spans="6:6">
      <c r="F62012" s="2423"/>
    </row>
    <row r="62013" s="101" customFormat="1" spans="6:6">
      <c r="F62013" s="2423"/>
    </row>
    <row r="62014" s="101" customFormat="1" spans="6:6">
      <c r="F62014" s="2423"/>
    </row>
    <row r="62015" s="101" customFormat="1" spans="6:6">
      <c r="F62015" s="2423"/>
    </row>
    <row r="62016" s="101" customFormat="1" spans="6:6">
      <c r="F62016" s="2423"/>
    </row>
    <row r="62017" s="101" customFormat="1" spans="6:6">
      <c r="F62017" s="2423"/>
    </row>
    <row r="62018" s="101" customFormat="1" spans="6:6">
      <c r="F62018" s="2423"/>
    </row>
    <row r="62019" s="101" customFormat="1" spans="6:6">
      <c r="F62019" s="2423"/>
    </row>
    <row r="62020" s="101" customFormat="1" spans="6:6">
      <c r="F62020" s="2423"/>
    </row>
    <row r="62021" s="101" customFormat="1" spans="6:6">
      <c r="F62021" s="2423"/>
    </row>
    <row r="62022" s="101" customFormat="1" spans="6:6">
      <c r="F62022" s="2423"/>
    </row>
    <row r="62023" s="101" customFormat="1" spans="6:6">
      <c r="F62023" s="2423"/>
    </row>
    <row r="62024" s="101" customFormat="1" spans="6:6">
      <c r="F62024" s="2423"/>
    </row>
    <row r="62025" s="101" customFormat="1" spans="6:6">
      <c r="F62025" s="2423"/>
    </row>
    <row r="62026" s="101" customFormat="1" spans="6:6">
      <c r="F62026" s="2423"/>
    </row>
    <row r="62027" s="101" customFormat="1" spans="6:6">
      <c r="F62027" s="2423"/>
    </row>
    <row r="62028" s="101" customFormat="1" spans="6:6">
      <c r="F62028" s="2423"/>
    </row>
    <row r="62029" s="101" customFormat="1" spans="6:6">
      <c r="F62029" s="2423"/>
    </row>
    <row r="62030" s="101" customFormat="1" spans="6:6">
      <c r="F62030" s="2423"/>
    </row>
    <row r="62031" s="101" customFormat="1" spans="6:6">
      <c r="F62031" s="2423"/>
    </row>
    <row r="62032" s="101" customFormat="1" spans="6:6">
      <c r="F62032" s="2423"/>
    </row>
    <row r="62033" s="101" customFormat="1" spans="6:6">
      <c r="F62033" s="2423"/>
    </row>
    <row r="62034" s="101" customFormat="1" spans="6:6">
      <c r="F62034" s="2423"/>
    </row>
    <row r="62035" s="101" customFormat="1" spans="6:6">
      <c r="F62035" s="2423"/>
    </row>
    <row r="62036" s="101" customFormat="1" spans="6:6">
      <c r="F62036" s="2423"/>
    </row>
    <row r="62037" s="101" customFormat="1" spans="6:6">
      <c r="F62037" s="2423"/>
    </row>
    <row r="62038" s="101" customFormat="1" spans="6:6">
      <c r="F62038" s="2423"/>
    </row>
    <row r="62039" s="101" customFormat="1" spans="6:6">
      <c r="F62039" s="2423"/>
    </row>
    <row r="62040" s="101" customFormat="1" spans="6:6">
      <c r="F62040" s="2423"/>
    </row>
    <row r="62041" s="101" customFormat="1" spans="6:6">
      <c r="F62041" s="2423"/>
    </row>
    <row r="62042" s="101" customFormat="1" spans="6:6">
      <c r="F62042" s="2423"/>
    </row>
    <row r="62043" s="101" customFormat="1" spans="6:6">
      <c r="F62043" s="2423"/>
    </row>
    <row r="62044" s="101" customFormat="1" spans="6:6">
      <c r="F62044" s="2423"/>
    </row>
    <row r="62045" s="101" customFormat="1" spans="6:6">
      <c r="F62045" s="2423"/>
    </row>
    <row r="62046" s="101" customFormat="1" spans="6:6">
      <c r="F62046" s="2423"/>
    </row>
    <row r="62047" s="101" customFormat="1" spans="6:6">
      <c r="F62047" s="2423"/>
    </row>
    <row r="62048" s="101" customFormat="1" spans="6:6">
      <c r="F62048" s="2423"/>
    </row>
    <row r="62049" s="101" customFormat="1" spans="6:6">
      <c r="F62049" s="2423"/>
    </row>
    <row r="62050" s="101" customFormat="1" spans="6:6">
      <c r="F62050" s="2423"/>
    </row>
    <row r="62051" s="101" customFormat="1" spans="6:6">
      <c r="F62051" s="2423"/>
    </row>
    <row r="62052" s="101" customFormat="1" spans="6:6">
      <c r="F62052" s="2423"/>
    </row>
    <row r="62053" s="101" customFormat="1" spans="6:6">
      <c r="F62053" s="2423"/>
    </row>
    <row r="62054" s="101" customFormat="1" spans="6:6">
      <c r="F62054" s="2423"/>
    </row>
    <row r="62055" s="101" customFormat="1" spans="6:6">
      <c r="F62055" s="2423"/>
    </row>
    <row r="62056" s="101" customFormat="1" spans="6:6">
      <c r="F62056" s="2423"/>
    </row>
    <row r="62057" s="101" customFormat="1" spans="6:6">
      <c r="F62057" s="2423"/>
    </row>
    <row r="62058" s="101" customFormat="1" spans="6:6">
      <c r="F62058" s="2423"/>
    </row>
    <row r="62059" s="101" customFormat="1" spans="6:6">
      <c r="F62059" s="2423"/>
    </row>
    <row r="62060" s="101" customFormat="1" spans="6:6">
      <c r="F62060" s="2423"/>
    </row>
    <row r="62061" s="101" customFormat="1" spans="6:6">
      <c r="F62061" s="2423"/>
    </row>
    <row r="62062" s="101" customFormat="1" spans="6:6">
      <c r="F62062" s="2423"/>
    </row>
    <row r="62063" s="101" customFormat="1" spans="6:6">
      <c r="F62063" s="2423"/>
    </row>
    <row r="62064" s="101" customFormat="1" spans="6:6">
      <c r="F62064" s="2423"/>
    </row>
    <row r="62065" s="101" customFormat="1" spans="6:6">
      <c r="F62065" s="2423"/>
    </row>
    <row r="62066" s="101" customFormat="1" spans="6:6">
      <c r="F62066" s="2423"/>
    </row>
    <row r="62067" s="101" customFormat="1" spans="6:6">
      <c r="F62067" s="2423"/>
    </row>
    <row r="62068" s="101" customFormat="1" spans="6:6">
      <c r="F62068" s="2423"/>
    </row>
    <row r="62069" s="101" customFormat="1" spans="6:6">
      <c r="F62069" s="2423"/>
    </row>
    <row r="62070" s="101" customFormat="1" spans="6:6">
      <c r="F62070" s="2423"/>
    </row>
    <row r="62071" s="101" customFormat="1" spans="6:6">
      <c r="F62071" s="2423"/>
    </row>
    <row r="62072" s="101" customFormat="1" spans="6:6">
      <c r="F62072" s="2423"/>
    </row>
    <row r="62073" s="101" customFormat="1" spans="6:6">
      <c r="F62073" s="2423"/>
    </row>
    <row r="62074" s="101" customFormat="1" spans="6:6">
      <c r="F62074" s="2423"/>
    </row>
    <row r="62075" s="101" customFormat="1" spans="6:6">
      <c r="F62075" s="2423"/>
    </row>
    <row r="62076" s="101" customFormat="1" spans="6:6">
      <c r="F62076" s="2423"/>
    </row>
    <row r="62077" s="101" customFormat="1" spans="6:6">
      <c r="F62077" s="2423"/>
    </row>
    <row r="62078" s="101" customFormat="1" spans="6:6">
      <c r="F62078" s="2423"/>
    </row>
    <row r="62079" s="101" customFormat="1" spans="6:6">
      <c r="F62079" s="2423"/>
    </row>
    <row r="62080" s="101" customFormat="1" spans="6:6">
      <c r="F62080" s="2423"/>
    </row>
    <row r="62081" s="101" customFormat="1" spans="6:6">
      <c r="F62081" s="2423"/>
    </row>
    <row r="62082" s="101" customFormat="1" spans="6:6">
      <c r="F62082" s="2423"/>
    </row>
    <row r="62083" s="101" customFormat="1" spans="6:6">
      <c r="F62083" s="2423"/>
    </row>
    <row r="62084" s="101" customFormat="1" spans="6:6">
      <c r="F62084" s="2423"/>
    </row>
    <row r="62085" s="101" customFormat="1" spans="6:6">
      <c r="F62085" s="2423"/>
    </row>
    <row r="62086" s="101" customFormat="1" spans="6:6">
      <c r="F62086" s="2423"/>
    </row>
    <row r="62087" s="101" customFormat="1" spans="6:6">
      <c r="F62087" s="2423"/>
    </row>
    <row r="62088" s="101" customFormat="1" spans="6:6">
      <c r="F62088" s="2423"/>
    </row>
    <row r="62089" s="101" customFormat="1" spans="6:6">
      <c r="F62089" s="2423"/>
    </row>
    <row r="62090" s="101" customFormat="1" spans="6:6">
      <c r="F62090" s="2423"/>
    </row>
    <row r="62091" s="101" customFormat="1" spans="6:6">
      <c r="F62091" s="2423"/>
    </row>
    <row r="62092" s="101" customFormat="1" spans="6:6">
      <c r="F62092" s="2423"/>
    </row>
    <row r="62093" s="101" customFormat="1" spans="6:6">
      <c r="F62093" s="2423"/>
    </row>
    <row r="62094" s="101" customFormat="1" spans="6:6">
      <c r="F62094" s="2423"/>
    </row>
    <row r="62095" s="101" customFormat="1" spans="6:6">
      <c r="F62095" s="2423"/>
    </row>
    <row r="62096" s="101" customFormat="1" spans="6:6">
      <c r="F62096" s="2423"/>
    </row>
    <row r="62097" s="101" customFormat="1" spans="6:6">
      <c r="F62097" s="2423"/>
    </row>
    <row r="62098" s="101" customFormat="1" spans="6:6">
      <c r="F62098" s="2423"/>
    </row>
    <row r="62099" s="101" customFormat="1" spans="6:6">
      <c r="F62099" s="2423"/>
    </row>
    <row r="62100" s="101" customFormat="1" spans="6:6">
      <c r="F62100" s="2423"/>
    </row>
    <row r="62101" s="101" customFormat="1" spans="6:6">
      <c r="F62101" s="2423"/>
    </row>
    <row r="62102" s="101" customFormat="1" spans="6:6">
      <c r="F62102" s="2423"/>
    </row>
    <row r="62103" s="101" customFormat="1" spans="6:6">
      <c r="F62103" s="2423"/>
    </row>
    <row r="62104" s="101" customFormat="1" spans="6:6">
      <c r="F62104" s="2423"/>
    </row>
    <row r="62105" s="101" customFormat="1" spans="6:6">
      <c r="F62105" s="2423"/>
    </row>
    <row r="62106" s="101" customFormat="1" spans="6:6">
      <c r="F62106" s="2423"/>
    </row>
    <row r="62107" s="101" customFormat="1" spans="6:6">
      <c r="F62107" s="2423"/>
    </row>
    <row r="62108" s="101" customFormat="1" spans="6:6">
      <c r="F62108" s="2423"/>
    </row>
    <row r="62109" s="101" customFormat="1" spans="6:6">
      <c r="F62109" s="2423"/>
    </row>
    <row r="62110" s="101" customFormat="1" spans="6:6">
      <c r="F62110" s="2423"/>
    </row>
    <row r="62111" s="101" customFormat="1" spans="6:6">
      <c r="F62111" s="2423"/>
    </row>
    <row r="62112" s="101" customFormat="1" spans="6:6">
      <c r="F62112" s="2423"/>
    </row>
    <row r="62113" s="101" customFormat="1" spans="6:6">
      <c r="F62113" s="2423"/>
    </row>
    <row r="62114" s="101" customFormat="1" spans="6:6">
      <c r="F62114" s="2423"/>
    </row>
    <row r="62115" s="101" customFormat="1" spans="6:6">
      <c r="F62115" s="2423"/>
    </row>
    <row r="62116" s="101" customFormat="1" spans="6:6">
      <c r="F62116" s="2423"/>
    </row>
    <row r="62117" s="101" customFormat="1" spans="6:6">
      <c r="F62117" s="2423"/>
    </row>
    <row r="62118" s="101" customFormat="1" spans="6:6">
      <c r="F62118" s="2423"/>
    </row>
    <row r="62119" s="101" customFormat="1" spans="6:6">
      <c r="F62119" s="2423"/>
    </row>
    <row r="62120" s="101" customFormat="1" spans="6:6">
      <c r="F62120" s="2423"/>
    </row>
    <row r="62121" s="101" customFormat="1" spans="6:6">
      <c r="F62121" s="2423"/>
    </row>
    <row r="62122" s="101" customFormat="1" spans="6:6">
      <c r="F62122" s="2423"/>
    </row>
    <row r="62123" s="101" customFormat="1" spans="6:6">
      <c r="F62123" s="2423"/>
    </row>
    <row r="62124" s="101" customFormat="1" spans="6:6">
      <c r="F62124" s="2423"/>
    </row>
    <row r="62125" s="101" customFormat="1" spans="6:6">
      <c r="F62125" s="2423"/>
    </row>
    <row r="62126" s="101" customFormat="1" spans="6:6">
      <c r="F62126" s="2423"/>
    </row>
    <row r="62127" s="101" customFormat="1" spans="6:6">
      <c r="F62127" s="2423"/>
    </row>
    <row r="62128" s="101" customFormat="1" spans="6:6">
      <c r="F62128" s="2423"/>
    </row>
    <row r="62129" s="101" customFormat="1" spans="6:6">
      <c r="F62129" s="2423"/>
    </row>
    <row r="62130" s="101" customFormat="1" spans="6:6">
      <c r="F62130" s="2423"/>
    </row>
    <row r="62131" s="101" customFormat="1" spans="6:6">
      <c r="F62131" s="2423"/>
    </row>
    <row r="62132" s="101" customFormat="1" spans="6:6">
      <c r="F62132" s="2423"/>
    </row>
    <row r="62133" s="101" customFormat="1" spans="6:6">
      <c r="F62133" s="2423"/>
    </row>
    <row r="62134" s="101" customFormat="1" spans="6:6">
      <c r="F62134" s="2423"/>
    </row>
    <row r="62135" s="101" customFormat="1" spans="6:6">
      <c r="F62135" s="2423"/>
    </row>
    <row r="62136" s="101" customFormat="1" spans="6:6">
      <c r="F62136" s="2423"/>
    </row>
    <row r="62137" s="101" customFormat="1" spans="6:6">
      <c r="F62137" s="2423"/>
    </row>
    <row r="62138" s="101" customFormat="1" spans="6:6">
      <c r="F62138" s="2423"/>
    </row>
    <row r="62139" s="101" customFormat="1" spans="6:6">
      <c r="F62139" s="2423"/>
    </row>
    <row r="62140" s="101" customFormat="1" spans="6:6">
      <c r="F62140" s="2423"/>
    </row>
    <row r="62141" s="101" customFormat="1" spans="6:6">
      <c r="F62141" s="2423"/>
    </row>
    <row r="62142" s="101" customFormat="1" spans="6:6">
      <c r="F62142" s="2423"/>
    </row>
    <row r="62143" s="101" customFormat="1" spans="6:6">
      <c r="F62143" s="2423"/>
    </row>
    <row r="62144" s="101" customFormat="1" spans="6:6">
      <c r="F62144" s="2423"/>
    </row>
    <row r="62145" s="101" customFormat="1" spans="6:6">
      <c r="F62145" s="2423"/>
    </row>
    <row r="62146" s="101" customFormat="1" spans="6:6">
      <c r="F62146" s="2423"/>
    </row>
    <row r="62147" s="101" customFormat="1" spans="6:6">
      <c r="F62147" s="2423"/>
    </row>
    <row r="62148" s="101" customFormat="1" spans="6:6">
      <c r="F62148" s="2423"/>
    </row>
    <row r="62149" s="101" customFormat="1" spans="6:6">
      <c r="F62149" s="2423"/>
    </row>
    <row r="62150" s="101" customFormat="1" spans="6:6">
      <c r="F62150" s="2423"/>
    </row>
    <row r="62151" s="101" customFormat="1" spans="6:6">
      <c r="F62151" s="2423"/>
    </row>
    <row r="62152" s="101" customFormat="1" spans="6:6">
      <c r="F62152" s="2423"/>
    </row>
    <row r="62153" s="101" customFormat="1" spans="6:6">
      <c r="F62153" s="2423"/>
    </row>
    <row r="62154" s="101" customFormat="1" spans="6:6">
      <c r="F62154" s="2423"/>
    </row>
    <row r="62155" s="101" customFormat="1" spans="6:6">
      <c r="F62155" s="2423"/>
    </row>
    <row r="62156" s="101" customFormat="1" spans="6:6">
      <c r="F62156" s="2423"/>
    </row>
    <row r="62157" s="101" customFormat="1" spans="6:6">
      <c r="F62157" s="2423"/>
    </row>
    <row r="62158" s="101" customFormat="1" spans="6:6">
      <c r="F62158" s="2423"/>
    </row>
    <row r="62159" s="101" customFormat="1" spans="6:6">
      <c r="F62159" s="2423"/>
    </row>
    <row r="62160" s="101" customFormat="1" spans="6:6">
      <c r="F62160" s="2423"/>
    </row>
    <row r="62161" s="101" customFormat="1" spans="6:6">
      <c r="F62161" s="2423"/>
    </row>
    <row r="62162" s="101" customFormat="1" spans="6:6">
      <c r="F62162" s="2423"/>
    </row>
    <row r="62163" s="101" customFormat="1" spans="6:6">
      <c r="F62163" s="2423"/>
    </row>
    <row r="62164" s="101" customFormat="1" spans="6:6">
      <c r="F62164" s="2423"/>
    </row>
    <row r="62165" s="101" customFormat="1" spans="6:6">
      <c r="F62165" s="2423"/>
    </row>
    <row r="62166" s="101" customFormat="1" spans="6:6">
      <c r="F62166" s="2423"/>
    </row>
    <row r="62167" s="101" customFormat="1" spans="6:6">
      <c r="F62167" s="2423"/>
    </row>
    <row r="62168" s="101" customFormat="1" spans="6:6">
      <c r="F62168" s="2423"/>
    </row>
    <row r="62169" s="101" customFormat="1" spans="6:6">
      <c r="F62169" s="2423"/>
    </row>
    <row r="62170" s="101" customFormat="1" spans="6:6">
      <c r="F62170" s="2423"/>
    </row>
    <row r="62171" s="101" customFormat="1" spans="6:6">
      <c r="F62171" s="2423"/>
    </row>
    <row r="62172" s="101" customFormat="1" spans="6:6">
      <c r="F62172" s="2423"/>
    </row>
    <row r="62173" s="101" customFormat="1" spans="6:6">
      <c r="F62173" s="2423"/>
    </row>
    <row r="62174" s="101" customFormat="1" spans="6:6">
      <c r="F62174" s="2423"/>
    </row>
    <row r="62175" s="101" customFormat="1" spans="6:6">
      <c r="F62175" s="2423"/>
    </row>
    <row r="62176" s="101" customFormat="1" spans="6:6">
      <c r="F62176" s="2423"/>
    </row>
    <row r="62177" s="101" customFormat="1" spans="6:6">
      <c r="F62177" s="2423"/>
    </row>
    <row r="62178" s="101" customFormat="1" spans="6:6">
      <c r="F62178" s="2423"/>
    </row>
    <row r="62179" s="101" customFormat="1" spans="6:6">
      <c r="F62179" s="2423"/>
    </row>
    <row r="62180" s="101" customFormat="1" spans="6:6">
      <c r="F62180" s="2423"/>
    </row>
    <row r="62181" s="101" customFormat="1" spans="6:6">
      <c r="F62181" s="2423"/>
    </row>
    <row r="62182" s="101" customFormat="1" spans="6:6">
      <c r="F62182" s="2423"/>
    </row>
    <row r="62183" s="101" customFormat="1" spans="6:6">
      <c r="F62183" s="2423"/>
    </row>
    <row r="62184" s="101" customFormat="1" spans="6:6">
      <c r="F62184" s="2423"/>
    </row>
    <row r="62185" s="101" customFormat="1" spans="6:6">
      <c r="F62185" s="2423"/>
    </row>
    <row r="62186" s="101" customFormat="1" spans="6:6">
      <c r="F62186" s="2423"/>
    </row>
    <row r="62187" s="101" customFormat="1" spans="6:6">
      <c r="F62187" s="2423"/>
    </row>
    <row r="62188" s="101" customFormat="1" spans="6:6">
      <c r="F62188" s="2423"/>
    </row>
    <row r="62189" s="101" customFormat="1" spans="6:6">
      <c r="F62189" s="2423"/>
    </row>
    <row r="62190" s="101" customFormat="1" spans="6:6">
      <c r="F62190" s="2423"/>
    </row>
    <row r="62191" s="101" customFormat="1" spans="6:6">
      <c r="F62191" s="2423"/>
    </row>
    <row r="62192" s="101" customFormat="1" spans="6:6">
      <c r="F62192" s="2423"/>
    </row>
    <row r="62193" s="101" customFormat="1" spans="6:6">
      <c r="F62193" s="2423"/>
    </row>
    <row r="62194" s="101" customFormat="1" spans="6:6">
      <c r="F62194" s="2423"/>
    </row>
    <row r="62195" s="101" customFormat="1" spans="6:6">
      <c r="F62195" s="2423"/>
    </row>
    <row r="62196" s="101" customFormat="1" spans="6:6">
      <c r="F62196" s="2423"/>
    </row>
    <row r="62197" s="101" customFormat="1" spans="6:6">
      <c r="F62197" s="2423"/>
    </row>
    <row r="62198" s="101" customFormat="1" spans="6:6">
      <c r="F62198" s="2423"/>
    </row>
    <row r="62199" s="101" customFormat="1" spans="6:6">
      <c r="F62199" s="2423"/>
    </row>
    <row r="62200" s="101" customFormat="1" spans="6:6">
      <c r="F62200" s="2423"/>
    </row>
    <row r="62201" s="101" customFormat="1" spans="6:6">
      <c r="F62201" s="2423"/>
    </row>
    <row r="62202" s="101" customFormat="1" spans="6:6">
      <c r="F62202" s="2423"/>
    </row>
    <row r="62203" s="101" customFormat="1" spans="6:6">
      <c r="F62203" s="2423"/>
    </row>
    <row r="62204" s="101" customFormat="1" spans="6:6">
      <c r="F62204" s="2423"/>
    </row>
    <row r="62205" s="101" customFormat="1" spans="6:6">
      <c r="F62205" s="2423"/>
    </row>
    <row r="62206" s="101" customFormat="1" spans="6:6">
      <c r="F62206" s="2423"/>
    </row>
    <row r="62207" s="101" customFormat="1" spans="6:6">
      <c r="F62207" s="2423"/>
    </row>
    <row r="62208" s="101" customFormat="1" spans="6:6">
      <c r="F62208" s="2423"/>
    </row>
    <row r="62209" s="101" customFormat="1" spans="6:6">
      <c r="F62209" s="2423"/>
    </row>
    <row r="62210" s="101" customFormat="1" spans="6:6">
      <c r="F62210" s="2423"/>
    </row>
    <row r="62211" s="101" customFormat="1" spans="6:6">
      <c r="F62211" s="2423"/>
    </row>
    <row r="62212" s="101" customFormat="1" spans="6:6">
      <c r="F62212" s="2423"/>
    </row>
    <row r="62213" s="101" customFormat="1" spans="6:6">
      <c r="F62213" s="2423"/>
    </row>
    <row r="62214" s="101" customFormat="1" spans="6:6">
      <c r="F62214" s="2423"/>
    </row>
    <row r="62215" s="101" customFormat="1" spans="6:6">
      <c r="F62215" s="2423"/>
    </row>
    <row r="62216" s="101" customFormat="1" spans="6:6">
      <c r="F62216" s="2423"/>
    </row>
    <row r="62217" s="101" customFormat="1" spans="6:6">
      <c r="F62217" s="2423"/>
    </row>
    <row r="62218" s="101" customFormat="1" spans="6:6">
      <c r="F62218" s="2423"/>
    </row>
    <row r="62219" s="101" customFormat="1" spans="6:6">
      <c r="F62219" s="2423"/>
    </row>
    <row r="62220" s="101" customFormat="1" spans="6:6">
      <c r="F62220" s="2423"/>
    </row>
    <row r="62221" s="101" customFormat="1" spans="6:6">
      <c r="F62221" s="2423"/>
    </row>
    <row r="62222" s="101" customFormat="1" spans="6:6">
      <c r="F62222" s="2423"/>
    </row>
    <row r="62223" s="101" customFormat="1" spans="6:6">
      <c r="F62223" s="2423"/>
    </row>
    <row r="62224" s="101" customFormat="1" spans="6:6">
      <c r="F62224" s="2423"/>
    </row>
    <row r="62225" s="101" customFormat="1" spans="6:6">
      <c r="F62225" s="2423"/>
    </row>
    <row r="62226" s="101" customFormat="1" spans="6:6">
      <c r="F62226" s="2423"/>
    </row>
    <row r="62227" s="101" customFormat="1" spans="6:6">
      <c r="F62227" s="2423"/>
    </row>
    <row r="62228" s="101" customFormat="1" spans="6:6">
      <c r="F62228" s="2423"/>
    </row>
    <row r="62229" s="101" customFormat="1" spans="6:6">
      <c r="F62229" s="2423"/>
    </row>
    <row r="62230" s="101" customFormat="1" spans="6:6">
      <c r="F62230" s="2423"/>
    </row>
    <row r="62231" s="101" customFormat="1" spans="6:6">
      <c r="F62231" s="2423"/>
    </row>
    <row r="62232" s="101" customFormat="1" spans="6:6">
      <c r="F62232" s="2423"/>
    </row>
    <row r="62233" s="101" customFormat="1" spans="6:6">
      <c r="F62233" s="2423"/>
    </row>
    <row r="62234" s="101" customFormat="1" spans="6:6">
      <c r="F62234" s="2423"/>
    </row>
    <row r="62235" s="101" customFormat="1" spans="6:6">
      <c r="F62235" s="2423"/>
    </row>
    <row r="62236" s="101" customFormat="1" spans="6:6">
      <c r="F62236" s="2423"/>
    </row>
    <row r="62237" s="101" customFormat="1" spans="6:6">
      <c r="F62237" s="2423"/>
    </row>
    <row r="62238" s="101" customFormat="1" spans="6:6">
      <c r="F62238" s="2423"/>
    </row>
    <row r="62239" s="101" customFormat="1" spans="6:6">
      <c r="F62239" s="2423"/>
    </row>
    <row r="62240" s="101" customFormat="1" spans="6:6">
      <c r="F62240" s="2423"/>
    </row>
    <row r="62241" s="101" customFormat="1" spans="6:6">
      <c r="F62241" s="2423"/>
    </row>
    <row r="62242" s="101" customFormat="1" spans="6:6">
      <c r="F62242" s="2423"/>
    </row>
    <row r="62243" s="101" customFormat="1" spans="6:6">
      <c r="F62243" s="2423"/>
    </row>
    <row r="62244" s="101" customFormat="1" spans="6:6">
      <c r="F62244" s="2423"/>
    </row>
    <row r="62245" s="101" customFormat="1" spans="6:6">
      <c r="F62245" s="2423"/>
    </row>
    <row r="62246" s="101" customFormat="1" spans="6:6">
      <c r="F62246" s="2423"/>
    </row>
    <row r="62247" s="101" customFormat="1" spans="6:6">
      <c r="F62247" s="2423"/>
    </row>
    <row r="62248" s="101" customFormat="1" spans="6:6">
      <c r="F62248" s="2423"/>
    </row>
    <row r="62249" s="101" customFormat="1" spans="6:6">
      <c r="F62249" s="2423"/>
    </row>
    <row r="62250" s="101" customFormat="1" spans="6:6">
      <c r="F62250" s="2423"/>
    </row>
    <row r="62251" s="101" customFormat="1" spans="6:6">
      <c r="F62251" s="2423"/>
    </row>
    <row r="62252" s="101" customFormat="1" spans="6:6">
      <c r="F62252" s="2423"/>
    </row>
    <row r="62253" s="101" customFormat="1" spans="6:6">
      <c r="F62253" s="2423"/>
    </row>
    <row r="62254" s="101" customFormat="1" spans="6:6">
      <c r="F62254" s="2423"/>
    </row>
    <row r="62255" s="101" customFormat="1" spans="6:6">
      <c r="F62255" s="2423"/>
    </row>
    <row r="62256" s="101" customFormat="1" spans="6:6">
      <c r="F62256" s="2423"/>
    </row>
    <row r="62257" s="101" customFormat="1" spans="6:6">
      <c r="F62257" s="2423"/>
    </row>
    <row r="62258" s="101" customFormat="1" spans="6:6">
      <c r="F62258" s="2423"/>
    </row>
    <row r="62259" s="101" customFormat="1" spans="6:6">
      <c r="F62259" s="2423"/>
    </row>
    <row r="62260" s="101" customFormat="1" spans="6:6">
      <c r="F62260" s="2423"/>
    </row>
    <row r="62261" s="101" customFormat="1" spans="6:6">
      <c r="F62261" s="2423"/>
    </row>
    <row r="62262" s="101" customFormat="1" spans="6:6">
      <c r="F62262" s="2423"/>
    </row>
    <row r="62263" s="101" customFormat="1" spans="6:6">
      <c r="F62263" s="2423"/>
    </row>
    <row r="62264" s="101" customFormat="1" spans="6:6">
      <c r="F62264" s="2423"/>
    </row>
    <row r="62265" s="101" customFormat="1" spans="6:6">
      <c r="F62265" s="2423"/>
    </row>
    <row r="62266" s="101" customFormat="1" spans="6:6">
      <c r="F62266" s="2423"/>
    </row>
    <row r="62267" s="101" customFormat="1" spans="6:6">
      <c r="F62267" s="2423"/>
    </row>
    <row r="62268" s="101" customFormat="1" spans="6:6">
      <c r="F62268" s="2423"/>
    </row>
    <row r="62269" s="101" customFormat="1" spans="6:6">
      <c r="F62269" s="2423"/>
    </row>
    <row r="62270" s="101" customFormat="1" spans="6:6">
      <c r="F62270" s="2423"/>
    </row>
    <row r="62271" s="101" customFormat="1" spans="6:6">
      <c r="F62271" s="2423"/>
    </row>
    <row r="62272" s="101" customFormat="1" spans="6:6">
      <c r="F62272" s="2423"/>
    </row>
    <row r="62273" s="101" customFormat="1" spans="6:6">
      <c r="F62273" s="2423"/>
    </row>
    <row r="62274" s="101" customFormat="1" spans="6:6">
      <c r="F62274" s="2423"/>
    </row>
    <row r="62275" s="101" customFormat="1" spans="6:6">
      <c r="F62275" s="2423"/>
    </row>
    <row r="62276" s="101" customFormat="1" spans="6:6">
      <c r="F62276" s="2423"/>
    </row>
    <row r="62277" s="101" customFormat="1" spans="6:6">
      <c r="F62277" s="2423"/>
    </row>
    <row r="62278" s="101" customFormat="1" spans="6:6">
      <c r="F62278" s="2423"/>
    </row>
    <row r="62279" s="101" customFormat="1" spans="6:6">
      <c r="F62279" s="2423"/>
    </row>
    <row r="62280" s="101" customFormat="1" spans="6:6">
      <c r="F62280" s="2423"/>
    </row>
    <row r="62281" s="101" customFormat="1" spans="6:6">
      <c r="F62281" s="2423"/>
    </row>
    <row r="62282" s="101" customFormat="1" spans="6:6">
      <c r="F62282" s="2423"/>
    </row>
    <row r="62283" s="101" customFormat="1" spans="6:6">
      <c r="F62283" s="2423"/>
    </row>
    <row r="62284" s="101" customFormat="1" spans="6:6">
      <c r="F62284" s="2423"/>
    </row>
    <row r="62285" s="101" customFormat="1" spans="6:6">
      <c r="F62285" s="2423"/>
    </row>
    <row r="62286" s="101" customFormat="1" spans="6:6">
      <c r="F62286" s="2423"/>
    </row>
    <row r="62287" s="101" customFormat="1" spans="6:6">
      <c r="F62287" s="2423"/>
    </row>
    <row r="62288" s="101" customFormat="1" spans="6:6">
      <c r="F62288" s="2423"/>
    </row>
    <row r="62289" s="101" customFormat="1" spans="6:6">
      <c r="F62289" s="2423"/>
    </row>
    <row r="62290" s="101" customFormat="1" spans="6:6">
      <c r="F62290" s="2423"/>
    </row>
    <row r="62291" s="101" customFormat="1" spans="6:6">
      <c r="F62291" s="2423"/>
    </row>
    <row r="62292" s="101" customFormat="1" spans="6:6">
      <c r="F62292" s="2423"/>
    </row>
    <row r="62293" s="101" customFormat="1" spans="6:6">
      <c r="F62293" s="2423"/>
    </row>
    <row r="62294" s="101" customFormat="1" spans="6:6">
      <c r="F62294" s="2423"/>
    </row>
    <row r="62295" s="101" customFormat="1" spans="6:6">
      <c r="F62295" s="2423"/>
    </row>
    <row r="62296" s="101" customFormat="1" spans="6:6">
      <c r="F62296" s="2423"/>
    </row>
    <row r="62297" s="101" customFormat="1" spans="6:6">
      <c r="F62297" s="2423"/>
    </row>
    <row r="62298" s="101" customFormat="1" spans="6:6">
      <c r="F62298" s="2423"/>
    </row>
    <row r="62299" s="101" customFormat="1" spans="6:6">
      <c r="F62299" s="2423"/>
    </row>
    <row r="62300" s="101" customFormat="1" spans="6:6">
      <c r="F62300" s="2423"/>
    </row>
    <row r="62301" s="101" customFormat="1" spans="6:6">
      <c r="F62301" s="2423"/>
    </row>
    <row r="62302" s="101" customFormat="1" spans="6:6">
      <c r="F62302" s="2423"/>
    </row>
    <row r="62303" s="101" customFormat="1" spans="6:6">
      <c r="F62303" s="2423"/>
    </row>
    <row r="62304" s="101" customFormat="1" spans="6:6">
      <c r="F62304" s="2423"/>
    </row>
    <row r="62305" s="101" customFormat="1" spans="6:6">
      <c r="F62305" s="2423"/>
    </row>
    <row r="62306" s="101" customFormat="1" spans="6:6">
      <c r="F62306" s="2423"/>
    </row>
    <row r="62307" s="101" customFormat="1" spans="6:6">
      <c r="F62307" s="2423"/>
    </row>
    <row r="62308" s="101" customFormat="1" spans="6:6">
      <c r="F62308" s="2423"/>
    </row>
    <row r="62309" s="101" customFormat="1" spans="6:6">
      <c r="F62309" s="2423"/>
    </row>
    <row r="62310" s="101" customFormat="1" spans="6:6">
      <c r="F62310" s="2423"/>
    </row>
    <row r="62311" s="101" customFormat="1" spans="6:6">
      <c r="F62311" s="2423"/>
    </row>
    <row r="62312" s="101" customFormat="1" spans="6:6">
      <c r="F62312" s="2423"/>
    </row>
    <row r="62313" s="101" customFormat="1" spans="6:6">
      <c r="F62313" s="2423"/>
    </row>
    <row r="62314" s="101" customFormat="1" spans="6:6">
      <c r="F62314" s="2423"/>
    </row>
    <row r="62315" s="101" customFormat="1" spans="6:6">
      <c r="F62315" s="2423"/>
    </row>
    <row r="62316" s="101" customFormat="1" spans="6:6">
      <c r="F62316" s="2423"/>
    </row>
    <row r="62317" s="101" customFormat="1" spans="6:6">
      <c r="F62317" s="2423"/>
    </row>
    <row r="62318" s="101" customFormat="1" spans="6:6">
      <c r="F62318" s="2423"/>
    </row>
    <row r="62319" s="101" customFormat="1" spans="6:6">
      <c r="F62319" s="2423"/>
    </row>
    <row r="62320" s="101" customFormat="1" spans="6:6">
      <c r="F62320" s="2423"/>
    </row>
    <row r="62321" s="101" customFormat="1" spans="6:6">
      <c r="F62321" s="2423"/>
    </row>
    <row r="62322" s="101" customFormat="1" spans="6:6">
      <c r="F62322" s="2423"/>
    </row>
    <row r="62323" s="101" customFormat="1" spans="6:6">
      <c r="F62323" s="2423"/>
    </row>
    <row r="62324" s="101" customFormat="1" spans="6:6">
      <c r="F62324" s="2423"/>
    </row>
    <row r="62325" s="101" customFormat="1" spans="6:6">
      <c r="F62325" s="2423"/>
    </row>
    <row r="62326" s="101" customFormat="1" spans="6:6">
      <c r="F62326" s="2423"/>
    </row>
    <row r="62327" s="101" customFormat="1" spans="6:6">
      <c r="F62327" s="2423"/>
    </row>
    <row r="62328" s="101" customFormat="1" spans="6:6">
      <c r="F62328" s="2423"/>
    </row>
    <row r="62329" s="101" customFormat="1" spans="6:6">
      <c r="F62329" s="2423"/>
    </row>
    <row r="62330" s="101" customFormat="1" spans="6:6">
      <c r="F62330" s="2423"/>
    </row>
    <row r="62331" s="101" customFormat="1" spans="6:6">
      <c r="F62331" s="2423"/>
    </row>
    <row r="62332" s="101" customFormat="1" spans="6:6">
      <c r="F62332" s="2423"/>
    </row>
    <row r="62333" s="101" customFormat="1" spans="6:6">
      <c r="F62333" s="2423"/>
    </row>
    <row r="62334" s="101" customFormat="1" spans="6:6">
      <c r="F62334" s="2423"/>
    </row>
    <row r="62335" s="101" customFormat="1" spans="6:6">
      <c r="F62335" s="2423"/>
    </row>
    <row r="62336" s="101" customFormat="1" spans="6:6">
      <c r="F62336" s="2423"/>
    </row>
    <row r="62337" s="101" customFormat="1" spans="6:6">
      <c r="F62337" s="2423"/>
    </row>
    <row r="62338" s="101" customFormat="1" spans="6:6">
      <c r="F62338" s="2423"/>
    </row>
    <row r="62339" s="101" customFormat="1" spans="6:6">
      <c r="F62339" s="2423"/>
    </row>
    <row r="62340" s="101" customFormat="1" spans="6:6">
      <c r="F62340" s="2423"/>
    </row>
    <row r="62341" s="101" customFormat="1" spans="6:6">
      <c r="F62341" s="2423"/>
    </row>
    <row r="62342" s="101" customFormat="1" spans="6:6">
      <c r="F62342" s="2423"/>
    </row>
    <row r="62343" s="101" customFormat="1" spans="6:6">
      <c r="F62343" s="2423"/>
    </row>
    <row r="62344" s="101" customFormat="1" spans="6:6">
      <c r="F62344" s="2423"/>
    </row>
    <row r="62345" s="101" customFormat="1" spans="6:6">
      <c r="F62345" s="2423"/>
    </row>
    <row r="62346" s="101" customFormat="1" spans="6:6">
      <c r="F62346" s="2423"/>
    </row>
    <row r="62347" s="101" customFormat="1" spans="6:6">
      <c r="F62347" s="2423"/>
    </row>
    <row r="62348" s="101" customFormat="1" spans="6:6">
      <c r="F62348" s="2423"/>
    </row>
    <row r="62349" s="101" customFormat="1" spans="6:6">
      <c r="F62349" s="2423"/>
    </row>
    <row r="62350" s="101" customFormat="1" spans="6:6">
      <c r="F62350" s="2423"/>
    </row>
    <row r="62351" s="101" customFormat="1" spans="6:6">
      <c r="F62351" s="2423"/>
    </row>
    <row r="62352" s="101" customFormat="1" spans="6:6">
      <c r="F62352" s="2423"/>
    </row>
    <row r="62353" s="101" customFormat="1" spans="6:6">
      <c r="F62353" s="2423"/>
    </row>
    <row r="62354" s="101" customFormat="1" spans="6:6">
      <c r="F62354" s="2423"/>
    </row>
    <row r="62355" s="101" customFormat="1" spans="6:6">
      <c r="F62355" s="2423"/>
    </row>
    <row r="62356" s="101" customFormat="1" spans="6:6">
      <c r="F62356" s="2423"/>
    </row>
    <row r="62357" s="101" customFormat="1" spans="6:6">
      <c r="F62357" s="2423"/>
    </row>
    <row r="62358" s="101" customFormat="1" spans="6:6">
      <c r="F62358" s="2423"/>
    </row>
    <row r="62359" s="101" customFormat="1" spans="6:6">
      <c r="F62359" s="2423"/>
    </row>
    <row r="62360" s="101" customFormat="1" spans="6:6">
      <c r="F62360" s="2423"/>
    </row>
    <row r="62361" s="101" customFormat="1" spans="6:6">
      <c r="F62361" s="2423"/>
    </row>
    <row r="62362" s="101" customFormat="1" spans="6:6">
      <c r="F62362" s="2423"/>
    </row>
    <row r="62363" s="101" customFormat="1" spans="6:6">
      <c r="F62363" s="2423"/>
    </row>
    <row r="62364" s="101" customFormat="1" spans="6:6">
      <c r="F62364" s="2423"/>
    </row>
    <row r="62365" s="101" customFormat="1" spans="6:6">
      <c r="F62365" s="2423"/>
    </row>
    <row r="62366" s="101" customFormat="1" spans="6:6">
      <c r="F62366" s="2423"/>
    </row>
    <row r="62367" s="101" customFormat="1" spans="6:6">
      <c r="F62367" s="2423"/>
    </row>
    <row r="62368" s="101" customFormat="1" spans="6:6">
      <c r="F62368" s="2423"/>
    </row>
    <row r="62369" s="101" customFormat="1" spans="6:6">
      <c r="F62369" s="2423"/>
    </row>
    <row r="62370" s="101" customFormat="1" spans="6:6">
      <c r="F62370" s="2423"/>
    </row>
    <row r="62371" s="101" customFormat="1" spans="6:6">
      <c r="F62371" s="2423"/>
    </row>
    <row r="62372" s="101" customFormat="1" spans="6:6">
      <c r="F62372" s="2423"/>
    </row>
    <row r="62373" s="101" customFormat="1" spans="6:6">
      <c r="F62373" s="2423"/>
    </row>
    <row r="62374" s="101" customFormat="1" spans="6:6">
      <c r="F62374" s="2423"/>
    </row>
    <row r="62375" s="101" customFormat="1" spans="6:6">
      <c r="F62375" s="2423"/>
    </row>
    <row r="62376" s="101" customFormat="1" spans="6:6">
      <c r="F62376" s="2423"/>
    </row>
    <row r="62377" s="101" customFormat="1" spans="6:6">
      <c r="F62377" s="2423"/>
    </row>
    <row r="62378" s="101" customFormat="1" spans="6:6">
      <c r="F62378" s="2423"/>
    </row>
    <row r="62379" s="101" customFormat="1" spans="6:6">
      <c r="F62379" s="2423"/>
    </row>
    <row r="62380" s="101" customFormat="1" spans="6:6">
      <c r="F62380" s="2423"/>
    </row>
    <row r="62381" s="101" customFormat="1" spans="6:6">
      <c r="F62381" s="2423"/>
    </row>
    <row r="62382" s="101" customFormat="1" spans="6:6">
      <c r="F62382" s="2423"/>
    </row>
    <row r="62383" s="101" customFormat="1" spans="6:6">
      <c r="F62383" s="2423"/>
    </row>
    <row r="62384" s="101" customFormat="1" spans="6:6">
      <c r="F62384" s="2423"/>
    </row>
    <row r="62385" s="101" customFormat="1" spans="6:6">
      <c r="F62385" s="2423"/>
    </row>
    <row r="62386" s="101" customFormat="1" spans="6:6">
      <c r="F62386" s="2423"/>
    </row>
    <row r="62387" s="101" customFormat="1" spans="6:6">
      <c r="F62387" s="2423"/>
    </row>
    <row r="62388" s="101" customFormat="1" spans="6:6">
      <c r="F62388" s="2423"/>
    </row>
    <row r="62389" s="101" customFormat="1" spans="6:6">
      <c r="F62389" s="2423"/>
    </row>
    <row r="62390" s="101" customFormat="1" spans="6:6">
      <c r="F62390" s="2423"/>
    </row>
    <row r="62391" s="101" customFormat="1" spans="6:6">
      <c r="F62391" s="2423"/>
    </row>
    <row r="62392" s="101" customFormat="1" spans="6:6">
      <c r="F62392" s="2423"/>
    </row>
    <row r="62393" s="101" customFormat="1" spans="6:6">
      <c r="F62393" s="2423"/>
    </row>
    <row r="62394" s="101" customFormat="1" spans="6:6">
      <c r="F62394" s="2423"/>
    </row>
    <row r="62395" s="101" customFormat="1" spans="6:6">
      <c r="F62395" s="2423"/>
    </row>
    <row r="62396" s="101" customFormat="1" spans="6:6">
      <c r="F62396" s="2423"/>
    </row>
    <row r="62397" s="101" customFormat="1" spans="6:6">
      <c r="F62397" s="2423"/>
    </row>
    <row r="62398" s="101" customFormat="1" spans="6:6">
      <c r="F62398" s="2423"/>
    </row>
    <row r="62399" s="101" customFormat="1" spans="6:6">
      <c r="F62399" s="2423"/>
    </row>
    <row r="62400" s="101" customFormat="1" spans="6:6">
      <c r="F62400" s="2423"/>
    </row>
    <row r="62401" s="101" customFormat="1" spans="6:6">
      <c r="F62401" s="2423"/>
    </row>
    <row r="62402" s="101" customFormat="1" spans="6:6">
      <c r="F62402" s="2423"/>
    </row>
    <row r="62403" s="101" customFormat="1" spans="6:6">
      <c r="F62403" s="2423"/>
    </row>
    <row r="62404" s="101" customFormat="1" spans="6:6">
      <c r="F62404" s="2423"/>
    </row>
    <row r="62405" s="101" customFormat="1" spans="6:6">
      <c r="F62405" s="2423"/>
    </row>
    <row r="62406" s="101" customFormat="1" spans="6:6">
      <c r="F62406" s="2423"/>
    </row>
    <row r="62407" s="101" customFormat="1" spans="6:6">
      <c r="F62407" s="2423"/>
    </row>
    <row r="62408" s="101" customFormat="1" spans="6:6">
      <c r="F62408" s="2423"/>
    </row>
    <row r="62409" s="101" customFormat="1" spans="6:6">
      <c r="F62409" s="2423"/>
    </row>
    <row r="62410" s="101" customFormat="1" spans="6:6">
      <c r="F62410" s="2423"/>
    </row>
    <row r="62411" s="101" customFormat="1" spans="6:6">
      <c r="F62411" s="2423"/>
    </row>
    <row r="62412" s="101" customFormat="1" spans="6:6">
      <c r="F62412" s="2423"/>
    </row>
    <row r="62413" s="101" customFormat="1" spans="6:6">
      <c r="F62413" s="2423"/>
    </row>
    <row r="62414" s="101" customFormat="1" spans="6:6">
      <c r="F62414" s="2423"/>
    </row>
    <row r="62415" s="101" customFormat="1" spans="6:6">
      <c r="F62415" s="2423"/>
    </row>
    <row r="62416" s="101" customFormat="1" spans="6:6">
      <c r="F62416" s="2423"/>
    </row>
    <row r="62417" s="101" customFormat="1" spans="6:6">
      <c r="F62417" s="2423"/>
    </row>
    <row r="62418" s="101" customFormat="1" spans="6:6">
      <c r="F62418" s="2423"/>
    </row>
    <row r="62419" s="101" customFormat="1" spans="6:6">
      <c r="F62419" s="2423"/>
    </row>
    <row r="62420" s="101" customFormat="1" spans="6:6">
      <c r="F62420" s="2423"/>
    </row>
    <row r="62421" s="101" customFormat="1" spans="6:6">
      <c r="F62421" s="2423"/>
    </row>
    <row r="62422" s="101" customFormat="1" spans="6:6">
      <c r="F62422" s="2423"/>
    </row>
    <row r="62423" s="101" customFormat="1" spans="6:6">
      <c r="F62423" s="2423"/>
    </row>
    <row r="62424" s="101" customFormat="1" spans="6:6">
      <c r="F62424" s="2423"/>
    </row>
    <row r="62425" s="101" customFormat="1" spans="6:6">
      <c r="F62425" s="2423"/>
    </row>
    <row r="62426" s="101" customFormat="1" spans="6:6">
      <c r="F62426" s="2423"/>
    </row>
    <row r="62427" s="101" customFormat="1" spans="6:6">
      <c r="F62427" s="2423"/>
    </row>
    <row r="62428" s="101" customFormat="1" spans="6:6">
      <c r="F62428" s="2423"/>
    </row>
    <row r="62429" s="101" customFormat="1" spans="6:6">
      <c r="F62429" s="2423"/>
    </row>
    <row r="62430" s="101" customFormat="1" spans="6:6">
      <c r="F62430" s="2423"/>
    </row>
    <row r="62431" s="101" customFormat="1" spans="6:6">
      <c r="F62431" s="2423"/>
    </row>
    <row r="62432" s="101" customFormat="1" spans="6:6">
      <c r="F62432" s="2423"/>
    </row>
    <row r="62433" s="101" customFormat="1" spans="6:6">
      <c r="F62433" s="2423"/>
    </row>
    <row r="62434" s="101" customFormat="1" spans="6:6">
      <c r="F62434" s="2423"/>
    </row>
    <row r="62435" s="101" customFormat="1" spans="6:6">
      <c r="F62435" s="2423"/>
    </row>
    <row r="62436" s="101" customFormat="1" spans="6:6">
      <c r="F62436" s="2423"/>
    </row>
    <row r="62437" s="101" customFormat="1" spans="6:6">
      <c r="F62437" s="2423"/>
    </row>
    <row r="62438" s="101" customFormat="1" spans="6:6">
      <c r="F62438" s="2423"/>
    </row>
    <row r="62439" s="101" customFormat="1" spans="6:6">
      <c r="F62439" s="2423"/>
    </row>
    <row r="62440" s="101" customFormat="1" spans="6:6">
      <c r="F62440" s="2423"/>
    </row>
    <row r="62441" s="101" customFormat="1" spans="6:6">
      <c r="F62441" s="2423"/>
    </row>
    <row r="62442" s="101" customFormat="1" spans="6:6">
      <c r="F62442" s="2423"/>
    </row>
    <row r="62443" s="101" customFormat="1" spans="6:6">
      <c r="F62443" s="2423"/>
    </row>
    <row r="62444" s="101" customFormat="1" spans="6:6">
      <c r="F62444" s="2423"/>
    </row>
    <row r="62445" s="101" customFormat="1" spans="6:6">
      <c r="F62445" s="2423"/>
    </row>
    <row r="62446" s="101" customFormat="1" spans="6:6">
      <c r="F62446" s="2423"/>
    </row>
    <row r="62447" s="101" customFormat="1" spans="6:6">
      <c r="F62447" s="2423"/>
    </row>
    <row r="62448" s="101" customFormat="1" spans="6:6">
      <c r="F62448" s="2423"/>
    </row>
    <row r="62449" s="101" customFormat="1" spans="6:6">
      <c r="F62449" s="2423"/>
    </row>
    <row r="62450" s="101" customFormat="1" spans="6:6">
      <c r="F62450" s="2423"/>
    </row>
    <row r="62451" s="101" customFormat="1" spans="6:6">
      <c r="F62451" s="2423"/>
    </row>
    <row r="62452" s="101" customFormat="1" spans="6:6">
      <c r="F62452" s="2423"/>
    </row>
    <row r="62453" s="101" customFormat="1" spans="6:6">
      <c r="F62453" s="2423"/>
    </row>
    <row r="62454" s="101" customFormat="1" spans="6:6">
      <c r="F62454" s="2423"/>
    </row>
    <row r="62455" s="101" customFormat="1" spans="6:6">
      <c r="F62455" s="2423"/>
    </row>
    <row r="62456" s="101" customFormat="1" spans="6:6">
      <c r="F62456" s="2423"/>
    </row>
    <row r="62457" s="101" customFormat="1" spans="6:6">
      <c r="F62457" s="2423"/>
    </row>
    <row r="62458" s="101" customFormat="1" spans="6:6">
      <c r="F62458" s="2423"/>
    </row>
    <row r="62459" s="101" customFormat="1" spans="6:6">
      <c r="F62459" s="2423"/>
    </row>
    <row r="62460" s="101" customFormat="1" spans="6:6">
      <c r="F62460" s="2423"/>
    </row>
    <row r="62461" s="101" customFormat="1" spans="6:6">
      <c r="F62461" s="2423"/>
    </row>
    <row r="62462" s="101" customFormat="1" spans="6:6">
      <c r="F62462" s="2423"/>
    </row>
    <row r="62463" s="101" customFormat="1" spans="6:6">
      <c r="F62463" s="2423"/>
    </row>
    <row r="62464" s="101" customFormat="1" spans="6:6">
      <c r="F62464" s="2423"/>
    </row>
    <row r="62465" s="101" customFormat="1" spans="6:6">
      <c r="F62465" s="2423"/>
    </row>
    <row r="62466" s="101" customFormat="1" spans="6:6">
      <c r="F62466" s="2423"/>
    </row>
    <row r="62467" s="101" customFormat="1" spans="6:6">
      <c r="F62467" s="2423"/>
    </row>
    <row r="62468" s="101" customFormat="1" spans="6:6">
      <c r="F62468" s="2423"/>
    </row>
    <row r="62469" s="101" customFormat="1" spans="6:6">
      <c r="F62469" s="2423"/>
    </row>
    <row r="62470" s="101" customFormat="1" spans="6:6">
      <c r="F62470" s="2423"/>
    </row>
    <row r="62471" s="101" customFormat="1" spans="6:6">
      <c r="F62471" s="2423"/>
    </row>
    <row r="62472" s="101" customFormat="1" spans="6:6">
      <c r="F62472" s="2423"/>
    </row>
    <row r="62473" s="101" customFormat="1" spans="6:6">
      <c r="F62473" s="2423"/>
    </row>
    <row r="62474" s="101" customFormat="1" spans="6:6">
      <c r="F62474" s="2423"/>
    </row>
    <row r="62475" s="101" customFormat="1" spans="6:6">
      <c r="F62475" s="2423"/>
    </row>
    <row r="62476" s="101" customFormat="1" spans="6:6">
      <c r="F62476" s="2423"/>
    </row>
    <row r="62477" s="101" customFormat="1" spans="6:6">
      <c r="F62477" s="2423"/>
    </row>
    <row r="62478" s="101" customFormat="1" spans="6:6">
      <c r="F62478" s="2423"/>
    </row>
    <row r="62479" s="101" customFormat="1" spans="6:6">
      <c r="F62479" s="2423"/>
    </row>
    <row r="62480" s="101" customFormat="1" spans="6:6">
      <c r="F62480" s="2423"/>
    </row>
    <row r="62481" s="101" customFormat="1" spans="6:6">
      <c r="F62481" s="2423"/>
    </row>
    <row r="62482" s="101" customFormat="1" spans="6:6">
      <c r="F62482" s="2423"/>
    </row>
    <row r="62483" s="101" customFormat="1" spans="6:6">
      <c r="F62483" s="2423"/>
    </row>
    <row r="62484" s="101" customFormat="1" spans="6:6">
      <c r="F62484" s="2423"/>
    </row>
    <row r="62485" s="101" customFormat="1" spans="6:6">
      <c r="F62485" s="2423"/>
    </row>
    <row r="62486" s="101" customFormat="1" spans="6:6">
      <c r="F62486" s="2423"/>
    </row>
    <row r="62487" s="101" customFormat="1" spans="6:6">
      <c r="F62487" s="2423"/>
    </row>
    <row r="62488" s="101" customFormat="1" spans="6:6">
      <c r="F62488" s="2423"/>
    </row>
    <row r="62489" s="101" customFormat="1" spans="6:6">
      <c r="F62489" s="2423"/>
    </row>
    <row r="62490" s="101" customFormat="1" spans="6:6">
      <c r="F62490" s="2423"/>
    </row>
    <row r="62491" s="101" customFormat="1" spans="6:6">
      <c r="F62491" s="2423"/>
    </row>
    <row r="62492" s="101" customFormat="1" spans="6:6">
      <c r="F62492" s="2423"/>
    </row>
    <row r="62493" s="101" customFormat="1" spans="6:6">
      <c r="F62493" s="2423"/>
    </row>
    <row r="62494" s="101" customFormat="1" spans="6:6">
      <c r="F62494" s="2423"/>
    </row>
    <row r="62495" s="101" customFormat="1" spans="6:6">
      <c r="F62495" s="2423"/>
    </row>
    <row r="62496" s="101" customFormat="1" spans="6:6">
      <c r="F62496" s="2423"/>
    </row>
    <row r="62497" s="101" customFormat="1" spans="6:6">
      <c r="F62497" s="2423"/>
    </row>
    <row r="62498" s="101" customFormat="1" spans="6:6">
      <c r="F62498" s="2423"/>
    </row>
    <row r="62499" s="101" customFormat="1" spans="6:6">
      <c r="F62499" s="2423"/>
    </row>
    <row r="62500" s="101" customFormat="1" spans="6:6">
      <c r="F62500" s="2423"/>
    </row>
    <row r="62501" s="101" customFormat="1" spans="6:6">
      <c r="F62501" s="2423"/>
    </row>
    <row r="62502" s="101" customFormat="1" spans="6:6">
      <c r="F62502" s="2423"/>
    </row>
    <row r="62503" s="101" customFormat="1" spans="6:6">
      <c r="F62503" s="2423"/>
    </row>
    <row r="62504" s="101" customFormat="1" spans="6:6">
      <c r="F62504" s="2423"/>
    </row>
    <row r="62505" s="101" customFormat="1" spans="6:6">
      <c r="F62505" s="2423"/>
    </row>
    <row r="62506" s="101" customFormat="1" spans="6:6">
      <c r="F62506" s="2423"/>
    </row>
    <row r="62507" s="101" customFormat="1" spans="6:6">
      <c r="F62507" s="2423"/>
    </row>
    <row r="62508" s="101" customFormat="1" spans="6:6">
      <c r="F62508" s="2423"/>
    </row>
    <row r="62509" s="101" customFormat="1" spans="6:6">
      <c r="F62509" s="2423"/>
    </row>
    <row r="62510" s="101" customFormat="1" spans="6:6">
      <c r="F62510" s="2423"/>
    </row>
    <row r="62511" s="101" customFormat="1" spans="6:6">
      <c r="F62511" s="2423"/>
    </row>
    <row r="62512" s="101" customFormat="1" spans="6:6">
      <c r="F62512" s="2423"/>
    </row>
    <row r="62513" s="101" customFormat="1" spans="6:6">
      <c r="F62513" s="2423"/>
    </row>
    <row r="62514" s="101" customFormat="1" spans="6:6">
      <c r="F62514" s="2423"/>
    </row>
    <row r="62515" s="101" customFormat="1" spans="6:6">
      <c r="F62515" s="2423"/>
    </row>
    <row r="62516" s="101" customFormat="1" spans="6:6">
      <c r="F62516" s="2423"/>
    </row>
    <row r="62517" s="101" customFormat="1" spans="6:6">
      <c r="F62517" s="2423"/>
    </row>
    <row r="62518" s="101" customFormat="1" spans="6:6">
      <c r="F62518" s="2423"/>
    </row>
    <row r="62519" s="101" customFormat="1" spans="6:6">
      <c r="F62519" s="2423"/>
    </row>
    <row r="62520" s="101" customFormat="1" spans="6:6">
      <c r="F62520" s="2423"/>
    </row>
    <row r="62521" s="101" customFormat="1" spans="6:6">
      <c r="F62521" s="2423"/>
    </row>
    <row r="62522" s="101" customFormat="1" spans="6:6">
      <c r="F62522" s="2423"/>
    </row>
    <row r="62523" s="101" customFormat="1" spans="6:6">
      <c r="F62523" s="2423"/>
    </row>
    <row r="62524" s="101" customFormat="1" spans="6:6">
      <c r="F62524" s="2423"/>
    </row>
    <row r="62525" s="101" customFormat="1" spans="6:6">
      <c r="F62525" s="2423"/>
    </row>
    <row r="62526" s="101" customFormat="1" spans="6:6">
      <c r="F62526" s="2423"/>
    </row>
    <row r="62527" s="101" customFormat="1" spans="6:6">
      <c r="F62527" s="2423"/>
    </row>
    <row r="62528" s="101" customFormat="1" spans="6:6">
      <c r="F62528" s="2423"/>
    </row>
    <row r="62529" s="101" customFormat="1" spans="6:6">
      <c r="F62529" s="2423"/>
    </row>
    <row r="62530" s="101" customFormat="1" spans="6:6">
      <c r="F62530" s="2423"/>
    </row>
    <row r="62531" s="101" customFormat="1" spans="6:6">
      <c r="F62531" s="2423"/>
    </row>
    <row r="62532" s="101" customFormat="1" spans="6:6">
      <c r="F62532" s="2423"/>
    </row>
    <row r="62533" s="101" customFormat="1" spans="6:6">
      <c r="F62533" s="2423"/>
    </row>
    <row r="62534" s="101" customFormat="1" spans="6:6">
      <c r="F62534" s="2423"/>
    </row>
    <row r="62535" s="101" customFormat="1" spans="6:6">
      <c r="F62535" s="2423"/>
    </row>
    <row r="62536" s="101" customFormat="1" spans="6:6">
      <c r="F62536" s="2423"/>
    </row>
    <row r="62537" s="101" customFormat="1" spans="6:6">
      <c r="F62537" s="2423"/>
    </row>
    <row r="62538" s="101" customFormat="1" spans="6:6">
      <c r="F62538" s="2423"/>
    </row>
    <row r="62539" s="101" customFormat="1" spans="6:6">
      <c r="F62539" s="2423"/>
    </row>
    <row r="62540" s="101" customFormat="1" spans="6:6">
      <c r="F62540" s="2423"/>
    </row>
    <row r="62541" s="101" customFormat="1" spans="6:6">
      <c r="F62541" s="2423"/>
    </row>
    <row r="62542" s="101" customFormat="1" spans="6:6">
      <c r="F62542" s="2423"/>
    </row>
    <row r="62543" s="101" customFormat="1" spans="6:6">
      <c r="F62543" s="2423"/>
    </row>
    <row r="62544" s="101" customFormat="1" spans="6:6">
      <c r="F62544" s="2423"/>
    </row>
    <row r="62545" s="101" customFormat="1" spans="6:6">
      <c r="F62545" s="2423"/>
    </row>
    <row r="62546" s="101" customFormat="1" spans="6:6">
      <c r="F62546" s="2423"/>
    </row>
    <row r="62547" s="101" customFormat="1" spans="6:6">
      <c r="F62547" s="2423"/>
    </row>
    <row r="62548" s="101" customFormat="1" spans="6:6">
      <c r="F62548" s="2423"/>
    </row>
    <row r="62549" s="101" customFormat="1" spans="6:6">
      <c r="F62549" s="2423"/>
    </row>
    <row r="62550" s="101" customFormat="1" spans="6:6">
      <c r="F62550" s="2423"/>
    </row>
    <row r="62551" s="101" customFormat="1" spans="6:6">
      <c r="F62551" s="2423"/>
    </row>
    <row r="62552" s="101" customFormat="1" spans="6:6">
      <c r="F62552" s="2423"/>
    </row>
    <row r="62553" s="101" customFormat="1" spans="6:6">
      <c r="F62553" s="2423"/>
    </row>
    <row r="62554" s="101" customFormat="1" spans="6:6">
      <c r="F62554" s="2423"/>
    </row>
    <row r="62555" s="101" customFormat="1" spans="6:6">
      <c r="F62555" s="2423"/>
    </row>
    <row r="62556" s="101" customFormat="1" spans="6:6">
      <c r="F62556" s="2423"/>
    </row>
    <row r="62557" s="101" customFormat="1" spans="6:6">
      <c r="F62557" s="2423"/>
    </row>
    <row r="62558" s="101" customFormat="1" spans="6:6">
      <c r="F62558" s="2423"/>
    </row>
    <row r="62559" s="101" customFormat="1" spans="6:6">
      <c r="F62559" s="2423"/>
    </row>
    <row r="62560" s="101" customFormat="1" spans="6:6">
      <c r="F62560" s="2423"/>
    </row>
    <row r="62561" s="101" customFormat="1" spans="6:6">
      <c r="F62561" s="2423"/>
    </row>
    <row r="62562" s="101" customFormat="1" spans="6:6">
      <c r="F62562" s="2423"/>
    </row>
    <row r="62563" s="101" customFormat="1" spans="6:6">
      <c r="F62563" s="2423"/>
    </row>
    <row r="62564" s="101" customFormat="1" spans="6:6">
      <c r="F62564" s="2423"/>
    </row>
    <row r="62565" s="101" customFormat="1" spans="6:6">
      <c r="F62565" s="2423"/>
    </row>
    <row r="62566" s="101" customFormat="1" spans="6:6">
      <c r="F62566" s="2423"/>
    </row>
    <row r="62567" s="101" customFormat="1" spans="6:6">
      <c r="F62567" s="2423"/>
    </row>
    <row r="62568" s="101" customFormat="1" spans="6:6">
      <c r="F62568" s="2423"/>
    </row>
    <row r="62569" s="101" customFormat="1" spans="6:6">
      <c r="F62569" s="2423"/>
    </row>
    <row r="62570" s="101" customFormat="1" spans="6:6">
      <c r="F62570" s="2423"/>
    </row>
    <row r="62571" s="101" customFormat="1" spans="6:6">
      <c r="F62571" s="2423"/>
    </row>
    <row r="62572" s="101" customFormat="1" spans="6:6">
      <c r="F62572" s="2423"/>
    </row>
    <row r="62573" s="101" customFormat="1" spans="6:6">
      <c r="F62573" s="2423"/>
    </row>
    <row r="62574" s="101" customFormat="1" spans="6:6">
      <c r="F62574" s="2423"/>
    </row>
    <row r="62575" s="101" customFormat="1" spans="6:6">
      <c r="F62575" s="2423"/>
    </row>
    <row r="62576" s="101" customFormat="1" spans="6:6">
      <c r="F62576" s="2423"/>
    </row>
    <row r="62577" s="101" customFormat="1" spans="6:6">
      <c r="F62577" s="2423"/>
    </row>
    <row r="62578" s="101" customFormat="1" spans="6:6">
      <c r="F62578" s="2423"/>
    </row>
    <row r="62579" s="101" customFormat="1" spans="6:6">
      <c r="F62579" s="2423"/>
    </row>
    <row r="62580" s="101" customFormat="1" spans="6:6">
      <c r="F62580" s="2423"/>
    </row>
    <row r="62581" s="101" customFormat="1" spans="6:6">
      <c r="F62581" s="2423"/>
    </row>
    <row r="62582" s="101" customFormat="1" spans="6:6">
      <c r="F62582" s="2423"/>
    </row>
    <row r="62583" s="101" customFormat="1" spans="6:6">
      <c r="F62583" s="2423"/>
    </row>
    <row r="62584" s="101" customFormat="1" spans="6:6">
      <c r="F62584" s="2423"/>
    </row>
    <row r="62585" s="101" customFormat="1" spans="6:6">
      <c r="F62585" s="2423"/>
    </row>
    <row r="62586" s="101" customFormat="1" spans="6:6">
      <c r="F62586" s="2423"/>
    </row>
    <row r="62587" s="101" customFormat="1" spans="6:6">
      <c r="F62587" s="2423"/>
    </row>
    <row r="62588" s="101" customFormat="1" spans="6:6">
      <c r="F62588" s="2423"/>
    </row>
    <row r="62589" s="101" customFormat="1" spans="6:6">
      <c r="F62589" s="2423"/>
    </row>
    <row r="62590" s="101" customFormat="1" spans="6:6">
      <c r="F62590" s="2423"/>
    </row>
    <row r="62591" s="101" customFormat="1" spans="6:6">
      <c r="F62591" s="2423"/>
    </row>
    <row r="62592" s="101" customFormat="1" spans="6:6">
      <c r="F62592" s="2423"/>
    </row>
    <row r="62593" s="101" customFormat="1" spans="6:6">
      <c r="F62593" s="2423"/>
    </row>
    <row r="62594" s="101" customFormat="1" spans="6:6">
      <c r="F62594" s="2423"/>
    </row>
    <row r="62595" s="101" customFormat="1" spans="6:6">
      <c r="F62595" s="2423"/>
    </row>
    <row r="62596" s="101" customFormat="1" spans="6:6">
      <c r="F62596" s="2423"/>
    </row>
    <row r="62597" s="101" customFormat="1" spans="6:6">
      <c r="F62597" s="2423"/>
    </row>
    <row r="62598" s="101" customFormat="1" spans="6:6">
      <c r="F62598" s="2423"/>
    </row>
    <row r="62599" s="101" customFormat="1" spans="6:6">
      <c r="F62599" s="2423"/>
    </row>
    <row r="62600" s="101" customFormat="1" spans="6:6">
      <c r="F62600" s="2423"/>
    </row>
    <row r="62601" s="101" customFormat="1" spans="6:6">
      <c r="F62601" s="2423"/>
    </row>
    <row r="62602" s="101" customFormat="1" spans="6:6">
      <c r="F62602" s="2423"/>
    </row>
    <row r="62603" s="101" customFormat="1" spans="6:6">
      <c r="F62603" s="2423"/>
    </row>
    <row r="62604" s="101" customFormat="1" spans="6:6">
      <c r="F62604" s="2423"/>
    </row>
    <row r="62605" s="101" customFormat="1" spans="6:6">
      <c r="F62605" s="2423"/>
    </row>
    <row r="62606" s="101" customFormat="1" spans="6:6">
      <c r="F62606" s="2423"/>
    </row>
    <row r="62607" s="101" customFormat="1" spans="6:6">
      <c r="F62607" s="2423"/>
    </row>
    <row r="62608" s="101" customFormat="1" spans="6:6">
      <c r="F62608" s="2423"/>
    </row>
    <row r="62609" s="101" customFormat="1" spans="6:6">
      <c r="F62609" s="2423"/>
    </row>
    <row r="62610" s="101" customFormat="1" spans="6:6">
      <c r="F62610" s="2423"/>
    </row>
    <row r="62611" s="101" customFormat="1" spans="6:6">
      <c r="F62611" s="2423"/>
    </row>
    <row r="62612" s="101" customFormat="1" spans="6:6">
      <c r="F62612" s="2423"/>
    </row>
    <row r="62613" s="101" customFormat="1" spans="6:6">
      <c r="F62613" s="2423"/>
    </row>
    <row r="62614" s="101" customFormat="1" spans="6:6">
      <c r="F62614" s="2423"/>
    </row>
    <row r="62615" s="101" customFormat="1" spans="6:6">
      <c r="F62615" s="2423"/>
    </row>
    <row r="62616" s="101" customFormat="1" spans="6:6">
      <c r="F62616" s="2423"/>
    </row>
    <row r="62617" s="101" customFormat="1" spans="6:6">
      <c r="F62617" s="2423"/>
    </row>
    <row r="62618" s="101" customFormat="1" spans="6:6">
      <c r="F62618" s="2423"/>
    </row>
    <row r="62619" s="101" customFormat="1" spans="6:6">
      <c r="F62619" s="2423"/>
    </row>
    <row r="62620" s="101" customFormat="1" spans="6:6">
      <c r="F62620" s="2423"/>
    </row>
    <row r="62621" s="101" customFormat="1" spans="6:6">
      <c r="F62621" s="2423"/>
    </row>
    <row r="62622" s="101" customFormat="1" spans="6:6">
      <c r="F62622" s="2423"/>
    </row>
    <row r="62623" s="101" customFormat="1" spans="6:6">
      <c r="F62623" s="2423"/>
    </row>
    <row r="62624" s="101" customFormat="1" spans="6:6">
      <c r="F62624" s="2423"/>
    </row>
    <row r="62625" s="101" customFormat="1" spans="6:6">
      <c r="F62625" s="2423"/>
    </row>
    <row r="62626" s="101" customFormat="1" spans="6:6">
      <c r="F62626" s="2423"/>
    </row>
    <row r="62627" s="101" customFormat="1" spans="6:6">
      <c r="F62627" s="2423"/>
    </row>
    <row r="62628" s="101" customFormat="1" spans="6:6">
      <c r="F62628" s="2423"/>
    </row>
    <row r="62629" s="101" customFormat="1" spans="6:6">
      <c r="F62629" s="2423"/>
    </row>
    <row r="62630" s="101" customFormat="1" spans="6:6">
      <c r="F62630" s="2423"/>
    </row>
    <row r="62631" s="101" customFormat="1" spans="6:6">
      <c r="F62631" s="2423"/>
    </row>
    <row r="62632" s="101" customFormat="1" spans="6:6">
      <c r="F62632" s="2423"/>
    </row>
    <row r="62633" s="101" customFormat="1" spans="6:6">
      <c r="F62633" s="2423"/>
    </row>
    <row r="62634" s="101" customFormat="1" spans="6:6">
      <c r="F62634" s="2423"/>
    </row>
    <row r="62635" s="101" customFormat="1" spans="6:6">
      <c r="F62635" s="2423"/>
    </row>
    <row r="62636" s="101" customFormat="1" spans="6:6">
      <c r="F62636" s="2423"/>
    </row>
    <row r="62637" s="101" customFormat="1" spans="6:6">
      <c r="F62637" s="2423"/>
    </row>
    <row r="62638" s="101" customFormat="1" spans="6:6">
      <c r="F62638" s="2423"/>
    </row>
    <row r="62639" s="101" customFormat="1" spans="6:6">
      <c r="F62639" s="2423"/>
    </row>
    <row r="62640" s="101" customFormat="1" spans="6:6">
      <c r="F62640" s="2423"/>
    </row>
    <row r="62641" s="101" customFormat="1" spans="6:6">
      <c r="F62641" s="2423"/>
    </row>
    <row r="62642" s="101" customFormat="1" spans="6:6">
      <c r="F62642" s="2423"/>
    </row>
    <row r="62643" s="101" customFormat="1" spans="6:6">
      <c r="F62643" s="2423"/>
    </row>
    <row r="62644" s="101" customFormat="1" spans="6:6">
      <c r="F62644" s="2423"/>
    </row>
    <row r="62645" s="101" customFormat="1" spans="6:6">
      <c r="F62645" s="2423"/>
    </row>
    <row r="62646" s="101" customFormat="1" spans="6:6">
      <c r="F62646" s="2423"/>
    </row>
    <row r="62647" s="101" customFormat="1" spans="6:6">
      <c r="F62647" s="2423"/>
    </row>
    <row r="62648" s="101" customFormat="1" spans="6:6">
      <c r="F62648" s="2423"/>
    </row>
    <row r="62649" s="101" customFormat="1" spans="6:6">
      <c r="F62649" s="2423"/>
    </row>
    <row r="62650" s="101" customFormat="1" spans="6:6">
      <c r="F62650" s="2423"/>
    </row>
    <row r="62651" s="101" customFormat="1" spans="6:6">
      <c r="F62651" s="2423"/>
    </row>
    <row r="62652" s="101" customFormat="1" spans="6:6">
      <c r="F62652" s="2423"/>
    </row>
    <row r="62653" s="101" customFormat="1" spans="6:6">
      <c r="F62653" s="2423"/>
    </row>
    <row r="62654" s="101" customFormat="1" spans="6:6">
      <c r="F62654" s="2423"/>
    </row>
    <row r="62655" s="101" customFormat="1" spans="6:6">
      <c r="F62655" s="2423"/>
    </row>
    <row r="62656" s="101" customFormat="1" spans="6:6">
      <c r="F62656" s="2423"/>
    </row>
    <row r="62657" s="101" customFormat="1" spans="6:6">
      <c r="F62657" s="2423"/>
    </row>
    <row r="62658" s="101" customFormat="1" spans="6:6">
      <c r="F62658" s="2423"/>
    </row>
    <row r="62659" s="101" customFormat="1" spans="6:6">
      <c r="F62659" s="2423"/>
    </row>
    <row r="62660" s="101" customFormat="1" spans="6:6">
      <c r="F62660" s="2423"/>
    </row>
    <row r="62661" s="101" customFormat="1" spans="6:6">
      <c r="F62661" s="2423"/>
    </row>
    <row r="62662" s="101" customFormat="1" spans="6:6">
      <c r="F62662" s="2423"/>
    </row>
    <row r="62663" s="101" customFormat="1" spans="6:6">
      <c r="F62663" s="2423"/>
    </row>
    <row r="62664" s="101" customFormat="1" spans="6:6">
      <c r="F62664" s="2423"/>
    </row>
    <row r="62665" s="101" customFormat="1" spans="6:6">
      <c r="F62665" s="2423"/>
    </row>
    <row r="62666" s="101" customFormat="1" spans="6:6">
      <c r="F62666" s="2423"/>
    </row>
    <row r="62667" s="101" customFormat="1" spans="6:6">
      <c r="F62667" s="2423"/>
    </row>
    <row r="62668" s="101" customFormat="1" spans="6:6">
      <c r="F62668" s="2423"/>
    </row>
    <row r="62669" s="101" customFormat="1" spans="6:6">
      <c r="F62669" s="2423"/>
    </row>
    <row r="62670" s="101" customFormat="1" spans="6:6">
      <c r="F62670" s="2423"/>
    </row>
    <row r="62671" s="101" customFormat="1" spans="6:6">
      <c r="F62671" s="2423"/>
    </row>
    <row r="62672" s="101" customFormat="1" spans="6:6">
      <c r="F62672" s="2423"/>
    </row>
    <row r="62673" s="101" customFormat="1" spans="6:6">
      <c r="F62673" s="2423"/>
    </row>
    <row r="62674" s="101" customFormat="1" spans="6:6">
      <c r="F62674" s="2423"/>
    </row>
    <row r="62675" s="101" customFormat="1" spans="6:6">
      <c r="F62675" s="2423"/>
    </row>
    <row r="62676" s="101" customFormat="1" spans="6:6">
      <c r="F62676" s="2423"/>
    </row>
    <row r="62677" s="101" customFormat="1" spans="6:6">
      <c r="F62677" s="2423"/>
    </row>
    <row r="62678" s="101" customFormat="1" spans="6:6">
      <c r="F62678" s="2423"/>
    </row>
    <row r="62679" s="101" customFormat="1" spans="6:6">
      <c r="F62679" s="2423"/>
    </row>
    <row r="62680" s="101" customFormat="1" spans="6:6">
      <c r="F62680" s="2423"/>
    </row>
    <row r="62681" s="101" customFormat="1" spans="6:6">
      <c r="F62681" s="2423"/>
    </row>
    <row r="62682" s="101" customFormat="1" spans="6:6">
      <c r="F62682" s="2423"/>
    </row>
    <row r="62683" s="101" customFormat="1" spans="6:6">
      <c r="F62683" s="2423"/>
    </row>
    <row r="62684" s="101" customFormat="1" spans="6:6">
      <c r="F62684" s="2423"/>
    </row>
    <row r="62685" s="101" customFormat="1" spans="6:6">
      <c r="F62685" s="2423"/>
    </row>
    <row r="62686" s="101" customFormat="1" spans="6:6">
      <c r="F62686" s="2423"/>
    </row>
    <row r="62687" s="101" customFormat="1" spans="6:6">
      <c r="F62687" s="2423"/>
    </row>
    <row r="62688" s="101" customFormat="1" spans="6:6">
      <c r="F62688" s="2423"/>
    </row>
    <row r="62689" s="101" customFormat="1" spans="6:6">
      <c r="F62689" s="2423"/>
    </row>
    <row r="62690" s="101" customFormat="1" spans="6:6">
      <c r="F62690" s="2423"/>
    </row>
    <row r="62691" s="101" customFormat="1" spans="6:6">
      <c r="F62691" s="2423"/>
    </row>
    <row r="62692" s="101" customFormat="1" spans="6:6">
      <c r="F62692" s="2423"/>
    </row>
    <row r="62693" s="101" customFormat="1" spans="6:6">
      <c r="F62693" s="2423"/>
    </row>
    <row r="62694" s="101" customFormat="1" spans="6:6">
      <c r="F62694" s="2423"/>
    </row>
    <row r="62695" s="101" customFormat="1" spans="6:6">
      <c r="F62695" s="2423"/>
    </row>
    <row r="62696" s="101" customFormat="1" spans="6:6">
      <c r="F62696" s="2423"/>
    </row>
    <row r="62697" s="101" customFormat="1" spans="6:6">
      <c r="F62697" s="2423"/>
    </row>
    <row r="62698" s="101" customFormat="1" spans="6:6">
      <c r="F62698" s="2423"/>
    </row>
    <row r="62699" s="101" customFormat="1" spans="6:6">
      <c r="F62699" s="2423"/>
    </row>
    <row r="62700" s="101" customFormat="1" spans="6:6">
      <c r="F62700" s="2423"/>
    </row>
    <row r="62701" s="101" customFormat="1" spans="6:6">
      <c r="F62701" s="2423"/>
    </row>
    <row r="62702" s="101" customFormat="1" spans="6:6">
      <c r="F62702" s="2423"/>
    </row>
    <row r="62703" s="101" customFormat="1" spans="6:6">
      <c r="F62703" s="2423"/>
    </row>
    <row r="62704" s="101" customFormat="1" spans="6:6">
      <c r="F62704" s="2423"/>
    </row>
    <row r="62705" s="101" customFormat="1" spans="6:6">
      <c r="F62705" s="2423"/>
    </row>
    <row r="62706" s="101" customFormat="1" spans="6:6">
      <c r="F62706" s="2423"/>
    </row>
    <row r="62707" s="101" customFormat="1" spans="6:6">
      <c r="F62707" s="2423"/>
    </row>
    <row r="62708" s="101" customFormat="1" spans="6:6">
      <c r="F62708" s="2423"/>
    </row>
    <row r="62709" s="101" customFormat="1" spans="6:6">
      <c r="F62709" s="2423"/>
    </row>
    <row r="62710" s="101" customFormat="1" spans="6:6">
      <c r="F62710" s="2423"/>
    </row>
    <row r="62711" s="101" customFormat="1" spans="6:6">
      <c r="F62711" s="2423"/>
    </row>
    <row r="62712" s="101" customFormat="1" spans="6:6">
      <c r="F62712" s="2423"/>
    </row>
    <row r="62713" s="101" customFormat="1" spans="6:6">
      <c r="F62713" s="2423"/>
    </row>
    <row r="62714" s="101" customFormat="1" spans="6:6">
      <c r="F62714" s="2423"/>
    </row>
    <row r="62715" s="101" customFormat="1" spans="6:6">
      <c r="F62715" s="2423"/>
    </row>
    <row r="62716" s="101" customFormat="1" spans="6:6">
      <c r="F62716" s="2423"/>
    </row>
    <row r="62717" s="101" customFormat="1" spans="6:6">
      <c r="F62717" s="2423"/>
    </row>
    <row r="62718" s="101" customFormat="1" spans="6:6">
      <c r="F62718" s="2423"/>
    </row>
    <row r="62719" s="101" customFormat="1" spans="6:6">
      <c r="F62719" s="2423"/>
    </row>
    <row r="62720" s="101" customFormat="1" spans="6:6">
      <c r="F62720" s="2423"/>
    </row>
    <row r="62721" s="101" customFormat="1" spans="6:6">
      <c r="F62721" s="2423"/>
    </row>
    <row r="62722" s="101" customFormat="1" spans="6:6">
      <c r="F62722" s="2423"/>
    </row>
    <row r="62723" s="101" customFormat="1" spans="6:6">
      <c r="F62723" s="2423"/>
    </row>
    <row r="62724" s="101" customFormat="1" spans="6:6">
      <c r="F62724" s="2423"/>
    </row>
    <row r="62725" s="101" customFormat="1" spans="6:6">
      <c r="F62725" s="2423"/>
    </row>
    <row r="62726" s="101" customFormat="1" spans="6:6">
      <c r="F62726" s="2423"/>
    </row>
    <row r="62727" s="101" customFormat="1" spans="6:6">
      <c r="F62727" s="2423"/>
    </row>
    <row r="62728" s="101" customFormat="1" spans="6:6">
      <c r="F62728" s="2423"/>
    </row>
    <row r="62729" s="101" customFormat="1" spans="6:6">
      <c r="F62729" s="2423"/>
    </row>
    <row r="62730" s="101" customFormat="1" spans="6:6">
      <c r="F62730" s="2423"/>
    </row>
    <row r="62731" s="101" customFormat="1" spans="6:6">
      <c r="F62731" s="2423"/>
    </row>
    <row r="62732" s="101" customFormat="1" spans="6:6">
      <c r="F62732" s="2423"/>
    </row>
    <row r="62733" s="101" customFormat="1" spans="6:6">
      <c r="F62733" s="2423"/>
    </row>
    <row r="62734" s="101" customFormat="1" spans="6:6">
      <c r="F62734" s="2423"/>
    </row>
    <row r="62735" s="101" customFormat="1" spans="6:6">
      <c r="F62735" s="2423"/>
    </row>
    <row r="62736" s="101" customFormat="1" spans="6:6">
      <c r="F62736" s="2423"/>
    </row>
    <row r="62737" s="101" customFormat="1" spans="6:6">
      <c r="F62737" s="2423"/>
    </row>
    <row r="62738" s="101" customFormat="1" spans="6:6">
      <c r="F62738" s="2423"/>
    </row>
    <row r="62739" s="101" customFormat="1" spans="6:6">
      <c r="F62739" s="2423"/>
    </row>
    <row r="62740" s="101" customFormat="1" spans="6:6">
      <c r="F62740" s="2423"/>
    </row>
    <row r="62741" s="101" customFormat="1" spans="6:6">
      <c r="F62741" s="2423"/>
    </row>
    <row r="62742" s="101" customFormat="1" spans="6:6">
      <c r="F62742" s="2423"/>
    </row>
    <row r="62743" s="101" customFormat="1" spans="6:6">
      <c r="F62743" s="2423"/>
    </row>
    <row r="62744" s="101" customFormat="1" spans="6:6">
      <c r="F62744" s="2423"/>
    </row>
    <row r="62745" s="101" customFormat="1" spans="6:6">
      <c r="F62745" s="2423"/>
    </row>
    <row r="62746" s="101" customFormat="1" spans="6:6">
      <c r="F62746" s="2423"/>
    </row>
    <row r="62747" s="101" customFormat="1" spans="6:6">
      <c r="F62747" s="2423"/>
    </row>
    <row r="62748" s="101" customFormat="1" spans="6:6">
      <c r="F62748" s="2423"/>
    </row>
    <row r="62749" s="101" customFormat="1" spans="6:6">
      <c r="F62749" s="2423"/>
    </row>
    <row r="62750" s="101" customFormat="1" spans="6:6">
      <c r="F62750" s="2423"/>
    </row>
    <row r="62751" s="101" customFormat="1" spans="6:6">
      <c r="F62751" s="2423"/>
    </row>
    <row r="62752" s="101" customFormat="1" spans="6:6">
      <c r="F62752" s="2423"/>
    </row>
    <row r="62753" s="101" customFormat="1" spans="6:6">
      <c r="F62753" s="2423"/>
    </row>
    <row r="62754" s="101" customFormat="1" spans="6:6">
      <c r="F62754" s="2423"/>
    </row>
    <row r="62755" s="101" customFormat="1" spans="6:6">
      <c r="F62755" s="2423"/>
    </row>
    <row r="62756" s="101" customFormat="1" spans="6:6">
      <c r="F62756" s="2423"/>
    </row>
    <row r="62757" s="101" customFormat="1" spans="6:6">
      <c r="F62757" s="2423"/>
    </row>
    <row r="62758" s="101" customFormat="1" spans="6:6">
      <c r="F62758" s="2423"/>
    </row>
    <row r="62759" s="101" customFormat="1" spans="6:6">
      <c r="F62759" s="2423"/>
    </row>
    <row r="62760" s="101" customFormat="1" spans="6:6">
      <c r="F62760" s="2423"/>
    </row>
    <row r="62761" s="101" customFormat="1" spans="6:6">
      <c r="F62761" s="2423"/>
    </row>
    <row r="62762" s="101" customFormat="1" spans="6:6">
      <c r="F62762" s="2423"/>
    </row>
    <row r="62763" s="101" customFormat="1" spans="6:6">
      <c r="F62763" s="2423"/>
    </row>
    <row r="62764" s="101" customFormat="1" spans="6:6">
      <c r="F62764" s="2423"/>
    </row>
    <row r="62765" s="101" customFormat="1" spans="6:6">
      <c r="F62765" s="2423"/>
    </row>
    <row r="62766" s="101" customFormat="1" spans="6:6">
      <c r="F62766" s="2423"/>
    </row>
    <row r="62767" s="101" customFormat="1" spans="6:6">
      <c r="F62767" s="2423"/>
    </row>
    <row r="62768" s="101" customFormat="1" spans="6:6">
      <c r="F62768" s="2423"/>
    </row>
    <row r="62769" s="101" customFormat="1" spans="6:6">
      <c r="F62769" s="2423"/>
    </row>
    <row r="62770" s="101" customFormat="1" spans="6:6">
      <c r="F62770" s="2423"/>
    </row>
    <row r="62771" s="101" customFormat="1" spans="6:6">
      <c r="F62771" s="2423"/>
    </row>
    <row r="62772" s="101" customFormat="1" spans="6:6">
      <c r="F62772" s="2423"/>
    </row>
    <row r="62773" s="101" customFormat="1" spans="6:6">
      <c r="F62773" s="2423"/>
    </row>
    <row r="62774" s="101" customFormat="1" spans="6:6">
      <c r="F62774" s="2423"/>
    </row>
    <row r="62775" s="101" customFormat="1" spans="6:6">
      <c r="F62775" s="2423"/>
    </row>
    <row r="62776" s="101" customFormat="1" spans="6:6">
      <c r="F62776" s="2423"/>
    </row>
    <row r="62777" s="101" customFormat="1" spans="6:6">
      <c r="F62777" s="2423"/>
    </row>
    <row r="62778" s="101" customFormat="1" spans="6:6">
      <c r="F62778" s="2423"/>
    </row>
    <row r="62779" s="101" customFormat="1" spans="6:6">
      <c r="F62779" s="2423"/>
    </row>
    <row r="62780" s="101" customFormat="1" spans="6:6">
      <c r="F62780" s="2423"/>
    </row>
    <row r="62781" s="101" customFormat="1" spans="6:6">
      <c r="F62781" s="2423"/>
    </row>
    <row r="62782" s="101" customFormat="1" spans="6:6">
      <c r="F62782" s="2423"/>
    </row>
    <row r="62783" s="101" customFormat="1" spans="6:6">
      <c r="F62783" s="2423"/>
    </row>
    <row r="62784" s="101" customFormat="1" spans="6:6">
      <c r="F62784" s="2423"/>
    </row>
    <row r="62785" s="101" customFormat="1" spans="6:6">
      <c r="F62785" s="2423"/>
    </row>
    <row r="62786" s="101" customFormat="1" spans="6:6">
      <c r="F62786" s="2423"/>
    </row>
    <row r="62787" s="101" customFormat="1" spans="6:6">
      <c r="F62787" s="2423"/>
    </row>
    <row r="62788" s="101" customFormat="1" spans="6:6">
      <c r="F62788" s="2423"/>
    </row>
    <row r="62789" s="101" customFormat="1" spans="6:6">
      <c r="F62789" s="2423"/>
    </row>
    <row r="62790" s="101" customFormat="1" spans="6:6">
      <c r="F62790" s="2423"/>
    </row>
    <row r="62791" s="101" customFormat="1" spans="6:6">
      <c r="F62791" s="2423"/>
    </row>
    <row r="62792" s="101" customFormat="1" spans="6:6">
      <c r="F62792" s="2423"/>
    </row>
    <row r="62793" s="101" customFormat="1" spans="6:6">
      <c r="F62793" s="2423"/>
    </row>
    <row r="62794" s="101" customFormat="1" spans="6:6">
      <c r="F62794" s="2423"/>
    </row>
    <row r="62795" s="101" customFormat="1" spans="6:6">
      <c r="F62795" s="2423"/>
    </row>
    <row r="62796" s="101" customFormat="1" spans="6:6">
      <c r="F62796" s="2423"/>
    </row>
    <row r="62797" s="101" customFormat="1" spans="6:6">
      <c r="F62797" s="2423"/>
    </row>
    <row r="62798" s="101" customFormat="1" spans="6:6">
      <c r="F62798" s="2423"/>
    </row>
    <row r="62799" s="101" customFormat="1" spans="6:6">
      <c r="F62799" s="2423"/>
    </row>
    <row r="62800" s="101" customFormat="1" spans="6:6">
      <c r="F62800" s="2423"/>
    </row>
    <row r="62801" s="101" customFormat="1" spans="6:6">
      <c r="F62801" s="2423"/>
    </row>
    <row r="62802" s="101" customFormat="1" spans="6:6">
      <c r="F62802" s="2423"/>
    </row>
    <row r="62803" s="101" customFormat="1" spans="6:6">
      <c r="F62803" s="2423"/>
    </row>
    <row r="62804" s="101" customFormat="1" spans="6:6">
      <c r="F62804" s="2423"/>
    </row>
    <row r="62805" s="101" customFormat="1" spans="6:6">
      <c r="F62805" s="2423"/>
    </row>
    <row r="62806" s="101" customFormat="1" spans="6:6">
      <c r="F62806" s="2423"/>
    </row>
    <row r="62807" s="101" customFormat="1" spans="6:6">
      <c r="F62807" s="2423"/>
    </row>
    <row r="62808" s="101" customFormat="1" spans="6:6">
      <c r="F62808" s="2423"/>
    </row>
    <row r="62809" s="101" customFormat="1" spans="6:6">
      <c r="F62809" s="2423"/>
    </row>
    <row r="62810" s="101" customFormat="1" spans="6:6">
      <c r="F62810" s="2423"/>
    </row>
    <row r="62811" s="101" customFormat="1" spans="6:6">
      <c r="F62811" s="2423"/>
    </row>
    <row r="62812" s="101" customFormat="1" spans="6:6">
      <c r="F62812" s="2423"/>
    </row>
    <row r="62813" s="101" customFormat="1" spans="6:6">
      <c r="F62813" s="2423"/>
    </row>
    <row r="62814" s="101" customFormat="1" spans="6:6">
      <c r="F62814" s="2423"/>
    </row>
    <row r="62815" s="101" customFormat="1" spans="6:6">
      <c r="F62815" s="2423"/>
    </row>
    <row r="62816" s="101" customFormat="1" spans="6:6">
      <c r="F62816" s="2423"/>
    </row>
    <row r="62817" s="101" customFormat="1" spans="6:6">
      <c r="F62817" s="2423"/>
    </row>
    <row r="62818" s="101" customFormat="1" spans="6:6">
      <c r="F62818" s="2423"/>
    </row>
    <row r="62819" s="101" customFormat="1" spans="6:6">
      <c r="F62819" s="2423"/>
    </row>
    <row r="62820" s="101" customFormat="1" spans="6:6">
      <c r="F62820" s="2423"/>
    </row>
    <row r="62821" s="101" customFormat="1" spans="6:6">
      <c r="F62821" s="2423"/>
    </row>
    <row r="62822" s="101" customFormat="1" spans="6:6">
      <c r="F62822" s="2423"/>
    </row>
    <row r="62823" s="101" customFormat="1" spans="6:6">
      <c r="F62823" s="2423"/>
    </row>
    <row r="62824" s="101" customFormat="1" spans="6:6">
      <c r="F62824" s="2423"/>
    </row>
    <row r="62825" s="101" customFormat="1" spans="6:6">
      <c r="F62825" s="2423"/>
    </row>
    <row r="62826" s="101" customFormat="1" spans="6:6">
      <c r="F62826" s="2423"/>
    </row>
    <row r="62827" s="101" customFormat="1" spans="6:6">
      <c r="F62827" s="2423"/>
    </row>
    <row r="62828" s="101" customFormat="1" spans="6:6">
      <c r="F62828" s="2423"/>
    </row>
    <row r="62829" s="101" customFormat="1" spans="6:6">
      <c r="F62829" s="2423"/>
    </row>
    <row r="62830" s="101" customFormat="1" spans="6:6">
      <c r="F62830" s="2423"/>
    </row>
    <row r="62831" s="101" customFormat="1" spans="6:6">
      <c r="F62831" s="2423"/>
    </row>
    <row r="62832" s="101" customFormat="1" spans="6:6">
      <c r="F62832" s="2423"/>
    </row>
    <row r="62833" s="101" customFormat="1" spans="6:6">
      <c r="F62833" s="2423"/>
    </row>
    <row r="62834" s="101" customFormat="1" spans="6:6">
      <c r="F62834" s="2423"/>
    </row>
    <row r="62835" s="101" customFormat="1" spans="6:6">
      <c r="F62835" s="2423"/>
    </row>
    <row r="62836" s="101" customFormat="1" spans="6:6">
      <c r="F62836" s="2423"/>
    </row>
    <row r="62837" s="101" customFormat="1" spans="6:6">
      <c r="F62837" s="2423"/>
    </row>
    <row r="62838" s="101" customFormat="1" spans="6:6">
      <c r="F62838" s="2423"/>
    </row>
    <row r="62839" s="101" customFormat="1" spans="6:6">
      <c r="F62839" s="2423"/>
    </row>
    <row r="62840" s="101" customFormat="1" spans="6:6">
      <c r="F62840" s="2423"/>
    </row>
    <row r="62841" s="101" customFormat="1" spans="6:6">
      <c r="F62841" s="2423"/>
    </row>
    <row r="62842" s="101" customFormat="1" spans="6:6">
      <c r="F62842" s="2423"/>
    </row>
    <row r="62843" s="101" customFormat="1" spans="6:6">
      <c r="F62843" s="2423"/>
    </row>
    <row r="62844" s="101" customFormat="1" spans="6:6">
      <c r="F62844" s="2423"/>
    </row>
    <row r="62845" s="101" customFormat="1" spans="6:6">
      <c r="F62845" s="2423"/>
    </row>
    <row r="62846" s="101" customFormat="1" spans="6:6">
      <c r="F62846" s="2423"/>
    </row>
    <row r="62847" s="101" customFormat="1" spans="6:6">
      <c r="F62847" s="2423"/>
    </row>
    <row r="62848" s="101" customFormat="1" spans="6:6">
      <c r="F62848" s="2423"/>
    </row>
    <row r="62849" s="101" customFormat="1" spans="6:6">
      <c r="F62849" s="2423"/>
    </row>
    <row r="62850" s="101" customFormat="1" spans="6:6">
      <c r="F62850" s="2423"/>
    </row>
    <row r="62851" s="101" customFormat="1" spans="6:6">
      <c r="F62851" s="2423"/>
    </row>
    <row r="62852" s="101" customFormat="1" spans="6:6">
      <c r="F62852" s="2423"/>
    </row>
    <row r="62853" s="101" customFormat="1" spans="6:6">
      <c r="F62853" s="2423"/>
    </row>
    <row r="62854" s="101" customFormat="1" spans="6:6">
      <c r="F62854" s="2423"/>
    </row>
    <row r="62855" s="101" customFormat="1" spans="6:6">
      <c r="F62855" s="2423"/>
    </row>
    <row r="62856" s="101" customFormat="1" spans="6:6">
      <c r="F62856" s="2423"/>
    </row>
    <row r="62857" s="101" customFormat="1" spans="6:6">
      <c r="F62857" s="2423"/>
    </row>
    <row r="62858" s="101" customFormat="1" spans="6:6">
      <c r="F62858" s="2423"/>
    </row>
    <row r="62859" s="101" customFormat="1" spans="6:6">
      <c r="F62859" s="2423"/>
    </row>
    <row r="62860" s="101" customFormat="1" spans="6:6">
      <c r="F62860" s="2423"/>
    </row>
    <row r="62861" s="101" customFormat="1" spans="6:6">
      <c r="F62861" s="2423"/>
    </row>
    <row r="62862" s="101" customFormat="1" spans="6:6">
      <c r="F62862" s="2423"/>
    </row>
    <row r="62863" s="101" customFormat="1" spans="6:6">
      <c r="F62863" s="2423"/>
    </row>
    <row r="62864" s="101" customFormat="1" spans="6:6">
      <c r="F62864" s="2423"/>
    </row>
    <row r="62865" s="101" customFormat="1" spans="6:6">
      <c r="F62865" s="2423"/>
    </row>
    <row r="62866" s="101" customFormat="1" spans="6:6">
      <c r="F62866" s="2423"/>
    </row>
    <row r="62867" s="101" customFormat="1" spans="6:6">
      <c r="F62867" s="2423"/>
    </row>
    <row r="62868" s="101" customFormat="1" spans="6:6">
      <c r="F62868" s="2423"/>
    </row>
    <row r="62869" s="101" customFormat="1" spans="6:6">
      <c r="F62869" s="2423"/>
    </row>
    <row r="62870" s="101" customFormat="1" spans="6:6">
      <c r="F62870" s="2423"/>
    </row>
    <row r="62871" s="101" customFormat="1" spans="6:6">
      <c r="F62871" s="2423"/>
    </row>
    <row r="62872" s="101" customFormat="1" spans="6:6">
      <c r="F62872" s="2423"/>
    </row>
    <row r="62873" s="101" customFormat="1" spans="6:6">
      <c r="F62873" s="2423"/>
    </row>
    <row r="62874" s="101" customFormat="1" spans="6:6">
      <c r="F62874" s="2423"/>
    </row>
    <row r="62875" s="101" customFormat="1" spans="6:6">
      <c r="F62875" s="2423"/>
    </row>
    <row r="62876" s="101" customFormat="1" spans="6:6">
      <c r="F62876" s="2423"/>
    </row>
    <row r="62877" s="101" customFormat="1" spans="6:6">
      <c r="F62877" s="2423"/>
    </row>
    <row r="62878" s="101" customFormat="1" spans="6:6">
      <c r="F62878" s="2423"/>
    </row>
    <row r="62879" s="101" customFormat="1" spans="6:6">
      <c r="F62879" s="2423"/>
    </row>
    <row r="62880" s="101" customFormat="1" spans="6:6">
      <c r="F62880" s="2423"/>
    </row>
    <row r="62881" s="101" customFormat="1" spans="6:6">
      <c r="F62881" s="2423"/>
    </row>
    <row r="62882" s="101" customFormat="1" spans="6:6">
      <c r="F62882" s="2423"/>
    </row>
    <row r="62883" s="101" customFormat="1" spans="6:6">
      <c r="F62883" s="2423"/>
    </row>
    <row r="62884" s="101" customFormat="1" spans="6:6">
      <c r="F62884" s="2423"/>
    </row>
    <row r="62885" s="101" customFormat="1" spans="6:6">
      <c r="F62885" s="2423"/>
    </row>
    <row r="62886" s="101" customFormat="1" spans="6:6">
      <c r="F62886" s="2423"/>
    </row>
    <row r="62887" s="101" customFormat="1" spans="6:6">
      <c r="F62887" s="2423"/>
    </row>
    <row r="62888" s="101" customFormat="1" spans="6:6">
      <c r="F62888" s="2423"/>
    </row>
    <row r="62889" s="101" customFormat="1" spans="6:6">
      <c r="F62889" s="2423"/>
    </row>
    <row r="62890" s="101" customFormat="1" spans="6:6">
      <c r="F62890" s="2423"/>
    </row>
    <row r="62891" s="101" customFormat="1" spans="6:6">
      <c r="F62891" s="2423"/>
    </row>
    <row r="62892" s="101" customFormat="1" spans="6:6">
      <c r="F62892" s="2423"/>
    </row>
    <row r="62893" s="101" customFormat="1" spans="6:6">
      <c r="F62893" s="2423"/>
    </row>
    <row r="62894" s="101" customFormat="1" spans="6:6">
      <c r="F62894" s="2423"/>
    </row>
    <row r="62895" s="101" customFormat="1" spans="6:6">
      <c r="F62895" s="2423"/>
    </row>
    <row r="62896" s="101" customFormat="1" spans="6:6">
      <c r="F62896" s="2423"/>
    </row>
    <row r="62897" s="101" customFormat="1" spans="6:6">
      <c r="F62897" s="2423"/>
    </row>
    <row r="62898" s="101" customFormat="1" spans="6:6">
      <c r="F62898" s="2423"/>
    </row>
    <row r="62899" s="101" customFormat="1" spans="6:6">
      <c r="F62899" s="2423"/>
    </row>
    <row r="62900" s="101" customFormat="1" spans="6:6">
      <c r="F62900" s="2423"/>
    </row>
    <row r="62901" s="101" customFormat="1" spans="6:6">
      <c r="F62901" s="2423"/>
    </row>
    <row r="62902" s="101" customFormat="1" spans="6:6">
      <c r="F62902" s="2423"/>
    </row>
    <row r="62903" s="101" customFormat="1" spans="6:6">
      <c r="F62903" s="2423"/>
    </row>
    <row r="62904" s="101" customFormat="1" spans="6:6">
      <c r="F62904" s="2423"/>
    </row>
    <row r="62905" s="101" customFormat="1" spans="6:6">
      <c r="F62905" s="2423"/>
    </row>
    <row r="62906" s="101" customFormat="1" spans="6:6">
      <c r="F62906" s="2423"/>
    </row>
    <row r="62907" s="101" customFormat="1" spans="6:6">
      <c r="F62907" s="2423"/>
    </row>
    <row r="62908" s="101" customFormat="1" spans="6:6">
      <c r="F62908" s="2423"/>
    </row>
    <row r="62909" s="101" customFormat="1" spans="6:6">
      <c r="F62909" s="2423"/>
    </row>
    <row r="62910" s="101" customFormat="1" spans="6:6">
      <c r="F62910" s="2423"/>
    </row>
    <row r="62911" s="101" customFormat="1" spans="6:6">
      <c r="F62911" s="2423"/>
    </row>
    <row r="62912" s="101" customFormat="1" spans="6:6">
      <c r="F62912" s="2423"/>
    </row>
    <row r="62913" s="101" customFormat="1" spans="6:6">
      <c r="F62913" s="2423"/>
    </row>
    <row r="62914" s="101" customFormat="1" spans="6:6">
      <c r="F62914" s="2423"/>
    </row>
    <row r="62915" s="101" customFormat="1" spans="6:6">
      <c r="F62915" s="2423"/>
    </row>
    <row r="62916" s="101" customFormat="1" spans="6:6">
      <c r="F62916" s="2423"/>
    </row>
    <row r="62917" s="101" customFormat="1" spans="6:6">
      <c r="F62917" s="2423"/>
    </row>
    <row r="62918" s="101" customFormat="1" spans="6:6">
      <c r="F62918" s="2423"/>
    </row>
    <row r="62919" s="101" customFormat="1" spans="6:6">
      <c r="F62919" s="2423"/>
    </row>
    <row r="62920" s="101" customFormat="1" spans="6:6">
      <c r="F62920" s="2423"/>
    </row>
    <row r="62921" s="101" customFormat="1" spans="6:6">
      <c r="F62921" s="2423"/>
    </row>
    <row r="62922" s="101" customFormat="1" spans="6:6">
      <c r="F62922" s="2423"/>
    </row>
    <row r="62923" s="101" customFormat="1" spans="6:6">
      <c r="F62923" s="2423"/>
    </row>
    <row r="62924" s="101" customFormat="1" spans="6:6">
      <c r="F62924" s="2423"/>
    </row>
    <row r="62925" s="101" customFormat="1" spans="6:6">
      <c r="F62925" s="2423"/>
    </row>
    <row r="62926" s="101" customFormat="1" spans="6:6">
      <c r="F62926" s="2423"/>
    </row>
    <row r="62927" s="101" customFormat="1" spans="6:6">
      <c r="F62927" s="2423"/>
    </row>
    <row r="62928" s="101" customFormat="1" spans="6:6">
      <c r="F62928" s="2423"/>
    </row>
    <row r="62929" s="101" customFormat="1" spans="6:6">
      <c r="F62929" s="2423"/>
    </row>
    <row r="62930" s="101" customFormat="1" spans="6:6">
      <c r="F62930" s="2423"/>
    </row>
    <row r="62931" s="101" customFormat="1" spans="6:6">
      <c r="F62931" s="2423"/>
    </row>
    <row r="62932" s="101" customFormat="1" spans="6:6">
      <c r="F62932" s="2423"/>
    </row>
    <row r="62933" s="101" customFormat="1" spans="6:6">
      <c r="F62933" s="2423"/>
    </row>
    <row r="62934" s="101" customFormat="1" spans="6:6">
      <c r="F62934" s="2423"/>
    </row>
    <row r="62935" s="101" customFormat="1" spans="6:6">
      <c r="F62935" s="2423"/>
    </row>
    <row r="62936" s="101" customFormat="1" spans="6:6">
      <c r="F62936" s="2423"/>
    </row>
    <row r="62937" s="101" customFormat="1" spans="6:6">
      <c r="F62937" s="2423"/>
    </row>
    <row r="62938" s="101" customFormat="1" spans="6:6">
      <c r="F62938" s="2423"/>
    </row>
    <row r="62939" s="101" customFormat="1" spans="6:6">
      <c r="F62939" s="2423"/>
    </row>
    <row r="62940" s="101" customFormat="1" spans="6:6">
      <c r="F62940" s="2423"/>
    </row>
    <row r="62941" s="101" customFormat="1" spans="6:6">
      <c r="F62941" s="2423"/>
    </row>
    <row r="62942" s="101" customFormat="1" spans="6:6">
      <c r="F62942" s="2423"/>
    </row>
    <row r="62943" s="101" customFormat="1" spans="6:6">
      <c r="F62943" s="2423"/>
    </row>
    <row r="62944" s="101" customFormat="1" spans="6:6">
      <c r="F62944" s="2423"/>
    </row>
    <row r="62945" s="101" customFormat="1" spans="6:6">
      <c r="F62945" s="2423"/>
    </row>
    <row r="62946" s="101" customFormat="1" spans="6:6">
      <c r="F62946" s="2423"/>
    </row>
    <row r="62947" s="101" customFormat="1" spans="6:6">
      <c r="F62947" s="2423"/>
    </row>
    <row r="62948" s="101" customFormat="1" spans="6:6">
      <c r="F62948" s="2423"/>
    </row>
    <row r="62949" s="101" customFormat="1" spans="6:6">
      <c r="F62949" s="2423"/>
    </row>
    <row r="62950" s="101" customFormat="1" spans="6:6">
      <c r="F62950" s="2423"/>
    </row>
    <row r="62951" s="101" customFormat="1" spans="6:6">
      <c r="F62951" s="2423"/>
    </row>
    <row r="62952" s="101" customFormat="1" spans="6:6">
      <c r="F62952" s="2423"/>
    </row>
    <row r="62953" s="101" customFormat="1" spans="6:6">
      <c r="F62953" s="2423"/>
    </row>
    <row r="62954" s="101" customFormat="1" spans="6:6">
      <c r="F62954" s="2423"/>
    </row>
    <row r="62955" s="101" customFormat="1" spans="6:6">
      <c r="F62955" s="2423"/>
    </row>
    <row r="62956" s="101" customFormat="1" spans="6:6">
      <c r="F62956" s="2423"/>
    </row>
    <row r="62957" s="101" customFormat="1" spans="6:6">
      <c r="F62957" s="2423"/>
    </row>
    <row r="62958" s="101" customFormat="1" spans="6:6">
      <c r="F62958" s="2423"/>
    </row>
    <row r="62959" s="101" customFormat="1" spans="6:6">
      <c r="F62959" s="2423"/>
    </row>
    <row r="62960" s="101" customFormat="1" spans="6:6">
      <c r="F62960" s="2423"/>
    </row>
    <row r="62961" s="101" customFormat="1" spans="6:6">
      <c r="F62961" s="2423"/>
    </row>
    <row r="62962" s="101" customFormat="1" spans="6:6">
      <c r="F62962" s="2423"/>
    </row>
    <row r="62963" s="101" customFormat="1" spans="6:6">
      <c r="F62963" s="2423"/>
    </row>
    <row r="62964" s="101" customFormat="1" spans="6:6">
      <c r="F62964" s="2423"/>
    </row>
    <row r="62965" s="101" customFormat="1" spans="6:6">
      <c r="F62965" s="2423"/>
    </row>
    <row r="62966" s="101" customFormat="1" spans="6:6">
      <c r="F62966" s="2423"/>
    </row>
    <row r="62967" s="101" customFormat="1" spans="6:6">
      <c r="F62967" s="2423"/>
    </row>
    <row r="62968" s="101" customFormat="1" spans="6:6">
      <c r="F62968" s="2423"/>
    </row>
    <row r="62969" s="101" customFormat="1" spans="6:6">
      <c r="F62969" s="2423"/>
    </row>
    <row r="62970" s="101" customFormat="1" spans="6:6">
      <c r="F62970" s="2423"/>
    </row>
    <row r="62971" s="101" customFormat="1" spans="6:6">
      <c r="F62971" s="2423"/>
    </row>
    <row r="62972" s="101" customFormat="1" spans="6:6">
      <c r="F62972" s="2423"/>
    </row>
    <row r="62973" s="101" customFormat="1" spans="6:6">
      <c r="F62973" s="2423"/>
    </row>
    <row r="62974" s="101" customFormat="1" spans="6:6">
      <c r="F62974" s="2423"/>
    </row>
    <row r="62975" s="101" customFormat="1" spans="6:6">
      <c r="F62975" s="2423"/>
    </row>
    <row r="62976" s="101" customFormat="1" spans="6:6">
      <c r="F62976" s="2423"/>
    </row>
    <row r="62977" s="101" customFormat="1" spans="6:6">
      <c r="F62977" s="2423"/>
    </row>
    <row r="62978" s="101" customFormat="1" spans="6:6">
      <c r="F62978" s="2423"/>
    </row>
    <row r="62979" s="101" customFormat="1" spans="6:6">
      <c r="F62979" s="2423"/>
    </row>
    <row r="62980" s="101" customFormat="1" spans="6:6">
      <c r="F62980" s="2423"/>
    </row>
    <row r="62981" s="101" customFormat="1" spans="6:6">
      <c r="F62981" s="2423"/>
    </row>
    <row r="62982" s="101" customFormat="1" spans="6:6">
      <c r="F62982" s="2423"/>
    </row>
    <row r="62983" s="101" customFormat="1" spans="6:6">
      <c r="F62983" s="2423"/>
    </row>
    <row r="62984" s="101" customFormat="1" spans="6:6">
      <c r="F62984" s="2423"/>
    </row>
    <row r="62985" s="101" customFormat="1" spans="6:6">
      <c r="F62985" s="2423"/>
    </row>
    <row r="62986" s="101" customFormat="1" spans="6:6">
      <c r="F62986" s="2423"/>
    </row>
    <row r="62987" s="101" customFormat="1" spans="6:6">
      <c r="F62987" s="2423"/>
    </row>
    <row r="62988" s="101" customFormat="1" spans="6:6">
      <c r="F62988" s="2423"/>
    </row>
    <row r="62989" s="101" customFormat="1" spans="6:6">
      <c r="F62989" s="2423"/>
    </row>
    <row r="62990" s="101" customFormat="1" spans="6:6">
      <c r="F62990" s="2423"/>
    </row>
    <row r="62991" s="101" customFormat="1" spans="6:6">
      <c r="F62991" s="2423"/>
    </row>
    <row r="62992" s="101" customFormat="1" spans="6:6">
      <c r="F62992" s="2423"/>
    </row>
    <row r="62993" s="101" customFormat="1" spans="6:6">
      <c r="F62993" s="2423"/>
    </row>
    <row r="62994" s="101" customFormat="1" spans="6:6">
      <c r="F62994" s="2423"/>
    </row>
    <row r="62995" s="101" customFormat="1" spans="6:6">
      <c r="F62995" s="2423"/>
    </row>
    <row r="62996" s="101" customFormat="1" spans="6:6">
      <c r="F62996" s="2423"/>
    </row>
    <row r="62997" s="101" customFormat="1" spans="6:6">
      <c r="F62997" s="2423"/>
    </row>
    <row r="62998" s="101" customFormat="1" spans="6:6">
      <c r="F62998" s="2423"/>
    </row>
    <row r="62999" s="101" customFormat="1" spans="6:6">
      <c r="F62999" s="2423"/>
    </row>
    <row r="63000" s="101" customFormat="1" spans="6:6">
      <c r="F63000" s="2423"/>
    </row>
    <row r="63001" s="101" customFormat="1" spans="6:6">
      <c r="F63001" s="2423"/>
    </row>
    <row r="63002" s="101" customFormat="1" spans="6:6">
      <c r="F63002" s="2423"/>
    </row>
    <row r="63003" s="101" customFormat="1" spans="6:6">
      <c r="F63003" s="2423"/>
    </row>
    <row r="63004" s="101" customFormat="1" spans="6:6">
      <c r="F63004" s="2423"/>
    </row>
    <row r="63005" s="101" customFormat="1" spans="6:6">
      <c r="F63005" s="2423"/>
    </row>
    <row r="63006" s="101" customFormat="1" spans="6:6">
      <c r="F63006" s="2423"/>
    </row>
    <row r="63007" s="101" customFormat="1" spans="6:6">
      <c r="F63007" s="2423"/>
    </row>
    <row r="63008" s="101" customFormat="1" spans="6:6">
      <c r="F63008" s="2423"/>
    </row>
    <row r="63009" s="101" customFormat="1" spans="6:6">
      <c r="F63009" s="2423"/>
    </row>
    <row r="63010" s="101" customFormat="1" spans="6:6">
      <c r="F63010" s="2423"/>
    </row>
    <row r="63011" s="101" customFormat="1" spans="6:6">
      <c r="F63011" s="2423"/>
    </row>
    <row r="63012" s="101" customFormat="1" spans="6:6">
      <c r="F63012" s="2423"/>
    </row>
    <row r="63013" s="101" customFormat="1" spans="6:6">
      <c r="F63013" s="2423"/>
    </row>
    <row r="63014" s="101" customFormat="1" spans="6:6">
      <c r="F63014" s="2423"/>
    </row>
    <row r="63015" s="101" customFormat="1" spans="6:6">
      <c r="F63015" s="2423"/>
    </row>
    <row r="63016" s="101" customFormat="1" spans="6:6">
      <c r="F63016" s="2423"/>
    </row>
    <row r="63017" s="101" customFormat="1" spans="6:6">
      <c r="F63017" s="2423"/>
    </row>
    <row r="63018" s="101" customFormat="1" spans="6:6">
      <c r="F63018" s="2423"/>
    </row>
    <row r="63019" s="101" customFormat="1" spans="6:6">
      <c r="F63019" s="2423"/>
    </row>
    <row r="63020" s="101" customFormat="1" spans="6:6">
      <c r="F63020" s="2423"/>
    </row>
    <row r="63021" s="101" customFormat="1" spans="6:6">
      <c r="F63021" s="2423"/>
    </row>
    <row r="63022" s="101" customFormat="1" spans="6:6">
      <c r="F63022" s="2423"/>
    </row>
    <row r="63023" s="101" customFormat="1" spans="6:6">
      <c r="F63023" s="2423"/>
    </row>
    <row r="63024" s="101" customFormat="1" spans="6:6">
      <c r="F63024" s="2423"/>
    </row>
    <row r="63025" s="101" customFormat="1" spans="6:6">
      <c r="F63025" s="2423"/>
    </row>
    <row r="63026" s="101" customFormat="1" spans="6:6">
      <c r="F63026" s="2423"/>
    </row>
    <row r="63027" s="101" customFormat="1" spans="6:6">
      <c r="F63027" s="2423"/>
    </row>
    <row r="63028" s="101" customFormat="1" spans="6:6">
      <c r="F63028" s="2423"/>
    </row>
    <row r="63029" s="101" customFormat="1" spans="6:6">
      <c r="F63029" s="2423"/>
    </row>
    <row r="63030" s="101" customFormat="1" spans="6:6">
      <c r="F63030" s="2423"/>
    </row>
    <row r="63031" s="101" customFormat="1" spans="6:6">
      <c r="F63031" s="2423"/>
    </row>
    <row r="63032" s="101" customFormat="1" spans="6:6">
      <c r="F63032" s="2423"/>
    </row>
    <row r="63033" s="101" customFormat="1" spans="6:6">
      <c r="F63033" s="2423"/>
    </row>
    <row r="63034" s="101" customFormat="1" spans="6:6">
      <c r="F63034" s="2423"/>
    </row>
    <row r="63035" s="101" customFormat="1" spans="6:6">
      <c r="F63035" s="2423"/>
    </row>
    <row r="63036" s="101" customFormat="1" spans="6:6">
      <c r="F63036" s="2423"/>
    </row>
    <row r="63037" s="101" customFormat="1" spans="6:6">
      <c r="F63037" s="2423"/>
    </row>
    <row r="63038" s="101" customFormat="1" spans="6:6">
      <c r="F63038" s="2423"/>
    </row>
    <row r="63039" s="101" customFormat="1" spans="6:6">
      <c r="F63039" s="2423"/>
    </row>
    <row r="63040" s="101" customFormat="1" spans="6:6">
      <c r="F63040" s="2423"/>
    </row>
    <row r="63041" s="101" customFormat="1" spans="6:6">
      <c r="F63041" s="2423"/>
    </row>
    <row r="63042" s="101" customFormat="1" spans="6:6">
      <c r="F63042" s="2423"/>
    </row>
    <row r="63043" s="101" customFormat="1" spans="6:6">
      <c r="F63043" s="2423"/>
    </row>
    <row r="63044" s="101" customFormat="1" spans="6:6">
      <c r="F63044" s="2423"/>
    </row>
    <row r="63045" s="101" customFormat="1" spans="6:6">
      <c r="F63045" s="2423"/>
    </row>
    <row r="63046" s="101" customFormat="1" spans="6:6">
      <c r="F63046" s="2423"/>
    </row>
    <row r="63047" s="101" customFormat="1" spans="6:6">
      <c r="F63047" s="2423"/>
    </row>
    <row r="63048" s="101" customFormat="1" spans="6:6">
      <c r="F63048" s="2423"/>
    </row>
    <row r="63049" s="101" customFormat="1" spans="6:6">
      <c r="F63049" s="2423"/>
    </row>
    <row r="63050" s="101" customFormat="1" spans="6:6">
      <c r="F63050" s="2423"/>
    </row>
    <row r="63051" s="101" customFormat="1" spans="6:6">
      <c r="F63051" s="2423"/>
    </row>
    <row r="63052" s="101" customFormat="1" spans="6:6">
      <c r="F63052" s="2423"/>
    </row>
    <row r="63053" s="101" customFormat="1" spans="6:6">
      <c r="F63053" s="2423"/>
    </row>
    <row r="63054" s="101" customFormat="1" spans="6:6">
      <c r="F63054" s="2423"/>
    </row>
    <row r="63055" s="101" customFormat="1" spans="6:6">
      <c r="F63055" s="2423"/>
    </row>
    <row r="63056" s="101" customFormat="1" spans="6:6">
      <c r="F63056" s="2423"/>
    </row>
    <row r="63057" s="101" customFormat="1" spans="6:6">
      <c r="F63057" s="2423"/>
    </row>
    <row r="63058" s="101" customFormat="1" spans="6:6">
      <c r="F63058" s="2423"/>
    </row>
    <row r="63059" s="101" customFormat="1" spans="6:6">
      <c r="F63059" s="2423"/>
    </row>
    <row r="63060" s="101" customFormat="1" spans="6:6">
      <c r="F63060" s="2423"/>
    </row>
    <row r="63061" s="101" customFormat="1" spans="6:6">
      <c r="F63061" s="2423"/>
    </row>
    <row r="63062" s="101" customFormat="1" spans="6:6">
      <c r="F63062" s="2423"/>
    </row>
    <row r="63063" s="101" customFormat="1" spans="6:6">
      <c r="F63063" s="2423"/>
    </row>
    <row r="63064" s="101" customFormat="1" spans="6:6">
      <c r="F63064" s="2423"/>
    </row>
    <row r="63065" s="101" customFormat="1" spans="6:6">
      <c r="F63065" s="2423"/>
    </row>
    <row r="63066" s="101" customFormat="1" spans="6:6">
      <c r="F63066" s="2423"/>
    </row>
    <row r="63067" s="101" customFormat="1" spans="6:6">
      <c r="F63067" s="2423"/>
    </row>
    <row r="63068" s="101" customFormat="1" spans="6:6">
      <c r="F63068" s="2423"/>
    </row>
    <row r="63069" s="101" customFormat="1" spans="6:6">
      <c r="F63069" s="2423"/>
    </row>
    <row r="63070" s="101" customFormat="1" spans="6:6">
      <c r="F63070" s="2423"/>
    </row>
    <row r="63071" s="101" customFormat="1" spans="6:6">
      <c r="F63071" s="2423"/>
    </row>
    <row r="63072" s="101" customFormat="1" spans="6:6">
      <c r="F63072" s="2423"/>
    </row>
    <row r="63073" s="101" customFormat="1" spans="6:6">
      <c r="F63073" s="2423"/>
    </row>
    <row r="63074" s="101" customFormat="1" spans="6:6">
      <c r="F63074" s="2423"/>
    </row>
    <row r="63075" s="101" customFormat="1" spans="6:6">
      <c r="F63075" s="2423"/>
    </row>
    <row r="63076" s="101" customFormat="1" spans="6:6">
      <c r="F63076" s="2423"/>
    </row>
    <row r="63077" s="101" customFormat="1" spans="6:6">
      <c r="F63077" s="2423"/>
    </row>
    <row r="63078" s="101" customFormat="1" spans="6:6">
      <c r="F63078" s="2423"/>
    </row>
    <row r="63079" s="101" customFormat="1" spans="6:6">
      <c r="F63079" s="2423"/>
    </row>
    <row r="63080" s="101" customFormat="1" spans="6:6">
      <c r="F63080" s="2423"/>
    </row>
    <row r="63081" s="101" customFormat="1" spans="6:6">
      <c r="F63081" s="2423"/>
    </row>
    <row r="63082" s="101" customFormat="1" spans="6:6">
      <c r="F63082" s="2423"/>
    </row>
    <row r="63083" s="101" customFormat="1" spans="6:6">
      <c r="F63083" s="2423"/>
    </row>
    <row r="63084" s="101" customFormat="1" spans="6:6">
      <c r="F63084" s="2423"/>
    </row>
    <row r="63085" s="101" customFormat="1" spans="6:6">
      <c r="F63085" s="2423"/>
    </row>
    <row r="63086" s="101" customFormat="1" spans="6:6">
      <c r="F63086" s="2423"/>
    </row>
    <row r="63087" s="101" customFormat="1" spans="6:6">
      <c r="F63087" s="2423"/>
    </row>
    <row r="63088" s="101" customFormat="1" spans="6:6">
      <c r="F63088" s="2423"/>
    </row>
    <row r="63089" s="101" customFormat="1" spans="6:6">
      <c r="F63089" s="2423"/>
    </row>
    <row r="63090" s="101" customFormat="1" spans="6:6">
      <c r="F63090" s="2423"/>
    </row>
    <row r="63091" s="101" customFormat="1" spans="6:6">
      <c r="F63091" s="2423"/>
    </row>
    <row r="63092" s="101" customFormat="1" spans="6:6">
      <c r="F63092" s="2423"/>
    </row>
    <row r="63093" s="101" customFormat="1" spans="6:6">
      <c r="F63093" s="2423"/>
    </row>
    <row r="63094" s="101" customFormat="1" spans="6:6">
      <c r="F63094" s="2423"/>
    </row>
    <row r="63095" s="101" customFormat="1" spans="6:6">
      <c r="F63095" s="2423"/>
    </row>
    <row r="63096" s="101" customFormat="1" spans="6:6">
      <c r="F63096" s="2423"/>
    </row>
    <row r="63097" s="101" customFormat="1" spans="6:6">
      <c r="F63097" s="2423"/>
    </row>
    <row r="63098" s="101" customFormat="1" spans="6:6">
      <c r="F63098" s="2423"/>
    </row>
    <row r="63099" s="101" customFormat="1" spans="6:6">
      <c r="F63099" s="2423"/>
    </row>
    <row r="63100" s="101" customFormat="1" spans="6:6">
      <c r="F63100" s="2423"/>
    </row>
    <row r="63101" s="101" customFormat="1" spans="6:6">
      <c r="F63101" s="2423"/>
    </row>
    <row r="63102" s="101" customFormat="1" spans="6:6">
      <c r="F63102" s="2423"/>
    </row>
    <row r="63103" s="101" customFormat="1" spans="6:6">
      <c r="F63103" s="2423"/>
    </row>
    <row r="63104" s="101" customFormat="1" spans="6:6">
      <c r="F63104" s="2423"/>
    </row>
    <row r="63105" s="101" customFormat="1" spans="6:6">
      <c r="F63105" s="2423"/>
    </row>
    <row r="63106" s="101" customFormat="1" spans="6:6">
      <c r="F63106" s="2423"/>
    </row>
    <row r="63107" s="101" customFormat="1" spans="6:6">
      <c r="F63107" s="2423"/>
    </row>
    <row r="63108" s="101" customFormat="1" spans="6:6">
      <c r="F63108" s="2423"/>
    </row>
    <row r="63109" s="101" customFormat="1" spans="6:6">
      <c r="F63109" s="2423"/>
    </row>
    <row r="63110" s="101" customFormat="1" spans="6:6">
      <c r="F63110" s="2423"/>
    </row>
    <row r="63111" s="101" customFormat="1" spans="6:6">
      <c r="F63111" s="2423"/>
    </row>
    <row r="63112" s="101" customFormat="1" spans="6:6">
      <c r="F63112" s="2423"/>
    </row>
    <row r="63113" s="101" customFormat="1" spans="6:6">
      <c r="F63113" s="2423"/>
    </row>
    <row r="63114" s="101" customFormat="1" spans="6:6">
      <c r="F63114" s="2423"/>
    </row>
    <row r="63115" s="101" customFormat="1" spans="6:6">
      <c r="F63115" s="2423"/>
    </row>
    <row r="63116" s="101" customFormat="1" spans="6:6">
      <c r="F63116" s="2423"/>
    </row>
    <row r="63117" s="101" customFormat="1" spans="6:6">
      <c r="F63117" s="2423"/>
    </row>
    <row r="63118" s="101" customFormat="1" spans="6:6">
      <c r="F63118" s="2423"/>
    </row>
    <row r="63119" s="101" customFormat="1" spans="6:6">
      <c r="F63119" s="2423"/>
    </row>
    <row r="63120" s="101" customFormat="1" spans="6:6">
      <c r="F63120" s="2423"/>
    </row>
    <row r="63121" s="101" customFormat="1" spans="6:6">
      <c r="F63121" s="2423"/>
    </row>
    <row r="63122" s="101" customFormat="1" spans="6:6">
      <c r="F63122" s="2423"/>
    </row>
    <row r="63123" s="101" customFormat="1" spans="6:6">
      <c r="F63123" s="2423"/>
    </row>
    <row r="63124" s="101" customFormat="1" spans="6:6">
      <c r="F63124" s="2423"/>
    </row>
    <row r="63125" s="101" customFormat="1" spans="6:6">
      <c r="F63125" s="2423"/>
    </row>
    <row r="63126" s="101" customFormat="1" spans="6:6">
      <c r="F63126" s="2423"/>
    </row>
    <row r="63127" s="101" customFormat="1" spans="6:6">
      <c r="F63127" s="2423"/>
    </row>
    <row r="63128" s="101" customFormat="1" spans="6:6">
      <c r="F63128" s="2423"/>
    </row>
    <row r="63129" s="101" customFormat="1" spans="6:6">
      <c r="F63129" s="2423"/>
    </row>
    <row r="63130" s="101" customFormat="1" spans="6:6">
      <c r="F63130" s="2423"/>
    </row>
    <row r="63131" s="101" customFormat="1" spans="6:6">
      <c r="F63131" s="2423"/>
    </row>
    <row r="63132" s="101" customFormat="1" spans="6:6">
      <c r="F63132" s="2423"/>
    </row>
    <row r="63133" s="101" customFormat="1" spans="6:6">
      <c r="F63133" s="2423"/>
    </row>
    <row r="63134" s="101" customFormat="1" spans="6:6">
      <c r="F63134" s="2423"/>
    </row>
    <row r="63135" s="101" customFormat="1" spans="6:6">
      <c r="F63135" s="2423"/>
    </row>
    <row r="63136" s="101" customFormat="1" spans="6:6">
      <c r="F63136" s="2423"/>
    </row>
    <row r="63137" s="101" customFormat="1" spans="6:6">
      <c r="F63137" s="2423"/>
    </row>
    <row r="63138" s="101" customFormat="1" spans="6:6">
      <c r="F63138" s="2423"/>
    </row>
    <row r="63139" s="101" customFormat="1" spans="6:6">
      <c r="F63139" s="2423"/>
    </row>
    <row r="63140" s="101" customFormat="1" spans="6:6">
      <c r="F63140" s="2423"/>
    </row>
    <row r="63141" s="101" customFormat="1" spans="6:6">
      <c r="F63141" s="2423"/>
    </row>
    <row r="63142" s="101" customFormat="1" spans="6:6">
      <c r="F63142" s="2423"/>
    </row>
    <row r="63143" s="101" customFormat="1" spans="6:6">
      <c r="F63143" s="2423"/>
    </row>
    <row r="63144" s="101" customFormat="1" spans="6:6">
      <c r="F63144" s="2423"/>
    </row>
    <row r="63145" s="101" customFormat="1" spans="6:6">
      <c r="F63145" s="2423"/>
    </row>
    <row r="63146" s="101" customFormat="1" spans="6:6">
      <c r="F63146" s="2423"/>
    </row>
    <row r="63147" s="101" customFormat="1" spans="6:6">
      <c r="F63147" s="2423"/>
    </row>
    <row r="63148" s="101" customFormat="1" spans="6:6">
      <c r="F63148" s="2423"/>
    </row>
    <row r="63149" s="101" customFormat="1" spans="6:6">
      <c r="F63149" s="2423"/>
    </row>
    <row r="63150" s="101" customFormat="1" spans="6:6">
      <c r="F63150" s="2423"/>
    </row>
    <row r="63151" s="101" customFormat="1" spans="6:6">
      <c r="F63151" s="2423"/>
    </row>
    <row r="63152" s="101" customFormat="1" spans="6:6">
      <c r="F63152" s="2423"/>
    </row>
    <row r="63153" s="101" customFormat="1" spans="6:6">
      <c r="F63153" s="2423"/>
    </row>
    <row r="63154" s="101" customFormat="1" spans="6:6">
      <c r="F63154" s="2423"/>
    </row>
    <row r="63155" s="101" customFormat="1" spans="6:6">
      <c r="F63155" s="2423"/>
    </row>
    <row r="63156" s="101" customFormat="1" spans="6:6">
      <c r="F63156" s="2423"/>
    </row>
    <row r="63157" s="101" customFormat="1" spans="6:6">
      <c r="F63157" s="2423"/>
    </row>
    <row r="63158" s="101" customFormat="1" spans="6:6">
      <c r="F63158" s="2423"/>
    </row>
    <row r="63159" s="101" customFormat="1" spans="6:6">
      <c r="F63159" s="2423"/>
    </row>
    <row r="63160" s="101" customFormat="1" spans="6:6">
      <c r="F63160" s="2423"/>
    </row>
    <row r="63161" s="101" customFormat="1" spans="6:6">
      <c r="F63161" s="2423"/>
    </row>
    <row r="63162" s="101" customFormat="1" spans="6:6">
      <c r="F63162" s="2423"/>
    </row>
    <row r="63163" s="101" customFormat="1" spans="6:6">
      <c r="F63163" s="2423"/>
    </row>
    <row r="63164" s="101" customFormat="1" spans="6:6">
      <c r="F63164" s="2423"/>
    </row>
    <row r="63165" s="101" customFormat="1" spans="6:6">
      <c r="F63165" s="2423"/>
    </row>
    <row r="63166" s="101" customFormat="1" spans="6:6">
      <c r="F63166" s="2423"/>
    </row>
    <row r="63167" s="101" customFormat="1" spans="6:6">
      <c r="F63167" s="2423"/>
    </row>
    <row r="63168" s="101" customFormat="1" spans="6:6">
      <c r="F63168" s="2423"/>
    </row>
    <row r="63169" s="101" customFormat="1" spans="6:6">
      <c r="F63169" s="2423"/>
    </row>
    <row r="63170" s="101" customFormat="1" spans="6:6">
      <c r="F63170" s="2423"/>
    </row>
    <row r="63171" s="101" customFormat="1" spans="6:6">
      <c r="F63171" s="2423"/>
    </row>
    <row r="63172" s="101" customFormat="1" spans="6:6">
      <c r="F63172" s="2423"/>
    </row>
    <row r="63173" s="101" customFormat="1" spans="6:6">
      <c r="F63173" s="2423"/>
    </row>
    <row r="63174" s="101" customFormat="1" spans="6:6">
      <c r="F63174" s="2423"/>
    </row>
    <row r="63175" s="101" customFormat="1" spans="6:6">
      <c r="F63175" s="2423"/>
    </row>
    <row r="63176" s="101" customFormat="1" spans="6:6">
      <c r="F63176" s="2423"/>
    </row>
    <row r="63177" s="101" customFormat="1" spans="6:6">
      <c r="F63177" s="2423"/>
    </row>
    <row r="63178" s="101" customFormat="1" spans="6:6">
      <c r="F63178" s="2423"/>
    </row>
    <row r="63179" s="101" customFormat="1" spans="6:6">
      <c r="F63179" s="2423"/>
    </row>
    <row r="63180" s="101" customFormat="1" spans="6:6">
      <c r="F63180" s="2423"/>
    </row>
    <row r="63181" s="101" customFormat="1" spans="6:6">
      <c r="F63181" s="2423"/>
    </row>
    <row r="63182" s="101" customFormat="1" spans="6:6">
      <c r="F63182" s="2423"/>
    </row>
    <row r="63183" s="101" customFormat="1" spans="6:6">
      <c r="F63183" s="2423"/>
    </row>
    <row r="63184" s="101" customFormat="1" spans="6:6">
      <c r="F63184" s="2423"/>
    </row>
    <row r="63185" s="101" customFormat="1" spans="6:6">
      <c r="F63185" s="2423"/>
    </row>
    <row r="63186" s="101" customFormat="1" spans="6:6">
      <c r="F63186" s="2423"/>
    </row>
    <row r="63187" s="101" customFormat="1" spans="6:6">
      <c r="F63187" s="2423"/>
    </row>
    <row r="63188" s="101" customFormat="1" spans="6:6">
      <c r="F63188" s="2423"/>
    </row>
    <row r="63189" s="101" customFormat="1" spans="6:6">
      <c r="F63189" s="2423"/>
    </row>
    <row r="63190" s="101" customFormat="1" spans="6:6">
      <c r="F63190" s="2423"/>
    </row>
    <row r="63191" s="101" customFormat="1" spans="6:6">
      <c r="F63191" s="2423"/>
    </row>
    <row r="63192" s="101" customFormat="1" spans="6:6">
      <c r="F63192" s="2423"/>
    </row>
    <row r="63193" s="101" customFormat="1" spans="6:6">
      <c r="F63193" s="2423"/>
    </row>
    <row r="63194" s="101" customFormat="1" spans="6:6">
      <c r="F63194" s="2423"/>
    </row>
    <row r="63195" s="101" customFormat="1" spans="6:6">
      <c r="F63195" s="2423"/>
    </row>
    <row r="63196" s="101" customFormat="1" spans="6:6">
      <c r="F63196" s="2423"/>
    </row>
    <row r="63197" s="101" customFormat="1" spans="6:6">
      <c r="F63197" s="2423"/>
    </row>
    <row r="63198" s="101" customFormat="1" spans="6:6">
      <c r="F63198" s="2423"/>
    </row>
    <row r="63199" s="101" customFormat="1" spans="6:6">
      <c r="F63199" s="2423"/>
    </row>
    <row r="63200" s="101" customFormat="1" spans="6:6">
      <c r="F63200" s="2423"/>
    </row>
    <row r="63201" s="101" customFormat="1" spans="6:6">
      <c r="F63201" s="2423"/>
    </row>
    <row r="63202" s="101" customFormat="1" spans="6:6">
      <c r="F63202" s="2423"/>
    </row>
    <row r="63203" s="101" customFormat="1" spans="6:6">
      <c r="F63203" s="2423"/>
    </row>
    <row r="63204" s="101" customFormat="1" spans="6:6">
      <c r="F63204" s="2423"/>
    </row>
    <row r="63205" s="101" customFormat="1" spans="6:6">
      <c r="F63205" s="2423"/>
    </row>
    <row r="63206" s="101" customFormat="1" spans="6:6">
      <c r="F63206" s="2423"/>
    </row>
    <row r="63207" s="101" customFormat="1" spans="6:6">
      <c r="F63207" s="2423"/>
    </row>
    <row r="63208" s="101" customFormat="1" spans="6:6">
      <c r="F63208" s="2423"/>
    </row>
    <row r="63209" s="101" customFormat="1" spans="6:6">
      <c r="F63209" s="2423"/>
    </row>
    <row r="63210" s="101" customFormat="1" spans="6:6">
      <c r="F63210" s="2423"/>
    </row>
    <row r="63211" s="101" customFormat="1" spans="6:6">
      <c r="F63211" s="2423"/>
    </row>
    <row r="63212" s="101" customFormat="1" spans="6:6">
      <c r="F63212" s="2423"/>
    </row>
    <row r="63213" s="101" customFormat="1" spans="6:6">
      <c r="F63213" s="2423"/>
    </row>
    <row r="63214" s="101" customFormat="1" spans="6:6">
      <c r="F63214" s="2423"/>
    </row>
    <row r="63215" s="101" customFormat="1" spans="6:6">
      <c r="F63215" s="2423"/>
    </row>
    <row r="63216" s="101" customFormat="1" spans="6:6">
      <c r="F63216" s="2423"/>
    </row>
    <row r="63217" s="101" customFormat="1" spans="6:6">
      <c r="F63217" s="2423"/>
    </row>
    <row r="63218" s="101" customFormat="1" spans="6:6">
      <c r="F63218" s="2423"/>
    </row>
    <row r="63219" s="101" customFormat="1" spans="6:6">
      <c r="F63219" s="2423"/>
    </row>
    <row r="63220" s="101" customFormat="1" spans="6:6">
      <c r="F63220" s="2423"/>
    </row>
    <row r="63221" s="101" customFormat="1" spans="6:6">
      <c r="F63221" s="2423"/>
    </row>
    <row r="63222" s="101" customFormat="1" spans="6:6">
      <c r="F63222" s="2423"/>
    </row>
    <row r="63223" s="101" customFormat="1" spans="6:6">
      <c r="F63223" s="2423"/>
    </row>
    <row r="63224" s="101" customFormat="1" spans="6:6">
      <c r="F63224" s="2423"/>
    </row>
    <row r="63225" s="101" customFormat="1" spans="6:6">
      <c r="F63225" s="2423"/>
    </row>
    <row r="63226" s="101" customFormat="1" spans="6:6">
      <c r="F63226" s="2423"/>
    </row>
    <row r="63227" s="101" customFormat="1" spans="6:6">
      <c r="F63227" s="2423"/>
    </row>
    <row r="63228" s="101" customFormat="1" spans="6:6">
      <c r="F63228" s="2423"/>
    </row>
    <row r="63229" s="101" customFormat="1" spans="6:6">
      <c r="F63229" s="2423"/>
    </row>
    <row r="63230" s="101" customFormat="1" spans="6:6">
      <c r="F63230" s="2423"/>
    </row>
    <row r="63231" s="101" customFormat="1" spans="6:6">
      <c r="F63231" s="2423"/>
    </row>
    <row r="63232" s="101" customFormat="1" spans="6:6">
      <c r="F63232" s="2423"/>
    </row>
    <row r="63233" s="101" customFormat="1" spans="6:6">
      <c r="F63233" s="2423"/>
    </row>
    <row r="63234" s="101" customFormat="1" spans="6:6">
      <c r="F63234" s="2423"/>
    </row>
    <row r="63235" s="101" customFormat="1" spans="6:6">
      <c r="F63235" s="2423"/>
    </row>
    <row r="63236" s="101" customFormat="1" spans="6:6">
      <c r="F63236" s="2423"/>
    </row>
    <row r="63237" s="101" customFormat="1" spans="6:6">
      <c r="F63237" s="2423"/>
    </row>
    <row r="63238" s="101" customFormat="1" spans="6:6">
      <c r="F63238" s="2423"/>
    </row>
    <row r="63239" s="101" customFormat="1" spans="6:6">
      <c r="F63239" s="2423"/>
    </row>
    <row r="63240" s="101" customFormat="1" spans="6:6">
      <c r="F63240" s="2423"/>
    </row>
    <row r="63241" s="101" customFormat="1" spans="6:6">
      <c r="F63241" s="2423"/>
    </row>
    <row r="63242" s="101" customFormat="1" spans="6:6">
      <c r="F63242" s="2423"/>
    </row>
    <row r="63243" s="101" customFormat="1" spans="6:6">
      <c r="F63243" s="2423"/>
    </row>
    <row r="63244" s="101" customFormat="1" spans="6:6">
      <c r="F63244" s="2423"/>
    </row>
    <row r="63245" s="101" customFormat="1" spans="6:6">
      <c r="F63245" s="2423"/>
    </row>
    <row r="63246" s="101" customFormat="1" spans="6:6">
      <c r="F63246" s="2423"/>
    </row>
    <row r="63247" s="101" customFormat="1" spans="6:6">
      <c r="F63247" s="2423"/>
    </row>
    <row r="63248" s="101" customFormat="1" spans="6:6">
      <c r="F63248" s="2423"/>
    </row>
    <row r="63249" s="101" customFormat="1" spans="6:6">
      <c r="F63249" s="2423"/>
    </row>
    <row r="63250" s="101" customFormat="1" spans="6:6">
      <c r="F63250" s="2423"/>
    </row>
    <row r="63251" s="101" customFormat="1" spans="6:6">
      <c r="F63251" s="2423"/>
    </row>
    <row r="63252" s="101" customFormat="1" spans="6:6">
      <c r="F63252" s="2423"/>
    </row>
    <row r="63253" s="101" customFormat="1" spans="6:6">
      <c r="F63253" s="2423"/>
    </row>
    <row r="63254" s="101" customFormat="1" spans="6:6">
      <c r="F63254" s="2423"/>
    </row>
    <row r="63255" s="101" customFormat="1" spans="6:6">
      <c r="F63255" s="2423"/>
    </row>
    <row r="63256" s="101" customFormat="1" spans="6:6">
      <c r="F63256" s="2423"/>
    </row>
    <row r="63257" s="101" customFormat="1" spans="6:6">
      <c r="F63257" s="2423"/>
    </row>
    <row r="63258" s="101" customFormat="1" spans="6:6">
      <c r="F63258" s="2423"/>
    </row>
    <row r="63259" s="101" customFormat="1" spans="6:6">
      <c r="F63259" s="2423"/>
    </row>
    <row r="63260" s="101" customFormat="1" spans="6:6">
      <c r="F63260" s="2423"/>
    </row>
    <row r="63261" s="101" customFormat="1" spans="6:6">
      <c r="F63261" s="2423"/>
    </row>
    <row r="63262" s="101" customFormat="1" spans="6:6">
      <c r="F63262" s="2423"/>
    </row>
    <row r="63263" s="101" customFormat="1" spans="6:6">
      <c r="F63263" s="2423"/>
    </row>
    <row r="63264" s="101" customFormat="1" spans="6:6">
      <c r="F63264" s="2423"/>
    </row>
    <row r="63265" s="101" customFormat="1" spans="6:6">
      <c r="F63265" s="2423"/>
    </row>
    <row r="63266" s="101" customFormat="1" spans="6:6">
      <c r="F63266" s="2423"/>
    </row>
    <row r="63267" s="101" customFormat="1" spans="6:6">
      <c r="F63267" s="2423"/>
    </row>
    <row r="63268" s="101" customFormat="1" spans="6:6">
      <c r="F63268" s="2423"/>
    </row>
    <row r="63269" s="101" customFormat="1" spans="6:6">
      <c r="F63269" s="2423"/>
    </row>
    <row r="63270" s="101" customFormat="1" spans="6:6">
      <c r="F63270" s="2423"/>
    </row>
    <row r="63271" s="101" customFormat="1" spans="6:6">
      <c r="F63271" s="2423"/>
    </row>
    <row r="63272" s="101" customFormat="1" spans="6:6">
      <c r="F63272" s="2423"/>
    </row>
    <row r="63273" s="101" customFormat="1" spans="6:6">
      <c r="F63273" s="2423"/>
    </row>
    <row r="63274" s="101" customFormat="1" spans="6:6">
      <c r="F63274" s="2423"/>
    </row>
    <row r="63275" s="101" customFormat="1" spans="6:6">
      <c r="F63275" s="2423"/>
    </row>
    <row r="63276" s="101" customFormat="1" spans="6:6">
      <c r="F63276" s="2423"/>
    </row>
    <row r="63277" s="101" customFormat="1" spans="6:6">
      <c r="F63277" s="2423"/>
    </row>
    <row r="63278" s="101" customFormat="1" spans="6:6">
      <c r="F63278" s="2423"/>
    </row>
    <row r="63279" s="101" customFormat="1" spans="6:6">
      <c r="F63279" s="2423"/>
    </row>
    <row r="63280" s="101" customFormat="1" spans="6:6">
      <c r="F63280" s="2423"/>
    </row>
    <row r="63281" s="101" customFormat="1" spans="6:6">
      <c r="F63281" s="2423"/>
    </row>
    <row r="63282" s="101" customFormat="1" spans="6:6">
      <c r="F63282" s="2423"/>
    </row>
    <row r="63283" s="101" customFormat="1" spans="6:6">
      <c r="F63283" s="2423"/>
    </row>
    <row r="63284" s="101" customFormat="1" spans="6:6">
      <c r="F63284" s="2423"/>
    </row>
    <row r="63285" s="101" customFormat="1" spans="6:6">
      <c r="F63285" s="2423"/>
    </row>
    <row r="63286" s="101" customFormat="1" spans="6:6">
      <c r="F63286" s="2423"/>
    </row>
    <row r="63287" s="101" customFormat="1" spans="6:6">
      <c r="F63287" s="2423"/>
    </row>
    <row r="63288" s="101" customFormat="1" spans="6:6">
      <c r="F63288" s="2423"/>
    </row>
    <row r="63289" s="101" customFormat="1" spans="6:6">
      <c r="F63289" s="2423"/>
    </row>
    <row r="63290" s="101" customFormat="1" spans="6:6">
      <c r="F63290" s="2423"/>
    </row>
    <row r="63291" s="101" customFormat="1" spans="6:6">
      <c r="F63291" s="2423"/>
    </row>
    <row r="63292" s="101" customFormat="1" spans="6:6">
      <c r="F63292" s="2423"/>
    </row>
    <row r="63293" s="101" customFormat="1" spans="6:6">
      <c r="F63293" s="2423"/>
    </row>
    <row r="63294" s="101" customFormat="1" spans="6:6">
      <c r="F63294" s="2423"/>
    </row>
    <row r="63295" s="101" customFormat="1" spans="6:6">
      <c r="F63295" s="2423"/>
    </row>
    <row r="63296" s="101" customFormat="1" spans="6:6">
      <c r="F63296" s="2423"/>
    </row>
    <row r="63297" s="101" customFormat="1" spans="6:6">
      <c r="F63297" s="2423"/>
    </row>
    <row r="63298" s="101" customFormat="1" spans="6:6">
      <c r="F63298" s="2423"/>
    </row>
    <row r="63299" s="101" customFormat="1" spans="6:6">
      <c r="F63299" s="2423"/>
    </row>
    <row r="63300" s="101" customFormat="1" spans="6:6">
      <c r="F63300" s="2423"/>
    </row>
    <row r="63301" s="101" customFormat="1" spans="6:6">
      <c r="F63301" s="2423"/>
    </row>
    <row r="63302" s="101" customFormat="1" spans="6:6">
      <c r="F63302" s="2423"/>
    </row>
    <row r="63303" s="101" customFormat="1" spans="6:6">
      <c r="F63303" s="2423"/>
    </row>
    <row r="63304" s="101" customFormat="1" spans="6:6">
      <c r="F63304" s="2423"/>
    </row>
    <row r="63305" s="101" customFormat="1" spans="6:6">
      <c r="F63305" s="2423"/>
    </row>
    <row r="63306" s="101" customFormat="1" spans="6:6">
      <c r="F63306" s="2423"/>
    </row>
    <row r="63307" s="101" customFormat="1" spans="6:6">
      <c r="F63307" s="2423"/>
    </row>
    <row r="63308" s="101" customFormat="1" spans="6:6">
      <c r="F63308" s="2423"/>
    </row>
    <row r="63309" s="101" customFormat="1" spans="6:6">
      <c r="F63309" s="2423"/>
    </row>
    <row r="63310" s="101" customFormat="1" spans="6:6">
      <c r="F63310" s="2423"/>
    </row>
    <row r="63311" s="101" customFormat="1" spans="6:6">
      <c r="F63311" s="2423"/>
    </row>
    <row r="63312" s="101" customFormat="1" spans="6:6">
      <c r="F63312" s="2423"/>
    </row>
    <row r="63313" s="101" customFormat="1" spans="6:6">
      <c r="F63313" s="2423"/>
    </row>
    <row r="63314" s="101" customFormat="1" spans="6:6">
      <c r="F63314" s="2423"/>
    </row>
    <row r="63315" s="101" customFormat="1" spans="6:6">
      <c r="F63315" s="2423"/>
    </row>
    <row r="63316" s="101" customFormat="1" spans="6:6">
      <c r="F63316" s="2423"/>
    </row>
    <row r="63317" s="101" customFormat="1" spans="6:6">
      <c r="F63317" s="2423"/>
    </row>
    <row r="63318" s="101" customFormat="1" spans="6:6">
      <c r="F63318" s="2423"/>
    </row>
    <row r="63319" s="101" customFormat="1" spans="6:6">
      <c r="F63319" s="2423"/>
    </row>
    <row r="63320" s="101" customFormat="1" spans="6:6">
      <c r="F63320" s="2423"/>
    </row>
    <row r="63321" s="101" customFormat="1" spans="6:6">
      <c r="F63321" s="2423"/>
    </row>
    <row r="63322" s="101" customFormat="1" spans="6:6">
      <c r="F63322" s="2423"/>
    </row>
    <row r="63323" s="101" customFormat="1" spans="6:6">
      <c r="F63323" s="2423"/>
    </row>
    <row r="63324" s="101" customFormat="1" spans="6:6">
      <c r="F63324" s="2423"/>
    </row>
    <row r="63325" s="101" customFormat="1" spans="6:6">
      <c r="F63325" s="2423"/>
    </row>
    <row r="63326" s="101" customFormat="1" spans="6:6">
      <c r="F63326" s="2423"/>
    </row>
    <row r="63327" s="101" customFormat="1" spans="6:6">
      <c r="F63327" s="2423"/>
    </row>
    <row r="63328" s="101" customFormat="1" spans="6:6">
      <c r="F63328" s="2423"/>
    </row>
    <row r="63329" s="101" customFormat="1" spans="6:6">
      <c r="F63329" s="2423"/>
    </row>
    <row r="63330" s="101" customFormat="1" spans="6:6">
      <c r="F63330" s="2423"/>
    </row>
    <row r="63331" s="101" customFormat="1" spans="6:6">
      <c r="F63331" s="2423"/>
    </row>
    <row r="63332" s="101" customFormat="1" spans="6:6">
      <c r="F63332" s="2423"/>
    </row>
    <row r="63333" s="101" customFormat="1" spans="6:6">
      <c r="F63333" s="2423"/>
    </row>
    <row r="63334" s="101" customFormat="1" spans="6:6">
      <c r="F63334" s="2423"/>
    </row>
    <row r="63335" s="101" customFormat="1" spans="6:6">
      <c r="F63335" s="2423"/>
    </row>
    <row r="63336" s="101" customFormat="1" spans="6:6">
      <c r="F63336" s="2423"/>
    </row>
    <row r="63337" s="101" customFormat="1" spans="6:6">
      <c r="F63337" s="2423"/>
    </row>
    <row r="63338" s="101" customFormat="1" spans="6:6">
      <c r="F63338" s="2423"/>
    </row>
    <row r="63339" s="101" customFormat="1" spans="6:6">
      <c r="F63339" s="2423"/>
    </row>
    <row r="63340" s="101" customFormat="1" spans="6:6">
      <c r="F63340" s="2423"/>
    </row>
    <row r="63341" s="101" customFormat="1" spans="6:6">
      <c r="F63341" s="2423"/>
    </row>
    <row r="63342" s="101" customFormat="1" spans="6:6">
      <c r="F63342" s="2423"/>
    </row>
    <row r="63343" s="101" customFormat="1" spans="6:6">
      <c r="F63343" s="2423"/>
    </row>
    <row r="63344" s="101" customFormat="1" spans="6:6">
      <c r="F63344" s="2423"/>
    </row>
    <row r="63345" s="101" customFormat="1" spans="6:6">
      <c r="F63345" s="2423"/>
    </row>
    <row r="63346" s="101" customFormat="1" spans="6:6">
      <c r="F63346" s="2423"/>
    </row>
    <row r="63347" s="101" customFormat="1" spans="6:6">
      <c r="F63347" s="2423"/>
    </row>
    <row r="63348" s="101" customFormat="1" spans="6:6">
      <c r="F63348" s="2423"/>
    </row>
    <row r="63349" s="101" customFormat="1" spans="6:6">
      <c r="F63349" s="2423"/>
    </row>
    <row r="63350" s="101" customFormat="1" spans="6:6">
      <c r="F63350" s="2423"/>
    </row>
    <row r="63351" s="101" customFormat="1" spans="6:6">
      <c r="F63351" s="2423"/>
    </row>
    <row r="63352" s="101" customFormat="1" spans="6:6">
      <c r="F63352" s="2423"/>
    </row>
    <row r="63353" s="101" customFormat="1" spans="6:6">
      <c r="F63353" s="2423"/>
    </row>
    <row r="63354" s="101" customFormat="1" spans="6:6">
      <c r="F63354" s="2423"/>
    </row>
    <row r="63355" s="101" customFormat="1" spans="6:6">
      <c r="F63355" s="2423"/>
    </row>
    <row r="63356" s="101" customFormat="1" spans="6:6">
      <c r="F63356" s="2423"/>
    </row>
    <row r="63357" s="101" customFormat="1" spans="6:6">
      <c r="F63357" s="2423"/>
    </row>
    <row r="63358" s="101" customFormat="1" spans="6:6">
      <c r="F63358" s="2423"/>
    </row>
    <row r="63359" s="101" customFormat="1" spans="6:6">
      <c r="F63359" s="2423"/>
    </row>
    <row r="63360" s="101" customFormat="1" spans="6:6">
      <c r="F63360" s="2423"/>
    </row>
    <row r="63361" s="101" customFormat="1" spans="6:6">
      <c r="F63361" s="2423"/>
    </row>
    <row r="63362" s="101" customFormat="1" spans="6:6">
      <c r="F63362" s="2423"/>
    </row>
    <row r="63363" s="101" customFormat="1" spans="6:6">
      <c r="F63363" s="2423"/>
    </row>
    <row r="63364" s="101" customFormat="1" spans="6:6">
      <c r="F63364" s="2423"/>
    </row>
    <row r="63365" s="101" customFormat="1" spans="6:6">
      <c r="F63365" s="2423"/>
    </row>
    <row r="63366" s="101" customFormat="1" spans="6:6">
      <c r="F63366" s="2423"/>
    </row>
    <row r="63367" s="101" customFormat="1" spans="6:6">
      <c r="F63367" s="2423"/>
    </row>
    <row r="63368" s="101" customFormat="1" spans="6:6">
      <c r="F63368" s="2423"/>
    </row>
    <row r="63369" s="101" customFormat="1" spans="6:6">
      <c r="F63369" s="2423"/>
    </row>
    <row r="63370" s="101" customFormat="1" spans="6:6">
      <c r="F63370" s="2423"/>
    </row>
    <row r="63371" s="101" customFormat="1" spans="6:6">
      <c r="F63371" s="2423"/>
    </row>
    <row r="63372" s="101" customFormat="1" spans="6:6">
      <c r="F63372" s="2423"/>
    </row>
    <row r="63373" s="101" customFormat="1" spans="6:6">
      <c r="F63373" s="2423"/>
    </row>
    <row r="63374" s="101" customFormat="1" spans="6:6">
      <c r="F63374" s="2423"/>
    </row>
    <row r="63375" s="101" customFormat="1" spans="6:6">
      <c r="F63375" s="2423"/>
    </row>
    <row r="63376" s="101" customFormat="1" spans="6:6">
      <c r="F63376" s="2423"/>
    </row>
    <row r="63377" s="101" customFormat="1" spans="6:6">
      <c r="F63377" s="2423"/>
    </row>
    <row r="63378" s="101" customFormat="1" spans="6:6">
      <c r="F63378" s="2423"/>
    </row>
    <row r="63379" s="101" customFormat="1" spans="6:6">
      <c r="F63379" s="2423"/>
    </row>
    <row r="63380" s="101" customFormat="1" spans="6:6">
      <c r="F63380" s="2423"/>
    </row>
    <row r="63381" s="101" customFormat="1" spans="6:6">
      <c r="F63381" s="2423"/>
    </row>
    <row r="63382" s="101" customFormat="1" spans="6:6">
      <c r="F63382" s="2423"/>
    </row>
    <row r="63383" s="101" customFormat="1" spans="6:6">
      <c r="F63383" s="2423"/>
    </row>
    <row r="63384" s="101" customFormat="1" spans="6:6">
      <c r="F63384" s="2423"/>
    </row>
    <row r="63385" s="101" customFormat="1" spans="6:6">
      <c r="F63385" s="2423"/>
    </row>
    <row r="63386" s="101" customFormat="1" spans="6:6">
      <c r="F63386" s="2423"/>
    </row>
    <row r="63387" s="101" customFormat="1" spans="6:6">
      <c r="F63387" s="2423"/>
    </row>
    <row r="63388" s="101" customFormat="1" spans="6:6">
      <c r="F63388" s="2423"/>
    </row>
    <row r="63389" s="101" customFormat="1" spans="6:6">
      <c r="F63389" s="2423"/>
    </row>
    <row r="63390" s="101" customFormat="1" spans="6:6">
      <c r="F63390" s="2423"/>
    </row>
    <row r="63391" s="101" customFormat="1" spans="6:6">
      <c r="F63391" s="2423"/>
    </row>
    <row r="63392" s="101" customFormat="1" spans="6:6">
      <c r="F63392" s="2423"/>
    </row>
    <row r="63393" s="101" customFormat="1" spans="6:6">
      <c r="F63393" s="2423"/>
    </row>
    <row r="63394" s="101" customFormat="1" spans="6:6">
      <c r="F63394" s="2423"/>
    </row>
    <row r="63395" s="101" customFormat="1" spans="6:6">
      <c r="F63395" s="2423"/>
    </row>
    <row r="63396" s="101" customFormat="1" spans="6:6">
      <c r="F63396" s="2423"/>
    </row>
    <row r="63397" s="101" customFormat="1" spans="6:6">
      <c r="F63397" s="2423"/>
    </row>
    <row r="63398" s="101" customFormat="1" spans="6:6">
      <c r="F63398" s="2423"/>
    </row>
    <row r="63399" s="101" customFormat="1" spans="6:6">
      <c r="F63399" s="2423"/>
    </row>
    <row r="63400" s="101" customFormat="1" spans="6:6">
      <c r="F63400" s="2423"/>
    </row>
    <row r="63401" s="101" customFormat="1" spans="6:6">
      <c r="F63401" s="2423"/>
    </row>
    <row r="63402" s="101" customFormat="1" spans="6:6">
      <c r="F63402" s="2423"/>
    </row>
    <row r="63403" s="101" customFormat="1" spans="6:6">
      <c r="F63403" s="2423"/>
    </row>
    <row r="63404" s="101" customFormat="1" spans="6:6">
      <c r="F63404" s="2423"/>
    </row>
    <row r="63405" s="101" customFormat="1" spans="6:6">
      <c r="F63405" s="2423"/>
    </row>
    <row r="63406" s="101" customFormat="1" spans="6:6">
      <c r="F63406" s="2423"/>
    </row>
    <row r="63407" s="101" customFormat="1" spans="6:6">
      <c r="F63407" s="2423"/>
    </row>
    <row r="63408" s="101" customFormat="1" spans="6:6">
      <c r="F63408" s="2423"/>
    </row>
    <row r="63409" s="101" customFormat="1" spans="6:6">
      <c r="F63409" s="2423"/>
    </row>
    <row r="63410" s="101" customFormat="1" spans="6:6">
      <c r="F63410" s="2423"/>
    </row>
    <row r="63411" s="101" customFormat="1" spans="6:6">
      <c r="F63411" s="2423"/>
    </row>
    <row r="63412" s="101" customFormat="1" spans="6:6">
      <c r="F63412" s="2423"/>
    </row>
    <row r="63413" s="101" customFormat="1" spans="6:6">
      <c r="F63413" s="2423"/>
    </row>
    <row r="63414" s="101" customFormat="1" spans="6:6">
      <c r="F63414" s="2423"/>
    </row>
    <row r="63415" s="101" customFormat="1" spans="6:6">
      <c r="F63415" s="2423"/>
    </row>
    <row r="63416" s="101" customFormat="1" spans="6:6">
      <c r="F63416" s="2423"/>
    </row>
    <row r="63417" s="101" customFormat="1" spans="6:6">
      <c r="F63417" s="2423"/>
    </row>
    <row r="63418" s="101" customFormat="1" spans="6:6">
      <c r="F63418" s="2423"/>
    </row>
    <row r="63419" s="101" customFormat="1" spans="6:6">
      <c r="F63419" s="2423"/>
    </row>
    <row r="63420" s="101" customFormat="1" spans="6:6">
      <c r="F63420" s="2423"/>
    </row>
    <row r="63421" s="101" customFormat="1" spans="6:6">
      <c r="F63421" s="2423"/>
    </row>
    <row r="63422" s="101" customFormat="1" spans="6:6">
      <c r="F63422" s="2423"/>
    </row>
    <row r="63423" s="101" customFormat="1" spans="6:6">
      <c r="F63423" s="2423"/>
    </row>
    <row r="63424" s="101" customFormat="1" spans="6:6">
      <c r="F63424" s="2423"/>
    </row>
    <row r="63425" s="101" customFormat="1" spans="6:6">
      <c r="F63425" s="2423"/>
    </row>
    <row r="63426" s="101" customFormat="1" spans="6:6">
      <c r="F63426" s="2423"/>
    </row>
    <row r="63427" s="101" customFormat="1" spans="6:6">
      <c r="F63427" s="2423"/>
    </row>
    <row r="63428" s="101" customFormat="1" spans="6:6">
      <c r="F63428" s="2423"/>
    </row>
    <row r="63429" s="101" customFormat="1" spans="6:6">
      <c r="F63429" s="2423"/>
    </row>
    <row r="63430" s="101" customFormat="1" spans="6:6">
      <c r="F63430" s="2423"/>
    </row>
    <row r="63431" s="101" customFormat="1" spans="6:6">
      <c r="F63431" s="2423"/>
    </row>
    <row r="63432" s="101" customFormat="1" spans="6:6">
      <c r="F63432" s="2423"/>
    </row>
    <row r="63433" s="101" customFormat="1" spans="6:6">
      <c r="F63433" s="2423"/>
    </row>
    <row r="63434" s="101" customFormat="1" spans="6:6">
      <c r="F63434" s="2423"/>
    </row>
    <row r="63435" s="101" customFormat="1" spans="6:6">
      <c r="F63435" s="2423"/>
    </row>
    <row r="63436" s="101" customFormat="1" spans="6:6">
      <c r="F63436" s="2423"/>
    </row>
    <row r="63437" s="101" customFormat="1" spans="6:6">
      <c r="F63437" s="2423"/>
    </row>
    <row r="63438" s="101" customFormat="1" spans="6:6">
      <c r="F63438" s="2423"/>
    </row>
    <row r="63439" s="101" customFormat="1" spans="6:6">
      <c r="F63439" s="2423"/>
    </row>
    <row r="63440" s="101" customFormat="1" spans="6:6">
      <c r="F63440" s="2423"/>
    </row>
    <row r="63441" s="101" customFormat="1" spans="6:6">
      <c r="F63441" s="2423"/>
    </row>
    <row r="63442" s="101" customFormat="1" spans="6:6">
      <c r="F63442" s="2423"/>
    </row>
    <row r="63443" s="101" customFormat="1" spans="6:6">
      <c r="F63443" s="2423"/>
    </row>
    <row r="63444" s="101" customFormat="1" spans="6:6">
      <c r="F63444" s="2423"/>
    </row>
    <row r="63445" s="101" customFormat="1" spans="6:6">
      <c r="F63445" s="2423"/>
    </row>
    <row r="63446" s="101" customFormat="1" spans="6:6">
      <c r="F63446" s="2423"/>
    </row>
    <row r="63447" s="101" customFormat="1" spans="6:6">
      <c r="F63447" s="2423"/>
    </row>
    <row r="63448" s="101" customFormat="1" spans="6:6">
      <c r="F63448" s="2423"/>
    </row>
    <row r="63449" s="101" customFormat="1" spans="6:6">
      <c r="F63449" s="2423"/>
    </row>
    <row r="63450" s="101" customFormat="1" spans="6:6">
      <c r="F63450" s="2423"/>
    </row>
    <row r="63451" s="101" customFormat="1" spans="6:6">
      <c r="F63451" s="2423"/>
    </row>
    <row r="63452" s="101" customFormat="1" spans="6:6">
      <c r="F63452" s="2423"/>
    </row>
    <row r="63453" s="101" customFormat="1" spans="6:6">
      <c r="F63453" s="2423"/>
    </row>
    <row r="63454" s="101" customFormat="1" spans="6:6">
      <c r="F63454" s="2423"/>
    </row>
    <row r="63455" s="101" customFormat="1" spans="6:6">
      <c r="F63455" s="2423"/>
    </row>
    <row r="63456" s="101" customFormat="1" spans="6:6">
      <c r="F63456" s="2423"/>
    </row>
    <row r="63457" s="101" customFormat="1" spans="6:6">
      <c r="F63457" s="2423"/>
    </row>
    <row r="63458" s="101" customFormat="1" spans="6:6">
      <c r="F63458" s="2423"/>
    </row>
    <row r="63459" s="101" customFormat="1" spans="6:6">
      <c r="F63459" s="2423"/>
    </row>
    <row r="63460" s="101" customFormat="1" spans="6:6">
      <c r="F63460" s="2423"/>
    </row>
    <row r="63461" s="101" customFormat="1" spans="6:6">
      <c r="F63461" s="2423"/>
    </row>
    <row r="63462" s="101" customFormat="1" spans="6:6">
      <c r="F63462" s="2423"/>
    </row>
    <row r="63463" s="101" customFormat="1" spans="6:6">
      <c r="F63463" s="2423"/>
    </row>
    <row r="63464" s="101" customFormat="1" spans="6:6">
      <c r="F63464" s="2423"/>
    </row>
    <row r="63465" s="101" customFormat="1" spans="6:6">
      <c r="F63465" s="2423"/>
    </row>
    <row r="63466" s="101" customFormat="1" spans="6:6">
      <c r="F63466" s="2423"/>
    </row>
    <row r="63467" s="101" customFormat="1" spans="6:6">
      <c r="F63467" s="2423"/>
    </row>
    <row r="63468" s="101" customFormat="1" spans="6:6">
      <c r="F63468" s="2423"/>
    </row>
    <row r="63469" s="101" customFormat="1" spans="6:6">
      <c r="F63469" s="2423"/>
    </row>
    <row r="63470" s="101" customFormat="1" spans="6:6">
      <c r="F63470" s="2423"/>
    </row>
    <row r="63471" s="101" customFormat="1" spans="6:6">
      <c r="F63471" s="2423"/>
    </row>
    <row r="63472" s="101" customFormat="1" spans="6:6">
      <c r="F63472" s="2423"/>
    </row>
    <row r="63473" s="101" customFormat="1" spans="6:6">
      <c r="F63473" s="2423"/>
    </row>
    <row r="63474" s="101" customFormat="1" spans="6:6">
      <c r="F63474" s="2423"/>
    </row>
    <row r="63475" s="101" customFormat="1" spans="6:6">
      <c r="F63475" s="2423"/>
    </row>
    <row r="63476" s="101" customFormat="1" spans="6:6">
      <c r="F63476" s="2423"/>
    </row>
    <row r="63477" s="101" customFormat="1" spans="6:6">
      <c r="F63477" s="2423"/>
    </row>
    <row r="63478" s="101" customFormat="1" spans="6:6">
      <c r="F63478" s="2423"/>
    </row>
    <row r="63479" s="101" customFormat="1" spans="6:6">
      <c r="F63479" s="2423"/>
    </row>
    <row r="63480" s="101" customFormat="1" spans="6:6">
      <c r="F63480" s="2423"/>
    </row>
    <row r="63481" s="101" customFormat="1" spans="6:6">
      <c r="F63481" s="2423"/>
    </row>
    <row r="63482" s="101" customFormat="1" spans="6:6">
      <c r="F63482" s="2423"/>
    </row>
    <row r="63483" s="101" customFormat="1" spans="6:6">
      <c r="F63483" s="2423"/>
    </row>
    <row r="63484" s="101" customFormat="1" spans="6:6">
      <c r="F63484" s="2423"/>
    </row>
    <row r="63485" s="101" customFormat="1" spans="6:6">
      <c r="F63485" s="2423"/>
    </row>
    <row r="63486" s="101" customFormat="1" spans="6:6">
      <c r="F63486" s="2423"/>
    </row>
    <row r="63487" s="101" customFormat="1" spans="6:6">
      <c r="F63487" s="2423"/>
    </row>
    <row r="63488" s="101" customFormat="1" spans="6:6">
      <c r="F63488" s="2423"/>
    </row>
    <row r="63489" s="101" customFormat="1" spans="6:6">
      <c r="F63489" s="2423"/>
    </row>
    <row r="63490" s="101" customFormat="1" spans="6:6">
      <c r="F63490" s="2423"/>
    </row>
    <row r="63491" s="101" customFormat="1" spans="6:6">
      <c r="F63491" s="2423"/>
    </row>
    <row r="63492" s="101" customFormat="1" spans="6:6">
      <c r="F63492" s="2423"/>
    </row>
    <row r="63493" s="101" customFormat="1" spans="6:6">
      <c r="F63493" s="2423"/>
    </row>
    <row r="63494" s="101" customFormat="1" spans="6:6">
      <c r="F63494" s="2423"/>
    </row>
    <row r="63495" s="101" customFormat="1" spans="6:6">
      <c r="F63495" s="2423"/>
    </row>
    <row r="63496" s="101" customFormat="1" spans="6:6">
      <c r="F63496" s="2423"/>
    </row>
    <row r="63497" s="101" customFormat="1" spans="6:6">
      <c r="F63497" s="2423"/>
    </row>
    <row r="63498" s="101" customFormat="1" spans="6:6">
      <c r="F63498" s="2423"/>
    </row>
    <row r="63499" s="101" customFormat="1" spans="6:6">
      <c r="F63499" s="2423"/>
    </row>
    <row r="63500" s="101" customFormat="1" spans="6:6">
      <c r="F63500" s="2423"/>
    </row>
    <row r="63501" s="101" customFormat="1" spans="6:6">
      <c r="F63501" s="2423"/>
    </row>
    <row r="63502" s="101" customFormat="1" spans="6:6">
      <c r="F63502" s="2423"/>
    </row>
    <row r="63503" s="101" customFormat="1" spans="6:6">
      <c r="F63503" s="2423"/>
    </row>
    <row r="63504" s="101" customFormat="1" spans="6:6">
      <c r="F63504" s="2423"/>
    </row>
    <row r="63505" s="101" customFormat="1" spans="6:6">
      <c r="F63505" s="2423"/>
    </row>
    <row r="63506" s="101" customFormat="1" spans="6:6">
      <c r="F63506" s="2423"/>
    </row>
    <row r="63507" s="101" customFormat="1" spans="6:6">
      <c r="F63507" s="2423"/>
    </row>
    <row r="63508" s="101" customFormat="1" spans="6:6">
      <c r="F63508" s="2423"/>
    </row>
    <row r="63509" s="101" customFormat="1" spans="6:6">
      <c r="F63509" s="2423"/>
    </row>
    <row r="63510" s="101" customFormat="1" spans="6:6">
      <c r="F63510" s="2423"/>
    </row>
    <row r="63511" s="101" customFormat="1" spans="6:6">
      <c r="F63511" s="2423"/>
    </row>
    <row r="63512" s="101" customFormat="1" spans="6:6">
      <c r="F63512" s="2423"/>
    </row>
    <row r="63513" s="101" customFormat="1" spans="6:6">
      <c r="F63513" s="2423"/>
    </row>
    <row r="63514" s="101" customFormat="1" spans="6:6">
      <c r="F63514" s="2423"/>
    </row>
    <row r="63515" s="101" customFormat="1" spans="6:6">
      <c r="F63515" s="2423"/>
    </row>
    <row r="63516" s="101" customFormat="1" spans="6:6">
      <c r="F63516" s="2423"/>
    </row>
    <row r="63517" s="101" customFormat="1" spans="6:6">
      <c r="F63517" s="2423"/>
    </row>
    <row r="63518" s="101" customFormat="1" spans="6:6">
      <c r="F63518" s="2423"/>
    </row>
    <row r="63519" s="101" customFormat="1" spans="6:6">
      <c r="F63519" s="2423"/>
    </row>
    <row r="63520" s="101" customFormat="1" spans="6:6">
      <c r="F63520" s="2423"/>
    </row>
    <row r="63521" s="101" customFormat="1" spans="6:6">
      <c r="F63521" s="2423"/>
    </row>
    <row r="63522" s="101" customFormat="1" spans="6:6">
      <c r="F63522" s="2423"/>
    </row>
    <row r="63523" s="101" customFormat="1" spans="6:6">
      <c r="F63523" s="2423"/>
    </row>
    <row r="63524" s="101" customFormat="1" spans="6:6">
      <c r="F63524" s="2423"/>
    </row>
    <row r="63525" s="101" customFormat="1" spans="6:6">
      <c r="F63525" s="2423"/>
    </row>
    <row r="63526" s="101" customFormat="1" spans="6:6">
      <c r="F63526" s="2423"/>
    </row>
    <row r="63527" s="101" customFormat="1" spans="6:6">
      <c r="F63527" s="2423"/>
    </row>
    <row r="63528" s="101" customFormat="1" spans="6:6">
      <c r="F63528" s="2423"/>
    </row>
    <row r="63529" s="101" customFormat="1" spans="6:6">
      <c r="F63529" s="2423"/>
    </row>
    <row r="63530" s="101" customFormat="1" spans="6:6">
      <c r="F63530" s="2423"/>
    </row>
    <row r="63531" s="101" customFormat="1" spans="6:6">
      <c r="F63531" s="2423"/>
    </row>
    <row r="63532" s="101" customFormat="1" spans="6:6">
      <c r="F63532" s="2423"/>
    </row>
    <row r="63533" s="101" customFormat="1" spans="6:6">
      <c r="F63533" s="2423"/>
    </row>
    <row r="63534" s="101" customFormat="1" spans="6:6">
      <c r="F63534" s="2423"/>
    </row>
    <row r="63535" s="101" customFormat="1" spans="6:6">
      <c r="F63535" s="2423"/>
    </row>
    <row r="63536" s="101" customFormat="1" spans="6:6">
      <c r="F63536" s="2423"/>
    </row>
    <row r="63537" s="101" customFormat="1" spans="6:6">
      <c r="F63537" s="2423"/>
    </row>
    <row r="63538" s="101" customFormat="1" spans="6:6">
      <c r="F63538" s="2423"/>
    </row>
    <row r="63539" s="101" customFormat="1" spans="6:6">
      <c r="F63539" s="2423"/>
    </row>
    <row r="63540" s="101" customFormat="1" spans="6:6">
      <c r="F63540" s="2423"/>
    </row>
    <row r="63541" s="101" customFormat="1" spans="6:6">
      <c r="F63541" s="2423"/>
    </row>
    <row r="63542" s="101" customFormat="1" spans="6:6">
      <c r="F63542" s="2423"/>
    </row>
    <row r="63543" s="101" customFormat="1" spans="6:6">
      <c r="F63543" s="2423"/>
    </row>
    <row r="63544" s="101" customFormat="1" spans="6:6">
      <c r="F63544" s="2423"/>
    </row>
    <row r="63545" s="101" customFormat="1" spans="6:6">
      <c r="F63545" s="2423"/>
    </row>
    <row r="63546" s="101" customFormat="1" spans="6:6">
      <c r="F63546" s="2423"/>
    </row>
    <row r="63547" s="101" customFormat="1" spans="6:6">
      <c r="F63547" s="2423"/>
    </row>
    <row r="63548" s="101" customFormat="1" spans="6:6">
      <c r="F63548" s="2423"/>
    </row>
    <row r="63549" s="101" customFormat="1" spans="6:6">
      <c r="F63549" s="2423"/>
    </row>
    <row r="63550" s="101" customFormat="1" spans="6:6">
      <c r="F63550" s="2423"/>
    </row>
    <row r="63551" s="101" customFormat="1" spans="6:6">
      <c r="F63551" s="2423"/>
    </row>
    <row r="63552" s="101" customFormat="1" spans="6:6">
      <c r="F63552" s="2423"/>
    </row>
    <row r="63553" s="101" customFormat="1" spans="6:6">
      <c r="F63553" s="2423"/>
    </row>
    <row r="63554" s="101" customFormat="1" spans="6:6">
      <c r="F63554" s="2423"/>
    </row>
    <row r="63555" s="101" customFormat="1" spans="6:6">
      <c r="F63555" s="2423"/>
    </row>
    <row r="63556" s="101" customFormat="1" spans="6:6">
      <c r="F63556" s="2423"/>
    </row>
    <row r="63557" s="101" customFormat="1" spans="6:6">
      <c r="F63557" s="2423"/>
    </row>
    <row r="63558" s="101" customFormat="1" spans="6:6">
      <c r="F63558" s="2423"/>
    </row>
    <row r="63559" s="101" customFormat="1" spans="6:6">
      <c r="F63559" s="2423"/>
    </row>
    <row r="63560" s="101" customFormat="1" spans="6:6">
      <c r="F63560" s="2423"/>
    </row>
    <row r="63561" s="101" customFormat="1" spans="6:6">
      <c r="F63561" s="2423"/>
    </row>
    <row r="63562" s="101" customFormat="1" spans="6:6">
      <c r="F63562" s="2423"/>
    </row>
    <row r="63563" s="101" customFormat="1" spans="6:6">
      <c r="F63563" s="2423"/>
    </row>
    <row r="63564" s="101" customFormat="1" spans="6:6">
      <c r="F63564" s="2423"/>
    </row>
    <row r="63565" s="101" customFormat="1" spans="6:6">
      <c r="F63565" s="2423"/>
    </row>
    <row r="63566" s="101" customFormat="1" spans="6:6">
      <c r="F63566" s="2423"/>
    </row>
    <row r="63567" s="101" customFormat="1" spans="6:6">
      <c r="F63567" s="2423"/>
    </row>
    <row r="63568" s="101" customFormat="1" spans="6:6">
      <c r="F63568" s="2423"/>
    </row>
    <row r="63569" s="101" customFormat="1" spans="6:6">
      <c r="F63569" s="2423"/>
    </row>
    <row r="63570" s="101" customFormat="1" spans="6:6">
      <c r="F63570" s="2423"/>
    </row>
    <row r="63571" s="101" customFormat="1" spans="6:6">
      <c r="F63571" s="2423"/>
    </row>
    <row r="63572" s="101" customFormat="1" spans="6:6">
      <c r="F63572" s="2423"/>
    </row>
    <row r="63573" s="101" customFormat="1" spans="6:6">
      <c r="F63573" s="2423"/>
    </row>
    <row r="63574" s="101" customFormat="1" spans="6:6">
      <c r="F63574" s="2423"/>
    </row>
    <row r="63575" s="101" customFormat="1" spans="6:6">
      <c r="F63575" s="2423"/>
    </row>
    <row r="63576" s="101" customFormat="1" spans="6:6">
      <c r="F63576" s="2423"/>
    </row>
    <row r="63577" s="101" customFormat="1" spans="6:6">
      <c r="F63577" s="2423"/>
    </row>
    <row r="63578" s="101" customFormat="1" spans="6:6">
      <c r="F63578" s="2423"/>
    </row>
    <row r="63579" s="101" customFormat="1" spans="6:6">
      <c r="F63579" s="2423"/>
    </row>
    <row r="63580" s="101" customFormat="1" spans="6:6">
      <c r="F63580" s="2423"/>
    </row>
    <row r="63581" s="101" customFormat="1" spans="6:6">
      <c r="F63581" s="2423"/>
    </row>
    <row r="63582" s="101" customFormat="1" spans="6:6">
      <c r="F63582" s="2423"/>
    </row>
    <row r="63583" s="101" customFormat="1" spans="6:6">
      <c r="F63583" s="2423"/>
    </row>
    <row r="63584" s="101" customFormat="1" spans="6:6">
      <c r="F63584" s="2423"/>
    </row>
    <row r="63585" s="101" customFormat="1" spans="6:6">
      <c r="F63585" s="2423"/>
    </row>
    <row r="63586" s="101" customFormat="1" spans="6:6">
      <c r="F63586" s="2423"/>
    </row>
    <row r="63587" s="101" customFormat="1" spans="6:6">
      <c r="F63587" s="2423"/>
    </row>
    <row r="63588" s="101" customFormat="1" spans="6:6">
      <c r="F63588" s="2423"/>
    </row>
    <row r="63589" s="101" customFormat="1" spans="6:6">
      <c r="F63589" s="2423"/>
    </row>
    <row r="63590" s="101" customFormat="1" spans="6:6">
      <c r="F63590" s="2423"/>
    </row>
    <row r="63591" s="101" customFormat="1" spans="6:6">
      <c r="F63591" s="2423"/>
    </row>
    <row r="63592" s="101" customFormat="1" spans="6:6">
      <c r="F63592" s="2423"/>
    </row>
    <row r="63593" s="101" customFormat="1" spans="6:6">
      <c r="F63593" s="2423"/>
    </row>
    <row r="63594" s="101" customFormat="1" spans="6:6">
      <c r="F63594" s="2423"/>
    </row>
    <row r="63595" s="101" customFormat="1" spans="6:6">
      <c r="F63595" s="2423"/>
    </row>
    <row r="63596" s="101" customFormat="1" spans="6:6">
      <c r="F63596" s="2423"/>
    </row>
    <row r="63597" s="101" customFormat="1" spans="6:6">
      <c r="F63597" s="2423"/>
    </row>
    <row r="63598" s="101" customFormat="1" spans="6:6">
      <c r="F63598" s="2423"/>
    </row>
    <row r="63599" s="101" customFormat="1" spans="6:6">
      <c r="F63599" s="2423"/>
    </row>
    <row r="63600" s="101" customFormat="1" spans="6:6">
      <c r="F63600" s="2423"/>
    </row>
    <row r="63601" s="101" customFormat="1" spans="6:6">
      <c r="F63601" s="2423"/>
    </row>
    <row r="63602" s="101" customFormat="1" spans="6:6">
      <c r="F63602" s="2423"/>
    </row>
    <row r="63603" s="101" customFormat="1" spans="6:6">
      <c r="F63603" s="2423"/>
    </row>
    <row r="63604" s="101" customFormat="1" spans="6:6">
      <c r="F63604" s="2423"/>
    </row>
    <row r="63605" s="101" customFormat="1" spans="6:6">
      <c r="F63605" s="2423"/>
    </row>
    <row r="63606" s="101" customFormat="1" spans="6:6">
      <c r="F63606" s="2423"/>
    </row>
    <row r="63607" s="101" customFormat="1" spans="6:6">
      <c r="F63607" s="2423"/>
    </row>
    <row r="63608" s="101" customFormat="1" spans="6:6">
      <c r="F63608" s="2423"/>
    </row>
    <row r="63609" s="101" customFormat="1" spans="6:6">
      <c r="F63609" s="2423"/>
    </row>
    <row r="63610" s="101" customFormat="1" spans="6:6">
      <c r="F63610" s="2423"/>
    </row>
    <row r="63611" s="101" customFormat="1" spans="6:6">
      <c r="F63611" s="2423"/>
    </row>
    <row r="63612" s="101" customFormat="1" spans="6:6">
      <c r="F63612" s="2423"/>
    </row>
    <row r="63613" s="101" customFormat="1" spans="6:6">
      <c r="F63613" s="2423"/>
    </row>
    <row r="63614" s="101" customFormat="1" spans="6:6">
      <c r="F63614" s="2423"/>
    </row>
    <row r="63615" s="101" customFormat="1" spans="6:6">
      <c r="F63615" s="2423"/>
    </row>
    <row r="63616" s="101" customFormat="1" spans="6:6">
      <c r="F63616" s="2423"/>
    </row>
    <row r="63617" s="101" customFormat="1" spans="6:6">
      <c r="F63617" s="2423"/>
    </row>
    <row r="63618" s="101" customFormat="1" spans="6:6">
      <c r="F63618" s="2423"/>
    </row>
    <row r="63619" s="101" customFormat="1" spans="6:6">
      <c r="F63619" s="2423"/>
    </row>
    <row r="63620" s="101" customFormat="1" spans="6:6">
      <c r="F63620" s="2423"/>
    </row>
    <row r="63621" s="101" customFormat="1" spans="6:6">
      <c r="F63621" s="2423"/>
    </row>
    <row r="63622" s="101" customFormat="1" spans="6:6">
      <c r="F63622" s="2423"/>
    </row>
    <row r="63623" s="101" customFormat="1" spans="6:6">
      <c r="F63623" s="2423"/>
    </row>
    <row r="63624" s="101" customFormat="1" spans="6:6">
      <c r="F63624" s="2423"/>
    </row>
    <row r="63625" s="101" customFormat="1" spans="6:6">
      <c r="F63625" s="2423"/>
    </row>
    <row r="63626" s="101" customFormat="1" spans="6:6">
      <c r="F63626" s="2423"/>
    </row>
    <row r="63627" s="101" customFormat="1" spans="6:6">
      <c r="F63627" s="2423"/>
    </row>
    <row r="63628" s="101" customFormat="1" spans="6:6">
      <c r="F63628" s="2423"/>
    </row>
    <row r="63629" s="101" customFormat="1" spans="6:6">
      <c r="F63629" s="2423"/>
    </row>
    <row r="63630" s="101" customFormat="1" spans="6:6">
      <c r="F63630" s="2423"/>
    </row>
    <row r="63631" s="101" customFormat="1" spans="6:6">
      <c r="F63631" s="2423"/>
    </row>
    <row r="63632" s="101" customFormat="1" spans="6:6">
      <c r="F63632" s="2423"/>
    </row>
    <row r="63633" s="101" customFormat="1" spans="6:6">
      <c r="F63633" s="2423"/>
    </row>
    <row r="63634" s="101" customFormat="1" spans="6:6">
      <c r="F63634" s="2423"/>
    </row>
    <row r="63635" s="101" customFormat="1" spans="6:6">
      <c r="F63635" s="2423"/>
    </row>
    <row r="63636" s="101" customFormat="1" spans="6:6">
      <c r="F63636" s="2423"/>
    </row>
    <row r="63637" s="101" customFormat="1" spans="6:6">
      <c r="F63637" s="2423"/>
    </row>
    <row r="63638" s="101" customFormat="1" spans="6:6">
      <c r="F63638" s="2423"/>
    </row>
    <row r="63639" s="101" customFormat="1" spans="6:6">
      <c r="F63639" s="2423"/>
    </row>
    <row r="63640" s="101" customFormat="1" spans="6:6">
      <c r="F63640" s="2423"/>
    </row>
    <row r="63641" s="101" customFormat="1" spans="6:6">
      <c r="F63641" s="2423"/>
    </row>
    <row r="63642" s="101" customFormat="1" spans="6:6">
      <c r="F63642" s="2423"/>
    </row>
    <row r="63643" s="101" customFormat="1" spans="6:6">
      <c r="F63643" s="2423"/>
    </row>
    <row r="63644" s="101" customFormat="1" spans="6:6">
      <c r="F63644" s="2423"/>
    </row>
    <row r="63645" s="101" customFormat="1" spans="6:6">
      <c r="F63645" s="2423"/>
    </row>
    <row r="63646" s="101" customFormat="1" spans="6:6">
      <c r="F63646" s="2423"/>
    </row>
    <row r="63647" s="101" customFormat="1" spans="6:6">
      <c r="F63647" s="2423"/>
    </row>
    <row r="63648" s="101" customFormat="1" spans="6:6">
      <c r="F63648" s="2423"/>
    </row>
    <row r="63649" s="101" customFormat="1" spans="6:6">
      <c r="F63649" s="2423"/>
    </row>
    <row r="63650" s="101" customFormat="1" spans="6:6">
      <c r="F63650" s="2423"/>
    </row>
    <row r="63651" s="101" customFormat="1" spans="6:6">
      <c r="F63651" s="2423"/>
    </row>
    <row r="63652" s="101" customFormat="1" spans="6:6">
      <c r="F63652" s="2423"/>
    </row>
    <row r="63653" s="101" customFormat="1" spans="6:6">
      <c r="F63653" s="2423"/>
    </row>
    <row r="63654" s="101" customFormat="1" spans="6:6">
      <c r="F63654" s="2423"/>
    </row>
    <row r="63655" s="101" customFormat="1" spans="6:6">
      <c r="F63655" s="2423"/>
    </row>
    <row r="63656" s="101" customFormat="1" spans="6:6">
      <c r="F63656" s="2423"/>
    </row>
    <row r="63657" s="101" customFormat="1" spans="6:6">
      <c r="F63657" s="2423"/>
    </row>
    <row r="63658" s="101" customFormat="1" spans="6:6">
      <c r="F63658" s="2423"/>
    </row>
    <row r="63659" s="101" customFormat="1" spans="6:6">
      <c r="F63659" s="2423"/>
    </row>
    <row r="63660" s="101" customFormat="1" spans="6:6">
      <c r="F63660" s="2423"/>
    </row>
    <row r="63661" s="101" customFormat="1" spans="6:6">
      <c r="F63661" s="2423"/>
    </row>
    <row r="63662" s="101" customFormat="1" spans="6:6">
      <c r="F63662" s="2423"/>
    </row>
    <row r="63663" s="101" customFormat="1" spans="6:6">
      <c r="F63663" s="2423"/>
    </row>
    <row r="63664" s="101" customFormat="1" spans="6:6">
      <c r="F63664" s="2423"/>
    </row>
    <row r="63665" s="101" customFormat="1" spans="6:6">
      <c r="F63665" s="2423"/>
    </row>
    <row r="63666" s="101" customFormat="1" spans="6:6">
      <c r="F63666" s="2423"/>
    </row>
    <row r="63667" s="101" customFormat="1" spans="6:6">
      <c r="F63667" s="2423"/>
    </row>
    <row r="63668" s="101" customFormat="1" spans="6:6">
      <c r="F63668" s="2423"/>
    </row>
    <row r="63669" s="101" customFormat="1" spans="6:6">
      <c r="F63669" s="2423"/>
    </row>
    <row r="63670" s="101" customFormat="1" spans="6:6">
      <c r="F63670" s="2423"/>
    </row>
    <row r="63671" s="101" customFormat="1" spans="6:6">
      <c r="F63671" s="2423"/>
    </row>
    <row r="63672" s="101" customFormat="1" spans="6:6">
      <c r="F63672" s="2423"/>
    </row>
    <row r="63673" s="101" customFormat="1" spans="6:6">
      <c r="F63673" s="2423"/>
    </row>
    <row r="63674" s="101" customFormat="1" spans="6:6">
      <c r="F63674" s="2423"/>
    </row>
    <row r="63675" s="101" customFormat="1" spans="6:6">
      <c r="F63675" s="2423"/>
    </row>
    <row r="63676" s="101" customFormat="1" spans="6:6">
      <c r="F63676" s="2423"/>
    </row>
    <row r="63677" s="101" customFormat="1" spans="6:6">
      <c r="F63677" s="2423"/>
    </row>
    <row r="63678" s="101" customFormat="1" spans="6:6">
      <c r="F63678" s="2423"/>
    </row>
    <row r="63679" s="101" customFormat="1" spans="6:6">
      <c r="F63679" s="2423"/>
    </row>
    <row r="63680" s="101" customFormat="1" spans="6:6">
      <c r="F63680" s="2423"/>
    </row>
    <row r="63681" s="101" customFormat="1" spans="6:6">
      <c r="F63681" s="2423"/>
    </row>
    <row r="63682" s="101" customFormat="1" spans="6:6">
      <c r="F63682" s="2423"/>
    </row>
    <row r="63683" s="101" customFormat="1" spans="6:6">
      <c r="F63683" s="2423"/>
    </row>
    <row r="63684" s="101" customFormat="1" spans="6:6">
      <c r="F63684" s="2423"/>
    </row>
    <row r="63685" s="101" customFormat="1" spans="6:6">
      <c r="F63685" s="2423"/>
    </row>
    <row r="63686" s="101" customFormat="1" spans="6:6">
      <c r="F63686" s="2423"/>
    </row>
    <row r="63687" s="101" customFormat="1" spans="6:6">
      <c r="F63687" s="2423"/>
    </row>
    <row r="63688" s="101" customFormat="1" spans="6:6">
      <c r="F63688" s="2423"/>
    </row>
    <row r="63689" s="101" customFormat="1" spans="6:6">
      <c r="F63689" s="2423"/>
    </row>
    <row r="63690" s="101" customFormat="1" spans="6:6">
      <c r="F63690" s="2423"/>
    </row>
    <row r="63691" s="101" customFormat="1" spans="6:6">
      <c r="F63691" s="2423"/>
    </row>
    <row r="63692" s="101" customFormat="1" spans="6:6">
      <c r="F63692" s="2423"/>
    </row>
    <row r="63693" s="101" customFormat="1" spans="6:6">
      <c r="F63693" s="2423"/>
    </row>
    <row r="63694" s="101" customFormat="1" spans="6:6">
      <c r="F63694" s="2423"/>
    </row>
    <row r="63695" s="101" customFormat="1" spans="6:6">
      <c r="F63695" s="2423"/>
    </row>
    <row r="63696" s="101" customFormat="1" spans="6:6">
      <c r="F63696" s="2423"/>
    </row>
    <row r="63697" s="101" customFormat="1" spans="6:6">
      <c r="F63697" s="2423"/>
    </row>
    <row r="63698" s="101" customFormat="1" spans="6:6">
      <c r="F63698" s="2423"/>
    </row>
    <row r="63699" s="101" customFormat="1" spans="6:6">
      <c r="F63699" s="2423"/>
    </row>
    <row r="63700" s="101" customFormat="1" spans="6:6">
      <c r="F63700" s="2423"/>
    </row>
    <row r="63701" s="101" customFormat="1" spans="6:6">
      <c r="F63701" s="2423"/>
    </row>
    <row r="63702" s="101" customFormat="1" spans="6:6">
      <c r="F63702" s="2423"/>
    </row>
    <row r="63703" s="101" customFormat="1" spans="6:6">
      <c r="F63703" s="2423"/>
    </row>
    <row r="63704" s="101" customFormat="1" spans="6:6">
      <c r="F63704" s="2423"/>
    </row>
    <row r="63705" s="101" customFormat="1" spans="6:6">
      <c r="F63705" s="2423"/>
    </row>
    <row r="63706" s="101" customFormat="1" spans="6:6">
      <c r="F63706" s="2423"/>
    </row>
    <row r="63707" s="101" customFormat="1" spans="6:6">
      <c r="F63707" s="2423"/>
    </row>
    <row r="63708" s="101" customFormat="1" spans="6:6">
      <c r="F63708" s="2423"/>
    </row>
    <row r="63709" s="101" customFormat="1" spans="6:6">
      <c r="F63709" s="2423"/>
    </row>
    <row r="63710" s="101" customFormat="1" spans="6:6">
      <c r="F63710" s="2423"/>
    </row>
    <row r="63711" s="101" customFormat="1" spans="6:6">
      <c r="F63711" s="2423"/>
    </row>
    <row r="63712" s="101" customFormat="1" spans="6:6">
      <c r="F63712" s="2423"/>
    </row>
    <row r="63713" s="101" customFormat="1" spans="6:6">
      <c r="F63713" s="2423"/>
    </row>
    <row r="63714" s="101" customFormat="1" spans="6:6">
      <c r="F63714" s="2423"/>
    </row>
    <row r="63715" s="101" customFormat="1" spans="6:6">
      <c r="F63715" s="2423"/>
    </row>
    <row r="63716" s="101" customFormat="1" spans="6:6">
      <c r="F63716" s="2423"/>
    </row>
    <row r="63717" s="101" customFormat="1" spans="6:6">
      <c r="F63717" s="2423"/>
    </row>
    <row r="63718" s="101" customFormat="1" spans="6:6">
      <c r="F63718" s="2423"/>
    </row>
    <row r="63719" s="101" customFormat="1" spans="6:6">
      <c r="F63719" s="2423"/>
    </row>
    <row r="63720" s="101" customFormat="1" spans="6:6">
      <c r="F63720" s="2423"/>
    </row>
    <row r="63721" s="101" customFormat="1" spans="6:6">
      <c r="F63721" s="2423"/>
    </row>
    <row r="63722" s="101" customFormat="1" spans="6:6">
      <c r="F63722" s="2423"/>
    </row>
    <row r="63723" s="101" customFormat="1" spans="6:6">
      <c r="F63723" s="2423"/>
    </row>
    <row r="63724" s="101" customFormat="1" spans="6:6">
      <c r="F63724" s="2423"/>
    </row>
    <row r="63725" s="101" customFormat="1" spans="6:6">
      <c r="F63725" s="2423"/>
    </row>
    <row r="63726" s="101" customFormat="1" spans="6:6">
      <c r="F63726" s="2423"/>
    </row>
    <row r="63727" s="101" customFormat="1" spans="6:6">
      <c r="F63727" s="2423"/>
    </row>
    <row r="63728" s="101" customFormat="1" spans="6:6">
      <c r="F63728" s="2423"/>
    </row>
    <row r="63729" s="101" customFormat="1" spans="6:6">
      <c r="F63729" s="2423"/>
    </row>
    <row r="63730" s="101" customFormat="1" spans="6:6">
      <c r="F63730" s="2423"/>
    </row>
    <row r="63731" s="101" customFormat="1" spans="6:6">
      <c r="F63731" s="2423"/>
    </row>
    <row r="63732" s="101" customFormat="1" spans="6:6">
      <c r="F63732" s="2423"/>
    </row>
    <row r="63733" s="101" customFormat="1" spans="6:6">
      <c r="F63733" s="2423"/>
    </row>
    <row r="63734" s="101" customFormat="1" spans="6:6">
      <c r="F63734" s="2423"/>
    </row>
    <row r="63735" s="101" customFormat="1" spans="6:6">
      <c r="F63735" s="2423"/>
    </row>
    <row r="63736" s="101" customFormat="1" spans="6:6">
      <c r="F63736" s="2423"/>
    </row>
    <row r="63737" s="101" customFormat="1" spans="6:6">
      <c r="F63737" s="2423"/>
    </row>
    <row r="63738" s="101" customFormat="1" spans="6:6">
      <c r="F63738" s="2423"/>
    </row>
    <row r="63739" s="101" customFormat="1" spans="6:6">
      <c r="F63739" s="2423"/>
    </row>
    <row r="63740" s="101" customFormat="1" spans="6:6">
      <c r="F63740" s="2423"/>
    </row>
    <row r="63741" s="101" customFormat="1" spans="6:6">
      <c r="F63741" s="2423"/>
    </row>
    <row r="63742" s="101" customFormat="1" spans="6:6">
      <c r="F63742" s="2423"/>
    </row>
    <row r="63743" s="101" customFormat="1" spans="6:6">
      <c r="F63743" s="2423"/>
    </row>
    <row r="63744" s="101" customFormat="1" spans="6:6">
      <c r="F63744" s="2423"/>
    </row>
    <row r="63745" s="101" customFormat="1" spans="6:6">
      <c r="F63745" s="2423"/>
    </row>
    <row r="63746" s="101" customFormat="1" spans="6:6">
      <c r="F63746" s="2423"/>
    </row>
    <row r="63747" s="101" customFormat="1" spans="6:6">
      <c r="F63747" s="2423"/>
    </row>
    <row r="63748" s="101" customFormat="1" spans="6:6">
      <c r="F63748" s="2423"/>
    </row>
    <row r="63749" s="101" customFormat="1" spans="6:6">
      <c r="F63749" s="2423"/>
    </row>
    <row r="63750" s="101" customFormat="1" spans="6:6">
      <c r="F63750" s="2423"/>
    </row>
    <row r="63751" s="101" customFormat="1" spans="6:6">
      <c r="F63751" s="2423"/>
    </row>
    <row r="63752" s="101" customFormat="1" spans="6:6">
      <c r="F63752" s="2423"/>
    </row>
    <row r="63753" s="101" customFormat="1" spans="6:6">
      <c r="F63753" s="2423"/>
    </row>
    <row r="63754" s="101" customFormat="1" spans="6:6">
      <c r="F63754" s="2423"/>
    </row>
    <row r="63755" s="101" customFormat="1" spans="6:6">
      <c r="F63755" s="2423"/>
    </row>
    <row r="63756" s="101" customFormat="1" spans="6:6">
      <c r="F63756" s="2423"/>
    </row>
    <row r="63757" s="101" customFormat="1" spans="6:6">
      <c r="F63757" s="2423"/>
    </row>
    <row r="63758" s="101" customFormat="1" spans="6:6">
      <c r="F63758" s="2423"/>
    </row>
    <row r="63759" s="101" customFormat="1" spans="6:6">
      <c r="F63759" s="2423"/>
    </row>
    <row r="63760" s="101" customFormat="1" spans="6:6">
      <c r="F63760" s="2423"/>
    </row>
    <row r="63761" s="101" customFormat="1" spans="6:6">
      <c r="F63761" s="2423"/>
    </row>
    <row r="63762" s="101" customFormat="1" spans="6:6">
      <c r="F63762" s="2423"/>
    </row>
    <row r="63763" s="101" customFormat="1" spans="6:6">
      <c r="F63763" s="2423"/>
    </row>
    <row r="63764" s="101" customFormat="1" spans="6:6">
      <c r="F63764" s="2423"/>
    </row>
    <row r="63765" s="101" customFormat="1" spans="6:6">
      <c r="F63765" s="2423"/>
    </row>
    <row r="63766" s="101" customFormat="1" spans="6:6">
      <c r="F63766" s="2423"/>
    </row>
    <row r="63767" s="101" customFormat="1" spans="6:6">
      <c r="F63767" s="2423"/>
    </row>
    <row r="63768" s="101" customFormat="1" spans="6:6">
      <c r="F63768" s="2423"/>
    </row>
    <row r="63769" s="101" customFormat="1" spans="6:6">
      <c r="F63769" s="2423"/>
    </row>
    <row r="63770" s="101" customFormat="1" spans="6:6">
      <c r="F63770" s="2423"/>
    </row>
    <row r="63771" s="101" customFormat="1" spans="6:6">
      <c r="F63771" s="2423"/>
    </row>
    <row r="63772" s="101" customFormat="1" spans="6:6">
      <c r="F63772" s="2423"/>
    </row>
    <row r="63773" s="101" customFormat="1" spans="6:6">
      <c r="F63773" s="2423"/>
    </row>
    <row r="63774" s="101" customFormat="1" spans="6:6">
      <c r="F63774" s="2423"/>
    </row>
    <row r="63775" s="101" customFormat="1" spans="6:6">
      <c r="F63775" s="2423"/>
    </row>
    <row r="63776" s="101" customFormat="1" spans="6:6">
      <c r="F63776" s="2423"/>
    </row>
    <row r="63777" s="101" customFormat="1" spans="6:6">
      <c r="F63777" s="2423"/>
    </row>
    <row r="63778" s="101" customFormat="1" spans="6:6">
      <c r="F63778" s="2423"/>
    </row>
    <row r="63779" s="101" customFormat="1" spans="6:6">
      <c r="F63779" s="2423"/>
    </row>
    <row r="63780" s="101" customFormat="1" spans="6:6">
      <c r="F63780" s="2423"/>
    </row>
    <row r="63781" s="101" customFormat="1" spans="6:6">
      <c r="F63781" s="2423"/>
    </row>
    <row r="63782" s="101" customFormat="1" spans="6:6">
      <c r="F63782" s="2423"/>
    </row>
    <row r="63783" s="101" customFormat="1" spans="6:6">
      <c r="F63783" s="2423"/>
    </row>
    <row r="63784" s="101" customFormat="1" spans="6:6">
      <c r="F63784" s="2423"/>
    </row>
    <row r="63785" s="101" customFormat="1" spans="6:6">
      <c r="F63785" s="2423"/>
    </row>
    <row r="63786" s="101" customFormat="1" spans="6:6">
      <c r="F63786" s="2423"/>
    </row>
    <row r="63787" s="101" customFormat="1" spans="6:6">
      <c r="F63787" s="2423"/>
    </row>
    <row r="63788" s="101" customFormat="1" spans="6:6">
      <c r="F63788" s="2423"/>
    </row>
    <row r="63789" s="101" customFormat="1" spans="6:6">
      <c r="F63789" s="2423"/>
    </row>
    <row r="63790" s="101" customFormat="1" spans="6:6">
      <c r="F63790" s="2423"/>
    </row>
    <row r="63791" s="101" customFormat="1" spans="6:6">
      <c r="F63791" s="2423"/>
    </row>
    <row r="63792" s="101" customFormat="1" spans="6:6">
      <c r="F63792" s="2423"/>
    </row>
    <row r="63793" s="101" customFormat="1" spans="6:6">
      <c r="F63793" s="2423"/>
    </row>
    <row r="63794" s="101" customFormat="1" spans="6:6">
      <c r="F63794" s="2423"/>
    </row>
    <row r="63795" s="101" customFormat="1" spans="6:6">
      <c r="F63795" s="2423"/>
    </row>
    <row r="63796" s="101" customFormat="1" spans="6:6">
      <c r="F63796" s="2423"/>
    </row>
    <row r="63797" s="101" customFormat="1" spans="6:6">
      <c r="F63797" s="2423"/>
    </row>
    <row r="63798" s="101" customFormat="1" spans="6:6">
      <c r="F63798" s="2423"/>
    </row>
    <row r="63799" s="101" customFormat="1" spans="6:6">
      <c r="F63799" s="2423"/>
    </row>
    <row r="63800" s="101" customFormat="1" spans="6:6">
      <c r="F63800" s="2423"/>
    </row>
    <row r="63801" s="101" customFormat="1" spans="6:6">
      <c r="F63801" s="2423"/>
    </row>
    <row r="63802" s="101" customFormat="1" spans="6:6">
      <c r="F63802" s="2423"/>
    </row>
    <row r="63803" s="101" customFormat="1" spans="6:6">
      <c r="F63803" s="2423"/>
    </row>
    <row r="63804" s="101" customFormat="1" spans="6:6">
      <c r="F63804" s="2423"/>
    </row>
    <row r="63805" s="101" customFormat="1" spans="6:6">
      <c r="F63805" s="2423"/>
    </row>
    <row r="63806" s="101" customFormat="1" spans="6:6">
      <c r="F63806" s="2423"/>
    </row>
    <row r="63807" s="101" customFormat="1" spans="6:6">
      <c r="F63807" s="2423"/>
    </row>
    <row r="63808" s="101" customFormat="1" spans="6:6">
      <c r="F63808" s="2423"/>
    </row>
    <row r="63809" s="101" customFormat="1" spans="6:6">
      <c r="F63809" s="2423"/>
    </row>
    <row r="63810" s="101" customFormat="1" spans="6:6">
      <c r="F63810" s="2423"/>
    </row>
    <row r="63811" s="101" customFormat="1" spans="6:6">
      <c r="F63811" s="2423"/>
    </row>
    <row r="63812" s="101" customFormat="1" spans="6:6">
      <c r="F63812" s="2423"/>
    </row>
    <row r="63813" s="101" customFormat="1" spans="6:6">
      <c r="F63813" s="2423"/>
    </row>
    <row r="63814" s="101" customFormat="1" spans="6:6">
      <c r="F63814" s="2423"/>
    </row>
    <row r="63815" s="101" customFormat="1" spans="6:6">
      <c r="F63815" s="2423"/>
    </row>
    <row r="63816" s="101" customFormat="1" spans="6:6">
      <c r="F63816" s="2423"/>
    </row>
    <row r="63817" s="101" customFormat="1" spans="6:6">
      <c r="F63817" s="2423"/>
    </row>
    <row r="63818" s="101" customFormat="1" spans="6:6">
      <c r="F63818" s="2423"/>
    </row>
    <row r="63819" s="101" customFormat="1" spans="6:6">
      <c r="F63819" s="2423"/>
    </row>
    <row r="63820" s="101" customFormat="1" spans="6:6">
      <c r="F63820" s="2423"/>
    </row>
    <row r="63821" s="101" customFormat="1" spans="6:6">
      <c r="F63821" s="2423"/>
    </row>
    <row r="63822" s="101" customFormat="1" spans="6:6">
      <c r="F63822" s="2423"/>
    </row>
    <row r="63823" s="101" customFormat="1" spans="6:6">
      <c r="F63823" s="2423"/>
    </row>
    <row r="63824" s="101" customFormat="1" spans="6:6">
      <c r="F63824" s="2423"/>
    </row>
    <row r="63825" s="101" customFormat="1" spans="6:6">
      <c r="F63825" s="2423"/>
    </row>
    <row r="63826" s="101" customFormat="1" spans="6:6">
      <c r="F63826" s="2423"/>
    </row>
    <row r="63827" s="101" customFormat="1" spans="6:6">
      <c r="F63827" s="2423"/>
    </row>
    <row r="63828" s="101" customFormat="1" spans="6:6">
      <c r="F63828" s="2423"/>
    </row>
    <row r="63829" s="101" customFormat="1" spans="6:6">
      <c r="F63829" s="2423"/>
    </row>
    <row r="63830" s="101" customFormat="1" spans="6:6">
      <c r="F63830" s="2423"/>
    </row>
    <row r="63831" s="101" customFormat="1" spans="6:6">
      <c r="F63831" s="2423"/>
    </row>
    <row r="63832" s="101" customFormat="1" spans="6:6">
      <c r="F63832" s="2423"/>
    </row>
    <row r="63833" s="101" customFormat="1" spans="6:6">
      <c r="F63833" s="2423"/>
    </row>
    <row r="63834" s="101" customFormat="1" spans="6:6">
      <c r="F63834" s="2423"/>
    </row>
    <row r="63835" s="101" customFormat="1" spans="6:6">
      <c r="F63835" s="2423"/>
    </row>
    <row r="63836" s="101" customFormat="1" spans="6:6">
      <c r="F63836" s="2423"/>
    </row>
    <row r="63837" s="101" customFormat="1" spans="6:6">
      <c r="F63837" s="2423"/>
    </row>
    <row r="63838" s="101" customFormat="1" spans="6:6">
      <c r="F63838" s="2423"/>
    </row>
    <row r="63839" s="101" customFormat="1" spans="6:6">
      <c r="F63839" s="2423"/>
    </row>
    <row r="63840" s="101" customFormat="1" spans="6:6">
      <c r="F63840" s="2423"/>
    </row>
    <row r="63841" s="101" customFormat="1" spans="6:6">
      <c r="F63841" s="2423"/>
    </row>
    <row r="63842" s="101" customFormat="1" spans="6:6">
      <c r="F63842" s="2423"/>
    </row>
    <row r="63843" s="101" customFormat="1" spans="6:6">
      <c r="F63843" s="2423"/>
    </row>
    <row r="63844" s="101" customFormat="1" spans="6:6">
      <c r="F63844" s="2423"/>
    </row>
    <row r="63845" s="101" customFormat="1" spans="6:6">
      <c r="F63845" s="2423"/>
    </row>
    <row r="63846" s="101" customFormat="1" spans="6:6">
      <c r="F63846" s="2423"/>
    </row>
    <row r="63847" s="101" customFormat="1" spans="6:6">
      <c r="F63847" s="2423"/>
    </row>
    <row r="63848" s="101" customFormat="1" spans="6:6">
      <c r="F63848" s="2423"/>
    </row>
    <row r="63849" s="101" customFormat="1" spans="6:6">
      <c r="F63849" s="2423"/>
    </row>
    <row r="63850" s="101" customFormat="1" spans="6:6">
      <c r="F63850" s="2423"/>
    </row>
    <row r="63851" s="101" customFormat="1" spans="6:6">
      <c r="F63851" s="2423"/>
    </row>
    <row r="63852" s="101" customFormat="1" spans="6:6">
      <c r="F63852" s="2423"/>
    </row>
    <row r="63853" s="101" customFormat="1" spans="6:6">
      <c r="F63853" s="2423"/>
    </row>
    <row r="63854" s="101" customFormat="1" spans="6:6">
      <c r="F63854" s="2423"/>
    </row>
    <row r="63855" s="101" customFormat="1" spans="6:6">
      <c r="F63855" s="2423"/>
    </row>
    <row r="63856" s="101" customFormat="1" spans="6:6">
      <c r="F63856" s="2423"/>
    </row>
    <row r="63857" s="101" customFormat="1" spans="6:6">
      <c r="F63857" s="2423"/>
    </row>
    <row r="63858" s="101" customFormat="1" spans="6:6">
      <c r="F63858" s="2423"/>
    </row>
    <row r="63859" s="101" customFormat="1" spans="6:6">
      <c r="F63859" s="2423"/>
    </row>
    <row r="63860" s="101" customFormat="1" spans="6:6">
      <c r="F63860" s="2423"/>
    </row>
    <row r="63861" s="101" customFormat="1" spans="6:6">
      <c r="F63861" s="2423"/>
    </row>
    <row r="63862" s="101" customFormat="1" spans="6:6">
      <c r="F63862" s="2423"/>
    </row>
    <row r="63863" s="101" customFormat="1" spans="6:6">
      <c r="F63863" s="2423"/>
    </row>
    <row r="63864" s="101" customFormat="1" spans="6:6">
      <c r="F63864" s="2423"/>
    </row>
    <row r="63865" s="101" customFormat="1" spans="6:6">
      <c r="F63865" s="2423"/>
    </row>
    <row r="63866" s="101" customFormat="1" spans="6:6">
      <c r="F63866" s="2423"/>
    </row>
    <row r="63867" s="101" customFormat="1" spans="6:6">
      <c r="F63867" s="2423"/>
    </row>
    <row r="63868" s="101" customFormat="1" spans="6:6">
      <c r="F63868" s="2423"/>
    </row>
    <row r="63869" s="101" customFormat="1" spans="6:6">
      <c r="F63869" s="2423"/>
    </row>
    <row r="63870" s="101" customFormat="1" spans="6:6">
      <c r="F63870" s="2423"/>
    </row>
    <row r="63871" s="101" customFormat="1" spans="6:6">
      <c r="F63871" s="2423"/>
    </row>
    <row r="63872" s="101" customFormat="1" spans="6:6">
      <c r="F63872" s="2423"/>
    </row>
    <row r="63873" s="101" customFormat="1" spans="6:6">
      <c r="F63873" s="2423"/>
    </row>
    <row r="63874" s="101" customFormat="1" spans="6:6">
      <c r="F63874" s="2423"/>
    </row>
    <row r="63875" s="101" customFormat="1" spans="6:6">
      <c r="F63875" s="2423"/>
    </row>
    <row r="63876" s="101" customFormat="1" spans="6:6">
      <c r="F63876" s="2423"/>
    </row>
    <row r="63877" s="101" customFormat="1" spans="6:6">
      <c r="F63877" s="2423"/>
    </row>
    <row r="63878" s="101" customFormat="1" spans="6:6">
      <c r="F63878" s="2423"/>
    </row>
    <row r="63879" s="101" customFormat="1" spans="6:6">
      <c r="F63879" s="2423"/>
    </row>
    <row r="63880" s="101" customFormat="1" spans="6:6">
      <c r="F63880" s="2423"/>
    </row>
    <row r="63881" s="101" customFormat="1" spans="6:6">
      <c r="F63881" s="2423"/>
    </row>
    <row r="63882" s="101" customFormat="1" spans="6:6">
      <c r="F63882" s="2423"/>
    </row>
    <row r="63883" s="101" customFormat="1" spans="6:6">
      <c r="F63883" s="2423"/>
    </row>
    <row r="63884" s="101" customFormat="1" spans="6:6">
      <c r="F63884" s="2423"/>
    </row>
    <row r="63885" s="101" customFormat="1" spans="6:6">
      <c r="F63885" s="2423"/>
    </row>
    <row r="63886" s="101" customFormat="1" spans="6:6">
      <c r="F63886" s="2423"/>
    </row>
    <row r="63887" s="101" customFormat="1" spans="6:6">
      <c r="F63887" s="2423"/>
    </row>
    <row r="63888" s="101" customFormat="1" spans="6:6">
      <c r="F63888" s="2423"/>
    </row>
    <row r="63889" s="101" customFormat="1" spans="6:6">
      <c r="F63889" s="2423"/>
    </row>
    <row r="63890" s="101" customFormat="1" spans="6:6">
      <c r="F63890" s="2423"/>
    </row>
    <row r="63891" s="101" customFormat="1" spans="6:6">
      <c r="F63891" s="2423"/>
    </row>
    <row r="63892" s="101" customFormat="1" spans="6:6">
      <c r="F63892" s="2423"/>
    </row>
    <row r="63893" s="101" customFormat="1" spans="6:6">
      <c r="F63893" s="2423"/>
    </row>
    <row r="63894" s="101" customFormat="1" spans="6:6">
      <c r="F63894" s="2423"/>
    </row>
    <row r="63895" s="101" customFormat="1" spans="6:6">
      <c r="F63895" s="2423"/>
    </row>
    <row r="63896" s="101" customFormat="1" spans="6:6">
      <c r="F63896" s="2423"/>
    </row>
    <row r="63897" s="101" customFormat="1" spans="6:6">
      <c r="F63897" s="2423"/>
    </row>
    <row r="63898" s="101" customFormat="1" spans="6:6">
      <c r="F63898" s="2423"/>
    </row>
    <row r="63899" s="101" customFormat="1" spans="6:6">
      <c r="F63899" s="2423"/>
    </row>
    <row r="63900" s="101" customFormat="1" spans="6:6">
      <c r="F63900" s="2423"/>
    </row>
    <row r="63901" s="101" customFormat="1" spans="6:6">
      <c r="F63901" s="2423"/>
    </row>
    <row r="63902" s="101" customFormat="1" spans="6:6">
      <c r="F63902" s="2423"/>
    </row>
    <row r="63903" s="101" customFormat="1" spans="6:6">
      <c r="F63903" s="2423"/>
    </row>
    <row r="63904" s="101" customFormat="1" spans="6:6">
      <c r="F63904" s="2423"/>
    </row>
    <row r="63905" s="101" customFormat="1" spans="6:6">
      <c r="F63905" s="2423"/>
    </row>
    <row r="63906" s="101" customFormat="1" spans="6:6">
      <c r="F63906" s="2423"/>
    </row>
    <row r="63907" s="101" customFormat="1" spans="6:6">
      <c r="F63907" s="2423"/>
    </row>
    <row r="63908" s="101" customFormat="1" spans="6:6">
      <c r="F63908" s="2423"/>
    </row>
    <row r="63909" s="101" customFormat="1" spans="6:6">
      <c r="F63909" s="2423"/>
    </row>
    <row r="63910" s="101" customFormat="1" spans="6:6">
      <c r="F63910" s="2423"/>
    </row>
    <row r="63911" s="101" customFormat="1" spans="6:6">
      <c r="F63911" s="2423"/>
    </row>
    <row r="63912" s="101" customFormat="1" spans="6:6">
      <c r="F63912" s="2423"/>
    </row>
    <row r="63913" s="101" customFormat="1" spans="6:6">
      <c r="F63913" s="2423"/>
    </row>
    <row r="63914" s="101" customFormat="1" spans="6:6">
      <c r="F63914" s="2423"/>
    </row>
    <row r="63915" s="101" customFormat="1" spans="6:6">
      <c r="F63915" s="2423"/>
    </row>
    <row r="63916" s="101" customFormat="1" spans="6:6">
      <c r="F63916" s="2423"/>
    </row>
    <row r="63917" s="101" customFormat="1" spans="6:6">
      <c r="F63917" s="2423"/>
    </row>
    <row r="63918" s="101" customFormat="1" spans="6:6">
      <c r="F63918" s="2423"/>
    </row>
    <row r="63919" s="101" customFormat="1" spans="6:6">
      <c r="F63919" s="2423"/>
    </row>
    <row r="63920" s="101" customFormat="1" spans="6:6">
      <c r="F63920" s="2423"/>
    </row>
    <row r="63921" s="101" customFormat="1" spans="6:6">
      <c r="F63921" s="2423"/>
    </row>
    <row r="63922" s="101" customFormat="1" spans="6:6">
      <c r="F63922" s="2423"/>
    </row>
    <row r="63923" s="101" customFormat="1" spans="6:6">
      <c r="F63923" s="2423"/>
    </row>
    <row r="63924" s="101" customFormat="1" spans="6:6">
      <c r="F63924" s="2423"/>
    </row>
    <row r="63925" s="101" customFormat="1" spans="6:6">
      <c r="F63925" s="2423"/>
    </row>
    <row r="63926" s="101" customFormat="1" spans="6:6">
      <c r="F63926" s="2423"/>
    </row>
    <row r="63927" s="101" customFormat="1" spans="6:6">
      <c r="F63927" s="2423"/>
    </row>
    <row r="63928" s="101" customFormat="1" spans="6:6">
      <c r="F63928" s="2423"/>
    </row>
    <row r="63929" s="101" customFormat="1" spans="6:6">
      <c r="F63929" s="2423"/>
    </row>
    <row r="63930" s="101" customFormat="1" spans="6:6">
      <c r="F63930" s="2423"/>
    </row>
    <row r="63931" s="101" customFormat="1" spans="6:6">
      <c r="F63931" s="2423"/>
    </row>
    <row r="63932" s="101" customFormat="1" spans="6:6">
      <c r="F63932" s="2423"/>
    </row>
    <row r="63933" s="101" customFormat="1" spans="6:6">
      <c r="F63933" s="2423"/>
    </row>
    <row r="63934" s="101" customFormat="1" spans="6:6">
      <c r="F63934" s="2423"/>
    </row>
    <row r="63935" s="101" customFormat="1" spans="6:6">
      <c r="F63935" s="2423"/>
    </row>
    <row r="63936" s="101" customFormat="1" spans="6:6">
      <c r="F63936" s="2423"/>
    </row>
    <row r="63937" s="101" customFormat="1" spans="6:6">
      <c r="F63937" s="2423"/>
    </row>
    <row r="63938" s="101" customFormat="1" spans="6:6">
      <c r="F63938" s="2423"/>
    </row>
    <row r="63939" s="101" customFormat="1" spans="6:6">
      <c r="F63939" s="2423"/>
    </row>
    <row r="63940" s="101" customFormat="1" spans="6:6">
      <c r="F63940" s="2423"/>
    </row>
    <row r="63941" s="101" customFormat="1" spans="6:6">
      <c r="F63941" s="2423"/>
    </row>
    <row r="63942" s="101" customFormat="1" spans="6:6">
      <c r="F63942" s="2423"/>
    </row>
    <row r="63943" s="101" customFormat="1" spans="6:6">
      <c r="F63943" s="2423"/>
    </row>
    <row r="63944" s="101" customFormat="1" spans="6:6">
      <c r="F63944" s="2423"/>
    </row>
    <row r="63945" s="101" customFormat="1" spans="6:6">
      <c r="F63945" s="2423"/>
    </row>
    <row r="63946" s="101" customFormat="1" spans="6:6">
      <c r="F63946" s="2423"/>
    </row>
    <row r="63947" s="101" customFormat="1" spans="6:6">
      <c r="F63947" s="2423"/>
    </row>
    <row r="63948" s="101" customFormat="1" spans="6:6">
      <c r="F63948" s="2423"/>
    </row>
    <row r="63949" s="101" customFormat="1" spans="6:6">
      <c r="F63949" s="2423"/>
    </row>
    <row r="63950" s="101" customFormat="1" spans="6:6">
      <c r="F63950" s="2423"/>
    </row>
    <row r="63951" s="101" customFormat="1" spans="6:6">
      <c r="F63951" s="2423"/>
    </row>
    <row r="63952" s="101" customFormat="1" spans="6:6">
      <c r="F63952" s="2423"/>
    </row>
    <row r="63953" s="101" customFormat="1" spans="6:6">
      <c r="F63953" s="2423"/>
    </row>
    <row r="63954" s="101" customFormat="1" spans="6:6">
      <c r="F63954" s="2423"/>
    </row>
    <row r="63955" s="101" customFormat="1" spans="6:6">
      <c r="F63955" s="2423"/>
    </row>
    <row r="63956" s="101" customFormat="1" spans="6:6">
      <c r="F63956" s="2423"/>
    </row>
    <row r="63957" s="101" customFormat="1" spans="6:6">
      <c r="F63957" s="2423"/>
    </row>
    <row r="63958" s="101" customFormat="1" spans="6:6">
      <c r="F63958" s="2423"/>
    </row>
    <row r="63959" s="101" customFormat="1" spans="6:6">
      <c r="F63959" s="2423"/>
    </row>
    <row r="63960" s="101" customFormat="1" spans="6:6">
      <c r="F63960" s="2423"/>
    </row>
    <row r="63961" s="101" customFormat="1" spans="6:6">
      <c r="F63961" s="2423"/>
    </row>
    <row r="63962" s="101" customFormat="1" spans="6:6">
      <c r="F63962" s="2423"/>
    </row>
    <row r="63963" s="101" customFormat="1" spans="6:6">
      <c r="F63963" s="2423"/>
    </row>
    <row r="63964" s="101" customFormat="1" spans="6:6">
      <c r="F63964" s="2423"/>
    </row>
    <row r="63965" s="101" customFormat="1" spans="6:6">
      <c r="F63965" s="2423"/>
    </row>
    <row r="63966" s="101" customFormat="1" spans="6:6">
      <c r="F63966" s="2423"/>
    </row>
    <row r="63967" s="101" customFormat="1" spans="6:6">
      <c r="F63967" s="2423"/>
    </row>
    <row r="63968" s="101" customFormat="1" spans="6:6">
      <c r="F63968" s="2423"/>
    </row>
    <row r="63969" s="101" customFormat="1" spans="6:6">
      <c r="F63969" s="2423"/>
    </row>
    <row r="63970" s="101" customFormat="1" spans="6:6">
      <c r="F63970" s="2423"/>
    </row>
    <row r="63971" s="101" customFormat="1" spans="6:6">
      <c r="F63971" s="2423"/>
    </row>
    <row r="63972" s="101" customFormat="1" spans="6:6">
      <c r="F63972" s="2423"/>
    </row>
    <row r="63973" s="101" customFormat="1" spans="6:6">
      <c r="F63973" s="2423"/>
    </row>
    <row r="63974" s="101" customFormat="1" spans="6:6">
      <c r="F63974" s="2423"/>
    </row>
    <row r="63975" s="101" customFormat="1" spans="6:6">
      <c r="F63975" s="2423"/>
    </row>
    <row r="63976" s="101" customFormat="1" spans="6:6">
      <c r="F63976" s="2423"/>
    </row>
    <row r="63977" s="101" customFormat="1" spans="6:6">
      <c r="F63977" s="2423"/>
    </row>
    <row r="63978" s="101" customFormat="1" spans="6:6">
      <c r="F63978" s="2423"/>
    </row>
    <row r="63979" s="101" customFormat="1" spans="6:6">
      <c r="F63979" s="2423"/>
    </row>
    <row r="63980" s="101" customFormat="1" spans="6:6">
      <c r="F63980" s="2423"/>
    </row>
    <row r="63981" s="101" customFormat="1" spans="6:6">
      <c r="F63981" s="2423"/>
    </row>
    <row r="63982" s="101" customFormat="1" spans="6:6">
      <c r="F63982" s="2423"/>
    </row>
    <row r="63983" s="101" customFormat="1" spans="6:6">
      <c r="F63983" s="2423"/>
    </row>
    <row r="63984" s="101" customFormat="1" spans="6:6">
      <c r="F63984" s="2423"/>
    </row>
    <row r="63985" s="101" customFormat="1" spans="6:6">
      <c r="F63985" s="2423"/>
    </row>
    <row r="63986" s="101" customFormat="1" spans="6:6">
      <c r="F63986" s="2423"/>
    </row>
    <row r="63987" s="101" customFormat="1" spans="6:6">
      <c r="F63987" s="2423"/>
    </row>
    <row r="63988" s="101" customFormat="1" spans="6:6">
      <c r="F63988" s="2423"/>
    </row>
    <row r="63989" s="101" customFormat="1" spans="6:6">
      <c r="F63989" s="2423"/>
    </row>
    <row r="63990" s="101" customFormat="1" spans="6:6">
      <c r="F63990" s="2423"/>
    </row>
    <row r="63991" s="101" customFormat="1" spans="6:6">
      <c r="F63991" s="2423"/>
    </row>
    <row r="63992" s="101" customFormat="1" spans="6:6">
      <c r="F63992" s="2423"/>
    </row>
    <row r="63993" s="101" customFormat="1" spans="6:6">
      <c r="F63993" s="2423"/>
    </row>
    <row r="63994" s="101" customFormat="1" spans="6:6">
      <c r="F63994" s="2423"/>
    </row>
    <row r="63995" s="101" customFormat="1" spans="6:6">
      <c r="F63995" s="2423"/>
    </row>
    <row r="63996" s="101" customFormat="1" spans="6:6">
      <c r="F63996" s="2423"/>
    </row>
    <row r="63997" s="101" customFormat="1" spans="6:6">
      <c r="F63997" s="2423"/>
    </row>
    <row r="63998" s="101" customFormat="1" spans="6:6">
      <c r="F63998" s="2423"/>
    </row>
    <row r="63999" s="101" customFormat="1" spans="6:6">
      <c r="F63999" s="2423"/>
    </row>
    <row r="64000" s="101" customFormat="1" spans="6:6">
      <c r="F64000" s="2423"/>
    </row>
    <row r="64001" s="101" customFormat="1" spans="6:6">
      <c r="F64001" s="2423"/>
    </row>
    <row r="64002" s="101" customFormat="1" spans="6:6">
      <c r="F64002" s="2423"/>
    </row>
    <row r="64003" s="101" customFormat="1" spans="6:6">
      <c r="F64003" s="2423"/>
    </row>
    <row r="64004" s="101" customFormat="1" spans="6:6">
      <c r="F64004" s="2423"/>
    </row>
    <row r="64005" s="101" customFormat="1" spans="6:6">
      <c r="F64005" s="2423"/>
    </row>
    <row r="64006" s="101" customFormat="1" spans="6:6">
      <c r="F64006" s="2423"/>
    </row>
    <row r="64007" s="101" customFormat="1" spans="6:6">
      <c r="F64007" s="2423"/>
    </row>
    <row r="64008" s="101" customFormat="1" spans="6:6">
      <c r="F64008" s="2423"/>
    </row>
    <row r="64009" s="101" customFormat="1" spans="6:6">
      <c r="F64009" s="2423"/>
    </row>
    <row r="64010" s="101" customFormat="1" spans="6:6">
      <c r="F64010" s="2423"/>
    </row>
    <row r="64011" s="101" customFormat="1" spans="6:6">
      <c r="F64011" s="2423"/>
    </row>
    <row r="64012" s="101" customFormat="1" spans="6:6">
      <c r="F64012" s="2423"/>
    </row>
    <row r="64013" s="101" customFormat="1" spans="6:6">
      <c r="F64013" s="2423"/>
    </row>
    <row r="64014" s="101" customFormat="1" spans="6:6">
      <c r="F64014" s="2423"/>
    </row>
    <row r="64015" s="101" customFormat="1" spans="6:6">
      <c r="F64015" s="2423"/>
    </row>
    <row r="64016" s="101" customFormat="1" spans="6:6">
      <c r="F64016" s="2423"/>
    </row>
    <row r="64017" s="101" customFormat="1" spans="6:6">
      <c r="F64017" s="2423"/>
    </row>
    <row r="64018" s="101" customFormat="1" spans="6:6">
      <c r="F64018" s="2423"/>
    </row>
    <row r="64019" s="101" customFormat="1" spans="6:6">
      <c r="F64019" s="2423"/>
    </row>
    <row r="64020" s="101" customFormat="1" spans="6:6">
      <c r="F64020" s="2423"/>
    </row>
    <row r="64021" s="101" customFormat="1" spans="6:6">
      <c r="F64021" s="2423"/>
    </row>
    <row r="64022" s="101" customFormat="1" spans="6:6">
      <c r="F64022" s="2423"/>
    </row>
    <row r="64023" s="101" customFormat="1" spans="6:6">
      <c r="F64023" s="2423"/>
    </row>
    <row r="64024" s="101" customFormat="1" spans="6:6">
      <c r="F64024" s="2423"/>
    </row>
    <row r="64025" s="101" customFormat="1" spans="6:6">
      <c r="F64025" s="2423"/>
    </row>
    <row r="64026" s="101" customFormat="1" spans="6:6">
      <c r="F64026" s="2423"/>
    </row>
    <row r="64027" s="101" customFormat="1" spans="6:6">
      <c r="F64027" s="2423"/>
    </row>
    <row r="64028" s="101" customFormat="1" spans="6:6">
      <c r="F64028" s="2423"/>
    </row>
    <row r="64029" s="101" customFormat="1" spans="6:6">
      <c r="F64029" s="2423"/>
    </row>
    <row r="64030" s="101" customFormat="1" spans="6:6">
      <c r="F64030" s="2423"/>
    </row>
    <row r="64031" s="101" customFormat="1" spans="6:6">
      <c r="F64031" s="2423"/>
    </row>
    <row r="64032" s="101" customFormat="1" spans="6:6">
      <c r="F64032" s="2423"/>
    </row>
    <row r="64033" s="101" customFormat="1" spans="6:6">
      <c r="F64033" s="2423"/>
    </row>
    <row r="64034" s="101" customFormat="1" spans="6:6">
      <c r="F64034" s="2423"/>
    </row>
    <row r="64035" s="101" customFormat="1" spans="6:6">
      <c r="F64035" s="2423"/>
    </row>
    <row r="64036" s="101" customFormat="1" spans="6:6">
      <c r="F64036" s="2423"/>
    </row>
    <row r="64037" s="101" customFormat="1" spans="6:6">
      <c r="F64037" s="2423"/>
    </row>
    <row r="64038" s="101" customFormat="1" spans="6:6">
      <c r="F64038" s="2423"/>
    </row>
    <row r="64039" s="101" customFormat="1" spans="6:6">
      <c r="F64039" s="2423"/>
    </row>
    <row r="64040" s="101" customFormat="1" spans="6:6">
      <c r="F64040" s="2423"/>
    </row>
    <row r="64041" s="101" customFormat="1" spans="6:6">
      <c r="F64041" s="2423"/>
    </row>
    <row r="64042" s="101" customFormat="1" spans="6:6">
      <c r="F64042" s="2423"/>
    </row>
    <row r="64043" s="101" customFormat="1" spans="6:6">
      <c r="F64043" s="2423"/>
    </row>
    <row r="64044" s="101" customFormat="1" spans="6:6">
      <c r="F64044" s="2423"/>
    </row>
    <row r="64045" s="101" customFormat="1" spans="6:6">
      <c r="F64045" s="2423"/>
    </row>
    <row r="64046" s="101" customFormat="1" spans="6:6">
      <c r="F64046" s="2423"/>
    </row>
    <row r="64047" s="101" customFormat="1" spans="6:6">
      <c r="F64047" s="2423"/>
    </row>
    <row r="64048" s="101" customFormat="1" spans="6:6">
      <c r="F64048" s="2423"/>
    </row>
    <row r="64049" s="101" customFormat="1" spans="6:6">
      <c r="F64049" s="2423"/>
    </row>
    <row r="64050" s="101" customFormat="1" spans="6:6">
      <c r="F64050" s="2423"/>
    </row>
    <row r="64051" s="101" customFormat="1" spans="6:6">
      <c r="F64051" s="2423"/>
    </row>
    <row r="64052" s="101" customFormat="1" spans="6:6">
      <c r="F64052" s="2423"/>
    </row>
    <row r="64053" s="101" customFormat="1" spans="6:6">
      <c r="F64053" s="2423"/>
    </row>
    <row r="64054" s="101" customFormat="1" spans="6:6">
      <c r="F64054" s="2423"/>
    </row>
    <row r="64055" s="101" customFormat="1" spans="6:6">
      <c r="F64055" s="2423"/>
    </row>
    <row r="64056" s="101" customFormat="1" spans="6:6">
      <c r="F64056" s="2423"/>
    </row>
    <row r="64057" s="101" customFormat="1" spans="6:6">
      <c r="F64057" s="2423"/>
    </row>
    <row r="64058" s="101" customFormat="1" spans="6:6">
      <c r="F64058" s="2423"/>
    </row>
    <row r="64059" s="101" customFormat="1" spans="6:6">
      <c r="F64059" s="2423"/>
    </row>
    <row r="64060" s="101" customFormat="1" spans="6:6">
      <c r="F64060" s="2423"/>
    </row>
    <row r="64061" s="101" customFormat="1" spans="6:6">
      <c r="F64061" s="2423"/>
    </row>
    <row r="64062" s="101" customFormat="1" spans="6:6">
      <c r="F64062" s="2423"/>
    </row>
    <row r="64063" s="101" customFormat="1" spans="6:6">
      <c r="F64063" s="2423"/>
    </row>
    <row r="64064" s="101" customFormat="1" spans="6:6">
      <c r="F64064" s="2423"/>
    </row>
    <row r="64065" s="101" customFormat="1" spans="6:6">
      <c r="F64065" s="2423"/>
    </row>
    <row r="64066" s="101" customFormat="1" spans="6:6">
      <c r="F64066" s="2423"/>
    </row>
    <row r="64067" s="101" customFormat="1" spans="6:6">
      <c r="F64067" s="2423"/>
    </row>
    <row r="64068" s="101" customFormat="1" spans="6:6">
      <c r="F64068" s="2423"/>
    </row>
    <row r="64069" s="101" customFormat="1" spans="6:6">
      <c r="F64069" s="2423"/>
    </row>
    <row r="64070" s="101" customFormat="1" spans="6:6">
      <c r="F64070" s="2423"/>
    </row>
    <row r="64071" s="101" customFormat="1" spans="6:6">
      <c r="F64071" s="2423"/>
    </row>
    <row r="64072" s="101" customFormat="1" spans="6:6">
      <c r="F64072" s="2423"/>
    </row>
    <row r="64073" s="101" customFormat="1" spans="6:6">
      <c r="F64073" s="2423"/>
    </row>
    <row r="64074" s="101" customFormat="1" spans="6:6">
      <c r="F64074" s="2423"/>
    </row>
    <row r="64075" s="101" customFormat="1" spans="6:6">
      <c r="F64075" s="2423"/>
    </row>
    <row r="64076" s="101" customFormat="1" spans="6:6">
      <c r="F64076" s="2423"/>
    </row>
    <row r="64077" s="101" customFormat="1" spans="6:6">
      <c r="F64077" s="2423"/>
    </row>
    <row r="64078" s="101" customFormat="1" spans="6:6">
      <c r="F64078" s="2423"/>
    </row>
    <row r="64079" s="101" customFormat="1" spans="6:6">
      <c r="F64079" s="2423"/>
    </row>
    <row r="64080" s="101" customFormat="1" spans="6:6">
      <c r="F64080" s="2423"/>
    </row>
    <row r="64081" s="101" customFormat="1" spans="6:6">
      <c r="F64081" s="2423"/>
    </row>
    <row r="64082" s="101" customFormat="1" spans="6:6">
      <c r="F64082" s="2423"/>
    </row>
    <row r="64083" s="101" customFormat="1" spans="6:6">
      <c r="F64083" s="2423"/>
    </row>
    <row r="64084" s="101" customFormat="1" spans="6:6">
      <c r="F64084" s="2423"/>
    </row>
    <row r="64085" s="101" customFormat="1" spans="6:6">
      <c r="F64085" s="2423"/>
    </row>
    <row r="64086" s="101" customFormat="1" spans="6:6">
      <c r="F64086" s="2423"/>
    </row>
    <row r="64087" s="101" customFormat="1" spans="6:6">
      <c r="F64087" s="2423"/>
    </row>
    <row r="64088" s="101" customFormat="1" spans="6:6">
      <c r="F64088" s="2423"/>
    </row>
    <row r="64089" s="101" customFormat="1" spans="6:6">
      <c r="F64089" s="2423"/>
    </row>
    <row r="64090" s="101" customFormat="1" spans="6:6">
      <c r="F64090" s="2423"/>
    </row>
    <row r="64091" s="101" customFormat="1" spans="6:6">
      <c r="F64091" s="2423"/>
    </row>
    <row r="64092" s="101" customFormat="1" spans="6:6">
      <c r="F64092" s="2423"/>
    </row>
    <row r="64093" s="101" customFormat="1" spans="6:6">
      <c r="F64093" s="2423"/>
    </row>
    <row r="64094" s="101" customFormat="1" spans="6:6">
      <c r="F64094" s="2423"/>
    </row>
    <row r="64095" s="101" customFormat="1" spans="6:6">
      <c r="F64095" s="2423"/>
    </row>
    <row r="64096" s="101" customFormat="1" spans="6:6">
      <c r="F64096" s="2423"/>
    </row>
    <row r="64097" s="101" customFormat="1" spans="6:6">
      <c r="F64097" s="2423"/>
    </row>
    <row r="64098" s="101" customFormat="1" spans="6:6">
      <c r="F64098" s="2423"/>
    </row>
    <row r="64099" s="101" customFormat="1" spans="6:6">
      <c r="F64099" s="2423"/>
    </row>
    <row r="64100" s="101" customFormat="1" spans="6:6">
      <c r="F64100" s="2423"/>
    </row>
    <row r="64101" s="101" customFormat="1" spans="6:6">
      <c r="F64101" s="2423"/>
    </row>
    <row r="64102" s="101" customFormat="1" spans="6:6">
      <c r="F64102" s="2423"/>
    </row>
    <row r="64103" s="101" customFormat="1" spans="6:6">
      <c r="F64103" s="2423"/>
    </row>
    <row r="64104" s="101" customFormat="1" spans="6:6">
      <c r="F64104" s="2423"/>
    </row>
    <row r="64105" s="101" customFormat="1" spans="6:6">
      <c r="F64105" s="2423"/>
    </row>
    <row r="64106" s="101" customFormat="1" spans="6:6">
      <c r="F64106" s="2423"/>
    </row>
    <row r="64107" s="101" customFormat="1" spans="6:6">
      <c r="F64107" s="2423"/>
    </row>
    <row r="64108" s="101" customFormat="1" spans="6:6">
      <c r="F64108" s="2423"/>
    </row>
    <row r="64109" s="101" customFormat="1" spans="6:6">
      <c r="F64109" s="2423"/>
    </row>
    <row r="64110" s="101" customFormat="1" spans="6:6">
      <c r="F64110" s="2423"/>
    </row>
    <row r="64111" s="101" customFormat="1" spans="6:6">
      <c r="F64111" s="2423"/>
    </row>
    <row r="64112" s="101" customFormat="1" spans="6:6">
      <c r="F64112" s="2423"/>
    </row>
    <row r="64113" s="101" customFormat="1" spans="6:6">
      <c r="F64113" s="2423"/>
    </row>
    <row r="64114" s="101" customFormat="1" spans="6:6">
      <c r="F64114" s="2423"/>
    </row>
    <row r="64115" s="101" customFormat="1" spans="6:6">
      <c r="F64115" s="2423"/>
    </row>
    <row r="64116" s="101" customFormat="1" spans="6:6">
      <c r="F64116" s="2423"/>
    </row>
    <row r="64117" s="101" customFormat="1" spans="6:6">
      <c r="F64117" s="2423"/>
    </row>
    <row r="64118" s="101" customFormat="1" spans="6:6">
      <c r="F64118" s="2423"/>
    </row>
    <row r="64119" s="101" customFormat="1" spans="6:6">
      <c r="F64119" s="2423"/>
    </row>
    <row r="64120" s="101" customFormat="1" spans="6:6">
      <c r="F64120" s="2423"/>
    </row>
    <row r="64121" s="101" customFormat="1" spans="6:6">
      <c r="F64121" s="2423"/>
    </row>
    <row r="64122" s="101" customFormat="1" spans="6:6">
      <c r="F64122" s="2423"/>
    </row>
    <row r="64123" s="101" customFormat="1" spans="6:6">
      <c r="F64123" s="2423"/>
    </row>
    <row r="64124" s="101" customFormat="1" spans="6:6">
      <c r="F64124" s="2423"/>
    </row>
    <row r="64125" s="101" customFormat="1" spans="6:6">
      <c r="F64125" s="2423"/>
    </row>
    <row r="64126" s="101" customFormat="1" spans="6:6">
      <c r="F64126" s="2423"/>
    </row>
    <row r="64127" s="101" customFormat="1" spans="6:6">
      <c r="F64127" s="2423"/>
    </row>
    <row r="64128" s="101" customFormat="1" spans="6:6">
      <c r="F64128" s="2423"/>
    </row>
    <row r="64129" s="101" customFormat="1" spans="6:6">
      <c r="F64129" s="2423"/>
    </row>
    <row r="64130" s="101" customFormat="1" spans="6:6">
      <c r="F64130" s="2423"/>
    </row>
    <row r="64131" s="101" customFormat="1" spans="6:6">
      <c r="F64131" s="2423"/>
    </row>
    <row r="64132" s="101" customFormat="1" spans="6:6">
      <c r="F64132" s="2423"/>
    </row>
    <row r="64133" s="101" customFormat="1" spans="6:6">
      <c r="F64133" s="2423"/>
    </row>
    <row r="64134" s="101" customFormat="1" spans="6:6">
      <c r="F64134" s="2423"/>
    </row>
    <row r="64135" s="101" customFormat="1" spans="6:6">
      <c r="F64135" s="2423"/>
    </row>
    <row r="64136" s="101" customFormat="1" spans="6:6">
      <c r="F64136" s="2423"/>
    </row>
    <row r="64137" s="101" customFormat="1" spans="6:6">
      <c r="F64137" s="2423"/>
    </row>
    <row r="64138" s="101" customFormat="1" spans="6:6">
      <c r="F64138" s="2423"/>
    </row>
    <row r="64139" s="101" customFormat="1" spans="6:6">
      <c r="F64139" s="2423"/>
    </row>
    <row r="64140" s="101" customFormat="1" spans="6:6">
      <c r="F64140" s="2423"/>
    </row>
    <row r="64141" s="101" customFormat="1" spans="6:6">
      <c r="F64141" s="2423"/>
    </row>
    <row r="64142" s="101" customFormat="1" spans="6:6">
      <c r="F64142" s="2423"/>
    </row>
    <row r="64143" s="101" customFormat="1" spans="6:6">
      <c r="F64143" s="2423"/>
    </row>
    <row r="64144" s="101" customFormat="1" spans="6:6">
      <c r="F64144" s="2423"/>
    </row>
    <row r="64145" s="101" customFormat="1" spans="6:6">
      <c r="F64145" s="2423"/>
    </row>
    <row r="64146" s="101" customFormat="1" spans="6:6">
      <c r="F64146" s="2423"/>
    </row>
    <row r="64147" s="101" customFormat="1" spans="6:6">
      <c r="F64147" s="2423"/>
    </row>
    <row r="64148" s="101" customFormat="1" spans="6:6">
      <c r="F64148" s="2423"/>
    </row>
    <row r="64149" s="101" customFormat="1" spans="6:6">
      <c r="F64149" s="2423"/>
    </row>
    <row r="64150" s="101" customFormat="1" spans="6:6">
      <c r="F64150" s="2423"/>
    </row>
    <row r="64151" s="101" customFormat="1" spans="6:6">
      <c r="F64151" s="2423"/>
    </row>
    <row r="64152" s="101" customFormat="1" spans="6:6">
      <c r="F64152" s="2423"/>
    </row>
    <row r="64153" s="101" customFormat="1" spans="6:6">
      <c r="F64153" s="2423"/>
    </row>
    <row r="64154" s="101" customFormat="1" spans="6:6">
      <c r="F64154" s="2423"/>
    </row>
    <row r="64155" s="101" customFormat="1" spans="6:6">
      <c r="F64155" s="2423"/>
    </row>
    <row r="64156" s="101" customFormat="1" spans="6:6">
      <c r="F64156" s="2423"/>
    </row>
    <row r="64157" s="101" customFormat="1" spans="6:6">
      <c r="F64157" s="2423"/>
    </row>
    <row r="64158" s="101" customFormat="1" spans="6:6">
      <c r="F64158" s="2423"/>
    </row>
    <row r="64159" s="101" customFormat="1" spans="6:6">
      <c r="F64159" s="2423"/>
    </row>
    <row r="64160" s="101" customFormat="1" spans="6:6">
      <c r="F64160" s="2423"/>
    </row>
    <row r="64161" s="101" customFormat="1" spans="6:6">
      <c r="F64161" s="2423"/>
    </row>
    <row r="64162" s="101" customFormat="1" spans="6:6">
      <c r="F64162" s="2423"/>
    </row>
    <row r="64163" s="101" customFormat="1" spans="6:6">
      <c r="F64163" s="2423"/>
    </row>
    <row r="64164" s="101" customFormat="1" spans="6:6">
      <c r="F64164" s="2423"/>
    </row>
    <row r="64165" s="101" customFormat="1" spans="6:6">
      <c r="F64165" s="2423"/>
    </row>
    <row r="64166" s="101" customFormat="1" spans="6:6">
      <c r="F64166" s="2423"/>
    </row>
    <row r="64167" s="101" customFormat="1" spans="6:6">
      <c r="F64167" s="2423"/>
    </row>
    <row r="64168" s="101" customFormat="1" spans="6:6">
      <c r="F64168" s="2423"/>
    </row>
    <row r="64169" s="101" customFormat="1" spans="6:6">
      <c r="F64169" s="2423"/>
    </row>
    <row r="64170" s="101" customFormat="1" spans="6:6">
      <c r="F64170" s="2423"/>
    </row>
    <row r="64171" s="101" customFormat="1" spans="6:6">
      <c r="F64171" s="2423"/>
    </row>
    <row r="64172" s="101" customFormat="1" spans="6:6">
      <c r="F64172" s="2423"/>
    </row>
    <row r="64173" s="101" customFormat="1" spans="6:6">
      <c r="F64173" s="2423"/>
    </row>
    <row r="64174" s="101" customFormat="1" spans="6:6">
      <c r="F64174" s="2423"/>
    </row>
    <row r="64175" s="101" customFormat="1" spans="6:6">
      <c r="F64175" s="2423"/>
    </row>
    <row r="64176" s="101" customFormat="1" spans="6:6">
      <c r="F64176" s="2423"/>
    </row>
    <row r="64177" s="101" customFormat="1" spans="6:6">
      <c r="F64177" s="2423"/>
    </row>
    <row r="64178" s="101" customFormat="1" spans="6:6">
      <c r="F64178" s="2423"/>
    </row>
    <row r="64179" s="101" customFormat="1" spans="6:6">
      <c r="F64179" s="2423"/>
    </row>
    <row r="64180" s="101" customFormat="1" spans="6:6">
      <c r="F64180" s="2423"/>
    </row>
    <row r="64181" s="101" customFormat="1" spans="6:6">
      <c r="F64181" s="2423"/>
    </row>
    <row r="64182" s="101" customFormat="1" spans="6:6">
      <c r="F64182" s="2423"/>
    </row>
    <row r="64183" s="101" customFormat="1" spans="6:6">
      <c r="F64183" s="2423"/>
    </row>
    <row r="64184" s="101" customFormat="1" spans="6:6">
      <c r="F64184" s="2423"/>
    </row>
    <row r="64185" s="101" customFormat="1" spans="6:6">
      <c r="F64185" s="2423"/>
    </row>
    <row r="64186" s="101" customFormat="1" spans="6:6">
      <c r="F64186" s="2423"/>
    </row>
    <row r="64187" s="101" customFormat="1" spans="6:6">
      <c r="F64187" s="2423"/>
    </row>
    <row r="64188" s="101" customFormat="1" spans="6:6">
      <c r="F64188" s="2423"/>
    </row>
    <row r="64189" s="101" customFormat="1" spans="6:6">
      <c r="F64189" s="2423"/>
    </row>
    <row r="64190" s="101" customFormat="1" spans="6:6">
      <c r="F64190" s="2423"/>
    </row>
    <row r="64191" s="101" customFormat="1" spans="6:6">
      <c r="F64191" s="2423"/>
    </row>
    <row r="64192" s="101" customFormat="1" spans="6:6">
      <c r="F64192" s="2423"/>
    </row>
    <row r="64193" s="101" customFormat="1" spans="6:6">
      <c r="F64193" s="2423"/>
    </row>
    <row r="64194" s="101" customFormat="1" spans="6:6">
      <c r="F64194" s="2423"/>
    </row>
    <row r="64195" s="101" customFormat="1" spans="6:6">
      <c r="F64195" s="2423"/>
    </row>
    <row r="64196" s="101" customFormat="1" spans="6:6">
      <c r="F64196" s="2423"/>
    </row>
    <row r="64197" s="101" customFormat="1" spans="6:6">
      <c r="F64197" s="2423"/>
    </row>
    <row r="64198" s="101" customFormat="1" spans="6:6">
      <c r="F64198" s="2423"/>
    </row>
    <row r="64199" s="101" customFormat="1" spans="6:6">
      <c r="F64199" s="2423"/>
    </row>
    <row r="64200" s="101" customFormat="1" spans="6:6">
      <c r="F64200" s="2423"/>
    </row>
    <row r="64201" s="101" customFormat="1" spans="6:6">
      <c r="F64201" s="2423"/>
    </row>
    <row r="64202" s="101" customFormat="1" spans="6:6">
      <c r="F64202" s="2423"/>
    </row>
    <row r="64203" s="101" customFormat="1" spans="6:6">
      <c r="F64203" s="2423"/>
    </row>
    <row r="64204" s="101" customFormat="1" spans="6:6">
      <c r="F64204" s="2423"/>
    </row>
    <row r="64205" s="101" customFormat="1" spans="6:6">
      <c r="F64205" s="2423"/>
    </row>
    <row r="64206" s="101" customFormat="1" spans="6:6">
      <c r="F64206" s="2423"/>
    </row>
    <row r="64207" s="101" customFormat="1" spans="6:6">
      <c r="F64207" s="2423"/>
    </row>
    <row r="64208" s="101" customFormat="1" spans="6:6">
      <c r="F64208" s="2423"/>
    </row>
    <row r="64209" s="101" customFormat="1" spans="6:6">
      <c r="F64209" s="2423"/>
    </row>
    <row r="64210" s="101" customFormat="1" spans="6:6">
      <c r="F64210" s="2423"/>
    </row>
    <row r="64211" s="101" customFormat="1" spans="6:6">
      <c r="F64211" s="2423"/>
    </row>
    <row r="64212" s="101" customFormat="1" spans="6:6">
      <c r="F64212" s="2423"/>
    </row>
    <row r="64213" s="101" customFormat="1" spans="6:6">
      <c r="F64213" s="2423"/>
    </row>
    <row r="64214" s="101" customFormat="1" spans="6:6">
      <c r="F64214" s="2423"/>
    </row>
    <row r="64215" s="101" customFormat="1" spans="6:6">
      <c r="F64215" s="2423"/>
    </row>
    <row r="64216" s="101" customFormat="1" spans="6:6">
      <c r="F64216" s="2423"/>
    </row>
    <row r="64217" s="101" customFormat="1" spans="6:6">
      <c r="F64217" s="2423"/>
    </row>
    <row r="64218" s="101" customFormat="1" spans="6:6">
      <c r="F64218" s="2423"/>
    </row>
    <row r="64219" s="101" customFormat="1" spans="6:6">
      <c r="F64219" s="2423"/>
    </row>
    <row r="64220" s="101" customFormat="1" spans="6:6">
      <c r="F64220" s="2423"/>
    </row>
    <row r="64221" s="101" customFormat="1" spans="6:6">
      <c r="F64221" s="2423"/>
    </row>
    <row r="64222" s="101" customFormat="1" spans="6:6">
      <c r="F64222" s="2423"/>
    </row>
    <row r="64223" s="101" customFormat="1" spans="6:6">
      <c r="F64223" s="2423"/>
    </row>
    <row r="64224" s="101" customFormat="1" spans="6:6">
      <c r="F64224" s="2423"/>
    </row>
    <row r="64225" s="101" customFormat="1" spans="6:6">
      <c r="F64225" s="2423"/>
    </row>
    <row r="64226" s="101" customFormat="1" spans="6:6">
      <c r="F64226" s="2423"/>
    </row>
    <row r="64227" s="101" customFormat="1" spans="6:6">
      <c r="F64227" s="2423"/>
    </row>
    <row r="64228" s="101" customFormat="1" spans="6:6">
      <c r="F64228" s="2423"/>
    </row>
    <row r="64229" s="101" customFormat="1" spans="6:6">
      <c r="F64229" s="2423"/>
    </row>
    <row r="64230" s="101" customFormat="1" spans="6:6">
      <c r="F64230" s="2423"/>
    </row>
    <row r="64231" s="101" customFormat="1" spans="6:6">
      <c r="F64231" s="2423"/>
    </row>
    <row r="64232" s="101" customFormat="1" spans="6:6">
      <c r="F64232" s="2423"/>
    </row>
    <row r="64233" s="101" customFormat="1" spans="6:6">
      <c r="F64233" s="2423"/>
    </row>
    <row r="64234" s="101" customFormat="1" spans="6:6">
      <c r="F64234" s="2423"/>
    </row>
    <row r="64235" s="101" customFormat="1" spans="6:6">
      <c r="F64235" s="2423"/>
    </row>
    <row r="64236" s="101" customFormat="1" spans="6:6">
      <c r="F64236" s="2423"/>
    </row>
    <row r="64237" s="101" customFormat="1" spans="6:6">
      <c r="F64237" s="2423"/>
    </row>
    <row r="64238" s="101" customFormat="1" spans="6:6">
      <c r="F64238" s="2423"/>
    </row>
    <row r="64239" s="101" customFormat="1" spans="6:6">
      <c r="F64239" s="2423"/>
    </row>
    <row r="64240" s="101" customFormat="1" spans="6:6">
      <c r="F64240" s="2423"/>
    </row>
    <row r="64241" s="101" customFormat="1" spans="6:6">
      <c r="F64241" s="2423"/>
    </row>
    <row r="64242" s="101" customFormat="1" spans="6:6">
      <c r="F64242" s="2423"/>
    </row>
    <row r="64243" s="101" customFormat="1" spans="6:6">
      <c r="F64243" s="2423"/>
    </row>
    <row r="64244" s="101" customFormat="1" spans="6:6">
      <c r="F64244" s="2423"/>
    </row>
    <row r="64245" s="101" customFormat="1" spans="6:6">
      <c r="F64245" s="2423"/>
    </row>
    <row r="64246" s="101" customFormat="1" spans="6:6">
      <c r="F64246" s="2423"/>
    </row>
    <row r="64247" s="101" customFormat="1" spans="6:6">
      <c r="F64247" s="2423"/>
    </row>
    <row r="64248" s="101" customFormat="1" spans="6:6">
      <c r="F64248" s="2423"/>
    </row>
    <row r="64249" s="101" customFormat="1" spans="6:6">
      <c r="F64249" s="2423"/>
    </row>
    <row r="64250" s="101" customFormat="1" spans="6:6">
      <c r="F64250" s="2423"/>
    </row>
    <row r="64251" s="101" customFormat="1" spans="6:6">
      <c r="F64251" s="2423"/>
    </row>
    <row r="64252" s="101" customFormat="1" spans="6:6">
      <c r="F64252" s="2423"/>
    </row>
    <row r="64253" s="101" customFormat="1" spans="6:6">
      <c r="F64253" s="2423"/>
    </row>
    <row r="64254" s="101" customFormat="1" spans="6:6">
      <c r="F64254" s="2423"/>
    </row>
    <row r="64255" s="101" customFormat="1" spans="6:6">
      <c r="F64255" s="2423"/>
    </row>
    <row r="64256" s="101" customFormat="1" spans="6:6">
      <c r="F64256" s="2423"/>
    </row>
    <row r="64257" s="101" customFormat="1" spans="6:6">
      <c r="F64257" s="2423"/>
    </row>
    <row r="64258" s="101" customFormat="1" spans="6:6">
      <c r="F64258" s="2423"/>
    </row>
    <row r="64259" s="101" customFormat="1" spans="6:6">
      <c r="F64259" s="2423"/>
    </row>
    <row r="64260" s="101" customFormat="1" spans="6:6">
      <c r="F64260" s="2423"/>
    </row>
    <row r="64261" s="101" customFormat="1" spans="6:6">
      <c r="F64261" s="2423"/>
    </row>
    <row r="64262" s="101" customFormat="1" spans="6:6">
      <c r="F64262" s="2423"/>
    </row>
    <row r="64263" s="101" customFormat="1" spans="6:6">
      <c r="F64263" s="2423"/>
    </row>
    <row r="64264" s="101" customFormat="1" spans="6:6">
      <c r="F64264" s="2423"/>
    </row>
    <row r="64265" s="101" customFormat="1" spans="6:6">
      <c r="F64265" s="2423"/>
    </row>
    <row r="64266" s="101" customFormat="1" spans="6:6">
      <c r="F64266" s="2423"/>
    </row>
    <row r="64267" s="101" customFormat="1" spans="6:6">
      <c r="F64267" s="2423"/>
    </row>
    <row r="64268" s="101" customFormat="1" spans="6:6">
      <c r="F64268" s="2423"/>
    </row>
    <row r="64269" s="101" customFormat="1" spans="6:6">
      <c r="F64269" s="2423"/>
    </row>
    <row r="64270" s="101" customFormat="1" spans="6:6">
      <c r="F64270" s="2423"/>
    </row>
    <row r="64271" s="101" customFormat="1" spans="6:6">
      <c r="F64271" s="2423"/>
    </row>
    <row r="64272" s="101" customFormat="1" spans="6:6">
      <c r="F64272" s="2423"/>
    </row>
    <row r="64273" s="101" customFormat="1" spans="6:6">
      <c r="F64273" s="2423"/>
    </row>
    <row r="64274" s="101" customFormat="1" spans="6:6">
      <c r="F64274" s="2423"/>
    </row>
    <row r="64275" s="101" customFormat="1" spans="6:6">
      <c r="F64275" s="2423"/>
    </row>
    <row r="64276" s="101" customFormat="1" spans="6:6">
      <c r="F64276" s="2423"/>
    </row>
    <row r="64277" s="101" customFormat="1" spans="6:6">
      <c r="F64277" s="2423"/>
    </row>
    <row r="64278" s="101" customFormat="1" spans="6:6">
      <c r="F64278" s="2423"/>
    </row>
    <row r="64279" s="101" customFormat="1" spans="6:6">
      <c r="F64279" s="2423"/>
    </row>
    <row r="64280" s="101" customFormat="1" spans="6:6">
      <c r="F64280" s="2423"/>
    </row>
    <row r="64281" s="101" customFormat="1" spans="6:6">
      <c r="F64281" s="2423"/>
    </row>
    <row r="64282" s="101" customFormat="1" spans="6:6">
      <c r="F64282" s="2423"/>
    </row>
    <row r="64283" s="101" customFormat="1" spans="6:6">
      <c r="F64283" s="2423"/>
    </row>
    <row r="64284" s="101" customFormat="1" spans="6:6">
      <c r="F64284" s="2423"/>
    </row>
    <row r="64285" s="101" customFormat="1" spans="6:6">
      <c r="F64285" s="2423"/>
    </row>
    <row r="64286" s="101" customFormat="1" spans="6:6">
      <c r="F64286" s="2423"/>
    </row>
    <row r="64287" s="101" customFormat="1" spans="6:6">
      <c r="F64287" s="2423"/>
    </row>
    <row r="64288" s="101" customFormat="1" spans="6:6">
      <c r="F64288" s="2423"/>
    </row>
    <row r="64289" s="101" customFormat="1" spans="6:6">
      <c r="F64289" s="2423"/>
    </row>
    <row r="64290" s="101" customFormat="1" spans="6:6">
      <c r="F64290" s="2423"/>
    </row>
    <row r="64291" s="101" customFormat="1" spans="6:6">
      <c r="F64291" s="2423"/>
    </row>
    <row r="64292" s="101" customFormat="1" spans="6:6">
      <c r="F64292" s="2423"/>
    </row>
    <row r="64293" s="101" customFormat="1" spans="6:6">
      <c r="F64293" s="2423"/>
    </row>
    <row r="64294" s="101" customFormat="1" spans="6:6">
      <c r="F64294" s="2423"/>
    </row>
    <row r="64295" s="101" customFormat="1" spans="6:6">
      <c r="F64295" s="2423"/>
    </row>
    <row r="64296" s="101" customFormat="1" spans="6:6">
      <c r="F64296" s="2423"/>
    </row>
    <row r="64297" s="101" customFormat="1" spans="6:6">
      <c r="F64297" s="2423"/>
    </row>
    <row r="64298" s="101" customFormat="1" spans="6:6">
      <c r="F64298" s="2423"/>
    </row>
    <row r="64299" s="101" customFormat="1" spans="6:6">
      <c r="F64299" s="2423"/>
    </row>
    <row r="64300" s="101" customFormat="1" spans="6:6">
      <c r="F64300" s="2423"/>
    </row>
    <row r="64301" s="101" customFormat="1" spans="6:6">
      <c r="F64301" s="2423"/>
    </row>
    <row r="64302" s="101" customFormat="1" spans="6:6">
      <c r="F64302" s="2423"/>
    </row>
    <row r="64303" s="101" customFormat="1" spans="6:6">
      <c r="F64303" s="2423"/>
    </row>
    <row r="64304" s="101" customFormat="1" spans="6:6">
      <c r="F64304" s="2423"/>
    </row>
    <row r="64305" s="101" customFormat="1" spans="6:6">
      <c r="F64305" s="2423"/>
    </row>
    <row r="64306" s="101" customFormat="1" spans="6:6">
      <c r="F64306" s="2423"/>
    </row>
    <row r="64307" s="101" customFormat="1" spans="6:6">
      <c r="F64307" s="2423"/>
    </row>
    <row r="64308" s="101" customFormat="1" spans="6:6">
      <c r="F64308" s="2423"/>
    </row>
    <row r="64309" s="101" customFormat="1" spans="6:6">
      <c r="F64309" s="2423"/>
    </row>
    <row r="64310" s="101" customFormat="1" spans="6:6">
      <c r="F64310" s="2423"/>
    </row>
    <row r="64311" s="101" customFormat="1" spans="6:6">
      <c r="F64311" s="2423"/>
    </row>
    <row r="64312" s="101" customFormat="1" spans="6:6">
      <c r="F64312" s="2423"/>
    </row>
    <row r="64313" s="101" customFormat="1" spans="6:6">
      <c r="F64313" s="2423"/>
    </row>
    <row r="64314" s="101" customFormat="1" spans="6:6">
      <c r="F64314" s="2423"/>
    </row>
    <row r="64315" s="101" customFormat="1" spans="6:6">
      <c r="F64315" s="2423"/>
    </row>
    <row r="64316" s="101" customFormat="1" spans="6:6">
      <c r="F64316" s="2423"/>
    </row>
    <row r="64317" s="101" customFormat="1" spans="6:6">
      <c r="F64317" s="2423"/>
    </row>
    <row r="64318" s="101" customFormat="1" spans="6:6">
      <c r="F64318" s="2423"/>
    </row>
    <row r="64319" s="101" customFormat="1" spans="6:6">
      <c r="F64319" s="2423"/>
    </row>
    <row r="64320" s="101" customFormat="1" spans="6:6">
      <c r="F64320" s="2423"/>
    </row>
    <row r="64321" s="101" customFormat="1" spans="6:6">
      <c r="F64321" s="2423"/>
    </row>
    <row r="64322" s="101" customFormat="1" spans="6:6">
      <c r="F64322" s="2423"/>
    </row>
    <row r="64323" s="101" customFormat="1" spans="6:6">
      <c r="F64323" s="2423"/>
    </row>
    <row r="64324" s="101" customFormat="1" spans="6:6">
      <c r="F64324" s="2423"/>
    </row>
    <row r="64325" s="101" customFormat="1" spans="6:6">
      <c r="F64325" s="2423"/>
    </row>
    <row r="64326" s="101" customFormat="1" spans="6:6">
      <c r="F64326" s="2423"/>
    </row>
    <row r="64327" s="101" customFormat="1" spans="6:6">
      <c r="F64327" s="2423"/>
    </row>
    <row r="64328" s="101" customFormat="1" spans="6:6">
      <c r="F64328" s="2423"/>
    </row>
    <row r="64329" s="101" customFormat="1" spans="6:6">
      <c r="F64329" s="2423"/>
    </row>
    <row r="64330" s="101" customFormat="1" spans="6:6">
      <c r="F64330" s="2423"/>
    </row>
    <row r="64331" s="101" customFormat="1" spans="6:6">
      <c r="F64331" s="2423"/>
    </row>
    <row r="64332" s="101" customFormat="1" spans="6:6">
      <c r="F64332" s="2423"/>
    </row>
    <row r="64333" s="101" customFormat="1" spans="6:6">
      <c r="F64333" s="2423"/>
    </row>
    <row r="64334" s="101" customFormat="1" spans="6:6">
      <c r="F64334" s="2423"/>
    </row>
    <row r="64335" s="101" customFormat="1" spans="6:6">
      <c r="F64335" s="2423"/>
    </row>
    <row r="64336" s="101" customFormat="1" spans="6:6">
      <c r="F64336" s="2423"/>
    </row>
    <row r="64337" s="101" customFormat="1" spans="6:6">
      <c r="F64337" s="2423"/>
    </row>
    <row r="64338" s="101" customFormat="1" spans="6:6">
      <c r="F64338" s="2423"/>
    </row>
    <row r="64339" s="101" customFormat="1" spans="6:6">
      <c r="F64339" s="2423"/>
    </row>
    <row r="64340" s="101" customFormat="1" spans="6:6">
      <c r="F64340" s="2423"/>
    </row>
    <row r="64341" s="101" customFormat="1" spans="6:6">
      <c r="F64341" s="2423"/>
    </row>
    <row r="64342" s="101" customFormat="1" spans="6:6">
      <c r="F64342" s="2423"/>
    </row>
    <row r="64343" s="101" customFormat="1" spans="6:6">
      <c r="F64343" s="2423"/>
    </row>
    <row r="64344" s="101" customFormat="1" spans="6:6">
      <c r="F64344" s="2423"/>
    </row>
    <row r="64345" s="101" customFormat="1" spans="6:6">
      <c r="F64345" s="2423"/>
    </row>
    <row r="64346" s="101" customFormat="1" spans="6:6">
      <c r="F64346" s="2423"/>
    </row>
    <row r="64347" s="101" customFormat="1" spans="6:6">
      <c r="F64347" s="2423"/>
    </row>
    <row r="64348" s="101" customFormat="1" spans="6:6">
      <c r="F64348" s="2423"/>
    </row>
    <row r="64349" s="101" customFormat="1" spans="6:6">
      <c r="F64349" s="2423"/>
    </row>
    <row r="64350" s="101" customFormat="1" spans="6:6">
      <c r="F64350" s="2423"/>
    </row>
    <row r="64351" s="101" customFormat="1" spans="6:6">
      <c r="F64351" s="2423"/>
    </row>
    <row r="64352" s="101" customFormat="1" spans="6:6">
      <c r="F64352" s="2423"/>
    </row>
    <row r="64353" s="101" customFormat="1" spans="6:6">
      <c r="F64353" s="2423"/>
    </row>
    <row r="64354" s="101" customFormat="1" spans="6:6">
      <c r="F64354" s="2423"/>
    </row>
    <row r="64355" s="101" customFormat="1" spans="6:6">
      <c r="F64355" s="2423"/>
    </row>
    <row r="64356" s="101" customFormat="1" spans="6:6">
      <c r="F64356" s="2423"/>
    </row>
    <row r="64357" s="101" customFormat="1" spans="6:6">
      <c r="F64357" s="2423"/>
    </row>
    <row r="64358" s="101" customFormat="1" spans="6:6">
      <c r="F64358" s="2423"/>
    </row>
    <row r="64359" s="101" customFormat="1" spans="6:6">
      <c r="F64359" s="2423"/>
    </row>
    <row r="64360" s="101" customFormat="1" spans="6:6">
      <c r="F64360" s="2423"/>
    </row>
    <row r="64361" s="101" customFormat="1" spans="6:6">
      <c r="F64361" s="2423"/>
    </row>
    <row r="64362" s="101" customFormat="1" spans="6:6">
      <c r="F64362" s="2423"/>
    </row>
    <row r="64363" s="101" customFormat="1" spans="6:6">
      <c r="F64363" s="2423"/>
    </row>
    <row r="64364" s="101" customFormat="1" spans="6:6">
      <c r="F64364" s="2423"/>
    </row>
    <row r="64365" s="101" customFormat="1" spans="6:6">
      <c r="F64365" s="2423"/>
    </row>
    <row r="64366" s="101" customFormat="1" spans="6:6">
      <c r="F64366" s="2423"/>
    </row>
    <row r="64367" s="101" customFormat="1" spans="6:6">
      <c r="F64367" s="2423"/>
    </row>
    <row r="64368" s="101" customFormat="1" spans="6:6">
      <c r="F64368" s="2423"/>
    </row>
    <row r="64369" s="101" customFormat="1" spans="6:6">
      <c r="F64369" s="2423"/>
    </row>
    <row r="64370" s="101" customFormat="1" spans="6:6">
      <c r="F64370" s="2423"/>
    </row>
    <row r="64371" s="101" customFormat="1" spans="6:6">
      <c r="F64371" s="2423"/>
    </row>
    <row r="64372" s="101" customFormat="1" spans="6:6">
      <c r="F64372" s="2423"/>
    </row>
    <row r="64373" s="101" customFormat="1" spans="6:6">
      <c r="F64373" s="2423"/>
    </row>
    <row r="64374" s="101" customFormat="1" spans="6:6">
      <c r="F64374" s="2423"/>
    </row>
    <row r="64375" s="101" customFormat="1" spans="6:6">
      <c r="F64375" s="2423"/>
    </row>
    <row r="64376" s="101" customFormat="1" spans="6:6">
      <c r="F64376" s="2423"/>
    </row>
    <row r="64377" s="101" customFormat="1" spans="6:6">
      <c r="F64377" s="2423"/>
    </row>
    <row r="64378" s="101" customFormat="1" spans="6:6">
      <c r="F64378" s="2423"/>
    </row>
    <row r="64379" s="101" customFormat="1" spans="6:6">
      <c r="F64379" s="2423"/>
    </row>
    <row r="64380" s="101" customFormat="1" spans="6:6">
      <c r="F64380" s="2423"/>
    </row>
    <row r="64381" s="101" customFormat="1" spans="6:6">
      <c r="F64381" s="2423"/>
    </row>
    <row r="64382" s="101" customFormat="1" spans="6:6">
      <c r="F64382" s="2423"/>
    </row>
    <row r="64383" s="101" customFormat="1" spans="6:6">
      <c r="F64383" s="2423"/>
    </row>
    <row r="64384" s="101" customFormat="1" spans="6:6">
      <c r="F64384" s="2423"/>
    </row>
    <row r="64385" s="101" customFormat="1" spans="6:6">
      <c r="F64385" s="2423"/>
    </row>
    <row r="64386" s="101" customFormat="1" spans="6:6">
      <c r="F64386" s="2423"/>
    </row>
    <row r="64387" s="101" customFormat="1" spans="6:6">
      <c r="F64387" s="2423"/>
    </row>
    <row r="64388" s="101" customFormat="1" spans="6:6">
      <c r="F64388" s="2423"/>
    </row>
    <row r="64389" s="101" customFormat="1" spans="6:6">
      <c r="F64389" s="2423"/>
    </row>
    <row r="64390" s="101" customFormat="1" spans="6:6">
      <c r="F64390" s="2423"/>
    </row>
    <row r="64391" s="101" customFormat="1" spans="6:6">
      <c r="F64391" s="2423"/>
    </row>
    <row r="64392" s="101" customFormat="1" spans="6:6">
      <c r="F64392" s="2423"/>
    </row>
    <row r="64393" s="101" customFormat="1" spans="6:6">
      <c r="F64393" s="2423"/>
    </row>
    <row r="64394" s="101" customFormat="1" spans="6:6">
      <c r="F64394" s="2423"/>
    </row>
    <row r="64395" s="101" customFormat="1" spans="6:6">
      <c r="F64395" s="2423"/>
    </row>
    <row r="64396" s="101" customFormat="1" spans="6:6">
      <c r="F64396" s="2423"/>
    </row>
    <row r="64397" s="101" customFormat="1" spans="6:6">
      <c r="F64397" s="2423"/>
    </row>
    <row r="64398" s="101" customFormat="1" spans="6:6">
      <c r="F64398" s="2423"/>
    </row>
    <row r="64399" s="101" customFormat="1" spans="6:6">
      <c r="F64399" s="2423"/>
    </row>
    <row r="64400" s="101" customFormat="1" spans="6:6">
      <c r="F64400" s="2423"/>
    </row>
    <row r="64401" s="101" customFormat="1" spans="6:6">
      <c r="F64401" s="2423"/>
    </row>
    <row r="64402" s="101" customFormat="1" spans="6:6">
      <c r="F64402" s="2423"/>
    </row>
    <row r="64403" s="101" customFormat="1" spans="6:6">
      <c r="F64403" s="2423"/>
    </row>
    <row r="64404" s="101" customFormat="1" spans="6:6">
      <c r="F64404" s="2423"/>
    </row>
    <row r="64405" s="101" customFormat="1" spans="6:6">
      <c r="F64405" s="2423"/>
    </row>
    <row r="64406" s="101" customFormat="1" spans="6:6">
      <c r="F64406" s="2423"/>
    </row>
    <row r="64407" s="101" customFormat="1" spans="6:6">
      <c r="F64407" s="2423"/>
    </row>
    <row r="64408" s="101" customFormat="1" spans="6:6">
      <c r="F64408" s="2423"/>
    </row>
    <row r="64409" s="101" customFormat="1" spans="6:6">
      <c r="F64409" s="2423"/>
    </row>
    <row r="64410" s="101" customFormat="1" spans="6:6">
      <c r="F64410" s="2423"/>
    </row>
    <row r="64411" s="101" customFormat="1" spans="6:6">
      <c r="F64411" s="2423"/>
    </row>
    <row r="64412" s="101" customFormat="1" spans="6:6">
      <c r="F64412" s="2423"/>
    </row>
    <row r="64413" s="101" customFormat="1" spans="6:6">
      <c r="F64413" s="2423"/>
    </row>
    <row r="64414" s="101" customFormat="1" spans="6:6">
      <c r="F64414" s="2423"/>
    </row>
    <row r="64415" s="101" customFormat="1" spans="6:6">
      <c r="F64415" s="2423"/>
    </row>
    <row r="64416" s="101" customFormat="1" spans="6:6">
      <c r="F64416" s="2423"/>
    </row>
    <row r="64417" s="101" customFormat="1" spans="6:6">
      <c r="F64417" s="2423"/>
    </row>
    <row r="64418" s="101" customFormat="1" spans="6:6">
      <c r="F64418" s="2423"/>
    </row>
    <row r="64419" s="101" customFormat="1" spans="6:6">
      <c r="F64419" s="2423"/>
    </row>
    <row r="64420" s="101" customFormat="1" spans="6:6">
      <c r="F64420" s="2423"/>
    </row>
    <row r="64421" s="101" customFormat="1" spans="6:6">
      <c r="F64421" s="2423"/>
    </row>
    <row r="64422" s="101" customFormat="1" spans="6:6">
      <c r="F64422" s="2423"/>
    </row>
    <row r="64423" s="101" customFormat="1" spans="6:6">
      <c r="F64423" s="2423"/>
    </row>
    <row r="64424" s="101" customFormat="1" spans="6:6">
      <c r="F64424" s="2423"/>
    </row>
    <row r="64425" s="101" customFormat="1" spans="6:6">
      <c r="F64425" s="2423"/>
    </row>
    <row r="64426" s="101" customFormat="1" spans="6:6">
      <c r="F64426" s="2423"/>
    </row>
    <row r="64427" s="101" customFormat="1" spans="6:6">
      <c r="F64427" s="2423"/>
    </row>
    <row r="64428" s="101" customFormat="1" spans="6:6">
      <c r="F64428" s="2423"/>
    </row>
    <row r="64429" s="101" customFormat="1" spans="6:6">
      <c r="F64429" s="2423"/>
    </row>
    <row r="64430" s="101" customFormat="1" spans="6:6">
      <c r="F64430" s="2423"/>
    </row>
    <row r="64431" s="101" customFormat="1" spans="6:6">
      <c r="F64431" s="2423"/>
    </row>
    <row r="64432" s="101" customFormat="1" spans="6:6">
      <c r="F64432" s="2423"/>
    </row>
    <row r="64433" s="101" customFormat="1" spans="6:6">
      <c r="F64433" s="2423"/>
    </row>
    <row r="64434" s="101" customFormat="1" spans="6:6">
      <c r="F64434" s="2423"/>
    </row>
    <row r="64435" s="101" customFormat="1" spans="6:6">
      <c r="F64435" s="2423"/>
    </row>
    <row r="64436" s="101" customFormat="1" spans="6:6">
      <c r="F64436" s="2423"/>
    </row>
    <row r="64437" s="101" customFormat="1" spans="6:6">
      <c r="F64437" s="2423"/>
    </row>
    <row r="64438" s="101" customFormat="1" spans="6:6">
      <c r="F64438" s="2423"/>
    </row>
    <row r="64439" s="101" customFormat="1" spans="6:6">
      <c r="F64439" s="2423"/>
    </row>
    <row r="64440" s="101" customFormat="1" spans="6:6">
      <c r="F64440" s="2423"/>
    </row>
    <row r="64441" s="101" customFormat="1" spans="6:6">
      <c r="F64441" s="2423"/>
    </row>
    <row r="64442" s="101" customFormat="1" spans="6:6">
      <c r="F64442" s="2423"/>
    </row>
    <row r="64443" s="101" customFormat="1" spans="6:6">
      <c r="F64443" s="2423"/>
    </row>
    <row r="64444" s="101" customFormat="1" spans="6:6">
      <c r="F64444" s="2423"/>
    </row>
    <row r="64445" s="101" customFormat="1" spans="6:6">
      <c r="F64445" s="2423"/>
    </row>
    <row r="64446" s="101" customFormat="1" spans="6:6">
      <c r="F64446" s="2423"/>
    </row>
    <row r="64447" s="101" customFormat="1" spans="6:6">
      <c r="F64447" s="2423"/>
    </row>
    <row r="64448" s="101" customFormat="1" spans="6:6">
      <c r="F64448" s="2423"/>
    </row>
    <row r="64449" s="101" customFormat="1" spans="6:6">
      <c r="F64449" s="2423"/>
    </row>
    <row r="64450" s="101" customFormat="1" spans="6:6">
      <c r="F64450" s="2423"/>
    </row>
    <row r="64451" s="101" customFormat="1" spans="6:6">
      <c r="F64451" s="2423"/>
    </row>
    <row r="64452" s="101" customFormat="1" spans="6:6">
      <c r="F64452" s="2423"/>
    </row>
    <row r="64453" s="101" customFormat="1" spans="6:6">
      <c r="F64453" s="2423"/>
    </row>
    <row r="64454" s="101" customFormat="1" spans="6:6">
      <c r="F64454" s="2423"/>
    </row>
    <row r="64455" s="101" customFormat="1" spans="6:6">
      <c r="F64455" s="2423"/>
    </row>
    <row r="64456" s="101" customFormat="1" spans="6:6">
      <c r="F64456" s="2423"/>
    </row>
    <row r="64457" s="101" customFormat="1" spans="6:6">
      <c r="F64457" s="2423"/>
    </row>
    <row r="64458" s="101" customFormat="1" spans="6:6">
      <c r="F64458" s="2423"/>
    </row>
    <row r="64459" s="101" customFormat="1" spans="6:6">
      <c r="F64459" s="2423"/>
    </row>
    <row r="64460" s="101" customFormat="1" spans="6:6">
      <c r="F64460" s="2423"/>
    </row>
    <row r="64461" s="101" customFormat="1" spans="6:6">
      <c r="F64461" s="2423"/>
    </row>
    <row r="64462" s="101" customFormat="1" spans="6:6">
      <c r="F64462" s="2423"/>
    </row>
    <row r="64463" s="101" customFormat="1" spans="6:6">
      <c r="F64463" s="2423"/>
    </row>
    <row r="64464" s="101" customFormat="1" spans="6:6">
      <c r="F64464" s="2423"/>
    </row>
    <row r="64465" s="101" customFormat="1" spans="6:6">
      <c r="F64465" s="2423"/>
    </row>
    <row r="64466" s="101" customFormat="1" spans="6:6">
      <c r="F64466" s="2423"/>
    </row>
    <row r="64467" s="101" customFormat="1" spans="6:6">
      <c r="F64467" s="2423"/>
    </row>
    <row r="64468" s="101" customFormat="1" spans="6:6">
      <c r="F64468" s="2423"/>
    </row>
    <row r="64469" s="101" customFormat="1" spans="6:6">
      <c r="F64469" s="2423"/>
    </row>
    <row r="64470" s="101" customFormat="1" spans="6:6">
      <c r="F64470" s="2423"/>
    </row>
    <row r="64471" s="101" customFormat="1" spans="6:6">
      <c r="F64471" s="2423"/>
    </row>
    <row r="64472" s="101" customFormat="1" spans="6:6">
      <c r="F64472" s="2423"/>
    </row>
    <row r="64473" s="101" customFormat="1" spans="6:6">
      <c r="F64473" s="2423"/>
    </row>
    <row r="64474" s="101" customFormat="1" spans="6:6">
      <c r="F64474" s="2423"/>
    </row>
    <row r="64475" s="101" customFormat="1" spans="6:6">
      <c r="F64475" s="2423"/>
    </row>
    <row r="64476" s="101" customFormat="1" spans="6:6">
      <c r="F64476" s="2423"/>
    </row>
    <row r="64477" s="101" customFormat="1" spans="6:6">
      <c r="F64477" s="2423"/>
    </row>
    <row r="64478" s="101" customFormat="1" spans="6:6">
      <c r="F64478" s="2423"/>
    </row>
    <row r="64479" s="101" customFormat="1" spans="6:6">
      <c r="F64479" s="2423"/>
    </row>
    <row r="64480" s="101" customFormat="1" spans="6:6">
      <c r="F64480" s="2423"/>
    </row>
    <row r="64481" s="101" customFormat="1" spans="6:6">
      <c r="F64481" s="2423"/>
    </row>
    <row r="64482" s="101" customFormat="1" spans="6:6">
      <c r="F64482" s="2423"/>
    </row>
    <row r="64483" s="101" customFormat="1" spans="6:6">
      <c r="F64483" s="2423"/>
    </row>
    <row r="64484" s="101" customFormat="1" spans="6:6">
      <c r="F64484" s="2423"/>
    </row>
    <row r="64485" s="101" customFormat="1" spans="6:6">
      <c r="F64485" s="2423"/>
    </row>
    <row r="64486" s="101" customFormat="1" spans="6:6">
      <c r="F64486" s="2423"/>
    </row>
    <row r="64487" s="101" customFormat="1" spans="6:6">
      <c r="F64487" s="2423"/>
    </row>
    <row r="64488" s="101" customFormat="1" spans="6:6">
      <c r="F64488" s="2423"/>
    </row>
    <row r="64489" s="101" customFormat="1" spans="6:6">
      <c r="F64489" s="2423"/>
    </row>
    <row r="64490" s="101" customFormat="1" spans="6:6">
      <c r="F64490" s="2423"/>
    </row>
    <row r="64491" s="101" customFormat="1" spans="6:6">
      <c r="F64491" s="2423"/>
    </row>
    <row r="64492" s="101" customFormat="1" spans="6:6">
      <c r="F64492" s="2423"/>
    </row>
    <row r="64493" s="101" customFormat="1" spans="6:6">
      <c r="F64493" s="2423"/>
    </row>
    <row r="64494" s="101" customFormat="1" spans="6:6">
      <c r="F64494" s="2423"/>
    </row>
    <row r="64495" s="101" customFormat="1" spans="6:6">
      <c r="F64495" s="2423"/>
    </row>
    <row r="64496" s="101" customFormat="1" spans="6:6">
      <c r="F64496" s="2423"/>
    </row>
    <row r="64497" s="101" customFormat="1" spans="6:6">
      <c r="F64497" s="2423"/>
    </row>
    <row r="64498" s="101" customFormat="1" spans="6:6">
      <c r="F64498" s="2423"/>
    </row>
    <row r="64499" s="101" customFormat="1" spans="6:6">
      <c r="F64499" s="2423"/>
    </row>
    <row r="64500" s="101" customFormat="1" spans="6:6">
      <c r="F64500" s="2423"/>
    </row>
    <row r="64501" s="101" customFormat="1" spans="6:6">
      <c r="F64501" s="2423"/>
    </row>
    <row r="64502" s="101" customFormat="1" spans="6:6">
      <c r="F64502" s="2423"/>
    </row>
    <row r="64503" s="101" customFormat="1" spans="6:6">
      <c r="F64503" s="2423"/>
    </row>
    <row r="64504" s="101" customFormat="1" spans="6:6">
      <c r="F64504" s="2423"/>
    </row>
    <row r="64505" s="101" customFormat="1" spans="6:6">
      <c r="F64505" s="2423"/>
    </row>
    <row r="64506" s="101" customFormat="1" spans="6:6">
      <c r="F64506" s="2423"/>
    </row>
    <row r="64507" s="101" customFormat="1" spans="6:6">
      <c r="F64507" s="2423"/>
    </row>
    <row r="64508" s="101" customFormat="1" spans="6:6">
      <c r="F64508" s="2423"/>
    </row>
    <row r="64509" s="101" customFormat="1" spans="6:6">
      <c r="F64509" s="2423"/>
    </row>
    <row r="64510" s="101" customFormat="1" spans="6:6">
      <c r="F64510" s="2423"/>
    </row>
    <row r="64511" s="101" customFormat="1" spans="6:6">
      <c r="F64511" s="2423"/>
    </row>
    <row r="64512" s="101" customFormat="1" spans="6:6">
      <c r="F64512" s="2423"/>
    </row>
    <row r="64513" s="101" customFormat="1" spans="6:6">
      <c r="F64513" s="2423"/>
    </row>
    <row r="64514" s="101" customFormat="1" spans="6:6">
      <c r="F64514" s="2423"/>
    </row>
    <row r="64515" s="101" customFormat="1" spans="6:6">
      <c r="F64515" s="2423"/>
    </row>
    <row r="64516" s="101" customFormat="1" spans="6:6">
      <c r="F64516" s="2423"/>
    </row>
    <row r="64517" s="101" customFormat="1" spans="6:6">
      <c r="F64517" s="2423"/>
    </row>
    <row r="64518" s="101" customFormat="1" spans="6:6">
      <c r="F64518" s="2423"/>
    </row>
    <row r="64519" s="101" customFormat="1" spans="6:6">
      <c r="F64519" s="2423"/>
    </row>
    <row r="64520" s="101" customFormat="1" spans="6:6">
      <c r="F64520" s="2423"/>
    </row>
    <row r="64521" s="101" customFormat="1" spans="6:6">
      <c r="F64521" s="2423"/>
    </row>
    <row r="64522" s="101" customFormat="1" spans="6:6">
      <c r="F64522" s="2423"/>
    </row>
    <row r="64523" s="101" customFormat="1" spans="6:6">
      <c r="F64523" s="2423"/>
    </row>
    <row r="64524" s="101" customFormat="1" spans="6:6">
      <c r="F64524" s="2423"/>
    </row>
    <row r="64525" s="101" customFormat="1" spans="6:6">
      <c r="F64525" s="2423"/>
    </row>
    <row r="64526" s="101" customFormat="1" spans="6:6">
      <c r="F64526" s="2423"/>
    </row>
    <row r="64527" s="101" customFormat="1" spans="6:6">
      <c r="F64527" s="2423"/>
    </row>
    <row r="64528" s="101" customFormat="1" spans="6:6">
      <c r="F64528" s="2423"/>
    </row>
    <row r="64529" s="101" customFormat="1" spans="6:6">
      <c r="F64529" s="2423"/>
    </row>
    <row r="64530" s="101" customFormat="1" spans="6:6">
      <c r="F64530" s="2423"/>
    </row>
    <row r="64531" s="101" customFormat="1" spans="6:6">
      <c r="F64531" s="2423"/>
    </row>
    <row r="64532" s="101" customFormat="1" spans="6:6">
      <c r="F64532" s="2423"/>
    </row>
    <row r="64533" s="101" customFormat="1" spans="6:6">
      <c r="F64533" s="2423"/>
    </row>
    <row r="64534" s="101" customFormat="1" spans="6:6">
      <c r="F64534" s="2423"/>
    </row>
    <row r="64535" s="101" customFormat="1" spans="6:6">
      <c r="F64535" s="2423"/>
    </row>
    <row r="64536" s="101" customFormat="1" spans="6:6">
      <c r="F64536" s="2423"/>
    </row>
    <row r="64537" s="101" customFormat="1" spans="6:6">
      <c r="F64537" s="2423"/>
    </row>
    <row r="64538" s="101" customFormat="1" spans="6:6">
      <c r="F64538" s="2423"/>
    </row>
    <row r="64539" s="101" customFormat="1" spans="6:6">
      <c r="F64539" s="2423"/>
    </row>
    <row r="64540" s="101" customFormat="1" spans="6:6">
      <c r="F64540" s="2423"/>
    </row>
    <row r="64541" s="101" customFormat="1" spans="6:6">
      <c r="F64541" s="2423"/>
    </row>
    <row r="64542" s="101" customFormat="1" spans="6:6">
      <c r="F64542" s="2423"/>
    </row>
    <row r="64543" s="101" customFormat="1" spans="6:6">
      <c r="F64543" s="2423"/>
    </row>
    <row r="64544" s="101" customFormat="1" spans="6:6">
      <c r="F64544" s="2423"/>
    </row>
    <row r="64545" s="101" customFormat="1" spans="6:6">
      <c r="F64545" s="2423"/>
    </row>
    <row r="64546" s="101" customFormat="1" spans="6:6">
      <c r="F64546" s="2423"/>
    </row>
    <row r="64547" s="101" customFormat="1" spans="6:6">
      <c r="F64547" s="2423"/>
    </row>
    <row r="64548" s="101" customFormat="1" spans="6:6">
      <c r="F64548" s="2423"/>
    </row>
    <row r="64549" s="101" customFormat="1" spans="6:6">
      <c r="F64549" s="2423"/>
    </row>
    <row r="64550" s="101" customFormat="1" spans="6:6">
      <c r="F64550" s="2423"/>
    </row>
    <row r="64551" s="101" customFormat="1" spans="6:6">
      <c r="F64551" s="2423"/>
    </row>
    <row r="64552" s="101" customFormat="1" spans="6:6">
      <c r="F64552" s="2423"/>
    </row>
    <row r="64553" s="101" customFormat="1" spans="6:6">
      <c r="F64553" s="2423"/>
    </row>
    <row r="64554" s="101" customFormat="1" spans="6:6">
      <c r="F64554" s="2423"/>
    </row>
    <row r="64555" s="101" customFormat="1" spans="6:6">
      <c r="F64555" s="2423"/>
    </row>
    <row r="64556" s="101" customFormat="1" spans="6:6">
      <c r="F64556" s="2423"/>
    </row>
    <row r="64557" s="101" customFormat="1" spans="6:6">
      <c r="F64557" s="2423"/>
    </row>
    <row r="64558" s="101" customFormat="1" spans="6:6">
      <c r="F64558" s="2423"/>
    </row>
    <row r="64559" s="101" customFormat="1" spans="6:6">
      <c r="F64559" s="2423"/>
    </row>
    <row r="64560" s="101" customFormat="1" spans="6:6">
      <c r="F64560" s="2423"/>
    </row>
    <row r="64561" s="101" customFormat="1" spans="6:6">
      <c r="F64561" s="2423"/>
    </row>
    <row r="64562" s="101" customFormat="1" spans="6:6">
      <c r="F64562" s="2423"/>
    </row>
    <row r="64563" s="101" customFormat="1" spans="6:6">
      <c r="F64563" s="2423"/>
    </row>
    <row r="64564" s="101" customFormat="1" spans="6:6">
      <c r="F64564" s="2423"/>
    </row>
    <row r="64565" s="101" customFormat="1" spans="6:6">
      <c r="F64565" s="2423"/>
    </row>
    <row r="64566" s="101" customFormat="1" spans="6:6">
      <c r="F64566" s="2423"/>
    </row>
    <row r="64567" s="101" customFormat="1" spans="6:6">
      <c r="F64567" s="2423"/>
    </row>
    <row r="64568" s="101" customFormat="1" spans="6:6">
      <c r="F64568" s="2423"/>
    </row>
    <row r="64569" s="101" customFormat="1" spans="6:6">
      <c r="F64569" s="2423"/>
    </row>
    <row r="64570" s="101" customFormat="1" spans="6:6">
      <c r="F64570" s="2423"/>
    </row>
    <row r="64571" s="101" customFormat="1" spans="6:6">
      <c r="F64571" s="2423"/>
    </row>
    <row r="64572" s="101" customFormat="1" spans="6:6">
      <c r="F64572" s="2423"/>
    </row>
    <row r="64573" s="101" customFormat="1" spans="6:6">
      <c r="F64573" s="2423"/>
    </row>
    <row r="64574" s="101" customFormat="1" spans="6:6">
      <c r="F64574" s="2423"/>
    </row>
    <row r="64575" s="101" customFormat="1" spans="6:6">
      <c r="F64575" s="2423"/>
    </row>
    <row r="64576" s="101" customFormat="1" spans="6:6">
      <c r="F64576" s="2423"/>
    </row>
    <row r="64577" s="101" customFormat="1" spans="6:6">
      <c r="F64577" s="2423"/>
    </row>
    <row r="64578" s="101" customFormat="1" spans="6:6">
      <c r="F64578" s="2423"/>
    </row>
    <row r="64579" s="101" customFormat="1" spans="6:6">
      <c r="F64579" s="2423"/>
    </row>
    <row r="64580" s="101" customFormat="1" spans="6:6">
      <c r="F64580" s="2423"/>
    </row>
    <row r="64581" s="101" customFormat="1" spans="6:6">
      <c r="F64581" s="2423"/>
    </row>
    <row r="64582" s="101" customFormat="1" spans="6:6">
      <c r="F64582" s="2423"/>
    </row>
    <row r="64583" s="101" customFormat="1" spans="6:6">
      <c r="F64583" s="2423"/>
    </row>
    <row r="64584" s="101" customFormat="1" spans="6:6">
      <c r="F64584" s="2423"/>
    </row>
    <row r="64585" s="101" customFormat="1" spans="6:6">
      <c r="F64585" s="2423"/>
    </row>
    <row r="64586" s="101" customFormat="1" spans="6:6">
      <c r="F64586" s="2423"/>
    </row>
    <row r="64587" s="101" customFormat="1" spans="6:6">
      <c r="F64587" s="2423"/>
    </row>
    <row r="64588" s="101" customFormat="1" spans="6:6">
      <c r="F64588" s="2423"/>
    </row>
    <row r="64589" s="101" customFormat="1" spans="6:6">
      <c r="F64589" s="2423"/>
    </row>
    <row r="64590" s="101" customFormat="1" spans="6:6">
      <c r="F64590" s="2423"/>
    </row>
    <row r="64591" s="101" customFormat="1" spans="6:6">
      <c r="F64591" s="2423"/>
    </row>
    <row r="64592" s="101" customFormat="1" spans="6:6">
      <c r="F64592" s="2423"/>
    </row>
    <row r="64593" s="101" customFormat="1" spans="6:6">
      <c r="F64593" s="2423"/>
    </row>
    <row r="64594" s="101" customFormat="1" spans="6:6">
      <c r="F64594" s="2423"/>
    </row>
    <row r="64595" s="101" customFormat="1" spans="6:6">
      <c r="F64595" s="2423"/>
    </row>
    <row r="64596" s="101" customFormat="1" spans="6:6">
      <c r="F64596" s="2423"/>
    </row>
    <row r="64597" s="101" customFormat="1" spans="6:6">
      <c r="F64597" s="2423"/>
    </row>
    <row r="64598" s="101" customFormat="1" spans="6:6">
      <c r="F64598" s="2423"/>
    </row>
    <row r="64599" s="101" customFormat="1" spans="6:6">
      <c r="F64599" s="2423"/>
    </row>
    <row r="64600" s="101" customFormat="1" spans="6:6">
      <c r="F64600" s="2423"/>
    </row>
    <row r="64601" s="101" customFormat="1" spans="6:6">
      <c r="F64601" s="2423"/>
    </row>
    <row r="64602" s="101" customFormat="1" spans="6:6">
      <c r="F64602" s="2423"/>
    </row>
    <row r="64603" s="101" customFormat="1" spans="6:6">
      <c r="F64603" s="2423"/>
    </row>
    <row r="64604" s="101" customFormat="1" spans="6:6">
      <c r="F64604" s="2423"/>
    </row>
    <row r="64605" s="101" customFormat="1" spans="6:6">
      <c r="F64605" s="2423"/>
    </row>
    <row r="64606" s="101" customFormat="1" spans="6:6">
      <c r="F64606" s="2423"/>
    </row>
    <row r="64607" s="101" customFormat="1" spans="6:6">
      <c r="F64607" s="2423"/>
    </row>
    <row r="64608" s="101" customFormat="1" spans="6:6">
      <c r="F64608" s="2423"/>
    </row>
    <row r="64609" s="101" customFormat="1" spans="6:6">
      <c r="F64609" s="2423"/>
    </row>
    <row r="64610" s="101" customFormat="1" spans="6:6">
      <c r="F64610" s="2423"/>
    </row>
    <row r="64611" s="101" customFormat="1" spans="6:6">
      <c r="F64611" s="2423"/>
    </row>
    <row r="64612" s="101" customFormat="1" spans="6:6">
      <c r="F64612" s="2423"/>
    </row>
    <row r="64613" s="101" customFormat="1" spans="6:6">
      <c r="F64613" s="2423"/>
    </row>
    <row r="64614" s="101" customFormat="1" spans="6:6">
      <c r="F64614" s="2423"/>
    </row>
    <row r="64615" s="101" customFormat="1" spans="6:6">
      <c r="F64615" s="2423"/>
    </row>
    <row r="64616" s="101" customFormat="1" spans="6:6">
      <c r="F64616" s="2423"/>
    </row>
    <row r="64617" s="101" customFormat="1" spans="6:6">
      <c r="F64617" s="2423"/>
    </row>
    <row r="64618" s="101" customFormat="1" spans="6:6">
      <c r="F64618" s="2423"/>
    </row>
    <row r="64619" s="101" customFormat="1" spans="6:6">
      <c r="F64619" s="2423"/>
    </row>
    <row r="64620" s="101" customFormat="1" spans="6:6">
      <c r="F64620" s="2423"/>
    </row>
    <row r="64621" s="101" customFormat="1" spans="6:6">
      <c r="F64621" s="2423"/>
    </row>
    <row r="64622" s="101" customFormat="1" spans="6:6">
      <c r="F64622" s="2423"/>
    </row>
    <row r="64623" s="101" customFormat="1" spans="6:6">
      <c r="F64623" s="2423"/>
    </row>
    <row r="64624" s="101" customFormat="1" spans="6:6">
      <c r="F64624" s="2423"/>
    </row>
    <row r="64625" s="101" customFormat="1" spans="6:6">
      <c r="F64625" s="2423"/>
    </row>
    <row r="64626" s="101" customFormat="1" spans="6:6">
      <c r="F64626" s="2423"/>
    </row>
    <row r="64627" s="101" customFormat="1" spans="6:6">
      <c r="F64627" s="2423"/>
    </row>
    <row r="64628" s="101" customFormat="1" spans="6:6">
      <c r="F64628" s="2423"/>
    </row>
    <row r="64629" s="101" customFormat="1" spans="6:6">
      <c r="F64629" s="2423"/>
    </row>
    <row r="64630" s="101" customFormat="1" spans="6:6">
      <c r="F64630" s="2423"/>
    </row>
    <row r="64631" s="101" customFormat="1" spans="6:6">
      <c r="F64631" s="2423"/>
    </row>
    <row r="64632" s="101" customFormat="1" spans="6:6">
      <c r="F64632" s="2423"/>
    </row>
    <row r="64633" s="101" customFormat="1" spans="6:6">
      <c r="F64633" s="2423"/>
    </row>
    <row r="64634" s="101" customFormat="1" spans="6:6">
      <c r="F64634" s="2423"/>
    </row>
    <row r="64635" s="101" customFormat="1" spans="6:6">
      <c r="F64635" s="2423"/>
    </row>
    <row r="64636" s="101" customFormat="1" spans="6:6">
      <c r="F64636" s="2423"/>
    </row>
    <row r="64637" s="101" customFormat="1" spans="6:6">
      <c r="F64637" s="2423"/>
    </row>
    <row r="64638" s="101" customFormat="1" spans="6:6">
      <c r="F64638" s="2423"/>
    </row>
    <row r="64639" s="101" customFormat="1" spans="6:6">
      <c r="F64639" s="2423"/>
    </row>
    <row r="64640" s="101" customFormat="1" spans="6:6">
      <c r="F64640" s="2423"/>
    </row>
    <row r="64641" s="101" customFormat="1" spans="6:6">
      <c r="F64641" s="2423"/>
    </row>
    <row r="64642" s="101" customFormat="1" spans="6:6">
      <c r="F64642" s="2423"/>
    </row>
    <row r="64643" s="101" customFormat="1" spans="6:6">
      <c r="F64643" s="2423"/>
    </row>
    <row r="64644" s="101" customFormat="1" spans="6:6">
      <c r="F64644" s="2423"/>
    </row>
    <row r="64645" s="101" customFormat="1" spans="6:6">
      <c r="F64645" s="2423"/>
    </row>
    <row r="64646" s="101" customFormat="1" spans="6:6">
      <c r="F64646" s="2423"/>
    </row>
    <row r="64647" s="101" customFormat="1" spans="6:6">
      <c r="F64647" s="2423"/>
    </row>
    <row r="64648" s="101" customFormat="1" spans="6:6">
      <c r="F64648" s="2423"/>
    </row>
    <row r="64649" s="101" customFormat="1" spans="6:6">
      <c r="F64649" s="2423"/>
    </row>
    <row r="64650" s="101" customFormat="1" spans="6:6">
      <c r="F64650" s="2423"/>
    </row>
    <row r="64651" s="101" customFormat="1" spans="6:6">
      <c r="F64651" s="2423"/>
    </row>
    <row r="64652" s="101" customFormat="1" spans="6:6">
      <c r="F64652" s="2423"/>
    </row>
    <row r="64653" s="101" customFormat="1" spans="6:6">
      <c r="F64653" s="2423"/>
    </row>
    <row r="64654" s="101" customFormat="1" spans="6:6">
      <c r="F64654" s="2423"/>
    </row>
    <row r="64655" s="101" customFormat="1" spans="6:6">
      <c r="F64655" s="2423"/>
    </row>
    <row r="64656" s="101" customFormat="1" spans="6:6">
      <c r="F64656" s="2423"/>
    </row>
    <row r="64657" s="101" customFormat="1" spans="6:6">
      <c r="F64657" s="2423"/>
    </row>
    <row r="64658" s="101" customFormat="1" spans="6:6">
      <c r="F64658" s="2423"/>
    </row>
    <row r="64659" s="101" customFormat="1" spans="6:6">
      <c r="F64659" s="2423"/>
    </row>
    <row r="64660" s="101" customFormat="1" spans="6:6">
      <c r="F64660" s="2423"/>
    </row>
    <row r="64661" s="101" customFormat="1" spans="6:6">
      <c r="F64661" s="2423"/>
    </row>
    <row r="64662" s="101" customFormat="1" spans="6:6">
      <c r="F64662" s="2423"/>
    </row>
    <row r="64663" s="101" customFormat="1" spans="6:6">
      <c r="F64663" s="2423"/>
    </row>
    <row r="64664" s="101" customFormat="1" spans="6:6">
      <c r="F64664" s="2423"/>
    </row>
    <row r="64665" s="101" customFormat="1" spans="6:6">
      <c r="F64665" s="2423"/>
    </row>
    <row r="64666" s="101" customFormat="1" spans="6:6">
      <c r="F64666" s="2423"/>
    </row>
    <row r="64667" s="101" customFormat="1" spans="6:6">
      <c r="F64667" s="2423"/>
    </row>
    <row r="64668" s="101" customFormat="1" spans="6:6">
      <c r="F64668" s="2423"/>
    </row>
    <row r="64669" s="101" customFormat="1" spans="6:6">
      <c r="F64669" s="2423"/>
    </row>
    <row r="64670" s="101" customFormat="1" spans="6:6">
      <c r="F64670" s="2423"/>
    </row>
    <row r="64671" s="101" customFormat="1" spans="6:6">
      <c r="F64671" s="2423"/>
    </row>
    <row r="64672" s="101" customFormat="1" spans="6:6">
      <c r="F64672" s="2423"/>
    </row>
    <row r="64673" s="101" customFormat="1" spans="6:6">
      <c r="F64673" s="2423"/>
    </row>
    <row r="64674" s="101" customFormat="1" spans="6:6">
      <c r="F64674" s="2423"/>
    </row>
    <row r="64675" s="101" customFormat="1" spans="6:6">
      <c r="F64675" s="2423"/>
    </row>
    <row r="64676" s="101" customFormat="1" spans="6:6">
      <c r="F64676" s="2423"/>
    </row>
    <row r="64677" s="101" customFormat="1" spans="6:6">
      <c r="F64677" s="2423"/>
    </row>
    <row r="64678" s="101" customFormat="1" spans="6:6">
      <c r="F64678" s="2423"/>
    </row>
    <row r="64679" s="101" customFormat="1" spans="6:6">
      <c r="F64679" s="2423"/>
    </row>
    <row r="64680" s="101" customFormat="1" spans="6:6">
      <c r="F64680" s="2423"/>
    </row>
    <row r="64681" s="101" customFormat="1" spans="6:6">
      <c r="F64681" s="2423"/>
    </row>
    <row r="64682" s="101" customFormat="1" spans="6:6">
      <c r="F64682" s="2423"/>
    </row>
    <row r="64683" s="101" customFormat="1" spans="6:6">
      <c r="F64683" s="2423"/>
    </row>
    <row r="64684" s="101" customFormat="1" spans="6:6">
      <c r="F64684" s="2423"/>
    </row>
    <row r="64685" s="101" customFormat="1" spans="6:6">
      <c r="F64685" s="2423"/>
    </row>
    <row r="64686" s="101" customFormat="1" spans="6:6">
      <c r="F64686" s="2423"/>
    </row>
    <row r="64687" s="101" customFormat="1" spans="6:6">
      <c r="F64687" s="2423"/>
    </row>
    <row r="64688" s="101" customFormat="1" spans="6:6">
      <c r="F64688" s="2423"/>
    </row>
    <row r="64689" s="101" customFormat="1" spans="6:6">
      <c r="F64689" s="2423"/>
    </row>
    <row r="64690" s="101" customFormat="1" spans="6:6">
      <c r="F64690" s="2423"/>
    </row>
    <row r="64691" s="101" customFormat="1" spans="6:6">
      <c r="F64691" s="2423"/>
    </row>
    <row r="64692" s="101" customFormat="1" spans="6:6">
      <c r="F64692" s="2423"/>
    </row>
    <row r="64693" s="101" customFormat="1" spans="6:6">
      <c r="F64693" s="2423"/>
    </row>
    <row r="64694" s="101" customFormat="1" spans="6:6">
      <c r="F64694" s="2423"/>
    </row>
    <row r="64695" s="101" customFormat="1" spans="6:6">
      <c r="F64695" s="2423"/>
    </row>
    <row r="64696" s="101" customFormat="1" spans="6:6">
      <c r="F64696" s="2423"/>
    </row>
    <row r="64697" s="101" customFormat="1" spans="6:6">
      <c r="F64697" s="2423"/>
    </row>
    <row r="64698" s="101" customFormat="1" spans="6:6">
      <c r="F64698" s="2423"/>
    </row>
    <row r="64699" s="101" customFormat="1" spans="6:6">
      <c r="F64699" s="2423"/>
    </row>
    <row r="64700" s="101" customFormat="1" spans="6:6">
      <c r="F64700" s="2423"/>
    </row>
    <row r="64701" s="101" customFormat="1" spans="6:6">
      <c r="F64701" s="2423"/>
    </row>
    <row r="64702" s="101" customFormat="1" spans="6:6">
      <c r="F64702" s="2423"/>
    </row>
    <row r="64703" s="101" customFormat="1" spans="6:6">
      <c r="F64703" s="2423"/>
    </row>
    <row r="64704" s="101" customFormat="1" spans="6:6">
      <c r="F64704" s="2423"/>
    </row>
    <row r="64705" s="101" customFormat="1" spans="6:6">
      <c r="F64705" s="2423"/>
    </row>
    <row r="64706" s="101" customFormat="1" spans="6:6">
      <c r="F64706" s="2423"/>
    </row>
    <row r="64707" s="101" customFormat="1" spans="6:6">
      <c r="F64707" s="2423"/>
    </row>
    <row r="64708" s="101" customFormat="1" spans="6:6">
      <c r="F64708" s="2423"/>
    </row>
    <row r="64709" s="101" customFormat="1" spans="6:6">
      <c r="F64709" s="2423"/>
    </row>
    <row r="64710" s="101" customFormat="1" spans="6:6">
      <c r="F64710" s="2423"/>
    </row>
    <row r="64711" s="101" customFormat="1" spans="6:6">
      <c r="F64711" s="2423"/>
    </row>
    <row r="64712" s="101" customFormat="1" spans="6:6">
      <c r="F64712" s="2423"/>
    </row>
    <row r="64713" s="101" customFormat="1" spans="6:6">
      <c r="F64713" s="2423"/>
    </row>
    <row r="64714" s="101" customFormat="1" spans="6:6">
      <c r="F64714" s="2423"/>
    </row>
    <row r="64715" s="101" customFormat="1" spans="6:6">
      <c r="F64715" s="2423"/>
    </row>
    <row r="64716" s="101" customFormat="1" spans="6:6">
      <c r="F64716" s="2423"/>
    </row>
    <row r="64717" s="101" customFormat="1" spans="6:6">
      <c r="F64717" s="2423"/>
    </row>
    <row r="64718" s="101" customFormat="1" spans="6:6">
      <c r="F64718" s="2423"/>
    </row>
    <row r="64719" s="101" customFormat="1" spans="6:6">
      <c r="F64719" s="2423"/>
    </row>
    <row r="64720" s="101" customFormat="1" spans="6:6">
      <c r="F64720" s="2423"/>
    </row>
    <row r="64721" s="101" customFormat="1" spans="6:6">
      <c r="F64721" s="2423"/>
    </row>
    <row r="64722" s="101" customFormat="1" spans="6:6">
      <c r="F64722" s="2423"/>
    </row>
    <row r="64723" s="101" customFormat="1" spans="6:6">
      <c r="F64723" s="2423"/>
    </row>
    <row r="64724" s="101" customFormat="1" spans="6:6">
      <c r="F64724" s="2423"/>
    </row>
    <row r="64725" s="101" customFormat="1" spans="6:6">
      <c r="F64725" s="2423"/>
    </row>
    <row r="64726" s="101" customFormat="1" spans="6:6">
      <c r="F64726" s="2423"/>
    </row>
    <row r="64727" s="101" customFormat="1" spans="6:6">
      <c r="F64727" s="2423"/>
    </row>
    <row r="64728" s="101" customFormat="1" spans="6:6">
      <c r="F64728" s="2423"/>
    </row>
    <row r="64729" s="101" customFormat="1" spans="6:6">
      <c r="F64729" s="2423"/>
    </row>
    <row r="64730" s="101" customFormat="1" spans="6:6">
      <c r="F64730" s="2423"/>
    </row>
    <row r="64731" s="101" customFormat="1" spans="6:6">
      <c r="F64731" s="2423"/>
    </row>
    <row r="64732" s="101" customFormat="1" spans="6:6">
      <c r="F64732" s="2423"/>
    </row>
    <row r="64733" s="101" customFormat="1" spans="6:6">
      <c r="F64733" s="2423"/>
    </row>
    <row r="64734" s="101" customFormat="1" spans="6:6">
      <c r="F64734" s="2423"/>
    </row>
    <row r="64735" s="101" customFormat="1" spans="6:6">
      <c r="F64735" s="2423"/>
    </row>
    <row r="64736" s="101" customFormat="1" spans="6:6">
      <c r="F64736" s="2423"/>
    </row>
    <row r="64737" s="101" customFormat="1" spans="6:6">
      <c r="F64737" s="2423"/>
    </row>
    <row r="64738" s="101" customFormat="1" spans="6:6">
      <c r="F64738" s="2423"/>
    </row>
    <row r="64739" s="101" customFormat="1" spans="6:6">
      <c r="F64739" s="2423"/>
    </row>
    <row r="64740" s="101" customFormat="1" spans="6:6">
      <c r="F64740" s="2423"/>
    </row>
    <row r="64741" s="101" customFormat="1" spans="6:6">
      <c r="F64741" s="2423"/>
    </row>
    <row r="64742" s="101" customFormat="1" spans="6:6">
      <c r="F64742" s="2423"/>
    </row>
    <row r="64743" s="101" customFormat="1" spans="6:6">
      <c r="F64743" s="2423"/>
    </row>
    <row r="64744" s="101" customFormat="1" spans="6:6">
      <c r="F64744" s="2423"/>
    </row>
    <row r="64745" s="101" customFormat="1" spans="6:6">
      <c r="F64745" s="2423"/>
    </row>
    <row r="64746" s="101" customFormat="1" spans="6:6">
      <c r="F64746" s="2423"/>
    </row>
    <row r="64747" s="101" customFormat="1" spans="6:6">
      <c r="F64747" s="2423"/>
    </row>
    <row r="64748" s="101" customFormat="1" spans="6:6">
      <c r="F64748" s="2423"/>
    </row>
    <row r="64749" s="101" customFormat="1" spans="6:6">
      <c r="F64749" s="2423"/>
    </row>
    <row r="64750" s="101" customFormat="1" spans="6:6">
      <c r="F64750" s="2423"/>
    </row>
    <row r="64751" s="101" customFormat="1" spans="6:6">
      <c r="F64751" s="2423"/>
    </row>
    <row r="64752" s="101" customFormat="1" spans="6:6">
      <c r="F64752" s="2423"/>
    </row>
    <row r="64753" s="101" customFormat="1" spans="6:6">
      <c r="F64753" s="2423"/>
    </row>
    <row r="64754" s="101" customFormat="1" spans="6:6">
      <c r="F64754" s="2423"/>
    </row>
    <row r="64755" s="101" customFormat="1" spans="6:6">
      <c r="F64755" s="2423"/>
    </row>
    <row r="64756" s="101" customFormat="1" spans="6:6">
      <c r="F64756" s="2423"/>
    </row>
    <row r="64757" s="101" customFormat="1" spans="6:6">
      <c r="F64757" s="2423"/>
    </row>
    <row r="64758" s="101" customFormat="1" spans="6:6">
      <c r="F64758" s="2423"/>
    </row>
    <row r="64759" s="101" customFormat="1" spans="6:6">
      <c r="F64759" s="2423"/>
    </row>
    <row r="64760" s="101" customFormat="1" spans="6:6">
      <c r="F64760" s="2423"/>
    </row>
    <row r="64761" s="101" customFormat="1" spans="6:6">
      <c r="F64761" s="2423"/>
    </row>
    <row r="64762" s="101" customFormat="1" spans="6:6">
      <c r="F64762" s="2423"/>
    </row>
    <row r="64763" s="101" customFormat="1" spans="6:6">
      <c r="F64763" s="2423"/>
    </row>
    <row r="64764" s="101" customFormat="1" spans="6:6">
      <c r="F64764" s="2423"/>
    </row>
    <row r="64765" s="101" customFormat="1" spans="6:6">
      <c r="F64765" s="2423"/>
    </row>
    <row r="64766" s="101" customFormat="1" spans="6:6">
      <c r="F64766" s="2423"/>
    </row>
    <row r="64767" s="101" customFormat="1" spans="6:6">
      <c r="F64767" s="2423"/>
    </row>
    <row r="64768" s="101" customFormat="1" spans="6:6">
      <c r="F64768" s="2423"/>
    </row>
    <row r="64769" s="101" customFormat="1" spans="6:6">
      <c r="F64769" s="2423"/>
    </row>
    <row r="64770" s="101" customFormat="1" spans="6:6">
      <c r="F64770" s="2423"/>
    </row>
    <row r="64771" s="101" customFormat="1" spans="6:6">
      <c r="F64771" s="2423"/>
    </row>
    <row r="64772" s="101" customFormat="1" spans="6:6">
      <c r="F64772" s="2423"/>
    </row>
    <row r="64773" s="101" customFormat="1" spans="6:6">
      <c r="F64773" s="2423"/>
    </row>
    <row r="64774" s="101" customFormat="1" spans="6:6">
      <c r="F64774" s="2423"/>
    </row>
    <row r="64775" s="101" customFormat="1" spans="6:6">
      <c r="F64775" s="2423"/>
    </row>
    <row r="64776" s="101" customFormat="1" spans="6:6">
      <c r="F64776" s="2423"/>
    </row>
    <row r="64777" s="101" customFormat="1" spans="6:6">
      <c r="F64777" s="2423"/>
    </row>
    <row r="64778" s="101" customFormat="1" spans="6:6">
      <c r="F64778" s="2423"/>
    </row>
    <row r="64779" s="101" customFormat="1" spans="6:6">
      <c r="F64779" s="2423"/>
    </row>
    <row r="64780" s="101" customFormat="1" spans="6:6">
      <c r="F64780" s="2423"/>
    </row>
    <row r="64781" s="101" customFormat="1" spans="6:6">
      <c r="F64781" s="2423"/>
    </row>
    <row r="64782" s="101" customFormat="1" spans="6:6">
      <c r="F64782" s="2423"/>
    </row>
    <row r="64783" s="101" customFormat="1" spans="6:6">
      <c r="F64783" s="2423"/>
    </row>
    <row r="64784" s="101" customFormat="1" spans="6:6">
      <c r="F64784" s="2423"/>
    </row>
    <row r="64785" s="101" customFormat="1" spans="6:6">
      <c r="F64785" s="2423"/>
    </row>
    <row r="64786" s="101" customFormat="1" spans="6:6">
      <c r="F64786" s="2423"/>
    </row>
    <row r="64787" s="101" customFormat="1" spans="6:6">
      <c r="F64787" s="2423"/>
    </row>
    <row r="64788" s="101" customFormat="1" spans="6:6">
      <c r="F64788" s="2423"/>
    </row>
    <row r="64789" s="101" customFormat="1" spans="6:6">
      <c r="F64789" s="2423"/>
    </row>
    <row r="64790" s="101" customFormat="1" spans="6:6">
      <c r="F64790" s="2423"/>
    </row>
    <row r="64791" s="101" customFormat="1" spans="6:6">
      <c r="F64791" s="2423"/>
    </row>
    <row r="64792" s="101" customFormat="1" spans="6:6">
      <c r="F64792" s="2423"/>
    </row>
    <row r="64793" s="101" customFormat="1" spans="6:6">
      <c r="F64793" s="2423"/>
    </row>
    <row r="64794" s="101" customFormat="1" spans="6:6">
      <c r="F64794" s="2423"/>
    </row>
    <row r="64795" s="101" customFormat="1" spans="6:6">
      <c r="F64795" s="2423"/>
    </row>
    <row r="64796" s="101" customFormat="1" spans="6:6">
      <c r="F64796" s="2423"/>
    </row>
    <row r="64797" s="101" customFormat="1" spans="6:6">
      <c r="F64797" s="2423"/>
    </row>
    <row r="64798" s="101" customFormat="1" spans="6:6">
      <c r="F64798" s="2423"/>
    </row>
    <row r="64799" s="101" customFormat="1" spans="6:6">
      <c r="F64799" s="2423"/>
    </row>
    <row r="64800" s="101" customFormat="1" spans="6:6">
      <c r="F64800" s="2423"/>
    </row>
    <row r="64801" s="101" customFormat="1" spans="6:6">
      <c r="F64801" s="2423"/>
    </row>
    <row r="64802" s="101" customFormat="1" spans="6:6">
      <c r="F64802" s="2423"/>
    </row>
    <row r="64803" s="101" customFormat="1" spans="6:6">
      <c r="F64803" s="2423"/>
    </row>
    <row r="64804" s="101" customFormat="1" spans="6:6">
      <c r="F64804" s="2423"/>
    </row>
    <row r="64805" s="101" customFormat="1" spans="6:6">
      <c r="F64805" s="2423"/>
    </row>
    <row r="64806" s="101" customFormat="1" spans="6:6">
      <c r="F64806" s="2423"/>
    </row>
    <row r="64807" s="101" customFormat="1" spans="6:6">
      <c r="F64807" s="2423"/>
    </row>
    <row r="64808" s="101" customFormat="1" spans="6:6">
      <c r="F64808" s="2423"/>
    </row>
    <row r="64809" s="101" customFormat="1" spans="6:6">
      <c r="F64809" s="2423"/>
    </row>
    <row r="64810" s="101" customFormat="1" spans="6:6">
      <c r="F64810" s="2423"/>
    </row>
    <row r="64811" s="101" customFormat="1" spans="6:6">
      <c r="F64811" s="2423"/>
    </row>
    <row r="64812" s="101" customFormat="1" spans="6:6">
      <c r="F64812" s="2423"/>
    </row>
    <row r="64813" s="101" customFormat="1" spans="6:6">
      <c r="F64813" s="2423"/>
    </row>
    <row r="64814" s="101" customFormat="1" spans="6:6">
      <c r="F64814" s="2423"/>
    </row>
    <row r="64815" s="101" customFormat="1" spans="6:6">
      <c r="F64815" s="2423"/>
    </row>
    <row r="64816" s="101" customFormat="1" spans="6:6">
      <c r="F64816" s="2423"/>
    </row>
    <row r="64817" s="101" customFormat="1" spans="6:6">
      <c r="F64817" s="2423"/>
    </row>
    <row r="64818" s="101" customFormat="1" spans="6:6">
      <c r="F64818" s="2423"/>
    </row>
    <row r="64819" s="101" customFormat="1" spans="6:6">
      <c r="F64819" s="2423"/>
    </row>
    <row r="64820" s="101" customFormat="1" spans="6:6">
      <c r="F64820" s="2423"/>
    </row>
    <row r="64821" s="101" customFormat="1" spans="6:6">
      <c r="F64821" s="2423"/>
    </row>
    <row r="64822" s="101" customFormat="1" spans="6:6">
      <c r="F64822" s="2423"/>
    </row>
    <row r="64823" s="101" customFormat="1" spans="6:6">
      <c r="F64823" s="2423"/>
    </row>
    <row r="64824" s="101" customFormat="1" spans="6:6">
      <c r="F64824" s="2423"/>
    </row>
    <row r="64825" s="101" customFormat="1" spans="6:6">
      <c r="F64825" s="2423"/>
    </row>
    <row r="64826" s="101" customFormat="1" spans="6:6">
      <c r="F64826" s="2423"/>
    </row>
    <row r="64827" s="101" customFormat="1" spans="6:6">
      <c r="F64827" s="2423"/>
    </row>
    <row r="64828" s="101" customFormat="1" spans="6:6">
      <c r="F64828" s="2423"/>
    </row>
    <row r="64829" s="101" customFormat="1" spans="6:6">
      <c r="F64829" s="2423"/>
    </row>
    <row r="64830" s="101" customFormat="1" spans="6:6">
      <c r="F64830" s="2423"/>
    </row>
    <row r="64831" s="101" customFormat="1" spans="6:6">
      <c r="F64831" s="2423"/>
    </row>
    <row r="64832" s="101" customFormat="1" spans="6:6">
      <c r="F64832" s="2423"/>
    </row>
    <row r="64833" s="101" customFormat="1" spans="6:6">
      <c r="F64833" s="2423"/>
    </row>
    <row r="64834" s="101" customFormat="1" spans="6:6">
      <c r="F64834" s="2423"/>
    </row>
    <row r="64835" s="101" customFormat="1" spans="6:6">
      <c r="F64835" s="2423"/>
    </row>
    <row r="64836" s="101" customFormat="1" spans="6:6">
      <c r="F64836" s="2423"/>
    </row>
    <row r="64837" s="101" customFormat="1" spans="6:6">
      <c r="F64837" s="2423"/>
    </row>
    <row r="64838" s="101" customFormat="1" spans="6:6">
      <c r="F64838" s="2423"/>
    </row>
    <row r="64839" s="101" customFormat="1" spans="6:6">
      <c r="F64839" s="2423"/>
    </row>
    <row r="64840" s="101" customFormat="1" spans="6:6">
      <c r="F64840" s="2423"/>
    </row>
    <row r="64841" s="101" customFormat="1" spans="6:6">
      <c r="F64841" s="2423"/>
    </row>
    <row r="64842" s="101" customFormat="1" spans="6:6">
      <c r="F64842" s="2423"/>
    </row>
    <row r="64843" s="101" customFormat="1" spans="6:6">
      <c r="F64843" s="2423"/>
    </row>
    <row r="64844" s="101" customFormat="1" spans="6:6">
      <c r="F64844" s="2423"/>
    </row>
    <row r="64845" s="101" customFormat="1" spans="6:6">
      <c r="F64845" s="2423"/>
    </row>
    <row r="64846" s="101" customFormat="1" spans="6:6">
      <c r="F64846" s="2423"/>
    </row>
    <row r="64847" s="101" customFormat="1" spans="6:6">
      <c r="F64847" s="2423"/>
    </row>
    <row r="64848" s="101" customFormat="1" spans="6:6">
      <c r="F64848" s="2423"/>
    </row>
    <row r="64849" s="101" customFormat="1" spans="6:6">
      <c r="F64849" s="2423"/>
    </row>
    <row r="64850" s="101" customFormat="1" spans="6:6">
      <c r="F64850" s="2423"/>
    </row>
    <row r="64851" s="101" customFormat="1" spans="6:6">
      <c r="F64851" s="2423"/>
    </row>
    <row r="64852" s="101" customFormat="1" spans="6:6">
      <c r="F64852" s="2423"/>
    </row>
    <row r="64853" s="101" customFormat="1" spans="6:6">
      <c r="F64853" s="2423"/>
    </row>
    <row r="64854" s="101" customFormat="1" spans="6:6">
      <c r="F64854" s="2423"/>
    </row>
    <row r="64855" s="101" customFormat="1" spans="6:6">
      <c r="F64855" s="2423"/>
    </row>
    <row r="64856" s="101" customFormat="1" spans="6:6">
      <c r="F64856" s="2423"/>
    </row>
    <row r="64857" s="101" customFormat="1" spans="6:6">
      <c r="F64857" s="2423"/>
    </row>
    <row r="64858" s="101" customFormat="1" spans="6:6">
      <c r="F64858" s="2423"/>
    </row>
    <row r="64859" s="101" customFormat="1" spans="6:6">
      <c r="F64859" s="2423"/>
    </row>
    <row r="64860" s="101" customFormat="1" spans="6:6">
      <c r="F64860" s="2423"/>
    </row>
    <row r="64861" s="101" customFormat="1" spans="6:6">
      <c r="F64861" s="2423"/>
    </row>
    <row r="64862" s="101" customFormat="1" spans="6:6">
      <c r="F64862" s="2423"/>
    </row>
    <row r="64863" s="101" customFormat="1" spans="6:6">
      <c r="F64863" s="2423"/>
    </row>
    <row r="64864" s="101" customFormat="1" spans="6:6">
      <c r="F64864" s="2423"/>
    </row>
    <row r="64865" s="101" customFormat="1" spans="6:6">
      <c r="F64865" s="2423"/>
    </row>
    <row r="64866" s="101" customFormat="1" spans="6:6">
      <c r="F64866" s="2423"/>
    </row>
    <row r="64867" s="101" customFormat="1" spans="6:6">
      <c r="F64867" s="2423"/>
    </row>
    <row r="64868" s="101" customFormat="1" spans="6:6">
      <c r="F64868" s="2423"/>
    </row>
    <row r="64869" s="101" customFormat="1" spans="6:6">
      <c r="F64869" s="2423"/>
    </row>
    <row r="64870" s="101" customFormat="1" spans="6:6">
      <c r="F64870" s="2423"/>
    </row>
    <row r="64871" s="101" customFormat="1" spans="6:6">
      <c r="F64871" s="2423"/>
    </row>
    <row r="64872" s="101" customFormat="1" spans="6:6">
      <c r="F64872" s="2423"/>
    </row>
    <row r="64873" s="101" customFormat="1" spans="6:6">
      <c r="F64873" s="2423"/>
    </row>
    <row r="64874" s="101" customFormat="1" spans="6:6">
      <c r="F64874" s="2423"/>
    </row>
    <row r="64875" s="101" customFormat="1" spans="6:6">
      <c r="F64875" s="2423"/>
    </row>
    <row r="64876" s="101" customFormat="1" spans="6:6">
      <c r="F64876" s="2423"/>
    </row>
    <row r="64877" s="101" customFormat="1" spans="6:6">
      <c r="F64877" s="2423"/>
    </row>
    <row r="64878" s="101" customFormat="1" spans="6:6">
      <c r="F64878" s="2423"/>
    </row>
    <row r="64879" s="101" customFormat="1" spans="6:6">
      <c r="F64879" s="2423"/>
    </row>
    <row r="64880" s="101" customFormat="1" spans="6:6">
      <c r="F64880" s="2423"/>
    </row>
    <row r="64881" s="101" customFormat="1" spans="6:6">
      <c r="F64881" s="2423"/>
    </row>
    <row r="64882" s="101" customFormat="1" spans="6:6">
      <c r="F64882" s="2423"/>
    </row>
    <row r="64883" s="101" customFormat="1" spans="6:6">
      <c r="F64883" s="2423"/>
    </row>
    <row r="64884" s="101" customFormat="1" spans="6:6">
      <c r="F64884" s="2423"/>
    </row>
    <row r="64885" s="101" customFormat="1" spans="6:6">
      <c r="F64885" s="2423"/>
    </row>
    <row r="64886" s="101" customFormat="1" spans="6:6">
      <c r="F64886" s="2423"/>
    </row>
    <row r="64887" s="101" customFormat="1" spans="6:6">
      <c r="F64887" s="2423"/>
    </row>
    <row r="64888" s="101" customFormat="1" spans="6:6">
      <c r="F64888" s="2423"/>
    </row>
    <row r="64889" s="101" customFormat="1" spans="6:6">
      <c r="F64889" s="2423"/>
    </row>
    <row r="64890" s="101" customFormat="1" spans="6:6">
      <c r="F64890" s="2423"/>
    </row>
    <row r="64891" s="101" customFormat="1" spans="6:6">
      <c r="F64891" s="2423"/>
    </row>
    <row r="64892" s="101" customFormat="1" spans="6:6">
      <c r="F64892" s="2423"/>
    </row>
    <row r="64893" s="101" customFormat="1" spans="6:6">
      <c r="F64893" s="2423"/>
    </row>
    <row r="64894" s="101" customFormat="1" spans="6:6">
      <c r="F64894" s="2423"/>
    </row>
    <row r="64895" s="101" customFormat="1" spans="6:6">
      <c r="F64895" s="2423"/>
    </row>
    <row r="64896" s="101" customFormat="1" spans="6:6">
      <c r="F64896" s="2423"/>
    </row>
    <row r="64897" s="101" customFormat="1" spans="6:6">
      <c r="F64897" s="2423"/>
    </row>
    <row r="64898" s="101" customFormat="1" spans="6:6">
      <c r="F64898" s="2423"/>
    </row>
    <row r="64899" s="101" customFormat="1" spans="6:6">
      <c r="F64899" s="2423"/>
    </row>
    <row r="64900" s="101" customFormat="1" spans="6:6">
      <c r="F64900" s="2423"/>
    </row>
    <row r="64901" s="101" customFormat="1" spans="6:6">
      <c r="F64901" s="2423"/>
    </row>
    <row r="64902" s="101" customFormat="1" spans="6:6">
      <c r="F64902" s="2423"/>
    </row>
    <row r="64903" s="101" customFormat="1" spans="6:6">
      <c r="F64903" s="2423"/>
    </row>
    <row r="64904" s="101" customFormat="1" spans="6:6">
      <c r="F64904" s="2423"/>
    </row>
    <row r="64905" s="101" customFormat="1" spans="6:6">
      <c r="F64905" s="2423"/>
    </row>
    <row r="64906" s="101" customFormat="1" spans="6:6">
      <c r="F64906" s="2423"/>
    </row>
    <row r="64907" s="101" customFormat="1" spans="6:6">
      <c r="F64907" s="2423"/>
    </row>
    <row r="64908" s="101" customFormat="1" spans="6:6">
      <c r="F64908" s="2423"/>
    </row>
    <row r="64909" s="101" customFormat="1" spans="6:6">
      <c r="F64909" s="2423"/>
    </row>
    <row r="64910" s="101" customFormat="1" spans="6:6">
      <c r="F64910" s="2423"/>
    </row>
    <row r="64911" s="101" customFormat="1" spans="6:6">
      <c r="F64911" s="2423"/>
    </row>
    <row r="64912" s="101" customFormat="1" spans="6:6">
      <c r="F64912" s="2423"/>
    </row>
    <row r="64913" s="101" customFormat="1" spans="6:6">
      <c r="F64913" s="2423"/>
    </row>
    <row r="64914" s="101" customFormat="1" spans="6:6">
      <c r="F64914" s="2423"/>
    </row>
    <row r="64915" s="101" customFormat="1" spans="6:6">
      <c r="F64915" s="2423"/>
    </row>
    <row r="64916" s="101" customFormat="1" spans="6:6">
      <c r="F64916" s="2423"/>
    </row>
    <row r="64917" s="101" customFormat="1" spans="6:6">
      <c r="F64917" s="2423"/>
    </row>
    <row r="64918" s="101" customFormat="1" spans="6:6">
      <c r="F64918" s="2423"/>
    </row>
    <row r="64919" s="101" customFormat="1" spans="6:6">
      <c r="F64919" s="2423"/>
    </row>
    <row r="64920" s="101" customFormat="1" spans="6:6">
      <c r="F64920" s="2423"/>
    </row>
    <row r="64921" s="101" customFormat="1" spans="6:6">
      <c r="F64921" s="2423"/>
    </row>
    <row r="64922" s="101" customFormat="1" spans="6:6">
      <c r="F64922" s="2423"/>
    </row>
    <row r="64923" s="101" customFormat="1" spans="6:6">
      <c r="F64923" s="2423"/>
    </row>
    <row r="64924" s="101" customFormat="1" spans="6:6">
      <c r="F64924" s="2423"/>
    </row>
    <row r="64925" s="101" customFormat="1" spans="6:6">
      <c r="F64925" s="2423"/>
    </row>
    <row r="64926" s="101" customFormat="1" spans="6:6">
      <c r="F64926" s="2423"/>
    </row>
    <row r="64927" s="101" customFormat="1" spans="6:6">
      <c r="F64927" s="2423"/>
    </row>
    <row r="64928" s="101" customFormat="1" spans="6:6">
      <c r="F64928" s="2423"/>
    </row>
    <row r="64929" s="101" customFormat="1" spans="6:6">
      <c r="F64929" s="2423"/>
    </row>
    <row r="64930" s="101" customFormat="1" spans="6:6">
      <c r="F64930" s="2423"/>
    </row>
    <row r="64931" s="101" customFormat="1" spans="6:6">
      <c r="F64931" s="2423"/>
    </row>
    <row r="64932" s="101" customFormat="1" spans="6:6">
      <c r="F64932" s="2423"/>
    </row>
    <row r="64933" s="101" customFormat="1" spans="6:6">
      <c r="F64933" s="2423"/>
    </row>
    <row r="64934" s="101" customFormat="1" spans="6:6">
      <c r="F64934" s="2423"/>
    </row>
    <row r="64935" s="101" customFormat="1" spans="6:6">
      <c r="F64935" s="2423"/>
    </row>
    <row r="64936" s="101" customFormat="1" spans="6:6">
      <c r="F64936" s="2423"/>
    </row>
    <row r="64937" s="101" customFormat="1" spans="6:6">
      <c r="F64937" s="2423"/>
    </row>
    <row r="64938" s="101" customFormat="1" spans="6:6">
      <c r="F64938" s="2423"/>
    </row>
    <row r="64939" s="101" customFormat="1" spans="6:6">
      <c r="F64939" s="2423"/>
    </row>
    <row r="64940" s="101" customFormat="1" spans="6:6">
      <c r="F64940" s="2423"/>
    </row>
    <row r="64941" s="101" customFormat="1" spans="6:6">
      <c r="F64941" s="2423"/>
    </row>
    <row r="64942" s="101" customFormat="1" spans="6:6">
      <c r="F64942" s="2423"/>
    </row>
    <row r="64943" s="101" customFormat="1" spans="6:6">
      <c r="F64943" s="2423"/>
    </row>
    <row r="64944" s="101" customFormat="1" spans="6:6">
      <c r="F64944" s="2423"/>
    </row>
    <row r="64945" s="101" customFormat="1" spans="6:6">
      <c r="F64945" s="2423"/>
    </row>
    <row r="64946" s="101" customFormat="1" spans="6:6">
      <c r="F64946" s="2423"/>
    </row>
    <row r="64947" s="101" customFormat="1" spans="6:6">
      <c r="F64947" s="2423"/>
    </row>
    <row r="64948" s="101" customFormat="1" spans="6:6">
      <c r="F64948" s="2423"/>
    </row>
    <row r="64949" s="101" customFormat="1" spans="6:6">
      <c r="F64949" s="2423"/>
    </row>
    <row r="64950" s="101" customFormat="1" spans="6:6">
      <c r="F64950" s="2423"/>
    </row>
    <row r="64951" s="101" customFormat="1" spans="6:6">
      <c r="F64951" s="2423"/>
    </row>
    <row r="64952" s="101" customFormat="1" spans="6:6">
      <c r="F64952" s="2423"/>
    </row>
    <row r="64953" s="101" customFormat="1" spans="6:6">
      <c r="F64953" s="2423"/>
    </row>
    <row r="64954" s="101" customFormat="1" spans="6:6">
      <c r="F64954" s="2423"/>
    </row>
    <row r="64955" s="101" customFormat="1" spans="6:6">
      <c r="F64955" s="2423"/>
    </row>
    <row r="64956" s="101" customFormat="1" spans="6:6">
      <c r="F64956" s="2423"/>
    </row>
    <row r="64957" s="101" customFormat="1" spans="6:6">
      <c r="F64957" s="2423"/>
    </row>
    <row r="64958" s="101" customFormat="1" spans="6:6">
      <c r="F64958" s="2423"/>
    </row>
    <row r="64959" s="101" customFormat="1" spans="6:6">
      <c r="F64959" s="2423"/>
    </row>
    <row r="64960" s="101" customFormat="1" spans="6:6">
      <c r="F64960" s="2423"/>
    </row>
    <row r="64961" s="101" customFormat="1" spans="6:6">
      <c r="F64961" s="2423"/>
    </row>
    <row r="64962" s="101" customFormat="1" spans="6:6">
      <c r="F64962" s="2423"/>
    </row>
    <row r="64963" s="101" customFormat="1" spans="6:6">
      <c r="F64963" s="2423"/>
    </row>
    <row r="64964" s="101" customFormat="1" spans="6:6">
      <c r="F64964" s="2423"/>
    </row>
    <row r="64965" s="101" customFormat="1" spans="6:6">
      <c r="F64965" s="2423"/>
    </row>
    <row r="64966" s="101" customFormat="1" spans="6:6">
      <c r="F64966" s="2423"/>
    </row>
    <row r="64967" s="101" customFormat="1" spans="6:6">
      <c r="F64967" s="2423"/>
    </row>
    <row r="64968" s="101" customFormat="1" spans="6:6">
      <c r="F64968" s="2423"/>
    </row>
    <row r="64969" s="101" customFormat="1" spans="6:6">
      <c r="F64969" s="2423"/>
    </row>
    <row r="64970" s="101" customFormat="1" spans="6:6">
      <c r="F64970" s="2423"/>
    </row>
    <row r="64971" s="101" customFormat="1" spans="6:6">
      <c r="F64971" s="2423"/>
    </row>
    <row r="64972" s="101" customFormat="1" spans="6:6">
      <c r="F64972" s="2423"/>
    </row>
    <row r="64973" s="101" customFormat="1" spans="6:6">
      <c r="F64973" s="2423"/>
    </row>
    <row r="64974" s="101" customFormat="1" spans="6:6">
      <c r="F64974" s="2423"/>
    </row>
    <row r="64975" s="101" customFormat="1" spans="6:6">
      <c r="F64975" s="2423"/>
    </row>
    <row r="64976" s="101" customFormat="1" spans="6:6">
      <c r="F64976" s="2423"/>
    </row>
    <row r="64977" s="101" customFormat="1" spans="6:6">
      <c r="F64977" s="2423"/>
    </row>
    <row r="64978" s="101" customFormat="1" spans="6:6">
      <c r="F64978" s="2423"/>
    </row>
    <row r="64979" s="101" customFormat="1" spans="6:6">
      <c r="F64979" s="2423"/>
    </row>
    <row r="64980" s="101" customFormat="1" spans="6:6">
      <c r="F64980" s="2423"/>
    </row>
    <row r="64981" s="101" customFormat="1" spans="6:6">
      <c r="F64981" s="2423"/>
    </row>
    <row r="64982" s="101" customFormat="1" spans="6:6">
      <c r="F64982" s="2423"/>
    </row>
    <row r="64983" s="101" customFormat="1" spans="6:6">
      <c r="F64983" s="2423"/>
    </row>
    <row r="64984" s="101" customFormat="1" spans="6:6">
      <c r="F64984" s="2423"/>
    </row>
    <row r="64985" s="101" customFormat="1" spans="6:6">
      <c r="F64985" s="2423"/>
    </row>
    <row r="64986" s="101" customFormat="1" spans="6:6">
      <c r="F64986" s="2423"/>
    </row>
    <row r="64987" s="101" customFormat="1" spans="6:6">
      <c r="F64987" s="2423"/>
    </row>
    <row r="64988" s="101" customFormat="1" spans="6:6">
      <c r="F64988" s="2423"/>
    </row>
    <row r="64989" s="101" customFormat="1" spans="6:6">
      <c r="F64989" s="2423"/>
    </row>
    <row r="64990" s="101" customFormat="1" spans="6:6">
      <c r="F64990" s="2423"/>
    </row>
    <row r="64991" s="101" customFormat="1" spans="6:6">
      <c r="F64991" s="2423"/>
    </row>
    <row r="64992" s="101" customFormat="1" spans="6:6">
      <c r="F64992" s="2423"/>
    </row>
    <row r="64993" s="101" customFormat="1" spans="6:6">
      <c r="F64993" s="2423"/>
    </row>
    <row r="64994" s="101" customFormat="1" spans="6:6">
      <c r="F64994" s="2423"/>
    </row>
    <row r="64995" s="101" customFormat="1" spans="6:6">
      <c r="F64995" s="2423"/>
    </row>
    <row r="64996" s="101" customFormat="1" spans="6:6">
      <c r="F64996" s="2423"/>
    </row>
    <row r="64997" s="101" customFormat="1" spans="6:6">
      <c r="F64997" s="2423"/>
    </row>
    <row r="64998" s="101" customFormat="1" spans="6:6">
      <c r="F64998" s="2423"/>
    </row>
    <row r="64999" s="101" customFormat="1" spans="6:6">
      <c r="F64999" s="2423"/>
    </row>
    <row r="65000" s="101" customFormat="1" spans="6:6">
      <c r="F65000" s="2423"/>
    </row>
    <row r="65001" s="101" customFormat="1" spans="6:6">
      <c r="F65001" s="2423"/>
    </row>
    <row r="65002" s="101" customFormat="1" spans="6:6">
      <c r="F65002" s="2423"/>
    </row>
    <row r="65003" s="101" customFormat="1" spans="6:6">
      <c r="F65003" s="2423"/>
    </row>
    <row r="65004" s="101" customFormat="1" spans="6:6">
      <c r="F65004" s="2423"/>
    </row>
    <row r="65005" s="101" customFormat="1" spans="6:6">
      <c r="F65005" s="2423"/>
    </row>
    <row r="65006" s="101" customFormat="1" spans="6:6">
      <c r="F65006" s="2423"/>
    </row>
    <row r="65007" s="101" customFormat="1" spans="6:6">
      <c r="F65007" s="2423"/>
    </row>
    <row r="65008" s="101" customFormat="1" spans="6:6">
      <c r="F65008" s="2423"/>
    </row>
    <row r="65009" s="101" customFormat="1" spans="6:6">
      <c r="F65009" s="2423"/>
    </row>
    <row r="65010" s="101" customFormat="1" spans="6:6">
      <c r="F65010" s="2423"/>
    </row>
    <row r="65011" s="101" customFormat="1" spans="6:6">
      <c r="F65011" s="2423"/>
    </row>
    <row r="65012" s="101" customFormat="1" spans="6:6">
      <c r="F65012" s="2423"/>
    </row>
    <row r="65013" s="101" customFormat="1" spans="6:6">
      <c r="F65013" s="2423"/>
    </row>
    <row r="65014" s="101" customFormat="1" spans="6:6">
      <c r="F65014" s="2423"/>
    </row>
    <row r="65015" s="101" customFormat="1" spans="6:6">
      <c r="F65015" s="2423"/>
    </row>
    <row r="65016" s="101" customFormat="1" spans="6:6">
      <c r="F65016" s="2423"/>
    </row>
    <row r="65017" s="101" customFormat="1" spans="6:6">
      <c r="F65017" s="2423"/>
    </row>
    <row r="65018" s="101" customFormat="1" spans="6:6">
      <c r="F65018" s="2423"/>
    </row>
    <row r="65019" s="101" customFormat="1" spans="6:6">
      <c r="F65019" s="2423"/>
    </row>
    <row r="65020" s="101" customFormat="1" spans="6:6">
      <c r="F65020" s="2423"/>
    </row>
    <row r="65021" s="101" customFormat="1" spans="6:6">
      <c r="F65021" s="2423"/>
    </row>
    <row r="65022" s="101" customFormat="1" spans="6:6">
      <c r="F65022" s="2423"/>
    </row>
    <row r="65023" s="101" customFormat="1" spans="6:6">
      <c r="F65023" s="2423"/>
    </row>
    <row r="65024" s="101" customFormat="1" spans="6:6">
      <c r="F65024" s="2423"/>
    </row>
    <row r="65025" s="101" customFormat="1" spans="6:6">
      <c r="F65025" s="2423"/>
    </row>
    <row r="65026" s="101" customFormat="1" spans="6:6">
      <c r="F65026" s="2423"/>
    </row>
    <row r="65027" s="101" customFormat="1" spans="6:6">
      <c r="F65027" s="2423"/>
    </row>
    <row r="65028" s="101" customFormat="1" spans="6:6">
      <c r="F65028" s="2423"/>
    </row>
    <row r="65029" s="101" customFormat="1" spans="6:6">
      <c r="F65029" s="2423"/>
    </row>
    <row r="65030" s="101" customFormat="1" spans="6:6">
      <c r="F65030" s="2423"/>
    </row>
    <row r="65031" s="101" customFormat="1" spans="6:6">
      <c r="F65031" s="2423"/>
    </row>
    <row r="65032" s="101" customFormat="1" spans="6:6">
      <c r="F65032" s="2423"/>
    </row>
    <row r="65033" s="101" customFormat="1" spans="6:6">
      <c r="F65033" s="2423"/>
    </row>
    <row r="65034" s="101" customFormat="1" spans="6:6">
      <c r="F65034" s="2423"/>
    </row>
    <row r="65035" s="101" customFormat="1" spans="6:6">
      <c r="F65035" s="2423"/>
    </row>
    <row r="65036" s="101" customFormat="1" spans="6:6">
      <c r="F65036" s="2423"/>
    </row>
    <row r="65037" s="101" customFormat="1" spans="6:6">
      <c r="F65037" s="2423"/>
    </row>
    <row r="65038" s="101" customFormat="1" spans="6:6">
      <c r="F65038" s="2423"/>
    </row>
    <row r="65039" s="101" customFormat="1" spans="6:6">
      <c r="F65039" s="2423"/>
    </row>
    <row r="65040" s="101" customFormat="1" spans="6:6">
      <c r="F65040" s="2423"/>
    </row>
    <row r="65041" s="101" customFormat="1" spans="6:6">
      <c r="F65041" s="2423"/>
    </row>
    <row r="65042" s="101" customFormat="1" spans="6:6">
      <c r="F65042" s="2423"/>
    </row>
    <row r="65043" s="101" customFormat="1" spans="6:6">
      <c r="F65043" s="2423"/>
    </row>
    <row r="65044" s="101" customFormat="1" spans="6:6">
      <c r="F65044" s="2423"/>
    </row>
    <row r="65045" s="101" customFormat="1" spans="6:6">
      <c r="F65045" s="2423"/>
    </row>
    <row r="65046" s="101" customFormat="1" spans="6:6">
      <c r="F65046" s="2423"/>
    </row>
    <row r="65047" s="101" customFormat="1" spans="6:6">
      <c r="F65047" s="2423"/>
    </row>
    <row r="65048" s="101" customFormat="1" spans="6:6">
      <c r="F65048" s="2423"/>
    </row>
    <row r="65049" s="101" customFormat="1" spans="6:6">
      <c r="F65049" s="2423"/>
    </row>
    <row r="65050" s="101" customFormat="1" spans="6:6">
      <c r="F65050" s="2423"/>
    </row>
    <row r="65051" s="101" customFormat="1" spans="6:6">
      <c r="F65051" s="2423"/>
    </row>
    <row r="65052" s="101" customFormat="1" spans="6:6">
      <c r="F65052" s="2423"/>
    </row>
    <row r="65053" s="101" customFormat="1" spans="6:6">
      <c r="F65053" s="2423"/>
    </row>
    <row r="65054" s="101" customFormat="1" spans="6:6">
      <c r="F65054" s="2423"/>
    </row>
    <row r="65055" s="101" customFormat="1" spans="6:6">
      <c r="F65055" s="2423"/>
    </row>
    <row r="65056" s="101" customFormat="1" spans="6:6">
      <c r="F65056" s="2423"/>
    </row>
    <row r="65057" s="101" customFormat="1" spans="6:6">
      <c r="F65057" s="2423"/>
    </row>
    <row r="65058" s="101" customFormat="1" spans="6:6">
      <c r="F65058" s="2423"/>
    </row>
    <row r="65059" s="101" customFormat="1" spans="6:6">
      <c r="F65059" s="2423"/>
    </row>
    <row r="65060" s="101" customFormat="1" spans="6:6">
      <c r="F65060" s="2423"/>
    </row>
    <row r="65061" s="101" customFormat="1" spans="6:6">
      <c r="F65061" s="2423"/>
    </row>
    <row r="65062" s="101" customFormat="1" spans="6:6">
      <c r="F65062" s="2423"/>
    </row>
    <row r="65063" s="101" customFormat="1" spans="6:6">
      <c r="F65063" s="2423"/>
    </row>
    <row r="65064" s="101" customFormat="1" spans="6:6">
      <c r="F65064" s="2423"/>
    </row>
    <row r="65065" s="101" customFormat="1" spans="6:6">
      <c r="F65065" s="2423"/>
    </row>
    <row r="65066" s="101" customFormat="1" spans="6:6">
      <c r="F65066" s="2423"/>
    </row>
    <row r="65067" s="101" customFormat="1" spans="6:6">
      <c r="F65067" s="2423"/>
    </row>
    <row r="65068" s="101" customFormat="1" spans="6:6">
      <c r="F65068" s="2423"/>
    </row>
    <row r="65069" s="101" customFormat="1" spans="6:6">
      <c r="F65069" s="2423"/>
    </row>
    <row r="65070" s="101" customFormat="1" spans="6:6">
      <c r="F65070" s="2423"/>
    </row>
    <row r="65071" s="101" customFormat="1" spans="6:6">
      <c r="F65071" s="2423"/>
    </row>
    <row r="65072" s="101" customFormat="1" spans="6:6">
      <c r="F65072" s="2423"/>
    </row>
    <row r="65073" s="101" customFormat="1" spans="6:6">
      <c r="F65073" s="2423"/>
    </row>
    <row r="65074" s="101" customFormat="1" spans="6:6">
      <c r="F65074" s="2423"/>
    </row>
    <row r="65075" s="101" customFormat="1" spans="6:6">
      <c r="F65075" s="2423"/>
    </row>
    <row r="65076" s="101" customFormat="1" spans="6:6">
      <c r="F65076" s="2423"/>
    </row>
    <row r="65077" s="101" customFormat="1" spans="6:6">
      <c r="F65077" s="2423"/>
    </row>
    <row r="65078" s="101" customFormat="1" spans="6:6">
      <c r="F65078" s="2423"/>
    </row>
    <row r="65079" s="101" customFormat="1" spans="6:6">
      <c r="F65079" s="2423"/>
    </row>
    <row r="65080" s="101" customFormat="1" spans="6:6">
      <c r="F65080" s="2423"/>
    </row>
    <row r="65081" s="101" customFormat="1" spans="6:6">
      <c r="F65081" s="2423"/>
    </row>
    <row r="65082" s="101" customFormat="1" spans="6:6">
      <c r="F65082" s="2423"/>
    </row>
    <row r="65083" s="101" customFormat="1" spans="6:6">
      <c r="F65083" s="2423"/>
    </row>
    <row r="65084" s="101" customFormat="1" spans="6:6">
      <c r="F65084" s="2423"/>
    </row>
    <row r="65085" s="101" customFormat="1" spans="6:6">
      <c r="F65085" s="2423"/>
    </row>
    <row r="65086" s="101" customFormat="1" spans="6:6">
      <c r="F65086" s="2423"/>
    </row>
    <row r="65087" s="101" customFormat="1" spans="6:6">
      <c r="F65087" s="2423"/>
    </row>
    <row r="65088" s="101" customFormat="1" spans="6:6">
      <c r="F65088" s="2423"/>
    </row>
    <row r="65089" s="101" customFormat="1" spans="6:6">
      <c r="F65089" s="2423"/>
    </row>
    <row r="65090" s="101" customFormat="1" spans="6:6">
      <c r="F65090" s="2423"/>
    </row>
    <row r="65091" s="101" customFormat="1" spans="6:6">
      <c r="F65091" s="2423"/>
    </row>
    <row r="65092" s="101" customFormat="1" spans="6:6">
      <c r="F65092" s="2423"/>
    </row>
    <row r="65093" s="101" customFormat="1" spans="6:6">
      <c r="F65093" s="2423"/>
    </row>
    <row r="65094" s="101" customFormat="1" spans="6:6">
      <c r="F65094" s="2423"/>
    </row>
    <row r="65095" s="101" customFormat="1" spans="6:6">
      <c r="F65095" s="2423"/>
    </row>
    <row r="65096" s="101" customFormat="1" spans="6:6">
      <c r="F65096" s="2423"/>
    </row>
    <row r="65097" s="101" customFormat="1" spans="6:6">
      <c r="F65097" s="2423"/>
    </row>
    <row r="65098" s="101" customFormat="1" spans="6:6">
      <c r="F65098" s="2423"/>
    </row>
    <row r="65099" s="101" customFormat="1" spans="6:6">
      <c r="F65099" s="2423"/>
    </row>
    <row r="65100" s="101" customFormat="1" spans="6:6">
      <c r="F65100" s="2423"/>
    </row>
    <row r="65101" s="101" customFormat="1" spans="6:6">
      <c r="F65101" s="2423"/>
    </row>
    <row r="65102" s="101" customFormat="1" spans="6:6">
      <c r="F65102" s="2423"/>
    </row>
    <row r="65103" s="101" customFormat="1" spans="6:6">
      <c r="F65103" s="2423"/>
    </row>
    <row r="65104" s="101" customFormat="1" spans="6:6">
      <c r="F65104" s="2423"/>
    </row>
    <row r="65105" s="101" customFormat="1" spans="6:6">
      <c r="F65105" s="2423"/>
    </row>
    <row r="65106" s="101" customFormat="1" spans="6:6">
      <c r="F65106" s="2423"/>
    </row>
    <row r="65107" s="101" customFormat="1" spans="6:6">
      <c r="F65107" s="2423"/>
    </row>
    <row r="65108" s="101" customFormat="1" spans="6:6">
      <c r="F65108" s="2423"/>
    </row>
    <row r="65109" s="101" customFormat="1" spans="6:6">
      <c r="F65109" s="2423"/>
    </row>
    <row r="65110" s="101" customFormat="1" spans="6:6">
      <c r="F65110" s="2423"/>
    </row>
    <row r="65111" s="101" customFormat="1" spans="6:6">
      <c r="F65111" s="2423"/>
    </row>
    <row r="65112" s="101" customFormat="1" spans="6:6">
      <c r="F65112" s="2423"/>
    </row>
    <row r="65113" s="101" customFormat="1" spans="6:6">
      <c r="F65113" s="2423"/>
    </row>
    <row r="65114" s="101" customFormat="1" spans="6:6">
      <c r="F65114" s="2423"/>
    </row>
    <row r="65115" s="101" customFormat="1" spans="6:6">
      <c r="F65115" s="2423"/>
    </row>
    <row r="65116" s="101" customFormat="1" spans="6:6">
      <c r="F65116" s="2423"/>
    </row>
    <row r="65117" s="101" customFormat="1" spans="6:6">
      <c r="F65117" s="2423"/>
    </row>
    <row r="65118" s="101" customFormat="1" spans="6:6">
      <c r="F65118" s="2423"/>
    </row>
    <row r="65119" s="101" customFormat="1" spans="6:6">
      <c r="F65119" s="2423"/>
    </row>
    <row r="65120" s="101" customFormat="1" spans="6:6">
      <c r="F65120" s="2423"/>
    </row>
    <row r="65121" s="101" customFormat="1" spans="6:6">
      <c r="F65121" s="2423"/>
    </row>
    <row r="65122" s="101" customFormat="1" spans="6:6">
      <c r="F65122" s="2423"/>
    </row>
    <row r="65123" s="101" customFormat="1" spans="6:6">
      <c r="F65123" s="2423"/>
    </row>
    <row r="65124" s="101" customFormat="1" spans="6:6">
      <c r="F65124" s="2423"/>
    </row>
    <row r="65125" s="101" customFormat="1" spans="6:6">
      <c r="F65125" s="2423"/>
    </row>
    <row r="65126" s="101" customFormat="1" spans="6:6">
      <c r="F65126" s="2423"/>
    </row>
    <row r="65127" s="101" customFormat="1" spans="6:6">
      <c r="F65127" s="2423"/>
    </row>
    <row r="65128" s="101" customFormat="1" spans="6:6">
      <c r="F65128" s="2423"/>
    </row>
    <row r="65129" s="101" customFormat="1" spans="6:6">
      <c r="F65129" s="2423"/>
    </row>
    <row r="65130" s="101" customFormat="1" spans="6:6">
      <c r="F65130" s="2423"/>
    </row>
    <row r="65131" s="101" customFormat="1" spans="6:6">
      <c r="F65131" s="2423"/>
    </row>
    <row r="65132" s="101" customFormat="1" spans="6:6">
      <c r="F65132" s="2423"/>
    </row>
    <row r="65133" s="101" customFormat="1" spans="6:6">
      <c r="F65133" s="2423"/>
    </row>
    <row r="65134" s="101" customFormat="1" spans="6:6">
      <c r="F65134" s="2423"/>
    </row>
    <row r="65135" s="101" customFormat="1" spans="6:6">
      <c r="F65135" s="2423"/>
    </row>
    <row r="65136" s="101" customFormat="1" spans="6:6">
      <c r="F65136" s="2423"/>
    </row>
    <row r="65137" s="101" customFormat="1" spans="6:6">
      <c r="F65137" s="2423"/>
    </row>
    <row r="65138" s="101" customFormat="1" spans="6:6">
      <c r="F65138" s="2423"/>
    </row>
    <row r="65139" s="101" customFormat="1" spans="6:6">
      <c r="F65139" s="2423"/>
    </row>
    <row r="65140" s="101" customFormat="1" spans="6:6">
      <c r="F65140" s="2423"/>
    </row>
    <row r="65141" s="101" customFormat="1" spans="6:6">
      <c r="F65141" s="2423"/>
    </row>
    <row r="65142" s="101" customFormat="1" spans="6:6">
      <c r="F65142" s="2423"/>
    </row>
    <row r="65143" s="101" customFormat="1" spans="6:6">
      <c r="F65143" s="2423"/>
    </row>
    <row r="65144" s="101" customFormat="1" spans="6:6">
      <c r="F65144" s="2423"/>
    </row>
    <row r="65145" s="101" customFormat="1" spans="6:6">
      <c r="F65145" s="2423"/>
    </row>
    <row r="65146" s="101" customFormat="1" spans="6:6">
      <c r="F65146" s="2423"/>
    </row>
    <row r="65147" s="101" customFormat="1" spans="6:6">
      <c r="F65147" s="2423"/>
    </row>
    <row r="65148" s="101" customFormat="1" spans="6:6">
      <c r="F65148" s="2423"/>
    </row>
    <row r="65149" s="101" customFormat="1" spans="6:6">
      <c r="F65149" s="2423"/>
    </row>
    <row r="65150" s="101" customFormat="1" spans="6:6">
      <c r="F65150" s="2423"/>
    </row>
    <row r="65151" s="101" customFormat="1" spans="6:6">
      <c r="F65151" s="2423"/>
    </row>
    <row r="65152" s="101" customFormat="1" spans="6:6">
      <c r="F65152" s="2423"/>
    </row>
    <row r="65153" s="101" customFormat="1" spans="6:6">
      <c r="F65153" s="2423"/>
    </row>
    <row r="65154" s="101" customFormat="1" spans="6:6">
      <c r="F65154" s="2423"/>
    </row>
    <row r="65155" s="101" customFormat="1" spans="6:6">
      <c r="F65155" s="2423"/>
    </row>
    <row r="65156" s="101" customFormat="1" spans="6:6">
      <c r="F65156" s="2423"/>
    </row>
    <row r="65157" s="101" customFormat="1" spans="6:6">
      <c r="F65157" s="2423"/>
    </row>
    <row r="65158" s="101" customFormat="1" spans="6:6">
      <c r="F65158" s="2423"/>
    </row>
    <row r="65159" s="101" customFormat="1" spans="6:6">
      <c r="F65159" s="2423"/>
    </row>
    <row r="65160" s="101" customFormat="1" spans="6:6">
      <c r="F65160" s="2423"/>
    </row>
    <row r="65161" s="101" customFormat="1" spans="6:6">
      <c r="F65161" s="2423"/>
    </row>
    <row r="65162" s="101" customFormat="1" spans="6:6">
      <c r="F65162" s="2423"/>
    </row>
    <row r="65163" s="101" customFormat="1" spans="6:6">
      <c r="F65163" s="2423"/>
    </row>
    <row r="65164" s="101" customFormat="1" spans="6:6">
      <c r="F65164" s="2423"/>
    </row>
    <row r="65165" s="101" customFormat="1" spans="6:6">
      <c r="F65165" s="2423"/>
    </row>
    <row r="65166" s="101" customFormat="1" spans="6:6">
      <c r="F65166" s="2423"/>
    </row>
    <row r="65167" s="101" customFormat="1" spans="6:6">
      <c r="F65167" s="2423"/>
    </row>
    <row r="65168" s="101" customFormat="1" spans="6:6">
      <c r="F65168" s="2423"/>
    </row>
    <row r="65169" s="101" customFormat="1" spans="6:6">
      <c r="F65169" s="2423"/>
    </row>
    <row r="65170" s="101" customFormat="1" spans="6:6">
      <c r="F65170" s="2423"/>
    </row>
    <row r="65171" s="101" customFormat="1" spans="6:6">
      <c r="F65171" s="2423"/>
    </row>
    <row r="65172" s="101" customFormat="1" spans="6:6">
      <c r="F65172" s="2423"/>
    </row>
    <row r="65173" s="101" customFormat="1" spans="6:6">
      <c r="F65173" s="2423"/>
    </row>
    <row r="65174" s="101" customFormat="1" spans="6:6">
      <c r="F65174" s="2423"/>
    </row>
    <row r="65175" s="101" customFormat="1" spans="6:6">
      <c r="F65175" s="2423"/>
    </row>
    <row r="65176" s="101" customFormat="1" spans="6:6">
      <c r="F65176" s="2423"/>
    </row>
    <row r="65177" s="101" customFormat="1" spans="6:6">
      <c r="F65177" s="2423"/>
    </row>
    <row r="65178" s="101" customFormat="1" spans="6:6">
      <c r="F65178" s="2423"/>
    </row>
    <row r="65179" s="101" customFormat="1" spans="6:6">
      <c r="F65179" s="2423"/>
    </row>
    <row r="65180" s="101" customFormat="1" spans="6:6">
      <c r="F65180" s="2423"/>
    </row>
    <row r="65181" s="101" customFormat="1" spans="6:6">
      <c r="F65181" s="2423"/>
    </row>
    <row r="65182" s="101" customFormat="1" spans="6:6">
      <c r="F65182" s="2423"/>
    </row>
    <row r="65183" s="101" customFormat="1" spans="6:6">
      <c r="F65183" s="2423"/>
    </row>
    <row r="65184" s="101" customFormat="1" spans="6:6">
      <c r="F65184" s="2423"/>
    </row>
    <row r="65185" s="101" customFormat="1" spans="6:6">
      <c r="F65185" s="2423"/>
    </row>
    <row r="65186" s="101" customFormat="1" spans="6:6">
      <c r="F65186" s="2423"/>
    </row>
    <row r="65187" s="101" customFormat="1" spans="6:6">
      <c r="F65187" s="2423"/>
    </row>
    <row r="65188" s="101" customFormat="1" spans="6:6">
      <c r="F65188" s="2423"/>
    </row>
    <row r="65189" s="101" customFormat="1" spans="6:6">
      <c r="F65189" s="2423"/>
    </row>
    <row r="65190" s="101" customFormat="1" spans="6:6">
      <c r="F65190" s="2423"/>
    </row>
    <row r="65191" s="101" customFormat="1" spans="6:6">
      <c r="F65191" s="2423"/>
    </row>
    <row r="65192" s="101" customFormat="1" spans="6:6">
      <c r="F65192" s="2423"/>
    </row>
    <row r="65193" s="101" customFormat="1" spans="6:6">
      <c r="F65193" s="2423"/>
    </row>
    <row r="65194" s="101" customFormat="1" spans="6:6">
      <c r="F65194" s="2423"/>
    </row>
    <row r="65195" s="101" customFormat="1" spans="6:6">
      <c r="F65195" s="2423"/>
    </row>
    <row r="65196" s="101" customFormat="1" spans="6:6">
      <c r="F65196" s="2423"/>
    </row>
    <row r="65197" s="101" customFormat="1" spans="6:6">
      <c r="F65197" s="2423"/>
    </row>
    <row r="65198" s="101" customFormat="1" spans="6:6">
      <c r="F65198" s="2423"/>
    </row>
    <row r="65199" s="101" customFormat="1" spans="6:6">
      <c r="F65199" s="2423"/>
    </row>
    <row r="65200" s="101" customFormat="1" spans="6:6">
      <c r="F65200" s="2423"/>
    </row>
    <row r="65201" s="101" customFormat="1" spans="6:6">
      <c r="F65201" s="2423"/>
    </row>
    <row r="65202" s="101" customFormat="1" spans="6:6">
      <c r="F65202" s="2423"/>
    </row>
    <row r="65203" s="101" customFormat="1" spans="6:6">
      <c r="F65203" s="2423"/>
    </row>
    <row r="65204" s="101" customFormat="1" spans="6:6">
      <c r="F65204" s="2423"/>
    </row>
    <row r="65205" s="101" customFormat="1" spans="6:6">
      <c r="F65205" s="2423"/>
    </row>
    <row r="65206" s="101" customFormat="1" spans="6:6">
      <c r="F65206" s="2423"/>
    </row>
    <row r="65207" s="101" customFormat="1" spans="6:6">
      <c r="F65207" s="2423"/>
    </row>
    <row r="65208" s="101" customFormat="1" spans="6:6">
      <c r="F65208" s="2423"/>
    </row>
    <row r="65209" s="101" customFormat="1" spans="6:6">
      <c r="F65209" s="2423"/>
    </row>
    <row r="65210" s="101" customFormat="1" spans="6:6">
      <c r="F65210" s="2423"/>
    </row>
    <row r="65211" s="101" customFormat="1" spans="6:6">
      <c r="F65211" s="2423"/>
    </row>
    <row r="65212" s="101" customFormat="1" spans="6:6">
      <c r="F65212" s="2423"/>
    </row>
    <row r="65213" s="101" customFormat="1" spans="6:6">
      <c r="F65213" s="2423"/>
    </row>
    <row r="65214" s="101" customFormat="1" spans="6:6">
      <c r="F65214" s="2423"/>
    </row>
    <row r="65215" s="101" customFormat="1" spans="6:6">
      <c r="F65215" s="2423"/>
    </row>
    <row r="65216" s="101" customFormat="1" spans="6:6">
      <c r="F65216" s="2423"/>
    </row>
    <row r="65217" s="101" customFormat="1" spans="6:6">
      <c r="F65217" s="2423"/>
    </row>
    <row r="65218" s="101" customFormat="1" spans="6:6">
      <c r="F65218" s="2423"/>
    </row>
    <row r="65219" s="101" customFormat="1" spans="6:6">
      <c r="F65219" s="2423"/>
    </row>
    <row r="65220" s="101" customFormat="1" spans="6:6">
      <c r="F65220" s="2423"/>
    </row>
    <row r="65221" s="101" customFormat="1" spans="6:6">
      <c r="F65221" s="2423"/>
    </row>
    <row r="65222" s="101" customFormat="1" spans="6:6">
      <c r="F65222" s="2423"/>
    </row>
    <row r="65223" s="101" customFormat="1" spans="6:6">
      <c r="F65223" s="2423"/>
    </row>
    <row r="65224" s="101" customFormat="1" spans="6:6">
      <c r="F65224" s="2423"/>
    </row>
    <row r="65225" s="101" customFormat="1" spans="6:6">
      <c r="F65225" s="2423"/>
    </row>
    <row r="65226" s="101" customFormat="1" spans="6:6">
      <c r="F65226" s="2423"/>
    </row>
    <row r="65227" s="101" customFormat="1" spans="6:6">
      <c r="F65227" s="2423"/>
    </row>
    <row r="65228" s="101" customFormat="1" spans="6:6">
      <c r="F65228" s="2423"/>
    </row>
    <row r="65229" s="101" customFormat="1" spans="6:6">
      <c r="F65229" s="2423"/>
    </row>
    <row r="65230" s="101" customFormat="1" spans="6:6">
      <c r="F65230" s="2423"/>
    </row>
    <row r="65231" s="101" customFormat="1" spans="6:6">
      <c r="F65231" s="2423"/>
    </row>
    <row r="65232" s="101" customFormat="1" spans="6:6">
      <c r="F65232" s="2423"/>
    </row>
    <row r="65233" s="101" customFormat="1" spans="6:6">
      <c r="F65233" s="2423"/>
    </row>
    <row r="65234" s="101" customFormat="1" spans="6:6">
      <c r="F65234" s="2423"/>
    </row>
    <row r="65235" s="101" customFormat="1" spans="6:6">
      <c r="F65235" s="2423"/>
    </row>
    <row r="65236" s="101" customFormat="1" spans="6:6">
      <c r="F65236" s="2423"/>
    </row>
    <row r="65237" s="101" customFormat="1" spans="6:6">
      <c r="F65237" s="2423"/>
    </row>
    <row r="65238" s="101" customFormat="1" spans="6:6">
      <c r="F65238" s="2423"/>
    </row>
    <row r="65239" s="101" customFormat="1" spans="6:6">
      <c r="F65239" s="2423"/>
    </row>
    <row r="65240" s="101" customFormat="1" spans="6:6">
      <c r="F65240" s="2423"/>
    </row>
    <row r="65241" s="101" customFormat="1" spans="6:6">
      <c r="F65241" s="2423"/>
    </row>
    <row r="65242" s="101" customFormat="1" spans="6:6">
      <c r="F65242" s="2423"/>
    </row>
    <row r="65243" s="101" customFormat="1" spans="6:6">
      <c r="F65243" s="2423"/>
    </row>
    <row r="65244" s="101" customFormat="1" spans="6:6">
      <c r="F65244" s="2423"/>
    </row>
    <row r="65245" s="101" customFormat="1" spans="6:6">
      <c r="F65245" s="2423"/>
    </row>
    <row r="65246" s="101" customFormat="1" spans="6:6">
      <c r="F65246" s="2423"/>
    </row>
    <row r="65247" s="101" customFormat="1" spans="6:6">
      <c r="F65247" s="2423"/>
    </row>
    <row r="65248" s="101" customFormat="1" spans="6:6">
      <c r="F65248" s="2423"/>
    </row>
    <row r="65249" s="101" customFormat="1" spans="6:6">
      <c r="F65249" s="2423"/>
    </row>
    <row r="65250" s="101" customFormat="1" spans="6:6">
      <c r="F65250" s="2423"/>
    </row>
    <row r="65251" s="101" customFormat="1" spans="6:6">
      <c r="F65251" s="2423"/>
    </row>
    <row r="65252" s="101" customFormat="1" spans="6:6">
      <c r="F65252" s="2423"/>
    </row>
    <row r="65253" s="101" customFormat="1" spans="6:6">
      <c r="F65253" s="2423"/>
    </row>
    <row r="65254" s="101" customFormat="1" spans="6:6">
      <c r="F65254" s="2423"/>
    </row>
    <row r="65255" s="101" customFormat="1" spans="6:6">
      <c r="F65255" s="2423"/>
    </row>
    <row r="65256" s="101" customFormat="1" spans="6:6">
      <c r="F65256" s="2423"/>
    </row>
    <row r="65257" s="101" customFormat="1" spans="6:6">
      <c r="F65257" s="2423"/>
    </row>
    <row r="65258" s="101" customFormat="1" spans="6:6">
      <c r="F65258" s="2423"/>
    </row>
    <row r="65259" s="101" customFormat="1" spans="6:6">
      <c r="F65259" s="2423"/>
    </row>
    <row r="65260" s="101" customFormat="1" spans="6:6">
      <c r="F65260" s="2423"/>
    </row>
    <row r="65261" s="101" customFormat="1" spans="6:6">
      <c r="F65261" s="2423"/>
    </row>
    <row r="65262" s="101" customFormat="1" spans="6:6">
      <c r="F65262" s="2423"/>
    </row>
    <row r="65263" s="101" customFormat="1" spans="6:6">
      <c r="F65263" s="2423"/>
    </row>
    <row r="65264" s="101" customFormat="1" spans="6:6">
      <c r="F65264" s="2423"/>
    </row>
    <row r="65265" s="101" customFormat="1" spans="6:6">
      <c r="F65265" s="2423"/>
    </row>
    <row r="65266" s="101" customFormat="1" spans="6:6">
      <c r="F65266" s="2423"/>
    </row>
    <row r="65267" s="101" customFormat="1" spans="6:6">
      <c r="F65267" s="2423"/>
    </row>
    <row r="65268" s="101" customFormat="1" spans="6:6">
      <c r="F65268" s="2423"/>
    </row>
    <row r="65269" s="101" customFormat="1" spans="6:6">
      <c r="F65269" s="2423"/>
    </row>
    <row r="65270" s="101" customFormat="1" spans="6:6">
      <c r="F65270" s="2423"/>
    </row>
    <row r="65271" s="101" customFormat="1" spans="6:6">
      <c r="F65271" s="2423"/>
    </row>
    <row r="65272" s="101" customFormat="1" spans="6:6">
      <c r="F65272" s="2423"/>
    </row>
    <row r="65273" s="101" customFormat="1" spans="6:6">
      <c r="F65273" s="2423"/>
    </row>
    <row r="65274" s="101" customFormat="1" spans="6:6">
      <c r="F65274" s="2423"/>
    </row>
    <row r="65275" s="101" customFormat="1" spans="6:6">
      <c r="F65275" s="2423"/>
    </row>
    <row r="65276" s="101" customFormat="1" spans="6:6">
      <c r="F65276" s="2423"/>
    </row>
    <row r="65277" s="101" customFormat="1" spans="6:6">
      <c r="F65277" s="2423"/>
    </row>
    <row r="65278" s="101" customFormat="1" spans="6:6">
      <c r="F65278" s="2423"/>
    </row>
    <row r="65279" s="101" customFormat="1" spans="6:6">
      <c r="F65279" s="2423"/>
    </row>
    <row r="65280" s="101" customFormat="1" spans="6:6">
      <c r="F65280" s="2423"/>
    </row>
    <row r="65281" s="101" customFormat="1" spans="6:6">
      <c r="F65281" s="2423"/>
    </row>
    <row r="65282" s="101" customFormat="1" spans="6:6">
      <c r="F65282" s="2423"/>
    </row>
    <row r="65283" s="101" customFormat="1" spans="6:6">
      <c r="F65283" s="2423"/>
    </row>
    <row r="65284" s="101" customFormat="1" spans="6:6">
      <c r="F65284" s="2423"/>
    </row>
    <row r="65285" s="101" customFormat="1" spans="6:6">
      <c r="F65285" s="2423"/>
    </row>
    <row r="65286" s="101" customFormat="1" spans="6:6">
      <c r="F65286" s="2423"/>
    </row>
    <row r="65287" s="101" customFormat="1" spans="6:6">
      <c r="F65287" s="2423"/>
    </row>
    <row r="65288" s="101" customFormat="1" spans="6:6">
      <c r="F65288" s="2423"/>
    </row>
    <row r="65289" s="101" customFormat="1" spans="6:6">
      <c r="F65289" s="2423"/>
    </row>
    <row r="65290" s="101" customFormat="1" spans="6:6">
      <c r="F65290" s="2423"/>
    </row>
    <row r="65291" s="101" customFormat="1" spans="6:6">
      <c r="F65291" s="2423"/>
    </row>
    <row r="65292" s="101" customFormat="1" spans="6:6">
      <c r="F65292" s="2423"/>
    </row>
    <row r="65293" s="101" customFormat="1" spans="6:6">
      <c r="F65293" s="2423"/>
    </row>
    <row r="65294" s="101" customFormat="1" spans="6:6">
      <c r="F65294" s="2423"/>
    </row>
    <row r="65295" s="101" customFormat="1" spans="6:6">
      <c r="F65295" s="2423"/>
    </row>
    <row r="65296" s="101" customFormat="1" spans="6:6">
      <c r="F65296" s="2423"/>
    </row>
    <row r="65297" s="101" customFormat="1" spans="6:6">
      <c r="F65297" s="2423"/>
    </row>
    <row r="65298" s="101" customFormat="1" spans="6:6">
      <c r="F65298" s="2423"/>
    </row>
    <row r="65299" s="101" customFormat="1" spans="6:6">
      <c r="F65299" s="2423"/>
    </row>
    <row r="65300" s="101" customFormat="1" spans="6:6">
      <c r="F65300" s="2423"/>
    </row>
    <row r="65301" s="101" customFormat="1" spans="6:6">
      <c r="F65301" s="2423"/>
    </row>
    <row r="65302" s="101" customFormat="1" spans="6:6">
      <c r="F65302" s="2423"/>
    </row>
    <row r="65303" s="101" customFormat="1" spans="6:6">
      <c r="F65303" s="2423"/>
    </row>
    <row r="65304" s="101" customFormat="1" spans="6:6">
      <c r="F65304" s="2423"/>
    </row>
    <row r="65305" s="101" customFormat="1" spans="6:6">
      <c r="F65305" s="2423"/>
    </row>
    <row r="65306" s="101" customFormat="1" spans="6:6">
      <c r="F65306" s="2423"/>
    </row>
    <row r="65307" s="101" customFormat="1" spans="6:6">
      <c r="F65307" s="2423"/>
    </row>
    <row r="65308" s="101" customFormat="1" spans="6:6">
      <c r="F65308" s="2423"/>
    </row>
    <row r="65309" s="101" customFormat="1" spans="6:6">
      <c r="F65309" s="2423"/>
    </row>
    <row r="65310" s="101" customFormat="1" spans="6:6">
      <c r="F65310" s="2423"/>
    </row>
    <row r="65311" s="101" customFormat="1" spans="6:6">
      <c r="F65311" s="2423"/>
    </row>
    <row r="65312" s="101" customFormat="1" spans="6:6">
      <c r="F65312" s="2423"/>
    </row>
    <row r="65313" s="101" customFormat="1" spans="6:6">
      <c r="F65313" s="2423"/>
    </row>
    <row r="65314" s="101" customFormat="1" spans="6:6">
      <c r="F65314" s="2423"/>
    </row>
    <row r="65315" s="101" customFormat="1" spans="6:6">
      <c r="F65315" s="2423"/>
    </row>
    <row r="65316" s="101" customFormat="1" spans="6:6">
      <c r="F65316" s="2423"/>
    </row>
    <row r="65317" s="101" customFormat="1" spans="6:6">
      <c r="F65317" s="2423"/>
    </row>
    <row r="65318" s="101" customFormat="1" spans="6:6">
      <c r="F65318" s="2423"/>
    </row>
    <row r="65319" s="101" customFormat="1" spans="6:6">
      <c r="F65319" s="2423"/>
    </row>
    <row r="65320" s="101" customFormat="1" spans="6:6">
      <c r="F65320" s="2423"/>
    </row>
    <row r="65321" s="101" customFormat="1" spans="6:6">
      <c r="F65321" s="2423"/>
    </row>
    <row r="65322" s="101" customFormat="1" spans="6:6">
      <c r="F65322" s="2423"/>
    </row>
    <row r="65323" s="101" customFormat="1" spans="6:6">
      <c r="F65323" s="2423"/>
    </row>
    <row r="65324" s="101" customFormat="1" spans="6:6">
      <c r="F65324" s="2423"/>
    </row>
    <row r="65325" s="101" customFormat="1" spans="6:6">
      <c r="F65325" s="2423"/>
    </row>
    <row r="65326" s="101" customFormat="1" spans="6:6">
      <c r="F65326" s="2423"/>
    </row>
    <row r="65327" s="101" customFormat="1" spans="6:6">
      <c r="F65327" s="2423"/>
    </row>
    <row r="65328" s="101" customFormat="1" spans="6:6">
      <c r="F65328" s="2423"/>
    </row>
    <row r="65329" s="101" customFormat="1" spans="6:6">
      <c r="F65329" s="2423"/>
    </row>
    <row r="65330" s="101" customFormat="1" spans="6:6">
      <c r="F65330" s="2423"/>
    </row>
    <row r="65331" s="101" customFormat="1" spans="6:6">
      <c r="F65331" s="2423"/>
    </row>
    <row r="65332" s="101" customFormat="1" spans="6:6">
      <c r="F65332" s="2423"/>
    </row>
    <row r="65333" s="101" customFormat="1" spans="6:6">
      <c r="F65333" s="2423"/>
    </row>
    <row r="65334" s="101" customFormat="1" spans="6:6">
      <c r="F65334" s="2423"/>
    </row>
    <row r="65335" s="101" customFormat="1" spans="6:6">
      <c r="F65335" s="2423"/>
    </row>
    <row r="65336" s="101" customFormat="1" spans="6:6">
      <c r="F65336" s="2423"/>
    </row>
    <row r="65337" s="101" customFormat="1" spans="6:6">
      <c r="F65337" s="2423"/>
    </row>
    <row r="65338" s="101" customFormat="1" spans="6:6">
      <c r="F65338" s="2423"/>
    </row>
    <row r="65339" s="101" customFormat="1" spans="6:6">
      <c r="F65339" s="2423"/>
    </row>
    <row r="65340" s="101" customFormat="1" spans="6:6">
      <c r="F65340" s="2423"/>
    </row>
    <row r="65341" s="101" customFormat="1" spans="6:6">
      <c r="F65341" s="2423"/>
    </row>
    <row r="65342" s="101" customFormat="1" spans="6:6">
      <c r="F65342" s="2423"/>
    </row>
    <row r="65343" s="101" customFormat="1" spans="6:6">
      <c r="F65343" s="2423"/>
    </row>
    <row r="65344" s="101" customFormat="1" spans="6:6">
      <c r="F65344" s="2423"/>
    </row>
    <row r="65345" s="101" customFormat="1" spans="6:6">
      <c r="F65345" s="2423"/>
    </row>
    <row r="65346" s="101" customFormat="1" spans="6:6">
      <c r="F65346" s="2423"/>
    </row>
    <row r="65347" s="101" customFormat="1" spans="6:6">
      <c r="F65347" s="2423"/>
    </row>
    <row r="65348" s="101" customFormat="1" spans="6:6">
      <c r="F65348" s="2423"/>
    </row>
    <row r="65349" s="101" customFormat="1" spans="6:6">
      <c r="F65349" s="2423"/>
    </row>
    <row r="65350" s="101" customFormat="1" spans="6:6">
      <c r="F65350" s="2423"/>
    </row>
    <row r="65351" s="101" customFormat="1" spans="6:6">
      <c r="F65351" s="2423"/>
    </row>
    <row r="65352" s="101" customFormat="1" spans="6:6">
      <c r="F65352" s="2423"/>
    </row>
    <row r="65353" s="101" customFormat="1" spans="6:6">
      <c r="F65353" s="2423"/>
    </row>
    <row r="65354" s="101" customFormat="1" spans="6:6">
      <c r="F65354" s="2423"/>
    </row>
    <row r="65355" s="101" customFormat="1" spans="6:6">
      <c r="F65355" s="2423"/>
    </row>
    <row r="65356" s="101" customFormat="1" spans="6:6">
      <c r="F65356" s="2423"/>
    </row>
    <row r="65357" s="101" customFormat="1" spans="6:6">
      <c r="F65357" s="2423"/>
    </row>
    <row r="65358" s="101" customFormat="1" spans="6:6">
      <c r="F65358" s="2423"/>
    </row>
    <row r="65359" s="101" customFormat="1" spans="6:6">
      <c r="F65359" s="2423"/>
    </row>
    <row r="65360" s="101" customFormat="1" spans="6:6">
      <c r="F65360" s="2423"/>
    </row>
    <row r="65361" s="101" customFormat="1" spans="6:6">
      <c r="F65361" s="2423"/>
    </row>
    <row r="65362" s="101" customFormat="1" spans="6:6">
      <c r="F65362" s="2423"/>
    </row>
    <row r="65363" s="101" customFormat="1" spans="6:6">
      <c r="F65363" s="2423"/>
    </row>
    <row r="65364" s="101" customFormat="1" spans="6:6">
      <c r="F65364" s="2423"/>
    </row>
    <row r="65365" s="101" customFormat="1" spans="6:6">
      <c r="F65365" s="2423"/>
    </row>
    <row r="65366" s="101" customFormat="1" spans="6:6">
      <c r="F65366" s="2423"/>
    </row>
    <row r="65367" s="101" customFormat="1" spans="6:6">
      <c r="F65367" s="2423"/>
    </row>
    <row r="65368" s="101" customFormat="1" spans="6:6">
      <c r="F65368" s="2423"/>
    </row>
    <row r="65369" s="101" customFormat="1" spans="6:6">
      <c r="F65369" s="2423"/>
    </row>
    <row r="65370" s="101" customFormat="1" spans="6:6">
      <c r="F65370" s="2423"/>
    </row>
    <row r="65371" s="101" customFormat="1" spans="6:6">
      <c r="F65371" s="2423"/>
    </row>
    <row r="65372" s="101" customFormat="1" spans="6:6">
      <c r="F65372" s="2423"/>
    </row>
    <row r="65373" s="101" customFormat="1" spans="6:6">
      <c r="F65373" s="2423"/>
    </row>
    <row r="65374" s="101" customFormat="1" spans="6:6">
      <c r="F65374" s="2423"/>
    </row>
    <row r="65375" s="101" customFormat="1" spans="6:6">
      <c r="F65375" s="2423"/>
    </row>
    <row r="65376" s="101" customFormat="1" spans="6:6">
      <c r="F65376" s="2423"/>
    </row>
    <row r="65377" s="101" customFormat="1" spans="6:6">
      <c r="F65377" s="2423"/>
    </row>
    <row r="65378" s="101" customFormat="1" spans="6:6">
      <c r="F65378" s="2423"/>
    </row>
    <row r="65379" s="101" customFormat="1" spans="6:6">
      <c r="F65379" s="2423"/>
    </row>
    <row r="65380" s="101" customFormat="1" spans="6:6">
      <c r="F65380" s="2423"/>
    </row>
    <row r="65381" s="101" customFormat="1" spans="6:6">
      <c r="F65381" s="2423"/>
    </row>
    <row r="65382" s="101" customFormat="1" spans="6:6">
      <c r="F65382" s="2423"/>
    </row>
    <row r="65383" s="101" customFormat="1" spans="6:6">
      <c r="F65383" s="2423"/>
    </row>
    <row r="65384" s="101" customFormat="1" spans="6:6">
      <c r="F65384" s="2423"/>
    </row>
    <row r="65385" s="101" customFormat="1" spans="6:6">
      <c r="F65385" s="2423"/>
    </row>
    <row r="65386" s="101" customFormat="1" spans="6:6">
      <c r="F65386" s="2423"/>
    </row>
    <row r="65387" s="101" customFormat="1" spans="6:6">
      <c r="F65387" s="2423"/>
    </row>
    <row r="65388" s="101" customFormat="1" spans="6:6">
      <c r="F65388" s="2423"/>
    </row>
    <row r="65389" s="101" customFormat="1" spans="6:6">
      <c r="F65389" s="2423"/>
    </row>
    <row r="65390" s="101" customFormat="1" spans="6:6">
      <c r="F65390" s="2423"/>
    </row>
    <row r="65391" s="101" customFormat="1" spans="6:6">
      <c r="F65391" s="2423"/>
    </row>
    <row r="65392" s="101" customFormat="1" spans="6:6">
      <c r="F65392" s="2423"/>
    </row>
    <row r="65393" s="101" customFormat="1" spans="6:6">
      <c r="F65393" s="2423"/>
    </row>
    <row r="65394" s="101" customFormat="1" spans="6:6">
      <c r="F65394" s="2423"/>
    </row>
    <row r="65395" s="101" customFormat="1" spans="6:6">
      <c r="F65395" s="2423"/>
    </row>
    <row r="65396" s="101" customFormat="1" spans="6:6">
      <c r="F65396" s="2423"/>
    </row>
    <row r="65397" s="101" customFormat="1" spans="6:6">
      <c r="F65397" s="2423"/>
    </row>
    <row r="65398" s="101" customFormat="1" spans="6:6">
      <c r="F65398" s="2423"/>
    </row>
    <row r="65399" s="101" customFormat="1" spans="6:6">
      <c r="F65399" s="2423"/>
    </row>
    <row r="65400" s="101" customFormat="1" spans="6:6">
      <c r="F65400" s="2423"/>
    </row>
    <row r="65401" s="101" customFormat="1" spans="6:6">
      <c r="F65401" s="2423"/>
    </row>
    <row r="65402" s="101" customFormat="1" spans="6:6">
      <c r="F65402" s="2423"/>
    </row>
    <row r="65403" s="101" customFormat="1" spans="6:6">
      <c r="F65403" s="2423"/>
    </row>
    <row r="65404" s="101" customFormat="1" spans="6:6">
      <c r="F65404" s="2423"/>
    </row>
    <row r="65405" s="101" customFormat="1" spans="6:6">
      <c r="F65405" s="2423"/>
    </row>
    <row r="65406" s="101" customFormat="1" spans="6:6">
      <c r="F65406" s="2423"/>
    </row>
    <row r="65407" s="101" customFormat="1" spans="6:6">
      <c r="F65407" s="2423"/>
    </row>
    <row r="65408" s="101" customFormat="1" spans="6:6">
      <c r="F65408" s="2423"/>
    </row>
    <row r="65409" s="101" customFormat="1" spans="6:6">
      <c r="F65409" s="2423"/>
    </row>
    <row r="65410" s="101" customFormat="1" spans="6:6">
      <c r="F65410" s="2423"/>
    </row>
    <row r="65411" s="101" customFormat="1" spans="6:6">
      <c r="F65411" s="2423"/>
    </row>
    <row r="65412" s="101" customFormat="1" spans="6:6">
      <c r="F65412" s="2423"/>
    </row>
    <row r="65413" s="101" customFormat="1" spans="6:6">
      <c r="F65413" s="2423"/>
    </row>
    <row r="65414" s="101" customFormat="1" spans="6:6">
      <c r="F65414" s="2423"/>
    </row>
    <row r="65415" s="101" customFormat="1" spans="6:6">
      <c r="F65415" s="2423"/>
    </row>
    <row r="65416" s="101" customFormat="1" spans="6:6">
      <c r="F65416" s="2423"/>
    </row>
    <row r="65417" s="101" customFormat="1" spans="6:6">
      <c r="F65417" s="2423"/>
    </row>
    <row r="65418" s="101" customFormat="1" spans="6:6">
      <c r="F65418" s="2423"/>
    </row>
    <row r="65419" s="101" customFormat="1" spans="6:6">
      <c r="F65419" s="2423"/>
    </row>
    <row r="65420" s="101" customFormat="1" spans="6:6">
      <c r="F65420" s="2423"/>
    </row>
    <row r="65421" s="101" customFormat="1" spans="6:6">
      <c r="F65421" s="2423"/>
    </row>
    <row r="65422" s="101" customFormat="1" spans="6:6">
      <c r="F65422" s="2423"/>
    </row>
    <row r="65423" s="101" customFormat="1" spans="6:6">
      <c r="F65423" s="2423"/>
    </row>
    <row r="65424" s="101" customFormat="1" spans="6:6">
      <c r="F65424" s="2423"/>
    </row>
    <row r="65425" s="101" customFormat="1" spans="6:6">
      <c r="F65425" s="2423"/>
    </row>
    <row r="65426" s="101" customFormat="1" spans="6:6">
      <c r="F65426" s="2423"/>
    </row>
    <row r="65427" s="101" customFormat="1" spans="6:6">
      <c r="F65427" s="2423"/>
    </row>
    <row r="65428" s="101" customFormat="1" spans="6:6">
      <c r="F65428" s="2423"/>
    </row>
    <row r="65429" s="101" customFormat="1" spans="6:6">
      <c r="F65429" s="2423"/>
    </row>
    <row r="65430" s="101" customFormat="1" spans="6:6">
      <c r="F65430" s="2423"/>
    </row>
    <row r="65431" s="101" customFormat="1" spans="6:6">
      <c r="F65431" s="2423"/>
    </row>
    <row r="65432" s="101" customFormat="1" spans="6:6">
      <c r="F65432" s="2423"/>
    </row>
    <row r="65433" s="101" customFormat="1" spans="6:6">
      <c r="F65433" s="2423"/>
    </row>
  </sheetData>
  <mergeCells count="5">
    <mergeCell ref="H9:J9"/>
    <mergeCell ref="O9:P9"/>
    <mergeCell ref="T9:U9"/>
    <mergeCell ref="T10:U10"/>
    <mergeCell ref="B9:D11"/>
  </mergeCells>
  <pageMargins left="0.75" right="0.75" top="1" bottom="1" header="0.5" footer="0.5"/>
  <headerFooter/>
  <drawing r:id="rId1"/>
  <legacyDrawing r:id="rId2"/>
  <oleObjects>
    <mc:AlternateContent xmlns:mc="http://schemas.openxmlformats.org/markup-compatibility/2006">
      <mc:Choice Requires="x14">
        <oleObject shapeId="6781954" progId="Paint.Picture" r:id="rId3">
          <objectPr defaultSize="0" r:id="rId4">
            <anchor moveWithCells="1">
              <from>
                <xdr:col>18</xdr:col>
                <xdr:colOff>488950</xdr:colOff>
                <xdr:row>11</xdr:row>
                <xdr:rowOff>19050</xdr:rowOff>
              </from>
              <to>
                <xdr:col>18</xdr:col>
                <xdr:colOff>685800</xdr:colOff>
                <xdr:row>12</xdr:row>
                <xdr:rowOff>38100</xdr:rowOff>
              </to>
            </anchor>
          </objectPr>
        </oleObject>
      </mc:Choice>
      <mc:Fallback>
        <oleObject shapeId="6781954" progId="Paint.Picture" r:id="rId3"/>
      </mc:Fallback>
    </mc:AlternateContent>
    <mc:AlternateContent xmlns:mc="http://schemas.openxmlformats.org/markup-compatibility/2006">
      <mc:Choice Requires="x14">
        <oleObject shapeId="6781955" progId="Paint.Picture" r:id="rId5">
          <objectPr defaultSize="0" r:id="rId6">
            <anchor moveWithCells="1">
              <from>
                <xdr:col>9</xdr:col>
                <xdr:colOff>469900</xdr:colOff>
                <xdr:row>21</xdr:row>
                <xdr:rowOff>88900</xdr:rowOff>
              </from>
              <to>
                <xdr:col>9</xdr:col>
                <xdr:colOff>628650</xdr:colOff>
                <xdr:row>22</xdr:row>
                <xdr:rowOff>107950</xdr:rowOff>
              </to>
            </anchor>
          </objectPr>
        </oleObject>
      </mc:Choice>
      <mc:Fallback>
        <oleObject shapeId="6781955" progId="Paint.Picture" r:id="rId5"/>
      </mc:Fallback>
    </mc:AlternateContent>
    <mc:AlternateContent xmlns:mc="http://schemas.openxmlformats.org/markup-compatibility/2006">
      <mc:Choice Requires="x14">
        <oleObject shapeId="6781956" progId="Paint.Picture" r:id="rId7">
          <objectPr defaultSize="0" r:id="rId4">
            <anchor moveWithCells="1">
              <from>
                <xdr:col>17</xdr:col>
                <xdr:colOff>469900</xdr:colOff>
                <xdr:row>11</xdr:row>
                <xdr:rowOff>38100</xdr:rowOff>
              </from>
              <to>
                <xdr:col>17</xdr:col>
                <xdr:colOff>660400</xdr:colOff>
                <xdr:row>12</xdr:row>
                <xdr:rowOff>44450</xdr:rowOff>
              </to>
            </anchor>
          </objectPr>
        </oleObject>
      </mc:Choice>
      <mc:Fallback>
        <oleObject shapeId="6781956" progId="Paint.Picture" r:id="rId7"/>
      </mc:Fallback>
    </mc:AlternateContent>
  </oleObjec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2:V27"/>
  <sheetViews>
    <sheetView workbookViewId="0">
      <pane xSplit="4" ySplit="6" topLeftCell="E7" activePane="bottomRight" state="frozen"/>
      <selection/>
      <selection pane="topRight"/>
      <selection pane="bottomLeft"/>
      <selection pane="bottomRight" activeCell="C11" sqref="C11"/>
    </sheetView>
  </sheetViews>
  <sheetFormatPr defaultColWidth="10.0416666666667" defaultRowHeight="12" customHeight="1"/>
  <cols>
    <col min="1" max="1" width="2.69791666666667" style="3669" customWidth="1"/>
    <col min="2" max="2" width="9.58333333333333" style="3669" customWidth="1"/>
    <col min="3" max="3" width="21.7291666666667" style="3669" customWidth="1"/>
    <col min="4" max="4" width="3.73958333333333" style="3669" customWidth="1"/>
    <col min="5" max="5" width="12.1354166666667" style="3669" customWidth="1"/>
    <col min="6" max="6" width="6.73958333333333" style="3669" customWidth="1"/>
    <col min="7" max="10" width="11.8333333333333" style="3669" customWidth="1"/>
    <col min="11" max="11" width="9.4375" style="3669" customWidth="1"/>
    <col min="12" max="12" width="3" style="3669" customWidth="1"/>
    <col min="13" max="13" width="12.1354166666667" style="3669" customWidth="1"/>
    <col min="14" max="15" width="10.6354166666667" style="3669" customWidth="1"/>
    <col min="16" max="16" width="13.1875" style="3669" customWidth="1"/>
    <col min="17" max="17" width="10.6354166666667" style="3669" customWidth="1"/>
    <col min="18" max="18" width="10.0416666666667" style="3669"/>
    <col min="19" max="19" width="10.6354166666667" style="3669" customWidth="1"/>
    <col min="20" max="20" width="10.3333333333333" style="3669" customWidth="1"/>
    <col min="21" max="16384" width="10.0416666666667" style="3669"/>
  </cols>
  <sheetData>
    <row r="2" ht="14.4" spans="2:11">
      <c r="B2" s="5046" t="str">
        <f>B!D4</f>
        <v>PT INTAN GIRI ABADI</v>
      </c>
      <c r="C2" s="3670"/>
      <c r="D2" s="3670"/>
      <c r="E2" s="3670"/>
      <c r="F2" s="3670"/>
      <c r="G2" s="3670"/>
      <c r="H2" s="3670"/>
      <c r="I2" s="3670"/>
      <c r="J2" s="3670"/>
      <c r="K2" s="3670"/>
    </row>
    <row r="3" ht="21" spans="2:11">
      <c r="B3" s="5047" t="s">
        <v>1307</v>
      </c>
      <c r="C3" s="3670"/>
      <c r="D3" s="3670"/>
      <c r="E3" s="3670"/>
      <c r="F3" s="3670"/>
      <c r="G3" s="3670"/>
      <c r="H3" s="3670"/>
      <c r="I3" s="3670"/>
      <c r="J3" s="3670"/>
      <c r="K3" s="3670"/>
    </row>
    <row r="4" ht="14.4" spans="2:11">
      <c r="B4" s="5048" t="s">
        <v>1308</v>
      </c>
      <c r="C4" s="3670"/>
      <c r="D4" s="3670"/>
      <c r="E4" s="3670"/>
      <c r="F4" s="3670"/>
      <c r="G4" s="3670"/>
      <c r="H4" s="3670"/>
      <c r="I4" s="3670"/>
      <c r="J4" s="3670"/>
      <c r="K4" s="3670"/>
    </row>
    <row r="5" customHeight="1" spans="2:5">
      <c r="B5" s="3581"/>
      <c r="C5" s="3670"/>
      <c r="D5" s="3670"/>
      <c r="E5" s="3670"/>
    </row>
    <row r="6" ht="26.45" customHeight="1" spans="2:19">
      <c r="B6" s="5049" t="s">
        <v>1309</v>
      </c>
      <c r="C6" s="3670"/>
      <c r="D6" s="3670"/>
      <c r="E6" s="5050" t="s">
        <v>1310</v>
      </c>
      <c r="F6" s="5051" t="s">
        <v>1311</v>
      </c>
      <c r="G6" s="3584">
        <v>30</v>
      </c>
      <c r="H6" s="3583" t="s">
        <v>1312</v>
      </c>
      <c r="I6" s="3583" t="s">
        <v>1313</v>
      </c>
      <c r="J6" s="3583" t="s">
        <v>1314</v>
      </c>
      <c r="K6" s="5051" t="s">
        <v>1315</v>
      </c>
      <c r="M6" s="5049" t="s">
        <v>1316</v>
      </c>
      <c r="N6" s="5051" t="s">
        <v>1311</v>
      </c>
      <c r="O6" s="3584">
        <v>30</v>
      </c>
      <c r="P6" s="3583" t="s">
        <v>1312</v>
      </c>
      <c r="Q6" s="3583" t="s">
        <v>1313</v>
      </c>
      <c r="R6" s="3583" t="s">
        <v>1314</v>
      </c>
      <c r="S6" s="5051" t="s">
        <v>1315</v>
      </c>
    </row>
    <row r="7" customHeight="1" spans="1:13">
      <c r="A7" s="3672"/>
      <c r="B7" s="5052" t="s">
        <v>1317</v>
      </c>
      <c r="C7" s="3585"/>
      <c r="E7" s="3585"/>
      <c r="F7" s="3585"/>
      <c r="G7" s="3585"/>
      <c r="H7" s="3585"/>
      <c r="I7" s="3585"/>
      <c r="J7" s="3585"/>
      <c r="K7" s="3585"/>
      <c r="M7" s="5052" t="s">
        <v>1318</v>
      </c>
    </row>
    <row r="8" customHeight="1" spans="2:2">
      <c r="B8" s="5053" t="s">
        <v>537</v>
      </c>
    </row>
    <row r="9" customHeight="1" spans="1:22">
      <c r="A9" s="3674">
        <v>1</v>
      </c>
      <c r="B9" s="5054" t="s">
        <v>1319</v>
      </c>
      <c r="C9" s="3670"/>
      <c r="E9" s="99">
        <f>SUM(F9:K9)</f>
        <v>0</v>
      </c>
      <c r="F9" s="99">
        <v>0</v>
      </c>
      <c r="G9" s="99">
        <v>0</v>
      </c>
      <c r="H9" s="99">
        <v>0</v>
      </c>
      <c r="I9" s="99">
        <v>0</v>
      </c>
      <c r="J9" s="99" t="s">
        <v>1320</v>
      </c>
      <c r="K9" s="99">
        <v>0</v>
      </c>
      <c r="L9" s="3674">
        <v>1</v>
      </c>
      <c r="M9" s="99">
        <v>0</v>
      </c>
      <c r="N9" s="99">
        <v>0</v>
      </c>
      <c r="O9" s="99">
        <v>0</v>
      </c>
      <c r="P9" s="99">
        <v>0</v>
      </c>
      <c r="Q9" s="99">
        <v>0</v>
      </c>
      <c r="R9" s="99">
        <v>0</v>
      </c>
      <c r="S9" s="99">
        <v>336389625</v>
      </c>
      <c r="T9" s="99"/>
      <c r="U9" s="99"/>
      <c r="V9" s="99"/>
    </row>
    <row r="10" customHeight="1" spans="1:22">
      <c r="A10" s="3674">
        <v>2</v>
      </c>
      <c r="B10" s="5054" t="s">
        <v>1321</v>
      </c>
      <c r="C10" s="3670"/>
      <c r="E10" s="99">
        <v>0</v>
      </c>
      <c r="F10" s="99">
        <v>0</v>
      </c>
      <c r="G10" s="99">
        <v>0</v>
      </c>
      <c r="H10" s="99">
        <v>0</v>
      </c>
      <c r="I10" s="99">
        <v>0</v>
      </c>
      <c r="J10" s="99">
        <v>0</v>
      </c>
      <c r="K10" s="99">
        <v>5000</v>
      </c>
      <c r="L10" s="3674">
        <v>2</v>
      </c>
      <c r="M10" s="99">
        <v>0</v>
      </c>
      <c r="N10" s="99">
        <v>0</v>
      </c>
      <c r="O10" s="99">
        <v>0</v>
      </c>
      <c r="P10" s="99">
        <v>0</v>
      </c>
      <c r="Q10" s="99">
        <v>0</v>
      </c>
      <c r="R10" s="99">
        <v>0</v>
      </c>
      <c r="S10" s="99">
        <v>5000</v>
      </c>
      <c r="T10" s="99">
        <f>M10-E10</f>
        <v>0</v>
      </c>
      <c r="U10" s="99"/>
      <c r="V10" s="99"/>
    </row>
    <row r="11" customHeight="1" spans="1:22">
      <c r="A11" s="3674">
        <v>3</v>
      </c>
      <c r="B11" s="5054" t="s">
        <v>1322</v>
      </c>
      <c r="C11" s="3670"/>
      <c r="E11" s="99">
        <v>0</v>
      </c>
      <c r="F11" s="99">
        <v>0</v>
      </c>
      <c r="G11" s="99">
        <v>0</v>
      </c>
      <c r="H11" s="99">
        <v>0</v>
      </c>
      <c r="I11" s="99">
        <v>0</v>
      </c>
      <c r="J11" s="99">
        <v>0</v>
      </c>
      <c r="K11" s="99">
        <v>0</v>
      </c>
      <c r="L11" s="3674">
        <v>3</v>
      </c>
      <c r="M11" s="99">
        <v>0</v>
      </c>
      <c r="N11" s="99">
        <v>0</v>
      </c>
      <c r="O11" s="99">
        <v>0</v>
      </c>
      <c r="P11" s="99">
        <v>0</v>
      </c>
      <c r="Q11" s="99">
        <v>0</v>
      </c>
      <c r="R11" s="99">
        <v>0</v>
      </c>
      <c r="S11" s="99">
        <v>0</v>
      </c>
      <c r="T11" s="99"/>
      <c r="U11" s="99"/>
      <c r="V11" s="99"/>
    </row>
    <row r="12" customHeight="1" spans="1:22">
      <c r="A12" s="3674">
        <v>4</v>
      </c>
      <c r="B12" s="5055" t="str">
        <f>[83]AR!$D$11</f>
        <v>Umum (Loading Dock)</v>
      </c>
      <c r="C12" s="3670"/>
      <c r="E12" s="99">
        <v>0</v>
      </c>
      <c r="F12" s="99"/>
      <c r="G12" s="99"/>
      <c r="H12" s="99"/>
      <c r="I12" s="99"/>
      <c r="J12" s="99"/>
      <c r="K12" s="99"/>
      <c r="L12" s="3674"/>
      <c r="M12" s="99"/>
      <c r="N12" s="99"/>
      <c r="O12" s="99"/>
      <c r="P12" s="99"/>
      <c r="Q12" s="99"/>
      <c r="R12" s="99"/>
      <c r="S12" s="99"/>
      <c r="T12" s="99"/>
      <c r="U12" s="99"/>
      <c r="V12" s="99"/>
    </row>
    <row r="13" customHeight="1" spans="1:22">
      <c r="A13" s="3674">
        <v>5</v>
      </c>
      <c r="B13" s="3586"/>
      <c r="C13" s="3670"/>
      <c r="E13" s="99"/>
      <c r="F13" s="99"/>
      <c r="G13" s="99"/>
      <c r="H13" s="99"/>
      <c r="I13" s="99"/>
      <c r="J13" s="99"/>
      <c r="K13" s="99"/>
      <c r="L13" s="3674"/>
      <c r="M13" s="99"/>
      <c r="N13" s="99"/>
      <c r="O13" s="99"/>
      <c r="P13" s="99"/>
      <c r="Q13" s="99"/>
      <c r="R13" s="99"/>
      <c r="S13" s="99"/>
      <c r="T13" s="99"/>
      <c r="U13" s="99"/>
      <c r="V13" s="99"/>
    </row>
    <row r="14" customHeight="1" spans="5:22">
      <c r="E14" s="3676">
        <f>SUM(E9:E13)</f>
        <v>0</v>
      </c>
      <c r="F14" s="3676">
        <f t="shared" ref="F14:K14" si="0">SUM(F9:F13)</f>
        <v>0</v>
      </c>
      <c r="G14" s="3676">
        <f t="shared" si="0"/>
        <v>0</v>
      </c>
      <c r="H14" s="3676">
        <f t="shared" si="0"/>
        <v>0</v>
      </c>
      <c r="I14" s="3676">
        <f t="shared" si="0"/>
        <v>0</v>
      </c>
      <c r="J14" s="3676">
        <f t="shared" si="0"/>
        <v>0</v>
      </c>
      <c r="K14" s="3676">
        <f t="shared" si="0"/>
        <v>5000</v>
      </c>
      <c r="M14" s="3676">
        <f t="shared" ref="M14:S14" si="1">SUM(M9:M13)</f>
        <v>0</v>
      </c>
      <c r="N14" s="3676">
        <f t="shared" si="1"/>
        <v>0</v>
      </c>
      <c r="O14" s="3676">
        <f t="shared" si="1"/>
        <v>0</v>
      </c>
      <c r="P14" s="3676">
        <f t="shared" si="1"/>
        <v>0</v>
      </c>
      <c r="Q14" s="3676">
        <f t="shared" si="1"/>
        <v>0</v>
      </c>
      <c r="R14" s="3676">
        <f t="shared" si="1"/>
        <v>0</v>
      </c>
      <c r="S14" s="3676">
        <f t="shared" si="1"/>
        <v>336394625</v>
      </c>
      <c r="T14" s="99"/>
      <c r="U14" s="99"/>
      <c r="V14" s="99"/>
    </row>
    <row r="15" customHeight="1" spans="2:2">
      <c r="B15" s="3677"/>
    </row>
    <row r="16" customHeight="1" spans="2:13">
      <c r="B16" s="5052" t="s">
        <v>1317</v>
      </c>
      <c r="M16" s="3682" t="s">
        <v>1323</v>
      </c>
    </row>
    <row r="17" customHeight="1" spans="2:17">
      <c r="B17" s="5053" t="s">
        <v>538</v>
      </c>
      <c r="C17" s="3678"/>
      <c r="D17" s="3678"/>
      <c r="E17" s="3678"/>
      <c r="F17" s="3678"/>
      <c r="G17" s="3678"/>
      <c r="H17" s="3678"/>
      <c r="I17" s="3678"/>
      <c r="J17" s="3678"/>
      <c r="K17" s="3678"/>
      <c r="N17" s="5055" t="s">
        <v>1031</v>
      </c>
      <c r="O17" s="5055" t="s">
        <v>1324</v>
      </c>
      <c r="P17" s="5055" t="s">
        <v>1204</v>
      </c>
      <c r="Q17" s="5055" t="s">
        <v>999</v>
      </c>
    </row>
    <row r="18" customHeight="1" spans="1:16">
      <c r="A18" s="3674">
        <v>1</v>
      </c>
      <c r="B18" s="3586"/>
      <c r="C18" s="3672"/>
      <c r="D18" s="3672"/>
      <c r="E18" s="99">
        <v>0</v>
      </c>
      <c r="F18" s="99">
        <v>0</v>
      </c>
      <c r="G18" s="99">
        <v>0</v>
      </c>
      <c r="H18" s="99">
        <v>0</v>
      </c>
      <c r="I18" s="99">
        <v>0</v>
      </c>
      <c r="J18" s="99">
        <v>0</v>
      </c>
      <c r="K18" s="99">
        <v>0</v>
      </c>
      <c r="M18" s="3683"/>
      <c r="N18" s="3684"/>
      <c r="O18" s="3685"/>
      <c r="P18" s="99"/>
    </row>
    <row r="19" customHeight="1" spans="1:18">
      <c r="A19" s="3674">
        <v>2</v>
      </c>
      <c r="B19" s="3586"/>
      <c r="C19" s="3672"/>
      <c r="D19" s="3672"/>
      <c r="E19" s="99">
        <v>0</v>
      </c>
      <c r="F19" s="99">
        <v>0</v>
      </c>
      <c r="G19" s="99">
        <v>0</v>
      </c>
      <c r="H19" s="99">
        <v>0</v>
      </c>
      <c r="I19" s="99">
        <v>0</v>
      </c>
      <c r="J19" s="99">
        <v>0</v>
      </c>
      <c r="K19" s="99">
        <v>0</v>
      </c>
      <c r="M19" s="3683"/>
      <c r="N19" s="3684"/>
      <c r="O19" s="3685"/>
      <c r="P19" s="99"/>
      <c r="R19" s="99">
        <f>SUM(P19:P21)</f>
        <v>0</v>
      </c>
    </row>
    <row r="20" customHeight="1" spans="1:16">
      <c r="A20" s="3674">
        <v>3</v>
      </c>
      <c r="B20" s="3586"/>
      <c r="C20" s="3672"/>
      <c r="D20" s="3672"/>
      <c r="E20" s="99">
        <v>0</v>
      </c>
      <c r="F20" s="99">
        <v>0</v>
      </c>
      <c r="G20" s="99">
        <v>0</v>
      </c>
      <c r="H20" s="99">
        <v>0</v>
      </c>
      <c r="I20" s="99">
        <v>0</v>
      </c>
      <c r="J20" s="99">
        <v>0</v>
      </c>
      <c r="K20" s="99">
        <v>0</v>
      </c>
      <c r="N20" s="3684"/>
      <c r="O20" s="3685"/>
      <c r="P20" s="99"/>
    </row>
    <row r="21" customHeight="1" spans="1:16">
      <c r="A21" s="3674">
        <v>4</v>
      </c>
      <c r="B21" s="3586"/>
      <c r="C21" s="3672"/>
      <c r="D21" s="3672"/>
      <c r="E21" s="99">
        <v>0</v>
      </c>
      <c r="F21" s="99">
        <v>0</v>
      </c>
      <c r="G21" s="99">
        <v>0</v>
      </c>
      <c r="H21" s="99">
        <v>0</v>
      </c>
      <c r="I21" s="99">
        <v>0</v>
      </c>
      <c r="J21" s="99">
        <v>0</v>
      </c>
      <c r="K21" s="99">
        <v>0</v>
      </c>
      <c r="N21" s="3684"/>
      <c r="O21" s="3685"/>
      <c r="P21" s="99"/>
    </row>
    <row r="22" customHeight="1" spans="1:16">
      <c r="A22" s="3674">
        <v>5</v>
      </c>
      <c r="B22" s="3586"/>
      <c r="C22" s="3672"/>
      <c r="D22" s="3672"/>
      <c r="E22" s="99">
        <f>SUM(F22:K22)</f>
        <v>0</v>
      </c>
      <c r="F22" s="99">
        <v>0</v>
      </c>
      <c r="G22" s="99">
        <v>0</v>
      </c>
      <c r="H22" s="99">
        <v>0</v>
      </c>
      <c r="I22" s="99">
        <v>0</v>
      </c>
      <c r="J22" s="99">
        <v>0</v>
      </c>
      <c r="K22" s="99">
        <v>0</v>
      </c>
      <c r="M22" s="3683"/>
      <c r="N22" s="3684"/>
      <c r="O22" s="3685"/>
      <c r="P22" s="99"/>
    </row>
    <row r="23" customHeight="1" spans="2:11">
      <c r="B23" s="3581"/>
      <c r="C23" s="3672"/>
      <c r="D23" s="3672"/>
      <c r="E23" s="3676">
        <f>SUM(E18:E22)</f>
        <v>0</v>
      </c>
      <c r="F23" s="3676">
        <f t="shared" ref="F23:K23" si="2">SUM(F18:F22)</f>
        <v>0</v>
      </c>
      <c r="G23" s="3676">
        <f t="shared" si="2"/>
        <v>0</v>
      </c>
      <c r="H23" s="3676">
        <f t="shared" si="2"/>
        <v>0</v>
      </c>
      <c r="I23" s="3676">
        <f t="shared" si="2"/>
        <v>0</v>
      </c>
      <c r="J23" s="3676">
        <f t="shared" si="2"/>
        <v>0</v>
      </c>
      <c r="K23" s="3676">
        <f t="shared" si="2"/>
        <v>0</v>
      </c>
    </row>
    <row r="24" customHeight="1" spans="13:13">
      <c r="M24" s="3669" t="s">
        <v>1325</v>
      </c>
    </row>
    <row r="25" customHeight="1" spans="2:13">
      <c r="B25" s="5056" t="s">
        <v>1326</v>
      </c>
      <c r="C25" s="3670"/>
      <c r="D25" s="3670"/>
      <c r="E25" s="3670"/>
      <c r="F25" s="3670"/>
      <c r="G25" s="3670"/>
      <c r="H25" s="3670"/>
      <c r="I25" s="3670"/>
      <c r="J25" s="3670"/>
      <c r="K25" s="3670"/>
      <c r="M25" s="3669" t="s">
        <v>1327</v>
      </c>
    </row>
    <row r="26" customHeight="1" spans="2:13">
      <c r="B26" s="5057" t="s">
        <v>1328</v>
      </c>
      <c r="C26" s="3670"/>
      <c r="D26" s="3670"/>
      <c r="E26" s="3670"/>
      <c r="F26" s="3670"/>
      <c r="G26" s="3670"/>
      <c r="H26" s="3670"/>
      <c r="I26" s="3670"/>
      <c r="J26" s="3670"/>
      <c r="K26" s="3670"/>
      <c r="M26" s="3669" t="s">
        <v>1329</v>
      </c>
    </row>
    <row r="27" customHeight="1" spans="2:11">
      <c r="B27" s="5058" t="s">
        <v>1330</v>
      </c>
      <c r="C27" s="3670"/>
      <c r="D27" s="3670"/>
      <c r="E27" s="3670"/>
      <c r="F27" s="3670"/>
      <c r="G27" s="3670"/>
      <c r="H27" s="3670"/>
      <c r="I27" s="3670"/>
      <c r="J27" s="3670"/>
      <c r="K27" s="3670"/>
    </row>
  </sheetData>
  <pageMargins left="0.354330708661417" right="0.15748031496063" top="0.354330708661417" bottom="0.354330708661417" header="0.31496062992126" footer="0.31496062992126"/>
  <pageSetup paperSize="9" scale="85" orientation="landscape"/>
  <headerFooter/>
  <rowBreaks count="1" manualBreakCount="1">
    <brk id="28" max="16383" man="1"/>
  </rowBreaks>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CC205"/>
  <sheetViews>
    <sheetView showGridLines="0" zoomScale="160" zoomScaleNormal="160" workbookViewId="0">
      <pane ySplit="5" topLeftCell="A163" activePane="bottomLeft" state="frozen"/>
      <selection/>
      <selection pane="bottomLeft" activeCell="E182" sqref="E182:AP184"/>
    </sheetView>
  </sheetViews>
  <sheetFormatPr defaultColWidth="9.13541666666667" defaultRowHeight="12" customHeight="1"/>
  <cols>
    <col min="1" max="1" width="2.69791666666667" style="3606" customWidth="1"/>
    <col min="2" max="12" width="2.25" style="3606" customWidth="1"/>
    <col min="13" max="13" width="1.80208333333333" style="3606" customWidth="1"/>
    <col min="14" max="24" width="2.25" style="3606" customWidth="1"/>
    <col min="25" max="25" width="2.39583333333333" style="3606" customWidth="1"/>
    <col min="26" max="26" width="2.25" style="3606" customWidth="1"/>
    <col min="27" max="28" width="2.39583333333333" style="3606" customWidth="1"/>
    <col min="29" max="32" width="2.25" style="3606" customWidth="1"/>
    <col min="33" max="33" width="2.39583333333333" style="3606" customWidth="1"/>
    <col min="34" max="34" width="2.25" style="3606" customWidth="1"/>
    <col min="35" max="36" width="2.25" style="64" customWidth="1"/>
    <col min="37" max="39" width="2.25" style="3606" customWidth="1"/>
    <col min="40" max="40" width="2.25" style="64" customWidth="1"/>
    <col min="41" max="41" width="2.84375" style="64" customWidth="1"/>
    <col min="42" max="42" width="1.94791666666667" style="3606" customWidth="1"/>
    <col min="43" max="43" width="10.1875" style="3606" customWidth="1"/>
    <col min="44" max="44" width="14.2395833333333" style="3606" customWidth="1"/>
    <col min="45" max="45" width="13.3333333333333" style="3606" customWidth="1"/>
    <col min="46" max="46" width="10.9375" style="3606" customWidth="1"/>
    <col min="47" max="16384" width="9.13541666666667" style="3606"/>
  </cols>
  <sheetData>
    <row r="1" customHeight="1" spans="1:42">
      <c r="A1" s="3607" t="str">
        <f>+I!B4</f>
        <v>PT INTAN GIRI ABADI</v>
      </c>
      <c r="AA1" s="3624" t="s">
        <v>277</v>
      </c>
      <c r="AB1" s="3624"/>
      <c r="AC1" s="3625" t="s">
        <v>278</v>
      </c>
      <c r="AD1" s="3625"/>
      <c r="AE1" s="3625"/>
      <c r="AF1" s="3625"/>
      <c r="AG1" s="3625"/>
      <c r="AH1" s="3625"/>
      <c r="AI1" s="3625"/>
      <c r="AJ1" s="3625"/>
      <c r="AK1" s="3625" t="s">
        <v>273</v>
      </c>
      <c r="AL1" s="3625"/>
      <c r="AM1" s="3625"/>
      <c r="AN1" s="3625"/>
      <c r="AO1" s="3625"/>
      <c r="AP1" s="3625"/>
    </row>
    <row r="2" customHeight="1" spans="1:42">
      <c r="A2" s="5010" t="s">
        <v>289</v>
      </c>
      <c r="AA2" s="3624"/>
      <c r="AB2" s="3624"/>
      <c r="AC2" s="3625"/>
      <c r="AD2" s="3625"/>
      <c r="AE2" s="3625"/>
      <c r="AF2" s="3625"/>
      <c r="AG2" s="3625"/>
      <c r="AH2" s="3625"/>
      <c r="AI2" s="3625"/>
      <c r="AJ2" s="3625"/>
      <c r="AK2" s="3625"/>
      <c r="AL2" s="3625"/>
      <c r="AM2" s="3625"/>
      <c r="AN2" s="3625"/>
      <c r="AO2" s="3625"/>
      <c r="AP2" s="3625"/>
    </row>
    <row r="3" customHeight="1" spans="1:42">
      <c r="A3" s="5010" t="s">
        <v>294</v>
      </c>
      <c r="AA3" s="3624"/>
      <c r="AB3" s="3624"/>
      <c r="AC3" s="3625"/>
      <c r="AD3" s="3625"/>
      <c r="AE3" s="3625"/>
      <c r="AF3" s="3625"/>
      <c r="AG3" s="3625"/>
      <c r="AH3" s="3625"/>
      <c r="AI3" s="3625"/>
      <c r="AJ3" s="3625"/>
      <c r="AK3" s="3625"/>
      <c r="AL3" s="3625"/>
      <c r="AM3" s="3625"/>
      <c r="AN3" s="3625"/>
      <c r="AO3" s="3625"/>
      <c r="AP3" s="3625"/>
    </row>
    <row r="4" customHeight="1" spans="1:42">
      <c r="A4" s="3609" t="s">
        <v>450</v>
      </c>
      <c r="AA4" s="3624"/>
      <c r="AB4" s="3624"/>
      <c r="AC4" s="3625" t="s">
        <v>280</v>
      </c>
      <c r="AD4" s="3625"/>
      <c r="AE4" s="3625"/>
      <c r="AF4" s="3625"/>
      <c r="AG4" s="3625"/>
      <c r="AH4" s="3625"/>
      <c r="AI4" s="3625"/>
      <c r="AJ4" s="3625"/>
      <c r="AK4" s="3625" t="s">
        <v>275</v>
      </c>
      <c r="AL4" s="3625"/>
      <c r="AM4" s="3625"/>
      <c r="AN4" s="3625"/>
      <c r="AO4" s="3625"/>
      <c r="AP4" s="3625"/>
    </row>
    <row r="5" ht="7.35" customHeight="1" spans="1:42">
      <c r="A5" s="3610"/>
      <c r="B5" s="3611"/>
      <c r="C5" s="3611"/>
      <c r="D5" s="3611"/>
      <c r="E5" s="3611"/>
      <c r="F5" s="3611"/>
      <c r="G5" s="3611"/>
      <c r="H5" s="3611"/>
      <c r="I5" s="3611"/>
      <c r="J5" s="3611"/>
      <c r="K5" s="3611"/>
      <c r="L5" s="3611"/>
      <c r="M5" s="3611"/>
      <c r="N5" s="3611"/>
      <c r="O5" s="3611"/>
      <c r="P5" s="3611"/>
      <c r="Q5" s="3611"/>
      <c r="R5" s="3611"/>
      <c r="S5" s="3611"/>
      <c r="T5" s="3611"/>
      <c r="U5" s="3611"/>
      <c r="V5" s="3611"/>
      <c r="W5" s="3611"/>
      <c r="X5" s="3611"/>
      <c r="Y5" s="3611"/>
      <c r="Z5" s="3611"/>
      <c r="AA5" s="3626"/>
      <c r="AB5" s="3626"/>
      <c r="AC5" s="3627"/>
      <c r="AD5" s="3627"/>
      <c r="AE5" s="3627"/>
      <c r="AF5" s="3627"/>
      <c r="AG5" s="3627"/>
      <c r="AH5" s="3627"/>
      <c r="AI5" s="3627"/>
      <c r="AJ5" s="3627"/>
      <c r="AK5" s="3627"/>
      <c r="AL5" s="3627"/>
      <c r="AM5" s="3627"/>
      <c r="AN5" s="3627"/>
      <c r="AO5" s="3627"/>
      <c r="AP5" s="3627"/>
    </row>
    <row r="7" customHeight="1" spans="1:34">
      <c r="A7" s="3612">
        <v>1</v>
      </c>
      <c r="B7" s="64"/>
      <c r="C7" s="3322" t="s">
        <v>1331</v>
      </c>
      <c r="D7" s="3322"/>
      <c r="E7" s="3322"/>
      <c r="F7" s="3322"/>
      <c r="G7" s="3322"/>
      <c r="H7" s="3322"/>
      <c r="I7" s="3322"/>
      <c r="J7" s="3322"/>
      <c r="K7" s="3322"/>
      <c r="L7" s="3322"/>
      <c r="M7" s="3322"/>
      <c r="N7" s="3322"/>
      <c r="O7" s="3322"/>
      <c r="P7" s="3322"/>
      <c r="Q7" s="3322"/>
      <c r="R7" s="3322"/>
      <c r="S7" s="3322"/>
      <c r="T7" s="3322"/>
      <c r="U7" s="3322"/>
      <c r="V7" s="3322"/>
      <c r="W7" s="3322"/>
      <c r="X7" s="3322"/>
      <c r="Y7" s="3322"/>
      <c r="Z7" s="3322"/>
      <c r="AA7" s="3322"/>
      <c r="AB7" s="3322"/>
      <c r="AC7" s="3322"/>
      <c r="AD7" s="3322"/>
      <c r="AE7" s="3322"/>
      <c r="AF7" s="3322"/>
      <c r="AG7" s="3322"/>
      <c r="AH7" s="3322"/>
    </row>
    <row r="8" s="3606" customFormat="1" ht="9.6" customHeight="1" spans="1:41">
      <c r="A8" s="3612"/>
      <c r="B8" s="64"/>
      <c r="C8" s="3322"/>
      <c r="D8" s="3322"/>
      <c r="E8" s="3322"/>
      <c r="F8" s="3322"/>
      <c r="G8" s="3322"/>
      <c r="H8" s="3322"/>
      <c r="I8" s="3322"/>
      <c r="J8" s="3322"/>
      <c r="K8" s="3322"/>
      <c r="L8" s="3322"/>
      <c r="M8" s="3322"/>
      <c r="N8" s="3322"/>
      <c r="O8" s="3322"/>
      <c r="P8" s="3322"/>
      <c r="Q8" s="3322"/>
      <c r="R8" s="3322"/>
      <c r="S8" s="3322"/>
      <c r="T8" s="3322"/>
      <c r="U8" s="3322"/>
      <c r="V8" s="3322"/>
      <c r="W8" s="3322"/>
      <c r="X8" s="3322"/>
      <c r="Y8" s="3322"/>
      <c r="Z8" s="3322"/>
      <c r="AA8" s="3322"/>
      <c r="AB8" s="3322"/>
      <c r="AC8" s="3322"/>
      <c r="AD8" s="3322"/>
      <c r="AE8" s="3322"/>
      <c r="AF8" s="3322"/>
      <c r="AG8" s="3322"/>
      <c r="AH8" s="3322"/>
      <c r="AI8" s="64"/>
      <c r="AJ8" s="64"/>
      <c r="AN8" s="64"/>
      <c r="AO8" s="64"/>
    </row>
    <row r="9" spans="1:34">
      <c r="A9" s="64"/>
      <c r="B9" s="3446" t="s">
        <v>163</v>
      </c>
      <c r="C9" s="3613" t="str">
        <f>+'[84]Lap '!$C$274</f>
        <v>Sejarah Singkat Perusahaan</v>
      </c>
      <c r="D9" s="3341"/>
      <c r="E9" s="3341"/>
      <c r="F9" s="3341"/>
      <c r="G9" s="3341"/>
      <c r="H9" s="3341"/>
      <c r="I9" s="3341"/>
      <c r="J9" s="3341"/>
      <c r="K9" s="3341"/>
      <c r="L9" s="3341"/>
      <c r="M9" s="3341"/>
      <c r="N9" s="3341"/>
      <c r="O9" s="3341"/>
      <c r="P9" s="3341"/>
      <c r="Q9" s="3341"/>
      <c r="R9" s="3341"/>
      <c r="S9" s="3341"/>
      <c r="T9" s="3341"/>
      <c r="U9" s="3341"/>
      <c r="V9" s="3341"/>
      <c r="W9" s="3341"/>
      <c r="X9" s="3341"/>
      <c r="Y9" s="3341"/>
      <c r="Z9" s="3341"/>
      <c r="AA9" s="3341"/>
      <c r="AB9" s="3341"/>
      <c r="AC9" s="3341"/>
      <c r="AD9" s="3341"/>
      <c r="AE9" s="3341"/>
      <c r="AF9" s="3341"/>
      <c r="AG9" s="3341"/>
      <c r="AH9" s="3341"/>
    </row>
    <row r="10" s="3606" customFormat="1" ht="9.2" customHeight="1" spans="1:41">
      <c r="A10" s="64"/>
      <c r="B10" s="64"/>
      <c r="C10" s="3341"/>
      <c r="D10" s="3341"/>
      <c r="E10" s="3341"/>
      <c r="F10" s="3341"/>
      <c r="G10" s="3341"/>
      <c r="H10" s="3341"/>
      <c r="I10" s="3341"/>
      <c r="J10" s="3341"/>
      <c r="K10" s="3341"/>
      <c r="L10" s="3341"/>
      <c r="M10" s="3341"/>
      <c r="N10" s="3341"/>
      <c r="O10" s="3341"/>
      <c r="P10" s="3341"/>
      <c r="Q10" s="3341"/>
      <c r="R10" s="3341"/>
      <c r="S10" s="3341"/>
      <c r="T10" s="3341"/>
      <c r="U10" s="3341"/>
      <c r="V10" s="3341"/>
      <c r="W10" s="3341"/>
      <c r="X10" s="3341"/>
      <c r="Y10" s="3341"/>
      <c r="Z10" s="3341"/>
      <c r="AA10" s="3341"/>
      <c r="AB10" s="3341"/>
      <c r="AC10" s="3341"/>
      <c r="AD10" s="3341"/>
      <c r="AE10" s="3341"/>
      <c r="AF10" s="3341"/>
      <c r="AG10" s="3341"/>
      <c r="AH10" s="3341"/>
      <c r="AI10" s="64"/>
      <c r="AJ10" s="64"/>
      <c r="AN10" s="64"/>
      <c r="AO10" s="64"/>
    </row>
    <row r="11" ht="46.5" customHeight="1" spans="1:44">
      <c r="A11" s="64"/>
      <c r="B11" s="64"/>
      <c r="C11" s="5059" t="s">
        <v>1332</v>
      </c>
      <c r="D11" s="2104"/>
      <c r="E11" s="2104"/>
      <c r="F11" s="2104"/>
      <c r="G11" s="2104"/>
      <c r="H11" s="2104"/>
      <c r="I11" s="2104"/>
      <c r="J11" s="2104"/>
      <c r="K11" s="2104"/>
      <c r="L11" s="2104"/>
      <c r="M11" s="2104"/>
      <c r="N11" s="2104"/>
      <c r="O11" s="2104"/>
      <c r="P11" s="2104"/>
      <c r="Q11" s="2104"/>
      <c r="R11" s="2104"/>
      <c r="S11" s="2104"/>
      <c r="T11" s="2104"/>
      <c r="U11" s="2104"/>
      <c r="V11" s="2104"/>
      <c r="W11" s="2104"/>
      <c r="X11" s="2104"/>
      <c r="Y11" s="2104"/>
      <c r="Z11" s="2104"/>
      <c r="AA11" s="2104"/>
      <c r="AB11" s="2104"/>
      <c r="AC11" s="2104"/>
      <c r="AD11" s="2104"/>
      <c r="AE11" s="2104"/>
      <c r="AF11" s="2104"/>
      <c r="AG11" s="2104"/>
      <c r="AH11" s="2104"/>
      <c r="AI11" s="2104"/>
      <c r="AJ11" s="2104"/>
      <c r="AK11" s="2104"/>
      <c r="AL11" s="2104"/>
      <c r="AM11" s="2104"/>
      <c r="AN11" s="2104"/>
      <c r="AO11" s="2104"/>
      <c r="AP11" s="2104"/>
      <c r="AR11" s="3630"/>
    </row>
    <row r="12" s="3606" customFormat="1" ht="6.6" customHeight="1" spans="1:44">
      <c r="A12" s="64"/>
      <c r="B12" s="64"/>
      <c r="C12" s="2104"/>
      <c r="D12" s="2104"/>
      <c r="E12" s="2104"/>
      <c r="F12" s="2104"/>
      <c r="G12" s="2104"/>
      <c r="H12" s="2104"/>
      <c r="I12" s="2104"/>
      <c r="J12" s="2104"/>
      <c r="K12" s="2104"/>
      <c r="L12" s="2104"/>
      <c r="M12" s="2104"/>
      <c r="N12" s="2104"/>
      <c r="O12" s="2104"/>
      <c r="P12" s="2104"/>
      <c r="Q12" s="2104"/>
      <c r="R12" s="2104"/>
      <c r="S12" s="2104"/>
      <c r="T12" s="2104"/>
      <c r="U12" s="2104"/>
      <c r="V12" s="2104"/>
      <c r="W12" s="2104"/>
      <c r="X12" s="2104"/>
      <c r="Y12" s="2104"/>
      <c r="Z12" s="2104"/>
      <c r="AA12" s="2104"/>
      <c r="AB12" s="2104"/>
      <c r="AC12" s="2104"/>
      <c r="AD12" s="2104"/>
      <c r="AE12" s="2104"/>
      <c r="AF12" s="2104"/>
      <c r="AG12" s="2104"/>
      <c r="AH12" s="2104"/>
      <c r="AI12" s="2104"/>
      <c r="AJ12" s="2104"/>
      <c r="AK12" s="2104"/>
      <c r="AL12" s="2104"/>
      <c r="AM12" s="2104"/>
      <c r="AN12" s="2104"/>
      <c r="AO12" s="2104"/>
      <c r="AP12" s="2104"/>
      <c r="AR12" s="3630"/>
    </row>
    <row r="13" s="3606" customFormat="1" ht="45.6" customHeight="1" spans="1:44">
      <c r="A13" s="64"/>
      <c r="B13" s="64"/>
      <c r="C13" s="5059" t="s">
        <v>1333</v>
      </c>
      <c r="D13" s="2104"/>
      <c r="E13" s="2104"/>
      <c r="F13" s="2104"/>
      <c r="G13" s="2104"/>
      <c r="H13" s="2104"/>
      <c r="I13" s="2104"/>
      <c r="J13" s="2104"/>
      <c r="K13" s="2104"/>
      <c r="L13" s="2104"/>
      <c r="M13" s="2104"/>
      <c r="N13" s="2104"/>
      <c r="O13" s="2104"/>
      <c r="P13" s="2104"/>
      <c r="Q13" s="2104"/>
      <c r="R13" s="2104"/>
      <c r="S13" s="2104"/>
      <c r="T13" s="2104"/>
      <c r="U13" s="2104"/>
      <c r="V13" s="2104"/>
      <c r="W13" s="2104"/>
      <c r="X13" s="2104"/>
      <c r="Y13" s="2104"/>
      <c r="Z13" s="2104"/>
      <c r="AA13" s="2104"/>
      <c r="AB13" s="2104"/>
      <c r="AC13" s="2104"/>
      <c r="AD13" s="2104"/>
      <c r="AE13" s="2104"/>
      <c r="AF13" s="2104"/>
      <c r="AG13" s="2104"/>
      <c r="AH13" s="2104"/>
      <c r="AI13" s="2104"/>
      <c r="AJ13" s="2104"/>
      <c r="AK13" s="2104"/>
      <c r="AL13" s="2104"/>
      <c r="AM13" s="2104"/>
      <c r="AN13" s="2104"/>
      <c r="AO13" s="2104"/>
      <c r="AP13" s="2104"/>
      <c r="AR13" s="3630"/>
    </row>
    <row r="14" ht="8.1" customHeight="1" spans="3:34">
      <c r="C14" s="3614"/>
      <c r="D14" s="3614"/>
      <c r="E14" s="3614"/>
      <c r="F14" s="3614"/>
      <c r="G14" s="3614"/>
      <c r="H14" s="3614"/>
      <c r="I14" s="3614"/>
      <c r="J14" s="3614"/>
      <c r="K14" s="3614"/>
      <c r="L14" s="3614"/>
      <c r="M14" s="3614"/>
      <c r="N14" s="3614"/>
      <c r="O14" s="3614"/>
      <c r="P14" s="3614"/>
      <c r="Q14" s="3614"/>
      <c r="R14" s="3614"/>
      <c r="S14" s="3614"/>
      <c r="T14" s="3614"/>
      <c r="U14" s="3614"/>
      <c r="V14" s="3614"/>
      <c r="W14" s="3614"/>
      <c r="X14" s="3614"/>
      <c r="Y14" s="3614"/>
      <c r="Z14" s="3614"/>
      <c r="AA14" s="3614"/>
      <c r="AB14" s="3614"/>
      <c r="AC14" s="3614"/>
      <c r="AD14" s="3614"/>
      <c r="AE14" s="3614"/>
      <c r="AF14" s="3614"/>
      <c r="AG14" s="3614"/>
      <c r="AH14" s="3614"/>
    </row>
    <row r="15" ht="35.1" customHeight="1" spans="3:44">
      <c r="C15" s="3339" t="s">
        <v>1334</v>
      </c>
      <c r="D15" s="3339"/>
      <c r="E15" s="3339"/>
      <c r="F15" s="3339"/>
      <c r="G15" s="3339"/>
      <c r="H15" s="3339"/>
      <c r="I15" s="3339"/>
      <c r="J15" s="3339"/>
      <c r="K15" s="3339"/>
      <c r="L15" s="3339"/>
      <c r="M15" s="3339"/>
      <c r="N15" s="3339"/>
      <c r="O15" s="3339"/>
      <c r="P15" s="3339"/>
      <c r="Q15" s="3339"/>
      <c r="R15" s="3339"/>
      <c r="S15" s="3339"/>
      <c r="T15" s="3339"/>
      <c r="U15" s="3339"/>
      <c r="V15" s="3339"/>
      <c r="W15" s="3339"/>
      <c r="X15" s="3339"/>
      <c r="Y15" s="3339"/>
      <c r="Z15" s="3339"/>
      <c r="AA15" s="3339"/>
      <c r="AB15" s="3339"/>
      <c r="AC15" s="3339"/>
      <c r="AD15" s="3339"/>
      <c r="AE15" s="3339"/>
      <c r="AF15" s="3339"/>
      <c r="AG15" s="3339"/>
      <c r="AH15" s="3339"/>
      <c r="AI15" s="3339"/>
      <c r="AJ15" s="3339"/>
      <c r="AK15" s="3339"/>
      <c r="AL15" s="3339"/>
      <c r="AM15" s="3339"/>
      <c r="AN15" s="3339"/>
      <c r="AO15" s="3339"/>
      <c r="AP15" s="3339"/>
      <c r="AR15" s="3630"/>
    </row>
    <row r="16" s="3606" customFormat="1" ht="9.95" customHeight="1" spans="3:44">
      <c r="C16" s="3339"/>
      <c r="D16" s="3339"/>
      <c r="E16" s="3339"/>
      <c r="F16" s="3339"/>
      <c r="G16" s="3339"/>
      <c r="H16" s="3339"/>
      <c r="I16" s="3339"/>
      <c r="J16" s="3339"/>
      <c r="K16" s="3339"/>
      <c r="L16" s="3339"/>
      <c r="M16" s="3339"/>
      <c r="N16" s="3339"/>
      <c r="O16" s="3339"/>
      <c r="P16" s="3339"/>
      <c r="Q16" s="3339"/>
      <c r="R16" s="3339"/>
      <c r="S16" s="3339"/>
      <c r="T16" s="3339"/>
      <c r="U16" s="3339"/>
      <c r="V16" s="3339"/>
      <c r="W16" s="3339"/>
      <c r="X16" s="3339"/>
      <c r="Y16" s="3339"/>
      <c r="Z16" s="3339"/>
      <c r="AA16" s="3339"/>
      <c r="AB16" s="3339"/>
      <c r="AC16" s="3339"/>
      <c r="AD16" s="3339"/>
      <c r="AE16" s="3339"/>
      <c r="AF16" s="3339"/>
      <c r="AG16" s="3339"/>
      <c r="AH16" s="3339"/>
      <c r="AI16" s="3339"/>
      <c r="AJ16" s="3339"/>
      <c r="AK16" s="3339"/>
      <c r="AL16" s="3339"/>
      <c r="AM16" s="3339"/>
      <c r="AN16" s="3339"/>
      <c r="AO16" s="3339"/>
      <c r="AP16" s="3339"/>
      <c r="AR16" s="3630"/>
    </row>
    <row r="17" s="3606" customFormat="1" ht="24.95" customHeight="1" spans="3:44">
      <c r="C17" s="2104" t="s">
        <v>1335</v>
      </c>
      <c r="D17" s="3339"/>
      <c r="E17" s="3339"/>
      <c r="F17" s="3339"/>
      <c r="G17" s="3339"/>
      <c r="H17" s="3339"/>
      <c r="I17" s="3339"/>
      <c r="J17" s="3339"/>
      <c r="K17" s="3339"/>
      <c r="L17" s="3339"/>
      <c r="M17" s="3339"/>
      <c r="N17" s="3339"/>
      <c r="O17" s="3339"/>
      <c r="P17" s="3339"/>
      <c r="Q17" s="3339"/>
      <c r="R17" s="3339"/>
      <c r="S17" s="3339"/>
      <c r="T17" s="3339"/>
      <c r="U17" s="3339"/>
      <c r="V17" s="3339"/>
      <c r="W17" s="3339"/>
      <c r="X17" s="3339"/>
      <c r="Y17" s="3339"/>
      <c r="Z17" s="3339"/>
      <c r="AA17" s="3339"/>
      <c r="AB17" s="3339"/>
      <c r="AC17" s="3339"/>
      <c r="AD17" s="3339"/>
      <c r="AE17" s="3339"/>
      <c r="AF17" s="3339"/>
      <c r="AG17" s="3339"/>
      <c r="AH17" s="3339"/>
      <c r="AI17" s="3339"/>
      <c r="AJ17" s="3339"/>
      <c r="AK17" s="3339"/>
      <c r="AL17" s="3339"/>
      <c r="AM17" s="3339"/>
      <c r="AN17" s="3339"/>
      <c r="AO17" s="3339"/>
      <c r="AP17" s="3339"/>
      <c r="AR17" s="3630"/>
    </row>
    <row r="18" s="3606" customFormat="1" ht="8.45" customHeight="1" spans="3:44">
      <c r="C18" s="3339"/>
      <c r="D18" s="3339"/>
      <c r="E18" s="3339"/>
      <c r="F18" s="3339"/>
      <c r="G18" s="3339"/>
      <c r="H18" s="3339"/>
      <c r="I18" s="3339"/>
      <c r="J18" s="3339"/>
      <c r="K18" s="3339"/>
      <c r="L18" s="3339"/>
      <c r="M18" s="3339"/>
      <c r="N18" s="3339"/>
      <c r="O18" s="3339"/>
      <c r="P18" s="3339"/>
      <c r="Q18" s="3339"/>
      <c r="R18" s="3339"/>
      <c r="S18" s="3339"/>
      <c r="T18" s="3339"/>
      <c r="U18" s="3339"/>
      <c r="V18" s="3339"/>
      <c r="W18" s="3339"/>
      <c r="X18" s="3339"/>
      <c r="Y18" s="3339"/>
      <c r="Z18" s="3339"/>
      <c r="AA18" s="3339"/>
      <c r="AB18" s="3339"/>
      <c r="AC18" s="3339"/>
      <c r="AD18" s="3339"/>
      <c r="AE18" s="3339"/>
      <c r="AF18" s="3339"/>
      <c r="AG18" s="3339"/>
      <c r="AH18" s="3339"/>
      <c r="AI18" s="3339"/>
      <c r="AJ18" s="3339"/>
      <c r="AK18" s="3339"/>
      <c r="AL18" s="3339"/>
      <c r="AM18" s="3339"/>
      <c r="AN18" s="3339"/>
      <c r="AO18" s="3339"/>
      <c r="AP18" s="3339"/>
      <c r="AR18" s="3630"/>
    </row>
    <row r="19" s="3606" customFormat="1" ht="36" customHeight="1" spans="3:44">
      <c r="C19" s="5036" t="s">
        <v>1336</v>
      </c>
      <c r="D19" s="3339"/>
      <c r="E19" s="3339"/>
      <c r="F19" s="3339"/>
      <c r="G19" s="3339"/>
      <c r="H19" s="3339"/>
      <c r="I19" s="3339"/>
      <c r="J19" s="3339"/>
      <c r="K19" s="3339"/>
      <c r="L19" s="3339"/>
      <c r="M19" s="3339"/>
      <c r="N19" s="3339"/>
      <c r="O19" s="3339"/>
      <c r="P19" s="3339"/>
      <c r="Q19" s="3339"/>
      <c r="R19" s="3339"/>
      <c r="S19" s="3339"/>
      <c r="T19" s="3339"/>
      <c r="U19" s="3339"/>
      <c r="V19" s="3339"/>
      <c r="W19" s="3339"/>
      <c r="X19" s="3339"/>
      <c r="Y19" s="3339"/>
      <c r="Z19" s="3339"/>
      <c r="AA19" s="3339"/>
      <c r="AB19" s="3339"/>
      <c r="AC19" s="3339"/>
      <c r="AD19" s="3339"/>
      <c r="AE19" s="3339"/>
      <c r="AF19" s="3339"/>
      <c r="AG19" s="3339"/>
      <c r="AH19" s="3339"/>
      <c r="AI19" s="3339"/>
      <c r="AJ19" s="3339"/>
      <c r="AK19" s="3339"/>
      <c r="AL19" s="3339"/>
      <c r="AM19" s="3339"/>
      <c r="AN19" s="3339"/>
      <c r="AO19" s="3339"/>
      <c r="AP19" s="3339"/>
      <c r="AR19" s="3630"/>
    </row>
    <row r="20" s="3606" customFormat="1" ht="11.4" spans="3:44">
      <c r="C20" s="3339"/>
      <c r="D20" s="3339"/>
      <c r="E20" s="3339"/>
      <c r="F20" s="3339"/>
      <c r="G20" s="3339"/>
      <c r="H20" s="3339"/>
      <c r="I20" s="3339"/>
      <c r="J20" s="3339"/>
      <c r="K20" s="3339"/>
      <c r="L20" s="3339"/>
      <c r="M20" s="3339"/>
      <c r="N20" s="3339"/>
      <c r="O20" s="3339"/>
      <c r="P20" s="3339"/>
      <c r="Q20" s="3339"/>
      <c r="R20" s="3339"/>
      <c r="S20" s="3339"/>
      <c r="T20" s="3339"/>
      <c r="U20" s="3339"/>
      <c r="V20" s="3339"/>
      <c r="W20" s="3339"/>
      <c r="X20" s="3339"/>
      <c r="Y20" s="3339"/>
      <c r="Z20" s="3339"/>
      <c r="AA20" s="3339"/>
      <c r="AB20" s="3339"/>
      <c r="AC20" s="3339"/>
      <c r="AD20" s="3339"/>
      <c r="AE20" s="3339"/>
      <c r="AF20" s="3339"/>
      <c r="AG20" s="3339"/>
      <c r="AH20" s="3339"/>
      <c r="AI20" s="3339"/>
      <c r="AJ20" s="3339"/>
      <c r="AK20" s="3339"/>
      <c r="AL20" s="3339"/>
      <c r="AM20" s="3339"/>
      <c r="AN20" s="3339"/>
      <c r="AO20" s="3339"/>
      <c r="AP20" s="3339"/>
      <c r="AR20" s="3630"/>
    </row>
    <row r="21" s="3606" customFormat="1" spans="2:44">
      <c r="B21" s="3446" t="s">
        <v>182</v>
      </c>
      <c r="C21" s="3613" t="s">
        <v>1337</v>
      </c>
      <c r="D21" s="3339"/>
      <c r="E21" s="3339"/>
      <c r="F21" s="3339"/>
      <c r="G21" s="3339"/>
      <c r="H21" s="3339"/>
      <c r="I21" s="3339"/>
      <c r="J21" s="3339"/>
      <c r="K21" s="3339"/>
      <c r="L21" s="3339"/>
      <c r="M21" s="3339"/>
      <c r="N21" s="3339"/>
      <c r="O21" s="3339"/>
      <c r="P21" s="3339"/>
      <c r="Q21" s="3339"/>
      <c r="R21" s="3339"/>
      <c r="S21" s="3339"/>
      <c r="T21" s="3339"/>
      <c r="U21" s="3339"/>
      <c r="V21" s="3339"/>
      <c r="W21" s="3339"/>
      <c r="X21" s="3339"/>
      <c r="Y21" s="3339"/>
      <c r="Z21" s="3339"/>
      <c r="AA21" s="3339"/>
      <c r="AB21" s="3339"/>
      <c r="AC21" s="3339"/>
      <c r="AD21" s="3339"/>
      <c r="AE21" s="3339"/>
      <c r="AF21" s="3339"/>
      <c r="AG21" s="3339"/>
      <c r="AH21" s="3339"/>
      <c r="AI21" s="3339"/>
      <c r="AJ21" s="3339"/>
      <c r="AK21" s="3339"/>
      <c r="AL21" s="3339"/>
      <c r="AM21" s="3339"/>
      <c r="AN21" s="3339"/>
      <c r="AO21" s="3339"/>
      <c r="AP21" s="3339"/>
      <c r="AR21" s="3630"/>
    </row>
    <row r="22" s="3606" customFormat="1" ht="8.45" customHeight="1" spans="3:44">
      <c r="C22" s="3339"/>
      <c r="D22" s="3339"/>
      <c r="E22" s="3339"/>
      <c r="F22" s="3339"/>
      <c r="G22" s="3339"/>
      <c r="H22" s="3339"/>
      <c r="I22" s="3339"/>
      <c r="J22" s="3339"/>
      <c r="K22" s="3339"/>
      <c r="L22" s="3339"/>
      <c r="M22" s="3339"/>
      <c r="N22" s="3339"/>
      <c r="O22" s="3339"/>
      <c r="P22" s="3339"/>
      <c r="Q22" s="3339"/>
      <c r="R22" s="3339"/>
      <c r="S22" s="3339"/>
      <c r="T22" s="3339"/>
      <c r="U22" s="3339"/>
      <c r="V22" s="3339"/>
      <c r="W22" s="3339"/>
      <c r="X22" s="3339"/>
      <c r="Y22" s="3339"/>
      <c r="Z22" s="3339"/>
      <c r="AA22" s="3339"/>
      <c r="AB22" s="3339"/>
      <c r="AC22" s="3339"/>
      <c r="AD22" s="3339"/>
      <c r="AE22" s="3339"/>
      <c r="AF22" s="3339"/>
      <c r="AG22" s="3339"/>
      <c r="AH22" s="3339"/>
      <c r="AI22" s="3339"/>
      <c r="AJ22" s="3339"/>
      <c r="AK22" s="3339"/>
      <c r="AL22" s="3339"/>
      <c r="AM22" s="3339"/>
      <c r="AN22" s="3339"/>
      <c r="AO22" s="3339"/>
      <c r="AP22" s="3339"/>
      <c r="AR22" s="3630"/>
    </row>
    <row r="23" s="3606" customFormat="1" ht="47.1" customHeight="1" spans="3:44">
      <c r="C23" s="2104" t="s">
        <v>1338</v>
      </c>
      <c r="D23" s="2104"/>
      <c r="E23" s="2104"/>
      <c r="F23" s="2104"/>
      <c r="G23" s="2104"/>
      <c r="H23" s="2104"/>
      <c r="I23" s="2104"/>
      <c r="J23" s="2104"/>
      <c r="K23" s="2104"/>
      <c r="L23" s="2104"/>
      <c r="M23" s="2104"/>
      <c r="N23" s="2104"/>
      <c r="O23" s="2104"/>
      <c r="P23" s="2104"/>
      <c r="Q23" s="2104"/>
      <c r="R23" s="2104"/>
      <c r="S23" s="2104"/>
      <c r="T23" s="2104"/>
      <c r="U23" s="2104"/>
      <c r="V23" s="2104"/>
      <c r="W23" s="2104"/>
      <c r="X23" s="2104"/>
      <c r="Y23" s="2104"/>
      <c r="Z23" s="2104"/>
      <c r="AA23" s="2104"/>
      <c r="AB23" s="2104"/>
      <c r="AC23" s="2104"/>
      <c r="AD23" s="2104"/>
      <c r="AE23" s="2104"/>
      <c r="AF23" s="2104"/>
      <c r="AG23" s="2104"/>
      <c r="AH23" s="2104"/>
      <c r="AI23" s="2104"/>
      <c r="AJ23" s="2104"/>
      <c r="AK23" s="2104"/>
      <c r="AL23" s="2104"/>
      <c r="AM23" s="2104"/>
      <c r="AN23" s="2104"/>
      <c r="AO23" s="2104"/>
      <c r="AP23" s="2104"/>
      <c r="AR23" s="3630"/>
    </row>
    <row r="24" s="3606" customFormat="1" ht="3.6" customHeight="1" spans="3:44">
      <c r="C24" s="3339"/>
      <c r="D24" s="3339"/>
      <c r="E24" s="3339"/>
      <c r="F24" s="3339"/>
      <c r="G24" s="3339"/>
      <c r="H24" s="3339"/>
      <c r="I24" s="3339"/>
      <c r="J24" s="3339"/>
      <c r="K24" s="3339"/>
      <c r="L24" s="3339"/>
      <c r="M24" s="3339"/>
      <c r="N24" s="3339"/>
      <c r="O24" s="3339"/>
      <c r="P24" s="3339"/>
      <c r="Q24" s="3339"/>
      <c r="R24" s="3339"/>
      <c r="S24" s="3339"/>
      <c r="T24" s="3339"/>
      <c r="U24" s="3339"/>
      <c r="V24" s="3339"/>
      <c r="W24" s="3339"/>
      <c r="X24" s="3339"/>
      <c r="Y24" s="3339"/>
      <c r="Z24" s="3339"/>
      <c r="AA24" s="3339"/>
      <c r="AB24" s="3339"/>
      <c r="AC24" s="3339"/>
      <c r="AD24" s="3339"/>
      <c r="AE24" s="3339"/>
      <c r="AF24" s="3339"/>
      <c r="AG24" s="3339"/>
      <c r="AH24" s="3339"/>
      <c r="AI24" s="3339"/>
      <c r="AJ24" s="3339"/>
      <c r="AK24" s="3339"/>
      <c r="AL24" s="3339"/>
      <c r="AM24" s="3339"/>
      <c r="AN24" s="3339"/>
      <c r="AO24" s="3339"/>
      <c r="AP24" s="3339"/>
      <c r="AR24" s="3630"/>
    </row>
    <row r="25" customHeight="1" spans="3:40">
      <c r="C25" s="3339"/>
      <c r="D25" s="64" t="s">
        <v>1339</v>
      </c>
      <c r="E25" s="3067"/>
      <c r="F25" s="3067"/>
      <c r="G25" s="3067"/>
      <c r="H25" s="3067"/>
      <c r="I25" s="3067"/>
      <c r="J25" s="1979"/>
      <c r="K25" s="3067"/>
      <c r="L25" t="s">
        <v>225</v>
      </c>
      <c r="M25"/>
      <c r="N25" t="s">
        <v>1340</v>
      </c>
      <c r="O25" s="3614"/>
      <c r="P25" s="3614"/>
      <c r="Q25" s="3614"/>
      <c r="R25" s="3614"/>
      <c r="S25" s="3614"/>
      <c r="T25" s="3614"/>
      <c r="U25" s="3614"/>
      <c r="V25" s="3614"/>
      <c r="W25" s="3614"/>
      <c r="X25" s="3614"/>
      <c r="Y25" s="3614"/>
      <c r="Z25" s="3614"/>
      <c r="AA25" s="3614"/>
      <c r="AB25" s="3614"/>
      <c r="AC25" s="3614"/>
      <c r="AD25" s="3628"/>
      <c r="AE25" s="3628"/>
      <c r="AF25" s="3628"/>
      <c r="AG25" s="3628"/>
      <c r="AH25" s="3628"/>
      <c r="AI25" s="3628"/>
      <c r="AJ25" s="3628"/>
      <c r="AK25" s="3628"/>
      <c r="AL25" s="3628"/>
      <c r="AM25" s="3628"/>
      <c r="AN25" s="3628"/>
    </row>
    <row r="26" customHeight="1" spans="3:40">
      <c r="C26" s="3339"/>
      <c r="D26" s="64" t="s">
        <v>1341</v>
      </c>
      <c r="E26" s="3067"/>
      <c r="F26" s="3067"/>
      <c r="G26" s="3067"/>
      <c r="H26" s="3067"/>
      <c r="I26" s="3067"/>
      <c r="J26" s="3067"/>
      <c r="K26" s="64"/>
      <c r="L26" t="s">
        <v>225</v>
      </c>
      <c r="M26"/>
      <c r="N26" t="str">
        <f>+SS!F65</f>
        <v>Bambang Prijambodo</v>
      </c>
      <c r="O26" s="3067"/>
      <c r="P26" s="3067"/>
      <c r="Q26" s="3315"/>
      <c r="R26" s="3315"/>
      <c r="S26" s="3315"/>
      <c r="T26" s="3315"/>
      <c r="U26" s="64"/>
      <c r="V26" s="3315"/>
      <c r="W26" s="3315"/>
      <c r="X26" s="3315"/>
      <c r="Y26" s="64"/>
      <c r="Z26" s="3315"/>
      <c r="AA26" s="3315"/>
      <c r="AB26" s="3315"/>
      <c r="AC26" s="3315"/>
      <c r="AD26" s="3629"/>
      <c r="AE26" s="3629"/>
      <c r="AF26" s="3629"/>
      <c r="AG26" s="3629"/>
      <c r="AH26" s="3629"/>
      <c r="AI26" s="3629"/>
      <c r="AJ26" s="3629"/>
      <c r="AK26" s="3629"/>
      <c r="AL26" s="3629"/>
      <c r="AM26" s="3629"/>
      <c r="AN26" s="3629"/>
    </row>
    <row r="27" customHeight="1" spans="3:40">
      <c r="C27" s="3339"/>
      <c r="D27" s="64" t="s">
        <v>1342</v>
      </c>
      <c r="E27" s="3067"/>
      <c r="F27" s="3067"/>
      <c r="G27" s="3067"/>
      <c r="H27" s="3067"/>
      <c r="I27" s="3067"/>
      <c r="J27" s="3067"/>
      <c r="K27" s="64"/>
      <c r="L27" t="s">
        <v>225</v>
      </c>
      <c r="M27"/>
      <c r="N27" t="str">
        <f>+SS!F66</f>
        <v>Ana Dwiarsih</v>
      </c>
      <c r="O27" s="3067"/>
      <c r="P27" s="3341"/>
      <c r="Q27" s="3341"/>
      <c r="R27" s="3341"/>
      <c r="S27" s="3341"/>
      <c r="T27" s="3341"/>
      <c r="U27" s="64"/>
      <c r="V27" s="3341"/>
      <c r="W27" s="3341"/>
      <c r="X27" s="3341"/>
      <c r="Y27" s="64"/>
      <c r="Z27" s="3341"/>
      <c r="AA27" s="3341"/>
      <c r="AB27" s="3341"/>
      <c r="AC27" s="3341"/>
      <c r="AD27" s="3629"/>
      <c r="AE27" s="3629"/>
      <c r="AF27" s="3629"/>
      <c r="AG27" s="3629"/>
      <c r="AH27" s="3629"/>
      <c r="AI27" s="3629"/>
      <c r="AJ27" s="3629"/>
      <c r="AK27" s="3629"/>
      <c r="AL27" s="3629"/>
      <c r="AM27" s="3629"/>
      <c r="AN27" s="3629"/>
    </row>
    <row r="28" ht="9.2" customHeight="1" spans="3:44">
      <c r="C28" s="3339"/>
      <c r="D28" s="64"/>
      <c r="E28" s="3067"/>
      <c r="F28" s="3067"/>
      <c r="G28" s="3067"/>
      <c r="H28" s="3067"/>
      <c r="I28" s="3067"/>
      <c r="J28" s="1979"/>
      <c r="K28" s="3067"/>
      <c r="L28"/>
      <c r="M28"/>
      <c r="N28" s="3067"/>
      <c r="O28" s="3067"/>
      <c r="P28" s="3341"/>
      <c r="Q28" s="3341"/>
      <c r="R28" s="3341"/>
      <c r="S28" s="3341"/>
      <c r="T28" s="3341"/>
      <c r="U28" s="3341"/>
      <c r="V28" s="3341"/>
      <c r="W28" s="3341"/>
      <c r="X28" s="3341"/>
      <c r="Y28" s="3341"/>
      <c r="Z28" s="3341"/>
      <c r="AA28" s="3341"/>
      <c r="AB28" s="3341"/>
      <c r="AC28" s="3341"/>
      <c r="AD28" s="3341"/>
      <c r="AE28" s="3341"/>
      <c r="AF28" s="3341"/>
      <c r="AG28" s="3341"/>
      <c r="AH28" s="3341"/>
      <c r="AK28" s="64"/>
      <c r="AL28" s="64"/>
      <c r="AM28" s="64"/>
      <c r="AR28" s="3630"/>
    </row>
    <row r="29" ht="36" customHeight="1" spans="3:44">
      <c r="C29" s="5059" t="s">
        <v>1343</v>
      </c>
      <c r="D29" s="2146"/>
      <c r="E29" s="2146"/>
      <c r="F29" s="2146"/>
      <c r="G29" s="2146"/>
      <c r="H29" s="2146"/>
      <c r="I29" s="2146"/>
      <c r="J29" s="2146"/>
      <c r="K29" s="2146"/>
      <c r="L29" s="2146"/>
      <c r="M29" s="2146"/>
      <c r="N29" s="2146"/>
      <c r="O29" s="2146"/>
      <c r="P29" s="2146"/>
      <c r="Q29" s="2146"/>
      <c r="R29" s="2146"/>
      <c r="S29" s="2146"/>
      <c r="T29" s="2146"/>
      <c r="U29" s="2146"/>
      <c r="V29" s="2146"/>
      <c r="W29" s="2146"/>
      <c r="X29" s="2146"/>
      <c r="Y29" s="2146"/>
      <c r="Z29" s="2146"/>
      <c r="AA29" s="2146"/>
      <c r="AB29" s="2146"/>
      <c r="AC29" s="2146"/>
      <c r="AD29" s="2146"/>
      <c r="AE29" s="2146"/>
      <c r="AF29" s="2146"/>
      <c r="AG29" s="2146"/>
      <c r="AH29" s="2146"/>
      <c r="AI29" s="2146"/>
      <c r="AJ29" s="2146"/>
      <c r="AK29" s="2146"/>
      <c r="AL29" s="2146"/>
      <c r="AM29" s="2146"/>
      <c r="AN29" s="2146"/>
      <c r="AO29" s="2146"/>
      <c r="AP29" s="2146"/>
      <c r="AR29" s="3630"/>
    </row>
    <row r="30" ht="11.1" customHeight="1" spans="3:47">
      <c r="C30" s="3614"/>
      <c r="D30" s="3614"/>
      <c r="E30" s="3614"/>
      <c r="F30" s="3614"/>
      <c r="G30" s="3614"/>
      <c r="H30" s="3614"/>
      <c r="I30" s="3614"/>
      <c r="J30" s="3614"/>
      <c r="K30" s="3614"/>
      <c r="L30" s="3614"/>
      <c r="M30" s="3614"/>
      <c r="N30" s="3614"/>
      <c r="O30" s="3614"/>
      <c r="P30" s="3614"/>
      <c r="Q30" s="3614"/>
      <c r="R30" s="3614"/>
      <c r="S30" s="3614"/>
      <c r="T30" s="3614"/>
      <c r="U30" s="3614"/>
      <c r="V30" s="3614"/>
      <c r="W30" s="3614"/>
      <c r="X30" s="3614"/>
      <c r="Y30" s="3614"/>
      <c r="Z30" s="3614"/>
      <c r="AA30" s="3614"/>
      <c r="AB30" s="3614"/>
      <c r="AC30" s="3614"/>
      <c r="AD30" s="3614"/>
      <c r="AE30" s="3614"/>
      <c r="AF30" s="3614"/>
      <c r="AG30" s="3614"/>
      <c r="AH30" s="3614"/>
      <c r="AQ30" s="3606" t="s">
        <v>1344</v>
      </c>
      <c r="AS30" s="3628">
        <v>22</v>
      </c>
      <c r="AT30" s="3628">
        <v>21</v>
      </c>
      <c r="AU30" s="3628">
        <v>20</v>
      </c>
    </row>
    <row r="31" customHeight="1" spans="1:47">
      <c r="A31" s="3608">
        <v>2</v>
      </c>
      <c r="C31" s="3607" t="s">
        <v>1345</v>
      </c>
      <c r="D31" s="3607"/>
      <c r="E31" s="3607"/>
      <c r="F31" s="3607"/>
      <c r="G31" s="3607"/>
      <c r="H31" s="3607"/>
      <c r="I31" s="3607"/>
      <c r="J31" s="3607"/>
      <c r="K31" s="3607"/>
      <c r="L31" s="3607"/>
      <c r="M31" s="3607"/>
      <c r="N31" s="3607"/>
      <c r="O31" s="3607"/>
      <c r="P31" s="3607"/>
      <c r="Q31" s="3607"/>
      <c r="R31" s="3607"/>
      <c r="S31" s="3607"/>
      <c r="T31" s="3607"/>
      <c r="U31" s="3607"/>
      <c r="V31" s="3607"/>
      <c r="W31" s="3607"/>
      <c r="X31" s="3607"/>
      <c r="Y31" s="3607"/>
      <c r="Z31" s="3607"/>
      <c r="AA31" s="3607"/>
      <c r="AB31" s="3607"/>
      <c r="AC31" s="3607"/>
      <c r="AD31" s="3607"/>
      <c r="AE31" s="3607"/>
      <c r="AF31" s="3607"/>
      <c r="AG31" s="3607"/>
      <c r="AH31" s="3607"/>
      <c r="AQ31" s="3606" t="s">
        <v>1346</v>
      </c>
      <c r="AS31" s="3628">
        <v>23</v>
      </c>
      <c r="AT31" s="3628">
        <v>30</v>
      </c>
      <c r="AU31" s="3628">
        <v>25</v>
      </c>
    </row>
    <row r="32" s="3606" customFormat="1" customHeight="1" spans="1:47">
      <c r="A32" s="3608"/>
      <c r="C32" s="3607"/>
      <c r="D32" s="3607"/>
      <c r="E32" s="3607"/>
      <c r="F32" s="3607"/>
      <c r="G32" s="3607"/>
      <c r="H32" s="3607"/>
      <c r="I32" s="3607"/>
      <c r="J32" s="3607"/>
      <c r="K32" s="3607"/>
      <c r="L32" s="3607"/>
      <c r="M32" s="3607"/>
      <c r="N32" s="3607"/>
      <c r="O32" s="3607"/>
      <c r="P32" s="3607"/>
      <c r="Q32" s="3607"/>
      <c r="R32" s="3607"/>
      <c r="S32" s="3607"/>
      <c r="T32" s="3607"/>
      <c r="U32" s="3607"/>
      <c r="V32" s="3607"/>
      <c r="W32" s="3607"/>
      <c r="X32" s="3607"/>
      <c r="Y32" s="3607"/>
      <c r="Z32" s="3607"/>
      <c r="AA32" s="3607"/>
      <c r="AB32" s="3607"/>
      <c r="AC32" s="3607"/>
      <c r="AD32" s="3607"/>
      <c r="AE32" s="3607"/>
      <c r="AF32" s="3607"/>
      <c r="AG32" s="3607"/>
      <c r="AH32" s="3607"/>
      <c r="AI32" s="64"/>
      <c r="AJ32" s="64"/>
      <c r="AN32" s="64"/>
      <c r="AO32" s="64"/>
      <c r="AQ32" s="3606" t="s">
        <v>1347</v>
      </c>
      <c r="AS32" s="3628">
        <v>11</v>
      </c>
      <c r="AT32" s="3628">
        <v>12</v>
      </c>
      <c r="AU32" s="3628">
        <v>12</v>
      </c>
    </row>
    <row r="33" s="3606" customFormat="1" ht="45.95" customHeight="1" spans="1:47">
      <c r="A33" s="3608"/>
      <c r="C33" s="5059" t="s">
        <v>1348</v>
      </c>
      <c r="D33" s="2146"/>
      <c r="E33" s="2146"/>
      <c r="F33" s="2146"/>
      <c r="G33" s="2146"/>
      <c r="H33" s="2146"/>
      <c r="I33" s="2146"/>
      <c r="J33" s="2146"/>
      <c r="K33" s="2146"/>
      <c r="L33" s="2146"/>
      <c r="M33" s="2146"/>
      <c r="N33" s="2146"/>
      <c r="O33" s="2146"/>
      <c r="P33" s="2146"/>
      <c r="Q33" s="2146"/>
      <c r="R33" s="2146"/>
      <c r="S33" s="2146"/>
      <c r="T33" s="2146"/>
      <c r="U33" s="2146"/>
      <c r="V33" s="2146"/>
      <c r="W33" s="2146"/>
      <c r="X33" s="2146"/>
      <c r="Y33" s="2146"/>
      <c r="Z33" s="2146"/>
      <c r="AA33" s="2146"/>
      <c r="AB33" s="2146"/>
      <c r="AC33" s="2146"/>
      <c r="AD33" s="2146"/>
      <c r="AE33" s="2146"/>
      <c r="AF33" s="2146"/>
      <c r="AG33" s="2146"/>
      <c r="AH33" s="2146"/>
      <c r="AI33" s="2146"/>
      <c r="AJ33" s="2146"/>
      <c r="AK33" s="2146"/>
      <c r="AL33" s="2146"/>
      <c r="AM33" s="2146"/>
      <c r="AN33" s="2146"/>
      <c r="AO33" s="2146"/>
      <c r="AP33" s="2146"/>
      <c r="AQ33" s="3606" t="s">
        <v>1349</v>
      </c>
      <c r="AS33" s="3628">
        <f>+AS31-AS32</f>
        <v>12</v>
      </c>
      <c r="AT33" s="3628">
        <f>+AT31-AT32</f>
        <v>18</v>
      </c>
      <c r="AU33" s="3628">
        <f>+AU31-AU32</f>
        <v>13</v>
      </c>
    </row>
    <row r="34" ht="7.5" customHeight="1" spans="3:34">
      <c r="C34" s="3614"/>
      <c r="D34" s="3614"/>
      <c r="E34" s="3614"/>
      <c r="F34" s="3614"/>
      <c r="G34" s="3614"/>
      <c r="H34" s="3614"/>
      <c r="I34" s="3614"/>
      <c r="J34" s="3614"/>
      <c r="K34" s="3614"/>
      <c r="L34" s="3614"/>
      <c r="M34" s="3614"/>
      <c r="N34" s="3614"/>
      <c r="O34" s="3614"/>
      <c r="P34" s="3614"/>
      <c r="Q34" s="3614"/>
      <c r="R34" s="3614"/>
      <c r="S34" s="3614"/>
      <c r="T34" s="3614"/>
      <c r="U34" s="3614"/>
      <c r="V34" s="3614"/>
      <c r="W34" s="3614"/>
      <c r="X34" s="3614"/>
      <c r="Y34" s="3614"/>
      <c r="Z34" s="3614"/>
      <c r="AA34" s="3614"/>
      <c r="AB34" s="3614"/>
      <c r="AC34" s="3614"/>
      <c r="AD34" s="3614"/>
      <c r="AE34" s="3614"/>
      <c r="AF34" s="3614"/>
      <c r="AG34" s="3614"/>
      <c r="AH34" s="3614"/>
    </row>
    <row r="35" customHeight="1" spans="3:42">
      <c r="C35" s="5060" t="s">
        <v>163</v>
      </c>
      <c r="E35" s="3616" t="s">
        <v>1350</v>
      </c>
      <c r="F35" s="3617"/>
      <c r="G35" s="3617"/>
      <c r="H35" s="3617"/>
      <c r="I35" s="3617"/>
      <c r="J35" s="3617"/>
      <c r="K35" s="3617"/>
      <c r="L35" s="3617"/>
      <c r="M35" s="3617"/>
      <c r="N35" s="3617"/>
      <c r="O35" s="3617"/>
      <c r="P35" s="3617"/>
      <c r="Q35" s="3617"/>
      <c r="R35" s="3617"/>
      <c r="S35" s="3617"/>
      <c r="T35" s="3617"/>
      <c r="U35" s="3617"/>
      <c r="V35" s="3617"/>
      <c r="W35" s="3617"/>
      <c r="X35" s="3617"/>
      <c r="Y35" s="3617"/>
      <c r="Z35" s="3617"/>
      <c r="AA35" s="3617"/>
      <c r="AB35" s="3617"/>
      <c r="AC35" s="3617"/>
      <c r="AD35" s="3617"/>
      <c r="AE35" s="3617"/>
      <c r="AF35" s="3617"/>
      <c r="AG35" s="3617"/>
      <c r="AH35" s="3617"/>
      <c r="AI35" s="2104"/>
      <c r="AJ35" s="2104"/>
      <c r="AK35" s="2104"/>
      <c r="AL35" s="2104"/>
      <c r="AM35" s="2104"/>
      <c r="AN35" s="2104"/>
      <c r="AO35" s="2104"/>
      <c r="AP35" s="2104"/>
    </row>
    <row r="36" ht="7.5" customHeight="1" spans="3:34">
      <c r="C36" s="3614"/>
      <c r="D36" s="3614"/>
      <c r="E36" s="3614"/>
      <c r="F36" s="3614"/>
      <c r="G36" s="3614"/>
      <c r="H36" s="3614"/>
      <c r="I36" s="3614"/>
      <c r="J36" s="3614"/>
      <c r="K36" s="3614"/>
      <c r="L36" s="3614"/>
      <c r="M36" s="3614"/>
      <c r="N36" s="3614"/>
      <c r="O36" s="3614"/>
      <c r="P36" s="3614"/>
      <c r="Q36" s="3614"/>
      <c r="R36" s="3614"/>
      <c r="S36" s="3614"/>
      <c r="T36" s="3614"/>
      <c r="U36" s="3614"/>
      <c r="V36" s="3614"/>
      <c r="W36" s="3614"/>
      <c r="X36" s="3614"/>
      <c r="Y36" s="3614"/>
      <c r="Z36" s="3614"/>
      <c r="AA36" s="3614"/>
      <c r="AB36" s="3614"/>
      <c r="AC36" s="3614"/>
      <c r="AD36" s="3614"/>
      <c r="AE36" s="3614"/>
      <c r="AF36" s="3614"/>
      <c r="AG36" s="3614"/>
      <c r="AH36" s="3614"/>
    </row>
    <row r="37" ht="36.95" customHeight="1" spans="3:44">
      <c r="C37" s="3614"/>
      <c r="D37" s="3614"/>
      <c r="E37" s="5061" t="s">
        <v>1351</v>
      </c>
      <c r="F37" s="3618"/>
      <c r="G37" s="3618"/>
      <c r="H37" s="3618"/>
      <c r="I37" s="3618"/>
      <c r="J37" s="3618"/>
      <c r="K37" s="3618"/>
      <c r="L37" s="3618"/>
      <c r="M37" s="3618"/>
      <c r="N37" s="3618"/>
      <c r="O37" s="3618"/>
      <c r="P37" s="3618"/>
      <c r="Q37" s="3618"/>
      <c r="R37" s="3618"/>
      <c r="S37" s="3618"/>
      <c r="T37" s="3618"/>
      <c r="U37" s="3618"/>
      <c r="V37" s="3618"/>
      <c r="W37" s="3618"/>
      <c r="X37" s="3618"/>
      <c r="Y37" s="3618"/>
      <c r="Z37" s="3618"/>
      <c r="AA37" s="3618"/>
      <c r="AB37" s="3618"/>
      <c r="AC37" s="3618"/>
      <c r="AD37" s="3618"/>
      <c r="AE37" s="3618"/>
      <c r="AF37" s="3618"/>
      <c r="AG37" s="3618"/>
      <c r="AH37" s="3618"/>
      <c r="AI37" s="3618"/>
      <c r="AJ37" s="3618"/>
      <c r="AK37" s="3618"/>
      <c r="AL37" s="3618"/>
      <c r="AM37" s="3618"/>
      <c r="AN37" s="3618"/>
      <c r="AO37" s="3618"/>
      <c r="AP37" s="3618"/>
      <c r="AR37" s="3630"/>
    </row>
    <row r="38" ht="6.6" customHeight="1" spans="3:34">
      <c r="C38" s="3614"/>
      <c r="D38" s="3614"/>
      <c r="E38" s="3614"/>
      <c r="F38" s="3614"/>
      <c r="G38" s="3614"/>
      <c r="H38" s="3614"/>
      <c r="I38" s="3614"/>
      <c r="J38" s="3614"/>
      <c r="K38" s="3614"/>
      <c r="L38" s="3614"/>
      <c r="M38" s="3614"/>
      <c r="N38" s="3614"/>
      <c r="O38" s="3614"/>
      <c r="P38" s="3614"/>
      <c r="Q38" s="3614"/>
      <c r="R38" s="3614"/>
      <c r="S38" s="3614"/>
      <c r="T38" s="3614"/>
      <c r="U38" s="3614"/>
      <c r="V38" s="3614"/>
      <c r="W38" s="3614"/>
      <c r="X38" s="3614"/>
      <c r="Y38" s="3614"/>
      <c r="Z38" s="3614"/>
      <c r="AA38" s="3614"/>
      <c r="AB38" s="3614"/>
      <c r="AC38" s="3614"/>
      <c r="AD38" s="3614"/>
      <c r="AE38" s="3614"/>
      <c r="AF38" s="3614"/>
      <c r="AG38" s="3614"/>
      <c r="AH38" s="3614"/>
    </row>
    <row r="39" ht="22.5" customHeight="1" spans="3:44">
      <c r="C39" s="3614"/>
      <c r="D39" s="3614"/>
      <c r="E39" s="2104" t="s">
        <v>1352</v>
      </c>
      <c r="F39" s="2146"/>
      <c r="G39" s="2146"/>
      <c r="H39" s="2146"/>
      <c r="I39" s="2146"/>
      <c r="J39" s="2146"/>
      <c r="K39" s="2146"/>
      <c r="L39" s="2146"/>
      <c r="M39" s="2146"/>
      <c r="N39" s="2146"/>
      <c r="O39" s="2146"/>
      <c r="P39" s="2146"/>
      <c r="Q39" s="2146"/>
      <c r="R39" s="2146"/>
      <c r="S39" s="2146"/>
      <c r="T39" s="2146"/>
      <c r="U39" s="2146"/>
      <c r="V39" s="2146"/>
      <c r="W39" s="2146"/>
      <c r="X39" s="2146"/>
      <c r="Y39" s="2146"/>
      <c r="Z39" s="2146"/>
      <c r="AA39" s="2146"/>
      <c r="AB39" s="2146"/>
      <c r="AC39" s="2146"/>
      <c r="AD39" s="2146"/>
      <c r="AE39" s="2146"/>
      <c r="AF39" s="2146"/>
      <c r="AG39" s="2146"/>
      <c r="AH39" s="2146"/>
      <c r="AI39" s="2146"/>
      <c r="AJ39" s="2146"/>
      <c r="AK39" s="2146"/>
      <c r="AL39" s="2146"/>
      <c r="AM39" s="2146"/>
      <c r="AN39" s="2146"/>
      <c r="AO39" s="2146"/>
      <c r="AP39" s="2146"/>
      <c r="AR39" s="3630"/>
    </row>
    <row r="40" ht="6.6" customHeight="1" spans="3:44">
      <c r="C40" s="3614"/>
      <c r="D40" s="3614"/>
      <c r="E40" s="2146"/>
      <c r="F40" s="2146"/>
      <c r="G40" s="2146"/>
      <c r="H40" s="2146"/>
      <c r="I40" s="2146"/>
      <c r="J40" s="2146"/>
      <c r="K40" s="2146"/>
      <c r="L40" s="2146"/>
      <c r="M40" s="2146"/>
      <c r="N40" s="2146"/>
      <c r="O40" s="2146"/>
      <c r="P40" s="2146"/>
      <c r="Q40" s="2146"/>
      <c r="R40" s="2146"/>
      <c r="S40" s="2146"/>
      <c r="T40" s="2146"/>
      <c r="U40" s="2146"/>
      <c r="V40" s="2146"/>
      <c r="W40" s="2146"/>
      <c r="X40" s="2146"/>
      <c r="Y40" s="2146"/>
      <c r="Z40" s="2146"/>
      <c r="AA40" s="2146"/>
      <c r="AB40" s="2146"/>
      <c r="AC40" s="2146"/>
      <c r="AD40" s="2146"/>
      <c r="AE40" s="2146"/>
      <c r="AF40" s="2146"/>
      <c r="AG40" s="2146"/>
      <c r="AH40" s="2146"/>
      <c r="AI40" s="2146"/>
      <c r="AJ40" s="2146"/>
      <c r="AK40" s="2146"/>
      <c r="AL40" s="2146"/>
      <c r="AM40" s="2146"/>
      <c r="AN40" s="2146"/>
      <c r="AO40" s="2146"/>
      <c r="AP40" s="2146"/>
      <c r="AR40" s="3630"/>
    </row>
    <row r="41" ht="23.1" customHeight="1" spans="3:44">
      <c r="C41" s="3614"/>
      <c r="D41" s="3614"/>
      <c r="E41" s="2104" t="s">
        <v>1353</v>
      </c>
      <c r="F41" s="2146"/>
      <c r="G41" s="2146"/>
      <c r="H41" s="2146"/>
      <c r="I41" s="2146"/>
      <c r="J41" s="2146"/>
      <c r="K41" s="2146"/>
      <c r="L41" s="2146"/>
      <c r="M41" s="2146"/>
      <c r="N41" s="2146"/>
      <c r="O41" s="2146"/>
      <c r="P41" s="2146"/>
      <c r="Q41" s="2146"/>
      <c r="R41" s="2146"/>
      <c r="S41" s="2146"/>
      <c r="T41" s="2146"/>
      <c r="U41" s="2146"/>
      <c r="V41" s="2146"/>
      <c r="W41" s="2146"/>
      <c r="X41" s="2146"/>
      <c r="Y41" s="2146"/>
      <c r="Z41" s="2146"/>
      <c r="AA41" s="2146"/>
      <c r="AB41" s="2146"/>
      <c r="AC41" s="2146"/>
      <c r="AD41" s="2146"/>
      <c r="AE41" s="2146"/>
      <c r="AF41" s="2146"/>
      <c r="AG41" s="2146"/>
      <c r="AH41" s="2146"/>
      <c r="AI41" s="2146"/>
      <c r="AJ41" s="2146"/>
      <c r="AK41" s="2146"/>
      <c r="AL41" s="2146"/>
      <c r="AM41" s="2146"/>
      <c r="AN41" s="2146"/>
      <c r="AO41" s="2146"/>
      <c r="AP41" s="2146"/>
      <c r="AR41" s="3630"/>
    </row>
    <row r="42" ht="5.45" customHeight="1" spans="3:44">
      <c r="C42" s="3614"/>
      <c r="D42" s="3614"/>
      <c r="E42" s="2146"/>
      <c r="F42" s="2146"/>
      <c r="G42" s="2146"/>
      <c r="H42" s="2146"/>
      <c r="I42" s="2146"/>
      <c r="J42" s="2146"/>
      <c r="K42" s="2146"/>
      <c r="L42" s="2146"/>
      <c r="M42" s="2146"/>
      <c r="N42" s="2146"/>
      <c r="O42" s="2146"/>
      <c r="P42" s="2146"/>
      <c r="Q42" s="2146"/>
      <c r="R42" s="2146"/>
      <c r="S42" s="2146"/>
      <c r="T42" s="2146"/>
      <c r="U42" s="2146"/>
      <c r="V42" s="2146"/>
      <c r="W42" s="2146"/>
      <c r="X42" s="2146"/>
      <c r="Y42" s="2146"/>
      <c r="Z42" s="2146"/>
      <c r="AA42" s="2146"/>
      <c r="AB42" s="2146"/>
      <c r="AC42" s="2146"/>
      <c r="AD42" s="2146"/>
      <c r="AE42" s="2146"/>
      <c r="AF42" s="2146"/>
      <c r="AG42" s="2146"/>
      <c r="AH42" s="2146"/>
      <c r="AI42" s="2146"/>
      <c r="AJ42" s="2146"/>
      <c r="AK42" s="2146"/>
      <c r="AL42" s="2146"/>
      <c r="AM42" s="2146"/>
      <c r="AN42" s="2146"/>
      <c r="AO42" s="2146"/>
      <c r="AP42" s="2146"/>
      <c r="AR42" s="3630"/>
    </row>
    <row r="43" ht="33.95" customHeight="1" spans="3:44">
      <c r="C43" s="3614"/>
      <c r="D43" s="3614"/>
      <c r="E43" s="2104" t="s">
        <v>1354</v>
      </c>
      <c r="F43" s="2146"/>
      <c r="G43" s="2146"/>
      <c r="H43" s="2146"/>
      <c r="I43" s="2146"/>
      <c r="J43" s="2146"/>
      <c r="K43" s="2146"/>
      <c r="L43" s="2146"/>
      <c r="M43" s="2146"/>
      <c r="N43" s="2146"/>
      <c r="O43" s="2146"/>
      <c r="P43" s="2146"/>
      <c r="Q43" s="2146"/>
      <c r="R43" s="2146"/>
      <c r="S43" s="2146"/>
      <c r="T43" s="2146"/>
      <c r="U43" s="2146"/>
      <c r="V43" s="2146"/>
      <c r="W43" s="2146"/>
      <c r="X43" s="2146"/>
      <c r="Y43" s="2146"/>
      <c r="Z43" s="2146"/>
      <c r="AA43" s="2146"/>
      <c r="AB43" s="2146"/>
      <c r="AC43" s="2146"/>
      <c r="AD43" s="2146"/>
      <c r="AE43" s="2146"/>
      <c r="AF43" s="2146"/>
      <c r="AG43" s="2146"/>
      <c r="AH43" s="2146"/>
      <c r="AI43" s="2146"/>
      <c r="AJ43" s="2146"/>
      <c r="AK43" s="2146"/>
      <c r="AL43" s="2146"/>
      <c r="AM43" s="2146"/>
      <c r="AN43" s="2146"/>
      <c r="AO43" s="2146"/>
      <c r="AP43" s="2146"/>
      <c r="AR43" s="3630"/>
    </row>
    <row r="44" customHeight="1" spans="3:44">
      <c r="C44" s="3614"/>
      <c r="D44" s="3614"/>
      <c r="E44" s="3341"/>
      <c r="F44" s="3341"/>
      <c r="G44" s="3341"/>
      <c r="H44" s="3341"/>
      <c r="I44" s="3341"/>
      <c r="J44" s="3341"/>
      <c r="K44" s="3341"/>
      <c r="L44" s="3341"/>
      <c r="M44" s="3341"/>
      <c r="N44" s="3341"/>
      <c r="O44" s="3341"/>
      <c r="P44" s="3341"/>
      <c r="Q44" s="3341"/>
      <c r="R44" s="3341"/>
      <c r="S44" s="3341"/>
      <c r="T44" s="3341"/>
      <c r="U44" s="3341"/>
      <c r="V44" s="3341"/>
      <c r="W44" s="3341"/>
      <c r="X44" s="3341"/>
      <c r="Y44" s="3341"/>
      <c r="Z44" s="3341"/>
      <c r="AA44" s="3341"/>
      <c r="AB44" s="3341"/>
      <c r="AC44" s="3341"/>
      <c r="AD44" s="3341"/>
      <c r="AE44" s="3341"/>
      <c r="AF44" s="3341"/>
      <c r="AG44" s="3341"/>
      <c r="AH44" s="3341"/>
      <c r="AI44" s="3341"/>
      <c r="AJ44" s="3341"/>
      <c r="AK44" s="3341"/>
      <c r="AL44" s="3341"/>
      <c r="AM44" s="3341"/>
      <c r="AN44" s="3341"/>
      <c r="AO44" s="3341"/>
      <c r="AP44" s="3341"/>
      <c r="AR44" s="3630"/>
    </row>
    <row r="45" s="3606" customFormat="1" customHeight="1" spans="3:44">
      <c r="C45" s="3614"/>
      <c r="D45" s="3614"/>
      <c r="E45" s="3341"/>
      <c r="F45" s="3341"/>
      <c r="G45" s="3341"/>
      <c r="H45" s="3341"/>
      <c r="I45" s="3341"/>
      <c r="J45" s="3341"/>
      <c r="K45" s="3341"/>
      <c r="L45" s="3341"/>
      <c r="M45" s="3341"/>
      <c r="N45" s="3341"/>
      <c r="O45" s="3341"/>
      <c r="P45" s="3341"/>
      <c r="Q45" s="3341"/>
      <c r="R45" s="3341"/>
      <c r="S45" s="3341"/>
      <c r="T45" s="3341"/>
      <c r="U45" s="3341"/>
      <c r="V45" s="3341"/>
      <c r="W45" s="3341"/>
      <c r="X45" s="3341"/>
      <c r="Y45" s="3341"/>
      <c r="Z45" s="3341"/>
      <c r="AA45" s="3341"/>
      <c r="AB45" s="3341"/>
      <c r="AC45" s="3341"/>
      <c r="AD45" s="3341"/>
      <c r="AE45" s="3341"/>
      <c r="AF45" s="3341"/>
      <c r="AG45" s="3341"/>
      <c r="AH45" s="3341"/>
      <c r="AI45" s="3341"/>
      <c r="AJ45" s="3341"/>
      <c r="AK45" s="3341"/>
      <c r="AL45" s="3341"/>
      <c r="AM45" s="3341"/>
      <c r="AN45" s="3341"/>
      <c r="AO45" s="3341"/>
      <c r="AP45" s="3341"/>
      <c r="AR45" s="3630"/>
    </row>
    <row r="46" customHeight="1" spans="1:44">
      <c r="A46" s="3608">
        <f>A31</f>
        <v>2</v>
      </c>
      <c r="C46" s="3607" t="s">
        <v>1355</v>
      </c>
      <c r="D46" s="3607"/>
      <c r="E46" s="3607"/>
      <c r="F46" s="3607"/>
      <c r="G46" s="3607"/>
      <c r="H46" s="3607"/>
      <c r="I46" s="3607"/>
      <c r="J46" s="3607"/>
      <c r="K46" s="3607"/>
      <c r="L46" s="3607"/>
      <c r="M46" s="3607"/>
      <c r="N46" s="3607"/>
      <c r="O46" s="3607"/>
      <c r="P46" s="3607"/>
      <c r="Q46" s="3607"/>
      <c r="R46" s="3607"/>
      <c r="S46" s="3607"/>
      <c r="T46" s="3607"/>
      <c r="U46" s="3607"/>
      <c r="V46" s="3607"/>
      <c r="W46" s="3607"/>
      <c r="X46" s="3607"/>
      <c r="Y46" s="3607"/>
      <c r="Z46" s="3607"/>
      <c r="AA46" s="3607"/>
      <c r="AB46" s="3607"/>
      <c r="AC46" s="3607"/>
      <c r="AD46" s="3607"/>
      <c r="AE46" s="3607"/>
      <c r="AF46" s="3607"/>
      <c r="AG46" s="3607"/>
      <c r="AH46" s="3607"/>
      <c r="AI46" s="3341"/>
      <c r="AJ46" s="3341"/>
      <c r="AK46" s="3341"/>
      <c r="AL46" s="3341"/>
      <c r="AM46" s="3341"/>
      <c r="AN46" s="3341"/>
      <c r="AO46" s="3341"/>
      <c r="AP46" s="3341"/>
      <c r="AR46" s="3630"/>
    </row>
    <row r="47" ht="9.2" customHeight="1" spans="1:44">
      <c r="A47" s="3608"/>
      <c r="C47" s="3619"/>
      <c r="D47" s="3619"/>
      <c r="E47" s="3619"/>
      <c r="F47" s="3619"/>
      <c r="G47" s="3619"/>
      <c r="H47" s="3619"/>
      <c r="I47" s="3619"/>
      <c r="J47" s="3619"/>
      <c r="K47" s="3619"/>
      <c r="L47" s="3619"/>
      <c r="M47" s="3619"/>
      <c r="N47" s="3619"/>
      <c r="O47" s="3619"/>
      <c r="P47" s="3619"/>
      <c r="Q47" s="3619"/>
      <c r="R47" s="3619"/>
      <c r="S47" s="3619"/>
      <c r="T47" s="3619"/>
      <c r="U47" s="3619"/>
      <c r="V47" s="3619"/>
      <c r="W47" s="3619"/>
      <c r="X47" s="3619"/>
      <c r="Y47" s="3619"/>
      <c r="Z47" s="3619"/>
      <c r="AA47" s="3619"/>
      <c r="AB47" s="3619"/>
      <c r="AC47" s="3619"/>
      <c r="AD47" s="3619"/>
      <c r="AE47" s="3619"/>
      <c r="AF47" s="3619"/>
      <c r="AG47" s="3619"/>
      <c r="AH47" s="3619"/>
      <c r="AI47" s="3341"/>
      <c r="AJ47" s="3341"/>
      <c r="AK47" s="3341"/>
      <c r="AL47" s="3341"/>
      <c r="AM47" s="3341"/>
      <c r="AN47" s="3341"/>
      <c r="AO47" s="3341"/>
      <c r="AP47" s="3341"/>
      <c r="AR47" s="3630"/>
    </row>
    <row r="48" spans="3:44">
      <c r="C48" s="5062" t="s">
        <v>142</v>
      </c>
      <c r="E48" s="3621" t="s">
        <v>1356</v>
      </c>
      <c r="F48" s="3622"/>
      <c r="G48" s="3622"/>
      <c r="H48" s="3622"/>
      <c r="I48" s="3622"/>
      <c r="J48" s="3622"/>
      <c r="K48" s="3622"/>
      <c r="L48" s="3622"/>
      <c r="M48" s="3622"/>
      <c r="N48" s="3622"/>
      <c r="O48" s="3622"/>
      <c r="P48" s="3622"/>
      <c r="Q48" s="3622"/>
      <c r="R48" s="3622"/>
      <c r="S48" s="3622"/>
      <c r="T48" s="3622"/>
      <c r="U48" s="3622"/>
      <c r="V48" s="3622"/>
      <c r="W48" s="3622"/>
      <c r="X48" s="3622"/>
      <c r="Y48" s="3622"/>
      <c r="Z48" s="3622"/>
      <c r="AA48" s="3622"/>
      <c r="AB48" s="3622"/>
      <c r="AC48" s="3622"/>
      <c r="AD48" s="3622"/>
      <c r="AE48" s="3622"/>
      <c r="AF48" s="3622"/>
      <c r="AG48" s="3622"/>
      <c r="AH48" s="3622"/>
      <c r="AI48" s="2623"/>
      <c r="AJ48" s="2623"/>
      <c r="AK48" s="2623"/>
      <c r="AL48" s="2623"/>
      <c r="AM48" s="2623"/>
      <c r="AN48" s="2623"/>
      <c r="AO48" s="2623"/>
      <c r="AP48" s="2623"/>
      <c r="AR48" s="3630"/>
    </row>
    <row r="49" ht="9.2" customHeight="1" spans="3:44">
      <c r="C49" s="3614"/>
      <c r="D49" s="3614"/>
      <c r="E49" s="3341"/>
      <c r="F49" s="3341"/>
      <c r="G49" s="3341"/>
      <c r="H49" s="3341"/>
      <c r="I49" s="3341"/>
      <c r="J49" s="3341"/>
      <c r="K49" s="3341"/>
      <c r="L49" s="3341"/>
      <c r="M49" s="3341"/>
      <c r="N49" s="3341"/>
      <c r="O49" s="3341"/>
      <c r="P49" s="3341"/>
      <c r="Q49" s="3341"/>
      <c r="R49" s="3341"/>
      <c r="S49" s="3341"/>
      <c r="T49" s="3341"/>
      <c r="U49" s="3341"/>
      <c r="V49" s="3341"/>
      <c r="W49" s="3341"/>
      <c r="X49" s="3341"/>
      <c r="Y49" s="3341"/>
      <c r="Z49" s="3341"/>
      <c r="AA49" s="3341"/>
      <c r="AB49" s="3341"/>
      <c r="AC49" s="3341"/>
      <c r="AD49" s="3341"/>
      <c r="AE49" s="3341"/>
      <c r="AF49" s="3341"/>
      <c r="AG49" s="3341"/>
      <c r="AH49" s="3341"/>
      <c r="AI49" s="3341"/>
      <c r="AJ49" s="3341"/>
      <c r="AK49" s="3341"/>
      <c r="AL49" s="3341"/>
      <c r="AM49" s="3341"/>
      <c r="AN49" s="3341"/>
      <c r="AO49" s="3341"/>
      <c r="AP49" s="3341"/>
      <c r="AR49" s="3630"/>
    </row>
    <row r="50" customHeight="1" spans="3:44">
      <c r="C50" s="3614"/>
      <c r="D50" s="3614"/>
      <c r="E50" s="3623" t="s">
        <v>1357</v>
      </c>
      <c r="F50" s="3623"/>
      <c r="G50" s="3341"/>
      <c r="H50" s="3341"/>
      <c r="I50" s="3341"/>
      <c r="J50" s="3341"/>
      <c r="K50" s="3341"/>
      <c r="L50" s="3341"/>
      <c r="M50" s="3341"/>
      <c r="N50" s="3341"/>
      <c r="O50" s="3341"/>
      <c r="P50" s="3341"/>
      <c r="Q50" s="3341"/>
      <c r="R50" s="3341"/>
      <c r="S50" s="3341"/>
      <c r="T50" s="3341"/>
      <c r="U50" s="3341"/>
      <c r="V50" s="3341"/>
      <c r="W50" s="3341"/>
      <c r="X50" s="3341"/>
      <c r="Y50" s="3341"/>
      <c r="Z50" s="3341"/>
      <c r="AA50" s="3341"/>
      <c r="AB50" s="3341"/>
      <c r="AC50" s="3341"/>
      <c r="AD50" s="3341"/>
      <c r="AE50" s="3341"/>
      <c r="AF50" s="3341"/>
      <c r="AG50" s="3341"/>
      <c r="AH50" s="3341"/>
      <c r="AI50" s="3341"/>
      <c r="AJ50" s="3341"/>
      <c r="AK50" s="3341"/>
      <c r="AL50" s="3341"/>
      <c r="AM50" s="3341"/>
      <c r="AN50" s="3341"/>
      <c r="AO50" s="3341"/>
      <c r="AP50" s="3341"/>
      <c r="AR50" s="3630"/>
    </row>
    <row r="51" s="3606" customFormat="1" ht="6.95" customHeight="1" spans="3:44">
      <c r="C51" s="3614"/>
      <c r="D51" s="3614"/>
      <c r="E51" s="3623"/>
      <c r="F51" s="3623"/>
      <c r="G51" s="3341"/>
      <c r="H51" s="3341"/>
      <c r="I51" s="3341"/>
      <c r="J51" s="3341"/>
      <c r="K51" s="3341"/>
      <c r="L51" s="3341"/>
      <c r="M51" s="3341"/>
      <c r="N51" s="3341"/>
      <c r="O51" s="3341"/>
      <c r="P51" s="3341"/>
      <c r="Q51" s="3341"/>
      <c r="R51" s="3341"/>
      <c r="S51" s="3341"/>
      <c r="T51" s="3341"/>
      <c r="U51" s="3341"/>
      <c r="V51" s="3341"/>
      <c r="W51" s="3341"/>
      <c r="X51" s="3341"/>
      <c r="Y51" s="3341"/>
      <c r="Z51" s="3341"/>
      <c r="AA51" s="3341"/>
      <c r="AB51" s="3341"/>
      <c r="AC51" s="3341"/>
      <c r="AD51" s="3341"/>
      <c r="AE51" s="3341"/>
      <c r="AF51" s="3341"/>
      <c r="AG51" s="3341"/>
      <c r="AH51" s="3341"/>
      <c r="AI51" s="3341"/>
      <c r="AJ51" s="3341"/>
      <c r="AK51" s="3341"/>
      <c r="AL51" s="3341"/>
      <c r="AM51" s="3341"/>
      <c r="AN51" s="3341"/>
      <c r="AO51" s="3341"/>
      <c r="AP51" s="3341"/>
      <c r="AR51" s="3630"/>
    </row>
    <row r="52" customHeight="1" spans="3:44">
      <c r="C52" s="3614"/>
      <c r="D52" s="3614"/>
      <c r="E52" s="3623" t="s">
        <v>163</v>
      </c>
      <c r="G52" s="3623" t="s">
        <v>1358</v>
      </c>
      <c r="H52" s="3341"/>
      <c r="I52" s="3341"/>
      <c r="J52" s="3341"/>
      <c r="K52" s="3341"/>
      <c r="L52" s="3341"/>
      <c r="M52" s="3341"/>
      <c r="N52" s="3341"/>
      <c r="O52" s="3341"/>
      <c r="P52" s="3341"/>
      <c r="Q52" s="3341"/>
      <c r="R52" s="3341"/>
      <c r="S52" s="3341"/>
      <c r="T52" s="3341"/>
      <c r="U52" s="3341"/>
      <c r="V52" s="3341"/>
      <c r="W52" s="3341"/>
      <c r="X52" s="3341"/>
      <c r="Y52" s="3341"/>
      <c r="Z52" s="3341"/>
      <c r="AA52" s="3341"/>
      <c r="AB52" s="3341"/>
      <c r="AC52" s="3341"/>
      <c r="AD52" s="3341"/>
      <c r="AE52" s="3341"/>
      <c r="AF52" s="3341"/>
      <c r="AG52" s="3341"/>
      <c r="AH52" s="3341"/>
      <c r="AI52" s="3341"/>
      <c r="AJ52" s="3341"/>
      <c r="AK52" s="3341"/>
      <c r="AL52" s="3341"/>
      <c r="AM52" s="3341"/>
      <c r="AN52" s="3341"/>
      <c r="AO52" s="3341"/>
      <c r="AP52" s="3341"/>
      <c r="AR52" s="3630"/>
    </row>
    <row r="53" customHeight="1" spans="3:44">
      <c r="C53" s="3614"/>
      <c r="D53" s="3614"/>
      <c r="E53" s="3623" t="s">
        <v>182</v>
      </c>
      <c r="G53" s="3623" t="s">
        <v>1359</v>
      </c>
      <c r="H53" s="3341"/>
      <c r="I53" s="3341"/>
      <c r="J53" s="3341"/>
      <c r="K53" s="3341"/>
      <c r="L53" s="3341"/>
      <c r="M53" s="3341"/>
      <c r="N53" s="3341"/>
      <c r="O53" s="3341"/>
      <c r="P53" s="3341"/>
      <c r="Q53" s="3341"/>
      <c r="R53" s="3341"/>
      <c r="S53" s="3341"/>
      <c r="T53" s="3341"/>
      <c r="U53" s="3341"/>
      <c r="V53" s="3341"/>
      <c r="W53" s="3341"/>
      <c r="X53" s="3341"/>
      <c r="Y53" s="3341"/>
      <c r="Z53" s="3341"/>
      <c r="AA53" s="3341"/>
      <c r="AB53" s="3341"/>
      <c r="AC53" s="3341"/>
      <c r="AD53" s="3341"/>
      <c r="AE53" s="3341"/>
      <c r="AF53" s="3341"/>
      <c r="AG53" s="3341"/>
      <c r="AH53" s="3341"/>
      <c r="AI53" s="3341"/>
      <c r="AJ53" s="3341"/>
      <c r="AK53" s="3341"/>
      <c r="AL53" s="3341"/>
      <c r="AM53" s="3341"/>
      <c r="AN53" s="3341"/>
      <c r="AO53" s="3341"/>
      <c r="AP53" s="3341"/>
      <c r="AR53" s="3630"/>
    </row>
    <row r="54" customHeight="1" spans="3:44">
      <c r="C54" s="3614"/>
      <c r="D54" s="3614"/>
      <c r="E54" s="3623" t="s">
        <v>184</v>
      </c>
      <c r="G54" s="3623" t="s">
        <v>1360</v>
      </c>
      <c r="H54" s="3341"/>
      <c r="I54" s="3341"/>
      <c r="J54" s="3341"/>
      <c r="K54" s="3341"/>
      <c r="L54" s="3341"/>
      <c r="M54" s="3341"/>
      <c r="N54" s="3341"/>
      <c r="O54" s="3341"/>
      <c r="P54" s="3341"/>
      <c r="Q54" s="3341"/>
      <c r="R54" s="3341"/>
      <c r="S54" s="3341"/>
      <c r="T54" s="3341"/>
      <c r="U54" s="3341"/>
      <c r="V54" s="3341"/>
      <c r="W54" s="3341"/>
      <c r="X54" s="3341"/>
      <c r="Y54" s="3341"/>
      <c r="Z54" s="3341"/>
      <c r="AA54" s="3341"/>
      <c r="AB54" s="3341"/>
      <c r="AC54" s="3341"/>
      <c r="AD54" s="3341"/>
      <c r="AE54" s="3341"/>
      <c r="AF54" s="3341"/>
      <c r="AG54" s="3341"/>
      <c r="AH54" s="3341"/>
      <c r="AI54" s="3341"/>
      <c r="AJ54" s="3341"/>
      <c r="AK54" s="3341"/>
      <c r="AL54" s="3341"/>
      <c r="AM54" s="3341"/>
      <c r="AN54" s="3341"/>
      <c r="AO54" s="3341"/>
      <c r="AP54" s="3341"/>
      <c r="AR54" s="3630"/>
    </row>
    <row r="55" customHeight="1" spans="3:44">
      <c r="C55" s="3614"/>
      <c r="D55" s="3614"/>
      <c r="E55" s="3623" t="s">
        <v>192</v>
      </c>
      <c r="G55" s="3623" t="s">
        <v>1361</v>
      </c>
      <c r="H55" s="3341"/>
      <c r="I55" s="3341"/>
      <c r="J55" s="3341"/>
      <c r="K55" s="3341"/>
      <c r="L55" s="3341"/>
      <c r="M55" s="3341"/>
      <c r="N55" s="3341"/>
      <c r="O55" s="3341"/>
      <c r="P55" s="3341"/>
      <c r="Q55" s="3341"/>
      <c r="R55" s="3341"/>
      <c r="S55" s="3341"/>
      <c r="T55" s="3341"/>
      <c r="U55" s="3341"/>
      <c r="V55" s="3341"/>
      <c r="W55" s="3341"/>
      <c r="X55" s="3341"/>
      <c r="Y55" s="3341"/>
      <c r="Z55" s="3341"/>
      <c r="AA55" s="3341"/>
      <c r="AB55" s="3341"/>
      <c r="AC55" s="3341"/>
      <c r="AD55" s="3341"/>
      <c r="AE55" s="3341"/>
      <c r="AF55" s="3341"/>
      <c r="AG55" s="3341"/>
      <c r="AH55" s="3341"/>
      <c r="AI55" s="3341"/>
      <c r="AJ55" s="3341"/>
      <c r="AK55" s="3341"/>
      <c r="AL55" s="3341"/>
      <c r="AM55" s="3341"/>
      <c r="AN55" s="3341"/>
      <c r="AO55" s="3341"/>
      <c r="AP55" s="3341"/>
      <c r="AR55" s="3630"/>
    </row>
    <row r="56" customHeight="1" spans="3:44">
      <c r="C56" s="3614"/>
      <c r="D56" s="3614"/>
      <c r="E56" s="3623" t="s">
        <v>1362</v>
      </c>
      <c r="G56" s="3623" t="s">
        <v>1363</v>
      </c>
      <c r="H56" s="3341"/>
      <c r="I56" s="3341"/>
      <c r="J56" s="3341"/>
      <c r="K56" s="3341"/>
      <c r="L56" s="3341"/>
      <c r="M56" s="3341"/>
      <c r="N56" s="3341"/>
      <c r="O56" s="3341"/>
      <c r="P56" s="3341"/>
      <c r="Q56" s="3341"/>
      <c r="R56" s="3341"/>
      <c r="S56" s="3341"/>
      <c r="T56" s="3341"/>
      <c r="U56" s="3341"/>
      <c r="V56" s="3341"/>
      <c r="W56" s="3341"/>
      <c r="X56" s="3341"/>
      <c r="Y56" s="3341"/>
      <c r="Z56" s="3341"/>
      <c r="AA56" s="3341"/>
      <c r="AB56" s="3341"/>
      <c r="AC56" s="3341"/>
      <c r="AD56" s="3341"/>
      <c r="AE56" s="3341"/>
      <c r="AF56" s="3341"/>
      <c r="AG56" s="3341"/>
      <c r="AH56" s="3341"/>
      <c r="AI56" s="3341"/>
      <c r="AJ56" s="3341"/>
      <c r="AK56" s="3341"/>
      <c r="AL56" s="3341"/>
      <c r="AM56" s="3341"/>
      <c r="AN56" s="3341"/>
      <c r="AO56" s="3341"/>
      <c r="AP56" s="3341"/>
      <c r="AR56" s="3630"/>
    </row>
    <row r="57" customHeight="1" spans="3:44">
      <c r="C57" s="3614"/>
      <c r="D57" s="3614"/>
      <c r="E57" s="3623" t="s">
        <v>1364</v>
      </c>
      <c r="G57" s="3623" t="s">
        <v>1365</v>
      </c>
      <c r="H57" s="3341"/>
      <c r="I57" s="3341"/>
      <c r="J57" s="3341"/>
      <c r="K57" s="3341"/>
      <c r="L57" s="3341"/>
      <c r="M57" s="3341"/>
      <c r="N57" s="3341"/>
      <c r="O57" s="3341"/>
      <c r="P57" s="3341"/>
      <c r="Q57" s="3341"/>
      <c r="R57" s="3341"/>
      <c r="S57" s="3341"/>
      <c r="T57" s="3341"/>
      <c r="U57" s="3341"/>
      <c r="V57" s="3341"/>
      <c r="W57" s="3341"/>
      <c r="X57" s="3341"/>
      <c r="Y57" s="3341"/>
      <c r="Z57" s="3341"/>
      <c r="AA57" s="3341"/>
      <c r="AB57" s="3341"/>
      <c r="AC57" s="3341"/>
      <c r="AD57" s="3341"/>
      <c r="AE57" s="3341"/>
      <c r="AF57" s="3341"/>
      <c r="AG57" s="3341"/>
      <c r="AH57" s="3341"/>
      <c r="AI57" s="3341"/>
      <c r="AJ57" s="3341"/>
      <c r="AK57" s="3341"/>
      <c r="AL57" s="3341"/>
      <c r="AM57" s="3341"/>
      <c r="AN57" s="3341"/>
      <c r="AO57" s="3341"/>
      <c r="AP57" s="3341"/>
      <c r="AR57" s="3630"/>
    </row>
    <row r="58" customHeight="1" spans="3:44">
      <c r="C58" s="3614"/>
      <c r="D58" s="3614"/>
      <c r="E58" s="3623" t="s">
        <v>1366</v>
      </c>
      <c r="G58" s="3623" t="s">
        <v>1367</v>
      </c>
      <c r="H58" s="3341"/>
      <c r="I58" s="3341"/>
      <c r="J58" s="3341"/>
      <c r="K58" s="3341"/>
      <c r="L58" s="3341"/>
      <c r="M58" s="3341"/>
      <c r="N58" s="3341"/>
      <c r="O58" s="3341"/>
      <c r="P58" s="3341"/>
      <c r="Q58" s="3341"/>
      <c r="R58" s="3341"/>
      <c r="S58" s="3341"/>
      <c r="T58" s="3341"/>
      <c r="U58" s="3341"/>
      <c r="V58" s="3341"/>
      <c r="W58" s="3341"/>
      <c r="X58" s="3341"/>
      <c r="Y58" s="3341"/>
      <c r="Z58" s="3341"/>
      <c r="AA58" s="3341"/>
      <c r="AB58" s="3341"/>
      <c r="AC58" s="3341"/>
      <c r="AD58" s="3341"/>
      <c r="AE58" s="3341"/>
      <c r="AF58" s="3341"/>
      <c r="AG58" s="3341"/>
      <c r="AH58" s="3341"/>
      <c r="AI58" s="3341"/>
      <c r="AJ58" s="3341"/>
      <c r="AK58" s="3341"/>
      <c r="AL58" s="3341"/>
      <c r="AM58" s="3341"/>
      <c r="AN58" s="3341"/>
      <c r="AO58" s="3341"/>
      <c r="AP58" s="3341"/>
      <c r="AR58" s="3630"/>
    </row>
    <row r="59" customHeight="1" spans="3:44">
      <c r="C59" s="3614"/>
      <c r="D59" s="3614"/>
      <c r="E59" s="3623" t="s">
        <v>1368</v>
      </c>
      <c r="G59" s="3623" t="s">
        <v>1369</v>
      </c>
      <c r="H59" s="3341"/>
      <c r="I59" s="3341"/>
      <c r="J59" s="3341"/>
      <c r="K59" s="3341"/>
      <c r="L59" s="3341"/>
      <c r="M59" s="3341"/>
      <c r="N59" s="3341"/>
      <c r="O59" s="3341"/>
      <c r="P59" s="3341"/>
      <c r="Q59" s="3341"/>
      <c r="R59" s="3341"/>
      <c r="S59" s="3341"/>
      <c r="T59" s="3341"/>
      <c r="U59" s="3341"/>
      <c r="V59" s="3341"/>
      <c r="W59" s="3341"/>
      <c r="X59" s="3341"/>
      <c r="Y59" s="3341"/>
      <c r="Z59" s="3341"/>
      <c r="AA59" s="3341"/>
      <c r="AB59" s="3341"/>
      <c r="AC59" s="3341"/>
      <c r="AD59" s="3341"/>
      <c r="AE59" s="3341"/>
      <c r="AF59" s="3341"/>
      <c r="AG59" s="3341"/>
      <c r="AH59" s="3341"/>
      <c r="AI59" s="3341"/>
      <c r="AJ59" s="3341"/>
      <c r="AK59" s="3341"/>
      <c r="AL59" s="3341"/>
      <c r="AM59" s="3341"/>
      <c r="AN59" s="3341"/>
      <c r="AO59" s="3341"/>
      <c r="AP59" s="3341"/>
      <c r="AR59" s="3630"/>
    </row>
    <row r="60" customHeight="1" spans="3:44">
      <c r="C60" s="3614"/>
      <c r="D60" s="3614"/>
      <c r="E60" s="3623" t="s">
        <v>1370</v>
      </c>
      <c r="G60" s="3623" t="s">
        <v>1371</v>
      </c>
      <c r="H60" s="3341"/>
      <c r="I60" s="3341"/>
      <c r="J60" s="3341"/>
      <c r="K60" s="3341"/>
      <c r="L60" s="3341"/>
      <c r="M60" s="3341"/>
      <c r="N60" s="3341"/>
      <c r="O60" s="3341"/>
      <c r="P60" s="3341"/>
      <c r="Q60" s="3341"/>
      <c r="R60" s="3341"/>
      <c r="S60" s="3341"/>
      <c r="T60" s="3341"/>
      <c r="U60" s="3341"/>
      <c r="V60" s="3341"/>
      <c r="W60" s="3341"/>
      <c r="X60" s="3341"/>
      <c r="Y60" s="3341"/>
      <c r="Z60" s="3341"/>
      <c r="AA60" s="3341"/>
      <c r="AB60" s="3341"/>
      <c r="AC60" s="3341"/>
      <c r="AD60" s="3341"/>
      <c r="AE60" s="3341"/>
      <c r="AF60" s="3341"/>
      <c r="AG60" s="3341"/>
      <c r="AH60" s="3341"/>
      <c r="AI60" s="3341"/>
      <c r="AJ60" s="3341"/>
      <c r="AK60" s="3341"/>
      <c r="AL60" s="3341"/>
      <c r="AM60" s="3341"/>
      <c r="AN60" s="3341"/>
      <c r="AO60" s="3341"/>
      <c r="AP60" s="3341"/>
      <c r="AR60" s="3630"/>
    </row>
    <row r="61" customHeight="1" spans="3:44">
      <c r="C61" s="3614"/>
      <c r="D61" s="3614"/>
      <c r="E61" s="3623" t="s">
        <v>1372</v>
      </c>
      <c r="G61" s="3623" t="s">
        <v>1373</v>
      </c>
      <c r="H61" s="3341"/>
      <c r="I61" s="3341"/>
      <c r="J61" s="3341"/>
      <c r="K61" s="3341"/>
      <c r="L61" s="3341"/>
      <c r="M61" s="3341"/>
      <c r="N61" s="3341"/>
      <c r="O61" s="3341"/>
      <c r="P61" s="3341"/>
      <c r="Q61" s="3341"/>
      <c r="R61" s="3341"/>
      <c r="S61" s="3341"/>
      <c r="T61" s="3341"/>
      <c r="U61" s="3341"/>
      <c r="V61" s="3341"/>
      <c r="W61" s="3341"/>
      <c r="X61" s="3341"/>
      <c r="Y61" s="3341"/>
      <c r="Z61" s="3341"/>
      <c r="AA61" s="3341"/>
      <c r="AB61" s="3341"/>
      <c r="AC61" s="3341"/>
      <c r="AD61" s="3341"/>
      <c r="AE61" s="3341"/>
      <c r="AF61" s="3341"/>
      <c r="AG61" s="3341"/>
      <c r="AH61" s="3341"/>
      <c r="AI61" s="3341"/>
      <c r="AJ61" s="3341"/>
      <c r="AK61" s="3341"/>
      <c r="AL61" s="3341"/>
      <c r="AM61" s="3341"/>
      <c r="AN61" s="3341"/>
      <c r="AO61" s="3341"/>
      <c r="AP61" s="3341"/>
      <c r="AR61" s="3630"/>
    </row>
    <row r="62" customHeight="1" spans="3:44">
      <c r="C62" s="3614"/>
      <c r="D62" s="3614"/>
      <c r="E62" s="3623" t="s">
        <v>1374</v>
      </c>
      <c r="G62" s="3623" t="s">
        <v>1375</v>
      </c>
      <c r="H62" s="3341"/>
      <c r="I62" s="3341"/>
      <c r="J62" s="3341"/>
      <c r="K62" s="3341"/>
      <c r="L62" s="3341"/>
      <c r="M62" s="3341"/>
      <c r="N62" s="3341"/>
      <c r="O62" s="3341"/>
      <c r="P62" s="3341"/>
      <c r="Q62" s="3341"/>
      <c r="R62" s="3341"/>
      <c r="S62" s="3341"/>
      <c r="T62" s="3341"/>
      <c r="U62" s="3341"/>
      <c r="V62" s="3341"/>
      <c r="W62" s="3341"/>
      <c r="X62" s="3341"/>
      <c r="Y62" s="3341"/>
      <c r="Z62" s="3341"/>
      <c r="AA62" s="3341"/>
      <c r="AB62" s="3341"/>
      <c r="AC62" s="3341"/>
      <c r="AD62" s="3341"/>
      <c r="AE62" s="3341"/>
      <c r="AF62" s="3341"/>
      <c r="AG62" s="3341"/>
      <c r="AH62" s="3341"/>
      <c r="AI62" s="3341"/>
      <c r="AJ62" s="3341"/>
      <c r="AK62" s="3341"/>
      <c r="AL62" s="3341"/>
      <c r="AM62" s="3341"/>
      <c r="AN62" s="3341"/>
      <c r="AO62" s="3341"/>
      <c r="AP62" s="3341"/>
      <c r="AR62" s="3630"/>
    </row>
    <row r="63" customHeight="1" spans="3:44">
      <c r="C63" s="3614"/>
      <c r="D63" s="3614"/>
      <c r="E63" s="3623" t="s">
        <v>1376</v>
      </c>
      <c r="G63" s="3623" t="s">
        <v>1377</v>
      </c>
      <c r="H63" s="3341"/>
      <c r="I63" s="3341"/>
      <c r="J63" s="3341"/>
      <c r="K63" s="3341"/>
      <c r="L63" s="3341"/>
      <c r="M63" s="3341"/>
      <c r="N63" s="3341"/>
      <c r="O63" s="3341"/>
      <c r="P63" s="3341"/>
      <c r="Q63" s="3341"/>
      <c r="R63" s="3341"/>
      <c r="S63" s="3341"/>
      <c r="T63" s="3341"/>
      <c r="U63" s="3341"/>
      <c r="V63" s="3341"/>
      <c r="W63" s="3341"/>
      <c r="X63" s="3341"/>
      <c r="Y63" s="3341"/>
      <c r="Z63" s="3341"/>
      <c r="AA63" s="3341"/>
      <c r="AB63" s="3341"/>
      <c r="AC63" s="3341"/>
      <c r="AD63" s="3341"/>
      <c r="AE63" s="3341"/>
      <c r="AF63" s="3341"/>
      <c r="AG63" s="3341"/>
      <c r="AH63" s="3341"/>
      <c r="AI63" s="3341"/>
      <c r="AJ63" s="3341"/>
      <c r="AK63" s="3341"/>
      <c r="AL63" s="3341"/>
      <c r="AM63" s="3341"/>
      <c r="AN63" s="3341"/>
      <c r="AO63" s="3341"/>
      <c r="AP63" s="3341"/>
      <c r="AR63" s="3630"/>
    </row>
    <row r="64" customHeight="1" spans="3:44">
      <c r="C64" s="3614"/>
      <c r="D64" s="3614"/>
      <c r="E64" s="3623" t="s">
        <v>1378</v>
      </c>
      <c r="G64" s="3623" t="s">
        <v>1379</v>
      </c>
      <c r="H64" s="3341"/>
      <c r="I64" s="3341"/>
      <c r="J64" s="3341"/>
      <c r="K64" s="3341"/>
      <c r="L64" s="3341"/>
      <c r="M64" s="3341"/>
      <c r="N64" s="3341"/>
      <c r="O64" s="3341"/>
      <c r="P64" s="3341"/>
      <c r="Q64" s="3341"/>
      <c r="R64" s="3341"/>
      <c r="S64" s="3341"/>
      <c r="T64" s="3341"/>
      <c r="U64" s="3341"/>
      <c r="V64" s="3341"/>
      <c r="W64" s="3341"/>
      <c r="X64" s="3341"/>
      <c r="Y64" s="3341"/>
      <c r="Z64" s="3341"/>
      <c r="AA64" s="3341"/>
      <c r="AB64" s="3341"/>
      <c r="AC64" s="3341"/>
      <c r="AD64" s="3341"/>
      <c r="AE64" s="3341"/>
      <c r="AF64" s="3341"/>
      <c r="AG64" s="3341"/>
      <c r="AH64" s="3341"/>
      <c r="AI64" s="3341"/>
      <c r="AJ64" s="3341"/>
      <c r="AK64" s="3341"/>
      <c r="AL64" s="3341"/>
      <c r="AM64" s="3341"/>
      <c r="AN64" s="3341"/>
      <c r="AO64" s="3341"/>
      <c r="AP64" s="3341"/>
      <c r="AR64" s="3630"/>
    </row>
    <row r="65" customHeight="1" spans="3:44">
      <c r="C65" s="3614"/>
      <c r="D65" s="3614"/>
      <c r="E65" s="3623" t="s">
        <v>1380</v>
      </c>
      <c r="G65" s="3623" t="s">
        <v>1381</v>
      </c>
      <c r="H65" s="3341"/>
      <c r="I65" s="3341"/>
      <c r="J65" s="3341"/>
      <c r="K65" s="3341"/>
      <c r="L65" s="3341"/>
      <c r="M65" s="3341"/>
      <c r="N65" s="3341"/>
      <c r="O65" s="3341"/>
      <c r="P65" s="3341"/>
      <c r="Q65" s="3341"/>
      <c r="R65" s="3341"/>
      <c r="S65" s="3341"/>
      <c r="T65" s="3341"/>
      <c r="U65" s="3341"/>
      <c r="V65" s="3341"/>
      <c r="W65" s="3341"/>
      <c r="X65" s="3341"/>
      <c r="Y65" s="3341"/>
      <c r="Z65" s="3341"/>
      <c r="AA65" s="3341"/>
      <c r="AB65" s="3341"/>
      <c r="AC65" s="3341"/>
      <c r="AD65" s="3341"/>
      <c r="AE65" s="3341"/>
      <c r="AF65" s="3341"/>
      <c r="AG65" s="3341"/>
      <c r="AH65" s="3341"/>
      <c r="AI65" s="3341"/>
      <c r="AJ65" s="3341"/>
      <c r="AK65" s="3341"/>
      <c r="AL65" s="3341"/>
      <c r="AM65" s="3341"/>
      <c r="AN65" s="3341"/>
      <c r="AO65" s="3341"/>
      <c r="AP65" s="3341"/>
      <c r="AR65" s="3630"/>
    </row>
    <row r="66" customHeight="1" spans="3:44">
      <c r="C66" s="3614"/>
      <c r="D66" s="3614"/>
      <c r="E66" s="3623" t="s">
        <v>1382</v>
      </c>
      <c r="G66" s="3623" t="s">
        <v>1383</v>
      </c>
      <c r="H66" s="3341"/>
      <c r="I66" s="3341"/>
      <c r="J66" s="3341"/>
      <c r="K66" s="3341"/>
      <c r="L66" s="3341"/>
      <c r="M66" s="3341"/>
      <c r="N66" s="3341"/>
      <c r="O66" s="3341"/>
      <c r="P66" s="3341"/>
      <c r="Q66" s="3341"/>
      <c r="R66" s="3341"/>
      <c r="S66" s="3341"/>
      <c r="T66" s="3341"/>
      <c r="U66" s="3341"/>
      <c r="V66" s="3341"/>
      <c r="W66" s="3341"/>
      <c r="X66" s="3341"/>
      <c r="Y66" s="3341"/>
      <c r="Z66" s="3341"/>
      <c r="AA66" s="3341"/>
      <c r="AB66" s="3341"/>
      <c r="AC66" s="3341"/>
      <c r="AD66" s="3341"/>
      <c r="AE66" s="3341"/>
      <c r="AF66" s="3341"/>
      <c r="AG66" s="3341"/>
      <c r="AH66" s="3341"/>
      <c r="AI66" s="3341"/>
      <c r="AJ66" s="3341"/>
      <c r="AK66" s="3341"/>
      <c r="AL66" s="3341"/>
      <c r="AM66" s="3341"/>
      <c r="AN66" s="3341"/>
      <c r="AO66" s="3341"/>
      <c r="AP66" s="3341"/>
      <c r="AR66" s="3630"/>
    </row>
    <row r="67" customHeight="1" spans="3:44">
      <c r="C67" s="3614"/>
      <c r="D67" s="3614"/>
      <c r="E67" s="3623" t="s">
        <v>1384</v>
      </c>
      <c r="G67" s="3623" t="s">
        <v>1385</v>
      </c>
      <c r="H67" s="3341"/>
      <c r="I67" s="3341"/>
      <c r="J67" s="3341"/>
      <c r="K67" s="3341"/>
      <c r="L67" s="3341"/>
      <c r="M67" s="3341"/>
      <c r="N67" s="3341"/>
      <c r="O67" s="3341"/>
      <c r="P67" s="3341"/>
      <c r="Q67" s="3341"/>
      <c r="R67" s="3341"/>
      <c r="S67" s="3341"/>
      <c r="T67" s="3341"/>
      <c r="U67" s="3341"/>
      <c r="V67" s="3341"/>
      <c r="W67" s="3341"/>
      <c r="X67" s="3341"/>
      <c r="Y67" s="3341"/>
      <c r="Z67" s="3341"/>
      <c r="AA67" s="3341"/>
      <c r="AB67" s="3341"/>
      <c r="AC67" s="3341"/>
      <c r="AD67" s="3341"/>
      <c r="AE67" s="3341"/>
      <c r="AF67" s="3341"/>
      <c r="AG67" s="3341"/>
      <c r="AH67" s="3341"/>
      <c r="AI67" s="3341"/>
      <c r="AJ67" s="3341"/>
      <c r="AK67" s="3341"/>
      <c r="AL67" s="3341"/>
      <c r="AM67" s="3341"/>
      <c r="AN67" s="3341"/>
      <c r="AO67" s="3341"/>
      <c r="AP67" s="3341"/>
      <c r="AR67" s="3630"/>
    </row>
    <row r="68" s="3606" customFormat="1" customHeight="1" spans="3:44">
      <c r="C68" s="3614"/>
      <c r="D68" s="3614"/>
      <c r="E68" s="3623" t="s">
        <v>1386</v>
      </c>
      <c r="G68" s="3623" t="s">
        <v>1387</v>
      </c>
      <c r="H68" s="3341"/>
      <c r="I68" s="3341"/>
      <c r="J68" s="3341"/>
      <c r="K68" s="3341"/>
      <c r="L68" s="3341"/>
      <c r="M68" s="3341"/>
      <c r="N68" s="3341"/>
      <c r="O68" s="3341"/>
      <c r="P68" s="3341"/>
      <c r="Q68" s="3341"/>
      <c r="R68" s="3341"/>
      <c r="S68" s="3341"/>
      <c r="T68" s="3341"/>
      <c r="U68" s="3341"/>
      <c r="V68" s="3341"/>
      <c r="W68" s="3341"/>
      <c r="X68" s="3341"/>
      <c r="Y68" s="3341"/>
      <c r="Z68" s="3341"/>
      <c r="AA68" s="3341"/>
      <c r="AB68" s="3341"/>
      <c r="AC68" s="3341"/>
      <c r="AD68" s="3341"/>
      <c r="AE68" s="3341"/>
      <c r="AF68" s="3341"/>
      <c r="AG68" s="3341"/>
      <c r="AH68" s="3341"/>
      <c r="AI68" s="3341"/>
      <c r="AJ68" s="3341"/>
      <c r="AK68" s="3341"/>
      <c r="AL68" s="3341"/>
      <c r="AM68" s="3341"/>
      <c r="AN68" s="3341"/>
      <c r="AO68" s="3341"/>
      <c r="AP68" s="3341"/>
      <c r="AR68" s="3630"/>
    </row>
    <row r="69" s="3606" customFormat="1" customHeight="1" spans="3:44">
      <c r="C69" s="3614"/>
      <c r="D69" s="3614"/>
      <c r="E69" s="3623" t="s">
        <v>1388</v>
      </c>
      <c r="G69" s="3623" t="s">
        <v>1389</v>
      </c>
      <c r="H69" s="3341"/>
      <c r="I69" s="3341"/>
      <c r="J69" s="3341"/>
      <c r="K69" s="3341"/>
      <c r="L69" s="3341"/>
      <c r="M69" s="3341"/>
      <c r="N69" s="3341"/>
      <c r="O69" s="3341"/>
      <c r="P69" s="3341"/>
      <c r="Q69" s="3341"/>
      <c r="R69" s="3341"/>
      <c r="S69" s="3341"/>
      <c r="T69" s="3341"/>
      <c r="U69" s="3341"/>
      <c r="V69" s="3341"/>
      <c r="W69" s="3341"/>
      <c r="X69" s="3341"/>
      <c r="Y69" s="3341"/>
      <c r="Z69" s="3341"/>
      <c r="AA69" s="3341"/>
      <c r="AB69" s="3341"/>
      <c r="AC69" s="3341"/>
      <c r="AD69" s="3341"/>
      <c r="AE69" s="3341"/>
      <c r="AF69" s="3341"/>
      <c r="AG69" s="3341"/>
      <c r="AH69" s="3341"/>
      <c r="AI69" s="3341"/>
      <c r="AJ69" s="3341"/>
      <c r="AK69" s="3341"/>
      <c r="AL69" s="3341"/>
      <c r="AM69" s="3341"/>
      <c r="AN69" s="3341"/>
      <c r="AO69" s="3341"/>
      <c r="AP69" s="3341"/>
      <c r="AR69" s="3630"/>
    </row>
    <row r="70" s="3606" customFormat="1" customHeight="1" spans="3:44">
      <c r="C70" s="3614"/>
      <c r="D70" s="3614"/>
      <c r="E70" s="3623" t="s">
        <v>1390</v>
      </c>
      <c r="G70" s="3623" t="s">
        <v>1391</v>
      </c>
      <c r="H70" s="3341"/>
      <c r="I70" s="3341"/>
      <c r="J70" s="3341"/>
      <c r="K70" s="3341"/>
      <c r="L70" s="3341"/>
      <c r="M70" s="3341"/>
      <c r="N70" s="3341"/>
      <c r="O70" s="3341"/>
      <c r="P70" s="3341"/>
      <c r="Q70" s="3341"/>
      <c r="R70" s="3341"/>
      <c r="S70" s="3341"/>
      <c r="T70" s="3341"/>
      <c r="U70" s="3341"/>
      <c r="V70" s="3341"/>
      <c r="W70" s="3341"/>
      <c r="X70" s="3341"/>
      <c r="Y70" s="3341"/>
      <c r="Z70" s="3341"/>
      <c r="AA70" s="3341"/>
      <c r="AB70" s="3341"/>
      <c r="AC70" s="3341"/>
      <c r="AD70" s="3341"/>
      <c r="AE70" s="3341"/>
      <c r="AF70" s="3341"/>
      <c r="AG70" s="3341"/>
      <c r="AH70" s="3341"/>
      <c r="AI70" s="3341"/>
      <c r="AJ70" s="3341"/>
      <c r="AK70" s="3341"/>
      <c r="AL70" s="3341"/>
      <c r="AM70" s="3341"/>
      <c r="AN70" s="3341"/>
      <c r="AO70" s="3341"/>
      <c r="AP70" s="3341"/>
      <c r="AR70" s="3630"/>
    </row>
    <row r="71" s="3606" customFormat="1" customHeight="1" spans="3:44">
      <c r="C71" s="3614"/>
      <c r="D71" s="3614"/>
      <c r="E71" s="3511"/>
      <c r="F71" s="3341"/>
      <c r="G71" s="3341"/>
      <c r="H71" s="3341"/>
      <c r="I71" s="3341"/>
      <c r="J71" s="3341"/>
      <c r="K71" s="3341"/>
      <c r="L71" s="3341"/>
      <c r="M71" s="3341"/>
      <c r="N71" s="3341"/>
      <c r="O71" s="3341"/>
      <c r="P71" s="3341"/>
      <c r="Q71" s="3341"/>
      <c r="R71" s="3341"/>
      <c r="S71" s="3341"/>
      <c r="T71" s="3341"/>
      <c r="U71" s="3341"/>
      <c r="V71" s="3341"/>
      <c r="W71" s="3341"/>
      <c r="X71" s="3341"/>
      <c r="Y71" s="3341"/>
      <c r="Z71" s="3341"/>
      <c r="AA71" s="3341"/>
      <c r="AB71" s="3341"/>
      <c r="AC71" s="3341"/>
      <c r="AD71" s="3341"/>
      <c r="AE71" s="3341"/>
      <c r="AF71" s="3341"/>
      <c r="AG71" s="3341"/>
      <c r="AH71" s="3341"/>
      <c r="AI71" s="3341"/>
      <c r="AJ71" s="3341"/>
      <c r="AK71" s="3341"/>
      <c r="AL71" s="3341"/>
      <c r="AM71" s="3341"/>
      <c r="AN71" s="3341"/>
      <c r="AO71" s="3341"/>
      <c r="AP71" s="3341"/>
      <c r="AR71" s="3630"/>
    </row>
    <row r="72" customHeight="1" spans="3:44">
      <c r="C72" s="3607" t="s">
        <v>148</v>
      </c>
      <c r="D72" s="3614"/>
      <c r="E72" s="5063" t="s">
        <v>1392</v>
      </c>
      <c r="F72" s="3607"/>
      <c r="G72" s="3607"/>
      <c r="H72" s="3607"/>
      <c r="I72" s="3607"/>
      <c r="J72" s="3607"/>
      <c r="K72" s="3607"/>
      <c r="L72" s="3607"/>
      <c r="M72" s="3607"/>
      <c r="N72" s="3607"/>
      <c r="O72" s="3607"/>
      <c r="P72" s="3607"/>
      <c r="Q72" s="3607"/>
      <c r="R72" s="3607"/>
      <c r="S72" s="3607"/>
      <c r="T72" s="3607"/>
      <c r="U72" s="3607"/>
      <c r="V72" s="3607"/>
      <c r="W72" s="3607"/>
      <c r="X72" s="3607"/>
      <c r="Y72" s="3607"/>
      <c r="Z72" s="3607"/>
      <c r="AA72" s="3607"/>
      <c r="AB72" s="3607"/>
      <c r="AC72" s="3607"/>
      <c r="AD72" s="3607"/>
      <c r="AE72" s="3607"/>
      <c r="AF72" s="3607"/>
      <c r="AG72" s="3607"/>
      <c r="AH72" s="3607"/>
      <c r="AI72"/>
      <c r="AJ72"/>
      <c r="AK72"/>
      <c r="AL72"/>
      <c r="AM72"/>
      <c r="AN72"/>
      <c r="AO72"/>
      <c r="AP72"/>
      <c r="AR72" s="3630"/>
    </row>
    <row r="73" ht="9.2" customHeight="1" spans="3:44">
      <c r="C73" s="3614"/>
      <c r="D73" s="3614"/>
      <c r="E73" s="3341"/>
      <c r="F73" s="3341"/>
      <c r="G73" s="3341"/>
      <c r="H73" s="3341"/>
      <c r="I73" s="3341"/>
      <c r="J73" s="3341"/>
      <c r="K73" s="3341"/>
      <c r="L73" s="3341"/>
      <c r="M73" s="3341"/>
      <c r="N73" s="3341"/>
      <c r="O73" s="3341"/>
      <c r="P73" s="3341"/>
      <c r="Q73" s="3341"/>
      <c r="R73" s="3341"/>
      <c r="S73" s="3341"/>
      <c r="T73" s="3341"/>
      <c r="U73" s="3341"/>
      <c r="V73" s="3341"/>
      <c r="W73" s="3341"/>
      <c r="X73" s="3341"/>
      <c r="Y73" s="3341"/>
      <c r="Z73" s="3341"/>
      <c r="AA73" s="3341"/>
      <c r="AB73" s="3341"/>
      <c r="AC73" s="3341"/>
      <c r="AD73" s="3341"/>
      <c r="AE73" s="3341"/>
      <c r="AF73" s="3341"/>
      <c r="AG73" s="3341"/>
      <c r="AH73" s="3341"/>
      <c r="AI73" s="3341"/>
      <c r="AJ73" s="3341"/>
      <c r="AK73" s="3341"/>
      <c r="AL73" s="3341"/>
      <c r="AM73" s="3341"/>
      <c r="AN73" s="3341"/>
      <c r="AO73" s="3341"/>
      <c r="AP73" s="3341"/>
      <c r="AR73" s="3630"/>
    </row>
    <row r="74" ht="24.95" customHeight="1" spans="3:44">
      <c r="C74" s="3614"/>
      <c r="D74" s="3614"/>
      <c r="E74" s="2104" t="s">
        <v>1393</v>
      </c>
      <c r="F74" s="2146"/>
      <c r="G74" s="2146"/>
      <c r="H74" s="2146"/>
      <c r="I74" s="2146"/>
      <c r="J74" s="2146"/>
      <c r="K74" s="2146"/>
      <c r="L74" s="2146"/>
      <c r="M74" s="2146"/>
      <c r="N74" s="2146"/>
      <c r="O74" s="2146"/>
      <c r="P74" s="2146"/>
      <c r="Q74" s="2146"/>
      <c r="R74" s="2146"/>
      <c r="S74" s="2146"/>
      <c r="T74" s="2146"/>
      <c r="U74" s="2146"/>
      <c r="V74" s="2146"/>
      <c r="W74" s="2146"/>
      <c r="X74" s="2146"/>
      <c r="Y74" s="2146"/>
      <c r="Z74" s="2146"/>
      <c r="AA74" s="2146"/>
      <c r="AB74" s="2146"/>
      <c r="AC74" s="2146"/>
      <c r="AD74" s="2146"/>
      <c r="AE74" s="2146"/>
      <c r="AF74" s="2146"/>
      <c r="AG74" s="2146"/>
      <c r="AH74" s="2146"/>
      <c r="AI74" s="2146"/>
      <c r="AJ74" s="2146"/>
      <c r="AK74" s="2146"/>
      <c r="AL74" s="2146"/>
      <c r="AM74" s="2146"/>
      <c r="AN74" s="2146"/>
      <c r="AO74" s="2146"/>
      <c r="AP74" s="2146"/>
      <c r="AR74" s="3630"/>
    </row>
    <row r="75" ht="9.75" customHeight="1" spans="3:44">
      <c r="C75" s="3614"/>
      <c r="D75" s="3614"/>
      <c r="E75" s="3341"/>
      <c r="F75" s="3341"/>
      <c r="G75" s="3341"/>
      <c r="H75" s="3341"/>
      <c r="I75" s="3341"/>
      <c r="J75" s="3341"/>
      <c r="K75" s="3341"/>
      <c r="L75" s="3341"/>
      <c r="M75" s="3341"/>
      <c r="N75" s="3341"/>
      <c r="O75" s="3341"/>
      <c r="P75" s="3341"/>
      <c r="Q75" s="3341"/>
      <c r="R75" s="3341"/>
      <c r="S75" s="3341"/>
      <c r="T75" s="3341"/>
      <c r="U75" s="3341"/>
      <c r="V75" s="3341"/>
      <c r="W75" s="3341"/>
      <c r="X75" s="3341"/>
      <c r="Y75" s="3341"/>
      <c r="Z75" s="3341"/>
      <c r="AA75" s="3341"/>
      <c r="AB75" s="3341"/>
      <c r="AC75" s="3341"/>
      <c r="AD75" s="3341"/>
      <c r="AE75" s="3341"/>
      <c r="AF75" s="3341"/>
      <c r="AG75" s="3341"/>
      <c r="AH75" s="3341"/>
      <c r="AI75" s="3341"/>
      <c r="AJ75" s="3341"/>
      <c r="AK75" s="3341"/>
      <c r="AL75" s="3341"/>
      <c r="AM75" s="3341"/>
      <c r="AN75" s="3341"/>
      <c r="AO75" s="3341"/>
      <c r="AP75" s="3341"/>
      <c r="AR75" s="3630"/>
    </row>
    <row r="76" ht="36" customHeight="1" spans="3:44">
      <c r="C76" s="3614"/>
      <c r="D76" s="3614"/>
      <c r="E76" s="2104" t="s">
        <v>1394</v>
      </c>
      <c r="F76" s="2146"/>
      <c r="G76" s="2146"/>
      <c r="H76" s="2146"/>
      <c r="I76" s="2146"/>
      <c r="J76" s="2146"/>
      <c r="K76" s="2146"/>
      <c r="L76" s="2146"/>
      <c r="M76" s="2146"/>
      <c r="N76" s="2146"/>
      <c r="O76" s="2146"/>
      <c r="P76" s="2146"/>
      <c r="Q76" s="2146"/>
      <c r="R76" s="2146"/>
      <c r="S76" s="2146"/>
      <c r="T76" s="2146"/>
      <c r="U76" s="2146"/>
      <c r="V76" s="2146"/>
      <c r="W76" s="2146"/>
      <c r="X76" s="2146"/>
      <c r="Y76" s="2146"/>
      <c r="Z76" s="2146"/>
      <c r="AA76" s="2146"/>
      <c r="AB76" s="2146"/>
      <c r="AC76" s="2146"/>
      <c r="AD76" s="2146"/>
      <c r="AE76" s="2146"/>
      <c r="AF76" s="2146"/>
      <c r="AG76" s="2146"/>
      <c r="AH76" s="2146"/>
      <c r="AI76" s="2146"/>
      <c r="AJ76" s="2146"/>
      <c r="AK76" s="2146"/>
      <c r="AL76" s="2146"/>
      <c r="AM76" s="2146"/>
      <c r="AN76" s="2146"/>
      <c r="AO76" s="2146"/>
      <c r="AP76" s="2146"/>
      <c r="AR76" s="3630"/>
    </row>
    <row r="77" ht="9.2" customHeight="1" spans="3:44">
      <c r="C77" s="3614"/>
      <c r="D77" s="3614"/>
      <c r="E77" s="3341"/>
      <c r="F77" s="3341"/>
      <c r="G77" s="3341"/>
      <c r="H77" s="3341"/>
      <c r="I77" s="3341"/>
      <c r="J77" s="3341"/>
      <c r="K77" s="3341"/>
      <c r="L77" s="3341"/>
      <c r="M77" s="3341"/>
      <c r="N77" s="3341"/>
      <c r="O77" s="3341"/>
      <c r="P77" s="3341"/>
      <c r="Q77" s="3341"/>
      <c r="R77" s="3341"/>
      <c r="S77" s="3341"/>
      <c r="T77" s="3341"/>
      <c r="U77" s="3341"/>
      <c r="V77" s="3341"/>
      <c r="W77" s="3341"/>
      <c r="X77" s="3341"/>
      <c r="Y77" s="3341"/>
      <c r="Z77" s="3341"/>
      <c r="AA77" s="3341"/>
      <c r="AB77" s="3341"/>
      <c r="AC77" s="3341"/>
      <c r="AD77" s="3341"/>
      <c r="AE77" s="3341"/>
      <c r="AF77" s="3341"/>
      <c r="AG77" s="3341"/>
      <c r="AH77" s="3341"/>
      <c r="AI77" s="3341"/>
      <c r="AJ77" s="3341"/>
      <c r="AK77" s="3341"/>
      <c r="AL77" s="3341"/>
      <c r="AM77" s="3341"/>
      <c r="AN77" s="3341"/>
      <c r="AO77" s="3341"/>
      <c r="AP77" s="3341"/>
      <c r="AR77" s="3630"/>
    </row>
    <row r="78" customHeight="1" spans="3:44">
      <c r="C78" s="3607" t="s">
        <v>410</v>
      </c>
      <c r="D78" s="3614"/>
      <c r="E78" s="5063" t="s">
        <v>1395</v>
      </c>
      <c r="F78" s="3607"/>
      <c r="G78" s="3607"/>
      <c r="H78" s="3607"/>
      <c r="I78" s="3607"/>
      <c r="J78" s="3607"/>
      <c r="K78" s="3607"/>
      <c r="L78" s="3607"/>
      <c r="M78" s="3607"/>
      <c r="N78" s="3607"/>
      <c r="O78" s="3607"/>
      <c r="P78" s="3607"/>
      <c r="Q78" s="3607"/>
      <c r="R78" s="3607"/>
      <c r="S78" s="3607"/>
      <c r="T78" s="3607"/>
      <c r="U78" s="3607"/>
      <c r="V78" s="3607"/>
      <c r="W78" s="3607"/>
      <c r="X78" s="3607"/>
      <c r="Y78" s="3607"/>
      <c r="Z78" s="3607"/>
      <c r="AA78" s="3607"/>
      <c r="AB78" s="3607"/>
      <c r="AC78" s="3607"/>
      <c r="AD78" s="3607"/>
      <c r="AE78" s="3607"/>
      <c r="AF78" s="3607"/>
      <c r="AG78" s="3607"/>
      <c r="AH78" s="3607"/>
      <c r="AI78"/>
      <c r="AJ78"/>
      <c r="AK78"/>
      <c r="AL78"/>
      <c r="AM78"/>
      <c r="AN78"/>
      <c r="AO78"/>
      <c r="AP78"/>
      <c r="AR78" s="3630"/>
    </row>
    <row r="79" ht="6" customHeight="1" spans="3:44">
      <c r="C79" s="3614"/>
      <c r="D79" s="3614"/>
      <c r="E79" s="3341"/>
      <c r="F79" s="3341"/>
      <c r="G79" s="3341"/>
      <c r="H79" s="3341"/>
      <c r="I79" s="3341"/>
      <c r="J79" s="3341"/>
      <c r="K79" s="3341"/>
      <c r="L79" s="3341"/>
      <c r="M79" s="3341"/>
      <c r="N79" s="3341"/>
      <c r="O79" s="3341"/>
      <c r="P79" s="3341"/>
      <c r="Q79" s="3341"/>
      <c r="R79" s="3341"/>
      <c r="S79" s="3341"/>
      <c r="T79" s="3341"/>
      <c r="U79" s="3341"/>
      <c r="V79" s="3341"/>
      <c r="W79" s="3341"/>
      <c r="X79" s="3341"/>
      <c r="Y79" s="3341"/>
      <c r="Z79" s="3341"/>
      <c r="AA79" s="3341"/>
      <c r="AB79" s="3341"/>
      <c r="AC79" s="3341"/>
      <c r="AD79" s="3341"/>
      <c r="AE79" s="3341"/>
      <c r="AF79" s="3341"/>
      <c r="AG79" s="3341"/>
      <c r="AH79" s="3341"/>
      <c r="AI79" s="3341"/>
      <c r="AJ79" s="3341"/>
      <c r="AK79" s="3341"/>
      <c r="AL79" s="3341"/>
      <c r="AM79" s="3341"/>
      <c r="AN79" s="3341"/>
      <c r="AO79" s="3341"/>
      <c r="AP79" s="3341"/>
      <c r="AR79" s="3630"/>
    </row>
    <row r="80" ht="36.75" customHeight="1" spans="3:44">
      <c r="C80" s="3614"/>
      <c r="D80" s="3614"/>
      <c r="E80" s="2104" t="s">
        <v>1396</v>
      </c>
      <c r="F80" s="2146"/>
      <c r="G80" s="2146"/>
      <c r="H80" s="2146"/>
      <c r="I80" s="2146"/>
      <c r="J80" s="2146"/>
      <c r="K80" s="2146"/>
      <c r="L80" s="2146"/>
      <c r="M80" s="2146"/>
      <c r="N80" s="2146"/>
      <c r="O80" s="2146"/>
      <c r="P80" s="2146"/>
      <c r="Q80" s="2146"/>
      <c r="R80" s="2146"/>
      <c r="S80" s="2146"/>
      <c r="T80" s="2146"/>
      <c r="U80" s="2146"/>
      <c r="V80" s="2146"/>
      <c r="W80" s="2146"/>
      <c r="X80" s="2146"/>
      <c r="Y80" s="2146"/>
      <c r="Z80" s="2146"/>
      <c r="AA80" s="2146"/>
      <c r="AB80" s="2146"/>
      <c r="AC80" s="2146"/>
      <c r="AD80" s="2146"/>
      <c r="AE80" s="2146"/>
      <c r="AF80" s="2146"/>
      <c r="AG80" s="2146"/>
      <c r="AH80" s="2146"/>
      <c r="AI80" s="2146"/>
      <c r="AJ80" s="2146"/>
      <c r="AK80" s="2146"/>
      <c r="AL80" s="2146"/>
      <c r="AM80" s="2146"/>
      <c r="AN80" s="2146"/>
      <c r="AO80" s="2146"/>
      <c r="AP80" s="2146"/>
      <c r="AR80" s="3630"/>
    </row>
    <row r="81" customHeight="1" spans="3:44">
      <c r="C81" s="3614"/>
      <c r="D81" s="3614"/>
      <c r="E81" s="3341"/>
      <c r="F81" s="3341"/>
      <c r="G81" s="3341"/>
      <c r="H81" s="3341"/>
      <c r="I81" s="3341"/>
      <c r="J81" s="3341"/>
      <c r="K81" s="3341"/>
      <c r="L81" s="3341"/>
      <c r="M81" s="3341"/>
      <c r="N81" s="3341"/>
      <c r="O81" s="3341"/>
      <c r="P81" s="3341"/>
      <c r="Q81" s="3341"/>
      <c r="R81" s="3341"/>
      <c r="S81" s="3341"/>
      <c r="T81" s="3341"/>
      <c r="U81" s="3341"/>
      <c r="V81" s="3341"/>
      <c r="W81" s="3341"/>
      <c r="X81" s="3341"/>
      <c r="Y81" s="3341"/>
      <c r="Z81" s="3341"/>
      <c r="AA81" s="3341"/>
      <c r="AB81" s="3341"/>
      <c r="AC81" s="3341"/>
      <c r="AD81" s="3341"/>
      <c r="AE81" s="3341"/>
      <c r="AF81" s="3341"/>
      <c r="AG81" s="3341"/>
      <c r="AH81" s="3341"/>
      <c r="AI81" s="3341"/>
      <c r="AJ81" s="3341"/>
      <c r="AK81" s="3341"/>
      <c r="AL81" s="3341"/>
      <c r="AM81" s="3341"/>
      <c r="AN81" s="3341"/>
      <c r="AO81" s="3341"/>
      <c r="AP81" s="3341"/>
      <c r="AR81" s="3630"/>
    </row>
    <row r="82" hidden="1" customHeight="1" spans="3:44">
      <c r="C82" s="3607" t="s">
        <v>422</v>
      </c>
      <c r="D82" s="3614"/>
      <c r="E82" s="5063" t="s">
        <v>546</v>
      </c>
      <c r="F82" s="3607"/>
      <c r="G82" s="3607"/>
      <c r="H82" s="3607"/>
      <c r="I82" s="3607"/>
      <c r="J82" s="3607"/>
      <c r="K82" s="3607"/>
      <c r="L82" s="3607"/>
      <c r="M82" s="3607"/>
      <c r="N82" s="3607"/>
      <c r="O82" s="3607"/>
      <c r="P82" s="3607"/>
      <c r="Q82" s="3607"/>
      <c r="R82" s="3607"/>
      <c r="S82" s="3607"/>
      <c r="T82" s="3607"/>
      <c r="U82" s="3607"/>
      <c r="V82" s="3607"/>
      <c r="W82" s="3607"/>
      <c r="X82" s="3607"/>
      <c r="Y82" s="3607"/>
      <c r="Z82" s="3607"/>
      <c r="AA82" s="3607"/>
      <c r="AB82" s="3607"/>
      <c r="AC82" s="3607"/>
      <c r="AD82" s="3607"/>
      <c r="AE82" s="3607"/>
      <c r="AF82" s="3607"/>
      <c r="AG82" s="3607"/>
      <c r="AH82" s="3607"/>
      <c r="AI82"/>
      <c r="AJ82"/>
      <c r="AK82"/>
      <c r="AL82"/>
      <c r="AM82"/>
      <c r="AN82"/>
      <c r="AO82"/>
      <c r="AP82"/>
      <c r="AR82" s="3630"/>
    </row>
    <row r="83" ht="9.2" hidden="1" customHeight="1" spans="3:44">
      <c r="C83" s="3614"/>
      <c r="D83" s="3614"/>
      <c r="E83" s="3341"/>
      <c r="F83" s="3341"/>
      <c r="G83" s="3341"/>
      <c r="H83" s="3341"/>
      <c r="I83" s="3341"/>
      <c r="J83" s="3341"/>
      <c r="K83" s="3341"/>
      <c r="L83" s="3341"/>
      <c r="M83" s="3341"/>
      <c r="N83" s="3341"/>
      <c r="O83" s="3341"/>
      <c r="P83" s="3341"/>
      <c r="Q83" s="3341"/>
      <c r="R83" s="3341"/>
      <c r="S83" s="3341"/>
      <c r="T83" s="3341"/>
      <c r="U83" s="3341"/>
      <c r="V83" s="3341"/>
      <c r="W83" s="3341"/>
      <c r="X83" s="3341"/>
      <c r="Y83" s="3341"/>
      <c r="Z83" s="3341"/>
      <c r="AA83" s="3341"/>
      <c r="AB83" s="3341"/>
      <c r="AC83" s="3341"/>
      <c r="AD83" s="3341"/>
      <c r="AE83" s="3341"/>
      <c r="AF83" s="3341"/>
      <c r="AG83" s="3341"/>
      <c r="AH83" s="3341"/>
      <c r="AI83" s="3341"/>
      <c r="AJ83" s="3341"/>
      <c r="AK83" s="3341"/>
      <c r="AL83" s="3341"/>
      <c r="AM83" s="3341"/>
      <c r="AN83" s="3341"/>
      <c r="AO83" s="3341"/>
      <c r="AP83" s="3341"/>
      <c r="AR83" s="3630"/>
    </row>
    <row r="84" ht="24" hidden="1" customHeight="1" spans="3:44">
      <c r="C84" s="3614"/>
      <c r="D84" s="3614"/>
      <c r="E84" s="2104" t="s">
        <v>1397</v>
      </c>
      <c r="F84" s="2146"/>
      <c r="G84" s="2146"/>
      <c r="H84" s="2146"/>
      <c r="I84" s="2146"/>
      <c r="J84" s="2146"/>
      <c r="K84" s="2146"/>
      <c r="L84" s="2146"/>
      <c r="M84" s="2146"/>
      <c r="N84" s="2146"/>
      <c r="O84" s="2146"/>
      <c r="P84" s="2146"/>
      <c r="Q84" s="2146"/>
      <c r="R84" s="2146"/>
      <c r="S84" s="2146"/>
      <c r="T84" s="2146"/>
      <c r="U84" s="2146"/>
      <c r="V84" s="2146"/>
      <c r="W84" s="2146"/>
      <c r="X84" s="2146"/>
      <c r="Y84" s="2146"/>
      <c r="Z84" s="2146"/>
      <c r="AA84" s="2146"/>
      <c r="AB84" s="2146"/>
      <c r="AC84" s="2146"/>
      <c r="AD84" s="2146"/>
      <c r="AE84" s="2146"/>
      <c r="AF84" s="2146"/>
      <c r="AG84" s="2146"/>
      <c r="AH84" s="2146"/>
      <c r="AI84" s="2146"/>
      <c r="AJ84" s="2146"/>
      <c r="AK84" s="2146"/>
      <c r="AL84" s="2146"/>
      <c r="AM84" s="2146"/>
      <c r="AN84" s="2146"/>
      <c r="AO84" s="2146"/>
      <c r="AP84" s="2146"/>
      <c r="AQ84" s="3606" t="s">
        <v>1398</v>
      </c>
      <c r="AR84" s="3630"/>
    </row>
    <row r="85" ht="9.2" hidden="1" customHeight="1" spans="3:44">
      <c r="C85" s="3614"/>
      <c r="D85" s="3614"/>
      <c r="E85" s="3341"/>
      <c r="F85" s="3341"/>
      <c r="G85" s="3341"/>
      <c r="H85" s="3341"/>
      <c r="I85" s="3341"/>
      <c r="J85" s="3341"/>
      <c r="K85" s="3341"/>
      <c r="L85" s="3341"/>
      <c r="M85" s="3341"/>
      <c r="N85" s="3341"/>
      <c r="O85" s="3341"/>
      <c r="P85" s="3341"/>
      <c r="Q85" s="3341"/>
      <c r="R85" s="3341"/>
      <c r="S85" s="3341"/>
      <c r="T85" s="3341"/>
      <c r="U85" s="3341"/>
      <c r="V85" s="3341"/>
      <c r="W85" s="3341"/>
      <c r="X85" s="3341"/>
      <c r="Y85" s="3341"/>
      <c r="Z85" s="3341"/>
      <c r="AA85" s="3341"/>
      <c r="AB85" s="3341"/>
      <c r="AC85" s="3341"/>
      <c r="AD85" s="3341"/>
      <c r="AE85" s="3341"/>
      <c r="AF85" s="3341"/>
      <c r="AG85" s="3341"/>
      <c r="AH85" s="3341"/>
      <c r="AI85" s="3341"/>
      <c r="AJ85" s="3341"/>
      <c r="AK85" s="3341"/>
      <c r="AL85" s="3341"/>
      <c r="AM85" s="3341"/>
      <c r="AN85" s="3341"/>
      <c r="AO85" s="3341"/>
      <c r="AP85" s="3341"/>
      <c r="AR85" s="3630"/>
    </row>
    <row r="86" ht="25.35" hidden="1" customHeight="1" spans="3:44">
      <c r="C86" s="3614"/>
      <c r="D86" s="3614"/>
      <c r="E86" s="2104" t="s">
        <v>1399</v>
      </c>
      <c r="F86" s="2146"/>
      <c r="G86" s="2146"/>
      <c r="H86" s="2146"/>
      <c r="I86" s="2146"/>
      <c r="J86" s="2146"/>
      <c r="K86" s="2146"/>
      <c r="L86" s="2146"/>
      <c r="M86" s="2146"/>
      <c r="N86" s="2146"/>
      <c r="O86" s="2146"/>
      <c r="P86" s="2146"/>
      <c r="Q86" s="2146"/>
      <c r="R86" s="2146"/>
      <c r="S86" s="2146"/>
      <c r="T86" s="2146"/>
      <c r="U86" s="2146"/>
      <c r="V86" s="2146"/>
      <c r="W86" s="2146"/>
      <c r="X86" s="2146"/>
      <c r="Y86" s="2146"/>
      <c r="Z86" s="2146"/>
      <c r="AA86" s="2146"/>
      <c r="AB86" s="2146"/>
      <c r="AC86" s="2146"/>
      <c r="AD86" s="2146"/>
      <c r="AE86" s="2146"/>
      <c r="AF86" s="2146"/>
      <c r="AG86" s="2146"/>
      <c r="AH86" s="2146"/>
      <c r="AI86" s="2146"/>
      <c r="AJ86" s="2146"/>
      <c r="AK86" s="2146"/>
      <c r="AL86" s="2146"/>
      <c r="AM86" s="2146"/>
      <c r="AN86" s="2146"/>
      <c r="AO86" s="2146"/>
      <c r="AP86" s="2146"/>
      <c r="AR86" s="3630"/>
    </row>
    <row r="87" ht="9.2" hidden="1" customHeight="1" spans="3:44">
      <c r="C87" s="3614"/>
      <c r="D87" s="3614"/>
      <c r="E87" s="3341"/>
      <c r="F87" s="3341"/>
      <c r="G87" s="3341"/>
      <c r="H87" s="3341"/>
      <c r="I87" s="3341"/>
      <c r="J87" s="3341"/>
      <c r="K87" s="3341"/>
      <c r="L87" s="3341"/>
      <c r="M87" s="3341"/>
      <c r="N87" s="3341"/>
      <c r="O87" s="3341"/>
      <c r="P87" s="3341"/>
      <c r="Q87" s="3341"/>
      <c r="R87" s="3341"/>
      <c r="S87" s="3341"/>
      <c r="T87" s="3341"/>
      <c r="U87" s="3341"/>
      <c r="V87" s="3341"/>
      <c r="W87" s="3341"/>
      <c r="X87" s="3341"/>
      <c r="Y87" s="3341"/>
      <c r="Z87" s="3341"/>
      <c r="AA87" s="3341"/>
      <c r="AB87" s="3341"/>
      <c r="AC87" s="3341"/>
      <c r="AD87" s="3341"/>
      <c r="AE87" s="3341"/>
      <c r="AF87" s="3341"/>
      <c r="AG87" s="3341"/>
      <c r="AH87" s="3341"/>
      <c r="AI87" s="3341"/>
      <c r="AJ87" s="3341"/>
      <c r="AK87" s="3341"/>
      <c r="AL87" s="3341"/>
      <c r="AM87" s="3341"/>
      <c r="AN87" s="3341"/>
      <c r="AO87" s="3341"/>
      <c r="AP87" s="3341"/>
      <c r="AR87" s="3630"/>
    </row>
    <row r="88" customHeight="1" spans="3:44">
      <c r="C88" s="3607" t="s">
        <v>413</v>
      </c>
      <c r="D88" s="3614"/>
      <c r="E88" s="5063" t="s">
        <v>1400</v>
      </c>
      <c r="F88" s="3607"/>
      <c r="G88" s="3607"/>
      <c r="H88" s="3607"/>
      <c r="I88" s="3607"/>
      <c r="J88" s="3607"/>
      <c r="K88" s="3607"/>
      <c r="L88" s="3607"/>
      <c r="M88" s="3607"/>
      <c r="N88" s="3607"/>
      <c r="O88" s="3607"/>
      <c r="P88" s="3607"/>
      <c r="Q88" s="3607"/>
      <c r="R88" s="3607"/>
      <c r="S88" s="3607"/>
      <c r="T88" s="3607"/>
      <c r="U88" s="3607"/>
      <c r="V88" s="3607"/>
      <c r="W88" s="3607"/>
      <c r="X88" s="3607"/>
      <c r="Y88" s="3607"/>
      <c r="Z88" s="3607"/>
      <c r="AA88" s="3607"/>
      <c r="AB88" s="3607"/>
      <c r="AC88" s="3607"/>
      <c r="AD88" s="3607"/>
      <c r="AE88" s="3607"/>
      <c r="AF88" s="3607"/>
      <c r="AG88" s="3607"/>
      <c r="AH88" s="3607"/>
      <c r="AI88"/>
      <c r="AJ88"/>
      <c r="AK88"/>
      <c r="AL88"/>
      <c r="AM88"/>
      <c r="AN88"/>
      <c r="AO88"/>
      <c r="AP88"/>
      <c r="AR88" s="3630"/>
    </row>
    <row r="89" ht="9.2" customHeight="1" spans="3:44">
      <c r="C89" s="3614"/>
      <c r="D89" s="3614"/>
      <c r="E89" s="3341"/>
      <c r="F89" s="3341"/>
      <c r="G89" s="3341"/>
      <c r="H89" s="3341"/>
      <c r="I89" s="3341"/>
      <c r="J89" s="3341"/>
      <c r="K89" s="3341"/>
      <c r="L89" s="3341"/>
      <c r="M89" s="3341"/>
      <c r="N89" s="3341"/>
      <c r="O89" s="3341"/>
      <c r="P89" s="3341"/>
      <c r="Q89" s="3341"/>
      <c r="R89" s="3341"/>
      <c r="S89" s="3341"/>
      <c r="T89" s="3341"/>
      <c r="U89" s="3341"/>
      <c r="V89" s="3341"/>
      <c r="W89" s="3341"/>
      <c r="X89" s="3341"/>
      <c r="Y89" s="3341"/>
      <c r="Z89" s="3341"/>
      <c r="AA89" s="3341"/>
      <c r="AB89" s="3341"/>
      <c r="AC89" s="3341"/>
      <c r="AD89" s="3341"/>
      <c r="AE89" s="3341"/>
      <c r="AF89" s="3341"/>
      <c r="AG89" s="3341"/>
      <c r="AH89" s="3341"/>
      <c r="AI89" s="3341"/>
      <c r="AJ89" s="3341"/>
      <c r="AK89" s="3341"/>
      <c r="AL89" s="3341"/>
      <c r="AM89" s="3341"/>
      <c r="AN89" s="3341"/>
      <c r="AO89" s="3341"/>
      <c r="AP89" s="3341"/>
      <c r="AR89" s="3630"/>
    </row>
    <row r="90" ht="23.45" customHeight="1" spans="3:44">
      <c r="C90" s="3614"/>
      <c r="D90" s="3614"/>
      <c r="E90" s="2104" t="s">
        <v>1401</v>
      </c>
      <c r="F90" s="2146"/>
      <c r="G90" s="2146"/>
      <c r="H90" s="2146"/>
      <c r="I90" s="2146"/>
      <c r="J90" s="2146"/>
      <c r="K90" s="2146"/>
      <c r="L90" s="2146"/>
      <c r="M90" s="2146"/>
      <c r="N90" s="2146"/>
      <c r="O90" s="2146"/>
      <c r="P90" s="2146"/>
      <c r="Q90" s="2146"/>
      <c r="R90" s="2146"/>
      <c r="S90" s="2146"/>
      <c r="T90" s="2146"/>
      <c r="U90" s="2146"/>
      <c r="V90" s="2146"/>
      <c r="W90" s="2146"/>
      <c r="X90" s="2146"/>
      <c r="Y90" s="2146"/>
      <c r="Z90" s="2146"/>
      <c r="AA90" s="2146"/>
      <c r="AB90" s="2146"/>
      <c r="AC90" s="2146"/>
      <c r="AD90" s="2146"/>
      <c r="AE90" s="2146"/>
      <c r="AF90" s="2146"/>
      <c r="AG90" s="2146"/>
      <c r="AH90" s="2146"/>
      <c r="AI90" s="2146"/>
      <c r="AJ90" s="2146"/>
      <c r="AK90" s="2146"/>
      <c r="AL90" s="2146"/>
      <c r="AM90" s="2146"/>
      <c r="AN90" s="2146"/>
      <c r="AO90" s="2146"/>
      <c r="AP90" s="2146"/>
      <c r="AR90" s="3630"/>
    </row>
    <row r="91" ht="9.2" customHeight="1" spans="3:44">
      <c r="C91" s="3614"/>
      <c r="D91" s="3614"/>
      <c r="E91" s="2104"/>
      <c r="F91" s="2146"/>
      <c r="G91" s="2146"/>
      <c r="H91" s="2146"/>
      <c r="I91" s="2146"/>
      <c r="J91" s="2146"/>
      <c r="K91" s="2146"/>
      <c r="L91" s="2146"/>
      <c r="M91" s="2146"/>
      <c r="N91" s="2146"/>
      <c r="O91" s="2146"/>
      <c r="P91" s="2146"/>
      <c r="Q91" s="2146"/>
      <c r="R91" s="2146"/>
      <c r="S91" s="2146"/>
      <c r="T91" s="2146"/>
      <c r="U91" s="2146"/>
      <c r="V91" s="2146"/>
      <c r="W91" s="2146"/>
      <c r="X91" s="2146"/>
      <c r="Y91" s="2146"/>
      <c r="Z91" s="2146"/>
      <c r="AA91" s="2146"/>
      <c r="AB91" s="2146"/>
      <c r="AC91" s="2146"/>
      <c r="AD91" s="2146"/>
      <c r="AE91" s="2146"/>
      <c r="AF91" s="2146"/>
      <c r="AG91" s="2146"/>
      <c r="AH91" s="2146"/>
      <c r="AI91" s="2146"/>
      <c r="AJ91" s="2146"/>
      <c r="AK91" s="2146"/>
      <c r="AL91" s="2146"/>
      <c r="AM91" s="2146"/>
      <c r="AN91" s="2146"/>
      <c r="AO91" s="2146"/>
      <c r="AP91" s="2146"/>
      <c r="AR91" s="3630"/>
    </row>
    <row r="92" ht="14.45" customHeight="1" spans="3:42">
      <c r="C92" s="3607" t="s">
        <v>418</v>
      </c>
      <c r="D92" s="3614"/>
      <c r="E92" s="5063" t="s">
        <v>1402</v>
      </c>
      <c r="F92" s="3607"/>
      <c r="G92" s="3607"/>
      <c r="H92" s="3607"/>
      <c r="I92" s="3607"/>
      <c r="J92" s="3607"/>
      <c r="K92" s="3607"/>
      <c r="L92" s="3607"/>
      <c r="M92" s="3607"/>
      <c r="N92" s="3607"/>
      <c r="O92" s="3607"/>
      <c r="P92" s="3607"/>
      <c r="Q92" s="3607"/>
      <c r="R92" s="3607"/>
      <c r="S92" s="3607"/>
      <c r="T92" s="3607"/>
      <c r="U92" s="3607"/>
      <c r="V92" s="3607"/>
      <c r="W92" s="3607"/>
      <c r="X92" s="3607"/>
      <c r="Y92" s="3607"/>
      <c r="Z92" s="3607"/>
      <c r="AA92" s="3607"/>
      <c r="AB92" s="3607"/>
      <c r="AC92" s="3607"/>
      <c r="AD92" s="3607"/>
      <c r="AE92" s="3607"/>
      <c r="AF92" s="3607"/>
      <c r="AG92" s="3607"/>
      <c r="AH92" s="3607"/>
      <c r="AI92"/>
      <c r="AJ92"/>
      <c r="AK92"/>
      <c r="AL92"/>
      <c r="AM92"/>
      <c r="AN92"/>
      <c r="AO92"/>
      <c r="AP92"/>
    </row>
    <row r="93" ht="9.2" customHeight="1" spans="3:81">
      <c r="C93" s="3614"/>
      <c r="D93" s="3614"/>
      <c r="E93" s="3341"/>
      <c r="F93" s="3341"/>
      <c r="G93" s="3341"/>
      <c r="H93" s="3341"/>
      <c r="I93" s="3341"/>
      <c r="J93" s="3341"/>
      <c r="K93" s="3341"/>
      <c r="L93" s="3341"/>
      <c r="M93" s="3341"/>
      <c r="N93" s="3341"/>
      <c r="O93" s="3341"/>
      <c r="P93" s="3341"/>
      <c r="Q93" s="3341"/>
      <c r="R93" s="3341"/>
      <c r="S93" s="3341"/>
      <c r="T93" s="3341"/>
      <c r="U93" s="3341"/>
      <c r="V93" s="3341"/>
      <c r="W93" s="3341"/>
      <c r="X93" s="3341"/>
      <c r="Y93" s="3341"/>
      <c r="Z93" s="3341"/>
      <c r="AA93" s="3341"/>
      <c r="AB93" s="3341"/>
      <c r="AC93" s="3341"/>
      <c r="AD93" s="3341"/>
      <c r="AE93" s="3341"/>
      <c r="AF93" s="3341"/>
      <c r="AG93" s="3341"/>
      <c r="AH93" s="3341"/>
      <c r="AI93" s="3341"/>
      <c r="AJ93" s="3341"/>
      <c r="AK93" s="3341"/>
      <c r="AL93" s="3341"/>
      <c r="AM93" s="3341"/>
      <c r="AN93" s="3341"/>
      <c r="AO93" s="3341"/>
      <c r="AP93" s="3341"/>
      <c r="BW93" s="64"/>
      <c r="BX93" s="64"/>
      <c r="CB93" s="64"/>
      <c r="CC93" s="64"/>
    </row>
    <row r="94" ht="46.5" customHeight="1" spans="3:44">
      <c r="C94" s="3614"/>
      <c r="D94" s="3614"/>
      <c r="E94" s="2104" t="s">
        <v>1403</v>
      </c>
      <c r="F94" s="2146"/>
      <c r="G94" s="2146"/>
      <c r="H94" s="2146"/>
      <c r="I94" s="2146"/>
      <c r="J94" s="2146"/>
      <c r="K94" s="2146"/>
      <c r="L94" s="2146"/>
      <c r="M94" s="2146"/>
      <c r="N94" s="2146"/>
      <c r="O94" s="2146"/>
      <c r="P94" s="2146"/>
      <c r="Q94" s="2146"/>
      <c r="R94" s="2146"/>
      <c r="S94" s="2146"/>
      <c r="T94" s="2146"/>
      <c r="U94" s="2146"/>
      <c r="V94" s="2146"/>
      <c r="W94" s="2146"/>
      <c r="X94" s="2146"/>
      <c r="Y94" s="2146"/>
      <c r="Z94" s="2146"/>
      <c r="AA94" s="2146"/>
      <c r="AB94" s="2146"/>
      <c r="AC94" s="2146"/>
      <c r="AD94" s="2146"/>
      <c r="AE94" s="2146"/>
      <c r="AF94" s="2146"/>
      <c r="AG94" s="2146"/>
      <c r="AH94" s="2146"/>
      <c r="AI94" s="2146"/>
      <c r="AJ94" s="2146"/>
      <c r="AK94" s="2146"/>
      <c r="AL94" s="2146"/>
      <c r="AM94" s="2146"/>
      <c r="AN94" s="2146"/>
      <c r="AO94" s="2146"/>
      <c r="AP94" s="2146"/>
      <c r="AR94" s="3649"/>
    </row>
    <row r="95" ht="8.45" customHeight="1" spans="3:41">
      <c r="C95" s="3614"/>
      <c r="D95" s="3614"/>
      <c r="AI95" s="3606"/>
      <c r="AJ95" s="3606"/>
      <c r="AN95" s="3606"/>
      <c r="AO95" s="3606"/>
    </row>
    <row r="96" s="3606" customFormat="1" ht="11.4" spans="3:39">
      <c r="C96" s="3614"/>
      <c r="D96" s="3614"/>
      <c r="E96" s="3631" t="s">
        <v>1404</v>
      </c>
      <c r="F96" s="3631"/>
      <c r="G96" s="3631"/>
      <c r="H96" s="3631"/>
      <c r="I96" s="3631"/>
      <c r="J96" s="3631"/>
      <c r="K96" s="3631"/>
      <c r="L96" s="3631"/>
      <c r="M96" s="3631"/>
      <c r="N96" s="3631"/>
      <c r="O96" s="3631"/>
      <c r="P96" s="3631"/>
      <c r="Q96" s="3631"/>
      <c r="R96" s="3631"/>
      <c r="S96" s="3631"/>
      <c r="T96" s="3631"/>
      <c r="W96" s="3611"/>
      <c r="X96" s="3611"/>
      <c r="Y96" s="3611"/>
      <c r="Z96" s="3644" t="s">
        <v>1405</v>
      </c>
      <c r="AA96" s="3611"/>
      <c r="AB96" s="3611"/>
      <c r="AC96" s="3611"/>
      <c r="AG96" s="3611"/>
      <c r="AH96" s="3611"/>
      <c r="AI96" s="3611"/>
      <c r="AJ96" s="3646" t="s">
        <v>233</v>
      </c>
      <c r="AK96" s="3611"/>
      <c r="AL96" s="3611"/>
      <c r="AM96" s="3611"/>
    </row>
    <row r="97" s="3606" customFormat="1" ht="11.4" spans="3:42">
      <c r="C97" s="3614"/>
      <c r="D97" s="3614"/>
      <c r="E97" s="3632" t="s">
        <v>1406</v>
      </c>
      <c r="F97" s="2146"/>
      <c r="G97" s="2146"/>
      <c r="H97" s="2146"/>
      <c r="I97" s="2146"/>
      <c r="J97" s="2146"/>
      <c r="K97" s="2146"/>
      <c r="L97" s="2146"/>
      <c r="M97" s="2146"/>
      <c r="N97" s="2146"/>
      <c r="O97" s="2146"/>
      <c r="P97" s="3632" t="s">
        <v>1407</v>
      </c>
      <c r="Q97" s="2146"/>
      <c r="R97" s="2146"/>
      <c r="S97" s="2146"/>
      <c r="T97" s="2146"/>
      <c r="U97" s="2146"/>
      <c r="V97" s="2146"/>
      <c r="W97" s="2146"/>
      <c r="Z97" s="3645" t="s">
        <v>1408</v>
      </c>
      <c r="AA97" s="2146"/>
      <c r="AB97" s="2146"/>
      <c r="AC97" s="2146"/>
      <c r="AD97" s="2146"/>
      <c r="AF97" s="2146"/>
      <c r="AG97" s="2146"/>
      <c r="AH97" s="2146"/>
      <c r="AJ97" s="5064" t="s">
        <v>168</v>
      </c>
      <c r="AK97" s="2146"/>
      <c r="AL97" s="2146"/>
      <c r="AM97" s="2146"/>
      <c r="AN97" s="2146"/>
      <c r="AO97" s="2146"/>
      <c r="AP97" s="2146"/>
    </row>
    <row r="98" s="3606" customFormat="1" ht="11.4" hidden="1" spans="3:42">
      <c r="C98" s="3614"/>
      <c r="D98" s="3614"/>
      <c r="E98" s="3632" t="s">
        <v>1409</v>
      </c>
      <c r="F98" s="2146"/>
      <c r="G98" s="2146"/>
      <c r="H98" s="2146"/>
      <c r="I98" s="2146"/>
      <c r="J98" s="2146"/>
      <c r="K98" s="2146"/>
      <c r="L98" s="2146"/>
      <c r="M98" s="2146"/>
      <c r="N98" s="2146"/>
      <c r="O98" s="2146"/>
      <c r="P98" s="3632" t="s">
        <v>1410</v>
      </c>
      <c r="Q98" s="2146"/>
      <c r="R98" s="2146"/>
      <c r="S98" s="2146"/>
      <c r="T98" s="2146"/>
      <c r="U98" s="2146"/>
      <c r="V98" s="2146"/>
      <c r="W98" s="2146"/>
      <c r="Z98" s="3645" t="s">
        <v>1411</v>
      </c>
      <c r="AA98" s="2146"/>
      <c r="AB98" s="2146"/>
      <c r="AC98" s="2146"/>
      <c r="AD98" s="2146"/>
      <c r="AF98" s="2146"/>
      <c r="AG98" s="2146"/>
      <c r="AH98" s="2146"/>
      <c r="AJ98" s="3647" t="s">
        <v>1412</v>
      </c>
      <c r="AK98" s="2146"/>
      <c r="AL98" s="2146"/>
      <c r="AM98" s="2146"/>
      <c r="AN98" s="2146"/>
      <c r="AO98" s="2146"/>
      <c r="AP98" s="2146"/>
    </row>
    <row r="99" s="3606" customFormat="1" ht="11.4" spans="3:42">
      <c r="C99" s="3614"/>
      <c r="D99" s="3614"/>
      <c r="E99" s="3632" t="s">
        <v>1413</v>
      </c>
      <c r="F99" s="2146"/>
      <c r="G99" s="2146"/>
      <c r="H99" s="2146"/>
      <c r="I99" s="2146"/>
      <c r="J99" s="2146"/>
      <c r="K99" s="2146"/>
      <c r="L99" s="2146"/>
      <c r="M99" s="2146"/>
      <c r="N99" s="2146"/>
      <c r="O99" s="2146"/>
      <c r="P99" s="3632" t="s">
        <v>1414</v>
      </c>
      <c r="Q99" s="2146"/>
      <c r="R99" s="2146"/>
      <c r="S99" s="2146"/>
      <c r="T99" s="2146"/>
      <c r="U99" s="2146"/>
      <c r="V99" s="2146"/>
      <c r="W99" s="2146"/>
      <c r="Z99" s="3645" t="s">
        <v>1415</v>
      </c>
      <c r="AA99" s="2146"/>
      <c r="AB99" s="2146"/>
      <c r="AC99" s="2146"/>
      <c r="AD99" s="2146"/>
      <c r="AF99" s="2146"/>
      <c r="AG99" s="2146"/>
      <c r="AH99" s="2146"/>
      <c r="AJ99" s="5064" t="s">
        <v>1416</v>
      </c>
      <c r="AK99" s="2146"/>
      <c r="AL99" s="2146"/>
      <c r="AM99" s="2146"/>
      <c r="AN99" s="2146"/>
      <c r="AO99" s="2146"/>
      <c r="AP99" s="2146"/>
    </row>
    <row r="100" s="3606" customFormat="1" ht="11.4" spans="3:42">
      <c r="C100" s="3614"/>
      <c r="D100" s="3614"/>
      <c r="E100" s="3632" t="s">
        <v>1417</v>
      </c>
      <c r="F100" s="2146"/>
      <c r="G100" s="2146"/>
      <c r="H100" s="2146"/>
      <c r="I100" s="2146"/>
      <c r="J100" s="2146"/>
      <c r="K100" s="2146"/>
      <c r="L100" s="2146"/>
      <c r="M100" s="2146"/>
      <c r="N100" s="2146"/>
      <c r="O100" s="2146"/>
      <c r="P100" s="3632" t="s">
        <v>1410</v>
      </c>
      <c r="Q100" s="2146"/>
      <c r="R100" s="2146"/>
      <c r="S100" s="2146"/>
      <c r="T100" s="2146"/>
      <c r="U100" s="2146"/>
      <c r="V100" s="2146"/>
      <c r="W100" s="2146"/>
      <c r="Z100" s="3645" t="s">
        <v>1418</v>
      </c>
      <c r="AA100" s="2146"/>
      <c r="AB100" s="2146"/>
      <c r="AC100" s="2146"/>
      <c r="AD100" s="2146"/>
      <c r="AF100" s="2146"/>
      <c r="AG100" s="2146"/>
      <c r="AH100" s="2146"/>
      <c r="AJ100" s="5064" t="s">
        <v>1419</v>
      </c>
      <c r="AK100" s="2146"/>
      <c r="AL100" s="2146"/>
      <c r="AM100" s="2146"/>
      <c r="AN100" s="2146"/>
      <c r="AO100" s="2146"/>
      <c r="AP100" s="2146"/>
    </row>
    <row r="101" s="3606" customFormat="1" ht="11.4" spans="3:42">
      <c r="C101" s="3614"/>
      <c r="D101" s="3614"/>
      <c r="E101" s="3632" t="s">
        <v>127</v>
      </c>
      <c r="F101" s="2146"/>
      <c r="G101" s="2146"/>
      <c r="H101" s="2146"/>
      <c r="I101" s="2146"/>
      <c r="J101" s="2146"/>
      <c r="K101" s="2146"/>
      <c r="L101" s="2146"/>
      <c r="M101" s="2146"/>
      <c r="N101" s="2146"/>
      <c r="O101" s="2146"/>
      <c r="P101" s="3632" t="s">
        <v>1414</v>
      </c>
      <c r="Q101" s="2146"/>
      <c r="R101" s="2146"/>
      <c r="S101" s="2146"/>
      <c r="T101" s="2146"/>
      <c r="U101" s="2146"/>
      <c r="V101" s="2146"/>
      <c r="W101" s="2146"/>
      <c r="Z101" s="3645" t="s">
        <v>1415</v>
      </c>
      <c r="AA101" s="2146"/>
      <c r="AB101" s="2146"/>
      <c r="AC101" s="2146"/>
      <c r="AD101" s="2146"/>
      <c r="AF101" s="2146"/>
      <c r="AG101" s="2146"/>
      <c r="AH101" s="2146"/>
      <c r="AJ101" s="5064" t="s">
        <v>1416</v>
      </c>
      <c r="AK101" s="2146"/>
      <c r="AL101" s="2146"/>
      <c r="AM101" s="2146"/>
      <c r="AN101" s="2146"/>
      <c r="AO101" s="2146"/>
      <c r="AP101" s="2146"/>
    </row>
    <row r="102" s="3606" customFormat="1" ht="11.4" spans="3:42">
      <c r="C102" s="3614"/>
      <c r="D102" s="3614"/>
      <c r="E102" s="2146"/>
      <c r="F102" s="2146"/>
      <c r="G102" s="2146"/>
      <c r="H102" s="2146"/>
      <c r="I102" s="2146"/>
      <c r="J102" s="2146"/>
      <c r="K102" s="2146"/>
      <c r="L102" s="2146"/>
      <c r="M102" s="2146"/>
      <c r="N102" s="2146"/>
      <c r="O102" s="2146"/>
      <c r="P102" s="2146"/>
      <c r="Q102" s="2146"/>
      <c r="R102" s="2146"/>
      <c r="S102" s="2146"/>
      <c r="T102" s="2146"/>
      <c r="U102" s="2146"/>
      <c r="V102" s="2146"/>
      <c r="W102" s="2146"/>
      <c r="X102" s="2146"/>
      <c r="Y102" s="2146"/>
      <c r="Z102" s="2146"/>
      <c r="AA102" s="2146"/>
      <c r="AB102" s="2146"/>
      <c r="AC102" s="2146"/>
      <c r="AD102" s="2146"/>
      <c r="AE102" s="2146"/>
      <c r="AF102" s="2146"/>
      <c r="AG102" s="2146"/>
      <c r="AH102" s="2146"/>
      <c r="AI102" s="2146"/>
      <c r="AJ102" s="2146"/>
      <c r="AK102" s="2146"/>
      <c r="AL102" s="2146"/>
      <c r="AM102" s="2146"/>
      <c r="AN102" s="2146"/>
      <c r="AO102" s="2146"/>
      <c r="AP102" s="2146"/>
    </row>
    <row r="103" s="3606" customFormat="1" ht="11.4" spans="3:42">
      <c r="C103" s="3614"/>
      <c r="D103" s="3614"/>
      <c r="E103" s="2146"/>
      <c r="F103" s="2146"/>
      <c r="G103" s="2146"/>
      <c r="H103" s="2146"/>
      <c r="I103" s="2146"/>
      <c r="J103" s="2146"/>
      <c r="K103" s="2146"/>
      <c r="L103" s="2146"/>
      <c r="M103" s="2146"/>
      <c r="N103" s="2146"/>
      <c r="O103" s="2146"/>
      <c r="P103" s="2146"/>
      <c r="Q103" s="2146"/>
      <c r="R103" s="2146"/>
      <c r="S103" s="2146"/>
      <c r="T103" s="2146"/>
      <c r="U103" s="2146"/>
      <c r="V103" s="2146"/>
      <c r="W103" s="2146"/>
      <c r="X103" s="2146"/>
      <c r="Y103" s="2146"/>
      <c r="Z103" s="2146"/>
      <c r="AA103" s="2146"/>
      <c r="AB103" s="2146"/>
      <c r="AC103" s="2146"/>
      <c r="AD103" s="2146"/>
      <c r="AE103" s="2146"/>
      <c r="AF103" s="2146"/>
      <c r="AG103" s="2146"/>
      <c r="AH103" s="2146"/>
      <c r="AI103" s="2146"/>
      <c r="AJ103" s="2146"/>
      <c r="AK103" s="2146"/>
      <c r="AL103" s="2146"/>
      <c r="AM103" s="2146"/>
      <c r="AN103" s="2146"/>
      <c r="AO103" s="2146"/>
      <c r="AP103" s="2146"/>
    </row>
    <row r="104" s="3606" customFormat="1" ht="11.4" spans="3:42">
      <c r="C104" s="3614"/>
      <c r="D104" s="3614"/>
      <c r="E104" s="2146"/>
      <c r="F104" s="2146"/>
      <c r="G104" s="2146"/>
      <c r="H104" s="2146"/>
      <c r="I104" s="2146"/>
      <c r="J104" s="2146"/>
      <c r="K104" s="2146"/>
      <c r="L104" s="2146"/>
      <c r="M104" s="2146"/>
      <c r="N104" s="2146"/>
      <c r="O104" s="2146"/>
      <c r="P104" s="2146"/>
      <c r="Q104" s="2146"/>
      <c r="R104" s="2146"/>
      <c r="S104" s="2146"/>
      <c r="T104" s="2146"/>
      <c r="U104" s="2146"/>
      <c r="V104" s="2146"/>
      <c r="W104" s="2146"/>
      <c r="X104" s="2146"/>
      <c r="Y104" s="2146"/>
      <c r="Z104" s="2146"/>
      <c r="AA104" s="2146"/>
      <c r="AB104" s="2146"/>
      <c r="AC104" s="2146"/>
      <c r="AD104" s="2146"/>
      <c r="AE104" s="2146"/>
      <c r="AF104" s="2146"/>
      <c r="AG104" s="2146"/>
      <c r="AH104" s="2146"/>
      <c r="AI104" s="2146"/>
      <c r="AJ104" s="2146"/>
      <c r="AK104" s="2146"/>
      <c r="AL104" s="2146"/>
      <c r="AM104" s="2146"/>
      <c r="AN104" s="2146"/>
      <c r="AO104" s="2146"/>
      <c r="AP104" s="2146"/>
    </row>
    <row r="105" s="3606" customFormat="1" spans="3:42">
      <c r="C105" s="3607" t="s">
        <v>418</v>
      </c>
      <c r="D105" s="3614"/>
      <c r="E105" s="5063" t="s">
        <v>1420</v>
      </c>
      <c r="F105" s="2146"/>
      <c r="G105" s="2146"/>
      <c r="H105" s="2146"/>
      <c r="I105" s="2146"/>
      <c r="J105" s="2146"/>
      <c r="K105" s="2146"/>
      <c r="L105" s="2146"/>
      <c r="M105" s="2146"/>
      <c r="N105" s="2146"/>
      <c r="O105" s="2146"/>
      <c r="P105" s="2146"/>
      <c r="Q105" s="2146"/>
      <c r="R105" s="2146"/>
      <c r="S105" s="2146"/>
      <c r="T105" s="2146"/>
      <c r="U105" s="2146"/>
      <c r="V105" s="2146"/>
      <c r="W105" s="2146"/>
      <c r="X105" s="2146"/>
      <c r="Y105" s="2146"/>
      <c r="Z105" s="2146"/>
      <c r="AA105" s="2146"/>
      <c r="AB105" s="2146"/>
      <c r="AC105" s="2146"/>
      <c r="AD105" s="2146"/>
      <c r="AE105" s="2146"/>
      <c r="AF105" s="2146"/>
      <c r="AG105" s="2146"/>
      <c r="AH105" s="2146"/>
      <c r="AI105" s="2146"/>
      <c r="AJ105" s="2146"/>
      <c r="AK105" s="2146"/>
      <c r="AL105" s="2146"/>
      <c r="AM105" s="2146"/>
      <c r="AN105" s="2146"/>
      <c r="AO105" s="2146"/>
      <c r="AP105" s="2146"/>
    </row>
    <row r="106" s="3606" customFormat="1" spans="3:42">
      <c r="C106" s="3607"/>
      <c r="D106" s="3614"/>
      <c r="E106" s="3607"/>
      <c r="F106" s="2146"/>
      <c r="G106" s="2146"/>
      <c r="H106" s="2146"/>
      <c r="I106" s="2146"/>
      <c r="J106" s="2146"/>
      <c r="K106" s="2146"/>
      <c r="L106" s="2146"/>
      <c r="M106" s="2146"/>
      <c r="N106" s="2146"/>
      <c r="O106" s="2146"/>
      <c r="P106" s="2146"/>
      <c r="Q106" s="2146"/>
      <c r="R106" s="2146"/>
      <c r="S106" s="2146"/>
      <c r="T106" s="2146"/>
      <c r="U106" s="2146"/>
      <c r="V106" s="2146"/>
      <c r="W106" s="2146"/>
      <c r="X106" s="2146"/>
      <c r="Y106" s="2146"/>
      <c r="Z106" s="2146"/>
      <c r="AA106" s="2146"/>
      <c r="AB106" s="2146"/>
      <c r="AC106" s="2146"/>
      <c r="AD106" s="2146"/>
      <c r="AE106" s="2146"/>
      <c r="AF106" s="2146"/>
      <c r="AG106" s="2146"/>
      <c r="AH106" s="2146"/>
      <c r="AI106" s="2146"/>
      <c r="AJ106" s="2146"/>
      <c r="AK106" s="2146"/>
      <c r="AL106" s="2146"/>
      <c r="AM106" s="2146"/>
      <c r="AN106" s="2146"/>
      <c r="AO106" s="2146"/>
      <c r="AP106" s="2146"/>
    </row>
    <row r="107" s="3606" customFormat="1" ht="80.45" customHeight="1" spans="3:42">
      <c r="C107" s="3614"/>
      <c r="D107" s="3614"/>
      <c r="E107" s="5065" t="s">
        <v>1421</v>
      </c>
      <c r="F107" s="2146"/>
      <c r="G107" s="2146"/>
      <c r="H107" s="2146"/>
      <c r="I107" s="2146"/>
      <c r="J107" s="2146"/>
      <c r="K107" s="2146"/>
      <c r="L107" s="2146"/>
      <c r="M107" s="2146"/>
      <c r="N107" s="2146"/>
      <c r="O107" s="2146"/>
      <c r="P107" s="2146"/>
      <c r="Q107" s="2146"/>
      <c r="R107" s="2146"/>
      <c r="S107" s="2146"/>
      <c r="T107" s="2146"/>
      <c r="U107" s="2146"/>
      <c r="V107" s="2146"/>
      <c r="W107" s="2146"/>
      <c r="X107" s="2146"/>
      <c r="Y107" s="2146"/>
      <c r="Z107" s="2146"/>
      <c r="AA107" s="2146"/>
      <c r="AB107" s="2146"/>
      <c r="AC107" s="2146"/>
      <c r="AD107" s="2146"/>
      <c r="AE107" s="2146"/>
      <c r="AF107" s="2146"/>
      <c r="AG107" s="2146"/>
      <c r="AH107" s="2146"/>
      <c r="AI107" s="2146"/>
      <c r="AJ107" s="2146"/>
      <c r="AK107" s="2146"/>
      <c r="AL107" s="2146"/>
      <c r="AM107" s="2146"/>
      <c r="AN107" s="2146"/>
      <c r="AO107" s="2146"/>
      <c r="AP107" s="2146"/>
    </row>
    <row r="108" ht="9.2" customHeight="1" spans="2:44">
      <c r="B108" s="3608"/>
      <c r="D108" s="3619"/>
      <c r="E108" s="3619"/>
      <c r="F108" s="3619"/>
      <c r="G108" s="2146"/>
      <c r="H108" s="2146"/>
      <c r="I108" s="2146"/>
      <c r="J108" s="2146"/>
      <c r="K108" s="2146"/>
      <c r="L108" s="2146"/>
      <c r="M108" s="2146"/>
      <c r="N108" s="2146"/>
      <c r="O108" s="2146"/>
      <c r="P108" s="2146"/>
      <c r="Q108" s="2146"/>
      <c r="R108" s="2146"/>
      <c r="S108" s="2146"/>
      <c r="T108" s="2146"/>
      <c r="U108" s="2146"/>
      <c r="V108" s="2146"/>
      <c r="W108" s="2146"/>
      <c r="X108" s="2146"/>
      <c r="Y108" s="2146"/>
      <c r="Z108" s="2146"/>
      <c r="AA108" s="2146"/>
      <c r="AB108" s="2146"/>
      <c r="AC108" s="2146"/>
      <c r="AD108" s="2146"/>
      <c r="AE108" s="2146"/>
      <c r="AF108" s="2146"/>
      <c r="AG108" s="2146"/>
      <c r="AH108" s="2146"/>
      <c r="AR108" s="3630"/>
    </row>
    <row r="109" customHeight="1" spans="3:44">
      <c r="C109" s="3607" t="s">
        <v>422</v>
      </c>
      <c r="D109" s="3614"/>
      <c r="E109" s="5063" t="s">
        <v>1422</v>
      </c>
      <c r="F109" s="3607"/>
      <c r="G109" s="2146"/>
      <c r="H109" s="2146"/>
      <c r="I109" s="2146"/>
      <c r="J109" s="2146"/>
      <c r="K109" s="2146"/>
      <c r="L109" s="2146"/>
      <c r="M109" s="2146"/>
      <c r="N109" s="2146"/>
      <c r="O109" s="2146"/>
      <c r="P109" s="2146"/>
      <c r="Q109" s="2146"/>
      <c r="R109" s="2146"/>
      <c r="S109" s="2146"/>
      <c r="T109" s="2146"/>
      <c r="U109" s="2146"/>
      <c r="V109" s="2146"/>
      <c r="W109" s="2146"/>
      <c r="X109" s="2146"/>
      <c r="Y109" s="2146"/>
      <c r="Z109" s="2146"/>
      <c r="AA109" s="2146"/>
      <c r="AB109" s="2146"/>
      <c r="AC109" s="2146"/>
      <c r="AD109" s="2146"/>
      <c r="AE109" s="2146"/>
      <c r="AF109" s="2146"/>
      <c r="AG109" s="2146"/>
      <c r="AH109" s="2146"/>
      <c r="AR109" s="3630"/>
    </row>
    <row r="110" ht="9.2" customHeight="1" spans="3:44">
      <c r="C110" s="3614"/>
      <c r="D110" s="3614"/>
      <c r="E110" s="2146"/>
      <c r="F110" s="2146"/>
      <c r="G110" s="2146"/>
      <c r="H110" s="2146"/>
      <c r="I110" s="2146"/>
      <c r="J110" s="2146"/>
      <c r="K110" s="2146"/>
      <c r="L110" s="2146"/>
      <c r="M110" s="2146"/>
      <c r="N110" s="2146"/>
      <c r="O110" s="2146"/>
      <c r="P110" s="2146"/>
      <c r="Q110" s="2146"/>
      <c r="R110" s="2146"/>
      <c r="S110" s="2146"/>
      <c r="T110" s="2146"/>
      <c r="U110" s="2146"/>
      <c r="V110" s="2146"/>
      <c r="W110" s="2146"/>
      <c r="X110" s="2146"/>
      <c r="Y110" s="2146"/>
      <c r="Z110" s="2146"/>
      <c r="AA110" s="2146"/>
      <c r="AB110" s="2146"/>
      <c r="AC110" s="2146"/>
      <c r="AD110" s="2146"/>
      <c r="AE110" s="2146"/>
      <c r="AF110" s="2146"/>
      <c r="AG110" s="2146"/>
      <c r="AH110" s="2146"/>
      <c r="AR110" s="3630"/>
    </row>
    <row r="111" ht="24" customHeight="1" spans="3:44">
      <c r="C111" s="3614"/>
      <c r="D111" s="3614"/>
      <c r="E111" s="5066" t="s">
        <v>1423</v>
      </c>
      <c r="F111" s="3633"/>
      <c r="G111" s="3633"/>
      <c r="H111" s="3633"/>
      <c r="I111" s="3633"/>
      <c r="J111" s="3633"/>
      <c r="K111" s="3633"/>
      <c r="L111" s="3633"/>
      <c r="M111" s="3633"/>
      <c r="N111" s="3633"/>
      <c r="O111" s="3633"/>
      <c r="P111" s="3633"/>
      <c r="Q111" s="3633"/>
      <c r="R111" s="3633"/>
      <c r="S111" s="3633"/>
      <c r="T111" s="3633"/>
      <c r="U111" s="3633"/>
      <c r="V111" s="3633"/>
      <c r="W111" s="3633"/>
      <c r="X111" s="3633"/>
      <c r="Y111" s="3633"/>
      <c r="Z111" s="3633"/>
      <c r="AA111" s="3633"/>
      <c r="AB111" s="3633"/>
      <c r="AC111" s="3633"/>
      <c r="AD111" s="3633"/>
      <c r="AE111" s="3633"/>
      <c r="AF111" s="3633"/>
      <c r="AG111" s="3633"/>
      <c r="AH111" s="3633"/>
      <c r="AI111" s="3633"/>
      <c r="AJ111" s="3633"/>
      <c r="AK111" s="3633"/>
      <c r="AL111" s="3633"/>
      <c r="AM111" s="3633"/>
      <c r="AN111" s="3633"/>
      <c r="AO111" s="3633"/>
      <c r="AP111" s="3633"/>
      <c r="AR111" s="3630"/>
    </row>
    <row r="112" ht="9.2" customHeight="1" spans="3:44">
      <c r="C112" s="3614"/>
      <c r="D112" s="3614"/>
      <c r="E112" s="2146"/>
      <c r="F112" s="2146"/>
      <c r="G112" s="2146"/>
      <c r="H112" s="2146"/>
      <c r="I112" s="2146"/>
      <c r="J112" s="2146"/>
      <c r="K112" s="2146"/>
      <c r="L112" s="2146"/>
      <c r="M112" s="2146"/>
      <c r="N112" s="2146"/>
      <c r="O112" s="2146"/>
      <c r="P112" s="2146"/>
      <c r="Q112" s="2146"/>
      <c r="R112" s="2146"/>
      <c r="S112" s="2146"/>
      <c r="T112" s="2146"/>
      <c r="U112" s="2146"/>
      <c r="V112" s="2146"/>
      <c r="W112" s="2146"/>
      <c r="X112" s="2146"/>
      <c r="Y112" s="2146"/>
      <c r="Z112" s="2146"/>
      <c r="AA112" s="2146"/>
      <c r="AB112" s="2146"/>
      <c r="AC112" s="2146"/>
      <c r="AD112" s="2146"/>
      <c r="AE112" s="2146"/>
      <c r="AF112" s="2146"/>
      <c r="AG112" s="2146"/>
      <c r="AH112" s="2146"/>
      <c r="AR112" s="3630"/>
    </row>
    <row r="113" customHeight="1" spans="3:44">
      <c r="C113" s="3607" t="s">
        <v>426</v>
      </c>
      <c r="D113" s="3614"/>
      <c r="E113" s="5063" t="str">
        <f>+[85]CALK!$C$187</f>
        <v>Imbalan Kerja dan BPJS</v>
      </c>
      <c r="F113" s="3607"/>
      <c r="G113" s="2146"/>
      <c r="H113" s="2146"/>
      <c r="I113" s="2146"/>
      <c r="J113" s="2146"/>
      <c r="K113" s="2146"/>
      <c r="L113" s="2146"/>
      <c r="M113" s="2146"/>
      <c r="N113" s="2146"/>
      <c r="O113" s="2146"/>
      <c r="P113" s="2146"/>
      <c r="Q113" s="2146"/>
      <c r="R113" s="2146"/>
      <c r="S113" s="2146"/>
      <c r="T113" s="2146"/>
      <c r="U113" s="2146"/>
      <c r="V113" s="2146"/>
      <c r="W113" s="2146"/>
      <c r="X113" s="2146"/>
      <c r="Y113" s="2146"/>
      <c r="Z113" s="2146"/>
      <c r="AA113" s="2146"/>
      <c r="AB113" s="2146"/>
      <c r="AC113" s="2146"/>
      <c r="AD113" s="2146"/>
      <c r="AE113" s="2146"/>
      <c r="AF113" s="2146"/>
      <c r="AG113" s="2146"/>
      <c r="AH113" s="2146"/>
      <c r="AR113" s="3630"/>
    </row>
    <row r="114" ht="9.2" customHeight="1" spans="3:44">
      <c r="C114" s="3614"/>
      <c r="D114" s="3614"/>
      <c r="E114" s="2146"/>
      <c r="F114" s="2146"/>
      <c r="G114" s="2146"/>
      <c r="H114" s="2146"/>
      <c r="I114" s="2146"/>
      <c r="J114" s="2146"/>
      <c r="K114" s="2146"/>
      <c r="L114" s="2146"/>
      <c r="M114" s="2146"/>
      <c r="N114" s="2146"/>
      <c r="O114" s="2146"/>
      <c r="P114" s="2146"/>
      <c r="Q114" s="2146"/>
      <c r="R114" s="2146"/>
      <c r="S114" s="2146"/>
      <c r="T114" s="2146"/>
      <c r="U114" s="2146"/>
      <c r="V114" s="2146"/>
      <c r="W114" s="2146"/>
      <c r="X114" s="2146"/>
      <c r="Y114" s="2146"/>
      <c r="Z114" s="2146"/>
      <c r="AA114" s="2146"/>
      <c r="AB114" s="2146"/>
      <c r="AC114" s="2146"/>
      <c r="AD114" s="2146"/>
      <c r="AE114" s="2146"/>
      <c r="AF114" s="2146"/>
      <c r="AG114" s="2146"/>
      <c r="AH114" s="2146"/>
      <c r="AR114" s="3630"/>
    </row>
    <row r="115" ht="70.5" customHeight="1" spans="3:44">
      <c r="C115" s="3614"/>
      <c r="D115" s="3614"/>
      <c r="E115" s="5066" t="s">
        <v>1424</v>
      </c>
      <c r="F115" s="3633"/>
      <c r="G115" s="3633"/>
      <c r="H115" s="3633"/>
      <c r="I115" s="3633"/>
      <c r="J115" s="3633"/>
      <c r="K115" s="3633"/>
      <c r="L115" s="3633"/>
      <c r="M115" s="3633"/>
      <c r="N115" s="3633"/>
      <c r="O115" s="3633"/>
      <c r="P115" s="3633"/>
      <c r="Q115" s="3633"/>
      <c r="R115" s="3633"/>
      <c r="S115" s="3633"/>
      <c r="T115" s="3633"/>
      <c r="U115" s="3633"/>
      <c r="V115" s="3633"/>
      <c r="W115" s="3633"/>
      <c r="X115" s="3633"/>
      <c r="Y115" s="3633"/>
      <c r="Z115" s="3633"/>
      <c r="AA115" s="3633"/>
      <c r="AB115" s="3633"/>
      <c r="AC115" s="3633"/>
      <c r="AD115" s="3633"/>
      <c r="AE115" s="3633"/>
      <c r="AF115" s="3633"/>
      <c r="AG115" s="3633"/>
      <c r="AH115" s="3633"/>
      <c r="AI115" s="3633"/>
      <c r="AJ115" s="3633"/>
      <c r="AK115" s="3633"/>
      <c r="AL115" s="3633"/>
      <c r="AM115" s="3633"/>
      <c r="AN115" s="3633"/>
      <c r="AO115" s="3633"/>
      <c r="AP115" s="3633"/>
      <c r="AR115" s="3630"/>
    </row>
    <row r="116" ht="7.5" customHeight="1" spans="3:44">
      <c r="C116" s="3614"/>
      <c r="D116" s="3614"/>
      <c r="E116" s="2146"/>
      <c r="F116" s="2146"/>
      <c r="G116" s="2146"/>
      <c r="H116" s="2146"/>
      <c r="I116" s="2146"/>
      <c r="J116" s="2146"/>
      <c r="K116" s="2146"/>
      <c r="L116" s="2146"/>
      <c r="M116" s="2146"/>
      <c r="N116" s="2146"/>
      <c r="O116" s="2146"/>
      <c r="P116" s="2146"/>
      <c r="Q116" s="2146"/>
      <c r="R116" s="2146"/>
      <c r="S116" s="2146"/>
      <c r="T116" s="2146"/>
      <c r="U116" s="2146"/>
      <c r="V116" s="2146"/>
      <c r="W116" s="2146"/>
      <c r="X116" s="2146"/>
      <c r="Y116" s="2146"/>
      <c r="Z116" s="2146"/>
      <c r="AA116" s="2146"/>
      <c r="AB116" s="2146"/>
      <c r="AC116" s="2146"/>
      <c r="AD116" s="2146"/>
      <c r="AE116" s="2146"/>
      <c r="AF116" s="2146"/>
      <c r="AG116" s="2146"/>
      <c r="AH116" s="2146"/>
      <c r="AR116" s="3630"/>
    </row>
    <row r="117" s="3606" customFormat="1" ht="46.5" customHeight="1" spans="3:44">
      <c r="C117" s="3614"/>
      <c r="D117" s="3614"/>
      <c r="E117" s="5066" t="s">
        <v>1425</v>
      </c>
      <c r="F117" s="3633"/>
      <c r="G117" s="3633"/>
      <c r="H117" s="3633"/>
      <c r="I117" s="3633"/>
      <c r="J117" s="3633"/>
      <c r="K117" s="3633"/>
      <c r="L117" s="3633"/>
      <c r="M117" s="3633"/>
      <c r="N117" s="3633"/>
      <c r="O117" s="3633"/>
      <c r="P117" s="3633"/>
      <c r="Q117" s="3633"/>
      <c r="R117" s="3633"/>
      <c r="S117" s="3633"/>
      <c r="T117" s="3633"/>
      <c r="U117" s="3633"/>
      <c r="V117" s="3633"/>
      <c r="W117" s="3633"/>
      <c r="X117" s="3633"/>
      <c r="Y117" s="3633"/>
      <c r="Z117" s="3633"/>
      <c r="AA117" s="3633"/>
      <c r="AB117" s="3633"/>
      <c r="AC117" s="3633"/>
      <c r="AD117" s="3633"/>
      <c r="AE117" s="3633"/>
      <c r="AF117" s="3633"/>
      <c r="AG117" s="3633"/>
      <c r="AH117" s="3633"/>
      <c r="AI117" s="3633"/>
      <c r="AJ117" s="3633"/>
      <c r="AK117" s="3633"/>
      <c r="AL117" s="3633"/>
      <c r="AM117" s="3633"/>
      <c r="AN117" s="3633"/>
      <c r="AO117" s="3633"/>
      <c r="AP117" s="3633"/>
      <c r="AR117" s="3630"/>
    </row>
    <row r="118" s="3606" customFormat="1" ht="9.2" customHeight="1" spans="3:44">
      <c r="C118" s="3614"/>
      <c r="D118" s="3614"/>
      <c r="E118" s="3633"/>
      <c r="F118" s="3633"/>
      <c r="G118" s="3633"/>
      <c r="H118" s="3633"/>
      <c r="I118" s="3633"/>
      <c r="J118" s="3633"/>
      <c r="K118" s="3633"/>
      <c r="L118" s="3633"/>
      <c r="M118" s="3633"/>
      <c r="N118" s="3633"/>
      <c r="O118" s="3633"/>
      <c r="P118" s="3633"/>
      <c r="Q118" s="3633"/>
      <c r="R118" s="3633"/>
      <c r="S118" s="3633"/>
      <c r="T118" s="3633"/>
      <c r="U118" s="3633"/>
      <c r="V118" s="3633"/>
      <c r="W118" s="3633"/>
      <c r="X118" s="3633"/>
      <c r="Y118" s="3633"/>
      <c r="Z118" s="3633"/>
      <c r="AA118" s="3633"/>
      <c r="AB118" s="3633"/>
      <c r="AC118" s="3633"/>
      <c r="AD118" s="3633"/>
      <c r="AE118" s="3633"/>
      <c r="AF118" s="3633"/>
      <c r="AG118" s="3633"/>
      <c r="AH118" s="3633"/>
      <c r="AI118" s="3633"/>
      <c r="AJ118" s="3633"/>
      <c r="AK118" s="3633"/>
      <c r="AL118" s="3633"/>
      <c r="AM118" s="3633"/>
      <c r="AN118" s="3633"/>
      <c r="AO118" s="3633"/>
      <c r="AP118" s="3633"/>
      <c r="AR118" s="3630"/>
    </row>
    <row r="119" s="3606" customFormat="1" ht="45.6" customHeight="1" spans="3:44">
      <c r="C119" s="3614"/>
      <c r="D119" s="3614"/>
      <c r="E119" s="5066" t="s">
        <v>1426</v>
      </c>
      <c r="F119" s="3633"/>
      <c r="G119" s="3633"/>
      <c r="H119" s="3633"/>
      <c r="I119" s="3633"/>
      <c r="J119" s="3633"/>
      <c r="K119" s="3633"/>
      <c r="L119" s="3633"/>
      <c r="M119" s="3633"/>
      <c r="N119" s="3633"/>
      <c r="O119" s="3633"/>
      <c r="P119" s="3633"/>
      <c r="Q119" s="3633"/>
      <c r="R119" s="3633"/>
      <c r="S119" s="3633"/>
      <c r="T119" s="3633"/>
      <c r="U119" s="3633"/>
      <c r="V119" s="3633"/>
      <c r="W119" s="3633"/>
      <c r="X119" s="3633"/>
      <c r="Y119" s="3633"/>
      <c r="Z119" s="3633"/>
      <c r="AA119" s="3633"/>
      <c r="AB119" s="3633"/>
      <c r="AC119" s="3633"/>
      <c r="AD119" s="3633"/>
      <c r="AE119" s="3633"/>
      <c r="AF119" s="3633"/>
      <c r="AG119" s="3633"/>
      <c r="AH119" s="3633"/>
      <c r="AI119" s="3633"/>
      <c r="AJ119" s="3633"/>
      <c r="AK119" s="3633"/>
      <c r="AL119" s="3633"/>
      <c r="AM119" s="3633"/>
      <c r="AN119" s="3633"/>
      <c r="AO119" s="3633"/>
      <c r="AP119" s="3633"/>
      <c r="AR119" s="3630"/>
    </row>
    <row r="120" s="3606" customFormat="1" ht="9.2" customHeight="1" spans="3:44">
      <c r="C120" s="3614"/>
      <c r="D120" s="3614"/>
      <c r="E120" s="3633"/>
      <c r="F120" s="3633"/>
      <c r="G120" s="3633"/>
      <c r="H120" s="3633"/>
      <c r="I120" s="3633"/>
      <c r="J120" s="3633"/>
      <c r="K120" s="3633"/>
      <c r="L120" s="3633"/>
      <c r="M120" s="3633"/>
      <c r="N120" s="3633"/>
      <c r="O120" s="3633"/>
      <c r="P120" s="3633"/>
      <c r="Q120" s="3633"/>
      <c r="R120" s="3633"/>
      <c r="S120" s="3633"/>
      <c r="T120" s="3633"/>
      <c r="U120" s="3633"/>
      <c r="V120" s="3633"/>
      <c r="W120" s="3633"/>
      <c r="X120" s="3633"/>
      <c r="Y120" s="3633"/>
      <c r="Z120" s="3633"/>
      <c r="AA120" s="3633"/>
      <c r="AB120" s="3633"/>
      <c r="AC120" s="3633"/>
      <c r="AD120" s="3633"/>
      <c r="AE120" s="3633"/>
      <c r="AF120" s="3633"/>
      <c r="AG120" s="3633"/>
      <c r="AH120" s="3633"/>
      <c r="AI120" s="3633"/>
      <c r="AJ120" s="3633"/>
      <c r="AK120" s="3633"/>
      <c r="AL120" s="3633"/>
      <c r="AM120" s="3633"/>
      <c r="AN120" s="3633"/>
      <c r="AO120" s="3633"/>
      <c r="AP120" s="3633"/>
      <c r="AR120" s="3630"/>
    </row>
    <row r="121" s="3606" customFormat="1" spans="3:44">
      <c r="C121" s="3614"/>
      <c r="D121" s="3614"/>
      <c r="E121" s="3634" t="s">
        <v>1427</v>
      </c>
      <c r="F121" s="3635"/>
      <c r="G121" s="3635"/>
      <c r="H121" s="3635"/>
      <c r="I121" s="3635"/>
      <c r="J121" s="3635"/>
      <c r="K121" s="3641"/>
      <c r="L121" s="3635"/>
      <c r="M121" s="3642"/>
      <c r="N121" s="3642"/>
      <c r="O121" s="3643"/>
      <c r="P121" s="2146"/>
      <c r="Q121" s="2146"/>
      <c r="R121" s="2146"/>
      <c r="S121" s="2146"/>
      <c r="T121" s="2146"/>
      <c r="U121" s="2146"/>
      <c r="V121" s="2146"/>
      <c r="W121" s="2146"/>
      <c r="X121" s="2146"/>
      <c r="Y121" s="2146"/>
      <c r="Z121" s="2146"/>
      <c r="AA121" s="2146"/>
      <c r="AB121" s="2146"/>
      <c r="AC121" s="2146"/>
      <c r="AD121" s="2146"/>
      <c r="AE121" s="2146"/>
      <c r="AF121" s="2146"/>
      <c r="AG121" s="2146"/>
      <c r="AH121" s="2146"/>
      <c r="AI121" s="64"/>
      <c r="AJ121" s="64"/>
      <c r="AN121" s="64"/>
      <c r="AO121" s="64"/>
      <c r="AR121" s="3630"/>
    </row>
    <row r="122" s="3606" customFormat="1" ht="9.2" customHeight="1" spans="3:44">
      <c r="C122" s="3614"/>
      <c r="D122" s="3614"/>
      <c r="E122" s="3634"/>
      <c r="F122" s="3635"/>
      <c r="G122" s="3635"/>
      <c r="H122" s="3635"/>
      <c r="I122" s="3635"/>
      <c r="J122" s="3635"/>
      <c r="K122" s="3641"/>
      <c r="L122" s="3635"/>
      <c r="M122" s="3642"/>
      <c r="N122" s="3642"/>
      <c r="O122" s="3643"/>
      <c r="P122" s="2146"/>
      <c r="Q122" s="2146"/>
      <c r="R122" s="2146"/>
      <c r="S122" s="2146"/>
      <c r="T122" s="2146"/>
      <c r="U122" s="2146"/>
      <c r="V122" s="2146"/>
      <c r="W122" s="2146"/>
      <c r="X122" s="2146"/>
      <c r="Y122" s="2146"/>
      <c r="Z122" s="2146"/>
      <c r="AA122" s="2146"/>
      <c r="AB122" s="2146"/>
      <c r="AC122" s="2146"/>
      <c r="AD122" s="2146"/>
      <c r="AE122" s="2146"/>
      <c r="AF122" s="2146"/>
      <c r="AG122" s="2146"/>
      <c r="AH122" s="2146"/>
      <c r="AI122" s="64"/>
      <c r="AJ122" s="64"/>
      <c r="AN122" s="64"/>
      <c r="AO122" s="64"/>
      <c r="AR122" s="3630"/>
    </row>
    <row r="123" s="3606" customFormat="1" ht="24.95" customHeight="1" spans="3:44">
      <c r="C123" s="3614"/>
      <c r="D123" s="3614"/>
      <c r="E123" s="3636" t="s">
        <v>1428</v>
      </c>
      <c r="F123" s="3636"/>
      <c r="G123" s="3636"/>
      <c r="H123" s="3636"/>
      <c r="I123" s="3636"/>
      <c r="J123" s="3636"/>
      <c r="K123" s="3636"/>
      <c r="L123" s="3636"/>
      <c r="M123" s="3636"/>
      <c r="N123" s="3636"/>
      <c r="O123" s="3636"/>
      <c r="P123" s="3636"/>
      <c r="Q123" s="3636"/>
      <c r="R123" s="3636"/>
      <c r="S123" s="3636"/>
      <c r="T123" s="3636"/>
      <c r="U123" s="3636"/>
      <c r="V123" s="3636"/>
      <c r="W123" s="3636"/>
      <c r="X123" s="3636"/>
      <c r="Y123" s="3636"/>
      <c r="Z123" s="3636"/>
      <c r="AA123" s="3636"/>
      <c r="AB123" s="3636"/>
      <c r="AC123" s="3636"/>
      <c r="AD123" s="3636"/>
      <c r="AE123" s="3636"/>
      <c r="AF123" s="3636"/>
      <c r="AG123" s="3636"/>
      <c r="AH123" s="3636"/>
      <c r="AI123" s="3636"/>
      <c r="AJ123" s="3636"/>
      <c r="AK123" s="3636"/>
      <c r="AL123" s="3636"/>
      <c r="AM123" s="3636"/>
      <c r="AN123" s="3636"/>
      <c r="AO123" s="3636"/>
      <c r="AP123" s="3636"/>
      <c r="AR123" s="3630"/>
    </row>
    <row r="124" s="3606" customFormat="1" ht="11.4" hidden="1" spans="3:44">
      <c r="C124" s="3614"/>
      <c r="D124" s="3614"/>
      <c r="E124" s="3637" t="s">
        <v>1429</v>
      </c>
      <c r="F124" s="3638"/>
      <c r="G124" s="3638"/>
      <c r="H124" s="3638"/>
      <c r="I124" s="3638"/>
      <c r="J124" s="3638"/>
      <c r="K124" s="3638"/>
      <c r="L124" s="3638"/>
      <c r="M124" s="3638"/>
      <c r="N124" s="3638"/>
      <c r="O124" s="3638"/>
      <c r="P124" s="3341"/>
      <c r="Q124" s="3341"/>
      <c r="R124" s="3341"/>
      <c r="S124" s="3341"/>
      <c r="T124" s="3341"/>
      <c r="U124" s="3341"/>
      <c r="V124" s="3341"/>
      <c r="W124" s="3341"/>
      <c r="X124" s="3341"/>
      <c r="Y124" s="3341"/>
      <c r="Z124" s="3341"/>
      <c r="AA124" s="3341"/>
      <c r="AB124" s="3341"/>
      <c r="AC124" s="3341"/>
      <c r="AD124" s="3341"/>
      <c r="AE124" s="3341"/>
      <c r="AF124" s="3341"/>
      <c r="AG124" s="3341"/>
      <c r="AH124" s="3341"/>
      <c r="AI124" s="2635"/>
      <c r="AJ124" s="2635"/>
      <c r="AK124" s="3648"/>
      <c r="AL124" s="3648"/>
      <c r="AM124" s="3648"/>
      <c r="AN124" s="2635"/>
      <c r="AO124" s="2635"/>
      <c r="AP124" s="3648"/>
      <c r="AR124" s="3630"/>
    </row>
    <row r="125" s="3606" customFormat="1" ht="11.4" hidden="1" spans="3:44">
      <c r="C125" s="3614"/>
      <c r="D125" s="3614"/>
      <c r="E125" s="3637"/>
      <c r="F125" s="3638"/>
      <c r="G125" s="3638"/>
      <c r="H125" s="3638"/>
      <c r="I125" s="3638"/>
      <c r="J125" s="3638"/>
      <c r="K125" s="3638"/>
      <c r="L125" s="3638"/>
      <c r="M125" s="3638"/>
      <c r="N125" s="3638"/>
      <c r="O125" s="3638"/>
      <c r="P125" s="3341"/>
      <c r="Q125" s="3341"/>
      <c r="R125" s="3341"/>
      <c r="S125" s="3341"/>
      <c r="T125" s="3341"/>
      <c r="U125" s="3341"/>
      <c r="V125" s="3341"/>
      <c r="W125" s="3341"/>
      <c r="X125" s="3341"/>
      <c r="Y125" s="3341"/>
      <c r="Z125" s="3341"/>
      <c r="AA125" s="3341"/>
      <c r="AB125" s="3341"/>
      <c r="AC125" s="3341"/>
      <c r="AD125" s="3341"/>
      <c r="AE125" s="3341"/>
      <c r="AF125" s="3341"/>
      <c r="AG125" s="3341"/>
      <c r="AH125" s="3341"/>
      <c r="AI125" s="2635"/>
      <c r="AJ125" s="2635"/>
      <c r="AK125" s="3648"/>
      <c r="AL125" s="3648"/>
      <c r="AM125" s="3648"/>
      <c r="AN125" s="2635"/>
      <c r="AO125" s="2635"/>
      <c r="AP125" s="3648"/>
      <c r="AR125" s="3630"/>
    </row>
    <row r="126" s="3606" customFormat="1" ht="11.4" hidden="1" spans="3:44">
      <c r="C126" s="3614"/>
      <c r="D126" s="3614"/>
      <c r="E126" s="3639" t="s">
        <v>1430</v>
      </c>
      <c r="F126" s="3639"/>
      <c r="G126" s="3639"/>
      <c r="H126" s="3639"/>
      <c r="I126" s="3639"/>
      <c r="J126" s="3639"/>
      <c r="K126" s="3639"/>
      <c r="L126" s="3639"/>
      <c r="M126" s="3639"/>
      <c r="N126" s="3639"/>
      <c r="O126" s="3639"/>
      <c r="P126" s="3639"/>
      <c r="Q126" s="3639"/>
      <c r="R126" s="3639"/>
      <c r="S126" s="3639"/>
      <c r="T126" s="3639"/>
      <c r="U126" s="3639"/>
      <c r="V126" s="3639"/>
      <c r="W126" s="3639"/>
      <c r="X126" s="3639"/>
      <c r="Y126" s="3639"/>
      <c r="Z126" s="3639"/>
      <c r="AA126" s="3639"/>
      <c r="AB126" s="3639"/>
      <c r="AC126" s="3639"/>
      <c r="AD126" s="3639"/>
      <c r="AE126" s="3639"/>
      <c r="AF126" s="3639"/>
      <c r="AG126" s="3639"/>
      <c r="AH126" s="3639"/>
      <c r="AI126" s="3639"/>
      <c r="AJ126" s="3639"/>
      <c r="AK126" s="3639"/>
      <c r="AL126" s="3639"/>
      <c r="AM126" s="3639"/>
      <c r="AN126" s="3639"/>
      <c r="AO126" s="3639"/>
      <c r="AP126" s="3639"/>
      <c r="AR126" s="3630"/>
    </row>
    <row r="127" s="3606" customFormat="1" ht="9.2" customHeight="1" spans="3:44">
      <c r="C127" s="3614"/>
      <c r="D127" s="3614"/>
      <c r="E127" s="3640"/>
      <c r="F127" s="3640"/>
      <c r="G127" s="3640"/>
      <c r="H127" s="3640"/>
      <c r="I127" s="3640"/>
      <c r="J127" s="3640"/>
      <c r="K127" s="3640"/>
      <c r="L127" s="3640"/>
      <c r="M127" s="3640"/>
      <c r="N127" s="3640"/>
      <c r="O127" s="3640"/>
      <c r="P127" s="3640"/>
      <c r="Q127" s="3640"/>
      <c r="R127" s="3640"/>
      <c r="S127" s="3640"/>
      <c r="T127" s="3640"/>
      <c r="U127" s="3640"/>
      <c r="V127" s="3640"/>
      <c r="W127" s="3640"/>
      <c r="X127" s="3640"/>
      <c r="Y127" s="3640"/>
      <c r="Z127" s="3640"/>
      <c r="AA127" s="3640"/>
      <c r="AB127" s="3640"/>
      <c r="AC127" s="3640"/>
      <c r="AD127" s="3640"/>
      <c r="AE127" s="3640"/>
      <c r="AF127" s="3640"/>
      <c r="AG127" s="3640"/>
      <c r="AH127" s="3640"/>
      <c r="AI127" s="2635"/>
      <c r="AJ127" s="2635"/>
      <c r="AK127" s="3648"/>
      <c r="AL127" s="3648"/>
      <c r="AM127" s="3648"/>
      <c r="AN127" s="2635"/>
      <c r="AO127" s="2635"/>
      <c r="AP127" s="3648"/>
      <c r="AR127" s="3630"/>
    </row>
    <row r="128" customHeight="1" spans="3:44">
      <c r="C128" s="3607" t="s">
        <v>427</v>
      </c>
      <c r="D128" s="3614"/>
      <c r="E128" s="5063" t="s">
        <v>1431</v>
      </c>
      <c r="F128" s="3607"/>
      <c r="G128" s="2146"/>
      <c r="H128" s="2146"/>
      <c r="I128" s="2146"/>
      <c r="J128" s="2146"/>
      <c r="K128" s="2146"/>
      <c r="L128" s="2146"/>
      <c r="M128" s="2146"/>
      <c r="N128" s="2146"/>
      <c r="O128" s="2146"/>
      <c r="P128" s="2146"/>
      <c r="Q128" s="2146"/>
      <c r="R128" s="2146"/>
      <c r="S128" s="2146"/>
      <c r="T128" s="2146"/>
      <c r="U128" s="2146"/>
      <c r="V128" s="2146"/>
      <c r="W128" s="2146"/>
      <c r="X128" s="2146"/>
      <c r="Y128" s="2146"/>
      <c r="Z128" s="2146"/>
      <c r="AA128" s="2146"/>
      <c r="AB128" s="2146"/>
      <c r="AC128" s="2146"/>
      <c r="AD128" s="2146"/>
      <c r="AE128" s="2146"/>
      <c r="AF128" s="2146"/>
      <c r="AG128" s="2146"/>
      <c r="AH128" s="2146"/>
      <c r="AR128" s="3630"/>
    </row>
    <row r="129" ht="9.2" customHeight="1" spans="3:44">
      <c r="C129" s="3614"/>
      <c r="D129" s="3614"/>
      <c r="E129" s="2146"/>
      <c r="F129" s="2146"/>
      <c r="G129" s="2146"/>
      <c r="H129" s="2146"/>
      <c r="I129" s="2146"/>
      <c r="J129" s="2146"/>
      <c r="K129" s="2146"/>
      <c r="L129" s="2146"/>
      <c r="M129" s="2146"/>
      <c r="N129" s="2146"/>
      <c r="O129" s="2146"/>
      <c r="P129" s="2146"/>
      <c r="Q129" s="2146"/>
      <c r="R129" s="2146"/>
      <c r="S129" s="2146"/>
      <c r="T129" s="2146"/>
      <c r="U129" s="2146"/>
      <c r="V129" s="2146"/>
      <c r="W129" s="2146"/>
      <c r="X129" s="2146"/>
      <c r="Y129" s="2146"/>
      <c r="Z129" s="2146"/>
      <c r="AA129" s="2146"/>
      <c r="AB129" s="2146"/>
      <c r="AC129" s="2146"/>
      <c r="AD129" s="2146"/>
      <c r="AE129" s="2146"/>
      <c r="AF129" s="2146"/>
      <c r="AG129" s="2146"/>
      <c r="AH129" s="2146"/>
      <c r="AR129" s="3630"/>
    </row>
    <row r="130" ht="57.6" customHeight="1" spans="3:44">
      <c r="C130" s="3614"/>
      <c r="D130" s="3614"/>
      <c r="E130" s="5066" t="s">
        <v>1432</v>
      </c>
      <c r="F130" s="3633"/>
      <c r="G130" s="3633"/>
      <c r="H130" s="3633"/>
      <c r="I130" s="3633"/>
      <c r="J130" s="3633"/>
      <c r="K130" s="3633"/>
      <c r="L130" s="3633"/>
      <c r="M130" s="3633"/>
      <c r="N130" s="3633"/>
      <c r="O130" s="3633"/>
      <c r="P130" s="3633"/>
      <c r="Q130" s="3633"/>
      <c r="R130" s="3633"/>
      <c r="S130" s="3633"/>
      <c r="T130" s="3633"/>
      <c r="U130" s="3633"/>
      <c r="V130" s="3633"/>
      <c r="W130" s="3633"/>
      <c r="X130" s="3633"/>
      <c r="Y130" s="3633"/>
      <c r="Z130" s="3633"/>
      <c r="AA130" s="3633"/>
      <c r="AB130" s="3633"/>
      <c r="AC130" s="3633"/>
      <c r="AD130" s="3633"/>
      <c r="AE130" s="3633"/>
      <c r="AF130" s="3633"/>
      <c r="AG130" s="3633"/>
      <c r="AH130" s="3633"/>
      <c r="AI130" s="3633"/>
      <c r="AJ130" s="3633"/>
      <c r="AK130" s="3633"/>
      <c r="AL130" s="3633"/>
      <c r="AM130" s="3633"/>
      <c r="AN130" s="3633"/>
      <c r="AO130" s="3633"/>
      <c r="AP130" s="3633"/>
      <c r="AR130" s="3630" t="s">
        <v>1433</v>
      </c>
    </row>
    <row r="131" ht="8.1" customHeight="1" spans="3:44">
      <c r="C131" s="3614"/>
      <c r="D131" s="3614"/>
      <c r="E131" s="2146"/>
      <c r="F131" s="2146"/>
      <c r="G131" s="2146"/>
      <c r="H131" s="2146"/>
      <c r="I131" s="2146"/>
      <c r="J131" s="2146"/>
      <c r="K131" s="2146"/>
      <c r="L131" s="2146"/>
      <c r="M131" s="2146"/>
      <c r="N131" s="2146"/>
      <c r="O131" s="2146"/>
      <c r="P131" s="2146"/>
      <c r="Q131" s="2146"/>
      <c r="R131" s="2146"/>
      <c r="S131" s="2146"/>
      <c r="T131" s="2146"/>
      <c r="U131" s="2146"/>
      <c r="V131" s="2146"/>
      <c r="W131" s="2146"/>
      <c r="X131" s="2146"/>
      <c r="Y131" s="2146"/>
      <c r="Z131" s="2146"/>
      <c r="AA131" s="2146"/>
      <c r="AB131" s="2146"/>
      <c r="AC131" s="2146"/>
      <c r="AD131" s="2146"/>
      <c r="AE131" s="2146"/>
      <c r="AF131" s="2146"/>
      <c r="AG131" s="2146"/>
      <c r="AH131" s="2146"/>
      <c r="AR131" s="3630"/>
    </row>
    <row r="132" ht="36" customHeight="1" spans="3:44">
      <c r="C132" s="3614"/>
      <c r="D132" s="3614"/>
      <c r="E132" s="5066" t="s">
        <v>1434</v>
      </c>
      <c r="F132" s="3633"/>
      <c r="G132" s="3633"/>
      <c r="H132" s="3633"/>
      <c r="I132" s="3633"/>
      <c r="J132" s="3633"/>
      <c r="K132" s="3633"/>
      <c r="L132" s="3633"/>
      <c r="M132" s="3633"/>
      <c r="N132" s="3633"/>
      <c r="O132" s="3633"/>
      <c r="P132" s="3633"/>
      <c r="Q132" s="3633"/>
      <c r="R132" s="3633"/>
      <c r="S132" s="3633"/>
      <c r="T132" s="3633"/>
      <c r="U132" s="3633"/>
      <c r="V132" s="3633"/>
      <c r="W132" s="3633"/>
      <c r="X132" s="3633"/>
      <c r="Y132" s="3633"/>
      <c r="Z132" s="3633"/>
      <c r="AA132" s="3633"/>
      <c r="AB132" s="3633"/>
      <c r="AC132" s="3633"/>
      <c r="AD132" s="3633"/>
      <c r="AE132" s="3633"/>
      <c r="AF132" s="3633"/>
      <c r="AG132" s="3633"/>
      <c r="AH132" s="3633"/>
      <c r="AI132" s="3633"/>
      <c r="AJ132" s="3633"/>
      <c r="AK132" s="3633"/>
      <c r="AL132" s="3633"/>
      <c r="AM132" s="3633"/>
      <c r="AN132" s="3633"/>
      <c r="AO132" s="3633"/>
      <c r="AP132" s="3633"/>
      <c r="AR132" s="3630"/>
    </row>
    <row r="133" ht="7.5" customHeight="1"/>
    <row r="134" ht="44.45" customHeight="1" spans="5:42">
      <c r="E134" s="5066" t="s">
        <v>1435</v>
      </c>
      <c r="F134" s="3633"/>
      <c r="G134" s="3633"/>
      <c r="H134" s="3633"/>
      <c r="I134" s="3633"/>
      <c r="J134" s="3633"/>
      <c r="K134" s="3633"/>
      <c r="L134" s="3633"/>
      <c r="M134" s="3633"/>
      <c r="N134" s="3633"/>
      <c r="O134" s="3633"/>
      <c r="P134" s="3633"/>
      <c r="Q134" s="3633"/>
      <c r="R134" s="3633"/>
      <c r="S134" s="3633"/>
      <c r="T134" s="3633"/>
      <c r="U134" s="3633"/>
      <c r="V134" s="3633"/>
      <c r="W134" s="3633"/>
      <c r="X134" s="3633"/>
      <c r="Y134" s="3633"/>
      <c r="Z134" s="3633"/>
      <c r="AA134" s="3633"/>
      <c r="AB134" s="3633"/>
      <c r="AC134" s="3633"/>
      <c r="AD134" s="3633"/>
      <c r="AE134" s="3633"/>
      <c r="AF134" s="3633"/>
      <c r="AG134" s="3633"/>
      <c r="AH134" s="3633"/>
      <c r="AI134" s="3633"/>
      <c r="AJ134" s="3633"/>
      <c r="AK134" s="3633"/>
      <c r="AL134" s="3633"/>
      <c r="AM134" s="3633"/>
      <c r="AN134" s="3633"/>
      <c r="AO134" s="3633"/>
      <c r="AP134" s="3633"/>
    </row>
    <row r="136" customHeight="1" spans="3:14">
      <c r="C136" s="3650"/>
      <c r="E136" s="3616"/>
      <c r="F136" s="3632"/>
      <c r="G136" s="3632"/>
      <c r="H136" s="3632"/>
      <c r="I136" s="3632"/>
      <c r="J136" s="3665"/>
      <c r="K136" s="3632"/>
      <c r="L136" s="3666"/>
      <c r="M136" s="3666"/>
      <c r="N136" s="3667"/>
    </row>
    <row r="137" ht="10.5" customHeight="1" spans="3:14">
      <c r="C137" s="3632"/>
      <c r="D137" s="3632"/>
      <c r="E137" s="3616"/>
      <c r="F137" s="3632"/>
      <c r="G137" s="3632"/>
      <c r="H137" s="3632"/>
      <c r="I137" s="3632"/>
      <c r="J137" s="3665"/>
      <c r="K137" s="3632"/>
      <c r="L137" s="3666"/>
      <c r="M137" s="3666"/>
      <c r="N137" s="3667"/>
    </row>
    <row r="138" customHeight="1" spans="3:42">
      <c r="C138" s="3632"/>
      <c r="E138" s="3616"/>
      <c r="F138" s="3632"/>
      <c r="G138" s="3651"/>
      <c r="H138" s="3651"/>
      <c r="I138" s="3651"/>
      <c r="J138" s="3651"/>
      <c r="K138" s="3651"/>
      <c r="L138" s="3651"/>
      <c r="M138" s="3651"/>
      <c r="N138" s="3651"/>
      <c r="O138" s="3651"/>
      <c r="P138" s="3651"/>
      <c r="Q138" s="3651"/>
      <c r="R138" s="3651"/>
      <c r="S138" s="3651"/>
      <c r="T138" s="3651"/>
      <c r="U138" s="3651"/>
      <c r="V138" s="3651"/>
      <c r="W138" s="3651"/>
      <c r="X138" s="3651"/>
      <c r="Y138" s="3651"/>
      <c r="Z138" s="3651"/>
      <c r="AA138" s="3651"/>
      <c r="AB138" s="3651"/>
      <c r="AC138" s="3651"/>
      <c r="AD138" s="3651"/>
      <c r="AE138" s="3651"/>
      <c r="AF138" s="3651"/>
      <c r="AG138" s="3651"/>
      <c r="AH138" s="3651"/>
      <c r="AI138" s="3651"/>
      <c r="AJ138" s="3651"/>
      <c r="AK138" s="3651"/>
      <c r="AL138" s="3651"/>
      <c r="AM138" s="3651"/>
      <c r="AN138" s="3651"/>
      <c r="AO138" s="3651"/>
      <c r="AP138" s="3651"/>
    </row>
    <row r="139" customHeight="1" spans="3:42">
      <c r="C139" s="3632"/>
      <c r="D139" s="3640"/>
      <c r="E139" s="3651"/>
      <c r="F139" s="3651"/>
      <c r="G139" s="3651"/>
      <c r="H139" s="3651"/>
      <c r="I139" s="3651"/>
      <c r="J139" s="3651"/>
      <c r="K139" s="3651"/>
      <c r="L139" s="3651"/>
      <c r="M139" s="3651"/>
      <c r="N139" s="3651"/>
      <c r="O139" s="3651"/>
      <c r="P139" s="3651"/>
      <c r="Q139" s="3651"/>
      <c r="R139" s="3651"/>
      <c r="S139" s="3651"/>
      <c r="T139" s="3651"/>
      <c r="U139" s="3651"/>
      <c r="V139" s="3651"/>
      <c r="W139" s="3651"/>
      <c r="X139" s="3651"/>
      <c r="Y139" s="3651"/>
      <c r="Z139" s="3651"/>
      <c r="AA139" s="3651"/>
      <c r="AB139" s="3651"/>
      <c r="AC139" s="3651"/>
      <c r="AD139" s="3651"/>
      <c r="AE139" s="3651"/>
      <c r="AF139" s="3651"/>
      <c r="AG139" s="3651"/>
      <c r="AH139" s="3651"/>
      <c r="AI139" s="3651"/>
      <c r="AJ139" s="3651"/>
      <c r="AK139" s="3651"/>
      <c r="AL139" s="3651"/>
      <c r="AM139" s="3651"/>
      <c r="AN139" s="3651"/>
      <c r="AO139" s="3651"/>
      <c r="AP139" s="3651"/>
    </row>
    <row r="140" hidden="1" customHeight="1" spans="3:42">
      <c r="C140" s="3632"/>
      <c r="E140" s="3652" t="s">
        <v>1436</v>
      </c>
      <c r="F140" s="3339"/>
      <c r="G140" s="3339"/>
      <c r="H140" s="3339"/>
      <c r="I140" s="3339"/>
      <c r="J140" s="3339"/>
      <c r="K140" s="3339"/>
      <c r="L140" s="3339"/>
      <c r="M140" s="3339"/>
      <c r="N140" s="3339"/>
      <c r="O140" s="3339"/>
      <c r="P140" s="3339"/>
      <c r="Q140" s="3339"/>
      <c r="R140" s="3339"/>
      <c r="S140" s="3339"/>
      <c r="T140" s="3339"/>
      <c r="U140" s="3339"/>
      <c r="V140" s="3339"/>
      <c r="W140" s="3339"/>
      <c r="X140" s="3339"/>
      <c r="Y140" s="3339"/>
      <c r="Z140" s="3339"/>
      <c r="AA140" s="3339"/>
      <c r="AB140" s="3339"/>
      <c r="AC140" s="3339"/>
      <c r="AD140" s="3339"/>
      <c r="AE140" s="3339"/>
      <c r="AF140" s="3339"/>
      <c r="AG140" s="3339"/>
      <c r="AH140" s="3339"/>
      <c r="AI140" s="3339"/>
      <c r="AJ140" s="3339"/>
      <c r="AK140" s="3339"/>
      <c r="AL140" s="3339"/>
      <c r="AM140" s="3339"/>
      <c r="AN140" s="3339"/>
      <c r="AO140" s="3339"/>
      <c r="AP140" s="3339"/>
    </row>
    <row r="141" hidden="1" customHeight="1" spans="3:42">
      <c r="C141" s="3632"/>
      <c r="D141" s="3640"/>
      <c r="E141" s="3339"/>
      <c r="F141" s="3339"/>
      <c r="G141" s="3339"/>
      <c r="H141" s="3339"/>
      <c r="I141" s="3339"/>
      <c r="J141" s="3339"/>
      <c r="K141" s="3339"/>
      <c r="L141" s="3339"/>
      <c r="M141" s="3339"/>
      <c r="N141" s="3339"/>
      <c r="O141" s="3339"/>
      <c r="P141" s="3339"/>
      <c r="Q141" s="3339"/>
      <c r="R141" s="3339"/>
      <c r="S141" s="3339"/>
      <c r="T141" s="3339"/>
      <c r="U141" s="3339"/>
      <c r="V141" s="3339"/>
      <c r="W141" s="3339"/>
      <c r="X141" s="3339"/>
      <c r="Y141" s="3339"/>
      <c r="Z141" s="3339"/>
      <c r="AA141" s="3339"/>
      <c r="AB141" s="3339"/>
      <c r="AC141" s="3339"/>
      <c r="AD141" s="3339"/>
      <c r="AE141" s="3339"/>
      <c r="AF141" s="3339"/>
      <c r="AG141" s="3339"/>
      <c r="AH141" s="3339"/>
      <c r="AI141" s="3339"/>
      <c r="AJ141" s="3339"/>
      <c r="AK141" s="3339"/>
      <c r="AL141" s="3339"/>
      <c r="AM141" s="3339"/>
      <c r="AN141" s="3339"/>
      <c r="AO141" s="3339"/>
      <c r="AP141" s="3339"/>
    </row>
    <row r="142" s="3606" customFormat="1" customHeight="1" spans="3:42">
      <c r="C142" s="3632"/>
      <c r="D142" s="3640"/>
      <c r="E142" s="3339"/>
      <c r="F142" s="3339"/>
      <c r="G142" s="3339"/>
      <c r="H142" s="3339"/>
      <c r="I142" s="3339"/>
      <c r="J142" s="3339"/>
      <c r="K142" s="3339"/>
      <c r="L142" s="3339"/>
      <c r="M142" s="3339"/>
      <c r="N142" s="3339"/>
      <c r="O142" s="3339"/>
      <c r="P142" s="3339"/>
      <c r="Q142" s="3339"/>
      <c r="R142" s="3339"/>
      <c r="S142" s="3339"/>
      <c r="T142" s="3339"/>
      <c r="U142" s="3339"/>
      <c r="V142" s="3339"/>
      <c r="W142" s="3339"/>
      <c r="X142" s="3339"/>
      <c r="Y142" s="3339"/>
      <c r="Z142" s="3339"/>
      <c r="AA142" s="3339"/>
      <c r="AB142" s="3339"/>
      <c r="AC142" s="3339"/>
      <c r="AD142" s="3339"/>
      <c r="AE142" s="3339"/>
      <c r="AF142" s="3339"/>
      <c r="AG142" s="3339"/>
      <c r="AH142" s="3339"/>
      <c r="AI142" s="3339"/>
      <c r="AJ142" s="3339"/>
      <c r="AK142" s="3339"/>
      <c r="AL142" s="3339"/>
      <c r="AM142" s="3339"/>
      <c r="AN142" s="3339"/>
      <c r="AO142" s="3339"/>
      <c r="AP142" s="3339"/>
    </row>
    <row r="143" customHeight="1" spans="3:14">
      <c r="C143" s="3632"/>
      <c r="D143" s="2146"/>
      <c r="E143" s="2146"/>
      <c r="F143" s="2146"/>
      <c r="G143" s="2146"/>
      <c r="H143" s="2146"/>
      <c r="I143" s="2146"/>
      <c r="J143" s="2146"/>
      <c r="K143" s="2146"/>
      <c r="L143" s="2146"/>
      <c r="M143" s="2146"/>
      <c r="N143" s="2146"/>
    </row>
    <row r="144" customHeight="1" spans="3:14">
      <c r="C144" s="5067" t="s">
        <v>430</v>
      </c>
      <c r="E144" s="3616" t="s">
        <v>1437</v>
      </c>
      <c r="F144" s="3632"/>
      <c r="G144" s="3632"/>
      <c r="H144" s="3632"/>
      <c r="I144" s="3632"/>
      <c r="J144" s="3665"/>
      <c r="K144" s="3632"/>
      <c r="L144" s="3666"/>
      <c r="M144" s="3666"/>
      <c r="N144" s="3667"/>
    </row>
    <row r="145" customHeight="1" spans="3:14">
      <c r="C145" s="3632"/>
      <c r="D145" s="3632"/>
      <c r="E145" s="3632"/>
      <c r="F145" s="3632"/>
      <c r="G145" s="3632"/>
      <c r="H145" s="3632"/>
      <c r="I145" s="3632"/>
      <c r="J145" s="3665"/>
      <c r="K145" s="3632"/>
      <c r="L145" s="3666"/>
      <c r="M145" s="3666"/>
      <c r="N145" s="3667"/>
    </row>
    <row r="146" customHeight="1" spans="3:42">
      <c r="C146" s="3632"/>
      <c r="E146" s="3652" t="s">
        <v>1438</v>
      </c>
      <c r="F146" s="3652"/>
      <c r="G146" s="3652"/>
      <c r="H146" s="3652"/>
      <c r="I146" s="3652"/>
      <c r="J146" s="3652"/>
      <c r="K146" s="3652"/>
      <c r="L146" s="3652"/>
      <c r="M146" s="3652"/>
      <c r="N146" s="3652"/>
      <c r="O146" s="3652"/>
      <c r="P146" s="3652"/>
      <c r="Q146" s="3652"/>
      <c r="R146" s="3652"/>
      <c r="S146" s="3652"/>
      <c r="T146" s="3652"/>
      <c r="U146" s="3652"/>
      <c r="V146" s="3652"/>
      <c r="W146" s="3652"/>
      <c r="X146" s="3652"/>
      <c r="Y146" s="3652"/>
      <c r="Z146" s="3652"/>
      <c r="AA146" s="3652"/>
      <c r="AB146" s="3652"/>
      <c r="AC146" s="3652"/>
      <c r="AD146" s="3652"/>
      <c r="AE146" s="3652"/>
      <c r="AF146" s="3652"/>
      <c r="AG146" s="3652"/>
      <c r="AH146" s="3652"/>
      <c r="AI146" s="3652"/>
      <c r="AJ146" s="3652"/>
      <c r="AK146" s="3652"/>
      <c r="AL146" s="3652"/>
      <c r="AM146" s="3652"/>
      <c r="AN146" s="3652"/>
      <c r="AO146" s="3652"/>
      <c r="AP146" s="3652"/>
    </row>
    <row r="147" s="3606" customFormat="1" customHeight="1" spans="3:42">
      <c r="C147" s="3632"/>
      <c r="E147" s="3652"/>
      <c r="F147" s="3652"/>
      <c r="G147" s="3652"/>
      <c r="H147" s="3652"/>
      <c r="I147" s="3652"/>
      <c r="J147" s="3652"/>
      <c r="K147" s="3652"/>
      <c r="L147" s="3652"/>
      <c r="M147" s="3652"/>
      <c r="N147" s="3652"/>
      <c r="O147" s="3652"/>
      <c r="P147" s="3652"/>
      <c r="Q147" s="3652"/>
      <c r="R147" s="3652"/>
      <c r="S147" s="3652"/>
      <c r="T147" s="3652"/>
      <c r="U147" s="3652"/>
      <c r="V147" s="3652"/>
      <c r="W147" s="3652"/>
      <c r="X147" s="3652"/>
      <c r="Y147" s="3652"/>
      <c r="Z147" s="3652"/>
      <c r="AA147" s="3652"/>
      <c r="AB147" s="3652"/>
      <c r="AC147" s="3652"/>
      <c r="AD147" s="3652"/>
      <c r="AE147" s="3652"/>
      <c r="AF147" s="3652"/>
      <c r="AG147" s="3652"/>
      <c r="AH147" s="3652"/>
      <c r="AI147" s="3652"/>
      <c r="AJ147" s="3652"/>
      <c r="AK147" s="3652"/>
      <c r="AL147" s="3652"/>
      <c r="AM147" s="3652"/>
      <c r="AN147" s="3652"/>
      <c r="AO147" s="3652"/>
      <c r="AP147" s="3652"/>
    </row>
    <row r="148" customHeight="1" spans="3:42">
      <c r="C148" s="3632"/>
      <c r="E148" s="3652"/>
      <c r="F148" s="3652"/>
      <c r="G148" s="3652"/>
      <c r="H148" s="3652"/>
      <c r="I148" s="3652"/>
      <c r="J148" s="3652"/>
      <c r="K148" s="3652"/>
      <c r="L148" s="3652"/>
      <c r="M148" s="3652"/>
      <c r="N148" s="3652"/>
      <c r="O148" s="3652"/>
      <c r="P148" s="3652"/>
      <c r="Q148" s="3652"/>
      <c r="R148" s="3652"/>
      <c r="S148" s="3652"/>
      <c r="T148" s="3652"/>
      <c r="U148" s="3652"/>
      <c r="V148" s="3652"/>
      <c r="W148" s="3652"/>
      <c r="X148" s="3652"/>
      <c r="Y148" s="3652"/>
      <c r="Z148" s="3652"/>
      <c r="AA148" s="3652"/>
      <c r="AB148" s="3652"/>
      <c r="AC148" s="3652"/>
      <c r="AD148" s="3652"/>
      <c r="AE148" s="3652"/>
      <c r="AF148" s="3652"/>
      <c r="AG148" s="3652"/>
      <c r="AH148" s="3652"/>
      <c r="AI148" s="3652"/>
      <c r="AJ148" s="3652"/>
      <c r="AK148" s="3652"/>
      <c r="AL148" s="3652"/>
      <c r="AM148" s="3652"/>
      <c r="AN148" s="3652"/>
      <c r="AO148" s="3652"/>
      <c r="AP148" s="3652"/>
    </row>
    <row r="149" ht="9" customHeight="1" spans="3:14">
      <c r="C149" s="3632"/>
      <c r="E149" s="3632"/>
      <c r="F149" s="3632"/>
      <c r="G149" s="3632"/>
      <c r="H149" s="3632"/>
      <c r="I149" s="3632"/>
      <c r="J149" s="3665"/>
      <c r="K149" s="3632"/>
      <c r="L149" s="3666"/>
      <c r="M149" s="3666"/>
      <c r="N149" s="3667"/>
    </row>
    <row r="150" customHeight="1" spans="3:42">
      <c r="C150" s="3632"/>
      <c r="E150" s="3652" t="s">
        <v>1439</v>
      </c>
      <c r="F150" s="3339"/>
      <c r="G150" s="3339"/>
      <c r="H150" s="3339"/>
      <c r="I150" s="3339"/>
      <c r="J150" s="3339"/>
      <c r="K150" s="3339"/>
      <c r="L150" s="3339"/>
      <c r="M150" s="3339"/>
      <c r="N150" s="3339"/>
      <c r="O150" s="3339"/>
      <c r="P150" s="3339"/>
      <c r="Q150" s="3339"/>
      <c r="R150" s="3339"/>
      <c r="S150" s="3339"/>
      <c r="T150" s="3339"/>
      <c r="U150" s="3339"/>
      <c r="V150" s="3339"/>
      <c r="W150" s="3339"/>
      <c r="X150" s="3339"/>
      <c r="Y150" s="3339"/>
      <c r="Z150" s="3339"/>
      <c r="AA150" s="3339"/>
      <c r="AB150" s="3339"/>
      <c r="AC150" s="3339"/>
      <c r="AD150" s="3339"/>
      <c r="AE150" s="3339"/>
      <c r="AF150" s="3339"/>
      <c r="AG150" s="3339"/>
      <c r="AH150" s="3339"/>
      <c r="AI150" s="3339"/>
      <c r="AJ150" s="3339"/>
      <c r="AK150" s="3339"/>
      <c r="AL150" s="3339"/>
      <c r="AM150" s="3339"/>
      <c r="AN150" s="3339"/>
      <c r="AO150" s="3339"/>
      <c r="AP150" s="3339"/>
    </row>
    <row r="151" customHeight="1" spans="3:42">
      <c r="C151" s="3632"/>
      <c r="D151" s="3651"/>
      <c r="E151" s="3339"/>
      <c r="F151" s="3339"/>
      <c r="G151" s="3339"/>
      <c r="H151" s="3339"/>
      <c r="I151" s="3339"/>
      <c r="J151" s="3339"/>
      <c r="K151" s="3339"/>
      <c r="L151" s="3339"/>
      <c r="M151" s="3339"/>
      <c r="N151" s="3339"/>
      <c r="O151" s="3339"/>
      <c r="P151" s="3339"/>
      <c r="Q151" s="3339"/>
      <c r="R151" s="3339"/>
      <c r="S151" s="3339"/>
      <c r="T151" s="3339"/>
      <c r="U151" s="3339"/>
      <c r="V151" s="3339"/>
      <c r="W151" s="3339"/>
      <c r="X151" s="3339"/>
      <c r="Y151" s="3339"/>
      <c r="Z151" s="3339"/>
      <c r="AA151" s="3339"/>
      <c r="AB151" s="3339"/>
      <c r="AC151" s="3339"/>
      <c r="AD151" s="3339"/>
      <c r="AE151" s="3339"/>
      <c r="AF151" s="3339"/>
      <c r="AG151" s="3339"/>
      <c r="AH151" s="3339"/>
      <c r="AI151" s="3339"/>
      <c r="AJ151" s="3339"/>
      <c r="AK151" s="3339"/>
      <c r="AL151" s="3339"/>
      <c r="AM151" s="3339"/>
      <c r="AN151" s="3339"/>
      <c r="AO151" s="3339"/>
      <c r="AP151" s="3339"/>
    </row>
    <row r="152" s="3606" customFormat="1" customHeight="1" spans="3:42">
      <c r="C152" s="3632"/>
      <c r="D152" s="3651"/>
      <c r="E152" s="3339"/>
      <c r="F152" s="3339"/>
      <c r="G152" s="3339"/>
      <c r="H152" s="3339"/>
      <c r="I152" s="3339"/>
      <c r="J152" s="3339"/>
      <c r="K152" s="3339"/>
      <c r="L152" s="3339"/>
      <c r="M152" s="3339"/>
      <c r="N152" s="3339"/>
      <c r="O152" s="3339"/>
      <c r="P152" s="3339"/>
      <c r="Q152" s="3339"/>
      <c r="R152" s="3339"/>
      <c r="S152" s="3339"/>
      <c r="T152" s="3339"/>
      <c r="U152" s="3339"/>
      <c r="V152" s="3339"/>
      <c r="W152" s="3339"/>
      <c r="X152" s="3339"/>
      <c r="Y152" s="3339"/>
      <c r="Z152" s="3339"/>
      <c r="AA152" s="3339"/>
      <c r="AB152" s="3339"/>
      <c r="AC152" s="3339"/>
      <c r="AD152" s="3339"/>
      <c r="AE152" s="3339"/>
      <c r="AF152" s="3339"/>
      <c r="AG152" s="3339"/>
      <c r="AH152" s="3339"/>
      <c r="AI152" s="3339"/>
      <c r="AJ152" s="3339"/>
      <c r="AK152" s="3339"/>
      <c r="AL152" s="3339"/>
      <c r="AM152" s="3339"/>
      <c r="AN152" s="3339"/>
      <c r="AO152" s="3339"/>
      <c r="AP152" s="3339"/>
    </row>
    <row r="153" customHeight="1" spans="3:42">
      <c r="C153" s="3632"/>
      <c r="D153" s="3651"/>
      <c r="E153" s="3339"/>
      <c r="F153" s="3339"/>
      <c r="G153" s="3339"/>
      <c r="H153" s="3339"/>
      <c r="I153" s="3339"/>
      <c r="J153" s="3339"/>
      <c r="K153" s="3339"/>
      <c r="L153" s="3339"/>
      <c r="M153" s="3339"/>
      <c r="N153" s="3339"/>
      <c r="O153" s="3339"/>
      <c r="P153" s="3339"/>
      <c r="Q153" s="3339"/>
      <c r="R153" s="3339"/>
      <c r="S153" s="3339"/>
      <c r="T153" s="3339"/>
      <c r="U153" s="3339"/>
      <c r="V153" s="3339"/>
      <c r="W153" s="3339"/>
      <c r="X153" s="3339"/>
      <c r="Y153" s="3339"/>
      <c r="Z153" s="3339"/>
      <c r="AA153" s="3339"/>
      <c r="AB153" s="3339"/>
      <c r="AC153" s="3339"/>
      <c r="AD153" s="3339"/>
      <c r="AE153" s="3339"/>
      <c r="AF153" s="3339"/>
      <c r="AG153" s="3339"/>
      <c r="AH153" s="3339"/>
      <c r="AI153" s="3339"/>
      <c r="AJ153" s="3339"/>
      <c r="AK153" s="3339"/>
      <c r="AL153" s="3339"/>
      <c r="AM153" s="3339"/>
      <c r="AN153" s="3339"/>
      <c r="AO153" s="3339"/>
      <c r="AP153" s="3339"/>
    </row>
    <row r="154" ht="9.6" customHeight="1" spans="3:14">
      <c r="C154" s="3632"/>
      <c r="D154" s="3652"/>
      <c r="E154" s="3652"/>
      <c r="F154" s="3652"/>
      <c r="G154" s="3652"/>
      <c r="H154" s="3652"/>
      <c r="I154" s="3652"/>
      <c r="J154" s="3652"/>
      <c r="K154" s="3652"/>
      <c r="L154" s="3652"/>
      <c r="M154" s="3652"/>
      <c r="N154" s="3652"/>
    </row>
    <row r="155" customHeight="1" spans="3:14">
      <c r="C155" s="3632"/>
      <c r="E155" s="3632" t="s">
        <v>1440</v>
      </c>
      <c r="F155" s="3632"/>
      <c r="G155" s="3632"/>
      <c r="H155" s="3632"/>
      <c r="I155" s="3632"/>
      <c r="J155" s="3665"/>
      <c r="K155" s="3632"/>
      <c r="L155" s="3666"/>
      <c r="M155" s="3666"/>
      <c r="N155" s="3667"/>
    </row>
    <row r="156" ht="5.45" customHeight="1" spans="3:14">
      <c r="C156" s="3632"/>
      <c r="D156" s="3632"/>
      <c r="E156" s="3632"/>
      <c r="F156" s="3632"/>
      <c r="G156" s="3632"/>
      <c r="H156" s="3632"/>
      <c r="I156" s="3632"/>
      <c r="J156" s="3665"/>
      <c r="K156" s="3632"/>
      <c r="L156" s="3666"/>
      <c r="M156" s="3666"/>
      <c r="N156" s="3667"/>
    </row>
    <row r="157" spans="3:14">
      <c r="C157" s="3632"/>
      <c r="E157" s="3653" t="s">
        <v>1441</v>
      </c>
      <c r="F157" s="3654"/>
      <c r="G157" s="3654"/>
      <c r="H157" s="3654"/>
      <c r="I157" s="3654"/>
      <c r="J157" s="3654"/>
      <c r="K157" s="3654"/>
      <c r="L157" s="3654"/>
      <c r="M157" s="3654"/>
      <c r="N157" s="3654"/>
    </row>
    <row r="158" customHeight="1" spans="3:42">
      <c r="C158" s="3632"/>
      <c r="D158" s="3652"/>
      <c r="E158" s="3655" t="s">
        <v>1442</v>
      </c>
      <c r="G158" s="3656" t="s">
        <v>1443</v>
      </c>
      <c r="H158" s="3339"/>
      <c r="I158" s="3339"/>
      <c r="J158" s="3339"/>
      <c r="K158" s="3339"/>
      <c r="L158" s="3339"/>
      <c r="M158" s="3339"/>
      <c r="N158" s="3339"/>
      <c r="O158" s="3339"/>
      <c r="P158" s="3339"/>
      <c r="Q158" s="3339"/>
      <c r="R158" s="3339"/>
      <c r="S158" s="3339"/>
      <c r="T158" s="3339"/>
      <c r="U158" s="3339"/>
      <c r="V158" s="3339"/>
      <c r="W158" s="3339"/>
      <c r="X158" s="3339"/>
      <c r="Y158" s="3339"/>
      <c r="Z158" s="3339"/>
      <c r="AA158" s="3339"/>
      <c r="AB158" s="3339"/>
      <c r="AC158" s="3339"/>
      <c r="AD158" s="3339"/>
      <c r="AE158" s="3339"/>
      <c r="AF158" s="3339"/>
      <c r="AG158" s="3339"/>
      <c r="AH158" s="3339"/>
      <c r="AI158" s="3339"/>
      <c r="AJ158" s="3339"/>
      <c r="AK158" s="3339"/>
      <c r="AL158" s="3339"/>
      <c r="AM158" s="3339"/>
      <c r="AN158" s="3339"/>
      <c r="AO158" s="3339"/>
      <c r="AP158" s="3339"/>
    </row>
    <row r="159" customHeight="1" spans="3:42">
      <c r="C159" s="3632"/>
      <c r="D159" s="3652"/>
      <c r="E159" s="3655"/>
      <c r="G159" s="3339"/>
      <c r="H159" s="3339"/>
      <c r="I159" s="3339"/>
      <c r="J159" s="3339"/>
      <c r="K159" s="3339"/>
      <c r="L159" s="3339"/>
      <c r="M159" s="3339"/>
      <c r="N159" s="3339"/>
      <c r="O159" s="3339"/>
      <c r="P159" s="3339"/>
      <c r="Q159" s="3339"/>
      <c r="R159" s="3339"/>
      <c r="S159" s="3339"/>
      <c r="T159" s="3339"/>
      <c r="U159" s="3339"/>
      <c r="V159" s="3339"/>
      <c r="W159" s="3339"/>
      <c r="X159" s="3339"/>
      <c r="Y159" s="3339"/>
      <c r="Z159" s="3339"/>
      <c r="AA159" s="3339"/>
      <c r="AB159" s="3339"/>
      <c r="AC159" s="3339"/>
      <c r="AD159" s="3339"/>
      <c r="AE159" s="3339"/>
      <c r="AF159" s="3339"/>
      <c r="AG159" s="3339"/>
      <c r="AH159" s="3339"/>
      <c r="AI159" s="3339"/>
      <c r="AJ159" s="3339"/>
      <c r="AK159" s="3339"/>
      <c r="AL159" s="3339"/>
      <c r="AM159" s="3339"/>
      <c r="AN159" s="3339"/>
      <c r="AO159" s="3339"/>
      <c r="AP159" s="3339"/>
    </row>
    <row r="160" customHeight="1" spans="3:14">
      <c r="C160" s="3632"/>
      <c r="D160" s="3652"/>
      <c r="E160" s="3655" t="s">
        <v>1444</v>
      </c>
      <c r="G160" s="3638" t="s">
        <v>1445</v>
      </c>
      <c r="H160" s="3657"/>
      <c r="I160" s="3657"/>
      <c r="J160" s="3657"/>
      <c r="K160" s="3657"/>
      <c r="L160" s="3657"/>
      <c r="M160" s="3657"/>
      <c r="N160" s="3657"/>
    </row>
    <row r="161" customHeight="1" spans="3:14">
      <c r="C161" s="3632"/>
      <c r="D161" s="3652"/>
      <c r="E161" s="3655" t="s">
        <v>1446</v>
      </c>
      <c r="G161" s="3638" t="s">
        <v>1447</v>
      </c>
      <c r="H161" s="3657"/>
      <c r="I161" s="3657"/>
      <c r="J161" s="3657"/>
      <c r="K161" s="3657"/>
      <c r="L161" s="3657"/>
      <c r="M161" s="3657"/>
      <c r="N161" s="3657"/>
    </row>
    <row r="162" s="3606" customFormat="1" ht="6.6" customHeight="1" spans="3:41">
      <c r="C162" s="3632"/>
      <c r="D162" s="3652"/>
      <c r="E162" s="3655"/>
      <c r="G162" s="3638"/>
      <c r="H162" s="3657"/>
      <c r="I162" s="3657"/>
      <c r="J162" s="3657"/>
      <c r="K162" s="3657"/>
      <c r="L162" s="3657"/>
      <c r="M162" s="3657"/>
      <c r="N162" s="3657"/>
      <c r="AI162" s="64"/>
      <c r="AJ162" s="64"/>
      <c r="AN162" s="64"/>
      <c r="AO162" s="64"/>
    </row>
    <row r="163" customHeight="1" spans="3:43">
      <c r="C163" s="3658"/>
      <c r="E163" s="3659" t="s">
        <v>182</v>
      </c>
      <c r="F163" s="3638" t="s">
        <v>1448</v>
      </c>
      <c r="G163" s="3638"/>
      <c r="H163" s="3638"/>
      <c r="I163" s="3638"/>
      <c r="J163" s="3638"/>
      <c r="K163" s="3638"/>
      <c r="L163" s="3638"/>
      <c r="M163" s="3638"/>
      <c r="N163" s="3638"/>
      <c r="O163" s="3648"/>
      <c r="P163" s="3648"/>
      <c r="Q163" s="3648"/>
      <c r="R163" s="3648"/>
      <c r="S163" s="3648"/>
      <c r="T163" s="3648"/>
      <c r="U163" s="3648"/>
      <c r="V163" s="3648"/>
      <c r="W163" s="3648"/>
      <c r="X163" s="3648"/>
      <c r="Y163" s="3648"/>
      <c r="Z163" s="3648"/>
      <c r="AA163" s="3648"/>
      <c r="AB163" s="3648"/>
      <c r="AC163" s="3648"/>
      <c r="AD163" s="3648"/>
      <c r="AE163" s="3648"/>
      <c r="AF163" s="3648"/>
      <c r="AG163" s="3648"/>
      <c r="AH163" s="3648"/>
      <c r="AI163" s="2635"/>
      <c r="AJ163" s="2635"/>
      <c r="AK163" s="3648"/>
      <c r="AL163" s="3648"/>
      <c r="AM163" s="3648"/>
      <c r="AN163" s="2635"/>
      <c r="AO163" s="2635"/>
      <c r="AP163" s="3648"/>
      <c r="AQ163" s="3648"/>
    </row>
    <row r="164" customHeight="1" spans="3:43">
      <c r="C164" s="3658"/>
      <c r="E164" s="3659" t="s">
        <v>184</v>
      </c>
      <c r="F164" s="3638" t="s">
        <v>1449</v>
      </c>
      <c r="G164" s="3638"/>
      <c r="H164" s="3638"/>
      <c r="I164" s="3638"/>
      <c r="J164" s="3638"/>
      <c r="K164" s="3638"/>
      <c r="L164" s="3638"/>
      <c r="M164" s="3638"/>
      <c r="N164" s="3638"/>
      <c r="O164" s="3648"/>
      <c r="P164" s="3648"/>
      <c r="Q164" s="3648"/>
      <c r="R164" s="3648"/>
      <c r="S164" s="3648"/>
      <c r="T164" s="3648"/>
      <c r="U164" s="3648"/>
      <c r="V164" s="3648"/>
      <c r="W164" s="3648"/>
      <c r="X164" s="3648"/>
      <c r="Y164" s="3648"/>
      <c r="Z164" s="3648"/>
      <c r="AA164" s="3648"/>
      <c r="AB164" s="3648"/>
      <c r="AC164" s="3648"/>
      <c r="AD164" s="3648"/>
      <c r="AE164" s="3648"/>
      <c r="AF164" s="3648"/>
      <c r="AG164" s="3648"/>
      <c r="AH164" s="3648"/>
      <c r="AI164" s="2635"/>
      <c r="AJ164" s="2635"/>
      <c r="AK164" s="3648"/>
      <c r="AL164" s="3648"/>
      <c r="AM164" s="3648"/>
      <c r="AN164" s="2635"/>
      <c r="AO164" s="2635"/>
      <c r="AP164" s="3648"/>
      <c r="AQ164" s="3648"/>
    </row>
    <row r="165" customHeight="1" spans="3:43">
      <c r="C165" s="3658"/>
      <c r="E165" s="3659" t="s">
        <v>192</v>
      </c>
      <c r="F165" s="3638" t="s">
        <v>1450</v>
      </c>
      <c r="G165" s="3638"/>
      <c r="H165" s="3638"/>
      <c r="I165" s="3638"/>
      <c r="J165" s="3638"/>
      <c r="K165" s="3638"/>
      <c r="L165" s="3638"/>
      <c r="M165" s="3638"/>
      <c r="N165" s="3638"/>
      <c r="O165" s="3648"/>
      <c r="P165" s="3648"/>
      <c r="Q165" s="3648"/>
      <c r="R165" s="3648"/>
      <c r="S165" s="3648"/>
      <c r="T165" s="3648"/>
      <c r="U165" s="3648"/>
      <c r="V165" s="3648"/>
      <c r="W165" s="3648"/>
      <c r="X165" s="3648"/>
      <c r="Y165" s="3648"/>
      <c r="Z165" s="3648"/>
      <c r="AA165" s="3648"/>
      <c r="AB165" s="3648"/>
      <c r="AC165" s="3648"/>
      <c r="AD165" s="3648"/>
      <c r="AE165" s="3648"/>
      <c r="AF165" s="3648"/>
      <c r="AG165" s="3648"/>
      <c r="AH165" s="3648"/>
      <c r="AI165" s="2635"/>
      <c r="AJ165" s="2635"/>
      <c r="AK165" s="3648"/>
      <c r="AL165" s="3648"/>
      <c r="AM165" s="3648"/>
      <c r="AN165" s="2635"/>
      <c r="AO165" s="2635"/>
      <c r="AP165" s="3648"/>
      <c r="AQ165" s="3648"/>
    </row>
    <row r="166" customHeight="1" spans="3:43">
      <c r="C166" s="3658"/>
      <c r="E166" s="3659" t="s">
        <v>1362</v>
      </c>
      <c r="F166" s="3638" t="s">
        <v>1451</v>
      </c>
      <c r="G166" s="3638"/>
      <c r="H166" s="3638"/>
      <c r="I166" s="3638"/>
      <c r="J166" s="3638"/>
      <c r="K166" s="3638"/>
      <c r="L166" s="3638"/>
      <c r="M166" s="3638"/>
      <c r="N166" s="3638"/>
      <c r="O166" s="3648"/>
      <c r="P166" s="3648"/>
      <c r="Q166" s="3648"/>
      <c r="R166" s="3648"/>
      <c r="S166" s="3648"/>
      <c r="T166" s="3648"/>
      <c r="U166" s="3648"/>
      <c r="V166" s="3648"/>
      <c r="W166" s="3648"/>
      <c r="X166" s="3648"/>
      <c r="Y166" s="3648"/>
      <c r="Z166" s="3648"/>
      <c r="AA166" s="3648"/>
      <c r="AB166" s="3648"/>
      <c r="AC166" s="3648"/>
      <c r="AD166" s="3648"/>
      <c r="AE166" s="3648"/>
      <c r="AF166" s="3648"/>
      <c r="AG166" s="3648"/>
      <c r="AH166" s="3648"/>
      <c r="AI166" s="2635"/>
      <c r="AJ166" s="2635"/>
      <c r="AK166" s="3648"/>
      <c r="AL166" s="3648"/>
      <c r="AM166" s="3648"/>
      <c r="AN166" s="2635"/>
      <c r="AO166" s="2635"/>
      <c r="AP166" s="3648"/>
      <c r="AQ166" s="3648"/>
    </row>
    <row r="167" customHeight="1" spans="3:43">
      <c r="C167" s="3658"/>
      <c r="E167" s="3653" t="s">
        <v>1364</v>
      </c>
      <c r="F167" s="3660" t="s">
        <v>1452</v>
      </c>
      <c r="G167" s="3660"/>
      <c r="H167" s="3660"/>
      <c r="I167" s="3660"/>
      <c r="J167" s="3660"/>
      <c r="K167" s="3660"/>
      <c r="L167" s="3660"/>
      <c r="M167" s="3660"/>
      <c r="N167" s="3660"/>
      <c r="O167" s="3660"/>
      <c r="P167" s="3660"/>
      <c r="Q167" s="3660"/>
      <c r="R167" s="3660"/>
      <c r="S167" s="3660"/>
      <c r="T167" s="3660"/>
      <c r="U167" s="3660"/>
      <c r="V167" s="3660"/>
      <c r="W167" s="3660"/>
      <c r="X167" s="3660"/>
      <c r="Y167" s="3660"/>
      <c r="Z167" s="3660"/>
      <c r="AA167" s="3660"/>
      <c r="AB167" s="3660"/>
      <c r="AC167" s="3660"/>
      <c r="AD167" s="3660"/>
      <c r="AE167" s="3660"/>
      <c r="AF167" s="3660"/>
      <c r="AG167" s="3660"/>
      <c r="AH167" s="3660"/>
      <c r="AI167" s="3660"/>
      <c r="AJ167" s="3660"/>
      <c r="AK167" s="3660"/>
      <c r="AL167" s="3660"/>
      <c r="AM167" s="3660"/>
      <c r="AN167" s="3660"/>
      <c r="AO167" s="3660"/>
      <c r="AP167" s="3660"/>
      <c r="AQ167" s="3648"/>
    </row>
    <row r="168" s="3606" customFormat="1" customHeight="1" spans="3:43">
      <c r="C168" s="3658"/>
      <c r="D168" s="3653"/>
      <c r="E168" s="3657"/>
      <c r="F168" s="3660"/>
      <c r="G168" s="3660"/>
      <c r="H168" s="3660"/>
      <c r="I168" s="3660"/>
      <c r="J168" s="3660"/>
      <c r="K168" s="3660"/>
      <c r="L168" s="3660"/>
      <c r="M168" s="3660"/>
      <c r="N168" s="3660"/>
      <c r="O168" s="3660"/>
      <c r="P168" s="3660"/>
      <c r="Q168" s="3660"/>
      <c r="R168" s="3660"/>
      <c r="S168" s="3660"/>
      <c r="T168" s="3660"/>
      <c r="U168" s="3660"/>
      <c r="V168" s="3660"/>
      <c r="W168" s="3660"/>
      <c r="X168" s="3660"/>
      <c r="Y168" s="3660"/>
      <c r="Z168" s="3660"/>
      <c r="AA168" s="3660"/>
      <c r="AB168" s="3660"/>
      <c r="AC168" s="3660"/>
      <c r="AD168" s="3660"/>
      <c r="AE168" s="3660"/>
      <c r="AF168" s="3660"/>
      <c r="AG168" s="3660"/>
      <c r="AH168" s="3660"/>
      <c r="AI168" s="3660"/>
      <c r="AJ168" s="3660"/>
      <c r="AK168" s="3660"/>
      <c r="AL168" s="3660"/>
      <c r="AM168" s="3660"/>
      <c r="AN168" s="3660"/>
      <c r="AO168" s="3660"/>
      <c r="AP168" s="3660"/>
      <c r="AQ168" s="3648"/>
    </row>
    <row r="169" customHeight="1" spans="3:43">
      <c r="C169" s="3658"/>
      <c r="D169" s="3661"/>
      <c r="E169" s="3662"/>
      <c r="F169" s="3660"/>
      <c r="G169" s="3660"/>
      <c r="H169" s="3660"/>
      <c r="I169" s="3660"/>
      <c r="J169" s="3660"/>
      <c r="K169" s="3660"/>
      <c r="L169" s="3660"/>
      <c r="M169" s="3660"/>
      <c r="N169" s="3660"/>
      <c r="O169" s="3660"/>
      <c r="P169" s="3660"/>
      <c r="Q169" s="3660"/>
      <c r="R169" s="3660"/>
      <c r="S169" s="3660"/>
      <c r="T169" s="3660"/>
      <c r="U169" s="3660"/>
      <c r="V169" s="3660"/>
      <c r="W169" s="3660"/>
      <c r="X169" s="3660"/>
      <c r="Y169" s="3660"/>
      <c r="Z169" s="3660"/>
      <c r="AA169" s="3660"/>
      <c r="AB169" s="3660"/>
      <c r="AC169" s="3660"/>
      <c r="AD169" s="3660"/>
      <c r="AE169" s="3660"/>
      <c r="AF169" s="3660"/>
      <c r="AG169" s="3660"/>
      <c r="AH169" s="3660"/>
      <c r="AI169" s="3660"/>
      <c r="AJ169" s="3660"/>
      <c r="AK169" s="3660"/>
      <c r="AL169" s="3660"/>
      <c r="AM169" s="3660"/>
      <c r="AN169" s="3660"/>
      <c r="AO169" s="3660"/>
      <c r="AP169" s="3660"/>
      <c r="AQ169" s="3648"/>
    </row>
    <row r="170" customHeight="1" spans="3:43">
      <c r="C170" s="3658"/>
      <c r="E170" s="3653" t="s">
        <v>1366</v>
      </c>
      <c r="F170" s="3660" t="s">
        <v>1453</v>
      </c>
      <c r="G170" s="3660"/>
      <c r="H170" s="3660"/>
      <c r="I170" s="3660"/>
      <c r="J170" s="3660"/>
      <c r="K170" s="3660"/>
      <c r="L170" s="3660"/>
      <c r="M170" s="3660"/>
      <c r="N170" s="3660"/>
      <c r="O170" s="3660"/>
      <c r="P170" s="3660"/>
      <c r="Q170" s="3660"/>
      <c r="R170" s="3660"/>
      <c r="S170" s="3660"/>
      <c r="T170" s="3660"/>
      <c r="U170" s="3660"/>
      <c r="V170" s="3660"/>
      <c r="W170" s="3660"/>
      <c r="X170" s="3660"/>
      <c r="Y170" s="3660"/>
      <c r="Z170" s="3660"/>
      <c r="AA170" s="3660"/>
      <c r="AB170" s="3660"/>
      <c r="AC170" s="3660"/>
      <c r="AD170" s="3660"/>
      <c r="AE170" s="3660"/>
      <c r="AF170" s="3660"/>
      <c r="AG170" s="3660"/>
      <c r="AH170" s="3660"/>
      <c r="AI170" s="3660"/>
      <c r="AJ170" s="3660"/>
      <c r="AK170" s="3660"/>
      <c r="AL170" s="3660"/>
      <c r="AM170" s="3660"/>
      <c r="AN170" s="3660"/>
      <c r="AO170" s="3660"/>
      <c r="AP170" s="3660"/>
      <c r="AQ170" s="3648"/>
    </row>
    <row r="171" customHeight="1" spans="3:43">
      <c r="C171" s="3658"/>
      <c r="D171" s="3638"/>
      <c r="E171" s="3662"/>
      <c r="F171" s="3660"/>
      <c r="G171" s="3660"/>
      <c r="H171" s="3660"/>
      <c r="I171" s="3660"/>
      <c r="J171" s="3660"/>
      <c r="K171" s="3660"/>
      <c r="L171" s="3660"/>
      <c r="M171" s="3660"/>
      <c r="N171" s="3660"/>
      <c r="O171" s="3660"/>
      <c r="P171" s="3660"/>
      <c r="Q171" s="3660"/>
      <c r="R171" s="3660"/>
      <c r="S171" s="3660"/>
      <c r="T171" s="3660"/>
      <c r="U171" s="3660"/>
      <c r="V171" s="3660"/>
      <c r="W171" s="3660"/>
      <c r="X171" s="3660"/>
      <c r="Y171" s="3660"/>
      <c r="Z171" s="3660"/>
      <c r="AA171" s="3660"/>
      <c r="AB171" s="3660"/>
      <c r="AC171" s="3660"/>
      <c r="AD171" s="3660"/>
      <c r="AE171" s="3660"/>
      <c r="AF171" s="3660"/>
      <c r="AG171" s="3660"/>
      <c r="AH171" s="3660"/>
      <c r="AI171" s="3660"/>
      <c r="AJ171" s="3660"/>
      <c r="AK171" s="3660"/>
      <c r="AL171" s="3660"/>
      <c r="AM171" s="3660"/>
      <c r="AN171" s="3660"/>
      <c r="AO171" s="3660"/>
      <c r="AP171" s="3660"/>
      <c r="AQ171" s="3648"/>
    </row>
    <row r="172" s="3606" customFormat="1" customHeight="1" spans="3:43">
      <c r="C172" s="3658"/>
      <c r="D172" s="3638"/>
      <c r="E172" s="3662"/>
      <c r="F172" s="3660"/>
      <c r="G172" s="3660"/>
      <c r="H172" s="3660"/>
      <c r="I172" s="3660"/>
      <c r="J172" s="3660"/>
      <c r="K172" s="3660"/>
      <c r="L172" s="3660"/>
      <c r="M172" s="3660"/>
      <c r="N172" s="3660"/>
      <c r="O172" s="3660"/>
      <c r="P172" s="3660"/>
      <c r="Q172" s="3660"/>
      <c r="R172" s="3660"/>
      <c r="S172" s="3660"/>
      <c r="T172" s="3660"/>
      <c r="U172" s="3660"/>
      <c r="V172" s="3660"/>
      <c r="W172" s="3660"/>
      <c r="X172" s="3660"/>
      <c r="Y172" s="3660"/>
      <c r="Z172" s="3660"/>
      <c r="AA172" s="3660"/>
      <c r="AB172" s="3660"/>
      <c r="AC172" s="3660"/>
      <c r="AD172" s="3660"/>
      <c r="AE172" s="3660"/>
      <c r="AF172" s="3660"/>
      <c r="AG172" s="3660"/>
      <c r="AH172" s="3660"/>
      <c r="AI172" s="3660"/>
      <c r="AJ172" s="3660"/>
      <c r="AK172" s="3660"/>
      <c r="AL172" s="3660"/>
      <c r="AM172" s="3660"/>
      <c r="AN172" s="3660"/>
      <c r="AO172" s="3660"/>
      <c r="AP172" s="3660"/>
      <c r="AQ172" s="3648"/>
    </row>
    <row r="173" customHeight="1" spans="3:43">
      <c r="C173" s="3658"/>
      <c r="E173" s="3652" t="s">
        <v>1454</v>
      </c>
      <c r="F173" s="3652"/>
      <c r="G173" s="3652"/>
      <c r="H173" s="3652"/>
      <c r="I173" s="3652"/>
      <c r="J173" s="3652"/>
      <c r="K173" s="3652"/>
      <c r="L173" s="3652"/>
      <c r="M173" s="3652"/>
      <c r="N173" s="3652"/>
      <c r="O173" s="3652"/>
      <c r="P173" s="3652"/>
      <c r="Q173" s="3652"/>
      <c r="R173" s="3652"/>
      <c r="S173" s="3652"/>
      <c r="T173" s="3652"/>
      <c r="U173" s="3652"/>
      <c r="V173" s="3652"/>
      <c r="W173" s="3652"/>
      <c r="X173" s="3652"/>
      <c r="Y173" s="3652"/>
      <c r="Z173" s="3652"/>
      <c r="AA173" s="3652"/>
      <c r="AB173" s="3652"/>
      <c r="AC173" s="3652"/>
      <c r="AD173" s="3652"/>
      <c r="AE173" s="3652"/>
      <c r="AF173" s="3652"/>
      <c r="AG173" s="3652"/>
      <c r="AH173" s="3652"/>
      <c r="AI173" s="3652"/>
      <c r="AJ173" s="3652"/>
      <c r="AK173" s="3652"/>
      <c r="AL173" s="3652"/>
      <c r="AM173" s="3652"/>
      <c r="AN173" s="3652"/>
      <c r="AO173" s="3652"/>
      <c r="AP173" s="3652"/>
      <c r="AQ173" s="3648"/>
    </row>
    <row r="174" s="3606" customFormat="1" customHeight="1" spans="3:43">
      <c r="C174" s="3658"/>
      <c r="D174" s="3662"/>
      <c r="E174" s="3652"/>
      <c r="F174" s="3652"/>
      <c r="G174" s="3652"/>
      <c r="H174" s="3652"/>
      <c r="I174" s="3652"/>
      <c r="J174" s="3652"/>
      <c r="K174" s="3652"/>
      <c r="L174" s="3652"/>
      <c r="M174" s="3652"/>
      <c r="N174" s="3652"/>
      <c r="O174" s="3652"/>
      <c r="P174" s="3652"/>
      <c r="Q174" s="3652"/>
      <c r="R174" s="3652"/>
      <c r="S174" s="3652"/>
      <c r="T174" s="3652"/>
      <c r="U174" s="3652"/>
      <c r="V174" s="3652"/>
      <c r="W174" s="3652"/>
      <c r="X174" s="3652"/>
      <c r="Y174" s="3652"/>
      <c r="Z174" s="3652"/>
      <c r="AA174" s="3652"/>
      <c r="AB174" s="3652"/>
      <c r="AC174" s="3652"/>
      <c r="AD174" s="3652"/>
      <c r="AE174" s="3652"/>
      <c r="AF174" s="3652"/>
      <c r="AG174" s="3652"/>
      <c r="AH174" s="3652"/>
      <c r="AI174" s="3652"/>
      <c r="AJ174" s="3652"/>
      <c r="AK174" s="3652"/>
      <c r="AL174" s="3652"/>
      <c r="AM174" s="3652"/>
      <c r="AN174" s="3652"/>
      <c r="AO174" s="3652"/>
      <c r="AP174" s="3652"/>
      <c r="AQ174" s="3648"/>
    </row>
    <row r="175" s="3606" customFormat="1" ht="6.95" customHeight="1" spans="3:43">
      <c r="C175" s="3658"/>
      <c r="D175" s="3662"/>
      <c r="E175" s="3663"/>
      <c r="F175" s="3663"/>
      <c r="G175" s="3663"/>
      <c r="H175" s="3663"/>
      <c r="I175" s="3663"/>
      <c r="J175" s="3663"/>
      <c r="K175" s="3663"/>
      <c r="L175" s="3663"/>
      <c r="M175" s="3663"/>
      <c r="N175" s="3663"/>
      <c r="O175" s="3663"/>
      <c r="P175" s="3663"/>
      <c r="Q175" s="3663"/>
      <c r="R175" s="3663"/>
      <c r="S175" s="3663"/>
      <c r="T175" s="3663"/>
      <c r="U175" s="3663"/>
      <c r="V175" s="3663"/>
      <c r="W175" s="3663"/>
      <c r="X175" s="3663"/>
      <c r="Y175" s="3663"/>
      <c r="Z175" s="3663"/>
      <c r="AA175" s="3663"/>
      <c r="AB175" s="3663"/>
      <c r="AC175" s="3663"/>
      <c r="AD175" s="3663"/>
      <c r="AE175" s="3663"/>
      <c r="AF175" s="3663"/>
      <c r="AG175" s="3663"/>
      <c r="AH175" s="3663"/>
      <c r="AI175" s="3663"/>
      <c r="AJ175" s="3663"/>
      <c r="AK175" s="3663"/>
      <c r="AL175" s="3663"/>
      <c r="AM175" s="3663"/>
      <c r="AN175" s="3663"/>
      <c r="AO175" s="3663"/>
      <c r="AP175" s="3663"/>
      <c r="AQ175" s="3648"/>
    </row>
    <row r="176" customHeight="1" spans="3:43">
      <c r="C176" s="3658"/>
      <c r="E176" s="3652" t="s">
        <v>1455</v>
      </c>
      <c r="F176" s="3652"/>
      <c r="G176" s="3652"/>
      <c r="H176" s="3652"/>
      <c r="I176" s="3652"/>
      <c r="J176" s="3652"/>
      <c r="K176" s="3652"/>
      <c r="L176" s="3652"/>
      <c r="M176" s="3652"/>
      <c r="N176" s="3652"/>
      <c r="O176" s="3652"/>
      <c r="P176" s="3652"/>
      <c r="Q176" s="3652"/>
      <c r="R176" s="3652"/>
      <c r="S176" s="3652"/>
      <c r="T176" s="3652"/>
      <c r="U176" s="3652"/>
      <c r="V176" s="3652"/>
      <c r="W176" s="3652"/>
      <c r="X176" s="3652"/>
      <c r="Y176" s="3652"/>
      <c r="Z176" s="3652"/>
      <c r="AA176" s="3652"/>
      <c r="AB176" s="3652"/>
      <c r="AC176" s="3652"/>
      <c r="AD176" s="3652"/>
      <c r="AE176" s="3652"/>
      <c r="AF176" s="3652"/>
      <c r="AG176" s="3652"/>
      <c r="AH176" s="3652"/>
      <c r="AI176" s="3652"/>
      <c r="AJ176" s="3652"/>
      <c r="AK176" s="3652"/>
      <c r="AL176" s="3652"/>
      <c r="AM176" s="3652"/>
      <c r="AN176" s="3652"/>
      <c r="AO176" s="3652"/>
      <c r="AP176" s="3652"/>
      <c r="AQ176" s="3648"/>
    </row>
    <row r="177" customHeight="1" spans="3:43">
      <c r="C177" s="3658"/>
      <c r="E177" s="3652"/>
      <c r="F177" s="3652"/>
      <c r="G177" s="3652"/>
      <c r="H177" s="3652"/>
      <c r="I177" s="3652"/>
      <c r="J177" s="3652"/>
      <c r="K177" s="3652"/>
      <c r="L177" s="3652"/>
      <c r="M177" s="3652"/>
      <c r="N177" s="3652"/>
      <c r="O177" s="3652"/>
      <c r="P177" s="3652"/>
      <c r="Q177" s="3652"/>
      <c r="R177" s="3652"/>
      <c r="S177" s="3652"/>
      <c r="T177" s="3652"/>
      <c r="U177" s="3652"/>
      <c r="V177" s="3652"/>
      <c r="W177" s="3652"/>
      <c r="X177" s="3652"/>
      <c r="Y177" s="3652"/>
      <c r="Z177" s="3652"/>
      <c r="AA177" s="3652"/>
      <c r="AB177" s="3652"/>
      <c r="AC177" s="3652"/>
      <c r="AD177" s="3652"/>
      <c r="AE177" s="3652"/>
      <c r="AF177" s="3652"/>
      <c r="AG177" s="3652"/>
      <c r="AH177" s="3652"/>
      <c r="AI177" s="3652"/>
      <c r="AJ177" s="3652"/>
      <c r="AK177" s="3652"/>
      <c r="AL177" s="3652"/>
      <c r="AM177" s="3652"/>
      <c r="AN177" s="3652"/>
      <c r="AO177" s="3652"/>
      <c r="AP177" s="3652"/>
      <c r="AQ177" s="3648"/>
    </row>
    <row r="178" s="3606" customFormat="1" ht="6.6" customHeight="1" spans="3:43">
      <c r="C178" s="3658"/>
      <c r="E178" s="3652"/>
      <c r="F178" s="3652"/>
      <c r="G178" s="3652"/>
      <c r="H178" s="3652"/>
      <c r="I178" s="3652"/>
      <c r="J178" s="3652"/>
      <c r="K178" s="3652"/>
      <c r="L178" s="3652"/>
      <c r="M178" s="3652"/>
      <c r="N178" s="3652"/>
      <c r="O178" s="3652"/>
      <c r="P178" s="3652"/>
      <c r="Q178" s="3652"/>
      <c r="R178" s="3652"/>
      <c r="S178" s="3652"/>
      <c r="T178" s="3652"/>
      <c r="U178" s="3652"/>
      <c r="V178" s="3652"/>
      <c r="W178" s="3652"/>
      <c r="X178" s="3652"/>
      <c r="Y178" s="3652"/>
      <c r="Z178" s="3652"/>
      <c r="AA178" s="3652"/>
      <c r="AB178" s="3652"/>
      <c r="AC178" s="3652"/>
      <c r="AD178" s="3652"/>
      <c r="AE178" s="3652"/>
      <c r="AF178" s="3652"/>
      <c r="AG178" s="3652"/>
      <c r="AH178" s="3652"/>
      <c r="AI178" s="3652"/>
      <c r="AJ178" s="3652"/>
      <c r="AK178" s="3652"/>
      <c r="AL178" s="3652"/>
      <c r="AM178" s="3652"/>
      <c r="AN178" s="3652"/>
      <c r="AO178" s="3652"/>
      <c r="AP178" s="3652"/>
      <c r="AQ178" s="3648"/>
    </row>
    <row r="179" customHeight="1" spans="3:43">
      <c r="C179" s="3658"/>
      <c r="E179" s="3652" t="s">
        <v>1456</v>
      </c>
      <c r="F179" s="2104"/>
      <c r="G179" s="2104"/>
      <c r="H179" s="2104"/>
      <c r="I179" s="2104"/>
      <c r="J179" s="2104"/>
      <c r="K179" s="2104"/>
      <c r="L179" s="2104"/>
      <c r="M179" s="2104"/>
      <c r="N179" s="2104"/>
      <c r="O179" s="2104"/>
      <c r="P179" s="2104"/>
      <c r="Q179" s="2104"/>
      <c r="R179" s="2104"/>
      <c r="S179" s="2104"/>
      <c r="T179" s="2104"/>
      <c r="U179" s="2104"/>
      <c r="V179" s="2104"/>
      <c r="W179" s="2104"/>
      <c r="X179" s="2104"/>
      <c r="Y179" s="2104"/>
      <c r="Z179" s="2104"/>
      <c r="AA179" s="2104"/>
      <c r="AB179" s="2104"/>
      <c r="AC179" s="2104"/>
      <c r="AD179" s="2104"/>
      <c r="AE179" s="2104"/>
      <c r="AF179" s="2104"/>
      <c r="AG179" s="2104"/>
      <c r="AH179" s="2104"/>
      <c r="AI179" s="2104"/>
      <c r="AJ179" s="2104"/>
      <c r="AK179" s="2104"/>
      <c r="AL179" s="2104"/>
      <c r="AM179" s="2104"/>
      <c r="AN179" s="2104"/>
      <c r="AO179" s="2104"/>
      <c r="AP179" s="2104"/>
      <c r="AQ179" s="3648"/>
    </row>
    <row r="180" customHeight="1" spans="3:43">
      <c r="C180" s="3658"/>
      <c r="E180" s="2104"/>
      <c r="F180" s="2104"/>
      <c r="G180" s="2104"/>
      <c r="H180" s="2104"/>
      <c r="I180" s="2104"/>
      <c r="J180" s="2104"/>
      <c r="K180" s="2104"/>
      <c r="L180" s="2104"/>
      <c r="M180" s="2104"/>
      <c r="N180" s="2104"/>
      <c r="O180" s="2104"/>
      <c r="P180" s="2104"/>
      <c r="Q180" s="2104"/>
      <c r="R180" s="2104"/>
      <c r="S180" s="2104"/>
      <c r="T180" s="2104"/>
      <c r="U180" s="2104"/>
      <c r="V180" s="2104"/>
      <c r="W180" s="2104"/>
      <c r="X180" s="2104"/>
      <c r="Y180" s="2104"/>
      <c r="Z180" s="2104"/>
      <c r="AA180" s="2104"/>
      <c r="AB180" s="2104"/>
      <c r="AC180" s="2104"/>
      <c r="AD180" s="2104"/>
      <c r="AE180" s="2104"/>
      <c r="AF180" s="2104"/>
      <c r="AG180" s="2104"/>
      <c r="AH180" s="2104"/>
      <c r="AI180" s="2104"/>
      <c r="AJ180" s="2104"/>
      <c r="AK180" s="2104"/>
      <c r="AL180" s="2104"/>
      <c r="AM180" s="2104"/>
      <c r="AN180" s="2104"/>
      <c r="AO180" s="2104"/>
      <c r="AP180" s="2104"/>
      <c r="AQ180" s="3648"/>
    </row>
    <row r="181" ht="9.6" customHeight="1" spans="3:43">
      <c r="C181" s="3658"/>
      <c r="E181" s="2104"/>
      <c r="F181" s="2104"/>
      <c r="G181" s="2104"/>
      <c r="H181" s="2104"/>
      <c r="I181" s="2104"/>
      <c r="J181" s="2104"/>
      <c r="K181" s="2104"/>
      <c r="L181" s="2104"/>
      <c r="M181" s="2104"/>
      <c r="N181" s="2104"/>
      <c r="O181" s="2104"/>
      <c r="P181" s="2104"/>
      <c r="Q181" s="2104"/>
      <c r="R181" s="2104"/>
      <c r="S181" s="2104"/>
      <c r="T181" s="2104"/>
      <c r="U181" s="2104"/>
      <c r="V181" s="2104"/>
      <c r="W181" s="2104"/>
      <c r="X181" s="2104"/>
      <c r="Y181" s="2104"/>
      <c r="Z181" s="2104"/>
      <c r="AA181" s="2104"/>
      <c r="AB181" s="2104"/>
      <c r="AC181" s="2104"/>
      <c r="AD181" s="2104"/>
      <c r="AE181" s="2104"/>
      <c r="AF181" s="2104"/>
      <c r="AG181" s="2104"/>
      <c r="AH181" s="2104"/>
      <c r="AI181" s="2104"/>
      <c r="AJ181" s="2104"/>
      <c r="AK181" s="2104"/>
      <c r="AL181" s="2104"/>
      <c r="AM181" s="2104"/>
      <c r="AN181" s="2104"/>
      <c r="AO181" s="2104"/>
      <c r="AP181" s="2104"/>
      <c r="AQ181" s="3648"/>
    </row>
    <row r="182" customHeight="1" spans="3:43">
      <c r="C182" s="3658"/>
      <c r="E182" s="3652" t="s">
        <v>1457</v>
      </c>
      <c r="F182" s="2104"/>
      <c r="G182" s="2104"/>
      <c r="H182" s="2104"/>
      <c r="I182" s="2104"/>
      <c r="J182" s="2104"/>
      <c r="K182" s="2104"/>
      <c r="L182" s="2104"/>
      <c r="M182" s="2104"/>
      <c r="N182" s="2104"/>
      <c r="O182" s="2104"/>
      <c r="P182" s="2104"/>
      <c r="Q182" s="2104"/>
      <c r="R182" s="2104"/>
      <c r="S182" s="2104"/>
      <c r="T182" s="2104"/>
      <c r="U182" s="2104"/>
      <c r="V182" s="2104"/>
      <c r="W182" s="2104"/>
      <c r="X182" s="2104"/>
      <c r="Y182" s="2104"/>
      <c r="Z182" s="2104"/>
      <c r="AA182" s="2104"/>
      <c r="AB182" s="2104"/>
      <c r="AC182" s="2104"/>
      <c r="AD182" s="2104"/>
      <c r="AE182" s="2104"/>
      <c r="AF182" s="2104"/>
      <c r="AG182" s="2104"/>
      <c r="AH182" s="2104"/>
      <c r="AI182" s="2104"/>
      <c r="AJ182" s="2104"/>
      <c r="AK182" s="2104"/>
      <c r="AL182" s="2104"/>
      <c r="AM182" s="2104"/>
      <c r="AN182" s="2104"/>
      <c r="AO182" s="2104"/>
      <c r="AP182" s="2104"/>
      <c r="AQ182" s="3648"/>
    </row>
    <row r="183" customHeight="1" spans="3:43">
      <c r="C183" s="3658"/>
      <c r="D183" s="3662"/>
      <c r="E183" s="2104"/>
      <c r="F183" s="2104"/>
      <c r="G183" s="2104"/>
      <c r="H183" s="2104"/>
      <c r="I183" s="2104"/>
      <c r="J183" s="2104"/>
      <c r="K183" s="2104"/>
      <c r="L183" s="2104"/>
      <c r="M183" s="2104"/>
      <c r="N183" s="2104"/>
      <c r="O183" s="2104"/>
      <c r="P183" s="2104"/>
      <c r="Q183" s="2104"/>
      <c r="R183" s="2104"/>
      <c r="S183" s="2104"/>
      <c r="T183" s="2104"/>
      <c r="U183" s="2104"/>
      <c r="V183" s="2104"/>
      <c r="W183" s="2104"/>
      <c r="X183" s="2104"/>
      <c r="Y183" s="2104"/>
      <c r="Z183" s="2104"/>
      <c r="AA183" s="2104"/>
      <c r="AB183" s="2104"/>
      <c r="AC183" s="2104"/>
      <c r="AD183" s="2104"/>
      <c r="AE183" s="2104"/>
      <c r="AF183" s="2104"/>
      <c r="AG183" s="2104"/>
      <c r="AH183" s="2104"/>
      <c r="AI183" s="2104"/>
      <c r="AJ183" s="2104"/>
      <c r="AK183" s="2104"/>
      <c r="AL183" s="2104"/>
      <c r="AM183" s="2104"/>
      <c r="AN183" s="2104"/>
      <c r="AO183" s="2104"/>
      <c r="AP183" s="2104"/>
      <c r="AQ183" s="3648"/>
    </row>
    <row r="184" customHeight="1" spans="3:43">
      <c r="C184" s="3653"/>
      <c r="D184" s="3662"/>
      <c r="E184" s="2104"/>
      <c r="F184" s="2104"/>
      <c r="G184" s="2104"/>
      <c r="H184" s="2104"/>
      <c r="I184" s="2104"/>
      <c r="J184" s="2104"/>
      <c r="K184" s="2104"/>
      <c r="L184" s="2104"/>
      <c r="M184" s="2104"/>
      <c r="N184" s="2104"/>
      <c r="O184" s="2104"/>
      <c r="P184" s="2104"/>
      <c r="Q184" s="2104"/>
      <c r="R184" s="2104"/>
      <c r="S184" s="2104"/>
      <c r="T184" s="2104"/>
      <c r="U184" s="2104"/>
      <c r="V184" s="2104"/>
      <c r="W184" s="2104"/>
      <c r="X184" s="2104"/>
      <c r="Y184" s="2104"/>
      <c r="Z184" s="2104"/>
      <c r="AA184" s="2104"/>
      <c r="AB184" s="2104"/>
      <c r="AC184" s="2104"/>
      <c r="AD184" s="2104"/>
      <c r="AE184" s="2104"/>
      <c r="AF184" s="2104"/>
      <c r="AG184" s="2104"/>
      <c r="AH184" s="2104"/>
      <c r="AI184" s="2104"/>
      <c r="AJ184" s="2104"/>
      <c r="AK184" s="2104"/>
      <c r="AL184" s="2104"/>
      <c r="AM184" s="2104"/>
      <c r="AN184" s="2104"/>
      <c r="AO184" s="2104"/>
      <c r="AP184" s="2104"/>
      <c r="AQ184" s="3648"/>
    </row>
    <row r="185" s="3606" customFormat="1" customHeight="1" spans="3:43">
      <c r="C185" s="3653"/>
      <c r="D185" s="2104"/>
      <c r="E185" s="2104"/>
      <c r="F185" s="2104"/>
      <c r="G185" s="2104"/>
      <c r="H185" s="2104"/>
      <c r="I185" s="2104"/>
      <c r="J185" s="2104"/>
      <c r="K185" s="2104"/>
      <c r="L185" s="2104"/>
      <c r="M185" s="2104"/>
      <c r="N185" s="2104"/>
      <c r="O185" s="2104"/>
      <c r="P185" s="2104"/>
      <c r="Q185" s="2104"/>
      <c r="R185" s="2104"/>
      <c r="S185" s="2104"/>
      <c r="T185" s="2104"/>
      <c r="U185" s="2104"/>
      <c r="V185" s="2104"/>
      <c r="W185" s="2104"/>
      <c r="X185" s="2104"/>
      <c r="Y185" s="2104"/>
      <c r="Z185" s="2104"/>
      <c r="AA185" s="2104"/>
      <c r="AB185" s="2104"/>
      <c r="AC185" s="2104"/>
      <c r="AD185" s="2104"/>
      <c r="AE185" s="2104"/>
      <c r="AF185" s="2104"/>
      <c r="AG185" s="2104"/>
      <c r="AH185" s="2104"/>
      <c r="AI185" s="2104"/>
      <c r="AJ185" s="2104"/>
      <c r="AK185" s="2104"/>
      <c r="AL185" s="2104"/>
      <c r="AM185" s="2104"/>
      <c r="AN185" s="2104"/>
      <c r="AO185" s="2104"/>
      <c r="AP185" s="2104"/>
      <c r="AQ185" s="3648"/>
    </row>
    <row r="186" customHeight="1" spans="3:43">
      <c r="C186" s="5067" t="s">
        <v>1458</v>
      </c>
      <c r="E186" s="3664" t="s">
        <v>1459</v>
      </c>
      <c r="F186" s="3658"/>
      <c r="G186" s="3658"/>
      <c r="H186" s="3658"/>
      <c r="I186" s="3658"/>
      <c r="J186" s="3668"/>
      <c r="K186" s="3658"/>
      <c r="L186" s="3666"/>
      <c r="M186" s="3666"/>
      <c r="N186" s="3667"/>
      <c r="O186" s="3648"/>
      <c r="P186" s="3648"/>
      <c r="Q186" s="3648"/>
      <c r="R186" s="3648"/>
      <c r="S186" s="3648"/>
      <c r="T186" s="3648"/>
      <c r="U186" s="3648"/>
      <c r="V186" s="3648"/>
      <c r="W186" s="3648"/>
      <c r="X186" s="3648"/>
      <c r="Y186" s="3648"/>
      <c r="Z186" s="3648"/>
      <c r="AA186" s="3648"/>
      <c r="AB186" s="3648"/>
      <c r="AC186" s="3648"/>
      <c r="AD186" s="3648"/>
      <c r="AE186" s="3648"/>
      <c r="AF186" s="3648"/>
      <c r="AG186" s="3648"/>
      <c r="AH186" s="3648"/>
      <c r="AI186" s="2635"/>
      <c r="AJ186" s="2635"/>
      <c r="AK186" s="3648"/>
      <c r="AL186" s="3648"/>
      <c r="AM186" s="3648"/>
      <c r="AN186" s="2635"/>
      <c r="AO186" s="2635"/>
      <c r="AP186" s="3648"/>
      <c r="AQ186" s="3648"/>
    </row>
    <row r="187" ht="9" customHeight="1" spans="3:43">
      <c r="C187" s="3658"/>
      <c r="D187" s="3658"/>
      <c r="E187" s="3658"/>
      <c r="F187" s="3658"/>
      <c r="G187" s="3658"/>
      <c r="H187" s="3658"/>
      <c r="I187" s="3658"/>
      <c r="J187" s="3668"/>
      <c r="K187" s="3658"/>
      <c r="L187" s="3666"/>
      <c r="M187" s="3666"/>
      <c r="N187" s="3667"/>
      <c r="O187" s="3648"/>
      <c r="P187" s="3648"/>
      <c r="Q187" s="3648"/>
      <c r="R187" s="3648"/>
      <c r="S187" s="3648"/>
      <c r="T187" s="3648"/>
      <c r="U187" s="3648"/>
      <c r="V187" s="3648"/>
      <c r="W187" s="3648"/>
      <c r="X187" s="3648"/>
      <c r="Y187" s="3648"/>
      <c r="Z187" s="3648"/>
      <c r="AA187" s="3648"/>
      <c r="AB187" s="3648"/>
      <c r="AC187" s="3648"/>
      <c r="AD187" s="3648"/>
      <c r="AE187" s="3648"/>
      <c r="AF187" s="3648"/>
      <c r="AG187" s="3648"/>
      <c r="AH187" s="3648"/>
      <c r="AI187" s="2635"/>
      <c r="AJ187" s="2635"/>
      <c r="AK187" s="3648"/>
      <c r="AL187" s="3648"/>
      <c r="AM187" s="3648"/>
      <c r="AN187" s="2635"/>
      <c r="AO187" s="2635"/>
      <c r="AP187" s="3648"/>
      <c r="AQ187" s="3648"/>
    </row>
    <row r="188" customHeight="1" spans="3:43">
      <c r="C188" s="3658"/>
      <c r="E188" s="3653" t="s">
        <v>1460</v>
      </c>
      <c r="F188" s="2635"/>
      <c r="G188" s="2635"/>
      <c r="H188" s="2635"/>
      <c r="I188" s="2635"/>
      <c r="J188" s="2635"/>
      <c r="K188" s="2635"/>
      <c r="L188" s="2635"/>
      <c r="M188" s="2635"/>
      <c r="N188" s="2635"/>
      <c r="O188" s="3648"/>
      <c r="P188" s="3648"/>
      <c r="Q188" s="3648"/>
      <c r="R188" s="3648"/>
      <c r="S188" s="3648"/>
      <c r="T188" s="3648"/>
      <c r="U188" s="3648"/>
      <c r="V188" s="3648"/>
      <c r="W188" s="3648"/>
      <c r="X188" s="3648"/>
      <c r="Y188" s="3648"/>
      <c r="Z188" s="3648"/>
      <c r="AA188" s="3648"/>
      <c r="AB188" s="3648"/>
      <c r="AC188" s="3648"/>
      <c r="AD188" s="3648"/>
      <c r="AE188" s="3648"/>
      <c r="AF188" s="3648"/>
      <c r="AG188" s="3648"/>
      <c r="AH188" s="3648"/>
      <c r="AI188" s="2635"/>
      <c r="AJ188" s="2635"/>
      <c r="AK188" s="3648"/>
      <c r="AL188" s="3648"/>
      <c r="AM188" s="3648"/>
      <c r="AN188" s="2635"/>
      <c r="AO188" s="2635"/>
      <c r="AP188" s="3648"/>
      <c r="AQ188" s="3648"/>
    </row>
    <row r="189" s="3606" customFormat="1" ht="3.95" customHeight="1" spans="3:43">
      <c r="C189" s="3658"/>
      <c r="E189" s="3653"/>
      <c r="F189" s="2635"/>
      <c r="G189" s="2635"/>
      <c r="H189" s="2635"/>
      <c r="I189" s="2635"/>
      <c r="J189" s="2635"/>
      <c r="K189" s="2635"/>
      <c r="L189" s="2635"/>
      <c r="M189" s="2635"/>
      <c r="N189" s="2635"/>
      <c r="O189" s="3648"/>
      <c r="P189" s="3648"/>
      <c r="Q189" s="3648"/>
      <c r="R189" s="3648"/>
      <c r="S189" s="3648"/>
      <c r="T189" s="3648"/>
      <c r="U189" s="3648"/>
      <c r="V189" s="3648"/>
      <c r="W189" s="3648"/>
      <c r="X189" s="3648"/>
      <c r="Y189" s="3648"/>
      <c r="Z189" s="3648"/>
      <c r="AA189" s="3648"/>
      <c r="AB189" s="3648"/>
      <c r="AC189" s="3648"/>
      <c r="AD189" s="3648"/>
      <c r="AE189" s="3648"/>
      <c r="AF189" s="3648"/>
      <c r="AG189" s="3648"/>
      <c r="AH189" s="3648"/>
      <c r="AI189" s="2635"/>
      <c r="AJ189" s="2635"/>
      <c r="AK189" s="3648"/>
      <c r="AL189" s="3648"/>
      <c r="AM189" s="3648"/>
      <c r="AN189" s="2635"/>
      <c r="AO189" s="2635"/>
      <c r="AP189" s="3648"/>
      <c r="AQ189" s="3648"/>
    </row>
    <row r="190" customHeight="1" spans="3:43">
      <c r="C190" s="3658"/>
      <c r="E190" s="3653" t="s">
        <v>1461</v>
      </c>
      <c r="F190" s="2635"/>
      <c r="G190" s="2635"/>
      <c r="H190" s="2635"/>
      <c r="I190" s="2635"/>
      <c r="J190" s="2635"/>
      <c r="K190" s="2635"/>
      <c r="L190" s="2635"/>
      <c r="M190" s="2635"/>
      <c r="N190" s="2635"/>
      <c r="O190" s="3648"/>
      <c r="P190" s="3648"/>
      <c r="Q190" s="3648"/>
      <c r="R190" s="3648"/>
      <c r="S190" s="3648"/>
      <c r="T190" s="3648"/>
      <c r="U190" s="3648"/>
      <c r="V190" s="3648"/>
      <c r="W190" s="3648"/>
      <c r="X190" s="3648"/>
      <c r="Y190" s="3648"/>
      <c r="Z190" s="3648"/>
      <c r="AA190" s="3648"/>
      <c r="AB190" s="3648"/>
      <c r="AC190" s="3648"/>
      <c r="AD190" s="3648"/>
      <c r="AE190" s="3648"/>
      <c r="AF190" s="3648"/>
      <c r="AG190" s="3648"/>
      <c r="AH190" s="3648"/>
      <c r="AI190" s="2635"/>
      <c r="AJ190" s="2635"/>
      <c r="AK190" s="3648"/>
      <c r="AL190" s="3648"/>
      <c r="AM190" s="3648"/>
      <c r="AN190" s="2635"/>
      <c r="AO190" s="2635"/>
      <c r="AP190" s="3648"/>
      <c r="AQ190" s="3648"/>
    </row>
    <row r="191" customHeight="1" spans="3:43">
      <c r="C191" s="3658"/>
      <c r="E191" s="3653" t="s">
        <v>1462</v>
      </c>
      <c r="F191" s="2146" t="s">
        <v>1463</v>
      </c>
      <c r="G191" s="2104"/>
      <c r="H191" s="2104"/>
      <c r="I191" s="2104"/>
      <c r="J191" s="2104"/>
      <c r="K191" s="2104"/>
      <c r="L191" s="2104"/>
      <c r="M191" s="2104"/>
      <c r="N191" s="2104"/>
      <c r="O191" s="2104"/>
      <c r="P191" s="2104"/>
      <c r="Q191" s="2104"/>
      <c r="R191" s="2104"/>
      <c r="S191" s="2104"/>
      <c r="T191" s="2104"/>
      <c r="U191" s="2104"/>
      <c r="V191" s="2104"/>
      <c r="W191" s="2104"/>
      <c r="X191" s="2104"/>
      <c r="Y191" s="2104"/>
      <c r="Z191" s="2104"/>
      <c r="AA191" s="2104"/>
      <c r="AB191" s="2104"/>
      <c r="AC191" s="2104"/>
      <c r="AD191" s="2104"/>
      <c r="AE191" s="2104"/>
      <c r="AF191" s="2104"/>
      <c r="AG191" s="2104"/>
      <c r="AH191" s="2104"/>
      <c r="AI191" s="2104"/>
      <c r="AJ191" s="2104"/>
      <c r="AK191" s="2104"/>
      <c r="AL191" s="2104"/>
      <c r="AM191" s="2104"/>
      <c r="AN191" s="2104"/>
      <c r="AO191" s="2104"/>
      <c r="AP191" s="2104"/>
      <c r="AQ191" s="3648"/>
    </row>
    <row r="192" customHeight="1" spans="3:43">
      <c r="C192" s="3658"/>
      <c r="E192" s="2635"/>
      <c r="F192" s="2104"/>
      <c r="G192" s="2104"/>
      <c r="H192" s="2104"/>
      <c r="I192" s="2104"/>
      <c r="J192" s="2104"/>
      <c r="K192" s="2104"/>
      <c r="L192" s="2104"/>
      <c r="M192" s="2104"/>
      <c r="N192" s="2104"/>
      <c r="O192" s="2104"/>
      <c r="P192" s="2104"/>
      <c r="Q192" s="2104"/>
      <c r="R192" s="2104"/>
      <c r="S192" s="2104"/>
      <c r="T192" s="2104"/>
      <c r="U192" s="2104"/>
      <c r="V192" s="2104"/>
      <c r="W192" s="2104"/>
      <c r="X192" s="2104"/>
      <c r="Y192" s="2104"/>
      <c r="Z192" s="2104"/>
      <c r="AA192" s="2104"/>
      <c r="AB192" s="2104"/>
      <c r="AC192" s="2104"/>
      <c r="AD192" s="2104"/>
      <c r="AE192" s="2104"/>
      <c r="AF192" s="2104"/>
      <c r="AG192" s="2104"/>
      <c r="AH192" s="2104"/>
      <c r="AI192" s="2104"/>
      <c r="AJ192" s="2104"/>
      <c r="AK192" s="2104"/>
      <c r="AL192" s="2104"/>
      <c r="AM192" s="2104"/>
      <c r="AN192" s="2104"/>
      <c r="AO192" s="2104"/>
      <c r="AP192" s="2104"/>
      <c r="AQ192" s="3648"/>
    </row>
    <row r="193" customHeight="1" spans="3:43">
      <c r="C193" s="3658"/>
      <c r="E193" s="2635"/>
      <c r="F193" s="2104"/>
      <c r="G193" s="2104"/>
      <c r="H193" s="2104"/>
      <c r="I193" s="2104"/>
      <c r="J193" s="2104"/>
      <c r="K193" s="2104"/>
      <c r="L193" s="2104"/>
      <c r="M193" s="2104"/>
      <c r="N193" s="2104"/>
      <c r="O193" s="2104"/>
      <c r="P193" s="2104"/>
      <c r="Q193" s="2104"/>
      <c r="R193" s="2104"/>
      <c r="S193" s="2104"/>
      <c r="T193" s="2104"/>
      <c r="U193" s="2104"/>
      <c r="V193" s="2104"/>
      <c r="W193" s="2104"/>
      <c r="X193" s="2104"/>
      <c r="Y193" s="2104"/>
      <c r="Z193" s="2104"/>
      <c r="AA193" s="2104"/>
      <c r="AB193" s="2104"/>
      <c r="AC193" s="2104"/>
      <c r="AD193" s="2104"/>
      <c r="AE193" s="2104"/>
      <c r="AF193" s="2104"/>
      <c r="AG193" s="2104"/>
      <c r="AH193" s="2104"/>
      <c r="AI193" s="2104"/>
      <c r="AJ193" s="2104"/>
      <c r="AK193" s="2104"/>
      <c r="AL193" s="2104"/>
      <c r="AM193" s="2104"/>
      <c r="AN193" s="2104"/>
      <c r="AO193" s="2104"/>
      <c r="AP193" s="2104"/>
      <c r="AQ193" s="3648"/>
    </row>
    <row r="194" customHeight="1" spans="3:43">
      <c r="C194" s="3658"/>
      <c r="E194" s="3653" t="s">
        <v>1464</v>
      </c>
      <c r="F194" s="2146" t="s">
        <v>1465</v>
      </c>
      <c r="G194" s="2104"/>
      <c r="H194" s="2104"/>
      <c r="I194" s="2104"/>
      <c r="J194" s="2104"/>
      <c r="K194" s="2104"/>
      <c r="L194" s="2104"/>
      <c r="M194" s="2104"/>
      <c r="N194" s="2104"/>
      <c r="O194" s="2104"/>
      <c r="P194" s="2104"/>
      <c r="Q194" s="2104"/>
      <c r="R194" s="2104"/>
      <c r="S194" s="2104"/>
      <c r="T194" s="2104"/>
      <c r="U194" s="2104"/>
      <c r="V194" s="2104"/>
      <c r="W194" s="2104"/>
      <c r="X194" s="2104"/>
      <c r="Y194" s="2104"/>
      <c r="Z194" s="2104"/>
      <c r="AA194" s="2104"/>
      <c r="AB194" s="2104"/>
      <c r="AC194" s="2104"/>
      <c r="AD194" s="2104"/>
      <c r="AE194" s="2104"/>
      <c r="AF194" s="2104"/>
      <c r="AG194" s="2104"/>
      <c r="AH194" s="2104"/>
      <c r="AI194" s="2104"/>
      <c r="AJ194" s="2104"/>
      <c r="AK194" s="2104"/>
      <c r="AL194" s="2104"/>
      <c r="AM194" s="2104"/>
      <c r="AN194" s="2104"/>
      <c r="AO194" s="2104"/>
      <c r="AP194" s="2104"/>
      <c r="AQ194" s="3648"/>
    </row>
    <row r="195" customHeight="1" spans="3:43">
      <c r="C195" s="3658"/>
      <c r="E195" s="2635"/>
      <c r="F195" s="2104"/>
      <c r="G195" s="2104"/>
      <c r="H195" s="2104"/>
      <c r="I195" s="2104"/>
      <c r="J195" s="2104"/>
      <c r="K195" s="2104"/>
      <c r="L195" s="2104"/>
      <c r="M195" s="2104"/>
      <c r="N195" s="2104"/>
      <c r="O195" s="2104"/>
      <c r="P195" s="2104"/>
      <c r="Q195" s="2104"/>
      <c r="R195" s="2104"/>
      <c r="S195" s="2104"/>
      <c r="T195" s="2104"/>
      <c r="U195" s="2104"/>
      <c r="V195" s="2104"/>
      <c r="W195" s="2104"/>
      <c r="X195" s="2104"/>
      <c r="Y195" s="2104"/>
      <c r="Z195" s="2104"/>
      <c r="AA195" s="2104"/>
      <c r="AB195" s="2104"/>
      <c r="AC195" s="2104"/>
      <c r="AD195" s="2104"/>
      <c r="AE195" s="2104"/>
      <c r="AF195" s="2104"/>
      <c r="AG195" s="2104"/>
      <c r="AH195" s="2104"/>
      <c r="AI195" s="2104"/>
      <c r="AJ195" s="2104"/>
      <c r="AK195" s="2104"/>
      <c r="AL195" s="2104"/>
      <c r="AM195" s="2104"/>
      <c r="AN195" s="2104"/>
      <c r="AO195" s="2104"/>
      <c r="AP195" s="2104"/>
      <c r="AQ195" s="3648"/>
    </row>
    <row r="196" customHeight="1" spans="3:43">
      <c r="C196" s="3658"/>
      <c r="E196" s="3653" t="s">
        <v>1466</v>
      </c>
      <c r="F196" s="3652" t="s">
        <v>1467</v>
      </c>
      <c r="G196" s="2104"/>
      <c r="H196" s="2104"/>
      <c r="I196" s="2104"/>
      <c r="J196" s="2104"/>
      <c r="K196" s="2104"/>
      <c r="L196" s="2104"/>
      <c r="M196" s="2104"/>
      <c r="N196" s="2104"/>
      <c r="O196" s="2104"/>
      <c r="P196" s="2104"/>
      <c r="Q196" s="2104"/>
      <c r="R196" s="2104"/>
      <c r="S196" s="2104"/>
      <c r="T196" s="2104"/>
      <c r="U196" s="2104"/>
      <c r="V196" s="2104"/>
      <c r="W196" s="2104"/>
      <c r="X196" s="2104"/>
      <c r="Y196" s="2104"/>
      <c r="Z196" s="2104"/>
      <c r="AA196" s="2104"/>
      <c r="AB196" s="2104"/>
      <c r="AC196" s="2104"/>
      <c r="AD196" s="2104"/>
      <c r="AE196" s="2104"/>
      <c r="AF196" s="2104"/>
      <c r="AG196" s="2104"/>
      <c r="AH196" s="2104"/>
      <c r="AI196" s="2104"/>
      <c r="AJ196" s="2104"/>
      <c r="AK196" s="2104"/>
      <c r="AL196" s="2104"/>
      <c r="AM196" s="2104"/>
      <c r="AN196" s="2104"/>
      <c r="AO196" s="2104"/>
      <c r="AP196" s="2104"/>
      <c r="AQ196" s="3648"/>
    </row>
    <row r="197" customHeight="1" spans="3:43">
      <c r="C197" s="3658"/>
      <c r="E197" s="3653"/>
      <c r="F197" s="2104"/>
      <c r="G197" s="2104"/>
      <c r="H197" s="2104"/>
      <c r="I197" s="2104"/>
      <c r="J197" s="2104"/>
      <c r="K197" s="2104"/>
      <c r="L197" s="2104"/>
      <c r="M197" s="2104"/>
      <c r="N197" s="2104"/>
      <c r="O197" s="2104"/>
      <c r="P197" s="2104"/>
      <c r="Q197" s="2104"/>
      <c r="R197" s="2104"/>
      <c r="S197" s="2104"/>
      <c r="T197" s="2104"/>
      <c r="U197" s="2104"/>
      <c r="V197" s="2104"/>
      <c r="W197" s="2104"/>
      <c r="X197" s="2104"/>
      <c r="Y197" s="2104"/>
      <c r="Z197" s="2104"/>
      <c r="AA197" s="2104"/>
      <c r="AB197" s="2104"/>
      <c r="AC197" s="2104"/>
      <c r="AD197" s="2104"/>
      <c r="AE197" s="2104"/>
      <c r="AF197" s="2104"/>
      <c r="AG197" s="2104"/>
      <c r="AH197" s="2104"/>
      <c r="AI197" s="2104"/>
      <c r="AJ197" s="2104"/>
      <c r="AK197" s="2104"/>
      <c r="AL197" s="2104"/>
      <c r="AM197" s="2104"/>
      <c r="AN197" s="2104"/>
      <c r="AO197" s="2104"/>
      <c r="AP197" s="2104"/>
      <c r="AQ197" s="3648"/>
    </row>
    <row r="198" customHeight="1" spans="3:43">
      <c r="C198" s="3658"/>
      <c r="E198" s="3653"/>
      <c r="F198" s="2104"/>
      <c r="G198" s="2104"/>
      <c r="H198" s="2104"/>
      <c r="I198" s="2104"/>
      <c r="J198" s="2104"/>
      <c r="K198" s="2104"/>
      <c r="L198" s="2104"/>
      <c r="M198" s="2104"/>
      <c r="N198" s="2104"/>
      <c r="O198" s="2104"/>
      <c r="P198" s="2104"/>
      <c r="Q198" s="2104"/>
      <c r="R198" s="2104"/>
      <c r="S198" s="2104"/>
      <c r="T198" s="2104"/>
      <c r="U198" s="2104"/>
      <c r="V198" s="2104"/>
      <c r="W198" s="2104"/>
      <c r="X198" s="2104"/>
      <c r="Y198" s="2104"/>
      <c r="Z198" s="2104"/>
      <c r="AA198" s="2104"/>
      <c r="AB198" s="2104"/>
      <c r="AC198" s="2104"/>
      <c r="AD198" s="2104"/>
      <c r="AE198" s="2104"/>
      <c r="AF198" s="2104"/>
      <c r="AG198" s="2104"/>
      <c r="AH198" s="2104"/>
      <c r="AI198" s="2104"/>
      <c r="AJ198" s="2104"/>
      <c r="AK198" s="2104"/>
      <c r="AL198" s="2104"/>
      <c r="AM198" s="2104"/>
      <c r="AN198" s="2104"/>
      <c r="AO198" s="2104"/>
      <c r="AP198" s="2104"/>
      <c r="AQ198" s="3648"/>
    </row>
    <row r="199" customHeight="1" spans="3:43">
      <c r="C199" s="3658"/>
      <c r="E199" s="3653" t="s">
        <v>1468</v>
      </c>
      <c r="F199" s="3652" t="s">
        <v>1469</v>
      </c>
      <c r="G199" s="2104"/>
      <c r="H199" s="2104"/>
      <c r="I199" s="2104"/>
      <c r="J199" s="2104"/>
      <c r="K199" s="2104"/>
      <c r="L199" s="2104"/>
      <c r="M199" s="2104"/>
      <c r="N199" s="2104"/>
      <c r="O199" s="2104"/>
      <c r="P199" s="2104"/>
      <c r="Q199" s="2104"/>
      <c r="R199" s="2104"/>
      <c r="S199" s="2104"/>
      <c r="T199" s="2104"/>
      <c r="U199" s="2104"/>
      <c r="V199" s="2104"/>
      <c r="W199" s="2104"/>
      <c r="X199" s="2104"/>
      <c r="Y199" s="2104"/>
      <c r="Z199" s="2104"/>
      <c r="AA199" s="2104"/>
      <c r="AB199" s="2104"/>
      <c r="AC199" s="2104"/>
      <c r="AD199" s="2104"/>
      <c r="AE199" s="2104"/>
      <c r="AF199" s="2104"/>
      <c r="AG199" s="2104"/>
      <c r="AH199" s="2104"/>
      <c r="AI199" s="2104"/>
      <c r="AJ199" s="2104"/>
      <c r="AK199" s="2104"/>
      <c r="AL199" s="2104"/>
      <c r="AM199" s="2104"/>
      <c r="AN199" s="2104"/>
      <c r="AO199" s="2104"/>
      <c r="AP199" s="2104"/>
      <c r="AQ199" s="3648"/>
    </row>
    <row r="200" customHeight="1" spans="3:43">
      <c r="C200" s="3658"/>
      <c r="E200" s="3659"/>
      <c r="F200" s="2104"/>
      <c r="G200" s="2104"/>
      <c r="H200" s="2104"/>
      <c r="I200" s="2104"/>
      <c r="J200" s="2104"/>
      <c r="K200" s="2104"/>
      <c r="L200" s="2104"/>
      <c r="M200" s="2104"/>
      <c r="N200" s="2104"/>
      <c r="O200" s="2104"/>
      <c r="P200" s="2104"/>
      <c r="Q200" s="2104"/>
      <c r="R200" s="2104"/>
      <c r="S200" s="2104"/>
      <c r="T200" s="2104"/>
      <c r="U200" s="2104"/>
      <c r="V200" s="2104"/>
      <c r="W200" s="2104"/>
      <c r="X200" s="2104"/>
      <c r="Y200" s="2104"/>
      <c r="Z200" s="2104"/>
      <c r="AA200" s="2104"/>
      <c r="AB200" s="2104"/>
      <c r="AC200" s="2104"/>
      <c r="AD200" s="2104"/>
      <c r="AE200" s="2104"/>
      <c r="AF200" s="2104"/>
      <c r="AG200" s="2104"/>
      <c r="AH200" s="2104"/>
      <c r="AI200" s="2104"/>
      <c r="AJ200" s="2104"/>
      <c r="AK200" s="2104"/>
      <c r="AL200" s="2104"/>
      <c r="AM200" s="2104"/>
      <c r="AN200" s="2104"/>
      <c r="AO200" s="2104"/>
      <c r="AP200" s="2104"/>
      <c r="AQ200" s="3648"/>
    </row>
    <row r="201" customHeight="1" spans="3:43">
      <c r="C201" s="3658"/>
      <c r="E201" s="3659"/>
      <c r="F201" s="3341"/>
      <c r="G201" s="3341"/>
      <c r="H201" s="3341"/>
      <c r="I201" s="3341"/>
      <c r="J201" s="3341"/>
      <c r="K201" s="3341"/>
      <c r="L201" s="3341"/>
      <c r="M201" s="3341"/>
      <c r="N201" s="3341"/>
      <c r="O201" s="3648"/>
      <c r="P201" s="3648"/>
      <c r="Q201" s="3648"/>
      <c r="R201" s="3648"/>
      <c r="S201" s="3648"/>
      <c r="T201" s="3648"/>
      <c r="U201" s="3648"/>
      <c r="V201" s="3648"/>
      <c r="W201" s="3648"/>
      <c r="X201" s="3648"/>
      <c r="Y201" s="3648"/>
      <c r="Z201" s="3648"/>
      <c r="AA201" s="3648"/>
      <c r="AB201" s="3648"/>
      <c r="AC201" s="3648"/>
      <c r="AD201" s="3648"/>
      <c r="AE201" s="3648"/>
      <c r="AF201" s="3648"/>
      <c r="AG201" s="3648"/>
      <c r="AH201" s="3648"/>
      <c r="AI201" s="2635"/>
      <c r="AJ201" s="2635"/>
      <c r="AK201" s="3648"/>
      <c r="AL201" s="3648"/>
      <c r="AM201" s="3648"/>
      <c r="AN201" s="2635"/>
      <c r="AO201" s="2635"/>
      <c r="AP201" s="3648"/>
      <c r="AQ201" s="3648"/>
    </row>
    <row r="202" customHeight="1" spans="3:43">
      <c r="C202" s="3648"/>
      <c r="E202" s="3648"/>
      <c r="F202" s="3648"/>
      <c r="G202" s="3648"/>
      <c r="H202" s="3648"/>
      <c r="I202" s="3648"/>
      <c r="J202" s="3648"/>
      <c r="K202" s="3648"/>
      <c r="L202" s="3648"/>
      <c r="M202" s="3648"/>
      <c r="N202" s="3648"/>
      <c r="O202" s="3648"/>
      <c r="P202" s="3648"/>
      <c r="Q202" s="3648"/>
      <c r="R202" s="3648"/>
      <c r="S202" s="3648"/>
      <c r="T202" s="3648"/>
      <c r="U202" s="3648"/>
      <c r="V202" s="3648"/>
      <c r="W202" s="3648"/>
      <c r="X202" s="3648"/>
      <c r="Y202" s="3648"/>
      <c r="Z202" s="3648"/>
      <c r="AA202" s="3648"/>
      <c r="AB202" s="3648"/>
      <c r="AC202" s="3648"/>
      <c r="AD202" s="3648"/>
      <c r="AE202" s="3648"/>
      <c r="AF202" s="3648"/>
      <c r="AG202" s="3648"/>
      <c r="AH202" s="3648"/>
      <c r="AI202" s="2635"/>
      <c r="AJ202" s="2635"/>
      <c r="AK202" s="3648"/>
      <c r="AL202" s="3648"/>
      <c r="AM202" s="3648"/>
      <c r="AN202" s="2635"/>
      <c r="AO202" s="2635"/>
      <c r="AP202" s="3648"/>
      <c r="AQ202" s="3648"/>
    </row>
    <row r="203" customHeight="1" spans="3:43">
      <c r="C203" s="3648"/>
      <c r="E203" s="3648"/>
      <c r="F203" s="3648"/>
      <c r="G203" s="3648"/>
      <c r="H203" s="3648"/>
      <c r="I203" s="3648"/>
      <c r="J203" s="3648"/>
      <c r="K203" s="3648"/>
      <c r="L203" s="3648"/>
      <c r="M203" s="3648"/>
      <c r="N203" s="3648"/>
      <c r="O203" s="3648"/>
      <c r="P203" s="3648"/>
      <c r="Q203" s="3648"/>
      <c r="R203" s="3648"/>
      <c r="S203" s="3648"/>
      <c r="T203" s="3648"/>
      <c r="U203" s="3648"/>
      <c r="V203" s="3648"/>
      <c r="W203" s="3648"/>
      <c r="X203" s="3648"/>
      <c r="Y203" s="3648"/>
      <c r="Z203" s="3648"/>
      <c r="AA203" s="3648"/>
      <c r="AB203" s="3648"/>
      <c r="AC203" s="3648"/>
      <c r="AD203" s="3648"/>
      <c r="AE203" s="3648"/>
      <c r="AF203" s="3648"/>
      <c r="AG203" s="3648"/>
      <c r="AH203" s="3648"/>
      <c r="AI203" s="2635"/>
      <c r="AJ203" s="2635"/>
      <c r="AK203" s="3648"/>
      <c r="AL203" s="3648"/>
      <c r="AM203" s="3648"/>
      <c r="AN203" s="2635"/>
      <c r="AO203" s="2635"/>
      <c r="AP203" s="3648"/>
      <c r="AQ203" s="3648"/>
    </row>
    <row r="204" customHeight="1" spans="3:43">
      <c r="C204" s="3648"/>
      <c r="D204" s="3648"/>
      <c r="E204" s="3648"/>
      <c r="F204" s="3648"/>
      <c r="G204" s="3648"/>
      <c r="H204" s="3648"/>
      <c r="I204" s="3648"/>
      <c r="J204" s="3648"/>
      <c r="K204" s="3648"/>
      <c r="L204" s="3648"/>
      <c r="M204" s="3648"/>
      <c r="N204" s="3648"/>
      <c r="O204" s="3648"/>
      <c r="P204" s="3648"/>
      <c r="Q204" s="3648"/>
      <c r="R204" s="3648"/>
      <c r="S204" s="3648"/>
      <c r="T204" s="3648"/>
      <c r="U204" s="3648"/>
      <c r="V204" s="3648"/>
      <c r="W204" s="3648"/>
      <c r="X204" s="3648"/>
      <c r="Y204" s="3648"/>
      <c r="Z204" s="3648"/>
      <c r="AA204" s="3648"/>
      <c r="AB204" s="3648"/>
      <c r="AC204" s="3648"/>
      <c r="AD204" s="3648"/>
      <c r="AE204" s="3648"/>
      <c r="AF204" s="3648"/>
      <c r="AG204" s="3648"/>
      <c r="AH204" s="3648"/>
      <c r="AI204" s="2635"/>
      <c r="AJ204" s="2635"/>
      <c r="AK204" s="3648"/>
      <c r="AL204" s="3648"/>
      <c r="AM204" s="3648"/>
      <c r="AN204" s="2635"/>
      <c r="AO204" s="2635"/>
      <c r="AP204" s="3648"/>
      <c r="AQ204" s="3648"/>
    </row>
    <row r="205" customHeight="1" spans="3:43">
      <c r="C205" s="3648"/>
      <c r="D205" s="3648"/>
      <c r="E205" s="3648"/>
      <c r="F205" s="3648"/>
      <c r="G205" s="3648"/>
      <c r="H205" s="3648"/>
      <c r="I205" s="3648"/>
      <c r="J205" s="3648"/>
      <c r="K205" s="3648"/>
      <c r="L205" s="3648"/>
      <c r="M205" s="3648"/>
      <c r="N205" s="3648"/>
      <c r="O205" s="3648"/>
      <c r="P205" s="3648"/>
      <c r="Q205" s="3648"/>
      <c r="R205" s="3648"/>
      <c r="S205" s="3648"/>
      <c r="T205" s="3648"/>
      <c r="U205" s="3648"/>
      <c r="V205" s="3648"/>
      <c r="W205" s="3648"/>
      <c r="X205" s="3648"/>
      <c r="Y205" s="3648"/>
      <c r="Z205" s="3648"/>
      <c r="AA205" s="3648"/>
      <c r="AB205" s="3648"/>
      <c r="AC205" s="3648"/>
      <c r="AD205" s="3648"/>
      <c r="AE205" s="3648"/>
      <c r="AF205" s="3648"/>
      <c r="AG205" s="3648"/>
      <c r="AH205" s="3648"/>
      <c r="AI205" s="2635"/>
      <c r="AJ205" s="2635"/>
      <c r="AK205" s="3648"/>
      <c r="AL205" s="3648"/>
      <c r="AM205" s="3648"/>
      <c r="AN205" s="2635"/>
      <c r="AO205" s="2635"/>
      <c r="AP205" s="3648"/>
      <c r="AQ205" s="3648"/>
    </row>
  </sheetData>
  <mergeCells count="52">
    <mergeCell ref="C11:AP11"/>
    <mergeCell ref="C13:AP13"/>
    <mergeCell ref="C15:AP15"/>
    <mergeCell ref="C17:AP17"/>
    <mergeCell ref="C19:AP19"/>
    <mergeCell ref="C23:AP23"/>
    <mergeCell ref="AD25:AN25"/>
    <mergeCell ref="AD26:AN26"/>
    <mergeCell ref="AD27:AN27"/>
    <mergeCell ref="C29:AP29"/>
    <mergeCell ref="C33:AP33"/>
    <mergeCell ref="E37:AP37"/>
    <mergeCell ref="E39:AP39"/>
    <mergeCell ref="E41:AP41"/>
    <mergeCell ref="E43:AP43"/>
    <mergeCell ref="E74:AP74"/>
    <mergeCell ref="E76:AP76"/>
    <mergeCell ref="E80:AP80"/>
    <mergeCell ref="E84:AP84"/>
    <mergeCell ref="E86:AP86"/>
    <mergeCell ref="E90:AP90"/>
    <mergeCell ref="E94:AP94"/>
    <mergeCell ref="E96:T96"/>
    <mergeCell ref="E107:AP107"/>
    <mergeCell ref="E111:AP111"/>
    <mergeCell ref="E115:AP115"/>
    <mergeCell ref="E117:AP117"/>
    <mergeCell ref="E119:AP119"/>
    <mergeCell ref="E123:AP123"/>
    <mergeCell ref="E126:AP126"/>
    <mergeCell ref="E130:AP130"/>
    <mergeCell ref="E132:AP132"/>
    <mergeCell ref="E134:AP134"/>
    <mergeCell ref="AA1:AB5"/>
    <mergeCell ref="AC1:AJ3"/>
    <mergeCell ref="AK1:AP3"/>
    <mergeCell ref="AC4:AJ5"/>
    <mergeCell ref="AK4:AP5"/>
    <mergeCell ref="F191:AP193"/>
    <mergeCell ref="F194:AP195"/>
    <mergeCell ref="F196:AP198"/>
    <mergeCell ref="F199:AP200"/>
    <mergeCell ref="E140:AP141"/>
    <mergeCell ref="E146:AP148"/>
    <mergeCell ref="E150:AP153"/>
    <mergeCell ref="G158:AP159"/>
    <mergeCell ref="E182:AP184"/>
    <mergeCell ref="F167:AP169"/>
    <mergeCell ref="F170:AP171"/>
    <mergeCell ref="E173:AP174"/>
    <mergeCell ref="E176:AP177"/>
    <mergeCell ref="E179:AP181"/>
  </mergeCells>
  <pageMargins left="0.78740157480315" right="0.590551181102362" top="0.590551181102362" bottom="0.590551181102362" header="0.31496062992126" footer="0.31496062992126"/>
  <pageSetup paperSize="9" orientation="portrait"/>
  <headerFooter>
    <oddFooter>&amp;C&amp;8&amp;P+4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CC204"/>
  <sheetViews>
    <sheetView showGridLines="0" zoomScale="160" zoomScaleNormal="160" workbookViewId="0">
      <pane ySplit="5" topLeftCell="A160" activePane="bottomLeft" state="frozen"/>
      <selection/>
      <selection pane="bottomLeft" activeCell="E175" sqref="E175:AP176"/>
    </sheetView>
  </sheetViews>
  <sheetFormatPr defaultColWidth="9.13541666666667" defaultRowHeight="12" customHeight="1"/>
  <cols>
    <col min="1" max="1" width="2.69791666666667" style="3606" customWidth="1"/>
    <col min="2" max="12" width="2.25" style="3606" customWidth="1"/>
    <col min="13" max="13" width="1.80208333333333" style="3606" customWidth="1"/>
    <col min="14" max="24" width="2.25" style="3606" customWidth="1"/>
    <col min="25" max="25" width="2.39583333333333" style="3606" customWidth="1"/>
    <col min="26" max="26" width="2.25" style="3606" customWidth="1"/>
    <col min="27" max="28" width="2.39583333333333" style="3606" customWidth="1"/>
    <col min="29" max="32" width="2.25" style="3606" customWidth="1"/>
    <col min="33" max="33" width="2.39583333333333" style="3606" customWidth="1"/>
    <col min="34" max="34" width="2.25" style="3606" customWidth="1"/>
    <col min="35" max="36" width="2.25" style="64" customWidth="1"/>
    <col min="37" max="39" width="2.25" style="3606" customWidth="1"/>
    <col min="40" max="40" width="2.25" style="64" customWidth="1"/>
    <col min="41" max="41" width="2.84375" style="64" customWidth="1"/>
    <col min="42" max="42" width="1.94791666666667" style="3606" customWidth="1"/>
    <col min="43" max="43" width="10.1875" style="3606" customWidth="1"/>
    <col min="44" max="44" width="14.2395833333333" style="3606" customWidth="1"/>
    <col min="45" max="45" width="13.3333333333333" style="3606" customWidth="1"/>
    <col min="46" max="46" width="10.9375" style="3606" customWidth="1"/>
    <col min="47" max="16384" width="9.13541666666667" style="3606"/>
  </cols>
  <sheetData>
    <row r="1" customHeight="1" spans="1:42">
      <c r="A1" s="3607" t="str">
        <f>+I!B4</f>
        <v>PT INTAN GIRI ABADI</v>
      </c>
      <c r="AA1" s="3624" t="s">
        <v>277</v>
      </c>
      <c r="AB1" s="3624"/>
      <c r="AC1" s="3625" t="s">
        <v>278</v>
      </c>
      <c r="AD1" s="3625"/>
      <c r="AE1" s="3625"/>
      <c r="AF1" s="3625"/>
      <c r="AG1" s="3625"/>
      <c r="AH1" s="3625"/>
      <c r="AI1" s="3625"/>
      <c r="AJ1" s="3625"/>
      <c r="AK1" s="3625" t="s">
        <v>273</v>
      </c>
      <c r="AL1" s="3625"/>
      <c r="AM1" s="3625"/>
      <c r="AN1" s="3625"/>
      <c r="AO1" s="3625"/>
      <c r="AP1" s="3625"/>
    </row>
    <row r="2" customHeight="1" spans="1:42">
      <c r="A2" s="5010" t="s">
        <v>289</v>
      </c>
      <c r="AA2" s="3624"/>
      <c r="AB2" s="3624"/>
      <c r="AC2" s="3625"/>
      <c r="AD2" s="3625"/>
      <c r="AE2" s="3625"/>
      <c r="AF2" s="3625"/>
      <c r="AG2" s="3625"/>
      <c r="AH2" s="3625"/>
      <c r="AI2" s="3625"/>
      <c r="AJ2" s="3625"/>
      <c r="AK2" s="3625"/>
      <c r="AL2" s="3625"/>
      <c r="AM2" s="3625"/>
      <c r="AN2" s="3625"/>
      <c r="AO2" s="3625"/>
      <c r="AP2" s="3625"/>
    </row>
    <row r="3" customHeight="1" spans="1:42">
      <c r="A3" s="5010" t="s">
        <v>279</v>
      </c>
      <c r="AA3" s="3624"/>
      <c r="AB3" s="3624"/>
      <c r="AC3" s="3625"/>
      <c r="AD3" s="3625"/>
      <c r="AE3" s="3625"/>
      <c r="AF3" s="3625"/>
      <c r="AG3" s="3625"/>
      <c r="AH3" s="3625"/>
      <c r="AI3" s="3625"/>
      <c r="AJ3" s="3625"/>
      <c r="AK3" s="3625"/>
      <c r="AL3" s="3625"/>
      <c r="AM3" s="3625"/>
      <c r="AN3" s="3625"/>
      <c r="AO3" s="3625"/>
      <c r="AP3" s="3625"/>
    </row>
    <row r="4" customHeight="1" spans="1:42">
      <c r="A4" s="3609" t="s">
        <v>450</v>
      </c>
      <c r="AA4" s="3624"/>
      <c r="AB4" s="3624"/>
      <c r="AC4" s="3625" t="s">
        <v>280</v>
      </c>
      <c r="AD4" s="3625"/>
      <c r="AE4" s="3625"/>
      <c r="AF4" s="3625"/>
      <c r="AG4" s="3625"/>
      <c r="AH4" s="3625"/>
      <c r="AI4" s="3625"/>
      <c r="AJ4" s="3625"/>
      <c r="AK4" s="3625" t="s">
        <v>275</v>
      </c>
      <c r="AL4" s="3625"/>
      <c r="AM4" s="3625"/>
      <c r="AN4" s="3625"/>
      <c r="AO4" s="3625"/>
      <c r="AP4" s="3625"/>
    </row>
    <row r="5" ht="7.35" customHeight="1" spans="1:42">
      <c r="A5" s="3610"/>
      <c r="B5" s="3611"/>
      <c r="C5" s="3611"/>
      <c r="D5" s="3611"/>
      <c r="E5" s="3611"/>
      <c r="F5" s="3611"/>
      <c r="G5" s="3611"/>
      <c r="H5" s="3611"/>
      <c r="I5" s="3611"/>
      <c r="J5" s="3611"/>
      <c r="K5" s="3611"/>
      <c r="L5" s="3611"/>
      <c r="M5" s="3611"/>
      <c r="N5" s="3611"/>
      <c r="O5" s="3611"/>
      <c r="P5" s="3611"/>
      <c r="Q5" s="3611"/>
      <c r="R5" s="3611"/>
      <c r="S5" s="3611"/>
      <c r="T5" s="3611"/>
      <c r="U5" s="3611"/>
      <c r="V5" s="3611"/>
      <c r="W5" s="3611"/>
      <c r="X5" s="3611"/>
      <c r="Y5" s="3611"/>
      <c r="Z5" s="3611"/>
      <c r="AA5" s="3626"/>
      <c r="AB5" s="3626"/>
      <c r="AC5" s="3627"/>
      <c r="AD5" s="3627"/>
      <c r="AE5" s="3627"/>
      <c r="AF5" s="3627"/>
      <c r="AG5" s="3627"/>
      <c r="AH5" s="3627"/>
      <c r="AI5" s="3627"/>
      <c r="AJ5" s="3627"/>
      <c r="AK5" s="3627"/>
      <c r="AL5" s="3627"/>
      <c r="AM5" s="3627"/>
      <c r="AN5" s="3627"/>
      <c r="AO5" s="3627"/>
      <c r="AP5" s="3627"/>
    </row>
    <row r="7" customHeight="1" spans="1:34">
      <c r="A7" s="3612">
        <v>1</v>
      </c>
      <c r="B7" s="64"/>
      <c r="C7" s="3322" t="s">
        <v>1331</v>
      </c>
      <c r="D7" s="3322"/>
      <c r="E7" s="3322"/>
      <c r="F7" s="3322"/>
      <c r="G7" s="3322"/>
      <c r="H7" s="3322"/>
      <c r="I7" s="3322"/>
      <c r="J7" s="3322"/>
      <c r="K7" s="3322"/>
      <c r="L7" s="3322"/>
      <c r="M7" s="3322"/>
      <c r="N7" s="3322"/>
      <c r="O7" s="3322"/>
      <c r="P7" s="3322"/>
      <c r="Q7" s="3322"/>
      <c r="R7" s="3322"/>
      <c r="S7" s="3322"/>
      <c r="T7" s="3322"/>
      <c r="U7" s="3322"/>
      <c r="V7" s="3322"/>
      <c r="W7" s="3322"/>
      <c r="X7" s="3322"/>
      <c r="Y7" s="3322"/>
      <c r="Z7" s="3322"/>
      <c r="AA7" s="3322"/>
      <c r="AB7" s="3322"/>
      <c r="AC7" s="3322"/>
      <c r="AD7" s="3322"/>
      <c r="AE7" s="3322"/>
      <c r="AF7" s="3322"/>
      <c r="AG7" s="3322"/>
      <c r="AH7" s="3322"/>
    </row>
    <row r="8" ht="9.6" customHeight="1" spans="1:34">
      <c r="A8" s="3612"/>
      <c r="B8" s="64"/>
      <c r="C8" s="3322"/>
      <c r="D8" s="3322"/>
      <c r="E8" s="3322"/>
      <c r="F8" s="3322"/>
      <c r="G8" s="3322"/>
      <c r="H8" s="3322"/>
      <c r="I8" s="3322"/>
      <c r="J8" s="3322"/>
      <c r="K8" s="3322"/>
      <c r="L8" s="3322"/>
      <c r="M8" s="3322"/>
      <c r="N8" s="3322"/>
      <c r="O8" s="3322"/>
      <c r="P8" s="3322"/>
      <c r="Q8" s="3322"/>
      <c r="R8" s="3322"/>
      <c r="S8" s="3322"/>
      <c r="T8" s="3322"/>
      <c r="U8" s="3322"/>
      <c r="V8" s="3322"/>
      <c r="W8" s="3322"/>
      <c r="X8" s="3322"/>
      <c r="Y8" s="3322"/>
      <c r="Z8" s="3322"/>
      <c r="AA8" s="3322"/>
      <c r="AB8" s="3322"/>
      <c r="AC8" s="3322"/>
      <c r="AD8" s="3322"/>
      <c r="AE8" s="3322"/>
      <c r="AF8" s="3322"/>
      <c r="AG8" s="3322"/>
      <c r="AH8" s="3322"/>
    </row>
    <row r="9" spans="1:34">
      <c r="A9" s="64"/>
      <c r="B9" s="3446" t="s">
        <v>163</v>
      </c>
      <c r="C9" s="3613" t="str">
        <f>+'[84]Lap '!$C$274</f>
        <v>Sejarah Singkat Perusahaan</v>
      </c>
      <c r="D9" s="3341"/>
      <c r="E9" s="3341"/>
      <c r="F9" s="3341"/>
      <c r="G9" s="3341"/>
      <c r="H9" s="3341"/>
      <c r="I9" s="3341"/>
      <c r="J9" s="3341"/>
      <c r="K9" s="3341"/>
      <c r="L9" s="3341"/>
      <c r="M9" s="3341"/>
      <c r="N9" s="3341"/>
      <c r="O9" s="3341"/>
      <c r="P9" s="3341"/>
      <c r="Q9" s="3341"/>
      <c r="R9" s="3341"/>
      <c r="S9" s="3341"/>
      <c r="T9" s="3341"/>
      <c r="U9" s="3341"/>
      <c r="V9" s="3341"/>
      <c r="W9" s="3341"/>
      <c r="X9" s="3341"/>
      <c r="Y9" s="3341"/>
      <c r="Z9" s="3341"/>
      <c r="AA9" s="3341"/>
      <c r="AB9" s="3341"/>
      <c r="AC9" s="3341"/>
      <c r="AD9" s="3341"/>
      <c r="AE9" s="3341"/>
      <c r="AF9" s="3341"/>
      <c r="AG9" s="3341"/>
      <c r="AH9" s="3341"/>
    </row>
    <row r="10" ht="9.2" customHeight="1" spans="1:34">
      <c r="A10" s="64"/>
      <c r="B10" s="64"/>
      <c r="C10" s="3341"/>
      <c r="D10" s="3341"/>
      <c r="E10" s="3341"/>
      <c r="F10" s="3341"/>
      <c r="G10" s="3341"/>
      <c r="H10" s="3341"/>
      <c r="I10" s="3341"/>
      <c r="J10" s="3341"/>
      <c r="K10" s="3341"/>
      <c r="L10" s="3341"/>
      <c r="M10" s="3341"/>
      <c r="N10" s="3341"/>
      <c r="O10" s="3341"/>
      <c r="P10" s="3341"/>
      <c r="Q10" s="3341"/>
      <c r="R10" s="3341"/>
      <c r="S10" s="3341"/>
      <c r="T10" s="3341"/>
      <c r="U10" s="3341"/>
      <c r="V10" s="3341"/>
      <c r="W10" s="3341"/>
      <c r="X10" s="3341"/>
      <c r="Y10" s="3341"/>
      <c r="Z10" s="3341"/>
      <c r="AA10" s="3341"/>
      <c r="AB10" s="3341"/>
      <c r="AC10" s="3341"/>
      <c r="AD10" s="3341"/>
      <c r="AE10" s="3341"/>
      <c r="AF10" s="3341"/>
      <c r="AG10" s="3341"/>
      <c r="AH10" s="3341"/>
    </row>
    <row r="11" ht="46.5" customHeight="1" spans="1:44">
      <c r="A11" s="64"/>
      <c r="B11" s="64"/>
      <c r="C11" s="5059" t="s">
        <v>1332</v>
      </c>
      <c r="D11" s="2104"/>
      <c r="E11" s="2104"/>
      <c r="F11" s="2104"/>
      <c r="G11" s="2104"/>
      <c r="H11" s="2104"/>
      <c r="I11" s="2104"/>
      <c r="J11" s="2104"/>
      <c r="K11" s="2104"/>
      <c r="L11" s="2104"/>
      <c r="M11" s="2104"/>
      <c r="N11" s="2104"/>
      <c r="O11" s="2104"/>
      <c r="P11" s="2104"/>
      <c r="Q11" s="2104"/>
      <c r="R11" s="2104"/>
      <c r="S11" s="2104"/>
      <c r="T11" s="2104"/>
      <c r="U11" s="2104"/>
      <c r="V11" s="2104"/>
      <c r="W11" s="2104"/>
      <c r="X11" s="2104"/>
      <c r="Y11" s="2104"/>
      <c r="Z11" s="2104"/>
      <c r="AA11" s="2104"/>
      <c r="AB11" s="2104"/>
      <c r="AC11" s="2104"/>
      <c r="AD11" s="2104"/>
      <c r="AE11" s="2104"/>
      <c r="AF11" s="2104"/>
      <c r="AG11" s="2104"/>
      <c r="AH11" s="2104"/>
      <c r="AI11" s="2104"/>
      <c r="AJ11" s="2104"/>
      <c r="AK11" s="2104"/>
      <c r="AL11" s="2104"/>
      <c r="AM11" s="2104"/>
      <c r="AN11" s="2104"/>
      <c r="AO11" s="2104"/>
      <c r="AP11" s="2104"/>
      <c r="AR11" s="3630"/>
    </row>
    <row r="12" ht="6.6" customHeight="1" spans="1:44">
      <c r="A12" s="64"/>
      <c r="B12" s="64"/>
      <c r="C12" s="2104"/>
      <c r="D12" s="2104"/>
      <c r="E12" s="2104"/>
      <c r="F12" s="2104"/>
      <c r="G12" s="2104"/>
      <c r="H12" s="2104"/>
      <c r="I12" s="2104"/>
      <c r="J12" s="2104"/>
      <c r="K12" s="2104"/>
      <c r="L12" s="2104"/>
      <c r="M12" s="2104"/>
      <c r="N12" s="2104"/>
      <c r="O12" s="2104"/>
      <c r="P12" s="2104"/>
      <c r="Q12" s="2104"/>
      <c r="R12" s="2104"/>
      <c r="S12" s="2104"/>
      <c r="T12" s="2104"/>
      <c r="U12" s="2104"/>
      <c r="V12" s="2104"/>
      <c r="W12" s="2104"/>
      <c r="X12" s="2104"/>
      <c r="Y12" s="2104"/>
      <c r="Z12" s="2104"/>
      <c r="AA12" s="2104"/>
      <c r="AB12" s="2104"/>
      <c r="AC12" s="2104"/>
      <c r="AD12" s="2104"/>
      <c r="AE12" s="2104"/>
      <c r="AF12" s="2104"/>
      <c r="AG12" s="2104"/>
      <c r="AH12" s="2104"/>
      <c r="AI12" s="2104"/>
      <c r="AJ12" s="2104"/>
      <c r="AK12" s="2104"/>
      <c r="AL12" s="2104"/>
      <c r="AM12" s="2104"/>
      <c r="AN12" s="2104"/>
      <c r="AO12" s="2104"/>
      <c r="AP12" s="2104"/>
      <c r="AR12" s="3630"/>
    </row>
    <row r="13" ht="45.6" customHeight="1" spans="1:44">
      <c r="A13" s="64"/>
      <c r="B13" s="64"/>
      <c r="C13" s="5059" t="s">
        <v>1333</v>
      </c>
      <c r="D13" s="2104"/>
      <c r="E13" s="2104"/>
      <c r="F13" s="2104"/>
      <c r="G13" s="2104"/>
      <c r="H13" s="2104"/>
      <c r="I13" s="2104"/>
      <c r="J13" s="2104"/>
      <c r="K13" s="2104"/>
      <c r="L13" s="2104"/>
      <c r="M13" s="2104"/>
      <c r="N13" s="2104"/>
      <c r="O13" s="2104"/>
      <c r="P13" s="2104"/>
      <c r="Q13" s="2104"/>
      <c r="R13" s="2104"/>
      <c r="S13" s="2104"/>
      <c r="T13" s="2104"/>
      <c r="U13" s="2104"/>
      <c r="V13" s="2104"/>
      <c r="W13" s="2104"/>
      <c r="X13" s="2104"/>
      <c r="Y13" s="2104"/>
      <c r="Z13" s="2104"/>
      <c r="AA13" s="2104"/>
      <c r="AB13" s="2104"/>
      <c r="AC13" s="2104"/>
      <c r="AD13" s="2104"/>
      <c r="AE13" s="2104"/>
      <c r="AF13" s="2104"/>
      <c r="AG13" s="2104"/>
      <c r="AH13" s="2104"/>
      <c r="AI13" s="2104"/>
      <c r="AJ13" s="2104"/>
      <c r="AK13" s="2104"/>
      <c r="AL13" s="2104"/>
      <c r="AM13" s="2104"/>
      <c r="AN13" s="2104"/>
      <c r="AO13" s="2104"/>
      <c r="AP13" s="2104"/>
      <c r="AR13" s="3630"/>
    </row>
    <row r="14" ht="8.1" customHeight="1" spans="3:34">
      <c r="C14" s="3614"/>
      <c r="D14" s="3614"/>
      <c r="E14" s="3614"/>
      <c r="F14" s="3614"/>
      <c r="G14" s="3614"/>
      <c r="H14" s="3614"/>
      <c r="I14" s="3614"/>
      <c r="J14" s="3614"/>
      <c r="K14" s="3614"/>
      <c r="L14" s="3614"/>
      <c r="M14" s="3614"/>
      <c r="N14" s="3614"/>
      <c r="O14" s="3614"/>
      <c r="P14" s="3614"/>
      <c r="Q14" s="3614"/>
      <c r="R14" s="3614"/>
      <c r="S14" s="3614"/>
      <c r="T14" s="3614"/>
      <c r="U14" s="3614"/>
      <c r="V14" s="3614"/>
      <c r="W14" s="3614"/>
      <c r="X14" s="3614"/>
      <c r="Y14" s="3614"/>
      <c r="Z14" s="3614"/>
      <c r="AA14" s="3614"/>
      <c r="AB14" s="3614"/>
      <c r="AC14" s="3614"/>
      <c r="AD14" s="3614"/>
      <c r="AE14" s="3614"/>
      <c r="AF14" s="3614"/>
      <c r="AG14" s="3614"/>
      <c r="AH14" s="3614"/>
    </row>
    <row r="15" ht="35.1" customHeight="1" spans="3:44">
      <c r="C15" s="3339" t="s">
        <v>1334</v>
      </c>
      <c r="D15" s="3339"/>
      <c r="E15" s="3339"/>
      <c r="F15" s="3339"/>
      <c r="G15" s="3339"/>
      <c r="H15" s="3339"/>
      <c r="I15" s="3339"/>
      <c r="J15" s="3339"/>
      <c r="K15" s="3339"/>
      <c r="L15" s="3339"/>
      <c r="M15" s="3339"/>
      <c r="N15" s="3339"/>
      <c r="O15" s="3339"/>
      <c r="P15" s="3339"/>
      <c r="Q15" s="3339"/>
      <c r="R15" s="3339"/>
      <c r="S15" s="3339"/>
      <c r="T15" s="3339"/>
      <c r="U15" s="3339"/>
      <c r="V15" s="3339"/>
      <c r="W15" s="3339"/>
      <c r="X15" s="3339"/>
      <c r="Y15" s="3339"/>
      <c r="Z15" s="3339"/>
      <c r="AA15" s="3339"/>
      <c r="AB15" s="3339"/>
      <c r="AC15" s="3339"/>
      <c r="AD15" s="3339"/>
      <c r="AE15" s="3339"/>
      <c r="AF15" s="3339"/>
      <c r="AG15" s="3339"/>
      <c r="AH15" s="3339"/>
      <c r="AI15" s="3339"/>
      <c r="AJ15" s="3339"/>
      <c r="AK15" s="3339"/>
      <c r="AL15" s="3339"/>
      <c r="AM15" s="3339"/>
      <c r="AN15" s="3339"/>
      <c r="AO15" s="3339"/>
      <c r="AP15" s="3339"/>
      <c r="AR15" s="3630"/>
    </row>
    <row r="16" ht="9.95" customHeight="1" spans="3:44">
      <c r="C16" s="3339"/>
      <c r="D16" s="3339"/>
      <c r="E16" s="3339"/>
      <c r="F16" s="3339"/>
      <c r="G16" s="3339"/>
      <c r="H16" s="3339"/>
      <c r="I16" s="3339"/>
      <c r="J16" s="3339"/>
      <c r="K16" s="3339"/>
      <c r="L16" s="3339"/>
      <c r="M16" s="3339"/>
      <c r="N16" s="3339"/>
      <c r="O16" s="3339"/>
      <c r="P16" s="3339"/>
      <c r="Q16" s="3339"/>
      <c r="R16" s="3339"/>
      <c r="S16" s="3339"/>
      <c r="T16" s="3339"/>
      <c r="U16" s="3339"/>
      <c r="V16" s="3339"/>
      <c r="W16" s="3339"/>
      <c r="X16" s="3339"/>
      <c r="Y16" s="3339"/>
      <c r="Z16" s="3339"/>
      <c r="AA16" s="3339"/>
      <c r="AB16" s="3339"/>
      <c r="AC16" s="3339"/>
      <c r="AD16" s="3339"/>
      <c r="AE16" s="3339"/>
      <c r="AF16" s="3339"/>
      <c r="AG16" s="3339"/>
      <c r="AH16" s="3339"/>
      <c r="AI16" s="3339"/>
      <c r="AJ16" s="3339"/>
      <c r="AK16" s="3339"/>
      <c r="AL16" s="3339"/>
      <c r="AM16" s="3339"/>
      <c r="AN16" s="3339"/>
      <c r="AO16" s="3339"/>
      <c r="AP16" s="3339"/>
      <c r="AR16" s="3630"/>
    </row>
    <row r="17" ht="24.95" customHeight="1" spans="3:44">
      <c r="C17" s="2104" t="s">
        <v>1335</v>
      </c>
      <c r="D17" s="3339"/>
      <c r="E17" s="3339"/>
      <c r="F17" s="3339"/>
      <c r="G17" s="3339"/>
      <c r="H17" s="3339"/>
      <c r="I17" s="3339"/>
      <c r="J17" s="3339"/>
      <c r="K17" s="3339"/>
      <c r="L17" s="3339"/>
      <c r="M17" s="3339"/>
      <c r="N17" s="3339"/>
      <c r="O17" s="3339"/>
      <c r="P17" s="3339"/>
      <c r="Q17" s="3339"/>
      <c r="R17" s="3339"/>
      <c r="S17" s="3339"/>
      <c r="T17" s="3339"/>
      <c r="U17" s="3339"/>
      <c r="V17" s="3339"/>
      <c r="W17" s="3339"/>
      <c r="X17" s="3339"/>
      <c r="Y17" s="3339"/>
      <c r="Z17" s="3339"/>
      <c r="AA17" s="3339"/>
      <c r="AB17" s="3339"/>
      <c r="AC17" s="3339"/>
      <c r="AD17" s="3339"/>
      <c r="AE17" s="3339"/>
      <c r="AF17" s="3339"/>
      <c r="AG17" s="3339"/>
      <c r="AH17" s="3339"/>
      <c r="AI17" s="3339"/>
      <c r="AJ17" s="3339"/>
      <c r="AK17" s="3339"/>
      <c r="AL17" s="3339"/>
      <c r="AM17" s="3339"/>
      <c r="AN17" s="3339"/>
      <c r="AO17" s="3339"/>
      <c r="AP17" s="3339"/>
      <c r="AR17" s="3630"/>
    </row>
    <row r="18" ht="8.45" customHeight="1" spans="3:44">
      <c r="C18" s="3339"/>
      <c r="D18" s="3339"/>
      <c r="E18" s="3339"/>
      <c r="F18" s="3339"/>
      <c r="G18" s="3339"/>
      <c r="H18" s="3339"/>
      <c r="I18" s="3339"/>
      <c r="J18" s="3339"/>
      <c r="K18" s="3339"/>
      <c r="L18" s="3339"/>
      <c r="M18" s="3339"/>
      <c r="N18" s="3339"/>
      <c r="O18" s="3339"/>
      <c r="P18" s="3339"/>
      <c r="Q18" s="3339"/>
      <c r="R18" s="3339"/>
      <c r="S18" s="3339"/>
      <c r="T18" s="3339"/>
      <c r="U18" s="3339"/>
      <c r="V18" s="3339"/>
      <c r="W18" s="3339"/>
      <c r="X18" s="3339"/>
      <c r="Y18" s="3339"/>
      <c r="Z18" s="3339"/>
      <c r="AA18" s="3339"/>
      <c r="AB18" s="3339"/>
      <c r="AC18" s="3339"/>
      <c r="AD18" s="3339"/>
      <c r="AE18" s="3339"/>
      <c r="AF18" s="3339"/>
      <c r="AG18" s="3339"/>
      <c r="AH18" s="3339"/>
      <c r="AI18" s="3339"/>
      <c r="AJ18" s="3339"/>
      <c r="AK18" s="3339"/>
      <c r="AL18" s="3339"/>
      <c r="AM18" s="3339"/>
      <c r="AN18" s="3339"/>
      <c r="AO18" s="3339"/>
      <c r="AP18" s="3339"/>
      <c r="AR18" s="3630"/>
    </row>
    <row r="19" ht="36" customHeight="1" spans="3:44">
      <c r="C19" s="5036" t="s">
        <v>1336</v>
      </c>
      <c r="D19" s="3339"/>
      <c r="E19" s="3339"/>
      <c r="F19" s="3339"/>
      <c r="G19" s="3339"/>
      <c r="H19" s="3339"/>
      <c r="I19" s="3339"/>
      <c r="J19" s="3339"/>
      <c r="K19" s="3339"/>
      <c r="L19" s="3339"/>
      <c r="M19" s="3339"/>
      <c r="N19" s="3339"/>
      <c r="O19" s="3339"/>
      <c r="P19" s="3339"/>
      <c r="Q19" s="3339"/>
      <c r="R19" s="3339"/>
      <c r="S19" s="3339"/>
      <c r="T19" s="3339"/>
      <c r="U19" s="3339"/>
      <c r="V19" s="3339"/>
      <c r="W19" s="3339"/>
      <c r="X19" s="3339"/>
      <c r="Y19" s="3339"/>
      <c r="Z19" s="3339"/>
      <c r="AA19" s="3339"/>
      <c r="AB19" s="3339"/>
      <c r="AC19" s="3339"/>
      <c r="AD19" s="3339"/>
      <c r="AE19" s="3339"/>
      <c r="AF19" s="3339"/>
      <c r="AG19" s="3339"/>
      <c r="AH19" s="3339"/>
      <c r="AI19" s="3339"/>
      <c r="AJ19" s="3339"/>
      <c r="AK19" s="3339"/>
      <c r="AL19" s="3339"/>
      <c r="AM19" s="3339"/>
      <c r="AN19" s="3339"/>
      <c r="AO19" s="3339"/>
      <c r="AP19" s="3339"/>
      <c r="AR19" s="3630"/>
    </row>
    <row r="20" ht="11.4" spans="3:44">
      <c r="C20" s="3339"/>
      <c r="D20" s="3339"/>
      <c r="E20" s="3339"/>
      <c r="F20" s="3339"/>
      <c r="G20" s="3339"/>
      <c r="H20" s="3339"/>
      <c r="I20" s="3339"/>
      <c r="J20" s="3339"/>
      <c r="K20" s="3339"/>
      <c r="L20" s="3339"/>
      <c r="M20" s="3339"/>
      <c r="N20" s="3339"/>
      <c r="O20" s="3339"/>
      <c r="P20" s="3339"/>
      <c r="Q20" s="3339"/>
      <c r="R20" s="3339"/>
      <c r="S20" s="3339"/>
      <c r="T20" s="3339"/>
      <c r="U20" s="3339"/>
      <c r="V20" s="3339"/>
      <c r="W20" s="3339"/>
      <c r="X20" s="3339"/>
      <c r="Y20" s="3339"/>
      <c r="Z20" s="3339"/>
      <c r="AA20" s="3339"/>
      <c r="AB20" s="3339"/>
      <c r="AC20" s="3339"/>
      <c r="AD20" s="3339"/>
      <c r="AE20" s="3339"/>
      <c r="AF20" s="3339"/>
      <c r="AG20" s="3339"/>
      <c r="AH20" s="3339"/>
      <c r="AI20" s="3339"/>
      <c r="AJ20" s="3339"/>
      <c r="AK20" s="3339"/>
      <c r="AL20" s="3339"/>
      <c r="AM20" s="3339"/>
      <c r="AN20" s="3339"/>
      <c r="AO20" s="3339"/>
      <c r="AP20" s="3339"/>
      <c r="AR20" s="3630"/>
    </row>
    <row r="21" spans="2:44">
      <c r="B21" s="3446" t="s">
        <v>182</v>
      </c>
      <c r="C21" s="3613" t="s">
        <v>1337</v>
      </c>
      <c r="D21" s="3339"/>
      <c r="E21" s="3339"/>
      <c r="F21" s="3339"/>
      <c r="G21" s="3339"/>
      <c r="H21" s="3339"/>
      <c r="I21" s="3339"/>
      <c r="J21" s="3339"/>
      <c r="K21" s="3339"/>
      <c r="L21" s="3339"/>
      <c r="M21" s="3339"/>
      <c r="N21" s="3339"/>
      <c r="O21" s="3339"/>
      <c r="P21" s="3339"/>
      <c r="Q21" s="3339"/>
      <c r="R21" s="3339"/>
      <c r="S21" s="3339"/>
      <c r="T21" s="3339"/>
      <c r="U21" s="3339"/>
      <c r="V21" s="3339"/>
      <c r="W21" s="3339"/>
      <c r="X21" s="3339"/>
      <c r="Y21" s="3339"/>
      <c r="Z21" s="3339"/>
      <c r="AA21" s="3339"/>
      <c r="AB21" s="3339"/>
      <c r="AC21" s="3339"/>
      <c r="AD21" s="3339"/>
      <c r="AE21" s="3339"/>
      <c r="AF21" s="3339"/>
      <c r="AG21" s="3339"/>
      <c r="AH21" s="3339"/>
      <c r="AI21" s="3339"/>
      <c r="AJ21" s="3339"/>
      <c r="AK21" s="3339"/>
      <c r="AL21" s="3339"/>
      <c r="AM21" s="3339"/>
      <c r="AN21" s="3339"/>
      <c r="AO21" s="3339"/>
      <c r="AP21" s="3339"/>
      <c r="AR21" s="3630"/>
    </row>
    <row r="22" ht="8.45" customHeight="1" spans="3:44">
      <c r="C22" s="3339"/>
      <c r="D22" s="3339"/>
      <c r="E22" s="3339"/>
      <c r="F22" s="3339"/>
      <c r="G22" s="3339"/>
      <c r="H22" s="3339"/>
      <c r="I22" s="3339"/>
      <c r="J22" s="3339"/>
      <c r="K22" s="3339"/>
      <c r="L22" s="3339"/>
      <c r="M22" s="3339"/>
      <c r="N22" s="3339"/>
      <c r="O22" s="3339"/>
      <c r="P22" s="3339"/>
      <c r="Q22" s="3339"/>
      <c r="R22" s="3339"/>
      <c r="S22" s="3339"/>
      <c r="T22" s="3339"/>
      <c r="U22" s="3339"/>
      <c r="V22" s="3339"/>
      <c r="W22" s="3339"/>
      <c r="X22" s="3339"/>
      <c r="Y22" s="3339"/>
      <c r="Z22" s="3339"/>
      <c r="AA22" s="3339"/>
      <c r="AB22" s="3339"/>
      <c r="AC22" s="3339"/>
      <c r="AD22" s="3339"/>
      <c r="AE22" s="3339"/>
      <c r="AF22" s="3339"/>
      <c r="AG22" s="3339"/>
      <c r="AH22" s="3339"/>
      <c r="AI22" s="3339"/>
      <c r="AJ22" s="3339"/>
      <c r="AK22" s="3339"/>
      <c r="AL22" s="3339"/>
      <c r="AM22" s="3339"/>
      <c r="AN22" s="3339"/>
      <c r="AO22" s="3339"/>
      <c r="AP22" s="3339"/>
      <c r="AR22" s="3630"/>
    </row>
    <row r="23" ht="47.1" customHeight="1" spans="3:44">
      <c r="C23" s="2104" t="s">
        <v>1338</v>
      </c>
      <c r="D23" s="2104"/>
      <c r="E23" s="2104"/>
      <c r="F23" s="2104"/>
      <c r="G23" s="2104"/>
      <c r="H23" s="2104"/>
      <c r="I23" s="2104"/>
      <c r="J23" s="2104"/>
      <c r="K23" s="2104"/>
      <c r="L23" s="2104"/>
      <c r="M23" s="2104"/>
      <c r="N23" s="2104"/>
      <c r="O23" s="2104"/>
      <c r="P23" s="2104"/>
      <c r="Q23" s="2104"/>
      <c r="R23" s="2104"/>
      <c r="S23" s="2104"/>
      <c r="T23" s="2104"/>
      <c r="U23" s="2104"/>
      <c r="V23" s="2104"/>
      <c r="W23" s="2104"/>
      <c r="X23" s="2104"/>
      <c r="Y23" s="2104"/>
      <c r="Z23" s="2104"/>
      <c r="AA23" s="2104"/>
      <c r="AB23" s="2104"/>
      <c r="AC23" s="2104"/>
      <c r="AD23" s="2104"/>
      <c r="AE23" s="2104"/>
      <c r="AF23" s="2104"/>
      <c r="AG23" s="2104"/>
      <c r="AH23" s="2104"/>
      <c r="AI23" s="2104"/>
      <c r="AJ23" s="2104"/>
      <c r="AK23" s="2104"/>
      <c r="AL23" s="2104"/>
      <c r="AM23" s="2104"/>
      <c r="AN23" s="2104"/>
      <c r="AO23" s="2104"/>
      <c r="AP23" s="2104"/>
      <c r="AR23" s="3630"/>
    </row>
    <row r="24" ht="3.6" customHeight="1" spans="3:44">
      <c r="C24" s="3339"/>
      <c r="D24" s="3339"/>
      <c r="E24" s="3339"/>
      <c r="F24" s="3339"/>
      <c r="G24" s="3339"/>
      <c r="H24" s="3339"/>
      <c r="I24" s="3339"/>
      <c r="J24" s="3339"/>
      <c r="K24" s="3339"/>
      <c r="L24" s="3339"/>
      <c r="M24" s="3339"/>
      <c r="N24" s="3339"/>
      <c r="O24" s="3339"/>
      <c r="P24" s="3339"/>
      <c r="Q24" s="3339"/>
      <c r="R24" s="3339"/>
      <c r="S24" s="3339"/>
      <c r="T24" s="3339"/>
      <c r="U24" s="3339"/>
      <c r="V24" s="3339"/>
      <c r="W24" s="3339"/>
      <c r="X24" s="3339"/>
      <c r="Y24" s="3339"/>
      <c r="Z24" s="3339"/>
      <c r="AA24" s="3339"/>
      <c r="AB24" s="3339"/>
      <c r="AC24" s="3339"/>
      <c r="AD24" s="3339"/>
      <c r="AE24" s="3339"/>
      <c r="AF24" s="3339"/>
      <c r="AG24" s="3339"/>
      <c r="AH24" s="3339"/>
      <c r="AI24" s="3339"/>
      <c r="AJ24" s="3339"/>
      <c r="AK24" s="3339"/>
      <c r="AL24" s="3339"/>
      <c r="AM24" s="3339"/>
      <c r="AN24" s="3339"/>
      <c r="AO24" s="3339"/>
      <c r="AP24" s="3339"/>
      <c r="AR24" s="3630"/>
    </row>
    <row r="25" customHeight="1" spans="3:40">
      <c r="C25" s="3339"/>
      <c r="D25" s="64" t="s">
        <v>1339</v>
      </c>
      <c r="E25" s="3067"/>
      <c r="F25" s="3067"/>
      <c r="G25" s="3067"/>
      <c r="H25" s="3067"/>
      <c r="I25" s="3067"/>
      <c r="J25" s="1979"/>
      <c r="K25" s="3067"/>
      <c r="L25" t="s">
        <v>225</v>
      </c>
      <c r="M25"/>
      <c r="N25" t="s">
        <v>1340</v>
      </c>
      <c r="O25" s="3614"/>
      <c r="P25" s="3614"/>
      <c r="Q25" s="3614"/>
      <c r="R25" s="3614"/>
      <c r="S25" s="3614"/>
      <c r="T25" s="3614"/>
      <c r="U25" s="3614"/>
      <c r="V25" s="3614"/>
      <c r="W25" s="3614"/>
      <c r="X25" s="3614"/>
      <c r="Y25" s="3614"/>
      <c r="Z25" s="3614"/>
      <c r="AA25" s="3614"/>
      <c r="AB25" s="3614"/>
      <c r="AC25" s="3614"/>
      <c r="AD25" s="3628"/>
      <c r="AE25" s="3628"/>
      <c r="AF25" s="3628"/>
      <c r="AG25" s="3628"/>
      <c r="AH25" s="3628"/>
      <c r="AI25" s="3628"/>
      <c r="AJ25" s="3628"/>
      <c r="AK25" s="3628"/>
      <c r="AL25" s="3628"/>
      <c r="AM25" s="3628"/>
      <c r="AN25" s="3628"/>
    </row>
    <row r="26" customHeight="1" spans="3:40">
      <c r="C26" s="3339"/>
      <c r="D26" s="64" t="s">
        <v>1341</v>
      </c>
      <c r="E26" s="3067"/>
      <c r="F26" s="3067"/>
      <c r="G26" s="3067"/>
      <c r="H26" s="3067"/>
      <c r="I26" s="3067"/>
      <c r="J26" s="3067"/>
      <c r="K26" s="64"/>
      <c r="L26" t="s">
        <v>225</v>
      </c>
      <c r="M26"/>
      <c r="N26" t="str">
        <f>+SS!F65</f>
        <v>Bambang Prijambodo</v>
      </c>
      <c r="O26" s="3067"/>
      <c r="P26" s="3067"/>
      <c r="Q26" s="3315"/>
      <c r="R26" s="3315"/>
      <c r="S26" s="3315"/>
      <c r="T26" s="3315"/>
      <c r="U26" s="64"/>
      <c r="V26" s="3315"/>
      <c r="W26" s="3315"/>
      <c r="X26" s="3315"/>
      <c r="Y26" s="64"/>
      <c r="Z26" s="3315"/>
      <c r="AA26" s="3315"/>
      <c r="AB26" s="3315"/>
      <c r="AC26" s="3315"/>
      <c r="AD26" s="3629"/>
      <c r="AE26" s="3629"/>
      <c r="AF26" s="3629"/>
      <c r="AG26" s="3629"/>
      <c r="AH26" s="3629"/>
      <c r="AI26" s="3629"/>
      <c r="AJ26" s="3629"/>
      <c r="AK26" s="3629"/>
      <c r="AL26" s="3629"/>
      <c r="AM26" s="3629"/>
      <c r="AN26" s="3629"/>
    </row>
    <row r="27" customHeight="1" spans="3:40">
      <c r="C27" s="3339"/>
      <c r="D27" s="64" t="s">
        <v>1342</v>
      </c>
      <c r="E27" s="3067"/>
      <c r="F27" s="3067"/>
      <c r="G27" s="3067"/>
      <c r="H27" s="3067"/>
      <c r="I27" s="3067"/>
      <c r="J27" s="3067"/>
      <c r="K27" s="64"/>
      <c r="L27" t="s">
        <v>225</v>
      </c>
      <c r="M27"/>
      <c r="N27" t="str">
        <f>+SS!F66</f>
        <v>Ana Dwiarsih</v>
      </c>
      <c r="O27" s="3067"/>
      <c r="P27" s="3341"/>
      <c r="Q27" s="3341"/>
      <c r="R27" s="3341"/>
      <c r="S27" s="3341"/>
      <c r="T27" s="3341"/>
      <c r="U27" s="64"/>
      <c r="V27" s="3341"/>
      <c r="W27" s="3341"/>
      <c r="X27" s="3341"/>
      <c r="Y27" s="64"/>
      <c r="Z27" s="3341"/>
      <c r="AA27" s="3341"/>
      <c r="AB27" s="3341"/>
      <c r="AC27" s="3341"/>
      <c r="AD27" s="3629"/>
      <c r="AE27" s="3629"/>
      <c r="AF27" s="3629"/>
      <c r="AG27" s="3629"/>
      <c r="AH27" s="3629"/>
      <c r="AI27" s="3629"/>
      <c r="AJ27" s="3629"/>
      <c r="AK27" s="3629"/>
      <c r="AL27" s="3629"/>
      <c r="AM27" s="3629"/>
      <c r="AN27" s="3629"/>
    </row>
    <row r="28" ht="9.2" customHeight="1" spans="3:44">
      <c r="C28" s="3339"/>
      <c r="D28" s="64"/>
      <c r="E28" s="3067"/>
      <c r="F28" s="3067"/>
      <c r="G28" s="3067"/>
      <c r="H28" s="3067"/>
      <c r="I28" s="3067"/>
      <c r="J28" s="1979"/>
      <c r="K28" s="3067"/>
      <c r="L28"/>
      <c r="M28"/>
      <c r="N28" s="3067"/>
      <c r="O28" s="3067"/>
      <c r="P28" s="3341"/>
      <c r="Q28" s="3341"/>
      <c r="R28" s="3341"/>
      <c r="S28" s="3341"/>
      <c r="T28" s="3341"/>
      <c r="U28" s="3341"/>
      <c r="V28" s="3341"/>
      <c r="W28" s="3341"/>
      <c r="X28" s="3341"/>
      <c r="Y28" s="3341"/>
      <c r="Z28" s="3341"/>
      <c r="AA28" s="3341"/>
      <c r="AB28" s="3341"/>
      <c r="AC28" s="3341"/>
      <c r="AD28" s="3341"/>
      <c r="AE28" s="3341"/>
      <c r="AF28" s="3341"/>
      <c r="AG28" s="3341"/>
      <c r="AH28" s="3341"/>
      <c r="AK28" s="64"/>
      <c r="AL28" s="64"/>
      <c r="AM28" s="64"/>
      <c r="AR28" s="3630"/>
    </row>
    <row r="29" ht="36" customHeight="1" spans="3:44">
      <c r="C29" s="5059" t="s">
        <v>1470</v>
      </c>
      <c r="D29" s="2146"/>
      <c r="E29" s="2146"/>
      <c r="F29" s="2146"/>
      <c r="G29" s="2146"/>
      <c r="H29" s="2146"/>
      <c r="I29" s="2146"/>
      <c r="J29" s="2146"/>
      <c r="K29" s="2146"/>
      <c r="L29" s="2146"/>
      <c r="M29" s="2146"/>
      <c r="N29" s="2146"/>
      <c r="O29" s="2146"/>
      <c r="P29" s="2146"/>
      <c r="Q29" s="2146"/>
      <c r="R29" s="2146"/>
      <c r="S29" s="2146"/>
      <c r="T29" s="2146"/>
      <c r="U29" s="2146"/>
      <c r="V29" s="2146"/>
      <c r="W29" s="2146"/>
      <c r="X29" s="2146"/>
      <c r="Y29" s="2146"/>
      <c r="Z29" s="2146"/>
      <c r="AA29" s="2146"/>
      <c r="AB29" s="2146"/>
      <c r="AC29" s="2146"/>
      <c r="AD29" s="2146"/>
      <c r="AE29" s="2146"/>
      <c r="AF29" s="2146"/>
      <c r="AG29" s="2146"/>
      <c r="AH29" s="2146"/>
      <c r="AI29" s="2146"/>
      <c r="AJ29" s="2146"/>
      <c r="AK29" s="2146"/>
      <c r="AL29" s="2146"/>
      <c r="AM29" s="2146"/>
      <c r="AN29" s="2146"/>
      <c r="AO29" s="2146"/>
      <c r="AP29" s="2146"/>
      <c r="AR29" s="3630"/>
    </row>
    <row r="30" ht="11.1" customHeight="1" spans="3:47">
      <c r="C30" s="3614"/>
      <c r="D30" s="3614"/>
      <c r="E30" s="3614"/>
      <c r="F30" s="3614"/>
      <c r="G30" s="3614"/>
      <c r="H30" s="3614"/>
      <c r="I30" s="3614"/>
      <c r="J30" s="3614"/>
      <c r="K30" s="3614"/>
      <c r="L30" s="3614"/>
      <c r="M30" s="3614"/>
      <c r="N30" s="3614"/>
      <c r="O30" s="3614"/>
      <c r="P30" s="3614"/>
      <c r="Q30" s="3614"/>
      <c r="R30" s="3614"/>
      <c r="S30" s="3614"/>
      <c r="T30" s="3614"/>
      <c r="U30" s="3614"/>
      <c r="V30" s="3614"/>
      <c r="W30" s="3614"/>
      <c r="X30" s="3614"/>
      <c r="Y30" s="3614"/>
      <c r="Z30" s="3614"/>
      <c r="AA30" s="3614"/>
      <c r="AB30" s="3614"/>
      <c r="AC30" s="3614"/>
      <c r="AD30" s="3614"/>
      <c r="AE30" s="3614"/>
      <c r="AF30" s="3614"/>
      <c r="AG30" s="3614"/>
      <c r="AH30" s="3614"/>
      <c r="AQ30" s="3606" t="s">
        <v>1344</v>
      </c>
      <c r="AS30" s="3628">
        <v>22</v>
      </c>
      <c r="AT30" s="3628">
        <v>21</v>
      </c>
      <c r="AU30" s="3628">
        <v>20</v>
      </c>
    </row>
    <row r="31" customHeight="1" spans="1:47">
      <c r="A31" s="3608">
        <v>2</v>
      </c>
      <c r="C31" s="3607" t="s">
        <v>1345</v>
      </c>
      <c r="D31" s="3607"/>
      <c r="E31" s="3607"/>
      <c r="F31" s="3607"/>
      <c r="G31" s="3607"/>
      <c r="H31" s="3607"/>
      <c r="I31" s="3607"/>
      <c r="J31" s="3607"/>
      <c r="K31" s="3607"/>
      <c r="L31" s="3607"/>
      <c r="M31" s="3607"/>
      <c r="N31" s="3607"/>
      <c r="O31" s="3607"/>
      <c r="P31" s="3607"/>
      <c r="Q31" s="3607"/>
      <c r="R31" s="3607"/>
      <c r="S31" s="3607"/>
      <c r="T31" s="3607"/>
      <c r="U31" s="3607"/>
      <c r="V31" s="3607"/>
      <c r="W31" s="3607"/>
      <c r="X31" s="3607"/>
      <c r="Y31" s="3607"/>
      <c r="Z31" s="3607"/>
      <c r="AA31" s="3607"/>
      <c r="AB31" s="3607"/>
      <c r="AC31" s="3607"/>
      <c r="AD31" s="3607"/>
      <c r="AE31" s="3607"/>
      <c r="AF31" s="3607"/>
      <c r="AG31" s="3607"/>
      <c r="AH31" s="3607"/>
      <c r="AQ31" s="3606" t="s">
        <v>1346</v>
      </c>
      <c r="AS31" s="3628">
        <v>23</v>
      </c>
      <c r="AT31" s="3628">
        <v>30</v>
      </c>
      <c r="AU31" s="3628">
        <v>25</v>
      </c>
    </row>
    <row r="32" customHeight="1" spans="1:47">
      <c r="A32" s="3608"/>
      <c r="C32" s="3607"/>
      <c r="D32" s="3607"/>
      <c r="E32" s="3607"/>
      <c r="F32" s="3607"/>
      <c r="G32" s="3607"/>
      <c r="H32" s="3607"/>
      <c r="I32" s="3607"/>
      <c r="J32" s="3607"/>
      <c r="K32" s="3607"/>
      <c r="L32" s="3607"/>
      <c r="M32" s="3607"/>
      <c r="N32" s="3607"/>
      <c r="O32" s="3607"/>
      <c r="P32" s="3607"/>
      <c r="Q32" s="3607"/>
      <c r="R32" s="3607"/>
      <c r="S32" s="3607"/>
      <c r="T32" s="3607"/>
      <c r="U32" s="3607"/>
      <c r="V32" s="3607"/>
      <c r="W32" s="3607"/>
      <c r="X32" s="3607"/>
      <c r="Y32" s="3607"/>
      <c r="Z32" s="3607"/>
      <c r="AA32" s="3607"/>
      <c r="AB32" s="3607"/>
      <c r="AC32" s="3607"/>
      <c r="AD32" s="3607"/>
      <c r="AE32" s="3607"/>
      <c r="AF32" s="3607"/>
      <c r="AG32" s="3607"/>
      <c r="AH32" s="3607"/>
      <c r="AQ32" s="3606" t="s">
        <v>1347</v>
      </c>
      <c r="AS32" s="3628">
        <v>11</v>
      </c>
      <c r="AT32" s="3628">
        <v>12</v>
      </c>
      <c r="AU32" s="3628">
        <v>12</v>
      </c>
    </row>
    <row r="33" ht="45.95" customHeight="1" spans="1:47">
      <c r="A33" s="3608"/>
      <c r="C33" s="5059" t="s">
        <v>1348</v>
      </c>
      <c r="D33" s="2146"/>
      <c r="E33" s="2146"/>
      <c r="F33" s="2146"/>
      <c r="G33" s="2146"/>
      <c r="H33" s="2146"/>
      <c r="I33" s="2146"/>
      <c r="J33" s="2146"/>
      <c r="K33" s="2146"/>
      <c r="L33" s="2146"/>
      <c r="M33" s="2146"/>
      <c r="N33" s="2146"/>
      <c r="O33" s="2146"/>
      <c r="P33" s="2146"/>
      <c r="Q33" s="2146"/>
      <c r="R33" s="2146"/>
      <c r="S33" s="2146"/>
      <c r="T33" s="2146"/>
      <c r="U33" s="2146"/>
      <c r="V33" s="2146"/>
      <c r="W33" s="2146"/>
      <c r="X33" s="2146"/>
      <c r="Y33" s="2146"/>
      <c r="Z33" s="2146"/>
      <c r="AA33" s="2146"/>
      <c r="AB33" s="2146"/>
      <c r="AC33" s="2146"/>
      <c r="AD33" s="2146"/>
      <c r="AE33" s="2146"/>
      <c r="AF33" s="2146"/>
      <c r="AG33" s="2146"/>
      <c r="AH33" s="2146"/>
      <c r="AI33" s="2146"/>
      <c r="AJ33" s="2146"/>
      <c r="AK33" s="2146"/>
      <c r="AL33" s="2146"/>
      <c r="AM33" s="2146"/>
      <c r="AN33" s="2146"/>
      <c r="AO33" s="2146"/>
      <c r="AP33" s="2146"/>
      <c r="AQ33" s="3606" t="s">
        <v>1349</v>
      </c>
      <c r="AS33" s="3628">
        <f>+AS31-AS32</f>
        <v>12</v>
      </c>
      <c r="AT33" s="3628">
        <f>+AT31-AT32</f>
        <v>18</v>
      </c>
      <c r="AU33" s="3628">
        <f>+AU31-AU32</f>
        <v>13</v>
      </c>
    </row>
    <row r="34" ht="7.5" customHeight="1" spans="3:34">
      <c r="C34" s="3614"/>
      <c r="D34" s="3614"/>
      <c r="E34" s="3614"/>
      <c r="F34" s="3614"/>
      <c r="G34" s="3614"/>
      <c r="H34" s="3614"/>
      <c r="I34" s="3614"/>
      <c r="J34" s="3614"/>
      <c r="K34" s="3614"/>
      <c r="L34" s="3614"/>
      <c r="M34" s="3614"/>
      <c r="N34" s="3614"/>
      <c r="O34" s="3614"/>
      <c r="P34" s="3614"/>
      <c r="Q34" s="3614"/>
      <c r="R34" s="3614"/>
      <c r="S34" s="3614"/>
      <c r="T34" s="3614"/>
      <c r="U34" s="3614"/>
      <c r="V34" s="3614"/>
      <c r="W34" s="3614"/>
      <c r="X34" s="3614"/>
      <c r="Y34" s="3614"/>
      <c r="Z34" s="3614"/>
      <c r="AA34" s="3614"/>
      <c r="AB34" s="3614"/>
      <c r="AC34" s="3614"/>
      <c r="AD34" s="3614"/>
      <c r="AE34" s="3614"/>
      <c r="AF34" s="3614"/>
      <c r="AG34" s="3614"/>
      <c r="AH34" s="3614"/>
    </row>
    <row r="35" customHeight="1" spans="3:42">
      <c r="C35" s="5060" t="s">
        <v>163</v>
      </c>
      <c r="E35" s="3616" t="s">
        <v>1350</v>
      </c>
      <c r="F35" s="3617"/>
      <c r="G35" s="3617"/>
      <c r="H35" s="3617"/>
      <c r="I35" s="3617"/>
      <c r="J35" s="3617"/>
      <c r="K35" s="3617"/>
      <c r="L35" s="3617"/>
      <c r="M35" s="3617"/>
      <c r="N35" s="3617"/>
      <c r="O35" s="3617"/>
      <c r="P35" s="3617"/>
      <c r="Q35" s="3617"/>
      <c r="R35" s="3617"/>
      <c r="S35" s="3617"/>
      <c r="T35" s="3617"/>
      <c r="U35" s="3617"/>
      <c r="V35" s="3617"/>
      <c r="W35" s="3617"/>
      <c r="X35" s="3617"/>
      <c r="Y35" s="3617"/>
      <c r="Z35" s="3617"/>
      <c r="AA35" s="3617"/>
      <c r="AB35" s="3617"/>
      <c r="AC35" s="3617"/>
      <c r="AD35" s="3617"/>
      <c r="AE35" s="3617"/>
      <c r="AF35" s="3617"/>
      <c r="AG35" s="3617"/>
      <c r="AH35" s="3617"/>
      <c r="AI35" s="2104"/>
      <c r="AJ35" s="2104"/>
      <c r="AK35" s="2104"/>
      <c r="AL35" s="2104"/>
      <c r="AM35" s="2104"/>
      <c r="AN35" s="2104"/>
      <c r="AO35" s="2104"/>
      <c r="AP35" s="2104"/>
    </row>
    <row r="36" ht="7.5" customHeight="1" spans="3:34">
      <c r="C36" s="3614"/>
      <c r="D36" s="3614"/>
      <c r="E36" s="3614"/>
      <c r="F36" s="3614"/>
      <c r="G36" s="3614"/>
      <c r="H36" s="3614"/>
      <c r="I36" s="3614"/>
      <c r="J36" s="3614"/>
      <c r="K36" s="3614"/>
      <c r="L36" s="3614"/>
      <c r="M36" s="3614"/>
      <c r="N36" s="3614"/>
      <c r="O36" s="3614"/>
      <c r="P36" s="3614"/>
      <c r="Q36" s="3614"/>
      <c r="R36" s="3614"/>
      <c r="S36" s="3614"/>
      <c r="T36" s="3614"/>
      <c r="U36" s="3614"/>
      <c r="V36" s="3614"/>
      <c r="W36" s="3614"/>
      <c r="X36" s="3614"/>
      <c r="Y36" s="3614"/>
      <c r="Z36" s="3614"/>
      <c r="AA36" s="3614"/>
      <c r="AB36" s="3614"/>
      <c r="AC36" s="3614"/>
      <c r="AD36" s="3614"/>
      <c r="AE36" s="3614"/>
      <c r="AF36" s="3614"/>
      <c r="AG36" s="3614"/>
      <c r="AH36" s="3614"/>
    </row>
    <row r="37" ht="36.95" customHeight="1" spans="3:44">
      <c r="C37" s="3614"/>
      <c r="D37" s="3614"/>
      <c r="E37" s="5061" t="s">
        <v>1351</v>
      </c>
      <c r="F37" s="3618"/>
      <c r="G37" s="3618"/>
      <c r="H37" s="3618"/>
      <c r="I37" s="3618"/>
      <c r="J37" s="3618"/>
      <c r="K37" s="3618"/>
      <c r="L37" s="3618"/>
      <c r="M37" s="3618"/>
      <c r="N37" s="3618"/>
      <c r="O37" s="3618"/>
      <c r="P37" s="3618"/>
      <c r="Q37" s="3618"/>
      <c r="R37" s="3618"/>
      <c r="S37" s="3618"/>
      <c r="T37" s="3618"/>
      <c r="U37" s="3618"/>
      <c r="V37" s="3618"/>
      <c r="W37" s="3618"/>
      <c r="X37" s="3618"/>
      <c r="Y37" s="3618"/>
      <c r="Z37" s="3618"/>
      <c r="AA37" s="3618"/>
      <c r="AB37" s="3618"/>
      <c r="AC37" s="3618"/>
      <c r="AD37" s="3618"/>
      <c r="AE37" s="3618"/>
      <c r="AF37" s="3618"/>
      <c r="AG37" s="3618"/>
      <c r="AH37" s="3618"/>
      <c r="AI37" s="3618"/>
      <c r="AJ37" s="3618"/>
      <c r="AK37" s="3618"/>
      <c r="AL37" s="3618"/>
      <c r="AM37" s="3618"/>
      <c r="AN37" s="3618"/>
      <c r="AO37" s="3618"/>
      <c r="AP37" s="3618"/>
      <c r="AR37" s="3630"/>
    </row>
    <row r="38" ht="6.6" customHeight="1" spans="3:34">
      <c r="C38" s="3614"/>
      <c r="D38" s="3614"/>
      <c r="E38" s="3614"/>
      <c r="F38" s="3614"/>
      <c r="G38" s="3614"/>
      <c r="H38" s="3614"/>
      <c r="I38" s="3614"/>
      <c r="J38" s="3614"/>
      <c r="K38" s="3614"/>
      <c r="L38" s="3614"/>
      <c r="M38" s="3614"/>
      <c r="N38" s="3614"/>
      <c r="O38" s="3614"/>
      <c r="P38" s="3614"/>
      <c r="Q38" s="3614"/>
      <c r="R38" s="3614"/>
      <c r="S38" s="3614"/>
      <c r="T38" s="3614"/>
      <c r="U38" s="3614"/>
      <c r="V38" s="3614"/>
      <c r="W38" s="3614"/>
      <c r="X38" s="3614"/>
      <c r="Y38" s="3614"/>
      <c r="Z38" s="3614"/>
      <c r="AA38" s="3614"/>
      <c r="AB38" s="3614"/>
      <c r="AC38" s="3614"/>
      <c r="AD38" s="3614"/>
      <c r="AE38" s="3614"/>
      <c r="AF38" s="3614"/>
      <c r="AG38" s="3614"/>
      <c r="AH38" s="3614"/>
    </row>
    <row r="39" ht="22.5" customHeight="1" spans="3:44">
      <c r="C39" s="3614"/>
      <c r="D39" s="3614"/>
      <c r="E39" s="2104" t="s">
        <v>1352</v>
      </c>
      <c r="F39" s="2146"/>
      <c r="G39" s="2146"/>
      <c r="H39" s="2146"/>
      <c r="I39" s="2146"/>
      <c r="J39" s="2146"/>
      <c r="K39" s="2146"/>
      <c r="L39" s="2146"/>
      <c r="M39" s="2146"/>
      <c r="N39" s="2146"/>
      <c r="O39" s="2146"/>
      <c r="P39" s="2146"/>
      <c r="Q39" s="2146"/>
      <c r="R39" s="2146"/>
      <c r="S39" s="2146"/>
      <c r="T39" s="2146"/>
      <c r="U39" s="2146"/>
      <c r="V39" s="2146"/>
      <c r="W39" s="2146"/>
      <c r="X39" s="2146"/>
      <c r="Y39" s="2146"/>
      <c r="Z39" s="2146"/>
      <c r="AA39" s="2146"/>
      <c r="AB39" s="2146"/>
      <c r="AC39" s="2146"/>
      <c r="AD39" s="2146"/>
      <c r="AE39" s="2146"/>
      <c r="AF39" s="2146"/>
      <c r="AG39" s="2146"/>
      <c r="AH39" s="2146"/>
      <c r="AI39" s="2146"/>
      <c r="AJ39" s="2146"/>
      <c r="AK39" s="2146"/>
      <c r="AL39" s="2146"/>
      <c r="AM39" s="2146"/>
      <c r="AN39" s="2146"/>
      <c r="AO39" s="2146"/>
      <c r="AP39" s="2146"/>
      <c r="AR39" s="3630"/>
    </row>
    <row r="40" ht="6.6" customHeight="1" spans="3:44">
      <c r="C40" s="3614"/>
      <c r="D40" s="3614"/>
      <c r="E40" s="2146"/>
      <c r="F40" s="2146"/>
      <c r="G40" s="2146"/>
      <c r="H40" s="2146"/>
      <c r="I40" s="2146"/>
      <c r="J40" s="2146"/>
      <c r="K40" s="2146"/>
      <c r="L40" s="2146"/>
      <c r="M40" s="2146"/>
      <c r="N40" s="2146"/>
      <c r="O40" s="2146"/>
      <c r="P40" s="2146"/>
      <c r="Q40" s="2146"/>
      <c r="R40" s="2146"/>
      <c r="S40" s="2146"/>
      <c r="T40" s="2146"/>
      <c r="U40" s="2146"/>
      <c r="V40" s="2146"/>
      <c r="W40" s="2146"/>
      <c r="X40" s="2146"/>
      <c r="Y40" s="2146"/>
      <c r="Z40" s="2146"/>
      <c r="AA40" s="2146"/>
      <c r="AB40" s="2146"/>
      <c r="AC40" s="2146"/>
      <c r="AD40" s="2146"/>
      <c r="AE40" s="2146"/>
      <c r="AF40" s="2146"/>
      <c r="AG40" s="2146"/>
      <c r="AH40" s="2146"/>
      <c r="AI40" s="2146"/>
      <c r="AJ40" s="2146"/>
      <c r="AK40" s="2146"/>
      <c r="AL40" s="2146"/>
      <c r="AM40" s="2146"/>
      <c r="AN40" s="2146"/>
      <c r="AO40" s="2146"/>
      <c r="AP40" s="2146"/>
      <c r="AR40" s="3630"/>
    </row>
    <row r="41" ht="23.1" customHeight="1" spans="3:44">
      <c r="C41" s="3614"/>
      <c r="D41" s="3614"/>
      <c r="E41" s="2104" t="s">
        <v>1353</v>
      </c>
      <c r="F41" s="2146"/>
      <c r="G41" s="2146"/>
      <c r="H41" s="2146"/>
      <c r="I41" s="2146"/>
      <c r="J41" s="2146"/>
      <c r="K41" s="2146"/>
      <c r="L41" s="2146"/>
      <c r="M41" s="2146"/>
      <c r="N41" s="2146"/>
      <c r="O41" s="2146"/>
      <c r="P41" s="2146"/>
      <c r="Q41" s="2146"/>
      <c r="R41" s="2146"/>
      <c r="S41" s="2146"/>
      <c r="T41" s="2146"/>
      <c r="U41" s="2146"/>
      <c r="V41" s="2146"/>
      <c r="W41" s="2146"/>
      <c r="X41" s="2146"/>
      <c r="Y41" s="2146"/>
      <c r="Z41" s="2146"/>
      <c r="AA41" s="2146"/>
      <c r="AB41" s="2146"/>
      <c r="AC41" s="2146"/>
      <c r="AD41" s="2146"/>
      <c r="AE41" s="2146"/>
      <c r="AF41" s="2146"/>
      <c r="AG41" s="2146"/>
      <c r="AH41" s="2146"/>
      <c r="AI41" s="2146"/>
      <c r="AJ41" s="2146"/>
      <c r="AK41" s="2146"/>
      <c r="AL41" s="2146"/>
      <c r="AM41" s="2146"/>
      <c r="AN41" s="2146"/>
      <c r="AO41" s="2146"/>
      <c r="AP41" s="2146"/>
      <c r="AR41" s="3630"/>
    </row>
    <row r="42" ht="5.45" customHeight="1" spans="3:44">
      <c r="C42" s="3614"/>
      <c r="D42" s="3614"/>
      <c r="E42" s="2146"/>
      <c r="F42" s="2146"/>
      <c r="G42" s="2146"/>
      <c r="H42" s="2146"/>
      <c r="I42" s="2146"/>
      <c r="J42" s="2146"/>
      <c r="K42" s="2146"/>
      <c r="L42" s="2146"/>
      <c r="M42" s="2146"/>
      <c r="N42" s="2146"/>
      <c r="O42" s="2146"/>
      <c r="P42" s="2146"/>
      <c r="Q42" s="2146"/>
      <c r="R42" s="2146"/>
      <c r="S42" s="2146"/>
      <c r="T42" s="2146"/>
      <c r="U42" s="2146"/>
      <c r="V42" s="2146"/>
      <c r="W42" s="2146"/>
      <c r="X42" s="2146"/>
      <c r="Y42" s="2146"/>
      <c r="Z42" s="2146"/>
      <c r="AA42" s="2146"/>
      <c r="AB42" s="2146"/>
      <c r="AC42" s="2146"/>
      <c r="AD42" s="2146"/>
      <c r="AE42" s="2146"/>
      <c r="AF42" s="2146"/>
      <c r="AG42" s="2146"/>
      <c r="AH42" s="2146"/>
      <c r="AI42" s="2146"/>
      <c r="AJ42" s="2146"/>
      <c r="AK42" s="2146"/>
      <c r="AL42" s="2146"/>
      <c r="AM42" s="2146"/>
      <c r="AN42" s="2146"/>
      <c r="AO42" s="2146"/>
      <c r="AP42" s="2146"/>
      <c r="AR42" s="3630"/>
    </row>
    <row r="43" ht="33.95" customHeight="1" spans="3:44">
      <c r="C43" s="3614"/>
      <c r="D43" s="3614"/>
      <c r="E43" s="2104" t="s">
        <v>1471</v>
      </c>
      <c r="F43" s="2146"/>
      <c r="G43" s="2146"/>
      <c r="H43" s="2146"/>
      <c r="I43" s="2146"/>
      <c r="J43" s="2146"/>
      <c r="K43" s="2146"/>
      <c r="L43" s="2146"/>
      <c r="M43" s="2146"/>
      <c r="N43" s="2146"/>
      <c r="O43" s="2146"/>
      <c r="P43" s="2146"/>
      <c r="Q43" s="2146"/>
      <c r="R43" s="2146"/>
      <c r="S43" s="2146"/>
      <c r="T43" s="2146"/>
      <c r="U43" s="2146"/>
      <c r="V43" s="2146"/>
      <c r="W43" s="2146"/>
      <c r="X43" s="2146"/>
      <c r="Y43" s="2146"/>
      <c r="Z43" s="2146"/>
      <c r="AA43" s="2146"/>
      <c r="AB43" s="2146"/>
      <c r="AC43" s="2146"/>
      <c r="AD43" s="2146"/>
      <c r="AE43" s="2146"/>
      <c r="AF43" s="2146"/>
      <c r="AG43" s="2146"/>
      <c r="AH43" s="2146"/>
      <c r="AI43" s="2146"/>
      <c r="AJ43" s="2146"/>
      <c r="AK43" s="2146"/>
      <c r="AL43" s="2146"/>
      <c r="AM43" s="2146"/>
      <c r="AN43" s="2146"/>
      <c r="AO43" s="2146"/>
      <c r="AP43" s="2146"/>
      <c r="AR43" s="3630"/>
    </row>
    <row r="44" customHeight="1" spans="3:44">
      <c r="C44" s="3614"/>
      <c r="D44" s="3614"/>
      <c r="E44" s="3341"/>
      <c r="F44" s="3341"/>
      <c r="G44" s="3341"/>
      <c r="H44" s="3341"/>
      <c r="I44" s="3341"/>
      <c r="J44" s="3341"/>
      <c r="K44" s="3341"/>
      <c r="L44" s="3341"/>
      <c r="M44" s="3341"/>
      <c r="N44" s="3341"/>
      <c r="O44" s="3341"/>
      <c r="P44" s="3341"/>
      <c r="Q44" s="3341"/>
      <c r="R44" s="3341"/>
      <c r="S44" s="3341"/>
      <c r="T44" s="3341"/>
      <c r="U44" s="3341"/>
      <c r="V44" s="3341"/>
      <c r="W44" s="3341"/>
      <c r="X44" s="3341"/>
      <c r="Y44" s="3341"/>
      <c r="Z44" s="3341"/>
      <c r="AA44" s="3341"/>
      <c r="AB44" s="3341"/>
      <c r="AC44" s="3341"/>
      <c r="AD44" s="3341"/>
      <c r="AE44" s="3341"/>
      <c r="AF44" s="3341"/>
      <c r="AG44" s="3341"/>
      <c r="AH44" s="3341"/>
      <c r="AI44" s="3341"/>
      <c r="AJ44" s="3341"/>
      <c r="AK44" s="3341"/>
      <c r="AL44" s="3341"/>
      <c r="AM44" s="3341"/>
      <c r="AN44" s="3341"/>
      <c r="AO44" s="3341"/>
      <c r="AP44" s="3341"/>
      <c r="AR44" s="3630"/>
    </row>
    <row r="45" customHeight="1" spans="3:44">
      <c r="C45" s="3614"/>
      <c r="D45" s="3614"/>
      <c r="E45" s="3341"/>
      <c r="F45" s="3341"/>
      <c r="G45" s="3341"/>
      <c r="H45" s="3341"/>
      <c r="I45" s="3341"/>
      <c r="J45" s="3341"/>
      <c r="K45" s="3341"/>
      <c r="L45" s="3341"/>
      <c r="M45" s="3341"/>
      <c r="N45" s="3341"/>
      <c r="O45" s="3341"/>
      <c r="P45" s="3341"/>
      <c r="Q45" s="3341"/>
      <c r="R45" s="3341"/>
      <c r="S45" s="3341"/>
      <c r="T45" s="3341"/>
      <c r="U45" s="3341"/>
      <c r="V45" s="3341"/>
      <c r="W45" s="3341"/>
      <c r="X45" s="3341"/>
      <c r="Y45" s="3341"/>
      <c r="Z45" s="3341"/>
      <c r="AA45" s="3341"/>
      <c r="AB45" s="3341"/>
      <c r="AC45" s="3341"/>
      <c r="AD45" s="3341"/>
      <c r="AE45" s="3341"/>
      <c r="AF45" s="3341"/>
      <c r="AG45" s="3341"/>
      <c r="AH45" s="3341"/>
      <c r="AI45" s="3341"/>
      <c r="AJ45" s="3341"/>
      <c r="AK45" s="3341"/>
      <c r="AL45" s="3341"/>
      <c r="AM45" s="3341"/>
      <c r="AN45" s="3341"/>
      <c r="AO45" s="3341"/>
      <c r="AP45" s="3341"/>
      <c r="AR45" s="3630"/>
    </row>
    <row r="46" customHeight="1" spans="1:44">
      <c r="A46" s="3608">
        <f>A31</f>
        <v>2</v>
      </c>
      <c r="C46" s="3607" t="s">
        <v>1355</v>
      </c>
      <c r="D46" s="3607"/>
      <c r="E46" s="3607"/>
      <c r="F46" s="3607"/>
      <c r="G46" s="3607"/>
      <c r="H46" s="3607"/>
      <c r="I46" s="3607"/>
      <c r="J46" s="3607"/>
      <c r="K46" s="3607"/>
      <c r="L46" s="3607"/>
      <c r="M46" s="3607"/>
      <c r="N46" s="3607"/>
      <c r="O46" s="3607"/>
      <c r="P46" s="3607"/>
      <c r="Q46" s="3607"/>
      <c r="R46" s="3607"/>
      <c r="S46" s="3607"/>
      <c r="T46" s="3607"/>
      <c r="U46" s="3607"/>
      <c r="V46" s="3607"/>
      <c r="W46" s="3607"/>
      <c r="X46" s="3607"/>
      <c r="Y46" s="3607"/>
      <c r="Z46" s="3607"/>
      <c r="AA46" s="3607"/>
      <c r="AB46" s="3607"/>
      <c r="AC46" s="3607"/>
      <c r="AD46" s="3607"/>
      <c r="AE46" s="3607"/>
      <c r="AF46" s="3607"/>
      <c r="AG46" s="3607"/>
      <c r="AH46" s="3607"/>
      <c r="AI46" s="3341"/>
      <c r="AJ46" s="3341"/>
      <c r="AK46" s="3341"/>
      <c r="AL46" s="3341"/>
      <c r="AM46" s="3341"/>
      <c r="AN46" s="3341"/>
      <c r="AO46" s="3341"/>
      <c r="AP46" s="3341"/>
      <c r="AR46" s="3630"/>
    </row>
    <row r="47" ht="9.2" customHeight="1" spans="1:44">
      <c r="A47" s="3608"/>
      <c r="C47" s="3619"/>
      <c r="D47" s="3619"/>
      <c r="E47" s="3619"/>
      <c r="F47" s="3619"/>
      <c r="G47" s="3619"/>
      <c r="H47" s="3619"/>
      <c r="I47" s="3619"/>
      <c r="J47" s="3619"/>
      <c r="K47" s="3619"/>
      <c r="L47" s="3619"/>
      <c r="M47" s="3619"/>
      <c r="N47" s="3619"/>
      <c r="O47" s="3619"/>
      <c r="P47" s="3619"/>
      <c r="Q47" s="3619"/>
      <c r="R47" s="3619"/>
      <c r="S47" s="3619"/>
      <c r="T47" s="3619"/>
      <c r="U47" s="3619"/>
      <c r="V47" s="3619"/>
      <c r="W47" s="3619"/>
      <c r="X47" s="3619"/>
      <c r="Y47" s="3619"/>
      <c r="Z47" s="3619"/>
      <c r="AA47" s="3619"/>
      <c r="AB47" s="3619"/>
      <c r="AC47" s="3619"/>
      <c r="AD47" s="3619"/>
      <c r="AE47" s="3619"/>
      <c r="AF47" s="3619"/>
      <c r="AG47" s="3619"/>
      <c r="AH47" s="3619"/>
      <c r="AI47" s="3341"/>
      <c r="AJ47" s="3341"/>
      <c r="AK47" s="3341"/>
      <c r="AL47" s="3341"/>
      <c r="AM47" s="3341"/>
      <c r="AN47" s="3341"/>
      <c r="AO47" s="3341"/>
      <c r="AP47" s="3341"/>
      <c r="AR47" s="3630"/>
    </row>
    <row r="48" spans="3:44">
      <c r="C48" s="5062" t="s">
        <v>142</v>
      </c>
      <c r="E48" s="3621" t="s">
        <v>1356</v>
      </c>
      <c r="F48" s="3622"/>
      <c r="G48" s="3622"/>
      <c r="H48" s="3622"/>
      <c r="I48" s="3622"/>
      <c r="J48" s="3622"/>
      <c r="K48" s="3622"/>
      <c r="L48" s="3622"/>
      <c r="M48" s="3622"/>
      <c r="N48" s="3622"/>
      <c r="O48" s="3622"/>
      <c r="P48" s="3622"/>
      <c r="Q48" s="3622"/>
      <c r="R48" s="3622"/>
      <c r="S48" s="3622"/>
      <c r="T48" s="3622"/>
      <c r="U48" s="3622"/>
      <c r="V48" s="3622"/>
      <c r="W48" s="3622"/>
      <c r="X48" s="3622"/>
      <c r="Y48" s="3622"/>
      <c r="Z48" s="3622"/>
      <c r="AA48" s="3622"/>
      <c r="AB48" s="3622"/>
      <c r="AC48" s="3622"/>
      <c r="AD48" s="3622"/>
      <c r="AE48" s="3622"/>
      <c r="AF48" s="3622"/>
      <c r="AG48" s="3622"/>
      <c r="AH48" s="3622"/>
      <c r="AI48" s="2623"/>
      <c r="AJ48" s="2623"/>
      <c r="AK48" s="2623"/>
      <c r="AL48" s="2623"/>
      <c r="AM48" s="2623"/>
      <c r="AN48" s="2623"/>
      <c r="AO48" s="2623"/>
      <c r="AP48" s="2623"/>
      <c r="AR48" s="3630"/>
    </row>
    <row r="49" ht="9.2" customHeight="1" spans="3:44">
      <c r="C49" s="3614"/>
      <c r="D49" s="3614"/>
      <c r="E49" s="3341"/>
      <c r="F49" s="3341"/>
      <c r="G49" s="3341"/>
      <c r="H49" s="3341"/>
      <c r="I49" s="3341"/>
      <c r="J49" s="3341"/>
      <c r="K49" s="3341"/>
      <c r="L49" s="3341"/>
      <c r="M49" s="3341"/>
      <c r="N49" s="3341"/>
      <c r="O49" s="3341"/>
      <c r="P49" s="3341"/>
      <c r="Q49" s="3341"/>
      <c r="R49" s="3341"/>
      <c r="S49" s="3341"/>
      <c r="T49" s="3341"/>
      <c r="U49" s="3341"/>
      <c r="V49" s="3341"/>
      <c r="W49" s="3341"/>
      <c r="X49" s="3341"/>
      <c r="Y49" s="3341"/>
      <c r="Z49" s="3341"/>
      <c r="AA49" s="3341"/>
      <c r="AB49" s="3341"/>
      <c r="AC49" s="3341"/>
      <c r="AD49" s="3341"/>
      <c r="AE49" s="3341"/>
      <c r="AF49" s="3341"/>
      <c r="AG49" s="3341"/>
      <c r="AH49" s="3341"/>
      <c r="AI49" s="3341"/>
      <c r="AJ49" s="3341"/>
      <c r="AK49" s="3341"/>
      <c r="AL49" s="3341"/>
      <c r="AM49" s="3341"/>
      <c r="AN49" s="3341"/>
      <c r="AO49" s="3341"/>
      <c r="AP49" s="3341"/>
      <c r="AR49" s="3630"/>
    </row>
    <row r="50" customHeight="1" spans="3:44">
      <c r="C50" s="3614"/>
      <c r="D50" s="3614"/>
      <c r="E50" s="3623" t="s">
        <v>1357</v>
      </c>
      <c r="F50" s="3623"/>
      <c r="G50" s="3341"/>
      <c r="H50" s="3341"/>
      <c r="I50" s="3341"/>
      <c r="J50" s="3341"/>
      <c r="K50" s="3341"/>
      <c r="L50" s="3341"/>
      <c r="M50" s="3341"/>
      <c r="N50" s="3341"/>
      <c r="O50" s="3341"/>
      <c r="P50" s="3341"/>
      <c r="Q50" s="3341"/>
      <c r="R50" s="3341"/>
      <c r="S50" s="3341"/>
      <c r="T50" s="3341"/>
      <c r="U50" s="3341"/>
      <c r="V50" s="3341"/>
      <c r="W50" s="3341"/>
      <c r="X50" s="3341"/>
      <c r="Y50" s="3341"/>
      <c r="Z50" s="3341"/>
      <c r="AA50" s="3341"/>
      <c r="AB50" s="3341"/>
      <c r="AC50" s="3341"/>
      <c r="AD50" s="3341"/>
      <c r="AE50" s="3341"/>
      <c r="AF50" s="3341"/>
      <c r="AG50" s="3341"/>
      <c r="AH50" s="3341"/>
      <c r="AI50" s="3341"/>
      <c r="AJ50" s="3341"/>
      <c r="AK50" s="3341"/>
      <c r="AL50" s="3341"/>
      <c r="AM50" s="3341"/>
      <c r="AN50" s="3341"/>
      <c r="AO50" s="3341"/>
      <c r="AP50" s="3341"/>
      <c r="AR50" s="3630"/>
    </row>
    <row r="51" ht="6.95" customHeight="1" spans="3:44">
      <c r="C51" s="3614"/>
      <c r="D51" s="3614"/>
      <c r="E51" s="3623"/>
      <c r="F51" s="3623"/>
      <c r="G51" s="3341"/>
      <c r="H51" s="3341"/>
      <c r="I51" s="3341"/>
      <c r="J51" s="3341"/>
      <c r="K51" s="3341"/>
      <c r="L51" s="3341"/>
      <c r="M51" s="3341"/>
      <c r="N51" s="3341"/>
      <c r="O51" s="3341"/>
      <c r="P51" s="3341"/>
      <c r="Q51" s="3341"/>
      <c r="R51" s="3341"/>
      <c r="S51" s="3341"/>
      <c r="T51" s="3341"/>
      <c r="U51" s="3341"/>
      <c r="V51" s="3341"/>
      <c r="W51" s="3341"/>
      <c r="X51" s="3341"/>
      <c r="Y51" s="3341"/>
      <c r="Z51" s="3341"/>
      <c r="AA51" s="3341"/>
      <c r="AB51" s="3341"/>
      <c r="AC51" s="3341"/>
      <c r="AD51" s="3341"/>
      <c r="AE51" s="3341"/>
      <c r="AF51" s="3341"/>
      <c r="AG51" s="3341"/>
      <c r="AH51" s="3341"/>
      <c r="AI51" s="3341"/>
      <c r="AJ51" s="3341"/>
      <c r="AK51" s="3341"/>
      <c r="AL51" s="3341"/>
      <c r="AM51" s="3341"/>
      <c r="AN51" s="3341"/>
      <c r="AO51" s="3341"/>
      <c r="AP51" s="3341"/>
      <c r="AR51" s="3630"/>
    </row>
    <row r="52" customHeight="1" spans="3:44">
      <c r="C52" s="3614"/>
      <c r="D52" s="3614"/>
      <c r="E52" s="3623" t="s">
        <v>163</v>
      </c>
      <c r="G52" s="3623" t="s">
        <v>1358</v>
      </c>
      <c r="H52" s="3341"/>
      <c r="I52" s="3341"/>
      <c r="J52" s="3341"/>
      <c r="K52" s="3341"/>
      <c r="L52" s="3341"/>
      <c r="M52" s="3341"/>
      <c r="N52" s="3341"/>
      <c r="O52" s="3341"/>
      <c r="P52" s="3341"/>
      <c r="Q52" s="3341"/>
      <c r="R52" s="3341"/>
      <c r="S52" s="3341"/>
      <c r="T52" s="3341"/>
      <c r="U52" s="3341"/>
      <c r="V52" s="3341"/>
      <c r="W52" s="3341"/>
      <c r="X52" s="3341"/>
      <c r="Y52" s="3341"/>
      <c r="Z52" s="3341"/>
      <c r="AA52" s="3341"/>
      <c r="AB52" s="3341"/>
      <c r="AC52" s="3341"/>
      <c r="AD52" s="3341"/>
      <c r="AE52" s="3341"/>
      <c r="AF52" s="3341"/>
      <c r="AG52" s="3341"/>
      <c r="AH52" s="3341"/>
      <c r="AI52" s="3341"/>
      <c r="AJ52" s="3341"/>
      <c r="AK52" s="3341"/>
      <c r="AL52" s="3341"/>
      <c r="AM52" s="3341"/>
      <c r="AN52" s="3341"/>
      <c r="AO52" s="3341"/>
      <c r="AP52" s="3341"/>
      <c r="AR52" s="3630"/>
    </row>
    <row r="53" customHeight="1" spans="3:44">
      <c r="C53" s="3614"/>
      <c r="D53" s="3614"/>
      <c r="E53" s="3623" t="s">
        <v>182</v>
      </c>
      <c r="G53" s="3623" t="s">
        <v>1359</v>
      </c>
      <c r="H53" s="3341"/>
      <c r="I53" s="3341"/>
      <c r="J53" s="3341"/>
      <c r="K53" s="3341"/>
      <c r="L53" s="3341"/>
      <c r="M53" s="3341"/>
      <c r="N53" s="3341"/>
      <c r="O53" s="3341"/>
      <c r="P53" s="3341"/>
      <c r="Q53" s="3341"/>
      <c r="R53" s="3341"/>
      <c r="S53" s="3341"/>
      <c r="T53" s="3341"/>
      <c r="U53" s="3341"/>
      <c r="V53" s="3341"/>
      <c r="W53" s="3341"/>
      <c r="X53" s="3341"/>
      <c r="Y53" s="3341"/>
      <c r="Z53" s="3341"/>
      <c r="AA53" s="3341"/>
      <c r="AB53" s="3341"/>
      <c r="AC53" s="3341"/>
      <c r="AD53" s="3341"/>
      <c r="AE53" s="3341"/>
      <c r="AF53" s="3341"/>
      <c r="AG53" s="3341"/>
      <c r="AH53" s="3341"/>
      <c r="AI53" s="3341"/>
      <c r="AJ53" s="3341"/>
      <c r="AK53" s="3341"/>
      <c r="AL53" s="3341"/>
      <c r="AM53" s="3341"/>
      <c r="AN53" s="3341"/>
      <c r="AO53" s="3341"/>
      <c r="AP53" s="3341"/>
      <c r="AR53" s="3630"/>
    </row>
    <row r="54" customHeight="1" spans="3:44">
      <c r="C54" s="3614"/>
      <c r="D54" s="3614"/>
      <c r="E54" s="3623" t="s">
        <v>184</v>
      </c>
      <c r="G54" s="3623" t="s">
        <v>1360</v>
      </c>
      <c r="H54" s="3341"/>
      <c r="I54" s="3341"/>
      <c r="J54" s="3341"/>
      <c r="K54" s="3341"/>
      <c r="L54" s="3341"/>
      <c r="M54" s="3341"/>
      <c r="N54" s="3341"/>
      <c r="O54" s="3341"/>
      <c r="P54" s="3341"/>
      <c r="Q54" s="3341"/>
      <c r="R54" s="3341"/>
      <c r="S54" s="3341"/>
      <c r="T54" s="3341"/>
      <c r="U54" s="3341"/>
      <c r="V54" s="3341"/>
      <c r="W54" s="3341"/>
      <c r="X54" s="3341"/>
      <c r="Y54" s="3341"/>
      <c r="Z54" s="3341"/>
      <c r="AA54" s="3341"/>
      <c r="AB54" s="3341"/>
      <c r="AC54" s="3341"/>
      <c r="AD54" s="3341"/>
      <c r="AE54" s="3341"/>
      <c r="AF54" s="3341"/>
      <c r="AG54" s="3341"/>
      <c r="AH54" s="3341"/>
      <c r="AI54" s="3341"/>
      <c r="AJ54" s="3341"/>
      <c r="AK54" s="3341"/>
      <c r="AL54" s="3341"/>
      <c r="AM54" s="3341"/>
      <c r="AN54" s="3341"/>
      <c r="AO54" s="3341"/>
      <c r="AP54" s="3341"/>
      <c r="AR54" s="3630"/>
    </row>
    <row r="55" customHeight="1" spans="3:44">
      <c r="C55" s="3614"/>
      <c r="D55" s="3614"/>
      <c r="E55" s="3623" t="s">
        <v>192</v>
      </c>
      <c r="G55" s="3623" t="s">
        <v>1361</v>
      </c>
      <c r="H55" s="3341"/>
      <c r="I55" s="3341"/>
      <c r="J55" s="3341"/>
      <c r="K55" s="3341"/>
      <c r="L55" s="3341"/>
      <c r="M55" s="3341"/>
      <c r="N55" s="3341"/>
      <c r="O55" s="3341"/>
      <c r="P55" s="3341"/>
      <c r="Q55" s="3341"/>
      <c r="R55" s="3341"/>
      <c r="S55" s="3341"/>
      <c r="T55" s="3341"/>
      <c r="U55" s="3341"/>
      <c r="V55" s="3341"/>
      <c r="W55" s="3341"/>
      <c r="X55" s="3341"/>
      <c r="Y55" s="3341"/>
      <c r="Z55" s="3341"/>
      <c r="AA55" s="3341"/>
      <c r="AB55" s="3341"/>
      <c r="AC55" s="3341"/>
      <c r="AD55" s="3341"/>
      <c r="AE55" s="3341"/>
      <c r="AF55" s="3341"/>
      <c r="AG55" s="3341"/>
      <c r="AH55" s="3341"/>
      <c r="AI55" s="3341"/>
      <c r="AJ55" s="3341"/>
      <c r="AK55" s="3341"/>
      <c r="AL55" s="3341"/>
      <c r="AM55" s="3341"/>
      <c r="AN55" s="3341"/>
      <c r="AO55" s="3341"/>
      <c r="AP55" s="3341"/>
      <c r="AR55" s="3630"/>
    </row>
    <row r="56" customHeight="1" spans="3:44">
      <c r="C56" s="3614"/>
      <c r="D56" s="3614"/>
      <c r="E56" s="3623" t="s">
        <v>1362</v>
      </c>
      <c r="G56" s="3623" t="s">
        <v>1363</v>
      </c>
      <c r="H56" s="3341"/>
      <c r="I56" s="3341"/>
      <c r="J56" s="3341"/>
      <c r="K56" s="3341"/>
      <c r="L56" s="3341"/>
      <c r="M56" s="3341"/>
      <c r="N56" s="3341"/>
      <c r="O56" s="3341"/>
      <c r="P56" s="3341"/>
      <c r="Q56" s="3341"/>
      <c r="R56" s="3341"/>
      <c r="S56" s="3341"/>
      <c r="T56" s="3341"/>
      <c r="U56" s="3341"/>
      <c r="V56" s="3341"/>
      <c r="W56" s="3341"/>
      <c r="X56" s="3341"/>
      <c r="Y56" s="3341"/>
      <c r="Z56" s="3341"/>
      <c r="AA56" s="3341"/>
      <c r="AB56" s="3341"/>
      <c r="AC56" s="3341"/>
      <c r="AD56" s="3341"/>
      <c r="AE56" s="3341"/>
      <c r="AF56" s="3341"/>
      <c r="AG56" s="3341"/>
      <c r="AH56" s="3341"/>
      <c r="AI56" s="3341"/>
      <c r="AJ56" s="3341"/>
      <c r="AK56" s="3341"/>
      <c r="AL56" s="3341"/>
      <c r="AM56" s="3341"/>
      <c r="AN56" s="3341"/>
      <c r="AO56" s="3341"/>
      <c r="AP56" s="3341"/>
      <c r="AR56" s="3630"/>
    </row>
    <row r="57" customHeight="1" spans="3:44">
      <c r="C57" s="3614"/>
      <c r="D57" s="3614"/>
      <c r="E57" s="3623" t="s">
        <v>1364</v>
      </c>
      <c r="G57" s="3623" t="s">
        <v>1365</v>
      </c>
      <c r="H57" s="3341"/>
      <c r="I57" s="3341"/>
      <c r="J57" s="3341"/>
      <c r="K57" s="3341"/>
      <c r="L57" s="3341"/>
      <c r="M57" s="3341"/>
      <c r="N57" s="3341"/>
      <c r="O57" s="3341"/>
      <c r="P57" s="3341"/>
      <c r="Q57" s="3341"/>
      <c r="R57" s="3341"/>
      <c r="S57" s="3341"/>
      <c r="T57" s="3341"/>
      <c r="U57" s="3341"/>
      <c r="V57" s="3341"/>
      <c r="W57" s="3341"/>
      <c r="X57" s="3341"/>
      <c r="Y57" s="3341"/>
      <c r="Z57" s="3341"/>
      <c r="AA57" s="3341"/>
      <c r="AB57" s="3341"/>
      <c r="AC57" s="3341"/>
      <c r="AD57" s="3341"/>
      <c r="AE57" s="3341"/>
      <c r="AF57" s="3341"/>
      <c r="AG57" s="3341"/>
      <c r="AH57" s="3341"/>
      <c r="AI57" s="3341"/>
      <c r="AJ57" s="3341"/>
      <c r="AK57" s="3341"/>
      <c r="AL57" s="3341"/>
      <c r="AM57" s="3341"/>
      <c r="AN57" s="3341"/>
      <c r="AO57" s="3341"/>
      <c r="AP57" s="3341"/>
      <c r="AR57" s="3630"/>
    </row>
    <row r="58" customHeight="1" spans="3:44">
      <c r="C58" s="3614"/>
      <c r="D58" s="3614"/>
      <c r="E58" s="3623" t="s">
        <v>1366</v>
      </c>
      <c r="G58" s="3623" t="s">
        <v>1367</v>
      </c>
      <c r="H58" s="3341"/>
      <c r="I58" s="3341"/>
      <c r="J58" s="3341"/>
      <c r="K58" s="3341"/>
      <c r="L58" s="3341"/>
      <c r="M58" s="3341"/>
      <c r="N58" s="3341"/>
      <c r="O58" s="3341"/>
      <c r="P58" s="3341"/>
      <c r="Q58" s="3341"/>
      <c r="R58" s="3341"/>
      <c r="S58" s="3341"/>
      <c r="T58" s="3341"/>
      <c r="U58" s="3341"/>
      <c r="V58" s="3341"/>
      <c r="W58" s="3341"/>
      <c r="X58" s="3341"/>
      <c r="Y58" s="3341"/>
      <c r="Z58" s="3341"/>
      <c r="AA58" s="3341"/>
      <c r="AB58" s="3341"/>
      <c r="AC58" s="3341"/>
      <c r="AD58" s="3341"/>
      <c r="AE58" s="3341"/>
      <c r="AF58" s="3341"/>
      <c r="AG58" s="3341"/>
      <c r="AH58" s="3341"/>
      <c r="AI58" s="3341"/>
      <c r="AJ58" s="3341"/>
      <c r="AK58" s="3341"/>
      <c r="AL58" s="3341"/>
      <c r="AM58" s="3341"/>
      <c r="AN58" s="3341"/>
      <c r="AO58" s="3341"/>
      <c r="AP58" s="3341"/>
      <c r="AR58" s="3630"/>
    </row>
    <row r="59" customHeight="1" spans="3:44">
      <c r="C59" s="3614"/>
      <c r="D59" s="3614"/>
      <c r="E59" s="3623" t="s">
        <v>1368</v>
      </c>
      <c r="G59" s="3623" t="s">
        <v>1369</v>
      </c>
      <c r="H59" s="3341"/>
      <c r="I59" s="3341"/>
      <c r="J59" s="3341"/>
      <c r="K59" s="3341"/>
      <c r="L59" s="3341"/>
      <c r="M59" s="3341"/>
      <c r="N59" s="3341"/>
      <c r="O59" s="3341"/>
      <c r="P59" s="3341"/>
      <c r="Q59" s="3341"/>
      <c r="R59" s="3341"/>
      <c r="S59" s="3341"/>
      <c r="T59" s="3341"/>
      <c r="U59" s="3341"/>
      <c r="V59" s="3341"/>
      <c r="W59" s="3341"/>
      <c r="X59" s="3341"/>
      <c r="Y59" s="3341"/>
      <c r="Z59" s="3341"/>
      <c r="AA59" s="3341"/>
      <c r="AB59" s="3341"/>
      <c r="AC59" s="3341"/>
      <c r="AD59" s="3341"/>
      <c r="AE59" s="3341"/>
      <c r="AF59" s="3341"/>
      <c r="AG59" s="3341"/>
      <c r="AH59" s="3341"/>
      <c r="AI59" s="3341"/>
      <c r="AJ59" s="3341"/>
      <c r="AK59" s="3341"/>
      <c r="AL59" s="3341"/>
      <c r="AM59" s="3341"/>
      <c r="AN59" s="3341"/>
      <c r="AO59" s="3341"/>
      <c r="AP59" s="3341"/>
      <c r="AR59" s="3630"/>
    </row>
    <row r="60" customHeight="1" spans="3:44">
      <c r="C60" s="3614"/>
      <c r="D60" s="3614"/>
      <c r="E60" s="3623" t="s">
        <v>1370</v>
      </c>
      <c r="G60" s="3623" t="s">
        <v>1371</v>
      </c>
      <c r="H60" s="3341"/>
      <c r="I60" s="3341"/>
      <c r="J60" s="3341"/>
      <c r="K60" s="3341"/>
      <c r="L60" s="3341"/>
      <c r="M60" s="3341"/>
      <c r="N60" s="3341"/>
      <c r="O60" s="3341"/>
      <c r="P60" s="3341"/>
      <c r="Q60" s="3341"/>
      <c r="R60" s="3341"/>
      <c r="S60" s="3341"/>
      <c r="T60" s="3341"/>
      <c r="U60" s="3341"/>
      <c r="V60" s="3341"/>
      <c r="W60" s="3341"/>
      <c r="X60" s="3341"/>
      <c r="Y60" s="3341"/>
      <c r="Z60" s="3341"/>
      <c r="AA60" s="3341"/>
      <c r="AB60" s="3341"/>
      <c r="AC60" s="3341"/>
      <c r="AD60" s="3341"/>
      <c r="AE60" s="3341"/>
      <c r="AF60" s="3341"/>
      <c r="AG60" s="3341"/>
      <c r="AH60" s="3341"/>
      <c r="AI60" s="3341"/>
      <c r="AJ60" s="3341"/>
      <c r="AK60" s="3341"/>
      <c r="AL60" s="3341"/>
      <c r="AM60" s="3341"/>
      <c r="AN60" s="3341"/>
      <c r="AO60" s="3341"/>
      <c r="AP60" s="3341"/>
      <c r="AR60" s="3630"/>
    </row>
    <row r="61" customHeight="1" spans="3:44">
      <c r="C61" s="3614"/>
      <c r="D61" s="3614"/>
      <c r="E61" s="3623" t="s">
        <v>1372</v>
      </c>
      <c r="G61" s="3623" t="s">
        <v>1373</v>
      </c>
      <c r="H61" s="3341"/>
      <c r="I61" s="3341"/>
      <c r="J61" s="3341"/>
      <c r="K61" s="3341"/>
      <c r="L61" s="3341"/>
      <c r="M61" s="3341"/>
      <c r="N61" s="3341"/>
      <c r="O61" s="3341"/>
      <c r="P61" s="3341"/>
      <c r="Q61" s="3341"/>
      <c r="R61" s="3341"/>
      <c r="S61" s="3341"/>
      <c r="T61" s="3341"/>
      <c r="U61" s="3341"/>
      <c r="V61" s="3341"/>
      <c r="W61" s="3341"/>
      <c r="X61" s="3341"/>
      <c r="Y61" s="3341"/>
      <c r="Z61" s="3341"/>
      <c r="AA61" s="3341"/>
      <c r="AB61" s="3341"/>
      <c r="AC61" s="3341"/>
      <c r="AD61" s="3341"/>
      <c r="AE61" s="3341"/>
      <c r="AF61" s="3341"/>
      <c r="AG61" s="3341"/>
      <c r="AH61" s="3341"/>
      <c r="AI61" s="3341"/>
      <c r="AJ61" s="3341"/>
      <c r="AK61" s="3341"/>
      <c r="AL61" s="3341"/>
      <c r="AM61" s="3341"/>
      <c r="AN61" s="3341"/>
      <c r="AO61" s="3341"/>
      <c r="AP61" s="3341"/>
      <c r="AR61" s="3630"/>
    </row>
    <row r="62" customHeight="1" spans="3:44">
      <c r="C62" s="3614"/>
      <c r="D62" s="3614"/>
      <c r="E62" s="3623" t="s">
        <v>1374</v>
      </c>
      <c r="G62" s="3623" t="s">
        <v>1375</v>
      </c>
      <c r="H62" s="3341"/>
      <c r="I62" s="3341"/>
      <c r="J62" s="3341"/>
      <c r="K62" s="3341"/>
      <c r="L62" s="3341"/>
      <c r="M62" s="3341"/>
      <c r="N62" s="3341"/>
      <c r="O62" s="3341"/>
      <c r="P62" s="3341"/>
      <c r="Q62" s="3341"/>
      <c r="R62" s="3341"/>
      <c r="S62" s="3341"/>
      <c r="T62" s="3341"/>
      <c r="U62" s="3341"/>
      <c r="V62" s="3341"/>
      <c r="W62" s="3341"/>
      <c r="X62" s="3341"/>
      <c r="Y62" s="3341"/>
      <c r="Z62" s="3341"/>
      <c r="AA62" s="3341"/>
      <c r="AB62" s="3341"/>
      <c r="AC62" s="3341"/>
      <c r="AD62" s="3341"/>
      <c r="AE62" s="3341"/>
      <c r="AF62" s="3341"/>
      <c r="AG62" s="3341"/>
      <c r="AH62" s="3341"/>
      <c r="AI62" s="3341"/>
      <c r="AJ62" s="3341"/>
      <c r="AK62" s="3341"/>
      <c r="AL62" s="3341"/>
      <c r="AM62" s="3341"/>
      <c r="AN62" s="3341"/>
      <c r="AO62" s="3341"/>
      <c r="AP62" s="3341"/>
      <c r="AR62" s="3630"/>
    </row>
    <row r="63" customHeight="1" spans="3:44">
      <c r="C63" s="3614"/>
      <c r="D63" s="3614"/>
      <c r="E63" s="3623" t="s">
        <v>1376</v>
      </c>
      <c r="G63" s="3623" t="s">
        <v>1377</v>
      </c>
      <c r="H63" s="3341"/>
      <c r="I63" s="3341"/>
      <c r="J63" s="3341"/>
      <c r="K63" s="3341"/>
      <c r="L63" s="3341"/>
      <c r="M63" s="3341"/>
      <c r="N63" s="3341"/>
      <c r="O63" s="3341"/>
      <c r="P63" s="3341"/>
      <c r="Q63" s="3341"/>
      <c r="R63" s="3341"/>
      <c r="S63" s="3341"/>
      <c r="T63" s="3341"/>
      <c r="U63" s="3341"/>
      <c r="V63" s="3341"/>
      <c r="W63" s="3341"/>
      <c r="X63" s="3341"/>
      <c r="Y63" s="3341"/>
      <c r="Z63" s="3341"/>
      <c r="AA63" s="3341"/>
      <c r="AB63" s="3341"/>
      <c r="AC63" s="3341"/>
      <c r="AD63" s="3341"/>
      <c r="AE63" s="3341"/>
      <c r="AF63" s="3341"/>
      <c r="AG63" s="3341"/>
      <c r="AH63" s="3341"/>
      <c r="AI63" s="3341"/>
      <c r="AJ63" s="3341"/>
      <c r="AK63" s="3341"/>
      <c r="AL63" s="3341"/>
      <c r="AM63" s="3341"/>
      <c r="AN63" s="3341"/>
      <c r="AO63" s="3341"/>
      <c r="AP63" s="3341"/>
      <c r="AR63" s="3630"/>
    </row>
    <row r="64" customHeight="1" spans="3:44">
      <c r="C64" s="3614"/>
      <c r="D64" s="3614"/>
      <c r="E64" s="3623" t="s">
        <v>1378</v>
      </c>
      <c r="G64" s="3623" t="s">
        <v>1379</v>
      </c>
      <c r="H64" s="3341"/>
      <c r="I64" s="3341"/>
      <c r="J64" s="3341"/>
      <c r="K64" s="3341"/>
      <c r="L64" s="3341"/>
      <c r="M64" s="3341"/>
      <c r="N64" s="3341"/>
      <c r="O64" s="3341"/>
      <c r="P64" s="3341"/>
      <c r="Q64" s="3341"/>
      <c r="R64" s="3341"/>
      <c r="S64" s="3341"/>
      <c r="T64" s="3341"/>
      <c r="U64" s="3341"/>
      <c r="V64" s="3341"/>
      <c r="W64" s="3341"/>
      <c r="X64" s="3341"/>
      <c r="Y64" s="3341"/>
      <c r="Z64" s="3341"/>
      <c r="AA64" s="3341"/>
      <c r="AB64" s="3341"/>
      <c r="AC64" s="3341"/>
      <c r="AD64" s="3341"/>
      <c r="AE64" s="3341"/>
      <c r="AF64" s="3341"/>
      <c r="AG64" s="3341"/>
      <c r="AH64" s="3341"/>
      <c r="AI64" s="3341"/>
      <c r="AJ64" s="3341"/>
      <c r="AK64" s="3341"/>
      <c r="AL64" s="3341"/>
      <c r="AM64" s="3341"/>
      <c r="AN64" s="3341"/>
      <c r="AO64" s="3341"/>
      <c r="AP64" s="3341"/>
      <c r="AR64" s="3630"/>
    </row>
    <row r="65" customHeight="1" spans="3:44">
      <c r="C65" s="3614"/>
      <c r="D65" s="3614"/>
      <c r="E65" s="3623" t="s">
        <v>1380</v>
      </c>
      <c r="G65" s="3623" t="s">
        <v>1381</v>
      </c>
      <c r="H65" s="3341"/>
      <c r="I65" s="3341"/>
      <c r="J65" s="3341"/>
      <c r="K65" s="3341"/>
      <c r="L65" s="3341"/>
      <c r="M65" s="3341"/>
      <c r="N65" s="3341"/>
      <c r="O65" s="3341"/>
      <c r="P65" s="3341"/>
      <c r="Q65" s="3341"/>
      <c r="R65" s="3341"/>
      <c r="S65" s="3341"/>
      <c r="T65" s="3341"/>
      <c r="U65" s="3341"/>
      <c r="V65" s="3341"/>
      <c r="W65" s="3341"/>
      <c r="X65" s="3341"/>
      <c r="Y65" s="3341"/>
      <c r="Z65" s="3341"/>
      <c r="AA65" s="3341"/>
      <c r="AB65" s="3341"/>
      <c r="AC65" s="3341"/>
      <c r="AD65" s="3341"/>
      <c r="AE65" s="3341"/>
      <c r="AF65" s="3341"/>
      <c r="AG65" s="3341"/>
      <c r="AH65" s="3341"/>
      <c r="AI65" s="3341"/>
      <c r="AJ65" s="3341"/>
      <c r="AK65" s="3341"/>
      <c r="AL65" s="3341"/>
      <c r="AM65" s="3341"/>
      <c r="AN65" s="3341"/>
      <c r="AO65" s="3341"/>
      <c r="AP65" s="3341"/>
      <c r="AR65" s="3630"/>
    </row>
    <row r="66" customHeight="1" spans="3:44">
      <c r="C66" s="3614"/>
      <c r="D66" s="3614"/>
      <c r="E66" s="3623" t="s">
        <v>1382</v>
      </c>
      <c r="G66" s="3623" t="s">
        <v>1383</v>
      </c>
      <c r="H66" s="3341"/>
      <c r="I66" s="3341"/>
      <c r="J66" s="3341"/>
      <c r="K66" s="3341"/>
      <c r="L66" s="3341"/>
      <c r="M66" s="3341"/>
      <c r="N66" s="3341"/>
      <c r="O66" s="3341"/>
      <c r="P66" s="3341"/>
      <c r="Q66" s="3341"/>
      <c r="R66" s="3341"/>
      <c r="S66" s="3341"/>
      <c r="T66" s="3341"/>
      <c r="U66" s="3341"/>
      <c r="V66" s="3341"/>
      <c r="W66" s="3341"/>
      <c r="X66" s="3341"/>
      <c r="Y66" s="3341"/>
      <c r="Z66" s="3341"/>
      <c r="AA66" s="3341"/>
      <c r="AB66" s="3341"/>
      <c r="AC66" s="3341"/>
      <c r="AD66" s="3341"/>
      <c r="AE66" s="3341"/>
      <c r="AF66" s="3341"/>
      <c r="AG66" s="3341"/>
      <c r="AH66" s="3341"/>
      <c r="AI66" s="3341"/>
      <c r="AJ66" s="3341"/>
      <c r="AK66" s="3341"/>
      <c r="AL66" s="3341"/>
      <c r="AM66" s="3341"/>
      <c r="AN66" s="3341"/>
      <c r="AO66" s="3341"/>
      <c r="AP66" s="3341"/>
      <c r="AR66" s="3630"/>
    </row>
    <row r="67" customHeight="1" spans="3:44">
      <c r="C67" s="3614"/>
      <c r="D67" s="3614"/>
      <c r="E67" s="3623" t="s">
        <v>1384</v>
      </c>
      <c r="G67" s="3623" t="s">
        <v>1385</v>
      </c>
      <c r="H67" s="3341"/>
      <c r="I67" s="3341"/>
      <c r="J67" s="3341"/>
      <c r="K67" s="3341"/>
      <c r="L67" s="3341"/>
      <c r="M67" s="3341"/>
      <c r="N67" s="3341"/>
      <c r="O67" s="3341"/>
      <c r="P67" s="3341"/>
      <c r="Q67" s="3341"/>
      <c r="R67" s="3341"/>
      <c r="S67" s="3341"/>
      <c r="T67" s="3341"/>
      <c r="U67" s="3341"/>
      <c r="V67" s="3341"/>
      <c r="W67" s="3341"/>
      <c r="X67" s="3341"/>
      <c r="Y67" s="3341"/>
      <c r="Z67" s="3341"/>
      <c r="AA67" s="3341"/>
      <c r="AB67" s="3341"/>
      <c r="AC67" s="3341"/>
      <c r="AD67" s="3341"/>
      <c r="AE67" s="3341"/>
      <c r="AF67" s="3341"/>
      <c r="AG67" s="3341"/>
      <c r="AH67" s="3341"/>
      <c r="AI67" s="3341"/>
      <c r="AJ67" s="3341"/>
      <c r="AK67" s="3341"/>
      <c r="AL67" s="3341"/>
      <c r="AM67" s="3341"/>
      <c r="AN67" s="3341"/>
      <c r="AO67" s="3341"/>
      <c r="AP67" s="3341"/>
      <c r="AR67" s="3630"/>
    </row>
    <row r="68" customHeight="1" spans="3:44">
      <c r="C68" s="3614"/>
      <c r="D68" s="3614"/>
      <c r="E68" s="3623" t="s">
        <v>1386</v>
      </c>
      <c r="G68" s="3623" t="s">
        <v>1387</v>
      </c>
      <c r="H68" s="3341"/>
      <c r="I68" s="3341"/>
      <c r="J68" s="3341"/>
      <c r="K68" s="3341"/>
      <c r="L68" s="3341"/>
      <c r="M68" s="3341"/>
      <c r="N68" s="3341"/>
      <c r="O68" s="3341"/>
      <c r="P68" s="3341"/>
      <c r="Q68" s="3341"/>
      <c r="R68" s="3341"/>
      <c r="S68" s="3341"/>
      <c r="T68" s="3341"/>
      <c r="U68" s="3341"/>
      <c r="V68" s="3341"/>
      <c r="W68" s="3341"/>
      <c r="X68" s="3341"/>
      <c r="Y68" s="3341"/>
      <c r="Z68" s="3341"/>
      <c r="AA68" s="3341"/>
      <c r="AB68" s="3341"/>
      <c r="AC68" s="3341"/>
      <c r="AD68" s="3341"/>
      <c r="AE68" s="3341"/>
      <c r="AF68" s="3341"/>
      <c r="AG68" s="3341"/>
      <c r="AH68" s="3341"/>
      <c r="AI68" s="3341"/>
      <c r="AJ68" s="3341"/>
      <c r="AK68" s="3341"/>
      <c r="AL68" s="3341"/>
      <c r="AM68" s="3341"/>
      <c r="AN68" s="3341"/>
      <c r="AO68" s="3341"/>
      <c r="AP68" s="3341"/>
      <c r="AR68" s="3630"/>
    </row>
    <row r="69" customHeight="1" spans="3:44">
      <c r="C69" s="3614"/>
      <c r="D69" s="3614"/>
      <c r="E69" s="3623" t="s">
        <v>1388</v>
      </c>
      <c r="G69" s="3623" t="s">
        <v>1389</v>
      </c>
      <c r="H69" s="3341"/>
      <c r="I69" s="3341"/>
      <c r="J69" s="3341"/>
      <c r="K69" s="3341"/>
      <c r="L69" s="3341"/>
      <c r="M69" s="3341"/>
      <c r="N69" s="3341"/>
      <c r="O69" s="3341"/>
      <c r="P69" s="3341"/>
      <c r="Q69" s="3341"/>
      <c r="R69" s="3341"/>
      <c r="S69" s="3341"/>
      <c r="T69" s="3341"/>
      <c r="U69" s="3341"/>
      <c r="V69" s="3341"/>
      <c r="W69" s="3341"/>
      <c r="X69" s="3341"/>
      <c r="Y69" s="3341"/>
      <c r="Z69" s="3341"/>
      <c r="AA69" s="3341"/>
      <c r="AB69" s="3341"/>
      <c r="AC69" s="3341"/>
      <c r="AD69" s="3341"/>
      <c r="AE69" s="3341"/>
      <c r="AF69" s="3341"/>
      <c r="AG69" s="3341"/>
      <c r="AH69" s="3341"/>
      <c r="AI69" s="3341"/>
      <c r="AJ69" s="3341"/>
      <c r="AK69" s="3341"/>
      <c r="AL69" s="3341"/>
      <c r="AM69" s="3341"/>
      <c r="AN69" s="3341"/>
      <c r="AO69" s="3341"/>
      <c r="AP69" s="3341"/>
      <c r="AR69" s="3630"/>
    </row>
    <row r="70" customHeight="1" spans="3:44">
      <c r="C70" s="3614"/>
      <c r="D70" s="3614"/>
      <c r="E70" s="3623" t="s">
        <v>1390</v>
      </c>
      <c r="G70" s="3623" t="s">
        <v>1391</v>
      </c>
      <c r="H70" s="3341"/>
      <c r="I70" s="3341"/>
      <c r="J70" s="3341"/>
      <c r="K70" s="3341"/>
      <c r="L70" s="3341"/>
      <c r="M70" s="3341"/>
      <c r="N70" s="3341"/>
      <c r="O70" s="3341"/>
      <c r="P70" s="3341"/>
      <c r="Q70" s="3341"/>
      <c r="R70" s="3341"/>
      <c r="S70" s="3341"/>
      <c r="T70" s="3341"/>
      <c r="U70" s="3341"/>
      <c r="V70" s="3341"/>
      <c r="W70" s="3341"/>
      <c r="X70" s="3341"/>
      <c r="Y70" s="3341"/>
      <c r="Z70" s="3341"/>
      <c r="AA70" s="3341"/>
      <c r="AB70" s="3341"/>
      <c r="AC70" s="3341"/>
      <c r="AD70" s="3341"/>
      <c r="AE70" s="3341"/>
      <c r="AF70" s="3341"/>
      <c r="AG70" s="3341"/>
      <c r="AH70" s="3341"/>
      <c r="AI70" s="3341"/>
      <c r="AJ70" s="3341"/>
      <c r="AK70" s="3341"/>
      <c r="AL70" s="3341"/>
      <c r="AM70" s="3341"/>
      <c r="AN70" s="3341"/>
      <c r="AO70" s="3341"/>
      <c r="AP70" s="3341"/>
      <c r="AR70" s="3630"/>
    </row>
    <row r="71" customHeight="1" spans="3:44">
      <c r="C71" s="3614"/>
      <c r="D71" s="3614"/>
      <c r="E71" s="3511"/>
      <c r="F71" s="3341"/>
      <c r="G71" s="3341"/>
      <c r="H71" s="3341"/>
      <c r="I71" s="3341"/>
      <c r="J71" s="3341"/>
      <c r="K71" s="3341"/>
      <c r="L71" s="3341"/>
      <c r="M71" s="3341"/>
      <c r="N71" s="3341"/>
      <c r="O71" s="3341"/>
      <c r="P71" s="3341"/>
      <c r="Q71" s="3341"/>
      <c r="R71" s="3341"/>
      <c r="S71" s="3341"/>
      <c r="T71" s="3341"/>
      <c r="U71" s="3341"/>
      <c r="V71" s="3341"/>
      <c r="W71" s="3341"/>
      <c r="X71" s="3341"/>
      <c r="Y71" s="3341"/>
      <c r="Z71" s="3341"/>
      <c r="AA71" s="3341"/>
      <c r="AB71" s="3341"/>
      <c r="AC71" s="3341"/>
      <c r="AD71" s="3341"/>
      <c r="AE71" s="3341"/>
      <c r="AF71" s="3341"/>
      <c r="AG71" s="3341"/>
      <c r="AH71" s="3341"/>
      <c r="AI71" s="3341"/>
      <c r="AJ71" s="3341"/>
      <c r="AK71" s="3341"/>
      <c r="AL71" s="3341"/>
      <c r="AM71" s="3341"/>
      <c r="AN71" s="3341"/>
      <c r="AO71" s="3341"/>
      <c r="AP71" s="3341"/>
      <c r="AR71" s="3630"/>
    </row>
    <row r="72" customHeight="1" spans="3:44">
      <c r="C72" s="3607" t="s">
        <v>148</v>
      </c>
      <c r="D72" s="3614"/>
      <c r="E72" s="5063" t="s">
        <v>1392</v>
      </c>
      <c r="F72" s="3607"/>
      <c r="G72" s="3607"/>
      <c r="H72" s="3607"/>
      <c r="I72" s="3607"/>
      <c r="J72" s="3607"/>
      <c r="K72" s="3607"/>
      <c r="L72" s="3607"/>
      <c r="M72" s="3607"/>
      <c r="N72" s="3607"/>
      <c r="O72" s="3607"/>
      <c r="P72" s="3607"/>
      <c r="Q72" s="3607"/>
      <c r="R72" s="3607"/>
      <c r="S72" s="3607"/>
      <c r="T72" s="3607"/>
      <c r="U72" s="3607"/>
      <c r="V72" s="3607"/>
      <c r="W72" s="3607"/>
      <c r="X72" s="3607"/>
      <c r="Y72" s="3607"/>
      <c r="Z72" s="3607"/>
      <c r="AA72" s="3607"/>
      <c r="AB72" s="3607"/>
      <c r="AC72" s="3607"/>
      <c r="AD72" s="3607"/>
      <c r="AE72" s="3607"/>
      <c r="AF72" s="3607"/>
      <c r="AG72" s="3607"/>
      <c r="AH72" s="3607"/>
      <c r="AI72"/>
      <c r="AJ72"/>
      <c r="AK72"/>
      <c r="AL72"/>
      <c r="AM72"/>
      <c r="AN72"/>
      <c r="AO72"/>
      <c r="AP72"/>
      <c r="AR72" s="3630"/>
    </row>
    <row r="73" ht="9.2" customHeight="1" spans="3:44">
      <c r="C73" s="3614"/>
      <c r="D73" s="3614"/>
      <c r="E73" s="3341"/>
      <c r="F73" s="3341"/>
      <c r="G73" s="3341"/>
      <c r="H73" s="3341"/>
      <c r="I73" s="3341"/>
      <c r="J73" s="3341"/>
      <c r="K73" s="3341"/>
      <c r="L73" s="3341"/>
      <c r="M73" s="3341"/>
      <c r="N73" s="3341"/>
      <c r="O73" s="3341"/>
      <c r="P73" s="3341"/>
      <c r="Q73" s="3341"/>
      <c r="R73" s="3341"/>
      <c r="S73" s="3341"/>
      <c r="T73" s="3341"/>
      <c r="U73" s="3341"/>
      <c r="V73" s="3341"/>
      <c r="W73" s="3341"/>
      <c r="X73" s="3341"/>
      <c r="Y73" s="3341"/>
      <c r="Z73" s="3341"/>
      <c r="AA73" s="3341"/>
      <c r="AB73" s="3341"/>
      <c r="AC73" s="3341"/>
      <c r="AD73" s="3341"/>
      <c r="AE73" s="3341"/>
      <c r="AF73" s="3341"/>
      <c r="AG73" s="3341"/>
      <c r="AH73" s="3341"/>
      <c r="AI73" s="3341"/>
      <c r="AJ73" s="3341"/>
      <c r="AK73" s="3341"/>
      <c r="AL73" s="3341"/>
      <c r="AM73" s="3341"/>
      <c r="AN73" s="3341"/>
      <c r="AO73" s="3341"/>
      <c r="AP73" s="3341"/>
      <c r="AR73" s="3630"/>
    </row>
    <row r="74" ht="24.95" customHeight="1" spans="3:44">
      <c r="C74" s="3614"/>
      <c r="D74" s="3614"/>
      <c r="E74" s="2104" t="s">
        <v>1393</v>
      </c>
      <c r="F74" s="2146"/>
      <c r="G74" s="2146"/>
      <c r="H74" s="2146"/>
      <c r="I74" s="2146"/>
      <c r="J74" s="2146"/>
      <c r="K74" s="2146"/>
      <c r="L74" s="2146"/>
      <c r="M74" s="2146"/>
      <c r="N74" s="2146"/>
      <c r="O74" s="2146"/>
      <c r="P74" s="2146"/>
      <c r="Q74" s="2146"/>
      <c r="R74" s="2146"/>
      <c r="S74" s="2146"/>
      <c r="T74" s="2146"/>
      <c r="U74" s="2146"/>
      <c r="V74" s="2146"/>
      <c r="W74" s="2146"/>
      <c r="X74" s="2146"/>
      <c r="Y74" s="2146"/>
      <c r="Z74" s="2146"/>
      <c r="AA74" s="2146"/>
      <c r="AB74" s="2146"/>
      <c r="AC74" s="2146"/>
      <c r="AD74" s="2146"/>
      <c r="AE74" s="2146"/>
      <c r="AF74" s="2146"/>
      <c r="AG74" s="2146"/>
      <c r="AH74" s="2146"/>
      <c r="AI74" s="2146"/>
      <c r="AJ74" s="2146"/>
      <c r="AK74" s="2146"/>
      <c r="AL74" s="2146"/>
      <c r="AM74" s="2146"/>
      <c r="AN74" s="2146"/>
      <c r="AO74" s="2146"/>
      <c r="AP74" s="2146"/>
      <c r="AR74" s="3630"/>
    </row>
    <row r="75" ht="9.75" customHeight="1" spans="3:44">
      <c r="C75" s="3614"/>
      <c r="D75" s="3614"/>
      <c r="E75" s="3341"/>
      <c r="F75" s="3341"/>
      <c r="G75" s="3341"/>
      <c r="H75" s="3341"/>
      <c r="I75" s="3341"/>
      <c r="J75" s="3341"/>
      <c r="K75" s="3341"/>
      <c r="L75" s="3341"/>
      <c r="M75" s="3341"/>
      <c r="N75" s="3341"/>
      <c r="O75" s="3341"/>
      <c r="P75" s="3341"/>
      <c r="Q75" s="3341"/>
      <c r="R75" s="3341"/>
      <c r="S75" s="3341"/>
      <c r="T75" s="3341"/>
      <c r="U75" s="3341"/>
      <c r="V75" s="3341"/>
      <c r="W75" s="3341"/>
      <c r="X75" s="3341"/>
      <c r="Y75" s="3341"/>
      <c r="Z75" s="3341"/>
      <c r="AA75" s="3341"/>
      <c r="AB75" s="3341"/>
      <c r="AC75" s="3341"/>
      <c r="AD75" s="3341"/>
      <c r="AE75" s="3341"/>
      <c r="AF75" s="3341"/>
      <c r="AG75" s="3341"/>
      <c r="AH75" s="3341"/>
      <c r="AI75" s="3341"/>
      <c r="AJ75" s="3341"/>
      <c r="AK75" s="3341"/>
      <c r="AL75" s="3341"/>
      <c r="AM75" s="3341"/>
      <c r="AN75" s="3341"/>
      <c r="AO75" s="3341"/>
      <c r="AP75" s="3341"/>
      <c r="AR75" s="3630"/>
    </row>
    <row r="76" ht="36" customHeight="1" spans="3:44">
      <c r="C76" s="3614"/>
      <c r="D76" s="3614"/>
      <c r="E76" s="2104" t="s">
        <v>1394</v>
      </c>
      <c r="F76" s="2146"/>
      <c r="G76" s="2146"/>
      <c r="H76" s="2146"/>
      <c r="I76" s="2146"/>
      <c r="J76" s="2146"/>
      <c r="K76" s="2146"/>
      <c r="L76" s="2146"/>
      <c r="M76" s="2146"/>
      <c r="N76" s="2146"/>
      <c r="O76" s="2146"/>
      <c r="P76" s="2146"/>
      <c r="Q76" s="2146"/>
      <c r="R76" s="2146"/>
      <c r="S76" s="2146"/>
      <c r="T76" s="2146"/>
      <c r="U76" s="2146"/>
      <c r="V76" s="2146"/>
      <c r="W76" s="2146"/>
      <c r="X76" s="2146"/>
      <c r="Y76" s="2146"/>
      <c r="Z76" s="2146"/>
      <c r="AA76" s="2146"/>
      <c r="AB76" s="2146"/>
      <c r="AC76" s="2146"/>
      <c r="AD76" s="2146"/>
      <c r="AE76" s="2146"/>
      <c r="AF76" s="2146"/>
      <c r="AG76" s="2146"/>
      <c r="AH76" s="2146"/>
      <c r="AI76" s="2146"/>
      <c r="AJ76" s="2146"/>
      <c r="AK76" s="2146"/>
      <c r="AL76" s="2146"/>
      <c r="AM76" s="2146"/>
      <c r="AN76" s="2146"/>
      <c r="AO76" s="2146"/>
      <c r="AP76" s="2146"/>
      <c r="AR76" s="3630"/>
    </row>
    <row r="77" ht="9.2" customHeight="1" spans="3:44">
      <c r="C77" s="3614"/>
      <c r="D77" s="3614"/>
      <c r="E77" s="3341"/>
      <c r="F77" s="3341"/>
      <c r="G77" s="3341"/>
      <c r="H77" s="3341"/>
      <c r="I77" s="3341"/>
      <c r="J77" s="3341"/>
      <c r="K77" s="3341"/>
      <c r="L77" s="3341"/>
      <c r="M77" s="3341"/>
      <c r="N77" s="3341"/>
      <c r="O77" s="3341"/>
      <c r="P77" s="3341"/>
      <c r="Q77" s="3341"/>
      <c r="R77" s="3341"/>
      <c r="S77" s="3341"/>
      <c r="T77" s="3341"/>
      <c r="U77" s="3341"/>
      <c r="V77" s="3341"/>
      <c r="W77" s="3341"/>
      <c r="X77" s="3341"/>
      <c r="Y77" s="3341"/>
      <c r="Z77" s="3341"/>
      <c r="AA77" s="3341"/>
      <c r="AB77" s="3341"/>
      <c r="AC77" s="3341"/>
      <c r="AD77" s="3341"/>
      <c r="AE77" s="3341"/>
      <c r="AF77" s="3341"/>
      <c r="AG77" s="3341"/>
      <c r="AH77" s="3341"/>
      <c r="AI77" s="3341"/>
      <c r="AJ77" s="3341"/>
      <c r="AK77" s="3341"/>
      <c r="AL77" s="3341"/>
      <c r="AM77" s="3341"/>
      <c r="AN77" s="3341"/>
      <c r="AO77" s="3341"/>
      <c r="AP77" s="3341"/>
      <c r="AR77" s="3630"/>
    </row>
    <row r="78" customHeight="1" spans="3:44">
      <c r="C78" s="3607" t="s">
        <v>410</v>
      </c>
      <c r="D78" s="3614"/>
      <c r="E78" s="5063" t="s">
        <v>1395</v>
      </c>
      <c r="F78" s="3607"/>
      <c r="G78" s="3607"/>
      <c r="H78" s="3607"/>
      <c r="I78" s="3607"/>
      <c r="J78" s="3607"/>
      <c r="K78" s="3607"/>
      <c r="L78" s="3607"/>
      <c r="M78" s="3607"/>
      <c r="N78" s="3607"/>
      <c r="O78" s="3607"/>
      <c r="P78" s="3607"/>
      <c r="Q78" s="3607"/>
      <c r="R78" s="3607"/>
      <c r="S78" s="3607"/>
      <c r="T78" s="3607"/>
      <c r="U78" s="3607"/>
      <c r="V78" s="3607"/>
      <c r="W78" s="3607"/>
      <c r="X78" s="3607"/>
      <c r="Y78" s="3607"/>
      <c r="Z78" s="3607"/>
      <c r="AA78" s="3607"/>
      <c r="AB78" s="3607"/>
      <c r="AC78" s="3607"/>
      <c r="AD78" s="3607"/>
      <c r="AE78" s="3607"/>
      <c r="AF78" s="3607"/>
      <c r="AG78" s="3607"/>
      <c r="AH78" s="3607"/>
      <c r="AI78"/>
      <c r="AJ78"/>
      <c r="AK78"/>
      <c r="AL78"/>
      <c r="AM78"/>
      <c r="AN78"/>
      <c r="AO78"/>
      <c r="AP78"/>
      <c r="AR78" s="3630"/>
    </row>
    <row r="79" ht="6" customHeight="1" spans="3:44">
      <c r="C79" s="3614"/>
      <c r="D79" s="3614"/>
      <c r="E79" s="3341"/>
      <c r="F79" s="3341"/>
      <c r="G79" s="3341"/>
      <c r="H79" s="3341"/>
      <c r="I79" s="3341"/>
      <c r="J79" s="3341"/>
      <c r="K79" s="3341"/>
      <c r="L79" s="3341"/>
      <c r="M79" s="3341"/>
      <c r="N79" s="3341"/>
      <c r="O79" s="3341"/>
      <c r="P79" s="3341"/>
      <c r="Q79" s="3341"/>
      <c r="R79" s="3341"/>
      <c r="S79" s="3341"/>
      <c r="T79" s="3341"/>
      <c r="U79" s="3341"/>
      <c r="V79" s="3341"/>
      <c r="W79" s="3341"/>
      <c r="X79" s="3341"/>
      <c r="Y79" s="3341"/>
      <c r="Z79" s="3341"/>
      <c r="AA79" s="3341"/>
      <c r="AB79" s="3341"/>
      <c r="AC79" s="3341"/>
      <c r="AD79" s="3341"/>
      <c r="AE79" s="3341"/>
      <c r="AF79" s="3341"/>
      <c r="AG79" s="3341"/>
      <c r="AH79" s="3341"/>
      <c r="AI79" s="3341"/>
      <c r="AJ79" s="3341"/>
      <c r="AK79" s="3341"/>
      <c r="AL79" s="3341"/>
      <c r="AM79" s="3341"/>
      <c r="AN79" s="3341"/>
      <c r="AO79" s="3341"/>
      <c r="AP79" s="3341"/>
      <c r="AR79" s="3630"/>
    </row>
    <row r="80" ht="36.75" customHeight="1" spans="3:44">
      <c r="C80" s="3614"/>
      <c r="D80" s="3614"/>
      <c r="E80" s="2104" t="s">
        <v>1396</v>
      </c>
      <c r="F80" s="2146"/>
      <c r="G80" s="2146"/>
      <c r="H80" s="2146"/>
      <c r="I80" s="2146"/>
      <c r="J80" s="2146"/>
      <c r="K80" s="2146"/>
      <c r="L80" s="2146"/>
      <c r="M80" s="2146"/>
      <c r="N80" s="2146"/>
      <c r="O80" s="2146"/>
      <c r="P80" s="2146"/>
      <c r="Q80" s="2146"/>
      <c r="R80" s="2146"/>
      <c r="S80" s="2146"/>
      <c r="T80" s="2146"/>
      <c r="U80" s="2146"/>
      <c r="V80" s="2146"/>
      <c r="W80" s="2146"/>
      <c r="X80" s="2146"/>
      <c r="Y80" s="2146"/>
      <c r="Z80" s="2146"/>
      <c r="AA80" s="2146"/>
      <c r="AB80" s="2146"/>
      <c r="AC80" s="2146"/>
      <c r="AD80" s="2146"/>
      <c r="AE80" s="2146"/>
      <c r="AF80" s="2146"/>
      <c r="AG80" s="2146"/>
      <c r="AH80" s="2146"/>
      <c r="AI80" s="2146"/>
      <c r="AJ80" s="2146"/>
      <c r="AK80" s="2146"/>
      <c r="AL80" s="2146"/>
      <c r="AM80" s="2146"/>
      <c r="AN80" s="2146"/>
      <c r="AO80" s="2146"/>
      <c r="AP80" s="2146"/>
      <c r="AR80" s="3630"/>
    </row>
    <row r="81" customHeight="1" spans="3:44">
      <c r="C81" s="3614"/>
      <c r="D81" s="3614"/>
      <c r="E81" s="3341"/>
      <c r="F81" s="3341"/>
      <c r="G81" s="3341"/>
      <c r="H81" s="3341"/>
      <c r="I81" s="3341"/>
      <c r="J81" s="3341"/>
      <c r="K81" s="3341"/>
      <c r="L81" s="3341"/>
      <c r="M81" s="3341"/>
      <c r="N81" s="3341"/>
      <c r="O81" s="3341"/>
      <c r="P81" s="3341"/>
      <c r="Q81" s="3341"/>
      <c r="R81" s="3341"/>
      <c r="S81" s="3341"/>
      <c r="T81" s="3341"/>
      <c r="U81" s="3341"/>
      <c r="V81" s="3341"/>
      <c r="W81" s="3341"/>
      <c r="X81" s="3341"/>
      <c r="Y81" s="3341"/>
      <c r="Z81" s="3341"/>
      <c r="AA81" s="3341"/>
      <c r="AB81" s="3341"/>
      <c r="AC81" s="3341"/>
      <c r="AD81" s="3341"/>
      <c r="AE81" s="3341"/>
      <c r="AF81" s="3341"/>
      <c r="AG81" s="3341"/>
      <c r="AH81" s="3341"/>
      <c r="AI81" s="3341"/>
      <c r="AJ81" s="3341"/>
      <c r="AK81" s="3341"/>
      <c r="AL81" s="3341"/>
      <c r="AM81" s="3341"/>
      <c r="AN81" s="3341"/>
      <c r="AO81" s="3341"/>
      <c r="AP81" s="3341"/>
      <c r="AR81" s="3630"/>
    </row>
    <row r="82" hidden="1" customHeight="1" spans="3:44">
      <c r="C82" s="3607" t="s">
        <v>422</v>
      </c>
      <c r="D82" s="3614"/>
      <c r="E82" s="5063" t="s">
        <v>546</v>
      </c>
      <c r="F82" s="3607"/>
      <c r="G82" s="3607"/>
      <c r="H82" s="3607"/>
      <c r="I82" s="3607"/>
      <c r="J82" s="3607"/>
      <c r="K82" s="3607"/>
      <c r="L82" s="3607"/>
      <c r="M82" s="3607"/>
      <c r="N82" s="3607"/>
      <c r="O82" s="3607"/>
      <c r="P82" s="3607"/>
      <c r="Q82" s="3607"/>
      <c r="R82" s="3607"/>
      <c r="S82" s="3607"/>
      <c r="T82" s="3607"/>
      <c r="U82" s="3607"/>
      <c r="V82" s="3607"/>
      <c r="W82" s="3607"/>
      <c r="X82" s="3607"/>
      <c r="Y82" s="3607"/>
      <c r="Z82" s="3607"/>
      <c r="AA82" s="3607"/>
      <c r="AB82" s="3607"/>
      <c r="AC82" s="3607"/>
      <c r="AD82" s="3607"/>
      <c r="AE82" s="3607"/>
      <c r="AF82" s="3607"/>
      <c r="AG82" s="3607"/>
      <c r="AH82" s="3607"/>
      <c r="AI82"/>
      <c r="AJ82"/>
      <c r="AK82"/>
      <c r="AL82"/>
      <c r="AM82"/>
      <c r="AN82"/>
      <c r="AO82"/>
      <c r="AP82"/>
      <c r="AR82" s="3630"/>
    </row>
    <row r="83" ht="9.2" hidden="1" customHeight="1" spans="3:44">
      <c r="C83" s="3614"/>
      <c r="D83" s="3614"/>
      <c r="E83" s="3341"/>
      <c r="F83" s="3341"/>
      <c r="G83" s="3341"/>
      <c r="H83" s="3341"/>
      <c r="I83" s="3341"/>
      <c r="J83" s="3341"/>
      <c r="K83" s="3341"/>
      <c r="L83" s="3341"/>
      <c r="M83" s="3341"/>
      <c r="N83" s="3341"/>
      <c r="O83" s="3341"/>
      <c r="P83" s="3341"/>
      <c r="Q83" s="3341"/>
      <c r="R83" s="3341"/>
      <c r="S83" s="3341"/>
      <c r="T83" s="3341"/>
      <c r="U83" s="3341"/>
      <c r="V83" s="3341"/>
      <c r="W83" s="3341"/>
      <c r="X83" s="3341"/>
      <c r="Y83" s="3341"/>
      <c r="Z83" s="3341"/>
      <c r="AA83" s="3341"/>
      <c r="AB83" s="3341"/>
      <c r="AC83" s="3341"/>
      <c r="AD83" s="3341"/>
      <c r="AE83" s="3341"/>
      <c r="AF83" s="3341"/>
      <c r="AG83" s="3341"/>
      <c r="AH83" s="3341"/>
      <c r="AI83" s="3341"/>
      <c r="AJ83" s="3341"/>
      <c r="AK83" s="3341"/>
      <c r="AL83" s="3341"/>
      <c r="AM83" s="3341"/>
      <c r="AN83" s="3341"/>
      <c r="AO83" s="3341"/>
      <c r="AP83" s="3341"/>
      <c r="AR83" s="3630"/>
    </row>
    <row r="84" ht="24" hidden="1" customHeight="1" spans="3:44">
      <c r="C84" s="3614"/>
      <c r="D84" s="3614"/>
      <c r="E84" s="2104" t="s">
        <v>1397</v>
      </c>
      <c r="F84" s="2146"/>
      <c r="G84" s="2146"/>
      <c r="H84" s="2146"/>
      <c r="I84" s="2146"/>
      <c r="J84" s="2146"/>
      <c r="K84" s="2146"/>
      <c r="L84" s="2146"/>
      <c r="M84" s="2146"/>
      <c r="N84" s="2146"/>
      <c r="O84" s="2146"/>
      <c r="P84" s="2146"/>
      <c r="Q84" s="2146"/>
      <c r="R84" s="2146"/>
      <c r="S84" s="2146"/>
      <c r="T84" s="2146"/>
      <c r="U84" s="2146"/>
      <c r="V84" s="2146"/>
      <c r="W84" s="2146"/>
      <c r="X84" s="2146"/>
      <c r="Y84" s="2146"/>
      <c r="Z84" s="2146"/>
      <c r="AA84" s="2146"/>
      <c r="AB84" s="2146"/>
      <c r="AC84" s="2146"/>
      <c r="AD84" s="2146"/>
      <c r="AE84" s="2146"/>
      <c r="AF84" s="2146"/>
      <c r="AG84" s="2146"/>
      <c r="AH84" s="2146"/>
      <c r="AI84" s="2146"/>
      <c r="AJ84" s="2146"/>
      <c r="AK84" s="2146"/>
      <c r="AL84" s="2146"/>
      <c r="AM84" s="2146"/>
      <c r="AN84" s="2146"/>
      <c r="AO84" s="2146"/>
      <c r="AP84" s="2146"/>
      <c r="AQ84" s="3606" t="s">
        <v>1398</v>
      </c>
      <c r="AR84" s="3630"/>
    </row>
    <row r="85" ht="9.2" hidden="1" customHeight="1" spans="3:44">
      <c r="C85" s="3614"/>
      <c r="D85" s="3614"/>
      <c r="E85" s="3341"/>
      <c r="F85" s="3341"/>
      <c r="G85" s="3341"/>
      <c r="H85" s="3341"/>
      <c r="I85" s="3341"/>
      <c r="J85" s="3341"/>
      <c r="K85" s="3341"/>
      <c r="L85" s="3341"/>
      <c r="M85" s="3341"/>
      <c r="N85" s="3341"/>
      <c r="O85" s="3341"/>
      <c r="P85" s="3341"/>
      <c r="Q85" s="3341"/>
      <c r="R85" s="3341"/>
      <c r="S85" s="3341"/>
      <c r="T85" s="3341"/>
      <c r="U85" s="3341"/>
      <c r="V85" s="3341"/>
      <c r="W85" s="3341"/>
      <c r="X85" s="3341"/>
      <c r="Y85" s="3341"/>
      <c r="Z85" s="3341"/>
      <c r="AA85" s="3341"/>
      <c r="AB85" s="3341"/>
      <c r="AC85" s="3341"/>
      <c r="AD85" s="3341"/>
      <c r="AE85" s="3341"/>
      <c r="AF85" s="3341"/>
      <c r="AG85" s="3341"/>
      <c r="AH85" s="3341"/>
      <c r="AI85" s="3341"/>
      <c r="AJ85" s="3341"/>
      <c r="AK85" s="3341"/>
      <c r="AL85" s="3341"/>
      <c r="AM85" s="3341"/>
      <c r="AN85" s="3341"/>
      <c r="AO85" s="3341"/>
      <c r="AP85" s="3341"/>
      <c r="AR85" s="3630"/>
    </row>
    <row r="86" ht="25.35" hidden="1" customHeight="1" spans="3:44">
      <c r="C86" s="3614"/>
      <c r="D86" s="3614"/>
      <c r="E86" s="2104" t="s">
        <v>1399</v>
      </c>
      <c r="F86" s="2146"/>
      <c r="G86" s="2146"/>
      <c r="H86" s="2146"/>
      <c r="I86" s="2146"/>
      <c r="J86" s="2146"/>
      <c r="K86" s="2146"/>
      <c r="L86" s="2146"/>
      <c r="M86" s="2146"/>
      <c r="N86" s="2146"/>
      <c r="O86" s="2146"/>
      <c r="P86" s="2146"/>
      <c r="Q86" s="2146"/>
      <c r="R86" s="2146"/>
      <c r="S86" s="2146"/>
      <c r="T86" s="2146"/>
      <c r="U86" s="2146"/>
      <c r="V86" s="2146"/>
      <c r="W86" s="2146"/>
      <c r="X86" s="2146"/>
      <c r="Y86" s="2146"/>
      <c r="Z86" s="2146"/>
      <c r="AA86" s="2146"/>
      <c r="AB86" s="2146"/>
      <c r="AC86" s="2146"/>
      <c r="AD86" s="2146"/>
      <c r="AE86" s="2146"/>
      <c r="AF86" s="2146"/>
      <c r="AG86" s="2146"/>
      <c r="AH86" s="2146"/>
      <c r="AI86" s="2146"/>
      <c r="AJ86" s="2146"/>
      <c r="AK86" s="2146"/>
      <c r="AL86" s="2146"/>
      <c r="AM86" s="2146"/>
      <c r="AN86" s="2146"/>
      <c r="AO86" s="2146"/>
      <c r="AP86" s="2146"/>
      <c r="AR86" s="3630"/>
    </row>
    <row r="87" ht="9.2" hidden="1" customHeight="1" spans="3:44">
      <c r="C87" s="3614"/>
      <c r="D87" s="3614"/>
      <c r="E87" s="3341"/>
      <c r="F87" s="3341"/>
      <c r="G87" s="3341"/>
      <c r="H87" s="3341"/>
      <c r="I87" s="3341"/>
      <c r="J87" s="3341"/>
      <c r="K87" s="3341"/>
      <c r="L87" s="3341"/>
      <c r="M87" s="3341"/>
      <c r="N87" s="3341"/>
      <c r="O87" s="3341"/>
      <c r="P87" s="3341"/>
      <c r="Q87" s="3341"/>
      <c r="R87" s="3341"/>
      <c r="S87" s="3341"/>
      <c r="T87" s="3341"/>
      <c r="U87" s="3341"/>
      <c r="V87" s="3341"/>
      <c r="W87" s="3341"/>
      <c r="X87" s="3341"/>
      <c r="Y87" s="3341"/>
      <c r="Z87" s="3341"/>
      <c r="AA87" s="3341"/>
      <c r="AB87" s="3341"/>
      <c r="AC87" s="3341"/>
      <c r="AD87" s="3341"/>
      <c r="AE87" s="3341"/>
      <c r="AF87" s="3341"/>
      <c r="AG87" s="3341"/>
      <c r="AH87" s="3341"/>
      <c r="AI87" s="3341"/>
      <c r="AJ87" s="3341"/>
      <c r="AK87" s="3341"/>
      <c r="AL87" s="3341"/>
      <c r="AM87" s="3341"/>
      <c r="AN87" s="3341"/>
      <c r="AO87" s="3341"/>
      <c r="AP87" s="3341"/>
      <c r="AR87" s="3630"/>
    </row>
    <row r="88" customHeight="1" spans="3:44">
      <c r="C88" s="3607" t="s">
        <v>413</v>
      </c>
      <c r="D88" s="3614"/>
      <c r="E88" s="5063" t="s">
        <v>1400</v>
      </c>
      <c r="F88" s="3607"/>
      <c r="G88" s="3607"/>
      <c r="H88" s="3607"/>
      <c r="I88" s="3607"/>
      <c r="J88" s="3607"/>
      <c r="K88" s="3607"/>
      <c r="L88" s="3607"/>
      <c r="M88" s="3607"/>
      <c r="N88" s="3607"/>
      <c r="O88" s="3607"/>
      <c r="P88" s="3607"/>
      <c r="Q88" s="3607"/>
      <c r="R88" s="3607"/>
      <c r="S88" s="3607"/>
      <c r="T88" s="3607"/>
      <c r="U88" s="3607"/>
      <c r="V88" s="3607"/>
      <c r="W88" s="3607"/>
      <c r="X88" s="3607"/>
      <c r="Y88" s="3607"/>
      <c r="Z88" s="3607"/>
      <c r="AA88" s="3607"/>
      <c r="AB88" s="3607"/>
      <c r="AC88" s="3607"/>
      <c r="AD88" s="3607"/>
      <c r="AE88" s="3607"/>
      <c r="AF88" s="3607"/>
      <c r="AG88" s="3607"/>
      <c r="AH88" s="3607"/>
      <c r="AI88"/>
      <c r="AJ88"/>
      <c r="AK88"/>
      <c r="AL88"/>
      <c r="AM88"/>
      <c r="AN88"/>
      <c r="AO88"/>
      <c r="AP88"/>
      <c r="AR88" s="3630"/>
    </row>
    <row r="89" ht="9.2" customHeight="1" spans="3:44">
      <c r="C89" s="3614"/>
      <c r="D89" s="3614"/>
      <c r="E89" s="3341"/>
      <c r="F89" s="3341"/>
      <c r="G89" s="3341"/>
      <c r="H89" s="3341"/>
      <c r="I89" s="3341"/>
      <c r="J89" s="3341"/>
      <c r="K89" s="3341"/>
      <c r="L89" s="3341"/>
      <c r="M89" s="3341"/>
      <c r="N89" s="3341"/>
      <c r="O89" s="3341"/>
      <c r="P89" s="3341"/>
      <c r="Q89" s="3341"/>
      <c r="R89" s="3341"/>
      <c r="S89" s="3341"/>
      <c r="T89" s="3341"/>
      <c r="U89" s="3341"/>
      <c r="V89" s="3341"/>
      <c r="W89" s="3341"/>
      <c r="X89" s="3341"/>
      <c r="Y89" s="3341"/>
      <c r="Z89" s="3341"/>
      <c r="AA89" s="3341"/>
      <c r="AB89" s="3341"/>
      <c r="AC89" s="3341"/>
      <c r="AD89" s="3341"/>
      <c r="AE89" s="3341"/>
      <c r="AF89" s="3341"/>
      <c r="AG89" s="3341"/>
      <c r="AH89" s="3341"/>
      <c r="AI89" s="3341"/>
      <c r="AJ89" s="3341"/>
      <c r="AK89" s="3341"/>
      <c r="AL89" s="3341"/>
      <c r="AM89" s="3341"/>
      <c r="AN89" s="3341"/>
      <c r="AO89" s="3341"/>
      <c r="AP89" s="3341"/>
      <c r="AR89" s="3630"/>
    </row>
    <row r="90" ht="23.45" customHeight="1" spans="3:44">
      <c r="C90" s="3614"/>
      <c r="D90" s="3614"/>
      <c r="E90" s="2104" t="s">
        <v>1401</v>
      </c>
      <c r="F90" s="2146"/>
      <c r="G90" s="2146"/>
      <c r="H90" s="2146"/>
      <c r="I90" s="2146"/>
      <c r="J90" s="2146"/>
      <c r="K90" s="2146"/>
      <c r="L90" s="2146"/>
      <c r="M90" s="2146"/>
      <c r="N90" s="2146"/>
      <c r="O90" s="2146"/>
      <c r="P90" s="2146"/>
      <c r="Q90" s="2146"/>
      <c r="R90" s="2146"/>
      <c r="S90" s="2146"/>
      <c r="T90" s="2146"/>
      <c r="U90" s="2146"/>
      <c r="V90" s="2146"/>
      <c r="W90" s="2146"/>
      <c r="X90" s="2146"/>
      <c r="Y90" s="2146"/>
      <c r="Z90" s="2146"/>
      <c r="AA90" s="2146"/>
      <c r="AB90" s="2146"/>
      <c r="AC90" s="2146"/>
      <c r="AD90" s="2146"/>
      <c r="AE90" s="2146"/>
      <c r="AF90" s="2146"/>
      <c r="AG90" s="2146"/>
      <c r="AH90" s="2146"/>
      <c r="AI90" s="2146"/>
      <c r="AJ90" s="2146"/>
      <c r="AK90" s="2146"/>
      <c r="AL90" s="2146"/>
      <c r="AM90" s="2146"/>
      <c r="AN90" s="2146"/>
      <c r="AO90" s="2146"/>
      <c r="AP90" s="2146"/>
      <c r="AR90" s="3630"/>
    </row>
    <row r="91" ht="9.2" customHeight="1" spans="3:44">
      <c r="C91" s="3614"/>
      <c r="D91" s="3614"/>
      <c r="E91" s="2104"/>
      <c r="F91" s="2146"/>
      <c r="G91" s="2146"/>
      <c r="H91" s="2146"/>
      <c r="I91" s="2146"/>
      <c r="J91" s="2146"/>
      <c r="K91" s="2146"/>
      <c r="L91" s="2146"/>
      <c r="M91" s="2146"/>
      <c r="N91" s="2146"/>
      <c r="O91" s="2146"/>
      <c r="P91" s="2146"/>
      <c r="Q91" s="2146"/>
      <c r="R91" s="2146"/>
      <c r="S91" s="2146"/>
      <c r="T91" s="2146"/>
      <c r="U91" s="2146"/>
      <c r="V91" s="2146"/>
      <c r="W91" s="2146"/>
      <c r="X91" s="2146"/>
      <c r="Y91" s="2146"/>
      <c r="Z91" s="2146"/>
      <c r="AA91" s="2146"/>
      <c r="AB91" s="2146"/>
      <c r="AC91" s="2146"/>
      <c r="AD91" s="2146"/>
      <c r="AE91" s="2146"/>
      <c r="AF91" s="2146"/>
      <c r="AG91" s="2146"/>
      <c r="AH91" s="2146"/>
      <c r="AI91" s="2146"/>
      <c r="AJ91" s="2146"/>
      <c r="AK91" s="2146"/>
      <c r="AL91" s="2146"/>
      <c r="AM91" s="2146"/>
      <c r="AN91" s="2146"/>
      <c r="AO91" s="2146"/>
      <c r="AP91" s="2146"/>
      <c r="AR91" s="3630"/>
    </row>
    <row r="92" ht="14.45" customHeight="1" spans="3:42">
      <c r="C92" s="3607" t="s">
        <v>418</v>
      </c>
      <c r="D92" s="3614"/>
      <c r="E92" s="5063" t="s">
        <v>1402</v>
      </c>
      <c r="F92" s="3607"/>
      <c r="G92" s="3607"/>
      <c r="H92" s="3607"/>
      <c r="I92" s="3607"/>
      <c r="J92" s="3607"/>
      <c r="K92" s="3607"/>
      <c r="L92" s="3607"/>
      <c r="M92" s="3607"/>
      <c r="N92" s="3607"/>
      <c r="O92" s="3607"/>
      <c r="P92" s="3607"/>
      <c r="Q92" s="3607"/>
      <c r="R92" s="3607"/>
      <c r="S92" s="3607"/>
      <c r="T92" s="3607"/>
      <c r="U92" s="3607"/>
      <c r="V92" s="3607"/>
      <c r="W92" s="3607"/>
      <c r="X92" s="3607"/>
      <c r="Y92" s="3607"/>
      <c r="Z92" s="3607"/>
      <c r="AA92" s="3607"/>
      <c r="AB92" s="3607"/>
      <c r="AC92" s="3607"/>
      <c r="AD92" s="3607"/>
      <c r="AE92" s="3607"/>
      <c r="AF92" s="3607"/>
      <c r="AG92" s="3607"/>
      <c r="AH92" s="3607"/>
      <c r="AI92"/>
      <c r="AJ92"/>
      <c r="AK92"/>
      <c r="AL92"/>
      <c r="AM92"/>
      <c r="AN92"/>
      <c r="AO92"/>
      <c r="AP92"/>
    </row>
    <row r="93" ht="9.2" customHeight="1" spans="3:81">
      <c r="C93" s="3614"/>
      <c r="D93" s="3614"/>
      <c r="E93" s="3341"/>
      <c r="F93" s="3341"/>
      <c r="G93" s="3341"/>
      <c r="H93" s="3341"/>
      <c r="I93" s="3341"/>
      <c r="J93" s="3341"/>
      <c r="K93" s="3341"/>
      <c r="L93" s="3341"/>
      <c r="M93" s="3341"/>
      <c r="N93" s="3341"/>
      <c r="O93" s="3341"/>
      <c r="P93" s="3341"/>
      <c r="Q93" s="3341"/>
      <c r="R93" s="3341"/>
      <c r="S93" s="3341"/>
      <c r="T93" s="3341"/>
      <c r="U93" s="3341"/>
      <c r="V93" s="3341"/>
      <c r="W93" s="3341"/>
      <c r="X93" s="3341"/>
      <c r="Y93" s="3341"/>
      <c r="Z93" s="3341"/>
      <c r="AA93" s="3341"/>
      <c r="AB93" s="3341"/>
      <c r="AC93" s="3341"/>
      <c r="AD93" s="3341"/>
      <c r="AE93" s="3341"/>
      <c r="AF93" s="3341"/>
      <c r="AG93" s="3341"/>
      <c r="AH93" s="3341"/>
      <c r="AI93" s="3341"/>
      <c r="AJ93" s="3341"/>
      <c r="AK93" s="3341"/>
      <c r="AL93" s="3341"/>
      <c r="AM93" s="3341"/>
      <c r="AN93" s="3341"/>
      <c r="AO93" s="3341"/>
      <c r="AP93" s="3341"/>
      <c r="BW93" s="64"/>
      <c r="BX93" s="64"/>
      <c r="CB93" s="64"/>
      <c r="CC93" s="64"/>
    </row>
    <row r="94" ht="46.5" customHeight="1" spans="3:44">
      <c r="C94" s="3614"/>
      <c r="D94" s="3614"/>
      <c r="E94" s="2104" t="s">
        <v>1403</v>
      </c>
      <c r="F94" s="2146"/>
      <c r="G94" s="2146"/>
      <c r="H94" s="2146"/>
      <c r="I94" s="2146"/>
      <c r="J94" s="2146"/>
      <c r="K94" s="2146"/>
      <c r="L94" s="2146"/>
      <c r="M94" s="2146"/>
      <c r="N94" s="2146"/>
      <c r="O94" s="2146"/>
      <c r="P94" s="2146"/>
      <c r="Q94" s="2146"/>
      <c r="R94" s="2146"/>
      <c r="S94" s="2146"/>
      <c r="T94" s="2146"/>
      <c r="U94" s="2146"/>
      <c r="V94" s="2146"/>
      <c r="W94" s="2146"/>
      <c r="X94" s="2146"/>
      <c r="Y94" s="2146"/>
      <c r="Z94" s="2146"/>
      <c r="AA94" s="2146"/>
      <c r="AB94" s="2146"/>
      <c r="AC94" s="2146"/>
      <c r="AD94" s="2146"/>
      <c r="AE94" s="2146"/>
      <c r="AF94" s="2146"/>
      <c r="AG94" s="2146"/>
      <c r="AH94" s="2146"/>
      <c r="AI94" s="2146"/>
      <c r="AJ94" s="2146"/>
      <c r="AK94" s="2146"/>
      <c r="AL94" s="2146"/>
      <c r="AM94" s="2146"/>
      <c r="AN94" s="2146"/>
      <c r="AO94" s="2146"/>
      <c r="AP94" s="2146"/>
      <c r="AR94" s="3649"/>
    </row>
    <row r="95" ht="8.45" customHeight="1" spans="3:41">
      <c r="C95" s="3614"/>
      <c r="D95" s="3614"/>
      <c r="AI95" s="3606"/>
      <c r="AJ95" s="3606"/>
      <c r="AN95" s="3606"/>
      <c r="AO95" s="3606"/>
    </row>
    <row r="96" ht="11.4" spans="3:41">
      <c r="C96" s="3614"/>
      <c r="D96" s="3614"/>
      <c r="E96" s="3631" t="s">
        <v>1404</v>
      </c>
      <c r="F96" s="3631"/>
      <c r="G96" s="3631"/>
      <c r="H96" s="3631"/>
      <c r="I96" s="3631"/>
      <c r="J96" s="3631"/>
      <c r="K96" s="3631"/>
      <c r="L96" s="3631"/>
      <c r="M96" s="3631"/>
      <c r="N96" s="3631"/>
      <c r="O96" s="3631"/>
      <c r="P96" s="3631"/>
      <c r="Q96" s="3631"/>
      <c r="R96" s="3631"/>
      <c r="S96" s="3631"/>
      <c r="T96" s="3631"/>
      <c r="W96" s="3611"/>
      <c r="X96" s="3611"/>
      <c r="Y96" s="3611"/>
      <c r="Z96" s="3644" t="s">
        <v>1405</v>
      </c>
      <c r="AA96" s="3611"/>
      <c r="AB96" s="3611"/>
      <c r="AC96" s="3611"/>
      <c r="AG96" s="3611"/>
      <c r="AH96" s="3611"/>
      <c r="AI96" s="3611"/>
      <c r="AJ96" s="3646" t="s">
        <v>233</v>
      </c>
      <c r="AK96" s="3611"/>
      <c r="AL96" s="3611"/>
      <c r="AM96" s="3611"/>
      <c r="AN96" s="3606"/>
      <c r="AO96" s="3606"/>
    </row>
    <row r="97" ht="11.4" spans="3:42">
      <c r="C97" s="3614"/>
      <c r="D97" s="3614"/>
      <c r="E97" s="3632" t="s">
        <v>1406</v>
      </c>
      <c r="F97" s="2146"/>
      <c r="G97" s="2146"/>
      <c r="H97" s="2146"/>
      <c r="I97" s="2146"/>
      <c r="J97" s="2146"/>
      <c r="K97" s="2146"/>
      <c r="L97" s="2146"/>
      <c r="M97" s="2146"/>
      <c r="N97" s="2146"/>
      <c r="O97" s="2146"/>
      <c r="P97" s="3632" t="s">
        <v>1407</v>
      </c>
      <c r="Q97" s="2146"/>
      <c r="R97" s="2146"/>
      <c r="S97" s="2146"/>
      <c r="T97" s="2146"/>
      <c r="U97" s="2146"/>
      <c r="V97" s="2146"/>
      <c r="W97" s="2146"/>
      <c r="Z97" s="3645" t="s">
        <v>1408</v>
      </c>
      <c r="AA97" s="2146"/>
      <c r="AB97" s="2146"/>
      <c r="AC97" s="2146"/>
      <c r="AD97" s="2146"/>
      <c r="AF97" s="2146"/>
      <c r="AG97" s="2146"/>
      <c r="AH97" s="2146"/>
      <c r="AI97" s="3606"/>
      <c r="AJ97" s="5064" t="s">
        <v>168</v>
      </c>
      <c r="AK97" s="2146"/>
      <c r="AL97" s="2146"/>
      <c r="AM97" s="2146"/>
      <c r="AN97" s="2146"/>
      <c r="AO97" s="2146"/>
      <c r="AP97" s="2146"/>
    </row>
    <row r="98" ht="11.4" hidden="1" spans="3:42">
      <c r="C98" s="3614"/>
      <c r="D98" s="3614"/>
      <c r="E98" s="3632" t="s">
        <v>1409</v>
      </c>
      <c r="F98" s="2146"/>
      <c r="G98" s="2146"/>
      <c r="H98" s="2146"/>
      <c r="I98" s="2146"/>
      <c r="J98" s="2146"/>
      <c r="K98" s="2146"/>
      <c r="L98" s="2146"/>
      <c r="M98" s="2146"/>
      <c r="N98" s="2146"/>
      <c r="O98" s="2146"/>
      <c r="P98" s="3632" t="s">
        <v>1410</v>
      </c>
      <c r="Q98" s="2146"/>
      <c r="R98" s="2146"/>
      <c r="S98" s="2146"/>
      <c r="T98" s="2146"/>
      <c r="U98" s="2146"/>
      <c r="V98" s="2146"/>
      <c r="W98" s="2146"/>
      <c r="Z98" s="3645" t="s">
        <v>1411</v>
      </c>
      <c r="AA98" s="2146"/>
      <c r="AB98" s="2146"/>
      <c r="AC98" s="2146"/>
      <c r="AD98" s="2146"/>
      <c r="AF98" s="2146"/>
      <c r="AG98" s="2146"/>
      <c r="AH98" s="2146"/>
      <c r="AI98" s="3606"/>
      <c r="AJ98" s="3647" t="s">
        <v>1412</v>
      </c>
      <c r="AK98" s="2146"/>
      <c r="AL98" s="2146"/>
      <c r="AM98" s="2146"/>
      <c r="AN98" s="2146"/>
      <c r="AO98" s="2146"/>
      <c r="AP98" s="2146"/>
    </row>
    <row r="99" ht="11.4" spans="3:42">
      <c r="C99" s="3614"/>
      <c r="D99" s="3614"/>
      <c r="E99" s="3632" t="s">
        <v>1413</v>
      </c>
      <c r="F99" s="2146"/>
      <c r="G99" s="2146"/>
      <c r="H99" s="2146"/>
      <c r="I99" s="2146"/>
      <c r="J99" s="2146"/>
      <c r="K99" s="2146"/>
      <c r="L99" s="2146"/>
      <c r="M99" s="2146"/>
      <c r="N99" s="2146"/>
      <c r="O99" s="2146"/>
      <c r="P99" s="3632" t="s">
        <v>1414</v>
      </c>
      <c r="Q99" s="2146"/>
      <c r="R99" s="2146"/>
      <c r="S99" s="2146"/>
      <c r="T99" s="2146"/>
      <c r="U99" s="2146"/>
      <c r="V99" s="2146"/>
      <c r="W99" s="2146"/>
      <c r="Z99" s="3645" t="s">
        <v>1418</v>
      </c>
      <c r="AA99" s="2146"/>
      <c r="AB99" s="2146"/>
      <c r="AC99" s="2146"/>
      <c r="AD99" s="2146"/>
      <c r="AF99" s="2146"/>
      <c r="AG99" s="2146"/>
      <c r="AH99" s="2146"/>
      <c r="AI99" s="3606"/>
      <c r="AJ99" s="5064" t="s">
        <v>1416</v>
      </c>
      <c r="AK99" s="2146"/>
      <c r="AL99" s="2146"/>
      <c r="AM99" s="2146"/>
      <c r="AN99" s="2146"/>
      <c r="AO99" s="2146"/>
      <c r="AP99" s="2146"/>
    </row>
    <row r="100" ht="11.4" spans="3:42">
      <c r="C100" s="3614"/>
      <c r="D100" s="3614"/>
      <c r="E100" s="3632" t="s">
        <v>1417</v>
      </c>
      <c r="F100" s="2146"/>
      <c r="G100" s="2146"/>
      <c r="H100" s="2146"/>
      <c r="I100" s="2146"/>
      <c r="J100" s="2146"/>
      <c r="K100" s="2146"/>
      <c r="L100" s="2146"/>
      <c r="M100" s="2146"/>
      <c r="N100" s="2146"/>
      <c r="O100" s="2146"/>
      <c r="P100" s="3632" t="s">
        <v>1410</v>
      </c>
      <c r="Q100" s="2146"/>
      <c r="R100" s="2146"/>
      <c r="S100" s="2146"/>
      <c r="T100" s="2146"/>
      <c r="U100" s="2146"/>
      <c r="V100" s="2146"/>
      <c r="W100" s="2146"/>
      <c r="Z100" s="3645" t="s">
        <v>1418</v>
      </c>
      <c r="AA100" s="2146"/>
      <c r="AB100" s="2146"/>
      <c r="AC100" s="2146"/>
      <c r="AD100" s="2146"/>
      <c r="AF100" s="2146"/>
      <c r="AG100" s="2146"/>
      <c r="AH100" s="2146"/>
      <c r="AI100" s="3606"/>
      <c r="AJ100" s="5064" t="s">
        <v>1419</v>
      </c>
      <c r="AK100" s="2146"/>
      <c r="AL100" s="2146"/>
      <c r="AM100" s="2146"/>
      <c r="AN100" s="2146"/>
      <c r="AO100" s="2146"/>
      <c r="AP100" s="2146"/>
    </row>
    <row r="101" ht="11.4" spans="3:42">
      <c r="C101" s="3614"/>
      <c r="D101" s="3614"/>
      <c r="E101" s="3632" t="s">
        <v>127</v>
      </c>
      <c r="F101" s="2146"/>
      <c r="G101" s="2146"/>
      <c r="H101" s="2146"/>
      <c r="I101" s="2146"/>
      <c r="J101" s="2146"/>
      <c r="K101" s="2146"/>
      <c r="L101" s="2146"/>
      <c r="M101" s="2146"/>
      <c r="N101" s="2146"/>
      <c r="O101" s="2146"/>
      <c r="P101" s="3632" t="s">
        <v>1414</v>
      </c>
      <c r="Q101" s="2146"/>
      <c r="R101" s="2146"/>
      <c r="S101" s="2146"/>
      <c r="T101" s="2146"/>
      <c r="U101" s="2146"/>
      <c r="V101" s="2146"/>
      <c r="W101" s="2146"/>
      <c r="Z101" s="3645" t="s">
        <v>1418</v>
      </c>
      <c r="AA101" s="2146"/>
      <c r="AB101" s="2146"/>
      <c r="AC101" s="2146"/>
      <c r="AD101" s="2146"/>
      <c r="AF101" s="2146"/>
      <c r="AG101" s="2146"/>
      <c r="AH101" s="2146"/>
      <c r="AI101" s="3606"/>
      <c r="AJ101" s="3647" t="s">
        <v>1472</v>
      </c>
      <c r="AK101" s="2146"/>
      <c r="AL101" s="2146"/>
      <c r="AM101" s="2146"/>
      <c r="AN101" s="2146"/>
      <c r="AO101" s="2146"/>
      <c r="AP101" s="2146"/>
    </row>
    <row r="102" ht="11.4" spans="3:42">
      <c r="C102" s="3614"/>
      <c r="D102" s="3614"/>
      <c r="E102" s="2146"/>
      <c r="F102" s="2146"/>
      <c r="G102" s="2146"/>
      <c r="H102" s="2146"/>
      <c r="I102" s="2146"/>
      <c r="J102" s="2146"/>
      <c r="K102" s="2146"/>
      <c r="L102" s="2146"/>
      <c r="M102" s="2146"/>
      <c r="N102" s="2146"/>
      <c r="O102" s="2146"/>
      <c r="P102" s="2146"/>
      <c r="Q102" s="2146"/>
      <c r="R102" s="2146"/>
      <c r="S102" s="2146"/>
      <c r="T102" s="2146"/>
      <c r="U102" s="2146"/>
      <c r="V102" s="2146"/>
      <c r="W102" s="2146"/>
      <c r="X102" s="2146"/>
      <c r="Y102" s="2146"/>
      <c r="Z102" s="2146"/>
      <c r="AA102" s="2146"/>
      <c r="AB102" s="2146"/>
      <c r="AC102" s="2146"/>
      <c r="AD102" s="2146"/>
      <c r="AE102" s="2146"/>
      <c r="AF102" s="2146"/>
      <c r="AG102" s="2146"/>
      <c r="AH102" s="2146"/>
      <c r="AI102" s="2146"/>
      <c r="AJ102" s="2146"/>
      <c r="AK102" s="2146"/>
      <c r="AL102" s="2146"/>
      <c r="AM102" s="2146"/>
      <c r="AN102" s="2146"/>
      <c r="AO102" s="2146"/>
      <c r="AP102" s="2146"/>
    </row>
    <row r="103" ht="11.4" spans="3:42">
      <c r="C103" s="3614"/>
      <c r="D103" s="3614"/>
      <c r="E103" s="2146"/>
      <c r="F103" s="2146"/>
      <c r="G103" s="2146"/>
      <c r="H103" s="2146"/>
      <c r="I103" s="2146"/>
      <c r="J103" s="2146"/>
      <c r="K103" s="2146"/>
      <c r="L103" s="2146"/>
      <c r="M103" s="2146"/>
      <c r="N103" s="2146"/>
      <c r="O103" s="2146"/>
      <c r="P103" s="2146"/>
      <c r="Q103" s="2146"/>
      <c r="R103" s="2146"/>
      <c r="S103" s="2146"/>
      <c r="T103" s="2146"/>
      <c r="U103" s="2146"/>
      <c r="V103" s="2146"/>
      <c r="W103" s="2146"/>
      <c r="X103" s="2146"/>
      <c r="Y103" s="2146"/>
      <c r="Z103" s="2146"/>
      <c r="AA103" s="2146"/>
      <c r="AB103" s="2146"/>
      <c r="AC103" s="2146"/>
      <c r="AD103" s="2146"/>
      <c r="AE103" s="2146"/>
      <c r="AF103" s="2146"/>
      <c r="AG103" s="2146"/>
      <c r="AH103" s="2146"/>
      <c r="AI103" s="2146"/>
      <c r="AJ103" s="2146"/>
      <c r="AK103" s="2146"/>
      <c r="AL103" s="2146"/>
      <c r="AM103" s="2146"/>
      <c r="AN103" s="2146"/>
      <c r="AO103" s="2146"/>
      <c r="AP103" s="2146"/>
    </row>
    <row r="104" ht="11.4" spans="3:42">
      <c r="C104" s="3614"/>
      <c r="D104" s="3614"/>
      <c r="E104" s="2146"/>
      <c r="F104" s="2146"/>
      <c r="G104" s="2146"/>
      <c r="H104" s="2146"/>
      <c r="I104" s="2146"/>
      <c r="J104" s="2146"/>
      <c r="K104" s="2146"/>
      <c r="L104" s="2146"/>
      <c r="M104" s="2146"/>
      <c r="N104" s="2146"/>
      <c r="O104" s="2146"/>
      <c r="P104" s="2146"/>
      <c r="Q104" s="2146"/>
      <c r="R104" s="2146"/>
      <c r="S104" s="2146"/>
      <c r="T104" s="2146"/>
      <c r="U104" s="2146"/>
      <c r="V104" s="2146"/>
      <c r="W104" s="2146"/>
      <c r="X104" s="2146"/>
      <c r="Y104" s="2146"/>
      <c r="Z104" s="2146"/>
      <c r="AA104" s="2146"/>
      <c r="AB104" s="2146"/>
      <c r="AC104" s="2146"/>
      <c r="AD104" s="2146"/>
      <c r="AE104" s="2146"/>
      <c r="AF104" s="2146"/>
      <c r="AG104" s="2146"/>
      <c r="AH104" s="2146"/>
      <c r="AI104" s="2146"/>
      <c r="AJ104" s="2146"/>
      <c r="AK104" s="2146"/>
      <c r="AL104" s="2146"/>
      <c r="AM104" s="2146"/>
      <c r="AN104" s="2146"/>
      <c r="AO104" s="2146"/>
      <c r="AP104" s="2146"/>
    </row>
    <row r="105" spans="3:42">
      <c r="C105" s="3607" t="s">
        <v>418</v>
      </c>
      <c r="D105" s="3614"/>
      <c r="E105" s="5063" t="s">
        <v>1420</v>
      </c>
      <c r="F105" s="2146"/>
      <c r="G105" s="2146"/>
      <c r="H105" s="2146"/>
      <c r="I105" s="2146"/>
      <c r="J105" s="2146"/>
      <c r="K105" s="2146"/>
      <c r="L105" s="2146"/>
      <c r="M105" s="2146"/>
      <c r="N105" s="2146"/>
      <c r="O105" s="2146"/>
      <c r="P105" s="2146"/>
      <c r="Q105" s="2146"/>
      <c r="R105" s="2146"/>
      <c r="S105" s="2146"/>
      <c r="T105" s="2146"/>
      <c r="U105" s="2146"/>
      <c r="V105" s="2146"/>
      <c r="W105" s="2146"/>
      <c r="X105" s="2146"/>
      <c r="Y105" s="2146"/>
      <c r="Z105" s="2146"/>
      <c r="AA105" s="2146"/>
      <c r="AB105" s="2146"/>
      <c r="AC105" s="2146"/>
      <c r="AD105" s="2146"/>
      <c r="AE105" s="2146"/>
      <c r="AF105" s="2146"/>
      <c r="AG105" s="2146"/>
      <c r="AH105" s="2146"/>
      <c r="AI105" s="2146"/>
      <c r="AJ105" s="2146"/>
      <c r="AK105" s="2146"/>
      <c r="AL105" s="2146"/>
      <c r="AM105" s="2146"/>
      <c r="AN105" s="2146"/>
      <c r="AO105" s="2146"/>
      <c r="AP105" s="2146"/>
    </row>
    <row r="106" spans="3:42">
      <c r="C106" s="3607"/>
      <c r="D106" s="3614"/>
      <c r="E106" s="3607"/>
      <c r="F106" s="2146"/>
      <c r="G106" s="2146"/>
      <c r="H106" s="2146"/>
      <c r="I106" s="2146"/>
      <c r="J106" s="2146"/>
      <c r="K106" s="2146"/>
      <c r="L106" s="2146"/>
      <c r="M106" s="2146"/>
      <c r="N106" s="2146"/>
      <c r="O106" s="2146"/>
      <c r="P106" s="2146"/>
      <c r="Q106" s="2146"/>
      <c r="R106" s="2146"/>
      <c r="S106" s="2146"/>
      <c r="T106" s="2146"/>
      <c r="U106" s="2146"/>
      <c r="V106" s="2146"/>
      <c r="W106" s="2146"/>
      <c r="X106" s="2146"/>
      <c r="Y106" s="2146"/>
      <c r="Z106" s="2146"/>
      <c r="AA106" s="2146"/>
      <c r="AB106" s="2146"/>
      <c r="AC106" s="2146"/>
      <c r="AD106" s="2146"/>
      <c r="AE106" s="2146"/>
      <c r="AF106" s="2146"/>
      <c r="AG106" s="2146"/>
      <c r="AH106" s="2146"/>
      <c r="AI106" s="2146"/>
      <c r="AJ106" s="2146"/>
      <c r="AK106" s="2146"/>
      <c r="AL106" s="2146"/>
      <c r="AM106" s="2146"/>
      <c r="AN106" s="2146"/>
      <c r="AO106" s="2146"/>
      <c r="AP106" s="2146"/>
    </row>
    <row r="107" ht="80.45" customHeight="1" spans="3:42">
      <c r="C107" s="3614"/>
      <c r="D107" s="3614"/>
      <c r="E107" s="5065" t="s">
        <v>1421</v>
      </c>
      <c r="F107" s="2146"/>
      <c r="G107" s="2146"/>
      <c r="H107" s="2146"/>
      <c r="I107" s="2146"/>
      <c r="J107" s="2146"/>
      <c r="K107" s="2146"/>
      <c r="L107" s="2146"/>
      <c r="M107" s="2146"/>
      <c r="N107" s="2146"/>
      <c r="O107" s="2146"/>
      <c r="P107" s="2146"/>
      <c r="Q107" s="2146"/>
      <c r="R107" s="2146"/>
      <c r="S107" s="2146"/>
      <c r="T107" s="2146"/>
      <c r="U107" s="2146"/>
      <c r="V107" s="2146"/>
      <c r="W107" s="2146"/>
      <c r="X107" s="2146"/>
      <c r="Y107" s="2146"/>
      <c r="Z107" s="2146"/>
      <c r="AA107" s="2146"/>
      <c r="AB107" s="2146"/>
      <c r="AC107" s="2146"/>
      <c r="AD107" s="2146"/>
      <c r="AE107" s="2146"/>
      <c r="AF107" s="2146"/>
      <c r="AG107" s="2146"/>
      <c r="AH107" s="2146"/>
      <c r="AI107" s="2146"/>
      <c r="AJ107" s="2146"/>
      <c r="AK107" s="2146"/>
      <c r="AL107" s="2146"/>
      <c r="AM107" s="2146"/>
      <c r="AN107" s="2146"/>
      <c r="AO107" s="2146"/>
      <c r="AP107" s="2146"/>
    </row>
    <row r="108" ht="9.2" customHeight="1" spans="2:44">
      <c r="B108" s="3608"/>
      <c r="D108" s="3619"/>
      <c r="E108" s="3619"/>
      <c r="F108" s="3619"/>
      <c r="G108" s="2146"/>
      <c r="H108" s="2146"/>
      <c r="I108" s="2146"/>
      <c r="J108" s="2146"/>
      <c r="K108" s="2146"/>
      <c r="L108" s="2146"/>
      <c r="M108" s="2146"/>
      <c r="N108" s="2146"/>
      <c r="O108" s="2146"/>
      <c r="P108" s="2146"/>
      <c r="Q108" s="2146"/>
      <c r="R108" s="2146"/>
      <c r="S108" s="2146"/>
      <c r="T108" s="2146"/>
      <c r="U108" s="2146"/>
      <c r="V108" s="2146"/>
      <c r="W108" s="2146"/>
      <c r="X108" s="2146"/>
      <c r="Y108" s="2146"/>
      <c r="Z108" s="2146"/>
      <c r="AA108" s="2146"/>
      <c r="AB108" s="2146"/>
      <c r="AC108" s="2146"/>
      <c r="AD108" s="2146"/>
      <c r="AE108" s="2146"/>
      <c r="AF108" s="2146"/>
      <c r="AG108" s="2146"/>
      <c r="AH108" s="2146"/>
      <c r="AR108" s="3630"/>
    </row>
    <row r="109" customHeight="1" spans="3:44">
      <c r="C109" s="3607" t="s">
        <v>422</v>
      </c>
      <c r="D109" s="3614"/>
      <c r="E109" s="5063" t="s">
        <v>1422</v>
      </c>
      <c r="F109" s="3607"/>
      <c r="G109" s="2146"/>
      <c r="H109" s="2146"/>
      <c r="I109" s="2146"/>
      <c r="J109" s="2146"/>
      <c r="K109" s="2146"/>
      <c r="L109" s="2146"/>
      <c r="M109" s="2146"/>
      <c r="N109" s="2146"/>
      <c r="O109" s="2146"/>
      <c r="P109" s="2146"/>
      <c r="Q109" s="2146"/>
      <c r="R109" s="2146"/>
      <c r="S109" s="2146"/>
      <c r="T109" s="2146"/>
      <c r="U109" s="2146"/>
      <c r="V109" s="2146"/>
      <c r="W109" s="2146"/>
      <c r="X109" s="2146"/>
      <c r="Y109" s="2146"/>
      <c r="Z109" s="2146"/>
      <c r="AA109" s="2146"/>
      <c r="AB109" s="2146"/>
      <c r="AC109" s="2146"/>
      <c r="AD109" s="2146"/>
      <c r="AE109" s="2146"/>
      <c r="AF109" s="2146"/>
      <c r="AG109" s="2146"/>
      <c r="AH109" s="2146"/>
      <c r="AR109" s="3630"/>
    </row>
    <row r="110" ht="9.2" customHeight="1" spans="3:44">
      <c r="C110" s="3614"/>
      <c r="D110" s="3614"/>
      <c r="E110" s="2146"/>
      <c r="F110" s="2146"/>
      <c r="G110" s="2146"/>
      <c r="H110" s="2146"/>
      <c r="I110" s="2146"/>
      <c r="J110" s="2146"/>
      <c r="K110" s="2146"/>
      <c r="L110" s="2146"/>
      <c r="M110" s="2146"/>
      <c r="N110" s="2146"/>
      <c r="O110" s="2146"/>
      <c r="P110" s="2146"/>
      <c r="Q110" s="2146"/>
      <c r="R110" s="2146"/>
      <c r="S110" s="2146"/>
      <c r="T110" s="2146"/>
      <c r="U110" s="2146"/>
      <c r="V110" s="2146"/>
      <c r="W110" s="2146"/>
      <c r="X110" s="2146"/>
      <c r="Y110" s="2146"/>
      <c r="Z110" s="2146"/>
      <c r="AA110" s="2146"/>
      <c r="AB110" s="2146"/>
      <c r="AC110" s="2146"/>
      <c r="AD110" s="2146"/>
      <c r="AE110" s="2146"/>
      <c r="AF110" s="2146"/>
      <c r="AG110" s="2146"/>
      <c r="AH110" s="2146"/>
      <c r="AR110" s="3630"/>
    </row>
    <row r="111" ht="24" customHeight="1" spans="3:44">
      <c r="C111" s="3614"/>
      <c r="D111" s="3614"/>
      <c r="E111" s="5066" t="s">
        <v>1423</v>
      </c>
      <c r="F111" s="3633"/>
      <c r="G111" s="3633"/>
      <c r="H111" s="3633"/>
      <c r="I111" s="3633"/>
      <c r="J111" s="3633"/>
      <c r="K111" s="3633"/>
      <c r="L111" s="3633"/>
      <c r="M111" s="3633"/>
      <c r="N111" s="3633"/>
      <c r="O111" s="3633"/>
      <c r="P111" s="3633"/>
      <c r="Q111" s="3633"/>
      <c r="R111" s="3633"/>
      <c r="S111" s="3633"/>
      <c r="T111" s="3633"/>
      <c r="U111" s="3633"/>
      <c r="V111" s="3633"/>
      <c r="W111" s="3633"/>
      <c r="X111" s="3633"/>
      <c r="Y111" s="3633"/>
      <c r="Z111" s="3633"/>
      <c r="AA111" s="3633"/>
      <c r="AB111" s="3633"/>
      <c r="AC111" s="3633"/>
      <c r="AD111" s="3633"/>
      <c r="AE111" s="3633"/>
      <c r="AF111" s="3633"/>
      <c r="AG111" s="3633"/>
      <c r="AH111" s="3633"/>
      <c r="AI111" s="3633"/>
      <c r="AJ111" s="3633"/>
      <c r="AK111" s="3633"/>
      <c r="AL111" s="3633"/>
      <c r="AM111" s="3633"/>
      <c r="AN111" s="3633"/>
      <c r="AO111" s="3633"/>
      <c r="AP111" s="3633"/>
      <c r="AR111" s="3630"/>
    </row>
    <row r="112" ht="9.2" customHeight="1" spans="3:44">
      <c r="C112" s="3614"/>
      <c r="D112" s="3614"/>
      <c r="E112" s="2146"/>
      <c r="F112" s="2146"/>
      <c r="G112" s="2146"/>
      <c r="H112" s="2146"/>
      <c r="I112" s="2146"/>
      <c r="J112" s="2146"/>
      <c r="K112" s="2146"/>
      <c r="L112" s="2146"/>
      <c r="M112" s="2146"/>
      <c r="N112" s="2146"/>
      <c r="O112" s="2146"/>
      <c r="P112" s="2146"/>
      <c r="Q112" s="2146"/>
      <c r="R112" s="2146"/>
      <c r="S112" s="2146"/>
      <c r="T112" s="2146"/>
      <c r="U112" s="2146"/>
      <c r="V112" s="2146"/>
      <c r="W112" s="2146"/>
      <c r="X112" s="2146"/>
      <c r="Y112" s="2146"/>
      <c r="Z112" s="2146"/>
      <c r="AA112" s="2146"/>
      <c r="AB112" s="2146"/>
      <c r="AC112" s="2146"/>
      <c r="AD112" s="2146"/>
      <c r="AE112" s="2146"/>
      <c r="AF112" s="2146"/>
      <c r="AG112" s="2146"/>
      <c r="AH112" s="2146"/>
      <c r="AR112" s="3630"/>
    </row>
    <row r="113" customHeight="1" spans="3:44">
      <c r="C113" s="3607" t="s">
        <v>426</v>
      </c>
      <c r="D113" s="3614"/>
      <c r="E113" s="5063" t="str">
        <f>+[85]CALK!$C$187</f>
        <v>Imbalan Kerja dan BPJS</v>
      </c>
      <c r="F113" s="3607"/>
      <c r="G113" s="2146"/>
      <c r="H113" s="2146"/>
      <c r="I113" s="2146"/>
      <c r="J113" s="2146"/>
      <c r="K113" s="2146"/>
      <c r="L113" s="2146"/>
      <c r="M113" s="2146"/>
      <c r="N113" s="2146"/>
      <c r="O113" s="2146"/>
      <c r="P113" s="2146"/>
      <c r="Q113" s="2146"/>
      <c r="R113" s="2146"/>
      <c r="S113" s="2146"/>
      <c r="T113" s="2146"/>
      <c r="U113" s="2146"/>
      <c r="V113" s="2146"/>
      <c r="W113" s="2146"/>
      <c r="X113" s="2146"/>
      <c r="Y113" s="2146"/>
      <c r="Z113" s="2146"/>
      <c r="AA113" s="2146"/>
      <c r="AB113" s="2146"/>
      <c r="AC113" s="2146"/>
      <c r="AD113" s="2146"/>
      <c r="AE113" s="2146"/>
      <c r="AF113" s="2146"/>
      <c r="AG113" s="2146"/>
      <c r="AH113" s="2146"/>
      <c r="AR113" s="3630"/>
    </row>
    <row r="114" ht="9.2" customHeight="1" spans="3:44">
      <c r="C114" s="3614"/>
      <c r="D114" s="3614"/>
      <c r="E114" s="2146"/>
      <c r="F114" s="2146"/>
      <c r="G114" s="2146"/>
      <c r="H114" s="2146"/>
      <c r="I114" s="2146"/>
      <c r="J114" s="2146"/>
      <c r="K114" s="2146"/>
      <c r="L114" s="2146"/>
      <c r="M114" s="2146"/>
      <c r="N114" s="2146"/>
      <c r="O114" s="2146"/>
      <c r="P114" s="2146"/>
      <c r="Q114" s="2146"/>
      <c r="R114" s="2146"/>
      <c r="S114" s="2146"/>
      <c r="T114" s="2146"/>
      <c r="U114" s="2146"/>
      <c r="V114" s="2146"/>
      <c r="W114" s="2146"/>
      <c r="X114" s="2146"/>
      <c r="Y114" s="2146"/>
      <c r="Z114" s="2146"/>
      <c r="AA114" s="2146"/>
      <c r="AB114" s="2146"/>
      <c r="AC114" s="2146"/>
      <c r="AD114" s="2146"/>
      <c r="AE114" s="2146"/>
      <c r="AF114" s="2146"/>
      <c r="AG114" s="2146"/>
      <c r="AH114" s="2146"/>
      <c r="AR114" s="3630"/>
    </row>
    <row r="115" ht="70.5" customHeight="1" spans="3:44">
      <c r="C115" s="3614"/>
      <c r="D115" s="3614"/>
      <c r="E115" s="5066" t="s">
        <v>1424</v>
      </c>
      <c r="F115" s="3633"/>
      <c r="G115" s="3633"/>
      <c r="H115" s="3633"/>
      <c r="I115" s="3633"/>
      <c r="J115" s="3633"/>
      <c r="K115" s="3633"/>
      <c r="L115" s="3633"/>
      <c r="M115" s="3633"/>
      <c r="N115" s="3633"/>
      <c r="O115" s="3633"/>
      <c r="P115" s="3633"/>
      <c r="Q115" s="3633"/>
      <c r="R115" s="3633"/>
      <c r="S115" s="3633"/>
      <c r="T115" s="3633"/>
      <c r="U115" s="3633"/>
      <c r="V115" s="3633"/>
      <c r="W115" s="3633"/>
      <c r="X115" s="3633"/>
      <c r="Y115" s="3633"/>
      <c r="Z115" s="3633"/>
      <c r="AA115" s="3633"/>
      <c r="AB115" s="3633"/>
      <c r="AC115" s="3633"/>
      <c r="AD115" s="3633"/>
      <c r="AE115" s="3633"/>
      <c r="AF115" s="3633"/>
      <c r="AG115" s="3633"/>
      <c r="AH115" s="3633"/>
      <c r="AI115" s="3633"/>
      <c r="AJ115" s="3633"/>
      <c r="AK115" s="3633"/>
      <c r="AL115" s="3633"/>
      <c r="AM115" s="3633"/>
      <c r="AN115" s="3633"/>
      <c r="AO115" s="3633"/>
      <c r="AP115" s="3633"/>
      <c r="AR115" s="3630"/>
    </row>
    <row r="116" ht="7.5" customHeight="1" spans="3:44">
      <c r="C116" s="3614"/>
      <c r="D116" s="3614"/>
      <c r="E116" s="2146"/>
      <c r="F116" s="2146"/>
      <c r="G116" s="2146"/>
      <c r="H116" s="2146"/>
      <c r="I116" s="2146"/>
      <c r="J116" s="2146"/>
      <c r="K116" s="2146"/>
      <c r="L116" s="2146"/>
      <c r="M116" s="2146"/>
      <c r="N116" s="2146"/>
      <c r="O116" s="2146"/>
      <c r="P116" s="2146"/>
      <c r="Q116" s="2146"/>
      <c r="R116" s="2146"/>
      <c r="S116" s="2146"/>
      <c r="T116" s="2146"/>
      <c r="U116" s="2146"/>
      <c r="V116" s="2146"/>
      <c r="W116" s="2146"/>
      <c r="X116" s="2146"/>
      <c r="Y116" s="2146"/>
      <c r="Z116" s="2146"/>
      <c r="AA116" s="2146"/>
      <c r="AB116" s="2146"/>
      <c r="AC116" s="2146"/>
      <c r="AD116" s="2146"/>
      <c r="AE116" s="2146"/>
      <c r="AF116" s="2146"/>
      <c r="AG116" s="2146"/>
      <c r="AH116" s="2146"/>
      <c r="AR116" s="3630"/>
    </row>
    <row r="117" ht="46.5" customHeight="1" spans="3:44">
      <c r="C117" s="3614"/>
      <c r="D117" s="3614"/>
      <c r="E117" s="5066" t="s">
        <v>1425</v>
      </c>
      <c r="F117" s="3633"/>
      <c r="G117" s="3633"/>
      <c r="H117" s="3633"/>
      <c r="I117" s="3633"/>
      <c r="J117" s="3633"/>
      <c r="K117" s="3633"/>
      <c r="L117" s="3633"/>
      <c r="M117" s="3633"/>
      <c r="N117" s="3633"/>
      <c r="O117" s="3633"/>
      <c r="P117" s="3633"/>
      <c r="Q117" s="3633"/>
      <c r="R117" s="3633"/>
      <c r="S117" s="3633"/>
      <c r="T117" s="3633"/>
      <c r="U117" s="3633"/>
      <c r="V117" s="3633"/>
      <c r="W117" s="3633"/>
      <c r="X117" s="3633"/>
      <c r="Y117" s="3633"/>
      <c r="Z117" s="3633"/>
      <c r="AA117" s="3633"/>
      <c r="AB117" s="3633"/>
      <c r="AC117" s="3633"/>
      <c r="AD117" s="3633"/>
      <c r="AE117" s="3633"/>
      <c r="AF117" s="3633"/>
      <c r="AG117" s="3633"/>
      <c r="AH117" s="3633"/>
      <c r="AI117" s="3633"/>
      <c r="AJ117" s="3633"/>
      <c r="AK117" s="3633"/>
      <c r="AL117" s="3633"/>
      <c r="AM117" s="3633"/>
      <c r="AN117" s="3633"/>
      <c r="AO117" s="3633"/>
      <c r="AP117" s="3633"/>
      <c r="AR117" s="3630"/>
    </row>
    <row r="118" ht="9.2" customHeight="1" spans="3:44">
      <c r="C118" s="3614"/>
      <c r="D118" s="3614"/>
      <c r="E118" s="3633"/>
      <c r="F118" s="3633"/>
      <c r="G118" s="3633"/>
      <c r="H118" s="3633"/>
      <c r="I118" s="3633"/>
      <c r="J118" s="3633"/>
      <c r="K118" s="3633"/>
      <c r="L118" s="3633"/>
      <c r="M118" s="3633"/>
      <c r="N118" s="3633"/>
      <c r="O118" s="3633"/>
      <c r="P118" s="3633"/>
      <c r="Q118" s="3633"/>
      <c r="R118" s="3633"/>
      <c r="S118" s="3633"/>
      <c r="T118" s="3633"/>
      <c r="U118" s="3633"/>
      <c r="V118" s="3633"/>
      <c r="W118" s="3633"/>
      <c r="X118" s="3633"/>
      <c r="Y118" s="3633"/>
      <c r="Z118" s="3633"/>
      <c r="AA118" s="3633"/>
      <c r="AB118" s="3633"/>
      <c r="AC118" s="3633"/>
      <c r="AD118" s="3633"/>
      <c r="AE118" s="3633"/>
      <c r="AF118" s="3633"/>
      <c r="AG118" s="3633"/>
      <c r="AH118" s="3633"/>
      <c r="AI118" s="3633"/>
      <c r="AJ118" s="3633"/>
      <c r="AK118" s="3633"/>
      <c r="AL118" s="3633"/>
      <c r="AM118" s="3633"/>
      <c r="AN118" s="3633"/>
      <c r="AO118" s="3633"/>
      <c r="AP118" s="3633"/>
      <c r="AR118" s="3630"/>
    </row>
    <row r="119" ht="45.6" customHeight="1" spans="3:44">
      <c r="C119" s="3614"/>
      <c r="D119" s="3614"/>
      <c r="E119" s="5066" t="s">
        <v>1426</v>
      </c>
      <c r="F119" s="3633"/>
      <c r="G119" s="3633"/>
      <c r="H119" s="3633"/>
      <c r="I119" s="3633"/>
      <c r="J119" s="3633"/>
      <c r="K119" s="3633"/>
      <c r="L119" s="3633"/>
      <c r="M119" s="3633"/>
      <c r="N119" s="3633"/>
      <c r="O119" s="3633"/>
      <c r="P119" s="3633"/>
      <c r="Q119" s="3633"/>
      <c r="R119" s="3633"/>
      <c r="S119" s="3633"/>
      <c r="T119" s="3633"/>
      <c r="U119" s="3633"/>
      <c r="V119" s="3633"/>
      <c r="W119" s="3633"/>
      <c r="X119" s="3633"/>
      <c r="Y119" s="3633"/>
      <c r="Z119" s="3633"/>
      <c r="AA119" s="3633"/>
      <c r="AB119" s="3633"/>
      <c r="AC119" s="3633"/>
      <c r="AD119" s="3633"/>
      <c r="AE119" s="3633"/>
      <c r="AF119" s="3633"/>
      <c r="AG119" s="3633"/>
      <c r="AH119" s="3633"/>
      <c r="AI119" s="3633"/>
      <c r="AJ119" s="3633"/>
      <c r="AK119" s="3633"/>
      <c r="AL119" s="3633"/>
      <c r="AM119" s="3633"/>
      <c r="AN119" s="3633"/>
      <c r="AO119" s="3633"/>
      <c r="AP119" s="3633"/>
      <c r="AR119" s="3630"/>
    </row>
    <row r="120" ht="9.2" customHeight="1" spans="3:44">
      <c r="C120" s="3614"/>
      <c r="D120" s="3614"/>
      <c r="E120" s="3633"/>
      <c r="F120" s="3633"/>
      <c r="G120" s="3633"/>
      <c r="H120" s="3633"/>
      <c r="I120" s="3633"/>
      <c r="J120" s="3633"/>
      <c r="K120" s="3633"/>
      <c r="L120" s="3633"/>
      <c r="M120" s="3633"/>
      <c r="N120" s="3633"/>
      <c r="O120" s="3633"/>
      <c r="P120" s="3633"/>
      <c r="Q120" s="3633"/>
      <c r="R120" s="3633"/>
      <c r="S120" s="3633"/>
      <c r="T120" s="3633"/>
      <c r="U120" s="3633"/>
      <c r="V120" s="3633"/>
      <c r="W120" s="3633"/>
      <c r="X120" s="3633"/>
      <c r="Y120" s="3633"/>
      <c r="Z120" s="3633"/>
      <c r="AA120" s="3633"/>
      <c r="AB120" s="3633"/>
      <c r="AC120" s="3633"/>
      <c r="AD120" s="3633"/>
      <c r="AE120" s="3633"/>
      <c r="AF120" s="3633"/>
      <c r="AG120" s="3633"/>
      <c r="AH120" s="3633"/>
      <c r="AI120" s="3633"/>
      <c r="AJ120" s="3633"/>
      <c r="AK120" s="3633"/>
      <c r="AL120" s="3633"/>
      <c r="AM120" s="3633"/>
      <c r="AN120" s="3633"/>
      <c r="AO120" s="3633"/>
      <c r="AP120" s="3633"/>
      <c r="AR120" s="3630"/>
    </row>
    <row r="121" spans="3:44">
      <c r="C121" s="3614"/>
      <c r="D121" s="3614"/>
      <c r="E121" s="3634" t="s">
        <v>1427</v>
      </c>
      <c r="F121" s="3635"/>
      <c r="G121" s="3635"/>
      <c r="H121" s="3635"/>
      <c r="I121" s="3635"/>
      <c r="J121" s="3635"/>
      <c r="K121" s="3641"/>
      <c r="L121" s="3635"/>
      <c r="M121" s="3642"/>
      <c r="N121" s="3642"/>
      <c r="O121" s="3643"/>
      <c r="P121" s="2146"/>
      <c r="Q121" s="2146"/>
      <c r="R121" s="2146"/>
      <c r="S121" s="2146"/>
      <c r="T121" s="2146"/>
      <c r="U121" s="2146"/>
      <c r="V121" s="2146"/>
      <c r="W121" s="2146"/>
      <c r="X121" s="2146"/>
      <c r="Y121" s="2146"/>
      <c r="Z121" s="2146"/>
      <c r="AA121" s="2146"/>
      <c r="AB121" s="2146"/>
      <c r="AC121" s="2146"/>
      <c r="AD121" s="2146"/>
      <c r="AE121" s="2146"/>
      <c r="AF121" s="2146"/>
      <c r="AG121" s="2146"/>
      <c r="AH121" s="2146"/>
      <c r="AR121" s="3630"/>
    </row>
    <row r="122" ht="9.2" customHeight="1" spans="3:44">
      <c r="C122" s="3614"/>
      <c r="D122" s="3614"/>
      <c r="E122" s="3634"/>
      <c r="F122" s="3635"/>
      <c r="G122" s="3635"/>
      <c r="H122" s="3635"/>
      <c r="I122" s="3635"/>
      <c r="J122" s="3635"/>
      <c r="K122" s="3641"/>
      <c r="L122" s="3635"/>
      <c r="M122" s="3642"/>
      <c r="N122" s="3642"/>
      <c r="O122" s="3643"/>
      <c r="P122" s="2146"/>
      <c r="Q122" s="2146"/>
      <c r="R122" s="2146"/>
      <c r="S122" s="2146"/>
      <c r="T122" s="2146"/>
      <c r="U122" s="2146"/>
      <c r="V122" s="2146"/>
      <c r="W122" s="2146"/>
      <c r="X122" s="2146"/>
      <c r="Y122" s="2146"/>
      <c r="Z122" s="2146"/>
      <c r="AA122" s="2146"/>
      <c r="AB122" s="2146"/>
      <c r="AC122" s="2146"/>
      <c r="AD122" s="2146"/>
      <c r="AE122" s="2146"/>
      <c r="AF122" s="2146"/>
      <c r="AG122" s="2146"/>
      <c r="AH122" s="2146"/>
      <c r="AR122" s="3630"/>
    </row>
    <row r="123" ht="24.95" customHeight="1" spans="3:44">
      <c r="C123" s="3614"/>
      <c r="D123" s="3614"/>
      <c r="E123" s="3636" t="s">
        <v>1428</v>
      </c>
      <c r="F123" s="3636"/>
      <c r="G123" s="3636"/>
      <c r="H123" s="3636"/>
      <c r="I123" s="3636"/>
      <c r="J123" s="3636"/>
      <c r="K123" s="3636"/>
      <c r="L123" s="3636"/>
      <c r="M123" s="3636"/>
      <c r="N123" s="3636"/>
      <c r="O123" s="3636"/>
      <c r="P123" s="3636"/>
      <c r="Q123" s="3636"/>
      <c r="R123" s="3636"/>
      <c r="S123" s="3636"/>
      <c r="T123" s="3636"/>
      <c r="U123" s="3636"/>
      <c r="V123" s="3636"/>
      <c r="W123" s="3636"/>
      <c r="X123" s="3636"/>
      <c r="Y123" s="3636"/>
      <c r="Z123" s="3636"/>
      <c r="AA123" s="3636"/>
      <c r="AB123" s="3636"/>
      <c r="AC123" s="3636"/>
      <c r="AD123" s="3636"/>
      <c r="AE123" s="3636"/>
      <c r="AF123" s="3636"/>
      <c r="AG123" s="3636"/>
      <c r="AH123" s="3636"/>
      <c r="AI123" s="3636"/>
      <c r="AJ123" s="3636"/>
      <c r="AK123" s="3636"/>
      <c r="AL123" s="3636"/>
      <c r="AM123" s="3636"/>
      <c r="AN123" s="3636"/>
      <c r="AO123" s="3636"/>
      <c r="AP123" s="3636"/>
      <c r="AR123" s="3630"/>
    </row>
    <row r="124" ht="11.4" hidden="1" spans="3:44">
      <c r="C124" s="3614"/>
      <c r="D124" s="3614"/>
      <c r="E124" s="3637" t="s">
        <v>1429</v>
      </c>
      <c r="F124" s="3638"/>
      <c r="G124" s="3638"/>
      <c r="H124" s="3638"/>
      <c r="I124" s="3638"/>
      <c r="J124" s="3638"/>
      <c r="K124" s="3638"/>
      <c r="L124" s="3638"/>
      <c r="M124" s="3638"/>
      <c r="N124" s="3638"/>
      <c r="O124" s="3638"/>
      <c r="P124" s="3341"/>
      <c r="Q124" s="3341"/>
      <c r="R124" s="3341"/>
      <c r="S124" s="3341"/>
      <c r="T124" s="3341"/>
      <c r="U124" s="3341"/>
      <c r="V124" s="3341"/>
      <c r="W124" s="3341"/>
      <c r="X124" s="3341"/>
      <c r="Y124" s="3341"/>
      <c r="Z124" s="3341"/>
      <c r="AA124" s="3341"/>
      <c r="AB124" s="3341"/>
      <c r="AC124" s="3341"/>
      <c r="AD124" s="3341"/>
      <c r="AE124" s="3341"/>
      <c r="AF124" s="3341"/>
      <c r="AG124" s="3341"/>
      <c r="AH124" s="3341"/>
      <c r="AI124" s="2635"/>
      <c r="AJ124" s="2635"/>
      <c r="AK124" s="3648"/>
      <c r="AL124" s="3648"/>
      <c r="AM124" s="3648"/>
      <c r="AN124" s="2635"/>
      <c r="AO124" s="2635"/>
      <c r="AP124" s="3648"/>
      <c r="AR124" s="3630"/>
    </row>
    <row r="125" ht="11.4" hidden="1" spans="3:44">
      <c r="C125" s="3614"/>
      <c r="D125" s="3614"/>
      <c r="E125" s="3637"/>
      <c r="F125" s="3638"/>
      <c r="G125" s="3638"/>
      <c r="H125" s="3638"/>
      <c r="I125" s="3638"/>
      <c r="J125" s="3638"/>
      <c r="K125" s="3638"/>
      <c r="L125" s="3638"/>
      <c r="M125" s="3638"/>
      <c r="N125" s="3638"/>
      <c r="O125" s="3638"/>
      <c r="P125" s="3341"/>
      <c r="Q125" s="3341"/>
      <c r="R125" s="3341"/>
      <c r="S125" s="3341"/>
      <c r="T125" s="3341"/>
      <c r="U125" s="3341"/>
      <c r="V125" s="3341"/>
      <c r="W125" s="3341"/>
      <c r="X125" s="3341"/>
      <c r="Y125" s="3341"/>
      <c r="Z125" s="3341"/>
      <c r="AA125" s="3341"/>
      <c r="AB125" s="3341"/>
      <c r="AC125" s="3341"/>
      <c r="AD125" s="3341"/>
      <c r="AE125" s="3341"/>
      <c r="AF125" s="3341"/>
      <c r="AG125" s="3341"/>
      <c r="AH125" s="3341"/>
      <c r="AI125" s="2635"/>
      <c r="AJ125" s="2635"/>
      <c r="AK125" s="3648"/>
      <c r="AL125" s="3648"/>
      <c r="AM125" s="3648"/>
      <c r="AN125" s="2635"/>
      <c r="AO125" s="2635"/>
      <c r="AP125" s="3648"/>
      <c r="AR125" s="3630"/>
    </row>
    <row r="126" ht="11.4" hidden="1" spans="3:44">
      <c r="C126" s="3614"/>
      <c r="D126" s="3614"/>
      <c r="E126" s="3639" t="s">
        <v>1430</v>
      </c>
      <c r="F126" s="3639"/>
      <c r="G126" s="3639"/>
      <c r="H126" s="3639"/>
      <c r="I126" s="3639"/>
      <c r="J126" s="3639"/>
      <c r="K126" s="3639"/>
      <c r="L126" s="3639"/>
      <c r="M126" s="3639"/>
      <c r="N126" s="3639"/>
      <c r="O126" s="3639"/>
      <c r="P126" s="3639"/>
      <c r="Q126" s="3639"/>
      <c r="R126" s="3639"/>
      <c r="S126" s="3639"/>
      <c r="T126" s="3639"/>
      <c r="U126" s="3639"/>
      <c r="V126" s="3639"/>
      <c r="W126" s="3639"/>
      <c r="X126" s="3639"/>
      <c r="Y126" s="3639"/>
      <c r="Z126" s="3639"/>
      <c r="AA126" s="3639"/>
      <c r="AB126" s="3639"/>
      <c r="AC126" s="3639"/>
      <c r="AD126" s="3639"/>
      <c r="AE126" s="3639"/>
      <c r="AF126" s="3639"/>
      <c r="AG126" s="3639"/>
      <c r="AH126" s="3639"/>
      <c r="AI126" s="3639"/>
      <c r="AJ126" s="3639"/>
      <c r="AK126" s="3639"/>
      <c r="AL126" s="3639"/>
      <c r="AM126" s="3639"/>
      <c r="AN126" s="3639"/>
      <c r="AO126" s="3639"/>
      <c r="AP126" s="3639"/>
      <c r="AR126" s="3630"/>
    </row>
    <row r="127" ht="9.2" customHeight="1" spans="3:44">
      <c r="C127" s="3614"/>
      <c r="D127" s="3614"/>
      <c r="E127" s="3640"/>
      <c r="F127" s="3640"/>
      <c r="G127" s="3640"/>
      <c r="H127" s="3640"/>
      <c r="I127" s="3640"/>
      <c r="J127" s="3640"/>
      <c r="K127" s="3640"/>
      <c r="L127" s="3640"/>
      <c r="M127" s="3640"/>
      <c r="N127" s="3640"/>
      <c r="O127" s="3640"/>
      <c r="P127" s="3640"/>
      <c r="Q127" s="3640"/>
      <c r="R127" s="3640"/>
      <c r="S127" s="3640"/>
      <c r="T127" s="3640"/>
      <c r="U127" s="3640"/>
      <c r="V127" s="3640"/>
      <c r="W127" s="3640"/>
      <c r="X127" s="3640"/>
      <c r="Y127" s="3640"/>
      <c r="Z127" s="3640"/>
      <c r="AA127" s="3640"/>
      <c r="AB127" s="3640"/>
      <c r="AC127" s="3640"/>
      <c r="AD127" s="3640"/>
      <c r="AE127" s="3640"/>
      <c r="AF127" s="3640"/>
      <c r="AG127" s="3640"/>
      <c r="AH127" s="3640"/>
      <c r="AI127" s="2635"/>
      <c r="AJ127" s="2635"/>
      <c r="AK127" s="3648"/>
      <c r="AL127" s="3648"/>
      <c r="AM127" s="3648"/>
      <c r="AN127" s="2635"/>
      <c r="AO127" s="2635"/>
      <c r="AP127" s="3648"/>
      <c r="AR127" s="3630"/>
    </row>
    <row r="128" customHeight="1" spans="3:44">
      <c r="C128" s="3607" t="s">
        <v>427</v>
      </c>
      <c r="D128" s="3614"/>
      <c r="E128" s="5063" t="s">
        <v>1431</v>
      </c>
      <c r="F128" s="3607"/>
      <c r="G128" s="2146"/>
      <c r="H128" s="2146"/>
      <c r="I128" s="2146"/>
      <c r="J128" s="2146"/>
      <c r="K128" s="2146"/>
      <c r="L128" s="2146"/>
      <c r="M128" s="2146"/>
      <c r="N128" s="2146"/>
      <c r="O128" s="2146"/>
      <c r="P128" s="2146"/>
      <c r="Q128" s="2146"/>
      <c r="R128" s="2146"/>
      <c r="S128" s="2146"/>
      <c r="T128" s="2146"/>
      <c r="U128" s="2146"/>
      <c r="V128" s="2146"/>
      <c r="W128" s="2146"/>
      <c r="X128" s="2146"/>
      <c r="Y128" s="2146"/>
      <c r="Z128" s="2146"/>
      <c r="AA128" s="2146"/>
      <c r="AB128" s="2146"/>
      <c r="AC128" s="2146"/>
      <c r="AD128" s="2146"/>
      <c r="AE128" s="2146"/>
      <c r="AF128" s="2146"/>
      <c r="AG128" s="2146"/>
      <c r="AH128" s="2146"/>
      <c r="AR128" s="3630"/>
    </row>
    <row r="129" ht="9.2" customHeight="1" spans="3:44">
      <c r="C129" s="3614"/>
      <c r="D129" s="3614"/>
      <c r="E129" s="2146"/>
      <c r="F129" s="2146"/>
      <c r="G129" s="2146"/>
      <c r="H129" s="2146"/>
      <c r="I129" s="2146"/>
      <c r="J129" s="2146"/>
      <c r="K129" s="2146"/>
      <c r="L129" s="2146"/>
      <c r="M129" s="2146"/>
      <c r="N129" s="2146"/>
      <c r="O129" s="2146"/>
      <c r="P129" s="2146"/>
      <c r="Q129" s="2146"/>
      <c r="R129" s="2146"/>
      <c r="S129" s="2146"/>
      <c r="T129" s="2146"/>
      <c r="U129" s="2146"/>
      <c r="V129" s="2146"/>
      <c r="W129" s="2146"/>
      <c r="X129" s="2146"/>
      <c r="Y129" s="2146"/>
      <c r="Z129" s="2146"/>
      <c r="AA129" s="2146"/>
      <c r="AB129" s="2146"/>
      <c r="AC129" s="2146"/>
      <c r="AD129" s="2146"/>
      <c r="AE129" s="2146"/>
      <c r="AF129" s="2146"/>
      <c r="AG129" s="2146"/>
      <c r="AH129" s="2146"/>
      <c r="AR129" s="3630"/>
    </row>
    <row r="130" ht="57.6" customHeight="1" spans="3:44">
      <c r="C130" s="3614"/>
      <c r="D130" s="3614"/>
      <c r="E130" s="5066" t="s">
        <v>1432</v>
      </c>
      <c r="F130" s="3633"/>
      <c r="G130" s="3633"/>
      <c r="H130" s="3633"/>
      <c r="I130" s="3633"/>
      <c r="J130" s="3633"/>
      <c r="K130" s="3633"/>
      <c r="L130" s="3633"/>
      <c r="M130" s="3633"/>
      <c r="N130" s="3633"/>
      <c r="O130" s="3633"/>
      <c r="P130" s="3633"/>
      <c r="Q130" s="3633"/>
      <c r="R130" s="3633"/>
      <c r="S130" s="3633"/>
      <c r="T130" s="3633"/>
      <c r="U130" s="3633"/>
      <c r="V130" s="3633"/>
      <c r="W130" s="3633"/>
      <c r="X130" s="3633"/>
      <c r="Y130" s="3633"/>
      <c r="Z130" s="3633"/>
      <c r="AA130" s="3633"/>
      <c r="AB130" s="3633"/>
      <c r="AC130" s="3633"/>
      <c r="AD130" s="3633"/>
      <c r="AE130" s="3633"/>
      <c r="AF130" s="3633"/>
      <c r="AG130" s="3633"/>
      <c r="AH130" s="3633"/>
      <c r="AI130" s="3633"/>
      <c r="AJ130" s="3633"/>
      <c r="AK130" s="3633"/>
      <c r="AL130" s="3633"/>
      <c r="AM130" s="3633"/>
      <c r="AN130" s="3633"/>
      <c r="AO130" s="3633"/>
      <c r="AP130" s="3633"/>
      <c r="AR130" s="3630" t="s">
        <v>1433</v>
      </c>
    </row>
    <row r="131" ht="8.1" customHeight="1" spans="3:44">
      <c r="C131" s="3614"/>
      <c r="D131" s="3614"/>
      <c r="E131" s="2146"/>
      <c r="F131" s="2146"/>
      <c r="G131" s="2146"/>
      <c r="H131" s="2146"/>
      <c r="I131" s="2146"/>
      <c r="J131" s="2146"/>
      <c r="K131" s="2146"/>
      <c r="L131" s="2146"/>
      <c r="M131" s="2146"/>
      <c r="N131" s="2146"/>
      <c r="O131" s="2146"/>
      <c r="P131" s="2146"/>
      <c r="Q131" s="2146"/>
      <c r="R131" s="2146"/>
      <c r="S131" s="2146"/>
      <c r="T131" s="2146"/>
      <c r="U131" s="2146"/>
      <c r="V131" s="2146"/>
      <c r="W131" s="2146"/>
      <c r="X131" s="2146"/>
      <c r="Y131" s="2146"/>
      <c r="Z131" s="2146"/>
      <c r="AA131" s="2146"/>
      <c r="AB131" s="2146"/>
      <c r="AC131" s="2146"/>
      <c r="AD131" s="2146"/>
      <c r="AE131" s="2146"/>
      <c r="AF131" s="2146"/>
      <c r="AG131" s="2146"/>
      <c r="AH131" s="2146"/>
      <c r="AR131" s="3630"/>
    </row>
    <row r="132" ht="36" customHeight="1" spans="3:44">
      <c r="C132" s="3614"/>
      <c r="D132" s="3614"/>
      <c r="E132" s="5066" t="s">
        <v>1434</v>
      </c>
      <c r="F132" s="3633"/>
      <c r="G132" s="3633"/>
      <c r="H132" s="3633"/>
      <c r="I132" s="3633"/>
      <c r="J132" s="3633"/>
      <c r="K132" s="3633"/>
      <c r="L132" s="3633"/>
      <c r="M132" s="3633"/>
      <c r="N132" s="3633"/>
      <c r="O132" s="3633"/>
      <c r="P132" s="3633"/>
      <c r="Q132" s="3633"/>
      <c r="R132" s="3633"/>
      <c r="S132" s="3633"/>
      <c r="T132" s="3633"/>
      <c r="U132" s="3633"/>
      <c r="V132" s="3633"/>
      <c r="W132" s="3633"/>
      <c r="X132" s="3633"/>
      <c r="Y132" s="3633"/>
      <c r="Z132" s="3633"/>
      <c r="AA132" s="3633"/>
      <c r="AB132" s="3633"/>
      <c r="AC132" s="3633"/>
      <c r="AD132" s="3633"/>
      <c r="AE132" s="3633"/>
      <c r="AF132" s="3633"/>
      <c r="AG132" s="3633"/>
      <c r="AH132" s="3633"/>
      <c r="AI132" s="3633"/>
      <c r="AJ132" s="3633"/>
      <c r="AK132" s="3633"/>
      <c r="AL132" s="3633"/>
      <c r="AM132" s="3633"/>
      <c r="AN132" s="3633"/>
      <c r="AO132" s="3633"/>
      <c r="AP132" s="3633"/>
      <c r="AR132" s="3630"/>
    </row>
    <row r="133" ht="7.5" customHeight="1"/>
    <row r="134" ht="44.45" customHeight="1" spans="5:42">
      <c r="E134" s="5066" t="s">
        <v>1435</v>
      </c>
      <c r="F134" s="3633"/>
      <c r="G134" s="3633"/>
      <c r="H134" s="3633"/>
      <c r="I134" s="3633"/>
      <c r="J134" s="3633"/>
      <c r="K134" s="3633"/>
      <c r="L134" s="3633"/>
      <c r="M134" s="3633"/>
      <c r="N134" s="3633"/>
      <c r="O134" s="3633"/>
      <c r="P134" s="3633"/>
      <c r="Q134" s="3633"/>
      <c r="R134" s="3633"/>
      <c r="S134" s="3633"/>
      <c r="T134" s="3633"/>
      <c r="U134" s="3633"/>
      <c r="V134" s="3633"/>
      <c r="W134" s="3633"/>
      <c r="X134" s="3633"/>
      <c r="Y134" s="3633"/>
      <c r="Z134" s="3633"/>
      <c r="AA134" s="3633"/>
      <c r="AB134" s="3633"/>
      <c r="AC134" s="3633"/>
      <c r="AD134" s="3633"/>
      <c r="AE134" s="3633"/>
      <c r="AF134" s="3633"/>
      <c r="AG134" s="3633"/>
      <c r="AH134" s="3633"/>
      <c r="AI134" s="3633"/>
      <c r="AJ134" s="3633"/>
      <c r="AK134" s="3633"/>
      <c r="AL134" s="3633"/>
      <c r="AM134" s="3633"/>
      <c r="AN134" s="3633"/>
      <c r="AO134" s="3633"/>
      <c r="AP134" s="3633"/>
    </row>
    <row r="136" customHeight="1" spans="3:14">
      <c r="C136" s="3650"/>
      <c r="E136" s="3616"/>
      <c r="F136" s="3632"/>
      <c r="G136" s="3632"/>
      <c r="H136" s="3632"/>
      <c r="I136" s="3632"/>
      <c r="J136" s="3665"/>
      <c r="K136" s="3632"/>
      <c r="L136" s="3666"/>
      <c r="M136" s="3666"/>
      <c r="N136" s="3667"/>
    </row>
    <row r="137" ht="10.5" customHeight="1" spans="3:14">
      <c r="C137" s="3632"/>
      <c r="D137" s="3632"/>
      <c r="E137" s="3616"/>
      <c r="F137" s="3632"/>
      <c r="G137" s="3632"/>
      <c r="H137" s="3632"/>
      <c r="I137" s="3632"/>
      <c r="J137" s="3665"/>
      <c r="K137" s="3632"/>
      <c r="L137" s="3666"/>
      <c r="M137" s="3666"/>
      <c r="N137" s="3667"/>
    </row>
    <row r="138" customHeight="1" spans="3:42">
      <c r="C138" s="3632"/>
      <c r="E138" s="3616"/>
      <c r="F138" s="3632"/>
      <c r="G138" s="3651"/>
      <c r="H138" s="3651"/>
      <c r="I138" s="3651"/>
      <c r="J138" s="3651"/>
      <c r="K138" s="3651"/>
      <c r="L138" s="3651"/>
      <c r="M138" s="3651"/>
      <c r="N138" s="3651"/>
      <c r="O138" s="3651"/>
      <c r="P138" s="3651"/>
      <c r="Q138" s="3651"/>
      <c r="R138" s="3651"/>
      <c r="S138" s="3651"/>
      <c r="T138" s="3651"/>
      <c r="U138" s="3651"/>
      <c r="V138" s="3651"/>
      <c r="W138" s="3651"/>
      <c r="X138" s="3651"/>
      <c r="Y138" s="3651"/>
      <c r="Z138" s="3651"/>
      <c r="AA138" s="3651"/>
      <c r="AB138" s="3651"/>
      <c r="AC138" s="3651"/>
      <c r="AD138" s="3651"/>
      <c r="AE138" s="3651"/>
      <c r="AF138" s="3651"/>
      <c r="AG138" s="3651"/>
      <c r="AH138" s="3651"/>
      <c r="AI138" s="3651"/>
      <c r="AJ138" s="3651"/>
      <c r="AK138" s="3651"/>
      <c r="AL138" s="3651"/>
      <c r="AM138" s="3651"/>
      <c r="AN138" s="3651"/>
      <c r="AO138" s="3651"/>
      <c r="AP138" s="3651"/>
    </row>
    <row r="139" customHeight="1" spans="3:42">
      <c r="C139" s="3632"/>
      <c r="D139" s="3640"/>
      <c r="E139" s="3651"/>
      <c r="F139" s="3651"/>
      <c r="G139" s="3651"/>
      <c r="H139" s="3651"/>
      <c r="I139" s="3651"/>
      <c r="J139" s="3651"/>
      <c r="K139" s="3651"/>
      <c r="L139" s="3651"/>
      <c r="M139" s="3651"/>
      <c r="N139" s="3651"/>
      <c r="O139" s="3651"/>
      <c r="P139" s="3651"/>
      <c r="Q139" s="3651"/>
      <c r="R139" s="3651"/>
      <c r="S139" s="3651"/>
      <c r="T139" s="3651"/>
      <c r="U139" s="3651"/>
      <c r="V139" s="3651"/>
      <c r="W139" s="3651"/>
      <c r="X139" s="3651"/>
      <c r="Y139" s="3651"/>
      <c r="Z139" s="3651"/>
      <c r="AA139" s="3651"/>
      <c r="AB139" s="3651"/>
      <c r="AC139" s="3651"/>
      <c r="AD139" s="3651"/>
      <c r="AE139" s="3651"/>
      <c r="AF139" s="3651"/>
      <c r="AG139" s="3651"/>
      <c r="AH139" s="3651"/>
      <c r="AI139" s="3651"/>
      <c r="AJ139" s="3651"/>
      <c r="AK139" s="3651"/>
      <c r="AL139" s="3651"/>
      <c r="AM139" s="3651"/>
      <c r="AN139" s="3651"/>
      <c r="AO139" s="3651"/>
      <c r="AP139" s="3651"/>
    </row>
    <row r="140" hidden="1" customHeight="1" spans="3:42">
      <c r="C140" s="3632"/>
      <c r="E140" s="3652" t="s">
        <v>1436</v>
      </c>
      <c r="F140" s="3339"/>
      <c r="G140" s="3339"/>
      <c r="H140" s="3339"/>
      <c r="I140" s="3339"/>
      <c r="J140" s="3339"/>
      <c r="K140" s="3339"/>
      <c r="L140" s="3339"/>
      <c r="M140" s="3339"/>
      <c r="N140" s="3339"/>
      <c r="O140" s="3339"/>
      <c r="P140" s="3339"/>
      <c r="Q140" s="3339"/>
      <c r="R140" s="3339"/>
      <c r="S140" s="3339"/>
      <c r="T140" s="3339"/>
      <c r="U140" s="3339"/>
      <c r="V140" s="3339"/>
      <c r="W140" s="3339"/>
      <c r="X140" s="3339"/>
      <c r="Y140" s="3339"/>
      <c r="Z140" s="3339"/>
      <c r="AA140" s="3339"/>
      <c r="AB140" s="3339"/>
      <c r="AC140" s="3339"/>
      <c r="AD140" s="3339"/>
      <c r="AE140" s="3339"/>
      <c r="AF140" s="3339"/>
      <c r="AG140" s="3339"/>
      <c r="AH140" s="3339"/>
      <c r="AI140" s="3339"/>
      <c r="AJ140" s="3339"/>
      <c r="AK140" s="3339"/>
      <c r="AL140" s="3339"/>
      <c r="AM140" s="3339"/>
      <c r="AN140" s="3339"/>
      <c r="AO140" s="3339"/>
      <c r="AP140" s="3339"/>
    </row>
    <row r="141" hidden="1" customHeight="1" spans="3:42">
      <c r="C141" s="3632"/>
      <c r="D141" s="3640"/>
      <c r="E141" s="3339"/>
      <c r="F141" s="3339"/>
      <c r="G141" s="3339"/>
      <c r="H141" s="3339"/>
      <c r="I141" s="3339"/>
      <c r="J141" s="3339"/>
      <c r="K141" s="3339"/>
      <c r="L141" s="3339"/>
      <c r="M141" s="3339"/>
      <c r="N141" s="3339"/>
      <c r="O141" s="3339"/>
      <c r="P141" s="3339"/>
      <c r="Q141" s="3339"/>
      <c r="R141" s="3339"/>
      <c r="S141" s="3339"/>
      <c r="T141" s="3339"/>
      <c r="U141" s="3339"/>
      <c r="V141" s="3339"/>
      <c r="W141" s="3339"/>
      <c r="X141" s="3339"/>
      <c r="Y141" s="3339"/>
      <c r="Z141" s="3339"/>
      <c r="AA141" s="3339"/>
      <c r="AB141" s="3339"/>
      <c r="AC141" s="3339"/>
      <c r="AD141" s="3339"/>
      <c r="AE141" s="3339"/>
      <c r="AF141" s="3339"/>
      <c r="AG141" s="3339"/>
      <c r="AH141" s="3339"/>
      <c r="AI141" s="3339"/>
      <c r="AJ141" s="3339"/>
      <c r="AK141" s="3339"/>
      <c r="AL141" s="3339"/>
      <c r="AM141" s="3339"/>
      <c r="AN141" s="3339"/>
      <c r="AO141" s="3339"/>
      <c r="AP141" s="3339"/>
    </row>
    <row r="142" customHeight="1" spans="3:42">
      <c r="C142" s="3632"/>
      <c r="D142" s="3640"/>
      <c r="E142" s="3339"/>
      <c r="F142" s="3339"/>
      <c r="G142" s="3339"/>
      <c r="H142" s="3339"/>
      <c r="I142" s="3339"/>
      <c r="J142" s="3339"/>
      <c r="K142" s="3339"/>
      <c r="L142" s="3339"/>
      <c r="M142" s="3339"/>
      <c r="N142" s="3339"/>
      <c r="O142" s="3339"/>
      <c r="P142" s="3339"/>
      <c r="Q142" s="3339"/>
      <c r="R142" s="3339"/>
      <c r="S142" s="3339"/>
      <c r="T142" s="3339"/>
      <c r="U142" s="3339"/>
      <c r="V142" s="3339"/>
      <c r="W142" s="3339"/>
      <c r="X142" s="3339"/>
      <c r="Y142" s="3339"/>
      <c r="Z142" s="3339"/>
      <c r="AA142" s="3339"/>
      <c r="AB142" s="3339"/>
      <c r="AC142" s="3339"/>
      <c r="AD142" s="3339"/>
      <c r="AE142" s="3339"/>
      <c r="AF142" s="3339"/>
      <c r="AG142" s="3339"/>
      <c r="AH142" s="3339"/>
      <c r="AI142" s="3339"/>
      <c r="AJ142" s="3339"/>
      <c r="AK142" s="3339"/>
      <c r="AL142" s="3339"/>
      <c r="AM142" s="3339"/>
      <c r="AN142" s="3339"/>
      <c r="AO142" s="3339"/>
      <c r="AP142" s="3339"/>
    </row>
    <row r="143" customHeight="1" spans="3:14">
      <c r="C143" s="3632"/>
      <c r="D143" s="2146"/>
      <c r="E143" s="2146"/>
      <c r="F143" s="2146"/>
      <c r="G143" s="2146"/>
      <c r="H143" s="2146"/>
      <c r="I143" s="2146"/>
      <c r="J143" s="2146"/>
      <c r="K143" s="2146"/>
      <c r="L143" s="2146"/>
      <c r="M143" s="2146"/>
      <c r="N143" s="2146"/>
    </row>
    <row r="144" customHeight="1" spans="3:14">
      <c r="C144" s="5067" t="s">
        <v>430</v>
      </c>
      <c r="E144" s="3616" t="s">
        <v>1437</v>
      </c>
      <c r="F144" s="3632"/>
      <c r="G144" s="3632"/>
      <c r="H144" s="3632"/>
      <c r="I144" s="3632"/>
      <c r="J144" s="3665"/>
      <c r="K144" s="3632"/>
      <c r="L144" s="3666"/>
      <c r="M144" s="3666"/>
      <c r="N144" s="3667"/>
    </row>
    <row r="145" customHeight="1" spans="3:14">
      <c r="C145" s="3632"/>
      <c r="D145" s="3632"/>
      <c r="E145" s="3632"/>
      <c r="F145" s="3632"/>
      <c r="G145" s="3632"/>
      <c r="H145" s="3632"/>
      <c r="I145" s="3632"/>
      <c r="J145" s="3665"/>
      <c r="K145" s="3632"/>
      <c r="L145" s="3666"/>
      <c r="M145" s="3666"/>
      <c r="N145" s="3667"/>
    </row>
    <row r="146" customHeight="1" spans="3:42">
      <c r="C146" s="3632"/>
      <c r="E146" s="3652" t="s">
        <v>1438</v>
      </c>
      <c r="F146" s="3652"/>
      <c r="G146" s="3652"/>
      <c r="H146" s="3652"/>
      <c r="I146" s="3652"/>
      <c r="J146" s="3652"/>
      <c r="K146" s="3652"/>
      <c r="L146" s="3652"/>
      <c r="M146" s="3652"/>
      <c r="N146" s="3652"/>
      <c r="O146" s="3652"/>
      <c r="P146" s="3652"/>
      <c r="Q146" s="3652"/>
      <c r="R146" s="3652"/>
      <c r="S146" s="3652"/>
      <c r="T146" s="3652"/>
      <c r="U146" s="3652"/>
      <c r="V146" s="3652"/>
      <c r="W146" s="3652"/>
      <c r="X146" s="3652"/>
      <c r="Y146" s="3652"/>
      <c r="Z146" s="3652"/>
      <c r="AA146" s="3652"/>
      <c r="AB146" s="3652"/>
      <c r="AC146" s="3652"/>
      <c r="AD146" s="3652"/>
      <c r="AE146" s="3652"/>
      <c r="AF146" s="3652"/>
      <c r="AG146" s="3652"/>
      <c r="AH146" s="3652"/>
      <c r="AI146" s="3652"/>
      <c r="AJ146" s="3652"/>
      <c r="AK146" s="3652"/>
      <c r="AL146" s="3652"/>
      <c r="AM146" s="3652"/>
      <c r="AN146" s="3652"/>
      <c r="AO146" s="3652"/>
      <c r="AP146" s="3652"/>
    </row>
    <row r="147" customHeight="1" spans="3:42">
      <c r="C147" s="3632"/>
      <c r="E147" s="3652"/>
      <c r="F147" s="3652"/>
      <c r="G147" s="3652"/>
      <c r="H147" s="3652"/>
      <c r="I147" s="3652"/>
      <c r="J147" s="3652"/>
      <c r="K147" s="3652"/>
      <c r="L147" s="3652"/>
      <c r="M147" s="3652"/>
      <c r="N147" s="3652"/>
      <c r="O147" s="3652"/>
      <c r="P147" s="3652"/>
      <c r="Q147" s="3652"/>
      <c r="R147" s="3652"/>
      <c r="S147" s="3652"/>
      <c r="T147" s="3652"/>
      <c r="U147" s="3652"/>
      <c r="V147" s="3652"/>
      <c r="W147" s="3652"/>
      <c r="X147" s="3652"/>
      <c r="Y147" s="3652"/>
      <c r="Z147" s="3652"/>
      <c r="AA147" s="3652"/>
      <c r="AB147" s="3652"/>
      <c r="AC147" s="3652"/>
      <c r="AD147" s="3652"/>
      <c r="AE147" s="3652"/>
      <c r="AF147" s="3652"/>
      <c r="AG147" s="3652"/>
      <c r="AH147" s="3652"/>
      <c r="AI147" s="3652"/>
      <c r="AJ147" s="3652"/>
      <c r="AK147" s="3652"/>
      <c r="AL147" s="3652"/>
      <c r="AM147" s="3652"/>
      <c r="AN147" s="3652"/>
      <c r="AO147" s="3652"/>
      <c r="AP147" s="3652"/>
    </row>
    <row r="148" customHeight="1" spans="3:42">
      <c r="C148" s="3632"/>
      <c r="E148" s="3652"/>
      <c r="F148" s="3652"/>
      <c r="G148" s="3652"/>
      <c r="H148" s="3652"/>
      <c r="I148" s="3652"/>
      <c r="J148" s="3652"/>
      <c r="K148" s="3652"/>
      <c r="L148" s="3652"/>
      <c r="M148" s="3652"/>
      <c r="N148" s="3652"/>
      <c r="O148" s="3652"/>
      <c r="P148" s="3652"/>
      <c r="Q148" s="3652"/>
      <c r="R148" s="3652"/>
      <c r="S148" s="3652"/>
      <c r="T148" s="3652"/>
      <c r="U148" s="3652"/>
      <c r="V148" s="3652"/>
      <c r="W148" s="3652"/>
      <c r="X148" s="3652"/>
      <c r="Y148" s="3652"/>
      <c r="Z148" s="3652"/>
      <c r="AA148" s="3652"/>
      <c r="AB148" s="3652"/>
      <c r="AC148" s="3652"/>
      <c r="AD148" s="3652"/>
      <c r="AE148" s="3652"/>
      <c r="AF148" s="3652"/>
      <c r="AG148" s="3652"/>
      <c r="AH148" s="3652"/>
      <c r="AI148" s="3652"/>
      <c r="AJ148" s="3652"/>
      <c r="AK148" s="3652"/>
      <c r="AL148" s="3652"/>
      <c r="AM148" s="3652"/>
      <c r="AN148" s="3652"/>
      <c r="AO148" s="3652"/>
      <c r="AP148" s="3652"/>
    </row>
    <row r="149" ht="9" customHeight="1" spans="3:14">
      <c r="C149" s="3632"/>
      <c r="E149" s="3632"/>
      <c r="F149" s="3632"/>
      <c r="G149" s="3632"/>
      <c r="H149" s="3632"/>
      <c r="I149" s="3632"/>
      <c r="J149" s="3665"/>
      <c r="K149" s="3632"/>
      <c r="L149" s="3666"/>
      <c r="M149" s="3666"/>
      <c r="N149" s="3667"/>
    </row>
    <row r="150" customHeight="1" spans="3:42">
      <c r="C150" s="3632"/>
      <c r="E150" s="3652" t="s">
        <v>1439</v>
      </c>
      <c r="F150" s="3339"/>
      <c r="G150" s="3339"/>
      <c r="H150" s="3339"/>
      <c r="I150" s="3339"/>
      <c r="J150" s="3339"/>
      <c r="K150" s="3339"/>
      <c r="L150" s="3339"/>
      <c r="M150" s="3339"/>
      <c r="N150" s="3339"/>
      <c r="O150" s="3339"/>
      <c r="P150" s="3339"/>
      <c r="Q150" s="3339"/>
      <c r="R150" s="3339"/>
      <c r="S150" s="3339"/>
      <c r="T150" s="3339"/>
      <c r="U150" s="3339"/>
      <c r="V150" s="3339"/>
      <c r="W150" s="3339"/>
      <c r="X150" s="3339"/>
      <c r="Y150" s="3339"/>
      <c r="Z150" s="3339"/>
      <c r="AA150" s="3339"/>
      <c r="AB150" s="3339"/>
      <c r="AC150" s="3339"/>
      <c r="AD150" s="3339"/>
      <c r="AE150" s="3339"/>
      <c r="AF150" s="3339"/>
      <c r="AG150" s="3339"/>
      <c r="AH150" s="3339"/>
      <c r="AI150" s="3339"/>
      <c r="AJ150" s="3339"/>
      <c r="AK150" s="3339"/>
      <c r="AL150" s="3339"/>
      <c r="AM150" s="3339"/>
      <c r="AN150" s="3339"/>
      <c r="AO150" s="3339"/>
      <c r="AP150" s="3339"/>
    </row>
    <row r="151" customHeight="1" spans="3:42">
      <c r="C151" s="3632"/>
      <c r="D151" s="3651"/>
      <c r="E151" s="3339"/>
      <c r="F151" s="3339"/>
      <c r="G151" s="3339"/>
      <c r="H151" s="3339"/>
      <c r="I151" s="3339"/>
      <c r="J151" s="3339"/>
      <c r="K151" s="3339"/>
      <c r="L151" s="3339"/>
      <c r="M151" s="3339"/>
      <c r="N151" s="3339"/>
      <c r="O151" s="3339"/>
      <c r="P151" s="3339"/>
      <c r="Q151" s="3339"/>
      <c r="R151" s="3339"/>
      <c r="S151" s="3339"/>
      <c r="T151" s="3339"/>
      <c r="U151" s="3339"/>
      <c r="V151" s="3339"/>
      <c r="W151" s="3339"/>
      <c r="X151" s="3339"/>
      <c r="Y151" s="3339"/>
      <c r="Z151" s="3339"/>
      <c r="AA151" s="3339"/>
      <c r="AB151" s="3339"/>
      <c r="AC151" s="3339"/>
      <c r="AD151" s="3339"/>
      <c r="AE151" s="3339"/>
      <c r="AF151" s="3339"/>
      <c r="AG151" s="3339"/>
      <c r="AH151" s="3339"/>
      <c r="AI151" s="3339"/>
      <c r="AJ151" s="3339"/>
      <c r="AK151" s="3339"/>
      <c r="AL151" s="3339"/>
      <c r="AM151" s="3339"/>
      <c r="AN151" s="3339"/>
      <c r="AO151" s="3339"/>
      <c r="AP151" s="3339"/>
    </row>
    <row r="152" customHeight="1" spans="3:42">
      <c r="C152" s="3632"/>
      <c r="D152" s="3651"/>
      <c r="E152" s="3339"/>
      <c r="F152" s="3339"/>
      <c r="G152" s="3339"/>
      <c r="H152" s="3339"/>
      <c r="I152" s="3339"/>
      <c r="J152" s="3339"/>
      <c r="K152" s="3339"/>
      <c r="L152" s="3339"/>
      <c r="M152" s="3339"/>
      <c r="N152" s="3339"/>
      <c r="O152" s="3339"/>
      <c r="P152" s="3339"/>
      <c r="Q152" s="3339"/>
      <c r="R152" s="3339"/>
      <c r="S152" s="3339"/>
      <c r="T152" s="3339"/>
      <c r="U152" s="3339"/>
      <c r="V152" s="3339"/>
      <c r="W152" s="3339"/>
      <c r="X152" s="3339"/>
      <c r="Y152" s="3339"/>
      <c r="Z152" s="3339"/>
      <c r="AA152" s="3339"/>
      <c r="AB152" s="3339"/>
      <c r="AC152" s="3339"/>
      <c r="AD152" s="3339"/>
      <c r="AE152" s="3339"/>
      <c r="AF152" s="3339"/>
      <c r="AG152" s="3339"/>
      <c r="AH152" s="3339"/>
      <c r="AI152" s="3339"/>
      <c r="AJ152" s="3339"/>
      <c r="AK152" s="3339"/>
      <c r="AL152" s="3339"/>
      <c r="AM152" s="3339"/>
      <c r="AN152" s="3339"/>
      <c r="AO152" s="3339"/>
      <c r="AP152" s="3339"/>
    </row>
    <row r="153" customHeight="1" spans="3:42">
      <c r="C153" s="3632"/>
      <c r="D153" s="3651"/>
      <c r="E153" s="3339"/>
      <c r="F153" s="3339"/>
      <c r="G153" s="3339"/>
      <c r="H153" s="3339"/>
      <c r="I153" s="3339"/>
      <c r="J153" s="3339"/>
      <c r="K153" s="3339"/>
      <c r="L153" s="3339"/>
      <c r="M153" s="3339"/>
      <c r="N153" s="3339"/>
      <c r="O153" s="3339"/>
      <c r="P153" s="3339"/>
      <c r="Q153" s="3339"/>
      <c r="R153" s="3339"/>
      <c r="S153" s="3339"/>
      <c r="T153" s="3339"/>
      <c r="U153" s="3339"/>
      <c r="V153" s="3339"/>
      <c r="W153" s="3339"/>
      <c r="X153" s="3339"/>
      <c r="Y153" s="3339"/>
      <c r="Z153" s="3339"/>
      <c r="AA153" s="3339"/>
      <c r="AB153" s="3339"/>
      <c r="AC153" s="3339"/>
      <c r="AD153" s="3339"/>
      <c r="AE153" s="3339"/>
      <c r="AF153" s="3339"/>
      <c r="AG153" s="3339"/>
      <c r="AH153" s="3339"/>
      <c r="AI153" s="3339"/>
      <c r="AJ153" s="3339"/>
      <c r="AK153" s="3339"/>
      <c r="AL153" s="3339"/>
      <c r="AM153" s="3339"/>
      <c r="AN153" s="3339"/>
      <c r="AO153" s="3339"/>
      <c r="AP153" s="3339"/>
    </row>
    <row r="154" ht="9.6" customHeight="1" spans="3:14">
      <c r="C154" s="3632"/>
      <c r="D154" s="3652"/>
      <c r="E154" s="3652"/>
      <c r="F154" s="3652"/>
      <c r="G154" s="3652"/>
      <c r="H154" s="3652"/>
      <c r="I154" s="3652"/>
      <c r="J154" s="3652"/>
      <c r="K154" s="3652"/>
      <c r="L154" s="3652"/>
      <c r="M154" s="3652"/>
      <c r="N154" s="3652"/>
    </row>
    <row r="155" customHeight="1" spans="3:14">
      <c r="C155" s="3632"/>
      <c r="E155" s="3632" t="s">
        <v>1473</v>
      </c>
      <c r="F155" s="3632"/>
      <c r="G155" s="3632"/>
      <c r="H155" s="3632"/>
      <c r="I155" s="3632"/>
      <c r="J155" s="3665"/>
      <c r="K155" s="3632"/>
      <c r="L155" s="3666"/>
      <c r="M155" s="3666"/>
      <c r="N155" s="3667"/>
    </row>
    <row r="156" ht="5.45" customHeight="1" spans="3:14">
      <c r="C156" s="3632"/>
      <c r="D156" s="3632"/>
      <c r="E156" s="3632"/>
      <c r="F156" s="3632"/>
      <c r="G156" s="3632"/>
      <c r="H156" s="3632"/>
      <c r="I156" s="3632"/>
      <c r="J156" s="3665"/>
      <c r="K156" s="3632"/>
      <c r="L156" s="3666"/>
      <c r="M156" s="3666"/>
      <c r="N156" s="3667"/>
    </row>
    <row r="157" spans="3:14">
      <c r="C157" s="3632"/>
      <c r="E157" s="3653" t="s">
        <v>1441</v>
      </c>
      <c r="F157" s="3654"/>
      <c r="G157" s="3654"/>
      <c r="H157" s="3654"/>
      <c r="I157" s="3654"/>
      <c r="J157" s="3654"/>
      <c r="K157" s="3654"/>
      <c r="L157" s="3654"/>
      <c r="M157" s="3654"/>
      <c r="N157" s="3654"/>
    </row>
    <row r="158" customHeight="1" spans="3:42">
      <c r="C158" s="3632"/>
      <c r="D158" s="3652"/>
      <c r="E158" s="3655" t="s">
        <v>1442</v>
      </c>
      <c r="G158" s="3656" t="s">
        <v>1443</v>
      </c>
      <c r="H158" s="3339"/>
      <c r="I158" s="3339"/>
      <c r="J158" s="3339"/>
      <c r="K158" s="3339"/>
      <c r="L158" s="3339"/>
      <c r="M158" s="3339"/>
      <c r="N158" s="3339"/>
      <c r="O158" s="3339"/>
      <c r="P158" s="3339"/>
      <c r="Q158" s="3339"/>
      <c r="R158" s="3339"/>
      <c r="S158" s="3339"/>
      <c r="T158" s="3339"/>
      <c r="U158" s="3339"/>
      <c r="V158" s="3339"/>
      <c r="W158" s="3339"/>
      <c r="X158" s="3339"/>
      <c r="Y158" s="3339"/>
      <c r="Z158" s="3339"/>
      <c r="AA158" s="3339"/>
      <c r="AB158" s="3339"/>
      <c r="AC158" s="3339"/>
      <c r="AD158" s="3339"/>
      <c r="AE158" s="3339"/>
      <c r="AF158" s="3339"/>
      <c r="AG158" s="3339"/>
      <c r="AH158" s="3339"/>
      <c r="AI158" s="3339"/>
      <c r="AJ158" s="3339"/>
      <c r="AK158" s="3339"/>
      <c r="AL158" s="3339"/>
      <c r="AM158" s="3339"/>
      <c r="AN158" s="3339"/>
      <c r="AO158" s="3339"/>
      <c r="AP158" s="3339"/>
    </row>
    <row r="159" customHeight="1" spans="3:42">
      <c r="C159" s="3632"/>
      <c r="D159" s="3652"/>
      <c r="E159" s="3655"/>
      <c r="G159" s="3339"/>
      <c r="H159" s="3339"/>
      <c r="I159" s="3339"/>
      <c r="J159" s="3339"/>
      <c r="K159" s="3339"/>
      <c r="L159" s="3339"/>
      <c r="M159" s="3339"/>
      <c r="N159" s="3339"/>
      <c r="O159" s="3339"/>
      <c r="P159" s="3339"/>
      <c r="Q159" s="3339"/>
      <c r="R159" s="3339"/>
      <c r="S159" s="3339"/>
      <c r="T159" s="3339"/>
      <c r="U159" s="3339"/>
      <c r="V159" s="3339"/>
      <c r="W159" s="3339"/>
      <c r="X159" s="3339"/>
      <c r="Y159" s="3339"/>
      <c r="Z159" s="3339"/>
      <c r="AA159" s="3339"/>
      <c r="AB159" s="3339"/>
      <c r="AC159" s="3339"/>
      <c r="AD159" s="3339"/>
      <c r="AE159" s="3339"/>
      <c r="AF159" s="3339"/>
      <c r="AG159" s="3339"/>
      <c r="AH159" s="3339"/>
      <c r="AI159" s="3339"/>
      <c r="AJ159" s="3339"/>
      <c r="AK159" s="3339"/>
      <c r="AL159" s="3339"/>
      <c r="AM159" s="3339"/>
      <c r="AN159" s="3339"/>
      <c r="AO159" s="3339"/>
      <c r="AP159" s="3339"/>
    </row>
    <row r="160" customHeight="1" spans="3:14">
      <c r="C160" s="3632"/>
      <c r="D160" s="3652"/>
      <c r="E160" s="3655" t="s">
        <v>1444</v>
      </c>
      <c r="G160" s="3638" t="s">
        <v>1445</v>
      </c>
      <c r="H160" s="3657"/>
      <c r="I160" s="3657"/>
      <c r="J160" s="3657"/>
      <c r="K160" s="3657"/>
      <c r="L160" s="3657"/>
      <c r="M160" s="3657"/>
      <c r="N160" s="3657"/>
    </row>
    <row r="161" customHeight="1" spans="3:14">
      <c r="C161" s="3632"/>
      <c r="D161" s="3652"/>
      <c r="E161" s="3655" t="s">
        <v>1446</v>
      </c>
      <c r="G161" s="3638" t="s">
        <v>1447</v>
      </c>
      <c r="H161" s="3657"/>
      <c r="I161" s="3657"/>
      <c r="J161" s="3657"/>
      <c r="K161" s="3657"/>
      <c r="L161" s="3657"/>
      <c r="M161" s="3657"/>
      <c r="N161" s="3657"/>
    </row>
    <row r="162" customHeight="1" spans="3:43">
      <c r="C162" s="3658"/>
      <c r="E162" s="3659" t="s">
        <v>182</v>
      </c>
      <c r="F162" s="3638" t="s">
        <v>1448</v>
      </c>
      <c r="G162" s="3638"/>
      <c r="H162" s="3638"/>
      <c r="I162" s="3638"/>
      <c r="J162" s="3638"/>
      <c r="K162" s="3638"/>
      <c r="L162" s="3638"/>
      <c r="M162" s="3638"/>
      <c r="N162" s="3638"/>
      <c r="O162" s="3648"/>
      <c r="P162" s="3648"/>
      <c r="Q162" s="3648"/>
      <c r="R162" s="3648"/>
      <c r="S162" s="3648"/>
      <c r="T162" s="3648"/>
      <c r="U162" s="3648"/>
      <c r="V162" s="3648"/>
      <c r="W162" s="3648"/>
      <c r="X162" s="3648"/>
      <c r="Y162" s="3648"/>
      <c r="Z162" s="3648"/>
      <c r="AA162" s="3648"/>
      <c r="AB162" s="3648"/>
      <c r="AC162" s="3648"/>
      <c r="AD162" s="3648"/>
      <c r="AE162" s="3648"/>
      <c r="AF162" s="3648"/>
      <c r="AG162" s="3648"/>
      <c r="AH162" s="3648"/>
      <c r="AI162" s="2635"/>
      <c r="AJ162" s="2635"/>
      <c r="AK162" s="3648"/>
      <c r="AL162" s="3648"/>
      <c r="AM162" s="3648"/>
      <c r="AN162" s="2635"/>
      <c r="AO162" s="2635"/>
      <c r="AP162" s="3648"/>
      <c r="AQ162" s="3648"/>
    </row>
    <row r="163" customHeight="1" spans="3:43">
      <c r="C163" s="3658"/>
      <c r="E163" s="3659" t="s">
        <v>184</v>
      </c>
      <c r="F163" s="3638" t="s">
        <v>1449</v>
      </c>
      <c r="G163" s="3638"/>
      <c r="H163" s="3638"/>
      <c r="I163" s="3638"/>
      <c r="J163" s="3638"/>
      <c r="K163" s="3638"/>
      <c r="L163" s="3638"/>
      <c r="M163" s="3638"/>
      <c r="N163" s="3638"/>
      <c r="O163" s="3648"/>
      <c r="P163" s="3648"/>
      <c r="Q163" s="3648"/>
      <c r="R163" s="3648"/>
      <c r="S163" s="3648"/>
      <c r="T163" s="3648"/>
      <c r="U163" s="3648"/>
      <c r="V163" s="3648"/>
      <c r="W163" s="3648"/>
      <c r="X163" s="3648"/>
      <c r="Y163" s="3648"/>
      <c r="Z163" s="3648"/>
      <c r="AA163" s="3648"/>
      <c r="AB163" s="3648"/>
      <c r="AC163" s="3648"/>
      <c r="AD163" s="3648"/>
      <c r="AE163" s="3648"/>
      <c r="AF163" s="3648"/>
      <c r="AG163" s="3648"/>
      <c r="AH163" s="3648"/>
      <c r="AI163" s="2635"/>
      <c r="AJ163" s="2635"/>
      <c r="AK163" s="3648"/>
      <c r="AL163" s="3648"/>
      <c r="AM163" s="3648"/>
      <c r="AN163" s="2635"/>
      <c r="AO163" s="2635"/>
      <c r="AP163" s="3648"/>
      <c r="AQ163" s="3648"/>
    </row>
    <row r="164" customHeight="1" spans="3:43">
      <c r="C164" s="3658"/>
      <c r="E164" s="3659" t="s">
        <v>192</v>
      </c>
      <c r="F164" s="3638" t="s">
        <v>1450</v>
      </c>
      <c r="G164" s="3638"/>
      <c r="H164" s="3638"/>
      <c r="I164" s="3638"/>
      <c r="J164" s="3638"/>
      <c r="K164" s="3638"/>
      <c r="L164" s="3638"/>
      <c r="M164" s="3638"/>
      <c r="N164" s="3638"/>
      <c r="O164" s="3648"/>
      <c r="P164" s="3648"/>
      <c r="Q164" s="3648"/>
      <c r="R164" s="3648"/>
      <c r="S164" s="3648"/>
      <c r="T164" s="3648"/>
      <c r="U164" s="3648"/>
      <c r="V164" s="3648"/>
      <c r="W164" s="3648"/>
      <c r="X164" s="3648"/>
      <c r="Y164" s="3648"/>
      <c r="Z164" s="3648"/>
      <c r="AA164" s="3648"/>
      <c r="AB164" s="3648"/>
      <c r="AC164" s="3648"/>
      <c r="AD164" s="3648"/>
      <c r="AE164" s="3648"/>
      <c r="AF164" s="3648"/>
      <c r="AG164" s="3648"/>
      <c r="AH164" s="3648"/>
      <c r="AI164" s="2635"/>
      <c r="AJ164" s="2635"/>
      <c r="AK164" s="3648"/>
      <c r="AL164" s="3648"/>
      <c r="AM164" s="3648"/>
      <c r="AN164" s="2635"/>
      <c r="AO164" s="2635"/>
      <c r="AP164" s="3648"/>
      <c r="AQ164" s="3648"/>
    </row>
    <row r="165" customHeight="1" spans="3:43">
      <c r="C165" s="3658"/>
      <c r="E165" s="3659" t="s">
        <v>1362</v>
      </c>
      <c r="F165" s="3638" t="s">
        <v>1451</v>
      </c>
      <c r="G165" s="3638"/>
      <c r="H165" s="3638"/>
      <c r="I165" s="3638"/>
      <c r="J165" s="3638"/>
      <c r="K165" s="3638"/>
      <c r="L165" s="3638"/>
      <c r="M165" s="3638"/>
      <c r="N165" s="3638"/>
      <c r="O165" s="3648"/>
      <c r="P165" s="3648"/>
      <c r="Q165" s="3648"/>
      <c r="R165" s="3648"/>
      <c r="S165" s="3648"/>
      <c r="T165" s="3648"/>
      <c r="U165" s="3648"/>
      <c r="V165" s="3648"/>
      <c r="W165" s="3648"/>
      <c r="X165" s="3648"/>
      <c r="Y165" s="3648"/>
      <c r="Z165" s="3648"/>
      <c r="AA165" s="3648"/>
      <c r="AB165" s="3648"/>
      <c r="AC165" s="3648"/>
      <c r="AD165" s="3648"/>
      <c r="AE165" s="3648"/>
      <c r="AF165" s="3648"/>
      <c r="AG165" s="3648"/>
      <c r="AH165" s="3648"/>
      <c r="AI165" s="2635"/>
      <c r="AJ165" s="2635"/>
      <c r="AK165" s="3648"/>
      <c r="AL165" s="3648"/>
      <c r="AM165" s="3648"/>
      <c r="AN165" s="2635"/>
      <c r="AO165" s="2635"/>
      <c r="AP165" s="3648"/>
      <c r="AQ165" s="3648"/>
    </row>
    <row r="166" customHeight="1" spans="3:43">
      <c r="C166" s="3658"/>
      <c r="E166" s="3653" t="s">
        <v>1364</v>
      </c>
      <c r="F166" s="3660" t="s">
        <v>1452</v>
      </c>
      <c r="G166" s="3660"/>
      <c r="H166" s="3660"/>
      <c r="I166" s="3660"/>
      <c r="J166" s="3660"/>
      <c r="K166" s="3660"/>
      <c r="L166" s="3660"/>
      <c r="M166" s="3660"/>
      <c r="N166" s="3660"/>
      <c r="O166" s="3660"/>
      <c r="P166" s="3660"/>
      <c r="Q166" s="3660"/>
      <c r="R166" s="3660"/>
      <c r="S166" s="3660"/>
      <c r="T166" s="3660"/>
      <c r="U166" s="3660"/>
      <c r="V166" s="3660"/>
      <c r="W166" s="3660"/>
      <c r="X166" s="3660"/>
      <c r="Y166" s="3660"/>
      <c r="Z166" s="3660"/>
      <c r="AA166" s="3660"/>
      <c r="AB166" s="3660"/>
      <c r="AC166" s="3660"/>
      <c r="AD166" s="3660"/>
      <c r="AE166" s="3660"/>
      <c r="AF166" s="3660"/>
      <c r="AG166" s="3660"/>
      <c r="AH166" s="3660"/>
      <c r="AI166" s="3660"/>
      <c r="AJ166" s="3660"/>
      <c r="AK166" s="3660"/>
      <c r="AL166" s="3660"/>
      <c r="AM166" s="3660"/>
      <c r="AN166" s="3660"/>
      <c r="AO166" s="3660"/>
      <c r="AP166" s="3660"/>
      <c r="AQ166" s="3648"/>
    </row>
    <row r="167" customHeight="1" spans="3:43">
      <c r="C167" s="3658"/>
      <c r="D167" s="3653"/>
      <c r="E167" s="3657"/>
      <c r="F167" s="3660"/>
      <c r="G167" s="3660"/>
      <c r="H167" s="3660"/>
      <c r="I167" s="3660"/>
      <c r="J167" s="3660"/>
      <c r="K167" s="3660"/>
      <c r="L167" s="3660"/>
      <c r="M167" s="3660"/>
      <c r="N167" s="3660"/>
      <c r="O167" s="3660"/>
      <c r="P167" s="3660"/>
      <c r="Q167" s="3660"/>
      <c r="R167" s="3660"/>
      <c r="S167" s="3660"/>
      <c r="T167" s="3660"/>
      <c r="U167" s="3660"/>
      <c r="V167" s="3660"/>
      <c r="W167" s="3660"/>
      <c r="X167" s="3660"/>
      <c r="Y167" s="3660"/>
      <c r="Z167" s="3660"/>
      <c r="AA167" s="3660"/>
      <c r="AB167" s="3660"/>
      <c r="AC167" s="3660"/>
      <c r="AD167" s="3660"/>
      <c r="AE167" s="3660"/>
      <c r="AF167" s="3660"/>
      <c r="AG167" s="3660"/>
      <c r="AH167" s="3660"/>
      <c r="AI167" s="3660"/>
      <c r="AJ167" s="3660"/>
      <c r="AK167" s="3660"/>
      <c r="AL167" s="3660"/>
      <c r="AM167" s="3660"/>
      <c r="AN167" s="3660"/>
      <c r="AO167" s="3660"/>
      <c r="AP167" s="3660"/>
      <c r="AQ167" s="3648"/>
    </row>
    <row r="168" customHeight="1" spans="3:43">
      <c r="C168" s="3658"/>
      <c r="D168" s="3661"/>
      <c r="E168" s="3662"/>
      <c r="F168" s="3660"/>
      <c r="G168" s="3660"/>
      <c r="H168" s="3660"/>
      <c r="I168" s="3660"/>
      <c r="J168" s="3660"/>
      <c r="K168" s="3660"/>
      <c r="L168" s="3660"/>
      <c r="M168" s="3660"/>
      <c r="N168" s="3660"/>
      <c r="O168" s="3660"/>
      <c r="P168" s="3660"/>
      <c r="Q168" s="3660"/>
      <c r="R168" s="3660"/>
      <c r="S168" s="3660"/>
      <c r="T168" s="3660"/>
      <c r="U168" s="3660"/>
      <c r="V168" s="3660"/>
      <c r="W168" s="3660"/>
      <c r="X168" s="3660"/>
      <c r="Y168" s="3660"/>
      <c r="Z168" s="3660"/>
      <c r="AA168" s="3660"/>
      <c r="AB168" s="3660"/>
      <c r="AC168" s="3660"/>
      <c r="AD168" s="3660"/>
      <c r="AE168" s="3660"/>
      <c r="AF168" s="3660"/>
      <c r="AG168" s="3660"/>
      <c r="AH168" s="3660"/>
      <c r="AI168" s="3660"/>
      <c r="AJ168" s="3660"/>
      <c r="AK168" s="3660"/>
      <c r="AL168" s="3660"/>
      <c r="AM168" s="3660"/>
      <c r="AN168" s="3660"/>
      <c r="AO168" s="3660"/>
      <c r="AP168" s="3660"/>
      <c r="AQ168" s="3648"/>
    </row>
    <row r="169" customHeight="1" spans="3:43">
      <c r="C169" s="3658"/>
      <c r="E169" s="3653" t="s">
        <v>1366</v>
      </c>
      <c r="F169" s="3660" t="s">
        <v>1453</v>
      </c>
      <c r="G169" s="3660"/>
      <c r="H169" s="3660"/>
      <c r="I169" s="3660"/>
      <c r="J169" s="3660"/>
      <c r="K169" s="3660"/>
      <c r="L169" s="3660"/>
      <c r="M169" s="3660"/>
      <c r="N169" s="3660"/>
      <c r="O169" s="3660"/>
      <c r="P169" s="3660"/>
      <c r="Q169" s="3660"/>
      <c r="R169" s="3660"/>
      <c r="S169" s="3660"/>
      <c r="T169" s="3660"/>
      <c r="U169" s="3660"/>
      <c r="V169" s="3660"/>
      <c r="W169" s="3660"/>
      <c r="X169" s="3660"/>
      <c r="Y169" s="3660"/>
      <c r="Z169" s="3660"/>
      <c r="AA169" s="3660"/>
      <c r="AB169" s="3660"/>
      <c r="AC169" s="3660"/>
      <c r="AD169" s="3660"/>
      <c r="AE169" s="3660"/>
      <c r="AF169" s="3660"/>
      <c r="AG169" s="3660"/>
      <c r="AH169" s="3660"/>
      <c r="AI169" s="3660"/>
      <c r="AJ169" s="3660"/>
      <c r="AK169" s="3660"/>
      <c r="AL169" s="3660"/>
      <c r="AM169" s="3660"/>
      <c r="AN169" s="3660"/>
      <c r="AO169" s="3660"/>
      <c r="AP169" s="3660"/>
      <c r="AQ169" s="3648"/>
    </row>
    <row r="170" customHeight="1" spans="3:43">
      <c r="C170" s="3658"/>
      <c r="D170" s="3638"/>
      <c r="E170" s="3662"/>
      <c r="F170" s="3660"/>
      <c r="G170" s="3660"/>
      <c r="H170" s="3660"/>
      <c r="I170" s="3660"/>
      <c r="J170" s="3660"/>
      <c r="K170" s="3660"/>
      <c r="L170" s="3660"/>
      <c r="M170" s="3660"/>
      <c r="N170" s="3660"/>
      <c r="O170" s="3660"/>
      <c r="P170" s="3660"/>
      <c r="Q170" s="3660"/>
      <c r="R170" s="3660"/>
      <c r="S170" s="3660"/>
      <c r="T170" s="3660"/>
      <c r="U170" s="3660"/>
      <c r="V170" s="3660"/>
      <c r="W170" s="3660"/>
      <c r="X170" s="3660"/>
      <c r="Y170" s="3660"/>
      <c r="Z170" s="3660"/>
      <c r="AA170" s="3660"/>
      <c r="AB170" s="3660"/>
      <c r="AC170" s="3660"/>
      <c r="AD170" s="3660"/>
      <c r="AE170" s="3660"/>
      <c r="AF170" s="3660"/>
      <c r="AG170" s="3660"/>
      <c r="AH170" s="3660"/>
      <c r="AI170" s="3660"/>
      <c r="AJ170" s="3660"/>
      <c r="AK170" s="3660"/>
      <c r="AL170" s="3660"/>
      <c r="AM170" s="3660"/>
      <c r="AN170" s="3660"/>
      <c r="AO170" s="3660"/>
      <c r="AP170" s="3660"/>
      <c r="AQ170" s="3648"/>
    </row>
    <row r="171" customHeight="1" spans="3:43">
      <c r="C171" s="3658"/>
      <c r="D171" s="3638"/>
      <c r="E171" s="3662"/>
      <c r="F171" s="3660"/>
      <c r="G171" s="3660"/>
      <c r="H171" s="3660"/>
      <c r="I171" s="3660"/>
      <c r="J171" s="3660"/>
      <c r="K171" s="3660"/>
      <c r="L171" s="3660"/>
      <c r="M171" s="3660"/>
      <c r="N171" s="3660"/>
      <c r="O171" s="3660"/>
      <c r="P171" s="3660"/>
      <c r="Q171" s="3660"/>
      <c r="R171" s="3660"/>
      <c r="S171" s="3660"/>
      <c r="T171" s="3660"/>
      <c r="U171" s="3660"/>
      <c r="V171" s="3660"/>
      <c r="W171" s="3660"/>
      <c r="X171" s="3660"/>
      <c r="Y171" s="3660"/>
      <c r="Z171" s="3660"/>
      <c r="AA171" s="3660"/>
      <c r="AB171" s="3660"/>
      <c r="AC171" s="3660"/>
      <c r="AD171" s="3660"/>
      <c r="AE171" s="3660"/>
      <c r="AF171" s="3660"/>
      <c r="AG171" s="3660"/>
      <c r="AH171" s="3660"/>
      <c r="AI171" s="3660"/>
      <c r="AJ171" s="3660"/>
      <c r="AK171" s="3660"/>
      <c r="AL171" s="3660"/>
      <c r="AM171" s="3660"/>
      <c r="AN171" s="3660"/>
      <c r="AO171" s="3660"/>
      <c r="AP171" s="3660"/>
      <c r="AQ171" s="3648"/>
    </row>
    <row r="172" customHeight="1" spans="3:43">
      <c r="C172" s="3658"/>
      <c r="E172" s="3652" t="s">
        <v>1454</v>
      </c>
      <c r="F172" s="3652"/>
      <c r="G172" s="3652"/>
      <c r="H172" s="3652"/>
      <c r="I172" s="3652"/>
      <c r="J172" s="3652"/>
      <c r="K172" s="3652"/>
      <c r="L172" s="3652"/>
      <c r="M172" s="3652"/>
      <c r="N172" s="3652"/>
      <c r="O172" s="3652"/>
      <c r="P172" s="3652"/>
      <c r="Q172" s="3652"/>
      <c r="R172" s="3652"/>
      <c r="S172" s="3652"/>
      <c r="T172" s="3652"/>
      <c r="U172" s="3652"/>
      <c r="V172" s="3652"/>
      <c r="W172" s="3652"/>
      <c r="X172" s="3652"/>
      <c r="Y172" s="3652"/>
      <c r="Z172" s="3652"/>
      <c r="AA172" s="3652"/>
      <c r="AB172" s="3652"/>
      <c r="AC172" s="3652"/>
      <c r="AD172" s="3652"/>
      <c r="AE172" s="3652"/>
      <c r="AF172" s="3652"/>
      <c r="AG172" s="3652"/>
      <c r="AH172" s="3652"/>
      <c r="AI172" s="3652"/>
      <c r="AJ172" s="3652"/>
      <c r="AK172" s="3652"/>
      <c r="AL172" s="3652"/>
      <c r="AM172" s="3652"/>
      <c r="AN172" s="3652"/>
      <c r="AO172" s="3652"/>
      <c r="AP172" s="3652"/>
      <c r="AQ172" s="3648"/>
    </row>
    <row r="173" customHeight="1" spans="3:43">
      <c r="C173" s="3658"/>
      <c r="D173" s="3662"/>
      <c r="E173" s="3652"/>
      <c r="F173" s="3652"/>
      <c r="G173" s="3652"/>
      <c r="H173" s="3652"/>
      <c r="I173" s="3652"/>
      <c r="J173" s="3652"/>
      <c r="K173" s="3652"/>
      <c r="L173" s="3652"/>
      <c r="M173" s="3652"/>
      <c r="N173" s="3652"/>
      <c r="O173" s="3652"/>
      <c r="P173" s="3652"/>
      <c r="Q173" s="3652"/>
      <c r="R173" s="3652"/>
      <c r="S173" s="3652"/>
      <c r="T173" s="3652"/>
      <c r="U173" s="3652"/>
      <c r="V173" s="3652"/>
      <c r="W173" s="3652"/>
      <c r="X173" s="3652"/>
      <c r="Y173" s="3652"/>
      <c r="Z173" s="3652"/>
      <c r="AA173" s="3652"/>
      <c r="AB173" s="3652"/>
      <c r="AC173" s="3652"/>
      <c r="AD173" s="3652"/>
      <c r="AE173" s="3652"/>
      <c r="AF173" s="3652"/>
      <c r="AG173" s="3652"/>
      <c r="AH173" s="3652"/>
      <c r="AI173" s="3652"/>
      <c r="AJ173" s="3652"/>
      <c r="AK173" s="3652"/>
      <c r="AL173" s="3652"/>
      <c r="AM173" s="3652"/>
      <c r="AN173" s="3652"/>
      <c r="AO173" s="3652"/>
      <c r="AP173" s="3652"/>
      <c r="AQ173" s="3648"/>
    </row>
    <row r="174" ht="8.1" customHeight="1" spans="3:43">
      <c r="C174" s="3658"/>
      <c r="D174" s="3662"/>
      <c r="E174" s="3663"/>
      <c r="F174" s="3663"/>
      <c r="G174" s="3663"/>
      <c r="H174" s="3663"/>
      <c r="I174" s="3663"/>
      <c r="J174" s="3663"/>
      <c r="K174" s="3663"/>
      <c r="L174" s="3663"/>
      <c r="M174" s="3663"/>
      <c r="N174" s="3663"/>
      <c r="O174" s="3663"/>
      <c r="P174" s="3663"/>
      <c r="Q174" s="3663"/>
      <c r="R174" s="3663"/>
      <c r="S174" s="3663"/>
      <c r="T174" s="3663"/>
      <c r="U174" s="3663"/>
      <c r="V174" s="3663"/>
      <c r="W174" s="3663"/>
      <c r="X174" s="3663"/>
      <c r="Y174" s="3663"/>
      <c r="Z174" s="3663"/>
      <c r="AA174" s="3663"/>
      <c r="AB174" s="3663"/>
      <c r="AC174" s="3663"/>
      <c r="AD174" s="3663"/>
      <c r="AE174" s="3663"/>
      <c r="AF174" s="3663"/>
      <c r="AG174" s="3663"/>
      <c r="AH174" s="3663"/>
      <c r="AI174" s="3663"/>
      <c r="AJ174" s="3663"/>
      <c r="AK174" s="3663"/>
      <c r="AL174" s="3663"/>
      <c r="AM174" s="3663"/>
      <c r="AN174" s="3663"/>
      <c r="AO174" s="3663"/>
      <c r="AP174" s="3663"/>
      <c r="AQ174" s="3648"/>
    </row>
    <row r="175" customHeight="1" spans="3:43">
      <c r="C175" s="3658"/>
      <c r="E175" s="3652" t="s">
        <v>1455</v>
      </c>
      <c r="F175" s="3652"/>
      <c r="G175" s="3652"/>
      <c r="H175" s="3652"/>
      <c r="I175" s="3652"/>
      <c r="J175" s="3652"/>
      <c r="K175" s="3652"/>
      <c r="L175" s="3652"/>
      <c r="M175" s="3652"/>
      <c r="N175" s="3652"/>
      <c r="O175" s="3652"/>
      <c r="P175" s="3652"/>
      <c r="Q175" s="3652"/>
      <c r="R175" s="3652"/>
      <c r="S175" s="3652"/>
      <c r="T175" s="3652"/>
      <c r="U175" s="3652"/>
      <c r="V175" s="3652"/>
      <c r="W175" s="3652"/>
      <c r="X175" s="3652"/>
      <c r="Y175" s="3652"/>
      <c r="Z175" s="3652"/>
      <c r="AA175" s="3652"/>
      <c r="AB175" s="3652"/>
      <c r="AC175" s="3652"/>
      <c r="AD175" s="3652"/>
      <c r="AE175" s="3652"/>
      <c r="AF175" s="3652"/>
      <c r="AG175" s="3652"/>
      <c r="AH175" s="3652"/>
      <c r="AI175" s="3652"/>
      <c r="AJ175" s="3652"/>
      <c r="AK175" s="3652"/>
      <c r="AL175" s="3652"/>
      <c r="AM175" s="3652"/>
      <c r="AN175" s="3652"/>
      <c r="AO175" s="3652"/>
      <c r="AP175" s="3652"/>
      <c r="AQ175" s="3648"/>
    </row>
    <row r="176" customHeight="1" spans="3:43">
      <c r="C176" s="3658"/>
      <c r="E176" s="3652"/>
      <c r="F176" s="3652"/>
      <c r="G176" s="3652"/>
      <c r="H176" s="3652"/>
      <c r="I176" s="3652"/>
      <c r="J176" s="3652"/>
      <c r="K176" s="3652"/>
      <c r="L176" s="3652"/>
      <c r="M176" s="3652"/>
      <c r="N176" s="3652"/>
      <c r="O176" s="3652"/>
      <c r="P176" s="3652"/>
      <c r="Q176" s="3652"/>
      <c r="R176" s="3652"/>
      <c r="S176" s="3652"/>
      <c r="T176" s="3652"/>
      <c r="U176" s="3652"/>
      <c r="V176" s="3652"/>
      <c r="W176" s="3652"/>
      <c r="X176" s="3652"/>
      <c r="Y176" s="3652"/>
      <c r="Z176" s="3652"/>
      <c r="AA176" s="3652"/>
      <c r="AB176" s="3652"/>
      <c r="AC176" s="3652"/>
      <c r="AD176" s="3652"/>
      <c r="AE176" s="3652"/>
      <c r="AF176" s="3652"/>
      <c r="AG176" s="3652"/>
      <c r="AH176" s="3652"/>
      <c r="AI176" s="3652"/>
      <c r="AJ176" s="3652"/>
      <c r="AK176" s="3652"/>
      <c r="AL176" s="3652"/>
      <c r="AM176" s="3652"/>
      <c r="AN176" s="3652"/>
      <c r="AO176" s="3652"/>
      <c r="AP176" s="3652"/>
      <c r="AQ176" s="3648"/>
    </row>
    <row r="177" ht="9" customHeight="1" spans="3:43">
      <c r="C177" s="3658"/>
      <c r="E177" s="3652"/>
      <c r="F177" s="3652"/>
      <c r="G177" s="3652"/>
      <c r="H177" s="3652"/>
      <c r="I177" s="3652"/>
      <c r="J177" s="3652"/>
      <c r="K177" s="3652"/>
      <c r="L177" s="3652"/>
      <c r="M177" s="3652"/>
      <c r="N177" s="3652"/>
      <c r="O177" s="3652"/>
      <c r="P177" s="3652"/>
      <c r="Q177" s="3652"/>
      <c r="R177" s="3652"/>
      <c r="S177" s="3652"/>
      <c r="T177" s="3652"/>
      <c r="U177" s="3652"/>
      <c r="V177" s="3652"/>
      <c r="W177" s="3652"/>
      <c r="X177" s="3652"/>
      <c r="Y177" s="3652"/>
      <c r="Z177" s="3652"/>
      <c r="AA177" s="3652"/>
      <c r="AB177" s="3652"/>
      <c r="AC177" s="3652"/>
      <c r="AD177" s="3652"/>
      <c r="AE177" s="3652"/>
      <c r="AF177" s="3652"/>
      <c r="AG177" s="3652"/>
      <c r="AH177" s="3652"/>
      <c r="AI177" s="3652"/>
      <c r="AJ177" s="3652"/>
      <c r="AK177" s="3652"/>
      <c r="AL177" s="3652"/>
      <c r="AM177" s="3652"/>
      <c r="AN177" s="3652"/>
      <c r="AO177" s="3652"/>
      <c r="AP177" s="3652"/>
      <c r="AQ177" s="3648"/>
    </row>
    <row r="178" customHeight="1" spans="3:43">
      <c r="C178" s="3658"/>
      <c r="E178" s="3652" t="s">
        <v>1456</v>
      </c>
      <c r="F178" s="2104"/>
      <c r="G178" s="2104"/>
      <c r="H178" s="2104"/>
      <c r="I178" s="2104"/>
      <c r="J178" s="2104"/>
      <c r="K178" s="2104"/>
      <c r="L178" s="2104"/>
      <c r="M178" s="2104"/>
      <c r="N178" s="2104"/>
      <c r="O178" s="2104"/>
      <c r="P178" s="2104"/>
      <c r="Q178" s="2104"/>
      <c r="R178" s="2104"/>
      <c r="S178" s="2104"/>
      <c r="T178" s="2104"/>
      <c r="U178" s="2104"/>
      <c r="V178" s="2104"/>
      <c r="W178" s="2104"/>
      <c r="X178" s="2104"/>
      <c r="Y178" s="2104"/>
      <c r="Z178" s="2104"/>
      <c r="AA178" s="2104"/>
      <c r="AB178" s="2104"/>
      <c r="AC178" s="2104"/>
      <c r="AD178" s="2104"/>
      <c r="AE178" s="2104"/>
      <c r="AF178" s="2104"/>
      <c r="AG178" s="2104"/>
      <c r="AH178" s="2104"/>
      <c r="AI178" s="2104"/>
      <c r="AJ178" s="2104"/>
      <c r="AK178" s="2104"/>
      <c r="AL178" s="2104"/>
      <c r="AM178" s="2104"/>
      <c r="AN178" s="2104"/>
      <c r="AO178" s="2104"/>
      <c r="AP178" s="2104"/>
      <c r="AQ178" s="3648"/>
    </row>
    <row r="179" customHeight="1" spans="3:43">
      <c r="C179" s="3658"/>
      <c r="E179" s="2104"/>
      <c r="F179" s="2104"/>
      <c r="G179" s="2104"/>
      <c r="H179" s="2104"/>
      <c r="I179" s="2104"/>
      <c r="J179" s="2104"/>
      <c r="K179" s="2104"/>
      <c r="L179" s="2104"/>
      <c r="M179" s="2104"/>
      <c r="N179" s="2104"/>
      <c r="O179" s="2104"/>
      <c r="P179" s="2104"/>
      <c r="Q179" s="2104"/>
      <c r="R179" s="2104"/>
      <c r="S179" s="2104"/>
      <c r="T179" s="2104"/>
      <c r="U179" s="2104"/>
      <c r="V179" s="2104"/>
      <c r="W179" s="2104"/>
      <c r="X179" s="2104"/>
      <c r="Y179" s="2104"/>
      <c r="Z179" s="2104"/>
      <c r="AA179" s="2104"/>
      <c r="AB179" s="2104"/>
      <c r="AC179" s="2104"/>
      <c r="AD179" s="2104"/>
      <c r="AE179" s="2104"/>
      <c r="AF179" s="2104"/>
      <c r="AG179" s="2104"/>
      <c r="AH179" s="2104"/>
      <c r="AI179" s="2104"/>
      <c r="AJ179" s="2104"/>
      <c r="AK179" s="2104"/>
      <c r="AL179" s="2104"/>
      <c r="AM179" s="2104"/>
      <c r="AN179" s="2104"/>
      <c r="AO179" s="2104"/>
      <c r="AP179" s="2104"/>
      <c r="AQ179" s="3648"/>
    </row>
    <row r="180" ht="9.6" customHeight="1" spans="3:43">
      <c r="C180" s="3658"/>
      <c r="E180" s="2104"/>
      <c r="F180" s="2104"/>
      <c r="G180" s="2104"/>
      <c r="H180" s="2104"/>
      <c r="I180" s="2104"/>
      <c r="J180" s="2104"/>
      <c r="K180" s="2104"/>
      <c r="L180" s="2104"/>
      <c r="M180" s="2104"/>
      <c r="N180" s="2104"/>
      <c r="O180" s="2104"/>
      <c r="P180" s="2104"/>
      <c r="Q180" s="2104"/>
      <c r="R180" s="2104"/>
      <c r="S180" s="2104"/>
      <c r="T180" s="2104"/>
      <c r="U180" s="2104"/>
      <c r="V180" s="2104"/>
      <c r="W180" s="2104"/>
      <c r="X180" s="2104"/>
      <c r="Y180" s="2104"/>
      <c r="Z180" s="2104"/>
      <c r="AA180" s="2104"/>
      <c r="AB180" s="2104"/>
      <c r="AC180" s="2104"/>
      <c r="AD180" s="2104"/>
      <c r="AE180" s="2104"/>
      <c r="AF180" s="2104"/>
      <c r="AG180" s="2104"/>
      <c r="AH180" s="2104"/>
      <c r="AI180" s="2104"/>
      <c r="AJ180" s="2104"/>
      <c r="AK180" s="2104"/>
      <c r="AL180" s="2104"/>
      <c r="AM180" s="2104"/>
      <c r="AN180" s="2104"/>
      <c r="AO180" s="2104"/>
      <c r="AP180" s="2104"/>
      <c r="AQ180" s="3648"/>
    </row>
    <row r="181" customHeight="1" spans="3:43">
      <c r="C181" s="3658"/>
      <c r="E181" s="3652" t="s">
        <v>1474</v>
      </c>
      <c r="F181" s="2104"/>
      <c r="G181" s="2104"/>
      <c r="H181" s="2104"/>
      <c r="I181" s="2104"/>
      <c r="J181" s="2104"/>
      <c r="K181" s="2104"/>
      <c r="L181" s="2104"/>
      <c r="M181" s="2104"/>
      <c r="N181" s="2104"/>
      <c r="O181" s="2104"/>
      <c r="P181" s="2104"/>
      <c r="Q181" s="2104"/>
      <c r="R181" s="2104"/>
      <c r="S181" s="2104"/>
      <c r="T181" s="2104"/>
      <c r="U181" s="2104"/>
      <c r="V181" s="2104"/>
      <c r="W181" s="2104"/>
      <c r="X181" s="2104"/>
      <c r="Y181" s="2104"/>
      <c r="Z181" s="2104"/>
      <c r="AA181" s="2104"/>
      <c r="AB181" s="2104"/>
      <c r="AC181" s="2104"/>
      <c r="AD181" s="2104"/>
      <c r="AE181" s="2104"/>
      <c r="AF181" s="2104"/>
      <c r="AG181" s="2104"/>
      <c r="AH181" s="2104"/>
      <c r="AI181" s="2104"/>
      <c r="AJ181" s="2104"/>
      <c r="AK181" s="2104"/>
      <c r="AL181" s="2104"/>
      <c r="AM181" s="2104"/>
      <c r="AN181" s="2104"/>
      <c r="AO181" s="2104"/>
      <c r="AP181" s="2104"/>
      <c r="AQ181" s="3648"/>
    </row>
    <row r="182" customHeight="1" spans="3:43">
      <c r="C182" s="3658"/>
      <c r="D182" s="3662"/>
      <c r="E182" s="2104"/>
      <c r="F182" s="2104"/>
      <c r="G182" s="2104"/>
      <c r="H182" s="2104"/>
      <c r="I182" s="2104"/>
      <c r="J182" s="2104"/>
      <c r="K182" s="2104"/>
      <c r="L182" s="2104"/>
      <c r="M182" s="2104"/>
      <c r="N182" s="2104"/>
      <c r="O182" s="2104"/>
      <c r="P182" s="2104"/>
      <c r="Q182" s="2104"/>
      <c r="R182" s="2104"/>
      <c r="S182" s="2104"/>
      <c r="T182" s="2104"/>
      <c r="U182" s="2104"/>
      <c r="V182" s="2104"/>
      <c r="W182" s="2104"/>
      <c r="X182" s="2104"/>
      <c r="Y182" s="2104"/>
      <c r="Z182" s="2104"/>
      <c r="AA182" s="2104"/>
      <c r="AB182" s="2104"/>
      <c r="AC182" s="2104"/>
      <c r="AD182" s="2104"/>
      <c r="AE182" s="2104"/>
      <c r="AF182" s="2104"/>
      <c r="AG182" s="2104"/>
      <c r="AH182" s="2104"/>
      <c r="AI182" s="2104"/>
      <c r="AJ182" s="2104"/>
      <c r="AK182" s="2104"/>
      <c r="AL182" s="2104"/>
      <c r="AM182" s="2104"/>
      <c r="AN182" s="2104"/>
      <c r="AO182" s="2104"/>
      <c r="AP182" s="2104"/>
      <c r="AQ182" s="3648"/>
    </row>
    <row r="183" customHeight="1" spans="3:43">
      <c r="C183" s="3653"/>
      <c r="D183" s="3662"/>
      <c r="E183" s="2104"/>
      <c r="F183" s="2104"/>
      <c r="G183" s="2104"/>
      <c r="H183" s="2104"/>
      <c r="I183" s="2104"/>
      <c r="J183" s="2104"/>
      <c r="K183" s="2104"/>
      <c r="L183" s="2104"/>
      <c r="M183" s="2104"/>
      <c r="N183" s="2104"/>
      <c r="O183" s="2104"/>
      <c r="P183" s="2104"/>
      <c r="Q183" s="2104"/>
      <c r="R183" s="2104"/>
      <c r="S183" s="2104"/>
      <c r="T183" s="2104"/>
      <c r="U183" s="2104"/>
      <c r="V183" s="2104"/>
      <c r="W183" s="2104"/>
      <c r="X183" s="2104"/>
      <c r="Y183" s="2104"/>
      <c r="Z183" s="2104"/>
      <c r="AA183" s="2104"/>
      <c r="AB183" s="2104"/>
      <c r="AC183" s="2104"/>
      <c r="AD183" s="2104"/>
      <c r="AE183" s="2104"/>
      <c r="AF183" s="2104"/>
      <c r="AG183" s="2104"/>
      <c r="AH183" s="2104"/>
      <c r="AI183" s="2104"/>
      <c r="AJ183" s="2104"/>
      <c r="AK183" s="2104"/>
      <c r="AL183" s="2104"/>
      <c r="AM183" s="2104"/>
      <c r="AN183" s="2104"/>
      <c r="AO183" s="2104"/>
      <c r="AP183" s="2104"/>
      <c r="AQ183" s="3648"/>
    </row>
    <row r="184" customHeight="1" spans="3:43">
      <c r="C184" s="3653"/>
      <c r="D184" s="2104"/>
      <c r="E184" s="2104"/>
      <c r="F184" s="2104"/>
      <c r="G184" s="2104"/>
      <c r="H184" s="2104"/>
      <c r="I184" s="2104"/>
      <c r="J184" s="2104"/>
      <c r="K184" s="2104"/>
      <c r="L184" s="2104"/>
      <c r="M184" s="2104"/>
      <c r="N184" s="2104"/>
      <c r="O184" s="2104"/>
      <c r="P184" s="2104"/>
      <c r="Q184" s="2104"/>
      <c r="R184" s="2104"/>
      <c r="S184" s="2104"/>
      <c r="T184" s="2104"/>
      <c r="U184" s="2104"/>
      <c r="V184" s="2104"/>
      <c r="W184" s="2104"/>
      <c r="X184" s="2104"/>
      <c r="Y184" s="2104"/>
      <c r="Z184" s="2104"/>
      <c r="AA184" s="2104"/>
      <c r="AB184" s="2104"/>
      <c r="AC184" s="2104"/>
      <c r="AD184" s="2104"/>
      <c r="AE184" s="2104"/>
      <c r="AF184" s="2104"/>
      <c r="AG184" s="2104"/>
      <c r="AH184" s="2104"/>
      <c r="AI184" s="2104"/>
      <c r="AJ184" s="2104"/>
      <c r="AK184" s="2104"/>
      <c r="AL184" s="2104"/>
      <c r="AM184" s="2104"/>
      <c r="AN184" s="2104"/>
      <c r="AO184" s="2104"/>
      <c r="AP184" s="2104"/>
      <c r="AQ184" s="3648"/>
    </row>
    <row r="185" customHeight="1" spans="3:43">
      <c r="C185" s="5067" t="s">
        <v>1458</v>
      </c>
      <c r="E185" s="3664" t="s">
        <v>1459</v>
      </c>
      <c r="F185" s="3658"/>
      <c r="G185" s="3658"/>
      <c r="H185" s="3658"/>
      <c r="I185" s="3658"/>
      <c r="J185" s="3668"/>
      <c r="K185" s="3658"/>
      <c r="L185" s="3666"/>
      <c r="M185" s="3666"/>
      <c r="N185" s="3667"/>
      <c r="O185" s="3648"/>
      <c r="P185" s="3648"/>
      <c r="Q185" s="3648"/>
      <c r="R185" s="3648"/>
      <c r="S185" s="3648"/>
      <c r="T185" s="3648"/>
      <c r="U185" s="3648"/>
      <c r="V185" s="3648"/>
      <c r="W185" s="3648"/>
      <c r="X185" s="3648"/>
      <c r="Y185" s="3648"/>
      <c r="Z185" s="3648"/>
      <c r="AA185" s="3648"/>
      <c r="AB185" s="3648"/>
      <c r="AC185" s="3648"/>
      <c r="AD185" s="3648"/>
      <c r="AE185" s="3648"/>
      <c r="AF185" s="3648"/>
      <c r="AG185" s="3648"/>
      <c r="AH185" s="3648"/>
      <c r="AI185" s="2635"/>
      <c r="AJ185" s="2635"/>
      <c r="AK185" s="3648"/>
      <c r="AL185" s="3648"/>
      <c r="AM185" s="3648"/>
      <c r="AN185" s="2635"/>
      <c r="AO185" s="2635"/>
      <c r="AP185" s="3648"/>
      <c r="AQ185" s="3648"/>
    </row>
    <row r="186" ht="9" customHeight="1" spans="3:43">
      <c r="C186" s="3658"/>
      <c r="D186" s="3658"/>
      <c r="E186" s="3658"/>
      <c r="F186" s="3658"/>
      <c r="G186" s="3658"/>
      <c r="H186" s="3658"/>
      <c r="I186" s="3658"/>
      <c r="J186" s="3668"/>
      <c r="K186" s="3658"/>
      <c r="L186" s="3666"/>
      <c r="M186" s="3666"/>
      <c r="N186" s="3667"/>
      <c r="O186" s="3648"/>
      <c r="P186" s="3648"/>
      <c r="Q186" s="3648"/>
      <c r="R186" s="3648"/>
      <c r="S186" s="3648"/>
      <c r="T186" s="3648"/>
      <c r="U186" s="3648"/>
      <c r="V186" s="3648"/>
      <c r="W186" s="3648"/>
      <c r="X186" s="3648"/>
      <c r="Y186" s="3648"/>
      <c r="Z186" s="3648"/>
      <c r="AA186" s="3648"/>
      <c r="AB186" s="3648"/>
      <c r="AC186" s="3648"/>
      <c r="AD186" s="3648"/>
      <c r="AE186" s="3648"/>
      <c r="AF186" s="3648"/>
      <c r="AG186" s="3648"/>
      <c r="AH186" s="3648"/>
      <c r="AI186" s="2635"/>
      <c r="AJ186" s="2635"/>
      <c r="AK186" s="3648"/>
      <c r="AL186" s="3648"/>
      <c r="AM186" s="3648"/>
      <c r="AN186" s="2635"/>
      <c r="AO186" s="2635"/>
      <c r="AP186" s="3648"/>
      <c r="AQ186" s="3648"/>
    </row>
    <row r="187" customHeight="1" spans="3:43">
      <c r="C187" s="3658"/>
      <c r="E187" s="3653" t="s">
        <v>1460</v>
      </c>
      <c r="F187" s="2635"/>
      <c r="G187" s="2635"/>
      <c r="H187" s="2635"/>
      <c r="I187" s="2635"/>
      <c r="J187" s="2635"/>
      <c r="K187" s="2635"/>
      <c r="L187" s="2635"/>
      <c r="M187" s="2635"/>
      <c r="N187" s="2635"/>
      <c r="O187" s="3648"/>
      <c r="P187" s="3648"/>
      <c r="Q187" s="3648"/>
      <c r="R187" s="3648"/>
      <c r="S187" s="3648"/>
      <c r="T187" s="3648"/>
      <c r="U187" s="3648"/>
      <c r="V187" s="3648"/>
      <c r="W187" s="3648"/>
      <c r="X187" s="3648"/>
      <c r="Y187" s="3648"/>
      <c r="Z187" s="3648"/>
      <c r="AA187" s="3648"/>
      <c r="AB187" s="3648"/>
      <c r="AC187" s="3648"/>
      <c r="AD187" s="3648"/>
      <c r="AE187" s="3648"/>
      <c r="AF187" s="3648"/>
      <c r="AG187" s="3648"/>
      <c r="AH187" s="3648"/>
      <c r="AI187" s="2635"/>
      <c r="AJ187" s="2635"/>
      <c r="AK187" s="3648"/>
      <c r="AL187" s="3648"/>
      <c r="AM187" s="3648"/>
      <c r="AN187" s="2635"/>
      <c r="AO187" s="2635"/>
      <c r="AP187" s="3648"/>
      <c r="AQ187" s="3648"/>
    </row>
    <row r="188" ht="3.95" customHeight="1" spans="3:43">
      <c r="C188" s="3658"/>
      <c r="E188" s="3653"/>
      <c r="F188" s="2635"/>
      <c r="G188" s="2635"/>
      <c r="H188" s="2635"/>
      <c r="I188" s="2635"/>
      <c r="J188" s="2635"/>
      <c r="K188" s="2635"/>
      <c r="L188" s="2635"/>
      <c r="M188" s="2635"/>
      <c r="N188" s="2635"/>
      <c r="O188" s="3648"/>
      <c r="P188" s="3648"/>
      <c r="Q188" s="3648"/>
      <c r="R188" s="3648"/>
      <c r="S188" s="3648"/>
      <c r="T188" s="3648"/>
      <c r="U188" s="3648"/>
      <c r="V188" s="3648"/>
      <c r="W188" s="3648"/>
      <c r="X188" s="3648"/>
      <c r="Y188" s="3648"/>
      <c r="Z188" s="3648"/>
      <c r="AA188" s="3648"/>
      <c r="AB188" s="3648"/>
      <c r="AC188" s="3648"/>
      <c r="AD188" s="3648"/>
      <c r="AE188" s="3648"/>
      <c r="AF188" s="3648"/>
      <c r="AG188" s="3648"/>
      <c r="AH188" s="3648"/>
      <c r="AI188" s="2635"/>
      <c r="AJ188" s="2635"/>
      <c r="AK188" s="3648"/>
      <c r="AL188" s="3648"/>
      <c r="AM188" s="3648"/>
      <c r="AN188" s="2635"/>
      <c r="AO188" s="2635"/>
      <c r="AP188" s="3648"/>
      <c r="AQ188" s="3648"/>
    </row>
    <row r="189" customHeight="1" spans="3:43">
      <c r="C189" s="3658"/>
      <c r="E189" s="3653" t="s">
        <v>1461</v>
      </c>
      <c r="F189" s="2635"/>
      <c r="G189" s="2635"/>
      <c r="H189" s="2635"/>
      <c r="I189" s="2635"/>
      <c r="J189" s="2635"/>
      <c r="K189" s="2635"/>
      <c r="L189" s="2635"/>
      <c r="M189" s="2635"/>
      <c r="N189" s="2635"/>
      <c r="O189" s="3648"/>
      <c r="P189" s="3648"/>
      <c r="Q189" s="3648"/>
      <c r="R189" s="3648"/>
      <c r="S189" s="3648"/>
      <c r="T189" s="3648"/>
      <c r="U189" s="3648"/>
      <c r="V189" s="3648"/>
      <c r="W189" s="3648"/>
      <c r="X189" s="3648"/>
      <c r="Y189" s="3648"/>
      <c r="Z189" s="3648"/>
      <c r="AA189" s="3648"/>
      <c r="AB189" s="3648"/>
      <c r="AC189" s="3648"/>
      <c r="AD189" s="3648"/>
      <c r="AE189" s="3648"/>
      <c r="AF189" s="3648"/>
      <c r="AG189" s="3648"/>
      <c r="AH189" s="3648"/>
      <c r="AI189" s="2635"/>
      <c r="AJ189" s="2635"/>
      <c r="AK189" s="3648"/>
      <c r="AL189" s="3648"/>
      <c r="AM189" s="3648"/>
      <c r="AN189" s="2635"/>
      <c r="AO189" s="2635"/>
      <c r="AP189" s="3648"/>
      <c r="AQ189" s="3648"/>
    </row>
    <row r="190" customHeight="1" spans="3:43">
      <c r="C190" s="3658"/>
      <c r="E190" s="3653" t="s">
        <v>1462</v>
      </c>
      <c r="F190" s="2146" t="s">
        <v>1463</v>
      </c>
      <c r="G190" s="2104"/>
      <c r="H190" s="2104"/>
      <c r="I190" s="2104"/>
      <c r="J190" s="2104"/>
      <c r="K190" s="2104"/>
      <c r="L190" s="2104"/>
      <c r="M190" s="2104"/>
      <c r="N190" s="2104"/>
      <c r="O190" s="2104"/>
      <c r="P190" s="2104"/>
      <c r="Q190" s="2104"/>
      <c r="R190" s="2104"/>
      <c r="S190" s="2104"/>
      <c r="T190" s="2104"/>
      <c r="U190" s="2104"/>
      <c r="V190" s="2104"/>
      <c r="W190" s="2104"/>
      <c r="X190" s="2104"/>
      <c r="Y190" s="2104"/>
      <c r="Z190" s="2104"/>
      <c r="AA190" s="2104"/>
      <c r="AB190" s="2104"/>
      <c r="AC190" s="2104"/>
      <c r="AD190" s="2104"/>
      <c r="AE190" s="2104"/>
      <c r="AF190" s="2104"/>
      <c r="AG190" s="2104"/>
      <c r="AH190" s="2104"/>
      <c r="AI190" s="2104"/>
      <c r="AJ190" s="2104"/>
      <c r="AK190" s="2104"/>
      <c r="AL190" s="2104"/>
      <c r="AM190" s="2104"/>
      <c r="AN190" s="2104"/>
      <c r="AO190" s="2104"/>
      <c r="AP190" s="2104"/>
      <c r="AQ190" s="3648"/>
    </row>
    <row r="191" customHeight="1" spans="3:43">
      <c r="C191" s="3658"/>
      <c r="E191" s="2635"/>
      <c r="F191" s="2104"/>
      <c r="G191" s="2104"/>
      <c r="H191" s="2104"/>
      <c r="I191" s="2104"/>
      <c r="J191" s="2104"/>
      <c r="K191" s="2104"/>
      <c r="L191" s="2104"/>
      <c r="M191" s="2104"/>
      <c r="N191" s="2104"/>
      <c r="O191" s="2104"/>
      <c r="P191" s="2104"/>
      <c r="Q191" s="2104"/>
      <c r="R191" s="2104"/>
      <c r="S191" s="2104"/>
      <c r="T191" s="2104"/>
      <c r="U191" s="2104"/>
      <c r="V191" s="2104"/>
      <c r="W191" s="2104"/>
      <c r="X191" s="2104"/>
      <c r="Y191" s="2104"/>
      <c r="Z191" s="2104"/>
      <c r="AA191" s="2104"/>
      <c r="AB191" s="2104"/>
      <c r="AC191" s="2104"/>
      <c r="AD191" s="2104"/>
      <c r="AE191" s="2104"/>
      <c r="AF191" s="2104"/>
      <c r="AG191" s="2104"/>
      <c r="AH191" s="2104"/>
      <c r="AI191" s="2104"/>
      <c r="AJ191" s="2104"/>
      <c r="AK191" s="2104"/>
      <c r="AL191" s="2104"/>
      <c r="AM191" s="2104"/>
      <c r="AN191" s="2104"/>
      <c r="AO191" s="2104"/>
      <c r="AP191" s="2104"/>
      <c r="AQ191" s="3648"/>
    </row>
    <row r="192" customHeight="1" spans="3:43">
      <c r="C192" s="3658"/>
      <c r="E192" s="2635"/>
      <c r="F192" s="2104"/>
      <c r="G192" s="2104"/>
      <c r="H192" s="2104"/>
      <c r="I192" s="2104"/>
      <c r="J192" s="2104"/>
      <c r="K192" s="2104"/>
      <c r="L192" s="2104"/>
      <c r="M192" s="2104"/>
      <c r="N192" s="2104"/>
      <c r="O192" s="2104"/>
      <c r="P192" s="2104"/>
      <c r="Q192" s="2104"/>
      <c r="R192" s="2104"/>
      <c r="S192" s="2104"/>
      <c r="T192" s="2104"/>
      <c r="U192" s="2104"/>
      <c r="V192" s="2104"/>
      <c r="W192" s="2104"/>
      <c r="X192" s="2104"/>
      <c r="Y192" s="2104"/>
      <c r="Z192" s="2104"/>
      <c r="AA192" s="2104"/>
      <c r="AB192" s="2104"/>
      <c r="AC192" s="2104"/>
      <c r="AD192" s="2104"/>
      <c r="AE192" s="2104"/>
      <c r="AF192" s="2104"/>
      <c r="AG192" s="2104"/>
      <c r="AH192" s="2104"/>
      <c r="AI192" s="2104"/>
      <c r="AJ192" s="2104"/>
      <c r="AK192" s="2104"/>
      <c r="AL192" s="2104"/>
      <c r="AM192" s="2104"/>
      <c r="AN192" s="2104"/>
      <c r="AO192" s="2104"/>
      <c r="AP192" s="2104"/>
      <c r="AQ192" s="3648"/>
    </row>
    <row r="193" customHeight="1" spans="3:43">
      <c r="C193" s="3658"/>
      <c r="E193" s="3653" t="s">
        <v>1464</v>
      </c>
      <c r="F193" s="2146" t="s">
        <v>1465</v>
      </c>
      <c r="G193" s="2104"/>
      <c r="H193" s="2104"/>
      <c r="I193" s="2104"/>
      <c r="J193" s="2104"/>
      <c r="K193" s="2104"/>
      <c r="L193" s="2104"/>
      <c r="M193" s="2104"/>
      <c r="N193" s="2104"/>
      <c r="O193" s="2104"/>
      <c r="P193" s="2104"/>
      <c r="Q193" s="2104"/>
      <c r="R193" s="2104"/>
      <c r="S193" s="2104"/>
      <c r="T193" s="2104"/>
      <c r="U193" s="2104"/>
      <c r="V193" s="2104"/>
      <c r="W193" s="2104"/>
      <c r="X193" s="2104"/>
      <c r="Y193" s="2104"/>
      <c r="Z193" s="2104"/>
      <c r="AA193" s="2104"/>
      <c r="AB193" s="2104"/>
      <c r="AC193" s="2104"/>
      <c r="AD193" s="2104"/>
      <c r="AE193" s="2104"/>
      <c r="AF193" s="2104"/>
      <c r="AG193" s="2104"/>
      <c r="AH193" s="2104"/>
      <c r="AI193" s="2104"/>
      <c r="AJ193" s="2104"/>
      <c r="AK193" s="2104"/>
      <c r="AL193" s="2104"/>
      <c r="AM193" s="2104"/>
      <c r="AN193" s="2104"/>
      <c r="AO193" s="2104"/>
      <c r="AP193" s="2104"/>
      <c r="AQ193" s="3648"/>
    </row>
    <row r="194" customHeight="1" spans="3:43">
      <c r="C194" s="3658"/>
      <c r="E194" s="2635"/>
      <c r="F194" s="2104"/>
      <c r="G194" s="2104"/>
      <c r="H194" s="2104"/>
      <c r="I194" s="2104"/>
      <c r="J194" s="2104"/>
      <c r="K194" s="2104"/>
      <c r="L194" s="2104"/>
      <c r="M194" s="2104"/>
      <c r="N194" s="2104"/>
      <c r="O194" s="2104"/>
      <c r="P194" s="2104"/>
      <c r="Q194" s="2104"/>
      <c r="R194" s="2104"/>
      <c r="S194" s="2104"/>
      <c r="T194" s="2104"/>
      <c r="U194" s="2104"/>
      <c r="V194" s="2104"/>
      <c r="W194" s="2104"/>
      <c r="X194" s="2104"/>
      <c r="Y194" s="2104"/>
      <c r="Z194" s="2104"/>
      <c r="AA194" s="2104"/>
      <c r="AB194" s="2104"/>
      <c r="AC194" s="2104"/>
      <c r="AD194" s="2104"/>
      <c r="AE194" s="2104"/>
      <c r="AF194" s="2104"/>
      <c r="AG194" s="2104"/>
      <c r="AH194" s="2104"/>
      <c r="AI194" s="2104"/>
      <c r="AJ194" s="2104"/>
      <c r="AK194" s="2104"/>
      <c r="AL194" s="2104"/>
      <c r="AM194" s="2104"/>
      <c r="AN194" s="2104"/>
      <c r="AO194" s="2104"/>
      <c r="AP194" s="2104"/>
      <c r="AQ194" s="3648"/>
    </row>
    <row r="195" customHeight="1" spans="3:43">
      <c r="C195" s="3658"/>
      <c r="E195" s="3653" t="s">
        <v>1466</v>
      </c>
      <c r="F195" s="3652" t="s">
        <v>1467</v>
      </c>
      <c r="G195" s="2104"/>
      <c r="H195" s="2104"/>
      <c r="I195" s="2104"/>
      <c r="J195" s="2104"/>
      <c r="K195" s="2104"/>
      <c r="L195" s="2104"/>
      <c r="M195" s="2104"/>
      <c r="N195" s="2104"/>
      <c r="O195" s="2104"/>
      <c r="P195" s="2104"/>
      <c r="Q195" s="2104"/>
      <c r="R195" s="2104"/>
      <c r="S195" s="2104"/>
      <c r="T195" s="2104"/>
      <c r="U195" s="2104"/>
      <c r="V195" s="2104"/>
      <c r="W195" s="2104"/>
      <c r="X195" s="2104"/>
      <c r="Y195" s="2104"/>
      <c r="Z195" s="2104"/>
      <c r="AA195" s="2104"/>
      <c r="AB195" s="2104"/>
      <c r="AC195" s="2104"/>
      <c r="AD195" s="2104"/>
      <c r="AE195" s="2104"/>
      <c r="AF195" s="2104"/>
      <c r="AG195" s="2104"/>
      <c r="AH195" s="2104"/>
      <c r="AI195" s="2104"/>
      <c r="AJ195" s="2104"/>
      <c r="AK195" s="2104"/>
      <c r="AL195" s="2104"/>
      <c r="AM195" s="2104"/>
      <c r="AN195" s="2104"/>
      <c r="AO195" s="2104"/>
      <c r="AP195" s="2104"/>
      <c r="AQ195" s="3648"/>
    </row>
    <row r="196" customHeight="1" spans="3:43">
      <c r="C196" s="3658"/>
      <c r="E196" s="3653"/>
      <c r="F196" s="2104"/>
      <c r="G196" s="2104"/>
      <c r="H196" s="2104"/>
      <c r="I196" s="2104"/>
      <c r="J196" s="2104"/>
      <c r="K196" s="2104"/>
      <c r="L196" s="2104"/>
      <c r="M196" s="2104"/>
      <c r="N196" s="2104"/>
      <c r="O196" s="2104"/>
      <c r="P196" s="2104"/>
      <c r="Q196" s="2104"/>
      <c r="R196" s="2104"/>
      <c r="S196" s="2104"/>
      <c r="T196" s="2104"/>
      <c r="U196" s="2104"/>
      <c r="V196" s="2104"/>
      <c r="W196" s="2104"/>
      <c r="X196" s="2104"/>
      <c r="Y196" s="2104"/>
      <c r="Z196" s="2104"/>
      <c r="AA196" s="2104"/>
      <c r="AB196" s="2104"/>
      <c r="AC196" s="2104"/>
      <c r="AD196" s="2104"/>
      <c r="AE196" s="2104"/>
      <c r="AF196" s="2104"/>
      <c r="AG196" s="2104"/>
      <c r="AH196" s="2104"/>
      <c r="AI196" s="2104"/>
      <c r="AJ196" s="2104"/>
      <c r="AK196" s="2104"/>
      <c r="AL196" s="2104"/>
      <c r="AM196" s="2104"/>
      <c r="AN196" s="2104"/>
      <c r="AO196" s="2104"/>
      <c r="AP196" s="2104"/>
      <c r="AQ196" s="3648"/>
    </row>
    <row r="197" customHeight="1" spans="3:43">
      <c r="C197" s="3658"/>
      <c r="E197" s="3653"/>
      <c r="F197" s="2104"/>
      <c r="G197" s="2104"/>
      <c r="H197" s="2104"/>
      <c r="I197" s="2104"/>
      <c r="J197" s="2104"/>
      <c r="K197" s="2104"/>
      <c r="L197" s="2104"/>
      <c r="M197" s="2104"/>
      <c r="N197" s="2104"/>
      <c r="O197" s="2104"/>
      <c r="P197" s="2104"/>
      <c r="Q197" s="2104"/>
      <c r="R197" s="2104"/>
      <c r="S197" s="2104"/>
      <c r="T197" s="2104"/>
      <c r="U197" s="2104"/>
      <c r="V197" s="2104"/>
      <c r="W197" s="2104"/>
      <c r="X197" s="2104"/>
      <c r="Y197" s="2104"/>
      <c r="Z197" s="2104"/>
      <c r="AA197" s="2104"/>
      <c r="AB197" s="2104"/>
      <c r="AC197" s="2104"/>
      <c r="AD197" s="2104"/>
      <c r="AE197" s="2104"/>
      <c r="AF197" s="2104"/>
      <c r="AG197" s="2104"/>
      <c r="AH197" s="2104"/>
      <c r="AI197" s="2104"/>
      <c r="AJ197" s="2104"/>
      <c r="AK197" s="2104"/>
      <c r="AL197" s="2104"/>
      <c r="AM197" s="2104"/>
      <c r="AN197" s="2104"/>
      <c r="AO197" s="2104"/>
      <c r="AP197" s="2104"/>
      <c r="AQ197" s="3648"/>
    </row>
    <row r="198" customHeight="1" spans="3:43">
      <c r="C198" s="3658"/>
      <c r="E198" s="3653" t="s">
        <v>1468</v>
      </c>
      <c r="F198" s="3652" t="s">
        <v>1469</v>
      </c>
      <c r="G198" s="2104"/>
      <c r="H198" s="2104"/>
      <c r="I198" s="2104"/>
      <c r="J198" s="2104"/>
      <c r="K198" s="2104"/>
      <c r="L198" s="2104"/>
      <c r="M198" s="2104"/>
      <c r="N198" s="2104"/>
      <c r="O198" s="2104"/>
      <c r="P198" s="2104"/>
      <c r="Q198" s="2104"/>
      <c r="R198" s="2104"/>
      <c r="S198" s="2104"/>
      <c r="T198" s="2104"/>
      <c r="U198" s="2104"/>
      <c r="V198" s="2104"/>
      <c r="W198" s="2104"/>
      <c r="X198" s="2104"/>
      <c r="Y198" s="2104"/>
      <c r="Z198" s="2104"/>
      <c r="AA198" s="2104"/>
      <c r="AB198" s="2104"/>
      <c r="AC198" s="2104"/>
      <c r="AD198" s="2104"/>
      <c r="AE198" s="2104"/>
      <c r="AF198" s="2104"/>
      <c r="AG198" s="2104"/>
      <c r="AH198" s="2104"/>
      <c r="AI198" s="2104"/>
      <c r="AJ198" s="2104"/>
      <c r="AK198" s="2104"/>
      <c r="AL198" s="2104"/>
      <c r="AM198" s="2104"/>
      <c r="AN198" s="2104"/>
      <c r="AO198" s="2104"/>
      <c r="AP198" s="2104"/>
      <c r="AQ198" s="3648"/>
    </row>
    <row r="199" customHeight="1" spans="3:43">
      <c r="C199" s="3658"/>
      <c r="E199" s="3659"/>
      <c r="F199" s="2104"/>
      <c r="G199" s="2104"/>
      <c r="H199" s="2104"/>
      <c r="I199" s="2104"/>
      <c r="J199" s="2104"/>
      <c r="K199" s="2104"/>
      <c r="L199" s="2104"/>
      <c r="M199" s="2104"/>
      <c r="N199" s="2104"/>
      <c r="O199" s="2104"/>
      <c r="P199" s="2104"/>
      <c r="Q199" s="2104"/>
      <c r="R199" s="2104"/>
      <c r="S199" s="2104"/>
      <c r="T199" s="2104"/>
      <c r="U199" s="2104"/>
      <c r="V199" s="2104"/>
      <c r="W199" s="2104"/>
      <c r="X199" s="2104"/>
      <c r="Y199" s="2104"/>
      <c r="Z199" s="2104"/>
      <c r="AA199" s="2104"/>
      <c r="AB199" s="2104"/>
      <c r="AC199" s="2104"/>
      <c r="AD199" s="2104"/>
      <c r="AE199" s="2104"/>
      <c r="AF199" s="2104"/>
      <c r="AG199" s="2104"/>
      <c r="AH199" s="2104"/>
      <c r="AI199" s="2104"/>
      <c r="AJ199" s="2104"/>
      <c r="AK199" s="2104"/>
      <c r="AL199" s="2104"/>
      <c r="AM199" s="2104"/>
      <c r="AN199" s="2104"/>
      <c r="AO199" s="2104"/>
      <c r="AP199" s="2104"/>
      <c r="AQ199" s="3648"/>
    </row>
    <row r="200" customHeight="1" spans="3:43">
      <c r="C200" s="3658"/>
      <c r="E200" s="3659"/>
      <c r="F200" s="3341"/>
      <c r="G200" s="3341"/>
      <c r="H200" s="3341"/>
      <c r="I200" s="3341"/>
      <c r="J200" s="3341"/>
      <c r="K200" s="3341"/>
      <c r="L200" s="3341"/>
      <c r="M200" s="3341"/>
      <c r="N200" s="3341"/>
      <c r="O200" s="3648"/>
      <c r="P200" s="3648"/>
      <c r="Q200" s="3648"/>
      <c r="R200" s="3648"/>
      <c r="S200" s="3648"/>
      <c r="T200" s="3648"/>
      <c r="U200" s="3648"/>
      <c r="V200" s="3648"/>
      <c r="W200" s="3648"/>
      <c r="X200" s="3648"/>
      <c r="Y200" s="3648"/>
      <c r="Z200" s="3648"/>
      <c r="AA200" s="3648"/>
      <c r="AB200" s="3648"/>
      <c r="AC200" s="3648"/>
      <c r="AD200" s="3648"/>
      <c r="AE200" s="3648"/>
      <c r="AF200" s="3648"/>
      <c r="AG200" s="3648"/>
      <c r="AH200" s="3648"/>
      <c r="AI200" s="2635"/>
      <c r="AJ200" s="2635"/>
      <c r="AK200" s="3648"/>
      <c r="AL200" s="3648"/>
      <c r="AM200" s="3648"/>
      <c r="AN200" s="2635"/>
      <c r="AO200" s="2635"/>
      <c r="AP200" s="3648"/>
      <c r="AQ200" s="3648"/>
    </row>
    <row r="201" customHeight="1" spans="3:43">
      <c r="C201" s="3648"/>
      <c r="E201" s="3648"/>
      <c r="F201" s="3648"/>
      <c r="G201" s="3648"/>
      <c r="H201" s="3648"/>
      <c r="I201" s="3648"/>
      <c r="J201" s="3648"/>
      <c r="K201" s="3648"/>
      <c r="L201" s="3648"/>
      <c r="M201" s="3648"/>
      <c r="N201" s="3648"/>
      <c r="O201" s="3648"/>
      <c r="P201" s="3648"/>
      <c r="Q201" s="3648"/>
      <c r="R201" s="3648"/>
      <c r="S201" s="3648"/>
      <c r="T201" s="3648"/>
      <c r="U201" s="3648"/>
      <c r="V201" s="3648"/>
      <c r="W201" s="3648"/>
      <c r="X201" s="3648"/>
      <c r="Y201" s="3648"/>
      <c r="Z201" s="3648"/>
      <c r="AA201" s="3648"/>
      <c r="AB201" s="3648"/>
      <c r="AC201" s="3648"/>
      <c r="AD201" s="3648"/>
      <c r="AE201" s="3648"/>
      <c r="AF201" s="3648"/>
      <c r="AG201" s="3648"/>
      <c r="AH201" s="3648"/>
      <c r="AI201" s="2635"/>
      <c r="AJ201" s="2635"/>
      <c r="AK201" s="3648"/>
      <c r="AL201" s="3648"/>
      <c r="AM201" s="3648"/>
      <c r="AN201" s="2635"/>
      <c r="AO201" s="2635"/>
      <c r="AP201" s="3648"/>
      <c r="AQ201" s="3648"/>
    </row>
    <row r="202" customHeight="1" spans="3:43">
      <c r="C202" s="3648"/>
      <c r="E202" s="3648"/>
      <c r="F202" s="3648"/>
      <c r="G202" s="3648"/>
      <c r="H202" s="3648"/>
      <c r="I202" s="3648"/>
      <c r="J202" s="3648"/>
      <c r="K202" s="3648"/>
      <c r="L202" s="3648"/>
      <c r="M202" s="3648"/>
      <c r="N202" s="3648"/>
      <c r="O202" s="3648"/>
      <c r="P202" s="3648"/>
      <c r="Q202" s="3648"/>
      <c r="R202" s="3648"/>
      <c r="S202" s="3648"/>
      <c r="T202" s="3648"/>
      <c r="U202" s="3648"/>
      <c r="V202" s="3648"/>
      <c r="W202" s="3648"/>
      <c r="X202" s="3648"/>
      <c r="Y202" s="3648"/>
      <c r="Z202" s="3648"/>
      <c r="AA202" s="3648"/>
      <c r="AB202" s="3648"/>
      <c r="AC202" s="3648"/>
      <c r="AD202" s="3648"/>
      <c r="AE202" s="3648"/>
      <c r="AF202" s="3648"/>
      <c r="AG202" s="3648"/>
      <c r="AH202" s="3648"/>
      <c r="AI202" s="2635"/>
      <c r="AJ202" s="2635"/>
      <c r="AK202" s="3648"/>
      <c r="AL202" s="3648"/>
      <c r="AM202" s="3648"/>
      <c r="AN202" s="2635"/>
      <c r="AO202" s="2635"/>
      <c r="AP202" s="3648"/>
      <c r="AQ202" s="3648"/>
    </row>
    <row r="203" customHeight="1" spans="3:43">
      <c r="C203" s="3648"/>
      <c r="D203" s="3648"/>
      <c r="E203" s="3648"/>
      <c r="F203" s="3648"/>
      <c r="G203" s="3648"/>
      <c r="H203" s="3648"/>
      <c r="I203" s="3648"/>
      <c r="J203" s="3648"/>
      <c r="K203" s="3648"/>
      <c r="L203" s="3648"/>
      <c r="M203" s="3648"/>
      <c r="N203" s="3648"/>
      <c r="O203" s="3648"/>
      <c r="P203" s="3648"/>
      <c r="Q203" s="3648"/>
      <c r="R203" s="3648"/>
      <c r="S203" s="3648"/>
      <c r="T203" s="3648"/>
      <c r="U203" s="3648"/>
      <c r="V203" s="3648"/>
      <c r="W203" s="3648"/>
      <c r="X203" s="3648"/>
      <c r="Y203" s="3648"/>
      <c r="Z203" s="3648"/>
      <c r="AA203" s="3648"/>
      <c r="AB203" s="3648"/>
      <c r="AC203" s="3648"/>
      <c r="AD203" s="3648"/>
      <c r="AE203" s="3648"/>
      <c r="AF203" s="3648"/>
      <c r="AG203" s="3648"/>
      <c r="AH203" s="3648"/>
      <c r="AI203" s="2635"/>
      <c r="AJ203" s="2635"/>
      <c r="AK203" s="3648"/>
      <c r="AL203" s="3648"/>
      <c r="AM203" s="3648"/>
      <c r="AN203" s="2635"/>
      <c r="AO203" s="2635"/>
      <c r="AP203" s="3648"/>
      <c r="AQ203" s="3648"/>
    </row>
    <row r="204" customHeight="1" spans="3:43">
      <c r="C204" s="3648"/>
      <c r="D204" s="3648"/>
      <c r="E204" s="3648"/>
      <c r="F204" s="3648"/>
      <c r="G204" s="3648"/>
      <c r="H204" s="3648"/>
      <c r="I204" s="3648"/>
      <c r="J204" s="3648"/>
      <c r="K204" s="3648"/>
      <c r="L204" s="3648"/>
      <c r="M204" s="3648"/>
      <c r="N204" s="3648"/>
      <c r="O204" s="3648"/>
      <c r="P204" s="3648"/>
      <c r="Q204" s="3648"/>
      <c r="R204" s="3648"/>
      <c r="S204" s="3648"/>
      <c r="T204" s="3648"/>
      <c r="U204" s="3648"/>
      <c r="V204" s="3648"/>
      <c r="W204" s="3648"/>
      <c r="X204" s="3648"/>
      <c r="Y204" s="3648"/>
      <c r="Z204" s="3648"/>
      <c r="AA204" s="3648"/>
      <c r="AB204" s="3648"/>
      <c r="AC204" s="3648"/>
      <c r="AD204" s="3648"/>
      <c r="AE204" s="3648"/>
      <c r="AF204" s="3648"/>
      <c r="AG204" s="3648"/>
      <c r="AH204" s="3648"/>
      <c r="AI204" s="2635"/>
      <c r="AJ204" s="2635"/>
      <c r="AK204" s="3648"/>
      <c r="AL204" s="3648"/>
      <c r="AM204" s="3648"/>
      <c r="AN204" s="2635"/>
      <c r="AO204" s="2635"/>
      <c r="AP204" s="3648"/>
      <c r="AQ204" s="3648"/>
    </row>
  </sheetData>
  <mergeCells count="52">
    <mergeCell ref="C11:AP11"/>
    <mergeCell ref="C13:AP13"/>
    <mergeCell ref="C15:AP15"/>
    <mergeCell ref="C17:AP17"/>
    <mergeCell ref="C19:AP19"/>
    <mergeCell ref="C23:AP23"/>
    <mergeCell ref="AD25:AN25"/>
    <mergeCell ref="AD26:AN26"/>
    <mergeCell ref="AD27:AN27"/>
    <mergeCell ref="C29:AP29"/>
    <mergeCell ref="C33:AP33"/>
    <mergeCell ref="E37:AP37"/>
    <mergeCell ref="E39:AP39"/>
    <mergeCell ref="E41:AP41"/>
    <mergeCell ref="E43:AP43"/>
    <mergeCell ref="E74:AP74"/>
    <mergeCell ref="E76:AP76"/>
    <mergeCell ref="E80:AP80"/>
    <mergeCell ref="E84:AP84"/>
    <mergeCell ref="E86:AP86"/>
    <mergeCell ref="E90:AP90"/>
    <mergeCell ref="E94:AP94"/>
    <mergeCell ref="E96:T96"/>
    <mergeCell ref="E107:AP107"/>
    <mergeCell ref="E111:AP111"/>
    <mergeCell ref="E115:AP115"/>
    <mergeCell ref="E117:AP117"/>
    <mergeCell ref="E119:AP119"/>
    <mergeCell ref="E123:AP123"/>
    <mergeCell ref="E126:AP126"/>
    <mergeCell ref="E130:AP130"/>
    <mergeCell ref="E132:AP132"/>
    <mergeCell ref="E134:AP134"/>
    <mergeCell ref="F190:AP192"/>
    <mergeCell ref="F193:AP194"/>
    <mergeCell ref="F195:AP197"/>
    <mergeCell ref="F198:AP199"/>
    <mergeCell ref="F166:AP168"/>
    <mergeCell ref="F169:AP170"/>
    <mergeCell ref="E172:AP173"/>
    <mergeCell ref="E175:AP176"/>
    <mergeCell ref="E178:AP180"/>
    <mergeCell ref="E181:AP183"/>
    <mergeCell ref="G158:AP159"/>
    <mergeCell ref="E140:AP141"/>
    <mergeCell ref="E146:AP148"/>
    <mergeCell ref="E150:AP153"/>
    <mergeCell ref="AA1:AB5"/>
    <mergeCell ref="AC1:AJ3"/>
    <mergeCell ref="AK1:AP3"/>
    <mergeCell ref="AC4:AJ5"/>
    <mergeCell ref="AK4:AP5"/>
  </mergeCells>
  <pageMargins left="0.78740157480315" right="0.590551181102362" top="0.590551181102362" bottom="0.590551181102362" header="0.31496062992126" footer="0.31496062992126"/>
  <pageSetup paperSize="9" orientation="portrait"/>
  <headerFooter>
    <oddFooter>&amp;C&amp;8&amp;P+4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1"/>
  <dimension ref="B2:M115"/>
  <sheetViews>
    <sheetView showGridLines="0" zoomScale="145" zoomScaleNormal="145" workbookViewId="0">
      <selection activeCell="G17" sqref="G17"/>
    </sheetView>
  </sheetViews>
  <sheetFormatPr defaultColWidth="8.84375" defaultRowHeight="11.4"/>
  <cols>
    <col min="1" max="1" width="3.44791666666667" style="64" customWidth="1"/>
    <col min="2" max="2" width="2.25" style="64" customWidth="1"/>
    <col min="3" max="3" width="10.1875" style="64" customWidth="1"/>
    <col min="4" max="4" width="8.84375" style="64"/>
    <col min="5" max="5" width="17.375" style="64" customWidth="1"/>
    <col min="6" max="6" width="23.21875" style="64" customWidth="1"/>
    <col min="7" max="7" width="15.1354166666667" style="64" customWidth="1"/>
    <col min="8" max="8" width="3" style="64" customWidth="1"/>
    <col min="9" max="9" width="13.9375" style="64" customWidth="1"/>
    <col min="10" max="10" width="3" customWidth="1"/>
    <col min="11" max="11" width="14.8333333333333" style="64" customWidth="1"/>
    <col min="12" max="12" width="13.1875" style="64" hidden="1" customWidth="1"/>
    <col min="13" max="13" width="2.84375" style="64" customWidth="1"/>
    <col min="14" max="14" width="8.84375" style="64" customWidth="1" outlineLevel="1"/>
    <col min="15" max="16384" width="8.84375" style="64"/>
  </cols>
  <sheetData>
    <row r="2" ht="12" spans="2:2">
      <c r="B2" s="94" t="e">
        <f>#REF!</f>
        <v>#REF!</v>
      </c>
    </row>
    <row r="3" spans="2:2">
      <c r="B3" s="64" t="s">
        <v>1475</v>
      </c>
    </row>
    <row r="4" spans="2:2">
      <c r="B4" s="5068" t="s">
        <v>1476</v>
      </c>
    </row>
    <row r="5" spans="2:12">
      <c r="B5" s="2402"/>
      <c r="C5" s="2402"/>
      <c r="D5" s="2402"/>
      <c r="E5" s="2402"/>
      <c r="F5" s="2402"/>
      <c r="G5" s="2402"/>
      <c r="H5" s="2402"/>
      <c r="I5" s="2402"/>
      <c r="K5" s="2402"/>
      <c r="L5" s="164">
        <v>2017</v>
      </c>
    </row>
    <row r="6" spans="2:12">
      <c r="B6"/>
      <c r="C6"/>
      <c r="D6"/>
      <c r="E6"/>
      <c r="F6"/>
      <c r="G6"/>
      <c r="H6"/>
      <c r="I6"/>
      <c r="K6"/>
      <c r="L6" s="159"/>
    </row>
    <row r="7" spans="2:13">
      <c r="B7"/>
      <c r="C7"/>
      <c r="D7"/>
      <c r="G7"/>
      <c r="H7"/>
      <c r="I7"/>
      <c r="J7" s="159"/>
      <c r="K7"/>
      <c r="L7" s="159"/>
      <c r="M7"/>
    </row>
    <row r="8" ht="15.6" spans="7:11">
      <c r="G8" s="3602">
        <v>2022</v>
      </c>
      <c r="H8" s="3603"/>
      <c r="I8" s="3602">
        <f>+G8-1</f>
        <v>2021</v>
      </c>
      <c r="J8" s="1540"/>
      <c r="K8" s="3602">
        <f>+I8-1</f>
        <v>2020</v>
      </c>
    </row>
    <row r="9" ht="12" spans="2:2">
      <c r="B9" s="22" t="s">
        <v>1237</v>
      </c>
    </row>
    <row r="10" ht="12" spans="2:11">
      <c r="B10" s="22"/>
      <c r="C10" s="5069" t="str">
        <f>+B!C15</f>
        <v>Pratama Energy Mandiri (PEM), PT </v>
      </c>
      <c r="G10">
        <f>+B!K15</f>
        <v>0</v>
      </c>
      <c r="I10">
        <f>+B!Q15</f>
        <v>0</v>
      </c>
      <c r="K10" s="64">
        <f>+B!R15</f>
        <v>0</v>
      </c>
    </row>
    <row r="11" ht="12" spans="2:11">
      <c r="B11" s="22"/>
      <c r="C11" s="5069" t="str">
        <f>+B!C16</f>
        <v>Central Motor wheel Indonesia PT </v>
      </c>
      <c r="G11">
        <f>+B!K16</f>
        <v>346533204.6</v>
      </c>
      <c r="I11">
        <f>+B!Q16</f>
        <v>0</v>
      </c>
      <c r="K11" s="64">
        <f>+B!R16</f>
        <v>0</v>
      </c>
    </row>
    <row r="12" ht="12" spans="2:11">
      <c r="B12" s="22"/>
      <c r="C12" s="5069" t="str">
        <f>+B!C17</f>
        <v>Patra Logistic PT. </v>
      </c>
      <c r="G12">
        <f>+B!K17</f>
        <v>292120000</v>
      </c>
      <c r="I12">
        <f>+B!Q17</f>
        <v>874768500</v>
      </c>
      <c r="K12" s="64">
        <f>+B!R17</f>
        <v>746140500</v>
      </c>
    </row>
    <row r="13" ht="12" spans="2:11">
      <c r="B13" s="22"/>
      <c r="C13" s="5069" t="str">
        <f>+B!C18</f>
        <v>Global Multiteknik Sejahtera PT</v>
      </c>
      <c r="G13">
        <f>+B!K18</f>
        <v>54000000</v>
      </c>
      <c r="I13">
        <f>+B!Q18</f>
        <v>127000000</v>
      </c>
      <c r="K13" s="64">
        <f>+B!R18</f>
        <v>0</v>
      </c>
    </row>
    <row r="14" spans="3:12">
      <c r="C14" s="5069" t="str">
        <f>+B!C19</f>
        <v>Sari Pan Facipik</v>
      </c>
      <c r="G14">
        <f>+B!K19</f>
        <v>50737245.6</v>
      </c>
      <c r="H14"/>
      <c r="I14">
        <f>+B!Q21</f>
        <v>85499964</v>
      </c>
      <c r="J14" s="159"/>
      <c r="K14" s="64">
        <f>+B!R21</f>
        <v>128249946</v>
      </c>
      <c r="L14" s="64">
        <v>3011626224</v>
      </c>
    </row>
    <row r="15" spans="3:11">
      <c r="C15" s="5069" t="str">
        <f>+B!C20</f>
        <v>Grahaniaga Tatautama PT</v>
      </c>
      <c r="F15" s="2841"/>
      <c r="G15">
        <f>+B!K20</f>
        <v>48164820</v>
      </c>
      <c r="H15"/>
      <c r="I15">
        <f>+B!Q22</f>
        <v>61121056.7747904</v>
      </c>
      <c r="J15" s="159"/>
      <c r="K15" s="64">
        <f>+B!R22</f>
        <v>103572452.713332</v>
      </c>
    </row>
    <row r="16" spans="3:11">
      <c r="C16" s="5069" t="str">
        <f>+B!C21</f>
        <v>Dharmawangsa Raya Hotel</v>
      </c>
      <c r="F16" s="2841"/>
      <c r="G16">
        <f>+B!K21</f>
        <v>0</v>
      </c>
      <c r="H16"/>
      <c r="I16">
        <f>+B!Q20</f>
        <v>48335950</v>
      </c>
      <c r="J16" s="159"/>
      <c r="K16" s="64">
        <f>+B!R20</f>
        <v>0</v>
      </c>
    </row>
    <row r="17" spans="3:12">
      <c r="C17" s="3604" t="e">
        <f>+B!#REF!</f>
        <v>#REF!</v>
      </c>
      <c r="G17">
        <f>+B!K22</f>
        <v>0</v>
      </c>
      <c r="H17"/>
      <c r="I17">
        <f>+B!Q23</f>
        <v>8852624.5</v>
      </c>
      <c r="J17" s="159"/>
      <c r="K17" s="64">
        <f>+B!R23</f>
        <v>0</v>
      </c>
      <c r="L17" s="64">
        <v>14910324</v>
      </c>
    </row>
    <row r="18" spans="3:11">
      <c r="C18" s="5069" t="str">
        <f>+B!C23</f>
        <v>Para Amartha Gasindo PT</v>
      </c>
      <c r="G18">
        <f>+B!K23</f>
        <v>0</v>
      </c>
      <c r="H18"/>
      <c r="I18">
        <f>+B!Q24</f>
        <v>0</v>
      </c>
      <c r="J18" s="159"/>
      <c r="K18" s="64">
        <f>+B!R24</f>
        <v>244775999.68</v>
      </c>
    </row>
    <row r="19" spans="3:11">
      <c r="C19" s="5069" t="str">
        <f>+B!C24</f>
        <v>Mitra Energi Buana PT </v>
      </c>
      <c r="G19">
        <f>+B!K24</f>
        <v>0</v>
      </c>
      <c r="H19"/>
      <c r="I19">
        <f>+B!Q25</f>
        <v>0</v>
      </c>
      <c r="J19" s="159"/>
      <c r="K19" s="64">
        <f>+B!R25</f>
        <v>10770100</v>
      </c>
    </row>
    <row r="20" spans="3:12">
      <c r="C20" s="5069" t="str">
        <f>+B!C25</f>
        <v>Jakarta International Hotels &amp; Development</v>
      </c>
      <c r="G20">
        <f>+B!K25</f>
        <v>0</v>
      </c>
      <c r="H20"/>
      <c r="I20">
        <f>+B!Q16</f>
        <v>0</v>
      </c>
      <c r="J20" s="159"/>
      <c r="K20" s="64">
        <f>+B!R16</f>
        <v>0</v>
      </c>
      <c r="L20" s="64">
        <v>22780943</v>
      </c>
    </row>
    <row r="21" spans="3:12">
      <c r="C21" s="5069" t="str">
        <f>+B!C26</f>
        <v>Dharma Pratama Sejati PT</v>
      </c>
      <c r="F21" s="2841"/>
      <c r="G21">
        <f>+B!K26</f>
        <v>0</v>
      </c>
      <c r="H21"/>
      <c r="I21">
        <f>+B!Q26</f>
        <v>0</v>
      </c>
      <c r="J21" s="159"/>
      <c r="K21" s="64">
        <f>+B!R26</f>
        <v>0</v>
      </c>
      <c r="L21" s="64">
        <v>58443193</v>
      </c>
    </row>
    <row r="22" spans="3:12">
      <c r="C22" s="5069" t="str">
        <f>+B!C27</f>
        <v>Surya Gilang Perkasa PT. </v>
      </c>
      <c r="G22">
        <f>+B!K27</f>
        <v>0</v>
      </c>
      <c r="H22"/>
      <c r="I22">
        <f>+B!Q27</f>
        <v>0</v>
      </c>
      <c r="K22" s="64">
        <f>+B!R27</f>
        <v>0</v>
      </c>
      <c r="L22" s="64">
        <v>29893462</v>
      </c>
    </row>
    <row r="23" spans="3:12">
      <c r="C23"/>
      <c r="G23" s="2402"/>
      <c r="H23"/>
      <c r="I23" s="2402"/>
      <c r="K23" s="2402"/>
      <c r="L23" s="64">
        <v>0</v>
      </c>
    </row>
    <row r="24" ht="12.75" spans="3:12">
      <c r="C24" s="94" t="s">
        <v>1477</v>
      </c>
      <c r="G24" s="3605">
        <f>SUM(G10:G23)</f>
        <v>791555270.2</v>
      </c>
      <c r="H24"/>
      <c r="I24" s="3605">
        <f>SUM(I10:I23)</f>
        <v>1205578095.27479</v>
      </c>
      <c r="K24" s="3323">
        <f>SUM(K10:K23)</f>
        <v>1233508998.39333</v>
      </c>
      <c r="L24" s="64">
        <v>0</v>
      </c>
    </row>
    <row r="25" ht="12.15"/>
    <row r="29" spans="10:12">
      <c r="J29" s="64"/>
      <c r="L29" s="64">
        <v>10550687</v>
      </c>
    </row>
    <row r="30" spans="10:12">
      <c r="J30" s="64"/>
      <c r="L30" s="64">
        <v>9800000</v>
      </c>
    </row>
    <row r="31" spans="10:12">
      <c r="J31" s="64"/>
      <c r="L31" s="64">
        <v>8865320</v>
      </c>
    </row>
    <row r="32" spans="10:12">
      <c r="J32" s="64"/>
      <c r="L32" s="64">
        <v>8003772</v>
      </c>
    </row>
    <row r="33" spans="10:12">
      <c r="J33" s="64"/>
      <c r="L33" s="64">
        <v>7199656</v>
      </c>
    </row>
    <row r="34" spans="10:12">
      <c r="J34" s="64"/>
      <c r="L34" s="64">
        <v>7020000</v>
      </c>
    </row>
    <row r="35" spans="10:12">
      <c r="J35" s="64"/>
      <c r="L35" s="64">
        <v>6732837</v>
      </c>
    </row>
    <row r="36" spans="10:12">
      <c r="J36" s="64"/>
      <c r="L36" s="64">
        <v>5712000</v>
      </c>
    </row>
    <row r="37" spans="10:12">
      <c r="J37" s="64"/>
      <c r="L37" s="64">
        <v>5162328</v>
      </c>
    </row>
    <row r="38" spans="10:12">
      <c r="J38" s="64"/>
      <c r="L38" s="64">
        <v>0</v>
      </c>
    </row>
    <row r="39" spans="10:12">
      <c r="J39" s="64"/>
      <c r="L39" s="64">
        <v>0</v>
      </c>
    </row>
    <row r="40" spans="10:12">
      <c r="J40" s="64"/>
      <c r="L40" s="64">
        <v>42512741.6</v>
      </c>
    </row>
    <row r="41" spans="10:10">
      <c r="J41" s="64"/>
    </row>
    <row r="44" spans="12:12">
      <c r="L44" s="64">
        <v>1804711634</v>
      </c>
    </row>
    <row r="45" spans="12:12">
      <c r="L45" s="64">
        <v>350035452</v>
      </c>
    </row>
    <row r="46" spans="10:12">
      <c r="J46" s="64"/>
      <c r="L46" s="64">
        <v>100494329</v>
      </c>
    </row>
    <row r="47" spans="10:12">
      <c r="J47" s="64"/>
      <c r="L47" s="64">
        <v>34518670</v>
      </c>
    </row>
    <row r="48" spans="10:12">
      <c r="J48" s="64"/>
      <c r="L48" s="64">
        <v>13274452</v>
      </c>
    </row>
    <row r="49" spans="10:12">
      <c r="J49" s="64"/>
      <c r="L49" s="64">
        <v>23279950</v>
      </c>
    </row>
    <row r="50" spans="5:6">
      <c r="E50" s="2841"/>
      <c r="F50"/>
    </row>
    <row r="51" spans="5:6">
      <c r="E51" s="2841"/>
      <c r="F51"/>
    </row>
    <row r="52" spans="5:12">
      <c r="E52" s="2841"/>
      <c r="F52"/>
      <c r="L52">
        <f>SUM(L14:L50)</f>
        <v>5575527974.6</v>
      </c>
    </row>
    <row r="53" spans="5:6">
      <c r="E53" s="2841"/>
      <c r="F53"/>
    </row>
    <row r="54" spans="5:6">
      <c r="E54" s="2841"/>
      <c r="F54"/>
    </row>
    <row r="55" spans="5:6">
      <c r="E55" s="2841"/>
      <c r="F55"/>
    </row>
    <row r="56" spans="5:6">
      <c r="E56" s="2841"/>
      <c r="F56"/>
    </row>
    <row r="57" spans="5:6">
      <c r="E57" s="2841"/>
      <c r="F57"/>
    </row>
    <row r="58" spans="5:6">
      <c r="E58" s="2841"/>
      <c r="F58"/>
    </row>
    <row r="60" spans="5:6">
      <c r="E60" s="2841"/>
      <c r="F60"/>
    </row>
    <row r="61" spans="5:6">
      <c r="E61" s="2841"/>
      <c r="F61"/>
    </row>
    <row r="62" spans="5:6">
      <c r="E62" s="2841"/>
      <c r="F62"/>
    </row>
    <row r="63" spans="5:6">
      <c r="E63" s="2841"/>
      <c r="F63"/>
    </row>
    <row r="64" spans="5:6">
      <c r="E64" s="2841"/>
      <c r="F64"/>
    </row>
    <row r="65" spans="5:6">
      <c r="E65" s="2841"/>
      <c r="F65"/>
    </row>
    <row r="66" spans="5:6">
      <c r="E66" s="2841"/>
      <c r="F66"/>
    </row>
    <row r="67" ht="12" spans="2:2">
      <c r="B67" s="94" t="e">
        <f>+B2</f>
        <v>#REF!</v>
      </c>
    </row>
    <row r="68" spans="2:2">
      <c r="B68" s="64" t="s">
        <v>1475</v>
      </c>
    </row>
    <row r="69" spans="2:2">
      <c r="B69" s="5068" t="s">
        <v>1478</v>
      </c>
    </row>
    <row r="70" spans="2:9">
      <c r="B70" s="2402"/>
      <c r="C70" s="2402"/>
      <c r="D70" s="2402"/>
      <c r="E70" s="2402"/>
      <c r="F70" s="2402"/>
      <c r="G70" s="2402"/>
      <c r="H70" s="2402"/>
      <c r="I70" s="2402"/>
    </row>
    <row r="71" spans="2:9">
      <c r="B71"/>
      <c r="C71"/>
      <c r="D71"/>
      <c r="E71"/>
      <c r="F71"/>
      <c r="G71"/>
      <c r="H71"/>
      <c r="I71"/>
    </row>
    <row r="72" spans="2:9">
      <c r="B72"/>
      <c r="C72"/>
      <c r="D72"/>
      <c r="G72"/>
      <c r="H72"/>
      <c r="I72"/>
    </row>
    <row r="73" ht="15.6" spans="7:9">
      <c r="G73" s="3602">
        <v>2021</v>
      </c>
      <c r="H73" s="3603"/>
      <c r="I73" s="3602">
        <f>+G73-1</f>
        <v>2020</v>
      </c>
    </row>
    <row r="74" ht="12" spans="2:2">
      <c r="B74" s="22" t="s">
        <v>1237</v>
      </c>
    </row>
    <row r="75" ht="12" hidden="1" spans="2:9">
      <c r="B75" s="22"/>
      <c r="C75" s="5069" t="s">
        <v>1238</v>
      </c>
      <c r="G75">
        <f>+B!Q15</f>
        <v>0</v>
      </c>
      <c r="I75">
        <f>+B!R15</f>
        <v>0</v>
      </c>
    </row>
    <row r="76" ht="12" hidden="1" spans="2:9">
      <c r="B76" s="22"/>
      <c r="C76" s="5069" t="s">
        <v>1239</v>
      </c>
      <c r="G76">
        <f>+B!Q16</f>
        <v>0</v>
      </c>
      <c r="I76">
        <f>+B!R16</f>
        <v>0</v>
      </c>
    </row>
    <row r="77" ht="12" spans="2:9">
      <c r="B77" s="22"/>
      <c r="C77" s="5069" t="s">
        <v>1240</v>
      </c>
      <c r="G77">
        <f>+B!Q17</f>
        <v>874768500</v>
      </c>
      <c r="I77">
        <f>+B!R17</f>
        <v>746140500</v>
      </c>
    </row>
    <row r="78" ht="12" spans="2:9">
      <c r="B78" s="22"/>
      <c r="C78" s="5069" t="s">
        <v>1241</v>
      </c>
      <c r="G78">
        <f>+B!Q18</f>
        <v>127000000</v>
      </c>
      <c r="I78">
        <f>+B!R18</f>
        <v>0</v>
      </c>
    </row>
    <row r="79" hidden="1" spans="3:9">
      <c r="C79" s="5069" t="s">
        <v>1242</v>
      </c>
      <c r="G79">
        <f>+B!Q19</f>
        <v>0</v>
      </c>
      <c r="H79"/>
      <c r="I79">
        <f>+B!R19</f>
        <v>0</v>
      </c>
    </row>
    <row r="80" spans="3:9">
      <c r="C80" s="5069" t="s">
        <v>1243</v>
      </c>
      <c r="F80" s="2841"/>
      <c r="G80">
        <f>+B!Q20</f>
        <v>48335950</v>
      </c>
      <c r="H80"/>
      <c r="I80">
        <f>+B!R20</f>
        <v>0</v>
      </c>
    </row>
    <row r="81" spans="3:9">
      <c r="C81" s="5069" t="s">
        <v>1244</v>
      </c>
      <c r="F81" s="2841"/>
      <c r="G81">
        <f>+B!Q21</f>
        <v>85499964</v>
      </c>
      <c r="H81"/>
      <c r="I81">
        <f>+B!R21</f>
        <v>128249946</v>
      </c>
    </row>
    <row r="82" spans="3:9">
      <c r="C82" s="5069" t="s">
        <v>1479</v>
      </c>
      <c r="G82">
        <f>+B!Q22</f>
        <v>61121056.7747904</v>
      </c>
      <c r="H82"/>
      <c r="I82">
        <f>+B!R22</f>
        <v>103572452.713332</v>
      </c>
    </row>
    <row r="83" spans="3:9">
      <c r="C83" s="5069" t="s">
        <v>1246</v>
      </c>
      <c r="G83">
        <f>+B!Q23</f>
        <v>8852624.5</v>
      </c>
      <c r="H83"/>
      <c r="I83">
        <f>+B!R23</f>
        <v>0</v>
      </c>
    </row>
    <row r="84" spans="3:9">
      <c r="C84" s="5069" t="s">
        <v>1247</v>
      </c>
      <c r="G84">
        <f>+B!Q24</f>
        <v>0</v>
      </c>
      <c r="H84"/>
      <c r="I84">
        <f>+B!R24</f>
        <v>244775999.68</v>
      </c>
    </row>
    <row r="85" spans="3:9">
      <c r="C85" s="5069" t="s">
        <v>1248</v>
      </c>
      <c r="G85">
        <f>+B!Q25</f>
        <v>0</v>
      </c>
      <c r="H85"/>
      <c r="I85">
        <f>+B!R25</f>
        <v>10770100</v>
      </c>
    </row>
    <row r="86" hidden="1" spans="3:9">
      <c r="C86" s="5069" t="s">
        <v>1249</v>
      </c>
      <c r="F86" s="2841"/>
      <c r="G86">
        <f>+B!Q26</f>
        <v>0</v>
      </c>
      <c r="H86"/>
      <c r="I86">
        <f>+B!R26</f>
        <v>0</v>
      </c>
    </row>
    <row r="87" hidden="1" spans="3:9">
      <c r="C87" s="5069" t="s">
        <v>1250</v>
      </c>
      <c r="G87">
        <f>+B!Q27</f>
        <v>0</v>
      </c>
      <c r="H87"/>
      <c r="I87">
        <f>+B!R27</f>
        <v>0</v>
      </c>
    </row>
    <row r="88" spans="3:9">
      <c r="C88"/>
      <c r="G88" s="2402"/>
      <c r="H88"/>
      <c r="I88" s="2402"/>
    </row>
    <row r="89" ht="12.75" spans="3:9">
      <c r="C89" s="94" t="s">
        <v>1477</v>
      </c>
      <c r="G89" s="3605">
        <f>SUM(G75:G88)</f>
        <v>1205578095.27479</v>
      </c>
      <c r="H89"/>
      <c r="I89" s="3605">
        <f>SUM(I75:I88)</f>
        <v>1233508998.39333</v>
      </c>
    </row>
    <row r="90" ht="12.15"/>
    <row r="95" spans="5:6">
      <c r="E95" s="2841"/>
      <c r="F95"/>
    </row>
    <row r="96" spans="5:6">
      <c r="E96" s="2841"/>
      <c r="F96"/>
    </row>
    <row r="97" spans="5:6">
      <c r="E97" s="2841"/>
      <c r="F97"/>
    </row>
    <row r="98" spans="5:6">
      <c r="E98" s="2841"/>
      <c r="F98"/>
    </row>
    <row r="99" spans="5:6">
      <c r="E99" s="2841"/>
      <c r="F99"/>
    </row>
    <row r="100" spans="5:6">
      <c r="E100" s="2841"/>
      <c r="F100"/>
    </row>
    <row r="101" spans="5:6">
      <c r="E101" s="2841"/>
      <c r="F101"/>
    </row>
    <row r="102" spans="5:6">
      <c r="E102" s="2841"/>
      <c r="F102"/>
    </row>
    <row r="103" spans="5:6">
      <c r="E103" s="2841"/>
      <c r="F103"/>
    </row>
    <row r="104" spans="5:6">
      <c r="E104" s="2841"/>
      <c r="F104"/>
    </row>
    <row r="105" spans="5:6">
      <c r="E105" s="2841"/>
      <c r="F105"/>
    </row>
    <row r="106" spans="5:6">
      <c r="E106" s="2841"/>
      <c r="F106"/>
    </row>
    <row r="107" spans="5:6">
      <c r="E107" s="2841"/>
      <c r="F107"/>
    </row>
    <row r="108" spans="5:6">
      <c r="E108" s="2841"/>
      <c r="F108"/>
    </row>
    <row r="109" spans="5:6">
      <c r="E109" s="2841"/>
      <c r="F109"/>
    </row>
    <row r="110" spans="5:6">
      <c r="E110" s="2841"/>
      <c r="F110"/>
    </row>
    <row r="111" spans="5:6">
      <c r="E111" s="2841"/>
      <c r="F111"/>
    </row>
    <row r="112" spans="5:6">
      <c r="E112" s="2841"/>
      <c r="F112"/>
    </row>
    <row r="113" spans="5:6">
      <c r="E113" s="2841"/>
      <c r="F113"/>
    </row>
    <row r="114" spans="5:6">
      <c r="E114" s="2841"/>
      <c r="F114"/>
    </row>
    <row r="115" spans="5:6">
      <c r="E115" s="2841"/>
      <c r="F115"/>
    </row>
  </sheetData>
  <pageMargins left="0.78740157480315" right="0.590551181102362" top="0.590551181102362" bottom="0.590551181102362" header="0.31496062992126" footer="0.31496062992126"/>
  <pageSetup paperSize="9" orientation="portrait"/>
  <headerFooter/>
  <ignoredErrors>
    <ignoredError sqref="J8" numberStoredAsText="1"/>
  </ignoredError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6"/>
  <dimension ref="B2:E37"/>
  <sheetViews>
    <sheetView workbookViewId="0">
      <selection activeCell="H37" sqref="H37"/>
    </sheetView>
  </sheetViews>
  <sheetFormatPr defaultColWidth="9" defaultRowHeight="11.4" outlineLevelCol="4"/>
  <cols>
    <col min="2" max="2" width="30.8645833333333" customWidth="1"/>
    <col min="4" max="4" width="12.1354166666667" customWidth="1"/>
    <col min="5" max="5" width="12.7395833333333" customWidth="1"/>
  </cols>
  <sheetData>
    <row r="2" ht="15.6" spans="2:2">
      <c r="B2" s="2553" t="s">
        <v>1480</v>
      </c>
    </row>
    <row r="4" ht="12" spans="2:5">
      <c r="B4" t="s">
        <v>1202</v>
      </c>
      <c r="D4" s="1540">
        <v>2020</v>
      </c>
      <c r="E4" s="1540">
        <v>2019</v>
      </c>
    </row>
    <row r="6" spans="2:5">
      <c r="B6" t="s">
        <v>1481</v>
      </c>
      <c r="E6">
        <f>3449221*0</f>
        <v>0</v>
      </c>
    </row>
    <row r="7" spans="2:5">
      <c r="B7" t="s">
        <v>1482</v>
      </c>
      <c r="E7">
        <v>3150000</v>
      </c>
    </row>
    <row r="8" spans="2:5">
      <c r="B8" t="s">
        <v>1483</v>
      </c>
      <c r="E8">
        <v>3147169</v>
      </c>
    </row>
    <row r="9" spans="2:5">
      <c r="B9" t="s">
        <v>1484</v>
      </c>
      <c r="E9">
        <v>2714994</v>
      </c>
    </row>
    <row r="10" spans="2:5">
      <c r="B10" t="s">
        <v>1485</v>
      </c>
      <c r="E10">
        <v>2585313</v>
      </c>
    </row>
    <row r="11" spans="2:5">
      <c r="B11" t="s">
        <v>1486</v>
      </c>
      <c r="E11">
        <v>2301825</v>
      </c>
    </row>
    <row r="12" spans="2:5">
      <c r="B12" t="s">
        <v>1487</v>
      </c>
      <c r="E12">
        <v>2273700</v>
      </c>
    </row>
    <row r="13" spans="2:5">
      <c r="B13" t="s">
        <v>1488</v>
      </c>
      <c r="E13">
        <v>2248926</v>
      </c>
    </row>
    <row r="14" spans="2:5">
      <c r="B14" t="s">
        <v>1489</v>
      </c>
      <c r="E14">
        <f>2095762*0</f>
        <v>0</v>
      </c>
    </row>
    <row r="15" spans="2:5">
      <c r="B15" t="s">
        <v>1490</v>
      </c>
      <c r="E15">
        <v>2043084</v>
      </c>
    </row>
    <row r="16" spans="2:5">
      <c r="B16" t="s">
        <v>1491</v>
      </c>
      <c r="E16">
        <v>1838145</v>
      </c>
    </row>
    <row r="17" spans="2:5">
      <c r="B17" t="s">
        <v>1492</v>
      </c>
      <c r="E17">
        <f>1788783*0</f>
        <v>0</v>
      </c>
    </row>
    <row r="18" spans="2:5">
      <c r="B18" t="s">
        <v>1493</v>
      </c>
      <c r="E18">
        <v>1309399</v>
      </c>
    </row>
    <row r="19" spans="2:5">
      <c r="B19" t="s">
        <v>1494</v>
      </c>
      <c r="E19">
        <v>1229098</v>
      </c>
    </row>
    <row r="20" spans="2:5">
      <c r="B20" t="s">
        <v>1495</v>
      </c>
      <c r="E20">
        <v>1088535</v>
      </c>
    </row>
    <row r="21" spans="2:5">
      <c r="B21" t="s">
        <v>1496</v>
      </c>
      <c r="E21">
        <v>1082265</v>
      </c>
    </row>
    <row r="22" spans="2:5">
      <c r="B22" t="s">
        <v>1497</v>
      </c>
      <c r="E22">
        <v>1024773</v>
      </c>
    </row>
    <row r="23" spans="2:5">
      <c r="B23" t="s">
        <v>1498</v>
      </c>
      <c r="E23">
        <v>887741</v>
      </c>
    </row>
    <row r="24" spans="2:5">
      <c r="B24" t="s">
        <v>1499</v>
      </c>
      <c r="E24">
        <v>853536</v>
      </c>
    </row>
    <row r="25" spans="2:5">
      <c r="B25" t="s">
        <v>1500</v>
      </c>
      <c r="E25">
        <v>701325</v>
      </c>
    </row>
    <row r="26" spans="2:5">
      <c r="B26" t="s">
        <v>1501</v>
      </c>
      <c r="E26">
        <v>672000</v>
      </c>
    </row>
    <row r="27" spans="2:5">
      <c r="B27" t="s">
        <v>1502</v>
      </c>
      <c r="E27">
        <v>590864</v>
      </c>
    </row>
    <row r="28" spans="2:5">
      <c r="B28" t="s">
        <v>1503</v>
      </c>
      <c r="E28">
        <v>410356</v>
      </c>
    </row>
    <row r="29" spans="2:5">
      <c r="B29" t="s">
        <v>1504</v>
      </c>
      <c r="E29">
        <v>332430</v>
      </c>
    </row>
    <row r="30" spans="2:5">
      <c r="B30" t="s">
        <v>1505</v>
      </c>
      <c r="E30">
        <v>327942</v>
      </c>
    </row>
    <row r="31" spans="2:5">
      <c r="B31" t="s">
        <v>1506</v>
      </c>
      <c r="E31">
        <v>253313</v>
      </c>
    </row>
    <row r="32" spans="2:5">
      <c r="B32" t="s">
        <v>1507</v>
      </c>
      <c r="E32">
        <v>221577</v>
      </c>
    </row>
    <row r="33" spans="2:5">
      <c r="B33" t="s">
        <v>1508</v>
      </c>
      <c r="E33">
        <v>189879</v>
      </c>
    </row>
    <row r="34" spans="2:5">
      <c r="B34" t="s">
        <v>1509</v>
      </c>
      <c r="E34">
        <v>157239</v>
      </c>
    </row>
    <row r="35" spans="4:4">
      <c r="D35">
        <f>[86]LAIN2!$D$22</f>
        <v>20966325</v>
      </c>
    </row>
    <row r="37" ht="12" spans="2:5">
      <c r="B37" s="94" t="s">
        <v>947</v>
      </c>
      <c r="C37" s="94"/>
      <c r="D37" s="756">
        <f>SUM(D6:D36)</f>
        <v>20966325</v>
      </c>
      <c r="E37" s="756">
        <f>SUM(E6:E36)</f>
        <v>33635428</v>
      </c>
    </row>
  </sheetData>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3"/>
  <dimension ref="A1:M235"/>
  <sheetViews>
    <sheetView workbookViewId="0">
      <pane xSplit="5" ySplit="6" topLeftCell="F118" activePane="bottomRight" state="frozen"/>
      <selection/>
      <selection pane="topRight"/>
      <selection pane="bottomLeft"/>
      <selection pane="bottomRight" activeCell="D126" sqref="D126"/>
    </sheetView>
  </sheetViews>
  <sheetFormatPr defaultColWidth="8.84375" defaultRowHeight="14.4"/>
  <cols>
    <col min="1" max="1" width="8.84375" style="3596"/>
    <col min="2" max="2" width="10.78125" style="3596" customWidth="1"/>
    <col min="3" max="3" width="3.73958333333333" style="3596" customWidth="1"/>
    <col min="4" max="4" width="26.6666666666667" style="3596" customWidth="1"/>
    <col min="5" max="5" width="17.8333333333333" style="3596" customWidth="1"/>
    <col min="6" max="7" width="17.2291666666667" style="3596" customWidth="1"/>
    <col min="8" max="12" width="11.6875" style="3596" customWidth="1"/>
    <col min="13" max="13" width="10.1875" style="3596" customWidth="1"/>
    <col min="14" max="16384" width="8.84375" style="3596"/>
  </cols>
  <sheetData>
    <row r="1" ht="15" customHeight="1" spans="2:13">
      <c r="B1" s="5070" t="s">
        <v>1510</v>
      </c>
      <c r="C1" s="2851"/>
      <c r="D1" s="2851"/>
      <c r="E1" s="2851"/>
      <c r="F1" s="2851"/>
      <c r="G1" s="2851"/>
      <c r="H1" s="2851"/>
      <c r="I1" s="2851"/>
      <c r="J1" s="2851"/>
      <c r="K1" s="2851"/>
      <c r="L1" s="2851"/>
      <c r="M1" s="2851"/>
    </row>
    <row r="2" ht="23.25" customHeight="1" spans="2:13">
      <c r="B2" s="5071" t="s">
        <v>1511</v>
      </c>
      <c r="C2" s="2853"/>
      <c r="D2" s="2853"/>
      <c r="E2" s="2853"/>
      <c r="F2" s="2853"/>
      <c r="G2" s="2853"/>
      <c r="H2" s="2853"/>
      <c r="I2" s="2853"/>
      <c r="J2" s="2853"/>
      <c r="K2" s="2853"/>
      <c r="L2" s="2853"/>
      <c r="M2" s="2853"/>
    </row>
    <row r="3" ht="14.1" customHeight="1" spans="2:13">
      <c r="B3" s="5072" t="s">
        <v>1512</v>
      </c>
      <c r="C3" s="3597"/>
      <c r="D3" s="3597"/>
      <c r="E3" s="3597"/>
      <c r="F3" s="3598" t="s">
        <v>1513</v>
      </c>
      <c r="G3" s="3597"/>
      <c r="H3" s="3597"/>
      <c r="I3" s="3597"/>
      <c r="J3" s="3597"/>
      <c r="K3" s="3597"/>
      <c r="L3" s="3597"/>
      <c r="M3" s="3597"/>
    </row>
    <row r="4" ht="12" customHeight="1" spans="2:13">
      <c r="B4" s="5073" t="s">
        <v>1514</v>
      </c>
      <c r="C4" s="3600"/>
      <c r="D4" s="3600"/>
      <c r="E4" s="3600"/>
      <c r="F4" s="3600"/>
      <c r="G4" s="3600"/>
      <c r="H4" s="3600"/>
      <c r="I4" s="3600"/>
      <c r="J4" s="3600"/>
      <c r="K4" s="3600"/>
      <c r="L4" s="3600"/>
      <c r="M4" s="3600"/>
    </row>
    <row r="5" ht="12" customHeight="1" spans="2:13">
      <c r="B5" s="3599"/>
      <c r="C5" s="3600"/>
      <c r="D5" s="3600"/>
      <c r="E5" s="3600"/>
      <c r="F5" s="3600"/>
      <c r="G5" s="3600"/>
      <c r="H5" s="3600"/>
      <c r="I5" s="3600"/>
      <c r="J5" s="3600"/>
      <c r="K5" s="3600"/>
      <c r="L5" s="3600"/>
      <c r="M5" s="3600"/>
    </row>
    <row r="6" ht="12" customHeight="1" spans="4:12">
      <c r="D6" s="5074" t="s">
        <v>1515</v>
      </c>
      <c r="E6" s="3601"/>
      <c r="F6" s="5074" t="s">
        <v>1316</v>
      </c>
      <c r="G6" s="5074" t="s">
        <v>1311</v>
      </c>
      <c r="H6" s="3601">
        <v>44226</v>
      </c>
      <c r="I6" s="3601" t="s">
        <v>1312</v>
      </c>
      <c r="J6" s="3601" t="s">
        <v>1313</v>
      </c>
      <c r="K6" s="3601" t="s">
        <v>1314</v>
      </c>
      <c r="L6" s="5074" t="s">
        <v>1315</v>
      </c>
    </row>
    <row r="7" ht="12" customHeight="1" spans="4:4">
      <c r="D7" s="3599"/>
    </row>
    <row r="8" ht="12" customHeight="1" spans="2:12">
      <c r="B8" s="3596" t="s">
        <v>1516</v>
      </c>
      <c r="D8" s="5075" t="s">
        <v>1517</v>
      </c>
      <c r="E8" s="2841"/>
      <c r="F8">
        <v>7240000</v>
      </c>
      <c r="G8">
        <v>7240000</v>
      </c>
      <c r="H8">
        <v>0</v>
      </c>
      <c r="I8">
        <v>0</v>
      </c>
      <c r="J8">
        <v>0</v>
      </c>
      <c r="K8">
        <v>0</v>
      </c>
      <c r="L8">
        <v>0</v>
      </c>
    </row>
    <row r="9" ht="12" customHeight="1" spans="2:12">
      <c r="B9" s="3596" t="s">
        <v>1516</v>
      </c>
      <c r="D9" s="5075" t="s">
        <v>1518</v>
      </c>
      <c r="E9" s="2841"/>
      <c r="F9">
        <v>185000</v>
      </c>
      <c r="G9">
        <v>185000</v>
      </c>
      <c r="H9">
        <v>0</v>
      </c>
      <c r="I9">
        <v>0</v>
      </c>
      <c r="J9">
        <v>0</v>
      </c>
      <c r="K9">
        <v>0</v>
      </c>
      <c r="L9">
        <v>0</v>
      </c>
    </row>
    <row r="10" ht="12" customHeight="1" spans="2:12">
      <c r="B10" s="3596" t="s">
        <v>1516</v>
      </c>
      <c r="D10" s="5075" t="s">
        <v>1519</v>
      </c>
      <c r="E10" s="2841"/>
      <c r="F10">
        <v>229579</v>
      </c>
      <c r="G10">
        <v>0</v>
      </c>
      <c r="H10">
        <v>0</v>
      </c>
      <c r="I10">
        <v>229579</v>
      </c>
      <c r="J10">
        <v>0</v>
      </c>
      <c r="K10">
        <v>0</v>
      </c>
      <c r="L10">
        <v>0</v>
      </c>
    </row>
    <row r="11" ht="12" customHeight="1" spans="2:12">
      <c r="B11" s="3596" t="s">
        <v>1516</v>
      </c>
      <c r="D11" s="5075" t="s">
        <v>1520</v>
      </c>
      <c r="E11" s="2841"/>
      <c r="F11">
        <v>10500000</v>
      </c>
      <c r="G11">
        <v>10500000</v>
      </c>
      <c r="H11">
        <v>0</v>
      </c>
      <c r="I11">
        <v>0</v>
      </c>
      <c r="J11">
        <v>0</v>
      </c>
      <c r="K11">
        <v>0</v>
      </c>
      <c r="L11">
        <v>0</v>
      </c>
    </row>
    <row r="12" ht="12" customHeight="1" spans="2:12">
      <c r="B12" s="3596" t="s">
        <v>1516</v>
      </c>
      <c r="D12" s="5075" t="s">
        <v>1521</v>
      </c>
      <c r="E12" s="2841"/>
      <c r="F12">
        <v>20355000</v>
      </c>
      <c r="G12">
        <v>20355000</v>
      </c>
      <c r="H12">
        <v>0</v>
      </c>
      <c r="I12">
        <v>0</v>
      </c>
      <c r="J12">
        <v>0</v>
      </c>
      <c r="K12">
        <v>0</v>
      </c>
      <c r="L12">
        <v>0</v>
      </c>
    </row>
    <row r="13" ht="12" customHeight="1" spans="2:12">
      <c r="B13" s="3596" t="s">
        <v>1516</v>
      </c>
      <c r="D13" s="5075" t="s">
        <v>1522</v>
      </c>
      <c r="E13" s="2841"/>
      <c r="F13">
        <v>7500000</v>
      </c>
      <c r="G13">
        <v>7500000</v>
      </c>
      <c r="H13">
        <v>0</v>
      </c>
      <c r="I13">
        <v>0</v>
      </c>
      <c r="J13">
        <v>0</v>
      </c>
      <c r="K13">
        <v>0</v>
      </c>
      <c r="L13">
        <v>0</v>
      </c>
    </row>
    <row r="14" ht="12" customHeight="1" spans="2:12">
      <c r="B14" s="3596" t="s">
        <v>1516</v>
      </c>
      <c r="D14" s="5075" t="s">
        <v>1523</v>
      </c>
      <c r="E14" s="2841"/>
      <c r="F14">
        <v>48600000</v>
      </c>
      <c r="G14">
        <v>48600000</v>
      </c>
      <c r="H14">
        <v>0</v>
      </c>
      <c r="I14">
        <v>0</v>
      </c>
      <c r="J14">
        <v>0</v>
      </c>
      <c r="K14">
        <v>0</v>
      </c>
      <c r="L14">
        <v>0</v>
      </c>
    </row>
    <row r="15" ht="12" customHeight="1" spans="2:12">
      <c r="B15" s="3596" t="s">
        <v>1524</v>
      </c>
      <c r="D15" s="5075" t="s">
        <v>1525</v>
      </c>
      <c r="E15">
        <f>SUM(F15:F16)</f>
        <v>158579942</v>
      </c>
      <c r="F15">
        <v>22499942</v>
      </c>
      <c r="G15">
        <v>22499942</v>
      </c>
      <c r="H15">
        <v>0</v>
      </c>
      <c r="I15">
        <v>0</v>
      </c>
      <c r="J15">
        <v>0</v>
      </c>
      <c r="K15">
        <v>0</v>
      </c>
      <c r="L15">
        <v>0</v>
      </c>
    </row>
    <row r="16" ht="12" customHeight="1" spans="2:12">
      <c r="B16" s="3596" t="s">
        <v>1526</v>
      </c>
      <c r="D16" s="5075" t="s">
        <v>1527</v>
      </c>
      <c r="E16" s="2841"/>
      <c r="F16">
        <v>136080000</v>
      </c>
      <c r="G16">
        <v>136080000</v>
      </c>
      <c r="H16">
        <v>0</v>
      </c>
      <c r="I16">
        <v>0</v>
      </c>
      <c r="J16">
        <v>0</v>
      </c>
      <c r="K16">
        <v>0</v>
      </c>
      <c r="L16">
        <v>0</v>
      </c>
    </row>
    <row r="17" ht="12" customHeight="1" spans="2:12">
      <c r="B17" s="3596" t="s">
        <v>1516</v>
      </c>
      <c r="D17" s="5075" t="s">
        <v>1528</v>
      </c>
      <c r="E17" s="2841"/>
      <c r="F17">
        <v>112000000</v>
      </c>
      <c r="G17">
        <v>112000000</v>
      </c>
      <c r="H17">
        <v>0</v>
      </c>
      <c r="I17">
        <v>0</v>
      </c>
      <c r="J17">
        <v>0</v>
      </c>
      <c r="K17">
        <v>0</v>
      </c>
      <c r="L17">
        <v>0</v>
      </c>
    </row>
    <row r="18" ht="12" customHeight="1" spans="4:12">
      <c r="D18" s="2841"/>
      <c r="E18">
        <f>SUM(F8:F17)</f>
        <v>365189521</v>
      </c>
      <c r="F18"/>
      <c r="G18"/>
      <c r="H18"/>
      <c r="I18"/>
      <c r="J18"/>
      <c r="K18"/>
      <c r="L18"/>
    </row>
    <row r="19" ht="12" customHeight="1" spans="2:12">
      <c r="B19" s="3596" t="s">
        <v>1529</v>
      </c>
      <c r="D19" s="5075" t="s">
        <v>1530</v>
      </c>
      <c r="E19">
        <f>E18-F16-F15</f>
        <v>206609579</v>
      </c>
      <c r="F19">
        <v>866200</v>
      </c>
      <c r="G19">
        <v>866200</v>
      </c>
      <c r="H19">
        <v>0</v>
      </c>
      <c r="I19">
        <v>0</v>
      </c>
      <c r="J19">
        <v>0</v>
      </c>
      <c r="K19">
        <v>0</v>
      </c>
      <c r="L19">
        <v>0</v>
      </c>
    </row>
    <row r="20" ht="12" customHeight="1" spans="2:12">
      <c r="B20" s="3596" t="s">
        <v>1529</v>
      </c>
      <c r="D20" s="5075" t="s">
        <v>1531</v>
      </c>
      <c r="E20" t="e">
        <f>SUM(#REF!)-E19</f>
        <v>#REF!</v>
      </c>
      <c r="F20">
        <v>22403287</v>
      </c>
      <c r="G20">
        <v>22403287</v>
      </c>
      <c r="H20">
        <v>0</v>
      </c>
      <c r="I20">
        <v>0</v>
      </c>
      <c r="J20">
        <v>0</v>
      </c>
      <c r="K20">
        <v>0</v>
      </c>
      <c r="L20">
        <v>0</v>
      </c>
    </row>
    <row r="21" ht="12" customHeight="1" spans="2:12">
      <c r="B21" s="3596" t="s">
        <v>1529</v>
      </c>
      <c r="D21" s="5075" t="s">
        <v>1532</v>
      </c>
      <c r="E21" s="2841"/>
      <c r="F21">
        <v>1642800</v>
      </c>
      <c r="G21">
        <v>1642800</v>
      </c>
      <c r="H21">
        <v>0</v>
      </c>
      <c r="I21">
        <v>0</v>
      </c>
      <c r="J21">
        <v>0</v>
      </c>
      <c r="K21">
        <v>0</v>
      </c>
      <c r="L21">
        <v>0</v>
      </c>
    </row>
    <row r="22" ht="12" customHeight="1" spans="2:12">
      <c r="B22" s="3596" t="s">
        <v>1529</v>
      </c>
      <c r="D22" s="5075" t="s">
        <v>1533</v>
      </c>
      <c r="E22" s="2841"/>
      <c r="F22">
        <v>1105000</v>
      </c>
      <c r="G22">
        <v>1105000</v>
      </c>
      <c r="H22">
        <v>0</v>
      </c>
      <c r="I22">
        <v>0</v>
      </c>
      <c r="J22">
        <v>0</v>
      </c>
      <c r="K22">
        <v>0</v>
      </c>
      <c r="L22">
        <v>0</v>
      </c>
    </row>
    <row r="23" ht="12" customHeight="1" spans="2:12">
      <c r="B23" s="3596" t="s">
        <v>1529</v>
      </c>
      <c r="D23" s="5075" t="s">
        <v>1534</v>
      </c>
      <c r="E23" s="2841"/>
      <c r="F23">
        <v>9713020</v>
      </c>
      <c r="G23">
        <v>9713020</v>
      </c>
      <c r="H23">
        <v>0</v>
      </c>
      <c r="I23">
        <v>0</v>
      </c>
      <c r="J23">
        <v>0</v>
      </c>
      <c r="K23">
        <v>0</v>
      </c>
      <c r="L23">
        <v>0</v>
      </c>
    </row>
    <row r="24" ht="12" customHeight="1" spans="2:12">
      <c r="B24" s="3596" t="s">
        <v>1529</v>
      </c>
      <c r="D24" s="5075" t="s">
        <v>1535</v>
      </c>
      <c r="E24" s="2841"/>
      <c r="F24">
        <v>2546555</v>
      </c>
      <c r="G24">
        <v>2546555</v>
      </c>
      <c r="H24">
        <v>0</v>
      </c>
      <c r="I24">
        <v>0</v>
      </c>
      <c r="J24">
        <v>0</v>
      </c>
      <c r="K24">
        <v>0</v>
      </c>
      <c r="L24">
        <v>0</v>
      </c>
    </row>
    <row r="25" ht="12" customHeight="1" spans="2:12">
      <c r="B25" s="3596" t="s">
        <v>1529</v>
      </c>
      <c r="D25" s="5075" t="s">
        <v>1536</v>
      </c>
      <c r="E25" s="2841"/>
      <c r="F25">
        <v>10471375</v>
      </c>
      <c r="G25">
        <v>10471375</v>
      </c>
      <c r="H25">
        <v>0</v>
      </c>
      <c r="I25">
        <v>0</v>
      </c>
      <c r="J25">
        <v>0</v>
      </c>
      <c r="K25">
        <v>0</v>
      </c>
      <c r="L25">
        <v>0</v>
      </c>
    </row>
    <row r="26" ht="12" customHeight="1" spans="2:12">
      <c r="B26" s="3596" t="s">
        <v>1529</v>
      </c>
      <c r="D26" s="5075" t="s">
        <v>1537</v>
      </c>
      <c r="E26" s="2841"/>
      <c r="F26">
        <v>2280500</v>
      </c>
      <c r="G26">
        <v>2280500</v>
      </c>
      <c r="H26">
        <v>0</v>
      </c>
      <c r="I26">
        <v>0</v>
      </c>
      <c r="J26">
        <v>0</v>
      </c>
      <c r="K26">
        <v>0</v>
      </c>
      <c r="L26">
        <v>0</v>
      </c>
    </row>
    <row r="27" ht="12" customHeight="1" spans="2:12">
      <c r="B27" s="3596" t="s">
        <v>1529</v>
      </c>
      <c r="D27" s="5075" t="s">
        <v>1538</v>
      </c>
      <c r="E27" s="2841"/>
      <c r="F27">
        <v>1084000</v>
      </c>
      <c r="G27">
        <v>1084000</v>
      </c>
      <c r="H27">
        <v>0</v>
      </c>
      <c r="I27">
        <v>0</v>
      </c>
      <c r="J27">
        <v>0</v>
      </c>
      <c r="K27">
        <v>0</v>
      </c>
      <c r="L27">
        <v>0</v>
      </c>
    </row>
    <row r="28" ht="12" customHeight="1" spans="2:12">
      <c r="B28" s="3596" t="s">
        <v>1529</v>
      </c>
      <c r="D28" s="5075" t="s">
        <v>1539</v>
      </c>
      <c r="E28" s="2841"/>
      <c r="F28">
        <v>7601217</v>
      </c>
      <c r="G28">
        <v>7601217</v>
      </c>
      <c r="H28">
        <v>0</v>
      </c>
      <c r="I28">
        <v>0</v>
      </c>
      <c r="J28">
        <v>0</v>
      </c>
      <c r="K28">
        <v>0</v>
      </c>
      <c r="L28">
        <v>0</v>
      </c>
    </row>
    <row r="29" ht="12" customHeight="1" spans="2:12">
      <c r="B29" s="3596" t="s">
        <v>1529</v>
      </c>
      <c r="D29" s="5075" t="s">
        <v>1540</v>
      </c>
      <c r="E29" s="2841"/>
      <c r="F29">
        <v>4891043</v>
      </c>
      <c r="G29">
        <v>4891043</v>
      </c>
      <c r="H29">
        <v>0</v>
      </c>
      <c r="I29">
        <v>0</v>
      </c>
      <c r="J29">
        <v>0</v>
      </c>
      <c r="K29">
        <v>0</v>
      </c>
      <c r="L29">
        <v>0</v>
      </c>
    </row>
    <row r="30" ht="12" customHeight="1" spans="2:12">
      <c r="B30" s="3596" t="s">
        <v>1529</v>
      </c>
      <c r="D30" s="5075" t="s">
        <v>1541</v>
      </c>
      <c r="E30" s="2841"/>
      <c r="F30">
        <v>9488537</v>
      </c>
      <c r="G30">
        <v>9488537</v>
      </c>
      <c r="H30">
        <v>0</v>
      </c>
      <c r="I30">
        <v>0</v>
      </c>
      <c r="J30">
        <v>0</v>
      </c>
      <c r="K30">
        <v>0</v>
      </c>
      <c r="L30">
        <v>0</v>
      </c>
    </row>
    <row r="31" ht="12" customHeight="1" spans="2:12">
      <c r="B31" s="3596" t="s">
        <v>1529</v>
      </c>
      <c r="D31" s="5075" t="s">
        <v>1542</v>
      </c>
      <c r="E31" s="2841"/>
      <c r="F31">
        <v>1440000</v>
      </c>
      <c r="G31">
        <v>1440000</v>
      </c>
      <c r="H31">
        <v>0</v>
      </c>
      <c r="I31">
        <v>0</v>
      </c>
      <c r="J31">
        <v>0</v>
      </c>
      <c r="K31">
        <v>0</v>
      </c>
      <c r="L31">
        <v>0</v>
      </c>
    </row>
    <row r="32" ht="12" customHeight="1" spans="2:12">
      <c r="B32" s="3596" t="s">
        <v>1529</v>
      </c>
      <c r="D32" s="5075" t="s">
        <v>1543</v>
      </c>
      <c r="E32" s="2841"/>
      <c r="F32">
        <v>4617990</v>
      </c>
      <c r="G32">
        <v>4617990</v>
      </c>
      <c r="H32">
        <v>0</v>
      </c>
      <c r="I32">
        <v>0</v>
      </c>
      <c r="J32">
        <v>0</v>
      </c>
      <c r="K32">
        <v>0</v>
      </c>
      <c r="L32">
        <v>0</v>
      </c>
    </row>
    <row r="33" ht="12" customHeight="1" spans="2:12">
      <c r="B33" s="3596" t="s">
        <v>1529</v>
      </c>
      <c r="D33" t="s">
        <v>1544</v>
      </c>
      <c r="E33"/>
      <c r="F33">
        <v>304000</v>
      </c>
      <c r="G33">
        <v>304000</v>
      </c>
      <c r="H33">
        <v>0</v>
      </c>
      <c r="I33">
        <v>0</v>
      </c>
      <c r="J33">
        <v>0</v>
      </c>
      <c r="K33">
        <v>0</v>
      </c>
      <c r="L33">
        <v>0</v>
      </c>
    </row>
    <row r="34" ht="12" customHeight="1" spans="2:12">
      <c r="B34" s="3596" t="s">
        <v>1529</v>
      </c>
      <c r="D34" s="5075" t="s">
        <v>1545</v>
      </c>
      <c r="E34" s="2841"/>
      <c r="F34">
        <v>5011179</v>
      </c>
      <c r="G34">
        <v>5011179</v>
      </c>
      <c r="H34">
        <v>0</v>
      </c>
      <c r="I34">
        <v>0</v>
      </c>
      <c r="J34">
        <v>0</v>
      </c>
      <c r="K34">
        <v>0</v>
      </c>
      <c r="L34">
        <v>0</v>
      </c>
    </row>
    <row r="35" ht="12" customHeight="1" spans="2:12">
      <c r="B35" s="3596" t="s">
        <v>1529</v>
      </c>
      <c r="D35" s="5075" t="s">
        <v>1546</v>
      </c>
      <c r="E35" s="2841"/>
      <c r="F35">
        <v>43782424</v>
      </c>
      <c r="G35">
        <v>43782424</v>
      </c>
      <c r="H35">
        <v>0</v>
      </c>
      <c r="I35">
        <v>0</v>
      </c>
      <c r="J35">
        <v>0</v>
      </c>
      <c r="K35">
        <v>0</v>
      </c>
      <c r="L35">
        <v>0</v>
      </c>
    </row>
    <row r="36" ht="12" customHeight="1" spans="2:12">
      <c r="B36" s="3596" t="s">
        <v>1529</v>
      </c>
      <c r="D36" s="5075" t="s">
        <v>1547</v>
      </c>
      <c r="E36" s="2841"/>
      <c r="F36">
        <v>2067390</v>
      </c>
      <c r="G36">
        <v>2067390</v>
      </c>
      <c r="H36">
        <v>0</v>
      </c>
      <c r="I36">
        <v>0</v>
      </c>
      <c r="J36">
        <v>0</v>
      </c>
      <c r="K36">
        <v>0</v>
      </c>
      <c r="L36">
        <v>0</v>
      </c>
    </row>
    <row r="37" ht="12" customHeight="1" spans="2:12">
      <c r="B37" s="3596" t="s">
        <v>1529</v>
      </c>
      <c r="D37" s="5075" t="s">
        <v>1548</v>
      </c>
      <c r="E37" s="2841"/>
      <c r="F37">
        <v>352000</v>
      </c>
      <c r="G37">
        <v>352000</v>
      </c>
      <c r="H37">
        <v>0</v>
      </c>
      <c r="I37">
        <v>0</v>
      </c>
      <c r="J37">
        <v>0</v>
      </c>
      <c r="K37">
        <v>0</v>
      </c>
      <c r="L37">
        <v>0</v>
      </c>
    </row>
    <row r="38" ht="12" customHeight="1" spans="2:12">
      <c r="B38" s="3596" t="s">
        <v>1529</v>
      </c>
      <c r="D38" s="5075" t="s">
        <v>1549</v>
      </c>
      <c r="E38" s="2841"/>
      <c r="F38">
        <v>16630695</v>
      </c>
      <c r="G38">
        <v>16630695</v>
      </c>
      <c r="H38">
        <v>0</v>
      </c>
      <c r="I38">
        <v>0</v>
      </c>
      <c r="J38">
        <v>0</v>
      </c>
      <c r="K38">
        <v>0</v>
      </c>
      <c r="L38">
        <v>0</v>
      </c>
    </row>
    <row r="39" ht="12" customHeight="1" spans="2:12">
      <c r="B39" s="3596" t="s">
        <v>1529</v>
      </c>
      <c r="D39" s="5075" t="s">
        <v>1550</v>
      </c>
      <c r="E39" s="2841"/>
      <c r="F39">
        <v>4932798</v>
      </c>
      <c r="G39">
        <v>4932798</v>
      </c>
      <c r="H39">
        <v>0</v>
      </c>
      <c r="I39">
        <v>0</v>
      </c>
      <c r="J39">
        <v>0</v>
      </c>
      <c r="K39">
        <v>0</v>
      </c>
      <c r="L39">
        <v>0</v>
      </c>
    </row>
    <row r="40" ht="12" customHeight="1" spans="2:12">
      <c r="B40" s="3596" t="s">
        <v>1529</v>
      </c>
      <c r="D40" s="5075" t="s">
        <v>1551</v>
      </c>
      <c r="E40" s="2841"/>
      <c r="F40">
        <v>36000</v>
      </c>
      <c r="G40">
        <v>36000</v>
      </c>
      <c r="H40">
        <v>0</v>
      </c>
      <c r="I40">
        <v>0</v>
      </c>
      <c r="J40">
        <v>0</v>
      </c>
      <c r="K40">
        <v>0</v>
      </c>
      <c r="L40">
        <v>0</v>
      </c>
    </row>
    <row r="41" ht="12" customHeight="1" spans="2:12">
      <c r="B41" s="3596" t="s">
        <v>1529</v>
      </c>
      <c r="D41" s="5075" t="s">
        <v>1552</v>
      </c>
      <c r="E41" s="2841"/>
      <c r="F41">
        <v>7305928</v>
      </c>
      <c r="G41">
        <v>7305928</v>
      </c>
      <c r="H41">
        <v>0</v>
      </c>
      <c r="I41">
        <v>0</v>
      </c>
      <c r="J41">
        <v>0</v>
      </c>
      <c r="K41">
        <v>0</v>
      </c>
      <c r="L41">
        <v>0</v>
      </c>
    </row>
    <row r="42" ht="12" customHeight="1" spans="2:12">
      <c r="B42" s="3596" t="s">
        <v>1529</v>
      </c>
      <c r="D42" s="5075" t="s">
        <v>1553</v>
      </c>
      <c r="E42" s="2841"/>
      <c r="F42">
        <v>12090000</v>
      </c>
      <c r="G42">
        <v>12090000</v>
      </c>
      <c r="H42">
        <v>0</v>
      </c>
      <c r="I42">
        <v>0</v>
      </c>
      <c r="J42">
        <v>0</v>
      </c>
      <c r="K42">
        <v>0</v>
      </c>
      <c r="L42">
        <v>0</v>
      </c>
    </row>
    <row r="43" ht="12" customHeight="1" spans="2:12">
      <c r="B43" s="3596" t="s">
        <v>1529</v>
      </c>
      <c r="D43" s="5075" t="s">
        <v>1554</v>
      </c>
      <c r="E43" s="2841"/>
      <c r="F43">
        <v>9699152</v>
      </c>
      <c r="G43">
        <v>9699152</v>
      </c>
      <c r="H43">
        <v>0</v>
      </c>
      <c r="I43">
        <v>0</v>
      </c>
      <c r="J43">
        <v>0</v>
      </c>
      <c r="K43">
        <v>0</v>
      </c>
      <c r="L43">
        <v>0</v>
      </c>
    </row>
    <row r="44" ht="12" customHeight="1" spans="2:12">
      <c r="B44" s="3596" t="s">
        <v>1529</v>
      </c>
      <c r="D44" s="5075" t="s">
        <v>1555</v>
      </c>
      <c r="E44" s="2841"/>
      <c r="F44">
        <v>7633965</v>
      </c>
      <c r="G44">
        <v>7633965</v>
      </c>
      <c r="H44">
        <v>0</v>
      </c>
      <c r="I44">
        <v>0</v>
      </c>
      <c r="J44">
        <v>0</v>
      </c>
      <c r="K44">
        <v>0</v>
      </c>
      <c r="L44">
        <v>0</v>
      </c>
    </row>
    <row r="45" ht="12" customHeight="1" spans="2:12">
      <c r="B45" s="3596" t="s">
        <v>1529</v>
      </c>
      <c r="D45" s="5075" t="s">
        <v>1556</v>
      </c>
      <c r="E45" s="2841"/>
      <c r="F45">
        <v>68902033</v>
      </c>
      <c r="G45">
        <v>68902033</v>
      </c>
      <c r="H45">
        <v>0</v>
      </c>
      <c r="I45">
        <v>0</v>
      </c>
      <c r="J45">
        <v>0</v>
      </c>
      <c r="K45">
        <v>0</v>
      </c>
      <c r="L45">
        <v>0</v>
      </c>
    </row>
    <row r="46" ht="12" customHeight="1" spans="2:12">
      <c r="B46" s="3596" t="s">
        <v>1529</v>
      </c>
      <c r="D46" s="5075" t="s">
        <v>1557</v>
      </c>
      <c r="E46" s="2841"/>
      <c r="F46">
        <v>2036000</v>
      </c>
      <c r="G46">
        <v>2036000</v>
      </c>
      <c r="H46">
        <v>0</v>
      </c>
      <c r="I46">
        <v>0</v>
      </c>
      <c r="J46">
        <v>0</v>
      </c>
      <c r="K46">
        <v>0</v>
      </c>
      <c r="L46">
        <v>0</v>
      </c>
    </row>
    <row r="47" ht="12" customHeight="1" spans="2:12">
      <c r="B47" s="3596" t="s">
        <v>1529</v>
      </c>
      <c r="D47" s="5075" t="s">
        <v>1558</v>
      </c>
      <c r="E47" s="2841"/>
      <c r="F47">
        <v>4875685</v>
      </c>
      <c r="G47">
        <v>4875685</v>
      </c>
      <c r="H47">
        <v>0</v>
      </c>
      <c r="I47">
        <v>0</v>
      </c>
      <c r="J47">
        <v>0</v>
      </c>
      <c r="K47">
        <v>0</v>
      </c>
      <c r="L47">
        <v>0</v>
      </c>
    </row>
    <row r="48" ht="12" customHeight="1" spans="2:12">
      <c r="B48" s="3596" t="s">
        <v>1529</v>
      </c>
      <c r="D48" s="5075" t="s">
        <v>1559</v>
      </c>
      <c r="E48" s="2841"/>
      <c r="F48">
        <v>150000</v>
      </c>
      <c r="G48">
        <v>150000</v>
      </c>
      <c r="H48">
        <v>0</v>
      </c>
      <c r="I48">
        <v>0</v>
      </c>
      <c r="J48">
        <v>0</v>
      </c>
      <c r="K48">
        <v>0</v>
      </c>
      <c r="L48">
        <v>0</v>
      </c>
    </row>
    <row r="49" ht="12" customHeight="1" spans="2:12">
      <c r="B49" s="3596" t="s">
        <v>1529</v>
      </c>
      <c r="D49" s="5075" t="s">
        <v>1560</v>
      </c>
      <c r="E49" s="2841"/>
      <c r="F49">
        <v>22054071</v>
      </c>
      <c r="G49">
        <v>22054071</v>
      </c>
      <c r="H49">
        <v>0</v>
      </c>
      <c r="I49">
        <v>0</v>
      </c>
      <c r="J49">
        <v>0</v>
      </c>
      <c r="K49">
        <v>0</v>
      </c>
      <c r="L49">
        <v>0</v>
      </c>
    </row>
    <row r="50" ht="12" customHeight="1" spans="2:12">
      <c r="B50" s="3596" t="s">
        <v>1529</v>
      </c>
      <c r="D50" s="5075" t="s">
        <v>1561</v>
      </c>
      <c r="E50" s="2841"/>
      <c r="F50">
        <v>860200</v>
      </c>
      <c r="G50">
        <v>860200</v>
      </c>
      <c r="H50">
        <v>0</v>
      </c>
      <c r="I50">
        <v>0</v>
      </c>
      <c r="J50">
        <v>0</v>
      </c>
      <c r="K50">
        <v>0</v>
      </c>
      <c r="L50">
        <v>0</v>
      </c>
    </row>
    <row r="51" ht="12" customHeight="1" spans="2:12">
      <c r="B51" s="3596" t="s">
        <v>1529</v>
      </c>
      <c r="D51" s="5075" t="s">
        <v>1562</v>
      </c>
      <c r="E51" s="2841"/>
      <c r="F51">
        <v>2185000</v>
      </c>
      <c r="G51">
        <v>2185000</v>
      </c>
      <c r="H51">
        <v>0</v>
      </c>
      <c r="I51">
        <v>0</v>
      </c>
      <c r="J51">
        <v>0</v>
      </c>
      <c r="K51">
        <v>0</v>
      </c>
      <c r="L51">
        <v>0</v>
      </c>
    </row>
    <row r="52" ht="12" customHeight="1" spans="2:12">
      <c r="B52" s="3596" t="s">
        <v>1529</v>
      </c>
      <c r="D52" s="5075" t="s">
        <v>1563</v>
      </c>
      <c r="E52" s="2841"/>
      <c r="F52">
        <v>352000</v>
      </c>
      <c r="G52">
        <v>352000</v>
      </c>
      <c r="H52">
        <v>0</v>
      </c>
      <c r="I52">
        <v>0</v>
      </c>
      <c r="J52">
        <v>0</v>
      </c>
      <c r="K52">
        <v>0</v>
      </c>
      <c r="L52">
        <v>0</v>
      </c>
    </row>
    <row r="53" ht="12" customHeight="1" spans="2:12">
      <c r="B53" s="3596" t="s">
        <v>1529</v>
      </c>
      <c r="D53" s="5075" t="s">
        <v>1564</v>
      </c>
      <c r="E53" s="2841"/>
      <c r="F53">
        <v>84000</v>
      </c>
      <c r="G53">
        <v>84000</v>
      </c>
      <c r="H53">
        <v>0</v>
      </c>
      <c r="I53">
        <v>0</v>
      </c>
      <c r="J53">
        <v>0</v>
      </c>
      <c r="K53">
        <v>0</v>
      </c>
      <c r="L53">
        <v>0</v>
      </c>
    </row>
    <row r="54" ht="12" customHeight="1" spans="2:12">
      <c r="B54" s="3596" t="s">
        <v>1529</v>
      </c>
      <c r="D54" s="5075" t="s">
        <v>1565</v>
      </c>
      <c r="E54" s="2841"/>
      <c r="F54">
        <v>1344173</v>
      </c>
      <c r="G54">
        <v>1344173</v>
      </c>
      <c r="H54">
        <v>0</v>
      </c>
      <c r="I54">
        <v>0</v>
      </c>
      <c r="J54">
        <v>0</v>
      </c>
      <c r="K54">
        <v>0</v>
      </c>
      <c r="L54">
        <v>0</v>
      </c>
    </row>
    <row r="55" ht="12" customHeight="1" spans="2:12">
      <c r="B55" s="3596" t="s">
        <v>1529</v>
      </c>
      <c r="D55" s="5075" t="s">
        <v>1566</v>
      </c>
      <c r="E55" s="2841"/>
      <c r="F55">
        <v>9088587</v>
      </c>
      <c r="G55">
        <v>9088587</v>
      </c>
      <c r="H55">
        <v>0</v>
      </c>
      <c r="I55">
        <v>0</v>
      </c>
      <c r="J55">
        <v>0</v>
      </c>
      <c r="K55">
        <v>0</v>
      </c>
      <c r="L55">
        <v>0</v>
      </c>
    </row>
    <row r="56" ht="12" customHeight="1" spans="2:12">
      <c r="B56" s="3596" t="s">
        <v>1529</v>
      </c>
      <c r="D56" s="5075" t="s">
        <v>1567</v>
      </c>
      <c r="E56" s="2841"/>
      <c r="F56">
        <v>192954</v>
      </c>
      <c r="G56">
        <v>192954</v>
      </c>
      <c r="H56">
        <v>0</v>
      </c>
      <c r="I56">
        <v>0</v>
      </c>
      <c r="J56">
        <v>0</v>
      </c>
      <c r="K56">
        <v>0</v>
      </c>
      <c r="L56">
        <v>0</v>
      </c>
    </row>
    <row r="57" ht="12" customHeight="1" spans="2:12">
      <c r="B57" s="3596" t="s">
        <v>1529</v>
      </c>
      <c r="D57" s="5075" t="s">
        <v>1568</v>
      </c>
      <c r="E57" s="2841"/>
      <c r="F57">
        <v>1205000</v>
      </c>
      <c r="G57">
        <v>1205000</v>
      </c>
      <c r="H57">
        <v>0</v>
      </c>
      <c r="I57">
        <v>0</v>
      </c>
      <c r="J57">
        <v>0</v>
      </c>
      <c r="K57">
        <v>0</v>
      </c>
      <c r="L57">
        <v>0</v>
      </c>
    </row>
    <row r="58" ht="12" customHeight="1" spans="2:12">
      <c r="B58" s="3596" t="s">
        <v>1529</v>
      </c>
      <c r="D58" s="5075" t="s">
        <v>1569</v>
      </c>
      <c r="E58" s="2841"/>
      <c r="F58">
        <v>107009325</v>
      </c>
      <c r="G58">
        <v>107009325</v>
      </c>
      <c r="H58">
        <v>0</v>
      </c>
      <c r="I58">
        <v>0</v>
      </c>
      <c r="J58">
        <v>0</v>
      </c>
      <c r="K58">
        <v>0</v>
      </c>
      <c r="L58">
        <v>0</v>
      </c>
    </row>
    <row r="59" ht="12" customHeight="1" spans="2:12">
      <c r="B59" s="3596" t="s">
        <v>1529</v>
      </c>
      <c r="D59" s="5075" t="s">
        <v>1570</v>
      </c>
      <c r="E59" s="2841"/>
      <c r="F59">
        <v>10201717</v>
      </c>
      <c r="G59">
        <v>10201717</v>
      </c>
      <c r="H59">
        <v>0</v>
      </c>
      <c r="I59">
        <v>0</v>
      </c>
      <c r="J59">
        <v>0</v>
      </c>
      <c r="K59">
        <v>0</v>
      </c>
      <c r="L59">
        <v>0</v>
      </c>
    </row>
    <row r="60" ht="12" customHeight="1" spans="2:12">
      <c r="B60" s="3596" t="s">
        <v>1529</v>
      </c>
      <c r="D60" s="5075" t="s">
        <v>1571</v>
      </c>
      <c r="E60" s="2841"/>
      <c r="F60">
        <v>717600</v>
      </c>
      <c r="G60">
        <v>717600</v>
      </c>
      <c r="H60">
        <v>0</v>
      </c>
      <c r="I60">
        <v>0</v>
      </c>
      <c r="J60">
        <v>0</v>
      </c>
      <c r="K60">
        <v>0</v>
      </c>
      <c r="L60">
        <v>0</v>
      </c>
    </row>
    <row r="61" ht="12" customHeight="1" spans="2:12">
      <c r="B61" s="3596" t="s">
        <v>1529</v>
      </c>
      <c r="D61" s="5075" t="s">
        <v>1572</v>
      </c>
      <c r="E61" s="2841"/>
      <c r="F61">
        <v>1185000</v>
      </c>
      <c r="G61">
        <v>1185000</v>
      </c>
      <c r="H61">
        <v>0</v>
      </c>
      <c r="I61">
        <v>0</v>
      </c>
      <c r="J61">
        <v>0</v>
      </c>
      <c r="K61">
        <v>0</v>
      </c>
      <c r="L61">
        <v>0</v>
      </c>
    </row>
    <row r="62" ht="12" customHeight="1" spans="2:12">
      <c r="B62" s="3596" t="s">
        <v>1529</v>
      </c>
      <c r="D62" s="5075" t="s">
        <v>1573</v>
      </c>
      <c r="E62" s="2841"/>
      <c r="F62">
        <v>390000</v>
      </c>
      <c r="G62">
        <v>390000</v>
      </c>
      <c r="H62">
        <v>0</v>
      </c>
      <c r="I62">
        <v>0</v>
      </c>
      <c r="J62">
        <v>0</v>
      </c>
      <c r="K62">
        <v>0</v>
      </c>
      <c r="L62">
        <v>0</v>
      </c>
    </row>
    <row r="63" ht="12" customHeight="1" spans="2:12">
      <c r="B63" s="3596" t="s">
        <v>1529</v>
      </c>
      <c r="D63" s="5075" t="s">
        <v>1574</v>
      </c>
      <c r="E63" s="2841"/>
      <c r="F63">
        <v>792580</v>
      </c>
      <c r="G63">
        <v>792580</v>
      </c>
      <c r="H63">
        <v>0</v>
      </c>
      <c r="I63">
        <v>0</v>
      </c>
      <c r="J63">
        <v>0</v>
      </c>
      <c r="K63">
        <v>0</v>
      </c>
      <c r="L63">
        <v>0</v>
      </c>
    </row>
    <row r="64" ht="12" customHeight="1" spans="2:12">
      <c r="B64" s="3596" t="s">
        <v>1529</v>
      </c>
      <c r="D64" s="5075" t="s">
        <v>1575</v>
      </c>
      <c r="E64" s="2841"/>
      <c r="F64">
        <v>11045847</v>
      </c>
      <c r="G64">
        <v>11045847</v>
      </c>
      <c r="H64">
        <v>0</v>
      </c>
      <c r="I64">
        <v>0</v>
      </c>
      <c r="J64">
        <v>0</v>
      </c>
      <c r="K64">
        <v>0</v>
      </c>
      <c r="L64">
        <v>0</v>
      </c>
    </row>
    <row r="65" ht="12" customHeight="1" spans="2:12">
      <c r="B65" s="3596" t="s">
        <v>1529</v>
      </c>
      <c r="D65" s="5075" t="s">
        <v>1576</v>
      </c>
      <c r="E65" s="2841"/>
      <c r="F65">
        <v>44474674</v>
      </c>
      <c r="G65">
        <v>44474674</v>
      </c>
      <c r="H65">
        <v>0</v>
      </c>
      <c r="I65">
        <v>0</v>
      </c>
      <c r="J65">
        <v>0</v>
      </c>
      <c r="K65">
        <v>0</v>
      </c>
      <c r="L65">
        <v>0</v>
      </c>
    </row>
    <row r="66" ht="12" customHeight="1" spans="2:12">
      <c r="B66" s="3596" t="s">
        <v>1529</v>
      </c>
      <c r="D66" s="5075" t="s">
        <v>1577</v>
      </c>
      <c r="E66" s="2841"/>
      <c r="F66">
        <v>46414563</v>
      </c>
      <c r="G66">
        <v>46414563</v>
      </c>
      <c r="H66">
        <v>0</v>
      </c>
      <c r="I66">
        <v>0</v>
      </c>
      <c r="J66">
        <v>0</v>
      </c>
      <c r="K66">
        <v>0</v>
      </c>
      <c r="L66">
        <v>0</v>
      </c>
    </row>
    <row r="67" ht="12" customHeight="1" spans="2:12">
      <c r="B67" s="3596" t="s">
        <v>1529</v>
      </c>
      <c r="D67" s="5075" t="s">
        <v>1578</v>
      </c>
      <c r="E67" s="2841"/>
      <c r="F67">
        <v>113276838</v>
      </c>
      <c r="G67">
        <v>113276838</v>
      </c>
      <c r="H67">
        <v>0</v>
      </c>
      <c r="I67">
        <v>0</v>
      </c>
      <c r="J67">
        <v>0</v>
      </c>
      <c r="K67">
        <v>0</v>
      </c>
      <c r="L67">
        <v>0</v>
      </c>
    </row>
    <row r="68" ht="12" customHeight="1" spans="2:12">
      <c r="B68" s="3596" t="s">
        <v>1529</v>
      </c>
      <c r="D68" s="5075" t="s">
        <v>1579</v>
      </c>
      <c r="E68" s="2841"/>
      <c r="F68">
        <v>17820796</v>
      </c>
      <c r="G68">
        <v>17820796</v>
      </c>
      <c r="H68">
        <v>0</v>
      </c>
      <c r="I68">
        <v>0</v>
      </c>
      <c r="J68">
        <v>0</v>
      </c>
      <c r="K68">
        <v>0</v>
      </c>
      <c r="L68">
        <v>0</v>
      </c>
    </row>
    <row r="69" ht="12" customHeight="1" spans="2:12">
      <c r="B69" s="3596" t="s">
        <v>1529</v>
      </c>
      <c r="D69" s="5075" t="s">
        <v>1580</v>
      </c>
      <c r="E69" s="2841"/>
      <c r="F69">
        <v>4912260</v>
      </c>
      <c r="G69">
        <v>4912260</v>
      </c>
      <c r="H69">
        <v>0</v>
      </c>
      <c r="I69">
        <v>0</v>
      </c>
      <c r="J69">
        <v>0</v>
      </c>
      <c r="K69">
        <v>0</v>
      </c>
      <c r="L69">
        <v>0</v>
      </c>
    </row>
    <row r="70" ht="12" customHeight="1" spans="2:12">
      <c r="B70" s="3596" t="s">
        <v>1529</v>
      </c>
      <c r="D70" s="5075" t="s">
        <v>1581</v>
      </c>
      <c r="E70" s="2841"/>
      <c r="F70">
        <v>72000</v>
      </c>
      <c r="G70">
        <v>72000</v>
      </c>
      <c r="H70">
        <v>0</v>
      </c>
      <c r="I70">
        <v>0</v>
      </c>
      <c r="J70">
        <v>0</v>
      </c>
      <c r="K70">
        <v>0</v>
      </c>
      <c r="L70">
        <v>0</v>
      </c>
    </row>
    <row r="71" ht="12" customHeight="1" spans="1:12">
      <c r="A71" s="3596" t="s">
        <v>171</v>
      </c>
      <c r="B71" s="3596" t="s">
        <v>1529</v>
      </c>
      <c r="D71" s="5075" t="s">
        <v>1582</v>
      </c>
      <c r="E71" s="2841"/>
      <c r="F71">
        <v>309309</v>
      </c>
      <c r="G71">
        <v>309309</v>
      </c>
      <c r="H71">
        <v>0</v>
      </c>
      <c r="I71">
        <v>0</v>
      </c>
      <c r="J71">
        <v>0</v>
      </c>
      <c r="K71">
        <v>0</v>
      </c>
      <c r="L71">
        <v>0</v>
      </c>
    </row>
    <row r="72" ht="12" customHeight="1" spans="2:12">
      <c r="B72" s="3596" t="s">
        <v>1529</v>
      </c>
      <c r="D72" s="5075" t="s">
        <v>1583</v>
      </c>
      <c r="E72" s="2841"/>
      <c r="F72">
        <v>506000</v>
      </c>
      <c r="G72">
        <v>506000</v>
      </c>
      <c r="H72">
        <v>0</v>
      </c>
      <c r="I72">
        <v>0</v>
      </c>
      <c r="J72">
        <v>0</v>
      </c>
      <c r="K72">
        <v>0</v>
      </c>
      <c r="L72">
        <v>0</v>
      </c>
    </row>
    <row r="73" ht="12" customHeight="1" spans="2:12">
      <c r="B73" s="3596" t="s">
        <v>1529</v>
      </c>
      <c r="D73" s="5075" t="s">
        <v>1584</v>
      </c>
      <c r="E73" s="2841"/>
      <c r="F73">
        <v>683800</v>
      </c>
      <c r="G73">
        <v>683800</v>
      </c>
      <c r="H73">
        <v>0</v>
      </c>
      <c r="I73">
        <v>0</v>
      </c>
      <c r="J73">
        <v>0</v>
      </c>
      <c r="K73">
        <v>0</v>
      </c>
      <c r="L73">
        <v>0</v>
      </c>
    </row>
    <row r="74" ht="12" customHeight="1" spans="2:12">
      <c r="B74" s="3596" t="s">
        <v>1529</v>
      </c>
      <c r="D74" s="5075" t="s">
        <v>1585</v>
      </c>
      <c r="E74" s="2841"/>
      <c r="F74">
        <v>10583617</v>
      </c>
      <c r="G74">
        <v>10583617</v>
      </c>
      <c r="H74">
        <v>0</v>
      </c>
      <c r="I74">
        <v>0</v>
      </c>
      <c r="J74">
        <v>0</v>
      </c>
      <c r="K74">
        <v>0</v>
      </c>
      <c r="L74">
        <v>0</v>
      </c>
    </row>
    <row r="75" ht="12" customHeight="1" spans="2:12">
      <c r="B75" s="3596" t="s">
        <v>1529</v>
      </c>
      <c r="D75" s="5075" t="s">
        <v>1586</v>
      </c>
      <c r="E75" s="2841"/>
      <c r="F75">
        <v>8691665</v>
      </c>
      <c r="G75">
        <v>8691665</v>
      </c>
      <c r="H75">
        <v>0</v>
      </c>
      <c r="I75">
        <v>0</v>
      </c>
      <c r="J75">
        <v>0</v>
      </c>
      <c r="K75">
        <v>0</v>
      </c>
      <c r="L75">
        <v>0</v>
      </c>
    </row>
    <row r="76" ht="12" customHeight="1" spans="2:12">
      <c r="B76" s="3596" t="s">
        <v>1529</v>
      </c>
      <c r="D76" s="5075" t="s">
        <v>1587</v>
      </c>
      <c r="E76" s="2841"/>
      <c r="F76">
        <v>84000</v>
      </c>
      <c r="G76">
        <v>84000</v>
      </c>
      <c r="H76">
        <v>0</v>
      </c>
      <c r="I76">
        <v>0</v>
      </c>
      <c r="J76">
        <v>0</v>
      </c>
      <c r="K76">
        <v>0</v>
      </c>
      <c r="L76">
        <v>0</v>
      </c>
    </row>
    <row r="77" ht="12" customHeight="1" spans="2:12">
      <c r="B77" s="3596" t="s">
        <v>1529</v>
      </c>
      <c r="D77" s="5075" t="s">
        <v>1588</v>
      </c>
      <c r="E77" s="2841"/>
      <c r="F77">
        <v>1115000</v>
      </c>
      <c r="G77">
        <v>1115000</v>
      </c>
      <c r="H77">
        <v>0</v>
      </c>
      <c r="I77">
        <v>0</v>
      </c>
      <c r="J77">
        <v>0</v>
      </c>
      <c r="K77">
        <v>0</v>
      </c>
      <c r="L77">
        <v>0</v>
      </c>
    </row>
    <row r="78" ht="12" customHeight="1" spans="2:12">
      <c r="B78" s="3596" t="s">
        <v>1529</v>
      </c>
      <c r="D78" s="5075" t="s">
        <v>1589</v>
      </c>
      <c r="E78" s="2841"/>
      <c r="F78">
        <v>14816315</v>
      </c>
      <c r="G78">
        <v>14816315</v>
      </c>
      <c r="H78">
        <v>0</v>
      </c>
      <c r="I78">
        <v>0</v>
      </c>
      <c r="J78">
        <v>0</v>
      </c>
      <c r="K78">
        <v>0</v>
      </c>
      <c r="L78">
        <v>0</v>
      </c>
    </row>
    <row r="79" ht="12" customHeight="1" spans="2:12">
      <c r="B79" s="3596" t="s">
        <v>1529</v>
      </c>
      <c r="D79" s="5075" t="s">
        <v>1590</v>
      </c>
      <c r="E79" s="2841"/>
      <c r="F79">
        <v>4012899</v>
      </c>
      <c r="G79">
        <v>4012899</v>
      </c>
      <c r="H79">
        <v>0</v>
      </c>
      <c r="I79">
        <v>0</v>
      </c>
      <c r="J79">
        <v>0</v>
      </c>
      <c r="K79">
        <v>0</v>
      </c>
      <c r="L79">
        <v>0</v>
      </c>
    </row>
    <row r="80" ht="12" customHeight="1" spans="2:12">
      <c r="B80" s="3596" t="s">
        <v>1529</v>
      </c>
      <c r="D80" s="5075" t="s">
        <v>1591</v>
      </c>
      <c r="E80" s="2841"/>
      <c r="F80">
        <v>3453500</v>
      </c>
      <c r="G80">
        <v>3453500</v>
      </c>
      <c r="H80">
        <v>0</v>
      </c>
      <c r="I80">
        <v>0</v>
      </c>
      <c r="J80">
        <v>0</v>
      </c>
      <c r="K80">
        <v>0</v>
      </c>
      <c r="L80">
        <v>0</v>
      </c>
    </row>
    <row r="81" ht="12" customHeight="1" spans="2:12">
      <c r="B81" s="3596" t="s">
        <v>1529</v>
      </c>
      <c r="D81" s="5075" t="s">
        <v>1592</v>
      </c>
      <c r="E81" s="2841"/>
      <c r="F81">
        <v>7864588</v>
      </c>
      <c r="G81">
        <v>7864588</v>
      </c>
      <c r="H81">
        <v>0</v>
      </c>
      <c r="I81">
        <v>0</v>
      </c>
      <c r="J81">
        <v>0</v>
      </c>
      <c r="K81">
        <v>0</v>
      </c>
      <c r="L81">
        <v>0</v>
      </c>
    </row>
    <row r="82" ht="12" customHeight="1" spans="2:12">
      <c r="B82" s="3596" t="s">
        <v>1529</v>
      </c>
      <c r="D82" s="5075" t="s">
        <v>1593</v>
      </c>
      <c r="E82" s="2841"/>
      <c r="F82">
        <v>43347578</v>
      </c>
      <c r="G82">
        <v>43347578</v>
      </c>
      <c r="H82">
        <v>0</v>
      </c>
      <c r="I82">
        <v>0</v>
      </c>
      <c r="J82">
        <v>0</v>
      </c>
      <c r="K82">
        <v>0</v>
      </c>
      <c r="L82">
        <v>0</v>
      </c>
    </row>
    <row r="83" ht="12" customHeight="1" spans="2:12">
      <c r="B83" s="3596" t="s">
        <v>1529</v>
      </c>
      <c r="D83" s="5075" t="s">
        <v>1594</v>
      </c>
      <c r="E83" s="2841"/>
      <c r="F83">
        <v>127920</v>
      </c>
      <c r="G83">
        <v>127920</v>
      </c>
      <c r="H83">
        <v>0</v>
      </c>
      <c r="I83">
        <v>0</v>
      </c>
      <c r="J83">
        <v>0</v>
      </c>
      <c r="K83">
        <v>0</v>
      </c>
      <c r="L83">
        <v>0</v>
      </c>
    </row>
    <row r="84" ht="12" customHeight="1" spans="2:12">
      <c r="B84" s="3596" t="s">
        <v>1529</v>
      </c>
      <c r="D84" s="5075" t="s">
        <v>1595</v>
      </c>
      <c r="E84" s="2841"/>
      <c r="F84">
        <v>28478081</v>
      </c>
      <c r="G84">
        <v>28478081</v>
      </c>
      <c r="H84">
        <v>0</v>
      </c>
      <c r="I84">
        <v>0</v>
      </c>
      <c r="J84">
        <v>0</v>
      </c>
      <c r="K84">
        <v>0</v>
      </c>
      <c r="L84">
        <v>0</v>
      </c>
    </row>
    <row r="85" ht="12" customHeight="1" spans="2:12">
      <c r="B85" s="3596" t="s">
        <v>1529</v>
      </c>
      <c r="D85" s="5075" t="s">
        <v>1596</v>
      </c>
      <c r="E85" s="2841"/>
      <c r="F85">
        <v>560000</v>
      </c>
      <c r="G85">
        <v>560000</v>
      </c>
      <c r="H85">
        <v>0</v>
      </c>
      <c r="I85">
        <v>0</v>
      </c>
      <c r="J85">
        <v>0</v>
      </c>
      <c r="K85">
        <v>0</v>
      </c>
      <c r="L85">
        <v>0</v>
      </c>
    </row>
    <row r="86" ht="12" customHeight="1" spans="2:12">
      <c r="B86" s="3596" t="s">
        <v>1529</v>
      </c>
      <c r="D86" s="5075" t="s">
        <v>1597</v>
      </c>
      <c r="E86" s="2841"/>
      <c r="F86">
        <v>6026280</v>
      </c>
      <c r="G86">
        <v>6026280</v>
      </c>
      <c r="H86">
        <v>0</v>
      </c>
      <c r="I86">
        <v>0</v>
      </c>
      <c r="J86">
        <v>0</v>
      </c>
      <c r="K86">
        <v>0</v>
      </c>
      <c r="L86">
        <v>0</v>
      </c>
    </row>
    <row r="87" ht="12" customHeight="1" spans="2:12">
      <c r="B87" s="3596" t="s">
        <v>1529</v>
      </c>
      <c r="D87" s="5075" t="s">
        <v>1598</v>
      </c>
      <c r="E87" s="2841"/>
      <c r="F87">
        <v>594000</v>
      </c>
      <c r="G87">
        <v>594000</v>
      </c>
      <c r="H87">
        <v>0</v>
      </c>
      <c r="I87">
        <v>0</v>
      </c>
      <c r="J87">
        <v>0</v>
      </c>
      <c r="K87">
        <v>0</v>
      </c>
      <c r="L87">
        <v>0</v>
      </c>
    </row>
    <row r="88" ht="12" customHeight="1" spans="2:12">
      <c r="B88" s="3596" t="s">
        <v>1529</v>
      </c>
      <c r="D88" s="5075" t="s">
        <v>1599</v>
      </c>
      <c r="E88" s="2841"/>
      <c r="F88">
        <v>72000</v>
      </c>
      <c r="G88">
        <v>72000</v>
      </c>
      <c r="H88">
        <v>0</v>
      </c>
      <c r="I88">
        <v>0</v>
      </c>
      <c r="J88">
        <v>0</v>
      </c>
      <c r="K88">
        <v>0</v>
      </c>
      <c r="L88">
        <v>0</v>
      </c>
    </row>
    <row r="89" ht="12" customHeight="1" spans="2:12">
      <c r="B89" s="3596" t="s">
        <v>1529</v>
      </c>
      <c r="D89" s="5075" t="s">
        <v>1600</v>
      </c>
      <c r="E89" s="2841"/>
      <c r="F89">
        <v>10706299</v>
      </c>
      <c r="G89">
        <v>10706299</v>
      </c>
      <c r="H89">
        <v>0</v>
      </c>
      <c r="I89">
        <v>0</v>
      </c>
      <c r="J89">
        <v>0</v>
      </c>
      <c r="K89">
        <v>0</v>
      </c>
      <c r="L89">
        <v>0</v>
      </c>
    </row>
    <row r="90" ht="12" customHeight="1" spans="2:12">
      <c r="B90" s="3596" t="s">
        <v>1529</v>
      </c>
      <c r="D90" s="5075" t="s">
        <v>1601</v>
      </c>
      <c r="E90" s="2841"/>
      <c r="F90">
        <v>9096882</v>
      </c>
      <c r="G90">
        <v>9096882</v>
      </c>
      <c r="H90">
        <v>0</v>
      </c>
      <c r="I90">
        <v>0</v>
      </c>
      <c r="J90">
        <v>0</v>
      </c>
      <c r="K90">
        <v>0</v>
      </c>
      <c r="L90">
        <v>0</v>
      </c>
    </row>
    <row r="91" ht="12" customHeight="1" spans="2:12">
      <c r="B91" s="3596" t="s">
        <v>1529</v>
      </c>
      <c r="D91" s="5075" t="s">
        <v>1602</v>
      </c>
      <c r="E91" s="2841"/>
      <c r="F91">
        <v>14811732</v>
      </c>
      <c r="G91">
        <v>14811732</v>
      </c>
      <c r="H91">
        <v>0</v>
      </c>
      <c r="I91">
        <v>0</v>
      </c>
      <c r="J91">
        <v>0</v>
      </c>
      <c r="K91">
        <v>0</v>
      </c>
      <c r="L91">
        <v>0</v>
      </c>
    </row>
    <row r="92" ht="12" customHeight="1" spans="2:12">
      <c r="B92" s="3596" t="s">
        <v>1529</v>
      </c>
      <c r="D92" s="5075" t="s">
        <v>1603</v>
      </c>
      <c r="E92" s="2841"/>
      <c r="F92">
        <v>40095034</v>
      </c>
      <c r="G92">
        <v>40095034</v>
      </c>
      <c r="H92">
        <v>0</v>
      </c>
      <c r="I92">
        <v>0</v>
      </c>
      <c r="J92">
        <v>0</v>
      </c>
      <c r="K92">
        <v>0</v>
      </c>
      <c r="L92">
        <v>0</v>
      </c>
    </row>
    <row r="93" ht="12" customHeight="1" spans="2:12">
      <c r="B93" s="3596" t="s">
        <v>1529</v>
      </c>
      <c r="D93" s="5075" t="s">
        <v>1604</v>
      </c>
      <c r="E93" s="2841"/>
      <c r="F93">
        <v>37890738</v>
      </c>
      <c r="G93">
        <v>37890738</v>
      </c>
      <c r="H93">
        <v>0</v>
      </c>
      <c r="I93">
        <v>0</v>
      </c>
      <c r="J93">
        <v>0</v>
      </c>
      <c r="K93">
        <v>0</v>
      </c>
      <c r="L93">
        <v>0</v>
      </c>
    </row>
    <row r="94" ht="12" customHeight="1" spans="2:12">
      <c r="B94" s="3596" t="s">
        <v>1529</v>
      </c>
      <c r="D94" s="5075" t="s">
        <v>1605</v>
      </c>
      <c r="E94" s="2841"/>
      <c r="F94">
        <v>4816632</v>
      </c>
      <c r="G94">
        <v>4816632</v>
      </c>
      <c r="H94">
        <v>0</v>
      </c>
      <c r="I94">
        <v>0</v>
      </c>
      <c r="J94">
        <v>0</v>
      </c>
      <c r="K94">
        <v>0</v>
      </c>
      <c r="L94">
        <v>0</v>
      </c>
    </row>
    <row r="95" ht="12" customHeight="1" spans="2:12">
      <c r="B95" s="3596" t="s">
        <v>1529</v>
      </c>
      <c r="D95" s="5075" t="s">
        <v>1606</v>
      </c>
      <c r="E95" s="2841"/>
      <c r="F95">
        <v>30000</v>
      </c>
      <c r="G95">
        <v>30000</v>
      </c>
      <c r="H95">
        <v>0</v>
      </c>
      <c r="I95">
        <v>0</v>
      </c>
      <c r="J95">
        <v>0</v>
      </c>
      <c r="K95">
        <v>0</v>
      </c>
      <c r="L95">
        <v>0</v>
      </c>
    </row>
    <row r="96" ht="12" customHeight="1" spans="2:12">
      <c r="B96" s="3596" t="s">
        <v>1529</v>
      </c>
      <c r="D96" s="5075" t="s">
        <v>1607</v>
      </c>
      <c r="E96" s="2841"/>
      <c r="F96">
        <v>4029999.6</v>
      </c>
      <c r="G96">
        <v>4029999.6</v>
      </c>
      <c r="H96">
        <v>0</v>
      </c>
      <c r="I96">
        <v>0</v>
      </c>
      <c r="J96">
        <v>0</v>
      </c>
      <c r="K96">
        <v>0</v>
      </c>
      <c r="L96">
        <v>0</v>
      </c>
    </row>
    <row r="97" ht="12" customHeight="1" spans="2:12">
      <c r="B97" s="3596" t="s">
        <v>1529</v>
      </c>
      <c r="D97" s="5075" t="s">
        <v>1608</v>
      </c>
      <c r="E97" s="2841"/>
      <c r="F97">
        <v>13715705</v>
      </c>
      <c r="G97">
        <v>13715705</v>
      </c>
      <c r="H97">
        <v>0</v>
      </c>
      <c r="I97">
        <v>0</v>
      </c>
      <c r="J97">
        <v>0</v>
      </c>
      <c r="K97">
        <v>0</v>
      </c>
      <c r="L97">
        <v>0</v>
      </c>
    </row>
    <row r="98" ht="12" customHeight="1" spans="2:12">
      <c r="B98" s="3596" t="s">
        <v>1529</v>
      </c>
      <c r="D98" s="5075" t="s">
        <v>1609</v>
      </c>
      <c r="E98" s="2841"/>
      <c r="F98">
        <v>7668664</v>
      </c>
      <c r="G98">
        <v>7668664</v>
      </c>
      <c r="H98">
        <v>0</v>
      </c>
      <c r="I98">
        <v>0</v>
      </c>
      <c r="J98">
        <v>0</v>
      </c>
      <c r="K98">
        <v>0</v>
      </c>
      <c r="L98">
        <v>0</v>
      </c>
    </row>
    <row r="99" ht="12" customHeight="1" spans="2:12">
      <c r="B99" s="3596" t="s">
        <v>1529</v>
      </c>
      <c r="D99" s="5075" t="s">
        <v>1610</v>
      </c>
      <c r="E99" s="2841"/>
      <c r="F99">
        <v>10628644</v>
      </c>
      <c r="G99">
        <v>10628644</v>
      </c>
      <c r="H99">
        <v>0</v>
      </c>
      <c r="I99">
        <v>0</v>
      </c>
      <c r="J99">
        <v>0</v>
      </c>
      <c r="K99">
        <v>0</v>
      </c>
      <c r="L99">
        <v>0</v>
      </c>
    </row>
    <row r="100" ht="12" customHeight="1" spans="2:12">
      <c r="B100" s="3596" t="s">
        <v>1529</v>
      </c>
      <c r="D100" s="5075" t="s">
        <v>1611</v>
      </c>
      <c r="E100" s="2841"/>
      <c r="F100">
        <v>35965360</v>
      </c>
      <c r="G100">
        <v>35965360</v>
      </c>
      <c r="H100">
        <v>0</v>
      </c>
      <c r="I100">
        <v>0</v>
      </c>
      <c r="J100">
        <v>0</v>
      </c>
      <c r="K100">
        <v>0</v>
      </c>
      <c r="L100">
        <v>0</v>
      </c>
    </row>
    <row r="101" ht="12" customHeight="1" spans="2:12">
      <c r="B101" s="3596" t="s">
        <v>1529</v>
      </c>
      <c r="D101" s="5075" t="s">
        <v>1612</v>
      </c>
      <c r="E101" s="2841"/>
      <c r="F101">
        <v>2371654</v>
      </c>
      <c r="G101">
        <v>2371654</v>
      </c>
      <c r="H101">
        <v>0</v>
      </c>
      <c r="I101">
        <v>0</v>
      </c>
      <c r="J101">
        <v>0</v>
      </c>
      <c r="K101">
        <v>0</v>
      </c>
      <c r="L101">
        <v>0</v>
      </c>
    </row>
    <row r="102" ht="12" customHeight="1" spans="2:12">
      <c r="B102" s="3596" t="s">
        <v>1529</v>
      </c>
      <c r="D102" s="5075" t="s">
        <v>1613</v>
      </c>
      <c r="E102" s="2841"/>
      <c r="F102">
        <v>12015159</v>
      </c>
      <c r="G102">
        <v>12015159</v>
      </c>
      <c r="H102">
        <v>0</v>
      </c>
      <c r="I102">
        <v>0</v>
      </c>
      <c r="J102">
        <v>0</v>
      </c>
      <c r="K102">
        <v>0</v>
      </c>
      <c r="L102">
        <v>0</v>
      </c>
    </row>
    <row r="103" ht="12" customHeight="1" spans="2:12">
      <c r="B103" s="3596" t="s">
        <v>1529</v>
      </c>
      <c r="D103" s="5075" t="s">
        <v>1614</v>
      </c>
      <c r="E103" s="2841"/>
      <c r="F103">
        <v>25926739</v>
      </c>
      <c r="G103">
        <v>25926739</v>
      </c>
      <c r="H103">
        <v>0</v>
      </c>
      <c r="I103">
        <v>0</v>
      </c>
      <c r="J103">
        <v>0</v>
      </c>
      <c r="K103">
        <v>0</v>
      </c>
      <c r="L103">
        <v>0</v>
      </c>
    </row>
    <row r="104" ht="12" customHeight="1" spans="2:12">
      <c r="B104" s="3596" t="s">
        <v>1529</v>
      </c>
      <c r="D104" s="5075" t="s">
        <v>1615</v>
      </c>
      <c r="E104" s="2841"/>
      <c r="F104">
        <v>19300000</v>
      </c>
      <c r="G104">
        <v>19300000</v>
      </c>
      <c r="H104">
        <v>0</v>
      </c>
      <c r="I104">
        <v>0</v>
      </c>
      <c r="J104">
        <v>0</v>
      </c>
      <c r="K104">
        <v>0</v>
      </c>
      <c r="L104">
        <v>0</v>
      </c>
    </row>
    <row r="105" ht="12" customHeight="1" spans="2:12">
      <c r="B105" s="3596" t="s">
        <v>1529</v>
      </c>
      <c r="D105" s="5075" t="s">
        <v>1616</v>
      </c>
      <c r="E105" s="2841"/>
      <c r="F105">
        <v>14233872</v>
      </c>
      <c r="G105">
        <v>14233872</v>
      </c>
      <c r="H105">
        <v>0</v>
      </c>
      <c r="I105">
        <v>0</v>
      </c>
      <c r="J105">
        <v>0</v>
      </c>
      <c r="K105">
        <v>0</v>
      </c>
      <c r="L105">
        <v>0</v>
      </c>
    </row>
    <row r="106" ht="12" customHeight="1" spans="2:12">
      <c r="B106" s="3596" t="s">
        <v>1529</v>
      </c>
      <c r="D106" s="5075" t="s">
        <v>1617</v>
      </c>
      <c r="E106" s="2841"/>
      <c r="F106">
        <v>2355800</v>
      </c>
      <c r="G106">
        <v>2355800</v>
      </c>
      <c r="H106">
        <v>0</v>
      </c>
      <c r="I106">
        <v>0</v>
      </c>
      <c r="J106">
        <v>0</v>
      </c>
      <c r="K106">
        <v>0</v>
      </c>
      <c r="L106">
        <v>0</v>
      </c>
    </row>
    <row r="107" ht="12" customHeight="1" spans="2:12">
      <c r="B107" s="3596" t="s">
        <v>1529</v>
      </c>
      <c r="D107" s="5075" t="s">
        <v>1618</v>
      </c>
      <c r="E107" s="2841"/>
      <c r="F107">
        <v>351000</v>
      </c>
      <c r="G107">
        <v>351000</v>
      </c>
      <c r="H107">
        <v>0</v>
      </c>
      <c r="I107">
        <v>0</v>
      </c>
      <c r="J107">
        <v>0</v>
      </c>
      <c r="K107">
        <v>0</v>
      </c>
      <c r="L107">
        <v>0</v>
      </c>
    </row>
    <row r="108" ht="12" customHeight="1" spans="2:12">
      <c r="B108" s="3596" t="s">
        <v>1529</v>
      </c>
      <c r="D108" s="5075" t="s">
        <v>1619</v>
      </c>
      <c r="E108" s="2841"/>
      <c r="F108">
        <v>4988529</v>
      </c>
      <c r="G108">
        <v>4988529</v>
      </c>
      <c r="H108">
        <v>0</v>
      </c>
      <c r="I108">
        <v>0</v>
      </c>
      <c r="J108">
        <v>0</v>
      </c>
      <c r="K108">
        <v>0</v>
      </c>
      <c r="L108">
        <v>0</v>
      </c>
    </row>
    <row r="109" ht="12" customHeight="1" spans="2:12">
      <c r="B109" s="3596" t="s">
        <v>1529</v>
      </c>
      <c r="D109" s="5075" t="s">
        <v>1620</v>
      </c>
      <c r="E109" s="2841"/>
      <c r="F109">
        <v>65593649</v>
      </c>
      <c r="G109">
        <v>65593649</v>
      </c>
      <c r="H109">
        <v>0</v>
      </c>
      <c r="I109">
        <v>0</v>
      </c>
      <c r="J109">
        <v>0</v>
      </c>
      <c r="K109">
        <v>0</v>
      </c>
      <c r="L109">
        <v>0</v>
      </c>
    </row>
    <row r="110" ht="12" customHeight="1" spans="2:12">
      <c r="B110" s="3596" t="s">
        <v>1529</v>
      </c>
      <c r="D110" s="5075" t="s">
        <v>1621</v>
      </c>
      <c r="E110" s="2841"/>
      <c r="F110">
        <v>83850</v>
      </c>
      <c r="G110">
        <v>83850</v>
      </c>
      <c r="H110">
        <v>0</v>
      </c>
      <c r="I110">
        <v>0</v>
      </c>
      <c r="J110">
        <v>0</v>
      </c>
      <c r="K110">
        <v>0</v>
      </c>
      <c r="L110">
        <v>0</v>
      </c>
    </row>
    <row r="111" ht="12" customHeight="1" spans="2:12">
      <c r="B111" s="3596" t="s">
        <v>1529</v>
      </c>
      <c r="D111" s="5075" t="s">
        <v>1622</v>
      </c>
      <c r="E111" s="2841"/>
      <c r="F111">
        <v>5433090</v>
      </c>
      <c r="G111">
        <v>5433090</v>
      </c>
      <c r="H111">
        <v>0</v>
      </c>
      <c r="I111">
        <v>0</v>
      </c>
      <c r="J111">
        <v>0</v>
      </c>
      <c r="K111">
        <v>0</v>
      </c>
      <c r="L111">
        <v>0</v>
      </c>
    </row>
    <row r="112" ht="12" customHeight="1" spans="2:12">
      <c r="B112" s="3596" t="s">
        <v>1529</v>
      </c>
      <c r="D112" s="5075" t="s">
        <v>1623</v>
      </c>
      <c r="E112" s="2841"/>
      <c r="F112">
        <v>4430692</v>
      </c>
      <c r="G112">
        <v>4430692</v>
      </c>
      <c r="H112">
        <v>0</v>
      </c>
      <c r="I112">
        <v>0</v>
      </c>
      <c r="J112">
        <v>0</v>
      </c>
      <c r="K112">
        <v>0</v>
      </c>
      <c r="L112">
        <v>0</v>
      </c>
    </row>
    <row r="113" ht="12" customHeight="1" spans="2:12">
      <c r="B113" s="3596" t="s">
        <v>1529</v>
      </c>
      <c r="D113" s="5075" t="s">
        <v>1624</v>
      </c>
      <c r="E113" s="2841"/>
      <c r="F113">
        <v>1090000</v>
      </c>
      <c r="G113">
        <v>1090000</v>
      </c>
      <c r="H113">
        <v>0</v>
      </c>
      <c r="I113">
        <v>0</v>
      </c>
      <c r="J113">
        <v>0</v>
      </c>
      <c r="K113">
        <v>0</v>
      </c>
      <c r="L113">
        <v>0</v>
      </c>
    </row>
    <row r="114" ht="12" customHeight="1" spans="2:12">
      <c r="B114" s="3596" t="s">
        <v>1529</v>
      </c>
      <c r="D114" s="5075" t="s">
        <v>1625</v>
      </c>
      <c r="E114" s="2841"/>
      <c r="F114">
        <v>9808392</v>
      </c>
      <c r="G114">
        <v>9808392</v>
      </c>
      <c r="H114">
        <v>0</v>
      </c>
      <c r="I114">
        <v>0</v>
      </c>
      <c r="J114">
        <v>0</v>
      </c>
      <c r="K114">
        <v>0</v>
      </c>
      <c r="L114">
        <v>0</v>
      </c>
    </row>
    <row r="115" ht="12" customHeight="1" spans="2:12">
      <c r="B115" s="3596" t="s">
        <v>1529</v>
      </c>
      <c r="D115" s="5075" t="s">
        <v>1626</v>
      </c>
      <c r="E115" s="2841"/>
      <c r="F115">
        <v>2385000</v>
      </c>
      <c r="G115">
        <v>2385000</v>
      </c>
      <c r="H115">
        <v>0</v>
      </c>
      <c r="I115">
        <v>0</v>
      </c>
      <c r="J115">
        <v>0</v>
      </c>
      <c r="K115">
        <v>0</v>
      </c>
      <c r="L115">
        <v>0</v>
      </c>
    </row>
    <row r="116" ht="12" customHeight="1" spans="2:12">
      <c r="B116" s="3596" t="s">
        <v>1529</v>
      </c>
      <c r="D116" s="5075" t="s">
        <v>1627</v>
      </c>
      <c r="E116" s="2841"/>
      <c r="F116">
        <v>12492325</v>
      </c>
      <c r="G116">
        <v>12492325</v>
      </c>
      <c r="H116">
        <v>0</v>
      </c>
      <c r="I116">
        <v>0</v>
      </c>
      <c r="J116">
        <v>0</v>
      </c>
      <c r="K116">
        <v>0</v>
      </c>
      <c r="L116">
        <v>0</v>
      </c>
    </row>
    <row r="117" ht="12" customHeight="1" spans="2:12">
      <c r="B117" s="3596" t="s">
        <v>1529</v>
      </c>
      <c r="D117" s="5075" t="s">
        <v>1628</v>
      </c>
      <c r="E117" s="2841"/>
      <c r="F117">
        <v>352000</v>
      </c>
      <c r="G117">
        <v>352000</v>
      </c>
      <c r="H117">
        <v>0</v>
      </c>
      <c r="I117">
        <v>0</v>
      </c>
      <c r="J117">
        <v>0</v>
      </c>
      <c r="K117">
        <v>0</v>
      </c>
      <c r="L117">
        <v>0</v>
      </c>
    </row>
    <row r="118" ht="12" customHeight="1" spans="2:12">
      <c r="B118" s="3596" t="s">
        <v>1529</v>
      </c>
      <c r="D118" s="5075" t="s">
        <v>1629</v>
      </c>
      <c r="E118" s="2841"/>
      <c r="F118">
        <v>12110446</v>
      </c>
      <c r="G118">
        <v>12110446</v>
      </c>
      <c r="H118">
        <v>0</v>
      </c>
      <c r="I118">
        <v>0</v>
      </c>
      <c r="J118">
        <v>0</v>
      </c>
      <c r="K118">
        <v>0</v>
      </c>
      <c r="L118">
        <v>0</v>
      </c>
    </row>
    <row r="119" ht="12" customHeight="1" spans="4:12">
      <c r="D119" s="2841"/>
      <c r="E119" s="2841"/>
      <c r="F119"/>
      <c r="G119"/>
      <c r="H119"/>
      <c r="I119"/>
      <c r="J119"/>
      <c r="K119"/>
      <c r="L119"/>
    </row>
    <row r="120" ht="12" customHeight="1" spans="4:12">
      <c r="D120" s="2841"/>
      <c r="E120">
        <f>SUM(F19:F118)</f>
        <v>1177744396.6</v>
      </c>
      <c r="F120"/>
      <c r="G120"/>
      <c r="H120"/>
      <c r="I120"/>
      <c r="J120"/>
      <c r="K120"/>
      <c r="L120"/>
    </row>
    <row r="121" ht="12" customHeight="1" spans="2:12">
      <c r="B121" s="3596" t="s">
        <v>1630</v>
      </c>
      <c r="D121" s="5075" t="s">
        <v>1631</v>
      </c>
      <c r="E121" s="2841"/>
      <c r="F121">
        <v>13978800</v>
      </c>
      <c r="G121">
        <v>13978800</v>
      </c>
      <c r="H121">
        <v>0</v>
      </c>
      <c r="I121">
        <v>0</v>
      </c>
      <c r="J121">
        <v>0</v>
      </c>
      <c r="K121">
        <v>0</v>
      </c>
      <c r="L121">
        <v>0</v>
      </c>
    </row>
    <row r="122" ht="12" customHeight="1" spans="2:12">
      <c r="B122" s="3596" t="s">
        <v>1632</v>
      </c>
      <c r="D122" s="5075" t="s">
        <v>1633</v>
      </c>
      <c r="E122" s="2841"/>
      <c r="F122">
        <v>5012000</v>
      </c>
      <c r="G122">
        <v>5012000</v>
      </c>
      <c r="H122">
        <v>0</v>
      </c>
      <c r="I122">
        <v>0</v>
      </c>
      <c r="J122">
        <v>0</v>
      </c>
      <c r="K122">
        <v>0</v>
      </c>
      <c r="L122">
        <v>0</v>
      </c>
    </row>
    <row r="123" ht="12" customHeight="1" spans="2:12">
      <c r="B123" s="3596" t="s">
        <v>1630</v>
      </c>
      <c r="D123" s="5075" t="s">
        <v>1634</v>
      </c>
      <c r="E123" s="2841"/>
      <c r="F123">
        <v>188112</v>
      </c>
      <c r="G123">
        <v>188112</v>
      </c>
      <c r="H123">
        <v>0</v>
      </c>
      <c r="I123">
        <v>0</v>
      </c>
      <c r="J123">
        <v>0</v>
      </c>
      <c r="K123">
        <v>0</v>
      </c>
      <c r="L123">
        <v>0</v>
      </c>
    </row>
    <row r="124" ht="12" customHeight="1" spans="2:12">
      <c r="B124" s="3596" t="s">
        <v>1630</v>
      </c>
      <c r="D124" s="5075" t="s">
        <v>1635</v>
      </c>
      <c r="E124" s="2841"/>
      <c r="F124">
        <v>56403944</v>
      </c>
      <c r="G124">
        <v>56403944</v>
      </c>
      <c r="H124">
        <v>0</v>
      </c>
      <c r="I124">
        <v>0</v>
      </c>
      <c r="J124">
        <v>0</v>
      </c>
      <c r="K124">
        <v>0</v>
      </c>
      <c r="L124">
        <v>0</v>
      </c>
    </row>
    <row r="125" ht="12" customHeight="1" spans="2:12">
      <c r="B125" s="3596" t="s">
        <v>1630</v>
      </c>
      <c r="D125" s="5075" t="s">
        <v>1636</v>
      </c>
      <c r="E125" s="2841"/>
      <c r="F125">
        <v>12355000</v>
      </c>
      <c r="G125">
        <v>12355000</v>
      </c>
      <c r="H125">
        <v>0</v>
      </c>
      <c r="I125">
        <v>0</v>
      </c>
      <c r="J125">
        <v>0</v>
      </c>
      <c r="K125">
        <v>0</v>
      </c>
      <c r="L125">
        <v>0</v>
      </c>
    </row>
    <row r="126" ht="12" customHeight="1" spans="2:12">
      <c r="B126" s="3596" t="s">
        <v>1630</v>
      </c>
      <c r="D126" s="5075" t="s">
        <v>1637</v>
      </c>
      <c r="E126" s="2841"/>
      <c r="F126">
        <v>898000</v>
      </c>
      <c r="G126">
        <v>460000</v>
      </c>
      <c r="H126">
        <v>438000</v>
      </c>
      <c r="I126">
        <v>0</v>
      </c>
      <c r="J126">
        <v>0</v>
      </c>
      <c r="K126">
        <v>0</v>
      </c>
      <c r="L126">
        <v>0</v>
      </c>
    </row>
    <row r="127" ht="12" customHeight="1" spans="2:12">
      <c r="B127" s="3596" t="s">
        <v>1630</v>
      </c>
      <c r="D127" s="5075" t="s">
        <v>1638</v>
      </c>
      <c r="E127" s="2841"/>
      <c r="F127">
        <v>589026</v>
      </c>
      <c r="G127">
        <v>589026</v>
      </c>
      <c r="H127">
        <v>0</v>
      </c>
      <c r="I127">
        <v>0</v>
      </c>
      <c r="J127">
        <v>0</v>
      </c>
      <c r="K127">
        <v>0</v>
      </c>
      <c r="L127">
        <v>0</v>
      </c>
    </row>
    <row r="128" ht="12" customHeight="1" spans="2:12">
      <c r="B128" s="3596" t="s">
        <v>1630</v>
      </c>
      <c r="D128" s="5075" t="s">
        <v>1639</v>
      </c>
      <c r="E128" s="2841"/>
      <c r="F128">
        <v>44265</v>
      </c>
      <c r="G128">
        <v>44265</v>
      </c>
      <c r="H128">
        <v>0</v>
      </c>
      <c r="I128">
        <v>0</v>
      </c>
      <c r="J128">
        <v>0</v>
      </c>
      <c r="K128">
        <v>0</v>
      </c>
      <c r="L128">
        <v>0</v>
      </c>
    </row>
    <row r="129" ht="12" customHeight="1" spans="2:12">
      <c r="B129" s="3596" t="s">
        <v>1630</v>
      </c>
      <c r="D129" s="5075" t="s">
        <v>1640</v>
      </c>
      <c r="E129" s="2841"/>
      <c r="F129">
        <v>322746</v>
      </c>
      <c r="G129">
        <v>322746</v>
      </c>
      <c r="H129">
        <v>0</v>
      </c>
      <c r="I129">
        <v>0</v>
      </c>
      <c r="J129">
        <v>0</v>
      </c>
      <c r="K129">
        <v>0</v>
      </c>
      <c r="L129">
        <v>0</v>
      </c>
    </row>
    <row r="130" ht="12" customHeight="1" spans="2:12">
      <c r="B130" s="3596" t="s">
        <v>1630</v>
      </c>
      <c r="D130" s="5075" t="s">
        <v>1641</v>
      </c>
      <c r="E130" s="2841"/>
      <c r="F130">
        <v>15492470</v>
      </c>
      <c r="G130">
        <v>13189630</v>
      </c>
      <c r="H130">
        <v>2302840</v>
      </c>
      <c r="I130">
        <v>0</v>
      </c>
      <c r="J130">
        <v>0</v>
      </c>
      <c r="K130">
        <v>0</v>
      </c>
      <c r="L130">
        <v>0</v>
      </c>
    </row>
    <row r="131" ht="12" customHeight="1" spans="2:12">
      <c r="B131" s="3596" t="s">
        <v>1630</v>
      </c>
      <c r="D131" s="5075" t="s">
        <v>1642</v>
      </c>
      <c r="E131" s="2841"/>
      <c r="F131">
        <v>2621500</v>
      </c>
      <c r="G131">
        <v>1511350</v>
      </c>
      <c r="H131">
        <v>225400</v>
      </c>
      <c r="I131">
        <v>884750</v>
      </c>
      <c r="J131">
        <v>0</v>
      </c>
      <c r="K131">
        <v>0</v>
      </c>
      <c r="L131">
        <v>0</v>
      </c>
    </row>
    <row r="132" ht="12" customHeight="1" spans="2:12">
      <c r="B132" s="3596" t="s">
        <v>1630</v>
      </c>
      <c r="D132" s="5075" t="s">
        <v>1643</v>
      </c>
      <c r="E132" s="2841"/>
      <c r="F132">
        <v>27250000</v>
      </c>
      <c r="G132">
        <v>27250000</v>
      </c>
      <c r="H132">
        <v>0</v>
      </c>
      <c r="I132">
        <v>0</v>
      </c>
      <c r="J132">
        <v>0</v>
      </c>
      <c r="K132">
        <v>0</v>
      </c>
      <c r="L132">
        <v>0</v>
      </c>
    </row>
    <row r="133" ht="12" customHeight="1" spans="2:12">
      <c r="B133" s="3596" t="s">
        <v>1630</v>
      </c>
      <c r="D133" s="5075" t="s">
        <v>1644</v>
      </c>
      <c r="E133" s="2841"/>
      <c r="F133">
        <v>1634600</v>
      </c>
      <c r="G133">
        <v>1634600</v>
      </c>
      <c r="H133">
        <v>0</v>
      </c>
      <c r="I133">
        <v>0</v>
      </c>
      <c r="J133">
        <v>0</v>
      </c>
      <c r="K133">
        <v>0</v>
      </c>
      <c r="L133">
        <v>0</v>
      </c>
    </row>
    <row r="134" ht="12" customHeight="1" spans="2:12">
      <c r="B134" s="3596" t="s">
        <v>1630</v>
      </c>
      <c r="D134" s="5075" t="s">
        <v>1645</v>
      </c>
      <c r="E134" s="2841"/>
      <c r="F134">
        <v>3817000</v>
      </c>
      <c r="G134">
        <v>3817000</v>
      </c>
      <c r="H134">
        <v>0</v>
      </c>
      <c r="I134">
        <v>0</v>
      </c>
      <c r="J134">
        <v>0</v>
      </c>
      <c r="K134">
        <v>0</v>
      </c>
      <c r="L134">
        <v>0</v>
      </c>
    </row>
    <row r="135" ht="12" customHeight="1" spans="4:12">
      <c r="D135" s="2841"/>
      <c r="E135" s="2841">
        <f>SUM(F121:F134)</f>
        <v>140607463</v>
      </c>
      <c r="F135"/>
      <c r="G135"/>
      <c r="H135"/>
      <c r="I135"/>
      <c r="J135"/>
      <c r="K135"/>
      <c r="L135"/>
    </row>
    <row r="136" ht="12" customHeight="1" spans="4:12">
      <c r="D136" s="2841"/>
      <c r="E136" s="2841"/>
      <c r="F136"/>
      <c r="G136"/>
      <c r="H136"/>
      <c r="I136"/>
      <c r="J136"/>
      <c r="K136"/>
      <c r="L136"/>
    </row>
    <row r="137" ht="12" customHeight="1" spans="2:12">
      <c r="B137" s="3596" t="s">
        <v>1646</v>
      </c>
      <c r="D137" s="2841" t="s">
        <v>1647</v>
      </c>
      <c r="E137" s="2841"/>
      <c r="F137">
        <v>2196502</v>
      </c>
      <c r="G137">
        <v>2196502</v>
      </c>
      <c r="H137">
        <v>0</v>
      </c>
      <c r="I137">
        <v>0</v>
      </c>
      <c r="J137">
        <v>0</v>
      </c>
      <c r="K137">
        <v>0</v>
      </c>
      <c r="L137">
        <v>0</v>
      </c>
    </row>
    <row r="138" ht="12" customHeight="1" spans="4:12">
      <c r="D138" s="5075" t="s">
        <v>1648</v>
      </c>
      <c r="E138" s="2841"/>
      <c r="F138">
        <v>17160000</v>
      </c>
      <c r="G138">
        <v>17160000</v>
      </c>
      <c r="H138">
        <v>0</v>
      </c>
      <c r="I138">
        <v>0</v>
      </c>
      <c r="J138">
        <v>0</v>
      </c>
      <c r="K138">
        <v>0</v>
      </c>
      <c r="L138">
        <v>0</v>
      </c>
    </row>
    <row r="139" ht="12" customHeight="1" spans="4:12">
      <c r="D139" s="5075" t="s">
        <v>1649</v>
      </c>
      <c r="E139" s="2841"/>
      <c r="F139">
        <v>6889050</v>
      </c>
      <c r="G139">
        <v>6889050</v>
      </c>
      <c r="H139">
        <v>0</v>
      </c>
      <c r="I139">
        <v>0</v>
      </c>
      <c r="J139">
        <v>0</v>
      </c>
      <c r="K139">
        <v>0</v>
      </c>
      <c r="L139">
        <v>0</v>
      </c>
    </row>
    <row r="140" ht="12" customHeight="1" spans="4:12">
      <c r="D140" s="5075" t="s">
        <v>1650</v>
      </c>
      <c r="E140" s="2841"/>
      <c r="F140">
        <v>66449310</v>
      </c>
      <c r="G140">
        <v>66449310</v>
      </c>
      <c r="H140">
        <v>0</v>
      </c>
      <c r="I140">
        <v>0</v>
      </c>
      <c r="J140">
        <v>0</v>
      </c>
      <c r="K140">
        <v>0</v>
      </c>
      <c r="L140">
        <v>0</v>
      </c>
    </row>
    <row r="141" ht="12" customHeight="1" spans="4:12">
      <c r="D141" s="5075" t="s">
        <v>1651</v>
      </c>
      <c r="E141" s="2841"/>
      <c r="F141">
        <v>91277249</v>
      </c>
      <c r="G141">
        <v>91277249</v>
      </c>
      <c r="H141">
        <v>0</v>
      </c>
      <c r="I141">
        <v>0</v>
      </c>
      <c r="J141">
        <v>0</v>
      </c>
      <c r="K141">
        <v>0</v>
      </c>
      <c r="L141">
        <v>0</v>
      </c>
    </row>
    <row r="142" ht="12" customHeight="1" spans="4:12">
      <c r="D142" s="5075" t="s">
        <v>1652</v>
      </c>
      <c r="E142" s="2841"/>
      <c r="F142">
        <v>139271089.9</v>
      </c>
      <c r="G142">
        <v>139271089.9</v>
      </c>
      <c r="H142">
        <v>0</v>
      </c>
      <c r="I142">
        <v>0</v>
      </c>
      <c r="J142">
        <v>0</v>
      </c>
      <c r="K142">
        <v>0</v>
      </c>
      <c r="L142">
        <v>0</v>
      </c>
    </row>
    <row r="143" ht="12" customHeight="1" spans="4:12">
      <c r="D143" s="5075" t="s">
        <v>1653</v>
      </c>
      <c r="E143" s="2841"/>
      <c r="F143">
        <v>1493100</v>
      </c>
      <c r="G143">
        <v>1493100</v>
      </c>
      <c r="H143">
        <v>0</v>
      </c>
      <c r="I143">
        <v>0</v>
      </c>
      <c r="J143">
        <v>0</v>
      </c>
      <c r="K143">
        <v>0</v>
      </c>
      <c r="L143">
        <v>0</v>
      </c>
    </row>
    <row r="144" ht="12" customHeight="1" spans="4:12">
      <c r="D144" s="5075" t="s">
        <v>1654</v>
      </c>
      <c r="E144" s="2841"/>
      <c r="F144">
        <v>1884.96</v>
      </c>
      <c r="G144">
        <v>0</v>
      </c>
      <c r="H144">
        <v>0</v>
      </c>
      <c r="I144">
        <v>0</v>
      </c>
      <c r="J144">
        <v>0</v>
      </c>
      <c r="K144">
        <v>0</v>
      </c>
      <c r="L144">
        <v>1884.96</v>
      </c>
    </row>
    <row r="145" ht="12" customHeight="1" spans="4:12">
      <c r="D145" s="5075" t="s">
        <v>1655</v>
      </c>
      <c r="E145" s="2841"/>
      <c r="F145">
        <v>15981800</v>
      </c>
      <c r="G145">
        <v>15981800</v>
      </c>
      <c r="H145">
        <v>0</v>
      </c>
      <c r="I145">
        <v>0</v>
      </c>
      <c r="J145">
        <v>0</v>
      </c>
      <c r="K145">
        <v>0</v>
      </c>
      <c r="L145">
        <v>0</v>
      </c>
    </row>
    <row r="146" ht="12" customHeight="1" spans="4:12">
      <c r="D146" s="5075" t="s">
        <v>1656</v>
      </c>
      <c r="E146" s="2841"/>
      <c r="F146">
        <v>4720900.2</v>
      </c>
      <c r="G146">
        <v>2831900</v>
      </c>
      <c r="H146">
        <v>838500.1</v>
      </c>
      <c r="I146">
        <v>1050500.1</v>
      </c>
      <c r="J146">
        <v>0</v>
      </c>
      <c r="K146">
        <v>0</v>
      </c>
      <c r="L146">
        <v>0</v>
      </c>
    </row>
    <row r="147" ht="12" customHeight="1" spans="4:12">
      <c r="D147" s="5075" t="s">
        <v>1657</v>
      </c>
      <c r="E147" s="2841"/>
      <c r="F147">
        <v>2681500</v>
      </c>
      <c r="G147">
        <v>2109500</v>
      </c>
      <c r="H147">
        <v>0</v>
      </c>
      <c r="I147">
        <v>572000</v>
      </c>
      <c r="J147">
        <v>0</v>
      </c>
      <c r="K147">
        <v>0</v>
      </c>
      <c r="L147">
        <v>0</v>
      </c>
    </row>
    <row r="148" ht="12" customHeight="1" spans="4:12">
      <c r="D148" s="5075" t="s">
        <v>1658</v>
      </c>
      <c r="E148" s="2841"/>
      <c r="F148">
        <v>330000</v>
      </c>
      <c r="G148">
        <v>0</v>
      </c>
      <c r="H148">
        <v>0</v>
      </c>
      <c r="I148">
        <v>330000</v>
      </c>
      <c r="J148">
        <v>0</v>
      </c>
      <c r="K148">
        <v>0</v>
      </c>
      <c r="L148">
        <v>0</v>
      </c>
    </row>
    <row r="149" ht="12" customHeight="1" spans="4:12">
      <c r="D149" s="2841" t="s">
        <v>1659</v>
      </c>
      <c r="E149" s="2841"/>
      <c r="F149">
        <v>4523500</v>
      </c>
      <c r="G149">
        <v>4523500</v>
      </c>
      <c r="H149">
        <v>0</v>
      </c>
      <c r="I149">
        <v>0</v>
      </c>
      <c r="J149">
        <v>0</v>
      </c>
      <c r="K149">
        <v>0</v>
      </c>
      <c r="L149">
        <v>0</v>
      </c>
    </row>
    <row r="150" ht="12" customHeight="1" spans="4:12">
      <c r="D150" s="5075" t="s">
        <v>1660</v>
      </c>
      <c r="E150" s="2841"/>
      <c r="F150">
        <v>742500</v>
      </c>
      <c r="G150">
        <v>742500</v>
      </c>
      <c r="H150">
        <v>0</v>
      </c>
      <c r="I150">
        <v>0</v>
      </c>
      <c r="J150">
        <v>0</v>
      </c>
      <c r="K150">
        <v>0</v>
      </c>
      <c r="L150">
        <v>0</v>
      </c>
    </row>
    <row r="151" ht="12" customHeight="1" spans="4:12">
      <c r="D151" s="5075" t="s">
        <v>1661</v>
      </c>
      <c r="E151" s="2841"/>
      <c r="F151">
        <v>665967859</v>
      </c>
      <c r="G151">
        <v>665967859</v>
      </c>
      <c r="H151">
        <v>0</v>
      </c>
      <c r="I151">
        <v>0</v>
      </c>
      <c r="J151">
        <v>0</v>
      </c>
      <c r="K151">
        <v>0</v>
      </c>
      <c r="L151">
        <v>0</v>
      </c>
    </row>
    <row r="152" ht="12" customHeight="1" spans="4:12">
      <c r="D152" s="5075" t="s">
        <v>1662</v>
      </c>
      <c r="E152" s="2841"/>
      <c r="F152">
        <v>379354097</v>
      </c>
      <c r="G152">
        <v>379354097</v>
      </c>
      <c r="H152">
        <v>0</v>
      </c>
      <c r="I152">
        <v>0</v>
      </c>
      <c r="J152">
        <v>0</v>
      </c>
      <c r="K152">
        <v>0</v>
      </c>
      <c r="L152">
        <v>0</v>
      </c>
    </row>
    <row r="153" ht="12" customHeight="1" spans="4:12">
      <c r="D153" s="5075" t="s">
        <v>1663</v>
      </c>
      <c r="E153" s="2841"/>
      <c r="F153">
        <v>35348901</v>
      </c>
      <c r="G153">
        <v>35348901</v>
      </c>
      <c r="H153">
        <v>0</v>
      </c>
      <c r="I153">
        <v>0</v>
      </c>
      <c r="J153">
        <v>0</v>
      </c>
      <c r="K153">
        <v>0</v>
      </c>
      <c r="L153">
        <v>0</v>
      </c>
    </row>
    <row r="154" ht="12" customHeight="1" spans="4:12">
      <c r="D154" s="2841" t="s">
        <v>1664</v>
      </c>
      <c r="E154" s="2841"/>
      <c r="F154">
        <v>115732800</v>
      </c>
      <c r="G154">
        <v>115732800</v>
      </c>
      <c r="H154">
        <v>0</v>
      </c>
      <c r="I154">
        <v>0</v>
      </c>
      <c r="J154">
        <v>0</v>
      </c>
      <c r="K154">
        <v>0</v>
      </c>
      <c r="L154">
        <v>0</v>
      </c>
    </row>
    <row r="155" ht="12" customHeight="1" spans="4:12">
      <c r="D155" s="2841" t="s">
        <v>1665</v>
      </c>
      <c r="E155" s="2841"/>
      <c r="F155">
        <v>12000000</v>
      </c>
      <c r="G155">
        <v>12000000</v>
      </c>
      <c r="H155">
        <v>0</v>
      </c>
      <c r="I155">
        <v>0</v>
      </c>
      <c r="J155">
        <v>0</v>
      </c>
      <c r="K155">
        <v>0</v>
      </c>
      <c r="L155">
        <v>0</v>
      </c>
    </row>
    <row r="156" ht="12" customHeight="1" spans="4:12">
      <c r="D156" s="5075" t="s">
        <v>1666</v>
      </c>
      <c r="E156" s="2841"/>
      <c r="F156">
        <v>1228000</v>
      </c>
      <c r="G156">
        <v>1228000</v>
      </c>
      <c r="H156">
        <v>0</v>
      </c>
      <c r="I156">
        <v>0</v>
      </c>
      <c r="J156">
        <v>0</v>
      </c>
      <c r="K156">
        <v>0</v>
      </c>
      <c r="L156">
        <v>0</v>
      </c>
    </row>
    <row r="157" ht="12" customHeight="1" spans="4:12">
      <c r="D157" s="2841" t="s">
        <v>1667</v>
      </c>
      <c r="E157" s="2841"/>
      <c r="F157">
        <v>5060000</v>
      </c>
      <c r="G157">
        <v>5060000</v>
      </c>
      <c r="H157">
        <v>0</v>
      </c>
      <c r="I157">
        <v>0</v>
      </c>
      <c r="J157">
        <v>0</v>
      </c>
      <c r="K157">
        <v>0</v>
      </c>
      <c r="L157">
        <v>0</v>
      </c>
    </row>
    <row r="158" ht="12" customHeight="1" spans="4:12">
      <c r="D158" s="2841" t="s">
        <v>1668</v>
      </c>
      <c r="E158" s="2841"/>
      <c r="F158">
        <v>210157390</v>
      </c>
      <c r="G158">
        <v>210157390</v>
      </c>
      <c r="H158">
        <v>0</v>
      </c>
      <c r="I158">
        <v>0</v>
      </c>
      <c r="J158">
        <v>0</v>
      </c>
      <c r="K158">
        <v>0</v>
      </c>
      <c r="L158">
        <v>0</v>
      </c>
    </row>
    <row r="159" ht="12" customHeight="1" spans="4:12">
      <c r="D159" s="5075" t="s">
        <v>1669</v>
      </c>
      <c r="E159" s="2841"/>
      <c r="F159">
        <v>27561561</v>
      </c>
      <c r="G159">
        <v>25317561</v>
      </c>
      <c r="H159">
        <v>2244000</v>
      </c>
      <c r="I159">
        <v>0</v>
      </c>
      <c r="J159">
        <v>0</v>
      </c>
      <c r="K159">
        <v>0</v>
      </c>
      <c r="L159">
        <v>0</v>
      </c>
    </row>
    <row r="160" ht="12" customHeight="1" spans="4:12">
      <c r="D160" s="2841" t="s">
        <v>1670</v>
      </c>
      <c r="F160">
        <v>7286500</v>
      </c>
      <c r="G160">
        <v>7286500</v>
      </c>
      <c r="H160">
        <v>0</v>
      </c>
      <c r="I160">
        <v>0</v>
      </c>
      <c r="J160">
        <v>0</v>
      </c>
      <c r="K160">
        <v>0</v>
      </c>
      <c r="L160">
        <v>0</v>
      </c>
    </row>
    <row r="161" ht="12" customHeight="1" spans="4:12">
      <c r="D161" s="2841" t="s">
        <v>1671</v>
      </c>
      <c r="F161">
        <v>1152800</v>
      </c>
      <c r="G161">
        <v>1152800</v>
      </c>
      <c r="H161">
        <v>0</v>
      </c>
      <c r="I161">
        <v>0</v>
      </c>
      <c r="J161">
        <v>0</v>
      </c>
      <c r="K161">
        <v>0</v>
      </c>
      <c r="L161">
        <v>0</v>
      </c>
    </row>
    <row r="162" ht="12" customHeight="1" spans="4:12">
      <c r="D162" s="2841" t="s">
        <v>1672</v>
      </c>
      <c r="F162">
        <v>8640000</v>
      </c>
      <c r="G162">
        <v>8640000</v>
      </c>
      <c r="H162">
        <v>0</v>
      </c>
      <c r="I162">
        <v>0</v>
      </c>
      <c r="J162">
        <v>0</v>
      </c>
      <c r="K162">
        <v>0</v>
      </c>
      <c r="L162">
        <v>0</v>
      </c>
    </row>
    <row r="163" ht="12" customHeight="1" spans="4:12">
      <c r="D163" s="5075" t="s">
        <v>1673</v>
      </c>
      <c r="E163" s="2841"/>
      <c r="F163">
        <v>27367450</v>
      </c>
      <c r="G163">
        <v>27367450</v>
      </c>
      <c r="H163">
        <v>0</v>
      </c>
      <c r="I163">
        <v>0</v>
      </c>
      <c r="J163">
        <v>0</v>
      </c>
      <c r="K163">
        <v>0</v>
      </c>
      <c r="L163">
        <v>0</v>
      </c>
    </row>
    <row r="164" ht="12" customHeight="1" spans="4:12">
      <c r="D164" s="2841" t="s">
        <v>1674</v>
      </c>
      <c r="E164" s="2841"/>
      <c r="F164">
        <v>3320000</v>
      </c>
      <c r="G164">
        <v>3320000</v>
      </c>
      <c r="H164">
        <v>0</v>
      </c>
      <c r="I164">
        <v>0</v>
      </c>
      <c r="J164">
        <v>0</v>
      </c>
      <c r="K164">
        <v>0</v>
      </c>
      <c r="L164">
        <v>0</v>
      </c>
    </row>
    <row r="165" ht="12" customHeight="1" spans="4:12">
      <c r="D165" s="2841" t="s">
        <v>1675</v>
      </c>
      <c r="F165">
        <v>16720000</v>
      </c>
      <c r="G165">
        <v>16720000</v>
      </c>
      <c r="H165">
        <v>0</v>
      </c>
      <c r="I165">
        <v>0</v>
      </c>
      <c r="J165">
        <v>0</v>
      </c>
      <c r="K165">
        <v>0</v>
      </c>
      <c r="L165">
        <v>0</v>
      </c>
    </row>
    <row r="166" ht="12" customHeight="1" spans="4:12">
      <c r="D166" s="2841" t="s">
        <v>1676</v>
      </c>
      <c r="F166">
        <v>58175800</v>
      </c>
      <c r="G166">
        <v>58175800</v>
      </c>
      <c r="H166">
        <v>0</v>
      </c>
      <c r="I166">
        <v>0</v>
      </c>
      <c r="J166">
        <v>0</v>
      </c>
      <c r="K166">
        <v>0</v>
      </c>
      <c r="L166">
        <v>0</v>
      </c>
    </row>
    <row r="167" ht="12" customHeight="1" spans="4:12">
      <c r="D167" s="2841" t="s">
        <v>1677</v>
      </c>
      <c r="F167">
        <v>1800000</v>
      </c>
      <c r="G167">
        <v>1800000</v>
      </c>
      <c r="H167">
        <v>0</v>
      </c>
      <c r="I167">
        <v>0</v>
      </c>
      <c r="J167">
        <v>0</v>
      </c>
      <c r="K167">
        <v>0</v>
      </c>
      <c r="L167">
        <v>0</v>
      </c>
    </row>
    <row r="168" ht="12" customHeight="1" spans="4:12">
      <c r="D168" s="5075" t="s">
        <v>1678</v>
      </c>
      <c r="E168" s="2841"/>
      <c r="F168">
        <v>43355943</v>
      </c>
      <c r="G168">
        <v>43355943</v>
      </c>
      <c r="H168">
        <v>0</v>
      </c>
      <c r="I168">
        <v>0</v>
      </c>
      <c r="J168">
        <v>0</v>
      </c>
      <c r="K168">
        <v>0</v>
      </c>
      <c r="L168">
        <v>0</v>
      </c>
    </row>
    <row r="169" ht="12" customHeight="1" spans="4:12">
      <c r="D169" s="2841" t="s">
        <v>1679</v>
      </c>
      <c r="F169">
        <v>7525000</v>
      </c>
      <c r="G169">
        <v>7525000</v>
      </c>
      <c r="H169">
        <v>0</v>
      </c>
      <c r="I169">
        <v>0</v>
      </c>
      <c r="J169">
        <v>0</v>
      </c>
      <c r="K169">
        <v>0</v>
      </c>
      <c r="L169">
        <v>0</v>
      </c>
    </row>
    <row r="170" ht="12" customHeight="1" spans="4:12">
      <c r="D170" s="5075" t="s">
        <v>1680</v>
      </c>
      <c r="E170" s="2841"/>
      <c r="F170">
        <v>62000000</v>
      </c>
      <c r="G170">
        <v>62000000</v>
      </c>
      <c r="H170">
        <v>0</v>
      </c>
      <c r="I170">
        <v>0</v>
      </c>
      <c r="J170">
        <v>0</v>
      </c>
      <c r="K170">
        <v>0</v>
      </c>
      <c r="L170">
        <v>0</v>
      </c>
    </row>
    <row r="171" ht="12" customHeight="1" spans="4:12">
      <c r="D171" s="2841" t="s">
        <v>1681</v>
      </c>
      <c r="F171">
        <v>21600000</v>
      </c>
      <c r="G171">
        <v>21600000</v>
      </c>
      <c r="H171">
        <v>0</v>
      </c>
      <c r="I171">
        <v>0</v>
      </c>
      <c r="J171">
        <v>0</v>
      </c>
      <c r="K171">
        <v>0</v>
      </c>
      <c r="L171">
        <v>0</v>
      </c>
    </row>
    <row r="172" ht="12" customHeight="1" spans="4:12">
      <c r="D172" s="5075" t="s">
        <v>1682</v>
      </c>
      <c r="E172" s="2841"/>
      <c r="F172">
        <v>22490930</v>
      </c>
      <c r="G172">
        <v>22490930</v>
      </c>
      <c r="H172">
        <v>0</v>
      </c>
      <c r="I172">
        <v>0</v>
      </c>
      <c r="J172">
        <v>0</v>
      </c>
      <c r="K172">
        <v>0</v>
      </c>
      <c r="L172">
        <v>0</v>
      </c>
    </row>
    <row r="173" ht="12" customHeight="1" spans="4:12">
      <c r="D173" s="5075" t="s">
        <v>1683</v>
      </c>
      <c r="E173" s="2841"/>
      <c r="F173">
        <v>114755829</v>
      </c>
      <c r="G173">
        <v>114755829</v>
      </c>
      <c r="H173">
        <v>0</v>
      </c>
      <c r="I173">
        <v>0</v>
      </c>
      <c r="J173">
        <v>0</v>
      </c>
      <c r="K173">
        <v>0</v>
      </c>
      <c r="L173">
        <v>0</v>
      </c>
    </row>
    <row r="174" ht="12" customHeight="1" spans="4:12">
      <c r="D174" s="5075" t="s">
        <v>1684</v>
      </c>
      <c r="E174" s="2841"/>
      <c r="F174">
        <v>193400</v>
      </c>
      <c r="G174">
        <v>193400</v>
      </c>
      <c r="H174">
        <v>0</v>
      </c>
      <c r="I174">
        <v>0</v>
      </c>
      <c r="J174">
        <v>0</v>
      </c>
      <c r="K174">
        <v>0</v>
      </c>
      <c r="L174">
        <v>0</v>
      </c>
    </row>
    <row r="175" ht="12" customHeight="1" spans="4:12">
      <c r="D175" s="2841" t="s">
        <v>1685</v>
      </c>
      <c r="E175" s="2841"/>
      <c r="F175">
        <v>226459</v>
      </c>
      <c r="G175">
        <v>226459</v>
      </c>
      <c r="H175">
        <v>0</v>
      </c>
      <c r="I175">
        <v>0</v>
      </c>
      <c r="J175">
        <v>0</v>
      </c>
      <c r="K175">
        <v>0</v>
      </c>
      <c r="L175">
        <v>0</v>
      </c>
    </row>
    <row r="176" ht="12" customHeight="1" spans="4:12">
      <c r="D176" s="2841" t="s">
        <v>1686</v>
      </c>
      <c r="E176" s="2841"/>
      <c r="F176">
        <v>34023500</v>
      </c>
      <c r="G176">
        <v>34023500</v>
      </c>
      <c r="H176">
        <v>0</v>
      </c>
      <c r="I176">
        <v>0</v>
      </c>
      <c r="J176">
        <v>0</v>
      </c>
      <c r="K176">
        <v>0</v>
      </c>
      <c r="L176">
        <v>0</v>
      </c>
    </row>
    <row r="177" ht="12" customHeight="1" spans="4:12">
      <c r="D177" s="5075" t="s">
        <v>1687</v>
      </c>
      <c r="E177" s="2841"/>
      <c r="F177">
        <v>277090</v>
      </c>
      <c r="G177">
        <v>277090</v>
      </c>
      <c r="H177">
        <v>0</v>
      </c>
      <c r="I177">
        <v>0</v>
      </c>
      <c r="J177">
        <v>0</v>
      </c>
      <c r="K177">
        <v>0</v>
      </c>
      <c r="L177">
        <v>0</v>
      </c>
    </row>
    <row r="178" ht="12" customHeight="1" spans="4:12">
      <c r="D178" s="2841" t="s">
        <v>1688</v>
      </c>
      <c r="F178">
        <v>3630140</v>
      </c>
      <c r="G178">
        <v>3630140</v>
      </c>
      <c r="H178">
        <v>0</v>
      </c>
      <c r="I178">
        <v>0</v>
      </c>
      <c r="J178">
        <v>0</v>
      </c>
      <c r="K178">
        <v>0</v>
      </c>
      <c r="L178">
        <v>0</v>
      </c>
    </row>
    <row r="179" ht="12" customHeight="1" spans="4:12">
      <c r="D179" s="5075" t="s">
        <v>1689</v>
      </c>
      <c r="E179" s="2841"/>
      <c r="F179">
        <v>18705808</v>
      </c>
      <c r="G179">
        <v>18705808</v>
      </c>
      <c r="H179">
        <v>0</v>
      </c>
      <c r="I179">
        <v>0</v>
      </c>
      <c r="J179">
        <v>0</v>
      </c>
      <c r="K179">
        <v>0</v>
      </c>
      <c r="L179">
        <v>0</v>
      </c>
    </row>
    <row r="180" ht="12" customHeight="1" spans="4:12">
      <c r="D180" s="5075" t="s">
        <v>1690</v>
      </c>
      <c r="E180" s="2841"/>
      <c r="F180">
        <v>9581599</v>
      </c>
      <c r="G180">
        <v>9581599</v>
      </c>
      <c r="H180">
        <v>0</v>
      </c>
      <c r="I180">
        <v>0</v>
      </c>
      <c r="J180">
        <v>0</v>
      </c>
      <c r="K180">
        <v>0</v>
      </c>
      <c r="L180">
        <v>0</v>
      </c>
    </row>
    <row r="181" ht="12" customHeight="1" spans="4:12">
      <c r="D181" s="2841" t="s">
        <v>1691</v>
      </c>
      <c r="E181" s="2841"/>
      <c r="F181">
        <v>16000000</v>
      </c>
      <c r="G181">
        <v>16000000</v>
      </c>
      <c r="H181">
        <v>0</v>
      </c>
      <c r="I181">
        <v>0</v>
      </c>
      <c r="J181">
        <v>0</v>
      </c>
      <c r="K181">
        <v>0</v>
      </c>
      <c r="L181">
        <v>0</v>
      </c>
    </row>
    <row r="182" ht="12" customHeight="1" spans="4:12">
      <c r="D182" s="5075" t="s">
        <v>1692</v>
      </c>
      <c r="E182" s="2841"/>
      <c r="F182">
        <v>2371754</v>
      </c>
      <c r="G182">
        <v>2371754</v>
      </c>
      <c r="H182">
        <v>0</v>
      </c>
      <c r="I182">
        <v>0</v>
      </c>
      <c r="J182">
        <v>0</v>
      </c>
      <c r="K182">
        <v>0</v>
      </c>
      <c r="L182">
        <v>0</v>
      </c>
    </row>
    <row r="183" ht="12" customHeight="1" spans="4:12">
      <c r="D183" t="s">
        <v>1693</v>
      </c>
      <c r="E183"/>
      <c r="F183">
        <v>35984000</v>
      </c>
      <c r="G183">
        <v>35984000</v>
      </c>
      <c r="H183">
        <v>0</v>
      </c>
      <c r="I183">
        <v>0</v>
      </c>
      <c r="J183">
        <v>0</v>
      </c>
      <c r="K183">
        <v>0</v>
      </c>
      <c r="L183">
        <v>0</v>
      </c>
    </row>
    <row r="184" ht="12" customHeight="1" spans="4:12">
      <c r="D184" t="s">
        <v>1694</v>
      </c>
      <c r="E184"/>
      <c r="F184">
        <v>20959155</v>
      </c>
      <c r="G184">
        <v>20959155</v>
      </c>
      <c r="H184">
        <v>0</v>
      </c>
      <c r="I184">
        <v>0</v>
      </c>
      <c r="J184">
        <v>0</v>
      </c>
      <c r="K184">
        <v>0</v>
      </c>
      <c r="L184">
        <v>0</v>
      </c>
    </row>
    <row r="185" ht="12" customHeight="1" spans="4:12">
      <c r="D185" s="2841" t="s">
        <v>1695</v>
      </c>
      <c r="E185" s="2841"/>
      <c r="F185">
        <v>14938000</v>
      </c>
      <c r="G185">
        <v>14938000</v>
      </c>
      <c r="H185">
        <v>0</v>
      </c>
      <c r="I185">
        <v>0</v>
      </c>
      <c r="J185">
        <v>0</v>
      </c>
      <c r="K185">
        <v>0</v>
      </c>
      <c r="L185">
        <v>0</v>
      </c>
    </row>
    <row r="186" ht="12" customHeight="1" spans="4:12">
      <c r="D186" s="5075" t="s">
        <v>1696</v>
      </c>
      <c r="E186" s="2841"/>
      <c r="F186">
        <v>16458750</v>
      </c>
      <c r="G186">
        <v>16458750</v>
      </c>
      <c r="H186">
        <v>0</v>
      </c>
      <c r="I186">
        <v>0</v>
      </c>
      <c r="J186">
        <v>0</v>
      </c>
      <c r="K186">
        <v>0</v>
      </c>
      <c r="L186">
        <v>0</v>
      </c>
    </row>
    <row r="187" ht="12" customHeight="1" spans="4:12">
      <c r="D187" s="5075" t="s">
        <v>1697</v>
      </c>
      <c r="E187" s="2841"/>
      <c r="F187">
        <v>105800</v>
      </c>
      <c r="G187">
        <v>105800</v>
      </c>
      <c r="H187">
        <v>0</v>
      </c>
      <c r="I187">
        <v>0</v>
      </c>
      <c r="J187">
        <v>0</v>
      </c>
      <c r="K187">
        <v>0</v>
      </c>
      <c r="L187">
        <v>0</v>
      </c>
    </row>
    <row r="188" ht="12" customHeight="1" spans="4:12">
      <c r="D188" s="5075" t="s">
        <v>1698</v>
      </c>
      <c r="E188" s="2841"/>
      <c r="F188">
        <v>4935920</v>
      </c>
      <c r="G188">
        <v>4935920</v>
      </c>
      <c r="H188">
        <v>0</v>
      </c>
      <c r="I188">
        <v>0</v>
      </c>
      <c r="J188">
        <v>0</v>
      </c>
      <c r="K188">
        <v>0</v>
      </c>
      <c r="L188">
        <v>0</v>
      </c>
    </row>
    <row r="189" ht="12" customHeight="1" spans="4:12">
      <c r="D189" s="5075" t="s">
        <v>1699</v>
      </c>
      <c r="E189" s="2841"/>
      <c r="F189">
        <v>13127950</v>
      </c>
      <c r="G189">
        <v>13127950</v>
      </c>
      <c r="H189">
        <v>0</v>
      </c>
      <c r="I189">
        <v>0</v>
      </c>
      <c r="J189">
        <v>0</v>
      </c>
      <c r="K189">
        <v>0</v>
      </c>
      <c r="L189">
        <v>0</v>
      </c>
    </row>
    <row r="190" ht="12" customHeight="1" spans="4:12">
      <c r="D190" s="2841" t="s">
        <v>1700</v>
      </c>
      <c r="F190">
        <v>6512081</v>
      </c>
      <c r="G190">
        <v>6512081</v>
      </c>
      <c r="H190">
        <v>0</v>
      </c>
      <c r="I190">
        <v>0</v>
      </c>
      <c r="J190">
        <v>0</v>
      </c>
      <c r="K190">
        <v>0</v>
      </c>
      <c r="L190">
        <v>0</v>
      </c>
    </row>
    <row r="191" ht="12" customHeight="1" spans="4:12">
      <c r="D191" s="5075" t="s">
        <v>1701</v>
      </c>
      <c r="E191" s="2841"/>
      <c r="F191">
        <v>26549600</v>
      </c>
      <c r="G191">
        <v>26549600</v>
      </c>
      <c r="H191">
        <v>0</v>
      </c>
      <c r="I191">
        <v>0</v>
      </c>
      <c r="J191">
        <v>0</v>
      </c>
      <c r="K191">
        <v>0</v>
      </c>
      <c r="L191">
        <v>0</v>
      </c>
    </row>
    <row r="192" ht="12" customHeight="1" spans="4:12">
      <c r="D192" s="5075" t="s">
        <v>1702</v>
      </c>
      <c r="E192" s="2841"/>
      <c r="F192">
        <v>133660728</v>
      </c>
      <c r="G192">
        <v>133660728</v>
      </c>
      <c r="H192">
        <v>0</v>
      </c>
      <c r="I192">
        <v>0</v>
      </c>
      <c r="J192">
        <v>0</v>
      </c>
      <c r="K192">
        <v>0</v>
      </c>
      <c r="L192">
        <v>0</v>
      </c>
    </row>
    <row r="193" ht="12" customHeight="1" spans="4:12">
      <c r="D193" s="5075" t="s">
        <v>1703</v>
      </c>
      <c r="E193" s="2841"/>
      <c r="F193">
        <v>111401895</v>
      </c>
      <c r="G193">
        <v>111401895</v>
      </c>
      <c r="H193">
        <v>0</v>
      </c>
      <c r="I193">
        <v>0</v>
      </c>
      <c r="J193">
        <v>0</v>
      </c>
      <c r="K193">
        <v>0</v>
      </c>
      <c r="L193">
        <v>0</v>
      </c>
    </row>
    <row r="194" ht="12" customHeight="1" spans="4:12">
      <c r="D194" s="2841" t="s">
        <v>1704</v>
      </c>
      <c r="F194">
        <v>21675030</v>
      </c>
      <c r="G194">
        <v>21675030</v>
      </c>
      <c r="H194">
        <v>0</v>
      </c>
      <c r="I194">
        <v>0</v>
      </c>
      <c r="J194">
        <v>0</v>
      </c>
      <c r="K194">
        <v>0</v>
      </c>
      <c r="L194">
        <v>0</v>
      </c>
    </row>
    <row r="195" ht="12" customHeight="1" spans="4:12">
      <c r="D195" s="2841" t="s">
        <v>1705</v>
      </c>
      <c r="F195">
        <v>8748000</v>
      </c>
      <c r="G195">
        <v>8748000</v>
      </c>
      <c r="H195">
        <v>0</v>
      </c>
      <c r="I195">
        <v>0</v>
      </c>
      <c r="J195">
        <v>0</v>
      </c>
      <c r="K195">
        <v>0</v>
      </c>
      <c r="L195">
        <v>0</v>
      </c>
    </row>
    <row r="196" ht="12" customHeight="1" spans="4:12">
      <c r="D196" s="2841" t="s">
        <v>1706</v>
      </c>
      <c r="E196" s="2841"/>
      <c r="F196">
        <v>623046</v>
      </c>
      <c r="G196">
        <v>623046</v>
      </c>
      <c r="H196">
        <v>0</v>
      </c>
      <c r="I196">
        <v>0</v>
      </c>
      <c r="J196">
        <v>0</v>
      </c>
      <c r="K196">
        <v>0</v>
      </c>
      <c r="L196">
        <v>0</v>
      </c>
    </row>
    <row r="197" ht="12" customHeight="1" spans="4:12">
      <c r="D197" s="5075" t="s">
        <v>1707</v>
      </c>
      <c r="E197" s="2841"/>
      <c r="F197">
        <v>225196565</v>
      </c>
      <c r="G197">
        <v>225196565</v>
      </c>
      <c r="H197">
        <v>0</v>
      </c>
      <c r="I197">
        <v>0</v>
      </c>
      <c r="J197">
        <v>0</v>
      </c>
      <c r="K197">
        <v>0</v>
      </c>
      <c r="L197">
        <v>0</v>
      </c>
    </row>
    <row r="198" ht="12" customHeight="1" spans="4:12">
      <c r="D198" s="2841" t="s">
        <v>1708</v>
      </c>
      <c r="F198">
        <v>9072000</v>
      </c>
      <c r="G198">
        <v>9072000</v>
      </c>
      <c r="H198">
        <v>0</v>
      </c>
      <c r="I198">
        <v>0</v>
      </c>
      <c r="J198">
        <v>0</v>
      </c>
      <c r="K198">
        <v>0</v>
      </c>
      <c r="L198">
        <v>0</v>
      </c>
    </row>
    <row r="199" ht="12" customHeight="1" spans="4:12">
      <c r="D199" s="5075" t="s">
        <v>1709</v>
      </c>
      <c r="E199" s="2841"/>
      <c r="F199">
        <v>65777559</v>
      </c>
      <c r="G199">
        <v>65777559</v>
      </c>
      <c r="H199">
        <v>0</v>
      </c>
      <c r="I199">
        <v>0</v>
      </c>
      <c r="J199">
        <v>0</v>
      </c>
      <c r="K199">
        <v>0</v>
      </c>
      <c r="L199">
        <v>0</v>
      </c>
    </row>
    <row r="200" ht="12" customHeight="1" spans="4:12">
      <c r="D200" s="2841" t="s">
        <v>1710</v>
      </c>
      <c r="F200">
        <v>70726200</v>
      </c>
      <c r="G200">
        <v>70726200</v>
      </c>
      <c r="H200">
        <v>0</v>
      </c>
      <c r="I200">
        <v>0</v>
      </c>
      <c r="J200">
        <v>0</v>
      </c>
      <c r="K200">
        <v>0</v>
      </c>
      <c r="L200">
        <v>0</v>
      </c>
    </row>
    <row r="201" ht="12" customHeight="1" spans="4:12">
      <c r="D201" s="2841" t="s">
        <v>1711</v>
      </c>
      <c r="F201">
        <v>59960000</v>
      </c>
      <c r="G201">
        <v>59960000</v>
      </c>
      <c r="H201">
        <v>0</v>
      </c>
      <c r="I201">
        <v>0</v>
      </c>
      <c r="J201">
        <v>0</v>
      </c>
      <c r="K201">
        <v>0</v>
      </c>
      <c r="L201">
        <v>0</v>
      </c>
    </row>
    <row r="202" ht="12" customHeight="1" spans="4:12">
      <c r="D202" s="5075" t="s">
        <v>1712</v>
      </c>
      <c r="E202" s="2841"/>
      <c r="F202">
        <v>3630000</v>
      </c>
      <c r="G202">
        <v>3630000</v>
      </c>
      <c r="H202">
        <v>0</v>
      </c>
      <c r="I202">
        <v>0</v>
      </c>
      <c r="J202">
        <v>0</v>
      </c>
      <c r="K202">
        <v>0</v>
      </c>
      <c r="L202">
        <v>0</v>
      </c>
    </row>
    <row r="203" ht="12" customHeight="1" spans="4:12">
      <c r="D203" s="2841" t="s">
        <v>1713</v>
      </c>
      <c r="F203">
        <v>6500000</v>
      </c>
      <c r="G203">
        <v>6500000</v>
      </c>
      <c r="H203">
        <v>0</v>
      </c>
      <c r="I203">
        <v>0</v>
      </c>
      <c r="J203">
        <v>0</v>
      </c>
      <c r="K203">
        <v>0</v>
      </c>
      <c r="L203">
        <v>0</v>
      </c>
    </row>
    <row r="204" ht="12" customHeight="1" spans="4:12">
      <c r="D204" s="5075" t="s">
        <v>1714</v>
      </c>
      <c r="E204" s="2841"/>
      <c r="F204">
        <v>264107250</v>
      </c>
      <c r="G204">
        <v>264107250</v>
      </c>
      <c r="H204">
        <v>0</v>
      </c>
      <c r="I204">
        <v>0</v>
      </c>
      <c r="J204">
        <v>0</v>
      </c>
      <c r="K204">
        <v>0</v>
      </c>
      <c r="L204">
        <v>0</v>
      </c>
    </row>
    <row r="205" ht="12" customHeight="1" spans="4:12">
      <c r="D205" s="5075" t="s">
        <v>1715</v>
      </c>
      <c r="E205" s="2841"/>
      <c r="F205">
        <v>54260965</v>
      </c>
      <c r="G205">
        <v>54260965</v>
      </c>
      <c r="H205">
        <v>0</v>
      </c>
      <c r="I205">
        <v>0</v>
      </c>
      <c r="J205">
        <v>0</v>
      </c>
      <c r="K205">
        <v>0</v>
      </c>
      <c r="L205">
        <v>0</v>
      </c>
    </row>
    <row r="206" ht="12" customHeight="1" spans="4:12">
      <c r="D206" s="5075" t="s">
        <v>1716</v>
      </c>
      <c r="E206" s="2841"/>
      <c r="F206">
        <v>43426350</v>
      </c>
      <c r="G206">
        <v>43426350</v>
      </c>
      <c r="H206">
        <v>0</v>
      </c>
      <c r="I206">
        <v>0</v>
      </c>
      <c r="J206">
        <v>0</v>
      </c>
      <c r="K206">
        <v>0</v>
      </c>
      <c r="L206">
        <v>0</v>
      </c>
    </row>
    <row r="207" ht="12" customHeight="1" spans="4:12">
      <c r="D207" s="2841" t="s">
        <v>1717</v>
      </c>
      <c r="E207" s="2841"/>
      <c r="F207">
        <v>21170244</v>
      </c>
      <c r="G207">
        <v>21170244</v>
      </c>
      <c r="H207">
        <v>0</v>
      </c>
      <c r="I207">
        <v>0</v>
      </c>
      <c r="J207">
        <v>0</v>
      </c>
      <c r="K207">
        <v>0</v>
      </c>
      <c r="L207">
        <v>0</v>
      </c>
    </row>
    <row r="208" ht="12" customHeight="1" spans="4:12">
      <c r="D208" s="5075" t="s">
        <v>1718</v>
      </c>
      <c r="E208" s="2841"/>
      <c r="F208">
        <v>40291629</v>
      </c>
      <c r="G208">
        <v>40291629</v>
      </c>
      <c r="H208">
        <v>0</v>
      </c>
      <c r="I208">
        <v>0</v>
      </c>
      <c r="J208">
        <v>0</v>
      </c>
      <c r="K208">
        <v>0</v>
      </c>
      <c r="L208">
        <v>0</v>
      </c>
    </row>
    <row r="209" ht="12" customHeight="1" spans="4:12">
      <c r="D209" s="5075" t="s">
        <v>1719</v>
      </c>
      <c r="E209" s="2841"/>
      <c r="F209">
        <v>119042906</v>
      </c>
      <c r="G209">
        <v>119042906</v>
      </c>
      <c r="H209">
        <v>0</v>
      </c>
      <c r="I209">
        <v>0</v>
      </c>
      <c r="J209">
        <v>0</v>
      </c>
      <c r="K209">
        <v>0</v>
      </c>
      <c r="L209">
        <v>0</v>
      </c>
    </row>
    <row r="210" ht="12" customHeight="1" spans="4:12">
      <c r="D210" s="5075" t="s">
        <v>1720</v>
      </c>
      <c r="E210" s="2841"/>
      <c r="F210">
        <v>7365752.9</v>
      </c>
      <c r="G210">
        <v>7365752.9</v>
      </c>
      <c r="H210">
        <v>0</v>
      </c>
      <c r="I210">
        <v>0</v>
      </c>
      <c r="J210">
        <v>0</v>
      </c>
      <c r="K210">
        <v>0</v>
      </c>
      <c r="L210">
        <v>0</v>
      </c>
    </row>
    <row r="211" ht="12" customHeight="1" spans="4:12">
      <c r="D211" s="5075" t="s">
        <v>1721</v>
      </c>
      <c r="E211" s="2841"/>
      <c r="F211">
        <v>4832575</v>
      </c>
      <c r="G211">
        <v>4832575</v>
      </c>
      <c r="H211">
        <v>0</v>
      </c>
      <c r="I211">
        <v>0</v>
      </c>
      <c r="J211">
        <v>0</v>
      </c>
      <c r="K211">
        <v>0</v>
      </c>
      <c r="L211">
        <v>0</v>
      </c>
    </row>
    <row r="212" ht="12" customHeight="1" spans="4:12">
      <c r="D212" s="2841" t="s">
        <v>1722</v>
      </c>
      <c r="F212">
        <v>29700000</v>
      </c>
      <c r="G212">
        <v>29700000</v>
      </c>
      <c r="H212">
        <v>0</v>
      </c>
      <c r="I212">
        <v>0</v>
      </c>
      <c r="J212">
        <v>0</v>
      </c>
      <c r="K212">
        <v>0</v>
      </c>
      <c r="L212">
        <v>0</v>
      </c>
    </row>
    <row r="213" ht="12" customHeight="1" spans="4:12">
      <c r="D213" s="5075" t="s">
        <v>1723</v>
      </c>
      <c r="E213" s="2841"/>
      <c r="F213">
        <v>3150000</v>
      </c>
      <c r="G213">
        <v>3150000</v>
      </c>
      <c r="H213">
        <v>0</v>
      </c>
      <c r="I213">
        <v>0</v>
      </c>
      <c r="J213">
        <v>0</v>
      </c>
      <c r="K213">
        <v>0</v>
      </c>
      <c r="L213">
        <v>0</v>
      </c>
    </row>
    <row r="214" ht="12" customHeight="1" spans="4:12">
      <c r="D214" s="5075" t="s">
        <v>1724</v>
      </c>
      <c r="E214" s="2841"/>
      <c r="F214">
        <v>136668940</v>
      </c>
      <c r="G214">
        <v>136668940</v>
      </c>
      <c r="H214">
        <v>0</v>
      </c>
      <c r="I214">
        <v>0</v>
      </c>
      <c r="J214">
        <v>0</v>
      </c>
      <c r="K214">
        <v>0</v>
      </c>
      <c r="L214">
        <v>0</v>
      </c>
    </row>
    <row r="215" ht="12" customHeight="1" spans="4:12">
      <c r="D215" s="2841" t="s">
        <v>1725</v>
      </c>
      <c r="F215">
        <v>5350800</v>
      </c>
      <c r="G215">
        <v>5350800</v>
      </c>
      <c r="H215">
        <v>0</v>
      </c>
      <c r="I215">
        <v>0</v>
      </c>
      <c r="J215">
        <v>0</v>
      </c>
      <c r="K215">
        <v>0</v>
      </c>
      <c r="L215">
        <v>0</v>
      </c>
    </row>
    <row r="216" ht="12" customHeight="1" spans="4:12">
      <c r="D216" s="2841" t="s">
        <v>1726</v>
      </c>
      <c r="F216">
        <v>12650000</v>
      </c>
      <c r="G216">
        <v>12650000</v>
      </c>
      <c r="H216">
        <v>0</v>
      </c>
      <c r="I216">
        <v>0</v>
      </c>
      <c r="J216">
        <v>0</v>
      </c>
      <c r="K216">
        <v>0</v>
      </c>
      <c r="L216">
        <v>0</v>
      </c>
    </row>
    <row r="217" ht="12" customHeight="1" spans="4:12">
      <c r="D217" s="2841" t="s">
        <v>1727</v>
      </c>
      <c r="F217">
        <v>4940000</v>
      </c>
      <c r="G217">
        <v>4940000</v>
      </c>
      <c r="H217">
        <v>0</v>
      </c>
      <c r="I217">
        <v>0</v>
      </c>
      <c r="J217">
        <v>0</v>
      </c>
      <c r="K217">
        <v>0</v>
      </c>
      <c r="L217">
        <v>0</v>
      </c>
    </row>
    <row r="218" ht="12" customHeight="1" spans="4:12">
      <c r="D218" s="5075" t="s">
        <v>1728</v>
      </c>
      <c r="E218" s="2841"/>
      <c r="F218">
        <v>58424097</v>
      </c>
      <c r="G218">
        <v>58424097</v>
      </c>
      <c r="H218">
        <v>0</v>
      </c>
      <c r="I218">
        <v>0</v>
      </c>
      <c r="J218">
        <v>0</v>
      </c>
      <c r="K218">
        <v>0</v>
      </c>
      <c r="L218">
        <v>0</v>
      </c>
    </row>
    <row r="219" ht="12" customHeight="1" spans="4:12">
      <c r="D219" s="5075" t="s">
        <v>1729</v>
      </c>
      <c r="E219" s="2841"/>
      <c r="F219">
        <v>9306000</v>
      </c>
      <c r="G219">
        <v>9306000</v>
      </c>
      <c r="H219">
        <v>0</v>
      </c>
      <c r="I219">
        <v>0</v>
      </c>
      <c r="J219">
        <v>0</v>
      </c>
      <c r="K219">
        <v>0</v>
      </c>
      <c r="L219">
        <v>0</v>
      </c>
    </row>
    <row r="220" ht="12" customHeight="1" spans="4:12">
      <c r="D220" s="2841" t="s">
        <v>1730</v>
      </c>
      <c r="F220">
        <v>10507500</v>
      </c>
      <c r="G220">
        <v>10507500</v>
      </c>
      <c r="H220">
        <v>0</v>
      </c>
      <c r="I220">
        <v>0</v>
      </c>
      <c r="J220">
        <v>0</v>
      </c>
      <c r="K220">
        <v>0</v>
      </c>
      <c r="L220">
        <v>0</v>
      </c>
    </row>
    <row r="221" ht="12" customHeight="1" spans="4:12">
      <c r="D221" s="5075" t="s">
        <v>1731</v>
      </c>
      <c r="E221" s="2841"/>
      <c r="F221">
        <v>15118552</v>
      </c>
      <c r="G221">
        <v>15118552</v>
      </c>
      <c r="H221">
        <v>0</v>
      </c>
      <c r="I221">
        <v>0</v>
      </c>
      <c r="J221">
        <v>0</v>
      </c>
      <c r="K221">
        <v>0</v>
      </c>
      <c r="L221">
        <v>0</v>
      </c>
    </row>
    <row r="222" ht="12" customHeight="1" spans="4:12">
      <c r="D222" s="5075" t="s">
        <v>1732</v>
      </c>
      <c r="E222" s="2841"/>
      <c r="F222">
        <v>92664000</v>
      </c>
      <c r="G222">
        <v>92664000</v>
      </c>
      <c r="H222">
        <v>0</v>
      </c>
      <c r="I222">
        <v>0</v>
      </c>
      <c r="J222">
        <v>0</v>
      </c>
      <c r="K222">
        <v>0</v>
      </c>
      <c r="L222">
        <v>0</v>
      </c>
    </row>
    <row r="223" ht="12" customHeight="1" spans="4:12">
      <c r="D223" s="5075" t="s">
        <v>1733</v>
      </c>
      <c r="E223" s="2841"/>
      <c r="F223">
        <v>3388440</v>
      </c>
      <c r="G223">
        <v>3388440</v>
      </c>
      <c r="H223">
        <v>0</v>
      </c>
      <c r="I223">
        <v>0</v>
      </c>
      <c r="J223">
        <v>0</v>
      </c>
      <c r="K223">
        <v>0</v>
      </c>
      <c r="L223">
        <v>0</v>
      </c>
    </row>
    <row r="224" ht="12" customHeight="1" spans="4:12">
      <c r="D224" s="2841" t="s">
        <v>1734</v>
      </c>
      <c r="F224">
        <v>4820500</v>
      </c>
      <c r="G224">
        <v>4820500</v>
      </c>
      <c r="H224">
        <v>0</v>
      </c>
      <c r="I224">
        <v>0</v>
      </c>
      <c r="J224">
        <v>0</v>
      </c>
      <c r="K224">
        <v>0</v>
      </c>
      <c r="L224">
        <v>0</v>
      </c>
    </row>
    <row r="225" ht="12" customHeight="1" spans="4:12">
      <c r="D225" s="2841" t="s">
        <v>1735</v>
      </c>
      <c r="E225" s="2841"/>
      <c r="F225">
        <v>36513000</v>
      </c>
      <c r="G225">
        <v>36513000</v>
      </c>
      <c r="H225">
        <v>0</v>
      </c>
      <c r="I225">
        <v>0</v>
      </c>
      <c r="J225">
        <v>0</v>
      </c>
      <c r="K225">
        <v>0</v>
      </c>
      <c r="L225">
        <v>0</v>
      </c>
    </row>
    <row r="226" ht="12" customHeight="1" spans="4:12">
      <c r="D226" s="5075" t="s">
        <v>1736</v>
      </c>
      <c r="E226" s="2841"/>
      <c r="F226">
        <v>218336360</v>
      </c>
      <c r="G226">
        <v>218336360</v>
      </c>
      <c r="H226">
        <v>0</v>
      </c>
      <c r="I226">
        <v>0</v>
      </c>
      <c r="J226">
        <v>0</v>
      </c>
      <c r="K226">
        <v>0</v>
      </c>
      <c r="L226">
        <v>0</v>
      </c>
    </row>
    <row r="227" ht="12" customHeight="1" spans="4:12">
      <c r="D227" s="2841" t="s">
        <v>1737</v>
      </c>
      <c r="E227" s="2841"/>
      <c r="F227">
        <v>12500000</v>
      </c>
      <c r="G227">
        <v>12500000</v>
      </c>
      <c r="H227">
        <v>0</v>
      </c>
      <c r="I227">
        <v>0</v>
      </c>
      <c r="J227">
        <v>0</v>
      </c>
      <c r="K227">
        <v>0</v>
      </c>
      <c r="L227">
        <v>0</v>
      </c>
    </row>
    <row r="228" ht="12" customHeight="1" spans="4:12">
      <c r="D228" s="2841" t="s">
        <v>1738</v>
      </c>
      <c r="F228">
        <v>16250000</v>
      </c>
      <c r="G228">
        <v>16250000</v>
      </c>
      <c r="H228">
        <v>0</v>
      </c>
      <c r="I228">
        <v>0</v>
      </c>
      <c r="J228">
        <v>0</v>
      </c>
      <c r="K228">
        <v>0</v>
      </c>
      <c r="L228">
        <v>0</v>
      </c>
    </row>
    <row r="229" ht="12" customHeight="1" spans="5:12">
      <c r="E229">
        <f>SUM(F137:F228)</f>
        <v>4368657135.96</v>
      </c>
      <c r="F229"/>
      <c r="G229"/>
      <c r="H229"/>
      <c r="I229"/>
      <c r="J229"/>
      <c r="K229"/>
      <c r="L229"/>
    </row>
    <row r="230" ht="12" customHeight="1" spans="4:12">
      <c r="D230" s="5075" t="s">
        <v>151</v>
      </c>
      <c r="F230">
        <f>SUM(F8:F229)</f>
        <v>6052198516.56</v>
      </c>
      <c r="G230">
        <f t="shared" ref="G230:L230" si="0">SUM(G8:G229)</f>
        <v>6043081062.4</v>
      </c>
      <c r="H230">
        <f t="shared" si="0"/>
        <v>6048740.1</v>
      </c>
      <c r="I230">
        <f t="shared" si="0"/>
        <v>3066829.1</v>
      </c>
      <c r="J230">
        <f t="shared" si="0"/>
        <v>0</v>
      </c>
      <c r="K230">
        <f t="shared" si="0"/>
        <v>0</v>
      </c>
      <c r="L230">
        <f t="shared" si="0"/>
        <v>1884.96</v>
      </c>
    </row>
    <row r="231" spans="5:5">
      <c r="E231">
        <f>SUM(F137:F229)</f>
        <v>4368657135.96</v>
      </c>
    </row>
    <row r="232" ht="12" customHeight="1" spans="2:13">
      <c r="B232" t="s">
        <v>1326</v>
      </c>
      <c r="C232"/>
      <c r="D232"/>
      <c r="E232">
        <f>AP!I138</f>
        <v>4509264598.8</v>
      </c>
      <c r="F232"/>
      <c r="G232"/>
      <c r="H232"/>
      <c r="I232"/>
      <c r="J232"/>
      <c r="K232"/>
      <c r="L232"/>
      <c r="M232"/>
    </row>
    <row r="233" ht="12" customHeight="1" spans="2:13">
      <c r="B233" t="s">
        <v>1739</v>
      </c>
      <c r="C233"/>
      <c r="D233"/>
      <c r="E233">
        <f>E232-E231</f>
        <v>140607462.84</v>
      </c>
      <c r="F233"/>
      <c r="G233"/>
      <c r="H233"/>
      <c r="I233"/>
      <c r="J233"/>
      <c r="K233"/>
      <c r="L233"/>
      <c r="M233"/>
    </row>
    <row r="234" ht="12" customHeight="1" spans="2:13">
      <c r="B234">
        <v>-1</v>
      </c>
      <c r="C234"/>
      <c r="D234"/>
      <c r="E234"/>
      <c r="F234"/>
      <c r="G234"/>
      <c r="H234"/>
      <c r="I234"/>
      <c r="J234"/>
      <c r="K234"/>
      <c r="L234"/>
      <c r="M234"/>
    </row>
    <row r="235" ht="12" customHeight="1"/>
  </sheetData>
  <autoFilter ref="B6:L234">
    <extLst/>
  </autoFilter>
  <pageMargins left="0.361111111111111" right="0.361111111111111" top="0.361111111111111" bottom="0.361111111111111" header="0.3" footer="0.3"/>
  <pageSetup paperSize="1" orientation="landscape"/>
  <headerFooter/>
  <rowBreaks count="1" manualBreakCount="1">
    <brk id="235" max="16383" man="1"/>
  </rowBreaks>
  <ignoredErrors>
    <ignoredError sqref="E15" formulaRange="1"/>
  </ignoredErrors>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5"/>
  <dimension ref="A2:M31"/>
  <sheetViews>
    <sheetView zoomScale="128" zoomScaleNormal="128" workbookViewId="0">
      <pane xSplit="3" ySplit="7" topLeftCell="D17" activePane="bottomRight" state="frozen"/>
      <selection/>
      <selection pane="topRight"/>
      <selection pane="bottomLeft"/>
      <selection pane="bottomRight" activeCell="E25" sqref="E25"/>
    </sheetView>
  </sheetViews>
  <sheetFormatPr defaultColWidth="10.1875" defaultRowHeight="14.4"/>
  <cols>
    <col min="1" max="1" width="10.1875" style="3577"/>
    <col min="2" max="2" width="11.6875" style="3577" customWidth="1"/>
    <col min="3" max="3" width="13.78125" style="3577" customWidth="1"/>
    <col min="4" max="4" width="11.9895833333333" style="3577" customWidth="1"/>
    <col min="5" max="5" width="17.8333333333333" style="3577" customWidth="1"/>
    <col min="6" max="11" width="11.9895833333333" style="3577" customWidth="1"/>
    <col min="12" max="16384" width="10.1875" style="3577"/>
  </cols>
  <sheetData>
    <row r="2" ht="14.1" customHeight="1" spans="2:11">
      <c r="B2" s="5046" t="s">
        <v>1740</v>
      </c>
      <c r="C2" s="3578"/>
      <c r="D2" s="3578"/>
      <c r="E2" s="3578"/>
      <c r="F2" s="3578"/>
      <c r="G2" s="3578"/>
      <c r="H2" s="3578"/>
      <c r="I2" s="3578"/>
      <c r="J2" s="3578"/>
      <c r="K2" s="3578"/>
    </row>
    <row r="3" ht="21.95" customHeight="1" spans="2:11">
      <c r="B3" s="5047" t="s">
        <v>1741</v>
      </c>
      <c r="C3" s="3579"/>
      <c r="D3" s="3579"/>
      <c r="E3" s="3579"/>
      <c r="F3" s="3579"/>
      <c r="G3" s="3579"/>
      <c r="H3" s="3579"/>
      <c r="I3" s="3579"/>
      <c r="J3" s="3579"/>
      <c r="K3" s="3579"/>
    </row>
    <row r="4" ht="12.95" customHeight="1" spans="2:11">
      <c r="B4" s="5048" t="s">
        <v>1742</v>
      </c>
      <c r="C4" s="3580"/>
      <c r="D4" s="3580"/>
      <c r="E4" s="3580"/>
      <c r="F4" s="3580"/>
      <c r="G4" s="3580"/>
      <c r="H4" s="3580"/>
      <c r="I4" s="3580"/>
      <c r="J4" s="3580"/>
      <c r="K4" s="3580"/>
    </row>
    <row r="5" ht="9.95" customHeight="1" spans="2:11">
      <c r="B5" s="5053" t="s">
        <v>1514</v>
      </c>
      <c r="C5" s="3582"/>
      <c r="D5" s="3582"/>
      <c r="E5" s="3582"/>
      <c r="F5" s="3582"/>
      <c r="G5" s="3582"/>
      <c r="H5" s="3582"/>
      <c r="I5" s="3582"/>
      <c r="J5" s="3582"/>
      <c r="K5" s="3582"/>
    </row>
    <row r="6" spans="2:11">
      <c r="B6" s="3582"/>
      <c r="C6" s="5051" t="s">
        <v>1743</v>
      </c>
      <c r="D6" s="5051" t="s">
        <v>1744</v>
      </c>
      <c r="E6" s="5051" t="s">
        <v>1316</v>
      </c>
      <c r="F6" s="5051" t="s">
        <v>1311</v>
      </c>
      <c r="G6" s="3584">
        <v>30</v>
      </c>
      <c r="H6" s="3583" t="s">
        <v>1312</v>
      </c>
      <c r="I6" s="3583" t="s">
        <v>1313</v>
      </c>
      <c r="J6" s="3583" t="s">
        <v>1314</v>
      </c>
      <c r="K6" s="5051" t="s">
        <v>1315</v>
      </c>
    </row>
    <row r="7" ht="5.25" customHeight="1" spans="3:11">
      <c r="C7" s="3585"/>
      <c r="D7" s="3585"/>
      <c r="E7" s="3585"/>
      <c r="F7" s="3585"/>
      <c r="G7" s="3585"/>
      <c r="H7" s="3585"/>
      <c r="I7" s="3585"/>
      <c r="J7" s="3585"/>
      <c r="K7" s="3585"/>
    </row>
    <row r="8" ht="12" customHeight="1" spans="1:3">
      <c r="A8" s="3581">
        <v>1002</v>
      </c>
      <c r="B8" s="5053" t="s">
        <v>1745</v>
      </c>
      <c r="C8" s="3581"/>
    </row>
    <row r="9" ht="12" customHeight="1" spans="3:11">
      <c r="C9" s="5055" t="s">
        <v>1746</v>
      </c>
      <c r="D9" s="5076" t="s">
        <v>1747</v>
      </c>
      <c r="E9" s="3587">
        <v>106122636</v>
      </c>
      <c r="F9" s="3588">
        <v>0</v>
      </c>
      <c r="G9" s="3588">
        <v>106122636</v>
      </c>
      <c r="H9" s="3588">
        <v>0</v>
      </c>
      <c r="I9" s="3588">
        <v>0</v>
      </c>
      <c r="J9" s="3588">
        <v>0</v>
      </c>
      <c r="K9" s="3588">
        <v>0</v>
      </c>
    </row>
    <row r="10" ht="12" customHeight="1" spans="5:13">
      <c r="E10" s="3589">
        <v>106122636</v>
      </c>
      <c r="F10" s="3590">
        <v>0</v>
      </c>
      <c r="G10" s="3590">
        <v>106122636</v>
      </c>
      <c r="H10" s="3590">
        <v>0</v>
      </c>
      <c r="I10" s="3590">
        <v>0</v>
      </c>
      <c r="J10" s="3590">
        <v>0</v>
      </c>
      <c r="K10" s="3590">
        <v>0</v>
      </c>
      <c r="L10" s="3216"/>
      <c r="M10" s="3216"/>
    </row>
    <row r="11" ht="12" customHeight="1" spans="12:13">
      <c r="L11" s="3216"/>
      <c r="M11" s="3216"/>
    </row>
    <row r="12" ht="12" customHeight="1" spans="5:13">
      <c r="E12" s="3216"/>
      <c r="F12" s="3216"/>
      <c r="G12" s="3216"/>
      <c r="H12" s="3216"/>
      <c r="I12" s="3216"/>
      <c r="J12" s="3216"/>
      <c r="K12" s="3216"/>
      <c r="L12" s="3216"/>
      <c r="M12" s="3216"/>
    </row>
    <row r="13" ht="12" customHeight="1" spans="1:13">
      <c r="A13" s="3581">
        <v>1005</v>
      </c>
      <c r="B13" s="5053" t="s">
        <v>1748</v>
      </c>
      <c r="C13" s="3581"/>
      <c r="D13" s="3581"/>
      <c r="E13" s="3591"/>
      <c r="F13" s="3216"/>
      <c r="G13" s="3216"/>
      <c r="H13" s="3216"/>
      <c r="I13" s="3216"/>
      <c r="J13" s="3216"/>
      <c r="K13" s="3216"/>
      <c r="L13" s="3216"/>
      <c r="M13" s="3216"/>
    </row>
    <row r="14" ht="12" customHeight="1" spans="3:13">
      <c r="C14" s="5055" t="s">
        <v>1749</v>
      </c>
      <c r="D14" s="5076" t="s">
        <v>1750</v>
      </c>
      <c r="E14" s="3592">
        <v>12907296</v>
      </c>
      <c r="F14" s="3588">
        <v>0</v>
      </c>
      <c r="G14" s="3588">
        <v>0</v>
      </c>
      <c r="H14" s="3588">
        <v>0</v>
      </c>
      <c r="I14" s="3588">
        <v>0</v>
      </c>
      <c r="J14" s="3588">
        <v>12907296</v>
      </c>
      <c r="K14" s="3588">
        <v>0</v>
      </c>
      <c r="L14" s="3216"/>
      <c r="M14" s="3216"/>
    </row>
    <row r="15" ht="12" customHeight="1" spans="3:13">
      <c r="C15" s="5055" t="s">
        <v>1751</v>
      </c>
      <c r="D15" s="5076" t="s">
        <v>1752</v>
      </c>
      <c r="E15" s="3592">
        <v>21313476</v>
      </c>
      <c r="F15" s="3588">
        <v>0</v>
      </c>
      <c r="G15" s="3588">
        <v>0</v>
      </c>
      <c r="H15" s="3588">
        <v>0</v>
      </c>
      <c r="I15" s="3588">
        <v>21313476</v>
      </c>
      <c r="J15" s="3588">
        <v>0</v>
      </c>
      <c r="K15" s="3588">
        <v>0</v>
      </c>
      <c r="L15" s="3216"/>
      <c r="M15" s="3216"/>
    </row>
    <row r="16" ht="12" customHeight="1" spans="3:13">
      <c r="C16" s="5055" t="s">
        <v>1753</v>
      </c>
      <c r="D16" s="5076" t="s">
        <v>1754</v>
      </c>
      <c r="E16" s="3592">
        <v>10847088</v>
      </c>
      <c r="F16" s="3588">
        <v>0</v>
      </c>
      <c r="G16" s="3588">
        <v>0</v>
      </c>
      <c r="H16" s="3588">
        <v>10847088</v>
      </c>
      <c r="I16" s="3588">
        <v>0</v>
      </c>
      <c r="J16" s="3588">
        <v>0</v>
      </c>
      <c r="K16" s="3588">
        <v>0</v>
      </c>
      <c r="L16" s="3216"/>
      <c r="M16" s="3216"/>
    </row>
    <row r="17" ht="12" customHeight="1" spans="3:13">
      <c r="C17" s="5055" t="s">
        <v>1755</v>
      </c>
      <c r="D17" s="5076" t="s">
        <v>1747</v>
      </c>
      <c r="E17" s="3587">
        <v>13811904</v>
      </c>
      <c r="F17" s="3588">
        <v>0</v>
      </c>
      <c r="G17" s="3588">
        <v>13811904</v>
      </c>
      <c r="H17" s="3588">
        <v>0</v>
      </c>
      <c r="I17" s="3588">
        <v>0</v>
      </c>
      <c r="J17" s="3588">
        <v>0</v>
      </c>
      <c r="K17" s="3588">
        <v>0</v>
      </c>
      <c r="L17" s="3216"/>
      <c r="M17" s="3216"/>
    </row>
    <row r="18" ht="12" customHeight="1" spans="5:13">
      <c r="E18" s="3589">
        <v>58879764</v>
      </c>
      <c r="F18" s="3590">
        <v>0</v>
      </c>
      <c r="G18" s="3590">
        <v>13811904</v>
      </c>
      <c r="H18" s="3590">
        <v>10847088</v>
      </c>
      <c r="I18" s="3590">
        <v>21313476</v>
      </c>
      <c r="J18" s="3590">
        <v>12907296</v>
      </c>
      <c r="K18" s="3590">
        <v>0</v>
      </c>
      <c r="L18" s="3216"/>
      <c r="M18" s="3216"/>
    </row>
    <row r="19" ht="12" customHeight="1" spans="5:13">
      <c r="E19" s="3216"/>
      <c r="F19" s="3216"/>
      <c r="G19" s="3216"/>
      <c r="H19" s="3216"/>
      <c r="I19" s="3216"/>
      <c r="J19" s="3216"/>
      <c r="K19" s="3216"/>
      <c r="L19" s="3216"/>
      <c r="M19" s="3216"/>
    </row>
    <row r="20" ht="12" customHeight="1" spans="1:13">
      <c r="A20" s="3581">
        <v>1010</v>
      </c>
      <c r="B20" s="5053" t="s">
        <v>1756</v>
      </c>
      <c r="C20" s="3581"/>
      <c r="D20" s="3581"/>
      <c r="E20" s="3591"/>
      <c r="F20" s="3216"/>
      <c r="G20" s="3216"/>
      <c r="H20" s="3216"/>
      <c r="I20" s="3216"/>
      <c r="J20" s="3216"/>
      <c r="K20" s="3216"/>
      <c r="L20" s="3216"/>
      <c r="M20" s="3216"/>
    </row>
    <row r="21" ht="12" customHeight="1" spans="3:13">
      <c r="C21" s="5055" t="s">
        <v>1757</v>
      </c>
      <c r="D21" s="5076" t="s">
        <v>1758</v>
      </c>
      <c r="E21" s="3587">
        <v>178125862</v>
      </c>
      <c r="F21" s="3588">
        <v>0</v>
      </c>
      <c r="G21" s="3588">
        <v>178125862</v>
      </c>
      <c r="H21" s="3588">
        <v>0</v>
      </c>
      <c r="I21" s="3588">
        <v>0</v>
      </c>
      <c r="J21" s="3588">
        <v>0</v>
      </c>
      <c r="K21" s="3588">
        <v>0</v>
      </c>
      <c r="L21" s="3216"/>
      <c r="M21" s="3216"/>
    </row>
    <row r="22" ht="12" customHeight="1" spans="5:13">
      <c r="E22" s="3589">
        <v>178125862</v>
      </c>
      <c r="F22" s="3590">
        <v>0</v>
      </c>
      <c r="G22" s="3590">
        <v>178125862</v>
      </c>
      <c r="H22" s="3590">
        <v>0</v>
      </c>
      <c r="I22" s="3590">
        <v>0</v>
      </c>
      <c r="J22" s="3590">
        <v>0</v>
      </c>
      <c r="K22" s="3590">
        <v>0</v>
      </c>
      <c r="L22" s="3216"/>
      <c r="M22" s="3216"/>
    </row>
    <row r="23" ht="12" customHeight="1" spans="5:13">
      <c r="E23" s="3216"/>
      <c r="F23" s="3216"/>
      <c r="G23" s="3216"/>
      <c r="H23" s="3216"/>
      <c r="I23" s="3216"/>
      <c r="J23" s="3216"/>
      <c r="K23" s="3216"/>
      <c r="L23" s="3216"/>
      <c r="M23" s="3216"/>
    </row>
    <row r="24" ht="12" customHeight="1" spans="1:13">
      <c r="A24" s="3581">
        <v>1012</v>
      </c>
      <c r="B24" s="5053" t="s">
        <v>1759</v>
      </c>
      <c r="C24" s="3581"/>
      <c r="D24" s="3581"/>
      <c r="E24" s="3591"/>
      <c r="F24" s="3216"/>
      <c r="G24" s="3216"/>
      <c r="H24" s="3216"/>
      <c r="I24" s="3216"/>
      <c r="J24" s="3216"/>
      <c r="K24" s="3216"/>
      <c r="L24" s="3216"/>
      <c r="M24" s="3216"/>
    </row>
    <row r="25" ht="12" customHeight="1" spans="3:13">
      <c r="C25" s="5055" t="s">
        <v>1760</v>
      </c>
      <c r="D25" s="5076" t="s">
        <v>1761</v>
      </c>
      <c r="E25" s="3587">
        <v>8991906</v>
      </c>
      <c r="F25" s="3588">
        <v>0</v>
      </c>
      <c r="G25" s="3588">
        <v>0</v>
      </c>
      <c r="H25" s="3588">
        <v>8991906</v>
      </c>
      <c r="I25" s="3588">
        <v>0</v>
      </c>
      <c r="J25" s="3588">
        <v>0</v>
      </c>
      <c r="K25" s="3588">
        <v>0</v>
      </c>
      <c r="L25" s="3216"/>
      <c r="M25" s="3216"/>
    </row>
    <row r="26" ht="12" customHeight="1" spans="5:13">
      <c r="E26" s="3589">
        <v>8991906</v>
      </c>
      <c r="F26" s="3590">
        <v>0</v>
      </c>
      <c r="G26" s="3590">
        <v>0</v>
      </c>
      <c r="H26" s="3590">
        <v>8991906</v>
      </c>
      <c r="I26" s="3590">
        <v>0</v>
      </c>
      <c r="J26" s="3590">
        <v>0</v>
      </c>
      <c r="K26" s="3590">
        <v>0</v>
      </c>
      <c r="L26" s="3216"/>
      <c r="M26" s="3216"/>
    </row>
    <row r="27" spans="3:11">
      <c r="C27" s="5055" t="s">
        <v>151</v>
      </c>
      <c r="E27" s="3589">
        <f>E26+E22+E18+E10+E8</f>
        <v>352120168</v>
      </c>
      <c r="F27" s="3589">
        <f t="shared" ref="F27:K27" si="0">F26+F22+F18+F10+F8</f>
        <v>0</v>
      </c>
      <c r="G27" s="3589">
        <f t="shared" si="0"/>
        <v>298060402</v>
      </c>
      <c r="H27" s="3589">
        <f t="shared" si="0"/>
        <v>19838994</v>
      </c>
      <c r="I27" s="3589">
        <f t="shared" si="0"/>
        <v>21313476</v>
      </c>
      <c r="J27" s="3589">
        <f t="shared" si="0"/>
        <v>12907296</v>
      </c>
      <c r="K27" s="3589">
        <f t="shared" si="0"/>
        <v>0</v>
      </c>
    </row>
    <row r="28" ht="12" customHeight="1" spans="2:11">
      <c r="B28" s="5077" t="s">
        <v>1326</v>
      </c>
      <c r="C28" s="3593"/>
      <c r="D28" s="3593"/>
      <c r="E28" s="3593"/>
      <c r="F28" s="3593"/>
      <c r="G28" s="3593"/>
      <c r="H28" s="3593"/>
      <c r="I28" s="3593"/>
      <c r="J28" s="3593"/>
      <c r="K28" s="3593"/>
    </row>
    <row r="29" ht="12" customHeight="1" spans="2:11">
      <c r="B29" s="5078" t="s">
        <v>1762</v>
      </c>
      <c r="C29" s="3594"/>
      <c r="D29" s="3594"/>
      <c r="E29" s="3594"/>
      <c r="F29" s="3594"/>
      <c r="G29" s="3594"/>
      <c r="H29" s="3594"/>
      <c r="I29" s="3594"/>
      <c r="J29" s="3594"/>
      <c r="K29" s="3594"/>
    </row>
    <row r="30" ht="12" customHeight="1" spans="2:11">
      <c r="B30" s="5079" t="s">
        <v>1330</v>
      </c>
      <c r="C30" s="3595"/>
      <c r="D30" s="3595"/>
      <c r="E30" s="3595"/>
      <c r="F30" s="3595"/>
      <c r="G30" s="3595"/>
      <c r="H30" s="3595"/>
      <c r="I30" s="3595"/>
      <c r="J30" s="3595"/>
      <c r="K30" s="3595"/>
    </row>
    <row r="31" ht="12" customHeight="1"/>
  </sheetData>
  <pageMargins left="0.361111111111111" right="0.361111111111111" top="0.361111111111111" bottom="0.361111111111111" header="0.3" footer="0.3"/>
  <pageSetup paperSize="1" orientation="landscape"/>
  <headerFooter/>
  <rowBreaks count="1" manualBreakCount="1">
    <brk id="31" max="16383" man="1"/>
  </rowBreak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CF858"/>
  <sheetViews>
    <sheetView showGridLines="0" zoomScale="160" zoomScaleNormal="160" workbookViewId="0">
      <pane ySplit="5" topLeftCell="A164" activePane="bottomLeft" state="frozen"/>
      <selection/>
      <selection pane="bottomLeft" activeCell="S842" sqref="S842"/>
    </sheetView>
  </sheetViews>
  <sheetFormatPr defaultColWidth="9.13541666666667" defaultRowHeight="12" customHeight="1"/>
  <cols>
    <col min="1" max="1" width="3.44791666666667" style="3326" customWidth="1"/>
    <col min="2" max="2" width="1.64583333333333" style="3326" customWidth="1"/>
    <col min="3" max="3" width="2.55208333333333" style="3326" customWidth="1"/>
    <col min="4" max="4" width="1.64583333333333" style="3326" customWidth="1"/>
    <col min="5" max="5" width="2.84375" style="3326" customWidth="1"/>
    <col min="6" max="10" width="2.69791666666667" style="3326" customWidth="1"/>
    <col min="11" max="11" width="1.34375" style="3326" customWidth="1"/>
    <col min="12" max="13" width="1.64583333333333" style="3326" customWidth="1"/>
    <col min="14" max="14" width="2.25" style="3326" customWidth="1"/>
    <col min="15" max="15" width="2.39583333333333" style="3326" customWidth="1"/>
    <col min="16" max="16" width="2.69791666666667" style="3326" customWidth="1"/>
    <col min="17" max="17" width="2.55208333333333" style="3326" customWidth="1"/>
    <col min="18" max="18" width="3.14583333333333" style="3326" customWidth="1"/>
    <col min="19" max="20" width="2.39583333333333" style="3326" customWidth="1"/>
    <col min="21" max="21" width="2.69791666666667" style="3326" customWidth="1"/>
    <col min="22" max="22" width="1.64583333333333" style="3326" customWidth="1"/>
    <col min="23" max="27" width="2.25" style="3326" customWidth="1"/>
    <col min="28" max="28" width="2.39583333333333" style="3326" customWidth="1"/>
    <col min="29" max="29" width="1.64583333333333" style="3326" customWidth="1"/>
    <col min="30" max="31" width="2.25" style="3326" customWidth="1"/>
    <col min="32" max="32" width="2.55208333333333" style="3326" customWidth="1"/>
    <col min="33" max="33" width="2.84375" style="3326" customWidth="1"/>
    <col min="34" max="34" width="2.25" style="3326" customWidth="1"/>
    <col min="35" max="35" width="2.25" style="64" customWidth="1"/>
    <col min="36" max="36" width="1.64583333333333" style="64" customWidth="1"/>
    <col min="37" max="37" width="2.39583333333333" style="3330" customWidth="1"/>
    <col min="38" max="39" width="2.39583333333333" style="3326" customWidth="1"/>
    <col min="40" max="41" width="2.39583333333333" style="64" customWidth="1"/>
    <col min="42" max="42" width="2.69791666666667" style="3326" customWidth="1"/>
    <col min="43" max="43" width="16.03125" style="3326" customWidth="1"/>
    <col min="44" max="44" width="13.78125" style="3331" customWidth="1"/>
    <col min="45" max="45" width="14.53125" style="3326" customWidth="1"/>
    <col min="46" max="46" width="10.78125" style="3326" customWidth="1"/>
    <col min="47" max="16384" width="9.13541666666667" style="3326"/>
  </cols>
  <sheetData>
    <row r="1" customHeight="1" spans="1:43">
      <c r="A1" s="3332" t="str">
        <f>+I!B4</f>
        <v>PT INTAN GIRI ABADI</v>
      </c>
      <c r="AA1" s="3350" t="s">
        <v>277</v>
      </c>
      <c r="AB1" s="3350"/>
      <c r="AC1" s="3351" t="s">
        <v>278</v>
      </c>
      <c r="AD1" s="3351"/>
      <c r="AE1" s="3351"/>
      <c r="AF1" s="3351"/>
      <c r="AG1" s="3351"/>
      <c r="AH1" s="3351"/>
      <c r="AI1" s="3351"/>
      <c r="AJ1" s="3351"/>
      <c r="AK1" s="3351" t="s">
        <v>273</v>
      </c>
      <c r="AL1" s="3351"/>
      <c r="AM1" s="3351"/>
      <c r="AN1" s="3351"/>
      <c r="AO1" s="3351"/>
      <c r="AP1" s="3351"/>
      <c r="AQ1" s="3369"/>
    </row>
    <row r="2" customHeight="1" spans="1:42">
      <c r="A2" s="5080" t="s">
        <v>289</v>
      </c>
      <c r="AA2" s="3350"/>
      <c r="AB2" s="3350"/>
      <c r="AC2" s="3351"/>
      <c r="AD2" s="3351"/>
      <c r="AE2" s="3351"/>
      <c r="AF2" s="3351"/>
      <c r="AG2" s="3351"/>
      <c r="AH2" s="3351"/>
      <c r="AI2" s="3351"/>
      <c r="AJ2" s="3351"/>
      <c r="AK2" s="3351"/>
      <c r="AL2" s="3351"/>
      <c r="AM2" s="3351"/>
      <c r="AN2" s="3351"/>
      <c r="AO2" s="3351"/>
      <c r="AP2" s="3351"/>
    </row>
    <row r="3" customHeight="1" spans="1:42">
      <c r="A3" s="5080" t="s">
        <v>618</v>
      </c>
      <c r="AA3" s="3350"/>
      <c r="AB3" s="3350"/>
      <c r="AC3" s="3351"/>
      <c r="AD3" s="3351"/>
      <c r="AE3" s="3351"/>
      <c r="AF3" s="3351"/>
      <c r="AG3" s="3351"/>
      <c r="AH3" s="3351"/>
      <c r="AI3" s="3351"/>
      <c r="AJ3" s="3351"/>
      <c r="AK3" s="3351"/>
      <c r="AL3" s="3351"/>
      <c r="AM3" s="3351"/>
      <c r="AN3" s="3351"/>
      <c r="AO3" s="3351"/>
      <c r="AP3" s="3351"/>
    </row>
    <row r="4" customHeight="1" spans="1:42">
      <c r="A4" s="3328" t="s">
        <v>450</v>
      </c>
      <c r="AA4" s="3350"/>
      <c r="AB4" s="3350"/>
      <c r="AC4" s="3351" t="s">
        <v>280</v>
      </c>
      <c r="AD4" s="3351"/>
      <c r="AE4" s="3351"/>
      <c r="AF4" s="3351"/>
      <c r="AG4" s="3351"/>
      <c r="AH4" s="3351"/>
      <c r="AI4" s="3351"/>
      <c r="AJ4" s="3351"/>
      <c r="AK4" s="3351" t="s">
        <v>275</v>
      </c>
      <c r="AL4" s="3351"/>
      <c r="AM4" s="3351"/>
      <c r="AN4" s="3351"/>
      <c r="AO4" s="3351"/>
      <c r="AP4" s="3351"/>
    </row>
    <row r="5" ht="6" customHeight="1" spans="1:42">
      <c r="A5" s="3334"/>
      <c r="B5" s="3334"/>
      <c r="C5" s="3334"/>
      <c r="D5" s="3334"/>
      <c r="E5" s="3334"/>
      <c r="F5" s="3334"/>
      <c r="G5" s="3334"/>
      <c r="H5" s="3334"/>
      <c r="I5" s="3334"/>
      <c r="J5" s="3334"/>
      <c r="K5" s="3334"/>
      <c r="L5" s="3334"/>
      <c r="M5" s="3334"/>
      <c r="N5" s="3334"/>
      <c r="O5" s="3334"/>
      <c r="P5" s="3334"/>
      <c r="Q5" s="3334"/>
      <c r="R5" s="3334"/>
      <c r="S5" s="3334"/>
      <c r="T5" s="3334"/>
      <c r="U5" s="3334"/>
      <c r="V5" s="3334"/>
      <c r="W5" s="3334"/>
      <c r="X5" s="3334"/>
      <c r="Y5" s="3334"/>
      <c r="Z5" s="3334"/>
      <c r="AA5" s="3352"/>
      <c r="AB5" s="3352"/>
      <c r="AC5" s="3353"/>
      <c r="AD5" s="3353"/>
      <c r="AE5" s="3353"/>
      <c r="AF5" s="3353"/>
      <c r="AG5" s="3353"/>
      <c r="AH5" s="3353"/>
      <c r="AI5" s="3353"/>
      <c r="AJ5" s="3353"/>
      <c r="AK5" s="3353"/>
      <c r="AL5" s="3353"/>
      <c r="AM5" s="3353"/>
      <c r="AN5" s="3353"/>
      <c r="AO5" s="3353"/>
      <c r="AP5" s="3353"/>
    </row>
    <row r="7" customHeight="1" spans="1:44">
      <c r="A7" s="3335">
        <v>3</v>
      </c>
      <c r="B7" s="64"/>
      <c r="C7" s="3322" t="s">
        <v>1763</v>
      </c>
      <c r="D7" s="64"/>
      <c r="E7" s="64"/>
      <c r="F7" s="64"/>
      <c r="G7" s="64"/>
      <c r="H7" s="64"/>
      <c r="I7" s="64"/>
      <c r="J7" s="64"/>
      <c r="K7" s="64"/>
      <c r="L7" s="64"/>
      <c r="M7" s="64"/>
      <c r="N7" s="64"/>
      <c r="O7" s="64"/>
      <c r="P7" s="64"/>
      <c r="Q7" s="64"/>
      <c r="R7" s="64"/>
      <c r="S7" s="64"/>
      <c r="T7" s="64"/>
      <c r="U7" s="64"/>
      <c r="V7" s="64"/>
      <c r="W7" s="64"/>
      <c r="X7" s="64"/>
      <c r="Y7" s="64"/>
      <c r="Z7" s="64"/>
      <c r="AA7" s="64"/>
      <c r="AB7" s="5081" t="s">
        <v>452</v>
      </c>
      <c r="AC7" s="3355"/>
      <c r="AD7" s="3355"/>
      <c r="AE7" s="3355"/>
      <c r="AF7" s="3355"/>
      <c r="AG7" s="3355"/>
      <c r="AH7" s="3355"/>
      <c r="AJ7" s="5082" t="s">
        <v>453</v>
      </c>
      <c r="AK7" s="3397"/>
      <c r="AL7" s="3397"/>
      <c r="AM7" s="3397"/>
      <c r="AN7" s="3397"/>
      <c r="AO7" s="3397"/>
      <c r="AP7" s="3397"/>
      <c r="AR7" s="3326"/>
    </row>
    <row r="8" ht="9.2" customHeight="1" spans="1:44">
      <c r="A8" s="64"/>
      <c r="B8" s="64"/>
      <c r="C8" s="3336"/>
      <c r="D8" s="3337"/>
      <c r="E8" s="3337"/>
      <c r="F8" s="64"/>
      <c r="G8" s="64"/>
      <c r="H8" s="64"/>
      <c r="I8" s="64"/>
      <c r="J8" s="64"/>
      <c r="K8" s="64"/>
      <c r="L8" s="64"/>
      <c r="M8" s="64"/>
      <c r="N8" s="64"/>
      <c r="O8" s="64"/>
      <c r="P8" s="64"/>
      <c r="Q8" s="64"/>
      <c r="R8" s="64"/>
      <c r="S8" s="64"/>
      <c r="T8" s="3345"/>
      <c r="U8" s="3345"/>
      <c r="V8" s="3345"/>
      <c r="W8" s="3345"/>
      <c r="X8" s="3345"/>
      <c r="Y8" s="3345"/>
      <c r="Z8" s="3345"/>
      <c r="AA8" s="3345"/>
      <c r="AB8" s="3356"/>
      <c r="AC8" s="3356"/>
      <c r="AD8" s="3356"/>
      <c r="AE8" s="3356"/>
      <c r="AF8" s="3356"/>
      <c r="AG8" s="3356"/>
      <c r="AH8" s="3356"/>
      <c r="AJ8" s="3356"/>
      <c r="AK8" s="3356"/>
      <c r="AL8" s="3356"/>
      <c r="AM8" s="3356"/>
      <c r="AN8" s="3356"/>
      <c r="AO8" s="3356"/>
      <c r="AP8" s="3356"/>
      <c r="AR8" s="3326"/>
    </row>
    <row r="9" customHeight="1" spans="1:44">
      <c r="A9" s="64"/>
      <c r="B9" s="64"/>
      <c r="C9" s="5083" t="str">
        <f>+A!B14</f>
        <v>Kas </v>
      </c>
      <c r="D9" s="64"/>
      <c r="E9" s="3337"/>
      <c r="F9" s="64"/>
      <c r="G9" s="64"/>
      <c r="H9" s="64"/>
      <c r="I9" s="64"/>
      <c r="J9" s="64"/>
      <c r="K9" s="64"/>
      <c r="L9" s="64"/>
      <c r="M9" s="64"/>
      <c r="N9" s="64"/>
      <c r="O9" s="64"/>
      <c r="P9" s="64"/>
      <c r="Q9" s="64"/>
      <c r="R9" s="64"/>
      <c r="S9" s="64"/>
      <c r="T9" s="3345"/>
      <c r="U9" s="3345"/>
      <c r="V9" s="3345"/>
      <c r="W9" s="3345"/>
      <c r="X9" s="3345"/>
      <c r="Y9" s="3345"/>
      <c r="Z9" s="3345"/>
      <c r="AA9" s="3345"/>
      <c r="AB9" s="3345">
        <f>+A!R18</f>
        <v>22220000</v>
      </c>
      <c r="AC9" s="3345"/>
      <c r="AD9" s="3345"/>
      <c r="AE9" s="3345"/>
      <c r="AF9" s="3345"/>
      <c r="AG9" s="3345"/>
      <c r="AH9" s="3345"/>
      <c r="AJ9" s="3345">
        <f>+A!S18</f>
        <v>15205799.85725</v>
      </c>
      <c r="AK9" s="3345"/>
      <c r="AL9" s="3345"/>
      <c r="AM9" s="3345"/>
      <c r="AN9" s="3345"/>
      <c r="AO9" s="3345"/>
      <c r="AP9" s="3345"/>
      <c r="AR9" s="3326"/>
    </row>
    <row r="10" ht="6" customHeight="1" spans="1:45">
      <c r="A10" s="64"/>
      <c r="B10" s="64"/>
      <c r="C10"/>
      <c r="D10" s="3338"/>
      <c r="E10" s="3337"/>
      <c r="F10" s="64"/>
      <c r="G10" s="64"/>
      <c r="H10" s="64"/>
      <c r="I10" s="64"/>
      <c r="J10" s="64"/>
      <c r="K10" s="64"/>
      <c r="L10" s="64"/>
      <c r="M10" s="64"/>
      <c r="N10" s="64"/>
      <c r="O10" s="64"/>
      <c r="P10" s="64"/>
      <c r="Q10" s="64"/>
      <c r="R10" s="64"/>
      <c r="S10" s="64"/>
      <c r="T10" s="3345"/>
      <c r="U10" s="3345"/>
      <c r="V10" s="3345"/>
      <c r="W10" s="3345"/>
      <c r="X10" s="3345"/>
      <c r="Y10" s="3345"/>
      <c r="Z10" s="3345"/>
      <c r="AA10" s="3345"/>
      <c r="AS10" s="3331"/>
    </row>
    <row r="11" customHeight="1" spans="1:45">
      <c r="A11" s="64"/>
      <c r="B11" s="64"/>
      <c r="C11" t="str">
        <f>+A!C21</f>
        <v>USD - Mandiri # 1270006446437</v>
      </c>
      <c r="E11" s="3337"/>
      <c r="F11" s="64"/>
      <c r="G11" s="64"/>
      <c r="H11" s="64"/>
      <c r="I11" s="64"/>
      <c r="J11" s="64"/>
      <c r="K11" s="64"/>
      <c r="L11" s="64"/>
      <c r="M11" s="64"/>
      <c r="N11" s="64"/>
      <c r="O11" s="64"/>
      <c r="P11" s="64"/>
      <c r="Q11" s="64"/>
      <c r="R11" s="3347"/>
      <c r="S11" s="3347"/>
      <c r="T11" s="3345"/>
      <c r="U11" s="3345"/>
      <c r="V11" s="3345"/>
      <c r="W11" s="3345"/>
      <c r="X11" s="3345"/>
      <c r="Y11" s="3345"/>
      <c r="Z11" s="3345"/>
      <c r="AA11" s="3345"/>
      <c r="AB11" s="3345">
        <f>+A!R21</f>
        <v>5946650.55</v>
      </c>
      <c r="AC11" s="3345"/>
      <c r="AD11" s="3345"/>
      <c r="AE11" s="3345"/>
      <c r="AF11" s="3345"/>
      <c r="AG11" s="3345"/>
      <c r="AH11" s="3345"/>
      <c r="AJ11" s="3345">
        <f>+A!S21</f>
        <v>6044699.89275</v>
      </c>
      <c r="AK11" s="3345"/>
      <c r="AL11" s="3345"/>
      <c r="AM11" s="3345"/>
      <c r="AN11" s="3345"/>
      <c r="AO11" s="3345"/>
      <c r="AP11" s="3345"/>
      <c r="AS11" s="3331"/>
    </row>
    <row r="12" customHeight="1" spans="1:44">
      <c r="A12" s="64"/>
      <c r="B12" s="64"/>
      <c r="C12" t="str">
        <f>+A!C22</f>
        <v>IDR - Mandiri # 1270006361602</v>
      </c>
      <c r="E12" s="3337"/>
      <c r="F12" s="64"/>
      <c r="G12" s="64"/>
      <c r="H12" s="64"/>
      <c r="I12" s="64"/>
      <c r="J12" s="64"/>
      <c r="K12" s="64"/>
      <c r="L12" s="64"/>
      <c r="M12" s="64"/>
      <c r="N12" s="64"/>
      <c r="O12" s="64"/>
      <c r="P12" s="64"/>
      <c r="Q12" s="64"/>
      <c r="R12" s="3347"/>
      <c r="S12" s="3347"/>
      <c r="T12" s="3345"/>
      <c r="U12" s="3345"/>
      <c r="V12" s="3345"/>
      <c r="W12" s="3345"/>
      <c r="X12" s="3345"/>
      <c r="Y12" s="3345"/>
      <c r="Z12" s="3345"/>
      <c r="AA12" s="3345"/>
      <c r="AB12" s="3345">
        <f>+A!R22</f>
        <v>2237674.80000002</v>
      </c>
      <c r="AC12" s="3345"/>
      <c r="AD12" s="3345"/>
      <c r="AE12" s="3345"/>
      <c r="AF12" s="3345"/>
      <c r="AG12" s="3345"/>
      <c r="AH12" s="3345"/>
      <c r="AJ12" s="3345">
        <f>+A!S22</f>
        <v>332136.52</v>
      </c>
      <c r="AK12" s="3345"/>
      <c r="AL12" s="3345"/>
      <c r="AM12" s="3345"/>
      <c r="AN12" s="3345"/>
      <c r="AO12" s="3345"/>
      <c r="AP12" s="3345"/>
      <c r="AR12" s="3326"/>
    </row>
    <row r="13" customHeight="1" spans="1:45">
      <c r="A13" s="64"/>
      <c r="B13" s="64"/>
      <c r="C13" t="str">
        <f>+A!C23</f>
        <v>IDR - Mandiri Giro # 127000630778</v>
      </c>
      <c r="E13"/>
      <c r="F13" s="64"/>
      <c r="G13" s="64"/>
      <c r="H13" s="64"/>
      <c r="I13" s="64"/>
      <c r="J13" s="64"/>
      <c r="K13" s="64"/>
      <c r="L13" s="64"/>
      <c r="M13" s="64"/>
      <c r="N13" s="64"/>
      <c r="O13" s="64"/>
      <c r="P13" s="64"/>
      <c r="Q13" s="64"/>
      <c r="R13"/>
      <c r="S13" s="3347"/>
      <c r="T13" s="3345"/>
      <c r="U13" s="3345"/>
      <c r="V13" s="3345"/>
      <c r="W13" s="3345"/>
      <c r="X13" s="3345"/>
      <c r="Y13" s="3345"/>
      <c r="Z13" s="3345"/>
      <c r="AA13" s="3345"/>
      <c r="AB13" s="3345">
        <f>+A!R23</f>
        <v>88855543.7299999</v>
      </c>
      <c r="AC13" s="3345"/>
      <c r="AD13" s="3345"/>
      <c r="AE13" s="3345"/>
      <c r="AF13" s="3345"/>
      <c r="AG13" s="3345"/>
      <c r="AH13" s="3345"/>
      <c r="AJ13" s="3345">
        <f>+A!S23</f>
        <v>336861273.53</v>
      </c>
      <c r="AK13" s="3345"/>
      <c r="AL13" s="3345"/>
      <c r="AM13" s="3345"/>
      <c r="AN13" s="3345"/>
      <c r="AO13" s="3345"/>
      <c r="AP13" s="3345"/>
      <c r="AS13" s="3331"/>
    </row>
    <row r="14" hidden="1" customHeight="1" spans="1:44">
      <c r="A14" s="64"/>
      <c r="B14" s="64"/>
      <c r="C14" t="str">
        <f>+A!C24</f>
        <v>IDR - Mandiri Esc # 1270011831268</v>
      </c>
      <c r="E14" s="3337"/>
      <c r="F14" s="64"/>
      <c r="G14" s="64"/>
      <c r="H14" s="64"/>
      <c r="I14" s="64"/>
      <c r="J14" s="64"/>
      <c r="K14" s="64"/>
      <c r="L14" s="64"/>
      <c r="M14" s="64"/>
      <c r="N14" s="64"/>
      <c r="O14" s="64"/>
      <c r="P14" s="64"/>
      <c r="Q14" s="64"/>
      <c r="R14"/>
      <c r="S14" s="3347"/>
      <c r="T14" s="3345"/>
      <c r="U14" s="3345"/>
      <c r="V14" s="3345"/>
      <c r="W14" s="3345"/>
      <c r="X14" s="3345"/>
      <c r="Y14" s="3345"/>
      <c r="Z14" s="3345"/>
      <c r="AA14" s="3345"/>
      <c r="AB14" s="3345">
        <f>+A!R24</f>
        <v>0</v>
      </c>
      <c r="AC14" s="3345"/>
      <c r="AD14" s="3345"/>
      <c r="AE14" s="3345"/>
      <c r="AF14" s="3345"/>
      <c r="AG14" s="3345"/>
      <c r="AH14" s="3345"/>
      <c r="AJ14" s="3345">
        <f>+A!S24</f>
        <v>0</v>
      </c>
      <c r="AK14" s="3345"/>
      <c r="AL14" s="3345"/>
      <c r="AM14" s="3345"/>
      <c r="AN14" s="3345"/>
      <c r="AO14" s="3345"/>
      <c r="AP14" s="3345"/>
      <c r="AR14" s="3326"/>
    </row>
    <row r="15" customHeight="1" spans="1:45">
      <c r="A15" s="64"/>
      <c r="B15" s="64"/>
      <c r="C15" t="str">
        <f>+A!C25</f>
        <v>IDR - BNI # 8338445199</v>
      </c>
      <c r="E15" s="3337"/>
      <c r="F15" s="64"/>
      <c r="G15" s="64"/>
      <c r="H15" s="64"/>
      <c r="I15" s="64"/>
      <c r="J15" s="64"/>
      <c r="K15" s="64"/>
      <c r="L15" s="64"/>
      <c r="M15" s="64"/>
      <c r="N15" s="64"/>
      <c r="O15" s="64"/>
      <c r="P15" s="64"/>
      <c r="Q15" s="64"/>
      <c r="R15" s="3347"/>
      <c r="S15" s="3347"/>
      <c r="T15" s="3345"/>
      <c r="U15" s="3345"/>
      <c r="V15" s="3345"/>
      <c r="W15" s="3345"/>
      <c r="X15" s="3345"/>
      <c r="Y15" s="3345"/>
      <c r="Z15" s="3345"/>
      <c r="AA15" s="3345"/>
      <c r="AB15" s="3345">
        <f>+A!R25</f>
        <v>167272838</v>
      </c>
      <c r="AC15" s="3345"/>
      <c r="AD15" s="3345"/>
      <c r="AE15" s="3345"/>
      <c r="AF15" s="3345"/>
      <c r="AG15" s="3345"/>
      <c r="AH15" s="3345"/>
      <c r="AJ15" s="3345">
        <f>+A!S25</f>
        <v>252561678</v>
      </c>
      <c r="AK15" s="3345"/>
      <c r="AL15" s="3345"/>
      <c r="AM15" s="3345"/>
      <c r="AN15" s="3345"/>
      <c r="AO15" s="3345"/>
      <c r="AP15" s="3345"/>
      <c r="AS15" s="3331"/>
    </row>
    <row r="16" customHeight="1" spans="1:44">
      <c r="A16" s="64"/>
      <c r="B16" s="64"/>
      <c r="C16" t="str">
        <f>+A!C26</f>
        <v>IDR - BRI # 042501000903309</v>
      </c>
      <c r="D16"/>
      <c r="E16"/>
      <c r="F16"/>
      <c r="G16"/>
      <c r="H16"/>
      <c r="I16"/>
      <c r="J16"/>
      <c r="K16"/>
      <c r="L16"/>
      <c r="M16"/>
      <c r="N16"/>
      <c r="O16"/>
      <c r="P16"/>
      <c r="Q16"/>
      <c r="R16"/>
      <c r="S16"/>
      <c r="T16"/>
      <c r="U16"/>
      <c r="V16"/>
      <c r="W16"/>
      <c r="X16"/>
      <c r="Y16"/>
      <c r="Z16"/>
      <c r="AA16"/>
      <c r="AB16" s="3345">
        <f>+A!R26</f>
        <v>9153453</v>
      </c>
      <c r="AC16" s="3345"/>
      <c r="AD16" s="3345"/>
      <c r="AE16" s="3345"/>
      <c r="AF16" s="3345"/>
      <c r="AG16" s="3345"/>
      <c r="AH16" s="3345"/>
      <c r="AI16"/>
      <c r="AJ16" s="3345">
        <f>+A!S26</f>
        <v>139094859.2</v>
      </c>
      <c r="AK16" s="3345"/>
      <c r="AL16" s="3345"/>
      <c r="AM16" s="3345"/>
      <c r="AN16" s="3345"/>
      <c r="AO16" s="3345"/>
      <c r="AP16" s="3345"/>
      <c r="AR16" s="3326"/>
    </row>
    <row r="17" ht="15.6" hidden="1" customHeight="1" spans="1:45">
      <c r="A17" s="64"/>
      <c r="B17" s="64"/>
      <c r="C17" t="s">
        <v>1764</v>
      </c>
      <c r="E17" s="3337"/>
      <c r="F17" s="64"/>
      <c r="G17" s="64"/>
      <c r="H17" s="64"/>
      <c r="I17" s="64"/>
      <c r="J17" s="64"/>
      <c r="K17" s="64"/>
      <c r="L17" s="64"/>
      <c r="M17" s="64"/>
      <c r="N17" s="64"/>
      <c r="O17" s="64"/>
      <c r="P17" s="64"/>
      <c r="Q17" s="64"/>
      <c r="R17" s="3347"/>
      <c r="S17" s="3347"/>
      <c r="T17" s="3345"/>
      <c r="U17" s="3345"/>
      <c r="V17" s="3345"/>
      <c r="W17" s="3345"/>
      <c r="X17" s="3345"/>
      <c r="Y17" s="3345"/>
      <c r="Z17" s="3345"/>
      <c r="AA17" s="3345"/>
      <c r="AB17" s="3345" t="e">
        <f>A!#REF!</f>
        <v>#REF!</v>
      </c>
      <c r="AC17" s="3345"/>
      <c r="AD17" s="3345"/>
      <c r="AE17" s="3345"/>
      <c r="AF17" s="3345"/>
      <c r="AG17" s="3345"/>
      <c r="AH17" s="3345"/>
      <c r="AJ17" s="3345" t="e">
        <f>A!#REF!</f>
        <v>#REF!</v>
      </c>
      <c r="AK17" s="3345"/>
      <c r="AL17" s="3345"/>
      <c r="AM17" s="3345"/>
      <c r="AN17" s="3345"/>
      <c r="AO17" s="3345"/>
      <c r="AP17" s="3345"/>
      <c r="AR17" s="3326"/>
      <c r="AS17" s="3331"/>
    </row>
    <row r="18" ht="4.5" customHeight="1" spans="1:42">
      <c r="A18" s="64"/>
      <c r="B18" s="64"/>
      <c r="C18" s="64"/>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4"/>
      <c r="AH18" s="64"/>
      <c r="AK18" s="64"/>
      <c r="AL18" s="64"/>
      <c r="AM18" s="64"/>
      <c r="AP18" s="64"/>
    </row>
    <row r="19" customHeight="1" spans="1:42">
      <c r="A19" s="64"/>
      <c r="B19" s="64"/>
      <c r="C19" s="3322" t="s">
        <v>1765</v>
      </c>
      <c r="D19" s="3322"/>
      <c r="E19" s="3322"/>
      <c r="F19" s="3322"/>
      <c r="G19" s="3322"/>
      <c r="H19" s="3322"/>
      <c r="I19" s="3322"/>
      <c r="J19" s="3322"/>
      <c r="K19" s="3322"/>
      <c r="L19" s="3322"/>
      <c r="M19" s="3322"/>
      <c r="N19" s="3322"/>
      <c r="O19" s="3322"/>
      <c r="P19" s="3322"/>
      <c r="Q19" s="3322"/>
      <c r="R19" s="3322"/>
      <c r="S19" s="3322"/>
      <c r="T19" s="3348"/>
      <c r="U19" s="3348"/>
      <c r="V19" s="3348"/>
      <c r="W19" s="3348"/>
      <c r="X19" s="3348"/>
      <c r="Y19" s="3348"/>
      <c r="Z19" s="3348"/>
      <c r="AA19" s="3322"/>
      <c r="AB19" s="3358">
        <f>SUM(AB11:AH16)</f>
        <v>273466160.08</v>
      </c>
      <c r="AC19" s="3358"/>
      <c r="AD19" s="3358"/>
      <c r="AE19" s="3358"/>
      <c r="AF19" s="3358"/>
      <c r="AG19" s="3358"/>
      <c r="AH19" s="3358"/>
      <c r="AJ19" s="3358">
        <f>SUM(AJ11:AP16)</f>
        <v>734894647.14275</v>
      </c>
      <c r="AK19" s="3358"/>
      <c r="AL19" s="3358"/>
      <c r="AM19" s="3358"/>
      <c r="AN19" s="3358"/>
      <c r="AO19" s="3358"/>
      <c r="AP19" s="3358"/>
    </row>
    <row r="20" ht="12.15" spans="28:37">
      <c r="AB20"/>
      <c r="AC20"/>
      <c r="AD20"/>
      <c r="AE20"/>
      <c r="AF20"/>
      <c r="AG20"/>
      <c r="AH20"/>
      <c r="AK20" s="3326"/>
    </row>
    <row r="21" ht="11.4" spans="3:42">
      <c r="C21" s="5036" t="s">
        <v>1766</v>
      </c>
      <c r="D21" s="3339"/>
      <c r="E21" s="3339"/>
      <c r="F21" s="3339"/>
      <c r="G21" s="3339"/>
      <c r="H21" s="3339"/>
      <c r="I21" s="3339"/>
      <c r="J21" s="3339"/>
      <c r="K21" s="3339"/>
      <c r="L21" s="3339"/>
      <c r="M21" s="3339"/>
      <c r="N21" s="3339"/>
      <c r="O21" s="3339"/>
      <c r="P21" s="3339"/>
      <c r="Q21" s="3339"/>
      <c r="R21" s="3339"/>
      <c r="S21" s="3339"/>
      <c r="T21" s="3339"/>
      <c r="U21" s="3339"/>
      <c r="V21" s="3339"/>
      <c r="W21" s="3339"/>
      <c r="X21" s="3339"/>
      <c r="Y21" s="3339"/>
      <c r="Z21" s="3339"/>
      <c r="AA21" s="3339"/>
      <c r="AB21" s="3339"/>
      <c r="AC21" s="3339"/>
      <c r="AD21" s="3339"/>
      <c r="AE21" s="3339"/>
      <c r="AF21" s="3339"/>
      <c r="AG21" s="3339"/>
      <c r="AH21" s="3339"/>
      <c r="AI21" s="3339"/>
      <c r="AJ21" s="3339"/>
      <c r="AK21" s="3339"/>
      <c r="AL21" s="3339"/>
      <c r="AM21" s="3339"/>
      <c r="AN21" s="3339"/>
      <c r="AO21" s="3339"/>
      <c r="AP21" s="3339"/>
    </row>
    <row r="22" ht="8.1" customHeight="1" spans="28:37">
      <c r="AB22"/>
      <c r="AC22"/>
      <c r="AD22"/>
      <c r="AE22"/>
      <c r="AF22"/>
      <c r="AG22"/>
      <c r="AH22"/>
      <c r="AK22" s="3326"/>
    </row>
    <row r="23" ht="11.4" spans="3:42">
      <c r="C23" s="5036" t="s">
        <v>1767</v>
      </c>
      <c r="D23" s="3339"/>
      <c r="E23" s="3339"/>
      <c r="F23" s="3339"/>
      <c r="G23" s="3339"/>
      <c r="H23" s="3339"/>
      <c r="I23" s="3339"/>
      <c r="J23" s="3339"/>
      <c r="K23" s="3339"/>
      <c r="L23" s="3339"/>
      <c r="M23" s="3339"/>
      <c r="N23" s="3339"/>
      <c r="O23" s="3339"/>
      <c r="P23" s="3339"/>
      <c r="Q23" s="3339"/>
      <c r="R23" s="3339"/>
      <c r="S23" s="3339"/>
      <c r="T23" s="3339"/>
      <c r="U23" s="3339"/>
      <c r="V23" s="3339"/>
      <c r="W23" s="3339"/>
      <c r="X23" s="3339"/>
      <c r="Y23" s="3339"/>
      <c r="Z23" s="3339"/>
      <c r="AA23" s="3339"/>
      <c r="AB23" s="3339"/>
      <c r="AC23" s="3339"/>
      <c r="AD23" s="3339"/>
      <c r="AE23" s="3339"/>
      <c r="AF23" s="3339"/>
      <c r="AG23" s="3339"/>
      <c r="AH23" s="3339"/>
      <c r="AI23" s="3339"/>
      <c r="AJ23" s="3339"/>
      <c r="AK23" s="3339"/>
      <c r="AL23" s="3339"/>
      <c r="AM23" s="3339"/>
      <c r="AN23" s="3339"/>
      <c r="AO23" s="3339"/>
      <c r="AP23" s="3339"/>
    </row>
    <row r="24" ht="9" customHeight="1" spans="3:43">
      <c r="C24" s="3339"/>
      <c r="D24" s="3339"/>
      <c r="E24" s="3339"/>
      <c r="F24" s="3339"/>
      <c r="G24" s="3339"/>
      <c r="H24" s="3339"/>
      <c r="I24" s="3339"/>
      <c r="J24" s="3339"/>
      <c r="K24" s="3339"/>
      <c r="L24" s="3339"/>
      <c r="M24" s="3339"/>
      <c r="N24" s="3339"/>
      <c r="O24" s="3339"/>
      <c r="P24" s="3339"/>
      <c r="Q24" s="3339"/>
      <c r="R24" s="3339"/>
      <c r="S24" s="3339"/>
      <c r="T24" s="3339"/>
      <c r="U24" s="3339"/>
      <c r="V24" s="3339"/>
      <c r="W24" s="3339"/>
      <c r="X24" s="3339"/>
      <c r="Y24" s="3339"/>
      <c r="Z24" s="3339"/>
      <c r="AA24" s="3339"/>
      <c r="AB24" s="3339"/>
      <c r="AC24" s="3339"/>
      <c r="AD24" s="3339"/>
      <c r="AE24" s="3339"/>
      <c r="AF24" s="3339"/>
      <c r="AG24" s="3339"/>
      <c r="AH24" s="3339"/>
      <c r="AI24" s="3339"/>
      <c r="AJ24" s="3339"/>
      <c r="AK24" s="3339"/>
      <c r="AL24" s="3339"/>
      <c r="AM24" s="3339"/>
      <c r="AN24" s="3339"/>
      <c r="AO24" s="3339"/>
      <c r="AP24" s="3339"/>
      <c r="AQ24" s="3373"/>
    </row>
    <row r="25" ht="24" customHeight="1" spans="3:43">
      <c r="C25" s="5036" t="s">
        <v>1768</v>
      </c>
      <c r="D25" s="3339"/>
      <c r="E25" s="3339"/>
      <c r="F25" s="3339"/>
      <c r="G25" s="3339"/>
      <c r="H25" s="3339"/>
      <c r="I25" s="3339"/>
      <c r="J25" s="3339"/>
      <c r="K25" s="3339"/>
      <c r="L25" s="3339"/>
      <c r="M25" s="3339"/>
      <c r="N25" s="3339"/>
      <c r="O25" s="3339"/>
      <c r="P25" s="3339"/>
      <c r="Q25" s="3339"/>
      <c r="R25" s="3339"/>
      <c r="S25" s="3339"/>
      <c r="T25" s="3339"/>
      <c r="U25" s="3339"/>
      <c r="V25" s="3339"/>
      <c r="W25" s="3339"/>
      <c r="X25" s="3339"/>
      <c r="Y25" s="3339"/>
      <c r="Z25" s="3339"/>
      <c r="AA25" s="3339"/>
      <c r="AB25" s="3339"/>
      <c r="AC25" s="3339"/>
      <c r="AD25" s="3339"/>
      <c r="AE25" s="3339"/>
      <c r="AF25" s="3339"/>
      <c r="AG25" s="3339"/>
      <c r="AH25" s="3339"/>
      <c r="AI25" s="3339"/>
      <c r="AJ25" s="3339"/>
      <c r="AK25" s="3339"/>
      <c r="AL25" s="3339"/>
      <c r="AM25" s="3339"/>
      <c r="AN25" s="3339"/>
      <c r="AO25" s="3339"/>
      <c r="AP25" s="3339"/>
      <c r="AQ25" s="3373"/>
    </row>
    <row r="26" ht="15" customHeight="1" spans="37:43">
      <c r="AK26" s="3326"/>
      <c r="AQ26" s="3373"/>
    </row>
    <row r="27" s="3326" customFormat="1" customHeight="1" spans="1:41">
      <c r="A27" s="3335">
        <f>+A7+1</f>
        <v>4</v>
      </c>
      <c r="B27"/>
      <c r="C27" s="3322" t="s">
        <v>1009</v>
      </c>
      <c r="D27"/>
      <c r="E27"/>
      <c r="F27"/>
      <c r="G27"/>
      <c r="H27"/>
      <c r="I27"/>
      <c r="J27"/>
      <c r="K27"/>
      <c r="L27"/>
      <c r="M27"/>
      <c r="N27"/>
      <c r="O27"/>
      <c r="P27"/>
      <c r="Q27"/>
      <c r="R27"/>
      <c r="S27"/>
      <c r="T27"/>
      <c r="U27"/>
      <c r="V27"/>
      <c r="W27"/>
      <c r="X27"/>
      <c r="Y27"/>
      <c r="Z27"/>
      <c r="AA27"/>
      <c r="AB27"/>
      <c r="AC27"/>
      <c r="AD27"/>
      <c r="AE27"/>
      <c r="AF27"/>
      <c r="AG27"/>
      <c r="AH27"/>
      <c r="AI27"/>
      <c r="AJ27"/>
      <c r="AN27"/>
      <c r="AO27"/>
    </row>
    <row r="28" ht="7.5" customHeight="1" spans="1:42">
      <c r="A28" s="3340"/>
      <c r="B28" s="64"/>
      <c r="C28" s="3322"/>
      <c r="D28" s="3341"/>
      <c r="E28" s="3341"/>
      <c r="F28" s="3341"/>
      <c r="G28" s="3341"/>
      <c r="H28" s="3341"/>
      <c r="I28" s="3341"/>
      <c r="J28" s="3341"/>
      <c r="K28" s="3341"/>
      <c r="L28" s="3341"/>
      <c r="M28" s="3341"/>
      <c r="N28" s="3341"/>
      <c r="O28" s="3341"/>
      <c r="P28" s="3341"/>
      <c r="Q28" s="3341"/>
      <c r="R28" s="3341"/>
      <c r="S28" s="3341"/>
      <c r="T28" s="3349"/>
      <c r="U28" s="3349"/>
      <c r="V28" s="3349"/>
      <c r="W28" s="3349"/>
      <c r="X28" s="3349"/>
      <c r="Y28" s="3349"/>
      <c r="Z28" s="3349"/>
      <c r="AA28" s="64"/>
      <c r="AB28" s="3349"/>
      <c r="AC28" s="3349"/>
      <c r="AD28" s="3349"/>
      <c r="AE28" s="3349"/>
      <c r="AF28" s="3349"/>
      <c r="AG28" s="3349"/>
      <c r="AH28" s="3349"/>
      <c r="AJ28" s="3349"/>
      <c r="AK28" s="3349"/>
      <c r="AL28" s="3349"/>
      <c r="AM28" s="3349"/>
      <c r="AN28" s="3349"/>
      <c r="AO28" s="3349"/>
      <c r="AP28" s="3349"/>
    </row>
    <row r="29" ht="11.45" customHeight="1" spans="1:43">
      <c r="A29" s="3340"/>
      <c r="B29" s="64"/>
      <c r="C29" s="5036" t="s">
        <v>1769</v>
      </c>
      <c r="D29" s="3339"/>
      <c r="E29" s="3339"/>
      <c r="F29" s="3339"/>
      <c r="G29" s="3339"/>
      <c r="H29" s="3339"/>
      <c r="I29" s="3339"/>
      <c r="J29" s="3339"/>
      <c r="K29" s="3339"/>
      <c r="L29" s="3339"/>
      <c r="M29" s="3339"/>
      <c r="N29" s="3339"/>
      <c r="O29" s="3339"/>
      <c r="P29" s="3339"/>
      <c r="Q29" s="3339"/>
      <c r="R29" s="3339"/>
      <c r="S29" s="3339"/>
      <c r="T29" s="3339"/>
      <c r="U29" s="3339"/>
      <c r="V29" s="3339"/>
      <c r="W29" s="3339"/>
      <c r="X29" s="3339"/>
      <c r="Y29" s="3339"/>
      <c r="Z29" s="3339"/>
      <c r="AA29" s="3339"/>
      <c r="AB29" s="3339"/>
      <c r="AC29" s="3339"/>
      <c r="AD29" s="3339"/>
      <c r="AE29" s="3339"/>
      <c r="AF29" s="3339"/>
      <c r="AG29" s="3339"/>
      <c r="AH29" s="3339"/>
      <c r="AI29" s="3339"/>
      <c r="AJ29" s="3339"/>
      <c r="AK29" s="3339"/>
      <c r="AL29" s="3339"/>
      <c r="AM29" s="3339"/>
      <c r="AN29" s="3339"/>
      <c r="AO29" s="3339"/>
      <c r="AP29" s="3339"/>
      <c r="AQ29" s="3331"/>
    </row>
    <row r="30" ht="6.95" customHeight="1" spans="1:42">
      <c r="A30" s="3340"/>
      <c r="B30" s="64"/>
      <c r="C30" s="3339"/>
      <c r="D30" s="3339"/>
      <c r="E30" s="3339"/>
      <c r="F30" s="3339"/>
      <c r="G30" s="3339"/>
      <c r="H30" s="3339"/>
      <c r="I30" s="3339"/>
      <c r="J30" s="3339"/>
      <c r="K30" s="3339"/>
      <c r="L30" s="3339"/>
      <c r="M30" s="3339"/>
      <c r="N30" s="3339"/>
      <c r="O30" s="3339"/>
      <c r="P30" s="3339"/>
      <c r="Q30" s="3339"/>
      <c r="R30" s="3339"/>
      <c r="S30" s="3339"/>
      <c r="T30" s="3339"/>
      <c r="U30" s="3339"/>
      <c r="V30" s="3339"/>
      <c r="W30" s="3339"/>
      <c r="X30" s="3339"/>
      <c r="Y30" s="3339"/>
      <c r="Z30" s="3339"/>
      <c r="AA30" s="3339"/>
      <c r="AB30" s="3339"/>
      <c r="AC30" s="3339"/>
      <c r="AD30" s="3339"/>
      <c r="AE30" s="3339"/>
      <c r="AF30" s="3339"/>
      <c r="AG30" s="3339"/>
      <c r="AH30" s="3339"/>
      <c r="AI30" s="3339"/>
      <c r="AJ30" s="3339"/>
      <c r="AK30" s="3339"/>
      <c r="AL30" s="3339"/>
      <c r="AM30" s="3339"/>
      <c r="AN30" s="3339"/>
      <c r="AO30" s="3339"/>
      <c r="AP30" s="3339"/>
    </row>
    <row r="31" ht="9.2" customHeight="1" spans="1:42">
      <c r="A31" s="3340"/>
      <c r="B31" s="64"/>
      <c r="C31" s="3339"/>
      <c r="D31" s="3339"/>
      <c r="E31" s="3339"/>
      <c r="F31" s="3339"/>
      <c r="G31" s="3339"/>
      <c r="H31" s="3339"/>
      <c r="I31" s="3339"/>
      <c r="J31" s="3339"/>
      <c r="K31" s="3339"/>
      <c r="L31" s="3339"/>
      <c r="M31" s="3339"/>
      <c r="N31" s="3339"/>
      <c r="O31" s="3339"/>
      <c r="P31" s="3339"/>
      <c r="Q31" s="3339"/>
      <c r="R31" s="3339"/>
      <c r="S31" s="3339"/>
      <c r="T31" s="3339"/>
      <c r="U31" s="3339"/>
      <c r="V31" s="3339"/>
      <c r="W31" s="3339"/>
      <c r="X31" s="3339"/>
      <c r="Y31" s="3339"/>
      <c r="Z31" s="3339"/>
      <c r="AA31" s="3339"/>
      <c r="AB31" s="3359">
        <v>2021</v>
      </c>
      <c r="AC31" s="3360"/>
      <c r="AD31" s="3360"/>
      <c r="AE31" s="3360"/>
      <c r="AF31" s="3360"/>
      <c r="AG31" s="3360"/>
      <c r="AH31" s="3360"/>
      <c r="AI31" s="3368"/>
      <c r="AJ31" s="3359">
        <v>2020</v>
      </c>
      <c r="AK31" s="3360"/>
      <c r="AL31" s="3360"/>
      <c r="AM31" s="3360"/>
      <c r="AN31" s="3360"/>
      <c r="AO31" s="3360"/>
      <c r="AP31" s="3360"/>
    </row>
    <row r="32" ht="9.2" customHeight="1" spans="1:42">
      <c r="A32" s="3340"/>
      <c r="B32" s="64"/>
      <c r="C32" s="3339"/>
      <c r="D32" s="3339"/>
      <c r="E32" s="3339"/>
      <c r="F32" s="3339"/>
      <c r="G32" s="3339"/>
      <c r="H32" s="3339"/>
      <c r="I32" s="3339"/>
      <c r="J32" s="3339"/>
      <c r="K32" s="3339"/>
      <c r="L32" s="3339"/>
      <c r="M32" s="3339"/>
      <c r="N32" s="3339"/>
      <c r="O32" s="3339"/>
      <c r="P32" s="3339"/>
      <c r="Q32" s="3339"/>
      <c r="R32" s="3339"/>
      <c r="S32" s="3339"/>
      <c r="T32" s="3339"/>
      <c r="U32" s="3339"/>
      <c r="V32" s="3339"/>
      <c r="W32" s="3339"/>
      <c r="X32" s="3339"/>
      <c r="Y32" s="3339"/>
      <c r="Z32" s="3339"/>
      <c r="AA32" s="3339"/>
      <c r="AB32" s="3361"/>
      <c r="AC32" s="3362"/>
      <c r="AD32" s="3362"/>
      <c r="AE32" s="3362"/>
      <c r="AF32" s="3362"/>
      <c r="AG32" s="3362"/>
      <c r="AH32" s="3362"/>
      <c r="AI32" s="3368"/>
      <c r="AJ32" s="3361"/>
      <c r="AK32" s="3362"/>
      <c r="AL32" s="3362"/>
      <c r="AM32" s="3362"/>
      <c r="AN32" s="3362"/>
      <c r="AO32" s="3362"/>
      <c r="AP32" s="3362"/>
    </row>
    <row r="33" ht="11.45" hidden="1" customHeight="1" spans="1:42">
      <c r="A33" s="3340"/>
      <c r="B33" s="64"/>
      <c r="C33" t="str">
        <f>+B!C15</f>
        <v>Pratama Energy Mandiri (PEM), PT </v>
      </c>
      <c r="D33" s="3339"/>
      <c r="E33" s="3339"/>
      <c r="F33" s="3339"/>
      <c r="G33" s="3339"/>
      <c r="H33" s="3339"/>
      <c r="I33" s="3339"/>
      <c r="J33" s="3339"/>
      <c r="K33" s="3339"/>
      <c r="L33" s="3339"/>
      <c r="M33" s="3339"/>
      <c r="N33" s="3339"/>
      <c r="O33" s="3339"/>
      <c r="P33" s="3339"/>
      <c r="Q33" s="3339"/>
      <c r="R33" s="3339"/>
      <c r="S33" s="3339"/>
      <c r="T33" s="3339"/>
      <c r="U33" s="3339"/>
      <c r="V33" s="3339"/>
      <c r="W33" s="3339"/>
      <c r="X33" s="3339"/>
      <c r="Y33" s="3339"/>
      <c r="Z33" s="3339"/>
      <c r="AA33" s="3339"/>
      <c r="AB33" s="3363">
        <f>+B!Q15</f>
        <v>0</v>
      </c>
      <c r="AC33" s="3363"/>
      <c r="AD33" s="3363"/>
      <c r="AE33" s="3363"/>
      <c r="AF33" s="3363"/>
      <c r="AG33" s="3363"/>
      <c r="AH33" s="3363"/>
      <c r="AI33"/>
      <c r="AJ33">
        <f>+B!R15</f>
        <v>0</v>
      </c>
      <c r="AK33"/>
      <c r="AL33"/>
      <c r="AM33"/>
      <c r="AN33"/>
      <c r="AO33"/>
      <c r="AP33"/>
    </row>
    <row r="34" ht="11.45" hidden="1" customHeight="1" spans="1:42">
      <c r="A34" s="3340"/>
      <c r="B34" s="64"/>
      <c r="C34" t="str">
        <f>+B!C16</f>
        <v>Central Motor wheel Indonesia PT </v>
      </c>
      <c r="D34" s="3339"/>
      <c r="E34" s="3339"/>
      <c r="F34" s="3339"/>
      <c r="G34" s="3339"/>
      <c r="H34" s="3339"/>
      <c r="I34" s="3339"/>
      <c r="J34" s="3339"/>
      <c r="K34" s="3339"/>
      <c r="L34" s="3339"/>
      <c r="M34" s="3339"/>
      <c r="N34" s="3339"/>
      <c r="O34" s="3339"/>
      <c r="P34" s="3339"/>
      <c r="Q34" s="3339"/>
      <c r="R34" s="3339"/>
      <c r="S34" s="3339"/>
      <c r="T34" s="3339"/>
      <c r="U34" s="3339"/>
      <c r="V34" s="3339"/>
      <c r="W34" s="3339"/>
      <c r="X34" s="3339"/>
      <c r="Y34" s="3339"/>
      <c r="Z34" s="3339"/>
      <c r="AA34" s="3339"/>
      <c r="AB34" s="3363">
        <f>+B!Q16</f>
        <v>0</v>
      </c>
      <c r="AC34" s="3363"/>
      <c r="AD34" s="3363"/>
      <c r="AE34" s="3363"/>
      <c r="AF34" s="3363"/>
      <c r="AG34" s="3363"/>
      <c r="AH34" s="3363"/>
      <c r="AI34" s="3339"/>
      <c r="AJ34">
        <f>+B!R16</f>
        <v>0</v>
      </c>
      <c r="AK34"/>
      <c r="AL34"/>
      <c r="AM34"/>
      <c r="AN34"/>
      <c r="AO34"/>
      <c r="AP34"/>
    </row>
    <row r="35" ht="11.45" customHeight="1" spans="1:42">
      <c r="A35" s="3340"/>
      <c r="B35" s="64"/>
      <c r="C35" t="str">
        <f>+B!C17</f>
        <v>Patra Logistic PT. </v>
      </c>
      <c r="D35" s="3339"/>
      <c r="E35" s="3339"/>
      <c r="F35" s="3339"/>
      <c r="G35" s="3339"/>
      <c r="H35" s="3339"/>
      <c r="I35" s="3339"/>
      <c r="J35" s="3339"/>
      <c r="K35" s="3339"/>
      <c r="L35" s="3339"/>
      <c r="M35" s="3339"/>
      <c r="N35" s="3339"/>
      <c r="O35" s="3339"/>
      <c r="P35" s="3339"/>
      <c r="Q35" s="3339"/>
      <c r="R35" s="3339"/>
      <c r="S35" s="3339"/>
      <c r="T35" s="3339"/>
      <c r="U35" s="3339"/>
      <c r="V35" s="3339"/>
      <c r="W35" s="3339"/>
      <c r="X35" s="3339"/>
      <c r="Y35" s="3339"/>
      <c r="Z35" s="3339"/>
      <c r="AA35" s="3339"/>
      <c r="AB35" s="3363">
        <f>+B!Q17</f>
        <v>874768500</v>
      </c>
      <c r="AC35" s="3363"/>
      <c r="AD35" s="3363"/>
      <c r="AE35" s="3363"/>
      <c r="AF35" s="3363"/>
      <c r="AG35" s="3363"/>
      <c r="AH35" s="3363"/>
      <c r="AI35" s="3339"/>
      <c r="AJ35">
        <f>+B!R17</f>
        <v>746140500</v>
      </c>
      <c r="AK35"/>
      <c r="AL35"/>
      <c r="AM35"/>
      <c r="AN35"/>
      <c r="AO35"/>
      <c r="AP35"/>
    </row>
    <row r="36" ht="11.45" customHeight="1" spans="1:42">
      <c r="A36" s="3340"/>
      <c r="B36" s="64"/>
      <c r="C36" t="str">
        <f>+B!C18</f>
        <v>Global Multiteknik Sejahtera PT</v>
      </c>
      <c r="D36" s="3339"/>
      <c r="E36" s="3339"/>
      <c r="F36" s="3339"/>
      <c r="G36" s="3339"/>
      <c r="H36" s="3339"/>
      <c r="I36" s="3339"/>
      <c r="J36" s="3339"/>
      <c r="K36" s="3339"/>
      <c r="L36" s="3339"/>
      <c r="M36" s="3339"/>
      <c r="N36" s="3339"/>
      <c r="O36" s="3339"/>
      <c r="P36" s="3339"/>
      <c r="Q36" s="3339"/>
      <c r="R36" s="3339"/>
      <c r="S36" s="3339"/>
      <c r="T36" s="3339"/>
      <c r="U36" s="3339"/>
      <c r="V36" s="3339"/>
      <c r="W36" s="3339"/>
      <c r="X36" s="3339"/>
      <c r="Y36" s="3339"/>
      <c r="Z36" s="3339"/>
      <c r="AA36" s="3339"/>
      <c r="AB36" s="3363">
        <f>+B!Q18</f>
        <v>127000000</v>
      </c>
      <c r="AC36" s="3363"/>
      <c r="AD36" s="3363"/>
      <c r="AE36" s="3363"/>
      <c r="AF36" s="3363"/>
      <c r="AG36" s="3363"/>
      <c r="AH36" s="3363"/>
      <c r="AI36" s="3339"/>
      <c r="AJ36">
        <f>+B!R18</f>
        <v>0</v>
      </c>
      <c r="AK36"/>
      <c r="AL36"/>
      <c r="AM36"/>
      <c r="AN36"/>
      <c r="AO36"/>
      <c r="AP36"/>
    </row>
    <row r="37" ht="11.45" hidden="1" customHeight="1" spans="1:42">
      <c r="A37" s="3340"/>
      <c r="B37" s="64"/>
      <c r="C37" t="str">
        <f>+B!C19</f>
        <v>Sari Pan Facipik</v>
      </c>
      <c r="D37" s="3339"/>
      <c r="E37" s="3339"/>
      <c r="F37" s="3339"/>
      <c r="G37" s="3339"/>
      <c r="H37" s="3339"/>
      <c r="I37" s="3339"/>
      <c r="J37" s="3339"/>
      <c r="K37" s="3339"/>
      <c r="L37" s="3339"/>
      <c r="M37" s="3339"/>
      <c r="N37" s="3339"/>
      <c r="O37" s="3339"/>
      <c r="P37" s="3339"/>
      <c r="Q37" s="3339"/>
      <c r="R37" s="3339"/>
      <c r="S37" s="3339"/>
      <c r="T37" s="3339"/>
      <c r="U37" s="3339"/>
      <c r="V37" s="3339"/>
      <c r="W37" s="3339"/>
      <c r="X37" s="3339"/>
      <c r="Y37" s="3339"/>
      <c r="Z37" s="3339"/>
      <c r="AA37" s="3339"/>
      <c r="AB37" s="3363">
        <f>+B!Q19</f>
        <v>0</v>
      </c>
      <c r="AC37" s="3363"/>
      <c r="AD37" s="3363"/>
      <c r="AE37" s="3363"/>
      <c r="AF37" s="3363"/>
      <c r="AG37" s="3363"/>
      <c r="AH37" s="3363"/>
      <c r="AI37" s="3339"/>
      <c r="AJ37">
        <f>+B!R19</f>
        <v>0</v>
      </c>
      <c r="AK37"/>
      <c r="AL37"/>
      <c r="AM37"/>
      <c r="AN37"/>
      <c r="AO37"/>
      <c r="AP37"/>
    </row>
    <row r="38" ht="11.45" customHeight="1" spans="1:42">
      <c r="A38" s="3340"/>
      <c r="B38" s="64"/>
      <c r="C38" t="str">
        <f>+B!C20</f>
        <v>Grahaniaga Tatautama PT</v>
      </c>
      <c r="D38" s="3339"/>
      <c r="E38" s="3339"/>
      <c r="F38" s="3339"/>
      <c r="G38" s="3339"/>
      <c r="H38" s="3339"/>
      <c r="I38" s="3339"/>
      <c r="J38" s="3339"/>
      <c r="K38" s="3339"/>
      <c r="L38" s="3339"/>
      <c r="M38" s="3339"/>
      <c r="N38" s="3339"/>
      <c r="O38" s="3339"/>
      <c r="P38" s="3339"/>
      <c r="Q38" s="3339"/>
      <c r="R38" s="3339"/>
      <c r="S38" s="3339"/>
      <c r="T38" s="3339"/>
      <c r="U38" s="3339"/>
      <c r="V38" s="3339"/>
      <c r="W38" s="3339"/>
      <c r="X38" s="3339"/>
      <c r="Y38" s="3339"/>
      <c r="Z38" s="3339"/>
      <c r="AA38" s="3339"/>
      <c r="AB38" s="3363">
        <f>+B!Q20</f>
        <v>48335950</v>
      </c>
      <c r="AC38" s="3363"/>
      <c r="AD38" s="3363"/>
      <c r="AE38" s="3363"/>
      <c r="AF38" s="3363"/>
      <c r="AG38" s="3363"/>
      <c r="AH38" s="3363"/>
      <c r="AI38" s="3339"/>
      <c r="AJ38">
        <f>+B!R20</f>
        <v>0</v>
      </c>
      <c r="AK38"/>
      <c r="AL38"/>
      <c r="AM38"/>
      <c r="AN38"/>
      <c r="AO38"/>
      <c r="AP38"/>
    </row>
    <row r="39" ht="11.45" customHeight="1" spans="1:42">
      <c r="A39" s="3340"/>
      <c r="B39" s="64"/>
      <c r="C39" t="str">
        <f>+B!C21</f>
        <v>Dharmawangsa Raya Hotel</v>
      </c>
      <c r="D39" s="3339"/>
      <c r="E39" s="3339"/>
      <c r="F39" s="3339"/>
      <c r="G39" s="3339"/>
      <c r="H39" s="3339"/>
      <c r="I39" s="3339"/>
      <c r="J39" s="3339"/>
      <c r="K39" s="3339"/>
      <c r="L39" s="3339"/>
      <c r="M39" s="3339"/>
      <c r="N39" s="3339"/>
      <c r="O39" s="3339"/>
      <c r="P39" s="3339"/>
      <c r="Q39" s="3339"/>
      <c r="R39" s="3339"/>
      <c r="S39" s="3339"/>
      <c r="T39" s="3339"/>
      <c r="U39" s="3339"/>
      <c r="V39" s="3339"/>
      <c r="W39" s="3339"/>
      <c r="X39" s="3339"/>
      <c r="Y39" s="3339"/>
      <c r="Z39" s="3339"/>
      <c r="AA39" s="3339"/>
      <c r="AB39" s="3363">
        <f>+B!Q21</f>
        <v>85499964</v>
      </c>
      <c r="AC39" s="3363"/>
      <c r="AD39" s="3363"/>
      <c r="AE39" s="3363"/>
      <c r="AF39" s="3363"/>
      <c r="AG39" s="3363"/>
      <c r="AH39" s="3363"/>
      <c r="AI39" s="3339"/>
      <c r="AJ39">
        <f>+B!R21</f>
        <v>128249946</v>
      </c>
      <c r="AK39"/>
      <c r="AL39"/>
      <c r="AM39"/>
      <c r="AN39"/>
      <c r="AO39"/>
      <c r="AP39"/>
    </row>
    <row r="40" ht="11.45" customHeight="1" spans="1:42">
      <c r="A40" s="3340"/>
      <c r="B40" s="64"/>
      <c r="C40" t="str">
        <f>+B!C22</f>
        <v>Bass Oil Sukananti Limited</v>
      </c>
      <c r="D40" s="3339"/>
      <c r="E40" s="3339"/>
      <c r="F40" s="3339"/>
      <c r="G40" s="3339"/>
      <c r="H40" s="3339"/>
      <c r="I40" s="3339"/>
      <c r="J40" s="3339"/>
      <c r="K40" s="3339"/>
      <c r="L40" s="3339"/>
      <c r="M40" s="3339"/>
      <c r="N40" s="3339"/>
      <c r="O40" s="3339"/>
      <c r="P40" s="3339"/>
      <c r="Q40" s="3339"/>
      <c r="R40" s="3339"/>
      <c r="S40" s="3339"/>
      <c r="T40" s="3339"/>
      <c r="U40" s="3339"/>
      <c r="V40" s="3339"/>
      <c r="W40" s="3339"/>
      <c r="X40" s="3339"/>
      <c r="Y40" s="3339"/>
      <c r="Z40" s="3339"/>
      <c r="AA40" s="3339"/>
      <c r="AB40" s="3363">
        <f>+B!Q22</f>
        <v>61121056.7747904</v>
      </c>
      <c r="AC40" s="3363"/>
      <c r="AD40" s="3363"/>
      <c r="AE40" s="3363"/>
      <c r="AF40" s="3363"/>
      <c r="AG40" s="3363"/>
      <c r="AH40" s="3363"/>
      <c r="AI40" s="3339"/>
      <c r="AJ40">
        <f>+B!R22</f>
        <v>103572452.713332</v>
      </c>
      <c r="AK40"/>
      <c r="AL40"/>
      <c r="AM40"/>
      <c r="AN40"/>
      <c r="AO40"/>
      <c r="AP40"/>
    </row>
    <row r="41" ht="11.45" customHeight="1" spans="1:42">
      <c r="A41" s="3340"/>
      <c r="B41" s="64"/>
      <c r="C41" t="str">
        <f>+B!C23</f>
        <v>Para Amartha Gasindo PT</v>
      </c>
      <c r="D41" s="3339"/>
      <c r="E41" s="3339"/>
      <c r="F41" s="3339"/>
      <c r="G41" s="3339"/>
      <c r="H41" s="3339"/>
      <c r="I41" s="3339"/>
      <c r="J41" s="3339"/>
      <c r="K41" s="3339"/>
      <c r="L41" s="3339"/>
      <c r="M41" s="3339"/>
      <c r="N41" s="3339"/>
      <c r="O41" s="3339"/>
      <c r="P41" s="3339"/>
      <c r="Q41" s="3339"/>
      <c r="R41" s="3339"/>
      <c r="S41" s="3339"/>
      <c r="T41" s="3339"/>
      <c r="U41" s="3339"/>
      <c r="V41" s="3339"/>
      <c r="W41" s="3339"/>
      <c r="X41" s="3339"/>
      <c r="Y41" s="3339"/>
      <c r="Z41" s="3339"/>
      <c r="AA41" s="3339"/>
      <c r="AB41" s="3363">
        <f>+B!Q23</f>
        <v>8852624.5</v>
      </c>
      <c r="AC41" s="3363"/>
      <c r="AD41" s="3363"/>
      <c r="AE41" s="3363"/>
      <c r="AF41" s="3363"/>
      <c r="AG41" s="3363"/>
      <c r="AH41" s="3363"/>
      <c r="AI41" s="3339"/>
      <c r="AJ41">
        <f>+B!R23</f>
        <v>0</v>
      </c>
      <c r="AK41"/>
      <c r="AL41"/>
      <c r="AM41"/>
      <c r="AN41"/>
      <c r="AO41"/>
      <c r="AP41"/>
    </row>
    <row r="42" ht="11.45" customHeight="1" spans="1:42">
      <c r="A42" s="3340"/>
      <c r="B42" s="64"/>
      <c r="C42" t="str">
        <f>+B!C24</f>
        <v>Mitra Energi Buana PT </v>
      </c>
      <c r="D42" s="3339"/>
      <c r="E42" s="3339"/>
      <c r="F42" s="3339"/>
      <c r="G42" s="3339"/>
      <c r="H42" s="3339"/>
      <c r="I42" s="3339"/>
      <c r="J42" s="3339"/>
      <c r="K42" s="3339"/>
      <c r="L42" s="3339"/>
      <c r="M42" s="3339"/>
      <c r="N42" s="3339"/>
      <c r="O42" s="3339"/>
      <c r="P42" s="3339"/>
      <c r="Q42" s="3339"/>
      <c r="R42" s="3339"/>
      <c r="S42" s="3339"/>
      <c r="T42" s="3339"/>
      <c r="U42" s="3339"/>
      <c r="V42" s="3339"/>
      <c r="W42" s="3339"/>
      <c r="X42" s="3339"/>
      <c r="Y42" s="3339"/>
      <c r="Z42" s="3339"/>
      <c r="AA42" s="3339"/>
      <c r="AB42" s="3363">
        <f>+B!Q24</f>
        <v>0</v>
      </c>
      <c r="AC42" s="3363"/>
      <c r="AD42" s="3363"/>
      <c r="AE42" s="3363"/>
      <c r="AF42" s="3363"/>
      <c r="AG42" s="3363"/>
      <c r="AH42" s="3363"/>
      <c r="AI42" s="3339"/>
      <c r="AJ42">
        <f>+B!R24</f>
        <v>244775999.68</v>
      </c>
      <c r="AK42"/>
      <c r="AL42"/>
      <c r="AM42"/>
      <c r="AN42"/>
      <c r="AO42"/>
      <c r="AP42"/>
    </row>
    <row r="43" ht="11.45" customHeight="1" spans="1:42">
      <c r="A43" s="3340"/>
      <c r="B43" s="64"/>
      <c r="C43" t="str">
        <f>+B!C25</f>
        <v>Jakarta International Hotels &amp; Development</v>
      </c>
      <c r="D43" s="3339"/>
      <c r="E43" s="3339"/>
      <c r="F43" s="3339"/>
      <c r="G43" s="3339"/>
      <c r="H43" s="3339"/>
      <c r="I43" s="3339"/>
      <c r="J43" s="3339"/>
      <c r="K43" s="3339"/>
      <c r="L43" s="3339"/>
      <c r="M43" s="3339"/>
      <c r="N43" s="3339"/>
      <c r="O43" s="3339"/>
      <c r="P43" s="3339"/>
      <c r="Q43" s="3339"/>
      <c r="R43" s="3339"/>
      <c r="S43" s="3339"/>
      <c r="T43" s="3339"/>
      <c r="U43" s="3339"/>
      <c r="V43" s="3339"/>
      <c r="W43" s="3339"/>
      <c r="X43" s="3339"/>
      <c r="Y43" s="3339"/>
      <c r="Z43" s="3339"/>
      <c r="AA43" s="3339"/>
      <c r="AB43" s="3363">
        <f>+B!Q25</f>
        <v>0</v>
      </c>
      <c r="AC43" s="3363"/>
      <c r="AD43" s="3363"/>
      <c r="AE43" s="3363"/>
      <c r="AF43" s="3363"/>
      <c r="AG43" s="3363"/>
      <c r="AH43" s="3363"/>
      <c r="AI43" s="3339"/>
      <c r="AJ43">
        <f>+B!R25</f>
        <v>10770100</v>
      </c>
      <c r="AK43"/>
      <c r="AL43"/>
      <c r="AM43"/>
      <c r="AN43"/>
      <c r="AO43"/>
      <c r="AP43"/>
    </row>
    <row r="44" ht="11.45" hidden="1" customHeight="1" spans="1:42">
      <c r="A44" s="3340"/>
      <c r="B44" s="64"/>
      <c r="C44" t="str">
        <f>+B!C26</f>
        <v>Dharma Pratama Sejati PT</v>
      </c>
      <c r="D44" s="3339"/>
      <c r="E44" s="3339"/>
      <c r="F44" s="3339"/>
      <c r="G44" s="3339"/>
      <c r="H44" s="3339"/>
      <c r="I44" s="3339"/>
      <c r="J44" s="3339"/>
      <c r="K44" s="3339"/>
      <c r="L44" s="3339"/>
      <c r="M44" s="3339"/>
      <c r="N44" s="3339"/>
      <c r="O44" s="3339"/>
      <c r="P44" s="3339"/>
      <c r="Q44" s="3339"/>
      <c r="R44" s="3339"/>
      <c r="S44" s="3339"/>
      <c r="T44" s="3339"/>
      <c r="U44" s="3339"/>
      <c r="V44" s="3339"/>
      <c r="W44" s="3339"/>
      <c r="X44" s="3339"/>
      <c r="Y44" s="3339"/>
      <c r="Z44" s="3339"/>
      <c r="AA44" s="3339"/>
      <c r="AB44" s="3363">
        <f>+B!Q26</f>
        <v>0</v>
      </c>
      <c r="AC44" s="3363"/>
      <c r="AD44" s="3363"/>
      <c r="AE44" s="3363"/>
      <c r="AF44" s="3363"/>
      <c r="AG44" s="3363"/>
      <c r="AH44" s="3363"/>
      <c r="AI44" s="3339"/>
      <c r="AJ44">
        <f>+B!R26</f>
        <v>0</v>
      </c>
      <c r="AK44"/>
      <c r="AL44"/>
      <c r="AM44"/>
      <c r="AN44"/>
      <c r="AO44"/>
      <c r="AP44"/>
    </row>
    <row r="45" ht="11.45" hidden="1" customHeight="1" spans="1:42">
      <c r="A45" s="3340"/>
      <c r="B45" s="64"/>
      <c r="C45" t="str">
        <f>+B!C27</f>
        <v>Surya Gilang Perkasa PT. </v>
      </c>
      <c r="D45" s="3339"/>
      <c r="E45" s="3339"/>
      <c r="F45" s="3339"/>
      <c r="G45" s="3339"/>
      <c r="H45" s="3339"/>
      <c r="I45" s="3339"/>
      <c r="J45" s="3339"/>
      <c r="K45" s="3339"/>
      <c r="L45" s="3339"/>
      <c r="M45" s="3339"/>
      <c r="N45" s="3339"/>
      <c r="O45" s="3339"/>
      <c r="P45" s="3339"/>
      <c r="Q45" s="3339"/>
      <c r="R45" s="3339"/>
      <c r="S45" s="3339"/>
      <c r="T45" s="3339"/>
      <c r="U45" s="3339"/>
      <c r="V45" s="3339"/>
      <c r="W45" s="3339"/>
      <c r="X45" s="3339"/>
      <c r="Y45" s="3339"/>
      <c r="Z45" s="3339"/>
      <c r="AA45" s="3339"/>
      <c r="AB45" s="3363">
        <f>+B!Q27</f>
        <v>0</v>
      </c>
      <c r="AC45" s="3363"/>
      <c r="AD45" s="3363"/>
      <c r="AE45" s="3363"/>
      <c r="AF45" s="3363"/>
      <c r="AG45" s="3363"/>
      <c r="AH45" s="3363"/>
      <c r="AI45" s="3339"/>
      <c r="AJ45">
        <f>+B!R27</f>
        <v>0</v>
      </c>
      <c r="AK45"/>
      <c r="AL45"/>
      <c r="AM45"/>
      <c r="AN45"/>
      <c r="AO45"/>
      <c r="AP45"/>
    </row>
    <row r="46" ht="11.45" hidden="1" customHeight="1" spans="1:42">
      <c r="A46" s="3340"/>
      <c r="B46" s="64"/>
      <c r="C46" t="str">
        <f>+B!C28</f>
        <v>Hotel Brobudur</v>
      </c>
      <c r="D46" s="3339"/>
      <c r="E46" s="3339"/>
      <c r="F46" s="3339"/>
      <c r="G46" s="3339"/>
      <c r="H46" s="3339"/>
      <c r="I46" s="3339"/>
      <c r="J46" s="3339"/>
      <c r="K46" s="3339"/>
      <c r="L46" s="3339"/>
      <c r="M46" s="3339"/>
      <c r="N46" s="3339"/>
      <c r="O46" s="3339"/>
      <c r="P46" s="3339"/>
      <c r="Q46" s="3339"/>
      <c r="R46" s="3339"/>
      <c r="S46" s="3339"/>
      <c r="T46" s="3339"/>
      <c r="U46" s="3339"/>
      <c r="V46" s="3339"/>
      <c r="W46" s="3339"/>
      <c r="X46" s="3339"/>
      <c r="Y46" s="3339"/>
      <c r="Z46" s="3339"/>
      <c r="AA46" s="3339"/>
      <c r="AB46" s="3363">
        <f>+B!Q28</f>
        <v>0</v>
      </c>
      <c r="AC46" s="3363"/>
      <c r="AD46" s="3363"/>
      <c r="AE46" s="3363"/>
      <c r="AF46" s="3363"/>
      <c r="AG46" s="3363"/>
      <c r="AH46" s="3363"/>
      <c r="AI46" s="3339"/>
      <c r="AJ46">
        <f>+B!R28</f>
        <v>0</v>
      </c>
      <c r="AK46"/>
      <c r="AL46"/>
      <c r="AM46"/>
      <c r="AN46"/>
      <c r="AO46"/>
      <c r="AP46"/>
    </row>
    <row r="47" ht="11.45" hidden="1" customHeight="1" spans="1:42">
      <c r="A47" s="3340"/>
      <c r="B47" s="64"/>
      <c r="C47" t="str">
        <f>+B!C29</f>
        <v>Kurang Dari Saldo Rp 50.000.000</v>
      </c>
      <c r="D47" s="3339"/>
      <c r="E47" s="3339"/>
      <c r="F47" s="3339"/>
      <c r="G47" s="3339"/>
      <c r="H47" s="3339"/>
      <c r="I47" s="3339"/>
      <c r="J47" s="3339"/>
      <c r="K47" s="3339"/>
      <c r="L47" s="3339"/>
      <c r="M47" s="3339"/>
      <c r="N47" s="3339"/>
      <c r="O47" s="3339"/>
      <c r="P47" s="3339"/>
      <c r="Q47" s="3339"/>
      <c r="R47" s="3339"/>
      <c r="S47" s="3339"/>
      <c r="T47" s="3339"/>
      <c r="U47" s="3339"/>
      <c r="V47" s="3339"/>
      <c r="W47" s="3339"/>
      <c r="X47" s="3339"/>
      <c r="Y47" s="3339"/>
      <c r="Z47" s="3339"/>
      <c r="AA47" s="3339"/>
      <c r="AB47" s="3363">
        <f>+B!Q29</f>
        <v>0</v>
      </c>
      <c r="AC47" s="3363"/>
      <c r="AD47" s="3363"/>
      <c r="AE47" s="3363"/>
      <c r="AF47" s="3363"/>
      <c r="AG47" s="3363"/>
      <c r="AH47" s="3363"/>
      <c r="AI47" s="3339"/>
      <c r="AJ47">
        <f>+B!R29</f>
        <v>0</v>
      </c>
      <c r="AK47"/>
      <c r="AL47"/>
      <c r="AM47"/>
      <c r="AN47"/>
      <c r="AO47"/>
      <c r="AP47"/>
    </row>
    <row r="48" ht="5.1" customHeight="1" spans="1:42">
      <c r="A48" s="3340"/>
      <c r="B48" s="64"/>
      <c r="C48"/>
      <c r="D48" s="3339"/>
      <c r="E48" s="3339"/>
      <c r="F48" s="3339"/>
      <c r="G48" s="3339"/>
      <c r="H48" s="3339"/>
      <c r="I48" s="3339"/>
      <c r="J48" s="3339"/>
      <c r="K48" s="3339"/>
      <c r="L48" s="3339"/>
      <c r="M48" s="3339"/>
      <c r="N48" s="3339"/>
      <c r="O48" s="3339"/>
      <c r="P48" s="3339"/>
      <c r="Q48" s="3339"/>
      <c r="R48" s="3339"/>
      <c r="S48" s="3339"/>
      <c r="T48" s="3339"/>
      <c r="U48" s="3339"/>
      <c r="V48" s="3339"/>
      <c r="W48" s="3339"/>
      <c r="X48" s="3339"/>
      <c r="Y48" s="3339"/>
      <c r="Z48" s="3339"/>
      <c r="AA48" s="3339"/>
      <c r="AB48" s="3363"/>
      <c r="AC48" s="3363"/>
      <c r="AD48" s="3363"/>
      <c r="AE48" s="3363"/>
      <c r="AF48" s="3363"/>
      <c r="AG48" s="3363"/>
      <c r="AH48" s="3363"/>
      <c r="AI48" s="3339"/>
      <c r="AJ48"/>
      <c r="AK48"/>
      <c r="AL48"/>
      <c r="AM48"/>
      <c r="AN48"/>
      <c r="AO48"/>
      <c r="AP48"/>
    </row>
    <row r="49" ht="11.45" customHeight="1" spans="1:42">
      <c r="A49" s="3340"/>
      <c r="B49" s="64"/>
      <c r="C49" t="s">
        <v>1770</v>
      </c>
      <c r="D49" s="3339"/>
      <c r="E49" s="3339"/>
      <c r="F49" s="3339"/>
      <c r="G49" s="3339"/>
      <c r="H49" s="3339"/>
      <c r="I49" s="3339"/>
      <c r="J49" s="3339"/>
      <c r="K49" s="3339"/>
      <c r="L49" s="3339"/>
      <c r="M49" s="3339"/>
      <c r="N49" s="3339"/>
      <c r="O49" s="3339"/>
      <c r="P49" s="3339"/>
      <c r="Q49" s="3339"/>
      <c r="R49" s="3339"/>
      <c r="S49" s="3339"/>
      <c r="T49" s="3339"/>
      <c r="U49" s="3339"/>
      <c r="V49" s="3339"/>
      <c r="W49" s="3339"/>
      <c r="X49" s="3339"/>
      <c r="Y49" s="3339"/>
      <c r="Z49" s="3339"/>
      <c r="AA49" s="3339"/>
      <c r="AB49" s="3364">
        <f>SUM(AB33:AH48)</f>
        <v>1205578095.27479</v>
      </c>
      <c r="AC49" s="3364"/>
      <c r="AD49" s="3364"/>
      <c r="AE49" s="3364"/>
      <c r="AF49" s="3364"/>
      <c r="AG49" s="3364"/>
      <c r="AH49" s="3364"/>
      <c r="AI49" s="3339"/>
      <c r="AJ49" s="1093">
        <f>SUM(AJ33:AP48)</f>
        <v>1233508998.39333</v>
      </c>
      <c r="AK49" s="1093"/>
      <c r="AL49" s="1093"/>
      <c r="AM49" s="1093"/>
      <c r="AN49" s="1093"/>
      <c r="AO49" s="1093"/>
      <c r="AP49" s="1093"/>
    </row>
    <row r="50" ht="11.45" customHeight="1" spans="1:42">
      <c r="A50" s="3340"/>
      <c r="B50" s="64"/>
      <c r="C50" t="s">
        <v>1771</v>
      </c>
      <c r="D50" s="3339"/>
      <c r="E50" s="3339"/>
      <c r="F50" s="3339"/>
      <c r="G50" s="3339"/>
      <c r="H50" s="3339"/>
      <c r="I50" s="3339"/>
      <c r="J50" s="3339"/>
      <c r="K50" s="3339"/>
      <c r="L50" s="3339"/>
      <c r="M50" s="3339"/>
      <c r="N50" s="3339"/>
      <c r="O50" s="3339"/>
      <c r="P50" s="3339"/>
      <c r="Q50" s="3339"/>
      <c r="R50" s="3339"/>
      <c r="S50" s="3339"/>
      <c r="T50" s="3339"/>
      <c r="U50" s="3339"/>
      <c r="V50" s="3339"/>
      <c r="W50" s="3339"/>
      <c r="X50" s="3339"/>
      <c r="Y50" s="3339"/>
      <c r="Z50" s="3339"/>
      <c r="AA50" s="3339"/>
      <c r="AB50" s="3365">
        <v>0</v>
      </c>
      <c r="AC50" s="3365"/>
      <c r="AD50" s="3365"/>
      <c r="AE50" s="3365"/>
      <c r="AF50" s="3365"/>
      <c r="AG50" s="3365"/>
      <c r="AH50" s="3365"/>
      <c r="AI50" s="3339"/>
      <c r="AJ50">
        <v>0</v>
      </c>
      <c r="AK50"/>
      <c r="AL50"/>
      <c r="AM50"/>
      <c r="AN50"/>
      <c r="AO50"/>
      <c r="AP50"/>
    </row>
    <row r="51" s="3464" customFormat="1" ht="12.75" spans="1:44">
      <c r="A51" s="3340"/>
      <c r="B51" s="94"/>
      <c r="C51" s="94" t="s">
        <v>1772</v>
      </c>
      <c r="D51" s="3344"/>
      <c r="E51" s="3344"/>
      <c r="F51" s="3344"/>
      <c r="G51" s="3344"/>
      <c r="H51" s="3344"/>
      <c r="I51" s="3344"/>
      <c r="J51" s="3344"/>
      <c r="K51" s="3344"/>
      <c r="L51" s="3344"/>
      <c r="M51" s="3344"/>
      <c r="N51" s="3344"/>
      <c r="O51" s="3344"/>
      <c r="P51" s="3344"/>
      <c r="Q51" s="3344"/>
      <c r="R51" s="3344"/>
      <c r="S51" s="3344"/>
      <c r="T51" s="3344"/>
      <c r="U51" s="3344"/>
      <c r="V51" s="3344"/>
      <c r="W51" s="3344"/>
      <c r="X51" s="3344"/>
      <c r="Y51" s="3344"/>
      <c r="Z51" s="3344"/>
      <c r="AA51" s="3344"/>
      <c r="AB51" s="3367">
        <f>SUM(AB49:AH50)</f>
        <v>1205578095.27479</v>
      </c>
      <c r="AC51" s="3367"/>
      <c r="AD51" s="3367"/>
      <c r="AE51" s="3367"/>
      <c r="AF51" s="3367"/>
      <c r="AG51" s="3367"/>
      <c r="AH51" s="3367"/>
      <c r="AI51" s="3344"/>
      <c r="AJ51" s="3324">
        <f>SUM(AJ49:AP50)</f>
        <v>1233508998.39333</v>
      </c>
      <c r="AK51" s="3324"/>
      <c r="AL51" s="3324"/>
      <c r="AM51" s="3324"/>
      <c r="AN51" s="3324"/>
      <c r="AO51" s="3324"/>
      <c r="AP51" s="3324"/>
      <c r="AR51" s="3575"/>
    </row>
    <row r="52" ht="11.45" customHeight="1" spans="1:42">
      <c r="A52" s="3340"/>
      <c r="B52" s="64"/>
      <c r="C52" s="3339"/>
      <c r="D52" s="3339"/>
      <c r="E52" s="3339"/>
      <c r="F52" s="3339"/>
      <c r="G52" s="3339"/>
      <c r="H52" s="3339"/>
      <c r="I52" s="3339"/>
      <c r="J52" s="3339"/>
      <c r="K52" s="3339"/>
      <c r="L52" s="3339"/>
      <c r="M52" s="3339"/>
      <c r="N52" s="3339"/>
      <c r="O52" s="3339"/>
      <c r="P52" s="3339"/>
      <c r="Q52" s="3339"/>
      <c r="R52" s="3339"/>
      <c r="S52" s="3339"/>
      <c r="T52" s="3339"/>
      <c r="U52" s="3339"/>
      <c r="V52" s="3339"/>
      <c r="W52" s="3339"/>
      <c r="X52" s="3339"/>
      <c r="Y52" s="3339"/>
      <c r="Z52" s="3339"/>
      <c r="AA52" s="3339"/>
      <c r="AB52" s="3339"/>
      <c r="AC52" s="3339"/>
      <c r="AD52" s="3339"/>
      <c r="AE52" s="3339"/>
      <c r="AF52" s="3339"/>
      <c r="AG52" s="3339"/>
      <c r="AH52" s="3339"/>
      <c r="AI52" s="3339"/>
      <c r="AJ52" s="3339"/>
      <c r="AK52" s="3339"/>
      <c r="AL52" s="3339"/>
      <c r="AM52" s="3339"/>
      <c r="AN52" s="3339"/>
      <c r="AO52" s="3339"/>
      <c r="AP52" s="3339"/>
    </row>
    <row r="53" ht="11.45" customHeight="1" spans="1:42">
      <c r="A53" s="3340"/>
      <c r="B53" s="64"/>
      <c r="C53" s="5036" t="s">
        <v>1773</v>
      </c>
      <c r="D53" s="3339"/>
      <c r="E53" s="3339"/>
      <c r="F53" s="3339"/>
      <c r="G53" s="3339"/>
      <c r="H53" s="3339"/>
      <c r="I53" s="3339"/>
      <c r="J53" s="3339"/>
      <c r="K53" s="3339"/>
      <c r="L53" s="3339"/>
      <c r="M53" s="3339"/>
      <c r="N53" s="3339"/>
      <c r="O53" s="3339"/>
      <c r="P53" s="3339"/>
      <c r="Q53" s="3339"/>
      <c r="R53" s="3339"/>
      <c r="S53" s="3339"/>
      <c r="T53" s="3339"/>
      <c r="U53" s="3339"/>
      <c r="V53" s="3339"/>
      <c r="W53" s="3339"/>
      <c r="X53" s="3339"/>
      <c r="Y53" s="3339"/>
      <c r="Z53" s="3339"/>
      <c r="AA53" s="3339"/>
      <c r="AB53" s="3339"/>
      <c r="AC53" s="3339"/>
      <c r="AD53" s="3339"/>
      <c r="AE53" s="3339"/>
      <c r="AF53" s="3339"/>
      <c r="AG53" s="3339"/>
      <c r="AH53" s="3339"/>
      <c r="AI53" s="3339"/>
      <c r="AJ53" s="3339"/>
      <c r="AK53" s="3339"/>
      <c r="AL53" s="3339"/>
      <c r="AM53" s="3339"/>
      <c r="AN53" s="3339"/>
      <c r="AO53" s="3339"/>
      <c r="AP53" s="3339"/>
    </row>
    <row r="54" ht="9" customHeight="1" spans="1:42">
      <c r="A54" s="3340"/>
      <c r="B54" s="64"/>
      <c r="C54" s="3339"/>
      <c r="D54" s="3339"/>
      <c r="E54" s="3339"/>
      <c r="F54" s="3339"/>
      <c r="G54" s="3339"/>
      <c r="H54" s="3339"/>
      <c r="I54" s="3339"/>
      <c r="J54" s="3339"/>
      <c r="K54" s="3339"/>
      <c r="L54" s="3339"/>
      <c r="M54" s="3339"/>
      <c r="N54" s="3339"/>
      <c r="O54" s="3339"/>
      <c r="P54" s="3339"/>
      <c r="Q54" s="3339"/>
      <c r="R54" s="3339"/>
      <c r="S54" s="3339"/>
      <c r="T54" s="3339"/>
      <c r="U54" s="3339"/>
      <c r="V54" s="3339"/>
      <c r="W54" s="3339"/>
      <c r="X54" s="3339"/>
      <c r="Y54" s="3339"/>
      <c r="Z54" s="3339"/>
      <c r="AA54" s="3339"/>
      <c r="AB54" s="3339"/>
      <c r="AC54" s="3339"/>
      <c r="AD54" s="3339"/>
      <c r="AE54" s="3339"/>
      <c r="AF54" s="3339"/>
      <c r="AG54" s="3339"/>
      <c r="AH54" s="3339"/>
      <c r="AI54" s="3339"/>
      <c r="AJ54" s="3339"/>
      <c r="AK54" s="3339"/>
      <c r="AL54" s="3339"/>
      <c r="AM54" s="3339"/>
      <c r="AN54" s="3339"/>
      <c r="AO54" s="3339"/>
      <c r="AP54" s="3339"/>
    </row>
    <row r="55" ht="12.95" customHeight="1" spans="1:42">
      <c r="A55" s="3340"/>
      <c r="B55" s="64"/>
      <c r="C55" s="94" t="s">
        <v>1774</v>
      </c>
      <c r="D55" s="94"/>
      <c r="E55" s="94"/>
      <c r="F55" s="94"/>
      <c r="G55" s="94"/>
      <c r="H55" s="94"/>
      <c r="I55" s="94"/>
      <c r="J55" s="94"/>
      <c r="K55" s="3339"/>
      <c r="L55" s="3339"/>
      <c r="M55" s="3339"/>
      <c r="N55" s="3339"/>
      <c r="O55" s="3339"/>
      <c r="P55" s="3339"/>
      <c r="Q55" s="3339"/>
      <c r="R55" s="3339"/>
      <c r="S55" s="3339"/>
      <c r="T55" s="3339"/>
      <c r="U55" s="3339"/>
      <c r="V55" s="3339"/>
      <c r="W55" s="3339"/>
      <c r="X55" s="3339"/>
      <c r="Y55" s="3339"/>
      <c r="Z55" s="3339"/>
      <c r="AA55" s="3339"/>
      <c r="AB55" s="5081" t="str">
        <f>+AB7</f>
        <v>2021</v>
      </c>
      <c r="AC55" s="3355"/>
      <c r="AD55" s="3355"/>
      <c r="AE55" s="3355"/>
      <c r="AF55" s="3355"/>
      <c r="AG55" s="3355"/>
      <c r="AH55" s="3355"/>
      <c r="AJ55" s="5081" t="str">
        <f>+AJ7</f>
        <v>2020</v>
      </c>
      <c r="AK55" s="3355"/>
      <c r="AL55" s="3355"/>
      <c r="AM55" s="3355"/>
      <c r="AN55" s="3355"/>
      <c r="AO55" s="3355"/>
      <c r="AP55" s="3355"/>
    </row>
    <row r="56" ht="11.4" spans="1:44">
      <c r="A56" s="64"/>
      <c r="B56" s="64"/>
      <c r="C56" t="s">
        <v>1775</v>
      </c>
      <c r="D56"/>
      <c r="E56"/>
      <c r="F56"/>
      <c r="G56"/>
      <c r="H56"/>
      <c r="I56"/>
      <c r="J56"/>
      <c r="K56" s="3339"/>
      <c r="L56" s="3339"/>
      <c r="M56" s="3339"/>
      <c r="N56" s="3339"/>
      <c r="O56" s="3339"/>
      <c r="P56" s="3339"/>
      <c r="Q56" s="3339"/>
      <c r="R56" s="3339"/>
      <c r="S56" s="3339"/>
      <c r="T56" s="3339"/>
      <c r="U56" s="3339"/>
      <c r="V56" s="3339"/>
      <c r="W56" s="3339"/>
      <c r="X56" s="3339"/>
      <c r="Y56" s="3339"/>
      <c r="Z56" s="3339"/>
      <c r="AA56" s="3339"/>
      <c r="AB56" s="3363">
        <v>362642450.70829</v>
      </c>
      <c r="AC56" s="3363"/>
      <c r="AD56" s="3363"/>
      <c r="AE56" s="3363"/>
      <c r="AF56" s="3363"/>
      <c r="AG56" s="3363"/>
      <c r="AH56" s="3363"/>
      <c r="AI56" s="3326"/>
      <c r="AJ56">
        <v>333047429.5662</v>
      </c>
      <c r="AK56"/>
      <c r="AL56"/>
      <c r="AM56"/>
      <c r="AN56"/>
      <c r="AO56"/>
      <c r="AP56"/>
      <c r="AQ56" s="355"/>
      <c r="AR56" s="355"/>
    </row>
    <row r="57" customHeight="1" spans="1:44">
      <c r="A57" s="64"/>
      <c r="B57" s="64"/>
      <c r="C57" t="s">
        <v>1776</v>
      </c>
      <c r="D57" s="3339"/>
      <c r="E57" s="3339"/>
      <c r="F57" s="3339"/>
      <c r="G57" s="3339"/>
      <c r="H57" s="3339"/>
      <c r="I57" s="3339"/>
      <c r="J57" s="3339"/>
      <c r="K57" s="3339"/>
      <c r="L57" s="3339"/>
      <c r="M57" s="3339"/>
      <c r="N57" s="3339"/>
      <c r="O57" s="3339"/>
      <c r="P57" s="3339"/>
      <c r="Q57" s="3339"/>
      <c r="R57" s="3339"/>
      <c r="S57" s="3339"/>
      <c r="T57" s="3339"/>
      <c r="U57" s="3339"/>
      <c r="V57" s="3339"/>
      <c r="W57" s="3339"/>
      <c r="X57" s="3339"/>
      <c r="Y57" s="3339"/>
      <c r="Z57" s="3339"/>
      <c r="AA57" s="3339"/>
      <c r="AB57" s="3363">
        <v>170255123.766614</v>
      </c>
      <c r="AC57" s="3363"/>
      <c r="AD57" s="3363"/>
      <c r="AE57" s="3363"/>
      <c r="AF57" s="3363"/>
      <c r="AG57" s="3363"/>
      <c r="AH57" s="3363"/>
      <c r="AI57"/>
      <c r="AJ57">
        <v>160356169.791133</v>
      </c>
      <c r="AK57"/>
      <c r="AL57"/>
      <c r="AM57"/>
      <c r="AN57"/>
      <c r="AO57"/>
      <c r="AP57"/>
      <c r="AQ57" s="355"/>
      <c r="AR57" s="355"/>
    </row>
    <row r="58" customHeight="1" spans="1:44">
      <c r="A58" s="64"/>
      <c r="B58" s="64"/>
      <c r="C58" t="s">
        <v>1777</v>
      </c>
      <c r="D58" s="3339"/>
      <c r="E58" s="3339"/>
      <c r="F58" s="3339"/>
      <c r="G58" s="3339"/>
      <c r="H58" s="3339"/>
      <c r="I58" s="3339"/>
      <c r="J58" s="3339"/>
      <c r="K58" s="3339"/>
      <c r="L58" s="3339"/>
      <c r="M58" s="3339"/>
      <c r="N58" s="3339"/>
      <c r="O58" s="3339"/>
      <c r="P58" s="3339"/>
      <c r="Q58" s="3339"/>
      <c r="R58" s="3339"/>
      <c r="S58" s="3339"/>
      <c r="T58" s="3339"/>
      <c r="U58" s="3339"/>
      <c r="V58" s="3339"/>
      <c r="W58" s="3339"/>
      <c r="X58" s="3339"/>
      <c r="Y58" s="3339"/>
      <c r="Z58" s="3339"/>
      <c r="AA58" s="3339"/>
      <c r="AB58" s="3363">
        <v>236762393.115543</v>
      </c>
      <c r="AC58" s="3363"/>
      <c r="AD58" s="3363"/>
      <c r="AE58" s="3363"/>
      <c r="AF58" s="3363"/>
      <c r="AG58" s="3363"/>
      <c r="AH58" s="3363"/>
      <c r="AI58"/>
      <c r="AJ58">
        <v>271371979.646533</v>
      </c>
      <c r="AK58"/>
      <c r="AL58"/>
      <c r="AM58"/>
      <c r="AN58"/>
      <c r="AO58"/>
      <c r="AP58"/>
      <c r="AQ58" s="355"/>
      <c r="AR58" s="355"/>
    </row>
    <row r="59" ht="11.4" spans="1:44">
      <c r="A59" s="64"/>
      <c r="B59" s="64"/>
      <c r="C59" t="s">
        <v>1778</v>
      </c>
      <c r="D59" s="3339"/>
      <c r="E59" s="3339"/>
      <c r="F59" s="3339"/>
      <c r="G59" s="3339"/>
      <c r="H59" s="3339"/>
      <c r="I59" s="3339"/>
      <c r="J59" s="3339"/>
      <c r="K59" s="3339"/>
      <c r="L59" s="3339"/>
      <c r="M59" s="3339"/>
      <c r="N59" s="3339"/>
      <c r="O59" s="3339"/>
      <c r="P59" s="3339"/>
      <c r="Q59" s="3339"/>
      <c r="R59" s="3339"/>
      <c r="S59" s="3339"/>
      <c r="T59" s="3339"/>
      <c r="U59" s="3339"/>
      <c r="V59" s="3339"/>
      <c r="W59" s="3339"/>
      <c r="X59" s="3339"/>
      <c r="Y59" s="3339"/>
      <c r="Z59" s="3339"/>
      <c r="AA59" s="3339"/>
      <c r="AB59" s="3363">
        <v>165816315.764423</v>
      </c>
      <c r="AC59" s="3363"/>
      <c r="AD59" s="3363"/>
      <c r="AE59" s="3363"/>
      <c r="AF59" s="3363"/>
      <c r="AG59" s="3363"/>
      <c r="AH59" s="3363"/>
      <c r="AI59"/>
      <c r="AJ59">
        <v>209696529.726866</v>
      </c>
      <c r="AK59"/>
      <c r="AL59"/>
      <c r="AM59"/>
      <c r="AN59"/>
      <c r="AO59"/>
      <c r="AP59"/>
      <c r="AQ59" s="355"/>
      <c r="AR59" s="355"/>
    </row>
    <row r="60" ht="11.4" spans="1:44">
      <c r="A60" s="64"/>
      <c r="B60" s="64"/>
      <c r="C60" t="s">
        <v>1779</v>
      </c>
      <c r="D60" s="3339"/>
      <c r="E60" s="3339"/>
      <c r="F60" s="3339"/>
      <c r="G60" s="3339"/>
      <c r="H60" s="3339"/>
      <c r="I60" s="3339"/>
      <c r="J60" s="3339"/>
      <c r="K60" s="3339"/>
      <c r="L60" s="3339"/>
      <c r="M60" s="3339"/>
      <c r="N60" s="3339"/>
      <c r="O60" s="3339"/>
      <c r="P60" s="3339"/>
      <c r="Q60" s="3339"/>
      <c r="R60" s="3339"/>
      <c r="S60" s="3339"/>
      <c r="T60" s="3339"/>
      <c r="U60" s="3339"/>
      <c r="V60" s="3339"/>
      <c r="W60" s="3339"/>
      <c r="X60" s="3339"/>
      <c r="Y60" s="3339"/>
      <c r="Z60" s="3339"/>
      <c r="AA60" s="3339"/>
      <c r="AB60" s="3363">
        <v>270101811.919921</v>
      </c>
      <c r="AC60" s="3363"/>
      <c r="AD60" s="3363"/>
      <c r="AE60" s="3363"/>
      <c r="AF60" s="3363"/>
      <c r="AG60" s="3363"/>
      <c r="AH60" s="3363"/>
      <c r="AI60"/>
      <c r="AJ60">
        <v>259036889.6626</v>
      </c>
      <c r="AK60"/>
      <c r="AL60"/>
      <c r="AM60"/>
      <c r="AN60"/>
      <c r="AO60"/>
      <c r="AP60"/>
      <c r="AQ60" s="355"/>
      <c r="AR60" s="355"/>
    </row>
    <row r="61" ht="11.4" spans="3:44">
      <c r="C61" s="3382" t="s">
        <v>1770</v>
      </c>
      <c r="AB61" s="3364">
        <f>SUM(AB56:AH60)</f>
        <v>1205578095.27479</v>
      </c>
      <c r="AC61" s="3364"/>
      <c r="AD61" s="3364"/>
      <c r="AE61" s="3364"/>
      <c r="AF61" s="3364"/>
      <c r="AG61" s="3364"/>
      <c r="AH61" s="3364"/>
      <c r="AI61"/>
      <c r="AJ61" s="1093">
        <f>SUM(AJ56:AP60)</f>
        <v>1233508998.39333</v>
      </c>
      <c r="AK61" s="1093"/>
      <c r="AL61" s="1093"/>
      <c r="AM61" s="1093"/>
      <c r="AN61" s="1093"/>
      <c r="AO61" s="1093"/>
      <c r="AP61" s="1093"/>
      <c r="AQ61" s="355"/>
      <c r="AR61" s="355"/>
    </row>
    <row r="62" ht="11.4" spans="3:44">
      <c r="C62" s="3382" t="s">
        <v>1780</v>
      </c>
      <c r="AB62" s="3363">
        <f>+B!Q53</f>
        <v>0</v>
      </c>
      <c r="AC62" s="3363"/>
      <c r="AD62" s="3363"/>
      <c r="AE62" s="3363"/>
      <c r="AF62" s="3363"/>
      <c r="AG62" s="3363"/>
      <c r="AH62" s="3363"/>
      <c r="AI62"/>
      <c r="AJ62">
        <f>+B!R53</f>
        <v>0</v>
      </c>
      <c r="AK62"/>
      <c r="AL62"/>
      <c r="AM62"/>
      <c r="AN62"/>
      <c r="AO62"/>
      <c r="AP62"/>
      <c r="AR62" s="3326"/>
    </row>
    <row r="63" customHeight="1" spans="3:44">
      <c r="C63" s="1952" t="s">
        <v>1781</v>
      </c>
      <c r="L63" s="3391"/>
      <c r="AB63" s="3367">
        <f>SUM(AB61:AH62)</f>
        <v>1205578095.27479</v>
      </c>
      <c r="AC63" s="3367"/>
      <c r="AD63" s="3367"/>
      <c r="AE63" s="3367"/>
      <c r="AF63" s="3367"/>
      <c r="AG63" s="3367"/>
      <c r="AH63" s="3367"/>
      <c r="AI63" s="94"/>
      <c r="AJ63" s="3324">
        <f>SUM(AJ61:AP62)</f>
        <v>1233508998.39333</v>
      </c>
      <c r="AK63" s="3324"/>
      <c r="AL63" s="3324"/>
      <c r="AM63" s="3324"/>
      <c r="AN63" s="3324"/>
      <c r="AO63" s="3324"/>
      <c r="AP63" s="3324"/>
      <c r="AR63" s="3326"/>
    </row>
    <row r="64" ht="9.2" customHeight="1" spans="3:44">
      <c r="C64" s="1952"/>
      <c r="AB64" s="3363"/>
      <c r="AC64" s="3363"/>
      <c r="AD64" s="3363"/>
      <c r="AE64" s="3363"/>
      <c r="AF64" s="3363"/>
      <c r="AG64" s="3363"/>
      <c r="AH64" s="3363"/>
      <c r="AI64"/>
      <c r="AJ64"/>
      <c r="AK64" s="3326"/>
      <c r="AN64"/>
      <c r="AO64"/>
      <c r="AR64" s="3326"/>
    </row>
    <row r="65" ht="9.2" customHeight="1" spans="3:44">
      <c r="C65" s="1952"/>
      <c r="AB65" s="3363"/>
      <c r="AC65" s="3363"/>
      <c r="AD65" s="3363"/>
      <c r="AE65" s="3363"/>
      <c r="AF65" s="3363"/>
      <c r="AG65" s="3363"/>
      <c r="AH65" s="3363"/>
      <c r="AI65"/>
      <c r="AJ65"/>
      <c r="AK65" s="3326"/>
      <c r="AN65"/>
      <c r="AO65"/>
      <c r="AR65" s="3326"/>
    </row>
    <row r="66" s="3326" customFormat="1" ht="36" customHeight="1" spans="1:44">
      <c r="A66"/>
      <c r="B66"/>
      <c r="C66" s="5036" t="s">
        <v>1782</v>
      </c>
      <c r="D66" s="3339"/>
      <c r="E66" s="3339"/>
      <c r="F66" s="3339"/>
      <c r="G66" s="3339"/>
      <c r="H66" s="3339"/>
      <c r="I66" s="3339"/>
      <c r="J66" s="3339"/>
      <c r="K66" s="3339"/>
      <c r="L66" s="3339"/>
      <c r="M66" s="3339"/>
      <c r="N66" s="3339"/>
      <c r="O66" s="3339"/>
      <c r="P66" s="3339"/>
      <c r="Q66" s="3339"/>
      <c r="R66" s="3339"/>
      <c r="S66" s="3339"/>
      <c r="T66" s="3339"/>
      <c r="U66" s="3339"/>
      <c r="V66" s="3339"/>
      <c r="W66" s="3339"/>
      <c r="X66" s="3339"/>
      <c r="Y66" s="3339"/>
      <c r="Z66" s="3339"/>
      <c r="AA66" s="3339"/>
      <c r="AB66" s="3339"/>
      <c r="AC66" s="3339"/>
      <c r="AD66" s="3339"/>
      <c r="AE66" s="3339"/>
      <c r="AF66" s="3339"/>
      <c r="AG66" s="3339"/>
      <c r="AH66" s="3339"/>
      <c r="AI66" s="3339"/>
      <c r="AJ66" s="3339"/>
      <c r="AK66" s="3339"/>
      <c r="AL66" s="3339"/>
      <c r="AM66" s="3339"/>
      <c r="AN66" s="3339"/>
      <c r="AO66" s="3339"/>
      <c r="AP66" s="3339"/>
      <c r="AR66" s="3331"/>
    </row>
    <row r="67" ht="11.4" hidden="1" spans="28:44">
      <c r="AB67" s="3363"/>
      <c r="AC67" s="3363"/>
      <c r="AD67" s="3363"/>
      <c r="AE67" s="3363"/>
      <c r="AF67" s="3363"/>
      <c r="AG67" s="3363"/>
      <c r="AH67" s="3363"/>
      <c r="AI67"/>
      <c r="AJ67"/>
      <c r="AK67" s="3326"/>
      <c r="AN67"/>
      <c r="AO67"/>
      <c r="AR67" s="3326"/>
    </row>
    <row r="68" s="3328" customFormat="1" hidden="1" customHeight="1" spans="1:44">
      <c r="A68" s="3335">
        <f>A27+1</f>
        <v>5</v>
      </c>
      <c r="B68" s="3315"/>
      <c r="C68" s="3322" t="s">
        <v>1783</v>
      </c>
      <c r="D68" s="3315"/>
      <c r="E68" s="3383"/>
      <c r="F68" s="3384"/>
      <c r="G68"/>
      <c r="H68"/>
      <c r="I68"/>
      <c r="J68"/>
      <c r="K68"/>
      <c r="L68"/>
      <c r="M68"/>
      <c r="N68"/>
      <c r="O68"/>
      <c r="P68"/>
      <c r="Q68"/>
      <c r="R68"/>
      <c r="S68"/>
      <c r="T68" s="3392"/>
      <c r="U68" s="3392"/>
      <c r="V68" s="3392"/>
      <c r="W68" s="3392"/>
      <c r="X68" s="3392"/>
      <c r="Y68" s="3392"/>
      <c r="Z68" s="3392"/>
      <c r="AA68" s="94"/>
      <c r="AB68" s="5081" t="str">
        <f>+AB55</f>
        <v>2021</v>
      </c>
      <c r="AC68" s="3355"/>
      <c r="AD68" s="3355"/>
      <c r="AE68" s="3355"/>
      <c r="AF68" s="3355"/>
      <c r="AG68" s="3355"/>
      <c r="AH68" s="3355"/>
      <c r="AI68" s="64"/>
      <c r="AJ68" s="5082" t="s">
        <v>1784</v>
      </c>
      <c r="AK68" s="3397"/>
      <c r="AL68" s="3397"/>
      <c r="AM68" s="3397"/>
      <c r="AN68" s="3397"/>
      <c r="AO68" s="3397"/>
      <c r="AP68" s="3397"/>
      <c r="AR68" s="3399"/>
    </row>
    <row r="69" s="3328" customFormat="1" ht="9.2" hidden="1" customHeight="1" spans="1:44">
      <c r="A69" s="3335"/>
      <c r="B69" s="3315"/>
      <c r="C69" s="3322"/>
      <c r="D69" s="3315"/>
      <c r="E69" s="3383"/>
      <c r="F69" s="3384"/>
      <c r="G69"/>
      <c r="H69"/>
      <c r="I69"/>
      <c r="J69"/>
      <c r="K69"/>
      <c r="L69"/>
      <c r="M69"/>
      <c r="N69"/>
      <c r="O69"/>
      <c r="P69"/>
      <c r="Q69"/>
      <c r="R69"/>
      <c r="S69"/>
      <c r="T69" s="3392"/>
      <c r="U69" s="3392"/>
      <c r="V69" s="3392"/>
      <c r="W69" s="3392"/>
      <c r="X69" s="3392"/>
      <c r="Y69" s="3392"/>
      <c r="Z69" s="3392"/>
      <c r="AA69" s="94"/>
      <c r="AB69" s="3392"/>
      <c r="AC69" s="3392"/>
      <c r="AD69" s="3392"/>
      <c r="AE69" s="3392"/>
      <c r="AF69" s="3392"/>
      <c r="AG69" s="3392"/>
      <c r="AH69" s="3392"/>
      <c r="AK69" s="3398"/>
      <c r="AR69" s="3399"/>
    </row>
    <row r="70" s="3328" customFormat="1" hidden="1" customHeight="1" spans="1:44">
      <c r="A70" s="3335"/>
      <c r="B70" s="3315"/>
      <c r="C70" s="2877" t="s">
        <v>1785</v>
      </c>
      <c r="D70" s="3339"/>
      <c r="E70" s="3339"/>
      <c r="F70" s="3339"/>
      <c r="G70" s="3339"/>
      <c r="H70" s="3339"/>
      <c r="I70" s="3339"/>
      <c r="J70" s="3339"/>
      <c r="K70" s="3339"/>
      <c r="L70" s="3339"/>
      <c r="M70" s="3339"/>
      <c r="N70" s="3339"/>
      <c r="O70" s="3339"/>
      <c r="P70" s="3339"/>
      <c r="Q70" s="3339"/>
      <c r="R70" s="3339"/>
      <c r="S70" s="3339"/>
      <c r="T70" s="3339"/>
      <c r="U70" s="3339"/>
      <c r="V70" s="3339"/>
      <c r="W70" s="3339"/>
      <c r="X70" s="3339"/>
      <c r="Y70" s="3339"/>
      <c r="Z70" s="3339"/>
      <c r="AA70" s="3339"/>
      <c r="AB70" s="3393">
        <f>'C'!K14</f>
        <v>0</v>
      </c>
      <c r="AC70" s="3393"/>
      <c r="AD70" s="3393"/>
      <c r="AE70" s="3393"/>
      <c r="AF70" s="3393"/>
      <c r="AG70" s="3393"/>
      <c r="AH70" s="3393"/>
      <c r="AI70" s="3339"/>
      <c r="AJ70">
        <v>0</v>
      </c>
      <c r="AK70"/>
      <c r="AL70"/>
      <c r="AM70"/>
      <c r="AN70"/>
      <c r="AO70"/>
      <c r="AP70"/>
      <c r="AR70" s="3399"/>
    </row>
    <row r="71" s="3328" customFormat="1" hidden="1" customHeight="1" spans="1:44">
      <c r="A71" s="3335"/>
      <c r="B71" s="3315"/>
      <c r="C71" s="2877" t="s">
        <v>1786</v>
      </c>
      <c r="D71" s="3339"/>
      <c r="E71" s="3339"/>
      <c r="F71" s="3339"/>
      <c r="G71" s="3339"/>
      <c r="H71" s="3339"/>
      <c r="I71" s="3339"/>
      <c r="J71" s="3339"/>
      <c r="K71" s="3339"/>
      <c r="L71" s="3339"/>
      <c r="M71" s="3339"/>
      <c r="N71" s="3339"/>
      <c r="O71" s="3339"/>
      <c r="P71" s="3339"/>
      <c r="Q71" s="3339"/>
      <c r="R71" s="3339"/>
      <c r="S71" s="3339"/>
      <c r="T71"/>
      <c r="U71"/>
      <c r="V71"/>
      <c r="W71"/>
      <c r="X71"/>
      <c r="Y71"/>
      <c r="Z71"/>
      <c r="AA71" s="3339"/>
      <c r="AB71" s="3393">
        <f>'C'!K15</f>
        <v>0</v>
      </c>
      <c r="AC71" s="3393"/>
      <c r="AD71" s="3393"/>
      <c r="AE71" s="3393"/>
      <c r="AF71" s="3393"/>
      <c r="AG71" s="3393"/>
      <c r="AH71" s="3393"/>
      <c r="AI71"/>
      <c r="AJ71">
        <v>0</v>
      </c>
      <c r="AK71"/>
      <c r="AL71"/>
      <c r="AM71"/>
      <c r="AN71"/>
      <c r="AO71"/>
      <c r="AP71"/>
      <c r="AR71" s="3399"/>
    </row>
    <row r="72" s="3328" customFormat="1" ht="4.5" hidden="1" customHeight="1" spans="1:44">
      <c r="A72" s="3335"/>
      <c r="B72" s="3315"/>
      <c r="C72" s="3322"/>
      <c r="D72" s="3315"/>
      <c r="E72" s="3383"/>
      <c r="F72" s="3384"/>
      <c r="G72"/>
      <c r="H72"/>
      <c r="I72"/>
      <c r="J72"/>
      <c r="K72"/>
      <c r="L72"/>
      <c r="M72"/>
      <c r="N72"/>
      <c r="O72"/>
      <c r="P72"/>
      <c r="Q72"/>
      <c r="R72"/>
      <c r="S72"/>
      <c r="T72" s="3392"/>
      <c r="U72" s="3392"/>
      <c r="V72" s="3392"/>
      <c r="W72" s="3392"/>
      <c r="X72" s="3392"/>
      <c r="Y72" s="3392"/>
      <c r="Z72" s="3392"/>
      <c r="AA72" s="94"/>
      <c r="AB72" s="3392"/>
      <c r="AC72" s="3392"/>
      <c r="AD72" s="3392"/>
      <c r="AE72" s="3392"/>
      <c r="AF72" s="3392"/>
      <c r="AG72" s="3392"/>
      <c r="AH72" s="3392"/>
      <c r="AJ72" s="3328">
        <v>0</v>
      </c>
      <c r="AK72" s="3398"/>
      <c r="AR72" s="3399"/>
    </row>
    <row r="73" s="3328" customFormat="1" hidden="1" customHeight="1" spans="1:44">
      <c r="A73" s="3335"/>
      <c r="B73" s="3315"/>
      <c r="C73" s="1952" t="s">
        <v>1787</v>
      </c>
      <c r="D73" s="3315"/>
      <c r="E73" s="3383"/>
      <c r="F73" s="3384"/>
      <c r="G73"/>
      <c r="H73"/>
      <c r="I73"/>
      <c r="J73"/>
      <c r="K73"/>
      <c r="L73"/>
      <c r="M73"/>
      <c r="N73"/>
      <c r="O73"/>
      <c r="P73"/>
      <c r="Q73"/>
      <c r="R73"/>
      <c r="S73"/>
      <c r="T73" s="3392"/>
      <c r="U73" s="3392"/>
      <c r="V73" s="3392"/>
      <c r="W73" s="3392"/>
      <c r="X73" s="3392"/>
      <c r="Y73" s="3392"/>
      <c r="Z73" s="3392"/>
      <c r="AA73" s="94"/>
      <c r="AB73" s="3324">
        <f>SUM(AB70:AH72)</f>
        <v>0</v>
      </c>
      <c r="AC73" s="3324"/>
      <c r="AD73" s="3324"/>
      <c r="AE73" s="3324"/>
      <c r="AF73" s="3324"/>
      <c r="AG73" s="3324"/>
      <c r="AH73" s="3324"/>
      <c r="AI73" s="94"/>
      <c r="AJ73" s="3324">
        <f>SUM(AJ70:AP72)</f>
        <v>0</v>
      </c>
      <c r="AK73" s="3324"/>
      <c r="AL73" s="3324"/>
      <c r="AM73" s="3324"/>
      <c r="AN73" s="3324"/>
      <c r="AO73" s="3324"/>
      <c r="AP73" s="3324"/>
      <c r="AR73" s="3399"/>
    </row>
    <row r="74" s="3328" customFormat="1" ht="9.2" hidden="1" customHeight="1" spans="1:44">
      <c r="A74" s="3335"/>
      <c r="B74" s="3315"/>
      <c r="C74" s="1952"/>
      <c r="D74" s="3315"/>
      <c r="E74" s="3383"/>
      <c r="F74" s="3384"/>
      <c r="G74"/>
      <c r="H74"/>
      <c r="I74"/>
      <c r="J74"/>
      <c r="K74"/>
      <c r="L74"/>
      <c r="M74"/>
      <c r="N74"/>
      <c r="O74"/>
      <c r="P74"/>
      <c r="Q74"/>
      <c r="R74"/>
      <c r="S74"/>
      <c r="T74" s="3392"/>
      <c r="U74" s="3392"/>
      <c r="V74" s="3392"/>
      <c r="W74" s="3392"/>
      <c r="X74" s="3392"/>
      <c r="Y74" s="3392"/>
      <c r="Z74" s="3392"/>
      <c r="AA74" s="94"/>
      <c r="AB74"/>
      <c r="AC74"/>
      <c r="AD74"/>
      <c r="AE74"/>
      <c r="AF74"/>
      <c r="AG74"/>
      <c r="AH74"/>
      <c r="AI74"/>
      <c r="AJ74"/>
      <c r="AK74"/>
      <c r="AL74"/>
      <c r="AM74"/>
      <c r="AN74"/>
      <c r="AO74"/>
      <c r="AP74"/>
      <c r="AR74" s="3399"/>
    </row>
    <row r="75" s="3328" customFormat="1" hidden="1" spans="1:44">
      <c r="A75" s="3335"/>
      <c r="B75" s="3315"/>
      <c r="C75" s="3339" t="s">
        <v>1788</v>
      </c>
      <c r="D75" s="3339"/>
      <c r="E75" s="3339"/>
      <c r="F75" s="3339"/>
      <c r="G75" s="3339"/>
      <c r="H75" s="3339"/>
      <c r="I75" s="3339"/>
      <c r="J75" s="3339"/>
      <c r="K75" s="3339"/>
      <c r="L75" s="3339"/>
      <c r="M75" s="3339"/>
      <c r="N75" s="3339"/>
      <c r="O75" s="3339"/>
      <c r="P75" s="3339"/>
      <c r="Q75" s="3339"/>
      <c r="R75" s="3339"/>
      <c r="S75" s="3339"/>
      <c r="T75" s="3339"/>
      <c r="U75" s="3339"/>
      <c r="V75" s="3339"/>
      <c r="W75" s="3339"/>
      <c r="X75" s="3339"/>
      <c r="Y75" s="3339"/>
      <c r="Z75" s="3339"/>
      <c r="AA75" s="3339"/>
      <c r="AB75" s="3339"/>
      <c r="AC75" s="3339"/>
      <c r="AD75" s="3339"/>
      <c r="AE75" s="3339"/>
      <c r="AF75" s="3339"/>
      <c r="AG75" s="3339"/>
      <c r="AH75" s="3339"/>
      <c r="AI75" s="3339"/>
      <c r="AJ75" s="3339"/>
      <c r="AK75" s="3339"/>
      <c r="AL75" s="3339"/>
      <c r="AM75" s="3339"/>
      <c r="AN75" s="3339"/>
      <c r="AO75" s="3339"/>
      <c r="AP75" s="3339"/>
      <c r="AR75" s="3399"/>
    </row>
    <row r="76" s="3328" customFormat="1" hidden="1" spans="1:44">
      <c r="A76" s="3335"/>
      <c r="B76" s="3315"/>
      <c r="C76" s="3339"/>
      <c r="D76" s="3339"/>
      <c r="E76" s="3339"/>
      <c r="F76" s="3339"/>
      <c r="G76" s="3339"/>
      <c r="H76" s="3339"/>
      <c r="I76" s="3339"/>
      <c r="J76" s="3339"/>
      <c r="K76" s="3339"/>
      <c r="L76" s="3339"/>
      <c r="M76" s="3339"/>
      <c r="N76" s="3339"/>
      <c r="O76" s="3339"/>
      <c r="P76" s="3339"/>
      <c r="Q76" s="3339"/>
      <c r="R76" s="3339"/>
      <c r="S76" s="3339"/>
      <c r="T76" s="3339"/>
      <c r="U76" s="3339"/>
      <c r="V76" s="3339"/>
      <c r="W76" s="3339"/>
      <c r="X76" s="3339"/>
      <c r="Y76" s="3339"/>
      <c r="Z76" s="3339"/>
      <c r="AA76" s="3339"/>
      <c r="AB76" s="3339"/>
      <c r="AC76" s="3339"/>
      <c r="AD76" s="3339"/>
      <c r="AE76" s="3339"/>
      <c r="AF76" s="3339"/>
      <c r="AG76" s="3339"/>
      <c r="AH76" s="3339"/>
      <c r="AI76" s="3339"/>
      <c r="AJ76" s="3339"/>
      <c r="AK76" s="3339"/>
      <c r="AL76" s="3339"/>
      <c r="AM76" s="3339"/>
      <c r="AN76" s="3339"/>
      <c r="AO76" s="3339"/>
      <c r="AP76" s="3339"/>
      <c r="AR76" s="3399"/>
    </row>
    <row r="77" s="3328" customFormat="1" hidden="1" spans="1:44">
      <c r="A77" s="3335"/>
      <c r="B77" s="3315"/>
      <c r="C77" s="3339"/>
      <c r="D77" s="3339"/>
      <c r="E77" s="3339"/>
      <c r="F77" s="3339"/>
      <c r="G77" s="3339"/>
      <c r="H77" s="3339"/>
      <c r="I77" s="3339"/>
      <c r="J77" s="3339"/>
      <c r="K77" s="3339"/>
      <c r="L77" s="3339"/>
      <c r="M77" s="3339"/>
      <c r="N77" s="3339"/>
      <c r="O77" s="3339"/>
      <c r="P77" s="3339"/>
      <c r="Q77" s="3339"/>
      <c r="R77" s="3339"/>
      <c r="S77" s="3339"/>
      <c r="T77" s="3339"/>
      <c r="U77" s="3339"/>
      <c r="V77" s="3339"/>
      <c r="W77" s="3339"/>
      <c r="X77" s="3339"/>
      <c r="Y77" s="3339"/>
      <c r="Z77" s="3339"/>
      <c r="AA77" s="3339"/>
      <c r="AB77" s="3339"/>
      <c r="AC77" s="3339"/>
      <c r="AD77" s="3339"/>
      <c r="AE77" s="3339"/>
      <c r="AF77" s="3339"/>
      <c r="AG77" s="3339"/>
      <c r="AH77" s="3339"/>
      <c r="AI77" s="3339"/>
      <c r="AJ77" s="3339"/>
      <c r="AK77" s="3339"/>
      <c r="AL77" s="3339"/>
      <c r="AM77" s="3339"/>
      <c r="AN77" s="3339"/>
      <c r="AO77" s="3339"/>
      <c r="AP77" s="3339"/>
      <c r="AR77" s="3399"/>
    </row>
    <row r="78" s="3328" customFormat="1" ht="15" customHeight="1" spans="44:44">
      <c r="AR78" s="3399"/>
    </row>
    <row r="79" s="3329" customFormat="1" spans="1:42">
      <c r="A79" s="3335">
        <f>+A27+1</f>
        <v>5</v>
      </c>
      <c r="B79" s="3315"/>
      <c r="C79" s="94" t="s">
        <v>1789</v>
      </c>
      <c r="D79" s="3315"/>
      <c r="E79" s="3315"/>
      <c r="F79" s="3315"/>
      <c r="G79" s="3315"/>
      <c r="H79" s="3315"/>
      <c r="I79" s="3315"/>
      <c r="J79" s="3315"/>
      <c r="K79" s="3315"/>
      <c r="L79" s="3315"/>
      <c r="M79" s="3315"/>
      <c r="N79" s="3315"/>
      <c r="O79" s="3315"/>
      <c r="P79" s="3315"/>
      <c r="Q79" s="3315"/>
      <c r="R79" s="3315"/>
      <c r="S79" s="3315"/>
      <c r="T79" s="3315"/>
      <c r="U79" s="3315"/>
      <c r="V79" s="3315"/>
      <c r="W79" s="3315"/>
      <c r="X79" s="3315"/>
      <c r="Y79" s="3315"/>
      <c r="Z79" s="3315"/>
      <c r="AB79" s="5081" t="str">
        <f>+AB7</f>
        <v>2021</v>
      </c>
      <c r="AC79" s="3355"/>
      <c r="AD79" s="3355"/>
      <c r="AE79" s="3355"/>
      <c r="AF79" s="3355"/>
      <c r="AG79" s="3355"/>
      <c r="AH79" s="3355"/>
      <c r="AI79" s="64"/>
      <c r="AJ79" s="5081" t="str">
        <f>+AJ7</f>
        <v>2020</v>
      </c>
      <c r="AK79" s="3355"/>
      <c r="AL79" s="3355"/>
      <c r="AM79" s="3355"/>
      <c r="AN79" s="3355"/>
      <c r="AO79" s="3355"/>
      <c r="AP79" s="3355"/>
    </row>
    <row r="80" s="3329" customFormat="1" ht="9.2" customHeight="1" spans="1:42">
      <c r="A80" s="3335"/>
      <c r="B80" s="3315"/>
      <c r="C80" s="94"/>
      <c r="D80" s="3315"/>
      <c r="E80" s="3315"/>
      <c r="F80" s="3315"/>
      <c r="G80" s="3315"/>
      <c r="H80" s="3315"/>
      <c r="I80" s="3315"/>
      <c r="J80" s="3315"/>
      <c r="K80" s="3315"/>
      <c r="L80" s="3315"/>
      <c r="M80" s="3315"/>
      <c r="N80" s="3315"/>
      <c r="O80" s="3315"/>
      <c r="P80" s="3315"/>
      <c r="Q80" s="3315"/>
      <c r="R80" s="3315"/>
      <c r="S80" s="3315"/>
      <c r="T80" s="3315"/>
      <c r="U80" s="3315"/>
      <c r="V80" s="3315"/>
      <c r="W80" s="3315"/>
      <c r="X80" s="3315"/>
      <c r="Y80" s="3315"/>
      <c r="Z80" s="3315"/>
      <c r="AP80" s="3328"/>
    </row>
    <row r="81" s="3329" customFormat="1" spans="1:42">
      <c r="A81" s="3335"/>
      <c r="B81" s="3315"/>
      <c r="C81" s="5044" t="s">
        <v>1790</v>
      </c>
      <c r="D81" s="3315"/>
      <c r="E81" s="3315"/>
      <c r="F81" s="3315"/>
      <c r="G81" s="3315"/>
      <c r="H81" s="3315"/>
      <c r="I81" s="3315"/>
      <c r="J81" s="3315"/>
      <c r="K81" s="3315"/>
      <c r="L81" s="3315"/>
      <c r="M81" s="3315"/>
      <c r="N81" s="3315"/>
      <c r="O81" s="3315"/>
      <c r="P81" s="3315"/>
      <c r="Q81" s="3315"/>
      <c r="R81" s="3315"/>
      <c r="S81" s="3315"/>
      <c r="T81" s="3315"/>
      <c r="U81" s="3315"/>
      <c r="V81" s="3315"/>
      <c r="W81" s="3315"/>
      <c r="X81" s="3315"/>
      <c r="Y81" s="3315"/>
      <c r="Z81" s="3315"/>
      <c r="AP81" s="3328"/>
    </row>
    <row r="82" s="3329" customFormat="1" ht="9.2" customHeight="1" spans="1:44">
      <c r="A82" s="3335"/>
      <c r="B82" s="3315"/>
      <c r="C82" s="3322"/>
      <c r="D82" s="3315"/>
      <c r="E82" s="3315"/>
      <c r="F82" s="3315"/>
      <c r="G82" s="3315"/>
      <c r="H82" s="3315"/>
      <c r="I82" s="3315"/>
      <c r="J82" s="3315"/>
      <c r="K82" s="3315"/>
      <c r="L82" s="3315"/>
      <c r="M82" s="3315"/>
      <c r="N82" s="3315"/>
      <c r="O82" s="3315"/>
      <c r="P82" s="3315"/>
      <c r="Q82" s="3315"/>
      <c r="R82" s="3315"/>
      <c r="S82" s="3315"/>
      <c r="T82" s="3315"/>
      <c r="U82" s="3315"/>
      <c r="V82" s="3315"/>
      <c r="W82" s="3315"/>
      <c r="X82" s="3315"/>
      <c r="Y82" s="3315"/>
      <c r="Z82" s="3315"/>
      <c r="AA82" s="3315"/>
      <c r="AB82" s="3315"/>
      <c r="AC82" s="3315"/>
      <c r="AD82" s="3315"/>
      <c r="AE82" s="3315"/>
      <c r="AF82" s="3315"/>
      <c r="AG82" s="3315"/>
      <c r="AH82" s="3315"/>
      <c r="AI82" s="3315"/>
      <c r="AJ82" s="3315"/>
      <c r="AK82" s="3328"/>
      <c r="AL82" s="3328"/>
      <c r="AM82" s="3328"/>
      <c r="AN82" s="3315"/>
      <c r="AO82" s="3315"/>
      <c r="AP82" s="3328"/>
      <c r="AR82" s="3400"/>
    </row>
    <row r="83" s="3329" customFormat="1" hidden="1" customHeight="1" spans="1:57">
      <c r="A83" s="3328"/>
      <c r="B83" s="3328"/>
      <c r="C83" s="1" t="str">
        <f>+D!C14</f>
        <v>PT Mulya Tara Mandiri</v>
      </c>
      <c r="D83" s="3339"/>
      <c r="E83" s="3339"/>
      <c r="F83" s="3339"/>
      <c r="G83" s="3339"/>
      <c r="H83" s="3339"/>
      <c r="I83" s="3339"/>
      <c r="J83" s="3339"/>
      <c r="K83" s="3339"/>
      <c r="L83" s="3339"/>
      <c r="M83" s="3339"/>
      <c r="N83" s="3339"/>
      <c r="O83" s="3339"/>
      <c r="P83" s="3339"/>
      <c r="Q83" s="3339"/>
      <c r="R83" s="3339"/>
      <c r="S83" s="3339"/>
      <c r="T83" s="94"/>
      <c r="U83" s="94"/>
      <c r="V83" s="94"/>
      <c r="W83" s="94"/>
      <c r="X83" s="94"/>
      <c r="Y83" s="94"/>
      <c r="Z83" s="94"/>
      <c r="AA83" s="3339"/>
      <c r="AB83" s="3363">
        <f>+D!Q14</f>
        <v>0</v>
      </c>
      <c r="AC83" s="3363"/>
      <c r="AD83" s="3363"/>
      <c r="AE83" s="3363"/>
      <c r="AF83" s="3363"/>
      <c r="AG83" s="3363"/>
      <c r="AH83" s="3363"/>
      <c r="AI83"/>
      <c r="AJ83" s="3363">
        <f>+D!R14</f>
        <v>0</v>
      </c>
      <c r="AK83" s="3363"/>
      <c r="AL83" s="3363"/>
      <c r="AM83" s="3363"/>
      <c r="AN83" s="3363"/>
      <c r="AO83" s="3363"/>
      <c r="AP83" s="3363"/>
      <c r="AS83" s="1"/>
      <c r="AT83" s="3339"/>
      <c r="AU83" s="3339"/>
      <c r="AV83" s="3339"/>
      <c r="AW83" s="3339"/>
      <c r="AX83" s="3339"/>
      <c r="AY83" s="3339"/>
      <c r="AZ83" s="3339"/>
      <c r="BA83" s="3339"/>
      <c r="BB83" s="3339"/>
      <c r="BC83" s="3339"/>
      <c r="BD83" s="3339"/>
      <c r="BE83" s="3339"/>
    </row>
    <row r="84" s="3329" customFormat="1" customHeight="1" spans="1:45">
      <c r="A84" s="3328"/>
      <c r="B84" s="3328"/>
      <c r="C84" s="1" t="s">
        <v>1791</v>
      </c>
      <c r="D84" s="3339"/>
      <c r="E84" s="3339"/>
      <c r="F84" s="3339"/>
      <c r="G84" s="3339"/>
      <c r="H84" s="3339"/>
      <c r="I84" s="3339"/>
      <c r="J84" s="3339"/>
      <c r="K84" s="3339"/>
      <c r="L84" s="3339"/>
      <c r="M84" s="3339"/>
      <c r="N84" s="3339"/>
      <c r="O84" s="3339"/>
      <c r="P84" s="3339"/>
      <c r="Q84" s="3339"/>
      <c r="R84" s="3339"/>
      <c r="S84" s="3339"/>
      <c r="T84"/>
      <c r="U84"/>
      <c r="V84"/>
      <c r="W84"/>
      <c r="X84"/>
      <c r="Y84"/>
      <c r="Z84"/>
      <c r="AA84" s="3339"/>
      <c r="AB84" s="3363">
        <f>+D!Q15+D!Q23</f>
        <v>8876000000</v>
      </c>
      <c r="AC84" s="3363"/>
      <c r="AD84" s="3363"/>
      <c r="AE84" s="3363"/>
      <c r="AF84" s="3363"/>
      <c r="AG84" s="3363"/>
      <c r="AH84" s="3363"/>
      <c r="AI84"/>
      <c r="AJ84" s="3363">
        <f>+D!R15+D!R23</f>
        <v>0</v>
      </c>
      <c r="AK84" s="3363"/>
      <c r="AL84" s="3363"/>
      <c r="AM84" s="3363"/>
      <c r="AN84" s="3363"/>
      <c r="AO84" s="3363"/>
      <c r="AP84" s="3363"/>
      <c r="AS84" s="3400"/>
    </row>
    <row r="85" s="3329" customFormat="1" spans="1:45">
      <c r="A85" s="3328"/>
      <c r="B85" s="3328"/>
      <c r="C85" s="1" t="s">
        <v>1792</v>
      </c>
      <c r="D85" s="3339"/>
      <c r="E85" s="3339"/>
      <c r="F85" s="3339"/>
      <c r="G85" s="3339"/>
      <c r="H85" s="3339"/>
      <c r="I85" s="3339"/>
      <c r="J85" s="3339"/>
      <c r="K85" s="3339"/>
      <c r="L85" s="3339"/>
      <c r="M85" s="3339"/>
      <c r="N85" s="3339"/>
      <c r="O85" s="3339"/>
      <c r="P85" s="3339"/>
      <c r="Q85" s="3339"/>
      <c r="R85" s="3339"/>
      <c r="S85" s="3339"/>
      <c r="T85" s="94"/>
      <c r="U85" s="94"/>
      <c r="V85" s="94"/>
      <c r="W85" s="94"/>
      <c r="X85" s="94"/>
      <c r="Y85" s="94"/>
      <c r="Z85" s="94"/>
      <c r="AA85" s="3339"/>
      <c r="AB85" s="3363">
        <f>+D!Q16</f>
        <v>2000000000</v>
      </c>
      <c r="AC85" s="3363"/>
      <c r="AD85" s="3363"/>
      <c r="AE85" s="3363"/>
      <c r="AF85" s="3363"/>
      <c r="AG85" s="3363"/>
      <c r="AH85" s="3363"/>
      <c r="AI85"/>
      <c r="AJ85" s="3363">
        <f>+D!R16</f>
        <v>2000000000</v>
      </c>
      <c r="AK85" s="3363"/>
      <c r="AL85" s="3363"/>
      <c r="AM85" s="3363"/>
      <c r="AN85" s="3363"/>
      <c r="AO85" s="3363"/>
      <c r="AP85" s="3363"/>
      <c r="AS85" s="3400"/>
    </row>
    <row r="86" s="3329" customFormat="1" customHeight="1" spans="1:45">
      <c r="A86" s="3328"/>
      <c r="B86" s="3328"/>
      <c r="C86" s="1" t="s">
        <v>1793</v>
      </c>
      <c r="D86" s="3339"/>
      <c r="E86" s="3339"/>
      <c r="F86" s="3339"/>
      <c r="G86" s="3339"/>
      <c r="H86" s="3339"/>
      <c r="I86" s="3339"/>
      <c r="J86" s="3339"/>
      <c r="K86" s="3339"/>
      <c r="L86" s="3339"/>
      <c r="M86" s="3339"/>
      <c r="N86" s="3339"/>
      <c r="O86" s="3339"/>
      <c r="P86" s="3339"/>
      <c r="Q86" s="3339"/>
      <c r="R86" s="3339"/>
      <c r="S86" s="3339"/>
      <c r="T86" s="94"/>
      <c r="U86" s="94"/>
      <c r="V86" s="94"/>
      <c r="W86" s="94"/>
      <c r="X86" s="94"/>
      <c r="Y86" s="94"/>
      <c r="Z86" s="94"/>
      <c r="AA86" s="3339"/>
      <c r="AB86" s="3363">
        <f>+D!Q17</f>
        <v>1000000000</v>
      </c>
      <c r="AC86" s="3363"/>
      <c r="AD86" s="3363"/>
      <c r="AE86" s="3363"/>
      <c r="AF86" s="3363"/>
      <c r="AG86" s="3363"/>
      <c r="AH86" s="3363"/>
      <c r="AI86"/>
      <c r="AJ86" s="3363">
        <f>+D!R17</f>
        <v>1000000000</v>
      </c>
      <c r="AK86" s="3363"/>
      <c r="AL86" s="3363"/>
      <c r="AM86" s="3363"/>
      <c r="AN86" s="3363"/>
      <c r="AO86" s="3363"/>
      <c r="AP86" s="3363"/>
      <c r="AS86" s="3400"/>
    </row>
    <row r="87" s="3329" customFormat="1" customHeight="1" spans="1:45">
      <c r="A87" s="3328"/>
      <c r="B87" s="3328"/>
      <c r="C87" s="1" t="s">
        <v>1794</v>
      </c>
      <c r="D87" s="3339"/>
      <c r="E87" s="3339"/>
      <c r="F87" s="3339"/>
      <c r="G87" s="3339"/>
      <c r="H87" s="3339"/>
      <c r="I87" s="3339"/>
      <c r="J87" s="3339"/>
      <c r="K87" s="3339"/>
      <c r="L87" s="3339"/>
      <c r="M87" s="3339"/>
      <c r="N87" s="3339"/>
      <c r="O87" s="3339"/>
      <c r="P87" s="3339"/>
      <c r="Q87" s="3339"/>
      <c r="R87" s="3339"/>
      <c r="S87" s="3339"/>
      <c r="T87" s="94"/>
      <c r="U87" s="94"/>
      <c r="V87" s="94"/>
      <c r="W87" s="94"/>
      <c r="X87" s="94"/>
      <c r="Y87" s="94"/>
      <c r="Z87" s="94"/>
      <c r="AA87" s="3339"/>
      <c r="AB87" s="3363">
        <f>+D!Q18</f>
        <v>114400000</v>
      </c>
      <c r="AC87" s="3363"/>
      <c r="AD87" s="3363"/>
      <c r="AE87" s="3363"/>
      <c r="AF87" s="3363"/>
      <c r="AG87" s="3363"/>
      <c r="AH87" s="3363"/>
      <c r="AI87"/>
      <c r="AJ87" s="3363">
        <f>+D!R18</f>
        <v>114400000</v>
      </c>
      <c r="AK87" s="3363"/>
      <c r="AL87" s="3363"/>
      <c r="AM87" s="3363"/>
      <c r="AN87" s="3363"/>
      <c r="AO87" s="3363"/>
      <c r="AP87" s="3363"/>
      <c r="AS87" s="3400"/>
    </row>
    <row r="88" s="3329" customFormat="1" customHeight="1" spans="1:45">
      <c r="A88" s="3328"/>
      <c r="B88" s="3328"/>
      <c r="C88" s="1" t="s">
        <v>1795</v>
      </c>
      <c r="D88" s="3339"/>
      <c r="E88" s="3339"/>
      <c r="F88" s="3339"/>
      <c r="G88" s="3339"/>
      <c r="H88" s="3339"/>
      <c r="I88" s="3339"/>
      <c r="J88" s="3339"/>
      <c r="K88" s="3339"/>
      <c r="L88" s="3339"/>
      <c r="M88" s="3339"/>
      <c r="N88" s="3339"/>
      <c r="O88" s="3339"/>
      <c r="P88" s="3339"/>
      <c r="Q88" s="3339"/>
      <c r="R88" s="3339"/>
      <c r="S88" s="3339"/>
      <c r="T88" s="94"/>
      <c r="U88" s="94"/>
      <c r="V88" s="94"/>
      <c r="W88" s="94"/>
      <c r="X88" s="94"/>
      <c r="Y88" s="94"/>
      <c r="Z88" s="94"/>
      <c r="AA88" s="3339"/>
      <c r="AB88" s="3363">
        <f>+D!Q19</f>
        <v>0</v>
      </c>
      <c r="AC88" s="3363"/>
      <c r="AD88" s="3363"/>
      <c r="AE88" s="3363"/>
      <c r="AF88" s="3363"/>
      <c r="AG88" s="3363"/>
      <c r="AH88" s="3363"/>
      <c r="AI88"/>
      <c r="AJ88" s="3363">
        <f>+D!R19</f>
        <v>394558185.33</v>
      </c>
      <c r="AK88" s="3363"/>
      <c r="AL88" s="3363"/>
      <c r="AM88" s="3363"/>
      <c r="AN88" s="3363"/>
      <c r="AO88" s="3363"/>
      <c r="AP88" s="3363"/>
      <c r="AS88" s="3400"/>
    </row>
    <row r="89" s="3329" customFormat="1" ht="7.5" customHeight="1" spans="1:45">
      <c r="A89" s="3328"/>
      <c r="B89" s="3328"/>
      <c r="C89" s="1"/>
      <c r="D89" s="3339"/>
      <c r="E89" s="3339"/>
      <c r="F89" s="3339"/>
      <c r="G89" s="3339"/>
      <c r="H89" s="3339"/>
      <c r="I89" s="3339"/>
      <c r="J89" s="3339"/>
      <c r="K89" s="3339"/>
      <c r="L89" s="3339"/>
      <c r="M89" s="3339"/>
      <c r="N89" s="3339"/>
      <c r="O89" s="3339"/>
      <c r="P89" s="3339"/>
      <c r="Q89" s="3339"/>
      <c r="R89" s="3339"/>
      <c r="S89" s="3339"/>
      <c r="T89" s="94"/>
      <c r="U89" s="94"/>
      <c r="V89" s="94"/>
      <c r="W89" s="94"/>
      <c r="X89" s="94"/>
      <c r="Y89" s="94"/>
      <c r="Z89" s="94"/>
      <c r="AA89" s="3339"/>
      <c r="AB89" s="3363"/>
      <c r="AC89" s="3363"/>
      <c r="AD89" s="3363"/>
      <c r="AE89" s="3363"/>
      <c r="AF89" s="3363"/>
      <c r="AG89" s="3363"/>
      <c r="AH89" s="3363"/>
      <c r="AI89"/>
      <c r="AJ89" s="3363"/>
      <c r="AK89" s="3363"/>
      <c r="AL89" s="3363"/>
      <c r="AM89" s="3363"/>
      <c r="AN89" s="3363"/>
      <c r="AO89" s="3363"/>
      <c r="AP89" s="3363"/>
      <c r="AS89" s="3400"/>
    </row>
    <row r="90" s="3329" customFormat="1" spans="1:45">
      <c r="A90" s="3328"/>
      <c r="B90" s="3328"/>
      <c r="C90" s="3315" t="s">
        <v>1796</v>
      </c>
      <c r="D90" s="3339"/>
      <c r="E90" s="3339"/>
      <c r="F90" s="3339"/>
      <c r="G90" s="3339"/>
      <c r="H90" s="3339"/>
      <c r="I90" s="3339"/>
      <c r="J90" s="3339"/>
      <c r="K90" s="3339"/>
      <c r="L90" s="3339"/>
      <c r="M90" s="3339"/>
      <c r="N90" s="3339"/>
      <c r="O90" s="3339"/>
      <c r="P90" s="3339"/>
      <c r="Q90" s="3339"/>
      <c r="R90" s="3339"/>
      <c r="S90" s="3339"/>
      <c r="T90" s="94"/>
      <c r="U90" s="94"/>
      <c r="V90" s="94"/>
      <c r="W90" s="94"/>
      <c r="X90" s="94"/>
      <c r="Y90" s="94"/>
      <c r="Z90" s="94"/>
      <c r="AA90" s="3339"/>
      <c r="AB90" s="3394">
        <f>-D!L23</f>
        <v>-7793760000</v>
      </c>
      <c r="AC90" s="3394"/>
      <c r="AD90" s="3394"/>
      <c r="AE90" s="3394"/>
      <c r="AF90" s="3394"/>
      <c r="AG90" s="3394"/>
      <c r="AH90" s="3394"/>
      <c r="AI90"/>
      <c r="AJ90" s="3363">
        <f>+D!R23</f>
        <v>0</v>
      </c>
      <c r="AK90" s="3363"/>
      <c r="AL90" s="3363"/>
      <c r="AM90" s="3363"/>
      <c r="AN90" s="3363"/>
      <c r="AO90" s="3363"/>
      <c r="AP90" s="3363"/>
      <c r="AS90" s="3400"/>
    </row>
    <row r="91" s="3329" customFormat="1" ht="4.5" customHeight="1" spans="1:45">
      <c r="A91" s="3328"/>
      <c r="B91" s="3328"/>
      <c r="C91" s="3322"/>
      <c r="D91" s="3339"/>
      <c r="E91" s="3339"/>
      <c r="F91" s="3339"/>
      <c r="G91" s="3339"/>
      <c r="H91" s="3339"/>
      <c r="I91" s="3339"/>
      <c r="J91" s="3339"/>
      <c r="K91" s="3339"/>
      <c r="L91" s="3339"/>
      <c r="M91" s="3339"/>
      <c r="N91" s="3339"/>
      <c r="O91" s="3339"/>
      <c r="P91" s="3339"/>
      <c r="Q91" s="3339"/>
      <c r="R91" s="3339"/>
      <c r="S91" s="3339"/>
      <c r="T91" s="94"/>
      <c r="U91" s="94"/>
      <c r="V91" s="94"/>
      <c r="W91" s="94"/>
      <c r="X91" s="94"/>
      <c r="Y91" s="94"/>
      <c r="Z91" s="94"/>
      <c r="AA91" s="3339"/>
      <c r="AB91" s="3363"/>
      <c r="AC91" s="3363"/>
      <c r="AD91" s="3363"/>
      <c r="AE91" s="3363"/>
      <c r="AF91" s="3363"/>
      <c r="AG91" s="3363"/>
      <c r="AH91" s="3363"/>
      <c r="AI91"/>
      <c r="AJ91" s="93"/>
      <c r="AK91" s="93"/>
      <c r="AL91" s="93"/>
      <c r="AM91" s="93"/>
      <c r="AN91" s="93"/>
      <c r="AO91" s="93"/>
      <c r="AP91" s="93"/>
      <c r="AS91" s="3400"/>
    </row>
    <row r="92" s="3329" customFormat="1" customHeight="1" spans="1:45">
      <c r="A92" s="3328"/>
      <c r="B92" s="3328"/>
      <c r="C92" s="3322" t="s">
        <v>1797</v>
      </c>
      <c r="D92" s="3339"/>
      <c r="E92" s="3339"/>
      <c r="F92" s="3339"/>
      <c r="G92" s="3339"/>
      <c r="H92" s="3339"/>
      <c r="I92" s="3339"/>
      <c r="J92" s="3339"/>
      <c r="K92" s="3339"/>
      <c r="L92" s="3339"/>
      <c r="M92" s="3339"/>
      <c r="N92" s="3339"/>
      <c r="O92" s="3339"/>
      <c r="P92" s="3339"/>
      <c r="Q92" s="3339"/>
      <c r="R92" s="3339"/>
      <c r="S92" s="3339"/>
      <c r="T92" s="94"/>
      <c r="U92" s="94"/>
      <c r="V92" s="94"/>
      <c r="W92" s="94"/>
      <c r="X92" s="94"/>
      <c r="Y92" s="94"/>
      <c r="Z92" s="94"/>
      <c r="AA92" s="3339"/>
      <c r="AB92" s="3367">
        <f>SUM(AB83:AH90)</f>
        <v>4196640000</v>
      </c>
      <c r="AC92" s="3367"/>
      <c r="AD92" s="3367"/>
      <c r="AE92" s="3367"/>
      <c r="AF92" s="3367"/>
      <c r="AG92" s="3367"/>
      <c r="AH92" s="3367"/>
      <c r="AI92" s="94"/>
      <c r="AJ92" s="3367">
        <f>SUM(AJ83:AP90)</f>
        <v>3508958185.33</v>
      </c>
      <c r="AK92" s="3367"/>
      <c r="AL92" s="3367"/>
      <c r="AM92" s="3367"/>
      <c r="AN92" s="3367"/>
      <c r="AO92" s="3367"/>
      <c r="AP92" s="3367"/>
      <c r="AS92" s="3400"/>
    </row>
    <row r="93" s="3329" customFormat="1" customHeight="1" spans="1:45">
      <c r="A93" s="3328"/>
      <c r="B93" s="3328"/>
      <c r="C93" s="3322"/>
      <c r="D93" s="3339"/>
      <c r="E93" s="3339"/>
      <c r="F93" s="3339"/>
      <c r="G93" s="3339"/>
      <c r="H93" s="3339"/>
      <c r="I93" s="3339"/>
      <c r="J93" s="3339"/>
      <c r="K93" s="3339"/>
      <c r="L93" s="3339"/>
      <c r="M93" s="3339"/>
      <c r="N93" s="3339"/>
      <c r="O93" s="3339"/>
      <c r="P93" s="3339"/>
      <c r="Q93" s="3339"/>
      <c r="R93" s="3339"/>
      <c r="S93" s="3339"/>
      <c r="T93" s="94"/>
      <c r="U93" s="94"/>
      <c r="V93" s="94"/>
      <c r="W93" s="94"/>
      <c r="X93" s="94"/>
      <c r="Y93" s="94"/>
      <c r="Z93" s="94"/>
      <c r="AA93" s="3339"/>
      <c r="AB93" s="3363">
        <f>+'F1'!K20-AB92</f>
        <v>0</v>
      </c>
      <c r="AC93" s="3363"/>
      <c r="AD93" s="3363"/>
      <c r="AE93" s="3363"/>
      <c r="AF93" s="3363"/>
      <c r="AG93" s="3363"/>
      <c r="AH93" s="3363"/>
      <c r="AI93" s="94"/>
      <c r="AJ93" s="3363">
        <f>+AJ92-'F1'!Q20-'F1'!Q29</f>
        <v>0</v>
      </c>
      <c r="AK93" s="3363"/>
      <c r="AL93" s="3363"/>
      <c r="AM93" s="3363"/>
      <c r="AN93" s="3363"/>
      <c r="AO93" s="3363"/>
      <c r="AP93" s="3363"/>
      <c r="AS93" s="3400"/>
    </row>
    <row r="94" s="3329" customFormat="1" customHeight="1" spans="1:45">
      <c r="A94" s="3328"/>
      <c r="B94" s="3328"/>
      <c r="C94" s="3322"/>
      <c r="D94" s="3339"/>
      <c r="E94" s="3339"/>
      <c r="F94" s="3339"/>
      <c r="G94" s="3339"/>
      <c r="H94" s="3339"/>
      <c r="I94" s="3339"/>
      <c r="J94" s="3339"/>
      <c r="K94" s="3339"/>
      <c r="L94" s="3339"/>
      <c r="M94" s="3339"/>
      <c r="N94" s="3339"/>
      <c r="O94" s="3339"/>
      <c r="P94" s="3339"/>
      <c r="Q94" s="3339"/>
      <c r="R94" s="3339"/>
      <c r="S94" s="3339"/>
      <c r="T94" s="94"/>
      <c r="U94" s="94"/>
      <c r="V94" s="94"/>
      <c r="W94" s="94"/>
      <c r="X94" s="94"/>
      <c r="Y94" s="94"/>
      <c r="Z94" s="94"/>
      <c r="AA94" s="3339"/>
      <c r="AB94" s="3395"/>
      <c r="AC94" s="3395"/>
      <c r="AD94" s="3395"/>
      <c r="AE94" s="3395"/>
      <c r="AF94" s="3395"/>
      <c r="AG94" s="3395"/>
      <c r="AH94" s="3395"/>
      <c r="AI94" s="94"/>
      <c r="AJ94" s="3395"/>
      <c r="AK94" s="3395"/>
      <c r="AL94" s="3395"/>
      <c r="AM94" s="3395"/>
      <c r="AN94" s="3395"/>
      <c r="AO94" s="3395"/>
      <c r="AP94" s="3395"/>
      <c r="AS94" s="3400"/>
    </row>
    <row r="95" s="3329" customFormat="1" ht="13.5" customHeight="1" spans="1:45">
      <c r="A95" s="3328"/>
      <c r="B95" s="3328"/>
      <c r="C95" s="3322"/>
      <c r="D95" s="3339"/>
      <c r="E95" s="3339"/>
      <c r="F95" s="3339"/>
      <c r="G95" s="3339"/>
      <c r="H95" s="3339"/>
      <c r="I95" s="3339"/>
      <c r="J95" s="3339"/>
      <c r="K95" s="3339"/>
      <c r="L95" s="3339"/>
      <c r="M95" s="3339"/>
      <c r="N95" s="3339"/>
      <c r="O95" s="3339"/>
      <c r="P95" s="3339"/>
      <c r="Q95" s="3339"/>
      <c r="R95" s="3339"/>
      <c r="S95" s="3339"/>
      <c r="T95" s="94"/>
      <c r="U95" s="94"/>
      <c r="V95" s="94"/>
      <c r="W95" s="94"/>
      <c r="X95" s="94"/>
      <c r="Y95" s="94"/>
      <c r="Z95" s="94"/>
      <c r="AA95" s="3339"/>
      <c r="AB95" s="3395"/>
      <c r="AC95" s="3395"/>
      <c r="AD95" s="3395"/>
      <c r="AE95" s="3395"/>
      <c r="AF95" s="3395"/>
      <c r="AG95" s="3395"/>
      <c r="AH95" s="3395"/>
      <c r="AI95" s="94"/>
      <c r="AJ95" s="3395"/>
      <c r="AK95" s="3395"/>
      <c r="AL95" s="3395"/>
      <c r="AM95" s="3395"/>
      <c r="AN95" s="3395"/>
      <c r="AO95" s="3395"/>
      <c r="AP95" s="3395"/>
      <c r="AS95" s="3400"/>
    </row>
    <row r="96" s="3329" customFormat="1" customHeight="1" spans="1:45">
      <c r="A96" s="3385">
        <v>9</v>
      </c>
      <c r="B96" s="3385"/>
      <c r="C96" s="3385"/>
      <c r="D96" s="3385"/>
      <c r="E96" s="3385"/>
      <c r="F96" s="3385"/>
      <c r="G96" s="3385"/>
      <c r="H96" s="3385"/>
      <c r="I96" s="3385"/>
      <c r="J96" s="3385"/>
      <c r="K96" s="3385"/>
      <c r="L96" s="3385"/>
      <c r="M96" s="3385"/>
      <c r="N96" s="3385"/>
      <c r="O96" s="3385"/>
      <c r="P96" s="3385"/>
      <c r="Q96" s="3385"/>
      <c r="R96" s="3385"/>
      <c r="S96" s="3385"/>
      <c r="T96" s="3385"/>
      <c r="U96" s="3385"/>
      <c r="V96" s="3385"/>
      <c r="W96" s="3385"/>
      <c r="X96" s="3385"/>
      <c r="Y96" s="3385"/>
      <c r="Z96" s="3385"/>
      <c r="AA96" s="3385"/>
      <c r="AB96" s="3385"/>
      <c r="AC96" s="3385"/>
      <c r="AD96" s="3385"/>
      <c r="AE96" s="3385"/>
      <c r="AF96" s="3385"/>
      <c r="AG96" s="3385"/>
      <c r="AH96" s="3385"/>
      <c r="AI96" s="3385"/>
      <c r="AJ96" s="3385"/>
      <c r="AK96" s="3385"/>
      <c r="AL96" s="3385"/>
      <c r="AM96" s="3385"/>
      <c r="AN96" s="3385"/>
      <c r="AO96" s="3385"/>
      <c r="AP96" s="3385"/>
      <c r="AS96" s="3400"/>
    </row>
    <row r="97" s="3329" customFormat="1" customHeight="1" spans="1:45">
      <c r="A97" s="3335">
        <f>+A79</f>
        <v>5</v>
      </c>
      <c r="B97" s="3315"/>
      <c r="C97" s="94" t="s">
        <v>1798</v>
      </c>
      <c r="D97" s="3315"/>
      <c r="E97" s="3315"/>
      <c r="F97" s="3315"/>
      <c r="G97" s="3315"/>
      <c r="H97" s="3315"/>
      <c r="I97" s="3315"/>
      <c r="J97" s="3315"/>
      <c r="K97" s="3315"/>
      <c r="L97" s="3315"/>
      <c r="M97" s="3315"/>
      <c r="N97" s="3315"/>
      <c r="O97" s="3315"/>
      <c r="P97" s="3315"/>
      <c r="Q97" s="3315"/>
      <c r="R97" s="3315"/>
      <c r="S97" s="3315"/>
      <c r="T97" s="3315"/>
      <c r="U97" s="3315"/>
      <c r="V97" s="3315"/>
      <c r="W97" s="3315"/>
      <c r="X97" s="3315"/>
      <c r="Y97" s="3315"/>
      <c r="Z97" s="94"/>
      <c r="AA97" s="3339"/>
      <c r="AB97" s="3395"/>
      <c r="AC97" s="3395"/>
      <c r="AD97" s="3395"/>
      <c r="AE97" s="3395"/>
      <c r="AF97" s="3395"/>
      <c r="AG97" s="3395"/>
      <c r="AH97" s="3395"/>
      <c r="AI97" s="94"/>
      <c r="AJ97" s="3395"/>
      <c r="AK97" s="3395"/>
      <c r="AL97" s="3395"/>
      <c r="AM97" s="3395"/>
      <c r="AN97" s="3395"/>
      <c r="AO97" s="3395"/>
      <c r="AP97" s="3395"/>
      <c r="AS97" s="3400"/>
    </row>
    <row r="98" s="3329" customFormat="1" customHeight="1" spans="1:45">
      <c r="A98" s="3328"/>
      <c r="B98" s="3328"/>
      <c r="C98" s="3322"/>
      <c r="D98" s="3339"/>
      <c r="E98" s="3339"/>
      <c r="F98" s="3339"/>
      <c r="G98" s="3339"/>
      <c r="H98" s="3339"/>
      <c r="I98" s="3339"/>
      <c r="J98" s="3339"/>
      <c r="K98" s="3339"/>
      <c r="L98" s="3339"/>
      <c r="M98" s="3339"/>
      <c r="N98" s="3339"/>
      <c r="O98" s="3339"/>
      <c r="P98" s="3339"/>
      <c r="Q98" s="3339"/>
      <c r="R98" s="3339"/>
      <c r="S98" s="3339"/>
      <c r="T98" s="94"/>
      <c r="U98" s="94"/>
      <c r="V98" s="94"/>
      <c r="W98" s="94"/>
      <c r="X98" s="94"/>
      <c r="Y98" s="94"/>
      <c r="Z98" s="94"/>
      <c r="AA98" s="3339"/>
      <c r="AB98" s="3395"/>
      <c r="AC98" s="3395"/>
      <c r="AD98" s="3395"/>
      <c r="AE98" s="3395"/>
      <c r="AF98" s="3395"/>
      <c r="AG98" s="3395"/>
      <c r="AH98" s="3395"/>
      <c r="AI98" s="94"/>
      <c r="AJ98" s="3395"/>
      <c r="AK98" s="3395"/>
      <c r="AL98" s="3395"/>
      <c r="AM98" s="3395"/>
      <c r="AN98" s="3395"/>
      <c r="AO98" s="3395"/>
      <c r="AP98" s="3395"/>
      <c r="AS98" s="3400"/>
    </row>
    <row r="99" s="3329" customFormat="1" ht="23.1" customHeight="1" spans="1:45">
      <c r="A99" s="3328"/>
      <c r="B99" s="3328"/>
      <c r="C99" s="5036" t="s">
        <v>1799</v>
      </c>
      <c r="D99" s="3339"/>
      <c r="E99" s="3339"/>
      <c r="F99" s="3339"/>
      <c r="G99" s="3339"/>
      <c r="H99" s="3339"/>
      <c r="I99" s="3339"/>
      <c r="J99" s="3339"/>
      <c r="K99" s="3339"/>
      <c r="L99" s="3339"/>
      <c r="M99" s="3339"/>
      <c r="N99" s="3339"/>
      <c r="O99" s="3339"/>
      <c r="P99" s="3339"/>
      <c r="Q99" s="3339"/>
      <c r="R99" s="3339"/>
      <c r="S99" s="3339"/>
      <c r="T99" s="3339"/>
      <c r="U99" s="3339"/>
      <c r="V99" s="3339"/>
      <c r="W99" s="3339"/>
      <c r="X99" s="3339"/>
      <c r="Y99" s="3339"/>
      <c r="Z99" s="3339"/>
      <c r="AA99" s="3339"/>
      <c r="AB99" s="3339"/>
      <c r="AC99" s="3339"/>
      <c r="AD99" s="3339"/>
      <c r="AE99" s="3339"/>
      <c r="AF99" s="3339"/>
      <c r="AG99" s="3339"/>
      <c r="AH99" s="3339"/>
      <c r="AI99" s="3339"/>
      <c r="AJ99" s="3339"/>
      <c r="AK99" s="3339"/>
      <c r="AL99" s="3339"/>
      <c r="AM99" s="3339"/>
      <c r="AN99" s="3339"/>
      <c r="AO99" s="3339"/>
      <c r="AP99" s="3339"/>
      <c r="AS99" s="3400"/>
    </row>
    <row r="100" s="3329" customFormat="1" ht="8.45" customHeight="1" spans="1:45">
      <c r="A100" s="3328"/>
      <c r="B100" s="3328"/>
      <c r="C100" s="3339"/>
      <c r="D100" s="3339"/>
      <c r="E100" s="3339"/>
      <c r="F100" s="3339"/>
      <c r="G100" s="3339"/>
      <c r="H100" s="3339"/>
      <c r="I100" s="3339"/>
      <c r="J100" s="3339"/>
      <c r="K100" s="3339"/>
      <c r="L100" s="3339"/>
      <c r="M100" s="3339"/>
      <c r="N100" s="3339"/>
      <c r="O100" s="3339"/>
      <c r="P100" s="3339"/>
      <c r="Q100" s="3339"/>
      <c r="R100" s="3339"/>
      <c r="S100" s="3339"/>
      <c r="T100" s="3339"/>
      <c r="U100" s="3339"/>
      <c r="V100" s="3339"/>
      <c r="W100" s="3339"/>
      <c r="X100" s="3339"/>
      <c r="Y100" s="3339"/>
      <c r="Z100" s="3339"/>
      <c r="AA100" s="3339"/>
      <c r="AB100" s="3339"/>
      <c r="AC100" s="3339"/>
      <c r="AD100" s="3339"/>
      <c r="AE100" s="3339"/>
      <c r="AF100" s="3339"/>
      <c r="AG100" s="3339"/>
      <c r="AH100" s="3339"/>
      <c r="AI100" s="3339"/>
      <c r="AJ100" s="3339"/>
      <c r="AK100" s="3339"/>
      <c r="AL100" s="3339"/>
      <c r="AM100" s="3339"/>
      <c r="AN100" s="3339"/>
      <c r="AO100" s="3339"/>
      <c r="AP100" s="3339"/>
      <c r="AS100" s="3400"/>
    </row>
    <row r="101" s="3329" customFormat="1" ht="24.6" customHeight="1" spans="1:45">
      <c r="A101" s="3328"/>
      <c r="B101" s="3328"/>
      <c r="C101" s="5036" t="s">
        <v>1800</v>
      </c>
      <c r="D101" s="3339"/>
      <c r="E101" s="3339"/>
      <c r="F101" s="3339"/>
      <c r="G101" s="3339"/>
      <c r="H101" s="3339"/>
      <c r="I101" s="3339"/>
      <c r="J101" s="3339"/>
      <c r="K101" s="3339"/>
      <c r="L101" s="3339"/>
      <c r="M101" s="3339"/>
      <c r="N101" s="3339"/>
      <c r="O101" s="3339"/>
      <c r="P101" s="3339"/>
      <c r="Q101" s="3339"/>
      <c r="R101" s="3339"/>
      <c r="S101" s="3339"/>
      <c r="T101" s="3339"/>
      <c r="U101" s="3339"/>
      <c r="V101" s="3339"/>
      <c r="W101" s="3339"/>
      <c r="X101" s="3339"/>
      <c r="Y101" s="3339"/>
      <c r="Z101" s="3339"/>
      <c r="AA101" s="3339"/>
      <c r="AB101" s="3339"/>
      <c r="AC101" s="3339"/>
      <c r="AD101" s="3339"/>
      <c r="AE101" s="3339"/>
      <c r="AF101" s="3339"/>
      <c r="AG101" s="3339"/>
      <c r="AH101" s="3339"/>
      <c r="AI101" s="3339"/>
      <c r="AJ101" s="3339"/>
      <c r="AK101" s="3339"/>
      <c r="AL101" s="3339"/>
      <c r="AM101" s="3339"/>
      <c r="AN101" s="3339"/>
      <c r="AO101" s="3339"/>
      <c r="AP101" s="3339"/>
      <c r="AS101" s="3400"/>
    </row>
    <row r="102" s="3329" customFormat="1" ht="8.45" customHeight="1" spans="1:45">
      <c r="A102" s="3328"/>
      <c r="B102" s="3328"/>
      <c r="C102" s="3322"/>
      <c r="D102" s="3339"/>
      <c r="E102" s="3339"/>
      <c r="F102" s="3339"/>
      <c r="G102" s="3339"/>
      <c r="H102" s="3339"/>
      <c r="I102" s="3339"/>
      <c r="J102" s="3339"/>
      <c r="K102" s="3339"/>
      <c r="L102" s="3339"/>
      <c r="M102" s="3339"/>
      <c r="N102" s="3339"/>
      <c r="O102" s="3339"/>
      <c r="P102" s="3339"/>
      <c r="Q102" s="3339"/>
      <c r="R102" s="3339"/>
      <c r="S102" s="3339"/>
      <c r="T102" s="94"/>
      <c r="U102" s="94"/>
      <c r="V102" s="94"/>
      <c r="W102" s="94"/>
      <c r="X102" s="94"/>
      <c r="Y102" s="94"/>
      <c r="Z102" s="94"/>
      <c r="AA102" s="3339"/>
      <c r="AB102" s="3395"/>
      <c r="AC102" s="3395"/>
      <c r="AD102" s="3395"/>
      <c r="AE102" s="3395"/>
      <c r="AF102" s="3395"/>
      <c r="AG102" s="3395"/>
      <c r="AH102" s="3395"/>
      <c r="AI102" s="94"/>
      <c r="AJ102" s="3395"/>
      <c r="AK102" s="3395"/>
      <c r="AL102" s="3395"/>
      <c r="AM102" s="3395"/>
      <c r="AN102" s="3395"/>
      <c r="AO102" s="3395"/>
      <c r="AP102" s="3395"/>
      <c r="AS102" s="3400"/>
    </row>
    <row r="103" s="3329" customFormat="1" ht="23.1" customHeight="1" spans="1:45">
      <c r="A103" s="3328"/>
      <c r="B103" s="3328"/>
      <c r="C103" s="5036" t="s">
        <v>1801</v>
      </c>
      <c r="D103" s="3339"/>
      <c r="E103" s="3339"/>
      <c r="F103" s="3339"/>
      <c r="G103" s="3339"/>
      <c r="H103" s="3339"/>
      <c r="I103" s="3339"/>
      <c r="J103" s="3339"/>
      <c r="K103" s="3339"/>
      <c r="L103" s="3339"/>
      <c r="M103" s="3339"/>
      <c r="N103" s="3339"/>
      <c r="O103" s="3339"/>
      <c r="P103" s="3339"/>
      <c r="Q103" s="3339"/>
      <c r="R103" s="3339"/>
      <c r="S103" s="3339"/>
      <c r="T103" s="3339"/>
      <c r="U103" s="3339"/>
      <c r="V103" s="3339"/>
      <c r="W103" s="3339"/>
      <c r="X103" s="3339"/>
      <c r="Y103" s="3339"/>
      <c r="Z103" s="3339"/>
      <c r="AA103" s="3339"/>
      <c r="AB103" s="3339"/>
      <c r="AC103" s="3339"/>
      <c r="AD103" s="3339"/>
      <c r="AE103" s="3339"/>
      <c r="AF103" s="3339"/>
      <c r="AG103" s="3339"/>
      <c r="AH103" s="3339"/>
      <c r="AI103" s="3339"/>
      <c r="AJ103" s="3339"/>
      <c r="AK103" s="3339"/>
      <c r="AL103" s="3339"/>
      <c r="AM103" s="3339"/>
      <c r="AN103" s="3339"/>
      <c r="AO103" s="3339"/>
      <c r="AP103" s="3339"/>
      <c r="AS103" s="3400"/>
    </row>
    <row r="104" s="3329" customFormat="1" ht="9" customHeight="1" spans="1:45">
      <c r="A104" s="3328"/>
      <c r="B104" s="3328"/>
      <c r="C104" s="3322"/>
      <c r="D104" s="3339"/>
      <c r="E104" s="3339"/>
      <c r="F104" s="3339"/>
      <c r="G104" s="3339"/>
      <c r="H104" s="3339"/>
      <c r="I104" s="3339"/>
      <c r="J104" s="3339"/>
      <c r="K104" s="3339"/>
      <c r="L104" s="3339"/>
      <c r="M104" s="3339"/>
      <c r="N104" s="3339"/>
      <c r="O104" s="3339"/>
      <c r="P104" s="3339"/>
      <c r="Q104" s="3339"/>
      <c r="R104" s="3339"/>
      <c r="S104" s="3339"/>
      <c r="T104" s="94"/>
      <c r="U104" s="94"/>
      <c r="V104" s="94"/>
      <c r="W104" s="94"/>
      <c r="X104" s="94"/>
      <c r="Y104" s="94"/>
      <c r="Z104" s="94"/>
      <c r="AA104" s="3339"/>
      <c r="AB104" s="3395"/>
      <c r="AC104" s="3395"/>
      <c r="AD104" s="3395"/>
      <c r="AE104" s="3395"/>
      <c r="AF104" s="3395"/>
      <c r="AG104" s="3395"/>
      <c r="AH104" s="3395"/>
      <c r="AI104" s="94"/>
      <c r="AJ104" s="3395"/>
      <c r="AK104" s="3395"/>
      <c r="AL104" s="3395"/>
      <c r="AM104" s="3395"/>
      <c r="AN104" s="3395"/>
      <c r="AO104" s="3395"/>
      <c r="AP104" s="3395"/>
      <c r="AS104" s="3400"/>
    </row>
    <row r="105" s="3329" customFormat="1" ht="24" customHeight="1" spans="1:45">
      <c r="A105" s="3328"/>
      <c r="B105" s="3328"/>
      <c r="C105" s="5036" t="s">
        <v>1802</v>
      </c>
      <c r="D105" s="3339"/>
      <c r="E105" s="3339"/>
      <c r="F105" s="3339"/>
      <c r="G105" s="3339"/>
      <c r="H105" s="3339"/>
      <c r="I105" s="3339"/>
      <c r="J105" s="3339"/>
      <c r="K105" s="3339"/>
      <c r="L105" s="3339"/>
      <c r="M105" s="3339"/>
      <c r="N105" s="3339"/>
      <c r="O105" s="3339"/>
      <c r="P105" s="3339"/>
      <c r="Q105" s="3339"/>
      <c r="R105" s="3339"/>
      <c r="S105" s="3339"/>
      <c r="T105" s="3339"/>
      <c r="U105" s="3339"/>
      <c r="V105" s="3339"/>
      <c r="W105" s="3339"/>
      <c r="X105" s="3339"/>
      <c r="Y105" s="3339"/>
      <c r="Z105" s="3339"/>
      <c r="AA105" s="3339"/>
      <c r="AB105" s="3339"/>
      <c r="AC105" s="3339"/>
      <c r="AD105" s="3339"/>
      <c r="AE105" s="3339"/>
      <c r="AF105" s="3339"/>
      <c r="AG105" s="3339"/>
      <c r="AH105" s="3339"/>
      <c r="AI105" s="3339"/>
      <c r="AJ105" s="3339"/>
      <c r="AK105" s="3339"/>
      <c r="AL105" s="3339"/>
      <c r="AM105" s="3339"/>
      <c r="AN105" s="3339"/>
      <c r="AO105" s="3339"/>
      <c r="AP105" s="3339"/>
      <c r="AS105" s="3400"/>
    </row>
    <row r="106" s="3329" customFormat="1" ht="15" customHeight="1" spans="1:45">
      <c r="A106" s="3328"/>
      <c r="B106" s="3328"/>
      <c r="C106" s="2877"/>
      <c r="D106" s="3339"/>
      <c r="E106" s="3339"/>
      <c r="F106" s="3339"/>
      <c r="G106" s="3339"/>
      <c r="H106" s="3339"/>
      <c r="I106" s="3339"/>
      <c r="J106" s="3339"/>
      <c r="K106" s="3339"/>
      <c r="L106" s="3339"/>
      <c r="M106" s="3339"/>
      <c r="N106" s="3339"/>
      <c r="O106" s="3339"/>
      <c r="P106" s="3339"/>
      <c r="Q106" s="3339"/>
      <c r="R106" s="3339"/>
      <c r="S106" s="3339"/>
      <c r="T106" s="94"/>
      <c r="U106" s="94"/>
      <c r="V106" s="94"/>
      <c r="W106" s="94"/>
      <c r="X106" s="94"/>
      <c r="Y106" s="94"/>
      <c r="Z106" s="94"/>
      <c r="AA106" s="3339"/>
      <c r="AB106" s="719"/>
      <c r="AC106" s="719"/>
      <c r="AD106" s="719"/>
      <c r="AE106" s="719"/>
      <c r="AF106" s="719"/>
      <c r="AG106" s="719"/>
      <c r="AH106" s="719"/>
      <c r="AI106"/>
      <c r="AJ106" s="719"/>
      <c r="AK106" s="719"/>
      <c r="AL106" s="719"/>
      <c r="AM106" s="719"/>
      <c r="AN106" s="719"/>
      <c r="AO106" s="719"/>
      <c r="AP106" s="719"/>
      <c r="AS106" s="3400"/>
    </row>
    <row r="107" s="3329" customFormat="1" spans="1:44">
      <c r="A107" s="3335">
        <f>A79+1</f>
        <v>6</v>
      </c>
      <c r="B107" s="3315"/>
      <c r="C107" s="3322" t="str">
        <f>UPPER('FS-21'!B15)</f>
        <v>BIAYA DIBAYAR DIMUKA</v>
      </c>
      <c r="D107" s="3315"/>
      <c r="E107" s="3315"/>
      <c r="F107" s="3315"/>
      <c r="G107" s="3315"/>
      <c r="H107" s="3315"/>
      <c r="I107" s="3315"/>
      <c r="J107" s="3315"/>
      <c r="K107" s="3315"/>
      <c r="L107" s="3315"/>
      <c r="M107" s="3315"/>
      <c r="N107" s="3315"/>
      <c r="O107" s="3315"/>
      <c r="P107" s="3315"/>
      <c r="Q107" s="3315"/>
      <c r="R107" s="3315"/>
      <c r="S107" s="3315"/>
      <c r="T107" s="3315"/>
      <c r="U107" s="3315"/>
      <c r="V107" s="3315"/>
      <c r="W107" s="3315"/>
      <c r="X107" s="3315"/>
      <c r="Y107" s="3315"/>
      <c r="Z107" s="3315"/>
      <c r="AA107" s="3315"/>
      <c r="AB107" s="3315"/>
      <c r="AC107" s="3315"/>
      <c r="AD107" s="3315"/>
      <c r="AE107" s="3315"/>
      <c r="AF107" s="3315"/>
      <c r="AG107" s="3315"/>
      <c r="AH107" s="3315"/>
      <c r="AI107" s="3328"/>
      <c r="AJ107" s="3328"/>
      <c r="AK107" s="3398"/>
      <c r="AL107" s="3328"/>
      <c r="AM107" s="3328"/>
      <c r="AN107" s="3328"/>
      <c r="AO107" s="3328"/>
      <c r="AP107" s="3328"/>
      <c r="AR107" s="3400"/>
    </row>
    <row r="108" s="3329" customFormat="1" ht="9.2" customHeight="1" spans="1:44">
      <c r="A108" s="3335"/>
      <c r="B108" s="3315"/>
      <c r="C108" s="3322"/>
      <c r="D108" s="3315"/>
      <c r="E108" s="3315"/>
      <c r="F108" s="3315"/>
      <c r="G108" s="3315"/>
      <c r="H108" s="3315"/>
      <c r="I108" s="3315"/>
      <c r="J108" s="3315"/>
      <c r="K108" s="3315"/>
      <c r="L108" s="3315"/>
      <c r="M108" s="3315"/>
      <c r="N108" s="3315"/>
      <c r="O108" s="3315"/>
      <c r="P108" s="3315"/>
      <c r="Q108" s="3315"/>
      <c r="R108" s="3315"/>
      <c r="S108" s="3315"/>
      <c r="T108" s="3315"/>
      <c r="U108" s="3315"/>
      <c r="V108" s="3315"/>
      <c r="W108" s="3315"/>
      <c r="X108" s="3315"/>
      <c r="Y108" s="3315"/>
      <c r="Z108" s="3315"/>
      <c r="AA108" s="3315"/>
      <c r="AB108" s="3315"/>
      <c r="AC108" s="3315"/>
      <c r="AD108" s="3315"/>
      <c r="AE108" s="3315"/>
      <c r="AF108" s="3315"/>
      <c r="AG108" s="3315"/>
      <c r="AH108" s="3315"/>
      <c r="AI108" s="3328"/>
      <c r="AJ108" s="3328"/>
      <c r="AK108" s="3398"/>
      <c r="AL108" s="3328"/>
      <c r="AM108" s="3328"/>
      <c r="AN108" s="3328"/>
      <c r="AO108" s="3328"/>
      <c r="AP108" s="3328"/>
      <c r="AR108" s="3400"/>
    </row>
    <row r="109" s="3329" customFormat="1" ht="34.5" customHeight="1" spans="1:44">
      <c r="A109" s="3340"/>
      <c r="B109" s="3315"/>
      <c r="C109" s="5036" t="s">
        <v>1803</v>
      </c>
      <c r="D109" s="3339"/>
      <c r="E109" s="3339"/>
      <c r="F109" s="3339"/>
      <c r="G109" s="3339"/>
      <c r="H109" s="3339"/>
      <c r="I109" s="3339"/>
      <c r="J109" s="3339"/>
      <c r="K109" s="3339"/>
      <c r="L109" s="3339"/>
      <c r="M109" s="3339"/>
      <c r="N109" s="3339"/>
      <c r="O109" s="3339"/>
      <c r="P109" s="3339"/>
      <c r="Q109" s="3339"/>
      <c r="R109" s="3339"/>
      <c r="S109" s="3339"/>
      <c r="T109" s="3339"/>
      <c r="U109" s="3339"/>
      <c r="V109" s="3339"/>
      <c r="W109" s="3339"/>
      <c r="X109" s="3339"/>
      <c r="Y109" s="3339"/>
      <c r="Z109" s="3339"/>
      <c r="AA109" s="3339"/>
      <c r="AB109" s="3339"/>
      <c r="AC109" s="3339"/>
      <c r="AD109" s="3339"/>
      <c r="AE109" s="3339"/>
      <c r="AF109" s="3339"/>
      <c r="AG109" s="3339"/>
      <c r="AH109" s="3339"/>
      <c r="AI109" s="3339"/>
      <c r="AJ109" s="3339"/>
      <c r="AK109" s="3339"/>
      <c r="AL109" s="3339"/>
      <c r="AM109" s="3339"/>
      <c r="AN109" s="3339"/>
      <c r="AO109" s="3339"/>
      <c r="AP109" s="3339"/>
      <c r="AQ109" s="3329">
        <f>SUM('FS-21'!Y15:AE15)</f>
        <v>23000600</v>
      </c>
      <c r="AR109" s="3329">
        <f>'F1'!Q21</f>
        <v>27800000</v>
      </c>
    </row>
    <row r="110" s="3329" customFormat="1" ht="15" customHeight="1" spans="1:42">
      <c r="A110" s="3340"/>
      <c r="B110" s="3315"/>
      <c r="C110" s="3339"/>
      <c r="D110" s="3339"/>
      <c r="E110" s="3339"/>
      <c r="F110" s="3339"/>
      <c r="G110" s="3339"/>
      <c r="H110" s="3339"/>
      <c r="I110" s="3339"/>
      <c r="J110" s="3339"/>
      <c r="K110" s="3339"/>
      <c r="L110" s="3339"/>
      <c r="M110" s="3339"/>
      <c r="N110" s="3339"/>
      <c r="O110" s="3339"/>
      <c r="P110" s="3339"/>
      <c r="Q110" s="3339"/>
      <c r="R110" s="3339"/>
      <c r="S110" s="3339"/>
      <c r="T110" s="3339"/>
      <c r="U110" s="3339"/>
      <c r="V110" s="3339"/>
      <c r="W110" s="3339"/>
      <c r="X110" s="3339"/>
      <c r="Y110" s="3339"/>
      <c r="Z110" s="3339"/>
      <c r="AA110" s="3339"/>
      <c r="AB110" s="3339"/>
      <c r="AC110" s="3339"/>
      <c r="AD110" s="3339"/>
      <c r="AE110" s="3339"/>
      <c r="AF110" s="3339"/>
      <c r="AG110" s="3339"/>
      <c r="AH110" s="3339"/>
      <c r="AI110" s="3339"/>
      <c r="AJ110" s="3339"/>
      <c r="AK110" s="3339"/>
      <c r="AL110" s="3339"/>
      <c r="AM110" s="3339"/>
      <c r="AN110" s="3339"/>
      <c r="AO110" s="3339"/>
      <c r="AP110" s="3339"/>
    </row>
    <row r="111" s="3329" customFormat="1" ht="15" customHeight="1" spans="1:42">
      <c r="A111" s="3335">
        <f>+A107+1</f>
        <v>7</v>
      </c>
      <c r="B111" s="64"/>
      <c r="C111" s="3322" t="str">
        <f>UPPER('FS-21'!B17)</f>
        <v>PEKERJAAN DALAM PELAKSANAAN</v>
      </c>
      <c r="D111" s="3386"/>
      <c r="E111" s="3386"/>
      <c r="F111" s="3386"/>
      <c r="G111" s="3386"/>
      <c r="H111" s="3386"/>
      <c r="I111" s="3386"/>
      <c r="J111" s="3386"/>
      <c r="K111" s="3386"/>
      <c r="L111" s="3386"/>
      <c r="M111" s="3386"/>
      <c r="N111" s="3386"/>
      <c r="O111" s="3386"/>
      <c r="P111" s="3386"/>
      <c r="Q111" s="3386"/>
      <c r="R111" s="3386"/>
      <c r="S111" s="3386"/>
      <c r="T111" s="3386"/>
      <c r="U111" s="3386"/>
      <c r="V111" s="3386"/>
      <c r="W111" s="3386"/>
      <c r="X111" s="3386"/>
      <c r="Y111" s="3386"/>
      <c r="Z111" s="3386"/>
      <c r="AA111" s="3386"/>
      <c r="AB111" s="5081" t="str">
        <f>+AB55</f>
        <v>2021</v>
      </c>
      <c r="AC111" s="3355"/>
      <c r="AD111" s="3355"/>
      <c r="AE111" s="3355"/>
      <c r="AF111" s="3355"/>
      <c r="AG111" s="3355"/>
      <c r="AH111" s="3355"/>
      <c r="AI111" s="64"/>
      <c r="AJ111" s="5081" t="str">
        <f>+AJ55</f>
        <v>2020</v>
      </c>
      <c r="AK111" s="3355"/>
      <c r="AL111" s="3355"/>
      <c r="AM111" s="3355"/>
      <c r="AN111" s="3355"/>
      <c r="AO111" s="3355"/>
      <c r="AP111" s="3355"/>
    </row>
    <row r="112" s="3329" customFormat="1" ht="9.6" customHeight="1" spans="1:42">
      <c r="A112" s="3386"/>
      <c r="B112" s="3386"/>
      <c r="C112" s="3387"/>
      <c r="D112" s="3387"/>
      <c r="E112" s="3387"/>
      <c r="F112" s="3387"/>
      <c r="G112" s="3387"/>
      <c r="H112" s="3387"/>
      <c r="I112" s="3387"/>
      <c r="J112" s="3387"/>
      <c r="K112" s="3387"/>
      <c r="L112" s="3387"/>
      <c r="M112" s="3387"/>
      <c r="N112" s="3387"/>
      <c r="O112" s="3387"/>
      <c r="P112" s="3387"/>
      <c r="Q112" s="3387"/>
      <c r="R112" s="3387"/>
      <c r="S112" s="3387"/>
      <c r="T112" s="3387"/>
      <c r="U112" s="3387"/>
      <c r="V112" s="3387"/>
      <c r="W112" s="3387"/>
      <c r="X112" s="3387"/>
      <c r="Y112" s="3387"/>
      <c r="Z112" s="3387"/>
      <c r="AA112" s="3387"/>
      <c r="AI112" s="3387"/>
      <c r="AJ112" s="3387"/>
      <c r="AK112" s="3387"/>
      <c r="AL112" s="3387"/>
      <c r="AM112" s="3387"/>
      <c r="AN112" s="3387"/>
      <c r="AO112" s="3387"/>
      <c r="AP112" s="3387"/>
    </row>
    <row r="113" s="3329" customFormat="1" ht="11.4" spans="1:43">
      <c r="A113" s="3386"/>
      <c r="B113" s="3386"/>
      <c r="C113" s="3388" t="s">
        <v>1804</v>
      </c>
      <c r="D113" s="3389"/>
      <c r="E113" s="3387"/>
      <c r="F113" s="3387"/>
      <c r="G113" s="3387"/>
      <c r="H113" s="3387"/>
      <c r="I113" s="3387"/>
      <c r="J113" s="3387"/>
      <c r="K113" s="3387"/>
      <c r="L113" s="3387"/>
      <c r="M113" s="3387"/>
      <c r="N113" s="3387"/>
      <c r="O113" s="3387"/>
      <c r="P113" s="3387"/>
      <c r="Q113" s="3387"/>
      <c r="R113" s="3387"/>
      <c r="S113" s="3387"/>
      <c r="T113" s="3387"/>
      <c r="U113" s="3387"/>
      <c r="V113" s="3387"/>
      <c r="W113" s="3387"/>
      <c r="X113" s="3387"/>
      <c r="Y113" s="3387"/>
      <c r="Z113" s="3387"/>
      <c r="AA113" s="3387"/>
      <c r="AB113" s="3396">
        <f>+G!Q13</f>
        <v>25381341092.1818</v>
      </c>
      <c r="AC113" s="3396"/>
      <c r="AD113" s="3396"/>
      <c r="AE113" s="3396"/>
      <c r="AF113" s="3396"/>
      <c r="AG113" s="3396"/>
      <c r="AH113" s="3396"/>
      <c r="AJ113" s="2682">
        <f>+G!R13</f>
        <v>25418181818.1818</v>
      </c>
      <c r="AK113" s="2682"/>
      <c r="AL113" s="2682"/>
      <c r="AM113" s="2682"/>
      <c r="AN113" s="2682"/>
      <c r="AO113" s="2682"/>
      <c r="AP113" s="2682"/>
      <c r="AQ113"/>
    </row>
    <row r="114" s="3329" customFormat="1" ht="11.4" spans="1:42">
      <c r="A114" s="3386"/>
      <c r="B114" s="3386"/>
      <c r="C114" s="3388" t="s">
        <v>1805</v>
      </c>
      <c r="D114" s="3389"/>
      <c r="E114" s="3387"/>
      <c r="F114" s="3387"/>
      <c r="G114" s="3387"/>
      <c r="H114" s="3387"/>
      <c r="I114" s="3387"/>
      <c r="J114" s="3387"/>
      <c r="K114" s="3387"/>
      <c r="L114" s="3387"/>
      <c r="M114" s="3387"/>
      <c r="N114" s="3387"/>
      <c r="O114" s="3387"/>
      <c r="P114" s="3387"/>
      <c r="Q114" s="3387"/>
      <c r="R114" s="3387"/>
      <c r="S114" s="3387"/>
      <c r="T114" s="3387"/>
      <c r="U114" s="3387"/>
      <c r="V114" s="3387"/>
      <c r="W114" s="3387"/>
      <c r="X114" s="3387"/>
      <c r="Y114" s="3387"/>
      <c r="Z114" s="3387"/>
      <c r="AA114" s="3387"/>
      <c r="AB114" s="3396">
        <f>+G!Q14</f>
        <v>103020000</v>
      </c>
      <c r="AC114" s="3396"/>
      <c r="AD114" s="3396"/>
      <c r="AE114" s="3396"/>
      <c r="AF114" s="3396"/>
      <c r="AG114" s="3396"/>
      <c r="AH114" s="3396"/>
      <c r="AI114" s="64"/>
      <c r="AJ114" s="2682">
        <f>+G!R14</f>
        <v>265500000</v>
      </c>
      <c r="AK114" s="2682"/>
      <c r="AL114" s="2682"/>
      <c r="AM114" s="2682"/>
      <c r="AN114" s="2682"/>
      <c r="AO114" s="2682"/>
      <c r="AP114" s="2682"/>
    </row>
    <row r="115" s="3329" customFormat="1" ht="11.4" spans="1:42">
      <c r="A115" s="3386"/>
      <c r="B115" s="3386"/>
      <c r="C115" s="3388" t="s">
        <v>1806</v>
      </c>
      <c r="D115" s="3389"/>
      <c r="E115" s="3387"/>
      <c r="F115" s="3387"/>
      <c r="G115" s="3387"/>
      <c r="H115" s="3387"/>
      <c r="I115" s="3387"/>
      <c r="J115" s="3387"/>
      <c r="K115" s="3387"/>
      <c r="L115" s="3387"/>
      <c r="M115" s="3387"/>
      <c r="N115" s="3387"/>
      <c r="O115" s="3387"/>
      <c r="P115" s="3387"/>
      <c r="Q115" s="3387"/>
      <c r="R115" s="3387"/>
      <c r="S115" s="3387"/>
      <c r="T115" s="3387"/>
      <c r="U115" s="3387"/>
      <c r="V115" s="3387"/>
      <c r="W115" s="3387"/>
      <c r="X115" s="3387"/>
      <c r="Y115" s="3387"/>
      <c r="Z115" s="3387"/>
      <c r="AA115" s="3387"/>
      <c r="AB115" s="3396">
        <f>+G!Q15</f>
        <v>52275000</v>
      </c>
      <c r="AC115" s="3396"/>
      <c r="AD115" s="3396"/>
      <c r="AE115" s="3396"/>
      <c r="AF115" s="3396"/>
      <c r="AG115" s="3396"/>
      <c r="AH115" s="3396"/>
      <c r="AI115" s="64"/>
      <c r="AJ115" s="2682">
        <f>+G!R15</f>
        <v>69840000</v>
      </c>
      <c r="AK115" s="2682"/>
      <c r="AL115" s="2682"/>
      <c r="AM115" s="2682"/>
      <c r="AN115" s="2682"/>
      <c r="AO115" s="2682"/>
      <c r="AP115" s="2682"/>
    </row>
    <row r="116" s="3329" customFormat="1" ht="11.4" spans="1:42">
      <c r="A116" s="3386"/>
      <c r="B116" s="3386"/>
      <c r="C116" s="3388" t="s">
        <v>1807</v>
      </c>
      <c r="D116" s="3389"/>
      <c r="E116" s="3387"/>
      <c r="F116" s="3387"/>
      <c r="G116" s="3387"/>
      <c r="H116" s="3387"/>
      <c r="I116" s="3387"/>
      <c r="J116" s="3387"/>
      <c r="K116" s="3387"/>
      <c r="L116" s="3387"/>
      <c r="M116" s="3387"/>
      <c r="N116" s="3387"/>
      <c r="O116" s="3387"/>
      <c r="P116" s="3387"/>
      <c r="Q116" s="3387"/>
      <c r="R116" s="3387"/>
      <c r="S116" s="3387"/>
      <c r="T116" s="3387"/>
      <c r="U116" s="3387"/>
      <c r="V116" s="3387"/>
      <c r="W116" s="3387"/>
      <c r="X116" s="3387"/>
      <c r="Y116" s="3387"/>
      <c r="Z116" s="3387"/>
      <c r="AA116" s="3387"/>
      <c r="AB116" s="3396">
        <f>+G!Q16</f>
        <v>37139600</v>
      </c>
      <c r="AC116" s="3396"/>
      <c r="AD116" s="3396"/>
      <c r="AE116" s="3396"/>
      <c r="AF116" s="3396"/>
      <c r="AG116" s="3396"/>
      <c r="AH116" s="3396"/>
      <c r="AI116" s="64"/>
      <c r="AJ116" s="2682">
        <f>+G!R16</f>
        <v>104580000</v>
      </c>
      <c r="AK116" s="2682"/>
      <c r="AL116" s="2682"/>
      <c r="AM116" s="2682"/>
      <c r="AN116" s="2682"/>
      <c r="AO116" s="2682"/>
      <c r="AP116" s="2682"/>
    </row>
    <row r="117" s="3329" customFormat="1" ht="11.4" spans="1:42">
      <c r="A117" s="3386"/>
      <c r="B117" s="3386"/>
      <c r="C117" s="3388" t="s">
        <v>1808</v>
      </c>
      <c r="D117" s="3389"/>
      <c r="E117" s="3387"/>
      <c r="F117" s="3387"/>
      <c r="G117" s="3387"/>
      <c r="H117" s="3387"/>
      <c r="I117" s="3387"/>
      <c r="J117" s="3387"/>
      <c r="K117" s="3387"/>
      <c r="L117" s="3387"/>
      <c r="M117" s="3387"/>
      <c r="N117" s="3387"/>
      <c r="O117" s="3387"/>
      <c r="P117" s="3387"/>
      <c r="Q117" s="3387"/>
      <c r="R117" s="3387"/>
      <c r="S117" s="3387"/>
      <c r="T117" s="3387"/>
      <c r="U117" s="3387"/>
      <c r="V117" s="3387"/>
      <c r="W117" s="3387"/>
      <c r="X117" s="3387"/>
      <c r="Y117" s="3387"/>
      <c r="Z117" s="3387"/>
      <c r="AA117" s="3387"/>
      <c r="AB117" s="3396">
        <f>+G!Q17</f>
        <v>36502612.8</v>
      </c>
      <c r="AC117" s="3396"/>
      <c r="AD117" s="3396"/>
      <c r="AE117" s="3396"/>
      <c r="AF117" s="3396"/>
      <c r="AG117" s="3396"/>
      <c r="AH117" s="3396"/>
      <c r="AI117" s="64"/>
      <c r="AJ117" s="2682">
        <f>+G!R17</f>
        <v>0</v>
      </c>
      <c r="AK117" s="2682"/>
      <c r="AL117" s="2682"/>
      <c r="AM117" s="2682"/>
      <c r="AN117" s="2682"/>
      <c r="AO117" s="2682"/>
      <c r="AP117" s="2682"/>
    </row>
    <row r="118" s="3329" customFormat="1" ht="11.4" hidden="1" spans="1:42">
      <c r="A118" s="3386"/>
      <c r="B118" s="3386"/>
      <c r="C118" s="3388" t="s">
        <v>1809</v>
      </c>
      <c r="D118" s="3389"/>
      <c r="E118" s="3387"/>
      <c r="F118" s="3387"/>
      <c r="G118" s="3387"/>
      <c r="H118" s="3387"/>
      <c r="I118" s="3387"/>
      <c r="J118" s="3387"/>
      <c r="K118" s="3387"/>
      <c r="L118" s="3387"/>
      <c r="M118" s="3387"/>
      <c r="N118" s="3387"/>
      <c r="O118" s="3387"/>
      <c r="P118" s="3387"/>
      <c r="Q118" s="3387"/>
      <c r="R118" s="3387"/>
      <c r="S118" s="3387"/>
      <c r="T118" s="3387"/>
      <c r="U118" s="3387"/>
      <c r="V118" s="3387"/>
      <c r="W118" s="3387"/>
      <c r="X118" s="3387"/>
      <c r="Y118" s="3387"/>
      <c r="Z118" s="3387"/>
      <c r="AA118" s="3387"/>
      <c r="AB118" s="3396">
        <f>+G!Q18</f>
        <v>0</v>
      </c>
      <c r="AC118" s="3396"/>
      <c r="AD118" s="3396"/>
      <c r="AE118" s="3396"/>
      <c r="AF118" s="3396"/>
      <c r="AG118" s="3396"/>
      <c r="AH118" s="3396"/>
      <c r="AI118" s="64"/>
      <c r="AJ118" s="2682">
        <f>+G!R18</f>
        <v>0</v>
      </c>
      <c r="AK118" s="2682"/>
      <c r="AL118" s="2682"/>
      <c r="AM118" s="2682"/>
      <c r="AN118" s="2682"/>
      <c r="AO118" s="2682"/>
      <c r="AP118" s="2682"/>
    </row>
    <row r="119" s="3329" customFormat="1" ht="11.4" spans="1:42">
      <c r="A119" s="3386"/>
      <c r="B119" s="3386"/>
      <c r="C119" s="3388" t="s">
        <v>1810</v>
      </c>
      <c r="D119" s="3389"/>
      <c r="E119" s="3387"/>
      <c r="F119" s="3387"/>
      <c r="G119" s="3387"/>
      <c r="H119" s="3387"/>
      <c r="I119" s="3387"/>
      <c r="J119" s="3387"/>
      <c r="K119" s="3387"/>
      <c r="L119" s="3387"/>
      <c r="M119" s="3387"/>
      <c r="N119" s="3387"/>
      <c r="O119" s="3387"/>
      <c r="P119" s="3387"/>
      <c r="Q119" s="3387"/>
      <c r="R119" s="3387"/>
      <c r="S119" s="3387"/>
      <c r="T119" s="3387"/>
      <c r="U119" s="3387"/>
      <c r="V119" s="3387"/>
      <c r="W119" s="3387"/>
      <c r="X119" s="3387"/>
      <c r="Y119" s="3387"/>
      <c r="Z119" s="3387"/>
      <c r="AA119" s="3387"/>
      <c r="AB119" s="3396">
        <f>+G!Q19</f>
        <v>0</v>
      </c>
      <c r="AC119" s="3396"/>
      <c r="AD119" s="3396"/>
      <c r="AE119" s="3396"/>
      <c r="AF119" s="3396"/>
      <c r="AG119" s="3396"/>
      <c r="AH119" s="3396"/>
      <c r="AI119" s="64"/>
      <c r="AJ119" s="2682">
        <f>+G!R19</f>
        <v>11436422794.532</v>
      </c>
      <c r="AK119" s="2682"/>
      <c r="AL119" s="2682"/>
      <c r="AM119" s="2682"/>
      <c r="AN119" s="2682"/>
      <c r="AO119" s="2682"/>
      <c r="AP119" s="2682"/>
    </row>
    <row r="120" s="3329" customFormat="1" ht="11.4" hidden="1" spans="1:42">
      <c r="A120" s="3386"/>
      <c r="B120" s="3386"/>
      <c r="C120" s="3388" t="str">
        <f>+G!C20</f>
        <v>PDP - Mitra Energi Buana PT </v>
      </c>
      <c r="D120" s="3389"/>
      <c r="E120" s="3387"/>
      <c r="F120" s="3387"/>
      <c r="G120" s="3387"/>
      <c r="H120" s="3387"/>
      <c r="I120" s="3387"/>
      <c r="J120" s="3387"/>
      <c r="K120" s="3387"/>
      <c r="L120" s="3387"/>
      <c r="M120" s="3387"/>
      <c r="N120" s="3387"/>
      <c r="O120" s="3387"/>
      <c r="P120" s="3387"/>
      <c r="Q120" s="3387"/>
      <c r="R120" s="3387"/>
      <c r="S120" s="3387"/>
      <c r="T120" s="3387"/>
      <c r="U120" s="3387"/>
      <c r="V120" s="3387"/>
      <c r="W120" s="3387"/>
      <c r="X120" s="3387"/>
      <c r="Y120" s="3387"/>
      <c r="Z120" s="3387"/>
      <c r="AA120" s="3387"/>
      <c r="AB120" s="3363"/>
      <c r="AC120" s="3363"/>
      <c r="AD120" s="3363"/>
      <c r="AE120" s="3363"/>
      <c r="AF120" s="3363"/>
      <c r="AG120" s="3363"/>
      <c r="AH120" s="3363"/>
      <c r="AI120" s="64"/>
      <c r="AJ120" s="2682">
        <f>+G!R20</f>
        <v>0</v>
      </c>
      <c r="AK120" s="2682"/>
      <c r="AL120" s="2682"/>
      <c r="AM120" s="2682"/>
      <c r="AN120" s="2682"/>
      <c r="AO120" s="2682"/>
      <c r="AP120" s="2682"/>
    </row>
    <row r="121" s="3329" customFormat="1" ht="11.4" hidden="1" spans="1:42">
      <c r="A121" s="3386"/>
      <c r="B121" s="3386"/>
      <c r="C121" s="3388" t="str">
        <f>+G!C21</f>
        <v>PDP - Hotel Borobudur Jakarta PT</v>
      </c>
      <c r="D121" s="3389"/>
      <c r="E121" s="3387"/>
      <c r="F121" s="3387"/>
      <c r="G121" s="3387"/>
      <c r="H121" s="3387"/>
      <c r="I121" s="3387"/>
      <c r="J121" s="3387"/>
      <c r="K121" s="3387"/>
      <c r="L121" s="3387"/>
      <c r="M121" s="3387"/>
      <c r="N121" s="3387"/>
      <c r="O121" s="3387"/>
      <c r="P121" s="3387"/>
      <c r="Q121" s="3387"/>
      <c r="R121" s="3387"/>
      <c r="S121" s="3387"/>
      <c r="T121" s="3387"/>
      <c r="U121" s="3387"/>
      <c r="V121" s="3387"/>
      <c r="W121" s="3387"/>
      <c r="X121" s="3387"/>
      <c r="Y121" s="3387"/>
      <c r="Z121" s="3387"/>
      <c r="AA121" s="3387"/>
      <c r="AB121" s="3363"/>
      <c r="AC121" s="3363"/>
      <c r="AD121" s="3363"/>
      <c r="AE121" s="3363"/>
      <c r="AF121" s="3363"/>
      <c r="AG121" s="3363"/>
      <c r="AH121" s="3363"/>
      <c r="AI121" s="64"/>
      <c r="AJ121" s="2682">
        <f>+G!L56</f>
        <v>0</v>
      </c>
      <c r="AK121" s="2682"/>
      <c r="AL121" s="2682"/>
      <c r="AM121" s="2682"/>
      <c r="AN121" s="2682"/>
      <c r="AO121" s="2682"/>
      <c r="AP121" s="2682"/>
    </row>
    <row r="122" s="3329" customFormat="1" ht="6.95" customHeight="1" spans="1:42">
      <c r="A122" s="3386"/>
      <c r="B122" s="3386"/>
      <c r="C122" s="3390"/>
      <c r="D122" s="3389"/>
      <c r="E122" s="3387"/>
      <c r="F122" s="3387"/>
      <c r="G122" s="3387"/>
      <c r="H122" s="3387"/>
      <c r="I122" s="3387"/>
      <c r="J122" s="3387"/>
      <c r="K122" s="3387"/>
      <c r="L122" s="3387"/>
      <c r="M122" s="3387"/>
      <c r="N122" s="3387"/>
      <c r="O122" s="3387"/>
      <c r="P122" s="3387"/>
      <c r="Q122" s="3387"/>
      <c r="R122" s="3387"/>
      <c r="S122" s="3387"/>
      <c r="T122" s="3387"/>
      <c r="U122" s="3387"/>
      <c r="V122" s="3387"/>
      <c r="W122" s="3387"/>
      <c r="X122" s="3387"/>
      <c r="Y122" s="3387"/>
      <c r="Z122" s="3387"/>
      <c r="AA122" s="3387"/>
      <c r="AB122" s="3363"/>
      <c r="AC122" s="3363"/>
      <c r="AD122" s="3363"/>
      <c r="AE122" s="3363"/>
      <c r="AF122" s="3363"/>
      <c r="AG122" s="3363"/>
      <c r="AH122" s="3363"/>
      <c r="AI122" s="64"/>
      <c r="AJ122" s="2682"/>
      <c r="AK122" s="2682"/>
      <c r="AL122" s="2682"/>
      <c r="AM122" s="2682"/>
      <c r="AN122" s="2682"/>
      <c r="AO122" s="2682"/>
      <c r="AP122" s="2682"/>
    </row>
    <row r="123" s="3329" customFormat="1" ht="15" customHeight="1" spans="1:44">
      <c r="A123" s="3386"/>
      <c r="B123" s="3386"/>
      <c r="C123" s="3322" t="s">
        <v>1811</v>
      </c>
      <c r="D123" s="3389"/>
      <c r="E123" s="3387"/>
      <c r="F123" s="3387"/>
      <c r="G123" s="3387"/>
      <c r="H123" s="3387"/>
      <c r="I123" s="3387"/>
      <c r="J123" s="3387"/>
      <c r="K123" s="3387"/>
      <c r="L123" s="3387"/>
      <c r="M123" s="3387"/>
      <c r="N123" s="3387"/>
      <c r="O123" s="3387"/>
      <c r="P123" s="3387"/>
      <c r="Q123" s="3387"/>
      <c r="R123" s="3387"/>
      <c r="S123" s="3387"/>
      <c r="T123" s="3387"/>
      <c r="U123" s="3387"/>
      <c r="V123" s="3387"/>
      <c r="W123" s="3387"/>
      <c r="X123" s="3387"/>
      <c r="Y123" s="3387"/>
      <c r="Z123" s="3387"/>
      <c r="AA123" s="3387"/>
      <c r="AB123" s="3367">
        <f>SUM(AB113:AH122)</f>
        <v>25610278304.9818</v>
      </c>
      <c r="AC123" s="3367"/>
      <c r="AD123" s="3367"/>
      <c r="AE123" s="3367"/>
      <c r="AF123" s="3367"/>
      <c r="AG123" s="3367"/>
      <c r="AH123" s="3367"/>
      <c r="AI123" s="94"/>
      <c r="AJ123" s="3367">
        <f>SUM(AJ113:AP122)</f>
        <v>37294524612.7138</v>
      </c>
      <c r="AK123" s="3367"/>
      <c r="AL123" s="3367"/>
      <c r="AM123" s="3367"/>
      <c r="AN123" s="3367"/>
      <c r="AO123" s="3367"/>
      <c r="AP123" s="3367"/>
      <c r="AQ123" s="3329">
        <f>+AB123-SUM('FS-21'!Y17:AE17)</f>
        <v>0</v>
      </c>
      <c r="AR123" s="3329">
        <f>+AJ123-SUM('FS-21'!AG17:AM17)</f>
        <v>0</v>
      </c>
    </row>
    <row r="124" s="3329" customFormat="1" ht="12.75" spans="1:84">
      <c r="A124" s="3340"/>
      <c r="B124" s="3315"/>
      <c r="C124" s="3407"/>
      <c r="D124" s="3407"/>
      <c r="E124" s="3341"/>
      <c r="F124" s="3341"/>
      <c r="G124" s="3341"/>
      <c r="H124" s="3341"/>
      <c r="I124" s="3341"/>
      <c r="J124" s="3341"/>
      <c r="K124" s="3341"/>
      <c r="L124" s="3341"/>
      <c r="M124" s="3341"/>
      <c r="N124" s="3341"/>
      <c r="O124" s="3341"/>
      <c r="P124" s="3341"/>
      <c r="Q124" s="3341"/>
      <c r="R124" s="3341"/>
      <c r="S124" s="3341"/>
      <c r="T124" s="3341"/>
      <c r="U124" s="3341"/>
      <c r="V124" s="3341"/>
      <c r="W124" s="3341"/>
      <c r="X124" s="3341"/>
      <c r="Y124" s="3341"/>
      <c r="Z124" s="3341"/>
      <c r="AA124" s="3341"/>
      <c r="AB124" s="2682"/>
      <c r="AC124" s="2682"/>
      <c r="AD124" s="2682"/>
      <c r="AE124" s="2682"/>
      <c r="AF124" s="2682"/>
      <c r="AG124" s="2682"/>
      <c r="AH124" s="2682"/>
      <c r="AI124" s="3341"/>
      <c r="AJ124" s="2682"/>
      <c r="AK124" s="2682"/>
      <c r="AL124" s="2682"/>
      <c r="AM124" s="2682"/>
      <c r="AN124" s="2682"/>
      <c r="AO124" s="2682"/>
      <c r="AP124" s="2682"/>
      <c r="AQ124" s="3386">
        <f>A96+1</f>
        <v>10</v>
      </c>
      <c r="AR124" s="3386"/>
      <c r="AS124" s="3386"/>
      <c r="AT124" s="3386"/>
      <c r="AU124" s="3386"/>
      <c r="AV124" s="3386"/>
      <c r="AW124" s="3386"/>
      <c r="AX124" s="3386"/>
      <c r="AY124" s="3386"/>
      <c r="AZ124" s="3386"/>
      <c r="BA124" s="3386"/>
      <c r="BB124" s="3386"/>
      <c r="BC124" s="3386"/>
      <c r="BD124" s="3386"/>
      <c r="BE124" s="3386"/>
      <c r="BF124" s="3386"/>
      <c r="BG124" s="3386"/>
      <c r="BH124" s="3386"/>
      <c r="BI124" s="3386"/>
      <c r="BJ124" s="3386"/>
      <c r="BK124" s="3386"/>
      <c r="BL124" s="3386"/>
      <c r="BM124" s="3386"/>
      <c r="BN124" s="3386"/>
      <c r="BO124" s="3386"/>
      <c r="BP124" s="3386"/>
      <c r="BQ124" s="3386"/>
      <c r="BR124" s="3386"/>
      <c r="BS124" s="3386"/>
      <c r="BT124" s="3386"/>
      <c r="BU124" s="3386"/>
      <c r="BV124" s="3386"/>
      <c r="BW124" s="3386"/>
      <c r="BX124" s="3386"/>
      <c r="BY124" s="3386"/>
      <c r="BZ124" s="3386"/>
      <c r="CA124" s="3386"/>
      <c r="CB124" s="3386"/>
      <c r="CC124" s="3386"/>
      <c r="CD124" s="3386"/>
      <c r="CE124" s="3386"/>
      <c r="CF124" s="3386"/>
    </row>
    <row r="125" s="3329" customFormat="1" ht="24" customHeight="1" spans="1:42">
      <c r="A125" s="3340"/>
      <c r="B125" s="3315"/>
      <c r="C125" s="5084" t="s">
        <v>1812</v>
      </c>
      <c r="D125" s="3341"/>
      <c r="E125" s="3341"/>
      <c r="F125" s="3341"/>
      <c r="G125" s="3341"/>
      <c r="H125" s="3341"/>
      <c r="I125" s="3341"/>
      <c r="J125" s="3341"/>
      <c r="K125" s="3341"/>
      <c r="L125" s="3341"/>
      <c r="M125" s="3341"/>
      <c r="N125" s="3341"/>
      <c r="O125" s="3341"/>
      <c r="P125" s="3341"/>
      <c r="Q125" s="3341"/>
      <c r="R125" s="3341"/>
      <c r="S125" s="3341"/>
      <c r="T125" s="3341"/>
      <c r="U125" s="3341"/>
      <c r="V125" s="3341"/>
      <c r="W125" s="3341"/>
      <c r="X125" s="3341"/>
      <c r="Y125" s="3341"/>
      <c r="Z125" s="3341"/>
      <c r="AA125" s="3341"/>
      <c r="AB125" s="3341"/>
      <c r="AC125" s="3341"/>
      <c r="AD125" s="3341"/>
      <c r="AE125" s="3341"/>
      <c r="AF125" s="3341"/>
      <c r="AG125" s="3341"/>
      <c r="AH125" s="3341"/>
      <c r="AI125" s="3341"/>
      <c r="AJ125" s="3341"/>
      <c r="AK125" s="3341"/>
      <c r="AL125" s="3341"/>
      <c r="AM125" s="3341"/>
      <c r="AN125" s="3341"/>
      <c r="AO125" s="3341"/>
      <c r="AP125" s="3341"/>
    </row>
    <row r="126" s="3329" customFormat="1" ht="7.5" customHeight="1" spans="1:42">
      <c r="A126" s="3340"/>
      <c r="B126" s="3315"/>
      <c r="C126" s="3341"/>
      <c r="D126" s="3341"/>
      <c r="E126" s="3341"/>
      <c r="F126" s="3341"/>
      <c r="G126" s="3341"/>
      <c r="H126" s="3341"/>
      <c r="I126" s="3341"/>
      <c r="J126" s="3341"/>
      <c r="K126" s="3341"/>
      <c r="L126" s="3341"/>
      <c r="M126" s="3341"/>
      <c r="N126" s="3341"/>
      <c r="O126" s="3341"/>
      <c r="P126" s="3341"/>
      <c r="Q126" s="3341"/>
      <c r="R126" s="3341"/>
      <c r="S126" s="3341"/>
      <c r="T126" s="3341"/>
      <c r="U126" s="3341"/>
      <c r="V126" s="3341"/>
      <c r="W126" s="3341"/>
      <c r="X126" s="3341"/>
      <c r="Y126" s="3341"/>
      <c r="Z126" s="3341"/>
      <c r="AA126" s="3341"/>
      <c r="AB126" s="3341"/>
      <c r="AC126" s="3341"/>
      <c r="AD126" s="3341"/>
      <c r="AE126" s="3341"/>
      <c r="AF126" s="3341"/>
      <c r="AG126" s="3341"/>
      <c r="AH126" s="3341"/>
      <c r="AI126" s="3341"/>
      <c r="AJ126" s="3341"/>
      <c r="AK126" s="3341"/>
      <c r="AL126" s="3341"/>
      <c r="AM126" s="3341"/>
      <c r="AN126" s="3341"/>
      <c r="AO126" s="3341"/>
      <c r="AP126" s="3341"/>
    </row>
    <row r="127" s="3329" customFormat="1" ht="24.6" customHeight="1" spans="1:42">
      <c r="A127" s="3340"/>
      <c r="B127" s="3315"/>
      <c r="C127" s="5084" t="s">
        <v>1813</v>
      </c>
      <c r="D127" s="3341"/>
      <c r="E127" s="3341"/>
      <c r="F127" s="3341"/>
      <c r="G127" s="3341"/>
      <c r="H127" s="3341"/>
      <c r="I127" s="3341"/>
      <c r="J127" s="3341"/>
      <c r="K127" s="3341"/>
      <c r="L127" s="3341"/>
      <c r="M127" s="3341"/>
      <c r="N127" s="3341"/>
      <c r="O127" s="3341"/>
      <c r="P127" s="3341"/>
      <c r="Q127" s="3341"/>
      <c r="R127" s="3341"/>
      <c r="S127" s="3341"/>
      <c r="T127" s="3341"/>
      <c r="U127" s="3341"/>
      <c r="V127" s="3341"/>
      <c r="W127" s="3341"/>
      <c r="X127" s="3341"/>
      <c r="Y127" s="3341"/>
      <c r="Z127" s="3341"/>
      <c r="AA127" s="3341"/>
      <c r="AB127" s="3341"/>
      <c r="AC127" s="3341"/>
      <c r="AD127" s="3341"/>
      <c r="AE127" s="3341"/>
      <c r="AF127" s="3341"/>
      <c r="AG127" s="3341"/>
      <c r="AH127" s="3341"/>
      <c r="AI127" s="3341"/>
      <c r="AJ127" s="3341"/>
      <c r="AK127" s="3341"/>
      <c r="AL127" s="3341"/>
      <c r="AM127" s="3341"/>
      <c r="AN127" s="3341"/>
      <c r="AO127" s="3341"/>
      <c r="AP127" s="3341"/>
    </row>
    <row r="128" s="3329" customFormat="1" ht="15.6" customHeight="1" spans="1:42">
      <c r="A128" s="3340"/>
      <c r="B128" s="3315"/>
      <c r="C128" s="3339"/>
      <c r="D128" s="3339"/>
      <c r="E128" s="3339"/>
      <c r="F128" s="3339"/>
      <c r="G128" s="3339"/>
      <c r="H128" s="3339"/>
      <c r="I128" s="3339"/>
      <c r="J128" s="3339"/>
      <c r="K128" s="3339"/>
      <c r="L128" s="3339"/>
      <c r="M128" s="3339"/>
      <c r="N128" s="3339"/>
      <c r="O128" s="3339"/>
      <c r="P128" s="3339"/>
      <c r="Q128" s="3339"/>
      <c r="R128" s="3339"/>
      <c r="S128" s="3339"/>
      <c r="T128" s="3339"/>
      <c r="U128" s="3339"/>
      <c r="V128" s="3339"/>
      <c r="W128" s="3339"/>
      <c r="X128" s="3339"/>
      <c r="Y128" s="3339"/>
      <c r="Z128" s="3339"/>
      <c r="AA128" s="3339"/>
      <c r="AB128" s="3339"/>
      <c r="AC128" s="3339"/>
      <c r="AD128" s="3339"/>
      <c r="AE128" s="3339"/>
      <c r="AF128" s="3339"/>
      <c r="AG128" s="3339"/>
      <c r="AH128" s="3339"/>
      <c r="AI128" s="3339"/>
      <c r="AJ128" s="3339"/>
      <c r="AK128" s="3339"/>
      <c r="AL128" s="3339"/>
      <c r="AM128" s="3339"/>
      <c r="AN128" s="3339"/>
      <c r="AO128" s="3339"/>
      <c r="AP128" s="3339"/>
    </row>
    <row r="129" s="3330" customFormat="1" customHeight="1" spans="1:44">
      <c r="A129" s="3335">
        <f>+A111+1</f>
        <v>8</v>
      </c>
      <c r="B129" s="64"/>
      <c r="C129" s="3322" t="s">
        <v>1814</v>
      </c>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c r="AG129" s="64"/>
      <c r="AH129" s="64"/>
      <c r="AI129" s="3326"/>
      <c r="AJ129" s="3326"/>
      <c r="AL129" s="3326"/>
      <c r="AM129" s="3326"/>
      <c r="AN129" s="3326"/>
      <c r="AO129" s="3326"/>
      <c r="AP129" s="3326"/>
      <c r="AQ129" s="3326"/>
      <c r="AR129" s="3331"/>
    </row>
    <row r="130" s="3330" customFormat="1" ht="9.2" customHeight="1" spans="1:44">
      <c r="A130" s="3315"/>
      <c r="B130" s="3315"/>
      <c r="C130" s="3340"/>
      <c r="D130" s="3322"/>
      <c r="E130" s="3322"/>
      <c r="F130" s="3322"/>
      <c r="G130" s="3322"/>
      <c r="H130" s="3322"/>
      <c r="I130" s="3322"/>
      <c r="J130" s="3322"/>
      <c r="K130" s="3326"/>
      <c r="L130" s="3326"/>
      <c r="M130" s="3326"/>
      <c r="N130" s="3326"/>
      <c r="O130" s="3322"/>
      <c r="P130" s="3335"/>
      <c r="Q130" s="3335"/>
      <c r="R130" s="3335"/>
      <c r="S130" s="3335"/>
      <c r="T130" s="3335"/>
      <c r="U130" s="3335"/>
      <c r="V130" s="3326"/>
      <c r="W130" s="3335"/>
      <c r="X130" s="3335"/>
      <c r="Y130" s="3335"/>
      <c r="Z130" s="3335"/>
      <c r="AA130" s="3335"/>
      <c r="AB130" s="3335"/>
      <c r="AC130" s="3326"/>
      <c r="AD130" s="3335"/>
      <c r="AE130" s="3335"/>
      <c r="AF130" s="3335"/>
      <c r="AG130" s="3335"/>
      <c r="AH130" s="3335"/>
      <c r="AI130" s="3335"/>
      <c r="AJ130" s="3326"/>
      <c r="AK130" s="3335"/>
      <c r="AL130" s="3335"/>
      <c r="AM130" s="3335"/>
      <c r="AN130" s="3335"/>
      <c r="AO130" s="3335"/>
      <c r="AP130" s="3335"/>
      <c r="AQ130" s="3326"/>
      <c r="AR130" s="3331"/>
    </row>
    <row r="131" s="3330" customFormat="1" customHeight="1" spans="1:44">
      <c r="A131" s="3315"/>
      <c r="B131" s="3315"/>
      <c r="C131" s="5085" t="s">
        <v>1815</v>
      </c>
      <c r="D131" s="3408"/>
      <c r="E131" s="3408"/>
      <c r="F131" s="3408"/>
      <c r="G131" s="3408"/>
      <c r="H131" s="3408"/>
      <c r="I131" s="3322"/>
      <c r="J131" s="3322"/>
      <c r="K131" s="3322"/>
      <c r="L131" s="3322"/>
      <c r="M131" s="3322"/>
      <c r="N131" s="3326"/>
      <c r="O131" s="3322"/>
      <c r="P131" s="3335" t="s">
        <v>1028</v>
      </c>
      <c r="Q131" s="3335"/>
      <c r="R131" s="3335"/>
      <c r="S131" s="3335"/>
      <c r="T131" s="3335"/>
      <c r="U131" s="3335"/>
      <c r="V131" s="3326"/>
      <c r="W131" s="3335" t="s">
        <v>1816</v>
      </c>
      <c r="X131" s="3335"/>
      <c r="Y131" s="3335"/>
      <c r="Z131" s="3335"/>
      <c r="AA131" s="3335"/>
      <c r="AB131" s="3335"/>
      <c r="AC131" s="3326"/>
      <c r="AD131" s="3419" t="s">
        <v>1817</v>
      </c>
      <c r="AE131" s="3419"/>
      <c r="AF131" s="3419"/>
      <c r="AG131" s="3419"/>
      <c r="AH131" s="3419"/>
      <c r="AI131" s="3419"/>
      <c r="AJ131" s="3326"/>
      <c r="AK131" s="3335" t="s">
        <v>1030</v>
      </c>
      <c r="AL131" s="3335"/>
      <c r="AM131" s="3335"/>
      <c r="AN131" s="3335"/>
      <c r="AO131" s="3335"/>
      <c r="AP131" s="3335"/>
      <c r="AQ131" s="3326"/>
      <c r="AR131" s="3331"/>
    </row>
    <row r="132" s="3330" customFormat="1" customHeight="1" spans="1:44">
      <c r="A132" s="3315"/>
      <c r="B132" s="3315"/>
      <c r="C132" s="3409"/>
      <c r="D132" s="3322"/>
      <c r="E132" s="3322"/>
      <c r="F132" s="3322"/>
      <c r="G132" s="3322"/>
      <c r="H132" s="3322"/>
      <c r="I132" s="3322"/>
      <c r="J132" s="3322"/>
      <c r="K132" s="3322"/>
      <c r="L132" s="3322"/>
      <c r="M132" s="3322"/>
      <c r="N132" s="3326"/>
      <c r="O132" s="3322"/>
      <c r="P132" s="3413"/>
      <c r="Q132" s="3413"/>
      <c r="R132" s="3413"/>
      <c r="S132" s="3413"/>
      <c r="T132" s="3413"/>
      <c r="U132" s="3413"/>
      <c r="V132" s="3326"/>
      <c r="W132" s="3413"/>
      <c r="X132" s="3413"/>
      <c r="Y132" s="3413"/>
      <c r="Z132" s="3413"/>
      <c r="AA132" s="3413"/>
      <c r="AB132" s="3413"/>
      <c r="AC132" s="3326"/>
      <c r="AD132" s="3420"/>
      <c r="AE132" s="3420"/>
      <c r="AF132" s="3420"/>
      <c r="AG132" s="3420"/>
      <c r="AH132" s="3420"/>
      <c r="AI132" s="3420"/>
      <c r="AJ132" s="3326"/>
      <c r="AK132" s="3413"/>
      <c r="AL132" s="3413"/>
      <c r="AM132" s="3413"/>
      <c r="AN132" s="3413"/>
      <c r="AO132" s="3413"/>
      <c r="AP132" s="3413"/>
      <c r="AQ132" s="3326"/>
      <c r="AR132" s="3331"/>
    </row>
    <row r="133" s="3330" customFormat="1" customHeight="1" spans="1:44">
      <c r="A133" s="3315"/>
      <c r="B133" s="3315"/>
      <c r="C133" s="3410" t="s">
        <v>301</v>
      </c>
      <c r="D133" s="3410"/>
      <c r="E133" s="3410"/>
      <c r="F133" s="3410"/>
      <c r="G133" s="3410"/>
      <c r="H133" s="3410"/>
      <c r="I133" s="3315"/>
      <c r="J133" s="3315"/>
      <c r="K133" s="3326"/>
      <c r="L133" s="3326"/>
      <c r="M133" s="3326"/>
      <c r="N133" s="3326"/>
      <c r="O133" s="3315"/>
      <c r="P133" s="3414"/>
      <c r="Q133" s="3414"/>
      <c r="R133" s="3414"/>
      <c r="S133" s="3414"/>
      <c r="T133" s="3414"/>
      <c r="U133" s="3414"/>
      <c r="V133" s="3326"/>
      <c r="W133" s="3414"/>
      <c r="X133" s="3414"/>
      <c r="Y133" s="3414"/>
      <c r="Z133" s="3414"/>
      <c r="AA133" s="3414"/>
      <c r="AB133" s="3414"/>
      <c r="AC133" s="3326"/>
      <c r="AD133" s="3414"/>
      <c r="AE133" s="3414"/>
      <c r="AF133" s="3414"/>
      <c r="AG133" s="3414"/>
      <c r="AH133" s="3414"/>
      <c r="AI133" s="3414"/>
      <c r="AJ133" s="3326"/>
      <c r="AK133" s="3315"/>
      <c r="AL133" s="3315"/>
      <c r="AM133" s="3315"/>
      <c r="AN133" s="3315"/>
      <c r="AO133" s="3315"/>
      <c r="AP133" s="3315"/>
      <c r="AQ133" s="3326"/>
      <c r="AR133" s="3331"/>
    </row>
    <row r="134" s="3330" customFormat="1" customHeight="1" spans="1:44">
      <c r="A134" s="3315"/>
      <c r="B134" s="3315"/>
      <c r="C134" s="1" t="str">
        <f>+UV!C13</f>
        <v>Tanah</v>
      </c>
      <c r="D134" s="3315"/>
      <c r="E134" s="3315"/>
      <c r="F134" s="3315"/>
      <c r="G134" s="3315"/>
      <c r="H134" s="3315"/>
      <c r="I134" s="3315"/>
      <c r="J134" s="3315"/>
      <c r="K134" s="3326"/>
      <c r="L134" s="3326"/>
      <c r="M134" s="3326"/>
      <c r="N134" s="3326"/>
      <c r="O134" s="3315"/>
      <c r="P134" s="3415">
        <f>+UV!G13</f>
        <v>10715682004.9076</v>
      </c>
      <c r="Q134" s="3415"/>
      <c r="R134" s="3415"/>
      <c r="S134" s="3415"/>
      <c r="T134" s="3415"/>
      <c r="U134" s="3415"/>
      <c r="V134" s="3326"/>
      <c r="W134" s="3415">
        <f>+UV!H13</f>
        <v>0</v>
      </c>
      <c r="X134" s="3415"/>
      <c r="Y134" s="3415"/>
      <c r="Z134" s="3415"/>
      <c r="AA134" s="3415"/>
      <c r="AB134" s="3415"/>
      <c r="AC134" s="3326"/>
      <c r="AD134" s="3418">
        <f>+UV!I13</f>
        <v>0</v>
      </c>
      <c r="AE134" s="3418"/>
      <c r="AF134" s="3418"/>
      <c r="AG134" s="3418"/>
      <c r="AH134" s="3418"/>
      <c r="AI134" s="3418"/>
      <c r="AJ134" s="3326"/>
      <c r="AK134">
        <f>+P134+W134-AD134</f>
        <v>10715682004.9076</v>
      </c>
      <c r="AL134"/>
      <c r="AM134"/>
      <c r="AN134"/>
      <c r="AO134"/>
      <c r="AP134"/>
      <c r="AQ134" s="3326"/>
      <c r="AR134" s="3331"/>
    </row>
    <row r="135" s="3330" customFormat="1" customHeight="1" spans="1:44">
      <c r="A135" s="3315"/>
      <c r="B135" s="3315"/>
      <c r="C135" s="1" t="str">
        <f>+UV!C14</f>
        <v>Bangunan</v>
      </c>
      <c r="D135" s="3315"/>
      <c r="E135" s="3315"/>
      <c r="F135" s="3315"/>
      <c r="G135" s="3315"/>
      <c r="H135" s="3315"/>
      <c r="I135" s="3315"/>
      <c r="J135" s="3315"/>
      <c r="K135" s="3326"/>
      <c r="L135" s="3326"/>
      <c r="M135" s="3326"/>
      <c r="N135" s="3326"/>
      <c r="O135" s="3315"/>
      <c r="P135" s="3415">
        <f>+UV!G14</f>
        <v>2391499425.09237</v>
      </c>
      <c r="Q135" s="3415"/>
      <c r="R135" s="3415"/>
      <c r="S135" s="3415"/>
      <c r="T135" s="3415"/>
      <c r="U135" s="3415"/>
      <c r="V135" s="3326"/>
      <c r="W135" s="3415">
        <f>+UV!H14</f>
        <v>0</v>
      </c>
      <c r="X135" s="3415"/>
      <c r="Y135" s="3415"/>
      <c r="Z135" s="3415"/>
      <c r="AA135" s="3415"/>
      <c r="AB135" s="3415"/>
      <c r="AC135" s="3326"/>
      <c r="AD135" s="3418">
        <f>+UV!I14</f>
        <v>0</v>
      </c>
      <c r="AE135" s="3418"/>
      <c r="AF135" s="3418"/>
      <c r="AG135" s="3418"/>
      <c r="AH135" s="3418"/>
      <c r="AI135" s="3418"/>
      <c r="AJ135" s="3326"/>
      <c r="AK135">
        <f>+P135+W135-AD135</f>
        <v>2391499425.09237</v>
      </c>
      <c r="AL135"/>
      <c r="AM135"/>
      <c r="AN135"/>
      <c r="AO135"/>
      <c r="AP135"/>
      <c r="AQ135" s="3326"/>
      <c r="AR135" s="3331"/>
    </row>
    <row r="136" s="3330" customFormat="1" customHeight="1" spans="1:45">
      <c r="A136" s="3315"/>
      <c r="B136" s="3315"/>
      <c r="C136" s="1" t="str">
        <f>+UV!C15</f>
        <v>Kendaraan</v>
      </c>
      <c r="D136" s="3315"/>
      <c r="E136" s="3315"/>
      <c r="F136" s="3315"/>
      <c r="G136" s="3315"/>
      <c r="H136" s="3315"/>
      <c r="I136" s="3315"/>
      <c r="J136" s="3315"/>
      <c r="K136" s="3326"/>
      <c r="L136" s="3326"/>
      <c r="M136" s="3326"/>
      <c r="N136" s="3326"/>
      <c r="O136" s="3415"/>
      <c r="P136" s="3415">
        <f>+UV!G15</f>
        <v>2864397576</v>
      </c>
      <c r="Q136" s="3415"/>
      <c r="R136" s="3415"/>
      <c r="S136" s="3415"/>
      <c r="T136" s="3415"/>
      <c r="U136" s="3415"/>
      <c r="V136" s="3326"/>
      <c r="W136" s="3415">
        <f>+UV!H15</f>
        <v>0</v>
      </c>
      <c r="X136" s="3415"/>
      <c r="Y136" s="3415"/>
      <c r="Z136" s="3415"/>
      <c r="AA136" s="3415"/>
      <c r="AB136" s="3415"/>
      <c r="AC136" s="3326"/>
      <c r="AD136" s="3418">
        <f>+UV!I15</f>
        <v>870700000</v>
      </c>
      <c r="AE136" s="3418"/>
      <c r="AF136" s="3418"/>
      <c r="AG136" s="3418"/>
      <c r="AH136" s="3418"/>
      <c r="AI136" s="3418"/>
      <c r="AJ136" s="3326"/>
      <c r="AK136">
        <f>+P136+W136-AD136</f>
        <v>1993697576</v>
      </c>
      <c r="AL136"/>
      <c r="AM136"/>
      <c r="AN136"/>
      <c r="AO136"/>
      <c r="AP136"/>
      <c r="AQ136" s="3326"/>
      <c r="AS136" s="3331"/>
    </row>
    <row r="137" s="3330" customFormat="1" ht="11.4" spans="1:45">
      <c r="A137" s="3315"/>
      <c r="B137" s="3315"/>
      <c r="C137" s="1" t="str">
        <f>+UV!C16</f>
        <v>Peralatan Proyek</v>
      </c>
      <c r="D137" s="3315"/>
      <c r="E137" s="3315"/>
      <c r="F137" s="3315"/>
      <c r="G137" s="3315"/>
      <c r="H137" s="3315"/>
      <c r="I137" s="3315"/>
      <c r="J137" s="3315"/>
      <c r="K137" s="3326"/>
      <c r="L137" s="3326"/>
      <c r="M137" s="3326"/>
      <c r="N137" s="3326"/>
      <c r="O137" s="3415"/>
      <c r="P137" s="3415">
        <f>+UV!G16</f>
        <v>14400936400</v>
      </c>
      <c r="Q137" s="3415"/>
      <c r="R137" s="3415"/>
      <c r="S137" s="3415"/>
      <c r="T137" s="3415"/>
      <c r="U137" s="3415"/>
      <c r="V137" s="3326"/>
      <c r="W137" s="3415">
        <f>+UV!H16</f>
        <v>0</v>
      </c>
      <c r="X137" s="3415"/>
      <c r="Y137" s="3415"/>
      <c r="Z137" s="3415"/>
      <c r="AA137" s="3415"/>
      <c r="AB137" s="3415"/>
      <c r="AC137" s="3326"/>
      <c r="AD137" s="3418">
        <f>+UV!I16</f>
        <v>349097366.666667</v>
      </c>
      <c r="AE137" s="3418"/>
      <c r="AF137" s="3418"/>
      <c r="AG137" s="3418"/>
      <c r="AH137" s="3418"/>
      <c r="AI137" s="3418"/>
      <c r="AJ137" s="3326"/>
      <c r="AK137">
        <f>+P137+W137-AD137</f>
        <v>14051839033.3333</v>
      </c>
      <c r="AL137"/>
      <c r="AM137"/>
      <c r="AN137"/>
      <c r="AO137"/>
      <c r="AP137"/>
      <c r="AQ137" s="3326"/>
      <c r="AS137" s="3331"/>
    </row>
    <row r="138" s="3330" customFormat="1" ht="11.4" spans="1:45">
      <c r="A138" s="3315"/>
      <c r="B138" s="3315"/>
      <c r="C138" s="1" t="str">
        <f>+UV!C17</f>
        <v>Peralatan Kantor</v>
      </c>
      <c r="D138" s="3315"/>
      <c r="E138" s="3315"/>
      <c r="F138" s="3315"/>
      <c r="G138" s="3315"/>
      <c r="H138" s="3315"/>
      <c r="I138" s="3315"/>
      <c r="J138" s="3315"/>
      <c r="K138" s="3326"/>
      <c r="L138" s="3326"/>
      <c r="M138" s="3326"/>
      <c r="N138" s="3326"/>
      <c r="O138" s="3415"/>
      <c r="P138" s="3415">
        <f>+UV!G17</f>
        <v>415211400</v>
      </c>
      <c r="Q138" s="3415"/>
      <c r="R138" s="3415"/>
      <c r="S138" s="3415"/>
      <c r="T138" s="3415"/>
      <c r="U138" s="3415"/>
      <c r="V138" s="3326"/>
      <c r="W138" s="3415">
        <f>+UV!H17</f>
        <v>3225000</v>
      </c>
      <c r="X138" s="3415"/>
      <c r="Y138" s="3415"/>
      <c r="Z138" s="3415"/>
      <c r="AA138" s="3415"/>
      <c r="AB138" s="3415"/>
      <c r="AC138" s="3326"/>
      <c r="AD138" s="3418">
        <f>+UV!I17</f>
        <v>0</v>
      </c>
      <c r="AE138" s="3418"/>
      <c r="AF138" s="3418"/>
      <c r="AG138" s="3418"/>
      <c r="AH138" s="3418"/>
      <c r="AI138" s="3418"/>
      <c r="AJ138" s="3326"/>
      <c r="AK138">
        <f>+P138+W138-AD138</f>
        <v>418436400</v>
      </c>
      <c r="AL138"/>
      <c r="AM138"/>
      <c r="AN138"/>
      <c r="AO138"/>
      <c r="AP138"/>
      <c r="AQ138" s="3326"/>
      <c r="AS138" s="3331"/>
    </row>
    <row r="139" s="3330" customFormat="1" ht="4.5" customHeight="1" spans="1:45">
      <c r="A139" s="3315"/>
      <c r="B139" s="3315"/>
      <c r="C139" s="1"/>
      <c r="D139" s="3315"/>
      <c r="E139" s="3315"/>
      <c r="F139" s="3315"/>
      <c r="G139" s="3315"/>
      <c r="H139" s="3315"/>
      <c r="I139" s="3315"/>
      <c r="J139" s="3315"/>
      <c r="K139" s="3326"/>
      <c r="L139" s="3326"/>
      <c r="M139" s="3326"/>
      <c r="N139" s="3326"/>
      <c r="O139" s="3416"/>
      <c r="P139" s="3417"/>
      <c r="Q139" s="3417"/>
      <c r="R139" s="3417"/>
      <c r="S139" s="3417"/>
      <c r="T139" s="3417"/>
      <c r="U139" s="3417"/>
      <c r="V139" s="3326"/>
      <c r="W139" s="3417"/>
      <c r="X139" s="3417"/>
      <c r="Y139" s="3417"/>
      <c r="Z139" s="3417"/>
      <c r="AA139" s="3417"/>
      <c r="AB139" s="3417"/>
      <c r="AC139" s="3326"/>
      <c r="AD139" s="3421"/>
      <c r="AE139" s="3421"/>
      <c r="AF139" s="3421"/>
      <c r="AG139" s="3421"/>
      <c r="AH139" s="3421"/>
      <c r="AI139" s="3421"/>
      <c r="AJ139" s="3326"/>
      <c r="AK139" s="164"/>
      <c r="AL139" s="164"/>
      <c r="AM139" s="164"/>
      <c r="AN139" s="164"/>
      <c r="AO139" s="164"/>
      <c r="AP139" s="164"/>
      <c r="AQ139" s="3326"/>
      <c r="AS139" s="3331"/>
    </row>
    <row r="140" s="3330" customFormat="1" spans="1:45">
      <c r="A140" s="3315"/>
      <c r="C140" s="22" t="s">
        <v>396</v>
      </c>
      <c r="D140" s="3315"/>
      <c r="E140" s="3315"/>
      <c r="F140" s="3315"/>
      <c r="G140" s="3315"/>
      <c r="H140" s="3315"/>
      <c r="I140" s="3315"/>
      <c r="J140" s="3315"/>
      <c r="K140" s="3326"/>
      <c r="L140" s="3326"/>
      <c r="M140" s="3326"/>
      <c r="N140" s="3326"/>
      <c r="O140" s="3415"/>
      <c r="P140" s="3415">
        <f>SUM(P134:U139)</f>
        <v>30787726806</v>
      </c>
      <c r="Q140" s="3415"/>
      <c r="R140" s="3415"/>
      <c r="S140" s="3415"/>
      <c r="T140" s="3415"/>
      <c r="U140" s="3415"/>
      <c r="V140" s="3326"/>
      <c r="W140" s="3415">
        <f>SUM(W134:AB139)</f>
        <v>3225000</v>
      </c>
      <c r="X140" s="3415"/>
      <c r="Y140" s="3415"/>
      <c r="Z140" s="3415"/>
      <c r="AA140" s="3415"/>
      <c r="AB140" s="3415"/>
      <c r="AC140" s="3326"/>
      <c r="AD140" s="3422">
        <f>SUM(AD134:AI139)</f>
        <v>1219797366.66667</v>
      </c>
      <c r="AE140" s="3422"/>
      <c r="AF140" s="3422"/>
      <c r="AG140" s="3422"/>
      <c r="AH140" s="3422"/>
      <c r="AI140" s="3422"/>
      <c r="AJ140" s="3326"/>
      <c r="AK140">
        <f>SUM(AK134:AP139)</f>
        <v>29571154439.3333</v>
      </c>
      <c r="AL140"/>
      <c r="AM140"/>
      <c r="AN140"/>
      <c r="AO140"/>
      <c r="AP140"/>
      <c r="AQ140" s="3326">
        <f>+AK140-'F1'!P30</f>
        <v>0</v>
      </c>
      <c r="AS140" s="3331"/>
    </row>
    <row r="141" s="3330" customFormat="1" hidden="1" customHeight="1" spans="1:45">
      <c r="A141" s="3315"/>
      <c r="B141" s="3315"/>
      <c r="C141" t="s">
        <v>1818</v>
      </c>
      <c r="D141" s="3315"/>
      <c r="E141" s="3315"/>
      <c r="F141" s="3315"/>
      <c r="G141" s="3315"/>
      <c r="H141" s="3315"/>
      <c r="I141" s="3315"/>
      <c r="J141" s="3315"/>
      <c r="K141" s="3326"/>
      <c r="L141" s="3326"/>
      <c r="M141" s="3326"/>
      <c r="N141" s="3326"/>
      <c r="O141">
        <v>0</v>
      </c>
      <c r="P141"/>
      <c r="Q141"/>
      <c r="R141"/>
      <c r="S141"/>
      <c r="T141"/>
      <c r="U141"/>
      <c r="V141" s="3326"/>
      <c r="W141" s="3415">
        <f>UV!P21+UV!T21</f>
        <v>0</v>
      </c>
      <c r="X141" s="3415"/>
      <c r="Y141" s="3415"/>
      <c r="Z141" s="3415"/>
      <c r="AA141" s="3415"/>
      <c r="AB141" s="3415"/>
      <c r="AC141" s="3326"/>
      <c r="AD141" s="3418">
        <v>0</v>
      </c>
      <c r="AE141" s="3418"/>
      <c r="AF141" s="3418"/>
      <c r="AG141" s="3418"/>
      <c r="AH141" s="3418"/>
      <c r="AI141" s="3418"/>
      <c r="AJ141" s="3326"/>
      <c r="AK141">
        <f>+O141+W141+AD141</f>
        <v>0</v>
      </c>
      <c r="AL141"/>
      <c r="AM141"/>
      <c r="AN141"/>
      <c r="AO141"/>
      <c r="AP141"/>
      <c r="AQ141" s="3326"/>
      <c r="AS141" s="3331"/>
    </row>
    <row r="142" s="3330" customFormat="1" ht="9.2" customHeight="1" spans="1:45">
      <c r="A142" s="3315"/>
      <c r="B142" s="3315"/>
      <c r="C142" s="3315"/>
      <c r="D142" s="3315"/>
      <c r="E142" s="3315"/>
      <c r="F142" s="3315"/>
      <c r="G142" s="3315"/>
      <c r="H142" s="3315"/>
      <c r="I142" s="3315"/>
      <c r="J142" s="3315"/>
      <c r="K142" s="3326"/>
      <c r="L142" s="3326"/>
      <c r="M142" s="3326"/>
      <c r="N142" s="3326"/>
      <c r="O142" s="3315"/>
      <c r="P142" s="3315"/>
      <c r="Q142" s="3315"/>
      <c r="R142" s="3315"/>
      <c r="S142" s="3315"/>
      <c r="T142" s="3315"/>
      <c r="U142" s="3315"/>
      <c r="V142" s="3326"/>
      <c r="W142" s="3315"/>
      <c r="X142" s="3315"/>
      <c r="Y142" s="3315"/>
      <c r="Z142" s="3315"/>
      <c r="AA142" s="3315"/>
      <c r="AB142" s="3315"/>
      <c r="AC142" s="3326"/>
      <c r="AD142" s="3315"/>
      <c r="AE142" s="3315"/>
      <c r="AF142" s="3315"/>
      <c r="AG142" s="3315"/>
      <c r="AH142" s="3315"/>
      <c r="AI142" s="3315"/>
      <c r="AJ142" s="3326"/>
      <c r="AK142"/>
      <c r="AL142"/>
      <c r="AM142"/>
      <c r="AN142"/>
      <c r="AO142"/>
      <c r="AP142"/>
      <c r="AQ142" s="3326"/>
      <c r="AS142" s="3331"/>
    </row>
    <row r="143" s="3330" customFormat="1" customHeight="1" spans="1:45">
      <c r="A143" s="3315"/>
      <c r="B143" s="3315"/>
      <c r="C143" s="3409" t="s">
        <v>147</v>
      </c>
      <c r="D143" s="3315"/>
      <c r="E143" s="3315"/>
      <c r="F143" s="3315"/>
      <c r="G143" s="3315"/>
      <c r="H143" s="3315"/>
      <c r="I143" s="3315"/>
      <c r="J143" s="3315"/>
      <c r="K143" s="3326"/>
      <c r="L143" s="3326"/>
      <c r="M143" s="3326"/>
      <c r="N143" s="3326"/>
      <c r="O143" s="3315"/>
      <c r="P143" s="3415"/>
      <c r="Q143" s="3415"/>
      <c r="R143" s="3415"/>
      <c r="S143" s="3415"/>
      <c r="T143" s="3415"/>
      <c r="U143" s="3415"/>
      <c r="V143" s="3326"/>
      <c r="W143" s="3414"/>
      <c r="X143" s="3414"/>
      <c r="Y143" s="3414"/>
      <c r="Z143" s="3414"/>
      <c r="AA143" s="3414"/>
      <c r="AB143" s="3414"/>
      <c r="AC143" s="3326"/>
      <c r="AD143" s="3414"/>
      <c r="AE143" s="3414"/>
      <c r="AF143" s="3414"/>
      <c r="AG143" s="3414"/>
      <c r="AH143" s="3414"/>
      <c r="AI143" s="3414"/>
      <c r="AJ143" s="3326"/>
      <c r="AK143"/>
      <c r="AL143"/>
      <c r="AM143"/>
      <c r="AN143"/>
      <c r="AO143"/>
      <c r="AP143"/>
      <c r="AQ143" s="3326"/>
      <c r="AS143" s="3331"/>
    </row>
    <row r="144" s="3330" customFormat="1" customHeight="1" spans="1:45">
      <c r="A144" s="3315"/>
      <c r="B144" s="3315"/>
      <c r="C144" s="1" t="str">
        <f>+C135</f>
        <v>Bangunan</v>
      </c>
      <c r="D144" s="3411"/>
      <c r="E144" s="3315"/>
      <c r="F144" s="3315"/>
      <c r="G144" s="3315"/>
      <c r="H144" s="3315"/>
      <c r="I144" s="3315"/>
      <c r="J144" s="3315"/>
      <c r="K144" s="3326"/>
      <c r="L144" s="3326"/>
      <c r="M144" s="3326"/>
      <c r="N144" s="3326"/>
      <c r="O144" s="3415"/>
      <c r="P144" s="3415">
        <f>+UV!G26</f>
        <v>784364276.986093</v>
      </c>
      <c r="Q144" s="3415"/>
      <c r="R144" s="3415"/>
      <c r="S144" s="3415"/>
      <c r="T144" s="3415"/>
      <c r="U144" s="3415"/>
      <c r="V144" s="3326"/>
      <c r="W144" s="3418">
        <f>+UV!H26</f>
        <v>265644087.700619</v>
      </c>
      <c r="X144" s="3418"/>
      <c r="Y144" s="3418"/>
      <c r="Z144" s="3418"/>
      <c r="AA144" s="3418"/>
      <c r="AB144" s="3418"/>
      <c r="AC144" s="3326"/>
      <c r="AD144" s="3418">
        <f>+UV!I26</f>
        <v>0</v>
      </c>
      <c r="AE144" s="3418"/>
      <c r="AF144" s="3418"/>
      <c r="AG144" s="3418"/>
      <c r="AH144" s="3418"/>
      <c r="AI144" s="3418"/>
      <c r="AJ144" s="3326"/>
      <c r="AK144">
        <f>+P144+W144-AD144</f>
        <v>1050008364.68671</v>
      </c>
      <c r="AL144"/>
      <c r="AM144"/>
      <c r="AN144"/>
      <c r="AO144"/>
      <c r="AP144"/>
      <c r="AQ144" s="3326"/>
      <c r="AS144" s="3331"/>
    </row>
    <row r="145" s="3330" customFormat="1" customHeight="1" spans="1:45">
      <c r="A145" s="3315"/>
      <c r="B145" s="3315"/>
      <c r="C145" s="1" t="str">
        <f>+C136</f>
        <v>Kendaraan</v>
      </c>
      <c r="D145" s="3411"/>
      <c r="E145" s="3315"/>
      <c r="F145" s="3315"/>
      <c r="G145" s="3315"/>
      <c r="H145" s="3315"/>
      <c r="I145" s="3315"/>
      <c r="J145" s="3315"/>
      <c r="K145" s="3326"/>
      <c r="L145" s="3326"/>
      <c r="M145" s="3326"/>
      <c r="N145" s="3326"/>
      <c r="O145" s="3415"/>
      <c r="P145" s="3415">
        <f>+UV!G27</f>
        <v>975943042.875</v>
      </c>
      <c r="Q145" s="3415"/>
      <c r="R145" s="3415"/>
      <c r="S145" s="3415"/>
      <c r="T145" s="3415"/>
      <c r="U145" s="3415"/>
      <c r="V145" s="3326"/>
      <c r="W145" s="3418">
        <f>+UV!H27</f>
        <v>245099697</v>
      </c>
      <c r="X145" s="3418"/>
      <c r="Y145" s="3418"/>
      <c r="Z145" s="3418"/>
      <c r="AA145" s="3418"/>
      <c r="AB145" s="3418"/>
      <c r="AC145" s="3326"/>
      <c r="AD145" s="3418">
        <f>+UV!I27</f>
        <v>358954166</v>
      </c>
      <c r="AE145" s="3418"/>
      <c r="AF145" s="3418"/>
      <c r="AG145" s="3418"/>
      <c r="AH145" s="3418"/>
      <c r="AI145" s="3418"/>
      <c r="AJ145" s="3326"/>
      <c r="AK145">
        <f>+P145+W145-AD145</f>
        <v>862088573.875</v>
      </c>
      <c r="AL145"/>
      <c r="AM145"/>
      <c r="AN145"/>
      <c r="AO145"/>
      <c r="AP145"/>
      <c r="AQ145" s="3326"/>
      <c r="AS145" s="3331"/>
    </row>
    <row r="146" s="3330" customFormat="1" customHeight="1" spans="1:45">
      <c r="A146" s="3315"/>
      <c r="B146" s="3315"/>
      <c r="C146" s="1" t="str">
        <f>+C137</f>
        <v>Peralatan Proyek</v>
      </c>
      <c r="D146" s="3315"/>
      <c r="E146" s="3315"/>
      <c r="F146" s="3315"/>
      <c r="G146" s="3315"/>
      <c r="H146" s="3315"/>
      <c r="I146" s="3315"/>
      <c r="J146" s="3315"/>
      <c r="K146" s="3326"/>
      <c r="L146" s="3326"/>
      <c r="M146" s="3326"/>
      <c r="N146" s="3326"/>
      <c r="O146" s="3415"/>
      <c r="P146" s="3415">
        <f>+UV!G28</f>
        <v>9691372738.54167</v>
      </c>
      <c r="Q146" s="3415"/>
      <c r="R146" s="3415"/>
      <c r="S146" s="3415"/>
      <c r="T146" s="3415"/>
      <c r="U146" s="3415"/>
      <c r="V146" s="3326"/>
      <c r="W146" s="3418">
        <f>+UV!H28</f>
        <v>1743625816.66667</v>
      </c>
      <c r="X146" s="3418"/>
      <c r="Y146" s="3418"/>
      <c r="Z146" s="3418"/>
      <c r="AA146" s="3418"/>
      <c r="AB146" s="3418"/>
      <c r="AC146" s="3326"/>
      <c r="AD146" s="3418">
        <f>+UV!I28</f>
        <v>120002220.166667</v>
      </c>
      <c r="AE146" s="3418"/>
      <c r="AF146" s="3418"/>
      <c r="AG146" s="3418"/>
      <c r="AH146" s="3418"/>
      <c r="AI146" s="3418"/>
      <c r="AJ146" s="3326"/>
      <c r="AK146">
        <f>+P146+W146-AD146</f>
        <v>11314996335.0417</v>
      </c>
      <c r="AL146"/>
      <c r="AM146"/>
      <c r="AN146"/>
      <c r="AO146"/>
      <c r="AP146"/>
      <c r="AQ146" s="3326"/>
      <c r="AS146" s="3331"/>
    </row>
    <row r="147" s="3330" customFormat="1" customHeight="1" spans="1:45">
      <c r="A147" s="3315"/>
      <c r="B147" s="3315"/>
      <c r="C147" s="1" t="str">
        <f>+C138</f>
        <v>Peralatan Kantor</v>
      </c>
      <c r="D147" s="3315"/>
      <c r="E147" s="3315"/>
      <c r="F147" s="3315"/>
      <c r="G147" s="3315"/>
      <c r="H147" s="3315"/>
      <c r="I147" s="3315"/>
      <c r="J147" s="3315"/>
      <c r="K147" s="3326"/>
      <c r="L147" s="3326"/>
      <c r="M147" s="3326"/>
      <c r="N147" s="3326"/>
      <c r="O147" s="3415"/>
      <c r="P147" s="3415">
        <f>+UV!G29</f>
        <v>325375243.75</v>
      </c>
      <c r="Q147" s="3415"/>
      <c r="R147" s="3415"/>
      <c r="S147" s="3415"/>
      <c r="T147" s="3415"/>
      <c r="U147" s="3415"/>
      <c r="V147" s="3326"/>
      <c r="W147" s="3418">
        <f>+UV!H29</f>
        <v>44176962.5</v>
      </c>
      <c r="X147" s="3418"/>
      <c r="Y147" s="3418"/>
      <c r="Z147" s="3418"/>
      <c r="AA147" s="3418"/>
      <c r="AB147" s="3418"/>
      <c r="AC147" s="3326"/>
      <c r="AD147" s="3418">
        <f>+UV!I29</f>
        <v>0</v>
      </c>
      <c r="AE147" s="3418"/>
      <c r="AF147" s="3418"/>
      <c r="AG147" s="3418"/>
      <c r="AH147" s="3418"/>
      <c r="AI147" s="3418"/>
      <c r="AJ147" s="3326"/>
      <c r="AK147">
        <f>+P147+W147-AD147</f>
        <v>369552206.25</v>
      </c>
      <c r="AL147"/>
      <c r="AM147"/>
      <c r="AN147"/>
      <c r="AO147"/>
      <c r="AP147"/>
      <c r="AQ147" s="3326"/>
      <c r="AS147" s="3331"/>
    </row>
    <row r="148" s="3330" customFormat="1" ht="4.5" customHeight="1" spans="1:45">
      <c r="A148" s="3315"/>
      <c r="B148" s="3315"/>
      <c r="C148" s="3411"/>
      <c r="D148" s="3315"/>
      <c r="E148" s="3315"/>
      <c r="F148" s="3315"/>
      <c r="G148" s="3315"/>
      <c r="H148" s="3315"/>
      <c r="I148" s="3315"/>
      <c r="J148" s="3315"/>
      <c r="K148" s="3326"/>
      <c r="L148" s="3326"/>
      <c r="M148" s="3326"/>
      <c r="N148" s="3326"/>
      <c r="O148" s="3416"/>
      <c r="P148" s="3417"/>
      <c r="Q148" s="3417"/>
      <c r="R148" s="3417"/>
      <c r="S148" s="3417"/>
      <c r="T148" s="3417"/>
      <c r="U148" s="3417"/>
      <c r="V148" s="3326"/>
      <c r="W148" s="3417"/>
      <c r="X148" s="3417"/>
      <c r="Y148" s="3417"/>
      <c r="Z148" s="3417"/>
      <c r="AA148" s="3417"/>
      <c r="AB148" s="3417"/>
      <c r="AC148" s="3326"/>
      <c r="AD148" s="3421"/>
      <c r="AE148" s="3421"/>
      <c r="AF148" s="3421"/>
      <c r="AG148" s="3421"/>
      <c r="AH148" s="3421"/>
      <c r="AI148" s="3421"/>
      <c r="AJ148" s="3326"/>
      <c r="AK148" s="3417"/>
      <c r="AL148" s="3417"/>
      <c r="AM148" s="3417"/>
      <c r="AN148" s="3417"/>
      <c r="AO148" s="3417"/>
      <c r="AP148" s="3417"/>
      <c r="AQ148" s="3326"/>
      <c r="AS148" s="3331"/>
    </row>
    <row r="149" s="3330" customFormat="1" customHeight="1" spans="1:45">
      <c r="A149" s="3315"/>
      <c r="B149" s="3315"/>
      <c r="C149" s="3322" t="s">
        <v>151</v>
      </c>
      <c r="D149" s="3315"/>
      <c r="E149" s="3315"/>
      <c r="F149" s="3315"/>
      <c r="G149" s="3315"/>
      <c r="H149" s="3315"/>
      <c r="I149" s="3315"/>
      <c r="J149" s="3315"/>
      <c r="K149" s="3326"/>
      <c r="L149" s="3326"/>
      <c r="M149" s="3326"/>
      <c r="N149" s="3326"/>
      <c r="O149" s="3416"/>
      <c r="P149" s="3415">
        <f>SUM(P144:U148)</f>
        <v>11777055302.1528</v>
      </c>
      <c r="Q149" s="3415"/>
      <c r="R149" s="3415"/>
      <c r="S149" s="3415"/>
      <c r="T149" s="3415"/>
      <c r="U149" s="3415"/>
      <c r="V149" s="3326"/>
      <c r="W149" s="3415">
        <f>SUM(W144:AB148)</f>
        <v>2298546563.86729</v>
      </c>
      <c r="X149" s="3415"/>
      <c r="Y149" s="3415"/>
      <c r="Z149" s="3415"/>
      <c r="AA149" s="3415"/>
      <c r="AB149" s="3415"/>
      <c r="AC149" s="3326"/>
      <c r="AD149" s="3415">
        <f>SUM(AD144:AI148)</f>
        <v>478956386.166667</v>
      </c>
      <c r="AE149" s="3415"/>
      <c r="AF149" s="3415"/>
      <c r="AG149" s="3415"/>
      <c r="AH149" s="3415"/>
      <c r="AI149" s="3415"/>
      <c r="AJ149" s="3326"/>
      <c r="AK149" s="3415">
        <f>SUM(AK144:AP148)</f>
        <v>13596645479.8534</v>
      </c>
      <c r="AL149" s="3415"/>
      <c r="AM149" s="3415"/>
      <c r="AN149" s="3415"/>
      <c r="AO149" s="3415"/>
      <c r="AP149" s="3415"/>
      <c r="AQ149" s="3326"/>
      <c r="AS149" s="3331"/>
    </row>
    <row r="150" s="3330" customFormat="1" ht="6" customHeight="1" spans="1:45">
      <c r="A150" s="3315"/>
      <c r="B150" s="3315"/>
      <c r="C150" s="3411"/>
      <c r="D150" s="3315"/>
      <c r="E150" s="3315"/>
      <c r="F150" s="3315"/>
      <c r="G150" s="3315"/>
      <c r="H150" s="3315"/>
      <c r="I150" s="3315"/>
      <c r="J150" s="3315"/>
      <c r="K150" s="3326"/>
      <c r="L150" s="3326"/>
      <c r="M150" s="3326"/>
      <c r="N150" s="3326"/>
      <c r="O150" s="3416"/>
      <c r="P150" s="3415"/>
      <c r="Q150" s="3415"/>
      <c r="R150" s="3415"/>
      <c r="S150" s="3415"/>
      <c r="T150" s="3415"/>
      <c r="U150" s="3415"/>
      <c r="V150" s="3326"/>
      <c r="W150" s="3418"/>
      <c r="X150" s="3418"/>
      <c r="Y150" s="3418"/>
      <c r="Z150" s="3418"/>
      <c r="AA150" s="3418"/>
      <c r="AB150" s="3418"/>
      <c r="AC150" s="3326"/>
      <c r="AD150" s="3418"/>
      <c r="AE150" s="3418"/>
      <c r="AF150" s="3418"/>
      <c r="AG150" s="3418"/>
      <c r="AH150" s="3418"/>
      <c r="AI150" s="3418"/>
      <c r="AJ150" s="3326"/>
      <c r="AK150" s="3415"/>
      <c r="AL150" s="3415"/>
      <c r="AM150" s="3415"/>
      <c r="AN150" s="3415"/>
      <c r="AO150" s="3415"/>
      <c r="AP150" s="3415"/>
      <c r="AQ150" s="3326"/>
      <c r="AS150" s="3331"/>
    </row>
    <row r="151" s="3330" customFormat="1" customHeight="1" spans="1:45">
      <c r="A151" s="3315"/>
      <c r="B151" s="3315"/>
      <c r="C151" s="3322" t="s">
        <v>1819</v>
      </c>
      <c r="D151" s="3322"/>
      <c r="E151" s="3322"/>
      <c r="F151" s="3322"/>
      <c r="G151" s="3322"/>
      <c r="H151" s="3322"/>
      <c r="I151" s="3322"/>
      <c r="J151" s="3322"/>
      <c r="K151" s="3326"/>
      <c r="L151" s="3326"/>
      <c r="M151" s="3326"/>
      <c r="N151" s="3326"/>
      <c r="O151" s="94"/>
      <c r="P151" s="3324">
        <f>+P140+O141-P149</f>
        <v>19010671503.8472</v>
      </c>
      <c r="Q151" s="3324"/>
      <c r="R151" s="3324"/>
      <c r="S151" s="3324"/>
      <c r="T151" s="3324"/>
      <c r="U151" s="3324"/>
      <c r="V151" s="3326"/>
      <c r="W151" s="3418"/>
      <c r="X151" s="3418"/>
      <c r="Y151" s="3418"/>
      <c r="Z151" s="3418"/>
      <c r="AA151" s="3418"/>
      <c r="AB151" s="3418"/>
      <c r="AC151" s="3326"/>
      <c r="AJ151" s="3326"/>
      <c r="AK151" s="3423">
        <f>+AK140+AK141-AK149</f>
        <v>15974508959.48</v>
      </c>
      <c r="AL151" s="3423"/>
      <c r="AM151" s="3423"/>
      <c r="AN151" s="3423"/>
      <c r="AO151" s="3423"/>
      <c r="AP151" s="3423"/>
      <c r="AQ151" s="3326">
        <f>+AK151-'F1'!P32</f>
        <v>-0.333332061767578</v>
      </c>
      <c r="AS151" s="3331"/>
    </row>
    <row r="152" s="3330" customFormat="1" customHeight="1" spans="1:45">
      <c r="A152" s="3315"/>
      <c r="B152" s="3315"/>
      <c r="C152" s="3322"/>
      <c r="D152" s="3322"/>
      <c r="E152" s="3322"/>
      <c r="F152" s="3322"/>
      <c r="G152" s="3322"/>
      <c r="H152" s="3322"/>
      <c r="I152" s="3322"/>
      <c r="J152" s="3322"/>
      <c r="K152" s="3326"/>
      <c r="L152" s="3326"/>
      <c r="M152" s="3326"/>
      <c r="N152" s="3326"/>
      <c r="O152" s="94"/>
      <c r="P152" s="3415">
        <f>+AK183-P151</f>
        <v>0</v>
      </c>
      <c r="Q152" s="3415"/>
      <c r="R152" s="3415"/>
      <c r="S152" s="3415"/>
      <c r="T152" s="3415"/>
      <c r="U152" s="3415"/>
      <c r="V152" s="3326"/>
      <c r="W152" s="3418"/>
      <c r="X152" s="3418"/>
      <c r="Y152" s="3418"/>
      <c r="Z152" s="3418"/>
      <c r="AA152" s="3418"/>
      <c r="AB152" s="3418"/>
      <c r="AC152" s="3326"/>
      <c r="AJ152" s="3326"/>
      <c r="AK152" s="3424"/>
      <c r="AL152" s="3424"/>
      <c r="AM152" s="3424"/>
      <c r="AN152" s="3424"/>
      <c r="AO152" s="3424"/>
      <c r="AP152" s="3424"/>
      <c r="AQ152" s="3326"/>
      <c r="AS152" s="3331"/>
    </row>
    <row r="153" s="3330" customFormat="1" customHeight="1" spans="1:45">
      <c r="A153" s="3315"/>
      <c r="B153" s="3315"/>
      <c r="C153" s="3322"/>
      <c r="D153" s="3322"/>
      <c r="E153" s="3322"/>
      <c r="F153" s="3322"/>
      <c r="G153" s="3322"/>
      <c r="H153" s="3322"/>
      <c r="I153" s="3322"/>
      <c r="J153" s="3322"/>
      <c r="K153" s="3326"/>
      <c r="L153" s="3326"/>
      <c r="M153" s="3326"/>
      <c r="N153" s="3326"/>
      <c r="O153" s="94"/>
      <c r="P153" s="3415"/>
      <c r="Q153" s="3415"/>
      <c r="R153" s="3415"/>
      <c r="S153" s="3415"/>
      <c r="T153" s="3415"/>
      <c r="U153" s="3415"/>
      <c r="V153" s="3326"/>
      <c r="W153" s="3418"/>
      <c r="X153" s="3418"/>
      <c r="Y153" s="3418"/>
      <c r="Z153" s="3418"/>
      <c r="AA153" s="3418"/>
      <c r="AB153" s="3418"/>
      <c r="AC153" s="3326"/>
      <c r="AJ153" s="3326"/>
      <c r="AK153" s="3424"/>
      <c r="AL153" s="3424"/>
      <c r="AM153" s="3424"/>
      <c r="AN153" s="3424"/>
      <c r="AO153" s="3424"/>
      <c r="AP153" s="3424"/>
      <c r="AQ153" s="3326"/>
      <c r="AS153" s="3331"/>
    </row>
    <row r="154" s="3330" customFormat="1" customHeight="1" spans="1:45">
      <c r="A154" s="3315"/>
      <c r="B154" s="3315"/>
      <c r="C154" s="3322"/>
      <c r="D154" s="3322"/>
      <c r="E154" s="3322"/>
      <c r="F154" s="3322"/>
      <c r="G154" s="3322"/>
      <c r="H154" s="3322"/>
      <c r="I154" s="3322"/>
      <c r="J154" s="3322"/>
      <c r="K154" s="3326"/>
      <c r="L154" s="3326"/>
      <c r="M154" s="3326"/>
      <c r="N154" s="3326"/>
      <c r="O154" s="94"/>
      <c r="P154" s="3415"/>
      <c r="Q154" s="3415"/>
      <c r="R154" s="3415"/>
      <c r="S154" s="3415"/>
      <c r="T154" s="3415"/>
      <c r="U154" s="3415"/>
      <c r="V154" s="3326"/>
      <c r="W154" s="3418"/>
      <c r="X154" s="3418"/>
      <c r="Y154" s="3418"/>
      <c r="Z154" s="3418"/>
      <c r="AA154" s="3418"/>
      <c r="AB154" s="3418"/>
      <c r="AC154" s="3326"/>
      <c r="AJ154" s="3326"/>
      <c r="AK154" s="3424"/>
      <c r="AL154" s="3424"/>
      <c r="AM154" s="3424"/>
      <c r="AN154" s="3424"/>
      <c r="AO154" s="3424"/>
      <c r="AP154" s="3424"/>
      <c r="AQ154" s="3326"/>
      <c r="AS154" s="3331"/>
    </row>
    <row r="155" s="3330" customFormat="1" customHeight="1" spans="1:45">
      <c r="A155" s="3315"/>
      <c r="B155" s="3315"/>
      <c r="C155" s="3322"/>
      <c r="D155" s="3322"/>
      <c r="E155" s="3322"/>
      <c r="F155" s="3322"/>
      <c r="G155" s="3322"/>
      <c r="H155" s="3322"/>
      <c r="I155" s="3322"/>
      <c r="J155" s="3322"/>
      <c r="K155" s="3326"/>
      <c r="L155" s="3326"/>
      <c r="M155" s="3326"/>
      <c r="N155" s="3326"/>
      <c r="O155" s="94"/>
      <c r="P155" s="3415"/>
      <c r="Q155" s="3415"/>
      <c r="R155" s="3415"/>
      <c r="S155" s="3415"/>
      <c r="T155" s="3415"/>
      <c r="U155" s="3415"/>
      <c r="V155" s="3326"/>
      <c r="W155" s="3418"/>
      <c r="X155" s="3418"/>
      <c r="Y155" s="3418"/>
      <c r="Z155" s="3418"/>
      <c r="AA155" s="3418"/>
      <c r="AB155" s="3418"/>
      <c r="AC155" s="3326"/>
      <c r="AJ155" s="3326"/>
      <c r="AK155" s="3424"/>
      <c r="AL155" s="3424"/>
      <c r="AM155" s="3424"/>
      <c r="AN155" s="3424"/>
      <c r="AO155" s="3424"/>
      <c r="AP155" s="3424"/>
      <c r="AQ155" s="3326"/>
      <c r="AS155" s="3331"/>
    </row>
    <row r="156" s="3330" customFormat="1" customHeight="1" spans="1:45">
      <c r="A156" s="3315"/>
      <c r="B156" s="3315"/>
      <c r="C156" s="3322"/>
      <c r="D156" s="3322"/>
      <c r="E156" s="3322"/>
      <c r="F156" s="3322"/>
      <c r="G156" s="3322"/>
      <c r="H156" s="3322"/>
      <c r="I156" s="3322"/>
      <c r="J156" s="3322"/>
      <c r="K156" s="3326"/>
      <c r="L156" s="3326"/>
      <c r="M156" s="3326"/>
      <c r="N156" s="3326"/>
      <c r="O156" s="94"/>
      <c r="P156" s="3415"/>
      <c r="Q156" s="3415"/>
      <c r="R156" s="3415"/>
      <c r="S156" s="3415"/>
      <c r="T156" s="3415"/>
      <c r="U156" s="3415"/>
      <c r="V156" s="3326"/>
      <c r="W156" s="3418"/>
      <c r="X156" s="3418"/>
      <c r="Y156" s="3418"/>
      <c r="Z156" s="3418"/>
      <c r="AA156" s="3418"/>
      <c r="AB156" s="3418"/>
      <c r="AC156" s="3326"/>
      <c r="AJ156" s="3326"/>
      <c r="AK156" s="3424"/>
      <c r="AL156" s="3424"/>
      <c r="AM156" s="3424"/>
      <c r="AN156" s="3424"/>
      <c r="AO156" s="3424"/>
      <c r="AP156" s="3424"/>
      <c r="AQ156" s="3326"/>
      <c r="AS156" s="3331"/>
    </row>
    <row r="157" s="3330" customFormat="1" customHeight="1" spans="1:45">
      <c r="A157" s="3315"/>
      <c r="B157" s="3315"/>
      <c r="C157" s="3322"/>
      <c r="D157" s="3322"/>
      <c r="E157" s="3322"/>
      <c r="F157" s="3322"/>
      <c r="G157" s="3322"/>
      <c r="H157" s="3322"/>
      <c r="I157" s="3322"/>
      <c r="J157" s="3322"/>
      <c r="K157" s="3326"/>
      <c r="L157" s="3326"/>
      <c r="M157" s="3326"/>
      <c r="N157" s="3326"/>
      <c r="O157" s="94"/>
      <c r="P157" s="3415"/>
      <c r="Q157" s="3415"/>
      <c r="R157" s="3415"/>
      <c r="S157" s="3415"/>
      <c r="T157" s="3415"/>
      <c r="U157" s="3415"/>
      <c r="V157" s="3326"/>
      <c r="W157" s="3418"/>
      <c r="X157" s="3418"/>
      <c r="Y157" s="3418"/>
      <c r="Z157" s="3418"/>
      <c r="AA157" s="3418"/>
      <c r="AB157" s="3418"/>
      <c r="AC157" s="3326"/>
      <c r="AJ157" s="3326"/>
      <c r="AK157" s="3424"/>
      <c r="AL157" s="3424"/>
      <c r="AM157" s="3424"/>
      <c r="AN157" s="3424"/>
      <c r="AO157" s="3424"/>
      <c r="AP157" s="3424"/>
      <c r="AQ157" s="3326"/>
      <c r="AS157" s="3331"/>
    </row>
    <row r="158" s="3330" customFormat="1" customHeight="1" spans="1:45">
      <c r="A158" s="3315"/>
      <c r="B158" s="3315"/>
      <c r="C158" s="3322"/>
      <c r="D158" s="3322"/>
      <c r="E158" s="3322"/>
      <c r="F158" s="3322"/>
      <c r="G158" s="3322"/>
      <c r="H158" s="3322"/>
      <c r="I158" s="3322"/>
      <c r="J158" s="3322"/>
      <c r="K158" s="3326"/>
      <c r="L158" s="3326"/>
      <c r="M158" s="3326"/>
      <c r="N158" s="3326"/>
      <c r="O158" s="94"/>
      <c r="P158" s="3415"/>
      <c r="Q158" s="3415"/>
      <c r="R158" s="3415"/>
      <c r="S158" s="3415"/>
      <c r="T158" s="3415"/>
      <c r="U158" s="3415"/>
      <c r="V158" s="3326"/>
      <c r="W158" s="3418"/>
      <c r="X158" s="3418"/>
      <c r="Y158" s="3418"/>
      <c r="Z158" s="3418"/>
      <c r="AA158" s="3418"/>
      <c r="AB158" s="3418"/>
      <c r="AC158" s="3326"/>
      <c r="AJ158" s="3326"/>
      <c r="AK158" s="3424"/>
      <c r="AL158" s="3424"/>
      <c r="AM158" s="3424"/>
      <c r="AN158" s="3424"/>
      <c r="AO158" s="3424"/>
      <c r="AP158" s="3424"/>
      <c r="AQ158" s="3326"/>
      <c r="AS158" s="3331"/>
    </row>
    <row r="159" s="3330" customFormat="1" customHeight="1" spans="1:45">
      <c r="A159" s="3315"/>
      <c r="B159" s="3315"/>
      <c r="C159" s="3322"/>
      <c r="D159" s="3322"/>
      <c r="E159" s="3322"/>
      <c r="F159" s="3322"/>
      <c r="G159" s="3322"/>
      <c r="H159" s="3322"/>
      <c r="I159" s="3322"/>
      <c r="J159" s="3322"/>
      <c r="K159" s="3326"/>
      <c r="L159" s="3326"/>
      <c r="M159" s="3326"/>
      <c r="N159" s="3326"/>
      <c r="O159" s="94"/>
      <c r="P159" s="3415"/>
      <c r="Q159" s="3415"/>
      <c r="R159" s="3415"/>
      <c r="S159" s="3415"/>
      <c r="T159" s="3415"/>
      <c r="U159" s="3415"/>
      <c r="V159" s="3326"/>
      <c r="W159" s="3418"/>
      <c r="X159" s="3418"/>
      <c r="Y159" s="3418"/>
      <c r="Z159" s="3418"/>
      <c r="AA159" s="3418"/>
      <c r="AB159" s="3418"/>
      <c r="AC159" s="3326"/>
      <c r="AJ159" s="3326"/>
      <c r="AK159" s="3424"/>
      <c r="AL159" s="3424"/>
      <c r="AM159" s="3424"/>
      <c r="AN159" s="3424"/>
      <c r="AO159" s="3424"/>
      <c r="AP159" s="3424"/>
      <c r="AQ159" s="3326"/>
      <c r="AS159" s="3331"/>
    </row>
    <row r="160" s="3330" customFormat="1" customHeight="1" spans="1:45">
      <c r="A160" s="3315"/>
      <c r="B160" s="3315"/>
      <c r="C160" s="3322"/>
      <c r="D160" s="3322"/>
      <c r="E160" s="3322"/>
      <c r="F160" s="3322"/>
      <c r="G160" s="3322"/>
      <c r="H160" s="3322"/>
      <c r="I160" s="3322"/>
      <c r="J160" s="3322"/>
      <c r="K160" s="3326"/>
      <c r="L160" s="3326"/>
      <c r="M160" s="3326"/>
      <c r="N160" s="3326"/>
      <c r="O160" s="94"/>
      <c r="P160" s="3415"/>
      <c r="Q160" s="3415"/>
      <c r="R160" s="3415"/>
      <c r="S160" s="3415"/>
      <c r="T160" s="3415"/>
      <c r="U160" s="3415"/>
      <c r="V160" s="3326"/>
      <c r="W160" s="3418"/>
      <c r="X160" s="3418"/>
      <c r="Y160" s="3418"/>
      <c r="Z160" s="3418"/>
      <c r="AA160" s="3418"/>
      <c r="AB160" s="3418"/>
      <c r="AC160" s="3326"/>
      <c r="AJ160" s="3326"/>
      <c r="AK160" s="3424"/>
      <c r="AL160" s="3424"/>
      <c r="AM160" s="3424"/>
      <c r="AN160" s="3424"/>
      <c r="AO160" s="3424"/>
      <c r="AP160" s="3424"/>
      <c r="AQ160" s="3326"/>
      <c r="AS160" s="3331"/>
    </row>
    <row r="161" s="3330" customFormat="1" customHeight="1" spans="1:45">
      <c r="A161" s="3385">
        <f>+A96+1</f>
        <v>10</v>
      </c>
      <c r="B161" s="3385"/>
      <c r="C161" s="3385"/>
      <c r="D161" s="3385"/>
      <c r="E161" s="3385"/>
      <c r="F161" s="3385"/>
      <c r="G161" s="3385"/>
      <c r="H161" s="3385"/>
      <c r="I161" s="3385"/>
      <c r="J161" s="3385"/>
      <c r="K161" s="3385"/>
      <c r="L161" s="3385"/>
      <c r="M161" s="3385"/>
      <c r="N161" s="3385"/>
      <c r="O161" s="3385"/>
      <c r="P161" s="3385"/>
      <c r="Q161" s="3385"/>
      <c r="R161" s="3385"/>
      <c r="S161" s="3385"/>
      <c r="T161" s="3385"/>
      <c r="U161" s="3385"/>
      <c r="V161" s="3385"/>
      <c r="W161" s="3385"/>
      <c r="X161" s="3385"/>
      <c r="Y161" s="3385"/>
      <c r="Z161" s="3385"/>
      <c r="AA161" s="3385"/>
      <c r="AB161" s="3385"/>
      <c r="AC161" s="3385"/>
      <c r="AD161" s="3385"/>
      <c r="AE161" s="3385"/>
      <c r="AF161" s="3385"/>
      <c r="AG161" s="3385"/>
      <c r="AH161" s="3385"/>
      <c r="AI161" s="3385"/>
      <c r="AJ161" s="3385"/>
      <c r="AK161" s="3385"/>
      <c r="AL161" s="3385"/>
      <c r="AM161" s="3385"/>
      <c r="AN161" s="3385"/>
      <c r="AO161" s="3385"/>
      <c r="AP161" s="3385"/>
      <c r="AQ161" s="3326"/>
      <c r="AS161" s="3331"/>
    </row>
    <row r="162" s="3330" customFormat="1" customHeight="1" spans="1:45">
      <c r="A162" s="3335">
        <f>+A129</f>
        <v>8</v>
      </c>
      <c r="B162" s="64"/>
      <c r="C162" s="3322" t="s">
        <v>1820</v>
      </c>
      <c r="D162" s="64"/>
      <c r="E162" s="3322"/>
      <c r="F162" s="3322"/>
      <c r="G162" s="3322"/>
      <c r="H162" s="3322"/>
      <c r="I162" s="3322"/>
      <c r="J162" s="3322"/>
      <c r="K162" s="3326"/>
      <c r="L162" s="3326"/>
      <c r="M162" s="3326"/>
      <c r="N162" s="3326"/>
      <c r="O162" s="94"/>
      <c r="P162" s="3415"/>
      <c r="Q162" s="3415"/>
      <c r="R162" s="3415"/>
      <c r="S162" s="3415"/>
      <c r="T162" s="3415"/>
      <c r="U162" s="3415"/>
      <c r="V162" s="3326"/>
      <c r="W162" s="3418"/>
      <c r="X162" s="3418"/>
      <c r="Y162" s="3418"/>
      <c r="Z162" s="3418"/>
      <c r="AA162" s="3418"/>
      <c r="AB162" s="3418"/>
      <c r="AC162" s="3326"/>
      <c r="AJ162" s="3326"/>
      <c r="AK162" s="3424"/>
      <c r="AL162" s="3424"/>
      <c r="AM162" s="3424"/>
      <c r="AN162" s="3424"/>
      <c r="AO162" s="3424"/>
      <c r="AP162" s="3424"/>
      <c r="AQ162" s="3326"/>
      <c r="AS162" s="3331"/>
    </row>
    <row r="163" s="3330" customFormat="1" ht="8.45" customHeight="1" spans="1:45">
      <c r="A163" s="3315"/>
      <c r="B163" s="3315"/>
      <c r="C163" s="3322"/>
      <c r="D163" s="3322"/>
      <c r="E163" s="3322"/>
      <c r="F163" s="3322"/>
      <c r="G163" s="3322"/>
      <c r="H163" s="3322"/>
      <c r="I163" s="3322"/>
      <c r="J163" s="3322"/>
      <c r="K163" s="3326"/>
      <c r="L163" s="3326"/>
      <c r="M163" s="3326"/>
      <c r="N163" s="3326"/>
      <c r="O163" s="94"/>
      <c r="P163" s="3415"/>
      <c r="Q163" s="3415"/>
      <c r="R163" s="3415"/>
      <c r="S163" s="3415"/>
      <c r="T163" s="3415"/>
      <c r="U163" s="3415"/>
      <c r="V163" s="3326"/>
      <c r="W163" s="3418"/>
      <c r="X163" s="3418"/>
      <c r="Y163" s="3418"/>
      <c r="Z163" s="3418"/>
      <c r="AA163" s="3418"/>
      <c r="AB163" s="3418"/>
      <c r="AC163" s="3326"/>
      <c r="AJ163" s="3326"/>
      <c r="AK163" s="3424"/>
      <c r="AL163" s="3424"/>
      <c r="AM163" s="3424"/>
      <c r="AN163" s="3424"/>
      <c r="AO163" s="3424"/>
      <c r="AP163" s="3424"/>
      <c r="AQ163" s="3326"/>
      <c r="AS163" s="3331"/>
    </row>
    <row r="164" s="3330" customFormat="1" customHeight="1" spans="1:44">
      <c r="A164" s="3315"/>
      <c r="B164" s="3315"/>
      <c r="C164" s="5085" t="s">
        <v>1821</v>
      </c>
      <c r="D164" s="3408"/>
      <c r="E164" s="3408"/>
      <c r="F164" s="3408"/>
      <c r="G164" s="3408"/>
      <c r="H164" s="3408"/>
      <c r="I164" s="3322"/>
      <c r="J164" s="3322"/>
      <c r="K164" s="3322"/>
      <c r="L164" s="3322"/>
      <c r="M164" s="3322"/>
      <c r="N164" s="3326"/>
      <c r="O164" s="3322"/>
      <c r="P164" s="3335" t="s">
        <v>1028</v>
      </c>
      <c r="Q164" s="3335"/>
      <c r="R164" s="3335"/>
      <c r="S164" s="3335"/>
      <c r="T164" s="3335"/>
      <c r="U164" s="3335"/>
      <c r="V164" s="3326"/>
      <c r="W164" s="3335" t="s">
        <v>1816</v>
      </c>
      <c r="X164" s="3335"/>
      <c r="Y164" s="3335"/>
      <c r="Z164" s="3335"/>
      <c r="AA164" s="3335"/>
      <c r="AB164" s="3335"/>
      <c r="AC164" s="3326"/>
      <c r="AD164" s="3419" t="s">
        <v>1817</v>
      </c>
      <c r="AE164" s="3419"/>
      <c r="AF164" s="3419"/>
      <c r="AG164" s="3419"/>
      <c r="AH164" s="3419"/>
      <c r="AI164" s="3419"/>
      <c r="AJ164" s="3326"/>
      <c r="AK164" s="3335" t="s">
        <v>1030</v>
      </c>
      <c r="AL164" s="3335"/>
      <c r="AM164" s="3335"/>
      <c r="AN164" s="3335"/>
      <c r="AO164" s="3335"/>
      <c r="AP164" s="3335"/>
      <c r="AQ164" s="3326"/>
      <c r="AR164" s="3331"/>
    </row>
    <row r="165" s="3330" customFormat="1" customHeight="1" spans="1:44">
      <c r="A165" s="3315"/>
      <c r="B165" s="3315"/>
      <c r="C165" s="3412"/>
      <c r="D165" s="3412"/>
      <c r="E165" s="3412"/>
      <c r="F165" s="3412"/>
      <c r="G165" s="3322"/>
      <c r="H165" s="3322"/>
      <c r="I165" s="3322"/>
      <c r="J165" s="3322"/>
      <c r="K165" s="3322"/>
      <c r="L165" s="3322"/>
      <c r="M165" s="3322"/>
      <c r="N165" s="3326"/>
      <c r="O165" s="3322"/>
      <c r="P165" s="3413"/>
      <c r="Q165" s="3413"/>
      <c r="R165" s="3413"/>
      <c r="S165" s="3413"/>
      <c r="T165" s="3413"/>
      <c r="U165" s="3413"/>
      <c r="V165" s="3326"/>
      <c r="W165" s="3413"/>
      <c r="X165" s="3413"/>
      <c r="Y165" s="3413"/>
      <c r="Z165" s="3413"/>
      <c r="AA165" s="3413"/>
      <c r="AB165" s="3413"/>
      <c r="AC165" s="3326"/>
      <c r="AD165" s="3420"/>
      <c r="AE165" s="3420"/>
      <c r="AF165" s="3420"/>
      <c r="AG165" s="3420"/>
      <c r="AH165" s="3420"/>
      <c r="AI165" s="3420"/>
      <c r="AJ165" s="3326"/>
      <c r="AK165" s="3413"/>
      <c r="AL165" s="3413"/>
      <c r="AM165" s="3413"/>
      <c r="AN165" s="3413"/>
      <c r="AO165" s="3413"/>
      <c r="AP165" s="3413"/>
      <c r="AQ165" s="3326"/>
      <c r="AR165" s="3331"/>
    </row>
    <row r="166" s="3330" customFormat="1" customHeight="1" spans="1:44">
      <c r="A166" s="3315"/>
      <c r="B166" s="3315"/>
      <c r="C166" s="3409" t="s">
        <v>301</v>
      </c>
      <c r="D166" s="3315"/>
      <c r="E166" s="3315"/>
      <c r="F166" s="3315"/>
      <c r="G166" s="3315"/>
      <c r="H166" s="3315"/>
      <c r="I166" s="3315"/>
      <c r="J166" s="3315"/>
      <c r="K166" s="3326"/>
      <c r="L166" s="3326"/>
      <c r="M166" s="3326"/>
      <c r="N166" s="3326"/>
      <c r="O166" s="3315"/>
      <c r="P166" s="3414"/>
      <c r="Q166" s="3414"/>
      <c r="R166" s="3414"/>
      <c r="S166" s="3414"/>
      <c r="T166" s="3414"/>
      <c r="U166" s="3414"/>
      <c r="V166" s="3326"/>
      <c r="W166" s="3414"/>
      <c r="X166" s="3414"/>
      <c r="Y166" s="3414"/>
      <c r="Z166" s="3414"/>
      <c r="AA166" s="3414"/>
      <c r="AB166" s="3414"/>
      <c r="AC166" s="3326"/>
      <c r="AD166" s="3414"/>
      <c r="AE166" s="3414"/>
      <c r="AF166" s="3414"/>
      <c r="AG166" s="3414"/>
      <c r="AH166" s="3414"/>
      <c r="AI166" s="3414"/>
      <c r="AJ166" s="3326"/>
      <c r="AK166" s="3315"/>
      <c r="AL166" s="3315"/>
      <c r="AM166" s="3315"/>
      <c r="AN166" s="3315"/>
      <c r="AO166" s="3315"/>
      <c r="AP166" s="3315"/>
      <c r="AQ166" s="3326"/>
      <c r="AR166" s="3331"/>
    </row>
    <row r="167" s="3330" customFormat="1" customHeight="1" spans="1:44">
      <c r="A167" s="3315"/>
      <c r="B167" s="3315"/>
      <c r="C167" s="3315" t="str">
        <f>+UV!C13</f>
        <v>Tanah</v>
      </c>
      <c r="D167" s="3315"/>
      <c r="E167" s="3315"/>
      <c r="F167" s="3315"/>
      <c r="G167" s="3315"/>
      <c r="H167" s="3315"/>
      <c r="I167" s="3315"/>
      <c r="J167" s="3315"/>
      <c r="K167" s="3326"/>
      <c r="L167" s="3326"/>
      <c r="M167" s="3326"/>
      <c r="N167" s="3326"/>
      <c r="O167" s="3315"/>
      <c r="P167" s="3415">
        <f>+'[87]AT-2019'!$G$157</f>
        <v>10715682004.9076</v>
      </c>
      <c r="Q167" s="3415"/>
      <c r="R167" s="3415"/>
      <c r="S167" s="3415"/>
      <c r="T167" s="3415"/>
      <c r="U167" s="3415"/>
      <c r="V167" s="3326"/>
      <c r="W167" s="3415">
        <v>0</v>
      </c>
      <c r="X167" s="3415"/>
      <c r="Y167" s="3415"/>
      <c r="Z167" s="3415"/>
      <c r="AA167" s="3415"/>
      <c r="AB167" s="3415"/>
      <c r="AC167" s="3326"/>
      <c r="AD167" s="3418">
        <v>0</v>
      </c>
      <c r="AE167" s="3418"/>
      <c r="AF167" s="3418"/>
      <c r="AG167" s="3418"/>
      <c r="AH167" s="3418"/>
      <c r="AI167" s="3418"/>
      <c r="AJ167" s="3326"/>
      <c r="AK167" s="3415">
        <f>+P167+W167-AD167</f>
        <v>10715682004.9076</v>
      </c>
      <c r="AL167" s="3415"/>
      <c r="AM167" s="3415"/>
      <c r="AN167" s="3415"/>
      <c r="AO167" s="3415"/>
      <c r="AP167" s="3415"/>
      <c r="AQ167" s="3326"/>
      <c r="AR167" s="3331"/>
    </row>
    <row r="168" s="3330" customFormat="1" customHeight="1" spans="1:44">
      <c r="A168" s="3315"/>
      <c r="B168" s="3315"/>
      <c r="C168" s="3315" t="str">
        <f>+UV!C14</f>
        <v>Bangunan</v>
      </c>
      <c r="D168" s="3315"/>
      <c r="E168" s="3315"/>
      <c r="F168" s="3315"/>
      <c r="G168" s="3315"/>
      <c r="H168" s="3315"/>
      <c r="I168" s="3315"/>
      <c r="J168" s="3315"/>
      <c r="K168" s="3326"/>
      <c r="L168" s="3326"/>
      <c r="M168" s="3326"/>
      <c r="N168" s="3326"/>
      <c r="O168" s="3315"/>
      <c r="P168" s="3415">
        <f>+'[87]AT-2019'!$G$158</f>
        <v>2391499425.09237</v>
      </c>
      <c r="Q168" s="3415"/>
      <c r="R168" s="3415"/>
      <c r="S168" s="3415"/>
      <c r="T168" s="3415"/>
      <c r="U168" s="3415"/>
      <c r="V168" s="3326"/>
      <c r="W168" s="3415">
        <v>0</v>
      </c>
      <c r="X168" s="3415"/>
      <c r="Y168" s="3415"/>
      <c r="Z168" s="3415"/>
      <c r="AA168" s="3415"/>
      <c r="AB168" s="3415"/>
      <c r="AC168" s="3326"/>
      <c r="AD168" s="3418">
        <v>0</v>
      </c>
      <c r="AE168" s="3418"/>
      <c r="AF168" s="3418"/>
      <c r="AG168" s="3418"/>
      <c r="AH168" s="3418"/>
      <c r="AI168" s="3418"/>
      <c r="AJ168" s="3326"/>
      <c r="AK168" s="3415">
        <f>+P168+W168-AD168</f>
        <v>2391499425.09237</v>
      </c>
      <c r="AL168" s="3415"/>
      <c r="AM168" s="3415"/>
      <c r="AN168" s="3415"/>
      <c r="AO168" s="3415"/>
      <c r="AP168" s="3415"/>
      <c r="AQ168" s="3326"/>
      <c r="AR168" s="3331"/>
    </row>
    <row r="169" s="3330" customFormat="1" customHeight="1" spans="1:44">
      <c r="A169" s="3315"/>
      <c r="B169" s="3315"/>
      <c r="C169" s="3315" t="str">
        <f>+UV!C15</f>
        <v>Kendaraan</v>
      </c>
      <c r="D169" s="3315"/>
      <c r="E169" s="3315"/>
      <c r="F169" s="3315"/>
      <c r="G169" s="3315"/>
      <c r="H169" s="3315"/>
      <c r="I169" s="3315"/>
      <c r="J169" s="3315"/>
      <c r="K169" s="3326"/>
      <c r="L169" s="3326"/>
      <c r="M169" s="3326"/>
      <c r="N169" s="3326"/>
      <c r="O169" s="3415"/>
      <c r="P169" s="3415">
        <f>+'[87]AT-2019'!$G$159</f>
        <v>3815975219</v>
      </c>
      <c r="Q169" s="3415"/>
      <c r="R169" s="3415"/>
      <c r="S169" s="3415"/>
      <c r="T169" s="3415"/>
      <c r="U169" s="3415"/>
      <c r="V169" s="3326"/>
      <c r="W169" s="3415">
        <v>0</v>
      </c>
      <c r="X169" s="3415"/>
      <c r="Y169" s="3415"/>
      <c r="Z169" s="3415"/>
      <c r="AA169" s="3415"/>
      <c r="AB169" s="3415"/>
      <c r="AC169" s="3326"/>
      <c r="AD169" s="3418">
        <f>-'[87]AT-2020'!$H$46</f>
        <v>951577643</v>
      </c>
      <c r="AE169" s="3418"/>
      <c r="AF169" s="3418"/>
      <c r="AG169" s="3418"/>
      <c r="AH169" s="3418"/>
      <c r="AI169" s="3418"/>
      <c r="AJ169" s="3326"/>
      <c r="AK169" s="3415">
        <f>+P169+W169-AD169</f>
        <v>2864397576</v>
      </c>
      <c r="AL169" s="3415"/>
      <c r="AM169" s="3415"/>
      <c r="AN169" s="3415"/>
      <c r="AO169" s="3415"/>
      <c r="AP169" s="3415"/>
      <c r="AQ169" s="3326"/>
      <c r="AR169" s="3331"/>
    </row>
    <row r="170" s="3330" customFormat="1" customHeight="1" spans="1:44">
      <c r="A170" s="3315"/>
      <c r="B170" s="3315"/>
      <c r="C170" s="3315" t="str">
        <f>+UV!C16</f>
        <v>Peralatan Proyek</v>
      </c>
      <c r="D170" s="3315"/>
      <c r="E170" s="3315"/>
      <c r="F170" s="3315"/>
      <c r="G170" s="3315"/>
      <c r="H170" s="3315"/>
      <c r="I170" s="3315"/>
      <c r="J170" s="3315"/>
      <c r="K170" s="3326"/>
      <c r="L170" s="3326"/>
      <c r="M170" s="3326"/>
      <c r="N170" s="3326"/>
      <c r="O170" s="3415"/>
      <c r="P170" s="3415">
        <f>+'[87]AT-2019'!$G$160</f>
        <v>15398136400</v>
      </c>
      <c r="Q170" s="3415"/>
      <c r="R170" s="3415"/>
      <c r="S170" s="3415"/>
      <c r="T170" s="3415"/>
      <c r="U170" s="3415"/>
      <c r="V170" s="3326"/>
      <c r="W170" s="3415">
        <v>0</v>
      </c>
      <c r="X170" s="3415"/>
      <c r="Y170" s="3415"/>
      <c r="Z170" s="3415"/>
      <c r="AA170" s="3415"/>
      <c r="AB170" s="3415"/>
      <c r="AC170" s="3326"/>
      <c r="AD170" s="3418">
        <f>-'[87]AT-2020'!$H$66</f>
        <v>997200000</v>
      </c>
      <c r="AE170" s="3418"/>
      <c r="AF170" s="3418"/>
      <c r="AG170" s="3418"/>
      <c r="AH170" s="3418"/>
      <c r="AI170" s="3418"/>
      <c r="AJ170" s="3326"/>
      <c r="AK170" s="3415">
        <f>+P170+W170-AD170</f>
        <v>14400936400</v>
      </c>
      <c r="AL170" s="3415"/>
      <c r="AM170" s="3415"/>
      <c r="AN170" s="3415"/>
      <c r="AO170" s="3415"/>
      <c r="AP170" s="3415"/>
      <c r="AQ170" s="3326"/>
      <c r="AR170" s="3331"/>
    </row>
    <row r="171" s="3330" customFormat="1" customHeight="1" spans="1:44">
      <c r="A171" s="3315"/>
      <c r="B171" s="3315"/>
      <c r="C171" s="3315" t="str">
        <f>+UV!C17</f>
        <v>Peralatan Kantor</v>
      </c>
      <c r="D171" s="3315"/>
      <c r="E171" s="3315"/>
      <c r="F171" s="3315"/>
      <c r="G171" s="3315"/>
      <c r="H171" s="3315"/>
      <c r="I171" s="3315"/>
      <c r="J171" s="3315"/>
      <c r="K171" s="3326"/>
      <c r="L171" s="3326"/>
      <c r="M171" s="3326"/>
      <c r="N171" s="3326"/>
      <c r="O171" s="3415"/>
      <c r="P171" s="3415">
        <f>+'[87]AT-2019'!$G$161</f>
        <v>413611400</v>
      </c>
      <c r="Q171" s="3415"/>
      <c r="R171" s="3415"/>
      <c r="S171" s="3415"/>
      <c r="T171" s="3415"/>
      <c r="U171" s="3415"/>
      <c r="V171" s="3326"/>
      <c r="W171" s="3415">
        <f>+'[87]AT-2020'!$H$155</f>
        <v>1600000</v>
      </c>
      <c r="X171" s="3415"/>
      <c r="Y171" s="3415"/>
      <c r="Z171" s="3415"/>
      <c r="AA171" s="3415"/>
      <c r="AB171" s="3415"/>
      <c r="AC171" s="3326"/>
      <c r="AD171" s="3418">
        <v>0</v>
      </c>
      <c r="AE171" s="3418"/>
      <c r="AF171" s="3418"/>
      <c r="AG171" s="3418"/>
      <c r="AH171" s="3418"/>
      <c r="AI171" s="3418"/>
      <c r="AJ171" s="3326"/>
      <c r="AK171" s="3415">
        <f>P171+W171-AD171</f>
        <v>415211400</v>
      </c>
      <c r="AL171" s="3415"/>
      <c r="AM171" s="3415"/>
      <c r="AN171" s="3415"/>
      <c r="AO171" s="3415"/>
      <c r="AP171" s="3415"/>
      <c r="AQ171" s="3326"/>
      <c r="AR171" s="3331"/>
    </row>
    <row r="172" s="3330" customFormat="1" ht="4.5" customHeight="1" spans="1:44">
      <c r="A172" s="3315"/>
      <c r="B172" s="3315"/>
      <c r="C172" s="3411"/>
      <c r="D172" s="3315"/>
      <c r="E172" s="3315"/>
      <c r="F172" s="3315"/>
      <c r="G172" s="3315"/>
      <c r="H172" s="3315"/>
      <c r="I172" s="3315"/>
      <c r="J172" s="3315"/>
      <c r="K172" s="3326"/>
      <c r="L172" s="3326"/>
      <c r="M172" s="3326"/>
      <c r="N172" s="3326"/>
      <c r="O172" s="3416"/>
      <c r="P172" s="3417"/>
      <c r="Q172" s="3417"/>
      <c r="R172" s="3417"/>
      <c r="S172" s="3417"/>
      <c r="T172" s="3417"/>
      <c r="U172" s="3417"/>
      <c r="V172" s="3326"/>
      <c r="W172" s="3417"/>
      <c r="X172" s="3417"/>
      <c r="Y172" s="3417"/>
      <c r="Z172" s="3417"/>
      <c r="AA172" s="3417"/>
      <c r="AB172" s="3417"/>
      <c r="AC172" s="3326"/>
      <c r="AD172" s="3421"/>
      <c r="AE172" s="3421"/>
      <c r="AF172" s="3421"/>
      <c r="AG172" s="3421"/>
      <c r="AH172" s="3421"/>
      <c r="AI172" s="3421"/>
      <c r="AJ172" s="3326"/>
      <c r="AK172" s="3417"/>
      <c r="AL172" s="3417"/>
      <c r="AM172" s="3417"/>
      <c r="AN172" s="3417"/>
      <c r="AO172" s="3417"/>
      <c r="AP172" s="3417"/>
      <c r="AQ172" s="3326"/>
      <c r="AR172" s="3331"/>
    </row>
    <row r="173" s="3330" customFormat="1" customHeight="1" spans="1:44">
      <c r="A173" s="3315"/>
      <c r="B173" s="3315"/>
      <c r="C173" s="3322" t="s">
        <v>151</v>
      </c>
      <c r="D173" s="3315"/>
      <c r="E173" s="3315"/>
      <c r="F173" s="3315"/>
      <c r="G173" s="3315"/>
      <c r="H173" s="3315"/>
      <c r="I173" s="3315"/>
      <c r="J173" s="3315"/>
      <c r="K173" s="3326"/>
      <c r="L173" s="3326"/>
      <c r="M173" s="3326"/>
      <c r="N173" s="3326"/>
      <c r="O173" s="3415">
        <f>SUM(P167:U172)</f>
        <v>32734904449</v>
      </c>
      <c r="P173" s="3415"/>
      <c r="Q173" s="3415"/>
      <c r="R173" s="3415"/>
      <c r="S173" s="3415"/>
      <c r="T173" s="3415"/>
      <c r="U173" s="3415"/>
      <c r="V173" s="3326"/>
      <c r="W173" s="3415">
        <f>SUM(W167:AB172)</f>
        <v>1600000</v>
      </c>
      <c r="X173" s="3415"/>
      <c r="Y173" s="3415"/>
      <c r="Z173" s="3415"/>
      <c r="AA173" s="3415"/>
      <c r="AB173" s="3415"/>
      <c r="AC173" s="3326"/>
      <c r="AD173" s="3415">
        <f>SUM(AD167:AI172)</f>
        <v>1948777643</v>
      </c>
      <c r="AE173" s="3415"/>
      <c r="AF173" s="3415"/>
      <c r="AG173" s="3415"/>
      <c r="AH173" s="3415"/>
      <c r="AI173" s="3415"/>
      <c r="AJ173" s="3326"/>
      <c r="AK173" s="3415">
        <f>SUM(AK167:AP172)</f>
        <v>30787726806</v>
      </c>
      <c r="AL173" s="3415"/>
      <c r="AM173" s="3415"/>
      <c r="AN173" s="3415"/>
      <c r="AO173" s="3415"/>
      <c r="AP173" s="3415"/>
      <c r="AQ173" s="3326"/>
      <c r="AR173" s="3331"/>
    </row>
    <row r="174" s="3330" customFormat="1" ht="8.25" customHeight="1" spans="1:44">
      <c r="A174" s="3315"/>
      <c r="B174" s="3315"/>
      <c r="C174" s="3340"/>
      <c r="D174" s="3322"/>
      <c r="E174" s="3322"/>
      <c r="F174" s="3322"/>
      <c r="G174" s="3322"/>
      <c r="H174" s="3322"/>
      <c r="I174" s="3322"/>
      <c r="J174" s="3322"/>
      <c r="K174" s="3326"/>
      <c r="L174" s="3326"/>
      <c r="M174" s="3326"/>
      <c r="N174" s="3326"/>
      <c r="O174" s="3322"/>
      <c r="P174" s="3335"/>
      <c r="Q174" s="3335"/>
      <c r="R174" s="3335"/>
      <c r="S174" s="3335"/>
      <c r="T174" s="3335"/>
      <c r="U174" s="3335"/>
      <c r="V174" s="3326"/>
      <c r="W174" s="3335"/>
      <c r="X174" s="3335"/>
      <c r="Y174" s="3335"/>
      <c r="Z174" s="3335"/>
      <c r="AA174" s="3335"/>
      <c r="AB174" s="3335"/>
      <c r="AC174" s="3326"/>
      <c r="AD174" s="3335"/>
      <c r="AE174" s="3335"/>
      <c r="AF174" s="3335"/>
      <c r="AG174" s="3335"/>
      <c r="AH174" s="3335"/>
      <c r="AI174" s="3335"/>
      <c r="AJ174" s="3326"/>
      <c r="AK174" s="3335"/>
      <c r="AL174" s="3335"/>
      <c r="AM174" s="3335"/>
      <c r="AN174" s="3335"/>
      <c r="AO174" s="3335"/>
      <c r="AP174" s="3335"/>
      <c r="AQ174" s="3326"/>
      <c r="AR174" s="3331"/>
    </row>
    <row r="175" s="3330" customFormat="1" customHeight="1" spans="1:44">
      <c r="A175" s="3315"/>
      <c r="B175" s="3315"/>
      <c r="C175" s="3409" t="s">
        <v>147</v>
      </c>
      <c r="D175" s="3322"/>
      <c r="E175" s="3322"/>
      <c r="F175" s="3322"/>
      <c r="G175" s="3322"/>
      <c r="H175" s="3322"/>
      <c r="I175" s="3322"/>
      <c r="J175" s="3322"/>
      <c r="K175" s="3322"/>
      <c r="L175" s="3322"/>
      <c r="M175" s="3322"/>
      <c r="N175" s="3326"/>
      <c r="O175" s="3322"/>
      <c r="P175" s="3335"/>
      <c r="Q175" s="3335"/>
      <c r="R175" s="3335"/>
      <c r="S175" s="3335"/>
      <c r="T175" s="3335"/>
      <c r="U175" s="3335"/>
      <c r="V175" s="3326"/>
      <c r="W175" s="3335"/>
      <c r="X175" s="3335"/>
      <c r="Y175" s="3335"/>
      <c r="Z175" s="3335"/>
      <c r="AA175" s="3335"/>
      <c r="AB175" s="3335"/>
      <c r="AC175" s="3326"/>
      <c r="AD175" s="3419"/>
      <c r="AE175" s="3419"/>
      <c r="AF175" s="3419"/>
      <c r="AG175" s="3419"/>
      <c r="AH175" s="3419"/>
      <c r="AI175" s="3419"/>
      <c r="AJ175" s="3326"/>
      <c r="AK175" s="3335"/>
      <c r="AL175" s="3335"/>
      <c r="AM175" s="3335"/>
      <c r="AN175" s="3335"/>
      <c r="AO175" s="3335"/>
      <c r="AP175" s="3335"/>
      <c r="AQ175" s="3326"/>
      <c r="AR175" s="3331"/>
    </row>
    <row r="176" s="3330" customFormat="1" customHeight="1" spans="1:44">
      <c r="A176" s="3315"/>
      <c r="B176" s="3315"/>
      <c r="C176" s="3411" t="str">
        <f>+C168</f>
        <v>Bangunan</v>
      </c>
      <c r="D176" s="3411"/>
      <c r="E176" s="3315"/>
      <c r="F176" s="3315"/>
      <c r="G176" s="3315"/>
      <c r="H176" s="3315"/>
      <c r="I176" s="3315"/>
      <c r="J176" s="3315"/>
      <c r="K176" s="3326"/>
      <c r="L176" s="3326"/>
      <c r="M176" s="3326"/>
      <c r="N176" s="3326"/>
      <c r="O176" s="3415"/>
      <c r="P176" s="3415">
        <f>+'[87]AT-2019'!$H$158</f>
        <v>518720189.285475</v>
      </c>
      <c r="Q176" s="3415"/>
      <c r="R176" s="3415"/>
      <c r="S176" s="3415"/>
      <c r="T176" s="3415"/>
      <c r="U176" s="3415"/>
      <c r="V176" s="3326"/>
      <c r="W176" s="3418">
        <f>+'[87]AT-2020'!$K$21</f>
        <v>265644087.700619</v>
      </c>
      <c r="X176" s="3418"/>
      <c r="Y176" s="3418"/>
      <c r="Z176" s="3418"/>
      <c r="AA176" s="3418"/>
      <c r="AB176" s="3418"/>
      <c r="AC176" s="3326"/>
      <c r="AD176" s="3418">
        <v>0</v>
      </c>
      <c r="AE176" s="3418"/>
      <c r="AF176" s="3418"/>
      <c r="AG176" s="3418"/>
      <c r="AH176" s="3418"/>
      <c r="AI176" s="3418"/>
      <c r="AJ176" s="3326"/>
      <c r="AK176" s="3415">
        <f>+P176+W176-AD176</f>
        <v>784364276.986093</v>
      </c>
      <c r="AL176" s="3415"/>
      <c r="AM176" s="3415"/>
      <c r="AN176" s="3415"/>
      <c r="AO176" s="3415"/>
      <c r="AP176" s="3415"/>
      <c r="AQ176" s="3326"/>
      <c r="AR176" s="3331"/>
    </row>
    <row r="177" s="3330" customFormat="1" customHeight="1" spans="1:44">
      <c r="A177" s="3315"/>
      <c r="B177" s="3315"/>
      <c r="C177" s="3411" t="str">
        <f>+C169</f>
        <v>Kendaraan</v>
      </c>
      <c r="D177" s="3411"/>
      <c r="E177" s="3315"/>
      <c r="F177" s="3315"/>
      <c r="G177" s="3315"/>
      <c r="H177" s="3315"/>
      <c r="I177" s="3315"/>
      <c r="J177" s="3315"/>
      <c r="K177" s="3326"/>
      <c r="L177" s="3326"/>
      <c r="M177" s="3326"/>
      <c r="N177" s="3326"/>
      <c r="O177" s="3415"/>
      <c r="P177" s="3415">
        <f>+'[87]AT-2019'!$H$159</f>
        <v>1222872455.5</v>
      </c>
      <c r="Q177" s="3415"/>
      <c r="R177" s="3415"/>
      <c r="S177" s="3415"/>
      <c r="T177" s="3415"/>
      <c r="U177" s="3415"/>
      <c r="V177" s="3326"/>
      <c r="W177" s="3418">
        <f>+'[87]AT-2020'!$K$31+'[87]AT-2020'!$K$33+SUM('[87]AT-2020'!$K$36:$K$44)</f>
        <v>353937197</v>
      </c>
      <c r="X177" s="3418"/>
      <c r="Y177" s="3418"/>
      <c r="Z177" s="3418"/>
      <c r="AA177" s="3418"/>
      <c r="AB177" s="3418"/>
      <c r="AC177" s="3326"/>
      <c r="AD177" s="3418">
        <f>-'[87]AT-2020'!$K$29-'[87]AT-2020'!$K$32-'[87]AT-2020'!$K$35</f>
        <v>600866609.625</v>
      </c>
      <c r="AE177" s="3418"/>
      <c r="AF177" s="3418"/>
      <c r="AG177" s="3418"/>
      <c r="AH177" s="3418"/>
      <c r="AI177" s="3418"/>
      <c r="AJ177" s="3326"/>
      <c r="AK177" s="3415">
        <f>+P177+W177-AD177</f>
        <v>975943042.875</v>
      </c>
      <c r="AL177" s="3415"/>
      <c r="AM177" s="3415"/>
      <c r="AN177" s="3415"/>
      <c r="AO177" s="3415"/>
      <c r="AP177" s="3415"/>
      <c r="AQ177" s="3326"/>
      <c r="AR177" s="3331"/>
    </row>
    <row r="178" s="3330" customFormat="1" customHeight="1" spans="1:44">
      <c r="A178" s="3315"/>
      <c r="B178" s="3315"/>
      <c r="C178" s="3411" t="str">
        <f>+C170</f>
        <v>Peralatan Proyek</v>
      </c>
      <c r="D178" s="3315"/>
      <c r="E178" s="3315"/>
      <c r="F178" s="3315"/>
      <c r="G178" s="3315"/>
      <c r="H178" s="3315"/>
      <c r="I178" s="3315"/>
      <c r="J178" s="3315"/>
      <c r="K178" s="3326"/>
      <c r="L178" s="3326"/>
      <c r="M178" s="3326"/>
      <c r="N178" s="3326"/>
      <c r="O178" s="3415"/>
      <c r="P178" s="3415">
        <f>+'[87]AT-2019'!$H$160</f>
        <v>8658934751.04167</v>
      </c>
      <c r="Q178" s="3415"/>
      <c r="R178" s="3415"/>
      <c r="S178" s="3415"/>
      <c r="T178" s="3415"/>
      <c r="U178" s="3415"/>
      <c r="V178" s="3326"/>
      <c r="W178" s="3418">
        <f>+'[87]AT-2020'!$K$53+'[87]AT-2020'!$K$54+SUM('[87]AT-2020'!$K$56:$K$64)</f>
        <v>1801112987.5</v>
      </c>
      <c r="X178" s="3418"/>
      <c r="Y178" s="3418"/>
      <c r="Z178" s="3418"/>
      <c r="AA178" s="3418"/>
      <c r="AB178" s="3418"/>
      <c r="AC178" s="3326"/>
      <c r="AD178" s="3418">
        <f>-'[87]AT-2020'!$K$55</f>
        <v>768675000</v>
      </c>
      <c r="AE178" s="3418"/>
      <c r="AF178" s="3418"/>
      <c r="AG178" s="3418"/>
      <c r="AH178" s="3418"/>
      <c r="AI178" s="3418"/>
      <c r="AJ178" s="3326"/>
      <c r="AK178" s="3415">
        <f>+P178+W178-AD178</f>
        <v>9691372738.54167</v>
      </c>
      <c r="AL178" s="3415"/>
      <c r="AM178" s="3415"/>
      <c r="AN178" s="3415"/>
      <c r="AO178" s="3415"/>
      <c r="AP178" s="3415"/>
      <c r="AQ178" s="3326"/>
      <c r="AR178" s="3331"/>
    </row>
    <row r="179" s="3330" customFormat="1" customHeight="1" spans="1:44">
      <c r="A179" s="3315"/>
      <c r="B179" s="3315"/>
      <c r="C179" s="3411" t="str">
        <f>+C171</f>
        <v>Peralatan Kantor</v>
      </c>
      <c r="D179" s="3315"/>
      <c r="E179" s="3315"/>
      <c r="F179" s="3315"/>
      <c r="G179" s="3315"/>
      <c r="H179" s="3315"/>
      <c r="I179" s="3315"/>
      <c r="J179" s="3315"/>
      <c r="K179" s="3326"/>
      <c r="L179" s="3326"/>
      <c r="M179" s="3326"/>
      <c r="N179" s="3326"/>
      <c r="O179" s="3415"/>
      <c r="P179" s="3415">
        <f>+'[87]AT-2019'!$H$161</f>
        <v>267267406.25</v>
      </c>
      <c r="Q179" s="3415"/>
      <c r="R179" s="3415"/>
      <c r="S179" s="3415"/>
      <c r="T179" s="3415"/>
      <c r="U179" s="3415"/>
      <c r="V179" s="3326"/>
      <c r="W179" s="3418">
        <f>+'[87]AT-2020'!$K$154+'[87]AT-2020'!$K$157</f>
        <v>58107837.5</v>
      </c>
      <c r="X179" s="3418"/>
      <c r="Y179" s="3418"/>
      <c r="Z179" s="3418"/>
      <c r="AA179" s="3418"/>
      <c r="AB179" s="3418"/>
      <c r="AC179" s="3326"/>
      <c r="AD179" s="3418">
        <v>0</v>
      </c>
      <c r="AE179" s="3418"/>
      <c r="AF179" s="3418"/>
      <c r="AG179" s="3418"/>
      <c r="AH179" s="3418"/>
      <c r="AI179" s="3418"/>
      <c r="AJ179" s="3326"/>
      <c r="AK179" s="3415">
        <f>+P179+W179-AD179</f>
        <v>325375243.75</v>
      </c>
      <c r="AL179" s="3415"/>
      <c r="AM179" s="3415"/>
      <c r="AN179" s="3415"/>
      <c r="AO179" s="3415"/>
      <c r="AP179" s="3415"/>
      <c r="AQ179" s="3326"/>
      <c r="AR179" s="3331"/>
    </row>
    <row r="180" s="3330" customFormat="1" ht="4.5" customHeight="1" spans="1:44">
      <c r="A180" s="3315"/>
      <c r="B180" s="3315"/>
      <c r="C180" s="3411"/>
      <c r="D180" s="3315"/>
      <c r="E180" s="3315"/>
      <c r="F180" s="3315"/>
      <c r="G180" s="3315"/>
      <c r="H180" s="3315"/>
      <c r="I180" s="3315"/>
      <c r="J180" s="3315"/>
      <c r="K180" s="3326"/>
      <c r="L180" s="3326"/>
      <c r="M180" s="3326"/>
      <c r="N180" s="3326"/>
      <c r="O180" s="3416"/>
      <c r="P180" s="3417"/>
      <c r="Q180" s="3417"/>
      <c r="R180" s="3417"/>
      <c r="S180" s="3417"/>
      <c r="T180" s="3417"/>
      <c r="U180" s="3417"/>
      <c r="V180" s="3326"/>
      <c r="W180" s="3417"/>
      <c r="X180" s="3417"/>
      <c r="Y180" s="3417"/>
      <c r="Z180" s="3417"/>
      <c r="AA180" s="3417"/>
      <c r="AB180" s="3417"/>
      <c r="AC180" s="3326"/>
      <c r="AD180" s="3421"/>
      <c r="AE180" s="3421"/>
      <c r="AF180" s="3421"/>
      <c r="AG180" s="3421"/>
      <c r="AH180" s="3421"/>
      <c r="AI180" s="3421"/>
      <c r="AJ180" s="3326"/>
      <c r="AK180" s="3417"/>
      <c r="AL180" s="3417"/>
      <c r="AM180" s="3417"/>
      <c r="AN180" s="3417"/>
      <c r="AO180" s="3417"/>
      <c r="AP180" s="3417"/>
      <c r="AQ180" s="3326"/>
      <c r="AR180" s="3331"/>
    </row>
    <row r="181" s="3330" customFormat="1" customHeight="1" spans="1:44">
      <c r="A181" s="3315"/>
      <c r="B181" s="3315"/>
      <c r="C181" s="3322" t="s">
        <v>151</v>
      </c>
      <c r="D181" s="3315"/>
      <c r="E181" s="3315"/>
      <c r="F181" s="3315"/>
      <c r="G181" s="3315"/>
      <c r="H181" s="3315"/>
      <c r="I181" s="3315"/>
      <c r="J181" s="3315"/>
      <c r="K181" s="3326"/>
      <c r="L181" s="3326"/>
      <c r="M181" s="3326"/>
      <c r="N181" s="3326"/>
      <c r="O181" s="3416"/>
      <c r="P181" s="3415">
        <f>SUM(P176:U180)</f>
        <v>10667794802.0771</v>
      </c>
      <c r="Q181" s="3415"/>
      <c r="R181" s="3415"/>
      <c r="S181" s="3415"/>
      <c r="T181" s="3415"/>
      <c r="U181" s="3415"/>
      <c r="V181" s="3326"/>
      <c r="W181" s="3415">
        <f>SUM(W176:AB180)</f>
        <v>2478802109.70062</v>
      </c>
      <c r="X181" s="3415"/>
      <c r="Y181" s="3415"/>
      <c r="Z181" s="3415"/>
      <c r="AA181" s="3415"/>
      <c r="AB181" s="3415"/>
      <c r="AC181" s="3326"/>
      <c r="AD181" s="3415">
        <f>SUM(AD176:AI180)</f>
        <v>1369541609.625</v>
      </c>
      <c r="AE181" s="3415"/>
      <c r="AF181" s="3415"/>
      <c r="AG181" s="3415"/>
      <c r="AH181" s="3415"/>
      <c r="AI181" s="3415"/>
      <c r="AJ181" s="3326"/>
      <c r="AK181" s="3415">
        <f>SUM(AK176:AP180)</f>
        <v>11777055302.1528</v>
      </c>
      <c r="AL181" s="3415"/>
      <c r="AM181" s="3415"/>
      <c r="AN181" s="3415"/>
      <c r="AO181" s="3415"/>
      <c r="AP181" s="3415"/>
      <c r="AQ181" s="3326"/>
      <c r="AR181" s="3331"/>
    </row>
    <row r="182" s="3330" customFormat="1" ht="6" customHeight="1" spans="1:44">
      <c r="A182" s="3315"/>
      <c r="B182" s="3315"/>
      <c r="C182" s="3411"/>
      <c r="D182" s="3315"/>
      <c r="E182" s="3315"/>
      <c r="F182" s="3315"/>
      <c r="G182" s="3315"/>
      <c r="H182" s="3315"/>
      <c r="I182" s="3315"/>
      <c r="J182" s="3315"/>
      <c r="K182" s="3326"/>
      <c r="L182" s="3326"/>
      <c r="M182" s="3326"/>
      <c r="N182" s="3326"/>
      <c r="O182" s="3416"/>
      <c r="P182" s="3415"/>
      <c r="Q182" s="3415"/>
      <c r="R182" s="3415"/>
      <c r="S182" s="3415"/>
      <c r="T182" s="3415"/>
      <c r="U182" s="3415"/>
      <c r="V182" s="3326"/>
      <c r="W182" s="3418"/>
      <c r="X182" s="3418"/>
      <c r="Y182" s="3418"/>
      <c r="Z182" s="3418"/>
      <c r="AA182" s="3418"/>
      <c r="AB182" s="3418"/>
      <c r="AC182" s="3326"/>
      <c r="AD182" s="3418"/>
      <c r="AE182" s="3418"/>
      <c r="AF182" s="3418"/>
      <c r="AG182" s="3418"/>
      <c r="AH182" s="3418"/>
      <c r="AI182" s="3418"/>
      <c r="AJ182" s="3326"/>
      <c r="AK182" s="3415"/>
      <c r="AL182" s="3415"/>
      <c r="AM182" s="3415"/>
      <c r="AN182" s="3415"/>
      <c r="AO182" s="3415"/>
      <c r="AP182" s="3415"/>
      <c r="AQ182" s="3326"/>
      <c r="AR182" s="3331"/>
    </row>
    <row r="183" s="3330" customFormat="1" customHeight="1" spans="1:44">
      <c r="A183" s="3315"/>
      <c r="B183" s="3315"/>
      <c r="C183" s="3322" t="s">
        <v>1819</v>
      </c>
      <c r="D183" s="3322"/>
      <c r="E183" s="3322"/>
      <c r="F183" s="3322"/>
      <c r="G183" s="3322"/>
      <c r="H183" s="3322"/>
      <c r="I183" s="3322"/>
      <c r="J183" s="3322"/>
      <c r="K183" s="3326"/>
      <c r="L183" s="3326"/>
      <c r="M183" s="3326"/>
      <c r="N183" s="3326"/>
      <c r="O183" s="94"/>
      <c r="P183" s="3436">
        <f>O173-P181</f>
        <v>22067109646.9229</v>
      </c>
      <c r="Q183" s="3436"/>
      <c r="R183" s="3436"/>
      <c r="S183" s="3436"/>
      <c r="T183" s="3436"/>
      <c r="U183" s="3436"/>
      <c r="V183" s="3326"/>
      <c r="W183" s="3315"/>
      <c r="X183" s="3315"/>
      <c r="Y183" s="3315"/>
      <c r="Z183" s="3315"/>
      <c r="AA183" s="3315"/>
      <c r="AB183" s="3315"/>
      <c r="AC183" s="3326"/>
      <c r="AD183" s="3315"/>
      <c r="AE183" s="3315"/>
      <c r="AF183" s="3315"/>
      <c r="AG183" s="3315"/>
      <c r="AH183" s="3315"/>
      <c r="AI183" s="3315"/>
      <c r="AJ183" s="3326"/>
      <c r="AK183" s="3442">
        <f>AK173-AK181</f>
        <v>19010671503.8472</v>
      </c>
      <c r="AL183" s="3442"/>
      <c r="AM183" s="3442"/>
      <c r="AN183" s="3442"/>
      <c r="AO183" s="3442"/>
      <c r="AP183" s="3442"/>
      <c r="AQ183" s="3326"/>
      <c r="AR183" s="3331"/>
    </row>
    <row r="184" s="3330" customFormat="1" customHeight="1" spans="1:44">
      <c r="A184" s="3315"/>
      <c r="B184" s="3315"/>
      <c r="C184" s="3340"/>
      <c r="D184" s="3322"/>
      <c r="E184" s="3322"/>
      <c r="F184" s="3322"/>
      <c r="G184" s="3322"/>
      <c r="H184" s="3322"/>
      <c r="I184" s="3322"/>
      <c r="J184" s="3322"/>
      <c r="K184" s="3326"/>
      <c r="L184" s="3326"/>
      <c r="M184" s="3326"/>
      <c r="N184" s="3326"/>
      <c r="O184" s="3322"/>
      <c r="P184" s="3335"/>
      <c r="Q184" s="3335"/>
      <c r="R184" s="3335"/>
      <c r="S184" s="3335"/>
      <c r="T184" s="3335"/>
      <c r="U184" s="3335"/>
      <c r="V184" s="3326"/>
      <c r="W184" s="3335"/>
      <c r="X184" s="3335"/>
      <c r="Y184" s="3335"/>
      <c r="Z184" s="3335"/>
      <c r="AA184" s="3335"/>
      <c r="AB184" s="3335"/>
      <c r="AC184" s="3326"/>
      <c r="AD184" s="3335"/>
      <c r="AE184" s="3335"/>
      <c r="AF184" s="3335"/>
      <c r="AG184" s="3335"/>
      <c r="AH184" s="3335"/>
      <c r="AI184" s="3335"/>
      <c r="AJ184" s="3326"/>
      <c r="AK184" s="3335"/>
      <c r="AL184" s="3335"/>
      <c r="AM184" s="3335"/>
      <c r="AN184" s="3335"/>
      <c r="AO184" s="3335"/>
      <c r="AP184" s="3335"/>
      <c r="AQ184" s="3326"/>
      <c r="AR184" s="3331"/>
    </row>
    <row r="185" s="3330" customFormat="1" ht="27.6" customHeight="1" spans="1:44">
      <c r="A185" s="3315"/>
      <c r="B185" s="3315"/>
      <c r="C185" s="5036" t="s">
        <v>1822</v>
      </c>
      <c r="D185" s="3341"/>
      <c r="E185" s="3341"/>
      <c r="F185" s="3341"/>
      <c r="G185" s="3341"/>
      <c r="H185" s="3341"/>
      <c r="I185" s="3341"/>
      <c r="J185" s="3341"/>
      <c r="K185" s="3341"/>
      <c r="L185" s="3341"/>
      <c r="M185" s="3341"/>
      <c r="N185" s="3341"/>
      <c r="O185" s="3341"/>
      <c r="P185" s="3341"/>
      <c r="Q185" s="3341"/>
      <c r="R185" s="3341"/>
      <c r="S185" s="3341"/>
      <c r="T185" s="3341"/>
      <c r="U185" s="3341"/>
      <c r="V185" s="3341"/>
      <c r="W185" s="3341"/>
      <c r="X185" s="3341"/>
      <c r="Y185" s="3341"/>
      <c r="Z185" s="3341"/>
      <c r="AA185" s="3341"/>
      <c r="AB185" s="3341"/>
      <c r="AC185" s="3341"/>
      <c r="AD185" s="3341"/>
      <c r="AE185" s="3341"/>
      <c r="AF185" s="3341"/>
      <c r="AG185" s="3341"/>
      <c r="AH185" s="3341"/>
      <c r="AI185" s="3341"/>
      <c r="AJ185" s="3341"/>
      <c r="AK185" s="3341"/>
      <c r="AL185" s="3341"/>
      <c r="AM185" s="3341"/>
      <c r="AN185" s="3341"/>
      <c r="AO185" s="3341"/>
      <c r="AP185" s="3341"/>
      <c r="AQ185" s="3326"/>
      <c r="AR185" s="3331"/>
    </row>
    <row r="186" s="3330" customFormat="1" ht="6" customHeight="1" spans="1:44">
      <c r="A186" s="3315"/>
      <c r="B186" s="3315"/>
      <c r="C186" s="3339"/>
      <c r="D186" s="3341"/>
      <c r="E186" s="3341"/>
      <c r="F186" s="3341"/>
      <c r="G186" s="3341"/>
      <c r="H186" s="3341"/>
      <c r="I186" s="3341"/>
      <c r="J186" s="3341"/>
      <c r="K186" s="3341"/>
      <c r="L186" s="3341"/>
      <c r="M186" s="3341"/>
      <c r="N186" s="3341"/>
      <c r="O186" s="3341"/>
      <c r="P186" s="3341"/>
      <c r="Q186" s="3341"/>
      <c r="R186" s="3341"/>
      <c r="S186" s="3341"/>
      <c r="T186" s="3341"/>
      <c r="U186" s="3341"/>
      <c r="V186" s="3341"/>
      <c r="W186" s="3341"/>
      <c r="X186" s="3341"/>
      <c r="Y186" s="3341"/>
      <c r="Z186" s="3341"/>
      <c r="AA186" s="3341"/>
      <c r="AB186" s="3341"/>
      <c r="AC186" s="3341"/>
      <c r="AD186" s="3341"/>
      <c r="AE186" s="3341"/>
      <c r="AF186" s="3341"/>
      <c r="AG186" s="3341"/>
      <c r="AH186" s="3341"/>
      <c r="AI186" s="3341"/>
      <c r="AJ186" s="3341"/>
      <c r="AK186" s="3341"/>
      <c r="AL186" s="3341"/>
      <c r="AM186" s="3341"/>
      <c r="AN186" s="3341"/>
      <c r="AO186" s="3341"/>
      <c r="AP186" s="3341"/>
      <c r="AQ186" s="3326"/>
      <c r="AR186" s="3331"/>
    </row>
    <row r="187" s="3330" customFormat="1" ht="36" customHeight="1" spans="1:44">
      <c r="A187" s="3315"/>
      <c r="B187" s="3315"/>
      <c r="C187" s="5036" t="s">
        <v>1823</v>
      </c>
      <c r="D187" s="3341"/>
      <c r="E187" s="3341"/>
      <c r="F187" s="3341"/>
      <c r="G187" s="3341"/>
      <c r="H187" s="3341"/>
      <c r="I187" s="3341"/>
      <c r="J187" s="3341"/>
      <c r="K187" s="3341"/>
      <c r="L187" s="3341"/>
      <c r="M187" s="3341"/>
      <c r="N187" s="3341"/>
      <c r="O187" s="3341"/>
      <c r="P187" s="3341"/>
      <c r="Q187" s="3341"/>
      <c r="R187" s="3341"/>
      <c r="S187" s="3341"/>
      <c r="T187" s="3341"/>
      <c r="U187" s="3341"/>
      <c r="V187" s="3341"/>
      <c r="W187" s="3341"/>
      <c r="X187" s="3341"/>
      <c r="Y187" s="3341"/>
      <c r="Z187" s="3341"/>
      <c r="AA187" s="3341"/>
      <c r="AB187" s="3341"/>
      <c r="AC187" s="3341"/>
      <c r="AD187" s="3341"/>
      <c r="AE187" s="3341"/>
      <c r="AF187" s="3341"/>
      <c r="AG187" s="3341"/>
      <c r="AH187" s="3341"/>
      <c r="AI187" s="3341"/>
      <c r="AJ187" s="3341"/>
      <c r="AK187" s="3341"/>
      <c r="AL187" s="3341"/>
      <c r="AM187" s="3341"/>
      <c r="AN187" s="3341"/>
      <c r="AO187" s="3341"/>
      <c r="AP187" s="3341"/>
      <c r="AQ187" s="3326"/>
      <c r="AR187" s="3331"/>
    </row>
    <row r="188" s="3330" customFormat="1" ht="6" customHeight="1" spans="1:44">
      <c r="A188" s="3315"/>
      <c r="B188" s="3315"/>
      <c r="C188" s="3340"/>
      <c r="D188" s="3322"/>
      <c r="E188" s="3322"/>
      <c r="F188" s="3322"/>
      <c r="G188" s="3322"/>
      <c r="H188" s="3322"/>
      <c r="I188" s="3322"/>
      <c r="J188" s="3322"/>
      <c r="K188" s="3326"/>
      <c r="L188" s="3326"/>
      <c r="M188" s="3326"/>
      <c r="N188" s="3326"/>
      <c r="O188" s="3322"/>
      <c r="P188" s="3335"/>
      <c r="Q188" s="3335"/>
      <c r="R188" s="3335"/>
      <c r="S188" s="3335"/>
      <c r="T188" s="3335"/>
      <c r="U188" s="3335"/>
      <c r="V188" s="3326"/>
      <c r="W188" s="3335"/>
      <c r="X188" s="3335"/>
      <c r="Y188" s="3335"/>
      <c r="Z188" s="3335"/>
      <c r="AA188" s="3335"/>
      <c r="AB188" s="3335"/>
      <c r="AC188" s="3326"/>
      <c r="AD188" s="3335"/>
      <c r="AE188" s="3335"/>
      <c r="AF188" s="3335"/>
      <c r="AG188" s="3335"/>
      <c r="AH188" s="3335"/>
      <c r="AI188" s="3335"/>
      <c r="AJ188" s="3326"/>
      <c r="AK188" s="3335"/>
      <c r="AL188" s="3335"/>
      <c r="AM188" s="3335"/>
      <c r="AN188" s="3335"/>
      <c r="AO188" s="3335"/>
      <c r="AP188" s="3335"/>
      <c r="AQ188" s="3326"/>
      <c r="AR188" s="3331"/>
    </row>
    <row r="189" s="3330" customFormat="1" ht="34.5" customHeight="1" spans="1:44">
      <c r="A189" s="3315"/>
      <c r="B189" s="3315"/>
      <c r="C189" s="5036" t="s">
        <v>1824</v>
      </c>
      <c r="D189" s="3341"/>
      <c r="E189" s="3341"/>
      <c r="F189" s="3341"/>
      <c r="G189" s="3341"/>
      <c r="H189" s="3341"/>
      <c r="I189" s="3341"/>
      <c r="J189" s="3341"/>
      <c r="K189" s="3341"/>
      <c r="L189" s="3341"/>
      <c r="M189" s="3341"/>
      <c r="N189" s="3341"/>
      <c r="O189" s="3341"/>
      <c r="P189" s="3341"/>
      <c r="Q189" s="3341"/>
      <c r="R189" s="3341"/>
      <c r="S189" s="3341"/>
      <c r="T189" s="3341"/>
      <c r="U189" s="3341"/>
      <c r="V189" s="3341"/>
      <c r="W189" s="3341"/>
      <c r="X189" s="3341"/>
      <c r="Y189" s="3341"/>
      <c r="Z189" s="3341"/>
      <c r="AA189" s="3341"/>
      <c r="AB189" s="3341"/>
      <c r="AC189" s="3341"/>
      <c r="AD189" s="3341"/>
      <c r="AE189" s="3341"/>
      <c r="AF189" s="3341"/>
      <c r="AG189" s="3341"/>
      <c r="AH189" s="3341"/>
      <c r="AI189" s="3341"/>
      <c r="AJ189" s="3341"/>
      <c r="AK189" s="3341"/>
      <c r="AL189" s="3341"/>
      <c r="AM189" s="3341"/>
      <c r="AN189" s="3341"/>
      <c r="AO189" s="3341"/>
      <c r="AP189" s="3341"/>
      <c r="AR189" s="3331"/>
    </row>
    <row r="190" s="3330" customFormat="1" ht="9.2" customHeight="1" spans="1:44">
      <c r="A190" s="3315"/>
      <c r="B190" s="3315"/>
      <c r="C190" s="3339"/>
      <c r="D190" s="3341"/>
      <c r="E190" s="3341"/>
      <c r="F190" s="3341"/>
      <c r="G190" s="3341"/>
      <c r="H190" s="3341"/>
      <c r="I190" s="3341"/>
      <c r="J190" s="3341"/>
      <c r="K190" s="3341"/>
      <c r="L190" s="3341"/>
      <c r="M190" s="3341"/>
      <c r="N190" s="3341"/>
      <c r="O190" s="3341"/>
      <c r="P190" s="3341"/>
      <c r="Q190" s="3341"/>
      <c r="R190" s="3341"/>
      <c r="S190" s="3341"/>
      <c r="T190" s="3341"/>
      <c r="U190" s="3341"/>
      <c r="V190" s="3341"/>
      <c r="W190" s="3341"/>
      <c r="X190" s="3341"/>
      <c r="Y190" s="3341"/>
      <c r="Z190" s="3341"/>
      <c r="AA190" s="3341"/>
      <c r="AB190" s="3341"/>
      <c r="AC190" s="3341"/>
      <c r="AD190" s="3341"/>
      <c r="AE190" s="3341"/>
      <c r="AF190" s="3341"/>
      <c r="AG190" s="3341"/>
      <c r="AH190" s="3341"/>
      <c r="AI190" s="3341"/>
      <c r="AJ190" s="3341"/>
      <c r="AK190" s="3341"/>
      <c r="AL190" s="3341"/>
      <c r="AM190" s="3341"/>
      <c r="AN190" s="3341"/>
      <c r="AO190" s="3341"/>
      <c r="AP190" s="3341"/>
      <c r="AR190" s="3331"/>
    </row>
    <row r="191" s="3330" customFormat="1" ht="13.7" customHeight="1" spans="1:44">
      <c r="A191" s="3315"/>
      <c r="B191" s="3315"/>
      <c r="C191" s="3425" t="s">
        <v>1825</v>
      </c>
      <c r="D191" s="3426"/>
      <c r="E191" s="3341"/>
      <c r="F191" s="3341"/>
      <c r="G191" s="3341"/>
      <c r="H191" s="3341"/>
      <c r="I191" s="3341"/>
      <c r="J191" s="3341"/>
      <c r="K191" s="3341"/>
      <c r="L191" s="3341"/>
      <c r="M191" s="3341"/>
      <c r="N191" s="3341"/>
      <c r="O191" s="3341"/>
      <c r="P191" s="3341"/>
      <c r="Q191" s="3341"/>
      <c r="R191" s="3341"/>
      <c r="S191" s="3341"/>
      <c r="T191" s="3341"/>
      <c r="U191" s="3341"/>
      <c r="V191" s="3341"/>
      <c r="W191" s="3341"/>
      <c r="X191" s="3341"/>
      <c r="Y191" s="3341"/>
      <c r="Z191" s="3341"/>
      <c r="AA191" s="3341"/>
      <c r="AB191" s="3341"/>
      <c r="AC191" s="3341"/>
      <c r="AD191" s="3341"/>
      <c r="AE191" s="3341"/>
      <c r="AF191" s="3341"/>
      <c r="AG191" s="3341"/>
      <c r="AH191" s="3341"/>
      <c r="AI191" s="3341"/>
      <c r="AJ191" s="3341"/>
      <c r="AK191" s="3341"/>
      <c r="AL191" s="3341"/>
      <c r="AM191" s="3341"/>
      <c r="AN191" s="3341"/>
      <c r="AO191" s="3341"/>
      <c r="AP191" s="3341"/>
      <c r="AR191" s="3331"/>
    </row>
    <row r="192" s="3330" customFormat="1" ht="6" customHeight="1" spans="1:44">
      <c r="A192" s="3315"/>
      <c r="B192" s="3315"/>
      <c r="C192" s="3425"/>
      <c r="D192" s="3426"/>
      <c r="E192" s="3341"/>
      <c r="F192" s="3341"/>
      <c r="G192" s="3341"/>
      <c r="H192" s="3341"/>
      <c r="I192" s="3341"/>
      <c r="J192" s="3341"/>
      <c r="K192" s="3341"/>
      <c r="L192" s="3341"/>
      <c r="M192" s="3341"/>
      <c r="N192" s="3341"/>
      <c r="O192" s="3341"/>
      <c r="P192" s="3341"/>
      <c r="Q192" s="3341"/>
      <c r="R192" s="3341"/>
      <c r="S192" s="3341"/>
      <c r="T192" s="3341"/>
      <c r="U192" s="3341"/>
      <c r="V192" s="3341"/>
      <c r="W192" s="3341"/>
      <c r="X192" s="3341"/>
      <c r="Y192" s="3341"/>
      <c r="Z192" s="3341"/>
      <c r="AA192" s="3341"/>
      <c r="AB192" s="3363"/>
      <c r="AC192" s="3363"/>
      <c r="AD192" s="3363"/>
      <c r="AE192" s="3363"/>
      <c r="AF192" s="3363"/>
      <c r="AG192" s="3363"/>
      <c r="AH192" s="3363"/>
      <c r="AI192"/>
      <c r="AJ192" s="93"/>
      <c r="AK192" s="93"/>
      <c r="AL192" s="93"/>
      <c r="AM192" s="93"/>
      <c r="AN192" s="93"/>
      <c r="AO192" s="93"/>
      <c r="AP192" s="93"/>
      <c r="AR192" s="3331"/>
    </row>
    <row r="193" s="3330" customFormat="1" ht="15.6" spans="1:49">
      <c r="A193" s="3315"/>
      <c r="B193" s="3315"/>
      <c r="C193" s="3425"/>
      <c r="D193" s="3426"/>
      <c r="E193" s="3341"/>
      <c r="F193" s="3341"/>
      <c r="G193" s="3341"/>
      <c r="H193" s="3341"/>
      <c r="I193" s="3341"/>
      <c r="J193" s="3341"/>
      <c r="K193" s="3341"/>
      <c r="L193" s="3341"/>
      <c r="M193" s="3341"/>
      <c r="N193" s="3341"/>
      <c r="O193" s="3341"/>
      <c r="P193" s="3341"/>
      <c r="Q193" s="3341"/>
      <c r="R193" s="3341"/>
      <c r="S193" s="3341"/>
      <c r="T193" s="3341"/>
      <c r="U193" s="3341"/>
      <c r="V193" s="3341"/>
      <c r="W193" s="3341"/>
      <c r="X193" s="3341"/>
      <c r="Y193" s="3341"/>
      <c r="Z193" s="3341"/>
      <c r="AA193" s="3341"/>
      <c r="AB193" s="5086" t="str">
        <f>+AB111</f>
        <v>2021</v>
      </c>
      <c r="AC193"/>
      <c r="AD193"/>
      <c r="AE193"/>
      <c r="AF193"/>
      <c r="AG193"/>
      <c r="AH193"/>
      <c r="AI193" s="3335"/>
      <c r="AJ193" s="5086" t="str">
        <f>+AJ111</f>
        <v>2020</v>
      </c>
      <c r="AK193"/>
      <c r="AL193"/>
      <c r="AM193"/>
      <c r="AN193"/>
      <c r="AO193"/>
      <c r="AP193"/>
      <c r="AR193"/>
      <c r="AS193"/>
      <c r="AT193"/>
      <c r="AU193"/>
      <c r="AV193"/>
      <c r="AW193"/>
    </row>
    <row r="194" s="3330" customFormat="1" customHeight="1" spans="1:45">
      <c r="A194" s="3315"/>
      <c r="B194" s="3315"/>
      <c r="C194" s="3427" t="s">
        <v>1826</v>
      </c>
      <c r="D194" s="3426"/>
      <c r="E194" s="3341"/>
      <c r="F194" s="3341"/>
      <c r="G194" s="3341"/>
      <c r="H194" s="3341"/>
      <c r="I194" s="3341"/>
      <c r="J194" s="3341"/>
      <c r="K194" s="3341"/>
      <c r="L194" s="3341"/>
      <c r="M194" s="3341"/>
      <c r="N194" s="3341"/>
      <c r="O194" s="3341"/>
      <c r="P194" s="3341"/>
      <c r="Q194" s="3341"/>
      <c r="R194" s="3341"/>
      <c r="S194" s="3341"/>
      <c r="T194" s="3341"/>
      <c r="U194" s="3341"/>
      <c r="V194" s="3341"/>
      <c r="W194" s="3341"/>
      <c r="X194" s="3341"/>
      <c r="Y194" s="3341"/>
      <c r="Z194" s="3341"/>
      <c r="AA194" s="3341"/>
      <c r="AB194" s="3363">
        <f>+'20'!Q17</f>
        <v>1623623597</v>
      </c>
      <c r="AC194" s="3363"/>
      <c r="AD194" s="3363"/>
      <c r="AE194" s="3363"/>
      <c r="AF194" s="3363"/>
      <c r="AG194" s="3363"/>
      <c r="AH194" s="3363"/>
      <c r="AI194" s="3335"/>
      <c r="AJ194" s="93">
        <f>+'20'!R17</f>
        <v>1032437987.5</v>
      </c>
      <c r="AK194" s="93"/>
      <c r="AL194" s="93"/>
      <c r="AM194" s="93"/>
      <c r="AN194" s="93"/>
      <c r="AO194" s="93"/>
      <c r="AP194" s="93"/>
      <c r="AR194" s="3331"/>
      <c r="AS194" s="3330">
        <f>AD746+AD765</f>
        <v>0</v>
      </c>
    </row>
    <row r="195" s="3330" customFormat="1" hidden="1" customHeight="1" spans="1:44">
      <c r="A195" s="3315"/>
      <c r="B195" s="3315"/>
      <c r="C195" s="3427" t="s">
        <v>1827</v>
      </c>
      <c r="D195" s="3426"/>
      <c r="E195" s="3341"/>
      <c r="F195" s="3341"/>
      <c r="G195" s="3341"/>
      <c r="H195" s="3341"/>
      <c r="I195" s="3341"/>
      <c r="J195" s="3341"/>
      <c r="K195" s="3341"/>
      <c r="L195" s="3341"/>
      <c r="M195" s="3341"/>
      <c r="N195" s="3341"/>
      <c r="O195" s="3341"/>
      <c r="P195" s="3341"/>
      <c r="Q195" s="3341"/>
      <c r="R195" s="3341"/>
      <c r="S195" s="3341"/>
      <c r="T195" s="3341"/>
      <c r="U195" s="3341"/>
      <c r="V195" s="3341"/>
      <c r="W195" s="3341"/>
      <c r="X195" s="3341"/>
      <c r="Y195" s="3341"/>
      <c r="Z195" s="3341"/>
      <c r="AA195" s="3341"/>
      <c r="AI195" s="3341"/>
      <c r="AJ195" s="93">
        <v>0</v>
      </c>
      <c r="AK195" s="93"/>
      <c r="AL195" s="93"/>
      <c r="AM195" s="93"/>
      <c r="AN195" s="93"/>
      <c r="AO195" s="93"/>
      <c r="AP195" s="93"/>
      <c r="AR195" s="3331"/>
    </row>
    <row r="196" s="3330" customFormat="1" spans="1:44">
      <c r="A196" s="3315"/>
      <c r="B196" s="3315"/>
      <c r="C196" s="3427" t="s">
        <v>1828</v>
      </c>
      <c r="D196" s="3426"/>
      <c r="E196" s="3341"/>
      <c r="F196" s="3341"/>
      <c r="G196" s="3341"/>
      <c r="H196" s="3341"/>
      <c r="I196" s="3341"/>
      <c r="J196" s="3341"/>
      <c r="K196" s="3341"/>
      <c r="L196" s="3341"/>
      <c r="M196" s="3341"/>
      <c r="N196" s="3341"/>
      <c r="O196" s="3341"/>
      <c r="P196" s="3341"/>
      <c r="Q196" s="3341"/>
      <c r="R196" s="3341"/>
      <c r="S196" s="3341"/>
      <c r="T196" s="3341"/>
      <c r="U196" s="3341"/>
      <c r="V196" s="3341"/>
      <c r="W196" s="3341"/>
      <c r="X196" s="3341"/>
      <c r="Y196" s="3341"/>
      <c r="Z196" s="3341"/>
      <c r="AA196" s="3341"/>
      <c r="AB196" s="3363">
        <f>+'40'!Q30</f>
        <v>177633247.9</v>
      </c>
      <c r="AC196" s="3363"/>
      <c r="AD196" s="3363"/>
      <c r="AE196" s="3363"/>
      <c r="AF196" s="3363"/>
      <c r="AG196" s="3363"/>
      <c r="AH196" s="3363"/>
      <c r="AI196" s="3341"/>
      <c r="AJ196" s="3363">
        <f>+'40'!R30</f>
        <v>76822512.5756187</v>
      </c>
      <c r="AK196" s="3363"/>
      <c r="AL196" s="3363"/>
      <c r="AM196" s="3363"/>
      <c r="AN196" s="3363"/>
      <c r="AO196" s="3363"/>
      <c r="AP196" s="3363"/>
      <c r="AR196" s="3331"/>
    </row>
    <row r="197" s="3330" customFormat="1" ht="4.5" customHeight="1" spans="1:44">
      <c r="A197" s="3315"/>
      <c r="B197" s="3315"/>
      <c r="C197" s="3427"/>
      <c r="D197" s="3426"/>
      <c r="E197" s="3341"/>
      <c r="F197" s="3341"/>
      <c r="G197" s="3341"/>
      <c r="H197" s="3341"/>
      <c r="I197" s="3341"/>
      <c r="J197" s="3341"/>
      <c r="K197" s="3341"/>
      <c r="L197" s="3341"/>
      <c r="M197" s="3341"/>
      <c r="N197" s="3341"/>
      <c r="O197" s="3341"/>
      <c r="P197" s="3341"/>
      <c r="Q197" s="3341"/>
      <c r="R197" s="3341"/>
      <c r="S197" s="3341"/>
      <c r="T197" s="3341"/>
      <c r="U197" s="3341"/>
      <c r="V197" s="3341"/>
      <c r="W197" s="3341"/>
      <c r="X197" s="3341"/>
      <c r="Y197" s="3341"/>
      <c r="Z197" s="3341"/>
      <c r="AA197" s="3341"/>
      <c r="AB197" s="3341"/>
      <c r="AC197" s="3341"/>
      <c r="AD197" s="3341"/>
      <c r="AE197" s="3341"/>
      <c r="AF197" s="3341"/>
      <c r="AG197" s="3341"/>
      <c r="AH197" s="3341"/>
      <c r="AI197" s="3341"/>
      <c r="AJ197" s="93"/>
      <c r="AK197" s="93"/>
      <c r="AL197" s="93"/>
      <c r="AM197" s="93"/>
      <c r="AN197" s="93"/>
      <c r="AO197" s="93"/>
      <c r="AP197" s="93"/>
      <c r="AR197" s="3331"/>
    </row>
    <row r="198" s="3330" customFormat="1" spans="1:44">
      <c r="A198" s="3315"/>
      <c r="B198" s="3315"/>
      <c r="C198" s="3428" t="s">
        <v>1829</v>
      </c>
      <c r="D198" s="3426"/>
      <c r="E198" s="3341"/>
      <c r="F198" s="3341"/>
      <c r="G198" s="3341"/>
      <c r="H198" s="3341"/>
      <c r="I198" s="3341"/>
      <c r="J198" s="3341"/>
      <c r="K198" s="3341"/>
      <c r="L198" s="3341"/>
      <c r="M198" s="3341"/>
      <c r="N198" s="3341"/>
      <c r="O198" s="3341"/>
      <c r="P198" s="3341"/>
      <c r="Q198" s="3341"/>
      <c r="R198" s="3341"/>
      <c r="S198" s="3341"/>
      <c r="T198" s="3341"/>
      <c r="U198" s="3341"/>
      <c r="V198" s="3341"/>
      <c r="W198" s="3341"/>
      <c r="X198" s="3341"/>
      <c r="Y198" s="3341"/>
      <c r="Z198" s="3341"/>
      <c r="AA198" s="3341"/>
      <c r="AB198" s="3438">
        <f>SUM(AB194:AH197)</f>
        <v>1801256844.9</v>
      </c>
      <c r="AC198" s="3438"/>
      <c r="AD198" s="3438"/>
      <c r="AE198" s="3438"/>
      <c r="AF198" s="3438"/>
      <c r="AG198" s="3438"/>
      <c r="AH198" s="3438"/>
      <c r="AI198" s="3344"/>
      <c r="AJ198" s="3438">
        <f>SUM(AJ194:AP197)</f>
        <v>1109260500.07562</v>
      </c>
      <c r="AK198" s="3438"/>
      <c r="AL198" s="3438"/>
      <c r="AM198" s="3438"/>
      <c r="AN198" s="3438"/>
      <c r="AO198" s="3438"/>
      <c r="AP198" s="3438"/>
      <c r="AR198" s="3331"/>
    </row>
    <row r="199" s="3330" customFormat="1" spans="1:44">
      <c r="A199" s="3315"/>
      <c r="B199" s="3315"/>
      <c r="D199" s="3429"/>
      <c r="E199" s="3322"/>
      <c r="F199" s="3322"/>
      <c r="G199" s="3322"/>
      <c r="H199" s="3322"/>
      <c r="I199" s="3322"/>
      <c r="J199" s="3322"/>
      <c r="K199" s="3326"/>
      <c r="L199" s="3326"/>
      <c r="M199" s="3326"/>
      <c r="N199" s="3326"/>
      <c r="O199" s="3322"/>
      <c r="P199" s="3335"/>
      <c r="Q199" s="3335"/>
      <c r="R199" s="3335"/>
      <c r="S199" s="3335"/>
      <c r="T199" s="3335"/>
      <c r="U199" s="3335"/>
      <c r="V199" s="3326"/>
      <c r="W199" s="3335"/>
      <c r="X199" s="3335"/>
      <c r="Y199" s="3335"/>
      <c r="Z199" s="3335"/>
      <c r="AA199" s="3335"/>
      <c r="AB199" s="2700">
        <f>+W149-AD149-AB198</f>
        <v>18333332.8006186</v>
      </c>
      <c r="AC199" s="2700"/>
      <c r="AD199" s="2700"/>
      <c r="AE199" s="2700"/>
      <c r="AF199" s="2700"/>
      <c r="AG199" s="2700"/>
      <c r="AH199" s="2700"/>
      <c r="AI199" s="2700"/>
      <c r="AJ199" s="3443">
        <f>+W181-AD181-AJ198</f>
        <v>0</v>
      </c>
      <c r="AK199" s="3443"/>
      <c r="AL199" s="3443"/>
      <c r="AM199" s="3443"/>
      <c r="AN199" s="3443"/>
      <c r="AO199" s="3443"/>
      <c r="AP199" s="3443"/>
      <c r="AR199" s="3331"/>
    </row>
    <row r="200" s="3330" customFormat="1" ht="23.85" customHeight="1" spans="1:44">
      <c r="A200" s="3315"/>
      <c r="B200" s="3315"/>
      <c r="C200" s="5087" t="s">
        <v>1830</v>
      </c>
      <c r="D200" s="3430"/>
      <c r="E200" s="3430"/>
      <c r="F200" s="3430"/>
      <c r="G200" s="3430"/>
      <c r="H200" s="3430"/>
      <c r="I200" s="3430"/>
      <c r="J200" s="3430"/>
      <c r="K200" s="3430"/>
      <c r="L200" s="3430"/>
      <c r="M200" s="3430"/>
      <c r="N200" s="3430"/>
      <c r="O200" s="3430"/>
      <c r="P200" s="3430"/>
      <c r="Q200" s="3430"/>
      <c r="R200" s="3430"/>
      <c r="S200" s="3430"/>
      <c r="T200" s="3430"/>
      <c r="U200" s="3430"/>
      <c r="V200" s="3430"/>
      <c r="W200" s="3430"/>
      <c r="X200" s="3430"/>
      <c r="Y200" s="3430"/>
      <c r="Z200" s="3430"/>
      <c r="AA200" s="3430"/>
      <c r="AB200" s="3430"/>
      <c r="AC200" s="3430"/>
      <c r="AD200" s="3430"/>
      <c r="AE200" s="3430"/>
      <c r="AF200" s="3430"/>
      <c r="AG200" s="3430"/>
      <c r="AH200" s="3430"/>
      <c r="AI200" s="3430"/>
      <c r="AJ200" s="3430"/>
      <c r="AK200" s="3430"/>
      <c r="AL200" s="3430"/>
      <c r="AM200" s="3430"/>
      <c r="AN200" s="3430"/>
      <c r="AO200" s="3430"/>
      <c r="AP200" s="3430"/>
      <c r="AR200" s="3331"/>
    </row>
    <row r="201" s="3330" customFormat="1" ht="18.6" customHeight="1" spans="1:44">
      <c r="A201" s="3315"/>
      <c r="B201" s="3315"/>
      <c r="C201" s="3340"/>
      <c r="D201" s="3322"/>
      <c r="E201" s="3322"/>
      <c r="F201" s="3322"/>
      <c r="G201" s="3322"/>
      <c r="H201" s="3322"/>
      <c r="I201" s="3322"/>
      <c r="J201" s="3322"/>
      <c r="K201" s="3326"/>
      <c r="L201" s="3326"/>
      <c r="M201" s="3326"/>
      <c r="N201" s="3326"/>
      <c r="O201" s="3322"/>
      <c r="P201" s="3335"/>
      <c r="Q201" s="3335"/>
      <c r="R201" s="3335"/>
      <c r="S201" s="3335"/>
      <c r="T201" s="3335"/>
      <c r="U201" s="3335"/>
      <c r="V201" s="3326"/>
      <c r="W201" s="3335"/>
      <c r="X201" s="3335"/>
      <c r="Y201" s="3335"/>
      <c r="Z201" s="3335"/>
      <c r="AA201" s="3335"/>
      <c r="AB201" s="3335"/>
      <c r="AC201" s="3326"/>
      <c r="AD201" s="3335"/>
      <c r="AE201" s="3335"/>
      <c r="AF201" s="3335"/>
      <c r="AG201" s="3335"/>
      <c r="AH201" s="3335"/>
      <c r="AI201" s="3335"/>
      <c r="AJ201" s="3326"/>
      <c r="AK201" s="3335"/>
      <c r="AL201" s="3335"/>
      <c r="AM201" s="3335"/>
      <c r="AN201" s="3335"/>
      <c r="AO201" s="3335"/>
      <c r="AP201" s="3335"/>
      <c r="AR201" s="3331"/>
    </row>
    <row r="202" s="3330" customFormat="1" spans="1:44">
      <c r="A202" s="3335">
        <f>+A129+1</f>
        <v>9</v>
      </c>
      <c r="B202" s="3315"/>
      <c r="C202" s="3322" t="s">
        <v>1831</v>
      </c>
      <c r="D202" s="3315"/>
      <c r="E202" s="3315"/>
      <c r="F202" s="3315"/>
      <c r="G202" s="3315"/>
      <c r="H202" s="3315"/>
      <c r="I202" s="3315"/>
      <c r="J202" s="3315"/>
      <c r="K202" s="3315"/>
      <c r="L202" s="3315"/>
      <c r="M202" s="3315"/>
      <c r="N202" s="3315"/>
      <c r="O202" s="3315"/>
      <c r="P202" s="3315"/>
      <c r="Q202" s="3315"/>
      <c r="R202" s="3315"/>
      <c r="S202" s="3315"/>
      <c r="T202" s="3315"/>
      <c r="U202" s="3315"/>
      <c r="V202" s="3315"/>
      <c r="W202" s="3315"/>
      <c r="X202" s="3315"/>
      <c r="Y202" s="3315"/>
      <c r="Z202" s="3315"/>
      <c r="AA202" s="3315"/>
      <c r="AB202" s="3335"/>
      <c r="AC202" s="3326"/>
      <c r="AD202" s="3335"/>
      <c r="AE202" s="3335"/>
      <c r="AF202" s="3335"/>
      <c r="AG202" s="3335"/>
      <c r="AH202" s="3335"/>
      <c r="AI202" s="3335"/>
      <c r="AJ202" s="3326"/>
      <c r="AK202" s="3335"/>
      <c r="AL202" s="3335"/>
      <c r="AM202" s="3335"/>
      <c r="AN202" s="3335"/>
      <c r="AO202" s="3335"/>
      <c r="AP202" s="3335"/>
      <c r="AR202" s="3331"/>
    </row>
    <row r="203" s="3330" customFormat="1" spans="1:44">
      <c r="A203" s="3315"/>
      <c r="B203" s="3315"/>
      <c r="C203" s="3340"/>
      <c r="D203" s="3322"/>
      <c r="E203" s="3322"/>
      <c r="F203" s="3322"/>
      <c r="G203" s="3322"/>
      <c r="H203" s="3322"/>
      <c r="I203" s="3322"/>
      <c r="J203" s="3322"/>
      <c r="K203" s="3326"/>
      <c r="L203" s="3326"/>
      <c r="M203" s="3326"/>
      <c r="N203" s="3326"/>
      <c r="O203" s="3322"/>
      <c r="P203" s="3335"/>
      <c r="Q203" s="3335"/>
      <c r="R203" s="3335"/>
      <c r="S203" s="3335"/>
      <c r="T203" s="3335"/>
      <c r="U203" s="3335"/>
      <c r="V203" s="3326"/>
      <c r="W203" s="3335"/>
      <c r="X203" s="3335"/>
      <c r="Y203" s="3335"/>
      <c r="Z203" s="3335"/>
      <c r="AA203" s="3335"/>
      <c r="AB203" s="3335"/>
      <c r="AC203" s="3326"/>
      <c r="AD203" s="3335"/>
      <c r="AE203" s="3335"/>
      <c r="AF203" s="3335"/>
      <c r="AG203" s="3335"/>
      <c r="AH203" s="3335"/>
      <c r="AI203" s="3335"/>
      <c r="AJ203" s="3326"/>
      <c r="AK203" s="3335"/>
      <c r="AL203" s="3335"/>
      <c r="AM203" s="3335"/>
      <c r="AN203" s="3335"/>
      <c r="AO203" s="3335"/>
      <c r="AP203" s="3335"/>
      <c r="AR203" s="3331"/>
    </row>
    <row r="204" s="3330" customFormat="1" spans="1:44">
      <c r="A204" s="3335"/>
      <c r="B204" s="64"/>
      <c r="C204" s="3388" t="s">
        <v>1832</v>
      </c>
      <c r="D204" s="3386"/>
      <c r="E204" s="3386"/>
      <c r="F204" s="3386"/>
      <c r="G204" s="3386"/>
      <c r="H204" s="3386"/>
      <c r="I204" s="3386"/>
      <c r="J204" s="3386"/>
      <c r="K204" s="3386"/>
      <c r="L204" s="3386"/>
      <c r="M204" s="3386"/>
      <c r="N204" s="3386"/>
      <c r="O204" s="3386"/>
      <c r="P204" s="3386"/>
      <c r="Q204" s="3386"/>
      <c r="R204" s="3386"/>
      <c r="S204" s="3386"/>
      <c r="T204" s="3386"/>
      <c r="U204" s="3386"/>
      <c r="V204" s="3386"/>
      <c r="W204" s="3386"/>
      <c r="X204" s="3386"/>
      <c r="Y204" s="3386"/>
      <c r="Z204" s="3386"/>
      <c r="AA204" s="3386"/>
      <c r="AR204" s="3331"/>
    </row>
    <row r="205" s="3330" customFormat="1" spans="1:44">
      <c r="A205" s="3335"/>
      <c r="B205" s="64"/>
      <c r="C205" s="3388"/>
      <c r="D205" s="3386"/>
      <c r="E205" s="3386"/>
      <c r="F205" s="3386"/>
      <c r="G205" s="3386"/>
      <c r="H205" s="3386"/>
      <c r="I205" s="3386"/>
      <c r="J205" s="3386"/>
      <c r="K205" s="3386"/>
      <c r="L205" s="3386"/>
      <c r="M205" s="3386"/>
      <c r="N205" s="3386"/>
      <c r="O205" s="3386"/>
      <c r="P205" s="3386"/>
      <c r="Q205" s="3386"/>
      <c r="R205" s="3386"/>
      <c r="S205" s="3386"/>
      <c r="T205" s="3386"/>
      <c r="U205" s="3386"/>
      <c r="V205" s="3386"/>
      <c r="W205" s="3386"/>
      <c r="X205" s="3386"/>
      <c r="Y205" s="3386"/>
      <c r="Z205" s="3386"/>
      <c r="AA205" s="3386"/>
      <c r="AR205" s="3331"/>
    </row>
    <row r="206" s="3330" customFormat="1" spans="1:44">
      <c r="A206" s="3386"/>
      <c r="B206" s="3387"/>
      <c r="C206" s="3387"/>
      <c r="D206" s="3387"/>
      <c r="E206" s="3387"/>
      <c r="F206" s="3387"/>
      <c r="G206" s="3387"/>
      <c r="H206" s="3387"/>
      <c r="I206" s="3387"/>
      <c r="J206" s="3387"/>
      <c r="K206" s="3387"/>
      <c r="L206" s="3387"/>
      <c r="M206" s="3387"/>
      <c r="N206" s="3387"/>
      <c r="O206" s="3387"/>
      <c r="P206" s="3387"/>
      <c r="Q206" s="3387"/>
      <c r="R206" s="3386"/>
      <c r="S206" s="3386"/>
      <c r="T206" s="3386"/>
      <c r="U206" s="3386"/>
      <c r="V206" s="3386"/>
      <c r="W206" s="3386"/>
      <c r="X206" s="3386"/>
      <c r="Y206" s="3386"/>
      <c r="Z206" s="3386"/>
      <c r="AA206" s="3386"/>
      <c r="AB206" s="5081" t="str">
        <f>+AB111</f>
        <v>2021</v>
      </c>
      <c r="AC206" s="3355"/>
      <c r="AD206" s="3355"/>
      <c r="AE206" s="3355"/>
      <c r="AF206" s="3355"/>
      <c r="AG206" s="3355"/>
      <c r="AH206" s="3355"/>
      <c r="AI206" s="64"/>
      <c r="AJ206" s="5081" t="str">
        <f>+AJ111</f>
        <v>2020</v>
      </c>
      <c r="AK206" s="3355"/>
      <c r="AL206" s="3355"/>
      <c r="AM206" s="3355"/>
      <c r="AN206" s="3355"/>
      <c r="AO206" s="3355"/>
      <c r="AP206" s="3355"/>
      <c r="AR206" s="3331"/>
    </row>
    <row r="207" s="3330" customFormat="1" ht="11.4" spans="1:44">
      <c r="A207" s="3386"/>
      <c r="B207" s="3387"/>
      <c r="C207" s="3388" t="str">
        <f>+H!B39</f>
        <v>Saldo Awal Investasi</v>
      </c>
      <c r="D207" s="3389"/>
      <c r="E207" s="3387"/>
      <c r="F207" s="3387"/>
      <c r="G207" s="3387"/>
      <c r="H207" s="3387"/>
      <c r="I207" s="3387"/>
      <c r="J207" s="3387"/>
      <c r="K207" s="3387"/>
      <c r="L207" s="3387"/>
      <c r="M207" s="3387"/>
      <c r="N207" s="3387"/>
      <c r="O207" s="3387"/>
      <c r="P207" s="3387"/>
      <c r="Q207" s="3387"/>
      <c r="R207" s="3386"/>
      <c r="S207" s="3386"/>
      <c r="T207" s="3386"/>
      <c r="U207" s="3386"/>
      <c r="V207" s="3386"/>
      <c r="W207" s="3386"/>
      <c r="X207" s="3386"/>
      <c r="Y207" s="3386"/>
      <c r="Z207" s="3386"/>
      <c r="AA207" s="3386"/>
      <c r="AB207" s="3393">
        <f>+AJ213</f>
        <v>10981449215</v>
      </c>
      <c r="AC207" s="3393"/>
      <c r="AD207" s="3393"/>
      <c r="AE207" s="3393"/>
      <c r="AF207" s="3393"/>
      <c r="AG207" s="3393"/>
      <c r="AH207" s="3393"/>
      <c r="AI207" s="3329"/>
      <c r="AJ207" s="93">
        <f>+H!F39+H!L39+H!R39</f>
        <v>10167154155</v>
      </c>
      <c r="AK207" s="93"/>
      <c r="AL207" s="93"/>
      <c r="AM207" s="93"/>
      <c r="AN207" s="93"/>
      <c r="AO207" s="93"/>
      <c r="AP207" s="93"/>
      <c r="AR207" s="3331"/>
    </row>
    <row r="208" s="3330" customFormat="1" ht="11.4" spans="1:44">
      <c r="A208" s="3386"/>
      <c r="B208" s="3387"/>
      <c r="C208" s="3388" t="str">
        <f>+H!B40</f>
        <v>Tambahan Investasi</v>
      </c>
      <c r="D208" s="3389"/>
      <c r="E208" s="3387"/>
      <c r="F208" s="3387"/>
      <c r="G208" s="3387"/>
      <c r="H208" s="3387"/>
      <c r="I208" s="3387"/>
      <c r="J208" s="3387"/>
      <c r="K208" s="3387"/>
      <c r="L208" s="3387"/>
      <c r="M208" s="3387"/>
      <c r="N208" s="3387"/>
      <c r="O208" s="3387"/>
      <c r="P208" s="3387"/>
      <c r="Q208" s="3387"/>
      <c r="R208" s="3386"/>
      <c r="S208" s="3386"/>
      <c r="T208" s="3386"/>
      <c r="U208" s="3386"/>
      <c r="V208" s="3386"/>
      <c r="W208" s="3386"/>
      <c r="X208" s="3386"/>
      <c r="Y208" s="3386"/>
      <c r="Z208" s="3386"/>
      <c r="AA208" s="3386"/>
      <c r="AB208" s="3393">
        <f>+H!K40+H!Q40+H!E40</f>
        <v>0</v>
      </c>
      <c r="AC208" s="3393"/>
      <c r="AD208" s="3393"/>
      <c r="AE208" s="3393"/>
      <c r="AF208" s="3393"/>
      <c r="AG208" s="3393"/>
      <c r="AH208" s="3393"/>
      <c r="AI208"/>
      <c r="AJ208" s="93">
        <f>+H!F40+H!L40+H!R40</f>
        <v>814295060</v>
      </c>
      <c r="AK208" s="93"/>
      <c r="AL208" s="93"/>
      <c r="AM208" s="93"/>
      <c r="AN208" s="93"/>
      <c r="AO208" s="93"/>
      <c r="AP208" s="93"/>
      <c r="AR208" s="3331"/>
    </row>
    <row r="209" s="3330" customFormat="1" ht="11.4" hidden="1" spans="1:44">
      <c r="A209" s="3386"/>
      <c r="B209" s="3387"/>
      <c r="C209" s="3388" t="str">
        <f>+H!B41</f>
        <v>Pembayaran cicilan pokok &amp; bunga thn 2020 &amp; 2021</v>
      </c>
      <c r="D209" s="3389"/>
      <c r="E209" s="3387"/>
      <c r="F209" s="3387"/>
      <c r="G209" s="3387"/>
      <c r="H209" s="3387"/>
      <c r="I209" s="3387"/>
      <c r="J209" s="3387"/>
      <c r="K209" s="3387"/>
      <c r="L209" s="3387"/>
      <c r="M209" s="3387"/>
      <c r="N209" s="3387"/>
      <c r="O209" s="3387"/>
      <c r="P209" s="3387"/>
      <c r="Q209" s="3387"/>
      <c r="R209" s="3386"/>
      <c r="S209" s="3386"/>
      <c r="T209" s="3386"/>
      <c r="U209" s="3386"/>
      <c r="V209" s="3386"/>
      <c r="W209" s="3386"/>
      <c r="X209" s="3386"/>
      <c r="Y209" s="3386"/>
      <c r="Z209" s="3386"/>
      <c r="AA209" s="3386"/>
      <c r="AB209" s="3393">
        <f>+H!K41+H!Q41+H!E41</f>
        <v>0</v>
      </c>
      <c r="AC209" s="3393"/>
      <c r="AD209" s="3393"/>
      <c r="AE209" s="3393"/>
      <c r="AF209" s="3393"/>
      <c r="AG209" s="3393"/>
      <c r="AH209" s="3393"/>
      <c r="AI209"/>
      <c r="AJ209" s="93">
        <f>+H!F41+H!L41+H!R41</f>
        <v>0</v>
      </c>
      <c r="AK209" s="93"/>
      <c r="AL209" s="93"/>
      <c r="AM209" s="93"/>
      <c r="AN209" s="93"/>
      <c r="AO209" s="93"/>
      <c r="AP209" s="93"/>
      <c r="AR209" s="3331"/>
    </row>
    <row r="210" s="3330" customFormat="1" ht="11.4" hidden="1" spans="1:44">
      <c r="A210" s="3386"/>
      <c r="B210" s="3387"/>
      <c r="C210" s="3388" t="str">
        <f>+H!B42</f>
        <v>Pengembalian/Reklass/(Ajusted)</v>
      </c>
      <c r="D210" s="3389"/>
      <c r="E210" s="3387"/>
      <c r="F210" s="3387"/>
      <c r="G210" s="3387"/>
      <c r="H210" s="3387"/>
      <c r="I210" s="3387"/>
      <c r="J210" s="3387"/>
      <c r="K210" s="3387"/>
      <c r="L210" s="3387"/>
      <c r="M210" s="3387"/>
      <c r="N210" s="3387"/>
      <c r="O210" s="3387"/>
      <c r="P210" s="3387"/>
      <c r="Q210" s="3387"/>
      <c r="R210" s="3386"/>
      <c r="S210" s="3386"/>
      <c r="T210" s="3386"/>
      <c r="U210" s="3386"/>
      <c r="V210" s="3386"/>
      <c r="W210" s="3386"/>
      <c r="X210" s="3386"/>
      <c r="Y210" s="3386"/>
      <c r="Z210" s="3386"/>
      <c r="AA210" s="3386"/>
      <c r="AB210" s="3393">
        <f>+H!K42+H!Q42+H!E42</f>
        <v>0</v>
      </c>
      <c r="AC210" s="3393"/>
      <c r="AD210" s="3393"/>
      <c r="AE210" s="3393"/>
      <c r="AF210" s="3393"/>
      <c r="AG210" s="3393"/>
      <c r="AH210" s="3393"/>
      <c r="AI210"/>
      <c r="AJ210" s="93">
        <f>+H!F42+H!L42+H!R42</f>
        <v>0</v>
      </c>
      <c r="AK210" s="93"/>
      <c r="AL210" s="93"/>
      <c r="AM210" s="93"/>
      <c r="AN210" s="93"/>
      <c r="AO210" s="93"/>
      <c r="AP210" s="93"/>
      <c r="AR210" s="3331"/>
    </row>
    <row r="211" s="3330" customFormat="1" ht="11.4" hidden="1" spans="1:44">
      <c r="A211" s="3386"/>
      <c r="B211" s="3387"/>
      <c r="C211" s="3388" t="str">
        <f>+H!B43</f>
        <v>Laba/(rugi) Investasi</v>
      </c>
      <c r="D211" s="3389"/>
      <c r="E211" s="3387"/>
      <c r="F211" s="3387"/>
      <c r="G211" s="3387"/>
      <c r="H211" s="3387"/>
      <c r="I211" s="3387"/>
      <c r="J211" s="3387"/>
      <c r="K211" s="3387"/>
      <c r="L211" s="3387"/>
      <c r="M211" s="3387"/>
      <c r="N211" s="3387"/>
      <c r="O211" s="3387"/>
      <c r="P211" s="3387"/>
      <c r="Q211" s="3387"/>
      <c r="R211" s="3386"/>
      <c r="S211" s="3386"/>
      <c r="T211" s="3386"/>
      <c r="U211" s="3386"/>
      <c r="V211" s="3386"/>
      <c r="W211" s="3386"/>
      <c r="X211" s="3386"/>
      <c r="Y211" s="3386"/>
      <c r="Z211" s="3386"/>
      <c r="AA211" s="3386"/>
      <c r="AB211" s="3393">
        <f>+H!K43+H!Q43+H!E43</f>
        <v>0</v>
      </c>
      <c r="AC211" s="3393"/>
      <c r="AD211" s="3393"/>
      <c r="AE211" s="3393"/>
      <c r="AF211" s="3393"/>
      <c r="AG211" s="3393"/>
      <c r="AH211" s="3393"/>
      <c r="AI211"/>
      <c r="AJ211" s="93">
        <f>+H!F43+H!L43+H!R43</f>
        <v>0</v>
      </c>
      <c r="AK211" s="93"/>
      <c r="AL211" s="93"/>
      <c r="AM211" s="93"/>
      <c r="AN211" s="93"/>
      <c r="AO211" s="93"/>
      <c r="AP211" s="93"/>
      <c r="AR211" s="3331"/>
    </row>
    <row r="212" s="3330" customFormat="1" ht="7.5" customHeight="1" spans="1:44">
      <c r="A212" s="3386"/>
      <c r="B212" s="3387"/>
      <c r="C212" s="3390"/>
      <c r="D212" s="3389"/>
      <c r="E212" s="3387"/>
      <c r="F212" s="3387"/>
      <c r="G212" s="3387"/>
      <c r="H212" s="3387"/>
      <c r="I212" s="3387"/>
      <c r="J212" s="3387"/>
      <c r="K212" s="3387"/>
      <c r="L212" s="3387"/>
      <c r="M212" s="3387"/>
      <c r="N212" s="3387"/>
      <c r="O212" s="3387"/>
      <c r="P212" s="3387"/>
      <c r="Q212" s="3387"/>
      <c r="R212" s="3386"/>
      <c r="S212" s="3386"/>
      <c r="T212" s="3386"/>
      <c r="U212" s="3386"/>
      <c r="V212" s="3386"/>
      <c r="W212" s="3386"/>
      <c r="X212" s="3386"/>
      <c r="Y212" s="3386"/>
      <c r="Z212" s="3386"/>
      <c r="AA212" s="3386"/>
      <c r="AB212" s="3363"/>
      <c r="AC212" s="3363"/>
      <c r="AD212" s="3363"/>
      <c r="AE212" s="3363"/>
      <c r="AF212" s="3363"/>
      <c r="AG212" s="3363"/>
      <c r="AH212" s="3363"/>
      <c r="AI212"/>
      <c r="AJ212" s="93"/>
      <c r="AK212" s="93"/>
      <c r="AL212" s="93"/>
      <c r="AM212" s="93"/>
      <c r="AN212" s="93"/>
      <c r="AO212" s="93"/>
      <c r="AP212" s="93"/>
      <c r="AR212" s="3331"/>
    </row>
    <row r="213" s="3330" customFormat="1" ht="12.75" spans="1:44">
      <c r="A213" s="3386"/>
      <c r="B213" s="3387"/>
      <c r="C213" s="3388" t="str">
        <f>+H!B45</f>
        <v>Saldo Akhir Investasi</v>
      </c>
      <c r="D213" s="3389"/>
      <c r="E213" s="3387"/>
      <c r="F213" s="3387"/>
      <c r="G213" s="3387"/>
      <c r="H213" s="3387"/>
      <c r="I213" s="3387"/>
      <c r="J213" s="3387"/>
      <c r="K213" s="3387"/>
      <c r="L213" s="3387"/>
      <c r="M213" s="3387"/>
      <c r="N213" s="3387"/>
      <c r="O213" s="3387"/>
      <c r="P213" s="3387"/>
      <c r="Q213" s="3387"/>
      <c r="R213" s="3386"/>
      <c r="S213" s="3386"/>
      <c r="T213" s="3386"/>
      <c r="U213" s="3386"/>
      <c r="V213" s="3386"/>
      <c r="W213" s="3386"/>
      <c r="X213" s="3386"/>
      <c r="Y213" s="3386"/>
      <c r="Z213" s="3386"/>
      <c r="AA213" s="3386"/>
      <c r="AB213" s="3367">
        <f>SUM(AB207:AH212)</f>
        <v>10981449215</v>
      </c>
      <c r="AC213" s="3367"/>
      <c r="AD213" s="3367"/>
      <c r="AE213" s="3367"/>
      <c r="AF213" s="3367"/>
      <c r="AG213" s="3367"/>
      <c r="AH213" s="3367"/>
      <c r="AI213" s="94"/>
      <c r="AJ213" s="3367">
        <f>SUM(AJ207:AP212)</f>
        <v>10981449215</v>
      </c>
      <c r="AK213" s="3367"/>
      <c r="AL213" s="3367"/>
      <c r="AM213" s="3367"/>
      <c r="AN213" s="3367"/>
      <c r="AO213" s="3367"/>
      <c r="AP213" s="3367"/>
      <c r="AR213" s="3331"/>
    </row>
    <row r="214" s="3330" customFormat="1" ht="12.75" spans="1:44">
      <c r="A214" s="3386"/>
      <c r="B214" s="3387"/>
      <c r="C214" s="3388"/>
      <c r="D214" s="3389"/>
      <c r="E214" s="3387"/>
      <c r="F214" s="3387"/>
      <c r="G214" s="3387"/>
      <c r="H214" s="3387"/>
      <c r="I214" s="3387"/>
      <c r="J214" s="3387"/>
      <c r="K214" s="3387"/>
      <c r="L214" s="3387"/>
      <c r="M214" s="3387"/>
      <c r="N214" s="3387"/>
      <c r="O214" s="3387"/>
      <c r="P214" s="3387"/>
      <c r="Q214" s="3387"/>
      <c r="R214" s="3386"/>
      <c r="S214" s="3386"/>
      <c r="T214" s="3386"/>
      <c r="U214" s="3386"/>
      <c r="V214" s="3386"/>
      <c r="W214" s="3386"/>
      <c r="X214" s="3386"/>
      <c r="Y214" s="3386"/>
      <c r="Z214" s="3386"/>
      <c r="AA214" s="3386"/>
      <c r="AB214" s="3395"/>
      <c r="AC214" s="3395"/>
      <c r="AD214" s="3395"/>
      <c r="AE214" s="3395"/>
      <c r="AF214" s="3395"/>
      <c r="AG214" s="3395"/>
      <c r="AH214" s="3395"/>
      <c r="AI214" s="94"/>
      <c r="AJ214" s="3395"/>
      <c r="AK214" s="3395"/>
      <c r="AL214" s="3395"/>
      <c r="AM214" s="3395"/>
      <c r="AN214" s="3395"/>
      <c r="AO214" s="3395"/>
      <c r="AP214" s="3395"/>
      <c r="AR214" s="3331"/>
    </row>
    <row r="215" s="3330" customFormat="1" ht="11.4" spans="1:44">
      <c r="A215" s="3386"/>
      <c r="B215" s="3387"/>
      <c r="C215" s="3432" t="s">
        <v>1833</v>
      </c>
      <c r="D215" s="3389"/>
      <c r="E215" s="3387"/>
      <c r="F215" s="3387"/>
      <c r="G215" s="3387"/>
      <c r="H215" s="3387"/>
      <c r="I215" s="3387"/>
      <c r="J215" s="3387"/>
      <c r="K215" s="3387"/>
      <c r="L215" s="3387"/>
      <c r="M215" s="3387"/>
      <c r="N215" s="3387"/>
      <c r="O215" s="3387"/>
      <c r="P215" s="3387"/>
      <c r="Q215" s="3387"/>
      <c r="R215" s="3386"/>
      <c r="S215" s="3386"/>
      <c r="T215" s="3386"/>
      <c r="U215" s="3386"/>
      <c r="V215" s="3386"/>
      <c r="W215" s="3386"/>
      <c r="X215" s="3386"/>
      <c r="Y215" s="3386"/>
      <c r="Z215" s="3386"/>
      <c r="AA215" s="3386"/>
      <c r="AB215" s="3393"/>
      <c r="AC215" s="3393"/>
      <c r="AD215" s="3393"/>
      <c r="AE215" s="3393"/>
      <c r="AF215" s="3393"/>
      <c r="AG215" s="3393"/>
      <c r="AH215" s="3393"/>
      <c r="AI215" s="3329"/>
      <c r="AJ215" s="93"/>
      <c r="AK215" s="93"/>
      <c r="AL215" s="93"/>
      <c r="AM215" s="93"/>
      <c r="AN215" s="93"/>
      <c r="AO215" s="93"/>
      <c r="AP215" s="93"/>
      <c r="AR215" s="3331"/>
    </row>
    <row r="216" s="3330" customFormat="1" ht="11.4" spans="1:44">
      <c r="A216" s="3386"/>
      <c r="B216" s="3387"/>
      <c r="C216" s="3388" t="s">
        <v>1834</v>
      </c>
      <c r="D216" s="3389"/>
      <c r="E216" s="3387"/>
      <c r="F216" s="3387"/>
      <c r="G216" s="3387"/>
      <c r="H216" s="3387"/>
      <c r="I216" s="3387"/>
      <c r="J216" s="3387"/>
      <c r="K216" s="3387"/>
      <c r="L216" s="3387"/>
      <c r="M216" s="3387"/>
      <c r="N216" s="3387"/>
      <c r="O216" s="3387"/>
      <c r="P216" s="3387"/>
      <c r="Q216" s="3387"/>
      <c r="R216" s="3386"/>
      <c r="S216" s="3386"/>
      <c r="T216" s="3386"/>
      <c r="U216" s="3386"/>
      <c r="V216" s="3386"/>
      <c r="W216" s="3386"/>
      <c r="X216" s="3386"/>
      <c r="Y216" s="3386"/>
      <c r="Z216" s="3386"/>
      <c r="AA216" s="3386"/>
      <c r="AB216" s="3393">
        <f>+H!P14</f>
        <v>10566441215</v>
      </c>
      <c r="AC216" s="3393"/>
      <c r="AD216" s="3393"/>
      <c r="AE216" s="3393"/>
      <c r="AF216" s="3393"/>
      <c r="AG216" s="3393"/>
      <c r="AH216" s="3393"/>
      <c r="AI216"/>
      <c r="AJ216" s="93">
        <f>+H!Q14</f>
        <v>10566441215</v>
      </c>
      <c r="AK216" s="93"/>
      <c r="AL216" s="93"/>
      <c r="AM216" s="93"/>
      <c r="AN216" s="93"/>
      <c r="AO216" s="93"/>
      <c r="AP216" s="93"/>
      <c r="AR216" s="3331"/>
    </row>
    <row r="217" s="3330" customFormat="1" ht="11.4" spans="1:44">
      <c r="A217" s="3386"/>
      <c r="B217" s="3387"/>
      <c r="C217" s="3388" t="s">
        <v>1835</v>
      </c>
      <c r="D217" s="3389"/>
      <c r="E217" s="3387"/>
      <c r="F217" s="3387"/>
      <c r="G217" s="3387"/>
      <c r="H217" s="3387"/>
      <c r="I217" s="3387"/>
      <c r="J217" s="3387"/>
      <c r="K217" s="3387"/>
      <c r="L217" s="3387"/>
      <c r="M217" s="3387"/>
      <c r="N217" s="3387"/>
      <c r="O217" s="3387"/>
      <c r="P217" s="3387"/>
      <c r="Q217" s="3387"/>
      <c r="R217" s="3386"/>
      <c r="S217" s="3386"/>
      <c r="T217" s="3386"/>
      <c r="U217" s="3386"/>
      <c r="V217" s="3386"/>
      <c r="W217" s="3386"/>
      <c r="X217" s="3386"/>
      <c r="Y217" s="3386"/>
      <c r="Z217" s="3386"/>
      <c r="AA217" s="3386"/>
      <c r="AB217" s="3393">
        <f>+H!P15</f>
        <v>415008000</v>
      </c>
      <c r="AC217" s="3393"/>
      <c r="AD217" s="3393"/>
      <c r="AE217" s="3393"/>
      <c r="AF217" s="3393"/>
      <c r="AG217" s="3393"/>
      <c r="AH217" s="3393"/>
      <c r="AI217"/>
      <c r="AJ217" s="93">
        <f>+H!Q15</f>
        <v>415008000</v>
      </c>
      <c r="AK217" s="93"/>
      <c r="AL217" s="93"/>
      <c r="AM217" s="93"/>
      <c r="AN217" s="93"/>
      <c r="AO217" s="93"/>
      <c r="AP217" s="93"/>
      <c r="AR217" s="3331"/>
    </row>
    <row r="218" s="3330" customFormat="1" ht="11.4" hidden="1" spans="1:44">
      <c r="A218" s="3386"/>
      <c r="B218" s="3387"/>
      <c r="C218" s="3388" t="s">
        <v>1836</v>
      </c>
      <c r="D218" s="3389"/>
      <c r="E218" s="3387"/>
      <c r="F218" s="3387"/>
      <c r="G218" s="3387"/>
      <c r="H218" s="3387"/>
      <c r="I218" s="3387"/>
      <c r="J218" s="3387"/>
      <c r="K218" s="3387"/>
      <c r="L218" s="3387"/>
      <c r="M218" s="3387"/>
      <c r="N218" s="3387"/>
      <c r="O218" s="3387"/>
      <c r="P218" s="3387"/>
      <c r="Q218" s="3387"/>
      <c r="R218" s="3386"/>
      <c r="S218" s="3386"/>
      <c r="T218" s="3386"/>
      <c r="U218" s="3386"/>
      <c r="V218" s="3386"/>
      <c r="W218" s="3386"/>
      <c r="X218" s="3386"/>
      <c r="Y218" s="3386"/>
      <c r="Z218" s="3386"/>
      <c r="AA218" s="3386"/>
      <c r="AB218" s="3393">
        <f>+H!P16</f>
        <v>0</v>
      </c>
      <c r="AC218" s="3393"/>
      <c r="AD218" s="3393"/>
      <c r="AE218" s="3393"/>
      <c r="AF218" s="3393"/>
      <c r="AG218" s="3393"/>
      <c r="AH218" s="3393"/>
      <c r="AI218"/>
      <c r="AJ218" s="93">
        <f>+H!Q16</f>
        <v>0</v>
      </c>
      <c r="AK218" s="93"/>
      <c r="AL218" s="93"/>
      <c r="AM218" s="93"/>
      <c r="AN218" s="93"/>
      <c r="AO218" s="93"/>
      <c r="AP218" s="93"/>
      <c r="AR218" s="3331"/>
    </row>
    <row r="219" s="3330" customFormat="1" ht="7.5" customHeight="1" spans="1:44">
      <c r="A219" s="3386"/>
      <c r="B219" s="3387"/>
      <c r="C219" s="3390"/>
      <c r="D219" s="3389"/>
      <c r="E219" s="3387"/>
      <c r="F219" s="3387"/>
      <c r="G219" s="3387"/>
      <c r="H219" s="3387"/>
      <c r="I219" s="3387"/>
      <c r="J219" s="3387"/>
      <c r="K219" s="3387"/>
      <c r="L219" s="3387"/>
      <c r="M219" s="3387"/>
      <c r="N219" s="3387"/>
      <c r="O219" s="3387"/>
      <c r="P219" s="3387"/>
      <c r="Q219" s="3387"/>
      <c r="R219" s="3386"/>
      <c r="S219" s="3386"/>
      <c r="T219" s="3386"/>
      <c r="U219" s="3386"/>
      <c r="V219" s="3386"/>
      <c r="W219" s="3386"/>
      <c r="X219" s="3386"/>
      <c r="Y219" s="3386"/>
      <c r="Z219" s="3386"/>
      <c r="AA219" s="3386"/>
      <c r="AB219" s="3363"/>
      <c r="AC219" s="3363"/>
      <c r="AD219" s="3363"/>
      <c r="AE219" s="3363"/>
      <c r="AF219" s="3363"/>
      <c r="AG219" s="3363"/>
      <c r="AH219" s="3363"/>
      <c r="AI219"/>
      <c r="AJ219" s="93"/>
      <c r="AK219" s="93"/>
      <c r="AL219" s="93"/>
      <c r="AM219" s="93"/>
      <c r="AN219" s="93"/>
      <c r="AO219" s="93"/>
      <c r="AP219" s="93"/>
      <c r="AR219" s="3331"/>
    </row>
    <row r="220" s="3330" customFormat="1" ht="12.75" spans="1:44">
      <c r="A220" s="3386"/>
      <c r="B220" s="3387"/>
      <c r="C220" s="3322" t="s">
        <v>1837</v>
      </c>
      <c r="D220" s="3389"/>
      <c r="E220" s="3387"/>
      <c r="F220" s="3387"/>
      <c r="G220" s="3387"/>
      <c r="H220" s="3387"/>
      <c r="I220" s="3387"/>
      <c r="J220" s="3387"/>
      <c r="K220" s="3387"/>
      <c r="L220" s="3387"/>
      <c r="M220" s="3387"/>
      <c r="N220" s="3387"/>
      <c r="O220" s="3387"/>
      <c r="P220" s="3387"/>
      <c r="Q220" s="3387"/>
      <c r="R220" s="3386"/>
      <c r="S220" s="3386"/>
      <c r="T220" s="3386"/>
      <c r="U220" s="3386"/>
      <c r="V220" s="3386"/>
      <c r="W220" s="3386"/>
      <c r="X220" s="3386"/>
      <c r="Y220" s="3386"/>
      <c r="Z220" s="3386"/>
      <c r="AA220" s="3386"/>
      <c r="AB220" s="3367">
        <f>SUM(AB215:AH219)</f>
        <v>10981449215</v>
      </c>
      <c r="AC220" s="3367"/>
      <c r="AD220" s="3367"/>
      <c r="AE220" s="3367"/>
      <c r="AF220" s="3367"/>
      <c r="AG220" s="3367"/>
      <c r="AH220" s="3367"/>
      <c r="AI220" s="94"/>
      <c r="AJ220" s="3367">
        <f>SUM(AJ215:AP219)</f>
        <v>10981449215</v>
      </c>
      <c r="AK220" s="3367"/>
      <c r="AL220" s="3367"/>
      <c r="AM220" s="3367"/>
      <c r="AN220" s="3367"/>
      <c r="AO220" s="3367"/>
      <c r="AP220" s="3367"/>
      <c r="AR220" s="3331"/>
    </row>
    <row r="221" s="3330" customFormat="1" ht="12.75" spans="1:44">
      <c r="A221" s="3315"/>
      <c r="B221" s="3315"/>
      <c r="C221" s="3340"/>
      <c r="D221" s="3322"/>
      <c r="E221" s="3322"/>
      <c r="F221" s="3322"/>
      <c r="G221" s="3322"/>
      <c r="H221" s="3322"/>
      <c r="I221" s="3322"/>
      <c r="J221" s="3322"/>
      <c r="K221" s="3326"/>
      <c r="L221" s="3326"/>
      <c r="M221" s="3326"/>
      <c r="N221" s="3326"/>
      <c r="O221" s="3322"/>
      <c r="P221" s="3335"/>
      <c r="Q221" s="3335"/>
      <c r="R221" s="3335"/>
      <c r="S221" s="3335"/>
      <c r="T221" s="3335"/>
      <c r="U221" s="3335"/>
      <c r="V221" s="3326"/>
      <c r="W221" s="3335"/>
      <c r="X221" s="3335"/>
      <c r="Y221" s="3335"/>
      <c r="Z221" s="3335"/>
      <c r="AA221" s="3335"/>
      <c r="AB221" s="3335"/>
      <c r="AC221" s="3326"/>
      <c r="AD221" s="3335"/>
      <c r="AE221" s="3335"/>
      <c r="AF221" s="3335"/>
      <c r="AG221" s="3335"/>
      <c r="AH221" s="3335"/>
      <c r="AI221" s="3335"/>
      <c r="AJ221" s="3326"/>
      <c r="AK221" s="3335"/>
      <c r="AL221" s="3335"/>
      <c r="AM221" s="3335"/>
      <c r="AN221" s="3335"/>
      <c r="AO221" s="3335"/>
      <c r="AP221" s="3335"/>
      <c r="AR221" s="3331"/>
    </row>
    <row r="222" s="3330" customFormat="1" spans="1:44">
      <c r="A222" s="3315"/>
      <c r="B222" s="3315"/>
      <c r="C222" s="3433" t="s">
        <v>1176</v>
      </c>
      <c r="D222" s="3434"/>
      <c r="E222" s="3386"/>
      <c r="F222" s="3386"/>
      <c r="G222" s="3386"/>
      <c r="H222" s="3386"/>
      <c r="I222" s="3386"/>
      <c r="J222" s="3386"/>
      <c r="K222" s="3386"/>
      <c r="L222" s="3386"/>
      <c r="M222" s="3386"/>
      <c r="N222" s="3386"/>
      <c r="O222" s="3386"/>
      <c r="P222" s="3386"/>
      <c r="Q222" s="3386"/>
      <c r="R222" s="3386"/>
      <c r="S222" s="3386"/>
      <c r="T222" s="3386"/>
      <c r="U222" s="3386"/>
      <c r="V222" s="3386"/>
      <c r="W222" s="3386"/>
      <c r="X222" s="3386"/>
      <c r="Y222" s="3386"/>
      <c r="Z222" s="3386"/>
      <c r="AA222" s="3386"/>
      <c r="AB222" s="3395"/>
      <c r="AC222" s="3395"/>
      <c r="AD222" s="3395"/>
      <c r="AE222" s="3395"/>
      <c r="AF222" s="3395"/>
      <c r="AG222" s="3395"/>
      <c r="AH222" s="3395"/>
      <c r="AI222" s="94"/>
      <c r="AJ222" s="3395"/>
      <c r="AK222" s="3395"/>
      <c r="AL222" s="3395"/>
      <c r="AM222" s="3395"/>
      <c r="AN222" s="3395"/>
      <c r="AO222" s="3395"/>
      <c r="AP222" s="3395"/>
      <c r="AQ222" s="3329"/>
      <c r="AR222" s="3331"/>
    </row>
    <row r="223" s="3330" customFormat="1" ht="8.45" customHeight="1" spans="1:44">
      <c r="A223" s="3315"/>
      <c r="B223" s="3315"/>
      <c r="C223" s="3435"/>
      <c r="D223" s="3434"/>
      <c r="E223" s="3386"/>
      <c r="F223" s="3386"/>
      <c r="G223" s="3386"/>
      <c r="H223" s="3386"/>
      <c r="I223" s="3386"/>
      <c r="J223" s="3386"/>
      <c r="K223" s="3386"/>
      <c r="L223" s="3386"/>
      <c r="M223" s="3386"/>
      <c r="N223" s="3386"/>
      <c r="O223" s="3386"/>
      <c r="P223" s="3386"/>
      <c r="Q223" s="3386"/>
      <c r="R223" s="3386"/>
      <c r="S223" s="3386"/>
      <c r="T223" s="3386"/>
      <c r="U223" s="3386"/>
      <c r="V223" s="3386"/>
      <c r="W223" s="3386"/>
      <c r="X223" s="3386"/>
      <c r="Y223" s="3386"/>
      <c r="Z223" s="3386"/>
      <c r="AA223" s="3386"/>
      <c r="AB223" s="3395"/>
      <c r="AC223" s="3395"/>
      <c r="AD223" s="3395"/>
      <c r="AE223" s="3395"/>
      <c r="AF223" s="3395"/>
      <c r="AG223" s="3395"/>
      <c r="AH223" s="3395"/>
      <c r="AI223" s="94"/>
      <c r="AJ223" s="3395"/>
      <c r="AK223" s="3395"/>
      <c r="AL223" s="3395"/>
      <c r="AM223" s="3395"/>
      <c r="AN223" s="3395"/>
      <c r="AO223" s="3395"/>
      <c r="AP223" s="3395"/>
      <c r="AQ223" s="3329"/>
      <c r="AR223" s="3331"/>
    </row>
    <row r="224" s="3330" customFormat="1" ht="47.1" customHeight="1" spans="1:44">
      <c r="A224" s="3315"/>
      <c r="B224" s="3315"/>
      <c r="C224" s="5036" t="s">
        <v>1838</v>
      </c>
      <c r="D224" s="3341"/>
      <c r="E224" s="3341"/>
      <c r="F224" s="3341"/>
      <c r="G224" s="3341"/>
      <c r="H224" s="3341"/>
      <c r="I224" s="3341"/>
      <c r="J224" s="3341"/>
      <c r="K224" s="3341"/>
      <c r="L224" s="3341"/>
      <c r="M224" s="3341"/>
      <c r="N224" s="3341"/>
      <c r="O224" s="3341"/>
      <c r="P224" s="3341"/>
      <c r="Q224" s="3341"/>
      <c r="R224" s="3341"/>
      <c r="S224" s="3341"/>
      <c r="T224" s="3341"/>
      <c r="U224" s="3341"/>
      <c r="V224" s="3341"/>
      <c r="W224" s="3341"/>
      <c r="X224" s="3341"/>
      <c r="Y224" s="3341"/>
      <c r="Z224" s="3341"/>
      <c r="AA224" s="3341"/>
      <c r="AB224" s="3341"/>
      <c r="AC224" s="3341"/>
      <c r="AD224" s="3341"/>
      <c r="AE224" s="3341"/>
      <c r="AF224" s="3341"/>
      <c r="AG224" s="3341"/>
      <c r="AH224" s="3341"/>
      <c r="AI224" s="3341"/>
      <c r="AJ224" s="3341"/>
      <c r="AK224" s="3341"/>
      <c r="AL224" s="3341"/>
      <c r="AM224" s="3341"/>
      <c r="AN224" s="3341"/>
      <c r="AO224" s="3341"/>
      <c r="AP224" s="3341"/>
      <c r="AQ224" s="3329" t="s">
        <v>1839</v>
      </c>
      <c r="AR224" s="3331"/>
    </row>
    <row r="225" s="3330" customFormat="1" spans="1:44">
      <c r="A225" s="3315"/>
      <c r="B225" s="3315"/>
      <c r="C225" s="3340"/>
      <c r="D225" s="3322"/>
      <c r="E225" s="3322"/>
      <c r="F225" s="3322"/>
      <c r="G225" s="3322"/>
      <c r="H225" s="3322"/>
      <c r="I225" s="3322"/>
      <c r="J225" s="3322"/>
      <c r="K225" s="3326"/>
      <c r="L225" s="3326"/>
      <c r="M225" s="3326"/>
      <c r="N225" s="3326"/>
      <c r="O225" s="3322"/>
      <c r="P225" s="3335"/>
      <c r="Q225" s="3335"/>
      <c r="R225" s="3335"/>
      <c r="S225" s="3335"/>
      <c r="T225" s="3335"/>
      <c r="U225" s="3335"/>
      <c r="V225" s="3326"/>
      <c r="W225" s="3335"/>
      <c r="X225" s="3335"/>
      <c r="Y225" s="3335"/>
      <c r="Z225" s="3335"/>
      <c r="AA225" s="3335"/>
      <c r="AB225" s="3335"/>
      <c r="AC225" s="3326"/>
      <c r="AD225" s="3335"/>
      <c r="AE225" s="3335"/>
      <c r="AF225" s="3335"/>
      <c r="AG225" s="3335"/>
      <c r="AH225" s="3335"/>
      <c r="AI225" s="3335"/>
      <c r="AJ225" s="3326"/>
      <c r="AK225" s="3335"/>
      <c r="AL225" s="3335"/>
      <c r="AM225" s="3335"/>
      <c r="AN225" s="3335"/>
      <c r="AO225" s="3335"/>
      <c r="AP225" s="3335"/>
      <c r="AR225" s="3331"/>
    </row>
    <row r="226" s="3330" customFormat="1" spans="1:44">
      <c r="A226" s="3315"/>
      <c r="B226" s="3315"/>
      <c r="C226" s="3340"/>
      <c r="D226" s="3322"/>
      <c r="E226" s="3322"/>
      <c r="F226" s="3322"/>
      <c r="G226" s="3322"/>
      <c r="H226" s="3322"/>
      <c r="I226" s="3322"/>
      <c r="J226" s="3322"/>
      <c r="K226" s="3326"/>
      <c r="L226" s="3326"/>
      <c r="M226" s="3326"/>
      <c r="N226" s="3326"/>
      <c r="O226" s="3322"/>
      <c r="P226" s="3335"/>
      <c r="Q226" s="3335"/>
      <c r="R226" s="3335"/>
      <c r="S226" s="3335"/>
      <c r="T226" s="3335"/>
      <c r="U226" s="3335"/>
      <c r="V226" s="3326"/>
      <c r="W226" s="3335"/>
      <c r="X226" s="3335"/>
      <c r="Y226" s="3335"/>
      <c r="Z226" s="3335"/>
      <c r="AA226" s="3335"/>
      <c r="AB226" s="3335"/>
      <c r="AC226" s="3326"/>
      <c r="AD226" s="3335"/>
      <c r="AE226" s="3335"/>
      <c r="AF226" s="3335"/>
      <c r="AG226" s="3335"/>
      <c r="AH226" s="3335"/>
      <c r="AI226" s="3335"/>
      <c r="AJ226" s="3326"/>
      <c r="AK226" s="3335"/>
      <c r="AL226" s="3335"/>
      <c r="AM226" s="3335"/>
      <c r="AN226" s="3335"/>
      <c r="AO226" s="3335"/>
      <c r="AP226" s="3335"/>
      <c r="AR226" s="3331"/>
    </row>
    <row r="227" s="3330" customFormat="1" spans="1:44">
      <c r="A227" s="3315"/>
      <c r="B227" s="3315"/>
      <c r="C227" s="3340"/>
      <c r="D227" s="3322"/>
      <c r="E227" s="3322"/>
      <c r="F227" s="3322"/>
      <c r="G227" s="3322"/>
      <c r="H227" s="3322"/>
      <c r="I227" s="3322"/>
      <c r="J227" s="3322"/>
      <c r="K227" s="3326"/>
      <c r="L227" s="3326"/>
      <c r="M227" s="3326"/>
      <c r="N227" s="3326"/>
      <c r="O227" s="3322"/>
      <c r="P227" s="3335"/>
      <c r="Q227" s="3335"/>
      <c r="R227" s="3335"/>
      <c r="S227" s="3335"/>
      <c r="T227" s="3335"/>
      <c r="U227" s="3335"/>
      <c r="V227" s="3326"/>
      <c r="W227" s="3335"/>
      <c r="X227" s="3335"/>
      <c r="Y227" s="3335"/>
      <c r="Z227" s="3335"/>
      <c r="AA227" s="3335"/>
      <c r="AB227" s="3335"/>
      <c r="AC227" s="3326"/>
      <c r="AD227" s="3335"/>
      <c r="AE227" s="3335"/>
      <c r="AF227" s="3335"/>
      <c r="AG227" s="3335"/>
      <c r="AH227" s="3335"/>
      <c r="AI227" s="3335"/>
      <c r="AJ227" s="3326"/>
      <c r="AK227" s="3335"/>
      <c r="AL227" s="3335"/>
      <c r="AM227" s="3335"/>
      <c r="AN227" s="3335"/>
      <c r="AO227" s="3335"/>
      <c r="AP227" s="3335"/>
      <c r="AR227" s="3331"/>
    </row>
    <row r="228" s="3330" customFormat="1" ht="11.4" spans="1:44">
      <c r="A228" s="3385">
        <f>+A161+1</f>
        <v>11</v>
      </c>
      <c r="B228" s="3385"/>
      <c r="C228" s="3385"/>
      <c r="D228" s="3385"/>
      <c r="E228" s="3385"/>
      <c r="F228" s="3385"/>
      <c r="G228" s="3385"/>
      <c r="H228" s="3385"/>
      <c r="I228" s="3385"/>
      <c r="J228" s="3385"/>
      <c r="K228" s="3385"/>
      <c r="L228" s="3385"/>
      <c r="M228" s="3385"/>
      <c r="N228" s="3385"/>
      <c r="O228" s="3385"/>
      <c r="P228" s="3385"/>
      <c r="Q228" s="3385"/>
      <c r="R228" s="3385"/>
      <c r="S228" s="3385"/>
      <c r="T228" s="3385"/>
      <c r="U228" s="3385"/>
      <c r="V228" s="3385"/>
      <c r="W228" s="3385"/>
      <c r="X228" s="3385"/>
      <c r="Y228" s="3385"/>
      <c r="Z228" s="3385"/>
      <c r="AA228" s="3385"/>
      <c r="AB228" s="3385"/>
      <c r="AC228" s="3385"/>
      <c r="AD228" s="3385"/>
      <c r="AE228" s="3385"/>
      <c r="AF228" s="3385"/>
      <c r="AG228" s="3385"/>
      <c r="AH228" s="3385"/>
      <c r="AI228" s="3385"/>
      <c r="AJ228" s="3385"/>
      <c r="AK228" s="3385"/>
      <c r="AL228" s="3385"/>
      <c r="AM228" s="3385"/>
      <c r="AN228" s="3385"/>
      <c r="AO228" s="3385"/>
      <c r="AP228" s="3385"/>
      <c r="AR228" s="3331"/>
    </row>
    <row r="229" s="3330" customFormat="1" spans="1:44">
      <c r="A229" s="3335">
        <f>+A202</f>
        <v>9</v>
      </c>
      <c r="B229" s="3315"/>
      <c r="C229" s="3322" t="s">
        <v>1831</v>
      </c>
      <c r="D229" s="3315"/>
      <c r="E229" s="3315"/>
      <c r="F229" s="3322"/>
      <c r="G229" s="3322"/>
      <c r="H229" s="3322"/>
      <c r="I229" s="3322"/>
      <c r="J229" s="3322"/>
      <c r="K229" s="3326"/>
      <c r="L229" s="3326"/>
      <c r="M229" s="3326"/>
      <c r="N229" s="3326"/>
      <c r="O229" s="3322"/>
      <c r="P229" s="3335"/>
      <c r="Q229" s="3335"/>
      <c r="R229" s="3335"/>
      <c r="S229" s="3335"/>
      <c r="T229" s="3335"/>
      <c r="U229" s="3335"/>
      <c r="V229" s="3326"/>
      <c r="W229" s="3335"/>
      <c r="X229" s="3335"/>
      <c r="Y229" s="3335"/>
      <c r="Z229" s="3335"/>
      <c r="AA229" s="3335"/>
      <c r="AB229" s="3335"/>
      <c r="AC229" s="3326"/>
      <c r="AD229" s="3335"/>
      <c r="AE229" s="3335"/>
      <c r="AF229" s="3335"/>
      <c r="AG229" s="3335"/>
      <c r="AH229" s="3335"/>
      <c r="AI229" s="3335"/>
      <c r="AJ229" s="3326"/>
      <c r="AK229" s="3335"/>
      <c r="AL229" s="3335"/>
      <c r="AM229" s="3335"/>
      <c r="AN229" s="3335"/>
      <c r="AO229" s="3335"/>
      <c r="AP229" s="3335"/>
      <c r="AR229" s="3331"/>
    </row>
    <row r="230" s="3330" customFormat="1" spans="1:44">
      <c r="A230" s="3315"/>
      <c r="B230" s="3315"/>
      <c r="C230" s="3340"/>
      <c r="D230" s="3322"/>
      <c r="E230" s="3322"/>
      <c r="F230" s="3322"/>
      <c r="G230" s="3322"/>
      <c r="H230" s="3322"/>
      <c r="I230" s="3322"/>
      <c r="J230" s="3322"/>
      <c r="K230" s="3326"/>
      <c r="L230" s="3326"/>
      <c r="M230" s="3326"/>
      <c r="N230" s="3326"/>
      <c r="O230" s="3322"/>
      <c r="P230" s="3335"/>
      <c r="Q230" s="3335"/>
      <c r="R230" s="3335"/>
      <c r="S230" s="3335"/>
      <c r="T230" s="3335"/>
      <c r="U230" s="3335"/>
      <c r="V230" s="3326"/>
      <c r="W230" s="3335"/>
      <c r="X230" s="3335"/>
      <c r="Y230" s="3335"/>
      <c r="Z230" s="3335"/>
      <c r="AA230" s="3335"/>
      <c r="AB230" s="3335"/>
      <c r="AC230" s="3326"/>
      <c r="AD230" s="3335"/>
      <c r="AE230" s="3335"/>
      <c r="AF230" s="3335"/>
      <c r="AG230" s="3335"/>
      <c r="AH230" s="3335"/>
      <c r="AI230" s="3335"/>
      <c r="AJ230" s="3326"/>
      <c r="AK230" s="3335"/>
      <c r="AL230" s="3335"/>
      <c r="AM230" s="3335"/>
      <c r="AN230" s="3335"/>
      <c r="AO230" s="3335"/>
      <c r="AP230" s="3335"/>
      <c r="AR230" s="3331"/>
    </row>
    <row r="231" s="3330" customFormat="1" spans="1:44">
      <c r="A231" s="3315"/>
      <c r="B231" s="3315"/>
      <c r="C231" s="3433" t="s">
        <v>1840</v>
      </c>
      <c r="D231" s="3434"/>
      <c r="E231" s="3386"/>
      <c r="F231" s="3386"/>
      <c r="G231" s="3386"/>
      <c r="H231" s="3386"/>
      <c r="I231" s="3386"/>
      <c r="J231" s="3386"/>
      <c r="K231" s="3386"/>
      <c r="L231" s="3386"/>
      <c r="M231" s="3386"/>
      <c r="N231" s="3386"/>
      <c r="O231" s="3386"/>
      <c r="P231" s="3386"/>
      <c r="Q231" s="3386"/>
      <c r="R231" s="3386"/>
      <c r="S231" s="3386"/>
      <c r="T231" s="3386"/>
      <c r="U231" s="3386"/>
      <c r="V231" s="3386"/>
      <c r="W231" s="3386"/>
      <c r="X231" s="3386"/>
      <c r="Y231" s="3386"/>
      <c r="Z231" s="3386"/>
      <c r="AA231" s="3386"/>
      <c r="AB231" s="3395"/>
      <c r="AC231" s="3395"/>
      <c r="AD231" s="3395"/>
      <c r="AE231" s="3395"/>
      <c r="AF231" s="3395"/>
      <c r="AG231" s="3395"/>
      <c r="AH231" s="3395"/>
      <c r="AI231" s="94"/>
      <c r="AJ231" s="3395"/>
      <c r="AK231" s="3395"/>
      <c r="AL231" s="3395"/>
      <c r="AM231" s="3395"/>
      <c r="AN231" s="3395"/>
      <c r="AO231" s="3395"/>
      <c r="AP231" s="3395"/>
      <c r="AR231" s="3331"/>
    </row>
    <row r="232" s="3330" customFormat="1" spans="1:44">
      <c r="A232" s="3315"/>
      <c r="B232" s="3315"/>
      <c r="C232" s="3435"/>
      <c r="D232" s="3434"/>
      <c r="E232" s="3386"/>
      <c r="F232" s="3386"/>
      <c r="G232" s="3386"/>
      <c r="H232" s="3386"/>
      <c r="I232" s="3386"/>
      <c r="J232" s="3386"/>
      <c r="K232" s="3386"/>
      <c r="L232" s="3386"/>
      <c r="M232" s="3386"/>
      <c r="N232" s="3386"/>
      <c r="O232" s="3386"/>
      <c r="P232" s="3386"/>
      <c r="Q232" s="3386"/>
      <c r="R232" s="3386"/>
      <c r="S232" s="3386"/>
      <c r="T232" s="3386"/>
      <c r="U232" s="3386"/>
      <c r="V232" s="3386"/>
      <c r="W232" s="3386"/>
      <c r="X232" s="3386"/>
      <c r="Y232" s="3386"/>
      <c r="Z232" s="3386"/>
      <c r="AA232" s="3386"/>
      <c r="AB232" s="3395"/>
      <c r="AC232" s="3395"/>
      <c r="AD232" s="3395"/>
      <c r="AE232" s="3395"/>
      <c r="AF232" s="3395"/>
      <c r="AG232" s="3395"/>
      <c r="AH232" s="3395"/>
      <c r="AI232" s="94"/>
      <c r="AJ232" s="3395"/>
      <c r="AK232" s="3395"/>
      <c r="AL232" s="3395"/>
      <c r="AM232" s="3395"/>
      <c r="AN232" s="3395"/>
      <c r="AO232" s="3395"/>
      <c r="AP232" s="3395"/>
      <c r="AR232" s="3331"/>
    </row>
    <row r="233" s="3330" customFormat="1" ht="48.95" customHeight="1" spans="1:44">
      <c r="A233" s="3315"/>
      <c r="B233" s="3315"/>
      <c r="C233" s="5036" t="s">
        <v>1841</v>
      </c>
      <c r="D233" s="3341"/>
      <c r="E233" s="3341"/>
      <c r="F233" s="3341"/>
      <c r="G233" s="3341"/>
      <c r="H233" s="3341"/>
      <c r="I233" s="3341"/>
      <c r="J233" s="3341"/>
      <c r="K233" s="3341"/>
      <c r="L233" s="3341"/>
      <c r="M233" s="3341"/>
      <c r="N233" s="3341"/>
      <c r="O233" s="3341"/>
      <c r="P233" s="3341"/>
      <c r="Q233" s="3341"/>
      <c r="R233" s="3341"/>
      <c r="S233" s="3341"/>
      <c r="T233" s="3341"/>
      <c r="U233" s="3341"/>
      <c r="V233" s="3341"/>
      <c r="W233" s="3341"/>
      <c r="X233" s="3341"/>
      <c r="Y233" s="3341"/>
      <c r="Z233" s="3341"/>
      <c r="AA233" s="3341"/>
      <c r="AB233" s="3341"/>
      <c r="AC233" s="3341"/>
      <c r="AD233" s="3341"/>
      <c r="AE233" s="3341"/>
      <c r="AF233" s="3341"/>
      <c r="AG233" s="3341"/>
      <c r="AH233" s="3341"/>
      <c r="AI233" s="3341"/>
      <c r="AJ233" s="3341"/>
      <c r="AK233" s="3341"/>
      <c r="AL233" s="3341"/>
      <c r="AM233" s="3341"/>
      <c r="AN233" s="3341"/>
      <c r="AO233" s="3341"/>
      <c r="AP233" s="3341"/>
      <c r="AR233" s="3331"/>
    </row>
    <row r="234" s="3330" customFormat="1" ht="13.5" customHeight="1" spans="1:44">
      <c r="A234" s="3315"/>
      <c r="B234" s="3315"/>
      <c r="C234" s="3340"/>
      <c r="D234" s="3322"/>
      <c r="E234" s="3322"/>
      <c r="F234" s="3322"/>
      <c r="G234" s="3322"/>
      <c r="H234" s="3322"/>
      <c r="I234" s="3322"/>
      <c r="J234" s="3322"/>
      <c r="K234" s="3326"/>
      <c r="L234" s="3326"/>
      <c r="M234" s="3326"/>
      <c r="N234" s="3326"/>
      <c r="O234" s="3322"/>
      <c r="P234" s="3335"/>
      <c r="Q234" s="3335"/>
      <c r="R234" s="3335"/>
      <c r="S234" s="3335"/>
      <c r="T234" s="3335"/>
      <c r="U234" s="3335"/>
      <c r="V234" s="3326"/>
      <c r="W234" s="3335"/>
      <c r="X234" s="3335"/>
      <c r="Y234" s="3335"/>
      <c r="Z234" s="3335"/>
      <c r="AA234" s="3335"/>
      <c r="AB234" s="3395"/>
      <c r="AC234" s="3395"/>
      <c r="AD234" s="3395"/>
      <c r="AE234" s="3395"/>
      <c r="AF234" s="3395"/>
      <c r="AG234" s="3395"/>
      <c r="AH234" s="3395"/>
      <c r="AI234" s="3335"/>
      <c r="AJ234" s="2912"/>
      <c r="AK234" s="2912"/>
      <c r="AL234" s="2912"/>
      <c r="AM234" s="2912"/>
      <c r="AN234" s="2912"/>
      <c r="AO234" s="2912"/>
      <c r="AP234" s="2912"/>
      <c r="AQ234"/>
      <c r="AR234" s="3331"/>
    </row>
    <row r="235" s="3330" customFormat="1" customHeight="1" spans="1:49">
      <c r="A235" s="3335">
        <f>+A229+1</f>
        <v>10</v>
      </c>
      <c r="B235"/>
      <c r="C235" s="3322" t="s">
        <v>1842</v>
      </c>
      <c r="D235"/>
      <c r="E235"/>
      <c r="F235"/>
      <c r="G235"/>
      <c r="H235"/>
      <c r="AR235" s="1540"/>
      <c r="AS235" s="1540"/>
      <c r="AT235" s="1540"/>
      <c r="AU235" s="1540"/>
      <c r="AV235" s="1540"/>
      <c r="AW235" s="1540"/>
    </row>
    <row r="236" s="3330" customFormat="1" ht="8.1" customHeight="1" spans="1:44">
      <c r="A236" s="3335"/>
      <c r="B236" s="3315"/>
      <c r="C236" s="3322"/>
      <c r="D236" s="3315"/>
      <c r="E236" s="3315"/>
      <c r="F236" s="3315"/>
      <c r="G236" s="3315"/>
      <c r="H236" s="3315"/>
      <c r="I236" s="3315"/>
      <c r="J236" s="3315"/>
      <c r="K236" s="3315"/>
      <c r="L236" s="3315"/>
      <c r="M236" s="3315"/>
      <c r="N236" s="3315"/>
      <c r="O236" s="3315"/>
      <c r="P236" s="3315"/>
      <c r="Q236" s="3315"/>
      <c r="R236" s="3315"/>
      <c r="S236" s="3315"/>
      <c r="T236" s="3315"/>
      <c r="U236" s="3315"/>
      <c r="V236" s="3315"/>
      <c r="W236" s="3315"/>
      <c r="X236" s="3315"/>
      <c r="Y236" s="3315"/>
      <c r="Z236" s="3315"/>
      <c r="AA236" s="3315"/>
      <c r="AB236" s="3315"/>
      <c r="AC236" s="3315"/>
      <c r="AD236" s="3315"/>
      <c r="AE236" s="3315"/>
      <c r="AF236" s="3315"/>
      <c r="AG236" s="3315"/>
      <c r="AH236" s="3315"/>
      <c r="AI236" s="3328"/>
      <c r="AJ236" s="3328"/>
      <c r="AK236" s="3398"/>
      <c r="AL236" s="3328"/>
      <c r="AM236" s="3328"/>
      <c r="AN236" s="3328"/>
      <c r="AO236" s="3328"/>
      <c r="AP236" s="3328"/>
      <c r="AQ236" s="3326"/>
      <c r="AR236" s="3331"/>
    </row>
    <row r="237" s="3330" customFormat="1" ht="11.4" spans="1:45">
      <c r="A237"/>
      <c r="B237"/>
      <c r="C237" s="5036" t="s">
        <v>1843</v>
      </c>
      <c r="D237" s="3339"/>
      <c r="E237" s="3339"/>
      <c r="F237" s="3339"/>
      <c r="G237" s="3339"/>
      <c r="H237" s="3339"/>
      <c r="I237" s="3339"/>
      <c r="J237" s="3339"/>
      <c r="K237" s="3339"/>
      <c r="L237" s="3339"/>
      <c r="M237" s="3339"/>
      <c r="N237" s="3339"/>
      <c r="O237" s="3339"/>
      <c r="P237" s="3339"/>
      <c r="Q237" s="3339"/>
      <c r="R237" s="3339"/>
      <c r="S237" s="3339"/>
      <c r="T237" s="3339"/>
      <c r="U237" s="3339"/>
      <c r="V237" s="3339"/>
      <c r="W237" s="3339"/>
      <c r="X237" s="3339"/>
      <c r="Y237" s="3339"/>
      <c r="Z237" s="3339"/>
      <c r="AA237" s="3339"/>
      <c r="AB237" s="3339"/>
      <c r="AC237" s="3339"/>
      <c r="AD237" s="3339"/>
      <c r="AE237" s="3339"/>
      <c r="AF237" s="3339"/>
      <c r="AG237" s="3339"/>
      <c r="AH237" s="3339"/>
      <c r="AI237" s="3339"/>
      <c r="AJ237" s="3339"/>
      <c r="AK237" s="3339"/>
      <c r="AL237" s="3339"/>
      <c r="AM237" s="3339"/>
      <c r="AN237" s="3339"/>
      <c r="AO237" s="3339"/>
      <c r="AP237" s="3339"/>
      <c r="AQ237" s="3326"/>
      <c r="AR237" s="3326"/>
      <c r="AS237" s="3326"/>
    </row>
    <row r="238" s="3330" customFormat="1" ht="7.5" customHeight="1" spans="1:45">
      <c r="A238"/>
      <c r="B238"/>
      <c r="C238" s="3339"/>
      <c r="D238" s="3339"/>
      <c r="E238" s="3339"/>
      <c r="F238" s="3339"/>
      <c r="G238" s="3339"/>
      <c r="H238" s="3339"/>
      <c r="I238" s="3339"/>
      <c r="J238" s="3339"/>
      <c r="K238" s="3339"/>
      <c r="L238" s="3339"/>
      <c r="M238" s="3339"/>
      <c r="N238" s="3339"/>
      <c r="O238" s="3339"/>
      <c r="P238" s="3339"/>
      <c r="Q238" s="3339"/>
      <c r="R238" s="3339"/>
      <c r="S238" s="3339"/>
      <c r="T238" s="3339"/>
      <c r="U238" s="3339"/>
      <c r="V238" s="3339"/>
      <c r="W238" s="3339"/>
      <c r="X238" s="3339"/>
      <c r="Y238" s="3339"/>
      <c r="Z238" s="3339"/>
      <c r="AA238" s="3339"/>
      <c r="AB238" s="3339"/>
      <c r="AC238" s="3339"/>
      <c r="AD238" s="3339"/>
      <c r="AE238" s="3339"/>
      <c r="AF238" s="3339"/>
      <c r="AG238" s="3339"/>
      <c r="AH238" s="3339"/>
      <c r="AI238" s="3339"/>
      <c r="AJ238" s="3339"/>
      <c r="AK238" s="3339"/>
      <c r="AL238" s="3339"/>
      <c r="AM238" s="3339"/>
      <c r="AN238" s="3339"/>
      <c r="AO238" s="3339"/>
      <c r="AP238" s="3339"/>
      <c r="AQ238" s="3326"/>
      <c r="AR238" s="3326"/>
      <c r="AS238" s="3326"/>
    </row>
    <row r="239" s="3330" customFormat="1" customHeight="1" spans="1:45">
      <c r="A239"/>
      <c r="B239"/>
      <c r="C239" s="3339"/>
      <c r="D239" s="3339"/>
      <c r="E239" s="3339"/>
      <c r="F239" s="3339"/>
      <c r="G239" s="3339"/>
      <c r="H239" s="3339"/>
      <c r="I239" s="3339"/>
      <c r="J239" s="3339"/>
      <c r="K239" s="3339"/>
      <c r="L239" s="3339"/>
      <c r="M239" s="3339"/>
      <c r="N239" s="3339"/>
      <c r="O239" s="3339"/>
      <c r="P239" s="3339"/>
      <c r="Q239" s="3339"/>
      <c r="R239" s="3339"/>
      <c r="S239" s="3339"/>
      <c r="T239" s="3339"/>
      <c r="U239" s="3339"/>
      <c r="V239" s="3339"/>
      <c r="W239" s="3339"/>
      <c r="X239" s="3339"/>
      <c r="Y239" s="3339"/>
      <c r="Z239" s="3339"/>
      <c r="AA239" s="3339"/>
      <c r="AB239" s="3359">
        <v>2021</v>
      </c>
      <c r="AC239" s="3360"/>
      <c r="AD239" s="3360"/>
      <c r="AE239" s="3360"/>
      <c r="AF239" s="3360"/>
      <c r="AG239" s="3360"/>
      <c r="AH239" s="3360"/>
      <c r="AI239" s="3368"/>
      <c r="AJ239" s="3359">
        <v>2020</v>
      </c>
      <c r="AK239" s="3360"/>
      <c r="AL239" s="3360"/>
      <c r="AM239" s="3360"/>
      <c r="AN239" s="3360"/>
      <c r="AO239" s="3360"/>
      <c r="AP239" s="3360"/>
      <c r="AQ239" s="3326"/>
      <c r="AR239" s="3326"/>
      <c r="AS239" s="3326"/>
    </row>
    <row r="240" s="3330" customFormat="1" ht="7.5" customHeight="1" spans="1:45">
      <c r="A240"/>
      <c r="B240"/>
      <c r="C240" s="3339"/>
      <c r="D240" s="3339"/>
      <c r="E240" s="3339"/>
      <c r="F240" s="3339"/>
      <c r="G240" s="3339"/>
      <c r="H240" s="3339"/>
      <c r="I240" s="3339"/>
      <c r="J240" s="3339"/>
      <c r="K240" s="3339"/>
      <c r="L240" s="3339"/>
      <c r="M240" s="3339"/>
      <c r="N240" s="3339"/>
      <c r="O240" s="3339"/>
      <c r="P240" s="3339"/>
      <c r="Q240" s="3339"/>
      <c r="R240" s="3339"/>
      <c r="S240" s="3339"/>
      <c r="T240" s="3339"/>
      <c r="U240" s="3339"/>
      <c r="V240" s="3339"/>
      <c r="W240" s="3339"/>
      <c r="X240" s="3339"/>
      <c r="Y240" s="3339"/>
      <c r="Z240" s="3339"/>
      <c r="AA240" s="3339"/>
      <c r="AB240" s="3361"/>
      <c r="AC240" s="3362"/>
      <c r="AD240" s="3362"/>
      <c r="AE240" s="3362"/>
      <c r="AF240" s="3362"/>
      <c r="AG240" s="3362"/>
      <c r="AH240" s="3362"/>
      <c r="AI240" s="3368"/>
      <c r="AJ240" s="3361"/>
      <c r="AK240" s="3362"/>
      <c r="AL240" s="3362"/>
      <c r="AM240" s="3362"/>
      <c r="AN240" s="3362"/>
      <c r="AO240" s="3362"/>
      <c r="AP240" s="3362"/>
      <c r="AQ240" s="3326"/>
      <c r="AR240" s="3326"/>
      <c r="AS240" s="3326"/>
    </row>
    <row r="241" s="3330" customFormat="1" ht="12.4" customHeight="1" spans="1:45">
      <c r="A241"/>
      <c r="B241"/>
      <c r="C241" t="str">
        <f>+BB!C14</f>
        <v>Ridha Wira, CV</v>
      </c>
      <c r="D241" s="3339"/>
      <c r="E241" s="3339"/>
      <c r="F241" s="3339"/>
      <c r="G241" s="3339"/>
      <c r="H241" s="3339"/>
      <c r="I241" s="3339"/>
      <c r="J241" s="3339"/>
      <c r="K241" s="3339"/>
      <c r="L241" s="3339"/>
      <c r="M241" s="3339"/>
      <c r="N241" s="3339"/>
      <c r="O241" s="3339"/>
      <c r="P241" s="3339"/>
      <c r="Q241" s="3339"/>
      <c r="R241" s="3339"/>
      <c r="S241" s="3339"/>
      <c r="T241" s="3339"/>
      <c r="U241" s="3339"/>
      <c r="V241" s="3339"/>
      <c r="W241" s="3339"/>
      <c r="X241" s="3339"/>
      <c r="Y241" s="3339"/>
      <c r="Z241" s="3339"/>
      <c r="AA241" s="3339"/>
      <c r="AB241" s="3363">
        <f>+BB!Q14</f>
        <v>0</v>
      </c>
      <c r="AC241" s="3363"/>
      <c r="AD241" s="3363"/>
      <c r="AE241" s="3363"/>
      <c r="AF241" s="3363"/>
      <c r="AG241" s="3363"/>
      <c r="AH241" s="3363"/>
      <c r="AI241"/>
      <c r="AJ241">
        <f>+BB!R14</f>
        <v>19600000</v>
      </c>
      <c r="AK241"/>
      <c r="AL241"/>
      <c r="AM241"/>
      <c r="AN241"/>
      <c r="AO241"/>
      <c r="AP241"/>
      <c r="AQ241" s="3326"/>
      <c r="AR241" s="3326"/>
      <c r="AS241" s="3326"/>
    </row>
    <row r="242" s="3330" customFormat="1" ht="12.4" hidden="1" customHeight="1" spans="1:45">
      <c r="A242"/>
      <c r="B242"/>
      <c r="C242" t="str">
        <f>+BB!C15</f>
        <v>Kirana Energi Bersama PT </v>
      </c>
      <c r="D242" s="3339"/>
      <c r="E242" s="3339"/>
      <c r="F242" s="3339"/>
      <c r="G242" s="3339"/>
      <c r="H242" s="3339"/>
      <c r="I242" s="3339"/>
      <c r="J242" s="3339"/>
      <c r="K242" s="3339"/>
      <c r="L242" s="3339"/>
      <c r="M242" s="3339"/>
      <c r="N242" s="3339"/>
      <c r="O242" s="3339"/>
      <c r="P242" s="3339"/>
      <c r="Q242" s="3339"/>
      <c r="R242" s="3339"/>
      <c r="S242" s="3339"/>
      <c r="T242" s="3339"/>
      <c r="U242" s="3339"/>
      <c r="V242" s="3339"/>
      <c r="W242" s="3339"/>
      <c r="X242" s="3339"/>
      <c r="Y242" s="3339"/>
      <c r="Z242" s="3339"/>
      <c r="AA242" s="3339"/>
      <c r="AB242" s="3363">
        <f>+BB!Q15</f>
        <v>0</v>
      </c>
      <c r="AC242" s="3363"/>
      <c r="AD242" s="3363"/>
      <c r="AE242" s="3363"/>
      <c r="AF242" s="3363"/>
      <c r="AG242" s="3363"/>
      <c r="AH242" s="3363"/>
      <c r="AI242" s="3339"/>
      <c r="AJ242">
        <f>+BB!R15</f>
        <v>0</v>
      </c>
      <c r="AK242"/>
      <c r="AL242"/>
      <c r="AM242"/>
      <c r="AN242"/>
      <c r="AO242"/>
      <c r="AP242"/>
      <c r="AQ242" s="3326"/>
      <c r="AR242" s="3326"/>
      <c r="AS242" s="3326"/>
    </row>
    <row r="243" s="3330" customFormat="1" ht="12.4" customHeight="1" spans="1:45">
      <c r="A243"/>
      <c r="B243"/>
      <c r="C243" t="str">
        <f>+BB!C16</f>
        <v>Kea Berkah Makmur PT</v>
      </c>
      <c r="D243" s="3339"/>
      <c r="E243" s="3339"/>
      <c r="F243" s="3339"/>
      <c r="G243" s="3339"/>
      <c r="H243" s="3339"/>
      <c r="I243" s="3339"/>
      <c r="J243" s="3339"/>
      <c r="K243" s="3339"/>
      <c r="L243" s="3339"/>
      <c r="M243" s="3339"/>
      <c r="N243" s="3339"/>
      <c r="O243" s="3339"/>
      <c r="P243" s="3339"/>
      <c r="Q243" s="3339"/>
      <c r="R243" s="3339"/>
      <c r="S243" s="3339"/>
      <c r="T243" s="3339"/>
      <c r="U243" s="3339"/>
      <c r="V243" s="3339"/>
      <c r="W243" s="3339"/>
      <c r="X243" s="3339"/>
      <c r="Y243" s="3339"/>
      <c r="Z243" s="3339"/>
      <c r="AA243" s="3339"/>
      <c r="AB243" s="3363">
        <f>+BB!Q16</f>
        <v>0</v>
      </c>
      <c r="AC243" s="3363"/>
      <c r="AD243" s="3363"/>
      <c r="AE243" s="3363"/>
      <c r="AF243" s="3363"/>
      <c r="AG243" s="3363"/>
      <c r="AH243" s="3363"/>
      <c r="AI243" s="3339"/>
      <c r="AJ243">
        <f>+BB!R16</f>
        <v>28500000</v>
      </c>
      <c r="AK243"/>
      <c r="AL243"/>
      <c r="AM243"/>
      <c r="AN243"/>
      <c r="AO243"/>
      <c r="AP243"/>
      <c r="AQ243" s="3326"/>
      <c r="AR243" s="3326"/>
      <c r="AS243" s="3326"/>
    </row>
    <row r="244" customFormat="1" ht="12.4" hidden="1" customHeight="1" spans="3:43">
      <c r="C244" t="str">
        <f>+BB!C17</f>
        <v>Tomis Berkah Abadi, CV </v>
      </c>
      <c r="D244" s="3339"/>
      <c r="E244" s="3339"/>
      <c r="F244" s="3339"/>
      <c r="G244" s="3339"/>
      <c r="H244" s="3339"/>
      <c r="I244" s="3339"/>
      <c r="J244" s="3339"/>
      <c r="K244" s="3339"/>
      <c r="L244" s="3339"/>
      <c r="M244" s="3339"/>
      <c r="N244" s="3339"/>
      <c r="O244" s="3339"/>
      <c r="P244" s="3339"/>
      <c r="Q244" s="3339"/>
      <c r="R244" s="3339"/>
      <c r="S244" s="3339"/>
      <c r="T244" s="3339"/>
      <c r="U244" s="3339"/>
      <c r="V244" s="3339"/>
      <c r="W244" s="3339"/>
      <c r="X244" s="3339"/>
      <c r="Y244" s="3339"/>
      <c r="Z244" s="3339"/>
      <c r="AA244" s="3339"/>
      <c r="AB244" s="3363">
        <f>+BB!Q17</f>
        <v>0</v>
      </c>
      <c r="AC244" s="3363"/>
      <c r="AD244" s="3363"/>
      <c r="AE244" s="3363"/>
      <c r="AF244" s="3363"/>
      <c r="AG244" s="3363"/>
      <c r="AH244" s="3363"/>
      <c r="AI244" s="3339"/>
      <c r="AJ244">
        <f>+BB!R17</f>
        <v>0</v>
      </c>
      <c r="AQ244" s="3326"/>
    </row>
    <row r="245" customFormat="1" ht="12.4" customHeight="1" spans="3:43">
      <c r="C245" t="str">
        <f>+BB!C18</f>
        <v>Wahyu Delta Pharma PT</v>
      </c>
      <c r="D245" s="3339"/>
      <c r="E245" s="3339"/>
      <c r="F245" s="3339"/>
      <c r="G245" s="3339"/>
      <c r="H245" s="3339"/>
      <c r="I245" s="3339"/>
      <c r="J245" s="3339"/>
      <c r="K245" s="3339"/>
      <c r="L245" s="3339"/>
      <c r="M245" s="3339"/>
      <c r="N245" s="3339"/>
      <c r="O245" s="3339"/>
      <c r="P245" s="3339"/>
      <c r="Q245" s="3339"/>
      <c r="R245" s="3339"/>
      <c r="S245" s="3339"/>
      <c r="T245" s="3339"/>
      <c r="U245" s="3339"/>
      <c r="V245" s="3339"/>
      <c r="W245" s="3339"/>
      <c r="X245" s="3339"/>
      <c r="Y245" s="3339"/>
      <c r="Z245" s="3339"/>
      <c r="AA245" s="3339"/>
      <c r="AB245" s="3363">
        <f>+BB!Q18</f>
        <v>232800000</v>
      </c>
      <c r="AC245" s="3363"/>
      <c r="AD245" s="3363"/>
      <c r="AE245" s="3363"/>
      <c r="AF245" s="3363"/>
      <c r="AG245" s="3363"/>
      <c r="AH245" s="3363"/>
      <c r="AI245" s="3339"/>
      <c r="AJ245">
        <f>+BB!R18</f>
        <v>307800000</v>
      </c>
      <c r="AQ245" s="3326"/>
    </row>
    <row r="246" customFormat="1" ht="12.4" customHeight="1" spans="3:43">
      <c r="C246" t="str">
        <f>+BB!C19</f>
        <v>Profluid PT</v>
      </c>
      <c r="D246" s="3339"/>
      <c r="E246" s="3339"/>
      <c r="F246" s="3339"/>
      <c r="G246" s="3339"/>
      <c r="H246" s="3339"/>
      <c r="I246" s="3339"/>
      <c r="J246" s="3339"/>
      <c r="K246" s="3339"/>
      <c r="L246" s="3339"/>
      <c r="M246" s="3339"/>
      <c r="N246" s="3339"/>
      <c r="O246" s="3339"/>
      <c r="P246" s="3339"/>
      <c r="Q246" s="3339"/>
      <c r="R246" s="3339"/>
      <c r="S246" s="3339"/>
      <c r="T246" s="3339"/>
      <c r="U246" s="3339"/>
      <c r="V246" s="3339"/>
      <c r="W246" s="3339"/>
      <c r="X246" s="3339"/>
      <c r="Y246" s="3339"/>
      <c r="Z246" s="3339"/>
      <c r="AA246" s="3339"/>
      <c r="AB246" s="3363">
        <f>+BB!Q19</f>
        <v>214658130</v>
      </c>
      <c r="AC246" s="3363"/>
      <c r="AD246" s="3363"/>
      <c r="AE246" s="3363"/>
      <c r="AF246" s="3363"/>
      <c r="AG246" s="3363"/>
      <c r="AH246" s="3363"/>
      <c r="AI246" s="3339"/>
      <c r="AJ246">
        <f>+BB!R19</f>
        <v>739658130</v>
      </c>
      <c r="AQ246" s="3326"/>
    </row>
    <row r="247" customFormat="1" ht="12.4" customHeight="1" spans="3:43">
      <c r="C247" t="str">
        <f>+BB!C20</f>
        <v>Schneider Indonesia PT </v>
      </c>
      <c r="D247" s="3339"/>
      <c r="E247" s="3339"/>
      <c r="F247" s="3339"/>
      <c r="G247" s="3339"/>
      <c r="H247" s="3339"/>
      <c r="I247" s="3339"/>
      <c r="J247" s="3339"/>
      <c r="K247" s="3339"/>
      <c r="L247" s="3339"/>
      <c r="M247" s="3339"/>
      <c r="N247" s="3339"/>
      <c r="O247" s="3339"/>
      <c r="P247" s="3339"/>
      <c r="Q247" s="3339"/>
      <c r="R247" s="3339"/>
      <c r="S247" s="3339"/>
      <c r="T247" s="3339"/>
      <c r="U247" s="3339"/>
      <c r="V247" s="3339"/>
      <c r="W247" s="3339"/>
      <c r="X247" s="3339"/>
      <c r="Y247" s="3339"/>
      <c r="Z247" s="3339"/>
      <c r="AA247" s="3339"/>
      <c r="AB247" s="3363">
        <f>+BB!Q20</f>
        <v>148500000</v>
      </c>
      <c r="AC247" s="3363"/>
      <c r="AD247" s="3363"/>
      <c r="AE247" s="3363"/>
      <c r="AF247" s="3363"/>
      <c r="AG247" s="3363"/>
      <c r="AH247" s="3363"/>
      <c r="AI247" s="3339"/>
      <c r="AJ247">
        <f>+BB!R20</f>
        <v>220000000</v>
      </c>
      <c r="AQ247" s="3326"/>
    </row>
    <row r="248" customFormat="1" ht="12.4" customHeight="1" spans="3:43">
      <c r="C248" t="str">
        <f>+BB!C21</f>
        <v>Bawean Vendor Gabungan</v>
      </c>
      <c r="D248" s="3339"/>
      <c r="E248" s="3339"/>
      <c r="F248" s="3339"/>
      <c r="G248" s="3339"/>
      <c r="H248" s="3339"/>
      <c r="I248" s="3339"/>
      <c r="J248" s="3339"/>
      <c r="K248" s="3339"/>
      <c r="L248" s="3339"/>
      <c r="M248" s="3339"/>
      <c r="N248" s="3339"/>
      <c r="O248" s="3339"/>
      <c r="P248" s="3339"/>
      <c r="Q248" s="3339"/>
      <c r="R248" s="3339"/>
      <c r="S248" s="3339"/>
      <c r="T248" s="3339"/>
      <c r="U248" s="3339"/>
      <c r="V248" s="3339"/>
      <c r="W248" s="3339"/>
      <c r="X248" s="3339"/>
      <c r="Y248" s="3339"/>
      <c r="Z248" s="3339"/>
      <c r="AA248" s="3339"/>
      <c r="AB248" s="3363">
        <f>+BB!Q21</f>
        <v>129207680</v>
      </c>
      <c r="AC248" s="3363"/>
      <c r="AD248" s="3363"/>
      <c r="AE248" s="3363"/>
      <c r="AF248" s="3363"/>
      <c r="AG248" s="3363"/>
      <c r="AH248" s="3363"/>
      <c r="AI248" s="3339"/>
      <c r="AJ248">
        <f>+BB!R21</f>
        <v>174207680</v>
      </c>
      <c r="AQ248" s="3326"/>
    </row>
    <row r="249" customFormat="1" ht="12.4" customHeight="1" spans="3:43">
      <c r="C249" t="str">
        <f>+BB!C22</f>
        <v>Guna Mandiri Teknikon PT</v>
      </c>
      <c r="D249" s="3339"/>
      <c r="E249" s="3339"/>
      <c r="F249" s="3339"/>
      <c r="G249" s="3339"/>
      <c r="H249" s="3339"/>
      <c r="I249" s="3339"/>
      <c r="J249" s="3339"/>
      <c r="K249" s="3339"/>
      <c r="L249" s="3339"/>
      <c r="M249" s="3339"/>
      <c r="N249" s="3339"/>
      <c r="O249" s="3339"/>
      <c r="P249" s="3339"/>
      <c r="Q249" s="3339"/>
      <c r="R249" s="3339"/>
      <c r="S249" s="3339"/>
      <c r="T249" s="3339"/>
      <c r="U249" s="3339"/>
      <c r="V249" s="3339"/>
      <c r="W249" s="3339"/>
      <c r="X249" s="3339"/>
      <c r="Y249" s="3339"/>
      <c r="Z249" s="3339"/>
      <c r="AA249" s="3339"/>
      <c r="AB249" s="3363">
        <f>+BB!Q22</f>
        <v>80000000</v>
      </c>
      <c r="AC249" s="3363"/>
      <c r="AD249" s="3363"/>
      <c r="AE249" s="3363"/>
      <c r="AF249" s="3363"/>
      <c r="AG249" s="3363"/>
      <c r="AH249" s="3363"/>
      <c r="AI249" s="3339"/>
      <c r="AJ249">
        <f>+BB!R22</f>
        <v>100499410</v>
      </c>
      <c r="AQ249" s="3326"/>
    </row>
    <row r="250" customFormat="1" ht="12.4" customHeight="1" spans="3:43">
      <c r="C250" t="str">
        <f>+BB!C23</f>
        <v>Yudistira Karya Teknik PT</v>
      </c>
      <c r="D250" s="3339"/>
      <c r="E250" s="3339"/>
      <c r="F250" s="3339"/>
      <c r="G250" s="3339"/>
      <c r="H250" s="3339"/>
      <c r="I250" s="3339"/>
      <c r="J250" s="3339"/>
      <c r="K250" s="3339"/>
      <c r="L250" s="3339"/>
      <c r="M250" s="3339"/>
      <c r="N250" s="3339"/>
      <c r="O250" s="3339"/>
      <c r="P250" s="3339"/>
      <c r="Q250" s="3339"/>
      <c r="R250" s="3339"/>
      <c r="S250" s="3339"/>
      <c r="T250" s="3339"/>
      <c r="U250" s="3339"/>
      <c r="V250" s="3339"/>
      <c r="W250" s="3339"/>
      <c r="X250" s="3339"/>
      <c r="Y250" s="3339"/>
      <c r="Z250" s="3339"/>
      <c r="AA250" s="3339"/>
      <c r="AB250" s="3363">
        <f>+BB!Q23</f>
        <v>64000000</v>
      </c>
      <c r="AC250" s="3363"/>
      <c r="AD250" s="3363"/>
      <c r="AE250" s="3363"/>
      <c r="AF250" s="3363"/>
      <c r="AG250" s="3363"/>
      <c r="AH250" s="3363"/>
      <c r="AI250" s="3339"/>
      <c r="AJ250">
        <f>+BB!R23</f>
        <v>64000000</v>
      </c>
      <c r="AQ250" s="3326"/>
    </row>
    <row r="251" customFormat="1" ht="12.4" customHeight="1" spans="3:43">
      <c r="C251" t="str">
        <f>+BB!C24</f>
        <v>Brenmark Energi Nusantara PT</v>
      </c>
      <c r="D251" s="3339"/>
      <c r="E251" s="3339"/>
      <c r="F251" s="3339"/>
      <c r="G251" s="3339"/>
      <c r="H251" s="3339"/>
      <c r="I251" s="3339"/>
      <c r="J251" s="3339"/>
      <c r="K251" s="3339"/>
      <c r="L251" s="3339"/>
      <c r="M251" s="3339"/>
      <c r="N251" s="3339"/>
      <c r="O251" s="3339"/>
      <c r="P251" s="3339"/>
      <c r="Q251" s="3339"/>
      <c r="R251" s="3339"/>
      <c r="S251" s="3339"/>
      <c r="T251" s="3339"/>
      <c r="U251" s="3339"/>
      <c r="V251" s="3339"/>
      <c r="W251" s="3339"/>
      <c r="X251" s="3339"/>
      <c r="Y251" s="3339"/>
      <c r="Z251" s="3339"/>
      <c r="AA251" s="3339"/>
      <c r="AB251" s="3363">
        <f>+BB!Q24</f>
        <v>0</v>
      </c>
      <c r="AC251" s="3363"/>
      <c r="AD251" s="3363"/>
      <c r="AE251" s="3363"/>
      <c r="AF251" s="3363"/>
      <c r="AG251" s="3363"/>
      <c r="AH251" s="3363"/>
      <c r="AI251" s="3339"/>
      <c r="AJ251">
        <f>+BB!R24</f>
        <v>118800000</v>
      </c>
      <c r="AQ251" s="3326"/>
    </row>
    <row r="252" customFormat="1" ht="12.4" customHeight="1" spans="3:43">
      <c r="C252" t="str">
        <f>+BB!C25</f>
        <v>Perdana Gas Nusantara</v>
      </c>
      <c r="D252" s="3339"/>
      <c r="E252" s="3339"/>
      <c r="F252" s="3339"/>
      <c r="G252" s="3339"/>
      <c r="H252" s="3339"/>
      <c r="I252" s="3339"/>
      <c r="J252" s="3339"/>
      <c r="K252" s="3339"/>
      <c r="L252" s="3339"/>
      <c r="M252" s="3339"/>
      <c r="N252" s="3339"/>
      <c r="O252" s="3339"/>
      <c r="P252" s="3339"/>
      <c r="Q252" s="3339"/>
      <c r="R252" s="3339"/>
      <c r="S252" s="3339"/>
      <c r="T252" s="3339"/>
      <c r="U252" s="3339"/>
      <c r="V252" s="3339"/>
      <c r="W252" s="3339"/>
      <c r="X252" s="3339"/>
      <c r="Y252" s="3339"/>
      <c r="Z252" s="3339"/>
      <c r="AA252" s="3339"/>
      <c r="AB252" s="3363">
        <f>+BB!Q25</f>
        <v>0</v>
      </c>
      <c r="AC252" s="3363"/>
      <c r="AD252" s="3363"/>
      <c r="AE252" s="3363"/>
      <c r="AF252" s="3363"/>
      <c r="AG252" s="3363"/>
      <c r="AH252" s="3363"/>
      <c r="AI252" s="3339"/>
      <c r="AJ252">
        <f>+BB!R25</f>
        <v>58800000</v>
      </c>
      <c r="AQ252" s="3326"/>
    </row>
    <row r="253" customFormat="1" ht="12.4" customHeight="1" spans="3:43">
      <c r="C253" t="str">
        <f>+BB!C26</f>
        <v>Lusi Tour Travel</v>
      </c>
      <c r="D253" s="3339"/>
      <c r="E253" s="3339"/>
      <c r="F253" s="3339"/>
      <c r="G253" s="3339"/>
      <c r="H253" s="3339"/>
      <c r="I253" s="3339"/>
      <c r="J253" s="3339"/>
      <c r="K253" s="3339"/>
      <c r="L253" s="3339"/>
      <c r="M253" s="3339"/>
      <c r="N253" s="3339"/>
      <c r="O253" s="3339"/>
      <c r="P253" s="3339"/>
      <c r="Q253" s="3339"/>
      <c r="R253" s="3339"/>
      <c r="S253" s="3339"/>
      <c r="T253" s="3339"/>
      <c r="U253" s="3339"/>
      <c r="V253" s="3339"/>
      <c r="W253" s="3339"/>
      <c r="X253" s="3339"/>
      <c r="Y253" s="3339"/>
      <c r="Z253" s="3339"/>
      <c r="AA253" s="3339"/>
      <c r="AB253" s="3363">
        <f>+BB!Q26</f>
        <v>0</v>
      </c>
      <c r="AC253" s="3363"/>
      <c r="AD253" s="3363"/>
      <c r="AE253" s="3363"/>
      <c r="AF253" s="3363"/>
      <c r="AG253" s="3363"/>
      <c r="AH253" s="3363"/>
      <c r="AI253" s="3339"/>
      <c r="AJ253">
        <f>+BB!R26</f>
        <v>9000000</v>
      </c>
      <c r="AQ253" s="3326"/>
    </row>
    <row r="254" customFormat="1" ht="12.4" hidden="1" customHeight="1" spans="3:43">
      <c r="C254" t="str">
        <f>+BB!C27</f>
        <v>Biotech PT</v>
      </c>
      <c r="D254" s="3339"/>
      <c r="E254" s="3339"/>
      <c r="F254" s="3339"/>
      <c r="G254" s="3339"/>
      <c r="H254" s="3339"/>
      <c r="I254" s="3339"/>
      <c r="J254" s="3339"/>
      <c r="K254" s="3339"/>
      <c r="L254" s="3339"/>
      <c r="M254" s="3339"/>
      <c r="N254" s="3339"/>
      <c r="O254" s="3339"/>
      <c r="P254" s="3339"/>
      <c r="Q254" s="3339"/>
      <c r="R254" s="3339"/>
      <c r="S254" s="3339"/>
      <c r="T254" s="3339"/>
      <c r="U254" s="3339"/>
      <c r="V254" s="3339"/>
      <c r="W254" s="3339"/>
      <c r="X254" s="3339"/>
      <c r="Y254" s="3339"/>
      <c r="Z254" s="3339"/>
      <c r="AA254" s="3339"/>
      <c r="AB254" s="3363">
        <f>+BB!Q27</f>
        <v>0</v>
      </c>
      <c r="AC254" s="3363"/>
      <c r="AD254" s="3363"/>
      <c r="AE254" s="3363"/>
      <c r="AF254" s="3363"/>
      <c r="AG254" s="3363"/>
      <c r="AH254" s="3363"/>
      <c r="AI254" s="3339"/>
      <c r="AJ254">
        <f>+BB!R27</f>
        <v>0</v>
      </c>
      <c r="AQ254" s="3326"/>
    </row>
    <row r="255" customFormat="1" ht="12.4" hidden="1" customHeight="1" spans="3:43">
      <c r="C255" t="str">
        <f>+BB!C28</f>
        <v>Chasana Global M</v>
      </c>
      <c r="D255" s="3339"/>
      <c r="E255" s="3339"/>
      <c r="F255" s="3339"/>
      <c r="G255" s="3339"/>
      <c r="H255" s="3339"/>
      <c r="I255" s="3339"/>
      <c r="J255" s="3339"/>
      <c r="K255" s="3339"/>
      <c r="L255" s="3339"/>
      <c r="M255" s="3339"/>
      <c r="N255" s="3339"/>
      <c r="O255" s="3339"/>
      <c r="P255" s="3339"/>
      <c r="Q255" s="3339"/>
      <c r="R255" s="3339"/>
      <c r="S255" s="3339"/>
      <c r="T255" s="3339"/>
      <c r="U255" s="3339"/>
      <c r="V255" s="3339"/>
      <c r="W255" s="3339"/>
      <c r="X255" s="3339"/>
      <c r="Y255" s="3339"/>
      <c r="Z255" s="3339"/>
      <c r="AA255" s="3339"/>
      <c r="AB255" s="3363">
        <f>+BB!Q28</f>
        <v>0</v>
      </c>
      <c r="AC255" s="3363"/>
      <c r="AD255" s="3363"/>
      <c r="AE255" s="3363"/>
      <c r="AF255" s="3363"/>
      <c r="AG255" s="3363"/>
      <c r="AH255" s="3363"/>
      <c r="AI255" s="3339"/>
      <c r="AJ255">
        <f>+BB!R28</f>
        <v>0</v>
      </c>
      <c r="AQ255" s="3326"/>
    </row>
    <row r="256" customFormat="1" ht="12.4" hidden="1" customHeight="1" spans="3:43">
      <c r="C256" t="str">
        <f>+BB!C29</f>
        <v>Cipta Indah S PT</v>
      </c>
      <c r="D256" s="3339"/>
      <c r="E256" s="3339"/>
      <c r="F256" s="3339"/>
      <c r="G256" s="3339"/>
      <c r="H256" s="3339"/>
      <c r="I256" s="3339"/>
      <c r="J256" s="3339"/>
      <c r="K256" s="3339"/>
      <c r="L256" s="3339"/>
      <c r="M256" s="3339"/>
      <c r="N256" s="3339"/>
      <c r="O256" s="3339"/>
      <c r="P256" s="3339"/>
      <c r="Q256" s="3339"/>
      <c r="R256" s="3339"/>
      <c r="S256" s="3339"/>
      <c r="T256" s="3339"/>
      <c r="U256" s="3339"/>
      <c r="V256" s="3339"/>
      <c r="W256" s="3339"/>
      <c r="X256" s="3339"/>
      <c r="Y256" s="3339"/>
      <c r="Z256" s="3339"/>
      <c r="AA256" s="3339"/>
      <c r="AB256" s="3363">
        <f>+BB!Q29</f>
        <v>0</v>
      </c>
      <c r="AC256" s="3363"/>
      <c r="AD256" s="3363"/>
      <c r="AE256" s="3363"/>
      <c r="AF256" s="3363"/>
      <c r="AG256" s="3363"/>
      <c r="AH256" s="3363"/>
      <c r="AI256" s="3339"/>
      <c r="AJ256">
        <f>+BB!R29</f>
        <v>0</v>
      </c>
      <c r="AQ256" s="3326"/>
    </row>
    <row r="257" customFormat="1" ht="12.4" hidden="1" customHeight="1" spans="3:43">
      <c r="C257" t="str">
        <f>+BB!C30</f>
        <v>Control System PT</v>
      </c>
      <c r="D257" s="3339"/>
      <c r="E257" s="3339"/>
      <c r="F257" s="3339"/>
      <c r="G257" s="3339"/>
      <c r="H257" s="3339"/>
      <c r="I257" s="3339"/>
      <c r="J257" s="3339"/>
      <c r="K257" s="3339"/>
      <c r="L257" s="3339"/>
      <c r="M257" s="3339"/>
      <c r="N257" s="3339"/>
      <c r="O257" s="3339"/>
      <c r="P257" s="3339"/>
      <c r="Q257" s="3339"/>
      <c r="R257" s="3339"/>
      <c r="S257" s="3339"/>
      <c r="T257" s="3339"/>
      <c r="U257" s="3339"/>
      <c r="V257" s="3339"/>
      <c r="W257" s="3339"/>
      <c r="X257" s="3339"/>
      <c r="Y257" s="3339"/>
      <c r="Z257" s="3339"/>
      <c r="AA257" s="3339"/>
      <c r="AB257" s="3363">
        <f>+BB!Q30</f>
        <v>0</v>
      </c>
      <c r="AC257" s="3363"/>
      <c r="AD257" s="3363"/>
      <c r="AE257" s="3363"/>
      <c r="AF257" s="3363"/>
      <c r="AG257" s="3363"/>
      <c r="AH257" s="3363"/>
      <c r="AI257" s="3339"/>
      <c r="AJ257">
        <f>+BB!R30</f>
        <v>0</v>
      </c>
      <c r="AQ257" s="3326"/>
    </row>
    <row r="258" customFormat="1" ht="4.5" customHeight="1" spans="4:43">
      <c r="D258" s="3339"/>
      <c r="E258" s="3339"/>
      <c r="F258" s="3339"/>
      <c r="G258" s="3339"/>
      <c r="H258" s="3339"/>
      <c r="I258" s="3339"/>
      <c r="J258" s="3339"/>
      <c r="K258" s="3339"/>
      <c r="L258" s="3339"/>
      <c r="M258" s="3339"/>
      <c r="N258" s="3339"/>
      <c r="O258" s="3339"/>
      <c r="P258" s="3339"/>
      <c r="Q258" s="3339"/>
      <c r="R258" s="3339"/>
      <c r="S258" s="3339"/>
      <c r="T258" s="3339"/>
      <c r="U258" s="3339"/>
      <c r="V258" s="3339"/>
      <c r="W258" s="3339"/>
      <c r="X258" s="3339"/>
      <c r="Y258" s="3339"/>
      <c r="Z258" s="3339"/>
      <c r="AA258" s="3339"/>
      <c r="AB258" s="3363"/>
      <c r="AC258" s="3363"/>
      <c r="AD258" s="3363"/>
      <c r="AE258" s="3363"/>
      <c r="AF258" s="3363"/>
      <c r="AG258" s="3363"/>
      <c r="AH258" s="3363"/>
      <c r="AI258" s="3339"/>
      <c r="AQ258" s="3326"/>
    </row>
    <row r="259" customFormat="1" ht="12.4" customHeight="1" spans="3:43">
      <c r="C259" t="s">
        <v>1844</v>
      </c>
      <c r="D259" s="3339"/>
      <c r="E259" s="3339"/>
      <c r="F259" s="3339"/>
      <c r="G259" s="3339"/>
      <c r="H259" s="3339"/>
      <c r="I259" s="3339"/>
      <c r="J259" s="3339"/>
      <c r="K259" s="3339"/>
      <c r="L259" s="3339"/>
      <c r="M259" s="3339"/>
      <c r="N259" s="3339"/>
      <c r="O259" s="3339"/>
      <c r="P259" s="3339"/>
      <c r="Q259" s="3339"/>
      <c r="R259" s="3339"/>
      <c r="S259" s="3339"/>
      <c r="T259" s="3339"/>
      <c r="U259" s="3339"/>
      <c r="V259" s="3339"/>
      <c r="W259" s="3339"/>
      <c r="X259" s="3339"/>
      <c r="Y259" s="3339"/>
      <c r="Z259" s="3339"/>
      <c r="AA259" s="3339"/>
      <c r="AB259" s="3452">
        <f>SUM(AB241:AH258)</f>
        <v>869165810</v>
      </c>
      <c r="AC259" s="3452"/>
      <c r="AD259" s="3452"/>
      <c r="AE259" s="3452"/>
      <c r="AF259" s="3452"/>
      <c r="AG259" s="3452"/>
      <c r="AH259" s="3452"/>
      <c r="AI259" s="3339"/>
      <c r="AJ259" s="3452">
        <f>SUM(AJ241:AP258)</f>
        <v>1840865220</v>
      </c>
      <c r="AK259" s="3452"/>
      <c r="AL259" s="3452"/>
      <c r="AM259" s="3452"/>
      <c r="AN259" s="3452"/>
      <c r="AO259" s="3452"/>
      <c r="AP259" s="3452"/>
      <c r="AQ259" s="3326"/>
    </row>
    <row r="260" customFormat="1" ht="12.4" customHeight="1" spans="4:43">
      <c r="D260" s="3339"/>
      <c r="E260" s="3339"/>
      <c r="F260" s="3339"/>
      <c r="G260" s="3339"/>
      <c r="H260" s="3339"/>
      <c r="I260" s="3339"/>
      <c r="J260" s="3339"/>
      <c r="K260" s="3339"/>
      <c r="L260" s="3339"/>
      <c r="M260" s="3339"/>
      <c r="N260" s="3339"/>
      <c r="O260" s="3339"/>
      <c r="P260" s="3339"/>
      <c r="Q260" s="3339"/>
      <c r="R260" s="3339"/>
      <c r="S260" s="3339"/>
      <c r="T260" s="3339"/>
      <c r="U260" s="3339"/>
      <c r="V260" s="3339"/>
      <c r="W260" s="3339"/>
      <c r="X260" s="3339"/>
      <c r="Y260" s="3339"/>
      <c r="Z260" s="3339"/>
      <c r="AA260" s="3339"/>
      <c r="AB260" s="3363"/>
      <c r="AC260" s="3363"/>
      <c r="AD260" s="3363"/>
      <c r="AE260" s="3363"/>
      <c r="AF260" s="3363"/>
      <c r="AG260" s="3363"/>
      <c r="AH260" s="3363"/>
      <c r="AI260" s="3339"/>
      <c r="AQ260" s="3326"/>
    </row>
    <row r="261" customFormat="1" ht="12.4" customHeight="1" spans="3:43">
      <c r="C261" s="5036" t="s">
        <v>1845</v>
      </c>
      <c r="D261" s="3339"/>
      <c r="E261" s="3339"/>
      <c r="F261" s="3339"/>
      <c r="G261" s="3339"/>
      <c r="H261" s="3339"/>
      <c r="I261" s="3339"/>
      <c r="J261" s="3339"/>
      <c r="K261" s="3339"/>
      <c r="L261" s="3339"/>
      <c r="M261" s="3339"/>
      <c r="N261" s="3339"/>
      <c r="O261" s="3339"/>
      <c r="P261" s="3339"/>
      <c r="Q261" s="3339"/>
      <c r="R261" s="3339"/>
      <c r="S261" s="3339"/>
      <c r="T261" s="3339"/>
      <c r="U261" s="3339"/>
      <c r="V261" s="3339"/>
      <c r="W261" s="3339"/>
      <c r="X261" s="3339"/>
      <c r="Y261" s="3339"/>
      <c r="Z261" s="3339"/>
      <c r="AA261" s="3339"/>
      <c r="AB261" s="3339"/>
      <c r="AC261" s="3339"/>
      <c r="AD261" s="3339"/>
      <c r="AE261" s="3339"/>
      <c r="AF261" s="3339"/>
      <c r="AG261" s="3339"/>
      <c r="AH261" s="3339"/>
      <c r="AI261" s="3339"/>
      <c r="AJ261" s="3339"/>
      <c r="AK261" s="3339"/>
      <c r="AL261" s="3339"/>
      <c r="AM261" s="3339"/>
      <c r="AN261" s="3339"/>
      <c r="AO261" s="3339"/>
      <c r="AP261" s="3339"/>
      <c r="AQ261" s="3326"/>
    </row>
    <row r="262" customFormat="1" ht="7.5" customHeight="1" spans="4:43">
      <c r="D262" s="3339"/>
      <c r="E262" s="3339"/>
      <c r="F262" s="3339"/>
      <c r="G262" s="3339"/>
      <c r="H262" s="3339"/>
      <c r="I262" s="3339"/>
      <c r="J262" s="3339"/>
      <c r="K262" s="3339"/>
      <c r="L262" s="3339"/>
      <c r="M262" s="3339"/>
      <c r="N262" s="3339"/>
      <c r="O262" s="3339"/>
      <c r="P262" s="3339"/>
      <c r="Q262" s="3339"/>
      <c r="R262" s="3339"/>
      <c r="S262" s="3339"/>
      <c r="T262" s="3339"/>
      <c r="U262" s="3339"/>
      <c r="V262" s="3339"/>
      <c r="W262" s="3339"/>
      <c r="X262" s="3339"/>
      <c r="Y262" s="3339"/>
      <c r="Z262" s="3339"/>
      <c r="AA262" s="3339"/>
      <c r="AB262" s="3363"/>
      <c r="AC262" s="3363"/>
      <c r="AD262" s="3363"/>
      <c r="AE262" s="3363"/>
      <c r="AF262" s="3363"/>
      <c r="AG262" s="3363"/>
      <c r="AH262" s="3363"/>
      <c r="AI262" s="3339"/>
      <c r="AQ262" s="3326"/>
    </row>
    <row r="263" customFormat="1" spans="3:44">
      <c r="C263" s="3446" t="s">
        <v>1846</v>
      </c>
      <c r="D263" s="3446"/>
      <c r="E263" s="3446"/>
      <c r="F263" s="3446"/>
      <c r="G263" s="3446"/>
      <c r="H263" s="3446"/>
      <c r="I263" s="3446"/>
      <c r="J263" s="3446"/>
      <c r="K263" s="2921"/>
      <c r="L263" s="2921"/>
      <c r="M263" s="2921"/>
      <c r="N263" s="3339"/>
      <c r="O263" s="3339"/>
      <c r="P263" s="3339"/>
      <c r="Q263" s="3339"/>
      <c r="R263" s="3339"/>
      <c r="S263" s="3339"/>
      <c r="T263" s="3339"/>
      <c r="U263" s="3339"/>
      <c r="V263" s="3339"/>
      <c r="W263" s="3339"/>
      <c r="X263" s="3339"/>
      <c r="Y263" s="3339"/>
      <c r="Z263" s="3339"/>
      <c r="AA263" s="3339"/>
      <c r="AB263" s="3359">
        <f>+AB239</f>
        <v>2021</v>
      </c>
      <c r="AC263" s="3360"/>
      <c r="AD263" s="3360"/>
      <c r="AE263" s="3360"/>
      <c r="AF263" s="3360"/>
      <c r="AG263" s="3360"/>
      <c r="AH263" s="3360"/>
      <c r="AI263" s="3368"/>
      <c r="AJ263" s="3359">
        <f>+AJ239</f>
        <v>2020</v>
      </c>
      <c r="AK263" s="3360"/>
      <c r="AL263" s="3360"/>
      <c r="AM263" s="3360"/>
      <c r="AN263" s="3360"/>
      <c r="AO263" s="3360"/>
      <c r="AP263" s="3360"/>
      <c r="AQ263" s="3326"/>
      <c r="AR263" s="2326"/>
    </row>
    <row r="264" customFormat="1" ht="11.4" spans="3:44">
      <c r="C264" t="s">
        <v>1776</v>
      </c>
      <c r="D264" s="3339"/>
      <c r="E264" s="3339"/>
      <c r="F264" s="3339"/>
      <c r="G264" s="3339"/>
      <c r="H264" s="3339"/>
      <c r="I264" s="3339"/>
      <c r="J264" s="3339"/>
      <c r="K264" s="3339"/>
      <c r="L264" s="3339"/>
      <c r="M264" s="3339"/>
      <c r="N264" s="3339"/>
      <c r="O264" s="3339"/>
      <c r="P264" s="3339"/>
      <c r="Q264" s="3339"/>
      <c r="R264" s="3339"/>
      <c r="S264" s="3339"/>
      <c r="T264" s="3339"/>
      <c r="U264" s="3339"/>
      <c r="V264" s="3339"/>
      <c r="W264" s="3339"/>
      <c r="X264" s="3339"/>
      <c r="Y264" s="3339"/>
      <c r="Z264" s="3339"/>
      <c r="AA264" s="3339"/>
      <c r="AB264">
        <v>282475372.769018</v>
      </c>
      <c r="AJ264">
        <v>552259566</v>
      </c>
      <c r="AQ264" s="724"/>
      <c r="AR264" s="2326"/>
    </row>
    <row r="265" s="3330" customFormat="1" customHeight="1" spans="1:44">
      <c r="A265"/>
      <c r="B265"/>
      <c r="C265" t="s">
        <v>1777</v>
      </c>
      <c r="D265" s="3339"/>
      <c r="E265" s="3339"/>
      <c r="F265" s="3339"/>
      <c r="G265" s="3339"/>
      <c r="H265" s="3339"/>
      <c r="I265" s="3339"/>
      <c r="J265" s="3339"/>
      <c r="K265" s="3339"/>
      <c r="L265" s="3339"/>
      <c r="M265" s="3339"/>
      <c r="N265" s="3339"/>
      <c r="O265" s="3339"/>
      <c r="P265" s="3339"/>
      <c r="Q265" s="3339"/>
      <c r="R265" s="3339"/>
      <c r="S265" s="3339"/>
      <c r="T265" s="3339"/>
      <c r="U265" s="3339"/>
      <c r="V265" s="3339"/>
      <c r="W265" s="3339"/>
      <c r="X265" s="3339"/>
      <c r="Y265" s="3339"/>
      <c r="Z265" s="3339"/>
      <c r="AA265" s="3339"/>
      <c r="AB265">
        <v>80279554.3415342</v>
      </c>
      <c r="AC265"/>
      <c r="AD265"/>
      <c r="AE265"/>
      <c r="AF265"/>
      <c r="AG265"/>
      <c r="AH265"/>
      <c r="AI265"/>
      <c r="AJ265">
        <v>92043261</v>
      </c>
      <c r="AK265"/>
      <c r="AL265"/>
      <c r="AM265"/>
      <c r="AN265"/>
      <c r="AO265"/>
      <c r="AP265"/>
      <c r="AQ265" s="724"/>
      <c r="AR265" s="2326"/>
    </row>
    <row r="266" s="3330" customFormat="1" customHeight="1" spans="1:44">
      <c r="A266"/>
      <c r="B266"/>
      <c r="C266" t="s">
        <v>1778</v>
      </c>
      <c r="D266" s="3339"/>
      <c r="E266" s="3339"/>
      <c r="F266" s="3339"/>
      <c r="G266" s="3339"/>
      <c r="H266" s="3339"/>
      <c r="I266" s="3339"/>
      <c r="J266" s="3339"/>
      <c r="K266" s="3339"/>
      <c r="L266" s="3339"/>
      <c r="M266" s="3339"/>
      <c r="N266" s="3339"/>
      <c r="O266" s="3339"/>
      <c r="P266" s="3339"/>
      <c r="Q266" s="3339"/>
      <c r="R266" s="3339"/>
      <c r="S266" s="3339"/>
      <c r="T266" s="3339"/>
      <c r="U266" s="3339"/>
      <c r="V266" s="3339"/>
      <c r="W266" s="3339"/>
      <c r="X266" s="3339"/>
      <c r="Y266" s="3339"/>
      <c r="Z266" s="3339"/>
      <c r="AA266" s="3339"/>
      <c r="AB266">
        <v>99577453.0329373</v>
      </c>
      <c r="AC266"/>
      <c r="AD266"/>
      <c r="AE266"/>
      <c r="AF266"/>
      <c r="AG266"/>
      <c r="AH266"/>
      <c r="AI266"/>
      <c r="AJ266">
        <v>220903826.4</v>
      </c>
      <c r="AK266"/>
      <c r="AL266"/>
      <c r="AM266"/>
      <c r="AN266"/>
      <c r="AO266"/>
      <c r="AP266"/>
      <c r="AQ266" s="724"/>
      <c r="AR266" s="2326"/>
    </row>
    <row r="267" s="3330" customFormat="1" customHeight="1" spans="1:44">
      <c r="A267"/>
      <c r="B267"/>
      <c r="C267" t="s">
        <v>1779</v>
      </c>
      <c r="D267" s="3339"/>
      <c r="E267" s="3339"/>
      <c r="F267" s="3339"/>
      <c r="G267" s="3339"/>
      <c r="H267" s="3339"/>
      <c r="I267" s="3339"/>
      <c r="J267" s="3339"/>
      <c r="K267" s="3339"/>
      <c r="L267" s="3339"/>
      <c r="M267" s="3339"/>
      <c r="N267" s="3339"/>
      <c r="O267" s="3339"/>
      <c r="P267" s="3339"/>
      <c r="Q267" s="3339"/>
      <c r="R267" s="3339"/>
      <c r="S267" s="3339"/>
      <c r="T267" s="3339"/>
      <c r="U267" s="3339"/>
      <c r="V267" s="3339"/>
      <c r="W267" s="3339"/>
      <c r="X267" s="3339"/>
      <c r="Y267" s="3339"/>
      <c r="Z267" s="3339"/>
      <c r="AA267" s="3339"/>
      <c r="AB267" s="164">
        <v>406833429.856511</v>
      </c>
      <c r="AC267" s="164"/>
      <c r="AD267" s="164"/>
      <c r="AE267" s="164"/>
      <c r="AF267" s="164"/>
      <c r="AG267" s="164"/>
      <c r="AH267" s="164"/>
      <c r="AI267"/>
      <c r="AJ267" s="164">
        <v>975658566.6</v>
      </c>
      <c r="AK267" s="164"/>
      <c r="AL267" s="164"/>
      <c r="AM267" s="164"/>
      <c r="AN267" s="164"/>
      <c r="AO267" s="164"/>
      <c r="AP267" s="164"/>
      <c r="AQ267" s="724"/>
      <c r="AR267" s="2326"/>
    </row>
    <row r="268" s="3330" customFormat="1" customHeight="1" spans="1:45">
      <c r="A268"/>
      <c r="B268"/>
      <c r="C268" s="1952" t="s">
        <v>1844</v>
      </c>
      <c r="D268" s="3326"/>
      <c r="E268" s="3326"/>
      <c r="F268" s="3326"/>
      <c r="G268" s="3326"/>
      <c r="H268" s="3326"/>
      <c r="I268" s="3326"/>
      <c r="J268" s="3326"/>
      <c r="K268" s="3326"/>
      <c r="L268" s="3326"/>
      <c r="M268" s="3326"/>
      <c r="N268" s="3326"/>
      <c r="O268" s="3326"/>
      <c r="P268" s="3326"/>
      <c r="Q268" s="3326"/>
      <c r="R268" s="3326"/>
      <c r="S268" s="3326"/>
      <c r="T268" s="3326"/>
      <c r="U268" s="3326"/>
      <c r="V268" s="3326"/>
      <c r="W268" s="3326"/>
      <c r="X268" s="3326"/>
      <c r="Y268" s="3326"/>
      <c r="Z268" s="3326"/>
      <c r="AA268" s="3326"/>
      <c r="AB268" s="3363">
        <f>SUM(AB264:AH267)</f>
        <v>869165810</v>
      </c>
      <c r="AC268" s="3363"/>
      <c r="AD268" s="3363"/>
      <c r="AE268" s="3363"/>
      <c r="AF268" s="3363"/>
      <c r="AG268" s="3363"/>
      <c r="AH268" s="3363"/>
      <c r="AI268"/>
      <c r="AJ268">
        <f>SUM(AJ264:AP267)</f>
        <v>1840865220</v>
      </c>
      <c r="AK268"/>
      <c r="AL268"/>
      <c r="AM268"/>
      <c r="AN268"/>
      <c r="AO268"/>
      <c r="AP268"/>
      <c r="AQ268" s="724"/>
      <c r="AR268" s="2326"/>
      <c r="AS268" s="3455"/>
    </row>
    <row r="269" s="3330" customFormat="1" customHeight="1" spans="1:45">
      <c r="A269"/>
      <c r="B269"/>
      <c r="C269" s="1952" t="s">
        <v>1780</v>
      </c>
      <c r="D269" s="3326"/>
      <c r="E269" s="3326"/>
      <c r="F269" s="3326"/>
      <c r="G269" s="3326"/>
      <c r="H269" s="3326"/>
      <c r="I269" s="3326"/>
      <c r="J269" s="3326"/>
      <c r="K269" s="3326"/>
      <c r="L269" s="3326"/>
      <c r="M269" s="3326"/>
      <c r="N269" s="3326"/>
      <c r="O269" s="3326"/>
      <c r="P269" s="3326"/>
      <c r="Q269" s="3326"/>
      <c r="R269" s="3326"/>
      <c r="S269" s="3326"/>
      <c r="T269" s="3326"/>
      <c r="U269" s="3326"/>
      <c r="V269" s="3326"/>
      <c r="W269" s="3326"/>
      <c r="X269" s="3326"/>
      <c r="Y269" s="3326"/>
      <c r="Z269" s="3326"/>
      <c r="AA269" s="3326"/>
      <c r="AB269" s="3363">
        <f>+B!Q265</f>
        <v>0</v>
      </c>
      <c r="AC269" s="3363"/>
      <c r="AD269" s="3363"/>
      <c r="AE269" s="3363"/>
      <c r="AF269" s="3363"/>
      <c r="AG269" s="3363"/>
      <c r="AH269" s="3363"/>
      <c r="AI269"/>
      <c r="AJ269">
        <f>+B!R265</f>
        <v>0</v>
      </c>
      <c r="AK269"/>
      <c r="AL269"/>
      <c r="AM269"/>
      <c r="AN269"/>
      <c r="AO269"/>
      <c r="AP269"/>
      <c r="AQ269" s="3326"/>
      <c r="AR269" s="2326"/>
      <c r="AS269" s="3455"/>
    </row>
    <row r="270" s="3330" customFormat="1" customHeight="1" spans="1:45">
      <c r="A270"/>
      <c r="B270"/>
      <c r="C270" s="1952" t="s">
        <v>1847</v>
      </c>
      <c r="D270" s="3326"/>
      <c r="E270" s="3326"/>
      <c r="F270" s="3326"/>
      <c r="G270" s="3326"/>
      <c r="H270" s="3326"/>
      <c r="I270" s="3326"/>
      <c r="J270" s="3326"/>
      <c r="K270" s="3326"/>
      <c r="L270" s="3326"/>
      <c r="M270" s="3326"/>
      <c r="N270" s="3391"/>
      <c r="O270" s="3326"/>
      <c r="P270" s="3326"/>
      <c r="Q270" s="3326"/>
      <c r="R270" s="3326"/>
      <c r="S270" s="3326"/>
      <c r="T270" s="3326"/>
      <c r="U270" s="3326"/>
      <c r="V270" s="3326"/>
      <c r="W270" s="3326"/>
      <c r="X270" s="3326"/>
      <c r="Y270" s="3326"/>
      <c r="Z270" s="3326"/>
      <c r="AA270" s="3326"/>
      <c r="AB270" s="3367">
        <f>SUM(AB268:AH269)</f>
        <v>869165810</v>
      </c>
      <c r="AC270" s="3367"/>
      <c r="AD270" s="3367"/>
      <c r="AE270" s="3367"/>
      <c r="AF270" s="3367"/>
      <c r="AG270" s="3367"/>
      <c r="AH270" s="3367"/>
      <c r="AI270" s="94"/>
      <c r="AJ270" s="3324">
        <f>SUM(AJ268:AP269)</f>
        <v>1840865220</v>
      </c>
      <c r="AK270" s="3324"/>
      <c r="AL270" s="3324"/>
      <c r="AM270" s="3324"/>
      <c r="AN270" s="3324"/>
      <c r="AO270" s="3324"/>
      <c r="AP270" s="3324"/>
      <c r="AQ270" s="3326"/>
      <c r="AR270" s="2326"/>
      <c r="AS270" s="3455"/>
    </row>
    <row r="271" s="3330" customFormat="1" ht="9.2" customHeight="1" spans="1:45">
      <c r="A271"/>
      <c r="B271"/>
      <c r="C271" s="1952"/>
      <c r="D271" s="3326"/>
      <c r="E271" s="3326"/>
      <c r="F271" s="3326"/>
      <c r="G271" s="3326"/>
      <c r="H271" s="3326"/>
      <c r="I271" s="3326"/>
      <c r="J271" s="3326"/>
      <c r="K271" s="3326"/>
      <c r="L271" s="3326"/>
      <c r="M271" s="3326"/>
      <c r="N271" s="3326"/>
      <c r="O271" s="3326"/>
      <c r="P271" s="3326"/>
      <c r="Q271" s="3326"/>
      <c r="R271" s="3326"/>
      <c r="S271" s="3326"/>
      <c r="T271" s="3326"/>
      <c r="U271" s="3326"/>
      <c r="V271" s="3326"/>
      <c r="W271" s="3326"/>
      <c r="X271" s="3326"/>
      <c r="Y271" s="3326"/>
      <c r="Z271" s="3326"/>
      <c r="AA271" s="3326"/>
      <c r="AB271" s="3326"/>
      <c r="AC271" s="3326"/>
      <c r="AD271" s="3326"/>
      <c r="AE271" s="3326"/>
      <c r="AF271" s="3326"/>
      <c r="AG271" s="3326"/>
      <c r="AH271" s="3326"/>
      <c r="AI271"/>
      <c r="AJ271"/>
      <c r="AK271" s="3326"/>
      <c r="AL271" s="3326"/>
      <c r="AM271" s="3326"/>
      <c r="AN271"/>
      <c r="AO271"/>
      <c r="AP271" s="3326"/>
      <c r="AQ271" s="3326"/>
      <c r="AR271" s="3331"/>
      <c r="AS271" s="3455"/>
    </row>
    <row r="272" s="3330" customFormat="1" ht="24.75" customHeight="1" spans="1:45">
      <c r="A272"/>
      <c r="B272"/>
      <c r="C272" s="5036" t="s">
        <v>1848</v>
      </c>
      <c r="D272" s="3339"/>
      <c r="E272" s="3339"/>
      <c r="F272" s="3339"/>
      <c r="G272" s="3339"/>
      <c r="H272" s="3339"/>
      <c r="I272" s="3339"/>
      <c r="J272" s="3339"/>
      <c r="K272" s="3339"/>
      <c r="L272" s="3339"/>
      <c r="M272" s="3339"/>
      <c r="N272" s="3339"/>
      <c r="O272" s="3339"/>
      <c r="P272" s="3339"/>
      <c r="Q272" s="3339"/>
      <c r="R272" s="3339"/>
      <c r="S272" s="3339"/>
      <c r="T272" s="3339"/>
      <c r="U272" s="3339"/>
      <c r="V272" s="3339"/>
      <c r="W272" s="3339"/>
      <c r="X272" s="3339"/>
      <c r="Y272" s="3339"/>
      <c r="Z272" s="3339"/>
      <c r="AA272" s="3339"/>
      <c r="AB272" s="3339"/>
      <c r="AC272" s="3339"/>
      <c r="AD272" s="3339"/>
      <c r="AE272" s="3339"/>
      <c r="AF272" s="3339"/>
      <c r="AG272" s="3339"/>
      <c r="AH272" s="3339"/>
      <c r="AI272" s="3339"/>
      <c r="AJ272" s="3339"/>
      <c r="AK272" s="3339"/>
      <c r="AL272" s="3339"/>
      <c r="AM272" s="3339"/>
      <c r="AN272" s="3339"/>
      <c r="AO272" s="3339"/>
      <c r="AP272" s="3339"/>
      <c r="AQ272" s="3326"/>
      <c r="AR272" s="3331"/>
      <c r="AS272" s="3455"/>
    </row>
    <row r="273" s="3330" customFormat="1" ht="15" customHeight="1" spans="1:44">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R273" s="3331"/>
    </row>
    <row r="274" customHeight="1" spans="1:42">
      <c r="A274" s="3335">
        <f>A235+1</f>
        <v>11</v>
      </c>
      <c r="B274" s="64"/>
      <c r="C274" s="3322" t="s">
        <v>1849</v>
      </c>
      <c r="D274" s="64"/>
      <c r="E274" s="64"/>
      <c r="F274" s="64"/>
      <c r="G274" s="64"/>
      <c r="H274" s="64"/>
      <c r="I274" s="64"/>
      <c r="J274" s="64"/>
      <c r="K274" s="64"/>
      <c r="L274" s="64"/>
      <c r="M274" s="64"/>
      <c r="N274" s="64"/>
      <c r="O274" s="64"/>
      <c r="P274" s="64"/>
      <c r="Q274" s="64"/>
      <c r="R274" s="64"/>
      <c r="S274" s="64"/>
      <c r="T274" s="16"/>
      <c r="U274" s="16"/>
      <c r="V274" s="16"/>
      <c r="W274" s="16"/>
      <c r="X274" s="16"/>
      <c r="Y274" s="16"/>
      <c r="Z274" s="16"/>
      <c r="AA274" s="64"/>
      <c r="AB274" s="3359">
        <v>2021</v>
      </c>
      <c r="AC274" s="3360"/>
      <c r="AD274" s="3360"/>
      <c r="AE274" s="3360"/>
      <c r="AF274" s="3360"/>
      <c r="AG274" s="3360"/>
      <c r="AH274" s="3360"/>
      <c r="AI274" s="3368"/>
      <c r="AJ274" s="3359">
        <v>2020</v>
      </c>
      <c r="AK274" s="3360"/>
      <c r="AL274" s="3360"/>
      <c r="AM274" s="3360"/>
      <c r="AN274" s="3360"/>
      <c r="AO274" s="3360"/>
      <c r="AP274" s="3360"/>
    </row>
    <row r="275" ht="9.2" customHeight="1" spans="1:42">
      <c r="A275" s="64"/>
      <c r="B275" s="64"/>
      <c r="C275" s="64"/>
      <c r="D275" s="64"/>
      <c r="E275" s="64"/>
      <c r="F275" s="64"/>
      <c r="G275" s="64"/>
      <c r="H275" s="64"/>
      <c r="I275" s="64"/>
      <c r="J275" s="64"/>
      <c r="K275" s="64"/>
      <c r="L275" s="64"/>
      <c r="M275" s="64"/>
      <c r="N275" s="64"/>
      <c r="O275" s="64"/>
      <c r="P275" s="64"/>
      <c r="Q275" s="64"/>
      <c r="R275" s="64"/>
      <c r="S275" s="64"/>
      <c r="T275" s="16"/>
      <c r="U275" s="16"/>
      <c r="V275" s="16"/>
      <c r="W275" s="16"/>
      <c r="X275" s="16"/>
      <c r="Y275" s="16"/>
      <c r="Z275" s="16"/>
      <c r="AA275" s="64"/>
      <c r="AB275" s="3349"/>
      <c r="AC275" s="16"/>
      <c r="AD275" s="16"/>
      <c r="AE275" s="16"/>
      <c r="AF275" s="16"/>
      <c r="AG275" s="16"/>
      <c r="AH275" s="16"/>
      <c r="AI275" s="3326"/>
      <c r="AJ275" s="3349"/>
      <c r="AK275" s="16"/>
      <c r="AL275" s="16"/>
      <c r="AM275" s="16"/>
      <c r="AN275" s="16"/>
      <c r="AO275" s="16"/>
      <c r="AP275" s="16"/>
    </row>
    <row r="276" customHeight="1" spans="1:27">
      <c r="A276" s="64"/>
      <c r="B276" s="64"/>
      <c r="C276" s="3322" t="s">
        <v>142</v>
      </c>
      <c r="D276" s="3322"/>
      <c r="E276" s="3322" t="s">
        <v>773</v>
      </c>
      <c r="F276" s="64"/>
      <c r="G276" s="64"/>
      <c r="H276" s="64"/>
      <c r="I276" s="64"/>
      <c r="J276" s="64"/>
      <c r="K276" s="64"/>
      <c r="L276" s="64"/>
      <c r="M276" s="64"/>
      <c r="N276" s="64"/>
      <c r="O276" s="64"/>
      <c r="P276" s="64"/>
      <c r="Q276" s="64"/>
      <c r="R276" s="64"/>
      <c r="S276" s="64"/>
      <c r="T276" s="16"/>
      <c r="U276" s="16"/>
      <c r="V276" s="16"/>
      <c r="W276" s="16"/>
      <c r="X276" s="16"/>
      <c r="Y276" s="16"/>
      <c r="Z276" s="16"/>
      <c r="AA276" s="64"/>
    </row>
    <row r="277" ht="4.5" customHeight="1" spans="1:42">
      <c r="A277" s="64"/>
      <c r="B277" s="64"/>
      <c r="C277" s="3322"/>
      <c r="D277" s="3322"/>
      <c r="E277" s="3322"/>
      <c r="F277" s="64"/>
      <c r="G277" s="64"/>
      <c r="H277" s="64"/>
      <c r="I277" s="64"/>
      <c r="J277" s="64"/>
      <c r="K277" s="64"/>
      <c r="L277" s="64"/>
      <c r="M277" s="64"/>
      <c r="N277" s="64"/>
      <c r="O277" s="64"/>
      <c r="P277" s="64"/>
      <c r="Q277" s="64"/>
      <c r="R277" s="64"/>
      <c r="S277" s="64"/>
      <c r="T277" s="16"/>
      <c r="U277" s="16"/>
      <c r="V277" s="16"/>
      <c r="W277" s="16"/>
      <c r="X277" s="16"/>
      <c r="Y277" s="16"/>
      <c r="Z277" s="16"/>
      <c r="AA277" s="64"/>
      <c r="AB277" s="3349"/>
      <c r="AC277" s="16"/>
      <c r="AD277" s="16"/>
      <c r="AE277" s="16"/>
      <c r="AF277" s="16"/>
      <c r="AG277" s="16"/>
      <c r="AH277" s="16"/>
      <c r="AI277" s="3326"/>
      <c r="AJ277" s="3349"/>
      <c r="AK277" s="16"/>
      <c r="AL277" s="16"/>
      <c r="AM277" s="16"/>
      <c r="AN277" s="16"/>
      <c r="AO277" s="16"/>
      <c r="AP277" s="16"/>
    </row>
    <row r="278" customHeight="1" spans="1:42">
      <c r="A278" s="64"/>
      <c r="B278" s="64"/>
      <c r="C278" s="64"/>
      <c r="D278" s="64"/>
      <c r="E278" s="5088" t="s">
        <v>1850</v>
      </c>
      <c r="G278" s="64"/>
      <c r="H278" s="64"/>
      <c r="I278" s="64"/>
      <c r="J278" s="64"/>
      <c r="K278" s="2636"/>
      <c r="L278" s="64"/>
      <c r="M278" s="64"/>
      <c r="N278" s="64"/>
      <c r="O278" s="64"/>
      <c r="P278" s="64"/>
      <c r="Q278" s="64"/>
      <c r="R278" s="64"/>
      <c r="S278" s="3067"/>
      <c r="T278" s="64"/>
      <c r="U278" s="64"/>
      <c r="V278" s="64"/>
      <c r="W278" s="64"/>
      <c r="X278" s="64"/>
      <c r="Y278" s="64"/>
      <c r="Z278" s="64"/>
      <c r="AA278" s="2682"/>
      <c r="AB278">
        <f>+FF!P14</f>
        <v>14038788.3561765</v>
      </c>
      <c r="AC278"/>
      <c r="AD278"/>
      <c r="AE278"/>
      <c r="AF278"/>
      <c r="AG278"/>
      <c r="AH278"/>
      <c r="AI278" s="3326"/>
      <c r="AJ278" s="2682">
        <f>+FF!Q14</f>
        <v>9817743.64367655</v>
      </c>
      <c r="AK278" s="2682"/>
      <c r="AL278" s="2682"/>
      <c r="AM278" s="2682"/>
      <c r="AN278" s="2682"/>
      <c r="AO278" s="2682"/>
      <c r="AP278" s="2682"/>
    </row>
    <row r="279" customHeight="1" spans="1:42">
      <c r="A279" s="64"/>
      <c r="B279" s="64"/>
      <c r="C279" s="64"/>
      <c r="D279" s="64"/>
      <c r="E279" s="5088" t="s">
        <v>1851</v>
      </c>
      <c r="G279" s="64"/>
      <c r="H279" s="64"/>
      <c r="I279" s="64"/>
      <c r="J279" s="64"/>
      <c r="K279" s="2636"/>
      <c r="L279" s="64"/>
      <c r="M279" s="64"/>
      <c r="N279" s="64"/>
      <c r="O279" s="64"/>
      <c r="P279" s="64"/>
      <c r="Q279" s="64"/>
      <c r="R279" s="64"/>
      <c r="S279" s="3067"/>
      <c r="T279" s="64"/>
      <c r="U279" s="64"/>
      <c r="V279" s="64"/>
      <c r="W279" s="64"/>
      <c r="X279" s="64"/>
      <c r="Y279" s="64"/>
      <c r="Z279" s="64"/>
      <c r="AA279" s="2682"/>
      <c r="AB279">
        <f>+FF!P15</f>
        <v>2431897.37632693</v>
      </c>
      <c r="AC279"/>
      <c r="AD279"/>
      <c r="AE279"/>
      <c r="AF279"/>
      <c r="AG279"/>
      <c r="AH279"/>
      <c r="AI279" s="3326"/>
      <c r="AJ279" s="2682">
        <f>+FF!Q15</f>
        <v>133614256.608534</v>
      </c>
      <c r="AK279" s="2682"/>
      <c r="AL279" s="2682"/>
      <c r="AM279" s="2682"/>
      <c r="AN279" s="2682"/>
      <c r="AO279" s="2682"/>
      <c r="AP279" s="2682"/>
    </row>
    <row r="280" customHeight="1" spans="1:42">
      <c r="A280" s="64"/>
      <c r="B280" s="64"/>
      <c r="C280" s="64"/>
      <c r="D280" s="64"/>
      <c r="E280" s="5088" t="s">
        <v>1852</v>
      </c>
      <c r="G280" s="64"/>
      <c r="H280" s="64"/>
      <c r="I280" s="64"/>
      <c r="J280" s="64"/>
      <c r="K280" s="2636"/>
      <c r="L280" s="64"/>
      <c r="M280" s="64"/>
      <c r="N280" s="64"/>
      <c r="O280" s="64"/>
      <c r="P280" s="64"/>
      <c r="Q280" s="64"/>
      <c r="R280" s="64"/>
      <c r="S280" s="3067"/>
      <c r="T280" s="64"/>
      <c r="U280" s="64"/>
      <c r="V280" s="64"/>
      <c r="W280" s="64"/>
      <c r="X280" s="64"/>
      <c r="Y280" s="64"/>
      <c r="Z280" s="64"/>
      <c r="AA280" s="2682"/>
      <c r="AB280">
        <f>+FF!P16</f>
        <v>112582760</v>
      </c>
      <c r="AC280"/>
      <c r="AD280"/>
      <c r="AE280"/>
      <c r="AF280"/>
      <c r="AG280"/>
      <c r="AH280"/>
      <c r="AI280" s="3326"/>
      <c r="AJ280" s="2682">
        <f>+FF!Q16</f>
        <v>0</v>
      </c>
      <c r="AK280" s="2682"/>
      <c r="AL280" s="2682"/>
      <c r="AM280" s="2682"/>
      <c r="AN280" s="2682"/>
      <c r="AO280" s="2682"/>
      <c r="AP280" s="2682"/>
    </row>
    <row r="281" hidden="1" customHeight="1" spans="1:44">
      <c r="A281" s="64"/>
      <c r="B281" s="64"/>
      <c r="C281" s="64"/>
      <c r="D281" s="64"/>
      <c r="E281" s="5088" t="s">
        <v>1853</v>
      </c>
      <c r="G281" s="64"/>
      <c r="H281" s="64"/>
      <c r="I281" s="64"/>
      <c r="J281" s="64"/>
      <c r="K281" s="2636"/>
      <c r="L281" s="64"/>
      <c r="M281" s="64"/>
      <c r="N281" s="64"/>
      <c r="O281" s="64"/>
      <c r="P281" s="64"/>
      <c r="Q281" s="64"/>
      <c r="R281" s="64"/>
      <c r="S281" s="3067"/>
      <c r="T281" s="64"/>
      <c r="U281" s="64"/>
      <c r="V281" s="64"/>
      <c r="W281" s="64"/>
      <c r="X281" s="64"/>
      <c r="Y281" s="64"/>
      <c r="Z281" s="64"/>
      <c r="AA281" s="2682"/>
      <c r="AB281">
        <f>+FF!P17</f>
        <v>0</v>
      </c>
      <c r="AC281"/>
      <c r="AD281"/>
      <c r="AE281"/>
      <c r="AF281"/>
      <c r="AG281"/>
      <c r="AH281"/>
      <c r="AI281" s="3326"/>
      <c r="AJ281" s="2682">
        <f>+FF!Q17</f>
        <v>0</v>
      </c>
      <c r="AK281" s="2682"/>
      <c r="AL281" s="2682"/>
      <c r="AM281" s="2682"/>
      <c r="AN281" s="2682"/>
      <c r="AO281" s="2682"/>
      <c r="AP281" s="2682"/>
      <c r="AR281" s="3326"/>
    </row>
    <row r="282" hidden="1" customHeight="1" spans="1:44">
      <c r="A282" s="64"/>
      <c r="B282" s="64"/>
      <c r="C282" s="64"/>
      <c r="D282" s="64"/>
      <c r="E282" s="5088" t="s">
        <v>1854</v>
      </c>
      <c r="G282" s="64"/>
      <c r="H282" s="64"/>
      <c r="I282" s="64"/>
      <c r="J282" s="64"/>
      <c r="K282" s="2636"/>
      <c r="L282" s="64"/>
      <c r="M282" s="64"/>
      <c r="N282" s="64"/>
      <c r="O282" s="64"/>
      <c r="P282" s="64"/>
      <c r="Q282" s="64"/>
      <c r="R282" s="64"/>
      <c r="S282" s="3067"/>
      <c r="T282" s="64"/>
      <c r="U282" s="64"/>
      <c r="V282" s="64"/>
      <c r="W282" s="64"/>
      <c r="X282" s="64"/>
      <c r="Y282" s="64"/>
      <c r="Z282" s="64"/>
      <c r="AA282" s="2682"/>
      <c r="AB282">
        <f>+FF!P18</f>
        <v>0</v>
      </c>
      <c r="AC282"/>
      <c r="AD282"/>
      <c r="AE282"/>
      <c r="AF282"/>
      <c r="AG282"/>
      <c r="AH282"/>
      <c r="AI282" s="3326"/>
      <c r="AJ282" s="2682">
        <f>+FF!Q18</f>
        <v>0</v>
      </c>
      <c r="AK282" s="2682"/>
      <c r="AL282" s="2682"/>
      <c r="AM282" s="2682"/>
      <c r="AN282" s="2682"/>
      <c r="AO282" s="2682"/>
      <c r="AP282" s="2682"/>
      <c r="AR282" s="3326"/>
    </row>
    <row r="283" ht="4.5" customHeight="1" spans="1:44">
      <c r="A283" s="64"/>
      <c r="B283" s="64"/>
      <c r="C283" s="64"/>
      <c r="D283" s="64"/>
      <c r="E283"/>
      <c r="G283" s="64"/>
      <c r="H283" s="64"/>
      <c r="I283" s="64"/>
      <c r="J283" s="64"/>
      <c r="K283" s="64"/>
      <c r="L283" s="2636"/>
      <c r="M283" s="64"/>
      <c r="N283" s="64"/>
      <c r="O283" s="64"/>
      <c r="P283" s="64"/>
      <c r="Q283" s="64"/>
      <c r="R283" s="64"/>
      <c r="S283" s="64"/>
      <c r="T283" s="64"/>
      <c r="U283" s="64"/>
      <c r="V283" s="64"/>
      <c r="W283" s="64"/>
      <c r="X283" s="64"/>
      <c r="Y283" s="64"/>
      <c r="Z283" s="64"/>
      <c r="AA283" s="64"/>
      <c r="AB283" s="64"/>
      <c r="AC283" s="64"/>
      <c r="AD283" s="64"/>
      <c r="AE283" s="64"/>
      <c r="AF283" s="64"/>
      <c r="AG283" s="64"/>
      <c r="AH283" s="64"/>
      <c r="AI283" s="3326"/>
      <c r="AK283" s="64"/>
      <c r="AL283" s="64"/>
      <c r="AM283" s="64"/>
      <c r="AP283" s="64"/>
      <c r="AR283" s="719"/>
    </row>
    <row r="284" customHeight="1" spans="1:44">
      <c r="A284" s="64"/>
      <c r="B284" s="64"/>
      <c r="C284" s="64"/>
      <c r="D284" s="64"/>
      <c r="E284" s="94" t="s">
        <v>1855</v>
      </c>
      <c r="F284" s="64"/>
      <c r="G284" s="64"/>
      <c r="H284" s="64"/>
      <c r="I284" s="64"/>
      <c r="J284" s="64"/>
      <c r="K284" s="64"/>
      <c r="L284" s="64"/>
      <c r="M284" s="64"/>
      <c r="N284" s="64"/>
      <c r="O284" s="64"/>
      <c r="P284" s="64"/>
      <c r="Q284" s="64"/>
      <c r="R284" s="64"/>
      <c r="S284" s="64"/>
      <c r="T284" s="3450"/>
      <c r="U284" s="3450"/>
      <c r="V284" s="3450"/>
      <c r="W284" s="3450"/>
      <c r="X284" s="3450"/>
      <c r="Y284" s="3450"/>
      <c r="Z284" s="3450"/>
      <c r="AA284" s="3322"/>
      <c r="AB284" s="3423">
        <f>SUM(AB278:AH283)</f>
        <v>129053445.732503</v>
      </c>
      <c r="AC284" s="3423"/>
      <c r="AD284" s="3423"/>
      <c r="AE284" s="3423"/>
      <c r="AF284" s="3423"/>
      <c r="AG284" s="3423"/>
      <c r="AH284" s="3423"/>
      <c r="AI284" s="3326"/>
      <c r="AJ284" s="3423">
        <f>SUM(AJ278:AP283)</f>
        <v>143432000.25221</v>
      </c>
      <c r="AK284" s="3423"/>
      <c r="AL284" s="3423"/>
      <c r="AM284" s="3423"/>
      <c r="AN284" s="3423"/>
      <c r="AO284" s="3423"/>
      <c r="AP284" s="3423"/>
      <c r="AR284" s="3330"/>
    </row>
    <row r="285" ht="12.15" spans="28:42">
      <c r="AB285">
        <f>+AB284-SUM('FS-21'!Y38:AE38)</f>
        <v>0</v>
      </c>
      <c r="AC285"/>
      <c r="AD285"/>
      <c r="AE285"/>
      <c r="AF285"/>
      <c r="AG285"/>
      <c r="AH285"/>
      <c r="AI285" s="3326"/>
      <c r="AJ285">
        <f>+AJ284-SUM('FS-21'!AG38:AM38)</f>
        <v>0</v>
      </c>
      <c r="AK285"/>
      <c r="AL285"/>
      <c r="AM285"/>
      <c r="AN285"/>
      <c r="AO285"/>
      <c r="AP285"/>
    </row>
    <row r="286" spans="3:42">
      <c r="C286" s="3322" t="s">
        <v>148</v>
      </c>
      <c r="D286" s="3322"/>
      <c r="E286" s="3322" t="s">
        <v>1856</v>
      </c>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c r="AG286" s="64"/>
      <c r="AH286" s="64"/>
      <c r="AI286" s="3330"/>
      <c r="AJ286" s="3330"/>
      <c r="AM286" s="3330"/>
      <c r="AN286" s="3330"/>
      <c r="AO286" s="3330"/>
      <c r="AP286" s="3330"/>
    </row>
    <row r="287" ht="9" customHeight="1" spans="3:42">
      <c r="C287" s="3322"/>
      <c r="D287" s="3322"/>
      <c r="E287" s="3322"/>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c r="AG287" s="64"/>
      <c r="AH287" s="64"/>
      <c r="AI287" s="3330"/>
      <c r="AJ287" s="3330"/>
      <c r="AM287" s="3330"/>
      <c r="AN287" s="3330"/>
      <c r="AO287" s="3330"/>
      <c r="AP287" s="3330"/>
    </row>
    <row r="288" ht="21" customHeight="1" spans="3:42">
      <c r="C288" s="64"/>
      <c r="D288" s="64"/>
      <c r="E288" s="5036" t="s">
        <v>1857</v>
      </c>
      <c r="F288" s="3341"/>
      <c r="G288" s="3341"/>
      <c r="H288" s="3341"/>
      <c r="I288" s="3341"/>
      <c r="J288" s="3341"/>
      <c r="K288" s="3341"/>
      <c r="L288" s="3341"/>
      <c r="M288" s="3341"/>
      <c r="N288" s="3341"/>
      <c r="O288" s="3341"/>
      <c r="P288" s="3341"/>
      <c r="Q288" s="3341"/>
      <c r="R288" s="3341"/>
      <c r="S288" s="3341"/>
      <c r="T288" s="3341"/>
      <c r="U288" s="3341"/>
      <c r="V288" s="3341"/>
      <c r="W288" s="3341"/>
      <c r="X288" s="3341"/>
      <c r="Y288" s="3341"/>
      <c r="Z288" s="3341"/>
      <c r="AA288" s="3341"/>
      <c r="AB288" s="3341"/>
      <c r="AC288" s="3341"/>
      <c r="AD288" s="3341"/>
      <c r="AE288" s="3341"/>
      <c r="AF288" s="3341"/>
      <c r="AG288" s="3341"/>
      <c r="AH288" s="3341"/>
      <c r="AI288" s="3341"/>
      <c r="AJ288" s="3341"/>
      <c r="AK288" s="3341"/>
      <c r="AL288" s="3341"/>
      <c r="AM288" s="3341"/>
      <c r="AN288" s="3341"/>
      <c r="AO288" s="3341"/>
      <c r="AP288" s="3341"/>
    </row>
    <row r="289" ht="6.95" customHeight="1" spans="3:42">
      <c r="C289"/>
      <c r="D289" s="64"/>
      <c r="E289" s="64"/>
      <c r="F289" s="64"/>
      <c r="G289" s="64"/>
      <c r="H289" s="64"/>
      <c r="I289" s="64"/>
      <c r="J289" s="64"/>
      <c r="K289" s="64"/>
      <c r="L289" s="64"/>
      <c r="M289" s="64"/>
      <c r="N289" s="64"/>
      <c r="O289" s="64"/>
      <c r="P289" s="64"/>
      <c r="Q289" s="64"/>
      <c r="R289" s="64"/>
      <c r="S289" s="64"/>
      <c r="T289" s="16"/>
      <c r="U289" s="16"/>
      <c r="V289" s="16"/>
      <c r="W289" s="16"/>
      <c r="X289" s="16"/>
      <c r="Y289" s="16"/>
      <c r="Z289" s="16"/>
      <c r="AA289" s="64"/>
      <c r="AB289" s="3349"/>
      <c r="AC289" s="16"/>
      <c r="AD289" s="16"/>
      <c r="AE289" s="16"/>
      <c r="AF289" s="16"/>
      <c r="AG289" s="16"/>
      <c r="AH289" s="16"/>
      <c r="AI289" s="3326"/>
      <c r="AJ289" s="3349"/>
      <c r="AK289" s="16"/>
      <c r="AL289" s="16"/>
      <c r="AM289" s="16"/>
      <c r="AN289" s="16"/>
      <c r="AO289" s="16"/>
      <c r="AP289" s="16"/>
    </row>
    <row r="290" spans="3:42">
      <c r="C290"/>
      <c r="D290" s="64"/>
      <c r="E290" s="64"/>
      <c r="F290" s="64"/>
      <c r="G290" s="64"/>
      <c r="H290" s="64"/>
      <c r="I290" s="64"/>
      <c r="J290" s="64"/>
      <c r="K290" s="64"/>
      <c r="L290" s="64"/>
      <c r="M290" s="64"/>
      <c r="N290" s="64"/>
      <c r="O290" s="64"/>
      <c r="P290" s="64"/>
      <c r="Q290" s="64"/>
      <c r="R290" s="64"/>
      <c r="S290" s="64"/>
      <c r="T290" s="16"/>
      <c r="U290" s="16"/>
      <c r="V290" s="16"/>
      <c r="W290" s="16"/>
      <c r="X290" s="16"/>
      <c r="Y290" s="16"/>
      <c r="Z290" s="16"/>
      <c r="AA290" s="64"/>
      <c r="AB290" s="3359">
        <v>2021</v>
      </c>
      <c r="AC290" s="3360"/>
      <c r="AD290" s="3360"/>
      <c r="AE290" s="3360"/>
      <c r="AF290" s="3360"/>
      <c r="AG290" s="3360"/>
      <c r="AH290" s="3360"/>
      <c r="AI290" s="3368"/>
      <c r="AJ290" s="3359">
        <v>2020</v>
      </c>
      <c r="AK290" s="3360"/>
      <c r="AL290" s="3360"/>
      <c r="AM290" s="3360"/>
      <c r="AN290" s="3360"/>
      <c r="AO290" s="3360"/>
      <c r="AP290" s="3360"/>
    </row>
    <row r="291" ht="11.4" spans="3:41">
      <c r="C291" s="64"/>
      <c r="D291" s="64"/>
      <c r="AI291" s="3326"/>
      <c r="AJ291" s="3326"/>
      <c r="AK291" s="3326"/>
      <c r="AN291" s="3326"/>
      <c r="AO291" s="3326"/>
    </row>
    <row r="292" ht="11.4" spans="3:42">
      <c r="C292" s="64"/>
      <c r="D292" s="64"/>
      <c r="E292" s="3384" t="s">
        <v>1858</v>
      </c>
      <c r="F292" s="3384"/>
      <c r="G292" s="64"/>
      <c r="H292" s="64"/>
      <c r="I292" s="64"/>
      <c r="J292" s="64"/>
      <c r="K292" s="2636"/>
      <c r="L292" s="64"/>
      <c r="M292" s="64"/>
      <c r="N292" s="64"/>
      <c r="O292" s="64"/>
      <c r="P292" s="64"/>
      <c r="Q292" s="64"/>
      <c r="R292" s="64"/>
      <c r="S292" s="3067"/>
      <c r="T292" s="64"/>
      <c r="U292" s="64"/>
      <c r="V292" s="64"/>
      <c r="W292" s="64"/>
      <c r="X292" s="64"/>
      <c r="Y292" s="64"/>
      <c r="Z292" s="64"/>
      <c r="AA292" s="2682"/>
      <c r="AB292" s="2682">
        <f>+'F3'!L30</f>
        <v>289682939.71</v>
      </c>
      <c r="AC292" s="2682"/>
      <c r="AD292" s="2682"/>
      <c r="AE292" s="2682"/>
      <c r="AF292" s="2682"/>
      <c r="AG292" s="2682"/>
      <c r="AH292" s="2682"/>
      <c r="AI292" s="3326"/>
      <c r="AJ292" s="2682">
        <f>+'F3'!R30</f>
        <v>1032142614.99999</v>
      </c>
      <c r="AK292" s="2682"/>
      <c r="AL292" s="2682"/>
      <c r="AM292" s="2682"/>
      <c r="AN292" s="2682"/>
      <c r="AO292" s="2682"/>
      <c r="AP292" s="2682"/>
    </row>
    <row r="293" ht="6" customHeight="1" spans="3:42">
      <c r="C293" s="64"/>
      <c r="D293" s="64"/>
      <c r="E293" s="3384"/>
      <c r="F293" s="3384"/>
      <c r="G293" s="64"/>
      <c r="H293" s="64"/>
      <c r="I293" s="64"/>
      <c r="J293" s="64"/>
      <c r="K293" s="2636"/>
      <c r="L293" s="64"/>
      <c r="M293" s="64"/>
      <c r="N293" s="64"/>
      <c r="O293" s="64"/>
      <c r="P293" s="64"/>
      <c r="Q293" s="64"/>
      <c r="R293" s="64"/>
      <c r="S293" s="3067"/>
      <c r="T293" s="64"/>
      <c r="U293" s="64"/>
      <c r="V293" s="64"/>
      <c r="W293" s="64"/>
      <c r="X293" s="64"/>
      <c r="Y293" s="64"/>
      <c r="Z293" s="64"/>
      <c r="AA293" s="2682"/>
      <c r="AB293" s="2682"/>
      <c r="AC293" s="2682"/>
      <c r="AD293" s="2682"/>
      <c r="AE293" s="2682"/>
      <c r="AF293" s="2682"/>
      <c r="AG293" s="2682"/>
      <c r="AH293" s="2682"/>
      <c r="AI293" s="3326"/>
      <c r="AJ293" s="2682"/>
      <c r="AK293" s="2682"/>
      <c r="AL293" s="2682"/>
      <c r="AM293" s="2682"/>
      <c r="AN293" s="2682"/>
      <c r="AO293" s="2682"/>
      <c r="AP293" s="2682"/>
    </row>
    <row r="294" ht="11.4" spans="3:42">
      <c r="C294" s="64"/>
      <c r="D294" s="64"/>
      <c r="E294" s="3448" t="s">
        <v>1859</v>
      </c>
      <c r="F294" s="3449"/>
      <c r="G294" s="2402"/>
      <c r="H294" s="2402"/>
      <c r="I294" s="2402"/>
      <c r="J294" s="64"/>
      <c r="K294" s="2636"/>
      <c r="L294" s="64"/>
      <c r="M294" s="64"/>
      <c r="N294" s="64"/>
      <c r="O294" s="64"/>
      <c r="P294" s="64"/>
      <c r="Q294" s="64"/>
      <c r="R294" s="64"/>
      <c r="S294" s="3067"/>
      <c r="T294" s="64"/>
      <c r="U294" s="64"/>
      <c r="V294" s="64"/>
      <c r="W294" s="64"/>
      <c r="X294" s="64"/>
      <c r="Y294" s="64"/>
      <c r="Z294" s="64"/>
      <c r="AA294" s="2682"/>
      <c r="AB294" s="2682"/>
      <c r="AC294" s="2682"/>
      <c r="AD294" s="2682"/>
      <c r="AE294" s="2682"/>
      <c r="AF294" s="2682"/>
      <c r="AG294" s="2682"/>
      <c r="AH294" s="2682"/>
      <c r="AI294" s="3326"/>
      <c r="AJ294" s="2682"/>
      <c r="AK294" s="2682"/>
      <c r="AL294" s="2682"/>
      <c r="AM294" s="2682"/>
      <c r="AN294" s="2682"/>
      <c r="AO294" s="2682"/>
      <c r="AP294" s="2682"/>
    </row>
    <row r="295" ht="11.4" spans="3:42">
      <c r="C295" s="64"/>
      <c r="D295" s="64"/>
      <c r="E295" s="3384" t="s">
        <v>1860</v>
      </c>
      <c r="G295" s="64"/>
      <c r="H295" s="64"/>
      <c r="I295" s="64"/>
      <c r="J295" s="64"/>
      <c r="K295" s="2636"/>
      <c r="L295" s="64"/>
      <c r="M295" s="64"/>
      <c r="N295" s="64"/>
      <c r="O295" s="64"/>
      <c r="P295" s="64"/>
      <c r="Q295" s="64"/>
      <c r="R295" s="64"/>
      <c r="S295" s="3067"/>
      <c r="T295" s="64"/>
      <c r="U295" s="64"/>
      <c r="V295" s="64"/>
      <c r="W295" s="64"/>
      <c r="X295" s="64"/>
      <c r="Y295" s="64"/>
      <c r="Z295" s="64"/>
      <c r="AA295" s="2682"/>
      <c r="AB295" s="2682">
        <f>-'50'!P19</f>
        <v>-6328441.05</v>
      </c>
      <c r="AC295" s="2682"/>
      <c r="AD295" s="2682"/>
      <c r="AE295" s="2682"/>
      <c r="AF295" s="2682"/>
      <c r="AG295" s="2682"/>
      <c r="AH295" s="2682"/>
      <c r="AI295" s="3326"/>
      <c r="AJ295" s="2682">
        <f>-'50'!Q19</f>
        <v>-8249050</v>
      </c>
      <c r="AK295" s="2682"/>
      <c r="AL295" s="2682"/>
      <c r="AM295" s="2682"/>
      <c r="AN295" s="2682"/>
      <c r="AO295" s="2682"/>
      <c r="AP295" s="2682"/>
    </row>
    <row r="296" ht="11.4" hidden="1" spans="3:42">
      <c r="C296" s="64"/>
      <c r="D296" s="64"/>
      <c r="E296" s="3384" t="str">
        <f>[69]Catatan!$G$1895</f>
        <v>Beban entertainment</v>
      </c>
      <c r="F296" s="3384"/>
      <c r="G296" s="64"/>
      <c r="H296" s="64"/>
      <c r="I296" s="64"/>
      <c r="J296" s="64"/>
      <c r="K296" s="2636"/>
      <c r="L296" s="64"/>
      <c r="M296" s="64"/>
      <c r="N296" s="64"/>
      <c r="O296" s="64"/>
      <c r="P296" s="64"/>
      <c r="Q296" s="64"/>
      <c r="R296" s="64"/>
      <c r="S296" s="3067"/>
      <c r="T296" s="64"/>
      <c r="U296" s="64"/>
      <c r="V296" s="64"/>
      <c r="W296" s="64"/>
      <c r="X296" s="64"/>
      <c r="Y296" s="64"/>
      <c r="Z296" s="64"/>
      <c r="AA296" s="2682"/>
      <c r="AB296" s="2682">
        <v>0</v>
      </c>
      <c r="AC296" s="2682"/>
      <c r="AD296" s="2682"/>
      <c r="AE296" s="2682"/>
      <c r="AF296" s="2682"/>
      <c r="AG296" s="2682"/>
      <c r="AH296" s="2682"/>
      <c r="AI296" s="3326"/>
      <c r="AJ296" s="2682">
        <v>0</v>
      </c>
      <c r="AK296" s="2682"/>
      <c r="AL296" s="2682"/>
      <c r="AM296" s="2682"/>
      <c r="AN296" s="2682"/>
      <c r="AO296" s="2682"/>
      <c r="AP296" s="2682"/>
    </row>
    <row r="297" ht="11.4" hidden="1" spans="3:42">
      <c r="C297" s="64"/>
      <c r="D297" s="64"/>
      <c r="E297" s="3384" t="str">
        <f>[69]Catatan!$G$1896</f>
        <v>Beban pajak</v>
      </c>
      <c r="F297" s="3384"/>
      <c r="G297" s="64"/>
      <c r="H297" s="64"/>
      <c r="I297" s="64"/>
      <c r="J297" s="64"/>
      <c r="K297" s="2636"/>
      <c r="L297" s="64"/>
      <c r="M297" s="64"/>
      <c r="N297" s="64"/>
      <c r="O297" s="64"/>
      <c r="P297" s="64"/>
      <c r="Q297" s="64"/>
      <c r="R297" s="64"/>
      <c r="S297" s="3067"/>
      <c r="T297" s="64"/>
      <c r="U297" s="64"/>
      <c r="V297" s="64"/>
      <c r="W297" s="64"/>
      <c r="X297" s="64"/>
      <c r="Y297" s="64"/>
      <c r="Z297" s="64"/>
      <c r="AA297" s="2682"/>
      <c r="AB297" s="2682">
        <f>'40'!K34</f>
        <v>0</v>
      </c>
      <c r="AC297" s="2682"/>
      <c r="AD297" s="2682"/>
      <c r="AE297" s="2682"/>
      <c r="AF297" s="2682"/>
      <c r="AG297" s="2682"/>
      <c r="AH297" s="2682"/>
      <c r="AI297" s="3326"/>
      <c r="AJ297" s="2682">
        <f>'40'!S34</f>
        <v>0</v>
      </c>
      <c r="AK297" s="2682"/>
      <c r="AL297" s="2682"/>
      <c r="AM297" s="2682"/>
      <c r="AN297" s="2682"/>
      <c r="AO297" s="2682"/>
      <c r="AP297" s="2682"/>
    </row>
    <row r="298" ht="11.4" spans="3:42">
      <c r="C298" s="64"/>
      <c r="D298" s="64"/>
      <c r="E298" s="3384" t="s">
        <v>402</v>
      </c>
      <c r="F298" s="3384"/>
      <c r="G298" s="64"/>
      <c r="H298" s="64"/>
      <c r="I298" s="64"/>
      <c r="J298" s="64"/>
      <c r="K298" s="2636"/>
      <c r="L298" s="64"/>
      <c r="M298" s="64"/>
      <c r="N298" s="64"/>
      <c r="O298" s="64"/>
      <c r="P298" s="64"/>
      <c r="Q298" s="64"/>
      <c r="R298" s="64"/>
      <c r="S298" s="3067"/>
      <c r="T298" s="64"/>
      <c r="U298" s="64"/>
      <c r="V298" s="64"/>
      <c r="W298" s="64"/>
      <c r="X298" s="64"/>
      <c r="Y298" s="64"/>
      <c r="Z298" s="64"/>
      <c r="AA298" s="2682"/>
      <c r="AB298" s="2682">
        <f>'40'!Q35*1%</f>
        <v>5658736.452</v>
      </c>
      <c r="AC298" s="2682"/>
      <c r="AD298" s="2682"/>
      <c r="AE298" s="2682"/>
      <c r="AF298" s="2682"/>
      <c r="AG298" s="2682"/>
      <c r="AH298" s="2682"/>
      <c r="AI298" s="3326"/>
      <c r="AJ298" s="2682">
        <f>'40'!R35*1%</f>
        <v>3628000</v>
      </c>
      <c r="AK298" s="2682"/>
      <c r="AL298" s="2682"/>
      <c r="AM298" s="2682"/>
      <c r="AN298" s="2682"/>
      <c r="AO298" s="2682"/>
      <c r="AP298" s="2682"/>
    </row>
    <row r="299" ht="3" customHeight="1" spans="3:42">
      <c r="C299" s="64"/>
      <c r="D299" s="64"/>
      <c r="E299" s="3384"/>
      <c r="F299" s="3384"/>
      <c r="G299" s="64"/>
      <c r="H299" s="64"/>
      <c r="I299" s="64"/>
      <c r="J299" s="64"/>
      <c r="K299" s="2636"/>
      <c r="L299" s="64"/>
      <c r="M299" s="64"/>
      <c r="N299" s="64"/>
      <c r="O299" s="64"/>
      <c r="P299" s="64"/>
      <c r="Q299" s="64"/>
      <c r="R299" s="64"/>
      <c r="S299" s="3067"/>
      <c r="T299" s="64"/>
      <c r="U299" s="64"/>
      <c r="V299" s="64"/>
      <c r="W299" s="64"/>
      <c r="X299" s="64"/>
      <c r="Y299" s="64"/>
      <c r="Z299" s="64"/>
      <c r="AA299" s="2682"/>
      <c r="AB299" s="2402"/>
      <c r="AC299" s="2402"/>
      <c r="AD299" s="2402"/>
      <c r="AE299" s="2402"/>
      <c r="AF299" s="2402"/>
      <c r="AG299" s="2402"/>
      <c r="AH299" s="2402"/>
      <c r="AI299" s="3326"/>
      <c r="AJ299" s="2402"/>
      <c r="AK299" s="2402"/>
      <c r="AL299" s="2402"/>
      <c r="AM299" s="2402"/>
      <c r="AN299" s="2402"/>
      <c r="AO299" s="2402"/>
      <c r="AP299" s="2402"/>
    </row>
    <row r="300" ht="11.4" spans="3:42">
      <c r="C300" s="64"/>
      <c r="D300" s="64"/>
      <c r="E300" t="str">
        <f>[69]Catatan!$F$1909</f>
        <v>Penghasilan kena pajak</v>
      </c>
      <c r="F300"/>
      <c r="G300"/>
      <c r="H300"/>
      <c r="I300"/>
      <c r="J300"/>
      <c r="K300"/>
      <c r="L300"/>
      <c r="M300"/>
      <c r="N300"/>
      <c r="O300"/>
      <c r="P300"/>
      <c r="Q300"/>
      <c r="R300"/>
      <c r="S300"/>
      <c r="T300" s="3470"/>
      <c r="U300" s="3470"/>
      <c r="V300" s="3470"/>
      <c r="W300" s="3470"/>
      <c r="X300" s="3470"/>
      <c r="Y300" s="3470"/>
      <c r="Z300" s="3470"/>
      <c r="AA300" s="3315"/>
      <c r="AB300">
        <f>SUM(AB292:AH298)</f>
        <v>289013235.112</v>
      </c>
      <c r="AC300"/>
      <c r="AD300"/>
      <c r="AE300"/>
      <c r="AF300"/>
      <c r="AG300"/>
      <c r="AH300"/>
      <c r="AI300" s="3326"/>
      <c r="AJ300">
        <f>SUM(AJ292:AP299)</f>
        <v>1027521564.99999</v>
      </c>
      <c r="AK300"/>
      <c r="AL300"/>
      <c r="AM300"/>
      <c r="AN300"/>
      <c r="AO300"/>
      <c r="AP300"/>
    </row>
    <row r="301" ht="11.4" spans="3:42">
      <c r="C301" s="64"/>
      <c r="D301" s="64"/>
      <c r="E301"/>
      <c r="F301"/>
      <c r="G301"/>
      <c r="H301"/>
      <c r="I301"/>
      <c r="J301"/>
      <c r="K301"/>
      <c r="L301"/>
      <c r="M301"/>
      <c r="N301"/>
      <c r="O301"/>
      <c r="P301"/>
      <c r="Q301"/>
      <c r="R301"/>
      <c r="S301"/>
      <c r="T301" s="3470"/>
      <c r="U301" s="3470"/>
      <c r="V301" s="3470"/>
      <c r="W301" s="3470"/>
      <c r="X301" s="3470"/>
      <c r="Y301" s="3470"/>
      <c r="Z301" s="3470"/>
      <c r="AA301" s="3315"/>
      <c r="AB301"/>
      <c r="AC301"/>
      <c r="AD301"/>
      <c r="AE301"/>
      <c r="AF301"/>
      <c r="AG301"/>
      <c r="AH301"/>
      <c r="AI301" s="3326"/>
      <c r="AJ301"/>
      <c r="AK301"/>
      <c r="AL301"/>
      <c r="AM301"/>
      <c r="AN301"/>
      <c r="AO301"/>
      <c r="AP301"/>
    </row>
    <row r="302" ht="11.4" spans="3:42">
      <c r="C302" s="64"/>
      <c r="D302" s="64"/>
      <c r="E302"/>
      <c r="F302"/>
      <c r="G302"/>
      <c r="H302"/>
      <c r="I302"/>
      <c r="J302"/>
      <c r="K302"/>
      <c r="L302"/>
      <c r="M302"/>
      <c r="N302"/>
      <c r="O302"/>
      <c r="P302"/>
      <c r="Q302"/>
      <c r="R302"/>
      <c r="S302"/>
      <c r="T302" s="3470"/>
      <c r="U302" s="3470"/>
      <c r="V302" s="3470"/>
      <c r="W302" s="3470"/>
      <c r="X302" s="3470"/>
      <c r="Y302" s="3470"/>
      <c r="Z302" s="3470"/>
      <c r="AA302" s="3315"/>
      <c r="AB302"/>
      <c r="AC302"/>
      <c r="AD302"/>
      <c r="AE302"/>
      <c r="AF302"/>
      <c r="AG302"/>
      <c r="AH302"/>
      <c r="AI302" s="3326"/>
      <c r="AJ302"/>
      <c r="AK302"/>
      <c r="AL302"/>
      <c r="AM302"/>
      <c r="AN302"/>
      <c r="AO302"/>
      <c r="AP302"/>
    </row>
    <row r="303" ht="11.4" spans="3:42">
      <c r="C303" s="64"/>
      <c r="D303" s="64"/>
      <c r="E303"/>
      <c r="F303"/>
      <c r="G303"/>
      <c r="H303"/>
      <c r="I303"/>
      <c r="J303"/>
      <c r="K303"/>
      <c r="L303"/>
      <c r="M303"/>
      <c r="N303"/>
      <c r="O303"/>
      <c r="P303"/>
      <c r="Q303"/>
      <c r="R303"/>
      <c r="S303"/>
      <c r="T303" s="3470"/>
      <c r="U303" s="3470"/>
      <c r="V303" s="3470"/>
      <c r="W303" s="3470"/>
      <c r="X303" s="3470"/>
      <c r="Y303" s="3470"/>
      <c r="Z303" s="3470"/>
      <c r="AA303" s="3315"/>
      <c r="AB303"/>
      <c r="AC303"/>
      <c r="AD303"/>
      <c r="AE303"/>
      <c r="AF303"/>
      <c r="AG303"/>
      <c r="AH303"/>
      <c r="AI303" s="3326"/>
      <c r="AJ303"/>
      <c r="AK303"/>
      <c r="AL303"/>
      <c r="AM303"/>
      <c r="AN303"/>
      <c r="AO303"/>
      <c r="AP303"/>
    </row>
    <row r="304" ht="11.4" spans="1:42">
      <c r="A304" s="3385">
        <f>+A228+1</f>
        <v>12</v>
      </c>
      <c r="B304" s="3385"/>
      <c r="C304" s="3385"/>
      <c r="D304" s="3385"/>
      <c r="E304" s="3385"/>
      <c r="F304" s="3385"/>
      <c r="G304" s="3385"/>
      <c r="H304" s="3385"/>
      <c r="I304" s="3385"/>
      <c r="J304" s="3385"/>
      <c r="K304" s="3385"/>
      <c r="L304" s="3385"/>
      <c r="M304" s="3385"/>
      <c r="N304" s="3385"/>
      <c r="O304" s="3385"/>
      <c r="P304" s="3385"/>
      <c r="Q304" s="3385"/>
      <c r="R304" s="3385"/>
      <c r="S304" s="3385"/>
      <c r="T304" s="3385"/>
      <c r="U304" s="3385"/>
      <c r="V304" s="3385"/>
      <c r="W304" s="3385"/>
      <c r="X304" s="3385"/>
      <c r="Y304" s="3385"/>
      <c r="Z304" s="3385"/>
      <c r="AA304" s="3385"/>
      <c r="AB304" s="3385"/>
      <c r="AC304" s="3385"/>
      <c r="AD304" s="3385"/>
      <c r="AE304" s="3385"/>
      <c r="AF304" s="3385"/>
      <c r="AG304" s="3385"/>
      <c r="AH304" s="3385"/>
      <c r="AI304" s="3385"/>
      <c r="AJ304" s="3385"/>
      <c r="AK304" s="3385"/>
      <c r="AL304" s="3385"/>
      <c r="AM304" s="3385"/>
      <c r="AN304" s="3385"/>
      <c r="AO304" s="3385"/>
      <c r="AP304" s="3385"/>
    </row>
    <row r="305" spans="1:42">
      <c r="A305" s="3335">
        <f>+A274</f>
        <v>11</v>
      </c>
      <c r="B305" s="64"/>
      <c r="C305" s="3322" t="s">
        <v>1861</v>
      </c>
      <c r="I305" s="64"/>
      <c r="J305" s="64"/>
      <c r="K305" s="2636"/>
      <c r="L305" s="64"/>
      <c r="M305" s="64"/>
      <c r="N305" s="64"/>
      <c r="O305" s="64"/>
      <c r="P305" s="64"/>
      <c r="Q305" s="64"/>
      <c r="R305" s="64"/>
      <c r="S305" s="3067"/>
      <c r="T305" s="64"/>
      <c r="U305" s="64"/>
      <c r="V305" s="64"/>
      <c r="W305" s="64"/>
      <c r="X305" s="64"/>
      <c r="Y305" s="64"/>
      <c r="Z305" s="64"/>
      <c r="AA305" s="2682"/>
      <c r="AB305" s="2682"/>
      <c r="AC305" s="2682"/>
      <c r="AD305" s="2682"/>
      <c r="AE305" s="2682"/>
      <c r="AF305" s="2682"/>
      <c r="AG305" s="2682"/>
      <c r="AH305" s="2682"/>
      <c r="AI305" s="3326"/>
      <c r="AJ305" s="2682"/>
      <c r="AK305" s="2682"/>
      <c r="AL305" s="2682"/>
      <c r="AM305" s="2682"/>
      <c r="AN305" s="2682"/>
      <c r="AO305" s="2682"/>
      <c r="AP305" s="2682"/>
    </row>
    <row r="306" ht="9.95" customHeight="1" spans="3:42">
      <c r="C306" s="64"/>
      <c r="D306" s="64"/>
      <c r="E306" s="3384"/>
      <c r="F306" s="3384"/>
      <c r="G306" s="64"/>
      <c r="H306" s="64"/>
      <c r="I306" s="64"/>
      <c r="J306" s="64"/>
      <c r="K306" s="2636"/>
      <c r="L306" s="64"/>
      <c r="M306" s="64"/>
      <c r="N306" s="64"/>
      <c r="O306" s="64"/>
      <c r="P306" s="64"/>
      <c r="Q306" s="64"/>
      <c r="R306" s="64"/>
      <c r="S306" s="3067"/>
      <c r="T306" s="64"/>
      <c r="U306" s="64"/>
      <c r="V306" s="64"/>
      <c r="W306" s="64"/>
      <c r="X306" s="64"/>
      <c r="Y306" s="64"/>
      <c r="Z306" s="64"/>
      <c r="AA306" s="2682"/>
      <c r="AB306" s="2682"/>
      <c r="AC306" s="2682"/>
      <c r="AD306" s="2682"/>
      <c r="AE306" s="2682"/>
      <c r="AF306" s="2682"/>
      <c r="AG306" s="2682"/>
      <c r="AH306" s="2682"/>
      <c r="AI306" s="3326"/>
      <c r="AJ306" s="2682"/>
      <c r="AK306" s="2682"/>
      <c r="AL306" s="2682"/>
      <c r="AM306" s="2682"/>
      <c r="AN306" s="2682"/>
      <c r="AO306" s="2682"/>
      <c r="AP306" s="2682"/>
    </row>
    <row r="307" spans="3:42">
      <c r="C307" s="3322" t="s">
        <v>148</v>
      </c>
      <c r="D307" s="3322"/>
      <c r="E307" s="3322" t="s">
        <v>1862</v>
      </c>
      <c r="F307" s="3330"/>
      <c r="G307" s="64"/>
      <c r="H307" s="64"/>
      <c r="I307" s="64"/>
      <c r="J307" s="64"/>
      <c r="K307" s="2636"/>
      <c r="L307" s="64"/>
      <c r="M307" s="64"/>
      <c r="N307" s="64"/>
      <c r="O307" s="64"/>
      <c r="P307" s="64"/>
      <c r="Q307" s="64"/>
      <c r="R307" s="64"/>
      <c r="S307" s="3067"/>
      <c r="T307" s="64"/>
      <c r="U307" s="64"/>
      <c r="V307" s="64"/>
      <c r="W307" s="64"/>
      <c r="X307" s="64"/>
      <c r="Y307" s="64"/>
      <c r="Z307" s="64"/>
      <c r="AA307" s="2682"/>
      <c r="AB307" s="3359">
        <v>2021</v>
      </c>
      <c r="AC307" s="3360"/>
      <c r="AD307" s="3360"/>
      <c r="AE307" s="3360"/>
      <c r="AF307" s="3360"/>
      <c r="AG307" s="3360"/>
      <c r="AH307" s="3360"/>
      <c r="AI307" s="3368"/>
      <c r="AJ307" s="3359">
        <v>2020</v>
      </c>
      <c r="AK307" s="3360"/>
      <c r="AL307" s="3360"/>
      <c r="AM307" s="3360"/>
      <c r="AN307" s="3360"/>
      <c r="AO307" s="3360"/>
      <c r="AP307" s="3360"/>
    </row>
    <row r="308" ht="9.95" customHeight="1" spans="3:42">
      <c r="C308" s="64"/>
      <c r="D308" s="64"/>
      <c r="E308" s="3384"/>
      <c r="F308" s="3384"/>
      <c r="G308" s="64"/>
      <c r="H308" s="64"/>
      <c r="I308" s="64"/>
      <c r="J308" s="64"/>
      <c r="K308" s="2636"/>
      <c r="L308" s="64"/>
      <c r="M308" s="64"/>
      <c r="N308" s="64"/>
      <c r="O308" s="64"/>
      <c r="P308" s="64"/>
      <c r="Q308" s="64"/>
      <c r="R308" s="64"/>
      <c r="S308" s="3067"/>
      <c r="T308" s="64"/>
      <c r="U308" s="64"/>
      <c r="V308" s="64"/>
      <c r="W308" s="64"/>
      <c r="X308" s="64"/>
      <c r="Y308" s="64"/>
      <c r="Z308" s="64"/>
      <c r="AA308" s="2682"/>
      <c r="AB308" s="2682"/>
      <c r="AC308" s="2682"/>
      <c r="AD308" s="2682"/>
      <c r="AE308" s="2682"/>
      <c r="AF308" s="2682"/>
      <c r="AG308" s="2682"/>
      <c r="AH308" s="2682"/>
      <c r="AI308" s="3326"/>
      <c r="AJ308" s="2682"/>
      <c r="AK308" s="2682"/>
      <c r="AL308" s="2682"/>
      <c r="AM308" s="2682"/>
      <c r="AN308" s="2682"/>
      <c r="AO308" s="2682"/>
      <c r="AP308" s="2682"/>
    </row>
    <row r="309" ht="11.4" spans="3:42">
      <c r="C309" s="64"/>
      <c r="D309" s="64"/>
      <c r="E309" s="3384" t="s">
        <v>1863</v>
      </c>
      <c r="F309" s="3384"/>
      <c r="G309" s="64"/>
      <c r="H309" s="64"/>
      <c r="I309" s="64"/>
      <c r="J309" s="64"/>
      <c r="K309" s="2636"/>
      <c r="L309" s="64"/>
      <c r="M309" s="64"/>
      <c r="N309" s="64"/>
      <c r="O309" s="64"/>
      <c r="P309" s="64"/>
      <c r="Q309" s="64"/>
      <c r="R309" s="64"/>
      <c r="S309" s="3067"/>
      <c r="T309" s="64"/>
      <c r="U309" s="64"/>
      <c r="V309" s="64"/>
      <c r="W309" s="64"/>
      <c r="X309" s="64"/>
      <c r="Y309" s="64"/>
      <c r="Z309" s="64"/>
      <c r="AA309" s="2682"/>
      <c r="AB309" s="2682">
        <f>+AB300</f>
        <v>289013235.112</v>
      </c>
      <c r="AC309" s="2682"/>
      <c r="AD309" s="2682"/>
      <c r="AE309" s="2682"/>
      <c r="AF309" s="2682"/>
      <c r="AG309" s="2682"/>
      <c r="AH309" s="2682"/>
      <c r="AI309" s="3326"/>
      <c r="AJ309" s="2682">
        <f>+AJ300</f>
        <v>1027521564.99999</v>
      </c>
      <c r="AK309" s="2682"/>
      <c r="AL309" s="2682"/>
      <c r="AM309" s="2682"/>
      <c r="AN309" s="2682"/>
      <c r="AO309" s="2682"/>
      <c r="AP309" s="2682"/>
    </row>
    <row r="310" ht="6.6" customHeight="1" spans="3:42">
      <c r="C310" s="64"/>
      <c r="D310" s="64"/>
      <c r="E310" s="3384"/>
      <c r="F310" s="3384"/>
      <c r="G310" s="64"/>
      <c r="H310" s="64"/>
      <c r="I310" s="64"/>
      <c r="J310" s="64"/>
      <c r="K310" s="2636"/>
      <c r="L310" s="64"/>
      <c r="M310" s="64"/>
      <c r="N310" s="64"/>
      <c r="O310" s="64"/>
      <c r="P310" s="64"/>
      <c r="Q310" s="64"/>
      <c r="R310" s="64"/>
      <c r="S310" s="3067"/>
      <c r="T310" s="64"/>
      <c r="U310" s="64"/>
      <c r="V310" s="64"/>
      <c r="W310" s="64"/>
      <c r="X310" s="64"/>
      <c r="Y310" s="64"/>
      <c r="Z310" s="64"/>
      <c r="AA310" s="2682"/>
      <c r="AB310" s="2682"/>
      <c r="AC310" s="2682"/>
      <c r="AD310" s="2682"/>
      <c r="AE310" s="2682"/>
      <c r="AF310" s="2682"/>
      <c r="AG310" s="2682"/>
      <c r="AH310" s="2682"/>
      <c r="AI310" s="3326"/>
      <c r="AJ310" s="2682"/>
      <c r="AK310" s="2682"/>
      <c r="AL310" s="2682"/>
      <c r="AM310" s="2682"/>
      <c r="AN310" s="2682"/>
      <c r="AO310" s="2682"/>
      <c r="AP310" s="2682"/>
    </row>
    <row r="311" spans="5:41">
      <c r="E311" s="94" t="str">
        <f>[69]Catatan!$F$1911</f>
        <v>Perhitungan Pajak Penghasilan :</v>
      </c>
      <c r="F311"/>
      <c r="G311"/>
      <c r="H311"/>
      <c r="I311"/>
      <c r="J311"/>
      <c r="K311"/>
      <c r="L311"/>
      <c r="M311"/>
      <c r="N311"/>
      <c r="O311" s="64"/>
      <c r="P311" s="64"/>
      <c r="Q311" s="64"/>
      <c r="R311" s="64"/>
      <c r="S311" s="64"/>
      <c r="T311" s="64"/>
      <c r="U311" s="64"/>
      <c r="V311" s="64"/>
      <c r="W311" s="64"/>
      <c r="X311" s="64"/>
      <c r="Y311" s="64"/>
      <c r="Z311" s="64"/>
      <c r="AA311" s="64"/>
      <c r="AB311" s="2682"/>
      <c r="AC311" s="2682"/>
      <c r="AD311" s="2682"/>
      <c r="AE311" s="2682"/>
      <c r="AF311" s="2682"/>
      <c r="AG311" s="2682"/>
      <c r="AH311" s="2682"/>
      <c r="AI311" s="3326"/>
      <c r="AJ311" s="3326"/>
      <c r="AN311" s="3326"/>
      <c r="AO311" s="3326"/>
    </row>
    <row r="312" ht="11.4" spans="5:42">
      <c r="E312" s="3458" t="s">
        <v>1864</v>
      </c>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2402"/>
      <c r="AF312" s="2402"/>
      <c r="AG312" s="2402"/>
      <c r="AH312" s="2402"/>
      <c r="AI312" s="3334"/>
      <c r="AJ312" s="3334"/>
      <c r="AK312" s="3477"/>
      <c r="AL312" s="3334"/>
      <c r="AM312" s="3334"/>
      <c r="AN312" s="3334"/>
      <c r="AO312" s="3334"/>
      <c r="AP312" s="3334"/>
    </row>
    <row r="313" ht="11.4" spans="5:42">
      <c r="E313" s="64"/>
      <c r="F313" s="3459" t="s">
        <v>1815</v>
      </c>
      <c r="G313" s="3459"/>
      <c r="H313" s="3459"/>
      <c r="I313" s="3459"/>
      <c r="J313" s="3459"/>
      <c r="K313" s="3465" t="s">
        <v>210</v>
      </c>
      <c r="M313" s="3466">
        <v>4800000000</v>
      </c>
      <c r="N313" s="3466"/>
      <c r="O313" s="3466"/>
      <c r="P313" s="3466"/>
      <c r="Q313" s="3466"/>
      <c r="R313" s="3466"/>
      <c r="T313" s="3471" t="s">
        <v>171</v>
      </c>
      <c r="U313" s="3471" t="s">
        <v>210</v>
      </c>
      <c r="V313" s="3472">
        <f>AB300</f>
        <v>289013235.112</v>
      </c>
      <c r="W313" s="3472"/>
      <c r="X313" s="3472"/>
      <c r="Y313" s="3472"/>
      <c r="Z313" s="3472"/>
      <c r="AA313" s="3472"/>
      <c r="AB313" s="3472"/>
      <c r="AC313" s="3460">
        <f>+M313/M314*V313</f>
        <v>249889912.257391</v>
      </c>
      <c r="AD313" s="3460"/>
      <c r="AE313" s="3460"/>
      <c r="AF313" s="3460"/>
      <c r="AG313" s="3460"/>
      <c r="AH313" s="3460"/>
      <c r="AI313" s="3460"/>
      <c r="AJ313" s="3326"/>
      <c r="AK313">
        <v>0</v>
      </c>
      <c r="AL313"/>
      <c r="AM313"/>
      <c r="AN313"/>
      <c r="AO313"/>
      <c r="AP313"/>
    </row>
    <row r="314" ht="11.4" spans="5:42">
      <c r="E314" s="64"/>
      <c r="F314" s="3459"/>
      <c r="G314" s="3459"/>
      <c r="H314" s="3459"/>
      <c r="I314" s="3459"/>
      <c r="J314" s="3459"/>
      <c r="K314" s="3465"/>
      <c r="M314" s="3467">
        <f>+'F3'!L13</f>
        <v>5551498722</v>
      </c>
      <c r="N314" s="3467"/>
      <c r="O314" s="3467"/>
      <c r="P314" s="3467"/>
      <c r="Q314" s="3467"/>
      <c r="R314" s="3467"/>
      <c r="T314" s="3471"/>
      <c r="U314" s="3471"/>
      <c r="V314" s="3472"/>
      <c r="W314" s="3472"/>
      <c r="X314" s="3472"/>
      <c r="Y314" s="3472"/>
      <c r="Z314" s="3472"/>
      <c r="AA314" s="3472"/>
      <c r="AB314" s="3472"/>
      <c r="AC314" s="3460"/>
      <c r="AD314" s="3460"/>
      <c r="AE314" s="3460"/>
      <c r="AF314" s="3460"/>
      <c r="AG314" s="3460"/>
      <c r="AH314" s="3460"/>
      <c r="AI314" s="3460"/>
      <c r="AJ314" s="3326"/>
      <c r="AK314" s="3460"/>
      <c r="AL314" s="3460"/>
      <c r="AM314" s="3460"/>
      <c r="AN314" s="3460"/>
      <c r="AO314" s="3460"/>
      <c r="AP314" s="3460"/>
    </row>
    <row r="315" ht="7.5" customHeight="1" spans="5:41">
      <c r="E315" s="64"/>
      <c r="F315"/>
      <c r="N315" s="64"/>
      <c r="O315" s="64"/>
      <c r="P315" s="64"/>
      <c r="Q315" s="64"/>
      <c r="R315" s="64"/>
      <c r="S315" s="64"/>
      <c r="T315" s="64"/>
      <c r="U315" s="64"/>
      <c r="V315" s="64"/>
      <c r="W315" s="64"/>
      <c r="X315" s="64"/>
      <c r="Y315" s="64"/>
      <c r="Z315" s="64"/>
      <c r="AA315" s="64"/>
      <c r="AB315" s="64"/>
      <c r="AC315" s="64"/>
      <c r="AD315" s="64"/>
      <c r="AE315" s="64"/>
      <c r="AF315" s="64"/>
      <c r="AG315" s="64"/>
      <c r="AH315" s="64"/>
      <c r="AJ315" s="3326"/>
      <c r="AK315" s="3326"/>
      <c r="AL315" s="3330"/>
      <c r="AN315" s="3326"/>
      <c r="AO315" s="3326"/>
    </row>
    <row r="316" ht="11.4" spans="5:42">
      <c r="E316" s="64"/>
      <c r="F316" s="3459" t="s">
        <v>1821</v>
      </c>
      <c r="G316" s="3459"/>
      <c r="H316" s="3459"/>
      <c r="I316" s="3459"/>
      <c r="J316" s="3459"/>
      <c r="K316" s="3465" t="s">
        <v>210</v>
      </c>
      <c r="M316" s="3466">
        <v>4800000000</v>
      </c>
      <c r="N316" s="3466"/>
      <c r="O316" s="3466"/>
      <c r="P316" s="3466"/>
      <c r="Q316" s="3466"/>
      <c r="R316" s="3466"/>
      <c r="S316" s="64"/>
      <c r="T316" s="3471" t="s">
        <v>171</v>
      </c>
      <c r="U316" s="3471" t="s">
        <v>210</v>
      </c>
      <c r="V316" s="3472">
        <f>AJ300</f>
        <v>1027521564.99999</v>
      </c>
      <c r="W316" s="3472"/>
      <c r="X316" s="3472"/>
      <c r="Y316" s="3472"/>
      <c r="Z316" s="3472"/>
      <c r="AA316" s="3472"/>
      <c r="AB316" s="3472"/>
      <c r="AC316" s="3460">
        <v>0</v>
      </c>
      <c r="AD316" s="3460"/>
      <c r="AE316" s="3460"/>
      <c r="AF316" s="3460"/>
      <c r="AG316" s="3460"/>
      <c r="AH316" s="3460"/>
      <c r="AI316" s="3460"/>
      <c r="AJ316" s="3326"/>
      <c r="AK316" s="3460">
        <f>+M316/M317*V316</f>
        <v>394347229.131717</v>
      </c>
      <c r="AL316" s="3460"/>
      <c r="AM316" s="3460"/>
      <c r="AN316" s="3460"/>
      <c r="AO316" s="3460"/>
      <c r="AP316" s="3460"/>
    </row>
    <row r="317" ht="11.4" spans="5:42">
      <c r="E317" s="64"/>
      <c r="F317" s="3459"/>
      <c r="G317" s="3459"/>
      <c r="H317" s="3459"/>
      <c r="I317" s="3459"/>
      <c r="J317" s="3459"/>
      <c r="K317" s="3465"/>
      <c r="M317" s="3467">
        <f>+'F3'!R13</f>
        <v>12507006890.5</v>
      </c>
      <c r="N317" s="3467"/>
      <c r="O317" s="3467"/>
      <c r="P317" s="3467"/>
      <c r="Q317" s="3467"/>
      <c r="R317" s="3467"/>
      <c r="S317" s="64"/>
      <c r="T317" s="3471"/>
      <c r="U317" s="3471"/>
      <c r="V317" s="3472"/>
      <c r="W317" s="3472"/>
      <c r="X317" s="3472"/>
      <c r="Y317" s="3472"/>
      <c r="Z317" s="3472"/>
      <c r="AA317" s="3472"/>
      <c r="AB317" s="3472"/>
      <c r="AC317" s="3460"/>
      <c r="AD317" s="3460"/>
      <c r="AE317" s="3460"/>
      <c r="AF317" s="3460"/>
      <c r="AG317" s="3460"/>
      <c r="AH317" s="3460"/>
      <c r="AI317" s="3460"/>
      <c r="AJ317" s="3326"/>
      <c r="AK317" s="3460"/>
      <c r="AL317" s="3460"/>
      <c r="AM317" s="3460"/>
      <c r="AN317" s="3460"/>
      <c r="AO317" s="3460"/>
      <c r="AP317" s="3460"/>
    </row>
    <row r="318" ht="6.95" customHeight="1" spans="5:42">
      <c r="E318" s="64"/>
      <c r="F318" s="3459"/>
      <c r="G318" s="3459"/>
      <c r="H318" s="3459"/>
      <c r="I318" s="3459"/>
      <c r="J318" s="3459"/>
      <c r="K318" s="3465"/>
      <c r="M318" s="3468"/>
      <c r="N318" s="3468"/>
      <c r="O318" s="3468"/>
      <c r="P318" s="3468"/>
      <c r="Q318" s="3468"/>
      <c r="R318" s="3468"/>
      <c r="S318" s="64"/>
      <c r="T318" s="3471"/>
      <c r="U318" s="3471"/>
      <c r="V318" s="3472"/>
      <c r="W318" s="3472"/>
      <c r="X318" s="3472"/>
      <c r="Y318" s="3472"/>
      <c r="Z318" s="3472"/>
      <c r="AA318" s="3472"/>
      <c r="AB318" s="3472"/>
      <c r="AC318" s="3460"/>
      <c r="AD318" s="3460"/>
      <c r="AE318" s="3460"/>
      <c r="AF318" s="3460"/>
      <c r="AG318" s="3460"/>
      <c r="AH318" s="3460"/>
      <c r="AI318" s="3460"/>
      <c r="AJ318" s="3326"/>
      <c r="AK318" s="3460"/>
      <c r="AL318" s="3460"/>
      <c r="AM318" s="3460"/>
      <c r="AN318" s="3460"/>
      <c r="AO318" s="3460"/>
      <c r="AP318" s="3460"/>
    </row>
    <row r="319" customHeight="1" spans="1:42">
      <c r="A319"/>
      <c r="B319"/>
      <c r="C319"/>
      <c r="D319"/>
      <c r="E319" s="3458" t="s">
        <v>1865</v>
      </c>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2402"/>
      <c r="AF319" s="2402"/>
      <c r="AG319" s="2402"/>
      <c r="AH319" s="2402"/>
      <c r="AI319" s="3334"/>
      <c r="AJ319" s="3334"/>
      <c r="AK319" s="3477"/>
      <c r="AL319" s="3334"/>
      <c r="AM319" s="3334"/>
      <c r="AN319" s="3334"/>
      <c r="AO319" s="3334"/>
      <c r="AP319" s="3334"/>
    </row>
    <row r="320" customHeight="1" spans="1:42">
      <c r="A320"/>
      <c r="B320"/>
      <c r="C320"/>
      <c r="D320"/>
      <c r="E320" s="3459" t="str">
        <f>+F313</f>
        <v>Tahun 2021</v>
      </c>
      <c r="F320" s="3460"/>
      <c r="G320" s="3460"/>
      <c r="H320" s="3460"/>
      <c r="I320" s="3460"/>
      <c r="J320" s="3460"/>
      <c r="K320" s="3326" t="s">
        <v>210</v>
      </c>
      <c r="M320" s="3468">
        <f>V313</f>
        <v>289013235.112</v>
      </c>
      <c r="N320" s="3468"/>
      <c r="O320" s="3468"/>
      <c r="P320" s="3468"/>
      <c r="Q320" s="3468"/>
      <c r="R320" s="3468"/>
      <c r="T320" s="3471" t="s">
        <v>1866</v>
      </c>
      <c r="U320" s="3460">
        <f>AC313</f>
        <v>249889912.257391</v>
      </c>
      <c r="V320" s="3460"/>
      <c r="W320" s="3460"/>
      <c r="X320" s="3460"/>
      <c r="Y320" s="3460"/>
      <c r="Z320" s="3460"/>
      <c r="AA320" s="3474" t="s">
        <v>210</v>
      </c>
      <c r="AB320"/>
      <c r="AC320">
        <f>M320-U320</f>
        <v>39123322.8546087</v>
      </c>
      <c r="AD320"/>
      <c r="AE320"/>
      <c r="AF320"/>
      <c r="AG320"/>
      <c r="AH320"/>
      <c r="AI320"/>
      <c r="AJ320" s="3460">
        <v>0</v>
      </c>
      <c r="AK320" s="3460"/>
      <c r="AL320" s="3460"/>
      <c r="AM320" s="3460"/>
      <c r="AN320" s="3460"/>
      <c r="AO320" s="3460"/>
      <c r="AP320" s="3460"/>
    </row>
    <row r="321" ht="4.5" customHeight="1" spans="1:41">
      <c r="A321"/>
      <c r="B321"/>
      <c r="C321"/>
      <c r="D321"/>
      <c r="E321"/>
      <c r="M321" s="64"/>
      <c r="N321" s="64"/>
      <c r="O321" s="64"/>
      <c r="P321" s="64"/>
      <c r="Q321" s="64"/>
      <c r="R321" s="64"/>
      <c r="T321" s="64"/>
      <c r="U321" s="64"/>
      <c r="V321" s="64"/>
      <c r="W321" s="64"/>
      <c r="X321" s="64"/>
      <c r="Y321" s="64"/>
      <c r="Z321" s="64"/>
      <c r="AA321" s="64"/>
      <c r="AB321" s="64"/>
      <c r="AC321" s="64"/>
      <c r="AD321" s="64"/>
      <c r="AE321" s="64"/>
      <c r="AF321" s="64"/>
      <c r="AG321" s="64"/>
      <c r="AH321" s="64"/>
      <c r="AI321" s="3326"/>
      <c r="AJ321" s="3326"/>
      <c r="AN321" s="3326"/>
      <c r="AO321" s="3326"/>
    </row>
    <row r="322" customHeight="1" spans="1:42">
      <c r="A322"/>
      <c r="B322"/>
      <c r="C322"/>
      <c r="D322"/>
      <c r="E322" s="3459" t="str">
        <f>+F316</f>
        <v>Tahun 2020</v>
      </c>
      <c r="F322" s="3460"/>
      <c r="G322" s="3460"/>
      <c r="H322" s="3460"/>
      <c r="I322" s="3460"/>
      <c r="J322" s="3460"/>
      <c r="K322" s="3326" t="s">
        <v>210</v>
      </c>
      <c r="M322" s="3468">
        <f>V316</f>
        <v>1027521564.99999</v>
      </c>
      <c r="N322" s="3468"/>
      <c r="O322" s="3468"/>
      <c r="P322" s="3468"/>
      <c r="Q322" s="3468"/>
      <c r="R322" s="3468"/>
      <c r="T322" s="3471" t="s">
        <v>1866</v>
      </c>
      <c r="U322" s="3460">
        <f>AK316</f>
        <v>394347229.131717</v>
      </c>
      <c r="V322" s="3460"/>
      <c r="W322" s="3460"/>
      <c r="X322" s="3460"/>
      <c r="Y322" s="3460"/>
      <c r="Z322" s="3460"/>
      <c r="AA322" s="3474" t="s">
        <v>210</v>
      </c>
      <c r="AB322"/>
      <c r="AC322" s="3460">
        <v>0</v>
      </c>
      <c r="AD322" s="3460"/>
      <c r="AE322" s="3460"/>
      <c r="AF322" s="3460"/>
      <c r="AG322" s="3460"/>
      <c r="AH322" s="3460"/>
      <c r="AI322" s="3460"/>
      <c r="AJ322" s="3460">
        <f>M322-U322</f>
        <v>633174335.868277</v>
      </c>
      <c r="AK322" s="3460"/>
      <c r="AL322" s="3460"/>
      <c r="AM322" s="3460"/>
      <c r="AN322" s="3460"/>
      <c r="AO322" s="3460"/>
      <c r="AP322" s="3460"/>
    </row>
    <row r="323" ht="9" customHeight="1" spans="1:42">
      <c r="A323"/>
      <c r="B323"/>
      <c r="C323"/>
      <c r="D323"/>
      <c r="E323" s="3459"/>
      <c r="F323" s="3460"/>
      <c r="G323" s="3460"/>
      <c r="H323" s="3460"/>
      <c r="I323" s="3460"/>
      <c r="J323" s="3460"/>
      <c r="M323" s="3468"/>
      <c r="N323" s="3468"/>
      <c r="O323" s="3468"/>
      <c r="P323" s="3468"/>
      <c r="Q323" s="3468"/>
      <c r="R323" s="3468"/>
      <c r="T323" s="3471"/>
      <c r="U323" s="3460"/>
      <c r="V323" s="3460"/>
      <c r="W323" s="3460"/>
      <c r="X323" s="3460"/>
      <c r="Y323" s="3460"/>
      <c r="Z323" s="3460"/>
      <c r="AA323" s="3474"/>
      <c r="AB323"/>
      <c r="AC323" s="3460"/>
      <c r="AD323" s="3460"/>
      <c r="AE323" s="3460"/>
      <c r="AF323" s="3460"/>
      <c r="AG323" s="3460"/>
      <c r="AH323" s="3460"/>
      <c r="AI323" s="3460"/>
      <c r="AJ323" s="3460"/>
      <c r="AK323" s="3460"/>
      <c r="AL323" s="3460"/>
      <c r="AM323" s="3460"/>
      <c r="AN323" s="3460"/>
      <c r="AO323" s="3460"/>
      <c r="AP323" s="3460"/>
    </row>
    <row r="324" customHeight="1" spans="1:41">
      <c r="A324" s="64"/>
      <c r="B324" s="64"/>
      <c r="C324" s="64"/>
      <c r="D324"/>
      <c r="E324" s="3461" t="s">
        <v>1867</v>
      </c>
      <c r="F324" s="3462"/>
      <c r="G324" s="3462"/>
      <c r="H324" s="3"/>
      <c r="I324" s="1"/>
      <c r="J324" s="1"/>
      <c r="K324" s="1"/>
      <c r="L324" s="1"/>
      <c r="M324" s="1"/>
      <c r="N324" s="1"/>
      <c r="O324" s="1"/>
      <c r="P324" s="1"/>
      <c r="Q324" s="1"/>
      <c r="R324" s="1"/>
      <c r="S324" s="1"/>
      <c r="T324" s="3473"/>
      <c r="U324" s="1"/>
      <c r="V324" s="3473"/>
      <c r="W324" s="3473"/>
      <c r="X324" s="3473"/>
      <c r="Y324" s="3473"/>
      <c r="Z324" s="3473"/>
      <c r="AA324" s="3473"/>
      <c r="AB324" s="3473"/>
      <c r="AC324" s="3473"/>
      <c r="AD324" s="3473"/>
      <c r="AE324"/>
      <c r="AF324"/>
      <c r="AG324"/>
      <c r="AH324"/>
      <c r="AI324" s="3326"/>
      <c r="AJ324" s="3326"/>
      <c r="AN324" s="3326"/>
      <c r="AO324" s="3326"/>
    </row>
    <row r="325" customHeight="1" spans="1:42">
      <c r="A325" s="64"/>
      <c r="B325" s="64"/>
      <c r="C325" s="64"/>
      <c r="D325"/>
      <c r="E325" s="3459" t="s">
        <v>1815</v>
      </c>
      <c r="F325" s="3460"/>
      <c r="G325" s="3460"/>
      <c r="H325" s="3460"/>
      <c r="I325" s="3460"/>
      <c r="J325" s="3460"/>
      <c r="K325" s="3326" t="s">
        <v>210</v>
      </c>
      <c r="L325" s="3469">
        <v>0.22</v>
      </c>
      <c r="M325" s="2878"/>
      <c r="N325" s="2878"/>
      <c r="O325" s="2878" t="s">
        <v>171</v>
      </c>
      <c r="P325" s="3469">
        <v>0.5</v>
      </c>
      <c r="Q325" s="2878"/>
      <c r="R325" s="2878"/>
      <c r="S325" s="2878" t="s">
        <v>171</v>
      </c>
      <c r="U325" s="3459">
        <f>U320</f>
        <v>249889912.257391</v>
      </c>
      <c r="V325" s="3459"/>
      <c r="W325" s="3459"/>
      <c r="X325" s="3459"/>
      <c r="Y325" s="3459"/>
      <c r="Z325" s="3459"/>
      <c r="AA325" s="3459" t="s">
        <v>210</v>
      </c>
      <c r="AB325" s="3459">
        <f>+U325*P325*L325</f>
        <v>27487890.348313</v>
      </c>
      <c r="AC325" s="3459"/>
      <c r="AD325" s="3459"/>
      <c r="AE325" s="3459"/>
      <c r="AF325" s="3459"/>
      <c r="AG325" s="3459"/>
      <c r="AH325" s="3459"/>
      <c r="AI325" s="3326"/>
      <c r="AJ325" s="3460">
        <v>0</v>
      </c>
      <c r="AK325" s="3460"/>
      <c r="AL325" s="3460"/>
      <c r="AM325" s="3460"/>
      <c r="AN325" s="3460"/>
      <c r="AO325" s="3460"/>
      <c r="AP325" s="3460"/>
    </row>
    <row r="326" customHeight="1" spans="1:42">
      <c r="A326" s="64"/>
      <c r="B326" s="64"/>
      <c r="C326" s="64"/>
      <c r="D326"/>
      <c r="H326"/>
      <c r="I326"/>
      <c r="J326"/>
      <c r="K326" s="3326" t="s">
        <v>210</v>
      </c>
      <c r="L326" s="724">
        <v>0.22</v>
      </c>
      <c r="M326" s="724"/>
      <c r="N326" s="724"/>
      <c r="O326" s="1"/>
      <c r="P326" s="1"/>
      <c r="Q326" s="1"/>
      <c r="R326" s="1"/>
      <c r="S326" s="2878" t="s">
        <v>171</v>
      </c>
      <c r="U326">
        <f>AC320</f>
        <v>39123322.8546087</v>
      </c>
      <c r="V326"/>
      <c r="W326"/>
      <c r="X326"/>
      <c r="Y326"/>
      <c r="Z326"/>
      <c r="AA326" s="3473" t="s">
        <v>210</v>
      </c>
      <c r="AB326">
        <f>+U326*L326</f>
        <v>8607131.02801391</v>
      </c>
      <c r="AC326"/>
      <c r="AD326"/>
      <c r="AE326"/>
      <c r="AF326"/>
      <c r="AG326"/>
      <c r="AH326"/>
      <c r="AI326" s="3326"/>
      <c r="AJ326" s="3460">
        <v>0</v>
      </c>
      <c r="AK326" s="3460"/>
      <c r="AL326" s="3460"/>
      <c r="AM326" s="3460"/>
      <c r="AN326" s="3460"/>
      <c r="AO326" s="3460"/>
      <c r="AP326" s="3460"/>
    </row>
    <row r="327" customHeight="1" spans="1:42">
      <c r="A327" s="64"/>
      <c r="B327" s="64"/>
      <c r="C327" s="64"/>
      <c r="D327"/>
      <c r="F327" s="94" t="s">
        <v>1868</v>
      </c>
      <c r="G327"/>
      <c r="H327"/>
      <c r="I327"/>
      <c r="J327"/>
      <c r="L327" s="1540"/>
      <c r="M327" s="1540"/>
      <c r="N327" s="1540"/>
      <c r="O327" s="94"/>
      <c r="P327" s="94"/>
      <c r="Q327" s="94"/>
      <c r="R327" s="94"/>
      <c r="S327" s="94"/>
      <c r="T327" s="22"/>
      <c r="U327" s="3464"/>
      <c r="V327" s="94"/>
      <c r="W327" s="94"/>
      <c r="X327" s="94"/>
      <c r="Y327" s="94"/>
      <c r="Z327" s="94"/>
      <c r="AA327" s="94"/>
      <c r="AB327" s="3324">
        <f>SUM(AB325:AH326)</f>
        <v>36095021.3763269</v>
      </c>
      <c r="AC327" s="3324"/>
      <c r="AD327" s="3324"/>
      <c r="AE327" s="3324"/>
      <c r="AF327" s="3324"/>
      <c r="AG327" s="3324"/>
      <c r="AH327" s="3324"/>
      <c r="AI327" s="3326"/>
      <c r="AJ327" s="3460">
        <v>0</v>
      </c>
      <c r="AK327" s="3460"/>
      <c r="AL327" s="3460"/>
      <c r="AM327" s="3460"/>
      <c r="AN327" s="3460"/>
      <c r="AO327" s="3460"/>
      <c r="AP327" s="3460"/>
    </row>
    <row r="328" ht="9" customHeight="1" spans="1:41">
      <c r="A328" s="64"/>
      <c r="B328" s="64"/>
      <c r="C328" s="64"/>
      <c r="D328"/>
      <c r="F328"/>
      <c r="G328"/>
      <c r="H328"/>
      <c r="I328"/>
      <c r="J328"/>
      <c r="K328"/>
      <c r="L328" s="2542"/>
      <c r="M328" s="2542"/>
      <c r="N328" s="2542"/>
      <c r="O328"/>
      <c r="P328"/>
      <c r="Q328"/>
      <c r="R328"/>
      <c r="S328"/>
      <c r="T328" s="1"/>
      <c r="V328"/>
      <c r="W328"/>
      <c r="X328"/>
      <c r="Y328"/>
      <c r="Z328"/>
      <c r="AA328"/>
      <c r="AB328"/>
      <c r="AC328"/>
      <c r="AD328"/>
      <c r="AE328"/>
      <c r="AF328"/>
      <c r="AG328"/>
      <c r="AH328"/>
      <c r="AI328" s="3326"/>
      <c r="AJ328" s="3326"/>
      <c r="AN328" s="3326"/>
      <c r="AO328" s="3326"/>
    </row>
    <row r="329" customHeight="1" spans="1:42">
      <c r="A329" s="64"/>
      <c r="B329" s="64"/>
      <c r="C329" s="64"/>
      <c r="D329"/>
      <c r="E329" s="3459" t="s">
        <v>1821</v>
      </c>
      <c r="F329" s="3460"/>
      <c r="G329" s="3460"/>
      <c r="H329" s="3460"/>
      <c r="I329" s="3460"/>
      <c r="J329" s="3460"/>
      <c r="K329" s="3326" t="s">
        <v>210</v>
      </c>
      <c r="L329" s="3469">
        <v>0.25</v>
      </c>
      <c r="M329" s="2878"/>
      <c r="N329" s="2878"/>
      <c r="O329" s="2878" t="s">
        <v>171</v>
      </c>
      <c r="P329" s="3469">
        <v>0.5</v>
      </c>
      <c r="Q329" s="2878"/>
      <c r="R329" s="2878"/>
      <c r="S329" s="2878" t="s">
        <v>171</v>
      </c>
      <c r="U329" s="3459">
        <f>U322</f>
        <v>394347229.131717</v>
      </c>
      <c r="V329" s="3459"/>
      <c r="W329" s="3459"/>
      <c r="X329" s="3459"/>
      <c r="Y329" s="3459"/>
      <c r="Z329" s="3459"/>
      <c r="AA329" s="3459" t="s">
        <v>210</v>
      </c>
      <c r="AB329" s="3460">
        <v>0</v>
      </c>
      <c r="AC329" s="3460"/>
      <c r="AD329" s="3460"/>
      <c r="AE329" s="3460"/>
      <c r="AF329" s="3460"/>
      <c r="AG329" s="3460"/>
      <c r="AH329" s="3460"/>
      <c r="AI329" s="3326"/>
      <c r="AJ329" s="3459">
        <f>+U329*P329*L329</f>
        <v>49293403.6414647</v>
      </c>
      <c r="AK329" s="3459"/>
      <c r="AL329" s="3459"/>
      <c r="AM329" s="3459"/>
      <c r="AN329" s="3459"/>
      <c r="AO329" s="3459"/>
      <c r="AP329" s="3459"/>
    </row>
    <row r="330" customHeight="1" spans="1:42">
      <c r="A330" s="64"/>
      <c r="B330" s="64"/>
      <c r="C330" s="64"/>
      <c r="D330"/>
      <c r="H330"/>
      <c r="I330"/>
      <c r="J330"/>
      <c r="K330" s="3326" t="s">
        <v>210</v>
      </c>
      <c r="L330" s="724">
        <v>0.25</v>
      </c>
      <c r="M330" s="724"/>
      <c r="N330" s="724"/>
      <c r="O330" s="1"/>
      <c r="P330" s="1"/>
      <c r="Q330" s="1"/>
      <c r="R330" s="1"/>
      <c r="S330" s="2878" t="s">
        <v>171</v>
      </c>
      <c r="T330" s="93">
        <f>AJ322</f>
        <v>633174335.868277</v>
      </c>
      <c r="U330" s="93"/>
      <c r="V330" s="93"/>
      <c r="W330" s="93"/>
      <c r="X330" s="93"/>
      <c r="Y330" s="93"/>
      <c r="Z330" s="93"/>
      <c r="AA330" s="3473" t="s">
        <v>210</v>
      </c>
      <c r="AB330" s="3460">
        <v>0</v>
      </c>
      <c r="AC330" s="3460"/>
      <c r="AD330" s="3460"/>
      <c r="AE330" s="3460"/>
      <c r="AF330" s="3460"/>
      <c r="AG330" s="3460"/>
      <c r="AH330" s="3460"/>
      <c r="AI330" s="3326"/>
      <c r="AJ330">
        <f>+T330*L330</f>
        <v>158293583.967069</v>
      </c>
      <c r="AK330"/>
      <c r="AL330"/>
      <c r="AM330"/>
      <c r="AN330"/>
      <c r="AO330"/>
      <c r="AP330"/>
    </row>
    <row r="331" customHeight="1" spans="1:42">
      <c r="A331" s="64"/>
      <c r="B331" s="64"/>
      <c r="C331" s="64"/>
      <c r="D331"/>
      <c r="F331" s="94" t="s">
        <v>1869</v>
      </c>
      <c r="G331" s="94"/>
      <c r="H331" s="94"/>
      <c r="I331" s="94"/>
      <c r="J331" s="94"/>
      <c r="K331" s="94"/>
      <c r="L331" s="94"/>
      <c r="M331" s="94"/>
      <c r="N331" s="94"/>
      <c r="O331" s="94"/>
      <c r="P331" s="94"/>
      <c r="Q331" s="94"/>
      <c r="R331" s="94"/>
      <c r="S331" s="94"/>
      <c r="T331" s="22"/>
      <c r="U331" s="3464"/>
      <c r="V331" s="94"/>
      <c r="W331" s="94"/>
      <c r="X331" s="94"/>
      <c r="Y331" s="94"/>
      <c r="Z331" s="94"/>
      <c r="AA331" s="94"/>
      <c r="AB331" s="3475">
        <v>0</v>
      </c>
      <c r="AC331" s="3475"/>
      <c r="AD331" s="3475"/>
      <c r="AE331" s="3475"/>
      <c r="AF331" s="3475"/>
      <c r="AG331" s="3475"/>
      <c r="AH331" s="3475"/>
      <c r="AI331" s="3464"/>
      <c r="AJ331" s="3324">
        <f>SUM(AJ329:AP330)</f>
        <v>207586987.608534</v>
      </c>
      <c r="AK331" s="3324"/>
      <c r="AL331" s="3324"/>
      <c r="AM331" s="3324"/>
      <c r="AN331" s="3324"/>
      <c r="AO331" s="3324"/>
      <c r="AP331" s="3324"/>
    </row>
    <row r="332" customHeight="1" spans="1:42">
      <c r="A332" s="64"/>
      <c r="B332" s="64"/>
      <c r="C332" s="64"/>
      <c r="D332"/>
      <c r="F332"/>
      <c r="G332"/>
      <c r="H332"/>
      <c r="I332"/>
      <c r="J332"/>
      <c r="K332"/>
      <c r="L332"/>
      <c r="M332"/>
      <c r="N332"/>
      <c r="O332"/>
      <c r="P332"/>
      <c r="Q332"/>
      <c r="R332"/>
      <c r="S332"/>
      <c r="T332" s="1"/>
      <c r="V332"/>
      <c r="W332"/>
      <c r="X332"/>
      <c r="Y332"/>
      <c r="Z332"/>
      <c r="AA332"/>
      <c r="AI332" s="3326"/>
      <c r="AJ332"/>
      <c r="AK332"/>
      <c r="AL332"/>
      <c r="AM332"/>
      <c r="AN332"/>
      <c r="AO332"/>
      <c r="AP332"/>
    </row>
    <row r="333" customHeight="1" spans="1:42">
      <c r="A333" s="64"/>
      <c r="B333" s="64"/>
      <c r="C333" s="64"/>
      <c r="D333"/>
      <c r="E333" s="3464" t="s">
        <v>1870</v>
      </c>
      <c r="F333"/>
      <c r="G333"/>
      <c r="H333"/>
      <c r="I333"/>
      <c r="J333"/>
      <c r="K333"/>
      <c r="L333"/>
      <c r="M333"/>
      <c r="N333"/>
      <c r="O333"/>
      <c r="P333"/>
      <c r="Q333"/>
      <c r="R333"/>
      <c r="S333"/>
      <c r="T333" s="1"/>
      <c r="V333"/>
      <c r="W333"/>
      <c r="X333"/>
      <c r="Y333"/>
      <c r="Z333"/>
      <c r="AA333"/>
      <c r="AB333" s="3359">
        <f>+AB307</f>
        <v>2021</v>
      </c>
      <c r="AC333" s="3360"/>
      <c r="AD333" s="3360"/>
      <c r="AE333" s="3360"/>
      <c r="AF333" s="3360"/>
      <c r="AG333" s="3360"/>
      <c r="AH333" s="3360"/>
      <c r="AI333" s="3368"/>
      <c r="AJ333" s="3359">
        <f>+AJ307</f>
        <v>2020</v>
      </c>
      <c r="AK333" s="3360"/>
      <c r="AL333" s="3360"/>
      <c r="AM333" s="3360"/>
      <c r="AN333" s="3360"/>
      <c r="AO333" s="3360"/>
      <c r="AP333" s="3360"/>
    </row>
    <row r="334" customHeight="1" spans="1:42">
      <c r="A334" s="64"/>
      <c r="B334" s="64"/>
      <c r="C334" s="64"/>
      <c r="D334"/>
      <c r="F334"/>
      <c r="G334"/>
      <c r="H334"/>
      <c r="I334"/>
      <c r="J334"/>
      <c r="K334"/>
      <c r="L334"/>
      <c r="M334"/>
      <c r="N334"/>
      <c r="O334"/>
      <c r="P334"/>
      <c r="Q334"/>
      <c r="R334"/>
      <c r="S334"/>
      <c r="T334" s="1"/>
      <c r="V334"/>
      <c r="W334"/>
      <c r="X334"/>
      <c r="Y334"/>
      <c r="Z334"/>
      <c r="AA334"/>
      <c r="AI334" s="3326"/>
      <c r="AJ334"/>
      <c r="AK334"/>
      <c r="AL334"/>
      <c r="AM334"/>
      <c r="AN334"/>
      <c r="AO334"/>
      <c r="AP334"/>
    </row>
    <row r="335" customHeight="1" spans="1:42">
      <c r="A335" s="64"/>
      <c r="B335" s="64"/>
      <c r="C335" s="64"/>
      <c r="D335"/>
      <c r="E335" s="3326" t="s">
        <v>1871</v>
      </c>
      <c r="F335"/>
      <c r="G335"/>
      <c r="H335"/>
      <c r="I335"/>
      <c r="J335"/>
      <c r="K335"/>
      <c r="L335"/>
      <c r="M335"/>
      <c r="N335"/>
      <c r="O335"/>
      <c r="P335"/>
      <c r="Q335"/>
      <c r="R335"/>
      <c r="S335"/>
      <c r="T335" s="1"/>
      <c r="V335"/>
      <c r="W335"/>
      <c r="X335"/>
      <c r="Y335"/>
      <c r="Z335"/>
      <c r="AA335"/>
      <c r="AB335" s="3460">
        <f>+AB327</f>
        <v>36095021.3763269</v>
      </c>
      <c r="AC335" s="3460"/>
      <c r="AD335" s="3460"/>
      <c r="AE335" s="3460"/>
      <c r="AF335" s="3460"/>
      <c r="AG335" s="3460"/>
      <c r="AH335" s="3460"/>
      <c r="AI335" s="3326"/>
      <c r="AJ335" s="3460">
        <f>+AJ331</f>
        <v>207586987.608534</v>
      </c>
      <c r="AK335" s="3460"/>
      <c r="AL335" s="3460"/>
      <c r="AM335" s="3460"/>
      <c r="AN335" s="3460"/>
      <c r="AO335" s="3460"/>
      <c r="AP335" s="3460"/>
    </row>
    <row r="336" customHeight="1" spans="1:41">
      <c r="A336" s="64"/>
      <c r="B336" s="64"/>
      <c r="C336" s="64"/>
      <c r="D336"/>
      <c r="E336" s="3326" t="s">
        <v>1872</v>
      </c>
      <c r="F336"/>
      <c r="G336"/>
      <c r="H336"/>
      <c r="I336"/>
      <c r="J336"/>
      <c r="K336"/>
      <c r="L336"/>
      <c r="M336"/>
      <c r="N336"/>
      <c r="O336"/>
      <c r="P336"/>
      <c r="Q336"/>
      <c r="R336"/>
      <c r="S336"/>
      <c r="T336" s="1"/>
      <c r="V336"/>
      <c r="W336"/>
      <c r="X336"/>
      <c r="Y336"/>
      <c r="Z336"/>
      <c r="AA336"/>
      <c r="AI336" s="3326"/>
      <c r="AJ336" s="3326"/>
      <c r="AK336" s="3326"/>
      <c r="AN336" s="3326"/>
      <c r="AO336" s="3326"/>
    </row>
    <row r="337" customHeight="1" spans="1:42">
      <c r="A337" s="64"/>
      <c r="B337" s="64"/>
      <c r="C337" s="64"/>
      <c r="D337"/>
      <c r="E337" s="5089" t="s">
        <v>1866</v>
      </c>
      <c r="F337" t="s">
        <v>1853</v>
      </c>
      <c r="G337"/>
      <c r="H337"/>
      <c r="I337"/>
      <c r="J337"/>
      <c r="K337"/>
      <c r="L337"/>
      <c r="M337"/>
      <c r="N337"/>
      <c r="O337"/>
      <c r="P337"/>
      <c r="Q337"/>
      <c r="R337"/>
      <c r="S337"/>
      <c r="T337" s="1"/>
      <c r="V337"/>
      <c r="W337"/>
      <c r="X337"/>
      <c r="Y337"/>
      <c r="Z337"/>
      <c r="AA337"/>
      <c r="AB337" s="3460">
        <f>+'Perhit Fiskal'!K83</f>
        <v>33663124</v>
      </c>
      <c r="AC337" s="3460"/>
      <c r="AD337" s="3460"/>
      <c r="AE337" s="3460"/>
      <c r="AF337" s="3460"/>
      <c r="AG337" s="3460"/>
      <c r="AH337" s="3460"/>
      <c r="AI337" s="3326"/>
      <c r="AJ337" s="3460">
        <f>+'Perhit Fiskal'!P83</f>
        <v>73972731</v>
      </c>
      <c r="AK337" s="3460"/>
      <c r="AL337" s="3460"/>
      <c r="AM337" s="3460"/>
      <c r="AN337" s="3460"/>
      <c r="AO337" s="3460"/>
      <c r="AP337" s="3460"/>
    </row>
    <row r="338" ht="8.1" customHeight="1" spans="1:42">
      <c r="A338" s="64"/>
      <c r="B338" s="64"/>
      <c r="C338" s="64"/>
      <c r="D338"/>
      <c r="E338" s="3463"/>
      <c r="F338"/>
      <c r="G338"/>
      <c r="H338"/>
      <c r="I338"/>
      <c r="J338"/>
      <c r="K338"/>
      <c r="L338"/>
      <c r="M338"/>
      <c r="N338"/>
      <c r="O338"/>
      <c r="P338"/>
      <c r="Q338"/>
      <c r="R338"/>
      <c r="S338"/>
      <c r="T338" s="1"/>
      <c r="V338"/>
      <c r="W338"/>
      <c r="X338"/>
      <c r="Y338"/>
      <c r="Z338"/>
      <c r="AA338"/>
      <c r="AB338" s="3460"/>
      <c r="AC338" s="3460"/>
      <c r="AD338" s="3460"/>
      <c r="AE338" s="3460"/>
      <c r="AF338" s="3460"/>
      <c r="AG338" s="3460"/>
      <c r="AH338" s="3460"/>
      <c r="AI338" s="3326"/>
      <c r="AJ338" s="3460"/>
      <c r="AK338" s="3460"/>
      <c r="AL338" s="3460"/>
      <c r="AM338" s="3460"/>
      <c r="AN338" s="3460"/>
      <c r="AO338" s="3460"/>
      <c r="AP338" s="3460"/>
    </row>
    <row r="339" customHeight="1" spans="1:42">
      <c r="A339" s="64"/>
      <c r="B339" s="64"/>
      <c r="C339" s="64"/>
      <c r="D339"/>
      <c r="E339" s="3464" t="s">
        <v>1870</v>
      </c>
      <c r="F339"/>
      <c r="G339"/>
      <c r="H339"/>
      <c r="I339"/>
      <c r="J339"/>
      <c r="K339"/>
      <c r="L339"/>
      <c r="M339"/>
      <c r="N339"/>
      <c r="O339"/>
      <c r="P339"/>
      <c r="Q339"/>
      <c r="R339"/>
      <c r="S339"/>
      <c r="T339" s="1"/>
      <c r="V339"/>
      <c r="W339"/>
      <c r="X339"/>
      <c r="Y339"/>
      <c r="Z339"/>
      <c r="AA339"/>
      <c r="AB339" s="3476">
        <f>+AB335-AB337</f>
        <v>2431897.37632693</v>
      </c>
      <c r="AC339" s="3476"/>
      <c r="AD339" s="3476"/>
      <c r="AE339" s="3476"/>
      <c r="AF339" s="3476"/>
      <c r="AG339" s="3476"/>
      <c r="AH339" s="3476"/>
      <c r="AI339" s="3464"/>
      <c r="AJ339" s="3476">
        <f>+AJ335-AJ337</f>
        <v>133614256.608534</v>
      </c>
      <c r="AK339" s="3476"/>
      <c r="AL339" s="3476"/>
      <c r="AM339" s="3476"/>
      <c r="AN339" s="3476"/>
      <c r="AO339" s="3476"/>
      <c r="AP339" s="3476"/>
    </row>
    <row r="340" customHeight="1" spans="1:42">
      <c r="A340" s="64"/>
      <c r="B340" s="64"/>
      <c r="C340" s="64"/>
      <c r="D340"/>
      <c r="F340"/>
      <c r="G340"/>
      <c r="H340"/>
      <c r="I340"/>
      <c r="J340"/>
      <c r="K340"/>
      <c r="L340"/>
      <c r="M340"/>
      <c r="N340"/>
      <c r="O340"/>
      <c r="P340"/>
      <c r="Q340"/>
      <c r="R340"/>
      <c r="S340"/>
      <c r="T340" s="1"/>
      <c r="V340"/>
      <c r="W340"/>
      <c r="X340"/>
      <c r="Y340"/>
      <c r="Z340"/>
      <c r="AA340"/>
      <c r="AI340" s="3326"/>
      <c r="AJ340"/>
      <c r="AK340"/>
      <c r="AL340"/>
      <c r="AM340"/>
      <c r="AN340"/>
      <c r="AO340"/>
      <c r="AP340"/>
    </row>
    <row r="341" customHeight="1" spans="1:42">
      <c r="A341" s="64"/>
      <c r="B341" s="64"/>
      <c r="C341" s="2104" t="s">
        <v>1873</v>
      </c>
      <c r="D341" s="2104"/>
      <c r="E341" s="2104"/>
      <c r="F341" s="2104"/>
      <c r="G341" s="2104"/>
      <c r="H341" s="2104"/>
      <c r="I341" s="2104"/>
      <c r="J341" s="2104"/>
      <c r="K341" s="2104"/>
      <c r="L341" s="2104"/>
      <c r="M341" s="2104"/>
      <c r="N341" s="2104"/>
      <c r="O341" s="2104"/>
      <c r="P341" s="2104"/>
      <c r="Q341" s="2104"/>
      <c r="R341" s="2104"/>
      <c r="S341" s="2104"/>
      <c r="T341" s="2104"/>
      <c r="U341" s="2104"/>
      <c r="V341" s="2104"/>
      <c r="W341" s="2104"/>
      <c r="X341" s="2104"/>
      <c r="Y341" s="2104"/>
      <c r="Z341" s="2104"/>
      <c r="AA341" s="2104"/>
      <c r="AB341" s="2104"/>
      <c r="AC341" s="2104"/>
      <c r="AD341" s="2104"/>
      <c r="AE341" s="2104"/>
      <c r="AF341" s="2104"/>
      <c r="AG341" s="2104"/>
      <c r="AH341" s="2104"/>
      <c r="AI341" s="2104"/>
      <c r="AJ341" s="2104"/>
      <c r="AK341" s="2104"/>
      <c r="AL341" s="2104"/>
      <c r="AM341" s="2104"/>
      <c r="AN341" s="2104"/>
      <c r="AO341" s="2104"/>
      <c r="AP341" s="2104"/>
    </row>
    <row r="342" customHeight="1" spans="3:42">
      <c r="C342" s="2104"/>
      <c r="D342" s="2104"/>
      <c r="E342" s="2104"/>
      <c r="F342" s="2104"/>
      <c r="G342" s="2104"/>
      <c r="H342" s="2104"/>
      <c r="I342" s="2104"/>
      <c r="J342" s="2104"/>
      <c r="K342" s="2104"/>
      <c r="L342" s="2104"/>
      <c r="M342" s="2104"/>
      <c r="N342" s="2104"/>
      <c r="O342" s="2104"/>
      <c r="P342" s="2104"/>
      <c r="Q342" s="2104"/>
      <c r="R342" s="2104"/>
      <c r="S342" s="2104"/>
      <c r="T342" s="2104"/>
      <c r="U342" s="2104"/>
      <c r="V342" s="2104"/>
      <c r="W342" s="2104"/>
      <c r="X342" s="2104"/>
      <c r="Y342" s="2104"/>
      <c r="Z342" s="2104"/>
      <c r="AA342" s="2104"/>
      <c r="AB342" s="2104"/>
      <c r="AC342" s="2104"/>
      <c r="AD342" s="2104"/>
      <c r="AE342" s="2104"/>
      <c r="AF342" s="2104"/>
      <c r="AG342" s="2104"/>
      <c r="AH342" s="2104"/>
      <c r="AI342" s="2104"/>
      <c r="AJ342" s="2104"/>
      <c r="AK342" s="2104"/>
      <c r="AL342" s="2104"/>
      <c r="AM342" s="2104"/>
      <c r="AN342" s="2104"/>
      <c r="AO342" s="2104"/>
      <c r="AP342" s="2104"/>
    </row>
    <row r="343" s="3330" customFormat="1" hidden="1" customHeight="1" spans="1:44">
      <c r="A343" s="3335">
        <f>A274+1</f>
        <v>12</v>
      </c>
      <c r="B343" s="3315"/>
      <c r="C343" s="3322" t="str">
        <f>[69]Catatan!$D$1960</f>
        <v>BEBAN AKRUAL</v>
      </c>
      <c r="D343" s="3315"/>
      <c r="E343" s="3315"/>
      <c r="F343" s="3315"/>
      <c r="G343" s="3315"/>
      <c r="H343" s="3315"/>
      <c r="I343" s="3315"/>
      <c r="J343" s="3315"/>
      <c r="K343" s="3315"/>
      <c r="L343" s="3315"/>
      <c r="M343" s="3315"/>
      <c r="N343" s="3315"/>
      <c r="O343" s="3315"/>
      <c r="P343" s="3315"/>
      <c r="Q343" s="3315"/>
      <c r="R343" s="3315"/>
      <c r="S343" s="3315"/>
      <c r="T343" s="3315"/>
      <c r="U343" s="3315"/>
      <c r="V343" s="3315"/>
      <c r="W343" s="3315"/>
      <c r="X343" s="3315"/>
      <c r="Y343" s="3315"/>
      <c r="Z343" s="3315"/>
      <c r="AA343" s="3315"/>
      <c r="AB343" s="3354" t="e">
        <f>+#REF!</f>
        <v>#REF!</v>
      </c>
      <c r="AC343" s="3355"/>
      <c r="AD343" s="3355"/>
      <c r="AE343" s="3355"/>
      <c r="AF343" s="3355"/>
      <c r="AG343" s="3355"/>
      <c r="AH343" s="3355"/>
      <c r="AI343" s="64"/>
      <c r="AJ343" s="3354" t="e">
        <f>+#REF!</f>
        <v>#REF!</v>
      </c>
      <c r="AK343" s="3355"/>
      <c r="AL343" s="3355"/>
      <c r="AM343" s="3355"/>
      <c r="AN343" s="3355"/>
      <c r="AO343" s="3355"/>
      <c r="AP343" s="3355"/>
      <c r="AQ343" s="3478"/>
      <c r="AR343" s="3479"/>
    </row>
    <row r="344" s="3330" customFormat="1" ht="9.2" hidden="1" customHeight="1" spans="1:44">
      <c r="A344" s="3335"/>
      <c r="B344" s="3315"/>
      <c r="C344" s="3322"/>
      <c r="D344" s="3315"/>
      <c r="E344" s="3315"/>
      <c r="F344" s="3315"/>
      <c r="G344" s="3315"/>
      <c r="H344" s="3315"/>
      <c r="I344" s="3315"/>
      <c r="J344" s="3315"/>
      <c r="K344" s="3315"/>
      <c r="L344" s="3315"/>
      <c r="M344" s="3315"/>
      <c r="N344" s="3315"/>
      <c r="O344" s="3315"/>
      <c r="P344" s="3315"/>
      <c r="Q344" s="3315"/>
      <c r="R344" s="3315"/>
      <c r="S344" s="3315"/>
      <c r="T344" s="3315"/>
      <c r="U344" s="3315"/>
      <c r="V344" s="3315"/>
      <c r="W344" s="3315"/>
      <c r="X344" s="3315"/>
      <c r="Y344" s="3315"/>
      <c r="Z344" s="3315"/>
      <c r="AA344" s="3315"/>
      <c r="AB344" s="64"/>
      <c r="AC344" s="64"/>
      <c r="AD344" s="64"/>
      <c r="AE344" s="64"/>
      <c r="AF344" s="64"/>
      <c r="AG344" s="64"/>
      <c r="AH344" s="64"/>
      <c r="AI344" s="3326"/>
      <c r="AJ344" s="64"/>
      <c r="AK344" s="64"/>
      <c r="AL344" s="64"/>
      <c r="AM344" s="64"/>
      <c r="AN344" s="64"/>
      <c r="AO344" s="64"/>
      <c r="AP344" s="64"/>
      <c r="AQ344" s="3478">
        <f>'F2'!Q19</f>
        <v>0</v>
      </c>
      <c r="AR344" s="3479"/>
    </row>
    <row r="345" s="3330" customFormat="1" hidden="1" customHeight="1" spans="1:44">
      <c r="A345" s="3340"/>
      <c r="B345" s="3315"/>
      <c r="C345" s="5044" t="str">
        <f>[69]Catatan!$D$1962</f>
        <v>Beban akrual terdiri atas :</v>
      </c>
      <c r="D345"/>
      <c r="E345"/>
      <c r="F345"/>
      <c r="G345"/>
      <c r="H345"/>
      <c r="I345"/>
      <c r="J345"/>
      <c r="K345"/>
      <c r="L345"/>
      <c r="M345"/>
      <c r="N345"/>
      <c r="O345"/>
      <c r="P345"/>
      <c r="Q345"/>
      <c r="R345"/>
      <c r="S345"/>
      <c r="T345"/>
      <c r="U345"/>
      <c r="V345"/>
      <c r="W345"/>
      <c r="X345"/>
      <c r="Y345"/>
      <c r="Z345"/>
      <c r="AA345"/>
      <c r="AB345" s="64"/>
      <c r="AC345" s="64"/>
      <c r="AD345" s="64"/>
      <c r="AE345" s="64"/>
      <c r="AF345" s="64"/>
      <c r="AG345" s="64"/>
      <c r="AH345" s="64"/>
      <c r="AI345" s="3326"/>
      <c r="AJ345" s="64"/>
      <c r="AK345" s="64"/>
      <c r="AL345" s="64"/>
      <c r="AM345" s="64"/>
      <c r="AN345" s="64"/>
      <c r="AO345" s="64"/>
      <c r="AP345" s="64"/>
      <c r="AQ345" s="3478"/>
      <c r="AR345" s="3479"/>
    </row>
    <row r="346" s="3330" customFormat="1" hidden="1" customHeight="1" spans="1:44">
      <c r="A346" s="3340"/>
      <c r="B346" s="3315"/>
      <c r="C346" s="3330" t="s">
        <v>1874</v>
      </c>
      <c r="D346"/>
      <c r="E346"/>
      <c r="F346"/>
      <c r="G346"/>
      <c r="H346"/>
      <c r="I346"/>
      <c r="J346"/>
      <c r="K346"/>
      <c r="L346"/>
      <c r="M346"/>
      <c r="N346"/>
      <c r="O346"/>
      <c r="P346"/>
      <c r="Q346"/>
      <c r="R346"/>
      <c r="S346"/>
      <c r="T346"/>
      <c r="U346"/>
      <c r="V346"/>
      <c r="W346"/>
      <c r="X346"/>
      <c r="Y346"/>
      <c r="Z346"/>
      <c r="AA346"/>
      <c r="AB346" s="2682">
        <f>CC!K12</f>
        <v>0</v>
      </c>
      <c r="AC346" s="2682"/>
      <c r="AD346" s="2682"/>
      <c r="AE346" s="2682"/>
      <c r="AF346" s="2682"/>
      <c r="AG346" s="2682"/>
      <c r="AH346" s="2682"/>
      <c r="AI346" s="3326"/>
      <c r="AJ346" s="2682">
        <v>0</v>
      </c>
      <c r="AK346" s="2682"/>
      <c r="AL346" s="2682"/>
      <c r="AM346" s="2682"/>
      <c r="AN346" s="2682"/>
      <c r="AO346" s="2682"/>
      <c r="AP346" s="2682"/>
      <c r="AQ346" s="3478"/>
      <c r="AR346" s="3479"/>
    </row>
    <row r="347" s="3330" customFormat="1" hidden="1" customHeight="1" spans="1:44">
      <c r="A347" s="3340"/>
      <c r="B347" s="3315"/>
      <c r="C347" s="3330" t="s">
        <v>1875</v>
      </c>
      <c r="E347"/>
      <c r="F347"/>
      <c r="G347"/>
      <c r="H347"/>
      <c r="I347"/>
      <c r="J347"/>
      <c r="K347"/>
      <c r="L347"/>
      <c r="M347"/>
      <c r="N347"/>
      <c r="O347"/>
      <c r="P347"/>
      <c r="Q347"/>
      <c r="R347"/>
      <c r="S347"/>
      <c r="T347"/>
      <c r="U347"/>
      <c r="V347"/>
      <c r="W347"/>
      <c r="X347"/>
      <c r="Y347"/>
      <c r="Z347"/>
      <c r="AA347"/>
      <c r="AB347" s="2682">
        <f>CC!K16+CC!K14</f>
        <v>0</v>
      </c>
      <c r="AC347" s="2682"/>
      <c r="AD347" s="2682"/>
      <c r="AE347" s="2682"/>
      <c r="AF347" s="2682"/>
      <c r="AG347" s="2682"/>
      <c r="AH347" s="2682"/>
      <c r="AI347" s="3326"/>
      <c r="AJ347" s="2682">
        <v>0</v>
      </c>
      <c r="AK347" s="2682"/>
      <c r="AL347" s="2682"/>
      <c r="AM347" s="2682"/>
      <c r="AN347" s="2682"/>
      <c r="AO347" s="2682"/>
      <c r="AP347" s="2682"/>
      <c r="AQ347" s="3478"/>
      <c r="AR347" s="3479"/>
    </row>
    <row r="348" s="3330" customFormat="1" hidden="1" customHeight="1" spans="1:44">
      <c r="A348" s="3340"/>
      <c r="B348" s="3315"/>
      <c r="C348" s="5044" t="s">
        <v>1876</v>
      </c>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2682">
        <f>CC!K15+CC!K13+CC!K17+CC!K18+CC!K19</f>
        <v>0</v>
      </c>
      <c r="AC348" s="2682"/>
      <c r="AD348" s="2682"/>
      <c r="AE348" s="2682"/>
      <c r="AF348" s="2682"/>
      <c r="AG348" s="2682"/>
      <c r="AH348" s="2682"/>
      <c r="AI348" s="3326"/>
      <c r="AJ348" s="2682">
        <v>0</v>
      </c>
      <c r="AK348" s="2682"/>
      <c r="AL348" s="2682"/>
      <c r="AM348" s="2682"/>
      <c r="AN348" s="2682"/>
      <c r="AO348" s="2682"/>
      <c r="AP348" s="2682"/>
      <c r="AQ348" s="3478"/>
      <c r="AR348" s="3479"/>
    </row>
    <row r="349" s="3330" customFormat="1" ht="4.7" hidden="1" customHeight="1" spans="1:44">
      <c r="A349" s="3340"/>
      <c r="B349" s="64"/>
      <c r="C349"/>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2402"/>
      <c r="AC349" s="2402"/>
      <c r="AD349" s="2402"/>
      <c r="AE349" s="2402"/>
      <c r="AF349" s="2402"/>
      <c r="AG349" s="2402"/>
      <c r="AH349" s="2402"/>
      <c r="AI349" s="3326"/>
      <c r="AJ349" s="2402"/>
      <c r="AK349" s="2402"/>
      <c r="AL349" s="2402"/>
      <c r="AM349" s="2402"/>
      <c r="AN349" s="2402"/>
      <c r="AO349" s="2402"/>
      <c r="AP349" s="2402"/>
      <c r="AQ349" s="3478"/>
      <c r="AR349" s="3479"/>
    </row>
    <row r="350" s="3330" customFormat="1" hidden="1" customHeight="1" spans="1:44">
      <c r="A350" s="3340"/>
      <c r="B350" s="64"/>
      <c r="C350" t="s">
        <v>1877</v>
      </c>
      <c r="D350" s="94"/>
      <c r="E350" s="94"/>
      <c r="F350" s="94"/>
      <c r="G350" s="94"/>
      <c r="H350" s="94"/>
      <c r="I350" s="94"/>
      <c r="J350" s="94"/>
      <c r="K350" s="94"/>
      <c r="L350" s="94"/>
      <c r="M350" s="94"/>
      <c r="N350" s="94"/>
      <c r="O350" s="94"/>
      <c r="P350" s="94"/>
      <c r="Q350" s="94"/>
      <c r="R350" s="94"/>
      <c r="S350" s="94"/>
      <c r="T350" s="94"/>
      <c r="U350" s="94"/>
      <c r="V350" s="94"/>
      <c r="W350" s="94"/>
      <c r="X350" s="94"/>
      <c r="Y350" s="94"/>
      <c r="Z350" s="94"/>
      <c r="AA350" s="94"/>
      <c r="AB350" s="3423">
        <f>SUM(AB346:AH349)</f>
        <v>0</v>
      </c>
      <c r="AC350" s="3423"/>
      <c r="AD350" s="3423"/>
      <c r="AE350" s="3423"/>
      <c r="AF350" s="3423"/>
      <c r="AG350" s="3423"/>
      <c r="AH350" s="3423"/>
      <c r="AI350" s="3464"/>
      <c r="AJ350" s="3423">
        <f>SUM(AJ346:AP349)</f>
        <v>0</v>
      </c>
      <c r="AK350" s="3423"/>
      <c r="AL350" s="3423"/>
      <c r="AM350" s="3423"/>
      <c r="AN350" s="3423"/>
      <c r="AO350" s="3423"/>
      <c r="AP350" s="3423"/>
      <c r="AQ350" s="3478">
        <f>[88]Sheet1!$J$112-AB350</f>
        <v>3117742498.22</v>
      </c>
      <c r="AR350" s="3479"/>
    </row>
    <row r="351" s="3330" customFormat="1" ht="13.5" customHeight="1" spans="1:44">
      <c r="A351" s="3340"/>
      <c r="B351" s="64"/>
      <c r="C351"/>
      <c r="D351" s="94"/>
      <c r="E351" s="94"/>
      <c r="F351" s="94"/>
      <c r="G351" s="94"/>
      <c r="H351" s="94"/>
      <c r="I351" s="94"/>
      <c r="J351" s="94"/>
      <c r="K351" s="94"/>
      <c r="L351" s="94"/>
      <c r="M351" s="94"/>
      <c r="N351" s="94"/>
      <c r="O351" s="94"/>
      <c r="P351" s="94"/>
      <c r="Q351" s="94"/>
      <c r="R351" s="94"/>
      <c r="S351" s="94"/>
      <c r="T351" s="94"/>
      <c r="U351" s="94"/>
      <c r="V351" s="94"/>
      <c r="W351" s="94"/>
      <c r="X351" s="94"/>
      <c r="Y351" s="94"/>
      <c r="Z351" s="94"/>
      <c r="AA351" s="94"/>
      <c r="AB351" s="3457"/>
      <c r="AC351" s="3457"/>
      <c r="AD351" s="3457"/>
      <c r="AE351" s="3457"/>
      <c r="AF351" s="3457"/>
      <c r="AG351" s="3457"/>
      <c r="AH351" s="3457"/>
      <c r="AI351" s="3464"/>
      <c r="AJ351" s="3457"/>
      <c r="AK351" s="3457"/>
      <c r="AL351" s="3457"/>
      <c r="AM351" s="3457"/>
      <c r="AN351" s="3457"/>
      <c r="AO351" s="3457"/>
      <c r="AP351" s="3457"/>
      <c r="AQ351" s="3478"/>
      <c r="AR351" s="3479"/>
    </row>
    <row r="352" s="3330" customFormat="1" customHeight="1" spans="1:44">
      <c r="A352" s="3335">
        <f>+A305+1</f>
        <v>12</v>
      </c>
      <c r="B352" s="3315"/>
      <c r="C352" s="3322" t="s">
        <v>1878</v>
      </c>
      <c r="D352" s="3315"/>
      <c r="E352" s="3315"/>
      <c r="F352" s="3315"/>
      <c r="G352" s="3315"/>
      <c r="H352" s="3315"/>
      <c r="I352" s="3315"/>
      <c r="J352" s="3315"/>
      <c r="K352" s="3315"/>
      <c r="L352" s="3315"/>
      <c r="M352" s="3315"/>
      <c r="N352" s="3315"/>
      <c r="O352" s="3315"/>
      <c r="P352" s="3315"/>
      <c r="Q352" s="3315"/>
      <c r="R352" s="3315"/>
      <c r="S352" s="3315"/>
      <c r="T352" s="3315"/>
      <c r="U352" s="3315"/>
      <c r="V352" s="3315"/>
      <c r="W352" s="3315"/>
      <c r="X352" s="3315"/>
      <c r="Y352" s="3315"/>
      <c r="Z352" s="3315"/>
      <c r="AA352" s="3315"/>
      <c r="AB352" s="3359">
        <v>2021</v>
      </c>
      <c r="AC352" s="3360"/>
      <c r="AD352" s="3360"/>
      <c r="AE352" s="3360"/>
      <c r="AF352" s="3360"/>
      <c r="AG352" s="3360"/>
      <c r="AH352" s="3360"/>
      <c r="AI352" s="3368"/>
      <c r="AJ352" s="3359">
        <v>2020</v>
      </c>
      <c r="AK352" s="3360"/>
      <c r="AL352" s="3360"/>
      <c r="AM352" s="3360"/>
      <c r="AN352" s="3360"/>
      <c r="AO352" s="3360"/>
      <c r="AP352" s="3360"/>
      <c r="AR352" s="3479"/>
    </row>
    <row r="353" s="3330" customFormat="1" ht="7.5" customHeight="1" spans="1:44">
      <c r="A353" s="3335"/>
      <c r="B353" s="3315"/>
      <c r="C353" s="3322"/>
      <c r="D353" s="3315"/>
      <c r="E353" s="3315"/>
      <c r="F353" s="3315"/>
      <c r="G353" s="3315"/>
      <c r="H353" s="3315"/>
      <c r="I353" s="3315"/>
      <c r="J353" s="3315"/>
      <c r="K353" s="3315"/>
      <c r="L353" s="3315"/>
      <c r="M353" s="3315"/>
      <c r="N353" s="3315"/>
      <c r="O353" s="3315"/>
      <c r="P353" s="3315"/>
      <c r="Q353" s="3315"/>
      <c r="R353" s="3315"/>
      <c r="S353" s="3315"/>
      <c r="T353" s="3315"/>
      <c r="U353" s="3315"/>
      <c r="V353" s="3315"/>
      <c r="W353" s="3315"/>
      <c r="X353" s="3315"/>
      <c r="Y353" s="3315"/>
      <c r="Z353" s="3315"/>
      <c r="AA353" s="3315"/>
      <c r="AB353" s="64"/>
      <c r="AC353" s="64"/>
      <c r="AD353" s="64"/>
      <c r="AE353" s="64"/>
      <c r="AF353" s="64"/>
      <c r="AG353" s="64"/>
      <c r="AH353" s="64"/>
      <c r="AI353" s="3326"/>
      <c r="AJ353" s="64"/>
      <c r="AK353" s="64"/>
      <c r="AL353" s="64"/>
      <c r="AM353" s="64"/>
      <c r="AN353" s="64"/>
      <c r="AO353" s="64"/>
      <c r="AP353" s="64"/>
      <c r="AR353" s="3479"/>
    </row>
    <row r="354" s="3330" customFormat="1" customHeight="1" spans="1:44">
      <c r="A354" s="3340"/>
      <c r="B354" s="3315"/>
      <c r="C354" s="5090" t="s">
        <v>1879</v>
      </c>
      <c r="D354" s="2919"/>
      <c r="E354" s="164"/>
      <c r="F354" s="164"/>
      <c r="G354" s="164"/>
      <c r="H354" s="164"/>
      <c r="I354" s="164"/>
      <c r="J354" s="164"/>
      <c r="K354" s="164"/>
      <c r="L354"/>
      <c r="M354"/>
      <c r="N354"/>
      <c r="O354"/>
      <c r="P354"/>
      <c r="Q354"/>
      <c r="R354"/>
      <c r="S354"/>
      <c r="T354"/>
      <c r="U354"/>
      <c r="V354"/>
      <c r="W354"/>
      <c r="X354"/>
      <c r="Y354"/>
      <c r="Z354"/>
      <c r="AA354"/>
      <c r="AB354" s="64"/>
      <c r="AC354" s="64"/>
      <c r="AD354" s="64"/>
      <c r="AE354" s="64"/>
      <c r="AF354" s="64"/>
      <c r="AG354" s="64"/>
      <c r="AH354" s="64"/>
      <c r="AI354" s="3326"/>
      <c r="AJ354" s="64"/>
      <c r="AK354" s="64"/>
      <c r="AL354" s="64"/>
      <c r="AM354" s="64"/>
      <c r="AN354" s="64"/>
      <c r="AO354" s="64"/>
      <c r="AP354" s="64"/>
      <c r="AR354" s="3479"/>
    </row>
    <row r="355" s="3330" customFormat="1" customHeight="1" spans="1:44">
      <c r="A355" s="3340"/>
      <c r="B355" s="3315"/>
      <c r="C355" s="5044" t="s">
        <v>1880</v>
      </c>
      <c r="D355"/>
      <c r="E355"/>
      <c r="F355"/>
      <c r="G355"/>
      <c r="H355"/>
      <c r="I355"/>
      <c r="J355"/>
      <c r="K355"/>
      <c r="L355"/>
      <c r="M355"/>
      <c r="N355"/>
      <c r="O355"/>
      <c r="P355"/>
      <c r="Q355"/>
      <c r="R355"/>
      <c r="S355"/>
      <c r="T355"/>
      <c r="U355"/>
      <c r="V355"/>
      <c r="W355"/>
      <c r="X355"/>
      <c r="Y355"/>
      <c r="Z355"/>
      <c r="AA355"/>
      <c r="AB355" s="2682">
        <f>+AA!P15</f>
        <v>4758064607</v>
      </c>
      <c r="AC355" s="2682"/>
      <c r="AD355" s="2682"/>
      <c r="AE355" s="2682"/>
      <c r="AF355" s="2682"/>
      <c r="AG355" s="2682"/>
      <c r="AH355" s="2682"/>
      <c r="AI355" s="3326"/>
      <c r="AJ355" s="2682">
        <f>+AA!Q15</f>
        <v>5770583864</v>
      </c>
      <c r="AK355" s="2682"/>
      <c r="AL355" s="2682"/>
      <c r="AM355" s="2682"/>
      <c r="AN355" s="2682"/>
      <c r="AO355" s="2682"/>
      <c r="AP355" s="2682"/>
      <c r="AR355" s="3479"/>
    </row>
    <row r="356" s="3330" customFormat="1" customHeight="1" spans="1:44">
      <c r="A356" s="3340"/>
      <c r="B356" s="3315"/>
      <c r="C356" s="5044" t="s">
        <v>1881</v>
      </c>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2682">
        <f>+AA!P16</f>
        <v>1300606168.16</v>
      </c>
      <c r="AC356" s="2682"/>
      <c r="AD356" s="2682"/>
      <c r="AE356" s="2682"/>
      <c r="AF356" s="2682"/>
      <c r="AG356" s="2682"/>
      <c r="AH356" s="2682"/>
      <c r="AI356" s="3326"/>
      <c r="AJ356" s="2682">
        <f>+AA!Q16</f>
        <v>1300606168.16</v>
      </c>
      <c r="AK356" s="2682"/>
      <c r="AL356" s="2682"/>
      <c r="AM356" s="2682"/>
      <c r="AN356" s="2682"/>
      <c r="AO356" s="2682"/>
      <c r="AP356" s="2682"/>
      <c r="AR356" s="3479"/>
    </row>
    <row r="357" s="3330" customFormat="1" customHeight="1" spans="1:44">
      <c r="A357" s="3340"/>
      <c r="B357" s="3315"/>
      <c r="C357" s="5044" t="s">
        <v>1882</v>
      </c>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2682">
        <f>+AA!P17</f>
        <v>5000000000</v>
      </c>
      <c r="AC357" s="2682"/>
      <c r="AD357" s="2682"/>
      <c r="AE357" s="2682"/>
      <c r="AF357" s="2682"/>
      <c r="AG357" s="2682"/>
      <c r="AH357" s="2682"/>
      <c r="AI357" s="3326"/>
      <c r="AJ357" s="2682">
        <f>+AA!Q17</f>
        <v>5000000000</v>
      </c>
      <c r="AK357" s="2682"/>
      <c r="AL357" s="2682"/>
      <c r="AM357" s="2682"/>
      <c r="AN357" s="2682"/>
      <c r="AO357" s="2682"/>
      <c r="AP357" s="2682"/>
      <c r="AR357" s="3479"/>
    </row>
    <row r="358" s="3330" customFormat="1" ht="4.5" customHeight="1" spans="1:44">
      <c r="A358" s="3340"/>
      <c r="B358" s="3315"/>
      <c r="C358" s="3322"/>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R358" s="3479"/>
    </row>
    <row r="359" s="3330" customFormat="1" customHeight="1" spans="1:44">
      <c r="A359" s="3340"/>
      <c r="B359" s="3315"/>
      <c r="C359" t="s">
        <v>1883</v>
      </c>
      <c r="D359" s="94"/>
      <c r="E359" s="94"/>
      <c r="F359" s="94"/>
      <c r="G359" s="94"/>
      <c r="H359" s="94"/>
      <c r="I359" s="94"/>
      <c r="J359" s="94"/>
      <c r="K359" s="94"/>
      <c r="L359" s="94"/>
      <c r="M359" s="94"/>
      <c r="N359" s="94"/>
      <c r="O359" s="94"/>
      <c r="P359" s="94"/>
      <c r="Q359" s="94"/>
      <c r="R359" s="94"/>
      <c r="S359" s="94"/>
      <c r="T359" s="94"/>
      <c r="U359" s="94"/>
      <c r="V359" s="94"/>
      <c r="W359" s="94"/>
      <c r="X359" s="94"/>
      <c r="Y359" s="94"/>
      <c r="Z359" s="94"/>
      <c r="AA359" s="94"/>
      <c r="AB359" s="3436">
        <f>SUM(AB355:AH358)</f>
        <v>11058670775.16</v>
      </c>
      <c r="AC359" s="3436"/>
      <c r="AD359" s="3436"/>
      <c r="AE359" s="3436"/>
      <c r="AF359" s="3436"/>
      <c r="AG359" s="3436"/>
      <c r="AH359" s="3436"/>
      <c r="AI359" s="3464"/>
      <c r="AJ359" s="3436">
        <f>SUM(AJ355:AP358)</f>
        <v>12071190032.16</v>
      </c>
      <c r="AK359" s="3436"/>
      <c r="AL359" s="3436"/>
      <c r="AM359" s="3436"/>
      <c r="AN359" s="3436"/>
      <c r="AO359" s="3436"/>
      <c r="AP359" s="3436"/>
      <c r="AR359" s="3479"/>
    </row>
    <row r="360" s="3330" customFormat="1" ht="6.6" customHeight="1" spans="1:49">
      <c r="A360" s="3340"/>
      <c r="B360" s="3315"/>
      <c r="C360"/>
      <c r="D360"/>
      <c r="E360"/>
      <c r="F360"/>
      <c r="G360"/>
      <c r="H360"/>
      <c r="I360"/>
      <c r="J360"/>
      <c r="K360"/>
      <c r="L360"/>
      <c r="M360"/>
      <c r="N360"/>
      <c r="O360"/>
      <c r="P360"/>
      <c r="Q360"/>
      <c r="R360"/>
      <c r="S360"/>
      <c r="T360"/>
      <c r="U360"/>
      <c r="V360"/>
      <c r="W360"/>
      <c r="X360"/>
      <c r="Y360"/>
      <c r="Z360"/>
      <c r="AA360"/>
      <c r="AI360"/>
      <c r="AR360"/>
      <c r="AS360"/>
      <c r="AT360"/>
      <c r="AU360"/>
      <c r="AV360"/>
      <c r="AW360"/>
    </row>
    <row r="361" s="3330" customFormat="1" customHeight="1" spans="1:49">
      <c r="A361" s="3340"/>
      <c r="B361" s="3315"/>
      <c r="C361" s="5090" t="s">
        <v>1884</v>
      </c>
      <c r="D361" s="2919"/>
      <c r="E361" s="2919"/>
      <c r="F361" s="2919"/>
      <c r="G361" s="2919"/>
      <c r="H361" s="2919"/>
      <c r="I361" s="2919"/>
      <c r="J361" s="2919"/>
      <c r="K361" s="2919"/>
      <c r="L361" s="94"/>
      <c r="M361" s="94"/>
      <c r="N361" s="94"/>
      <c r="O361" s="94"/>
      <c r="P361" s="94"/>
      <c r="Q361" s="94"/>
      <c r="R361" s="94"/>
      <c r="S361" s="94"/>
      <c r="T361"/>
      <c r="U361"/>
      <c r="V361"/>
      <c r="W361"/>
      <c r="X361"/>
      <c r="Y361"/>
      <c r="Z361"/>
      <c r="AA361"/>
      <c r="AB361" s="64"/>
      <c r="AC361" s="64"/>
      <c r="AD361" s="64"/>
      <c r="AE361" s="64"/>
      <c r="AF361" s="64"/>
      <c r="AG361" s="64"/>
      <c r="AH361" s="64"/>
      <c r="AI361" s="3326"/>
      <c r="AJ361" s="64"/>
      <c r="AK361" s="64"/>
      <c r="AL361" s="64"/>
      <c r="AM361" s="64"/>
      <c r="AN361" s="64"/>
      <c r="AO361" s="64"/>
      <c r="AP361" s="64"/>
      <c r="AR361"/>
      <c r="AS361"/>
      <c r="AT361"/>
      <c r="AU361"/>
      <c r="AV361"/>
      <c r="AW361"/>
    </row>
    <row r="362" s="3330" customFormat="1" customHeight="1" spans="1:44">
      <c r="A362" s="3340"/>
      <c r="B362" s="3315"/>
      <c r="C362" s="5044" t="s">
        <v>1880</v>
      </c>
      <c r="D362"/>
      <c r="E362"/>
      <c r="F362"/>
      <c r="G362"/>
      <c r="H362"/>
      <c r="I362"/>
      <c r="J362"/>
      <c r="K362"/>
      <c r="L362"/>
      <c r="M362"/>
      <c r="N362"/>
      <c r="O362"/>
      <c r="P362"/>
      <c r="Q362"/>
      <c r="R362"/>
      <c r="S362"/>
      <c r="T362"/>
      <c r="U362"/>
      <c r="V362"/>
      <c r="W362"/>
      <c r="X362"/>
      <c r="Y362"/>
      <c r="Z362"/>
      <c r="AA362"/>
      <c r="AB362" s="2682">
        <f>+AA!P22</f>
        <v>3823907983</v>
      </c>
      <c r="AC362" s="2682"/>
      <c r="AD362" s="2682"/>
      <c r="AE362" s="2682"/>
      <c r="AF362" s="2682"/>
      <c r="AG362" s="2682"/>
      <c r="AH362" s="2682"/>
      <c r="AI362" s="3326"/>
      <c r="AJ362" s="2682">
        <f>+AA!Q22</f>
        <v>5171104034</v>
      </c>
      <c r="AK362" s="2682"/>
      <c r="AL362" s="2682"/>
      <c r="AM362" s="2682"/>
      <c r="AN362" s="2682"/>
      <c r="AO362" s="2682"/>
      <c r="AP362" s="2682"/>
      <c r="AR362" s="3479"/>
    </row>
    <row r="363" s="3330" customFormat="1" customHeight="1" spans="1:44">
      <c r="A363" s="3340"/>
      <c r="B363" s="3315"/>
      <c r="C363" s="5044" t="s">
        <v>1881</v>
      </c>
      <c r="D363"/>
      <c r="E363"/>
      <c r="F363"/>
      <c r="G363"/>
      <c r="H363"/>
      <c r="I363"/>
      <c r="J363"/>
      <c r="K363"/>
      <c r="L363"/>
      <c r="M363"/>
      <c r="N363"/>
      <c r="O363"/>
      <c r="P363"/>
      <c r="Q363"/>
      <c r="R363"/>
      <c r="S363"/>
      <c r="T363"/>
      <c r="U363"/>
      <c r="V363"/>
      <c r="W363"/>
      <c r="X363"/>
      <c r="Y363"/>
      <c r="Z363"/>
      <c r="AA363"/>
      <c r="AB363" s="2682">
        <f>+AA!P23</f>
        <v>4873933167.04</v>
      </c>
      <c r="AC363" s="2682"/>
      <c r="AD363" s="2682"/>
      <c r="AE363" s="2682"/>
      <c r="AF363" s="2682"/>
      <c r="AG363" s="2682"/>
      <c r="AH363" s="2682"/>
      <c r="AI363" s="3326"/>
      <c r="AJ363" s="2682">
        <f>+AA!Q23</f>
        <v>4989384474.84</v>
      </c>
      <c r="AK363" s="2682"/>
      <c r="AL363" s="2682"/>
      <c r="AM363" s="2682"/>
      <c r="AN363" s="2682"/>
      <c r="AO363" s="2682"/>
      <c r="AP363" s="2682"/>
      <c r="AR363" s="3479"/>
    </row>
    <row r="364" s="3330" customFormat="1" hidden="1" customHeight="1" spans="1:44">
      <c r="A364" s="3340"/>
      <c r="B364" s="3315"/>
      <c r="C364" s="5044" t="s">
        <v>1885</v>
      </c>
      <c r="D364"/>
      <c r="E364"/>
      <c r="F364"/>
      <c r="G364"/>
      <c r="H364"/>
      <c r="I364"/>
      <c r="J364"/>
      <c r="K364"/>
      <c r="L364"/>
      <c r="M364"/>
      <c r="N364"/>
      <c r="O364"/>
      <c r="P364"/>
      <c r="Q364"/>
      <c r="R364"/>
      <c r="S364"/>
      <c r="T364"/>
      <c r="U364"/>
      <c r="V364"/>
      <c r="W364"/>
      <c r="X364"/>
      <c r="Y364"/>
      <c r="Z364"/>
      <c r="AA364"/>
      <c r="AB364" s="2682">
        <f>+AA!P24</f>
        <v>0</v>
      </c>
      <c r="AC364" s="2682"/>
      <c r="AD364" s="2682"/>
      <c r="AE364" s="2682"/>
      <c r="AF364" s="2682"/>
      <c r="AG364" s="2682"/>
      <c r="AH364" s="2682"/>
      <c r="AI364" s="3326"/>
      <c r="AJ364" s="2682">
        <f>+AA!Q24</f>
        <v>0</v>
      </c>
      <c r="AK364" s="2682"/>
      <c r="AL364" s="2682"/>
      <c r="AM364" s="2682"/>
      <c r="AN364" s="2682"/>
      <c r="AO364" s="2682"/>
      <c r="AP364" s="2682"/>
      <c r="AR364" s="3479"/>
    </row>
    <row r="365" s="3330" customFormat="1" ht="3.6" customHeight="1" spans="1:44">
      <c r="A365" s="3340"/>
      <c r="B365" s="3315"/>
      <c r="C365"/>
      <c r="D365"/>
      <c r="E365"/>
      <c r="F365"/>
      <c r="G365"/>
      <c r="H365"/>
      <c r="I365"/>
      <c r="J365"/>
      <c r="K365"/>
      <c r="L365"/>
      <c r="M365"/>
      <c r="N365"/>
      <c r="O365"/>
      <c r="P365"/>
      <c r="Q365"/>
      <c r="R365"/>
      <c r="S365"/>
      <c r="T365"/>
      <c r="U365"/>
      <c r="V365"/>
      <c r="W365"/>
      <c r="X365"/>
      <c r="Y365"/>
      <c r="Z365"/>
      <c r="AA365"/>
      <c r="AB365" s="2682"/>
      <c r="AC365" s="2682"/>
      <c r="AD365" s="2682"/>
      <c r="AE365" s="2682"/>
      <c r="AF365" s="2682"/>
      <c r="AG365" s="2682"/>
      <c r="AH365" s="2682"/>
      <c r="AI365" s="3326"/>
      <c r="AJ365" s="2682"/>
      <c r="AK365" s="2682"/>
      <c r="AL365" s="2682"/>
      <c r="AM365" s="2682"/>
      <c r="AN365" s="2682"/>
      <c r="AO365" s="2682"/>
      <c r="AP365" s="2682"/>
      <c r="AR365" s="3479"/>
    </row>
    <row r="366" s="3330" customFormat="1" customHeight="1" spans="1:44">
      <c r="A366" s="3340"/>
      <c r="B366" s="3315"/>
      <c r="C366" t="s">
        <v>1886</v>
      </c>
      <c r="AB366" s="3494">
        <f>SUM(AB362:AH365)</f>
        <v>8697841150.04</v>
      </c>
      <c r="AC366" s="3494"/>
      <c r="AD366" s="3494"/>
      <c r="AE366" s="3494"/>
      <c r="AF366" s="3494"/>
      <c r="AG366" s="3494"/>
      <c r="AH366" s="3494"/>
      <c r="AI366" s="3326"/>
      <c r="AJ366" s="3494">
        <f>SUM(AJ362:AP365)</f>
        <v>10160488508.84</v>
      </c>
      <c r="AK366" s="3494"/>
      <c r="AL366" s="3494"/>
      <c r="AM366" s="3494"/>
      <c r="AN366" s="3494"/>
      <c r="AO366" s="3494"/>
      <c r="AP366" s="3494"/>
      <c r="AR366" s="3479"/>
    </row>
    <row r="367" s="3330" customFormat="1" ht="6.95" customHeight="1" spans="1:44">
      <c r="A367" s="3340"/>
      <c r="B367" s="3315"/>
      <c r="C367"/>
      <c r="AB367" s="2912"/>
      <c r="AC367" s="2912"/>
      <c r="AD367" s="2912"/>
      <c r="AE367" s="2912"/>
      <c r="AF367" s="2912"/>
      <c r="AG367" s="2912"/>
      <c r="AH367" s="2912"/>
      <c r="AI367" s="3326"/>
      <c r="AJ367" s="2912"/>
      <c r="AK367" s="2912"/>
      <c r="AL367" s="2912"/>
      <c r="AM367" s="2912"/>
      <c r="AN367" s="2912"/>
      <c r="AO367" s="2912"/>
      <c r="AP367" s="2912"/>
      <c r="AR367" s="3479"/>
    </row>
    <row r="368" s="3330" customFormat="1" hidden="1" customHeight="1" spans="1:44">
      <c r="A368" s="3340"/>
      <c r="B368" s="3315"/>
      <c r="C368" s="5091" t="s">
        <v>1887</v>
      </c>
      <c r="AB368" s="2912"/>
      <c r="AC368" s="2912"/>
      <c r="AD368" s="2912"/>
      <c r="AE368" s="2912"/>
      <c r="AF368" s="2912"/>
      <c r="AG368" s="2912"/>
      <c r="AH368" s="2912"/>
      <c r="AI368" s="3326"/>
      <c r="AJ368" s="2912"/>
      <c r="AK368" s="2912"/>
      <c r="AL368" s="2912"/>
      <c r="AM368" s="2912"/>
      <c r="AN368" s="2912"/>
      <c r="AO368" s="2912"/>
      <c r="AP368" s="2912"/>
      <c r="AR368" s="3479"/>
    </row>
    <row r="369" s="3330" customFormat="1" hidden="1" customHeight="1" spans="1:44">
      <c r="A369" s="3340"/>
      <c r="B369" s="3315"/>
      <c r="C369" s="5044" t="s">
        <v>1880</v>
      </c>
      <c r="AB369" s="2682">
        <f>+AB355+AB362</f>
        <v>8581972590</v>
      </c>
      <c r="AC369" s="2682"/>
      <c r="AD369" s="2682"/>
      <c r="AE369" s="2682"/>
      <c r="AF369" s="2682"/>
      <c r="AG369" s="2682"/>
      <c r="AH369" s="2682"/>
      <c r="AI369" s="3326"/>
      <c r="AJ369" s="2682">
        <f>+AJ355+AJ362</f>
        <v>10941687898</v>
      </c>
      <c r="AK369" s="2682"/>
      <c r="AL369" s="2682"/>
      <c r="AM369" s="2682"/>
      <c r="AN369" s="2682"/>
      <c r="AO369" s="2682"/>
      <c r="AP369" s="2682"/>
      <c r="AR369" s="3479"/>
    </row>
    <row r="370" s="3330" customFormat="1" hidden="1" customHeight="1" spans="1:44">
      <c r="A370" s="3340"/>
      <c r="B370" s="3315"/>
      <c r="C370" t="s">
        <v>1881</v>
      </c>
      <c r="AB370" s="2682">
        <f>+AB356+AB363</f>
        <v>6174539335.2</v>
      </c>
      <c r="AC370" s="2682"/>
      <c r="AD370" s="2682"/>
      <c r="AE370" s="2682"/>
      <c r="AF370" s="2682"/>
      <c r="AG370" s="2682"/>
      <c r="AH370" s="2682"/>
      <c r="AI370" s="3326"/>
      <c r="AJ370" s="2682">
        <f>+AJ356+AJ363</f>
        <v>6289990643</v>
      </c>
      <c r="AK370" s="2682"/>
      <c r="AL370" s="2682"/>
      <c r="AM370" s="2682"/>
      <c r="AN370" s="2682"/>
      <c r="AO370" s="2682"/>
      <c r="AP370" s="2682"/>
      <c r="AR370" s="3479"/>
    </row>
    <row r="371" s="3330" customFormat="1" hidden="1" customHeight="1" spans="1:44">
      <c r="A371" s="3340"/>
      <c r="B371" s="3315"/>
      <c r="C371" s="5044" t="s">
        <v>1882</v>
      </c>
      <c r="AB371" s="2682">
        <f>+AB357+AB364</f>
        <v>5000000000</v>
      </c>
      <c r="AC371" s="2682"/>
      <c r="AD371" s="2682"/>
      <c r="AE371" s="2682"/>
      <c r="AF371" s="2682"/>
      <c r="AG371" s="2682"/>
      <c r="AH371" s="2682"/>
      <c r="AI371" s="3326"/>
      <c r="AJ371" s="2682">
        <f>+AJ357+AJ364</f>
        <v>5000000000</v>
      </c>
      <c r="AK371" s="2682"/>
      <c r="AL371" s="2682"/>
      <c r="AM371" s="2682"/>
      <c r="AN371" s="2682"/>
      <c r="AO371" s="2682"/>
      <c r="AP371" s="2682"/>
      <c r="AR371" s="3479"/>
    </row>
    <row r="372" s="3330" customFormat="1" ht="3.95" hidden="1" customHeight="1" spans="1:44">
      <c r="A372" s="3340"/>
      <c r="B372" s="3315"/>
      <c r="C372"/>
      <c r="AB372" s="2912"/>
      <c r="AC372" s="2912"/>
      <c r="AD372" s="2912"/>
      <c r="AE372" s="2912"/>
      <c r="AF372" s="2912"/>
      <c r="AG372" s="2912"/>
      <c r="AH372" s="2912"/>
      <c r="AI372" s="3326"/>
      <c r="AJ372" s="2912"/>
      <c r="AK372" s="2912"/>
      <c r="AL372" s="2912"/>
      <c r="AM372" s="2912"/>
      <c r="AN372" s="2912"/>
      <c r="AO372" s="2912"/>
      <c r="AP372" s="2912"/>
      <c r="AR372" s="3479"/>
    </row>
    <row r="373" s="3330" customFormat="1" hidden="1" customHeight="1" spans="1:44">
      <c r="A373" s="3340"/>
      <c r="B373" s="3315"/>
      <c r="C373" s="94" t="s">
        <v>1888</v>
      </c>
      <c r="AB373" s="3495">
        <f>SUM(AB363:AH366)</f>
        <v>13571774317.08</v>
      </c>
      <c r="AC373" s="3495"/>
      <c r="AD373" s="3495"/>
      <c r="AE373" s="3495"/>
      <c r="AF373" s="3495"/>
      <c r="AG373" s="3495"/>
      <c r="AH373" s="3495"/>
      <c r="AI373" s="3326"/>
      <c r="AJ373" s="3495">
        <f>SUM(AJ363:AP366)</f>
        <v>15149872983.68</v>
      </c>
      <c r="AK373" s="3495"/>
      <c r="AL373" s="3495"/>
      <c r="AM373" s="3495"/>
      <c r="AN373" s="3495"/>
      <c r="AO373" s="3495"/>
      <c r="AP373" s="3495"/>
      <c r="AR373" s="3479"/>
    </row>
    <row r="374" s="3330" customFormat="1" ht="9.2" customHeight="1" spans="1:44">
      <c r="A374" s="3335"/>
      <c r="B374" s="3315"/>
      <c r="C374" s="3322"/>
      <c r="D374" s="3315"/>
      <c r="E374" s="3315"/>
      <c r="F374" s="3315"/>
      <c r="G374" s="3315"/>
      <c r="H374" s="3315"/>
      <c r="I374" s="3315"/>
      <c r="J374" s="3315"/>
      <c r="K374" s="3315"/>
      <c r="L374" s="3315"/>
      <c r="M374" s="3315"/>
      <c r="N374" s="3315"/>
      <c r="O374" s="3315"/>
      <c r="P374" s="3315"/>
      <c r="Q374" s="3315"/>
      <c r="R374" s="3315"/>
      <c r="S374" s="3315"/>
      <c r="T374" s="3315"/>
      <c r="U374" s="3315"/>
      <c r="V374" s="3315"/>
      <c r="W374" s="3315"/>
      <c r="X374" s="3315"/>
      <c r="Y374" s="3315"/>
      <c r="Z374" s="3315"/>
      <c r="AA374" s="3315"/>
      <c r="AB374" s="3496"/>
      <c r="AC374" s="3497"/>
      <c r="AD374" s="3497"/>
      <c r="AE374" s="3497"/>
      <c r="AF374" s="3497"/>
      <c r="AG374" s="3497"/>
      <c r="AH374" s="3497"/>
      <c r="AI374" s="64"/>
      <c r="AJ374" s="3349"/>
      <c r="AK374" s="3349"/>
      <c r="AL374" s="3349"/>
      <c r="AM374" s="3349"/>
      <c r="AN374" s="3349"/>
      <c r="AO374" s="3349"/>
      <c r="AP374" s="3349"/>
      <c r="AR374" s="3479"/>
    </row>
    <row r="375" s="3330" customFormat="1" customHeight="1" spans="1:49">
      <c r="A375" s="3340"/>
      <c r="B375" s="94"/>
      <c r="C375" s="94" t="s">
        <v>1889</v>
      </c>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2682"/>
      <c r="AC375" s="2682"/>
      <c r="AD375" s="2682"/>
      <c r="AE375" s="2682"/>
      <c r="AF375" s="2682"/>
      <c r="AG375" s="2682"/>
      <c r="AH375" s="2682"/>
      <c r="AI375" s="3326"/>
      <c r="AJ375" s="2682"/>
      <c r="AK375" s="2682"/>
      <c r="AL375" s="2682"/>
      <c r="AM375" s="2682"/>
      <c r="AN375" s="2682"/>
      <c r="AO375" s="2682"/>
      <c r="AP375" s="2682"/>
      <c r="AQ375"/>
      <c r="AR375"/>
      <c r="AS375"/>
      <c r="AT375"/>
      <c r="AU375"/>
      <c r="AV375"/>
      <c r="AW375"/>
    </row>
    <row r="376" s="3330" customFormat="1" ht="6" customHeight="1" spans="1:44">
      <c r="A376" s="3340"/>
      <c r="B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2682"/>
      <c r="AC376" s="2682"/>
      <c r="AD376" s="2682"/>
      <c r="AE376" s="2682"/>
      <c r="AF376" s="2682"/>
      <c r="AG376" s="2682"/>
      <c r="AH376" s="2682"/>
      <c r="AI376" s="3326"/>
      <c r="AJ376" s="2682"/>
      <c r="AK376" s="2682"/>
      <c r="AL376" s="2682"/>
      <c r="AM376" s="2682"/>
      <c r="AN376" s="2682"/>
      <c r="AO376" s="2682"/>
      <c r="AP376" s="2682"/>
      <c r="AR376" s="3479"/>
    </row>
    <row r="377" s="3330" customFormat="1" spans="1:44">
      <c r="A377" s="3340"/>
      <c r="B377" s="64"/>
      <c r="C377" s="5092" t="s">
        <v>1890</v>
      </c>
      <c r="D377" s="3482"/>
      <c r="E377" s="3482"/>
      <c r="F377" s="3482"/>
      <c r="G377" s="3482"/>
      <c r="H377" s="3482"/>
      <c r="I377" s="3482"/>
      <c r="J377" s="3482"/>
      <c r="K377" s="3482"/>
      <c r="L377" s="3482"/>
      <c r="M377" s="3482"/>
      <c r="N377" s="3482"/>
      <c r="O377" s="3482"/>
      <c r="P377" s="3482"/>
      <c r="Q377" s="3482"/>
      <c r="R377" s="3482"/>
      <c r="S377" s="3482"/>
      <c r="T377" s="3482"/>
      <c r="U377" s="3482"/>
      <c r="V377" s="3482"/>
      <c r="W377" s="3482"/>
      <c r="X377" s="3482"/>
      <c r="Y377" s="3482"/>
      <c r="Z377" s="3482"/>
      <c r="AA377" s="3482"/>
      <c r="AB377" s="3482"/>
      <c r="AC377" s="3482"/>
      <c r="AD377" s="3482"/>
      <c r="AE377" s="3482"/>
      <c r="AF377" s="3482"/>
      <c r="AG377" s="3482"/>
      <c r="AH377" s="3482"/>
      <c r="AI377" s="3482"/>
      <c r="AJ377" s="3482"/>
      <c r="AK377" s="3482"/>
      <c r="AL377" s="3482"/>
      <c r="AM377" s="3482"/>
      <c r="AN377" s="3482"/>
      <c r="AO377" s="3481"/>
      <c r="AP377" s="3481"/>
      <c r="AR377" s="3479"/>
    </row>
    <row r="378" s="3330" customFormat="1" ht="6.6" customHeight="1" spans="1:44">
      <c r="A378" s="3340"/>
      <c r="B378" s="64"/>
      <c r="C378" s="3322"/>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R378" s="3479"/>
    </row>
    <row r="379" s="3330" customFormat="1" spans="1:44">
      <c r="A379" s="3340"/>
      <c r="B379" s="64"/>
      <c r="C379" s="3322"/>
      <c r="D379" s="3483" t="s">
        <v>1891</v>
      </c>
      <c r="E379" s="3483"/>
      <c r="F379" s="3483"/>
      <c r="G379" s="3483"/>
      <c r="H379" s="3483"/>
      <c r="I379" s="3483"/>
      <c r="J379" s="3483"/>
      <c r="K379" s="94"/>
      <c r="L379" s="94"/>
      <c r="M379" s="94"/>
      <c r="N379" s="94"/>
      <c r="O379" s="94"/>
      <c r="P379" s="94"/>
      <c r="Q379" s="94"/>
      <c r="R379" s="64"/>
      <c r="S379" s="3493" t="s">
        <v>1892</v>
      </c>
      <c r="T379" s="3493"/>
      <c r="U379" s="3493"/>
      <c r="V379" s="3493"/>
      <c r="W379" s="3493"/>
      <c r="X379" s="64"/>
      <c r="Y379" s="64"/>
      <c r="Z379" s="64"/>
      <c r="AA379" s="64"/>
      <c r="AB379" s="3359">
        <f>+AB352</f>
        <v>2021</v>
      </c>
      <c r="AC379" s="3360"/>
      <c r="AD379" s="3360"/>
      <c r="AE379" s="3360"/>
      <c r="AF379" s="3360"/>
      <c r="AG379" s="3360"/>
      <c r="AH379" s="3360"/>
      <c r="AI379" s="64"/>
      <c r="AJ379" s="3359">
        <f>+AJ352</f>
        <v>2020</v>
      </c>
      <c r="AK379" s="3360"/>
      <c r="AL379" s="3360"/>
      <c r="AM379" s="3360"/>
      <c r="AN379" s="3360"/>
      <c r="AO379" s="3360"/>
      <c r="AP379" s="3360"/>
      <c r="AR379" s="3479"/>
    </row>
    <row r="380" s="3330" customFormat="1" ht="5.1" customHeight="1" spans="1:44">
      <c r="A380" s="3340"/>
      <c r="B380" s="64"/>
      <c r="C380" s="3322"/>
      <c r="D380" s="64"/>
      <c r="E380" s="64"/>
      <c r="F380" s="64"/>
      <c r="G380" s="64"/>
      <c r="H380" s="64"/>
      <c r="I380" s="64"/>
      <c r="J380" s="64"/>
      <c r="K380" s="64"/>
      <c r="L380" s="64"/>
      <c r="M380" s="64"/>
      <c r="N380" s="64"/>
      <c r="O380" s="64"/>
      <c r="P380" s="64"/>
      <c r="Q380" s="64"/>
      <c r="R380" s="64"/>
      <c r="S380" s="94"/>
      <c r="T380" s="64"/>
      <c r="U380" s="64"/>
      <c r="V380" s="64"/>
      <c r="W380" s="64"/>
      <c r="X380" s="64"/>
      <c r="Y380" s="64"/>
      <c r="Z380" s="64"/>
      <c r="AA380" s="64"/>
      <c r="AB380" s="3496"/>
      <c r="AC380" s="3497"/>
      <c r="AD380" s="3497"/>
      <c r="AE380" s="3497"/>
      <c r="AF380" s="3497"/>
      <c r="AG380" s="3497"/>
      <c r="AH380" s="3497"/>
      <c r="AI380" s="64"/>
      <c r="AJ380" s="3496"/>
      <c r="AK380" s="3497"/>
      <c r="AL380" s="3497"/>
      <c r="AM380" s="3497"/>
      <c r="AN380" s="3497"/>
      <c r="AO380" s="3497"/>
      <c r="AP380" s="3497"/>
      <c r="AR380" s="3479"/>
    </row>
    <row r="381" s="3330" customFormat="1" customHeight="1" spans="1:44">
      <c r="A381" s="3340"/>
      <c r="B381" s="64"/>
      <c r="D381" s="3484" t="s">
        <v>1893</v>
      </c>
      <c r="F381" s="3339"/>
      <c r="G381" s="3339"/>
      <c r="H381" s="3339"/>
      <c r="I381" s="3341"/>
      <c r="J381" s="3341"/>
      <c r="K381" s="3341"/>
      <c r="O381"/>
      <c r="P381"/>
      <c r="Q381"/>
      <c r="R381" s="5036" t="s">
        <v>225</v>
      </c>
      <c r="S381" s="3489"/>
      <c r="T381"/>
      <c r="U381"/>
      <c r="V381"/>
      <c r="W381"/>
      <c r="X381"/>
      <c r="Y381"/>
      <c r="Z381"/>
      <c r="AA381"/>
      <c r="AB381" s="2682">
        <f>+AA!F44</f>
        <v>1500000000</v>
      </c>
      <c r="AC381" s="2682"/>
      <c r="AD381" s="2682"/>
      <c r="AE381" s="2682"/>
      <c r="AF381" s="2682"/>
      <c r="AG381" s="2682"/>
      <c r="AH381" s="2682"/>
      <c r="AI381" s="3326"/>
      <c r="AJ381" s="2682">
        <f>+AA!G44</f>
        <v>1500000000</v>
      </c>
      <c r="AK381" s="2682"/>
      <c r="AL381" s="2682"/>
      <c r="AM381" s="2682"/>
      <c r="AN381" s="2682"/>
      <c r="AO381" s="2682"/>
      <c r="AP381" s="2682"/>
      <c r="AR381" s="3479"/>
    </row>
    <row r="382" s="3330" customFormat="1" hidden="1" customHeight="1" spans="1:44">
      <c r="A382" s="3340"/>
      <c r="B382" s="64"/>
      <c r="D382" s="3484" t="s">
        <v>1894</v>
      </c>
      <c r="F382" s="3339"/>
      <c r="G382" s="3339"/>
      <c r="H382" s="3339"/>
      <c r="I382" s="3341"/>
      <c r="J382" s="3341"/>
      <c r="K382" s="3341"/>
      <c r="M382" s="3339"/>
      <c r="N382" s="3489"/>
      <c r="O382"/>
      <c r="P382"/>
      <c r="Q382"/>
      <c r="R382"/>
      <c r="S382"/>
      <c r="T382"/>
      <c r="U382"/>
      <c r="V382"/>
      <c r="W382"/>
      <c r="X382"/>
      <c r="Y382"/>
      <c r="Z382"/>
      <c r="AA382"/>
      <c r="AB382" s="2682">
        <f>+AA!F45</f>
        <v>0</v>
      </c>
      <c r="AC382" s="2682"/>
      <c r="AD382" s="2682"/>
      <c r="AE382" s="2682"/>
      <c r="AF382" s="2682"/>
      <c r="AG382" s="2682"/>
      <c r="AH382" s="2682"/>
      <c r="AI382"/>
      <c r="AJ382" s="2682">
        <f>+AA!G45</f>
        <v>0</v>
      </c>
      <c r="AK382" s="2682"/>
      <c r="AL382" s="2682"/>
      <c r="AM382" s="2682"/>
      <c r="AN382" s="2682"/>
      <c r="AO382" s="2682"/>
      <c r="AP382" s="2682"/>
      <c r="AR382" s="3479"/>
    </row>
    <row r="383" s="3330" customFormat="1" customHeight="1" spans="1:44">
      <c r="A383" s="3340"/>
      <c r="B383" s="64"/>
      <c r="D383" s="3484" t="s">
        <v>1895</v>
      </c>
      <c r="F383" s="3339"/>
      <c r="G383" s="3339"/>
      <c r="H383" s="3339"/>
      <c r="I383" s="3341"/>
      <c r="J383" s="3341"/>
      <c r="K383" s="3341"/>
      <c r="M383" s="3339"/>
      <c r="N383" s="3489"/>
      <c r="O383"/>
      <c r="P383"/>
      <c r="Q383"/>
      <c r="R383" s="5036" t="s">
        <v>225</v>
      </c>
      <c r="S383" s="5093" t="s">
        <v>1896</v>
      </c>
      <c r="T383"/>
      <c r="U383"/>
      <c r="V383"/>
      <c r="W383"/>
      <c r="X383"/>
      <c r="Y383"/>
      <c r="Z383"/>
      <c r="AA383"/>
      <c r="AB383" s="2682">
        <f>+AA!F46</f>
        <v>1123343949</v>
      </c>
      <c r="AC383" s="2682"/>
      <c r="AD383" s="2682"/>
      <c r="AE383" s="2682"/>
      <c r="AF383" s="2682"/>
      <c r="AG383" s="2682"/>
      <c r="AH383" s="2682"/>
      <c r="AI383"/>
      <c r="AJ383" s="2682">
        <f>+AA!G46</f>
        <v>1220540000</v>
      </c>
      <c r="AK383" s="2682"/>
      <c r="AL383" s="2682"/>
      <c r="AM383" s="2682"/>
      <c r="AN383" s="2682"/>
      <c r="AO383" s="2682"/>
      <c r="AP383" s="2682"/>
      <c r="AR383" s="3479"/>
    </row>
    <row r="384" s="3330" customFormat="1" customHeight="1" spans="1:44">
      <c r="A384" s="3340"/>
      <c r="B384" s="64"/>
      <c r="D384" s="3484" t="s">
        <v>1897</v>
      </c>
      <c r="F384" s="3339"/>
      <c r="G384" s="3339"/>
      <c r="H384" s="3339"/>
      <c r="I384" s="3341"/>
      <c r="J384" s="3341"/>
      <c r="K384" s="3341"/>
      <c r="M384" s="3339"/>
      <c r="N384" s="3489"/>
      <c r="O384"/>
      <c r="P384"/>
      <c r="Q384"/>
      <c r="R384" s="5036" t="s">
        <v>225</v>
      </c>
      <c r="S384" s="5044" t="s">
        <v>1898</v>
      </c>
      <c r="T384"/>
      <c r="U384"/>
      <c r="V384"/>
      <c r="W384"/>
      <c r="X384"/>
      <c r="Y384"/>
      <c r="Z384"/>
      <c r="AA384"/>
      <c r="AB384" s="2682">
        <f>+AA!F47</f>
        <v>891587098</v>
      </c>
      <c r="AC384" s="2682"/>
      <c r="AD384" s="2682"/>
      <c r="AE384" s="2682"/>
      <c r="AF384" s="2682"/>
      <c r="AG384" s="2682"/>
      <c r="AH384" s="2682"/>
      <c r="AI384"/>
      <c r="AJ384" s="2682">
        <f>+AA!G47</f>
        <v>891587098</v>
      </c>
      <c r="AK384" s="2682"/>
      <c r="AL384" s="2682"/>
      <c r="AM384" s="2682"/>
      <c r="AN384" s="2682"/>
      <c r="AO384" s="2682"/>
      <c r="AP384" s="2682"/>
      <c r="AQ384" s="3330" t="s">
        <v>1899</v>
      </c>
      <c r="AR384" s="3479"/>
    </row>
    <row r="385" s="3330" customFormat="1" customHeight="1" spans="1:44">
      <c r="A385" s="3340"/>
      <c r="B385" s="64"/>
      <c r="D385" s="3484" t="s">
        <v>1900</v>
      </c>
      <c r="F385" s="3339"/>
      <c r="G385" s="3339"/>
      <c r="H385" s="3339"/>
      <c r="I385" s="3341"/>
      <c r="J385" s="3341"/>
      <c r="K385" s="3341"/>
      <c r="M385" s="3339"/>
      <c r="N385" s="3489"/>
      <c r="O385"/>
      <c r="P385"/>
      <c r="Q385"/>
      <c r="R385" s="5036" t="s">
        <v>225</v>
      </c>
      <c r="S385" s="5044" t="s">
        <v>1901</v>
      </c>
      <c r="T385"/>
      <c r="U385"/>
      <c r="V385"/>
      <c r="W385"/>
      <c r="X385"/>
      <c r="Y385"/>
      <c r="Z385"/>
      <c r="AA385"/>
      <c r="AB385" s="2682">
        <f>+AA!F48</f>
        <v>0</v>
      </c>
      <c r="AC385" s="2682"/>
      <c r="AD385" s="2682"/>
      <c r="AE385" s="2682"/>
      <c r="AF385" s="2682"/>
      <c r="AG385" s="2682"/>
      <c r="AH385" s="2682"/>
      <c r="AI385"/>
      <c r="AJ385" s="2682">
        <f>+AA!G48</f>
        <v>595100800</v>
      </c>
      <c r="AK385" s="2682"/>
      <c r="AL385" s="2682"/>
      <c r="AM385" s="2682"/>
      <c r="AN385" s="2682"/>
      <c r="AO385" s="2682"/>
      <c r="AP385" s="2682"/>
      <c r="AR385" s="3479"/>
    </row>
    <row r="386" s="3330" customFormat="1" customHeight="1" spans="1:44">
      <c r="A386" s="3340"/>
      <c r="B386" s="64"/>
      <c r="D386" s="3484" t="s">
        <v>1902</v>
      </c>
      <c r="F386" s="3339"/>
      <c r="G386" s="3339"/>
      <c r="H386" s="3339"/>
      <c r="I386" s="3341"/>
      <c r="J386" s="3341"/>
      <c r="K386" s="3341"/>
      <c r="M386" s="3339"/>
      <c r="N386" s="3489"/>
      <c r="O386"/>
      <c r="P386"/>
      <c r="Q386"/>
      <c r="R386" s="5036" t="s">
        <v>225</v>
      </c>
      <c r="S386" s="5044" t="s">
        <v>1903</v>
      </c>
      <c r="T386"/>
      <c r="U386"/>
      <c r="V386"/>
      <c r="W386"/>
      <c r="X386"/>
      <c r="Y386"/>
      <c r="Z386"/>
      <c r="AA386"/>
      <c r="AB386" s="2682">
        <f>+AA!F49</f>
        <v>0</v>
      </c>
      <c r="AC386" s="2682"/>
      <c r="AD386" s="2682"/>
      <c r="AE386" s="2682"/>
      <c r="AF386" s="2682"/>
      <c r="AG386" s="2682"/>
      <c r="AH386" s="2682"/>
      <c r="AI386"/>
      <c r="AJ386" s="2682">
        <f>+AA!G49</f>
        <v>660000000</v>
      </c>
      <c r="AK386" s="2682"/>
      <c r="AL386" s="2682"/>
      <c r="AM386" s="2682"/>
      <c r="AN386" s="2682"/>
      <c r="AO386" s="2682"/>
      <c r="AP386" s="2682"/>
      <c r="AQ386" s="3330" t="s">
        <v>1904</v>
      </c>
      <c r="AR386" s="3479"/>
    </row>
    <row r="387" s="3330" customFormat="1" customHeight="1" spans="1:44">
      <c r="A387" s="3340"/>
      <c r="B387" s="64"/>
      <c r="D387" s="3484" t="s">
        <v>1905</v>
      </c>
      <c r="F387" s="3339"/>
      <c r="G387" s="3339"/>
      <c r="H387" s="3339"/>
      <c r="I387" s="3341"/>
      <c r="J387" s="3341"/>
      <c r="K387" s="3341"/>
      <c r="M387" s="3339"/>
      <c r="N387" s="3489"/>
      <c r="O387"/>
      <c r="P387"/>
      <c r="Q387"/>
      <c r="R387" s="5036" t="s">
        <v>225</v>
      </c>
      <c r="S387" s="5044" t="s">
        <v>1906</v>
      </c>
      <c r="T387"/>
      <c r="U387"/>
      <c r="V387"/>
      <c r="W387"/>
      <c r="X387"/>
      <c r="Y387"/>
      <c r="Z387"/>
      <c r="AA387"/>
      <c r="AB387" s="2682">
        <f>+AA!F50</f>
        <v>4824460000</v>
      </c>
      <c r="AC387" s="2682"/>
      <c r="AD387" s="2682"/>
      <c r="AE387" s="2682"/>
      <c r="AF387" s="2682"/>
      <c r="AG387" s="2682"/>
      <c r="AH387" s="2682"/>
      <c r="AI387"/>
      <c r="AJ387" s="2682">
        <f>+AA!G50</f>
        <v>6074460000</v>
      </c>
      <c r="AK387" s="2682"/>
      <c r="AL387" s="2682"/>
      <c r="AM387" s="2682"/>
      <c r="AN387" s="2682"/>
      <c r="AO387" s="2682"/>
      <c r="AP387" s="2682"/>
      <c r="AR387" s="3479"/>
    </row>
    <row r="388" s="3330" customFormat="1" spans="1:44">
      <c r="A388" s="3340"/>
      <c r="B388" s="64"/>
      <c r="D388" s="3484" t="s">
        <v>1907</v>
      </c>
      <c r="F388" s="3339"/>
      <c r="G388" s="3339"/>
      <c r="H388" s="3339"/>
      <c r="I388" s="3341"/>
      <c r="J388" s="3341"/>
      <c r="K388" s="3341"/>
      <c r="M388" s="3339"/>
      <c r="N388" s="3489"/>
      <c r="O388"/>
      <c r="P388"/>
      <c r="Q388"/>
      <c r="R388" s="5036" t="s">
        <v>225</v>
      </c>
      <c r="S388" s="5044" t="s">
        <v>1908</v>
      </c>
      <c r="T388"/>
      <c r="U388"/>
      <c r="V388"/>
      <c r="W388"/>
      <c r="X388"/>
      <c r="Y388"/>
      <c r="Z388"/>
      <c r="AA388"/>
      <c r="AB388" s="2682">
        <f>+AA!F51</f>
        <v>242581543</v>
      </c>
      <c r="AC388" s="2682"/>
      <c r="AD388" s="2682"/>
      <c r="AE388" s="2682"/>
      <c r="AF388" s="2682"/>
      <c r="AG388" s="2682"/>
      <c r="AH388" s="2682"/>
      <c r="AI388"/>
      <c r="AJ388" s="2682">
        <f>+AA!G51</f>
        <v>0</v>
      </c>
      <c r="AK388" s="2682"/>
      <c r="AL388" s="2682"/>
      <c r="AM388" s="2682"/>
      <c r="AN388" s="2682"/>
      <c r="AO388" s="2682"/>
      <c r="AP388" s="2682"/>
      <c r="AR388" s="3479"/>
    </row>
    <row r="389" s="3330" customFormat="1" ht="5.45" customHeight="1" spans="1:44">
      <c r="A389" s="3340"/>
      <c r="B389" s="64"/>
      <c r="D389" s="3484"/>
      <c r="F389" s="3339"/>
      <c r="G389" s="3339"/>
      <c r="H389" s="3339"/>
      <c r="I389" s="3341"/>
      <c r="J389" s="3341"/>
      <c r="K389" s="3341"/>
      <c r="M389" s="3339"/>
      <c r="N389" s="3489"/>
      <c r="O389"/>
      <c r="P389"/>
      <c r="Q389"/>
      <c r="R389"/>
      <c r="S389"/>
      <c r="T389"/>
      <c r="U389"/>
      <c r="V389"/>
      <c r="W389"/>
      <c r="X389"/>
      <c r="Y389"/>
      <c r="Z389"/>
      <c r="AA389"/>
      <c r="AB389" s="2682"/>
      <c r="AC389" s="2682"/>
      <c r="AD389" s="2682"/>
      <c r="AE389" s="2682"/>
      <c r="AF389" s="2682"/>
      <c r="AG389" s="2682"/>
      <c r="AH389" s="2682"/>
      <c r="AI389"/>
      <c r="AJ389" s="2682"/>
      <c r="AK389" s="2682"/>
      <c r="AL389" s="2682"/>
      <c r="AM389" s="2682"/>
      <c r="AN389" s="2682"/>
      <c r="AO389" s="2682"/>
      <c r="AP389" s="2682"/>
      <c r="AR389" s="3479"/>
    </row>
    <row r="390" s="3330" customFormat="1" spans="1:44">
      <c r="A390" s="3340"/>
      <c r="B390" s="64"/>
      <c r="D390" s="3480" t="s">
        <v>1909</v>
      </c>
      <c r="F390" s="3339"/>
      <c r="G390" s="3339"/>
      <c r="H390" s="3339"/>
      <c r="I390" s="3341"/>
      <c r="J390" s="3341"/>
      <c r="K390" s="3341"/>
      <c r="M390" s="3339"/>
      <c r="N390" s="3489"/>
      <c r="O390"/>
      <c r="P390"/>
      <c r="Q390"/>
      <c r="R390"/>
      <c r="S390"/>
      <c r="T390"/>
      <c r="U390"/>
      <c r="V390"/>
      <c r="W390"/>
      <c r="X390"/>
      <c r="Y390"/>
      <c r="Z390"/>
      <c r="AA390"/>
      <c r="AB390" s="3494">
        <f>SUM(AB381:AH388)</f>
        <v>8581972590</v>
      </c>
      <c r="AC390" s="3494"/>
      <c r="AD390" s="3494"/>
      <c r="AE390" s="3494"/>
      <c r="AF390" s="3494"/>
      <c r="AG390" s="3494"/>
      <c r="AH390" s="3494"/>
      <c r="AI390" s="94"/>
      <c r="AJ390" s="3494">
        <f>SUM(AJ381:AP388)</f>
        <v>10941687898</v>
      </c>
      <c r="AK390" s="3494"/>
      <c r="AL390" s="3494"/>
      <c r="AM390" s="3494"/>
      <c r="AN390" s="3494"/>
      <c r="AO390" s="3494"/>
      <c r="AP390" s="3494"/>
      <c r="AR390" s="3479"/>
    </row>
    <row r="391" s="3330" customFormat="1" spans="1:44">
      <c r="A391" s="3340"/>
      <c r="B391" s="64"/>
      <c r="D391" s="3480"/>
      <c r="F391" s="3339"/>
      <c r="G391" s="3339"/>
      <c r="H391" s="3339"/>
      <c r="I391" s="3341"/>
      <c r="J391" s="3341"/>
      <c r="K391" s="3341"/>
      <c r="M391" s="3339"/>
      <c r="N391" s="3489"/>
      <c r="O391"/>
      <c r="P391"/>
      <c r="Q391"/>
      <c r="R391"/>
      <c r="S391"/>
      <c r="T391"/>
      <c r="U391"/>
      <c r="V391"/>
      <c r="W391"/>
      <c r="X391"/>
      <c r="Y391"/>
      <c r="Z391"/>
      <c r="AA391"/>
      <c r="AB391" s="3498"/>
      <c r="AC391" s="3498"/>
      <c r="AD391" s="3498"/>
      <c r="AE391" s="3498"/>
      <c r="AF391" s="3498"/>
      <c r="AG391" s="3498"/>
      <c r="AH391" s="3498"/>
      <c r="AI391" s="94"/>
      <c r="AJ391" s="3498"/>
      <c r="AK391" s="3498"/>
      <c r="AL391" s="3498"/>
      <c r="AM391" s="3498"/>
      <c r="AN391" s="3498"/>
      <c r="AO391" s="3498"/>
      <c r="AP391" s="3498"/>
      <c r="AR391" s="3479"/>
    </row>
    <row r="392" s="3330" customFormat="1" spans="1:44">
      <c r="A392" s="3340"/>
      <c r="B392" s="64"/>
      <c r="D392" s="3480"/>
      <c r="F392" s="3339"/>
      <c r="G392" s="3339"/>
      <c r="H392" s="3339"/>
      <c r="I392" s="3341"/>
      <c r="J392" s="3341"/>
      <c r="K392" s="3341"/>
      <c r="M392" s="3339"/>
      <c r="N392" s="3489"/>
      <c r="O392"/>
      <c r="P392"/>
      <c r="Q392"/>
      <c r="R392"/>
      <c r="S392"/>
      <c r="T392"/>
      <c r="U392"/>
      <c r="V392"/>
      <c r="W392"/>
      <c r="X392"/>
      <c r="Y392"/>
      <c r="Z392"/>
      <c r="AA392"/>
      <c r="AB392" s="3498"/>
      <c r="AC392" s="3498"/>
      <c r="AD392" s="3498"/>
      <c r="AE392" s="3498"/>
      <c r="AF392" s="3498"/>
      <c r="AG392" s="3498"/>
      <c r="AH392" s="3498"/>
      <c r="AI392" s="94"/>
      <c r="AJ392" s="3498"/>
      <c r="AK392" s="3498"/>
      <c r="AL392" s="3498"/>
      <c r="AM392" s="3498"/>
      <c r="AN392" s="3498"/>
      <c r="AO392" s="3498"/>
      <c r="AP392" s="3498"/>
      <c r="AR392" s="3479"/>
    </row>
    <row r="393" s="3330" customFormat="1" spans="1:44">
      <c r="A393" s="3340"/>
      <c r="B393" s="64"/>
      <c r="D393" s="3480"/>
      <c r="F393" s="3339"/>
      <c r="G393" s="3339"/>
      <c r="H393" s="3339"/>
      <c r="I393" s="3341"/>
      <c r="J393" s="3341"/>
      <c r="K393" s="3341"/>
      <c r="M393" s="3339"/>
      <c r="N393" s="3489"/>
      <c r="O393"/>
      <c r="P393"/>
      <c r="Q393"/>
      <c r="R393"/>
      <c r="S393"/>
      <c r="T393"/>
      <c r="U393"/>
      <c r="V393"/>
      <c r="W393"/>
      <c r="X393"/>
      <c r="Y393"/>
      <c r="Z393"/>
      <c r="AA393"/>
      <c r="AB393" s="3498"/>
      <c r="AC393" s="3498"/>
      <c r="AD393" s="3498"/>
      <c r="AE393" s="3498"/>
      <c r="AF393" s="3498"/>
      <c r="AG393" s="3498"/>
      <c r="AH393" s="3498"/>
      <c r="AI393" s="94"/>
      <c r="AJ393" s="3498"/>
      <c r="AK393" s="3498"/>
      <c r="AL393" s="3498"/>
      <c r="AM393" s="3498"/>
      <c r="AN393" s="3498"/>
      <c r="AO393" s="3498"/>
      <c r="AP393" s="3498"/>
      <c r="AR393" s="3479"/>
    </row>
    <row r="394" s="3330" customFormat="1" ht="11.4" spans="1:44">
      <c r="A394" s="3385">
        <f>+A304+1</f>
        <v>13</v>
      </c>
      <c r="B394" s="3385"/>
      <c r="C394" s="3385"/>
      <c r="D394" s="3385"/>
      <c r="E394" s="3385"/>
      <c r="F394" s="3385"/>
      <c r="G394" s="3385"/>
      <c r="H394" s="3385"/>
      <c r="I394" s="3385"/>
      <c r="J394" s="3385"/>
      <c r="K394" s="3385"/>
      <c r="L394" s="3385"/>
      <c r="M394" s="3385"/>
      <c r="N394" s="3385"/>
      <c r="O394" s="3385"/>
      <c r="P394" s="3385"/>
      <c r="Q394" s="3385"/>
      <c r="R394" s="3385"/>
      <c r="S394" s="3385"/>
      <c r="T394" s="3385"/>
      <c r="U394" s="3385"/>
      <c r="V394" s="3385"/>
      <c r="W394" s="3385"/>
      <c r="X394" s="3385"/>
      <c r="Y394" s="3385"/>
      <c r="Z394" s="3385"/>
      <c r="AA394" s="3385"/>
      <c r="AB394" s="3385"/>
      <c r="AC394" s="3385"/>
      <c r="AD394" s="3385"/>
      <c r="AE394" s="3385"/>
      <c r="AF394" s="3385"/>
      <c r="AG394" s="3385"/>
      <c r="AH394" s="3385"/>
      <c r="AI394" s="3385"/>
      <c r="AJ394" s="3385"/>
      <c r="AK394" s="3385"/>
      <c r="AL394" s="3385"/>
      <c r="AM394" s="3385"/>
      <c r="AN394" s="3385"/>
      <c r="AO394" s="3385"/>
      <c r="AP394" s="3385"/>
      <c r="AR394" s="3479"/>
    </row>
    <row r="395" s="3330" customFormat="1" spans="1:44">
      <c r="A395" s="3335">
        <f>A352</f>
        <v>12</v>
      </c>
      <c r="B395" s="3315"/>
      <c r="C395" s="3322" t="s">
        <v>1910</v>
      </c>
      <c r="D395" s="64"/>
      <c r="E395" s="64"/>
      <c r="F395" s="3339"/>
      <c r="G395" s="3339"/>
      <c r="H395" s="3339"/>
      <c r="I395" s="3341"/>
      <c r="J395" s="3341"/>
      <c r="K395" s="3341"/>
      <c r="M395" s="3339"/>
      <c r="N395" s="3489"/>
      <c r="O395"/>
      <c r="P395"/>
      <c r="Q395"/>
      <c r="R395"/>
      <c r="S395"/>
      <c r="T395"/>
      <c r="U395"/>
      <c r="V395"/>
      <c r="W395"/>
      <c r="X395"/>
      <c r="Y395"/>
      <c r="Z395"/>
      <c r="AA395"/>
      <c r="AB395" s="3498"/>
      <c r="AC395" s="3498"/>
      <c r="AD395" s="3498"/>
      <c r="AE395" s="3498"/>
      <c r="AF395" s="3498"/>
      <c r="AG395" s="3498"/>
      <c r="AH395" s="3498"/>
      <c r="AI395" s="94"/>
      <c r="AJ395" s="3498"/>
      <c r="AK395" s="3498"/>
      <c r="AL395" s="3498"/>
      <c r="AM395" s="3498"/>
      <c r="AN395" s="3498"/>
      <c r="AO395" s="3498"/>
      <c r="AP395" s="3498"/>
      <c r="AR395" s="3479"/>
    </row>
    <row r="396" s="3330" customFormat="1" spans="1:44">
      <c r="A396" s="3340"/>
      <c r="B396" s="64"/>
      <c r="D396" s="3480"/>
      <c r="F396" s="3339"/>
      <c r="G396" s="3339"/>
      <c r="H396" s="3339"/>
      <c r="I396" s="3341"/>
      <c r="J396" s="3341"/>
      <c r="K396" s="3341"/>
      <c r="M396" s="3339"/>
      <c r="N396" s="3489"/>
      <c r="O396"/>
      <c r="P396"/>
      <c r="Q396"/>
      <c r="R396"/>
      <c r="S396"/>
      <c r="T396"/>
      <c r="U396"/>
      <c r="V396"/>
      <c r="W396"/>
      <c r="X396"/>
      <c r="Y396"/>
      <c r="Z396"/>
      <c r="AA396"/>
      <c r="AB396" s="3498"/>
      <c r="AC396" s="3498"/>
      <c r="AD396" s="3498"/>
      <c r="AE396" s="3498"/>
      <c r="AF396" s="3498"/>
      <c r="AG396" s="3498"/>
      <c r="AH396" s="3498"/>
      <c r="AI396" s="94"/>
      <c r="AJ396" s="3498"/>
      <c r="AK396" s="3498"/>
      <c r="AL396" s="3498"/>
      <c r="AM396" s="3498"/>
      <c r="AN396" s="3498"/>
      <c r="AO396" s="3498"/>
      <c r="AP396" s="3498"/>
      <c r="AR396" s="3479"/>
    </row>
    <row r="397" s="3330" customFormat="1" spans="1:44">
      <c r="A397" s="3340"/>
      <c r="B397" s="64"/>
      <c r="C397" s="94" t="s">
        <v>1911</v>
      </c>
      <c r="D397" s="3480"/>
      <c r="F397" s="3339"/>
      <c r="G397" s="3339"/>
      <c r="H397" s="3339"/>
      <c r="I397" s="3341"/>
      <c r="J397" s="3341"/>
      <c r="K397" s="3341"/>
      <c r="M397" s="3339"/>
      <c r="N397" s="3489"/>
      <c r="O397"/>
      <c r="P397"/>
      <c r="Q397"/>
      <c r="R397"/>
      <c r="S397"/>
      <c r="T397"/>
      <c r="U397"/>
      <c r="V397"/>
      <c r="W397"/>
      <c r="X397"/>
      <c r="Y397"/>
      <c r="Z397"/>
      <c r="AA397"/>
      <c r="AB397" s="2912"/>
      <c r="AC397" s="2912"/>
      <c r="AD397" s="2912"/>
      <c r="AE397" s="2912"/>
      <c r="AF397" s="2912"/>
      <c r="AG397" s="2912"/>
      <c r="AH397" s="2912"/>
      <c r="AI397" s="94"/>
      <c r="AJ397" s="2912"/>
      <c r="AK397" s="2912"/>
      <c r="AL397" s="2912"/>
      <c r="AM397" s="2912"/>
      <c r="AN397" s="2912"/>
      <c r="AO397" s="2912"/>
      <c r="AP397" s="2912"/>
      <c r="AR397" s="3479"/>
    </row>
    <row r="398" s="3330" customFormat="1" ht="6" customHeight="1" spans="1:44">
      <c r="A398" s="3340"/>
      <c r="B398" s="64"/>
      <c r="C398" s="94"/>
      <c r="D398" s="3480"/>
      <c r="F398" s="3339"/>
      <c r="G398" s="3339"/>
      <c r="H398" s="3339"/>
      <c r="I398" s="3341"/>
      <c r="J398" s="3341"/>
      <c r="K398" s="3341"/>
      <c r="M398" s="3339"/>
      <c r="N398" s="3489"/>
      <c r="O398"/>
      <c r="P398"/>
      <c r="Q398"/>
      <c r="R398"/>
      <c r="S398"/>
      <c r="T398"/>
      <c r="U398"/>
      <c r="V398"/>
      <c r="W398"/>
      <c r="X398"/>
      <c r="Y398"/>
      <c r="Z398"/>
      <c r="AA398"/>
      <c r="AB398" s="2912"/>
      <c r="AC398" s="2912"/>
      <c r="AD398" s="2912"/>
      <c r="AE398" s="2912"/>
      <c r="AF398" s="2912"/>
      <c r="AG398" s="2912"/>
      <c r="AH398" s="2912"/>
      <c r="AI398" s="94"/>
      <c r="AJ398" s="2912"/>
      <c r="AK398" s="2912"/>
      <c r="AL398" s="2912"/>
      <c r="AM398" s="2912"/>
      <c r="AN398" s="2912"/>
      <c r="AO398" s="2912"/>
      <c r="AP398" s="2912"/>
      <c r="AR398" s="3479"/>
    </row>
    <row r="399" s="3330" customFormat="1" ht="11.45" customHeight="1" spans="1:44">
      <c r="A399" s="3340"/>
      <c r="B399" s="64"/>
      <c r="C399" s="5094" t="s">
        <v>1912</v>
      </c>
      <c r="D399" s="3486"/>
      <c r="E399" s="3486"/>
      <c r="F399" s="3486"/>
      <c r="G399" s="3486"/>
      <c r="H399" s="3486"/>
      <c r="I399" s="3486"/>
      <c r="J399" s="3486"/>
      <c r="K399" s="3486"/>
      <c r="L399" s="3486"/>
      <c r="M399" s="3486"/>
      <c r="N399" s="3486"/>
      <c r="O399" s="3486"/>
      <c r="P399" s="3486"/>
      <c r="Q399" s="3486"/>
      <c r="R399" s="3486"/>
      <c r="S399" s="3486"/>
      <c r="T399" s="3486"/>
      <c r="U399" s="3486"/>
      <c r="V399" s="3486"/>
      <c r="W399" s="3486"/>
      <c r="X399" s="3486"/>
      <c r="Y399" s="3486"/>
      <c r="Z399" s="3486"/>
      <c r="AA399" s="3486"/>
      <c r="AB399" s="3486"/>
      <c r="AC399" s="3486"/>
      <c r="AD399" s="3486"/>
      <c r="AE399" s="3486"/>
      <c r="AF399" s="3486"/>
      <c r="AG399" s="3486"/>
      <c r="AH399" s="3486"/>
      <c r="AI399" s="3486"/>
      <c r="AJ399" s="3486"/>
      <c r="AK399" s="3486"/>
      <c r="AL399" s="3486"/>
      <c r="AM399" s="3486"/>
      <c r="AN399" s="3486"/>
      <c r="AO399" s="3485"/>
      <c r="AP399" s="3485"/>
      <c r="AR399" s="3479"/>
    </row>
    <row r="400" s="3330" customFormat="1" ht="4.5" customHeight="1" spans="1:44">
      <c r="A400" s="3340"/>
      <c r="B400" s="64"/>
      <c r="C400" s="3481"/>
      <c r="D400" s="3482"/>
      <c r="E400" s="3482"/>
      <c r="F400" s="3482"/>
      <c r="G400" s="3482"/>
      <c r="H400" s="3482"/>
      <c r="I400" s="3482"/>
      <c r="J400" s="3482"/>
      <c r="K400" s="3482"/>
      <c r="L400" s="3482"/>
      <c r="M400" s="3482"/>
      <c r="N400" s="3482"/>
      <c r="O400" s="3482"/>
      <c r="P400" s="3482"/>
      <c r="Q400" s="3482"/>
      <c r="R400" s="3482"/>
      <c r="S400" s="3482"/>
      <c r="T400" s="3482"/>
      <c r="U400" s="3482"/>
      <c r="V400" s="3482"/>
      <c r="W400" s="3482"/>
      <c r="X400" s="3482"/>
      <c r="Y400" s="3482"/>
      <c r="Z400" s="3482"/>
      <c r="AA400" s="3482"/>
      <c r="AB400" s="3482"/>
      <c r="AC400" s="3482"/>
      <c r="AD400" s="3482"/>
      <c r="AE400" s="3482"/>
      <c r="AF400" s="3482"/>
      <c r="AG400" s="3482"/>
      <c r="AH400" s="3482"/>
      <c r="AI400" s="3482"/>
      <c r="AJ400" s="3482"/>
      <c r="AK400" s="3482"/>
      <c r="AL400" s="3482"/>
      <c r="AM400" s="3482"/>
      <c r="AN400" s="3482"/>
      <c r="AO400" s="3481"/>
      <c r="AP400" s="3481"/>
      <c r="AR400" s="3479"/>
    </row>
    <row r="401" s="3330" customFormat="1" spans="1:44">
      <c r="A401" s="3340"/>
      <c r="B401" s="64"/>
      <c r="C401" s="3330">
        <f>C381+1</f>
        <v>1</v>
      </c>
      <c r="D401" s="3487" t="s">
        <v>1913</v>
      </c>
      <c r="F401" s="3339"/>
      <c r="G401" s="3339"/>
      <c r="H401" s="3339"/>
      <c r="I401" s="3341"/>
      <c r="J401" s="3341"/>
      <c r="K401" s="3341"/>
      <c r="M401" s="3339"/>
      <c r="N401" s="3490"/>
      <c r="O401" s="64"/>
      <c r="P401" s="64"/>
      <c r="Q401" s="64"/>
      <c r="R401" s="64"/>
      <c r="S401" s="64"/>
      <c r="T401" s="64"/>
      <c r="U401" s="64"/>
      <c r="V401" s="64"/>
      <c r="W401" s="64"/>
      <c r="X401" s="64"/>
      <c r="Y401" s="64"/>
      <c r="Z401" s="64"/>
      <c r="AA401"/>
      <c r="AB401"/>
      <c r="AC401"/>
      <c r="AD401"/>
      <c r="AE401"/>
      <c r="AF401"/>
      <c r="AG401"/>
      <c r="AH401"/>
      <c r="AI401"/>
      <c r="AJ401"/>
      <c r="AK401"/>
      <c r="AL401"/>
      <c r="AM401"/>
      <c r="AN401"/>
      <c r="AO401"/>
      <c r="AP401"/>
      <c r="AR401" s="3479"/>
    </row>
    <row r="402" s="3330" customFormat="1" spans="1:44">
      <c r="A402" s="3340"/>
      <c r="B402" s="64"/>
      <c r="D402" s="3488" t="s">
        <v>1914</v>
      </c>
      <c r="F402" s="3339"/>
      <c r="G402" s="3339"/>
      <c r="H402" s="3339"/>
      <c r="I402" s="3341"/>
      <c r="J402" s="3341"/>
      <c r="K402" s="3341"/>
      <c r="M402" s="5036" t="s">
        <v>225</v>
      </c>
      <c r="N402" s="3490" t="s">
        <v>1915</v>
      </c>
      <c r="O402" s="64"/>
      <c r="P402" s="64"/>
      <c r="Q402" s="64"/>
      <c r="R402" s="64"/>
      <c r="S402" s="64"/>
      <c r="T402" s="64"/>
      <c r="U402" s="64"/>
      <c r="V402" s="64"/>
      <c r="W402" s="64"/>
      <c r="X402" s="64"/>
      <c r="Y402" s="64"/>
      <c r="Z402" s="64"/>
      <c r="AA402"/>
      <c r="AB402"/>
      <c r="AC402"/>
      <c r="AD402"/>
      <c r="AE402"/>
      <c r="AF402"/>
      <c r="AG402"/>
      <c r="AH402"/>
      <c r="AI402"/>
      <c r="AJ402"/>
      <c r="AK402"/>
      <c r="AL402"/>
      <c r="AM402"/>
      <c r="AN402"/>
      <c r="AO402"/>
      <c r="AP402"/>
      <c r="AR402" s="3479"/>
    </row>
    <row r="403" s="3330" customFormat="1" spans="1:44">
      <c r="A403" s="3340"/>
      <c r="B403" s="64"/>
      <c r="D403" s="3488" t="s">
        <v>1916</v>
      </c>
      <c r="F403" s="3339"/>
      <c r="G403" s="3339"/>
      <c r="H403" s="3339"/>
      <c r="I403" s="3341"/>
      <c r="J403" s="3341"/>
      <c r="K403" s="3341"/>
      <c r="M403" s="5036" t="s">
        <v>225</v>
      </c>
      <c r="N403" s="3490" t="str">
        <f>+'AA1'!L49</f>
        <v>RC Terbatas</v>
      </c>
      <c r="O403" s="64"/>
      <c r="P403" s="64"/>
      <c r="Q403" s="64"/>
      <c r="R403" s="64"/>
      <c r="S403" s="64"/>
      <c r="T403" s="64"/>
      <c r="U403" s="64"/>
      <c r="V403" s="64"/>
      <c r="W403" s="64"/>
      <c r="X403" s="64"/>
      <c r="Y403" s="64"/>
      <c r="Z403" s="64"/>
      <c r="AA403"/>
      <c r="AB403"/>
      <c r="AC403"/>
      <c r="AD403"/>
      <c r="AE403"/>
      <c r="AF403"/>
      <c r="AG403"/>
      <c r="AH403"/>
      <c r="AI403"/>
      <c r="AJ403"/>
      <c r="AK403"/>
      <c r="AL403"/>
      <c r="AM403"/>
      <c r="AN403"/>
      <c r="AO403"/>
      <c r="AP403"/>
      <c r="AR403" s="3479"/>
    </row>
    <row r="404" s="3330" customFormat="1" spans="1:44">
      <c r="A404" s="3340"/>
      <c r="B404" s="64"/>
      <c r="D404" s="3488" t="s">
        <v>1917</v>
      </c>
      <c r="F404" s="3339"/>
      <c r="G404" s="3339"/>
      <c r="H404" s="3339"/>
      <c r="I404" s="3341"/>
      <c r="J404" s="3341"/>
      <c r="K404" s="3341"/>
      <c r="L404" s="3341"/>
      <c r="M404" s="5036" t="s">
        <v>225</v>
      </c>
      <c r="N404" s="3490" t="s">
        <v>1918</v>
      </c>
      <c r="O404" s="64"/>
      <c r="P404" s="64"/>
      <c r="Q404" s="64"/>
      <c r="R404" s="64"/>
      <c r="S404" s="64"/>
      <c r="T404" s="64"/>
      <c r="U404" s="64"/>
      <c r="V404" s="64"/>
      <c r="W404" s="64"/>
      <c r="X404" s="64"/>
      <c r="Y404" s="64"/>
      <c r="Z404" s="64"/>
      <c r="AA404"/>
      <c r="AB404"/>
      <c r="AC404"/>
      <c r="AD404"/>
      <c r="AE404"/>
      <c r="AF404"/>
      <c r="AG404"/>
      <c r="AH404"/>
      <c r="AI404"/>
      <c r="AJ404"/>
      <c r="AK404"/>
      <c r="AL404"/>
      <c r="AM404"/>
      <c r="AN404"/>
      <c r="AO404"/>
      <c r="AP404"/>
      <c r="AR404" s="3479"/>
    </row>
    <row r="405" s="3330" customFormat="1" spans="1:44">
      <c r="A405" s="3340"/>
      <c r="B405" s="64"/>
      <c r="D405" s="3488" t="s">
        <v>1919</v>
      </c>
      <c r="F405" s="64"/>
      <c r="G405" s="64"/>
      <c r="H405" s="64"/>
      <c r="I405" s="64"/>
      <c r="J405" s="64"/>
      <c r="K405" s="64"/>
      <c r="L405" s="64"/>
      <c r="M405" s="5036" t="s">
        <v>225</v>
      </c>
      <c r="N405" s="3491" t="s">
        <v>1920</v>
      </c>
      <c r="O405" s="2104"/>
      <c r="P405" s="2104"/>
      <c r="Q405" s="2104"/>
      <c r="R405" s="2104"/>
      <c r="S405" s="2104"/>
      <c r="T405" s="2104"/>
      <c r="U405" s="2104"/>
      <c r="V405" s="2104"/>
      <c r="W405" s="2104"/>
      <c r="X405" s="2104"/>
      <c r="Y405" s="2104"/>
      <c r="Z405" s="2104"/>
      <c r="AA405" s="2104"/>
      <c r="AB405" s="2104"/>
      <c r="AC405" s="2104"/>
      <c r="AD405" s="2104"/>
      <c r="AE405" s="2104"/>
      <c r="AF405" s="2104"/>
      <c r="AG405" s="2104"/>
      <c r="AH405" s="2104"/>
      <c r="AI405" s="2104"/>
      <c r="AJ405" s="2104"/>
      <c r="AK405" s="2104"/>
      <c r="AL405" s="2104"/>
      <c r="AM405" s="2104"/>
      <c r="AN405" s="2104"/>
      <c r="AO405" s="2104"/>
      <c r="AP405" s="2104"/>
      <c r="AR405" s="3479"/>
    </row>
    <row r="406" s="3330" customFormat="1" spans="1:44">
      <c r="A406" s="3340"/>
      <c r="B406" s="64"/>
      <c r="D406" s="3488"/>
      <c r="F406" s="64"/>
      <c r="G406" s="64"/>
      <c r="H406" s="64"/>
      <c r="I406" s="64"/>
      <c r="J406" s="64"/>
      <c r="K406" s="64"/>
      <c r="L406" s="64"/>
      <c r="M406" s="3339"/>
      <c r="N406" s="3491"/>
      <c r="O406" s="2104"/>
      <c r="P406" s="2104"/>
      <c r="Q406" s="2104"/>
      <c r="R406" s="2104"/>
      <c r="S406" s="2104"/>
      <c r="T406" s="2104"/>
      <c r="U406" s="2104"/>
      <c r="V406" s="2104"/>
      <c r="W406" s="2104"/>
      <c r="X406" s="2104"/>
      <c r="Y406" s="2104"/>
      <c r="Z406" s="2104"/>
      <c r="AA406" s="2104"/>
      <c r="AB406" s="2104"/>
      <c r="AC406" s="2104"/>
      <c r="AD406" s="2104"/>
      <c r="AE406" s="2104"/>
      <c r="AF406" s="2104"/>
      <c r="AG406" s="2104"/>
      <c r="AH406" s="2104"/>
      <c r="AI406" s="2104"/>
      <c r="AJ406" s="2104"/>
      <c r="AK406" s="2104"/>
      <c r="AL406" s="2104"/>
      <c r="AM406" s="2104"/>
      <c r="AN406" s="2104"/>
      <c r="AO406" s="2104"/>
      <c r="AP406" s="2104"/>
      <c r="AR406" s="3479"/>
    </row>
    <row r="407" s="3330" customFormat="1" spans="1:44">
      <c r="A407" s="3340"/>
      <c r="B407" s="64"/>
      <c r="D407" s="3488"/>
      <c r="E407" s="64"/>
      <c r="F407" s="64"/>
      <c r="G407" s="64"/>
      <c r="H407" s="64"/>
      <c r="I407" s="64"/>
      <c r="J407" s="64"/>
      <c r="K407" s="64"/>
      <c r="L407" s="64"/>
      <c r="M407" s="3339"/>
      <c r="N407" s="2104"/>
      <c r="O407" s="2104"/>
      <c r="P407" s="2104"/>
      <c r="Q407" s="2104"/>
      <c r="R407" s="2104"/>
      <c r="S407" s="2104"/>
      <c r="T407" s="2104"/>
      <c r="U407" s="2104"/>
      <c r="V407" s="2104"/>
      <c r="W407" s="2104"/>
      <c r="X407" s="2104"/>
      <c r="Y407" s="2104"/>
      <c r="Z407" s="2104"/>
      <c r="AA407" s="2104"/>
      <c r="AB407" s="2104"/>
      <c r="AC407" s="2104"/>
      <c r="AD407" s="2104"/>
      <c r="AE407" s="2104"/>
      <c r="AF407" s="2104"/>
      <c r="AG407" s="2104"/>
      <c r="AH407" s="2104"/>
      <c r="AI407" s="2104"/>
      <c r="AJ407" s="2104"/>
      <c r="AK407" s="2104"/>
      <c r="AL407" s="2104"/>
      <c r="AM407" s="2104"/>
      <c r="AN407" s="2104"/>
      <c r="AO407" s="2104"/>
      <c r="AP407" s="2104"/>
      <c r="AR407" s="3479"/>
    </row>
    <row r="408" s="3330" customFormat="1" spans="1:44">
      <c r="A408" s="3340"/>
      <c r="B408" s="64"/>
      <c r="D408" s="3488"/>
      <c r="E408" s="64"/>
      <c r="F408" s="64"/>
      <c r="G408" s="64"/>
      <c r="H408" s="64"/>
      <c r="I408" s="64"/>
      <c r="J408" s="64"/>
      <c r="K408" s="64"/>
      <c r="L408" s="64"/>
      <c r="M408" s="3339"/>
      <c r="N408" s="2104"/>
      <c r="O408" s="2104"/>
      <c r="P408" s="2104"/>
      <c r="Q408" s="2104"/>
      <c r="R408" s="2104"/>
      <c r="S408" s="2104"/>
      <c r="T408" s="2104"/>
      <c r="U408" s="2104"/>
      <c r="V408" s="2104"/>
      <c r="W408" s="2104"/>
      <c r="X408" s="2104"/>
      <c r="Y408" s="2104"/>
      <c r="Z408" s="2104"/>
      <c r="AA408" s="2104"/>
      <c r="AB408" s="2104"/>
      <c r="AC408" s="2104"/>
      <c r="AD408" s="2104"/>
      <c r="AE408" s="2104"/>
      <c r="AF408" s="2104"/>
      <c r="AG408" s="2104"/>
      <c r="AH408" s="2104"/>
      <c r="AI408" s="2104"/>
      <c r="AJ408" s="2104"/>
      <c r="AK408" s="2104"/>
      <c r="AL408" s="2104"/>
      <c r="AM408" s="2104"/>
      <c r="AN408" s="2104"/>
      <c r="AO408" s="2104"/>
      <c r="AP408" s="2104"/>
      <c r="AR408" s="3479"/>
    </row>
    <row r="409" s="3330" customFormat="1" spans="1:44">
      <c r="A409" s="3340"/>
      <c r="B409" s="64"/>
      <c r="C409" s="3322"/>
      <c r="D409" s="3488"/>
      <c r="E409" s="64"/>
      <c r="F409" s="64"/>
      <c r="G409" s="64"/>
      <c r="H409" s="64"/>
      <c r="I409" s="64"/>
      <c r="J409" s="64"/>
      <c r="K409" s="64"/>
      <c r="L409" s="64"/>
      <c r="M409" s="3339"/>
      <c r="N409" s="2104"/>
      <c r="O409" s="2104"/>
      <c r="P409" s="2104"/>
      <c r="Q409" s="2104"/>
      <c r="R409" s="2104"/>
      <c r="S409" s="2104"/>
      <c r="T409" s="2104"/>
      <c r="U409" s="2104"/>
      <c r="V409" s="2104"/>
      <c r="W409" s="2104"/>
      <c r="X409" s="2104"/>
      <c r="Y409" s="2104"/>
      <c r="Z409" s="2104"/>
      <c r="AA409" s="2104"/>
      <c r="AB409" s="2104"/>
      <c r="AC409" s="2104"/>
      <c r="AD409" s="2104"/>
      <c r="AE409" s="2104"/>
      <c r="AF409" s="2104"/>
      <c r="AG409" s="2104"/>
      <c r="AH409" s="2104"/>
      <c r="AI409" s="2104"/>
      <c r="AJ409" s="2104"/>
      <c r="AK409" s="2104"/>
      <c r="AL409" s="2104"/>
      <c r="AM409" s="2104"/>
      <c r="AN409" s="2104"/>
      <c r="AO409" s="2104"/>
      <c r="AP409" s="2104"/>
      <c r="AR409" s="3479"/>
    </row>
    <row r="410" s="3330" customFormat="1" ht="9" customHeight="1" spans="1:44">
      <c r="A410" s="3335"/>
      <c r="B410" s="3315"/>
      <c r="C410" s="94"/>
      <c r="D410" s="64"/>
      <c r="E410" s="64"/>
      <c r="F410" s="64"/>
      <c r="G410" s="64"/>
      <c r="H410" s="64"/>
      <c r="I410" s="64"/>
      <c r="J410" s="64"/>
      <c r="K410" s="64"/>
      <c r="L410" s="64"/>
      <c r="M410" s="3339"/>
      <c r="N410" s="3490"/>
      <c r="O410" s="64"/>
      <c r="P410" s="64"/>
      <c r="Q410" s="64"/>
      <c r="R410" s="64"/>
      <c r="S410" s="64"/>
      <c r="T410" s="64"/>
      <c r="U410" s="64"/>
      <c r="V410" s="64"/>
      <c r="W410" s="64"/>
      <c r="X410" s="64"/>
      <c r="Y410" s="64"/>
      <c r="Z410" s="64"/>
      <c r="AA410" s="64"/>
      <c r="AR410" s="3479"/>
    </row>
    <row r="411" s="3330" customFormat="1" spans="1:44">
      <c r="A411" s="3340"/>
      <c r="B411" s="64"/>
      <c r="C411" s="3330">
        <f>+C401+1</f>
        <v>2</v>
      </c>
      <c r="D411" s="3487" t="str">
        <f>+D383</f>
        <v>Kredit Investasi (Refinance)</v>
      </c>
      <c r="F411" s="3339"/>
      <c r="G411" s="3339"/>
      <c r="H411" s="3339"/>
      <c r="I411" s="3341"/>
      <c r="J411" s="3341"/>
      <c r="K411" s="3341"/>
      <c r="M411" s="3339"/>
      <c r="N411" s="3490"/>
      <c r="O411" s="64"/>
      <c r="P411" s="64"/>
      <c r="Q411" s="64"/>
      <c r="R411" s="64"/>
      <c r="S411" s="64"/>
      <c r="T411" s="64"/>
      <c r="U411" s="64"/>
      <c r="V411" s="64"/>
      <c r="W411" s="64"/>
      <c r="X411" s="64"/>
      <c r="Y411" s="64"/>
      <c r="Z411" s="64"/>
      <c r="AA411" s="64"/>
      <c r="AR411" s="3479"/>
    </row>
    <row r="412" s="3330" customFormat="1" spans="1:44">
      <c r="A412" s="3340"/>
      <c r="B412" s="64"/>
      <c r="D412" s="3488" t="s">
        <v>1914</v>
      </c>
      <c r="F412" s="3339"/>
      <c r="G412" s="3339"/>
      <c r="H412" s="3339"/>
      <c r="I412" s="3341"/>
      <c r="J412" s="3341"/>
      <c r="K412" s="3341"/>
      <c r="M412" s="5036" t="s">
        <v>225</v>
      </c>
      <c r="N412" s="3492">
        <f>+'AA1'!I70</f>
        <v>1238540000</v>
      </c>
      <c r="O412" s="3492"/>
      <c r="P412" s="3492"/>
      <c r="Q412" s="3492"/>
      <c r="R412" s="3492"/>
      <c r="S412" s="3492"/>
      <c r="T412" s="3492"/>
      <c r="U412" s="64"/>
      <c r="V412" s="64"/>
      <c r="W412" s="64"/>
      <c r="X412" s="64"/>
      <c r="Y412" s="64"/>
      <c r="Z412" s="64"/>
      <c r="AA412" s="64"/>
      <c r="AR412" s="3479"/>
    </row>
    <row r="413" s="3330" customFormat="1" spans="1:44">
      <c r="A413" s="3340"/>
      <c r="B413" s="64"/>
      <c r="D413" s="3488" t="s">
        <v>1916</v>
      </c>
      <c r="F413" s="3339"/>
      <c r="G413" s="3339"/>
      <c r="H413" s="3339"/>
      <c r="I413" s="3341"/>
      <c r="J413" s="3341"/>
      <c r="K413" s="3341"/>
      <c r="M413" s="5036" t="s">
        <v>225</v>
      </c>
      <c r="N413" s="3490" t="str">
        <f>+'AA1'!L70</f>
        <v>Aplofend</v>
      </c>
      <c r="O413" s="3492"/>
      <c r="P413" s="3492"/>
      <c r="Q413" s="3492"/>
      <c r="R413" s="3492"/>
      <c r="S413" s="3492"/>
      <c r="T413" s="3492"/>
      <c r="U413" s="64"/>
      <c r="V413" s="64"/>
      <c r="W413" s="64"/>
      <c r="X413" s="64"/>
      <c r="Y413" s="64"/>
      <c r="Z413" s="64"/>
      <c r="AA413" s="64"/>
      <c r="AR413" s="3479"/>
    </row>
    <row r="414" s="3330" customFormat="1" spans="1:44">
      <c r="A414" s="3340"/>
      <c r="B414" s="64"/>
      <c r="D414" s="3488" t="s">
        <v>1917</v>
      </c>
      <c r="F414" s="3339"/>
      <c r="G414" s="3339"/>
      <c r="H414" s="3339"/>
      <c r="I414" s="3341"/>
      <c r="J414" s="3341"/>
      <c r="K414" s="3341"/>
      <c r="L414" s="3341"/>
      <c r="M414" s="5036" t="s">
        <v>225</v>
      </c>
      <c r="N414" s="3490" t="str">
        <f>+'AA1'!J70</f>
        <v>28 bulan sejak penandatangan</v>
      </c>
      <c r="O414" s="64"/>
      <c r="P414" s="64"/>
      <c r="Q414" s="64"/>
      <c r="R414" s="64"/>
      <c r="S414" s="64"/>
      <c r="T414" s="64"/>
      <c r="U414" s="64"/>
      <c r="V414" s="64"/>
      <c r="W414" s="64"/>
      <c r="X414" s="64"/>
      <c r="Y414" s="64"/>
      <c r="Z414" s="64"/>
      <c r="AA414" s="64"/>
      <c r="AR414" s="3479"/>
    </row>
    <row r="415" s="3330" customFormat="1" spans="1:44">
      <c r="A415" s="3340"/>
      <c r="B415" s="64"/>
      <c r="D415" s="3488" t="s">
        <v>1919</v>
      </c>
      <c r="F415" s="64"/>
      <c r="G415" s="64"/>
      <c r="H415" s="64"/>
      <c r="I415" s="64"/>
      <c r="J415" s="64"/>
      <c r="K415" s="64"/>
      <c r="L415" s="64"/>
      <c r="M415" s="5036" t="s">
        <v>225</v>
      </c>
      <c r="N415" s="3491" t="s">
        <v>1921</v>
      </c>
      <c r="O415" s="2104"/>
      <c r="P415" s="2104"/>
      <c r="Q415" s="2104"/>
      <c r="R415" s="2104"/>
      <c r="S415" s="2104"/>
      <c r="T415" s="2104"/>
      <c r="U415" s="2104"/>
      <c r="V415" s="2104"/>
      <c r="W415" s="2104"/>
      <c r="X415" s="2104"/>
      <c r="Y415" s="2104"/>
      <c r="Z415" s="2104"/>
      <c r="AA415" s="2104"/>
      <c r="AB415" s="2104"/>
      <c r="AC415" s="2104"/>
      <c r="AD415" s="2104"/>
      <c r="AE415" s="2104"/>
      <c r="AF415" s="2104"/>
      <c r="AG415" s="2104"/>
      <c r="AH415" s="2104"/>
      <c r="AI415" s="2104"/>
      <c r="AJ415" s="2104"/>
      <c r="AK415" s="2104"/>
      <c r="AL415" s="2104"/>
      <c r="AM415" s="2104"/>
      <c r="AN415" s="2104"/>
      <c r="AO415" s="2104"/>
      <c r="AP415" s="2104"/>
      <c r="AR415" s="3479"/>
    </row>
    <row r="416" s="3330" customFormat="1" spans="1:44">
      <c r="A416" s="3340"/>
      <c r="B416" s="64"/>
      <c r="D416" s="3488"/>
      <c r="F416" s="64"/>
      <c r="G416" s="64"/>
      <c r="H416" s="64"/>
      <c r="I416" s="64"/>
      <c r="J416" s="64"/>
      <c r="K416" s="64"/>
      <c r="L416" s="64"/>
      <c r="M416" s="3339"/>
      <c r="N416" s="3491"/>
      <c r="O416" s="2104"/>
      <c r="P416" s="2104"/>
      <c r="Q416" s="2104"/>
      <c r="R416" s="2104"/>
      <c r="S416" s="2104"/>
      <c r="T416" s="2104"/>
      <c r="U416" s="2104"/>
      <c r="V416" s="2104"/>
      <c r="W416" s="2104"/>
      <c r="X416" s="2104"/>
      <c r="Y416" s="2104"/>
      <c r="Z416" s="2104"/>
      <c r="AA416" s="2104"/>
      <c r="AB416" s="2104"/>
      <c r="AC416" s="2104"/>
      <c r="AD416" s="2104"/>
      <c r="AE416" s="2104"/>
      <c r="AF416" s="2104"/>
      <c r="AG416" s="2104"/>
      <c r="AH416" s="2104"/>
      <c r="AI416" s="2104"/>
      <c r="AJ416" s="2104"/>
      <c r="AK416" s="2104"/>
      <c r="AL416" s="2104"/>
      <c r="AM416" s="2104"/>
      <c r="AN416" s="2104"/>
      <c r="AO416" s="2104"/>
      <c r="AP416" s="2104"/>
      <c r="AR416" s="3479"/>
    </row>
    <row r="417" s="3330" customFormat="1" spans="1:44">
      <c r="A417" s="3340"/>
      <c r="B417" s="64"/>
      <c r="D417" s="3488"/>
      <c r="E417" s="64"/>
      <c r="F417" s="64"/>
      <c r="G417" s="64"/>
      <c r="H417" s="64"/>
      <c r="I417" s="64"/>
      <c r="J417" s="64"/>
      <c r="K417" s="64"/>
      <c r="L417" s="64"/>
      <c r="M417" s="3339"/>
      <c r="N417" s="2104"/>
      <c r="O417" s="2104"/>
      <c r="P417" s="2104"/>
      <c r="Q417" s="2104"/>
      <c r="R417" s="2104"/>
      <c r="S417" s="2104"/>
      <c r="T417" s="2104"/>
      <c r="U417" s="2104"/>
      <c r="V417" s="2104"/>
      <c r="W417" s="2104"/>
      <c r="X417" s="2104"/>
      <c r="Y417" s="2104"/>
      <c r="Z417" s="2104"/>
      <c r="AA417" s="2104"/>
      <c r="AB417" s="2104"/>
      <c r="AC417" s="2104"/>
      <c r="AD417" s="2104"/>
      <c r="AE417" s="2104"/>
      <c r="AF417" s="2104"/>
      <c r="AG417" s="2104"/>
      <c r="AH417" s="2104"/>
      <c r="AI417" s="2104"/>
      <c r="AJ417" s="2104"/>
      <c r="AK417" s="2104"/>
      <c r="AL417" s="2104"/>
      <c r="AM417" s="2104"/>
      <c r="AN417" s="2104"/>
      <c r="AO417" s="2104"/>
      <c r="AP417" s="2104"/>
      <c r="AR417" s="3479"/>
    </row>
    <row r="418" s="3330" customFormat="1" spans="1:44">
      <c r="A418" s="3340"/>
      <c r="B418" s="64"/>
      <c r="C418" s="3322"/>
      <c r="D418" s="3488"/>
      <c r="E418" s="64"/>
      <c r="F418" s="64"/>
      <c r="G418" s="64"/>
      <c r="H418" s="64"/>
      <c r="I418" s="64"/>
      <c r="J418" s="64"/>
      <c r="K418" s="64"/>
      <c r="L418" s="64"/>
      <c r="M418" s="3339"/>
      <c r="N418" s="2104"/>
      <c r="O418" s="2104"/>
      <c r="P418" s="2104"/>
      <c r="Q418" s="2104"/>
      <c r="R418" s="2104"/>
      <c r="S418" s="2104"/>
      <c r="T418" s="2104"/>
      <c r="U418" s="2104"/>
      <c r="V418" s="2104"/>
      <c r="W418" s="2104"/>
      <c r="X418" s="2104"/>
      <c r="Y418" s="2104"/>
      <c r="Z418" s="2104"/>
      <c r="AA418" s="2104"/>
      <c r="AB418" s="2104"/>
      <c r="AC418" s="2104"/>
      <c r="AD418" s="2104"/>
      <c r="AE418" s="2104"/>
      <c r="AF418" s="2104"/>
      <c r="AG418" s="2104"/>
      <c r="AH418" s="2104"/>
      <c r="AI418" s="2104"/>
      <c r="AJ418" s="2104"/>
      <c r="AK418" s="2104"/>
      <c r="AL418" s="2104"/>
      <c r="AM418" s="2104"/>
      <c r="AN418" s="2104"/>
      <c r="AO418" s="2104"/>
      <c r="AP418" s="2104"/>
      <c r="AR418" s="3479"/>
    </row>
    <row r="419" s="3330" customFormat="1" spans="1:44">
      <c r="A419" s="3340"/>
      <c r="B419" s="64"/>
      <c r="D419" s="3488"/>
      <c r="E419" s="64"/>
      <c r="F419" s="64"/>
      <c r="G419" s="64"/>
      <c r="H419" s="64"/>
      <c r="I419" s="64"/>
      <c r="J419" s="64"/>
      <c r="K419" s="64"/>
      <c r="L419" s="64"/>
      <c r="M419" s="3339"/>
      <c r="N419" s="2104"/>
      <c r="O419" s="2104"/>
      <c r="P419" s="2104"/>
      <c r="Q419" s="2104"/>
      <c r="R419" s="2104"/>
      <c r="S419" s="2104"/>
      <c r="T419" s="2104"/>
      <c r="U419" s="2104"/>
      <c r="V419" s="2104"/>
      <c r="W419" s="2104"/>
      <c r="X419" s="2104"/>
      <c r="Y419" s="2104"/>
      <c r="Z419" s="2104"/>
      <c r="AA419" s="2104"/>
      <c r="AB419" s="2104"/>
      <c r="AC419" s="2104"/>
      <c r="AD419" s="2104"/>
      <c r="AE419" s="2104"/>
      <c r="AF419" s="2104"/>
      <c r="AG419" s="2104"/>
      <c r="AH419" s="2104"/>
      <c r="AI419" s="2104"/>
      <c r="AJ419" s="2104"/>
      <c r="AK419" s="2104"/>
      <c r="AL419" s="2104"/>
      <c r="AM419" s="2104"/>
      <c r="AN419" s="2104"/>
      <c r="AO419" s="2104"/>
      <c r="AP419" s="2104"/>
      <c r="AR419" s="3479"/>
    </row>
    <row r="420" s="3330" customFormat="1" ht="9" customHeight="1" spans="1:44">
      <c r="A420" s="3340"/>
      <c r="B420" s="64"/>
      <c r="D420" s="3488"/>
      <c r="E420" s="64"/>
      <c r="F420" s="64"/>
      <c r="G420" s="64"/>
      <c r="H420" s="64"/>
      <c r="I420" s="64"/>
      <c r="J420" s="64"/>
      <c r="K420" s="64"/>
      <c r="L420" s="64"/>
      <c r="M420" s="3339"/>
      <c r="N420" s="2104"/>
      <c r="O420" s="2104"/>
      <c r="P420" s="2104"/>
      <c r="Q420" s="2104"/>
      <c r="R420" s="2104"/>
      <c r="S420" s="2104"/>
      <c r="T420" s="2104"/>
      <c r="U420" s="2104"/>
      <c r="V420" s="2104"/>
      <c r="W420" s="2104"/>
      <c r="X420" s="2104"/>
      <c r="Y420" s="2104"/>
      <c r="Z420" s="2104"/>
      <c r="AA420" s="2104"/>
      <c r="AB420" s="2104"/>
      <c r="AC420" s="2104"/>
      <c r="AD420" s="2104"/>
      <c r="AE420" s="2104"/>
      <c r="AF420" s="2104"/>
      <c r="AG420" s="2104"/>
      <c r="AH420" s="2104"/>
      <c r="AI420" s="2104"/>
      <c r="AJ420" s="2104"/>
      <c r="AK420" s="2104"/>
      <c r="AL420" s="2104"/>
      <c r="AM420" s="2104"/>
      <c r="AN420" s="2104"/>
      <c r="AO420" s="2104"/>
      <c r="AP420" s="2104"/>
      <c r="AR420" s="3479"/>
    </row>
    <row r="421" s="3330" customFormat="1" spans="1:44">
      <c r="A421" s="3340"/>
      <c r="B421" s="64"/>
      <c r="C421" s="3330">
        <f>+C411+1</f>
        <v>3</v>
      </c>
      <c r="D421" s="3501" t="str">
        <f>+D384</f>
        <v>Kredit Modal Kerja 1 B</v>
      </c>
      <c r="F421" s="3339"/>
      <c r="G421" s="3339"/>
      <c r="H421" s="3339"/>
      <c r="I421" s="3341"/>
      <c r="J421" s="3341"/>
      <c r="K421" s="3341"/>
      <c r="M421" s="3339"/>
      <c r="N421" s="3490"/>
      <c r="O421" s="64"/>
      <c r="P421" s="64"/>
      <c r="Q421" s="64"/>
      <c r="R421" s="64"/>
      <c r="S421" s="64"/>
      <c r="T421" s="64"/>
      <c r="U421" s="64"/>
      <c r="V421" s="64"/>
      <c r="W421" s="64"/>
      <c r="X421" s="64"/>
      <c r="Y421" s="64"/>
      <c r="Z421" s="64"/>
      <c r="AA421" s="64"/>
      <c r="AR421" s="3479"/>
    </row>
    <row r="422" s="3330" customFormat="1" spans="1:44">
      <c r="A422" s="3340"/>
      <c r="B422" s="64"/>
      <c r="D422" s="3488" t="s">
        <v>1914</v>
      </c>
      <c r="F422" s="3339"/>
      <c r="G422" s="3339"/>
      <c r="H422" s="3339"/>
      <c r="I422" s="3341"/>
      <c r="J422" s="3341"/>
      <c r="K422" s="3341"/>
      <c r="M422" s="5036" t="s">
        <v>225</v>
      </c>
      <c r="N422" s="3492">
        <f>+'AA1'!I15</f>
        <v>1091587098</v>
      </c>
      <c r="O422" s="3492"/>
      <c r="P422" s="3492"/>
      <c r="Q422" s="3492"/>
      <c r="R422" s="3492"/>
      <c r="S422" s="3492"/>
      <c r="T422" s="3492"/>
      <c r="U422" s="64"/>
      <c r="V422" s="64"/>
      <c r="W422" s="64"/>
      <c r="X422" s="64"/>
      <c r="Y422" s="64"/>
      <c r="Z422" s="64"/>
      <c r="AA422" s="64"/>
      <c r="AR422" s="3479"/>
    </row>
    <row r="423" s="3330" customFormat="1" spans="1:44">
      <c r="A423" s="3340"/>
      <c r="B423" s="64"/>
      <c r="D423" s="3488" t="s">
        <v>1917</v>
      </c>
      <c r="F423" s="3339"/>
      <c r="G423" s="3339"/>
      <c r="H423" s="3339"/>
      <c r="I423" s="3341"/>
      <c r="J423" s="3341"/>
      <c r="K423" s="3341"/>
      <c r="L423" s="3341"/>
      <c r="M423" s="5036" t="s">
        <v>225</v>
      </c>
      <c r="N423" s="3491" t="s">
        <v>1922</v>
      </c>
      <c r="O423" s="2104"/>
      <c r="P423" s="2104"/>
      <c r="Q423" s="2104"/>
      <c r="R423" s="2104"/>
      <c r="S423" s="2104"/>
      <c r="T423" s="2104"/>
      <c r="U423" s="2104"/>
      <c r="V423" s="2104"/>
      <c r="W423" s="2104"/>
      <c r="X423" s="2104"/>
      <c r="Y423" s="2104"/>
      <c r="Z423" s="2104"/>
      <c r="AA423" s="2104"/>
      <c r="AB423" s="2104"/>
      <c r="AC423" s="2104"/>
      <c r="AD423" s="2104"/>
      <c r="AE423" s="2104"/>
      <c r="AF423" s="2104"/>
      <c r="AG423" s="2104"/>
      <c r="AH423" s="2104"/>
      <c r="AI423" s="2104"/>
      <c r="AJ423" s="2104"/>
      <c r="AK423" s="2104"/>
      <c r="AL423" s="2104"/>
      <c r="AM423" s="2104"/>
      <c r="AN423" s="2104"/>
      <c r="AO423" s="2104"/>
      <c r="AP423" s="2104"/>
      <c r="AR423" s="3479"/>
    </row>
    <row r="424" s="3330" customFormat="1" spans="1:44">
      <c r="A424" s="3340"/>
      <c r="B424" s="64"/>
      <c r="D424" s="3488"/>
      <c r="F424" s="3339"/>
      <c r="G424" s="3339"/>
      <c r="H424" s="3339"/>
      <c r="I424" s="3341"/>
      <c r="J424" s="3341"/>
      <c r="K424" s="3341"/>
      <c r="L424" s="3341"/>
      <c r="M424" s="3339"/>
      <c r="N424" s="2104"/>
      <c r="O424" s="2104"/>
      <c r="P424" s="2104"/>
      <c r="Q424" s="2104"/>
      <c r="R424" s="2104"/>
      <c r="S424" s="2104"/>
      <c r="T424" s="2104"/>
      <c r="U424" s="2104"/>
      <c r="V424" s="2104"/>
      <c r="W424" s="2104"/>
      <c r="X424" s="2104"/>
      <c r="Y424" s="2104"/>
      <c r="Z424" s="2104"/>
      <c r="AA424" s="2104"/>
      <c r="AB424" s="2104"/>
      <c r="AC424" s="2104"/>
      <c r="AD424" s="2104"/>
      <c r="AE424" s="2104"/>
      <c r="AF424" s="2104"/>
      <c r="AG424" s="2104"/>
      <c r="AH424" s="2104"/>
      <c r="AI424" s="2104"/>
      <c r="AJ424" s="2104"/>
      <c r="AK424" s="2104"/>
      <c r="AL424" s="2104"/>
      <c r="AM424" s="2104"/>
      <c r="AN424" s="2104"/>
      <c r="AO424" s="2104"/>
      <c r="AP424" s="2104"/>
      <c r="AR424" s="3479"/>
    </row>
    <row r="425" s="3330" customFormat="1" spans="1:44">
      <c r="A425" s="3340"/>
      <c r="B425" s="64"/>
      <c r="D425" s="3488" t="s">
        <v>1919</v>
      </c>
      <c r="F425" s="64"/>
      <c r="G425" s="64"/>
      <c r="H425" s="64"/>
      <c r="I425" s="64"/>
      <c r="J425" s="64"/>
      <c r="K425" s="64"/>
      <c r="L425" s="64"/>
      <c r="M425" s="5036" t="s">
        <v>225</v>
      </c>
      <c r="N425" s="3491" t="s">
        <v>1923</v>
      </c>
      <c r="O425" s="2104"/>
      <c r="P425" s="2104"/>
      <c r="Q425" s="2104"/>
      <c r="R425" s="2104"/>
      <c r="S425" s="2104"/>
      <c r="T425" s="2104"/>
      <c r="U425" s="2104"/>
      <c r="V425" s="2104"/>
      <c r="W425" s="2104"/>
      <c r="X425" s="2104"/>
      <c r="Y425" s="2104"/>
      <c r="Z425" s="2104"/>
      <c r="AA425" s="2104"/>
      <c r="AB425" s="2104"/>
      <c r="AC425" s="2104"/>
      <c r="AD425" s="2104"/>
      <c r="AE425" s="2104"/>
      <c r="AF425" s="2104"/>
      <c r="AG425" s="2104"/>
      <c r="AH425" s="2104"/>
      <c r="AI425" s="2104"/>
      <c r="AJ425" s="2104"/>
      <c r="AK425" s="2104"/>
      <c r="AL425" s="2104"/>
      <c r="AM425" s="2104"/>
      <c r="AN425" s="2104"/>
      <c r="AO425" s="2104"/>
      <c r="AP425" s="2104"/>
      <c r="AR425" s="3479"/>
    </row>
    <row r="426" s="3330" customFormat="1" spans="1:44">
      <c r="A426" s="3340"/>
      <c r="B426" s="64"/>
      <c r="D426" s="3488"/>
      <c r="F426" s="64"/>
      <c r="G426" s="64"/>
      <c r="H426" s="64"/>
      <c r="I426" s="64"/>
      <c r="J426" s="64"/>
      <c r="K426" s="64"/>
      <c r="L426" s="64"/>
      <c r="M426" s="3339"/>
      <c r="N426" s="2104"/>
      <c r="O426" s="2104"/>
      <c r="P426" s="2104"/>
      <c r="Q426" s="2104"/>
      <c r="R426" s="2104"/>
      <c r="S426" s="2104"/>
      <c r="T426" s="2104"/>
      <c r="U426" s="2104"/>
      <c r="V426" s="2104"/>
      <c r="W426" s="2104"/>
      <c r="X426" s="2104"/>
      <c r="Y426" s="2104"/>
      <c r="Z426" s="2104"/>
      <c r="AA426" s="2104"/>
      <c r="AB426" s="2104"/>
      <c r="AC426" s="2104"/>
      <c r="AD426" s="2104"/>
      <c r="AE426" s="2104"/>
      <c r="AF426" s="2104"/>
      <c r="AG426" s="2104"/>
      <c r="AH426" s="2104"/>
      <c r="AI426" s="2104"/>
      <c r="AJ426" s="2104"/>
      <c r="AK426" s="2104"/>
      <c r="AL426" s="2104"/>
      <c r="AM426" s="2104"/>
      <c r="AN426" s="2104"/>
      <c r="AO426" s="2104"/>
      <c r="AP426" s="2104"/>
      <c r="AR426" s="3479"/>
    </row>
    <row r="427" s="3330" customFormat="1" ht="9" customHeight="1" spans="1:44">
      <c r="A427" s="3340"/>
      <c r="B427" s="64"/>
      <c r="D427" s="3488"/>
      <c r="E427" s="64"/>
      <c r="F427" s="64"/>
      <c r="G427" s="64"/>
      <c r="H427" s="64"/>
      <c r="I427" s="64"/>
      <c r="J427" s="64"/>
      <c r="K427" s="64"/>
      <c r="L427" s="64"/>
      <c r="M427" s="3339"/>
      <c r="N427" s="3490"/>
      <c r="O427" s="64"/>
      <c r="P427" s="64"/>
      <c r="Q427" s="64"/>
      <c r="R427" s="64"/>
      <c r="S427" s="64"/>
      <c r="T427" s="64"/>
      <c r="U427" s="64"/>
      <c r="V427" s="64"/>
      <c r="W427" s="64"/>
      <c r="X427" s="64"/>
      <c r="Y427" s="64"/>
      <c r="Z427" s="64"/>
      <c r="AA427" s="64"/>
      <c r="AR427" s="3479"/>
    </row>
    <row r="428" s="3330" customFormat="1" spans="1:44">
      <c r="A428" s="3340"/>
      <c r="B428" s="64"/>
      <c r="C428" s="3330">
        <f>+C421+1</f>
        <v>4</v>
      </c>
      <c r="D428" s="3501" t="str">
        <f>+D385</f>
        <v>Kredit Modal Kerja 2</v>
      </c>
      <c r="F428" s="3339"/>
      <c r="G428" s="3339"/>
      <c r="H428" s="3339"/>
      <c r="I428" s="3341"/>
      <c r="J428" s="3341"/>
      <c r="K428" s="3341"/>
      <c r="M428" s="3339"/>
      <c r="N428" s="3490"/>
      <c r="O428" s="64"/>
      <c r="P428" s="64"/>
      <c r="Q428" s="64"/>
      <c r="R428" s="64"/>
      <c r="S428" s="64"/>
      <c r="T428" s="64"/>
      <c r="U428" s="64"/>
      <c r="V428" s="64"/>
      <c r="W428" s="64"/>
      <c r="X428" s="64"/>
      <c r="Y428" s="64"/>
      <c r="Z428" s="64"/>
      <c r="AA428" s="64"/>
      <c r="AR428" s="3479"/>
    </row>
    <row r="429" s="3330" customFormat="1" spans="1:44">
      <c r="A429" s="3340"/>
      <c r="B429" s="64"/>
      <c r="D429" s="3488" t="s">
        <v>1914</v>
      </c>
      <c r="F429" s="3339"/>
      <c r="G429" s="3339"/>
      <c r="H429" s="3339"/>
      <c r="I429" s="3341"/>
      <c r="J429" s="3341"/>
      <c r="K429" s="3341"/>
      <c r="M429" s="5036" t="s">
        <v>225</v>
      </c>
      <c r="N429" s="3492">
        <f>+'AA1'!I25</f>
        <v>595100800</v>
      </c>
      <c r="O429" s="3492"/>
      <c r="P429" s="3492"/>
      <c r="Q429" s="3492"/>
      <c r="R429" s="3492"/>
      <c r="S429" s="3492"/>
      <c r="T429" s="3492"/>
      <c r="U429" s="64"/>
      <c r="V429" s="64"/>
      <c r="W429" s="64"/>
      <c r="X429" s="64"/>
      <c r="Y429" s="64"/>
      <c r="Z429" s="64"/>
      <c r="AA429" s="64"/>
      <c r="AR429" s="3479"/>
    </row>
    <row r="430" s="3330" customFormat="1" spans="1:44">
      <c r="A430" s="3340"/>
      <c r="B430" s="64"/>
      <c r="D430" s="3488" t="s">
        <v>1917</v>
      </c>
      <c r="F430" s="3339"/>
      <c r="G430" s="3339"/>
      <c r="H430" s="3339"/>
      <c r="I430" s="3341"/>
      <c r="J430" s="3341"/>
      <c r="K430" s="3341"/>
      <c r="L430" s="3341"/>
      <c r="M430" s="5036" t="s">
        <v>225</v>
      </c>
      <c r="N430" s="3490" t="s">
        <v>1924</v>
      </c>
      <c r="O430" s="64"/>
      <c r="P430" s="64"/>
      <c r="Q430" s="64"/>
      <c r="R430" s="64"/>
      <c r="S430" s="64"/>
      <c r="T430" s="64"/>
      <c r="U430" s="64"/>
      <c r="V430" s="64"/>
      <c r="W430" s="64"/>
      <c r="X430" s="64"/>
      <c r="Y430" s="64"/>
      <c r="Z430" s="64"/>
      <c r="AA430" s="64"/>
      <c r="AR430" s="3479"/>
    </row>
    <row r="431" s="3330" customFormat="1" spans="1:44">
      <c r="A431" s="3340"/>
      <c r="B431" s="64"/>
      <c r="D431" s="3488" t="s">
        <v>1919</v>
      </c>
      <c r="F431" s="64"/>
      <c r="G431" s="64"/>
      <c r="H431" s="64"/>
      <c r="I431" s="64"/>
      <c r="J431" s="64"/>
      <c r="K431" s="64"/>
      <c r="L431" s="64"/>
      <c r="M431" s="5036" t="s">
        <v>225</v>
      </c>
      <c r="N431" s="3491" t="s">
        <v>1925</v>
      </c>
      <c r="O431" s="2104"/>
      <c r="P431" s="2104"/>
      <c r="Q431" s="2104"/>
      <c r="R431" s="2104"/>
      <c r="S431" s="2104"/>
      <c r="T431" s="2104"/>
      <c r="U431" s="2104"/>
      <c r="V431" s="2104"/>
      <c r="W431" s="2104"/>
      <c r="X431" s="2104"/>
      <c r="Y431" s="2104"/>
      <c r="Z431" s="2104"/>
      <c r="AA431" s="2104"/>
      <c r="AB431" s="2104"/>
      <c r="AC431" s="2104"/>
      <c r="AD431" s="2104"/>
      <c r="AE431" s="2104"/>
      <c r="AF431" s="2104"/>
      <c r="AG431" s="2104"/>
      <c r="AH431" s="2104"/>
      <c r="AI431" s="2104"/>
      <c r="AJ431" s="2104"/>
      <c r="AK431" s="2104"/>
      <c r="AL431" s="2104"/>
      <c r="AM431" s="2104"/>
      <c r="AN431" s="2104"/>
      <c r="AO431" s="2104"/>
      <c r="AP431" s="2104"/>
      <c r="AR431" s="3479"/>
    </row>
    <row r="432" s="3330" customFormat="1" spans="1:44">
      <c r="A432" s="3340"/>
      <c r="B432" s="64"/>
      <c r="D432" s="3488"/>
      <c r="E432" s="64"/>
      <c r="F432" s="64"/>
      <c r="G432" s="64"/>
      <c r="H432" s="64"/>
      <c r="I432" s="64"/>
      <c r="J432" s="64"/>
      <c r="K432" s="64"/>
      <c r="L432" s="64"/>
      <c r="M432" s="3339"/>
      <c r="N432" s="2104"/>
      <c r="O432" s="2104"/>
      <c r="P432" s="2104"/>
      <c r="Q432" s="2104"/>
      <c r="R432" s="2104"/>
      <c r="S432" s="2104"/>
      <c r="T432" s="2104"/>
      <c r="U432" s="2104"/>
      <c r="V432" s="2104"/>
      <c r="W432" s="2104"/>
      <c r="X432" s="2104"/>
      <c r="Y432" s="2104"/>
      <c r="Z432" s="2104"/>
      <c r="AA432" s="2104"/>
      <c r="AB432" s="2104"/>
      <c r="AC432" s="2104"/>
      <c r="AD432" s="2104"/>
      <c r="AE432" s="2104"/>
      <c r="AF432" s="2104"/>
      <c r="AG432" s="2104"/>
      <c r="AH432" s="2104"/>
      <c r="AI432" s="2104"/>
      <c r="AJ432" s="2104"/>
      <c r="AK432" s="2104"/>
      <c r="AL432" s="2104"/>
      <c r="AM432" s="2104"/>
      <c r="AN432" s="2104"/>
      <c r="AO432" s="2104"/>
      <c r="AP432" s="2104"/>
      <c r="AR432" s="3479"/>
    </row>
    <row r="433" s="3330" customFormat="1" ht="9" customHeight="1" spans="1:44">
      <c r="A433" s="3340"/>
      <c r="B433" s="64"/>
      <c r="D433" s="3488"/>
      <c r="E433" s="64"/>
      <c r="F433" s="64"/>
      <c r="G433" s="64"/>
      <c r="H433" s="64"/>
      <c r="I433" s="64"/>
      <c r="J433" s="64"/>
      <c r="K433" s="64"/>
      <c r="L433" s="64"/>
      <c r="M433" s="3339"/>
      <c r="N433" s="3490"/>
      <c r="O433" s="64"/>
      <c r="P433" s="64"/>
      <c r="Q433" s="64"/>
      <c r="R433" s="64"/>
      <c r="S433" s="64"/>
      <c r="T433" s="64"/>
      <c r="U433" s="64"/>
      <c r="V433" s="64"/>
      <c r="W433" s="64"/>
      <c r="X433" s="64"/>
      <c r="Y433" s="64"/>
      <c r="Z433" s="64"/>
      <c r="AA433" s="64"/>
      <c r="AR433" s="3479"/>
    </row>
    <row r="434" s="3330" customFormat="1" spans="1:44">
      <c r="A434" s="3340"/>
      <c r="B434" s="64"/>
      <c r="C434" s="3330">
        <f>+C428+1</f>
        <v>5</v>
      </c>
      <c r="D434" s="3501" t="str">
        <f>+D386</f>
        <v>Kredit Modal Kerja 3</v>
      </c>
      <c r="F434" s="3339"/>
      <c r="G434" s="3339"/>
      <c r="H434" s="3339"/>
      <c r="I434" s="3341"/>
      <c r="J434" s="3341"/>
      <c r="K434" s="3341"/>
      <c r="M434" s="3339"/>
      <c r="N434" s="3490"/>
      <c r="O434" s="64"/>
      <c r="P434" s="64"/>
      <c r="Q434" s="64"/>
      <c r="R434" s="64"/>
      <c r="S434" s="64"/>
      <c r="T434" s="64"/>
      <c r="U434" s="64"/>
      <c r="V434" s="64"/>
      <c r="W434" s="64"/>
      <c r="X434" s="64"/>
      <c r="Y434" s="64"/>
      <c r="Z434" s="64"/>
      <c r="AA434" s="64"/>
      <c r="AR434" s="3479"/>
    </row>
    <row r="435" s="3330" customFormat="1" spans="1:44">
      <c r="A435" s="3340"/>
      <c r="B435" s="64"/>
      <c r="D435" s="3488" t="s">
        <v>1914</v>
      </c>
      <c r="F435" s="3339"/>
      <c r="G435" s="3339"/>
      <c r="H435" s="3339"/>
      <c r="I435" s="3341"/>
      <c r="J435" s="3341"/>
      <c r="K435" s="3341"/>
      <c r="M435" s="5036" t="s">
        <v>225</v>
      </c>
      <c r="N435" s="3492">
        <f>+'AA1'!I34</f>
        <v>660000000</v>
      </c>
      <c r="O435" s="3492"/>
      <c r="P435" s="3492"/>
      <c r="Q435" s="3492"/>
      <c r="R435" s="3492"/>
      <c r="S435" s="3492"/>
      <c r="T435" s="3492"/>
      <c r="U435" s="64"/>
      <c r="V435" s="64"/>
      <c r="W435" s="64"/>
      <c r="X435" s="64"/>
      <c r="Y435" s="64"/>
      <c r="Z435" s="64"/>
      <c r="AA435" s="64"/>
      <c r="AR435" s="3479"/>
    </row>
    <row r="436" s="3330" customFormat="1" spans="1:44">
      <c r="A436" s="3340"/>
      <c r="B436" s="64"/>
      <c r="D436" s="3488" t="s">
        <v>1917</v>
      </c>
      <c r="F436" s="3339"/>
      <c r="G436" s="3339"/>
      <c r="H436" s="3339"/>
      <c r="I436" s="3341"/>
      <c r="J436" s="3341"/>
      <c r="K436" s="3341"/>
      <c r="L436" s="3341"/>
      <c r="M436" s="5036" t="s">
        <v>225</v>
      </c>
      <c r="N436" s="3490" t="s">
        <v>1926</v>
      </c>
      <c r="O436" s="64"/>
      <c r="P436" s="64"/>
      <c r="Q436" s="64"/>
      <c r="R436" s="64"/>
      <c r="S436" s="64"/>
      <c r="T436" s="64"/>
      <c r="U436" s="64"/>
      <c r="V436" s="64"/>
      <c r="W436" s="64"/>
      <c r="X436" s="64"/>
      <c r="Y436" s="64"/>
      <c r="Z436" s="64"/>
      <c r="AA436" s="64"/>
      <c r="AR436" s="3479"/>
    </row>
    <row r="437" s="3330" customFormat="1" spans="1:44">
      <c r="A437" s="3340"/>
      <c r="B437" s="64"/>
      <c r="D437" s="3488" t="s">
        <v>1919</v>
      </c>
      <c r="F437" s="64"/>
      <c r="G437" s="64"/>
      <c r="H437" s="64"/>
      <c r="I437" s="64"/>
      <c r="J437" s="64"/>
      <c r="K437" s="64"/>
      <c r="L437" s="64"/>
      <c r="M437" s="5036" t="s">
        <v>225</v>
      </c>
      <c r="N437" s="3491" t="s">
        <v>1927</v>
      </c>
      <c r="O437" s="2104"/>
      <c r="P437" s="2104"/>
      <c r="Q437" s="2104"/>
      <c r="R437" s="2104"/>
      <c r="S437" s="2104"/>
      <c r="T437" s="2104"/>
      <c r="U437" s="2104"/>
      <c r="V437" s="2104"/>
      <c r="W437" s="2104"/>
      <c r="X437" s="2104"/>
      <c r="Y437" s="2104"/>
      <c r="Z437" s="2104"/>
      <c r="AA437" s="2104"/>
      <c r="AB437" s="2104"/>
      <c r="AC437" s="2104"/>
      <c r="AD437" s="2104"/>
      <c r="AE437" s="2104"/>
      <c r="AF437" s="2104"/>
      <c r="AG437" s="2104"/>
      <c r="AH437" s="2104"/>
      <c r="AI437" s="2104"/>
      <c r="AJ437" s="2104"/>
      <c r="AK437" s="2104"/>
      <c r="AL437" s="2104"/>
      <c r="AM437" s="2104"/>
      <c r="AN437" s="2104"/>
      <c r="AO437" s="2104"/>
      <c r="AP437" s="2104"/>
      <c r="AR437" s="3479"/>
    </row>
    <row r="438" s="3330" customFormat="1" spans="1:44">
      <c r="A438" s="3340"/>
      <c r="B438" s="64"/>
      <c r="D438" s="3488"/>
      <c r="E438" s="64"/>
      <c r="F438" s="64"/>
      <c r="G438" s="64"/>
      <c r="H438" s="64"/>
      <c r="I438" s="64"/>
      <c r="J438" s="64"/>
      <c r="K438" s="64"/>
      <c r="L438" s="64"/>
      <c r="M438" s="3339"/>
      <c r="N438" s="2104"/>
      <c r="O438" s="2104"/>
      <c r="P438" s="2104"/>
      <c r="Q438" s="2104"/>
      <c r="R438" s="2104"/>
      <c r="S438" s="2104"/>
      <c r="T438" s="2104"/>
      <c r="U438" s="2104"/>
      <c r="V438" s="2104"/>
      <c r="W438" s="2104"/>
      <c r="X438" s="2104"/>
      <c r="Y438" s="2104"/>
      <c r="Z438" s="2104"/>
      <c r="AA438" s="2104"/>
      <c r="AB438" s="2104"/>
      <c r="AC438" s="2104"/>
      <c r="AD438" s="2104"/>
      <c r="AE438" s="2104"/>
      <c r="AF438" s="2104"/>
      <c r="AG438" s="2104"/>
      <c r="AH438" s="2104"/>
      <c r="AI438" s="2104"/>
      <c r="AJ438" s="2104"/>
      <c r="AK438" s="2104"/>
      <c r="AL438" s="2104"/>
      <c r="AM438" s="2104"/>
      <c r="AN438" s="2104"/>
      <c r="AO438" s="2104"/>
      <c r="AP438" s="2104"/>
      <c r="AR438" s="3479"/>
    </row>
    <row r="439" s="3330" customFormat="1" ht="9.6" customHeight="1" spans="1:44">
      <c r="A439" s="3340"/>
      <c r="B439" s="64"/>
      <c r="D439" s="3488"/>
      <c r="E439" s="64"/>
      <c r="F439" s="64"/>
      <c r="G439" s="64"/>
      <c r="H439" s="64"/>
      <c r="I439" s="64"/>
      <c r="J439" s="64"/>
      <c r="K439" s="64"/>
      <c r="L439" s="64"/>
      <c r="M439" s="3339"/>
      <c r="N439" s="3490"/>
      <c r="O439" s="64"/>
      <c r="P439" s="64"/>
      <c r="Q439" s="64"/>
      <c r="R439" s="64"/>
      <c r="S439" s="64"/>
      <c r="T439" s="64"/>
      <c r="U439" s="64"/>
      <c r="V439" s="64"/>
      <c r="W439" s="64"/>
      <c r="X439" s="64"/>
      <c r="Y439" s="64"/>
      <c r="Z439" s="64"/>
      <c r="AA439" s="64"/>
      <c r="AR439" s="3479"/>
    </row>
    <row r="440" s="3330" customFormat="1" spans="1:44">
      <c r="A440" s="3340"/>
      <c r="B440" s="64"/>
      <c r="C440" s="3330">
        <f>+C434+1</f>
        <v>6</v>
      </c>
      <c r="D440" s="3501" t="str">
        <f>+D387</f>
        <v>Pinjaman Modal Kerja Kompresor </v>
      </c>
      <c r="F440" s="3339"/>
      <c r="G440" s="3339"/>
      <c r="H440" s="3339"/>
      <c r="I440" s="3341"/>
      <c r="J440" s="3341"/>
      <c r="K440" s="3341"/>
      <c r="M440" s="3339"/>
      <c r="N440" s="3490"/>
      <c r="O440" s="64"/>
      <c r="P440" s="64"/>
      <c r="Q440" s="64"/>
      <c r="R440" s="64"/>
      <c r="S440" s="64"/>
      <c r="T440" s="64"/>
      <c r="U440" s="64"/>
      <c r="V440" s="64"/>
      <c r="W440" s="64"/>
      <c r="X440" s="64"/>
      <c r="Y440" s="64"/>
      <c r="Z440" s="64"/>
      <c r="AA440" s="64"/>
      <c r="AR440" s="3479"/>
    </row>
    <row r="441" s="3330" customFormat="1" spans="1:44">
      <c r="A441" s="3340"/>
      <c r="B441" s="64"/>
      <c r="D441" s="3488" t="s">
        <v>1914</v>
      </c>
      <c r="F441" s="3339"/>
      <c r="G441" s="3339"/>
      <c r="H441" s="3339"/>
      <c r="I441" s="3341"/>
      <c r="J441" s="3341"/>
      <c r="K441" s="3341"/>
      <c r="M441" s="5036" t="s">
        <v>225</v>
      </c>
      <c r="N441" s="3492">
        <f>+'AA1'!I62</f>
        <v>6094260000</v>
      </c>
      <c r="O441" s="3492"/>
      <c r="P441" s="3492"/>
      <c r="Q441" s="3492"/>
      <c r="R441" s="3492"/>
      <c r="S441" s="3492"/>
      <c r="T441" s="3492"/>
      <c r="U441" s="64"/>
      <c r="V441" s="64"/>
      <c r="W441" s="64"/>
      <c r="X441" s="64"/>
      <c r="Y441" s="64"/>
      <c r="Z441" s="64"/>
      <c r="AA441" s="64"/>
      <c r="AR441" s="3479"/>
    </row>
    <row r="442" s="3330" customFormat="1" spans="1:44">
      <c r="A442" s="3340"/>
      <c r="B442" s="64"/>
      <c r="D442" s="3488" t="s">
        <v>1917</v>
      </c>
      <c r="F442" s="3339"/>
      <c r="G442" s="3339"/>
      <c r="H442" s="3339"/>
      <c r="I442" s="3341"/>
      <c r="J442" s="3341"/>
      <c r="K442" s="3341"/>
      <c r="L442" s="3341"/>
      <c r="M442" s="5036" t="s">
        <v>225</v>
      </c>
      <c r="N442" s="3490" t="s">
        <v>1928</v>
      </c>
      <c r="O442" s="64"/>
      <c r="P442" s="64"/>
      <c r="Q442" s="64"/>
      <c r="R442" s="64"/>
      <c r="S442" s="64"/>
      <c r="T442" s="64"/>
      <c r="U442" s="64"/>
      <c r="V442" s="64"/>
      <c r="W442" s="64"/>
      <c r="X442" s="64"/>
      <c r="Y442" s="64"/>
      <c r="Z442" s="64"/>
      <c r="AA442" s="64"/>
      <c r="AR442" s="3479"/>
    </row>
    <row r="443" s="3330" customFormat="1" spans="1:44">
      <c r="A443" s="3340"/>
      <c r="B443" s="64"/>
      <c r="D443" s="3488" t="s">
        <v>1919</v>
      </c>
      <c r="F443" s="64"/>
      <c r="G443" s="64"/>
      <c r="H443" s="64"/>
      <c r="I443" s="64"/>
      <c r="J443" s="64"/>
      <c r="K443" s="64"/>
      <c r="L443" s="64"/>
      <c r="M443" s="5036" t="s">
        <v>225</v>
      </c>
      <c r="N443" s="3491" t="s">
        <v>1929</v>
      </c>
      <c r="O443" s="2104"/>
      <c r="P443" s="2104"/>
      <c r="Q443" s="2104"/>
      <c r="R443" s="2104"/>
      <c r="S443" s="2104"/>
      <c r="T443" s="2104"/>
      <c r="U443" s="2104"/>
      <c r="V443" s="2104"/>
      <c r="W443" s="2104"/>
      <c r="X443" s="2104"/>
      <c r="Y443" s="2104"/>
      <c r="Z443" s="2104"/>
      <c r="AA443" s="2104"/>
      <c r="AB443" s="2104"/>
      <c r="AC443" s="2104"/>
      <c r="AD443" s="2104"/>
      <c r="AE443" s="2104"/>
      <c r="AF443" s="2104"/>
      <c r="AG443" s="2104"/>
      <c r="AH443" s="2104"/>
      <c r="AI443" s="2104"/>
      <c r="AJ443" s="2104"/>
      <c r="AK443" s="2104"/>
      <c r="AL443" s="2104"/>
      <c r="AM443" s="2104"/>
      <c r="AN443" s="2104"/>
      <c r="AO443" s="2104"/>
      <c r="AP443" s="2104"/>
      <c r="AR443" s="3479"/>
    </row>
    <row r="444" s="3330" customFormat="1" spans="1:44">
      <c r="A444" s="3340"/>
      <c r="B444" s="64"/>
      <c r="D444" s="3488"/>
      <c r="F444" s="64"/>
      <c r="G444" s="64"/>
      <c r="H444" s="64"/>
      <c r="I444" s="64"/>
      <c r="J444" s="64"/>
      <c r="K444" s="64"/>
      <c r="L444" s="64"/>
      <c r="M444" s="3339"/>
      <c r="N444" s="3491"/>
      <c r="O444" s="2104"/>
      <c r="P444" s="2104"/>
      <c r="Q444" s="2104"/>
      <c r="R444" s="2104"/>
      <c r="S444" s="2104"/>
      <c r="T444" s="2104"/>
      <c r="U444" s="2104"/>
      <c r="V444" s="2104"/>
      <c r="W444" s="2104"/>
      <c r="X444" s="2104"/>
      <c r="Y444" s="2104"/>
      <c r="Z444" s="2104"/>
      <c r="AA444" s="2104"/>
      <c r="AB444" s="2104"/>
      <c r="AC444" s="2104"/>
      <c r="AD444" s="2104"/>
      <c r="AE444" s="2104"/>
      <c r="AF444" s="2104"/>
      <c r="AG444" s="2104"/>
      <c r="AH444" s="2104"/>
      <c r="AI444" s="2104"/>
      <c r="AJ444" s="2104"/>
      <c r="AK444" s="2104"/>
      <c r="AL444" s="2104"/>
      <c r="AM444" s="2104"/>
      <c r="AN444" s="2104"/>
      <c r="AO444" s="2104"/>
      <c r="AP444" s="2104"/>
      <c r="AR444" s="3479"/>
    </row>
    <row r="445" s="3330" customFormat="1" spans="1:44">
      <c r="A445" s="3340"/>
      <c r="B445" s="64"/>
      <c r="D445" s="3488"/>
      <c r="E445" s="64"/>
      <c r="F445" s="64"/>
      <c r="G445" s="64"/>
      <c r="H445" s="64"/>
      <c r="I445" s="64"/>
      <c r="J445" s="64"/>
      <c r="K445" s="64"/>
      <c r="L445" s="64"/>
      <c r="M445" s="3339"/>
      <c r="N445" s="2104"/>
      <c r="O445" s="2104"/>
      <c r="P445" s="2104"/>
      <c r="Q445" s="2104"/>
      <c r="R445" s="2104"/>
      <c r="S445" s="2104"/>
      <c r="T445" s="2104"/>
      <c r="U445" s="2104"/>
      <c r="V445" s="2104"/>
      <c r="W445" s="2104"/>
      <c r="X445" s="2104"/>
      <c r="Y445" s="2104"/>
      <c r="Z445" s="2104"/>
      <c r="AA445" s="2104"/>
      <c r="AB445" s="2104"/>
      <c r="AC445" s="2104"/>
      <c r="AD445" s="2104"/>
      <c r="AE445" s="2104"/>
      <c r="AF445" s="2104"/>
      <c r="AG445" s="2104"/>
      <c r="AH445" s="2104"/>
      <c r="AI445" s="2104"/>
      <c r="AJ445" s="2104"/>
      <c r="AK445" s="2104"/>
      <c r="AL445" s="2104"/>
      <c r="AM445" s="2104"/>
      <c r="AN445" s="2104"/>
      <c r="AO445" s="2104"/>
      <c r="AP445" s="2104"/>
      <c r="AR445" s="3479"/>
    </row>
    <row r="446" s="3330" customFormat="1" spans="1:44">
      <c r="A446" s="3340"/>
      <c r="B446" s="64"/>
      <c r="D446" s="3488"/>
      <c r="E446" s="64"/>
      <c r="F446" s="64"/>
      <c r="G446" s="64"/>
      <c r="H446" s="64"/>
      <c r="I446" s="64"/>
      <c r="J446" s="64"/>
      <c r="K446" s="64"/>
      <c r="L446" s="64"/>
      <c r="M446" s="3339"/>
      <c r="N446" s="2104"/>
      <c r="O446" s="2104"/>
      <c r="P446" s="2104"/>
      <c r="Q446" s="2104"/>
      <c r="R446" s="2104"/>
      <c r="S446" s="2104"/>
      <c r="T446" s="2104"/>
      <c r="U446" s="2104"/>
      <c r="V446" s="2104"/>
      <c r="W446" s="2104"/>
      <c r="X446" s="2104"/>
      <c r="Y446" s="2104"/>
      <c r="Z446" s="2104"/>
      <c r="AA446" s="2104"/>
      <c r="AB446" s="2104"/>
      <c r="AC446" s="2104"/>
      <c r="AD446" s="2104"/>
      <c r="AE446" s="2104"/>
      <c r="AF446" s="2104"/>
      <c r="AG446" s="2104"/>
      <c r="AH446" s="2104"/>
      <c r="AI446" s="2104"/>
      <c r="AJ446" s="2104"/>
      <c r="AK446" s="2104"/>
      <c r="AL446" s="2104"/>
      <c r="AM446" s="2104"/>
      <c r="AN446" s="2104"/>
      <c r="AO446" s="2104"/>
      <c r="AP446" s="2104"/>
      <c r="AR446" s="3479"/>
    </row>
    <row r="447" s="3330" customFormat="1" spans="1:44">
      <c r="A447" s="3340"/>
      <c r="B447" s="64"/>
      <c r="C447" s="3322"/>
      <c r="D447" s="3488"/>
      <c r="E447" s="64"/>
      <c r="F447" s="64"/>
      <c r="G447" s="64"/>
      <c r="H447" s="64"/>
      <c r="I447" s="64"/>
      <c r="J447" s="64"/>
      <c r="K447" s="64"/>
      <c r="L447" s="64"/>
      <c r="M447" s="3339"/>
      <c r="N447" s="2104"/>
      <c r="O447" s="2104"/>
      <c r="P447" s="2104"/>
      <c r="Q447" s="2104"/>
      <c r="R447" s="2104"/>
      <c r="S447" s="2104"/>
      <c r="T447" s="2104"/>
      <c r="U447" s="2104"/>
      <c r="V447" s="2104"/>
      <c r="W447" s="2104"/>
      <c r="X447" s="2104"/>
      <c r="Y447" s="2104"/>
      <c r="Z447" s="2104"/>
      <c r="AA447" s="2104"/>
      <c r="AB447" s="2104"/>
      <c r="AC447" s="2104"/>
      <c r="AD447" s="2104"/>
      <c r="AE447" s="2104"/>
      <c r="AF447" s="2104"/>
      <c r="AG447" s="2104"/>
      <c r="AH447" s="2104"/>
      <c r="AI447" s="2104"/>
      <c r="AJ447" s="2104"/>
      <c r="AK447" s="2104"/>
      <c r="AL447" s="2104"/>
      <c r="AM447" s="2104"/>
      <c r="AN447" s="2104"/>
      <c r="AO447" s="2104"/>
      <c r="AP447" s="2104"/>
      <c r="AR447" s="3479"/>
    </row>
    <row r="448" s="3330" customFormat="1" spans="1:44">
      <c r="A448" s="3340"/>
      <c r="B448" s="64"/>
      <c r="C448" s="3322"/>
      <c r="D448" s="3488"/>
      <c r="E448" s="64"/>
      <c r="F448" s="64"/>
      <c r="G448" s="64"/>
      <c r="H448" s="64"/>
      <c r="I448" s="64"/>
      <c r="J448" s="64"/>
      <c r="K448" s="64"/>
      <c r="L448" s="64"/>
      <c r="M448" s="3339"/>
      <c r="N448" s="3490"/>
      <c r="O448" s="64"/>
      <c r="P448" s="64"/>
      <c r="Q448" s="64"/>
      <c r="R448" s="64"/>
      <c r="S448" s="64"/>
      <c r="T448" s="64"/>
      <c r="U448" s="64"/>
      <c r="V448" s="64"/>
      <c r="W448" s="64"/>
      <c r="X448" s="64"/>
      <c r="Y448" s="64"/>
      <c r="Z448" s="64"/>
      <c r="AA448" s="64"/>
      <c r="AR448" s="3479"/>
    </row>
    <row r="449" s="3330" customFormat="1" spans="1:44">
      <c r="A449" s="3340"/>
      <c r="B449" s="64"/>
      <c r="C449" s="5059" t="s">
        <v>1930</v>
      </c>
      <c r="D449" s="2146"/>
      <c r="E449" s="2146"/>
      <c r="F449" s="2146"/>
      <c r="G449" s="2146"/>
      <c r="H449" s="2146"/>
      <c r="I449" s="2146"/>
      <c r="J449" s="2146"/>
      <c r="K449" s="2146"/>
      <c r="L449" s="2146"/>
      <c r="M449" s="2146"/>
      <c r="N449" s="2146"/>
      <c r="O449" s="2146"/>
      <c r="P449" s="2146"/>
      <c r="Q449" s="2146"/>
      <c r="R449" s="2146"/>
      <c r="S449" s="2146"/>
      <c r="T449" s="2146"/>
      <c r="U449" s="2146"/>
      <c r="V449" s="2146"/>
      <c r="W449" s="2146"/>
      <c r="X449" s="2146"/>
      <c r="Y449" s="2146"/>
      <c r="Z449" s="2146"/>
      <c r="AA449" s="2146"/>
      <c r="AB449" s="2146"/>
      <c r="AC449" s="2146"/>
      <c r="AD449" s="2146"/>
      <c r="AE449" s="2146"/>
      <c r="AF449" s="2146"/>
      <c r="AG449" s="2146"/>
      <c r="AH449" s="2146"/>
      <c r="AI449" s="2146"/>
      <c r="AJ449" s="2146"/>
      <c r="AK449" s="2146"/>
      <c r="AL449" s="2146"/>
      <c r="AM449" s="2146"/>
      <c r="AN449" s="2146"/>
      <c r="AO449" s="2104"/>
      <c r="AP449" s="2104"/>
      <c r="AR449" s="3479"/>
    </row>
    <row r="450" s="3330" customFormat="1" spans="1:44">
      <c r="A450" s="3340"/>
      <c r="B450" s="64"/>
      <c r="C450" s="2104"/>
      <c r="D450" s="2104"/>
      <c r="E450" s="2104"/>
      <c r="F450" s="2104"/>
      <c r="G450" s="2104"/>
      <c r="H450" s="2104"/>
      <c r="I450" s="2104"/>
      <c r="J450" s="2104"/>
      <c r="K450" s="2104"/>
      <c r="L450" s="2104"/>
      <c r="M450" s="2104"/>
      <c r="N450" s="2104"/>
      <c r="O450" s="2104"/>
      <c r="P450" s="2104"/>
      <c r="Q450" s="2104"/>
      <c r="R450" s="2104"/>
      <c r="S450" s="2104"/>
      <c r="T450" s="2104"/>
      <c r="U450" s="2104"/>
      <c r="V450" s="2104"/>
      <c r="W450" s="2104"/>
      <c r="X450" s="2104"/>
      <c r="Y450" s="2104"/>
      <c r="Z450" s="2104"/>
      <c r="AA450" s="2104"/>
      <c r="AB450" s="2104"/>
      <c r="AC450" s="2104"/>
      <c r="AD450" s="2104"/>
      <c r="AE450" s="2104"/>
      <c r="AF450" s="2104"/>
      <c r="AG450" s="2104"/>
      <c r="AH450" s="2104"/>
      <c r="AI450" s="2104"/>
      <c r="AJ450" s="2104"/>
      <c r="AK450" s="2104"/>
      <c r="AL450" s="2104"/>
      <c r="AM450" s="2104"/>
      <c r="AN450" s="2104"/>
      <c r="AO450" s="2104"/>
      <c r="AP450" s="2104"/>
      <c r="AR450" s="3479"/>
    </row>
    <row r="451" s="3330" customFormat="1" spans="1:44">
      <c r="A451" s="3340"/>
      <c r="B451" s="64"/>
      <c r="C451" s="2104"/>
      <c r="D451" s="2104"/>
      <c r="E451" s="2104"/>
      <c r="F451" s="2104"/>
      <c r="G451" s="2104"/>
      <c r="H451" s="2104"/>
      <c r="I451" s="2104"/>
      <c r="J451" s="2104"/>
      <c r="K451" s="2104"/>
      <c r="L451" s="2104"/>
      <c r="M451" s="2104"/>
      <c r="N451" s="2104"/>
      <c r="O451" s="2104"/>
      <c r="P451" s="2104"/>
      <c r="Q451" s="2104"/>
      <c r="R451" s="2104"/>
      <c r="S451" s="2104"/>
      <c r="T451" s="2104"/>
      <c r="U451" s="2104"/>
      <c r="V451" s="2104"/>
      <c r="W451" s="2104"/>
      <c r="X451" s="2104"/>
      <c r="Y451" s="2104"/>
      <c r="Z451" s="2104"/>
      <c r="AA451" s="2104"/>
      <c r="AB451" s="2104"/>
      <c r="AC451" s="2104"/>
      <c r="AD451" s="2104"/>
      <c r="AE451" s="2104"/>
      <c r="AF451" s="2104"/>
      <c r="AG451" s="2104"/>
      <c r="AH451" s="2104"/>
      <c r="AI451" s="2104"/>
      <c r="AJ451" s="2104"/>
      <c r="AK451" s="2104"/>
      <c r="AL451" s="2104"/>
      <c r="AM451" s="2104"/>
      <c r="AN451" s="2104"/>
      <c r="AO451" s="2104"/>
      <c r="AP451" s="2104"/>
      <c r="AR451" s="3479"/>
    </row>
    <row r="452" s="3330" customFormat="1" spans="1:44">
      <c r="A452" s="3340"/>
      <c r="B452" s="64"/>
      <c r="C452" s="2104"/>
      <c r="D452" s="2104"/>
      <c r="E452" s="2104"/>
      <c r="F452" s="2104"/>
      <c r="G452" s="2104"/>
      <c r="H452" s="2104"/>
      <c r="I452" s="2104"/>
      <c r="J452" s="2104"/>
      <c r="K452" s="2104"/>
      <c r="L452" s="2104"/>
      <c r="M452" s="2104"/>
      <c r="N452" s="2104"/>
      <c r="O452" s="2104"/>
      <c r="P452" s="2104"/>
      <c r="Q452" s="2104"/>
      <c r="R452" s="2104"/>
      <c r="S452" s="2104"/>
      <c r="T452" s="2104"/>
      <c r="U452" s="2104"/>
      <c r="V452" s="2104"/>
      <c r="W452" s="2104"/>
      <c r="X452" s="2104"/>
      <c r="Y452" s="2104"/>
      <c r="Z452" s="2104"/>
      <c r="AA452" s="2104"/>
      <c r="AB452" s="2104"/>
      <c r="AC452" s="2104"/>
      <c r="AD452" s="2104"/>
      <c r="AE452" s="2104"/>
      <c r="AF452" s="2104"/>
      <c r="AG452" s="2104"/>
      <c r="AH452" s="2104"/>
      <c r="AI452" s="2104"/>
      <c r="AJ452" s="2104"/>
      <c r="AK452" s="2104"/>
      <c r="AL452" s="2104"/>
      <c r="AM452" s="2104"/>
      <c r="AN452" s="2104"/>
      <c r="AO452" s="2104"/>
      <c r="AP452" s="2104"/>
      <c r="AR452" s="3479"/>
    </row>
    <row r="453" s="3330" customFormat="1" spans="1:44">
      <c r="A453" s="3340"/>
      <c r="B453" s="64"/>
      <c r="C453" s="2104"/>
      <c r="D453" s="2104"/>
      <c r="E453" s="2104"/>
      <c r="F453" s="2104"/>
      <c r="G453" s="2104"/>
      <c r="H453" s="2104"/>
      <c r="I453" s="2104"/>
      <c r="J453" s="2104"/>
      <c r="K453" s="2104"/>
      <c r="L453" s="2104"/>
      <c r="M453" s="2104"/>
      <c r="N453" s="2104"/>
      <c r="O453" s="2104"/>
      <c r="P453" s="2104"/>
      <c r="Q453" s="2104"/>
      <c r="R453" s="2104"/>
      <c r="S453" s="2104"/>
      <c r="T453" s="2104"/>
      <c r="U453" s="2104"/>
      <c r="V453" s="2104"/>
      <c r="W453" s="2104"/>
      <c r="X453" s="2104"/>
      <c r="Y453" s="2104"/>
      <c r="Z453" s="2104"/>
      <c r="AA453" s="2104"/>
      <c r="AB453" s="2104"/>
      <c r="AC453" s="2104"/>
      <c r="AD453" s="2104"/>
      <c r="AE453" s="2104"/>
      <c r="AF453" s="2104"/>
      <c r="AG453" s="2104"/>
      <c r="AH453" s="2104"/>
      <c r="AI453" s="2104"/>
      <c r="AJ453" s="2104"/>
      <c r="AK453" s="2104"/>
      <c r="AL453" s="2104"/>
      <c r="AM453" s="2104"/>
      <c r="AN453" s="2104"/>
      <c r="AO453" s="2104"/>
      <c r="AP453" s="2104"/>
      <c r="AR453" s="3479"/>
    </row>
    <row r="454" s="3330" customFormat="1" spans="1:44">
      <c r="A454" s="3340"/>
      <c r="B454" s="64"/>
      <c r="D454" s="3488"/>
      <c r="E454" s="64"/>
      <c r="F454" s="64"/>
      <c r="G454" s="64"/>
      <c r="H454" s="64"/>
      <c r="I454" s="64"/>
      <c r="J454" s="64"/>
      <c r="K454" s="64"/>
      <c r="L454" s="64"/>
      <c r="M454" s="3339"/>
      <c r="N454" s="3490"/>
      <c r="O454" s="64"/>
      <c r="P454" s="64"/>
      <c r="Q454" s="64"/>
      <c r="R454" s="64"/>
      <c r="S454" s="64"/>
      <c r="T454" s="64"/>
      <c r="U454" s="64"/>
      <c r="V454" s="64"/>
      <c r="W454" s="64"/>
      <c r="X454" s="64"/>
      <c r="Y454" s="64"/>
      <c r="Z454" s="64"/>
      <c r="AA454" s="64"/>
      <c r="AR454" s="3479"/>
    </row>
    <row r="455" s="3330" customFormat="1" spans="1:44">
      <c r="A455" s="3340"/>
      <c r="B455" s="64"/>
      <c r="D455" s="3488"/>
      <c r="E455" s="64"/>
      <c r="F455" s="64"/>
      <c r="G455" s="64"/>
      <c r="H455" s="64"/>
      <c r="I455" s="64"/>
      <c r="J455" s="64"/>
      <c r="K455" s="64"/>
      <c r="L455" s="64"/>
      <c r="M455" s="3339"/>
      <c r="N455" s="3490"/>
      <c r="O455" s="64"/>
      <c r="P455" s="64"/>
      <c r="Q455" s="64"/>
      <c r="R455" s="64"/>
      <c r="S455" s="64"/>
      <c r="T455" s="64"/>
      <c r="U455" s="64"/>
      <c r="V455" s="64"/>
      <c r="W455" s="64"/>
      <c r="X455" s="64"/>
      <c r="Y455" s="64"/>
      <c r="Z455" s="64"/>
      <c r="AA455" s="64"/>
      <c r="AR455" s="3479"/>
    </row>
    <row r="456" s="3330" customFormat="1" spans="1:44">
      <c r="A456" s="3340"/>
      <c r="B456" s="64"/>
      <c r="D456" s="3488"/>
      <c r="E456" s="64"/>
      <c r="F456" s="64"/>
      <c r="G456" s="64"/>
      <c r="H456" s="64"/>
      <c r="I456" s="64"/>
      <c r="J456" s="64"/>
      <c r="K456" s="64"/>
      <c r="L456" s="64"/>
      <c r="M456" s="3339"/>
      <c r="N456" s="3490"/>
      <c r="O456" s="64"/>
      <c r="P456" s="64"/>
      <c r="Q456" s="64"/>
      <c r="R456" s="64"/>
      <c r="S456" s="64"/>
      <c r="T456" s="64"/>
      <c r="U456" s="64"/>
      <c r="V456" s="64"/>
      <c r="W456" s="64"/>
      <c r="X456" s="64"/>
      <c r="Y456" s="64"/>
      <c r="Z456" s="64"/>
      <c r="AA456" s="64"/>
      <c r="AR456" s="3479"/>
    </row>
    <row r="457" s="3330" customFormat="1" spans="1:44">
      <c r="A457" s="3340"/>
      <c r="B457" s="64"/>
      <c r="D457" s="3488"/>
      <c r="E457" s="64"/>
      <c r="F457" s="64"/>
      <c r="G457" s="64"/>
      <c r="H457" s="64"/>
      <c r="I457" s="64"/>
      <c r="J457" s="64"/>
      <c r="K457" s="64"/>
      <c r="L457" s="64"/>
      <c r="M457" s="3339"/>
      <c r="N457" s="3490"/>
      <c r="O457" s="64"/>
      <c r="P457" s="64"/>
      <c r="Q457" s="64"/>
      <c r="R457" s="64"/>
      <c r="S457" s="64"/>
      <c r="T457" s="64"/>
      <c r="U457" s="64"/>
      <c r="V457" s="64"/>
      <c r="W457" s="64"/>
      <c r="X457" s="64"/>
      <c r="Y457" s="64"/>
      <c r="Z457" s="64"/>
      <c r="AA457" s="64"/>
      <c r="AR457" s="3479"/>
    </row>
    <row r="458" s="3330" customFormat="1" spans="1:44">
      <c r="A458" s="3340"/>
      <c r="B458" s="64"/>
      <c r="D458" s="3488"/>
      <c r="E458" s="64"/>
      <c r="F458" s="64"/>
      <c r="G458" s="64"/>
      <c r="H458" s="64"/>
      <c r="I458" s="64"/>
      <c r="J458" s="64"/>
      <c r="K458" s="64"/>
      <c r="L458" s="64"/>
      <c r="M458" s="3339"/>
      <c r="N458" s="3490"/>
      <c r="O458" s="64"/>
      <c r="P458" s="64"/>
      <c r="Q458" s="64"/>
      <c r="R458" s="64"/>
      <c r="S458" s="64"/>
      <c r="T458" s="64"/>
      <c r="U458" s="64"/>
      <c r="V458" s="64"/>
      <c r="W458" s="64"/>
      <c r="X458" s="64"/>
      <c r="Y458" s="64"/>
      <c r="Z458" s="64"/>
      <c r="AA458" s="64"/>
      <c r="AR458" s="3479"/>
    </row>
    <row r="459" s="3330" customFormat="1" spans="1:44">
      <c r="A459" s="3340"/>
      <c r="B459" s="64"/>
      <c r="D459" s="3488"/>
      <c r="E459" s="64"/>
      <c r="F459" s="64"/>
      <c r="G459" s="64"/>
      <c r="H459" s="64"/>
      <c r="I459" s="64"/>
      <c r="J459" s="64"/>
      <c r="K459" s="64"/>
      <c r="L459" s="64"/>
      <c r="M459" s="3339"/>
      <c r="N459" s="3490"/>
      <c r="O459" s="64"/>
      <c r="P459" s="64"/>
      <c r="Q459" s="64"/>
      <c r="R459" s="64"/>
      <c r="S459" s="64"/>
      <c r="T459" s="64"/>
      <c r="U459" s="64"/>
      <c r="V459" s="64"/>
      <c r="W459" s="64"/>
      <c r="X459" s="64"/>
      <c r="Y459" s="64"/>
      <c r="Z459" s="64"/>
      <c r="AA459" s="64"/>
      <c r="AR459" s="3479"/>
    </row>
    <row r="460" s="3330" customFormat="1" spans="1:44">
      <c r="A460" s="3340"/>
      <c r="B460" s="64"/>
      <c r="D460" s="3488"/>
      <c r="E460" s="64"/>
      <c r="F460" s="64"/>
      <c r="G460" s="64"/>
      <c r="H460" s="64"/>
      <c r="I460" s="64"/>
      <c r="J460" s="64"/>
      <c r="K460" s="64"/>
      <c r="L460" s="64"/>
      <c r="M460" s="3339"/>
      <c r="N460" s="3490"/>
      <c r="O460" s="64"/>
      <c r="P460" s="64"/>
      <c r="Q460" s="64"/>
      <c r="R460" s="64"/>
      <c r="S460" s="64"/>
      <c r="T460" s="64"/>
      <c r="U460" s="64"/>
      <c r="V460" s="64"/>
      <c r="W460" s="64"/>
      <c r="X460" s="64"/>
      <c r="Y460" s="64"/>
      <c r="Z460" s="64"/>
      <c r="AA460" s="64"/>
      <c r="AR460" s="3479"/>
    </row>
    <row r="461" s="3330" customFormat="1" spans="1:44">
      <c r="A461" s="3340"/>
      <c r="B461" s="64"/>
      <c r="D461" s="3488"/>
      <c r="E461" s="64"/>
      <c r="F461" s="64"/>
      <c r="G461" s="64"/>
      <c r="H461" s="64"/>
      <c r="I461" s="64"/>
      <c r="J461" s="64"/>
      <c r="K461" s="64"/>
      <c r="L461" s="64"/>
      <c r="M461" s="3339"/>
      <c r="N461" s="3490"/>
      <c r="O461" s="64"/>
      <c r="P461" s="64"/>
      <c r="Q461" s="64"/>
      <c r="R461" s="64"/>
      <c r="S461" s="64"/>
      <c r="T461" s="64"/>
      <c r="U461" s="64"/>
      <c r="V461" s="64"/>
      <c r="W461" s="64"/>
      <c r="X461" s="64"/>
      <c r="Y461" s="64"/>
      <c r="Z461" s="64"/>
      <c r="AA461" s="64"/>
      <c r="AR461" s="3479"/>
    </row>
    <row r="462" s="3330" customFormat="1" spans="1:44">
      <c r="A462" s="3340"/>
      <c r="B462" s="64"/>
      <c r="D462" s="3488"/>
      <c r="E462" s="64"/>
      <c r="F462" s="64"/>
      <c r="G462" s="64"/>
      <c r="H462" s="64"/>
      <c r="I462" s="64"/>
      <c r="J462" s="64"/>
      <c r="K462" s="64"/>
      <c r="L462" s="64"/>
      <c r="M462" s="3339"/>
      <c r="N462" s="3490"/>
      <c r="O462" s="64"/>
      <c r="P462" s="64"/>
      <c r="Q462" s="64"/>
      <c r="R462" s="64"/>
      <c r="S462" s="64"/>
      <c r="T462" s="64"/>
      <c r="U462" s="64"/>
      <c r="V462" s="64"/>
      <c r="W462" s="64"/>
      <c r="X462" s="64"/>
      <c r="Y462" s="64"/>
      <c r="Z462" s="64"/>
      <c r="AA462" s="64"/>
      <c r="AR462" s="3479"/>
    </row>
    <row r="463" s="3330" customFormat="1" spans="1:44">
      <c r="A463" s="3340"/>
      <c r="B463" s="64"/>
      <c r="D463" s="3488"/>
      <c r="E463" s="64"/>
      <c r="F463" s="64"/>
      <c r="G463" s="64"/>
      <c r="H463" s="64"/>
      <c r="I463" s="64"/>
      <c r="J463" s="64"/>
      <c r="K463" s="64"/>
      <c r="L463" s="64"/>
      <c r="M463" s="3339"/>
      <c r="N463" s="3490"/>
      <c r="O463" s="64"/>
      <c r="P463" s="64"/>
      <c r="Q463" s="64"/>
      <c r="R463" s="64"/>
      <c r="S463" s="64"/>
      <c r="T463" s="64"/>
      <c r="U463" s="64"/>
      <c r="V463" s="64"/>
      <c r="W463" s="64"/>
      <c r="X463" s="64"/>
      <c r="Y463" s="64"/>
      <c r="Z463" s="64"/>
      <c r="AA463" s="64"/>
      <c r="AR463" s="3479"/>
    </row>
    <row r="464" s="3330" customFormat="1" ht="11.4" spans="1:44">
      <c r="A464" s="3385">
        <f>+A394+1</f>
        <v>14</v>
      </c>
      <c r="B464" s="3385"/>
      <c r="C464" s="3385"/>
      <c r="D464" s="3385"/>
      <c r="E464" s="3385"/>
      <c r="F464" s="3385"/>
      <c r="G464" s="3385"/>
      <c r="H464" s="3385"/>
      <c r="I464" s="3385"/>
      <c r="J464" s="3385"/>
      <c r="K464" s="3385"/>
      <c r="L464" s="3385"/>
      <c r="M464" s="3385"/>
      <c r="N464" s="3385"/>
      <c r="O464" s="3385"/>
      <c r="P464" s="3385"/>
      <c r="Q464" s="3385"/>
      <c r="R464" s="3385"/>
      <c r="S464" s="3385"/>
      <c r="T464" s="3385"/>
      <c r="U464" s="3385"/>
      <c r="V464" s="3385"/>
      <c r="W464" s="3385"/>
      <c r="X464" s="3385"/>
      <c r="Y464" s="3385"/>
      <c r="Z464" s="3385"/>
      <c r="AA464" s="3385"/>
      <c r="AB464" s="3385"/>
      <c r="AC464" s="3385"/>
      <c r="AD464" s="3385"/>
      <c r="AE464" s="3385"/>
      <c r="AF464" s="3385"/>
      <c r="AG464" s="3385"/>
      <c r="AH464" s="3385"/>
      <c r="AI464" s="3385"/>
      <c r="AJ464" s="3385"/>
      <c r="AK464" s="3385"/>
      <c r="AL464" s="3385"/>
      <c r="AM464" s="3385"/>
      <c r="AN464" s="3385"/>
      <c r="AO464" s="3385"/>
      <c r="AP464" s="3385"/>
      <c r="AR464" s="3479"/>
    </row>
    <row r="465" s="3330" customFormat="1" spans="1:44">
      <c r="A465" s="3335">
        <f>+A395</f>
        <v>12</v>
      </c>
      <c r="B465" s="3315"/>
      <c r="C465" s="3322" t="s">
        <v>1910</v>
      </c>
      <c r="D465" s="64"/>
      <c r="E465" s="64"/>
      <c r="F465" s="64"/>
      <c r="G465" s="64"/>
      <c r="H465" s="64"/>
      <c r="I465" s="64"/>
      <c r="J465" s="64"/>
      <c r="K465" s="64"/>
      <c r="L465" s="64"/>
      <c r="M465" s="3339"/>
      <c r="N465" s="3490"/>
      <c r="O465" s="64"/>
      <c r="P465" s="64"/>
      <c r="Q465" s="64"/>
      <c r="R465" s="64"/>
      <c r="S465" s="64"/>
      <c r="T465" s="64"/>
      <c r="U465" s="64"/>
      <c r="V465" s="64"/>
      <c r="W465" s="64"/>
      <c r="X465" s="64"/>
      <c r="Y465" s="64"/>
      <c r="Z465" s="64"/>
      <c r="AA465" s="64"/>
      <c r="AR465" s="3479"/>
    </row>
    <row r="466" s="3330" customFormat="1" ht="7.5" customHeight="1" spans="1:44">
      <c r="A466" s="3340"/>
      <c r="B466" s="64"/>
      <c r="D466" s="3480"/>
      <c r="F466" s="3339"/>
      <c r="G466" s="3339"/>
      <c r="H466" s="64"/>
      <c r="I466" s="64"/>
      <c r="J466" s="64"/>
      <c r="K466" s="64"/>
      <c r="L466" s="64"/>
      <c r="M466" s="3339"/>
      <c r="N466" s="3490"/>
      <c r="O466" s="64"/>
      <c r="P466" s="64"/>
      <c r="Q466" s="64"/>
      <c r="R466" s="64"/>
      <c r="S466" s="64"/>
      <c r="T466" s="64"/>
      <c r="U466" s="64"/>
      <c r="V466" s="64"/>
      <c r="W466" s="64"/>
      <c r="X466" s="64"/>
      <c r="Y466" s="64"/>
      <c r="Z466" s="64"/>
      <c r="AA466" s="64"/>
      <c r="AR466" s="3479"/>
    </row>
    <row r="467" s="3330" customFormat="1" spans="1:44">
      <c r="A467" s="3340"/>
      <c r="B467" s="64"/>
      <c r="C467" s="94" t="s">
        <v>1911</v>
      </c>
      <c r="D467" s="3484"/>
      <c r="F467" s="3339"/>
      <c r="G467" s="3339"/>
      <c r="H467" s="64"/>
      <c r="I467" s="64"/>
      <c r="J467" s="64"/>
      <c r="K467" s="64"/>
      <c r="L467" s="64"/>
      <c r="M467" s="3339"/>
      <c r="N467" s="3490"/>
      <c r="O467" s="64"/>
      <c r="P467" s="64"/>
      <c r="Q467" s="64"/>
      <c r="R467" s="64"/>
      <c r="S467" s="64"/>
      <c r="T467" s="64"/>
      <c r="U467" s="64"/>
      <c r="V467" s="64"/>
      <c r="W467" s="64"/>
      <c r="X467" s="64"/>
      <c r="Y467" s="64"/>
      <c r="Z467" s="64"/>
      <c r="AA467" s="64"/>
      <c r="AR467" s="3479"/>
    </row>
    <row r="468" s="3330" customFormat="1" ht="5.45" customHeight="1" spans="1:44">
      <c r="A468" s="3340"/>
      <c r="B468" s="64"/>
      <c r="D468" s="3488"/>
      <c r="E468" s="64"/>
      <c r="F468" s="64"/>
      <c r="G468" s="64"/>
      <c r="H468" s="64"/>
      <c r="I468" s="64"/>
      <c r="J468" s="64"/>
      <c r="K468" s="64"/>
      <c r="L468" s="64"/>
      <c r="M468" s="3339"/>
      <c r="N468" s="3490"/>
      <c r="O468" s="64"/>
      <c r="P468" s="64"/>
      <c r="Q468" s="64"/>
      <c r="R468" s="64"/>
      <c r="S468" s="64"/>
      <c r="T468" s="64"/>
      <c r="U468" s="64"/>
      <c r="V468" s="64"/>
      <c r="W468" s="64"/>
      <c r="X468" s="64"/>
      <c r="Y468" s="64"/>
      <c r="Z468" s="64"/>
      <c r="AA468" s="64"/>
      <c r="AR468" s="3479"/>
    </row>
    <row r="469" s="3330" customFormat="1" spans="1:44">
      <c r="A469" s="3340"/>
      <c r="B469" s="64"/>
      <c r="C469" s="3480" t="s">
        <v>148</v>
      </c>
      <c r="D469" s="3502" t="s">
        <v>1931</v>
      </c>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R469" s="3479"/>
    </row>
    <row r="470" s="3330" customFormat="1" ht="9.6" customHeight="1" spans="1:44">
      <c r="A470" s="3340"/>
      <c r="B470" s="64"/>
      <c r="C470" s="3322"/>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R470" s="3479"/>
    </row>
    <row r="471" s="3330" customFormat="1" spans="1:44">
      <c r="A471" s="3340"/>
      <c r="B471" s="64"/>
      <c r="C471" s="3330">
        <f>C470+1</f>
        <v>1</v>
      </c>
      <c r="D471" s="2104" t="s">
        <v>1932</v>
      </c>
      <c r="E471" s="2104"/>
      <c r="F471" s="2104"/>
      <c r="G471" s="2104"/>
      <c r="H471" s="2104"/>
      <c r="I471" s="2104"/>
      <c r="J471" s="2104"/>
      <c r="K471" s="2104"/>
      <c r="L471" s="2104"/>
      <c r="M471" s="2104"/>
      <c r="N471" s="2104"/>
      <c r="O471" s="2104"/>
      <c r="P471" s="2104"/>
      <c r="Q471" s="2104"/>
      <c r="R471" s="2104"/>
      <c r="S471" s="2104"/>
      <c r="T471" s="2104"/>
      <c r="U471" s="2104"/>
      <c r="V471" s="2104"/>
      <c r="W471" s="2104"/>
      <c r="X471" s="2104"/>
      <c r="Y471" s="2104"/>
      <c r="Z471" s="2104"/>
      <c r="AA471" s="2104"/>
      <c r="AB471" s="2104"/>
      <c r="AC471" s="2104"/>
      <c r="AD471" s="2104"/>
      <c r="AE471" s="2104"/>
      <c r="AF471" s="2104"/>
      <c r="AG471" s="2104"/>
      <c r="AH471" s="2104"/>
      <c r="AI471" s="2104"/>
      <c r="AJ471" s="2104"/>
      <c r="AK471" s="2104"/>
      <c r="AL471" s="2104"/>
      <c r="AM471" s="2104"/>
      <c r="AN471" s="2104"/>
      <c r="AO471" s="2104"/>
      <c r="AP471" s="2104"/>
      <c r="AR471" s="3479"/>
    </row>
    <row r="472" s="3330" customFormat="1" spans="1:44">
      <c r="A472" s="3340"/>
      <c r="B472" s="64"/>
      <c r="D472" s="2104"/>
      <c r="E472" s="2104"/>
      <c r="F472" s="2104"/>
      <c r="G472" s="2104"/>
      <c r="H472" s="2104"/>
      <c r="I472" s="2104"/>
      <c r="J472" s="2104"/>
      <c r="K472" s="2104"/>
      <c r="L472" s="2104"/>
      <c r="M472" s="2104"/>
      <c r="N472" s="2104"/>
      <c r="O472" s="2104"/>
      <c r="P472" s="2104"/>
      <c r="Q472" s="2104"/>
      <c r="R472" s="2104"/>
      <c r="S472" s="2104"/>
      <c r="T472" s="2104"/>
      <c r="U472" s="2104"/>
      <c r="V472" s="2104"/>
      <c r="W472" s="2104"/>
      <c r="X472" s="2104"/>
      <c r="Y472" s="2104"/>
      <c r="Z472" s="2104"/>
      <c r="AA472" s="2104"/>
      <c r="AB472" s="2104"/>
      <c r="AC472" s="2104"/>
      <c r="AD472" s="2104"/>
      <c r="AE472" s="2104"/>
      <c r="AF472" s="2104"/>
      <c r="AG472" s="2104"/>
      <c r="AH472" s="2104"/>
      <c r="AI472" s="2104"/>
      <c r="AJ472" s="2104"/>
      <c r="AK472" s="2104"/>
      <c r="AL472" s="2104"/>
      <c r="AM472" s="2104"/>
      <c r="AN472" s="2104"/>
      <c r="AO472" s="2104"/>
      <c r="AP472" s="2104"/>
      <c r="AR472" s="3479"/>
    </row>
    <row r="473" s="3330" customFormat="1" spans="1:44">
      <c r="A473" s="3340"/>
      <c r="B473" s="64"/>
      <c r="D473" s="2104"/>
      <c r="E473" s="2104"/>
      <c r="F473" s="2104"/>
      <c r="G473" s="2104"/>
      <c r="H473" s="2104"/>
      <c r="I473" s="2104"/>
      <c r="J473" s="2104"/>
      <c r="K473" s="2104"/>
      <c r="L473" s="2104"/>
      <c r="M473" s="2104"/>
      <c r="N473" s="2104"/>
      <c r="O473" s="2104"/>
      <c r="P473" s="2104"/>
      <c r="Q473" s="2104"/>
      <c r="R473" s="2104"/>
      <c r="S473" s="2104"/>
      <c r="T473" s="2104"/>
      <c r="U473" s="2104"/>
      <c r="V473" s="2104"/>
      <c r="W473" s="2104"/>
      <c r="X473" s="2104"/>
      <c r="Y473" s="2104"/>
      <c r="Z473" s="2104"/>
      <c r="AA473" s="2104"/>
      <c r="AB473" s="2104"/>
      <c r="AC473" s="2104"/>
      <c r="AD473" s="2104"/>
      <c r="AE473" s="2104"/>
      <c r="AF473" s="2104"/>
      <c r="AG473" s="2104"/>
      <c r="AH473" s="2104"/>
      <c r="AI473" s="2104"/>
      <c r="AJ473" s="2104"/>
      <c r="AK473" s="2104"/>
      <c r="AL473" s="2104"/>
      <c r="AM473" s="2104"/>
      <c r="AN473" s="2104"/>
      <c r="AO473" s="2104"/>
      <c r="AP473" s="2104"/>
      <c r="AR473" s="3479"/>
    </row>
    <row r="474" s="3330" customFormat="1" spans="1:44">
      <c r="A474" s="3340"/>
      <c r="B474" s="64"/>
      <c r="D474" s="2104"/>
      <c r="E474" s="2104"/>
      <c r="F474" s="2104"/>
      <c r="G474" s="2104"/>
      <c r="H474" s="2104"/>
      <c r="I474" s="2104"/>
      <c r="J474" s="2104"/>
      <c r="K474" s="2104"/>
      <c r="L474" s="2104"/>
      <c r="M474" s="2104"/>
      <c r="N474" s="2104"/>
      <c r="O474" s="2104"/>
      <c r="P474" s="2104"/>
      <c r="Q474" s="2104"/>
      <c r="R474" s="2104"/>
      <c r="S474" s="2104"/>
      <c r="T474" s="2104"/>
      <c r="U474" s="2104"/>
      <c r="V474" s="2104"/>
      <c r="W474" s="2104"/>
      <c r="X474" s="2104"/>
      <c r="Y474" s="2104"/>
      <c r="Z474" s="2104"/>
      <c r="AA474" s="2104"/>
      <c r="AB474" s="2104"/>
      <c r="AC474" s="2104"/>
      <c r="AD474" s="2104"/>
      <c r="AE474" s="2104"/>
      <c r="AF474" s="2104"/>
      <c r="AG474" s="2104"/>
      <c r="AH474" s="2104"/>
      <c r="AI474" s="2104"/>
      <c r="AJ474" s="2104"/>
      <c r="AK474" s="2104"/>
      <c r="AL474" s="2104"/>
      <c r="AM474" s="2104"/>
      <c r="AN474" s="2104"/>
      <c r="AO474" s="2104"/>
      <c r="AP474" s="2104"/>
      <c r="AR474" s="3479"/>
    </row>
    <row r="475" s="3330" customFormat="1" spans="1:44">
      <c r="A475" s="3340"/>
      <c r="B475" s="64"/>
      <c r="D475" s="2104"/>
      <c r="E475" s="2104"/>
      <c r="F475" s="2104"/>
      <c r="G475" s="2104"/>
      <c r="H475" s="2104"/>
      <c r="I475" s="2104"/>
      <c r="J475" s="2104"/>
      <c r="K475" s="2104"/>
      <c r="L475" s="2104"/>
      <c r="M475" s="2104"/>
      <c r="N475" s="2104"/>
      <c r="O475" s="2104"/>
      <c r="P475" s="2104"/>
      <c r="Q475" s="2104"/>
      <c r="R475" s="2104"/>
      <c r="S475" s="2104"/>
      <c r="T475" s="2104"/>
      <c r="U475" s="2104"/>
      <c r="V475" s="2104"/>
      <c r="W475" s="2104"/>
      <c r="X475" s="2104"/>
      <c r="Y475" s="2104"/>
      <c r="Z475" s="2104"/>
      <c r="AA475" s="2104"/>
      <c r="AB475" s="2104"/>
      <c r="AC475" s="2104"/>
      <c r="AD475" s="2104"/>
      <c r="AE475" s="2104"/>
      <c r="AF475" s="2104"/>
      <c r="AG475" s="2104"/>
      <c r="AH475" s="2104"/>
      <c r="AI475" s="2104"/>
      <c r="AJ475" s="2104"/>
      <c r="AK475" s="2104"/>
      <c r="AL475" s="2104"/>
      <c r="AM475" s="2104"/>
      <c r="AN475" s="2104"/>
      <c r="AO475" s="2104"/>
      <c r="AP475" s="2104"/>
      <c r="AR475" s="3479"/>
    </row>
    <row r="476" s="3330" customFormat="1" spans="1:44">
      <c r="A476" s="3340"/>
      <c r="B476" s="64"/>
      <c r="D476" s="2104"/>
      <c r="E476" s="2104"/>
      <c r="F476" s="2104"/>
      <c r="G476" s="2104"/>
      <c r="H476" s="2104"/>
      <c r="I476" s="2104"/>
      <c r="J476" s="2104"/>
      <c r="K476" s="2104"/>
      <c r="L476" s="2104"/>
      <c r="M476" s="2104"/>
      <c r="N476" s="2104"/>
      <c r="O476" s="2104"/>
      <c r="P476" s="2104"/>
      <c r="Q476" s="2104"/>
      <c r="R476" s="2104"/>
      <c r="S476" s="2104"/>
      <c r="T476" s="2104"/>
      <c r="U476" s="2104"/>
      <c r="V476" s="2104"/>
      <c r="W476" s="2104"/>
      <c r="X476" s="2104"/>
      <c r="Y476" s="2104"/>
      <c r="Z476" s="2104"/>
      <c r="AA476" s="2104"/>
      <c r="AB476" s="2104"/>
      <c r="AC476" s="2104"/>
      <c r="AD476" s="2104"/>
      <c r="AE476" s="2104"/>
      <c r="AF476" s="2104"/>
      <c r="AG476" s="2104"/>
      <c r="AH476" s="2104"/>
      <c r="AI476" s="2104"/>
      <c r="AJ476" s="2104"/>
      <c r="AK476" s="2104"/>
      <c r="AL476" s="2104"/>
      <c r="AM476" s="2104"/>
      <c r="AN476" s="2104"/>
      <c r="AO476" s="2104"/>
      <c r="AP476" s="2104"/>
      <c r="AR476" s="3479"/>
    </row>
    <row r="477" s="3330" customFormat="1" ht="8.45" customHeight="1" spans="1:44">
      <c r="A477" s="3340"/>
      <c r="B477" s="64"/>
      <c r="D477" s="2104"/>
      <c r="E477" s="2104"/>
      <c r="F477" s="2104"/>
      <c r="G477" s="2104"/>
      <c r="H477" s="2104"/>
      <c r="I477" s="2104"/>
      <c r="J477" s="2104"/>
      <c r="K477" s="2104"/>
      <c r="L477" s="2104"/>
      <c r="M477" s="2104"/>
      <c r="N477" s="2104"/>
      <c r="O477" s="2104"/>
      <c r="P477" s="2104"/>
      <c r="Q477" s="2104"/>
      <c r="R477" s="2104"/>
      <c r="S477" s="2104"/>
      <c r="T477" s="2104"/>
      <c r="U477" s="2104"/>
      <c r="V477" s="2104"/>
      <c r="W477" s="2104"/>
      <c r="X477" s="2104"/>
      <c r="Y477" s="2104"/>
      <c r="Z477" s="2104"/>
      <c r="AA477" s="2104"/>
      <c r="AB477" s="2104"/>
      <c r="AC477" s="2104"/>
      <c r="AD477" s="2104"/>
      <c r="AE477" s="2104"/>
      <c r="AF477" s="2104"/>
      <c r="AG477" s="2104"/>
      <c r="AH477" s="2104"/>
      <c r="AI477" s="2104"/>
      <c r="AJ477" s="2104"/>
      <c r="AK477" s="2104"/>
      <c r="AL477" s="2104"/>
      <c r="AM477" s="2104"/>
      <c r="AN477" s="2104"/>
      <c r="AO477" s="2104"/>
      <c r="AP477" s="2104"/>
      <c r="AR477" s="3479"/>
    </row>
    <row r="478" s="3330" customFormat="1" spans="1:44">
      <c r="A478" s="3340"/>
      <c r="B478" s="64"/>
      <c r="C478" s="3330">
        <v>2</v>
      </c>
      <c r="D478" s="5059" t="s">
        <v>1933</v>
      </c>
      <c r="E478" s="2104"/>
      <c r="F478" s="2104"/>
      <c r="G478" s="2104"/>
      <c r="H478" s="2104"/>
      <c r="I478" s="2104"/>
      <c r="J478" s="2104"/>
      <c r="K478" s="2104"/>
      <c r="L478" s="2104"/>
      <c r="M478" s="2104"/>
      <c r="N478" s="2104"/>
      <c r="O478" s="2104"/>
      <c r="P478" s="2104"/>
      <c r="Q478" s="2104"/>
      <c r="R478" s="2104"/>
      <c r="S478" s="2104"/>
      <c r="T478" s="2104"/>
      <c r="U478" s="2104"/>
      <c r="V478" s="2104"/>
      <c r="W478" s="2104"/>
      <c r="X478" s="2104"/>
      <c r="Y478" s="2104"/>
      <c r="Z478" s="2104"/>
      <c r="AA478" s="2104"/>
      <c r="AB478" s="2104"/>
      <c r="AC478" s="2104"/>
      <c r="AD478" s="2104"/>
      <c r="AE478" s="2104"/>
      <c r="AF478" s="2104"/>
      <c r="AG478" s="2104"/>
      <c r="AH478" s="2104"/>
      <c r="AI478" s="2104"/>
      <c r="AJ478" s="2104"/>
      <c r="AK478" s="2104"/>
      <c r="AL478" s="2104"/>
      <c r="AM478" s="2104"/>
      <c r="AN478" s="2104"/>
      <c r="AO478" s="2104"/>
      <c r="AP478" s="2104"/>
      <c r="AR478" s="3479"/>
    </row>
    <row r="479" s="3330" customFormat="1" spans="1:44">
      <c r="A479" s="3340"/>
      <c r="B479" s="64"/>
      <c r="D479" s="2104"/>
      <c r="E479" s="2104"/>
      <c r="F479" s="2104"/>
      <c r="G479" s="2104"/>
      <c r="H479" s="2104"/>
      <c r="I479" s="2104"/>
      <c r="J479" s="2104"/>
      <c r="K479" s="2104"/>
      <c r="L479" s="2104"/>
      <c r="M479" s="2104"/>
      <c r="N479" s="2104"/>
      <c r="O479" s="2104"/>
      <c r="P479" s="2104"/>
      <c r="Q479" s="2104"/>
      <c r="R479" s="2104"/>
      <c r="S479" s="2104"/>
      <c r="T479" s="2104"/>
      <c r="U479" s="2104"/>
      <c r="V479" s="2104"/>
      <c r="W479" s="2104"/>
      <c r="X479" s="2104"/>
      <c r="Y479" s="2104"/>
      <c r="Z479" s="2104"/>
      <c r="AA479" s="2104"/>
      <c r="AB479" s="2104"/>
      <c r="AC479" s="2104"/>
      <c r="AD479" s="2104"/>
      <c r="AE479" s="2104"/>
      <c r="AF479" s="2104"/>
      <c r="AG479" s="2104"/>
      <c r="AH479" s="2104"/>
      <c r="AI479" s="2104"/>
      <c r="AJ479" s="2104"/>
      <c r="AK479" s="2104"/>
      <c r="AL479" s="2104"/>
      <c r="AM479" s="2104"/>
      <c r="AN479" s="2104"/>
      <c r="AO479" s="2104"/>
      <c r="AP479" s="2104"/>
      <c r="AR479" s="3479"/>
    </row>
    <row r="480" s="3330" customFormat="1" spans="1:44">
      <c r="A480" s="3340"/>
      <c r="B480" s="64"/>
      <c r="D480" s="2104"/>
      <c r="E480" s="2104"/>
      <c r="F480" s="2104"/>
      <c r="G480" s="2104"/>
      <c r="H480" s="2104"/>
      <c r="I480" s="2104"/>
      <c r="J480" s="2104"/>
      <c r="K480" s="2104"/>
      <c r="L480" s="2104"/>
      <c r="M480" s="2104"/>
      <c r="N480" s="2104"/>
      <c r="O480" s="2104"/>
      <c r="P480" s="2104"/>
      <c r="Q480" s="2104"/>
      <c r="R480" s="2104"/>
      <c r="S480" s="2104"/>
      <c r="T480" s="2104"/>
      <c r="U480" s="2104"/>
      <c r="V480" s="2104"/>
      <c r="W480" s="2104"/>
      <c r="X480" s="2104"/>
      <c r="Y480" s="2104"/>
      <c r="Z480" s="2104"/>
      <c r="AA480" s="2104"/>
      <c r="AB480" s="2104"/>
      <c r="AC480" s="2104"/>
      <c r="AD480" s="2104"/>
      <c r="AE480" s="2104"/>
      <c r="AF480" s="2104"/>
      <c r="AG480" s="2104"/>
      <c r="AH480" s="2104"/>
      <c r="AI480" s="2104"/>
      <c r="AJ480" s="2104"/>
      <c r="AK480" s="2104"/>
      <c r="AL480" s="2104"/>
      <c r="AM480" s="2104"/>
      <c r="AN480" s="2104"/>
      <c r="AO480" s="2104"/>
      <c r="AP480" s="2104"/>
      <c r="AR480" s="3479"/>
    </row>
    <row r="481" s="3330" customFormat="1" spans="1:44">
      <c r="A481" s="3340"/>
      <c r="B481" s="64"/>
      <c r="C481" s="5095" t="s">
        <v>1866</v>
      </c>
      <c r="D481" s="2104"/>
      <c r="E481" s="2104"/>
      <c r="F481" s="2104"/>
      <c r="G481" s="2104"/>
      <c r="H481" s="2104"/>
      <c r="I481" s="2104"/>
      <c r="J481" s="2104"/>
      <c r="K481" s="2104"/>
      <c r="L481" s="2104"/>
      <c r="M481" s="2104"/>
      <c r="N481" s="2104"/>
      <c r="O481" s="2104"/>
      <c r="P481" s="2104"/>
      <c r="Q481" s="2104"/>
      <c r="R481" s="2104"/>
      <c r="S481" s="2104"/>
      <c r="T481" s="2104"/>
      <c r="U481" s="2104"/>
      <c r="V481" s="2104"/>
      <c r="W481" s="2104"/>
      <c r="X481" s="2104"/>
      <c r="Y481" s="2104"/>
      <c r="Z481" s="2104"/>
      <c r="AA481" s="2104"/>
      <c r="AB481" s="2104"/>
      <c r="AC481" s="2104"/>
      <c r="AD481" s="2104"/>
      <c r="AE481" s="2104"/>
      <c r="AF481" s="2104"/>
      <c r="AG481" s="2104"/>
      <c r="AH481" s="2104"/>
      <c r="AI481" s="2104"/>
      <c r="AJ481" s="2104"/>
      <c r="AK481" s="2104"/>
      <c r="AL481" s="2104"/>
      <c r="AM481" s="2104"/>
      <c r="AN481" s="2104"/>
      <c r="AO481" s="2104"/>
      <c r="AP481" s="2104"/>
      <c r="AR481" s="3479"/>
    </row>
    <row r="482" s="3330" customFormat="1" spans="1:44">
      <c r="A482" s="3340"/>
      <c r="B482" s="64"/>
      <c r="C482" s="5095" t="s">
        <v>1866</v>
      </c>
      <c r="D482" s="2104"/>
      <c r="E482" s="2104"/>
      <c r="F482" s="2104"/>
      <c r="G482" s="2104"/>
      <c r="H482" s="2104"/>
      <c r="I482" s="2104"/>
      <c r="J482" s="2104"/>
      <c r="K482" s="2104"/>
      <c r="L482" s="2104"/>
      <c r="M482" s="2104"/>
      <c r="N482" s="2104"/>
      <c r="O482" s="2104"/>
      <c r="P482" s="2104"/>
      <c r="Q482" s="2104"/>
      <c r="R482" s="2104"/>
      <c r="S482" s="2104"/>
      <c r="T482" s="2104"/>
      <c r="U482" s="2104"/>
      <c r="V482" s="2104"/>
      <c r="W482" s="2104"/>
      <c r="X482" s="2104"/>
      <c r="Y482" s="2104"/>
      <c r="Z482" s="2104"/>
      <c r="AA482" s="2104"/>
      <c r="AB482" s="2104"/>
      <c r="AC482" s="2104"/>
      <c r="AD482" s="2104"/>
      <c r="AE482" s="2104"/>
      <c r="AF482" s="2104"/>
      <c r="AG482" s="2104"/>
      <c r="AH482" s="2104"/>
      <c r="AI482" s="2104"/>
      <c r="AJ482" s="2104"/>
      <c r="AK482" s="2104"/>
      <c r="AL482" s="2104"/>
      <c r="AM482" s="2104"/>
      <c r="AN482" s="2104"/>
      <c r="AO482" s="2104"/>
      <c r="AP482" s="2104"/>
      <c r="AR482" s="3479"/>
    </row>
    <row r="483" s="3330" customFormat="1" spans="1:44">
      <c r="A483" s="3340"/>
      <c r="B483" s="64"/>
      <c r="D483" s="2104"/>
      <c r="E483" s="2104"/>
      <c r="F483" s="2104"/>
      <c r="G483" s="2104"/>
      <c r="H483" s="2104"/>
      <c r="I483" s="2104"/>
      <c r="J483" s="2104"/>
      <c r="K483" s="2104"/>
      <c r="L483" s="2104"/>
      <c r="M483" s="2104"/>
      <c r="N483" s="2104"/>
      <c r="O483" s="2104"/>
      <c r="P483" s="2104"/>
      <c r="Q483" s="2104"/>
      <c r="R483" s="2104"/>
      <c r="S483" s="2104"/>
      <c r="T483" s="2104"/>
      <c r="U483" s="2104"/>
      <c r="V483" s="2104"/>
      <c r="W483" s="2104"/>
      <c r="X483" s="2104"/>
      <c r="Y483" s="2104"/>
      <c r="Z483" s="2104"/>
      <c r="AA483" s="2104"/>
      <c r="AB483" s="2104"/>
      <c r="AC483" s="2104"/>
      <c r="AD483" s="2104"/>
      <c r="AE483" s="2104"/>
      <c r="AF483" s="2104"/>
      <c r="AG483" s="2104"/>
      <c r="AH483" s="2104"/>
      <c r="AI483" s="2104"/>
      <c r="AJ483" s="2104"/>
      <c r="AK483" s="2104"/>
      <c r="AL483" s="2104"/>
      <c r="AM483" s="2104"/>
      <c r="AN483" s="2104"/>
      <c r="AO483" s="2104"/>
      <c r="AP483" s="2104"/>
      <c r="AR483" s="3479"/>
    </row>
    <row r="484" s="3330" customFormat="1" spans="1:44">
      <c r="A484" s="3340"/>
      <c r="B484" s="64"/>
      <c r="D484" s="2104"/>
      <c r="E484" s="2104"/>
      <c r="F484" s="2104"/>
      <c r="G484" s="2104"/>
      <c r="H484" s="2104"/>
      <c r="I484" s="2104"/>
      <c r="J484" s="2104"/>
      <c r="K484" s="2104"/>
      <c r="L484" s="2104"/>
      <c r="M484" s="2104"/>
      <c r="N484" s="2104"/>
      <c r="O484" s="2104"/>
      <c r="P484" s="2104"/>
      <c r="Q484" s="2104"/>
      <c r="R484" s="2104"/>
      <c r="S484" s="2104"/>
      <c r="T484" s="2104"/>
      <c r="U484" s="2104"/>
      <c r="V484" s="2104"/>
      <c r="W484" s="2104"/>
      <c r="X484" s="2104"/>
      <c r="Y484" s="2104"/>
      <c r="Z484" s="2104"/>
      <c r="AA484" s="2104"/>
      <c r="AB484" s="2104"/>
      <c r="AC484" s="2104"/>
      <c r="AD484" s="2104"/>
      <c r="AE484" s="2104"/>
      <c r="AF484" s="2104"/>
      <c r="AG484" s="2104"/>
      <c r="AH484" s="2104"/>
      <c r="AI484" s="2104"/>
      <c r="AJ484" s="2104"/>
      <c r="AK484" s="2104"/>
      <c r="AL484" s="2104"/>
      <c r="AM484" s="2104"/>
      <c r="AN484" s="2104"/>
      <c r="AO484" s="2104"/>
      <c r="AP484" s="2104"/>
      <c r="AR484" s="3479"/>
    </row>
    <row r="485" s="3330" customFormat="1" spans="1:44">
      <c r="A485" s="3340"/>
      <c r="B485" s="64"/>
      <c r="D485" s="2104"/>
      <c r="E485" s="2104"/>
      <c r="F485" s="2104"/>
      <c r="G485" s="2104"/>
      <c r="H485" s="2104"/>
      <c r="I485" s="2104"/>
      <c r="J485" s="2104"/>
      <c r="K485" s="2104"/>
      <c r="L485" s="2104"/>
      <c r="M485" s="2104"/>
      <c r="N485" s="2104"/>
      <c r="O485" s="2104"/>
      <c r="P485" s="2104"/>
      <c r="Q485" s="2104"/>
      <c r="R485" s="2104"/>
      <c r="S485" s="2104"/>
      <c r="T485" s="2104"/>
      <c r="U485" s="2104"/>
      <c r="V485" s="2104"/>
      <c r="W485" s="2104"/>
      <c r="X485" s="2104"/>
      <c r="Y485" s="2104"/>
      <c r="Z485" s="2104"/>
      <c r="AA485" s="2104"/>
      <c r="AB485" s="2104"/>
      <c r="AC485" s="2104"/>
      <c r="AD485" s="2104"/>
      <c r="AE485" s="2104"/>
      <c r="AF485" s="2104"/>
      <c r="AG485" s="2104"/>
      <c r="AH485" s="2104"/>
      <c r="AI485" s="2104"/>
      <c r="AJ485" s="2104"/>
      <c r="AK485" s="2104"/>
      <c r="AL485" s="2104"/>
      <c r="AM485" s="2104"/>
      <c r="AN485" s="2104"/>
      <c r="AO485" s="2104"/>
      <c r="AP485" s="2104"/>
      <c r="AR485" s="3479"/>
    </row>
    <row r="486" s="3330" customFormat="1" ht="8.45" customHeight="1" spans="1:44">
      <c r="A486" s="3340"/>
      <c r="B486" s="64"/>
      <c r="D486" s="2623"/>
      <c r="E486" s="2623"/>
      <c r="F486" s="2623"/>
      <c r="G486" s="2623"/>
      <c r="H486" s="2623"/>
      <c r="I486" s="2623"/>
      <c r="J486" s="2623"/>
      <c r="K486" s="2623"/>
      <c r="L486" s="2623"/>
      <c r="M486" s="2623"/>
      <c r="N486" s="2623"/>
      <c r="O486" s="2623"/>
      <c r="P486" s="2623"/>
      <c r="Q486" s="2623"/>
      <c r="R486" s="2623"/>
      <c r="S486" s="2623"/>
      <c r="T486" s="2623"/>
      <c r="U486" s="2623"/>
      <c r="V486" s="2623"/>
      <c r="W486" s="2623"/>
      <c r="X486" s="2623"/>
      <c r="Y486" s="2623"/>
      <c r="Z486" s="2623"/>
      <c r="AA486" s="2623"/>
      <c r="AB486" s="2623"/>
      <c r="AC486" s="2623"/>
      <c r="AD486" s="2623"/>
      <c r="AE486" s="2623"/>
      <c r="AF486" s="2623"/>
      <c r="AG486" s="2623"/>
      <c r="AH486" s="2623"/>
      <c r="AI486" s="2623"/>
      <c r="AJ486" s="2623"/>
      <c r="AK486" s="2623"/>
      <c r="AL486" s="2623"/>
      <c r="AM486" s="2623"/>
      <c r="AN486" s="2623"/>
      <c r="AO486" s="2623"/>
      <c r="AP486" s="2623"/>
      <c r="AR486" s="3479"/>
    </row>
    <row r="487" s="3330" customFormat="1" ht="11.1" customHeight="1" spans="1:44">
      <c r="A487" s="3340"/>
      <c r="B487" s="64"/>
      <c r="C487" s="3330">
        <v>3</v>
      </c>
      <c r="D487" s="2104" t="s">
        <v>1934</v>
      </c>
      <c r="E487" s="2104"/>
      <c r="F487" s="2104"/>
      <c r="G487" s="2104"/>
      <c r="H487" s="2104"/>
      <c r="I487" s="2104"/>
      <c r="J487" s="2104"/>
      <c r="K487" s="2104"/>
      <c r="L487" s="2104"/>
      <c r="M487" s="2104"/>
      <c r="N487" s="2104"/>
      <c r="O487" s="2104"/>
      <c r="P487" s="2104"/>
      <c r="Q487" s="2104"/>
      <c r="R487" s="2104"/>
      <c r="S487" s="2104"/>
      <c r="T487" s="2104"/>
      <c r="U487" s="2104"/>
      <c r="V487" s="2104"/>
      <c r="W487" s="2104"/>
      <c r="X487" s="2104"/>
      <c r="Y487" s="2104"/>
      <c r="Z487" s="2104"/>
      <c r="AA487" s="2104"/>
      <c r="AB487" s="2104"/>
      <c r="AC487" s="2104"/>
      <c r="AD487" s="2104"/>
      <c r="AE487" s="2104"/>
      <c r="AF487" s="2104"/>
      <c r="AG487" s="2104"/>
      <c r="AH487" s="2104"/>
      <c r="AI487" s="2104"/>
      <c r="AJ487" s="2104"/>
      <c r="AK487" s="2104"/>
      <c r="AL487" s="2104"/>
      <c r="AM487" s="2104"/>
      <c r="AN487" s="2104"/>
      <c r="AO487" s="2104"/>
      <c r="AP487" s="2104"/>
      <c r="AR487" s="3479"/>
    </row>
    <row r="488" ht="11.4" spans="4:42">
      <c r="D488" s="2104"/>
      <c r="E488" s="2104"/>
      <c r="F488" s="2104"/>
      <c r="G488" s="2104"/>
      <c r="H488" s="2104"/>
      <c r="I488" s="2104"/>
      <c r="J488" s="2104"/>
      <c r="K488" s="2104"/>
      <c r="L488" s="2104"/>
      <c r="M488" s="2104"/>
      <c r="N488" s="2104"/>
      <c r="O488" s="2104"/>
      <c r="P488" s="2104"/>
      <c r="Q488" s="2104"/>
      <c r="R488" s="2104"/>
      <c r="S488" s="2104"/>
      <c r="T488" s="2104"/>
      <c r="U488" s="2104"/>
      <c r="V488" s="2104"/>
      <c r="W488" s="2104"/>
      <c r="X488" s="2104"/>
      <c r="Y488" s="2104"/>
      <c r="Z488" s="2104"/>
      <c r="AA488" s="2104"/>
      <c r="AB488" s="2104"/>
      <c r="AC488" s="2104"/>
      <c r="AD488" s="2104"/>
      <c r="AE488" s="2104"/>
      <c r="AF488" s="2104"/>
      <c r="AG488" s="2104"/>
      <c r="AH488" s="2104"/>
      <c r="AI488" s="2104"/>
      <c r="AJ488" s="2104"/>
      <c r="AK488" s="2104"/>
      <c r="AL488" s="2104"/>
      <c r="AM488" s="2104"/>
      <c r="AN488" s="2104"/>
      <c r="AO488" s="2104"/>
      <c r="AP488" s="2104"/>
    </row>
    <row r="489" s="3330" customFormat="1" spans="1:44">
      <c r="A489" s="3340"/>
      <c r="B489"/>
      <c r="C489"/>
      <c r="D489" s="2104"/>
      <c r="E489" s="2104"/>
      <c r="F489" s="2104"/>
      <c r="G489" s="2104"/>
      <c r="H489" s="2104"/>
      <c r="I489" s="2104"/>
      <c r="J489" s="2104"/>
      <c r="K489" s="2104"/>
      <c r="L489" s="2104"/>
      <c r="M489" s="2104"/>
      <c r="N489" s="2104"/>
      <c r="O489" s="2104"/>
      <c r="P489" s="2104"/>
      <c r="Q489" s="2104"/>
      <c r="R489" s="2104"/>
      <c r="S489" s="2104"/>
      <c r="T489" s="2104"/>
      <c r="U489" s="2104"/>
      <c r="V489" s="2104"/>
      <c r="W489" s="2104"/>
      <c r="X489" s="2104"/>
      <c r="Y489" s="2104"/>
      <c r="Z489" s="2104"/>
      <c r="AA489" s="2104"/>
      <c r="AB489" s="2104"/>
      <c r="AC489" s="2104"/>
      <c r="AD489" s="2104"/>
      <c r="AE489" s="2104"/>
      <c r="AF489" s="2104"/>
      <c r="AG489" s="2104"/>
      <c r="AH489" s="2104"/>
      <c r="AI489" s="2104"/>
      <c r="AJ489" s="2104"/>
      <c r="AK489" s="2104"/>
      <c r="AL489" s="2104"/>
      <c r="AM489" s="2104"/>
      <c r="AN489" s="2104"/>
      <c r="AO489" s="2104"/>
      <c r="AP489" s="2104"/>
      <c r="AR489" s="3479"/>
    </row>
    <row r="490" s="3330" customFormat="1" customHeight="1" spans="1:44">
      <c r="A490" s="3340"/>
      <c r="B490"/>
      <c r="C490" s="3315"/>
      <c r="D490" s="2104"/>
      <c r="E490" s="2104"/>
      <c r="F490" s="2104"/>
      <c r="G490" s="2104"/>
      <c r="H490" s="2104"/>
      <c r="I490" s="2104"/>
      <c r="J490" s="2104"/>
      <c r="K490" s="2104"/>
      <c r="L490" s="2104"/>
      <c r="M490" s="2104"/>
      <c r="N490" s="2104"/>
      <c r="O490" s="2104"/>
      <c r="P490" s="2104"/>
      <c r="Q490" s="2104"/>
      <c r="R490" s="2104"/>
      <c r="S490" s="2104"/>
      <c r="T490" s="2104"/>
      <c r="U490" s="2104"/>
      <c r="V490" s="2104"/>
      <c r="W490" s="2104"/>
      <c r="X490" s="2104"/>
      <c r="Y490" s="2104"/>
      <c r="Z490" s="2104"/>
      <c r="AA490" s="2104"/>
      <c r="AB490" s="2104"/>
      <c r="AC490" s="2104"/>
      <c r="AD490" s="2104"/>
      <c r="AE490" s="2104"/>
      <c r="AF490" s="2104"/>
      <c r="AG490" s="2104"/>
      <c r="AH490" s="2104"/>
      <c r="AI490" s="2104"/>
      <c r="AJ490" s="2104"/>
      <c r="AK490" s="2104"/>
      <c r="AL490" s="2104"/>
      <c r="AM490" s="2104"/>
      <c r="AN490" s="2104"/>
      <c r="AO490" s="2104"/>
      <c r="AP490" s="2104"/>
      <c r="AR490" s="3479"/>
    </row>
    <row r="491" s="3330" customFormat="1" customHeight="1" spans="1:44">
      <c r="A491" s="3340"/>
      <c r="B491"/>
      <c r="C491" s="3315"/>
      <c r="D491" s="2104"/>
      <c r="E491" s="2104"/>
      <c r="F491" s="2104"/>
      <c r="G491" s="2104"/>
      <c r="H491" s="2104"/>
      <c r="I491" s="2104"/>
      <c r="J491" s="2104"/>
      <c r="K491" s="2104"/>
      <c r="L491" s="2104"/>
      <c r="M491" s="2104"/>
      <c r="N491" s="2104"/>
      <c r="O491" s="2104"/>
      <c r="P491" s="2104"/>
      <c r="Q491" s="2104"/>
      <c r="R491" s="2104"/>
      <c r="S491" s="2104"/>
      <c r="T491" s="2104"/>
      <c r="U491" s="2104"/>
      <c r="V491" s="2104"/>
      <c r="W491" s="2104"/>
      <c r="X491" s="2104"/>
      <c r="Y491" s="2104"/>
      <c r="Z491" s="2104"/>
      <c r="AA491" s="2104"/>
      <c r="AB491" s="2104"/>
      <c r="AC491" s="2104"/>
      <c r="AD491" s="2104"/>
      <c r="AE491" s="2104"/>
      <c r="AF491" s="2104"/>
      <c r="AG491" s="2104"/>
      <c r="AH491" s="2104"/>
      <c r="AI491" s="2104"/>
      <c r="AJ491" s="2104"/>
      <c r="AK491" s="2104"/>
      <c r="AL491" s="2104"/>
      <c r="AM491" s="2104"/>
      <c r="AN491" s="2104"/>
      <c r="AO491" s="2104"/>
      <c r="AP491" s="2104"/>
      <c r="AR491" s="3479"/>
    </row>
    <row r="492" s="3330" customFormat="1" customHeight="1" spans="1:44">
      <c r="A492" s="3340"/>
      <c r="B492"/>
      <c r="C492" s="3315"/>
      <c r="D492" s="2104"/>
      <c r="E492" s="2104"/>
      <c r="F492" s="2104"/>
      <c r="G492" s="2104"/>
      <c r="H492" s="2104"/>
      <c r="I492" s="2104"/>
      <c r="J492" s="2104"/>
      <c r="K492" s="2104"/>
      <c r="L492" s="2104"/>
      <c r="M492" s="2104"/>
      <c r="N492" s="2104"/>
      <c r="O492" s="2104"/>
      <c r="P492" s="2104"/>
      <c r="Q492" s="2104"/>
      <c r="R492" s="2104"/>
      <c r="S492" s="2104"/>
      <c r="T492" s="2104"/>
      <c r="U492" s="2104"/>
      <c r="V492" s="2104"/>
      <c r="W492" s="2104"/>
      <c r="X492" s="2104"/>
      <c r="Y492" s="2104"/>
      <c r="Z492" s="2104"/>
      <c r="AA492" s="2104"/>
      <c r="AB492" s="2104"/>
      <c r="AC492" s="2104"/>
      <c r="AD492" s="2104"/>
      <c r="AE492" s="2104"/>
      <c r="AF492" s="2104"/>
      <c r="AG492" s="2104"/>
      <c r="AH492" s="2104"/>
      <c r="AI492" s="2104"/>
      <c r="AJ492" s="2104"/>
      <c r="AK492" s="2104"/>
      <c r="AL492" s="2104"/>
      <c r="AM492" s="2104"/>
      <c r="AN492" s="2104"/>
      <c r="AO492" s="2104"/>
      <c r="AP492" s="2104"/>
      <c r="AR492" s="3479"/>
    </row>
    <row r="493" s="3330" customFormat="1" customHeight="1" spans="1:44">
      <c r="A493" s="3340"/>
      <c r="B493"/>
      <c r="C493" s="3315"/>
      <c r="D493" s="2104"/>
      <c r="E493" s="2104"/>
      <c r="F493" s="2104"/>
      <c r="G493" s="2104"/>
      <c r="H493" s="2104"/>
      <c r="I493" s="2104"/>
      <c r="J493" s="2104"/>
      <c r="K493" s="2104"/>
      <c r="L493" s="2104"/>
      <c r="M493" s="2104"/>
      <c r="N493" s="2104"/>
      <c r="O493" s="2104"/>
      <c r="P493" s="2104"/>
      <c r="Q493" s="2104"/>
      <c r="R493" s="2104"/>
      <c r="S493" s="2104"/>
      <c r="T493" s="2104"/>
      <c r="U493" s="2104"/>
      <c r="V493" s="2104"/>
      <c r="W493" s="2104"/>
      <c r="X493" s="2104"/>
      <c r="Y493" s="2104"/>
      <c r="Z493" s="2104"/>
      <c r="AA493" s="2104"/>
      <c r="AB493" s="2104"/>
      <c r="AC493" s="2104"/>
      <c r="AD493" s="2104"/>
      <c r="AE493" s="2104"/>
      <c r="AF493" s="2104"/>
      <c r="AG493" s="2104"/>
      <c r="AH493" s="2104"/>
      <c r="AI493" s="2104"/>
      <c r="AJ493" s="2104"/>
      <c r="AK493" s="2104"/>
      <c r="AL493" s="2104"/>
      <c r="AM493" s="2104"/>
      <c r="AN493" s="2104"/>
      <c r="AO493" s="2104"/>
      <c r="AP493" s="2104"/>
      <c r="AR493" s="3479"/>
    </row>
    <row r="494" s="3330" customFormat="1" customHeight="1" spans="1:44">
      <c r="A494" s="3340"/>
      <c r="B494"/>
      <c r="C494" s="3315"/>
      <c r="D494" s="2104"/>
      <c r="E494" s="2104"/>
      <c r="F494" s="2104"/>
      <c r="G494" s="2104"/>
      <c r="H494" s="2104"/>
      <c r="I494" s="2104"/>
      <c r="J494" s="2104"/>
      <c r="K494" s="2104"/>
      <c r="L494" s="2104"/>
      <c r="M494" s="2104"/>
      <c r="N494" s="2104"/>
      <c r="O494" s="2104"/>
      <c r="P494" s="2104"/>
      <c r="Q494" s="2104"/>
      <c r="R494" s="2104"/>
      <c r="S494" s="2104"/>
      <c r="T494" s="2104"/>
      <c r="U494" s="2104"/>
      <c r="V494" s="2104"/>
      <c r="W494" s="2104"/>
      <c r="X494" s="2104"/>
      <c r="Y494" s="2104"/>
      <c r="Z494" s="2104"/>
      <c r="AA494" s="2104"/>
      <c r="AB494" s="2104"/>
      <c r="AC494" s="2104"/>
      <c r="AD494" s="2104"/>
      <c r="AE494" s="2104"/>
      <c r="AF494" s="2104"/>
      <c r="AG494" s="2104"/>
      <c r="AH494" s="2104"/>
      <c r="AI494" s="2104"/>
      <c r="AJ494" s="2104"/>
      <c r="AK494" s="2104"/>
      <c r="AL494" s="2104"/>
      <c r="AM494" s="2104"/>
      <c r="AN494" s="2104"/>
      <c r="AO494" s="2104"/>
      <c r="AP494" s="2104"/>
      <c r="AR494" s="3479"/>
    </row>
    <row r="495" s="3330" customFormat="1" ht="9" customHeight="1" spans="1:44">
      <c r="A495" s="3340"/>
      <c r="B495"/>
      <c r="C495" s="3315"/>
      <c r="D495"/>
      <c r="E495" s="2104"/>
      <c r="F495" s="2104"/>
      <c r="G495" s="2104"/>
      <c r="H495" s="2104"/>
      <c r="I495" s="2104"/>
      <c r="J495" s="2104"/>
      <c r="K495" s="2104"/>
      <c r="L495" s="2104"/>
      <c r="M495" s="2104"/>
      <c r="N495" s="2104"/>
      <c r="O495" s="2104"/>
      <c r="P495" s="2104"/>
      <c r="Q495" s="2104"/>
      <c r="R495" s="2104"/>
      <c r="S495" s="2104"/>
      <c r="T495" s="2104"/>
      <c r="U495" s="2104"/>
      <c r="V495" s="2104"/>
      <c r="W495" s="2104"/>
      <c r="X495" s="2104"/>
      <c r="Y495" s="2104"/>
      <c r="Z495" s="2104"/>
      <c r="AA495" s="2104"/>
      <c r="AB495" s="2104"/>
      <c r="AC495" s="2104"/>
      <c r="AD495" s="2104"/>
      <c r="AE495" s="2104"/>
      <c r="AF495" s="2104"/>
      <c r="AG495" s="2104"/>
      <c r="AH495" s="2104"/>
      <c r="AI495" s="2104"/>
      <c r="AJ495" s="2104"/>
      <c r="AK495" s="2104"/>
      <c r="AL495" s="2104"/>
      <c r="AM495" s="2104"/>
      <c r="AN495" s="2104"/>
      <c r="AO495" s="2104"/>
      <c r="AP495" s="2104"/>
      <c r="AR495" s="3479"/>
    </row>
    <row r="496" s="3330" customFormat="1" customHeight="1" spans="1:44">
      <c r="A496" s="3340"/>
      <c r="B496"/>
      <c r="C496" s="3330">
        <v>4</v>
      </c>
      <c r="D496" s="2104" t="s">
        <v>1935</v>
      </c>
      <c r="E496" s="2104"/>
      <c r="F496" s="2104"/>
      <c r="G496" s="2104"/>
      <c r="H496" s="2104"/>
      <c r="I496" s="2104"/>
      <c r="J496" s="2104"/>
      <c r="K496" s="2104"/>
      <c r="L496" s="2104"/>
      <c r="M496" s="2104"/>
      <c r="N496" s="2104"/>
      <c r="O496" s="2104"/>
      <c r="P496" s="2104"/>
      <c r="Q496" s="2104"/>
      <c r="R496" s="2104"/>
      <c r="S496" s="2104"/>
      <c r="T496" s="2104"/>
      <c r="U496" s="2104"/>
      <c r="V496" s="2104"/>
      <c r="W496" s="2104"/>
      <c r="X496" s="2104"/>
      <c r="Y496" s="2104"/>
      <c r="Z496" s="2104"/>
      <c r="AA496" s="2104"/>
      <c r="AB496" s="2104"/>
      <c r="AC496" s="2104"/>
      <c r="AD496" s="2104"/>
      <c r="AE496" s="2104"/>
      <c r="AF496" s="2104"/>
      <c r="AG496" s="2104"/>
      <c r="AH496" s="2104"/>
      <c r="AI496" s="2104"/>
      <c r="AJ496" s="2104"/>
      <c r="AK496" s="2104"/>
      <c r="AL496" s="2104"/>
      <c r="AM496" s="2104"/>
      <c r="AN496" s="2104"/>
      <c r="AO496" s="2104"/>
      <c r="AP496" s="2104"/>
      <c r="AR496" s="3479"/>
    </row>
    <row r="497" s="3330" customFormat="1" customHeight="1" spans="1:44">
      <c r="A497" s="3340"/>
      <c r="B497"/>
      <c r="C497" s="3326"/>
      <c r="D497" s="2104"/>
      <c r="E497" s="2104"/>
      <c r="F497" s="2104"/>
      <c r="G497" s="2104"/>
      <c r="H497" s="2104"/>
      <c r="I497" s="2104"/>
      <c r="J497" s="2104"/>
      <c r="K497" s="2104"/>
      <c r="L497" s="2104"/>
      <c r="M497" s="2104"/>
      <c r="N497" s="2104"/>
      <c r="O497" s="2104"/>
      <c r="P497" s="2104"/>
      <c r="Q497" s="2104"/>
      <c r="R497" s="2104"/>
      <c r="S497" s="2104"/>
      <c r="T497" s="2104"/>
      <c r="U497" s="2104"/>
      <c r="V497" s="2104"/>
      <c r="W497" s="2104"/>
      <c r="X497" s="2104"/>
      <c r="Y497" s="2104"/>
      <c r="Z497" s="2104"/>
      <c r="AA497" s="2104"/>
      <c r="AB497" s="2104"/>
      <c r="AC497" s="2104"/>
      <c r="AD497" s="2104"/>
      <c r="AE497" s="2104"/>
      <c r="AF497" s="2104"/>
      <c r="AG497" s="2104"/>
      <c r="AH497" s="2104"/>
      <c r="AI497" s="2104"/>
      <c r="AJ497" s="2104"/>
      <c r="AK497" s="2104"/>
      <c r="AL497" s="2104"/>
      <c r="AM497" s="2104"/>
      <c r="AN497" s="2104"/>
      <c r="AO497" s="2104"/>
      <c r="AP497" s="2104"/>
      <c r="AR497" s="3479"/>
    </row>
    <row r="498" s="3330" customFormat="1" customHeight="1" spans="1:44">
      <c r="A498" s="3340"/>
      <c r="B498"/>
      <c r="C498"/>
      <c r="D498" s="2104"/>
      <c r="E498" s="2104"/>
      <c r="F498" s="2104"/>
      <c r="G498" s="2104"/>
      <c r="H498" s="2104"/>
      <c r="I498" s="2104"/>
      <c r="J498" s="2104"/>
      <c r="K498" s="2104"/>
      <c r="L498" s="2104"/>
      <c r="M498" s="2104"/>
      <c r="N498" s="2104"/>
      <c r="O498" s="2104"/>
      <c r="P498" s="2104"/>
      <c r="Q498" s="2104"/>
      <c r="R498" s="2104"/>
      <c r="S498" s="2104"/>
      <c r="T498" s="2104"/>
      <c r="U498" s="2104"/>
      <c r="V498" s="2104"/>
      <c r="W498" s="2104"/>
      <c r="X498" s="2104"/>
      <c r="Y498" s="2104"/>
      <c r="Z498" s="2104"/>
      <c r="AA498" s="2104"/>
      <c r="AB498" s="2104"/>
      <c r="AC498" s="2104"/>
      <c r="AD498" s="2104"/>
      <c r="AE498" s="2104"/>
      <c r="AF498" s="2104"/>
      <c r="AG498" s="2104"/>
      <c r="AH498" s="2104"/>
      <c r="AI498" s="2104"/>
      <c r="AJ498" s="2104"/>
      <c r="AK498" s="2104"/>
      <c r="AL498" s="2104"/>
      <c r="AM498" s="2104"/>
      <c r="AN498" s="2104"/>
      <c r="AO498" s="2104"/>
      <c r="AP498" s="2104"/>
      <c r="AR498" s="3479"/>
    </row>
    <row r="499" s="3330" customFormat="1" customHeight="1" spans="1:44">
      <c r="A499" s="3340"/>
      <c r="B499"/>
      <c r="C499" s="3315"/>
      <c r="D499" s="2104"/>
      <c r="E499" s="2104"/>
      <c r="F499" s="2104"/>
      <c r="G499" s="2104"/>
      <c r="H499" s="2104"/>
      <c r="I499" s="2104"/>
      <c r="J499" s="2104"/>
      <c r="K499" s="2104"/>
      <c r="L499" s="2104"/>
      <c r="M499" s="2104"/>
      <c r="N499" s="2104"/>
      <c r="O499" s="2104"/>
      <c r="P499" s="2104"/>
      <c r="Q499" s="2104"/>
      <c r="R499" s="2104"/>
      <c r="S499" s="2104"/>
      <c r="T499" s="2104"/>
      <c r="U499" s="2104"/>
      <c r="V499" s="2104"/>
      <c r="W499" s="2104"/>
      <c r="X499" s="2104"/>
      <c r="Y499" s="2104"/>
      <c r="Z499" s="2104"/>
      <c r="AA499" s="2104"/>
      <c r="AB499" s="2104"/>
      <c r="AC499" s="2104"/>
      <c r="AD499" s="2104"/>
      <c r="AE499" s="2104"/>
      <c r="AF499" s="2104"/>
      <c r="AG499" s="2104"/>
      <c r="AH499" s="2104"/>
      <c r="AI499" s="2104"/>
      <c r="AJ499" s="2104"/>
      <c r="AK499" s="2104"/>
      <c r="AL499" s="2104"/>
      <c r="AM499" s="2104"/>
      <c r="AN499" s="2104"/>
      <c r="AO499" s="2104"/>
      <c r="AP499" s="2104"/>
      <c r="AR499" s="3479"/>
    </row>
    <row r="500" s="3330" customFormat="1" customHeight="1" spans="1:44">
      <c r="A500" s="3340"/>
      <c r="B500"/>
      <c r="C500" s="3315"/>
      <c r="D500" s="2104"/>
      <c r="E500" s="2104"/>
      <c r="F500" s="2104"/>
      <c r="G500" s="2104"/>
      <c r="H500" s="2104"/>
      <c r="I500" s="2104"/>
      <c r="J500" s="2104"/>
      <c r="K500" s="2104"/>
      <c r="L500" s="2104"/>
      <c r="M500" s="2104"/>
      <c r="N500" s="2104"/>
      <c r="O500" s="2104"/>
      <c r="P500" s="2104"/>
      <c r="Q500" s="2104"/>
      <c r="R500" s="2104"/>
      <c r="S500" s="2104"/>
      <c r="T500" s="2104"/>
      <c r="U500" s="2104"/>
      <c r="V500" s="2104"/>
      <c r="W500" s="2104"/>
      <c r="X500" s="2104"/>
      <c r="Y500" s="2104"/>
      <c r="Z500" s="2104"/>
      <c r="AA500" s="2104"/>
      <c r="AB500" s="2104"/>
      <c r="AC500" s="2104"/>
      <c r="AD500" s="2104"/>
      <c r="AE500" s="2104"/>
      <c r="AF500" s="2104"/>
      <c r="AG500" s="2104"/>
      <c r="AH500" s="2104"/>
      <c r="AI500" s="2104"/>
      <c r="AJ500" s="2104"/>
      <c r="AK500" s="2104"/>
      <c r="AL500" s="2104"/>
      <c r="AM500" s="2104"/>
      <c r="AN500" s="2104"/>
      <c r="AO500" s="2104"/>
      <c r="AP500" s="2104"/>
      <c r="AR500" s="3479"/>
    </row>
    <row r="501" s="3330" customFormat="1" customHeight="1" spans="1:44">
      <c r="A501" s="3340"/>
      <c r="B501"/>
      <c r="C501" s="3315"/>
      <c r="D501" s="2104"/>
      <c r="E501" s="2104"/>
      <c r="F501" s="2104"/>
      <c r="G501" s="2104"/>
      <c r="H501" s="2104"/>
      <c r="I501" s="2104"/>
      <c r="J501" s="2104"/>
      <c r="K501" s="2104"/>
      <c r="L501" s="2104"/>
      <c r="M501" s="2104"/>
      <c r="N501" s="2104"/>
      <c r="O501" s="2104"/>
      <c r="P501" s="2104"/>
      <c r="Q501" s="2104"/>
      <c r="R501" s="2104"/>
      <c r="S501" s="2104"/>
      <c r="T501" s="2104"/>
      <c r="U501" s="2104"/>
      <c r="V501" s="2104"/>
      <c r="W501" s="2104"/>
      <c r="X501" s="2104"/>
      <c r="Y501" s="2104"/>
      <c r="Z501" s="2104"/>
      <c r="AA501" s="2104"/>
      <c r="AB501" s="2104"/>
      <c r="AC501" s="2104"/>
      <c r="AD501" s="2104"/>
      <c r="AE501" s="2104"/>
      <c r="AF501" s="2104"/>
      <c r="AG501" s="2104"/>
      <c r="AH501" s="2104"/>
      <c r="AI501" s="2104"/>
      <c r="AJ501" s="2104"/>
      <c r="AK501" s="2104"/>
      <c r="AL501" s="2104"/>
      <c r="AM501" s="2104"/>
      <c r="AN501" s="2104"/>
      <c r="AO501" s="2104"/>
      <c r="AP501" s="2104"/>
      <c r="AR501" s="3479"/>
    </row>
    <row r="502" s="3330" customFormat="1" customHeight="1" spans="1:44">
      <c r="A502" s="3340"/>
      <c r="B502"/>
      <c r="C502" s="3315"/>
      <c r="D502" s="2104"/>
      <c r="E502" s="2104"/>
      <c r="F502" s="2104"/>
      <c r="G502" s="2104"/>
      <c r="H502" s="2104"/>
      <c r="I502" s="2104"/>
      <c r="J502" s="2104"/>
      <c r="K502" s="2104"/>
      <c r="L502" s="2104"/>
      <c r="M502" s="2104"/>
      <c r="N502" s="2104"/>
      <c r="O502" s="2104"/>
      <c r="P502" s="2104"/>
      <c r="Q502" s="2104"/>
      <c r="R502" s="2104"/>
      <c r="S502" s="2104"/>
      <c r="T502" s="2104"/>
      <c r="U502" s="2104"/>
      <c r="V502" s="2104"/>
      <c r="W502" s="2104"/>
      <c r="X502" s="2104"/>
      <c r="Y502" s="2104"/>
      <c r="Z502" s="2104"/>
      <c r="AA502" s="2104"/>
      <c r="AB502" s="2104"/>
      <c r="AC502" s="2104"/>
      <c r="AD502" s="2104"/>
      <c r="AE502" s="2104"/>
      <c r="AF502" s="2104"/>
      <c r="AG502" s="2104"/>
      <c r="AH502" s="2104"/>
      <c r="AI502" s="2104"/>
      <c r="AJ502" s="2104"/>
      <c r="AK502" s="2104"/>
      <c r="AL502" s="2104"/>
      <c r="AM502" s="2104"/>
      <c r="AN502" s="2104"/>
      <c r="AO502" s="2104"/>
      <c r="AP502" s="2104"/>
      <c r="AR502" s="3479"/>
    </row>
    <row r="503" s="3330" customFormat="1" customHeight="1" spans="3:44">
      <c r="C503" s="3315"/>
      <c r="D503" s="2104"/>
      <c r="E503" s="2104"/>
      <c r="F503" s="2104"/>
      <c r="G503" s="2104"/>
      <c r="H503" s="2104"/>
      <c r="I503" s="2104"/>
      <c r="J503" s="2104"/>
      <c r="K503" s="2104"/>
      <c r="L503" s="2104"/>
      <c r="M503" s="2104"/>
      <c r="N503" s="2104"/>
      <c r="O503" s="2104"/>
      <c r="P503" s="2104"/>
      <c r="Q503" s="2104"/>
      <c r="R503" s="2104"/>
      <c r="S503" s="2104"/>
      <c r="T503" s="2104"/>
      <c r="U503" s="2104"/>
      <c r="V503" s="2104"/>
      <c r="W503" s="2104"/>
      <c r="X503" s="2104"/>
      <c r="Y503" s="2104"/>
      <c r="Z503" s="2104"/>
      <c r="AA503" s="2104"/>
      <c r="AB503" s="2104"/>
      <c r="AC503" s="2104"/>
      <c r="AD503" s="2104"/>
      <c r="AE503" s="2104"/>
      <c r="AF503" s="2104"/>
      <c r="AG503" s="2104"/>
      <c r="AH503" s="2104"/>
      <c r="AI503" s="2104"/>
      <c r="AJ503" s="2104"/>
      <c r="AK503" s="2104"/>
      <c r="AL503" s="2104"/>
      <c r="AM503" s="2104"/>
      <c r="AN503" s="2104"/>
      <c r="AO503" s="2104"/>
      <c r="AP503" s="2104"/>
      <c r="AR503" s="3479"/>
    </row>
    <row r="504" s="3330" customFormat="1" ht="9" customHeight="1" spans="44:44">
      <c r="AR504" s="3479"/>
    </row>
    <row r="505" s="3330" customFormat="1" customHeight="1" spans="3:44">
      <c r="C505" s="3330">
        <f>+C496+1</f>
        <v>5</v>
      </c>
      <c r="D505" s="5059" t="s">
        <v>1936</v>
      </c>
      <c r="E505" s="2104"/>
      <c r="F505" s="2104"/>
      <c r="G505" s="2104"/>
      <c r="H505" s="2104"/>
      <c r="I505" s="2104"/>
      <c r="J505" s="2104"/>
      <c r="K505" s="2104"/>
      <c r="L505" s="2104"/>
      <c r="M505" s="2104"/>
      <c r="N505" s="2104"/>
      <c r="O505" s="2104"/>
      <c r="P505" s="2104"/>
      <c r="Q505" s="2104"/>
      <c r="R505" s="2104"/>
      <c r="S505" s="2104"/>
      <c r="T505" s="2104"/>
      <c r="U505" s="2104"/>
      <c r="V505" s="2104"/>
      <c r="W505" s="2104"/>
      <c r="X505" s="2104"/>
      <c r="Y505" s="2104"/>
      <c r="Z505" s="2104"/>
      <c r="AA505" s="2104"/>
      <c r="AB505" s="2104"/>
      <c r="AC505" s="2104"/>
      <c r="AD505" s="2104"/>
      <c r="AE505" s="2104"/>
      <c r="AF505" s="2104"/>
      <c r="AG505" s="2104"/>
      <c r="AH505" s="2104"/>
      <c r="AI505" s="2104"/>
      <c r="AJ505" s="2104"/>
      <c r="AK505" s="2104"/>
      <c r="AL505" s="2104"/>
      <c r="AM505" s="2104"/>
      <c r="AN505" s="2104"/>
      <c r="AO505" s="2104"/>
      <c r="AP505" s="2104"/>
      <c r="AR505" s="3479"/>
    </row>
    <row r="506" s="3330" customFormat="1" customHeight="1" spans="3:44">
      <c r="C506" s="3326"/>
      <c r="D506" s="2104"/>
      <c r="E506" s="2104"/>
      <c r="F506" s="2104"/>
      <c r="G506" s="2104"/>
      <c r="H506" s="2104"/>
      <c r="I506" s="2104"/>
      <c r="J506" s="2104"/>
      <c r="K506" s="2104"/>
      <c r="L506" s="2104"/>
      <c r="M506" s="2104"/>
      <c r="N506" s="2104"/>
      <c r="O506" s="2104"/>
      <c r="P506" s="2104"/>
      <c r="Q506" s="2104"/>
      <c r="R506" s="2104"/>
      <c r="S506" s="2104"/>
      <c r="T506" s="2104"/>
      <c r="U506" s="2104"/>
      <c r="V506" s="2104"/>
      <c r="W506" s="2104"/>
      <c r="X506" s="2104"/>
      <c r="Y506" s="2104"/>
      <c r="Z506" s="2104"/>
      <c r="AA506" s="2104"/>
      <c r="AB506" s="2104"/>
      <c r="AC506" s="2104"/>
      <c r="AD506" s="2104"/>
      <c r="AE506" s="2104"/>
      <c r="AF506" s="2104"/>
      <c r="AG506" s="2104"/>
      <c r="AH506" s="2104"/>
      <c r="AI506" s="2104"/>
      <c r="AJ506" s="2104"/>
      <c r="AK506" s="2104"/>
      <c r="AL506" s="2104"/>
      <c r="AM506" s="2104"/>
      <c r="AN506" s="2104"/>
      <c r="AO506" s="2104"/>
      <c r="AP506" s="2104"/>
      <c r="AR506" s="3479"/>
    </row>
    <row r="507" s="3330" customFormat="1" customHeight="1" spans="3:44">
      <c r="C507"/>
      <c r="D507" s="2104"/>
      <c r="E507" s="2104"/>
      <c r="F507" s="2104"/>
      <c r="G507" s="2104"/>
      <c r="H507" s="2104"/>
      <c r="I507" s="2104"/>
      <c r="J507" s="2104"/>
      <c r="K507" s="2104"/>
      <c r="L507" s="2104"/>
      <c r="M507" s="2104"/>
      <c r="N507" s="2104"/>
      <c r="O507" s="2104"/>
      <c r="P507" s="2104"/>
      <c r="Q507" s="2104"/>
      <c r="R507" s="2104"/>
      <c r="S507" s="2104"/>
      <c r="T507" s="2104"/>
      <c r="U507" s="2104"/>
      <c r="V507" s="2104"/>
      <c r="W507" s="2104"/>
      <c r="X507" s="2104"/>
      <c r="Y507" s="2104"/>
      <c r="Z507" s="2104"/>
      <c r="AA507" s="2104"/>
      <c r="AB507" s="2104"/>
      <c r="AC507" s="2104"/>
      <c r="AD507" s="2104"/>
      <c r="AE507" s="2104"/>
      <c r="AF507" s="2104"/>
      <c r="AG507" s="2104"/>
      <c r="AH507" s="2104"/>
      <c r="AI507" s="2104"/>
      <c r="AJ507" s="2104"/>
      <c r="AK507" s="2104"/>
      <c r="AL507" s="2104"/>
      <c r="AM507" s="2104"/>
      <c r="AN507" s="2104"/>
      <c r="AO507" s="2104"/>
      <c r="AP507" s="2104"/>
      <c r="AR507" s="3479"/>
    </row>
    <row r="508" s="3330" customFormat="1" customHeight="1" spans="3:44">
      <c r="C508" s="3315"/>
      <c r="D508" s="2104"/>
      <c r="E508" s="2104"/>
      <c r="F508" s="2104"/>
      <c r="G508" s="2104"/>
      <c r="H508" s="2104"/>
      <c r="I508" s="2104"/>
      <c r="J508" s="2104"/>
      <c r="K508" s="2104"/>
      <c r="L508" s="2104"/>
      <c r="M508" s="2104"/>
      <c r="N508" s="2104"/>
      <c r="O508" s="2104"/>
      <c r="P508" s="2104"/>
      <c r="Q508" s="2104"/>
      <c r="R508" s="2104"/>
      <c r="S508" s="2104"/>
      <c r="T508" s="2104"/>
      <c r="U508" s="2104"/>
      <c r="V508" s="2104"/>
      <c r="W508" s="2104"/>
      <c r="X508" s="2104"/>
      <c r="Y508" s="2104"/>
      <c r="Z508" s="2104"/>
      <c r="AA508" s="2104"/>
      <c r="AB508" s="2104"/>
      <c r="AC508" s="2104"/>
      <c r="AD508" s="2104"/>
      <c r="AE508" s="2104"/>
      <c r="AF508" s="2104"/>
      <c r="AG508" s="2104"/>
      <c r="AH508" s="2104"/>
      <c r="AI508" s="2104"/>
      <c r="AJ508" s="2104"/>
      <c r="AK508" s="2104"/>
      <c r="AL508" s="2104"/>
      <c r="AM508" s="2104"/>
      <c r="AN508" s="2104"/>
      <c r="AO508" s="2104"/>
      <c r="AP508" s="2104"/>
      <c r="AR508" s="3479"/>
    </row>
    <row r="509" s="3330" customFormat="1" customHeight="1" spans="3:44">
      <c r="C509" s="3315"/>
      <c r="D509" s="2104"/>
      <c r="E509" s="2104"/>
      <c r="F509" s="2104"/>
      <c r="G509" s="2104"/>
      <c r="H509" s="2104"/>
      <c r="I509" s="2104"/>
      <c r="J509" s="2104"/>
      <c r="K509" s="2104"/>
      <c r="L509" s="2104"/>
      <c r="M509" s="2104"/>
      <c r="N509" s="2104"/>
      <c r="O509" s="2104"/>
      <c r="P509" s="2104"/>
      <c r="Q509" s="2104"/>
      <c r="R509" s="2104"/>
      <c r="S509" s="2104"/>
      <c r="T509" s="2104"/>
      <c r="U509" s="2104"/>
      <c r="V509" s="2104"/>
      <c r="W509" s="2104"/>
      <c r="X509" s="2104"/>
      <c r="Y509" s="2104"/>
      <c r="Z509" s="2104"/>
      <c r="AA509" s="2104"/>
      <c r="AB509" s="2104"/>
      <c r="AC509" s="2104"/>
      <c r="AD509" s="2104"/>
      <c r="AE509" s="2104"/>
      <c r="AF509" s="2104"/>
      <c r="AG509" s="2104"/>
      <c r="AH509" s="2104"/>
      <c r="AI509" s="2104"/>
      <c r="AJ509" s="2104"/>
      <c r="AK509" s="2104"/>
      <c r="AL509" s="2104"/>
      <c r="AM509" s="2104"/>
      <c r="AN509" s="2104"/>
      <c r="AO509" s="2104"/>
      <c r="AP509" s="2104"/>
      <c r="AR509" s="3479"/>
    </row>
    <row r="510" s="3330" customFormat="1" customHeight="1" spans="3:44">
      <c r="C510" s="3315"/>
      <c r="D510" s="2104"/>
      <c r="E510" s="2104"/>
      <c r="F510" s="2104"/>
      <c r="G510" s="2104"/>
      <c r="H510" s="2104"/>
      <c r="I510" s="2104"/>
      <c r="J510" s="2104"/>
      <c r="K510" s="2104"/>
      <c r="L510" s="2104"/>
      <c r="M510" s="2104"/>
      <c r="N510" s="2104"/>
      <c r="O510" s="2104"/>
      <c r="P510" s="2104"/>
      <c r="Q510" s="2104"/>
      <c r="R510" s="2104"/>
      <c r="S510" s="2104"/>
      <c r="T510" s="2104"/>
      <c r="U510" s="2104"/>
      <c r="V510" s="2104"/>
      <c r="W510" s="2104"/>
      <c r="X510" s="2104"/>
      <c r="Y510" s="2104"/>
      <c r="Z510" s="2104"/>
      <c r="AA510" s="2104"/>
      <c r="AB510" s="2104"/>
      <c r="AC510" s="2104"/>
      <c r="AD510" s="2104"/>
      <c r="AE510" s="2104"/>
      <c r="AF510" s="2104"/>
      <c r="AG510" s="2104"/>
      <c r="AH510" s="2104"/>
      <c r="AI510" s="2104"/>
      <c r="AJ510" s="2104"/>
      <c r="AK510" s="2104"/>
      <c r="AL510" s="2104"/>
      <c r="AM510" s="2104"/>
      <c r="AN510" s="2104"/>
      <c r="AO510" s="2104"/>
      <c r="AP510" s="2104"/>
      <c r="AR510" s="3479"/>
    </row>
    <row r="511" s="3330" customFormat="1" customHeight="1" spans="3:44">
      <c r="C511" s="3315"/>
      <c r="D511" s="2104"/>
      <c r="E511" s="2104"/>
      <c r="F511" s="2104"/>
      <c r="G511" s="2104"/>
      <c r="H511" s="2104"/>
      <c r="I511" s="2104"/>
      <c r="J511" s="2104"/>
      <c r="K511" s="2104"/>
      <c r="L511" s="2104"/>
      <c r="M511" s="2104"/>
      <c r="N511" s="2104"/>
      <c r="O511" s="2104"/>
      <c r="P511" s="2104"/>
      <c r="Q511" s="2104"/>
      <c r="R511" s="2104"/>
      <c r="S511" s="2104"/>
      <c r="T511" s="2104"/>
      <c r="U511" s="2104"/>
      <c r="V511" s="2104"/>
      <c r="W511" s="2104"/>
      <c r="X511" s="2104"/>
      <c r="Y511" s="2104"/>
      <c r="Z511" s="2104"/>
      <c r="AA511" s="2104"/>
      <c r="AB511" s="2104"/>
      <c r="AC511" s="2104"/>
      <c r="AD511" s="2104"/>
      <c r="AE511" s="2104"/>
      <c r="AF511" s="2104"/>
      <c r="AG511" s="2104"/>
      <c r="AH511" s="2104"/>
      <c r="AI511" s="2104"/>
      <c r="AJ511" s="2104"/>
      <c r="AK511" s="2104"/>
      <c r="AL511" s="2104"/>
      <c r="AM511" s="2104"/>
      <c r="AN511" s="2104"/>
      <c r="AO511" s="2104"/>
      <c r="AP511" s="2104"/>
      <c r="AR511" s="3479"/>
    </row>
    <row r="512" s="3330" customFormat="1" ht="9" customHeight="1" spans="44:44">
      <c r="AR512" s="3479"/>
    </row>
    <row r="513" s="3330" customFormat="1" customHeight="1" spans="3:44">
      <c r="C513" s="3330">
        <f>+C505+1</f>
        <v>6</v>
      </c>
      <c r="D513" s="5059" t="s">
        <v>1937</v>
      </c>
      <c r="E513" s="2104"/>
      <c r="F513" s="2104"/>
      <c r="G513" s="2104"/>
      <c r="H513" s="2104"/>
      <c r="I513" s="2104"/>
      <c r="J513" s="2104"/>
      <c r="K513" s="2104"/>
      <c r="L513" s="2104"/>
      <c r="M513" s="2104"/>
      <c r="N513" s="2104"/>
      <c r="O513" s="2104"/>
      <c r="P513" s="2104"/>
      <c r="Q513" s="2104"/>
      <c r="R513" s="2104"/>
      <c r="S513" s="2104"/>
      <c r="T513" s="2104"/>
      <c r="U513" s="2104"/>
      <c r="V513" s="2104"/>
      <c r="W513" s="2104"/>
      <c r="X513" s="2104"/>
      <c r="Y513" s="2104"/>
      <c r="Z513" s="2104"/>
      <c r="AA513" s="2104"/>
      <c r="AB513" s="2104"/>
      <c r="AC513" s="2104"/>
      <c r="AD513" s="2104"/>
      <c r="AE513" s="2104"/>
      <c r="AF513" s="2104"/>
      <c r="AG513" s="2104"/>
      <c r="AH513" s="2104"/>
      <c r="AI513" s="2104"/>
      <c r="AJ513" s="2104"/>
      <c r="AK513" s="2104"/>
      <c r="AL513" s="2104"/>
      <c r="AM513" s="2104"/>
      <c r="AN513" s="2104"/>
      <c r="AO513" s="2104"/>
      <c r="AP513" s="2104"/>
      <c r="AR513" s="3479"/>
    </row>
    <row r="514" s="3330" customFormat="1" customHeight="1" spans="3:44">
      <c r="C514" s="3326"/>
      <c r="D514" s="2104"/>
      <c r="E514" s="2104"/>
      <c r="F514" s="2104"/>
      <c r="G514" s="2104"/>
      <c r="H514" s="2104"/>
      <c r="I514" s="2104"/>
      <c r="J514" s="2104"/>
      <c r="K514" s="2104"/>
      <c r="L514" s="2104"/>
      <c r="M514" s="2104"/>
      <c r="N514" s="2104"/>
      <c r="O514" s="2104"/>
      <c r="P514" s="2104"/>
      <c r="Q514" s="2104"/>
      <c r="R514" s="2104"/>
      <c r="S514" s="2104"/>
      <c r="T514" s="2104"/>
      <c r="U514" s="2104"/>
      <c r="V514" s="2104"/>
      <c r="W514" s="2104"/>
      <c r="X514" s="2104"/>
      <c r="Y514" s="2104"/>
      <c r="Z514" s="2104"/>
      <c r="AA514" s="2104"/>
      <c r="AB514" s="2104"/>
      <c r="AC514" s="2104"/>
      <c r="AD514" s="2104"/>
      <c r="AE514" s="2104"/>
      <c r="AF514" s="2104"/>
      <c r="AG514" s="2104"/>
      <c r="AH514" s="2104"/>
      <c r="AI514" s="2104"/>
      <c r="AJ514" s="2104"/>
      <c r="AK514" s="2104"/>
      <c r="AL514" s="2104"/>
      <c r="AM514" s="2104"/>
      <c r="AN514" s="2104"/>
      <c r="AO514" s="2104"/>
      <c r="AP514" s="2104"/>
      <c r="AR514" s="3479"/>
    </row>
    <row r="515" s="3330" customFormat="1" customHeight="1" spans="3:44">
      <c r="C515"/>
      <c r="D515" s="2104"/>
      <c r="E515" s="2104"/>
      <c r="F515" s="2104"/>
      <c r="G515" s="2104"/>
      <c r="H515" s="2104"/>
      <c r="I515" s="2104"/>
      <c r="J515" s="2104"/>
      <c r="K515" s="2104"/>
      <c r="L515" s="2104"/>
      <c r="M515" s="2104"/>
      <c r="N515" s="2104"/>
      <c r="O515" s="2104"/>
      <c r="P515" s="2104"/>
      <c r="Q515" s="2104"/>
      <c r="R515" s="2104"/>
      <c r="S515" s="2104"/>
      <c r="T515" s="2104"/>
      <c r="U515" s="2104"/>
      <c r="V515" s="2104"/>
      <c r="W515" s="2104"/>
      <c r="X515" s="2104"/>
      <c r="Y515" s="2104"/>
      <c r="Z515" s="2104"/>
      <c r="AA515" s="2104"/>
      <c r="AB515" s="2104"/>
      <c r="AC515" s="2104"/>
      <c r="AD515" s="2104"/>
      <c r="AE515" s="2104"/>
      <c r="AF515" s="2104"/>
      <c r="AG515" s="2104"/>
      <c r="AH515" s="2104"/>
      <c r="AI515" s="2104"/>
      <c r="AJ515" s="2104"/>
      <c r="AK515" s="2104"/>
      <c r="AL515" s="2104"/>
      <c r="AM515" s="2104"/>
      <c r="AN515" s="2104"/>
      <c r="AO515" s="2104"/>
      <c r="AP515" s="2104"/>
      <c r="AR515" s="3479"/>
    </row>
    <row r="516" s="3330" customFormat="1" customHeight="1" spans="3:44">
      <c r="C516" s="3315"/>
      <c r="D516" s="2104"/>
      <c r="E516" s="2104"/>
      <c r="F516" s="2104"/>
      <c r="G516" s="2104"/>
      <c r="H516" s="2104"/>
      <c r="I516" s="2104"/>
      <c r="J516" s="2104"/>
      <c r="K516" s="2104"/>
      <c r="L516" s="2104"/>
      <c r="M516" s="2104"/>
      <c r="N516" s="2104"/>
      <c r="O516" s="2104"/>
      <c r="P516" s="2104"/>
      <c r="Q516" s="2104"/>
      <c r="R516" s="2104"/>
      <c r="S516" s="2104"/>
      <c r="T516" s="2104"/>
      <c r="U516" s="2104"/>
      <c r="V516" s="2104"/>
      <c r="W516" s="2104"/>
      <c r="X516" s="2104"/>
      <c r="Y516" s="2104"/>
      <c r="Z516" s="2104"/>
      <c r="AA516" s="2104"/>
      <c r="AB516" s="2104"/>
      <c r="AC516" s="2104"/>
      <c r="AD516" s="2104"/>
      <c r="AE516" s="2104"/>
      <c r="AF516" s="2104"/>
      <c r="AG516" s="2104"/>
      <c r="AH516" s="2104"/>
      <c r="AI516" s="2104"/>
      <c r="AJ516" s="2104"/>
      <c r="AK516" s="2104"/>
      <c r="AL516" s="2104"/>
      <c r="AM516" s="2104"/>
      <c r="AN516" s="2104"/>
      <c r="AO516" s="2104"/>
      <c r="AP516" s="2104"/>
      <c r="AR516" s="3479"/>
    </row>
    <row r="517" s="3330" customFormat="1" customHeight="1" spans="3:44">
      <c r="C517" s="3315"/>
      <c r="D517" s="2104"/>
      <c r="E517" s="2104"/>
      <c r="F517" s="2104"/>
      <c r="G517" s="2104"/>
      <c r="H517" s="2104"/>
      <c r="I517" s="2104"/>
      <c r="J517" s="2104"/>
      <c r="K517" s="2104"/>
      <c r="L517" s="2104"/>
      <c r="M517" s="2104"/>
      <c r="N517" s="2104"/>
      <c r="O517" s="2104"/>
      <c r="P517" s="2104"/>
      <c r="Q517" s="2104"/>
      <c r="R517" s="2104"/>
      <c r="S517" s="2104"/>
      <c r="T517" s="2104"/>
      <c r="U517" s="2104"/>
      <c r="V517" s="2104"/>
      <c r="W517" s="2104"/>
      <c r="X517" s="2104"/>
      <c r="Y517" s="2104"/>
      <c r="Z517" s="2104"/>
      <c r="AA517" s="2104"/>
      <c r="AB517" s="2104"/>
      <c r="AC517" s="2104"/>
      <c r="AD517" s="2104"/>
      <c r="AE517" s="2104"/>
      <c r="AF517" s="2104"/>
      <c r="AG517" s="2104"/>
      <c r="AH517" s="2104"/>
      <c r="AI517" s="2104"/>
      <c r="AJ517" s="2104"/>
      <c r="AK517" s="2104"/>
      <c r="AL517" s="2104"/>
      <c r="AM517" s="2104"/>
      <c r="AN517" s="2104"/>
      <c r="AO517" s="2104"/>
      <c r="AP517" s="2104"/>
      <c r="AR517" s="3479"/>
    </row>
    <row r="518" s="3330" customFormat="1" customHeight="1" spans="3:44">
      <c r="C518" s="3315"/>
      <c r="D518" s="2104"/>
      <c r="E518" s="2104"/>
      <c r="F518" s="2104"/>
      <c r="G518" s="2104"/>
      <c r="H518" s="2104"/>
      <c r="I518" s="2104"/>
      <c r="J518" s="2104"/>
      <c r="K518" s="2104"/>
      <c r="L518" s="2104"/>
      <c r="M518" s="2104"/>
      <c r="N518" s="2104"/>
      <c r="O518" s="2104"/>
      <c r="P518" s="2104"/>
      <c r="Q518" s="2104"/>
      <c r="R518" s="2104"/>
      <c r="S518" s="2104"/>
      <c r="T518" s="2104"/>
      <c r="U518" s="2104"/>
      <c r="V518" s="2104"/>
      <c r="W518" s="2104"/>
      <c r="X518" s="2104"/>
      <c r="Y518" s="2104"/>
      <c r="Z518" s="2104"/>
      <c r="AA518" s="2104"/>
      <c r="AB518" s="2104"/>
      <c r="AC518" s="2104"/>
      <c r="AD518" s="2104"/>
      <c r="AE518" s="2104"/>
      <c r="AF518" s="2104"/>
      <c r="AG518" s="2104"/>
      <c r="AH518" s="2104"/>
      <c r="AI518" s="2104"/>
      <c r="AJ518" s="2104"/>
      <c r="AK518" s="2104"/>
      <c r="AL518" s="2104"/>
      <c r="AM518" s="2104"/>
      <c r="AN518" s="2104"/>
      <c r="AO518" s="2104"/>
      <c r="AP518" s="2104"/>
      <c r="AR518" s="3479"/>
    </row>
    <row r="519" s="3330" customFormat="1" customHeight="1" spans="3:44">
      <c r="C519" s="3315"/>
      <c r="D519" s="2104"/>
      <c r="E519" s="2104"/>
      <c r="F519" s="2104"/>
      <c r="G519" s="2104"/>
      <c r="H519" s="2104"/>
      <c r="I519" s="2104"/>
      <c r="J519" s="2104"/>
      <c r="K519" s="2104"/>
      <c r="L519" s="2104"/>
      <c r="M519" s="2104"/>
      <c r="N519" s="2104"/>
      <c r="O519" s="2104"/>
      <c r="P519" s="2104"/>
      <c r="Q519" s="2104"/>
      <c r="R519" s="2104"/>
      <c r="S519" s="2104"/>
      <c r="T519" s="2104"/>
      <c r="U519" s="2104"/>
      <c r="V519" s="2104"/>
      <c r="W519" s="2104"/>
      <c r="X519" s="2104"/>
      <c r="Y519" s="2104"/>
      <c r="Z519" s="2104"/>
      <c r="AA519" s="2104"/>
      <c r="AB519" s="2104"/>
      <c r="AC519" s="2104"/>
      <c r="AD519" s="2104"/>
      <c r="AE519" s="2104"/>
      <c r="AF519" s="2104"/>
      <c r="AG519" s="2104"/>
      <c r="AH519" s="2104"/>
      <c r="AI519" s="2104"/>
      <c r="AJ519" s="2104"/>
      <c r="AK519" s="2104"/>
      <c r="AL519" s="2104"/>
      <c r="AM519" s="2104"/>
      <c r="AN519" s="2104"/>
      <c r="AO519" s="2104"/>
      <c r="AP519" s="2104"/>
      <c r="AR519" s="3479"/>
    </row>
    <row r="520" s="3330" customFormat="1" customHeight="1" spans="3:44">
      <c r="C520" s="3315"/>
      <c r="D520" s="2104"/>
      <c r="E520" s="2104"/>
      <c r="F520" s="2104"/>
      <c r="G520" s="2104"/>
      <c r="H520" s="2104"/>
      <c r="I520" s="2104"/>
      <c r="J520" s="2104"/>
      <c r="K520" s="2104"/>
      <c r="L520" s="2104"/>
      <c r="M520" s="2104"/>
      <c r="N520" s="2104"/>
      <c r="O520" s="2104"/>
      <c r="P520" s="2104"/>
      <c r="Q520" s="2104"/>
      <c r="R520" s="2104"/>
      <c r="S520" s="2104"/>
      <c r="T520" s="2104"/>
      <c r="U520" s="2104"/>
      <c r="V520" s="2104"/>
      <c r="W520" s="2104"/>
      <c r="X520" s="2104"/>
      <c r="Y520" s="2104"/>
      <c r="Z520" s="2104"/>
      <c r="AA520" s="2104"/>
      <c r="AB520" s="2104"/>
      <c r="AC520" s="2104"/>
      <c r="AD520" s="2104"/>
      <c r="AE520" s="2104"/>
      <c r="AF520" s="2104"/>
      <c r="AG520" s="2104"/>
      <c r="AH520" s="2104"/>
      <c r="AI520" s="2104"/>
      <c r="AJ520" s="2104"/>
      <c r="AK520" s="2104"/>
      <c r="AL520" s="2104"/>
      <c r="AM520" s="2104"/>
      <c r="AN520" s="2104"/>
      <c r="AO520" s="2104"/>
      <c r="AP520" s="2104"/>
      <c r="AR520" s="3479"/>
    </row>
    <row r="521" s="3330" customFormat="1" customHeight="1" spans="3:44">
      <c r="C521" s="3315"/>
      <c r="D521" s="2104"/>
      <c r="E521" s="2104"/>
      <c r="F521" s="2104"/>
      <c r="G521" s="2104"/>
      <c r="H521" s="2104"/>
      <c r="I521" s="2104"/>
      <c r="J521" s="2104"/>
      <c r="K521" s="2104"/>
      <c r="L521" s="2104"/>
      <c r="M521" s="2104"/>
      <c r="N521" s="2104"/>
      <c r="O521" s="2104"/>
      <c r="P521" s="2104"/>
      <c r="Q521" s="2104"/>
      <c r="R521" s="2104"/>
      <c r="S521" s="2104"/>
      <c r="T521" s="2104"/>
      <c r="U521" s="2104"/>
      <c r="V521" s="2104"/>
      <c r="W521" s="2104"/>
      <c r="X521" s="2104"/>
      <c r="Y521" s="2104"/>
      <c r="Z521" s="2104"/>
      <c r="AA521" s="2104"/>
      <c r="AB521" s="2104"/>
      <c r="AC521" s="2104"/>
      <c r="AD521" s="2104"/>
      <c r="AE521" s="2104"/>
      <c r="AF521" s="2104"/>
      <c r="AG521" s="2104"/>
      <c r="AH521" s="2104"/>
      <c r="AI521" s="2104"/>
      <c r="AJ521" s="2104"/>
      <c r="AK521" s="2104"/>
      <c r="AL521" s="2104"/>
      <c r="AM521" s="2104"/>
      <c r="AN521" s="2104"/>
      <c r="AO521" s="2104"/>
      <c r="AP521" s="2104"/>
      <c r="AR521" s="3479"/>
    </row>
    <row r="522" s="3330" customFormat="1" customHeight="1" spans="44:44">
      <c r="AR522" s="3479"/>
    </row>
    <row r="523" s="3330" customFormat="1" customHeight="1" spans="3:44">
      <c r="C523" s="3330">
        <f>+C513+1</f>
        <v>7</v>
      </c>
      <c r="D523" s="2104" t="s">
        <v>1938</v>
      </c>
      <c r="E523" s="2104"/>
      <c r="F523" s="2104"/>
      <c r="G523" s="2104"/>
      <c r="H523" s="2104"/>
      <c r="I523" s="2104"/>
      <c r="J523" s="2104"/>
      <c r="K523" s="2104"/>
      <c r="L523" s="2104"/>
      <c r="M523" s="2104"/>
      <c r="N523" s="2104"/>
      <c r="O523" s="2104"/>
      <c r="P523" s="2104"/>
      <c r="Q523" s="2104"/>
      <c r="R523" s="2104"/>
      <c r="S523" s="2104"/>
      <c r="T523" s="2104"/>
      <c r="U523" s="2104"/>
      <c r="V523" s="2104"/>
      <c r="W523" s="2104"/>
      <c r="X523" s="2104"/>
      <c r="Y523" s="2104"/>
      <c r="Z523" s="2104"/>
      <c r="AA523" s="2104"/>
      <c r="AB523" s="2104"/>
      <c r="AC523" s="2104"/>
      <c r="AD523" s="2104"/>
      <c r="AE523" s="2104"/>
      <c r="AF523" s="2104"/>
      <c r="AG523" s="2104"/>
      <c r="AH523" s="2104"/>
      <c r="AI523" s="2104"/>
      <c r="AJ523" s="2104"/>
      <c r="AK523" s="2104"/>
      <c r="AL523" s="2104"/>
      <c r="AM523" s="2104"/>
      <c r="AN523" s="2104"/>
      <c r="AO523" s="2104"/>
      <c r="AP523" s="2104"/>
      <c r="AR523" s="3479"/>
    </row>
    <row r="524" s="3330" customFormat="1" customHeight="1" spans="4:44">
      <c r="D524" s="2104"/>
      <c r="E524" s="2104"/>
      <c r="F524" s="2104"/>
      <c r="G524" s="2104"/>
      <c r="H524" s="2104"/>
      <c r="I524" s="2104"/>
      <c r="J524" s="2104"/>
      <c r="K524" s="2104"/>
      <c r="L524" s="2104"/>
      <c r="M524" s="2104"/>
      <c r="N524" s="2104"/>
      <c r="O524" s="2104"/>
      <c r="P524" s="2104"/>
      <c r="Q524" s="2104"/>
      <c r="R524" s="2104"/>
      <c r="S524" s="2104"/>
      <c r="T524" s="2104"/>
      <c r="U524" s="2104"/>
      <c r="V524" s="2104"/>
      <c r="W524" s="2104"/>
      <c r="X524" s="2104"/>
      <c r="Y524" s="2104"/>
      <c r="Z524" s="2104"/>
      <c r="AA524" s="2104"/>
      <c r="AB524" s="2104"/>
      <c r="AC524" s="2104"/>
      <c r="AD524" s="2104"/>
      <c r="AE524" s="2104"/>
      <c r="AF524" s="2104"/>
      <c r="AG524" s="2104"/>
      <c r="AH524" s="2104"/>
      <c r="AI524" s="2104"/>
      <c r="AJ524" s="2104"/>
      <c r="AK524" s="2104"/>
      <c r="AL524" s="2104"/>
      <c r="AM524" s="2104"/>
      <c r="AN524" s="2104"/>
      <c r="AO524" s="2104"/>
      <c r="AP524" s="2104"/>
      <c r="AR524" s="3479"/>
    </row>
    <row r="525" s="3330" customFormat="1" customHeight="1" spans="4:44">
      <c r="D525" s="2104"/>
      <c r="E525" s="2104"/>
      <c r="F525" s="2104"/>
      <c r="G525" s="2104"/>
      <c r="H525" s="2104"/>
      <c r="I525" s="2104"/>
      <c r="J525" s="2104"/>
      <c r="K525" s="2104"/>
      <c r="L525" s="2104"/>
      <c r="M525" s="2104"/>
      <c r="N525" s="2104"/>
      <c r="O525" s="2104"/>
      <c r="P525" s="2104"/>
      <c r="Q525" s="2104"/>
      <c r="R525" s="2104"/>
      <c r="S525" s="2104"/>
      <c r="T525" s="2104"/>
      <c r="U525" s="2104"/>
      <c r="V525" s="2104"/>
      <c r="W525" s="2104"/>
      <c r="X525" s="2104"/>
      <c r="Y525" s="2104"/>
      <c r="Z525" s="2104"/>
      <c r="AA525" s="2104"/>
      <c r="AB525" s="2104"/>
      <c r="AC525" s="2104"/>
      <c r="AD525" s="2104"/>
      <c r="AE525" s="2104"/>
      <c r="AF525" s="2104"/>
      <c r="AG525" s="2104"/>
      <c r="AH525" s="2104"/>
      <c r="AI525" s="2104"/>
      <c r="AJ525" s="2104"/>
      <c r="AK525" s="2104"/>
      <c r="AL525" s="2104"/>
      <c r="AM525" s="2104"/>
      <c r="AN525" s="2104"/>
      <c r="AO525" s="2104"/>
      <c r="AP525" s="2104"/>
      <c r="AR525" s="3479"/>
    </row>
    <row r="526" s="3330" customFormat="1" customHeight="1" spans="4:44">
      <c r="D526" s="2104"/>
      <c r="E526" s="2104"/>
      <c r="F526" s="2104"/>
      <c r="G526" s="2104"/>
      <c r="H526" s="2104"/>
      <c r="I526" s="2104"/>
      <c r="J526" s="2104"/>
      <c r="K526" s="2104"/>
      <c r="L526" s="2104"/>
      <c r="M526" s="2104"/>
      <c r="N526" s="2104"/>
      <c r="O526" s="2104"/>
      <c r="P526" s="2104"/>
      <c r="Q526" s="2104"/>
      <c r="R526" s="2104"/>
      <c r="S526" s="2104"/>
      <c r="T526" s="2104"/>
      <c r="U526" s="2104"/>
      <c r="V526" s="2104"/>
      <c r="W526" s="2104"/>
      <c r="X526" s="2104"/>
      <c r="Y526" s="2104"/>
      <c r="Z526" s="2104"/>
      <c r="AA526" s="2104"/>
      <c r="AB526" s="2104"/>
      <c r="AC526" s="2104"/>
      <c r="AD526" s="2104"/>
      <c r="AE526" s="2104"/>
      <c r="AF526" s="2104"/>
      <c r="AG526" s="2104"/>
      <c r="AH526" s="2104"/>
      <c r="AI526" s="2104"/>
      <c r="AJ526" s="2104"/>
      <c r="AK526" s="2104"/>
      <c r="AL526" s="2104"/>
      <c r="AM526" s="2104"/>
      <c r="AN526" s="2104"/>
      <c r="AO526" s="2104"/>
      <c r="AP526" s="2104"/>
      <c r="AR526" s="3479"/>
    </row>
    <row r="527" s="3330" customFormat="1" customHeight="1" spans="4:44">
      <c r="D527" s="2104"/>
      <c r="E527" s="2104"/>
      <c r="F527" s="2104"/>
      <c r="G527" s="2104"/>
      <c r="H527" s="2104"/>
      <c r="I527" s="2104"/>
      <c r="J527" s="2104"/>
      <c r="K527" s="2104"/>
      <c r="L527" s="2104"/>
      <c r="M527" s="2104"/>
      <c r="N527" s="2104"/>
      <c r="O527" s="2104"/>
      <c r="P527" s="2104"/>
      <c r="Q527" s="2104"/>
      <c r="R527" s="2104"/>
      <c r="S527" s="2104"/>
      <c r="T527" s="2104"/>
      <c r="U527" s="2104"/>
      <c r="V527" s="2104"/>
      <c r="W527" s="2104"/>
      <c r="X527" s="2104"/>
      <c r="Y527" s="2104"/>
      <c r="Z527" s="2104"/>
      <c r="AA527" s="2104"/>
      <c r="AB527" s="2104"/>
      <c r="AC527" s="2104"/>
      <c r="AD527" s="2104"/>
      <c r="AE527" s="2104"/>
      <c r="AF527" s="2104"/>
      <c r="AG527" s="2104"/>
      <c r="AH527" s="2104"/>
      <c r="AI527" s="2104"/>
      <c r="AJ527" s="2104"/>
      <c r="AK527" s="2104"/>
      <c r="AL527" s="2104"/>
      <c r="AM527" s="2104"/>
      <c r="AN527" s="2104"/>
      <c r="AO527" s="2104"/>
      <c r="AP527" s="2104"/>
      <c r="AR527" s="3479"/>
    </row>
    <row r="528" s="3330" customFormat="1" customHeight="1" spans="4:44">
      <c r="D528" s="2104"/>
      <c r="E528" s="2104"/>
      <c r="F528" s="2104"/>
      <c r="G528" s="2104"/>
      <c r="H528" s="2104"/>
      <c r="I528" s="2104"/>
      <c r="J528" s="2104"/>
      <c r="K528" s="2104"/>
      <c r="L528" s="2104"/>
      <c r="M528" s="2104"/>
      <c r="N528" s="2104"/>
      <c r="O528" s="2104"/>
      <c r="P528" s="2104"/>
      <c r="Q528" s="2104"/>
      <c r="R528" s="2104"/>
      <c r="S528" s="2104"/>
      <c r="T528" s="2104"/>
      <c r="U528" s="2104"/>
      <c r="V528" s="2104"/>
      <c r="W528" s="2104"/>
      <c r="X528" s="2104"/>
      <c r="Y528" s="2104"/>
      <c r="Z528" s="2104"/>
      <c r="AA528" s="2104"/>
      <c r="AB528" s="2104"/>
      <c r="AC528" s="2104"/>
      <c r="AD528" s="2104"/>
      <c r="AE528" s="2104"/>
      <c r="AF528" s="2104"/>
      <c r="AG528" s="2104"/>
      <c r="AH528" s="2104"/>
      <c r="AI528" s="2104"/>
      <c r="AJ528" s="2104"/>
      <c r="AK528" s="2104"/>
      <c r="AL528" s="2104"/>
      <c r="AM528" s="2104"/>
      <c r="AN528" s="2104"/>
      <c r="AO528" s="2104"/>
      <c r="AP528" s="2104"/>
      <c r="AR528" s="3479"/>
    </row>
    <row r="529" s="3330" customFormat="1" customHeight="1" spans="4:44">
      <c r="D529" s="2104"/>
      <c r="E529" s="2104"/>
      <c r="F529" s="2104"/>
      <c r="G529" s="2104"/>
      <c r="H529" s="2104"/>
      <c r="I529" s="2104"/>
      <c r="J529" s="2104"/>
      <c r="K529" s="2104"/>
      <c r="L529" s="2104"/>
      <c r="M529" s="2104"/>
      <c r="N529" s="2104"/>
      <c r="O529" s="2104"/>
      <c r="P529" s="2104"/>
      <c r="Q529" s="2104"/>
      <c r="R529" s="2104"/>
      <c r="S529" s="2104"/>
      <c r="T529" s="2104"/>
      <c r="U529" s="2104"/>
      <c r="V529" s="2104"/>
      <c r="W529" s="2104"/>
      <c r="X529" s="2104"/>
      <c r="Y529" s="2104"/>
      <c r="Z529" s="2104"/>
      <c r="AA529" s="2104"/>
      <c r="AB529" s="2104"/>
      <c r="AC529" s="2104"/>
      <c r="AD529" s="2104"/>
      <c r="AE529" s="2104"/>
      <c r="AF529" s="2104"/>
      <c r="AG529" s="2104"/>
      <c r="AH529" s="2104"/>
      <c r="AI529" s="2104"/>
      <c r="AJ529" s="2104"/>
      <c r="AK529" s="2104"/>
      <c r="AL529" s="2104"/>
      <c r="AM529" s="2104"/>
      <c r="AN529" s="2104"/>
      <c r="AO529" s="2104"/>
      <c r="AP529" s="2104"/>
      <c r="AR529" s="3479"/>
    </row>
    <row r="530" s="3330" customFormat="1" customHeight="1" spans="4:44">
      <c r="D530" s="2104"/>
      <c r="E530" s="2104"/>
      <c r="F530" s="2104"/>
      <c r="G530" s="2104"/>
      <c r="H530" s="2104"/>
      <c r="I530" s="2104"/>
      <c r="J530" s="2104"/>
      <c r="K530" s="2104"/>
      <c r="L530" s="2104"/>
      <c r="M530" s="2104"/>
      <c r="N530" s="2104"/>
      <c r="O530" s="2104"/>
      <c r="P530" s="2104"/>
      <c r="Q530" s="2104"/>
      <c r="R530" s="2104"/>
      <c r="S530" s="2104"/>
      <c r="T530" s="2104"/>
      <c r="U530" s="2104"/>
      <c r="V530" s="2104"/>
      <c r="W530" s="2104"/>
      <c r="X530" s="2104"/>
      <c r="Y530" s="2104"/>
      <c r="Z530" s="2104"/>
      <c r="AA530" s="2104"/>
      <c r="AB530" s="2104"/>
      <c r="AC530" s="2104"/>
      <c r="AD530" s="2104"/>
      <c r="AE530" s="2104"/>
      <c r="AF530" s="2104"/>
      <c r="AG530" s="2104"/>
      <c r="AH530" s="2104"/>
      <c r="AI530" s="2104"/>
      <c r="AJ530" s="2104"/>
      <c r="AK530" s="2104"/>
      <c r="AL530" s="2104"/>
      <c r="AM530" s="2104"/>
      <c r="AN530" s="2104"/>
      <c r="AO530" s="2104"/>
      <c r="AP530" s="2104"/>
      <c r="AR530" s="3479"/>
    </row>
    <row r="531" s="3330" customFormat="1" customHeight="1" spans="3:44">
      <c r="C531" s="3330">
        <f>+C523+1</f>
        <v>8</v>
      </c>
      <c r="D531" s="3330" t="s">
        <v>1939</v>
      </c>
      <c r="AR531" s="3479"/>
    </row>
    <row r="532" s="3330" customFormat="1" customHeight="1" spans="44:44">
      <c r="AR532" s="3479"/>
    </row>
    <row r="533" s="3330" customFormat="1" customHeight="1" spans="1:44">
      <c r="A533" s="3385">
        <f>+A464+1</f>
        <v>15</v>
      </c>
      <c r="B533" s="3385"/>
      <c r="C533" s="3385"/>
      <c r="D533" s="3385"/>
      <c r="E533" s="3385"/>
      <c r="F533" s="3385"/>
      <c r="G533" s="3385"/>
      <c r="H533" s="3385"/>
      <c r="I533" s="3385"/>
      <c r="J533" s="3385"/>
      <c r="K533" s="3385"/>
      <c r="L533" s="3385"/>
      <c r="M533" s="3385"/>
      <c r="N533" s="3385"/>
      <c r="O533" s="3385"/>
      <c r="P533" s="3385"/>
      <c r="Q533" s="3385"/>
      <c r="R533" s="3385"/>
      <c r="S533" s="3385"/>
      <c r="T533" s="3385"/>
      <c r="U533" s="3385"/>
      <c r="V533" s="3385"/>
      <c r="W533" s="3385"/>
      <c r="X533" s="3385"/>
      <c r="Y533" s="3385"/>
      <c r="Z533" s="3385"/>
      <c r="AA533" s="3385"/>
      <c r="AB533" s="3385"/>
      <c r="AC533" s="3385"/>
      <c r="AD533" s="3385"/>
      <c r="AE533" s="3385"/>
      <c r="AF533" s="3385"/>
      <c r="AG533" s="3385"/>
      <c r="AH533" s="3385"/>
      <c r="AI533" s="3385"/>
      <c r="AJ533" s="3385"/>
      <c r="AK533" s="3385"/>
      <c r="AL533" s="3385"/>
      <c r="AM533" s="3385"/>
      <c r="AN533" s="3385"/>
      <c r="AO533" s="3385"/>
      <c r="AP533" s="3385"/>
      <c r="AR533" s="3479"/>
    </row>
    <row r="534" s="3330" customFormat="1" customHeight="1" spans="1:44">
      <c r="A534" s="3335">
        <f>A395</f>
        <v>12</v>
      </c>
      <c r="B534" s="3315"/>
      <c r="C534" s="3322" t="s">
        <v>1910</v>
      </c>
      <c r="D534"/>
      <c r="E534" s="2104"/>
      <c r="AR534" s="3479"/>
    </row>
    <row r="535" s="3330" customFormat="1" customHeight="1" spans="44:44">
      <c r="AR535" s="3479"/>
    </row>
    <row r="536" s="3330" customFormat="1" customHeight="1" spans="3:44">
      <c r="C536" s="94" t="s">
        <v>1911</v>
      </c>
      <c r="AR536" s="3479"/>
    </row>
    <row r="537" s="3330" customFormat="1" customHeight="1" spans="44:44">
      <c r="AR537" s="3479"/>
    </row>
    <row r="538" s="3330" customFormat="1" customHeight="1" spans="3:44">
      <c r="C538" s="3480" t="s">
        <v>148</v>
      </c>
      <c r="D538" s="3502" t="s">
        <v>1940</v>
      </c>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R538" s="3479"/>
    </row>
    <row r="539" s="3330" customFormat="1" ht="13.5" customHeight="1" spans="44:44">
      <c r="AR539" s="3479"/>
    </row>
    <row r="540" s="3330" customFormat="1" customHeight="1" spans="1:44">
      <c r="A540" s="3340"/>
      <c r="B540" s="64"/>
      <c r="C540" s="3504" t="s">
        <v>1941</v>
      </c>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2682"/>
      <c r="AC540" s="2682"/>
      <c r="AD540" s="2682"/>
      <c r="AE540" s="2682"/>
      <c r="AF540" s="2682"/>
      <c r="AG540" s="2682"/>
      <c r="AH540" s="2682"/>
      <c r="AI540" s="3326"/>
      <c r="AJ540" s="2682"/>
      <c r="AK540" s="2682"/>
      <c r="AL540" s="2682"/>
      <c r="AM540" s="2682"/>
      <c r="AN540" s="2682"/>
      <c r="AR540" s="3479"/>
    </row>
    <row r="541" s="3330" customFormat="1" ht="6" customHeight="1" spans="1:44">
      <c r="A541" s="3340"/>
      <c r="B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2682"/>
      <c r="AC541" s="2682"/>
      <c r="AD541" s="2682"/>
      <c r="AE541" s="2682"/>
      <c r="AF541" s="2682"/>
      <c r="AG541" s="2682"/>
      <c r="AH541" s="2682"/>
      <c r="AI541" s="3326"/>
      <c r="AJ541" s="2682"/>
      <c r="AK541" s="2682"/>
      <c r="AL541" s="2682"/>
      <c r="AM541" s="2682"/>
      <c r="AN541" s="2682"/>
      <c r="AR541" s="3479"/>
    </row>
    <row r="542" s="3330" customFormat="1" ht="23.25" customHeight="1" spans="1:44">
      <c r="A542" s="3340"/>
      <c r="B542" s="64"/>
      <c r="C542" s="5036" t="s">
        <v>1942</v>
      </c>
      <c r="D542" s="3341"/>
      <c r="E542" s="3341"/>
      <c r="F542" s="3341"/>
      <c r="G542" s="3341"/>
      <c r="H542" s="3341"/>
      <c r="I542" s="3341"/>
      <c r="J542" s="3341"/>
      <c r="K542" s="3341"/>
      <c r="L542" s="3341"/>
      <c r="M542" s="3341"/>
      <c r="N542" s="3341"/>
      <c r="O542" s="3341"/>
      <c r="P542" s="3341"/>
      <c r="Q542" s="3341"/>
      <c r="R542" s="3341"/>
      <c r="S542" s="3341"/>
      <c r="T542" s="3341"/>
      <c r="U542" s="3341"/>
      <c r="V542" s="3341"/>
      <c r="W542" s="3341"/>
      <c r="X542" s="3341"/>
      <c r="Y542" s="3341"/>
      <c r="Z542" s="3341"/>
      <c r="AA542" s="3341"/>
      <c r="AB542" s="3341"/>
      <c r="AC542" s="3341"/>
      <c r="AD542" s="3341"/>
      <c r="AE542" s="3341"/>
      <c r="AF542" s="3341"/>
      <c r="AG542" s="3341"/>
      <c r="AH542" s="3341"/>
      <c r="AI542" s="3341"/>
      <c r="AJ542" s="3341"/>
      <c r="AK542" s="3341"/>
      <c r="AL542" s="3341"/>
      <c r="AM542" s="3341"/>
      <c r="AN542" s="3341"/>
      <c r="AO542"/>
      <c r="AP542"/>
      <c r="AR542" s="3479"/>
    </row>
    <row r="543" s="3330" customFormat="1" ht="4.5" customHeight="1" spans="1:44">
      <c r="A543" s="3340"/>
      <c r="B543" s="64"/>
      <c r="C543" s="3339"/>
      <c r="D543" s="3341"/>
      <c r="E543" s="3341"/>
      <c r="F543" s="3341"/>
      <c r="G543" s="3341"/>
      <c r="H543" s="3341"/>
      <c r="I543" s="3341"/>
      <c r="J543" s="3341"/>
      <c r="K543" s="3341"/>
      <c r="L543" s="3341"/>
      <c r="M543" s="3341"/>
      <c r="N543" s="3341"/>
      <c r="O543" s="3341"/>
      <c r="P543" s="3341"/>
      <c r="Q543" s="3341"/>
      <c r="R543" s="3341"/>
      <c r="S543" s="3341"/>
      <c r="T543" s="3341"/>
      <c r="U543" s="3341"/>
      <c r="V543" s="3341"/>
      <c r="W543" s="3341"/>
      <c r="X543" s="3341"/>
      <c r="Y543" s="3341"/>
      <c r="Z543" s="3341"/>
      <c r="AA543" s="3341"/>
      <c r="AB543" s="3341"/>
      <c r="AC543" s="3341"/>
      <c r="AD543" s="3341"/>
      <c r="AE543" s="3341"/>
      <c r="AF543" s="3341"/>
      <c r="AG543" s="3341"/>
      <c r="AH543" s="3341"/>
      <c r="AI543" s="3341"/>
      <c r="AJ543" s="3341"/>
      <c r="AK543" s="3341"/>
      <c r="AL543" s="3341"/>
      <c r="AM543" s="3341"/>
      <c r="AN543" s="3341"/>
      <c r="AR543" s="3479"/>
    </row>
    <row r="544" s="3330" customFormat="1" customHeight="1" spans="1:44">
      <c r="A544" s="3340"/>
      <c r="B544"/>
      <c r="C544" s="3505" t="s">
        <v>1943</v>
      </c>
      <c r="D544"/>
      <c r="E544"/>
      <c r="F544"/>
      <c r="G544"/>
      <c r="H544"/>
      <c r="I544"/>
      <c r="J544"/>
      <c r="K544" s="3341"/>
      <c r="L544" s="3341"/>
      <c r="M544" s="3341"/>
      <c r="N544" s="3341"/>
      <c r="O544" s="3341"/>
      <c r="P544" s="3341"/>
      <c r="Q544" s="3341"/>
      <c r="R544" s="3341"/>
      <c r="S544" s="3341"/>
      <c r="T544" s="3341"/>
      <c r="U544" s="3341"/>
      <c r="V544" s="3341"/>
      <c r="W544" s="3341"/>
      <c r="X544" s="3341"/>
      <c r="Y544" s="3341"/>
      <c r="Z544" s="3341"/>
      <c r="AA544" s="3341"/>
      <c r="AB544" s="3341"/>
      <c r="AC544" s="3341"/>
      <c r="AD544" s="3341"/>
      <c r="AE544" s="3341"/>
      <c r="AF544" s="3341"/>
      <c r="AG544" s="3341"/>
      <c r="AH544" s="3341"/>
      <c r="AI544" s="3341"/>
      <c r="AJ544" s="3341"/>
      <c r="AK544" s="3341"/>
      <c r="AL544" s="3341"/>
      <c r="AM544" s="3341"/>
      <c r="AN544" s="3341"/>
      <c r="AR544" s="3479"/>
    </row>
    <row r="545" s="3330" customFormat="1" customHeight="1" spans="1:44">
      <c r="A545" s="3340"/>
      <c r="B545"/>
      <c r="C545" s="94" t="s">
        <v>732</v>
      </c>
      <c r="D545" s="94"/>
      <c r="E545" s="3506" t="s">
        <v>1944</v>
      </c>
      <c r="F545"/>
      <c r="G545"/>
      <c r="H545"/>
      <c r="I545"/>
      <c r="J545"/>
      <c r="K545" s="3341"/>
      <c r="L545" s="3341"/>
      <c r="M545" s="3341"/>
      <c r="N545" s="3341"/>
      <c r="O545" s="3341"/>
      <c r="P545" s="3341"/>
      <c r="Q545" s="3341"/>
      <c r="R545" s="3341"/>
      <c r="S545" s="3341"/>
      <c r="T545" s="3341"/>
      <c r="U545" s="3341"/>
      <c r="V545" s="3341"/>
      <c r="W545" s="3341"/>
      <c r="X545" s="3341"/>
      <c r="Y545" s="3341"/>
      <c r="Z545" s="3341"/>
      <c r="AA545" s="3341"/>
      <c r="AB545" s="3341"/>
      <c r="AC545" s="3341"/>
      <c r="AD545" s="3341"/>
      <c r="AE545" s="3341"/>
      <c r="AF545" s="3341"/>
      <c r="AG545" s="3341"/>
      <c r="AH545" s="3341"/>
      <c r="AI545" s="3341"/>
      <c r="AJ545" s="3341"/>
      <c r="AK545" s="3341"/>
      <c r="AL545" s="3341"/>
      <c r="AM545" s="3341"/>
      <c r="AN545" s="3341"/>
      <c r="AR545" s="3479"/>
    </row>
    <row r="546" s="3330" customFormat="1" customHeight="1" spans="1:44">
      <c r="A546" s="3340"/>
      <c r="B546"/>
      <c r="C546" s="3330">
        <v>1</v>
      </c>
      <c r="E546" s="3484" t="s">
        <v>1945</v>
      </c>
      <c r="F546" s="3339"/>
      <c r="G546" s="3339"/>
      <c r="H546" s="3339"/>
      <c r="I546" s="3341"/>
      <c r="J546" s="3341"/>
      <c r="K546" s="3341"/>
      <c r="M546" s="5036" t="s">
        <v>225</v>
      </c>
      <c r="N546" s="3489" t="s">
        <v>1946</v>
      </c>
      <c r="O546"/>
      <c r="P546"/>
      <c r="Q546"/>
      <c r="R546"/>
      <c r="S546"/>
      <c r="T546"/>
      <c r="U546"/>
      <c r="V546"/>
      <c r="W546"/>
      <c r="X546"/>
      <c r="Y546"/>
      <c r="Z546"/>
      <c r="AA546"/>
      <c r="AB546"/>
      <c r="AC546"/>
      <c r="AD546"/>
      <c r="AE546"/>
      <c r="AF546"/>
      <c r="AG546"/>
      <c r="AH546"/>
      <c r="AI546"/>
      <c r="AJ546"/>
      <c r="AK546"/>
      <c r="AL546"/>
      <c r="AM546"/>
      <c r="AN546"/>
      <c r="AO546"/>
      <c r="AP546"/>
      <c r="AR546" s="3479"/>
    </row>
    <row r="547" s="3330" customFormat="1" customHeight="1" spans="1:44">
      <c r="A547" s="3340"/>
      <c r="B547"/>
      <c r="C547" s="3330">
        <f>+C546+1</f>
        <v>2</v>
      </c>
      <c r="E547" s="3484" t="s">
        <v>1947</v>
      </c>
      <c r="F547" s="3339"/>
      <c r="G547" s="3339"/>
      <c r="H547" s="3339"/>
      <c r="I547" s="3341"/>
      <c r="J547" s="3341"/>
      <c r="K547" s="3341"/>
      <c r="M547" s="5036" t="s">
        <v>225</v>
      </c>
      <c r="N547" s="3508" t="s">
        <v>1948</v>
      </c>
      <c r="O547" s="2104"/>
      <c r="P547" s="2104"/>
      <c r="Q547" s="2104"/>
      <c r="R547" s="2104"/>
      <c r="S547" s="2104"/>
      <c r="T547" s="2104"/>
      <c r="U547" s="2104"/>
      <c r="V547" s="2104"/>
      <c r="W547" s="2104"/>
      <c r="X547" s="2104"/>
      <c r="Y547" s="2104"/>
      <c r="Z547" s="2104"/>
      <c r="AA547" s="2104"/>
      <c r="AB547" s="2104"/>
      <c r="AC547" s="2104"/>
      <c r="AD547" s="2104"/>
      <c r="AE547" s="2104"/>
      <c r="AF547" s="2104"/>
      <c r="AG547" s="2104"/>
      <c r="AH547" s="2104"/>
      <c r="AI547" s="2104"/>
      <c r="AJ547" s="2104"/>
      <c r="AK547" s="2104"/>
      <c r="AL547" s="2104"/>
      <c r="AM547" s="2104"/>
      <c r="AN547" s="2104"/>
      <c r="AO547" s="2104"/>
      <c r="AP547" s="2104"/>
      <c r="AR547" s="3479"/>
    </row>
    <row r="548" s="3330" customFormat="1" customHeight="1" spans="1:44">
      <c r="A548" s="3340"/>
      <c r="B548"/>
      <c r="E548" s="3484"/>
      <c r="F548" s="3339"/>
      <c r="G548" s="3339"/>
      <c r="H548" s="3339"/>
      <c r="I548" s="3341"/>
      <c r="J548" s="3341"/>
      <c r="K548" s="3341"/>
      <c r="M548" s="3339"/>
      <c r="N548" s="2104"/>
      <c r="O548" s="2104"/>
      <c r="P548" s="2104"/>
      <c r="Q548" s="2104"/>
      <c r="R548" s="2104"/>
      <c r="S548" s="2104"/>
      <c r="T548" s="2104"/>
      <c r="U548" s="2104"/>
      <c r="V548" s="2104"/>
      <c r="W548" s="2104"/>
      <c r="X548" s="2104"/>
      <c r="Y548" s="2104"/>
      <c r="Z548" s="2104"/>
      <c r="AA548" s="2104"/>
      <c r="AB548" s="2104"/>
      <c r="AC548" s="2104"/>
      <c r="AD548" s="2104"/>
      <c r="AE548" s="2104"/>
      <c r="AF548" s="2104"/>
      <c r="AG548" s="2104"/>
      <c r="AH548" s="2104"/>
      <c r="AI548" s="2104"/>
      <c r="AJ548" s="2104"/>
      <c r="AK548" s="2104"/>
      <c r="AL548" s="2104"/>
      <c r="AM548" s="2104"/>
      <c r="AN548" s="2104"/>
      <c r="AO548" s="2104"/>
      <c r="AP548" s="2104"/>
      <c r="AR548" s="3479"/>
    </row>
    <row r="549" s="3330" customFormat="1" customHeight="1" spans="1:44">
      <c r="A549" s="3340"/>
      <c r="B549"/>
      <c r="C549" s="3330">
        <f>C547+1</f>
        <v>3</v>
      </c>
      <c r="E549" s="3484" t="s">
        <v>1917</v>
      </c>
      <c r="F549" s="3339"/>
      <c r="G549" s="3339"/>
      <c r="H549" s="3339"/>
      <c r="I549" s="3341"/>
      <c r="J549" s="3341"/>
      <c r="K549" s="3341"/>
      <c r="M549" s="5036" t="s">
        <v>225</v>
      </c>
      <c r="N549" s="3489" t="s">
        <v>1949</v>
      </c>
      <c r="O549"/>
      <c r="P549"/>
      <c r="Q549"/>
      <c r="R549"/>
      <c r="S549"/>
      <c r="T549"/>
      <c r="U549"/>
      <c r="V549"/>
      <c r="W549"/>
      <c r="X549"/>
      <c r="Y549"/>
      <c r="Z549"/>
      <c r="AA549"/>
      <c r="AB549"/>
      <c r="AC549"/>
      <c r="AD549"/>
      <c r="AE549"/>
      <c r="AF549"/>
      <c r="AG549"/>
      <c r="AH549"/>
      <c r="AI549"/>
      <c r="AJ549"/>
      <c r="AK549"/>
      <c r="AL549"/>
      <c r="AM549"/>
      <c r="AN549"/>
      <c r="AO549"/>
      <c r="AP549"/>
      <c r="AR549" s="3479"/>
    </row>
    <row r="550" s="3330" customFormat="1" customHeight="1" spans="1:44">
      <c r="A550" s="3340"/>
      <c r="B550"/>
      <c r="C550" s="3330">
        <f>+C549+1</f>
        <v>4</v>
      </c>
      <c r="E550" s="3484" t="s">
        <v>1950</v>
      </c>
      <c r="F550" s="3339"/>
      <c r="G550" s="3339"/>
      <c r="H550" s="3339"/>
      <c r="I550" s="3341"/>
      <c r="J550" s="3341"/>
      <c r="K550" s="3341"/>
      <c r="M550" s="5036" t="s">
        <v>225</v>
      </c>
      <c r="N550" s="2104" t="s">
        <v>1951</v>
      </c>
      <c r="O550" s="2104"/>
      <c r="P550" s="2104"/>
      <c r="Q550" s="2104"/>
      <c r="R550" s="2104"/>
      <c r="S550" s="2104"/>
      <c r="T550" s="2104"/>
      <c r="U550" s="2104"/>
      <c r="V550" s="2104"/>
      <c r="W550" s="2104"/>
      <c r="X550" s="2104"/>
      <c r="Y550" s="2104"/>
      <c r="Z550" s="2104"/>
      <c r="AA550" s="2104"/>
      <c r="AB550" s="2104"/>
      <c r="AC550" s="2104"/>
      <c r="AD550" s="2104"/>
      <c r="AE550" s="2104"/>
      <c r="AF550" s="2104"/>
      <c r="AG550" s="2104"/>
      <c r="AH550" s="2104"/>
      <c r="AI550" s="2104"/>
      <c r="AJ550" s="2104"/>
      <c r="AK550" s="2104"/>
      <c r="AL550" s="2104"/>
      <c r="AM550" s="2104"/>
      <c r="AN550" s="2104"/>
      <c r="AO550" s="2104"/>
      <c r="AP550" s="2104"/>
      <c r="AR550" s="3479"/>
    </row>
    <row r="551" s="3330" customFormat="1" customHeight="1" spans="1:44">
      <c r="A551" s="3340"/>
      <c r="B551"/>
      <c r="E551" s="3488"/>
      <c r="F551" s="3339"/>
      <c r="G551" s="3339"/>
      <c r="H551" s="3339"/>
      <c r="I551" s="3341"/>
      <c r="J551" s="3341"/>
      <c r="K551" s="3341"/>
      <c r="M551" s="3341"/>
      <c r="N551" s="2104"/>
      <c r="O551" s="2104"/>
      <c r="P551" s="2104"/>
      <c r="Q551" s="2104"/>
      <c r="R551" s="2104"/>
      <c r="S551" s="2104"/>
      <c r="T551" s="2104"/>
      <c r="U551" s="2104"/>
      <c r="V551" s="2104"/>
      <c r="W551" s="2104"/>
      <c r="X551" s="2104"/>
      <c r="Y551" s="2104"/>
      <c r="Z551" s="2104"/>
      <c r="AA551" s="2104"/>
      <c r="AB551" s="2104"/>
      <c r="AC551" s="2104"/>
      <c r="AD551" s="2104"/>
      <c r="AE551" s="2104"/>
      <c r="AF551" s="2104"/>
      <c r="AG551" s="2104"/>
      <c r="AH551" s="2104"/>
      <c r="AI551" s="2104"/>
      <c r="AJ551" s="2104"/>
      <c r="AK551" s="2104"/>
      <c r="AL551" s="2104"/>
      <c r="AM551" s="2104"/>
      <c r="AN551" s="2104"/>
      <c r="AO551" s="2104"/>
      <c r="AP551" s="2104"/>
      <c r="AR551" s="3479"/>
    </row>
    <row r="552" s="3330" customFormat="1" customHeight="1" spans="1:44">
      <c r="A552" s="3340"/>
      <c r="B552"/>
      <c r="C552" s="3330">
        <f>+C550+1</f>
        <v>5</v>
      </c>
      <c r="E552" s="3484" t="s">
        <v>1952</v>
      </c>
      <c r="F552" s="3339"/>
      <c r="G552" s="3339"/>
      <c r="H552" s="3339"/>
      <c r="I552" s="3341"/>
      <c r="J552" s="3341"/>
      <c r="K552" s="3341"/>
      <c r="M552" s="5036" t="s">
        <v>225</v>
      </c>
      <c r="N552" t="s">
        <v>1953</v>
      </c>
      <c r="O552" s="64"/>
      <c r="P552" s="64"/>
      <c r="Q552" s="64"/>
      <c r="R552" s="64"/>
      <c r="S552" s="64"/>
      <c r="T552" s="64"/>
      <c r="U552" s="64"/>
      <c r="V552" s="64"/>
      <c r="W552" s="64"/>
      <c r="X552" s="64"/>
      <c r="Y552" s="64"/>
      <c r="Z552" s="64"/>
      <c r="AA552" s="3341"/>
      <c r="AB552" s="3341"/>
      <c r="AC552" s="3341"/>
      <c r="AD552" s="3341"/>
      <c r="AE552" s="3341"/>
      <c r="AF552" s="3341"/>
      <c r="AG552" s="3341"/>
      <c r="AH552" s="3341"/>
      <c r="AI552" s="3341"/>
      <c r="AJ552" s="3341"/>
      <c r="AK552" s="3341"/>
      <c r="AL552" s="3341"/>
      <c r="AM552" s="3341"/>
      <c r="AN552" s="3341"/>
      <c r="AR552" s="3479"/>
    </row>
    <row r="553" s="3330" customFormat="1" spans="1:44">
      <c r="A553" s="3340"/>
      <c r="B553"/>
      <c r="C553" s="3330">
        <f>+C552+1</f>
        <v>6</v>
      </c>
      <c r="E553" s="3484" t="s">
        <v>1954</v>
      </c>
      <c r="F553" s="3339"/>
      <c r="G553" s="3339"/>
      <c r="H553" s="3339"/>
      <c r="I553" s="3341"/>
      <c r="J553" s="3341"/>
      <c r="K553" s="3341"/>
      <c r="M553" s="5036" t="s">
        <v>225</v>
      </c>
      <c r="N553" s="2104" t="s">
        <v>1955</v>
      </c>
      <c r="O553" s="2104"/>
      <c r="P553" s="2104"/>
      <c r="Q553" s="2104"/>
      <c r="R553" s="2104"/>
      <c r="S553" s="2104"/>
      <c r="T553" s="2104"/>
      <c r="U553" s="2104"/>
      <c r="V553" s="2104"/>
      <c r="W553" s="2104"/>
      <c r="X553" s="2104"/>
      <c r="Y553" s="2104"/>
      <c r="Z553" s="2104"/>
      <c r="AA553" s="2104"/>
      <c r="AB553" s="2104"/>
      <c r="AC553" s="2104"/>
      <c r="AD553" s="2104"/>
      <c r="AE553" s="2104"/>
      <c r="AF553" s="2104"/>
      <c r="AG553" s="2104"/>
      <c r="AH553" s="2104"/>
      <c r="AI553" s="2104"/>
      <c r="AJ553" s="2104"/>
      <c r="AK553" s="2104"/>
      <c r="AL553" s="2104"/>
      <c r="AM553" s="2104"/>
      <c r="AN553" s="2104"/>
      <c r="AO553" s="2104"/>
      <c r="AP553" s="2104"/>
      <c r="AR553" s="3479"/>
    </row>
    <row r="554" s="3330" customFormat="1" spans="1:44">
      <c r="A554" s="3340"/>
      <c r="B554"/>
      <c r="E554" s="3484"/>
      <c r="F554" s="3339"/>
      <c r="G554" s="3339"/>
      <c r="H554" s="3339"/>
      <c r="I554" s="3341"/>
      <c r="J554" s="3341"/>
      <c r="K554" s="3341"/>
      <c r="M554" s="3339"/>
      <c r="N554" s="2104"/>
      <c r="O554" s="2104"/>
      <c r="P554" s="2104"/>
      <c r="Q554" s="2104"/>
      <c r="R554" s="2104"/>
      <c r="S554" s="2104"/>
      <c r="T554" s="2104"/>
      <c r="U554" s="2104"/>
      <c r="V554" s="2104"/>
      <c r="W554" s="2104"/>
      <c r="X554" s="2104"/>
      <c r="Y554" s="2104"/>
      <c r="Z554" s="2104"/>
      <c r="AA554" s="2104"/>
      <c r="AB554" s="2104"/>
      <c r="AC554" s="2104"/>
      <c r="AD554" s="2104"/>
      <c r="AE554" s="2104"/>
      <c r="AF554" s="2104"/>
      <c r="AG554" s="2104"/>
      <c r="AH554" s="2104"/>
      <c r="AI554" s="2104"/>
      <c r="AJ554" s="2104"/>
      <c r="AK554" s="2104"/>
      <c r="AL554" s="2104"/>
      <c r="AM554" s="2104"/>
      <c r="AN554" s="2104"/>
      <c r="AO554" s="2104"/>
      <c r="AP554" s="2104"/>
      <c r="AR554" s="3479"/>
    </row>
    <row r="555" s="3330" customFormat="1" spans="1:44">
      <c r="A555" s="3340"/>
      <c r="B555"/>
      <c r="E555" s="3488"/>
      <c r="F555" s="3339"/>
      <c r="G555" s="3339"/>
      <c r="H555" s="3339"/>
      <c r="I555" s="3341"/>
      <c r="J555" s="3341"/>
      <c r="K555" s="3341"/>
      <c r="L555" s="3341"/>
      <c r="M555" s="3341"/>
      <c r="N555" s="2104"/>
      <c r="O555" s="2104"/>
      <c r="P555" s="2104"/>
      <c r="Q555" s="2104"/>
      <c r="R555" s="2104"/>
      <c r="S555" s="2104"/>
      <c r="T555" s="2104"/>
      <c r="U555" s="2104"/>
      <c r="V555" s="2104"/>
      <c r="W555" s="2104"/>
      <c r="X555" s="2104"/>
      <c r="Y555" s="2104"/>
      <c r="Z555" s="2104"/>
      <c r="AA555" s="2104"/>
      <c r="AB555" s="2104"/>
      <c r="AC555" s="2104"/>
      <c r="AD555" s="2104"/>
      <c r="AE555" s="2104"/>
      <c r="AF555" s="2104"/>
      <c r="AG555" s="2104"/>
      <c r="AH555" s="2104"/>
      <c r="AI555" s="2104"/>
      <c r="AJ555" s="2104"/>
      <c r="AK555" s="2104"/>
      <c r="AL555" s="2104"/>
      <c r="AM555" s="2104"/>
      <c r="AN555" s="2104"/>
      <c r="AO555" s="2104"/>
      <c r="AP555" s="2104"/>
      <c r="AR555" s="3479"/>
    </row>
    <row r="556" s="3330" customFormat="1" customHeight="1" spans="1:44">
      <c r="A556" s="3340"/>
      <c r="B556"/>
      <c r="C556" s="3330">
        <f>+C553+1</f>
        <v>7</v>
      </c>
      <c r="E556" s="3484" t="str">
        <f>[69]Catatan!$F$2191</f>
        <v>Denda Keterlambatan</v>
      </c>
      <c r="F556" s="3339"/>
      <c r="G556" s="3339"/>
      <c r="H556" s="3339"/>
      <c r="I556" s="3341"/>
      <c r="J556" s="3341"/>
      <c r="K556" s="3341"/>
      <c r="M556" s="5036" t="s">
        <v>225</v>
      </c>
      <c r="N556" s="2088" t="s">
        <v>1956</v>
      </c>
      <c r="O556" s="64"/>
      <c r="P556" s="64"/>
      <c r="Q556" s="64"/>
      <c r="R556" s="64"/>
      <c r="S556" s="64"/>
      <c r="T556" s="64"/>
      <c r="U556" s="64"/>
      <c r="V556" s="64"/>
      <c r="W556" s="64"/>
      <c r="X556" s="64"/>
      <c r="Y556" s="64"/>
      <c r="Z556" s="64"/>
      <c r="AA556" s="3341"/>
      <c r="AB556" s="3341"/>
      <c r="AC556" s="3341"/>
      <c r="AD556" s="3341"/>
      <c r="AE556" s="3341"/>
      <c r="AF556" s="3341"/>
      <c r="AG556" s="3341"/>
      <c r="AH556" s="3341"/>
      <c r="AI556" s="3341"/>
      <c r="AJ556" s="3341"/>
      <c r="AK556" s="3341"/>
      <c r="AL556" s="3341"/>
      <c r="AM556" s="3341"/>
      <c r="AN556" s="3341"/>
      <c r="AR556" s="3479"/>
    </row>
    <row r="557" s="3330" customFormat="1" customHeight="1" spans="1:44">
      <c r="A557" s="3340"/>
      <c r="B557"/>
      <c r="C557" s="3330">
        <f>+C556+1</f>
        <v>8</v>
      </c>
      <c r="E557" s="3484" t="str">
        <f>[69]Catatan!$F$2195</f>
        <v>Agunan dan Pengikat</v>
      </c>
      <c r="F557" s="3339"/>
      <c r="G557" s="3339"/>
      <c r="H557" s="3339"/>
      <c r="I557" s="3341"/>
      <c r="J557" s="3341"/>
      <c r="K557" s="3341"/>
      <c r="M557" s="5036" t="s">
        <v>225</v>
      </c>
      <c r="N557" t="s">
        <v>1957</v>
      </c>
      <c r="O557"/>
      <c r="P557"/>
      <c r="Q557"/>
      <c r="R557"/>
      <c r="S557" s="64"/>
      <c r="T557" s="64"/>
      <c r="U557" s="64"/>
      <c r="V557" s="64"/>
      <c r="W557" s="64"/>
      <c r="X557" s="64"/>
      <c r="Y557" s="64"/>
      <c r="Z557" s="64"/>
      <c r="AA557" s="3341"/>
      <c r="AB557" s="3341"/>
      <c r="AC557" s="3341"/>
      <c r="AD557" s="3341"/>
      <c r="AE557" s="3341"/>
      <c r="AF557" s="3341"/>
      <c r="AG557" s="3341"/>
      <c r="AH557" s="3341"/>
      <c r="AI557" s="3341"/>
      <c r="AJ557" s="3341"/>
      <c r="AK557" s="3341"/>
      <c r="AL557" s="3341"/>
      <c r="AM557" s="3341"/>
      <c r="AN557" s="3341"/>
      <c r="AR557" s="3479"/>
    </row>
    <row r="558" s="3330" customFormat="1" customHeight="1" spans="1:44">
      <c r="A558" s="3340"/>
      <c r="B558"/>
      <c r="E558" s="3488"/>
      <c r="F558" s="3339"/>
      <c r="G558" s="3339"/>
      <c r="H558" s="3339"/>
      <c r="I558" s="3341"/>
      <c r="J558" s="3341"/>
      <c r="K558" s="3341"/>
      <c r="L558" s="3341"/>
      <c r="M558" s="3341"/>
      <c r="N558" s="5059" t="s">
        <v>1958</v>
      </c>
      <c r="O558" s="2104"/>
      <c r="P558" s="2104"/>
      <c r="Q558" s="2104"/>
      <c r="R558" s="2104"/>
      <c r="S558" s="2104"/>
      <c r="T558" s="2104"/>
      <c r="U558" s="2104"/>
      <c r="V558" s="2104"/>
      <c r="W558" s="2104"/>
      <c r="X558" s="2104"/>
      <c r="Y558" s="2104"/>
      <c r="Z558" s="2104"/>
      <c r="AA558" s="2104"/>
      <c r="AB558" s="2104"/>
      <c r="AC558" s="2104"/>
      <c r="AD558" s="2104"/>
      <c r="AE558" s="2104"/>
      <c r="AF558" s="2104"/>
      <c r="AG558" s="2104"/>
      <c r="AH558" s="2104"/>
      <c r="AI558" s="2104"/>
      <c r="AJ558" s="2104"/>
      <c r="AK558" s="2104"/>
      <c r="AL558" s="2104"/>
      <c r="AM558" s="2104"/>
      <c r="AN558" s="2104"/>
      <c r="AO558" s="2104"/>
      <c r="AP558" s="2104"/>
      <c r="AR558" s="3479"/>
    </row>
    <row r="559" s="3330" customFormat="1" customHeight="1" spans="1:44">
      <c r="A559" s="3340"/>
      <c r="B559"/>
      <c r="E559" s="3488"/>
      <c r="F559" s="3339"/>
      <c r="G559" s="3339"/>
      <c r="H559" s="3339"/>
      <c r="I559" s="3341"/>
      <c r="J559" s="3341"/>
      <c r="K559" s="3341"/>
      <c r="L559" s="3341"/>
      <c r="M559" s="3341"/>
      <c r="N559" s="2104"/>
      <c r="O559" s="2104"/>
      <c r="P559" s="2104"/>
      <c r="Q559" s="2104"/>
      <c r="R559" s="2104"/>
      <c r="S559" s="2104"/>
      <c r="T559" s="2104"/>
      <c r="U559" s="2104"/>
      <c r="V559" s="2104"/>
      <c r="W559" s="2104"/>
      <c r="X559" s="2104"/>
      <c r="Y559" s="2104"/>
      <c r="Z559" s="2104"/>
      <c r="AA559" s="2104"/>
      <c r="AB559" s="2104"/>
      <c r="AC559" s="2104"/>
      <c r="AD559" s="2104"/>
      <c r="AE559" s="2104"/>
      <c r="AF559" s="2104"/>
      <c r="AG559" s="2104"/>
      <c r="AH559" s="2104"/>
      <c r="AI559" s="2104"/>
      <c r="AJ559" s="2104"/>
      <c r="AK559" s="2104"/>
      <c r="AL559" s="2104"/>
      <c r="AM559" s="2104"/>
      <c r="AN559" s="2104"/>
      <c r="AO559" s="2104"/>
      <c r="AP559" s="2104"/>
      <c r="AR559" s="3479"/>
    </row>
    <row r="560" s="3330" customFormat="1" customHeight="1" spans="1:44">
      <c r="A560" s="3340"/>
      <c r="B560"/>
      <c r="E560" s="3488"/>
      <c r="F560" s="3339"/>
      <c r="G560" s="3339"/>
      <c r="H560" s="3339"/>
      <c r="I560" s="3341"/>
      <c r="J560" s="3341"/>
      <c r="K560" s="3341"/>
      <c r="L560" s="3341"/>
      <c r="M560" s="3341"/>
      <c r="N560" s="5044" t="s">
        <v>1959</v>
      </c>
      <c r="O560" s="3386"/>
      <c r="P560" s="3386"/>
      <c r="Q560" s="3386"/>
      <c r="R560" s="3386"/>
      <c r="S560" s="3386"/>
      <c r="T560" s="3386"/>
      <c r="U560" s="3386"/>
      <c r="V560" s="3386"/>
      <c r="W560" s="3386"/>
      <c r="X560" s="3386"/>
      <c r="Y560" s="3386"/>
      <c r="Z560" s="3386"/>
      <c r="AA560" s="3386"/>
      <c r="AB560" s="3386"/>
      <c r="AC560" s="3386"/>
      <c r="AD560" s="3386"/>
      <c r="AE560" s="3386"/>
      <c r="AF560" s="3386"/>
      <c r="AG560" s="3386"/>
      <c r="AH560" s="3386"/>
      <c r="AI560" s="3386"/>
      <c r="AJ560" s="3386"/>
      <c r="AK560" s="3386"/>
      <c r="AL560" s="3386"/>
      <c r="AM560" s="3386"/>
      <c r="AN560" s="3386"/>
      <c r="AO560" s="3386"/>
      <c r="AP560" s="3386"/>
      <c r="AR560" s="3479"/>
    </row>
    <row r="561" s="3330" customFormat="1" ht="10.5" customHeight="1" spans="1:44">
      <c r="A561" s="3340"/>
      <c r="B561"/>
      <c r="E561" s="3488"/>
      <c r="F561" s="3339"/>
      <c r="G561" s="3339"/>
      <c r="H561" s="3339"/>
      <c r="I561" s="3341"/>
      <c r="J561" s="3341"/>
      <c r="K561" s="3341"/>
      <c r="L561" s="3341"/>
      <c r="M561" s="3341"/>
      <c r="N561"/>
      <c r="O561" s="3386"/>
      <c r="P561" s="3386"/>
      <c r="Q561" s="3386"/>
      <c r="R561" s="3386"/>
      <c r="S561" s="3386"/>
      <c r="T561" s="3386"/>
      <c r="U561" s="3386"/>
      <c r="V561" s="3386"/>
      <c r="W561" s="3386"/>
      <c r="X561" s="3386"/>
      <c r="Y561" s="3386"/>
      <c r="Z561" s="3386"/>
      <c r="AA561" s="3386"/>
      <c r="AB561" s="3386"/>
      <c r="AC561" s="3386"/>
      <c r="AD561" s="3386"/>
      <c r="AE561" s="3386"/>
      <c r="AF561" s="3386"/>
      <c r="AG561" s="3386"/>
      <c r="AH561" s="3386"/>
      <c r="AI561" s="3386"/>
      <c r="AJ561" s="3386"/>
      <c r="AK561" s="3386"/>
      <c r="AL561" s="3386"/>
      <c r="AM561" s="3386"/>
      <c r="AN561" s="3386"/>
      <c r="AO561" s="3386"/>
      <c r="AP561" s="3386"/>
      <c r="AR561" s="3479"/>
    </row>
    <row r="562" s="3330" customFormat="1" customHeight="1" spans="1:44">
      <c r="A562" s="3340"/>
      <c r="B562"/>
      <c r="C562" s="94" t="s">
        <v>735</v>
      </c>
      <c r="D562" s="94"/>
      <c r="E562" s="3506" t="str">
        <f>+'AA2'!M13</f>
        <v>PRK Baru</v>
      </c>
      <c r="F562" s="3339"/>
      <c r="G562" s="3339"/>
      <c r="H562" s="3339"/>
      <c r="I562" s="3341"/>
      <c r="J562" s="3341"/>
      <c r="K562" s="3341"/>
      <c r="L562" s="3341"/>
      <c r="M562" s="3341"/>
      <c r="N562"/>
      <c r="O562" s="3386"/>
      <c r="P562" s="3386"/>
      <c r="Q562" s="3386"/>
      <c r="R562" s="3386"/>
      <c r="S562" s="3386"/>
      <c r="T562" s="3386"/>
      <c r="U562" s="3386"/>
      <c r="V562" s="3386"/>
      <c r="W562" s="3386"/>
      <c r="X562" s="3386"/>
      <c r="Y562" s="3386"/>
      <c r="Z562" s="3386"/>
      <c r="AA562" s="3386"/>
      <c r="AB562" s="3386"/>
      <c r="AC562" s="3386"/>
      <c r="AD562" s="3386"/>
      <c r="AE562" s="3386"/>
      <c r="AF562" s="3386"/>
      <c r="AG562" s="3386"/>
      <c r="AH562" s="3386"/>
      <c r="AI562" s="3386"/>
      <c r="AJ562" s="3386"/>
      <c r="AK562" s="3386"/>
      <c r="AL562" s="3386"/>
      <c r="AM562" s="3386"/>
      <c r="AN562" s="3386"/>
      <c r="AO562" s="3386"/>
      <c r="AP562" s="3386"/>
      <c r="AR562" s="3479"/>
    </row>
    <row r="563" s="3330" customFormat="1" customHeight="1" spans="1:44">
      <c r="A563" s="3340"/>
      <c r="B563"/>
      <c r="C563" s="3330">
        <v>1</v>
      </c>
      <c r="E563" s="3484" t="s">
        <v>1945</v>
      </c>
      <c r="F563" s="3339"/>
      <c r="G563" s="3339"/>
      <c r="H563" s="3339"/>
      <c r="I563" s="3341"/>
      <c r="J563" s="3341"/>
      <c r="K563" s="3341"/>
      <c r="M563" s="5036" t="s">
        <v>225</v>
      </c>
      <c r="N563" s="3489" t="s">
        <v>1960</v>
      </c>
      <c r="O563"/>
      <c r="P563"/>
      <c r="Q563"/>
      <c r="R563"/>
      <c r="S563"/>
      <c r="T563"/>
      <c r="U563"/>
      <c r="V563"/>
      <c r="W563"/>
      <c r="X563"/>
      <c r="Y563"/>
      <c r="Z563"/>
      <c r="AA563"/>
      <c r="AB563"/>
      <c r="AC563"/>
      <c r="AD563"/>
      <c r="AE563"/>
      <c r="AF563"/>
      <c r="AG563"/>
      <c r="AH563"/>
      <c r="AI563"/>
      <c r="AJ563"/>
      <c r="AK563"/>
      <c r="AL563"/>
      <c r="AM563"/>
      <c r="AN563"/>
      <c r="AO563"/>
      <c r="AP563"/>
      <c r="AR563" s="3479"/>
    </row>
    <row r="564" s="3330" customFormat="1" customHeight="1" spans="1:44">
      <c r="A564" s="3340"/>
      <c r="B564"/>
      <c r="C564" s="3330">
        <f>+C563+1</f>
        <v>2</v>
      </c>
      <c r="E564" s="3484" t="s">
        <v>1947</v>
      </c>
      <c r="F564" s="3339"/>
      <c r="G564" s="3339"/>
      <c r="H564" s="3339"/>
      <c r="I564" s="3341"/>
      <c r="J564" s="3341"/>
      <c r="K564" s="3341"/>
      <c r="M564" s="5036" t="s">
        <v>225</v>
      </c>
      <c r="N564" s="3508" t="s">
        <v>1961</v>
      </c>
      <c r="O564" s="2104"/>
      <c r="P564" s="2104"/>
      <c r="Q564" s="2104"/>
      <c r="R564" s="2104"/>
      <c r="S564" s="2104"/>
      <c r="T564" s="2104"/>
      <c r="U564" s="2104"/>
      <c r="V564" s="2104"/>
      <c r="W564" s="2104"/>
      <c r="X564" s="2104"/>
      <c r="Y564" s="2104"/>
      <c r="Z564" s="2104"/>
      <c r="AA564" s="2104"/>
      <c r="AB564" s="2104"/>
      <c r="AC564" s="2104"/>
      <c r="AD564" s="2104"/>
      <c r="AE564" s="2104"/>
      <c r="AF564" s="2104"/>
      <c r="AG564" s="2104"/>
      <c r="AH564" s="2104"/>
      <c r="AI564" s="2104"/>
      <c r="AJ564" s="2104"/>
      <c r="AK564" s="2104"/>
      <c r="AL564" s="2104"/>
      <c r="AM564" s="2104"/>
      <c r="AN564" s="2104"/>
      <c r="AO564" s="2104"/>
      <c r="AP564" s="2104"/>
      <c r="AR564" s="3479"/>
    </row>
    <row r="565" s="3330" customFormat="1" customHeight="1" spans="1:44">
      <c r="A565" s="3340"/>
      <c r="B565"/>
      <c r="E565" s="3484"/>
      <c r="F565" s="3339"/>
      <c r="G565" s="3339"/>
      <c r="H565" s="3339"/>
      <c r="I565" s="3341"/>
      <c r="J565" s="3341"/>
      <c r="K565" s="3341"/>
      <c r="M565" s="3339"/>
      <c r="N565" s="2104"/>
      <c r="O565" s="2104"/>
      <c r="P565" s="2104"/>
      <c r="Q565" s="2104"/>
      <c r="R565" s="2104"/>
      <c r="S565" s="2104"/>
      <c r="T565" s="2104"/>
      <c r="U565" s="2104"/>
      <c r="V565" s="2104"/>
      <c r="W565" s="2104"/>
      <c r="X565" s="2104"/>
      <c r="Y565" s="2104"/>
      <c r="Z565" s="2104"/>
      <c r="AA565" s="2104"/>
      <c r="AB565" s="2104"/>
      <c r="AC565" s="2104"/>
      <c r="AD565" s="2104"/>
      <c r="AE565" s="2104"/>
      <c r="AF565" s="2104"/>
      <c r="AG565" s="2104"/>
      <c r="AH565" s="2104"/>
      <c r="AI565" s="2104"/>
      <c r="AJ565" s="2104"/>
      <c r="AK565" s="2104"/>
      <c r="AL565" s="2104"/>
      <c r="AM565" s="2104"/>
      <c r="AN565" s="2104"/>
      <c r="AO565" s="2104"/>
      <c r="AP565" s="2104"/>
      <c r="AR565" s="3479"/>
    </row>
    <row r="566" s="3330" customFormat="1" customHeight="1" spans="1:44">
      <c r="A566" s="3340"/>
      <c r="B566"/>
      <c r="C566" s="3330">
        <f>C564+1</f>
        <v>3</v>
      </c>
      <c r="E566" s="3484" t="s">
        <v>1917</v>
      </c>
      <c r="F566" s="3339"/>
      <c r="G566" s="3339"/>
      <c r="H566" s="3339"/>
      <c r="I566" s="3341"/>
      <c r="J566" s="3341"/>
      <c r="K566" s="3341"/>
      <c r="M566" s="5036" t="s">
        <v>225</v>
      </c>
      <c r="N566" s="3489" t="s">
        <v>1962</v>
      </c>
      <c r="O566"/>
      <c r="P566"/>
      <c r="Q566"/>
      <c r="R566"/>
      <c r="S566"/>
      <c r="T566"/>
      <c r="U566"/>
      <c r="V566"/>
      <c r="W566"/>
      <c r="X566"/>
      <c r="Y566"/>
      <c r="Z566"/>
      <c r="AA566"/>
      <c r="AB566"/>
      <c r="AC566"/>
      <c r="AD566"/>
      <c r="AE566"/>
      <c r="AF566"/>
      <c r="AG566"/>
      <c r="AH566"/>
      <c r="AI566"/>
      <c r="AJ566"/>
      <c r="AK566"/>
      <c r="AL566"/>
      <c r="AM566"/>
      <c r="AN566"/>
      <c r="AO566"/>
      <c r="AP566"/>
      <c r="AR566" s="3479"/>
    </row>
    <row r="567" s="3330" customFormat="1" customHeight="1" spans="1:44">
      <c r="A567" s="3340"/>
      <c r="B567"/>
      <c r="C567" s="3330">
        <f>+C566+1</f>
        <v>4</v>
      </c>
      <c r="E567" s="3484" t="s">
        <v>1950</v>
      </c>
      <c r="F567" s="3339"/>
      <c r="G567" s="3339"/>
      <c r="H567" s="3339"/>
      <c r="I567" s="3341"/>
      <c r="J567" s="3341"/>
      <c r="K567" s="3341"/>
      <c r="M567" s="5036" t="s">
        <v>225</v>
      </c>
      <c r="N567" s="2104" t="s">
        <v>1963</v>
      </c>
      <c r="O567" s="2104"/>
      <c r="P567" s="2104"/>
      <c r="Q567" s="2104"/>
      <c r="R567" s="2104"/>
      <c r="S567" s="2104"/>
      <c r="T567" s="2104"/>
      <c r="U567" s="2104"/>
      <c r="V567" s="2104"/>
      <c r="W567" s="2104"/>
      <c r="X567" s="2104"/>
      <c r="Y567" s="2104"/>
      <c r="Z567" s="2104"/>
      <c r="AA567" s="2104"/>
      <c r="AB567" s="2104"/>
      <c r="AC567" s="2104"/>
      <c r="AD567" s="2104"/>
      <c r="AE567" s="2104"/>
      <c r="AF567" s="2104"/>
      <c r="AG567" s="2104"/>
      <c r="AH567" s="2104"/>
      <c r="AI567" s="2104"/>
      <c r="AJ567" s="2104"/>
      <c r="AK567" s="2104"/>
      <c r="AL567" s="2104"/>
      <c r="AM567" s="2104"/>
      <c r="AN567" s="2104"/>
      <c r="AO567" s="2104"/>
      <c r="AP567" s="2104"/>
      <c r="AR567" s="3479"/>
    </row>
    <row r="568" s="3330" customFormat="1" customHeight="1" spans="1:44">
      <c r="A568" s="3340"/>
      <c r="B568"/>
      <c r="E568" s="3488"/>
      <c r="F568" s="3339"/>
      <c r="G568" s="3339"/>
      <c r="H568" s="3339"/>
      <c r="I568" s="3341"/>
      <c r="J568" s="3341"/>
      <c r="K568" s="3341"/>
      <c r="M568" s="3341"/>
      <c r="N568" s="2104"/>
      <c r="O568" s="2104"/>
      <c r="P568" s="2104"/>
      <c r="Q568" s="2104"/>
      <c r="R568" s="2104"/>
      <c r="S568" s="2104"/>
      <c r="T568" s="2104"/>
      <c r="U568" s="2104"/>
      <c r="V568" s="2104"/>
      <c r="W568" s="2104"/>
      <c r="X568" s="2104"/>
      <c r="Y568" s="2104"/>
      <c r="Z568" s="2104"/>
      <c r="AA568" s="2104"/>
      <c r="AB568" s="2104"/>
      <c r="AC568" s="2104"/>
      <c r="AD568" s="2104"/>
      <c r="AE568" s="2104"/>
      <c r="AF568" s="2104"/>
      <c r="AG568" s="2104"/>
      <c r="AH568" s="2104"/>
      <c r="AI568" s="2104"/>
      <c r="AJ568" s="2104"/>
      <c r="AK568" s="2104"/>
      <c r="AL568" s="2104"/>
      <c r="AM568" s="2104"/>
      <c r="AN568" s="2104"/>
      <c r="AO568" s="2104"/>
      <c r="AP568" s="2104"/>
      <c r="AR568" s="3479"/>
    </row>
    <row r="569" s="3330" customFormat="1" customHeight="1" spans="1:44">
      <c r="A569" s="3340"/>
      <c r="B569"/>
      <c r="C569" s="3330">
        <f>+C567+1</f>
        <v>5</v>
      </c>
      <c r="E569" s="3484" t="s">
        <v>1952</v>
      </c>
      <c r="F569" s="3339"/>
      <c r="G569" s="3339"/>
      <c r="H569" s="3339"/>
      <c r="I569" s="3341"/>
      <c r="J569" s="3341"/>
      <c r="K569" s="3341"/>
      <c r="M569" s="5036" t="s">
        <v>225</v>
      </c>
      <c r="N569" t="s">
        <v>1964</v>
      </c>
      <c r="O569" s="64"/>
      <c r="P569" s="64"/>
      <c r="Q569" s="64"/>
      <c r="R569" s="64"/>
      <c r="S569" s="64"/>
      <c r="T569" s="64"/>
      <c r="U569" s="64"/>
      <c r="V569" s="64"/>
      <c r="W569" s="64"/>
      <c r="X569" s="64"/>
      <c r="Y569" s="64"/>
      <c r="Z569" s="64"/>
      <c r="AA569" s="3341"/>
      <c r="AB569" s="3341"/>
      <c r="AC569" s="3341"/>
      <c r="AD569" s="3341"/>
      <c r="AE569" s="3341"/>
      <c r="AF569" s="3341"/>
      <c r="AG569" s="3341"/>
      <c r="AH569" s="3341"/>
      <c r="AI569" s="3341"/>
      <c r="AJ569" s="3341"/>
      <c r="AK569" s="3341"/>
      <c r="AL569" s="3341"/>
      <c r="AM569" s="3341"/>
      <c r="AN569" s="3341"/>
      <c r="AR569" s="3479"/>
    </row>
    <row r="570" s="3330" customFormat="1" customHeight="1" spans="1:44">
      <c r="A570" s="3340"/>
      <c r="B570"/>
      <c r="C570" s="3330">
        <f>+C569+1</f>
        <v>6</v>
      </c>
      <c r="E570" s="3484" t="s">
        <v>1954</v>
      </c>
      <c r="F570" s="3339"/>
      <c r="G570" s="3339"/>
      <c r="H570" s="3339"/>
      <c r="I570" s="3341"/>
      <c r="J570" s="3341"/>
      <c r="K570" s="3341"/>
      <c r="M570" s="5036" t="s">
        <v>225</v>
      </c>
      <c r="N570" s="2104" t="s">
        <v>1965</v>
      </c>
      <c r="O570" s="2104"/>
      <c r="P570" s="2104"/>
      <c r="Q570" s="2104"/>
      <c r="R570" s="2104"/>
      <c r="S570" s="2104"/>
      <c r="T570" s="2104"/>
      <c r="U570" s="2104"/>
      <c r="V570" s="2104"/>
      <c r="W570" s="2104"/>
      <c r="X570" s="2104"/>
      <c r="Y570" s="2104"/>
      <c r="Z570" s="2104"/>
      <c r="AA570" s="2104"/>
      <c r="AB570" s="2104"/>
      <c r="AC570" s="2104"/>
      <c r="AD570" s="2104"/>
      <c r="AE570" s="2104"/>
      <c r="AF570" s="2104"/>
      <c r="AG570" s="2104"/>
      <c r="AH570" s="2104"/>
      <c r="AI570" s="2104"/>
      <c r="AJ570" s="2104"/>
      <c r="AK570" s="2104"/>
      <c r="AL570" s="2104"/>
      <c r="AM570" s="2104"/>
      <c r="AN570" s="2104"/>
      <c r="AO570" s="2104"/>
      <c r="AP570" s="2104"/>
      <c r="AR570" s="3479"/>
    </row>
    <row r="571" s="3330" customFormat="1" customHeight="1" spans="1:44">
      <c r="A571" s="3340"/>
      <c r="B571"/>
      <c r="E571" s="3484"/>
      <c r="F571" s="3339"/>
      <c r="G571" s="3339"/>
      <c r="H571" s="3339"/>
      <c r="I571" s="3341"/>
      <c r="J571" s="3341"/>
      <c r="K571" s="3341"/>
      <c r="M571" s="3339"/>
      <c r="N571" s="2104"/>
      <c r="O571" s="2104"/>
      <c r="P571" s="2104"/>
      <c r="Q571" s="2104"/>
      <c r="R571" s="2104"/>
      <c r="S571" s="2104"/>
      <c r="T571" s="2104"/>
      <c r="U571" s="2104"/>
      <c r="V571" s="2104"/>
      <c r="W571" s="2104"/>
      <c r="X571" s="2104"/>
      <c r="Y571" s="2104"/>
      <c r="Z571" s="2104"/>
      <c r="AA571" s="2104"/>
      <c r="AB571" s="2104"/>
      <c r="AC571" s="2104"/>
      <c r="AD571" s="2104"/>
      <c r="AE571" s="2104"/>
      <c r="AF571" s="2104"/>
      <c r="AG571" s="2104"/>
      <c r="AH571" s="2104"/>
      <c r="AI571" s="2104"/>
      <c r="AJ571" s="2104"/>
      <c r="AK571" s="2104"/>
      <c r="AL571" s="2104"/>
      <c r="AM571" s="2104"/>
      <c r="AN571" s="2104"/>
      <c r="AO571" s="2104"/>
      <c r="AP571" s="2104"/>
      <c r="AR571" s="3479"/>
    </row>
    <row r="572" s="3330" customFormat="1" customHeight="1" spans="1:44">
      <c r="A572" s="3340"/>
      <c r="B572"/>
      <c r="E572" s="3488"/>
      <c r="F572" s="3339"/>
      <c r="G572" s="3339"/>
      <c r="H572" s="3339"/>
      <c r="I572" s="3341"/>
      <c r="J572" s="3341"/>
      <c r="K572" s="3341"/>
      <c r="L572" s="3341"/>
      <c r="M572" s="3341"/>
      <c r="N572" s="2104"/>
      <c r="O572" s="2104"/>
      <c r="P572" s="2104"/>
      <c r="Q572" s="2104"/>
      <c r="R572" s="2104"/>
      <c r="S572" s="2104"/>
      <c r="T572" s="2104"/>
      <c r="U572" s="2104"/>
      <c r="V572" s="2104"/>
      <c r="W572" s="2104"/>
      <c r="X572" s="2104"/>
      <c r="Y572" s="2104"/>
      <c r="Z572" s="2104"/>
      <c r="AA572" s="2104"/>
      <c r="AB572" s="2104"/>
      <c r="AC572" s="2104"/>
      <c r="AD572" s="2104"/>
      <c r="AE572" s="2104"/>
      <c r="AF572" s="2104"/>
      <c r="AG572" s="2104"/>
      <c r="AH572" s="2104"/>
      <c r="AI572" s="2104"/>
      <c r="AJ572" s="2104"/>
      <c r="AK572" s="2104"/>
      <c r="AL572" s="2104"/>
      <c r="AM572" s="2104"/>
      <c r="AN572" s="2104"/>
      <c r="AO572" s="2104"/>
      <c r="AP572" s="2104"/>
      <c r="AR572" s="3479"/>
    </row>
    <row r="573" s="3330" customFormat="1" customHeight="1" spans="1:44">
      <c r="A573" s="3340"/>
      <c r="B573"/>
      <c r="C573" s="3330">
        <f>+C570+1</f>
        <v>7</v>
      </c>
      <c r="E573" s="3484" t="str">
        <f>[69]Catatan!$F$2191</f>
        <v>Denda Keterlambatan</v>
      </c>
      <c r="F573" s="3339"/>
      <c r="G573" s="3339"/>
      <c r="H573" s="3339"/>
      <c r="I573" s="3341"/>
      <c r="J573" s="3341"/>
      <c r="K573" s="3341"/>
      <c r="M573" s="5036" t="s">
        <v>225</v>
      </c>
      <c r="N573" s="2088" t="s">
        <v>1956</v>
      </c>
      <c r="O573" s="64"/>
      <c r="P573" s="64"/>
      <c r="Q573" s="64"/>
      <c r="R573" s="64"/>
      <c r="S573" s="64"/>
      <c r="T573" s="64"/>
      <c r="U573" s="64"/>
      <c r="V573" s="64"/>
      <c r="W573" s="64"/>
      <c r="X573" s="64"/>
      <c r="Y573" s="64"/>
      <c r="Z573" s="64"/>
      <c r="AA573" s="3341"/>
      <c r="AB573" s="3341"/>
      <c r="AC573" s="3341"/>
      <c r="AD573" s="3341"/>
      <c r="AE573" s="3341"/>
      <c r="AF573" s="3341"/>
      <c r="AG573" s="3341"/>
      <c r="AH573" s="3341"/>
      <c r="AI573" s="3341"/>
      <c r="AJ573" s="3341"/>
      <c r="AK573" s="3341"/>
      <c r="AL573" s="3341"/>
      <c r="AM573" s="3341"/>
      <c r="AN573" s="3341"/>
      <c r="AR573" s="3479"/>
    </row>
    <row r="574" s="3330" customFormat="1" customHeight="1" spans="1:44">
      <c r="A574" s="3340"/>
      <c r="B574"/>
      <c r="C574" s="3330">
        <f>+C573+1</f>
        <v>8</v>
      </c>
      <c r="E574" s="3484" t="str">
        <f>[69]Catatan!$F$2195</f>
        <v>Agunan dan Pengikat</v>
      </c>
      <c r="F574" s="3339"/>
      <c r="G574" s="3339"/>
      <c r="H574" s="3339"/>
      <c r="I574" s="3341"/>
      <c r="J574" s="3341"/>
      <c r="K574" s="3341"/>
      <c r="M574" s="5036" t="s">
        <v>225</v>
      </c>
      <c r="N574" t="s">
        <v>1957</v>
      </c>
      <c r="O574"/>
      <c r="P574"/>
      <c r="Q574"/>
      <c r="R574"/>
      <c r="S574" s="64"/>
      <c r="T574" s="64"/>
      <c r="U574" s="64"/>
      <c r="V574" s="64"/>
      <c r="W574" s="64"/>
      <c r="X574" s="64"/>
      <c r="Y574" s="64"/>
      <c r="Z574" s="64"/>
      <c r="AA574" s="3341"/>
      <c r="AB574" s="3341"/>
      <c r="AC574" s="3341"/>
      <c r="AD574" s="3341"/>
      <c r="AE574" s="3341"/>
      <c r="AF574" s="3341"/>
      <c r="AG574" s="3341"/>
      <c r="AH574" s="3341"/>
      <c r="AI574" s="3341"/>
      <c r="AJ574" s="3341"/>
      <c r="AK574" s="3341"/>
      <c r="AL574" s="3341"/>
      <c r="AM574" s="3341"/>
      <c r="AN574" s="3341"/>
      <c r="AR574" s="3479"/>
    </row>
    <row r="575" s="3330" customFormat="1" customHeight="1" spans="1:44">
      <c r="A575" s="3340"/>
      <c r="B575"/>
      <c r="E575" s="3488"/>
      <c r="F575" s="3339"/>
      <c r="G575" s="3339"/>
      <c r="H575" s="3339"/>
      <c r="I575" s="3341"/>
      <c r="J575" s="3341"/>
      <c r="K575" s="3341"/>
      <c r="L575" s="3341"/>
      <c r="M575" s="3341"/>
      <c r="N575" s="5059" t="s">
        <v>1958</v>
      </c>
      <c r="O575" s="2104"/>
      <c r="P575" s="2104"/>
      <c r="Q575" s="2104"/>
      <c r="R575" s="2104"/>
      <c r="S575" s="2104"/>
      <c r="T575" s="2104"/>
      <c r="U575" s="2104"/>
      <c r="V575" s="2104"/>
      <c r="W575" s="2104"/>
      <c r="X575" s="2104"/>
      <c r="Y575" s="2104"/>
      <c r="Z575" s="2104"/>
      <c r="AA575" s="2104"/>
      <c r="AB575" s="2104"/>
      <c r="AC575" s="2104"/>
      <c r="AD575" s="2104"/>
      <c r="AE575" s="2104"/>
      <c r="AF575" s="2104"/>
      <c r="AG575" s="2104"/>
      <c r="AH575" s="2104"/>
      <c r="AI575" s="2104"/>
      <c r="AJ575" s="2104"/>
      <c r="AK575" s="2104"/>
      <c r="AL575" s="2104"/>
      <c r="AM575" s="2104"/>
      <c r="AN575" s="2104"/>
      <c r="AO575" s="2104"/>
      <c r="AP575" s="2104"/>
      <c r="AR575" s="3479"/>
    </row>
    <row r="576" s="3330" customFormat="1" customHeight="1" spans="1:44">
      <c r="A576" s="3340"/>
      <c r="B576"/>
      <c r="E576" s="3488"/>
      <c r="F576" s="3339"/>
      <c r="G576" s="3339"/>
      <c r="H576" s="3339"/>
      <c r="I576" s="3341"/>
      <c r="J576" s="3341"/>
      <c r="K576" s="3341"/>
      <c r="L576" s="3341"/>
      <c r="M576" s="3341"/>
      <c r="N576" s="2104"/>
      <c r="O576" s="2104"/>
      <c r="P576" s="2104"/>
      <c r="Q576" s="2104"/>
      <c r="R576" s="2104"/>
      <c r="S576" s="2104"/>
      <c r="T576" s="2104"/>
      <c r="U576" s="2104"/>
      <c r="V576" s="2104"/>
      <c r="W576" s="2104"/>
      <c r="X576" s="2104"/>
      <c r="Y576" s="2104"/>
      <c r="Z576" s="2104"/>
      <c r="AA576" s="2104"/>
      <c r="AB576" s="2104"/>
      <c r="AC576" s="2104"/>
      <c r="AD576" s="2104"/>
      <c r="AE576" s="2104"/>
      <c r="AF576" s="2104"/>
      <c r="AG576" s="2104"/>
      <c r="AH576" s="2104"/>
      <c r="AI576" s="2104"/>
      <c r="AJ576" s="2104"/>
      <c r="AK576" s="2104"/>
      <c r="AL576" s="2104"/>
      <c r="AM576" s="2104"/>
      <c r="AN576" s="2104"/>
      <c r="AO576" s="2104"/>
      <c r="AP576" s="2104"/>
      <c r="AR576" s="3479"/>
    </row>
    <row r="577" s="3330" customFormat="1" customHeight="1" spans="1:44">
      <c r="A577" s="3340"/>
      <c r="B577"/>
      <c r="E577" s="3488"/>
      <c r="F577" s="3339"/>
      <c r="G577" s="3339"/>
      <c r="H577" s="3339"/>
      <c r="I577" s="3341"/>
      <c r="J577" s="3341"/>
      <c r="K577" s="3341"/>
      <c r="L577" s="3341"/>
      <c r="M577" s="3341"/>
      <c r="N577" s="5044" t="s">
        <v>1959</v>
      </c>
      <c r="O577" s="3386"/>
      <c r="P577" s="3386"/>
      <c r="Q577" s="3386"/>
      <c r="R577" s="3386"/>
      <c r="S577" s="3386"/>
      <c r="T577" s="3386"/>
      <c r="U577" s="3386"/>
      <c r="V577" s="3386"/>
      <c r="W577" s="3386"/>
      <c r="X577" s="3386"/>
      <c r="Y577" s="3386"/>
      <c r="Z577" s="3386"/>
      <c r="AA577" s="3386"/>
      <c r="AB577" s="3386"/>
      <c r="AC577" s="3386"/>
      <c r="AD577" s="3386"/>
      <c r="AE577" s="3386"/>
      <c r="AF577" s="3386"/>
      <c r="AG577" s="3386"/>
      <c r="AH577" s="3386"/>
      <c r="AI577" s="3386"/>
      <c r="AJ577" s="3386"/>
      <c r="AK577" s="3386"/>
      <c r="AL577" s="3386"/>
      <c r="AM577" s="3386"/>
      <c r="AN577" s="3386"/>
      <c r="AO577" s="3386"/>
      <c r="AP577" s="3386"/>
      <c r="AR577" s="3479"/>
    </row>
    <row r="578" s="3330" customFormat="1" customHeight="1" spans="1:44">
      <c r="A578" s="3340"/>
      <c r="B578"/>
      <c r="E578" s="3488"/>
      <c r="F578" s="3339"/>
      <c r="G578" s="3339"/>
      <c r="H578" s="3339"/>
      <c r="I578" s="3341"/>
      <c r="J578" s="3341"/>
      <c r="K578" s="3341"/>
      <c r="L578" s="3341"/>
      <c r="M578" s="3341"/>
      <c r="N578"/>
      <c r="O578" s="3386"/>
      <c r="P578" s="3386"/>
      <c r="Q578" s="3386"/>
      <c r="R578" s="3386"/>
      <c r="S578" s="3386"/>
      <c r="T578" s="3386"/>
      <c r="U578" s="3386"/>
      <c r="V578" s="3386"/>
      <c r="W578" s="3386"/>
      <c r="X578" s="3386"/>
      <c r="Y578" s="3386"/>
      <c r="Z578" s="3386"/>
      <c r="AA578" s="3386"/>
      <c r="AB578" s="3386"/>
      <c r="AC578" s="3386"/>
      <c r="AD578" s="3386"/>
      <c r="AE578" s="3386"/>
      <c r="AF578" s="3386"/>
      <c r="AG578" s="3386"/>
      <c r="AH578" s="3386"/>
      <c r="AI578" s="3386"/>
      <c r="AJ578" s="3386"/>
      <c r="AK578" s="3386"/>
      <c r="AL578" s="3386"/>
      <c r="AM578" s="3386"/>
      <c r="AN578" s="3386"/>
      <c r="AO578" s="3386"/>
      <c r="AP578" s="3386"/>
      <c r="AR578" s="3479"/>
    </row>
    <row r="579" s="3330" customFormat="1" customHeight="1" spans="1:44">
      <c r="A579" s="3340"/>
      <c r="B579"/>
      <c r="C579" s="3504" t="s">
        <v>1966</v>
      </c>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2682"/>
      <c r="AC579" s="2682"/>
      <c r="AD579" s="2682"/>
      <c r="AE579" s="2682"/>
      <c r="AF579" s="2682"/>
      <c r="AG579" s="2682"/>
      <c r="AH579" s="2682"/>
      <c r="AI579" s="3326"/>
      <c r="AJ579" s="2682"/>
      <c r="AK579" s="2682"/>
      <c r="AL579" s="2682"/>
      <c r="AM579" s="2682"/>
      <c r="AN579" s="2682"/>
      <c r="AR579" s="3479"/>
    </row>
    <row r="580" s="3330" customFormat="1" customHeight="1" spans="1:44">
      <c r="A580" s="3340"/>
      <c r="B580"/>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2682"/>
      <c r="AC580" s="2682"/>
      <c r="AD580" s="2682"/>
      <c r="AE580" s="2682"/>
      <c r="AF580" s="2682"/>
      <c r="AG580" s="2682"/>
      <c r="AH580" s="2682"/>
      <c r="AI580" s="3326"/>
      <c r="AJ580" s="2682"/>
      <c r="AK580" s="2682"/>
      <c r="AL580" s="2682"/>
      <c r="AM580" s="2682"/>
      <c r="AN580" s="2682"/>
      <c r="AR580" s="3479"/>
    </row>
    <row r="581" s="3330" customFormat="1" customHeight="1" spans="1:44">
      <c r="A581" s="3335"/>
      <c r="B581" s="3315"/>
      <c r="C581" s="5059" t="s">
        <v>1967</v>
      </c>
      <c r="D581" s="2146"/>
      <c r="E581" s="2146"/>
      <c r="F581" s="2146"/>
      <c r="G581" s="2146"/>
      <c r="H581" s="2146"/>
      <c r="I581" s="2146"/>
      <c r="J581" s="2146"/>
      <c r="K581" s="2146"/>
      <c r="L581" s="2146"/>
      <c r="M581" s="2146"/>
      <c r="N581" s="2146"/>
      <c r="O581" s="2146"/>
      <c r="P581" s="2146"/>
      <c r="Q581" s="2146"/>
      <c r="R581" s="2146"/>
      <c r="S581" s="2146"/>
      <c r="T581" s="2146"/>
      <c r="U581" s="2146"/>
      <c r="V581" s="2146"/>
      <c r="W581" s="2146"/>
      <c r="X581" s="2146"/>
      <c r="Y581" s="2146"/>
      <c r="Z581" s="2146"/>
      <c r="AA581" s="2146"/>
      <c r="AB581" s="2146"/>
      <c r="AC581" s="2146"/>
      <c r="AD581" s="2146"/>
      <c r="AE581" s="2146"/>
      <c r="AF581" s="2146"/>
      <c r="AG581" s="2146"/>
      <c r="AH581" s="2146"/>
      <c r="AI581" s="2146"/>
      <c r="AJ581" s="2146"/>
      <c r="AK581" s="2146"/>
      <c r="AL581" s="2146"/>
      <c r="AM581" s="2146"/>
      <c r="AN581" s="2146"/>
      <c r="AO581" s="2104"/>
      <c r="AP581" s="2104"/>
      <c r="AR581" s="3479"/>
    </row>
    <row r="582" s="3330" customFormat="1" customHeight="1" spans="1:44">
      <c r="A582" s="3335"/>
      <c r="B582" s="3315"/>
      <c r="C582" s="2104"/>
      <c r="D582" s="2104"/>
      <c r="E582" s="2104"/>
      <c r="F582" s="2104"/>
      <c r="G582" s="2104"/>
      <c r="H582" s="2104"/>
      <c r="I582" s="2104"/>
      <c r="J582" s="2104"/>
      <c r="K582" s="2104"/>
      <c r="L582" s="2104"/>
      <c r="M582" s="2104"/>
      <c r="N582" s="2104"/>
      <c r="O582" s="2104"/>
      <c r="P582" s="2104"/>
      <c r="Q582" s="2104"/>
      <c r="R582" s="2104"/>
      <c r="S582" s="2104"/>
      <c r="T582" s="2104"/>
      <c r="U582" s="2104"/>
      <c r="V582" s="2104"/>
      <c r="W582" s="2104"/>
      <c r="X582" s="2104"/>
      <c r="Y582" s="2104"/>
      <c r="Z582" s="2104"/>
      <c r="AA582" s="2104"/>
      <c r="AB582" s="2104"/>
      <c r="AC582" s="2104"/>
      <c r="AD582" s="2104"/>
      <c r="AE582" s="2104"/>
      <c r="AF582" s="2104"/>
      <c r="AG582" s="2104"/>
      <c r="AH582" s="2104"/>
      <c r="AI582" s="2104"/>
      <c r="AJ582" s="2104"/>
      <c r="AK582" s="2104"/>
      <c r="AL582" s="2104"/>
      <c r="AM582" s="2104"/>
      <c r="AN582" s="2104"/>
      <c r="AO582" s="2104"/>
      <c r="AP582" s="2104"/>
      <c r="AR582" s="3479"/>
    </row>
    <row r="583" s="3330" customFormat="1" customHeight="1" spans="1:44">
      <c r="A583" s="3335"/>
      <c r="B583" s="3315"/>
      <c r="C583" s="2104"/>
      <c r="D583" s="2104"/>
      <c r="E583" s="2104"/>
      <c r="F583" s="2104"/>
      <c r="G583" s="2104"/>
      <c r="H583" s="2104"/>
      <c r="I583" s="2104"/>
      <c r="J583" s="2104"/>
      <c r="K583" s="2104"/>
      <c r="L583" s="2104"/>
      <c r="M583" s="2104"/>
      <c r="N583" s="2104"/>
      <c r="O583" s="2104"/>
      <c r="P583" s="2104"/>
      <c r="Q583" s="2104"/>
      <c r="R583" s="2104"/>
      <c r="S583" s="2104"/>
      <c r="T583" s="2104"/>
      <c r="U583" s="2104"/>
      <c r="V583" s="2104"/>
      <c r="W583" s="2104"/>
      <c r="X583" s="2104"/>
      <c r="Y583" s="2104"/>
      <c r="Z583" s="2104"/>
      <c r="AA583" s="2104"/>
      <c r="AB583" s="2104"/>
      <c r="AC583" s="2104"/>
      <c r="AD583" s="2104"/>
      <c r="AE583" s="2104"/>
      <c r="AF583" s="2104"/>
      <c r="AG583" s="2104"/>
      <c r="AH583" s="2104"/>
      <c r="AI583" s="2104"/>
      <c r="AJ583" s="2104"/>
      <c r="AK583" s="2104"/>
      <c r="AL583" s="2104"/>
      <c r="AM583" s="2104"/>
      <c r="AN583" s="2104"/>
      <c r="AO583" s="2104"/>
      <c r="AP583" s="2104"/>
      <c r="AR583" s="3479"/>
    </row>
    <row r="584" s="3330" customFormat="1" customHeight="1" spans="1:44">
      <c r="A584" s="3335"/>
      <c r="B584" s="3315"/>
      <c r="C584" s="2104"/>
      <c r="D584" s="2104"/>
      <c r="E584" s="2104"/>
      <c r="F584" s="2104"/>
      <c r="G584" s="2104"/>
      <c r="H584" s="2104"/>
      <c r="I584" s="2104"/>
      <c r="J584" s="2104"/>
      <c r="K584" s="2104"/>
      <c r="L584" s="2104"/>
      <c r="M584" s="2104"/>
      <c r="N584" s="2104"/>
      <c r="O584" s="2104"/>
      <c r="P584" s="2104"/>
      <c r="Q584" s="2104"/>
      <c r="R584" s="2104"/>
      <c r="S584" s="2104"/>
      <c r="T584" s="2104"/>
      <c r="U584" s="2104"/>
      <c r="V584" s="2104"/>
      <c r="W584" s="2104"/>
      <c r="X584" s="2104"/>
      <c r="Y584" s="2104"/>
      <c r="Z584" s="2104"/>
      <c r="AA584" s="2104"/>
      <c r="AB584" s="2104"/>
      <c r="AC584" s="2104"/>
      <c r="AD584" s="2104"/>
      <c r="AE584" s="2104"/>
      <c r="AF584" s="2104"/>
      <c r="AG584" s="2104"/>
      <c r="AH584" s="2104"/>
      <c r="AI584" s="2104"/>
      <c r="AJ584" s="2104"/>
      <c r="AK584" s="2104"/>
      <c r="AL584" s="2104"/>
      <c r="AM584" s="2104"/>
      <c r="AN584" s="2104"/>
      <c r="AO584" s="2104"/>
      <c r="AP584" s="2104"/>
      <c r="AR584" s="3479"/>
    </row>
    <row r="585" s="3330" customFormat="1" customHeight="1" spans="1:44">
      <c r="A585" s="3335"/>
      <c r="B585" s="3315"/>
      <c r="C585" s="2104"/>
      <c r="D585" s="2104"/>
      <c r="E585" s="2104"/>
      <c r="F585" s="2104"/>
      <c r="G585" s="2104"/>
      <c r="H585" s="2104"/>
      <c r="I585" s="2104"/>
      <c r="J585" s="2104"/>
      <c r="K585" s="2104"/>
      <c r="L585" s="2104"/>
      <c r="M585" s="2104"/>
      <c r="N585" s="2104"/>
      <c r="O585" s="2104"/>
      <c r="P585" s="2104"/>
      <c r="Q585" s="2104"/>
      <c r="R585" s="2104"/>
      <c r="S585" s="2104"/>
      <c r="T585" s="2104"/>
      <c r="U585" s="2104"/>
      <c r="V585" s="2104"/>
      <c r="W585" s="2104"/>
      <c r="X585" s="2104"/>
      <c r="Y585" s="2104"/>
      <c r="Z585" s="2104"/>
      <c r="AA585" s="2104"/>
      <c r="AB585" s="2104"/>
      <c r="AC585" s="2104"/>
      <c r="AD585" s="2104"/>
      <c r="AE585" s="2104"/>
      <c r="AF585" s="2104"/>
      <c r="AG585" s="2104"/>
      <c r="AH585" s="2104"/>
      <c r="AI585" s="2104"/>
      <c r="AJ585" s="2104"/>
      <c r="AK585" s="2104"/>
      <c r="AL585" s="2104"/>
      <c r="AM585" s="2104"/>
      <c r="AN585" s="2104"/>
      <c r="AO585" s="2104"/>
      <c r="AP585" s="2104"/>
      <c r="AR585" s="3479"/>
    </row>
    <row r="586" s="3330" customFormat="1" customHeight="1" spans="1:44">
      <c r="A586" s="3335"/>
      <c r="B586" s="3315"/>
      <c r="C586" s="2104"/>
      <c r="D586" s="2104"/>
      <c r="E586" s="2104"/>
      <c r="F586" s="2104"/>
      <c r="G586" s="2104"/>
      <c r="H586" s="2104"/>
      <c r="I586" s="2104"/>
      <c r="J586" s="2104"/>
      <c r="K586" s="2104"/>
      <c r="L586" s="2104"/>
      <c r="M586" s="2104"/>
      <c r="N586" s="2104"/>
      <c r="O586" s="2104"/>
      <c r="P586" s="2104"/>
      <c r="Q586" s="2104"/>
      <c r="R586" s="2104"/>
      <c r="S586" s="2104"/>
      <c r="T586" s="2104"/>
      <c r="U586" s="2104"/>
      <c r="V586" s="2104"/>
      <c r="W586" s="2104"/>
      <c r="X586" s="2104"/>
      <c r="Y586" s="2104"/>
      <c r="Z586" s="2104"/>
      <c r="AA586" s="2104"/>
      <c r="AB586" s="2104"/>
      <c r="AC586" s="2104"/>
      <c r="AD586" s="2104"/>
      <c r="AE586" s="2104"/>
      <c r="AF586" s="2104"/>
      <c r="AG586" s="2104"/>
      <c r="AH586" s="2104"/>
      <c r="AI586" s="2104"/>
      <c r="AJ586" s="2104"/>
      <c r="AK586" s="2104"/>
      <c r="AL586" s="2104"/>
      <c r="AM586" s="2104"/>
      <c r="AN586" s="2104"/>
      <c r="AO586" s="2104"/>
      <c r="AP586" s="2104"/>
      <c r="AR586" s="3479"/>
    </row>
    <row r="587" s="3330" customFormat="1" customHeight="1" spans="1:44">
      <c r="A587" s="3335"/>
      <c r="B587" s="3315"/>
      <c r="C587" s="2104"/>
      <c r="D587" s="2104"/>
      <c r="E587" s="2104"/>
      <c r="F587" s="2104"/>
      <c r="G587" s="2104"/>
      <c r="H587" s="2104"/>
      <c r="I587" s="2104"/>
      <c r="J587" s="2104"/>
      <c r="K587" s="2104"/>
      <c r="L587" s="2104"/>
      <c r="M587" s="2104"/>
      <c r="N587" s="2104"/>
      <c r="O587" s="2104"/>
      <c r="P587" s="2104"/>
      <c r="Q587" s="2104"/>
      <c r="R587" s="2104"/>
      <c r="S587" s="2104"/>
      <c r="T587" s="2104"/>
      <c r="U587" s="2104"/>
      <c r="V587" s="2104"/>
      <c r="W587" s="2104"/>
      <c r="X587" s="2104"/>
      <c r="Y587" s="2104"/>
      <c r="Z587" s="2104"/>
      <c r="AA587" s="2104"/>
      <c r="AB587" s="2104"/>
      <c r="AC587" s="2104"/>
      <c r="AD587" s="2104"/>
      <c r="AE587" s="2104"/>
      <c r="AF587" s="2104"/>
      <c r="AG587" s="2104"/>
      <c r="AH587" s="2104"/>
      <c r="AI587" s="2104"/>
      <c r="AJ587" s="2104"/>
      <c r="AK587" s="2104"/>
      <c r="AL587" s="2104"/>
      <c r="AM587" s="2104"/>
      <c r="AN587" s="2104"/>
      <c r="AO587" s="2104"/>
      <c r="AP587" s="2104"/>
      <c r="AR587" s="3479"/>
    </row>
    <row r="588" s="3330" customFormat="1" customHeight="1" spans="1:44">
      <c r="A588" s="3335"/>
      <c r="B588" s="3315"/>
      <c r="C588" s="2104"/>
      <c r="D588" s="2104"/>
      <c r="E588" s="2104"/>
      <c r="F588" s="2104"/>
      <c r="G588" s="2104"/>
      <c r="H588" s="2104"/>
      <c r="I588" s="2104"/>
      <c r="J588" s="2104"/>
      <c r="K588" s="2104"/>
      <c r="L588" s="2104"/>
      <c r="M588" s="2104"/>
      <c r="N588" s="2104"/>
      <c r="O588" s="2104"/>
      <c r="P588" s="2104"/>
      <c r="Q588" s="2104"/>
      <c r="R588" s="2104"/>
      <c r="S588" s="2104"/>
      <c r="T588" s="2104"/>
      <c r="U588" s="2104"/>
      <c r="V588" s="2104"/>
      <c r="W588" s="2104"/>
      <c r="X588" s="2104"/>
      <c r="Y588" s="2104"/>
      <c r="Z588" s="2104"/>
      <c r="AA588" s="2104"/>
      <c r="AB588" s="2104"/>
      <c r="AC588" s="2104"/>
      <c r="AD588" s="2104"/>
      <c r="AE588" s="2104"/>
      <c r="AF588" s="2104"/>
      <c r="AG588" s="2104"/>
      <c r="AH588" s="2104"/>
      <c r="AI588" s="2104"/>
      <c r="AJ588" s="2104"/>
      <c r="AK588" s="2104"/>
      <c r="AL588" s="2104"/>
      <c r="AM588" s="2104"/>
      <c r="AN588" s="2104"/>
      <c r="AO588" s="2104"/>
      <c r="AP588" s="2104"/>
      <c r="AR588" s="3479"/>
    </row>
    <row r="589" s="3330" customFormat="1" customHeight="1" spans="1:44">
      <c r="A589" s="3335"/>
      <c r="B589" s="3315"/>
      <c r="C589" s="2104"/>
      <c r="D589" s="2104"/>
      <c r="E589" s="2104"/>
      <c r="F589" s="2104"/>
      <c r="G589" s="2104"/>
      <c r="H589" s="2104"/>
      <c r="I589" s="2104"/>
      <c r="J589" s="2104"/>
      <c r="K589" s="2104"/>
      <c r="L589" s="2104"/>
      <c r="M589" s="2104"/>
      <c r="N589" s="2104"/>
      <c r="O589" s="2104"/>
      <c r="P589" s="2104"/>
      <c r="Q589" s="2104"/>
      <c r="R589" s="2104"/>
      <c r="S589" s="2104"/>
      <c r="T589" s="2104"/>
      <c r="U589" s="2104"/>
      <c r="V589" s="2104"/>
      <c r="W589" s="2104"/>
      <c r="X589" s="2104"/>
      <c r="Y589" s="2104"/>
      <c r="Z589" s="2104"/>
      <c r="AA589" s="2104"/>
      <c r="AB589" s="2104"/>
      <c r="AC589" s="2104"/>
      <c r="AD589" s="2104"/>
      <c r="AE589" s="2104"/>
      <c r="AF589" s="2104"/>
      <c r="AG589" s="2104"/>
      <c r="AH589" s="2104"/>
      <c r="AI589" s="2104"/>
      <c r="AJ589" s="2104"/>
      <c r="AK589" s="2104"/>
      <c r="AL589" s="2104"/>
      <c r="AM589" s="2104"/>
      <c r="AN589" s="2104"/>
      <c r="AO589" s="2104"/>
      <c r="AP589" s="2104"/>
      <c r="AR589" s="3479"/>
    </row>
    <row r="590" s="3330" customFormat="1" customHeight="1" spans="1:44">
      <c r="A590" s="3335"/>
      <c r="B590" s="3315"/>
      <c r="C590" s="2104"/>
      <c r="D590" s="2104"/>
      <c r="E590" s="2104"/>
      <c r="F590" s="2104"/>
      <c r="G590" s="2104"/>
      <c r="H590" s="2104"/>
      <c r="I590" s="2104"/>
      <c r="J590" s="2104"/>
      <c r="K590" s="2104"/>
      <c r="L590" s="2104"/>
      <c r="M590" s="2104"/>
      <c r="N590" s="2104"/>
      <c r="O590" s="2104"/>
      <c r="P590" s="2104"/>
      <c r="Q590" s="2104"/>
      <c r="R590" s="2104"/>
      <c r="S590" s="2104"/>
      <c r="T590" s="2104"/>
      <c r="U590" s="2104"/>
      <c r="V590" s="2104"/>
      <c r="W590" s="2104"/>
      <c r="X590" s="2104"/>
      <c r="Y590" s="2104"/>
      <c r="Z590" s="2104"/>
      <c r="AA590" s="2104"/>
      <c r="AB590" s="2104"/>
      <c r="AC590" s="2104"/>
      <c r="AD590" s="2104"/>
      <c r="AE590" s="2104"/>
      <c r="AF590" s="2104"/>
      <c r="AG590" s="2104"/>
      <c r="AH590" s="2104"/>
      <c r="AI590" s="2104"/>
      <c r="AJ590" s="2104"/>
      <c r="AK590" s="2104"/>
      <c r="AL590" s="2104"/>
      <c r="AM590" s="2104"/>
      <c r="AN590" s="2104"/>
      <c r="AO590" s="2104"/>
      <c r="AP590" s="2104"/>
      <c r="AR590" s="3479"/>
    </row>
    <row r="591" s="3330" customFormat="1" customHeight="1" spans="1:44">
      <c r="A591" s="3335"/>
      <c r="B591" s="3315"/>
      <c r="C591" s="3322"/>
      <c r="D591"/>
      <c r="E591" s="2104"/>
      <c r="F591" s="3339"/>
      <c r="G591" s="3339"/>
      <c r="H591" s="3339"/>
      <c r="I591" s="3341"/>
      <c r="J591" s="3341"/>
      <c r="K591" s="3341"/>
      <c r="L591" s="3341"/>
      <c r="M591" s="3341"/>
      <c r="N591"/>
      <c r="O591" s="3386"/>
      <c r="P591" s="3386"/>
      <c r="Q591" s="3386"/>
      <c r="R591" s="3386"/>
      <c r="S591" s="3386"/>
      <c r="T591" s="3386"/>
      <c r="U591" s="3386"/>
      <c r="V591" s="3386"/>
      <c r="W591" s="3386"/>
      <c r="X591" s="3386"/>
      <c r="Y591" s="3386"/>
      <c r="Z591" s="3386"/>
      <c r="AA591" s="3386"/>
      <c r="AB591" s="3386"/>
      <c r="AC591" s="3386"/>
      <c r="AD591" s="3386"/>
      <c r="AE591" s="3386"/>
      <c r="AF591" s="3386"/>
      <c r="AG591" s="3386"/>
      <c r="AH591" s="3386"/>
      <c r="AI591" s="3386"/>
      <c r="AJ591" s="3386"/>
      <c r="AK591" s="3386"/>
      <c r="AL591" s="3386"/>
      <c r="AM591" s="3386"/>
      <c r="AN591" s="3386"/>
      <c r="AO591" s="3386"/>
      <c r="AP591" s="3386"/>
      <c r="AR591" s="3479"/>
    </row>
    <row r="592" s="3330" customFormat="1" customHeight="1" spans="1:44">
      <c r="A592" s="3335"/>
      <c r="B592" s="3315"/>
      <c r="C592" s="3322"/>
      <c r="D592"/>
      <c r="E592" s="2104"/>
      <c r="F592" s="3339"/>
      <c r="G592" s="3339"/>
      <c r="H592" s="3339"/>
      <c r="I592" s="3341"/>
      <c r="J592" s="3341"/>
      <c r="K592" s="3341"/>
      <c r="L592" s="3341"/>
      <c r="M592" s="3341"/>
      <c r="N592"/>
      <c r="O592" s="3386"/>
      <c r="P592" s="3386"/>
      <c r="Q592" s="3386"/>
      <c r="R592" s="3386"/>
      <c r="S592" s="3386"/>
      <c r="T592" s="3386"/>
      <c r="U592" s="3386"/>
      <c r="V592" s="3386"/>
      <c r="W592" s="3386"/>
      <c r="X592" s="3386"/>
      <c r="Y592" s="3386"/>
      <c r="Z592" s="3386"/>
      <c r="AA592" s="3386"/>
      <c r="AB592" s="3386"/>
      <c r="AC592" s="3386"/>
      <c r="AD592" s="3386"/>
      <c r="AE592" s="3386"/>
      <c r="AF592" s="3386"/>
      <c r="AG592" s="3386"/>
      <c r="AH592" s="3386"/>
      <c r="AI592" s="3386"/>
      <c r="AJ592" s="3386"/>
      <c r="AK592" s="3386"/>
      <c r="AL592" s="3386"/>
      <c r="AM592" s="3386"/>
      <c r="AN592" s="3386"/>
      <c r="AO592" s="3386"/>
      <c r="AP592" s="3386"/>
      <c r="AR592" s="3479"/>
    </row>
    <row r="593" s="3330" customFormat="1" customHeight="1" spans="1:44">
      <c r="A593" s="3335"/>
      <c r="B593" s="3315"/>
      <c r="C593" s="3322"/>
      <c r="D593"/>
      <c r="E593" s="2104"/>
      <c r="F593" s="3339"/>
      <c r="G593" s="3339"/>
      <c r="H593" s="3339"/>
      <c r="I593" s="3341"/>
      <c r="J593" s="3341"/>
      <c r="K593" s="3341"/>
      <c r="L593" s="3341"/>
      <c r="M593" s="3341"/>
      <c r="N593"/>
      <c r="O593" s="3386"/>
      <c r="P593" s="3386"/>
      <c r="Q593" s="3386"/>
      <c r="R593" s="3386"/>
      <c r="S593" s="3386"/>
      <c r="T593" s="3386"/>
      <c r="U593" s="3386"/>
      <c r="V593" s="3386"/>
      <c r="W593" s="3386"/>
      <c r="X593" s="3386"/>
      <c r="Y593" s="3386"/>
      <c r="Z593" s="3386"/>
      <c r="AA593" s="3386"/>
      <c r="AB593" s="3386"/>
      <c r="AC593" s="3386"/>
      <c r="AD593" s="3386"/>
      <c r="AE593" s="3386"/>
      <c r="AF593" s="3386"/>
      <c r="AG593" s="3386"/>
      <c r="AH593" s="3386"/>
      <c r="AI593" s="3386"/>
      <c r="AJ593" s="3386"/>
      <c r="AK593" s="3386"/>
      <c r="AL593" s="3386"/>
      <c r="AM593" s="3386"/>
      <c r="AN593" s="3386"/>
      <c r="AO593" s="3386"/>
      <c r="AP593" s="3386"/>
      <c r="AR593" s="3479"/>
    </row>
    <row r="594" s="3330" customFormat="1" customHeight="1" spans="1:44">
      <c r="A594" s="3335"/>
      <c r="B594" s="3315"/>
      <c r="C594" s="3322"/>
      <c r="D594"/>
      <c r="E594" s="2104"/>
      <c r="F594" s="3339"/>
      <c r="G594" s="3339"/>
      <c r="H594" s="3339"/>
      <c r="I594" s="3341"/>
      <c r="J594" s="3341"/>
      <c r="K594" s="3341"/>
      <c r="L594" s="3341"/>
      <c r="M594" s="3341"/>
      <c r="N594"/>
      <c r="O594" s="3386"/>
      <c r="P594" s="3386"/>
      <c r="Q594" s="3386"/>
      <c r="R594" s="3386"/>
      <c r="S594" s="3386"/>
      <c r="T594" s="3386"/>
      <c r="U594" s="3386"/>
      <c r="V594" s="3386"/>
      <c r="W594" s="3386"/>
      <c r="X594" s="3386"/>
      <c r="Y594" s="3386"/>
      <c r="Z594" s="3386"/>
      <c r="AA594" s="3386"/>
      <c r="AB594" s="3386"/>
      <c r="AC594" s="3386"/>
      <c r="AD594" s="3386"/>
      <c r="AE594" s="3386"/>
      <c r="AF594" s="3386"/>
      <c r="AG594" s="3386"/>
      <c r="AH594" s="3386"/>
      <c r="AI594" s="3386"/>
      <c r="AJ594" s="3386"/>
      <c r="AK594" s="3386"/>
      <c r="AL594" s="3386"/>
      <c r="AM594" s="3386"/>
      <c r="AN594" s="3386"/>
      <c r="AO594" s="3386"/>
      <c r="AP594" s="3386"/>
      <c r="AR594" s="3479"/>
    </row>
    <row r="595" s="3330" customFormat="1" customHeight="1" spans="1:44">
      <c r="A595" s="3335"/>
      <c r="B595" s="3315"/>
      <c r="C595" s="3322"/>
      <c r="D595"/>
      <c r="E595" s="2104"/>
      <c r="F595" s="3339"/>
      <c r="G595" s="3339"/>
      <c r="H595" s="3339"/>
      <c r="I595" s="3341"/>
      <c r="J595" s="3341"/>
      <c r="K595" s="3341"/>
      <c r="L595" s="3341"/>
      <c r="M595" s="3341"/>
      <c r="N595"/>
      <c r="O595" s="3386"/>
      <c r="P595" s="3386"/>
      <c r="Q595" s="3386"/>
      <c r="R595" s="3386"/>
      <c r="S595" s="3386"/>
      <c r="T595" s="3386"/>
      <c r="U595" s="3386"/>
      <c r="V595" s="3386"/>
      <c r="W595" s="3386"/>
      <c r="X595" s="3386"/>
      <c r="Y595" s="3386"/>
      <c r="Z595" s="3386"/>
      <c r="AA595" s="3386"/>
      <c r="AB595" s="3386"/>
      <c r="AC595" s="3386"/>
      <c r="AD595" s="3386"/>
      <c r="AE595" s="3386"/>
      <c r="AF595" s="3386"/>
      <c r="AG595" s="3386"/>
      <c r="AH595" s="3386"/>
      <c r="AI595" s="3386"/>
      <c r="AJ595" s="3386"/>
      <c r="AK595" s="3386"/>
      <c r="AL595" s="3386"/>
      <c r="AM595" s="3386"/>
      <c r="AN595" s="3386"/>
      <c r="AO595" s="3386"/>
      <c r="AP595" s="3386"/>
      <c r="AR595" s="3479"/>
    </row>
    <row r="596" s="3330" customFormat="1" customHeight="1" spans="1:44">
      <c r="A596" s="3335"/>
      <c r="B596" s="3315"/>
      <c r="C596" s="3322"/>
      <c r="D596"/>
      <c r="E596" s="2104"/>
      <c r="F596" s="3339"/>
      <c r="G596" s="3339"/>
      <c r="H596" s="3339"/>
      <c r="I596" s="3341"/>
      <c r="J596" s="3341"/>
      <c r="K596" s="3341"/>
      <c r="L596" s="3341"/>
      <c r="M596" s="3341"/>
      <c r="N596"/>
      <c r="O596" s="3386"/>
      <c r="P596" s="3386"/>
      <c r="Q596" s="3386"/>
      <c r="R596" s="3386"/>
      <c r="S596" s="3386"/>
      <c r="T596" s="3386"/>
      <c r="U596" s="3386"/>
      <c r="V596" s="3386"/>
      <c r="W596" s="3386"/>
      <c r="X596" s="3386"/>
      <c r="Y596" s="3386"/>
      <c r="Z596" s="3386"/>
      <c r="AA596" s="3386"/>
      <c r="AB596" s="3386"/>
      <c r="AC596" s="3386"/>
      <c r="AD596" s="3386"/>
      <c r="AE596" s="3386"/>
      <c r="AF596" s="3386"/>
      <c r="AG596" s="3386"/>
      <c r="AH596" s="3386"/>
      <c r="AI596" s="3386"/>
      <c r="AJ596" s="3386"/>
      <c r="AK596" s="3386"/>
      <c r="AL596" s="3386"/>
      <c r="AM596" s="3386"/>
      <c r="AN596" s="3386"/>
      <c r="AO596" s="3386"/>
      <c r="AP596" s="3386"/>
      <c r="AR596" s="3479"/>
    </row>
    <row r="597" s="3330" customFormat="1" customHeight="1" spans="1:44">
      <c r="A597" s="3335"/>
      <c r="B597" s="3315"/>
      <c r="C597" s="3322"/>
      <c r="D597"/>
      <c r="E597" s="2104"/>
      <c r="F597" s="3339"/>
      <c r="G597" s="3339"/>
      <c r="H597" s="3339"/>
      <c r="I597" s="3341"/>
      <c r="J597" s="3341"/>
      <c r="K597" s="3341"/>
      <c r="L597" s="3341"/>
      <c r="M597" s="3341"/>
      <c r="N597"/>
      <c r="O597" s="3386"/>
      <c r="P597" s="3386"/>
      <c r="Q597" s="3386"/>
      <c r="R597" s="3386"/>
      <c r="S597" s="3386"/>
      <c r="T597" s="3386"/>
      <c r="U597" s="3386"/>
      <c r="V597" s="3386"/>
      <c r="W597" s="3386"/>
      <c r="X597" s="3386"/>
      <c r="Y597" s="3386"/>
      <c r="Z597" s="3386"/>
      <c r="AA597" s="3386"/>
      <c r="AB597" s="3386"/>
      <c r="AC597" s="3386"/>
      <c r="AD597" s="3386"/>
      <c r="AE597" s="3386"/>
      <c r="AF597" s="3386"/>
      <c r="AG597" s="3386"/>
      <c r="AH597" s="3386"/>
      <c r="AI597" s="3386"/>
      <c r="AJ597" s="3386"/>
      <c r="AK597" s="3386"/>
      <c r="AL597" s="3386"/>
      <c r="AM597" s="3386"/>
      <c r="AN597" s="3386"/>
      <c r="AO597" s="3386"/>
      <c r="AP597" s="3386"/>
      <c r="AR597" s="3479"/>
    </row>
    <row r="598" s="3330" customFormat="1" customHeight="1" spans="1:44">
      <c r="A598" s="3335"/>
      <c r="B598" s="3315"/>
      <c r="C598" s="3322"/>
      <c r="D598"/>
      <c r="E598" s="2104"/>
      <c r="F598" s="3339"/>
      <c r="G598" s="3339"/>
      <c r="H598" s="3339"/>
      <c r="I598" s="3341"/>
      <c r="J598" s="3341"/>
      <c r="K598" s="3341"/>
      <c r="L598" s="3341"/>
      <c r="M598" s="3341"/>
      <c r="N598"/>
      <c r="O598" s="3386"/>
      <c r="P598" s="3386"/>
      <c r="Q598" s="3386"/>
      <c r="R598" s="3386"/>
      <c r="S598" s="3386"/>
      <c r="T598" s="3386"/>
      <c r="U598" s="3386"/>
      <c r="V598" s="3386"/>
      <c r="W598" s="3386"/>
      <c r="X598" s="3386"/>
      <c r="Y598" s="3386"/>
      <c r="Z598" s="3386"/>
      <c r="AA598" s="3386"/>
      <c r="AB598" s="3386"/>
      <c r="AC598" s="3386"/>
      <c r="AD598" s="3386"/>
      <c r="AE598" s="3386"/>
      <c r="AF598" s="3386"/>
      <c r="AG598" s="3386"/>
      <c r="AH598" s="3386"/>
      <c r="AI598" s="3386"/>
      <c r="AJ598" s="3386"/>
      <c r="AK598" s="3386"/>
      <c r="AL598" s="3386"/>
      <c r="AM598" s="3386"/>
      <c r="AN598" s="3386"/>
      <c r="AO598" s="3386"/>
      <c r="AP598" s="3386"/>
      <c r="AR598" s="3479"/>
    </row>
    <row r="599" s="3330" customFormat="1" ht="11.4" spans="1:44">
      <c r="A599" s="3385">
        <f>+A533+1</f>
        <v>16</v>
      </c>
      <c r="B599" s="3385"/>
      <c r="C599" s="3385"/>
      <c r="D599" s="3385"/>
      <c r="E599" s="3385"/>
      <c r="F599" s="3385"/>
      <c r="G599" s="3385"/>
      <c r="H599" s="3385"/>
      <c r="I599" s="3385"/>
      <c r="J599" s="3385"/>
      <c r="K599" s="3385"/>
      <c r="L599" s="3385"/>
      <c r="M599" s="3385"/>
      <c r="N599" s="3385"/>
      <c r="O599" s="3385"/>
      <c r="P599" s="3385"/>
      <c r="Q599" s="3385"/>
      <c r="R599" s="3385"/>
      <c r="S599" s="3385"/>
      <c r="T599" s="3385"/>
      <c r="U599" s="3385"/>
      <c r="V599" s="3385"/>
      <c r="W599" s="3385"/>
      <c r="X599" s="3385"/>
      <c r="Y599" s="3385"/>
      <c r="Z599" s="3385"/>
      <c r="AA599" s="3385"/>
      <c r="AB599" s="3385"/>
      <c r="AC599" s="3385"/>
      <c r="AD599" s="3385"/>
      <c r="AE599" s="3385"/>
      <c r="AF599" s="3385"/>
      <c r="AG599" s="3385"/>
      <c r="AH599" s="3385"/>
      <c r="AI599" s="3385"/>
      <c r="AJ599" s="3385"/>
      <c r="AK599" s="3385"/>
      <c r="AL599" s="3385"/>
      <c r="AM599" s="3385"/>
      <c r="AN599" s="3385"/>
      <c r="AO599" s="3385"/>
      <c r="AP599" s="3385"/>
      <c r="AR599" s="3479"/>
    </row>
    <row r="600" s="3330" customFormat="1" customHeight="1" spans="1:44">
      <c r="A600" s="3335">
        <f>A352+1</f>
        <v>13</v>
      </c>
      <c r="B600"/>
      <c r="C600" s="3322" t="s">
        <v>1968</v>
      </c>
      <c r="D600"/>
      <c r="E600" s="3507"/>
      <c r="AI600" s="64"/>
      <c r="AR600" s="3479"/>
    </row>
    <row r="601" s="3330" customFormat="1" ht="6" customHeight="1" spans="1:44">
      <c r="A601" s="3335"/>
      <c r="B601"/>
      <c r="C601" s="3322"/>
      <c r="D601"/>
      <c r="E601"/>
      <c r="F601"/>
      <c r="G601"/>
      <c r="H601"/>
      <c r="I601"/>
      <c r="J601"/>
      <c r="K601"/>
      <c r="L601"/>
      <c r="M601"/>
      <c r="N601"/>
      <c r="O601"/>
      <c r="P601"/>
      <c r="Q601"/>
      <c r="R601"/>
      <c r="S601"/>
      <c r="T601"/>
      <c r="U601"/>
      <c r="V601"/>
      <c r="W601"/>
      <c r="X601"/>
      <c r="Y601"/>
      <c r="Z601"/>
      <c r="AA601"/>
      <c r="AR601" s="3479"/>
    </row>
    <row r="602" s="3330" customFormat="1" ht="24" customHeight="1" spans="1:44">
      <c r="A602" s="3335"/>
      <c r="B602"/>
      <c r="C602" s="5036" t="s">
        <v>1969</v>
      </c>
      <c r="D602" s="3341"/>
      <c r="E602" s="3341"/>
      <c r="F602" s="3341"/>
      <c r="G602" s="3341"/>
      <c r="H602" s="3341"/>
      <c r="I602" s="3341"/>
      <c r="J602" s="3341"/>
      <c r="K602" s="3341"/>
      <c r="L602" s="3341"/>
      <c r="M602" s="3341"/>
      <c r="N602" s="3341"/>
      <c r="O602" s="3341"/>
      <c r="P602" s="3341"/>
      <c r="Q602" s="3341"/>
      <c r="R602" s="3341"/>
      <c r="S602" s="3341"/>
      <c r="T602" s="3341"/>
      <c r="U602" s="3341"/>
      <c r="V602" s="3341"/>
      <c r="W602" s="3341"/>
      <c r="X602" s="3341"/>
      <c r="Y602" s="3341"/>
      <c r="Z602" s="3341"/>
      <c r="AA602" s="3341"/>
      <c r="AB602" s="3341"/>
      <c r="AC602" s="3341"/>
      <c r="AD602" s="3341"/>
      <c r="AE602" s="3341"/>
      <c r="AF602" s="3341"/>
      <c r="AG602" s="3341"/>
      <c r="AH602" s="3341"/>
      <c r="AI602" s="3341"/>
      <c r="AJ602" s="3341"/>
      <c r="AK602" s="3341"/>
      <c r="AL602" s="3341"/>
      <c r="AM602" s="3341"/>
      <c r="AN602" s="3341"/>
      <c r="AO602" s="3339"/>
      <c r="AP602" s="3339"/>
      <c r="AR602" s="3479"/>
    </row>
    <row r="603" s="3330" customFormat="1" spans="1:44">
      <c r="A603" s="3335"/>
      <c r="B603"/>
      <c r="C603" s="3339"/>
      <c r="D603" s="3341"/>
      <c r="E603" s="3341"/>
      <c r="F603" s="3341"/>
      <c r="G603" s="3341"/>
      <c r="H603" s="3341"/>
      <c r="I603" s="3341"/>
      <c r="J603" s="3341"/>
      <c r="K603" s="3341"/>
      <c r="L603" s="3341"/>
      <c r="M603" s="3341"/>
      <c r="N603" s="3341"/>
      <c r="O603" s="3341"/>
      <c r="P603" s="3341"/>
      <c r="Q603" s="3341"/>
      <c r="R603" s="3341"/>
      <c r="S603" s="3341"/>
      <c r="T603" s="3341"/>
      <c r="U603" s="3341"/>
      <c r="V603" s="3341"/>
      <c r="W603" s="3341"/>
      <c r="X603" s="3341"/>
      <c r="Y603" s="3341"/>
      <c r="Z603" s="3341"/>
      <c r="AA603" s="3341"/>
      <c r="AB603" s="3341"/>
      <c r="AC603" s="3341"/>
      <c r="AD603" s="3341"/>
      <c r="AE603" s="3341"/>
      <c r="AF603" s="3341"/>
      <c r="AG603" s="3341"/>
      <c r="AH603" s="3341"/>
      <c r="AI603" s="3341"/>
      <c r="AJ603" s="3341"/>
      <c r="AK603" s="3341"/>
      <c r="AL603" s="3341"/>
      <c r="AM603" s="3341"/>
      <c r="AN603" s="3341"/>
      <c r="AO603" s="3339"/>
      <c r="AP603" s="3339"/>
      <c r="AR603" s="3479"/>
    </row>
    <row r="604" s="3330" customFormat="1" ht="13.2" spans="1:44">
      <c r="A604" s="3335"/>
      <c r="B604"/>
      <c r="C604" s="5096" t="s">
        <v>1970</v>
      </c>
      <c r="D604" s="2674"/>
      <c r="E604" s="2674"/>
      <c r="F604" s="2674"/>
      <c r="G604" s="2674"/>
      <c r="H604" s="2674"/>
      <c r="I604" s="2674"/>
      <c r="J604" s="2674"/>
      <c r="K604" s="2674"/>
      <c r="L604" s="2674"/>
      <c r="M604" s="2674"/>
      <c r="N604" s="2674"/>
      <c r="O604" s="2674"/>
      <c r="P604" s="2674"/>
      <c r="Q604" s="2674"/>
      <c r="R604" s="2674"/>
      <c r="S604" s="3341"/>
      <c r="T604" s="3341"/>
      <c r="U604" s="3341"/>
      <c r="V604" s="3341"/>
      <c r="W604" s="3341"/>
      <c r="X604" s="3341"/>
      <c r="Y604" s="3341"/>
      <c r="Z604" s="3341"/>
      <c r="AA604" s="3341"/>
      <c r="AB604" s="3359">
        <f>+AB379</f>
        <v>2021</v>
      </c>
      <c r="AC604" s="3360"/>
      <c r="AD604" s="3360"/>
      <c r="AE604" s="3360"/>
      <c r="AF604" s="3360"/>
      <c r="AG604" s="3360"/>
      <c r="AH604" s="3360"/>
      <c r="AI604" s="64"/>
      <c r="AJ604" s="3359">
        <f>+AJ379</f>
        <v>2020</v>
      </c>
      <c r="AK604" s="3360"/>
      <c r="AL604" s="3360"/>
      <c r="AM604" s="3360"/>
      <c r="AN604" s="3360"/>
      <c r="AO604" s="3360"/>
      <c r="AP604" s="3360"/>
      <c r="AR604" s="3479"/>
    </row>
    <row r="605" s="3330" customFormat="1" spans="1:44">
      <c r="A605" s="3335"/>
      <c r="B605"/>
      <c r="C605" s="3339"/>
      <c r="D605" s="3341"/>
      <c r="E605" s="3341"/>
      <c r="F605" s="3341"/>
      <c r="G605" s="3341"/>
      <c r="H605" s="3341"/>
      <c r="I605" s="3341"/>
      <c r="J605" s="3341"/>
      <c r="K605" s="3341"/>
      <c r="L605" s="3341"/>
      <c r="M605" s="3341"/>
      <c r="N605" s="3341"/>
      <c r="O605" s="3341"/>
      <c r="P605" s="3341"/>
      <c r="Q605" s="3341"/>
      <c r="R605" s="3341"/>
      <c r="S605" s="3341"/>
      <c r="T605" s="3341"/>
      <c r="U605" s="3341"/>
      <c r="V605" s="3341"/>
      <c r="W605" s="3341"/>
      <c r="X605" s="3341"/>
      <c r="Y605" s="3341"/>
      <c r="Z605" s="3341"/>
      <c r="AA605" s="3341"/>
      <c r="AB605" s="3496"/>
      <c r="AC605" s="3497"/>
      <c r="AD605" s="3497"/>
      <c r="AE605" s="3497"/>
      <c r="AF605" s="3497"/>
      <c r="AG605" s="3497"/>
      <c r="AH605" s="3497"/>
      <c r="AI605" s="64"/>
      <c r="AJ605" s="3496"/>
      <c r="AK605" s="3497"/>
      <c r="AL605" s="3497"/>
      <c r="AM605" s="3497"/>
      <c r="AN605" s="3497"/>
      <c r="AO605" s="3497"/>
      <c r="AP605" s="3497"/>
      <c r="AR605" s="3479"/>
    </row>
    <row r="606" s="3330" customFormat="1" spans="1:44">
      <c r="A606" s="3335"/>
      <c r="B606"/>
      <c r="C606" s="5097" t="s">
        <v>1971</v>
      </c>
      <c r="D606" s="3341"/>
      <c r="E606" s="3341"/>
      <c r="F606" s="3341"/>
      <c r="G606" s="3341"/>
      <c r="H606" s="3341"/>
      <c r="I606" s="3341"/>
      <c r="J606" s="3341"/>
      <c r="K606" s="3341"/>
      <c r="L606" s="3341"/>
      <c r="M606" s="3341"/>
      <c r="N606" s="3341"/>
      <c r="O606" s="3341"/>
      <c r="P606" s="3341"/>
      <c r="Q606" s="3341"/>
      <c r="R606" s="3341"/>
      <c r="S606" s="3341"/>
      <c r="T606" s="3341"/>
      <c r="U606" s="3341"/>
      <c r="V606" s="3341"/>
      <c r="W606" s="3341"/>
      <c r="X606" s="3341"/>
      <c r="Y606" s="3341"/>
      <c r="Z606" s="3341"/>
      <c r="AA606" s="3341"/>
      <c r="AB606" s="2682">
        <f>+II!N35+II!N36</f>
        <v>271862458.928244</v>
      </c>
      <c r="AC606" s="2682"/>
      <c r="AD606" s="2682"/>
      <c r="AE606" s="2682"/>
      <c r="AF606" s="2682"/>
      <c r="AG606" s="2682"/>
      <c r="AH606" s="2682"/>
      <c r="AI606" s="3326"/>
      <c r="AJ606" s="2682">
        <f>+II!S35+II!S36</f>
        <v>398582501.385667</v>
      </c>
      <c r="AK606" s="2682"/>
      <c r="AL606" s="2682"/>
      <c r="AM606" s="2682"/>
      <c r="AN606" s="2682"/>
      <c r="AO606" s="2682"/>
      <c r="AP606" s="2682"/>
      <c r="AR606" s="3479"/>
    </row>
    <row r="607" s="3330" customFormat="1" spans="1:44">
      <c r="A607" s="3335"/>
      <c r="B607"/>
      <c r="C607" s="5097" t="s">
        <v>1972</v>
      </c>
      <c r="D607" s="3341"/>
      <c r="E607" s="3341"/>
      <c r="F607" s="3341"/>
      <c r="G607" s="3341"/>
      <c r="H607" s="3341"/>
      <c r="I607" s="3341"/>
      <c r="J607" s="3341"/>
      <c r="K607" s="3341"/>
      <c r="L607" s="3341"/>
      <c r="M607" s="3341"/>
      <c r="N607" s="3341"/>
      <c r="O607" s="3341"/>
      <c r="P607" s="3341"/>
      <c r="Q607" s="3341"/>
      <c r="R607" s="3341"/>
      <c r="S607" s="3341"/>
      <c r="T607" s="3341"/>
      <c r="U607" s="3341"/>
      <c r="V607" s="3341"/>
      <c r="W607" s="3341"/>
      <c r="X607" s="3341"/>
      <c r="Y607" s="3341"/>
      <c r="Z607" s="3341"/>
      <c r="AA607" s="3341"/>
      <c r="AB607" s="2682">
        <f>+II!N37</f>
        <v>208712130.190626</v>
      </c>
      <c r="AC607" s="2682"/>
      <c r="AD607" s="2682"/>
      <c r="AE607" s="2682"/>
      <c r="AF607" s="2682"/>
      <c r="AG607" s="2682"/>
      <c r="AH607" s="2682"/>
      <c r="AI607" s="3341"/>
      <c r="AJ607" s="2682">
        <f>+II!S37</f>
        <v>281981420.381672</v>
      </c>
      <c r="AK607" s="2682"/>
      <c r="AL607" s="2682"/>
      <c r="AM607" s="2682"/>
      <c r="AN607" s="2682"/>
      <c r="AO607" s="2682"/>
      <c r="AP607" s="2682"/>
      <c r="AR607" s="3479"/>
    </row>
    <row r="608" s="3330" customFormat="1" spans="1:44">
      <c r="A608" s="3335"/>
      <c r="B608"/>
      <c r="C608" s="5097" t="s">
        <v>1973</v>
      </c>
      <c r="D608" s="3341"/>
      <c r="E608" s="3341"/>
      <c r="F608" s="3341"/>
      <c r="G608" s="3341"/>
      <c r="H608" s="3341"/>
      <c r="I608" s="3341"/>
      <c r="J608" s="3341"/>
      <c r="K608" s="3341"/>
      <c r="L608" s="3341"/>
      <c r="M608" s="3341"/>
      <c r="N608" s="3341"/>
      <c r="O608" s="3341"/>
      <c r="P608" s="3341"/>
      <c r="Q608" s="3341"/>
      <c r="R608" s="3341"/>
      <c r="S608" s="3341"/>
      <c r="T608" s="3341"/>
      <c r="U608" s="3341"/>
      <c r="V608" s="3341"/>
      <c r="W608" s="3341"/>
      <c r="X608" s="3341"/>
      <c r="Y608" s="3341"/>
      <c r="Z608" s="3341"/>
      <c r="AA608" s="3341"/>
      <c r="AB608" s="2682">
        <f>+II!N38</f>
        <v>31891262.529166</v>
      </c>
      <c r="AC608" s="2682"/>
      <c r="AD608" s="2682"/>
      <c r="AE608" s="2682"/>
      <c r="AF608" s="2682"/>
      <c r="AG608" s="2682"/>
      <c r="AH608" s="2682"/>
      <c r="AI608" s="3341"/>
      <c r="AJ608" s="2682">
        <f>+II!S38</f>
        <v>56477696.8081792</v>
      </c>
      <c r="AK608" s="2682"/>
      <c r="AL608" s="2682"/>
      <c r="AM608" s="2682"/>
      <c r="AN608" s="2682"/>
      <c r="AO608" s="2682"/>
      <c r="AP608" s="2682"/>
      <c r="AR608" s="3479"/>
    </row>
    <row r="609" s="3330" customFormat="1" spans="1:44">
      <c r="A609" s="3335"/>
      <c r="B609"/>
      <c r="C609" s="5097" t="s">
        <v>1974</v>
      </c>
      <c r="D609" s="3341"/>
      <c r="E609" s="3341"/>
      <c r="F609" s="3341"/>
      <c r="G609" s="3341"/>
      <c r="H609" s="3341"/>
      <c r="I609" s="3341"/>
      <c r="J609" s="3341"/>
      <c r="K609" s="3341"/>
      <c r="L609" s="3341"/>
      <c r="M609" s="3341"/>
      <c r="N609" s="3341"/>
      <c r="O609" s="3341"/>
      <c r="P609" s="3341"/>
      <c r="Q609" s="3341"/>
      <c r="R609" s="3341"/>
      <c r="S609" s="3341"/>
      <c r="T609" s="3341"/>
      <c r="U609" s="3341"/>
      <c r="V609" s="3341"/>
      <c r="W609" s="3341"/>
      <c r="X609" s="3341"/>
      <c r="Y609" s="3341"/>
      <c r="Z609" s="3341"/>
      <c r="AA609" s="3341"/>
      <c r="AB609" s="2682">
        <f>+II!N39</f>
        <v>266153876.709388</v>
      </c>
      <c r="AC609" s="2682"/>
      <c r="AD609" s="2682"/>
      <c r="AE609" s="2682"/>
      <c r="AF609" s="2682"/>
      <c r="AG609" s="2682"/>
      <c r="AH609" s="2682"/>
      <c r="AI609" s="3341"/>
      <c r="AJ609" s="2682">
        <f>+II!S39</f>
        <v>339898740.279999</v>
      </c>
      <c r="AK609" s="2682"/>
      <c r="AL609" s="2682"/>
      <c r="AM609" s="2682"/>
      <c r="AN609" s="2682"/>
      <c r="AO609" s="2682"/>
      <c r="AP609" s="2682"/>
      <c r="AR609" s="3479"/>
    </row>
    <row r="610" s="3330" customFormat="1" hidden="1" spans="1:44">
      <c r="A610" s="3335"/>
      <c r="B610"/>
      <c r="C610" s="5097" t="s">
        <v>1975</v>
      </c>
      <c r="D610" s="3341"/>
      <c r="E610" s="3341"/>
      <c r="F610" s="3341"/>
      <c r="G610" s="3341"/>
      <c r="H610" s="3341"/>
      <c r="I610" s="3341"/>
      <c r="J610" s="3341"/>
      <c r="K610" s="3341"/>
      <c r="L610" s="3341"/>
      <c r="M610" s="3341"/>
      <c r="N610" s="3341"/>
      <c r="O610" s="3341"/>
      <c r="P610" s="3341"/>
      <c r="Q610" s="3341"/>
      <c r="R610" s="3341"/>
      <c r="S610" s="3341"/>
      <c r="T610" s="3341"/>
      <c r="U610" s="3341"/>
      <c r="V610" s="3341"/>
      <c r="W610" s="3341"/>
      <c r="X610" s="3341"/>
      <c r="Y610" s="3341"/>
      <c r="Z610" s="3341"/>
      <c r="AA610" s="3341"/>
      <c r="AB610" s="2682">
        <f>+II!N40</f>
        <v>0</v>
      </c>
      <c r="AC610" s="2682"/>
      <c r="AD610" s="2682"/>
      <c r="AE610" s="2682"/>
      <c r="AF610" s="2682"/>
      <c r="AG610" s="2682"/>
      <c r="AH610" s="2682"/>
      <c r="AI610" s="3341"/>
      <c r="AJ610" s="2682">
        <f>+II!S40</f>
        <v>0</v>
      </c>
      <c r="AK610" s="2682"/>
      <c r="AL610" s="2682"/>
      <c r="AM610" s="2682"/>
      <c r="AN610" s="2682"/>
      <c r="AO610" s="2682"/>
      <c r="AP610" s="2682"/>
      <c r="AR610" s="3479"/>
    </row>
    <row r="611" s="3330" customFormat="1" hidden="1" spans="1:44">
      <c r="A611" s="3335"/>
      <c r="B611"/>
      <c r="C611" s="5097" t="s">
        <v>1976</v>
      </c>
      <c r="D611" s="3341"/>
      <c r="E611" s="3341"/>
      <c r="F611" s="3341"/>
      <c r="G611" s="3341"/>
      <c r="H611" s="3341"/>
      <c r="I611" s="3341"/>
      <c r="J611" s="3341"/>
      <c r="K611" s="3341"/>
      <c r="L611" s="3341"/>
      <c r="M611" s="3341"/>
      <c r="N611" s="3341"/>
      <c r="O611" s="3341"/>
      <c r="P611" s="3341"/>
      <c r="Q611" s="3341"/>
      <c r="R611" s="3341"/>
      <c r="S611" s="3341"/>
      <c r="T611" s="3341"/>
      <c r="U611" s="3341"/>
      <c r="V611" s="3341"/>
      <c r="W611" s="3341"/>
      <c r="X611" s="3341"/>
      <c r="Y611" s="3341"/>
      <c r="Z611" s="3341"/>
      <c r="AA611" s="3341"/>
      <c r="AB611" s="2682">
        <f>+II!N41</f>
        <v>0</v>
      </c>
      <c r="AC611" s="2682"/>
      <c r="AD611" s="2682"/>
      <c r="AE611" s="2682"/>
      <c r="AF611" s="2682"/>
      <c r="AG611" s="2682"/>
      <c r="AH611" s="2682"/>
      <c r="AI611" s="3341"/>
      <c r="AJ611" s="2682">
        <f>+II!S41</f>
        <v>0</v>
      </c>
      <c r="AK611" s="2682"/>
      <c r="AL611" s="2682"/>
      <c r="AM611" s="2682"/>
      <c r="AN611" s="2682"/>
      <c r="AO611" s="2682"/>
      <c r="AP611" s="2682"/>
      <c r="AR611" s="3479"/>
    </row>
    <row r="612" s="3330" customFormat="1" hidden="1" spans="1:44">
      <c r="A612" s="3335"/>
      <c r="B612"/>
      <c r="C612" s="5097" t="s">
        <v>1977</v>
      </c>
      <c r="D612" s="3341"/>
      <c r="E612" s="3341"/>
      <c r="F612" s="3341"/>
      <c r="G612" s="3341"/>
      <c r="H612" s="3341"/>
      <c r="I612" s="3341"/>
      <c r="J612" s="3341"/>
      <c r="K612" s="3341"/>
      <c r="L612" s="3341"/>
      <c r="M612" s="3341"/>
      <c r="N612" s="3341"/>
      <c r="O612" s="3341"/>
      <c r="P612" s="3341"/>
      <c r="Q612" s="3341"/>
      <c r="R612" s="3341"/>
      <c r="S612" s="3341"/>
      <c r="T612" s="3341"/>
      <c r="U612" s="3341"/>
      <c r="V612" s="3341"/>
      <c r="W612" s="3341"/>
      <c r="X612" s="3341"/>
      <c r="Y612" s="3341"/>
      <c r="Z612" s="3341"/>
      <c r="AA612" s="3341"/>
      <c r="AB612" s="2682">
        <f>+II!N42</f>
        <v>0</v>
      </c>
      <c r="AC612" s="2682"/>
      <c r="AD612" s="2682"/>
      <c r="AE612" s="2682"/>
      <c r="AF612" s="2682"/>
      <c r="AG612" s="2682"/>
      <c r="AH612" s="2682"/>
      <c r="AI612" s="3341"/>
      <c r="AJ612" s="2682">
        <f>+II!S42</f>
        <v>0</v>
      </c>
      <c r="AK612" s="2682"/>
      <c r="AL612" s="2682"/>
      <c r="AM612" s="2682"/>
      <c r="AN612" s="2682"/>
      <c r="AO612" s="2682"/>
      <c r="AP612" s="2682"/>
      <c r="AR612" s="3479"/>
    </row>
    <row r="613" s="3330" customFormat="1" spans="1:44">
      <c r="A613" s="3335"/>
      <c r="B613"/>
      <c r="C613" s="5097" t="s">
        <v>1978</v>
      </c>
      <c r="D613" s="3341"/>
      <c r="E613" s="3341"/>
      <c r="F613" s="3341"/>
      <c r="G613" s="3341"/>
      <c r="H613" s="3341"/>
      <c r="I613" s="3341"/>
      <c r="J613" s="3341"/>
      <c r="K613" s="3341"/>
      <c r="L613" s="3341"/>
      <c r="M613" s="3341"/>
      <c r="N613" s="3341"/>
      <c r="O613" s="3341"/>
      <c r="P613" s="3341"/>
      <c r="Q613" s="3341"/>
      <c r="R613" s="3341"/>
      <c r="S613" s="3341"/>
      <c r="T613" s="3341"/>
      <c r="U613" s="3341"/>
      <c r="V613" s="3341"/>
      <c r="W613" s="3341"/>
      <c r="X613" s="3341"/>
      <c r="Y613" s="3341"/>
      <c r="Z613" s="3341"/>
      <c r="AA613" s="3341"/>
      <c r="AB613" s="2682">
        <f>+II!N43+II!N44</f>
        <v>423697764.581376</v>
      </c>
      <c r="AC613" s="2682"/>
      <c r="AD613" s="2682"/>
      <c r="AE613" s="2682"/>
      <c r="AF613" s="2682"/>
      <c r="AG613" s="2682"/>
      <c r="AH613" s="2682"/>
      <c r="AI613" s="3341"/>
      <c r="AJ613" s="2682">
        <f>+II!S43+II!S44+II!S45</f>
        <v>1311538854.66325</v>
      </c>
      <c r="AK613" s="2682"/>
      <c r="AL613" s="2682"/>
      <c r="AM613" s="2682"/>
      <c r="AN613" s="2682"/>
      <c r="AO613" s="2682"/>
      <c r="AP613" s="2682"/>
      <c r="AR613" s="3479"/>
    </row>
    <row r="614" s="3330" customFormat="1" ht="5.45" customHeight="1" spans="1:44">
      <c r="A614" s="3335"/>
      <c r="B614"/>
      <c r="C614" s="2921"/>
      <c r="D614" s="3341"/>
      <c r="E614" s="3341"/>
      <c r="F614" s="3341"/>
      <c r="G614" s="3341"/>
      <c r="H614" s="3341"/>
      <c r="I614" s="3341"/>
      <c r="J614" s="3341"/>
      <c r="K614" s="3341"/>
      <c r="L614" s="3341"/>
      <c r="M614" s="3341"/>
      <c r="N614" s="3341"/>
      <c r="O614" s="3341"/>
      <c r="P614" s="3341"/>
      <c r="Q614" s="3341"/>
      <c r="R614" s="3341"/>
      <c r="S614" s="3341"/>
      <c r="T614" s="3341"/>
      <c r="U614" s="3341"/>
      <c r="V614" s="3341"/>
      <c r="W614" s="3341"/>
      <c r="X614" s="3341"/>
      <c r="Y614" s="3341"/>
      <c r="Z614" s="3341"/>
      <c r="AA614" s="3341"/>
      <c r="AB614" s="3341"/>
      <c r="AC614" s="3341"/>
      <c r="AD614" s="3341"/>
      <c r="AE614" s="3341"/>
      <c r="AF614" s="3341"/>
      <c r="AG614" s="3341"/>
      <c r="AH614" s="3341"/>
      <c r="AI614" s="3341"/>
      <c r="AJ614" s="3341"/>
      <c r="AK614" s="3341"/>
      <c r="AL614" s="3341"/>
      <c r="AM614" s="3341"/>
      <c r="AN614" s="3341"/>
      <c r="AO614" s="3339"/>
      <c r="AP614" s="3339"/>
      <c r="AR614" s="3479"/>
    </row>
    <row r="615" s="3330" customFormat="1" spans="1:44">
      <c r="A615" s="3335"/>
      <c r="B615"/>
      <c r="C615" s="5097" t="s">
        <v>1979</v>
      </c>
      <c r="D615" s="3341"/>
      <c r="E615" s="3341"/>
      <c r="F615" s="3341"/>
      <c r="G615" s="3341"/>
      <c r="H615" s="3341"/>
      <c r="I615" s="3341"/>
      <c r="J615" s="3341"/>
      <c r="K615" s="3341"/>
      <c r="L615" s="3341"/>
      <c r="M615" s="3341"/>
      <c r="N615" s="3341"/>
      <c r="O615" s="3341"/>
      <c r="P615" s="3341"/>
      <c r="Q615" s="3341"/>
      <c r="R615" s="3341"/>
      <c r="S615" s="3341"/>
      <c r="T615" s="3341"/>
      <c r="U615" s="3341"/>
      <c r="V615" s="3341"/>
      <c r="W615" s="3341"/>
      <c r="X615" s="3341"/>
      <c r="Y615" s="3341"/>
      <c r="Z615" s="3341"/>
      <c r="AA615" s="3341"/>
      <c r="AB615" s="3518">
        <f>SUM(AB606:AH614)</f>
        <v>1202317492.9388</v>
      </c>
      <c r="AC615" s="3518"/>
      <c r="AD615" s="3518"/>
      <c r="AE615" s="3518"/>
      <c r="AF615" s="3518"/>
      <c r="AG615" s="3518"/>
      <c r="AH615" s="3518"/>
      <c r="AI615" s="3341"/>
      <c r="AJ615" s="3518">
        <f>SUM(AJ606:AP614)</f>
        <v>2388479213.51876</v>
      </c>
      <c r="AK615" s="3518"/>
      <c r="AL615" s="3518"/>
      <c r="AM615" s="3518"/>
      <c r="AN615" s="3518"/>
      <c r="AO615" s="3518"/>
      <c r="AP615" s="3518"/>
      <c r="AR615" s="3479"/>
    </row>
    <row r="616" s="3330" customFormat="1" spans="1:44">
      <c r="A616" s="3335"/>
      <c r="B616"/>
      <c r="C616" s="2921"/>
      <c r="D616" s="3341"/>
      <c r="E616" s="3341"/>
      <c r="F616" s="3341"/>
      <c r="G616" s="3341"/>
      <c r="H616" s="3341"/>
      <c r="I616" s="3341"/>
      <c r="J616" s="3341"/>
      <c r="K616" s="3341"/>
      <c r="L616" s="3341"/>
      <c r="M616" s="3341"/>
      <c r="N616" s="3341"/>
      <c r="O616" s="3341"/>
      <c r="P616" s="3341"/>
      <c r="Q616" s="3341"/>
      <c r="R616" s="3341"/>
      <c r="S616" s="3341"/>
      <c r="T616" s="3341"/>
      <c r="U616" s="3341"/>
      <c r="V616" s="3341"/>
      <c r="W616" s="3341"/>
      <c r="X616" s="3341"/>
      <c r="Y616" s="3341"/>
      <c r="Z616" s="3341"/>
      <c r="AA616" s="3341"/>
      <c r="AB616" s="2682"/>
      <c r="AC616" s="2682"/>
      <c r="AD616" s="2682"/>
      <c r="AE616" s="2682"/>
      <c r="AF616" s="2682"/>
      <c r="AG616" s="2682"/>
      <c r="AH616" s="2682"/>
      <c r="AI616" s="3341"/>
      <c r="AJ616" s="2682"/>
      <c r="AK616" s="2682"/>
      <c r="AL616" s="2682"/>
      <c r="AM616" s="2682"/>
      <c r="AN616" s="2682"/>
      <c r="AO616" s="2682"/>
      <c r="AP616" s="2682"/>
      <c r="AR616" s="3479"/>
    </row>
    <row r="617" s="3330" customFormat="1" ht="11.1" customHeight="1" spans="1:44">
      <c r="A617" s="3335"/>
      <c r="B617"/>
      <c r="C617" s="5044" t="s">
        <v>1980</v>
      </c>
      <c r="D617" s="3341"/>
      <c r="E617" s="3341"/>
      <c r="F617" s="3341"/>
      <c r="G617" s="3341"/>
      <c r="H617" s="3341"/>
      <c r="I617" s="3341"/>
      <c r="J617" s="3341"/>
      <c r="K617" s="3341"/>
      <c r="L617" s="3341"/>
      <c r="M617" s="3341"/>
      <c r="N617" s="3341"/>
      <c r="O617" s="3341"/>
      <c r="P617" s="3341"/>
      <c r="Q617" s="3341"/>
      <c r="R617" s="3341"/>
      <c r="S617" s="3341"/>
      <c r="T617" s="3341"/>
      <c r="U617" s="3341"/>
      <c r="V617" s="3341"/>
      <c r="W617" s="3341"/>
      <c r="X617" s="3341"/>
      <c r="Y617" s="3341"/>
      <c r="Z617" s="3341"/>
      <c r="AA617" s="3341"/>
      <c r="AB617" s="3496"/>
      <c r="AC617" s="3497"/>
      <c r="AD617" s="3497"/>
      <c r="AE617" s="3497"/>
      <c r="AF617" s="3497"/>
      <c r="AG617" s="3497"/>
      <c r="AH617" s="3497"/>
      <c r="AI617" s="64"/>
      <c r="AJ617" s="3496"/>
      <c r="AK617" s="3497"/>
      <c r="AL617" s="3497"/>
      <c r="AM617" s="3497"/>
      <c r="AN617" s="3497"/>
      <c r="AO617" s="3497"/>
      <c r="AP617" s="3497"/>
      <c r="AR617" s="3479"/>
    </row>
    <row r="618" s="3330" customFormat="1" customHeight="1" spans="1:44">
      <c r="A618" s="3335"/>
      <c r="B618"/>
      <c r="C618" s="5044" t="s">
        <v>1981</v>
      </c>
      <c r="D618" s="3341"/>
      <c r="E618" s="3341"/>
      <c r="F618" s="3341"/>
      <c r="G618" s="3341"/>
      <c r="H618" s="3341"/>
      <c r="I618" s="3341"/>
      <c r="J618" s="3341"/>
      <c r="K618" s="3341"/>
      <c r="L618" s="3341"/>
      <c r="M618" s="3341"/>
      <c r="N618" s="3341"/>
      <c r="O618" s="3341"/>
      <c r="P618" s="3341"/>
      <c r="Q618" s="3341"/>
      <c r="R618" s="3341"/>
      <c r="S618" s="3341"/>
      <c r="T618" s="3341"/>
      <c r="U618" s="3341"/>
      <c r="V618" s="3341"/>
      <c r="W618" s="3341"/>
      <c r="X618" s="3341"/>
      <c r="Y618" s="3341"/>
      <c r="Z618" s="3341"/>
      <c r="AA618" s="3341"/>
      <c r="AB618" s="2682">
        <f>+II!Q14</f>
        <v>1202317492.9388</v>
      </c>
      <c r="AC618" s="2682"/>
      <c r="AD618" s="2682"/>
      <c r="AE618" s="2682"/>
      <c r="AF618" s="2682"/>
      <c r="AG618" s="2682"/>
      <c r="AH618" s="2682"/>
      <c r="AI618" s="3326"/>
      <c r="AJ618" s="2682">
        <f>+II!R14</f>
        <v>2388479213.51876</v>
      </c>
      <c r="AK618" s="2682"/>
      <c r="AL618" s="2682"/>
      <c r="AM618" s="2682"/>
      <c r="AN618" s="2682"/>
      <c r="AO618" s="2682"/>
      <c r="AP618" s="2682"/>
      <c r="AR618" s="3479"/>
    </row>
    <row r="619" s="3330" customFormat="1" customHeight="1" spans="1:44">
      <c r="A619" s="3335"/>
      <c r="B619"/>
      <c r="C619" s="3509" t="s">
        <v>1982</v>
      </c>
      <c r="D619" s="3510"/>
      <c r="E619" s="3510"/>
      <c r="F619" s="3510"/>
      <c r="G619" s="3510"/>
      <c r="H619" s="3510"/>
      <c r="I619" s="3510"/>
      <c r="J619" s="3510"/>
      <c r="K619" s="3510"/>
      <c r="L619" s="3510"/>
      <c r="M619" s="3510"/>
      <c r="N619" s="3510"/>
      <c r="O619" s="3341"/>
      <c r="P619" s="3341"/>
      <c r="Q619" s="3341"/>
      <c r="R619" s="3341"/>
      <c r="S619" s="3341"/>
      <c r="T619" s="3341"/>
      <c r="U619" s="3341"/>
      <c r="V619" s="3341"/>
      <c r="W619" s="3341"/>
      <c r="X619" s="3341"/>
      <c r="Y619" s="3341"/>
      <c r="Z619" s="3341"/>
      <c r="AA619" s="3341"/>
      <c r="AB619" s="3341"/>
      <c r="AC619" s="3341"/>
      <c r="AD619" s="3341"/>
      <c r="AE619" s="3341"/>
      <c r="AF619" s="3341"/>
      <c r="AG619" s="3341"/>
      <c r="AH619" s="3341"/>
      <c r="AI619" s="3341"/>
      <c r="AJ619" s="3341"/>
      <c r="AK619" s="3341"/>
      <c r="AL619" s="3341"/>
      <c r="AM619" s="3341"/>
      <c r="AN619" s="3341"/>
      <c r="AO619" s="3339"/>
      <c r="AP619" s="3339"/>
      <c r="AR619" s="3479"/>
    </row>
    <row r="620" s="3330" customFormat="1" customHeight="1" spans="1:44">
      <c r="A620" s="3335"/>
      <c r="B620"/>
      <c r="C620" s="3330" t="s">
        <v>778</v>
      </c>
      <c r="D620" s="3341"/>
      <c r="E620" s="3341"/>
      <c r="F620" s="3341"/>
      <c r="G620" s="3341"/>
      <c r="H620" s="3341"/>
      <c r="I620" s="3341"/>
      <c r="J620" s="3341"/>
      <c r="K620" s="3341"/>
      <c r="L620" s="3341"/>
      <c r="M620" s="3341"/>
      <c r="N620" s="3341"/>
      <c r="O620" s="3341"/>
      <c r="P620" s="3341"/>
      <c r="Q620" s="3341"/>
      <c r="R620" s="3341"/>
      <c r="S620" s="3341"/>
      <c r="T620" s="3341"/>
      <c r="U620" s="3341"/>
      <c r="V620" s="3341"/>
      <c r="W620" s="3341"/>
      <c r="X620" s="3341"/>
      <c r="Y620" s="3341"/>
      <c r="Z620" s="3341"/>
      <c r="AA620" s="3341"/>
      <c r="AB620" s="2682">
        <f>+II!Q16</f>
        <v>778392443.790393</v>
      </c>
      <c r="AC620" s="2682"/>
      <c r="AD620" s="2682"/>
      <c r="AE620" s="2682"/>
      <c r="AF620" s="2682"/>
      <c r="AG620" s="2682"/>
      <c r="AH620" s="2682"/>
      <c r="AI620" s="3326"/>
      <c r="AJ620" s="2682">
        <f>+II!R16</f>
        <v>1186161720.57996</v>
      </c>
      <c r="AK620" s="2682"/>
      <c r="AL620" s="2682"/>
      <c r="AM620" s="2682"/>
      <c r="AN620" s="2682"/>
      <c r="AO620" s="2682"/>
      <c r="AP620" s="2682"/>
      <c r="AR620" s="3479"/>
    </row>
    <row r="621" s="3330" customFormat="1" ht="5.25" customHeight="1" spans="1:44">
      <c r="A621" s="3335"/>
      <c r="B621"/>
      <c r="C621"/>
      <c r="D621"/>
      <c r="E621"/>
      <c r="F621"/>
      <c r="G621"/>
      <c r="H621"/>
      <c r="I621"/>
      <c r="J621"/>
      <c r="K621"/>
      <c r="L621"/>
      <c r="M621"/>
      <c r="N621"/>
      <c r="O621"/>
      <c r="P621"/>
      <c r="Q621"/>
      <c r="R621"/>
      <c r="S621"/>
      <c r="T621"/>
      <c r="U621"/>
      <c r="V621"/>
      <c r="W621"/>
      <c r="X621"/>
      <c r="Y621"/>
      <c r="Z621"/>
      <c r="AA621"/>
      <c r="AR621" s="3479"/>
    </row>
    <row r="622" s="3330" customFormat="1" customHeight="1" spans="1:44">
      <c r="A622" s="3335"/>
      <c r="B622"/>
      <c r="C622" s="3322" t="s">
        <v>1983</v>
      </c>
      <c r="D622"/>
      <c r="E622"/>
      <c r="F622"/>
      <c r="G622"/>
      <c r="H622"/>
      <c r="I622"/>
      <c r="J622"/>
      <c r="K622"/>
      <c r="L622"/>
      <c r="M622"/>
      <c r="N622"/>
      <c r="O622"/>
      <c r="P622"/>
      <c r="Q622"/>
      <c r="R622"/>
      <c r="S622"/>
      <c r="T622"/>
      <c r="U622"/>
      <c r="V622"/>
      <c r="W622"/>
      <c r="X622"/>
      <c r="Y622"/>
      <c r="Z622"/>
      <c r="AA622"/>
      <c r="AB622" s="3436">
        <f>AB618-AB620</f>
        <v>423925049.148408</v>
      </c>
      <c r="AC622" s="3436"/>
      <c r="AD622" s="3436"/>
      <c r="AE622" s="3436"/>
      <c r="AF622" s="3436"/>
      <c r="AG622" s="3436"/>
      <c r="AH622" s="3436"/>
      <c r="AI622" s="3464"/>
      <c r="AJ622" s="3436">
        <f>AJ618-AJ620</f>
        <v>1202317492.9388</v>
      </c>
      <c r="AK622" s="3436"/>
      <c r="AL622" s="3436"/>
      <c r="AM622" s="3436"/>
      <c r="AN622" s="3436"/>
      <c r="AO622" s="3436"/>
      <c r="AP622" s="3436"/>
      <c r="AR622" s="3479"/>
    </row>
    <row r="623" s="3330" customFormat="1" customHeight="1" spans="1:44">
      <c r="A623" s="3335"/>
      <c r="B623"/>
      <c r="C623" s="3322"/>
      <c r="D623"/>
      <c r="E623"/>
      <c r="F623"/>
      <c r="G623"/>
      <c r="H623"/>
      <c r="I623"/>
      <c r="J623"/>
      <c r="K623"/>
      <c r="L623"/>
      <c r="M623"/>
      <c r="N623"/>
      <c r="O623"/>
      <c r="P623"/>
      <c r="Q623"/>
      <c r="R623"/>
      <c r="S623"/>
      <c r="T623"/>
      <c r="U623"/>
      <c r="V623"/>
      <c r="W623"/>
      <c r="X623"/>
      <c r="Y623"/>
      <c r="Z623"/>
      <c r="AA623"/>
      <c r="AB623" s="2912"/>
      <c r="AC623" s="2912"/>
      <c r="AD623" s="2912"/>
      <c r="AE623" s="2912"/>
      <c r="AF623" s="2912"/>
      <c r="AG623" s="2912"/>
      <c r="AH623" s="2912"/>
      <c r="AI623" s="3464"/>
      <c r="AJ623" s="2912"/>
      <c r="AK623" s="2912"/>
      <c r="AL623" s="2912"/>
      <c r="AM623" s="2912"/>
      <c r="AN623" s="2912"/>
      <c r="AO623" s="2912"/>
      <c r="AP623" s="2912"/>
      <c r="AR623" s="3479"/>
    </row>
    <row r="624" s="3330" customFormat="1" ht="35.1" customHeight="1" spans="1:44">
      <c r="A624" s="3335"/>
      <c r="B624"/>
      <c r="C624" s="5036" t="s">
        <v>1984</v>
      </c>
      <c r="D624" s="3341"/>
      <c r="E624" s="3341"/>
      <c r="F624" s="3341"/>
      <c r="G624" s="3341"/>
      <c r="H624" s="3341"/>
      <c r="I624" s="3341"/>
      <c r="J624" s="3341"/>
      <c r="K624" s="3341"/>
      <c r="L624" s="3341"/>
      <c r="M624" s="3341"/>
      <c r="N624" s="3341"/>
      <c r="O624" s="3341"/>
      <c r="P624" s="3341"/>
      <c r="Q624" s="3341"/>
      <c r="R624" s="3341"/>
      <c r="S624" s="3341"/>
      <c r="T624" s="3341"/>
      <c r="U624" s="3341"/>
      <c r="V624" s="3341"/>
      <c r="W624" s="3341"/>
      <c r="X624" s="3341"/>
      <c r="Y624" s="3341"/>
      <c r="Z624" s="3341"/>
      <c r="AA624" s="3341"/>
      <c r="AB624" s="3341"/>
      <c r="AC624" s="3341"/>
      <c r="AD624" s="3341"/>
      <c r="AE624" s="3341"/>
      <c r="AF624" s="3341"/>
      <c r="AG624" s="3341"/>
      <c r="AH624" s="3341"/>
      <c r="AI624" s="3341"/>
      <c r="AJ624" s="3341"/>
      <c r="AK624" s="3341"/>
      <c r="AL624" s="3341"/>
      <c r="AM624" s="3341"/>
      <c r="AN624" s="3341"/>
      <c r="AO624" s="3339"/>
      <c r="AP624" s="3339"/>
      <c r="AR624" s="3479"/>
    </row>
    <row r="625" s="3330" customFormat="1" customHeight="1" spans="1:44">
      <c r="A625" s="3335"/>
      <c r="B625"/>
      <c r="C625" s="3322"/>
      <c r="D625"/>
      <c r="E625"/>
      <c r="F625"/>
      <c r="G625"/>
      <c r="H625"/>
      <c r="I625"/>
      <c r="J625"/>
      <c r="K625"/>
      <c r="L625"/>
      <c r="M625"/>
      <c r="N625"/>
      <c r="O625"/>
      <c r="P625"/>
      <c r="Q625"/>
      <c r="R625"/>
      <c r="S625"/>
      <c r="T625"/>
      <c r="U625"/>
      <c r="V625"/>
      <c r="W625"/>
      <c r="X625"/>
      <c r="Y625"/>
      <c r="Z625"/>
      <c r="AA625"/>
      <c r="AB625" s="2912"/>
      <c r="AC625" s="2912"/>
      <c r="AD625" s="2912"/>
      <c r="AE625" s="2912"/>
      <c r="AF625" s="2912"/>
      <c r="AG625" s="2912"/>
      <c r="AH625" s="2912"/>
      <c r="AI625" s="3464"/>
      <c r="AJ625" s="2912"/>
      <c r="AK625" s="2912"/>
      <c r="AL625" s="2912"/>
      <c r="AM625" s="2912"/>
      <c r="AN625" s="2912"/>
      <c r="AO625" s="2912"/>
      <c r="AP625" s="2912"/>
      <c r="AR625" s="3479"/>
    </row>
    <row r="626" s="3330" customFormat="1" spans="1:44">
      <c r="A626" s="3335">
        <f>A600+1</f>
        <v>14</v>
      </c>
      <c r="B626"/>
      <c r="C626" s="3322" t="s">
        <v>1985</v>
      </c>
      <c r="D626"/>
      <c r="E626"/>
      <c r="F626"/>
      <c r="G626"/>
      <c r="H626"/>
      <c r="I626"/>
      <c r="J626"/>
      <c r="K626"/>
      <c r="L626"/>
      <c r="M626"/>
      <c r="N626"/>
      <c r="O626"/>
      <c r="P626"/>
      <c r="Q626"/>
      <c r="R626"/>
      <c r="S626"/>
      <c r="T626"/>
      <c r="U626"/>
      <c r="V626"/>
      <c r="W626"/>
      <c r="X626"/>
      <c r="Y626"/>
      <c r="Z626"/>
      <c r="AA626"/>
      <c r="AR626" s="3331"/>
    </row>
    <row r="627" s="3330" customFormat="1" ht="9.2" customHeight="1" spans="1:44">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L627" s="3326"/>
      <c r="AQ627" s="3326"/>
      <c r="AR627" s="3331"/>
    </row>
    <row r="628" s="3330" customFormat="1" customHeight="1" spans="1:44">
      <c r="A628"/>
      <c r="B628"/>
      <c r="C628" s="5044" t="s">
        <v>1986</v>
      </c>
      <c r="D628"/>
      <c r="E628"/>
      <c r="F628"/>
      <c r="G628"/>
      <c r="H628"/>
      <c r="I628"/>
      <c r="J628"/>
      <c r="K628"/>
      <c r="L628"/>
      <c r="M628"/>
      <c r="N628"/>
      <c r="O628"/>
      <c r="P628"/>
      <c r="Q628"/>
      <c r="R628"/>
      <c r="S628"/>
      <c r="T628"/>
      <c r="U628"/>
      <c r="V628"/>
      <c r="W628"/>
      <c r="X628"/>
      <c r="Y628"/>
      <c r="Z628"/>
      <c r="AA628"/>
      <c r="AB628"/>
      <c r="AC628"/>
      <c r="AD628"/>
      <c r="AE628"/>
      <c r="AF628"/>
      <c r="AG628"/>
      <c r="AH628"/>
      <c r="AL628" s="3326"/>
      <c r="AQ628" s="3326"/>
      <c r="AR628" s="3331"/>
    </row>
    <row r="629" s="3330" customFormat="1" ht="8.25" customHeight="1" spans="1:44">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L629" s="3326"/>
      <c r="AQ629" s="3326"/>
      <c r="AR629" s="3331"/>
    </row>
    <row r="630" s="3330" customFormat="1" customHeight="1" spans="1:44">
      <c r="A630"/>
      <c r="B630"/>
      <c r="C630" s="94" t="s">
        <v>1987</v>
      </c>
      <c r="D630"/>
      <c r="E630"/>
      <c r="F630"/>
      <c r="G630"/>
      <c r="H630"/>
      <c r="I630"/>
      <c r="J630"/>
      <c r="K630"/>
      <c r="L630"/>
      <c r="M630"/>
      <c r="N630"/>
      <c r="O630"/>
      <c r="P630"/>
      <c r="Q630"/>
      <c r="R630"/>
      <c r="S630"/>
      <c r="T630"/>
      <c r="U630"/>
      <c r="V630"/>
      <c r="W630"/>
      <c r="X630"/>
      <c r="Y630"/>
      <c r="Z630"/>
      <c r="AA630"/>
      <c r="AB630" s="3359">
        <f>+AB604</f>
        <v>2021</v>
      </c>
      <c r="AC630" s="3360"/>
      <c r="AD630" s="3360"/>
      <c r="AE630" s="3360"/>
      <c r="AF630" s="3360"/>
      <c r="AG630" s="3360"/>
      <c r="AH630" s="3360"/>
      <c r="AI630" s="64"/>
      <c r="AJ630" s="3359">
        <f>+AJ604</f>
        <v>2020</v>
      </c>
      <c r="AK630" s="3360"/>
      <c r="AL630" s="3360"/>
      <c r="AM630" s="3360"/>
      <c r="AN630" s="3360"/>
      <c r="AO630" s="3360"/>
      <c r="AP630" s="3360"/>
      <c r="AQ630" s="3326"/>
      <c r="AR630" s="3331"/>
    </row>
    <row r="631" s="3330" customFormat="1" spans="1:44">
      <c r="A631"/>
      <c r="B631"/>
      <c r="C631" s="3338" t="s">
        <v>1176</v>
      </c>
      <c r="D631"/>
      <c r="E631"/>
      <c r="F631"/>
      <c r="G631"/>
      <c r="H631"/>
      <c r="I631"/>
      <c r="J631"/>
      <c r="K631"/>
      <c r="L631"/>
      <c r="M631"/>
      <c r="N631"/>
      <c r="O631"/>
      <c r="P631"/>
      <c r="Q631"/>
      <c r="R631"/>
      <c r="S631"/>
      <c r="T631"/>
      <c r="U631"/>
      <c r="V631"/>
      <c r="W631"/>
      <c r="X631"/>
      <c r="Y631"/>
      <c r="Z631"/>
      <c r="AA631" s="3335"/>
      <c r="AB631">
        <f>+DD!Q14</f>
        <v>2145000000</v>
      </c>
      <c r="AC631"/>
      <c r="AD631"/>
      <c r="AE631"/>
      <c r="AF631"/>
      <c r="AG631"/>
      <c r="AH631"/>
      <c r="AI631" s="3335"/>
      <c r="AJ631" s="93">
        <f>+DD!R14</f>
        <v>2145000000</v>
      </c>
      <c r="AK631" s="93"/>
      <c r="AL631" s="93"/>
      <c r="AM631" s="93"/>
      <c r="AN631" s="93"/>
      <c r="AO631" s="93"/>
      <c r="AP631" s="93"/>
      <c r="AQ631" s="3326"/>
      <c r="AR631" s="3331"/>
    </row>
    <row r="632" s="3330" customFormat="1" hidden="1" spans="1:44">
      <c r="A632"/>
      <c r="B632"/>
      <c r="C632" s="3338" t="s">
        <v>1988</v>
      </c>
      <c r="D632"/>
      <c r="E632"/>
      <c r="F632"/>
      <c r="G632"/>
      <c r="I632"/>
      <c r="J632"/>
      <c r="K632"/>
      <c r="L632"/>
      <c r="M632"/>
      <c r="N632"/>
      <c r="O632"/>
      <c r="P632"/>
      <c r="Q632"/>
      <c r="R632"/>
      <c r="S632"/>
      <c r="T632"/>
      <c r="U632"/>
      <c r="V632"/>
      <c r="W632"/>
      <c r="X632"/>
      <c r="Y632"/>
      <c r="Z632"/>
      <c r="AA632" s="3335"/>
      <c r="AB632">
        <f>+DD!Q15</f>
        <v>0</v>
      </c>
      <c r="AC632"/>
      <c r="AD632"/>
      <c r="AE632"/>
      <c r="AF632"/>
      <c r="AG632"/>
      <c r="AH632"/>
      <c r="AI632" s="3335"/>
      <c r="AJ632" s="93">
        <f>+DD!R15</f>
        <v>0</v>
      </c>
      <c r="AK632" s="93"/>
      <c r="AL632" s="93"/>
      <c r="AM632" s="93"/>
      <c r="AN632" s="93"/>
      <c r="AO632" s="93"/>
      <c r="AP632" s="93"/>
      <c r="AQ632" s="3326"/>
      <c r="AR632" s="3331"/>
    </row>
    <row r="633" s="3330" customFormat="1" spans="1:44">
      <c r="A633"/>
      <c r="B633"/>
      <c r="C633" s="3338" t="s">
        <v>1989</v>
      </c>
      <c r="D633"/>
      <c r="E633"/>
      <c r="F633"/>
      <c r="G633"/>
      <c r="I633"/>
      <c r="J633"/>
      <c r="K633"/>
      <c r="L633"/>
      <c r="M633"/>
      <c r="N633"/>
      <c r="O633"/>
      <c r="P633"/>
      <c r="Q633"/>
      <c r="R633"/>
      <c r="S633"/>
      <c r="T633"/>
      <c r="U633"/>
      <c r="V633"/>
      <c r="W633"/>
      <c r="X633"/>
      <c r="Y633"/>
      <c r="Z633"/>
      <c r="AA633" s="3335"/>
      <c r="AB633">
        <f>+DD!Q16</f>
        <v>0</v>
      </c>
      <c r="AC633"/>
      <c r="AD633"/>
      <c r="AE633"/>
      <c r="AF633"/>
      <c r="AG633"/>
      <c r="AH633"/>
      <c r="AI633" s="3335"/>
      <c r="AJ633" s="93">
        <f>+DD!R16+DD!R17</f>
        <v>844000000</v>
      </c>
      <c r="AK633" s="93"/>
      <c r="AL633" s="93"/>
      <c r="AM633" s="93"/>
      <c r="AN633" s="93"/>
      <c r="AO633" s="93"/>
      <c r="AP633" s="93"/>
      <c r="AQ633" s="3326"/>
      <c r="AR633" s="3331"/>
    </row>
    <row r="634" s="3330" customFormat="1" ht="4.5" customHeight="1" spans="1:4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2919"/>
      <c r="AC634" s="2919"/>
      <c r="AD634" s="2919"/>
      <c r="AE634" s="2919"/>
      <c r="AF634" s="2919"/>
      <c r="AG634" s="2919"/>
      <c r="AH634" s="2919"/>
      <c r="AI634" s="3520"/>
      <c r="AJ634" s="2919"/>
      <c r="AK634" s="2919"/>
      <c r="AL634" s="2919"/>
      <c r="AM634" s="2919"/>
      <c r="AN634" s="2919"/>
      <c r="AO634" s="2919"/>
      <c r="AP634" s="2919"/>
      <c r="AQ634" s="3326"/>
      <c r="AR634" s="3331"/>
    </row>
    <row r="635" s="3330" customFormat="1" spans="1:49">
      <c r="A635" s="64"/>
      <c r="B635" s="64"/>
      <c r="C635" s="3511" t="s">
        <v>1990</v>
      </c>
      <c r="D635" s="94"/>
      <c r="E635" s="94"/>
      <c r="F635" s="94"/>
      <c r="G635" s="94"/>
      <c r="H635" s="94"/>
      <c r="I635" s="94"/>
      <c r="J635" s="94"/>
      <c r="K635" s="94"/>
      <c r="L635" s="94"/>
      <c r="M635" s="94"/>
      <c r="N635" s="94"/>
      <c r="O635" s="94"/>
      <c r="P635" s="94"/>
      <c r="Q635" s="94"/>
      <c r="R635" s="94"/>
      <c r="S635" s="94"/>
      <c r="T635" s="94"/>
      <c r="U635" s="94"/>
      <c r="V635" s="94"/>
      <c r="W635" s="94"/>
      <c r="X635" s="94"/>
      <c r="Y635" s="94"/>
      <c r="Z635" s="94"/>
      <c r="AA635" s="94"/>
      <c r="AB635" s="94">
        <f>SUM(AB631:AH634)</f>
        <v>2145000000</v>
      </c>
      <c r="AC635" s="94"/>
      <c r="AD635" s="94"/>
      <c r="AE635" s="94"/>
      <c r="AF635" s="94"/>
      <c r="AG635" s="94"/>
      <c r="AH635" s="94"/>
      <c r="AI635" s="3520"/>
      <c r="AJ635" s="94">
        <f>SUM(AJ631:AP634)</f>
        <v>2989000000</v>
      </c>
      <c r="AK635" s="94"/>
      <c r="AL635" s="94"/>
      <c r="AM635" s="94"/>
      <c r="AN635" s="94"/>
      <c r="AO635" s="94"/>
      <c r="AP635" s="94"/>
      <c r="AQ635" s="2623">
        <f>+AJ635-DD!R19</f>
        <v>0</v>
      </c>
      <c r="AR635" s="2623"/>
      <c r="AS635" s="2623"/>
      <c r="AT635" s="2623"/>
      <c r="AU635" s="2623"/>
      <c r="AV635" s="2623"/>
      <c r="AW635" s="2623"/>
    </row>
    <row r="636" s="3330" customFormat="1" ht="9.2" customHeight="1" spans="1:49">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I636" s="3335"/>
      <c r="AQ636" s="2623">
        <f>+AB635-DD!Q19</f>
        <v>0</v>
      </c>
      <c r="AR636" s="2623"/>
      <c r="AS636" s="2623"/>
      <c r="AT636" s="2623"/>
      <c r="AU636" s="2623"/>
      <c r="AV636" s="2623"/>
      <c r="AW636" s="2623"/>
    </row>
    <row r="637" s="3330" customFormat="1" spans="1:44">
      <c r="A637" s="3335"/>
      <c r="B637"/>
      <c r="C637" s="94" t="s">
        <v>1991</v>
      </c>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c r="AG637" s="64"/>
      <c r="AH637" s="64"/>
      <c r="AI637" s="64"/>
      <c r="AJ637" s="64"/>
      <c r="AK637" s="64"/>
      <c r="AL637" s="64"/>
      <c r="AM637" s="64"/>
      <c r="AN637" s="64"/>
      <c r="AO637" s="64"/>
      <c r="AP637" s="64"/>
      <c r="AQ637" s="64"/>
      <c r="AR637" s="3479"/>
    </row>
    <row r="638" s="3330" customFormat="1" hidden="1" spans="1:49">
      <c r="A638" s="3335"/>
      <c r="B638"/>
      <c r="C638" s="5044" t="s">
        <v>1992</v>
      </c>
      <c r="D638" s="3341"/>
      <c r="E638" s="3341"/>
      <c r="F638" s="3341"/>
      <c r="G638" s="3341"/>
      <c r="H638" s="3341"/>
      <c r="I638" s="3341"/>
      <c r="J638" s="3341"/>
      <c r="K638" s="3341"/>
      <c r="L638" s="3341"/>
      <c r="M638" s="3341"/>
      <c r="N638" s="3341"/>
      <c r="O638" s="3341"/>
      <c r="P638" s="3341"/>
      <c r="Q638" s="3341"/>
      <c r="R638" s="3341"/>
      <c r="S638" s="3341"/>
      <c r="T638" s="3341"/>
      <c r="U638" s="3341"/>
      <c r="V638" s="3341"/>
      <c r="W638" s="3341"/>
      <c r="X638" s="3341"/>
      <c r="Y638" s="3341"/>
      <c r="Z638" s="3341"/>
      <c r="AA638" s="3341"/>
      <c r="AB638" s="2682">
        <f>+DD!Q22</f>
        <v>0</v>
      </c>
      <c r="AC638" s="2682"/>
      <c r="AD638" s="2682"/>
      <c r="AE638" s="2682"/>
      <c r="AF638" s="2682"/>
      <c r="AG638" s="2682"/>
      <c r="AH638" s="2682"/>
      <c r="AI638" s="3326"/>
      <c r="AJ638" s="2682">
        <f>+DD!R22</f>
        <v>0</v>
      </c>
      <c r="AK638" s="2682"/>
      <c r="AL638" s="2682"/>
      <c r="AM638" s="2682"/>
      <c r="AN638" s="2682"/>
      <c r="AO638" s="2682"/>
      <c r="AP638" s="2682"/>
      <c r="AQ638" s="3326"/>
      <c r="AR638" s="64"/>
      <c r="AS638" s="64"/>
      <c r="AT638" s="64"/>
      <c r="AU638" s="64"/>
      <c r="AV638" s="64"/>
      <c r="AW638" s="64"/>
    </row>
    <row r="639" s="3330" customFormat="1" hidden="1" spans="1:44">
      <c r="A639" s="3335"/>
      <c r="B639"/>
      <c r="C639" s="5044" t="s">
        <v>1993</v>
      </c>
      <c r="AB639" s="2682">
        <f>+DD!Q23</f>
        <v>0</v>
      </c>
      <c r="AC639" s="2682"/>
      <c r="AD639" s="2682"/>
      <c r="AE639" s="2682"/>
      <c r="AF639" s="2682"/>
      <c r="AG639" s="2682"/>
      <c r="AH639" s="2682"/>
      <c r="AJ639" s="2682">
        <f>+DD!R23</f>
        <v>0</v>
      </c>
      <c r="AK639" s="2682"/>
      <c r="AL639" s="2682"/>
      <c r="AM639" s="2682"/>
      <c r="AN639" s="2682"/>
      <c r="AO639" s="2682"/>
      <c r="AP639" s="2682"/>
      <c r="AQ639" s="3326"/>
      <c r="AR639" s="3479"/>
    </row>
    <row r="640" s="3330" customFormat="1" customHeight="1" spans="1:44">
      <c r="A640" s="3335"/>
      <c r="B640"/>
      <c r="C640" s="5044" t="s">
        <v>1994</v>
      </c>
      <c r="D640" s="3341"/>
      <c r="E640" s="3341"/>
      <c r="F640" s="3341"/>
      <c r="G640" s="3341"/>
      <c r="H640" s="3341"/>
      <c r="I640" s="3341"/>
      <c r="J640" s="3341"/>
      <c r="K640" s="3341"/>
      <c r="L640" s="3341"/>
      <c r="M640" s="3341"/>
      <c r="N640" s="3341"/>
      <c r="O640" s="3341"/>
      <c r="P640" s="3341"/>
      <c r="Q640" s="3341"/>
      <c r="R640" s="3341"/>
      <c r="S640" s="3341"/>
      <c r="T640" s="3341"/>
      <c r="U640" s="3341"/>
      <c r="V640" s="3341"/>
      <c r="W640" s="3341"/>
      <c r="X640" s="3341"/>
      <c r="Y640" s="3341"/>
      <c r="Z640" s="3341"/>
      <c r="AA640" s="3341"/>
      <c r="AB640" s="2682">
        <f>+DD!Q24</f>
        <v>19929512400.0357</v>
      </c>
      <c r="AC640" s="2682"/>
      <c r="AD640" s="2682"/>
      <c r="AE640" s="2682"/>
      <c r="AF640" s="2682"/>
      <c r="AG640" s="2682"/>
      <c r="AH640" s="2682"/>
      <c r="AI640" s="3326"/>
      <c r="AJ640" s="2682">
        <f>+DD!R24</f>
        <v>21778127642.9259</v>
      </c>
      <c r="AK640" s="2682"/>
      <c r="AL640" s="2682"/>
      <c r="AM640" s="2682"/>
      <c r="AN640" s="2682"/>
      <c r="AO640" s="2682"/>
      <c r="AP640" s="2682"/>
      <c r="AQ640" s="3326"/>
      <c r="AR640" s="3479"/>
    </row>
    <row r="641" s="3330" customFormat="1" ht="11.4" spans="3:44">
      <c r="C641" s="5044" t="s">
        <v>1995</v>
      </c>
      <c r="AB641" s="2682">
        <f>+DD!Q25+DD!Q26</f>
        <v>838597000</v>
      </c>
      <c r="AC641" s="2682"/>
      <c r="AD641" s="2682"/>
      <c r="AE641" s="2682"/>
      <c r="AF641" s="2682"/>
      <c r="AG641" s="2682"/>
      <c r="AH641" s="2682"/>
      <c r="AI641" s="3326"/>
      <c r="AJ641" s="2682">
        <f>+DD!R25</f>
        <v>459940000</v>
      </c>
      <c r="AK641" s="2682"/>
      <c r="AL641" s="2682"/>
      <c r="AM641" s="2682"/>
      <c r="AN641" s="2682"/>
      <c r="AO641" s="2682"/>
      <c r="AP641" s="2682"/>
      <c r="AQ641" s="3326"/>
      <c r="AR641" s="3479"/>
    </row>
    <row r="642" s="3330" customFormat="1" ht="11.4" spans="3:44">
      <c r="C642"/>
      <c r="AQ642" s="3326"/>
      <c r="AR642" s="3479"/>
    </row>
    <row r="643" s="3330" customFormat="1" customHeight="1" spans="3:49">
      <c r="C643" s="3322" t="s">
        <v>1996</v>
      </c>
      <c r="D643"/>
      <c r="E643"/>
      <c r="F643"/>
      <c r="G643"/>
      <c r="H643"/>
      <c r="I643"/>
      <c r="J643"/>
      <c r="K643"/>
      <c r="L643"/>
      <c r="M643"/>
      <c r="N643"/>
      <c r="O643"/>
      <c r="P643"/>
      <c r="Q643"/>
      <c r="R643"/>
      <c r="S643"/>
      <c r="T643"/>
      <c r="U643"/>
      <c r="V643"/>
      <c r="W643"/>
      <c r="X643"/>
      <c r="Y643"/>
      <c r="Z643"/>
      <c r="AA643"/>
      <c r="AB643" s="3324">
        <f>SUM(AB638:AH642)</f>
        <v>20768109400.0357</v>
      </c>
      <c r="AC643" s="3324"/>
      <c r="AD643" s="3324"/>
      <c r="AE643" s="3324"/>
      <c r="AF643" s="3324"/>
      <c r="AG643" s="3324"/>
      <c r="AH643" s="3324"/>
      <c r="AI643" s="3464"/>
      <c r="AJ643" s="3324">
        <f>SUM(AJ638:AP642)</f>
        <v>22238067642.9259</v>
      </c>
      <c r="AK643" s="3324"/>
      <c r="AL643" s="3324"/>
      <c r="AM643" s="3324"/>
      <c r="AN643" s="3324"/>
      <c r="AO643" s="3324"/>
      <c r="AP643" s="3324"/>
      <c r="AQ643" s="2635">
        <f>+AB643-DD!Q27</f>
        <v>0</v>
      </c>
      <c r="AR643" s="2635"/>
      <c r="AS643" s="2635"/>
      <c r="AT643" s="2635"/>
      <c r="AU643" s="2635"/>
      <c r="AV643" s="2635"/>
      <c r="AW643" s="2635"/>
    </row>
    <row r="644" s="3330" customFormat="1" customHeight="1" spans="3:49">
      <c r="C644" s="3322"/>
      <c r="D644"/>
      <c r="E644"/>
      <c r="F644"/>
      <c r="G644"/>
      <c r="H644"/>
      <c r="I644"/>
      <c r="J644"/>
      <c r="K644"/>
      <c r="L644"/>
      <c r="M644"/>
      <c r="N644"/>
      <c r="O644"/>
      <c r="P644"/>
      <c r="Q644"/>
      <c r="R644"/>
      <c r="S644"/>
      <c r="T644"/>
      <c r="U644"/>
      <c r="V644"/>
      <c r="W644"/>
      <c r="X644"/>
      <c r="Y644"/>
      <c r="Z644"/>
      <c r="AA644"/>
      <c r="AQ644" s="2635">
        <f>+AJ643-DD!R27</f>
        <v>0</v>
      </c>
      <c r="AR644" s="2635"/>
      <c r="AS644" s="2635"/>
      <c r="AT644" s="2635"/>
      <c r="AU644" s="2635"/>
      <c r="AV644" s="2635"/>
      <c r="AW644" s="2635"/>
    </row>
    <row r="645" s="3330" customFormat="1" customHeight="1" spans="3:44">
      <c r="C645" s="3322"/>
      <c r="D645"/>
      <c r="E645"/>
      <c r="F645"/>
      <c r="G645"/>
      <c r="H645"/>
      <c r="I645"/>
      <c r="J645"/>
      <c r="K645"/>
      <c r="L645"/>
      <c r="M645"/>
      <c r="N645"/>
      <c r="O645"/>
      <c r="P645"/>
      <c r="Q645"/>
      <c r="R645"/>
      <c r="S645"/>
      <c r="T645"/>
      <c r="U645"/>
      <c r="V645"/>
      <c r="W645"/>
      <c r="X645"/>
      <c r="Y645"/>
      <c r="Z645"/>
      <c r="AA645"/>
      <c r="AB645"/>
      <c r="AC645"/>
      <c r="AD645"/>
      <c r="AE645"/>
      <c r="AF645"/>
      <c r="AG645"/>
      <c r="AH645"/>
      <c r="AI645" s="3464"/>
      <c r="AJ645"/>
      <c r="AK645"/>
      <c r="AL645"/>
      <c r="AM645"/>
      <c r="AN645"/>
      <c r="AO645"/>
      <c r="AP645"/>
      <c r="AQ645" s="3326"/>
      <c r="AR645" s="3479"/>
    </row>
    <row r="646" s="3330" customFormat="1" ht="23.45" customHeight="1" spans="3:44">
      <c r="C646" s="5059" t="s">
        <v>1997</v>
      </c>
      <c r="D646" s="2104"/>
      <c r="E646" s="2104"/>
      <c r="F646" s="2104"/>
      <c r="G646" s="2104"/>
      <c r="H646" s="2104"/>
      <c r="I646" s="2104"/>
      <c r="J646" s="2104"/>
      <c r="K646" s="2104"/>
      <c r="L646" s="2104"/>
      <c r="M646" s="2104"/>
      <c r="N646" s="2104"/>
      <c r="O646" s="2104"/>
      <c r="P646" s="2104"/>
      <c r="Q646" s="2104"/>
      <c r="R646" s="2104"/>
      <c r="S646" s="2104"/>
      <c r="T646" s="2104"/>
      <c r="U646" s="2104"/>
      <c r="V646" s="2104"/>
      <c r="W646" s="2104"/>
      <c r="X646" s="2104"/>
      <c r="Y646" s="2104"/>
      <c r="Z646" s="2104"/>
      <c r="AA646" s="2104"/>
      <c r="AB646" s="2104"/>
      <c r="AC646" s="2104"/>
      <c r="AD646" s="2104"/>
      <c r="AE646" s="2104"/>
      <c r="AF646" s="2104"/>
      <c r="AG646" s="2104"/>
      <c r="AH646" s="2104"/>
      <c r="AI646" s="2104"/>
      <c r="AJ646" s="2104"/>
      <c r="AK646" s="2104"/>
      <c r="AL646" s="2104"/>
      <c r="AM646" s="2104"/>
      <c r="AN646" s="2104"/>
      <c r="AO646" s="2104"/>
      <c r="AP646" s="2104"/>
      <c r="AQ646" s="64"/>
      <c r="AR646" s="3479"/>
    </row>
    <row r="647" s="3330" customFormat="1" ht="8.1" customHeight="1" spans="3:44">
      <c r="C647" s="3322"/>
      <c r="D647"/>
      <c r="E647"/>
      <c r="F647"/>
      <c r="G647"/>
      <c r="H647"/>
      <c r="I647"/>
      <c r="J647"/>
      <c r="K647"/>
      <c r="L647"/>
      <c r="M647"/>
      <c r="N647"/>
      <c r="O647"/>
      <c r="P647"/>
      <c r="Q647"/>
      <c r="R647"/>
      <c r="S647"/>
      <c r="T647"/>
      <c r="U647"/>
      <c r="V647"/>
      <c r="W647"/>
      <c r="X647"/>
      <c r="Y647"/>
      <c r="Z647"/>
      <c r="AA647"/>
      <c r="AB647"/>
      <c r="AC647"/>
      <c r="AD647"/>
      <c r="AE647"/>
      <c r="AF647"/>
      <c r="AG647"/>
      <c r="AH647"/>
      <c r="AI647" s="3464"/>
      <c r="AJ647"/>
      <c r="AK647"/>
      <c r="AL647"/>
      <c r="AM647"/>
      <c r="AN647"/>
      <c r="AO647"/>
      <c r="AP647"/>
      <c r="AQ647" s="64"/>
      <c r="AR647" s="3479"/>
    </row>
    <row r="648" s="3330" customFormat="1" ht="24.95" hidden="1" customHeight="1" spans="3:44">
      <c r="C648" s="5059" t="s">
        <v>1998</v>
      </c>
      <c r="D648" s="2104"/>
      <c r="E648" s="2104"/>
      <c r="F648" s="2104"/>
      <c r="G648" s="2104"/>
      <c r="H648" s="2104"/>
      <c r="I648" s="2104"/>
      <c r="J648" s="2104"/>
      <c r="K648" s="2104"/>
      <c r="L648" s="2104"/>
      <c r="M648" s="2104"/>
      <c r="N648" s="2104"/>
      <c r="O648" s="2104"/>
      <c r="P648" s="2104"/>
      <c r="Q648" s="2104"/>
      <c r="R648" s="2104"/>
      <c r="S648" s="2104"/>
      <c r="T648" s="2104"/>
      <c r="U648" s="2104"/>
      <c r="V648" s="2104"/>
      <c r="W648" s="2104"/>
      <c r="X648" s="2104"/>
      <c r="Y648" s="2104"/>
      <c r="Z648" s="2104"/>
      <c r="AA648" s="2104"/>
      <c r="AB648" s="2104"/>
      <c r="AC648" s="2104"/>
      <c r="AD648" s="2104"/>
      <c r="AE648" s="2104"/>
      <c r="AF648" s="2104"/>
      <c r="AG648" s="2104"/>
      <c r="AH648" s="2104"/>
      <c r="AI648" s="2104"/>
      <c r="AJ648" s="2104"/>
      <c r="AK648" s="2104"/>
      <c r="AL648" s="2104"/>
      <c r="AM648" s="2104"/>
      <c r="AN648" s="2104"/>
      <c r="AO648" s="2104"/>
      <c r="AP648" s="2104"/>
      <c r="AQ648" s="64"/>
      <c r="AR648" s="3479"/>
    </row>
    <row r="649" s="3330" customFormat="1" ht="1.5" customHeight="1" spans="3:44">
      <c r="C649" s="3322"/>
      <c r="D649"/>
      <c r="E649"/>
      <c r="F649"/>
      <c r="G649"/>
      <c r="H649"/>
      <c r="I649"/>
      <c r="J649"/>
      <c r="K649"/>
      <c r="L649"/>
      <c r="M649"/>
      <c r="N649"/>
      <c r="O649"/>
      <c r="P649"/>
      <c r="Q649"/>
      <c r="R649"/>
      <c r="S649"/>
      <c r="T649"/>
      <c r="U649"/>
      <c r="V649"/>
      <c r="W649"/>
      <c r="X649"/>
      <c r="Y649"/>
      <c r="Z649"/>
      <c r="AA649"/>
      <c r="AB649"/>
      <c r="AC649"/>
      <c r="AD649"/>
      <c r="AE649"/>
      <c r="AF649"/>
      <c r="AG649"/>
      <c r="AH649"/>
      <c r="AI649" s="3464"/>
      <c r="AJ649"/>
      <c r="AK649"/>
      <c r="AL649"/>
      <c r="AM649"/>
      <c r="AN649"/>
      <c r="AO649"/>
      <c r="AP649"/>
      <c r="AQ649" s="64"/>
      <c r="AR649" s="3479"/>
    </row>
    <row r="650" s="3330" customFormat="1" ht="25.5" customHeight="1" spans="3:44">
      <c r="C650" s="5059" t="s">
        <v>1999</v>
      </c>
      <c r="D650" s="2104"/>
      <c r="E650" s="2104"/>
      <c r="F650" s="2104"/>
      <c r="G650" s="2104"/>
      <c r="H650" s="2104"/>
      <c r="I650" s="2104"/>
      <c r="J650" s="2104"/>
      <c r="K650" s="2104"/>
      <c r="L650" s="2104"/>
      <c r="M650" s="2104"/>
      <c r="N650" s="2104"/>
      <c r="O650" s="2104"/>
      <c r="P650" s="2104"/>
      <c r="Q650" s="2104"/>
      <c r="R650" s="2104"/>
      <c r="S650" s="2104"/>
      <c r="T650" s="2104"/>
      <c r="U650" s="2104"/>
      <c r="V650" s="2104"/>
      <c r="W650" s="2104"/>
      <c r="X650" s="2104"/>
      <c r="Y650" s="2104"/>
      <c r="Z650" s="2104"/>
      <c r="AA650" s="2104"/>
      <c r="AB650" s="2104"/>
      <c r="AC650" s="2104"/>
      <c r="AD650" s="2104"/>
      <c r="AE650" s="2104"/>
      <c r="AF650" s="2104"/>
      <c r="AG650" s="2104"/>
      <c r="AH650" s="2104"/>
      <c r="AI650" s="2104"/>
      <c r="AJ650" s="2104"/>
      <c r="AK650" s="2104"/>
      <c r="AL650" s="2104"/>
      <c r="AM650" s="2104"/>
      <c r="AN650" s="2104"/>
      <c r="AO650" s="2104"/>
      <c r="AP650" s="2104"/>
      <c r="AQ650" s="64"/>
      <c r="AR650" s="3479"/>
    </row>
    <row r="651" s="3330" customFormat="1" ht="17.45" customHeight="1" spans="3:44">
      <c r="C651" s="3322"/>
      <c r="D651"/>
      <c r="E651"/>
      <c r="F651"/>
      <c r="G651"/>
      <c r="H651"/>
      <c r="I651"/>
      <c r="J651"/>
      <c r="K651"/>
      <c r="L651"/>
      <c r="M651"/>
      <c r="N651"/>
      <c r="O651"/>
      <c r="P651"/>
      <c r="Q651"/>
      <c r="R651"/>
      <c r="S651"/>
      <c r="T651"/>
      <c r="U651"/>
      <c r="V651"/>
      <c r="W651"/>
      <c r="X651"/>
      <c r="Y651"/>
      <c r="Z651"/>
      <c r="AA651"/>
      <c r="AB651"/>
      <c r="AC651"/>
      <c r="AD651"/>
      <c r="AE651"/>
      <c r="AF651"/>
      <c r="AG651"/>
      <c r="AH651"/>
      <c r="AI651" s="3464"/>
      <c r="AJ651"/>
      <c r="AK651"/>
      <c r="AL651"/>
      <c r="AM651"/>
      <c r="AN651"/>
      <c r="AO651"/>
      <c r="AP651"/>
      <c r="AQ651" s="64"/>
      <c r="AR651" s="3479"/>
    </row>
    <row r="652" s="3330" customFormat="1" customHeight="1" spans="1:44">
      <c r="A652" s="3335">
        <f>A626+1</f>
        <v>15</v>
      </c>
      <c r="B652"/>
      <c r="C652" s="3322" t="s">
        <v>2000</v>
      </c>
      <c r="AR652" s="3479"/>
    </row>
    <row r="653" s="3330" customFormat="1" ht="9.2" customHeight="1" spans="44:44">
      <c r="AR653" s="3479"/>
    </row>
    <row r="654" s="3330" customFormat="1" ht="24.95" customHeight="1" spans="3:44">
      <c r="C654" s="5059" t="s">
        <v>2001</v>
      </c>
      <c r="D654" s="2104"/>
      <c r="E654" s="2104"/>
      <c r="F654" s="2104"/>
      <c r="G654" s="2104"/>
      <c r="H654" s="2104"/>
      <c r="I654" s="2104"/>
      <c r="J654" s="2104"/>
      <c r="K654" s="2104"/>
      <c r="L654" s="2104"/>
      <c r="M654" s="2104"/>
      <c r="N654" s="2104"/>
      <c r="O654" s="2104"/>
      <c r="P654" s="2104"/>
      <c r="Q654" s="2104"/>
      <c r="R654" s="2104"/>
      <c r="S654" s="2104"/>
      <c r="T654" s="2104"/>
      <c r="U654" s="2104"/>
      <c r="V654" s="2104"/>
      <c r="W654" s="2104"/>
      <c r="X654" s="2104"/>
      <c r="Y654" s="2104"/>
      <c r="Z654" s="2104"/>
      <c r="AA654" s="2104"/>
      <c r="AB654" s="2104"/>
      <c r="AC654" s="2104"/>
      <c r="AD654" s="2104"/>
      <c r="AE654" s="2104"/>
      <c r="AF654" s="2104"/>
      <c r="AG654" s="2104"/>
      <c r="AH654" s="2104"/>
      <c r="AI654" s="2104"/>
      <c r="AJ654" s="2104"/>
      <c r="AK654" s="2104"/>
      <c r="AL654" s="2104"/>
      <c r="AM654" s="2104"/>
      <c r="AN654" s="2104"/>
      <c r="AO654" s="2104"/>
      <c r="AP654" s="2104"/>
      <c r="AR654" s="3479"/>
    </row>
    <row r="655" s="3330" customFormat="1" ht="9.2" customHeight="1" spans="1:52">
      <c r="A655" s="3326"/>
      <c r="B655" s="3326"/>
      <c r="C655" s="3326"/>
      <c r="D655" s="3326"/>
      <c r="E655" s="3326"/>
      <c r="F655" s="3326"/>
      <c r="G655" s="3326"/>
      <c r="H655" s="3326"/>
      <c r="I655" s="3326"/>
      <c r="J655" s="3326"/>
      <c r="K655" s="3326"/>
      <c r="L655" s="3326"/>
      <c r="M655" s="3326"/>
      <c r="N655" s="3326"/>
      <c r="O655" s="3326"/>
      <c r="P655" s="3326"/>
      <c r="Q655" s="3326"/>
      <c r="R655" s="3326"/>
      <c r="S655" s="3326"/>
      <c r="T655" s="3326"/>
      <c r="U655" s="3326"/>
      <c r="V655" s="3326"/>
      <c r="W655" s="3326"/>
      <c r="X655" s="3326"/>
      <c r="Y655" s="3326"/>
      <c r="Z655" s="3326"/>
      <c r="AA655" s="3326"/>
      <c r="AB655"/>
      <c r="AC655" s="3326"/>
      <c r="AD655" s="3326"/>
      <c r="AE655" s="3326"/>
      <c r="AF655" s="3326"/>
      <c r="AG655" s="3326"/>
      <c r="AH655" s="3326"/>
      <c r="AI655" s="64"/>
      <c r="AJ655" s="64"/>
      <c r="AL655" s="3326"/>
      <c r="AM655" s="3326"/>
      <c r="AN655" s="64"/>
      <c r="AO655" s="64"/>
      <c r="AP655" s="3326"/>
      <c r="AR655" s="3479"/>
      <c r="AT655">
        <f>+GG!AH3</f>
        <v>0</v>
      </c>
      <c r="AU655"/>
      <c r="AV655"/>
      <c r="AW655"/>
      <c r="AX655"/>
      <c r="AY655"/>
      <c r="AZ655"/>
    </row>
    <row r="656" s="3330" customFormat="1" customHeight="1" spans="3:44">
      <c r="C656" s="5044" t="s">
        <v>2002</v>
      </c>
      <c r="AB656" s="93">
        <f>AJ660</f>
        <v>110000000</v>
      </c>
      <c r="AC656" s="93"/>
      <c r="AD656" s="93"/>
      <c r="AE656" s="93"/>
      <c r="AF656" s="93"/>
      <c r="AG656" s="93"/>
      <c r="AH656" s="93"/>
      <c r="AI656" s="3341"/>
      <c r="AJ656" s="2682">
        <f>+'F2'!R31</f>
        <v>110000000</v>
      </c>
      <c r="AK656" s="2682"/>
      <c r="AL656" s="2682"/>
      <c r="AM656" s="2682"/>
      <c r="AN656" s="2682"/>
      <c r="AO656" s="2682"/>
      <c r="AP656" s="2682"/>
      <c r="AR656" s="3479"/>
    </row>
    <row r="657" s="3330" customFormat="1" customHeight="1" spans="3:44">
      <c r="C657" s="5044" t="s">
        <v>2003</v>
      </c>
      <c r="AB657" s="93">
        <f>z!I13</f>
        <v>0</v>
      </c>
      <c r="AC657" s="93"/>
      <c r="AD657" s="93"/>
      <c r="AE657" s="93"/>
      <c r="AF657" s="93"/>
      <c r="AG657" s="93"/>
      <c r="AH657" s="93"/>
      <c r="AI657" s="3341"/>
      <c r="AJ657" s="2682">
        <v>0</v>
      </c>
      <c r="AK657" s="2682"/>
      <c r="AL657" s="2682"/>
      <c r="AM657" s="2682"/>
      <c r="AN657" s="2682"/>
      <c r="AO657" s="2682"/>
      <c r="AP657" s="2682"/>
      <c r="AR657" s="3479"/>
    </row>
    <row r="658" s="3330" customFormat="1" customHeight="1" spans="3:44">
      <c r="C658" t="s">
        <v>2004</v>
      </c>
      <c r="AB658">
        <f>-z!H17</f>
        <v>0</v>
      </c>
      <c r="AC658"/>
      <c r="AD658"/>
      <c r="AE658"/>
      <c r="AF658"/>
      <c r="AG658"/>
      <c r="AH658"/>
      <c r="AI658" s="3341"/>
      <c r="AJ658">
        <v>0</v>
      </c>
      <c r="AK658"/>
      <c r="AL658"/>
      <c r="AM658"/>
      <c r="AN658"/>
      <c r="AO658"/>
      <c r="AP658"/>
      <c r="AR658" s="3479"/>
    </row>
    <row r="659" s="3330" customFormat="1" ht="4.5" customHeight="1" spans="3:44">
      <c r="C659"/>
      <c r="AB659"/>
      <c r="AC659"/>
      <c r="AD659"/>
      <c r="AE659"/>
      <c r="AF659"/>
      <c r="AG659"/>
      <c r="AH659"/>
      <c r="AI659" s="3341"/>
      <c r="AJ659"/>
      <c r="AK659"/>
      <c r="AL659"/>
      <c r="AM659"/>
      <c r="AN659"/>
      <c r="AO659"/>
      <c r="AP659"/>
      <c r="AR659" s="3479"/>
    </row>
    <row r="660" s="3330" customFormat="1" customHeight="1" spans="3:44">
      <c r="C660" t="s">
        <v>1030</v>
      </c>
      <c r="D660" s="3512"/>
      <c r="E660" s="3512"/>
      <c r="F660" s="3512"/>
      <c r="G660" s="3512"/>
      <c r="H660" s="3512"/>
      <c r="I660" s="3512"/>
      <c r="J660" s="3512"/>
      <c r="K660" s="3512"/>
      <c r="L660" s="3512"/>
      <c r="M660" s="3512"/>
      <c r="N660" s="3512"/>
      <c r="O660" s="3512"/>
      <c r="P660" s="3512"/>
      <c r="Q660" s="3512"/>
      <c r="R660" s="3512"/>
      <c r="S660" s="3512"/>
      <c r="T660" s="3512"/>
      <c r="U660" s="3512"/>
      <c r="V660" s="3512"/>
      <c r="W660" s="3512"/>
      <c r="X660" s="3512"/>
      <c r="Y660" s="3512"/>
      <c r="Z660" s="3512"/>
      <c r="AA660" s="3512"/>
      <c r="AB660" s="3436">
        <f>SUM(AB656:AH658)</f>
        <v>110000000</v>
      </c>
      <c r="AC660" s="3436"/>
      <c r="AD660" s="3436"/>
      <c r="AE660" s="3436"/>
      <c r="AF660" s="3436"/>
      <c r="AG660" s="3436"/>
      <c r="AH660" s="3436"/>
      <c r="AI660" s="3512"/>
      <c r="AJ660" s="3324">
        <f>SUM(AJ656:AP658)</f>
        <v>110000000</v>
      </c>
      <c r="AK660" s="3324"/>
      <c r="AL660" s="3324"/>
      <c r="AM660" s="3324"/>
      <c r="AN660" s="3324"/>
      <c r="AO660" s="3324"/>
      <c r="AP660" s="3324"/>
      <c r="AR660" s="3479"/>
    </row>
    <row r="661" s="3330" customFormat="1" ht="12.15" spans="44:44">
      <c r="AR661" s="3479"/>
    </row>
    <row r="662" s="3330" customFormat="1" hidden="1" customHeight="1" spans="1:44">
      <c r="A662" s="3335">
        <f>A652+1</f>
        <v>16</v>
      </c>
      <c r="B662"/>
      <c r="C662" s="3322" t="e">
        <f>UPPER(#REF!)</f>
        <v>#REF!</v>
      </c>
      <c r="D662"/>
      <c r="E662"/>
      <c r="F662"/>
      <c r="G662"/>
      <c r="H662"/>
      <c r="I662"/>
      <c r="J662"/>
      <c r="K662"/>
      <c r="L662"/>
      <c r="M662"/>
      <c r="N662"/>
      <c r="O662"/>
      <c r="P662"/>
      <c r="Q662"/>
      <c r="R662"/>
      <c r="S662"/>
      <c r="T662"/>
      <c r="U662"/>
      <c r="V662"/>
      <c r="W662"/>
      <c r="X662"/>
      <c r="Y662"/>
      <c r="Z662"/>
      <c r="AA662"/>
      <c r="AR662" s="3479"/>
    </row>
    <row r="663" s="3330" customFormat="1" ht="24.6" hidden="1" customHeight="1" spans="3:43">
      <c r="C663" s="5059" t="s">
        <v>2005</v>
      </c>
      <c r="D663" s="2104"/>
      <c r="E663" s="2104"/>
      <c r="F663" s="2104"/>
      <c r="G663" s="2104"/>
      <c r="H663" s="2104"/>
      <c r="I663" s="2104"/>
      <c r="J663" s="2104"/>
      <c r="K663" s="2104"/>
      <c r="L663" s="2104"/>
      <c r="M663" s="2104"/>
      <c r="N663" s="2104"/>
      <c r="O663" s="2104"/>
      <c r="P663" s="2104"/>
      <c r="Q663" s="2104"/>
      <c r="R663" s="2104"/>
      <c r="S663" s="2104"/>
      <c r="T663" s="2104"/>
      <c r="U663" s="2104"/>
      <c r="V663" s="2104"/>
      <c r="W663" s="2104"/>
      <c r="X663" s="2104"/>
      <c r="Y663" s="2104"/>
      <c r="Z663" s="2104"/>
      <c r="AA663" s="2104"/>
      <c r="AB663" s="2104"/>
      <c r="AC663" s="2104"/>
      <c r="AD663" s="2104"/>
      <c r="AE663" s="2104"/>
      <c r="AF663" s="2104"/>
      <c r="AG663" s="2104"/>
      <c r="AH663" s="2104"/>
      <c r="AI663" s="2104"/>
      <c r="AJ663" s="2104"/>
      <c r="AK663" s="2104"/>
      <c r="AL663" s="2104"/>
      <c r="AM663" s="2104"/>
      <c r="AN663" s="2104"/>
      <c r="AO663" s="2104"/>
      <c r="AP663" s="2104"/>
      <c r="AQ663"/>
    </row>
    <row r="664" s="3330" customFormat="1" ht="9.2" hidden="1" customHeight="1" spans="3:43">
      <c r="C664" s="2104"/>
      <c r="D664" s="2104"/>
      <c r="E664" s="2104"/>
      <c r="F664" s="2104"/>
      <c r="G664" s="2104"/>
      <c r="H664" s="2104"/>
      <c r="I664" s="2104"/>
      <c r="J664" s="2104"/>
      <c r="K664" s="2104"/>
      <c r="L664" s="2104"/>
      <c r="M664" s="2104"/>
      <c r="N664" s="2104"/>
      <c r="O664" s="2104"/>
      <c r="P664" s="2104"/>
      <c r="Q664" s="2104"/>
      <c r="R664" s="2104"/>
      <c r="S664" s="2104"/>
      <c r="T664" s="2104"/>
      <c r="U664" s="2104"/>
      <c r="V664" s="2104"/>
      <c r="W664" s="2104"/>
      <c r="X664" s="2104"/>
      <c r="Y664" s="2104"/>
      <c r="Z664" s="2104"/>
      <c r="AA664" s="2104"/>
      <c r="AB664" s="2104"/>
      <c r="AC664" s="2104"/>
      <c r="AD664" s="2104"/>
      <c r="AE664" s="2104"/>
      <c r="AF664" s="2104"/>
      <c r="AG664" s="2104"/>
      <c r="AH664" s="2104"/>
      <c r="AI664" s="2104"/>
      <c r="AJ664" s="2104"/>
      <c r="AK664" s="2104"/>
      <c r="AL664" s="2104"/>
      <c r="AM664" s="2104"/>
      <c r="AN664" s="2104"/>
      <c r="AO664" s="2104"/>
      <c r="AP664" s="2104"/>
      <c r="AQ664"/>
    </row>
    <row r="665" s="3330" customFormat="1" ht="11.4" hidden="1" spans="3:49">
      <c r="C665" s="5044" t="str">
        <f>+GG!B13</f>
        <v>HUTANG KE BPRS (A/N Suherman Jaminan Tanah Batam)</v>
      </c>
      <c r="D665" s="3341"/>
      <c r="E665" s="3341"/>
      <c r="F665" s="3341"/>
      <c r="G665" s="3341"/>
      <c r="H665" s="3341"/>
      <c r="I665" s="3341"/>
      <c r="J665" s="3341"/>
      <c r="K665" s="3341"/>
      <c r="L665" s="3341"/>
      <c r="M665" s="3341"/>
      <c r="N665" s="3341"/>
      <c r="O665" s="3341"/>
      <c r="P665" s="3341"/>
      <c r="Q665" s="3341"/>
      <c r="R665" s="3341"/>
      <c r="S665" s="3341"/>
      <c r="T665" s="3341"/>
      <c r="U665" s="3341"/>
      <c r="V665" s="3341"/>
      <c r="W665" s="3341"/>
      <c r="X665" s="3341"/>
      <c r="Y665" s="3341"/>
      <c r="Z665" s="3341"/>
      <c r="AA665" s="3341"/>
      <c r="AB665">
        <f>+GG!P13</f>
        <v>0</v>
      </c>
      <c r="AC665"/>
      <c r="AD665"/>
      <c r="AE665"/>
      <c r="AF665"/>
      <c r="AG665"/>
      <c r="AH665"/>
      <c r="AI665" s="3341"/>
      <c r="AJ665">
        <f>+GG!X13</f>
        <v>0</v>
      </c>
      <c r="AK665"/>
      <c r="AL665"/>
      <c r="AM665"/>
      <c r="AN665"/>
      <c r="AO665"/>
      <c r="AP665"/>
      <c r="AQ665"/>
      <c r="AR665"/>
      <c r="AS665"/>
      <c r="AT665" s="64"/>
      <c r="AU665" s="64"/>
      <c r="AV665" s="64"/>
      <c r="AW665" s="64"/>
    </row>
    <row r="666" s="3330" customFormat="1" ht="11.4" hidden="1" spans="3:49">
      <c r="C666" s="5044" t="str">
        <f>+GG!B14</f>
        <v>HUTANG KE BPRS (A/N Bambang (BPKB Pajero Yundai Ranger yus, Livina Guna)</v>
      </c>
      <c r="D666" s="3341"/>
      <c r="E666" s="3341"/>
      <c r="F666" s="3341"/>
      <c r="G666" s="3341"/>
      <c r="H666" s="3341"/>
      <c r="I666" s="3341"/>
      <c r="J666" s="3341"/>
      <c r="K666" s="3341"/>
      <c r="L666" s="3341"/>
      <c r="M666" s="3341"/>
      <c r="N666" s="3341"/>
      <c r="O666" s="3341"/>
      <c r="P666" s="3341"/>
      <c r="Q666" s="3341"/>
      <c r="R666" s="3341"/>
      <c r="S666" s="3341"/>
      <c r="T666" s="3341"/>
      <c r="U666" s="3341"/>
      <c r="V666" s="3341"/>
      <c r="W666" s="3341"/>
      <c r="X666" s="3341"/>
      <c r="Y666" s="3341"/>
      <c r="Z666" s="3341"/>
      <c r="AA666" s="3341"/>
      <c r="AB666">
        <f>+GG!P14</f>
        <v>0</v>
      </c>
      <c r="AC666"/>
      <c r="AD666"/>
      <c r="AE666"/>
      <c r="AF666"/>
      <c r="AG666"/>
      <c r="AH666"/>
      <c r="AI666" s="3341"/>
      <c r="AJ666">
        <f>+GG!X14</f>
        <v>0</v>
      </c>
      <c r="AK666"/>
      <c r="AL666"/>
      <c r="AM666"/>
      <c r="AN666"/>
      <c r="AO666"/>
      <c r="AP666"/>
      <c r="AQ666"/>
      <c r="AR666" s="64"/>
      <c r="AS666"/>
      <c r="AT666" s="64"/>
      <c r="AU666" s="64"/>
      <c r="AV666" s="64"/>
      <c r="AW666" s="64"/>
    </row>
    <row r="667" s="3330" customFormat="1" ht="4.5" hidden="1" customHeight="1" spans="3:43">
      <c r="C667"/>
      <c r="D667"/>
      <c r="E667"/>
      <c r="F667"/>
      <c r="G667"/>
      <c r="H667"/>
      <c r="I667"/>
      <c r="J667"/>
      <c r="K667"/>
      <c r="L667"/>
      <c r="M667"/>
      <c r="N667"/>
      <c r="O667"/>
      <c r="P667"/>
      <c r="Q667"/>
      <c r="R667"/>
      <c r="S667"/>
      <c r="T667"/>
      <c r="U667"/>
      <c r="V667"/>
      <c r="W667"/>
      <c r="X667"/>
      <c r="Y667"/>
      <c r="Z667"/>
      <c r="AA667"/>
      <c r="AB667"/>
      <c r="AC667"/>
      <c r="AD667"/>
      <c r="AE667"/>
      <c r="AF667"/>
      <c r="AG667"/>
      <c r="AH667"/>
      <c r="AQ667"/>
    </row>
    <row r="668" s="3330" customFormat="1" hidden="1" customHeight="1" spans="3:43">
      <c r="C668" s="3322" t="s">
        <v>2006</v>
      </c>
      <c r="D668"/>
      <c r="E668"/>
      <c r="F668"/>
      <c r="G668"/>
      <c r="H668"/>
      <c r="I668"/>
      <c r="J668"/>
      <c r="K668"/>
      <c r="L668"/>
      <c r="M668"/>
      <c r="N668"/>
      <c r="O668"/>
      <c r="P668"/>
      <c r="Q668"/>
      <c r="R668"/>
      <c r="S668"/>
      <c r="T668"/>
      <c r="U668"/>
      <c r="V668"/>
      <c r="W668"/>
      <c r="X668"/>
      <c r="Y668"/>
      <c r="Z668"/>
      <c r="AA668"/>
      <c r="AB668" s="3324">
        <f>SUM(AB665:AH667)</f>
        <v>0</v>
      </c>
      <c r="AC668" s="3324"/>
      <c r="AD668" s="3324"/>
      <c r="AE668" s="3324"/>
      <c r="AF668" s="3324"/>
      <c r="AG668" s="3324"/>
      <c r="AH668" s="3324"/>
      <c r="AI668" s="3464"/>
      <c r="AJ668" s="3436">
        <f>SUM(AJ665:AP667)</f>
        <v>0</v>
      </c>
      <c r="AK668" s="3436"/>
      <c r="AL668" s="3436"/>
      <c r="AM668" s="3436"/>
      <c r="AN668" s="3436"/>
      <c r="AO668" s="3436"/>
      <c r="AP668" s="3436"/>
      <c r="AQ668"/>
    </row>
    <row r="669" s="3330" customFormat="1" ht="15" hidden="1" customHeight="1" spans="3:43">
      <c r="C669" s="3322"/>
      <c r="D669"/>
      <c r="E669"/>
      <c r="F669"/>
      <c r="G669"/>
      <c r="H669"/>
      <c r="I669"/>
      <c r="J669"/>
      <c r="K669"/>
      <c r="L669"/>
      <c r="M669"/>
      <c r="N669"/>
      <c r="O669"/>
      <c r="P669"/>
      <c r="Q669"/>
      <c r="R669"/>
      <c r="S669"/>
      <c r="T669"/>
      <c r="U669"/>
      <c r="V669"/>
      <c r="W669"/>
      <c r="X669"/>
      <c r="Y669"/>
      <c r="Z669"/>
      <c r="AA669"/>
      <c r="AB669" s="94"/>
      <c r="AC669" s="94"/>
      <c r="AD669" s="94"/>
      <c r="AE669" s="94"/>
      <c r="AF669" s="94"/>
      <c r="AG669" s="94"/>
      <c r="AH669" s="94"/>
      <c r="AI669" s="3464"/>
      <c r="AJ669" s="2912"/>
      <c r="AK669" s="2912"/>
      <c r="AL669" s="2912"/>
      <c r="AM669" s="2912"/>
      <c r="AN669" s="2912"/>
      <c r="AO669" s="2912"/>
      <c r="AP669" s="2912"/>
      <c r="AQ669"/>
    </row>
    <row r="670" s="3330" customFormat="1" hidden="1" customHeight="1" spans="1:44">
      <c r="A670" s="3335">
        <f>A662+1</f>
        <v>17</v>
      </c>
      <c r="B670"/>
      <c r="C670" s="3322" t="s">
        <v>2007</v>
      </c>
      <c r="D670" s="3341"/>
      <c r="E670" s="3341"/>
      <c r="F670" s="3341"/>
      <c r="G670" s="3341"/>
      <c r="H670" s="3341"/>
      <c r="I670" s="3341"/>
      <c r="J670" s="3341"/>
      <c r="K670" s="3341"/>
      <c r="L670" s="3341"/>
      <c r="M670" s="3341"/>
      <c r="N670" s="3341"/>
      <c r="O670" s="3341"/>
      <c r="P670" s="3341"/>
      <c r="Q670" s="3341"/>
      <c r="R670" s="3341"/>
      <c r="S670" s="3341"/>
      <c r="T670" s="3341"/>
      <c r="U670" s="3341"/>
      <c r="V670" s="3341"/>
      <c r="W670" s="3341"/>
      <c r="X670" s="3341"/>
      <c r="Y670" s="3341"/>
      <c r="Z670" s="3341"/>
      <c r="AA670" s="3341"/>
      <c r="AB670" s="3341"/>
      <c r="AC670" s="3341"/>
      <c r="AD670" s="3341"/>
      <c r="AE670" s="3341"/>
      <c r="AF670" s="3341"/>
      <c r="AG670" s="3341"/>
      <c r="AH670" s="3341"/>
      <c r="AI670" s="3341"/>
      <c r="AJ670" s="3341"/>
      <c r="AK670" s="3341"/>
      <c r="AL670" s="3341"/>
      <c r="AM670" s="3341"/>
      <c r="AN670" s="3341"/>
      <c r="AO670" s="3339"/>
      <c r="AP670" s="3339"/>
      <c r="AQ670" s="1540"/>
      <c r="AR670" s="3479"/>
    </row>
    <row r="671" s="3330" customFormat="1" ht="9.2" hidden="1" customHeight="1" spans="1:44">
      <c r="A671" s="3335"/>
      <c r="B671"/>
      <c r="C671" s="3339"/>
      <c r="D671" s="3341"/>
      <c r="E671" s="3341"/>
      <c r="F671" s="3341"/>
      <c r="G671" s="3341"/>
      <c r="H671" s="3341"/>
      <c r="I671" s="3341"/>
      <c r="J671" s="3341"/>
      <c r="K671" s="3341"/>
      <c r="L671" s="3341"/>
      <c r="M671" s="3341"/>
      <c r="N671" s="3341"/>
      <c r="O671" s="3341"/>
      <c r="P671" s="3341"/>
      <c r="Q671" s="3341"/>
      <c r="R671" s="3341"/>
      <c r="S671" s="3341"/>
      <c r="T671" s="3341"/>
      <c r="U671" s="3341"/>
      <c r="V671" s="3341"/>
      <c r="W671" s="3341"/>
      <c r="X671" s="3341"/>
      <c r="Y671" s="3341"/>
      <c r="Z671" s="3341"/>
      <c r="AA671" s="3341"/>
      <c r="AB671" s="3341"/>
      <c r="AC671" s="3341"/>
      <c r="AD671" s="3341"/>
      <c r="AE671" s="3341"/>
      <c r="AF671" s="3341"/>
      <c r="AG671" s="3341"/>
      <c r="AH671" s="3341"/>
      <c r="AI671" s="3341"/>
      <c r="AJ671" s="3341"/>
      <c r="AK671" s="3341"/>
      <c r="AL671" s="3341"/>
      <c r="AM671" s="3341"/>
      <c r="AN671" s="3341"/>
      <c r="AO671" s="3339"/>
      <c r="AP671" s="3339"/>
      <c r="AR671" s="3479"/>
    </row>
    <row r="672" s="3330" customFormat="1" hidden="1" customHeight="1" spans="1:42">
      <c r="A672" s="3335"/>
      <c r="B672"/>
      <c r="C672" s="5059" t="s">
        <v>2008</v>
      </c>
      <c r="D672" s="2146"/>
      <c r="E672" s="2146"/>
      <c r="F672" s="2146"/>
      <c r="G672" s="2146"/>
      <c r="H672" s="2146"/>
      <c r="I672" s="2146"/>
      <c r="J672" s="2146"/>
      <c r="K672" s="2146"/>
      <c r="L672" s="2146"/>
      <c r="M672" s="2146"/>
      <c r="N672" s="2146"/>
      <c r="O672" s="2146"/>
      <c r="P672" s="2146"/>
      <c r="Q672" s="2146"/>
      <c r="R672" s="2146"/>
      <c r="S672" s="2146"/>
      <c r="T672" s="2146"/>
      <c r="U672" s="2146"/>
      <c r="V672" s="2146"/>
      <c r="W672" s="2146"/>
      <c r="X672" s="2146"/>
      <c r="Y672" s="2146"/>
      <c r="Z672" s="2146"/>
      <c r="AA672" s="2146"/>
      <c r="AB672" s="2146"/>
      <c r="AC672" s="2146"/>
      <c r="AD672" s="2146"/>
      <c r="AE672" s="2146"/>
      <c r="AF672" s="2146"/>
      <c r="AG672" s="2146"/>
      <c r="AH672" s="2146"/>
      <c r="AI672" s="2146"/>
      <c r="AJ672" s="2146"/>
      <c r="AK672" s="2146"/>
      <c r="AL672" s="2146"/>
      <c r="AM672" s="2146"/>
      <c r="AN672" s="2146"/>
      <c r="AO672" s="2104"/>
      <c r="AP672" s="2104"/>
    </row>
    <row r="673" s="3330" customFormat="1" hidden="1" customHeight="1" spans="1:44">
      <c r="A673" s="3335"/>
      <c r="B673"/>
      <c r="C673" s="2104"/>
      <c r="D673" s="2104"/>
      <c r="E673" s="2104"/>
      <c r="F673" s="2104"/>
      <c r="G673" s="2104"/>
      <c r="H673" s="2104"/>
      <c r="I673" s="2104"/>
      <c r="J673" s="2104"/>
      <c r="K673" s="2104"/>
      <c r="L673" s="2104"/>
      <c r="M673" s="2104"/>
      <c r="N673" s="2104"/>
      <c r="O673" s="2104"/>
      <c r="P673" s="2104"/>
      <c r="Q673" s="2104"/>
      <c r="R673" s="2104"/>
      <c r="S673" s="2104"/>
      <c r="T673" s="2104"/>
      <c r="U673" s="2104"/>
      <c r="V673" s="2104"/>
      <c r="W673" s="2104"/>
      <c r="X673" s="2104"/>
      <c r="Y673" s="2104"/>
      <c r="Z673" s="2104"/>
      <c r="AA673" s="2104"/>
      <c r="AB673" s="2104"/>
      <c r="AC673" s="2104"/>
      <c r="AD673" s="2104"/>
      <c r="AE673" s="2104"/>
      <c r="AF673" s="2104"/>
      <c r="AG673" s="2104"/>
      <c r="AH673" s="2104"/>
      <c r="AI673" s="2104"/>
      <c r="AJ673" s="2104"/>
      <c r="AK673" s="2104"/>
      <c r="AL673" s="2104"/>
      <c r="AM673" s="2104"/>
      <c r="AN673" s="2104"/>
      <c r="AO673" s="2104"/>
      <c r="AP673" s="2104"/>
      <c r="AR673" s="3479"/>
    </row>
    <row r="674" s="3330" customFormat="1" spans="1:44">
      <c r="A674" s="3335"/>
      <c r="B674"/>
      <c r="C674" s="3322"/>
      <c r="D674"/>
      <c r="E674"/>
      <c r="F674"/>
      <c r="G674"/>
      <c r="H674"/>
      <c r="I674"/>
      <c r="J674"/>
      <c r="K674"/>
      <c r="L674"/>
      <c r="M674"/>
      <c r="N674"/>
      <c r="O674"/>
      <c r="P674"/>
      <c r="Q674"/>
      <c r="R674"/>
      <c r="S674"/>
      <c r="T674"/>
      <c r="U674"/>
      <c r="V674"/>
      <c r="W674"/>
      <c r="X674"/>
      <c r="Y674"/>
      <c r="Z674"/>
      <c r="AA674"/>
      <c r="AR674" s="3479"/>
    </row>
    <row r="675" s="3330" customFormat="1" spans="1:44">
      <c r="A675" s="3335"/>
      <c r="B675"/>
      <c r="C675" s="3322"/>
      <c r="D675"/>
      <c r="E675"/>
      <c r="F675"/>
      <c r="G675"/>
      <c r="H675"/>
      <c r="I675"/>
      <c r="J675"/>
      <c r="K675"/>
      <c r="L675"/>
      <c r="M675"/>
      <c r="N675"/>
      <c r="O675"/>
      <c r="P675"/>
      <c r="Q675"/>
      <c r="R675"/>
      <c r="S675"/>
      <c r="T675"/>
      <c r="U675"/>
      <c r="V675"/>
      <c r="W675"/>
      <c r="X675"/>
      <c r="Y675"/>
      <c r="Z675"/>
      <c r="AA675"/>
      <c r="AR675" s="3479"/>
    </row>
    <row r="676" s="3330" customFormat="1" spans="1:44">
      <c r="A676" s="3335"/>
      <c r="B676"/>
      <c r="C676" s="3322"/>
      <c r="D676"/>
      <c r="E676"/>
      <c r="F676"/>
      <c r="G676"/>
      <c r="H676"/>
      <c r="I676"/>
      <c r="J676"/>
      <c r="K676"/>
      <c r="L676"/>
      <c r="M676"/>
      <c r="N676"/>
      <c r="O676"/>
      <c r="P676"/>
      <c r="Q676"/>
      <c r="R676"/>
      <c r="S676"/>
      <c r="T676"/>
      <c r="U676"/>
      <c r="V676"/>
      <c r="W676"/>
      <c r="X676"/>
      <c r="Y676"/>
      <c r="Z676"/>
      <c r="AA676"/>
      <c r="AR676" s="3479"/>
    </row>
    <row r="677" s="3330" customFormat="1" spans="1:44">
      <c r="A677" s="3335"/>
      <c r="B677"/>
      <c r="C677" s="3322"/>
      <c r="D677"/>
      <c r="E677"/>
      <c r="F677"/>
      <c r="G677"/>
      <c r="H677"/>
      <c r="I677"/>
      <c r="J677"/>
      <c r="K677"/>
      <c r="L677"/>
      <c r="M677"/>
      <c r="N677"/>
      <c r="O677"/>
      <c r="P677"/>
      <c r="Q677"/>
      <c r="R677"/>
      <c r="S677"/>
      <c r="T677"/>
      <c r="U677"/>
      <c r="V677"/>
      <c r="W677"/>
      <c r="X677"/>
      <c r="Y677"/>
      <c r="Z677"/>
      <c r="AA677"/>
      <c r="AR677" s="3479"/>
    </row>
    <row r="678" s="3330" customFormat="1" spans="1:44">
      <c r="A678" s="3335"/>
      <c r="B678"/>
      <c r="C678" s="3322"/>
      <c r="D678"/>
      <c r="E678"/>
      <c r="F678"/>
      <c r="G678"/>
      <c r="H678"/>
      <c r="I678"/>
      <c r="J678"/>
      <c r="K678"/>
      <c r="L678"/>
      <c r="M678"/>
      <c r="N678"/>
      <c r="O678"/>
      <c r="P678"/>
      <c r="Q678"/>
      <c r="R678"/>
      <c r="S678"/>
      <c r="T678"/>
      <c r="U678"/>
      <c r="V678"/>
      <c r="W678"/>
      <c r="X678"/>
      <c r="Y678"/>
      <c r="Z678"/>
      <c r="AA678"/>
      <c r="AR678" s="3479"/>
    </row>
    <row r="679" s="3330" customFormat="1" spans="1:44">
      <c r="A679" s="3335"/>
      <c r="B679"/>
      <c r="C679" s="3322"/>
      <c r="D679"/>
      <c r="E679"/>
      <c r="F679"/>
      <c r="G679"/>
      <c r="H679"/>
      <c r="I679"/>
      <c r="J679"/>
      <c r="K679"/>
      <c r="L679"/>
      <c r="M679"/>
      <c r="N679"/>
      <c r="O679"/>
      <c r="P679"/>
      <c r="Q679"/>
      <c r="R679"/>
      <c r="S679"/>
      <c r="T679"/>
      <c r="U679"/>
      <c r="V679"/>
      <c r="W679"/>
      <c r="X679"/>
      <c r="Y679"/>
      <c r="Z679"/>
      <c r="AA679"/>
      <c r="AR679" s="3479"/>
    </row>
    <row r="680" s="3330" customFormat="1" spans="1:44">
      <c r="A680" s="3335"/>
      <c r="B680"/>
      <c r="C680" s="3322"/>
      <c r="D680"/>
      <c r="E680"/>
      <c r="F680"/>
      <c r="G680"/>
      <c r="H680"/>
      <c r="I680"/>
      <c r="J680"/>
      <c r="K680"/>
      <c r="L680"/>
      <c r="M680"/>
      <c r="N680"/>
      <c r="O680"/>
      <c r="P680"/>
      <c r="Q680"/>
      <c r="R680"/>
      <c r="S680"/>
      <c r="T680"/>
      <c r="U680"/>
      <c r="V680"/>
      <c r="W680"/>
      <c r="X680"/>
      <c r="Y680"/>
      <c r="Z680"/>
      <c r="AA680"/>
      <c r="AR680" s="3479"/>
    </row>
    <row r="681" s="3330" customFormat="1" spans="1:44">
      <c r="A681" s="3335"/>
      <c r="B681"/>
      <c r="C681" s="3322"/>
      <c r="D681"/>
      <c r="E681"/>
      <c r="F681"/>
      <c r="G681"/>
      <c r="H681"/>
      <c r="I681"/>
      <c r="J681"/>
      <c r="K681"/>
      <c r="L681"/>
      <c r="M681"/>
      <c r="N681"/>
      <c r="O681"/>
      <c r="P681"/>
      <c r="Q681"/>
      <c r="R681"/>
      <c r="S681"/>
      <c r="T681"/>
      <c r="U681"/>
      <c r="V681"/>
      <c r="W681"/>
      <c r="X681"/>
      <c r="Y681"/>
      <c r="Z681"/>
      <c r="AA681"/>
      <c r="AR681" s="3479"/>
    </row>
    <row r="682" s="3330" customFormat="1" spans="1:44">
      <c r="A682" s="3335"/>
      <c r="B682"/>
      <c r="C682" s="3322"/>
      <c r="D682"/>
      <c r="E682"/>
      <c r="F682"/>
      <c r="G682"/>
      <c r="H682"/>
      <c r="I682"/>
      <c r="J682"/>
      <c r="K682"/>
      <c r="L682"/>
      <c r="M682"/>
      <c r="N682"/>
      <c r="O682"/>
      <c r="P682"/>
      <c r="Q682"/>
      <c r="R682"/>
      <c r="S682"/>
      <c r="T682"/>
      <c r="U682"/>
      <c r="V682"/>
      <c r="W682"/>
      <c r="X682"/>
      <c r="Y682"/>
      <c r="Z682"/>
      <c r="AA682"/>
      <c r="AR682" s="3479"/>
    </row>
    <row r="683" s="3330" customFormat="1" ht="11.4" spans="1:44">
      <c r="A683" s="3385">
        <f>+A599+1</f>
        <v>17</v>
      </c>
      <c r="B683" s="3385"/>
      <c r="C683" s="3385"/>
      <c r="D683" s="3385"/>
      <c r="E683" s="3385"/>
      <c r="F683" s="3385"/>
      <c r="G683" s="3385"/>
      <c r="H683" s="3385"/>
      <c r="I683" s="3385"/>
      <c r="J683" s="3385"/>
      <c r="K683" s="3385"/>
      <c r="L683" s="3385"/>
      <c r="M683" s="3385"/>
      <c r="N683" s="3385"/>
      <c r="O683" s="3385"/>
      <c r="P683" s="3385"/>
      <c r="Q683" s="3385"/>
      <c r="R683" s="3385"/>
      <c r="S683" s="3385"/>
      <c r="T683" s="3385"/>
      <c r="U683" s="3385"/>
      <c r="V683" s="3385"/>
      <c r="W683" s="3385"/>
      <c r="X683" s="3385"/>
      <c r="Y683" s="3385"/>
      <c r="Z683" s="3385"/>
      <c r="AA683" s="3385"/>
      <c r="AB683" s="3385"/>
      <c r="AC683" s="3385"/>
      <c r="AD683" s="3385"/>
      <c r="AE683" s="3385"/>
      <c r="AF683" s="3385"/>
      <c r="AG683" s="3385"/>
      <c r="AH683" s="3385"/>
      <c r="AI683" s="3385"/>
      <c r="AJ683" s="3385"/>
      <c r="AK683" s="3385"/>
      <c r="AL683" s="3385"/>
      <c r="AM683" s="3385"/>
      <c r="AN683" s="3385"/>
      <c r="AO683" s="3385"/>
      <c r="AP683" s="3385"/>
      <c r="AR683" s="3479"/>
    </row>
    <row r="684" s="3330" customFormat="1" customHeight="1" spans="1:44">
      <c r="A684" s="3335">
        <f>+A652+1</f>
        <v>16</v>
      </c>
      <c r="B684" s="64"/>
      <c r="C684" s="3322" t="s">
        <v>2009</v>
      </c>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c r="AG684" s="64"/>
      <c r="AH684" s="64"/>
      <c r="AL684" s="3326"/>
      <c r="AQ684" s="3478"/>
      <c r="AR684" s="3479"/>
    </row>
    <row r="685" s="3330" customFormat="1" ht="9.2" customHeight="1" spans="1:44">
      <c r="A685" s="3340"/>
      <c r="B685" s="64"/>
      <c r="C685" s="3322"/>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c r="AG685" s="64"/>
      <c r="AH685" s="64"/>
      <c r="AL685" s="3326"/>
      <c r="AQ685" s="3478"/>
      <c r="AR685" s="3479"/>
    </row>
    <row r="686" s="3330" customFormat="1" ht="23.45" customHeight="1" spans="1:44">
      <c r="A686" s="3340"/>
      <c r="B686" s="64"/>
      <c r="C686" s="5036" t="s">
        <v>2010</v>
      </c>
      <c r="D686" s="3341"/>
      <c r="E686" s="3341"/>
      <c r="F686" s="3341"/>
      <c r="G686" s="3341"/>
      <c r="H686" s="3341"/>
      <c r="I686" s="3341"/>
      <c r="J686" s="3341"/>
      <c r="K686" s="3341"/>
      <c r="L686" s="3341"/>
      <c r="M686" s="3341"/>
      <c r="N686" s="3341"/>
      <c r="O686" s="3341"/>
      <c r="P686" s="3341"/>
      <c r="Q686" s="3341"/>
      <c r="R686" s="3341"/>
      <c r="S686" s="3341"/>
      <c r="T686" s="3341"/>
      <c r="U686" s="3341"/>
      <c r="V686" s="3341"/>
      <c r="W686" s="3341"/>
      <c r="X686" s="3341"/>
      <c r="Y686" s="3341"/>
      <c r="Z686" s="3341"/>
      <c r="AA686" s="3341"/>
      <c r="AB686" s="3341"/>
      <c r="AC686" s="3341"/>
      <c r="AD686" s="3341"/>
      <c r="AE686" s="3341"/>
      <c r="AF686" s="3341"/>
      <c r="AG686" s="3341"/>
      <c r="AH686" s="3341"/>
      <c r="AI686" s="3341"/>
      <c r="AJ686" s="3341"/>
      <c r="AK686" s="3341"/>
      <c r="AL686" s="3341"/>
      <c r="AM686" s="3341"/>
      <c r="AN686" s="3341"/>
      <c r="AO686" s="3341"/>
      <c r="AP686" s="3341"/>
      <c r="AQ686" s="3478"/>
      <c r="AR686" s="3479"/>
    </row>
    <row r="687" s="3330" customFormat="1" ht="6.95" customHeight="1" spans="1:44">
      <c r="A687" s="3340"/>
      <c r="B687" s="2635"/>
      <c r="C687" s="3339"/>
      <c r="D687" s="3341"/>
      <c r="E687" s="3341"/>
      <c r="F687" s="3341"/>
      <c r="G687" s="3341"/>
      <c r="H687" s="3341"/>
      <c r="I687" s="3341"/>
      <c r="J687" s="3341"/>
      <c r="K687" s="3341"/>
      <c r="L687" s="3341"/>
      <c r="M687" s="3341"/>
      <c r="N687" s="3341"/>
      <c r="O687" s="3341"/>
      <c r="P687" s="3341"/>
      <c r="Q687" s="3341"/>
      <c r="R687" s="3341"/>
      <c r="S687" s="3341"/>
      <c r="T687" s="3341"/>
      <c r="U687" s="3341"/>
      <c r="V687" s="3341"/>
      <c r="W687" s="3341"/>
      <c r="X687" s="3341"/>
      <c r="Y687" s="3341"/>
      <c r="Z687" s="3341"/>
      <c r="AA687" s="3341"/>
      <c r="AB687" s="3341"/>
      <c r="AC687" s="3341"/>
      <c r="AD687" s="3341"/>
      <c r="AE687" s="3341"/>
      <c r="AF687" s="3341"/>
      <c r="AG687" s="3341"/>
      <c r="AH687" s="3341"/>
      <c r="AI687" s="3341"/>
      <c r="AJ687" s="3341"/>
      <c r="AK687" s="3341"/>
      <c r="AL687" s="3341"/>
      <c r="AM687" s="3341"/>
      <c r="AN687" s="3341"/>
      <c r="AO687" s="3341"/>
      <c r="AP687" s="3341"/>
      <c r="AQ687" s="3523"/>
      <c r="AR687" s="3479"/>
    </row>
    <row r="688" s="3330" customFormat="1" ht="11.1" customHeight="1" spans="1:44">
      <c r="A688" s="3340"/>
      <c r="B688" s="2635"/>
      <c r="C688" s="3513"/>
      <c r="D688" s="3514"/>
      <c r="E688" s="3514"/>
      <c r="F688" s="3514"/>
      <c r="G688" s="3514"/>
      <c r="H688" s="3514"/>
      <c r="I688" s="3514"/>
      <c r="J688" s="3514"/>
      <c r="K688" s="3514"/>
      <c r="L688" s="3514"/>
      <c r="M688" s="3514"/>
      <c r="N688" s="3514"/>
      <c r="O688" s="3515"/>
      <c r="P688" s="5098" t="s">
        <v>2011</v>
      </c>
      <c r="Q688" s="3516"/>
      <c r="R688" s="3516"/>
      <c r="S688" s="3516"/>
      <c r="T688" s="3516"/>
      <c r="U688" s="3517"/>
      <c r="V688" s="5098" t="s">
        <v>2012</v>
      </c>
      <c r="W688" s="3516"/>
      <c r="X688" s="3516"/>
      <c r="Y688" s="3516"/>
      <c r="Z688" s="3516"/>
      <c r="AA688" s="3516"/>
      <c r="AB688" s="3517"/>
      <c r="AC688" s="5098" t="s">
        <v>1204</v>
      </c>
      <c r="AD688" s="3516"/>
      <c r="AE688" s="3516"/>
      <c r="AF688" s="3516"/>
      <c r="AG688" s="3516"/>
      <c r="AH688" s="3516"/>
      <c r="AI688" s="3516"/>
      <c r="AJ688" s="3516"/>
      <c r="AK688" s="3514"/>
      <c r="AL688" s="3514"/>
      <c r="AM688" s="2683"/>
      <c r="AN688" s="2683"/>
      <c r="AO688" s="2683"/>
      <c r="AP688" s="2683"/>
      <c r="AQ688" s="3524"/>
      <c r="AR688" s="3479"/>
    </row>
    <row r="689" s="3330" customFormat="1" ht="8.45" customHeight="1" spans="1:44">
      <c r="A689" s="3340"/>
      <c r="B689" s="2635"/>
      <c r="C689" s="3514"/>
      <c r="D689" s="3514"/>
      <c r="E689" s="3514"/>
      <c r="F689" s="3514"/>
      <c r="G689" s="3514"/>
      <c r="H689" s="3514"/>
      <c r="I689" s="3514"/>
      <c r="J689" s="3514"/>
      <c r="K689" s="3514"/>
      <c r="L689" s="3514"/>
      <c r="M689" s="3514"/>
      <c r="N689" s="3514"/>
      <c r="O689" s="3514"/>
      <c r="P689" s="3514"/>
      <c r="Q689" s="3514"/>
      <c r="R689" s="3514"/>
      <c r="S689" s="3514"/>
      <c r="T689" s="3514"/>
      <c r="U689" s="3514"/>
      <c r="V689" s="3514"/>
      <c r="W689" s="3514"/>
      <c r="X689" s="3514"/>
      <c r="Y689" s="3514"/>
      <c r="Z689" s="3514"/>
      <c r="AA689" s="3514"/>
      <c r="AB689" s="3514"/>
      <c r="AC689" s="3519"/>
      <c r="AD689" s="3519"/>
      <c r="AE689" s="3519"/>
      <c r="AF689" s="3519"/>
      <c r="AG689" s="3519"/>
      <c r="AH689" s="3519"/>
      <c r="AI689" s="3519"/>
      <c r="AJ689" s="3519"/>
      <c r="AK689" s="3514"/>
      <c r="AL689" s="3514"/>
      <c r="AM689" s="2683"/>
      <c r="AN689" s="2683"/>
      <c r="AO689" s="2683"/>
      <c r="AP689" s="2683"/>
      <c r="AQ689" s="3524"/>
      <c r="AR689" s="3479"/>
    </row>
    <row r="690" s="3330" customFormat="1" ht="11.1" customHeight="1" spans="1:44">
      <c r="A690" s="3340"/>
      <c r="B690" s="2635"/>
      <c r="C690" s="5099" t="s">
        <v>2013</v>
      </c>
      <c r="D690" s="3514"/>
      <c r="E690" s="3514"/>
      <c r="F690" s="3514"/>
      <c r="G690" s="3514"/>
      <c r="H690" s="3514"/>
      <c r="I690" s="3514"/>
      <c r="J690" s="3514"/>
      <c r="K690" s="3514"/>
      <c r="L690" s="3514"/>
      <c r="M690" s="3514"/>
      <c r="N690" s="3514"/>
      <c r="O690" s="3514"/>
      <c r="P690" s="3531">
        <f>+SS!E29</f>
        <v>110000</v>
      </c>
      <c r="Q690" s="3531"/>
      <c r="R690" s="3531"/>
      <c r="S690" s="3531"/>
      <c r="T690" s="3531"/>
      <c r="U690" s="3514"/>
      <c r="V690" s="3531">
        <v>1000000</v>
      </c>
      <c r="W690" s="3531"/>
      <c r="X690" s="3531"/>
      <c r="Y690" s="3531"/>
      <c r="Z690" s="3531"/>
      <c r="AA690" s="3531"/>
      <c r="AB690" s="3514"/>
      <c r="AC690" s="3540">
        <f>+P690*V690</f>
        <v>110000000000</v>
      </c>
      <c r="AD690" s="3540"/>
      <c r="AE690" s="3540"/>
      <c r="AF690" s="3540"/>
      <c r="AG690" s="3540"/>
      <c r="AH690" s="3540"/>
      <c r="AI690" s="3540"/>
      <c r="AJ690" s="3540"/>
      <c r="AK690" s="3514"/>
      <c r="AL690" s="3514"/>
      <c r="AM690" s="2683"/>
      <c r="AN690" s="2683"/>
      <c r="AO690" s="2683"/>
      <c r="AP690" s="2683"/>
      <c r="AQ690" s="3524"/>
      <c r="AR690" s="3479"/>
    </row>
    <row r="691" s="3330" customFormat="1" ht="11.1" customHeight="1" spans="1:44">
      <c r="A691" s="3340"/>
      <c r="B691" s="2635"/>
      <c r="C691" s="5099" t="s">
        <v>2014</v>
      </c>
      <c r="D691" s="3514"/>
      <c r="E691" s="3514"/>
      <c r="F691" s="3514"/>
      <c r="G691" s="3514"/>
      <c r="H691" s="3514"/>
      <c r="I691" s="3514"/>
      <c r="J691" s="3514"/>
      <c r="K691" s="3514"/>
      <c r="L691" s="3514"/>
      <c r="M691" s="3514"/>
      <c r="N691" s="3514"/>
      <c r="O691" s="3514"/>
      <c r="P691" s="3531"/>
      <c r="Q691" s="3531"/>
      <c r="R691" s="3531"/>
      <c r="S691" s="3531"/>
      <c r="T691" s="3531"/>
      <c r="U691" s="3514"/>
      <c r="V691" s="3531"/>
      <c r="W691" s="3531"/>
      <c r="X691" s="3531"/>
      <c r="Y691" s="3531"/>
      <c r="Z691" s="3531"/>
      <c r="AA691" s="3531"/>
      <c r="AB691" s="3514"/>
      <c r="AC691" s="3540"/>
      <c r="AD691" s="3540"/>
      <c r="AE691" s="3540"/>
      <c r="AF691" s="3540"/>
      <c r="AG691" s="3540"/>
      <c r="AH691" s="3540"/>
      <c r="AI691" s="3540"/>
      <c r="AJ691" s="3540"/>
      <c r="AK691" s="3514"/>
      <c r="AL691" s="3514"/>
      <c r="AM691" s="2683"/>
      <c r="AN691" s="2683"/>
      <c r="AO691" s="2683"/>
      <c r="AP691" s="2683"/>
      <c r="AQ691" s="3524"/>
      <c r="AR691" s="3479"/>
    </row>
    <row r="692" s="3330" customFormat="1" ht="11.1" customHeight="1" spans="1:44">
      <c r="A692" s="3340"/>
      <c r="B692" s="2635"/>
      <c r="C692" s="5100" t="s">
        <v>1995</v>
      </c>
      <c r="D692" s="3514"/>
      <c r="E692" s="3514"/>
      <c r="F692" s="3514"/>
      <c r="G692" s="3514"/>
      <c r="H692" s="3514"/>
      <c r="I692" s="3514"/>
      <c r="J692" s="3514"/>
      <c r="K692" s="3514"/>
      <c r="L692" s="3514"/>
      <c r="M692" s="3514"/>
      <c r="N692" s="3514"/>
      <c r="O692" s="3514"/>
      <c r="P692" s="3531">
        <v>99000</v>
      </c>
      <c r="Q692" s="3531"/>
      <c r="R692" s="3531"/>
      <c r="S692" s="3531"/>
      <c r="T692" s="3531"/>
      <c r="U692" s="3514"/>
      <c r="V692" s="3531">
        <v>1000000</v>
      </c>
      <c r="W692" s="3531"/>
      <c r="X692" s="3531"/>
      <c r="Y692" s="3531"/>
      <c r="Z692" s="3531"/>
      <c r="AA692" s="3531"/>
      <c r="AB692" s="3514"/>
      <c r="AC692" s="3540">
        <f>+P692*V692</f>
        <v>99000000000</v>
      </c>
      <c r="AD692" s="3540"/>
      <c r="AE692" s="3540"/>
      <c r="AF692" s="3540"/>
      <c r="AG692" s="3540"/>
      <c r="AH692" s="3540"/>
      <c r="AI692" s="3540"/>
      <c r="AJ692" s="3540"/>
      <c r="AK692" s="3514"/>
      <c r="AL692" s="3514"/>
      <c r="AM692" s="2683"/>
      <c r="AN692" s="2683"/>
      <c r="AO692" s="2683"/>
      <c r="AP692" s="2683"/>
      <c r="AQ692" s="3524"/>
      <c r="AR692" s="3479"/>
    </row>
    <row r="693" s="3330" customFormat="1" ht="11.1" customHeight="1" spans="1:44">
      <c r="A693" s="3340"/>
      <c r="B693" s="2635"/>
      <c r="C693" s="5100" t="s">
        <v>2015</v>
      </c>
      <c r="D693" s="3514"/>
      <c r="E693" s="3514"/>
      <c r="F693" s="3514"/>
      <c r="G693" s="3514"/>
      <c r="H693" s="3514"/>
      <c r="I693" s="3514"/>
      <c r="J693" s="3514"/>
      <c r="K693" s="3514"/>
      <c r="L693" s="3514"/>
      <c r="M693" s="3514"/>
      <c r="N693" s="3514"/>
      <c r="O693" s="3514"/>
      <c r="P693" s="3531">
        <v>11000</v>
      </c>
      <c r="Q693" s="3531"/>
      <c r="R693" s="3531"/>
      <c r="S693" s="3531"/>
      <c r="T693" s="3531"/>
      <c r="U693" s="3514"/>
      <c r="V693" s="3531">
        <v>1000000</v>
      </c>
      <c r="W693" s="3531"/>
      <c r="X693" s="3531"/>
      <c r="Y693" s="3531"/>
      <c r="Z693" s="3531"/>
      <c r="AA693" s="3531"/>
      <c r="AB693" s="3514"/>
      <c r="AC693" s="3540">
        <f>+P693*V693</f>
        <v>11000000000</v>
      </c>
      <c r="AD693" s="3540"/>
      <c r="AE693" s="3540"/>
      <c r="AF693" s="3540"/>
      <c r="AG693" s="3540"/>
      <c r="AH693" s="3540"/>
      <c r="AI693" s="3540"/>
      <c r="AJ693" s="3540"/>
      <c r="AK693" s="3514"/>
      <c r="AL693" s="3514"/>
      <c r="AM693" s="2683"/>
      <c r="AN693" s="2683"/>
      <c r="AO693" s="2683"/>
      <c r="AP693" s="2683"/>
      <c r="AQ693" s="3524"/>
      <c r="AR693" s="3479"/>
    </row>
    <row r="694" s="3330" customFormat="1" ht="5.45" customHeight="1" spans="1:44">
      <c r="A694" s="3340"/>
      <c r="B694" s="2635"/>
      <c r="C694" s="3525"/>
      <c r="D694" s="3514"/>
      <c r="E694" s="3514"/>
      <c r="F694" s="3514"/>
      <c r="G694" s="3514"/>
      <c r="H694" s="3514"/>
      <c r="I694" s="3514"/>
      <c r="J694" s="3514"/>
      <c r="K694" s="3514"/>
      <c r="L694" s="3514"/>
      <c r="M694" s="3514"/>
      <c r="N694" s="3514"/>
      <c r="O694" s="3514"/>
      <c r="P694" s="3532"/>
      <c r="Q694" s="3532"/>
      <c r="R694" s="3532"/>
      <c r="S694" s="3532"/>
      <c r="T694" s="3532"/>
      <c r="U694" s="3514"/>
      <c r="V694" s="3531"/>
      <c r="W694" s="3531"/>
      <c r="X694" s="3531"/>
      <c r="Y694" s="3531"/>
      <c r="Z694" s="3531"/>
      <c r="AA694" s="3531"/>
      <c r="AB694" s="3514"/>
      <c r="AC694" s="3540"/>
      <c r="AD694" s="3540"/>
      <c r="AE694" s="3540"/>
      <c r="AF694" s="3540"/>
      <c r="AG694" s="3540"/>
      <c r="AH694" s="3540"/>
      <c r="AI694" s="3540"/>
      <c r="AJ694" s="3540"/>
      <c r="AK694" s="3514"/>
      <c r="AL694" s="3514"/>
      <c r="AM694" s="2683"/>
      <c r="AN694" s="2683"/>
      <c r="AO694" s="2683"/>
      <c r="AP694" s="2683"/>
      <c r="AQ694" s="3524"/>
      <c r="AR694" s="3479"/>
    </row>
    <row r="695" s="3330" customFormat="1" ht="11.1" customHeight="1" spans="1:44">
      <c r="A695" s="3340"/>
      <c r="B695" s="2635"/>
      <c r="C695" s="5101" t="s">
        <v>151</v>
      </c>
      <c r="D695" s="3514"/>
      <c r="E695" s="3514"/>
      <c r="F695" s="3514"/>
      <c r="G695" s="3514"/>
      <c r="H695" s="3514"/>
      <c r="I695" s="3514"/>
      <c r="J695" s="3514"/>
      <c r="K695" s="3514"/>
      <c r="L695" s="3514"/>
      <c r="M695" s="3514"/>
      <c r="N695" s="3514"/>
      <c r="O695" s="3514"/>
      <c r="P695" s="3533">
        <f>SUM(P692:T693)</f>
        <v>110000</v>
      </c>
      <c r="Q695" s="3533"/>
      <c r="R695" s="3533"/>
      <c r="S695" s="3533"/>
      <c r="T695" s="3533"/>
      <c r="U695" s="3514"/>
      <c r="V695" s="3531"/>
      <c r="W695" s="3531"/>
      <c r="X695" s="3531"/>
      <c r="Y695" s="3531"/>
      <c r="Z695" s="3531"/>
      <c r="AA695" s="3531"/>
      <c r="AB695" s="3514"/>
      <c r="AC695" s="3541">
        <f>SUM(AC692:AJ693)</f>
        <v>110000000000</v>
      </c>
      <c r="AD695" s="3541"/>
      <c r="AE695" s="3541"/>
      <c r="AF695" s="3541"/>
      <c r="AG695" s="3541"/>
      <c r="AH695" s="3541"/>
      <c r="AI695" s="3541"/>
      <c r="AJ695" s="3541"/>
      <c r="AK695" s="3514"/>
      <c r="AL695" s="3514"/>
      <c r="AM695" s="2683"/>
      <c r="AN695" s="2683"/>
      <c r="AO695" s="2683"/>
      <c r="AP695" s="2683"/>
      <c r="AQ695" s="3524"/>
      <c r="AR695" s="3479"/>
    </row>
    <row r="696" s="3330" customFormat="1" ht="9.95" customHeight="1" spans="1:44">
      <c r="A696" s="64"/>
      <c r="B696" s="64"/>
      <c r="C696" s="94"/>
      <c r="D696" s="94"/>
      <c r="E696" s="94"/>
      <c r="F696" s="64"/>
      <c r="G696" s="64"/>
      <c r="H696" s="64"/>
      <c r="I696" s="64"/>
      <c r="J696" s="64"/>
      <c r="K696" s="64"/>
      <c r="O696" s="3512"/>
      <c r="P696" s="3512"/>
      <c r="Q696" s="94"/>
      <c r="R696" s="3512"/>
      <c r="S696" s="3512"/>
      <c r="T696" s="94"/>
      <c r="U696" s="3538"/>
      <c r="V696" s="3538"/>
      <c r="W696"/>
      <c r="X696" s="3538"/>
      <c r="Y696"/>
      <c r="Z696"/>
      <c r="AA696"/>
      <c r="AB696" s="64"/>
      <c r="AC696" s="3542"/>
      <c r="AD696" s="3542"/>
      <c r="AE696" s="3542"/>
      <c r="AF696" s="3542"/>
      <c r="AG696" s="3542"/>
      <c r="AH696" s="3542"/>
      <c r="AJ696" s="94"/>
      <c r="AK696" s="94"/>
      <c r="AL696" s="94"/>
      <c r="AM696" s="94"/>
      <c r="AN696" s="94"/>
      <c r="AO696" s="94"/>
      <c r="AQ696" s="3478"/>
      <c r="AR696" s="3479"/>
    </row>
    <row r="697" s="3330" customFormat="1" ht="22.5" customHeight="1" spans="1:44">
      <c r="A697" s="64"/>
      <c r="B697" s="2635"/>
      <c r="C697" s="3513" t="s">
        <v>2016</v>
      </c>
      <c r="D697" s="3514"/>
      <c r="E697" s="3514"/>
      <c r="F697" s="3514"/>
      <c r="G697" s="3514"/>
      <c r="H697" s="3514"/>
      <c r="I697" s="3514"/>
      <c r="J697" s="3514"/>
      <c r="K697" s="3514"/>
      <c r="L697" s="3514"/>
      <c r="M697" s="3514"/>
      <c r="N697" s="3514"/>
      <c r="O697" s="3515"/>
      <c r="P697" s="5102" t="s">
        <v>2017</v>
      </c>
      <c r="Q697" s="3534"/>
      <c r="R697" s="3534"/>
      <c r="S697" s="3534"/>
      <c r="T697" s="3534"/>
      <c r="U697" s="3517"/>
      <c r="V697" s="5103" t="s">
        <v>2018</v>
      </c>
      <c r="W697" s="3539"/>
      <c r="X697" s="3539"/>
      <c r="Y697" s="3539"/>
      <c r="Z697" s="3539"/>
      <c r="AA697" s="3539"/>
      <c r="AB697" s="3543"/>
      <c r="AC697" s="5103" t="s">
        <v>1204</v>
      </c>
      <c r="AD697" s="3539"/>
      <c r="AE697" s="3539"/>
      <c r="AF697" s="3539"/>
      <c r="AG697" s="3539"/>
      <c r="AH697" s="3539"/>
      <c r="AI697" s="3539"/>
      <c r="AJ697" s="3539"/>
      <c r="AK697" s="3514"/>
      <c r="AL697" s="3514"/>
      <c r="AM697" s="2683"/>
      <c r="AN697" s="2683"/>
      <c r="AO697" s="2683"/>
      <c r="AP697" s="2683"/>
      <c r="AQ697" s="3478"/>
      <c r="AR697" s="3479"/>
    </row>
    <row r="698" s="3330" customFormat="1" ht="5.1" customHeight="1" spans="1:44">
      <c r="A698" s="64"/>
      <c r="B698" s="2635"/>
      <c r="C698" s="3514"/>
      <c r="D698" s="3514"/>
      <c r="E698" s="3514"/>
      <c r="F698" s="3514"/>
      <c r="G698" s="3514"/>
      <c r="H698" s="3514"/>
      <c r="I698" s="3514"/>
      <c r="J698" s="3514"/>
      <c r="K698" s="3514"/>
      <c r="L698" s="3514"/>
      <c r="M698" s="3514"/>
      <c r="N698" s="3514"/>
      <c r="O698" s="3514"/>
      <c r="P698" s="3514"/>
      <c r="Q698" s="3514"/>
      <c r="R698" s="3514"/>
      <c r="S698" s="3514"/>
      <c r="T698" s="3514"/>
      <c r="U698" s="3514"/>
      <c r="V698" s="3514"/>
      <c r="W698" s="3514"/>
      <c r="X698" s="3514"/>
      <c r="Y698" s="3514"/>
      <c r="Z698" s="3514"/>
      <c r="AA698" s="3514"/>
      <c r="AB698" s="3514"/>
      <c r="AC698" s="3519"/>
      <c r="AD698" s="3519"/>
      <c r="AE698" s="3519"/>
      <c r="AF698" s="3519"/>
      <c r="AG698" s="3519"/>
      <c r="AH698" s="3519"/>
      <c r="AI698" s="3519"/>
      <c r="AJ698" s="3519"/>
      <c r="AK698" s="3514"/>
      <c r="AL698" s="3514"/>
      <c r="AM698" s="2683"/>
      <c r="AN698" s="2683"/>
      <c r="AO698" s="2683"/>
      <c r="AP698" s="2683"/>
      <c r="AQ698" s="3478"/>
      <c r="AR698" s="3479"/>
    </row>
    <row r="699" s="3330" customFormat="1" ht="11.4" spans="1:44">
      <c r="A699" s="64"/>
      <c r="B699" s="2635"/>
      <c r="C699" s="5099" t="s">
        <v>2013</v>
      </c>
      <c r="D699" s="3514"/>
      <c r="E699" s="3514"/>
      <c r="F699" s="3514"/>
      <c r="G699" s="3514"/>
      <c r="H699" s="3514"/>
      <c r="I699" s="3514"/>
      <c r="J699" s="3514"/>
      <c r="K699" s="3514"/>
      <c r="L699" s="3514"/>
      <c r="M699" s="3514"/>
      <c r="N699" s="3514"/>
      <c r="O699" s="3514"/>
      <c r="P699" s="3535">
        <f>+P695/P690</f>
        <v>1</v>
      </c>
      <c r="Q699" s="3535"/>
      <c r="R699" s="3535"/>
      <c r="S699" s="3535"/>
      <c r="T699" s="3535"/>
      <c r="U699" s="3514"/>
      <c r="V699" s="3531">
        <v>1000000</v>
      </c>
      <c r="W699" s="3531"/>
      <c r="X699" s="3531"/>
      <c r="Y699" s="3531"/>
      <c r="Z699" s="3531"/>
      <c r="AA699" s="3531"/>
      <c r="AB699" s="3514"/>
      <c r="AC699" s="3540">
        <f>+(AC695/AC690)*AC690</f>
        <v>110000000000</v>
      </c>
      <c r="AD699" s="3540"/>
      <c r="AE699" s="3540"/>
      <c r="AF699" s="3540"/>
      <c r="AG699" s="3540"/>
      <c r="AH699" s="3540"/>
      <c r="AI699" s="3540"/>
      <c r="AJ699" s="3540"/>
      <c r="AK699" s="3514"/>
      <c r="AL699" s="3514"/>
      <c r="AM699" s="2683"/>
      <c r="AN699" s="2683"/>
      <c r="AO699" s="2683"/>
      <c r="AP699" s="2683"/>
      <c r="AQ699" s="3478"/>
      <c r="AR699" s="3479"/>
    </row>
    <row r="700" s="3330" customFormat="1" ht="11.4" spans="1:44">
      <c r="A700" s="64"/>
      <c r="B700" s="2635"/>
      <c r="C700" s="5099" t="s">
        <v>2014</v>
      </c>
      <c r="D700" s="3514"/>
      <c r="E700" s="3514"/>
      <c r="F700" s="3514"/>
      <c r="G700" s="3514"/>
      <c r="H700" s="3514"/>
      <c r="I700" s="3514"/>
      <c r="J700" s="3514"/>
      <c r="K700" s="3514"/>
      <c r="L700" s="3514"/>
      <c r="M700" s="3514"/>
      <c r="N700" s="3514"/>
      <c r="O700" s="3514"/>
      <c r="P700" s="3531"/>
      <c r="Q700" s="3531"/>
      <c r="R700" s="3531"/>
      <c r="S700" s="3531"/>
      <c r="T700" s="3531"/>
      <c r="U700" s="3514"/>
      <c r="V700" s="3531"/>
      <c r="W700" s="3531"/>
      <c r="X700" s="3531"/>
      <c r="Y700" s="3531"/>
      <c r="Z700" s="3531"/>
      <c r="AA700" s="3531"/>
      <c r="AB700" s="3514"/>
      <c r="AC700" s="3540"/>
      <c r="AD700" s="3540"/>
      <c r="AE700" s="3540"/>
      <c r="AF700" s="3540"/>
      <c r="AG700" s="3540"/>
      <c r="AH700" s="3540"/>
      <c r="AI700" s="3540"/>
      <c r="AJ700" s="3540"/>
      <c r="AK700" s="3514"/>
      <c r="AL700" s="3514"/>
      <c r="AM700" s="2683"/>
      <c r="AN700" s="2683"/>
      <c r="AO700" s="2683"/>
      <c r="AP700" s="2683"/>
      <c r="AQ700" s="3478"/>
      <c r="AR700" s="3479"/>
    </row>
    <row r="701" s="3330" customFormat="1" ht="11.4" spans="1:44">
      <c r="A701" s="64"/>
      <c r="B701" s="2635"/>
      <c r="C701" s="5100" t="s">
        <v>1995</v>
      </c>
      <c r="D701" s="3514"/>
      <c r="E701" s="3514"/>
      <c r="F701" s="3514"/>
      <c r="G701" s="3514"/>
      <c r="H701" s="3514"/>
      <c r="I701" s="3514"/>
      <c r="J701" s="3514"/>
      <c r="K701" s="3514"/>
      <c r="L701" s="3514"/>
      <c r="M701" s="3514"/>
      <c r="N701" s="3514"/>
      <c r="O701" s="3514"/>
      <c r="P701" s="3536">
        <f>+V701/V704</f>
        <v>0.9</v>
      </c>
      <c r="Q701" s="3536"/>
      <c r="R701" s="3536"/>
      <c r="S701" s="3536"/>
      <c r="T701" s="3536"/>
      <c r="U701" s="3514"/>
      <c r="V701" s="3531">
        <f>+P692</f>
        <v>99000</v>
      </c>
      <c r="W701" s="3531"/>
      <c r="X701" s="3531"/>
      <c r="Y701" s="3531"/>
      <c r="Z701" s="3531"/>
      <c r="AA701" s="3531"/>
      <c r="AB701" s="3514"/>
      <c r="AC701" s="3540">
        <f>+AC692</f>
        <v>99000000000</v>
      </c>
      <c r="AD701" s="3540"/>
      <c r="AE701" s="3540"/>
      <c r="AF701" s="3540"/>
      <c r="AG701" s="3540"/>
      <c r="AH701" s="3540"/>
      <c r="AI701" s="3540"/>
      <c r="AJ701" s="3540"/>
      <c r="AK701" s="3514"/>
      <c r="AL701" s="3514"/>
      <c r="AM701" s="2683"/>
      <c r="AN701" s="2683"/>
      <c r="AO701" s="2683"/>
      <c r="AP701" s="2683"/>
      <c r="AQ701" s="3478"/>
      <c r="AR701" s="3479"/>
    </row>
    <row r="702" s="3330" customFormat="1" ht="11.4" spans="1:44">
      <c r="A702" s="64"/>
      <c r="B702" s="2635"/>
      <c r="C702" s="5100" t="s">
        <v>2015</v>
      </c>
      <c r="D702" s="3514"/>
      <c r="E702" s="3514"/>
      <c r="F702" s="3514"/>
      <c r="G702" s="3514"/>
      <c r="H702" s="3514"/>
      <c r="I702" s="3514"/>
      <c r="J702" s="3514"/>
      <c r="K702" s="3514"/>
      <c r="L702" s="3514"/>
      <c r="M702" s="3514"/>
      <c r="N702" s="3514"/>
      <c r="O702" s="3514"/>
      <c r="P702" s="3536">
        <f>+V702/V704</f>
        <v>0.1</v>
      </c>
      <c r="Q702" s="3536"/>
      <c r="R702" s="3536"/>
      <c r="S702" s="3536"/>
      <c r="T702" s="3536"/>
      <c r="U702" s="3514"/>
      <c r="V702" s="3531">
        <f>+P693</f>
        <v>11000</v>
      </c>
      <c r="W702" s="3531"/>
      <c r="X702" s="3531"/>
      <c r="Y702" s="3531"/>
      <c r="Z702" s="3531"/>
      <c r="AA702" s="3531"/>
      <c r="AB702" s="3514"/>
      <c r="AC702" s="3540">
        <f>+AC693</f>
        <v>11000000000</v>
      </c>
      <c r="AD702" s="3540"/>
      <c r="AE702" s="3540"/>
      <c r="AF702" s="3540"/>
      <c r="AG702" s="3540"/>
      <c r="AH702" s="3540"/>
      <c r="AI702" s="3540"/>
      <c r="AJ702" s="3540"/>
      <c r="AK702" s="3514"/>
      <c r="AL702" s="3514"/>
      <c r="AM702" s="2683"/>
      <c r="AN702" s="2683"/>
      <c r="AO702" s="2683"/>
      <c r="AP702" s="2683"/>
      <c r="AQ702" s="3478"/>
      <c r="AR702" s="3479"/>
    </row>
    <row r="703" s="3330" customFormat="1" ht="3.95" customHeight="1" spans="1:44">
      <c r="A703" s="64"/>
      <c r="B703" s="2635"/>
      <c r="C703" s="3525"/>
      <c r="D703" s="3514"/>
      <c r="E703" s="3514"/>
      <c r="F703" s="3514"/>
      <c r="G703" s="3514"/>
      <c r="H703" s="3514"/>
      <c r="I703" s="3514"/>
      <c r="J703" s="3514"/>
      <c r="K703" s="3514"/>
      <c r="L703" s="3514"/>
      <c r="M703" s="3514"/>
      <c r="N703" s="3514"/>
      <c r="O703" s="3514"/>
      <c r="P703" s="3532"/>
      <c r="Q703" s="3532"/>
      <c r="R703" s="3532"/>
      <c r="S703" s="3532"/>
      <c r="T703" s="3532"/>
      <c r="U703" s="3514"/>
      <c r="V703" s="3531"/>
      <c r="W703" s="3531"/>
      <c r="X703" s="3531"/>
      <c r="Y703" s="3531"/>
      <c r="Z703" s="3531"/>
      <c r="AA703" s="3531"/>
      <c r="AB703" s="3514"/>
      <c r="AC703" s="3540"/>
      <c r="AD703" s="3540"/>
      <c r="AE703" s="3540"/>
      <c r="AF703" s="3540"/>
      <c r="AG703" s="3540"/>
      <c r="AH703" s="3540"/>
      <c r="AI703" s="3540"/>
      <c r="AJ703" s="3540"/>
      <c r="AK703" s="3514"/>
      <c r="AL703" s="3514"/>
      <c r="AM703" s="2683"/>
      <c r="AN703" s="2683"/>
      <c r="AO703" s="2683"/>
      <c r="AP703" s="2683"/>
      <c r="AQ703" s="3478"/>
      <c r="AR703" s="3479"/>
    </row>
    <row r="704" s="3330" customFormat="1" ht="12.15" spans="1:44">
      <c r="A704" s="64"/>
      <c r="B704" s="2635"/>
      <c r="C704" s="5101" t="s">
        <v>151</v>
      </c>
      <c r="D704" s="3514"/>
      <c r="E704" s="3514"/>
      <c r="F704" s="3514"/>
      <c r="G704" s="3514"/>
      <c r="H704" s="3514"/>
      <c r="I704" s="3514"/>
      <c r="J704" s="3514"/>
      <c r="K704" s="3514"/>
      <c r="L704" s="3514"/>
      <c r="M704" s="3514"/>
      <c r="N704" s="3514"/>
      <c r="O704" s="3514"/>
      <c r="P704" s="3537">
        <f>SUM(P701:T702)</f>
        <v>1</v>
      </c>
      <c r="Q704" s="3537"/>
      <c r="R704" s="3537"/>
      <c r="S704" s="3537"/>
      <c r="T704" s="3537"/>
      <c r="U704" s="3514"/>
      <c r="V704" s="3533">
        <f>SUM(V701:AA702)</f>
        <v>110000</v>
      </c>
      <c r="W704" s="3533"/>
      <c r="X704" s="3533"/>
      <c r="Y704" s="3533"/>
      <c r="Z704" s="3533"/>
      <c r="AA704" s="3533"/>
      <c r="AB704" s="3514"/>
      <c r="AC704" s="3541">
        <f>SUM(AC701:AJ702)</f>
        <v>110000000000</v>
      </c>
      <c r="AD704" s="3541"/>
      <c r="AE704" s="3541"/>
      <c r="AF704" s="3541"/>
      <c r="AG704" s="3541"/>
      <c r="AH704" s="3541"/>
      <c r="AI704" s="3541"/>
      <c r="AJ704" s="3541"/>
      <c r="AK704" s="3514"/>
      <c r="AL704" s="3514"/>
      <c r="AM704" s="2683"/>
      <c r="AN704" s="2683"/>
      <c r="AO704" s="2683"/>
      <c r="AP704" s="2683"/>
      <c r="AQ704" s="3478"/>
      <c r="AR704" s="3479"/>
    </row>
    <row r="705" s="3330" customFormat="1" ht="12.75" spans="1:44">
      <c r="A705" s="64"/>
      <c r="B705" s="64"/>
      <c r="C705" s="94"/>
      <c r="D705" s="94"/>
      <c r="E705" s="94"/>
      <c r="F705" s="64"/>
      <c r="G705" s="64"/>
      <c r="H705" s="64"/>
      <c r="I705" s="64"/>
      <c r="J705" s="64"/>
      <c r="K705" s="64"/>
      <c r="O705" s="3512"/>
      <c r="P705" s="3512"/>
      <c r="Q705" s="94"/>
      <c r="R705" s="3512"/>
      <c r="S705" s="3512"/>
      <c r="T705" s="94"/>
      <c r="U705" s="3538"/>
      <c r="V705" s="3538"/>
      <c r="W705"/>
      <c r="X705" s="3538"/>
      <c r="Y705"/>
      <c r="Z705"/>
      <c r="AA705"/>
      <c r="AB705" s="64"/>
      <c r="AC705" s="3542"/>
      <c r="AD705" s="3542"/>
      <c r="AE705" s="3542"/>
      <c r="AF705" s="3542"/>
      <c r="AG705" s="3542"/>
      <c r="AH705" s="3542"/>
      <c r="AJ705" s="94"/>
      <c r="AK705" s="94"/>
      <c r="AL705" s="94"/>
      <c r="AM705" s="94"/>
      <c r="AN705" s="94"/>
      <c r="AO705" s="94"/>
      <c r="AQ705" s="3478"/>
      <c r="AR705" s="3479"/>
    </row>
    <row r="706" s="3330" customFormat="1" spans="1:44">
      <c r="A706" s="64"/>
      <c r="B706" s="64"/>
      <c r="C706" s="16" t="s">
        <v>2019</v>
      </c>
      <c r="D706" s="3339"/>
      <c r="E706" s="3339"/>
      <c r="F706" s="3341"/>
      <c r="G706" s="3341"/>
      <c r="H706" s="3341"/>
      <c r="I706" s="3341"/>
      <c r="J706" s="3341"/>
      <c r="K706" s="3341"/>
      <c r="L706" s="3341"/>
      <c r="M706" s="3341"/>
      <c r="N706" s="3341"/>
      <c r="O706" s="3341"/>
      <c r="P706" s="3341"/>
      <c r="Q706" s="3341"/>
      <c r="R706" s="3341"/>
      <c r="S706" s="3341"/>
      <c r="T706" s="3341"/>
      <c r="U706"/>
      <c r="V706"/>
      <c r="W706"/>
      <c r="X706"/>
      <c r="Y706"/>
      <c r="Z706"/>
      <c r="AA706"/>
      <c r="AB706" s="3349"/>
      <c r="AC706" s="16"/>
      <c r="AD706" s="16"/>
      <c r="AE706" s="16"/>
      <c r="AF706" s="16"/>
      <c r="AG706" s="16"/>
      <c r="AH706" s="16"/>
      <c r="AI706" s="3326"/>
      <c r="AJ706" s="3349"/>
      <c r="AK706" s="16"/>
      <c r="AL706" s="16"/>
      <c r="AM706" s="16"/>
      <c r="AN706" s="16"/>
      <c r="AO706" s="16"/>
      <c r="AP706" s="16"/>
      <c r="AQ706" s="3478"/>
      <c r="AR706" s="3479"/>
    </row>
    <row r="707" s="3330" customFormat="1" ht="6" customHeight="1" spans="1:44">
      <c r="A707" s="64"/>
      <c r="B707" s="64"/>
      <c r="C707" s="3527"/>
      <c r="D707" s="3341"/>
      <c r="E707" s="3341"/>
      <c r="F707" s="3341"/>
      <c r="G707" s="3341"/>
      <c r="H707" s="3341"/>
      <c r="I707" s="3341"/>
      <c r="J707" s="3341"/>
      <c r="K707" s="3341"/>
      <c r="L707" s="3341"/>
      <c r="M707" s="3341"/>
      <c r="N707" s="3341"/>
      <c r="O707" s="3341"/>
      <c r="P707" s="3341"/>
      <c r="Q707" s="3341"/>
      <c r="R707" s="3341"/>
      <c r="S707" s="3341"/>
      <c r="T707" s="3341"/>
      <c r="U707" s="3341"/>
      <c r="V707" s="3341"/>
      <c r="W707" s="3341"/>
      <c r="X707" s="3341"/>
      <c r="Y707" s="3341"/>
      <c r="Z707" s="3341"/>
      <c r="AA707" s="3341"/>
      <c r="AB707" s="3349"/>
      <c r="AC707" s="16"/>
      <c r="AD707" s="16"/>
      <c r="AE707" s="16"/>
      <c r="AF707" s="16"/>
      <c r="AG707" s="16"/>
      <c r="AH707" s="16"/>
      <c r="AI707" s="3326"/>
      <c r="AJ707" s="3349"/>
      <c r="AK707" s="16"/>
      <c r="AL707" s="16"/>
      <c r="AM707" s="16"/>
      <c r="AN707" s="16"/>
      <c r="AO707" s="16"/>
      <c r="AP707" s="16"/>
      <c r="AQ707" s="3478"/>
      <c r="AR707" s="3479"/>
    </row>
    <row r="708" s="3330" customFormat="1" ht="23.45" customHeight="1" spans="1:44">
      <c r="A708" s="64"/>
      <c r="B708" s="64"/>
      <c r="C708" s="5036" t="s">
        <v>2020</v>
      </c>
      <c r="D708" s="3341"/>
      <c r="E708" s="3341"/>
      <c r="F708" s="3341"/>
      <c r="G708" s="3341"/>
      <c r="H708" s="3341"/>
      <c r="I708" s="3341"/>
      <c r="J708" s="3341"/>
      <c r="K708" s="3341"/>
      <c r="L708" s="3341"/>
      <c r="M708" s="3341"/>
      <c r="N708" s="3341"/>
      <c r="O708" s="3341"/>
      <c r="P708" s="3341"/>
      <c r="Q708" s="3341"/>
      <c r="R708" s="3341"/>
      <c r="S708" s="3341"/>
      <c r="T708" s="3341"/>
      <c r="U708" s="3341"/>
      <c r="V708" s="3341"/>
      <c r="W708" s="3341"/>
      <c r="X708" s="3341"/>
      <c r="Y708" s="3341"/>
      <c r="Z708" s="3341"/>
      <c r="AA708" s="3341"/>
      <c r="AB708" s="3341"/>
      <c r="AC708" s="3341"/>
      <c r="AD708" s="3341"/>
      <c r="AE708" s="3341"/>
      <c r="AF708" s="3341"/>
      <c r="AG708" s="3341"/>
      <c r="AH708" s="3341"/>
      <c r="AI708" s="3341"/>
      <c r="AJ708" s="3341"/>
      <c r="AK708" s="3341"/>
      <c r="AL708" s="3341"/>
      <c r="AM708" s="3341"/>
      <c r="AN708" s="3341"/>
      <c r="AO708" s="3341"/>
      <c r="AP708" s="3341"/>
      <c r="AQ708" s="3478"/>
      <c r="AR708" s="3479"/>
    </row>
    <row r="709" s="3330" customFormat="1" ht="6" customHeight="1" spans="1:44">
      <c r="A709" s="64"/>
      <c r="B709" s="64"/>
      <c r="C709" s="3339"/>
      <c r="D709" s="3341"/>
      <c r="E709" s="3341"/>
      <c r="F709" s="3341"/>
      <c r="G709" s="3341"/>
      <c r="H709" s="3341"/>
      <c r="I709" s="3341"/>
      <c r="J709" s="3341"/>
      <c r="K709" s="3341"/>
      <c r="L709" s="3341"/>
      <c r="M709" s="3341"/>
      <c r="N709" s="3341"/>
      <c r="O709" s="3341"/>
      <c r="P709" s="3341"/>
      <c r="Q709" s="3341"/>
      <c r="R709" s="3341"/>
      <c r="S709" s="3341"/>
      <c r="T709" s="3341"/>
      <c r="U709" s="3341"/>
      <c r="V709" s="3341"/>
      <c r="W709" s="3341"/>
      <c r="X709" s="3341"/>
      <c r="Y709" s="3341"/>
      <c r="Z709" s="3341"/>
      <c r="AA709" s="3341"/>
      <c r="AB709" s="3341"/>
      <c r="AC709" s="3341"/>
      <c r="AD709" s="3341"/>
      <c r="AE709" s="3341"/>
      <c r="AF709" s="3341"/>
      <c r="AG709" s="3341"/>
      <c r="AH709" s="3341"/>
      <c r="AI709" s="3341"/>
      <c r="AJ709" s="3341"/>
      <c r="AK709" s="3341"/>
      <c r="AL709" s="3341"/>
      <c r="AM709" s="3341"/>
      <c r="AN709" s="3341"/>
      <c r="AO709" s="3341"/>
      <c r="AP709" s="3341"/>
      <c r="AQ709" s="3478"/>
      <c r="AR709" s="3479"/>
    </row>
    <row r="710" s="3330" customFormat="1" ht="37.5" customHeight="1" spans="1:44">
      <c r="A710" s="64"/>
      <c r="B710" s="64"/>
      <c r="C710" s="5036" t="s">
        <v>2021</v>
      </c>
      <c r="D710" s="3341"/>
      <c r="E710" s="3341"/>
      <c r="F710" s="3341"/>
      <c r="G710" s="3341"/>
      <c r="H710" s="3341"/>
      <c r="I710" s="3341"/>
      <c r="J710" s="3341"/>
      <c r="K710" s="3341"/>
      <c r="L710" s="3341"/>
      <c r="M710" s="3341"/>
      <c r="N710" s="3341"/>
      <c r="O710" s="3341"/>
      <c r="P710" s="3341"/>
      <c r="Q710" s="3341"/>
      <c r="R710" s="3341"/>
      <c r="S710" s="3341"/>
      <c r="T710" s="3341"/>
      <c r="U710" s="3341"/>
      <c r="V710" s="3341"/>
      <c r="W710" s="3341"/>
      <c r="X710" s="3341"/>
      <c r="Y710" s="3341"/>
      <c r="Z710" s="3341"/>
      <c r="AA710" s="3341"/>
      <c r="AB710" s="3341"/>
      <c r="AC710" s="3341"/>
      <c r="AD710" s="3341"/>
      <c r="AE710" s="3341"/>
      <c r="AF710" s="3341"/>
      <c r="AG710" s="3341"/>
      <c r="AH710" s="3341"/>
      <c r="AI710" s="3341"/>
      <c r="AJ710" s="3341"/>
      <c r="AK710" s="3341"/>
      <c r="AL710" s="3341"/>
      <c r="AM710" s="3341"/>
      <c r="AN710" s="3341"/>
      <c r="AO710" s="3341"/>
      <c r="AP710" s="3341"/>
      <c r="AQ710" s="3478"/>
      <c r="AR710" s="3479"/>
    </row>
    <row r="711" s="3330" customFormat="1" ht="4.5" customHeight="1" spans="1:44">
      <c r="A711" s="64"/>
      <c r="B711" s="64"/>
      <c r="C711" s="3339"/>
      <c r="D711" s="3341"/>
      <c r="E711" s="3341"/>
      <c r="F711" s="3341"/>
      <c r="G711" s="3341"/>
      <c r="H711" s="3341"/>
      <c r="I711" s="3341"/>
      <c r="J711" s="3341"/>
      <c r="K711" s="3341"/>
      <c r="L711" s="3341"/>
      <c r="M711" s="3341"/>
      <c r="N711" s="3341"/>
      <c r="O711" s="3341"/>
      <c r="P711" s="3341"/>
      <c r="Q711" s="3341"/>
      <c r="R711" s="3341"/>
      <c r="S711" s="3341"/>
      <c r="T711" s="3341"/>
      <c r="U711" s="3341"/>
      <c r="V711" s="3341"/>
      <c r="W711" s="3341"/>
      <c r="X711" s="3341"/>
      <c r="Y711" s="3341"/>
      <c r="Z711" s="3341"/>
      <c r="AA711" s="3341"/>
      <c r="AB711" s="3341"/>
      <c r="AC711" s="3341"/>
      <c r="AD711" s="3341"/>
      <c r="AE711" s="3341"/>
      <c r="AF711" s="3341"/>
      <c r="AG711" s="3341"/>
      <c r="AH711" s="3341"/>
      <c r="AI711" s="3341"/>
      <c r="AJ711" s="3341"/>
      <c r="AK711" s="3341"/>
      <c r="AL711" s="3341"/>
      <c r="AM711" s="3341"/>
      <c r="AN711" s="3341"/>
      <c r="AO711" s="3341"/>
      <c r="AP711" s="3341"/>
      <c r="AQ711" s="3478"/>
      <c r="AR711" s="3479"/>
    </row>
    <row r="712" s="3330" customFormat="1" ht="46.5" customHeight="1" spans="1:44">
      <c r="A712" s="64"/>
      <c r="B712" s="64"/>
      <c r="C712" s="5036" t="s">
        <v>2022</v>
      </c>
      <c r="D712" s="3341"/>
      <c r="E712" s="3341"/>
      <c r="F712" s="3341"/>
      <c r="G712" s="3341"/>
      <c r="H712" s="3341"/>
      <c r="I712" s="3341"/>
      <c r="J712" s="3341"/>
      <c r="K712" s="3341"/>
      <c r="L712" s="3341"/>
      <c r="M712" s="3341"/>
      <c r="N712" s="3341"/>
      <c r="O712" s="3341"/>
      <c r="P712" s="3341"/>
      <c r="Q712" s="3341"/>
      <c r="R712" s="3341"/>
      <c r="S712" s="3341"/>
      <c r="T712" s="3341"/>
      <c r="U712" s="3341"/>
      <c r="V712" s="3341"/>
      <c r="W712" s="3341"/>
      <c r="X712" s="3341"/>
      <c r="Y712" s="3341"/>
      <c r="Z712" s="3341"/>
      <c r="AA712" s="3341"/>
      <c r="AB712" s="3341"/>
      <c r="AC712" s="3341"/>
      <c r="AD712" s="3341"/>
      <c r="AE712" s="3341"/>
      <c r="AF712" s="3341"/>
      <c r="AG712" s="3341"/>
      <c r="AH712" s="3341"/>
      <c r="AI712" s="3341"/>
      <c r="AJ712" s="3341"/>
      <c r="AK712" s="3341"/>
      <c r="AL712" s="3341"/>
      <c r="AM712" s="3341"/>
      <c r="AN712" s="3341"/>
      <c r="AO712" s="3341"/>
      <c r="AP712" s="3341"/>
      <c r="AQ712" s="3478"/>
      <c r="AR712" s="3479"/>
    </row>
    <row r="713" s="3330" customFormat="1" ht="2.1" customHeight="1" spans="1:44">
      <c r="A713" s="64"/>
      <c r="B713" s="64"/>
      <c r="C713" s="3339"/>
      <c r="D713" s="3341"/>
      <c r="E713" s="3341"/>
      <c r="F713" s="3341"/>
      <c r="G713" s="3341"/>
      <c r="H713" s="3341"/>
      <c r="I713" s="3341"/>
      <c r="J713" s="3341"/>
      <c r="K713" s="3341"/>
      <c r="L713" s="3341"/>
      <c r="M713" s="3341"/>
      <c r="N713" s="3341"/>
      <c r="O713" s="3341"/>
      <c r="P713" s="3341"/>
      <c r="Q713" s="3341"/>
      <c r="R713" s="3341"/>
      <c r="S713" s="3341"/>
      <c r="T713" s="3341"/>
      <c r="U713" s="3341"/>
      <c r="V713" s="3341"/>
      <c r="W713" s="3341"/>
      <c r="X713" s="3341"/>
      <c r="Y713" s="3341"/>
      <c r="Z713" s="3341"/>
      <c r="AA713" s="3341"/>
      <c r="AB713" s="3341"/>
      <c r="AC713" s="3341"/>
      <c r="AD713" s="3341"/>
      <c r="AE713" s="3341"/>
      <c r="AF713" s="3341"/>
      <c r="AG713" s="3341"/>
      <c r="AH713" s="3341"/>
      <c r="AI713" s="3341"/>
      <c r="AJ713" s="3341"/>
      <c r="AK713" s="3341"/>
      <c r="AL713" s="3341"/>
      <c r="AM713" s="3341"/>
      <c r="AN713" s="3341"/>
      <c r="AO713" s="3341"/>
      <c r="AP713" s="3341"/>
      <c r="AQ713" s="3478"/>
      <c r="AR713" s="3479"/>
    </row>
    <row r="714" s="3330" customFormat="1" ht="12.95" customHeight="1" spans="1:44">
      <c r="A714" s="64"/>
      <c r="B714" s="64"/>
      <c r="C714" s="3322"/>
      <c r="D714" s="64"/>
      <c r="E714" s="64"/>
      <c r="F714" s="3341"/>
      <c r="G714" s="3341"/>
      <c r="H714" s="3341"/>
      <c r="I714" s="3341"/>
      <c r="J714" s="3341"/>
      <c r="K714" s="3341"/>
      <c r="L714" s="3341"/>
      <c r="M714" s="3341"/>
      <c r="N714" s="3341"/>
      <c r="O714" s="3341"/>
      <c r="P714" s="3341"/>
      <c r="Q714" s="3341"/>
      <c r="R714" s="3341"/>
      <c r="S714" s="3341"/>
      <c r="T714" s="3341"/>
      <c r="U714" s="3341"/>
      <c r="V714" s="3341"/>
      <c r="W714" s="3341"/>
      <c r="X714" s="3341"/>
      <c r="Y714" s="3341"/>
      <c r="Z714" s="3341"/>
      <c r="AA714" s="3341"/>
      <c r="AB714" s="3359">
        <f>+AB630</f>
        <v>2021</v>
      </c>
      <c r="AC714" s="3360"/>
      <c r="AD714" s="3360"/>
      <c r="AE714" s="3360"/>
      <c r="AF714" s="3360"/>
      <c r="AG714" s="3360"/>
      <c r="AH714" s="3360"/>
      <c r="AI714" s="64"/>
      <c r="AJ714" s="3359">
        <f>+AJ630</f>
        <v>2020</v>
      </c>
      <c r="AK714" s="3360"/>
      <c r="AL714" s="3360"/>
      <c r="AM714" s="3360"/>
      <c r="AN714" s="3360"/>
      <c r="AO714" s="3360"/>
      <c r="AP714" s="3360"/>
      <c r="AQ714" s="3478"/>
      <c r="AR714" s="3479"/>
    </row>
    <row r="715" s="3330" customFormat="1" customHeight="1" spans="1:44">
      <c r="A715" s="64"/>
      <c r="B715" s="64"/>
      <c r="C715" s="3528" t="s">
        <v>2023</v>
      </c>
      <c r="D715" s="3341"/>
      <c r="E715" s="3341"/>
      <c r="F715" s="3341"/>
      <c r="G715" s="3341"/>
      <c r="H715" s="3341"/>
      <c r="I715" s="3341"/>
      <c r="J715" s="3341"/>
      <c r="K715" s="3341"/>
      <c r="L715" s="3341"/>
      <c r="M715" s="3341"/>
      <c r="N715" s="3341"/>
      <c r="O715" s="3341"/>
      <c r="P715" s="3341"/>
      <c r="Q715" s="3341"/>
      <c r="R715" s="3341"/>
      <c r="S715" s="3341"/>
      <c r="T715" s="3341"/>
      <c r="U715" s="3341"/>
      <c r="V715" s="3341"/>
      <c r="W715" s="3341"/>
      <c r="X715" s="3341"/>
      <c r="Y715" s="3341"/>
      <c r="Z715" s="3341"/>
      <c r="AA715" s="3341"/>
      <c r="AB715" s="3">
        <f>SUM('FS-21'!Y43:AE43)</f>
        <v>14980282474.7325</v>
      </c>
      <c r="AC715" s="3"/>
      <c r="AD715" s="3"/>
      <c r="AE715" s="3"/>
      <c r="AF715" s="3"/>
      <c r="AG715" s="3"/>
      <c r="AH715" s="3"/>
      <c r="AI715" s="3326"/>
      <c r="AJ715" s="3">
        <f>SUM('FS-21'!AG43:AM43)</f>
        <v>18230648972.9922</v>
      </c>
      <c r="AK715" s="3"/>
      <c r="AL715" s="3"/>
      <c r="AM715" s="3"/>
      <c r="AN715" s="3"/>
      <c r="AO715" s="3"/>
      <c r="AP715" s="3"/>
      <c r="AQ715" s="3478"/>
      <c r="AR715" s="3479"/>
    </row>
    <row r="716" s="3330" customFormat="1" customHeight="1" spans="1:44">
      <c r="A716" s="64"/>
      <c r="B716" s="64"/>
      <c r="C716" s="3528" t="s">
        <v>2024</v>
      </c>
      <c r="D716" s="3341"/>
      <c r="E716" s="3341"/>
      <c r="F716" s="3341"/>
      <c r="G716" s="3341"/>
      <c r="H716" s="3341"/>
      <c r="I716" s="3341"/>
      <c r="J716" s="3341"/>
      <c r="K716" s="3341"/>
      <c r="L716" s="3341"/>
      <c r="M716" s="3341"/>
      <c r="N716" s="3341"/>
      <c r="O716" s="3341"/>
      <c r="P716" s="3341"/>
      <c r="Q716" s="3341"/>
      <c r="R716" s="3341"/>
      <c r="S716" s="3341"/>
      <c r="T716" s="3341"/>
      <c r="U716" s="3341"/>
      <c r="V716" s="3341"/>
      <c r="W716" s="3341"/>
      <c r="X716" s="3341"/>
      <c r="Y716" s="3341"/>
      <c r="Z716" s="3341"/>
      <c r="AA716" s="3341"/>
      <c r="AB716" s="3544">
        <f>SUM('FS-21'!Y51:AE51)</f>
        <v>29999875599.0357</v>
      </c>
      <c r="AC716" s="3544"/>
      <c r="AD716" s="3544"/>
      <c r="AE716" s="3544"/>
      <c r="AF716" s="3544"/>
      <c r="AG716" s="3544"/>
      <c r="AH716" s="3544"/>
      <c r="AI716" s="3326"/>
      <c r="AJ716" s="3544">
        <f>SUM('FS-21'!AG51:AM51)</f>
        <v>33710873644.7047</v>
      </c>
      <c r="AK716" s="3544"/>
      <c r="AL716" s="3544"/>
      <c r="AM716" s="3544"/>
      <c r="AN716" s="3544"/>
      <c r="AO716" s="3544"/>
      <c r="AP716" s="3544"/>
      <c r="AQ716" s="3478"/>
      <c r="AR716" s="3479"/>
    </row>
    <row r="717" s="3330" customFormat="1" customHeight="1" spans="1:44">
      <c r="A717" s="64"/>
      <c r="B717" s="64"/>
      <c r="C717" s="3528" t="s">
        <v>2025</v>
      </c>
      <c r="D717" s="3341"/>
      <c r="E717" s="3341"/>
      <c r="F717" s="3341"/>
      <c r="G717" s="3341"/>
      <c r="H717" s="3341"/>
      <c r="I717" s="3341"/>
      <c r="J717" s="3341"/>
      <c r="K717" s="3341"/>
      <c r="L717" s="3341"/>
      <c r="M717" s="3341"/>
      <c r="N717" s="3341"/>
      <c r="O717" s="3341"/>
      <c r="P717" s="3341"/>
      <c r="Q717" s="3341"/>
      <c r="R717" s="3341"/>
      <c r="S717" s="3341"/>
      <c r="T717" s="3341"/>
      <c r="U717" s="3341"/>
      <c r="V717" s="3341"/>
      <c r="W717" s="3341"/>
      <c r="X717" s="3341"/>
      <c r="Y717" s="3341"/>
      <c r="Z717" s="3341"/>
      <c r="AA717" s="3341"/>
      <c r="AB717" s="3">
        <f>SUM(AB715:AH716)</f>
        <v>44980158073.7682</v>
      </c>
      <c r="AC717" s="3"/>
      <c r="AD717" s="3"/>
      <c r="AE717" s="3"/>
      <c r="AF717" s="3"/>
      <c r="AG717" s="3"/>
      <c r="AH717" s="3"/>
      <c r="AI717" s="3326"/>
      <c r="AJ717" s="3">
        <f>SUM(AJ715:AP716)</f>
        <v>51941522617.6969</v>
      </c>
      <c r="AK717" s="3"/>
      <c r="AL717" s="3"/>
      <c r="AM717" s="3"/>
      <c r="AN717" s="3"/>
      <c r="AO717" s="3"/>
      <c r="AP717" s="3"/>
      <c r="AQ717" s="3478"/>
      <c r="AR717" s="3479"/>
    </row>
    <row r="718" s="3330" customFormat="1" customHeight="1" spans="1:44">
      <c r="A718" s="64"/>
      <c r="B718" s="64"/>
      <c r="C718" s="3528" t="s">
        <v>2026</v>
      </c>
      <c r="D718" s="3341"/>
      <c r="E718" s="3341"/>
      <c r="F718" s="3341"/>
      <c r="G718" s="3341"/>
      <c r="H718" s="3341"/>
      <c r="I718" s="3341"/>
      <c r="J718" s="3341"/>
      <c r="K718" s="3341"/>
      <c r="L718" s="3341"/>
      <c r="M718" s="3341"/>
      <c r="N718" s="3341"/>
      <c r="O718" s="3341"/>
      <c r="P718" s="3341"/>
      <c r="Q718" s="3341"/>
      <c r="R718" s="3341"/>
      <c r="S718" s="3341"/>
      <c r="T718" s="3341"/>
      <c r="U718" s="3341"/>
      <c r="V718" s="3341"/>
      <c r="W718" s="3341"/>
      <c r="X718" s="3341"/>
      <c r="Y718" s="3341"/>
      <c r="Z718" s="3341"/>
      <c r="AA718" s="3341"/>
      <c r="AB718" s="3544">
        <f>SUM('FS-21'!Y11:AE11)</f>
        <v>295686160.08</v>
      </c>
      <c r="AC718" s="3544"/>
      <c r="AD718" s="3544"/>
      <c r="AE718" s="3544"/>
      <c r="AF718" s="3544"/>
      <c r="AG718" s="3544"/>
      <c r="AH718" s="3544"/>
      <c r="AI718" s="3326"/>
      <c r="AJ718" s="3544">
        <f>SUM('FS-21'!AG11:AM11)</f>
        <v>750100447</v>
      </c>
      <c r="AK718" s="3544"/>
      <c r="AL718" s="3544"/>
      <c r="AM718" s="3544"/>
      <c r="AN718" s="3544"/>
      <c r="AO718" s="3544"/>
      <c r="AP718" s="3544"/>
      <c r="AQ718" s="3478"/>
      <c r="AR718" s="3479"/>
    </row>
    <row r="719" s="3330" customFormat="1" ht="12.95" customHeight="1" spans="1:44">
      <c r="A719" s="64"/>
      <c r="B719" s="64"/>
      <c r="C719" s="3528" t="s">
        <v>2027</v>
      </c>
      <c r="D719" s="3341"/>
      <c r="E719" s="3341"/>
      <c r="F719" s="3341"/>
      <c r="G719" s="3341"/>
      <c r="H719" s="3341"/>
      <c r="I719" s="3341"/>
      <c r="J719" s="3341"/>
      <c r="K719" s="3341"/>
      <c r="L719" s="3341"/>
      <c r="M719" s="3341"/>
      <c r="N719" s="3341"/>
      <c r="O719" s="3341"/>
      <c r="P719" s="3341"/>
      <c r="Q719" s="3341"/>
      <c r="R719" s="3341"/>
      <c r="S719" s="3341"/>
      <c r="T719" s="3341"/>
      <c r="U719" s="3341"/>
      <c r="V719" s="3341"/>
      <c r="W719" s="3341"/>
      <c r="X719" s="3341"/>
      <c r="Y719" s="3341"/>
      <c r="Z719" s="3341"/>
      <c r="AA719" s="3341"/>
      <c r="AB719">
        <f>AB717-AB718</f>
        <v>44684471913.6882</v>
      </c>
      <c r="AC719"/>
      <c r="AD719"/>
      <c r="AE719"/>
      <c r="AF719"/>
      <c r="AG719"/>
      <c r="AH719"/>
      <c r="AI719" s="3326"/>
      <c r="AJ719">
        <f>AJ717-AJ718</f>
        <v>51191422170.6969</v>
      </c>
      <c r="AK719"/>
      <c r="AL719"/>
      <c r="AM719"/>
      <c r="AN719"/>
      <c r="AO719"/>
      <c r="AP719"/>
      <c r="AQ719"/>
      <c r="AR719" s="3479"/>
    </row>
    <row r="720" s="3330" customFormat="1" ht="11.4" spans="1:44">
      <c r="A720" s="64"/>
      <c r="B720" s="64"/>
      <c r="C720" s="3528" t="s">
        <v>2028</v>
      </c>
      <c r="D720" s="3341"/>
      <c r="E720" s="3341"/>
      <c r="F720" s="3341"/>
      <c r="G720" s="3341"/>
      <c r="H720" s="3341"/>
      <c r="I720" s="3341"/>
      <c r="J720" s="3341"/>
      <c r="K720" s="3341"/>
      <c r="L720" s="3341"/>
      <c r="M720" s="3341"/>
      <c r="N720" s="3341"/>
      <c r="O720" s="3341"/>
      <c r="P720" s="3341"/>
      <c r="Q720" s="3341"/>
      <c r="R720" s="3341"/>
      <c r="S720" s="3341"/>
      <c r="T720" s="3341"/>
      <c r="U720" s="3341"/>
      <c r="V720" s="3341"/>
      <c r="W720" s="3341"/>
      <c r="X720" s="3341"/>
      <c r="Y720" s="3341"/>
      <c r="Z720" s="3341"/>
      <c r="AA720" s="3341"/>
      <c r="AB720" s="3546">
        <f>SUM('FS-21'!Y59:AE59)</f>
        <v>21100743261.0143</v>
      </c>
      <c r="AC720" s="3546"/>
      <c r="AD720" s="3546"/>
      <c r="AE720" s="3546"/>
      <c r="AF720" s="3546"/>
      <c r="AG720" s="3546"/>
      <c r="AH720" s="3546"/>
      <c r="AI720" s="3325"/>
      <c r="AJ720" s="3546">
        <f>SUM('FS-21'!AG59:AM59)</f>
        <v>20865490344.765</v>
      </c>
      <c r="AK720" s="3546"/>
      <c r="AL720" s="3546"/>
      <c r="AM720" s="3546"/>
      <c r="AN720" s="3546"/>
      <c r="AO720" s="3546"/>
      <c r="AP720" s="3546"/>
      <c r="AQ720" s="3478"/>
      <c r="AR720" s="3479"/>
    </row>
    <row r="721" s="3330" customFormat="1" customHeight="1" spans="1:44">
      <c r="A721" s="64"/>
      <c r="B721" s="64"/>
      <c r="C721" s="94" t="s">
        <v>2029</v>
      </c>
      <c r="D721" s="3344"/>
      <c r="E721" s="3344"/>
      <c r="F721" s="3344"/>
      <c r="G721" s="3344"/>
      <c r="H721" s="3344"/>
      <c r="I721" s="3344"/>
      <c r="J721" s="3344"/>
      <c r="K721" s="3344"/>
      <c r="L721" s="3344"/>
      <c r="M721" s="3344"/>
      <c r="N721" s="3344"/>
      <c r="O721" s="3344"/>
      <c r="P721" s="3344"/>
      <c r="Q721" s="3344"/>
      <c r="R721" s="3344"/>
      <c r="S721" s="3344"/>
      <c r="T721" s="3344"/>
      <c r="U721" s="3344"/>
      <c r="V721" s="3344"/>
      <c r="W721" s="3344"/>
      <c r="X721" s="3344"/>
      <c r="Y721" s="3344"/>
      <c r="Z721" s="3344"/>
      <c r="AA721" s="3344"/>
      <c r="AB721" s="3545">
        <f>AB719/AB720</f>
        <v>2.11767288767724</v>
      </c>
      <c r="AC721" s="3545"/>
      <c r="AD721" s="3545"/>
      <c r="AE721" s="3545"/>
      <c r="AF721" s="3545"/>
      <c r="AG721" s="3545"/>
      <c r="AH721" s="3545"/>
      <c r="AI721" s="3547"/>
      <c r="AJ721" s="3545">
        <f>AJ719/AJ720</f>
        <v>2.45340134954176</v>
      </c>
      <c r="AK721" s="3545"/>
      <c r="AL721" s="3545"/>
      <c r="AM721" s="3545"/>
      <c r="AN721" s="3545"/>
      <c r="AO721" s="3545"/>
      <c r="AP721" s="3545"/>
      <c r="AQ721" s="3478" t="s">
        <v>2030</v>
      </c>
      <c r="AR721" s="3479"/>
    </row>
    <row r="722" s="3330" customFormat="1" ht="11.1" hidden="1" customHeight="1" spans="1:44">
      <c r="A722" s="3335">
        <f>A684+1</f>
        <v>17</v>
      </c>
      <c r="B722" s="64"/>
      <c r="C722" s="3322" t="s">
        <v>2031</v>
      </c>
      <c r="D722" s="3341"/>
      <c r="E722" s="3341"/>
      <c r="F722" s="3341"/>
      <c r="G722" s="3341"/>
      <c r="H722" s="3341"/>
      <c r="I722" s="3341"/>
      <c r="J722" s="3341"/>
      <c r="K722" s="3341"/>
      <c r="L722" s="3341"/>
      <c r="M722" s="3341"/>
      <c r="N722" s="3341"/>
      <c r="O722" s="3341"/>
      <c r="P722" s="3341"/>
      <c r="Q722" s="3341"/>
      <c r="R722" s="3341"/>
      <c r="S722" s="3341"/>
      <c r="T722" s="3341"/>
      <c r="U722" s="3341"/>
      <c r="V722" s="3341"/>
      <c r="W722" s="3341"/>
      <c r="X722" s="3341"/>
      <c r="Y722" s="3341"/>
      <c r="Z722" s="3341"/>
      <c r="AA722" s="3341"/>
      <c r="AB722" s="3349"/>
      <c r="AC722" s="16"/>
      <c r="AD722" s="16"/>
      <c r="AE722" s="16"/>
      <c r="AF722" s="16"/>
      <c r="AG722" s="16"/>
      <c r="AH722" s="16"/>
      <c r="AI722" s="3326"/>
      <c r="AJ722" s="3349"/>
      <c r="AK722" s="16"/>
      <c r="AL722" s="16"/>
      <c r="AM722" s="16"/>
      <c r="AN722" s="16"/>
      <c r="AO722" s="16"/>
      <c r="AP722" s="16"/>
      <c r="AQ722" s="3478"/>
      <c r="AR722"/>
    </row>
    <row r="723" s="3330" customFormat="1" ht="9.2" hidden="1" customHeight="1" spans="1:44">
      <c r="A723" s="64"/>
      <c r="B723" s="64"/>
      <c r="C723" s="3341"/>
      <c r="D723" s="3341"/>
      <c r="E723" s="3341"/>
      <c r="F723" s="3341"/>
      <c r="G723" s="3341"/>
      <c r="H723" s="3341"/>
      <c r="I723" s="3341"/>
      <c r="J723" s="3341"/>
      <c r="K723" s="3341"/>
      <c r="L723" s="3341"/>
      <c r="M723" s="3341"/>
      <c r="N723" s="3341"/>
      <c r="O723" s="3341"/>
      <c r="P723" s="3341"/>
      <c r="Q723" s="3341"/>
      <c r="R723" s="3341"/>
      <c r="S723" s="3341"/>
      <c r="T723" s="3341"/>
      <c r="U723" s="3341"/>
      <c r="V723" s="3341"/>
      <c r="W723" s="3341"/>
      <c r="X723" s="3341"/>
      <c r="Y723" s="3341"/>
      <c r="Z723" s="3341"/>
      <c r="AA723" s="3341"/>
      <c r="AB723" s="3349"/>
      <c r="AC723" s="16"/>
      <c r="AD723" s="16"/>
      <c r="AE723" s="16"/>
      <c r="AF723" s="16"/>
      <c r="AG723" s="16"/>
      <c r="AH723" s="16"/>
      <c r="AI723" s="3326"/>
      <c r="AJ723" s="3349"/>
      <c r="AK723" s="16"/>
      <c r="AL723" s="16"/>
      <c r="AM723" s="16"/>
      <c r="AN723" s="16"/>
      <c r="AO723" s="16"/>
      <c r="AP723" s="16"/>
      <c r="AQ723" s="3478"/>
      <c r="AR723" s="3479"/>
    </row>
    <row r="724" s="3330" customFormat="1" ht="36.75" hidden="1" customHeight="1" spans="1:44">
      <c r="A724" s="64"/>
      <c r="B724" s="64"/>
      <c r="C724" s="5036" t="s">
        <v>2032</v>
      </c>
      <c r="D724" s="3341"/>
      <c r="E724" s="3341"/>
      <c r="F724" s="3341"/>
      <c r="G724" s="3341"/>
      <c r="H724" s="3341"/>
      <c r="I724" s="3341"/>
      <c r="J724" s="3341"/>
      <c r="K724" s="3341"/>
      <c r="L724" s="3341"/>
      <c r="M724" s="3341"/>
      <c r="N724" s="3341"/>
      <c r="O724" s="3341"/>
      <c r="P724" s="3341"/>
      <c r="Q724" s="3341"/>
      <c r="R724" s="3341"/>
      <c r="S724" s="3341"/>
      <c r="T724" s="3341"/>
      <c r="U724" s="3341"/>
      <c r="V724" s="3341"/>
      <c r="W724" s="3341"/>
      <c r="X724" s="3341"/>
      <c r="Y724" s="3341"/>
      <c r="Z724" s="3341"/>
      <c r="AA724" s="3341"/>
      <c r="AB724" s="3341"/>
      <c r="AC724" s="3341"/>
      <c r="AD724" s="3341"/>
      <c r="AE724" s="3341"/>
      <c r="AF724" s="3341"/>
      <c r="AG724" s="3341"/>
      <c r="AH724" s="3341"/>
      <c r="AI724" s="3341"/>
      <c r="AJ724" s="3341"/>
      <c r="AK724" s="3341"/>
      <c r="AL724" s="3341"/>
      <c r="AM724" s="3341"/>
      <c r="AN724" s="3341"/>
      <c r="AO724" s="3341"/>
      <c r="AP724" s="3341"/>
      <c r="AQ724" s="3478"/>
      <c r="AR724"/>
    </row>
    <row r="725" s="3330" customFormat="1" ht="15" hidden="1" customHeight="1" spans="1:44">
      <c r="A725" s="64"/>
      <c r="B725" s="64"/>
      <c r="C725" s="3527"/>
      <c r="D725" s="3341"/>
      <c r="E725" s="3341"/>
      <c r="F725" s="3341"/>
      <c r="G725" s="3341"/>
      <c r="H725" s="3341"/>
      <c r="I725" s="3341"/>
      <c r="J725" s="3341"/>
      <c r="K725" s="3341"/>
      <c r="L725" s="3341"/>
      <c r="M725" s="3341"/>
      <c r="N725" s="3341"/>
      <c r="O725" s="3341"/>
      <c r="P725" s="3341"/>
      <c r="Q725" s="3341"/>
      <c r="R725" s="3341"/>
      <c r="S725" s="3341"/>
      <c r="T725" s="3341"/>
      <c r="U725" s="3341"/>
      <c r="V725" s="3341"/>
      <c r="W725" s="3341"/>
      <c r="X725" s="3341"/>
      <c r="Y725" s="3341"/>
      <c r="Z725" s="3341"/>
      <c r="AA725" s="3341"/>
      <c r="AB725" s="3349"/>
      <c r="AC725" s="16"/>
      <c r="AD725" s="16"/>
      <c r="AE725" s="16"/>
      <c r="AF725" s="16"/>
      <c r="AG725" s="16"/>
      <c r="AH725" s="16"/>
      <c r="AI725" s="3326"/>
      <c r="AJ725" s="3349"/>
      <c r="AK725" s="16"/>
      <c r="AL725" s="16"/>
      <c r="AM725" s="16"/>
      <c r="AN725" s="16"/>
      <c r="AO725" s="16"/>
      <c r="AP725" s="16"/>
      <c r="AQ725" s="3478"/>
      <c r="AR725" s="3479"/>
    </row>
    <row r="726" s="3330" customFormat="1" hidden="1" customHeight="1" spans="1:44">
      <c r="A726" s="3335">
        <f>A722+1</f>
        <v>18</v>
      </c>
      <c r="B726" s="64"/>
      <c r="C726" s="3322" t="e">
        <f>UPPER(#REF!)</f>
        <v>#REF!</v>
      </c>
      <c r="D726" s="3341"/>
      <c r="E726" s="3341"/>
      <c r="F726" s="3341"/>
      <c r="G726" s="3341"/>
      <c r="H726" s="3341"/>
      <c r="I726" s="3341"/>
      <c r="J726" s="3341"/>
      <c r="K726" s="3341"/>
      <c r="L726" s="3341"/>
      <c r="M726" s="3341"/>
      <c r="N726" s="3341"/>
      <c r="O726" s="3341"/>
      <c r="P726" s="3341"/>
      <c r="Q726" s="3341"/>
      <c r="R726" s="3341"/>
      <c r="S726" s="3341"/>
      <c r="T726" s="3341"/>
      <c r="U726" s="3341"/>
      <c r="V726" s="3341"/>
      <c r="W726" s="3341"/>
      <c r="X726" s="3341"/>
      <c r="Y726" s="3341"/>
      <c r="Z726" s="3341"/>
      <c r="AA726" s="3341"/>
      <c r="AB726" s="3349"/>
      <c r="AC726" s="16"/>
      <c r="AD726" s="16"/>
      <c r="AE726" s="16"/>
      <c r="AF726" s="16"/>
      <c r="AG726" s="16"/>
      <c r="AH726" s="16"/>
      <c r="AI726" s="3326"/>
      <c r="AJ726" s="3349"/>
      <c r="AK726" s="16"/>
      <c r="AL726" s="16"/>
      <c r="AM726" s="16"/>
      <c r="AN726" s="16"/>
      <c r="AO726" s="16"/>
      <c r="AP726" s="16"/>
      <c r="AQ726" s="3478"/>
      <c r="AR726" s="3479"/>
    </row>
    <row r="727" s="3330" customFormat="1" ht="9.2" hidden="1" customHeight="1" spans="1:44">
      <c r="A727" s="64"/>
      <c r="B727" s="64"/>
      <c r="C727" s="3341"/>
      <c r="D727" s="3341"/>
      <c r="E727" s="3341"/>
      <c r="F727" s="3341"/>
      <c r="G727" s="3341"/>
      <c r="H727" s="3341"/>
      <c r="I727" s="3341"/>
      <c r="J727" s="3341"/>
      <c r="K727" s="3341"/>
      <c r="L727" s="3341"/>
      <c r="M727" s="3341"/>
      <c r="N727" s="3341"/>
      <c r="O727" s="3341"/>
      <c r="P727" s="3341"/>
      <c r="Q727" s="3341"/>
      <c r="R727" s="3341"/>
      <c r="S727" s="3341"/>
      <c r="T727" s="3341"/>
      <c r="U727" s="3341"/>
      <c r="V727" s="3341"/>
      <c r="W727" s="3341"/>
      <c r="X727" s="3341"/>
      <c r="Y727" s="3341"/>
      <c r="Z727" s="3341"/>
      <c r="AA727" s="3341"/>
      <c r="AB727" s="3349"/>
      <c r="AC727" s="16"/>
      <c r="AD727" s="16"/>
      <c r="AE727" s="16"/>
      <c r="AF727" s="16"/>
      <c r="AG727" s="16"/>
      <c r="AH727" s="16"/>
      <c r="AI727" s="3326"/>
      <c r="AJ727" s="3349"/>
      <c r="AK727" s="16"/>
      <c r="AL727" s="16"/>
      <c r="AM727" s="16"/>
      <c r="AN727" s="16"/>
      <c r="AO727" s="16"/>
      <c r="AP727" s="16"/>
      <c r="AQ727" s="3478"/>
      <c r="AR727" s="3479"/>
    </row>
    <row r="728" s="3330" customFormat="1" ht="53.25" hidden="1" customHeight="1" spans="1:44">
      <c r="A728" s="64"/>
      <c r="B728" s="64"/>
      <c r="C728" s="5036" t="s">
        <v>2033</v>
      </c>
      <c r="D728" s="3341"/>
      <c r="E728" s="3341"/>
      <c r="F728" s="3341"/>
      <c r="G728" s="3341"/>
      <c r="H728" s="3341"/>
      <c r="I728" s="3341"/>
      <c r="J728" s="3341"/>
      <c r="K728" s="3341"/>
      <c r="L728" s="3341"/>
      <c r="M728" s="3341"/>
      <c r="N728" s="3341"/>
      <c r="O728" s="3341"/>
      <c r="P728" s="3341"/>
      <c r="Q728" s="3341"/>
      <c r="R728" s="3341"/>
      <c r="S728" s="3341"/>
      <c r="T728" s="3341"/>
      <c r="U728" s="3341"/>
      <c r="V728" s="3341"/>
      <c r="W728" s="3341"/>
      <c r="X728" s="3341"/>
      <c r="Y728" s="3341"/>
      <c r="Z728" s="3341"/>
      <c r="AA728" s="3341"/>
      <c r="AB728" s="3341"/>
      <c r="AC728" s="3341"/>
      <c r="AD728" s="3341"/>
      <c r="AE728" s="3341"/>
      <c r="AF728" s="3341"/>
      <c r="AG728" s="3341"/>
      <c r="AH728" s="3341"/>
      <c r="AI728" s="3341"/>
      <c r="AJ728" s="3341"/>
      <c r="AK728" s="3341"/>
      <c r="AL728" s="3341"/>
      <c r="AM728" s="3341"/>
      <c r="AN728" s="3341"/>
      <c r="AO728" s="3341"/>
      <c r="AP728" s="3341"/>
      <c r="AQ728" s="3478"/>
      <c r="AR728" s="3479"/>
    </row>
    <row r="729" s="3330" customFormat="1" ht="15" customHeight="1" spans="1:44">
      <c r="A729" s="64"/>
      <c r="B729" s="64"/>
      <c r="C729" s="3527"/>
      <c r="D729" s="3341"/>
      <c r="E729" s="3341"/>
      <c r="F729" s="3341"/>
      <c r="G729" s="3341"/>
      <c r="H729" s="3341"/>
      <c r="I729" s="3341"/>
      <c r="J729" s="3341"/>
      <c r="K729" s="3341"/>
      <c r="L729" s="3341"/>
      <c r="M729" s="3341"/>
      <c r="N729" s="3341"/>
      <c r="O729" s="3341"/>
      <c r="P729" s="3341"/>
      <c r="Q729" s="3341"/>
      <c r="R729" s="3341"/>
      <c r="S729" s="3341"/>
      <c r="T729" s="3341"/>
      <c r="U729" s="3341"/>
      <c r="V729" s="3341"/>
      <c r="W729" s="3341"/>
      <c r="X729" s="3341"/>
      <c r="Y729" s="3341"/>
      <c r="Z729" s="3341"/>
      <c r="AA729" s="3341"/>
      <c r="AB729" s="3349"/>
      <c r="AC729" s="16"/>
      <c r="AD729" s="16"/>
      <c r="AE729" s="16"/>
      <c r="AF729" s="16"/>
      <c r="AG729" s="16"/>
      <c r="AH729" s="16"/>
      <c r="AI729" s="3326"/>
      <c r="AJ729" s="3349"/>
      <c r="AK729" s="16"/>
      <c r="AL729" s="16"/>
      <c r="AM729" s="16"/>
      <c r="AN729" s="16"/>
      <c r="AO729" s="16"/>
      <c r="AP729" s="16"/>
      <c r="AQ729" s="3478"/>
      <c r="AR729" s="3479"/>
    </row>
    <row r="730" s="3330" customFormat="1" spans="1:43">
      <c r="A730" s="3335">
        <f>+A684+1</f>
        <v>17</v>
      </c>
      <c r="B730" s="64"/>
      <c r="C730" s="3322" t="s">
        <v>1296</v>
      </c>
      <c r="D730" s="64"/>
      <c r="E730" s="64"/>
      <c r="F730" s="3341"/>
      <c r="G730" s="3341"/>
      <c r="H730" s="3341"/>
      <c r="I730" s="3341"/>
      <c r="J730" s="3341"/>
      <c r="K730" s="3341"/>
      <c r="L730" s="3341"/>
      <c r="M730" s="3341"/>
      <c r="N730" s="3341"/>
      <c r="O730" s="3341"/>
      <c r="P730" s="64"/>
      <c r="Q730" s="64"/>
      <c r="R730" s="64"/>
      <c r="S730" s="64"/>
      <c r="T730" s="64"/>
      <c r="U730" s="64"/>
      <c r="V730" s="64"/>
      <c r="W730" s="64"/>
      <c r="X730" s="64"/>
      <c r="Y730" s="64"/>
      <c r="Z730" s="64"/>
      <c r="AA730" s="64"/>
      <c r="AB730" s="3359">
        <f>AB714</f>
        <v>2021</v>
      </c>
      <c r="AC730" s="3360"/>
      <c r="AD730" s="3360"/>
      <c r="AE730" s="3360"/>
      <c r="AF730" s="3360"/>
      <c r="AG730" s="3360"/>
      <c r="AH730" s="3360"/>
      <c r="AI730" s="64"/>
      <c r="AJ730" s="3576">
        <f>AJ714</f>
        <v>2020</v>
      </c>
      <c r="AK730" s="3576"/>
      <c r="AL730" s="3576"/>
      <c r="AM730" s="3576"/>
      <c r="AN730" s="3576"/>
      <c r="AO730" s="3576"/>
      <c r="AP730" s="3576"/>
      <c r="AQ730" s="3478"/>
    </row>
    <row r="731" s="3330" customFormat="1" ht="9.2" customHeight="1" spans="1:43">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c r="AG731" s="64"/>
      <c r="AH731" s="64"/>
      <c r="AL731" s="3326"/>
      <c r="AQ731" s="3478"/>
    </row>
    <row r="732" s="3330" customFormat="1" customHeight="1" spans="1:44">
      <c r="A732" s="64"/>
      <c r="B732" s="64"/>
      <c r="C732" t="s">
        <v>2034</v>
      </c>
      <c r="D732" s="3341"/>
      <c r="E732" s="3341"/>
      <c r="F732" s="3341"/>
      <c r="G732" s="3341"/>
      <c r="H732" s="3341"/>
      <c r="I732" s="3341"/>
      <c r="J732" s="3341"/>
      <c r="K732" s="3341"/>
      <c r="L732" s="3341"/>
      <c r="M732" s="3341"/>
      <c r="N732" s="3341"/>
      <c r="O732" s="3341"/>
      <c r="P732" s="3341"/>
      <c r="Q732" s="3341"/>
      <c r="R732" s="3341"/>
      <c r="S732" s="3341"/>
      <c r="T732" s="3341"/>
      <c r="U732" s="3341"/>
      <c r="V732" s="3341"/>
      <c r="W732" s="3341"/>
      <c r="X732" s="3341"/>
      <c r="Y732" s="3341"/>
      <c r="Z732" s="3341"/>
      <c r="AA732" s="3341"/>
      <c r="AB732" s="3">
        <f ca="1">+'Rekap Sales'!D8</f>
        <v>2546584440</v>
      </c>
      <c r="AC732" s="3"/>
      <c r="AD732" s="3"/>
      <c r="AE732" s="3"/>
      <c r="AF732" s="3"/>
      <c r="AG732" s="3"/>
      <c r="AH732" s="3"/>
      <c r="AI732" s="3326"/>
      <c r="AJ732" s="3">
        <f>+'Rekap Sales'!E8</f>
        <v>4236090171</v>
      </c>
      <c r="AK732" s="3"/>
      <c r="AL732" s="3"/>
      <c r="AM732" s="3"/>
      <c r="AN732" s="3"/>
      <c r="AO732" s="3"/>
      <c r="AP732" s="3"/>
      <c r="AQ732" s="3478"/>
      <c r="AR732" s="719"/>
    </row>
    <row r="733" s="3330" customFormat="1" customHeight="1" spans="1:44">
      <c r="A733" s="64"/>
      <c r="B733" s="64"/>
      <c r="C733" t="s">
        <v>2035</v>
      </c>
      <c r="D733" s="3341"/>
      <c r="E733" s="3341"/>
      <c r="F733" s="3341"/>
      <c r="G733" s="3341"/>
      <c r="H733" s="3341"/>
      <c r="I733" s="3341"/>
      <c r="J733" s="3341"/>
      <c r="K733" s="3341"/>
      <c r="L733" s="3341"/>
      <c r="M733" s="3341"/>
      <c r="N733" s="3341"/>
      <c r="O733" s="3341"/>
      <c r="P733" s="3341"/>
      <c r="Q733" s="3341"/>
      <c r="R733" s="3341"/>
      <c r="S733" s="3341"/>
      <c r="T733" s="3341"/>
      <c r="U733" s="3341"/>
      <c r="V733" s="3341"/>
      <c r="W733" s="3341"/>
      <c r="X733" s="3341"/>
      <c r="Y733" s="3341"/>
      <c r="Z733" s="3341"/>
      <c r="AA733" s="3341"/>
      <c r="AB733" s="3">
        <f ca="1">+'Rekap Sales'!D7</f>
        <v>1362343076.72</v>
      </c>
      <c r="AC733" s="3"/>
      <c r="AD733" s="3"/>
      <c r="AE733" s="3"/>
      <c r="AF733" s="3"/>
      <c r="AG733" s="3"/>
      <c r="AH733" s="3"/>
      <c r="AI733" s="3326"/>
      <c r="AJ733" s="3">
        <f>+'Rekap Sales'!E7</f>
        <v>6482516021.5</v>
      </c>
      <c r="AK733" s="3"/>
      <c r="AL733" s="3"/>
      <c r="AM733" s="3"/>
      <c r="AN733" s="3"/>
      <c r="AO733" s="3"/>
      <c r="AP733" s="3"/>
      <c r="AQ733" s="3478"/>
      <c r="AR733" s="719"/>
    </row>
    <row r="734" s="3330" customFormat="1" customHeight="1" spans="1:44">
      <c r="A734" s="64"/>
      <c r="B734" s="64"/>
      <c r="C734" t="s">
        <v>2036</v>
      </c>
      <c r="D734" s="3341"/>
      <c r="E734" s="3341"/>
      <c r="F734" s="3341"/>
      <c r="G734" s="3341"/>
      <c r="H734" s="3341"/>
      <c r="I734" s="3341"/>
      <c r="J734" s="3341"/>
      <c r="K734" s="3341"/>
      <c r="L734" s="3341"/>
      <c r="M734" s="3341"/>
      <c r="N734" s="3341"/>
      <c r="O734" s="3341"/>
      <c r="P734" s="3341"/>
      <c r="Q734" s="3341"/>
      <c r="R734" s="3341"/>
      <c r="S734" s="3341"/>
      <c r="T734" s="3341"/>
      <c r="U734" s="3341"/>
      <c r="V734" s="3341"/>
      <c r="W734" s="3341"/>
      <c r="X734" s="3341"/>
      <c r="Y734" s="3341"/>
      <c r="Z734" s="3341"/>
      <c r="AA734" s="3341"/>
      <c r="AB734" s="3">
        <f ca="1">+'Rekap Sales'!D9</f>
        <v>1080740706</v>
      </c>
      <c r="AC734" s="3"/>
      <c r="AD734" s="3"/>
      <c r="AE734" s="3"/>
      <c r="AF734" s="3"/>
      <c r="AG734" s="3"/>
      <c r="AH734" s="3"/>
      <c r="AI734" s="3326"/>
      <c r="AJ734" s="3">
        <f>+'Rekap Sales'!E9</f>
        <v>1585333737</v>
      </c>
      <c r="AK734" s="3"/>
      <c r="AL734" s="3"/>
      <c r="AM734" s="3"/>
      <c r="AN734" s="3"/>
      <c r="AO734" s="3"/>
      <c r="AP734" s="3"/>
      <c r="AQ734" s="3478"/>
      <c r="AR734" s="719"/>
    </row>
    <row r="735" s="3330" customFormat="1" customHeight="1" spans="1:44">
      <c r="A735" s="64"/>
      <c r="B735" s="64"/>
      <c r="C735" t="s">
        <v>2037</v>
      </c>
      <c r="D735" s="3341"/>
      <c r="E735" s="3341"/>
      <c r="F735" s="3341"/>
      <c r="G735" s="3341"/>
      <c r="H735" s="3341"/>
      <c r="I735" s="3341"/>
      <c r="J735" s="3341"/>
      <c r="K735" s="3341"/>
      <c r="L735" s="3341"/>
      <c r="M735" s="3341"/>
      <c r="N735" s="3341"/>
      <c r="O735" s="3341"/>
      <c r="P735" s="3341"/>
      <c r="Q735" s="3341"/>
      <c r="R735" s="3341"/>
      <c r="S735" s="3341"/>
      <c r="T735" s="3341"/>
      <c r="U735" s="3341"/>
      <c r="V735" s="3341"/>
      <c r="W735" s="3341"/>
      <c r="X735" s="3341"/>
      <c r="Y735" s="3341"/>
      <c r="Z735" s="3341"/>
      <c r="AA735" s="3341"/>
      <c r="AB735" s="3">
        <f ca="1">+'Rekap Sales'!D10</f>
        <v>561830500</v>
      </c>
      <c r="AC735" s="3"/>
      <c r="AD735" s="3"/>
      <c r="AE735" s="3"/>
      <c r="AF735" s="3"/>
      <c r="AG735" s="3"/>
      <c r="AH735" s="3"/>
      <c r="AI735" s="3326"/>
      <c r="AJ735" s="3">
        <f>+'Rekap Sales'!E10</f>
        <v>203066961</v>
      </c>
      <c r="AK735" s="3"/>
      <c r="AL735" s="3"/>
      <c r="AM735" s="3"/>
      <c r="AN735" s="3"/>
      <c r="AO735" s="3"/>
      <c r="AP735" s="3"/>
      <c r="AQ735" s="3478"/>
      <c r="AR735" s="719"/>
    </row>
    <row r="736" s="3330" customFormat="1" ht="6" customHeight="1" spans="1:44">
      <c r="A736" s="64"/>
      <c r="B736" s="64"/>
      <c r="C736" s="3339"/>
      <c r="D736" s="3341"/>
      <c r="E736" s="3341"/>
      <c r="F736" s="3341"/>
      <c r="G736" s="3341"/>
      <c r="H736" s="3341"/>
      <c r="I736" s="3341"/>
      <c r="J736" s="3341"/>
      <c r="K736" s="3341"/>
      <c r="L736" s="3341"/>
      <c r="M736" s="3341"/>
      <c r="N736" s="3341"/>
      <c r="O736" s="3341"/>
      <c r="P736" s="3341"/>
      <c r="Q736" s="3341"/>
      <c r="R736" s="3341"/>
      <c r="S736" s="3341"/>
      <c r="T736" s="3341"/>
      <c r="U736" s="3341"/>
      <c r="V736" s="3341"/>
      <c r="W736" s="3341"/>
      <c r="X736" s="3341"/>
      <c r="Y736" s="3341"/>
      <c r="Z736" s="3341"/>
      <c r="AA736" s="3341"/>
      <c r="AB736"/>
      <c r="AC736"/>
      <c r="AD736"/>
      <c r="AE736"/>
      <c r="AF736"/>
      <c r="AG736"/>
      <c r="AH736"/>
      <c r="AI736" s="3326"/>
      <c r="AJ736"/>
      <c r="AK736"/>
      <c r="AL736"/>
      <c r="AM736"/>
      <c r="AN736"/>
      <c r="AO736"/>
      <c r="AP736"/>
      <c r="AQ736" s="3478"/>
      <c r="AR736" s="719"/>
    </row>
    <row r="737" s="3330" customFormat="1" ht="12.75" spans="1:44">
      <c r="A737" s="64"/>
      <c r="B737" s="64"/>
      <c r="C737" s="3529" t="s">
        <v>172</v>
      </c>
      <c r="D737" s="3344"/>
      <c r="E737" s="3344"/>
      <c r="F737" s="3344"/>
      <c r="G737" s="3344"/>
      <c r="H737" s="3344"/>
      <c r="I737" s="3344"/>
      <c r="J737" s="3344"/>
      <c r="K737" s="3344"/>
      <c r="L737" s="3344"/>
      <c r="M737" s="3344"/>
      <c r="N737" s="3344"/>
      <c r="O737" s="3344"/>
      <c r="P737" s="3344"/>
      <c r="Q737" s="3344"/>
      <c r="R737" s="3344"/>
      <c r="S737" s="3344"/>
      <c r="T737" s="3344"/>
      <c r="U737" s="3344"/>
      <c r="V737" s="3344"/>
      <c r="W737" s="3344"/>
      <c r="X737" s="3344"/>
      <c r="Y737" s="3344"/>
      <c r="Z737" s="3344"/>
      <c r="AA737" s="3344"/>
      <c r="AB737" s="3324">
        <f ca="1">SUM(AB733:AH736)</f>
        <v>3004914282.72</v>
      </c>
      <c r="AC737" s="3324"/>
      <c r="AD737" s="3324"/>
      <c r="AE737" s="3324"/>
      <c r="AF737" s="3324"/>
      <c r="AG737" s="3324"/>
      <c r="AH737" s="3324"/>
      <c r="AI737" s="3464"/>
      <c r="AJ737" s="3324">
        <f>SUM(AJ733:AP736)</f>
        <v>8270916719.5</v>
      </c>
      <c r="AK737" s="3324"/>
      <c r="AL737" s="3324"/>
      <c r="AM737" s="3324"/>
      <c r="AN737" s="3324"/>
      <c r="AO737" s="3324"/>
      <c r="AP737" s="3324"/>
      <c r="AQ737" s="3478"/>
      <c r="AR737" s="719"/>
    </row>
    <row r="738" s="3330" customFormat="1" ht="9" customHeight="1" spans="1:44">
      <c r="A738" s="64"/>
      <c r="B738" s="64"/>
      <c r="C738" s="3528"/>
      <c r="D738" s="3341"/>
      <c r="E738" s="3341"/>
      <c r="F738" s="3341"/>
      <c r="G738" s="3341"/>
      <c r="H738" s="3341"/>
      <c r="I738" s="3341"/>
      <c r="J738" s="3341"/>
      <c r="K738" s="3341"/>
      <c r="L738" s="3341"/>
      <c r="M738" s="3341"/>
      <c r="N738" s="3341"/>
      <c r="O738" s="3341"/>
      <c r="P738" s="3341"/>
      <c r="Q738" s="3341"/>
      <c r="R738" s="3341"/>
      <c r="S738" s="3341"/>
      <c r="T738" s="3341"/>
      <c r="U738" s="3341"/>
      <c r="V738" s="3341"/>
      <c r="W738" s="3341"/>
      <c r="X738" s="3341"/>
      <c r="Y738" s="3341"/>
      <c r="Z738" s="3341"/>
      <c r="AA738" s="3341"/>
      <c r="AB738" s="3341"/>
      <c r="AC738" s="3341"/>
      <c r="AD738" s="3341"/>
      <c r="AE738" s="3341"/>
      <c r="AF738" s="3341"/>
      <c r="AG738" s="3341"/>
      <c r="AH738" s="3341"/>
      <c r="AI738" s="3341"/>
      <c r="AJ738" s="3341"/>
      <c r="AK738" s="3341"/>
      <c r="AL738" s="3341"/>
      <c r="AM738" s="3341"/>
      <c r="AN738" s="3341"/>
      <c r="AO738" s="3341"/>
      <c r="AP738" s="3341"/>
      <c r="AQ738" s="3478"/>
      <c r="AR738" s="3479"/>
    </row>
    <row r="739" s="3330" customFormat="1" ht="47.45" customHeight="1" spans="1:44">
      <c r="A739" s="64"/>
      <c r="B739" s="64"/>
      <c r="C739" s="5036" t="s">
        <v>2038</v>
      </c>
      <c r="D739" s="3341"/>
      <c r="E739" s="3341"/>
      <c r="F739" s="3341"/>
      <c r="G739" s="3341"/>
      <c r="H739" s="3341"/>
      <c r="I739" s="3341"/>
      <c r="J739" s="3341"/>
      <c r="K739" s="3341"/>
      <c r="L739" s="3341"/>
      <c r="M739" s="3341"/>
      <c r="N739" s="3341"/>
      <c r="O739" s="3341"/>
      <c r="P739" s="3341"/>
      <c r="Q739" s="3341"/>
      <c r="R739" s="3341"/>
      <c r="S739" s="3341"/>
      <c r="T739" s="3341"/>
      <c r="U739" s="3341"/>
      <c r="V739" s="3341"/>
      <c r="W739" s="3341"/>
      <c r="X739" s="3341"/>
      <c r="Y739" s="3341"/>
      <c r="Z739" s="3341"/>
      <c r="AA739" s="3341"/>
      <c r="AB739" s="3341"/>
      <c r="AC739" s="3341"/>
      <c r="AD739" s="3341"/>
      <c r="AE739" s="3341"/>
      <c r="AF739" s="3341"/>
      <c r="AG739" s="3341"/>
      <c r="AH739" s="3341"/>
      <c r="AI739" s="3341"/>
      <c r="AJ739" s="3341"/>
      <c r="AK739" s="3341"/>
      <c r="AL739" s="3341"/>
      <c r="AM739" s="3341"/>
      <c r="AN739" s="3341"/>
      <c r="AO739" s="3341"/>
      <c r="AP739" s="3341"/>
      <c r="AQ739" s="3478"/>
      <c r="AR739" s="3479"/>
    </row>
    <row r="740" s="3330" customFormat="1" ht="12.6" customHeight="1" spans="1:44">
      <c r="A740" s="64"/>
      <c r="B740" s="64"/>
      <c r="C740" s="3528"/>
      <c r="D740" s="3341"/>
      <c r="E740" s="3341"/>
      <c r="F740" s="3341"/>
      <c r="G740" s="3341"/>
      <c r="H740" s="3341"/>
      <c r="I740" s="3341"/>
      <c r="J740" s="3341"/>
      <c r="K740" s="3341"/>
      <c r="L740" s="3341"/>
      <c r="M740" s="3341"/>
      <c r="N740" s="3341"/>
      <c r="O740" s="3341"/>
      <c r="P740" s="3341"/>
      <c r="Q740" s="3341"/>
      <c r="R740" s="3341"/>
      <c r="S740" s="3341"/>
      <c r="T740" s="3341"/>
      <c r="U740" s="3341"/>
      <c r="V740" s="3341"/>
      <c r="W740" s="3341"/>
      <c r="X740" s="3341"/>
      <c r="Y740" s="3341"/>
      <c r="Z740" s="3341"/>
      <c r="AA740" s="3341"/>
      <c r="AB740" s="3341"/>
      <c r="AC740" s="3341"/>
      <c r="AD740" s="3341"/>
      <c r="AE740" s="3341"/>
      <c r="AF740" s="3341"/>
      <c r="AG740" s="3341"/>
      <c r="AH740" s="3341"/>
      <c r="AI740" s="3341"/>
      <c r="AJ740" s="3341"/>
      <c r="AK740" s="3341"/>
      <c r="AL740" s="3341"/>
      <c r="AM740" s="3341"/>
      <c r="AN740" s="3341"/>
      <c r="AO740" s="3341"/>
      <c r="AP740" s="3341"/>
      <c r="AQ740" s="3478"/>
      <c r="AR740" s="3479"/>
    </row>
    <row r="741" s="3330" customFormat="1" spans="1:44">
      <c r="A741" s="3335">
        <f>+A730+1</f>
        <v>18</v>
      </c>
      <c r="B741" s="64"/>
      <c r="C741" s="5037" t="s">
        <v>852</v>
      </c>
      <c r="D741" s="64"/>
      <c r="E741" s="64"/>
      <c r="F741" s="3315"/>
      <c r="G741" s="3315"/>
      <c r="H741" s="3315"/>
      <c r="I741" s="3315"/>
      <c r="J741" s="3315"/>
      <c r="K741" s="3315"/>
      <c r="L741" s="3315"/>
      <c r="M741" s="3315"/>
      <c r="N741" s="3315"/>
      <c r="O741" s="3315"/>
      <c r="P741" s="64"/>
      <c r="Q741" s="64"/>
      <c r="R741" s="64"/>
      <c r="S741" s="64"/>
      <c r="T741" s="64"/>
      <c r="U741" s="64"/>
      <c r="V741" s="64"/>
      <c r="W741" s="64"/>
      <c r="X741" s="64"/>
      <c r="Y741" s="64"/>
      <c r="Z741" s="64"/>
      <c r="AA741" s="3341"/>
      <c r="AB741" s="3359">
        <f>+AB730</f>
        <v>2021</v>
      </c>
      <c r="AC741" s="3360"/>
      <c r="AD741" s="3360"/>
      <c r="AE741" s="3360"/>
      <c r="AF741" s="3360"/>
      <c r="AG741" s="3360"/>
      <c r="AH741" s="3360"/>
      <c r="AI741" s="64"/>
      <c r="AJ741" s="3359">
        <f>+AJ730</f>
        <v>2020</v>
      </c>
      <c r="AK741" s="3360"/>
      <c r="AL741" s="3360"/>
      <c r="AM741" s="3360"/>
      <c r="AN741" s="3360"/>
      <c r="AO741" s="3360"/>
      <c r="AP741" s="3360"/>
      <c r="AQ741" s="3478"/>
      <c r="AR741" s="3479"/>
    </row>
    <row r="742" s="3330" customFormat="1" ht="8.25" customHeight="1" spans="1:44">
      <c r="A742" s="64"/>
      <c r="B742" s="64"/>
      <c r="C742" s="3530"/>
      <c r="D742" s="64"/>
      <c r="E742" s="64"/>
      <c r="F742" s="64"/>
      <c r="G742" s="64"/>
      <c r="H742" s="64"/>
      <c r="I742" s="64"/>
      <c r="J742" s="64"/>
      <c r="K742" s="64"/>
      <c r="L742" s="64"/>
      <c r="M742" s="64"/>
      <c r="N742" s="64"/>
      <c r="O742" s="64"/>
      <c r="P742" s="64"/>
      <c r="Q742" s="64"/>
      <c r="R742" s="64"/>
      <c r="S742" s="64"/>
      <c r="T742" s="3"/>
      <c r="U742" s="3"/>
      <c r="V742" s="3"/>
      <c r="W742" s="3"/>
      <c r="X742" s="3"/>
      <c r="Y742" s="3"/>
      <c r="Z742" s="3"/>
      <c r="AA742" s="64"/>
      <c r="AB742" s="3"/>
      <c r="AC742" s="3"/>
      <c r="AD742" s="3"/>
      <c r="AE742" s="3"/>
      <c r="AF742" s="3"/>
      <c r="AG742" s="3"/>
      <c r="AH742" s="3"/>
      <c r="AI742" s="3326"/>
      <c r="AJ742" s="3"/>
      <c r="AK742" s="3"/>
      <c r="AL742" s="3"/>
      <c r="AM742" s="3"/>
      <c r="AN742" s="3"/>
      <c r="AO742" s="3"/>
      <c r="AP742" s="3"/>
      <c r="AQ742" s="3478"/>
      <c r="AR742" s="3479"/>
    </row>
    <row r="743" s="3330" customFormat="1" customHeight="1" spans="1:44">
      <c r="A743" s="64"/>
      <c r="B743" s="64"/>
      <c r="C743" s="3528" t="s">
        <v>2039</v>
      </c>
      <c r="D743" s="3326"/>
      <c r="E743" s="64"/>
      <c r="F743" s="64"/>
      <c r="G743" s="64"/>
      <c r="H743" s="64"/>
      <c r="I743" s="64"/>
      <c r="J743" s="64"/>
      <c r="K743" s="64"/>
      <c r="L743" s="64"/>
      <c r="M743" s="64"/>
      <c r="N743" s="64"/>
      <c r="O743" s="64"/>
      <c r="P743" s="64"/>
      <c r="Q743" s="64"/>
      <c r="R743" s="64"/>
      <c r="S743" s="64"/>
      <c r="T743" s="3"/>
      <c r="U743" s="3"/>
      <c r="V743" s="3"/>
      <c r="W743" s="3"/>
      <c r="X743" s="3"/>
      <c r="Y743" s="3"/>
      <c r="Z743" s="3"/>
      <c r="AA743" s="64"/>
      <c r="AB743" s="3">
        <f>+'20'!Q14</f>
        <v>533495000</v>
      </c>
      <c r="AC743" s="3"/>
      <c r="AD743" s="3"/>
      <c r="AE743" s="3"/>
      <c r="AF743" s="3"/>
      <c r="AG743" s="3"/>
      <c r="AH743" s="3"/>
      <c r="AI743" s="3326"/>
      <c r="AJ743" s="3">
        <f>+'20'!R14</f>
        <v>1616911781.57465</v>
      </c>
      <c r="AK743" s="3"/>
      <c r="AL743" s="3"/>
      <c r="AM743" s="3"/>
      <c r="AN743" s="3"/>
      <c r="AO743" s="3"/>
      <c r="AP743" s="3"/>
      <c r="AQ743" s="3528"/>
      <c r="AR743" s="3479"/>
    </row>
    <row r="744" s="3330" customFormat="1" customHeight="1" spans="1:44">
      <c r="A744" s="64"/>
      <c r="B744" s="64"/>
      <c r="C744" s="3528" t="s">
        <v>2040</v>
      </c>
      <c r="D744" s="3326"/>
      <c r="E744" s="64"/>
      <c r="F744" s="64"/>
      <c r="G744" s="64"/>
      <c r="H744" s="64"/>
      <c r="I744" s="64"/>
      <c r="J744" s="64"/>
      <c r="K744" s="64"/>
      <c r="L744" s="64"/>
      <c r="M744" s="64"/>
      <c r="N744" s="64"/>
      <c r="O744" s="64"/>
      <c r="P744" s="64"/>
      <c r="Q744" s="64"/>
      <c r="R744" s="64"/>
      <c r="S744" s="64"/>
      <c r="T744" s="3"/>
      <c r="U744" s="3"/>
      <c r="V744" s="3"/>
      <c r="W744" s="3"/>
      <c r="X744" s="3"/>
      <c r="Y744" s="3"/>
      <c r="Z744" s="3"/>
      <c r="AA744" s="64"/>
      <c r="AB744" s="3">
        <f>+'20'!Q15</f>
        <v>414511498</v>
      </c>
      <c r="AC744" s="3"/>
      <c r="AD744" s="3"/>
      <c r="AE744" s="3"/>
      <c r="AF744" s="3"/>
      <c r="AG744" s="3"/>
      <c r="AH744" s="3"/>
      <c r="AI744" s="3326"/>
      <c r="AJ744" s="3">
        <f>+'20'!R15</f>
        <v>1403986764.01995</v>
      </c>
      <c r="AK744" s="3"/>
      <c r="AL744" s="3"/>
      <c r="AM744" s="3"/>
      <c r="AN744" s="3"/>
      <c r="AO744" s="3"/>
      <c r="AP744" s="3"/>
      <c r="AQ744" s="3528"/>
      <c r="AR744" s="3479"/>
    </row>
    <row r="745" s="3330" customFormat="1" customHeight="1" spans="1:44">
      <c r="A745" s="64"/>
      <c r="B745" s="64"/>
      <c r="C745" s="3528" t="s">
        <v>2041</v>
      </c>
      <c r="D745" s="3326"/>
      <c r="E745" s="64"/>
      <c r="F745" s="64"/>
      <c r="G745" s="64"/>
      <c r="H745" s="64"/>
      <c r="I745" s="64"/>
      <c r="J745" s="64"/>
      <c r="K745" s="64"/>
      <c r="L745" s="64"/>
      <c r="M745" s="64"/>
      <c r="N745" s="64"/>
      <c r="O745" s="64"/>
      <c r="P745" s="64"/>
      <c r="Q745" s="64"/>
      <c r="R745" s="64"/>
      <c r="S745" s="64"/>
      <c r="T745" s="3"/>
      <c r="U745" s="3"/>
      <c r="V745" s="3"/>
      <c r="W745" s="3"/>
      <c r="X745" s="3"/>
      <c r="Y745" s="3"/>
      <c r="Z745" s="3"/>
      <c r="AA745" s="64"/>
      <c r="AB745" s="3">
        <f>+'20'!Q16</f>
        <v>155956751</v>
      </c>
      <c r="AC745" s="3"/>
      <c r="AD745" s="3"/>
      <c r="AE745" s="3"/>
      <c r="AF745" s="3"/>
      <c r="AG745" s="3"/>
      <c r="AH745" s="3"/>
      <c r="AI745" s="3326"/>
      <c r="AJ745" s="3">
        <f>+'20'!R16</f>
        <v>0</v>
      </c>
      <c r="AK745" s="3"/>
      <c r="AL745" s="3"/>
      <c r="AM745" s="3"/>
      <c r="AN745" s="3"/>
      <c r="AO745" s="3"/>
      <c r="AP745" s="3"/>
      <c r="AQ745" s="3528"/>
      <c r="AR745" s="3326"/>
    </row>
    <row r="746" s="3330" customFormat="1" customHeight="1" spans="1:44">
      <c r="A746" s="64"/>
      <c r="B746" s="64"/>
      <c r="C746" s="3528" t="s">
        <v>874</v>
      </c>
      <c r="D746" s="3326"/>
      <c r="E746" s="64"/>
      <c r="F746" s="64"/>
      <c r="G746" s="64"/>
      <c r="H746" s="64"/>
      <c r="I746" s="64"/>
      <c r="J746" s="64"/>
      <c r="K746" s="64"/>
      <c r="L746" s="64"/>
      <c r="M746" s="64"/>
      <c r="N746" s="64"/>
      <c r="O746" s="64"/>
      <c r="P746" s="64"/>
      <c r="Q746" s="64"/>
      <c r="R746" s="64"/>
      <c r="S746" s="64"/>
      <c r="T746" s="3"/>
      <c r="U746" s="3"/>
      <c r="V746" s="3"/>
      <c r="W746" s="3"/>
      <c r="X746" s="3"/>
      <c r="Y746" s="3"/>
      <c r="Z746" s="3"/>
      <c r="AA746" s="64"/>
      <c r="AB746" s="3">
        <f>+'20'!Q17</f>
        <v>1623623597</v>
      </c>
      <c r="AC746" s="3"/>
      <c r="AD746" s="3"/>
      <c r="AE746" s="3"/>
      <c r="AF746" s="3"/>
      <c r="AG746" s="3"/>
      <c r="AH746" s="3"/>
      <c r="AI746" s="3326"/>
      <c r="AJ746" s="3">
        <f>+'20'!R17</f>
        <v>1032437987.5</v>
      </c>
      <c r="AK746" s="3"/>
      <c r="AL746" s="3"/>
      <c r="AM746" s="3"/>
      <c r="AN746" s="3"/>
      <c r="AO746" s="3"/>
      <c r="AP746" s="3"/>
      <c r="AQ746" s="3528"/>
      <c r="AR746" s="3326"/>
    </row>
    <row r="747" s="3330" customFormat="1" customHeight="1" spans="1:44">
      <c r="A747" s="64"/>
      <c r="B747" s="64"/>
      <c r="C747" s="3528" t="s">
        <v>2042</v>
      </c>
      <c r="D747" s="3326"/>
      <c r="E747" s="64"/>
      <c r="F747" s="64"/>
      <c r="G747" s="64"/>
      <c r="H747" s="64"/>
      <c r="I747" s="64"/>
      <c r="J747" s="64"/>
      <c r="K747" s="64"/>
      <c r="L747" s="64"/>
      <c r="M747" s="64"/>
      <c r="N747" s="64"/>
      <c r="O747" s="64"/>
      <c r="P747" s="64"/>
      <c r="Q747" s="64"/>
      <c r="R747" s="64"/>
      <c r="S747" s="64"/>
      <c r="T747" s="3"/>
      <c r="U747" s="3"/>
      <c r="V747" s="3"/>
      <c r="W747" s="3"/>
      <c r="X747" s="3"/>
      <c r="Y747" s="3"/>
      <c r="Z747" s="3"/>
      <c r="AA747" s="64"/>
      <c r="AB747" s="3">
        <f>+'20'!Q18</f>
        <v>333699424</v>
      </c>
      <c r="AC747" s="3"/>
      <c r="AD747" s="3"/>
      <c r="AE747" s="3"/>
      <c r="AF747" s="3"/>
      <c r="AG747" s="3"/>
      <c r="AH747" s="3"/>
      <c r="AI747" s="3326"/>
      <c r="AJ747" s="3">
        <f>+'20'!R18</f>
        <v>5071128850.36736</v>
      </c>
      <c r="AK747" s="3"/>
      <c r="AL747" s="3"/>
      <c r="AM747" s="3"/>
      <c r="AN747" s="3"/>
      <c r="AO747" s="3"/>
      <c r="AP747" s="3"/>
      <c r="AQ747" s="3528"/>
      <c r="AR747" s="3326"/>
    </row>
    <row r="748" s="3330" customFormat="1" ht="3.95" customHeight="1" spans="1:44">
      <c r="A748" s="64"/>
      <c r="B748" s="64"/>
      <c r="D748" s="3341"/>
      <c r="E748" s="3341"/>
      <c r="F748" s="3341"/>
      <c r="G748" s="3341"/>
      <c r="H748" s="3341"/>
      <c r="I748" s="3341"/>
      <c r="J748" s="3341"/>
      <c r="K748" s="3341"/>
      <c r="L748" s="3341"/>
      <c r="M748" s="3341"/>
      <c r="N748" s="3341"/>
      <c r="O748" s="3341"/>
      <c r="P748" s="3341"/>
      <c r="Q748" s="3341"/>
      <c r="R748" s="3341"/>
      <c r="S748" s="3341"/>
      <c r="T748" s="3341"/>
      <c r="U748" s="3341"/>
      <c r="V748" s="3341"/>
      <c r="W748" s="3341"/>
      <c r="X748" s="3341"/>
      <c r="Y748" s="3341"/>
      <c r="Z748" s="3341"/>
      <c r="AA748" s="3341"/>
      <c r="AB748"/>
      <c r="AC748"/>
      <c r="AD748"/>
      <c r="AE748"/>
      <c r="AF748"/>
      <c r="AG748"/>
      <c r="AH748"/>
      <c r="AI748" s="3341"/>
      <c r="AJ748"/>
      <c r="AK748"/>
      <c r="AL748"/>
      <c r="AM748"/>
      <c r="AN748"/>
      <c r="AO748"/>
      <c r="AP748"/>
      <c r="AQ748" s="3478"/>
      <c r="AR748" s="3479"/>
    </row>
    <row r="749" s="3330" customFormat="1" ht="12.75" spans="1:44">
      <c r="A749" s="64"/>
      <c r="B749" s="64"/>
      <c r="C749" s="3529" t="s">
        <v>2043</v>
      </c>
      <c r="D749" s="3344"/>
      <c r="E749" s="3344"/>
      <c r="F749" s="3344"/>
      <c r="G749" s="3344"/>
      <c r="H749" s="3344"/>
      <c r="I749" s="3344"/>
      <c r="J749" s="3344"/>
      <c r="K749" s="3344"/>
      <c r="L749" s="3344"/>
      <c r="M749" s="3344"/>
      <c r="N749" s="3344"/>
      <c r="O749" s="3344"/>
      <c r="P749" s="3344"/>
      <c r="Q749" s="3344"/>
      <c r="R749" s="3344"/>
      <c r="S749" s="3344"/>
      <c r="T749" s="3344"/>
      <c r="U749" s="3344"/>
      <c r="V749" s="3344"/>
      <c r="W749" s="3344"/>
      <c r="X749" s="3344"/>
      <c r="Y749" s="3344"/>
      <c r="Z749" s="3344"/>
      <c r="AA749" s="3344"/>
      <c r="AB749" s="3324">
        <f>SUM(AB743:AH748)</f>
        <v>3061286270</v>
      </c>
      <c r="AC749" s="3324"/>
      <c r="AD749" s="3324"/>
      <c r="AE749" s="3324"/>
      <c r="AF749" s="3324"/>
      <c r="AG749" s="3324"/>
      <c r="AH749" s="3324"/>
      <c r="AI749" s="3344"/>
      <c r="AJ749" s="3324">
        <f>SUM(AJ743:AP748)</f>
        <v>9124465383.46196</v>
      </c>
      <c r="AK749" s="3324"/>
      <c r="AL749" s="3324"/>
      <c r="AM749" s="3324"/>
      <c r="AN749" s="3324"/>
      <c r="AO749" s="3324"/>
      <c r="AP749" s="3324"/>
      <c r="AQ749" s="3478"/>
      <c r="AR749" s="719"/>
    </row>
    <row r="750" s="3330" customFormat="1" ht="12.75" spans="1:44">
      <c r="A750" s="64"/>
      <c r="B750" s="64"/>
      <c r="C750" s="3529"/>
      <c r="D750" s="3344"/>
      <c r="E750" s="3344"/>
      <c r="F750" s="3344"/>
      <c r="G750" s="3344"/>
      <c r="H750" s="3344"/>
      <c r="I750" s="3344"/>
      <c r="J750" s="3344"/>
      <c r="K750" s="3344"/>
      <c r="L750" s="3344"/>
      <c r="M750" s="3344"/>
      <c r="N750" s="3344"/>
      <c r="O750" s="3344"/>
      <c r="P750" s="3344"/>
      <c r="Q750" s="3344"/>
      <c r="R750" s="3344"/>
      <c r="S750" s="3344"/>
      <c r="T750" s="3344"/>
      <c r="U750" s="3344"/>
      <c r="V750" s="3344"/>
      <c r="W750" s="3344"/>
      <c r="X750" s="3344"/>
      <c r="Y750" s="3344"/>
      <c r="Z750" s="3344"/>
      <c r="AA750" s="3344"/>
      <c r="AB750" s="1364"/>
      <c r="AC750" s="1364"/>
      <c r="AD750" s="1364"/>
      <c r="AE750" s="1364"/>
      <c r="AF750" s="1364"/>
      <c r="AG750" s="1364"/>
      <c r="AH750" s="1364"/>
      <c r="AI750" s="3344"/>
      <c r="AJ750" s="1364"/>
      <c r="AK750" s="1364"/>
      <c r="AL750" s="1364"/>
      <c r="AM750" s="1364"/>
      <c r="AN750" s="1364"/>
      <c r="AO750" s="1364"/>
      <c r="AP750" s="1364"/>
      <c r="AQ750" s="3478"/>
      <c r="AR750" s="719"/>
    </row>
    <row r="751" s="3330" customFormat="1" ht="15" customHeight="1" spans="28:45">
      <c r="AB751" s="3"/>
      <c r="AC751" s="3"/>
      <c r="AD751" s="3"/>
      <c r="AE751" s="3"/>
      <c r="AF751" s="3"/>
      <c r="AG751" s="3"/>
      <c r="AH751" s="3"/>
      <c r="AQ751" s="3478"/>
      <c r="AR751" s="3479"/>
      <c r="AS751" s="3479"/>
    </row>
    <row r="752" s="3330" customFormat="1" ht="11.4" spans="1:45">
      <c r="A752" s="3385">
        <f>+A683+1</f>
        <v>18</v>
      </c>
      <c r="B752" s="3385"/>
      <c r="C752" s="3385"/>
      <c r="D752" s="3385"/>
      <c r="E752" s="3385"/>
      <c r="F752" s="3385"/>
      <c r="G752" s="3385"/>
      <c r="H752" s="3385"/>
      <c r="I752" s="3385"/>
      <c r="J752" s="3385"/>
      <c r="K752" s="3385"/>
      <c r="L752" s="3385"/>
      <c r="M752" s="3385"/>
      <c r="N752" s="3385"/>
      <c r="O752" s="3385"/>
      <c r="P752" s="3385"/>
      <c r="Q752" s="3385"/>
      <c r="R752" s="3385"/>
      <c r="S752" s="3385"/>
      <c r="T752" s="3385"/>
      <c r="U752" s="3385"/>
      <c r="V752" s="3385"/>
      <c r="W752" s="3385"/>
      <c r="X752" s="3385"/>
      <c r="Y752" s="3385"/>
      <c r="Z752" s="3385"/>
      <c r="AA752" s="3385"/>
      <c r="AB752" s="3385"/>
      <c r="AC752" s="3385"/>
      <c r="AD752" s="3385"/>
      <c r="AE752" s="3385"/>
      <c r="AF752" s="3385"/>
      <c r="AG752" s="3385"/>
      <c r="AH752" s="3385"/>
      <c r="AI752" s="3385"/>
      <c r="AJ752" s="3385"/>
      <c r="AK752" s="3385"/>
      <c r="AL752" s="3385"/>
      <c r="AM752" s="3385"/>
      <c r="AN752" s="3385"/>
      <c r="AO752" s="3385"/>
      <c r="AP752" s="3385"/>
      <c r="AQ752" s="3478"/>
      <c r="AR752" s="3479"/>
      <c r="AS752" s="3479"/>
    </row>
    <row r="753" customHeight="1" spans="1:42">
      <c r="A753" s="3335">
        <f>+A741+1</f>
        <v>19</v>
      </c>
      <c r="B753" s="64"/>
      <c r="C753" s="5037" t="s">
        <v>584</v>
      </c>
      <c r="D753" s="64"/>
      <c r="E753" s="64"/>
      <c r="F753" s="64"/>
      <c r="G753" s="64"/>
      <c r="H753" s="64"/>
      <c r="I753" s="64"/>
      <c r="J753" s="64"/>
      <c r="K753" s="64"/>
      <c r="L753" s="64"/>
      <c r="M753" s="64"/>
      <c r="N753" s="64"/>
      <c r="O753" s="64"/>
      <c r="P753" s="64"/>
      <c r="Q753" s="64"/>
      <c r="R753" s="64"/>
      <c r="S753" s="64"/>
      <c r="T753" s="16"/>
      <c r="U753" s="16"/>
      <c r="V753" s="16"/>
      <c r="W753" s="16"/>
      <c r="X753" s="16"/>
      <c r="Y753" s="16"/>
      <c r="Z753" s="16"/>
      <c r="AA753" s="64"/>
      <c r="AB753" s="3359">
        <f>+AB741</f>
        <v>2021</v>
      </c>
      <c r="AC753" s="3360"/>
      <c r="AD753" s="3360"/>
      <c r="AE753" s="3360"/>
      <c r="AF753" s="3360"/>
      <c r="AG753" s="3360"/>
      <c r="AH753" s="3360"/>
      <c r="AJ753" s="3359">
        <f>+AJ741</f>
        <v>2020</v>
      </c>
      <c r="AK753" s="3360"/>
      <c r="AL753" s="3360"/>
      <c r="AM753" s="3360"/>
      <c r="AN753" s="3360"/>
      <c r="AO753" s="3360"/>
      <c r="AP753" s="3360"/>
    </row>
    <row r="754" ht="9.2" customHeight="1" spans="1:42">
      <c r="A754" s="64"/>
      <c r="B754" s="64"/>
      <c r="C754" s="3530"/>
      <c r="D754" s="64"/>
      <c r="E754" s="64"/>
      <c r="F754" s="64"/>
      <c r="G754" s="64"/>
      <c r="H754" s="64"/>
      <c r="I754" s="64"/>
      <c r="J754" s="64"/>
      <c r="K754" s="64"/>
      <c r="L754" s="64"/>
      <c r="M754" s="64"/>
      <c r="N754" s="64"/>
      <c r="O754" s="64"/>
      <c r="P754" s="64"/>
      <c r="Q754" s="64"/>
      <c r="R754" s="64"/>
      <c r="S754" s="64"/>
      <c r="T754" s="3"/>
      <c r="U754" s="3"/>
      <c r="V754" s="3"/>
      <c r="W754" s="3"/>
      <c r="X754" s="3"/>
      <c r="Y754" s="3"/>
      <c r="Z754" s="3"/>
      <c r="AA754" s="64"/>
      <c r="AB754" s="3"/>
      <c r="AC754" s="3"/>
      <c r="AD754" s="3"/>
      <c r="AE754" s="3"/>
      <c r="AF754" s="3"/>
      <c r="AG754" s="3"/>
      <c r="AH754" s="3"/>
      <c r="AI754" s="3326"/>
      <c r="AJ754" s="3"/>
      <c r="AK754" s="3"/>
      <c r="AL754" s="3"/>
      <c r="AM754" s="3"/>
      <c r="AN754" s="3"/>
      <c r="AO754" s="3"/>
      <c r="AP754" s="3"/>
    </row>
    <row r="755" ht="12.95" customHeight="1" spans="1:42">
      <c r="A755" s="64"/>
      <c r="B755" s="64"/>
      <c r="C755" s="3552" t="s">
        <v>2044</v>
      </c>
      <c r="D755" s="3552"/>
      <c r="E755" s="3552"/>
      <c r="F755" s="3552"/>
      <c r="G755" s="3552"/>
      <c r="H755" s="3552"/>
      <c r="I755" s="3552"/>
      <c r="J755" s="64"/>
      <c r="K755" s="64"/>
      <c r="L755" s="64"/>
      <c r="M755" s="64"/>
      <c r="N755" s="64"/>
      <c r="O755" s="64"/>
      <c r="P755" s="64"/>
      <c r="Q755" s="64"/>
      <c r="R755" s="64"/>
      <c r="S755" s="64"/>
      <c r="T755" s="3"/>
      <c r="U755" s="3"/>
      <c r="V755" s="3"/>
      <c r="W755" s="3"/>
      <c r="X755" s="3"/>
      <c r="Y755" s="3"/>
      <c r="Z755" s="3"/>
      <c r="AA755" s="64"/>
      <c r="AB755" s="3"/>
      <c r="AC755" s="3"/>
      <c r="AD755" s="3"/>
      <c r="AE755" s="3"/>
      <c r="AF755" s="3"/>
      <c r="AG755" s="3"/>
      <c r="AH755" s="3"/>
      <c r="AI755" s="3326"/>
      <c r="AJ755" s="3"/>
      <c r="AK755" s="3"/>
      <c r="AL755" s="3"/>
      <c r="AM755" s="3"/>
      <c r="AN755" s="3"/>
      <c r="AO755" s="3"/>
      <c r="AP755" s="3"/>
    </row>
    <row r="756" customHeight="1" spans="1:42">
      <c r="A756" s="64"/>
      <c r="B756" s="64"/>
      <c r="C756" t="s">
        <v>2045</v>
      </c>
      <c r="D756" s="64"/>
      <c r="E756" s="64"/>
      <c r="F756" s="64"/>
      <c r="G756" s="64"/>
      <c r="H756" s="64"/>
      <c r="I756" s="64"/>
      <c r="J756" s="64"/>
      <c r="K756" s="64"/>
      <c r="L756" s="64"/>
      <c r="M756" s="64"/>
      <c r="N756" s="64"/>
      <c r="O756" s="64"/>
      <c r="P756" s="64"/>
      <c r="Q756" s="64"/>
      <c r="R756" s="64"/>
      <c r="S756" s="64"/>
      <c r="T756" s="3"/>
      <c r="U756" s="3"/>
      <c r="V756" s="3"/>
      <c r="W756" s="3"/>
      <c r="X756" s="3"/>
      <c r="Y756" s="3"/>
      <c r="Z756" s="3"/>
      <c r="AA756" s="64"/>
      <c r="AB756" s="3">
        <f>+'40'!Q17</f>
        <v>137331501.4</v>
      </c>
      <c r="AC756" s="3"/>
      <c r="AD756" s="3"/>
      <c r="AE756" s="3"/>
      <c r="AF756" s="3"/>
      <c r="AG756" s="3"/>
      <c r="AH756" s="3"/>
      <c r="AI756" s="3326"/>
      <c r="AJ756" s="3">
        <f>+'40'!R17</f>
        <v>270992605</v>
      </c>
      <c r="AK756" s="3"/>
      <c r="AL756" s="3"/>
      <c r="AM756" s="3"/>
      <c r="AN756" s="3"/>
      <c r="AO756" s="3"/>
      <c r="AP756" s="3"/>
    </row>
    <row r="757" ht="4.5" customHeight="1" spans="1:49">
      <c r="A757" s="64"/>
      <c r="B757" s="64"/>
      <c r="C757"/>
      <c r="E757" s="64"/>
      <c r="F757" s="64"/>
      <c r="G757" s="64"/>
      <c r="H757" s="64"/>
      <c r="I757" s="64"/>
      <c r="J757" s="64"/>
      <c r="K757" s="64"/>
      <c r="L757" s="64"/>
      <c r="M757" s="64"/>
      <c r="N757" s="64"/>
      <c r="O757" s="64"/>
      <c r="P757" s="64"/>
      <c r="Q757" s="64"/>
      <c r="R757" s="64"/>
      <c r="S757" s="64"/>
      <c r="T757" s="3"/>
      <c r="U757" s="3"/>
      <c r="V757" s="3"/>
      <c r="W757" s="3"/>
      <c r="X757" s="3"/>
      <c r="Y757" s="3"/>
      <c r="Z757" s="3"/>
      <c r="AA757" s="64"/>
      <c r="AB757" s="164"/>
      <c r="AC757" s="164"/>
      <c r="AD757" s="164"/>
      <c r="AE757" s="164"/>
      <c r="AF757" s="164"/>
      <c r="AG757" s="164"/>
      <c r="AH757" s="164"/>
      <c r="AI757" s="3464"/>
      <c r="AJ757" s="164"/>
      <c r="AK757" s="164"/>
      <c r="AL757" s="164"/>
      <c r="AM757" s="164"/>
      <c r="AN757" s="164"/>
      <c r="AO757" s="164"/>
      <c r="AP757" s="164"/>
      <c r="AQ757" s="3"/>
      <c r="AR757" s="3"/>
      <c r="AS757" s="3"/>
      <c r="AT757" s="3"/>
      <c r="AU757" s="3"/>
      <c r="AV757" s="3"/>
      <c r="AW757" s="3"/>
    </row>
    <row r="758" customHeight="1" spans="1:49">
      <c r="A758" s="64"/>
      <c r="B758" s="64"/>
      <c r="C758" s="94" t="s">
        <v>2046</v>
      </c>
      <c r="D758" s="3464"/>
      <c r="E758" s="94"/>
      <c r="F758" s="94"/>
      <c r="G758" s="94"/>
      <c r="H758" s="94"/>
      <c r="I758" s="94"/>
      <c r="J758" s="94"/>
      <c r="K758" s="94"/>
      <c r="L758" s="94"/>
      <c r="M758" s="94"/>
      <c r="N758" s="94"/>
      <c r="O758" s="94"/>
      <c r="P758" s="94"/>
      <c r="Q758" s="94"/>
      <c r="R758" s="94"/>
      <c r="S758" s="94"/>
      <c r="T758" s="16"/>
      <c r="U758" s="16"/>
      <c r="V758" s="16"/>
      <c r="W758" s="16"/>
      <c r="X758" s="16"/>
      <c r="Y758" s="16"/>
      <c r="Z758" s="16"/>
      <c r="AA758" s="94"/>
      <c r="AB758">
        <f>SUM(AB756:AH756)</f>
        <v>137331501.4</v>
      </c>
      <c r="AC758"/>
      <c r="AD758"/>
      <c r="AE758"/>
      <c r="AF758"/>
      <c r="AG758"/>
      <c r="AH758"/>
      <c r="AI758" s="3464"/>
      <c r="AJ758">
        <f>SUM(AJ756:AP756)</f>
        <v>270992605</v>
      </c>
      <c r="AK758"/>
      <c r="AL758"/>
      <c r="AM758"/>
      <c r="AN758"/>
      <c r="AO758"/>
      <c r="AP758"/>
      <c r="AQ758" s="3"/>
      <c r="AR758" s="3"/>
      <c r="AS758" s="3"/>
      <c r="AT758" s="3"/>
      <c r="AU758" s="3"/>
      <c r="AV758" s="3"/>
      <c r="AW758" s="3"/>
    </row>
    <row r="759" ht="9.2" customHeight="1" spans="1:49">
      <c r="A759" s="64"/>
      <c r="B759" s="64"/>
      <c r="C759"/>
      <c r="E759" s="64"/>
      <c r="F759" s="64"/>
      <c r="G759" s="64"/>
      <c r="H759" s="64"/>
      <c r="I759" s="64"/>
      <c r="J759" s="64"/>
      <c r="K759" s="64"/>
      <c r="L759" s="64"/>
      <c r="M759" s="64"/>
      <c r="N759" s="64"/>
      <c r="O759" s="64"/>
      <c r="P759" s="64"/>
      <c r="Q759" s="64"/>
      <c r="R759" s="64"/>
      <c r="S759" s="64"/>
      <c r="T759" s="3"/>
      <c r="U759" s="3"/>
      <c r="V759" s="3"/>
      <c r="W759" s="3"/>
      <c r="X759" s="3"/>
      <c r="Y759" s="3"/>
      <c r="Z759" s="3"/>
      <c r="AA759" s="64"/>
      <c r="AB759" s="3"/>
      <c r="AC759" s="3"/>
      <c r="AD759" s="3"/>
      <c r="AE759" s="3"/>
      <c r="AF759" s="3"/>
      <c r="AG759" s="3"/>
      <c r="AH759" s="3"/>
      <c r="AI759" s="3326"/>
      <c r="AJ759" s="3"/>
      <c r="AK759" s="3"/>
      <c r="AL759" s="3"/>
      <c r="AM759" s="3"/>
      <c r="AN759" s="3"/>
      <c r="AO759" s="3"/>
      <c r="AP759" s="3"/>
      <c r="AQ759" s="3"/>
      <c r="AR759" s="3"/>
      <c r="AS759" s="3"/>
      <c r="AT759" s="3"/>
      <c r="AU759" s="3"/>
      <c r="AV759" s="3"/>
      <c r="AW759" s="3"/>
    </row>
    <row r="760" customHeight="1" spans="1:49">
      <c r="A760" s="64"/>
      <c r="B760" s="64"/>
      <c r="C760" s="3522" t="s">
        <v>2047</v>
      </c>
      <c r="D760" s="3553"/>
      <c r="E760" s="3553"/>
      <c r="F760" s="3553"/>
      <c r="G760" s="3553"/>
      <c r="H760" s="3553"/>
      <c r="I760" s="3553"/>
      <c r="J760" s="3553"/>
      <c r="K760" s="3553"/>
      <c r="L760" s="3553"/>
      <c r="M760" s="3553"/>
      <c r="N760" s="2402"/>
      <c r="O760" s="64"/>
      <c r="P760" s="64"/>
      <c r="Q760" s="64"/>
      <c r="R760" s="64"/>
      <c r="S760" s="64"/>
      <c r="T760" s="3"/>
      <c r="U760" s="3"/>
      <c r="V760" s="3"/>
      <c r="W760" s="3"/>
      <c r="X760" s="3"/>
      <c r="Y760" s="3"/>
      <c r="Z760" s="3"/>
      <c r="AA760" s="64"/>
      <c r="AI760" s="3326"/>
      <c r="AJ760" s="3326"/>
      <c r="AK760" s="3326"/>
      <c r="AN760" s="3326"/>
      <c r="AO760" s="3326"/>
      <c r="AQ760" s="3"/>
      <c r="AR760" s="3"/>
      <c r="AS760" s="3"/>
      <c r="AT760" s="3"/>
      <c r="AU760" s="3"/>
      <c r="AV760" s="3"/>
      <c r="AW760" s="3"/>
    </row>
    <row r="761" customHeight="1" spans="1:49">
      <c r="A761" s="64"/>
      <c r="B761" s="64"/>
      <c r="C761" t="str">
        <f>+'40'!B27</f>
        <v>Beban gaji dan tunjangan</v>
      </c>
      <c r="E761" s="64"/>
      <c r="F761" s="64"/>
      <c r="G761" s="64"/>
      <c r="H761" s="64"/>
      <c r="I761" s="64"/>
      <c r="J761" s="64"/>
      <c r="K761" s="64"/>
      <c r="L761" s="64"/>
      <c r="M761" s="64"/>
      <c r="N761" s="64"/>
      <c r="O761" s="64"/>
      <c r="P761" s="64"/>
      <c r="Q761" s="64"/>
      <c r="R761" s="64"/>
      <c r="S761" s="64"/>
      <c r="T761" s="3"/>
      <c r="U761" s="3"/>
      <c r="V761" s="3"/>
      <c r="W761" s="3"/>
      <c r="X761" s="3"/>
      <c r="Y761" s="3"/>
      <c r="Z761" s="3"/>
      <c r="AA761" s="64"/>
      <c r="AB761" s="3">
        <f>+'40'!Q27</f>
        <v>602760278.3</v>
      </c>
      <c r="AC761" s="3"/>
      <c r="AD761" s="3"/>
      <c r="AE761" s="3"/>
      <c r="AF761" s="3"/>
      <c r="AG761" s="3"/>
      <c r="AH761" s="3"/>
      <c r="AI761" s="3326"/>
      <c r="AJ761" s="3">
        <f>+'40'!R27</f>
        <v>962089454.462427</v>
      </c>
      <c r="AK761" s="3"/>
      <c r="AL761" s="3"/>
      <c r="AM761" s="3"/>
      <c r="AN761" s="3"/>
      <c r="AO761" s="3"/>
      <c r="AP761" s="3"/>
      <c r="AR761" s="3"/>
      <c r="AS761" s="3"/>
      <c r="AT761" s="3"/>
      <c r="AU761" s="3"/>
      <c r="AV761" s="3"/>
      <c r="AW761" s="3"/>
    </row>
    <row r="762" customHeight="1" spans="1:49">
      <c r="A762" s="64"/>
      <c r="B762" s="64"/>
      <c r="C762" t="str">
        <f>+'40'!B28</f>
        <v>Beban Transportasi</v>
      </c>
      <c r="E762" s="64"/>
      <c r="F762" s="64"/>
      <c r="G762" s="64"/>
      <c r="H762" s="64"/>
      <c r="I762" s="64"/>
      <c r="J762" s="64"/>
      <c r="K762" s="64"/>
      <c r="L762" s="64"/>
      <c r="M762" s="64"/>
      <c r="N762" s="64"/>
      <c r="O762" s="64"/>
      <c r="P762" s="64"/>
      <c r="Q762" s="64"/>
      <c r="R762" s="64"/>
      <c r="S762" s="64"/>
      <c r="T762" s="3"/>
      <c r="U762" s="3"/>
      <c r="V762" s="3"/>
      <c r="W762" s="3"/>
      <c r="X762" s="3"/>
      <c r="Y762" s="3"/>
      <c r="Z762" s="3"/>
      <c r="AA762" s="64"/>
      <c r="AB762" s="3">
        <f>+'40'!Q28</f>
        <v>9905717</v>
      </c>
      <c r="AC762" s="3"/>
      <c r="AD762" s="3"/>
      <c r="AE762" s="3"/>
      <c r="AF762" s="3"/>
      <c r="AG762" s="3"/>
      <c r="AH762" s="3"/>
      <c r="AI762" s="3326"/>
      <c r="AJ762" s="3">
        <f>+'40'!R28</f>
        <v>0</v>
      </c>
      <c r="AK762" s="3"/>
      <c r="AL762" s="3"/>
      <c r="AM762" s="3"/>
      <c r="AN762" s="3"/>
      <c r="AO762" s="3"/>
      <c r="AP762" s="3"/>
      <c r="AS762" s="3"/>
      <c r="AT762" s="3"/>
      <c r="AU762" s="3"/>
      <c r="AV762" s="3"/>
      <c r="AW762" s="3"/>
    </row>
    <row r="763" hidden="1" customHeight="1" spans="1:49">
      <c r="A763" s="64"/>
      <c r="B763" s="64"/>
      <c r="C763" t="str">
        <f>+'40'!B29</f>
        <v>Beban pemeliharaan</v>
      </c>
      <c r="E763" s="64"/>
      <c r="F763" s="64"/>
      <c r="G763" s="64"/>
      <c r="H763" s="64"/>
      <c r="I763" s="64"/>
      <c r="J763" s="64"/>
      <c r="K763" s="64"/>
      <c r="L763" s="64"/>
      <c r="M763" s="64"/>
      <c r="N763" s="64"/>
      <c r="O763" s="64"/>
      <c r="P763" s="64"/>
      <c r="Q763" s="64"/>
      <c r="R763" s="64"/>
      <c r="S763" s="64"/>
      <c r="T763" s="3"/>
      <c r="U763" s="3"/>
      <c r="V763" s="3"/>
      <c r="W763" s="3"/>
      <c r="X763" s="3"/>
      <c r="Y763" s="3"/>
      <c r="Z763" s="3"/>
      <c r="AA763" s="64"/>
      <c r="AB763" s="3">
        <f>+'40'!Q29</f>
        <v>0</v>
      </c>
      <c r="AC763" s="3"/>
      <c r="AD763" s="3"/>
      <c r="AE763" s="3"/>
      <c r="AF763" s="3"/>
      <c r="AG763" s="3"/>
      <c r="AH763" s="3"/>
      <c r="AI763" s="3326"/>
      <c r="AJ763" s="3">
        <f>+'40'!R29</f>
        <v>0</v>
      </c>
      <c r="AK763" s="3"/>
      <c r="AL763" s="3"/>
      <c r="AM763" s="3"/>
      <c r="AN763" s="3"/>
      <c r="AO763" s="3"/>
      <c r="AP763" s="3"/>
      <c r="AS763" s="3"/>
      <c r="AT763" s="3"/>
      <c r="AU763" s="3"/>
      <c r="AV763" s="3"/>
      <c r="AW763" s="3"/>
    </row>
    <row r="764" customHeight="1" spans="1:49">
      <c r="A764" s="64"/>
      <c r="B764" s="64"/>
      <c r="C764" t="str">
        <f>+'40'!B30</f>
        <v>Beban penyusutan </v>
      </c>
      <c r="E764" s="64"/>
      <c r="F764" s="64"/>
      <c r="G764" s="64"/>
      <c r="H764" s="64"/>
      <c r="I764" s="64"/>
      <c r="J764" s="64"/>
      <c r="K764" s="64"/>
      <c r="L764" s="64"/>
      <c r="M764" s="64"/>
      <c r="N764" s="64"/>
      <c r="O764" s="64"/>
      <c r="P764" s="64"/>
      <c r="Q764" s="64"/>
      <c r="R764" s="64"/>
      <c r="S764" s="64"/>
      <c r="T764" s="3"/>
      <c r="U764" s="3"/>
      <c r="V764" s="3"/>
      <c r="W764" s="3"/>
      <c r="X764" s="3"/>
      <c r="Y764" s="3"/>
      <c r="Z764" s="3"/>
      <c r="AA764" s="64"/>
      <c r="AB764" s="3">
        <f>+'40'!Q30</f>
        <v>177633247.9</v>
      </c>
      <c r="AC764" s="3"/>
      <c r="AD764" s="3"/>
      <c r="AE764" s="3"/>
      <c r="AF764" s="3"/>
      <c r="AG764" s="3"/>
      <c r="AH764" s="3"/>
      <c r="AI764" s="3326"/>
      <c r="AJ764" s="3">
        <f>+'40'!R30</f>
        <v>76822512.5756187</v>
      </c>
      <c r="AK764" s="3"/>
      <c r="AL764" s="3"/>
      <c r="AM764" s="3"/>
      <c r="AN764" s="3"/>
      <c r="AO764" s="3"/>
      <c r="AP764" s="3"/>
      <c r="AQ764" s="3"/>
      <c r="AR764" s="3"/>
      <c r="AS764" s="3"/>
      <c r="AT764" s="3"/>
      <c r="AU764" s="3"/>
      <c r="AV764" s="3"/>
      <c r="AW764" s="3"/>
    </row>
    <row r="765" ht="11.4" spans="1:43">
      <c r="A765" s="64"/>
      <c r="B765" s="64"/>
      <c r="C765" t="str">
        <f>+'40'!B35</f>
        <v>BUA - Beban Lain-lain</v>
      </c>
      <c r="E765" s="64"/>
      <c r="F765" s="64"/>
      <c r="G765" s="64"/>
      <c r="H765" s="64"/>
      <c r="I765" s="64"/>
      <c r="J765" s="64"/>
      <c r="K765" s="64"/>
      <c r="L765" s="64"/>
      <c r="M765" s="64"/>
      <c r="N765" s="64"/>
      <c r="O765" s="64"/>
      <c r="P765" s="64"/>
      <c r="Q765" s="64"/>
      <c r="R765" s="64"/>
      <c r="S765" s="64"/>
      <c r="T765" s="3"/>
      <c r="U765" s="3"/>
      <c r="V765" s="3"/>
      <c r="W765" s="3"/>
      <c r="X765" s="3"/>
      <c r="Y765" s="3"/>
      <c r="Z765" s="3"/>
      <c r="AA765" s="64"/>
      <c r="AB765" s="3">
        <f>+'40'!Q35</f>
        <v>565873645.2</v>
      </c>
      <c r="AC765" s="3"/>
      <c r="AD765" s="3"/>
      <c r="AE765" s="3"/>
      <c r="AF765" s="3"/>
      <c r="AG765" s="3"/>
      <c r="AH765" s="3"/>
      <c r="AI765" s="3326"/>
      <c r="AJ765" s="3">
        <f>+'40'!R35</f>
        <v>362800000</v>
      </c>
      <c r="AK765" s="3"/>
      <c r="AL765" s="3"/>
      <c r="AM765" s="3"/>
      <c r="AN765" s="3"/>
      <c r="AO765" s="3"/>
      <c r="AP765" s="3"/>
      <c r="AQ765" s="3"/>
    </row>
    <row r="766" ht="4.5" customHeight="1" spans="1:42">
      <c r="A766" s="64"/>
      <c r="B766" s="64"/>
      <c r="C766" s="94"/>
      <c r="D766" s="3322"/>
      <c r="E766" s="3322"/>
      <c r="F766" s="64"/>
      <c r="G766" s="64"/>
      <c r="H766" s="64"/>
      <c r="I766" s="64"/>
      <c r="J766" s="64"/>
      <c r="K766" s="64"/>
      <c r="L766" s="64"/>
      <c r="M766" s="64"/>
      <c r="N766" s="64"/>
      <c r="O766" s="64"/>
      <c r="P766" s="64"/>
      <c r="Q766" s="64"/>
      <c r="R766" s="64"/>
      <c r="S766" s="3067"/>
      <c r="T766" s="3556"/>
      <c r="U766" s="3556"/>
      <c r="V766" s="3556"/>
      <c r="W766" s="3556"/>
      <c r="X766" s="3556"/>
      <c r="Y766" s="3556"/>
      <c r="Z766" s="3556"/>
      <c r="AA766" s="3556"/>
      <c r="AB766" s="164"/>
      <c r="AC766" s="164"/>
      <c r="AD766" s="164"/>
      <c r="AE766" s="164"/>
      <c r="AF766" s="164"/>
      <c r="AG766" s="164"/>
      <c r="AH766" s="164"/>
      <c r="AI766" s="3464"/>
      <c r="AJ766" s="164"/>
      <c r="AK766" s="164"/>
      <c r="AL766" s="164"/>
      <c r="AM766" s="164"/>
      <c r="AN766" s="164"/>
      <c r="AO766" s="164"/>
      <c r="AP766" s="164"/>
    </row>
    <row r="767" spans="1:45">
      <c r="A767" s="64"/>
      <c r="B767" s="64"/>
      <c r="C767" s="94" t="s">
        <v>2048</v>
      </c>
      <c r="D767" s="3322"/>
      <c r="E767" s="3322"/>
      <c r="F767" s="64"/>
      <c r="G767" s="64"/>
      <c r="H767" s="64"/>
      <c r="I767" s="64"/>
      <c r="J767" s="64"/>
      <c r="K767" s="64"/>
      <c r="L767" s="64"/>
      <c r="M767" s="64"/>
      <c r="N767" s="64"/>
      <c r="O767" s="64"/>
      <c r="P767" s="64"/>
      <c r="Q767" s="64"/>
      <c r="R767" s="64"/>
      <c r="S767" s="3067"/>
      <c r="T767" s="3556"/>
      <c r="U767" s="3556"/>
      <c r="V767" s="3556"/>
      <c r="W767" s="3556"/>
      <c r="X767" s="3556"/>
      <c r="Y767" s="3556"/>
      <c r="Z767" s="3556"/>
      <c r="AA767" s="3556"/>
      <c r="AB767">
        <f>SUM(AB761:AH766)</f>
        <v>1356172888.4</v>
      </c>
      <c r="AC767"/>
      <c r="AD767"/>
      <c r="AE767"/>
      <c r="AF767"/>
      <c r="AG767"/>
      <c r="AH767"/>
      <c r="AI767"/>
      <c r="AJ767">
        <f>SUM(AJ761:AP766)</f>
        <v>1401711967.03805</v>
      </c>
      <c r="AK767"/>
      <c r="AL767"/>
      <c r="AM767"/>
      <c r="AN767"/>
      <c r="AO767"/>
      <c r="AP767"/>
      <c r="AR767" s="3326"/>
      <c r="AS767" s="719"/>
    </row>
    <row r="768" ht="9.2" customHeight="1" spans="1:45">
      <c r="A768" s="64"/>
      <c r="B768" s="64"/>
      <c r="C768" s="94"/>
      <c r="D768" s="3322"/>
      <c r="E768" s="3322"/>
      <c r="F768" s="64"/>
      <c r="G768" s="64"/>
      <c r="H768" s="64"/>
      <c r="I768" s="64"/>
      <c r="J768" s="64"/>
      <c r="K768" s="64"/>
      <c r="L768" s="64"/>
      <c r="M768" s="64"/>
      <c r="N768" s="64"/>
      <c r="O768" s="64"/>
      <c r="P768" s="64"/>
      <c r="Q768" s="64"/>
      <c r="R768" s="64"/>
      <c r="S768" s="3067"/>
      <c r="T768" s="3556"/>
      <c r="U768" s="3556"/>
      <c r="V768" s="3556"/>
      <c r="W768" s="3556"/>
      <c r="X768" s="3556"/>
      <c r="Y768" s="3556"/>
      <c r="Z768" s="3556"/>
      <c r="AA768" s="3556"/>
      <c r="AB768"/>
      <c r="AC768"/>
      <c r="AD768"/>
      <c r="AE768"/>
      <c r="AF768"/>
      <c r="AG768"/>
      <c r="AH768"/>
      <c r="AI768"/>
      <c r="AJ768"/>
      <c r="AK768"/>
      <c r="AL768"/>
      <c r="AM768"/>
      <c r="AN768"/>
      <c r="AO768"/>
      <c r="AP768"/>
      <c r="AR768" s="3326"/>
      <c r="AS768" s="719"/>
    </row>
    <row r="769" customHeight="1" spans="1:45">
      <c r="A769" s="64"/>
      <c r="B769" s="64"/>
      <c r="C769" s="94" t="s">
        <v>1301</v>
      </c>
      <c r="D769" s="3322"/>
      <c r="E769" s="3322"/>
      <c r="F769" s="64"/>
      <c r="G769" s="64"/>
      <c r="H769" s="64"/>
      <c r="I769" s="64"/>
      <c r="J769" s="64"/>
      <c r="K769" s="64"/>
      <c r="L769" s="64"/>
      <c r="M769" s="64"/>
      <c r="N769" s="64"/>
      <c r="O769" s="64"/>
      <c r="P769" s="64"/>
      <c r="Q769" s="64"/>
      <c r="R769" s="64"/>
      <c r="S769" s="3067"/>
      <c r="T769" s="3556"/>
      <c r="U769" s="3556"/>
      <c r="V769" s="3556"/>
      <c r="W769" s="3556"/>
      <c r="X769" s="3556"/>
      <c r="Y769" s="3556"/>
      <c r="Z769" s="3556"/>
      <c r="AA769" s="3556"/>
      <c r="AB769" s="3557">
        <f>AB767+AB758</f>
        <v>1493504389.8</v>
      </c>
      <c r="AC769" s="3557"/>
      <c r="AD769" s="3557"/>
      <c r="AE769" s="3557"/>
      <c r="AF769" s="3557"/>
      <c r="AG769" s="3557"/>
      <c r="AH769" s="3557"/>
      <c r="AI769"/>
      <c r="AJ769" s="3557">
        <f>AJ767+AJ758</f>
        <v>1672704572.03805</v>
      </c>
      <c r="AK769" s="3557"/>
      <c r="AL769" s="3557"/>
      <c r="AM769" s="3557"/>
      <c r="AN769" s="3557"/>
      <c r="AO769" s="3557"/>
      <c r="AP769" s="3557"/>
      <c r="AR769" s="3326"/>
      <c r="AS769" s="719"/>
    </row>
    <row r="770" ht="16.5" customHeight="1" spans="35:41">
      <c r="AI770" s="3326"/>
      <c r="AJ770" s="3326"/>
      <c r="AK770" s="3326"/>
      <c r="AN770" s="3326"/>
      <c r="AO770" s="3326"/>
    </row>
    <row r="771" customHeight="1" spans="1:42">
      <c r="A771" s="3335">
        <f>+A753+1</f>
        <v>20</v>
      </c>
      <c r="B771" s="64"/>
      <c r="C771" s="5037" t="s">
        <v>587</v>
      </c>
      <c r="D771" s="64"/>
      <c r="E771" s="64"/>
      <c r="F771" s="3315"/>
      <c r="G771" s="3315"/>
      <c r="H771" s="3315"/>
      <c r="I771" s="3315"/>
      <c r="J771" s="3315"/>
      <c r="K771" s="3315"/>
      <c r="L771" s="3315"/>
      <c r="M771" s="3315"/>
      <c r="N771" s="3315"/>
      <c r="O771" s="3315"/>
      <c r="P771" s="64"/>
      <c r="Q771" s="64"/>
      <c r="R771" s="64"/>
      <c r="S771" s="64"/>
      <c r="T771" s="64"/>
      <c r="U771" s="64"/>
      <c r="V771" s="64"/>
      <c r="W771" s="64"/>
      <c r="X771" s="64"/>
      <c r="Y771" s="64"/>
      <c r="Z771" s="64"/>
      <c r="AA771" s="64"/>
      <c r="AB771" s="3359">
        <f>+AB753</f>
        <v>2021</v>
      </c>
      <c r="AC771" s="3360"/>
      <c r="AD771" s="3360"/>
      <c r="AE771" s="3360"/>
      <c r="AF771" s="3360"/>
      <c r="AG771" s="3360"/>
      <c r="AH771" s="3360"/>
      <c r="AJ771" s="3359">
        <f>+AJ753</f>
        <v>2020</v>
      </c>
      <c r="AK771" s="3360"/>
      <c r="AL771" s="3360"/>
      <c r="AM771" s="3360"/>
      <c r="AN771" s="3360"/>
      <c r="AO771" s="3360"/>
      <c r="AP771" s="3360"/>
    </row>
    <row r="772" ht="9.2" customHeight="1" spans="1:42">
      <c r="A772" s="64"/>
      <c r="B772" s="64"/>
      <c r="C772" s="3530"/>
      <c r="D772" s="64"/>
      <c r="E772" s="64"/>
      <c r="F772" s="64"/>
      <c r="G772" s="64"/>
      <c r="H772" s="64"/>
      <c r="I772" s="64"/>
      <c r="J772" s="64"/>
      <c r="K772" s="64"/>
      <c r="L772" s="64"/>
      <c r="M772" s="64"/>
      <c r="N772" s="64"/>
      <c r="O772" s="64"/>
      <c r="P772" s="64"/>
      <c r="Q772" s="64"/>
      <c r="R772" s="64"/>
      <c r="S772" s="64"/>
      <c r="T772" s="3"/>
      <c r="U772" s="3"/>
      <c r="V772" s="3"/>
      <c r="W772" s="3"/>
      <c r="X772" s="3"/>
      <c r="Y772" s="3"/>
      <c r="Z772" s="3"/>
      <c r="AA772" s="64"/>
      <c r="AB772" s="3"/>
      <c r="AC772" s="3"/>
      <c r="AD772" s="3"/>
      <c r="AE772" s="3"/>
      <c r="AF772" s="3"/>
      <c r="AG772" s="3"/>
      <c r="AH772" s="3"/>
      <c r="AI772" s="3326"/>
      <c r="AJ772" s="3"/>
      <c r="AK772" s="3"/>
      <c r="AL772" s="3"/>
      <c r="AM772" s="3"/>
      <c r="AN772" s="3"/>
      <c r="AO772" s="3"/>
      <c r="AP772" s="3"/>
    </row>
    <row r="773" customHeight="1" spans="1:42">
      <c r="A773" s="64"/>
      <c r="B773" s="64"/>
      <c r="C773" s="3554" t="s">
        <v>2049</v>
      </c>
      <c r="E773" s="64"/>
      <c r="F773" s="64"/>
      <c r="G773" s="64"/>
      <c r="H773" s="64"/>
      <c r="I773" s="64"/>
      <c r="J773" s="64"/>
      <c r="K773" s="64"/>
      <c r="L773" s="64"/>
      <c r="M773" s="64"/>
      <c r="N773" s="64"/>
      <c r="O773" s="64"/>
      <c r="P773" s="64"/>
      <c r="Q773" s="64"/>
      <c r="R773" s="64"/>
      <c r="S773" s="64"/>
      <c r="T773" s="3"/>
      <c r="U773" s="3"/>
      <c r="V773" s="3"/>
      <c r="W773" s="3"/>
      <c r="X773" s="3"/>
      <c r="Y773" s="3"/>
      <c r="Z773" s="3"/>
      <c r="AA773" s="64"/>
      <c r="AB773" s="3"/>
      <c r="AC773" s="3"/>
      <c r="AD773" s="3"/>
      <c r="AE773" s="3"/>
      <c r="AF773" s="3"/>
      <c r="AG773" s="3"/>
      <c r="AH773" s="3"/>
      <c r="AI773" s="3326"/>
      <c r="AJ773" s="3"/>
      <c r="AK773" s="3"/>
      <c r="AL773" s="3"/>
      <c r="AM773" s="3"/>
      <c r="AN773" s="3"/>
      <c r="AO773" s="3"/>
      <c r="AP773" s="3"/>
    </row>
    <row r="774" customHeight="1" spans="1:42">
      <c r="A774" s="64"/>
      <c r="B774" s="64"/>
      <c r="C774" s="3528" t="s">
        <v>2050</v>
      </c>
      <c r="E774" s="64"/>
      <c r="F774" s="64"/>
      <c r="G774" s="64"/>
      <c r="H774" s="64"/>
      <c r="I774" s="64"/>
      <c r="J774" s="64"/>
      <c r="K774" s="64"/>
      <c r="L774" s="64"/>
      <c r="M774" s="64"/>
      <c r="N774" s="64"/>
      <c r="O774" s="64"/>
      <c r="P774" s="64"/>
      <c r="Q774" s="64"/>
      <c r="R774" s="64"/>
      <c r="S774" s="64"/>
      <c r="T774" s="3"/>
      <c r="U774" s="3"/>
      <c r="V774" s="3"/>
      <c r="W774" s="3"/>
      <c r="X774" s="3"/>
      <c r="Y774" s="3"/>
      <c r="Z774" s="3"/>
      <c r="AA774" s="64"/>
      <c r="AB774" s="3">
        <f>+'50'!P19</f>
        <v>6328441.05</v>
      </c>
      <c r="AC774" s="3"/>
      <c r="AD774" s="3"/>
      <c r="AE774" s="3"/>
      <c r="AF774" s="3"/>
      <c r="AG774" s="3"/>
      <c r="AH774" s="3"/>
      <c r="AI774" s="3326"/>
      <c r="AJ774" s="3">
        <f>+'50'!Q19</f>
        <v>8249050</v>
      </c>
      <c r="AK774" s="3"/>
      <c r="AL774" s="3"/>
      <c r="AM774" s="3"/>
      <c r="AN774" s="3"/>
      <c r="AO774" s="3"/>
      <c r="AP774" s="3"/>
    </row>
    <row r="775" customHeight="1" spans="1:42">
      <c r="A775" s="64"/>
      <c r="B775" s="64"/>
      <c r="C775" t="s">
        <v>2051</v>
      </c>
      <c r="D775" s="64"/>
      <c r="E775" s="64"/>
      <c r="F775" s="64"/>
      <c r="G775" s="64"/>
      <c r="H775" s="64"/>
      <c r="I775" s="64"/>
      <c r="J775" s="64"/>
      <c r="K775" s="64"/>
      <c r="M775" s="64"/>
      <c r="N775" s="64"/>
      <c r="O775" s="64"/>
      <c r="P775" s="64"/>
      <c r="Q775" s="64"/>
      <c r="R775" s="64"/>
      <c r="S775" s="64"/>
      <c r="T775" s="64"/>
      <c r="U775" s="64"/>
      <c r="V775" s="64"/>
      <c r="W775" s="64"/>
      <c r="X775" s="64"/>
      <c r="Y775" s="64"/>
      <c r="Z775" s="64"/>
      <c r="AA775" s="64"/>
      <c r="AB775" s="3">
        <f>+'50'!P33</f>
        <v>5600000</v>
      </c>
      <c r="AC775" s="3"/>
      <c r="AD775" s="3"/>
      <c r="AE775" s="3"/>
      <c r="AF775" s="3"/>
      <c r="AG775" s="3"/>
      <c r="AH775" s="3"/>
      <c r="AI775" s="3326"/>
      <c r="AJ775" s="3">
        <f>+'50'!Q33</f>
        <v>1800000</v>
      </c>
      <c r="AK775" s="3"/>
      <c r="AL775" s="3"/>
      <c r="AM775" s="3"/>
      <c r="AN775" s="3"/>
      <c r="AO775" s="3"/>
      <c r="AP775" s="3"/>
    </row>
    <row r="776" ht="4.5" customHeight="1" spans="1:42">
      <c r="A776" s="64"/>
      <c r="B776" s="64"/>
      <c r="C776" s="3528"/>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2402"/>
      <c r="AC776" s="2402"/>
      <c r="AD776" s="2402"/>
      <c r="AE776" s="2402"/>
      <c r="AF776" s="2402"/>
      <c r="AG776" s="2402"/>
      <c r="AH776" s="2402"/>
      <c r="AI776" s="3326"/>
      <c r="AJ776" s="2402"/>
      <c r="AK776" s="2402"/>
      <c r="AL776" s="2402"/>
      <c r="AM776" s="2402"/>
      <c r="AN776" s="2402"/>
      <c r="AO776" s="2402"/>
      <c r="AP776" s="2402"/>
    </row>
    <row r="777" customHeight="1" spans="1:42">
      <c r="A777" s="64"/>
      <c r="B777" s="64"/>
      <c r="C777" s="3529" t="s">
        <v>2052</v>
      </c>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3">
        <f>SUM(AB774:AH776)</f>
        <v>11928441.05</v>
      </c>
      <c r="AC777" s="3"/>
      <c r="AD777" s="3"/>
      <c r="AE777" s="3"/>
      <c r="AF777" s="3"/>
      <c r="AG777" s="3"/>
      <c r="AH777" s="3"/>
      <c r="AI777" s="3326"/>
      <c r="AJ777" s="3">
        <f>SUM(AJ774:AP776)</f>
        <v>10049050</v>
      </c>
      <c r="AK777" s="3"/>
      <c r="AL777" s="3"/>
      <c r="AM777" s="3"/>
      <c r="AN777" s="3"/>
      <c r="AO777" s="3"/>
      <c r="AP777" s="3"/>
    </row>
    <row r="778" ht="9.2" customHeight="1" spans="1:42">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c r="AG778" s="64"/>
      <c r="AH778" s="64"/>
      <c r="AI778" s="3326"/>
      <c r="AK778" s="64"/>
      <c r="AL778" s="64"/>
      <c r="AM778" s="64"/>
      <c r="AP778" s="64"/>
    </row>
    <row r="779" customHeight="1" spans="1:42">
      <c r="A779" s="64"/>
      <c r="B779" s="64"/>
      <c r="C779" s="3554" t="s">
        <v>2053</v>
      </c>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c r="AG779" s="64"/>
      <c r="AH779" s="64"/>
      <c r="AI779" s="3326"/>
      <c r="AK779" s="64"/>
      <c r="AL779" s="64"/>
      <c r="AM779" s="64"/>
      <c r="AP779" s="64"/>
    </row>
    <row r="780" customHeight="1" spans="1:42">
      <c r="A780" s="64"/>
      <c r="B780" s="64"/>
      <c r="C780" s="3528" t="str">
        <f>+'50'!C40</f>
        <v>Beban Bunga pinjaman</v>
      </c>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3">
        <f>+'50'!P40</f>
        <v>587493064</v>
      </c>
      <c r="AC780" s="3"/>
      <c r="AD780" s="3"/>
      <c r="AE780" s="3"/>
      <c r="AF780" s="3"/>
      <c r="AG780" s="3"/>
      <c r="AH780" s="3"/>
      <c r="AI780" s="3326"/>
      <c r="AJ780" s="3">
        <f>+'50'!Q40</f>
        <v>546941567</v>
      </c>
      <c r="AK780" s="3"/>
      <c r="AL780" s="3"/>
      <c r="AM780" s="3"/>
      <c r="AN780" s="3"/>
      <c r="AO780" s="3"/>
      <c r="AP780" s="3"/>
    </row>
    <row r="781" customHeight="1" spans="1:42">
      <c r="A781" s="64"/>
      <c r="B781" s="64"/>
      <c r="C781" s="3528" t="str">
        <f>+'50'!B47</f>
        <v>Beban Administrasi Bank</v>
      </c>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3">
        <f>+'50'!P48</f>
        <v>18908000</v>
      </c>
      <c r="AC781" s="3"/>
      <c r="AD781" s="3"/>
      <c r="AE781" s="3"/>
      <c r="AF781" s="3"/>
      <c r="AG781" s="3"/>
      <c r="AH781" s="3"/>
      <c r="AI781" s="3326"/>
      <c r="AJ781" s="3">
        <f>+'50'!Q48</f>
        <v>23958695</v>
      </c>
      <c r="AK781" s="3"/>
      <c r="AL781" s="3"/>
      <c r="AM781" s="3"/>
      <c r="AN781" s="3"/>
      <c r="AO781" s="3"/>
      <c r="AP781" s="3"/>
    </row>
    <row r="782" customHeight="1" spans="1:43">
      <c r="A782" s="64"/>
      <c r="B782" s="64"/>
      <c r="C782" s="3528" t="str">
        <f>+'50'!B56</f>
        <v>Pajak Jasa Giro</v>
      </c>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3">
        <f>+'50'!P57</f>
        <v>1405499.54</v>
      </c>
      <c r="AC782" s="3"/>
      <c r="AD782" s="3"/>
      <c r="AE782" s="3"/>
      <c r="AF782" s="3"/>
      <c r="AG782" s="3"/>
      <c r="AH782" s="3"/>
      <c r="AI782" s="3326"/>
      <c r="AJ782" s="3">
        <f>+'50'!Q57</f>
        <v>1078216</v>
      </c>
      <c r="AK782" s="3"/>
      <c r="AL782" s="3"/>
      <c r="AM782" s="3"/>
      <c r="AN782" s="3"/>
      <c r="AO782" s="3"/>
      <c r="AP782" s="3"/>
      <c r="AQ782" s="3528"/>
    </row>
    <row r="783" customHeight="1" spans="1:42">
      <c r="A783" s="64"/>
      <c r="B783" s="64"/>
      <c r="C783" s="3528" t="str">
        <f>+'50'!B64</f>
        <v>Beban Oprs Lainnya</v>
      </c>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3">
        <f>SUM('50'!P65:P72)</f>
        <v>129482002.084398</v>
      </c>
      <c r="AC783" s="3"/>
      <c r="AD783" s="3"/>
      <c r="AE783" s="3"/>
      <c r="AF783" s="3"/>
      <c r="AG783" s="3"/>
      <c r="AH783" s="3"/>
      <c r="AI783" s="3326"/>
      <c r="AJ783" s="3">
        <f>SUM('50'!Q65:Q72)</f>
        <v>115764892</v>
      </c>
      <c r="AK783" s="3"/>
      <c r="AL783" s="3"/>
      <c r="AM783" s="3"/>
      <c r="AN783" s="3"/>
      <c r="AO783" s="3"/>
      <c r="AP783" s="3"/>
    </row>
    <row r="784" ht="4.5" customHeight="1" spans="1:42">
      <c r="A784" s="64"/>
      <c r="B784" s="64"/>
      <c r="C784" s="3528"/>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2402"/>
      <c r="AC784" s="2402"/>
      <c r="AD784" s="2402"/>
      <c r="AE784" s="2402"/>
      <c r="AF784" s="2402"/>
      <c r="AG784" s="2402"/>
      <c r="AH784" s="2402"/>
      <c r="AI784" s="3326"/>
      <c r="AJ784" s="2402"/>
      <c r="AK784" s="2402"/>
      <c r="AL784" s="2402"/>
      <c r="AM784" s="2402"/>
      <c r="AN784" s="2402"/>
      <c r="AO784" s="2402"/>
      <c r="AP784" s="2402"/>
    </row>
    <row r="785" customHeight="1" spans="1:42">
      <c r="A785" s="64"/>
      <c r="B785" s="64"/>
      <c r="C785" s="3529" t="s">
        <v>2054</v>
      </c>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3">
        <f>SUM(AB780:AH784)</f>
        <v>737288565.624398</v>
      </c>
      <c r="AC785" s="3"/>
      <c r="AD785" s="3"/>
      <c r="AE785" s="3"/>
      <c r="AF785" s="3"/>
      <c r="AG785" s="3"/>
      <c r="AH785" s="3"/>
      <c r="AI785" s="3326"/>
      <c r="AJ785" s="3">
        <f>SUM(AJ780:AP784)</f>
        <v>687743370</v>
      </c>
      <c r="AK785" s="3"/>
      <c r="AL785" s="3"/>
      <c r="AM785" s="3"/>
      <c r="AN785" s="3"/>
      <c r="AO785" s="3"/>
      <c r="AP785" s="3"/>
    </row>
    <row r="786" ht="9.2" customHeight="1" spans="1:42">
      <c r="A786" s="64"/>
      <c r="B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c r="AG786" s="64"/>
      <c r="AH786" s="64"/>
      <c r="AI786" s="3326"/>
      <c r="AK786" s="64"/>
      <c r="AL786" s="64"/>
      <c r="AM786" s="64"/>
      <c r="AP786" s="64"/>
    </row>
    <row r="787" customHeight="1" spans="1:42">
      <c r="A787" s="64"/>
      <c r="B787" s="64"/>
      <c r="C787" s="3529" t="s">
        <v>2055</v>
      </c>
      <c r="D787" s="94"/>
      <c r="E787" s="94"/>
      <c r="F787" s="94"/>
      <c r="G787" s="94"/>
      <c r="H787" s="94"/>
      <c r="I787" s="94"/>
      <c r="J787" s="94"/>
      <c r="K787" s="94"/>
      <c r="L787" s="94"/>
      <c r="M787" s="94"/>
      <c r="N787" s="94"/>
      <c r="O787" s="94"/>
      <c r="P787" s="94"/>
      <c r="Q787" s="94"/>
      <c r="R787" s="94"/>
      <c r="S787" s="94"/>
      <c r="T787" s="94"/>
      <c r="U787" s="94"/>
      <c r="V787" s="94"/>
      <c r="W787" s="94"/>
      <c r="X787" s="94"/>
      <c r="Y787" s="94"/>
      <c r="Z787" s="94"/>
      <c r="AA787" s="94"/>
      <c r="AB787" s="3324">
        <f>+AB777-AB785</f>
        <v>-725360124.574398</v>
      </c>
      <c r="AC787" s="3324"/>
      <c r="AD787" s="3324"/>
      <c r="AE787" s="3324"/>
      <c r="AF787" s="3324"/>
      <c r="AG787" s="3324"/>
      <c r="AH787" s="3324"/>
      <c r="AI787" s="3464"/>
      <c r="AJ787" s="3324">
        <f>+AJ777-AJ785</f>
        <v>-677694320</v>
      </c>
      <c r="AK787" s="3324"/>
      <c r="AL787" s="3324"/>
      <c r="AM787" s="3324"/>
      <c r="AN787" s="3324"/>
      <c r="AO787" s="3324"/>
      <c r="AP787" s="3324"/>
    </row>
    <row r="788" ht="15" customHeight="1" spans="1:42">
      <c r="A788" s="64"/>
      <c r="B788" s="64"/>
      <c r="C788" s="3528"/>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3"/>
      <c r="AC788" s="3"/>
      <c r="AD788" s="3"/>
      <c r="AE788" s="3"/>
      <c r="AF788" s="3"/>
      <c r="AG788" s="3"/>
      <c r="AH788" s="3"/>
      <c r="AI788" s="3326"/>
      <c r="AJ788" s="3"/>
      <c r="AK788" s="3"/>
      <c r="AL788" s="3"/>
      <c r="AM788" s="3"/>
      <c r="AN788" s="3"/>
      <c r="AO788" s="3"/>
      <c r="AP788" s="3"/>
    </row>
    <row r="789" customHeight="1" spans="1:41">
      <c r="A789" s="3335">
        <f>+A771+1</f>
        <v>21</v>
      </c>
      <c r="B789" s="64"/>
      <c r="C789" s="3322" t="s">
        <v>2056</v>
      </c>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c r="AG789" s="64"/>
      <c r="AH789" s="64"/>
      <c r="AI789" s="3326"/>
      <c r="AJ789" s="3326"/>
      <c r="AN789" s="3326"/>
      <c r="AO789" s="3326"/>
    </row>
    <row r="790" ht="9.2" customHeight="1" spans="1:41">
      <c r="A790" s="3340"/>
      <c r="B790" s="64"/>
      <c r="C790" s="3322"/>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c r="AG790" s="64"/>
      <c r="AH790" s="64"/>
      <c r="AI790" s="3326"/>
      <c r="AJ790" s="3326"/>
      <c r="AN790" s="3326"/>
      <c r="AO790" s="3326"/>
    </row>
    <row r="791" ht="24" customHeight="1" spans="1:42">
      <c r="A791" s="3340"/>
      <c r="B791" s="64"/>
      <c r="C791" s="5036" t="s">
        <v>2057</v>
      </c>
      <c r="D791" s="3341"/>
      <c r="E791" s="3341"/>
      <c r="F791" s="3341"/>
      <c r="G791" s="3341"/>
      <c r="H791" s="3341"/>
      <c r="I791" s="3341"/>
      <c r="J791" s="3341"/>
      <c r="K791" s="3341"/>
      <c r="L791" s="3341"/>
      <c r="M791" s="3341"/>
      <c r="N791" s="3341"/>
      <c r="O791" s="3341"/>
      <c r="P791" s="3341"/>
      <c r="Q791" s="3341"/>
      <c r="R791" s="3341"/>
      <c r="S791" s="3341"/>
      <c r="T791" s="3341"/>
      <c r="U791" s="3341"/>
      <c r="V791" s="3341"/>
      <c r="W791" s="3341"/>
      <c r="X791" s="3341"/>
      <c r="Y791" s="3341"/>
      <c r="Z791" s="3341"/>
      <c r="AA791" s="3341"/>
      <c r="AB791" s="3341"/>
      <c r="AC791" s="3341"/>
      <c r="AD791" s="3341"/>
      <c r="AE791" s="3341"/>
      <c r="AF791" s="3341"/>
      <c r="AG791" s="3341"/>
      <c r="AH791" s="3341"/>
      <c r="AI791" s="3341"/>
      <c r="AJ791" s="3341"/>
      <c r="AK791" s="3341"/>
      <c r="AL791" s="3341"/>
      <c r="AM791" s="3341"/>
      <c r="AN791" s="3341"/>
      <c r="AO791" s="3341"/>
      <c r="AP791" s="3341"/>
    </row>
    <row r="792" ht="9.2" customHeight="1" spans="1:41">
      <c r="A792" s="64"/>
      <c r="B792" s="64"/>
      <c r="C792" s="64"/>
      <c r="D792" s="64"/>
      <c r="E792" s="64"/>
      <c r="F792" s="3341"/>
      <c r="G792" s="3341"/>
      <c r="H792" s="3341"/>
      <c r="I792" s="3341"/>
      <c r="J792" s="3341"/>
      <c r="K792" s="3341"/>
      <c r="L792" s="3341"/>
      <c r="M792" s="3341"/>
      <c r="N792" s="3341"/>
      <c r="O792" s="3341"/>
      <c r="P792" s="64"/>
      <c r="Q792" s="64"/>
      <c r="R792" s="64"/>
      <c r="S792" s="64"/>
      <c r="T792" s="64"/>
      <c r="U792" s="64"/>
      <c r="V792" s="64"/>
      <c r="W792" s="64"/>
      <c r="X792" s="64"/>
      <c r="Y792" s="64"/>
      <c r="Z792" s="64"/>
      <c r="AA792" s="64"/>
      <c r="AB792" s="64"/>
      <c r="AC792" s="64"/>
      <c r="AD792" s="64"/>
      <c r="AE792" s="64"/>
      <c r="AF792" s="64"/>
      <c r="AG792" s="64"/>
      <c r="AH792" s="64"/>
      <c r="AI792" s="3326"/>
      <c r="AJ792" s="3326"/>
      <c r="AN792" s="3326"/>
      <c r="AO792" s="3326"/>
    </row>
    <row r="793" customHeight="1" spans="1:42">
      <c r="A793" s="64"/>
      <c r="B793" s="64"/>
      <c r="C793" s="3317" t="s">
        <v>2058</v>
      </c>
      <c r="D793" s="3317"/>
      <c r="E793" s="3317"/>
      <c r="F793" s="3317"/>
      <c r="G793" s="3317"/>
      <c r="H793" s="3317"/>
      <c r="I793" s="3317"/>
      <c r="J793" s="3317"/>
      <c r="K793" s="3317"/>
      <c r="L793" s="3317"/>
      <c r="M793" s="3317"/>
      <c r="N793" s="3317"/>
      <c r="O793" s="3341"/>
      <c r="P793" s="3317" t="s">
        <v>2059</v>
      </c>
      <c r="Q793" s="3317"/>
      <c r="R793" s="3317"/>
      <c r="S793" s="3317"/>
      <c r="T793" s="3317"/>
      <c r="U793" s="3317"/>
      <c r="V793" s="3317"/>
      <c r="W793" s="3317"/>
      <c r="X793" s="3317"/>
      <c r="Y793" s="3317"/>
      <c r="Z793" s="3317"/>
      <c r="AA793" s="3317"/>
      <c r="AB793" s="3317"/>
      <c r="AD793" s="3317" t="s">
        <v>2060</v>
      </c>
      <c r="AE793" s="3317"/>
      <c r="AF793" s="3317"/>
      <c r="AG793" s="3317"/>
      <c r="AH793" s="3317"/>
      <c r="AI793" s="3317"/>
      <c r="AJ793" s="3317"/>
      <c r="AK793" s="3317"/>
      <c r="AL793" s="3317"/>
      <c r="AM793" s="3317"/>
      <c r="AN793" s="3317"/>
      <c r="AO793" s="3317"/>
      <c r="AP793" s="3317"/>
    </row>
    <row r="794" customHeight="1" spans="1:42">
      <c r="A794" s="64"/>
      <c r="B794" s="64"/>
      <c r="C794" t="s">
        <v>2061</v>
      </c>
      <c r="D794" s="64"/>
      <c r="E794" s="64"/>
      <c r="F794" s="3341"/>
      <c r="G794" s="3341"/>
      <c r="H794" s="3341"/>
      <c r="I794" s="3341"/>
      <c r="J794" s="3341"/>
      <c r="K794" s="3341"/>
      <c r="L794" s="3341"/>
      <c r="M794" s="3341"/>
      <c r="N794" s="3341"/>
      <c r="O794" s="3341"/>
      <c r="P794" t="s">
        <v>395</v>
      </c>
      <c r="R794" s="64"/>
      <c r="S794" s="64"/>
      <c r="T794" s="64"/>
      <c r="U794" s="64"/>
      <c r="V794" s="64"/>
      <c r="W794" s="64"/>
      <c r="X794" s="64"/>
      <c r="Y794" s="64"/>
      <c r="Z794" s="64"/>
      <c r="AA794" s="64"/>
      <c r="AD794" s="2542" t="s">
        <v>2062</v>
      </c>
      <c r="AE794" s="2542"/>
      <c r="AF794" s="2542"/>
      <c r="AG794" s="2542"/>
      <c r="AH794" s="2542"/>
      <c r="AI794" s="2542"/>
      <c r="AJ794" s="2542"/>
      <c r="AK794" s="2542"/>
      <c r="AL794" s="2542"/>
      <c r="AM794" s="2542"/>
      <c r="AN794" s="2542"/>
      <c r="AO794" s="2542"/>
      <c r="AP794" s="2542"/>
    </row>
    <row r="795" customHeight="1" spans="1:42">
      <c r="A795" s="64"/>
      <c r="B795" s="64"/>
      <c r="C795" t="str">
        <f>+B!C15</f>
        <v>Pratama Energy Mandiri (PEM), PT </v>
      </c>
      <c r="D795" s="64"/>
      <c r="E795" s="64"/>
      <c r="F795" s="3341"/>
      <c r="G795" s="3341"/>
      <c r="H795" s="3341"/>
      <c r="I795" s="3341"/>
      <c r="J795" s="3341"/>
      <c r="K795" s="3341"/>
      <c r="L795" s="3341"/>
      <c r="M795" s="3341"/>
      <c r="N795" s="3341"/>
      <c r="O795" s="3341"/>
      <c r="P795" t="s">
        <v>395</v>
      </c>
      <c r="R795" s="64"/>
      <c r="S795" s="64"/>
      <c r="T795" s="64"/>
      <c r="U795" s="64"/>
      <c r="V795" s="64"/>
      <c r="W795" s="64"/>
      <c r="X795" s="64"/>
      <c r="Y795" s="64"/>
      <c r="Z795" s="64"/>
      <c r="AA795" s="64"/>
      <c r="AD795" s="2542" t="s">
        <v>2063</v>
      </c>
      <c r="AE795" s="2542"/>
      <c r="AF795" s="2542"/>
      <c r="AG795" s="2542"/>
      <c r="AH795" s="2542"/>
      <c r="AI795" s="2542"/>
      <c r="AJ795" s="2542"/>
      <c r="AK795" s="2542"/>
      <c r="AL795" s="2542"/>
      <c r="AM795" s="2542"/>
      <c r="AN795" s="2542"/>
      <c r="AO795" s="2542"/>
      <c r="AP795" s="2542"/>
    </row>
    <row r="796" ht="9.2" customHeight="1" spans="1:41">
      <c r="A796" s="64"/>
      <c r="B796" s="64"/>
      <c r="C796"/>
      <c r="D796" s="64"/>
      <c r="E796" s="64"/>
      <c r="F796" s="3341"/>
      <c r="G796" s="3341"/>
      <c r="H796" s="3341"/>
      <c r="I796" s="3341"/>
      <c r="J796" s="3341"/>
      <c r="K796" s="3341"/>
      <c r="L796" s="3341"/>
      <c r="M796" s="3341"/>
      <c r="N796" s="3341"/>
      <c r="O796" s="3341"/>
      <c r="P796"/>
      <c r="R796" s="64"/>
      <c r="S796" s="64"/>
      <c r="T796" s="64"/>
      <c r="U796" s="64"/>
      <c r="V796" s="64"/>
      <c r="W796" s="64"/>
      <c r="X796" s="64"/>
      <c r="Y796" s="64"/>
      <c r="Z796" s="64"/>
      <c r="AA796" s="64"/>
      <c r="AD796"/>
      <c r="AE796" s="64"/>
      <c r="AF796" s="64"/>
      <c r="AG796" s="64"/>
      <c r="AH796" s="64"/>
      <c r="AI796" s="3326"/>
      <c r="AJ796" s="3326"/>
      <c r="AN796" s="3326"/>
      <c r="AO796" s="3326"/>
    </row>
    <row r="797" customHeight="1" spans="1:41">
      <c r="A797" s="64"/>
      <c r="B797" s="64"/>
      <c r="C797" s="5044" t="s">
        <v>2064</v>
      </c>
      <c r="D797" s="64"/>
      <c r="E797" s="64"/>
      <c r="F797" s="3341"/>
      <c r="G797" s="3341"/>
      <c r="H797" s="3341"/>
      <c r="I797" s="3341"/>
      <c r="J797" s="3341"/>
      <c r="K797" s="3341"/>
      <c r="L797" s="3341"/>
      <c r="M797" s="3341"/>
      <c r="N797" s="3341"/>
      <c r="O797" s="3341"/>
      <c r="P797" s="64"/>
      <c r="Q797" s="64"/>
      <c r="R797" s="64"/>
      <c r="S797" s="64"/>
      <c r="T797" s="64"/>
      <c r="U797" s="64"/>
      <c r="V797" s="64"/>
      <c r="W797" s="64"/>
      <c r="X797" s="64"/>
      <c r="Y797" s="64"/>
      <c r="Z797" s="64"/>
      <c r="AA797" s="64"/>
      <c r="AB797" s="64"/>
      <c r="AC797" s="64"/>
      <c r="AD797" s="64"/>
      <c r="AE797" s="64"/>
      <c r="AF797" s="64"/>
      <c r="AG797" s="64"/>
      <c r="AH797" s="64"/>
      <c r="AI797" s="3326"/>
      <c r="AJ797" s="3326"/>
      <c r="AN797" s="3326"/>
      <c r="AO797" s="3326"/>
    </row>
    <row r="798" ht="6" customHeight="1" spans="1:41">
      <c r="A798" s="64"/>
      <c r="B798" s="64"/>
      <c r="C798"/>
      <c r="D798" s="64"/>
      <c r="E798" s="64"/>
      <c r="F798" s="3341"/>
      <c r="G798" s="3341"/>
      <c r="H798" s="3341"/>
      <c r="I798" s="3341"/>
      <c r="J798" s="3341"/>
      <c r="K798" s="3341"/>
      <c r="L798" s="3341"/>
      <c r="M798" s="3341"/>
      <c r="N798" s="3341"/>
      <c r="O798" s="3341"/>
      <c r="P798" s="64"/>
      <c r="Q798" s="64"/>
      <c r="R798" s="64"/>
      <c r="S798" s="64"/>
      <c r="T798" s="64"/>
      <c r="U798" s="64"/>
      <c r="V798" s="64"/>
      <c r="W798" s="64"/>
      <c r="X798" s="64"/>
      <c r="Y798" s="64"/>
      <c r="Z798" s="64"/>
      <c r="AA798" s="64"/>
      <c r="AB798" s="64"/>
      <c r="AC798" s="64"/>
      <c r="AD798" s="64"/>
      <c r="AE798" s="64"/>
      <c r="AF798" s="64"/>
      <c r="AG798" s="64"/>
      <c r="AH798" s="64"/>
      <c r="AI798" s="3326"/>
      <c r="AJ798" s="3326"/>
      <c r="AN798" s="3326"/>
      <c r="AO798" s="3326"/>
    </row>
    <row r="799" hidden="1" customHeight="1" spans="1:34">
      <c r="A799" s="3340"/>
      <c r="B799" s="64"/>
      <c r="C799" s="3555" t="s">
        <v>738</v>
      </c>
      <c r="D799" s="3341"/>
      <c r="E799" s="3341"/>
      <c r="F799" s="3341"/>
      <c r="G799" s="3341"/>
      <c r="H799" s="3341"/>
      <c r="I799" s="3341"/>
      <c r="J799" s="3341"/>
      <c r="K799" s="3341"/>
      <c r="L799" s="3341"/>
      <c r="M799" s="3341"/>
      <c r="N799" s="3341"/>
      <c r="O799" s="3341"/>
      <c r="P799" s="3341"/>
      <c r="Q799" s="3341"/>
      <c r="R799" s="3341"/>
      <c r="S799" s="3341"/>
      <c r="T799" s="64"/>
      <c r="U799" s="64"/>
      <c r="V799" s="64"/>
      <c r="W799" s="64"/>
      <c r="X799" s="64"/>
      <c r="Y799" s="64"/>
      <c r="Z799" s="64"/>
      <c r="AA799" s="3341"/>
      <c r="AB799" s="3341"/>
      <c r="AC799" s="3341"/>
      <c r="AD799" s="3341"/>
      <c r="AE799" s="3341"/>
      <c r="AF799" s="3341"/>
      <c r="AG799" s="3341"/>
      <c r="AH799" s="3341"/>
    </row>
    <row r="800" s="3326" customFormat="1" hidden="1" spans="1:44">
      <c r="A800" s="3340"/>
      <c r="B800"/>
      <c r="C800" s="2069" t="s">
        <v>171</v>
      </c>
      <c r="D800" s="3339"/>
      <c r="E800" s="3339"/>
      <c r="F800" s="3339"/>
      <c r="G800" s="3339"/>
      <c r="H800" s="3339"/>
      <c r="I800" s="3339"/>
      <c r="J800" s="3339"/>
      <c r="K800" s="3339"/>
      <c r="L800" s="3339"/>
      <c r="M800" s="3339"/>
      <c r="N800" s="3339"/>
      <c r="O800" s="3339"/>
      <c r="P800" s="3339"/>
      <c r="Q800" s="3339"/>
      <c r="R800" s="3339"/>
      <c r="S800" s="3339"/>
      <c r="T800" s="64"/>
      <c r="U800" s="64"/>
      <c r="V800" s="64"/>
      <c r="W800" s="64"/>
      <c r="X800" s="64"/>
      <c r="Y800" s="64"/>
      <c r="Z800" s="64"/>
      <c r="AA800" s="3339"/>
      <c r="AB800" s="93">
        <v>0</v>
      </c>
      <c r="AC800" s="93"/>
      <c r="AD800" s="93"/>
      <c r="AE800" s="93"/>
      <c r="AF800" s="93"/>
      <c r="AG800" s="93"/>
      <c r="AH800" s="93"/>
      <c r="AI800"/>
      <c r="AJ800" s="93">
        <v>0</v>
      </c>
      <c r="AK800" s="93"/>
      <c r="AL800" s="93"/>
      <c r="AM800" s="93"/>
      <c r="AN800" s="93"/>
      <c r="AO800" s="93"/>
      <c r="AP800" s="93"/>
      <c r="AR800" s="3331"/>
    </row>
    <row r="801" customHeight="1" spans="1:42">
      <c r="A801" s="64"/>
      <c r="B801" s="64"/>
      <c r="C801" s="3530" t="s">
        <v>783</v>
      </c>
      <c r="D801" s="64"/>
      <c r="E801" s="64"/>
      <c r="F801" s="3341"/>
      <c r="G801" s="3341"/>
      <c r="H801" s="3341"/>
      <c r="I801" s="3341"/>
      <c r="J801" s="3341"/>
      <c r="K801" s="3341"/>
      <c r="L801" s="3341"/>
      <c r="M801" s="3341"/>
      <c r="N801" s="3341"/>
      <c r="O801" s="3341"/>
      <c r="P801" s="64"/>
      <c r="Q801" s="64"/>
      <c r="R801" s="64"/>
      <c r="S801" s="64"/>
      <c r="T801" s="64"/>
      <c r="U801" s="64"/>
      <c r="V801" s="64"/>
      <c r="W801" s="64"/>
      <c r="X801" s="64"/>
      <c r="Y801" s="64"/>
      <c r="Z801" s="64"/>
      <c r="AA801" s="64"/>
      <c r="AB801" s="3359">
        <f>+AB771</f>
        <v>2021</v>
      </c>
      <c r="AC801" s="3360"/>
      <c r="AD801" s="3360"/>
      <c r="AE801" s="3360"/>
      <c r="AF801" s="3360"/>
      <c r="AG801" s="3360"/>
      <c r="AH801" s="3360"/>
      <c r="AJ801" s="3576">
        <f>+AJ771</f>
        <v>2020</v>
      </c>
      <c r="AK801" s="3576"/>
      <c r="AL801" s="3576"/>
      <c r="AM801" s="3576"/>
      <c r="AN801" s="3576"/>
      <c r="AO801" s="3576"/>
      <c r="AP801" s="3576"/>
    </row>
    <row r="802" customHeight="1" spans="1:44">
      <c r="A802" s="64"/>
      <c r="B802" s="64"/>
      <c r="C802" s="3337" t="str">
        <f>+C795</f>
        <v>Pratama Energy Mandiri (PEM), PT </v>
      </c>
      <c r="D802" s="3337"/>
      <c r="E802" s="3337"/>
      <c r="F802" s="64"/>
      <c r="G802" s="64"/>
      <c r="H802" s="64"/>
      <c r="I802" s="64"/>
      <c r="J802" s="64"/>
      <c r="K802" s="64"/>
      <c r="L802" s="64"/>
      <c r="M802" s="64"/>
      <c r="N802" s="64"/>
      <c r="O802" s="64"/>
      <c r="P802" s="64"/>
      <c r="Q802" s="64"/>
      <c r="R802" s="64"/>
      <c r="S802" s="64"/>
      <c r="T802" s="3345"/>
      <c r="U802" s="3345"/>
      <c r="V802" s="3345"/>
      <c r="W802" s="3345"/>
      <c r="X802" s="3345"/>
      <c r="Y802" s="3345"/>
      <c r="Z802" s="3345"/>
      <c r="AA802" s="3345"/>
      <c r="AB802" s="3345">
        <f>+AB86</f>
        <v>1000000000</v>
      </c>
      <c r="AC802" s="3345"/>
      <c r="AD802" s="3345"/>
      <c r="AE802" s="3345"/>
      <c r="AF802" s="3345"/>
      <c r="AG802" s="3345"/>
      <c r="AH802" s="3345"/>
      <c r="AJ802" s="3345">
        <f>+AJ86</f>
        <v>1000000000</v>
      </c>
      <c r="AK802" s="3345"/>
      <c r="AL802" s="3345"/>
      <c r="AM802" s="3345"/>
      <c r="AN802" s="3345"/>
      <c r="AO802" s="3345"/>
      <c r="AP802" s="3345"/>
      <c r="AR802" s="3326"/>
    </row>
    <row r="803" ht="11.4" spans="1:42">
      <c r="A803" s="64"/>
      <c r="B803" s="64"/>
      <c r="C803" s="3337" t="str">
        <f>+C794</f>
        <v>Pesona Alam Sentosa (PAS), PT </v>
      </c>
      <c r="D803" s="64"/>
      <c r="E803" s="64"/>
      <c r="F803" s="3341"/>
      <c r="G803" s="3341"/>
      <c r="H803" s="3341"/>
      <c r="I803" s="3341"/>
      <c r="J803" s="3341"/>
      <c r="K803" s="3341"/>
      <c r="L803" s="3341"/>
      <c r="M803" s="3341"/>
      <c r="N803" s="3341"/>
      <c r="O803" s="3341"/>
      <c r="P803" s="64"/>
      <c r="Q803" s="64"/>
      <c r="R803" s="64"/>
      <c r="S803" s="64"/>
      <c r="T803" s="64"/>
      <c r="U803" s="64"/>
      <c r="V803" s="64"/>
      <c r="W803" s="64"/>
      <c r="X803" s="64"/>
      <c r="Y803" s="64"/>
      <c r="Z803" s="64"/>
      <c r="AA803" s="64"/>
      <c r="AB803" s="3345">
        <f>+AB87</f>
        <v>114400000</v>
      </c>
      <c r="AC803" s="3345"/>
      <c r="AD803" s="3345"/>
      <c r="AE803" s="3345"/>
      <c r="AF803" s="3345"/>
      <c r="AG803" s="3345"/>
      <c r="AH803" s="3345"/>
      <c r="AI803" s="3326"/>
      <c r="AJ803" s="3345">
        <f>+AJ87</f>
        <v>114400000</v>
      </c>
      <c r="AK803" s="3345"/>
      <c r="AL803" s="3345"/>
      <c r="AM803" s="3345"/>
      <c r="AN803" s="3345"/>
      <c r="AO803" s="3345"/>
      <c r="AP803" s="3345"/>
    </row>
    <row r="804" ht="5.25" customHeight="1" spans="1:42">
      <c r="A804" s="64"/>
      <c r="B804" s="64"/>
      <c r="C804" s="3337"/>
      <c r="D804" s="64"/>
      <c r="E804" s="64"/>
      <c r="F804" s="3341"/>
      <c r="G804" s="3341"/>
      <c r="H804" s="3341"/>
      <c r="I804" s="3341"/>
      <c r="J804" s="3341"/>
      <c r="K804" s="3341"/>
      <c r="L804" s="3341"/>
      <c r="M804" s="3341"/>
      <c r="N804" s="3341"/>
      <c r="O804" s="3341"/>
      <c r="P804" s="64"/>
      <c r="Q804" s="64"/>
      <c r="R804" s="64"/>
      <c r="S804" s="64"/>
      <c r="T804" s="64"/>
      <c r="U804" s="64"/>
      <c r="V804" s="64"/>
      <c r="W804" s="64"/>
      <c r="X804" s="64"/>
      <c r="Y804" s="64"/>
      <c r="Z804" s="64"/>
      <c r="AA804" s="64"/>
      <c r="AB804" s="3345"/>
      <c r="AC804" s="3345"/>
      <c r="AD804" s="3345"/>
      <c r="AE804" s="3345"/>
      <c r="AF804" s="3345"/>
      <c r="AG804" s="3345"/>
      <c r="AH804" s="3345"/>
      <c r="AI804" s="3326"/>
      <c r="AJ804" s="3345"/>
      <c r="AK804" s="3345"/>
      <c r="AL804" s="3345"/>
      <c r="AM804" s="3345"/>
      <c r="AN804" s="3345"/>
      <c r="AO804" s="3345"/>
      <c r="AP804" s="3345"/>
    </row>
    <row r="805" customHeight="1" spans="1:42">
      <c r="A805" s="64"/>
      <c r="B805" s="64"/>
      <c r="C805" s="3337" t="s">
        <v>151</v>
      </c>
      <c r="D805" s="64"/>
      <c r="E805" s="64"/>
      <c r="F805" s="3341"/>
      <c r="G805" s="3341"/>
      <c r="H805" s="3341"/>
      <c r="I805" s="3341"/>
      <c r="J805" s="3341"/>
      <c r="K805" s="3341"/>
      <c r="L805" s="3341"/>
      <c r="M805" s="3341"/>
      <c r="N805" s="3341"/>
      <c r="O805" s="3341"/>
      <c r="P805" s="64"/>
      <c r="Q805" s="64"/>
      <c r="R805" s="64"/>
      <c r="S805" s="64"/>
      <c r="T805" s="64"/>
      <c r="U805" s="64"/>
      <c r="V805" s="64"/>
      <c r="W805" s="64"/>
      <c r="X805" s="64"/>
      <c r="Y805" s="64"/>
      <c r="Z805" s="64"/>
      <c r="AA805" s="64"/>
      <c r="AB805" s="3558">
        <f>SUM(AB802:AH804)</f>
        <v>1114400000</v>
      </c>
      <c r="AC805" s="3558"/>
      <c r="AD805" s="3558"/>
      <c r="AE805" s="3558"/>
      <c r="AF805" s="3558"/>
      <c r="AG805" s="3558"/>
      <c r="AH805" s="3558"/>
      <c r="AI805" s="3464"/>
      <c r="AJ805" s="3563">
        <f>SUM(AJ802:AP804)</f>
        <v>1114400000</v>
      </c>
      <c r="AK805" s="3563"/>
      <c r="AL805" s="3563"/>
      <c r="AM805" s="3563"/>
      <c r="AN805" s="3563"/>
      <c r="AO805" s="3563"/>
      <c r="AP805" s="3563"/>
    </row>
    <row r="806" ht="7.35" customHeight="1" spans="1:41">
      <c r="A806" s="64"/>
      <c r="B806" s="64"/>
      <c r="C806" s="64"/>
      <c r="D806" s="64"/>
      <c r="E806" s="64"/>
      <c r="F806" s="3341"/>
      <c r="G806" s="3341"/>
      <c r="H806" s="3341"/>
      <c r="I806" s="3341"/>
      <c r="J806" s="3341"/>
      <c r="K806" s="3341"/>
      <c r="L806" s="3341"/>
      <c r="M806" s="3341"/>
      <c r="N806" s="3341"/>
      <c r="O806" s="3341"/>
      <c r="P806" s="64"/>
      <c r="Q806" s="64"/>
      <c r="R806" s="64"/>
      <c r="S806" s="64"/>
      <c r="T806" s="64"/>
      <c r="U806" s="64"/>
      <c r="V806" s="64"/>
      <c r="W806" s="64"/>
      <c r="X806" s="64"/>
      <c r="Y806" s="64"/>
      <c r="Z806" s="64"/>
      <c r="AA806" s="64"/>
      <c r="AB806" s="64"/>
      <c r="AC806" s="64"/>
      <c r="AD806" s="64"/>
      <c r="AE806" s="64"/>
      <c r="AF806" s="64"/>
      <c r="AG806" s="64"/>
      <c r="AH806" s="64"/>
      <c r="AI806" s="3326"/>
      <c r="AJ806" s="3326"/>
      <c r="AN806" s="3326"/>
      <c r="AO806" s="3326"/>
    </row>
    <row r="807" ht="7.35" customHeight="1" spans="1:41">
      <c r="A807" s="64"/>
      <c r="B807" s="64"/>
      <c r="C807" s="64"/>
      <c r="D807" s="64"/>
      <c r="E807" s="64"/>
      <c r="F807" s="3341"/>
      <c r="G807" s="3341"/>
      <c r="H807" s="3341"/>
      <c r="I807" s="3341"/>
      <c r="J807" s="3341"/>
      <c r="K807" s="3341"/>
      <c r="L807" s="3341"/>
      <c r="M807" s="3341"/>
      <c r="N807" s="3341"/>
      <c r="O807" s="3341"/>
      <c r="P807" s="64"/>
      <c r="Q807" s="64"/>
      <c r="R807" s="64"/>
      <c r="S807" s="64"/>
      <c r="T807" s="64"/>
      <c r="U807" s="64"/>
      <c r="V807" s="64"/>
      <c r="W807" s="64"/>
      <c r="X807" s="64"/>
      <c r="Y807" s="64"/>
      <c r="Z807" s="64"/>
      <c r="AA807" s="64"/>
      <c r="AB807" s="64"/>
      <c r="AC807" s="64"/>
      <c r="AD807" s="64"/>
      <c r="AE807" s="64"/>
      <c r="AF807" s="64"/>
      <c r="AG807" s="64"/>
      <c r="AH807" s="64"/>
      <c r="AI807" s="3326"/>
      <c r="AJ807" s="3326"/>
      <c r="AN807" s="3326"/>
      <c r="AO807" s="3326"/>
    </row>
    <row r="808" hidden="1" customHeight="1" outlineLevel="1" spans="1:41">
      <c r="A808" s="3335">
        <f>+A789+1</f>
        <v>22</v>
      </c>
      <c r="B808" s="64"/>
      <c r="C808" s="3322" t="s">
        <v>2065</v>
      </c>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c r="AG808" s="64"/>
      <c r="AH808" s="64"/>
      <c r="AI808" s="3326"/>
      <c r="AJ808" s="3326"/>
      <c r="AN808" s="3326"/>
      <c r="AO808" s="3326"/>
    </row>
    <row r="809" hidden="1" customHeight="1" outlineLevel="1" spans="1:41">
      <c r="A809" s="3340"/>
      <c r="B809" s="64"/>
      <c r="C809" s="3322"/>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c r="AG809" s="64"/>
      <c r="AH809" s="64"/>
      <c r="AI809" s="3326"/>
      <c r="AJ809" s="3326"/>
      <c r="AN809" s="3326"/>
      <c r="AO809" s="3326"/>
    </row>
    <row r="810" ht="24" hidden="1" customHeight="1" outlineLevel="1" spans="1:42">
      <c r="A810" s="3340"/>
      <c r="B810" s="64"/>
      <c r="C810" s="5036" t="s">
        <v>2066</v>
      </c>
      <c r="D810" s="3341"/>
      <c r="E810" s="3341"/>
      <c r="F810" s="3341"/>
      <c r="G810" s="3341"/>
      <c r="H810" s="3341"/>
      <c r="I810" s="3341"/>
      <c r="J810" s="3341"/>
      <c r="K810" s="3341"/>
      <c r="L810" s="3341"/>
      <c r="M810" s="3341"/>
      <c r="N810" s="3341"/>
      <c r="O810" s="3341"/>
      <c r="P810" s="3341"/>
      <c r="Q810" s="3341"/>
      <c r="R810" s="3341"/>
      <c r="S810" s="3341"/>
      <c r="T810" s="3341"/>
      <c r="U810" s="3341"/>
      <c r="V810" s="3341"/>
      <c r="W810" s="3341"/>
      <c r="X810" s="3341"/>
      <c r="Y810" s="3341"/>
      <c r="Z810" s="3341"/>
      <c r="AA810" s="3341"/>
      <c r="AB810" s="3341"/>
      <c r="AC810" s="3341"/>
      <c r="AD810" s="3341"/>
      <c r="AE810" s="3341"/>
      <c r="AF810" s="3341"/>
      <c r="AG810" s="3341"/>
      <c r="AH810" s="3341"/>
      <c r="AI810" s="3341"/>
      <c r="AJ810" s="3341"/>
      <c r="AK810" s="3341"/>
      <c r="AL810" s="3341"/>
      <c r="AM810" s="3341"/>
      <c r="AN810" s="3341"/>
      <c r="AO810" s="3341"/>
      <c r="AP810" s="3341"/>
    </row>
    <row r="811" ht="8.25" hidden="1" customHeight="1" outlineLevel="1" spans="1:41">
      <c r="A811" s="64"/>
      <c r="B811" s="64"/>
      <c r="C811" s="64"/>
      <c r="D811" s="64"/>
      <c r="E811" s="64"/>
      <c r="F811" s="3341"/>
      <c r="G811" s="3341"/>
      <c r="H811" s="3341"/>
      <c r="I811" s="3341"/>
      <c r="J811" s="3341"/>
      <c r="K811" s="3341"/>
      <c r="L811" s="3341"/>
      <c r="M811" s="3341"/>
      <c r="N811" s="3341"/>
      <c r="O811" s="3341"/>
      <c r="P811" s="64"/>
      <c r="Q811" s="64"/>
      <c r="R811" s="64"/>
      <c r="S811" s="64"/>
      <c r="T811" s="64"/>
      <c r="U811" s="64"/>
      <c r="V811" s="64"/>
      <c r="W811" s="64"/>
      <c r="X811" s="64"/>
      <c r="Y811" s="64"/>
      <c r="Z811" s="64"/>
      <c r="AA811" s="64"/>
      <c r="AB811" s="64"/>
      <c r="AC811" s="64"/>
      <c r="AD811" s="64"/>
      <c r="AE811" s="64"/>
      <c r="AF811" s="64"/>
      <c r="AG811" s="64"/>
      <c r="AH811" s="64"/>
      <c r="AI811" s="3326"/>
      <c r="AJ811" s="3326"/>
      <c r="AN811" s="3326"/>
      <c r="AO811" s="3326"/>
    </row>
    <row r="812" hidden="1" customHeight="1" outlineLevel="1" spans="1:42">
      <c r="A812" s="64"/>
      <c r="B812" s="64"/>
      <c r="C812" s="64"/>
      <c r="D812" s="64"/>
      <c r="E812" s="64"/>
      <c r="F812" s="64"/>
      <c r="G812" s="64"/>
      <c r="H812" s="64"/>
      <c r="I812" s="64"/>
      <c r="J812" s="64"/>
      <c r="K812" s="64"/>
      <c r="L812" s="64"/>
      <c r="M812" s="64"/>
      <c r="N812" s="64"/>
      <c r="O812" s="64"/>
      <c r="P812" s="64"/>
      <c r="Q812" s="64"/>
      <c r="R812" s="64"/>
      <c r="S812" s="64"/>
      <c r="T812" s="16"/>
      <c r="U812" s="16"/>
      <c r="V812" s="16"/>
      <c r="W812" s="16"/>
      <c r="X812" s="16"/>
      <c r="Y812" s="16"/>
      <c r="Z812" s="16"/>
      <c r="AA812" s="64"/>
      <c r="AB812" s="3397">
        <f>+AB801</f>
        <v>2021</v>
      </c>
      <c r="AC812" s="3370"/>
      <c r="AD812" s="3370"/>
      <c r="AE812" s="3370"/>
      <c r="AF812" s="3370"/>
      <c r="AG812" s="3370"/>
      <c r="AH812" s="3370"/>
      <c r="AI812" s="3326"/>
      <c r="AJ812" s="3397">
        <f>+AJ801</f>
        <v>2020</v>
      </c>
      <c r="AK812" s="3370"/>
      <c r="AL812" s="3370"/>
      <c r="AM812" s="3370"/>
      <c r="AN812" s="3370"/>
      <c r="AO812" s="3370"/>
      <c r="AP812" s="3370"/>
    </row>
    <row r="813" hidden="1" customHeight="1" outlineLevel="1" spans="1:42">
      <c r="A813" s="64"/>
      <c r="B813" s="64"/>
      <c r="C813" s="3322" t="s">
        <v>2067</v>
      </c>
      <c r="D813" s="64"/>
      <c r="E813" s="64"/>
      <c r="F813" s="64"/>
      <c r="G813" s="64"/>
      <c r="H813" s="64"/>
      <c r="I813" s="64"/>
      <c r="J813" s="64"/>
      <c r="K813" s="64"/>
      <c r="L813" s="64"/>
      <c r="M813" s="64"/>
      <c r="N813" s="64"/>
      <c r="O813" s="64"/>
      <c r="P813" s="64"/>
      <c r="Q813" s="64"/>
      <c r="R813" s="64"/>
      <c r="S813" s="3067"/>
      <c r="T813" s="3067"/>
      <c r="U813" s="3067"/>
      <c r="V813" s="3067"/>
      <c r="W813" s="3067"/>
      <c r="X813" s="3067"/>
      <c r="Y813" s="3067"/>
      <c r="Z813" s="3067"/>
      <c r="AA813" s="3067"/>
      <c r="AB813" s="3559"/>
      <c r="AC813" s="3559"/>
      <c r="AD813" s="3559"/>
      <c r="AE813" s="3559"/>
      <c r="AF813" s="3559"/>
      <c r="AG813" s="3559"/>
      <c r="AH813" s="3559"/>
      <c r="AI813" s="3326"/>
      <c r="AJ813" s="3559"/>
      <c r="AK813" s="3559"/>
      <c r="AL813" s="3559"/>
      <c r="AM813" s="3559"/>
      <c r="AN813" s="3559"/>
      <c r="AO813" s="3559"/>
      <c r="AP813" s="3559"/>
    </row>
    <row r="814" hidden="1" customHeight="1" outlineLevel="1" spans="1:44">
      <c r="A814" s="64"/>
      <c r="B814" s="64"/>
      <c r="C814" s="64" t="s">
        <v>731</v>
      </c>
      <c r="D814" s="64"/>
      <c r="E814" s="64"/>
      <c r="F814" s="64"/>
      <c r="G814" s="64"/>
      <c r="H814" s="64"/>
      <c r="I814" s="64"/>
      <c r="J814" s="64"/>
      <c r="K814" s="64"/>
      <c r="L814" s="64"/>
      <c r="M814" s="64"/>
      <c r="N814" s="64"/>
      <c r="O814" s="64"/>
      <c r="P814" s="64"/>
      <c r="Q814" s="64"/>
      <c r="R814" s="64"/>
      <c r="S814" s="3067"/>
      <c r="T814" s="3067"/>
      <c r="U814" s="3067"/>
      <c r="V814" s="3067"/>
      <c r="W814" s="3067"/>
      <c r="X814" s="3067"/>
      <c r="Y814" s="3067"/>
      <c r="Z814" s="3067"/>
      <c r="AA814" s="3560"/>
      <c r="AB814" s="3560">
        <f>+'F1'!P15</f>
        <v>295686160.08</v>
      </c>
      <c r="AC814" s="3560"/>
      <c r="AD814" s="3560"/>
      <c r="AE814" s="3560"/>
      <c r="AF814" s="3560"/>
      <c r="AG814" s="3560"/>
      <c r="AH814" s="3560"/>
      <c r="AI814" s="3326"/>
      <c r="AJ814" s="3560">
        <f>+'F1'!Q15</f>
        <v>750100447</v>
      </c>
      <c r="AK814" s="3560"/>
      <c r="AL814" s="3560"/>
      <c r="AM814" s="3560"/>
      <c r="AN814" s="3560"/>
      <c r="AO814" s="3560"/>
      <c r="AP814" s="3560"/>
      <c r="AQ814" s="3328"/>
      <c r="AR814" s="3399"/>
    </row>
    <row r="815" hidden="1" customHeight="1" outlineLevel="1" spans="1:42">
      <c r="A815" s="64"/>
      <c r="B815" s="64"/>
      <c r="C815" s="64" t="s">
        <v>733</v>
      </c>
      <c r="D815" s="64"/>
      <c r="E815" s="64"/>
      <c r="F815" s="64"/>
      <c r="G815" s="64"/>
      <c r="H815" s="64"/>
      <c r="I815" s="64"/>
      <c r="J815" s="64"/>
      <c r="K815" s="64"/>
      <c r="L815" s="64"/>
      <c r="M815" s="64"/>
      <c r="N815" s="64"/>
      <c r="O815" s="64"/>
      <c r="P815" s="64"/>
      <c r="Q815" s="64"/>
      <c r="R815" s="64"/>
      <c r="S815" s="3067"/>
      <c r="T815" s="3067"/>
      <c r="U815" s="3067"/>
      <c r="V815" s="3067"/>
      <c r="W815" s="3067"/>
      <c r="X815" s="3067"/>
      <c r="Y815" s="3067"/>
      <c r="Z815" s="3067"/>
      <c r="AA815" s="3560"/>
      <c r="AB815" s="3560">
        <f>AB819+'F1'!P16</f>
        <v>0</v>
      </c>
      <c r="AC815" s="3560"/>
      <c r="AD815" s="3560"/>
      <c r="AE815" s="3560"/>
      <c r="AF815" s="3560"/>
      <c r="AG815" s="3560"/>
      <c r="AH815" s="3560"/>
      <c r="AI815" s="3326"/>
      <c r="AJ815" s="3560">
        <f>+'F1'!Q16</f>
        <v>0</v>
      </c>
      <c r="AK815" s="3560"/>
      <c r="AL815" s="3560"/>
      <c r="AM815" s="3560"/>
      <c r="AN815" s="3560"/>
      <c r="AO815" s="3560"/>
      <c r="AP815" s="3560"/>
    </row>
    <row r="816" ht="8.25" hidden="1" customHeight="1" outlineLevel="1" spans="1:42">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2682"/>
      <c r="AB816" s="2682"/>
      <c r="AC816" s="2682"/>
      <c r="AD816" s="2682"/>
      <c r="AE816" s="2682"/>
      <c r="AF816" s="2682"/>
      <c r="AG816" s="2682"/>
      <c r="AH816" s="2682"/>
      <c r="AI816" s="3326"/>
      <c r="AJ816" s="2682"/>
      <c r="AK816" s="2682"/>
      <c r="AL816" s="2682"/>
      <c r="AM816" s="2682"/>
      <c r="AN816" s="2682"/>
      <c r="AO816" s="2682"/>
      <c r="AP816" s="2682"/>
    </row>
    <row r="817" ht="12.75" hidden="1" outlineLevel="1" spans="1:44">
      <c r="A817" s="64"/>
      <c r="B817" s="64"/>
      <c r="C817" s="94" t="s">
        <v>675</v>
      </c>
      <c r="D817" s="3322"/>
      <c r="E817" s="3322"/>
      <c r="F817" s="64"/>
      <c r="G817" s="64"/>
      <c r="H817" s="64"/>
      <c r="I817" s="64"/>
      <c r="J817" s="64"/>
      <c r="K817" s="64"/>
      <c r="L817" s="64"/>
      <c r="M817" s="64"/>
      <c r="N817" s="64"/>
      <c r="O817" s="64"/>
      <c r="P817" s="3322"/>
      <c r="Q817" s="3322"/>
      <c r="R817" s="3322"/>
      <c r="S817" s="3322"/>
      <c r="T817" s="3450"/>
      <c r="U817" s="3450"/>
      <c r="V817" s="3450"/>
      <c r="W817" s="3450"/>
      <c r="X817" s="3450"/>
      <c r="Y817" s="3450"/>
      <c r="Z817" s="3450"/>
      <c r="AA817" s="3561"/>
      <c r="AB817" s="3442">
        <f>+AB814</f>
        <v>295686160.08</v>
      </c>
      <c r="AC817" s="3442"/>
      <c r="AD817" s="3442"/>
      <c r="AE817" s="3442"/>
      <c r="AF817" s="3442"/>
      <c r="AG817" s="3442"/>
      <c r="AH817" s="3442"/>
      <c r="AI817" s="3326"/>
      <c r="AJ817" s="3442">
        <f>+AJ814</f>
        <v>750100447</v>
      </c>
      <c r="AK817" s="3442"/>
      <c r="AL817" s="3442"/>
      <c r="AM817" s="3442"/>
      <c r="AN817" s="3442"/>
      <c r="AO817" s="3442"/>
      <c r="AP817" s="3442"/>
      <c r="AQ817" s="3328"/>
      <c r="AR817" s="3399"/>
    </row>
    <row r="818" ht="12.95" hidden="1" customHeight="1" outlineLevel="1" spans="1:42">
      <c r="A818" s="64"/>
      <c r="B818" s="64"/>
      <c r="C818" s="2104"/>
      <c r="D818" s="2146"/>
      <c r="E818" s="2146"/>
      <c r="F818" s="2146"/>
      <c r="G818" s="2146"/>
      <c r="H818" s="2146"/>
      <c r="I818" s="2146"/>
      <c r="J818" s="2146"/>
      <c r="K818" s="2146"/>
      <c r="L818" s="2146"/>
      <c r="M818" s="2146"/>
      <c r="N818" s="2146"/>
      <c r="O818" s="2146"/>
      <c r="P818" s="2146"/>
      <c r="Q818" s="2146"/>
      <c r="R818" s="2146"/>
      <c r="S818" s="2146"/>
      <c r="T818" s="2146"/>
      <c r="U818" s="2146"/>
      <c r="V818" s="2146"/>
      <c r="W818" s="2146"/>
      <c r="X818" s="2146"/>
      <c r="Y818" s="2146"/>
      <c r="Z818" s="2146"/>
      <c r="AA818" s="2146"/>
      <c r="AB818" s="2146"/>
      <c r="AC818" s="2146"/>
      <c r="AD818" s="2146"/>
      <c r="AE818" s="2146"/>
      <c r="AF818" s="2146"/>
      <c r="AG818" s="2146"/>
      <c r="AH818" s="2146"/>
      <c r="AI818" s="2146"/>
      <c r="AJ818" s="2146"/>
      <c r="AK818" s="2146"/>
      <c r="AL818" s="2146"/>
      <c r="AM818" s="2146"/>
      <c r="AN818" s="2146"/>
      <c r="AO818" s="2146"/>
      <c r="AP818" s="2146"/>
    </row>
    <row r="819" hidden="1" customHeight="1" outlineLevel="1" spans="1:42">
      <c r="A819" s="64"/>
      <c r="B819" s="64"/>
      <c r="C819" s="3322" t="s">
        <v>2068</v>
      </c>
      <c r="D819" s="64"/>
      <c r="E819" s="64"/>
      <c r="F819" s="3322"/>
      <c r="G819" s="3322"/>
      <c r="H819" s="3322"/>
      <c r="I819" s="3322"/>
      <c r="J819" s="3322"/>
      <c r="K819" s="3322"/>
      <c r="L819" s="3322"/>
      <c r="M819" s="3322"/>
      <c r="N819" s="3322"/>
      <c r="O819" s="3322"/>
      <c r="P819" s="64"/>
      <c r="Q819" s="64"/>
      <c r="R819" s="64"/>
      <c r="S819" s="3067"/>
      <c r="T819" s="3067"/>
      <c r="U819" s="3067"/>
      <c r="V819" s="3067"/>
      <c r="W819" s="3067"/>
      <c r="X819" s="3067"/>
      <c r="Y819" s="3067"/>
      <c r="Z819" s="3067"/>
      <c r="AA819" s="3067"/>
      <c r="AB819" s="3067"/>
      <c r="AC819" s="3067"/>
      <c r="AD819" s="3067"/>
      <c r="AE819" s="3067"/>
      <c r="AF819" s="3067"/>
      <c r="AG819" s="3067"/>
      <c r="AH819" s="3067"/>
      <c r="AI819" s="3326"/>
      <c r="AJ819" s="3067"/>
      <c r="AK819" s="3067"/>
      <c r="AL819" s="3067"/>
      <c r="AM819" s="3067"/>
      <c r="AN819" s="3067"/>
      <c r="AO819" s="3067"/>
      <c r="AP819" s="3067"/>
    </row>
    <row r="820" hidden="1" customHeight="1" outlineLevel="1" spans="1:42">
      <c r="A820" s="64"/>
      <c r="B820" s="64"/>
      <c r="C820" s="3315" t="s">
        <v>769</v>
      </c>
      <c r="D820" s="64"/>
      <c r="E820" s="64"/>
      <c r="F820" s="3322"/>
      <c r="G820" s="3322"/>
      <c r="H820" s="3322"/>
      <c r="I820" s="3322"/>
      <c r="J820" s="3322"/>
      <c r="K820" s="3322"/>
      <c r="L820" s="3322"/>
      <c r="M820" s="3322"/>
      <c r="N820" s="3322"/>
      <c r="O820" s="3322"/>
      <c r="P820" s="64"/>
      <c r="Q820" s="64"/>
      <c r="R820" s="64"/>
      <c r="S820" s="3067"/>
      <c r="T820" s="3067"/>
      <c r="U820" s="3067"/>
      <c r="V820" s="3067"/>
      <c r="W820" s="3067"/>
      <c r="X820" s="3067"/>
      <c r="Y820" s="3067"/>
      <c r="Z820" s="3067"/>
      <c r="AA820" s="3067"/>
      <c r="AB820" s="3560">
        <f>+'F2'!Q16</f>
        <v>869165810</v>
      </c>
      <c r="AC820" s="3560"/>
      <c r="AD820" s="3560"/>
      <c r="AE820" s="3560"/>
      <c r="AF820" s="3560"/>
      <c r="AG820" s="3560"/>
      <c r="AH820" s="3560"/>
      <c r="AI820" s="3326"/>
      <c r="AJ820" s="1979">
        <f>+'F2'!R16</f>
        <v>1840865220</v>
      </c>
      <c r="AK820" s="1979"/>
      <c r="AL820" s="1979"/>
      <c r="AM820" s="1979"/>
      <c r="AN820" s="1979"/>
      <c r="AO820" s="1979"/>
      <c r="AP820" s="1979"/>
    </row>
    <row r="821" hidden="1" customHeight="1" outlineLevel="1" spans="1:42">
      <c r="A821" s="64"/>
      <c r="B821" s="64"/>
      <c r="C821" t="s">
        <v>2069</v>
      </c>
      <c r="D821" s="64"/>
      <c r="E821" s="64"/>
      <c r="F821" s="64"/>
      <c r="G821" s="64"/>
      <c r="H821" s="64"/>
      <c r="I821" s="64"/>
      <c r="J821" s="64"/>
      <c r="K821" s="64"/>
      <c r="L821" s="64"/>
      <c r="M821" s="64"/>
      <c r="N821" s="64"/>
      <c r="O821" s="64"/>
      <c r="P821" s="64"/>
      <c r="Q821" s="64"/>
      <c r="R821" s="64"/>
      <c r="S821" s="3067"/>
      <c r="T821" s="3568"/>
      <c r="U821" s="3568"/>
      <c r="V821" s="3568"/>
      <c r="W821" s="3568"/>
      <c r="X821" s="3568"/>
      <c r="Y821" s="3568"/>
      <c r="Z821" s="3568"/>
      <c r="AA821" s="3570"/>
      <c r="AB821" s="3570">
        <f>SUM('F2'!Q29)</f>
        <v>0</v>
      </c>
      <c r="AC821" s="3570"/>
      <c r="AD821" s="3570"/>
      <c r="AE821" s="3570"/>
      <c r="AF821" s="3570"/>
      <c r="AG821" s="3570"/>
      <c r="AH821" s="3570"/>
      <c r="AI821" s="3326"/>
      <c r="AJ821" s="3570">
        <f>+'F2'!R29</f>
        <v>0</v>
      </c>
      <c r="AK821" s="3570"/>
      <c r="AL821" s="3570"/>
      <c r="AM821" s="3570"/>
      <c r="AN821" s="3570"/>
      <c r="AO821" s="3570"/>
      <c r="AP821" s="3570"/>
    </row>
    <row r="822" ht="6.6" hidden="1" customHeight="1" outlineLevel="1" spans="1:42">
      <c r="A822" s="64"/>
      <c r="B822" s="64"/>
      <c r="C822" s="64"/>
      <c r="D822" s="64"/>
      <c r="E822" s="64"/>
      <c r="F822" s="64"/>
      <c r="G822" s="64"/>
      <c r="H822" s="64"/>
      <c r="I822" s="64"/>
      <c r="J822" s="64"/>
      <c r="K822" s="64"/>
      <c r="L822" s="64"/>
      <c r="M822" s="64"/>
      <c r="N822" s="64"/>
      <c r="O822" s="64"/>
      <c r="P822" s="64"/>
      <c r="Q822" s="64"/>
      <c r="R822" s="64"/>
      <c r="S822" s="64"/>
      <c r="T822" s="3569"/>
      <c r="U822" s="3569"/>
      <c r="V822" s="3569"/>
      <c r="W822" s="3569"/>
      <c r="X822" s="3569"/>
      <c r="Y822" s="3569"/>
      <c r="Z822" s="3569"/>
      <c r="AA822" s="3571"/>
      <c r="AB822" s="3571"/>
      <c r="AC822" s="3571"/>
      <c r="AD822" s="3571"/>
      <c r="AE822" s="3571"/>
      <c r="AF822" s="3571"/>
      <c r="AG822" s="3571"/>
      <c r="AH822" s="3571"/>
      <c r="AI822" s="3326"/>
      <c r="AJ822" s="3571"/>
      <c r="AK822" s="3571"/>
      <c r="AL822" s="3571"/>
      <c r="AM822" s="3571"/>
      <c r="AN822" s="3571"/>
      <c r="AO822" s="3571"/>
      <c r="AP822" s="3571"/>
    </row>
    <row r="823" hidden="1" customHeight="1" outlineLevel="1" spans="1:42">
      <c r="A823" s="64"/>
      <c r="B823" s="64"/>
      <c r="C823" s="94" t="s">
        <v>675</v>
      </c>
      <c r="D823" s="3322"/>
      <c r="E823" s="3322"/>
      <c r="F823" s="64"/>
      <c r="G823" s="64"/>
      <c r="H823" s="64"/>
      <c r="I823" s="64"/>
      <c r="J823" s="64"/>
      <c r="K823" s="64"/>
      <c r="L823" s="64"/>
      <c r="M823" s="64"/>
      <c r="N823" s="64"/>
      <c r="O823" s="64"/>
      <c r="P823" s="3322"/>
      <c r="Q823" s="3322"/>
      <c r="R823" s="3322"/>
      <c r="S823" s="3322"/>
      <c r="T823" s="3450"/>
      <c r="U823" s="3450"/>
      <c r="V823" s="3450"/>
      <c r="W823" s="3450"/>
      <c r="X823" s="3450"/>
      <c r="Y823" s="3450"/>
      <c r="Z823" s="3450"/>
      <c r="AA823" s="3561"/>
      <c r="AB823" s="3442">
        <f>+AB821</f>
        <v>0</v>
      </c>
      <c r="AC823" s="3442"/>
      <c r="AD823" s="3442"/>
      <c r="AE823" s="3442"/>
      <c r="AF823" s="3442"/>
      <c r="AG823" s="3442"/>
      <c r="AH823" s="3442"/>
      <c r="AI823" s="3326"/>
      <c r="AJ823" s="3442">
        <f>+AJ821</f>
        <v>0</v>
      </c>
      <c r="AK823" s="3442"/>
      <c r="AL823" s="3442"/>
      <c r="AM823" s="3442"/>
      <c r="AN823" s="3442"/>
      <c r="AO823" s="3442"/>
      <c r="AP823" s="3442"/>
    </row>
    <row r="824" hidden="1" customHeight="1" outlineLevel="1" spans="1:42">
      <c r="A824" s="64"/>
      <c r="B824" s="64"/>
      <c r="C824" s="94"/>
      <c r="D824" s="3322"/>
      <c r="E824" s="3322"/>
      <c r="F824" s="64"/>
      <c r="G824" s="64"/>
      <c r="H824" s="64"/>
      <c r="I824" s="64"/>
      <c r="J824" s="64"/>
      <c r="K824" s="64"/>
      <c r="L824" s="64"/>
      <c r="M824" s="64"/>
      <c r="N824" s="64"/>
      <c r="O824" s="64"/>
      <c r="P824" s="3322"/>
      <c r="Q824" s="3322"/>
      <c r="R824" s="3322"/>
      <c r="S824" s="3322"/>
      <c r="T824" s="3561"/>
      <c r="U824" s="3561"/>
      <c r="V824" s="3561"/>
      <c r="W824" s="3561"/>
      <c r="X824" s="3561"/>
      <c r="Y824" s="3561"/>
      <c r="Z824" s="3561"/>
      <c r="AA824" s="3561"/>
      <c r="AB824" s="3561"/>
      <c r="AC824" s="3561"/>
      <c r="AD824" s="3561"/>
      <c r="AE824" s="3561"/>
      <c r="AF824" s="3561"/>
      <c r="AG824" s="3561"/>
      <c r="AH824" s="3561"/>
      <c r="AI824" s="3326"/>
      <c r="AJ824" s="3561"/>
      <c r="AK824" s="3561"/>
      <c r="AL824" s="3561"/>
      <c r="AM824" s="3561"/>
      <c r="AN824" s="3561"/>
      <c r="AO824" s="3561"/>
      <c r="AP824" s="3561"/>
    </row>
    <row r="825" ht="27.2" hidden="1" customHeight="1" outlineLevel="1" spans="1:42">
      <c r="A825" s="64"/>
      <c r="B825" s="64"/>
      <c r="C825" s="5059" t="s">
        <v>2070</v>
      </c>
      <c r="D825" s="2146"/>
      <c r="E825" s="2146"/>
      <c r="F825" s="2146"/>
      <c r="G825" s="2146"/>
      <c r="H825" s="2146"/>
      <c r="I825" s="2146"/>
      <c r="J825" s="2146"/>
      <c r="K825" s="2146"/>
      <c r="L825" s="2146"/>
      <c r="M825" s="2146"/>
      <c r="N825" s="2146"/>
      <c r="O825" s="2146"/>
      <c r="P825" s="2146"/>
      <c r="Q825" s="2146"/>
      <c r="R825" s="2146"/>
      <c r="S825" s="2146"/>
      <c r="T825" s="2146"/>
      <c r="U825" s="2146"/>
      <c r="V825" s="2146"/>
      <c r="W825" s="2146"/>
      <c r="X825" s="2146"/>
      <c r="Y825" s="2146"/>
      <c r="Z825" s="2146"/>
      <c r="AA825" s="2146"/>
      <c r="AB825" s="2146"/>
      <c r="AC825" s="2146"/>
      <c r="AD825" s="2146"/>
      <c r="AE825" s="2146"/>
      <c r="AF825" s="2146"/>
      <c r="AG825" s="2146"/>
      <c r="AH825" s="2146"/>
      <c r="AI825" s="2146"/>
      <c r="AJ825" s="2146"/>
      <c r="AK825" s="2146"/>
      <c r="AL825" s="2146"/>
      <c r="AM825" s="2146"/>
      <c r="AN825" s="2146"/>
      <c r="AO825" s="2146"/>
      <c r="AP825" s="2146"/>
    </row>
    <row r="826" ht="12.95" hidden="1" customHeight="1" outlineLevel="1" spans="1:42">
      <c r="A826" s="64"/>
      <c r="B826" s="64"/>
      <c r="C826" s="2104"/>
      <c r="D826" s="2146"/>
      <c r="E826" s="2146"/>
      <c r="F826" s="2146"/>
      <c r="G826" s="2146"/>
      <c r="H826" s="2146"/>
      <c r="I826" s="2146"/>
      <c r="J826" s="2146"/>
      <c r="K826" s="2146"/>
      <c r="L826" s="2146"/>
      <c r="M826" s="2146"/>
      <c r="N826" s="2146"/>
      <c r="O826" s="2146"/>
      <c r="P826" s="2146"/>
      <c r="Q826" s="2146"/>
      <c r="R826" s="2146"/>
      <c r="S826" s="2146"/>
      <c r="T826" s="2146"/>
      <c r="U826" s="2146"/>
      <c r="V826" s="2146"/>
      <c r="W826" s="2146"/>
      <c r="X826" s="2146"/>
      <c r="Y826" s="2146"/>
      <c r="Z826" s="2146"/>
      <c r="AA826" s="2146"/>
      <c r="AB826" s="2146"/>
      <c r="AC826" s="2146"/>
      <c r="AD826" s="2146"/>
      <c r="AE826" s="2146"/>
      <c r="AF826" s="2146"/>
      <c r="AG826" s="2146"/>
      <c r="AH826" s="2146"/>
      <c r="AI826" s="2146"/>
      <c r="AJ826" s="2146"/>
      <c r="AK826" s="2146"/>
      <c r="AL826" s="2146"/>
      <c r="AM826" s="2146"/>
      <c r="AN826" s="2146"/>
      <c r="AO826" s="2146"/>
      <c r="AP826" s="2146"/>
    </row>
    <row r="827" ht="12.95" hidden="1" customHeight="1" outlineLevel="1" spans="1:42">
      <c r="A827" s="64"/>
      <c r="B827" s="64"/>
      <c r="C827" s="2104"/>
      <c r="D827" s="2146"/>
      <c r="E827" s="2146"/>
      <c r="F827" s="2146"/>
      <c r="G827" s="2146"/>
      <c r="H827" s="2146"/>
      <c r="I827" s="2146"/>
      <c r="J827" s="2146"/>
      <c r="K827" s="2146"/>
      <c r="L827" s="2146"/>
      <c r="M827" s="2146"/>
      <c r="N827" s="2146"/>
      <c r="O827" s="2146"/>
      <c r="P827" s="2146"/>
      <c r="Q827" s="2146"/>
      <c r="R827" s="2146"/>
      <c r="S827" s="2146"/>
      <c r="T827" s="2146"/>
      <c r="U827" s="2146"/>
      <c r="V827" s="2146"/>
      <c r="W827" s="2146"/>
      <c r="X827" s="2146"/>
      <c r="Y827" s="2146"/>
      <c r="Z827" s="2146"/>
      <c r="AA827" s="2146"/>
      <c r="AB827" s="2146"/>
      <c r="AC827" s="2146"/>
      <c r="AD827" s="2146"/>
      <c r="AE827" s="2146"/>
      <c r="AF827" s="2146"/>
      <c r="AG827" s="2146"/>
      <c r="AH827" s="2146"/>
      <c r="AI827" s="2146"/>
      <c r="AJ827" s="2146"/>
      <c r="AK827" s="2146"/>
      <c r="AL827" s="2146"/>
      <c r="AM827" s="2146"/>
      <c r="AN827" s="2146"/>
      <c r="AO827" s="2146"/>
      <c r="AP827" s="2146"/>
    </row>
    <row r="828" ht="12.95" hidden="1" customHeight="1" outlineLevel="1" spans="1:42">
      <c r="A828" s="64"/>
      <c r="B828" s="64"/>
      <c r="C828" s="2104"/>
      <c r="D828" s="2146"/>
      <c r="E828" s="2146"/>
      <c r="F828" s="2146"/>
      <c r="G828" s="2146"/>
      <c r="H828" s="2146"/>
      <c r="I828" s="2146"/>
      <c r="J828" s="2146"/>
      <c r="K828" s="2146"/>
      <c r="L828" s="2146"/>
      <c r="M828" s="2146"/>
      <c r="N828" s="2146"/>
      <c r="O828" s="2146"/>
      <c r="P828" s="2146"/>
      <c r="Q828" s="2146"/>
      <c r="R828" s="2146"/>
      <c r="S828" s="2146"/>
      <c r="T828" s="2146"/>
      <c r="U828" s="2146"/>
      <c r="V828" s="2146"/>
      <c r="W828" s="2146"/>
      <c r="X828" s="2146"/>
      <c r="Y828" s="2146"/>
      <c r="Z828" s="2146"/>
      <c r="AA828" s="2146"/>
      <c r="AB828" s="2146"/>
      <c r="AC828" s="2146"/>
      <c r="AD828" s="2146"/>
      <c r="AE828" s="2146"/>
      <c r="AF828" s="2146"/>
      <c r="AG828" s="2146"/>
      <c r="AH828" s="2146"/>
      <c r="AI828" s="2146"/>
      <c r="AJ828" s="2146"/>
      <c r="AK828" s="2146"/>
      <c r="AL828" s="2146"/>
      <c r="AM828" s="2146"/>
      <c r="AN828" s="2146"/>
      <c r="AO828" s="2146"/>
      <c r="AP828" s="2146"/>
    </row>
    <row r="829" ht="12.95" hidden="1" customHeight="1" outlineLevel="1" spans="1:42">
      <c r="A829" s="64"/>
      <c r="B829" s="64"/>
      <c r="C829" s="2104"/>
      <c r="D829" s="2146"/>
      <c r="E829" s="2146"/>
      <c r="F829" s="2146"/>
      <c r="G829" s="2146"/>
      <c r="H829" s="2146"/>
      <c r="I829" s="2146"/>
      <c r="J829" s="2146"/>
      <c r="K829" s="2146"/>
      <c r="L829" s="2146"/>
      <c r="M829" s="2146"/>
      <c r="N829" s="2146"/>
      <c r="O829" s="2146"/>
      <c r="P829" s="2146"/>
      <c r="Q829" s="2146"/>
      <c r="R829" s="2146"/>
      <c r="S829" s="2146"/>
      <c r="T829" s="2146"/>
      <c r="U829" s="2146"/>
      <c r="V829" s="2146"/>
      <c r="W829" s="2146"/>
      <c r="X829" s="2146"/>
      <c r="Y829" s="2146"/>
      <c r="Z829" s="2146"/>
      <c r="AA829" s="2146"/>
      <c r="AB829" s="2146"/>
      <c r="AC829" s="2146"/>
      <c r="AD829" s="2146"/>
      <c r="AE829" s="2146"/>
      <c r="AF829" s="2146"/>
      <c r="AG829" s="2146"/>
      <c r="AH829" s="2146"/>
      <c r="AI829" s="2146"/>
      <c r="AJ829" s="2146"/>
      <c r="AK829" s="2146"/>
      <c r="AL829" s="2146"/>
      <c r="AM829" s="2146"/>
      <c r="AN829" s="2146"/>
      <c r="AO829" s="2146"/>
      <c r="AP829" s="2146"/>
    </row>
    <row r="830" ht="12.95" hidden="1" customHeight="1" outlineLevel="1" spans="1:42">
      <c r="A830" s="64"/>
      <c r="B830" s="64"/>
      <c r="C830" s="2104"/>
      <c r="D830" s="2146"/>
      <c r="E830" s="2146"/>
      <c r="F830" s="2146"/>
      <c r="G830" s="2146"/>
      <c r="H830" s="2146"/>
      <c r="I830" s="2146"/>
      <c r="J830" s="2146"/>
      <c r="K830" s="2146"/>
      <c r="L830" s="2146"/>
      <c r="M830" s="2146"/>
      <c r="N830" s="2146"/>
      <c r="O830" s="2146"/>
      <c r="P830" s="2146"/>
      <c r="Q830" s="2146"/>
      <c r="R830" s="2146"/>
      <c r="S830" s="2146"/>
      <c r="T830" s="2146"/>
      <c r="U830" s="2146"/>
      <c r="V830" s="2146"/>
      <c r="W830" s="2146"/>
      <c r="X830" s="2146"/>
      <c r="Y830" s="2146"/>
      <c r="Z830" s="2146"/>
      <c r="AA830" s="2146"/>
      <c r="AB830" s="2146"/>
      <c r="AC830" s="2146"/>
      <c r="AD830" s="2146"/>
      <c r="AE830" s="2146"/>
      <c r="AF830" s="2146"/>
      <c r="AG830" s="2146"/>
      <c r="AH830" s="2146"/>
      <c r="AI830" s="2146"/>
      <c r="AJ830" s="2146"/>
      <c r="AK830" s="2146"/>
      <c r="AL830" s="2146"/>
      <c r="AM830" s="2146"/>
      <c r="AN830" s="2146"/>
      <c r="AO830" s="2146"/>
      <c r="AP830" s="2146"/>
    </row>
    <row r="831" ht="12.95" customHeight="1" collapsed="1" spans="1:39">
      <c r="A831" s="3335">
        <f>A789+1</f>
        <v>22</v>
      </c>
      <c r="B831" s="64"/>
      <c r="C831" s="94" t="s">
        <v>2071</v>
      </c>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c r="AG831" s="64"/>
      <c r="AH831" s="64"/>
      <c r="AJ831" s="3574"/>
      <c r="AK831" s="64"/>
      <c r="AL831" s="64"/>
      <c r="AM831" s="64"/>
    </row>
    <row r="832" ht="11.4" spans="1:39">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c r="AG832" s="64"/>
      <c r="AH832" s="64"/>
      <c r="AJ832" s="3574"/>
      <c r="AK832" s="64"/>
      <c r="AL832" s="64"/>
      <c r="AM832" s="64"/>
    </row>
    <row r="833" ht="12.95" customHeight="1" spans="1:42">
      <c r="A833" s="64"/>
      <c r="B833" s="64"/>
      <c r="C833" s="5059" t="s">
        <v>2072</v>
      </c>
      <c r="D833" s="2146"/>
      <c r="E833" s="2146"/>
      <c r="F833" s="2146"/>
      <c r="G833" s="2146"/>
      <c r="H833" s="2146"/>
      <c r="I833" s="2146"/>
      <c r="J833" s="2146"/>
      <c r="K833" s="2146"/>
      <c r="L833" s="2146"/>
      <c r="M833" s="2146"/>
      <c r="N833" s="2146"/>
      <c r="O833" s="2146"/>
      <c r="P833" s="2146"/>
      <c r="Q833" s="2146"/>
      <c r="R833" s="2146"/>
      <c r="S833" s="2146"/>
      <c r="T833" s="2146"/>
      <c r="U833" s="2146"/>
      <c r="V833" s="2146"/>
      <c r="W833" s="2146"/>
      <c r="X833" s="2146"/>
      <c r="Y833" s="2146"/>
      <c r="Z833" s="2146"/>
      <c r="AA833" s="2146"/>
      <c r="AB833" s="2146"/>
      <c r="AC833" s="2146"/>
      <c r="AD833" s="2146"/>
      <c r="AE833" s="2146"/>
      <c r="AF833" s="2146"/>
      <c r="AG833" s="2146"/>
      <c r="AH833" s="2146"/>
      <c r="AI833" s="2146"/>
      <c r="AJ833" s="2146"/>
      <c r="AK833" s="2146"/>
      <c r="AL833" s="2146"/>
      <c r="AM833" s="2146"/>
      <c r="AN833" s="2146"/>
      <c r="AO833" s="2146"/>
      <c r="AP833" s="2146"/>
    </row>
    <row r="834" ht="12.95" customHeight="1" spans="1:42">
      <c r="A834" s="64"/>
      <c r="B834" s="64"/>
      <c r="C834" s="2104"/>
      <c r="D834" s="2104"/>
      <c r="E834" s="2104"/>
      <c r="F834" s="2104"/>
      <c r="G834" s="2104"/>
      <c r="H834" s="2104"/>
      <c r="I834" s="2104"/>
      <c r="J834" s="2104"/>
      <c r="K834" s="2104"/>
      <c r="L834" s="2104"/>
      <c r="M834" s="2104"/>
      <c r="N834" s="2104"/>
      <c r="O834" s="2104"/>
      <c r="P834" s="2104"/>
      <c r="Q834" s="2104"/>
      <c r="R834" s="2104"/>
      <c r="S834" s="2104"/>
      <c r="T834" s="2104"/>
      <c r="U834" s="2104"/>
      <c r="V834" s="2104"/>
      <c r="W834" s="2104"/>
      <c r="X834" s="2104"/>
      <c r="Y834" s="2104"/>
      <c r="Z834" s="2104"/>
      <c r="AA834" s="2104"/>
      <c r="AB834" s="2104"/>
      <c r="AC834" s="2104"/>
      <c r="AD834" s="2104"/>
      <c r="AE834" s="2104"/>
      <c r="AF834" s="2104"/>
      <c r="AG834" s="2104"/>
      <c r="AH834" s="2104"/>
      <c r="AI834" s="2104"/>
      <c r="AJ834" s="2104"/>
      <c r="AK834" s="2104"/>
      <c r="AL834" s="2104"/>
      <c r="AM834" s="2104"/>
      <c r="AN834" s="2104"/>
      <c r="AO834" s="2104"/>
      <c r="AP834" s="2104"/>
    </row>
    <row r="835" ht="15" customHeight="1" spans="1:42">
      <c r="A835" s="64"/>
      <c r="B835" s="64"/>
      <c r="C835" s="2104"/>
      <c r="D835" s="2146"/>
      <c r="E835" s="2146"/>
      <c r="F835" s="2146"/>
      <c r="G835" s="2146"/>
      <c r="H835" s="2146"/>
      <c r="I835" s="2146"/>
      <c r="J835" s="2146"/>
      <c r="K835" s="2146"/>
      <c r="L835" s="2146"/>
      <c r="M835" s="2146"/>
      <c r="N835" s="2146"/>
      <c r="O835" s="2146"/>
      <c r="P835" s="2146"/>
      <c r="Q835" s="2146"/>
      <c r="R835" s="2146"/>
      <c r="S835" s="2146"/>
      <c r="T835" s="2146"/>
      <c r="U835" s="2146"/>
      <c r="V835" s="2146"/>
      <c r="W835" s="2146"/>
      <c r="X835" s="2146"/>
      <c r="Y835" s="2146"/>
      <c r="Z835" s="2146"/>
      <c r="AA835" s="2146"/>
      <c r="AB835" s="2146"/>
      <c r="AC835" s="2146"/>
      <c r="AD835" s="2146"/>
      <c r="AE835" s="2146"/>
      <c r="AF835" s="2146"/>
      <c r="AG835" s="2146"/>
      <c r="AH835" s="2146"/>
      <c r="AI835" s="2146"/>
      <c r="AJ835" s="2146"/>
      <c r="AK835" s="2146"/>
      <c r="AL835" s="2146"/>
      <c r="AM835" s="2146"/>
      <c r="AN835" s="2146"/>
      <c r="AO835" s="2146"/>
      <c r="AP835" s="2146"/>
    </row>
    <row r="836" ht="12.95" customHeight="1" spans="1:41">
      <c r="A836" s="3335">
        <f>+A831+1</f>
        <v>23</v>
      </c>
      <c r="B836" s="64"/>
      <c r="C836" s="3322" t="s">
        <v>2073</v>
      </c>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c r="AG836" s="64"/>
      <c r="AH836" s="64"/>
      <c r="AI836" s="3326"/>
      <c r="AJ836" s="3326"/>
      <c r="AN836" s="3326"/>
      <c r="AO836" s="3326"/>
    </row>
    <row r="837" ht="9.2" customHeight="1" spans="1:41">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c r="AG837" s="64"/>
      <c r="AH837" s="64"/>
      <c r="AI837" s="3326"/>
      <c r="AJ837" s="3326"/>
      <c r="AN837" s="3326"/>
      <c r="AO837" s="3326"/>
    </row>
    <row r="838" ht="57.6" customHeight="1" spans="1:42">
      <c r="A838" s="64"/>
      <c r="B838" s="64"/>
      <c r="C838" s="5036" t="s">
        <v>2074</v>
      </c>
      <c r="D838" s="3341"/>
      <c r="E838" s="3341"/>
      <c r="F838" s="3341"/>
      <c r="G838" s="3341"/>
      <c r="H838" s="3341"/>
      <c r="I838" s="3341"/>
      <c r="J838" s="3341"/>
      <c r="K838" s="3341"/>
      <c r="L838" s="3341"/>
      <c r="M838" s="3341"/>
      <c r="N838" s="3341"/>
      <c r="O838" s="3341"/>
      <c r="P838" s="3341"/>
      <c r="Q838" s="3341"/>
      <c r="R838" s="3341"/>
      <c r="S838" s="3341"/>
      <c r="T838" s="3341"/>
      <c r="U838" s="3341"/>
      <c r="V838" s="3341"/>
      <c r="W838" s="3341"/>
      <c r="X838" s="3341"/>
      <c r="Y838" s="3341"/>
      <c r="Z838" s="3341"/>
      <c r="AA838" s="3341"/>
      <c r="AB838" s="3341"/>
      <c r="AC838" s="3341"/>
      <c r="AD838" s="3341"/>
      <c r="AE838" s="3341"/>
      <c r="AF838" s="3341"/>
      <c r="AG838" s="3341"/>
      <c r="AH838" s="3341"/>
      <c r="AI838" s="3341"/>
      <c r="AJ838" s="3341"/>
      <c r="AK838" s="3341"/>
      <c r="AL838" s="3341"/>
      <c r="AM838" s="3341"/>
      <c r="AN838" s="3341"/>
      <c r="AO838" s="3341"/>
      <c r="AP838" s="3341"/>
    </row>
    <row r="839" ht="9.2" customHeight="1" spans="1:41">
      <c r="A839" s="64"/>
      <c r="B839" s="64"/>
      <c r="C839" s="64"/>
      <c r="D839" s="64"/>
      <c r="E839" s="64"/>
      <c r="F839" s="3341"/>
      <c r="G839" s="3341"/>
      <c r="H839" s="3341"/>
      <c r="I839" s="3341"/>
      <c r="J839" s="3341"/>
      <c r="K839" s="3341"/>
      <c r="L839" s="3341"/>
      <c r="M839" s="3341"/>
      <c r="N839" s="3341"/>
      <c r="O839" s="3341"/>
      <c r="P839" s="64"/>
      <c r="Q839" s="64"/>
      <c r="R839" s="64"/>
      <c r="S839" s="64"/>
      <c r="T839" s="64"/>
      <c r="U839" s="64"/>
      <c r="V839" s="64"/>
      <c r="W839" s="64"/>
      <c r="X839" s="64"/>
      <c r="Y839" s="64"/>
      <c r="Z839" s="64"/>
      <c r="AA839" s="64"/>
      <c r="AB839" s="64"/>
      <c r="AC839" s="64"/>
      <c r="AD839" s="64"/>
      <c r="AE839" s="64"/>
      <c r="AF839" s="64"/>
      <c r="AG839" s="64"/>
      <c r="AH839" s="64"/>
      <c r="AI839" s="3326"/>
      <c r="AJ839" s="3326"/>
      <c r="AN839" s="3326"/>
      <c r="AO839" s="3326"/>
    </row>
    <row r="840" ht="24.2" customHeight="1" spans="1:42">
      <c r="A840" s="64"/>
      <c r="B840" s="64"/>
      <c r="C840" s="5036" t="s">
        <v>2075</v>
      </c>
      <c r="D840" s="3341"/>
      <c r="E840" s="3341"/>
      <c r="F840" s="3341"/>
      <c r="G840" s="3341"/>
      <c r="H840" s="3341"/>
      <c r="I840" s="3341"/>
      <c r="J840" s="3341"/>
      <c r="K840" s="3341"/>
      <c r="L840" s="3341"/>
      <c r="M840" s="3341"/>
      <c r="N840" s="3341"/>
      <c r="O840" s="3341"/>
      <c r="P840" s="3341"/>
      <c r="Q840" s="3341"/>
      <c r="R840" s="3341"/>
      <c r="S840" s="3341"/>
      <c r="T840" s="3341"/>
      <c r="U840" s="3341"/>
      <c r="V840" s="3341"/>
      <c r="W840" s="3341"/>
      <c r="X840" s="3341"/>
      <c r="Y840" s="3341"/>
      <c r="Z840" s="3341"/>
      <c r="AA840" s="3341"/>
      <c r="AB840" s="3341"/>
      <c r="AC840" s="3341"/>
      <c r="AD840" s="3341"/>
      <c r="AE840" s="3341"/>
      <c r="AF840" s="3341"/>
      <c r="AG840" s="3341"/>
      <c r="AH840" s="3341"/>
      <c r="AI840" s="3341"/>
      <c r="AJ840" s="3341"/>
      <c r="AK840" s="3341"/>
      <c r="AL840" s="3341"/>
      <c r="AM840" s="3341"/>
      <c r="AN840" s="3341"/>
      <c r="AO840" s="3341"/>
      <c r="AP840" s="3341"/>
    </row>
    <row r="841" ht="12.95" customHeight="1" spans="1:42">
      <c r="A841" s="64"/>
      <c r="B841" s="64"/>
      <c r="C841" s="3339"/>
      <c r="D841" s="3341"/>
      <c r="E841" s="3341"/>
      <c r="F841" s="3341"/>
      <c r="G841" s="3341"/>
      <c r="H841" s="3341"/>
      <c r="I841" s="3341"/>
      <c r="J841" s="3341"/>
      <c r="K841" s="3341"/>
      <c r="L841" s="3341"/>
      <c r="M841" s="3341"/>
      <c r="N841" s="3341"/>
      <c r="O841" s="3341"/>
      <c r="P841" s="3341"/>
      <c r="Q841" s="3341"/>
      <c r="R841" s="3341"/>
      <c r="S841" s="3341"/>
      <c r="T841" s="3341"/>
      <c r="U841" s="3341"/>
      <c r="V841" s="3341"/>
      <c r="W841" s="3341"/>
      <c r="X841" s="3341"/>
      <c r="Y841" s="3341"/>
      <c r="Z841" s="3341"/>
      <c r="AA841" s="3341"/>
      <c r="AB841" s="3341"/>
      <c r="AC841" s="3341"/>
      <c r="AD841" s="3341"/>
      <c r="AE841" s="3341"/>
      <c r="AF841" s="3341"/>
      <c r="AG841" s="3341"/>
      <c r="AH841" s="3341"/>
      <c r="AI841" s="3341"/>
      <c r="AJ841" s="3341"/>
      <c r="AK841" s="3341"/>
      <c r="AL841" s="3341"/>
      <c r="AM841" s="3341"/>
      <c r="AN841" s="3341"/>
      <c r="AO841" s="3341"/>
      <c r="AP841" s="3341"/>
    </row>
    <row r="842" ht="12.95" customHeight="1" spans="1:42">
      <c r="A842" s="64"/>
      <c r="B842" s="64"/>
      <c r="C842" s="3339"/>
      <c r="D842" s="3341"/>
      <c r="E842" s="3341"/>
      <c r="F842" s="3341"/>
      <c r="G842" s="3341"/>
      <c r="H842" s="3341"/>
      <c r="I842" s="3341"/>
      <c r="J842" s="3341"/>
      <c r="K842" s="3341"/>
      <c r="L842" s="3341"/>
      <c r="M842" s="3341"/>
      <c r="N842" s="3341"/>
      <c r="O842" s="3341"/>
      <c r="P842" s="3341"/>
      <c r="Q842" s="3341"/>
      <c r="R842" s="3341"/>
      <c r="S842" s="3341"/>
      <c r="T842" s="3341"/>
      <c r="U842" s="3341"/>
      <c r="V842" s="3341"/>
      <c r="W842" s="3341"/>
      <c r="X842" s="3341"/>
      <c r="Y842" s="3341"/>
      <c r="Z842" s="3341"/>
      <c r="AA842" s="3341"/>
      <c r="AB842" s="3341"/>
      <c r="AC842" s="3341"/>
      <c r="AD842" s="3341"/>
      <c r="AE842" s="3341"/>
      <c r="AF842" s="3341"/>
      <c r="AG842" s="3341"/>
      <c r="AH842" s="3341"/>
      <c r="AI842" s="3341"/>
      <c r="AJ842" s="3341"/>
      <c r="AK842" s="3341"/>
      <c r="AL842" s="3341"/>
      <c r="AM842" s="3341"/>
      <c r="AN842" s="3341"/>
      <c r="AO842" s="3341"/>
      <c r="AP842" s="3341"/>
    </row>
    <row r="843" ht="12.95" customHeight="1" spans="1:42">
      <c r="A843" s="3385">
        <f>+A752+1</f>
        <v>19</v>
      </c>
      <c r="B843" s="3385"/>
      <c r="C843" s="3385"/>
      <c r="D843" s="3385"/>
      <c r="E843" s="3385"/>
      <c r="F843" s="3385"/>
      <c r="G843" s="3385"/>
      <c r="H843" s="3385"/>
      <c r="I843" s="3385"/>
      <c r="J843" s="3385"/>
      <c r="K843" s="3385"/>
      <c r="L843" s="3385"/>
      <c r="M843" s="3385"/>
      <c r="N843" s="3385"/>
      <c r="O843" s="3385"/>
      <c r="P843" s="3385"/>
      <c r="Q843" s="3385"/>
      <c r="R843" s="3385"/>
      <c r="S843" s="3385"/>
      <c r="T843" s="3385"/>
      <c r="U843" s="3385"/>
      <c r="V843" s="3385"/>
      <c r="W843" s="3385"/>
      <c r="X843" s="3385"/>
      <c r="Y843" s="3385"/>
      <c r="Z843" s="3385"/>
      <c r="AA843" s="3385"/>
      <c r="AB843" s="3385"/>
      <c r="AC843" s="3385"/>
      <c r="AD843" s="3385"/>
      <c r="AE843" s="3385"/>
      <c r="AF843" s="3385"/>
      <c r="AG843" s="3385"/>
      <c r="AH843" s="3385"/>
      <c r="AI843" s="3385"/>
      <c r="AJ843" s="3385"/>
      <c r="AK843" s="3385"/>
      <c r="AL843" s="3385"/>
      <c r="AM843" s="3385"/>
      <c r="AN843" s="3385"/>
      <c r="AO843" s="3385"/>
      <c r="AP843" s="3385"/>
    </row>
    <row r="844" ht="12.95" customHeight="1" spans="1:42">
      <c r="A844" s="64"/>
      <c r="B844" s="64"/>
      <c r="C844" s="3339"/>
      <c r="D844" s="3341"/>
      <c r="E844" s="3341"/>
      <c r="F844" s="3341"/>
      <c r="G844" s="3341"/>
      <c r="H844" s="3341"/>
      <c r="I844" s="3341"/>
      <c r="J844" s="3341"/>
      <c r="K844" s="3341"/>
      <c r="L844" s="3341"/>
      <c r="M844" s="3341"/>
      <c r="N844" s="3341"/>
      <c r="O844" s="3341"/>
      <c r="P844" s="3341"/>
      <c r="Q844" s="3341"/>
      <c r="R844" s="3341"/>
      <c r="S844" s="3341"/>
      <c r="T844" s="3341"/>
      <c r="U844" s="3341"/>
      <c r="V844" s="3341"/>
      <c r="W844" s="3341"/>
      <c r="X844" s="3341"/>
      <c r="Y844" s="3341"/>
      <c r="Z844" s="3341"/>
      <c r="AA844" s="3341"/>
      <c r="AB844" s="3341"/>
      <c r="AC844" s="3341"/>
      <c r="AD844" s="3341"/>
      <c r="AE844" s="3341"/>
      <c r="AF844" s="3341"/>
      <c r="AG844" s="3341"/>
      <c r="AH844" s="3341"/>
      <c r="AI844" s="3341"/>
      <c r="AJ844" s="3341"/>
      <c r="AK844" s="3341"/>
      <c r="AL844" s="3341"/>
      <c r="AM844" s="3341"/>
      <c r="AN844" s="3341"/>
      <c r="AO844" s="3341"/>
      <c r="AP844" s="3341"/>
    </row>
    <row r="845" ht="12.95" customHeight="1" spans="1:42">
      <c r="A845" s="64"/>
      <c r="B845" s="64"/>
      <c r="C845" s="3339"/>
      <c r="D845" s="3341"/>
      <c r="E845" s="3341"/>
      <c r="F845" s="3341"/>
      <c r="G845" s="3341"/>
      <c r="H845" s="3341"/>
      <c r="I845" s="3341"/>
      <c r="J845" s="3341"/>
      <c r="K845" s="3341"/>
      <c r="L845" s="3341"/>
      <c r="M845" s="3341"/>
      <c r="N845" s="3341"/>
      <c r="O845" s="3341"/>
      <c r="P845" s="3341"/>
      <c r="Q845" s="3341"/>
      <c r="R845" s="3341"/>
      <c r="S845" s="3341"/>
      <c r="T845" s="3341"/>
      <c r="U845" s="3341"/>
      <c r="V845" s="3341"/>
      <c r="W845" s="3341"/>
      <c r="X845" s="3341"/>
      <c r="Y845" s="3341"/>
      <c r="Z845" s="3341"/>
      <c r="AA845" s="3341"/>
      <c r="AB845" s="3341"/>
      <c r="AC845" s="3341"/>
      <c r="AD845" s="3341"/>
      <c r="AE845" s="3341"/>
      <c r="AF845" s="3341"/>
      <c r="AG845" s="3341"/>
      <c r="AH845" s="3341"/>
      <c r="AI845" s="3341"/>
      <c r="AJ845" s="3341"/>
      <c r="AK845" s="3341"/>
      <c r="AL845" s="3341"/>
      <c r="AM845" s="3341"/>
      <c r="AN845" s="3341"/>
      <c r="AO845" s="3341"/>
      <c r="AP845" s="3341"/>
    </row>
    <row r="846" ht="12.95" customHeight="1" spans="1:42">
      <c r="A846" s="64"/>
      <c r="B846" s="64"/>
      <c r="C846" s="3339"/>
      <c r="D846" s="3341"/>
      <c r="E846" s="3341"/>
      <c r="F846" s="3341"/>
      <c r="G846" s="3341"/>
      <c r="H846" s="3341"/>
      <c r="I846" s="3341"/>
      <c r="J846" s="3341"/>
      <c r="K846" s="3341"/>
      <c r="L846" s="3341"/>
      <c r="M846" s="3341"/>
      <c r="N846" s="3341"/>
      <c r="O846" s="3341"/>
      <c r="P846" s="3341"/>
      <c r="Q846" s="3341"/>
      <c r="R846" s="3341"/>
      <c r="S846" s="3341"/>
      <c r="T846" s="3341"/>
      <c r="U846" s="3341"/>
      <c r="V846" s="3341"/>
      <c r="W846" s="3341"/>
      <c r="X846" s="3341"/>
      <c r="Y846" s="3341"/>
      <c r="Z846" s="3341"/>
      <c r="AA846" s="3341"/>
      <c r="AB846" s="3341"/>
      <c r="AC846" s="3341"/>
      <c r="AD846" s="3341"/>
      <c r="AE846" s="3341"/>
      <c r="AF846" s="3341"/>
      <c r="AG846" s="3341"/>
      <c r="AH846" s="3341"/>
      <c r="AI846" s="3341"/>
      <c r="AJ846" s="3341"/>
      <c r="AK846" s="3341"/>
      <c r="AL846" s="3341"/>
      <c r="AM846" s="3341"/>
      <c r="AN846" s="3341"/>
      <c r="AO846" s="3341"/>
      <c r="AP846" s="3341"/>
    </row>
    <row r="847" ht="12.95" customHeight="1" spans="1:42">
      <c r="A847" s="64"/>
      <c r="B847" s="64"/>
      <c r="C847" s="3339"/>
      <c r="D847" s="3341"/>
      <c r="E847" s="3341"/>
      <c r="F847" s="3341"/>
      <c r="G847" s="3341"/>
      <c r="H847" s="3341"/>
      <c r="I847" s="3341"/>
      <c r="J847" s="3341"/>
      <c r="K847" s="3341"/>
      <c r="L847" s="3341"/>
      <c r="M847" s="3341"/>
      <c r="N847" s="3341"/>
      <c r="O847" s="3341"/>
      <c r="P847" s="3341"/>
      <c r="Q847" s="3341"/>
      <c r="R847" s="3341"/>
      <c r="S847" s="3341"/>
      <c r="T847" s="3341"/>
      <c r="U847" s="3341"/>
      <c r="V847" s="3341"/>
      <c r="W847" s="3341"/>
      <c r="X847" s="3341"/>
      <c r="Y847" s="3341"/>
      <c r="Z847" s="3341"/>
      <c r="AA847" s="3341"/>
      <c r="AB847" s="3341"/>
      <c r="AC847" s="3341"/>
      <c r="AD847" s="3341"/>
      <c r="AE847" s="3341"/>
      <c r="AF847" s="3341"/>
      <c r="AG847" s="3341"/>
      <c r="AH847" s="3341"/>
      <c r="AI847" s="3341"/>
      <c r="AJ847" s="3341"/>
      <c r="AK847" s="3341"/>
      <c r="AL847" s="3341"/>
      <c r="AM847" s="3341"/>
      <c r="AN847" s="3341"/>
      <c r="AO847" s="3341"/>
      <c r="AP847" s="3341"/>
    </row>
    <row r="848" ht="12.95" customHeight="1" spans="1:42">
      <c r="A848" s="64"/>
      <c r="B848" s="64"/>
      <c r="C848" s="3339"/>
      <c r="D848" s="3341"/>
      <c r="E848" s="3341"/>
      <c r="F848" s="3341"/>
      <c r="G848" s="3341"/>
      <c r="H848" s="3341"/>
      <c r="I848" s="3341"/>
      <c r="J848" s="3341"/>
      <c r="K848" s="3341"/>
      <c r="L848" s="3341"/>
      <c r="M848" s="3341"/>
      <c r="N848" s="3341"/>
      <c r="O848" s="3341"/>
      <c r="P848" s="3341"/>
      <c r="Q848" s="3341"/>
      <c r="R848" s="3341"/>
      <c r="S848" s="3341"/>
      <c r="T848" s="3341"/>
      <c r="U848" s="3341"/>
      <c r="V848" s="3341"/>
      <c r="W848" s="3341"/>
      <c r="X848" s="3341"/>
      <c r="Y848" s="3341"/>
      <c r="Z848" s="3341"/>
      <c r="AA848" s="3341"/>
      <c r="AB848" s="3341"/>
      <c r="AC848" s="3341"/>
      <c r="AD848" s="3341"/>
      <c r="AE848" s="3341"/>
      <c r="AF848" s="3341"/>
      <c r="AG848" s="3341"/>
      <c r="AH848" s="3341"/>
      <c r="AI848" s="3341"/>
      <c r="AJ848" s="3341"/>
      <c r="AK848" s="3341"/>
      <c r="AL848" s="3341"/>
      <c r="AM848" s="3341"/>
      <c r="AN848" s="3341"/>
      <c r="AO848" s="3341"/>
      <c r="AP848" s="3341"/>
    </row>
    <row r="849" ht="12.95" customHeight="1" spans="1:42">
      <c r="A849" s="64"/>
      <c r="B849" s="64"/>
      <c r="C849" s="3339"/>
      <c r="D849" s="3341"/>
      <c r="E849" s="3341"/>
      <c r="F849" s="3341"/>
      <c r="G849" s="3341"/>
      <c r="H849" s="3341"/>
      <c r="I849" s="3341"/>
      <c r="J849" s="3341"/>
      <c r="K849" s="3341"/>
      <c r="L849" s="3341"/>
      <c r="M849" s="3341"/>
      <c r="N849" s="3341"/>
      <c r="O849" s="3341"/>
      <c r="P849" s="3341"/>
      <c r="Q849" s="3341"/>
      <c r="R849" s="3341"/>
      <c r="S849" s="3341"/>
      <c r="T849" s="3341"/>
      <c r="U849" s="3341"/>
      <c r="V849" s="3341"/>
      <c r="W849" s="3341"/>
      <c r="X849" s="3341"/>
      <c r="Y849" s="3341"/>
      <c r="Z849" s="3341"/>
      <c r="AA849" s="3341"/>
      <c r="AB849" s="3341"/>
      <c r="AC849" s="3341"/>
      <c r="AD849" s="3341"/>
      <c r="AE849" s="3341"/>
      <c r="AF849" s="3341"/>
      <c r="AG849" s="3341"/>
      <c r="AH849" s="3341"/>
      <c r="AI849" s="3341"/>
      <c r="AJ849" s="3341"/>
      <c r="AK849" s="3341"/>
      <c r="AL849" s="3341"/>
      <c r="AM849" s="3341"/>
      <c r="AN849" s="3341"/>
      <c r="AO849" s="3341"/>
      <c r="AP849" s="3341"/>
    </row>
    <row r="850" ht="12.95" customHeight="1" spans="1:42">
      <c r="A850" s="64"/>
      <c r="B850" s="64"/>
      <c r="C850" s="3339"/>
      <c r="D850" s="3341"/>
      <c r="E850" s="3341"/>
      <c r="F850" s="3341"/>
      <c r="G850" s="3341"/>
      <c r="H850" s="3341"/>
      <c r="I850" s="3341"/>
      <c r="J850" s="3341"/>
      <c r="K850" s="3341"/>
      <c r="L850" s="3341"/>
      <c r="M850" s="3341"/>
      <c r="N850" s="3341"/>
      <c r="O850" s="3341"/>
      <c r="P850" s="3341"/>
      <c r="Q850" s="3341"/>
      <c r="R850" s="3341"/>
      <c r="S850" s="3341"/>
      <c r="T850" s="3341"/>
      <c r="U850" s="3341"/>
      <c r="V850" s="3341"/>
      <c r="W850" s="3341"/>
      <c r="X850" s="3341"/>
      <c r="Y850" s="3341"/>
      <c r="Z850" s="3341"/>
      <c r="AA850" s="3341"/>
      <c r="AB850" s="3341"/>
      <c r="AC850" s="3341"/>
      <c r="AD850" s="3341"/>
      <c r="AE850" s="3341"/>
      <c r="AF850" s="3341"/>
      <c r="AG850" s="3341"/>
      <c r="AH850" s="3341"/>
      <c r="AI850" s="3341"/>
      <c r="AJ850" s="3341"/>
      <c r="AK850" s="3341"/>
      <c r="AL850" s="3341"/>
      <c r="AM850" s="3341"/>
      <c r="AN850" s="3341"/>
      <c r="AO850" s="3341"/>
      <c r="AP850" s="3341"/>
    </row>
    <row r="851" ht="12.95" customHeight="1" spans="1:42">
      <c r="A851" s="64"/>
      <c r="B851" s="64"/>
      <c r="C851" s="3339"/>
      <c r="D851" s="3341"/>
      <c r="E851" s="3341"/>
      <c r="F851" s="3341"/>
      <c r="G851" s="3341"/>
      <c r="H851" s="3341"/>
      <c r="I851" s="3341"/>
      <c r="J851" s="3341"/>
      <c r="K851" s="3341"/>
      <c r="L851" s="3341"/>
      <c r="M851" s="3341"/>
      <c r="N851" s="3341"/>
      <c r="O851" s="3341"/>
      <c r="P851" s="3341"/>
      <c r="Q851" s="3341"/>
      <c r="R851" s="3341"/>
      <c r="S851" s="3341"/>
      <c r="T851" s="3341"/>
      <c r="U851" s="3341"/>
      <c r="V851" s="3341"/>
      <c r="W851" s="3341"/>
      <c r="X851" s="3341"/>
      <c r="Y851" s="3341"/>
      <c r="Z851" s="3341"/>
      <c r="AA851" s="3341"/>
      <c r="AB851" s="3341"/>
      <c r="AC851" s="3341"/>
      <c r="AD851" s="3341"/>
      <c r="AE851" s="3341"/>
      <c r="AF851" s="3341"/>
      <c r="AG851" s="3341"/>
      <c r="AH851" s="3341"/>
      <c r="AI851" s="3341"/>
      <c r="AJ851" s="3341"/>
      <c r="AK851" s="3341"/>
      <c r="AL851" s="3341"/>
      <c r="AM851" s="3341"/>
      <c r="AN851" s="3341"/>
      <c r="AO851" s="3341"/>
      <c r="AP851" s="3341"/>
    </row>
    <row r="852" ht="12.95" customHeight="1" spans="1:42">
      <c r="A852" s="64"/>
      <c r="B852" s="64"/>
      <c r="C852" s="3339"/>
      <c r="D852" s="3341"/>
      <c r="E852" s="3341"/>
      <c r="F852" s="3341"/>
      <c r="G852" s="3341"/>
      <c r="H852" s="3341"/>
      <c r="I852" s="3341"/>
      <c r="J852" s="3341"/>
      <c r="K852" s="3341"/>
      <c r="L852" s="3341"/>
      <c r="M852" s="3341"/>
      <c r="N852" s="3341"/>
      <c r="O852" s="3341"/>
      <c r="P852" s="3341"/>
      <c r="Q852" s="3341"/>
      <c r="R852" s="3341"/>
      <c r="S852" s="3341"/>
      <c r="T852" s="3341"/>
      <c r="U852" s="3341"/>
      <c r="V852" s="3341"/>
      <c r="W852" s="3341"/>
      <c r="X852" s="3341"/>
      <c r="Y852" s="3341"/>
      <c r="Z852" s="3341"/>
      <c r="AA852" s="3341"/>
      <c r="AB852" s="3341"/>
      <c r="AC852" s="3341"/>
      <c r="AD852" s="3341"/>
      <c r="AE852" s="3341"/>
      <c r="AF852" s="3341"/>
      <c r="AG852" s="3341"/>
      <c r="AH852" s="3341"/>
      <c r="AI852" s="3341"/>
      <c r="AJ852" s="3341"/>
      <c r="AK852" s="3341"/>
      <c r="AL852" s="3341"/>
      <c r="AM852" s="3341"/>
      <c r="AN852" s="3341"/>
      <c r="AO852" s="3341"/>
      <c r="AP852" s="3341"/>
    </row>
    <row r="853" customHeight="1" spans="3:42">
      <c r="C853" s="3565">
        <v>26</v>
      </c>
      <c r="D853" s="3565"/>
      <c r="E853" s="3565"/>
      <c r="F853" s="3566"/>
      <c r="G853" s="5104" t="s">
        <v>2076</v>
      </c>
      <c r="H853" s="3567"/>
      <c r="I853" s="3567"/>
      <c r="J853" s="3567"/>
      <c r="K853" s="3567"/>
      <c r="L853" s="3567"/>
      <c r="M853" s="3567"/>
      <c r="N853" s="3567"/>
      <c r="O853" s="3567"/>
      <c r="P853" s="3567"/>
      <c r="Q853" s="3567"/>
      <c r="R853" s="3567"/>
      <c r="S853" s="3567"/>
      <c r="T853" s="3567"/>
      <c r="U853" s="3567"/>
      <c r="V853" s="3567"/>
      <c r="W853" s="3567"/>
      <c r="X853" s="3567"/>
      <c r="Y853" s="3567"/>
      <c r="Z853" s="3567"/>
      <c r="AA853" s="3567"/>
      <c r="AB853" s="3567"/>
      <c r="AC853" s="3567"/>
      <c r="AD853" s="3567"/>
      <c r="AE853" s="3567"/>
      <c r="AF853" s="3567"/>
      <c r="AG853" s="3567"/>
      <c r="AH853" s="3567"/>
      <c r="AI853" s="3567"/>
      <c r="AJ853" s="3567"/>
      <c r="AK853" s="3567"/>
      <c r="AL853" s="3567"/>
      <c r="AM853" s="3567"/>
      <c r="AN853" s="3567"/>
      <c r="AO853" s="3567"/>
      <c r="AP853" s="3567"/>
    </row>
    <row r="856" customHeight="1" spans="35:44">
      <c r="AI856" s="3326"/>
      <c r="AJ856" s="3326"/>
      <c r="AK856" s="3326"/>
      <c r="AN856" s="3326"/>
      <c r="AO856" s="3326"/>
      <c r="AR856" s="3326"/>
    </row>
    <row r="857" customHeight="1" spans="35:44">
      <c r="AI857" s="3326"/>
      <c r="AJ857" s="3326"/>
      <c r="AK857" s="3326"/>
      <c r="AN857" s="3326"/>
      <c r="AO857" s="3326"/>
      <c r="AR857" s="3326"/>
    </row>
    <row r="858" ht="11.4" spans="35:44">
      <c r="AI858" s="3326"/>
      <c r="AJ858" s="3326"/>
      <c r="AK858" s="3326"/>
      <c r="AN858" s="3326"/>
      <c r="AO858" s="3326"/>
      <c r="AR858" s="3326"/>
    </row>
  </sheetData>
  <mergeCells count="840">
    <mergeCell ref="AB7:AH7"/>
    <mergeCell ref="AJ7:AP7"/>
    <mergeCell ref="AB9:AH9"/>
    <mergeCell ref="AJ9:AP9"/>
    <mergeCell ref="AB11:AH11"/>
    <mergeCell ref="AJ11:AP11"/>
    <mergeCell ref="AB12:AH12"/>
    <mergeCell ref="AJ12:AP12"/>
    <mergeCell ref="AB13:AH13"/>
    <mergeCell ref="AJ13:AP13"/>
    <mergeCell ref="AB14:AH14"/>
    <mergeCell ref="AJ14:AP14"/>
    <mergeCell ref="AB15:AH15"/>
    <mergeCell ref="AJ15:AP15"/>
    <mergeCell ref="AB16:AH16"/>
    <mergeCell ref="AJ16:AP16"/>
    <mergeCell ref="AB17:AH17"/>
    <mergeCell ref="AJ17:AP17"/>
    <mergeCell ref="AB19:AH19"/>
    <mergeCell ref="AJ19:AP19"/>
    <mergeCell ref="AB20:AH20"/>
    <mergeCell ref="C21:AP21"/>
    <mergeCell ref="C23:AP23"/>
    <mergeCell ref="C25:AP25"/>
    <mergeCell ref="C29:AP29"/>
    <mergeCell ref="AB31:AH31"/>
    <mergeCell ref="AJ31:AP31"/>
    <mergeCell ref="AB33:AH33"/>
    <mergeCell ref="AJ33:AP33"/>
    <mergeCell ref="AB34:AH34"/>
    <mergeCell ref="AJ34:AP34"/>
    <mergeCell ref="AB35:AH35"/>
    <mergeCell ref="AJ35:AP35"/>
    <mergeCell ref="AB36:AH36"/>
    <mergeCell ref="AJ36:AP36"/>
    <mergeCell ref="AB37:AH37"/>
    <mergeCell ref="AJ37:AP37"/>
    <mergeCell ref="AB38:AH38"/>
    <mergeCell ref="AJ38:AP38"/>
    <mergeCell ref="AB39:AH39"/>
    <mergeCell ref="AJ39:AP39"/>
    <mergeCell ref="AB40:AH40"/>
    <mergeCell ref="AJ40:AP40"/>
    <mergeCell ref="AB41:AH41"/>
    <mergeCell ref="AJ41:AP41"/>
    <mergeCell ref="AB42:AH42"/>
    <mergeCell ref="AJ42:AP42"/>
    <mergeCell ref="AB43:AH43"/>
    <mergeCell ref="AJ43:AP43"/>
    <mergeCell ref="AB44:AH44"/>
    <mergeCell ref="AJ44:AP44"/>
    <mergeCell ref="AB45:AH45"/>
    <mergeCell ref="AJ45:AP45"/>
    <mergeCell ref="AB46:AH46"/>
    <mergeCell ref="AJ46:AP46"/>
    <mergeCell ref="AB47:AH47"/>
    <mergeCell ref="AJ47:AP47"/>
    <mergeCell ref="AB49:AH49"/>
    <mergeCell ref="AJ49:AP49"/>
    <mergeCell ref="AB50:AH50"/>
    <mergeCell ref="AJ50:AP50"/>
    <mergeCell ref="AB51:AH51"/>
    <mergeCell ref="AJ51:AP51"/>
    <mergeCell ref="C53:AP53"/>
    <mergeCell ref="C55:J55"/>
    <mergeCell ref="AB55:AH55"/>
    <mergeCell ref="AJ55:AP55"/>
    <mergeCell ref="AB56:AH56"/>
    <mergeCell ref="AJ56:AP56"/>
    <mergeCell ref="AB57:AH57"/>
    <mergeCell ref="AJ57:AP57"/>
    <mergeCell ref="AB58:AH58"/>
    <mergeCell ref="AJ58:AP58"/>
    <mergeCell ref="AB59:AH59"/>
    <mergeCell ref="AJ59:AP59"/>
    <mergeCell ref="AB60:AH60"/>
    <mergeCell ref="AJ60:AP60"/>
    <mergeCell ref="AB61:AH61"/>
    <mergeCell ref="AJ61:AP61"/>
    <mergeCell ref="AB62:AH62"/>
    <mergeCell ref="AJ62:AP62"/>
    <mergeCell ref="AB63:AH63"/>
    <mergeCell ref="AJ63:AP63"/>
    <mergeCell ref="AB64:AH64"/>
    <mergeCell ref="C66:AP66"/>
    <mergeCell ref="AB67:AH67"/>
    <mergeCell ref="AB68:AH68"/>
    <mergeCell ref="AJ68:AP68"/>
    <mergeCell ref="AB70:AH70"/>
    <mergeCell ref="AJ70:AP70"/>
    <mergeCell ref="AB71:AH71"/>
    <mergeCell ref="AJ71:AP71"/>
    <mergeCell ref="AB73:AH73"/>
    <mergeCell ref="AJ73:AP73"/>
    <mergeCell ref="AB79:AH79"/>
    <mergeCell ref="AJ79:AP79"/>
    <mergeCell ref="AB83:AH83"/>
    <mergeCell ref="AJ83:AP83"/>
    <mergeCell ref="AB84:AH84"/>
    <mergeCell ref="AJ84:AP84"/>
    <mergeCell ref="AB85:AH85"/>
    <mergeCell ref="AJ85:AP85"/>
    <mergeCell ref="AB86:AH86"/>
    <mergeCell ref="AJ86:AP86"/>
    <mergeCell ref="AB87:AH87"/>
    <mergeCell ref="AJ87:AP87"/>
    <mergeCell ref="AB88:AH88"/>
    <mergeCell ref="AJ88:AP88"/>
    <mergeCell ref="AB90:AH90"/>
    <mergeCell ref="AJ90:AP90"/>
    <mergeCell ref="AB92:AH92"/>
    <mergeCell ref="AJ92:AP92"/>
    <mergeCell ref="AB93:AH93"/>
    <mergeCell ref="AJ93:AP93"/>
    <mergeCell ref="A96:AP96"/>
    <mergeCell ref="C99:AP99"/>
    <mergeCell ref="C101:AP101"/>
    <mergeCell ref="C103:AP103"/>
    <mergeCell ref="C105:AP105"/>
    <mergeCell ref="C109:AP109"/>
    <mergeCell ref="AB111:AH111"/>
    <mergeCell ref="AJ111:AP111"/>
    <mergeCell ref="AB113:AH113"/>
    <mergeCell ref="AJ113:AP113"/>
    <mergeCell ref="AB114:AH114"/>
    <mergeCell ref="AJ114:AP114"/>
    <mergeCell ref="AB115:AH115"/>
    <mergeCell ref="AJ115:AP115"/>
    <mergeCell ref="AB116:AH116"/>
    <mergeCell ref="AJ116:AP116"/>
    <mergeCell ref="AB117:AH117"/>
    <mergeCell ref="AJ117:AP117"/>
    <mergeCell ref="AB118:AH118"/>
    <mergeCell ref="AJ118:AP118"/>
    <mergeCell ref="AB119:AH119"/>
    <mergeCell ref="AJ119:AP119"/>
    <mergeCell ref="AJ120:AP120"/>
    <mergeCell ref="AJ121:AP121"/>
    <mergeCell ref="AB123:AH123"/>
    <mergeCell ref="AJ123:AP123"/>
    <mergeCell ref="AB124:AH124"/>
    <mergeCell ref="AJ124:AP124"/>
    <mergeCell ref="AQ124:CF124"/>
    <mergeCell ref="C125:AP125"/>
    <mergeCell ref="C127:AP127"/>
    <mergeCell ref="C131:H131"/>
    <mergeCell ref="P131:U131"/>
    <mergeCell ref="W131:AB131"/>
    <mergeCell ref="AK131:AP131"/>
    <mergeCell ref="C133:H133"/>
    <mergeCell ref="P133:U133"/>
    <mergeCell ref="W133:AB133"/>
    <mergeCell ref="AD133:AI133"/>
    <mergeCell ref="AK133:AP133"/>
    <mergeCell ref="P134:U134"/>
    <mergeCell ref="W134:AB134"/>
    <mergeCell ref="AD134:AI134"/>
    <mergeCell ref="AK134:AP134"/>
    <mergeCell ref="P135:U135"/>
    <mergeCell ref="W135:AB135"/>
    <mergeCell ref="AD135:AI135"/>
    <mergeCell ref="AK135:AP135"/>
    <mergeCell ref="P136:U136"/>
    <mergeCell ref="W136:AB136"/>
    <mergeCell ref="AD136:AI136"/>
    <mergeCell ref="AK136:AP136"/>
    <mergeCell ref="P137:U137"/>
    <mergeCell ref="W137:AB137"/>
    <mergeCell ref="AD137:AI137"/>
    <mergeCell ref="AK137:AP137"/>
    <mergeCell ref="P138:U138"/>
    <mergeCell ref="W138:AB138"/>
    <mergeCell ref="AD138:AI138"/>
    <mergeCell ref="AK138:AP138"/>
    <mergeCell ref="AK139:AP139"/>
    <mergeCell ref="P140:U140"/>
    <mergeCell ref="W140:AB140"/>
    <mergeCell ref="AD140:AI140"/>
    <mergeCell ref="AK140:AP140"/>
    <mergeCell ref="O141:U141"/>
    <mergeCell ref="W141:AB141"/>
    <mergeCell ref="AD141:AI141"/>
    <mergeCell ref="AK141:AP141"/>
    <mergeCell ref="P143:U143"/>
    <mergeCell ref="W143:AB143"/>
    <mergeCell ref="AD143:AI143"/>
    <mergeCell ref="AK143:AP143"/>
    <mergeCell ref="P144:U144"/>
    <mergeCell ref="W144:AB144"/>
    <mergeCell ref="AD144:AI144"/>
    <mergeCell ref="AK144:AP144"/>
    <mergeCell ref="P145:U145"/>
    <mergeCell ref="W145:AB145"/>
    <mergeCell ref="AD145:AI145"/>
    <mergeCell ref="AK145:AP145"/>
    <mergeCell ref="P146:U146"/>
    <mergeCell ref="W146:AB146"/>
    <mergeCell ref="AD146:AI146"/>
    <mergeCell ref="AK146:AP146"/>
    <mergeCell ref="P147:U147"/>
    <mergeCell ref="W147:AB147"/>
    <mergeCell ref="AD147:AI147"/>
    <mergeCell ref="AK147:AP147"/>
    <mergeCell ref="P148:U148"/>
    <mergeCell ref="W148:AB148"/>
    <mergeCell ref="AD148:AI148"/>
    <mergeCell ref="AK148:AP148"/>
    <mergeCell ref="P149:U149"/>
    <mergeCell ref="W149:AB149"/>
    <mergeCell ref="AD149:AI149"/>
    <mergeCell ref="AK149:AP149"/>
    <mergeCell ref="P151:U151"/>
    <mergeCell ref="W151:AB151"/>
    <mergeCell ref="AK151:AP151"/>
    <mergeCell ref="P152:U152"/>
    <mergeCell ref="A161:AP161"/>
    <mergeCell ref="C164:H164"/>
    <mergeCell ref="P164:U164"/>
    <mergeCell ref="W164:AB164"/>
    <mergeCell ref="AK164:AP164"/>
    <mergeCell ref="P166:U166"/>
    <mergeCell ref="W166:AB166"/>
    <mergeCell ref="AD166:AI166"/>
    <mergeCell ref="AK166:AP166"/>
    <mergeCell ref="P167:U167"/>
    <mergeCell ref="W167:AB167"/>
    <mergeCell ref="AD167:AI167"/>
    <mergeCell ref="AK167:AP167"/>
    <mergeCell ref="P168:U168"/>
    <mergeCell ref="W168:AB168"/>
    <mergeCell ref="AD168:AI168"/>
    <mergeCell ref="AK168:AP168"/>
    <mergeCell ref="P169:U169"/>
    <mergeCell ref="W169:AB169"/>
    <mergeCell ref="AD169:AI169"/>
    <mergeCell ref="AK169:AP169"/>
    <mergeCell ref="P170:U170"/>
    <mergeCell ref="W170:AB170"/>
    <mergeCell ref="AD170:AI170"/>
    <mergeCell ref="AK170:AP170"/>
    <mergeCell ref="P171:U171"/>
    <mergeCell ref="W171:AB171"/>
    <mergeCell ref="AD171:AI171"/>
    <mergeCell ref="AK171:AP171"/>
    <mergeCell ref="P172:U172"/>
    <mergeCell ref="W172:AB172"/>
    <mergeCell ref="AD172:AI172"/>
    <mergeCell ref="AK172:AP172"/>
    <mergeCell ref="O173:U173"/>
    <mergeCell ref="W173:AB173"/>
    <mergeCell ref="AD173:AI173"/>
    <mergeCell ref="AK173:AP173"/>
    <mergeCell ref="P176:U176"/>
    <mergeCell ref="W176:AB176"/>
    <mergeCell ref="AD176:AI176"/>
    <mergeCell ref="AK176:AP176"/>
    <mergeCell ref="P177:U177"/>
    <mergeCell ref="W177:AB177"/>
    <mergeCell ref="AD177:AI177"/>
    <mergeCell ref="AK177:AP177"/>
    <mergeCell ref="P178:U178"/>
    <mergeCell ref="W178:AB178"/>
    <mergeCell ref="AD178:AI178"/>
    <mergeCell ref="AK178:AP178"/>
    <mergeCell ref="P179:U179"/>
    <mergeCell ref="W179:AB179"/>
    <mergeCell ref="AD179:AI179"/>
    <mergeCell ref="AK179:AP179"/>
    <mergeCell ref="P180:U180"/>
    <mergeCell ref="W180:AB180"/>
    <mergeCell ref="AD180:AI180"/>
    <mergeCell ref="AK180:AP180"/>
    <mergeCell ref="P181:U181"/>
    <mergeCell ref="W181:AB181"/>
    <mergeCell ref="AD181:AI181"/>
    <mergeCell ref="AK181:AP181"/>
    <mergeCell ref="P183:U183"/>
    <mergeCell ref="AK183:AP183"/>
    <mergeCell ref="C185:AP185"/>
    <mergeCell ref="C187:AP187"/>
    <mergeCell ref="C189:AP189"/>
    <mergeCell ref="AB192:AH192"/>
    <mergeCell ref="AJ192:AP192"/>
    <mergeCell ref="AB193:AH193"/>
    <mergeCell ref="AJ193:AP193"/>
    <mergeCell ref="AB194:AH194"/>
    <mergeCell ref="AJ194:AP194"/>
    <mergeCell ref="AJ195:AP195"/>
    <mergeCell ref="AB196:AH196"/>
    <mergeCell ref="AJ196:AP196"/>
    <mergeCell ref="AB198:AH198"/>
    <mergeCell ref="AJ198:AP198"/>
    <mergeCell ref="AB199:AH199"/>
    <mergeCell ref="AJ199:AP199"/>
    <mergeCell ref="C200:AP200"/>
    <mergeCell ref="AB206:AH206"/>
    <mergeCell ref="AJ206:AP206"/>
    <mergeCell ref="AB207:AH207"/>
    <mergeCell ref="AJ207:AP207"/>
    <mergeCell ref="AB208:AH208"/>
    <mergeCell ref="AJ208:AP208"/>
    <mergeCell ref="AB209:AH209"/>
    <mergeCell ref="AJ209:AP209"/>
    <mergeCell ref="AB210:AH210"/>
    <mergeCell ref="AJ210:AP210"/>
    <mergeCell ref="AB211:AH211"/>
    <mergeCell ref="AJ211:AP211"/>
    <mergeCell ref="AB213:AH213"/>
    <mergeCell ref="AJ213:AP213"/>
    <mergeCell ref="AB215:AH215"/>
    <mergeCell ref="AJ215:AP215"/>
    <mergeCell ref="AB216:AH216"/>
    <mergeCell ref="AJ216:AP216"/>
    <mergeCell ref="AB217:AH217"/>
    <mergeCell ref="AJ217:AP217"/>
    <mergeCell ref="AB218:AH218"/>
    <mergeCell ref="AJ218:AP218"/>
    <mergeCell ref="AB220:AH220"/>
    <mergeCell ref="AJ220:AP220"/>
    <mergeCell ref="C224:AP224"/>
    <mergeCell ref="A228:AP228"/>
    <mergeCell ref="C233:AP233"/>
    <mergeCell ref="C237:AP237"/>
    <mergeCell ref="AB239:AH239"/>
    <mergeCell ref="AJ239:AP239"/>
    <mergeCell ref="AB241:AH241"/>
    <mergeCell ref="AJ241:AP241"/>
    <mergeCell ref="AB242:AH242"/>
    <mergeCell ref="AJ242:AP242"/>
    <mergeCell ref="AB243:AH243"/>
    <mergeCell ref="AJ243:AP243"/>
    <mergeCell ref="AB244:AH244"/>
    <mergeCell ref="AJ244:AP244"/>
    <mergeCell ref="AB245:AH245"/>
    <mergeCell ref="AJ245:AP245"/>
    <mergeCell ref="AB246:AH246"/>
    <mergeCell ref="AJ246:AP246"/>
    <mergeCell ref="AB247:AH247"/>
    <mergeCell ref="AJ247:AP247"/>
    <mergeCell ref="AB248:AH248"/>
    <mergeCell ref="AJ248:AP248"/>
    <mergeCell ref="AB249:AH249"/>
    <mergeCell ref="AJ249:AP249"/>
    <mergeCell ref="AB250:AH250"/>
    <mergeCell ref="AJ250:AP250"/>
    <mergeCell ref="AB251:AH251"/>
    <mergeCell ref="AJ251:AP251"/>
    <mergeCell ref="AB252:AH252"/>
    <mergeCell ref="AJ252:AP252"/>
    <mergeCell ref="AB253:AH253"/>
    <mergeCell ref="AJ253:AP253"/>
    <mergeCell ref="AB254:AH254"/>
    <mergeCell ref="AJ254:AP254"/>
    <mergeCell ref="AB255:AH255"/>
    <mergeCell ref="AJ255:AP255"/>
    <mergeCell ref="AB256:AH256"/>
    <mergeCell ref="AJ256:AP256"/>
    <mergeCell ref="AB257:AH257"/>
    <mergeCell ref="AJ257:AP257"/>
    <mergeCell ref="AB258:AH258"/>
    <mergeCell ref="AJ258:AP258"/>
    <mergeCell ref="AB259:AH259"/>
    <mergeCell ref="AJ259:AP259"/>
    <mergeCell ref="C261:AP261"/>
    <mergeCell ref="AB263:AH263"/>
    <mergeCell ref="AJ263:AP263"/>
    <mergeCell ref="AB264:AH264"/>
    <mergeCell ref="AJ264:AP264"/>
    <mergeCell ref="AB265:AH265"/>
    <mergeCell ref="AJ265:AP265"/>
    <mergeCell ref="AB266:AH266"/>
    <mergeCell ref="AJ266:AP266"/>
    <mergeCell ref="AB267:AH267"/>
    <mergeCell ref="AJ267:AP267"/>
    <mergeCell ref="AB268:AH268"/>
    <mergeCell ref="AJ268:AP268"/>
    <mergeCell ref="AB269:AH269"/>
    <mergeCell ref="AJ269:AP269"/>
    <mergeCell ref="AB270:AH270"/>
    <mergeCell ref="AJ270:AP270"/>
    <mergeCell ref="C272:AP272"/>
    <mergeCell ref="AB274:AH274"/>
    <mergeCell ref="AJ274:AP274"/>
    <mergeCell ref="AB278:AH278"/>
    <mergeCell ref="AJ278:AP278"/>
    <mergeCell ref="AB279:AH279"/>
    <mergeCell ref="AJ279:AP279"/>
    <mergeCell ref="AB280:AH280"/>
    <mergeCell ref="AJ280:AP280"/>
    <mergeCell ref="AB281:AH281"/>
    <mergeCell ref="AJ281:AP281"/>
    <mergeCell ref="AB282:AH282"/>
    <mergeCell ref="AJ282:AP282"/>
    <mergeCell ref="AB284:AH284"/>
    <mergeCell ref="AJ284:AP284"/>
    <mergeCell ref="AB285:AH285"/>
    <mergeCell ref="AJ285:AP285"/>
    <mergeCell ref="E288:AP288"/>
    <mergeCell ref="AB290:AH290"/>
    <mergeCell ref="AJ290:AP290"/>
    <mergeCell ref="AB292:AH292"/>
    <mergeCell ref="AJ292:AP292"/>
    <mergeCell ref="AB294:AH294"/>
    <mergeCell ref="AJ294:AP294"/>
    <mergeCell ref="AB295:AH295"/>
    <mergeCell ref="AJ295:AP295"/>
    <mergeCell ref="AB296:AH296"/>
    <mergeCell ref="AJ296:AP296"/>
    <mergeCell ref="AB297:AH297"/>
    <mergeCell ref="AJ297:AP297"/>
    <mergeCell ref="AB298:AH298"/>
    <mergeCell ref="AJ298:AP298"/>
    <mergeCell ref="AB300:AH300"/>
    <mergeCell ref="AJ300:AP300"/>
    <mergeCell ref="A304:AP304"/>
    <mergeCell ref="AB307:AH307"/>
    <mergeCell ref="AJ307:AP307"/>
    <mergeCell ref="AB309:AH309"/>
    <mergeCell ref="AJ309:AP309"/>
    <mergeCell ref="M313:R313"/>
    <mergeCell ref="M314:R314"/>
    <mergeCell ref="M316:R316"/>
    <mergeCell ref="M317:R317"/>
    <mergeCell ref="E320:J320"/>
    <mergeCell ref="M320:R320"/>
    <mergeCell ref="U320:Z320"/>
    <mergeCell ref="AC320:AI320"/>
    <mergeCell ref="AJ320:AP320"/>
    <mergeCell ref="E322:J322"/>
    <mergeCell ref="M322:R322"/>
    <mergeCell ref="U322:Z322"/>
    <mergeCell ref="AC322:AI322"/>
    <mergeCell ref="AJ322:AP322"/>
    <mergeCell ref="E325:J325"/>
    <mergeCell ref="L325:N325"/>
    <mergeCell ref="P325:R325"/>
    <mergeCell ref="U325:Z325"/>
    <mergeCell ref="AB325:AH325"/>
    <mergeCell ref="AJ325:AP325"/>
    <mergeCell ref="L326:N326"/>
    <mergeCell ref="U326:Z326"/>
    <mergeCell ref="AB326:AH326"/>
    <mergeCell ref="AJ326:AP326"/>
    <mergeCell ref="AB327:AH327"/>
    <mergeCell ref="AJ327:AP327"/>
    <mergeCell ref="E329:J329"/>
    <mergeCell ref="L329:N329"/>
    <mergeCell ref="P329:R329"/>
    <mergeCell ref="U329:Z329"/>
    <mergeCell ref="AB329:AH329"/>
    <mergeCell ref="AJ329:AP329"/>
    <mergeCell ref="L330:N330"/>
    <mergeCell ref="T330:Z330"/>
    <mergeCell ref="AB330:AH330"/>
    <mergeCell ref="AJ330:AP330"/>
    <mergeCell ref="AB331:AH331"/>
    <mergeCell ref="AJ331:AP331"/>
    <mergeCell ref="AB333:AH333"/>
    <mergeCell ref="AJ333:AP333"/>
    <mergeCell ref="AB335:AH335"/>
    <mergeCell ref="AJ335:AP335"/>
    <mergeCell ref="AB337:AH337"/>
    <mergeCell ref="AJ337:AP337"/>
    <mergeCell ref="AB339:AH339"/>
    <mergeCell ref="AJ339:AP339"/>
    <mergeCell ref="AB343:AH343"/>
    <mergeCell ref="AJ343:AP343"/>
    <mergeCell ref="AB346:AH346"/>
    <mergeCell ref="AJ346:AP346"/>
    <mergeCell ref="AB347:AH347"/>
    <mergeCell ref="AJ347:AP347"/>
    <mergeCell ref="AB348:AH348"/>
    <mergeCell ref="AJ348:AP348"/>
    <mergeCell ref="AB350:AH350"/>
    <mergeCell ref="AJ350:AP350"/>
    <mergeCell ref="AB352:AH352"/>
    <mergeCell ref="AJ352:AP352"/>
    <mergeCell ref="AB355:AH355"/>
    <mergeCell ref="AJ355:AP355"/>
    <mergeCell ref="AB356:AH356"/>
    <mergeCell ref="AJ356:AP356"/>
    <mergeCell ref="AB357:AH357"/>
    <mergeCell ref="AJ357:AP357"/>
    <mergeCell ref="AB359:AH359"/>
    <mergeCell ref="AJ359:AP359"/>
    <mergeCell ref="AB362:AH362"/>
    <mergeCell ref="AJ362:AP362"/>
    <mergeCell ref="AB363:AH363"/>
    <mergeCell ref="AJ363:AP363"/>
    <mergeCell ref="AB364:AH364"/>
    <mergeCell ref="AJ364:AP364"/>
    <mergeCell ref="AB365:AH365"/>
    <mergeCell ref="AJ365:AP365"/>
    <mergeCell ref="AB366:AH366"/>
    <mergeCell ref="AJ366:AP366"/>
    <mergeCell ref="AB369:AH369"/>
    <mergeCell ref="AJ369:AP369"/>
    <mergeCell ref="AB370:AH370"/>
    <mergeCell ref="AJ370:AP370"/>
    <mergeCell ref="AB371:AH371"/>
    <mergeCell ref="AJ371:AP371"/>
    <mergeCell ref="AB373:AH373"/>
    <mergeCell ref="AJ373:AP373"/>
    <mergeCell ref="AJ375:AP375"/>
    <mergeCell ref="AQ375:AW375"/>
    <mergeCell ref="C377:AP377"/>
    <mergeCell ref="D379:J379"/>
    <mergeCell ref="S379:W379"/>
    <mergeCell ref="AB379:AH379"/>
    <mergeCell ref="AJ379:AP379"/>
    <mergeCell ref="AB381:AH381"/>
    <mergeCell ref="AJ381:AP381"/>
    <mergeCell ref="AB382:AH382"/>
    <mergeCell ref="AJ382:AP382"/>
    <mergeCell ref="AB383:AH383"/>
    <mergeCell ref="AJ383:AP383"/>
    <mergeCell ref="AB384:AH384"/>
    <mergeCell ref="AJ384:AP384"/>
    <mergeCell ref="AB385:AH385"/>
    <mergeCell ref="AJ385:AP385"/>
    <mergeCell ref="AB386:AH386"/>
    <mergeCell ref="AJ386:AP386"/>
    <mergeCell ref="AB387:AH387"/>
    <mergeCell ref="AJ387:AP387"/>
    <mergeCell ref="AB388:AH388"/>
    <mergeCell ref="AJ388:AP388"/>
    <mergeCell ref="AB390:AH390"/>
    <mergeCell ref="AJ390:AP390"/>
    <mergeCell ref="A394:AP394"/>
    <mergeCell ref="N412:T412"/>
    <mergeCell ref="N422:T422"/>
    <mergeCell ref="N429:T429"/>
    <mergeCell ref="N435:T435"/>
    <mergeCell ref="N441:T441"/>
    <mergeCell ref="A464:AP464"/>
    <mergeCell ref="A533:AP533"/>
    <mergeCell ref="C542:AP542"/>
    <mergeCell ref="A599:AP599"/>
    <mergeCell ref="C602:AP602"/>
    <mergeCell ref="C604:R604"/>
    <mergeCell ref="AB604:AH604"/>
    <mergeCell ref="AJ604:AP604"/>
    <mergeCell ref="AB606:AH606"/>
    <mergeCell ref="AJ606:AP606"/>
    <mergeCell ref="AB607:AH607"/>
    <mergeCell ref="AJ607:AP607"/>
    <mergeCell ref="AB608:AH608"/>
    <mergeCell ref="AJ608:AP608"/>
    <mergeCell ref="AB609:AH609"/>
    <mergeCell ref="AJ609:AP609"/>
    <mergeCell ref="AB610:AH610"/>
    <mergeCell ref="AJ610:AP610"/>
    <mergeCell ref="AB611:AH611"/>
    <mergeCell ref="AJ611:AP611"/>
    <mergeCell ref="AB612:AH612"/>
    <mergeCell ref="AJ612:AP612"/>
    <mergeCell ref="AB613:AH613"/>
    <mergeCell ref="AJ613:AP613"/>
    <mergeCell ref="AB615:AH615"/>
    <mergeCell ref="AJ615:AP615"/>
    <mergeCell ref="AB618:AH618"/>
    <mergeCell ref="AJ618:AP618"/>
    <mergeCell ref="AB620:AH620"/>
    <mergeCell ref="AJ620:AP620"/>
    <mergeCell ref="AB622:AH622"/>
    <mergeCell ref="AJ622:AP622"/>
    <mergeCell ref="C624:AP624"/>
    <mergeCell ref="AB630:AH630"/>
    <mergeCell ref="AJ630:AP630"/>
    <mergeCell ref="AB631:AH631"/>
    <mergeCell ref="AJ631:AP631"/>
    <mergeCell ref="AB632:AH632"/>
    <mergeCell ref="AJ632:AP632"/>
    <mergeCell ref="AB633:AH633"/>
    <mergeCell ref="AJ633:AP633"/>
    <mergeCell ref="AB634:AH634"/>
    <mergeCell ref="AJ634:AP634"/>
    <mergeCell ref="AB635:AH635"/>
    <mergeCell ref="AJ635:AP635"/>
    <mergeCell ref="AB638:AH638"/>
    <mergeCell ref="AJ638:AP638"/>
    <mergeCell ref="AB639:AH639"/>
    <mergeCell ref="AJ639:AP639"/>
    <mergeCell ref="AB640:AH640"/>
    <mergeCell ref="AJ640:AP640"/>
    <mergeCell ref="AB641:AH641"/>
    <mergeCell ref="AJ641:AP641"/>
    <mergeCell ref="AB643:AH643"/>
    <mergeCell ref="AJ643:AP643"/>
    <mergeCell ref="C646:AP646"/>
    <mergeCell ref="C648:AP648"/>
    <mergeCell ref="C650:AP650"/>
    <mergeCell ref="C654:AP654"/>
    <mergeCell ref="AT655:AZ655"/>
    <mergeCell ref="AB656:AH656"/>
    <mergeCell ref="AJ656:AP656"/>
    <mergeCell ref="AB657:AH657"/>
    <mergeCell ref="AJ657:AP657"/>
    <mergeCell ref="AB658:AH658"/>
    <mergeCell ref="AJ658:AP658"/>
    <mergeCell ref="AB660:AH660"/>
    <mergeCell ref="AJ660:AP660"/>
    <mergeCell ref="C663:AP663"/>
    <mergeCell ref="AB665:AH665"/>
    <mergeCell ref="AJ665:AP665"/>
    <mergeCell ref="AB666:AH666"/>
    <mergeCell ref="AJ666:AP666"/>
    <mergeCell ref="AB668:AH668"/>
    <mergeCell ref="AJ668:AP668"/>
    <mergeCell ref="A683:AP683"/>
    <mergeCell ref="C686:AP686"/>
    <mergeCell ref="P688:T688"/>
    <mergeCell ref="V688:AA688"/>
    <mergeCell ref="AC688:AJ688"/>
    <mergeCell ref="P690:T690"/>
    <mergeCell ref="V690:AA690"/>
    <mergeCell ref="AC690:AJ690"/>
    <mergeCell ref="P691:T691"/>
    <mergeCell ref="V691:AA691"/>
    <mergeCell ref="P692:T692"/>
    <mergeCell ref="V692:AA692"/>
    <mergeCell ref="AC692:AJ692"/>
    <mergeCell ref="P693:T693"/>
    <mergeCell ref="V693:AA693"/>
    <mergeCell ref="AC693:AJ693"/>
    <mergeCell ref="P695:T695"/>
    <mergeCell ref="V695:AA695"/>
    <mergeCell ref="AC695:AJ695"/>
    <mergeCell ref="P697:T697"/>
    <mergeCell ref="V697:AA697"/>
    <mergeCell ref="AC697:AJ697"/>
    <mergeCell ref="P699:T699"/>
    <mergeCell ref="V699:AA699"/>
    <mergeCell ref="AC699:AJ699"/>
    <mergeCell ref="P700:T700"/>
    <mergeCell ref="V700:AA700"/>
    <mergeCell ref="P701:T701"/>
    <mergeCell ref="V701:AA701"/>
    <mergeCell ref="AC701:AJ701"/>
    <mergeCell ref="P702:T702"/>
    <mergeCell ref="V702:AA702"/>
    <mergeCell ref="AC702:AJ702"/>
    <mergeCell ref="P704:T704"/>
    <mergeCell ref="V704:AA704"/>
    <mergeCell ref="AC704:AJ704"/>
    <mergeCell ref="C708:AP708"/>
    <mergeCell ref="C710:AP710"/>
    <mergeCell ref="C712:AP712"/>
    <mergeCell ref="AB714:AH714"/>
    <mergeCell ref="AJ714:AP714"/>
    <mergeCell ref="AB715:AH715"/>
    <mergeCell ref="AJ715:AP715"/>
    <mergeCell ref="AB716:AH716"/>
    <mergeCell ref="AJ716:AP716"/>
    <mergeCell ref="AB717:AH717"/>
    <mergeCell ref="AJ717:AP717"/>
    <mergeCell ref="AB718:AH718"/>
    <mergeCell ref="AJ718:AP718"/>
    <mergeCell ref="AB719:AH719"/>
    <mergeCell ref="AJ719:AP719"/>
    <mergeCell ref="AB720:AH720"/>
    <mergeCell ref="AJ720:AP720"/>
    <mergeCell ref="AB721:AH721"/>
    <mergeCell ref="AJ721:AP721"/>
    <mergeCell ref="C724:AP724"/>
    <mergeCell ref="C728:AP728"/>
    <mergeCell ref="AB730:AH730"/>
    <mergeCell ref="AJ730:AP730"/>
    <mergeCell ref="AB732:AH732"/>
    <mergeCell ref="AJ732:AP732"/>
    <mergeCell ref="AB733:AH733"/>
    <mergeCell ref="AJ733:AP733"/>
    <mergeCell ref="AB734:AH734"/>
    <mergeCell ref="AJ734:AP734"/>
    <mergeCell ref="AB735:AH735"/>
    <mergeCell ref="AJ735:AP735"/>
    <mergeCell ref="AB736:AH736"/>
    <mergeCell ref="AJ736:AP736"/>
    <mergeCell ref="AB737:AH737"/>
    <mergeCell ref="AJ737:AP737"/>
    <mergeCell ref="C739:AP739"/>
    <mergeCell ref="AB741:AH741"/>
    <mergeCell ref="AJ741:AP741"/>
    <mergeCell ref="AB742:AH742"/>
    <mergeCell ref="AJ742:AP742"/>
    <mergeCell ref="AB743:AH743"/>
    <mergeCell ref="AJ743:AP743"/>
    <mergeCell ref="AB744:AH744"/>
    <mergeCell ref="AJ744:AP744"/>
    <mergeCell ref="AB745:AH745"/>
    <mergeCell ref="AJ745:AP745"/>
    <mergeCell ref="AB746:AH746"/>
    <mergeCell ref="AJ746:AP746"/>
    <mergeCell ref="AB747:AH747"/>
    <mergeCell ref="AJ747:AP747"/>
    <mergeCell ref="AB748:AH748"/>
    <mergeCell ref="AJ748:AP748"/>
    <mergeCell ref="AB749:AH749"/>
    <mergeCell ref="AJ749:AP749"/>
    <mergeCell ref="AB751:AH751"/>
    <mergeCell ref="A752:AP752"/>
    <mergeCell ref="AB753:AH753"/>
    <mergeCell ref="AJ753:AP753"/>
    <mergeCell ref="C755:I755"/>
    <mergeCell ref="AB756:AH756"/>
    <mergeCell ref="AJ756:AP756"/>
    <mergeCell ref="AB757:AH757"/>
    <mergeCell ref="AJ757:AP757"/>
    <mergeCell ref="AB758:AH758"/>
    <mergeCell ref="AJ758:AP758"/>
    <mergeCell ref="AB761:AH761"/>
    <mergeCell ref="AJ761:AP761"/>
    <mergeCell ref="AB762:AH762"/>
    <mergeCell ref="AJ762:AP762"/>
    <mergeCell ref="AB763:AH763"/>
    <mergeCell ref="AJ763:AP763"/>
    <mergeCell ref="AB764:AH764"/>
    <mergeCell ref="AJ764:AP764"/>
    <mergeCell ref="AB765:AH765"/>
    <mergeCell ref="AJ765:AP765"/>
    <mergeCell ref="AB766:AH766"/>
    <mergeCell ref="AJ766:AP766"/>
    <mergeCell ref="AB767:AH767"/>
    <mergeCell ref="AJ767:AP767"/>
    <mergeCell ref="AB769:AH769"/>
    <mergeCell ref="AJ769:AP769"/>
    <mergeCell ref="AB771:AH771"/>
    <mergeCell ref="AJ771:AP771"/>
    <mergeCell ref="AB774:AH774"/>
    <mergeCell ref="AJ774:AP774"/>
    <mergeCell ref="AB775:AH775"/>
    <mergeCell ref="AJ775:AP775"/>
    <mergeCell ref="AB777:AH777"/>
    <mergeCell ref="AJ777:AP777"/>
    <mergeCell ref="AB780:AH780"/>
    <mergeCell ref="AJ780:AP780"/>
    <mergeCell ref="AB781:AH781"/>
    <mergeCell ref="AJ781:AP781"/>
    <mergeCell ref="AB782:AH782"/>
    <mergeCell ref="AJ782:AP782"/>
    <mergeCell ref="AB783:AH783"/>
    <mergeCell ref="AJ783:AP783"/>
    <mergeCell ref="AB785:AH785"/>
    <mergeCell ref="AJ785:AP785"/>
    <mergeCell ref="AB787:AH787"/>
    <mergeCell ref="AJ787:AP787"/>
    <mergeCell ref="C791:AP791"/>
    <mergeCell ref="C793:N793"/>
    <mergeCell ref="P793:AB793"/>
    <mergeCell ref="AD793:AP793"/>
    <mergeCell ref="AD794:AP794"/>
    <mergeCell ref="AD795:AP795"/>
    <mergeCell ref="AB800:AH800"/>
    <mergeCell ref="AJ800:AP800"/>
    <mergeCell ref="AB801:AH801"/>
    <mergeCell ref="AJ801:AP801"/>
    <mergeCell ref="AB802:AH802"/>
    <mergeCell ref="AJ802:AP802"/>
    <mergeCell ref="AB803:AH803"/>
    <mergeCell ref="AJ803:AP803"/>
    <mergeCell ref="AB805:AH805"/>
    <mergeCell ref="AJ805:AP805"/>
    <mergeCell ref="C810:AP810"/>
    <mergeCell ref="AB812:AH812"/>
    <mergeCell ref="AJ812:AP812"/>
    <mergeCell ref="AB813:AH813"/>
    <mergeCell ref="AJ813:AP813"/>
    <mergeCell ref="AB814:AH814"/>
    <mergeCell ref="AJ814:AP814"/>
    <mergeCell ref="AB815:AH815"/>
    <mergeCell ref="AJ815:AP815"/>
    <mergeCell ref="AB816:AH816"/>
    <mergeCell ref="AJ816:AP816"/>
    <mergeCell ref="AB817:AH817"/>
    <mergeCell ref="AJ817:AP817"/>
    <mergeCell ref="AB819:AH819"/>
    <mergeCell ref="AJ819:AP819"/>
    <mergeCell ref="AB820:AH820"/>
    <mergeCell ref="AJ820:AP820"/>
    <mergeCell ref="AB821:AH821"/>
    <mergeCell ref="AJ821:AP821"/>
    <mergeCell ref="AB822:AH822"/>
    <mergeCell ref="AJ822:AP822"/>
    <mergeCell ref="AB823:AH823"/>
    <mergeCell ref="AJ823:AP823"/>
    <mergeCell ref="C825:AP825"/>
    <mergeCell ref="C838:AP838"/>
    <mergeCell ref="C840:AP840"/>
    <mergeCell ref="A843:AP843"/>
    <mergeCell ref="C853:E853"/>
    <mergeCell ref="G853:AP853"/>
    <mergeCell ref="K313:K314"/>
    <mergeCell ref="K316:K317"/>
    <mergeCell ref="T313:T314"/>
    <mergeCell ref="T316:T317"/>
    <mergeCell ref="U313:U314"/>
    <mergeCell ref="U316:U317"/>
    <mergeCell ref="C581:AP590"/>
    <mergeCell ref="AA1:AB5"/>
    <mergeCell ref="AC1:AJ3"/>
    <mergeCell ref="AK1:AP3"/>
    <mergeCell ref="AC4:AJ5"/>
    <mergeCell ref="AK4:AP5"/>
    <mergeCell ref="D471:AP476"/>
    <mergeCell ref="C75:AP77"/>
    <mergeCell ref="AD131:AI132"/>
    <mergeCell ref="AD164:AI165"/>
    <mergeCell ref="V313:AB314"/>
    <mergeCell ref="AC313:AI314"/>
    <mergeCell ref="AK313:AP314"/>
    <mergeCell ref="F316:J317"/>
    <mergeCell ref="V316:AB317"/>
    <mergeCell ref="AC316:AI317"/>
    <mergeCell ref="F313:J314"/>
    <mergeCell ref="AK316:AP317"/>
    <mergeCell ref="C341:AP342"/>
    <mergeCell ref="N570:AP572"/>
    <mergeCell ref="N547:AP548"/>
    <mergeCell ref="N437:AP438"/>
    <mergeCell ref="N443:AP447"/>
    <mergeCell ref="C449:AP453"/>
    <mergeCell ref="D478:AP485"/>
    <mergeCell ref="N575:AP576"/>
    <mergeCell ref="D487:AP494"/>
    <mergeCell ref="D496:AP503"/>
    <mergeCell ref="D505:AP511"/>
    <mergeCell ref="D513:AP521"/>
    <mergeCell ref="D523:AP530"/>
    <mergeCell ref="N550:AP551"/>
    <mergeCell ref="N553:AP555"/>
    <mergeCell ref="N558:AP559"/>
    <mergeCell ref="N564:AP565"/>
    <mergeCell ref="N567:AP568"/>
    <mergeCell ref="C672:AP673"/>
    <mergeCell ref="N405:AP409"/>
    <mergeCell ref="N415:AP419"/>
    <mergeCell ref="N423:AP424"/>
    <mergeCell ref="N425:AP426"/>
    <mergeCell ref="N431:AP432"/>
    <mergeCell ref="C833:AP834"/>
  </mergeCells>
  <pageMargins left="1.18110236220472" right="0.590551181102362" top="0.590551181102362" bottom="0.590551181102362" header="0.31496062992126" footer="0.196850393700787"/>
  <pageSetup paperSize="9" scale="91" firstPageNumber="8" orientation="portrait" useFirstPageNumber="1"/>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CF912"/>
  <sheetViews>
    <sheetView showGridLines="0" zoomScale="145" zoomScaleNormal="145" workbookViewId="0">
      <pane ySplit="5" topLeftCell="A415" activePane="bottomLeft" state="frozen"/>
      <selection/>
      <selection pane="bottomLeft" activeCell="AW72" sqref="AW72"/>
    </sheetView>
  </sheetViews>
  <sheetFormatPr defaultColWidth="9.13541666666667" defaultRowHeight="12" customHeight="1"/>
  <cols>
    <col min="1" max="1" width="3.44791666666667" style="3326" customWidth="1"/>
    <col min="2" max="2" width="1.64583333333333" style="3326" customWidth="1"/>
    <col min="3" max="3" width="2.55208333333333" style="3326" customWidth="1"/>
    <col min="4" max="4" width="1.64583333333333" style="3326" customWidth="1"/>
    <col min="5" max="5" width="2.84375" style="3326" customWidth="1"/>
    <col min="6" max="10" width="2.69791666666667" style="3326" customWidth="1"/>
    <col min="11" max="11" width="1.34375" style="3326" customWidth="1"/>
    <col min="12" max="13" width="1.64583333333333" style="3326" customWidth="1"/>
    <col min="14" max="14" width="2.25" style="3326" customWidth="1"/>
    <col min="15" max="15" width="2.39583333333333" style="3326" customWidth="1"/>
    <col min="16" max="16" width="2.69791666666667" style="3326" customWidth="1"/>
    <col min="17" max="17" width="2.55208333333333" style="3326" customWidth="1"/>
    <col min="18" max="18" width="3.14583333333333" style="3326" customWidth="1"/>
    <col min="19" max="20" width="2.39583333333333" style="3326" customWidth="1"/>
    <col min="21" max="21" width="2.69791666666667" style="3326" customWidth="1"/>
    <col min="22" max="22" width="1.64583333333333" style="3326" customWidth="1"/>
    <col min="23" max="27" width="2.25" style="3326" customWidth="1"/>
    <col min="28" max="28" width="2.39583333333333" style="3326" customWidth="1"/>
    <col min="29" max="29" width="1.64583333333333" style="3326" customWidth="1"/>
    <col min="30" max="31" width="2.25" style="3326" customWidth="1"/>
    <col min="32" max="32" width="2.55208333333333" style="3326" customWidth="1"/>
    <col min="33" max="33" width="2.84375" style="3326" customWidth="1"/>
    <col min="34" max="34" width="2.25" style="3326" customWidth="1"/>
    <col min="35" max="35" width="2.25" style="64" customWidth="1"/>
    <col min="36" max="36" width="1.64583333333333" style="64" customWidth="1"/>
    <col min="37" max="37" width="2.39583333333333" style="3330" customWidth="1"/>
    <col min="38" max="39" width="2.39583333333333" style="3326" customWidth="1"/>
    <col min="40" max="41" width="2.39583333333333" style="64" customWidth="1"/>
    <col min="42" max="42" width="2.69791666666667" style="3326" customWidth="1"/>
    <col min="43" max="43" width="16.03125" style="3326" hidden="1" customWidth="1" outlineLevel="1"/>
    <col min="44" max="44" width="13.9375" style="3331" hidden="1" customWidth="1" outlineLevel="1"/>
    <col min="45" max="45" width="14.53125" style="3326" hidden="1" customWidth="1" outlineLevel="1"/>
    <col min="46" max="46" width="10.78125" style="3326" hidden="1" customWidth="1" outlineLevel="1"/>
    <col min="47" max="48" width="9.13541666666667" style="3326" hidden="1" customWidth="1" outlineLevel="1"/>
    <col min="49" max="49" width="13.6354166666667" style="3325" customWidth="1" collapsed="1"/>
    <col min="50" max="50" width="9.29166666666667" style="3326" customWidth="1"/>
    <col min="51" max="51" width="14.0833333333333" style="3326" customWidth="1"/>
    <col min="52" max="16384" width="9.13541666666667" style="3326"/>
  </cols>
  <sheetData>
    <row r="1" customHeight="1" spans="1:43">
      <c r="A1" s="3332" t="str">
        <f>+I!B4</f>
        <v>PT INTAN GIRI ABADI</v>
      </c>
      <c r="AA1" s="3350" t="s">
        <v>277</v>
      </c>
      <c r="AB1" s="3350"/>
      <c r="AC1" s="3351" t="s">
        <v>278</v>
      </c>
      <c r="AD1" s="3351"/>
      <c r="AE1" s="3351"/>
      <c r="AF1" s="3351"/>
      <c r="AG1" s="3351"/>
      <c r="AH1" s="3351"/>
      <c r="AI1" s="3351"/>
      <c r="AJ1" s="3351"/>
      <c r="AK1" s="3351" t="s">
        <v>273</v>
      </c>
      <c r="AL1" s="3351"/>
      <c r="AM1" s="3351"/>
      <c r="AN1" s="3351"/>
      <c r="AO1" s="3351"/>
      <c r="AP1" s="3351"/>
      <c r="AQ1" s="3369"/>
    </row>
    <row r="2" customHeight="1" spans="1:42">
      <c r="A2" s="5080" t="s">
        <v>289</v>
      </c>
      <c r="AA2" s="3350"/>
      <c r="AB2" s="3350"/>
      <c r="AC2" s="3351"/>
      <c r="AD2" s="3351"/>
      <c r="AE2" s="3351"/>
      <c r="AF2" s="3351"/>
      <c r="AG2" s="3351"/>
      <c r="AH2" s="3351"/>
      <c r="AI2" s="3351"/>
      <c r="AJ2" s="3351"/>
      <c r="AK2" s="3351"/>
      <c r="AL2" s="3351"/>
      <c r="AM2" s="3351"/>
      <c r="AN2" s="3351"/>
      <c r="AO2" s="3351"/>
      <c r="AP2" s="3351"/>
    </row>
    <row r="3" customHeight="1" spans="1:42">
      <c r="A3" s="5080" t="s">
        <v>893</v>
      </c>
      <c r="AA3" s="3350"/>
      <c r="AB3" s="3350"/>
      <c r="AC3" s="3351"/>
      <c r="AD3" s="3351"/>
      <c r="AE3" s="3351"/>
      <c r="AF3" s="3351"/>
      <c r="AG3" s="3351"/>
      <c r="AH3" s="3351"/>
      <c r="AI3" s="3351"/>
      <c r="AJ3" s="3351"/>
      <c r="AK3" s="3351"/>
      <c r="AL3" s="3351"/>
      <c r="AM3" s="3351"/>
      <c r="AN3" s="3351"/>
      <c r="AO3" s="3351"/>
      <c r="AP3" s="3351"/>
    </row>
    <row r="4" customHeight="1" spans="1:42">
      <c r="A4" s="3328" t="s">
        <v>450</v>
      </c>
      <c r="AA4" s="3350"/>
      <c r="AB4" s="3350"/>
      <c r="AC4" s="3351" t="s">
        <v>280</v>
      </c>
      <c r="AD4" s="3351"/>
      <c r="AE4" s="3351"/>
      <c r="AF4" s="3351"/>
      <c r="AG4" s="3351"/>
      <c r="AH4" s="3351"/>
      <c r="AI4" s="3351"/>
      <c r="AJ4" s="3351"/>
      <c r="AK4" s="3351" t="s">
        <v>275</v>
      </c>
      <c r="AL4" s="3351"/>
      <c r="AM4" s="3351"/>
      <c r="AN4" s="3351"/>
      <c r="AO4" s="3351"/>
      <c r="AP4" s="3351"/>
    </row>
    <row r="5" ht="6" customHeight="1" spans="1:42">
      <c r="A5" s="3334"/>
      <c r="B5" s="3334"/>
      <c r="C5" s="3334"/>
      <c r="D5" s="3334"/>
      <c r="E5" s="3334"/>
      <c r="F5" s="3334"/>
      <c r="G5" s="3334"/>
      <c r="H5" s="3334"/>
      <c r="I5" s="3334"/>
      <c r="J5" s="3334"/>
      <c r="K5" s="3334"/>
      <c r="L5" s="3334"/>
      <c r="M5" s="3334"/>
      <c r="N5" s="3334"/>
      <c r="O5" s="3334"/>
      <c r="P5" s="3334"/>
      <c r="Q5" s="3334"/>
      <c r="R5" s="3334"/>
      <c r="S5" s="3334"/>
      <c r="T5" s="3334"/>
      <c r="U5" s="3334"/>
      <c r="V5" s="3334"/>
      <c r="W5" s="3334"/>
      <c r="X5" s="3334"/>
      <c r="Y5" s="3334"/>
      <c r="Z5" s="3334"/>
      <c r="AA5" s="3352"/>
      <c r="AB5" s="3352"/>
      <c r="AC5" s="3353"/>
      <c r="AD5" s="3353"/>
      <c r="AE5" s="3353"/>
      <c r="AF5" s="3353"/>
      <c r="AG5" s="3353"/>
      <c r="AH5" s="3353"/>
      <c r="AI5" s="3353"/>
      <c r="AJ5" s="3353"/>
      <c r="AK5" s="3353"/>
      <c r="AL5" s="3353"/>
      <c r="AM5" s="3353"/>
      <c r="AN5" s="3353"/>
      <c r="AO5" s="3353"/>
      <c r="AP5" s="3353"/>
    </row>
    <row r="7" s="3325" customFormat="1" customHeight="1" spans="1:49">
      <c r="A7" s="3335">
        <v>3</v>
      </c>
      <c r="B7" s="64"/>
      <c r="C7" s="3322" t="s">
        <v>1763</v>
      </c>
      <c r="D7" s="64"/>
      <c r="E7" s="64"/>
      <c r="F7" s="64"/>
      <c r="G7" s="64"/>
      <c r="H7" s="64"/>
      <c r="I7" s="64"/>
      <c r="J7" s="64"/>
      <c r="K7" s="64"/>
      <c r="L7" s="64"/>
      <c r="M7" s="64"/>
      <c r="N7" s="64"/>
      <c r="O7" s="64"/>
      <c r="P7" s="64"/>
      <c r="Q7" s="64"/>
      <c r="R7" s="64"/>
      <c r="S7" s="64"/>
      <c r="T7" s="64"/>
      <c r="U7" s="64"/>
      <c r="V7" s="64"/>
      <c r="W7" s="64"/>
      <c r="X7" s="64"/>
      <c r="Y7" s="64"/>
      <c r="Z7" s="64"/>
      <c r="AA7" s="64"/>
      <c r="AB7" s="5081" t="s">
        <v>451</v>
      </c>
      <c r="AC7" s="3355"/>
      <c r="AD7" s="3355"/>
      <c r="AE7" s="3355"/>
      <c r="AF7" s="3355"/>
      <c r="AG7" s="3355"/>
      <c r="AH7" s="3355"/>
      <c r="AI7" s="64"/>
      <c r="AJ7" s="5081" t="s">
        <v>452</v>
      </c>
      <c r="AK7" s="3355"/>
      <c r="AL7" s="3355"/>
      <c r="AM7" s="3355"/>
      <c r="AN7" s="3355"/>
      <c r="AO7" s="3355"/>
      <c r="AP7" s="3355"/>
      <c r="AQ7" s="5105" t="s">
        <v>453</v>
      </c>
      <c r="AR7" s="50"/>
      <c r="AS7" s="50"/>
      <c r="AT7" s="50"/>
      <c r="AU7" s="50"/>
      <c r="AV7" s="50"/>
      <c r="AW7" s="50"/>
    </row>
    <row r="8" s="3325" customFormat="1" ht="11.4" spans="1:49">
      <c r="A8" s="64"/>
      <c r="B8" s="64"/>
      <c r="C8" s="3336"/>
      <c r="D8" s="3337"/>
      <c r="E8" s="3337"/>
      <c r="F8" s="64"/>
      <c r="G8" s="64"/>
      <c r="H8" s="64"/>
      <c r="I8" s="64"/>
      <c r="J8" s="64"/>
      <c r="K8" s="64"/>
      <c r="L8" s="64"/>
      <c r="M8" s="64"/>
      <c r="N8" s="64"/>
      <c r="O8" s="64"/>
      <c r="P8" s="64"/>
      <c r="Q8" s="64"/>
      <c r="R8" s="64"/>
      <c r="S8" s="64"/>
      <c r="T8" s="3345"/>
      <c r="U8" s="3345"/>
      <c r="V8" s="3345"/>
      <c r="W8" s="3345"/>
      <c r="X8" s="3345"/>
      <c r="Y8" s="3345"/>
      <c r="Z8" s="3345"/>
      <c r="AA8" s="3345"/>
      <c r="AB8" s="3356"/>
      <c r="AC8" s="3356"/>
      <c r="AD8" s="3356"/>
      <c r="AE8" s="3356"/>
      <c r="AF8" s="3356"/>
      <c r="AG8" s="3356"/>
      <c r="AH8" s="3356"/>
      <c r="AI8" s="64"/>
      <c r="AJ8" s="3356"/>
      <c r="AK8" s="3356"/>
      <c r="AL8" s="3356"/>
      <c r="AM8" s="3356"/>
      <c r="AN8" s="3356"/>
      <c r="AO8" s="3356"/>
      <c r="AP8" s="3356"/>
      <c r="AQ8" s="3356"/>
      <c r="AR8" s="3356"/>
      <c r="AS8" s="3356"/>
      <c r="AT8" s="3356"/>
      <c r="AU8" s="3356"/>
      <c r="AV8" s="3356"/>
      <c r="AW8" s="3356"/>
    </row>
    <row r="9" s="3325" customFormat="1" customHeight="1" spans="1:49">
      <c r="A9" s="64"/>
      <c r="B9" s="64"/>
      <c r="C9" s="5083" t="str">
        <f>+A!B14</f>
        <v>Kas </v>
      </c>
      <c r="D9" s="64"/>
      <c r="E9" s="3337"/>
      <c r="F9" s="64"/>
      <c r="G9" s="64"/>
      <c r="H9" s="64"/>
      <c r="I9" s="64"/>
      <c r="J9" s="64"/>
      <c r="K9" s="64"/>
      <c r="L9" s="64"/>
      <c r="M9" s="64"/>
      <c r="N9" s="64"/>
      <c r="O9" s="64"/>
      <c r="P9" s="64"/>
      <c r="Q9" s="64"/>
      <c r="R9" s="64"/>
      <c r="S9" s="64"/>
      <c r="T9" s="3345"/>
      <c r="U9" s="3345"/>
      <c r="V9" s="3345"/>
      <c r="W9" s="3345"/>
      <c r="X9" s="3345"/>
      <c r="Y9" s="3345"/>
      <c r="Z9" s="3345"/>
      <c r="AA9" s="3345"/>
      <c r="AB9" s="3345">
        <f>SUM(A!L18)</f>
        <v>1635000</v>
      </c>
      <c r="AC9" s="3345"/>
      <c r="AD9" s="3345"/>
      <c r="AE9" s="3345"/>
      <c r="AF9" s="3345"/>
      <c r="AG9" s="3345"/>
      <c r="AH9" s="3345"/>
      <c r="AI9" s="64"/>
      <c r="AJ9" s="3345">
        <f>+A!R18</f>
        <v>22220000</v>
      </c>
      <c r="AK9" s="3345"/>
      <c r="AL9" s="3345"/>
      <c r="AM9" s="3345"/>
      <c r="AN9" s="3345"/>
      <c r="AO9" s="3345"/>
      <c r="AP9" s="3345"/>
      <c r="AQ9" s="3345">
        <f>+A!S18</f>
        <v>15205799.85725</v>
      </c>
      <c r="AR9" s="3356"/>
      <c r="AS9" s="3356"/>
      <c r="AT9" s="3356"/>
      <c r="AU9" s="3356"/>
      <c r="AV9" s="3356"/>
      <c r="AW9" s="3356"/>
    </row>
    <row r="10" s="3325" customFormat="1" ht="8.1" customHeight="1" spans="1:49">
      <c r="A10" s="64"/>
      <c r="B10" s="64"/>
      <c r="C10" s="3337"/>
      <c r="D10" s="64"/>
      <c r="E10" s="3337"/>
      <c r="F10" s="64"/>
      <c r="G10" s="64"/>
      <c r="H10" s="64"/>
      <c r="I10" s="64"/>
      <c r="J10" s="64"/>
      <c r="K10" s="64"/>
      <c r="L10" s="64"/>
      <c r="M10" s="64"/>
      <c r="N10" s="64"/>
      <c r="O10" s="64"/>
      <c r="P10" s="64"/>
      <c r="Q10" s="64"/>
      <c r="R10" s="64"/>
      <c r="S10" s="64"/>
      <c r="T10" s="3345"/>
      <c r="U10" s="3345"/>
      <c r="V10" s="3345"/>
      <c r="W10" s="3345"/>
      <c r="X10" s="3345"/>
      <c r="Y10" s="3345"/>
      <c r="Z10" s="3345"/>
      <c r="AA10" s="3345"/>
      <c r="AB10" s="2402"/>
      <c r="AC10" s="2402"/>
      <c r="AD10" s="2402"/>
      <c r="AE10" s="2402"/>
      <c r="AF10" s="2402"/>
      <c r="AG10" s="2402"/>
      <c r="AH10" s="2402"/>
      <c r="AI10" s="64"/>
      <c r="AJ10" s="2402"/>
      <c r="AK10" s="2402"/>
      <c r="AL10" s="2402"/>
      <c r="AM10" s="2402"/>
      <c r="AN10" s="2402"/>
      <c r="AO10" s="2402"/>
      <c r="AP10" s="2402"/>
      <c r="AQ10" s="64"/>
      <c r="AR10" s="3356"/>
      <c r="AS10" s="3356"/>
      <c r="AT10" s="3356"/>
      <c r="AU10" s="3356"/>
      <c r="AV10" s="3356"/>
      <c r="AW10" s="3356"/>
    </row>
    <row r="11" s="3325" customFormat="1" customHeight="1" spans="1:49">
      <c r="A11" s="64"/>
      <c r="B11" s="64"/>
      <c r="C11" s="3315" t="s">
        <v>2077</v>
      </c>
      <c r="D11" s="3315"/>
      <c r="E11" s="3315"/>
      <c r="F11" s="3315"/>
      <c r="G11" s="3315"/>
      <c r="H11" s="3315"/>
      <c r="I11" s="3315"/>
      <c r="J11" s="3315"/>
      <c r="K11" s="3315"/>
      <c r="L11" s="3315"/>
      <c r="M11" s="3315"/>
      <c r="N11" s="3315"/>
      <c r="O11" s="3315"/>
      <c r="P11" s="3315"/>
      <c r="Q11" s="3315"/>
      <c r="R11" s="3315"/>
      <c r="S11" s="3315"/>
      <c r="T11" s="3346"/>
      <c r="U11" s="3346"/>
      <c r="V11" s="3346"/>
      <c r="W11" s="3346"/>
      <c r="X11" s="3346"/>
      <c r="Y11" s="3346"/>
      <c r="Z11" s="3346"/>
      <c r="AA11" s="3315"/>
      <c r="AB11" s="3357">
        <f>SUM(AB9:AH10)</f>
        <v>1635000</v>
      </c>
      <c r="AC11" s="3357"/>
      <c r="AD11" s="3357"/>
      <c r="AE11" s="3357"/>
      <c r="AF11" s="3357"/>
      <c r="AG11" s="3357"/>
      <c r="AH11" s="3357"/>
      <c r="AI11" s="1350"/>
      <c r="AJ11" s="3357">
        <f>SUM(AJ9:AP10)</f>
        <v>22220000</v>
      </c>
      <c r="AK11" s="3357"/>
      <c r="AL11" s="3357"/>
      <c r="AM11" s="3357"/>
      <c r="AN11" s="3357"/>
      <c r="AO11" s="3357"/>
      <c r="AP11" s="3357"/>
      <c r="AQ11" s="3357">
        <f>SUM(AQ9:AQ10)</f>
        <v>15205799.85725</v>
      </c>
      <c r="AR11" s="3356"/>
      <c r="AS11" s="3356"/>
      <c r="AT11" s="3356"/>
      <c r="AU11" s="3356"/>
      <c r="AV11" s="3356"/>
      <c r="AW11" s="3356"/>
    </row>
    <row r="12" s="3325" customFormat="1" ht="11.4" spans="1:48">
      <c r="A12" s="64"/>
      <c r="B12" s="64"/>
      <c r="C12"/>
      <c r="D12" s="3338"/>
      <c r="E12" s="3337"/>
      <c r="F12" s="64"/>
      <c r="G12" s="64"/>
      <c r="H12" s="64"/>
      <c r="I12" s="64"/>
      <c r="J12" s="64"/>
      <c r="K12" s="64"/>
      <c r="L12" s="64"/>
      <c r="M12" s="64"/>
      <c r="N12" s="64"/>
      <c r="O12" s="64"/>
      <c r="P12" s="64"/>
      <c r="Q12" s="64"/>
      <c r="R12" s="64"/>
      <c r="S12" s="64"/>
      <c r="T12" s="3345"/>
      <c r="U12" s="3345"/>
      <c r="V12" s="3345"/>
      <c r="W12" s="3345"/>
      <c r="X12" s="3345"/>
      <c r="Y12" s="3345"/>
      <c r="Z12" s="3345"/>
      <c r="AA12" s="3345"/>
      <c r="AI12" s="1350"/>
      <c r="AQ12" s="1350"/>
      <c r="AR12" s="3371"/>
      <c r="AU12" s="1350"/>
      <c r="AV12" s="1350"/>
    </row>
    <row r="13" s="3325" customFormat="1" customHeight="1" spans="1:49">
      <c r="A13" s="64"/>
      <c r="B13" s="64"/>
      <c r="C13" t="str">
        <f>+A!C21</f>
        <v>USD - Mandiri # 1270006446437</v>
      </c>
      <c r="D13" s="3326"/>
      <c r="E13" s="3337"/>
      <c r="F13" s="64"/>
      <c r="G13" s="64"/>
      <c r="H13" s="64"/>
      <c r="I13" s="64"/>
      <c r="J13" s="64"/>
      <c r="K13" s="64"/>
      <c r="L13" s="64"/>
      <c r="M13" s="64"/>
      <c r="N13" s="64"/>
      <c r="O13" s="64"/>
      <c r="P13" s="64"/>
      <c r="Q13" s="64"/>
      <c r="R13" s="3347"/>
      <c r="S13" s="3347"/>
      <c r="T13" s="3345"/>
      <c r="U13" s="3345"/>
      <c r="V13" s="3345"/>
      <c r="W13" s="3345"/>
      <c r="X13" s="3345"/>
      <c r="Y13" s="3345"/>
      <c r="Z13" s="3345"/>
      <c r="AA13" s="3345"/>
      <c r="AB13" s="3345">
        <f>+A!L21</f>
        <v>6307172.625</v>
      </c>
      <c r="AC13" s="3345"/>
      <c r="AD13" s="3345"/>
      <c r="AE13" s="3345"/>
      <c r="AF13" s="3345"/>
      <c r="AG13" s="3345"/>
      <c r="AH13" s="3345"/>
      <c r="AI13" s="64"/>
      <c r="AJ13" s="3345">
        <f>+A!R21</f>
        <v>5946650.55</v>
      </c>
      <c r="AK13" s="3345"/>
      <c r="AL13" s="3345"/>
      <c r="AM13" s="3345"/>
      <c r="AN13" s="3345"/>
      <c r="AO13" s="3345"/>
      <c r="AP13" s="3345"/>
      <c r="AQ13" s="3345">
        <f>+A!S21</f>
        <v>6044699.89275</v>
      </c>
      <c r="AR13" s="3356"/>
      <c r="AS13" s="3356"/>
      <c r="AT13" s="3356"/>
      <c r="AU13" s="3356"/>
      <c r="AV13" s="3356"/>
      <c r="AW13" s="3356"/>
    </row>
    <row r="14" s="3325" customFormat="1" customHeight="1" spans="1:49">
      <c r="A14" s="64"/>
      <c r="B14" s="64"/>
      <c r="C14" t="str">
        <f>+A!C22</f>
        <v>IDR - Mandiri # 1270006361602</v>
      </c>
      <c r="D14" s="3326"/>
      <c r="E14" s="3337"/>
      <c r="F14" s="64"/>
      <c r="G14" s="64"/>
      <c r="H14" s="64"/>
      <c r="I14" s="64"/>
      <c r="J14" s="64"/>
      <c r="K14" s="64"/>
      <c r="L14" s="64"/>
      <c r="M14" s="64"/>
      <c r="N14" s="64"/>
      <c r="O14" s="64"/>
      <c r="P14" s="64"/>
      <c r="Q14" s="64"/>
      <c r="R14" s="3347"/>
      <c r="S14" s="3347"/>
      <c r="T14" s="3345"/>
      <c r="U14" s="3345"/>
      <c r="V14" s="3345"/>
      <c r="W14" s="3345"/>
      <c r="X14" s="3345"/>
      <c r="Y14" s="3345"/>
      <c r="Z14" s="3345"/>
      <c r="AA14" s="3345"/>
      <c r="AB14" s="3345">
        <f>+A!L22</f>
        <v>1484994.14999997</v>
      </c>
      <c r="AC14" s="3345"/>
      <c r="AD14" s="3345"/>
      <c r="AE14" s="3345"/>
      <c r="AF14" s="3345"/>
      <c r="AG14" s="3345"/>
      <c r="AH14" s="3345"/>
      <c r="AI14" s="64"/>
      <c r="AJ14" s="3345">
        <f>+A!R22</f>
        <v>2237674.80000002</v>
      </c>
      <c r="AK14" s="3345"/>
      <c r="AL14" s="3345"/>
      <c r="AM14" s="3345"/>
      <c r="AN14" s="3345"/>
      <c r="AO14" s="3345"/>
      <c r="AP14" s="3345"/>
      <c r="AQ14" s="3345">
        <f>+A!S22</f>
        <v>332136.52</v>
      </c>
      <c r="AR14" s="3356"/>
      <c r="AS14" s="3356"/>
      <c r="AT14" s="3356"/>
      <c r="AU14" s="3356"/>
      <c r="AV14" s="3356"/>
      <c r="AW14" s="3356"/>
    </row>
    <row r="15" s="3325" customFormat="1" customHeight="1" spans="1:49">
      <c r="A15" s="64"/>
      <c r="B15" s="64"/>
      <c r="C15" t="str">
        <f>+A!C23</f>
        <v>IDR - Mandiri Giro # 127000630778</v>
      </c>
      <c r="D15" s="3326"/>
      <c r="E15"/>
      <c r="F15" s="64"/>
      <c r="G15" s="64"/>
      <c r="H15" s="64"/>
      <c r="I15" s="64"/>
      <c r="J15" s="64"/>
      <c r="K15" s="64"/>
      <c r="L15" s="64"/>
      <c r="M15" s="64"/>
      <c r="N15" s="64"/>
      <c r="O15" s="64"/>
      <c r="P15" s="64"/>
      <c r="Q15" s="64"/>
      <c r="R15"/>
      <c r="S15" s="3347"/>
      <c r="T15" s="3345"/>
      <c r="U15" s="3345"/>
      <c r="V15" s="3345"/>
      <c r="W15" s="3345"/>
      <c r="X15" s="3345"/>
      <c r="Y15" s="3345"/>
      <c r="Z15" s="3345"/>
      <c r="AA15" s="3345"/>
      <c r="AB15" s="3345">
        <f>+A!L23</f>
        <v>186734445.23</v>
      </c>
      <c r="AC15" s="3345"/>
      <c r="AD15" s="3345"/>
      <c r="AE15" s="3345"/>
      <c r="AF15" s="3345"/>
      <c r="AG15" s="3345"/>
      <c r="AH15" s="3345"/>
      <c r="AI15" s="64"/>
      <c r="AJ15" s="3345">
        <f>+A!R23</f>
        <v>88855543.7299999</v>
      </c>
      <c r="AK15" s="3345"/>
      <c r="AL15" s="3345"/>
      <c r="AM15" s="3345"/>
      <c r="AN15" s="3345"/>
      <c r="AO15" s="3345"/>
      <c r="AP15" s="3345"/>
      <c r="AQ15" s="3345">
        <f>+A!S23</f>
        <v>336861273.53</v>
      </c>
      <c r="AR15" s="3356"/>
      <c r="AS15" s="3356"/>
      <c r="AT15" s="3356"/>
      <c r="AU15" s="3356"/>
      <c r="AV15" s="3356"/>
      <c r="AW15" s="3356"/>
    </row>
    <row r="16" s="3325" customFormat="1" hidden="1" customHeight="1" spans="1:49">
      <c r="A16" s="64"/>
      <c r="B16" s="64"/>
      <c r="C16" t="str">
        <f>+A!C24</f>
        <v>IDR - Mandiri Esc # 1270011831268</v>
      </c>
      <c r="D16" s="3326"/>
      <c r="E16" s="3337"/>
      <c r="F16" s="64"/>
      <c r="G16" s="64"/>
      <c r="H16" s="64"/>
      <c r="I16" s="64"/>
      <c r="J16" s="64"/>
      <c r="K16" s="64"/>
      <c r="L16" s="64"/>
      <c r="M16" s="64"/>
      <c r="N16" s="64"/>
      <c r="O16" s="64"/>
      <c r="P16" s="64"/>
      <c r="Q16" s="64"/>
      <c r="R16"/>
      <c r="S16" s="3347"/>
      <c r="T16" s="3345"/>
      <c r="U16" s="3345"/>
      <c r="V16" s="3345"/>
      <c r="W16" s="3345"/>
      <c r="X16" s="3345"/>
      <c r="Y16" s="3345"/>
      <c r="Z16" s="3345"/>
      <c r="AA16" s="3345"/>
      <c r="AB16" s="3345">
        <f>+A!J24</f>
        <v>0</v>
      </c>
      <c r="AC16" s="3345"/>
      <c r="AD16" s="3345"/>
      <c r="AE16" s="3345"/>
      <c r="AF16" s="3345"/>
      <c r="AG16" s="3345"/>
      <c r="AH16" s="3345"/>
      <c r="AI16" s="64"/>
      <c r="AJ16" s="3345">
        <f>+A!R24</f>
        <v>0</v>
      </c>
      <c r="AK16" s="3345"/>
      <c r="AL16" s="3345"/>
      <c r="AM16" s="3345"/>
      <c r="AN16" s="3345"/>
      <c r="AO16" s="3345"/>
      <c r="AP16" s="3345"/>
      <c r="AQ16" s="3345">
        <f>+A!S24</f>
        <v>0</v>
      </c>
      <c r="AR16" s="3356"/>
      <c r="AS16" s="3356"/>
      <c r="AT16" s="3356"/>
      <c r="AU16" s="3356"/>
      <c r="AV16" s="3356"/>
      <c r="AW16" s="3356"/>
    </row>
    <row r="17" s="3325" customFormat="1" customHeight="1" spans="1:49">
      <c r="A17" s="64"/>
      <c r="B17" s="64"/>
      <c r="C17" t="str">
        <f>+A!C25</f>
        <v>IDR - BNI # 8338445199</v>
      </c>
      <c r="D17" s="3326"/>
      <c r="E17" s="3337"/>
      <c r="F17" s="64"/>
      <c r="G17" s="64"/>
      <c r="H17" s="64"/>
      <c r="I17" s="64"/>
      <c r="J17" s="64"/>
      <c r="K17" s="64"/>
      <c r="L17" s="64"/>
      <c r="M17" s="64"/>
      <c r="N17" s="64"/>
      <c r="O17" s="64"/>
      <c r="P17" s="64"/>
      <c r="Q17" s="64"/>
      <c r="R17" s="3347"/>
      <c r="S17" s="3347"/>
      <c r="T17" s="3345"/>
      <c r="U17" s="3345"/>
      <c r="V17" s="3345"/>
      <c r="W17" s="3345"/>
      <c r="X17" s="3345"/>
      <c r="Y17" s="3345"/>
      <c r="Z17" s="3345"/>
      <c r="AA17" s="3345"/>
      <c r="AB17" s="3345">
        <f>+A!L25</f>
        <v>1605698</v>
      </c>
      <c r="AC17" s="3345"/>
      <c r="AD17" s="3345"/>
      <c r="AE17" s="3345"/>
      <c r="AF17" s="3345"/>
      <c r="AG17" s="3345"/>
      <c r="AH17" s="3345"/>
      <c r="AI17" s="64"/>
      <c r="AJ17" s="3345">
        <f>+A!R25</f>
        <v>167272838</v>
      </c>
      <c r="AK17" s="3345"/>
      <c r="AL17" s="3345"/>
      <c r="AM17" s="3345"/>
      <c r="AN17" s="3345"/>
      <c r="AO17" s="3345"/>
      <c r="AP17" s="3345"/>
      <c r="AQ17" s="3345">
        <f>+A!S25</f>
        <v>252561678</v>
      </c>
      <c r="AR17" s="3356"/>
      <c r="AS17" s="3356"/>
      <c r="AT17" s="3356"/>
      <c r="AU17" s="3356"/>
      <c r="AV17" s="3356"/>
      <c r="AW17" s="3356"/>
    </row>
    <row r="18" s="3325" customFormat="1" ht="11.4" spans="1:49">
      <c r="A18" s="64"/>
      <c r="B18" s="64"/>
      <c r="C18" t="str">
        <f>+A!C26</f>
        <v>IDR - BRI # 042501000903309</v>
      </c>
      <c r="D18"/>
      <c r="E18"/>
      <c r="F18"/>
      <c r="G18"/>
      <c r="H18"/>
      <c r="I18"/>
      <c r="J18"/>
      <c r="K18"/>
      <c r="L18"/>
      <c r="M18"/>
      <c r="N18"/>
      <c r="O18"/>
      <c r="P18"/>
      <c r="Q18"/>
      <c r="R18"/>
      <c r="S18"/>
      <c r="T18"/>
      <c r="U18"/>
      <c r="V18"/>
      <c r="W18"/>
      <c r="X18"/>
      <c r="Y18"/>
      <c r="Z18"/>
      <c r="AA18"/>
      <c r="AB18" s="3345">
        <f>+A!L26</f>
        <v>5863163</v>
      </c>
      <c r="AC18" s="3345"/>
      <c r="AD18" s="3345"/>
      <c r="AE18" s="3345"/>
      <c r="AF18" s="3345"/>
      <c r="AG18" s="3345"/>
      <c r="AH18" s="3345"/>
      <c r="AI18"/>
      <c r="AJ18" s="3345">
        <f>+A!R26</f>
        <v>9153453</v>
      </c>
      <c r="AK18" s="3345"/>
      <c r="AL18" s="3345"/>
      <c r="AM18" s="3345"/>
      <c r="AN18" s="3345"/>
      <c r="AO18" s="3345"/>
      <c r="AP18" s="3345"/>
      <c r="AQ18" s="3345">
        <f>+A!S26</f>
        <v>139094859.2</v>
      </c>
      <c r="AR18" s="3356"/>
      <c r="AS18" s="3356"/>
      <c r="AT18" s="3356"/>
      <c r="AU18" s="3356"/>
      <c r="AV18" s="3356"/>
      <c r="AW18" s="3356"/>
    </row>
    <row r="19" s="3325" customFormat="1" ht="7.5" customHeight="1" spans="1:49">
      <c r="A19" s="64"/>
      <c r="B19" s="64"/>
      <c r="C19" s="3337"/>
      <c r="D19" s="64"/>
      <c r="E19" s="3337"/>
      <c r="F19" s="64"/>
      <c r="G19" s="64"/>
      <c r="H19" s="64"/>
      <c r="I19" s="64"/>
      <c r="J19" s="64"/>
      <c r="K19" s="64"/>
      <c r="L19" s="64"/>
      <c r="M19" s="64"/>
      <c r="N19" s="64"/>
      <c r="O19" s="64"/>
      <c r="P19" s="64"/>
      <c r="Q19" s="64"/>
      <c r="R19" s="64"/>
      <c r="S19" s="64"/>
      <c r="T19" s="3345"/>
      <c r="U19" s="3345"/>
      <c r="V19" s="3345"/>
      <c r="W19" s="3345"/>
      <c r="X19" s="3345"/>
      <c r="Y19" s="3345"/>
      <c r="Z19" s="3345"/>
      <c r="AA19" s="3345"/>
      <c r="AB19" s="2402"/>
      <c r="AC19" s="2402"/>
      <c r="AD19" s="2402"/>
      <c r="AE19" s="2402"/>
      <c r="AF19" s="2402"/>
      <c r="AG19" s="2402"/>
      <c r="AH19" s="2402"/>
      <c r="AI19" s="64"/>
      <c r="AJ19" s="2402"/>
      <c r="AK19" s="2402"/>
      <c r="AL19" s="2402"/>
      <c r="AM19" s="2402"/>
      <c r="AN19" s="2402"/>
      <c r="AO19" s="2402"/>
      <c r="AP19" s="2402"/>
      <c r="AQ19" s="3345"/>
      <c r="AR19" s="3356"/>
      <c r="AS19" s="3356"/>
      <c r="AT19" s="3356"/>
      <c r="AU19" s="3356"/>
      <c r="AV19" s="3356"/>
      <c r="AW19" s="3356"/>
    </row>
    <row r="20" s="3325" customFormat="1" ht="11.4" spans="1:49">
      <c r="A20" s="64"/>
      <c r="B20" s="64"/>
      <c r="C20" s="3315" t="s">
        <v>2077</v>
      </c>
      <c r="D20" s="3315"/>
      <c r="E20" s="3315"/>
      <c r="F20" s="3315"/>
      <c r="G20" s="3315"/>
      <c r="H20" s="3315"/>
      <c r="I20" s="3315"/>
      <c r="J20" s="3315"/>
      <c r="K20" s="3315"/>
      <c r="L20" s="3315"/>
      <c r="M20" s="3315"/>
      <c r="N20" s="3315"/>
      <c r="O20" s="3315"/>
      <c r="P20" s="3315"/>
      <c r="Q20" s="3315"/>
      <c r="R20" s="3315"/>
      <c r="S20" s="3315"/>
      <c r="T20" s="3346"/>
      <c r="U20" s="3346"/>
      <c r="V20" s="3346"/>
      <c r="W20" s="3346"/>
      <c r="X20" s="3346"/>
      <c r="Y20" s="3346"/>
      <c r="Z20" s="3346"/>
      <c r="AA20" s="3315"/>
      <c r="AB20" s="3357">
        <f>SUM(AB13:AH19)</f>
        <v>201995473.005</v>
      </c>
      <c r="AC20" s="3357"/>
      <c r="AD20" s="3357"/>
      <c r="AE20" s="3357"/>
      <c r="AF20" s="3357"/>
      <c r="AG20" s="3357"/>
      <c r="AH20" s="3357"/>
      <c r="AI20" s="1350"/>
      <c r="AJ20" s="3357">
        <f>SUM(AJ13:AP19)</f>
        <v>273466160.08</v>
      </c>
      <c r="AK20" s="3357"/>
      <c r="AL20" s="3357"/>
      <c r="AM20" s="3357"/>
      <c r="AN20" s="3357"/>
      <c r="AO20" s="3357"/>
      <c r="AP20" s="3357"/>
      <c r="AQ20" s="3345">
        <f>SUM(AQ13:AQ19)</f>
        <v>734894647.14275</v>
      </c>
      <c r="AR20" s="3356"/>
      <c r="AS20" s="3356"/>
      <c r="AT20" s="3356"/>
      <c r="AU20" s="3356"/>
      <c r="AV20" s="3356"/>
      <c r="AW20" s="3356"/>
    </row>
    <row r="21" s="3325" customFormat="1" ht="11.4" spans="1:49">
      <c r="A21" s="64"/>
      <c r="B21" s="64"/>
      <c r="C21" s="64"/>
      <c r="D21" s="64"/>
      <c r="E21" s="64"/>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1350"/>
      <c r="AS21" s="1350"/>
      <c r="AT21" s="1350"/>
      <c r="AU21" s="1350"/>
      <c r="AV21" s="1350"/>
      <c r="AW21" s="1350"/>
    </row>
    <row r="22" s="3325" customFormat="1" customHeight="1" spans="1:49">
      <c r="A22" s="64"/>
      <c r="B22" s="64"/>
      <c r="C22" s="3322" t="s">
        <v>1765</v>
      </c>
      <c r="D22" s="3322"/>
      <c r="E22" s="3322"/>
      <c r="F22" s="3322"/>
      <c r="G22" s="3322"/>
      <c r="H22" s="3322"/>
      <c r="I22" s="3322"/>
      <c r="J22" s="3322"/>
      <c r="K22" s="3322"/>
      <c r="L22" s="3322"/>
      <c r="M22" s="3322"/>
      <c r="N22" s="3322"/>
      <c r="O22" s="3322"/>
      <c r="P22" s="3322"/>
      <c r="Q22" s="3322"/>
      <c r="R22" s="3322"/>
      <c r="S22" s="3322"/>
      <c r="T22" s="3348"/>
      <c r="U22" s="3348"/>
      <c r="V22" s="3348"/>
      <c r="W22" s="3348"/>
      <c r="X22" s="3348"/>
      <c r="Y22" s="3348"/>
      <c r="Z22" s="3348"/>
      <c r="AA22" s="3322"/>
      <c r="AB22" s="3358">
        <f>+AB11+AB20</f>
        <v>203630473.005</v>
      </c>
      <c r="AC22" s="3358"/>
      <c r="AD22" s="3358"/>
      <c r="AE22" s="3358"/>
      <c r="AF22" s="3358"/>
      <c r="AG22" s="3358"/>
      <c r="AH22" s="3358"/>
      <c r="AI22" s="64"/>
      <c r="AJ22" s="3358">
        <f>+AJ11+AJ20</f>
        <v>295686160.08</v>
      </c>
      <c r="AK22" s="3358"/>
      <c r="AL22" s="3358"/>
      <c r="AM22" s="3358"/>
      <c r="AN22" s="3358"/>
      <c r="AO22" s="3358"/>
      <c r="AP22" s="3358"/>
      <c r="AQ22" s="3358">
        <f>SUM(AQ13:AW18)</f>
        <v>734894647.14275</v>
      </c>
      <c r="AR22" s="3372"/>
      <c r="AS22" s="3372"/>
      <c r="AT22" s="3372"/>
      <c r="AU22" s="3372"/>
      <c r="AV22" s="3372"/>
      <c r="AW22" s="3372"/>
    </row>
    <row r="23" ht="12.15" spans="28:37">
      <c r="AB23"/>
      <c r="AC23"/>
      <c r="AD23"/>
      <c r="AE23"/>
      <c r="AF23"/>
      <c r="AG23"/>
      <c r="AH23"/>
      <c r="AK23" s="3326"/>
    </row>
    <row r="24" ht="11.4" spans="3:42">
      <c r="C24" s="5036" t="s">
        <v>1766</v>
      </c>
      <c r="D24" s="3339"/>
      <c r="E24" s="3339"/>
      <c r="F24" s="3339"/>
      <c r="G24" s="3339"/>
      <c r="H24" s="3339"/>
      <c r="I24" s="3339"/>
      <c r="J24" s="3339"/>
      <c r="K24" s="3339"/>
      <c r="L24" s="3339"/>
      <c r="M24" s="3339"/>
      <c r="N24" s="3339"/>
      <c r="O24" s="3339"/>
      <c r="P24" s="3339"/>
      <c r="Q24" s="3339"/>
      <c r="R24" s="3339"/>
      <c r="S24" s="3339"/>
      <c r="T24" s="3339"/>
      <c r="U24" s="3339"/>
      <c r="V24" s="3339"/>
      <c r="W24" s="3339"/>
      <c r="X24" s="3339"/>
      <c r="Y24" s="3339"/>
      <c r="Z24" s="3339"/>
      <c r="AA24" s="3339"/>
      <c r="AB24" s="3339"/>
      <c r="AC24" s="3339"/>
      <c r="AD24" s="3339"/>
      <c r="AE24" s="3339"/>
      <c r="AF24" s="3339"/>
      <c r="AG24" s="3339"/>
      <c r="AH24" s="3339"/>
      <c r="AI24" s="3339"/>
      <c r="AJ24" s="3339"/>
      <c r="AK24" s="3339"/>
      <c r="AL24" s="3339"/>
      <c r="AM24" s="3339"/>
      <c r="AN24" s="3339"/>
      <c r="AO24" s="3339"/>
      <c r="AP24" s="3339"/>
    </row>
    <row r="25" ht="8.45" customHeight="1" spans="28:37">
      <c r="AB25"/>
      <c r="AC25"/>
      <c r="AD25"/>
      <c r="AE25"/>
      <c r="AF25"/>
      <c r="AG25"/>
      <c r="AH25"/>
      <c r="AK25" s="3326"/>
    </row>
    <row r="26" ht="11.4" spans="3:42">
      <c r="C26" s="5036" t="s">
        <v>1767</v>
      </c>
      <c r="D26" s="3339"/>
      <c r="E26" s="3339"/>
      <c r="F26" s="3339"/>
      <c r="G26" s="3339"/>
      <c r="H26" s="3339"/>
      <c r="I26" s="3339"/>
      <c r="J26" s="3339"/>
      <c r="K26" s="3339"/>
      <c r="L26" s="3339"/>
      <c r="M26" s="3339"/>
      <c r="N26" s="3339"/>
      <c r="O26" s="3339"/>
      <c r="P26" s="3339"/>
      <c r="Q26" s="3339"/>
      <c r="R26" s="3339"/>
      <c r="S26" s="3339"/>
      <c r="T26" s="3339"/>
      <c r="U26" s="3339"/>
      <c r="V26" s="3339"/>
      <c r="W26" s="3339"/>
      <c r="X26" s="3339"/>
      <c r="Y26" s="3339"/>
      <c r="Z26" s="3339"/>
      <c r="AA26" s="3339"/>
      <c r="AB26" s="3339"/>
      <c r="AC26" s="3339"/>
      <c r="AD26" s="3339"/>
      <c r="AE26" s="3339"/>
      <c r="AF26" s="3339"/>
      <c r="AG26" s="3339"/>
      <c r="AH26" s="3339"/>
      <c r="AI26" s="3339"/>
      <c r="AJ26" s="3339"/>
      <c r="AK26" s="3339"/>
      <c r="AL26" s="3339"/>
      <c r="AM26" s="3339"/>
      <c r="AN26" s="3339"/>
      <c r="AO26" s="3339"/>
      <c r="AP26" s="3339"/>
    </row>
    <row r="27" ht="7.5" customHeight="1" spans="3:43">
      <c r="C27" s="3339"/>
      <c r="D27" s="3339"/>
      <c r="E27" s="3339"/>
      <c r="F27" s="3339"/>
      <c r="G27" s="3339"/>
      <c r="H27" s="3339"/>
      <c r="I27" s="3339"/>
      <c r="J27" s="3339"/>
      <c r="K27" s="3339"/>
      <c r="L27" s="3339"/>
      <c r="M27" s="3339"/>
      <c r="N27" s="3339"/>
      <c r="O27" s="3339"/>
      <c r="P27" s="3339"/>
      <c r="Q27" s="3339"/>
      <c r="R27" s="3339"/>
      <c r="S27" s="3339"/>
      <c r="T27" s="3339"/>
      <c r="U27" s="3339"/>
      <c r="V27" s="3339"/>
      <c r="W27" s="3339"/>
      <c r="X27" s="3339"/>
      <c r="Y27" s="3339"/>
      <c r="Z27" s="3339"/>
      <c r="AA27" s="3339"/>
      <c r="AB27" s="3339"/>
      <c r="AC27" s="3339"/>
      <c r="AD27" s="3339"/>
      <c r="AE27" s="3339"/>
      <c r="AF27" s="3339"/>
      <c r="AG27" s="3339"/>
      <c r="AH27" s="3339"/>
      <c r="AI27" s="3339"/>
      <c r="AJ27" s="3339"/>
      <c r="AK27" s="3339"/>
      <c r="AL27" s="3339"/>
      <c r="AM27" s="3339"/>
      <c r="AN27" s="3339"/>
      <c r="AO27" s="3339"/>
      <c r="AP27" s="3339"/>
      <c r="AQ27" s="3373"/>
    </row>
    <row r="28" ht="24" customHeight="1" spans="3:43">
      <c r="C28" s="5036" t="s">
        <v>1768</v>
      </c>
      <c r="D28" s="3339"/>
      <c r="E28" s="3339"/>
      <c r="F28" s="3339"/>
      <c r="G28" s="3339"/>
      <c r="H28" s="3339"/>
      <c r="I28" s="3339"/>
      <c r="J28" s="3339"/>
      <c r="K28" s="3339"/>
      <c r="L28" s="3339"/>
      <c r="M28" s="3339"/>
      <c r="N28" s="3339"/>
      <c r="O28" s="3339"/>
      <c r="P28" s="3339"/>
      <c r="Q28" s="3339"/>
      <c r="R28" s="3339"/>
      <c r="S28" s="3339"/>
      <c r="T28" s="3339"/>
      <c r="U28" s="3339"/>
      <c r="V28" s="3339"/>
      <c r="W28" s="3339"/>
      <c r="X28" s="3339"/>
      <c r="Y28" s="3339"/>
      <c r="Z28" s="3339"/>
      <c r="AA28" s="3339"/>
      <c r="AB28" s="3339"/>
      <c r="AC28" s="3339"/>
      <c r="AD28" s="3339"/>
      <c r="AE28" s="3339"/>
      <c r="AF28" s="3339"/>
      <c r="AG28" s="3339"/>
      <c r="AH28" s="3339"/>
      <c r="AI28" s="3339"/>
      <c r="AJ28" s="3339"/>
      <c r="AK28" s="3339"/>
      <c r="AL28" s="3339"/>
      <c r="AM28" s="3339"/>
      <c r="AN28" s="3339"/>
      <c r="AO28" s="3339"/>
      <c r="AP28" s="3339"/>
      <c r="AQ28" s="3373"/>
    </row>
    <row r="29" ht="18.6" customHeight="1" spans="37:43">
      <c r="AK29" s="3326"/>
      <c r="AQ29" s="3373"/>
    </row>
    <row r="30" s="3326" customFormat="1" customHeight="1" spans="1:49">
      <c r="A30" s="3335">
        <f>+A7+1</f>
        <v>4</v>
      </c>
      <c r="B30"/>
      <c r="C30" s="3322" t="s">
        <v>1009</v>
      </c>
      <c r="D30"/>
      <c r="E30"/>
      <c r="F30"/>
      <c r="G30"/>
      <c r="H30"/>
      <c r="I30"/>
      <c r="J30"/>
      <c r="K30"/>
      <c r="L30"/>
      <c r="M30"/>
      <c r="N30"/>
      <c r="O30"/>
      <c r="P30"/>
      <c r="Q30"/>
      <c r="R30"/>
      <c r="S30"/>
      <c r="T30"/>
      <c r="U30"/>
      <c r="V30"/>
      <c r="W30"/>
      <c r="X30"/>
      <c r="Y30"/>
      <c r="Z30"/>
      <c r="AA30"/>
      <c r="AB30"/>
      <c r="AC30"/>
      <c r="AD30"/>
      <c r="AE30"/>
      <c r="AF30"/>
      <c r="AG30"/>
      <c r="AH30"/>
      <c r="AI30"/>
      <c r="AJ30"/>
      <c r="AN30"/>
      <c r="AO30"/>
      <c r="AW30" s="3325"/>
    </row>
    <row r="31" ht="7.5" customHeight="1" spans="1:42">
      <c r="A31" s="3340"/>
      <c r="B31" s="64"/>
      <c r="C31" s="3322"/>
      <c r="D31" s="3341"/>
      <c r="E31" s="3341"/>
      <c r="F31" s="3341"/>
      <c r="G31" s="3341"/>
      <c r="H31" s="3341"/>
      <c r="I31" s="3341"/>
      <c r="J31" s="3341"/>
      <c r="K31" s="3341"/>
      <c r="L31" s="3341"/>
      <c r="M31" s="3341"/>
      <c r="N31" s="3341"/>
      <c r="O31" s="3341"/>
      <c r="P31" s="3341"/>
      <c r="Q31" s="3341"/>
      <c r="R31" s="3341"/>
      <c r="S31" s="3341"/>
      <c r="T31" s="3349"/>
      <c r="U31" s="3349"/>
      <c r="V31" s="3349"/>
      <c r="W31" s="3349"/>
      <c r="X31" s="3349"/>
      <c r="Y31" s="3349"/>
      <c r="Z31" s="3349"/>
      <c r="AA31" s="64"/>
      <c r="AB31" s="3349"/>
      <c r="AC31" s="3349"/>
      <c r="AD31" s="3349"/>
      <c r="AE31" s="3349"/>
      <c r="AF31" s="3349"/>
      <c r="AG31" s="3349"/>
      <c r="AH31" s="3349"/>
      <c r="AJ31" s="3349"/>
      <c r="AK31" s="3349"/>
      <c r="AL31" s="3349"/>
      <c r="AM31" s="3349"/>
      <c r="AN31" s="3349"/>
      <c r="AO31" s="3349"/>
      <c r="AP31" s="3349"/>
    </row>
    <row r="32" ht="11.45" customHeight="1" spans="1:43">
      <c r="A32" s="3340"/>
      <c r="B32" s="64"/>
      <c r="C32" s="5036" t="s">
        <v>2078</v>
      </c>
      <c r="D32" s="3339"/>
      <c r="E32" s="3339"/>
      <c r="F32" s="3339"/>
      <c r="G32" s="3339"/>
      <c r="H32" s="3339"/>
      <c r="I32" s="3339"/>
      <c r="J32" s="3339"/>
      <c r="K32" s="3339"/>
      <c r="L32" s="3339"/>
      <c r="M32" s="3339"/>
      <c r="N32" s="3339"/>
      <c r="O32" s="3339"/>
      <c r="P32" s="3339"/>
      <c r="Q32" s="3339"/>
      <c r="R32" s="3339"/>
      <c r="S32" s="3339"/>
      <c r="T32" s="3339"/>
      <c r="U32" s="3339"/>
      <c r="V32" s="3339"/>
      <c r="W32" s="3339"/>
      <c r="X32" s="3339"/>
      <c r="Y32" s="3339"/>
      <c r="Z32" s="3339"/>
      <c r="AA32" s="3339"/>
      <c r="AB32" s="3339"/>
      <c r="AC32" s="3339"/>
      <c r="AD32" s="3339"/>
      <c r="AE32" s="3339"/>
      <c r="AF32" s="3339"/>
      <c r="AG32" s="3339"/>
      <c r="AH32" s="3339"/>
      <c r="AI32" s="3339"/>
      <c r="AJ32" s="3339"/>
      <c r="AK32" s="3339"/>
      <c r="AL32" s="3339"/>
      <c r="AM32" s="3339"/>
      <c r="AN32" s="3339"/>
      <c r="AO32" s="3339"/>
      <c r="AP32" s="3339"/>
      <c r="AQ32" s="3331"/>
    </row>
    <row r="33" ht="6.95" customHeight="1" spans="1:42">
      <c r="A33" s="3340"/>
      <c r="B33" s="64"/>
      <c r="C33" s="3339"/>
      <c r="D33" s="3339"/>
      <c r="E33" s="3339"/>
      <c r="F33" s="3339"/>
      <c r="G33" s="3339"/>
      <c r="H33" s="3339"/>
      <c r="I33" s="3339"/>
      <c r="J33" s="3339"/>
      <c r="K33" s="3339"/>
      <c r="L33" s="3339"/>
      <c r="M33" s="3339"/>
      <c r="N33" s="3339"/>
      <c r="O33" s="3339"/>
      <c r="P33" s="3339"/>
      <c r="Q33" s="3339"/>
      <c r="R33" s="3339"/>
      <c r="S33" s="3339"/>
      <c r="T33" s="3339"/>
      <c r="U33" s="3339"/>
      <c r="V33" s="3339"/>
      <c r="W33" s="3339"/>
      <c r="X33" s="3339"/>
      <c r="Y33" s="3339"/>
      <c r="Z33" s="3339"/>
      <c r="AA33" s="3339"/>
      <c r="AB33" s="3339"/>
      <c r="AC33" s="3339"/>
      <c r="AD33" s="3339"/>
      <c r="AE33" s="3339"/>
      <c r="AF33" s="3339"/>
      <c r="AG33" s="3339"/>
      <c r="AH33" s="3339"/>
      <c r="AI33" s="3339"/>
      <c r="AJ33" s="3339"/>
      <c r="AK33" s="3339"/>
      <c r="AL33" s="3339"/>
      <c r="AM33" s="3339"/>
      <c r="AN33" s="3339"/>
      <c r="AO33" s="3339"/>
      <c r="AP33" s="3339"/>
    </row>
    <row r="34" spans="1:49">
      <c r="A34" s="3340"/>
      <c r="B34" s="64"/>
      <c r="C34" s="3342"/>
      <c r="D34" s="3342"/>
      <c r="E34" s="3342"/>
      <c r="F34" s="3342"/>
      <c r="G34" s="3342"/>
      <c r="H34" s="3339"/>
      <c r="I34" s="3339"/>
      <c r="J34" s="3339"/>
      <c r="K34" s="3339"/>
      <c r="L34" s="3339"/>
      <c r="M34" s="3339"/>
      <c r="N34" s="3339"/>
      <c r="O34" s="3339"/>
      <c r="P34" s="3339"/>
      <c r="Q34" s="3339"/>
      <c r="R34" s="3339"/>
      <c r="S34" s="3339"/>
      <c r="T34" s="3339"/>
      <c r="U34" s="3339"/>
      <c r="V34" s="3339"/>
      <c r="W34" s="3339"/>
      <c r="X34" s="3339"/>
      <c r="Y34" s="3339"/>
      <c r="Z34" s="3339"/>
      <c r="AA34" s="3339"/>
      <c r="AB34" s="3359">
        <v>2022</v>
      </c>
      <c r="AC34" s="3360"/>
      <c r="AD34" s="3360"/>
      <c r="AE34" s="3360"/>
      <c r="AF34" s="3360"/>
      <c r="AG34" s="3360"/>
      <c r="AH34" s="3360"/>
      <c r="AI34" s="3368"/>
      <c r="AJ34" s="3359">
        <v>2021</v>
      </c>
      <c r="AK34" s="3360"/>
      <c r="AL34" s="3360"/>
      <c r="AM34" s="3360"/>
      <c r="AN34" s="3360"/>
      <c r="AO34" s="3360"/>
      <c r="AP34" s="3360"/>
      <c r="AQ34" s="3360">
        <v>2020</v>
      </c>
      <c r="AR34" s="3360"/>
      <c r="AS34" s="3360"/>
      <c r="AT34" s="3360"/>
      <c r="AU34" s="3360"/>
      <c r="AV34" s="3360"/>
      <c r="AW34" s="3381"/>
    </row>
    <row r="35" spans="1:49">
      <c r="A35" s="3340"/>
      <c r="B35" s="64"/>
      <c r="C35" s="1364" t="s">
        <v>2079</v>
      </c>
      <c r="D35" s="3342"/>
      <c r="E35" s="3342"/>
      <c r="F35" s="3342"/>
      <c r="G35" s="3342"/>
      <c r="H35" s="3339"/>
      <c r="I35" s="3339"/>
      <c r="J35" s="3339"/>
      <c r="K35" s="3339"/>
      <c r="L35" s="3339"/>
      <c r="M35" s="3339"/>
      <c r="N35" s="3339"/>
      <c r="O35" s="3339"/>
      <c r="P35" s="3339"/>
      <c r="Q35" s="3339"/>
      <c r="R35" s="3339"/>
      <c r="S35" s="3339"/>
      <c r="T35" s="3339"/>
      <c r="U35" s="3339"/>
      <c r="V35" s="3339"/>
      <c r="W35" s="3339"/>
      <c r="X35" s="3339"/>
      <c r="Y35" s="3339"/>
      <c r="Z35" s="3339"/>
      <c r="AA35" s="3339"/>
      <c r="AB35" s="3361"/>
      <c r="AC35" s="3362"/>
      <c r="AD35" s="3362"/>
      <c r="AE35" s="3362"/>
      <c r="AF35" s="3362"/>
      <c r="AG35" s="3362"/>
      <c r="AH35" s="3362"/>
      <c r="AI35" s="3368"/>
      <c r="AJ35" s="3361"/>
      <c r="AK35" s="3362"/>
      <c r="AL35" s="3362"/>
      <c r="AM35" s="3362"/>
      <c r="AN35" s="3362"/>
      <c r="AO35" s="3362"/>
      <c r="AP35" s="3362"/>
      <c r="AQ35" s="3361"/>
      <c r="AR35" s="3362"/>
      <c r="AS35" s="3362"/>
      <c r="AT35" s="3362"/>
      <c r="AU35" s="3362"/>
      <c r="AV35" s="3362"/>
      <c r="AW35" s="3381"/>
    </row>
    <row r="36" spans="1:49">
      <c r="A36" s="3340"/>
      <c r="B36" s="64"/>
      <c r="C36" t="str">
        <f>+B!C16</f>
        <v>Central Motor wheel Indonesia PT </v>
      </c>
      <c r="D36" s="3339"/>
      <c r="E36" s="3339"/>
      <c r="F36" s="3339"/>
      <c r="G36" s="3339"/>
      <c r="H36" s="3339"/>
      <c r="I36" s="3339"/>
      <c r="J36" s="3339"/>
      <c r="K36" s="3339"/>
      <c r="L36" s="3339"/>
      <c r="M36" s="3339"/>
      <c r="N36" s="3339"/>
      <c r="O36" s="3339"/>
      <c r="P36" s="3339"/>
      <c r="Q36" s="3339"/>
      <c r="R36" s="3339"/>
      <c r="S36" s="3339"/>
      <c r="T36" s="3339"/>
      <c r="U36" s="3339"/>
      <c r="V36" s="3339"/>
      <c r="W36" s="3339"/>
      <c r="X36" s="3339"/>
      <c r="Y36" s="3339"/>
      <c r="Z36" s="3339"/>
      <c r="AA36" s="3339"/>
      <c r="AB36" s="3363">
        <f>+B!K16</f>
        <v>346533204.6</v>
      </c>
      <c r="AC36" s="3363"/>
      <c r="AD36" s="3363"/>
      <c r="AE36" s="3363"/>
      <c r="AF36" s="3363"/>
      <c r="AG36" s="3363"/>
      <c r="AH36" s="3363"/>
      <c r="AI36" s="3339"/>
      <c r="AJ36" s="3363">
        <f>+B!Q16</f>
        <v>0</v>
      </c>
      <c r="AK36" s="3363"/>
      <c r="AL36" s="3363"/>
      <c r="AM36" s="3363"/>
      <c r="AN36" s="3363"/>
      <c r="AO36" s="3363"/>
      <c r="AP36" s="3363"/>
      <c r="AQ36" s="2623">
        <f>+B!R16</f>
        <v>0</v>
      </c>
      <c r="AR36" s="2623"/>
      <c r="AS36" s="2623"/>
      <c r="AT36" s="2623"/>
      <c r="AU36" s="2623"/>
      <c r="AV36" s="2623"/>
      <c r="AW36" s="1293"/>
    </row>
    <row r="37" ht="11.45" customHeight="1" spans="1:49">
      <c r="A37" s="3340"/>
      <c r="B37" s="64"/>
      <c r="C37" t="str">
        <f>+B!C17</f>
        <v>Patra Logistic PT. </v>
      </c>
      <c r="D37" s="3339"/>
      <c r="E37" s="3339"/>
      <c r="F37" s="3339"/>
      <c r="G37" s="3339"/>
      <c r="H37" s="3339"/>
      <c r="I37" s="3339"/>
      <c r="J37" s="3339"/>
      <c r="K37" s="3339"/>
      <c r="L37" s="3339"/>
      <c r="M37" s="3339"/>
      <c r="N37" s="3339"/>
      <c r="O37" s="3339"/>
      <c r="P37" s="3339"/>
      <c r="Q37" s="3339"/>
      <c r="R37" s="3339"/>
      <c r="S37" s="3339"/>
      <c r="T37" s="3339"/>
      <c r="U37" s="3339"/>
      <c r="V37" s="3339"/>
      <c r="W37" s="3339"/>
      <c r="X37" s="3339"/>
      <c r="Y37" s="3339"/>
      <c r="Z37" s="3339"/>
      <c r="AA37" s="3339"/>
      <c r="AB37" s="3363">
        <f>+B!K17</f>
        <v>292120000</v>
      </c>
      <c r="AC37" s="3363"/>
      <c r="AD37" s="3363"/>
      <c r="AE37" s="3363"/>
      <c r="AF37" s="3363"/>
      <c r="AG37" s="3363"/>
      <c r="AH37" s="3363"/>
      <c r="AI37" s="3339"/>
      <c r="AJ37" s="3363">
        <f>+B!Q17</f>
        <v>874768500</v>
      </c>
      <c r="AK37" s="3363"/>
      <c r="AL37" s="3363"/>
      <c r="AM37" s="3363"/>
      <c r="AN37" s="3363"/>
      <c r="AO37" s="3363"/>
      <c r="AP37" s="3363"/>
      <c r="AQ37" s="2623">
        <f>+B!R17</f>
        <v>746140500</v>
      </c>
      <c r="AR37" s="2623"/>
      <c r="AS37" s="2623"/>
      <c r="AT37" s="2623"/>
      <c r="AU37" s="2623"/>
      <c r="AV37" s="2623"/>
      <c r="AW37" s="1293"/>
    </row>
    <row r="38" ht="11.45" customHeight="1" spans="1:49">
      <c r="A38" s="3340"/>
      <c r="B38" s="64"/>
      <c r="C38" t="str">
        <f>+B!C18</f>
        <v>Global Multiteknik Sejahtera PT</v>
      </c>
      <c r="D38" s="3339"/>
      <c r="E38" s="3339"/>
      <c r="F38" s="3339"/>
      <c r="G38" s="3339"/>
      <c r="H38" s="3339"/>
      <c r="I38" s="3339"/>
      <c r="J38" s="3339"/>
      <c r="K38" s="3339"/>
      <c r="L38" s="3339"/>
      <c r="M38" s="3339"/>
      <c r="N38" s="3339"/>
      <c r="O38" s="3339"/>
      <c r="P38" s="3339"/>
      <c r="Q38" s="3339"/>
      <c r="R38" s="3339"/>
      <c r="S38" s="3339"/>
      <c r="T38" s="3339"/>
      <c r="U38" s="3339"/>
      <c r="V38" s="3339"/>
      <c r="W38" s="3339"/>
      <c r="X38" s="3339"/>
      <c r="Y38" s="3339"/>
      <c r="Z38" s="3339"/>
      <c r="AA38" s="3339"/>
      <c r="AB38" s="3363">
        <f>+B!K18</f>
        <v>54000000</v>
      </c>
      <c r="AC38" s="3363"/>
      <c r="AD38" s="3363"/>
      <c r="AE38" s="3363"/>
      <c r="AF38" s="3363"/>
      <c r="AG38" s="3363"/>
      <c r="AH38" s="3363"/>
      <c r="AI38" s="3339"/>
      <c r="AJ38" s="3363">
        <f>+B!Q18</f>
        <v>127000000</v>
      </c>
      <c r="AK38" s="3363"/>
      <c r="AL38" s="3363"/>
      <c r="AM38" s="3363"/>
      <c r="AN38" s="3363"/>
      <c r="AO38" s="3363"/>
      <c r="AP38" s="3363"/>
      <c r="AQ38" s="2623">
        <f>+B!R18</f>
        <v>0</v>
      </c>
      <c r="AR38" s="2623"/>
      <c r="AS38" s="2623"/>
      <c r="AT38" s="2623"/>
      <c r="AU38" s="2623"/>
      <c r="AV38" s="2623"/>
      <c r="AW38" s="1293"/>
    </row>
    <row r="39" spans="1:49">
      <c r="A39" s="3340"/>
      <c r="B39" s="64"/>
      <c r="C39" t="str">
        <f>+B!C19</f>
        <v>Sari Pan Facipik</v>
      </c>
      <c r="D39" s="3339"/>
      <c r="E39" s="3339"/>
      <c r="F39" s="3339"/>
      <c r="G39" s="3339"/>
      <c r="H39" s="3339"/>
      <c r="I39" s="3339"/>
      <c r="J39" s="3339"/>
      <c r="K39" s="3339"/>
      <c r="L39" s="3339"/>
      <c r="M39" s="3339"/>
      <c r="N39" s="3339"/>
      <c r="O39" s="3339"/>
      <c r="P39" s="3339"/>
      <c r="Q39" s="3339"/>
      <c r="R39" s="3339"/>
      <c r="S39" s="3339"/>
      <c r="T39" s="3339"/>
      <c r="U39" s="3339"/>
      <c r="V39" s="3339"/>
      <c r="W39" s="3339"/>
      <c r="X39" s="3339"/>
      <c r="Y39" s="3339"/>
      <c r="Z39" s="3339"/>
      <c r="AA39" s="3339"/>
      <c r="AB39" s="3363">
        <f>+B!K19</f>
        <v>50737245.6</v>
      </c>
      <c r="AC39" s="3363"/>
      <c r="AD39" s="3363"/>
      <c r="AE39" s="3363"/>
      <c r="AF39" s="3363"/>
      <c r="AG39" s="3363"/>
      <c r="AH39" s="3363"/>
      <c r="AI39" s="3339"/>
      <c r="AJ39" s="3363">
        <f>+B!Q19</f>
        <v>0</v>
      </c>
      <c r="AK39" s="3363"/>
      <c r="AL39" s="3363"/>
      <c r="AM39" s="3363"/>
      <c r="AN39" s="3363"/>
      <c r="AO39" s="3363"/>
      <c r="AP39" s="3363"/>
      <c r="AQ39" s="2623">
        <f>+B!R19</f>
        <v>0</v>
      </c>
      <c r="AR39" s="2623"/>
      <c r="AS39" s="2623"/>
      <c r="AT39" s="2623"/>
      <c r="AU39" s="2623"/>
      <c r="AV39" s="2623"/>
      <c r="AW39" s="1293"/>
    </row>
    <row r="40" ht="11.45" customHeight="1" spans="1:49">
      <c r="A40" s="3340"/>
      <c r="B40" s="64"/>
      <c r="C40" t="str">
        <f>+B!C20</f>
        <v>Grahaniaga Tatautama PT</v>
      </c>
      <c r="D40" s="3339"/>
      <c r="E40" s="3339"/>
      <c r="F40" s="3339"/>
      <c r="G40" s="3339"/>
      <c r="H40" s="3339"/>
      <c r="I40" s="3339"/>
      <c r="J40" s="3339"/>
      <c r="K40" s="3339"/>
      <c r="L40" s="3339"/>
      <c r="M40" s="3339"/>
      <c r="N40" s="3339"/>
      <c r="O40" s="3339"/>
      <c r="P40" s="3339"/>
      <c r="Q40" s="3339"/>
      <c r="R40" s="3339"/>
      <c r="S40" s="3339"/>
      <c r="T40" s="3339"/>
      <c r="U40" s="3339"/>
      <c r="V40" s="3339"/>
      <c r="W40" s="3339"/>
      <c r="X40" s="3339"/>
      <c r="Y40" s="3339"/>
      <c r="Z40" s="3339"/>
      <c r="AA40" s="3339"/>
      <c r="AB40" s="3363">
        <f>+B!K20</f>
        <v>48164820</v>
      </c>
      <c r="AC40" s="3363"/>
      <c r="AD40" s="3363"/>
      <c r="AE40" s="3363"/>
      <c r="AF40" s="3363"/>
      <c r="AG40" s="3363"/>
      <c r="AH40" s="3363"/>
      <c r="AI40" s="3339"/>
      <c r="AJ40" s="3363">
        <f>+B!Q20</f>
        <v>48335950</v>
      </c>
      <c r="AK40" s="3363"/>
      <c r="AL40" s="3363"/>
      <c r="AM40" s="3363"/>
      <c r="AN40" s="3363"/>
      <c r="AO40" s="3363"/>
      <c r="AP40" s="3363"/>
      <c r="AQ40" s="2623">
        <f>+B!R20</f>
        <v>0</v>
      </c>
      <c r="AR40" s="2623"/>
      <c r="AS40" s="2623"/>
      <c r="AT40" s="2623"/>
      <c r="AU40" s="2623"/>
      <c r="AV40" s="2623"/>
      <c r="AW40" s="1293"/>
    </row>
    <row r="41" ht="11.45" customHeight="1" spans="1:49">
      <c r="A41" s="3340"/>
      <c r="B41" s="64"/>
      <c r="C41" t="str">
        <f>+B!C21</f>
        <v>Dharmawangsa Raya Hotel</v>
      </c>
      <c r="D41" s="3339"/>
      <c r="E41" s="3339"/>
      <c r="F41" s="3339"/>
      <c r="G41" s="3339"/>
      <c r="H41" s="3339"/>
      <c r="I41" s="3339"/>
      <c r="J41" s="3339"/>
      <c r="K41" s="3339"/>
      <c r="L41" s="3339"/>
      <c r="M41" s="3339"/>
      <c r="N41" s="3339"/>
      <c r="O41" s="3339"/>
      <c r="P41" s="3339"/>
      <c r="Q41" s="3339"/>
      <c r="R41" s="3339"/>
      <c r="S41" s="3339"/>
      <c r="T41" s="3339"/>
      <c r="U41" s="3339"/>
      <c r="V41" s="3339"/>
      <c r="W41" s="3339"/>
      <c r="X41" s="3339"/>
      <c r="Y41" s="3339"/>
      <c r="Z41" s="3339"/>
      <c r="AA41" s="3339"/>
      <c r="AB41" s="3363">
        <f>+B!K21</f>
        <v>0</v>
      </c>
      <c r="AC41" s="3363"/>
      <c r="AD41" s="3363"/>
      <c r="AE41" s="3363"/>
      <c r="AF41" s="3363"/>
      <c r="AG41" s="3363"/>
      <c r="AH41" s="3363"/>
      <c r="AI41" s="3339"/>
      <c r="AJ41" s="3363">
        <f>+B!Q21</f>
        <v>85499964</v>
      </c>
      <c r="AK41" s="3363"/>
      <c r="AL41" s="3363"/>
      <c r="AM41" s="3363"/>
      <c r="AN41" s="3363"/>
      <c r="AO41" s="3363"/>
      <c r="AP41" s="3363"/>
      <c r="AQ41" s="2623">
        <f>+B!R21</f>
        <v>128249946</v>
      </c>
      <c r="AR41" s="2623"/>
      <c r="AS41" s="2623"/>
      <c r="AT41" s="2623"/>
      <c r="AU41" s="2623"/>
      <c r="AV41" s="2623"/>
      <c r="AW41" s="1293"/>
    </row>
    <row r="42" ht="11.45" customHeight="1" spans="1:49">
      <c r="A42" s="3340"/>
      <c r="B42" s="64"/>
      <c r="C42" t="str">
        <f>+B!C22</f>
        <v>Bass Oil Sukananti Limited</v>
      </c>
      <c r="D42" s="3339"/>
      <c r="E42" s="3339"/>
      <c r="F42" s="3339"/>
      <c r="G42" s="3339"/>
      <c r="H42" s="3339"/>
      <c r="I42" s="3339"/>
      <c r="J42" s="3339"/>
      <c r="K42" s="3339"/>
      <c r="L42" s="3339"/>
      <c r="M42" s="3339"/>
      <c r="N42" s="3339"/>
      <c r="O42" s="3339"/>
      <c r="P42" s="3339"/>
      <c r="Q42" s="3339"/>
      <c r="R42" s="3339"/>
      <c r="S42" s="3339"/>
      <c r="T42" s="3339"/>
      <c r="U42" s="3339"/>
      <c r="V42" s="3339"/>
      <c r="W42" s="3339"/>
      <c r="X42" s="3339"/>
      <c r="Y42" s="3339"/>
      <c r="Z42" s="3339"/>
      <c r="AA42" s="3339"/>
      <c r="AB42" s="3363">
        <f>+B!K22</f>
        <v>0</v>
      </c>
      <c r="AC42" s="3363"/>
      <c r="AD42" s="3363"/>
      <c r="AE42" s="3363"/>
      <c r="AF42" s="3363"/>
      <c r="AG42" s="3363"/>
      <c r="AH42" s="3363"/>
      <c r="AI42" s="3339"/>
      <c r="AJ42" s="3363">
        <f>+B!Q22</f>
        <v>61121056.7747904</v>
      </c>
      <c r="AK42" s="3363"/>
      <c r="AL42" s="3363"/>
      <c r="AM42" s="3363"/>
      <c r="AN42" s="3363"/>
      <c r="AO42" s="3363"/>
      <c r="AP42" s="3363"/>
      <c r="AQ42" s="2623">
        <f>+B!R22</f>
        <v>103572452.713332</v>
      </c>
      <c r="AR42" s="2623"/>
      <c r="AS42" s="2623"/>
      <c r="AT42" s="2623"/>
      <c r="AU42" s="2623"/>
      <c r="AV42" s="2623"/>
      <c r="AW42" s="1293"/>
    </row>
    <row r="43" ht="11.45" customHeight="1" spans="1:49">
      <c r="A43" s="3340"/>
      <c r="B43" s="64"/>
      <c r="C43" t="str">
        <f>+B!C23</f>
        <v>Para Amartha Gasindo PT</v>
      </c>
      <c r="D43" s="3339"/>
      <c r="E43" s="3339"/>
      <c r="F43" s="3339"/>
      <c r="G43" s="3339"/>
      <c r="H43" s="3339"/>
      <c r="I43" s="3339"/>
      <c r="J43" s="3339"/>
      <c r="K43" s="3339"/>
      <c r="L43" s="3339"/>
      <c r="M43" s="3339"/>
      <c r="N43" s="3339"/>
      <c r="O43" s="3339"/>
      <c r="P43" s="3339"/>
      <c r="Q43" s="3339"/>
      <c r="R43" s="3339"/>
      <c r="S43" s="3339"/>
      <c r="T43" s="3339"/>
      <c r="U43" s="3339"/>
      <c r="V43" s="3339"/>
      <c r="W43" s="3339"/>
      <c r="X43" s="3339"/>
      <c r="Y43" s="3339"/>
      <c r="Z43" s="3339"/>
      <c r="AA43" s="3339"/>
      <c r="AB43" s="3363">
        <f>+B!K23</f>
        <v>0</v>
      </c>
      <c r="AC43" s="3363"/>
      <c r="AD43" s="3363"/>
      <c r="AE43" s="3363"/>
      <c r="AF43" s="3363"/>
      <c r="AG43" s="3363"/>
      <c r="AH43" s="3363"/>
      <c r="AI43" s="3339"/>
      <c r="AJ43" s="3363">
        <f>+B!Q23</f>
        <v>8852624.5</v>
      </c>
      <c r="AK43" s="3363"/>
      <c r="AL43" s="3363"/>
      <c r="AM43" s="3363"/>
      <c r="AN43" s="3363"/>
      <c r="AO43" s="3363"/>
      <c r="AP43" s="3363"/>
      <c r="AQ43" s="2623">
        <f>+B!R23</f>
        <v>0</v>
      </c>
      <c r="AR43" s="2623"/>
      <c r="AS43" s="2623"/>
      <c r="AT43" s="2623"/>
      <c r="AU43" s="2623"/>
      <c r="AV43" s="2623"/>
      <c r="AW43" s="1293"/>
    </row>
    <row r="44" ht="11.45" hidden="1" customHeight="1" spans="1:49">
      <c r="A44" s="3340"/>
      <c r="B44" s="64"/>
      <c r="C44" t="str">
        <f>+B!C24</f>
        <v>Mitra Energi Buana PT </v>
      </c>
      <c r="D44" s="3339"/>
      <c r="E44" s="3339"/>
      <c r="F44" s="3339"/>
      <c r="G44" s="3339"/>
      <c r="H44" s="3339"/>
      <c r="I44" s="3339"/>
      <c r="J44" s="3339"/>
      <c r="K44" s="3339"/>
      <c r="L44" s="3339"/>
      <c r="M44" s="3339"/>
      <c r="N44" s="3339"/>
      <c r="O44" s="3339"/>
      <c r="P44" s="3339"/>
      <c r="Q44" s="3339"/>
      <c r="R44" s="3339"/>
      <c r="S44" s="3339"/>
      <c r="T44" s="3339"/>
      <c r="U44" s="3339"/>
      <c r="V44" s="3339"/>
      <c r="W44" s="3339"/>
      <c r="X44" s="3339"/>
      <c r="Y44" s="3339"/>
      <c r="Z44" s="3339"/>
      <c r="AA44" s="3339"/>
      <c r="AB44" s="3363">
        <f>+B!K24</f>
        <v>0</v>
      </c>
      <c r="AC44" s="3363"/>
      <c r="AD44" s="3363"/>
      <c r="AE44" s="3363"/>
      <c r="AF44" s="3363"/>
      <c r="AG44" s="3363"/>
      <c r="AH44" s="3363"/>
      <c r="AI44" s="3339"/>
      <c r="AJ44" s="3363">
        <f>+B!Q24</f>
        <v>0</v>
      </c>
      <c r="AK44" s="3363"/>
      <c r="AL44" s="3363"/>
      <c r="AM44" s="3363"/>
      <c r="AN44" s="3363"/>
      <c r="AO44" s="3363"/>
      <c r="AP44" s="3363"/>
      <c r="AQ44" s="2623">
        <f>+B!R24</f>
        <v>244775999.68</v>
      </c>
      <c r="AR44" s="2623"/>
      <c r="AS44" s="2623"/>
      <c r="AT44" s="2623"/>
      <c r="AU44" s="2623"/>
      <c r="AV44" s="2623"/>
      <c r="AW44" s="1293"/>
    </row>
    <row r="45" ht="11.45" hidden="1" customHeight="1" spans="1:49">
      <c r="A45" s="3340"/>
      <c r="B45" s="64"/>
      <c r="C45" t="str">
        <f>+B!C25</f>
        <v>Jakarta International Hotels &amp; Development</v>
      </c>
      <c r="D45" s="3339"/>
      <c r="E45" s="3339"/>
      <c r="F45" s="3339"/>
      <c r="G45" s="3339"/>
      <c r="H45" s="3339"/>
      <c r="I45" s="3339"/>
      <c r="J45" s="3339"/>
      <c r="K45" s="3339"/>
      <c r="L45" s="3339"/>
      <c r="M45" s="3339"/>
      <c r="N45" s="3339"/>
      <c r="O45" s="3339"/>
      <c r="P45" s="3339"/>
      <c r="Q45" s="3339"/>
      <c r="R45" s="3339"/>
      <c r="S45" s="3339"/>
      <c r="T45" s="3339"/>
      <c r="U45" s="3339"/>
      <c r="V45" s="3339"/>
      <c r="W45" s="3339"/>
      <c r="X45" s="3339"/>
      <c r="Y45" s="3339"/>
      <c r="Z45" s="3339"/>
      <c r="AA45" s="3339"/>
      <c r="AB45" s="3363">
        <f>+B!K25</f>
        <v>0</v>
      </c>
      <c r="AC45" s="3363"/>
      <c r="AD45" s="3363"/>
      <c r="AE45" s="3363"/>
      <c r="AF45" s="3363"/>
      <c r="AG45" s="3363"/>
      <c r="AH45" s="3363"/>
      <c r="AI45" s="3339"/>
      <c r="AJ45" s="3363">
        <f>+B!Q25</f>
        <v>0</v>
      </c>
      <c r="AK45" s="3363"/>
      <c r="AL45" s="3363"/>
      <c r="AM45" s="3363"/>
      <c r="AN45" s="3363"/>
      <c r="AO45" s="3363"/>
      <c r="AP45" s="3363"/>
      <c r="AQ45" s="2623">
        <f>+B!R25</f>
        <v>10770100</v>
      </c>
      <c r="AR45" s="2623"/>
      <c r="AS45" s="2623"/>
      <c r="AT45" s="2623"/>
      <c r="AU45" s="2623"/>
      <c r="AV45" s="2623"/>
      <c r="AW45" s="1293"/>
    </row>
    <row r="46" ht="5.1" customHeight="1" spans="1:49">
      <c r="A46" s="3340"/>
      <c r="B46" s="64"/>
      <c r="C46"/>
      <c r="D46" s="3339"/>
      <c r="E46" s="3339"/>
      <c r="F46" s="3339"/>
      <c r="G46" s="3339"/>
      <c r="H46" s="3339"/>
      <c r="I46" s="3339"/>
      <c r="J46" s="3339"/>
      <c r="K46" s="3339"/>
      <c r="L46" s="3339"/>
      <c r="M46" s="3339"/>
      <c r="N46" s="3339"/>
      <c r="O46" s="3339"/>
      <c r="P46" s="3339"/>
      <c r="Q46" s="3339"/>
      <c r="R46" s="3339"/>
      <c r="S46" s="3339"/>
      <c r="T46" s="3339"/>
      <c r="U46" s="3339"/>
      <c r="V46" s="3339"/>
      <c r="W46" s="3339"/>
      <c r="X46" s="3339"/>
      <c r="Y46" s="3339"/>
      <c r="Z46" s="3339"/>
      <c r="AA46" s="3339"/>
      <c r="AB46" s="3363"/>
      <c r="AC46" s="3363"/>
      <c r="AD46" s="3363"/>
      <c r="AE46" s="3363"/>
      <c r="AF46" s="3363"/>
      <c r="AG46" s="3363"/>
      <c r="AH46" s="3363"/>
      <c r="AI46" s="3339"/>
      <c r="AJ46" s="3363"/>
      <c r="AK46" s="3363"/>
      <c r="AL46" s="3363"/>
      <c r="AM46" s="3363"/>
      <c r="AN46" s="3363"/>
      <c r="AO46" s="3363"/>
      <c r="AP46" s="3363"/>
      <c r="AQ46" s="2623"/>
      <c r="AR46" s="2623"/>
      <c r="AS46" s="2623"/>
      <c r="AT46" s="2623"/>
      <c r="AU46" s="2623"/>
      <c r="AV46" s="2623"/>
      <c r="AW46" s="1293"/>
    </row>
    <row r="47" spans="1:49">
      <c r="A47" s="3340"/>
      <c r="B47" s="64"/>
      <c r="C47" t="s">
        <v>1477</v>
      </c>
      <c r="D47" s="3339"/>
      <c r="E47" s="3339"/>
      <c r="F47" s="3339"/>
      <c r="G47" s="3339"/>
      <c r="H47" s="3339"/>
      <c r="I47" s="3339"/>
      <c r="J47" s="3339"/>
      <c r="K47" s="3339"/>
      <c r="L47" s="3339"/>
      <c r="M47" s="3339"/>
      <c r="N47" s="3339"/>
      <c r="O47" s="3339"/>
      <c r="P47" s="3339"/>
      <c r="Q47" s="3339"/>
      <c r="R47" s="3339"/>
      <c r="S47" s="3339"/>
      <c r="T47" s="3339"/>
      <c r="U47" s="3339"/>
      <c r="V47" s="3339"/>
      <c r="W47" s="3339"/>
      <c r="X47" s="3339"/>
      <c r="Y47" s="3339"/>
      <c r="Z47" s="3339"/>
      <c r="AA47" s="3339"/>
      <c r="AB47" s="3364">
        <f>SUM(AB36:AH46)</f>
        <v>791555270.2</v>
      </c>
      <c r="AC47" s="3364"/>
      <c r="AD47" s="3364"/>
      <c r="AE47" s="3364"/>
      <c r="AF47" s="3364"/>
      <c r="AG47" s="3364"/>
      <c r="AH47" s="3364"/>
      <c r="AI47" s="3339"/>
      <c r="AJ47" s="3364">
        <f>SUM(AJ36:AP46)</f>
        <v>1205578095.27479</v>
      </c>
      <c r="AK47" s="3364"/>
      <c r="AL47" s="3364"/>
      <c r="AM47" s="3364"/>
      <c r="AN47" s="3364"/>
      <c r="AO47" s="3364"/>
      <c r="AP47" s="3364"/>
      <c r="AQ47" s="3374">
        <f>SUM(AQ36:AQ46)</f>
        <v>1233508998.39333</v>
      </c>
      <c r="AR47" s="2623"/>
      <c r="AS47" s="2623"/>
      <c r="AT47" s="2623"/>
      <c r="AU47" s="2623"/>
      <c r="AV47" s="2623"/>
      <c r="AW47" s="1293"/>
    </row>
    <row r="48" ht="7.5" customHeight="1" spans="1:49">
      <c r="A48" s="3340"/>
      <c r="B48" s="64"/>
      <c r="C48"/>
      <c r="D48" s="3339"/>
      <c r="E48" s="3339"/>
      <c r="F48" s="3339"/>
      <c r="G48" s="3339"/>
      <c r="H48" s="3339"/>
      <c r="I48" s="3339"/>
      <c r="J48" s="3339"/>
      <c r="K48" s="3339"/>
      <c r="L48" s="3339"/>
      <c r="M48" s="3339"/>
      <c r="N48" s="3339"/>
      <c r="O48" s="3339"/>
      <c r="P48" s="3339"/>
      <c r="Q48" s="3339"/>
      <c r="R48" s="3339"/>
      <c r="S48" s="3339"/>
      <c r="T48" s="3339"/>
      <c r="U48" s="3339"/>
      <c r="V48" s="3339"/>
      <c r="W48" s="3339"/>
      <c r="X48" s="3339"/>
      <c r="Y48" s="3339"/>
      <c r="Z48" s="3339"/>
      <c r="AA48" s="3339"/>
      <c r="AB48" s="3365"/>
      <c r="AC48" s="3365"/>
      <c r="AD48" s="3365"/>
      <c r="AE48" s="3365"/>
      <c r="AF48" s="3365"/>
      <c r="AG48" s="3365"/>
      <c r="AH48" s="3365"/>
      <c r="AI48" s="3339"/>
      <c r="AJ48" s="3365"/>
      <c r="AK48" s="3365"/>
      <c r="AL48" s="3365"/>
      <c r="AM48" s="3365"/>
      <c r="AN48" s="3365"/>
      <c r="AO48" s="3365"/>
      <c r="AP48" s="3365"/>
      <c r="AQ48" s="1293"/>
      <c r="AR48" s="2623"/>
      <c r="AS48" s="2623"/>
      <c r="AT48" s="2623"/>
      <c r="AU48" s="2623"/>
      <c r="AV48" s="2623"/>
      <c r="AW48" s="1293"/>
    </row>
    <row r="49" spans="1:49">
      <c r="A49" s="3340"/>
      <c r="B49" s="64"/>
      <c r="C49" s="1364" t="s">
        <v>2058</v>
      </c>
      <c r="D49" s="3343"/>
      <c r="E49" s="3343"/>
      <c r="F49" s="3343"/>
      <c r="G49" s="3343"/>
      <c r="H49" s="3339"/>
      <c r="I49" s="3339"/>
      <c r="J49" s="3339"/>
      <c r="K49" s="3339"/>
      <c r="L49" s="3339"/>
      <c r="M49" s="3339"/>
      <c r="N49" s="3339"/>
      <c r="O49" s="3339"/>
      <c r="P49" s="3339"/>
      <c r="Q49" s="3339"/>
      <c r="R49" s="3339"/>
      <c r="S49" s="3339"/>
      <c r="T49" s="3339"/>
      <c r="U49" s="3339"/>
      <c r="V49" s="3339"/>
      <c r="W49" s="3339"/>
      <c r="X49" s="3339"/>
      <c r="Y49" s="3339"/>
      <c r="Z49" s="3339"/>
      <c r="AA49" s="3339"/>
      <c r="AB49" s="3363"/>
      <c r="AC49" s="3363"/>
      <c r="AD49" s="3363"/>
      <c r="AE49" s="3363"/>
      <c r="AF49" s="3363"/>
      <c r="AG49" s="3363"/>
      <c r="AH49" s="3363"/>
      <c r="AI49" s="3339"/>
      <c r="AJ49" s="3363"/>
      <c r="AK49" s="3363"/>
      <c r="AL49" s="3363"/>
      <c r="AM49" s="3363"/>
      <c r="AN49" s="3363"/>
      <c r="AO49" s="3363"/>
      <c r="AP49" s="3363"/>
      <c r="AQ49" s="2623"/>
      <c r="AR49" s="2623"/>
      <c r="AS49" s="2623"/>
      <c r="AT49" s="2623"/>
      <c r="AU49" s="2623"/>
      <c r="AV49" s="2623"/>
      <c r="AW49" s="1293"/>
    </row>
    <row r="50" s="3325" customFormat="1" spans="1:49">
      <c r="A50" s="3340"/>
      <c r="B50" s="64"/>
      <c r="C50" t="str">
        <f>+B!C15</f>
        <v>Pratama Energy Mandiri (PEM), PT </v>
      </c>
      <c r="D50" s="3339"/>
      <c r="E50" s="3339"/>
      <c r="F50" s="3339"/>
      <c r="G50" s="3339"/>
      <c r="H50" s="3339"/>
      <c r="I50" s="3339"/>
      <c r="J50" s="3339"/>
      <c r="K50" s="3339"/>
      <c r="L50" s="3339"/>
      <c r="M50" s="3339"/>
      <c r="N50" s="3339"/>
      <c r="O50" s="3339"/>
      <c r="P50" s="3339"/>
      <c r="Q50" s="3339"/>
      <c r="R50" s="3339"/>
      <c r="S50" s="3339"/>
      <c r="T50" s="3339"/>
      <c r="U50" s="3339"/>
      <c r="V50" s="3339"/>
      <c r="W50" s="3339"/>
      <c r="X50" s="3339"/>
      <c r="Y50" s="3339"/>
      <c r="Z50" s="3339"/>
      <c r="AA50" s="3339"/>
      <c r="AB50" s="3363">
        <f>+B!K34</f>
        <v>1328060000</v>
      </c>
      <c r="AC50" s="3363"/>
      <c r="AD50" s="3363"/>
      <c r="AE50" s="3363"/>
      <c r="AF50" s="3363"/>
      <c r="AG50" s="3363"/>
      <c r="AH50" s="3363"/>
      <c r="AI50"/>
      <c r="AJ50" s="3363">
        <f>+B!Q15</f>
        <v>0</v>
      </c>
      <c r="AK50" s="3363"/>
      <c r="AL50" s="3363"/>
      <c r="AM50" s="3363"/>
      <c r="AN50" s="3363"/>
      <c r="AO50" s="3363"/>
      <c r="AP50" s="3363"/>
      <c r="AQ50" s="2623">
        <f>+B!R15</f>
        <v>0</v>
      </c>
      <c r="AR50" s="1293"/>
      <c r="AS50" s="1293"/>
      <c r="AT50" s="1293"/>
      <c r="AU50" s="1293"/>
      <c r="AV50" s="1293"/>
      <c r="AW50" s="1293"/>
    </row>
    <row r="51" s="3325" customFormat="1" ht="5.1" customHeight="1" spans="1:49">
      <c r="A51" s="3340"/>
      <c r="B51" s="64"/>
      <c r="C51"/>
      <c r="D51" s="3339"/>
      <c r="E51" s="3339"/>
      <c r="F51" s="3339"/>
      <c r="G51" s="3339"/>
      <c r="H51" s="3339"/>
      <c r="I51" s="3339"/>
      <c r="J51" s="3339"/>
      <c r="K51" s="3339"/>
      <c r="L51" s="3339"/>
      <c r="M51" s="3339"/>
      <c r="N51" s="3339"/>
      <c r="O51" s="3339"/>
      <c r="P51" s="3339"/>
      <c r="Q51" s="3339"/>
      <c r="R51" s="3339"/>
      <c r="S51" s="3339"/>
      <c r="T51" s="3339"/>
      <c r="U51" s="3339"/>
      <c r="V51" s="3339"/>
      <c r="W51" s="3339"/>
      <c r="X51" s="3339"/>
      <c r="Y51" s="3339"/>
      <c r="Z51" s="3339"/>
      <c r="AA51" s="3339"/>
      <c r="AB51" s="3363"/>
      <c r="AC51" s="3363"/>
      <c r="AD51" s="3363"/>
      <c r="AE51" s="3363"/>
      <c r="AF51" s="3363"/>
      <c r="AG51" s="3363"/>
      <c r="AH51" s="3363"/>
      <c r="AI51"/>
      <c r="AJ51" s="3363"/>
      <c r="AK51" s="3363"/>
      <c r="AL51" s="3363"/>
      <c r="AM51" s="3363"/>
      <c r="AN51" s="3363"/>
      <c r="AO51" s="3363"/>
      <c r="AP51" s="3363"/>
      <c r="AQ51" s="2623"/>
      <c r="AR51" s="1293"/>
      <c r="AS51" s="1293"/>
      <c r="AT51" s="1293"/>
      <c r="AU51" s="1293"/>
      <c r="AV51" s="1293"/>
      <c r="AW51" s="1293"/>
    </row>
    <row r="52" s="3325" customFormat="1" spans="1:49">
      <c r="A52" s="3340"/>
      <c r="B52" s="64"/>
      <c r="C52" t="s">
        <v>2080</v>
      </c>
      <c r="D52" s="3339"/>
      <c r="E52" s="3339"/>
      <c r="F52" s="3339"/>
      <c r="G52" s="3339"/>
      <c r="H52" s="3339"/>
      <c r="I52" s="3339"/>
      <c r="J52" s="3339"/>
      <c r="K52" s="3339"/>
      <c r="L52" s="3339"/>
      <c r="M52" s="3339"/>
      <c r="N52" s="3339"/>
      <c r="O52" s="3339"/>
      <c r="P52" s="3339"/>
      <c r="Q52" s="3339"/>
      <c r="R52" s="3339"/>
      <c r="S52" s="3339"/>
      <c r="T52" s="3339"/>
      <c r="U52" s="3339"/>
      <c r="V52" s="3339"/>
      <c r="W52" s="3339"/>
      <c r="X52" s="3339"/>
      <c r="Y52" s="3339"/>
      <c r="Z52" s="3339"/>
      <c r="AA52" s="3339"/>
      <c r="AB52" s="3364">
        <f>SUM(AB50:AH51)</f>
        <v>1328060000</v>
      </c>
      <c r="AC52" s="3364"/>
      <c r="AD52" s="3364"/>
      <c r="AE52" s="3364"/>
      <c r="AF52" s="3364"/>
      <c r="AG52" s="3364"/>
      <c r="AH52" s="3364"/>
      <c r="AI52" s="3339"/>
      <c r="AJ52" s="3364">
        <f>SUM(AJ50:AP51)</f>
        <v>0</v>
      </c>
      <c r="AK52" s="3364"/>
      <c r="AL52" s="3364"/>
      <c r="AM52" s="3364"/>
      <c r="AN52" s="3364"/>
      <c r="AO52" s="3364"/>
      <c r="AP52" s="3364"/>
      <c r="AQ52" s="3375">
        <f>SUM(AQ50:AW51)</f>
        <v>0</v>
      </c>
      <c r="AR52" s="3376"/>
      <c r="AS52" s="3376"/>
      <c r="AT52" s="3376"/>
      <c r="AU52" s="3376"/>
      <c r="AV52" s="3376"/>
      <c r="AW52" s="3376"/>
    </row>
    <row r="53" s="3325" customFormat="1" ht="8.45" customHeight="1" spans="1:49">
      <c r="A53" s="3340"/>
      <c r="B53" s="64"/>
      <c r="C53"/>
      <c r="D53" s="3339"/>
      <c r="E53" s="3339"/>
      <c r="F53" s="3339"/>
      <c r="G53" s="3339"/>
      <c r="H53" s="3339"/>
      <c r="I53" s="3339"/>
      <c r="J53" s="3339"/>
      <c r="K53" s="3339"/>
      <c r="L53" s="3339"/>
      <c r="M53" s="3339"/>
      <c r="N53" s="3339"/>
      <c r="O53" s="3339"/>
      <c r="P53" s="3339"/>
      <c r="Q53" s="3339"/>
      <c r="R53" s="3339"/>
      <c r="S53" s="3339"/>
      <c r="T53" s="3339"/>
      <c r="U53" s="3339"/>
      <c r="V53" s="3339"/>
      <c r="W53" s="3339"/>
      <c r="X53" s="3339"/>
      <c r="Y53" s="3339"/>
      <c r="Z53" s="3339"/>
      <c r="AA53" s="3339"/>
      <c r="AB53" s="3363"/>
      <c r="AC53" s="3363"/>
      <c r="AD53" s="3363"/>
      <c r="AE53" s="3363"/>
      <c r="AF53" s="3363"/>
      <c r="AG53" s="3363"/>
      <c r="AH53" s="3363"/>
      <c r="AI53" s="3339"/>
      <c r="AJ53" s="3363"/>
      <c r="AK53" s="3363"/>
      <c r="AL53" s="3363"/>
      <c r="AM53" s="3363"/>
      <c r="AN53" s="3363"/>
      <c r="AO53" s="3363"/>
      <c r="AP53" s="3363"/>
      <c r="AQ53" s="2623"/>
      <c r="AR53" s="2623"/>
      <c r="AS53" s="2623"/>
      <c r="AT53" s="2623"/>
      <c r="AU53" s="2623"/>
      <c r="AV53" s="2623"/>
      <c r="AW53" s="159"/>
    </row>
    <row r="54" s="3325" customFormat="1" spans="1:49">
      <c r="A54" s="3340"/>
      <c r="B54" s="64"/>
      <c r="C54" s="94" t="s">
        <v>2081</v>
      </c>
      <c r="D54" s="3344"/>
      <c r="E54" s="3344"/>
      <c r="F54" s="3344"/>
      <c r="G54" s="3344"/>
      <c r="H54" s="3344"/>
      <c r="I54" s="3344"/>
      <c r="J54" s="3344"/>
      <c r="K54" s="3344"/>
      <c r="L54" s="3344"/>
      <c r="M54" s="3344"/>
      <c r="N54" s="3344"/>
      <c r="O54" s="3344"/>
      <c r="P54" s="3344"/>
      <c r="Q54" s="3344"/>
      <c r="R54" s="3344"/>
      <c r="S54" s="3344"/>
      <c r="T54" s="3344"/>
      <c r="U54" s="3344"/>
      <c r="V54" s="3344"/>
      <c r="W54" s="3344"/>
      <c r="X54" s="3344"/>
      <c r="Y54" s="3344"/>
      <c r="Z54" s="3344"/>
      <c r="AA54" s="3344"/>
      <c r="AB54" s="3366">
        <f>+AB47+AB50</f>
        <v>2119615270.2</v>
      </c>
      <c r="AC54" s="3366"/>
      <c r="AD54" s="3366"/>
      <c r="AE54" s="3366"/>
      <c r="AF54" s="3366"/>
      <c r="AG54" s="3366"/>
      <c r="AH54" s="3366"/>
      <c r="AI54" s="3344"/>
      <c r="AJ54" s="3366">
        <f>+AJ47+AJ50</f>
        <v>1205578095.27479</v>
      </c>
      <c r="AK54" s="3366"/>
      <c r="AL54" s="3366"/>
      <c r="AM54" s="3366"/>
      <c r="AN54" s="3366"/>
      <c r="AO54" s="3366"/>
      <c r="AP54" s="3366"/>
      <c r="AQ54" s="3377">
        <f>+AQ47+AQ50</f>
        <v>1233508998.39333</v>
      </c>
      <c r="AR54" s="2623"/>
      <c r="AS54" s="2623"/>
      <c r="AT54" s="2623"/>
      <c r="AU54" s="2623"/>
      <c r="AV54" s="2623"/>
      <c r="AW54" s="1293"/>
    </row>
    <row r="55" s="3325" customFormat="1" ht="11.45" customHeight="1" spans="1:49">
      <c r="A55" s="3340"/>
      <c r="B55" s="64"/>
      <c r="C55" t="s">
        <v>1771</v>
      </c>
      <c r="D55" s="3339"/>
      <c r="E55" s="3339"/>
      <c r="F55" s="3339"/>
      <c r="G55" s="3339"/>
      <c r="H55" s="3339"/>
      <c r="I55" s="3339"/>
      <c r="J55" s="3339"/>
      <c r="K55" s="3339"/>
      <c r="L55" s="3339"/>
      <c r="M55" s="3339"/>
      <c r="N55" s="3339"/>
      <c r="O55" s="3339"/>
      <c r="P55" s="3339"/>
      <c r="Q55" s="3339"/>
      <c r="R55" s="3339"/>
      <c r="S55" s="3339"/>
      <c r="T55" s="3339"/>
      <c r="U55" s="3339"/>
      <c r="V55" s="3339"/>
      <c r="W55" s="3339"/>
      <c r="X55" s="3339"/>
      <c r="Y55" s="3339"/>
      <c r="Z55" s="3339"/>
      <c r="AA55" s="3339"/>
      <c r="AB55" s="3365">
        <v>0</v>
      </c>
      <c r="AC55" s="3365"/>
      <c r="AD55" s="3365"/>
      <c r="AE55" s="3365"/>
      <c r="AF55" s="3365"/>
      <c r="AG55" s="3365"/>
      <c r="AH55" s="3365"/>
      <c r="AI55" s="3339"/>
      <c r="AJ55" s="3365">
        <v>0</v>
      </c>
      <c r="AK55" s="3365"/>
      <c r="AL55" s="3365"/>
      <c r="AM55" s="3365"/>
      <c r="AN55" s="3365"/>
      <c r="AO55" s="3365"/>
      <c r="AP55" s="3365"/>
      <c r="AQ55" s="2623">
        <v>0</v>
      </c>
      <c r="AR55" s="1293"/>
      <c r="AS55" s="1293"/>
      <c r="AT55" s="1293"/>
      <c r="AU55" s="1293"/>
      <c r="AV55" s="1293"/>
      <c r="AW55" s="1293"/>
    </row>
    <row r="56" s="3325" customFormat="1" ht="4.5" customHeight="1" spans="1:49">
      <c r="A56" s="3340"/>
      <c r="B56" s="64"/>
      <c r="C56"/>
      <c r="D56" s="3339"/>
      <c r="E56" s="3339"/>
      <c r="F56" s="3339"/>
      <c r="G56" s="3339"/>
      <c r="H56" s="3339"/>
      <c r="I56" s="3339"/>
      <c r="J56" s="3339"/>
      <c r="K56" s="3339"/>
      <c r="L56" s="3339"/>
      <c r="M56" s="3339"/>
      <c r="N56" s="3339"/>
      <c r="O56" s="3339"/>
      <c r="P56" s="3339"/>
      <c r="Q56" s="3339"/>
      <c r="R56" s="3339"/>
      <c r="S56" s="3339"/>
      <c r="T56" s="3339"/>
      <c r="U56" s="3339"/>
      <c r="V56" s="3339"/>
      <c r="W56" s="3339"/>
      <c r="X56" s="3339"/>
      <c r="Y56" s="3339"/>
      <c r="Z56" s="3339"/>
      <c r="AA56" s="3339"/>
      <c r="AB56" s="3365"/>
      <c r="AC56" s="3365"/>
      <c r="AD56" s="3365"/>
      <c r="AE56" s="3365"/>
      <c r="AF56" s="3365"/>
      <c r="AG56" s="3365"/>
      <c r="AH56" s="3365"/>
      <c r="AI56" s="3339"/>
      <c r="AJ56" s="3365"/>
      <c r="AK56" s="3365"/>
      <c r="AL56" s="3365"/>
      <c r="AM56" s="3365"/>
      <c r="AN56" s="3365"/>
      <c r="AO56" s="3365"/>
      <c r="AP56" s="3365"/>
      <c r="AQ56" s="2623"/>
      <c r="AR56" s="1293"/>
      <c r="AS56" s="1293"/>
      <c r="AT56" s="1293"/>
      <c r="AU56" s="1293"/>
      <c r="AV56" s="1293"/>
      <c r="AW56" s="1293"/>
    </row>
    <row r="57" s="3327" customFormat="1" ht="12.75" spans="1:49">
      <c r="A57" s="3340"/>
      <c r="B57" s="94"/>
      <c r="C57" s="94" t="s">
        <v>1772</v>
      </c>
      <c r="D57" s="3344"/>
      <c r="E57" s="3344"/>
      <c r="F57" s="3344"/>
      <c r="G57" s="3344"/>
      <c r="H57" s="3344"/>
      <c r="I57" s="3344"/>
      <c r="J57" s="3344"/>
      <c r="K57" s="3344"/>
      <c r="L57" s="3344"/>
      <c r="M57" s="3344"/>
      <c r="N57" s="3344"/>
      <c r="O57" s="3344"/>
      <c r="P57" s="3344"/>
      <c r="Q57" s="3344"/>
      <c r="R57" s="3344"/>
      <c r="S57" s="3344"/>
      <c r="T57" s="3344"/>
      <c r="U57" s="3344"/>
      <c r="V57" s="3344"/>
      <c r="W57" s="3344"/>
      <c r="X57" s="3344"/>
      <c r="Y57" s="3344"/>
      <c r="Z57" s="3344"/>
      <c r="AA57" s="3344"/>
      <c r="AB57" s="3367">
        <f>SUM(AB54:AH55)</f>
        <v>2119615270.2</v>
      </c>
      <c r="AC57" s="3367"/>
      <c r="AD57" s="3367"/>
      <c r="AE57" s="3367"/>
      <c r="AF57" s="3367"/>
      <c r="AG57" s="3367"/>
      <c r="AH57" s="3367"/>
      <c r="AI57" s="3344"/>
      <c r="AJ57" s="3367">
        <f>SUM(AJ54:AP55)</f>
        <v>1205578095.27479</v>
      </c>
      <c r="AK57" s="3367"/>
      <c r="AL57" s="3367"/>
      <c r="AM57" s="3367"/>
      <c r="AN57" s="3367"/>
      <c r="AO57" s="3367"/>
      <c r="AP57" s="3367"/>
      <c r="AQ57" s="3378">
        <f>SUM(AQ54:AQ55)</f>
        <v>1233508998.39333</v>
      </c>
      <c r="AR57" s="2433"/>
      <c r="AS57" s="2433"/>
      <c r="AT57" s="2433"/>
      <c r="AU57" s="2433"/>
      <c r="AV57" s="2433"/>
      <c r="AW57" s="2433"/>
    </row>
    <row r="58" s="3325" customFormat="1" ht="17.1" customHeight="1" spans="1:44">
      <c r="A58" s="3340"/>
      <c r="B58" s="64"/>
      <c r="C58" s="3339"/>
      <c r="D58" s="3339"/>
      <c r="E58" s="3339"/>
      <c r="F58" s="3339"/>
      <c r="G58" s="3339"/>
      <c r="H58" s="3339"/>
      <c r="I58" s="3339"/>
      <c r="J58" s="3339"/>
      <c r="K58" s="3339"/>
      <c r="L58" s="3339"/>
      <c r="M58" s="3339"/>
      <c r="N58" s="3339"/>
      <c r="O58" s="3339"/>
      <c r="P58" s="3339"/>
      <c r="Q58" s="3339"/>
      <c r="R58" s="3339"/>
      <c r="S58" s="3339"/>
      <c r="T58" s="3339"/>
      <c r="U58" s="3339"/>
      <c r="V58" s="3339"/>
      <c r="W58" s="3339"/>
      <c r="X58" s="3339"/>
      <c r="Y58" s="3339"/>
      <c r="Z58" s="3339"/>
      <c r="AA58" s="3339"/>
      <c r="AB58" s="3339"/>
      <c r="AC58" s="3339"/>
      <c r="AD58" s="3339"/>
      <c r="AE58" s="3339"/>
      <c r="AF58" s="3339"/>
      <c r="AG58" s="3339"/>
      <c r="AH58" s="3339"/>
      <c r="AI58" s="3339"/>
      <c r="AJ58" s="3339"/>
      <c r="AK58" s="3339"/>
      <c r="AL58" s="3339"/>
      <c r="AM58" s="3339"/>
      <c r="AN58" s="3339"/>
      <c r="AO58" s="3339"/>
      <c r="AP58" s="3339"/>
      <c r="AQ58" s="3326"/>
      <c r="AR58" s="3379"/>
    </row>
    <row r="59" s="3325" customFormat="1" spans="1:44">
      <c r="A59" s="3340"/>
      <c r="B59" s="64"/>
      <c r="C59" s="5036" t="s">
        <v>2082</v>
      </c>
      <c r="D59" s="3339"/>
      <c r="E59" s="3339"/>
      <c r="F59" s="3339"/>
      <c r="G59" s="3339"/>
      <c r="H59" s="3339"/>
      <c r="I59" s="3339"/>
      <c r="J59" s="3339"/>
      <c r="K59" s="3339"/>
      <c r="L59" s="3339"/>
      <c r="M59" s="3339"/>
      <c r="N59" s="3339"/>
      <c r="O59" s="3339"/>
      <c r="P59" s="3339"/>
      <c r="Q59" s="3339"/>
      <c r="R59" s="3339"/>
      <c r="S59" s="3339"/>
      <c r="T59" s="3339"/>
      <c r="U59" s="3339"/>
      <c r="V59" s="3339"/>
      <c r="W59" s="3339"/>
      <c r="X59" s="3339"/>
      <c r="Y59" s="3339"/>
      <c r="Z59" s="3339"/>
      <c r="AA59" s="3339"/>
      <c r="AB59" s="3339"/>
      <c r="AC59" s="3339"/>
      <c r="AD59" s="3339"/>
      <c r="AE59" s="3339"/>
      <c r="AF59" s="3339"/>
      <c r="AG59" s="3339"/>
      <c r="AH59" s="3339"/>
      <c r="AI59" s="3339"/>
      <c r="AJ59" s="3339"/>
      <c r="AK59" s="3339"/>
      <c r="AL59" s="3339"/>
      <c r="AM59" s="3339"/>
      <c r="AN59" s="3339"/>
      <c r="AO59" s="3339"/>
      <c r="AP59" s="3339"/>
      <c r="AQ59" s="3326"/>
      <c r="AR59" s="3379"/>
    </row>
    <row r="60" s="3325" customFormat="1" spans="1:44">
      <c r="A60" s="3340"/>
      <c r="B60" s="64"/>
      <c r="C60" s="3339"/>
      <c r="D60" s="3339"/>
      <c r="E60" s="3339"/>
      <c r="F60" s="3339"/>
      <c r="G60" s="3339"/>
      <c r="H60" s="3339"/>
      <c r="I60" s="3339"/>
      <c r="J60" s="3339"/>
      <c r="K60" s="3339"/>
      <c r="L60" s="3339"/>
      <c r="M60" s="3339"/>
      <c r="N60" s="3339"/>
      <c r="O60" s="3339"/>
      <c r="P60" s="3339"/>
      <c r="Q60" s="3339"/>
      <c r="R60" s="3339"/>
      <c r="S60" s="3339"/>
      <c r="T60" s="3339"/>
      <c r="U60" s="3339"/>
      <c r="V60" s="3339"/>
      <c r="W60" s="3339"/>
      <c r="X60" s="3339"/>
      <c r="Y60" s="3339"/>
      <c r="Z60" s="3339"/>
      <c r="AA60" s="3339"/>
      <c r="AB60" s="3339"/>
      <c r="AC60" s="3339"/>
      <c r="AD60" s="3339"/>
      <c r="AE60" s="3339"/>
      <c r="AF60" s="3339"/>
      <c r="AG60" s="3339"/>
      <c r="AH60" s="3339"/>
      <c r="AI60" s="3339"/>
      <c r="AJ60" s="3339"/>
      <c r="AK60" s="3339"/>
      <c r="AL60" s="3339"/>
      <c r="AM60" s="3339"/>
      <c r="AN60" s="3339"/>
      <c r="AO60" s="3339"/>
      <c r="AP60" s="3339"/>
      <c r="AQ60" s="3326"/>
      <c r="AR60" s="3379"/>
    </row>
    <row r="61" s="3325" customFormat="1" ht="12.95" customHeight="1" spans="1:49">
      <c r="A61" s="3340"/>
      <c r="B61" s="64"/>
      <c r="C61" s="2671" t="s">
        <v>1774</v>
      </c>
      <c r="D61" s="2671"/>
      <c r="E61" s="2671"/>
      <c r="F61" s="2671"/>
      <c r="G61" s="2671"/>
      <c r="H61" s="2671"/>
      <c r="I61" s="2671"/>
      <c r="J61" s="2671"/>
      <c r="K61" s="3339"/>
      <c r="L61" s="3339"/>
      <c r="M61" s="3339"/>
      <c r="N61" s="3339"/>
      <c r="O61" s="3339"/>
      <c r="P61" s="3339"/>
      <c r="Q61" s="3339"/>
      <c r="R61" s="3339"/>
      <c r="S61" s="3339"/>
      <c r="T61" s="3339"/>
      <c r="U61" s="3339"/>
      <c r="V61" s="3339"/>
      <c r="W61" s="3339"/>
      <c r="X61" s="3339"/>
      <c r="Y61" s="3339"/>
      <c r="Z61" s="3339"/>
      <c r="AA61" s="3339"/>
      <c r="AB61" s="5081" t="str">
        <f>+AB7</f>
        <v>2022</v>
      </c>
      <c r="AC61" s="3355"/>
      <c r="AD61" s="3355"/>
      <c r="AE61" s="3355"/>
      <c r="AF61" s="3355"/>
      <c r="AG61" s="3355"/>
      <c r="AH61" s="3355"/>
      <c r="AI61" s="64"/>
      <c r="AJ61" s="5081" t="str">
        <f>+AJ7</f>
        <v>2021</v>
      </c>
      <c r="AK61" s="3355"/>
      <c r="AL61" s="3355"/>
      <c r="AM61" s="3355"/>
      <c r="AN61" s="3355"/>
      <c r="AO61" s="3355"/>
      <c r="AP61" s="3355"/>
      <c r="AQ61" s="5081" t="str">
        <f>+AQ7</f>
        <v>2020</v>
      </c>
      <c r="AR61" s="3380"/>
      <c r="AS61" s="3380"/>
      <c r="AT61" s="3380"/>
      <c r="AU61" s="3380"/>
      <c r="AV61" s="3380"/>
      <c r="AW61" s="3380"/>
    </row>
    <row r="62" s="3325" customFormat="1" ht="11.4" spans="1:49">
      <c r="A62" s="64"/>
      <c r="B62" s="64"/>
      <c r="C62" t="s">
        <v>1775</v>
      </c>
      <c r="D62"/>
      <c r="E62"/>
      <c r="F62"/>
      <c r="G62"/>
      <c r="H62"/>
      <c r="I62"/>
      <c r="J62"/>
      <c r="K62" s="3339"/>
      <c r="L62" s="3339"/>
      <c r="M62" s="3339"/>
      <c r="N62" s="3339"/>
      <c r="O62" s="3339"/>
      <c r="P62" s="3339"/>
      <c r="Q62" s="3339"/>
      <c r="R62" s="3339"/>
      <c r="S62" s="3339"/>
      <c r="T62" s="3339"/>
      <c r="U62" s="3339"/>
      <c r="V62" s="3339"/>
      <c r="W62" s="3339"/>
      <c r="X62" s="3339"/>
      <c r="Y62" s="3339"/>
      <c r="Z62" s="3339"/>
      <c r="AA62" s="3339"/>
      <c r="AB62" s="3363">
        <f>+$AB$57*AR62+0.65</f>
        <v>637588290.580598</v>
      </c>
      <c r="AC62" s="3363"/>
      <c r="AD62" s="3363"/>
      <c r="AE62" s="3363"/>
      <c r="AF62" s="3363"/>
      <c r="AG62" s="3363"/>
      <c r="AH62" s="3363"/>
      <c r="AI62" s="3326"/>
      <c r="AJ62" s="3363">
        <v>362642450.70829</v>
      </c>
      <c r="AK62" s="3363"/>
      <c r="AL62" s="3363"/>
      <c r="AM62" s="3363"/>
      <c r="AN62" s="3363"/>
      <c r="AO62" s="3363"/>
      <c r="AP62" s="3363"/>
      <c r="AQ62" s="2623">
        <v>333047429.5662</v>
      </c>
      <c r="AR62" s="2099">
        <f>+AJ62/$AJ$67</f>
        <v>0.300803782127139</v>
      </c>
      <c r="AS62" s="1293"/>
      <c r="AT62" s="1293"/>
      <c r="AU62" s="1293"/>
      <c r="AV62" s="1293"/>
      <c r="AW62" s="1293"/>
    </row>
    <row r="63" s="3325" customFormat="1" customHeight="1" spans="1:49">
      <c r="A63" s="64"/>
      <c r="B63" s="64"/>
      <c r="C63" t="s">
        <v>1776</v>
      </c>
      <c r="D63" s="3339"/>
      <c r="E63" s="3339"/>
      <c r="F63" s="3339"/>
      <c r="G63" s="3339"/>
      <c r="H63" s="3339"/>
      <c r="I63" s="3339"/>
      <c r="J63" s="3339"/>
      <c r="K63" s="3339"/>
      <c r="L63" s="3339"/>
      <c r="M63" s="3339"/>
      <c r="N63" s="3339"/>
      <c r="O63" s="3339"/>
      <c r="P63" s="3339"/>
      <c r="Q63" s="3339"/>
      <c r="R63" s="3339"/>
      <c r="S63" s="3339"/>
      <c r="T63" s="3339"/>
      <c r="U63" s="3339"/>
      <c r="V63" s="3339"/>
      <c r="W63" s="3339"/>
      <c r="X63" s="3339"/>
      <c r="Y63" s="3339"/>
      <c r="Z63" s="3339"/>
      <c r="AA63" s="3339"/>
      <c r="AB63" s="3363">
        <f>+$AB$57*AR63+0.65</f>
        <v>299338020.791491</v>
      </c>
      <c r="AC63" s="3363"/>
      <c r="AD63" s="3363"/>
      <c r="AE63" s="3363"/>
      <c r="AF63" s="3363"/>
      <c r="AG63" s="3363"/>
      <c r="AH63" s="3363"/>
      <c r="AI63"/>
      <c r="AJ63" s="3363">
        <v>170255123.766614</v>
      </c>
      <c r="AK63" s="3363"/>
      <c r="AL63" s="3363"/>
      <c r="AM63" s="3363"/>
      <c r="AN63" s="3363"/>
      <c r="AO63" s="3363"/>
      <c r="AP63" s="3363"/>
      <c r="AQ63" s="2623">
        <v>160356169.791133</v>
      </c>
      <c r="AR63" s="2099">
        <f t="shared" ref="AR63:AR66" si="0">+AJ63/$AJ$67</f>
        <v>0.14122280790761</v>
      </c>
      <c r="AS63" s="1293"/>
      <c r="AT63" s="1293"/>
      <c r="AU63" s="1293"/>
      <c r="AV63" s="1293"/>
      <c r="AW63" s="1293"/>
    </row>
    <row r="64" s="3325" customFormat="1" customHeight="1" spans="1:49">
      <c r="A64" s="64"/>
      <c r="B64" s="64"/>
      <c r="C64" t="s">
        <v>1777</v>
      </c>
      <c r="D64" s="3339"/>
      <c r="E64" s="3339"/>
      <c r="F64" s="3339"/>
      <c r="G64" s="3339"/>
      <c r="H64" s="3339"/>
      <c r="I64" s="3339"/>
      <c r="J64" s="3339"/>
      <c r="K64" s="3339"/>
      <c r="L64" s="3339"/>
      <c r="M64" s="3339"/>
      <c r="N64" s="3339"/>
      <c r="O64" s="3339"/>
      <c r="P64" s="3339"/>
      <c r="Q64" s="3339"/>
      <c r="R64" s="3339"/>
      <c r="S64" s="3339"/>
      <c r="T64" s="3339"/>
      <c r="U64" s="3339"/>
      <c r="V64" s="3339"/>
      <c r="W64" s="3339"/>
      <c r="X64" s="3339"/>
      <c r="Y64" s="3339"/>
      <c r="Z64" s="3339"/>
      <c r="AA64" s="3339"/>
      <c r="AB64" s="3363">
        <f>+$AB$57*AR64+0.65</f>
        <v>416269328.886604</v>
      </c>
      <c r="AC64" s="3363"/>
      <c r="AD64" s="3363"/>
      <c r="AE64" s="3363"/>
      <c r="AF64" s="3363"/>
      <c r="AG64" s="3363"/>
      <c r="AH64" s="3363"/>
      <c r="AI64"/>
      <c r="AJ64" s="3363">
        <v>236762393.115543</v>
      </c>
      <c r="AK64" s="3363"/>
      <c r="AL64" s="3363"/>
      <c r="AM64" s="3363"/>
      <c r="AN64" s="3363"/>
      <c r="AO64" s="3363"/>
      <c r="AP64" s="3363"/>
      <c r="AQ64" s="2623">
        <v>271371979.646533</v>
      </c>
      <c r="AR64" s="2099">
        <f t="shared" si="0"/>
        <v>0.196389096686082</v>
      </c>
      <c r="AS64" s="1293"/>
      <c r="AT64" s="1293"/>
      <c r="AU64" s="1293"/>
      <c r="AV64" s="1293"/>
      <c r="AW64" s="1293"/>
    </row>
    <row r="65" s="3325" customFormat="1" ht="11.4" spans="1:49">
      <c r="A65" s="64"/>
      <c r="B65" s="64"/>
      <c r="C65" t="s">
        <v>1778</v>
      </c>
      <c r="D65" s="3339"/>
      <c r="E65" s="3339"/>
      <c r="F65" s="3339"/>
      <c r="G65" s="3339"/>
      <c r="H65" s="3339"/>
      <c r="I65" s="3339"/>
      <c r="J65" s="3339"/>
      <c r="K65" s="3339"/>
      <c r="L65" s="3339"/>
      <c r="M65" s="3339"/>
      <c r="N65" s="3339"/>
      <c r="O65" s="3339"/>
      <c r="P65" s="3339"/>
      <c r="Q65" s="3339"/>
      <c r="R65" s="3339"/>
      <c r="S65" s="3339"/>
      <c r="T65" s="3339"/>
      <c r="U65" s="3339"/>
      <c r="V65" s="3339"/>
      <c r="W65" s="3339"/>
      <c r="X65" s="3339"/>
      <c r="Y65" s="3339"/>
      <c r="Z65" s="3339"/>
      <c r="AA65" s="3339"/>
      <c r="AB65" s="3363">
        <f>+$AB$57*AR65+0.65</f>
        <v>291533826.88667</v>
      </c>
      <c r="AC65" s="3363"/>
      <c r="AD65" s="3363"/>
      <c r="AE65" s="3363"/>
      <c r="AF65" s="3363"/>
      <c r="AG65" s="3363"/>
      <c r="AH65" s="3363"/>
      <c r="AI65"/>
      <c r="AJ65" s="3363">
        <v>165816315.764423</v>
      </c>
      <c r="AK65" s="3363"/>
      <c r="AL65" s="3363"/>
      <c r="AM65" s="3363"/>
      <c r="AN65" s="3363"/>
      <c r="AO65" s="3363"/>
      <c r="AP65" s="3363"/>
      <c r="AQ65" s="2623">
        <v>209696529.726866</v>
      </c>
      <c r="AR65" s="2099">
        <f t="shared" si="0"/>
        <v>0.137540916191438</v>
      </c>
      <c r="AS65" s="1293"/>
      <c r="AT65" s="1293"/>
      <c r="AU65" s="1293"/>
      <c r="AV65" s="1293"/>
      <c r="AW65" s="1293"/>
    </row>
    <row r="66" s="3325" customFormat="1" ht="11.4" spans="1:49">
      <c r="A66" s="64"/>
      <c r="B66" s="64"/>
      <c r="C66" t="s">
        <v>1779</v>
      </c>
      <c r="D66" s="3339"/>
      <c r="E66" s="3339"/>
      <c r="F66" s="3339"/>
      <c r="G66" s="3339"/>
      <c r="H66" s="3339"/>
      <c r="I66" s="3339"/>
      <c r="J66" s="3339"/>
      <c r="K66" s="3339"/>
      <c r="L66" s="3339"/>
      <c r="M66" s="3339"/>
      <c r="N66" s="3339"/>
      <c r="O66" s="3339"/>
      <c r="P66" s="3339"/>
      <c r="Q66" s="3339"/>
      <c r="R66" s="3339"/>
      <c r="S66" s="3339"/>
      <c r="T66" s="3339"/>
      <c r="U66" s="3339"/>
      <c r="V66" s="3339"/>
      <c r="W66" s="3339"/>
      <c r="X66" s="3339"/>
      <c r="Y66" s="3339"/>
      <c r="Z66" s="3339"/>
      <c r="AA66" s="3339"/>
      <c r="AB66" s="3363">
        <f>+$AB$57*AR66+0.65</f>
        <v>474885806.304637</v>
      </c>
      <c r="AC66" s="3363"/>
      <c r="AD66" s="3363"/>
      <c r="AE66" s="3363"/>
      <c r="AF66" s="3363"/>
      <c r="AG66" s="3363"/>
      <c r="AH66" s="3363"/>
      <c r="AI66"/>
      <c r="AJ66" s="3363">
        <v>270101811.919921</v>
      </c>
      <c r="AK66" s="3363"/>
      <c r="AL66" s="3363"/>
      <c r="AM66" s="3363"/>
      <c r="AN66" s="3363"/>
      <c r="AO66" s="3363"/>
      <c r="AP66" s="3363"/>
      <c r="AQ66" s="2623">
        <v>259036889.6626</v>
      </c>
      <c r="AR66" s="2099">
        <f t="shared" si="0"/>
        <v>0.224043397087731</v>
      </c>
      <c r="AS66" s="1293"/>
      <c r="AT66" s="1293"/>
      <c r="AU66" s="1293"/>
      <c r="AV66" s="1293"/>
      <c r="AW66" s="1293"/>
    </row>
    <row r="67" s="3325" customFormat="1" ht="11.4" spans="1:49">
      <c r="A67" s="3326"/>
      <c r="B67" s="3326"/>
      <c r="C67" s="3382" t="s">
        <v>1770</v>
      </c>
      <c r="D67" s="3326"/>
      <c r="E67" s="3326"/>
      <c r="F67" s="3326"/>
      <c r="G67" s="3326"/>
      <c r="H67" s="3326"/>
      <c r="I67" s="3326"/>
      <c r="J67" s="3326"/>
      <c r="K67" s="3326"/>
      <c r="L67" s="3326"/>
      <c r="M67" s="3326"/>
      <c r="N67" s="3326"/>
      <c r="O67" s="3326"/>
      <c r="P67" s="3326"/>
      <c r="Q67" s="3326"/>
      <c r="R67" s="3326"/>
      <c r="S67" s="3326"/>
      <c r="T67" s="3326"/>
      <c r="U67" s="3326"/>
      <c r="V67" s="3326"/>
      <c r="W67" s="3326"/>
      <c r="X67" s="3326"/>
      <c r="Y67" s="3326"/>
      <c r="Z67" s="3326"/>
      <c r="AA67" s="3326"/>
      <c r="AB67" s="3364">
        <f>SUM(AB62:AH66)</f>
        <v>2119615273.45</v>
      </c>
      <c r="AC67" s="3364"/>
      <c r="AD67" s="3364"/>
      <c r="AE67" s="3364"/>
      <c r="AF67" s="3364"/>
      <c r="AG67" s="3364"/>
      <c r="AH67" s="3364"/>
      <c r="AI67"/>
      <c r="AJ67" s="3364">
        <f>SUM(AJ62:AP66)</f>
        <v>1205578095.27479</v>
      </c>
      <c r="AK67" s="3364"/>
      <c r="AL67" s="3364"/>
      <c r="AM67" s="3364"/>
      <c r="AN67" s="3364"/>
      <c r="AO67" s="3364"/>
      <c r="AP67" s="3364"/>
      <c r="AQ67" s="3374">
        <f>SUM(AQ62:AQ66)</f>
        <v>1233508998.39333</v>
      </c>
      <c r="AR67" s="1293"/>
      <c r="AS67" s="1293"/>
      <c r="AT67" s="1293"/>
      <c r="AU67" s="1293"/>
      <c r="AV67" s="1293"/>
      <c r="AW67" s="1293"/>
    </row>
    <row r="68" s="3325" customFormat="1" ht="11.4" spans="1:49">
      <c r="A68" s="3326"/>
      <c r="B68" s="3326"/>
      <c r="C68" s="3382" t="s">
        <v>1780</v>
      </c>
      <c r="D68" s="3326"/>
      <c r="E68" s="3326"/>
      <c r="F68" s="3326"/>
      <c r="G68" s="3326"/>
      <c r="H68" s="3326"/>
      <c r="I68" s="3326"/>
      <c r="J68" s="3326"/>
      <c r="K68" s="3326"/>
      <c r="L68" s="3326"/>
      <c r="M68" s="3326"/>
      <c r="N68" s="3326"/>
      <c r="O68" s="3326"/>
      <c r="P68" s="3326"/>
      <c r="Q68" s="3326"/>
      <c r="R68" s="3326"/>
      <c r="S68" s="3326"/>
      <c r="T68" s="3326"/>
      <c r="U68" s="3326"/>
      <c r="V68" s="3326"/>
      <c r="W68" s="3326"/>
      <c r="X68" s="3326"/>
      <c r="Y68" s="3326"/>
      <c r="Z68" s="3326"/>
      <c r="AA68" s="3326"/>
      <c r="AB68" s="3363">
        <f>+B!I53</f>
        <v>0</v>
      </c>
      <c r="AC68" s="3363"/>
      <c r="AD68" s="3363"/>
      <c r="AE68" s="3363"/>
      <c r="AF68" s="3363"/>
      <c r="AG68" s="3363"/>
      <c r="AH68" s="3363"/>
      <c r="AI68"/>
      <c r="AJ68" s="3363">
        <f>+B!Q53</f>
        <v>0</v>
      </c>
      <c r="AK68" s="3363"/>
      <c r="AL68" s="3363"/>
      <c r="AM68" s="3363"/>
      <c r="AN68" s="3363"/>
      <c r="AO68" s="3363"/>
      <c r="AP68" s="3363"/>
      <c r="AQ68" s="2623">
        <f>+B!R53</f>
        <v>0</v>
      </c>
      <c r="AR68" s="1293"/>
      <c r="AS68" s="1293"/>
      <c r="AT68" s="1293"/>
      <c r="AU68" s="1293"/>
      <c r="AV68" s="1293"/>
      <c r="AW68" s="1293"/>
    </row>
    <row r="69" s="3325" customFormat="1" ht="6" customHeight="1" spans="1:49">
      <c r="A69" s="3326"/>
      <c r="B69" s="3326"/>
      <c r="C69" s="3382"/>
      <c r="D69" s="3326"/>
      <c r="E69" s="3326"/>
      <c r="F69" s="3326"/>
      <c r="G69" s="3326"/>
      <c r="H69" s="3326"/>
      <c r="I69" s="3326"/>
      <c r="J69" s="3326"/>
      <c r="K69" s="3326"/>
      <c r="L69" s="3326"/>
      <c r="M69" s="3326"/>
      <c r="N69" s="3326"/>
      <c r="O69" s="3326"/>
      <c r="P69" s="3326"/>
      <c r="Q69" s="3326"/>
      <c r="R69" s="3326"/>
      <c r="S69" s="3326"/>
      <c r="T69" s="3326"/>
      <c r="U69" s="3326"/>
      <c r="V69" s="3326"/>
      <c r="W69" s="3326"/>
      <c r="X69" s="3326"/>
      <c r="Y69" s="3326"/>
      <c r="Z69" s="3326"/>
      <c r="AA69" s="3326"/>
      <c r="AB69" s="3363"/>
      <c r="AC69" s="3363"/>
      <c r="AD69" s="3363"/>
      <c r="AE69" s="3363"/>
      <c r="AF69" s="3363"/>
      <c r="AG69" s="3363"/>
      <c r="AH69" s="3363"/>
      <c r="AI69"/>
      <c r="AJ69" s="3363"/>
      <c r="AK69" s="3363"/>
      <c r="AL69" s="3363"/>
      <c r="AM69" s="3363"/>
      <c r="AN69" s="3363"/>
      <c r="AO69" s="3363"/>
      <c r="AP69" s="3363"/>
      <c r="AQ69" s="2623"/>
      <c r="AR69" s="1293"/>
      <c r="AS69" s="1293"/>
      <c r="AT69" s="1293"/>
      <c r="AU69" s="1293"/>
      <c r="AV69" s="1293"/>
      <c r="AW69" s="1293"/>
    </row>
    <row r="70" s="3325" customFormat="1" customHeight="1" spans="1:49">
      <c r="A70" s="3326"/>
      <c r="B70" s="3326"/>
      <c r="C70" s="1952" t="s">
        <v>1781</v>
      </c>
      <c r="D70" s="3326"/>
      <c r="E70" s="3326"/>
      <c r="F70" s="3326"/>
      <c r="G70" s="3326"/>
      <c r="H70" s="3326"/>
      <c r="I70" s="3326"/>
      <c r="J70" s="3326"/>
      <c r="K70" s="3326"/>
      <c r="L70" s="3391"/>
      <c r="M70" s="3326"/>
      <c r="N70" s="3326"/>
      <c r="O70" s="3326"/>
      <c r="P70" s="3326"/>
      <c r="Q70" s="3326"/>
      <c r="R70" s="3326"/>
      <c r="S70" s="3326"/>
      <c r="T70" s="3326"/>
      <c r="U70" s="3326"/>
      <c r="V70" s="3326"/>
      <c r="W70" s="3326"/>
      <c r="X70" s="3326"/>
      <c r="Y70" s="3326"/>
      <c r="Z70" s="3326"/>
      <c r="AA70" s="3326"/>
      <c r="AB70" s="3367">
        <f>SUM(AB67:AH68)</f>
        <v>2119615273.45</v>
      </c>
      <c r="AC70" s="3367"/>
      <c r="AD70" s="3367"/>
      <c r="AE70" s="3367"/>
      <c r="AF70" s="3367"/>
      <c r="AG70" s="3367"/>
      <c r="AH70" s="3367"/>
      <c r="AI70" s="94"/>
      <c r="AJ70" s="3367">
        <f>SUM(AJ67:AP68)</f>
        <v>1205578095.27479</v>
      </c>
      <c r="AK70" s="3367"/>
      <c r="AL70" s="3367"/>
      <c r="AM70" s="3367"/>
      <c r="AN70" s="3367"/>
      <c r="AO70" s="3367"/>
      <c r="AP70" s="3367"/>
      <c r="AQ70" s="3378">
        <f>SUM(AQ67:AW68)</f>
        <v>1233508998.39333</v>
      </c>
      <c r="AR70" s="2433"/>
      <c r="AS70" s="2433"/>
      <c r="AT70" s="2433"/>
      <c r="AU70" s="2433"/>
      <c r="AV70" s="2433"/>
      <c r="AW70" s="2433"/>
    </row>
    <row r="71" s="3325" customFormat="1" ht="12.95" customHeight="1" spans="1:43">
      <c r="A71" s="3326"/>
      <c r="B71" s="3326"/>
      <c r="C71" s="1952"/>
      <c r="D71" s="3326"/>
      <c r="E71" s="3326"/>
      <c r="F71" s="3326"/>
      <c r="G71" s="3326"/>
      <c r="H71" s="3326"/>
      <c r="I71" s="3326"/>
      <c r="J71" s="3326"/>
      <c r="K71" s="3326"/>
      <c r="L71" s="3326"/>
      <c r="M71" s="3326"/>
      <c r="N71" s="3326"/>
      <c r="O71" s="3326"/>
      <c r="P71" s="3326"/>
      <c r="Q71" s="3326"/>
      <c r="R71" s="3326"/>
      <c r="S71" s="3326"/>
      <c r="T71" s="3326"/>
      <c r="U71" s="3326"/>
      <c r="V71" s="3326"/>
      <c r="W71" s="3326"/>
      <c r="X71" s="3326"/>
      <c r="Y71" s="3326"/>
      <c r="Z71" s="3326"/>
      <c r="AA71" s="3326"/>
      <c r="AB71" s="3363"/>
      <c r="AC71" s="3363"/>
      <c r="AD71" s="3363"/>
      <c r="AE71" s="3363"/>
      <c r="AF71" s="3363"/>
      <c r="AG71" s="3363"/>
      <c r="AH71" s="3363"/>
      <c r="AI71"/>
      <c r="AJ71"/>
      <c r="AK71" s="3326"/>
      <c r="AL71" s="3326"/>
      <c r="AM71" s="3326"/>
      <c r="AN71"/>
      <c r="AO71"/>
      <c r="AP71" s="3326"/>
      <c r="AQ71" s="3326"/>
    </row>
    <row r="72" s="3326" customFormat="1" ht="36" customHeight="1" spans="1:49">
      <c r="A72"/>
      <c r="B72"/>
      <c r="C72" s="5036" t="s">
        <v>2083</v>
      </c>
      <c r="D72" s="3339"/>
      <c r="E72" s="3339"/>
      <c r="F72" s="3339"/>
      <c r="G72" s="3339"/>
      <c r="H72" s="3339"/>
      <c r="I72" s="3339"/>
      <c r="J72" s="3339"/>
      <c r="K72" s="3339"/>
      <c r="L72" s="3339"/>
      <c r="M72" s="3339"/>
      <c r="N72" s="3339"/>
      <c r="O72" s="3339"/>
      <c r="P72" s="3339"/>
      <c r="Q72" s="3339"/>
      <c r="R72" s="3339"/>
      <c r="S72" s="3339"/>
      <c r="T72" s="3339"/>
      <c r="U72" s="3339"/>
      <c r="V72" s="3339"/>
      <c r="W72" s="3339"/>
      <c r="X72" s="3339"/>
      <c r="Y72" s="3339"/>
      <c r="Z72" s="3339"/>
      <c r="AA72" s="3339"/>
      <c r="AB72" s="3339"/>
      <c r="AC72" s="3339"/>
      <c r="AD72" s="3339"/>
      <c r="AE72" s="3339"/>
      <c r="AF72" s="3339"/>
      <c r="AG72" s="3339"/>
      <c r="AH72" s="3339"/>
      <c r="AI72" s="3339"/>
      <c r="AJ72" s="3339"/>
      <c r="AK72" s="3339"/>
      <c r="AL72" s="3339"/>
      <c r="AM72" s="3339"/>
      <c r="AN72" s="3339"/>
      <c r="AO72" s="3339"/>
      <c r="AP72" s="3339"/>
      <c r="AR72" s="3331"/>
      <c r="AW72" s="3325"/>
    </row>
    <row r="73" ht="11.4" hidden="1" spans="28:44">
      <c r="AB73" s="3363"/>
      <c r="AC73" s="3363"/>
      <c r="AD73" s="3363"/>
      <c r="AE73" s="3363"/>
      <c r="AF73" s="3363"/>
      <c r="AG73" s="3363"/>
      <c r="AH73" s="3363"/>
      <c r="AI73"/>
      <c r="AJ73"/>
      <c r="AK73" s="3326"/>
      <c r="AN73"/>
      <c r="AO73"/>
      <c r="AR73" s="3326"/>
    </row>
    <row r="74" s="3328" customFormat="1" hidden="1" customHeight="1" spans="1:49">
      <c r="A74" s="3335">
        <f>A30+1</f>
        <v>5</v>
      </c>
      <c r="B74" s="3315"/>
      <c r="C74" s="3322" t="s">
        <v>1783</v>
      </c>
      <c r="D74" s="3315"/>
      <c r="E74" s="3383"/>
      <c r="F74" s="3384"/>
      <c r="G74"/>
      <c r="H74"/>
      <c r="I74"/>
      <c r="J74"/>
      <c r="K74"/>
      <c r="L74"/>
      <c r="M74"/>
      <c r="N74"/>
      <c r="O74"/>
      <c r="P74"/>
      <c r="Q74"/>
      <c r="R74"/>
      <c r="S74"/>
      <c r="T74" s="3392"/>
      <c r="U74" s="3392"/>
      <c r="V74" s="3392"/>
      <c r="W74" s="3392"/>
      <c r="X74" s="3392"/>
      <c r="Y74" s="3392"/>
      <c r="Z74" s="3392"/>
      <c r="AA74" s="94"/>
      <c r="AB74" s="5081" t="str">
        <f>+AJ61</f>
        <v>2021</v>
      </c>
      <c r="AC74" s="3355"/>
      <c r="AD74" s="3355"/>
      <c r="AE74" s="3355"/>
      <c r="AF74" s="3355"/>
      <c r="AG74" s="3355"/>
      <c r="AH74" s="3355"/>
      <c r="AI74" s="64"/>
      <c r="AJ74" s="5082" t="s">
        <v>1784</v>
      </c>
      <c r="AK74" s="3397"/>
      <c r="AL74" s="3397"/>
      <c r="AM74" s="3397"/>
      <c r="AN74" s="3397"/>
      <c r="AO74" s="3397"/>
      <c r="AP74" s="3397"/>
      <c r="AR74" s="3399"/>
      <c r="AW74" s="3406"/>
    </row>
    <row r="75" s="3328" customFormat="1" ht="9.2" hidden="1" customHeight="1" spans="1:49">
      <c r="A75" s="3335"/>
      <c r="B75" s="3315"/>
      <c r="C75" s="3322"/>
      <c r="D75" s="3315"/>
      <c r="E75" s="3383"/>
      <c r="F75" s="3384"/>
      <c r="G75"/>
      <c r="H75"/>
      <c r="I75"/>
      <c r="J75"/>
      <c r="K75"/>
      <c r="L75"/>
      <c r="M75"/>
      <c r="N75"/>
      <c r="O75"/>
      <c r="P75"/>
      <c r="Q75"/>
      <c r="R75"/>
      <c r="S75"/>
      <c r="T75" s="3392"/>
      <c r="U75" s="3392"/>
      <c r="V75" s="3392"/>
      <c r="W75" s="3392"/>
      <c r="X75" s="3392"/>
      <c r="Y75" s="3392"/>
      <c r="Z75" s="3392"/>
      <c r="AA75" s="94"/>
      <c r="AB75" s="3392"/>
      <c r="AC75" s="3392"/>
      <c r="AD75" s="3392"/>
      <c r="AE75" s="3392"/>
      <c r="AF75" s="3392"/>
      <c r="AG75" s="3392"/>
      <c r="AH75" s="3392"/>
      <c r="AK75" s="3398"/>
      <c r="AR75" s="3399"/>
      <c r="AW75" s="3406"/>
    </row>
    <row r="76" s="3328" customFormat="1" hidden="1" customHeight="1" spans="1:49">
      <c r="A76" s="3335"/>
      <c r="B76" s="3315"/>
      <c r="C76" s="2877" t="s">
        <v>1785</v>
      </c>
      <c r="D76" s="3339"/>
      <c r="E76" s="3339"/>
      <c r="F76" s="3339"/>
      <c r="G76" s="3339"/>
      <c r="H76" s="3339"/>
      <c r="I76" s="3339"/>
      <c r="J76" s="3339"/>
      <c r="K76" s="3339"/>
      <c r="L76" s="3339"/>
      <c r="M76" s="3339"/>
      <c r="N76" s="3339"/>
      <c r="O76" s="3339"/>
      <c r="P76" s="3339"/>
      <c r="Q76" s="3339"/>
      <c r="R76" s="3339"/>
      <c r="S76" s="3339"/>
      <c r="T76" s="3339"/>
      <c r="U76" s="3339"/>
      <c r="V76" s="3339"/>
      <c r="W76" s="3339"/>
      <c r="X76" s="3339"/>
      <c r="Y76" s="3339"/>
      <c r="Z76" s="3339"/>
      <c r="AA76" s="3339"/>
      <c r="AB76" s="3393">
        <f>'C'!K14</f>
        <v>0</v>
      </c>
      <c r="AC76" s="3393"/>
      <c r="AD76" s="3393"/>
      <c r="AE76" s="3393"/>
      <c r="AF76" s="3393"/>
      <c r="AG76" s="3393"/>
      <c r="AH76" s="3393"/>
      <c r="AI76" s="3339"/>
      <c r="AJ76">
        <v>0</v>
      </c>
      <c r="AK76"/>
      <c r="AL76"/>
      <c r="AM76"/>
      <c r="AN76"/>
      <c r="AO76"/>
      <c r="AP76"/>
      <c r="AR76" s="3399"/>
      <c r="AW76" s="3406"/>
    </row>
    <row r="77" s="3328" customFormat="1" hidden="1" customHeight="1" spans="1:49">
      <c r="A77" s="3335"/>
      <c r="B77" s="3315"/>
      <c r="C77" s="2877" t="s">
        <v>1786</v>
      </c>
      <c r="D77" s="3339"/>
      <c r="E77" s="3339"/>
      <c r="F77" s="3339"/>
      <c r="G77" s="3339"/>
      <c r="H77" s="3339"/>
      <c r="I77" s="3339"/>
      <c r="J77" s="3339"/>
      <c r="K77" s="3339"/>
      <c r="L77" s="3339"/>
      <c r="M77" s="3339"/>
      <c r="N77" s="3339"/>
      <c r="O77" s="3339"/>
      <c r="P77" s="3339"/>
      <c r="Q77" s="3339"/>
      <c r="R77" s="3339"/>
      <c r="S77" s="3339"/>
      <c r="T77"/>
      <c r="U77"/>
      <c r="V77"/>
      <c r="W77"/>
      <c r="X77"/>
      <c r="Y77"/>
      <c r="Z77"/>
      <c r="AA77" s="3339"/>
      <c r="AB77" s="3393">
        <f>'C'!K15</f>
        <v>0</v>
      </c>
      <c r="AC77" s="3393"/>
      <c r="AD77" s="3393"/>
      <c r="AE77" s="3393"/>
      <c r="AF77" s="3393"/>
      <c r="AG77" s="3393"/>
      <c r="AH77" s="3393"/>
      <c r="AI77"/>
      <c r="AJ77">
        <v>0</v>
      </c>
      <c r="AK77"/>
      <c r="AL77"/>
      <c r="AM77"/>
      <c r="AN77"/>
      <c r="AO77"/>
      <c r="AP77"/>
      <c r="AR77" s="3399"/>
      <c r="AW77" s="3406"/>
    </row>
    <row r="78" s="3328" customFormat="1" ht="4.5" hidden="1" customHeight="1" spans="1:49">
      <c r="A78" s="3335"/>
      <c r="B78" s="3315"/>
      <c r="C78" s="3322"/>
      <c r="D78" s="3315"/>
      <c r="E78" s="3383"/>
      <c r="F78" s="3384"/>
      <c r="G78"/>
      <c r="H78"/>
      <c r="I78"/>
      <c r="J78"/>
      <c r="K78"/>
      <c r="L78"/>
      <c r="M78"/>
      <c r="N78"/>
      <c r="O78"/>
      <c r="P78"/>
      <c r="Q78"/>
      <c r="R78"/>
      <c r="S78"/>
      <c r="T78" s="3392"/>
      <c r="U78" s="3392"/>
      <c r="V78" s="3392"/>
      <c r="W78" s="3392"/>
      <c r="X78" s="3392"/>
      <c r="Y78" s="3392"/>
      <c r="Z78" s="3392"/>
      <c r="AA78" s="94"/>
      <c r="AB78" s="3392"/>
      <c r="AC78" s="3392"/>
      <c r="AD78" s="3392"/>
      <c r="AE78" s="3392"/>
      <c r="AF78" s="3392"/>
      <c r="AG78" s="3392"/>
      <c r="AH78" s="3392"/>
      <c r="AJ78" s="3328">
        <v>0</v>
      </c>
      <c r="AK78" s="3398"/>
      <c r="AR78" s="3399"/>
      <c r="AW78" s="3406"/>
    </row>
    <row r="79" s="3328" customFormat="1" hidden="1" customHeight="1" spans="1:49">
      <c r="A79" s="3335"/>
      <c r="B79" s="3315"/>
      <c r="C79" s="1952" t="s">
        <v>1787</v>
      </c>
      <c r="D79" s="3315"/>
      <c r="E79" s="3383"/>
      <c r="F79" s="3384"/>
      <c r="G79"/>
      <c r="H79"/>
      <c r="I79"/>
      <c r="J79"/>
      <c r="K79"/>
      <c r="L79"/>
      <c r="M79"/>
      <c r="N79"/>
      <c r="O79"/>
      <c r="P79"/>
      <c r="Q79"/>
      <c r="R79"/>
      <c r="S79"/>
      <c r="T79" s="3392"/>
      <c r="U79" s="3392"/>
      <c r="V79" s="3392"/>
      <c r="W79" s="3392"/>
      <c r="X79" s="3392"/>
      <c r="Y79" s="3392"/>
      <c r="Z79" s="3392"/>
      <c r="AA79" s="94"/>
      <c r="AB79" s="3324">
        <f>SUM(AB76:AH78)</f>
        <v>0</v>
      </c>
      <c r="AC79" s="3324"/>
      <c r="AD79" s="3324"/>
      <c r="AE79" s="3324"/>
      <c r="AF79" s="3324"/>
      <c r="AG79" s="3324"/>
      <c r="AH79" s="3324"/>
      <c r="AI79" s="94"/>
      <c r="AJ79" s="3324">
        <f>SUM(AJ76:AP78)</f>
        <v>0</v>
      </c>
      <c r="AK79" s="3324"/>
      <c r="AL79" s="3324"/>
      <c r="AM79" s="3324"/>
      <c r="AN79" s="3324"/>
      <c r="AO79" s="3324"/>
      <c r="AP79" s="3324"/>
      <c r="AR79" s="3399"/>
      <c r="AW79" s="3406"/>
    </row>
    <row r="80" s="3328" customFormat="1" ht="9.2" hidden="1" customHeight="1" spans="1:49">
      <c r="A80" s="3335"/>
      <c r="B80" s="3315"/>
      <c r="C80" s="1952"/>
      <c r="D80" s="3315"/>
      <c r="E80" s="3383"/>
      <c r="F80" s="3384"/>
      <c r="G80"/>
      <c r="H80"/>
      <c r="I80"/>
      <c r="J80"/>
      <c r="K80"/>
      <c r="L80"/>
      <c r="M80"/>
      <c r="N80"/>
      <c r="O80"/>
      <c r="P80"/>
      <c r="Q80"/>
      <c r="R80"/>
      <c r="S80"/>
      <c r="T80" s="3392"/>
      <c r="U80" s="3392"/>
      <c r="V80" s="3392"/>
      <c r="W80" s="3392"/>
      <c r="X80" s="3392"/>
      <c r="Y80" s="3392"/>
      <c r="Z80" s="3392"/>
      <c r="AA80" s="94"/>
      <c r="AB80"/>
      <c r="AC80"/>
      <c r="AD80"/>
      <c r="AE80"/>
      <c r="AF80"/>
      <c r="AG80"/>
      <c r="AH80"/>
      <c r="AI80"/>
      <c r="AJ80"/>
      <c r="AK80"/>
      <c r="AL80"/>
      <c r="AM80"/>
      <c r="AN80"/>
      <c r="AO80"/>
      <c r="AP80"/>
      <c r="AR80" s="3399"/>
      <c r="AW80" s="3406"/>
    </row>
    <row r="81" s="3328" customFormat="1" hidden="1" spans="1:49">
      <c r="A81" s="3335"/>
      <c r="B81" s="3315"/>
      <c r="C81" s="3339" t="s">
        <v>1788</v>
      </c>
      <c r="D81" s="3339"/>
      <c r="E81" s="3339"/>
      <c r="F81" s="3339"/>
      <c r="G81" s="3339"/>
      <c r="H81" s="3339"/>
      <c r="I81" s="3339"/>
      <c r="J81" s="3339"/>
      <c r="K81" s="3339"/>
      <c r="L81" s="3339"/>
      <c r="M81" s="3339"/>
      <c r="N81" s="3339"/>
      <c r="O81" s="3339"/>
      <c r="P81" s="3339"/>
      <c r="Q81" s="3339"/>
      <c r="R81" s="3339"/>
      <c r="S81" s="3339"/>
      <c r="T81" s="3339"/>
      <c r="U81" s="3339"/>
      <c r="V81" s="3339"/>
      <c r="W81" s="3339"/>
      <c r="X81" s="3339"/>
      <c r="Y81" s="3339"/>
      <c r="Z81" s="3339"/>
      <c r="AA81" s="3339"/>
      <c r="AB81" s="3339"/>
      <c r="AC81" s="3339"/>
      <c r="AD81" s="3339"/>
      <c r="AE81" s="3339"/>
      <c r="AF81" s="3339"/>
      <c r="AG81" s="3339"/>
      <c r="AH81" s="3339"/>
      <c r="AI81" s="3339"/>
      <c r="AJ81" s="3339"/>
      <c r="AK81" s="3339"/>
      <c r="AL81" s="3339"/>
      <c r="AM81" s="3339"/>
      <c r="AN81" s="3339"/>
      <c r="AO81" s="3339"/>
      <c r="AP81" s="3339"/>
      <c r="AR81" s="3399"/>
      <c r="AW81" s="3406"/>
    </row>
    <row r="82" s="3328" customFormat="1" hidden="1" spans="1:49">
      <c r="A82" s="3335"/>
      <c r="B82" s="3315"/>
      <c r="C82" s="3339"/>
      <c r="D82" s="3339"/>
      <c r="E82" s="3339"/>
      <c r="F82" s="3339"/>
      <c r="G82" s="3339"/>
      <c r="H82" s="3339"/>
      <c r="I82" s="3339"/>
      <c r="J82" s="3339"/>
      <c r="K82" s="3339"/>
      <c r="L82" s="3339"/>
      <c r="M82" s="3339"/>
      <c r="N82" s="3339"/>
      <c r="O82" s="3339"/>
      <c r="P82" s="3339"/>
      <c r="Q82" s="3339"/>
      <c r="R82" s="3339"/>
      <c r="S82" s="3339"/>
      <c r="T82" s="3339"/>
      <c r="U82" s="3339"/>
      <c r="V82" s="3339"/>
      <c r="W82" s="3339"/>
      <c r="X82" s="3339"/>
      <c r="Y82" s="3339"/>
      <c r="Z82" s="3339"/>
      <c r="AA82" s="3339"/>
      <c r="AB82" s="3339"/>
      <c r="AC82" s="3339"/>
      <c r="AD82" s="3339"/>
      <c r="AE82" s="3339"/>
      <c r="AF82" s="3339"/>
      <c r="AG82" s="3339"/>
      <c r="AH82" s="3339"/>
      <c r="AI82" s="3339"/>
      <c r="AJ82" s="3339"/>
      <c r="AK82" s="3339"/>
      <c r="AL82" s="3339"/>
      <c r="AM82" s="3339"/>
      <c r="AN82" s="3339"/>
      <c r="AO82" s="3339"/>
      <c r="AP82" s="3339"/>
      <c r="AR82" s="3399"/>
      <c r="AW82" s="3406"/>
    </row>
    <row r="83" s="3328" customFormat="1" hidden="1" spans="1:49">
      <c r="A83" s="3335"/>
      <c r="B83" s="3315"/>
      <c r="C83" s="3339"/>
      <c r="D83" s="3339"/>
      <c r="E83" s="3339"/>
      <c r="F83" s="3339"/>
      <c r="G83" s="3339"/>
      <c r="H83" s="3339"/>
      <c r="I83" s="3339"/>
      <c r="J83" s="3339"/>
      <c r="K83" s="3339"/>
      <c r="L83" s="3339"/>
      <c r="M83" s="3339"/>
      <c r="N83" s="3339"/>
      <c r="O83" s="3339"/>
      <c r="P83" s="3339"/>
      <c r="Q83" s="3339"/>
      <c r="R83" s="3339"/>
      <c r="S83" s="3339"/>
      <c r="T83" s="3339"/>
      <c r="U83" s="3339"/>
      <c r="V83" s="3339"/>
      <c r="W83" s="3339"/>
      <c r="X83" s="3339"/>
      <c r="Y83" s="3339"/>
      <c r="Z83" s="3339"/>
      <c r="AA83" s="3339"/>
      <c r="AB83" s="3339"/>
      <c r="AC83" s="3339"/>
      <c r="AD83" s="3339"/>
      <c r="AE83" s="3339"/>
      <c r="AF83" s="3339"/>
      <c r="AG83" s="3339"/>
      <c r="AH83" s="3339"/>
      <c r="AI83" s="3339"/>
      <c r="AJ83" s="3339"/>
      <c r="AK83" s="3339"/>
      <c r="AL83" s="3339"/>
      <c r="AM83" s="3339"/>
      <c r="AN83" s="3339"/>
      <c r="AO83" s="3339"/>
      <c r="AP83" s="3339"/>
      <c r="AR83" s="3399"/>
      <c r="AW83" s="3406"/>
    </row>
    <row r="84" s="3328" customFormat="1" ht="8.45" customHeight="1" spans="44:49">
      <c r="AR84" s="3399"/>
      <c r="AW84" s="3406"/>
    </row>
    <row r="85" s="3329" customFormat="1" spans="45:49">
      <c r="AS85" s="3355"/>
      <c r="AT85" s="3355"/>
      <c r="AU85" s="3355"/>
      <c r="AV85" s="3355"/>
      <c r="AW85" s="3380"/>
    </row>
    <row r="86" s="3329" customFormat="1" ht="6.95" customHeight="1" spans="49:49">
      <c r="AW86" s="3406"/>
    </row>
    <row r="87" s="3329" customFormat="1" ht="11.4" spans="49:49">
      <c r="AW87" s="3406"/>
    </row>
    <row r="88" s="3329" customFormat="1" hidden="1" customHeight="1" spans="45:49">
      <c r="AS88" s="719"/>
      <c r="AT88" s="719"/>
      <c r="AU88" s="719"/>
      <c r="AV88" s="719"/>
      <c r="AW88" s="3376"/>
    </row>
    <row r="89" s="3329" customFormat="1" ht="5.1" customHeight="1" spans="45:49">
      <c r="AS89" s="3363"/>
      <c r="AT89" s="3363"/>
      <c r="AU89" s="3363"/>
      <c r="AV89" s="3363"/>
      <c r="AW89" s="3365"/>
    </row>
    <row r="90" s="3329" customFormat="1" customHeight="1" spans="1:49">
      <c r="A90" s="3385">
        <v>9</v>
      </c>
      <c r="B90" s="3385"/>
      <c r="C90" s="3385"/>
      <c r="D90" s="3385"/>
      <c r="E90" s="3385"/>
      <c r="F90" s="3385"/>
      <c r="G90" s="3385"/>
      <c r="H90" s="3385"/>
      <c r="I90" s="3385"/>
      <c r="J90" s="3385"/>
      <c r="K90" s="3385"/>
      <c r="L90" s="3385"/>
      <c r="M90" s="3385"/>
      <c r="N90" s="3385"/>
      <c r="O90" s="3385"/>
      <c r="P90" s="3385"/>
      <c r="Q90" s="3385"/>
      <c r="R90" s="3385"/>
      <c r="S90" s="3385"/>
      <c r="T90" s="3385"/>
      <c r="U90" s="3385"/>
      <c r="V90" s="3385"/>
      <c r="W90" s="3385"/>
      <c r="X90" s="3385"/>
      <c r="Y90" s="3385"/>
      <c r="Z90" s="3385"/>
      <c r="AA90" s="3385"/>
      <c r="AB90" s="3385"/>
      <c r="AC90" s="3385"/>
      <c r="AD90" s="3385"/>
      <c r="AE90" s="3385"/>
      <c r="AF90" s="3385"/>
      <c r="AG90" s="3385"/>
      <c r="AH90" s="3385"/>
      <c r="AI90" s="3385"/>
      <c r="AJ90" s="3385"/>
      <c r="AK90" s="3385"/>
      <c r="AL90" s="3385"/>
      <c r="AM90" s="3385"/>
      <c r="AN90" s="3385"/>
      <c r="AO90" s="3385"/>
      <c r="AP90" s="3385"/>
      <c r="AS90" s="3400"/>
      <c r="AW90" s="3402"/>
    </row>
    <row r="91" s="3329" customFormat="1" customHeight="1" spans="1:49">
      <c r="A91" s="3335">
        <f>+A30+1</f>
        <v>5</v>
      </c>
      <c r="B91" s="3315"/>
      <c r="C91" s="94" t="s">
        <v>1789</v>
      </c>
      <c r="D91" s="3315"/>
      <c r="E91" s="3315"/>
      <c r="F91" s="3315"/>
      <c r="G91" s="3315"/>
      <c r="H91" s="3315"/>
      <c r="I91" s="3315"/>
      <c r="J91" s="3315"/>
      <c r="K91" s="3315"/>
      <c r="L91" s="3315"/>
      <c r="M91" s="3315"/>
      <c r="N91" s="3315"/>
      <c r="O91" s="3315"/>
      <c r="P91" s="3315"/>
      <c r="Q91" s="3315"/>
      <c r="R91" s="3315"/>
      <c r="S91" s="3315"/>
      <c r="T91" s="3315"/>
      <c r="U91" s="3315"/>
      <c r="V91" s="3315"/>
      <c r="W91" s="3315"/>
      <c r="X91" s="3315"/>
      <c r="Y91" s="3315"/>
      <c r="Z91" s="3315"/>
      <c r="AB91" s="5081" t="str">
        <f>+AB7</f>
        <v>2022</v>
      </c>
      <c r="AC91" s="3355"/>
      <c r="AD91" s="3355"/>
      <c r="AE91" s="3355"/>
      <c r="AF91" s="3355"/>
      <c r="AG91" s="3355"/>
      <c r="AH91" s="3355"/>
      <c r="AI91" s="64"/>
      <c r="AJ91" s="5081" t="str">
        <f>+AJ7</f>
        <v>2021</v>
      </c>
      <c r="AK91" s="3355"/>
      <c r="AL91" s="3355"/>
      <c r="AM91" s="3355"/>
      <c r="AN91" s="3355"/>
      <c r="AO91" s="3355"/>
      <c r="AP91" s="3355"/>
      <c r="AQ91" s="5106" t="str">
        <f>+AQ7</f>
        <v>2020</v>
      </c>
      <c r="AR91" s="3355"/>
      <c r="AS91" s="3400"/>
      <c r="AW91" s="3402"/>
    </row>
    <row r="92" s="3329" customFormat="1" ht="8.1" customHeight="1" spans="1:49">
      <c r="A92" s="3335"/>
      <c r="B92" s="3315"/>
      <c r="C92" s="94"/>
      <c r="D92" s="3315"/>
      <c r="E92" s="3315"/>
      <c r="F92" s="3315"/>
      <c r="G92" s="3315"/>
      <c r="H92" s="3315"/>
      <c r="I92" s="3315"/>
      <c r="J92" s="3315"/>
      <c r="K92" s="3315"/>
      <c r="L92" s="3315"/>
      <c r="M92" s="3315"/>
      <c r="N92" s="3315"/>
      <c r="O92" s="3315"/>
      <c r="P92" s="3315"/>
      <c r="Q92" s="3315"/>
      <c r="R92" s="3315"/>
      <c r="S92" s="3315"/>
      <c r="T92" s="3315"/>
      <c r="U92" s="3315"/>
      <c r="V92" s="3315"/>
      <c r="W92" s="3315"/>
      <c r="X92" s="3315"/>
      <c r="Y92" s="3315"/>
      <c r="Z92" s="3315"/>
      <c r="AS92" s="3400"/>
      <c r="AW92" s="3402"/>
    </row>
    <row r="93" s="3329" customFormat="1" customHeight="1" spans="1:49">
      <c r="A93" s="3335"/>
      <c r="B93" s="3315"/>
      <c r="C93" s="5044" t="s">
        <v>2084</v>
      </c>
      <c r="D93" s="3315"/>
      <c r="E93" s="3315"/>
      <c r="F93" s="3315"/>
      <c r="G93" s="3315"/>
      <c r="H93" s="3315"/>
      <c r="I93" s="3315"/>
      <c r="J93" s="3315"/>
      <c r="K93" s="3315"/>
      <c r="L93" s="3315"/>
      <c r="M93" s="3315"/>
      <c r="N93" s="3315"/>
      <c r="O93" s="3315"/>
      <c r="P93" s="3315"/>
      <c r="Q93" s="3315"/>
      <c r="R93" s="3315"/>
      <c r="S93" s="3315"/>
      <c r="T93" s="3315"/>
      <c r="U93" s="3315"/>
      <c r="V93" s="3315"/>
      <c r="W93" s="3315"/>
      <c r="X93" s="3315"/>
      <c r="Y93" s="3315"/>
      <c r="Z93" s="3315"/>
      <c r="AS93" s="3400"/>
      <c r="AW93" s="3402"/>
    </row>
    <row r="94" s="3329" customFormat="1" ht="5.45" customHeight="1" spans="1:49">
      <c r="A94" s="3335"/>
      <c r="B94" s="3315"/>
      <c r="C94" s="3322"/>
      <c r="D94" s="3315"/>
      <c r="E94" s="3315"/>
      <c r="F94" s="3315"/>
      <c r="G94" s="3315"/>
      <c r="H94" s="3315"/>
      <c r="I94" s="3315"/>
      <c r="J94" s="3315"/>
      <c r="K94" s="3315"/>
      <c r="L94" s="3315"/>
      <c r="M94" s="3315"/>
      <c r="N94" s="3315"/>
      <c r="O94" s="3315"/>
      <c r="P94" s="3315"/>
      <c r="Q94" s="3315"/>
      <c r="R94" s="3315"/>
      <c r="S94" s="3315"/>
      <c r="T94" s="3315"/>
      <c r="U94" s="3315"/>
      <c r="V94" s="3315"/>
      <c r="W94" s="3315"/>
      <c r="X94" s="3315"/>
      <c r="Y94" s="3315"/>
      <c r="Z94" s="3315"/>
      <c r="AA94" s="3315"/>
      <c r="AB94" s="3315"/>
      <c r="AC94" s="3315"/>
      <c r="AD94" s="3315"/>
      <c r="AE94" s="3315"/>
      <c r="AF94" s="3315"/>
      <c r="AG94" s="3315"/>
      <c r="AH94" s="3315"/>
      <c r="AI94" s="3315"/>
      <c r="AJ94" s="3315"/>
      <c r="AK94" s="3315"/>
      <c r="AL94" s="3315"/>
      <c r="AM94" s="3315"/>
      <c r="AN94" s="3315"/>
      <c r="AO94" s="3315"/>
      <c r="AP94" s="3315"/>
      <c r="AQ94" s="3315"/>
      <c r="AR94" s="3328"/>
      <c r="AS94" s="3400"/>
      <c r="AW94" s="3402"/>
    </row>
    <row r="95" s="3329" customFormat="1" customHeight="1" spans="1:49">
      <c r="A95" s="3328"/>
      <c r="B95" s="3328"/>
      <c r="C95" s="1" t="str">
        <f>+D!C14</f>
        <v>PT Mulya Tara Mandiri</v>
      </c>
      <c r="D95" s="3339"/>
      <c r="E95" s="3339"/>
      <c r="F95" s="3339"/>
      <c r="G95" s="3339"/>
      <c r="H95" s="3339"/>
      <c r="I95" s="3339"/>
      <c r="J95" s="3339"/>
      <c r="K95" s="3339"/>
      <c r="L95" s="3339"/>
      <c r="M95" s="3339"/>
      <c r="N95" s="3339"/>
      <c r="O95" s="3339"/>
      <c r="P95" s="3339"/>
      <c r="Q95" s="3339"/>
      <c r="R95" s="3339"/>
      <c r="S95" s="3339"/>
      <c r="T95" s="94"/>
      <c r="U95" s="94"/>
      <c r="V95" s="94"/>
      <c r="W95" s="94"/>
      <c r="X95" s="94"/>
      <c r="Y95" s="94"/>
      <c r="Z95" s="94"/>
      <c r="AA95" s="3339"/>
      <c r="AB95" s="3363">
        <f>+D!K25</f>
        <v>8000000000</v>
      </c>
      <c r="AC95" s="3363"/>
      <c r="AD95" s="3363"/>
      <c r="AE95" s="3363"/>
      <c r="AF95" s="3363"/>
      <c r="AG95" s="3363"/>
      <c r="AH95" s="3363"/>
      <c r="AI95"/>
      <c r="AJ95" s="3363">
        <f>+D!Q14</f>
        <v>0</v>
      </c>
      <c r="AK95" s="3363"/>
      <c r="AL95" s="3363"/>
      <c r="AM95" s="3363"/>
      <c r="AN95" s="3363"/>
      <c r="AO95" s="3363"/>
      <c r="AP95" s="3363"/>
      <c r="AQ95" s="719">
        <f>+D!R14</f>
        <v>0</v>
      </c>
      <c r="AR95" s="719"/>
      <c r="AS95" s="3400"/>
      <c r="AW95" s="3402"/>
    </row>
    <row r="96" s="3329" customFormat="1" customHeight="1" spans="1:49">
      <c r="A96" s="3328"/>
      <c r="B96" s="3328"/>
      <c r="C96" s="1" t="s">
        <v>1791</v>
      </c>
      <c r="D96" s="3339"/>
      <c r="E96" s="3339"/>
      <c r="F96" s="3339"/>
      <c r="G96" s="3339"/>
      <c r="H96" s="3339"/>
      <c r="I96" s="3339"/>
      <c r="J96" s="3339"/>
      <c r="K96" s="3339"/>
      <c r="L96" s="3339"/>
      <c r="M96" s="3339"/>
      <c r="N96" s="3339"/>
      <c r="O96" s="3339"/>
      <c r="P96" s="3339"/>
      <c r="Q96" s="3339"/>
      <c r="R96" s="3339"/>
      <c r="S96" s="3339"/>
      <c r="T96"/>
      <c r="U96"/>
      <c r="V96"/>
      <c r="W96"/>
      <c r="X96"/>
      <c r="Y96"/>
      <c r="Z96"/>
      <c r="AA96" s="3339"/>
      <c r="AB96" s="3363">
        <f>+D!I15+D!I23</f>
        <v>0</v>
      </c>
      <c r="AC96" s="3363"/>
      <c r="AD96" s="3363"/>
      <c r="AE96" s="3363"/>
      <c r="AF96" s="3363"/>
      <c r="AG96" s="3363"/>
      <c r="AH96" s="3363"/>
      <c r="AI96"/>
      <c r="AJ96" s="3363">
        <f>+D!Q15+D!Q23</f>
        <v>8876000000</v>
      </c>
      <c r="AK96" s="3363"/>
      <c r="AL96" s="3363"/>
      <c r="AM96" s="3363"/>
      <c r="AN96" s="3363"/>
      <c r="AO96" s="3363"/>
      <c r="AP96" s="3363"/>
      <c r="AQ96" s="719">
        <f>+D!R15+D!R23</f>
        <v>0</v>
      </c>
      <c r="AR96" s="719"/>
      <c r="AS96" s="3400"/>
      <c r="AW96" s="3402"/>
    </row>
    <row r="97" s="3329" customFormat="1" customHeight="1" spans="1:49">
      <c r="A97" s="3328"/>
      <c r="B97" s="3328"/>
      <c r="C97" s="1" t="s">
        <v>1792</v>
      </c>
      <c r="D97" s="3339"/>
      <c r="E97" s="3339"/>
      <c r="F97" s="3339"/>
      <c r="G97" s="3339"/>
      <c r="H97" s="3339"/>
      <c r="I97" s="3339"/>
      <c r="J97" s="3339"/>
      <c r="K97" s="3339"/>
      <c r="L97" s="3339"/>
      <c r="M97" s="3339"/>
      <c r="N97" s="3339"/>
      <c r="O97" s="3339"/>
      <c r="P97" s="3339"/>
      <c r="Q97" s="3339"/>
      <c r="R97" s="3339"/>
      <c r="S97" s="3339"/>
      <c r="T97" s="94"/>
      <c r="U97" s="94"/>
      <c r="V97" s="94"/>
      <c r="W97" s="94"/>
      <c r="X97" s="94"/>
      <c r="Y97" s="94"/>
      <c r="Z97" s="94"/>
      <c r="AA97" s="3339"/>
      <c r="AB97" s="3363">
        <f>+D!I16</f>
        <v>0</v>
      </c>
      <c r="AC97" s="3363"/>
      <c r="AD97" s="3363"/>
      <c r="AE97" s="3363"/>
      <c r="AF97" s="3363"/>
      <c r="AG97" s="3363"/>
      <c r="AH97" s="3363"/>
      <c r="AI97"/>
      <c r="AJ97" s="3363">
        <f>+D!Q16</f>
        <v>2000000000</v>
      </c>
      <c r="AK97" s="3363"/>
      <c r="AL97" s="3363"/>
      <c r="AM97" s="3363"/>
      <c r="AN97" s="3363"/>
      <c r="AO97" s="3363"/>
      <c r="AP97" s="3363"/>
      <c r="AQ97" s="719">
        <f>+D!R16</f>
        <v>2000000000</v>
      </c>
      <c r="AR97" s="719"/>
      <c r="AS97" s="3400"/>
      <c r="AW97" s="3402"/>
    </row>
    <row r="98" s="3329" customFormat="1" customHeight="1" spans="1:49">
      <c r="A98" s="3328"/>
      <c r="B98" s="3328"/>
      <c r="C98" s="1" t="s">
        <v>1793</v>
      </c>
      <c r="D98" s="3339"/>
      <c r="E98" s="3339"/>
      <c r="F98" s="3339"/>
      <c r="G98" s="3339"/>
      <c r="H98" s="3339"/>
      <c r="I98" s="3339"/>
      <c r="J98" s="3339"/>
      <c r="K98" s="3339"/>
      <c r="L98" s="3339"/>
      <c r="M98" s="3339"/>
      <c r="N98" s="3339"/>
      <c r="O98" s="3339"/>
      <c r="P98" s="3339"/>
      <c r="Q98" s="3339"/>
      <c r="R98" s="3339"/>
      <c r="S98" s="3339"/>
      <c r="T98" s="94"/>
      <c r="U98" s="94"/>
      <c r="V98" s="94"/>
      <c r="W98" s="94"/>
      <c r="X98" s="94"/>
      <c r="Y98" s="94"/>
      <c r="Z98" s="94"/>
      <c r="AA98" s="3339"/>
      <c r="AB98" s="3363">
        <f>+D!I17</f>
        <v>0</v>
      </c>
      <c r="AC98" s="3363"/>
      <c r="AD98" s="3363"/>
      <c r="AE98" s="3363"/>
      <c r="AF98" s="3363"/>
      <c r="AG98" s="3363"/>
      <c r="AH98" s="3363"/>
      <c r="AI98"/>
      <c r="AJ98" s="3363">
        <f>+D!Q17</f>
        <v>1000000000</v>
      </c>
      <c r="AK98" s="3363"/>
      <c r="AL98" s="3363"/>
      <c r="AM98" s="3363"/>
      <c r="AN98" s="3363"/>
      <c r="AO98" s="3363"/>
      <c r="AP98" s="3363"/>
      <c r="AQ98" s="719">
        <f>+D!R17</f>
        <v>1000000000</v>
      </c>
      <c r="AR98" s="719"/>
      <c r="AS98" s="3400"/>
      <c r="AW98" s="3402"/>
    </row>
    <row r="99" s="3329" customFormat="1" customHeight="1" spans="1:49">
      <c r="A99" s="3328"/>
      <c r="B99" s="3328"/>
      <c r="C99" s="1" t="s">
        <v>1794</v>
      </c>
      <c r="D99" s="3339"/>
      <c r="E99" s="3339"/>
      <c r="F99" s="3339"/>
      <c r="G99" s="3339"/>
      <c r="H99" s="3339"/>
      <c r="I99" s="3339"/>
      <c r="J99" s="3339"/>
      <c r="K99" s="3339"/>
      <c r="L99" s="3339"/>
      <c r="M99" s="3339"/>
      <c r="N99" s="3339"/>
      <c r="O99" s="3339"/>
      <c r="P99" s="3339"/>
      <c r="Q99" s="3339"/>
      <c r="R99" s="3339"/>
      <c r="S99" s="3339"/>
      <c r="T99" s="94"/>
      <c r="U99" s="94"/>
      <c r="V99" s="94"/>
      <c r="W99" s="94"/>
      <c r="X99" s="94"/>
      <c r="Y99" s="94"/>
      <c r="Z99" s="94"/>
      <c r="AA99" s="3339"/>
      <c r="AB99" s="3363">
        <f>+D!I18</f>
        <v>0</v>
      </c>
      <c r="AC99" s="3363"/>
      <c r="AD99" s="3363"/>
      <c r="AE99" s="3363"/>
      <c r="AF99" s="3363"/>
      <c r="AG99" s="3363"/>
      <c r="AH99" s="3363"/>
      <c r="AI99"/>
      <c r="AJ99" s="3363">
        <f>+D!Q18</f>
        <v>114400000</v>
      </c>
      <c r="AK99" s="3363"/>
      <c r="AL99" s="3363"/>
      <c r="AM99" s="3363"/>
      <c r="AN99" s="3363"/>
      <c r="AO99" s="3363"/>
      <c r="AP99" s="3363"/>
      <c r="AQ99" s="719">
        <f>+D!R18</f>
        <v>114400000</v>
      </c>
      <c r="AR99" s="719"/>
      <c r="AS99" s="3400"/>
      <c r="AW99" s="3402"/>
    </row>
    <row r="100" s="3329" customFormat="1" customHeight="1" spans="1:49">
      <c r="A100" s="3328"/>
      <c r="B100" s="3328"/>
      <c r="C100" s="1" t="s">
        <v>1795</v>
      </c>
      <c r="D100" s="3339"/>
      <c r="E100" s="3339"/>
      <c r="F100" s="3339"/>
      <c r="G100" s="3339"/>
      <c r="H100" s="3339"/>
      <c r="I100" s="3339"/>
      <c r="J100" s="3339"/>
      <c r="K100" s="3339"/>
      <c r="L100" s="3339"/>
      <c r="M100" s="3339"/>
      <c r="N100" s="3339"/>
      <c r="O100" s="3339"/>
      <c r="P100" s="3339"/>
      <c r="Q100" s="3339"/>
      <c r="R100" s="3339"/>
      <c r="S100" s="3339"/>
      <c r="T100" s="94"/>
      <c r="U100" s="94"/>
      <c r="V100" s="94"/>
      <c r="W100" s="94"/>
      <c r="X100" s="94"/>
      <c r="Y100" s="94"/>
      <c r="Z100" s="94"/>
      <c r="AA100" s="3339"/>
      <c r="AB100" s="3363">
        <f>+D!I19</f>
        <v>0</v>
      </c>
      <c r="AC100" s="3363"/>
      <c r="AD100" s="3363"/>
      <c r="AE100" s="3363"/>
      <c r="AF100" s="3363"/>
      <c r="AG100" s="3363"/>
      <c r="AH100" s="3363"/>
      <c r="AI100"/>
      <c r="AJ100" s="3363">
        <f>+D!Q19</f>
        <v>0</v>
      </c>
      <c r="AK100" s="3363"/>
      <c r="AL100" s="3363"/>
      <c r="AM100" s="3363"/>
      <c r="AN100" s="3363"/>
      <c r="AO100" s="3363"/>
      <c r="AP100" s="3363"/>
      <c r="AQ100" s="719">
        <f>+D!R19</f>
        <v>394558185.33</v>
      </c>
      <c r="AR100" s="719"/>
      <c r="AS100" s="3400"/>
      <c r="AW100" s="3402"/>
    </row>
    <row r="101" s="3329" customFormat="1" ht="3" customHeight="1" spans="1:49">
      <c r="A101" s="3328"/>
      <c r="B101" s="3328"/>
      <c r="C101" s="1"/>
      <c r="D101" s="3339"/>
      <c r="E101" s="3339"/>
      <c r="F101" s="3339"/>
      <c r="G101" s="3339"/>
      <c r="H101" s="3339"/>
      <c r="I101" s="3339"/>
      <c r="J101" s="3339"/>
      <c r="K101" s="3339"/>
      <c r="L101" s="3339"/>
      <c r="M101" s="3339"/>
      <c r="N101" s="3339"/>
      <c r="O101" s="3339"/>
      <c r="P101" s="3339"/>
      <c r="Q101" s="3339"/>
      <c r="R101" s="3339"/>
      <c r="S101" s="3339"/>
      <c r="T101" s="94"/>
      <c r="U101" s="94"/>
      <c r="V101" s="94"/>
      <c r="W101" s="94"/>
      <c r="X101" s="94"/>
      <c r="Y101" s="94"/>
      <c r="Z101" s="94"/>
      <c r="AA101" s="3339"/>
      <c r="AB101" s="3363"/>
      <c r="AC101" s="3363"/>
      <c r="AD101" s="3363"/>
      <c r="AE101" s="3363"/>
      <c r="AF101" s="3363"/>
      <c r="AG101" s="3363"/>
      <c r="AH101" s="3363"/>
      <c r="AI101"/>
      <c r="AJ101" s="3363"/>
      <c r="AK101" s="3363"/>
      <c r="AL101" s="3363"/>
      <c r="AM101" s="3363"/>
      <c r="AN101" s="3363"/>
      <c r="AO101" s="3363"/>
      <c r="AP101" s="3363"/>
      <c r="AQ101" s="3363"/>
      <c r="AR101" s="3363"/>
      <c r="AS101" s="3400"/>
      <c r="AW101" s="3402"/>
    </row>
    <row r="102" s="3329" customFormat="1" customHeight="1" spans="1:49">
      <c r="A102" s="3328"/>
      <c r="B102" s="3328"/>
      <c r="C102" s="3315" t="s">
        <v>1796</v>
      </c>
      <c r="D102" s="3339"/>
      <c r="E102" s="3339"/>
      <c r="F102" s="3339"/>
      <c r="G102" s="3339"/>
      <c r="H102" s="3339"/>
      <c r="I102" s="3339"/>
      <c r="J102" s="3339"/>
      <c r="K102" s="3339"/>
      <c r="L102" s="3339"/>
      <c r="M102" s="3339"/>
      <c r="N102" s="3339"/>
      <c r="O102" s="3339"/>
      <c r="P102" s="3339"/>
      <c r="Q102" s="3339"/>
      <c r="R102" s="3339"/>
      <c r="S102" s="3339"/>
      <c r="T102" s="94"/>
      <c r="U102" s="94"/>
      <c r="V102" s="94"/>
      <c r="W102" s="94"/>
      <c r="X102" s="94"/>
      <c r="Y102" s="94"/>
      <c r="Z102" s="94"/>
      <c r="AA102" s="3339"/>
      <c r="AB102" s="3394">
        <f>-D!K22</f>
        <v>-5200000000</v>
      </c>
      <c r="AC102" s="3394"/>
      <c r="AD102" s="3394"/>
      <c r="AE102" s="3394"/>
      <c r="AF102" s="3394"/>
      <c r="AG102" s="3394"/>
      <c r="AH102" s="3394"/>
      <c r="AI102"/>
      <c r="AJ102" s="3394">
        <f>-D!L23</f>
        <v>-7793760000</v>
      </c>
      <c r="AK102" s="3394"/>
      <c r="AL102" s="3394"/>
      <c r="AM102" s="3394"/>
      <c r="AN102" s="3394"/>
      <c r="AO102" s="3394"/>
      <c r="AP102" s="3394"/>
      <c r="AQ102" s="719">
        <f>+D!R23</f>
        <v>0</v>
      </c>
      <c r="AR102" s="719"/>
      <c r="AS102" s="3400"/>
      <c r="AW102" s="3402"/>
    </row>
    <row r="103" s="3329" customFormat="1" ht="5.45" customHeight="1" spans="1:49">
      <c r="A103" s="3328"/>
      <c r="B103" s="3328"/>
      <c r="C103" s="3322"/>
      <c r="D103" s="3339"/>
      <c r="E103" s="3339"/>
      <c r="F103" s="3339"/>
      <c r="G103" s="3339"/>
      <c r="H103" s="3339"/>
      <c r="I103" s="3339"/>
      <c r="J103" s="3339"/>
      <c r="K103" s="3339"/>
      <c r="L103" s="3339"/>
      <c r="M103" s="3339"/>
      <c r="N103" s="3339"/>
      <c r="O103" s="3339"/>
      <c r="P103" s="3339"/>
      <c r="Q103" s="3339"/>
      <c r="R103" s="3339"/>
      <c r="S103" s="3339"/>
      <c r="T103" s="94"/>
      <c r="U103" s="94"/>
      <c r="V103" s="94"/>
      <c r="W103" s="94"/>
      <c r="X103" s="94"/>
      <c r="Y103" s="94"/>
      <c r="Z103" s="94"/>
      <c r="AA103" s="3339"/>
      <c r="AB103" s="3363"/>
      <c r="AC103" s="3363"/>
      <c r="AD103" s="3363"/>
      <c r="AE103" s="3363"/>
      <c r="AF103" s="3363"/>
      <c r="AG103" s="3363"/>
      <c r="AH103" s="3363"/>
      <c r="AI103"/>
      <c r="AJ103" s="3363"/>
      <c r="AK103" s="3363"/>
      <c r="AL103" s="3363"/>
      <c r="AM103" s="3363"/>
      <c r="AN103" s="3363"/>
      <c r="AO103" s="3363"/>
      <c r="AP103" s="3363"/>
      <c r="AQ103" s="93"/>
      <c r="AR103" s="93"/>
      <c r="AS103" s="3400"/>
      <c r="AW103" s="3402"/>
    </row>
    <row r="104" s="3329" customFormat="1" customHeight="1" spans="1:49">
      <c r="A104" s="3328"/>
      <c r="B104" s="3328"/>
      <c r="C104" s="3322" t="s">
        <v>1797</v>
      </c>
      <c r="D104" s="3339"/>
      <c r="E104" s="3339"/>
      <c r="F104" s="3339"/>
      <c r="G104" s="3339"/>
      <c r="H104" s="3339"/>
      <c r="I104" s="3339"/>
      <c r="J104" s="3339"/>
      <c r="K104" s="3339"/>
      <c r="L104" s="3339"/>
      <c r="M104" s="3339"/>
      <c r="N104" s="3339"/>
      <c r="O104" s="3339"/>
      <c r="P104" s="3339"/>
      <c r="Q104" s="3339"/>
      <c r="R104" s="3339"/>
      <c r="S104" s="3339"/>
      <c r="T104" s="94"/>
      <c r="U104" s="94"/>
      <c r="V104" s="94"/>
      <c r="W104" s="94"/>
      <c r="X104" s="94"/>
      <c r="Y104" s="94"/>
      <c r="Z104" s="94"/>
      <c r="AA104" s="3339"/>
      <c r="AB104" s="3367">
        <f>SUM(AB95:AH102)</f>
        <v>2800000000</v>
      </c>
      <c r="AC104" s="3367"/>
      <c r="AD104" s="3367"/>
      <c r="AE104" s="3367"/>
      <c r="AF104" s="3367"/>
      <c r="AG104" s="3367"/>
      <c r="AH104" s="3367"/>
      <c r="AI104" s="94"/>
      <c r="AJ104" s="3367">
        <f>SUM(AJ95:AP102)</f>
        <v>4196640000</v>
      </c>
      <c r="AK104" s="3367"/>
      <c r="AL104" s="3367"/>
      <c r="AM104" s="3367"/>
      <c r="AN104" s="3367"/>
      <c r="AO104" s="3367"/>
      <c r="AP104" s="3367"/>
      <c r="AQ104" s="3401">
        <f>SUM(AQ88:AW89)</f>
        <v>0</v>
      </c>
      <c r="AR104" s="3401"/>
      <c r="AS104" s="3400"/>
      <c r="AW104" s="3402"/>
    </row>
    <row r="105" s="3329" customFormat="1" customHeight="1" spans="1:49">
      <c r="A105" s="3328"/>
      <c r="B105" s="3328"/>
      <c r="C105" s="3322"/>
      <c r="D105" s="3339"/>
      <c r="E105" s="3339"/>
      <c r="F105" s="3339"/>
      <c r="G105" s="3339"/>
      <c r="H105" s="3339"/>
      <c r="I105" s="3339"/>
      <c r="J105" s="3339"/>
      <c r="K105" s="3339"/>
      <c r="L105" s="3339"/>
      <c r="M105" s="3339"/>
      <c r="N105" s="3339"/>
      <c r="O105" s="3339"/>
      <c r="P105" s="3339"/>
      <c r="Q105" s="3339"/>
      <c r="R105" s="3339"/>
      <c r="S105" s="3339"/>
      <c r="T105" s="94"/>
      <c r="U105" s="94"/>
      <c r="V105" s="94"/>
      <c r="W105" s="94"/>
      <c r="X105" s="94"/>
      <c r="Y105" s="94"/>
      <c r="Z105" s="94"/>
      <c r="AA105" s="3339"/>
      <c r="AB105" s="3363"/>
      <c r="AC105" s="3363"/>
      <c r="AD105" s="3363"/>
      <c r="AE105" s="3363"/>
      <c r="AF105" s="3363"/>
      <c r="AG105" s="3363"/>
      <c r="AH105" s="3363"/>
      <c r="AI105" s="94"/>
      <c r="AJ105" s="3363">
        <f>+'F1'!K20-AJ104</f>
        <v>0</v>
      </c>
      <c r="AK105" s="3363"/>
      <c r="AL105" s="3363"/>
      <c r="AM105" s="3363"/>
      <c r="AN105" s="3363"/>
      <c r="AO105" s="3363"/>
      <c r="AP105" s="3363"/>
      <c r="AQ105" s="719">
        <f>+AQ104-'F1'!Q20-'F1'!Q29</f>
        <v>-3508958185.33</v>
      </c>
      <c r="AR105" s="719"/>
      <c r="AS105" s="3400"/>
      <c r="AW105" s="3402"/>
    </row>
    <row r="106" s="3329" customFormat="1" ht="23.1" customHeight="1" spans="1:49">
      <c r="A106" s="3328"/>
      <c r="B106" s="3328"/>
      <c r="C106" s="5036" t="s">
        <v>2085</v>
      </c>
      <c r="D106" s="3339"/>
      <c r="E106" s="3339"/>
      <c r="F106" s="3339"/>
      <c r="G106" s="3339"/>
      <c r="H106" s="3339"/>
      <c r="I106" s="3339"/>
      <c r="J106" s="3339"/>
      <c r="K106" s="3339"/>
      <c r="L106" s="3339"/>
      <c r="M106" s="3339"/>
      <c r="N106" s="3339"/>
      <c r="O106" s="3339"/>
      <c r="P106" s="3339"/>
      <c r="Q106" s="3339"/>
      <c r="R106" s="3339"/>
      <c r="S106" s="3339"/>
      <c r="T106" s="3339"/>
      <c r="U106" s="3339"/>
      <c r="V106" s="3339"/>
      <c r="W106" s="3339"/>
      <c r="X106" s="3339"/>
      <c r="Y106" s="3339"/>
      <c r="Z106" s="3339"/>
      <c r="AA106" s="3339"/>
      <c r="AB106" s="3339"/>
      <c r="AC106" s="3339"/>
      <c r="AD106" s="3339"/>
      <c r="AE106" s="3339"/>
      <c r="AF106" s="3339"/>
      <c r="AG106" s="3339"/>
      <c r="AH106" s="3339"/>
      <c r="AI106" s="3339"/>
      <c r="AJ106" s="3339"/>
      <c r="AK106" s="3339"/>
      <c r="AL106" s="3339"/>
      <c r="AM106" s="3339"/>
      <c r="AN106" s="3339"/>
      <c r="AO106" s="3339"/>
      <c r="AP106" s="3339"/>
      <c r="AS106" s="3400"/>
      <c r="AW106" s="3402"/>
    </row>
    <row r="107" s="3329" customFormat="1" ht="8.45" customHeight="1" spans="1:49">
      <c r="A107" s="3328"/>
      <c r="B107" s="3328"/>
      <c r="C107" s="3339"/>
      <c r="D107" s="3339"/>
      <c r="E107" s="3339"/>
      <c r="F107" s="3339"/>
      <c r="G107" s="3339"/>
      <c r="H107" s="3339"/>
      <c r="I107" s="3339"/>
      <c r="J107" s="3339"/>
      <c r="K107" s="3339"/>
      <c r="L107" s="3339"/>
      <c r="M107" s="3339"/>
      <c r="N107" s="3339"/>
      <c r="O107" s="3339"/>
      <c r="P107" s="3339"/>
      <c r="Q107" s="3339"/>
      <c r="R107" s="3339"/>
      <c r="S107" s="3339"/>
      <c r="T107" s="3339"/>
      <c r="U107" s="3339"/>
      <c r="V107" s="3339"/>
      <c r="W107" s="3339"/>
      <c r="X107" s="3339"/>
      <c r="Y107" s="3339"/>
      <c r="Z107" s="3339"/>
      <c r="AA107" s="3339"/>
      <c r="AB107" s="3339"/>
      <c r="AC107" s="3339"/>
      <c r="AD107" s="3339"/>
      <c r="AE107" s="3339"/>
      <c r="AF107" s="3339"/>
      <c r="AG107" s="3339"/>
      <c r="AH107" s="3339"/>
      <c r="AI107" s="3339"/>
      <c r="AJ107" s="3339"/>
      <c r="AK107" s="3339"/>
      <c r="AL107" s="3339"/>
      <c r="AM107" s="3339"/>
      <c r="AN107" s="3339"/>
      <c r="AO107" s="3339"/>
      <c r="AP107" s="3339"/>
      <c r="AS107" s="3400"/>
      <c r="AW107" s="3402"/>
    </row>
    <row r="108" s="3329" customFormat="1" ht="23.1" customHeight="1" spans="1:49">
      <c r="A108" s="3328"/>
      <c r="B108" s="3328"/>
      <c r="C108" s="5036" t="s">
        <v>1801</v>
      </c>
      <c r="D108" s="3339"/>
      <c r="E108" s="3339"/>
      <c r="F108" s="3339"/>
      <c r="G108" s="3339"/>
      <c r="H108" s="3339"/>
      <c r="I108" s="3339"/>
      <c r="J108" s="3339"/>
      <c r="K108" s="3339"/>
      <c r="L108" s="3339"/>
      <c r="M108" s="3339"/>
      <c r="N108" s="3339"/>
      <c r="O108" s="3339"/>
      <c r="P108" s="3339"/>
      <c r="Q108" s="3339"/>
      <c r="R108" s="3339"/>
      <c r="S108" s="3339"/>
      <c r="T108" s="3339"/>
      <c r="U108" s="3339"/>
      <c r="V108" s="3339"/>
      <c r="W108" s="3339"/>
      <c r="X108" s="3339"/>
      <c r="Y108" s="3339"/>
      <c r="Z108" s="3339"/>
      <c r="AA108" s="3339"/>
      <c r="AB108" s="3339"/>
      <c r="AC108" s="3339"/>
      <c r="AD108" s="3339"/>
      <c r="AE108" s="3339"/>
      <c r="AF108" s="3339"/>
      <c r="AG108" s="3339"/>
      <c r="AH108" s="3339"/>
      <c r="AI108" s="3339"/>
      <c r="AJ108" s="3339"/>
      <c r="AK108" s="3339"/>
      <c r="AL108" s="3339"/>
      <c r="AM108" s="3339"/>
      <c r="AN108" s="3339"/>
      <c r="AO108" s="3339"/>
      <c r="AP108" s="3339"/>
      <c r="AS108" s="3400"/>
      <c r="AW108" s="3402"/>
    </row>
    <row r="109" s="3329" customFormat="1" ht="9" customHeight="1" spans="1:49">
      <c r="A109" s="3328"/>
      <c r="B109" s="3328"/>
      <c r="C109" s="3322"/>
      <c r="D109" s="3339"/>
      <c r="E109" s="3339"/>
      <c r="F109" s="3339"/>
      <c r="G109" s="3339"/>
      <c r="H109" s="3339"/>
      <c r="I109" s="3339"/>
      <c r="J109" s="3339"/>
      <c r="K109" s="3339"/>
      <c r="L109" s="3339"/>
      <c r="M109" s="3339"/>
      <c r="N109" s="3339"/>
      <c r="O109" s="3339"/>
      <c r="P109" s="3339"/>
      <c r="Q109" s="3339"/>
      <c r="R109" s="3339"/>
      <c r="S109" s="3339"/>
      <c r="T109" s="94"/>
      <c r="U109" s="94"/>
      <c r="V109" s="94"/>
      <c r="W109" s="94"/>
      <c r="X109" s="94"/>
      <c r="Y109" s="94"/>
      <c r="Z109" s="94"/>
      <c r="AA109" s="3339"/>
      <c r="AB109" s="3395"/>
      <c r="AC109" s="3395"/>
      <c r="AD109" s="3395"/>
      <c r="AE109" s="3395"/>
      <c r="AF109" s="3395"/>
      <c r="AG109" s="3395"/>
      <c r="AH109" s="3395"/>
      <c r="AI109" s="94"/>
      <c r="AJ109" s="3395"/>
      <c r="AK109" s="3395"/>
      <c r="AL109" s="3395"/>
      <c r="AM109" s="3395"/>
      <c r="AN109" s="3395"/>
      <c r="AO109" s="3395"/>
      <c r="AP109" s="3395"/>
      <c r="AS109" s="3400"/>
      <c r="AW109" s="3402"/>
    </row>
    <row r="110" s="3329" customFormat="1" ht="24" customHeight="1" spans="1:49">
      <c r="A110" s="3328"/>
      <c r="B110" s="3328"/>
      <c r="C110" s="5036" t="s">
        <v>1802</v>
      </c>
      <c r="D110" s="3339"/>
      <c r="E110" s="3339"/>
      <c r="F110" s="3339"/>
      <c r="G110" s="3339"/>
      <c r="H110" s="3339"/>
      <c r="I110" s="3339"/>
      <c r="J110" s="3339"/>
      <c r="K110" s="3339"/>
      <c r="L110" s="3339"/>
      <c r="M110" s="3339"/>
      <c r="N110" s="3339"/>
      <c r="O110" s="3339"/>
      <c r="P110" s="3339"/>
      <c r="Q110" s="3339"/>
      <c r="R110" s="3339"/>
      <c r="S110" s="3339"/>
      <c r="T110" s="3339"/>
      <c r="U110" s="3339"/>
      <c r="V110" s="3339"/>
      <c r="W110" s="3339"/>
      <c r="X110" s="3339"/>
      <c r="Y110" s="3339"/>
      <c r="Z110" s="3339"/>
      <c r="AA110" s="3339"/>
      <c r="AB110" s="3339"/>
      <c r="AC110" s="3339"/>
      <c r="AD110" s="3339"/>
      <c r="AE110" s="3339"/>
      <c r="AF110" s="3339"/>
      <c r="AG110" s="3339"/>
      <c r="AH110" s="3339"/>
      <c r="AI110" s="3339"/>
      <c r="AJ110" s="3339"/>
      <c r="AK110" s="3339"/>
      <c r="AL110" s="3339"/>
      <c r="AM110" s="3339"/>
      <c r="AN110" s="3339"/>
      <c r="AO110" s="3339"/>
      <c r="AP110" s="3339"/>
      <c r="AS110" s="3400"/>
      <c r="AW110" s="3402"/>
    </row>
    <row r="111" s="3329" customFormat="1" ht="15" customHeight="1" spans="1:49">
      <c r="A111" s="3328"/>
      <c r="B111" s="3328"/>
      <c r="C111" s="2877"/>
      <c r="D111" s="3339"/>
      <c r="E111" s="3339"/>
      <c r="F111" s="3339"/>
      <c r="G111" s="3339"/>
      <c r="H111" s="3339"/>
      <c r="I111" s="3339"/>
      <c r="J111" s="3339"/>
      <c r="K111" s="3339"/>
      <c r="L111" s="3339"/>
      <c r="M111" s="3339"/>
      <c r="N111" s="3339"/>
      <c r="O111" s="3339"/>
      <c r="P111" s="3339"/>
      <c r="Q111" s="3339"/>
      <c r="R111" s="3339"/>
      <c r="S111" s="3339"/>
      <c r="T111" s="94"/>
      <c r="U111" s="94"/>
      <c r="V111" s="94"/>
      <c r="W111" s="94"/>
      <c r="X111" s="94"/>
      <c r="Y111" s="94"/>
      <c r="Z111" s="94"/>
      <c r="AA111" s="3339"/>
      <c r="AB111" s="719"/>
      <c r="AC111" s="719"/>
      <c r="AD111" s="719"/>
      <c r="AE111" s="719"/>
      <c r="AF111" s="719"/>
      <c r="AG111" s="719"/>
      <c r="AH111" s="719"/>
      <c r="AI111"/>
      <c r="AJ111" s="719"/>
      <c r="AK111" s="719"/>
      <c r="AL111" s="719"/>
      <c r="AM111" s="719"/>
      <c r="AN111" s="719"/>
      <c r="AO111" s="719"/>
      <c r="AP111" s="719"/>
      <c r="AS111" s="3400"/>
      <c r="AW111" s="3402"/>
    </row>
    <row r="112" s="3329" customFormat="1" spans="1:49">
      <c r="A112" s="3335">
        <f>A91+1</f>
        <v>6</v>
      </c>
      <c r="B112" s="3315"/>
      <c r="C112" s="3322" t="str">
        <f>UPPER('FS-21'!B15)</f>
        <v>BIAYA DIBAYAR DIMUKA</v>
      </c>
      <c r="D112" s="3315"/>
      <c r="E112" s="3315"/>
      <c r="F112" s="3315"/>
      <c r="G112" s="3315"/>
      <c r="H112" s="3315"/>
      <c r="I112" s="3315"/>
      <c r="J112" s="3315"/>
      <c r="K112" s="3315"/>
      <c r="L112" s="3315"/>
      <c r="M112" s="3315"/>
      <c r="N112" s="3315"/>
      <c r="O112" s="3315"/>
      <c r="P112" s="3315"/>
      <c r="Q112" s="3315"/>
      <c r="R112" s="3315"/>
      <c r="S112" s="3315"/>
      <c r="T112" s="3315"/>
      <c r="U112" s="3315"/>
      <c r="V112" s="3315"/>
      <c r="W112" s="3315"/>
      <c r="X112" s="3315"/>
      <c r="Y112" s="3315"/>
      <c r="Z112" s="3315"/>
      <c r="AA112" s="3315"/>
      <c r="AB112" s="3315"/>
      <c r="AC112" s="3315"/>
      <c r="AD112" s="3315"/>
      <c r="AE112" s="3315"/>
      <c r="AF112" s="3315"/>
      <c r="AG112" s="3315"/>
      <c r="AH112" s="3315"/>
      <c r="AI112" s="3328"/>
      <c r="AJ112" s="3328"/>
      <c r="AK112" s="3398"/>
      <c r="AL112" s="3328"/>
      <c r="AM112" s="3328"/>
      <c r="AN112" s="3328"/>
      <c r="AO112" s="3328"/>
      <c r="AP112" s="3328"/>
      <c r="AR112" s="3400"/>
      <c r="AW112" s="3402"/>
    </row>
    <row r="113" s="3329" customFormat="1" ht="9.2" customHeight="1" spans="1:49">
      <c r="A113" s="3335"/>
      <c r="B113" s="3315"/>
      <c r="C113" s="3322"/>
      <c r="D113" s="3315"/>
      <c r="E113" s="3315"/>
      <c r="F113" s="3315"/>
      <c r="G113" s="3315"/>
      <c r="H113" s="3315"/>
      <c r="I113" s="3315"/>
      <c r="J113" s="3315"/>
      <c r="K113" s="3315"/>
      <c r="L113" s="3315"/>
      <c r="M113" s="3315"/>
      <c r="N113" s="3315"/>
      <c r="O113" s="3315"/>
      <c r="P113" s="3315"/>
      <c r="Q113" s="3315"/>
      <c r="R113" s="3315"/>
      <c r="S113" s="3315"/>
      <c r="T113" s="3315"/>
      <c r="U113" s="3315"/>
      <c r="V113" s="3315"/>
      <c r="W113" s="3315"/>
      <c r="X113" s="3315"/>
      <c r="Y113" s="3315"/>
      <c r="Z113" s="3315"/>
      <c r="AA113" s="3315"/>
      <c r="AB113" s="3315"/>
      <c r="AC113" s="3315"/>
      <c r="AD113" s="3315"/>
      <c r="AE113" s="3315"/>
      <c r="AF113" s="3315"/>
      <c r="AG113" s="3315"/>
      <c r="AH113" s="3315"/>
      <c r="AI113" s="3328"/>
      <c r="AJ113" s="3328"/>
      <c r="AK113" s="3398"/>
      <c r="AL113" s="3328"/>
      <c r="AM113" s="3328"/>
      <c r="AN113" s="3328"/>
      <c r="AO113" s="3328"/>
      <c r="AP113" s="3328"/>
      <c r="AR113" s="3400"/>
      <c r="AW113" s="3402"/>
    </row>
    <row r="114" s="3329" customFormat="1" ht="34.5" customHeight="1" spans="1:50">
      <c r="A114" s="3340"/>
      <c r="B114" s="3315"/>
      <c r="C114" s="5036" t="s">
        <v>2086</v>
      </c>
      <c r="D114" s="3339"/>
      <c r="E114" s="3339"/>
      <c r="F114" s="3339"/>
      <c r="G114" s="3339"/>
      <c r="H114" s="3339"/>
      <c r="I114" s="3339"/>
      <c r="J114" s="3339"/>
      <c r="K114" s="3339"/>
      <c r="L114" s="3339"/>
      <c r="M114" s="3339"/>
      <c r="N114" s="3339"/>
      <c r="O114" s="3339"/>
      <c r="P114" s="3339"/>
      <c r="Q114" s="3339"/>
      <c r="R114" s="3339"/>
      <c r="S114" s="3339"/>
      <c r="T114" s="3339"/>
      <c r="U114" s="3339"/>
      <c r="V114" s="3339"/>
      <c r="W114" s="3339"/>
      <c r="X114" s="3339"/>
      <c r="Y114" s="3339"/>
      <c r="Z114" s="3339"/>
      <c r="AA114" s="3339"/>
      <c r="AB114" s="3339"/>
      <c r="AC114" s="3339"/>
      <c r="AD114" s="3339"/>
      <c r="AE114" s="3339"/>
      <c r="AF114" s="3339"/>
      <c r="AG114" s="3339"/>
      <c r="AH114" s="3339"/>
      <c r="AI114" s="3339"/>
      <c r="AJ114" s="3339"/>
      <c r="AK114" s="3339"/>
      <c r="AL114" s="3339"/>
      <c r="AM114" s="3339"/>
      <c r="AN114" s="3339"/>
      <c r="AO114" s="3339"/>
      <c r="AP114" s="3339"/>
      <c r="AS114" s="3402"/>
      <c r="AT114" s="3402"/>
      <c r="AU114" s="3402"/>
      <c r="AV114" s="3402"/>
      <c r="AW114" s="3402"/>
      <c r="AX114" s="3402"/>
    </row>
    <row r="115" s="3329" customFormat="1" ht="15" customHeight="1" spans="1:50">
      <c r="A115" s="3340"/>
      <c r="B115" s="3315"/>
      <c r="C115" s="3339"/>
      <c r="D115" s="3339"/>
      <c r="E115" s="3339"/>
      <c r="F115" s="3339"/>
      <c r="G115" s="3339"/>
      <c r="H115" s="3339"/>
      <c r="I115" s="3339"/>
      <c r="J115" s="3339"/>
      <c r="K115" s="3339"/>
      <c r="L115" s="3339"/>
      <c r="M115" s="3339"/>
      <c r="N115" s="3339"/>
      <c r="O115" s="3339"/>
      <c r="P115" s="3339"/>
      <c r="Q115" s="3339"/>
      <c r="R115" s="3339"/>
      <c r="S115" s="3339"/>
      <c r="T115" s="3339"/>
      <c r="U115" s="3339"/>
      <c r="V115" s="3339"/>
      <c r="W115" s="3339"/>
      <c r="X115" s="3339"/>
      <c r="Y115" s="3339"/>
      <c r="Z115" s="3339"/>
      <c r="AA115" s="3339"/>
      <c r="AB115" s="3339"/>
      <c r="AC115" s="3339"/>
      <c r="AD115" s="3339"/>
      <c r="AE115" s="3339"/>
      <c r="AF115" s="3339"/>
      <c r="AG115" s="3339"/>
      <c r="AH115" s="3339"/>
      <c r="AI115" s="3339"/>
      <c r="AJ115" s="3339"/>
      <c r="AK115" s="3339"/>
      <c r="AL115" s="3339"/>
      <c r="AM115" s="3339"/>
      <c r="AN115" s="3339"/>
      <c r="AO115" s="3339"/>
      <c r="AP115" s="3339"/>
      <c r="AS115" s="3402"/>
      <c r="AT115" s="3402"/>
      <c r="AU115" s="3402"/>
      <c r="AV115" s="3402"/>
      <c r="AW115" s="3402"/>
      <c r="AX115" s="3402"/>
    </row>
    <row r="116" s="3329" customFormat="1" ht="15" customHeight="1" spans="1:50">
      <c r="A116" s="3335">
        <f>+A112+1</f>
        <v>7</v>
      </c>
      <c r="B116" s="64"/>
      <c r="C116" s="3322" t="str">
        <f>UPPER('FS-21'!B17)</f>
        <v>PEKERJAAN DALAM PELAKSANAAN</v>
      </c>
      <c r="D116" s="3386"/>
      <c r="E116" s="3386"/>
      <c r="F116" s="3386"/>
      <c r="G116" s="3386"/>
      <c r="H116" s="3386"/>
      <c r="I116" s="3386"/>
      <c r="J116" s="3386"/>
      <c r="K116" s="3386"/>
      <c r="L116" s="3386"/>
      <c r="M116" s="3386"/>
      <c r="N116" s="3386"/>
      <c r="O116" s="3386"/>
      <c r="P116" s="3386"/>
      <c r="Q116" s="3386"/>
      <c r="R116" s="3386"/>
      <c r="S116" s="3386"/>
      <c r="T116" s="3386"/>
      <c r="U116" s="3386"/>
      <c r="V116" s="3386"/>
      <c r="W116" s="3386"/>
      <c r="X116" s="3386"/>
      <c r="Y116" s="3386"/>
      <c r="Z116" s="3386"/>
      <c r="AA116" s="3386"/>
      <c r="AB116" s="5081" t="str">
        <f>+AB61</f>
        <v>2022</v>
      </c>
      <c r="AC116" s="3355"/>
      <c r="AD116" s="3355"/>
      <c r="AE116" s="3355"/>
      <c r="AF116" s="3355"/>
      <c r="AG116" s="3355"/>
      <c r="AH116" s="3355"/>
      <c r="AI116" s="64"/>
      <c r="AJ116" s="5081" t="str">
        <f>+AJ61</f>
        <v>2021</v>
      </c>
      <c r="AK116" s="3355"/>
      <c r="AL116" s="3355"/>
      <c r="AM116" s="3355"/>
      <c r="AN116" s="3355"/>
      <c r="AO116" s="3355"/>
      <c r="AP116" s="3355"/>
      <c r="AQ116" s="5106" t="str">
        <f>+AQ61</f>
        <v>2020</v>
      </c>
      <c r="AR116" s="3380"/>
      <c r="AS116" s="3380"/>
      <c r="AT116" s="3380"/>
      <c r="AU116" s="3380"/>
      <c r="AV116" s="3380"/>
      <c r="AW116" s="3380"/>
      <c r="AX116" s="3402"/>
    </row>
    <row r="117" s="3329" customFormat="1" ht="9.6" customHeight="1" spans="1:50">
      <c r="A117" s="3386"/>
      <c r="B117" s="3386"/>
      <c r="C117" s="3387"/>
      <c r="D117" s="3387"/>
      <c r="E117" s="3387"/>
      <c r="F117" s="3387"/>
      <c r="G117" s="3387"/>
      <c r="H117" s="3387"/>
      <c r="I117" s="3387"/>
      <c r="J117" s="3387"/>
      <c r="K117" s="3387"/>
      <c r="L117" s="3387"/>
      <c r="M117" s="3387"/>
      <c r="N117" s="3387"/>
      <c r="O117" s="3387"/>
      <c r="P117" s="3387"/>
      <c r="Q117" s="3387"/>
      <c r="R117" s="3387"/>
      <c r="S117" s="3387"/>
      <c r="T117" s="3387"/>
      <c r="U117" s="3387"/>
      <c r="V117" s="3387"/>
      <c r="W117" s="3387"/>
      <c r="X117" s="3387"/>
      <c r="Y117" s="3387"/>
      <c r="Z117" s="3387"/>
      <c r="AA117" s="3387"/>
      <c r="AI117" s="3387"/>
      <c r="AQ117" s="3387"/>
      <c r="AR117" s="3403"/>
      <c r="AS117" s="3403"/>
      <c r="AT117" s="3403"/>
      <c r="AU117" s="3403"/>
      <c r="AV117" s="3403"/>
      <c r="AW117" s="3403"/>
      <c r="AX117" s="3402"/>
    </row>
    <row r="118" s="3329" customFormat="1" ht="11.4" spans="1:49">
      <c r="A118" s="3386"/>
      <c r="B118" s="3386"/>
      <c r="C118" s="3388" t="s">
        <v>1804</v>
      </c>
      <c r="D118" s="3389"/>
      <c r="E118" s="3387"/>
      <c r="F118" s="3387"/>
      <c r="G118" s="3387"/>
      <c r="H118" s="3387"/>
      <c r="I118" s="3387"/>
      <c r="J118" s="3387"/>
      <c r="K118" s="3387"/>
      <c r="L118" s="3387"/>
      <c r="M118" s="3387"/>
      <c r="N118" s="3387"/>
      <c r="O118" s="3387"/>
      <c r="P118" s="3387"/>
      <c r="Q118" s="3387"/>
      <c r="R118" s="3387"/>
      <c r="S118" s="3387"/>
      <c r="T118" s="3387"/>
      <c r="U118" s="3387"/>
      <c r="V118" s="3387"/>
      <c r="W118" s="3387"/>
      <c r="X118" s="3387"/>
      <c r="Y118" s="3387"/>
      <c r="Z118" s="3387"/>
      <c r="AA118" s="3387"/>
      <c r="AB118" s="3396">
        <f>+G!K13</f>
        <v>19775231777.09</v>
      </c>
      <c r="AC118" s="3396"/>
      <c r="AD118" s="3396"/>
      <c r="AE118" s="3396"/>
      <c r="AF118" s="3396"/>
      <c r="AG118" s="3396"/>
      <c r="AH118" s="3396"/>
      <c r="AJ118" s="3396">
        <f>+G!Q13</f>
        <v>25381341092.1818</v>
      </c>
      <c r="AK118" s="3396"/>
      <c r="AL118" s="3396"/>
      <c r="AM118" s="3396"/>
      <c r="AN118" s="3396"/>
      <c r="AO118" s="3396"/>
      <c r="AP118" s="3396"/>
      <c r="AQ118" s="2635">
        <f>+G!R13</f>
        <v>25418181818.1818</v>
      </c>
      <c r="AR118" s="2430"/>
      <c r="AS118" s="2635"/>
      <c r="AT118" s="2635"/>
      <c r="AU118" s="2635"/>
      <c r="AV118" s="2635"/>
      <c r="AW118" s="2430"/>
    </row>
    <row r="119" s="3329" customFormat="1" ht="11.4" spans="1:49">
      <c r="A119" s="3386"/>
      <c r="B119" s="3386"/>
      <c r="C119" s="3388" t="s">
        <v>1805</v>
      </c>
      <c r="D119" s="3389"/>
      <c r="E119" s="3387"/>
      <c r="F119" s="3387"/>
      <c r="G119" s="3387"/>
      <c r="H119" s="3387"/>
      <c r="I119" s="3387"/>
      <c r="J119" s="3387"/>
      <c r="K119" s="3387"/>
      <c r="L119" s="3387"/>
      <c r="M119" s="3387"/>
      <c r="N119" s="3387"/>
      <c r="O119" s="3387"/>
      <c r="P119" s="3387"/>
      <c r="Q119" s="3387"/>
      <c r="R119" s="3387"/>
      <c r="S119" s="3387"/>
      <c r="T119" s="3387"/>
      <c r="U119" s="3387"/>
      <c r="V119" s="3387"/>
      <c r="W119" s="3387"/>
      <c r="X119" s="3387"/>
      <c r="Y119" s="3387"/>
      <c r="Z119" s="3387"/>
      <c r="AA119" s="3387"/>
      <c r="AB119" s="3396">
        <f>+G!I14</f>
        <v>0</v>
      </c>
      <c r="AC119" s="3396"/>
      <c r="AD119" s="3396"/>
      <c r="AE119" s="3396"/>
      <c r="AF119" s="3396"/>
      <c r="AG119" s="3396"/>
      <c r="AH119" s="3396"/>
      <c r="AI119" s="64"/>
      <c r="AJ119" s="3396">
        <f>+G!Q14</f>
        <v>103020000</v>
      </c>
      <c r="AK119" s="3396"/>
      <c r="AL119" s="3396"/>
      <c r="AM119" s="3396"/>
      <c r="AN119" s="3396"/>
      <c r="AO119" s="3396"/>
      <c r="AP119" s="3396"/>
      <c r="AQ119" s="2635">
        <f>+G!R14</f>
        <v>265500000</v>
      </c>
      <c r="AR119" s="2430"/>
      <c r="AS119" s="2635"/>
      <c r="AT119" s="2635"/>
      <c r="AU119" s="2635"/>
      <c r="AV119" s="2635"/>
      <c r="AW119" s="2430"/>
    </row>
    <row r="120" s="3329" customFormat="1" ht="11.4" spans="1:49">
      <c r="A120" s="3386"/>
      <c r="B120" s="3386"/>
      <c r="C120" s="3388" t="s">
        <v>1806</v>
      </c>
      <c r="D120" s="3389"/>
      <c r="E120" s="3387"/>
      <c r="F120" s="3387"/>
      <c r="G120" s="3387"/>
      <c r="H120" s="3387"/>
      <c r="I120" s="3387"/>
      <c r="J120" s="3387"/>
      <c r="K120" s="3387"/>
      <c r="L120" s="3387"/>
      <c r="M120" s="3387"/>
      <c r="N120" s="3387"/>
      <c r="O120" s="3387"/>
      <c r="P120" s="3387"/>
      <c r="Q120" s="3387"/>
      <c r="R120" s="3387"/>
      <c r="S120" s="3387"/>
      <c r="T120" s="3387"/>
      <c r="U120" s="3387"/>
      <c r="V120" s="3387"/>
      <c r="W120" s="3387"/>
      <c r="X120" s="3387"/>
      <c r="Y120" s="3387"/>
      <c r="Z120" s="3387"/>
      <c r="AA120" s="3387"/>
      <c r="AB120" s="3396">
        <f>+G!I15</f>
        <v>0</v>
      </c>
      <c r="AC120" s="3396"/>
      <c r="AD120" s="3396"/>
      <c r="AE120" s="3396"/>
      <c r="AF120" s="3396"/>
      <c r="AG120" s="3396"/>
      <c r="AH120" s="3396"/>
      <c r="AI120" s="64"/>
      <c r="AJ120" s="3396">
        <f>+G!Q15</f>
        <v>52275000</v>
      </c>
      <c r="AK120" s="3396"/>
      <c r="AL120" s="3396"/>
      <c r="AM120" s="3396"/>
      <c r="AN120" s="3396"/>
      <c r="AO120" s="3396"/>
      <c r="AP120" s="3396"/>
      <c r="AQ120" s="2635">
        <f>+G!R15</f>
        <v>69840000</v>
      </c>
      <c r="AR120" s="2430"/>
      <c r="AS120" s="2635"/>
      <c r="AT120" s="2635"/>
      <c r="AU120" s="2635"/>
      <c r="AV120" s="2635"/>
      <c r="AW120" s="2430"/>
    </row>
    <row r="121" s="3329" customFormat="1" ht="11.4" spans="1:49">
      <c r="A121" s="3386"/>
      <c r="B121" s="3386"/>
      <c r="C121" s="3388" t="s">
        <v>1807</v>
      </c>
      <c r="D121" s="3389"/>
      <c r="E121" s="3387"/>
      <c r="F121" s="3387"/>
      <c r="G121" s="3387"/>
      <c r="H121" s="3387"/>
      <c r="I121" s="3387"/>
      <c r="J121" s="3387"/>
      <c r="K121" s="3387"/>
      <c r="L121" s="3387"/>
      <c r="M121" s="3387"/>
      <c r="N121" s="3387"/>
      <c r="O121" s="3387"/>
      <c r="P121" s="3387"/>
      <c r="Q121" s="3387"/>
      <c r="R121" s="3387"/>
      <c r="S121" s="3387"/>
      <c r="T121" s="3387"/>
      <c r="U121" s="3387"/>
      <c r="V121" s="3387"/>
      <c r="W121" s="3387"/>
      <c r="X121" s="3387"/>
      <c r="Y121" s="3387"/>
      <c r="Z121" s="3387"/>
      <c r="AA121" s="3387"/>
      <c r="AB121" s="3396">
        <f>+G!I16</f>
        <v>0</v>
      </c>
      <c r="AC121" s="3396"/>
      <c r="AD121" s="3396"/>
      <c r="AE121" s="3396"/>
      <c r="AF121" s="3396"/>
      <c r="AG121" s="3396"/>
      <c r="AH121" s="3396"/>
      <c r="AI121" s="64"/>
      <c r="AJ121" s="3396">
        <f>+G!Q16</f>
        <v>37139600</v>
      </c>
      <c r="AK121" s="3396"/>
      <c r="AL121" s="3396"/>
      <c r="AM121" s="3396"/>
      <c r="AN121" s="3396"/>
      <c r="AO121" s="3396"/>
      <c r="AP121" s="3396"/>
      <c r="AQ121" s="2635">
        <f>+G!R16</f>
        <v>104580000</v>
      </c>
      <c r="AR121" s="2430"/>
      <c r="AS121" s="2635"/>
      <c r="AT121" s="2635"/>
      <c r="AU121" s="2635"/>
      <c r="AV121" s="2635"/>
      <c r="AW121" s="2430"/>
    </row>
    <row r="122" s="3329" customFormat="1" ht="11.4" spans="1:49">
      <c r="A122" s="3386"/>
      <c r="B122" s="3386"/>
      <c r="C122" s="3388" t="s">
        <v>1808</v>
      </c>
      <c r="D122" s="3389"/>
      <c r="E122" s="3387"/>
      <c r="F122" s="3387"/>
      <c r="G122" s="3387"/>
      <c r="H122" s="3387"/>
      <c r="I122" s="3387"/>
      <c r="J122" s="3387"/>
      <c r="K122" s="3387"/>
      <c r="L122" s="3387"/>
      <c r="M122" s="3387"/>
      <c r="N122" s="3387"/>
      <c r="O122" s="3387"/>
      <c r="P122" s="3387"/>
      <c r="Q122" s="3387"/>
      <c r="R122" s="3387"/>
      <c r="S122" s="3387"/>
      <c r="T122" s="3387"/>
      <c r="U122" s="3387"/>
      <c r="V122" s="3387"/>
      <c r="W122" s="3387"/>
      <c r="X122" s="3387"/>
      <c r="Y122" s="3387"/>
      <c r="Z122" s="3387"/>
      <c r="AA122" s="3387"/>
      <c r="AB122" s="3396">
        <f>+G!I17</f>
        <v>0</v>
      </c>
      <c r="AC122" s="3396"/>
      <c r="AD122" s="3396"/>
      <c r="AE122" s="3396"/>
      <c r="AF122" s="3396"/>
      <c r="AG122" s="3396"/>
      <c r="AH122" s="3396"/>
      <c r="AI122" s="64"/>
      <c r="AJ122" s="3396">
        <f>+G!Q17</f>
        <v>36502612.8</v>
      </c>
      <c r="AK122" s="3396"/>
      <c r="AL122" s="3396"/>
      <c r="AM122" s="3396"/>
      <c r="AN122" s="3396"/>
      <c r="AO122" s="3396"/>
      <c r="AP122" s="3396"/>
      <c r="AQ122" s="2635">
        <f>+G!R17</f>
        <v>0</v>
      </c>
      <c r="AR122" s="2430"/>
      <c r="AS122" s="2635"/>
      <c r="AT122" s="2635"/>
      <c r="AU122" s="2635"/>
      <c r="AV122" s="2635"/>
      <c r="AW122" s="2430"/>
    </row>
    <row r="123" s="3329" customFormat="1" ht="11.45" hidden="1" customHeight="1" spans="1:49">
      <c r="A123" s="3386"/>
      <c r="B123" s="3386"/>
      <c r="C123" s="3388" t="s">
        <v>1809</v>
      </c>
      <c r="D123" s="3389"/>
      <c r="E123" s="3387"/>
      <c r="F123" s="3387"/>
      <c r="G123" s="3387"/>
      <c r="H123" s="3387"/>
      <c r="I123" s="3387"/>
      <c r="J123" s="3387"/>
      <c r="K123" s="3387"/>
      <c r="L123" s="3387"/>
      <c r="M123" s="3387"/>
      <c r="N123" s="3387"/>
      <c r="O123" s="3387"/>
      <c r="P123" s="3387"/>
      <c r="Q123" s="3387"/>
      <c r="R123" s="3387"/>
      <c r="S123" s="3387"/>
      <c r="T123" s="3387"/>
      <c r="U123" s="3387"/>
      <c r="V123" s="3387"/>
      <c r="W123" s="3387"/>
      <c r="X123" s="3387"/>
      <c r="Y123" s="3387"/>
      <c r="Z123" s="3387"/>
      <c r="AA123" s="3387"/>
      <c r="AB123" s="3396">
        <f>+G!I18</f>
        <v>0</v>
      </c>
      <c r="AC123" s="3396"/>
      <c r="AD123" s="3396"/>
      <c r="AE123" s="3396"/>
      <c r="AF123" s="3396"/>
      <c r="AG123" s="3396"/>
      <c r="AH123" s="3396"/>
      <c r="AI123" s="64"/>
      <c r="AJ123" s="3396">
        <f>+G!Q18</f>
        <v>0</v>
      </c>
      <c r="AK123" s="3396"/>
      <c r="AL123" s="3396"/>
      <c r="AM123" s="3396"/>
      <c r="AN123" s="3396"/>
      <c r="AO123" s="3396"/>
      <c r="AP123" s="3396"/>
      <c r="AQ123" s="2635">
        <f>+G!R18</f>
        <v>0</v>
      </c>
      <c r="AR123" s="2430"/>
      <c r="AS123" s="2635"/>
      <c r="AT123" s="2635"/>
      <c r="AU123" s="2635"/>
      <c r="AV123" s="2635"/>
      <c r="AW123" s="2430"/>
    </row>
    <row r="124" s="3329" customFormat="1" ht="11.4" hidden="1" spans="1:49">
      <c r="A124" s="3386"/>
      <c r="B124" s="3386"/>
      <c r="C124" s="3388" t="s">
        <v>1810</v>
      </c>
      <c r="D124" s="3389"/>
      <c r="E124" s="3387"/>
      <c r="F124" s="3387"/>
      <c r="G124" s="3387"/>
      <c r="H124" s="3387"/>
      <c r="I124" s="3387"/>
      <c r="J124" s="3387"/>
      <c r="K124" s="3387"/>
      <c r="L124" s="3387"/>
      <c r="M124" s="3387"/>
      <c r="N124" s="3387"/>
      <c r="O124" s="3387"/>
      <c r="P124" s="3387"/>
      <c r="Q124" s="3387"/>
      <c r="R124" s="3387"/>
      <c r="S124" s="3387"/>
      <c r="T124" s="3387"/>
      <c r="U124" s="3387"/>
      <c r="V124" s="3387"/>
      <c r="W124" s="3387"/>
      <c r="X124" s="3387"/>
      <c r="Y124" s="3387"/>
      <c r="Z124" s="3387"/>
      <c r="AA124" s="3387"/>
      <c r="AB124" s="3396">
        <f>+G!I19</f>
        <v>0</v>
      </c>
      <c r="AC124" s="3396"/>
      <c r="AD124" s="3396"/>
      <c r="AE124" s="3396"/>
      <c r="AF124" s="3396"/>
      <c r="AG124" s="3396"/>
      <c r="AH124" s="3396"/>
      <c r="AI124" s="64"/>
      <c r="AJ124" s="3396">
        <f>+G!Q19</f>
        <v>0</v>
      </c>
      <c r="AK124" s="3396"/>
      <c r="AL124" s="3396"/>
      <c r="AM124" s="3396"/>
      <c r="AN124" s="3396"/>
      <c r="AO124" s="3396"/>
      <c r="AP124" s="3396"/>
      <c r="AQ124" s="2635">
        <f>+G!R19</f>
        <v>11436422794.532</v>
      </c>
      <c r="AR124" s="2430"/>
      <c r="AS124" s="2635"/>
      <c r="AT124" s="2635"/>
      <c r="AU124" s="2635"/>
      <c r="AV124" s="2635"/>
      <c r="AW124" s="2430"/>
    </row>
    <row r="125" s="3329" customFormat="1" ht="11.45" hidden="1" customHeight="1" spans="1:49">
      <c r="A125" s="3386"/>
      <c r="B125" s="3386"/>
      <c r="C125" s="3388" t="str">
        <f>+G!C20</f>
        <v>PDP - Mitra Energi Buana PT </v>
      </c>
      <c r="D125" s="3389"/>
      <c r="E125" s="3387"/>
      <c r="F125" s="3387"/>
      <c r="G125" s="3387"/>
      <c r="H125" s="3387"/>
      <c r="I125" s="3387"/>
      <c r="J125" s="3387"/>
      <c r="K125" s="3387"/>
      <c r="L125" s="3387"/>
      <c r="M125" s="3387"/>
      <c r="N125" s="3387"/>
      <c r="O125" s="3387"/>
      <c r="P125" s="3387"/>
      <c r="Q125" s="3387"/>
      <c r="R125" s="3387"/>
      <c r="S125" s="3387"/>
      <c r="T125" s="3387"/>
      <c r="U125" s="3387"/>
      <c r="V125" s="3387"/>
      <c r="W125" s="3387"/>
      <c r="X125" s="3387"/>
      <c r="Y125" s="3387"/>
      <c r="Z125" s="3387"/>
      <c r="AA125" s="3387"/>
      <c r="AB125" s="3363"/>
      <c r="AC125" s="3363"/>
      <c r="AD125" s="3363"/>
      <c r="AE125" s="3363"/>
      <c r="AF125" s="3363"/>
      <c r="AG125" s="3363"/>
      <c r="AH125" s="3363"/>
      <c r="AI125" s="64"/>
      <c r="AJ125" s="3363"/>
      <c r="AK125" s="3363"/>
      <c r="AL125" s="3363"/>
      <c r="AM125" s="3363"/>
      <c r="AN125" s="3363"/>
      <c r="AO125" s="3363"/>
      <c r="AP125" s="3363"/>
      <c r="AQ125" s="2635">
        <f>+G!R20</f>
        <v>0</v>
      </c>
      <c r="AR125" s="2430"/>
      <c r="AS125" s="2635"/>
      <c r="AT125" s="2635"/>
      <c r="AU125" s="2635"/>
      <c r="AV125" s="2635"/>
      <c r="AW125" s="2430"/>
    </row>
    <row r="126" s="3329" customFormat="1" ht="11.45" hidden="1" customHeight="1" spans="1:49">
      <c r="A126" s="3386"/>
      <c r="B126" s="3386"/>
      <c r="C126" s="3388" t="str">
        <f>+G!C21</f>
        <v>PDP - Hotel Borobudur Jakarta PT</v>
      </c>
      <c r="D126" s="3389"/>
      <c r="E126" s="3387"/>
      <c r="F126" s="3387"/>
      <c r="G126" s="3387"/>
      <c r="H126" s="3387"/>
      <c r="I126" s="3387"/>
      <c r="J126" s="3387"/>
      <c r="K126" s="3387"/>
      <c r="L126" s="3387"/>
      <c r="M126" s="3387"/>
      <c r="N126" s="3387"/>
      <c r="O126" s="3387"/>
      <c r="P126" s="3387"/>
      <c r="Q126" s="3387"/>
      <c r="R126" s="3387"/>
      <c r="S126" s="3387"/>
      <c r="T126" s="3387"/>
      <c r="U126" s="3387"/>
      <c r="V126" s="3387"/>
      <c r="W126" s="3387"/>
      <c r="X126" s="3387"/>
      <c r="Y126" s="3387"/>
      <c r="Z126" s="3387"/>
      <c r="AA126" s="3387"/>
      <c r="AB126" s="3363"/>
      <c r="AC126" s="3363"/>
      <c r="AD126" s="3363"/>
      <c r="AE126" s="3363"/>
      <c r="AF126" s="3363"/>
      <c r="AG126" s="3363"/>
      <c r="AH126" s="3363"/>
      <c r="AI126" s="64"/>
      <c r="AJ126" s="3363"/>
      <c r="AK126" s="3363"/>
      <c r="AL126" s="3363"/>
      <c r="AM126" s="3363"/>
      <c r="AN126" s="3363"/>
      <c r="AO126" s="3363"/>
      <c r="AP126" s="3363"/>
      <c r="AQ126" s="2635">
        <f>+G!L56</f>
        <v>0</v>
      </c>
      <c r="AR126" s="2430"/>
      <c r="AS126" s="2635"/>
      <c r="AT126" s="2635"/>
      <c r="AU126" s="2635"/>
      <c r="AV126" s="2635"/>
      <c r="AW126" s="2430"/>
    </row>
    <row r="127" s="3329" customFormat="1" ht="6.95" customHeight="1" spans="1:49">
      <c r="A127" s="3386"/>
      <c r="B127" s="3386"/>
      <c r="C127" s="3390"/>
      <c r="D127" s="3389"/>
      <c r="E127" s="3387"/>
      <c r="F127" s="3387"/>
      <c r="G127" s="3387"/>
      <c r="H127" s="3387"/>
      <c r="I127" s="3387"/>
      <c r="J127" s="3387"/>
      <c r="K127" s="3387"/>
      <c r="L127" s="3387"/>
      <c r="M127" s="3387"/>
      <c r="N127" s="3387"/>
      <c r="O127" s="3387"/>
      <c r="P127" s="3387"/>
      <c r="Q127" s="3387"/>
      <c r="R127" s="3387"/>
      <c r="S127" s="3387"/>
      <c r="T127" s="3387"/>
      <c r="U127" s="3387"/>
      <c r="V127" s="3387"/>
      <c r="W127" s="3387"/>
      <c r="X127" s="3387"/>
      <c r="Y127" s="3387"/>
      <c r="Z127" s="3387"/>
      <c r="AA127" s="3387"/>
      <c r="AB127" s="3363"/>
      <c r="AC127" s="3363"/>
      <c r="AD127" s="3363"/>
      <c r="AE127" s="3363"/>
      <c r="AF127" s="3363"/>
      <c r="AG127" s="3363"/>
      <c r="AH127" s="3363"/>
      <c r="AI127" s="64"/>
      <c r="AJ127" s="3363"/>
      <c r="AK127" s="3363"/>
      <c r="AL127" s="3363"/>
      <c r="AM127" s="3363"/>
      <c r="AN127" s="3363"/>
      <c r="AO127" s="3363"/>
      <c r="AP127" s="3363"/>
      <c r="AQ127" s="2682"/>
      <c r="AR127" s="3404"/>
      <c r="AS127" s="2682"/>
      <c r="AT127" s="2682"/>
      <c r="AU127" s="2682"/>
      <c r="AV127" s="2682"/>
      <c r="AW127" s="3404"/>
    </row>
    <row r="128" s="3329" customFormat="1" ht="15" customHeight="1" spans="1:50">
      <c r="A128" s="3386"/>
      <c r="B128" s="3386"/>
      <c r="C128" s="3322" t="s">
        <v>1811</v>
      </c>
      <c r="D128" s="3389"/>
      <c r="E128" s="3387"/>
      <c r="F128" s="3387"/>
      <c r="G128" s="3387"/>
      <c r="H128" s="3387"/>
      <c r="I128" s="3387"/>
      <c r="J128" s="3387"/>
      <c r="K128" s="3387"/>
      <c r="L128" s="3387"/>
      <c r="M128" s="3387"/>
      <c r="N128" s="3387"/>
      <c r="O128" s="3387"/>
      <c r="P128" s="3387"/>
      <c r="Q128" s="3387"/>
      <c r="R128" s="3387"/>
      <c r="S128" s="3387"/>
      <c r="T128" s="3387"/>
      <c r="U128" s="3387"/>
      <c r="V128" s="3387"/>
      <c r="W128" s="3387"/>
      <c r="X128" s="3387"/>
      <c r="Y128" s="3387"/>
      <c r="Z128" s="3387"/>
      <c r="AA128" s="3387"/>
      <c r="AB128" s="3367">
        <f>SUM(AB118:AH127)</f>
        <v>19775231777.09</v>
      </c>
      <c r="AC128" s="3367"/>
      <c r="AD128" s="3367"/>
      <c r="AE128" s="3367"/>
      <c r="AF128" s="3367"/>
      <c r="AG128" s="3367"/>
      <c r="AH128" s="3367"/>
      <c r="AI128" s="94"/>
      <c r="AJ128" s="3367">
        <f>SUM(AJ118:AP127)</f>
        <v>25610278304.9818</v>
      </c>
      <c r="AK128" s="3367"/>
      <c r="AL128" s="3367"/>
      <c r="AM128" s="3367"/>
      <c r="AN128" s="3367"/>
      <c r="AO128" s="3367"/>
      <c r="AP128" s="3367"/>
      <c r="AQ128" s="3401">
        <f>SUM(AQ118:AW127)</f>
        <v>37294524612.7138</v>
      </c>
      <c r="AR128" s="3405"/>
      <c r="AS128" s="3405"/>
      <c r="AT128" s="3405"/>
      <c r="AU128" s="3405"/>
      <c r="AV128" s="3405"/>
      <c r="AW128" s="3405"/>
      <c r="AX128" s="3402"/>
    </row>
    <row r="129" s="3329" customFormat="1" ht="12.75" spans="1:84">
      <c r="A129" s="3340"/>
      <c r="B129" s="3315"/>
      <c r="C129" s="3407"/>
      <c r="D129" s="3407"/>
      <c r="E129" s="3341"/>
      <c r="F129" s="3341"/>
      <c r="G129" s="3341"/>
      <c r="H129" s="3341"/>
      <c r="I129" s="3341"/>
      <c r="J129" s="3341"/>
      <c r="K129" s="3341"/>
      <c r="L129" s="3341"/>
      <c r="M129" s="3341"/>
      <c r="N129" s="3341"/>
      <c r="O129" s="3341"/>
      <c r="P129" s="3341"/>
      <c r="Q129" s="3341"/>
      <c r="R129" s="3341"/>
      <c r="S129" s="3341"/>
      <c r="T129" s="3341"/>
      <c r="U129" s="3341"/>
      <c r="V129" s="3341"/>
      <c r="W129" s="3341"/>
      <c r="X129" s="3341"/>
      <c r="Y129" s="3341"/>
      <c r="Z129" s="3341"/>
      <c r="AA129" s="3341"/>
      <c r="AB129" s="2682"/>
      <c r="AC129" s="2682"/>
      <c r="AD129" s="2682"/>
      <c r="AE129" s="2682"/>
      <c r="AF129" s="2682"/>
      <c r="AG129" s="2682"/>
      <c r="AH129" s="2682"/>
      <c r="AI129" s="3341"/>
      <c r="AJ129" s="2682"/>
      <c r="AK129" s="2682"/>
      <c r="AL129" s="2682"/>
      <c r="AM129" s="2682"/>
      <c r="AN129" s="2682"/>
      <c r="AO129" s="2682"/>
      <c r="AP129" s="2682"/>
      <c r="AQ129" s="3386">
        <f>A90+1</f>
        <v>10</v>
      </c>
      <c r="AR129" s="3386"/>
      <c r="AS129" s="3386"/>
      <c r="AT129" s="3386"/>
      <c r="AU129" s="3386"/>
      <c r="AV129" s="3386"/>
      <c r="AW129" s="3386"/>
      <c r="AX129" s="3386"/>
      <c r="AY129" s="3386"/>
      <c r="AZ129" s="3386"/>
      <c r="BA129" s="3386"/>
      <c r="BB129" s="3386"/>
      <c r="BC129" s="3386"/>
      <c r="BD129" s="3386"/>
      <c r="BE129" s="3386"/>
      <c r="BF129" s="3386"/>
      <c r="BG129" s="3386"/>
      <c r="BH129" s="3386"/>
      <c r="BI129" s="3386"/>
      <c r="BJ129" s="3386"/>
      <c r="BK129" s="3386"/>
      <c r="BL129" s="3386"/>
      <c r="BM129" s="3386"/>
      <c r="BN129" s="3386"/>
      <c r="BO129" s="3386"/>
      <c r="BP129" s="3386"/>
      <c r="BQ129" s="3386"/>
      <c r="BR129" s="3386"/>
      <c r="BS129" s="3386"/>
      <c r="BT129" s="3386"/>
      <c r="BU129" s="3386"/>
      <c r="BV129" s="3386"/>
      <c r="BW129" s="3386"/>
      <c r="BX129" s="3386"/>
      <c r="BY129" s="3386"/>
      <c r="BZ129" s="3386"/>
      <c r="CA129" s="3386"/>
      <c r="CB129" s="3386"/>
      <c r="CC129" s="3386"/>
      <c r="CD129" s="3386"/>
      <c r="CE129" s="3386"/>
      <c r="CF129" s="3386"/>
    </row>
    <row r="130" s="3329" customFormat="1" ht="24" customHeight="1" spans="1:49">
      <c r="A130" s="3340"/>
      <c r="B130" s="3315"/>
      <c r="C130" s="5084" t="s">
        <v>1812</v>
      </c>
      <c r="D130" s="3341"/>
      <c r="E130" s="3341"/>
      <c r="F130" s="3341"/>
      <c r="G130" s="3341"/>
      <c r="H130" s="3341"/>
      <c r="I130" s="3341"/>
      <c r="J130" s="3341"/>
      <c r="K130" s="3341"/>
      <c r="L130" s="3341"/>
      <c r="M130" s="3341"/>
      <c r="N130" s="3341"/>
      <c r="O130" s="3341"/>
      <c r="P130" s="3341"/>
      <c r="Q130" s="3341"/>
      <c r="R130" s="3341"/>
      <c r="S130" s="3341"/>
      <c r="T130" s="3341"/>
      <c r="U130" s="3341"/>
      <c r="V130" s="3341"/>
      <c r="W130" s="3341"/>
      <c r="X130" s="3341"/>
      <c r="Y130" s="3341"/>
      <c r="Z130" s="3341"/>
      <c r="AA130" s="3341"/>
      <c r="AB130" s="3341"/>
      <c r="AC130" s="3341"/>
      <c r="AD130" s="3341"/>
      <c r="AE130" s="3341"/>
      <c r="AF130" s="3341"/>
      <c r="AG130" s="3341"/>
      <c r="AH130" s="3341"/>
      <c r="AI130" s="3341"/>
      <c r="AJ130" s="3341"/>
      <c r="AK130" s="3341"/>
      <c r="AL130" s="3341"/>
      <c r="AM130" s="3341"/>
      <c r="AN130" s="3341"/>
      <c r="AO130" s="3341"/>
      <c r="AP130" s="3341"/>
      <c r="AW130" s="3402"/>
    </row>
    <row r="131" s="3329" customFormat="1" ht="7.5" customHeight="1" spans="1:49">
      <c r="A131" s="3340"/>
      <c r="B131" s="3315"/>
      <c r="C131" s="3341"/>
      <c r="D131" s="3341"/>
      <c r="E131" s="3341"/>
      <c r="F131" s="3341"/>
      <c r="G131" s="3341"/>
      <c r="H131" s="3341"/>
      <c r="I131" s="3341"/>
      <c r="J131" s="3341"/>
      <c r="K131" s="3341"/>
      <c r="L131" s="3341"/>
      <c r="M131" s="3341"/>
      <c r="N131" s="3341"/>
      <c r="O131" s="3341"/>
      <c r="P131" s="3341"/>
      <c r="Q131" s="3341"/>
      <c r="R131" s="3341"/>
      <c r="S131" s="3341"/>
      <c r="T131" s="3341"/>
      <c r="U131" s="3341"/>
      <c r="V131" s="3341"/>
      <c r="W131" s="3341"/>
      <c r="X131" s="3341"/>
      <c r="Y131" s="3341"/>
      <c r="Z131" s="3341"/>
      <c r="AA131" s="3341"/>
      <c r="AB131" s="3341"/>
      <c r="AC131" s="3341"/>
      <c r="AD131" s="3341"/>
      <c r="AE131" s="3341"/>
      <c r="AF131" s="3341"/>
      <c r="AG131" s="3341"/>
      <c r="AH131" s="3341"/>
      <c r="AI131" s="3341"/>
      <c r="AJ131" s="3341"/>
      <c r="AK131" s="3341"/>
      <c r="AL131" s="3341"/>
      <c r="AM131" s="3341"/>
      <c r="AN131" s="3341"/>
      <c r="AO131" s="3341"/>
      <c r="AP131" s="3341"/>
      <c r="AW131" s="3402"/>
    </row>
    <row r="132" s="3329" customFormat="1" spans="1:49">
      <c r="A132" s="3340"/>
      <c r="B132" s="3315"/>
      <c r="C132" s="5084" t="s">
        <v>2087</v>
      </c>
      <c r="D132" s="3341"/>
      <c r="E132" s="3341"/>
      <c r="F132" s="3341"/>
      <c r="G132" s="3341"/>
      <c r="H132" s="3341"/>
      <c r="I132" s="3341"/>
      <c r="J132" s="3341"/>
      <c r="K132" s="3341"/>
      <c r="L132" s="3341"/>
      <c r="M132" s="3341"/>
      <c r="N132" s="3341"/>
      <c r="O132" s="3341"/>
      <c r="P132" s="3341"/>
      <c r="Q132" s="3341"/>
      <c r="R132" s="3341"/>
      <c r="S132" s="3341"/>
      <c r="T132" s="3341"/>
      <c r="U132" s="3341"/>
      <c r="V132" s="3341"/>
      <c r="W132" s="3341"/>
      <c r="X132" s="3341"/>
      <c r="Y132" s="3341"/>
      <c r="Z132" s="3341"/>
      <c r="AA132" s="3341"/>
      <c r="AB132" s="3341"/>
      <c r="AC132" s="3341"/>
      <c r="AD132" s="3341"/>
      <c r="AE132" s="3341"/>
      <c r="AF132" s="3341"/>
      <c r="AG132" s="3341"/>
      <c r="AH132" s="3341"/>
      <c r="AI132" s="3341"/>
      <c r="AJ132" s="3341"/>
      <c r="AK132" s="3341"/>
      <c r="AL132" s="3341"/>
      <c r="AM132" s="3341"/>
      <c r="AN132" s="3341"/>
      <c r="AO132" s="3341"/>
      <c r="AP132" s="3341"/>
      <c r="AW132" s="3402"/>
    </row>
    <row r="133" s="3329" customFormat="1" ht="15.6" customHeight="1" spans="1:49">
      <c r="A133" s="3340"/>
      <c r="B133" s="3315"/>
      <c r="C133" s="3339"/>
      <c r="D133" s="3339"/>
      <c r="E133" s="3339"/>
      <c r="F133" s="3339"/>
      <c r="G133" s="3339"/>
      <c r="H133" s="3339"/>
      <c r="I133" s="3339"/>
      <c r="J133" s="3339"/>
      <c r="K133" s="3339"/>
      <c r="L133" s="3339"/>
      <c r="M133" s="3339"/>
      <c r="N133" s="3339"/>
      <c r="O133" s="3339"/>
      <c r="P133" s="3339"/>
      <c r="Q133" s="3339"/>
      <c r="R133" s="3339"/>
      <c r="S133" s="3339"/>
      <c r="T133" s="3339"/>
      <c r="U133" s="3339"/>
      <c r="V133" s="3339"/>
      <c r="W133" s="3339"/>
      <c r="X133" s="3339"/>
      <c r="Y133" s="3339"/>
      <c r="Z133" s="3339"/>
      <c r="AA133" s="3339"/>
      <c r="AB133" s="3339"/>
      <c r="AC133" s="3339"/>
      <c r="AD133" s="3339"/>
      <c r="AE133" s="3339"/>
      <c r="AF133" s="3339"/>
      <c r="AG133" s="3339"/>
      <c r="AH133" s="3339"/>
      <c r="AI133" s="3339"/>
      <c r="AJ133" s="3339"/>
      <c r="AK133" s="3339"/>
      <c r="AL133" s="3339"/>
      <c r="AM133" s="3339"/>
      <c r="AN133" s="3339"/>
      <c r="AO133" s="3339"/>
      <c r="AP133" s="3339"/>
      <c r="AW133" s="3402"/>
    </row>
    <row r="134" s="3330" customFormat="1" customHeight="1" spans="1:49">
      <c r="A134" s="3335">
        <f>+A116+1</f>
        <v>8</v>
      </c>
      <c r="B134" s="64"/>
      <c r="C134" s="3322" t="s">
        <v>1814</v>
      </c>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c r="AG134" s="64"/>
      <c r="AH134" s="64"/>
      <c r="AI134" s="3326"/>
      <c r="AJ134" s="3326"/>
      <c r="AL134" s="3326"/>
      <c r="AM134" s="3326"/>
      <c r="AN134" s="3326"/>
      <c r="AO134" s="3326"/>
      <c r="AP134" s="3326"/>
      <c r="AQ134" s="3326"/>
      <c r="AR134" s="3331"/>
      <c r="AW134" s="3371"/>
    </row>
    <row r="135" s="3330" customFormat="1" ht="9.2" customHeight="1" spans="1:49">
      <c r="A135" s="3315"/>
      <c r="B135" s="3315"/>
      <c r="C135" s="3340"/>
      <c r="D135" s="3322"/>
      <c r="E135" s="3322"/>
      <c r="F135" s="3322"/>
      <c r="G135" s="3322"/>
      <c r="H135" s="3322"/>
      <c r="I135" s="3322"/>
      <c r="J135" s="3322"/>
      <c r="K135" s="3326"/>
      <c r="L135" s="3326"/>
      <c r="M135" s="3326"/>
      <c r="N135" s="3326"/>
      <c r="O135" s="3322"/>
      <c r="P135" s="3335"/>
      <c r="Q135" s="3335"/>
      <c r="R135" s="3335"/>
      <c r="S135" s="3335"/>
      <c r="T135" s="3335"/>
      <c r="U135" s="3335"/>
      <c r="V135" s="3326"/>
      <c r="W135" s="3335"/>
      <c r="X135" s="3335"/>
      <c r="Y135" s="3335"/>
      <c r="Z135" s="3335"/>
      <c r="AA135" s="3335"/>
      <c r="AB135" s="3335"/>
      <c r="AC135" s="3326"/>
      <c r="AD135" s="3335"/>
      <c r="AE135" s="3335"/>
      <c r="AF135" s="3335"/>
      <c r="AG135" s="3335"/>
      <c r="AH135" s="3335"/>
      <c r="AI135" s="3335"/>
      <c r="AJ135" s="3326"/>
      <c r="AK135" s="3335"/>
      <c r="AL135" s="3335"/>
      <c r="AM135" s="3335"/>
      <c r="AN135" s="3335"/>
      <c r="AO135" s="3335"/>
      <c r="AP135" s="3335"/>
      <c r="AQ135" s="3326"/>
      <c r="AR135" s="3331"/>
      <c r="AW135" s="3371"/>
    </row>
    <row r="136" s="3330" customFormat="1" customHeight="1" spans="1:49">
      <c r="A136" s="3315"/>
      <c r="B136" s="3315"/>
      <c r="C136" s="5085" t="s">
        <v>1020</v>
      </c>
      <c r="D136" s="3408"/>
      <c r="E136" s="3408"/>
      <c r="F136" s="3408"/>
      <c r="G136" s="3408"/>
      <c r="H136" s="3408"/>
      <c r="I136" s="3322"/>
      <c r="J136" s="3322"/>
      <c r="K136" s="3322"/>
      <c r="L136" s="3322"/>
      <c r="M136" s="3322"/>
      <c r="N136" s="3326"/>
      <c r="O136" s="3322"/>
      <c r="P136" s="3335" t="s">
        <v>1028</v>
      </c>
      <c r="Q136" s="3335"/>
      <c r="R136" s="3335"/>
      <c r="S136" s="3335"/>
      <c r="T136" s="3335"/>
      <c r="U136" s="3335"/>
      <c r="V136" s="3326"/>
      <c r="W136" s="3335" t="s">
        <v>1816</v>
      </c>
      <c r="X136" s="3335"/>
      <c r="Y136" s="3335"/>
      <c r="Z136" s="3335"/>
      <c r="AA136" s="3335"/>
      <c r="AB136" s="3335"/>
      <c r="AC136" s="3326"/>
      <c r="AD136" s="3419" t="s">
        <v>1817</v>
      </c>
      <c r="AE136" s="3419"/>
      <c r="AF136" s="3419"/>
      <c r="AG136" s="3419"/>
      <c r="AH136" s="3419"/>
      <c r="AI136" s="3419"/>
      <c r="AJ136" s="3326"/>
      <c r="AK136" s="3335" t="s">
        <v>1030</v>
      </c>
      <c r="AL136" s="3335"/>
      <c r="AM136" s="3335"/>
      <c r="AN136" s="3335"/>
      <c r="AO136" s="3335"/>
      <c r="AP136" s="3335"/>
      <c r="AQ136" s="3326"/>
      <c r="AR136" s="3331"/>
      <c r="AW136" s="3371"/>
    </row>
    <row r="137" s="3330" customFormat="1" customHeight="1" spans="1:49">
      <c r="A137" s="3315"/>
      <c r="B137" s="3315"/>
      <c r="C137" s="3409"/>
      <c r="D137" s="3322"/>
      <c r="E137" s="3322"/>
      <c r="F137" s="3322"/>
      <c r="G137" s="3322"/>
      <c r="H137" s="3322"/>
      <c r="I137" s="3322"/>
      <c r="J137" s="3322"/>
      <c r="K137" s="3322"/>
      <c r="L137" s="3322"/>
      <c r="M137" s="3322"/>
      <c r="N137" s="3326"/>
      <c r="O137" s="3322"/>
      <c r="P137" s="3413"/>
      <c r="Q137" s="3413"/>
      <c r="R137" s="3413"/>
      <c r="S137" s="3413"/>
      <c r="T137" s="3413"/>
      <c r="U137" s="3413"/>
      <c r="V137" s="3326"/>
      <c r="W137" s="3413"/>
      <c r="X137" s="3413"/>
      <c r="Y137" s="3413"/>
      <c r="Z137" s="3413"/>
      <c r="AA137" s="3413"/>
      <c r="AB137" s="3413"/>
      <c r="AC137" s="3326"/>
      <c r="AD137" s="3420"/>
      <c r="AE137" s="3420"/>
      <c r="AF137" s="3420"/>
      <c r="AG137" s="3420"/>
      <c r="AH137" s="3420"/>
      <c r="AI137" s="3420"/>
      <c r="AJ137" s="3326"/>
      <c r="AK137" s="3413"/>
      <c r="AL137" s="3413"/>
      <c r="AM137" s="3413"/>
      <c r="AN137" s="3413"/>
      <c r="AO137" s="3413"/>
      <c r="AP137" s="3413"/>
      <c r="AQ137" s="3326"/>
      <c r="AR137" s="3331"/>
      <c r="AW137" s="3371"/>
    </row>
    <row r="138" s="3330" customFormat="1" customHeight="1" spans="1:49">
      <c r="A138" s="3315"/>
      <c r="B138" s="3315"/>
      <c r="C138" s="3410" t="s">
        <v>301</v>
      </c>
      <c r="D138" s="3410"/>
      <c r="E138" s="3410"/>
      <c r="F138" s="3410"/>
      <c r="G138" s="3410"/>
      <c r="H138" s="3410"/>
      <c r="I138" s="3315"/>
      <c r="J138" s="3315"/>
      <c r="K138" s="3326"/>
      <c r="L138" s="3326"/>
      <c r="M138" s="3326"/>
      <c r="N138" s="3326"/>
      <c r="O138" s="3315"/>
      <c r="P138" s="3414"/>
      <c r="Q138" s="3414"/>
      <c r="R138" s="3414"/>
      <c r="S138" s="3414"/>
      <c r="T138" s="3414"/>
      <c r="U138" s="3414"/>
      <c r="V138" s="3326"/>
      <c r="W138" s="3414"/>
      <c r="X138" s="3414"/>
      <c r="Y138" s="3414"/>
      <c r="Z138" s="3414"/>
      <c r="AA138" s="3414"/>
      <c r="AB138" s="3414"/>
      <c r="AC138" s="3326"/>
      <c r="AD138" s="3414"/>
      <c r="AE138" s="3414"/>
      <c r="AF138" s="3414"/>
      <c r="AG138" s="3414"/>
      <c r="AH138" s="3414"/>
      <c r="AI138" s="3414"/>
      <c r="AJ138" s="3326"/>
      <c r="AK138" s="3315"/>
      <c r="AL138" s="3315"/>
      <c r="AM138" s="3315"/>
      <c r="AN138" s="3315"/>
      <c r="AO138" s="3315"/>
      <c r="AP138" s="3315"/>
      <c r="AQ138" s="3326"/>
      <c r="AR138" s="3331"/>
      <c r="AW138" s="3371"/>
    </row>
    <row r="139" s="3330" customFormat="1" customHeight="1" spans="1:49">
      <c r="A139" s="3315"/>
      <c r="B139" s="3315"/>
      <c r="C139" s="1" t="s">
        <v>2088</v>
      </c>
      <c r="D139" s="3315"/>
      <c r="E139" s="3315"/>
      <c r="F139" s="3315"/>
      <c r="G139" s="3315"/>
      <c r="H139" s="3315"/>
      <c r="I139" s="3315"/>
      <c r="J139" s="3315"/>
      <c r="K139" s="3326"/>
      <c r="L139" s="3326"/>
      <c r="M139" s="3326"/>
      <c r="N139" s="3326"/>
      <c r="O139" s="3315"/>
      <c r="P139" s="3415">
        <f>+AK165</f>
        <v>10715682004.9076</v>
      </c>
      <c r="Q139" s="3415"/>
      <c r="R139" s="3415"/>
      <c r="S139" s="3415"/>
      <c r="T139" s="3415"/>
      <c r="U139" s="3415"/>
      <c r="V139" s="3326"/>
      <c r="W139" s="3415">
        <f>+UV!P13</f>
        <v>0</v>
      </c>
      <c r="X139" s="3415"/>
      <c r="Y139" s="3415"/>
      <c r="Z139" s="3415"/>
      <c r="AA139" s="3415"/>
      <c r="AB139" s="3415"/>
      <c r="AC139" s="3326"/>
      <c r="AD139" s="3418">
        <f>+UV!Q13+UV!U13</f>
        <v>0</v>
      </c>
      <c r="AE139" s="3418"/>
      <c r="AF139" s="3418"/>
      <c r="AG139" s="3418"/>
      <c r="AH139" s="3418"/>
      <c r="AI139" s="3418"/>
      <c r="AJ139" s="3326"/>
      <c r="AK139">
        <f>+P139+W139-AD139</f>
        <v>10715682004.9076</v>
      </c>
      <c r="AL139"/>
      <c r="AM139"/>
      <c r="AN139"/>
      <c r="AO139"/>
      <c r="AP139"/>
      <c r="AQ139" s="3326"/>
      <c r="AR139" s="3331"/>
      <c r="AW139" s="3371"/>
    </row>
    <row r="140" s="3330" customFormat="1" customHeight="1" spans="1:49">
      <c r="A140" s="3315"/>
      <c r="B140" s="3315"/>
      <c r="C140" s="1" t="s">
        <v>1406</v>
      </c>
      <c r="D140" s="3315"/>
      <c r="E140" s="3315"/>
      <c r="F140" s="3315"/>
      <c r="G140" s="3315"/>
      <c r="H140" s="3315"/>
      <c r="I140" s="3315"/>
      <c r="J140" s="3315"/>
      <c r="K140" s="3326"/>
      <c r="L140" s="3326"/>
      <c r="M140" s="3326"/>
      <c r="N140" s="3326"/>
      <c r="O140" s="3315"/>
      <c r="P140" s="3415">
        <f>+AK166</f>
        <v>2391499425.09237</v>
      </c>
      <c r="Q140" s="3415"/>
      <c r="R140" s="3415"/>
      <c r="S140" s="3415"/>
      <c r="T140" s="3415"/>
      <c r="U140" s="3415"/>
      <c r="V140" s="3326"/>
      <c r="W140" s="3415">
        <f>+UV!P14</f>
        <v>0</v>
      </c>
      <c r="X140" s="3415"/>
      <c r="Y140" s="3415"/>
      <c r="Z140" s="3415"/>
      <c r="AA140" s="3415"/>
      <c r="AB140" s="3415"/>
      <c r="AC140" s="3326"/>
      <c r="AD140" s="3418">
        <f>+UV!Q14+UV!U14</f>
        <v>1251663380</v>
      </c>
      <c r="AE140" s="3418"/>
      <c r="AF140" s="3418"/>
      <c r="AG140" s="3418"/>
      <c r="AH140" s="3418"/>
      <c r="AI140" s="3418"/>
      <c r="AJ140" s="3326"/>
      <c r="AK140">
        <f>+P140+W140-AD140</f>
        <v>1139836045.09237</v>
      </c>
      <c r="AL140"/>
      <c r="AM140"/>
      <c r="AN140"/>
      <c r="AO140"/>
      <c r="AP140"/>
      <c r="AQ140" s="3326"/>
      <c r="AR140" s="3331"/>
      <c r="AW140" s="3371"/>
    </row>
    <row r="141" s="3330" customFormat="1" customHeight="1" spans="1:49">
      <c r="A141" s="3315"/>
      <c r="B141" s="3315"/>
      <c r="C141" s="1" t="s">
        <v>39</v>
      </c>
      <c r="D141" s="3315"/>
      <c r="E141" s="3315"/>
      <c r="F141" s="3315"/>
      <c r="G141" s="3315"/>
      <c r="H141" s="3315"/>
      <c r="I141" s="3315"/>
      <c r="J141" s="3315"/>
      <c r="K141" s="3326"/>
      <c r="L141" s="3326"/>
      <c r="M141" s="3326"/>
      <c r="N141" s="3326"/>
      <c r="O141" s="3415"/>
      <c r="P141" s="3415">
        <f>+AK167</f>
        <v>1993697576</v>
      </c>
      <c r="Q141" s="3415"/>
      <c r="R141" s="3415"/>
      <c r="S141" s="3415"/>
      <c r="T141" s="3415"/>
      <c r="U141" s="3415"/>
      <c r="V141" s="3326"/>
      <c r="W141" s="3415">
        <f>+UV!P15</f>
        <v>0</v>
      </c>
      <c r="X141" s="3415"/>
      <c r="Y141" s="3415"/>
      <c r="Z141" s="3415"/>
      <c r="AA141" s="3415"/>
      <c r="AB141" s="3415"/>
      <c r="AC141" s="3326"/>
      <c r="AD141" s="3418">
        <f>+UV!Q15+UV!U15</f>
        <v>0</v>
      </c>
      <c r="AE141" s="3418"/>
      <c r="AF141" s="3418"/>
      <c r="AG141" s="3418"/>
      <c r="AH141" s="3418"/>
      <c r="AI141" s="3418"/>
      <c r="AJ141" s="3326"/>
      <c r="AK141">
        <f>+P141+W141-AD141</f>
        <v>1993697576</v>
      </c>
      <c r="AL141"/>
      <c r="AM141"/>
      <c r="AN141"/>
      <c r="AO141"/>
      <c r="AP141"/>
      <c r="AQ141" s="3326"/>
      <c r="AS141" s="3331"/>
      <c r="AW141" s="3371"/>
    </row>
    <row r="142" s="3330" customFormat="1" ht="11.4" spans="1:49">
      <c r="A142" s="3315"/>
      <c r="B142" s="3315"/>
      <c r="C142" s="1" t="s">
        <v>1417</v>
      </c>
      <c r="D142" s="3315"/>
      <c r="E142" s="3315"/>
      <c r="F142" s="3315"/>
      <c r="G142" s="3315"/>
      <c r="H142" s="3315"/>
      <c r="I142" s="3315"/>
      <c r="J142" s="3315"/>
      <c r="K142" s="3326"/>
      <c r="L142" s="3326"/>
      <c r="M142" s="3326"/>
      <c r="N142" s="3326"/>
      <c r="O142" s="3415"/>
      <c r="P142" s="3415">
        <f>+AK168</f>
        <v>14051839033.3333</v>
      </c>
      <c r="Q142" s="3415"/>
      <c r="R142" s="3415"/>
      <c r="S142" s="3415"/>
      <c r="T142" s="3415"/>
      <c r="U142" s="3415"/>
      <c r="V142" s="3326"/>
      <c r="W142" s="3415">
        <f>+UV!P16</f>
        <v>1589217281</v>
      </c>
      <c r="X142" s="3415"/>
      <c r="Y142" s="3415"/>
      <c r="Z142" s="3415"/>
      <c r="AA142" s="3415"/>
      <c r="AB142" s="3415"/>
      <c r="AC142" s="3326"/>
      <c r="AD142" s="3418">
        <f>+UV!Q16+UV!U16</f>
        <v>0</v>
      </c>
      <c r="AE142" s="3418"/>
      <c r="AF142" s="3418"/>
      <c r="AG142" s="3418"/>
      <c r="AH142" s="3418"/>
      <c r="AI142" s="3418"/>
      <c r="AJ142" s="3326"/>
      <c r="AK142">
        <f>+P142+W142-AD142</f>
        <v>15641056314.3333</v>
      </c>
      <c r="AL142"/>
      <c r="AM142"/>
      <c r="AN142"/>
      <c r="AO142"/>
      <c r="AP142"/>
      <c r="AQ142" s="3326"/>
      <c r="AS142" s="3331"/>
      <c r="AW142" s="3371"/>
    </row>
    <row r="143" s="3330" customFormat="1" ht="11.4" spans="1:49">
      <c r="A143" s="3315"/>
      <c r="B143" s="3315"/>
      <c r="C143" s="1" t="s">
        <v>127</v>
      </c>
      <c r="D143" s="3315"/>
      <c r="E143" s="3315"/>
      <c r="F143" s="3315"/>
      <c r="G143" s="3315"/>
      <c r="H143" s="3315"/>
      <c r="I143" s="3315"/>
      <c r="J143" s="3315"/>
      <c r="K143" s="3326"/>
      <c r="L143" s="3326"/>
      <c r="M143" s="3326"/>
      <c r="N143" s="3326"/>
      <c r="O143" s="3415"/>
      <c r="P143" s="3415">
        <f>+AK169</f>
        <v>418436400</v>
      </c>
      <c r="Q143" s="3415"/>
      <c r="R143" s="3415"/>
      <c r="S143" s="3415"/>
      <c r="T143" s="3415"/>
      <c r="U143" s="3415"/>
      <c r="V143" s="3326"/>
      <c r="W143" s="3415">
        <f>+UV!P17</f>
        <v>0</v>
      </c>
      <c r="X143" s="3415"/>
      <c r="Y143" s="3415"/>
      <c r="Z143" s="3415"/>
      <c r="AA143" s="3415"/>
      <c r="AB143" s="3415"/>
      <c r="AC143" s="3326"/>
      <c r="AD143" s="3418">
        <f>+UV!Q17+UV!U17</f>
        <v>0</v>
      </c>
      <c r="AE143" s="3418"/>
      <c r="AF143" s="3418"/>
      <c r="AG143" s="3418"/>
      <c r="AH143" s="3418"/>
      <c r="AI143" s="3418"/>
      <c r="AJ143" s="3326"/>
      <c r="AK143">
        <f>+P143+W143-AD143</f>
        <v>418436400</v>
      </c>
      <c r="AL143"/>
      <c r="AM143"/>
      <c r="AN143"/>
      <c r="AO143"/>
      <c r="AP143"/>
      <c r="AQ143" s="3326"/>
      <c r="AS143" s="3331"/>
      <c r="AW143" s="3371"/>
    </row>
    <row r="144" s="3330" customFormat="1" ht="4.5" customHeight="1" spans="1:49">
      <c r="A144" s="3315"/>
      <c r="B144" s="3315"/>
      <c r="C144" s="1"/>
      <c r="D144" s="3315"/>
      <c r="E144" s="3315"/>
      <c r="F144" s="3315"/>
      <c r="G144" s="3315"/>
      <c r="H144" s="3315"/>
      <c r="I144" s="3315"/>
      <c r="J144" s="3315"/>
      <c r="K144" s="3326"/>
      <c r="L144" s="3326"/>
      <c r="M144" s="3326"/>
      <c r="N144" s="3326"/>
      <c r="O144" s="3416"/>
      <c r="P144" s="3417"/>
      <c r="Q144" s="3417"/>
      <c r="R144" s="3417"/>
      <c r="S144" s="3417"/>
      <c r="T144" s="3417"/>
      <c r="U144" s="3417"/>
      <c r="V144" s="3326"/>
      <c r="W144" s="3417"/>
      <c r="X144" s="3417"/>
      <c r="Y144" s="3417"/>
      <c r="Z144" s="3417"/>
      <c r="AA144" s="3417"/>
      <c r="AB144" s="3417"/>
      <c r="AC144" s="3326"/>
      <c r="AD144" s="3421"/>
      <c r="AE144" s="3421"/>
      <c r="AF144" s="3421"/>
      <c r="AG144" s="3421"/>
      <c r="AH144" s="3421"/>
      <c r="AI144" s="3421"/>
      <c r="AJ144" s="3326"/>
      <c r="AK144" s="164"/>
      <c r="AL144" s="164"/>
      <c r="AM144" s="164"/>
      <c r="AN144" s="164"/>
      <c r="AO144" s="164"/>
      <c r="AP144" s="164"/>
      <c r="AQ144" s="3326"/>
      <c r="AS144" s="3331"/>
      <c r="AW144" s="3371"/>
    </row>
    <row r="145" s="3330" customFormat="1" spans="1:49">
      <c r="A145" s="3315"/>
      <c r="C145" s="22" t="s">
        <v>396</v>
      </c>
      <c r="D145" s="3315"/>
      <c r="E145" s="3315"/>
      <c r="F145" s="3315"/>
      <c r="G145" s="3315"/>
      <c r="H145" s="3315"/>
      <c r="I145" s="3315"/>
      <c r="J145" s="3315"/>
      <c r="K145" s="3326"/>
      <c r="L145" s="3326"/>
      <c r="M145" s="3326"/>
      <c r="N145" s="3326"/>
      <c r="O145" s="3415"/>
      <c r="P145" s="3415">
        <f>SUM(P139:U144)</f>
        <v>29571154439.3333</v>
      </c>
      <c r="Q145" s="3415"/>
      <c r="R145" s="3415"/>
      <c r="S145" s="3415"/>
      <c r="T145" s="3415"/>
      <c r="U145" s="3415"/>
      <c r="V145" s="3326"/>
      <c r="W145" s="3415">
        <f>SUM(W139:AB144)</f>
        <v>1589217281</v>
      </c>
      <c r="X145" s="3415"/>
      <c r="Y145" s="3415"/>
      <c r="Z145" s="3415"/>
      <c r="AA145" s="3415"/>
      <c r="AB145" s="3415"/>
      <c r="AC145" s="3326"/>
      <c r="AD145" s="3422">
        <f>SUM(AD139:AI144)</f>
        <v>1251663380</v>
      </c>
      <c r="AE145" s="3422"/>
      <c r="AF145" s="3422"/>
      <c r="AG145" s="3422"/>
      <c r="AH145" s="3422"/>
      <c r="AI145" s="3422"/>
      <c r="AJ145" s="3326"/>
      <c r="AK145">
        <f>SUM(AK139:AP144)</f>
        <v>29908708340.3333</v>
      </c>
      <c r="AL145"/>
      <c r="AM145"/>
      <c r="AN145"/>
      <c r="AO145"/>
      <c r="AP145"/>
      <c r="AQ145" s="3326">
        <f>+AK171-'F1'!P30</f>
        <v>0</v>
      </c>
      <c r="AS145" s="3331"/>
      <c r="AW145" s="3371"/>
    </row>
    <row r="146" s="3330" customFormat="1" ht="9.2" customHeight="1" spans="1:49">
      <c r="A146" s="3315"/>
      <c r="B146" s="3315"/>
      <c r="C146" s="3315"/>
      <c r="D146" s="3315"/>
      <c r="E146" s="3315"/>
      <c r="F146" s="3315"/>
      <c r="G146" s="3315"/>
      <c r="H146" s="3315"/>
      <c r="I146" s="3315"/>
      <c r="J146" s="3315"/>
      <c r="K146" s="3326"/>
      <c r="L146" s="3326"/>
      <c r="M146" s="3326"/>
      <c r="N146" s="3326"/>
      <c r="O146" s="3315"/>
      <c r="P146" s="3315"/>
      <c r="Q146" s="3315"/>
      <c r="R146" s="3315"/>
      <c r="S146" s="3315"/>
      <c r="T146" s="3315"/>
      <c r="U146" s="3315"/>
      <c r="V146" s="3326"/>
      <c r="W146" s="3315"/>
      <c r="X146" s="3315"/>
      <c r="Y146" s="3315"/>
      <c r="Z146" s="3315"/>
      <c r="AA146" s="3315"/>
      <c r="AB146" s="3315"/>
      <c r="AC146" s="3326"/>
      <c r="AD146" s="3315"/>
      <c r="AE146" s="3315"/>
      <c r="AF146" s="3315"/>
      <c r="AG146" s="3315"/>
      <c r="AH146" s="3315"/>
      <c r="AI146" s="3315"/>
      <c r="AJ146" s="3326"/>
      <c r="AK146"/>
      <c r="AL146"/>
      <c r="AM146"/>
      <c r="AN146"/>
      <c r="AO146"/>
      <c r="AP146"/>
      <c r="AQ146" s="3326"/>
      <c r="AS146" s="3331"/>
      <c r="AW146" s="3371"/>
    </row>
    <row r="147" s="3330" customFormat="1" customHeight="1" spans="1:49">
      <c r="A147" s="3315"/>
      <c r="B147" s="3315"/>
      <c r="C147" s="3409" t="s">
        <v>147</v>
      </c>
      <c r="D147" s="3315"/>
      <c r="E147" s="3315"/>
      <c r="F147" s="3315"/>
      <c r="G147" s="3315"/>
      <c r="H147" s="3315"/>
      <c r="I147" s="3315"/>
      <c r="J147" s="3315"/>
      <c r="K147" s="3326"/>
      <c r="L147" s="3326"/>
      <c r="M147" s="3326"/>
      <c r="N147" s="3326"/>
      <c r="O147" s="3315"/>
      <c r="P147" s="3415"/>
      <c r="Q147" s="3415"/>
      <c r="R147" s="3415"/>
      <c r="S147" s="3415"/>
      <c r="T147" s="3415"/>
      <c r="U147" s="3415"/>
      <c r="V147" s="3326"/>
      <c r="W147" s="3414"/>
      <c r="X147" s="3414"/>
      <c r="Y147" s="3414"/>
      <c r="Z147" s="3414"/>
      <c r="AA147" s="3414"/>
      <c r="AB147" s="3414"/>
      <c r="AC147" s="3326"/>
      <c r="AD147" s="3414"/>
      <c r="AE147" s="3414"/>
      <c r="AF147" s="3414"/>
      <c r="AG147" s="3414"/>
      <c r="AH147" s="3414"/>
      <c r="AI147" s="3414"/>
      <c r="AJ147" s="3326"/>
      <c r="AK147"/>
      <c r="AL147"/>
      <c r="AM147"/>
      <c r="AN147"/>
      <c r="AO147"/>
      <c r="AP147"/>
      <c r="AQ147" s="3326"/>
      <c r="AS147" s="3331"/>
      <c r="AW147" s="3371"/>
    </row>
    <row r="148" s="3330" customFormat="1" customHeight="1" spans="1:49">
      <c r="A148" s="3315"/>
      <c r="B148" s="3315"/>
      <c r="C148" s="1" t="str">
        <f>+C140</f>
        <v>Bangunan</v>
      </c>
      <c r="D148" s="3411"/>
      <c r="E148" s="3315"/>
      <c r="F148" s="3315"/>
      <c r="G148" s="3315"/>
      <c r="H148" s="3315"/>
      <c r="I148" s="3315"/>
      <c r="J148" s="3315"/>
      <c r="K148" s="3326"/>
      <c r="L148" s="3326"/>
      <c r="M148" s="3326"/>
      <c r="N148" s="3326"/>
      <c r="O148" s="3415"/>
      <c r="P148" s="3415">
        <f>+AK174</f>
        <v>1050008364.68671</v>
      </c>
      <c r="Q148" s="3415"/>
      <c r="R148" s="3415"/>
      <c r="S148" s="3415"/>
      <c r="T148" s="3415"/>
      <c r="U148" s="3415"/>
      <c r="V148" s="3326"/>
      <c r="W148" s="3418">
        <f>+UV!P26+UV!U26</f>
        <v>265644087.700619</v>
      </c>
      <c r="X148" s="3418"/>
      <c r="Y148" s="3418"/>
      <c r="Z148" s="3418"/>
      <c r="AA148" s="3418"/>
      <c r="AB148" s="3418"/>
      <c r="AC148" s="3326"/>
      <c r="AD148" s="3418">
        <f>+UV!Q22+UV!T26</f>
        <v>1043261427.23</v>
      </c>
      <c r="AE148" s="3418"/>
      <c r="AF148" s="3418"/>
      <c r="AG148" s="3418"/>
      <c r="AH148" s="3418"/>
      <c r="AI148" s="3418"/>
      <c r="AJ148" s="3326"/>
      <c r="AK148">
        <f>+P148+W148-AD148</f>
        <v>272391025.157331</v>
      </c>
      <c r="AL148"/>
      <c r="AM148"/>
      <c r="AN148"/>
      <c r="AO148"/>
      <c r="AP148"/>
      <c r="AQ148" s="3326"/>
      <c r="AS148" s="3331"/>
      <c r="AW148" s="3371"/>
    </row>
    <row r="149" s="3330" customFormat="1" customHeight="1" spans="1:49">
      <c r="A149" s="3315"/>
      <c r="B149" s="3315"/>
      <c r="C149" s="1" t="str">
        <f>+C141</f>
        <v>Kendaraan</v>
      </c>
      <c r="D149" s="3411"/>
      <c r="E149" s="3315"/>
      <c r="F149" s="3315"/>
      <c r="G149" s="3315"/>
      <c r="H149" s="3315"/>
      <c r="I149" s="3315"/>
      <c r="J149" s="3315"/>
      <c r="K149" s="3326"/>
      <c r="L149" s="3326"/>
      <c r="M149" s="3326"/>
      <c r="N149" s="3326"/>
      <c r="O149" s="3415"/>
      <c r="P149" s="3415">
        <f>+AK175</f>
        <v>862088573.875</v>
      </c>
      <c r="Q149" s="3415"/>
      <c r="R149" s="3415"/>
      <c r="S149" s="3415"/>
      <c r="T149" s="3415"/>
      <c r="U149" s="3415"/>
      <c r="V149" s="3326"/>
      <c r="W149" s="3418">
        <f>+UV!P27+UV!U27</f>
        <v>245099697</v>
      </c>
      <c r="X149" s="3418"/>
      <c r="Y149" s="3418"/>
      <c r="Z149" s="3418"/>
      <c r="AA149" s="3418"/>
      <c r="AB149" s="3418"/>
      <c r="AC149" s="3326"/>
      <c r="AD149" s="3418">
        <f>+UV!Q23+UV!T27</f>
        <v>0</v>
      </c>
      <c r="AE149" s="3418"/>
      <c r="AF149" s="3418"/>
      <c r="AG149" s="3418"/>
      <c r="AH149" s="3418"/>
      <c r="AI149" s="3418"/>
      <c r="AJ149" s="3326"/>
      <c r="AK149">
        <f>+P149+W149-AD149</f>
        <v>1107188270.875</v>
      </c>
      <c r="AL149"/>
      <c r="AM149"/>
      <c r="AN149"/>
      <c r="AO149"/>
      <c r="AP149"/>
      <c r="AQ149" s="3326"/>
      <c r="AS149" s="3331"/>
      <c r="AW149" s="3371"/>
    </row>
    <row r="150" s="3330" customFormat="1" customHeight="1" spans="1:49">
      <c r="A150" s="3315"/>
      <c r="B150" s="3315"/>
      <c r="C150" s="1" t="str">
        <f>+C142</f>
        <v>Peralatan Proyek</v>
      </c>
      <c r="D150" s="3315"/>
      <c r="E150" s="3315"/>
      <c r="F150" s="3315"/>
      <c r="G150" s="3315"/>
      <c r="H150" s="3315"/>
      <c r="I150" s="3315"/>
      <c r="J150" s="3315"/>
      <c r="K150" s="3326"/>
      <c r="L150" s="3326"/>
      <c r="M150" s="3326"/>
      <c r="N150" s="3326"/>
      <c r="O150" s="3415"/>
      <c r="P150" s="3415">
        <f>+AK176</f>
        <v>11314996335.0417</v>
      </c>
      <c r="Q150" s="3415"/>
      <c r="R150" s="3415"/>
      <c r="S150" s="3415"/>
      <c r="T150" s="3415"/>
      <c r="U150" s="3415"/>
      <c r="V150" s="3326"/>
      <c r="W150" s="3418">
        <f>+UV!P28+UV!U28</f>
        <v>1655768639.20978</v>
      </c>
      <c r="X150" s="3418"/>
      <c r="Y150" s="3418"/>
      <c r="Z150" s="3418"/>
      <c r="AA150" s="3418"/>
      <c r="AB150" s="3418"/>
      <c r="AC150" s="3326"/>
      <c r="AD150" s="3418">
        <f>+UV!Q24+UV!T28</f>
        <v>0</v>
      </c>
      <c r="AE150" s="3418"/>
      <c r="AF150" s="3418"/>
      <c r="AG150" s="3418"/>
      <c r="AH150" s="3418"/>
      <c r="AI150" s="3418"/>
      <c r="AJ150" s="3326"/>
      <c r="AK150">
        <f>+P150+W150-AD150</f>
        <v>12970764974.2514</v>
      </c>
      <c r="AL150"/>
      <c r="AM150"/>
      <c r="AN150"/>
      <c r="AO150"/>
      <c r="AP150"/>
      <c r="AQ150" s="3326"/>
      <c r="AS150" s="3331"/>
      <c r="AW150" s="3371"/>
    </row>
    <row r="151" s="3330" customFormat="1" customHeight="1" spans="1:49">
      <c r="A151" s="3315"/>
      <c r="B151" s="3315"/>
      <c r="C151" s="1" t="str">
        <f>+C143</f>
        <v>Peralatan Kantor</v>
      </c>
      <c r="D151" s="3315"/>
      <c r="E151" s="3315"/>
      <c r="F151" s="3315"/>
      <c r="G151" s="3315"/>
      <c r="H151" s="3315"/>
      <c r="I151" s="3315"/>
      <c r="J151" s="3315"/>
      <c r="K151" s="3326"/>
      <c r="L151" s="3326"/>
      <c r="M151" s="3326"/>
      <c r="N151" s="3326"/>
      <c r="O151" s="3415"/>
      <c r="P151" s="3415">
        <f>+AK177</f>
        <v>369552206.25</v>
      </c>
      <c r="Q151" s="3415"/>
      <c r="R151" s="3415"/>
      <c r="S151" s="3415"/>
      <c r="T151" s="3415"/>
      <c r="U151" s="3415"/>
      <c r="V151" s="3326"/>
      <c r="W151" s="3418">
        <f>+UV!P29+UV!U29</f>
        <v>34652745.8333333</v>
      </c>
      <c r="X151" s="3418"/>
      <c r="Y151" s="3418"/>
      <c r="Z151" s="3418"/>
      <c r="AA151" s="3418"/>
      <c r="AB151" s="3418"/>
      <c r="AC151" s="3326"/>
      <c r="AD151" s="3418">
        <f>+UV!Q25+UV!T29</f>
        <v>0</v>
      </c>
      <c r="AE151" s="3418"/>
      <c r="AF151" s="3418"/>
      <c r="AG151" s="3418"/>
      <c r="AH151" s="3418"/>
      <c r="AI151" s="3418"/>
      <c r="AJ151" s="3326"/>
      <c r="AK151">
        <f>+P151+W151-AD151</f>
        <v>404204952.083333</v>
      </c>
      <c r="AL151"/>
      <c r="AM151"/>
      <c r="AN151"/>
      <c r="AO151"/>
      <c r="AP151"/>
      <c r="AQ151" s="3326"/>
      <c r="AS151" s="3331"/>
      <c r="AW151" s="3371"/>
    </row>
    <row r="152" s="3330" customFormat="1" ht="4.5" customHeight="1" spans="1:49">
      <c r="A152" s="3315"/>
      <c r="B152" s="3315"/>
      <c r="C152" s="3411"/>
      <c r="D152" s="3315"/>
      <c r="E152" s="3315"/>
      <c r="F152" s="3315"/>
      <c r="G152" s="3315"/>
      <c r="H152" s="3315"/>
      <c r="I152" s="3315"/>
      <c r="J152" s="3315"/>
      <c r="K152" s="3326"/>
      <c r="L152" s="3326"/>
      <c r="M152" s="3326"/>
      <c r="N152" s="3326"/>
      <c r="O152" s="3416"/>
      <c r="P152" s="3417"/>
      <c r="Q152" s="3417"/>
      <c r="R152" s="3417"/>
      <c r="S152" s="3417"/>
      <c r="T152" s="3417"/>
      <c r="U152" s="3417"/>
      <c r="V152" s="3326"/>
      <c r="W152" s="3417"/>
      <c r="X152" s="3417"/>
      <c r="Y152" s="3417"/>
      <c r="Z152" s="3417"/>
      <c r="AA152" s="3417"/>
      <c r="AB152" s="3417"/>
      <c r="AC152" s="3326"/>
      <c r="AD152" s="3421"/>
      <c r="AE152" s="3421"/>
      <c r="AF152" s="3421"/>
      <c r="AG152" s="3421"/>
      <c r="AH152" s="3421"/>
      <c r="AI152" s="3421"/>
      <c r="AJ152" s="3326"/>
      <c r="AK152" s="3417"/>
      <c r="AL152" s="3417"/>
      <c r="AM152" s="3417"/>
      <c r="AN152" s="3417"/>
      <c r="AO152" s="3417"/>
      <c r="AP152" s="3417"/>
      <c r="AQ152" s="3326"/>
      <c r="AS152" s="3331"/>
      <c r="AW152" s="3371"/>
    </row>
    <row r="153" s="3330" customFormat="1" customHeight="1" spans="1:49">
      <c r="A153" s="3315"/>
      <c r="B153" s="3315"/>
      <c r="C153" s="3322" t="s">
        <v>151</v>
      </c>
      <c r="D153" s="3315"/>
      <c r="E153" s="3315"/>
      <c r="F153" s="3315"/>
      <c r="G153" s="3315"/>
      <c r="H153" s="3315"/>
      <c r="I153" s="3315"/>
      <c r="J153" s="3315"/>
      <c r="K153" s="3326"/>
      <c r="L153" s="3326"/>
      <c r="M153" s="3326"/>
      <c r="N153" s="3326"/>
      <c r="O153" s="3416"/>
      <c r="P153" s="3415">
        <f>SUM(P148:U152)</f>
        <v>13596645479.8534</v>
      </c>
      <c r="Q153" s="3415"/>
      <c r="R153" s="3415"/>
      <c r="S153" s="3415"/>
      <c r="T153" s="3415"/>
      <c r="U153" s="3415"/>
      <c r="V153" s="3326"/>
      <c r="W153" s="3415">
        <f>SUM(W148:AB152)</f>
        <v>2201165169.74373</v>
      </c>
      <c r="X153" s="3415"/>
      <c r="Y153" s="3415"/>
      <c r="Z153" s="3415"/>
      <c r="AA153" s="3415"/>
      <c r="AB153" s="3415"/>
      <c r="AC153" s="3326"/>
      <c r="AD153" s="3415">
        <f>SUM(AD148:AI152)</f>
        <v>1043261427.23</v>
      </c>
      <c r="AE153" s="3415"/>
      <c r="AF153" s="3415"/>
      <c r="AG153" s="3415"/>
      <c r="AH153" s="3415"/>
      <c r="AI153" s="3415"/>
      <c r="AJ153" s="3326"/>
      <c r="AK153" s="3415">
        <f>SUM(AK148:AP152)</f>
        <v>14754549222.3671</v>
      </c>
      <c r="AL153" s="3415"/>
      <c r="AM153" s="3415"/>
      <c r="AN153" s="3415"/>
      <c r="AO153" s="3415"/>
      <c r="AP153" s="3415"/>
      <c r="AQ153" s="3326"/>
      <c r="AS153" s="3331"/>
      <c r="AW153" s="3371"/>
    </row>
    <row r="154" s="3330" customFormat="1" ht="6" customHeight="1" spans="1:49">
      <c r="A154" s="3315"/>
      <c r="B154" s="3315"/>
      <c r="C154" s="3411"/>
      <c r="D154" s="3315"/>
      <c r="E154" s="3315"/>
      <c r="F154" s="3315"/>
      <c r="G154" s="3315"/>
      <c r="H154" s="3315"/>
      <c r="I154" s="3315"/>
      <c r="J154" s="3315"/>
      <c r="K154" s="3326"/>
      <c r="L154" s="3326"/>
      <c r="M154" s="3326"/>
      <c r="N154" s="3326"/>
      <c r="O154" s="3416"/>
      <c r="P154" s="3415"/>
      <c r="Q154" s="3415"/>
      <c r="R154" s="3415"/>
      <c r="S154" s="3415"/>
      <c r="T154" s="3415"/>
      <c r="U154" s="3415"/>
      <c r="V154" s="3326"/>
      <c r="W154" s="3418"/>
      <c r="X154" s="3418"/>
      <c r="Y154" s="3418"/>
      <c r="Z154" s="3418"/>
      <c r="AA154" s="3418"/>
      <c r="AB154" s="3418"/>
      <c r="AC154" s="3326"/>
      <c r="AD154" s="3418"/>
      <c r="AE154" s="3418"/>
      <c r="AF154" s="3418"/>
      <c r="AG154" s="3418"/>
      <c r="AH154" s="3418"/>
      <c r="AI154" s="3418"/>
      <c r="AJ154" s="3326"/>
      <c r="AK154" s="3415"/>
      <c r="AL154" s="3415"/>
      <c r="AM154" s="3415"/>
      <c r="AN154" s="3415"/>
      <c r="AO154" s="3415"/>
      <c r="AP154" s="3415"/>
      <c r="AQ154" s="3326"/>
      <c r="AS154" s="3331"/>
      <c r="AW154" s="3371"/>
    </row>
    <row r="155" s="3330" customFormat="1" customHeight="1" spans="1:49">
      <c r="A155" s="3315"/>
      <c r="B155" s="3315"/>
      <c r="C155" s="3322" t="s">
        <v>1819</v>
      </c>
      <c r="D155" s="3322"/>
      <c r="E155" s="3322"/>
      <c r="F155" s="3322"/>
      <c r="G155" s="3322"/>
      <c r="H155" s="3322"/>
      <c r="I155" s="3322"/>
      <c r="J155" s="3322"/>
      <c r="K155" s="3326"/>
      <c r="L155" s="3326"/>
      <c r="M155" s="3326"/>
      <c r="N155" s="3326"/>
      <c r="O155" s="94"/>
      <c r="P155" s="3324">
        <f>+P145-P153</f>
        <v>15974508959.48</v>
      </c>
      <c r="Q155" s="3324"/>
      <c r="R155" s="3324"/>
      <c r="S155" s="3324"/>
      <c r="T155" s="3324"/>
      <c r="U155" s="3324"/>
      <c r="V155" s="3326"/>
      <c r="W155" s="3418"/>
      <c r="X155" s="3418"/>
      <c r="Y155" s="3418"/>
      <c r="Z155" s="3418"/>
      <c r="AA155" s="3418"/>
      <c r="AB155" s="3418"/>
      <c r="AC155" s="3326"/>
      <c r="AJ155" s="3326"/>
      <c r="AK155" s="3423">
        <f>+AK145-AK153</f>
        <v>15154159117.9662</v>
      </c>
      <c r="AL155" s="3423"/>
      <c r="AM155" s="3423"/>
      <c r="AN155" s="3423"/>
      <c r="AO155" s="3423"/>
      <c r="AP155" s="3423"/>
      <c r="AQ155" s="3326">
        <f>+AK181-'F1'!P32</f>
        <v>-0.333332061767578</v>
      </c>
      <c r="AS155" s="3331"/>
      <c r="AW155" s="3371"/>
    </row>
    <row r="156" s="3330" customFormat="1" customHeight="1" spans="1:49">
      <c r="A156" s="3315"/>
      <c r="B156" s="3315"/>
      <c r="C156" s="3322"/>
      <c r="D156" s="3322"/>
      <c r="E156" s="3322"/>
      <c r="F156" s="3322"/>
      <c r="G156" s="3322"/>
      <c r="H156" s="3322"/>
      <c r="I156" s="3322"/>
      <c r="J156" s="3322"/>
      <c r="K156" s="3326"/>
      <c r="L156" s="3326"/>
      <c r="M156" s="3326"/>
      <c r="N156" s="3326"/>
      <c r="O156" s="94"/>
      <c r="P156" s="3415">
        <f>+AK201-P181</f>
        <v>0</v>
      </c>
      <c r="Q156" s="3415"/>
      <c r="R156" s="3415"/>
      <c r="S156" s="3415"/>
      <c r="T156" s="3415"/>
      <c r="U156" s="3415"/>
      <c r="V156" s="3326"/>
      <c r="W156" s="3418"/>
      <c r="X156" s="3418"/>
      <c r="Y156" s="3418"/>
      <c r="Z156" s="3418"/>
      <c r="AA156" s="3418"/>
      <c r="AB156" s="3418"/>
      <c r="AC156" s="3326"/>
      <c r="AJ156" s="3326"/>
      <c r="AK156" s="3424"/>
      <c r="AL156" s="3424"/>
      <c r="AM156" s="3424"/>
      <c r="AN156" s="3424"/>
      <c r="AO156" s="3424"/>
      <c r="AP156" s="3424"/>
      <c r="AQ156" s="3326"/>
      <c r="AS156" s="3331"/>
      <c r="AW156" s="3371"/>
    </row>
    <row r="157" s="3330" customFormat="1" customHeight="1" spans="1:49">
      <c r="A157" s="3315"/>
      <c r="B157" s="3315"/>
      <c r="C157" s="3322"/>
      <c r="D157" s="3322"/>
      <c r="E157" s="3322"/>
      <c r="F157" s="3322"/>
      <c r="G157" s="3322"/>
      <c r="H157" s="3322"/>
      <c r="I157" s="3322"/>
      <c r="J157" s="3322"/>
      <c r="K157" s="3326"/>
      <c r="L157" s="3326"/>
      <c r="M157" s="3326"/>
      <c r="N157" s="3326"/>
      <c r="O157" s="94"/>
      <c r="P157" s="3415"/>
      <c r="Q157" s="3415"/>
      <c r="R157" s="3415"/>
      <c r="S157" s="3415"/>
      <c r="T157" s="3415"/>
      <c r="U157" s="3415"/>
      <c r="V157" s="3326"/>
      <c r="W157" s="3418"/>
      <c r="X157" s="3418"/>
      <c r="Y157" s="3418"/>
      <c r="Z157" s="3418"/>
      <c r="AA157" s="3418"/>
      <c r="AB157" s="3418"/>
      <c r="AC157" s="3326"/>
      <c r="AJ157" s="3326"/>
      <c r="AK157" s="3424"/>
      <c r="AL157" s="3424"/>
      <c r="AM157" s="3424"/>
      <c r="AN157" s="3424"/>
      <c r="AO157" s="3424"/>
      <c r="AP157" s="3424"/>
      <c r="AQ157" s="3326"/>
      <c r="AS157" s="3331"/>
      <c r="AW157" s="3371"/>
    </row>
    <row r="158" s="3330" customFormat="1" customHeight="1" spans="1:49">
      <c r="A158" s="3315"/>
      <c r="B158" s="3315"/>
      <c r="C158" s="3322"/>
      <c r="D158" s="3322"/>
      <c r="E158" s="3322"/>
      <c r="F158" s="3322"/>
      <c r="G158" s="3322"/>
      <c r="H158" s="3322"/>
      <c r="I158" s="3322"/>
      <c r="J158" s="3322"/>
      <c r="K158" s="3326"/>
      <c r="L158" s="3326"/>
      <c r="M158" s="3326"/>
      <c r="N158" s="3326"/>
      <c r="O158" s="94"/>
      <c r="P158" s="3415"/>
      <c r="Q158" s="3415"/>
      <c r="R158" s="3415"/>
      <c r="S158" s="3415"/>
      <c r="T158" s="3415"/>
      <c r="U158" s="3415"/>
      <c r="V158" s="3326"/>
      <c r="W158" s="3418"/>
      <c r="X158" s="3418"/>
      <c r="Y158" s="3418"/>
      <c r="Z158" s="3418"/>
      <c r="AA158" s="3418"/>
      <c r="AB158" s="3418"/>
      <c r="AC158" s="3326"/>
      <c r="AJ158" s="3326"/>
      <c r="AK158" s="3424"/>
      <c r="AL158" s="3424"/>
      <c r="AM158" s="3424"/>
      <c r="AN158" s="3424"/>
      <c r="AO158" s="3424"/>
      <c r="AP158" s="3424"/>
      <c r="AQ158" s="3326"/>
      <c r="AS158" s="3331"/>
      <c r="AW158" s="3371"/>
    </row>
    <row r="159" s="3330" customFormat="1" customHeight="1" spans="1:49">
      <c r="A159" s="3385">
        <f>+A90+1</f>
        <v>10</v>
      </c>
      <c r="B159" s="3385"/>
      <c r="C159" s="3385"/>
      <c r="D159" s="3385"/>
      <c r="E159" s="3385"/>
      <c r="F159" s="3385"/>
      <c r="G159" s="3385"/>
      <c r="H159" s="3385"/>
      <c r="I159" s="3385"/>
      <c r="J159" s="3385"/>
      <c r="K159" s="3385"/>
      <c r="L159" s="3385"/>
      <c r="M159" s="3385"/>
      <c r="N159" s="3385"/>
      <c r="O159" s="3385"/>
      <c r="P159" s="3385"/>
      <c r="Q159" s="3385"/>
      <c r="R159" s="3385"/>
      <c r="S159" s="3385"/>
      <c r="T159" s="3385"/>
      <c r="U159" s="3385"/>
      <c r="V159" s="3385"/>
      <c r="W159" s="3385"/>
      <c r="X159" s="3385"/>
      <c r="Y159" s="3385"/>
      <c r="Z159" s="3385"/>
      <c r="AA159" s="3385"/>
      <c r="AB159" s="3385"/>
      <c r="AC159" s="3385"/>
      <c r="AD159" s="3385"/>
      <c r="AE159" s="3385"/>
      <c r="AF159" s="3385"/>
      <c r="AG159" s="3385"/>
      <c r="AH159" s="3385"/>
      <c r="AI159" s="3385"/>
      <c r="AJ159" s="3385"/>
      <c r="AK159" s="3385"/>
      <c r="AL159" s="3385"/>
      <c r="AM159" s="3385"/>
      <c r="AN159" s="3385"/>
      <c r="AO159" s="3385"/>
      <c r="AP159" s="3385"/>
      <c r="AQ159" s="3326"/>
      <c r="AS159" s="3331"/>
      <c r="AW159" s="3371"/>
    </row>
    <row r="160" s="3330" customFormat="1" customHeight="1" spans="1:49">
      <c r="A160" s="3335">
        <f>+A134</f>
        <v>8</v>
      </c>
      <c r="B160" s="64"/>
      <c r="C160" s="3322" t="s">
        <v>1820</v>
      </c>
      <c r="D160" s="64"/>
      <c r="E160" s="3322"/>
      <c r="F160" s="3322"/>
      <c r="G160" s="3322"/>
      <c r="H160" s="3322"/>
      <c r="I160" s="3322"/>
      <c r="J160" s="3322"/>
      <c r="K160" s="3326"/>
      <c r="L160" s="3326"/>
      <c r="M160" s="3326"/>
      <c r="N160" s="3326"/>
      <c r="O160" s="94"/>
      <c r="P160" s="3415"/>
      <c r="Q160" s="3415"/>
      <c r="R160" s="3415"/>
      <c r="S160" s="3415"/>
      <c r="T160" s="3415"/>
      <c r="U160" s="3415"/>
      <c r="V160" s="3326"/>
      <c r="W160" s="3418"/>
      <c r="X160" s="3418"/>
      <c r="Y160" s="3418"/>
      <c r="Z160" s="3418"/>
      <c r="AA160" s="3418"/>
      <c r="AB160" s="3418"/>
      <c r="AC160" s="3326"/>
      <c r="AJ160" s="3326"/>
      <c r="AK160" s="3424"/>
      <c r="AL160" s="3424"/>
      <c r="AM160" s="3424"/>
      <c r="AN160" s="3424"/>
      <c r="AO160" s="3424"/>
      <c r="AP160" s="3424"/>
      <c r="AQ160" s="3326"/>
      <c r="AS160" s="3331"/>
      <c r="AW160" s="3371"/>
    </row>
    <row r="161" s="3330" customFormat="1" customHeight="1" spans="1:49">
      <c r="A161" s="3315"/>
      <c r="B161" s="3315"/>
      <c r="C161" s="3322"/>
      <c r="D161" s="3322"/>
      <c r="E161" s="3322"/>
      <c r="F161" s="3322"/>
      <c r="G161" s="3322"/>
      <c r="H161" s="3322"/>
      <c r="I161" s="3322"/>
      <c r="J161" s="3322"/>
      <c r="K161" s="3326"/>
      <c r="L161" s="3326"/>
      <c r="M161" s="3326"/>
      <c r="N161" s="3326"/>
      <c r="O161" s="94"/>
      <c r="P161" s="3415"/>
      <c r="Q161" s="3415"/>
      <c r="R161" s="3415"/>
      <c r="S161" s="3415"/>
      <c r="T161" s="3415"/>
      <c r="U161" s="3415"/>
      <c r="V161" s="3326"/>
      <c r="W161" s="3418"/>
      <c r="X161" s="3418"/>
      <c r="Y161" s="3418"/>
      <c r="Z161" s="3418"/>
      <c r="AA161" s="3418"/>
      <c r="AB161" s="3418"/>
      <c r="AC161" s="3326"/>
      <c r="AJ161" s="3326"/>
      <c r="AK161" s="3424"/>
      <c r="AL161" s="3424"/>
      <c r="AM161" s="3424"/>
      <c r="AN161" s="3424"/>
      <c r="AO161" s="3424"/>
      <c r="AP161" s="3424"/>
      <c r="AQ161" s="3326"/>
      <c r="AS161" s="3331"/>
      <c r="AW161" s="3371"/>
    </row>
    <row r="162" s="3330" customFormat="1" customHeight="1" spans="1:49">
      <c r="A162" s="3315"/>
      <c r="B162" s="3315"/>
      <c r="C162" s="5085" t="s">
        <v>1815</v>
      </c>
      <c r="D162" s="3408"/>
      <c r="E162" s="3408"/>
      <c r="F162" s="3408"/>
      <c r="G162" s="3408"/>
      <c r="H162" s="3408"/>
      <c r="I162" s="3322"/>
      <c r="J162" s="3322"/>
      <c r="K162" s="3322"/>
      <c r="L162" s="3322"/>
      <c r="M162" s="3322"/>
      <c r="N162" s="3326"/>
      <c r="O162" s="3322"/>
      <c r="P162" s="3335" t="s">
        <v>1028</v>
      </c>
      <c r="Q162" s="3335"/>
      <c r="R162" s="3335"/>
      <c r="S162" s="3335"/>
      <c r="T162" s="3335"/>
      <c r="U162" s="3335"/>
      <c r="V162" s="3326"/>
      <c r="W162" s="3335" t="s">
        <v>1816</v>
      </c>
      <c r="X162" s="3335"/>
      <c r="Y162" s="3335"/>
      <c r="Z162" s="3335"/>
      <c r="AA162" s="3335"/>
      <c r="AB162" s="3335"/>
      <c r="AC162" s="3326"/>
      <c r="AD162" s="3419" t="s">
        <v>1817</v>
      </c>
      <c r="AE162" s="3419"/>
      <c r="AF162" s="3419"/>
      <c r="AG162" s="3419"/>
      <c r="AH162" s="3419"/>
      <c r="AI162" s="3419"/>
      <c r="AJ162" s="3326"/>
      <c r="AK162" s="3335" t="s">
        <v>1030</v>
      </c>
      <c r="AL162" s="3335"/>
      <c r="AM162" s="3335"/>
      <c r="AN162" s="3335"/>
      <c r="AO162" s="3335"/>
      <c r="AP162" s="3335"/>
      <c r="AQ162" s="3326"/>
      <c r="AS162" s="3331"/>
      <c r="AW162" s="3371"/>
    </row>
    <row r="163" s="3330" customFormat="1" customHeight="1" spans="1:49">
      <c r="A163" s="3315"/>
      <c r="B163" s="3315"/>
      <c r="C163" s="3409"/>
      <c r="D163" s="3322"/>
      <c r="E163" s="3322"/>
      <c r="F163" s="3322"/>
      <c r="G163" s="3322"/>
      <c r="H163" s="3322"/>
      <c r="I163" s="3322"/>
      <c r="J163" s="3322"/>
      <c r="K163" s="3322"/>
      <c r="L163" s="3322"/>
      <c r="M163" s="3322"/>
      <c r="N163" s="3326"/>
      <c r="O163" s="3322"/>
      <c r="P163" s="3413"/>
      <c r="Q163" s="3413"/>
      <c r="R163" s="3413"/>
      <c r="S163" s="3413"/>
      <c r="T163" s="3413"/>
      <c r="U163" s="3413"/>
      <c r="V163" s="3326"/>
      <c r="W163" s="3413"/>
      <c r="X163" s="3413"/>
      <c r="Y163" s="3413"/>
      <c r="Z163" s="3413"/>
      <c r="AA163" s="3413"/>
      <c r="AB163" s="3413"/>
      <c r="AC163" s="3326"/>
      <c r="AD163" s="3420"/>
      <c r="AE163" s="3420"/>
      <c r="AF163" s="3420"/>
      <c r="AG163" s="3420"/>
      <c r="AH163" s="3420"/>
      <c r="AI163" s="3420"/>
      <c r="AJ163" s="3326"/>
      <c r="AK163" s="3413"/>
      <c r="AL163" s="3413"/>
      <c r="AM163" s="3413"/>
      <c r="AN163" s="3413"/>
      <c r="AO163" s="3413"/>
      <c r="AP163" s="3413"/>
      <c r="AQ163" s="3326"/>
      <c r="AS163" s="3331"/>
      <c r="AW163" s="3371"/>
    </row>
    <row r="164" s="3330" customFormat="1" customHeight="1" spans="1:49">
      <c r="A164" s="3315"/>
      <c r="B164" s="3315"/>
      <c r="C164" s="3410" t="s">
        <v>301</v>
      </c>
      <c r="D164" s="3410"/>
      <c r="E164" s="3410"/>
      <c r="F164" s="3410"/>
      <c r="G164" s="3410"/>
      <c r="H164" s="3410"/>
      <c r="I164" s="3315"/>
      <c r="J164" s="3315"/>
      <c r="K164" s="3326"/>
      <c r="L164" s="3326"/>
      <c r="M164" s="3326"/>
      <c r="N164" s="3326"/>
      <c r="O164" s="3315"/>
      <c r="P164" s="3414"/>
      <c r="Q164" s="3414"/>
      <c r="R164" s="3414"/>
      <c r="S164" s="3414"/>
      <c r="T164" s="3414"/>
      <c r="U164" s="3414"/>
      <c r="V164" s="3326"/>
      <c r="W164" s="3414"/>
      <c r="X164" s="3414"/>
      <c r="Y164" s="3414"/>
      <c r="Z164" s="3414"/>
      <c r="AA164" s="3414"/>
      <c r="AB164" s="3414"/>
      <c r="AC164" s="3326"/>
      <c r="AD164" s="3414"/>
      <c r="AE164" s="3414"/>
      <c r="AF164" s="3414"/>
      <c r="AG164" s="3414"/>
      <c r="AH164" s="3414"/>
      <c r="AI164" s="3414"/>
      <c r="AJ164" s="3326"/>
      <c r="AK164" s="3315"/>
      <c r="AL164" s="3315"/>
      <c r="AM164" s="3315"/>
      <c r="AN164" s="3315"/>
      <c r="AO164" s="3315"/>
      <c r="AP164" s="3315"/>
      <c r="AQ164" s="3326"/>
      <c r="AS164" s="3331"/>
      <c r="AW164" s="3371"/>
    </row>
    <row r="165" s="3330" customFormat="1" customHeight="1" spans="1:49">
      <c r="A165" s="3315"/>
      <c r="B165" s="3315"/>
      <c r="C165" s="1" t="s">
        <v>2088</v>
      </c>
      <c r="D165" s="3315"/>
      <c r="E165" s="3315"/>
      <c r="F165" s="3315"/>
      <c r="G165" s="3315"/>
      <c r="H165" s="3315"/>
      <c r="I165" s="3315"/>
      <c r="J165" s="3315"/>
      <c r="K165" s="3326"/>
      <c r="L165" s="3326"/>
      <c r="M165" s="3326"/>
      <c r="N165" s="3326"/>
      <c r="O165" s="3315"/>
      <c r="P165" s="3415">
        <f>+UV!G13</f>
        <v>10715682004.9076</v>
      </c>
      <c r="Q165" s="3415"/>
      <c r="R165" s="3415"/>
      <c r="S165" s="3415"/>
      <c r="T165" s="3415"/>
      <c r="U165" s="3415"/>
      <c r="V165" s="3326"/>
      <c r="W165" s="3415">
        <f>+UV!H13</f>
        <v>0</v>
      </c>
      <c r="X165" s="3415"/>
      <c r="Y165" s="3415"/>
      <c r="Z165" s="3415"/>
      <c r="AA165" s="3415"/>
      <c r="AB165" s="3415"/>
      <c r="AC165" s="3326"/>
      <c r="AD165" s="3418">
        <f>+UV!I13</f>
        <v>0</v>
      </c>
      <c r="AE165" s="3418"/>
      <c r="AF165" s="3418"/>
      <c r="AG165" s="3418"/>
      <c r="AH165" s="3418"/>
      <c r="AI165" s="3418"/>
      <c r="AJ165" s="3326"/>
      <c r="AK165">
        <f>+P165+W165-AD165</f>
        <v>10715682004.9076</v>
      </c>
      <c r="AL165"/>
      <c r="AM165"/>
      <c r="AN165"/>
      <c r="AO165"/>
      <c r="AP165"/>
      <c r="AQ165" s="3326"/>
      <c r="AS165" s="3331"/>
      <c r="AW165" s="3371"/>
    </row>
    <row r="166" s="3330" customFormat="1" customHeight="1" spans="1:49">
      <c r="A166" s="3315"/>
      <c r="B166" s="3315"/>
      <c r="C166" s="1" t="s">
        <v>1406</v>
      </c>
      <c r="D166" s="3315"/>
      <c r="E166" s="3315"/>
      <c r="F166" s="3315"/>
      <c r="G166" s="3315"/>
      <c r="H166" s="3315"/>
      <c r="I166" s="3315"/>
      <c r="J166" s="3315"/>
      <c r="K166" s="3326"/>
      <c r="L166" s="3326"/>
      <c r="M166" s="3326"/>
      <c r="N166" s="3326"/>
      <c r="O166" s="3315"/>
      <c r="P166" s="3415">
        <f>+UV!G14</f>
        <v>2391499425.09237</v>
      </c>
      <c r="Q166" s="3415"/>
      <c r="R166" s="3415"/>
      <c r="S166" s="3415"/>
      <c r="T166" s="3415"/>
      <c r="U166" s="3415"/>
      <c r="V166" s="3326"/>
      <c r="W166" s="3415">
        <f>+UV!H14</f>
        <v>0</v>
      </c>
      <c r="X166" s="3415"/>
      <c r="Y166" s="3415"/>
      <c r="Z166" s="3415"/>
      <c r="AA166" s="3415"/>
      <c r="AB166" s="3415"/>
      <c r="AC166" s="3326"/>
      <c r="AD166" s="3418">
        <f>+UV!I14</f>
        <v>0</v>
      </c>
      <c r="AE166" s="3418"/>
      <c r="AF166" s="3418"/>
      <c r="AG166" s="3418"/>
      <c r="AH166" s="3418"/>
      <c r="AI166" s="3418"/>
      <c r="AJ166" s="3326"/>
      <c r="AK166">
        <f>+P166+W166-AD166</f>
        <v>2391499425.09237</v>
      </c>
      <c r="AL166"/>
      <c r="AM166"/>
      <c r="AN166"/>
      <c r="AO166"/>
      <c r="AP166"/>
      <c r="AQ166" s="3326"/>
      <c r="AS166" s="3331"/>
      <c r="AW166" s="3371"/>
    </row>
    <row r="167" s="3330" customFormat="1" customHeight="1" spans="1:49">
      <c r="A167" s="3315"/>
      <c r="B167" s="3315"/>
      <c r="C167" s="1" t="s">
        <v>39</v>
      </c>
      <c r="D167" s="3315"/>
      <c r="E167" s="3315"/>
      <c r="F167" s="3315"/>
      <c r="G167" s="3315"/>
      <c r="H167" s="3315"/>
      <c r="I167" s="3315"/>
      <c r="J167" s="3315"/>
      <c r="K167" s="3326"/>
      <c r="L167" s="3326"/>
      <c r="M167" s="3326"/>
      <c r="N167" s="3326"/>
      <c r="O167" s="3415"/>
      <c r="P167" s="3415">
        <f>+UV!G15</f>
        <v>2864397576</v>
      </c>
      <c r="Q167" s="3415"/>
      <c r="R167" s="3415"/>
      <c r="S167" s="3415"/>
      <c r="T167" s="3415"/>
      <c r="U167" s="3415"/>
      <c r="V167" s="3326"/>
      <c r="W167" s="3415">
        <f>+UV!H15</f>
        <v>0</v>
      </c>
      <c r="X167" s="3415"/>
      <c r="Y167" s="3415"/>
      <c r="Z167" s="3415"/>
      <c r="AA167" s="3415"/>
      <c r="AB167" s="3415"/>
      <c r="AC167" s="3326"/>
      <c r="AD167" s="3418">
        <f>+UV!I15</f>
        <v>870700000</v>
      </c>
      <c r="AE167" s="3418"/>
      <c r="AF167" s="3418"/>
      <c r="AG167" s="3418"/>
      <c r="AH167" s="3418"/>
      <c r="AI167" s="3418"/>
      <c r="AJ167" s="3326"/>
      <c r="AK167">
        <f>+P167+W167-AD167</f>
        <v>1993697576</v>
      </c>
      <c r="AL167"/>
      <c r="AM167"/>
      <c r="AN167"/>
      <c r="AO167"/>
      <c r="AP167"/>
      <c r="AQ167" s="3326"/>
      <c r="AS167" s="3331"/>
      <c r="AW167" s="3371"/>
    </row>
    <row r="168" s="3330" customFormat="1" customHeight="1" spans="1:49">
      <c r="A168" s="3315"/>
      <c r="B168" s="3315"/>
      <c r="C168" s="1" t="s">
        <v>1417</v>
      </c>
      <c r="D168" s="3315"/>
      <c r="E168" s="3315"/>
      <c r="F168" s="3315"/>
      <c r="G168" s="3315"/>
      <c r="H168" s="3315"/>
      <c r="I168" s="3315"/>
      <c r="J168" s="3315"/>
      <c r="K168" s="3326"/>
      <c r="L168" s="3326"/>
      <c r="M168" s="3326"/>
      <c r="N168" s="3326"/>
      <c r="O168" s="3415"/>
      <c r="P168" s="3415">
        <f>+UV!G16</f>
        <v>14400936400</v>
      </c>
      <c r="Q168" s="3415"/>
      <c r="R168" s="3415"/>
      <c r="S168" s="3415"/>
      <c r="T168" s="3415"/>
      <c r="U168" s="3415"/>
      <c r="V168" s="3326"/>
      <c r="W168" s="3415">
        <f>+UV!H16</f>
        <v>0</v>
      </c>
      <c r="X168" s="3415"/>
      <c r="Y168" s="3415"/>
      <c r="Z168" s="3415"/>
      <c r="AA168" s="3415"/>
      <c r="AB168" s="3415"/>
      <c r="AC168" s="3326"/>
      <c r="AD168" s="3418">
        <f>+UV!I16</f>
        <v>349097366.666667</v>
      </c>
      <c r="AE168" s="3418"/>
      <c r="AF168" s="3418"/>
      <c r="AG168" s="3418"/>
      <c r="AH168" s="3418"/>
      <c r="AI168" s="3418"/>
      <c r="AJ168" s="3326"/>
      <c r="AK168">
        <f>+P168+W168-AD168</f>
        <v>14051839033.3333</v>
      </c>
      <c r="AL168"/>
      <c r="AM168"/>
      <c r="AN168"/>
      <c r="AO168"/>
      <c r="AP168"/>
      <c r="AQ168" s="3326"/>
      <c r="AS168" s="3331"/>
      <c r="AW168" s="3371"/>
    </row>
    <row r="169" s="3330" customFormat="1" customHeight="1" spans="1:49">
      <c r="A169" s="3315"/>
      <c r="B169" s="3315"/>
      <c r="C169" s="1" t="s">
        <v>127</v>
      </c>
      <c r="D169" s="3315"/>
      <c r="E169" s="3315"/>
      <c r="F169" s="3315"/>
      <c r="G169" s="3315"/>
      <c r="H169" s="3315"/>
      <c r="I169" s="3315"/>
      <c r="J169" s="3315"/>
      <c r="K169" s="3326"/>
      <c r="L169" s="3326"/>
      <c r="M169" s="3326"/>
      <c r="N169" s="3326"/>
      <c r="O169" s="3415"/>
      <c r="P169" s="3415">
        <f>+UV!G17</f>
        <v>415211400</v>
      </c>
      <c r="Q169" s="3415"/>
      <c r="R169" s="3415"/>
      <c r="S169" s="3415"/>
      <c r="T169" s="3415"/>
      <c r="U169" s="3415"/>
      <c r="V169" s="3326"/>
      <c r="W169" s="3415">
        <f>+UV!H17</f>
        <v>3225000</v>
      </c>
      <c r="X169" s="3415"/>
      <c r="Y169" s="3415"/>
      <c r="Z169" s="3415"/>
      <c r="AA169" s="3415"/>
      <c r="AB169" s="3415"/>
      <c r="AC169" s="3326"/>
      <c r="AD169" s="3418">
        <f>+UV!I17</f>
        <v>0</v>
      </c>
      <c r="AE169" s="3418"/>
      <c r="AF169" s="3418"/>
      <c r="AG169" s="3418"/>
      <c r="AH169" s="3418"/>
      <c r="AI169" s="3418"/>
      <c r="AJ169" s="3326"/>
      <c r="AK169">
        <f>+P169+W169-AD169</f>
        <v>418436400</v>
      </c>
      <c r="AL169"/>
      <c r="AM169"/>
      <c r="AN169"/>
      <c r="AO169"/>
      <c r="AP169"/>
      <c r="AQ169" s="3326"/>
      <c r="AS169" s="3331"/>
      <c r="AW169" s="3371"/>
    </row>
    <row r="170" s="3330" customFormat="1" ht="5.45" customHeight="1" spans="1:49">
      <c r="A170" s="3315"/>
      <c r="B170" s="3315"/>
      <c r="C170" s="1"/>
      <c r="D170" s="3315"/>
      <c r="E170" s="3315"/>
      <c r="F170" s="3315"/>
      <c r="G170" s="3315"/>
      <c r="H170" s="3315"/>
      <c r="I170" s="3315"/>
      <c r="J170" s="3315"/>
      <c r="K170" s="3326"/>
      <c r="L170" s="3326"/>
      <c r="M170" s="3326"/>
      <c r="N170" s="3326"/>
      <c r="O170" s="3416"/>
      <c r="P170" s="3417"/>
      <c r="Q170" s="3417"/>
      <c r="R170" s="3417"/>
      <c r="S170" s="3417"/>
      <c r="T170" s="3417"/>
      <c r="U170" s="3417"/>
      <c r="V170" s="3326"/>
      <c r="W170" s="3417"/>
      <c r="X170" s="3417"/>
      <c r="Y170" s="3417"/>
      <c r="Z170" s="3417"/>
      <c r="AA170" s="3417"/>
      <c r="AB170" s="3417"/>
      <c r="AC170" s="3326"/>
      <c r="AD170" s="3421"/>
      <c r="AE170" s="3421"/>
      <c r="AF170" s="3421"/>
      <c r="AG170" s="3421"/>
      <c r="AH170" s="3421"/>
      <c r="AI170" s="3421"/>
      <c r="AJ170" s="3326"/>
      <c r="AK170" s="164"/>
      <c r="AL170" s="164"/>
      <c r="AM170" s="164"/>
      <c r="AN170" s="164"/>
      <c r="AO170" s="164"/>
      <c r="AP170" s="164"/>
      <c r="AQ170" s="3326"/>
      <c r="AS170" s="3331"/>
      <c r="AW170" s="3371"/>
    </row>
    <row r="171" s="3330" customFormat="1" customHeight="1" spans="1:49">
      <c r="A171" s="3315"/>
      <c r="B171" s="3315"/>
      <c r="C171" s="22" t="s">
        <v>396</v>
      </c>
      <c r="D171" s="3315"/>
      <c r="E171" s="3315"/>
      <c r="F171" s="3315"/>
      <c r="G171" s="3315"/>
      <c r="H171" s="3315"/>
      <c r="I171" s="3315"/>
      <c r="J171" s="3315"/>
      <c r="K171" s="3326"/>
      <c r="L171" s="3326"/>
      <c r="M171" s="3326"/>
      <c r="N171" s="3326"/>
      <c r="O171" s="3415"/>
      <c r="P171" s="3415">
        <f>SUM(P165:U170)</f>
        <v>30787726806</v>
      </c>
      <c r="Q171" s="3415"/>
      <c r="R171" s="3415"/>
      <c r="S171" s="3415"/>
      <c r="T171" s="3415"/>
      <c r="U171" s="3415"/>
      <c r="V171" s="3326"/>
      <c r="W171" s="3415">
        <f>SUM(W165:AB170)</f>
        <v>3225000</v>
      </c>
      <c r="X171" s="3415"/>
      <c r="Y171" s="3415"/>
      <c r="Z171" s="3415"/>
      <c r="AA171" s="3415"/>
      <c r="AB171" s="3415"/>
      <c r="AC171" s="3326"/>
      <c r="AD171" s="3422">
        <f>SUM(AD165:AI170)</f>
        <v>1219797366.66667</v>
      </c>
      <c r="AE171" s="3422"/>
      <c r="AF171" s="3422"/>
      <c r="AG171" s="3422"/>
      <c r="AH171" s="3422"/>
      <c r="AI171" s="3422"/>
      <c r="AJ171" s="3326"/>
      <c r="AK171">
        <f>SUM(AK165:AP170)</f>
        <v>29571154439.3333</v>
      </c>
      <c r="AL171"/>
      <c r="AM171"/>
      <c r="AN171"/>
      <c r="AO171"/>
      <c r="AP171"/>
      <c r="AQ171" s="3326"/>
      <c r="AS171" s="3331"/>
      <c r="AW171" s="3371"/>
    </row>
    <row r="172" s="3330" customFormat="1" customHeight="1" spans="1:49">
      <c r="A172" s="3315"/>
      <c r="B172" s="3315"/>
      <c r="C172" s="3315"/>
      <c r="D172" s="3315"/>
      <c r="E172" s="3315"/>
      <c r="F172" s="3315"/>
      <c r="G172" s="3315"/>
      <c r="H172" s="3315"/>
      <c r="I172" s="3315"/>
      <c r="J172" s="3315"/>
      <c r="K172" s="3326"/>
      <c r="L172" s="3326"/>
      <c r="M172" s="3326"/>
      <c r="N172" s="3326"/>
      <c r="O172" s="3315"/>
      <c r="P172" s="3315"/>
      <c r="Q172" s="3315"/>
      <c r="R172" s="3315"/>
      <c r="S172" s="3315"/>
      <c r="T172" s="3315"/>
      <c r="U172" s="3315"/>
      <c r="V172" s="3326"/>
      <c r="W172" s="3315"/>
      <c r="X172" s="3315"/>
      <c r="Y172" s="3315"/>
      <c r="Z172" s="3315"/>
      <c r="AA172" s="3315"/>
      <c r="AB172" s="3315"/>
      <c r="AC172" s="3326"/>
      <c r="AD172" s="3315"/>
      <c r="AE172" s="3315"/>
      <c r="AF172" s="3315"/>
      <c r="AG172" s="3315"/>
      <c r="AH172" s="3315"/>
      <c r="AI172" s="3315"/>
      <c r="AJ172" s="3326"/>
      <c r="AK172"/>
      <c r="AL172"/>
      <c r="AM172"/>
      <c r="AN172"/>
      <c r="AO172"/>
      <c r="AP172"/>
      <c r="AQ172" s="3326"/>
      <c r="AS172" s="3331"/>
      <c r="AW172" s="3371"/>
    </row>
    <row r="173" s="3330" customFormat="1" customHeight="1" spans="1:49">
      <c r="A173" s="3315"/>
      <c r="B173" s="3315"/>
      <c r="C173" s="3409" t="s">
        <v>147</v>
      </c>
      <c r="D173" s="3315"/>
      <c r="E173" s="3315"/>
      <c r="F173" s="3315"/>
      <c r="G173" s="3315"/>
      <c r="H173" s="3315"/>
      <c r="I173" s="3315"/>
      <c r="J173" s="3315"/>
      <c r="K173" s="3326"/>
      <c r="L173" s="3326"/>
      <c r="M173" s="3326"/>
      <c r="N173" s="3326"/>
      <c r="O173" s="3315"/>
      <c r="P173" s="3415"/>
      <c r="Q173" s="3415"/>
      <c r="R173" s="3415"/>
      <c r="S173" s="3415"/>
      <c r="T173" s="3415"/>
      <c r="U173" s="3415"/>
      <c r="V173" s="3326"/>
      <c r="W173" s="3414"/>
      <c r="X173" s="3414"/>
      <c r="Y173" s="3414"/>
      <c r="Z173" s="3414"/>
      <c r="AA173" s="3414"/>
      <c r="AB173" s="3414"/>
      <c r="AC173" s="3326"/>
      <c r="AD173" s="3414"/>
      <c r="AE173" s="3414"/>
      <c r="AF173" s="3414"/>
      <c r="AG173" s="3414"/>
      <c r="AH173" s="3414"/>
      <c r="AI173" s="3414"/>
      <c r="AJ173" s="3326"/>
      <c r="AK173"/>
      <c r="AL173"/>
      <c r="AM173"/>
      <c r="AN173"/>
      <c r="AO173"/>
      <c r="AP173"/>
      <c r="AQ173" s="3326"/>
      <c r="AS173" s="3331"/>
      <c r="AW173" s="3371"/>
    </row>
    <row r="174" s="3330" customFormat="1" customHeight="1" spans="1:49">
      <c r="A174" s="3315"/>
      <c r="B174" s="3315"/>
      <c r="C174" s="1" t="s">
        <v>1406</v>
      </c>
      <c r="D174" s="3411"/>
      <c r="E174" s="3315"/>
      <c r="F174" s="3315"/>
      <c r="G174" s="3315"/>
      <c r="H174" s="3315"/>
      <c r="I174" s="3315"/>
      <c r="J174" s="3315"/>
      <c r="K174" s="3326"/>
      <c r="L174" s="3326"/>
      <c r="M174" s="3326"/>
      <c r="N174" s="3326"/>
      <c r="O174" s="3415"/>
      <c r="P174" s="3415">
        <f>+UV!G26</f>
        <v>784364276.986093</v>
      </c>
      <c r="Q174" s="3415"/>
      <c r="R174" s="3415"/>
      <c r="S174" s="3415"/>
      <c r="T174" s="3415"/>
      <c r="U174" s="3415"/>
      <c r="V174" s="3326"/>
      <c r="W174" s="3418">
        <f>+UV!H26</f>
        <v>265644087.700619</v>
      </c>
      <c r="X174" s="3418"/>
      <c r="Y174" s="3418"/>
      <c r="Z174" s="3418"/>
      <c r="AA174" s="3418"/>
      <c r="AB174" s="3418"/>
      <c r="AC174" s="3326"/>
      <c r="AD174" s="3418">
        <f>+UV!I26</f>
        <v>0</v>
      </c>
      <c r="AE174" s="3418"/>
      <c r="AF174" s="3418"/>
      <c r="AG174" s="3418"/>
      <c r="AH174" s="3418"/>
      <c r="AI174" s="3418"/>
      <c r="AJ174" s="3326"/>
      <c r="AK174">
        <f>+P174+W174-AD174</f>
        <v>1050008364.68671</v>
      </c>
      <c r="AL174"/>
      <c r="AM174"/>
      <c r="AN174"/>
      <c r="AO174"/>
      <c r="AP174"/>
      <c r="AQ174" s="3326"/>
      <c r="AS174" s="3331"/>
      <c r="AW174" s="3371"/>
    </row>
    <row r="175" s="3330" customFormat="1" customHeight="1" spans="1:49">
      <c r="A175" s="3315"/>
      <c r="B175" s="3315"/>
      <c r="C175" s="1" t="s">
        <v>39</v>
      </c>
      <c r="D175" s="3411"/>
      <c r="E175" s="3315"/>
      <c r="F175" s="3315"/>
      <c r="G175" s="3315"/>
      <c r="H175" s="3315"/>
      <c r="I175" s="3315"/>
      <c r="J175" s="3315"/>
      <c r="K175" s="3326"/>
      <c r="L175" s="3326"/>
      <c r="M175" s="3326"/>
      <c r="N175" s="3326"/>
      <c r="O175" s="3415"/>
      <c r="P175" s="3415">
        <f>+UV!G27</f>
        <v>975943042.875</v>
      </c>
      <c r="Q175" s="3415"/>
      <c r="R175" s="3415"/>
      <c r="S175" s="3415"/>
      <c r="T175" s="3415"/>
      <c r="U175" s="3415"/>
      <c r="V175" s="3326"/>
      <c r="W175" s="3418">
        <f>+UV!H27</f>
        <v>245099697</v>
      </c>
      <c r="X175" s="3418"/>
      <c r="Y175" s="3418"/>
      <c r="Z175" s="3418"/>
      <c r="AA175" s="3418"/>
      <c r="AB175" s="3418"/>
      <c r="AC175" s="3326"/>
      <c r="AD175" s="3418">
        <f>+UV!I27</f>
        <v>358954166</v>
      </c>
      <c r="AE175" s="3418"/>
      <c r="AF175" s="3418"/>
      <c r="AG175" s="3418"/>
      <c r="AH175" s="3418"/>
      <c r="AI175" s="3418"/>
      <c r="AJ175" s="3326"/>
      <c r="AK175">
        <f>+P175+W175-AD175</f>
        <v>862088573.875</v>
      </c>
      <c r="AL175"/>
      <c r="AM175"/>
      <c r="AN175"/>
      <c r="AO175"/>
      <c r="AP175"/>
      <c r="AQ175" s="3326"/>
      <c r="AS175" s="3331"/>
      <c r="AW175" s="3371"/>
    </row>
    <row r="176" s="3330" customFormat="1" customHeight="1" spans="1:49">
      <c r="A176" s="3315"/>
      <c r="B176" s="3315"/>
      <c r="C176" s="1" t="s">
        <v>1417</v>
      </c>
      <c r="D176" s="3315"/>
      <c r="E176" s="3315"/>
      <c r="F176" s="3315"/>
      <c r="G176" s="3315"/>
      <c r="H176" s="3315"/>
      <c r="I176" s="3315"/>
      <c r="J176" s="3315"/>
      <c r="K176" s="3326"/>
      <c r="L176" s="3326"/>
      <c r="M176" s="3326"/>
      <c r="N176" s="3326"/>
      <c r="O176" s="3415"/>
      <c r="P176" s="3415">
        <f>+UV!G28</f>
        <v>9691372738.54167</v>
      </c>
      <c r="Q176" s="3415"/>
      <c r="R176" s="3415"/>
      <c r="S176" s="3415"/>
      <c r="T176" s="3415"/>
      <c r="U176" s="3415"/>
      <c r="V176" s="3326"/>
      <c r="W176" s="3418">
        <f>+UV!H28</f>
        <v>1743625816.66667</v>
      </c>
      <c r="X176" s="3418"/>
      <c r="Y176" s="3418"/>
      <c r="Z176" s="3418"/>
      <c r="AA176" s="3418"/>
      <c r="AB176" s="3418"/>
      <c r="AC176" s="3326"/>
      <c r="AD176" s="3418">
        <f>+UV!I28</f>
        <v>120002220.166667</v>
      </c>
      <c r="AE176" s="3418"/>
      <c r="AF176" s="3418"/>
      <c r="AG176" s="3418"/>
      <c r="AH176" s="3418"/>
      <c r="AI176" s="3418"/>
      <c r="AJ176" s="3326"/>
      <c r="AK176">
        <f>+P176+W176-AD176</f>
        <v>11314996335.0417</v>
      </c>
      <c r="AL176"/>
      <c r="AM176"/>
      <c r="AN176"/>
      <c r="AO176"/>
      <c r="AP176"/>
      <c r="AQ176" s="3326"/>
      <c r="AS176" s="3331"/>
      <c r="AW176" s="3371"/>
    </row>
    <row r="177" s="3330" customFormat="1" customHeight="1" spans="1:49">
      <c r="A177" s="3315"/>
      <c r="B177" s="3315"/>
      <c r="C177" s="1" t="s">
        <v>127</v>
      </c>
      <c r="D177" s="3315"/>
      <c r="E177" s="3315"/>
      <c r="F177" s="3315"/>
      <c r="G177" s="3315"/>
      <c r="H177" s="3315"/>
      <c r="I177" s="3315"/>
      <c r="J177" s="3315"/>
      <c r="K177" s="3326"/>
      <c r="L177" s="3326"/>
      <c r="M177" s="3326"/>
      <c r="N177" s="3326"/>
      <c r="O177" s="3415"/>
      <c r="P177" s="3415">
        <f>+UV!G29</f>
        <v>325375243.75</v>
      </c>
      <c r="Q177" s="3415"/>
      <c r="R177" s="3415"/>
      <c r="S177" s="3415"/>
      <c r="T177" s="3415"/>
      <c r="U177" s="3415"/>
      <c r="V177" s="3326"/>
      <c r="W177" s="3418">
        <f>+UV!H29</f>
        <v>44176962.5</v>
      </c>
      <c r="X177" s="3418"/>
      <c r="Y177" s="3418"/>
      <c r="Z177" s="3418"/>
      <c r="AA177" s="3418"/>
      <c r="AB177" s="3418"/>
      <c r="AC177" s="3326"/>
      <c r="AD177" s="3418">
        <f>+UV!I29</f>
        <v>0</v>
      </c>
      <c r="AE177" s="3418"/>
      <c r="AF177" s="3418"/>
      <c r="AG177" s="3418"/>
      <c r="AH177" s="3418"/>
      <c r="AI177" s="3418"/>
      <c r="AJ177" s="3326"/>
      <c r="AK177">
        <f>+P177+W177-AD177</f>
        <v>369552206.25</v>
      </c>
      <c r="AL177"/>
      <c r="AM177"/>
      <c r="AN177"/>
      <c r="AO177"/>
      <c r="AP177"/>
      <c r="AQ177" s="3326"/>
      <c r="AS177" s="3331"/>
      <c r="AW177" s="3371"/>
    </row>
    <row r="178" s="3330" customFormat="1" ht="5.45" customHeight="1" spans="1:49">
      <c r="A178" s="3315"/>
      <c r="B178" s="3315"/>
      <c r="C178" s="3411"/>
      <c r="D178" s="3315"/>
      <c r="E178" s="3315"/>
      <c r="F178" s="3315"/>
      <c r="G178" s="3315"/>
      <c r="H178" s="3315"/>
      <c r="I178" s="3315"/>
      <c r="J178" s="3315"/>
      <c r="K178" s="3326"/>
      <c r="L178" s="3326"/>
      <c r="M178" s="3326"/>
      <c r="N178" s="3326"/>
      <c r="O178" s="3416"/>
      <c r="P178" s="3417"/>
      <c r="Q178" s="3417"/>
      <c r="R178" s="3417"/>
      <c r="S178" s="3417"/>
      <c r="T178" s="3417"/>
      <c r="U178" s="3417"/>
      <c r="V178" s="3326"/>
      <c r="W178" s="3417"/>
      <c r="X178" s="3417"/>
      <c r="Y178" s="3417"/>
      <c r="Z178" s="3417"/>
      <c r="AA178" s="3417"/>
      <c r="AB178" s="3417"/>
      <c r="AC178" s="3326"/>
      <c r="AD178" s="3421"/>
      <c r="AE178" s="3421"/>
      <c r="AF178" s="3421"/>
      <c r="AG178" s="3421"/>
      <c r="AH178" s="3421"/>
      <c r="AI178" s="3421"/>
      <c r="AJ178" s="3326"/>
      <c r="AK178" s="3417"/>
      <c r="AL178" s="3417"/>
      <c r="AM178" s="3417"/>
      <c r="AN178" s="3417"/>
      <c r="AO178" s="3417"/>
      <c r="AP178" s="3417"/>
      <c r="AQ178" s="3326"/>
      <c r="AS178" s="3331"/>
      <c r="AW178" s="3371"/>
    </row>
    <row r="179" s="3330" customFormat="1" customHeight="1" spans="1:49">
      <c r="A179" s="3315"/>
      <c r="B179" s="3315"/>
      <c r="C179" s="3322" t="s">
        <v>151</v>
      </c>
      <c r="D179" s="3315"/>
      <c r="E179" s="3315"/>
      <c r="F179" s="3315"/>
      <c r="G179" s="3315"/>
      <c r="H179" s="3315"/>
      <c r="I179" s="3315"/>
      <c r="J179" s="3315"/>
      <c r="K179" s="3326"/>
      <c r="L179" s="3326"/>
      <c r="M179" s="3326"/>
      <c r="N179" s="3326"/>
      <c r="O179" s="3416"/>
      <c r="P179" s="3415">
        <f>SUM(P174:U178)</f>
        <v>11777055302.1528</v>
      </c>
      <c r="Q179" s="3415"/>
      <c r="R179" s="3415"/>
      <c r="S179" s="3415"/>
      <c r="T179" s="3415"/>
      <c r="U179" s="3415"/>
      <c r="V179" s="3326"/>
      <c r="W179" s="3415">
        <f>SUM(W174:AB178)</f>
        <v>2298546563.86729</v>
      </c>
      <c r="X179" s="3415"/>
      <c r="Y179" s="3415"/>
      <c r="Z179" s="3415"/>
      <c r="AA179" s="3415"/>
      <c r="AB179" s="3415"/>
      <c r="AC179" s="3326"/>
      <c r="AD179" s="3415">
        <f>SUM(AD174:AI178)</f>
        <v>478956386.166667</v>
      </c>
      <c r="AE179" s="3415"/>
      <c r="AF179" s="3415"/>
      <c r="AG179" s="3415"/>
      <c r="AH179" s="3415"/>
      <c r="AI179" s="3415"/>
      <c r="AJ179" s="3326"/>
      <c r="AK179" s="3415">
        <f>SUM(AK174:AP178)</f>
        <v>13596645479.8534</v>
      </c>
      <c r="AL179" s="3415"/>
      <c r="AM179" s="3415"/>
      <c r="AN179" s="3415"/>
      <c r="AO179" s="3415"/>
      <c r="AP179" s="3415"/>
      <c r="AQ179" s="3326"/>
      <c r="AS179" s="3331"/>
      <c r="AW179" s="3371"/>
    </row>
    <row r="180" s="3330" customFormat="1" ht="6" customHeight="1" spans="1:49">
      <c r="A180" s="3315"/>
      <c r="B180" s="3315"/>
      <c r="C180" s="3411"/>
      <c r="D180" s="3315"/>
      <c r="E180" s="3315"/>
      <c r="F180" s="3315"/>
      <c r="G180" s="3315"/>
      <c r="H180" s="3315"/>
      <c r="I180" s="3315"/>
      <c r="J180" s="3315"/>
      <c r="K180" s="3326"/>
      <c r="L180" s="3326"/>
      <c r="M180" s="3326"/>
      <c r="N180" s="3326"/>
      <c r="O180" s="3416"/>
      <c r="P180" s="3415"/>
      <c r="Q180" s="3415"/>
      <c r="R180" s="3415"/>
      <c r="S180" s="3415"/>
      <c r="T180" s="3415"/>
      <c r="U180" s="3415"/>
      <c r="V180" s="3326"/>
      <c r="W180" s="3418"/>
      <c r="X180" s="3418"/>
      <c r="Y180" s="3418"/>
      <c r="Z180" s="3418"/>
      <c r="AA180" s="3418"/>
      <c r="AB180" s="3418"/>
      <c r="AC180" s="3326"/>
      <c r="AD180" s="3418"/>
      <c r="AE180" s="3418"/>
      <c r="AF180" s="3418"/>
      <c r="AG180" s="3418"/>
      <c r="AH180" s="3418"/>
      <c r="AI180" s="3418"/>
      <c r="AJ180" s="3326"/>
      <c r="AK180" s="3415"/>
      <c r="AL180" s="3415"/>
      <c r="AM180" s="3415"/>
      <c r="AN180" s="3415"/>
      <c r="AO180" s="3415"/>
      <c r="AP180" s="3415"/>
      <c r="AQ180" s="3326"/>
      <c r="AS180" s="3331"/>
      <c r="AW180" s="3371"/>
    </row>
    <row r="181" s="3330" customFormat="1" customHeight="1" spans="1:49">
      <c r="A181" s="3315"/>
      <c r="B181" s="3315"/>
      <c r="C181" s="3322" t="s">
        <v>1819</v>
      </c>
      <c r="D181" s="3322"/>
      <c r="E181" s="3322"/>
      <c r="F181" s="3322"/>
      <c r="G181" s="3322"/>
      <c r="H181" s="3322"/>
      <c r="I181" s="3322"/>
      <c r="J181" s="3322"/>
      <c r="K181" s="3326"/>
      <c r="L181" s="3326"/>
      <c r="M181" s="3326"/>
      <c r="N181" s="3326"/>
      <c r="O181" s="94"/>
      <c r="P181" s="3324">
        <f>+P171-P179</f>
        <v>19010671503.8472</v>
      </c>
      <c r="Q181" s="3324"/>
      <c r="R181" s="3324"/>
      <c r="S181" s="3324"/>
      <c r="T181" s="3324"/>
      <c r="U181" s="3324"/>
      <c r="V181" s="3326"/>
      <c r="W181" s="3418"/>
      <c r="X181" s="3418"/>
      <c r="Y181" s="3418"/>
      <c r="Z181" s="3418"/>
      <c r="AA181" s="3418"/>
      <c r="AB181" s="3418"/>
      <c r="AC181" s="3326"/>
      <c r="AJ181" s="3326"/>
      <c r="AK181" s="3423">
        <f>+AK171-AK179</f>
        <v>15974508959.48</v>
      </c>
      <c r="AL181" s="3423"/>
      <c r="AM181" s="3423"/>
      <c r="AN181" s="3423"/>
      <c r="AO181" s="3423"/>
      <c r="AP181" s="3423"/>
      <c r="AQ181" s="3326"/>
      <c r="AS181" s="3331"/>
      <c r="AW181" s="3371"/>
    </row>
    <row r="182" s="3330" customFormat="1" hidden="1" customHeight="1" outlineLevel="1" spans="1:49">
      <c r="A182" s="3315"/>
      <c r="B182" s="3315"/>
      <c r="C182" s="5085" t="s">
        <v>1821</v>
      </c>
      <c r="D182" s="3408"/>
      <c r="E182" s="3408"/>
      <c r="F182" s="3408"/>
      <c r="G182" s="3408"/>
      <c r="H182" s="3408"/>
      <c r="I182" s="3322"/>
      <c r="J182" s="3322"/>
      <c r="K182" s="3322"/>
      <c r="L182" s="3322"/>
      <c r="M182" s="3322"/>
      <c r="N182" s="3326"/>
      <c r="O182" s="3322"/>
      <c r="P182" s="3335" t="s">
        <v>1028</v>
      </c>
      <c r="Q182" s="3335"/>
      <c r="R182" s="3335"/>
      <c r="S182" s="3335"/>
      <c r="T182" s="3335"/>
      <c r="U182" s="3335"/>
      <c r="V182" s="3326"/>
      <c r="W182" s="3335" t="s">
        <v>1816</v>
      </c>
      <c r="X182" s="3335"/>
      <c r="Y182" s="3335"/>
      <c r="Z182" s="3335"/>
      <c r="AA182" s="3335"/>
      <c r="AB182" s="3335"/>
      <c r="AC182" s="3326"/>
      <c r="AD182" s="3419" t="s">
        <v>1817</v>
      </c>
      <c r="AE182" s="3419"/>
      <c r="AF182" s="3419"/>
      <c r="AG182" s="3419"/>
      <c r="AH182" s="3419"/>
      <c r="AI182" s="3419"/>
      <c r="AJ182" s="3326"/>
      <c r="AK182" s="3335" t="s">
        <v>1030</v>
      </c>
      <c r="AL182" s="3335"/>
      <c r="AM182" s="3335"/>
      <c r="AN182" s="3335"/>
      <c r="AO182" s="3335"/>
      <c r="AP182" s="3335"/>
      <c r="AQ182" s="3326"/>
      <c r="AR182" s="3331"/>
      <c r="AW182" s="3371"/>
    </row>
    <row r="183" s="3330" customFormat="1" hidden="1" customHeight="1" outlineLevel="1" spans="1:49">
      <c r="A183" s="3315"/>
      <c r="B183" s="3315"/>
      <c r="C183" s="3412"/>
      <c r="D183" s="3412"/>
      <c r="E183" s="3412"/>
      <c r="F183" s="3412"/>
      <c r="G183" s="3322"/>
      <c r="H183" s="3322"/>
      <c r="I183" s="3322"/>
      <c r="J183" s="3322"/>
      <c r="K183" s="3322"/>
      <c r="L183" s="3322"/>
      <c r="M183" s="3322"/>
      <c r="N183" s="3326"/>
      <c r="O183" s="3322"/>
      <c r="P183" s="3413"/>
      <c r="Q183" s="3413"/>
      <c r="R183" s="3413"/>
      <c r="S183" s="3413"/>
      <c r="T183" s="3413"/>
      <c r="U183" s="3413"/>
      <c r="V183" s="3326"/>
      <c r="W183" s="3413"/>
      <c r="X183" s="3413"/>
      <c r="Y183" s="3413"/>
      <c r="Z183" s="3413"/>
      <c r="AA183" s="3413"/>
      <c r="AB183" s="3413"/>
      <c r="AC183" s="3326"/>
      <c r="AD183" s="3420"/>
      <c r="AE183" s="3420"/>
      <c r="AF183" s="3420"/>
      <c r="AG183" s="3420"/>
      <c r="AH183" s="3420"/>
      <c r="AI183" s="3420"/>
      <c r="AJ183" s="3326"/>
      <c r="AK183" s="3413"/>
      <c r="AL183" s="3413"/>
      <c r="AM183" s="3413"/>
      <c r="AN183" s="3413"/>
      <c r="AO183" s="3413"/>
      <c r="AP183" s="3413"/>
      <c r="AQ183" s="3326"/>
      <c r="AR183" s="3331"/>
      <c r="AW183" s="3371"/>
    </row>
    <row r="184" s="3330" customFormat="1" hidden="1" customHeight="1" outlineLevel="1" spans="1:49">
      <c r="A184" s="3315"/>
      <c r="B184" s="3315"/>
      <c r="C184" s="3409" t="s">
        <v>301</v>
      </c>
      <c r="D184" s="3315"/>
      <c r="E184" s="3315"/>
      <c r="F184" s="3315"/>
      <c r="G184" s="3315"/>
      <c r="H184" s="3315"/>
      <c r="I184" s="3315"/>
      <c r="J184" s="3315"/>
      <c r="K184" s="3326"/>
      <c r="L184" s="3326"/>
      <c r="M184" s="3326"/>
      <c r="N184" s="3326"/>
      <c r="O184" s="3315"/>
      <c r="P184" s="3414"/>
      <c r="Q184" s="3414"/>
      <c r="R184" s="3414"/>
      <c r="S184" s="3414"/>
      <c r="T184" s="3414"/>
      <c r="U184" s="3414"/>
      <c r="V184" s="3326"/>
      <c r="W184" s="3414"/>
      <c r="X184" s="3414"/>
      <c r="Y184" s="3414"/>
      <c r="Z184" s="3414"/>
      <c r="AA184" s="3414"/>
      <c r="AB184" s="3414"/>
      <c r="AC184" s="3326"/>
      <c r="AD184" s="3414"/>
      <c r="AE184" s="3414"/>
      <c r="AF184" s="3414"/>
      <c r="AG184" s="3414"/>
      <c r="AH184" s="3414"/>
      <c r="AI184" s="3414"/>
      <c r="AJ184" s="3326"/>
      <c r="AK184" s="3315"/>
      <c r="AL184" s="3315"/>
      <c r="AM184" s="3315"/>
      <c r="AN184" s="3315"/>
      <c r="AO184" s="3315"/>
      <c r="AP184" s="3315"/>
      <c r="AQ184" s="3326"/>
      <c r="AR184" s="3331"/>
      <c r="AW184" s="3371"/>
    </row>
    <row r="185" s="3330" customFormat="1" hidden="1" customHeight="1" outlineLevel="1" spans="1:49">
      <c r="A185" s="3315"/>
      <c r="B185" s="3315"/>
      <c r="C185" s="3315" t="str">
        <f>+UV!C13</f>
        <v>Tanah</v>
      </c>
      <c r="D185" s="3315"/>
      <c r="E185" s="3315"/>
      <c r="F185" s="3315"/>
      <c r="G185" s="3315"/>
      <c r="H185" s="3315"/>
      <c r="I185" s="3315"/>
      <c r="J185" s="3315"/>
      <c r="K185" s="3326"/>
      <c r="L185" s="3326"/>
      <c r="M185" s="3326"/>
      <c r="N185" s="3326"/>
      <c r="O185" s="3315"/>
      <c r="P185" s="3415">
        <f>+'[87]AT-2019'!$G$157</f>
        <v>10715682004.9076</v>
      </c>
      <c r="Q185" s="3415"/>
      <c r="R185" s="3415"/>
      <c r="S185" s="3415"/>
      <c r="T185" s="3415"/>
      <c r="U185" s="3415"/>
      <c r="V185" s="3326"/>
      <c r="W185" s="3415">
        <v>0</v>
      </c>
      <c r="X185" s="3415"/>
      <c r="Y185" s="3415"/>
      <c r="Z185" s="3415"/>
      <c r="AA185" s="3415"/>
      <c r="AB185" s="3415"/>
      <c r="AC185" s="3326"/>
      <c r="AD185" s="3418">
        <v>0</v>
      </c>
      <c r="AE185" s="3418"/>
      <c r="AF185" s="3418"/>
      <c r="AG185" s="3418"/>
      <c r="AH185" s="3418"/>
      <c r="AI185" s="3418"/>
      <c r="AJ185" s="3326"/>
      <c r="AK185" s="3415">
        <f>+P185+W185-AD185</f>
        <v>10715682004.9076</v>
      </c>
      <c r="AL185" s="3415"/>
      <c r="AM185" s="3415"/>
      <c r="AN185" s="3415"/>
      <c r="AO185" s="3415"/>
      <c r="AP185" s="3415"/>
      <c r="AQ185" s="3326"/>
      <c r="AR185" s="3331"/>
      <c r="AW185" s="3371"/>
    </row>
    <row r="186" s="3330" customFormat="1" hidden="1" customHeight="1" outlineLevel="1" spans="1:49">
      <c r="A186" s="3315"/>
      <c r="B186" s="3315"/>
      <c r="C186" s="3315" t="str">
        <f>+UV!C14</f>
        <v>Bangunan</v>
      </c>
      <c r="D186" s="3315"/>
      <c r="E186" s="3315"/>
      <c r="F186" s="3315"/>
      <c r="G186" s="3315"/>
      <c r="H186" s="3315"/>
      <c r="I186" s="3315"/>
      <c r="J186" s="3315"/>
      <c r="K186" s="3326"/>
      <c r="L186" s="3326"/>
      <c r="M186" s="3326"/>
      <c r="N186" s="3326"/>
      <c r="O186" s="3315"/>
      <c r="P186" s="3415">
        <f>+'[87]AT-2019'!$G$158</f>
        <v>2391499425.09237</v>
      </c>
      <c r="Q186" s="3415"/>
      <c r="R186" s="3415"/>
      <c r="S186" s="3415"/>
      <c r="T186" s="3415"/>
      <c r="U186" s="3415"/>
      <c r="V186" s="3326"/>
      <c r="W186" s="3415">
        <v>0</v>
      </c>
      <c r="X186" s="3415"/>
      <c r="Y186" s="3415"/>
      <c r="Z186" s="3415"/>
      <c r="AA186" s="3415"/>
      <c r="AB186" s="3415"/>
      <c r="AC186" s="3326"/>
      <c r="AD186" s="3418">
        <v>0</v>
      </c>
      <c r="AE186" s="3418"/>
      <c r="AF186" s="3418"/>
      <c r="AG186" s="3418"/>
      <c r="AH186" s="3418"/>
      <c r="AI186" s="3418"/>
      <c r="AJ186" s="3326"/>
      <c r="AK186" s="3415">
        <f>+P186+W186-AD186</f>
        <v>2391499425.09237</v>
      </c>
      <c r="AL186" s="3415"/>
      <c r="AM186" s="3415"/>
      <c r="AN186" s="3415"/>
      <c r="AO186" s="3415"/>
      <c r="AP186" s="3415"/>
      <c r="AQ186" s="3326"/>
      <c r="AR186" s="3331"/>
      <c r="AW186" s="3371"/>
    </row>
    <row r="187" s="3330" customFormat="1" hidden="1" customHeight="1" outlineLevel="1" spans="1:49">
      <c r="A187" s="3315"/>
      <c r="B187" s="3315"/>
      <c r="C187" s="3315" t="str">
        <f>+UV!C15</f>
        <v>Kendaraan</v>
      </c>
      <c r="D187" s="3315"/>
      <c r="E187" s="3315"/>
      <c r="F187" s="3315"/>
      <c r="G187" s="3315"/>
      <c r="H187" s="3315"/>
      <c r="I187" s="3315"/>
      <c r="J187" s="3315"/>
      <c r="K187" s="3326"/>
      <c r="L187" s="3326"/>
      <c r="M187" s="3326"/>
      <c r="N187" s="3326"/>
      <c r="O187" s="3415"/>
      <c r="P187" s="3415">
        <f>+'[87]AT-2019'!$G$159</f>
        <v>3815975219</v>
      </c>
      <c r="Q187" s="3415"/>
      <c r="R187" s="3415"/>
      <c r="S187" s="3415"/>
      <c r="T187" s="3415"/>
      <c r="U187" s="3415"/>
      <c r="V187" s="3326"/>
      <c r="W187" s="3415">
        <v>0</v>
      </c>
      <c r="X187" s="3415"/>
      <c r="Y187" s="3415"/>
      <c r="Z187" s="3415"/>
      <c r="AA187" s="3415"/>
      <c r="AB187" s="3415"/>
      <c r="AC187" s="3326"/>
      <c r="AD187" s="3418">
        <f>-'[87]AT-2020'!$H$46</f>
        <v>951577643</v>
      </c>
      <c r="AE187" s="3418"/>
      <c r="AF187" s="3418"/>
      <c r="AG187" s="3418"/>
      <c r="AH187" s="3418"/>
      <c r="AI187" s="3418"/>
      <c r="AJ187" s="3326"/>
      <c r="AK187" s="3415">
        <f>+P187+W187-AD187</f>
        <v>2864397576</v>
      </c>
      <c r="AL187" s="3415"/>
      <c r="AM187" s="3415"/>
      <c r="AN187" s="3415"/>
      <c r="AO187" s="3415"/>
      <c r="AP187" s="3415"/>
      <c r="AQ187" s="3326"/>
      <c r="AR187" s="3331"/>
      <c r="AW187" s="3371"/>
    </row>
    <row r="188" s="3330" customFormat="1" hidden="1" customHeight="1" outlineLevel="1" spans="1:49">
      <c r="A188" s="3315"/>
      <c r="B188" s="3315"/>
      <c r="C188" s="3315" t="str">
        <f>+UV!C16</f>
        <v>Peralatan Proyek</v>
      </c>
      <c r="D188" s="3315"/>
      <c r="E188" s="3315"/>
      <c r="F188" s="3315"/>
      <c r="G188" s="3315"/>
      <c r="H188" s="3315"/>
      <c r="I188" s="3315"/>
      <c r="J188" s="3315"/>
      <c r="K188" s="3326"/>
      <c r="L188" s="3326"/>
      <c r="M188" s="3326"/>
      <c r="N188" s="3326"/>
      <c r="O188" s="3415"/>
      <c r="P188" s="3415">
        <f>+'[87]AT-2019'!$G$160</f>
        <v>15398136400</v>
      </c>
      <c r="Q188" s="3415"/>
      <c r="R188" s="3415"/>
      <c r="S188" s="3415"/>
      <c r="T188" s="3415"/>
      <c r="U188" s="3415"/>
      <c r="V188" s="3326"/>
      <c r="W188" s="3415">
        <v>0</v>
      </c>
      <c r="X188" s="3415"/>
      <c r="Y188" s="3415"/>
      <c r="Z188" s="3415"/>
      <c r="AA188" s="3415"/>
      <c r="AB188" s="3415"/>
      <c r="AC188" s="3326"/>
      <c r="AD188" s="3418">
        <f>-'[87]AT-2020'!$H$66</f>
        <v>997200000</v>
      </c>
      <c r="AE188" s="3418"/>
      <c r="AF188" s="3418"/>
      <c r="AG188" s="3418"/>
      <c r="AH188" s="3418"/>
      <c r="AI188" s="3418"/>
      <c r="AJ188" s="3326"/>
      <c r="AK188" s="3415">
        <f>+P188+W188-AD188</f>
        <v>14400936400</v>
      </c>
      <c r="AL188" s="3415"/>
      <c r="AM188" s="3415"/>
      <c r="AN188" s="3415"/>
      <c r="AO188" s="3415"/>
      <c r="AP188" s="3415"/>
      <c r="AQ188" s="3326"/>
      <c r="AR188" s="3331"/>
      <c r="AW188" s="3371"/>
    </row>
    <row r="189" s="3330" customFormat="1" hidden="1" customHeight="1" outlineLevel="1" spans="1:49">
      <c r="A189" s="3315"/>
      <c r="B189" s="3315"/>
      <c r="C189" s="3315" t="str">
        <f>+UV!C17</f>
        <v>Peralatan Kantor</v>
      </c>
      <c r="D189" s="3315"/>
      <c r="E189" s="3315"/>
      <c r="F189" s="3315"/>
      <c r="G189" s="3315"/>
      <c r="H189" s="3315"/>
      <c r="I189" s="3315"/>
      <c r="J189" s="3315"/>
      <c r="K189" s="3326"/>
      <c r="L189" s="3326"/>
      <c r="M189" s="3326"/>
      <c r="N189" s="3326"/>
      <c r="O189" s="3415"/>
      <c r="P189" s="3415">
        <f>+'[87]AT-2019'!$G$161</f>
        <v>413611400</v>
      </c>
      <c r="Q189" s="3415"/>
      <c r="R189" s="3415"/>
      <c r="S189" s="3415"/>
      <c r="T189" s="3415"/>
      <c r="U189" s="3415"/>
      <c r="V189" s="3326"/>
      <c r="W189" s="3415">
        <f>+'[87]AT-2020'!$H$155</f>
        <v>1600000</v>
      </c>
      <c r="X189" s="3415"/>
      <c r="Y189" s="3415"/>
      <c r="Z189" s="3415"/>
      <c r="AA189" s="3415"/>
      <c r="AB189" s="3415"/>
      <c r="AC189" s="3326"/>
      <c r="AD189" s="3418">
        <v>0</v>
      </c>
      <c r="AE189" s="3418"/>
      <c r="AF189" s="3418"/>
      <c r="AG189" s="3418"/>
      <c r="AH189" s="3418"/>
      <c r="AI189" s="3418"/>
      <c r="AJ189" s="3326"/>
      <c r="AK189" s="3415">
        <f>P189+W189-AD189</f>
        <v>415211400</v>
      </c>
      <c r="AL189" s="3415"/>
      <c r="AM189" s="3415"/>
      <c r="AN189" s="3415"/>
      <c r="AO189" s="3415"/>
      <c r="AP189" s="3415"/>
      <c r="AQ189" s="3326"/>
      <c r="AR189" s="3331"/>
      <c r="AW189" s="3371"/>
    </row>
    <row r="190" s="3330" customFormat="1" ht="4.5" hidden="1" customHeight="1" outlineLevel="1" spans="1:49">
      <c r="A190" s="3315"/>
      <c r="B190" s="3315"/>
      <c r="C190" s="3411"/>
      <c r="D190" s="3315"/>
      <c r="E190" s="3315"/>
      <c r="F190" s="3315"/>
      <c r="G190" s="3315"/>
      <c r="H190" s="3315"/>
      <c r="I190" s="3315"/>
      <c r="J190" s="3315"/>
      <c r="K190" s="3326"/>
      <c r="L190" s="3326"/>
      <c r="M190" s="3326"/>
      <c r="N190" s="3326"/>
      <c r="O190" s="3416"/>
      <c r="P190" s="3417"/>
      <c r="Q190" s="3417"/>
      <c r="R190" s="3417"/>
      <c r="S190" s="3417"/>
      <c r="T190" s="3417"/>
      <c r="U190" s="3417"/>
      <c r="V190" s="3326"/>
      <c r="W190" s="3417"/>
      <c r="X190" s="3417"/>
      <c r="Y190" s="3417"/>
      <c r="Z190" s="3417"/>
      <c r="AA190" s="3417"/>
      <c r="AB190" s="3417"/>
      <c r="AC190" s="3326"/>
      <c r="AD190" s="3421"/>
      <c r="AE190" s="3421"/>
      <c r="AF190" s="3421"/>
      <c r="AG190" s="3421"/>
      <c r="AH190" s="3421"/>
      <c r="AI190" s="3421"/>
      <c r="AJ190" s="3326"/>
      <c r="AK190" s="3417"/>
      <c r="AL190" s="3417"/>
      <c r="AM190" s="3417"/>
      <c r="AN190" s="3417"/>
      <c r="AO190" s="3417"/>
      <c r="AP190" s="3417"/>
      <c r="AQ190" s="3326"/>
      <c r="AR190" s="3331"/>
      <c r="AW190" s="3371"/>
    </row>
    <row r="191" s="3330" customFormat="1" hidden="1" customHeight="1" outlineLevel="1" spans="1:49">
      <c r="A191" s="3315"/>
      <c r="B191" s="3315"/>
      <c r="C191" s="3322" t="s">
        <v>151</v>
      </c>
      <c r="D191" s="3315"/>
      <c r="E191" s="3315"/>
      <c r="F191" s="3315"/>
      <c r="G191" s="3315"/>
      <c r="H191" s="3315"/>
      <c r="I191" s="3315"/>
      <c r="J191" s="3315"/>
      <c r="K191" s="3326"/>
      <c r="L191" s="3326"/>
      <c r="M191" s="3326"/>
      <c r="N191" s="3326"/>
      <c r="O191" s="3415">
        <f>SUM(P185:U190)</f>
        <v>32734904449</v>
      </c>
      <c r="P191" s="3415"/>
      <c r="Q191" s="3415"/>
      <c r="R191" s="3415"/>
      <c r="S191" s="3415"/>
      <c r="T191" s="3415"/>
      <c r="U191" s="3415"/>
      <c r="V191" s="3326"/>
      <c r="W191" s="3415">
        <f>SUM(W185:AB190)</f>
        <v>1600000</v>
      </c>
      <c r="X191" s="3415"/>
      <c r="Y191" s="3415"/>
      <c r="Z191" s="3415"/>
      <c r="AA191" s="3415"/>
      <c r="AB191" s="3415"/>
      <c r="AC191" s="3326"/>
      <c r="AD191" s="3415">
        <f>SUM(AD185:AI190)</f>
        <v>1948777643</v>
      </c>
      <c r="AE191" s="3415"/>
      <c r="AF191" s="3415"/>
      <c r="AG191" s="3415"/>
      <c r="AH191" s="3415"/>
      <c r="AI191" s="3415"/>
      <c r="AJ191" s="3326"/>
      <c r="AK191" s="3415">
        <f>SUM(AK185:AP190)</f>
        <v>30787726806</v>
      </c>
      <c r="AL191" s="3415"/>
      <c r="AM191" s="3415"/>
      <c r="AN191" s="3415"/>
      <c r="AO191" s="3415"/>
      <c r="AP191" s="3415"/>
      <c r="AQ191" s="3326"/>
      <c r="AR191" s="3331"/>
      <c r="AW191" s="3371"/>
    </row>
    <row r="192" s="3330" customFormat="1" ht="8.25" hidden="1" customHeight="1" outlineLevel="1" spans="1:49">
      <c r="A192" s="3315"/>
      <c r="B192" s="3315"/>
      <c r="C192" s="3340"/>
      <c r="D192" s="3322"/>
      <c r="E192" s="3322"/>
      <c r="F192" s="3322"/>
      <c r="G192" s="3322"/>
      <c r="H192" s="3322"/>
      <c r="I192" s="3322"/>
      <c r="J192" s="3322"/>
      <c r="K192" s="3326"/>
      <c r="L192" s="3326"/>
      <c r="M192" s="3326"/>
      <c r="N192" s="3326"/>
      <c r="O192" s="3322"/>
      <c r="P192" s="3335"/>
      <c r="Q192" s="3335"/>
      <c r="R192" s="3335"/>
      <c r="S192" s="3335"/>
      <c r="T192" s="3335"/>
      <c r="U192" s="3335"/>
      <c r="V192" s="3326"/>
      <c r="W192" s="3335"/>
      <c r="X192" s="3335"/>
      <c r="Y192" s="3335"/>
      <c r="Z192" s="3335"/>
      <c r="AA192" s="3335"/>
      <c r="AB192" s="3335"/>
      <c r="AC192" s="3326"/>
      <c r="AD192" s="3335"/>
      <c r="AE192" s="3335"/>
      <c r="AF192" s="3335"/>
      <c r="AG192" s="3335"/>
      <c r="AH192" s="3335"/>
      <c r="AI192" s="3335"/>
      <c r="AJ192" s="3326"/>
      <c r="AK192" s="3335"/>
      <c r="AL192" s="3335"/>
      <c r="AM192" s="3335"/>
      <c r="AN192" s="3335"/>
      <c r="AO192" s="3335"/>
      <c r="AP192" s="3335"/>
      <c r="AQ192" s="3326"/>
      <c r="AR192" s="3331"/>
      <c r="AW192" s="3371"/>
    </row>
    <row r="193" s="3330" customFormat="1" hidden="1" customHeight="1" outlineLevel="1" spans="1:49">
      <c r="A193" s="3315"/>
      <c r="B193" s="3315"/>
      <c r="C193" s="3409" t="s">
        <v>147</v>
      </c>
      <c r="D193" s="3322"/>
      <c r="E193" s="3322"/>
      <c r="F193" s="3322"/>
      <c r="G193" s="3322"/>
      <c r="H193" s="3322"/>
      <c r="I193" s="3322"/>
      <c r="J193" s="3322"/>
      <c r="K193" s="3322"/>
      <c r="L193" s="3322"/>
      <c r="M193" s="3322"/>
      <c r="N193" s="3326"/>
      <c r="O193" s="3322"/>
      <c r="P193" s="3335"/>
      <c r="Q193" s="3335"/>
      <c r="R193" s="3335"/>
      <c r="S193" s="3335"/>
      <c r="T193" s="3335"/>
      <c r="U193" s="3335"/>
      <c r="V193" s="3326"/>
      <c r="W193" s="3335"/>
      <c r="X193" s="3335"/>
      <c r="Y193" s="3335"/>
      <c r="Z193" s="3335"/>
      <c r="AA193" s="3335"/>
      <c r="AB193" s="3335"/>
      <c r="AC193" s="3326"/>
      <c r="AD193" s="3419"/>
      <c r="AE193" s="3419"/>
      <c r="AF193" s="3419"/>
      <c r="AG193" s="3419"/>
      <c r="AH193" s="3419"/>
      <c r="AI193" s="3419"/>
      <c r="AJ193" s="3326"/>
      <c r="AK193" s="3335"/>
      <c r="AL193" s="3335"/>
      <c r="AM193" s="3335"/>
      <c r="AN193" s="3335"/>
      <c r="AO193" s="3335"/>
      <c r="AP193" s="3335"/>
      <c r="AQ193" s="3326"/>
      <c r="AR193" s="3331"/>
      <c r="AW193" s="3371"/>
    </row>
    <row r="194" s="3330" customFormat="1" hidden="1" customHeight="1" outlineLevel="1" spans="1:49">
      <c r="A194" s="3315"/>
      <c r="B194" s="3315"/>
      <c r="C194" s="3411" t="str">
        <f>+C186</f>
        <v>Bangunan</v>
      </c>
      <c r="D194" s="3411"/>
      <c r="E194" s="3315"/>
      <c r="F194" s="3315"/>
      <c r="G194" s="3315"/>
      <c r="H194" s="3315"/>
      <c r="I194" s="3315"/>
      <c r="J194" s="3315"/>
      <c r="K194" s="3326"/>
      <c r="L194" s="3326"/>
      <c r="M194" s="3326"/>
      <c r="N194" s="3326"/>
      <c r="O194" s="3415"/>
      <c r="P194" s="3415">
        <f>+'[87]AT-2019'!$H$158</f>
        <v>518720189.285475</v>
      </c>
      <c r="Q194" s="3415"/>
      <c r="R194" s="3415"/>
      <c r="S194" s="3415"/>
      <c r="T194" s="3415"/>
      <c r="U194" s="3415"/>
      <c r="V194" s="3326"/>
      <c r="W194" s="3418">
        <f>+'[87]AT-2020'!$K$21</f>
        <v>265644087.700619</v>
      </c>
      <c r="X194" s="3418"/>
      <c r="Y194" s="3418"/>
      <c r="Z194" s="3418"/>
      <c r="AA194" s="3418"/>
      <c r="AB194" s="3418"/>
      <c r="AC194" s="3326"/>
      <c r="AD194" s="3418">
        <v>0</v>
      </c>
      <c r="AE194" s="3418"/>
      <c r="AF194" s="3418"/>
      <c r="AG194" s="3418"/>
      <c r="AH194" s="3418"/>
      <c r="AI194" s="3418"/>
      <c r="AJ194" s="3326"/>
      <c r="AK194" s="3415">
        <f>+P194+W194-AD194</f>
        <v>784364276.986093</v>
      </c>
      <c r="AL194" s="3415"/>
      <c r="AM194" s="3415"/>
      <c r="AN194" s="3415"/>
      <c r="AO194" s="3415"/>
      <c r="AP194" s="3415"/>
      <c r="AQ194" s="3326"/>
      <c r="AR194" s="3331"/>
      <c r="AW194" s="3371"/>
    </row>
    <row r="195" s="3330" customFormat="1" hidden="1" customHeight="1" outlineLevel="1" spans="1:49">
      <c r="A195" s="3315"/>
      <c r="B195" s="3315"/>
      <c r="C195" s="3411" t="str">
        <f>+C187</f>
        <v>Kendaraan</v>
      </c>
      <c r="D195" s="3411"/>
      <c r="E195" s="3315"/>
      <c r="F195" s="3315"/>
      <c r="G195" s="3315"/>
      <c r="H195" s="3315"/>
      <c r="I195" s="3315"/>
      <c r="J195" s="3315"/>
      <c r="K195" s="3326"/>
      <c r="L195" s="3326"/>
      <c r="M195" s="3326"/>
      <c r="N195" s="3326"/>
      <c r="O195" s="3415"/>
      <c r="P195" s="3415">
        <f>+'[87]AT-2019'!$H$159</f>
        <v>1222872455.5</v>
      </c>
      <c r="Q195" s="3415"/>
      <c r="R195" s="3415"/>
      <c r="S195" s="3415"/>
      <c r="T195" s="3415"/>
      <c r="U195" s="3415"/>
      <c r="V195" s="3326"/>
      <c r="W195" s="3418">
        <f>+'[87]AT-2020'!$K$31+'[87]AT-2020'!$K$33+SUM('[87]AT-2020'!$K$36:$K$44)</f>
        <v>353937197</v>
      </c>
      <c r="X195" s="3418"/>
      <c r="Y195" s="3418"/>
      <c r="Z195" s="3418"/>
      <c r="AA195" s="3418"/>
      <c r="AB195" s="3418"/>
      <c r="AC195" s="3326"/>
      <c r="AD195" s="3418">
        <f>-'[87]AT-2020'!$K$29-'[87]AT-2020'!$K$32-'[87]AT-2020'!$K$35</f>
        <v>600866609.625</v>
      </c>
      <c r="AE195" s="3418"/>
      <c r="AF195" s="3418"/>
      <c r="AG195" s="3418"/>
      <c r="AH195" s="3418"/>
      <c r="AI195" s="3418"/>
      <c r="AJ195" s="3326"/>
      <c r="AK195" s="3415">
        <f>+P195+W195-AD195</f>
        <v>975943042.875</v>
      </c>
      <c r="AL195" s="3415"/>
      <c r="AM195" s="3415"/>
      <c r="AN195" s="3415"/>
      <c r="AO195" s="3415"/>
      <c r="AP195" s="3415"/>
      <c r="AQ195" s="3326"/>
      <c r="AR195" s="3331"/>
      <c r="AW195" s="3371"/>
    </row>
    <row r="196" s="3330" customFormat="1" hidden="1" customHeight="1" outlineLevel="1" spans="1:49">
      <c r="A196" s="3315"/>
      <c r="B196" s="3315"/>
      <c r="C196" s="3411" t="str">
        <f>+C188</f>
        <v>Peralatan Proyek</v>
      </c>
      <c r="D196" s="3315"/>
      <c r="E196" s="3315"/>
      <c r="F196" s="3315"/>
      <c r="G196" s="3315"/>
      <c r="H196" s="3315"/>
      <c r="I196" s="3315"/>
      <c r="J196" s="3315"/>
      <c r="K196" s="3326"/>
      <c r="L196" s="3326"/>
      <c r="M196" s="3326"/>
      <c r="N196" s="3326"/>
      <c r="O196" s="3415"/>
      <c r="P196" s="3415">
        <f>+'[87]AT-2019'!$H$160</f>
        <v>8658934751.04167</v>
      </c>
      <c r="Q196" s="3415"/>
      <c r="R196" s="3415"/>
      <c r="S196" s="3415"/>
      <c r="T196" s="3415"/>
      <c r="U196" s="3415"/>
      <c r="V196" s="3326"/>
      <c r="W196" s="3418">
        <f>+'[87]AT-2020'!$K$53+'[87]AT-2020'!$K$54+SUM('[87]AT-2020'!$K$56:$K$64)</f>
        <v>1801112987.5</v>
      </c>
      <c r="X196" s="3418"/>
      <c r="Y196" s="3418"/>
      <c r="Z196" s="3418"/>
      <c r="AA196" s="3418"/>
      <c r="AB196" s="3418"/>
      <c r="AC196" s="3326"/>
      <c r="AD196" s="3418">
        <f>-'[87]AT-2020'!$K$55</f>
        <v>768675000</v>
      </c>
      <c r="AE196" s="3418"/>
      <c r="AF196" s="3418"/>
      <c r="AG196" s="3418"/>
      <c r="AH196" s="3418"/>
      <c r="AI196" s="3418"/>
      <c r="AJ196" s="3326"/>
      <c r="AK196" s="3415">
        <f>+P196+W196-AD196</f>
        <v>9691372738.54167</v>
      </c>
      <c r="AL196" s="3415"/>
      <c r="AM196" s="3415"/>
      <c r="AN196" s="3415"/>
      <c r="AO196" s="3415"/>
      <c r="AP196" s="3415"/>
      <c r="AQ196" s="3326"/>
      <c r="AR196" s="3331"/>
      <c r="AW196" s="3371"/>
    </row>
    <row r="197" s="3330" customFormat="1" hidden="1" customHeight="1" outlineLevel="1" spans="1:49">
      <c r="A197" s="3315"/>
      <c r="B197" s="3315"/>
      <c r="C197" s="3411" t="str">
        <f>+C189</f>
        <v>Peralatan Kantor</v>
      </c>
      <c r="D197" s="3315"/>
      <c r="E197" s="3315"/>
      <c r="F197" s="3315"/>
      <c r="G197" s="3315"/>
      <c r="H197" s="3315"/>
      <c r="I197" s="3315"/>
      <c r="J197" s="3315"/>
      <c r="K197" s="3326"/>
      <c r="L197" s="3326"/>
      <c r="M197" s="3326"/>
      <c r="N197" s="3326"/>
      <c r="O197" s="3415"/>
      <c r="P197" s="3415">
        <f>+'[87]AT-2019'!$H$161</f>
        <v>267267406.25</v>
      </c>
      <c r="Q197" s="3415"/>
      <c r="R197" s="3415"/>
      <c r="S197" s="3415"/>
      <c r="T197" s="3415"/>
      <c r="U197" s="3415"/>
      <c r="V197" s="3326"/>
      <c r="W197" s="3418">
        <f>+'[87]AT-2020'!$K$154+'[87]AT-2020'!$K$157</f>
        <v>58107837.5</v>
      </c>
      <c r="X197" s="3418"/>
      <c r="Y197" s="3418"/>
      <c r="Z197" s="3418"/>
      <c r="AA197" s="3418"/>
      <c r="AB197" s="3418"/>
      <c r="AC197" s="3326"/>
      <c r="AD197" s="3418">
        <v>0</v>
      </c>
      <c r="AE197" s="3418"/>
      <c r="AF197" s="3418"/>
      <c r="AG197" s="3418"/>
      <c r="AH197" s="3418"/>
      <c r="AI197" s="3418"/>
      <c r="AJ197" s="3326"/>
      <c r="AK197" s="3415">
        <f>+P197+W197-AD197</f>
        <v>325375243.75</v>
      </c>
      <c r="AL197" s="3415"/>
      <c r="AM197" s="3415"/>
      <c r="AN197" s="3415"/>
      <c r="AO197" s="3415"/>
      <c r="AP197" s="3415"/>
      <c r="AQ197" s="3326"/>
      <c r="AR197" s="3331"/>
      <c r="AW197" s="3371"/>
    </row>
    <row r="198" s="3330" customFormat="1" ht="4.5" hidden="1" customHeight="1" outlineLevel="1" spans="1:49">
      <c r="A198" s="3315"/>
      <c r="B198" s="3315"/>
      <c r="C198" s="3411"/>
      <c r="D198" s="3315"/>
      <c r="E198" s="3315"/>
      <c r="F198" s="3315"/>
      <c r="G198" s="3315"/>
      <c r="H198" s="3315"/>
      <c r="I198" s="3315"/>
      <c r="J198" s="3315"/>
      <c r="K198" s="3326"/>
      <c r="L198" s="3326"/>
      <c r="M198" s="3326"/>
      <c r="N198" s="3326"/>
      <c r="O198" s="3416"/>
      <c r="P198" s="3417"/>
      <c r="Q198" s="3417"/>
      <c r="R198" s="3417"/>
      <c r="S198" s="3417"/>
      <c r="T198" s="3417"/>
      <c r="U198" s="3417"/>
      <c r="V198" s="3326"/>
      <c r="W198" s="3417"/>
      <c r="X198" s="3417"/>
      <c r="Y198" s="3417"/>
      <c r="Z198" s="3417"/>
      <c r="AA198" s="3417"/>
      <c r="AB198" s="3417"/>
      <c r="AC198" s="3326"/>
      <c r="AD198" s="3421"/>
      <c r="AE198" s="3421"/>
      <c r="AF198" s="3421"/>
      <c r="AG198" s="3421"/>
      <c r="AH198" s="3421"/>
      <c r="AI198" s="3421"/>
      <c r="AJ198" s="3326"/>
      <c r="AK198" s="3417"/>
      <c r="AL198" s="3417"/>
      <c r="AM198" s="3417"/>
      <c r="AN198" s="3417"/>
      <c r="AO198" s="3417"/>
      <c r="AP198" s="3417"/>
      <c r="AQ198" s="3326"/>
      <c r="AR198" s="3331"/>
      <c r="AW198" s="3371"/>
    </row>
    <row r="199" s="3330" customFormat="1" hidden="1" customHeight="1" outlineLevel="1" spans="1:49">
      <c r="A199" s="3315"/>
      <c r="B199" s="3315"/>
      <c r="C199" s="3322" t="s">
        <v>151</v>
      </c>
      <c r="D199" s="3315"/>
      <c r="E199" s="3315"/>
      <c r="F199" s="3315"/>
      <c r="G199" s="3315"/>
      <c r="H199" s="3315"/>
      <c r="I199" s="3315"/>
      <c r="J199" s="3315"/>
      <c r="K199" s="3326"/>
      <c r="L199" s="3326"/>
      <c r="M199" s="3326"/>
      <c r="N199" s="3326"/>
      <c r="O199" s="3416"/>
      <c r="P199" s="3415">
        <f>SUM(P194:U198)</f>
        <v>10667794802.0771</v>
      </c>
      <c r="Q199" s="3415"/>
      <c r="R199" s="3415"/>
      <c r="S199" s="3415"/>
      <c r="T199" s="3415"/>
      <c r="U199" s="3415"/>
      <c r="V199" s="3326"/>
      <c r="W199" s="3415">
        <f>SUM(W194:AB198)</f>
        <v>2478802109.70062</v>
      </c>
      <c r="X199" s="3415"/>
      <c r="Y199" s="3415"/>
      <c r="Z199" s="3415"/>
      <c r="AA199" s="3415"/>
      <c r="AB199" s="3415"/>
      <c r="AC199" s="3326"/>
      <c r="AD199" s="3415">
        <f>SUM(AD194:AI198)</f>
        <v>1369541609.625</v>
      </c>
      <c r="AE199" s="3415"/>
      <c r="AF199" s="3415"/>
      <c r="AG199" s="3415"/>
      <c r="AH199" s="3415"/>
      <c r="AI199" s="3415"/>
      <c r="AJ199" s="3326"/>
      <c r="AK199" s="3415">
        <f>SUM(AK194:AP198)</f>
        <v>11777055302.1528</v>
      </c>
      <c r="AL199" s="3415"/>
      <c r="AM199" s="3415"/>
      <c r="AN199" s="3415"/>
      <c r="AO199" s="3415"/>
      <c r="AP199" s="3415"/>
      <c r="AQ199" s="3326"/>
      <c r="AR199" s="3331"/>
      <c r="AW199" s="3371"/>
    </row>
    <row r="200" s="3330" customFormat="1" ht="6" hidden="1" customHeight="1" outlineLevel="1" spans="1:49">
      <c r="A200" s="3315"/>
      <c r="B200" s="3315"/>
      <c r="C200" s="3411"/>
      <c r="D200" s="3315"/>
      <c r="E200" s="3315"/>
      <c r="F200" s="3315"/>
      <c r="G200" s="3315"/>
      <c r="H200" s="3315"/>
      <c r="I200" s="3315"/>
      <c r="J200" s="3315"/>
      <c r="K200" s="3326"/>
      <c r="L200" s="3326"/>
      <c r="M200" s="3326"/>
      <c r="N200" s="3326"/>
      <c r="O200" s="3416"/>
      <c r="P200" s="3415"/>
      <c r="Q200" s="3415"/>
      <c r="R200" s="3415"/>
      <c r="S200" s="3415"/>
      <c r="T200" s="3415"/>
      <c r="U200" s="3415"/>
      <c r="V200" s="3326"/>
      <c r="W200" s="3418"/>
      <c r="X200" s="3418"/>
      <c r="Y200" s="3418"/>
      <c r="Z200" s="3418"/>
      <c r="AA200" s="3418"/>
      <c r="AB200" s="3418"/>
      <c r="AC200" s="3326"/>
      <c r="AD200" s="3418"/>
      <c r="AE200" s="3418"/>
      <c r="AF200" s="3418"/>
      <c r="AG200" s="3418"/>
      <c r="AH200" s="3418"/>
      <c r="AI200" s="3418"/>
      <c r="AJ200" s="3326"/>
      <c r="AK200" s="3415"/>
      <c r="AL200" s="3415"/>
      <c r="AM200" s="3415"/>
      <c r="AN200" s="3415"/>
      <c r="AO200" s="3415"/>
      <c r="AP200" s="3415"/>
      <c r="AQ200" s="3326"/>
      <c r="AR200" s="3331"/>
      <c r="AW200" s="3371"/>
    </row>
    <row r="201" s="3330" customFormat="1" hidden="1" customHeight="1" outlineLevel="1" spans="1:49">
      <c r="A201" s="3315"/>
      <c r="B201" s="3315"/>
      <c r="C201" s="3322" t="s">
        <v>1819</v>
      </c>
      <c r="D201" s="3322"/>
      <c r="E201" s="3322"/>
      <c r="F201" s="3322"/>
      <c r="G201" s="3322"/>
      <c r="H201" s="3322"/>
      <c r="I201" s="3322"/>
      <c r="J201" s="3322"/>
      <c r="K201" s="3326"/>
      <c r="L201" s="3326"/>
      <c r="M201" s="3326"/>
      <c r="N201" s="3326"/>
      <c r="O201" s="94"/>
      <c r="P201" s="3436">
        <f>O191-P199</f>
        <v>22067109646.9229</v>
      </c>
      <c r="Q201" s="3436"/>
      <c r="R201" s="3436"/>
      <c r="S201" s="3436"/>
      <c r="T201" s="3436"/>
      <c r="U201" s="3436"/>
      <c r="V201" s="3326"/>
      <c r="W201" s="3315"/>
      <c r="X201" s="3315"/>
      <c r="Y201" s="3315"/>
      <c r="Z201" s="3315"/>
      <c r="AA201" s="3315"/>
      <c r="AB201" s="3315"/>
      <c r="AC201" s="3326"/>
      <c r="AD201" s="3315"/>
      <c r="AE201" s="3315"/>
      <c r="AF201" s="3315"/>
      <c r="AG201" s="3315"/>
      <c r="AH201" s="3315"/>
      <c r="AI201" s="3315"/>
      <c r="AJ201" s="3326"/>
      <c r="AK201" s="3442">
        <f>AK191-AK199</f>
        <v>19010671503.8472</v>
      </c>
      <c r="AL201" s="3442"/>
      <c r="AM201" s="3442"/>
      <c r="AN201" s="3442"/>
      <c r="AO201" s="3442"/>
      <c r="AP201" s="3442"/>
      <c r="AQ201" s="3326"/>
      <c r="AR201" s="3331"/>
      <c r="AW201" s="3371"/>
    </row>
    <row r="202" s="3330" customFormat="1" customHeight="1" collapsed="1" spans="1:49">
      <c r="A202" s="3315"/>
      <c r="B202" s="3315"/>
      <c r="C202" s="3340"/>
      <c r="D202" s="3322"/>
      <c r="E202" s="3322"/>
      <c r="F202" s="3322"/>
      <c r="G202" s="3322"/>
      <c r="H202" s="3322"/>
      <c r="I202" s="3322"/>
      <c r="J202" s="3322"/>
      <c r="K202" s="3326"/>
      <c r="L202" s="3326"/>
      <c r="M202" s="3326"/>
      <c r="N202" s="3326"/>
      <c r="O202" s="3322"/>
      <c r="P202" s="3335"/>
      <c r="Q202" s="3335"/>
      <c r="R202" s="3335"/>
      <c r="S202" s="3335"/>
      <c r="T202" s="3335"/>
      <c r="U202" s="3335"/>
      <c r="V202" s="3326"/>
      <c r="W202" s="3335"/>
      <c r="X202" s="3335"/>
      <c r="Y202" s="3335"/>
      <c r="Z202" s="3335"/>
      <c r="AA202" s="3335"/>
      <c r="AB202" s="3335"/>
      <c r="AC202" s="3326"/>
      <c r="AD202" s="3335"/>
      <c r="AE202" s="3335"/>
      <c r="AF202" s="3335"/>
      <c r="AG202" s="3335"/>
      <c r="AH202" s="3335"/>
      <c r="AI202" s="3335"/>
      <c r="AJ202" s="3326"/>
      <c r="AK202" s="3335"/>
      <c r="AL202" s="3335"/>
      <c r="AM202" s="3335"/>
      <c r="AN202" s="3335"/>
      <c r="AO202" s="3335"/>
      <c r="AP202" s="3335"/>
      <c r="AQ202" s="3326"/>
      <c r="AR202" s="3331"/>
      <c r="AW202" s="3371"/>
    </row>
    <row r="203" s="3330" customFormat="1" ht="24.6" customHeight="1" spans="1:49">
      <c r="A203" s="3315"/>
      <c r="B203" s="3315"/>
      <c r="C203" s="5036" t="s">
        <v>2089</v>
      </c>
      <c r="D203" s="3341"/>
      <c r="E203" s="3341"/>
      <c r="F203" s="3341"/>
      <c r="G203" s="3341"/>
      <c r="H203" s="3341"/>
      <c r="I203" s="3341"/>
      <c r="J203" s="3341"/>
      <c r="K203" s="3341"/>
      <c r="L203" s="3341"/>
      <c r="M203" s="3341"/>
      <c r="N203" s="3341"/>
      <c r="O203" s="3341"/>
      <c r="P203" s="3341"/>
      <c r="Q203" s="3341"/>
      <c r="R203" s="3341"/>
      <c r="S203" s="3341"/>
      <c r="T203" s="3341"/>
      <c r="U203" s="3341"/>
      <c r="V203" s="3341"/>
      <c r="W203" s="3341"/>
      <c r="X203" s="3341"/>
      <c r="Y203" s="3341"/>
      <c r="Z203" s="3341"/>
      <c r="AA203" s="3341"/>
      <c r="AB203" s="3341"/>
      <c r="AC203" s="3341"/>
      <c r="AD203" s="3341"/>
      <c r="AE203" s="3341"/>
      <c r="AF203" s="3341"/>
      <c r="AG203" s="3341"/>
      <c r="AH203" s="3341"/>
      <c r="AI203" s="3341"/>
      <c r="AJ203" s="3341"/>
      <c r="AK203" s="3341"/>
      <c r="AL203" s="3341"/>
      <c r="AM203" s="3341"/>
      <c r="AN203" s="3341"/>
      <c r="AO203" s="3341"/>
      <c r="AP203" s="3341"/>
      <c r="AQ203" s="3326"/>
      <c r="AR203" s="3331"/>
      <c r="AW203" s="3371"/>
    </row>
    <row r="204" s="3330" customFormat="1" ht="6" customHeight="1" spans="1:49">
      <c r="A204" s="3315"/>
      <c r="B204" s="3315"/>
      <c r="C204" s="3339"/>
      <c r="D204" s="3341"/>
      <c r="E204" s="3341"/>
      <c r="F204" s="3341"/>
      <c r="G204" s="3341"/>
      <c r="H204" s="3341"/>
      <c r="I204" s="3341"/>
      <c r="J204" s="3341"/>
      <c r="K204" s="3341"/>
      <c r="L204" s="3341"/>
      <c r="M204" s="3341"/>
      <c r="N204" s="3341"/>
      <c r="O204" s="3341"/>
      <c r="P204" s="3341"/>
      <c r="Q204" s="3341"/>
      <c r="R204" s="3341"/>
      <c r="S204" s="3341"/>
      <c r="T204" s="3341"/>
      <c r="U204" s="3341"/>
      <c r="V204" s="3341"/>
      <c r="W204" s="3341"/>
      <c r="X204" s="3341"/>
      <c r="Y204" s="3341"/>
      <c r="Z204" s="3341"/>
      <c r="AA204" s="3341"/>
      <c r="AB204" s="3341"/>
      <c r="AC204" s="3341"/>
      <c r="AD204" s="3341"/>
      <c r="AE204" s="3341"/>
      <c r="AF204" s="3341"/>
      <c r="AG204" s="3341"/>
      <c r="AH204" s="3341"/>
      <c r="AI204" s="3341"/>
      <c r="AJ204" s="3341"/>
      <c r="AK204" s="3341"/>
      <c r="AL204" s="3341"/>
      <c r="AM204" s="3341"/>
      <c r="AN204" s="3341"/>
      <c r="AO204" s="3341"/>
      <c r="AP204" s="3341"/>
      <c r="AQ204" s="3326"/>
      <c r="AR204" s="3331"/>
      <c r="AW204" s="3371"/>
    </row>
    <row r="205" s="3330" customFormat="1" ht="36" customHeight="1" spans="1:49">
      <c r="A205" s="3315"/>
      <c r="B205" s="3315"/>
      <c r="C205" s="5036" t="s">
        <v>2090</v>
      </c>
      <c r="D205" s="3341"/>
      <c r="E205" s="3341"/>
      <c r="F205" s="3341"/>
      <c r="G205" s="3341"/>
      <c r="H205" s="3341"/>
      <c r="I205" s="3341"/>
      <c r="J205" s="3341"/>
      <c r="K205" s="3341"/>
      <c r="L205" s="3341"/>
      <c r="M205" s="3341"/>
      <c r="N205" s="3341"/>
      <c r="O205" s="3341"/>
      <c r="P205" s="3341"/>
      <c r="Q205" s="3341"/>
      <c r="R205" s="3341"/>
      <c r="S205" s="3341"/>
      <c r="T205" s="3341"/>
      <c r="U205" s="3341"/>
      <c r="V205" s="3341"/>
      <c r="W205" s="3341"/>
      <c r="X205" s="3341"/>
      <c r="Y205" s="3341"/>
      <c r="Z205" s="3341"/>
      <c r="AA205" s="3341"/>
      <c r="AB205" s="3341"/>
      <c r="AC205" s="3341"/>
      <c r="AD205" s="3341"/>
      <c r="AE205" s="3341"/>
      <c r="AF205" s="3341"/>
      <c r="AG205" s="3341"/>
      <c r="AH205" s="3341"/>
      <c r="AI205" s="3341"/>
      <c r="AJ205" s="3341"/>
      <c r="AK205" s="3341"/>
      <c r="AL205" s="3341"/>
      <c r="AM205" s="3341"/>
      <c r="AN205" s="3341"/>
      <c r="AO205" s="3341"/>
      <c r="AP205" s="3341"/>
      <c r="AQ205" s="3326"/>
      <c r="AR205" s="3331"/>
      <c r="AW205" s="3371"/>
    </row>
    <row r="206" s="3330" customFormat="1" ht="6" customHeight="1" spans="1:49">
      <c r="A206" s="3315"/>
      <c r="B206" s="3315"/>
      <c r="C206" s="3340"/>
      <c r="D206" s="3322"/>
      <c r="E206" s="3322"/>
      <c r="F206" s="3322"/>
      <c r="G206" s="3322"/>
      <c r="H206" s="3322"/>
      <c r="I206" s="3322"/>
      <c r="J206" s="3322"/>
      <c r="K206" s="3326"/>
      <c r="L206" s="3326"/>
      <c r="M206" s="3326"/>
      <c r="N206" s="3326"/>
      <c r="O206" s="3322"/>
      <c r="P206" s="3335"/>
      <c r="Q206" s="3335"/>
      <c r="R206" s="3335"/>
      <c r="S206" s="3335"/>
      <c r="T206" s="3335"/>
      <c r="U206" s="3335"/>
      <c r="V206" s="3326"/>
      <c r="W206" s="3335"/>
      <c r="X206" s="3335"/>
      <c r="Y206" s="3335"/>
      <c r="Z206" s="3335"/>
      <c r="AA206" s="3335"/>
      <c r="AB206" s="3335"/>
      <c r="AC206" s="3326"/>
      <c r="AD206" s="3335"/>
      <c r="AE206" s="3335"/>
      <c r="AF206" s="3335"/>
      <c r="AG206" s="3335"/>
      <c r="AH206" s="3335"/>
      <c r="AI206" s="3335"/>
      <c r="AJ206" s="3326"/>
      <c r="AK206" s="3335"/>
      <c r="AL206" s="3335"/>
      <c r="AM206" s="3335"/>
      <c r="AN206" s="3335"/>
      <c r="AO206" s="3335"/>
      <c r="AP206" s="3335"/>
      <c r="AQ206" s="3326"/>
      <c r="AR206" s="3331"/>
      <c r="AW206" s="3371"/>
    </row>
    <row r="207" s="3330" customFormat="1" ht="35.45" customHeight="1" spans="1:49">
      <c r="A207" s="3315"/>
      <c r="B207" s="3315"/>
      <c r="C207" s="5036" t="s">
        <v>2091</v>
      </c>
      <c r="D207" s="3341"/>
      <c r="E207" s="3341"/>
      <c r="F207" s="3341"/>
      <c r="G207" s="3341"/>
      <c r="H207" s="3341"/>
      <c r="I207" s="3341"/>
      <c r="J207" s="3341"/>
      <c r="K207" s="3341"/>
      <c r="L207" s="3341"/>
      <c r="M207" s="3341"/>
      <c r="N207" s="3341"/>
      <c r="O207" s="3341"/>
      <c r="P207" s="3341"/>
      <c r="Q207" s="3341"/>
      <c r="R207" s="3341"/>
      <c r="S207" s="3341"/>
      <c r="T207" s="3341"/>
      <c r="U207" s="3341"/>
      <c r="V207" s="3341"/>
      <c r="W207" s="3341"/>
      <c r="X207" s="3341"/>
      <c r="Y207" s="3341"/>
      <c r="Z207" s="3341"/>
      <c r="AA207" s="3341"/>
      <c r="AB207" s="3341"/>
      <c r="AC207" s="3341"/>
      <c r="AD207" s="3341"/>
      <c r="AE207" s="3341"/>
      <c r="AF207" s="3341"/>
      <c r="AG207" s="3341"/>
      <c r="AH207" s="3341"/>
      <c r="AI207" s="3341"/>
      <c r="AJ207" s="3341"/>
      <c r="AK207" s="3341"/>
      <c r="AL207" s="3341"/>
      <c r="AM207" s="3341"/>
      <c r="AN207" s="3341"/>
      <c r="AO207" s="3341"/>
      <c r="AP207" s="3341"/>
      <c r="AQ207" s="3330">
        <f>+W153-AD153</f>
        <v>1157903742.51373</v>
      </c>
      <c r="AR207" s="3331"/>
      <c r="AW207" s="3371"/>
    </row>
    <row r="208" s="3330" customFormat="1" ht="8.1" customHeight="1" spans="1:49">
      <c r="A208" s="3315"/>
      <c r="B208" s="3315"/>
      <c r="C208" s="3339"/>
      <c r="D208" s="3341"/>
      <c r="E208" s="3341"/>
      <c r="F208" s="3341"/>
      <c r="G208" s="3341"/>
      <c r="H208" s="3341"/>
      <c r="I208" s="3341"/>
      <c r="J208" s="3341"/>
      <c r="K208" s="3341"/>
      <c r="L208" s="3341"/>
      <c r="M208" s="3341"/>
      <c r="N208" s="3341"/>
      <c r="O208" s="3341"/>
      <c r="P208" s="3341"/>
      <c r="Q208" s="3341"/>
      <c r="R208" s="3341"/>
      <c r="S208" s="3341"/>
      <c r="T208" s="3341"/>
      <c r="U208" s="3341"/>
      <c r="V208" s="3341"/>
      <c r="W208" s="3341"/>
      <c r="X208" s="3341"/>
      <c r="Y208" s="3341"/>
      <c r="Z208" s="3341"/>
      <c r="AA208" s="3341"/>
      <c r="AB208" s="3341"/>
      <c r="AC208" s="3341"/>
      <c r="AD208" s="3341"/>
      <c r="AE208" s="3341"/>
      <c r="AF208" s="3341"/>
      <c r="AG208" s="3341"/>
      <c r="AH208" s="3341"/>
      <c r="AI208" s="3341"/>
      <c r="AJ208" s="3341"/>
      <c r="AK208" s="3341"/>
      <c r="AL208" s="3341"/>
      <c r="AM208" s="3341"/>
      <c r="AN208" s="3341"/>
      <c r="AO208" s="3341"/>
      <c r="AP208" s="3341"/>
      <c r="AR208" s="3331"/>
      <c r="AW208" s="3371"/>
    </row>
    <row r="209" s="3330" customFormat="1" ht="13.7" customHeight="1" spans="1:53">
      <c r="A209" s="3315"/>
      <c r="B209" s="3315"/>
      <c r="C209" s="3425" t="s">
        <v>1825</v>
      </c>
      <c r="D209" s="3426"/>
      <c r="E209" s="3341"/>
      <c r="F209" s="3341"/>
      <c r="G209" s="3341"/>
      <c r="H209" s="3341"/>
      <c r="I209" s="3341"/>
      <c r="J209" s="3341"/>
      <c r="K209" s="3341"/>
      <c r="L209" s="3341"/>
      <c r="M209" s="3341"/>
      <c r="N209" s="3341"/>
      <c r="O209" s="3341"/>
      <c r="P209" s="3341"/>
      <c r="Q209" s="3341"/>
      <c r="R209" s="3341"/>
      <c r="S209" s="3341"/>
      <c r="T209" s="3341"/>
      <c r="U209" s="3341"/>
      <c r="V209" s="3341"/>
      <c r="W209" s="3341"/>
      <c r="X209" s="3341"/>
      <c r="Y209" s="3341"/>
      <c r="Z209" s="3341"/>
      <c r="AA209" s="3341"/>
      <c r="AB209" s="3341"/>
      <c r="AC209" s="3341"/>
      <c r="AD209" s="3341"/>
      <c r="AE209" s="3341"/>
      <c r="AF209" s="3341"/>
      <c r="AG209" s="3341"/>
      <c r="AH209" s="3341"/>
      <c r="AI209" s="3341"/>
      <c r="AJ209" s="3341"/>
      <c r="AK209" s="3341"/>
      <c r="AL209" s="3341"/>
      <c r="AM209" s="3341"/>
      <c r="AN209" s="3341"/>
      <c r="AO209" s="3341"/>
      <c r="AP209" s="3341"/>
      <c r="AR209" s="3379"/>
      <c r="AS209" s="3371"/>
      <c r="AT209" s="3371"/>
      <c r="AU209" s="3371"/>
      <c r="AV209" s="3371"/>
      <c r="AW209" s="3371"/>
      <c r="AX209" s="3371"/>
      <c r="AY209" s="3371"/>
      <c r="AZ209" s="3371"/>
      <c r="BA209" s="3371"/>
    </row>
    <row r="210" s="3330" customFormat="1" ht="6" customHeight="1" spans="1:53">
      <c r="A210" s="3315"/>
      <c r="B210" s="3315"/>
      <c r="C210" s="3425"/>
      <c r="D210" s="3426"/>
      <c r="E210" s="3341"/>
      <c r="F210" s="3341"/>
      <c r="G210" s="3341"/>
      <c r="H210" s="3341"/>
      <c r="I210" s="3341"/>
      <c r="J210" s="3341"/>
      <c r="K210" s="3341"/>
      <c r="L210" s="3341"/>
      <c r="M210" s="3341"/>
      <c r="N210" s="3341"/>
      <c r="O210" s="3341"/>
      <c r="P210" s="3341"/>
      <c r="Q210" s="3341"/>
      <c r="R210" s="3341"/>
      <c r="S210" s="3341"/>
      <c r="T210" s="3341"/>
      <c r="U210" s="3341"/>
      <c r="V210" s="3341"/>
      <c r="W210" s="3341"/>
      <c r="X210" s="3341"/>
      <c r="Y210" s="3341"/>
      <c r="Z210" s="3341"/>
      <c r="AA210" s="3341"/>
      <c r="AB210" s="3363"/>
      <c r="AC210" s="3363"/>
      <c r="AD210" s="3363"/>
      <c r="AE210" s="3363"/>
      <c r="AF210" s="3363"/>
      <c r="AG210" s="3363"/>
      <c r="AH210" s="3363"/>
      <c r="AI210"/>
      <c r="AJ210" s="93"/>
      <c r="AK210" s="93"/>
      <c r="AL210" s="93"/>
      <c r="AM210" s="93"/>
      <c r="AN210" s="93"/>
      <c r="AO210" s="93"/>
      <c r="AP210" s="93"/>
      <c r="AR210" s="3379"/>
      <c r="AS210" s="3371"/>
      <c r="AT210" s="3371"/>
      <c r="AU210" s="3371"/>
      <c r="AV210" s="3371"/>
      <c r="AW210" s="3371"/>
      <c r="AX210" s="3371"/>
      <c r="AY210" s="3371"/>
      <c r="AZ210" s="3371"/>
      <c r="BA210" s="3371"/>
    </row>
    <row r="211" s="3330" customFormat="1" ht="15.6" spans="1:53">
      <c r="A211" s="3315"/>
      <c r="B211" s="3315"/>
      <c r="C211" s="3425"/>
      <c r="D211" s="3426"/>
      <c r="E211" s="3341"/>
      <c r="F211" s="3341"/>
      <c r="G211" s="3341"/>
      <c r="H211" s="3341"/>
      <c r="I211" s="3341"/>
      <c r="J211" s="3341"/>
      <c r="K211" s="3341"/>
      <c r="L211" s="3341"/>
      <c r="M211" s="3341"/>
      <c r="N211" s="3341"/>
      <c r="O211" s="3341"/>
      <c r="P211" s="3341"/>
      <c r="Q211" s="3341"/>
      <c r="R211" s="3341"/>
      <c r="S211" s="3341"/>
      <c r="T211" s="3341"/>
      <c r="U211" s="3341"/>
      <c r="V211" s="3341"/>
      <c r="W211" s="3341"/>
      <c r="X211" s="3341"/>
      <c r="Y211" s="3341"/>
      <c r="Z211" s="3341"/>
      <c r="AA211" s="3341"/>
      <c r="AB211" s="5086" t="str">
        <f>+AB116</f>
        <v>2022</v>
      </c>
      <c r="AC211"/>
      <c r="AD211"/>
      <c r="AE211"/>
      <c r="AF211"/>
      <c r="AG211"/>
      <c r="AH211"/>
      <c r="AI211" s="3335"/>
      <c r="AJ211" s="5086" t="str">
        <f>+AJ116</f>
        <v>2021</v>
      </c>
      <c r="AK211"/>
      <c r="AL211"/>
      <c r="AM211"/>
      <c r="AN211"/>
      <c r="AO211"/>
      <c r="AP211"/>
      <c r="AQ211" s="5107" t="str">
        <f>+AQ116</f>
        <v>2020</v>
      </c>
      <c r="AR211" s="1293"/>
      <c r="AS211" s="1293"/>
      <c r="AT211" s="1293"/>
      <c r="AU211" s="1293"/>
      <c r="AV211" s="1293"/>
      <c r="AW211" s="1293"/>
      <c r="AX211" s="3371"/>
      <c r="AY211" s="3371"/>
      <c r="AZ211" s="3371"/>
      <c r="BA211" s="3371"/>
    </row>
    <row r="212" s="3330" customFormat="1" customHeight="1" spans="1:53">
      <c r="A212" s="3315"/>
      <c r="B212" s="3315"/>
      <c r="C212" s="3427" t="s">
        <v>1826</v>
      </c>
      <c r="D212" s="3426"/>
      <c r="E212" s="3341"/>
      <c r="F212" s="3341"/>
      <c r="G212" s="3341"/>
      <c r="H212" s="3341"/>
      <c r="I212" s="3341"/>
      <c r="J212" s="3341"/>
      <c r="K212" s="3341"/>
      <c r="L212" s="3341"/>
      <c r="M212" s="3341"/>
      <c r="N212" s="3341"/>
      <c r="O212" s="3341"/>
      <c r="P212" s="3341"/>
      <c r="Q212" s="3341"/>
      <c r="R212" s="3341"/>
      <c r="S212" s="3341"/>
      <c r="T212" s="3341"/>
      <c r="U212" s="3341"/>
      <c r="V212" s="3341"/>
      <c r="W212" s="3341"/>
      <c r="X212" s="3341"/>
      <c r="Y212" s="3341"/>
      <c r="Z212" s="3341"/>
      <c r="AA212" s="3341"/>
      <c r="AB212" s="3363">
        <f>+'20'!K17</f>
        <v>1655768639.20978</v>
      </c>
      <c r="AC212" s="3363"/>
      <c r="AD212" s="3363"/>
      <c r="AE212" s="3363"/>
      <c r="AF212" s="3363"/>
      <c r="AG212" s="3363"/>
      <c r="AH212" s="3363"/>
      <c r="AI212" s="3335"/>
      <c r="AJ212" s="3363">
        <f>+'20'!Q17</f>
        <v>1623623597</v>
      </c>
      <c r="AK212" s="3363"/>
      <c r="AL212" s="3363"/>
      <c r="AM212" s="3363"/>
      <c r="AN212" s="3363"/>
      <c r="AO212" s="3363"/>
      <c r="AP212" s="3363"/>
      <c r="AQ212" s="2623">
        <f>+'20'!R17</f>
        <v>1032437987.5</v>
      </c>
      <c r="AR212" s="1293"/>
      <c r="AS212" s="1293"/>
      <c r="AT212" s="1293"/>
      <c r="AU212" s="1293"/>
      <c r="AV212" s="1293"/>
      <c r="AW212" s="1293"/>
      <c r="AX212" s="3371"/>
      <c r="AY212" s="3371"/>
      <c r="AZ212" s="3371"/>
      <c r="BA212" s="3371"/>
    </row>
    <row r="213" s="3330" customFormat="1" hidden="1" customHeight="1" spans="1:53">
      <c r="A213" s="3315"/>
      <c r="B213" s="3315"/>
      <c r="C213" s="3427" t="s">
        <v>1827</v>
      </c>
      <c r="D213" s="3426"/>
      <c r="E213" s="3341"/>
      <c r="F213" s="3341"/>
      <c r="G213" s="3341"/>
      <c r="H213" s="3341"/>
      <c r="I213" s="3341"/>
      <c r="J213" s="3341"/>
      <c r="K213" s="3341"/>
      <c r="L213" s="3341"/>
      <c r="M213" s="3341"/>
      <c r="N213" s="3341"/>
      <c r="O213" s="3341"/>
      <c r="P213" s="3341"/>
      <c r="Q213" s="3341"/>
      <c r="R213" s="3341"/>
      <c r="S213" s="3341"/>
      <c r="T213" s="3341"/>
      <c r="U213" s="3341"/>
      <c r="V213" s="3341"/>
      <c r="W213" s="3341"/>
      <c r="X213" s="3341"/>
      <c r="Y213" s="3341"/>
      <c r="Z213" s="3341"/>
      <c r="AA213" s="3341"/>
      <c r="AI213" s="3341"/>
      <c r="AQ213" s="2623">
        <v>0</v>
      </c>
      <c r="AR213" s="1293"/>
      <c r="AS213" s="1293"/>
      <c r="AT213" s="1293"/>
      <c r="AU213" s="1293"/>
      <c r="AV213" s="1293"/>
      <c r="AW213" s="1293"/>
      <c r="AX213" s="3371"/>
      <c r="AY213" s="3371"/>
      <c r="AZ213" s="3371"/>
      <c r="BA213" s="3371"/>
    </row>
    <row r="214" s="3330" customFormat="1" spans="1:53">
      <c r="A214" s="3315"/>
      <c r="B214" s="3315"/>
      <c r="C214" s="3427" t="s">
        <v>1828</v>
      </c>
      <c r="D214" s="3426"/>
      <c r="E214" s="3341"/>
      <c r="F214" s="3341"/>
      <c r="G214" s="3341"/>
      <c r="H214" s="3341"/>
      <c r="I214" s="3341"/>
      <c r="J214" s="3341"/>
      <c r="K214" s="3341"/>
      <c r="L214" s="3341"/>
      <c r="M214" s="3341"/>
      <c r="N214" s="3341"/>
      <c r="O214" s="3341"/>
      <c r="P214" s="3341"/>
      <c r="Q214" s="3341"/>
      <c r="R214" s="3341"/>
      <c r="S214" s="3341"/>
      <c r="T214" s="3341"/>
      <c r="U214" s="3341"/>
      <c r="V214" s="3341"/>
      <c r="W214" s="3341"/>
      <c r="X214" s="3341"/>
      <c r="Y214" s="3341"/>
      <c r="Z214" s="3341"/>
      <c r="AA214" s="3341"/>
      <c r="AB214" s="3363">
        <f>+'40'!K30</f>
        <v>545866843</v>
      </c>
      <c r="AC214" s="3363"/>
      <c r="AD214" s="3363"/>
      <c r="AE214" s="3363"/>
      <c r="AF214" s="3363"/>
      <c r="AG214" s="3363"/>
      <c r="AH214" s="3363"/>
      <c r="AI214" s="3341"/>
      <c r="AJ214" s="3363">
        <f>+'40'!Q30</f>
        <v>177633247.9</v>
      </c>
      <c r="AK214" s="3363"/>
      <c r="AL214" s="3363"/>
      <c r="AM214" s="3363"/>
      <c r="AN214" s="3363"/>
      <c r="AO214" s="3363"/>
      <c r="AP214" s="3363"/>
      <c r="AQ214" s="719">
        <f>+'40'!R30</f>
        <v>76822512.5756187</v>
      </c>
      <c r="AR214" s="3376"/>
      <c r="AS214" s="3376"/>
      <c r="AT214" s="3376"/>
      <c r="AU214" s="3376"/>
      <c r="AV214" s="3376"/>
      <c r="AW214" s="3376"/>
      <c r="AX214" s="3371"/>
      <c r="AY214" s="3371"/>
      <c r="AZ214" s="3371"/>
      <c r="BA214" s="3371"/>
    </row>
    <row r="215" s="3330" customFormat="1" ht="4.5" customHeight="1" spans="1:53">
      <c r="A215" s="3315"/>
      <c r="B215" s="3315"/>
      <c r="C215" s="3427"/>
      <c r="D215" s="3426"/>
      <c r="E215" s="3341"/>
      <c r="F215" s="3341"/>
      <c r="G215" s="3341"/>
      <c r="H215" s="3341"/>
      <c r="I215" s="3341"/>
      <c r="J215" s="3341"/>
      <c r="K215" s="3341"/>
      <c r="L215" s="3341"/>
      <c r="M215" s="3341"/>
      <c r="N215" s="3341"/>
      <c r="O215" s="3341"/>
      <c r="P215" s="3341"/>
      <c r="Q215" s="3341"/>
      <c r="R215" s="3341"/>
      <c r="S215" s="3341"/>
      <c r="T215" s="3341"/>
      <c r="U215" s="3341"/>
      <c r="V215" s="3341"/>
      <c r="W215" s="3341"/>
      <c r="X215" s="3341"/>
      <c r="Y215" s="3341"/>
      <c r="Z215" s="3341"/>
      <c r="AA215" s="3341"/>
      <c r="AB215" s="3341"/>
      <c r="AC215" s="3341"/>
      <c r="AD215" s="3341"/>
      <c r="AE215" s="3341"/>
      <c r="AF215" s="3341"/>
      <c r="AG215" s="3341"/>
      <c r="AH215" s="3341"/>
      <c r="AI215" s="3341"/>
      <c r="AJ215" s="3341"/>
      <c r="AK215" s="3341"/>
      <c r="AL215" s="3341"/>
      <c r="AM215" s="3341"/>
      <c r="AN215" s="3341"/>
      <c r="AO215" s="3341"/>
      <c r="AP215" s="3341"/>
      <c r="AQ215" s="93"/>
      <c r="AR215" s="3445"/>
      <c r="AS215" s="3445"/>
      <c r="AT215" s="3445"/>
      <c r="AU215" s="3445"/>
      <c r="AV215" s="3445"/>
      <c r="AW215" s="3445"/>
      <c r="AX215" s="3371"/>
      <c r="AY215" s="3371"/>
      <c r="AZ215" s="3371"/>
      <c r="BA215" s="3371"/>
    </row>
    <row r="216" s="3330" customFormat="1" spans="1:53">
      <c r="A216" s="3315"/>
      <c r="B216" s="3315"/>
      <c r="C216" s="3428" t="s">
        <v>1829</v>
      </c>
      <c r="D216" s="3426"/>
      <c r="E216" s="3341"/>
      <c r="F216" s="3341"/>
      <c r="G216" s="3341"/>
      <c r="H216" s="3341"/>
      <c r="I216" s="3341"/>
      <c r="J216" s="3341"/>
      <c r="K216" s="3341"/>
      <c r="L216" s="3341"/>
      <c r="M216" s="3341"/>
      <c r="N216" s="3341"/>
      <c r="O216" s="3341"/>
      <c r="P216" s="3341"/>
      <c r="Q216" s="3341"/>
      <c r="R216" s="3341"/>
      <c r="S216" s="3341"/>
      <c r="T216" s="3341"/>
      <c r="U216" s="3341"/>
      <c r="V216" s="3341"/>
      <c r="W216" s="3341"/>
      <c r="X216" s="3341"/>
      <c r="Y216" s="3341"/>
      <c r="Z216" s="3341"/>
      <c r="AA216" s="3341"/>
      <c r="AB216" s="3438">
        <f>SUM(AB212:AH215)</f>
        <v>2201635482.20978</v>
      </c>
      <c r="AC216" s="3438"/>
      <c r="AD216" s="3438"/>
      <c r="AE216" s="3438"/>
      <c r="AF216" s="3438"/>
      <c r="AG216" s="3438"/>
      <c r="AH216" s="3438"/>
      <c r="AI216" s="3344"/>
      <c r="AJ216" s="3438">
        <f>SUM(AJ212:AP215)</f>
        <v>1801256844.9</v>
      </c>
      <c r="AK216" s="3438"/>
      <c r="AL216" s="3438"/>
      <c r="AM216" s="3438"/>
      <c r="AN216" s="3438"/>
      <c r="AO216" s="3438"/>
      <c r="AP216" s="3438"/>
      <c r="AQ216" s="1990">
        <f>SUM(AQ212:AW215)</f>
        <v>1109260500.07562</v>
      </c>
      <c r="AR216" s="3405"/>
      <c r="AS216" s="3405"/>
      <c r="AT216" s="3405"/>
      <c r="AU216" s="3405"/>
      <c r="AV216" s="3405"/>
      <c r="AW216" s="3405"/>
      <c r="AX216" s="3371"/>
      <c r="AY216" s="3371"/>
      <c r="AZ216" s="3371"/>
      <c r="BA216" s="3371"/>
    </row>
    <row r="217" s="3330" customFormat="1" ht="9.6" customHeight="1" spans="1:53">
      <c r="A217" s="3315"/>
      <c r="B217" s="3315"/>
      <c r="D217" s="3429"/>
      <c r="E217" s="3322"/>
      <c r="F217" s="3322"/>
      <c r="G217" s="3322"/>
      <c r="H217" s="3322"/>
      <c r="I217" s="3322"/>
      <c r="J217" s="3322"/>
      <c r="K217" s="3326"/>
      <c r="L217" s="3326"/>
      <c r="M217" s="3326"/>
      <c r="N217" s="3326"/>
      <c r="O217" s="3322"/>
      <c r="P217" s="3335"/>
      <c r="Q217" s="3335"/>
      <c r="R217" s="3335"/>
      <c r="S217" s="3335"/>
      <c r="T217" s="3335"/>
      <c r="U217" s="3335"/>
      <c r="V217" s="3326"/>
      <c r="W217" s="3335"/>
      <c r="X217" s="3335"/>
      <c r="Y217" s="3335"/>
      <c r="Z217" s="3335"/>
      <c r="AA217" s="3335"/>
      <c r="AB217" s="2700">
        <f>+W179-AD179-AJ216</f>
        <v>18333332.8006186</v>
      </c>
      <c r="AC217" s="2700"/>
      <c r="AD217" s="2700"/>
      <c r="AE217" s="2700"/>
      <c r="AF217" s="2700"/>
      <c r="AG217" s="2700"/>
      <c r="AH217" s="2700"/>
      <c r="AI217" s="2700"/>
      <c r="AJ217" s="3443">
        <f>+W199-AD199-AQ216</f>
        <v>0</v>
      </c>
      <c r="AK217" s="3443"/>
      <c r="AL217" s="3443"/>
      <c r="AM217" s="3443"/>
      <c r="AN217" s="3443"/>
      <c r="AO217" s="3443"/>
      <c r="AP217" s="3443"/>
      <c r="AR217" s="2103"/>
      <c r="AS217" s="3371"/>
      <c r="AT217" s="3371"/>
      <c r="AU217" s="3371"/>
      <c r="AV217" s="3371"/>
      <c r="AW217" s="3371"/>
      <c r="AX217" s="3371"/>
      <c r="AY217" s="3371"/>
      <c r="AZ217" s="3371"/>
      <c r="BA217" s="3371"/>
    </row>
    <row r="218" s="3330" customFormat="1" ht="23.85" customHeight="1" spans="1:53">
      <c r="A218" s="3315"/>
      <c r="B218" s="3315"/>
      <c r="C218" s="5087" t="s">
        <v>1830</v>
      </c>
      <c r="D218" s="3430"/>
      <c r="E218" s="3430"/>
      <c r="F218" s="3430"/>
      <c r="G218" s="3430"/>
      <c r="H218" s="3430"/>
      <c r="I218" s="3430"/>
      <c r="J218" s="3430"/>
      <c r="K218" s="3430"/>
      <c r="L218" s="3430"/>
      <c r="M218" s="3430"/>
      <c r="N218" s="3430"/>
      <c r="O218" s="3430"/>
      <c r="P218" s="3430"/>
      <c r="Q218" s="3430"/>
      <c r="R218" s="3430"/>
      <c r="S218" s="3430"/>
      <c r="T218" s="3430"/>
      <c r="U218" s="3430"/>
      <c r="V218" s="3430"/>
      <c r="W218" s="3430"/>
      <c r="X218" s="3430"/>
      <c r="Y218" s="3430"/>
      <c r="Z218" s="3430"/>
      <c r="AA218" s="3430"/>
      <c r="AB218" s="3430"/>
      <c r="AC218" s="3430"/>
      <c r="AD218" s="3430"/>
      <c r="AE218" s="3430"/>
      <c r="AF218" s="3430"/>
      <c r="AG218" s="3430"/>
      <c r="AH218" s="3430"/>
      <c r="AI218" s="3430"/>
      <c r="AJ218" s="3430"/>
      <c r="AK218" s="3430"/>
      <c r="AL218" s="3430"/>
      <c r="AM218" s="3430"/>
      <c r="AN218" s="3430"/>
      <c r="AO218" s="3430"/>
      <c r="AP218" s="3430"/>
      <c r="AQ218" s="3330">
        <f>+W153</f>
        <v>2201165169.74373</v>
      </c>
      <c r="AR218" s="2103">
        <f>+'20'!Q17+'40'!Q30</f>
        <v>1801256844.9</v>
      </c>
      <c r="AS218" s="3371"/>
      <c r="AT218" s="3371"/>
      <c r="AU218" s="3371"/>
      <c r="AV218" s="3371"/>
      <c r="AW218" s="3371"/>
      <c r="AX218" s="3371"/>
      <c r="AY218" s="3371"/>
      <c r="AZ218" s="3371"/>
      <c r="BA218" s="3371"/>
    </row>
    <row r="219" s="3330" customFormat="1" ht="14.45" customHeight="1" spans="1:49">
      <c r="A219" s="3315"/>
      <c r="B219" s="3315"/>
      <c r="C219" s="3340"/>
      <c r="D219" s="3322"/>
      <c r="E219" s="3322"/>
      <c r="F219" s="3322"/>
      <c r="G219" s="3322"/>
      <c r="H219" s="3322"/>
      <c r="I219" s="3322"/>
      <c r="J219" s="3322"/>
      <c r="K219" s="3326"/>
      <c r="L219" s="3326"/>
      <c r="M219" s="3326"/>
      <c r="N219" s="3326"/>
      <c r="O219" s="3322"/>
      <c r="P219" s="3335"/>
      <c r="Q219" s="3335"/>
      <c r="R219" s="3335"/>
      <c r="S219" s="3335"/>
      <c r="T219" s="3335"/>
      <c r="U219" s="3335"/>
      <c r="V219" s="3326"/>
      <c r="W219" s="3335"/>
      <c r="X219" s="3335"/>
      <c r="Y219" s="3335"/>
      <c r="Z219" s="3335"/>
      <c r="AA219" s="3335"/>
      <c r="AB219" s="3335"/>
      <c r="AC219" s="3326"/>
      <c r="AD219" s="3335"/>
      <c r="AE219" s="3335"/>
      <c r="AF219" s="3335"/>
      <c r="AG219" s="3335"/>
      <c r="AH219" s="3335"/>
      <c r="AI219" s="3335"/>
      <c r="AJ219" s="3326"/>
      <c r="AK219" s="3335"/>
      <c r="AL219" s="3335"/>
      <c r="AM219" s="3335"/>
      <c r="AN219" s="3335"/>
      <c r="AO219" s="3335"/>
      <c r="AP219" s="3335"/>
      <c r="AQ219" s="3330">
        <f>+AB216-AQ218</f>
        <v>470312.466047764</v>
      </c>
      <c r="AR219" s="2702">
        <f>+W179-AD179</f>
        <v>1819590177.70062</v>
      </c>
      <c r="AW219" s="3371"/>
    </row>
    <row r="220" s="3330" customFormat="1" spans="1:49">
      <c r="A220" s="3335">
        <f>+A134+1</f>
        <v>9</v>
      </c>
      <c r="B220" s="3315"/>
      <c r="C220" s="3322" t="s">
        <v>1831</v>
      </c>
      <c r="D220" s="3315"/>
      <c r="E220" s="3315"/>
      <c r="F220" s="3315"/>
      <c r="G220" s="3315"/>
      <c r="H220" s="3315"/>
      <c r="I220" s="3315"/>
      <c r="J220" s="3315"/>
      <c r="K220" s="3315"/>
      <c r="L220" s="3315"/>
      <c r="M220" s="3315"/>
      <c r="N220" s="3315"/>
      <c r="O220" s="3315"/>
      <c r="P220" s="3315"/>
      <c r="Q220" s="3315"/>
      <c r="R220" s="3315"/>
      <c r="S220" s="3315"/>
      <c r="T220" s="3315"/>
      <c r="U220" s="3315"/>
      <c r="V220" s="3315"/>
      <c r="W220" s="3315"/>
      <c r="X220" s="3315"/>
      <c r="Y220" s="3315"/>
      <c r="Z220" s="3315"/>
      <c r="AA220" s="3315"/>
      <c r="AB220" s="3335"/>
      <c r="AC220" s="3326"/>
      <c r="AD220" s="3335"/>
      <c r="AE220" s="3335"/>
      <c r="AF220" s="3335"/>
      <c r="AG220" s="3335"/>
      <c r="AH220" s="3335"/>
      <c r="AI220" s="3335"/>
      <c r="AJ220" s="3326"/>
      <c r="AK220" s="3335"/>
      <c r="AL220" s="3335"/>
      <c r="AM220" s="3335"/>
      <c r="AN220" s="3335"/>
      <c r="AO220" s="3335"/>
      <c r="AP220" s="3335"/>
      <c r="AR220" s="3331"/>
      <c r="AW220" s="3371"/>
    </row>
    <row r="221" s="3330" customFormat="1" ht="6.6" customHeight="1" spans="1:49">
      <c r="A221" s="3315"/>
      <c r="B221" s="3315"/>
      <c r="C221" s="3340"/>
      <c r="D221" s="3322"/>
      <c r="E221" s="3322"/>
      <c r="F221" s="3322"/>
      <c r="G221" s="3322"/>
      <c r="H221" s="3322"/>
      <c r="I221" s="3322"/>
      <c r="J221" s="3322"/>
      <c r="K221" s="3326"/>
      <c r="L221" s="3326"/>
      <c r="M221" s="3326"/>
      <c r="N221" s="3326"/>
      <c r="O221" s="3322"/>
      <c r="P221" s="3335"/>
      <c r="Q221" s="3335"/>
      <c r="R221" s="3335"/>
      <c r="S221" s="3335"/>
      <c r="T221" s="3335"/>
      <c r="U221" s="3335"/>
      <c r="V221" s="3326"/>
      <c r="W221" s="3335"/>
      <c r="X221" s="3335"/>
      <c r="Y221" s="3335"/>
      <c r="Z221" s="3335"/>
      <c r="AA221" s="3335"/>
      <c r="AB221" s="3335"/>
      <c r="AC221" s="3326"/>
      <c r="AD221" s="3335"/>
      <c r="AE221" s="3335"/>
      <c r="AF221" s="3335"/>
      <c r="AG221" s="3335"/>
      <c r="AH221" s="3335"/>
      <c r="AI221" s="3335"/>
      <c r="AJ221" s="3326"/>
      <c r="AK221" s="3335"/>
      <c r="AL221" s="3335"/>
      <c r="AM221" s="3335"/>
      <c r="AN221" s="3335"/>
      <c r="AO221" s="3335"/>
      <c r="AP221" s="3335"/>
      <c r="AR221" s="3331"/>
      <c r="AW221" s="3371"/>
    </row>
    <row r="222" s="3330" customFormat="1" spans="1:49">
      <c r="A222" s="3335"/>
      <c r="B222" s="64"/>
      <c r="C222" s="3388" t="s">
        <v>1832</v>
      </c>
      <c r="D222" s="3386"/>
      <c r="E222" s="3386"/>
      <c r="F222" s="3386"/>
      <c r="G222" s="3386"/>
      <c r="H222" s="3386"/>
      <c r="I222" s="3386"/>
      <c r="J222" s="3386"/>
      <c r="K222" s="3386"/>
      <c r="L222" s="3386"/>
      <c r="M222" s="3386"/>
      <c r="N222" s="3386"/>
      <c r="O222" s="3386"/>
      <c r="P222" s="3386"/>
      <c r="Q222" s="3386"/>
      <c r="R222" s="3386"/>
      <c r="S222" s="3386"/>
      <c r="T222" s="3386"/>
      <c r="U222" s="3386"/>
      <c r="V222" s="3386"/>
      <c r="W222" s="3386"/>
      <c r="X222" s="3386"/>
      <c r="Y222" s="3386"/>
      <c r="Z222" s="3386"/>
      <c r="AA222" s="3386"/>
      <c r="AR222" s="3331"/>
      <c r="AW222" s="3371"/>
    </row>
    <row r="223" s="3330" customFormat="1" ht="6.95" customHeight="1" spans="1:49">
      <c r="A223" s="3335"/>
      <c r="B223" s="64"/>
      <c r="C223" s="3388"/>
      <c r="D223" s="3386"/>
      <c r="E223" s="3386"/>
      <c r="F223" s="3386"/>
      <c r="G223" s="3386"/>
      <c r="H223" s="3386"/>
      <c r="I223" s="3386"/>
      <c r="J223" s="3386"/>
      <c r="K223" s="3386"/>
      <c r="L223" s="3386"/>
      <c r="M223" s="3386"/>
      <c r="N223" s="3386"/>
      <c r="O223" s="3386"/>
      <c r="P223" s="3386"/>
      <c r="Q223" s="3386"/>
      <c r="R223" s="3386"/>
      <c r="S223" s="3386"/>
      <c r="T223" s="3386"/>
      <c r="U223" s="3386"/>
      <c r="V223" s="3386"/>
      <c r="W223" s="3386"/>
      <c r="X223" s="3386"/>
      <c r="Y223" s="3386"/>
      <c r="Z223" s="3386"/>
      <c r="AA223" s="3386"/>
      <c r="AR223" s="3331"/>
      <c r="AW223" s="3371"/>
    </row>
    <row r="224" s="3330" customFormat="1" spans="1:49">
      <c r="A224" s="3386"/>
      <c r="B224" s="3387"/>
      <c r="C224" s="3387"/>
      <c r="D224" s="3387"/>
      <c r="E224" s="3387"/>
      <c r="F224" s="3387"/>
      <c r="G224" s="3387"/>
      <c r="H224" s="3387"/>
      <c r="I224" s="3387"/>
      <c r="J224" s="3387"/>
      <c r="K224" s="3387"/>
      <c r="L224" s="3387"/>
      <c r="M224" s="3387"/>
      <c r="N224" s="3387"/>
      <c r="O224" s="3387"/>
      <c r="P224" s="3387"/>
      <c r="Q224" s="3387"/>
      <c r="R224" s="3386"/>
      <c r="S224" s="3386"/>
      <c r="T224" s="3386"/>
      <c r="U224" s="3386"/>
      <c r="V224" s="3386"/>
      <c r="W224" s="3386"/>
      <c r="X224" s="3386"/>
      <c r="Y224" s="3386"/>
      <c r="Z224" s="3386"/>
      <c r="AA224" s="3386"/>
      <c r="AB224" s="5081" t="str">
        <f>+AB116</f>
        <v>2022</v>
      </c>
      <c r="AC224" s="3355"/>
      <c r="AD224" s="3355"/>
      <c r="AE224" s="3355"/>
      <c r="AF224" s="3355"/>
      <c r="AG224" s="3355"/>
      <c r="AH224" s="3355"/>
      <c r="AI224" s="64"/>
      <c r="AJ224" s="5081" t="str">
        <f>+AJ116</f>
        <v>2021</v>
      </c>
      <c r="AK224" s="3355"/>
      <c r="AL224" s="3355"/>
      <c r="AM224" s="3355"/>
      <c r="AN224" s="3355"/>
      <c r="AO224" s="3355"/>
      <c r="AP224" s="3355"/>
      <c r="AQ224" s="5106" t="str">
        <f>+AQ116</f>
        <v>2020</v>
      </c>
      <c r="AR224" s="3355"/>
      <c r="AS224" s="3355"/>
      <c r="AT224" s="3355"/>
      <c r="AU224" s="3355"/>
      <c r="AV224" s="3355"/>
      <c r="AW224" s="3380"/>
    </row>
    <row r="225" s="3330" customFormat="1" ht="9.6" customHeight="1" spans="1:49">
      <c r="A225" s="3386"/>
      <c r="B225" s="3387"/>
      <c r="C225" s="3387"/>
      <c r="D225" s="3387"/>
      <c r="E225" s="3387"/>
      <c r="F225" s="3387"/>
      <c r="G225" s="3387"/>
      <c r="H225" s="3387"/>
      <c r="I225" s="3387"/>
      <c r="J225" s="3387"/>
      <c r="K225" s="3387"/>
      <c r="L225" s="3387"/>
      <c r="M225" s="3387"/>
      <c r="N225" s="3387"/>
      <c r="O225" s="3387"/>
      <c r="P225" s="3387"/>
      <c r="Q225" s="3387"/>
      <c r="R225" s="3386"/>
      <c r="S225" s="3386"/>
      <c r="T225" s="3386"/>
      <c r="U225" s="3386"/>
      <c r="V225" s="3386"/>
      <c r="W225" s="3386"/>
      <c r="X225" s="3386"/>
      <c r="Y225" s="3386"/>
      <c r="Z225" s="3386"/>
      <c r="AA225" s="3386"/>
      <c r="AB225" s="3439"/>
      <c r="AC225" s="3380"/>
      <c r="AD225" s="3380"/>
      <c r="AE225" s="3380"/>
      <c r="AF225" s="3380"/>
      <c r="AG225" s="3380"/>
      <c r="AH225" s="3380"/>
      <c r="AI225" s="64"/>
      <c r="AJ225" s="3439"/>
      <c r="AK225" s="3380"/>
      <c r="AL225" s="3380"/>
      <c r="AM225" s="3380"/>
      <c r="AN225" s="3380"/>
      <c r="AO225" s="3380"/>
      <c r="AP225" s="3380"/>
      <c r="AQ225" s="3380"/>
      <c r="AR225" s="3380"/>
      <c r="AS225" s="3380"/>
      <c r="AT225" s="3380"/>
      <c r="AU225" s="3380"/>
      <c r="AV225" s="3380"/>
      <c r="AW225" s="3380"/>
    </row>
    <row r="226" s="3330" customFormat="1" ht="11.4" hidden="1" spans="1:49">
      <c r="A226" s="3386"/>
      <c r="B226" s="3387"/>
      <c r="C226" s="3388" t="str">
        <f>+H!B39</f>
        <v>Saldo Awal Investasi</v>
      </c>
      <c r="D226" s="3389"/>
      <c r="E226" s="3387"/>
      <c r="F226" s="3387"/>
      <c r="G226" s="3387"/>
      <c r="H226" s="3387"/>
      <c r="I226" s="3387"/>
      <c r="J226" s="3387"/>
      <c r="K226" s="3387"/>
      <c r="L226" s="3387"/>
      <c r="M226" s="3387"/>
      <c r="N226" s="3387"/>
      <c r="O226" s="3387"/>
      <c r="P226" s="3387"/>
      <c r="Q226" s="3387"/>
      <c r="R226" s="3386"/>
      <c r="S226" s="3386"/>
      <c r="T226" s="3386"/>
      <c r="U226" s="3386"/>
      <c r="V226" s="3386"/>
      <c r="W226" s="3386"/>
      <c r="X226" s="3386"/>
      <c r="Y226" s="3386"/>
      <c r="Z226" s="3386"/>
      <c r="AA226" s="3386"/>
      <c r="AB226" s="3393">
        <f>+AJ232</f>
        <v>10981449215</v>
      </c>
      <c r="AC226" s="3393"/>
      <c r="AD226" s="3393"/>
      <c r="AE226" s="3393"/>
      <c r="AF226" s="3393"/>
      <c r="AG226" s="3393"/>
      <c r="AH226" s="3393"/>
      <c r="AI226" s="3329"/>
      <c r="AJ226" s="3393">
        <f>+AQ232</f>
        <v>10981449215</v>
      </c>
      <c r="AK226" s="3393"/>
      <c r="AL226" s="3393"/>
      <c r="AM226" s="3393"/>
      <c r="AN226" s="3393"/>
      <c r="AO226" s="3393"/>
      <c r="AP226" s="3393"/>
      <c r="AQ226" s="2623">
        <f>+H!F39+H!L39+H!R39</f>
        <v>10167154155</v>
      </c>
      <c r="AR226" s="2623"/>
      <c r="AS226" s="2623"/>
      <c r="AT226" s="2623"/>
      <c r="AU226" s="2623"/>
      <c r="AV226" s="2623"/>
      <c r="AW226" s="1293"/>
    </row>
    <row r="227" s="3330" customFormat="1" ht="11.4" hidden="1" spans="1:49">
      <c r="A227" s="3386"/>
      <c r="B227" s="3387"/>
      <c r="C227" s="3388" t="str">
        <f>+H!B40</f>
        <v>Tambahan Investasi</v>
      </c>
      <c r="D227" s="3389"/>
      <c r="E227" s="3387"/>
      <c r="F227" s="3387"/>
      <c r="G227" s="3387"/>
      <c r="H227" s="3387"/>
      <c r="I227" s="3387"/>
      <c r="J227" s="3387"/>
      <c r="K227" s="3387"/>
      <c r="L227" s="3387"/>
      <c r="M227" s="3387"/>
      <c r="N227" s="3387"/>
      <c r="O227" s="3387"/>
      <c r="P227" s="3387"/>
      <c r="Q227" s="3387"/>
      <c r="R227" s="3386"/>
      <c r="S227" s="3386"/>
      <c r="T227" s="3386"/>
      <c r="U227" s="3386"/>
      <c r="V227" s="3386"/>
      <c r="W227" s="3386"/>
      <c r="X227" s="3386"/>
      <c r="Y227" s="3386"/>
      <c r="Z227" s="3386"/>
      <c r="AA227" s="3386"/>
      <c r="AB227" s="3393">
        <f>+H!J40+H!P40</f>
        <v>0</v>
      </c>
      <c r="AC227" s="3393"/>
      <c r="AD227" s="3393"/>
      <c r="AE227" s="3393"/>
      <c r="AF227" s="3393"/>
      <c r="AG227" s="3393"/>
      <c r="AH227" s="3393"/>
      <c r="AI227"/>
      <c r="AJ227" s="3393">
        <f>+H!K40+H!Q40+H!E40</f>
        <v>0</v>
      </c>
      <c r="AK227" s="3393"/>
      <c r="AL227" s="3393"/>
      <c r="AM227" s="3393"/>
      <c r="AN227" s="3393"/>
      <c r="AO227" s="3393"/>
      <c r="AP227" s="3393"/>
      <c r="AQ227" s="2623">
        <f>+H!F40+H!L40+H!R40</f>
        <v>814295060</v>
      </c>
      <c r="AR227" s="2623"/>
      <c r="AS227" s="2623"/>
      <c r="AT227" s="2623"/>
      <c r="AU227" s="2623"/>
      <c r="AV227" s="2623"/>
      <c r="AW227" s="1293"/>
    </row>
    <row r="228" s="3330" customFormat="1" ht="11.4" hidden="1" spans="1:49">
      <c r="A228" s="3386"/>
      <c r="B228" s="3387"/>
      <c r="C228" s="3388" t="s">
        <v>2092</v>
      </c>
      <c r="D228" s="3389"/>
      <c r="E228" s="3387"/>
      <c r="F228" s="3387"/>
      <c r="G228" s="3387"/>
      <c r="H228" s="3387"/>
      <c r="I228" s="3387"/>
      <c r="J228" s="3387"/>
      <c r="K228" s="3387"/>
      <c r="L228" s="3387"/>
      <c r="M228" s="3387"/>
      <c r="N228" s="3387"/>
      <c r="O228" s="3387"/>
      <c r="P228" s="3387"/>
      <c r="Q228" s="3387"/>
      <c r="R228" s="3386"/>
      <c r="S228" s="3386"/>
      <c r="T228" s="3386"/>
      <c r="U228" s="3386"/>
      <c r="V228" s="3386"/>
      <c r="W228" s="3386"/>
      <c r="X228" s="3386"/>
      <c r="Y228" s="3386"/>
      <c r="Z228" s="3386"/>
      <c r="AA228" s="3386"/>
      <c r="AB228" s="3393">
        <f>+H!J41+H!P41</f>
        <v>-4017941200</v>
      </c>
      <c r="AC228" s="3393"/>
      <c r="AD228" s="3393"/>
      <c r="AE228" s="3393"/>
      <c r="AF228" s="3393"/>
      <c r="AG228" s="3393"/>
      <c r="AH228" s="3393"/>
      <c r="AI228"/>
      <c r="AJ228" s="3393">
        <f>+H!K41+H!Q41+H!E41</f>
        <v>0</v>
      </c>
      <c r="AK228" s="3393"/>
      <c r="AL228" s="3393"/>
      <c r="AM228" s="3393"/>
      <c r="AN228" s="3393"/>
      <c r="AO228" s="3393"/>
      <c r="AP228" s="3393"/>
      <c r="AQ228" s="2623">
        <f>+H!F41+H!L41+H!R41</f>
        <v>0</v>
      </c>
      <c r="AR228" s="2623"/>
      <c r="AS228" s="2623"/>
      <c r="AT228" s="2623"/>
      <c r="AU228" s="2623"/>
      <c r="AV228" s="2623"/>
      <c r="AW228" s="1293"/>
    </row>
    <row r="229" s="3330" customFormat="1" ht="11.4" hidden="1" spans="1:49">
      <c r="A229" s="3386"/>
      <c r="B229" s="3387"/>
      <c r="C229" s="3388" t="s">
        <v>2093</v>
      </c>
      <c r="D229" s="3389"/>
      <c r="E229" s="3387"/>
      <c r="F229" s="3387"/>
      <c r="G229" s="3387"/>
      <c r="H229" s="3387"/>
      <c r="I229" s="3387"/>
      <c r="J229" s="3387"/>
      <c r="K229" s="3387"/>
      <c r="L229" s="3387"/>
      <c r="M229" s="3387"/>
      <c r="N229" s="3387"/>
      <c r="O229" s="3387"/>
      <c r="P229" s="3387"/>
      <c r="Q229" s="3387"/>
      <c r="R229" s="3386"/>
      <c r="S229" s="3386"/>
      <c r="T229" s="3386"/>
      <c r="U229" s="3386"/>
      <c r="V229" s="3386"/>
      <c r="W229" s="3386"/>
      <c r="X229" s="3386"/>
      <c r="Y229" s="3386"/>
      <c r="Z229" s="3386"/>
      <c r="AA229" s="3386"/>
      <c r="AB229" s="3393">
        <f>+H!J42+H!P42</f>
        <v>-4541795200</v>
      </c>
      <c r="AC229" s="3393"/>
      <c r="AD229" s="3393"/>
      <c r="AE229" s="3393"/>
      <c r="AF229" s="3393"/>
      <c r="AG229" s="3393"/>
      <c r="AH229" s="3393"/>
      <c r="AI229"/>
      <c r="AJ229" s="3393">
        <f>+H!K42+H!Q42+H!E42</f>
        <v>0</v>
      </c>
      <c r="AK229" s="3393"/>
      <c r="AL229" s="3393"/>
      <c r="AM229" s="3393"/>
      <c r="AN229" s="3393"/>
      <c r="AO229" s="3393"/>
      <c r="AP229" s="3393"/>
      <c r="AQ229" s="2623">
        <f>+H!F42+H!L42+H!R42</f>
        <v>0</v>
      </c>
      <c r="AR229" s="2623"/>
      <c r="AS229" s="2623"/>
      <c r="AT229" s="2623"/>
      <c r="AU229" s="2623"/>
      <c r="AV229" s="2623"/>
      <c r="AW229" s="1293"/>
    </row>
    <row r="230" s="3330" customFormat="1" ht="11.4" hidden="1" spans="1:49">
      <c r="A230" s="3386"/>
      <c r="B230" s="3387"/>
      <c r="C230" s="3388" t="str">
        <f>+H!B43</f>
        <v>Laba/(rugi) Investasi</v>
      </c>
      <c r="D230" s="3389"/>
      <c r="E230" s="3387"/>
      <c r="F230" s="3387"/>
      <c r="G230" s="3387"/>
      <c r="H230" s="3387"/>
      <c r="I230" s="3387"/>
      <c r="J230" s="3387"/>
      <c r="K230" s="3387"/>
      <c r="L230" s="3387"/>
      <c r="M230" s="3387"/>
      <c r="N230" s="3387"/>
      <c r="O230" s="3387"/>
      <c r="P230" s="3387"/>
      <c r="Q230" s="3387"/>
      <c r="R230" s="3386"/>
      <c r="S230" s="3386"/>
      <c r="T230" s="3386"/>
      <c r="U230" s="3386"/>
      <c r="V230" s="3386"/>
      <c r="W230" s="3386"/>
      <c r="X230" s="3386"/>
      <c r="Y230" s="3386"/>
      <c r="Z230" s="3386"/>
      <c r="AA230" s="3386"/>
      <c r="AB230" s="3393">
        <f>+H!J43+H!P43</f>
        <v>0</v>
      </c>
      <c r="AC230" s="3393"/>
      <c r="AD230" s="3393"/>
      <c r="AE230" s="3393"/>
      <c r="AF230" s="3393"/>
      <c r="AG230" s="3393"/>
      <c r="AH230" s="3393"/>
      <c r="AI230"/>
      <c r="AJ230" s="3393">
        <f>+H!K43+H!Q43+H!E43</f>
        <v>0</v>
      </c>
      <c r="AK230" s="3393"/>
      <c r="AL230" s="3393"/>
      <c r="AM230" s="3393"/>
      <c r="AN230" s="3393"/>
      <c r="AO230" s="3393"/>
      <c r="AP230" s="3393"/>
      <c r="AQ230" s="2623">
        <f>+H!F43+H!L43+H!R43</f>
        <v>0</v>
      </c>
      <c r="AR230" s="2623"/>
      <c r="AS230" s="2623"/>
      <c r="AT230" s="2623"/>
      <c r="AU230" s="2623"/>
      <c r="AV230" s="2623"/>
      <c r="AW230" s="1293"/>
    </row>
    <row r="231" s="3330" customFormat="1" ht="6.6" hidden="1" customHeight="1" spans="1:49">
      <c r="A231" s="3386"/>
      <c r="B231" s="3387"/>
      <c r="C231" s="3390"/>
      <c r="D231" s="3389"/>
      <c r="E231" s="3387"/>
      <c r="F231" s="3387"/>
      <c r="G231" s="3387"/>
      <c r="H231" s="3387"/>
      <c r="I231" s="3387"/>
      <c r="J231" s="3387"/>
      <c r="K231" s="3387"/>
      <c r="L231" s="3387"/>
      <c r="M231" s="3387"/>
      <c r="N231" s="3387"/>
      <c r="O231" s="3387"/>
      <c r="P231" s="3387"/>
      <c r="Q231" s="3387"/>
      <c r="R231" s="3386"/>
      <c r="S231" s="3386"/>
      <c r="T231" s="3386"/>
      <c r="U231" s="3386"/>
      <c r="V231" s="3386"/>
      <c r="W231" s="3386"/>
      <c r="X231" s="3386"/>
      <c r="Y231" s="3386"/>
      <c r="Z231" s="3386"/>
      <c r="AA231" s="3386"/>
      <c r="AB231" s="3440"/>
      <c r="AC231" s="3440"/>
      <c r="AD231" s="3440"/>
      <c r="AE231" s="3440"/>
      <c r="AF231" s="3440"/>
      <c r="AG231" s="3440"/>
      <c r="AH231" s="3440"/>
      <c r="AI231"/>
      <c r="AJ231" s="3440"/>
      <c r="AK231" s="3440"/>
      <c r="AL231" s="3440"/>
      <c r="AM231" s="3440"/>
      <c r="AN231" s="3440"/>
      <c r="AO231" s="3440"/>
      <c r="AP231" s="3440"/>
      <c r="AQ231" s="93"/>
      <c r="AR231" s="93"/>
      <c r="AS231" s="93"/>
      <c r="AT231" s="93"/>
      <c r="AU231" s="93"/>
      <c r="AV231" s="93"/>
      <c r="AW231" s="3445"/>
    </row>
    <row r="232" s="3330" customFormat="1" ht="12.75" spans="1:49">
      <c r="A232" s="3386"/>
      <c r="B232" s="3387"/>
      <c r="C232" s="3388" t="s">
        <v>2094</v>
      </c>
      <c r="D232" s="3389"/>
      <c r="E232" s="3387"/>
      <c r="F232" s="3387"/>
      <c r="G232" s="3387"/>
      <c r="H232" s="3387"/>
      <c r="I232" s="3387"/>
      <c r="J232" s="3387"/>
      <c r="K232" s="3387"/>
      <c r="L232" s="3387"/>
      <c r="M232" s="3387"/>
      <c r="N232" s="3387"/>
      <c r="O232" s="3387"/>
      <c r="P232" s="3387"/>
      <c r="Q232" s="3387"/>
      <c r="R232" s="3386"/>
      <c r="S232" s="3386"/>
      <c r="T232" s="3386"/>
      <c r="U232" s="3386"/>
      <c r="V232" s="3386"/>
      <c r="W232" s="3386"/>
      <c r="X232" s="3386"/>
      <c r="Y232" s="3386"/>
      <c r="Z232" s="3386"/>
      <c r="AA232" s="3386"/>
      <c r="AB232" s="3365">
        <f>SUM(AB226:AH231)</f>
        <v>2421712815</v>
      </c>
      <c r="AC232" s="3365"/>
      <c r="AD232" s="3365"/>
      <c r="AE232" s="3365"/>
      <c r="AF232" s="3365"/>
      <c r="AG232" s="3365"/>
      <c r="AH232" s="3365"/>
      <c r="AI232" s="1350"/>
      <c r="AJ232" s="3365">
        <f>SUM(AJ226:AP231)</f>
        <v>10981449215</v>
      </c>
      <c r="AK232" s="3365"/>
      <c r="AL232" s="3365"/>
      <c r="AM232" s="3365"/>
      <c r="AN232" s="3365"/>
      <c r="AO232" s="3365"/>
      <c r="AP232" s="3365"/>
      <c r="AQ232" s="3401">
        <f>SUM(AQ226:AW231)</f>
        <v>10981449215</v>
      </c>
      <c r="AR232" s="3401"/>
      <c r="AS232" s="3401"/>
      <c r="AT232" s="3401"/>
      <c r="AU232" s="3401"/>
      <c r="AV232" s="3401"/>
      <c r="AW232" s="3405"/>
    </row>
    <row r="233" s="3330" customFormat="1" ht="12.75" spans="1:49">
      <c r="A233" s="3386"/>
      <c r="B233" s="3387"/>
      <c r="C233" s="3388" t="s">
        <v>2095</v>
      </c>
      <c r="D233" s="3389"/>
      <c r="E233" s="3387"/>
      <c r="F233" s="3387"/>
      <c r="G233" s="3387"/>
      <c r="H233" s="3387"/>
      <c r="I233" s="3387"/>
      <c r="J233" s="3387"/>
      <c r="K233" s="3387"/>
      <c r="L233" s="3387"/>
      <c r="M233" s="3387"/>
      <c r="N233" s="3387"/>
      <c r="O233" s="3387"/>
      <c r="P233" s="3387"/>
      <c r="Q233" s="3387"/>
      <c r="R233" s="3386"/>
      <c r="S233" s="3386"/>
      <c r="T233" s="3386"/>
      <c r="U233" s="3386"/>
      <c r="V233" s="3386"/>
      <c r="W233" s="3386"/>
      <c r="X233" s="3386"/>
      <c r="Y233" s="3386"/>
      <c r="Z233" s="3386"/>
      <c r="AA233" s="3386"/>
      <c r="AB233" s="3365">
        <f>+I!J15</f>
        <v>3988000000</v>
      </c>
      <c r="AC233" s="3365"/>
      <c r="AD233" s="3365"/>
      <c r="AE233" s="3365"/>
      <c r="AF233" s="3365"/>
      <c r="AG233" s="3365"/>
      <c r="AH233" s="3365"/>
      <c r="AI233" s="1364"/>
      <c r="AJ233" s="3365">
        <v>0</v>
      </c>
      <c r="AK233" s="3365"/>
      <c r="AL233" s="3365"/>
      <c r="AM233" s="3365"/>
      <c r="AN233" s="3365"/>
      <c r="AO233" s="3365"/>
      <c r="AP233" s="3365"/>
      <c r="AQ233" s="3405"/>
      <c r="AR233" s="3405"/>
      <c r="AS233" s="3405"/>
      <c r="AT233" s="3405"/>
      <c r="AU233" s="3405"/>
      <c r="AV233" s="3405"/>
      <c r="AW233" s="3405"/>
    </row>
    <row r="234" s="3330" customFormat="1" spans="1:49">
      <c r="A234" s="3386"/>
      <c r="B234" s="3387"/>
      <c r="C234" s="3388" t="s">
        <v>2096</v>
      </c>
      <c r="D234" s="3389"/>
      <c r="E234" s="3387"/>
      <c r="F234" s="3387"/>
      <c r="G234" s="3387"/>
      <c r="H234" s="3387"/>
      <c r="I234" s="3387"/>
      <c r="J234" s="3387"/>
      <c r="K234" s="3387"/>
      <c r="L234" s="3387"/>
      <c r="M234" s="3387"/>
      <c r="N234" s="3387"/>
      <c r="O234" s="3387"/>
      <c r="P234" s="3387"/>
      <c r="Q234" s="3387"/>
      <c r="R234" s="3386"/>
      <c r="S234" s="3386"/>
      <c r="T234" s="3386"/>
      <c r="U234" s="3386"/>
      <c r="V234" s="3386"/>
      <c r="W234" s="3386"/>
      <c r="X234" s="3386"/>
      <c r="Y234" s="3386"/>
      <c r="Z234" s="3386"/>
      <c r="AA234" s="3386"/>
      <c r="AB234" s="3393"/>
      <c r="AC234" s="3393"/>
      <c r="AD234" s="3393"/>
      <c r="AE234" s="3393"/>
      <c r="AF234" s="3393"/>
      <c r="AG234" s="3393"/>
      <c r="AH234" s="3393"/>
      <c r="AI234" s="1364"/>
      <c r="AJ234" s="3365"/>
      <c r="AK234" s="3365"/>
      <c r="AL234" s="3365"/>
      <c r="AM234" s="3365"/>
      <c r="AN234" s="3365"/>
      <c r="AO234" s="3365"/>
      <c r="AP234" s="3365"/>
      <c r="AQ234" s="3405"/>
      <c r="AR234" s="3405"/>
      <c r="AS234" s="3405"/>
      <c r="AT234" s="3405"/>
      <c r="AU234" s="3405"/>
      <c r="AV234" s="3405"/>
      <c r="AW234" s="3405"/>
    </row>
    <row r="235" s="3330" customFormat="1" spans="1:49">
      <c r="A235" s="3386"/>
      <c r="B235" s="3387"/>
      <c r="C235" s="3431" t="s">
        <v>2097</v>
      </c>
      <c r="D235" s="3389"/>
      <c r="E235" s="3387"/>
      <c r="F235" s="3387"/>
      <c r="G235" s="3387"/>
      <c r="H235" s="3387"/>
      <c r="I235" s="3387"/>
      <c r="J235" s="3387"/>
      <c r="K235" s="3387"/>
      <c r="L235" s="3387"/>
      <c r="M235" s="3387"/>
      <c r="N235" s="3387"/>
      <c r="O235" s="3387"/>
      <c r="P235" s="3387"/>
      <c r="Q235" s="3387"/>
      <c r="R235" s="3386"/>
      <c r="S235" s="3386"/>
      <c r="T235" s="3386"/>
      <c r="U235" s="3386"/>
      <c r="V235" s="3386"/>
      <c r="W235" s="3386"/>
      <c r="X235" s="3386"/>
      <c r="Y235" s="3386"/>
      <c r="Z235" s="3386"/>
      <c r="AA235" s="3386"/>
      <c r="AB235" s="3393">
        <f>+I!J16+I!J23</f>
        <v>208401952.77</v>
      </c>
      <c r="AC235" s="3393"/>
      <c r="AD235" s="3393"/>
      <c r="AE235" s="3393"/>
      <c r="AF235" s="3393"/>
      <c r="AG235" s="3393"/>
      <c r="AH235" s="3393"/>
      <c r="AI235" s="1364"/>
      <c r="AJ235" s="3365">
        <v>0</v>
      </c>
      <c r="AK235" s="3365"/>
      <c r="AL235" s="3365"/>
      <c r="AM235" s="3365"/>
      <c r="AN235" s="3365"/>
      <c r="AO235" s="3365"/>
      <c r="AP235" s="3365"/>
      <c r="AQ235" s="3405"/>
      <c r="AR235" s="3405"/>
      <c r="AS235" s="3405"/>
      <c r="AT235" s="3405"/>
      <c r="AU235" s="3405"/>
      <c r="AV235" s="3405"/>
      <c r="AW235" s="3405"/>
    </row>
    <row r="236" s="3330" customFormat="1" ht="5.1" customHeight="1" spans="1:49">
      <c r="A236" s="3386"/>
      <c r="B236" s="3387"/>
      <c r="C236" s="3431"/>
      <c r="D236" s="3389"/>
      <c r="E236" s="3387"/>
      <c r="F236" s="3387"/>
      <c r="G236" s="3387"/>
      <c r="H236" s="3387"/>
      <c r="I236" s="3387"/>
      <c r="J236" s="3387"/>
      <c r="K236" s="3387"/>
      <c r="L236" s="3387"/>
      <c r="M236" s="3387"/>
      <c r="N236" s="3387"/>
      <c r="O236" s="3387"/>
      <c r="P236" s="3387"/>
      <c r="Q236" s="3387"/>
      <c r="R236" s="3386"/>
      <c r="S236" s="3386"/>
      <c r="T236" s="3386"/>
      <c r="U236" s="3386"/>
      <c r="V236" s="3386"/>
      <c r="W236" s="3386"/>
      <c r="X236" s="3386"/>
      <c r="Y236" s="3386"/>
      <c r="Z236" s="3386"/>
      <c r="AA236" s="3386"/>
      <c r="AB236" s="3393"/>
      <c r="AC236" s="3393"/>
      <c r="AD236" s="3393"/>
      <c r="AE236" s="3393"/>
      <c r="AF236" s="3393"/>
      <c r="AG236" s="3393"/>
      <c r="AH236" s="3393"/>
      <c r="AI236" s="1364"/>
      <c r="AJ236" s="3365"/>
      <c r="AK236" s="3365"/>
      <c r="AL236" s="3365"/>
      <c r="AM236" s="3365"/>
      <c r="AN236" s="3365"/>
      <c r="AO236" s="3365"/>
      <c r="AP236" s="3365"/>
      <c r="AQ236" s="3405"/>
      <c r="AR236" s="3405"/>
      <c r="AS236" s="3405"/>
      <c r="AT236" s="3405"/>
      <c r="AU236" s="3405"/>
      <c r="AV236" s="3405"/>
      <c r="AW236" s="3405"/>
    </row>
    <row r="237" s="3330" customFormat="1" ht="12.75" spans="1:49">
      <c r="A237" s="3386"/>
      <c r="B237" s="3387"/>
      <c r="C237" s="3388" t="s">
        <v>2098</v>
      </c>
      <c r="D237" s="3389"/>
      <c r="E237" s="3387"/>
      <c r="F237" s="3387"/>
      <c r="G237" s="3387"/>
      <c r="H237" s="3387"/>
      <c r="I237" s="3387"/>
      <c r="J237" s="3387"/>
      <c r="K237" s="3387"/>
      <c r="L237" s="3387"/>
      <c r="M237" s="3387"/>
      <c r="N237" s="3387"/>
      <c r="O237" s="3387"/>
      <c r="P237" s="3387"/>
      <c r="Q237" s="3387"/>
      <c r="R237" s="3386"/>
      <c r="S237" s="3386"/>
      <c r="T237" s="3386"/>
      <c r="U237" s="3386"/>
      <c r="V237" s="3386"/>
      <c r="W237" s="3386"/>
      <c r="X237" s="3386"/>
      <c r="Y237" s="3386"/>
      <c r="Z237" s="3386"/>
      <c r="AA237" s="3386"/>
      <c r="AB237" s="3441">
        <f>SUM(AB232:AH235)</f>
        <v>6618114767.77</v>
      </c>
      <c r="AC237" s="3441"/>
      <c r="AD237" s="3441"/>
      <c r="AE237" s="3441"/>
      <c r="AF237" s="3441"/>
      <c r="AG237" s="3441"/>
      <c r="AH237" s="3441"/>
      <c r="AI237" s="1364"/>
      <c r="AJ237" s="3441">
        <f>SUM(AJ232:AP235)</f>
        <v>10981449215</v>
      </c>
      <c r="AK237" s="3441"/>
      <c r="AL237" s="3441"/>
      <c r="AM237" s="3441"/>
      <c r="AN237" s="3441"/>
      <c r="AO237" s="3441"/>
      <c r="AP237" s="3441"/>
      <c r="AQ237" s="3405"/>
      <c r="AR237" s="3405"/>
      <c r="AS237" s="3405"/>
      <c r="AT237" s="3405"/>
      <c r="AU237" s="3405"/>
      <c r="AV237" s="3405"/>
      <c r="AW237" s="3405"/>
    </row>
    <row r="238" s="3330" customFormat="1" ht="8.1" customHeight="1" spans="1:49">
      <c r="A238" s="3386"/>
      <c r="B238" s="3387"/>
      <c r="C238" s="3388"/>
      <c r="D238" s="3389"/>
      <c r="E238" s="3387"/>
      <c r="F238" s="3387"/>
      <c r="G238" s="3387"/>
      <c r="H238" s="3387"/>
      <c r="I238" s="3387"/>
      <c r="J238" s="3387"/>
      <c r="K238" s="3387"/>
      <c r="L238" s="3387"/>
      <c r="M238" s="3387"/>
      <c r="N238" s="3387"/>
      <c r="O238" s="3387"/>
      <c r="P238" s="3387"/>
      <c r="Q238" s="3387"/>
      <c r="R238" s="3386"/>
      <c r="S238" s="3386"/>
      <c r="T238" s="3386"/>
      <c r="U238" s="3386"/>
      <c r="V238" s="3386"/>
      <c r="W238" s="3386"/>
      <c r="X238" s="3386"/>
      <c r="Y238" s="3386"/>
      <c r="Z238" s="3386"/>
      <c r="AA238" s="3386"/>
      <c r="AB238" s="3395"/>
      <c r="AC238" s="3395"/>
      <c r="AD238" s="3395"/>
      <c r="AE238" s="3395"/>
      <c r="AF238" s="3395"/>
      <c r="AG238" s="3395"/>
      <c r="AH238" s="3395"/>
      <c r="AI238" s="94"/>
      <c r="AJ238" s="3395"/>
      <c r="AK238" s="3395"/>
      <c r="AL238" s="3395"/>
      <c r="AM238" s="3395"/>
      <c r="AN238" s="3395"/>
      <c r="AO238" s="3395"/>
      <c r="AP238" s="3395"/>
      <c r="AQ238" s="3395"/>
      <c r="AR238" s="3395"/>
      <c r="AS238" s="3395"/>
      <c r="AT238" s="3395"/>
      <c r="AU238" s="3395"/>
      <c r="AV238" s="3395"/>
      <c r="AW238" s="3395"/>
    </row>
    <row r="239" s="3330" customFormat="1" ht="11.4" spans="1:49">
      <c r="A239" s="3386"/>
      <c r="B239" s="3387"/>
      <c r="C239" s="3432" t="s">
        <v>2099</v>
      </c>
      <c r="D239" s="3389"/>
      <c r="E239" s="3387"/>
      <c r="F239" s="3387"/>
      <c r="G239" s="3387"/>
      <c r="H239" s="3387"/>
      <c r="I239" s="3387"/>
      <c r="J239" s="3387"/>
      <c r="K239" s="3387"/>
      <c r="L239" s="3387"/>
      <c r="M239" s="3387"/>
      <c r="N239" s="3387"/>
      <c r="O239" s="3387"/>
      <c r="P239" s="3387"/>
      <c r="Q239" s="3387"/>
      <c r="R239" s="3386"/>
      <c r="S239" s="3386"/>
      <c r="T239" s="3386"/>
      <c r="U239" s="3386"/>
      <c r="V239" s="3386"/>
      <c r="W239" s="3386"/>
      <c r="X239" s="3386"/>
      <c r="Y239" s="3386"/>
      <c r="Z239" s="3386"/>
      <c r="AA239" s="3386"/>
      <c r="AB239" s="3393"/>
      <c r="AC239" s="3393"/>
      <c r="AD239" s="3393"/>
      <c r="AE239" s="3393"/>
      <c r="AF239" s="3393"/>
      <c r="AG239" s="3393"/>
      <c r="AH239" s="3393"/>
      <c r="AI239" s="3329"/>
      <c r="AJ239" s="3393"/>
      <c r="AK239" s="3393"/>
      <c r="AL239" s="3393"/>
      <c r="AM239" s="3393"/>
      <c r="AN239" s="3393"/>
      <c r="AO239" s="3393"/>
      <c r="AP239" s="3393"/>
      <c r="AQ239" s="2623"/>
      <c r="AR239" s="2623"/>
      <c r="AS239" s="2623"/>
      <c r="AT239" s="2623"/>
      <c r="AU239" s="2623"/>
      <c r="AV239" s="2623"/>
      <c r="AW239" s="1293"/>
    </row>
    <row r="240" s="3330" customFormat="1" ht="11.4" spans="1:49">
      <c r="A240" s="3386"/>
      <c r="B240" s="3387"/>
      <c r="C240" s="3388" t="s">
        <v>1834</v>
      </c>
      <c r="D240" s="3389"/>
      <c r="E240" s="3387"/>
      <c r="F240" s="3387"/>
      <c r="G240" s="3387"/>
      <c r="H240" s="3387"/>
      <c r="I240" s="3387"/>
      <c r="J240" s="3387"/>
      <c r="K240" s="3387"/>
      <c r="L240" s="3387"/>
      <c r="M240" s="3387"/>
      <c r="N240" s="3387"/>
      <c r="O240" s="3387"/>
      <c r="P240" s="3387"/>
      <c r="Q240" s="3387"/>
      <c r="R240" s="3386"/>
      <c r="S240" s="3386"/>
      <c r="T240" s="3386"/>
      <c r="U240" s="3386"/>
      <c r="V240" s="3386"/>
      <c r="W240" s="3386"/>
      <c r="X240" s="3386"/>
      <c r="Y240" s="3386"/>
      <c r="Z240" s="3386"/>
      <c r="AA240" s="3386"/>
      <c r="AB240" s="3393">
        <f>+H!J45</f>
        <v>2006704815</v>
      </c>
      <c r="AC240" s="3393"/>
      <c r="AD240" s="3393"/>
      <c r="AE240" s="3393"/>
      <c r="AF240" s="3393"/>
      <c r="AG240" s="3393"/>
      <c r="AH240" s="3393"/>
      <c r="AI240"/>
      <c r="AJ240" s="3393">
        <f>+H!P14</f>
        <v>10566441215</v>
      </c>
      <c r="AK240" s="3393"/>
      <c r="AL240" s="3393"/>
      <c r="AM240" s="3393"/>
      <c r="AN240" s="3393"/>
      <c r="AO240" s="3393"/>
      <c r="AP240" s="3393"/>
      <c r="AQ240" s="2623">
        <f>+H!Q14</f>
        <v>10566441215</v>
      </c>
      <c r="AR240" s="2623"/>
      <c r="AS240" s="2623"/>
      <c r="AT240" s="2623"/>
      <c r="AU240" s="2623"/>
      <c r="AV240" s="2623"/>
      <c r="AW240" s="1293"/>
    </row>
    <row r="241" s="3330" customFormat="1" ht="11.4" spans="1:49">
      <c r="A241" s="3386"/>
      <c r="B241" s="3387"/>
      <c r="C241" s="3388" t="s">
        <v>1835</v>
      </c>
      <c r="D241" s="3389"/>
      <c r="E241" s="3387"/>
      <c r="F241" s="3387"/>
      <c r="G241" s="3387"/>
      <c r="H241" s="3387"/>
      <c r="I241" s="3387"/>
      <c r="J241" s="3387"/>
      <c r="K241" s="3387"/>
      <c r="L241" s="3387"/>
      <c r="M241" s="3387"/>
      <c r="N241" s="3387"/>
      <c r="O241" s="3387"/>
      <c r="P241" s="3387"/>
      <c r="Q241" s="3387"/>
      <c r="R241" s="3386"/>
      <c r="S241" s="3386"/>
      <c r="T241" s="3386"/>
      <c r="U241" s="3386"/>
      <c r="V241" s="3386"/>
      <c r="W241" s="3386"/>
      <c r="X241" s="3386"/>
      <c r="Y241" s="3386"/>
      <c r="Z241" s="3386"/>
      <c r="AA241" s="3386"/>
      <c r="AB241" s="3393">
        <f>+H!P45</f>
        <v>415008000</v>
      </c>
      <c r="AC241" s="3393"/>
      <c r="AD241" s="3393"/>
      <c r="AE241" s="3393"/>
      <c r="AF241" s="3393"/>
      <c r="AG241" s="3393"/>
      <c r="AH241" s="3393"/>
      <c r="AI241"/>
      <c r="AJ241" s="3393">
        <f>+H!P15</f>
        <v>415008000</v>
      </c>
      <c r="AK241" s="3393"/>
      <c r="AL241" s="3393"/>
      <c r="AM241" s="3393"/>
      <c r="AN241" s="3393"/>
      <c r="AO241" s="3393"/>
      <c r="AP241" s="3393"/>
      <c r="AQ241" s="2623">
        <f>+H!Q15</f>
        <v>415008000</v>
      </c>
      <c r="AR241" s="2623"/>
      <c r="AS241" s="2623"/>
      <c r="AT241" s="2623"/>
      <c r="AU241" s="2623"/>
      <c r="AV241" s="2623"/>
      <c r="AW241" s="1293"/>
    </row>
    <row r="242" s="3330" customFormat="1" ht="11.45" hidden="1" customHeight="1" spans="1:49">
      <c r="A242" s="3386"/>
      <c r="B242" s="3387"/>
      <c r="C242" s="3388" t="s">
        <v>1836</v>
      </c>
      <c r="D242" s="3389"/>
      <c r="E242" s="3387"/>
      <c r="F242" s="3387"/>
      <c r="G242" s="3387"/>
      <c r="H242" s="3387"/>
      <c r="I242" s="3387"/>
      <c r="J242" s="3387"/>
      <c r="K242" s="3387"/>
      <c r="L242" s="3387"/>
      <c r="M242" s="3387"/>
      <c r="N242" s="3387"/>
      <c r="O242" s="3387"/>
      <c r="P242" s="3387"/>
      <c r="Q242" s="3387"/>
      <c r="R242" s="3386"/>
      <c r="S242" s="3386"/>
      <c r="T242" s="3386"/>
      <c r="U242" s="3386"/>
      <c r="V242" s="3386"/>
      <c r="W242" s="3386"/>
      <c r="X242" s="3386"/>
      <c r="Y242" s="3386"/>
      <c r="Z242" s="3386"/>
      <c r="AA242" s="3386"/>
      <c r="AB242" s="3393">
        <f>+H!H16</f>
        <v>0</v>
      </c>
      <c r="AC242" s="3393"/>
      <c r="AD242" s="3393"/>
      <c r="AE242" s="3393"/>
      <c r="AF242" s="3393"/>
      <c r="AG242" s="3393"/>
      <c r="AH242" s="3393"/>
      <c r="AI242"/>
      <c r="AJ242" s="3393">
        <f>+H!P16</f>
        <v>0</v>
      </c>
      <c r="AK242" s="3393"/>
      <c r="AL242" s="3393"/>
      <c r="AM242" s="3393"/>
      <c r="AN242" s="3393"/>
      <c r="AO242" s="3393"/>
      <c r="AP242" s="3393"/>
      <c r="AQ242" s="2623">
        <f>+H!Q16</f>
        <v>0</v>
      </c>
      <c r="AR242" s="2623"/>
      <c r="AS242" s="2623"/>
      <c r="AT242" s="2623"/>
      <c r="AU242" s="2623"/>
      <c r="AV242" s="2623"/>
      <c r="AW242" s="1293"/>
    </row>
    <row r="243" s="3330" customFormat="1" ht="6" customHeight="1" spans="1:49">
      <c r="A243" s="3386"/>
      <c r="B243" s="3387"/>
      <c r="C243" s="3390"/>
      <c r="D243" s="3389"/>
      <c r="E243" s="3387"/>
      <c r="F243" s="3387"/>
      <c r="G243" s="3387"/>
      <c r="H243" s="3387"/>
      <c r="I243" s="3387"/>
      <c r="J243" s="3387"/>
      <c r="K243" s="3387"/>
      <c r="L243" s="3387"/>
      <c r="M243" s="3387"/>
      <c r="N243" s="3387"/>
      <c r="O243" s="3387"/>
      <c r="P243" s="3387"/>
      <c r="Q243" s="3387"/>
      <c r="R243" s="3386"/>
      <c r="S243" s="3386"/>
      <c r="T243" s="3386"/>
      <c r="U243" s="3386"/>
      <c r="V243" s="3386"/>
      <c r="W243" s="3386"/>
      <c r="X243" s="3386"/>
      <c r="Y243" s="3386"/>
      <c r="Z243" s="3386"/>
      <c r="AA243" s="3386"/>
      <c r="AB243" s="3363"/>
      <c r="AC243" s="3363"/>
      <c r="AD243" s="3363"/>
      <c r="AE243" s="3363"/>
      <c r="AF243" s="3363"/>
      <c r="AG243" s="3363"/>
      <c r="AH243" s="3363"/>
      <c r="AI243"/>
      <c r="AJ243" s="3363"/>
      <c r="AK243" s="3363"/>
      <c r="AL243" s="3363"/>
      <c r="AM243" s="3363"/>
      <c r="AN243" s="3363"/>
      <c r="AO243" s="3363"/>
      <c r="AP243" s="3363"/>
      <c r="AQ243" s="93"/>
      <c r="AR243" s="93"/>
      <c r="AS243" s="93"/>
      <c r="AT243" s="93"/>
      <c r="AU243" s="93"/>
      <c r="AV243" s="93"/>
      <c r="AW243" s="3445"/>
    </row>
    <row r="244" s="3330" customFormat="1" ht="12.75" spans="1:49">
      <c r="A244" s="3386"/>
      <c r="B244" s="3387"/>
      <c r="C244" s="3322" t="s">
        <v>1837</v>
      </c>
      <c r="D244" s="3389"/>
      <c r="E244" s="3387"/>
      <c r="F244" s="3387"/>
      <c r="G244" s="3387"/>
      <c r="H244" s="3387"/>
      <c r="I244" s="3387"/>
      <c r="J244" s="3387"/>
      <c r="K244" s="3387"/>
      <c r="L244" s="3387"/>
      <c r="M244" s="3387"/>
      <c r="N244" s="3387"/>
      <c r="O244" s="3387"/>
      <c r="P244" s="3387"/>
      <c r="Q244" s="3387"/>
      <c r="R244" s="3386"/>
      <c r="S244" s="3386"/>
      <c r="T244" s="3386"/>
      <c r="U244" s="3386"/>
      <c r="V244" s="3386"/>
      <c r="W244" s="3386"/>
      <c r="X244" s="3386"/>
      <c r="Y244" s="3386"/>
      <c r="Z244" s="3386"/>
      <c r="AA244" s="3386"/>
      <c r="AB244" s="3438">
        <f>SUM(AB239:AH243)</f>
        <v>2421712815</v>
      </c>
      <c r="AC244" s="3438"/>
      <c r="AD244" s="3438"/>
      <c r="AE244" s="3438"/>
      <c r="AF244" s="3438"/>
      <c r="AG244" s="3438"/>
      <c r="AH244" s="3438"/>
      <c r="AI244" s="94"/>
      <c r="AJ244" s="3438">
        <f>SUM(AJ239:AP243)</f>
        <v>10981449215</v>
      </c>
      <c r="AK244" s="3438"/>
      <c r="AL244" s="3438"/>
      <c r="AM244" s="3438"/>
      <c r="AN244" s="3438"/>
      <c r="AO244" s="3438"/>
      <c r="AP244" s="3438"/>
      <c r="AQ244" s="3401">
        <f>SUM(AQ239:AW243)</f>
        <v>10981449215</v>
      </c>
      <c r="AR244" s="3401"/>
      <c r="AS244" s="3401"/>
      <c r="AT244" s="3401"/>
      <c r="AU244" s="3401"/>
      <c r="AV244" s="3401"/>
      <c r="AW244" s="3405"/>
    </row>
    <row r="245" s="3330" customFormat="1" ht="12.75" spans="1:55">
      <c r="A245" s="3315"/>
      <c r="B245" s="3315"/>
      <c r="C245" s="3340"/>
      <c r="D245" s="3322"/>
      <c r="E245" s="3322"/>
      <c r="F245" s="3322"/>
      <c r="G245" s="3322"/>
      <c r="H245" s="3322"/>
      <c r="I245" s="3322"/>
      <c r="J245" s="3322"/>
      <c r="K245" s="3326"/>
      <c r="L245" s="3326"/>
      <c r="M245" s="3326"/>
      <c r="N245" s="3326"/>
      <c r="O245" s="3322"/>
      <c r="P245" s="3335"/>
      <c r="Q245" s="3335"/>
      <c r="R245" s="3335"/>
      <c r="S245" s="3335"/>
      <c r="T245" s="3335"/>
      <c r="U245" s="3335"/>
      <c r="V245" s="3326"/>
      <c r="W245" s="3335"/>
      <c r="X245" s="3335"/>
      <c r="Y245" s="3335"/>
      <c r="Z245" s="3335"/>
      <c r="AA245" s="3335"/>
      <c r="AB245" s="3393"/>
      <c r="AC245" s="3393"/>
      <c r="AD245" s="3393"/>
      <c r="AE245" s="3393"/>
      <c r="AF245" s="3393"/>
      <c r="AG245" s="3393"/>
      <c r="AH245" s="3393"/>
      <c r="AI245" s="3335"/>
      <c r="AJ245" s="3326"/>
      <c r="AK245" s="3335"/>
      <c r="AL245" s="3335"/>
      <c r="AM245" s="3335"/>
      <c r="AN245" s="3335"/>
      <c r="AO245" s="3335"/>
      <c r="AP245" s="3335"/>
      <c r="AR245" s="3331"/>
      <c r="AW245" s="2877"/>
      <c r="AY245" s="2877"/>
      <c r="AZ245" s="2877"/>
      <c r="BA245" s="2877"/>
      <c r="BB245" s="2877"/>
      <c r="BC245" s="2877"/>
    </row>
    <row r="246" s="3330" customFormat="1" spans="1:49">
      <c r="A246" s="3315"/>
      <c r="B246" s="3315"/>
      <c r="C246" s="3433" t="s">
        <v>1176</v>
      </c>
      <c r="D246" s="3434"/>
      <c r="E246" s="3386"/>
      <c r="F246" s="3386"/>
      <c r="G246" s="3386"/>
      <c r="H246" s="3386"/>
      <c r="I246" s="3386"/>
      <c r="J246" s="3386"/>
      <c r="K246" s="3386"/>
      <c r="L246" s="3386"/>
      <c r="M246" s="3386"/>
      <c r="N246" s="3386"/>
      <c r="O246" s="3386"/>
      <c r="P246" s="3386"/>
      <c r="Q246" s="3386"/>
      <c r="R246" s="3386"/>
      <c r="S246" s="3386"/>
      <c r="T246" s="3386"/>
      <c r="U246" s="3386"/>
      <c r="V246" s="3386"/>
      <c r="W246" s="3386"/>
      <c r="X246" s="3386"/>
      <c r="Y246" s="3386"/>
      <c r="Z246" s="3386"/>
      <c r="AA246" s="3386"/>
      <c r="AB246" s="3395"/>
      <c r="AC246" s="3395"/>
      <c r="AD246" s="3395"/>
      <c r="AE246" s="3395"/>
      <c r="AF246" s="3395"/>
      <c r="AG246" s="3395"/>
      <c r="AH246" s="3395"/>
      <c r="AI246" s="94"/>
      <c r="AJ246" s="3395"/>
      <c r="AK246" s="3395"/>
      <c r="AL246" s="3395"/>
      <c r="AM246" s="3395"/>
      <c r="AN246" s="3395"/>
      <c r="AO246" s="3395"/>
      <c r="AP246" s="3395"/>
      <c r="AQ246" s="3329"/>
      <c r="AR246" s="3331"/>
      <c r="AW246" s="3371"/>
    </row>
    <row r="247" s="3330" customFormat="1" ht="8.1" customHeight="1" spans="1:49">
      <c r="A247" s="3315"/>
      <c r="B247" s="3315"/>
      <c r="C247" s="3435"/>
      <c r="D247" s="3434"/>
      <c r="E247" s="3386"/>
      <c r="F247" s="3386"/>
      <c r="G247" s="3386"/>
      <c r="H247" s="3386"/>
      <c r="I247" s="3386"/>
      <c r="J247" s="3386"/>
      <c r="K247" s="3386"/>
      <c r="L247" s="3386"/>
      <c r="M247" s="3386"/>
      <c r="N247" s="3386"/>
      <c r="O247" s="3386"/>
      <c r="P247" s="3386"/>
      <c r="Q247" s="3386"/>
      <c r="R247" s="3386"/>
      <c r="S247" s="3386"/>
      <c r="T247" s="3386"/>
      <c r="U247" s="3386"/>
      <c r="V247" s="3386"/>
      <c r="W247" s="3386"/>
      <c r="X247" s="3386"/>
      <c r="Y247" s="3386"/>
      <c r="Z247" s="3386"/>
      <c r="AA247" s="3386"/>
      <c r="AB247" s="3395"/>
      <c r="AC247" s="3395"/>
      <c r="AD247" s="3395"/>
      <c r="AE247" s="3395"/>
      <c r="AF247" s="3395"/>
      <c r="AG247" s="3395"/>
      <c r="AH247" s="3395"/>
      <c r="AI247" s="94"/>
      <c r="AJ247" s="3395"/>
      <c r="AK247" s="3395"/>
      <c r="AL247" s="3395"/>
      <c r="AM247" s="3395"/>
      <c r="AN247" s="3395"/>
      <c r="AO247" s="3395"/>
      <c r="AP247" s="3395"/>
      <c r="AQ247" s="3329"/>
      <c r="AR247" s="3331"/>
      <c r="AW247" s="3371"/>
    </row>
    <row r="248" s="3330" customFormat="1" ht="47.1" customHeight="1" spans="1:49">
      <c r="A248" s="3315"/>
      <c r="B248" s="3315"/>
      <c r="C248" s="5036" t="s">
        <v>1838</v>
      </c>
      <c r="D248" s="3341"/>
      <c r="E248" s="3341"/>
      <c r="F248" s="3341"/>
      <c r="G248" s="3341"/>
      <c r="H248" s="3341"/>
      <c r="I248" s="3341"/>
      <c r="J248" s="3341"/>
      <c r="K248" s="3341"/>
      <c r="L248" s="3341"/>
      <c r="M248" s="3341"/>
      <c r="N248" s="3341"/>
      <c r="O248" s="3341"/>
      <c r="P248" s="3341"/>
      <c r="Q248" s="3341"/>
      <c r="R248" s="3341"/>
      <c r="S248" s="3341"/>
      <c r="T248" s="3341"/>
      <c r="U248" s="3341"/>
      <c r="V248" s="3341"/>
      <c r="W248" s="3341"/>
      <c r="X248" s="3341"/>
      <c r="Y248" s="3341"/>
      <c r="Z248" s="3341"/>
      <c r="AA248" s="3341"/>
      <c r="AB248" s="3341"/>
      <c r="AC248" s="3341"/>
      <c r="AD248" s="3341"/>
      <c r="AE248" s="3341"/>
      <c r="AF248" s="3341"/>
      <c r="AG248" s="3341"/>
      <c r="AH248" s="3341"/>
      <c r="AI248" s="3341"/>
      <c r="AJ248" s="3341"/>
      <c r="AK248" s="3341"/>
      <c r="AL248" s="3341"/>
      <c r="AM248" s="3341"/>
      <c r="AN248" s="3341"/>
      <c r="AO248" s="3341"/>
      <c r="AP248" s="3341"/>
      <c r="AQ248" s="3329" t="s">
        <v>1839</v>
      </c>
      <c r="AR248" s="3331"/>
      <c r="AW248" s="3371"/>
    </row>
    <row r="249" s="3330" customFormat="1" spans="1:49">
      <c r="A249" s="3315"/>
      <c r="B249" s="3315"/>
      <c r="C249" s="3340"/>
      <c r="D249" s="3322"/>
      <c r="E249" s="3322"/>
      <c r="F249" s="3322"/>
      <c r="G249" s="3322"/>
      <c r="H249" s="3322"/>
      <c r="I249" s="3322"/>
      <c r="J249" s="3322"/>
      <c r="K249" s="3326"/>
      <c r="L249" s="3326"/>
      <c r="M249" s="3326"/>
      <c r="N249" s="3326"/>
      <c r="O249" s="3322"/>
      <c r="P249" s="3335"/>
      <c r="Q249" s="3335"/>
      <c r="R249" s="3335"/>
      <c r="S249" s="3335"/>
      <c r="T249" s="3335"/>
      <c r="U249" s="3335"/>
      <c r="V249" s="3326"/>
      <c r="W249" s="3335"/>
      <c r="X249" s="3335"/>
      <c r="Y249" s="3335"/>
      <c r="Z249" s="3335"/>
      <c r="AA249" s="3335"/>
      <c r="AB249" s="3335"/>
      <c r="AC249" s="3326"/>
      <c r="AD249" s="3335"/>
      <c r="AE249" s="3335"/>
      <c r="AF249" s="3335"/>
      <c r="AG249" s="3335"/>
      <c r="AH249" s="3335"/>
      <c r="AI249" s="3335"/>
      <c r="AJ249" s="3326"/>
      <c r="AK249" s="3335"/>
      <c r="AL249" s="3335"/>
      <c r="AM249" s="3335"/>
      <c r="AN249" s="3335"/>
      <c r="AO249" s="3335"/>
      <c r="AP249" s="3335"/>
      <c r="AR249" s="3331"/>
      <c r="AW249" s="3371"/>
    </row>
    <row r="250" s="3330" customFormat="1" spans="1:49">
      <c r="A250" s="3315"/>
      <c r="B250" s="3315"/>
      <c r="C250" s="3340"/>
      <c r="D250" s="3322"/>
      <c r="E250" s="3322"/>
      <c r="F250" s="3322"/>
      <c r="G250" s="3322"/>
      <c r="H250" s="3322"/>
      <c r="I250" s="3322"/>
      <c r="J250" s="3322"/>
      <c r="K250" s="3326"/>
      <c r="L250" s="3326"/>
      <c r="M250" s="3326"/>
      <c r="N250" s="3326"/>
      <c r="O250" s="3322"/>
      <c r="P250" s="3335"/>
      <c r="Q250" s="3335"/>
      <c r="R250" s="3335"/>
      <c r="S250" s="3335"/>
      <c r="T250" s="3335"/>
      <c r="U250" s="3335"/>
      <c r="V250" s="3326"/>
      <c r="W250" s="3335"/>
      <c r="X250" s="3335"/>
      <c r="Y250" s="3335"/>
      <c r="Z250" s="3335"/>
      <c r="AA250" s="3335"/>
      <c r="AB250" s="3335"/>
      <c r="AC250" s="3326"/>
      <c r="AD250" s="3335"/>
      <c r="AE250" s="3335"/>
      <c r="AF250" s="3335"/>
      <c r="AG250" s="3335"/>
      <c r="AH250" s="3335"/>
      <c r="AI250" s="3335"/>
      <c r="AJ250" s="3326"/>
      <c r="AK250" s="3335"/>
      <c r="AL250" s="3335"/>
      <c r="AM250" s="3335"/>
      <c r="AN250" s="3335"/>
      <c r="AO250" s="3335"/>
      <c r="AP250" s="3335"/>
      <c r="AR250" s="3331"/>
      <c r="AW250" s="3371"/>
    </row>
    <row r="251" s="3330" customFormat="1" ht="11.4" spans="1:49">
      <c r="A251" s="3385">
        <f>+A159+1</f>
        <v>11</v>
      </c>
      <c r="B251" s="3385"/>
      <c r="C251" s="3385"/>
      <c r="D251" s="3385"/>
      <c r="E251" s="3385"/>
      <c r="F251" s="3385"/>
      <c r="G251" s="3385"/>
      <c r="H251" s="3385"/>
      <c r="I251" s="3385"/>
      <c r="J251" s="3385"/>
      <c r="K251" s="3385"/>
      <c r="L251" s="3385"/>
      <c r="M251" s="3385"/>
      <c r="N251" s="3385"/>
      <c r="O251" s="3385"/>
      <c r="P251" s="3385"/>
      <c r="Q251" s="3385"/>
      <c r="R251" s="3385"/>
      <c r="S251" s="3385"/>
      <c r="T251" s="3385"/>
      <c r="U251" s="3385"/>
      <c r="V251" s="3385"/>
      <c r="W251" s="3385"/>
      <c r="X251" s="3385"/>
      <c r="Y251" s="3385"/>
      <c r="Z251" s="3385"/>
      <c r="AA251" s="3385"/>
      <c r="AB251" s="3385"/>
      <c r="AC251" s="3385"/>
      <c r="AD251" s="3385"/>
      <c r="AE251" s="3385"/>
      <c r="AF251" s="3385"/>
      <c r="AG251" s="3385"/>
      <c r="AH251" s="3385"/>
      <c r="AI251" s="3385"/>
      <c r="AJ251" s="3385"/>
      <c r="AK251" s="3385"/>
      <c r="AL251" s="3385"/>
      <c r="AM251" s="3385"/>
      <c r="AN251" s="3385"/>
      <c r="AO251" s="3385"/>
      <c r="AP251" s="3385"/>
      <c r="AR251" s="3331"/>
      <c r="AW251" s="3371"/>
    </row>
    <row r="252" s="3330" customFormat="1" spans="1:49">
      <c r="A252" s="3335">
        <f>+A220</f>
        <v>9</v>
      </c>
      <c r="B252" s="3315"/>
      <c r="C252" s="3322" t="s">
        <v>1831</v>
      </c>
      <c r="D252" s="3315"/>
      <c r="E252" s="3315"/>
      <c r="F252" s="3322"/>
      <c r="G252" s="3322"/>
      <c r="H252" s="3322"/>
      <c r="I252" s="3322"/>
      <c r="J252" s="3322"/>
      <c r="K252" s="3326"/>
      <c r="L252" s="3326"/>
      <c r="M252" s="3326"/>
      <c r="N252" s="3326"/>
      <c r="O252" s="3322"/>
      <c r="P252" s="3335"/>
      <c r="Q252" s="3335"/>
      <c r="R252" s="3335"/>
      <c r="S252" s="3335"/>
      <c r="T252" s="3335"/>
      <c r="U252" s="3335"/>
      <c r="V252" s="3326"/>
      <c r="W252" s="3335"/>
      <c r="X252" s="3335"/>
      <c r="Y252" s="3335"/>
      <c r="Z252" s="3335"/>
      <c r="AA252" s="3335"/>
      <c r="AB252" s="3335"/>
      <c r="AC252" s="3326"/>
      <c r="AD252" s="3335"/>
      <c r="AE252" s="3335"/>
      <c r="AF252" s="3335"/>
      <c r="AG252" s="3335"/>
      <c r="AH252" s="3335"/>
      <c r="AI252" s="3335"/>
      <c r="AJ252" s="3326"/>
      <c r="AK252" s="3335"/>
      <c r="AL252" s="3335"/>
      <c r="AM252" s="3335"/>
      <c r="AN252" s="3335"/>
      <c r="AO252" s="3335"/>
      <c r="AP252" s="3335"/>
      <c r="AR252" s="3331"/>
      <c r="AW252" s="3371"/>
    </row>
    <row r="253" s="3330" customFormat="1" spans="1:49">
      <c r="A253" s="3315"/>
      <c r="B253" s="3315"/>
      <c r="C253" s="3340"/>
      <c r="D253" s="3322"/>
      <c r="E253" s="3322"/>
      <c r="F253" s="3322"/>
      <c r="G253" s="3322"/>
      <c r="H253" s="3322"/>
      <c r="I253" s="3322"/>
      <c r="J253" s="3322"/>
      <c r="K253" s="3326"/>
      <c r="L253" s="3326"/>
      <c r="M253" s="3326"/>
      <c r="N253" s="3326"/>
      <c r="O253" s="3322"/>
      <c r="P253" s="3335"/>
      <c r="Q253" s="3335"/>
      <c r="R253" s="3335"/>
      <c r="S253" s="3335"/>
      <c r="T253" s="3335"/>
      <c r="U253" s="3335"/>
      <c r="V253" s="3326"/>
      <c r="W253" s="3335"/>
      <c r="X253" s="3335"/>
      <c r="Y253" s="3335"/>
      <c r="Z253" s="3335"/>
      <c r="AA253" s="3335"/>
      <c r="AB253" s="3335"/>
      <c r="AC253" s="3326"/>
      <c r="AD253" s="3335"/>
      <c r="AE253" s="3335"/>
      <c r="AF253" s="3335"/>
      <c r="AG253" s="3335"/>
      <c r="AH253" s="3335"/>
      <c r="AI253" s="3335"/>
      <c r="AJ253" s="3326"/>
      <c r="AK253" s="3335"/>
      <c r="AL253" s="3335"/>
      <c r="AM253" s="3335"/>
      <c r="AN253" s="3335"/>
      <c r="AO253" s="3335"/>
      <c r="AP253" s="3335"/>
      <c r="AR253" s="3331"/>
      <c r="AW253" s="3371"/>
    </row>
    <row r="254" s="3330" customFormat="1" spans="1:49">
      <c r="A254" s="3315"/>
      <c r="B254" s="3315"/>
      <c r="C254" s="3433" t="s">
        <v>1840</v>
      </c>
      <c r="D254" s="3434"/>
      <c r="E254" s="3386"/>
      <c r="F254" s="3386"/>
      <c r="G254" s="3386"/>
      <c r="H254" s="3386"/>
      <c r="I254" s="3386"/>
      <c r="J254" s="3386"/>
      <c r="K254" s="3386"/>
      <c r="L254" s="3386"/>
      <c r="M254" s="3386"/>
      <c r="N254" s="3386"/>
      <c r="O254" s="3386"/>
      <c r="P254" s="3386"/>
      <c r="Q254" s="3386"/>
      <c r="R254" s="3386"/>
      <c r="S254" s="3386"/>
      <c r="T254" s="3386"/>
      <c r="U254" s="3386"/>
      <c r="V254" s="3386"/>
      <c r="W254" s="3386"/>
      <c r="X254" s="3386"/>
      <c r="Y254" s="3386"/>
      <c r="Z254" s="3386"/>
      <c r="AA254" s="3386"/>
      <c r="AB254" s="3395"/>
      <c r="AC254" s="3395"/>
      <c r="AD254" s="3395"/>
      <c r="AE254" s="3395"/>
      <c r="AF254" s="3395"/>
      <c r="AG254" s="3395"/>
      <c r="AH254" s="3395"/>
      <c r="AI254" s="94"/>
      <c r="AJ254" s="3395"/>
      <c r="AK254" s="3395"/>
      <c r="AL254" s="3395"/>
      <c r="AM254" s="3395"/>
      <c r="AN254" s="3395"/>
      <c r="AO254" s="3395"/>
      <c r="AP254" s="3395"/>
      <c r="AR254" s="3331"/>
      <c r="AW254" s="3371"/>
    </row>
    <row r="255" s="3330" customFormat="1" ht="9.6" customHeight="1" spans="1:49">
      <c r="A255" s="3315"/>
      <c r="B255" s="3315"/>
      <c r="C255" s="3435"/>
      <c r="D255" s="3434"/>
      <c r="E255" s="3386"/>
      <c r="F255" s="3386"/>
      <c r="G255" s="3386"/>
      <c r="H255" s="3386"/>
      <c r="I255" s="3386"/>
      <c r="J255" s="3386"/>
      <c r="K255" s="3386"/>
      <c r="L255" s="3386"/>
      <c r="M255" s="3386"/>
      <c r="N255" s="3386"/>
      <c r="O255" s="3386"/>
      <c r="P255" s="3386"/>
      <c r="Q255" s="3386"/>
      <c r="R255" s="3386"/>
      <c r="S255" s="3386"/>
      <c r="T255" s="3386"/>
      <c r="U255" s="3386"/>
      <c r="V255" s="3386"/>
      <c r="W255" s="3386"/>
      <c r="X255" s="3386"/>
      <c r="Y255" s="3386"/>
      <c r="Z255" s="3386"/>
      <c r="AA255" s="3386"/>
      <c r="AB255" s="3395"/>
      <c r="AC255" s="3395"/>
      <c r="AD255" s="3395"/>
      <c r="AE255" s="3395"/>
      <c r="AF255" s="3395"/>
      <c r="AG255" s="3395"/>
      <c r="AH255" s="3395"/>
      <c r="AI255" s="94"/>
      <c r="AJ255" s="3395"/>
      <c r="AK255" s="3395"/>
      <c r="AL255" s="3395"/>
      <c r="AM255" s="3395"/>
      <c r="AN255" s="3395"/>
      <c r="AO255" s="3395"/>
      <c r="AP255" s="3395"/>
      <c r="AR255" s="3331"/>
      <c r="AW255" s="3371"/>
    </row>
    <row r="256" s="3330" customFormat="1" ht="48.6" customHeight="1" spans="1:49">
      <c r="A256" s="3315"/>
      <c r="B256" s="3315"/>
      <c r="C256" s="5036" t="s">
        <v>1841</v>
      </c>
      <c r="D256" s="3341"/>
      <c r="E256" s="3341"/>
      <c r="F256" s="3341"/>
      <c r="G256" s="3341"/>
      <c r="H256" s="3341"/>
      <c r="I256" s="3341"/>
      <c r="J256" s="3341"/>
      <c r="K256" s="3341"/>
      <c r="L256" s="3341"/>
      <c r="M256" s="3341"/>
      <c r="N256" s="3341"/>
      <c r="O256" s="3341"/>
      <c r="P256" s="3341"/>
      <c r="Q256" s="3341"/>
      <c r="R256" s="3341"/>
      <c r="S256" s="3341"/>
      <c r="T256" s="3341"/>
      <c r="U256" s="3341"/>
      <c r="V256" s="3341"/>
      <c r="W256" s="3341"/>
      <c r="X256" s="3341"/>
      <c r="Y256" s="3341"/>
      <c r="Z256" s="3341"/>
      <c r="AA256" s="3341"/>
      <c r="AB256" s="3341"/>
      <c r="AC256" s="3341"/>
      <c r="AD256" s="3341"/>
      <c r="AE256" s="3341"/>
      <c r="AF256" s="3341"/>
      <c r="AG256" s="3341"/>
      <c r="AH256" s="3341"/>
      <c r="AI256" s="3341"/>
      <c r="AJ256" s="3341"/>
      <c r="AK256" s="3341"/>
      <c r="AL256" s="3341"/>
      <c r="AM256" s="3341"/>
      <c r="AN256" s="3341"/>
      <c r="AO256" s="3341"/>
      <c r="AP256" s="3341"/>
      <c r="AR256" s="3331"/>
      <c r="AW256" s="3371"/>
    </row>
    <row r="257" s="3330" customFormat="1" ht="13.5" customHeight="1" spans="1:49">
      <c r="A257" s="3315"/>
      <c r="B257" s="3315"/>
      <c r="C257" s="3340"/>
      <c r="D257" s="3322"/>
      <c r="E257" s="3322"/>
      <c r="F257" s="3322"/>
      <c r="G257" s="3322"/>
      <c r="H257" s="3322"/>
      <c r="I257" s="3322"/>
      <c r="J257" s="3322"/>
      <c r="K257" s="3326"/>
      <c r="L257" s="3326"/>
      <c r="M257" s="3326"/>
      <c r="N257" s="3326"/>
      <c r="O257" s="3322"/>
      <c r="P257" s="3335"/>
      <c r="Q257" s="3335"/>
      <c r="R257" s="3335"/>
      <c r="S257" s="3335"/>
      <c r="T257" s="3335"/>
      <c r="U257" s="3335"/>
      <c r="V257" s="3326"/>
      <c r="W257" s="3335"/>
      <c r="X257" s="3335"/>
      <c r="Y257" s="3335"/>
      <c r="Z257" s="3335"/>
      <c r="AA257" s="3335"/>
      <c r="AB257" s="3395"/>
      <c r="AC257" s="3395"/>
      <c r="AD257" s="3395"/>
      <c r="AE257" s="3395"/>
      <c r="AF257" s="3395"/>
      <c r="AG257" s="3395"/>
      <c r="AH257" s="3395"/>
      <c r="AI257" s="3335"/>
      <c r="AJ257" s="2912"/>
      <c r="AK257" s="2912"/>
      <c r="AL257" s="2912"/>
      <c r="AM257" s="2912"/>
      <c r="AN257" s="2912"/>
      <c r="AO257" s="2912"/>
      <c r="AP257" s="2912"/>
      <c r="AQ257"/>
      <c r="AR257" s="3331"/>
      <c r="AW257" s="3371"/>
    </row>
    <row r="258" s="3330" customFormat="1" customHeight="1" spans="1:49">
      <c r="A258" s="3335">
        <f>+A252+1</f>
        <v>10</v>
      </c>
      <c r="B258"/>
      <c r="C258" s="3322" t="s">
        <v>1842</v>
      </c>
      <c r="D258"/>
      <c r="E258"/>
      <c r="F258"/>
      <c r="G258"/>
      <c r="H258"/>
      <c r="AR258" s="1540"/>
      <c r="AS258" s="1540"/>
      <c r="AT258" s="1540"/>
      <c r="AU258" s="1540"/>
      <c r="AV258" s="1540"/>
      <c r="AW258" s="3456"/>
    </row>
    <row r="259" s="3330" customFormat="1" ht="8.1" customHeight="1" spans="1:49">
      <c r="A259" s="3335"/>
      <c r="B259" s="3315"/>
      <c r="C259" s="3322"/>
      <c r="D259" s="3315"/>
      <c r="E259" s="3315"/>
      <c r="F259" s="3315"/>
      <c r="G259" s="3315"/>
      <c r="H259" s="3315"/>
      <c r="I259" s="3315"/>
      <c r="J259" s="3315"/>
      <c r="K259" s="3315"/>
      <c r="L259" s="3315"/>
      <c r="M259" s="3315"/>
      <c r="N259" s="3315"/>
      <c r="O259" s="3315"/>
      <c r="P259" s="3315"/>
      <c r="Q259" s="3315"/>
      <c r="R259" s="3315"/>
      <c r="S259" s="3315"/>
      <c r="T259" s="3315"/>
      <c r="U259" s="3315"/>
      <c r="V259" s="3315"/>
      <c r="W259" s="3315"/>
      <c r="X259" s="3315"/>
      <c r="Y259" s="3315"/>
      <c r="Z259" s="3315"/>
      <c r="AA259" s="3315"/>
      <c r="AB259" s="3315"/>
      <c r="AC259" s="3315"/>
      <c r="AD259" s="3315"/>
      <c r="AE259" s="3315"/>
      <c r="AF259" s="3315"/>
      <c r="AG259" s="3315"/>
      <c r="AH259" s="3315"/>
      <c r="AI259" s="3328"/>
      <c r="AJ259" s="3328"/>
      <c r="AK259" s="3398"/>
      <c r="AL259" s="3328"/>
      <c r="AM259" s="3328"/>
      <c r="AN259" s="3328"/>
      <c r="AO259" s="3328"/>
      <c r="AP259" s="3328"/>
      <c r="AQ259" s="3326"/>
      <c r="AR259" s="3331"/>
      <c r="AW259" s="3371"/>
    </row>
    <row r="260" s="3330" customFormat="1" ht="11.4" spans="1:49">
      <c r="A260"/>
      <c r="B260"/>
      <c r="C260" s="5036" t="s">
        <v>2100</v>
      </c>
      <c r="D260" s="3339"/>
      <c r="E260" s="3339"/>
      <c r="F260" s="3339"/>
      <c r="G260" s="3339"/>
      <c r="H260" s="3339"/>
      <c r="I260" s="3339"/>
      <c r="J260" s="3339"/>
      <c r="K260" s="3339"/>
      <c r="L260" s="3339"/>
      <c r="M260" s="3339"/>
      <c r="N260" s="3339"/>
      <c r="O260" s="3339"/>
      <c r="P260" s="3339"/>
      <c r="Q260" s="3339"/>
      <c r="R260" s="3339"/>
      <c r="S260" s="3339"/>
      <c r="T260" s="3339"/>
      <c r="U260" s="3339"/>
      <c r="V260" s="3339"/>
      <c r="W260" s="3339"/>
      <c r="X260" s="3339"/>
      <c r="Y260" s="3339"/>
      <c r="Z260" s="3339"/>
      <c r="AA260" s="3339"/>
      <c r="AB260" s="3339"/>
      <c r="AC260" s="3339"/>
      <c r="AD260" s="3339"/>
      <c r="AE260" s="3339"/>
      <c r="AF260" s="3339"/>
      <c r="AG260" s="3339"/>
      <c r="AH260" s="3339"/>
      <c r="AI260" s="3339"/>
      <c r="AJ260" s="3339"/>
      <c r="AK260" s="3339"/>
      <c r="AL260" s="3339"/>
      <c r="AM260" s="3339"/>
      <c r="AN260" s="3339"/>
      <c r="AO260" s="3339"/>
      <c r="AP260" s="3339"/>
      <c r="AQ260" s="3326"/>
      <c r="AR260" s="3326"/>
      <c r="AS260" s="3326"/>
      <c r="AW260" s="3371"/>
    </row>
    <row r="261" s="3330" customFormat="1" ht="7.5" customHeight="1" spans="1:49">
      <c r="A261"/>
      <c r="B261"/>
      <c r="C261" s="3339"/>
      <c r="D261" s="3339"/>
      <c r="E261" s="3339"/>
      <c r="F261" s="3339"/>
      <c r="G261" s="3339"/>
      <c r="H261" s="3339"/>
      <c r="I261" s="3339"/>
      <c r="J261" s="3339"/>
      <c r="K261" s="3339"/>
      <c r="L261" s="3339"/>
      <c r="M261" s="3339"/>
      <c r="N261" s="3339"/>
      <c r="O261" s="3339"/>
      <c r="P261" s="3339"/>
      <c r="Q261" s="3339"/>
      <c r="R261" s="3339"/>
      <c r="S261" s="3339"/>
      <c r="T261" s="3339"/>
      <c r="U261" s="3339"/>
      <c r="V261" s="3339"/>
      <c r="W261" s="3339"/>
      <c r="X261" s="3339"/>
      <c r="Y261" s="3339"/>
      <c r="Z261" s="3339"/>
      <c r="AA261" s="3339"/>
      <c r="AB261" s="3339"/>
      <c r="AC261" s="3339"/>
      <c r="AD261" s="3339"/>
      <c r="AE261" s="3339"/>
      <c r="AF261" s="3339"/>
      <c r="AG261" s="3339"/>
      <c r="AH261" s="3339"/>
      <c r="AI261" s="3339"/>
      <c r="AJ261" s="3339"/>
      <c r="AK261" s="3339"/>
      <c r="AL261" s="3339"/>
      <c r="AM261" s="3339"/>
      <c r="AN261" s="3339"/>
      <c r="AO261" s="3339"/>
      <c r="AP261" s="3339"/>
      <c r="AQ261" s="3326"/>
      <c r="AR261" s="3326"/>
      <c r="AS261" s="3326"/>
      <c r="AW261" s="3371"/>
    </row>
    <row r="262" s="3330" customFormat="1" customHeight="1" spans="1:49">
      <c r="A262"/>
      <c r="B262"/>
      <c r="C262" s="3339"/>
      <c r="D262" s="3339"/>
      <c r="E262" s="3339"/>
      <c r="F262" s="3339"/>
      <c r="G262" s="3339"/>
      <c r="H262" s="3339"/>
      <c r="I262" s="3339"/>
      <c r="J262" s="3339"/>
      <c r="K262" s="3339"/>
      <c r="L262" s="3339"/>
      <c r="M262" s="3339"/>
      <c r="N262" s="3339"/>
      <c r="O262" s="3339"/>
      <c r="P262" s="3339"/>
      <c r="Q262" s="3339"/>
      <c r="R262" s="3339"/>
      <c r="S262" s="3339"/>
      <c r="T262" s="3339"/>
      <c r="U262" s="3339"/>
      <c r="V262" s="3339"/>
      <c r="W262" s="3339"/>
      <c r="X262" s="3339"/>
      <c r="Y262" s="3339"/>
      <c r="Z262" s="3339"/>
      <c r="AA262" s="3339"/>
      <c r="AB262" s="5108" t="str">
        <f>+AB224</f>
        <v>2022</v>
      </c>
      <c r="AC262" s="3360"/>
      <c r="AD262" s="3360"/>
      <c r="AE262" s="3360"/>
      <c r="AF262" s="3360"/>
      <c r="AG262" s="3360"/>
      <c r="AH262" s="3360"/>
      <c r="AI262" s="3368"/>
      <c r="AJ262" s="3359">
        <v>2021</v>
      </c>
      <c r="AK262" s="3360"/>
      <c r="AL262" s="3360"/>
      <c r="AM262" s="3360"/>
      <c r="AN262" s="3360"/>
      <c r="AO262" s="3360"/>
      <c r="AP262" s="3360"/>
      <c r="AQ262" s="3360">
        <v>2020</v>
      </c>
      <c r="AR262" s="3360"/>
      <c r="AS262" s="3360"/>
      <c r="AT262" s="3360"/>
      <c r="AU262" s="3360"/>
      <c r="AV262" s="3360"/>
      <c r="AW262" s="3381"/>
    </row>
    <row r="263" s="3330" customFormat="1" ht="7.5" customHeight="1" spans="1:49">
      <c r="A263"/>
      <c r="B263"/>
      <c r="C263" s="3339"/>
      <c r="D263" s="3339"/>
      <c r="E263" s="3339"/>
      <c r="F263" s="3339"/>
      <c r="G263" s="3339"/>
      <c r="H263" s="3339"/>
      <c r="I263" s="3339"/>
      <c r="J263" s="3339"/>
      <c r="K263" s="3339"/>
      <c r="L263" s="3339"/>
      <c r="M263" s="3339"/>
      <c r="N263" s="3339"/>
      <c r="O263" s="3339"/>
      <c r="P263" s="3339"/>
      <c r="Q263" s="3339"/>
      <c r="R263" s="3339"/>
      <c r="S263" s="3339"/>
      <c r="T263" s="3339"/>
      <c r="U263" s="3339"/>
      <c r="V263" s="3339"/>
      <c r="W263" s="3339"/>
      <c r="X263" s="3339"/>
      <c r="Y263" s="3339"/>
      <c r="Z263" s="3339"/>
      <c r="AA263" s="3339"/>
      <c r="AB263" s="3361"/>
      <c r="AC263" s="3362"/>
      <c r="AD263" s="3362"/>
      <c r="AE263" s="3362"/>
      <c r="AF263" s="3362"/>
      <c r="AG263" s="3362"/>
      <c r="AH263" s="3362"/>
      <c r="AI263" s="3368"/>
      <c r="AJ263" s="3361"/>
      <c r="AK263" s="3362"/>
      <c r="AL263" s="3362"/>
      <c r="AM263" s="3362"/>
      <c r="AN263" s="3362"/>
      <c r="AO263" s="3362"/>
      <c r="AP263" s="3362"/>
      <c r="AQ263" s="3361"/>
      <c r="AR263" s="3362"/>
      <c r="AS263" s="3362"/>
      <c r="AT263" s="3362"/>
      <c r="AU263" s="3362"/>
      <c r="AV263" s="3362"/>
      <c r="AW263" s="3381"/>
    </row>
    <row r="264" s="3330" customFormat="1" ht="12.4" customHeight="1" spans="1:49">
      <c r="A264"/>
      <c r="B264"/>
      <c r="C264" t="str">
        <f>+BB!C14</f>
        <v>Ridha Wira, CV</v>
      </c>
      <c r="D264" s="3339"/>
      <c r="E264" s="3339"/>
      <c r="F264" s="3339"/>
      <c r="G264" s="3339"/>
      <c r="H264" s="3339"/>
      <c r="I264" s="3339"/>
      <c r="J264" s="3339"/>
      <c r="K264" s="3339"/>
      <c r="L264" s="3339"/>
      <c r="M264" s="3339"/>
      <c r="N264" s="3339"/>
      <c r="O264" s="3339"/>
      <c r="P264" s="3339"/>
      <c r="Q264" s="3339"/>
      <c r="R264" s="3339"/>
      <c r="S264" s="3339"/>
      <c r="T264" s="3339"/>
      <c r="U264" s="3339"/>
      <c r="V264" s="3339"/>
      <c r="W264" s="3339"/>
      <c r="X264" s="3339"/>
      <c r="Y264" s="3339"/>
      <c r="Z264" s="3339"/>
      <c r="AA264" s="3339"/>
      <c r="AB264" s="3363">
        <f>+BB!K14</f>
        <v>40000000</v>
      </c>
      <c r="AC264" s="3363"/>
      <c r="AD264" s="3363"/>
      <c r="AE264" s="3363"/>
      <c r="AF264" s="3363"/>
      <c r="AG264" s="3363"/>
      <c r="AH264" s="3363"/>
      <c r="AI264"/>
      <c r="AJ264" s="3363">
        <f>+BB!Q14</f>
        <v>0</v>
      </c>
      <c r="AK264" s="3363"/>
      <c r="AL264" s="3363"/>
      <c r="AM264" s="3363"/>
      <c r="AN264" s="3363"/>
      <c r="AO264" s="3363"/>
      <c r="AP264" s="3363"/>
      <c r="AQ264" s="2623">
        <f>+BB!R14</f>
        <v>19600000</v>
      </c>
      <c r="AR264" s="2623"/>
      <c r="AS264" s="2623"/>
      <c r="AT264" s="2623"/>
      <c r="AU264" s="2623"/>
      <c r="AV264" s="2623"/>
      <c r="AW264" s="1293"/>
    </row>
    <row r="265" s="3330" customFormat="1" ht="11.4" spans="1:49">
      <c r="A265"/>
      <c r="B265"/>
      <c r="C265" t="str">
        <f>+BB!C15</f>
        <v>Kirana Energi Bersama PT </v>
      </c>
      <c r="D265" s="3339"/>
      <c r="E265" s="3339"/>
      <c r="F265" s="3339"/>
      <c r="G265" s="3339"/>
      <c r="H265" s="3339"/>
      <c r="I265" s="3339"/>
      <c r="J265" s="3339"/>
      <c r="K265" s="3339"/>
      <c r="L265" s="3339"/>
      <c r="M265" s="3339"/>
      <c r="N265" s="3339"/>
      <c r="O265" s="3339"/>
      <c r="P265" s="3339"/>
      <c r="Q265" s="3339"/>
      <c r="R265" s="3339"/>
      <c r="S265" s="3339"/>
      <c r="T265" s="3339"/>
      <c r="U265" s="3339"/>
      <c r="V265" s="3339"/>
      <c r="W265" s="3339"/>
      <c r="X265" s="3339"/>
      <c r="Y265" s="3339"/>
      <c r="Z265" s="3339"/>
      <c r="AA265" s="3339"/>
      <c r="AB265" s="3363">
        <f>+BB!K15</f>
        <v>37500000</v>
      </c>
      <c r="AC265" s="3363"/>
      <c r="AD265" s="3363"/>
      <c r="AE265" s="3363"/>
      <c r="AF265" s="3363"/>
      <c r="AG265" s="3363"/>
      <c r="AH265" s="3363"/>
      <c r="AI265" s="3339"/>
      <c r="AJ265" s="3363">
        <f>+BB!Q15</f>
        <v>0</v>
      </c>
      <c r="AK265" s="3363"/>
      <c r="AL265" s="3363"/>
      <c r="AM265" s="3363"/>
      <c r="AN265" s="3363"/>
      <c r="AO265" s="3363"/>
      <c r="AP265" s="3363"/>
      <c r="AQ265" s="2623">
        <f>+BB!R15</f>
        <v>0</v>
      </c>
      <c r="AR265" s="2623"/>
      <c r="AS265" s="2623"/>
      <c r="AT265" s="2623"/>
      <c r="AU265" s="2623"/>
      <c r="AV265" s="2623"/>
      <c r="AW265" s="1293"/>
    </row>
    <row r="266" s="3330" customFormat="1" ht="12.4" customHeight="1" spans="1:49">
      <c r="A266"/>
      <c r="B266"/>
      <c r="C266" t="str">
        <f>+BB!C16</f>
        <v>Kea Berkah Makmur PT</v>
      </c>
      <c r="D266" s="3339"/>
      <c r="E266" s="3339"/>
      <c r="F266" s="3339"/>
      <c r="G266" s="3339"/>
      <c r="H266" s="3339"/>
      <c r="I266" s="3339"/>
      <c r="J266" s="3339"/>
      <c r="K266" s="3339"/>
      <c r="L266" s="3339"/>
      <c r="M266" s="3339"/>
      <c r="N266" s="3339"/>
      <c r="O266" s="3339"/>
      <c r="P266" s="3339"/>
      <c r="Q266" s="3339"/>
      <c r="R266" s="3339"/>
      <c r="S266" s="3339"/>
      <c r="T266" s="3339"/>
      <c r="U266" s="3339"/>
      <c r="V266" s="3339"/>
      <c r="W266" s="3339"/>
      <c r="X266" s="3339"/>
      <c r="Y266" s="3339"/>
      <c r="Z266" s="3339"/>
      <c r="AA266" s="3339"/>
      <c r="AB266" s="3363">
        <f>+BB!K16</f>
        <v>19000000</v>
      </c>
      <c r="AC266" s="3363"/>
      <c r="AD266" s="3363"/>
      <c r="AE266" s="3363"/>
      <c r="AF266" s="3363"/>
      <c r="AG266" s="3363"/>
      <c r="AH266" s="3363"/>
      <c r="AI266" s="3339"/>
      <c r="AJ266" s="3363">
        <f>+BB!Q16</f>
        <v>0</v>
      </c>
      <c r="AK266" s="3363"/>
      <c r="AL266" s="3363"/>
      <c r="AM266" s="3363"/>
      <c r="AN266" s="3363"/>
      <c r="AO266" s="3363"/>
      <c r="AP266" s="3363"/>
      <c r="AQ266" s="2623">
        <f>+BB!R16</f>
        <v>28500000</v>
      </c>
      <c r="AR266" s="2623"/>
      <c r="AS266" s="2623"/>
      <c r="AT266" s="2623"/>
      <c r="AU266" s="2623"/>
      <c r="AV266" s="2623"/>
      <c r="AW266" s="1293"/>
    </row>
    <row r="267" customFormat="1" ht="11.4" spans="3:49">
      <c r="C267" t="str">
        <f>+BB!C17</f>
        <v>Tomis Berkah Abadi, CV </v>
      </c>
      <c r="D267" s="3339"/>
      <c r="E267" s="3339"/>
      <c r="F267" s="3339"/>
      <c r="G267" s="3339"/>
      <c r="H267" s="3339"/>
      <c r="I267" s="3339"/>
      <c r="J267" s="3339"/>
      <c r="K267" s="3339"/>
      <c r="L267" s="3339"/>
      <c r="M267" s="3339"/>
      <c r="N267" s="3339"/>
      <c r="O267" s="3339"/>
      <c r="P267" s="3339"/>
      <c r="Q267" s="3339"/>
      <c r="R267" s="3339"/>
      <c r="S267" s="3339"/>
      <c r="T267" s="3339"/>
      <c r="U267" s="3339"/>
      <c r="V267" s="3339"/>
      <c r="W267" s="3339"/>
      <c r="X267" s="3339"/>
      <c r="Y267" s="3339"/>
      <c r="Z267" s="3339"/>
      <c r="AA267" s="3339"/>
      <c r="AB267" s="3363">
        <f>+BB!K17</f>
        <v>15000000</v>
      </c>
      <c r="AC267" s="3363"/>
      <c r="AD267" s="3363"/>
      <c r="AE267" s="3363"/>
      <c r="AF267" s="3363"/>
      <c r="AG267" s="3363"/>
      <c r="AH267" s="3363"/>
      <c r="AI267" s="3339"/>
      <c r="AJ267" s="3363">
        <f>+BB!Q17</f>
        <v>0</v>
      </c>
      <c r="AK267" s="3363"/>
      <c r="AL267" s="3363"/>
      <c r="AM267" s="3363"/>
      <c r="AN267" s="3363"/>
      <c r="AO267" s="3363"/>
      <c r="AP267" s="3363"/>
      <c r="AQ267" s="2623">
        <f>+BB!R17</f>
        <v>0</v>
      </c>
      <c r="AR267" s="2623"/>
      <c r="AS267" s="2623"/>
      <c r="AT267" s="2623"/>
      <c r="AU267" s="2623"/>
      <c r="AV267" s="2623"/>
      <c r="AW267" s="1293"/>
    </row>
    <row r="268" customFormat="1" ht="12.4" customHeight="1" spans="3:49">
      <c r="C268" t="str">
        <f>+BB!C18</f>
        <v>Wahyu Delta Pharma PT</v>
      </c>
      <c r="D268" s="3339"/>
      <c r="E268" s="3339"/>
      <c r="F268" s="3339"/>
      <c r="G268" s="3339"/>
      <c r="H268" s="3339"/>
      <c r="I268" s="3339"/>
      <c r="J268" s="3339"/>
      <c r="K268" s="3339"/>
      <c r="L268" s="3339"/>
      <c r="M268" s="3339"/>
      <c r="N268" s="3339"/>
      <c r="O268" s="3339"/>
      <c r="P268" s="3339"/>
      <c r="Q268" s="3339"/>
      <c r="R268" s="3339"/>
      <c r="S268" s="3339"/>
      <c r="T268" s="3339"/>
      <c r="U268" s="3339"/>
      <c r="V268" s="3339"/>
      <c r="W268" s="3339"/>
      <c r="X268" s="3339"/>
      <c r="Y268" s="3339"/>
      <c r="Z268" s="3339"/>
      <c r="AA268" s="3339"/>
      <c r="AB268" s="3363">
        <f>+BB!K18</f>
        <v>0</v>
      </c>
      <c r="AC268" s="3363"/>
      <c r="AD268" s="3363"/>
      <c r="AE268" s="3363"/>
      <c r="AF268" s="3363"/>
      <c r="AG268" s="3363"/>
      <c r="AH268" s="3363"/>
      <c r="AI268" s="3339"/>
      <c r="AJ268" s="3363">
        <f>+BB!Q18</f>
        <v>232800000</v>
      </c>
      <c r="AK268" s="3363"/>
      <c r="AL268" s="3363"/>
      <c r="AM268" s="3363"/>
      <c r="AN268" s="3363"/>
      <c r="AO268" s="3363"/>
      <c r="AP268" s="3363"/>
      <c r="AQ268" s="2623">
        <f>+BB!R18</f>
        <v>307800000</v>
      </c>
      <c r="AR268" s="2623"/>
      <c r="AS268" s="2623"/>
      <c r="AT268" s="2623"/>
      <c r="AU268" s="2623"/>
      <c r="AV268" s="2623"/>
      <c r="AW268" s="1293"/>
    </row>
    <row r="269" customFormat="1" ht="12.4" customHeight="1" spans="3:49">
      <c r="C269" t="str">
        <f>+BB!C19</f>
        <v>Profluid PT</v>
      </c>
      <c r="D269" s="3339"/>
      <c r="E269" s="3339"/>
      <c r="F269" s="3339"/>
      <c r="G269" s="3339"/>
      <c r="H269" s="3339"/>
      <c r="I269" s="3339"/>
      <c r="J269" s="3339"/>
      <c r="K269" s="3339"/>
      <c r="L269" s="3339"/>
      <c r="M269" s="3339"/>
      <c r="N269" s="3339"/>
      <c r="O269" s="3339"/>
      <c r="P269" s="3339"/>
      <c r="Q269" s="3339"/>
      <c r="R269" s="3339"/>
      <c r="S269" s="3339"/>
      <c r="T269" s="3339"/>
      <c r="U269" s="3339"/>
      <c r="V269" s="3339"/>
      <c r="W269" s="3339"/>
      <c r="X269" s="3339"/>
      <c r="Y269" s="3339"/>
      <c r="Z269" s="3339"/>
      <c r="AA269" s="3339"/>
      <c r="AB269" s="3363">
        <f>+BB!K19</f>
        <v>0</v>
      </c>
      <c r="AC269" s="3363"/>
      <c r="AD269" s="3363"/>
      <c r="AE269" s="3363"/>
      <c r="AF269" s="3363"/>
      <c r="AG269" s="3363"/>
      <c r="AH269" s="3363"/>
      <c r="AI269" s="3339"/>
      <c r="AJ269" s="3363">
        <f>+BB!Q19</f>
        <v>214658130</v>
      </c>
      <c r="AK269" s="3363"/>
      <c r="AL269" s="3363"/>
      <c r="AM269" s="3363"/>
      <c r="AN269" s="3363"/>
      <c r="AO269" s="3363"/>
      <c r="AP269" s="3363"/>
      <c r="AQ269" s="2623">
        <f>+BB!R19</f>
        <v>739658130</v>
      </c>
      <c r="AR269" s="2623"/>
      <c r="AS269" s="2623"/>
      <c r="AT269" s="2623"/>
      <c r="AU269" s="2623"/>
      <c r="AV269" s="2623"/>
      <c r="AW269" s="1293"/>
    </row>
    <row r="270" customFormat="1" ht="12.4" customHeight="1" spans="3:49">
      <c r="C270" t="str">
        <f>+BB!C20</f>
        <v>Schneider Indonesia PT </v>
      </c>
      <c r="D270" s="3339"/>
      <c r="E270" s="3339"/>
      <c r="F270" s="3339"/>
      <c r="G270" s="3339"/>
      <c r="H270" s="3339"/>
      <c r="I270" s="3339"/>
      <c r="J270" s="3339"/>
      <c r="K270" s="3339"/>
      <c r="L270" s="3339"/>
      <c r="M270" s="3339"/>
      <c r="N270" s="3339"/>
      <c r="O270" s="3339"/>
      <c r="P270" s="3339"/>
      <c r="Q270" s="3339"/>
      <c r="R270" s="3339"/>
      <c r="S270" s="3339"/>
      <c r="T270" s="3339"/>
      <c r="U270" s="3339"/>
      <c r="V270" s="3339"/>
      <c r="W270" s="3339"/>
      <c r="X270" s="3339"/>
      <c r="Y270" s="3339"/>
      <c r="Z270" s="3339"/>
      <c r="AA270" s="3339"/>
      <c r="AB270" s="3363">
        <f>+BB!I20</f>
        <v>0</v>
      </c>
      <c r="AC270" s="3363"/>
      <c r="AD270" s="3363"/>
      <c r="AE270" s="3363"/>
      <c r="AF270" s="3363"/>
      <c r="AG270" s="3363"/>
      <c r="AH270" s="3363"/>
      <c r="AI270" s="3339"/>
      <c r="AJ270" s="3363">
        <f>+BB!Q20</f>
        <v>148500000</v>
      </c>
      <c r="AK270" s="3363"/>
      <c r="AL270" s="3363"/>
      <c r="AM270" s="3363"/>
      <c r="AN270" s="3363"/>
      <c r="AO270" s="3363"/>
      <c r="AP270" s="3363"/>
      <c r="AQ270" s="2623">
        <f>+BB!R20</f>
        <v>220000000</v>
      </c>
      <c r="AR270" s="2623"/>
      <c r="AS270" s="2623"/>
      <c r="AT270" s="2623"/>
      <c r="AU270" s="2623"/>
      <c r="AV270" s="2623"/>
      <c r="AW270" s="1293"/>
    </row>
    <row r="271" customFormat="1" ht="12.4" customHeight="1" spans="3:49">
      <c r="C271" t="str">
        <f>+BB!C21</f>
        <v>Bawean Vendor Gabungan</v>
      </c>
      <c r="D271" s="3339"/>
      <c r="E271" s="3339"/>
      <c r="F271" s="3339"/>
      <c r="G271" s="3339"/>
      <c r="H271" s="3339"/>
      <c r="I271" s="3339"/>
      <c r="J271" s="3339"/>
      <c r="K271" s="3339"/>
      <c r="L271" s="3339"/>
      <c r="M271" s="3339"/>
      <c r="N271" s="3339"/>
      <c r="O271" s="3339"/>
      <c r="P271" s="3339"/>
      <c r="Q271" s="3339"/>
      <c r="R271" s="3339"/>
      <c r="S271" s="3339"/>
      <c r="T271" s="3339"/>
      <c r="U271" s="3339"/>
      <c r="V271" s="3339"/>
      <c r="W271" s="3339"/>
      <c r="X271" s="3339"/>
      <c r="Y271" s="3339"/>
      <c r="Z271" s="3339"/>
      <c r="AA271" s="3339"/>
      <c r="AB271" s="3363">
        <f>+BB!I21</f>
        <v>0</v>
      </c>
      <c r="AC271" s="3363"/>
      <c r="AD271" s="3363"/>
      <c r="AE271" s="3363"/>
      <c r="AF271" s="3363"/>
      <c r="AG271" s="3363"/>
      <c r="AH271" s="3363"/>
      <c r="AI271" s="3339"/>
      <c r="AJ271" s="3363">
        <f>+BB!Q21</f>
        <v>129207680</v>
      </c>
      <c r="AK271" s="3363"/>
      <c r="AL271" s="3363"/>
      <c r="AM271" s="3363"/>
      <c r="AN271" s="3363"/>
      <c r="AO271" s="3363"/>
      <c r="AP271" s="3363"/>
      <c r="AQ271" s="2623">
        <f>+BB!R21</f>
        <v>174207680</v>
      </c>
      <c r="AR271" s="2623"/>
      <c r="AS271" s="2623"/>
      <c r="AT271" s="2623"/>
      <c r="AU271" s="2623"/>
      <c r="AV271" s="2623"/>
      <c r="AW271" s="1293"/>
    </row>
    <row r="272" customFormat="1" ht="12.4" customHeight="1" spans="3:49">
      <c r="C272" t="str">
        <f>+BB!C22</f>
        <v>Guna Mandiri Teknikon PT</v>
      </c>
      <c r="D272" s="3339"/>
      <c r="E272" s="3339"/>
      <c r="F272" s="3339"/>
      <c r="G272" s="3339"/>
      <c r="H272" s="3339"/>
      <c r="I272" s="3339"/>
      <c r="J272" s="3339"/>
      <c r="K272" s="3339"/>
      <c r="L272" s="3339"/>
      <c r="M272" s="3339"/>
      <c r="N272" s="3339"/>
      <c r="O272" s="3339"/>
      <c r="P272" s="3339"/>
      <c r="Q272" s="3339"/>
      <c r="R272" s="3339"/>
      <c r="S272" s="3339"/>
      <c r="T272" s="3339"/>
      <c r="U272" s="3339"/>
      <c r="V272" s="3339"/>
      <c r="W272" s="3339"/>
      <c r="X272" s="3339"/>
      <c r="Y272" s="3339"/>
      <c r="Z272" s="3339"/>
      <c r="AA272" s="3339"/>
      <c r="AB272" s="3363">
        <f>+BB!I22</f>
        <v>0</v>
      </c>
      <c r="AC272" s="3363"/>
      <c r="AD272" s="3363"/>
      <c r="AE272" s="3363"/>
      <c r="AF272" s="3363"/>
      <c r="AG272" s="3363"/>
      <c r="AH272" s="3363"/>
      <c r="AI272" s="3339"/>
      <c r="AJ272" s="3363">
        <f>+BB!Q22</f>
        <v>80000000</v>
      </c>
      <c r="AK272" s="3363"/>
      <c r="AL272" s="3363"/>
      <c r="AM272" s="3363"/>
      <c r="AN272" s="3363"/>
      <c r="AO272" s="3363"/>
      <c r="AP272" s="3363"/>
      <c r="AQ272" s="2623">
        <f>+BB!R22</f>
        <v>100499410</v>
      </c>
      <c r="AR272" s="2623"/>
      <c r="AS272" s="2623"/>
      <c r="AT272" s="2623"/>
      <c r="AU272" s="2623"/>
      <c r="AV272" s="2623"/>
      <c r="AW272" s="1293"/>
    </row>
    <row r="273" customFormat="1" ht="12.4" customHeight="1" spans="3:49">
      <c r="C273" t="str">
        <f>+BB!C23</f>
        <v>Yudistira Karya Teknik PT</v>
      </c>
      <c r="D273" s="3339"/>
      <c r="E273" s="3339"/>
      <c r="F273" s="3339"/>
      <c r="G273" s="3339"/>
      <c r="H273" s="3339"/>
      <c r="I273" s="3339"/>
      <c r="J273" s="3339"/>
      <c r="K273" s="3339"/>
      <c r="L273" s="3339"/>
      <c r="M273" s="3339"/>
      <c r="N273" s="3339"/>
      <c r="O273" s="3339"/>
      <c r="P273" s="3339"/>
      <c r="Q273" s="3339"/>
      <c r="R273" s="3339"/>
      <c r="S273" s="3339"/>
      <c r="T273" s="3339"/>
      <c r="U273" s="3339"/>
      <c r="V273" s="3339"/>
      <c r="W273" s="3339"/>
      <c r="X273" s="3339"/>
      <c r="Y273" s="3339"/>
      <c r="Z273" s="3339"/>
      <c r="AA273" s="3339"/>
      <c r="AB273" s="3363">
        <f>+BB!I23</f>
        <v>0</v>
      </c>
      <c r="AC273" s="3363"/>
      <c r="AD273" s="3363"/>
      <c r="AE273" s="3363"/>
      <c r="AF273" s="3363"/>
      <c r="AG273" s="3363"/>
      <c r="AH273" s="3363"/>
      <c r="AI273" s="3339"/>
      <c r="AJ273" s="3363">
        <f>+BB!Q23</f>
        <v>64000000</v>
      </c>
      <c r="AK273" s="3363"/>
      <c r="AL273" s="3363"/>
      <c r="AM273" s="3363"/>
      <c r="AN273" s="3363"/>
      <c r="AO273" s="3363"/>
      <c r="AP273" s="3363"/>
      <c r="AQ273" s="2623">
        <f>+BB!R23</f>
        <v>64000000</v>
      </c>
      <c r="AR273" s="2623"/>
      <c r="AS273" s="2623"/>
      <c r="AT273" s="2623"/>
      <c r="AU273" s="2623"/>
      <c r="AV273" s="2623"/>
      <c r="AW273" s="1293"/>
    </row>
    <row r="274" customFormat="1" ht="12.4" hidden="1" customHeight="1" spans="3:49">
      <c r="C274" t="str">
        <f>+BB!C24</f>
        <v>Brenmark Energi Nusantara PT</v>
      </c>
      <c r="D274" s="3339"/>
      <c r="E274" s="3339"/>
      <c r="F274" s="3339"/>
      <c r="G274" s="3339"/>
      <c r="H274" s="3339"/>
      <c r="I274" s="3339"/>
      <c r="J274" s="3339"/>
      <c r="K274" s="3339"/>
      <c r="L274" s="3339"/>
      <c r="M274" s="3339"/>
      <c r="N274" s="3339"/>
      <c r="O274" s="3339"/>
      <c r="P274" s="3339"/>
      <c r="Q274" s="3339"/>
      <c r="R274" s="3339"/>
      <c r="S274" s="3339"/>
      <c r="T274" s="3339"/>
      <c r="U274" s="3339"/>
      <c r="V274" s="3339"/>
      <c r="W274" s="3339"/>
      <c r="X274" s="3339"/>
      <c r="Y274" s="3339"/>
      <c r="Z274" s="3339"/>
      <c r="AA274" s="3339"/>
      <c r="AB274" s="3363">
        <f>+BB!I24</f>
        <v>0</v>
      </c>
      <c r="AC274" s="3363"/>
      <c r="AD274" s="3363"/>
      <c r="AE274" s="3363"/>
      <c r="AF274" s="3363"/>
      <c r="AG274" s="3363"/>
      <c r="AH274" s="3363"/>
      <c r="AI274" s="3339"/>
      <c r="AJ274" s="3363">
        <f>+BB!Q24</f>
        <v>0</v>
      </c>
      <c r="AK274" s="3363"/>
      <c r="AL274" s="3363"/>
      <c r="AM274" s="3363"/>
      <c r="AN274" s="3363"/>
      <c r="AO274" s="3363"/>
      <c r="AP274" s="3363"/>
      <c r="AQ274" s="2623">
        <f>+BB!R24</f>
        <v>118800000</v>
      </c>
      <c r="AR274" s="2623"/>
      <c r="AS274" s="2623"/>
      <c r="AT274" s="2623"/>
      <c r="AU274" s="2623"/>
      <c r="AV274" s="2623"/>
      <c r="AW274" s="1293"/>
    </row>
    <row r="275" customFormat="1" ht="12.4" hidden="1" customHeight="1" spans="3:49">
      <c r="C275" t="str">
        <f>+BB!C25</f>
        <v>Perdana Gas Nusantara</v>
      </c>
      <c r="D275" s="3339"/>
      <c r="E275" s="3339"/>
      <c r="F275" s="3339"/>
      <c r="G275" s="3339"/>
      <c r="H275" s="3339"/>
      <c r="I275" s="3339"/>
      <c r="J275" s="3339"/>
      <c r="K275" s="3339"/>
      <c r="L275" s="3339"/>
      <c r="M275" s="3339"/>
      <c r="N275" s="3339"/>
      <c r="O275" s="3339"/>
      <c r="P275" s="3339"/>
      <c r="Q275" s="3339"/>
      <c r="R275" s="3339"/>
      <c r="S275" s="3339"/>
      <c r="T275" s="3339"/>
      <c r="U275" s="3339"/>
      <c r="V275" s="3339"/>
      <c r="W275" s="3339"/>
      <c r="X275" s="3339"/>
      <c r="Y275" s="3339"/>
      <c r="Z275" s="3339"/>
      <c r="AA275" s="3339"/>
      <c r="AB275" s="3363">
        <f>+BB!I25</f>
        <v>0</v>
      </c>
      <c r="AC275" s="3363"/>
      <c r="AD275" s="3363"/>
      <c r="AE275" s="3363"/>
      <c r="AF275" s="3363"/>
      <c r="AG275" s="3363"/>
      <c r="AH275" s="3363"/>
      <c r="AI275" s="3339"/>
      <c r="AJ275" s="3363">
        <f>+BB!Q25</f>
        <v>0</v>
      </c>
      <c r="AK275" s="3363"/>
      <c r="AL275" s="3363"/>
      <c r="AM275" s="3363"/>
      <c r="AN275" s="3363"/>
      <c r="AO275" s="3363"/>
      <c r="AP275" s="3363"/>
      <c r="AQ275" s="2623">
        <f>+BB!R25</f>
        <v>58800000</v>
      </c>
      <c r="AR275" s="2623"/>
      <c r="AS275" s="2623"/>
      <c r="AT275" s="2623"/>
      <c r="AU275" s="2623"/>
      <c r="AV275" s="2623"/>
      <c r="AW275" s="1293"/>
    </row>
    <row r="276" customFormat="1" ht="12.4" hidden="1" customHeight="1" spans="3:49">
      <c r="C276" t="str">
        <f>+BB!C26</f>
        <v>Lusi Tour Travel</v>
      </c>
      <c r="D276" s="3339"/>
      <c r="E276" s="3339"/>
      <c r="F276" s="3339"/>
      <c r="G276" s="3339"/>
      <c r="H276" s="3339"/>
      <c r="I276" s="3339"/>
      <c r="J276" s="3339"/>
      <c r="K276" s="3339"/>
      <c r="L276" s="3339"/>
      <c r="M276" s="3339"/>
      <c r="N276" s="3339"/>
      <c r="O276" s="3339"/>
      <c r="P276" s="3339"/>
      <c r="Q276" s="3339"/>
      <c r="R276" s="3339"/>
      <c r="S276" s="3339"/>
      <c r="T276" s="3339"/>
      <c r="U276" s="3339"/>
      <c r="V276" s="3339"/>
      <c r="W276" s="3339"/>
      <c r="X276" s="3339"/>
      <c r="Y276" s="3339"/>
      <c r="Z276" s="3339"/>
      <c r="AA276" s="3339"/>
      <c r="AB276" s="3363">
        <f>+BB!I26</f>
        <v>0</v>
      </c>
      <c r="AC276" s="3363"/>
      <c r="AD276" s="3363"/>
      <c r="AE276" s="3363"/>
      <c r="AF276" s="3363"/>
      <c r="AG276" s="3363"/>
      <c r="AH276" s="3363"/>
      <c r="AI276" s="3339"/>
      <c r="AJ276" s="3363">
        <f>+BB!Q26</f>
        <v>0</v>
      </c>
      <c r="AK276" s="3363"/>
      <c r="AL276" s="3363"/>
      <c r="AM276" s="3363"/>
      <c r="AN276" s="3363"/>
      <c r="AO276" s="3363"/>
      <c r="AP276" s="3363"/>
      <c r="AQ276" s="2623">
        <f>+BB!R26</f>
        <v>9000000</v>
      </c>
      <c r="AR276" s="2623"/>
      <c r="AS276" s="2623"/>
      <c r="AT276" s="2623"/>
      <c r="AU276" s="2623"/>
      <c r="AV276" s="2623"/>
      <c r="AW276" s="1293"/>
    </row>
    <row r="277" customFormat="1" ht="12.4" hidden="1" customHeight="1" spans="3:49">
      <c r="C277" t="str">
        <f>+BB!C27</f>
        <v>Biotech PT</v>
      </c>
      <c r="D277" s="3339"/>
      <c r="E277" s="3339"/>
      <c r="F277" s="3339"/>
      <c r="G277" s="3339"/>
      <c r="H277" s="3339"/>
      <c r="I277" s="3339"/>
      <c r="J277" s="3339"/>
      <c r="K277" s="3339"/>
      <c r="L277" s="3339"/>
      <c r="M277" s="3339"/>
      <c r="N277" s="3339"/>
      <c r="O277" s="3339"/>
      <c r="P277" s="3339"/>
      <c r="Q277" s="3339"/>
      <c r="R277" s="3339"/>
      <c r="S277" s="3339"/>
      <c r="T277" s="3339"/>
      <c r="U277" s="3339"/>
      <c r="V277" s="3339"/>
      <c r="W277" s="3339"/>
      <c r="X277" s="3339"/>
      <c r="Y277" s="3339"/>
      <c r="Z277" s="3339"/>
      <c r="AA277" s="3339"/>
      <c r="AB277" s="3363">
        <f>+BB!I27</f>
        <v>0</v>
      </c>
      <c r="AC277" s="3363"/>
      <c r="AD277" s="3363"/>
      <c r="AE277" s="3363"/>
      <c r="AF277" s="3363"/>
      <c r="AG277" s="3363"/>
      <c r="AH277" s="3363"/>
      <c r="AI277" s="3339"/>
      <c r="AJ277" s="3363">
        <f>+BB!Q27</f>
        <v>0</v>
      </c>
      <c r="AK277" s="3363"/>
      <c r="AL277" s="3363"/>
      <c r="AM277" s="3363"/>
      <c r="AN277" s="3363"/>
      <c r="AO277" s="3363"/>
      <c r="AP277" s="3363"/>
      <c r="AQ277" s="2623">
        <f>+BB!R27</f>
        <v>0</v>
      </c>
      <c r="AR277" s="2623"/>
      <c r="AS277" s="2623"/>
      <c r="AT277" s="2623"/>
      <c r="AU277" s="2623"/>
      <c r="AV277" s="2623"/>
      <c r="AW277" s="1293"/>
    </row>
    <row r="278" customFormat="1" ht="12.4" hidden="1" customHeight="1" spans="3:49">
      <c r="C278" t="str">
        <f>+BB!C28</f>
        <v>Chasana Global M</v>
      </c>
      <c r="D278" s="3339"/>
      <c r="E278" s="3339"/>
      <c r="F278" s="3339"/>
      <c r="G278" s="3339"/>
      <c r="H278" s="3339"/>
      <c r="I278" s="3339"/>
      <c r="J278" s="3339"/>
      <c r="K278" s="3339"/>
      <c r="L278" s="3339"/>
      <c r="M278" s="3339"/>
      <c r="N278" s="3339"/>
      <c r="O278" s="3339"/>
      <c r="P278" s="3339"/>
      <c r="Q278" s="3339"/>
      <c r="R278" s="3339"/>
      <c r="S278" s="3339"/>
      <c r="T278" s="3339"/>
      <c r="U278" s="3339"/>
      <c r="V278" s="3339"/>
      <c r="W278" s="3339"/>
      <c r="X278" s="3339"/>
      <c r="Y278" s="3339"/>
      <c r="Z278" s="3339"/>
      <c r="AA278" s="3339"/>
      <c r="AB278" s="3363">
        <f>+BB!I28</f>
        <v>0</v>
      </c>
      <c r="AC278" s="3363"/>
      <c r="AD278" s="3363"/>
      <c r="AE278" s="3363"/>
      <c r="AF278" s="3363"/>
      <c r="AG278" s="3363"/>
      <c r="AH278" s="3363"/>
      <c r="AI278" s="3339"/>
      <c r="AJ278" s="3363">
        <f>+BB!Q28</f>
        <v>0</v>
      </c>
      <c r="AK278" s="3363"/>
      <c r="AL278" s="3363"/>
      <c r="AM278" s="3363"/>
      <c r="AN278" s="3363"/>
      <c r="AO278" s="3363"/>
      <c r="AP278" s="3363"/>
      <c r="AQ278" s="2623">
        <f>+BB!R28</f>
        <v>0</v>
      </c>
      <c r="AR278" s="2623"/>
      <c r="AS278" s="2623"/>
      <c r="AT278" s="2623"/>
      <c r="AU278" s="2623"/>
      <c r="AV278" s="2623"/>
      <c r="AW278" s="1293"/>
    </row>
    <row r="279" customFormat="1" ht="12.4" hidden="1" customHeight="1" spans="3:49">
      <c r="C279" t="str">
        <f>+BB!C29</f>
        <v>Cipta Indah S PT</v>
      </c>
      <c r="D279" s="3339"/>
      <c r="E279" s="3339"/>
      <c r="F279" s="3339"/>
      <c r="G279" s="3339"/>
      <c r="H279" s="3339"/>
      <c r="I279" s="3339"/>
      <c r="J279" s="3339"/>
      <c r="K279" s="3339"/>
      <c r="L279" s="3339"/>
      <c r="M279" s="3339"/>
      <c r="N279" s="3339"/>
      <c r="O279" s="3339"/>
      <c r="P279" s="3339"/>
      <c r="Q279" s="3339"/>
      <c r="R279" s="3339"/>
      <c r="S279" s="3339"/>
      <c r="T279" s="3339"/>
      <c r="U279" s="3339"/>
      <c r="V279" s="3339"/>
      <c r="W279" s="3339"/>
      <c r="X279" s="3339"/>
      <c r="Y279" s="3339"/>
      <c r="Z279" s="3339"/>
      <c r="AA279" s="3339"/>
      <c r="AB279" s="3363">
        <f>+BB!I29</f>
        <v>0</v>
      </c>
      <c r="AC279" s="3363"/>
      <c r="AD279" s="3363"/>
      <c r="AE279" s="3363"/>
      <c r="AF279" s="3363"/>
      <c r="AG279" s="3363"/>
      <c r="AH279" s="3363"/>
      <c r="AI279" s="3339"/>
      <c r="AJ279" s="3363">
        <f>+BB!Q29</f>
        <v>0</v>
      </c>
      <c r="AK279" s="3363"/>
      <c r="AL279" s="3363"/>
      <c r="AM279" s="3363"/>
      <c r="AN279" s="3363"/>
      <c r="AO279" s="3363"/>
      <c r="AP279" s="3363"/>
      <c r="AQ279" s="2623">
        <f>+BB!R29</f>
        <v>0</v>
      </c>
      <c r="AR279" s="2623"/>
      <c r="AS279" s="2623"/>
      <c r="AT279" s="2623"/>
      <c r="AU279" s="2623"/>
      <c r="AV279" s="2623"/>
      <c r="AW279" s="1293"/>
    </row>
    <row r="280" customFormat="1" ht="12.4" hidden="1" customHeight="1" spans="3:49">
      <c r="C280" t="str">
        <f>+BB!C30</f>
        <v>Control System PT</v>
      </c>
      <c r="D280" s="3339"/>
      <c r="E280" s="3339"/>
      <c r="F280" s="3339"/>
      <c r="G280" s="3339"/>
      <c r="H280" s="3339"/>
      <c r="I280" s="3339"/>
      <c r="J280" s="3339"/>
      <c r="K280" s="3339"/>
      <c r="L280" s="3339"/>
      <c r="M280" s="3339"/>
      <c r="N280" s="3339"/>
      <c r="O280" s="3339"/>
      <c r="P280" s="3339"/>
      <c r="Q280" s="3339"/>
      <c r="R280" s="3339"/>
      <c r="S280" s="3339"/>
      <c r="T280" s="3339"/>
      <c r="U280" s="3339"/>
      <c r="V280" s="3339"/>
      <c r="W280" s="3339"/>
      <c r="X280" s="3339"/>
      <c r="Y280" s="3339"/>
      <c r="Z280" s="3339"/>
      <c r="AA280" s="3339"/>
      <c r="AB280" s="3363">
        <f>+BB!I30</f>
        <v>0</v>
      </c>
      <c r="AC280" s="3363"/>
      <c r="AD280" s="3363"/>
      <c r="AE280" s="3363"/>
      <c r="AF280" s="3363"/>
      <c r="AG280" s="3363"/>
      <c r="AH280" s="3363"/>
      <c r="AI280" s="3339"/>
      <c r="AJ280" s="3363">
        <f>+BB!Q30</f>
        <v>0</v>
      </c>
      <c r="AK280" s="3363"/>
      <c r="AL280" s="3363"/>
      <c r="AM280" s="3363"/>
      <c r="AN280" s="3363"/>
      <c r="AO280" s="3363"/>
      <c r="AP280" s="3363"/>
      <c r="AQ280" s="2623">
        <f>+BB!R30</f>
        <v>0</v>
      </c>
      <c r="AR280" s="2623"/>
      <c r="AS280" s="2623"/>
      <c r="AT280" s="2623"/>
      <c r="AU280" s="2623"/>
      <c r="AV280" s="2623"/>
      <c r="AW280" s="1293"/>
    </row>
    <row r="281" customFormat="1" ht="4.5" customHeight="1" spans="4:49">
      <c r="D281" s="3339"/>
      <c r="E281" s="3339"/>
      <c r="F281" s="3339"/>
      <c r="G281" s="3339"/>
      <c r="H281" s="3339"/>
      <c r="I281" s="3339"/>
      <c r="J281" s="3339"/>
      <c r="K281" s="3339"/>
      <c r="L281" s="3339"/>
      <c r="M281" s="3339"/>
      <c r="N281" s="3339"/>
      <c r="O281" s="3339"/>
      <c r="P281" s="3339"/>
      <c r="Q281" s="3339"/>
      <c r="R281" s="3339"/>
      <c r="S281" s="3339"/>
      <c r="T281" s="3339"/>
      <c r="U281" s="3339"/>
      <c r="V281" s="3339"/>
      <c r="W281" s="3339"/>
      <c r="X281" s="3339"/>
      <c r="Y281" s="3339"/>
      <c r="Z281" s="3339"/>
      <c r="AA281" s="3339"/>
      <c r="AB281" s="3363"/>
      <c r="AC281" s="3363"/>
      <c r="AD281" s="3363"/>
      <c r="AE281" s="3363"/>
      <c r="AF281" s="3363"/>
      <c r="AG281" s="3363"/>
      <c r="AH281" s="3363"/>
      <c r="AI281" s="3339"/>
      <c r="AJ281" s="3363"/>
      <c r="AK281" s="3363"/>
      <c r="AL281" s="3363"/>
      <c r="AM281" s="3363"/>
      <c r="AN281" s="3363"/>
      <c r="AO281" s="3363"/>
      <c r="AP281" s="3363"/>
      <c r="AQ281" s="2623"/>
      <c r="AR281" s="2623"/>
      <c r="AS281" s="2623"/>
      <c r="AT281" s="2623"/>
      <c r="AU281" s="2623"/>
      <c r="AV281" s="2623"/>
      <c r="AW281" s="1293"/>
    </row>
    <row r="282" customFormat="1" ht="12.4" customHeight="1" spans="3:49">
      <c r="C282" t="s">
        <v>1844</v>
      </c>
      <c r="D282" s="3339"/>
      <c r="E282" s="3339"/>
      <c r="F282" s="3339"/>
      <c r="G282" s="3339"/>
      <c r="H282" s="3339"/>
      <c r="I282" s="3339"/>
      <c r="J282" s="3339"/>
      <c r="K282" s="3339"/>
      <c r="L282" s="3339"/>
      <c r="M282" s="3339"/>
      <c r="N282" s="3339"/>
      <c r="O282" s="3339"/>
      <c r="P282" s="3339"/>
      <c r="Q282" s="3339"/>
      <c r="R282" s="3339"/>
      <c r="S282" s="3339"/>
      <c r="T282" s="3339"/>
      <c r="U282" s="3339"/>
      <c r="V282" s="3339"/>
      <c r="W282" s="3339"/>
      <c r="X282" s="3339"/>
      <c r="Y282" s="3339"/>
      <c r="Z282" s="3339"/>
      <c r="AA282" s="3339"/>
      <c r="AB282" s="3452">
        <f>SUM(AB264:AH281)</f>
        <v>111500000</v>
      </c>
      <c r="AC282" s="3452"/>
      <c r="AD282" s="3452"/>
      <c r="AE282" s="3452"/>
      <c r="AF282" s="3452"/>
      <c r="AG282" s="3452"/>
      <c r="AH282" s="3452"/>
      <c r="AI282" s="3339"/>
      <c r="AJ282" s="3452">
        <f>SUM(AJ264:AP281)</f>
        <v>869165810</v>
      </c>
      <c r="AK282" s="3452"/>
      <c r="AL282" s="3452"/>
      <c r="AM282" s="3452"/>
      <c r="AN282" s="3452"/>
      <c r="AO282" s="3452"/>
      <c r="AP282" s="3452"/>
      <c r="AQ282" s="3453">
        <f>SUM(AQ264:AW281)</f>
        <v>1840865220</v>
      </c>
      <c r="AR282" s="3453"/>
      <c r="AS282" s="3453"/>
      <c r="AT282" s="3453"/>
      <c r="AU282" s="3453"/>
      <c r="AV282" s="3453"/>
      <c r="AW282" s="3376"/>
    </row>
    <row r="283" customFormat="1" ht="12.4" customHeight="1" spans="4:49">
      <c r="D283" s="3339"/>
      <c r="E283" s="3339"/>
      <c r="F283" s="3339"/>
      <c r="G283" s="3339"/>
      <c r="H283" s="3339"/>
      <c r="I283" s="3339"/>
      <c r="J283" s="3339"/>
      <c r="K283" s="3339"/>
      <c r="L283" s="3339"/>
      <c r="M283" s="3339"/>
      <c r="N283" s="3339"/>
      <c r="O283" s="3339"/>
      <c r="P283" s="3339"/>
      <c r="Q283" s="3339"/>
      <c r="R283" s="3339"/>
      <c r="S283" s="3339"/>
      <c r="T283" s="3339"/>
      <c r="U283" s="3339"/>
      <c r="V283" s="3339"/>
      <c r="W283" s="3339"/>
      <c r="X283" s="3339"/>
      <c r="Y283" s="3339"/>
      <c r="Z283" s="3339"/>
      <c r="AA283" s="3339"/>
      <c r="AB283" s="3363"/>
      <c r="AC283" s="3363"/>
      <c r="AD283" s="3363"/>
      <c r="AE283" s="3363"/>
      <c r="AF283" s="3363"/>
      <c r="AG283" s="3363"/>
      <c r="AH283" s="3363"/>
      <c r="AI283" s="3339"/>
      <c r="AW283" s="159"/>
    </row>
    <row r="284" customFormat="1" ht="12.4" customHeight="1" spans="3:49">
      <c r="C284" s="5036" t="s">
        <v>2101</v>
      </c>
      <c r="D284" s="3339"/>
      <c r="E284" s="3339"/>
      <c r="F284" s="3339"/>
      <c r="G284" s="3339"/>
      <c r="H284" s="3339"/>
      <c r="I284" s="3339"/>
      <c r="J284" s="3339"/>
      <c r="K284" s="3339"/>
      <c r="L284" s="3339"/>
      <c r="M284" s="3339"/>
      <c r="N284" s="3339"/>
      <c r="O284" s="3339"/>
      <c r="P284" s="3339"/>
      <c r="Q284" s="3339"/>
      <c r="R284" s="3339"/>
      <c r="S284" s="3339"/>
      <c r="T284" s="3339"/>
      <c r="U284" s="3339"/>
      <c r="V284" s="3339"/>
      <c r="W284" s="3339"/>
      <c r="X284" s="3339"/>
      <c r="Y284" s="3339"/>
      <c r="Z284" s="3339"/>
      <c r="AA284" s="3339"/>
      <c r="AB284" s="3339"/>
      <c r="AC284" s="3339"/>
      <c r="AD284" s="3339"/>
      <c r="AE284" s="3339"/>
      <c r="AF284" s="3339"/>
      <c r="AG284" s="3339"/>
      <c r="AH284" s="3339"/>
      <c r="AI284" s="3339"/>
      <c r="AJ284" s="3339"/>
      <c r="AK284" s="3339"/>
      <c r="AL284" s="3339"/>
      <c r="AM284" s="3339"/>
      <c r="AN284" s="3339"/>
      <c r="AO284" s="3339"/>
      <c r="AP284" s="3339"/>
      <c r="AQ284" s="3326"/>
      <c r="AW284" s="159"/>
    </row>
    <row r="285" customFormat="1" ht="7.5" customHeight="1" spans="4:49">
      <c r="D285" s="3339"/>
      <c r="E285" s="3339"/>
      <c r="F285" s="3339"/>
      <c r="G285" s="3339"/>
      <c r="H285" s="3339"/>
      <c r="I285" s="3339"/>
      <c r="J285" s="3339"/>
      <c r="K285" s="3339"/>
      <c r="L285" s="3339"/>
      <c r="M285" s="3339"/>
      <c r="N285" s="3339"/>
      <c r="O285" s="3339"/>
      <c r="P285" s="3339"/>
      <c r="Q285" s="3339"/>
      <c r="R285" s="3339"/>
      <c r="S285" s="3339"/>
      <c r="T285" s="3339"/>
      <c r="U285" s="3339"/>
      <c r="V285" s="3339"/>
      <c r="W285" s="3339"/>
      <c r="X285" s="3339"/>
      <c r="Y285" s="3339"/>
      <c r="Z285" s="3339"/>
      <c r="AA285" s="3339"/>
      <c r="AB285" s="3363"/>
      <c r="AC285" s="3363"/>
      <c r="AD285" s="3363"/>
      <c r="AE285" s="3363"/>
      <c r="AF285" s="3363"/>
      <c r="AG285" s="3363"/>
      <c r="AH285" s="3363"/>
      <c r="AI285" s="3339"/>
      <c r="AQ285" s="3326"/>
      <c r="AW285" s="159"/>
    </row>
    <row r="286" customFormat="1" spans="3:49">
      <c r="C286" s="3446" t="s">
        <v>1846</v>
      </c>
      <c r="D286" s="3446"/>
      <c r="E286" s="3446"/>
      <c r="F286" s="3446"/>
      <c r="G286" s="3446"/>
      <c r="H286" s="3446"/>
      <c r="I286" s="3446"/>
      <c r="J286" s="3446"/>
      <c r="K286" s="2921"/>
      <c r="L286" s="2921"/>
      <c r="M286" s="2921"/>
      <c r="N286" s="3339"/>
      <c r="O286" s="3339"/>
      <c r="P286" s="3339"/>
      <c r="Q286" s="3339"/>
      <c r="R286" s="3339"/>
      <c r="S286" s="3339"/>
      <c r="T286" s="3339"/>
      <c r="U286" s="3339"/>
      <c r="V286" s="3339"/>
      <c r="W286" s="3339"/>
      <c r="X286" s="3339"/>
      <c r="Y286" s="3339"/>
      <c r="Z286" s="3339"/>
      <c r="AA286" s="3339"/>
      <c r="AB286" s="5081" t="str">
        <f>+AB262</f>
        <v>2022</v>
      </c>
      <c r="AC286" s="3355"/>
      <c r="AD286" s="3355"/>
      <c r="AE286" s="3355"/>
      <c r="AF286" s="3355"/>
      <c r="AG286" s="3355"/>
      <c r="AH286" s="3355"/>
      <c r="AI286" s="64"/>
      <c r="AJ286" s="3359">
        <f>+AJ262</f>
        <v>2021</v>
      </c>
      <c r="AK286" s="3360"/>
      <c r="AL286" s="3360"/>
      <c r="AM286" s="3360"/>
      <c r="AN286" s="3360"/>
      <c r="AO286" s="3360"/>
      <c r="AP286" s="3360"/>
      <c r="AQ286" s="3360">
        <v>2020</v>
      </c>
      <c r="AR286" s="3355"/>
      <c r="AS286" s="3355"/>
      <c r="AT286" s="3355"/>
      <c r="AU286" s="3355"/>
      <c r="AV286" s="3355"/>
      <c r="AW286" s="3380"/>
    </row>
    <row r="287" customFormat="1" ht="11.4" spans="3:49">
      <c r="C287" t="s">
        <v>1776</v>
      </c>
      <c r="D287" s="3339"/>
      <c r="E287" s="3339"/>
      <c r="F287" s="3339"/>
      <c r="G287" s="3339"/>
      <c r="H287" s="3339"/>
      <c r="I287" s="3339"/>
      <c r="J287" s="3339"/>
      <c r="K287" s="3339"/>
      <c r="L287" s="3339"/>
      <c r="M287" s="3339"/>
      <c r="N287" s="3339"/>
      <c r="O287" s="3339"/>
      <c r="P287" s="3339"/>
      <c r="Q287" s="3339"/>
      <c r="R287" s="3339"/>
      <c r="S287" s="3339"/>
      <c r="T287" s="3339"/>
      <c r="U287" s="3339"/>
      <c r="V287" s="3339"/>
      <c r="W287" s="3339"/>
      <c r="X287" s="3339"/>
      <c r="Y287" s="3339"/>
      <c r="Z287" s="3339"/>
      <c r="AA287" s="3339"/>
      <c r="AB287">
        <v>282475372.769018</v>
      </c>
      <c r="AJ287">
        <v>282475372.769018</v>
      </c>
      <c r="AQ287" s="2623">
        <v>552259566</v>
      </c>
      <c r="AR287" s="2623"/>
      <c r="AS287" s="2623"/>
      <c r="AT287" s="2623"/>
      <c r="AU287" s="2623"/>
      <c r="AV287" s="2623"/>
      <c r="AW287" s="1293"/>
    </row>
    <row r="288" s="3330" customFormat="1" customHeight="1" spans="1:49">
      <c r="A288"/>
      <c r="B288"/>
      <c r="C288" t="s">
        <v>1777</v>
      </c>
      <c r="D288" s="3339"/>
      <c r="E288" s="3339"/>
      <c r="F288" s="3339"/>
      <c r="G288" s="3339"/>
      <c r="H288" s="3339"/>
      <c r="I288" s="3339"/>
      <c r="J288" s="3339"/>
      <c r="K288" s="3339"/>
      <c r="L288" s="3339"/>
      <c r="M288" s="3339"/>
      <c r="N288" s="3339"/>
      <c r="O288" s="3339"/>
      <c r="P288" s="3339"/>
      <c r="Q288" s="3339"/>
      <c r="R288" s="3339"/>
      <c r="S288" s="3339"/>
      <c r="T288" s="3339"/>
      <c r="U288" s="3339"/>
      <c r="V288" s="3339"/>
      <c r="W288" s="3339"/>
      <c r="X288" s="3339"/>
      <c r="Y288" s="3339"/>
      <c r="Z288" s="3339"/>
      <c r="AA288" s="3339"/>
      <c r="AB288">
        <v>80279554.3415342</v>
      </c>
      <c r="AC288"/>
      <c r="AD288"/>
      <c r="AE288"/>
      <c r="AF288"/>
      <c r="AG288"/>
      <c r="AH288"/>
      <c r="AI288"/>
      <c r="AJ288">
        <v>80279554.3415342</v>
      </c>
      <c r="AK288"/>
      <c r="AL288"/>
      <c r="AM288"/>
      <c r="AN288"/>
      <c r="AO288"/>
      <c r="AP288"/>
      <c r="AQ288" s="2623">
        <v>92043261</v>
      </c>
      <c r="AR288" s="2623"/>
      <c r="AS288" s="2623"/>
      <c r="AT288" s="2623"/>
      <c r="AU288" s="2623"/>
      <c r="AV288" s="2623"/>
      <c r="AW288" s="1293"/>
    </row>
    <row r="289" s="3330" customFormat="1" customHeight="1" spans="1:49">
      <c r="A289"/>
      <c r="B289"/>
      <c r="C289" t="s">
        <v>1778</v>
      </c>
      <c r="D289" s="3339"/>
      <c r="E289" s="3339"/>
      <c r="F289" s="3339"/>
      <c r="G289" s="3339"/>
      <c r="H289" s="3339"/>
      <c r="I289" s="3339"/>
      <c r="J289" s="3339"/>
      <c r="K289" s="3339"/>
      <c r="L289" s="3339"/>
      <c r="M289" s="3339"/>
      <c r="N289" s="3339"/>
      <c r="O289" s="3339"/>
      <c r="P289" s="3339"/>
      <c r="Q289" s="3339"/>
      <c r="R289" s="3339"/>
      <c r="S289" s="3339"/>
      <c r="T289" s="3339"/>
      <c r="U289" s="3339"/>
      <c r="V289" s="3339"/>
      <c r="W289" s="3339"/>
      <c r="X289" s="3339"/>
      <c r="Y289" s="3339"/>
      <c r="Z289" s="3339"/>
      <c r="AA289" s="3339"/>
      <c r="AB289">
        <v>99577453.0329373</v>
      </c>
      <c r="AC289"/>
      <c r="AD289"/>
      <c r="AE289"/>
      <c r="AF289"/>
      <c r="AG289"/>
      <c r="AH289"/>
      <c r="AI289"/>
      <c r="AJ289">
        <v>99577453.0329373</v>
      </c>
      <c r="AK289"/>
      <c r="AL289"/>
      <c r="AM289"/>
      <c r="AN289"/>
      <c r="AO289"/>
      <c r="AP289"/>
      <c r="AQ289" s="2623">
        <v>220903826.4</v>
      </c>
      <c r="AR289" s="2623"/>
      <c r="AS289" s="2623"/>
      <c r="AT289" s="2623"/>
      <c r="AU289" s="2623"/>
      <c r="AV289" s="2623"/>
      <c r="AW289" s="1293"/>
    </row>
    <row r="290" s="3330" customFormat="1" customHeight="1" spans="1:49">
      <c r="A290"/>
      <c r="B290"/>
      <c r="C290" t="s">
        <v>1779</v>
      </c>
      <c r="D290" s="3339"/>
      <c r="E290" s="3339"/>
      <c r="F290" s="3339"/>
      <c r="G290" s="3339"/>
      <c r="H290" s="3339"/>
      <c r="I290" s="3339"/>
      <c r="J290" s="3339"/>
      <c r="K290" s="3339"/>
      <c r="L290" s="3339"/>
      <c r="M290" s="3339"/>
      <c r="N290" s="3339"/>
      <c r="O290" s="3339"/>
      <c r="P290" s="3339"/>
      <c r="Q290" s="3339"/>
      <c r="R290" s="3339"/>
      <c r="S290" s="3339"/>
      <c r="T290" s="3339"/>
      <c r="U290" s="3339"/>
      <c r="V290" s="3339"/>
      <c r="W290" s="3339"/>
      <c r="X290" s="3339"/>
      <c r="Y290" s="3339"/>
      <c r="Z290" s="3339"/>
      <c r="AA290" s="3339"/>
      <c r="AB290" s="164">
        <v>406833429.856511</v>
      </c>
      <c r="AC290" s="164"/>
      <c r="AD290" s="164"/>
      <c r="AE290" s="164"/>
      <c r="AF290" s="164"/>
      <c r="AG290" s="164"/>
      <c r="AH290" s="164"/>
      <c r="AI290"/>
      <c r="AJ290" s="164">
        <v>406833429.856511</v>
      </c>
      <c r="AK290" s="164"/>
      <c r="AL290" s="164"/>
      <c r="AM290" s="164"/>
      <c r="AN290" s="164"/>
      <c r="AO290" s="164"/>
      <c r="AP290" s="164"/>
      <c r="AQ290" s="3454">
        <v>975658566.6</v>
      </c>
      <c r="AR290" s="3454"/>
      <c r="AS290" s="3454"/>
      <c r="AT290" s="3454"/>
      <c r="AU290" s="3454"/>
      <c r="AV290" s="3454"/>
      <c r="AW290" s="1293"/>
    </row>
    <row r="291" s="3330" customFormat="1" customHeight="1" spans="1:49">
      <c r="A291"/>
      <c r="B291"/>
      <c r="C291" s="1952" t="s">
        <v>1844</v>
      </c>
      <c r="D291" s="3326"/>
      <c r="E291" s="3326"/>
      <c r="F291" s="3326"/>
      <c r="G291" s="3326"/>
      <c r="H291" s="3326"/>
      <c r="I291" s="3326"/>
      <c r="J291" s="3326"/>
      <c r="K291" s="3326"/>
      <c r="L291" s="3326"/>
      <c r="M291" s="3326"/>
      <c r="N291" s="3326"/>
      <c r="O291" s="3326"/>
      <c r="P291" s="3326"/>
      <c r="Q291" s="3326"/>
      <c r="R291" s="3326"/>
      <c r="S291" s="3326"/>
      <c r="T291" s="3326"/>
      <c r="U291" s="3326"/>
      <c r="V291" s="3326"/>
      <c r="W291" s="3326"/>
      <c r="X291" s="3326"/>
      <c r="Y291" s="3326"/>
      <c r="Z291" s="3326"/>
      <c r="AA291" s="3326"/>
      <c r="AB291" s="3363">
        <f>SUM(AB287:AH290)</f>
        <v>869165810</v>
      </c>
      <c r="AC291" s="3363"/>
      <c r="AD291" s="3363"/>
      <c r="AE291" s="3363"/>
      <c r="AF291" s="3363"/>
      <c r="AG291" s="3363"/>
      <c r="AH291" s="3363"/>
      <c r="AI291"/>
      <c r="AJ291" s="3363">
        <f>SUM(AJ287:AP290)</f>
        <v>869165810</v>
      </c>
      <c r="AK291" s="3363"/>
      <c r="AL291" s="3363"/>
      <c r="AM291" s="3363"/>
      <c r="AN291" s="3363"/>
      <c r="AO291" s="3363"/>
      <c r="AP291" s="3363"/>
      <c r="AQ291" s="2623">
        <f>SUM(AQ287:AW290)</f>
        <v>1840865220</v>
      </c>
      <c r="AR291" s="2623"/>
      <c r="AS291" s="2623"/>
      <c r="AT291" s="2623"/>
      <c r="AU291" s="2623"/>
      <c r="AV291" s="2623"/>
      <c r="AW291" s="1293"/>
    </row>
    <row r="292" s="3330" customFormat="1" customHeight="1" spans="1:49">
      <c r="A292"/>
      <c r="B292"/>
      <c r="C292" s="1952" t="s">
        <v>1780</v>
      </c>
      <c r="D292" s="3326"/>
      <c r="E292" s="3326"/>
      <c r="F292" s="3326"/>
      <c r="G292" s="3326"/>
      <c r="H292" s="3326"/>
      <c r="I292" s="3326"/>
      <c r="J292" s="3326"/>
      <c r="K292" s="3326"/>
      <c r="L292" s="3326"/>
      <c r="M292" s="3326"/>
      <c r="N292" s="3326"/>
      <c r="O292" s="3326"/>
      <c r="P292" s="3326"/>
      <c r="Q292" s="3326"/>
      <c r="R292" s="3326"/>
      <c r="S292" s="3326"/>
      <c r="T292" s="3326"/>
      <c r="U292" s="3326"/>
      <c r="V292" s="3326"/>
      <c r="W292" s="3326"/>
      <c r="X292" s="3326"/>
      <c r="Y292" s="3326"/>
      <c r="Z292" s="3326"/>
      <c r="AA292" s="3326"/>
      <c r="AB292" s="3363">
        <f>+B!I265</f>
        <v>0</v>
      </c>
      <c r="AC292" s="3363"/>
      <c r="AD292" s="3363"/>
      <c r="AE292" s="3363"/>
      <c r="AF292" s="3363"/>
      <c r="AG292" s="3363"/>
      <c r="AH292" s="3363"/>
      <c r="AI292"/>
      <c r="AJ292" s="3363">
        <f>+B!Q265</f>
        <v>0</v>
      </c>
      <c r="AK292" s="3363"/>
      <c r="AL292" s="3363"/>
      <c r="AM292" s="3363"/>
      <c r="AN292" s="3363"/>
      <c r="AO292" s="3363"/>
      <c r="AP292" s="3363"/>
      <c r="AQ292" s="2623">
        <f>+B!R265</f>
        <v>0</v>
      </c>
      <c r="AR292" s="2623"/>
      <c r="AS292" s="2623"/>
      <c r="AT292" s="2623"/>
      <c r="AU292" s="2623"/>
      <c r="AV292" s="2623"/>
      <c r="AW292" s="1293"/>
    </row>
    <row r="293" s="3330" customFormat="1" customHeight="1" spans="1:49">
      <c r="A293"/>
      <c r="B293"/>
      <c r="C293" s="1952" t="s">
        <v>1847</v>
      </c>
      <c r="D293" s="3326"/>
      <c r="E293" s="3326"/>
      <c r="F293" s="3326"/>
      <c r="G293" s="3326"/>
      <c r="H293" s="3326"/>
      <c r="I293" s="3326"/>
      <c r="J293" s="3326"/>
      <c r="K293" s="3326"/>
      <c r="L293" s="3326"/>
      <c r="M293" s="3326"/>
      <c r="N293" s="3391"/>
      <c r="O293" s="3326"/>
      <c r="P293" s="3326"/>
      <c r="Q293" s="3326"/>
      <c r="R293" s="3326"/>
      <c r="S293" s="3326"/>
      <c r="T293" s="3326"/>
      <c r="U293" s="3326"/>
      <c r="V293" s="3326"/>
      <c r="W293" s="3326"/>
      <c r="X293" s="3326"/>
      <c r="Y293" s="3326"/>
      <c r="Z293" s="3326"/>
      <c r="AA293" s="3326"/>
      <c r="AB293" s="3367">
        <f>SUM(AB291:AH292)</f>
        <v>869165810</v>
      </c>
      <c r="AC293" s="3367"/>
      <c r="AD293" s="3367"/>
      <c r="AE293" s="3367"/>
      <c r="AF293" s="3367"/>
      <c r="AG293" s="3367"/>
      <c r="AH293" s="3367"/>
      <c r="AI293" s="94"/>
      <c r="AJ293" s="3367">
        <f>SUM(AJ291:AP292)</f>
        <v>869165810</v>
      </c>
      <c r="AK293" s="3367"/>
      <c r="AL293" s="3367"/>
      <c r="AM293" s="3367"/>
      <c r="AN293" s="3367"/>
      <c r="AO293" s="3367"/>
      <c r="AP293" s="3367"/>
      <c r="AQ293" s="3378">
        <f>SUM(AQ291:AW292)</f>
        <v>1840865220</v>
      </c>
      <c r="AR293" s="3378"/>
      <c r="AS293" s="3378"/>
      <c r="AT293" s="3378"/>
      <c r="AU293" s="3378"/>
      <c r="AV293" s="3378"/>
      <c r="AW293" s="2433"/>
    </row>
    <row r="294" s="3330" customFormat="1" ht="9.2" customHeight="1" spans="1:49">
      <c r="A294"/>
      <c r="B294"/>
      <c r="C294" s="1952"/>
      <c r="D294" s="3326"/>
      <c r="E294" s="3326"/>
      <c r="F294" s="3326"/>
      <c r="G294" s="3326"/>
      <c r="H294" s="3326"/>
      <c r="I294" s="3326"/>
      <c r="J294" s="3326"/>
      <c r="K294" s="3326"/>
      <c r="L294" s="3326"/>
      <c r="M294" s="3326"/>
      <c r="N294" s="3326"/>
      <c r="O294" s="3326"/>
      <c r="P294" s="3326"/>
      <c r="Q294" s="3326"/>
      <c r="R294" s="3326"/>
      <c r="S294" s="3326"/>
      <c r="T294" s="3326"/>
      <c r="U294" s="3326"/>
      <c r="V294" s="3326"/>
      <c r="W294" s="3326"/>
      <c r="X294" s="3326"/>
      <c r="Y294" s="3326"/>
      <c r="Z294" s="3326"/>
      <c r="AA294" s="3326"/>
      <c r="AB294" s="3326"/>
      <c r="AC294" s="3326"/>
      <c r="AD294" s="3326"/>
      <c r="AE294" s="3326"/>
      <c r="AF294" s="3326"/>
      <c r="AG294" s="3326"/>
      <c r="AH294" s="3326"/>
      <c r="AI294"/>
      <c r="AJ294"/>
      <c r="AK294" s="3326"/>
      <c r="AL294" s="3326"/>
      <c r="AM294" s="3326"/>
      <c r="AN294"/>
      <c r="AO294"/>
      <c r="AP294" s="3326"/>
      <c r="AQ294" s="3326"/>
      <c r="AR294" s="3331"/>
      <c r="AS294" s="3455"/>
      <c r="AW294" s="3371"/>
    </row>
    <row r="295" s="3330" customFormat="1" ht="24.75" customHeight="1" spans="1:49">
      <c r="A295"/>
      <c r="B295"/>
      <c r="C295" s="5036" t="s">
        <v>1848</v>
      </c>
      <c r="D295" s="3339"/>
      <c r="E295" s="3339"/>
      <c r="F295" s="3339"/>
      <c r="G295" s="3339"/>
      <c r="H295" s="3339"/>
      <c r="I295" s="3339"/>
      <c r="J295" s="3339"/>
      <c r="K295" s="3339"/>
      <c r="L295" s="3339"/>
      <c r="M295" s="3339"/>
      <c r="N295" s="3339"/>
      <c r="O295" s="3339"/>
      <c r="P295" s="3339"/>
      <c r="Q295" s="3339"/>
      <c r="R295" s="3339"/>
      <c r="S295" s="3339"/>
      <c r="T295" s="3339"/>
      <c r="U295" s="3339"/>
      <c r="V295" s="3339"/>
      <c r="W295" s="3339"/>
      <c r="X295" s="3339"/>
      <c r="Y295" s="3339"/>
      <c r="Z295" s="3339"/>
      <c r="AA295" s="3339"/>
      <c r="AB295" s="3339"/>
      <c r="AC295" s="3339"/>
      <c r="AD295" s="3339"/>
      <c r="AE295" s="3339"/>
      <c r="AF295" s="3339"/>
      <c r="AG295" s="3339"/>
      <c r="AH295" s="3339"/>
      <c r="AI295" s="3339"/>
      <c r="AJ295" s="3339"/>
      <c r="AK295" s="3339"/>
      <c r="AL295" s="3339"/>
      <c r="AM295" s="3339"/>
      <c r="AN295" s="3339"/>
      <c r="AO295" s="3339"/>
      <c r="AP295" s="3339"/>
      <c r="AQ295" s="3326"/>
      <c r="AR295" s="3331"/>
      <c r="AS295" s="3455"/>
      <c r="AW295" s="3371"/>
    </row>
    <row r="296" s="3330" customFormat="1" ht="15" customHeight="1" spans="1:49">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R296" s="3331"/>
      <c r="AW296" s="3371"/>
    </row>
    <row r="297" customHeight="1" spans="1:49">
      <c r="A297" s="3335">
        <f>A258+1</f>
        <v>11</v>
      </c>
      <c r="B297" s="64"/>
      <c r="C297" s="3322" t="s">
        <v>1849</v>
      </c>
      <c r="D297" s="64"/>
      <c r="E297" s="64"/>
      <c r="F297" s="64"/>
      <c r="G297" s="64"/>
      <c r="H297" s="64"/>
      <c r="I297" s="64"/>
      <c r="J297" s="64"/>
      <c r="K297" s="64"/>
      <c r="L297" s="64"/>
      <c r="M297" s="64"/>
      <c r="N297" s="64"/>
      <c r="O297" s="64"/>
      <c r="P297" s="64"/>
      <c r="Q297" s="64"/>
      <c r="R297" s="64"/>
      <c r="S297" s="64"/>
      <c r="T297" s="16"/>
      <c r="U297" s="16"/>
      <c r="V297" s="16"/>
      <c r="W297" s="16"/>
      <c r="X297" s="16"/>
      <c r="Y297" s="16"/>
      <c r="Z297" s="16"/>
      <c r="AA297" s="64"/>
      <c r="AB297" s="3359">
        <v>2022</v>
      </c>
      <c r="AC297" s="3360"/>
      <c r="AD297" s="3360"/>
      <c r="AE297" s="3360"/>
      <c r="AF297" s="3360"/>
      <c r="AG297" s="3360"/>
      <c r="AH297" s="3360"/>
      <c r="AI297" s="3368"/>
      <c r="AJ297" s="3359">
        <v>2021</v>
      </c>
      <c r="AK297" s="3360"/>
      <c r="AL297" s="3360"/>
      <c r="AM297" s="3360"/>
      <c r="AN297" s="3360"/>
      <c r="AO297" s="3360"/>
      <c r="AP297" s="3360"/>
      <c r="AQ297" s="3360">
        <v>2020</v>
      </c>
      <c r="AR297" s="3360"/>
      <c r="AS297" s="3360"/>
      <c r="AT297" s="3360"/>
      <c r="AU297" s="3360"/>
      <c r="AV297" s="3360"/>
      <c r="AW297" s="3381"/>
    </row>
    <row r="298" ht="9.2" customHeight="1" spans="1:49">
      <c r="A298" s="64"/>
      <c r="B298" s="64"/>
      <c r="C298" s="64"/>
      <c r="D298" s="64"/>
      <c r="E298" s="64"/>
      <c r="F298" s="64"/>
      <c r="G298" s="64"/>
      <c r="H298" s="64"/>
      <c r="I298" s="64"/>
      <c r="J298" s="64"/>
      <c r="K298" s="64"/>
      <c r="L298" s="64"/>
      <c r="M298" s="64"/>
      <c r="N298" s="64"/>
      <c r="O298" s="64"/>
      <c r="P298" s="64"/>
      <c r="Q298" s="64"/>
      <c r="R298" s="64"/>
      <c r="S298" s="64"/>
      <c r="T298" s="16"/>
      <c r="U298" s="16"/>
      <c r="V298" s="16"/>
      <c r="W298" s="16"/>
      <c r="X298" s="16"/>
      <c r="Y298" s="16"/>
      <c r="Z298" s="16"/>
      <c r="AA298" s="64"/>
      <c r="AB298" s="3349"/>
      <c r="AC298" s="16"/>
      <c r="AD298" s="16"/>
      <c r="AE298" s="16"/>
      <c r="AF298" s="16"/>
      <c r="AG298" s="16"/>
      <c r="AH298" s="16"/>
      <c r="AI298" s="3326"/>
      <c r="AJ298" s="3349"/>
      <c r="AK298" s="16"/>
      <c r="AL298" s="16"/>
      <c r="AM298" s="16"/>
      <c r="AN298" s="16"/>
      <c r="AO298" s="16"/>
      <c r="AP298" s="16"/>
      <c r="AQ298" s="3349"/>
      <c r="AR298" s="16"/>
      <c r="AS298" s="16"/>
      <c r="AT298" s="16"/>
      <c r="AU298" s="16"/>
      <c r="AV298" s="16"/>
      <c r="AW298" s="50"/>
    </row>
    <row r="299" customHeight="1" spans="1:48">
      <c r="A299" s="64"/>
      <c r="B299" s="64"/>
      <c r="C299" s="3322" t="s">
        <v>142</v>
      </c>
      <c r="D299" s="3322"/>
      <c r="E299" s="3322" t="s">
        <v>773</v>
      </c>
      <c r="F299" s="64"/>
      <c r="G299" s="64"/>
      <c r="H299" s="64"/>
      <c r="I299" s="64"/>
      <c r="J299" s="64"/>
      <c r="K299" s="64"/>
      <c r="L299" s="64"/>
      <c r="M299" s="64"/>
      <c r="N299" s="64"/>
      <c r="O299" s="64"/>
      <c r="P299" s="64"/>
      <c r="Q299" s="64"/>
      <c r="R299" s="64"/>
      <c r="S299" s="64"/>
      <c r="T299" s="16"/>
      <c r="U299" s="16"/>
      <c r="V299" s="16"/>
      <c r="W299" s="16"/>
      <c r="X299" s="16"/>
      <c r="Y299" s="16"/>
      <c r="Z299" s="16"/>
      <c r="AA299" s="64"/>
      <c r="AJ299" s="3326"/>
      <c r="AK299" s="3326"/>
      <c r="AN299" s="3326"/>
      <c r="AO299" s="3326"/>
      <c r="AQ299" s="64"/>
      <c r="AR299" s="3330"/>
      <c r="AU299" s="64"/>
      <c r="AV299" s="64"/>
    </row>
    <row r="300" ht="4.5" customHeight="1" spans="1:49">
      <c r="A300" s="64"/>
      <c r="B300" s="64"/>
      <c r="C300" s="3322"/>
      <c r="D300" s="3322"/>
      <c r="E300" s="3322"/>
      <c r="F300" s="64"/>
      <c r="G300" s="64"/>
      <c r="H300" s="64"/>
      <c r="I300" s="64"/>
      <c r="J300" s="64"/>
      <c r="K300" s="64"/>
      <c r="L300" s="64"/>
      <c r="M300" s="64"/>
      <c r="N300" s="64"/>
      <c r="O300" s="64"/>
      <c r="P300" s="64"/>
      <c r="Q300" s="64"/>
      <c r="R300" s="64"/>
      <c r="S300" s="64"/>
      <c r="T300" s="16"/>
      <c r="U300" s="16"/>
      <c r="V300" s="16"/>
      <c r="W300" s="16"/>
      <c r="X300" s="16"/>
      <c r="Y300" s="16"/>
      <c r="Z300" s="16"/>
      <c r="AA300" s="64"/>
      <c r="AB300" s="3349"/>
      <c r="AC300" s="16"/>
      <c r="AD300" s="16"/>
      <c r="AE300" s="16"/>
      <c r="AF300" s="16"/>
      <c r="AG300" s="16"/>
      <c r="AH300" s="16"/>
      <c r="AI300" s="3326"/>
      <c r="AJ300" s="3349"/>
      <c r="AK300" s="16"/>
      <c r="AL300" s="16"/>
      <c r="AM300" s="16"/>
      <c r="AN300" s="16"/>
      <c r="AO300" s="16"/>
      <c r="AP300" s="16"/>
      <c r="AQ300" s="3349"/>
      <c r="AR300" s="16"/>
      <c r="AS300" s="16"/>
      <c r="AT300" s="16"/>
      <c r="AU300" s="16"/>
      <c r="AV300" s="16"/>
      <c r="AW300" s="50"/>
    </row>
    <row r="301" customHeight="1" spans="1:49">
      <c r="A301" s="64"/>
      <c r="B301" s="64"/>
      <c r="C301" s="64"/>
      <c r="D301" s="64"/>
      <c r="E301" s="5088" t="s">
        <v>1850</v>
      </c>
      <c r="G301" s="64"/>
      <c r="H301" s="64"/>
      <c r="I301" s="64"/>
      <c r="J301" s="64"/>
      <c r="K301" s="2636"/>
      <c r="L301" s="64"/>
      <c r="M301" s="64"/>
      <c r="N301" s="64"/>
      <c r="O301" s="64"/>
      <c r="P301" s="64"/>
      <c r="Q301" s="64"/>
      <c r="R301" s="64"/>
      <c r="S301" s="3067"/>
      <c r="T301" s="64"/>
      <c r="U301" s="64"/>
      <c r="V301" s="64"/>
      <c r="W301" s="64"/>
      <c r="X301" s="64"/>
      <c r="Y301" s="64"/>
      <c r="Z301" s="64"/>
      <c r="AA301" s="2682"/>
      <c r="AB301">
        <f>+FF!J14</f>
        <v>4182669.44583333</v>
      </c>
      <c r="AC301"/>
      <c r="AD301"/>
      <c r="AE301"/>
      <c r="AF301"/>
      <c r="AG301"/>
      <c r="AH301"/>
      <c r="AI301" s="3326"/>
      <c r="AJ301">
        <f>+FF!P14</f>
        <v>14038788.3561765</v>
      </c>
      <c r="AK301"/>
      <c r="AL301"/>
      <c r="AM301"/>
      <c r="AN301"/>
      <c r="AO301"/>
      <c r="AP301"/>
      <c r="AQ301" s="2635">
        <f>+FF!Q14</f>
        <v>9817743.64367655</v>
      </c>
      <c r="AR301" s="2635"/>
      <c r="AS301" s="2635"/>
      <c r="AT301" s="2635"/>
      <c r="AU301" s="2635"/>
      <c r="AV301" s="2635"/>
      <c r="AW301" s="2430"/>
    </row>
    <row r="302" customHeight="1" spans="1:49">
      <c r="A302" s="64"/>
      <c r="B302" s="64"/>
      <c r="C302" s="64"/>
      <c r="D302" s="64"/>
      <c r="E302" s="5088" t="s">
        <v>1851</v>
      </c>
      <c r="G302" s="64"/>
      <c r="H302" s="64"/>
      <c r="I302" s="64"/>
      <c r="J302" s="64"/>
      <c r="K302" s="2636"/>
      <c r="L302" s="64"/>
      <c r="M302" s="64"/>
      <c r="N302" s="64"/>
      <c r="O302" s="64"/>
      <c r="P302" s="64"/>
      <c r="Q302" s="64"/>
      <c r="R302" s="64"/>
      <c r="S302" s="3067"/>
      <c r="T302" s="64"/>
      <c r="U302" s="64"/>
      <c r="V302" s="64"/>
      <c r="W302" s="64"/>
      <c r="X302" s="64"/>
      <c r="Y302" s="64"/>
      <c r="Z302" s="64"/>
      <c r="AA302" s="2682"/>
      <c r="AB302">
        <f>+FF!J15</f>
        <v>77954370.8005685</v>
      </c>
      <c r="AC302"/>
      <c r="AD302"/>
      <c r="AE302"/>
      <c r="AF302"/>
      <c r="AG302"/>
      <c r="AH302"/>
      <c r="AI302" s="3326"/>
      <c r="AJ302">
        <f>+FF!P15</f>
        <v>2431897.37632693</v>
      </c>
      <c r="AK302"/>
      <c r="AL302"/>
      <c r="AM302"/>
      <c r="AN302"/>
      <c r="AO302"/>
      <c r="AP302"/>
      <c r="AQ302" s="2635">
        <f>+FF!Q15</f>
        <v>133614256.608534</v>
      </c>
      <c r="AR302" s="2635"/>
      <c r="AS302" s="2635"/>
      <c r="AT302" s="2635"/>
      <c r="AU302" s="2635"/>
      <c r="AV302" s="2635"/>
      <c r="AW302" s="2430"/>
    </row>
    <row r="303" customHeight="1" spans="1:49">
      <c r="A303" s="64"/>
      <c r="B303" s="64"/>
      <c r="C303" s="64"/>
      <c r="D303" s="64"/>
      <c r="E303" s="5088" t="s">
        <v>1852</v>
      </c>
      <c r="G303" s="64"/>
      <c r="H303" s="64"/>
      <c r="I303" s="64"/>
      <c r="J303" s="64"/>
      <c r="K303" s="2636"/>
      <c r="L303" s="64"/>
      <c r="M303" s="64"/>
      <c r="N303" s="64"/>
      <c r="O303" s="64"/>
      <c r="P303" s="64"/>
      <c r="Q303" s="64"/>
      <c r="R303" s="64"/>
      <c r="S303" s="3067"/>
      <c r="T303" s="64"/>
      <c r="U303" s="64"/>
      <c r="V303" s="64"/>
      <c r="W303" s="64"/>
      <c r="X303" s="64"/>
      <c r="Y303" s="64"/>
      <c r="Z303" s="64"/>
      <c r="AA303" s="2682"/>
      <c r="AB303">
        <f>+FF!J16</f>
        <v>0</v>
      </c>
      <c r="AC303"/>
      <c r="AD303"/>
      <c r="AE303"/>
      <c r="AF303"/>
      <c r="AG303"/>
      <c r="AH303"/>
      <c r="AI303" s="3326"/>
      <c r="AJ303">
        <f>+FF!P16</f>
        <v>112582760</v>
      </c>
      <c r="AK303"/>
      <c r="AL303"/>
      <c r="AM303"/>
      <c r="AN303"/>
      <c r="AO303"/>
      <c r="AP303"/>
      <c r="AQ303" s="2635">
        <f>+FF!Q16</f>
        <v>0</v>
      </c>
      <c r="AR303" s="2635"/>
      <c r="AS303" s="2635"/>
      <c r="AT303" s="2635"/>
      <c r="AU303" s="2635"/>
      <c r="AV303" s="2635"/>
      <c r="AW303" s="2430"/>
    </row>
    <row r="304" hidden="1" customHeight="1" spans="1:49">
      <c r="A304" s="64"/>
      <c r="B304" s="64"/>
      <c r="C304" s="64"/>
      <c r="D304" s="64"/>
      <c r="E304" s="5088" t="s">
        <v>1853</v>
      </c>
      <c r="G304" s="64"/>
      <c r="H304" s="64"/>
      <c r="I304" s="64"/>
      <c r="J304" s="64"/>
      <c r="K304" s="2636"/>
      <c r="L304" s="64"/>
      <c r="M304" s="64"/>
      <c r="N304" s="64"/>
      <c r="O304" s="64"/>
      <c r="P304" s="64"/>
      <c r="Q304" s="64"/>
      <c r="R304" s="64"/>
      <c r="S304" s="3067"/>
      <c r="T304" s="64"/>
      <c r="U304" s="64"/>
      <c r="V304" s="64"/>
      <c r="W304" s="64"/>
      <c r="X304" s="64"/>
      <c r="Y304" s="64"/>
      <c r="Z304" s="64"/>
      <c r="AA304" s="2682"/>
      <c r="AB304">
        <f>+FF!H17</f>
        <v>0</v>
      </c>
      <c r="AC304"/>
      <c r="AD304"/>
      <c r="AE304"/>
      <c r="AF304"/>
      <c r="AG304"/>
      <c r="AH304"/>
      <c r="AI304" s="3326"/>
      <c r="AJ304">
        <f>+FF!P17</f>
        <v>0</v>
      </c>
      <c r="AK304"/>
      <c r="AL304"/>
      <c r="AM304"/>
      <c r="AN304"/>
      <c r="AO304"/>
      <c r="AP304"/>
      <c r="AQ304" s="2635">
        <f>+FF!Q17</f>
        <v>0</v>
      </c>
      <c r="AR304" s="2635"/>
      <c r="AS304" s="2635"/>
      <c r="AT304" s="2635"/>
      <c r="AU304" s="2635"/>
      <c r="AV304" s="2635"/>
      <c r="AW304" s="2430"/>
    </row>
    <row r="305" hidden="1" customHeight="1" spans="1:49">
      <c r="A305" s="64"/>
      <c r="B305" s="64"/>
      <c r="C305" s="64"/>
      <c r="D305" s="64"/>
      <c r="E305" s="5088" t="s">
        <v>1854</v>
      </c>
      <c r="G305" s="64"/>
      <c r="H305" s="64"/>
      <c r="I305" s="64"/>
      <c r="J305" s="64"/>
      <c r="K305" s="2636"/>
      <c r="L305" s="64"/>
      <c r="M305" s="64"/>
      <c r="N305" s="64"/>
      <c r="O305" s="64"/>
      <c r="P305" s="64"/>
      <c r="Q305" s="64"/>
      <c r="R305" s="64"/>
      <c r="S305" s="3067"/>
      <c r="T305" s="64"/>
      <c r="U305" s="64"/>
      <c r="V305" s="64"/>
      <c r="W305" s="64"/>
      <c r="X305" s="64"/>
      <c r="Y305" s="64"/>
      <c r="Z305" s="64"/>
      <c r="AA305" s="2682"/>
      <c r="AB305">
        <f>+FF!H18</f>
        <v>0</v>
      </c>
      <c r="AC305"/>
      <c r="AD305"/>
      <c r="AE305"/>
      <c r="AF305"/>
      <c r="AG305"/>
      <c r="AH305"/>
      <c r="AI305" s="3326"/>
      <c r="AJ305">
        <f>+FF!P18</f>
        <v>0</v>
      </c>
      <c r="AK305"/>
      <c r="AL305"/>
      <c r="AM305"/>
      <c r="AN305"/>
      <c r="AO305"/>
      <c r="AP305"/>
      <c r="AQ305" s="2635">
        <f>+FF!Q18</f>
        <v>0</v>
      </c>
      <c r="AR305" s="2635"/>
      <c r="AS305" s="2635"/>
      <c r="AT305" s="2635"/>
      <c r="AU305" s="2635"/>
      <c r="AV305" s="2635"/>
      <c r="AW305" s="2430"/>
    </row>
    <row r="306" ht="4.5" customHeight="1" spans="1:49">
      <c r="A306" s="64"/>
      <c r="B306" s="64"/>
      <c r="C306" s="64"/>
      <c r="D306" s="64"/>
      <c r="E306"/>
      <c r="G306" s="64"/>
      <c r="H306" s="64"/>
      <c r="I306" s="64"/>
      <c r="J306" s="64"/>
      <c r="K306" s="64"/>
      <c r="L306" s="2636"/>
      <c r="M306" s="64"/>
      <c r="N306" s="64"/>
      <c r="O306" s="64"/>
      <c r="P306" s="64"/>
      <c r="Q306" s="64"/>
      <c r="R306" s="64"/>
      <c r="S306" s="64"/>
      <c r="T306" s="64"/>
      <c r="U306" s="64"/>
      <c r="V306" s="64"/>
      <c r="W306" s="64"/>
      <c r="X306" s="64"/>
      <c r="Y306" s="64"/>
      <c r="Z306" s="64"/>
      <c r="AA306" s="64"/>
      <c r="AB306" s="64"/>
      <c r="AC306" s="64"/>
      <c r="AD306" s="64"/>
      <c r="AE306" s="64"/>
      <c r="AF306" s="64"/>
      <c r="AG306" s="64"/>
      <c r="AH306" s="64"/>
      <c r="AI306" s="3326"/>
      <c r="AK306" s="64"/>
      <c r="AL306" s="64"/>
      <c r="AM306" s="64"/>
      <c r="AP306" s="64"/>
      <c r="AQ306" s="64"/>
      <c r="AR306" s="64"/>
      <c r="AS306" s="64"/>
      <c r="AT306" s="64"/>
      <c r="AU306" s="64"/>
      <c r="AV306" s="64"/>
      <c r="AW306" s="1350"/>
    </row>
    <row r="307" customHeight="1" spans="1:49">
      <c r="A307" s="64"/>
      <c r="B307" s="64"/>
      <c r="C307" s="64"/>
      <c r="D307" s="64"/>
      <c r="E307" s="94" t="s">
        <v>1855</v>
      </c>
      <c r="F307" s="64"/>
      <c r="G307" s="64"/>
      <c r="H307" s="64"/>
      <c r="I307" s="64"/>
      <c r="J307" s="64"/>
      <c r="K307" s="64"/>
      <c r="L307" s="64"/>
      <c r="M307" s="64"/>
      <c r="N307" s="64"/>
      <c r="O307" s="64"/>
      <c r="P307" s="64"/>
      <c r="Q307" s="64"/>
      <c r="R307" s="64"/>
      <c r="S307" s="64"/>
      <c r="T307" s="3450"/>
      <c r="U307" s="3450"/>
      <c r="V307" s="3450"/>
      <c r="W307" s="3450"/>
      <c r="X307" s="3450"/>
      <c r="Y307" s="3450"/>
      <c r="Z307" s="3450"/>
      <c r="AA307" s="3322"/>
      <c r="AB307" s="3423">
        <f>SUM(AB301:AH306)</f>
        <v>82137040.2464018</v>
      </c>
      <c r="AC307" s="3423"/>
      <c r="AD307" s="3423"/>
      <c r="AE307" s="3423"/>
      <c r="AF307" s="3423"/>
      <c r="AG307" s="3423"/>
      <c r="AH307" s="3423"/>
      <c r="AI307" s="3326"/>
      <c r="AJ307" s="3423">
        <f>SUM(AJ301:AP306)</f>
        <v>129053445.732503</v>
      </c>
      <c r="AK307" s="3423"/>
      <c r="AL307" s="3423"/>
      <c r="AM307" s="3423"/>
      <c r="AN307" s="3423"/>
      <c r="AO307" s="3423"/>
      <c r="AP307" s="3423"/>
      <c r="AQ307" s="3423">
        <f>SUM(AQ301:AW306)</f>
        <v>143432000.25221</v>
      </c>
      <c r="AR307" s="3423"/>
      <c r="AS307" s="3423"/>
      <c r="AT307" s="3423"/>
      <c r="AU307" s="3423"/>
      <c r="AV307" s="3423"/>
      <c r="AW307" s="3457"/>
    </row>
    <row r="308" ht="12.15" spans="28:49">
      <c r="AB308">
        <f>+AB307-'FS-22'!W38</f>
        <v>0</v>
      </c>
      <c r="AC308"/>
      <c r="AD308"/>
      <c r="AE308"/>
      <c r="AF308"/>
      <c r="AG308"/>
      <c r="AH308"/>
      <c r="AI308" s="3326"/>
      <c r="AJ308">
        <f>+AJ307-SUM('FS-21'!Y38:AE38)</f>
        <v>0</v>
      </c>
      <c r="AK308"/>
      <c r="AL308"/>
      <c r="AM308"/>
      <c r="AN308"/>
      <c r="AO308"/>
      <c r="AP308"/>
      <c r="AQ308" s="2623">
        <f>+AQ307-SUM('FS-21'!AG38:AM38)</f>
        <v>0</v>
      </c>
      <c r="AR308" s="2623"/>
      <c r="AS308" s="2623"/>
      <c r="AT308" s="2623"/>
      <c r="AU308" s="2623"/>
      <c r="AV308" s="2623"/>
      <c r="AW308" s="1293"/>
    </row>
    <row r="309" spans="3:42">
      <c r="C309" s="3322" t="s">
        <v>148</v>
      </c>
      <c r="D309" s="3322"/>
      <c r="E309" s="3322" t="s">
        <v>1856</v>
      </c>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c r="AG309" s="64"/>
      <c r="AH309" s="64"/>
      <c r="AI309" s="3330"/>
      <c r="AJ309" s="3330"/>
      <c r="AM309" s="3330"/>
      <c r="AN309" s="3330"/>
      <c r="AO309" s="3330"/>
      <c r="AP309" s="3330"/>
    </row>
    <row r="310" ht="9" customHeight="1" spans="3:42">
      <c r="C310" s="3322"/>
      <c r="D310" s="3322"/>
      <c r="E310" s="3322"/>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c r="AG310" s="64"/>
      <c r="AH310" s="64"/>
      <c r="AI310" s="3330"/>
      <c r="AJ310" s="3330"/>
      <c r="AM310" s="3330"/>
      <c r="AN310" s="3330"/>
      <c r="AO310" s="3330"/>
      <c r="AP310" s="3330"/>
    </row>
    <row r="311" ht="24" customHeight="1" spans="3:42">
      <c r="C311" s="64"/>
      <c r="D311" s="64"/>
      <c r="E311" s="5036" t="s">
        <v>1857</v>
      </c>
      <c r="F311" s="3341"/>
      <c r="G311" s="3341"/>
      <c r="H311" s="3341"/>
      <c r="I311" s="3341"/>
      <c r="J311" s="3341"/>
      <c r="K311" s="3341"/>
      <c r="L311" s="3341"/>
      <c r="M311" s="3341"/>
      <c r="N311" s="3341"/>
      <c r="O311" s="3341"/>
      <c r="P311" s="3341"/>
      <c r="Q311" s="3341"/>
      <c r="R311" s="3341"/>
      <c r="S311" s="3341"/>
      <c r="T311" s="3341"/>
      <c r="U311" s="3341"/>
      <c r="V311" s="3341"/>
      <c r="W311" s="3341"/>
      <c r="X311" s="3341"/>
      <c r="Y311" s="3341"/>
      <c r="Z311" s="3341"/>
      <c r="AA311" s="3341"/>
      <c r="AB311" s="3341"/>
      <c r="AC311" s="3341"/>
      <c r="AD311" s="3341"/>
      <c r="AE311" s="3341"/>
      <c r="AF311" s="3341"/>
      <c r="AG311" s="3341"/>
      <c r="AH311" s="3341"/>
      <c r="AI311" s="3341"/>
      <c r="AJ311" s="3341"/>
      <c r="AK311" s="3341"/>
      <c r="AL311" s="3341"/>
      <c r="AM311" s="3341"/>
      <c r="AN311" s="3341"/>
      <c r="AO311" s="3341"/>
      <c r="AP311" s="3341"/>
    </row>
    <row r="312" ht="6.95" customHeight="1" spans="3:42">
      <c r="C312"/>
      <c r="D312" s="64"/>
      <c r="E312" s="64"/>
      <c r="F312" s="64"/>
      <c r="G312" s="64"/>
      <c r="H312" s="64"/>
      <c r="I312" s="64"/>
      <c r="J312" s="64"/>
      <c r="K312" s="64"/>
      <c r="L312" s="64"/>
      <c r="M312" s="64"/>
      <c r="N312" s="64"/>
      <c r="O312" s="64"/>
      <c r="P312" s="64"/>
      <c r="Q312" s="64"/>
      <c r="R312" s="64"/>
      <c r="S312" s="64"/>
      <c r="T312" s="16"/>
      <c r="U312" s="16"/>
      <c r="V312" s="16"/>
      <c r="W312" s="16"/>
      <c r="X312" s="16"/>
      <c r="Y312" s="16"/>
      <c r="Z312" s="16"/>
      <c r="AA312" s="64"/>
      <c r="AB312" s="3349"/>
      <c r="AC312" s="16"/>
      <c r="AD312" s="16"/>
      <c r="AE312" s="16"/>
      <c r="AF312" s="16"/>
      <c r="AG312" s="16"/>
      <c r="AH312" s="16"/>
      <c r="AI312" s="3326"/>
      <c r="AJ312" s="3349"/>
      <c r="AK312" s="16"/>
      <c r="AL312" s="16"/>
      <c r="AM312" s="16"/>
      <c r="AN312" s="16"/>
      <c r="AO312" s="16"/>
      <c r="AP312" s="16"/>
    </row>
    <row r="313" spans="3:49">
      <c r="C313"/>
      <c r="D313" s="64"/>
      <c r="E313" s="64"/>
      <c r="F313" s="64"/>
      <c r="G313" s="64"/>
      <c r="H313" s="64"/>
      <c r="I313" s="64"/>
      <c r="J313" s="64"/>
      <c r="K313" s="64"/>
      <c r="L313" s="64"/>
      <c r="M313" s="64"/>
      <c r="N313" s="64"/>
      <c r="O313" s="64"/>
      <c r="P313" s="64"/>
      <c r="Q313" s="64"/>
      <c r="R313" s="64"/>
      <c r="S313" s="64"/>
      <c r="T313" s="16"/>
      <c r="U313" s="16"/>
      <c r="V313" s="16"/>
      <c r="W313" s="16"/>
      <c r="X313" s="16"/>
      <c r="Y313" s="16"/>
      <c r="Z313" s="16"/>
      <c r="AA313" s="64"/>
      <c r="AB313" s="3359">
        <f>+AB297</f>
        <v>2022</v>
      </c>
      <c r="AC313" s="3360"/>
      <c r="AD313" s="3360"/>
      <c r="AE313" s="3360"/>
      <c r="AF313" s="3360"/>
      <c r="AG313" s="3360"/>
      <c r="AH313" s="3360"/>
      <c r="AI313" s="3368"/>
      <c r="AJ313" s="3359">
        <v>2021</v>
      </c>
      <c r="AK313" s="3360"/>
      <c r="AL313" s="3360"/>
      <c r="AM313" s="3360"/>
      <c r="AN313" s="3360"/>
      <c r="AO313" s="3360"/>
      <c r="AP313" s="3360"/>
      <c r="AQ313" s="3360">
        <v>2020</v>
      </c>
      <c r="AR313" s="3360"/>
      <c r="AS313" s="3360"/>
      <c r="AT313" s="3360"/>
      <c r="AU313" s="3360"/>
      <c r="AV313" s="3360"/>
      <c r="AW313" s="3381"/>
    </row>
    <row r="314" ht="11.4" spans="3:44">
      <c r="C314" s="64"/>
      <c r="D314" s="64"/>
      <c r="AI314" s="3326"/>
      <c r="AJ314" s="3326"/>
      <c r="AK314" s="3326"/>
      <c r="AN314" s="3326"/>
      <c r="AO314" s="3326"/>
      <c r="AR314" s="3326"/>
    </row>
    <row r="315" ht="11.4" spans="3:49">
      <c r="C315" s="64"/>
      <c r="D315" s="64"/>
      <c r="E315" s="3384" t="s">
        <v>1858</v>
      </c>
      <c r="F315" s="3384"/>
      <c r="G315" s="64"/>
      <c r="H315" s="64"/>
      <c r="I315" s="64"/>
      <c r="J315" s="64"/>
      <c r="K315" s="2636"/>
      <c r="L315" s="64"/>
      <c r="M315" s="64"/>
      <c r="N315" s="64"/>
      <c r="O315" s="64"/>
      <c r="P315" s="64"/>
      <c r="Q315" s="64"/>
      <c r="R315" s="64"/>
      <c r="S315" s="3067"/>
      <c r="T315" s="64"/>
      <c r="U315" s="64"/>
      <c r="V315" s="64"/>
      <c r="W315" s="64"/>
      <c r="X315" s="64"/>
      <c r="Y315" s="64"/>
      <c r="Z315" s="64"/>
      <c r="AA315" s="2682"/>
      <c r="AB315" s="2682">
        <f>+'F3'!K30</f>
        <v>703569969.009405</v>
      </c>
      <c r="AC315" s="2682"/>
      <c r="AD315" s="2682"/>
      <c r="AE315" s="2682"/>
      <c r="AF315" s="2682"/>
      <c r="AG315" s="2682"/>
      <c r="AH315" s="2682"/>
      <c r="AI315" s="3326"/>
      <c r="AJ315" s="2682">
        <f>+'F3'!L30</f>
        <v>289682939.71</v>
      </c>
      <c r="AK315" s="2682"/>
      <c r="AL315" s="2682"/>
      <c r="AM315" s="2682"/>
      <c r="AN315" s="2682"/>
      <c r="AO315" s="2682"/>
      <c r="AP315" s="2682"/>
      <c r="AQ315" s="2635">
        <f>+'F3'!R30</f>
        <v>1032142614.99999</v>
      </c>
      <c r="AR315" s="2635"/>
      <c r="AS315" s="2635"/>
      <c r="AT315" s="2635"/>
      <c r="AU315" s="2635"/>
      <c r="AV315" s="2635"/>
      <c r="AW315" s="2430"/>
    </row>
    <row r="316" ht="9" customHeight="1" spans="3:42">
      <c r="C316" s="64"/>
      <c r="D316" s="64"/>
      <c r="E316" s="3384"/>
      <c r="F316" s="3384"/>
      <c r="G316" s="64"/>
      <c r="H316" s="64"/>
      <c r="I316" s="64"/>
      <c r="J316" s="64"/>
      <c r="K316" s="2636"/>
      <c r="L316" s="64"/>
      <c r="M316" s="64"/>
      <c r="N316" s="64"/>
      <c r="O316" s="64"/>
      <c r="P316" s="64"/>
      <c r="Q316" s="64"/>
      <c r="R316" s="64"/>
      <c r="S316" s="3067"/>
      <c r="T316" s="64"/>
      <c r="U316" s="64"/>
      <c r="V316" s="64"/>
      <c r="W316" s="64"/>
      <c r="X316" s="64"/>
      <c r="Y316" s="64"/>
      <c r="Z316" s="64"/>
      <c r="AA316" s="2682"/>
      <c r="AB316" s="2682"/>
      <c r="AC316" s="2682"/>
      <c r="AD316" s="2682"/>
      <c r="AE316" s="2682"/>
      <c r="AF316" s="2682"/>
      <c r="AG316" s="2682"/>
      <c r="AH316" s="2682"/>
      <c r="AI316" s="3326"/>
      <c r="AJ316" s="2682"/>
      <c r="AK316" s="2682"/>
      <c r="AL316" s="2682"/>
      <c r="AM316" s="2682"/>
      <c r="AN316" s="2682"/>
      <c r="AO316" s="2682"/>
      <c r="AP316" s="2682"/>
    </row>
    <row r="317" ht="11.4" spans="3:42">
      <c r="C317" s="64"/>
      <c r="D317" s="64"/>
      <c r="E317" s="3448" t="s">
        <v>1859</v>
      </c>
      <c r="F317" s="3449"/>
      <c r="G317" s="2402"/>
      <c r="H317" s="2402"/>
      <c r="I317" s="2402"/>
      <c r="J317" s="64"/>
      <c r="K317" s="2636"/>
      <c r="L317" s="64"/>
      <c r="M317" s="64"/>
      <c r="N317" s="64"/>
      <c r="O317" s="64"/>
      <c r="P317" s="64"/>
      <c r="Q317" s="64"/>
      <c r="R317" s="64"/>
      <c r="S317" s="3067"/>
      <c r="T317" s="64"/>
      <c r="U317" s="64"/>
      <c r="V317" s="64"/>
      <c r="W317" s="64"/>
      <c r="X317" s="64"/>
      <c r="Y317" s="64"/>
      <c r="Z317" s="64"/>
      <c r="AA317" s="2682"/>
      <c r="AB317" s="2682"/>
      <c r="AC317" s="2682"/>
      <c r="AD317" s="2682"/>
      <c r="AE317" s="2682"/>
      <c r="AF317" s="2682"/>
      <c r="AG317" s="2682"/>
      <c r="AH317" s="2682"/>
      <c r="AI317" s="3326"/>
      <c r="AJ317" s="2682"/>
      <c r="AK317" s="2682"/>
      <c r="AL317" s="2682"/>
      <c r="AM317" s="2682"/>
      <c r="AN317" s="2682"/>
      <c r="AO317" s="2682"/>
      <c r="AP317" s="2682"/>
    </row>
    <row r="318" ht="11.4" spans="3:49">
      <c r="C318" s="64"/>
      <c r="D318" s="64"/>
      <c r="E318" s="3384" t="s">
        <v>1860</v>
      </c>
      <c r="G318" s="64"/>
      <c r="H318" s="64"/>
      <c r="I318" s="64"/>
      <c r="J318" s="64"/>
      <c r="K318" s="2636"/>
      <c r="L318" s="64"/>
      <c r="M318" s="64"/>
      <c r="N318" s="64"/>
      <c r="O318" s="64"/>
      <c r="P318" s="64"/>
      <c r="Q318" s="64"/>
      <c r="R318" s="64"/>
      <c r="S318" s="3067"/>
      <c r="T318" s="64"/>
      <c r="U318" s="64"/>
      <c r="V318" s="64"/>
      <c r="W318" s="64"/>
      <c r="X318" s="64"/>
      <c r="Y318" s="64"/>
      <c r="Z318" s="64"/>
      <c r="AA318" s="2682"/>
      <c r="AB318" s="2682">
        <f>-'50'!J22</f>
        <v>-968019.0607</v>
      </c>
      <c r="AC318" s="2682"/>
      <c r="AD318" s="2682"/>
      <c r="AE318" s="2682"/>
      <c r="AF318" s="2682"/>
      <c r="AG318" s="2682"/>
      <c r="AH318" s="2682"/>
      <c r="AI318" s="3326"/>
      <c r="AJ318" s="2682">
        <f>-'50'!P19</f>
        <v>-6328441.05</v>
      </c>
      <c r="AK318" s="2682"/>
      <c r="AL318" s="2682"/>
      <c r="AM318" s="2682"/>
      <c r="AN318" s="2682"/>
      <c r="AO318" s="2682"/>
      <c r="AP318" s="2682"/>
      <c r="AQ318" s="2635">
        <f>-'50'!Q19</f>
        <v>-8249050</v>
      </c>
      <c r="AR318" s="2635"/>
      <c r="AS318" s="2635"/>
      <c r="AT318" s="2635"/>
      <c r="AU318" s="2635"/>
      <c r="AV318" s="2635"/>
      <c r="AW318" s="2430"/>
    </row>
    <row r="319" ht="11.4" hidden="1" spans="3:49">
      <c r="C319" s="64"/>
      <c r="D319" s="64"/>
      <c r="E319" s="3384" t="str">
        <f>[69]Catatan!$G$1895</f>
        <v>Beban entertainment</v>
      </c>
      <c r="F319" s="3384"/>
      <c r="G319" s="64"/>
      <c r="H319" s="64"/>
      <c r="I319" s="64"/>
      <c r="J319" s="64"/>
      <c r="K319" s="2636"/>
      <c r="L319" s="64"/>
      <c r="M319" s="64"/>
      <c r="N319" s="64"/>
      <c r="O319" s="64"/>
      <c r="P319" s="64"/>
      <c r="Q319" s="64"/>
      <c r="R319" s="64"/>
      <c r="S319" s="3067"/>
      <c r="T319" s="64"/>
      <c r="U319" s="64"/>
      <c r="V319" s="64"/>
      <c r="W319" s="64"/>
      <c r="X319" s="64"/>
      <c r="Y319" s="64"/>
      <c r="Z319" s="64"/>
      <c r="AA319" s="2682"/>
      <c r="AB319" s="2682">
        <v>0</v>
      </c>
      <c r="AC319" s="2682"/>
      <c r="AD319" s="2682"/>
      <c r="AE319" s="2682"/>
      <c r="AF319" s="2682"/>
      <c r="AG319" s="2682"/>
      <c r="AH319" s="2682"/>
      <c r="AI319" s="3326"/>
      <c r="AJ319" s="2682">
        <v>0</v>
      </c>
      <c r="AK319" s="2682"/>
      <c r="AL319" s="2682"/>
      <c r="AM319" s="2682"/>
      <c r="AN319" s="2682"/>
      <c r="AO319" s="2682"/>
      <c r="AP319" s="2682"/>
      <c r="AQ319" s="2635">
        <v>0</v>
      </c>
      <c r="AR319" s="2635"/>
      <c r="AS319" s="2635"/>
      <c r="AT319" s="2635"/>
      <c r="AU319" s="2635"/>
      <c r="AV319" s="2635"/>
      <c r="AW319" s="2430"/>
    </row>
    <row r="320" ht="11.4" hidden="1" spans="3:49">
      <c r="C320" s="64"/>
      <c r="D320" s="64"/>
      <c r="E320" s="3384" t="str">
        <f>[69]Catatan!$G$1896</f>
        <v>Beban pajak</v>
      </c>
      <c r="F320" s="3384"/>
      <c r="G320" s="64"/>
      <c r="H320" s="64"/>
      <c r="I320" s="64"/>
      <c r="J320" s="64"/>
      <c r="K320" s="2636"/>
      <c r="L320" s="64"/>
      <c r="M320" s="64"/>
      <c r="N320" s="64"/>
      <c r="O320" s="64"/>
      <c r="P320" s="64"/>
      <c r="Q320" s="64"/>
      <c r="R320" s="64"/>
      <c r="S320" s="3067"/>
      <c r="T320" s="64"/>
      <c r="U320" s="64"/>
      <c r="V320" s="64"/>
      <c r="W320" s="64"/>
      <c r="X320" s="64"/>
      <c r="Y320" s="64"/>
      <c r="Z320" s="64"/>
      <c r="AA320" s="2682"/>
      <c r="AB320" s="2682">
        <f>'40'!C34</f>
        <v>0</v>
      </c>
      <c r="AC320" s="2682"/>
      <c r="AD320" s="2682"/>
      <c r="AE320" s="2682"/>
      <c r="AF320" s="2682"/>
      <c r="AG320" s="2682"/>
      <c r="AH320" s="2682"/>
      <c r="AI320" s="3326"/>
      <c r="AJ320" s="2682">
        <f>'40'!K34</f>
        <v>0</v>
      </c>
      <c r="AK320" s="2682"/>
      <c r="AL320" s="2682"/>
      <c r="AM320" s="2682"/>
      <c r="AN320" s="2682"/>
      <c r="AO320" s="2682"/>
      <c r="AP320" s="2682"/>
      <c r="AQ320" s="2635">
        <f>'40'!S34</f>
        <v>0</v>
      </c>
      <c r="AR320" s="2635"/>
      <c r="AS320" s="2635"/>
      <c r="AT320" s="2635"/>
      <c r="AU320" s="2635"/>
      <c r="AV320" s="2635"/>
      <c r="AW320" s="2430"/>
    </row>
    <row r="321" ht="11.4" spans="3:49">
      <c r="C321" s="64"/>
      <c r="D321" s="64"/>
      <c r="E321" s="3384" t="s">
        <v>402</v>
      </c>
      <c r="F321" s="3384"/>
      <c r="G321" s="64"/>
      <c r="H321" s="64"/>
      <c r="I321" s="64"/>
      <c r="J321" s="64"/>
      <c r="K321" s="2636"/>
      <c r="L321" s="64"/>
      <c r="M321" s="64"/>
      <c r="N321" s="64"/>
      <c r="O321" s="64"/>
      <c r="P321" s="64"/>
      <c r="Q321" s="64"/>
      <c r="R321" s="64"/>
      <c r="S321" s="3067"/>
      <c r="T321" s="64"/>
      <c r="U321" s="64"/>
      <c r="V321" s="64"/>
      <c r="W321" s="64"/>
      <c r="X321" s="64"/>
      <c r="Y321" s="64"/>
      <c r="Z321" s="64"/>
      <c r="AA321" s="2682"/>
      <c r="AB321" s="2682">
        <f>+'40'!K35*10%</f>
        <v>8125106.764</v>
      </c>
      <c r="AC321" s="2682"/>
      <c r="AD321" s="2682"/>
      <c r="AE321" s="2682"/>
      <c r="AF321" s="2682"/>
      <c r="AG321" s="2682"/>
      <c r="AH321" s="2682"/>
      <c r="AI321" s="3326"/>
      <c r="AJ321" s="2682">
        <f>'40'!Q35*1%</f>
        <v>5658736.452</v>
      </c>
      <c r="AK321" s="2682"/>
      <c r="AL321" s="2682"/>
      <c r="AM321" s="2682"/>
      <c r="AN321" s="2682"/>
      <c r="AO321" s="2682"/>
      <c r="AP321" s="2682"/>
      <c r="AQ321" s="2635">
        <f>'40'!R35*1%</f>
        <v>3628000</v>
      </c>
      <c r="AR321" s="2635"/>
      <c r="AS321" s="2635"/>
      <c r="AT321" s="2635"/>
      <c r="AU321" s="2635"/>
      <c r="AV321" s="2635"/>
      <c r="AW321" s="2430"/>
    </row>
    <row r="322" ht="6.95" customHeight="1" spans="3:49">
      <c r="C322" s="64"/>
      <c r="D322" s="64"/>
      <c r="E322" s="3384"/>
      <c r="F322" s="3384"/>
      <c r="G322" s="64"/>
      <c r="H322" s="64"/>
      <c r="I322" s="64"/>
      <c r="J322" s="64"/>
      <c r="K322" s="2636"/>
      <c r="L322" s="64"/>
      <c r="M322" s="64"/>
      <c r="N322" s="64"/>
      <c r="O322" s="64"/>
      <c r="P322" s="64"/>
      <c r="Q322" s="64"/>
      <c r="R322" s="64"/>
      <c r="S322" s="3067"/>
      <c r="T322" s="64"/>
      <c r="U322" s="64"/>
      <c r="V322" s="64"/>
      <c r="W322" s="64"/>
      <c r="X322" s="64"/>
      <c r="Y322" s="64"/>
      <c r="Z322" s="64"/>
      <c r="AA322" s="2682"/>
      <c r="AB322" s="2402"/>
      <c r="AC322" s="2402"/>
      <c r="AD322" s="2402"/>
      <c r="AE322" s="2402"/>
      <c r="AF322" s="2402"/>
      <c r="AG322" s="2402"/>
      <c r="AH322" s="2402"/>
      <c r="AI322" s="3326"/>
      <c r="AJ322" s="2402"/>
      <c r="AK322" s="2402"/>
      <c r="AL322" s="2402"/>
      <c r="AM322" s="2402"/>
      <c r="AN322" s="2402"/>
      <c r="AO322" s="2402"/>
      <c r="AP322" s="2402"/>
      <c r="AQ322" s="2402"/>
      <c r="AR322" s="2402"/>
      <c r="AS322" s="2402"/>
      <c r="AT322" s="2402"/>
      <c r="AU322" s="2402"/>
      <c r="AV322" s="2402"/>
      <c r="AW322" s="1350"/>
    </row>
    <row r="323" ht="11.4" spans="3:49">
      <c r="C323" s="64"/>
      <c r="D323" s="64"/>
      <c r="E323" t="str">
        <f>[69]Catatan!$F$1909</f>
        <v>Penghasilan kena pajak</v>
      </c>
      <c r="F323"/>
      <c r="G323"/>
      <c r="H323"/>
      <c r="I323"/>
      <c r="J323"/>
      <c r="K323"/>
      <c r="L323"/>
      <c r="M323"/>
      <c r="N323"/>
      <c r="O323"/>
      <c r="P323"/>
      <c r="Q323"/>
      <c r="R323"/>
      <c r="S323"/>
      <c r="T323" s="3470"/>
      <c r="U323" s="3470"/>
      <c r="V323" s="3470"/>
      <c r="W323" s="3470"/>
      <c r="X323" s="3470"/>
      <c r="Y323" s="3470"/>
      <c r="Z323" s="3470"/>
      <c r="AA323" s="3315"/>
      <c r="AB323">
        <f>SUM(AB315:AH321)</f>
        <v>710727056.712705</v>
      </c>
      <c r="AC323"/>
      <c r="AD323"/>
      <c r="AE323"/>
      <c r="AF323"/>
      <c r="AG323"/>
      <c r="AH323"/>
      <c r="AI323" s="3326"/>
      <c r="AJ323">
        <f>SUM(AJ315:AP321)</f>
        <v>289013235.112</v>
      </c>
      <c r="AK323"/>
      <c r="AL323"/>
      <c r="AM323"/>
      <c r="AN323"/>
      <c r="AO323"/>
      <c r="AP323"/>
      <c r="AQ323" s="2623">
        <f>SUM(AQ315:AQ321)</f>
        <v>1027521564.99999</v>
      </c>
      <c r="AR323" s="2623"/>
      <c r="AS323" s="2623"/>
      <c r="AT323" s="2623"/>
      <c r="AU323" s="2623"/>
      <c r="AV323" s="2623"/>
      <c r="AW323" s="1293"/>
    </row>
    <row r="324" ht="11.4" spans="3:49">
      <c r="C324" s="64"/>
      <c r="D324" s="64"/>
      <c r="E324"/>
      <c r="F324"/>
      <c r="G324"/>
      <c r="H324"/>
      <c r="I324"/>
      <c r="J324"/>
      <c r="K324"/>
      <c r="L324"/>
      <c r="M324"/>
      <c r="N324"/>
      <c r="O324"/>
      <c r="P324"/>
      <c r="Q324"/>
      <c r="R324"/>
      <c r="S324"/>
      <c r="T324" s="3470"/>
      <c r="U324" s="3470"/>
      <c r="V324" s="3470"/>
      <c r="W324" s="3470"/>
      <c r="X324" s="3470"/>
      <c r="Y324" s="3470"/>
      <c r="Z324" s="3470"/>
      <c r="AA324" s="3315"/>
      <c r="AB324"/>
      <c r="AC324"/>
      <c r="AD324"/>
      <c r="AE324"/>
      <c r="AF324"/>
      <c r="AG324"/>
      <c r="AH324"/>
      <c r="AI324" s="3326"/>
      <c r="AJ324"/>
      <c r="AK324"/>
      <c r="AL324"/>
      <c r="AM324"/>
      <c r="AN324"/>
      <c r="AO324"/>
      <c r="AP324"/>
      <c r="AQ324" s="2623"/>
      <c r="AR324" s="2623"/>
      <c r="AS324" s="2623"/>
      <c r="AT324" s="2623"/>
      <c r="AU324" s="2623"/>
      <c r="AV324" s="2623"/>
      <c r="AW324" s="1293"/>
    </row>
    <row r="325" ht="11.4" spans="3:49">
      <c r="C325" s="64"/>
      <c r="D325" s="64"/>
      <c r="E325"/>
      <c r="F325"/>
      <c r="G325"/>
      <c r="H325"/>
      <c r="I325"/>
      <c r="J325"/>
      <c r="K325"/>
      <c r="L325"/>
      <c r="M325"/>
      <c r="N325"/>
      <c r="O325"/>
      <c r="P325"/>
      <c r="Q325"/>
      <c r="R325"/>
      <c r="S325"/>
      <c r="T325" s="3470"/>
      <c r="U325" s="3470"/>
      <c r="V325" s="3470"/>
      <c r="W325" s="3470"/>
      <c r="X325" s="3470"/>
      <c r="Y325" s="3470"/>
      <c r="Z325" s="3470"/>
      <c r="AA325" s="3315"/>
      <c r="AB325"/>
      <c r="AC325"/>
      <c r="AD325"/>
      <c r="AE325"/>
      <c r="AF325"/>
      <c r="AG325"/>
      <c r="AH325"/>
      <c r="AI325" s="3326"/>
      <c r="AJ325"/>
      <c r="AK325"/>
      <c r="AL325"/>
      <c r="AM325"/>
      <c r="AN325"/>
      <c r="AO325"/>
      <c r="AP325"/>
      <c r="AQ325" s="2623"/>
      <c r="AR325" s="2623"/>
      <c r="AS325" s="2623"/>
      <c r="AT325" s="2623"/>
      <c r="AU325" s="2623"/>
      <c r="AV325" s="2623"/>
      <c r="AW325" s="1293"/>
    </row>
    <row r="326" ht="11.4" spans="3:49">
      <c r="C326" s="64"/>
      <c r="D326" s="64"/>
      <c r="E326"/>
      <c r="F326"/>
      <c r="G326"/>
      <c r="H326"/>
      <c r="I326"/>
      <c r="J326"/>
      <c r="K326"/>
      <c r="L326"/>
      <c r="M326"/>
      <c r="N326"/>
      <c r="O326"/>
      <c r="P326"/>
      <c r="Q326"/>
      <c r="R326"/>
      <c r="S326"/>
      <c r="T326" s="3470"/>
      <c r="U326" s="3470"/>
      <c r="V326" s="3470"/>
      <c r="W326" s="3470"/>
      <c r="X326" s="3470"/>
      <c r="Y326" s="3470"/>
      <c r="Z326" s="3470"/>
      <c r="AA326" s="3315"/>
      <c r="AB326"/>
      <c r="AC326"/>
      <c r="AD326"/>
      <c r="AE326"/>
      <c r="AF326"/>
      <c r="AG326"/>
      <c r="AH326"/>
      <c r="AI326" s="3326"/>
      <c r="AJ326"/>
      <c r="AK326"/>
      <c r="AL326"/>
      <c r="AM326"/>
      <c r="AN326"/>
      <c r="AO326"/>
      <c r="AP326"/>
      <c r="AQ326" s="2623"/>
      <c r="AR326" s="2623"/>
      <c r="AS326" s="2623"/>
      <c r="AT326" s="2623"/>
      <c r="AU326" s="2623"/>
      <c r="AV326" s="2623"/>
      <c r="AW326" s="1293"/>
    </row>
    <row r="327" ht="11.4" spans="3:42">
      <c r="C327" s="64"/>
      <c r="D327" s="64"/>
      <c r="E327" s="3384"/>
      <c r="F327" s="3384"/>
      <c r="G327" s="64"/>
      <c r="H327" s="64"/>
      <c r="I327" s="64"/>
      <c r="J327" s="64"/>
      <c r="K327" s="2636"/>
      <c r="L327" s="64"/>
      <c r="M327" s="64"/>
      <c r="N327" s="64"/>
      <c r="O327" s="64"/>
      <c r="P327" s="64"/>
      <c r="Q327" s="64"/>
      <c r="R327" s="64"/>
      <c r="S327" s="3067"/>
      <c r="T327" s="64"/>
      <c r="U327" s="64"/>
      <c r="V327" s="64"/>
      <c r="W327" s="64"/>
      <c r="X327" s="64"/>
      <c r="Y327" s="64"/>
      <c r="Z327" s="64"/>
      <c r="AA327" s="2682"/>
      <c r="AB327" s="2682"/>
      <c r="AC327" s="2682"/>
      <c r="AD327" s="2682"/>
      <c r="AE327" s="2682"/>
      <c r="AF327" s="2682"/>
      <c r="AG327" s="2682"/>
      <c r="AH327" s="2682"/>
      <c r="AI327" s="3326"/>
      <c r="AJ327" s="2682"/>
      <c r="AK327" s="2682"/>
      <c r="AL327" s="2682"/>
      <c r="AM327" s="2682"/>
      <c r="AN327" s="2682"/>
      <c r="AO327" s="2682"/>
      <c r="AP327" s="2682"/>
    </row>
    <row r="328" ht="11.4" spans="1:42">
      <c r="A328" s="3385">
        <f>+A251+1</f>
        <v>12</v>
      </c>
      <c r="B328" s="3385"/>
      <c r="C328" s="3385"/>
      <c r="D328" s="3385"/>
      <c r="E328" s="3385"/>
      <c r="F328" s="3385"/>
      <c r="G328" s="3385"/>
      <c r="H328" s="3385"/>
      <c r="I328" s="3385"/>
      <c r="J328" s="3385"/>
      <c r="K328" s="3385"/>
      <c r="L328" s="3385"/>
      <c r="M328" s="3385"/>
      <c r="N328" s="3385"/>
      <c r="O328" s="3385"/>
      <c r="P328" s="3385"/>
      <c r="Q328" s="3385"/>
      <c r="R328" s="3385"/>
      <c r="S328" s="3385"/>
      <c r="T328" s="3385"/>
      <c r="U328" s="3385"/>
      <c r="V328" s="3385"/>
      <c r="W328" s="3385"/>
      <c r="X328" s="3385"/>
      <c r="Y328" s="3385"/>
      <c r="Z328" s="3385"/>
      <c r="AA328" s="3385"/>
      <c r="AB328" s="3385"/>
      <c r="AC328" s="3385"/>
      <c r="AD328" s="3385"/>
      <c r="AE328" s="3385"/>
      <c r="AF328" s="3385"/>
      <c r="AG328" s="3385"/>
      <c r="AH328" s="3385"/>
      <c r="AI328" s="3385"/>
      <c r="AJ328" s="3385"/>
      <c r="AK328" s="3385"/>
      <c r="AL328" s="3385"/>
      <c r="AM328" s="3385"/>
      <c r="AN328" s="3385"/>
      <c r="AO328" s="3385"/>
      <c r="AP328" s="3385"/>
    </row>
    <row r="329" spans="1:42">
      <c r="A329" s="3335">
        <f>+A297</f>
        <v>11</v>
      </c>
      <c r="B329" s="64"/>
      <c r="C329" s="3322" t="s">
        <v>1861</v>
      </c>
      <c r="I329" s="64"/>
      <c r="J329" s="64"/>
      <c r="K329" s="2636"/>
      <c r="L329" s="64"/>
      <c r="M329" s="64"/>
      <c r="N329" s="64"/>
      <c r="O329" s="64"/>
      <c r="P329" s="64"/>
      <c r="Q329" s="64"/>
      <c r="R329" s="64"/>
      <c r="S329" s="3067"/>
      <c r="T329" s="64"/>
      <c r="U329" s="64"/>
      <c r="V329" s="64"/>
      <c r="W329" s="64"/>
      <c r="X329" s="64"/>
      <c r="Y329" s="64"/>
      <c r="Z329" s="64"/>
      <c r="AA329" s="2682"/>
      <c r="AB329" s="2682"/>
      <c r="AC329" s="2682"/>
      <c r="AD329" s="2682"/>
      <c r="AE329" s="2682"/>
      <c r="AF329" s="2682"/>
      <c r="AG329" s="2682"/>
      <c r="AH329" s="2682"/>
      <c r="AI329" s="3326"/>
      <c r="AJ329" s="2682"/>
      <c r="AK329" s="2682"/>
      <c r="AL329" s="2682"/>
      <c r="AM329" s="2682"/>
      <c r="AN329" s="2682"/>
      <c r="AO329" s="2682"/>
      <c r="AP329" s="2682"/>
    </row>
    <row r="330" ht="9.95" customHeight="1" spans="3:42">
      <c r="C330" s="64"/>
      <c r="D330" s="64"/>
      <c r="E330" s="3384"/>
      <c r="F330" s="3384"/>
      <c r="G330" s="64"/>
      <c r="H330" s="64"/>
      <c r="I330" s="64"/>
      <c r="J330" s="64"/>
      <c r="K330" s="2636"/>
      <c r="L330" s="64"/>
      <c r="M330" s="64"/>
      <c r="N330" s="64"/>
      <c r="O330" s="64"/>
      <c r="P330" s="64"/>
      <c r="Q330" s="64"/>
      <c r="R330" s="64"/>
      <c r="S330" s="3067"/>
      <c r="T330" s="64"/>
      <c r="U330" s="64"/>
      <c r="V330" s="64"/>
      <c r="W330" s="64"/>
      <c r="X330" s="64"/>
      <c r="Y330" s="64"/>
      <c r="Z330" s="64"/>
      <c r="AA330" s="2682"/>
      <c r="AB330" s="2682"/>
      <c r="AC330" s="2682"/>
      <c r="AD330" s="2682"/>
      <c r="AE330" s="2682"/>
      <c r="AF330" s="2682"/>
      <c r="AG330" s="2682"/>
      <c r="AH330" s="2682"/>
      <c r="AI330" s="3326"/>
      <c r="AJ330" s="2682"/>
      <c r="AK330" s="2682"/>
      <c r="AL330" s="2682"/>
      <c r="AM330" s="2682"/>
      <c r="AN330" s="2682"/>
      <c r="AO330" s="2682"/>
      <c r="AP330" s="2682"/>
    </row>
    <row r="331" spans="3:49">
      <c r="C331" s="3322" t="s">
        <v>148</v>
      </c>
      <c r="D331" s="3322"/>
      <c r="E331" s="3322" t="s">
        <v>1862</v>
      </c>
      <c r="F331" s="3330"/>
      <c r="G331" s="64"/>
      <c r="H331" s="64"/>
      <c r="I331" s="64"/>
      <c r="J331" s="64"/>
      <c r="K331" s="2636"/>
      <c r="L331" s="64"/>
      <c r="M331" s="64"/>
      <c r="N331" s="64"/>
      <c r="O331" s="64"/>
      <c r="P331" s="64"/>
      <c r="Q331" s="64"/>
      <c r="R331" s="64"/>
      <c r="S331" s="3067"/>
      <c r="T331" s="64"/>
      <c r="U331" s="64"/>
      <c r="V331" s="64"/>
      <c r="W331" s="64"/>
      <c r="X331" s="64"/>
      <c r="Y331" s="64"/>
      <c r="Z331" s="64"/>
      <c r="AA331" s="2682"/>
      <c r="AB331" s="3359">
        <f>+AB313</f>
        <v>2022</v>
      </c>
      <c r="AC331" s="3360"/>
      <c r="AD331" s="3360"/>
      <c r="AE331" s="3360"/>
      <c r="AF331" s="3360"/>
      <c r="AG331" s="3360"/>
      <c r="AH331" s="3360"/>
      <c r="AI331" s="3368"/>
      <c r="AJ331" s="3359">
        <v>2021</v>
      </c>
      <c r="AK331" s="3360"/>
      <c r="AL331" s="3360"/>
      <c r="AM331" s="3360"/>
      <c r="AN331" s="3360"/>
      <c r="AO331" s="3360"/>
      <c r="AP331" s="3360"/>
      <c r="AQ331" s="3360">
        <v>2020</v>
      </c>
      <c r="AR331" s="3360"/>
      <c r="AS331" s="3360"/>
      <c r="AT331" s="3360"/>
      <c r="AU331" s="3360"/>
      <c r="AV331" s="3360"/>
      <c r="AW331" s="3381"/>
    </row>
    <row r="332" ht="9.95" customHeight="1" spans="3:42">
      <c r="C332" s="64"/>
      <c r="D332" s="64"/>
      <c r="E332" s="3384"/>
      <c r="F332" s="3384"/>
      <c r="G332" s="64"/>
      <c r="H332" s="64"/>
      <c r="I332" s="64"/>
      <c r="J332" s="64"/>
      <c r="K332" s="2636"/>
      <c r="L332" s="64"/>
      <c r="M332" s="64"/>
      <c r="N332" s="64"/>
      <c r="O332" s="64"/>
      <c r="P332" s="64"/>
      <c r="Q332" s="64"/>
      <c r="R332" s="64"/>
      <c r="S332" s="3067"/>
      <c r="T332" s="64"/>
      <c r="U332" s="64"/>
      <c r="V332" s="64"/>
      <c r="W332" s="64"/>
      <c r="X332" s="64"/>
      <c r="Y332" s="64"/>
      <c r="Z332" s="64"/>
      <c r="AA332" s="2682"/>
      <c r="AB332" s="2682"/>
      <c r="AC332" s="2682"/>
      <c r="AD332" s="2682"/>
      <c r="AE332" s="2682"/>
      <c r="AF332" s="2682"/>
      <c r="AG332" s="2682"/>
      <c r="AH332" s="2682"/>
      <c r="AI332" s="3326"/>
      <c r="AJ332" s="2682"/>
      <c r="AK332" s="2682"/>
      <c r="AL332" s="2682"/>
      <c r="AM332" s="2682"/>
      <c r="AN332" s="2682"/>
      <c r="AO332" s="2682"/>
      <c r="AP332" s="2682"/>
    </row>
    <row r="333" ht="11.4" spans="3:49">
      <c r="C333" s="64"/>
      <c r="D333" s="64"/>
      <c r="E333" s="3384" t="str">
        <f>+E323</f>
        <v>Penghasilan kena pajak</v>
      </c>
      <c r="F333" s="3384"/>
      <c r="G333" s="64"/>
      <c r="H333" s="64"/>
      <c r="I333" s="64"/>
      <c r="J333" s="64"/>
      <c r="K333" s="2636"/>
      <c r="L333" s="64"/>
      <c r="M333" s="64"/>
      <c r="N333" s="64"/>
      <c r="O333" s="64"/>
      <c r="P333" s="64"/>
      <c r="Q333" s="64"/>
      <c r="R333" s="64"/>
      <c r="S333" s="3067"/>
      <c r="T333" s="64"/>
      <c r="U333" s="64"/>
      <c r="V333" s="64"/>
      <c r="W333" s="64"/>
      <c r="X333" s="64"/>
      <c r="Y333" s="64"/>
      <c r="Z333" s="64"/>
      <c r="AA333" s="2682"/>
      <c r="AB333" s="2682">
        <f>+AB323</f>
        <v>710727056.712705</v>
      </c>
      <c r="AC333" s="2682"/>
      <c r="AD333" s="2682"/>
      <c r="AE333" s="2682"/>
      <c r="AF333" s="2682"/>
      <c r="AG333" s="2682"/>
      <c r="AH333" s="2682"/>
      <c r="AI333" s="3326"/>
      <c r="AJ333" s="2682">
        <f>+AJ323</f>
        <v>289013235.112</v>
      </c>
      <c r="AK333" s="2682"/>
      <c r="AL333" s="2682"/>
      <c r="AM333" s="2682"/>
      <c r="AN333" s="2682"/>
      <c r="AO333" s="2682"/>
      <c r="AP333" s="2682"/>
      <c r="AQ333" s="2635">
        <f>+AQ323</f>
        <v>1027521564.99999</v>
      </c>
      <c r="AR333" s="2635"/>
      <c r="AS333" s="2635"/>
      <c r="AT333" s="2635"/>
      <c r="AU333" s="2635"/>
      <c r="AV333" s="2635"/>
      <c r="AW333" s="2430"/>
    </row>
    <row r="334" ht="11.4" spans="3:42">
      <c r="C334" s="64"/>
      <c r="D334" s="64"/>
      <c r="E334" s="3384"/>
      <c r="F334" s="3384"/>
      <c r="G334" s="64"/>
      <c r="H334" s="64"/>
      <c r="I334" s="64"/>
      <c r="J334" s="64"/>
      <c r="K334" s="2636"/>
      <c r="L334" s="64"/>
      <c r="M334" s="64"/>
      <c r="N334" s="64"/>
      <c r="O334" s="64"/>
      <c r="P334" s="64"/>
      <c r="Q334" s="64"/>
      <c r="R334" s="64"/>
      <c r="S334" s="3067"/>
      <c r="T334" s="64"/>
      <c r="U334" s="64"/>
      <c r="V334" s="64"/>
      <c r="W334" s="64"/>
      <c r="X334" s="64"/>
      <c r="Y334" s="64"/>
      <c r="Z334" s="64"/>
      <c r="AA334" s="2682"/>
      <c r="AB334" s="2682"/>
      <c r="AC334" s="2682"/>
      <c r="AD334" s="2682"/>
      <c r="AE334" s="2682"/>
      <c r="AF334" s="2682"/>
      <c r="AG334" s="2682"/>
      <c r="AH334" s="2682"/>
      <c r="AI334" s="3326"/>
      <c r="AJ334" s="2682"/>
      <c r="AK334" s="2682"/>
      <c r="AL334" s="2682"/>
      <c r="AM334" s="2682"/>
      <c r="AN334" s="2682"/>
      <c r="AO334" s="2682"/>
      <c r="AP334" s="2682"/>
    </row>
    <row r="335" spans="5:41">
      <c r="E335" s="94" t="str">
        <f>[69]Catatan!$F$1911</f>
        <v>Perhitungan Pajak Penghasilan :</v>
      </c>
      <c r="F335"/>
      <c r="G335"/>
      <c r="H335"/>
      <c r="I335"/>
      <c r="J335"/>
      <c r="K335"/>
      <c r="L335"/>
      <c r="M335"/>
      <c r="N335"/>
      <c r="O335" s="64"/>
      <c r="P335" s="64"/>
      <c r="Q335" s="64"/>
      <c r="R335" s="64"/>
      <c r="S335" s="64"/>
      <c r="T335" s="64"/>
      <c r="U335" s="64"/>
      <c r="V335" s="64"/>
      <c r="W335" s="64"/>
      <c r="X335" s="64"/>
      <c r="Y335" s="64"/>
      <c r="Z335" s="64"/>
      <c r="AA335" s="64"/>
      <c r="AB335" s="2682"/>
      <c r="AC335" s="2682"/>
      <c r="AD335" s="2682"/>
      <c r="AE335" s="2682"/>
      <c r="AF335" s="2682"/>
      <c r="AG335" s="2682"/>
      <c r="AH335" s="2682"/>
      <c r="AI335" s="3326"/>
      <c r="AJ335" s="3326"/>
      <c r="AN335" s="3326"/>
      <c r="AO335" s="3326"/>
    </row>
    <row r="336" ht="11.4" spans="5:42">
      <c r="E336" s="3458" t="s">
        <v>1864</v>
      </c>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2402"/>
      <c r="AF336" s="2402"/>
      <c r="AG336" s="2402"/>
      <c r="AH336" s="2402"/>
      <c r="AI336" s="3334"/>
      <c r="AJ336" s="3334"/>
      <c r="AK336" s="3477"/>
      <c r="AL336" s="3334"/>
      <c r="AM336" s="3334"/>
      <c r="AN336" s="3334"/>
      <c r="AO336" s="3334"/>
      <c r="AP336" s="3334"/>
    </row>
    <row r="337" ht="11.4" spans="5:42">
      <c r="E337" s="64"/>
      <c r="F337" s="3459" t="s">
        <v>1020</v>
      </c>
      <c r="G337" s="3459"/>
      <c r="H337" s="3459"/>
      <c r="I337" s="3459"/>
      <c r="J337" s="3459"/>
      <c r="K337" s="3465" t="s">
        <v>210</v>
      </c>
      <c r="M337" s="3466">
        <v>4800000000</v>
      </c>
      <c r="N337" s="3466"/>
      <c r="O337" s="3466"/>
      <c r="P337" s="3466"/>
      <c r="Q337" s="3466"/>
      <c r="R337" s="3466"/>
      <c r="T337" s="3471" t="s">
        <v>171</v>
      </c>
      <c r="U337" s="3471" t="s">
        <v>210</v>
      </c>
      <c r="V337" s="3472">
        <f>AB333</f>
        <v>710727056.712705</v>
      </c>
      <c r="W337" s="3472"/>
      <c r="X337" s="3472"/>
      <c r="Y337" s="3472"/>
      <c r="Z337" s="3472"/>
      <c r="AA337" s="3472"/>
      <c r="AB337" s="3472"/>
      <c r="AC337" s="3460">
        <f>+M337/M338*V337</f>
        <v>456410084.692969</v>
      </c>
      <c r="AD337" s="3460"/>
      <c r="AE337" s="3460"/>
      <c r="AF337" s="3460"/>
      <c r="AG337" s="3460"/>
      <c r="AH337" s="3460"/>
      <c r="AI337" s="3460"/>
      <c r="AJ337" s="3326"/>
      <c r="AK337">
        <v>0</v>
      </c>
      <c r="AL337"/>
      <c r="AM337"/>
      <c r="AN337"/>
      <c r="AO337"/>
      <c r="AP337"/>
    </row>
    <row r="338" ht="11.4" spans="5:42">
      <c r="E338" s="64"/>
      <c r="F338" s="3459"/>
      <c r="G338" s="3459"/>
      <c r="H338" s="3459"/>
      <c r="I338" s="3459"/>
      <c r="J338" s="3459"/>
      <c r="K338" s="3465"/>
      <c r="M338" s="3467">
        <f>+'F3'!F13</f>
        <v>7474615453.59131</v>
      </c>
      <c r="N338" s="3467"/>
      <c r="O338" s="3467"/>
      <c r="P338" s="3467"/>
      <c r="Q338" s="3467"/>
      <c r="R338" s="3467"/>
      <c r="T338" s="3471"/>
      <c r="U338" s="3471"/>
      <c r="V338" s="3472"/>
      <c r="W338" s="3472"/>
      <c r="X338" s="3472"/>
      <c r="Y338" s="3472"/>
      <c r="Z338" s="3472"/>
      <c r="AA338" s="3472"/>
      <c r="AB338" s="3472"/>
      <c r="AC338" s="3460"/>
      <c r="AD338" s="3460"/>
      <c r="AE338" s="3460"/>
      <c r="AF338" s="3460"/>
      <c r="AG338" s="3460"/>
      <c r="AH338" s="3460"/>
      <c r="AI338" s="3460"/>
      <c r="AJ338" s="3326"/>
      <c r="AK338" s="3460"/>
      <c r="AL338" s="3460"/>
      <c r="AM338" s="3460"/>
      <c r="AN338" s="3460"/>
      <c r="AO338" s="3460"/>
      <c r="AP338" s="3460"/>
    </row>
    <row r="339" ht="7.5" customHeight="1" spans="5:41">
      <c r="E339" s="64"/>
      <c r="F339"/>
      <c r="N339" s="64"/>
      <c r="O339" s="64"/>
      <c r="P339" s="64"/>
      <c r="Q339" s="64"/>
      <c r="R339" s="64"/>
      <c r="S339" s="64"/>
      <c r="T339" s="64"/>
      <c r="U339" s="64"/>
      <c r="V339" s="64"/>
      <c r="W339" s="64"/>
      <c r="X339" s="64"/>
      <c r="Y339" s="64"/>
      <c r="Z339" s="64"/>
      <c r="AA339" s="64"/>
      <c r="AB339" s="64"/>
      <c r="AC339" s="64"/>
      <c r="AD339" s="64"/>
      <c r="AE339" s="64"/>
      <c r="AF339" s="64"/>
      <c r="AG339" s="64"/>
      <c r="AH339" s="64"/>
      <c r="AJ339" s="3326"/>
      <c r="AK339" s="3326"/>
      <c r="AL339" s="3330"/>
      <c r="AN339" s="3326"/>
      <c r="AO339" s="3326"/>
    </row>
    <row r="340" ht="11.4" spans="5:42">
      <c r="E340" s="64"/>
      <c r="F340" s="3459" t="s">
        <v>1815</v>
      </c>
      <c r="G340" s="3459"/>
      <c r="H340" s="3459"/>
      <c r="I340" s="3459"/>
      <c r="J340" s="3459"/>
      <c r="K340" s="3465" t="s">
        <v>210</v>
      </c>
      <c r="M340" s="3466">
        <v>4800000000</v>
      </c>
      <c r="N340" s="3466"/>
      <c r="O340" s="3466"/>
      <c r="P340" s="3466"/>
      <c r="Q340" s="3466"/>
      <c r="R340" s="3466"/>
      <c r="S340" s="64"/>
      <c r="T340" s="3471" t="s">
        <v>171</v>
      </c>
      <c r="U340" s="3471" t="s">
        <v>210</v>
      </c>
      <c r="V340" s="3472">
        <f>AJ333</f>
        <v>289013235.112</v>
      </c>
      <c r="W340" s="3472"/>
      <c r="X340" s="3472"/>
      <c r="Y340" s="3472"/>
      <c r="Z340" s="3472"/>
      <c r="AA340" s="3472"/>
      <c r="AB340" s="3472"/>
      <c r="AC340" s="3460">
        <v>0</v>
      </c>
      <c r="AD340" s="3460"/>
      <c r="AE340" s="3460"/>
      <c r="AF340" s="3460"/>
      <c r="AG340" s="3460"/>
      <c r="AH340" s="3460"/>
      <c r="AI340" s="3460"/>
      <c r="AJ340" s="3326"/>
      <c r="AK340" s="3460">
        <f>+M340/M341*V340</f>
        <v>249889912.257391</v>
      </c>
      <c r="AL340" s="3460"/>
      <c r="AM340" s="3460"/>
      <c r="AN340" s="3460"/>
      <c r="AO340" s="3460"/>
      <c r="AP340" s="3460"/>
    </row>
    <row r="341" ht="11.4" spans="5:42">
      <c r="E341" s="64"/>
      <c r="F341" s="3459"/>
      <c r="G341" s="3459"/>
      <c r="H341" s="3459"/>
      <c r="I341" s="3459"/>
      <c r="J341" s="3459"/>
      <c r="K341" s="3465"/>
      <c r="M341" s="3467">
        <f>+'F3'!L13</f>
        <v>5551498722</v>
      </c>
      <c r="N341" s="3467"/>
      <c r="O341" s="3467"/>
      <c r="P341" s="3467"/>
      <c r="Q341" s="3467"/>
      <c r="R341" s="3467"/>
      <c r="S341" s="64"/>
      <c r="T341" s="3471"/>
      <c r="U341" s="3471"/>
      <c r="V341" s="3472"/>
      <c r="W341" s="3472"/>
      <c r="X341" s="3472"/>
      <c r="Y341" s="3472"/>
      <c r="Z341" s="3472"/>
      <c r="AA341" s="3472"/>
      <c r="AB341" s="3472"/>
      <c r="AC341" s="3460"/>
      <c r="AD341" s="3460"/>
      <c r="AE341" s="3460"/>
      <c r="AF341" s="3460"/>
      <c r="AG341" s="3460"/>
      <c r="AH341" s="3460"/>
      <c r="AI341" s="3460"/>
      <c r="AJ341" s="3326"/>
      <c r="AK341" s="3460"/>
      <c r="AL341" s="3460"/>
      <c r="AM341" s="3460"/>
      <c r="AN341" s="3460"/>
      <c r="AO341" s="3460"/>
      <c r="AP341" s="3460"/>
    </row>
    <row r="342" ht="6.95" customHeight="1" spans="5:42">
      <c r="E342" s="64"/>
      <c r="F342" s="3459"/>
      <c r="G342" s="3459"/>
      <c r="H342" s="3459"/>
      <c r="I342" s="3459"/>
      <c r="J342" s="3459"/>
      <c r="K342" s="3465"/>
      <c r="M342" s="3468"/>
      <c r="N342" s="3468"/>
      <c r="O342" s="3468"/>
      <c r="P342" s="3468"/>
      <c r="Q342" s="3468"/>
      <c r="R342" s="3468"/>
      <c r="S342" s="64"/>
      <c r="T342" s="3471"/>
      <c r="U342" s="3471"/>
      <c r="V342" s="3472"/>
      <c r="W342" s="3472"/>
      <c r="X342" s="3472"/>
      <c r="Y342" s="3472"/>
      <c r="Z342" s="3472"/>
      <c r="AA342" s="3472"/>
      <c r="AB342" s="3472"/>
      <c r="AC342" s="3460"/>
      <c r="AD342" s="3460"/>
      <c r="AE342" s="3460"/>
      <c r="AF342" s="3460"/>
      <c r="AG342" s="3460"/>
      <c r="AH342" s="3460"/>
      <c r="AI342" s="3460"/>
      <c r="AJ342" s="3326"/>
      <c r="AK342" s="3460"/>
      <c r="AL342" s="3460"/>
      <c r="AM342" s="3460"/>
      <c r="AN342" s="3460"/>
      <c r="AO342" s="3460"/>
      <c r="AP342" s="3460"/>
    </row>
    <row r="343" customHeight="1" spans="1:42">
      <c r="A343"/>
      <c r="B343"/>
      <c r="C343"/>
      <c r="D343"/>
      <c r="E343" s="3458" t="s">
        <v>1865</v>
      </c>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2402"/>
      <c r="AF343" s="2402"/>
      <c r="AG343" s="2402"/>
      <c r="AH343" s="2402"/>
      <c r="AI343" s="3334"/>
      <c r="AJ343" s="3334"/>
      <c r="AK343" s="3477"/>
      <c r="AL343" s="3334"/>
      <c r="AM343" s="3334"/>
      <c r="AN343" s="3334"/>
      <c r="AO343" s="3334"/>
      <c r="AP343" s="3334"/>
    </row>
    <row r="344" customHeight="1" spans="1:42">
      <c r="A344"/>
      <c r="B344"/>
      <c r="C344"/>
      <c r="D344"/>
      <c r="E344" s="3459" t="str">
        <f>+F337</f>
        <v>Tahun 2022</v>
      </c>
      <c r="F344" s="3460"/>
      <c r="G344" s="3460"/>
      <c r="H344" s="3460"/>
      <c r="I344" s="3460"/>
      <c r="J344" s="3460"/>
      <c r="K344" s="3326" t="s">
        <v>210</v>
      </c>
      <c r="M344" s="3468">
        <f>V337</f>
        <v>710727056.712705</v>
      </c>
      <c r="N344" s="3468"/>
      <c r="O344" s="3468"/>
      <c r="P344" s="3468"/>
      <c r="Q344" s="3468"/>
      <c r="R344" s="3468"/>
      <c r="T344" s="3471" t="s">
        <v>1866</v>
      </c>
      <c r="U344" s="3460">
        <f>AC337</f>
        <v>456410084.692969</v>
      </c>
      <c r="V344" s="3460"/>
      <c r="W344" s="3460"/>
      <c r="X344" s="3460"/>
      <c r="Y344" s="3460"/>
      <c r="Z344" s="3460"/>
      <c r="AA344" s="3474" t="s">
        <v>210</v>
      </c>
      <c r="AB344"/>
      <c r="AC344">
        <f>M344-U344</f>
        <v>254316972.019736</v>
      </c>
      <c r="AD344"/>
      <c r="AE344"/>
      <c r="AF344"/>
      <c r="AG344"/>
      <c r="AH344"/>
      <c r="AI344"/>
      <c r="AJ344" s="3460">
        <v>0</v>
      </c>
      <c r="AK344" s="3460"/>
      <c r="AL344" s="3460"/>
      <c r="AM344" s="3460"/>
      <c r="AN344" s="3460"/>
      <c r="AO344" s="3460"/>
      <c r="AP344" s="3460"/>
    </row>
    <row r="345" ht="4.5" customHeight="1" spans="1:41">
      <c r="A345"/>
      <c r="B345"/>
      <c r="C345"/>
      <c r="D345"/>
      <c r="E345"/>
      <c r="M345" s="64"/>
      <c r="N345" s="64"/>
      <c r="O345" s="64"/>
      <c r="P345" s="64"/>
      <c r="Q345" s="64"/>
      <c r="R345" s="64"/>
      <c r="T345" s="64"/>
      <c r="U345" s="64"/>
      <c r="V345" s="64"/>
      <c r="W345" s="64"/>
      <c r="X345" s="64"/>
      <c r="Y345" s="64"/>
      <c r="Z345" s="64"/>
      <c r="AA345" s="64"/>
      <c r="AB345" s="64"/>
      <c r="AC345" s="64"/>
      <c r="AD345" s="64"/>
      <c r="AE345" s="64"/>
      <c r="AF345" s="64"/>
      <c r="AG345" s="64"/>
      <c r="AH345" s="64"/>
      <c r="AI345" s="3326"/>
      <c r="AJ345" s="3326"/>
      <c r="AN345" s="3326"/>
      <c r="AO345" s="3326"/>
    </row>
    <row r="346" customHeight="1" spans="1:42">
      <c r="A346"/>
      <c r="B346"/>
      <c r="C346"/>
      <c r="D346"/>
      <c r="E346" s="3459" t="str">
        <f>+F340</f>
        <v>Tahun 2021</v>
      </c>
      <c r="F346" s="3460"/>
      <c r="G346" s="3460"/>
      <c r="H346" s="3460"/>
      <c r="I346" s="3460"/>
      <c r="J346" s="3460"/>
      <c r="K346" s="3326" t="s">
        <v>210</v>
      </c>
      <c r="M346" s="3468">
        <f>V340</f>
        <v>289013235.112</v>
      </c>
      <c r="N346" s="3468"/>
      <c r="O346" s="3468"/>
      <c r="P346" s="3468"/>
      <c r="Q346" s="3468"/>
      <c r="R346" s="3468"/>
      <c r="T346" s="3471" t="s">
        <v>1866</v>
      </c>
      <c r="U346" s="3460">
        <f>AK340</f>
        <v>249889912.257391</v>
      </c>
      <c r="V346" s="3460"/>
      <c r="W346" s="3460"/>
      <c r="X346" s="3460"/>
      <c r="Y346" s="3460"/>
      <c r="Z346" s="3460"/>
      <c r="AA346" s="3474" t="s">
        <v>210</v>
      </c>
      <c r="AB346"/>
      <c r="AC346" s="3460">
        <v>0</v>
      </c>
      <c r="AD346" s="3460"/>
      <c r="AE346" s="3460"/>
      <c r="AF346" s="3460"/>
      <c r="AG346" s="3460"/>
      <c r="AH346" s="3460"/>
      <c r="AI346" s="3460"/>
      <c r="AJ346" s="3460">
        <f>M346-U346</f>
        <v>39123322.8546087</v>
      </c>
      <c r="AK346" s="3460"/>
      <c r="AL346" s="3460"/>
      <c r="AM346" s="3460"/>
      <c r="AN346" s="3460"/>
      <c r="AO346" s="3460"/>
      <c r="AP346" s="3460"/>
    </row>
    <row r="347" ht="9" customHeight="1" spans="1:42">
      <c r="A347"/>
      <c r="B347"/>
      <c r="C347"/>
      <c r="D347"/>
      <c r="E347" s="3459"/>
      <c r="F347" s="3460"/>
      <c r="G347" s="3460"/>
      <c r="H347" s="3460"/>
      <c r="I347" s="3460"/>
      <c r="J347" s="3460"/>
      <c r="M347" s="3468"/>
      <c r="N347" s="3468"/>
      <c r="O347" s="3468"/>
      <c r="P347" s="3468"/>
      <c r="Q347" s="3468"/>
      <c r="R347" s="3468"/>
      <c r="T347" s="3471"/>
      <c r="U347" s="3460"/>
      <c r="V347" s="3460"/>
      <c r="W347" s="3460"/>
      <c r="X347" s="3460"/>
      <c r="Y347" s="3460"/>
      <c r="Z347" s="3460"/>
      <c r="AA347" s="3474"/>
      <c r="AB347"/>
      <c r="AC347" s="3460"/>
      <c r="AD347" s="3460"/>
      <c r="AE347" s="3460"/>
      <c r="AF347" s="3460"/>
      <c r="AG347" s="3460"/>
      <c r="AH347" s="3460"/>
      <c r="AI347" s="3460"/>
      <c r="AJ347" s="3460"/>
      <c r="AK347" s="3460"/>
      <c r="AL347" s="3460"/>
      <c r="AM347" s="3460"/>
      <c r="AN347" s="3460"/>
      <c r="AO347" s="3460"/>
      <c r="AP347" s="3460"/>
    </row>
    <row r="348" customHeight="1" spans="1:41">
      <c r="A348" s="64"/>
      <c r="B348" s="64"/>
      <c r="C348" s="64"/>
      <c r="D348"/>
      <c r="E348" s="3461" t="s">
        <v>1867</v>
      </c>
      <c r="F348" s="3462"/>
      <c r="G348" s="3462"/>
      <c r="H348" s="3"/>
      <c r="I348" s="1"/>
      <c r="J348" s="1"/>
      <c r="K348" s="1"/>
      <c r="L348" s="1"/>
      <c r="M348" s="1"/>
      <c r="N348" s="1"/>
      <c r="O348" s="1"/>
      <c r="P348" s="1"/>
      <c r="Q348" s="1"/>
      <c r="R348" s="1"/>
      <c r="S348" s="1"/>
      <c r="T348" s="3473"/>
      <c r="U348" s="1"/>
      <c r="V348" s="3473"/>
      <c r="W348" s="3473"/>
      <c r="X348" s="3473"/>
      <c r="Y348" s="3473"/>
      <c r="Z348" s="3473"/>
      <c r="AA348" s="3473"/>
      <c r="AB348" s="3473"/>
      <c r="AC348" s="3473"/>
      <c r="AD348" s="3473"/>
      <c r="AE348"/>
      <c r="AF348"/>
      <c r="AG348"/>
      <c r="AH348"/>
      <c r="AI348" s="3326"/>
      <c r="AJ348" s="3326"/>
      <c r="AN348" s="3326"/>
      <c r="AO348" s="3326"/>
    </row>
    <row r="349" customHeight="1" spans="1:42">
      <c r="A349" s="64"/>
      <c r="B349" s="64"/>
      <c r="C349" s="64"/>
      <c r="D349"/>
      <c r="E349" s="3459" t="s">
        <v>1020</v>
      </c>
      <c r="F349" s="3460"/>
      <c r="G349" s="3460"/>
      <c r="H349" s="3460"/>
      <c r="I349" s="3460"/>
      <c r="J349" s="3460"/>
      <c r="K349" s="3326" t="s">
        <v>210</v>
      </c>
      <c r="L349" s="3469">
        <v>0.22</v>
      </c>
      <c r="M349" s="2878"/>
      <c r="N349" s="2878"/>
      <c r="O349" s="2878" t="s">
        <v>171</v>
      </c>
      <c r="P349" s="3469">
        <v>0.5</v>
      </c>
      <c r="Q349" s="2878"/>
      <c r="R349" s="2878"/>
      <c r="S349" s="2878" t="s">
        <v>171</v>
      </c>
      <c r="U349" s="3459">
        <f>U344</f>
        <v>456410084.692969</v>
      </c>
      <c r="V349" s="3459"/>
      <c r="W349" s="3459"/>
      <c r="X349" s="3459"/>
      <c r="Y349" s="3459"/>
      <c r="Z349" s="3459"/>
      <c r="AA349" s="3459" t="s">
        <v>210</v>
      </c>
      <c r="AB349" s="3459">
        <f>+U349*P349*L349</f>
        <v>50205109.3162265</v>
      </c>
      <c r="AC349" s="3459"/>
      <c r="AD349" s="3459"/>
      <c r="AE349" s="3459"/>
      <c r="AF349" s="3459"/>
      <c r="AG349" s="3459"/>
      <c r="AH349" s="3459"/>
      <c r="AI349" s="3326"/>
      <c r="AJ349" s="3460">
        <v>0</v>
      </c>
      <c r="AK349" s="3460"/>
      <c r="AL349" s="3460"/>
      <c r="AM349" s="3460"/>
      <c r="AN349" s="3460"/>
      <c r="AO349" s="3460"/>
      <c r="AP349" s="3460"/>
    </row>
    <row r="350" customHeight="1" spans="1:42">
      <c r="A350" s="64"/>
      <c r="B350" s="64"/>
      <c r="C350" s="64"/>
      <c r="D350"/>
      <c r="H350"/>
      <c r="I350"/>
      <c r="J350"/>
      <c r="K350" s="3326" t="s">
        <v>210</v>
      </c>
      <c r="L350" s="724">
        <v>0.22</v>
      </c>
      <c r="M350" s="724"/>
      <c r="N350" s="724"/>
      <c r="O350" s="1"/>
      <c r="P350" s="1"/>
      <c r="Q350" s="1"/>
      <c r="R350" s="1"/>
      <c r="S350" s="2878" t="s">
        <v>171</v>
      </c>
      <c r="U350">
        <f>AC344</f>
        <v>254316972.019736</v>
      </c>
      <c r="V350"/>
      <c r="W350"/>
      <c r="X350"/>
      <c r="Y350"/>
      <c r="Z350"/>
      <c r="AA350" s="3473" t="s">
        <v>210</v>
      </c>
      <c r="AB350">
        <f>+U350*L350</f>
        <v>55949733.8443419</v>
      </c>
      <c r="AC350"/>
      <c r="AD350"/>
      <c r="AE350"/>
      <c r="AF350"/>
      <c r="AG350"/>
      <c r="AH350"/>
      <c r="AI350" s="3326"/>
      <c r="AJ350" s="3460">
        <v>0</v>
      </c>
      <c r="AK350" s="3460"/>
      <c r="AL350" s="3460"/>
      <c r="AM350" s="3460"/>
      <c r="AN350" s="3460"/>
      <c r="AO350" s="3460"/>
      <c r="AP350" s="3460"/>
    </row>
    <row r="351" customHeight="1" spans="1:42">
      <c r="A351" s="64"/>
      <c r="B351" s="64"/>
      <c r="C351" s="64"/>
      <c r="D351"/>
      <c r="F351" s="94" t="s">
        <v>2102</v>
      </c>
      <c r="G351"/>
      <c r="H351"/>
      <c r="I351"/>
      <c r="J351"/>
      <c r="L351" s="1540"/>
      <c r="M351" s="1540"/>
      <c r="N351" s="1540"/>
      <c r="O351" s="94"/>
      <c r="P351" s="94"/>
      <c r="Q351" s="94"/>
      <c r="R351" s="94"/>
      <c r="S351" s="94"/>
      <c r="T351" s="22"/>
      <c r="U351" s="3464"/>
      <c r="V351" s="94"/>
      <c r="W351" s="94"/>
      <c r="X351" s="94"/>
      <c r="Y351" s="94"/>
      <c r="Z351" s="94"/>
      <c r="AA351" s="94"/>
      <c r="AB351" s="3324">
        <f>SUM(AB349:AH350)</f>
        <v>106154843.160568</v>
      </c>
      <c r="AC351" s="3324"/>
      <c r="AD351" s="3324"/>
      <c r="AE351" s="3324"/>
      <c r="AF351" s="3324"/>
      <c r="AG351" s="3324"/>
      <c r="AH351" s="3324"/>
      <c r="AI351" s="3326"/>
      <c r="AJ351" s="3460">
        <v>0</v>
      </c>
      <c r="AK351" s="3460"/>
      <c r="AL351" s="3460"/>
      <c r="AM351" s="3460"/>
      <c r="AN351" s="3460"/>
      <c r="AO351" s="3460"/>
      <c r="AP351" s="3460"/>
    </row>
    <row r="352" ht="9" customHeight="1" spans="1:41">
      <c r="A352" s="64"/>
      <c r="B352" s="64"/>
      <c r="C352" s="64"/>
      <c r="D352"/>
      <c r="F352"/>
      <c r="G352"/>
      <c r="H352"/>
      <c r="I352"/>
      <c r="J352"/>
      <c r="K352"/>
      <c r="L352" s="2542"/>
      <c r="M352" s="2542"/>
      <c r="N352" s="2542"/>
      <c r="O352"/>
      <c r="P352"/>
      <c r="Q352"/>
      <c r="R352"/>
      <c r="S352"/>
      <c r="T352" s="1"/>
      <c r="V352"/>
      <c r="W352"/>
      <c r="X352"/>
      <c r="Y352"/>
      <c r="Z352"/>
      <c r="AA352"/>
      <c r="AB352"/>
      <c r="AC352"/>
      <c r="AD352"/>
      <c r="AE352"/>
      <c r="AF352"/>
      <c r="AG352"/>
      <c r="AH352"/>
      <c r="AI352" s="3326"/>
      <c r="AJ352" s="3326"/>
      <c r="AN352" s="3326"/>
      <c r="AO352" s="3326"/>
    </row>
    <row r="353" customHeight="1" spans="1:42">
      <c r="A353" s="64"/>
      <c r="B353" s="64"/>
      <c r="C353" s="64"/>
      <c r="D353"/>
      <c r="E353" s="3459" t="s">
        <v>1815</v>
      </c>
      <c r="F353" s="3460"/>
      <c r="G353" s="3460"/>
      <c r="H353" s="3460"/>
      <c r="I353" s="3460"/>
      <c r="J353" s="3460"/>
      <c r="K353" s="3326" t="s">
        <v>210</v>
      </c>
      <c r="L353" s="3469">
        <v>0.22</v>
      </c>
      <c r="M353" s="2878"/>
      <c r="N353" s="2878"/>
      <c r="O353" s="2878" t="s">
        <v>171</v>
      </c>
      <c r="P353" s="3469">
        <v>0.5</v>
      </c>
      <c r="Q353" s="2878"/>
      <c r="R353" s="2878"/>
      <c r="S353" s="2878" t="s">
        <v>171</v>
      </c>
      <c r="U353" s="3459">
        <f>U346</f>
        <v>249889912.257391</v>
      </c>
      <c r="V353" s="3459"/>
      <c r="W353" s="3459"/>
      <c r="X353" s="3459"/>
      <c r="Y353" s="3459"/>
      <c r="Z353" s="3459"/>
      <c r="AA353" s="3459" t="s">
        <v>210</v>
      </c>
      <c r="AB353" s="3460">
        <v>0</v>
      </c>
      <c r="AC353" s="3460"/>
      <c r="AD353" s="3460"/>
      <c r="AE353" s="3460"/>
      <c r="AF353" s="3460"/>
      <c r="AG353" s="3460"/>
      <c r="AH353" s="3460"/>
      <c r="AI353" s="3326"/>
      <c r="AJ353" s="3459">
        <f>+U353*P353*L353</f>
        <v>27487890.348313</v>
      </c>
      <c r="AK353" s="3459"/>
      <c r="AL353" s="3459"/>
      <c r="AM353" s="3459"/>
      <c r="AN353" s="3459"/>
      <c r="AO353" s="3459"/>
      <c r="AP353" s="3459"/>
    </row>
    <row r="354" customHeight="1" spans="1:42">
      <c r="A354" s="64"/>
      <c r="B354" s="64"/>
      <c r="C354" s="64"/>
      <c r="D354"/>
      <c r="H354"/>
      <c r="I354"/>
      <c r="J354"/>
      <c r="K354" s="3326" t="s">
        <v>210</v>
      </c>
      <c r="L354" s="724">
        <v>0.22</v>
      </c>
      <c r="M354" s="724"/>
      <c r="N354" s="724"/>
      <c r="O354" s="1"/>
      <c r="P354" s="1"/>
      <c r="Q354" s="1"/>
      <c r="R354" s="1"/>
      <c r="S354" s="2878" t="s">
        <v>171</v>
      </c>
      <c r="T354" s="93">
        <f>AJ346</f>
        <v>39123322.8546087</v>
      </c>
      <c r="U354" s="93"/>
      <c r="V354" s="93"/>
      <c r="W354" s="93"/>
      <c r="X354" s="93"/>
      <c r="Y354" s="93"/>
      <c r="Z354" s="93"/>
      <c r="AA354" s="3473" t="s">
        <v>210</v>
      </c>
      <c r="AB354" s="3460">
        <v>0</v>
      </c>
      <c r="AC354" s="3460"/>
      <c r="AD354" s="3460"/>
      <c r="AE354" s="3460"/>
      <c r="AF354" s="3460"/>
      <c r="AG354" s="3460"/>
      <c r="AH354" s="3460"/>
      <c r="AI354" s="3326"/>
      <c r="AJ354">
        <f>+T354*L354</f>
        <v>8607131.02801391</v>
      </c>
      <c r="AK354"/>
      <c r="AL354"/>
      <c r="AM354"/>
      <c r="AN354"/>
      <c r="AO354"/>
      <c r="AP354"/>
    </row>
    <row r="355" customHeight="1" spans="1:43">
      <c r="A355" s="64"/>
      <c r="B355" s="64"/>
      <c r="C355" s="64"/>
      <c r="D355"/>
      <c r="F355" s="94" t="s">
        <v>2103</v>
      </c>
      <c r="G355" s="94"/>
      <c r="H355" s="94"/>
      <c r="I355" s="94"/>
      <c r="J355" s="94"/>
      <c r="K355" s="94"/>
      <c r="L355" s="94"/>
      <c r="M355" s="94"/>
      <c r="N355" s="94"/>
      <c r="O355" s="94"/>
      <c r="P355" s="94"/>
      <c r="Q355" s="94"/>
      <c r="R355" s="94"/>
      <c r="S355" s="94"/>
      <c r="T355" s="22"/>
      <c r="U355" s="3464"/>
      <c r="V355" s="94"/>
      <c r="W355" s="94"/>
      <c r="X355" s="94"/>
      <c r="Y355" s="94"/>
      <c r="Z355" s="94"/>
      <c r="AA355" s="94"/>
      <c r="AB355" s="3475">
        <v>0</v>
      </c>
      <c r="AC355" s="3475"/>
      <c r="AD355" s="3475"/>
      <c r="AE355" s="3475"/>
      <c r="AF355" s="3475"/>
      <c r="AG355" s="3475"/>
      <c r="AH355" s="3475"/>
      <c r="AI355" s="3464"/>
      <c r="AJ355" s="3324">
        <f>SUM(AJ353:AP354)</f>
        <v>36095021.3763269</v>
      </c>
      <c r="AK355" s="3324"/>
      <c r="AL355" s="3324"/>
      <c r="AM355" s="3324"/>
      <c r="AN355" s="3324"/>
      <c r="AO355" s="3324"/>
      <c r="AP355" s="3324"/>
      <c r="AQ355" s="3326">
        <f>+Note21!AB327</f>
        <v>36095021.3763269</v>
      </c>
    </row>
    <row r="356" ht="12.15" spans="1:42">
      <c r="A356" s="64"/>
      <c r="B356" s="64"/>
      <c r="C356" s="64"/>
      <c r="D356"/>
      <c r="F356"/>
      <c r="G356"/>
      <c r="H356"/>
      <c r="I356"/>
      <c r="J356"/>
      <c r="K356"/>
      <c r="L356"/>
      <c r="M356"/>
      <c r="N356"/>
      <c r="O356"/>
      <c r="P356"/>
      <c r="Q356"/>
      <c r="R356"/>
      <c r="S356"/>
      <c r="T356" s="1"/>
      <c r="V356"/>
      <c r="W356"/>
      <c r="X356"/>
      <c r="Y356"/>
      <c r="Z356"/>
      <c r="AA356"/>
      <c r="AI356" s="3326"/>
      <c r="AJ356"/>
      <c r="AK356"/>
      <c r="AL356"/>
      <c r="AM356"/>
      <c r="AN356"/>
      <c r="AO356"/>
      <c r="AP356"/>
    </row>
    <row r="357" spans="1:42">
      <c r="A357" s="64"/>
      <c r="B357" s="64"/>
      <c r="C357" s="64"/>
      <c r="D357"/>
      <c r="F357"/>
      <c r="G357"/>
      <c r="H357"/>
      <c r="I357"/>
      <c r="J357"/>
      <c r="K357"/>
      <c r="L357"/>
      <c r="M357"/>
      <c r="N357"/>
      <c r="O357"/>
      <c r="P357"/>
      <c r="Q357"/>
      <c r="R357"/>
      <c r="S357"/>
      <c r="T357" s="1"/>
      <c r="V357"/>
      <c r="W357"/>
      <c r="X357"/>
      <c r="Y357"/>
      <c r="Z357"/>
      <c r="AA357"/>
      <c r="AB357" s="3359">
        <f>+AB331</f>
        <v>2022</v>
      </c>
      <c r="AC357" s="3360"/>
      <c r="AD357" s="3360"/>
      <c r="AE357" s="3360"/>
      <c r="AF357" s="3360"/>
      <c r="AG357" s="3360"/>
      <c r="AH357" s="3360"/>
      <c r="AI357" s="3368"/>
      <c r="AJ357" s="3359">
        <v>2021</v>
      </c>
      <c r="AK357" s="3360"/>
      <c r="AL357" s="3360"/>
      <c r="AM357" s="3360"/>
      <c r="AN357" s="3360"/>
      <c r="AO357" s="3360"/>
      <c r="AP357" s="3360"/>
    </row>
    <row r="358" ht="11.4" spans="1:42">
      <c r="A358" s="64"/>
      <c r="B358" s="64"/>
      <c r="C358" s="64"/>
      <c r="D358"/>
      <c r="F358"/>
      <c r="G358"/>
      <c r="H358"/>
      <c r="I358"/>
      <c r="J358"/>
      <c r="K358"/>
      <c r="L358"/>
      <c r="M358"/>
      <c r="N358"/>
      <c r="O358"/>
      <c r="P358"/>
      <c r="Q358"/>
      <c r="R358"/>
      <c r="S358"/>
      <c r="T358" s="1"/>
      <c r="V358"/>
      <c r="W358"/>
      <c r="X358"/>
      <c r="Y358"/>
      <c r="Z358"/>
      <c r="AA358"/>
      <c r="AI358" s="3326"/>
      <c r="AJ358"/>
      <c r="AK358"/>
      <c r="AL358"/>
      <c r="AM358"/>
      <c r="AN358"/>
      <c r="AO358"/>
      <c r="AP358"/>
    </row>
    <row r="359" ht="11.4" spans="1:42">
      <c r="A359" s="64"/>
      <c r="B359" s="64"/>
      <c r="C359" s="64"/>
      <c r="D359"/>
      <c r="E359" s="3326" t="s">
        <v>1871</v>
      </c>
      <c r="F359"/>
      <c r="G359"/>
      <c r="H359"/>
      <c r="I359"/>
      <c r="J359"/>
      <c r="K359"/>
      <c r="L359"/>
      <c r="M359"/>
      <c r="N359"/>
      <c r="O359"/>
      <c r="P359"/>
      <c r="Q359"/>
      <c r="R359"/>
      <c r="S359"/>
      <c r="T359" s="1"/>
      <c r="V359"/>
      <c r="W359"/>
      <c r="X359"/>
      <c r="Y359"/>
      <c r="Z359"/>
      <c r="AA359"/>
      <c r="AB359" s="3460">
        <f>+AB351</f>
        <v>106154843.160568</v>
      </c>
      <c r="AC359" s="3460"/>
      <c r="AD359" s="3460"/>
      <c r="AE359" s="3460"/>
      <c r="AF359" s="3460"/>
      <c r="AG359" s="3460"/>
      <c r="AH359" s="3460"/>
      <c r="AI359" s="3326"/>
      <c r="AJ359" s="3460">
        <f>+AJ355</f>
        <v>36095021.3763269</v>
      </c>
      <c r="AK359" s="3460"/>
      <c r="AL359" s="3460"/>
      <c r="AM359" s="3460"/>
      <c r="AN359" s="3460"/>
      <c r="AO359" s="3460"/>
      <c r="AP359" s="3460"/>
    </row>
    <row r="360" ht="11.4" spans="1:41">
      <c r="A360" s="64"/>
      <c r="B360" s="64"/>
      <c r="C360" s="64"/>
      <c r="D360"/>
      <c r="E360" s="3326" t="s">
        <v>1872</v>
      </c>
      <c r="F360"/>
      <c r="G360"/>
      <c r="H360"/>
      <c r="I360"/>
      <c r="J360"/>
      <c r="K360"/>
      <c r="L360"/>
      <c r="M360"/>
      <c r="N360"/>
      <c r="O360"/>
      <c r="P360"/>
      <c r="Q360"/>
      <c r="R360"/>
      <c r="S360"/>
      <c r="T360" s="1"/>
      <c r="V360"/>
      <c r="W360"/>
      <c r="X360"/>
      <c r="Y360"/>
      <c r="Z360"/>
      <c r="AA360"/>
      <c r="AI360" s="3326"/>
      <c r="AJ360" s="3326"/>
      <c r="AK360" s="3326"/>
      <c r="AN360" s="3326"/>
      <c r="AO360" s="3326"/>
    </row>
    <row r="361" ht="11.4" spans="1:42">
      <c r="A361" s="64"/>
      <c r="B361" s="64"/>
      <c r="C361" s="64"/>
      <c r="D361"/>
      <c r="E361" s="5089" t="s">
        <v>1866</v>
      </c>
      <c r="F361" t="s">
        <v>1853</v>
      </c>
      <c r="G361"/>
      <c r="H361"/>
      <c r="I361"/>
      <c r="J361"/>
      <c r="K361"/>
      <c r="L361"/>
      <c r="M361"/>
      <c r="N361"/>
      <c r="O361"/>
      <c r="P361"/>
      <c r="Q361"/>
      <c r="R361"/>
      <c r="S361"/>
      <c r="T361" s="1"/>
      <c r="V361"/>
      <c r="W361"/>
      <c r="X361"/>
      <c r="Y361"/>
      <c r="Z361"/>
      <c r="AA361"/>
      <c r="AB361" s="3460">
        <f>+'Perhit Fiskal'!F83</f>
        <v>28200472.36</v>
      </c>
      <c r="AC361" s="3460"/>
      <c r="AD361" s="3460"/>
      <c r="AE361" s="3460"/>
      <c r="AF361" s="3460"/>
      <c r="AG361" s="3460"/>
      <c r="AH361" s="3460"/>
      <c r="AI361" s="3326"/>
      <c r="AJ361" s="3460">
        <f>+'Perhit Fiskal'!K83</f>
        <v>33663124</v>
      </c>
      <c r="AK361" s="3460"/>
      <c r="AL361" s="3460"/>
      <c r="AM361" s="3460"/>
      <c r="AN361" s="3460"/>
      <c r="AO361" s="3460"/>
      <c r="AP361" s="3460"/>
    </row>
    <row r="362" ht="11.4" spans="1:42">
      <c r="A362" s="64"/>
      <c r="B362" s="64"/>
      <c r="C362" s="64"/>
      <c r="D362"/>
      <c r="F362"/>
      <c r="G362"/>
      <c r="H362"/>
      <c r="I362"/>
      <c r="J362"/>
      <c r="K362"/>
      <c r="L362"/>
      <c r="M362"/>
      <c r="N362"/>
      <c r="O362"/>
      <c r="P362"/>
      <c r="Q362"/>
      <c r="R362"/>
      <c r="S362"/>
      <c r="T362" s="1"/>
      <c r="V362"/>
      <c r="W362"/>
      <c r="X362"/>
      <c r="Y362"/>
      <c r="Z362"/>
      <c r="AA362"/>
      <c r="AB362" s="3460"/>
      <c r="AC362" s="3460"/>
      <c r="AD362" s="3460"/>
      <c r="AE362" s="3460"/>
      <c r="AF362" s="3460"/>
      <c r="AG362" s="3460"/>
      <c r="AH362" s="3460"/>
      <c r="AI362" s="3326"/>
      <c r="AJ362" s="3460"/>
      <c r="AK362" s="3460"/>
      <c r="AL362" s="3460"/>
      <c r="AM362" s="3460"/>
      <c r="AN362" s="3460"/>
      <c r="AO362" s="3460"/>
      <c r="AP362" s="3460"/>
    </row>
    <row r="363" spans="1:42">
      <c r="A363" s="64"/>
      <c r="B363" s="64"/>
      <c r="C363" s="64"/>
      <c r="D363"/>
      <c r="E363" s="3464" t="s">
        <v>1870</v>
      </c>
      <c r="F363" s="94"/>
      <c r="G363" s="94"/>
      <c r="H363" s="94"/>
      <c r="I363" s="94"/>
      <c r="J363" s="94"/>
      <c r="K363" s="94"/>
      <c r="L363" s="94"/>
      <c r="M363" s="94"/>
      <c r="N363" s="94"/>
      <c r="O363" s="94"/>
      <c r="P363" s="94"/>
      <c r="Q363" s="94"/>
      <c r="R363" s="94"/>
      <c r="S363" s="94"/>
      <c r="T363" s="22"/>
      <c r="U363" s="3464"/>
      <c r="V363" s="94"/>
      <c r="W363" s="94"/>
      <c r="X363" s="94"/>
      <c r="Y363" s="94"/>
      <c r="Z363" s="94"/>
      <c r="AA363" s="94"/>
      <c r="AB363" s="3476">
        <f>+AB359-AB361</f>
        <v>77954370.8005685</v>
      </c>
      <c r="AC363" s="3476"/>
      <c r="AD363" s="3476"/>
      <c r="AE363" s="3476"/>
      <c r="AF363" s="3476"/>
      <c r="AG363" s="3476"/>
      <c r="AH363" s="3476"/>
      <c r="AI363" s="3464"/>
      <c r="AJ363" s="3476">
        <f>+AJ359-AJ361</f>
        <v>2431897.37632693</v>
      </c>
      <c r="AK363" s="3476"/>
      <c r="AL363" s="3476"/>
      <c r="AM363" s="3476"/>
      <c r="AN363" s="3476"/>
      <c r="AO363" s="3476"/>
      <c r="AP363" s="3476"/>
    </row>
    <row r="364" ht="11.4" spans="1:42">
      <c r="A364" s="64"/>
      <c r="B364" s="64"/>
      <c r="C364" s="64"/>
      <c r="D364"/>
      <c r="F364"/>
      <c r="G364"/>
      <c r="H364"/>
      <c r="I364"/>
      <c r="J364"/>
      <c r="K364"/>
      <c r="L364"/>
      <c r="M364"/>
      <c r="N364"/>
      <c r="O364"/>
      <c r="P364"/>
      <c r="Q364"/>
      <c r="R364"/>
      <c r="S364"/>
      <c r="T364" s="1"/>
      <c r="V364"/>
      <c r="W364"/>
      <c r="X364"/>
      <c r="Y364"/>
      <c r="Z364"/>
      <c r="AA364"/>
      <c r="AI364" s="3326"/>
      <c r="AJ364"/>
      <c r="AK364"/>
      <c r="AL364"/>
      <c r="AM364"/>
      <c r="AN364"/>
      <c r="AO364"/>
      <c r="AP364"/>
    </row>
    <row r="365" ht="11.4" spans="1:42">
      <c r="A365" s="64"/>
      <c r="B365" s="64"/>
      <c r="C365" s="64"/>
      <c r="D365"/>
      <c r="F365"/>
      <c r="G365"/>
      <c r="H365"/>
      <c r="I365"/>
      <c r="J365"/>
      <c r="K365"/>
      <c r="L365"/>
      <c r="M365"/>
      <c r="N365"/>
      <c r="O365"/>
      <c r="P365"/>
      <c r="Q365"/>
      <c r="R365"/>
      <c r="S365"/>
      <c r="T365" s="1"/>
      <c r="V365"/>
      <c r="W365"/>
      <c r="X365"/>
      <c r="Y365"/>
      <c r="Z365"/>
      <c r="AA365"/>
      <c r="AI365" s="3326"/>
      <c r="AJ365"/>
      <c r="AK365"/>
      <c r="AL365"/>
      <c r="AM365"/>
      <c r="AN365"/>
      <c r="AO365"/>
      <c r="AP365"/>
    </row>
    <row r="366" customHeight="1" spans="1:42">
      <c r="A366" s="64"/>
      <c r="B366" s="64"/>
      <c r="C366" s="2104" t="s">
        <v>2104</v>
      </c>
      <c r="D366" s="2104"/>
      <c r="E366" s="2104"/>
      <c r="F366" s="2104"/>
      <c r="G366" s="2104"/>
      <c r="H366" s="2104"/>
      <c r="I366" s="2104"/>
      <c r="J366" s="2104"/>
      <c r="K366" s="2104"/>
      <c r="L366" s="2104"/>
      <c r="M366" s="2104"/>
      <c r="N366" s="2104"/>
      <c r="O366" s="2104"/>
      <c r="P366" s="2104"/>
      <c r="Q366" s="2104"/>
      <c r="R366" s="2104"/>
      <c r="S366" s="2104"/>
      <c r="T366" s="2104"/>
      <c r="U366" s="2104"/>
      <c r="V366" s="2104"/>
      <c r="W366" s="2104"/>
      <c r="X366" s="2104"/>
      <c r="Y366" s="2104"/>
      <c r="Z366" s="2104"/>
      <c r="AA366" s="2104"/>
      <c r="AB366" s="2104"/>
      <c r="AC366" s="2104"/>
      <c r="AD366" s="2104"/>
      <c r="AE366" s="2104"/>
      <c r="AF366" s="2104"/>
      <c r="AG366" s="2104"/>
      <c r="AH366" s="2104"/>
      <c r="AI366" s="2104"/>
      <c r="AJ366" s="2104"/>
      <c r="AK366" s="2104"/>
      <c r="AL366" s="2104"/>
      <c r="AM366" s="2104"/>
      <c r="AN366" s="2104"/>
      <c r="AO366" s="2104"/>
      <c r="AP366" s="2104"/>
    </row>
    <row r="367" ht="11.4" spans="3:42">
      <c r="C367" s="2104"/>
      <c r="D367" s="2104"/>
      <c r="E367" s="2104"/>
      <c r="F367" s="2104"/>
      <c r="G367" s="2104"/>
      <c r="H367" s="2104"/>
      <c r="I367" s="2104"/>
      <c r="J367" s="2104"/>
      <c r="K367" s="2104"/>
      <c r="L367" s="2104"/>
      <c r="M367" s="2104"/>
      <c r="N367" s="2104"/>
      <c r="O367" s="2104"/>
      <c r="P367" s="2104"/>
      <c r="Q367" s="2104"/>
      <c r="R367" s="2104"/>
      <c r="S367" s="2104"/>
      <c r="T367" s="2104"/>
      <c r="U367" s="2104"/>
      <c r="V367" s="2104"/>
      <c r="W367" s="2104"/>
      <c r="X367" s="2104"/>
      <c r="Y367" s="2104"/>
      <c r="Z367" s="2104"/>
      <c r="AA367" s="2104"/>
      <c r="AB367" s="2104"/>
      <c r="AC367" s="2104"/>
      <c r="AD367" s="2104"/>
      <c r="AE367" s="2104"/>
      <c r="AF367" s="2104"/>
      <c r="AG367" s="2104"/>
      <c r="AH367" s="2104"/>
      <c r="AI367" s="2104"/>
      <c r="AJ367" s="2104"/>
      <c r="AK367" s="2104"/>
      <c r="AL367" s="2104"/>
      <c r="AM367" s="2104"/>
      <c r="AN367" s="2104"/>
      <c r="AO367" s="2104"/>
      <c r="AP367" s="2104"/>
    </row>
    <row r="368" s="3330" customFormat="1" hidden="1" customHeight="1" spans="1:49">
      <c r="A368" s="3335">
        <f>A297+1</f>
        <v>12</v>
      </c>
      <c r="B368" s="3315"/>
      <c r="C368" s="3322" t="str">
        <f>[69]Catatan!$D$1960</f>
        <v>BEBAN AKRUAL</v>
      </c>
      <c r="D368" s="3315"/>
      <c r="E368" s="3315"/>
      <c r="F368" s="3315"/>
      <c r="G368" s="3315"/>
      <c r="H368" s="3315"/>
      <c r="I368" s="3315"/>
      <c r="J368" s="3315"/>
      <c r="K368" s="3315"/>
      <c r="L368" s="3315"/>
      <c r="M368" s="3315"/>
      <c r="N368" s="3315"/>
      <c r="O368" s="3315"/>
      <c r="P368" s="3315"/>
      <c r="Q368" s="3315"/>
      <c r="R368" s="3315"/>
      <c r="S368" s="3315"/>
      <c r="T368" s="3315"/>
      <c r="U368" s="3315"/>
      <c r="V368" s="3315"/>
      <c r="W368" s="3315"/>
      <c r="X368" s="3315"/>
      <c r="Y368" s="3315"/>
      <c r="Z368" s="3315"/>
      <c r="AA368" s="3315"/>
      <c r="AB368" s="3354" t="e">
        <f>+#REF!</f>
        <v>#REF!</v>
      </c>
      <c r="AC368" s="3355"/>
      <c r="AD368" s="3355"/>
      <c r="AE368" s="3355"/>
      <c r="AF368" s="3355"/>
      <c r="AG368" s="3355"/>
      <c r="AH368" s="3355"/>
      <c r="AI368" s="64"/>
      <c r="AJ368" s="3354" t="e">
        <f>+#REF!</f>
        <v>#REF!</v>
      </c>
      <c r="AK368" s="3355"/>
      <c r="AL368" s="3355"/>
      <c r="AM368" s="3355"/>
      <c r="AN368" s="3355"/>
      <c r="AO368" s="3355"/>
      <c r="AP368" s="3355"/>
      <c r="AQ368" s="3478"/>
      <c r="AR368" s="3479"/>
      <c r="AW368" s="3371"/>
    </row>
    <row r="369" s="3330" customFormat="1" ht="9.2" hidden="1" customHeight="1" spans="1:49">
      <c r="A369" s="3335"/>
      <c r="B369" s="3315"/>
      <c r="C369" s="3322"/>
      <c r="D369" s="3315"/>
      <c r="E369" s="3315"/>
      <c r="F369" s="3315"/>
      <c r="G369" s="3315"/>
      <c r="H369" s="3315"/>
      <c r="I369" s="3315"/>
      <c r="J369" s="3315"/>
      <c r="K369" s="3315"/>
      <c r="L369" s="3315"/>
      <c r="M369" s="3315"/>
      <c r="N369" s="3315"/>
      <c r="O369" s="3315"/>
      <c r="P369" s="3315"/>
      <c r="Q369" s="3315"/>
      <c r="R369" s="3315"/>
      <c r="S369" s="3315"/>
      <c r="T369" s="3315"/>
      <c r="U369" s="3315"/>
      <c r="V369" s="3315"/>
      <c r="W369" s="3315"/>
      <c r="X369" s="3315"/>
      <c r="Y369" s="3315"/>
      <c r="Z369" s="3315"/>
      <c r="AA369" s="3315"/>
      <c r="AB369" s="64"/>
      <c r="AC369" s="64"/>
      <c r="AD369" s="64"/>
      <c r="AE369" s="64"/>
      <c r="AF369" s="64"/>
      <c r="AG369" s="64"/>
      <c r="AH369" s="64"/>
      <c r="AI369" s="3326"/>
      <c r="AJ369" s="64"/>
      <c r="AK369" s="64"/>
      <c r="AL369" s="64"/>
      <c r="AM369" s="64"/>
      <c r="AN369" s="64"/>
      <c r="AO369" s="64"/>
      <c r="AP369" s="64"/>
      <c r="AQ369" s="3478">
        <f>'F2'!Q19</f>
        <v>0</v>
      </c>
      <c r="AR369" s="3479"/>
      <c r="AW369" s="3371"/>
    </row>
    <row r="370" s="3330" customFormat="1" hidden="1" customHeight="1" spans="1:49">
      <c r="A370" s="3340"/>
      <c r="B370" s="3315"/>
      <c r="C370" s="5044" t="str">
        <f>[69]Catatan!$D$1962</f>
        <v>Beban akrual terdiri atas :</v>
      </c>
      <c r="D370"/>
      <c r="E370"/>
      <c r="F370"/>
      <c r="G370"/>
      <c r="H370"/>
      <c r="I370"/>
      <c r="J370"/>
      <c r="K370"/>
      <c r="L370"/>
      <c r="M370"/>
      <c r="N370"/>
      <c r="O370"/>
      <c r="P370"/>
      <c r="Q370"/>
      <c r="R370"/>
      <c r="S370"/>
      <c r="T370"/>
      <c r="U370"/>
      <c r="V370"/>
      <c r="W370"/>
      <c r="X370"/>
      <c r="Y370"/>
      <c r="Z370"/>
      <c r="AA370"/>
      <c r="AB370" s="64"/>
      <c r="AC370" s="64"/>
      <c r="AD370" s="64"/>
      <c r="AE370" s="64"/>
      <c r="AF370" s="64"/>
      <c r="AG370" s="64"/>
      <c r="AH370" s="64"/>
      <c r="AI370" s="3326"/>
      <c r="AJ370" s="64"/>
      <c r="AK370" s="64"/>
      <c r="AL370" s="64"/>
      <c r="AM370" s="64"/>
      <c r="AN370" s="64"/>
      <c r="AO370" s="64"/>
      <c r="AP370" s="64"/>
      <c r="AQ370" s="3478"/>
      <c r="AR370" s="3479"/>
      <c r="AW370" s="3371"/>
    </row>
    <row r="371" s="3330" customFormat="1" hidden="1" customHeight="1" spans="1:49">
      <c r="A371" s="3340"/>
      <c r="B371" s="3315"/>
      <c r="C371" s="3330" t="s">
        <v>1874</v>
      </c>
      <c r="D371"/>
      <c r="E371"/>
      <c r="F371"/>
      <c r="G371"/>
      <c r="H371"/>
      <c r="I371"/>
      <c r="J371"/>
      <c r="K371"/>
      <c r="L371"/>
      <c r="M371"/>
      <c r="N371"/>
      <c r="O371"/>
      <c r="P371"/>
      <c r="Q371"/>
      <c r="R371"/>
      <c r="S371"/>
      <c r="T371"/>
      <c r="U371"/>
      <c r="V371"/>
      <c r="W371"/>
      <c r="X371"/>
      <c r="Y371"/>
      <c r="Z371"/>
      <c r="AA371"/>
      <c r="AB371" s="2682">
        <f>CC!K12</f>
        <v>0</v>
      </c>
      <c r="AC371" s="2682"/>
      <c r="AD371" s="2682"/>
      <c r="AE371" s="2682"/>
      <c r="AF371" s="2682"/>
      <c r="AG371" s="2682"/>
      <c r="AH371" s="2682"/>
      <c r="AI371" s="3326"/>
      <c r="AJ371" s="2682">
        <v>0</v>
      </c>
      <c r="AK371" s="2682"/>
      <c r="AL371" s="2682"/>
      <c r="AM371" s="2682"/>
      <c r="AN371" s="2682"/>
      <c r="AO371" s="2682"/>
      <c r="AP371" s="2682"/>
      <c r="AQ371" s="3478"/>
      <c r="AR371" s="3479"/>
      <c r="AW371" s="3371"/>
    </row>
    <row r="372" s="3330" customFormat="1" hidden="1" customHeight="1" spans="1:49">
      <c r="A372" s="3340"/>
      <c r="B372" s="3315"/>
      <c r="C372" s="3330" t="s">
        <v>1875</v>
      </c>
      <c r="E372"/>
      <c r="F372"/>
      <c r="G372"/>
      <c r="H372"/>
      <c r="I372"/>
      <c r="J372"/>
      <c r="K372"/>
      <c r="L372"/>
      <c r="M372"/>
      <c r="N372"/>
      <c r="O372"/>
      <c r="P372"/>
      <c r="Q372"/>
      <c r="R372"/>
      <c r="S372"/>
      <c r="T372"/>
      <c r="U372"/>
      <c r="V372"/>
      <c r="W372"/>
      <c r="X372"/>
      <c r="Y372"/>
      <c r="Z372"/>
      <c r="AA372"/>
      <c r="AB372" s="2682">
        <f>CC!K16+CC!K14</f>
        <v>0</v>
      </c>
      <c r="AC372" s="2682"/>
      <c r="AD372" s="2682"/>
      <c r="AE372" s="2682"/>
      <c r="AF372" s="2682"/>
      <c r="AG372" s="2682"/>
      <c r="AH372" s="2682"/>
      <c r="AI372" s="3326"/>
      <c r="AJ372" s="2682">
        <v>0</v>
      </c>
      <c r="AK372" s="2682"/>
      <c r="AL372" s="2682"/>
      <c r="AM372" s="2682"/>
      <c r="AN372" s="2682"/>
      <c r="AO372" s="2682"/>
      <c r="AP372" s="2682"/>
      <c r="AQ372" s="3478"/>
      <c r="AR372" s="3479"/>
      <c r="AW372" s="3371"/>
    </row>
    <row r="373" s="3330" customFormat="1" hidden="1" customHeight="1" spans="1:49">
      <c r="A373" s="3340"/>
      <c r="B373" s="3315"/>
      <c r="C373" s="5044" t="s">
        <v>1876</v>
      </c>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2682">
        <f>CC!K15+CC!K13+CC!K17+CC!K18+CC!K19</f>
        <v>0</v>
      </c>
      <c r="AC373" s="2682"/>
      <c r="AD373" s="2682"/>
      <c r="AE373" s="2682"/>
      <c r="AF373" s="2682"/>
      <c r="AG373" s="2682"/>
      <c r="AH373" s="2682"/>
      <c r="AI373" s="3326"/>
      <c r="AJ373" s="2682">
        <v>0</v>
      </c>
      <c r="AK373" s="2682"/>
      <c r="AL373" s="2682"/>
      <c r="AM373" s="2682"/>
      <c r="AN373" s="2682"/>
      <c r="AO373" s="2682"/>
      <c r="AP373" s="2682"/>
      <c r="AQ373" s="3478"/>
      <c r="AR373" s="3479"/>
      <c r="AW373" s="3371"/>
    </row>
    <row r="374" s="3330" customFormat="1" ht="4.7" hidden="1" customHeight="1" spans="1:49">
      <c r="A374" s="3340"/>
      <c r="B374" s="64"/>
      <c r="C37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2402"/>
      <c r="AC374" s="2402"/>
      <c r="AD374" s="2402"/>
      <c r="AE374" s="2402"/>
      <c r="AF374" s="2402"/>
      <c r="AG374" s="2402"/>
      <c r="AH374" s="2402"/>
      <c r="AI374" s="3326"/>
      <c r="AJ374" s="2402"/>
      <c r="AK374" s="2402"/>
      <c r="AL374" s="2402"/>
      <c r="AM374" s="2402"/>
      <c r="AN374" s="2402"/>
      <c r="AO374" s="2402"/>
      <c r="AP374" s="2402"/>
      <c r="AQ374" s="3478"/>
      <c r="AR374" s="3479"/>
      <c r="AW374" s="3371"/>
    </row>
    <row r="375" s="3330" customFormat="1" hidden="1" customHeight="1" spans="1:49">
      <c r="A375" s="3340"/>
      <c r="B375" s="64"/>
      <c r="C375" t="s">
        <v>1877</v>
      </c>
      <c r="D375" s="94"/>
      <c r="E375" s="94"/>
      <c r="F375" s="94"/>
      <c r="G375" s="94"/>
      <c r="H375" s="94"/>
      <c r="I375" s="94"/>
      <c r="J375" s="94"/>
      <c r="K375" s="94"/>
      <c r="L375" s="94"/>
      <c r="M375" s="94"/>
      <c r="N375" s="94"/>
      <c r="O375" s="94"/>
      <c r="P375" s="94"/>
      <c r="Q375" s="94"/>
      <c r="R375" s="94"/>
      <c r="S375" s="94"/>
      <c r="T375" s="94"/>
      <c r="U375" s="94"/>
      <c r="V375" s="94"/>
      <c r="W375" s="94"/>
      <c r="X375" s="94"/>
      <c r="Y375" s="94"/>
      <c r="Z375" s="94"/>
      <c r="AA375" s="94"/>
      <c r="AB375" s="3423">
        <f>SUM(AB371:AH374)</f>
        <v>0</v>
      </c>
      <c r="AC375" s="3423"/>
      <c r="AD375" s="3423"/>
      <c r="AE375" s="3423"/>
      <c r="AF375" s="3423"/>
      <c r="AG375" s="3423"/>
      <c r="AH375" s="3423"/>
      <c r="AI375" s="3464"/>
      <c r="AJ375" s="3423">
        <f>SUM(AJ371:AP374)</f>
        <v>0</v>
      </c>
      <c r="AK375" s="3423"/>
      <c r="AL375" s="3423"/>
      <c r="AM375" s="3423"/>
      <c r="AN375" s="3423"/>
      <c r="AO375" s="3423"/>
      <c r="AP375" s="3423"/>
      <c r="AQ375" s="3478">
        <f>[88]Sheet1!$J$112-AB375</f>
        <v>3117742498.22</v>
      </c>
      <c r="AR375" s="3479"/>
      <c r="AW375" s="3371"/>
    </row>
    <row r="376" s="3330" customFormat="1" ht="13.5" customHeight="1" spans="1:49">
      <c r="A376" s="3340"/>
      <c r="B376" s="64"/>
      <c r="C376"/>
      <c r="D376" s="94"/>
      <c r="E376" s="94"/>
      <c r="F376" s="94"/>
      <c r="G376" s="94"/>
      <c r="H376" s="94"/>
      <c r="I376" s="94"/>
      <c r="J376" s="94"/>
      <c r="K376" s="94"/>
      <c r="L376" s="94"/>
      <c r="M376" s="94"/>
      <c r="N376" s="94"/>
      <c r="O376" s="94"/>
      <c r="P376" s="94"/>
      <c r="Q376" s="94"/>
      <c r="R376" s="94"/>
      <c r="S376" s="94"/>
      <c r="T376" s="94"/>
      <c r="U376" s="94"/>
      <c r="V376" s="94"/>
      <c r="W376" s="94"/>
      <c r="X376" s="94"/>
      <c r="Y376" s="94"/>
      <c r="Z376" s="94"/>
      <c r="AA376" s="94"/>
      <c r="AB376" s="3457"/>
      <c r="AC376" s="3457"/>
      <c r="AD376" s="3457"/>
      <c r="AE376" s="3457"/>
      <c r="AF376" s="3457"/>
      <c r="AG376" s="3457"/>
      <c r="AH376" s="3457"/>
      <c r="AI376" s="3464"/>
      <c r="AJ376" s="3457"/>
      <c r="AK376" s="3457"/>
      <c r="AL376" s="3457"/>
      <c r="AM376" s="3457"/>
      <c r="AN376" s="3457"/>
      <c r="AO376" s="3457"/>
      <c r="AP376" s="3457"/>
      <c r="AQ376" s="3478"/>
      <c r="AR376" s="3479"/>
      <c r="AW376" s="3371"/>
    </row>
    <row r="377" s="3330" customFormat="1" customHeight="1" spans="1:49">
      <c r="A377" s="3335">
        <f>+A329+1</f>
        <v>12</v>
      </c>
      <c r="B377" s="3315"/>
      <c r="C377" s="3322" t="s">
        <v>1878</v>
      </c>
      <c r="D377" s="3315"/>
      <c r="E377" s="3315"/>
      <c r="F377" s="3315"/>
      <c r="G377" s="3315"/>
      <c r="H377" s="3315"/>
      <c r="I377" s="3315"/>
      <c r="J377" s="3315"/>
      <c r="K377" s="3315"/>
      <c r="L377" s="3315"/>
      <c r="M377" s="3315"/>
      <c r="N377" s="3315"/>
      <c r="O377" s="3315"/>
      <c r="P377" s="3315"/>
      <c r="Q377" s="3315"/>
      <c r="R377" s="3315"/>
      <c r="S377" s="3315"/>
      <c r="T377" s="3315"/>
      <c r="U377" s="3315"/>
      <c r="V377" s="3315"/>
      <c r="W377" s="3315"/>
      <c r="X377" s="3315"/>
      <c r="Y377" s="3315"/>
      <c r="Z377" s="3315"/>
      <c r="AA377" s="3315"/>
      <c r="AB377" s="3359">
        <f>+AB331</f>
        <v>2022</v>
      </c>
      <c r="AC377" s="3360"/>
      <c r="AD377" s="3360"/>
      <c r="AE377" s="3360"/>
      <c r="AF377" s="3360"/>
      <c r="AG377" s="3360"/>
      <c r="AH377" s="3360"/>
      <c r="AI377" s="3368"/>
      <c r="AJ377" s="3359">
        <v>2021</v>
      </c>
      <c r="AK377" s="3360"/>
      <c r="AL377" s="3360"/>
      <c r="AM377" s="3360"/>
      <c r="AN377" s="3360"/>
      <c r="AO377" s="3360"/>
      <c r="AP377" s="3360"/>
      <c r="AQ377" s="3360">
        <v>2020</v>
      </c>
      <c r="AR377" s="3360"/>
      <c r="AS377" s="3360"/>
      <c r="AT377" s="3360"/>
      <c r="AU377" s="3360"/>
      <c r="AV377" s="3360"/>
      <c r="AW377" s="3381"/>
    </row>
    <row r="378" s="3330" customFormat="1" ht="7.5" customHeight="1" spans="1:49">
      <c r="A378" s="3335"/>
      <c r="B378" s="3315"/>
      <c r="C378" s="3322"/>
      <c r="D378" s="3315"/>
      <c r="E378" s="3315"/>
      <c r="F378" s="3315"/>
      <c r="G378" s="3315"/>
      <c r="H378" s="3315"/>
      <c r="I378" s="3315"/>
      <c r="J378" s="3315"/>
      <c r="K378" s="3315"/>
      <c r="L378" s="3315"/>
      <c r="M378" s="3315"/>
      <c r="N378" s="3315"/>
      <c r="O378" s="3315"/>
      <c r="P378" s="3315"/>
      <c r="Q378" s="3315"/>
      <c r="R378" s="3315"/>
      <c r="S378" s="3315"/>
      <c r="T378" s="3315"/>
      <c r="U378" s="3315"/>
      <c r="V378" s="3315"/>
      <c r="W378" s="3315"/>
      <c r="X378" s="3315"/>
      <c r="Y378" s="3315"/>
      <c r="Z378" s="3315"/>
      <c r="AA378" s="3315"/>
      <c r="AB378" s="64"/>
      <c r="AC378" s="64"/>
      <c r="AD378" s="64"/>
      <c r="AE378" s="64"/>
      <c r="AF378" s="64"/>
      <c r="AG378" s="64"/>
      <c r="AH378" s="64"/>
      <c r="AI378" s="3326"/>
      <c r="AJ378" s="64"/>
      <c r="AK378" s="64"/>
      <c r="AL378" s="64"/>
      <c r="AM378" s="64"/>
      <c r="AN378" s="64"/>
      <c r="AO378" s="64"/>
      <c r="AP378" s="64"/>
      <c r="AQ378" s="64"/>
      <c r="AR378" s="64"/>
      <c r="AS378" s="64"/>
      <c r="AT378" s="64"/>
      <c r="AU378" s="64"/>
      <c r="AV378" s="64"/>
      <c r="AW378" s="1350"/>
    </row>
    <row r="379" s="3330" customFormat="1" customHeight="1" spans="1:49">
      <c r="A379" s="3340"/>
      <c r="B379" s="3315"/>
      <c r="C379" s="5090" t="s">
        <v>1879</v>
      </c>
      <c r="D379" s="2919"/>
      <c r="E379" s="164"/>
      <c r="F379" s="164"/>
      <c r="G379" s="164"/>
      <c r="H379" s="164"/>
      <c r="I379" s="164"/>
      <c r="J379" s="164"/>
      <c r="K379" s="164"/>
      <c r="L379"/>
      <c r="M379"/>
      <c r="N379"/>
      <c r="O379"/>
      <c r="P379"/>
      <c r="Q379"/>
      <c r="R379"/>
      <c r="S379"/>
      <c r="T379"/>
      <c r="U379"/>
      <c r="V379"/>
      <c r="W379"/>
      <c r="X379"/>
      <c r="Y379"/>
      <c r="Z379"/>
      <c r="AA379"/>
      <c r="AB379" s="64"/>
      <c r="AC379" s="64"/>
      <c r="AD379" s="64"/>
      <c r="AE379" s="64"/>
      <c r="AF379" s="64"/>
      <c r="AG379" s="64"/>
      <c r="AH379" s="64"/>
      <c r="AI379" s="3326"/>
      <c r="AJ379" s="64"/>
      <c r="AK379" s="64"/>
      <c r="AL379" s="64"/>
      <c r="AM379" s="64"/>
      <c r="AN379" s="64"/>
      <c r="AO379" s="64"/>
      <c r="AP379" s="64"/>
      <c r="AQ379" s="64"/>
      <c r="AR379" s="64"/>
      <c r="AS379" s="64"/>
      <c r="AT379" s="64"/>
      <c r="AU379" s="64"/>
      <c r="AV379" s="64"/>
      <c r="AW379" s="1350"/>
    </row>
    <row r="380" s="3330" customFormat="1" customHeight="1" spans="1:49">
      <c r="A380" s="3340"/>
      <c r="B380" s="3315"/>
      <c r="C380" s="5044" t="s">
        <v>1880</v>
      </c>
      <c r="D380"/>
      <c r="E380"/>
      <c r="F380"/>
      <c r="G380"/>
      <c r="H380"/>
      <c r="I380"/>
      <c r="J380"/>
      <c r="K380"/>
      <c r="L380"/>
      <c r="M380"/>
      <c r="N380"/>
      <c r="O380"/>
      <c r="P380"/>
      <c r="Q380"/>
      <c r="R380"/>
      <c r="S380"/>
      <c r="T380"/>
      <c r="U380"/>
      <c r="V380"/>
      <c r="W380"/>
      <c r="X380"/>
      <c r="Y380"/>
      <c r="Z380"/>
      <c r="AA380"/>
      <c r="AB380" s="2682">
        <f>+AA!J15</f>
        <v>3675574955</v>
      </c>
      <c r="AC380" s="2682"/>
      <c r="AD380" s="2682"/>
      <c r="AE380" s="2682"/>
      <c r="AF380" s="2682"/>
      <c r="AG380" s="2682"/>
      <c r="AH380" s="2682"/>
      <c r="AI380" s="3326"/>
      <c r="AJ380" s="2682">
        <f>+AA!P15</f>
        <v>4758064607</v>
      </c>
      <c r="AK380" s="2682"/>
      <c r="AL380" s="2682"/>
      <c r="AM380" s="2682"/>
      <c r="AN380" s="2682"/>
      <c r="AO380" s="2682"/>
      <c r="AP380" s="2682"/>
      <c r="AQ380" s="2635">
        <f>+AA!Q15</f>
        <v>5770583864</v>
      </c>
      <c r="AR380" s="2635"/>
      <c r="AS380" s="2635"/>
      <c r="AT380" s="2635"/>
      <c r="AU380" s="2635"/>
      <c r="AV380" s="2635"/>
      <c r="AW380" s="2430"/>
    </row>
    <row r="381" s="3330" customFormat="1" customHeight="1" spans="1:49">
      <c r="A381" s="3340"/>
      <c r="B381" s="3315"/>
      <c r="C381" s="5044" t="s">
        <v>1881</v>
      </c>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2682">
        <f>+AA!J16</f>
        <v>1258000000</v>
      </c>
      <c r="AC381" s="2682"/>
      <c r="AD381" s="2682"/>
      <c r="AE381" s="2682"/>
      <c r="AF381" s="2682"/>
      <c r="AG381" s="2682"/>
      <c r="AH381" s="2682"/>
      <c r="AI381" s="3326"/>
      <c r="AJ381" s="2682">
        <f>+AA!P16</f>
        <v>1300606168.16</v>
      </c>
      <c r="AK381" s="2682"/>
      <c r="AL381" s="2682"/>
      <c r="AM381" s="2682"/>
      <c r="AN381" s="2682"/>
      <c r="AO381" s="2682"/>
      <c r="AP381" s="2682"/>
      <c r="AQ381" s="2635">
        <f>+AA!Q16</f>
        <v>1300606168.16</v>
      </c>
      <c r="AR381" s="2635"/>
      <c r="AS381" s="2635"/>
      <c r="AT381" s="2635"/>
      <c r="AU381" s="2635"/>
      <c r="AV381" s="2635"/>
      <c r="AW381" s="2430"/>
    </row>
    <row r="382" s="3330" customFormat="1" customHeight="1" spans="1:49">
      <c r="A382" s="3340"/>
      <c r="B382" s="3315"/>
      <c r="C382" s="5044" t="s">
        <v>1882</v>
      </c>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2682">
        <f>+AA!J17</f>
        <v>2500000000</v>
      </c>
      <c r="AC382" s="2682"/>
      <c r="AD382" s="2682"/>
      <c r="AE382" s="2682"/>
      <c r="AF382" s="2682"/>
      <c r="AG382" s="2682"/>
      <c r="AH382" s="2682"/>
      <c r="AI382" s="3326"/>
      <c r="AJ382" s="2682">
        <f>+AA!P17</f>
        <v>5000000000</v>
      </c>
      <c r="AK382" s="2682"/>
      <c r="AL382" s="2682"/>
      <c r="AM382" s="2682"/>
      <c r="AN382" s="2682"/>
      <c r="AO382" s="2682"/>
      <c r="AP382" s="2682"/>
      <c r="AQ382" s="2635">
        <f>+AA!Q17</f>
        <v>5000000000</v>
      </c>
      <c r="AR382" s="2635"/>
      <c r="AS382" s="2635"/>
      <c r="AT382" s="2635"/>
      <c r="AU382" s="2635"/>
      <c r="AV382" s="2635"/>
      <c r="AW382" s="2430"/>
    </row>
    <row r="383" s="3330" customFormat="1" ht="4.5" customHeight="1" spans="1:49">
      <c r="A383" s="3340"/>
      <c r="B383" s="3315"/>
      <c r="C383" s="3322"/>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W383" s="3371"/>
    </row>
    <row r="384" s="3330" customFormat="1" customHeight="1" spans="1:49">
      <c r="A384" s="3340"/>
      <c r="B384" s="3315"/>
      <c r="C384" t="s">
        <v>1883</v>
      </c>
      <c r="D384" s="94"/>
      <c r="E384" s="94"/>
      <c r="F384" s="94"/>
      <c r="G384" s="94"/>
      <c r="H384" s="94"/>
      <c r="I384" s="94"/>
      <c r="J384" s="94"/>
      <c r="K384" s="94"/>
      <c r="L384" s="94"/>
      <c r="M384" s="94"/>
      <c r="N384" s="94"/>
      <c r="O384" s="94"/>
      <c r="P384" s="94"/>
      <c r="Q384" s="94"/>
      <c r="R384" s="94"/>
      <c r="S384" s="94"/>
      <c r="T384" s="94"/>
      <c r="U384" s="94"/>
      <c r="V384" s="94"/>
      <c r="W384" s="94"/>
      <c r="X384" s="94"/>
      <c r="Y384" s="94"/>
      <c r="Z384" s="94"/>
      <c r="AA384" s="94"/>
      <c r="AB384" s="3436">
        <f>SUM(AB380:AH383)</f>
        <v>7433574955</v>
      </c>
      <c r="AC384" s="3436"/>
      <c r="AD384" s="3436"/>
      <c r="AE384" s="3436"/>
      <c r="AF384" s="3436"/>
      <c r="AG384" s="3436"/>
      <c r="AH384" s="3436"/>
      <c r="AI384" s="3464"/>
      <c r="AJ384" s="3436">
        <f>SUM(AJ380:AP383)</f>
        <v>11058670775.16</v>
      </c>
      <c r="AK384" s="3436"/>
      <c r="AL384" s="3436"/>
      <c r="AM384" s="3436"/>
      <c r="AN384" s="3436"/>
      <c r="AO384" s="3436"/>
      <c r="AP384" s="3436"/>
      <c r="AQ384" s="3378">
        <f>SUM(AQ380:AW383)</f>
        <v>12071190032.16</v>
      </c>
      <c r="AR384" s="3378"/>
      <c r="AS384" s="3378"/>
      <c r="AT384" s="3378"/>
      <c r="AU384" s="3378"/>
      <c r="AV384" s="3378"/>
      <c r="AW384" s="2433"/>
    </row>
    <row r="385" s="3330" customFormat="1" ht="6.6" customHeight="1" spans="1:49">
      <c r="A385" s="3340"/>
      <c r="B385" s="3315"/>
      <c r="C385"/>
      <c r="D385"/>
      <c r="E385"/>
      <c r="F385"/>
      <c r="G385"/>
      <c r="H385"/>
      <c r="I385"/>
      <c r="J385"/>
      <c r="K385"/>
      <c r="L385"/>
      <c r="M385"/>
      <c r="N385"/>
      <c r="O385"/>
      <c r="P385"/>
      <c r="Q385"/>
      <c r="R385"/>
      <c r="S385"/>
      <c r="T385"/>
      <c r="U385"/>
      <c r="V385"/>
      <c r="W385"/>
      <c r="X385"/>
      <c r="Y385"/>
      <c r="Z385"/>
      <c r="AA385"/>
      <c r="AI385"/>
      <c r="AW385" s="3371"/>
    </row>
    <row r="386" s="3330" customFormat="1" customHeight="1" spans="1:49">
      <c r="A386" s="3340"/>
      <c r="B386" s="3315"/>
      <c r="C386" s="5090" t="s">
        <v>1884</v>
      </c>
      <c r="D386" s="2919"/>
      <c r="E386" s="2919"/>
      <c r="F386" s="2919"/>
      <c r="G386" s="2919"/>
      <c r="H386" s="2919"/>
      <c r="I386" s="2919"/>
      <c r="J386" s="2919"/>
      <c r="K386" s="2919"/>
      <c r="L386" s="94"/>
      <c r="M386" s="94"/>
      <c r="N386" s="94"/>
      <c r="O386" s="94"/>
      <c r="P386" s="94"/>
      <c r="Q386" s="94"/>
      <c r="R386" s="94"/>
      <c r="S386" s="94"/>
      <c r="T386"/>
      <c r="U386"/>
      <c r="V386"/>
      <c r="W386"/>
      <c r="X386"/>
      <c r="Y386"/>
      <c r="Z386"/>
      <c r="AA386"/>
      <c r="AB386" s="64"/>
      <c r="AC386" s="64"/>
      <c r="AD386" s="64"/>
      <c r="AE386" s="64"/>
      <c r="AF386" s="64"/>
      <c r="AG386" s="64"/>
      <c r="AH386" s="64"/>
      <c r="AI386" s="3326"/>
      <c r="AJ386" s="64"/>
      <c r="AK386" s="64"/>
      <c r="AL386" s="64"/>
      <c r="AM386" s="64"/>
      <c r="AN386" s="64"/>
      <c r="AO386" s="64"/>
      <c r="AP386" s="64"/>
      <c r="AQ386" s="64"/>
      <c r="AR386" s="64"/>
      <c r="AS386" s="64"/>
      <c r="AT386" s="64"/>
      <c r="AU386" s="64"/>
      <c r="AV386" s="64"/>
      <c r="AW386" s="1350"/>
    </row>
    <row r="387" s="3330" customFormat="1" customHeight="1" spans="1:49">
      <c r="A387" s="3340"/>
      <c r="B387" s="3315"/>
      <c r="C387" s="5044" t="s">
        <v>1880</v>
      </c>
      <c r="D387"/>
      <c r="E387"/>
      <c r="F387"/>
      <c r="G387"/>
      <c r="H387"/>
      <c r="I387"/>
      <c r="J387"/>
      <c r="K387"/>
      <c r="L387"/>
      <c r="M387"/>
      <c r="N387"/>
      <c r="O387"/>
      <c r="P387"/>
      <c r="Q387"/>
      <c r="R387"/>
      <c r="S387"/>
      <c r="T387"/>
      <c r="U387"/>
      <c r="V387"/>
      <c r="W387"/>
      <c r="X387"/>
      <c r="Y387"/>
      <c r="Z387"/>
      <c r="AA387"/>
      <c r="AB387" s="2682">
        <f>+AA!J22</f>
        <v>3309460000</v>
      </c>
      <c r="AC387" s="2682"/>
      <c r="AD387" s="2682"/>
      <c r="AE387" s="2682"/>
      <c r="AF387" s="2682"/>
      <c r="AG387" s="2682"/>
      <c r="AH387" s="2682"/>
      <c r="AI387" s="3326"/>
      <c r="AJ387" s="2682">
        <f>+AA!P22</f>
        <v>3823907983</v>
      </c>
      <c r="AK387" s="2682"/>
      <c r="AL387" s="2682"/>
      <c r="AM387" s="2682"/>
      <c r="AN387" s="2682"/>
      <c r="AO387" s="2682"/>
      <c r="AP387" s="2682"/>
      <c r="AQ387" s="2635">
        <f>+AA!Q22</f>
        <v>5171104034</v>
      </c>
      <c r="AR387" s="2635"/>
      <c r="AS387" s="2635"/>
      <c r="AT387" s="2635"/>
      <c r="AU387" s="2635"/>
      <c r="AV387" s="2635"/>
      <c r="AW387" s="2430"/>
    </row>
    <row r="388" s="3330" customFormat="1" customHeight="1" spans="1:49">
      <c r="A388" s="3340"/>
      <c r="B388" s="3315"/>
      <c r="C388" s="5044" t="s">
        <v>1881</v>
      </c>
      <c r="D388"/>
      <c r="E388"/>
      <c r="F388"/>
      <c r="G388"/>
      <c r="H388"/>
      <c r="I388"/>
      <c r="J388"/>
      <c r="K388"/>
      <c r="L388"/>
      <c r="M388"/>
      <c r="N388"/>
      <c r="O388"/>
      <c r="P388"/>
      <c r="Q388"/>
      <c r="R388"/>
      <c r="S388"/>
      <c r="T388"/>
      <c r="U388"/>
      <c r="V388"/>
      <c r="W388"/>
      <c r="X388"/>
      <c r="Y388"/>
      <c r="Z388"/>
      <c r="AA388"/>
      <c r="AB388" s="2682">
        <f>+AA!J23</f>
        <v>4753894385.51</v>
      </c>
      <c r="AC388" s="2682"/>
      <c r="AD388" s="2682"/>
      <c r="AE388" s="2682"/>
      <c r="AF388" s="2682"/>
      <c r="AG388" s="2682"/>
      <c r="AH388" s="2682"/>
      <c r="AI388" s="3326"/>
      <c r="AJ388" s="2682">
        <f>+AA!P23</f>
        <v>4873933167.04</v>
      </c>
      <c r="AK388" s="2682"/>
      <c r="AL388" s="2682"/>
      <c r="AM388" s="2682"/>
      <c r="AN388" s="2682"/>
      <c r="AO388" s="2682"/>
      <c r="AP388" s="2682"/>
      <c r="AQ388" s="2635">
        <f>+AA!Q23</f>
        <v>4989384474.84</v>
      </c>
      <c r="AR388" s="2635"/>
      <c r="AS388" s="2635"/>
      <c r="AT388" s="2635"/>
      <c r="AU388" s="2635"/>
      <c r="AV388" s="2635"/>
      <c r="AW388" s="2430"/>
    </row>
    <row r="389" s="3330" customFormat="1" spans="1:49">
      <c r="A389" s="3340"/>
      <c r="B389" s="3315"/>
      <c r="C389" s="5044" t="s">
        <v>1885</v>
      </c>
      <c r="D389"/>
      <c r="E389"/>
      <c r="F389"/>
      <c r="G389"/>
      <c r="H389"/>
      <c r="I389"/>
      <c r="J389"/>
      <c r="K389"/>
      <c r="L389"/>
      <c r="M389"/>
      <c r="N389"/>
      <c r="O389"/>
      <c r="P389"/>
      <c r="Q389"/>
      <c r="R389"/>
      <c r="S389"/>
      <c r="T389"/>
      <c r="U389"/>
      <c r="V389"/>
      <c r="W389"/>
      <c r="X389"/>
      <c r="Y389"/>
      <c r="Z389"/>
      <c r="AA389"/>
      <c r="AB389" s="2682">
        <f>+AA!J24</f>
        <v>2500000000</v>
      </c>
      <c r="AC389" s="2682"/>
      <c r="AD389" s="2682"/>
      <c r="AE389" s="2682"/>
      <c r="AF389" s="2682"/>
      <c r="AG389" s="2682"/>
      <c r="AH389" s="2682"/>
      <c r="AI389" s="3326"/>
      <c r="AJ389" s="2682">
        <f>+AA!P24</f>
        <v>0</v>
      </c>
      <c r="AK389" s="2682"/>
      <c r="AL389" s="2682"/>
      <c r="AM389" s="2682"/>
      <c r="AN389" s="2682"/>
      <c r="AO389" s="2682"/>
      <c r="AP389" s="2682"/>
      <c r="AQ389" s="2635">
        <f>+AA!Q24</f>
        <v>0</v>
      </c>
      <c r="AR389" s="2635"/>
      <c r="AS389" s="2635"/>
      <c r="AT389" s="2635"/>
      <c r="AU389" s="2635"/>
      <c r="AV389" s="2635"/>
      <c r="AW389" s="2430"/>
    </row>
    <row r="390" s="3330" customFormat="1" ht="3.6" customHeight="1" spans="1:49">
      <c r="A390" s="3340"/>
      <c r="B390" s="3315"/>
      <c r="C390"/>
      <c r="D390"/>
      <c r="E390"/>
      <c r="F390"/>
      <c r="G390"/>
      <c r="H390"/>
      <c r="I390"/>
      <c r="J390"/>
      <c r="K390"/>
      <c r="L390"/>
      <c r="M390"/>
      <c r="N390"/>
      <c r="O390"/>
      <c r="P390"/>
      <c r="Q390"/>
      <c r="R390"/>
      <c r="S390"/>
      <c r="T390"/>
      <c r="U390"/>
      <c r="V390"/>
      <c r="W390"/>
      <c r="X390"/>
      <c r="Y390"/>
      <c r="Z390"/>
      <c r="AA390"/>
      <c r="AB390" s="2682"/>
      <c r="AC390" s="2682"/>
      <c r="AD390" s="2682"/>
      <c r="AE390" s="2682"/>
      <c r="AF390" s="2682"/>
      <c r="AG390" s="2682"/>
      <c r="AH390" s="2682"/>
      <c r="AI390" s="3326"/>
      <c r="AJ390" s="2682"/>
      <c r="AK390" s="2682"/>
      <c r="AL390" s="2682"/>
      <c r="AM390" s="2682"/>
      <c r="AN390" s="2682"/>
      <c r="AO390" s="2682"/>
      <c r="AP390" s="2682"/>
      <c r="AQ390" s="2635"/>
      <c r="AR390" s="2635"/>
      <c r="AS390" s="2635"/>
      <c r="AT390" s="2635"/>
      <c r="AU390" s="2635"/>
      <c r="AV390" s="2635"/>
      <c r="AW390" s="2430"/>
    </row>
    <row r="391" s="3330" customFormat="1" customHeight="1" spans="1:49">
      <c r="A391" s="3340"/>
      <c r="B391" s="3315"/>
      <c r="C391" t="s">
        <v>1886</v>
      </c>
      <c r="AB391" s="3494">
        <f>SUM(AB387:AH390)</f>
        <v>10563354385.51</v>
      </c>
      <c r="AC391" s="3494"/>
      <c r="AD391" s="3494"/>
      <c r="AE391" s="3494"/>
      <c r="AF391" s="3494"/>
      <c r="AG391" s="3494"/>
      <c r="AH391" s="3494"/>
      <c r="AI391" s="3326"/>
      <c r="AJ391" s="3494">
        <f>SUM(AJ387:AP390)</f>
        <v>8697841150.04</v>
      </c>
      <c r="AK391" s="3494"/>
      <c r="AL391" s="3494"/>
      <c r="AM391" s="3494"/>
      <c r="AN391" s="3494"/>
      <c r="AO391" s="3494"/>
      <c r="AP391" s="3494"/>
      <c r="AQ391" s="3499">
        <f>SUM(AQ387:AW390)</f>
        <v>10160488508.84</v>
      </c>
      <c r="AR391" s="3499"/>
      <c r="AS391" s="3499"/>
      <c r="AT391" s="3499"/>
      <c r="AU391" s="3499"/>
      <c r="AV391" s="3499"/>
      <c r="AW391" s="2433"/>
    </row>
    <row r="392" s="3330" customFormat="1" ht="6.95" customHeight="1" spans="1:49">
      <c r="A392" s="3340"/>
      <c r="B392" s="3315"/>
      <c r="C392"/>
      <c r="AB392" s="2912"/>
      <c r="AC392" s="2912"/>
      <c r="AD392" s="2912"/>
      <c r="AE392" s="2912"/>
      <c r="AF392" s="2912"/>
      <c r="AG392" s="2912"/>
      <c r="AH392" s="2912"/>
      <c r="AI392" s="3326"/>
      <c r="AJ392" s="2912"/>
      <c r="AK392" s="2912"/>
      <c r="AL392" s="2912"/>
      <c r="AM392" s="2912"/>
      <c r="AN392" s="2912"/>
      <c r="AO392" s="2912"/>
      <c r="AP392" s="2912"/>
      <c r="AQ392" s="2912"/>
      <c r="AR392" s="2912"/>
      <c r="AS392" s="2912"/>
      <c r="AT392" s="2912"/>
      <c r="AU392" s="2912"/>
      <c r="AV392" s="2912"/>
      <c r="AW392" s="3498"/>
    </row>
    <row r="393" s="3330" customFormat="1" customHeight="1" spans="1:49">
      <c r="A393" s="3340"/>
      <c r="B393" s="3315"/>
      <c r="C393" s="5091" t="s">
        <v>1887</v>
      </c>
      <c r="AB393" s="2912"/>
      <c r="AC393" s="2912"/>
      <c r="AD393" s="2912"/>
      <c r="AE393" s="2912"/>
      <c r="AF393" s="2912"/>
      <c r="AG393" s="2912"/>
      <c r="AH393" s="2912"/>
      <c r="AI393" s="3326"/>
      <c r="AJ393" s="2912"/>
      <c r="AK393" s="2912"/>
      <c r="AL393" s="2912"/>
      <c r="AM393" s="2912"/>
      <c r="AN393" s="2912"/>
      <c r="AO393" s="2912"/>
      <c r="AP393" s="2912"/>
      <c r="AQ393" s="2912"/>
      <c r="AR393" s="2912"/>
      <c r="AS393" s="2912"/>
      <c r="AT393" s="2912"/>
      <c r="AU393" s="2912"/>
      <c r="AV393" s="2912"/>
      <c r="AW393" s="3498"/>
    </row>
    <row r="394" s="3330" customFormat="1" customHeight="1" spans="1:49">
      <c r="A394" s="3340"/>
      <c r="B394" s="3315"/>
      <c r="C394" s="5044" t="s">
        <v>1880</v>
      </c>
      <c r="AB394" s="2682">
        <f>+AB380+AB387</f>
        <v>6985034955</v>
      </c>
      <c r="AC394" s="2682"/>
      <c r="AD394" s="2682"/>
      <c r="AE394" s="2682"/>
      <c r="AF394" s="2682"/>
      <c r="AG394" s="2682"/>
      <c r="AH394" s="2682"/>
      <c r="AI394" s="3326"/>
      <c r="AJ394" s="2682">
        <f>+AJ380+AJ387</f>
        <v>8581972590</v>
      </c>
      <c r="AK394" s="2682"/>
      <c r="AL394" s="2682"/>
      <c r="AM394" s="2682"/>
      <c r="AN394" s="2682"/>
      <c r="AO394" s="2682"/>
      <c r="AP394" s="2682"/>
      <c r="AQ394" s="2635">
        <f>+AQ380+AQ387</f>
        <v>10941687898</v>
      </c>
      <c r="AR394" s="2635"/>
      <c r="AS394" s="2635"/>
      <c r="AT394" s="2635"/>
      <c r="AU394" s="2635"/>
      <c r="AV394" s="2635"/>
      <c r="AW394" s="2430"/>
    </row>
    <row r="395" s="3330" customFormat="1" customHeight="1" spans="1:49">
      <c r="A395" s="3340"/>
      <c r="B395" s="3315"/>
      <c r="C395" t="s">
        <v>1881</v>
      </c>
      <c r="AB395" s="2682">
        <f>+AB381+AB388</f>
        <v>6011894385.51</v>
      </c>
      <c r="AC395" s="2682"/>
      <c r="AD395" s="2682"/>
      <c r="AE395" s="2682"/>
      <c r="AF395" s="2682"/>
      <c r="AG395" s="2682"/>
      <c r="AH395" s="2682"/>
      <c r="AI395" s="3326"/>
      <c r="AJ395" s="2682">
        <f>+AJ381+AJ388</f>
        <v>6174539335.2</v>
      </c>
      <c r="AK395" s="2682"/>
      <c r="AL395" s="2682"/>
      <c r="AM395" s="2682"/>
      <c r="AN395" s="2682"/>
      <c r="AO395" s="2682"/>
      <c r="AP395" s="2682"/>
      <c r="AQ395" s="2635">
        <f>+AQ381+AQ388</f>
        <v>6289990643</v>
      </c>
      <c r="AR395" s="2635"/>
      <c r="AS395" s="2635"/>
      <c r="AT395" s="2635"/>
      <c r="AU395" s="2635"/>
      <c r="AV395" s="2635"/>
      <c r="AW395" s="2430"/>
    </row>
    <row r="396" s="3330" customFormat="1" customHeight="1" spans="1:49">
      <c r="A396" s="3340"/>
      <c r="B396" s="3315"/>
      <c r="C396" s="5044" t="s">
        <v>1882</v>
      </c>
      <c r="AB396" s="2682">
        <f>+AB382+AB389</f>
        <v>5000000000</v>
      </c>
      <c r="AC396" s="2682"/>
      <c r="AD396" s="2682"/>
      <c r="AE396" s="2682"/>
      <c r="AF396" s="2682"/>
      <c r="AG396" s="2682"/>
      <c r="AH396" s="2682"/>
      <c r="AI396" s="3326"/>
      <c r="AJ396" s="2682">
        <f>+AJ382+AJ389</f>
        <v>5000000000</v>
      </c>
      <c r="AK396" s="2682"/>
      <c r="AL396" s="2682"/>
      <c r="AM396" s="2682"/>
      <c r="AN396" s="2682"/>
      <c r="AO396" s="2682"/>
      <c r="AP396" s="2682"/>
      <c r="AQ396" s="2635">
        <f>+AQ382+AQ389</f>
        <v>5000000000</v>
      </c>
      <c r="AR396" s="2635"/>
      <c r="AS396" s="2635"/>
      <c r="AT396" s="2635"/>
      <c r="AU396" s="2635"/>
      <c r="AV396" s="2635"/>
      <c r="AW396" s="2430"/>
    </row>
    <row r="397" s="3330" customFormat="1" ht="3.95" customHeight="1" spans="1:49">
      <c r="A397" s="3340"/>
      <c r="B397" s="3315"/>
      <c r="C397"/>
      <c r="AB397" s="2912"/>
      <c r="AC397" s="2912"/>
      <c r="AD397" s="2912"/>
      <c r="AE397" s="2912"/>
      <c r="AF397" s="2912"/>
      <c r="AG397" s="2912"/>
      <c r="AH397" s="2912"/>
      <c r="AI397" s="3326"/>
      <c r="AJ397" s="2912"/>
      <c r="AK397" s="2912"/>
      <c r="AL397" s="2912"/>
      <c r="AM397" s="2912"/>
      <c r="AN397" s="2912"/>
      <c r="AO397" s="2912"/>
      <c r="AP397" s="2912"/>
      <c r="AQ397" s="2912"/>
      <c r="AR397" s="2912"/>
      <c r="AS397" s="2912"/>
      <c r="AT397" s="2912"/>
      <c r="AU397" s="2912"/>
      <c r="AV397" s="2912"/>
      <c r="AW397" s="3498"/>
    </row>
    <row r="398" s="3330" customFormat="1" customHeight="1" spans="1:49">
      <c r="A398" s="3340"/>
      <c r="B398" s="3315"/>
      <c r="C398" s="94" t="s">
        <v>1888</v>
      </c>
      <c r="AB398" s="3495">
        <f>SUM(AB388:AH391)</f>
        <v>17817248771.02</v>
      </c>
      <c r="AC398" s="3495"/>
      <c r="AD398" s="3495"/>
      <c r="AE398" s="3495"/>
      <c r="AF398" s="3495"/>
      <c r="AG398" s="3495"/>
      <c r="AH398" s="3495"/>
      <c r="AI398" s="3326"/>
      <c r="AJ398" s="3495">
        <f>SUM(AJ388:AP391)</f>
        <v>13571774317.08</v>
      </c>
      <c r="AK398" s="3495"/>
      <c r="AL398" s="3495"/>
      <c r="AM398" s="3495"/>
      <c r="AN398" s="3495"/>
      <c r="AO398" s="3495"/>
      <c r="AP398" s="3495"/>
      <c r="AQ398" s="3500">
        <f>SUM(AQ388:AW391)</f>
        <v>15149872983.68</v>
      </c>
      <c r="AR398" s="3500"/>
      <c r="AS398" s="3500"/>
      <c r="AT398" s="3500"/>
      <c r="AU398" s="3500"/>
      <c r="AV398" s="3500"/>
      <c r="AW398" s="2433"/>
    </row>
    <row r="399" s="3330" customFormat="1" ht="9.2" customHeight="1" spans="1:49">
      <c r="A399" s="3335"/>
      <c r="B399" s="3315"/>
      <c r="C399" s="3322"/>
      <c r="D399" s="3315"/>
      <c r="E399" s="3315"/>
      <c r="F399" s="3315"/>
      <c r="G399" s="3315"/>
      <c r="H399" s="3315"/>
      <c r="I399" s="3315"/>
      <c r="J399" s="3315"/>
      <c r="K399" s="3315"/>
      <c r="L399" s="3315"/>
      <c r="M399" s="3315"/>
      <c r="N399" s="3315"/>
      <c r="O399" s="3315"/>
      <c r="P399" s="3315"/>
      <c r="Q399" s="3315"/>
      <c r="R399" s="3315"/>
      <c r="S399" s="3315"/>
      <c r="T399" s="3315"/>
      <c r="U399" s="3315"/>
      <c r="V399" s="3315"/>
      <c r="W399" s="3315"/>
      <c r="X399" s="3315"/>
      <c r="Y399" s="3315"/>
      <c r="Z399" s="3315"/>
      <c r="AA399" s="3315"/>
      <c r="AB399" s="3496"/>
      <c r="AC399" s="3497"/>
      <c r="AD399" s="3497"/>
      <c r="AE399" s="3497"/>
      <c r="AF399" s="3497"/>
      <c r="AG399" s="3497"/>
      <c r="AH399" s="3497"/>
      <c r="AI399" s="64"/>
      <c r="AJ399" s="3349"/>
      <c r="AK399" s="3349"/>
      <c r="AL399" s="3349"/>
      <c r="AM399" s="3349"/>
      <c r="AN399" s="3349"/>
      <c r="AO399" s="3349"/>
      <c r="AP399" s="3349"/>
      <c r="AR399" s="3479"/>
      <c r="AW399" s="3371"/>
    </row>
    <row r="400" s="3330" customFormat="1" customHeight="1" spans="1:49">
      <c r="A400" s="3340"/>
      <c r="B400" s="94"/>
      <c r="AW400" s="3371"/>
    </row>
    <row r="401" s="3330" customFormat="1" ht="6" customHeight="1" spans="1:49">
      <c r="A401" s="3340"/>
      <c r="B401" s="64"/>
      <c r="AW401" s="3371"/>
    </row>
    <row r="402" s="3330" customFormat="1" spans="1:49">
      <c r="A402" s="3340"/>
      <c r="B402" s="64"/>
      <c r="AW402" s="3371"/>
    </row>
    <row r="403" s="3330" customFormat="1" ht="6.6" customHeight="1" spans="1:49">
      <c r="A403" s="3340"/>
      <c r="B403" s="64"/>
      <c r="AW403" s="3371"/>
    </row>
    <row r="404" s="3330" customFormat="1" spans="1:49">
      <c r="A404" s="3340"/>
      <c r="B404" s="64"/>
      <c r="AW404" s="3371"/>
    </row>
    <row r="405" s="3330" customFormat="1" ht="5.1" customHeight="1" spans="1:49">
      <c r="A405" s="3340"/>
      <c r="B405" s="64"/>
      <c r="AW405" s="3371"/>
    </row>
    <row r="406" s="3330" customFormat="1" customHeight="1" spans="1:49">
      <c r="A406" s="3340"/>
      <c r="B406" s="64"/>
      <c r="AW406" s="3371"/>
    </row>
    <row r="407" s="3330" customFormat="1" hidden="1" spans="1:49">
      <c r="A407" s="3340"/>
      <c r="B407" s="64"/>
      <c r="AW407" s="3371"/>
    </row>
    <row r="408" s="3330" customFormat="1" customHeight="1" spans="1:49">
      <c r="A408" s="3340"/>
      <c r="B408" s="64"/>
      <c r="AW408" s="3371"/>
    </row>
    <row r="409" s="3330" customFormat="1" customHeight="1" spans="1:49">
      <c r="A409" s="3340"/>
      <c r="B409" s="64"/>
      <c r="AW409" s="3371"/>
    </row>
    <row r="410" s="3330" customFormat="1" hidden="1" customHeight="1" spans="1:49">
      <c r="A410" s="3340"/>
      <c r="B410" s="64"/>
      <c r="AW410" s="3371"/>
    </row>
    <row r="411" s="3330" customFormat="1" hidden="1" customHeight="1" spans="1:49">
      <c r="A411" s="3340"/>
      <c r="B411" s="64"/>
      <c r="AW411" s="3371"/>
    </row>
    <row r="412" s="3330" customFormat="1" customHeight="1" spans="1:49">
      <c r="A412" s="3340"/>
      <c r="B412" s="64"/>
      <c r="AW412" s="3371"/>
    </row>
    <row r="413" s="3330" customFormat="1" ht="11.4" spans="1:49">
      <c r="A413" s="3385">
        <f>+A328+1</f>
        <v>13</v>
      </c>
      <c r="B413" s="3385"/>
      <c r="C413" s="3385"/>
      <c r="D413" s="3385"/>
      <c r="E413" s="3385"/>
      <c r="F413" s="3385"/>
      <c r="G413" s="3385"/>
      <c r="H413" s="3385"/>
      <c r="I413" s="3385"/>
      <c r="J413" s="3385"/>
      <c r="K413" s="3385"/>
      <c r="L413" s="3385"/>
      <c r="M413" s="3385"/>
      <c r="N413" s="3385"/>
      <c r="O413" s="3385"/>
      <c r="P413" s="3385"/>
      <c r="Q413" s="3385"/>
      <c r="R413" s="3385"/>
      <c r="S413" s="3385"/>
      <c r="T413" s="3385"/>
      <c r="U413" s="3385"/>
      <c r="V413" s="3385"/>
      <c r="W413" s="3385"/>
      <c r="X413" s="3385"/>
      <c r="Y413" s="3385"/>
      <c r="Z413" s="3385"/>
      <c r="AA413" s="3385"/>
      <c r="AB413" s="3385"/>
      <c r="AC413" s="3385"/>
      <c r="AD413" s="3385"/>
      <c r="AE413" s="3385"/>
      <c r="AF413" s="3385"/>
      <c r="AG413" s="3385"/>
      <c r="AH413" s="3385"/>
      <c r="AI413" s="3385"/>
      <c r="AJ413" s="3385"/>
      <c r="AK413" s="3385"/>
      <c r="AL413" s="3385"/>
      <c r="AM413" s="3385"/>
      <c r="AN413" s="3385"/>
      <c r="AO413" s="3385"/>
      <c r="AP413" s="3385"/>
      <c r="AR413" s="3479"/>
      <c r="AW413" s="3371"/>
    </row>
    <row r="414" s="3330" customFormat="1" spans="1:49">
      <c r="A414" s="3335">
        <f>A377</f>
        <v>12</v>
      </c>
      <c r="B414" s="3315"/>
      <c r="C414" s="3322" t="s">
        <v>1910</v>
      </c>
      <c r="D414" s="64"/>
      <c r="E414" s="64"/>
      <c r="F414" s="3339"/>
      <c r="G414" s="3339"/>
      <c r="H414" s="3339"/>
      <c r="I414" s="3341"/>
      <c r="J414" s="3341"/>
      <c r="K414" s="3341"/>
      <c r="M414" s="3339"/>
      <c r="N414" s="3489"/>
      <c r="O414"/>
      <c r="P414"/>
      <c r="Q414"/>
      <c r="R414"/>
      <c r="S414"/>
      <c r="T414"/>
      <c r="U414"/>
      <c r="V414"/>
      <c r="W414"/>
      <c r="X414"/>
      <c r="Y414"/>
      <c r="Z414"/>
      <c r="AA414"/>
      <c r="AB414" s="3498"/>
      <c r="AC414" s="3498"/>
      <c r="AD414" s="3498"/>
      <c r="AE414" s="3498"/>
      <c r="AF414" s="3498"/>
      <c r="AG414" s="3498"/>
      <c r="AH414" s="3498"/>
      <c r="AI414" s="94"/>
      <c r="AJ414" s="3498"/>
      <c r="AK414" s="3498"/>
      <c r="AL414" s="3498"/>
      <c r="AM414" s="3498"/>
      <c r="AN414" s="3498"/>
      <c r="AO414" s="3498"/>
      <c r="AP414" s="3498"/>
      <c r="AR414" s="3479"/>
      <c r="AW414" s="3371"/>
    </row>
    <row r="415" s="3330" customFormat="1" spans="1:49">
      <c r="A415" s="3340"/>
      <c r="B415" s="64"/>
      <c r="D415" s="3480"/>
      <c r="F415" s="3339"/>
      <c r="G415" s="3339"/>
      <c r="H415" s="3339"/>
      <c r="I415" s="3341"/>
      <c r="J415" s="3341"/>
      <c r="K415" s="3341"/>
      <c r="M415" s="3339"/>
      <c r="N415" s="3489"/>
      <c r="O415"/>
      <c r="P415"/>
      <c r="Q415"/>
      <c r="R415"/>
      <c r="S415"/>
      <c r="T415"/>
      <c r="U415"/>
      <c r="V415"/>
      <c r="W415"/>
      <c r="X415"/>
      <c r="Y415"/>
      <c r="Z415"/>
      <c r="AA415"/>
      <c r="AB415" s="3498"/>
      <c r="AC415" s="3498"/>
      <c r="AD415" s="3498"/>
      <c r="AE415" s="3498"/>
      <c r="AF415" s="3498"/>
      <c r="AG415" s="3498"/>
      <c r="AH415" s="3498"/>
      <c r="AI415" s="94"/>
      <c r="AJ415" s="3498"/>
      <c r="AK415" s="3498"/>
      <c r="AL415" s="3498"/>
      <c r="AM415" s="3498"/>
      <c r="AN415" s="3498"/>
      <c r="AO415" s="3498"/>
      <c r="AP415" s="3498"/>
      <c r="AR415" s="3479"/>
      <c r="AW415" s="3371"/>
    </row>
    <row r="416" s="3330" customFormat="1" spans="1:49">
      <c r="A416" s="3340"/>
      <c r="B416" s="64"/>
      <c r="C416" s="94" t="s">
        <v>1889</v>
      </c>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2682"/>
      <c r="AC416" s="2682"/>
      <c r="AD416" s="2682"/>
      <c r="AE416" s="2682"/>
      <c r="AF416" s="2682"/>
      <c r="AG416" s="2682"/>
      <c r="AH416" s="2682"/>
      <c r="AI416" s="3326"/>
      <c r="AJ416" s="2682"/>
      <c r="AK416" s="2682"/>
      <c r="AL416" s="2682"/>
      <c r="AM416" s="2682"/>
      <c r="AN416" s="2682"/>
      <c r="AO416" s="2682"/>
      <c r="AP416" s="2682"/>
      <c r="AQ416"/>
      <c r="AR416"/>
      <c r="AS416"/>
      <c r="AT416"/>
      <c r="AU416"/>
      <c r="AV416"/>
      <c r="AW416"/>
    </row>
    <row r="417" s="3330" customFormat="1" spans="1:49">
      <c r="A417" s="3340"/>
      <c r="B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2682"/>
      <c r="AC417" s="2682"/>
      <c r="AD417" s="2682"/>
      <c r="AE417" s="2682"/>
      <c r="AF417" s="2682"/>
      <c r="AG417" s="2682"/>
      <c r="AH417" s="2682"/>
      <c r="AI417" s="3326"/>
      <c r="AJ417" s="2682"/>
      <c r="AK417" s="2682"/>
      <c r="AL417" s="2682"/>
      <c r="AM417" s="2682"/>
      <c r="AN417" s="2682"/>
      <c r="AO417" s="2682"/>
      <c r="AP417" s="2682"/>
      <c r="AR417" s="3479"/>
      <c r="AW417" s="3371"/>
    </row>
    <row r="418" s="3330" customFormat="1" spans="1:49">
      <c r="A418" s="3340"/>
      <c r="B418" s="64"/>
      <c r="C418" s="5092" t="s">
        <v>1890</v>
      </c>
      <c r="D418" s="3482"/>
      <c r="E418" s="3482"/>
      <c r="F418" s="3482"/>
      <c r="G418" s="3482"/>
      <c r="H418" s="3482"/>
      <c r="I418" s="3482"/>
      <c r="J418" s="3482"/>
      <c r="K418" s="3482"/>
      <c r="L418" s="3482"/>
      <c r="M418" s="3482"/>
      <c r="N418" s="3482"/>
      <c r="O418" s="3482"/>
      <c r="P418" s="3482"/>
      <c r="Q418" s="3482"/>
      <c r="R418" s="3482"/>
      <c r="S418" s="3482"/>
      <c r="T418" s="3482"/>
      <c r="U418" s="3482"/>
      <c r="V418" s="3482"/>
      <c r="W418" s="3482"/>
      <c r="X418" s="3482"/>
      <c r="Y418" s="3482"/>
      <c r="Z418" s="3482"/>
      <c r="AA418" s="3482"/>
      <c r="AB418" s="3482"/>
      <c r="AC418" s="3482"/>
      <c r="AD418" s="3482"/>
      <c r="AE418" s="3482"/>
      <c r="AF418" s="3482"/>
      <c r="AG418" s="3482"/>
      <c r="AH418" s="3482"/>
      <c r="AI418" s="3482"/>
      <c r="AJ418" s="3482"/>
      <c r="AK418" s="3482"/>
      <c r="AL418" s="3482"/>
      <c r="AM418" s="3482"/>
      <c r="AN418" s="3482"/>
      <c r="AO418" s="3481"/>
      <c r="AP418" s="3481"/>
      <c r="AR418" s="3479"/>
      <c r="AW418" s="3371"/>
    </row>
    <row r="419" s="3330" customFormat="1" spans="1:49">
      <c r="A419" s="3340"/>
      <c r="B419" s="64"/>
      <c r="C419" s="3322"/>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R419" s="3479"/>
      <c r="AW419" s="3371"/>
    </row>
    <row r="420" s="3330" customFormat="1" spans="1:49">
      <c r="A420" s="3340"/>
      <c r="B420" s="64"/>
      <c r="C420" s="3322"/>
      <c r="D420" s="3483" t="s">
        <v>1891</v>
      </c>
      <c r="E420" s="3483"/>
      <c r="F420" s="3483"/>
      <c r="G420" s="3483"/>
      <c r="H420" s="3483"/>
      <c r="I420" s="3483"/>
      <c r="J420" s="3483"/>
      <c r="K420" s="94"/>
      <c r="L420" s="94"/>
      <c r="M420" s="94"/>
      <c r="N420" s="94"/>
      <c r="O420" s="94"/>
      <c r="P420" s="94"/>
      <c r="Q420" s="94"/>
      <c r="R420" s="64"/>
      <c r="S420" s="3493" t="s">
        <v>1892</v>
      </c>
      <c r="T420" s="3493"/>
      <c r="U420" s="3493"/>
      <c r="V420" s="3493"/>
      <c r="W420" s="3493"/>
      <c r="X420" s="64"/>
      <c r="Y420" s="64"/>
      <c r="Z420" s="64"/>
      <c r="AA420" s="64"/>
      <c r="AB420" s="3359">
        <f>+AB377</f>
        <v>2022</v>
      </c>
      <c r="AC420" s="3360"/>
      <c r="AD420" s="3360"/>
      <c r="AE420" s="3360"/>
      <c r="AF420" s="3360"/>
      <c r="AG420" s="3360"/>
      <c r="AH420" s="3360"/>
      <c r="AI420" s="64"/>
      <c r="AJ420" s="3359">
        <f>+AJ377</f>
        <v>2021</v>
      </c>
      <c r="AK420" s="3360"/>
      <c r="AL420" s="3360"/>
      <c r="AM420" s="3360"/>
      <c r="AN420" s="3360"/>
      <c r="AO420" s="3360"/>
      <c r="AP420" s="3360"/>
      <c r="AQ420" s="3360">
        <f>+AQ377</f>
        <v>2020</v>
      </c>
      <c r="AR420" s="3360"/>
      <c r="AS420" s="3360"/>
      <c r="AT420" s="3360"/>
      <c r="AU420" s="3360"/>
      <c r="AV420" s="3360"/>
      <c r="AW420" s="3381"/>
    </row>
    <row r="421" s="3330" customFormat="1" spans="1:49">
      <c r="A421" s="3340"/>
      <c r="B421" s="64"/>
      <c r="C421" s="3322"/>
      <c r="D421" s="64"/>
      <c r="E421" s="64"/>
      <c r="F421" s="64"/>
      <c r="G421" s="64"/>
      <c r="H421" s="64"/>
      <c r="I421" s="64"/>
      <c r="J421" s="64"/>
      <c r="K421" s="64"/>
      <c r="L421" s="64"/>
      <c r="M421" s="64"/>
      <c r="N421" s="64"/>
      <c r="O421" s="64"/>
      <c r="P421" s="64"/>
      <c r="Q421" s="64"/>
      <c r="R421" s="64"/>
      <c r="S421" s="94"/>
      <c r="T421" s="64"/>
      <c r="U421" s="64"/>
      <c r="V421" s="64"/>
      <c r="W421" s="64"/>
      <c r="X421" s="64"/>
      <c r="Y421" s="64"/>
      <c r="Z421" s="64"/>
      <c r="AA421" s="64"/>
      <c r="AB421" s="3496"/>
      <c r="AC421" s="3497"/>
      <c r="AD421" s="3497"/>
      <c r="AE421" s="3497"/>
      <c r="AF421" s="3497"/>
      <c r="AG421" s="3497"/>
      <c r="AH421" s="3497"/>
      <c r="AI421" s="64"/>
      <c r="AJ421" s="3496"/>
      <c r="AK421" s="3497"/>
      <c r="AL421" s="3497"/>
      <c r="AM421" s="3497"/>
      <c r="AN421" s="3497"/>
      <c r="AO421" s="3497"/>
      <c r="AP421" s="3497"/>
      <c r="AQ421" s="3496"/>
      <c r="AR421" s="3497"/>
      <c r="AS421" s="3497"/>
      <c r="AT421" s="3497"/>
      <c r="AU421" s="3497"/>
      <c r="AV421" s="3497"/>
      <c r="AW421" s="3380"/>
    </row>
    <row r="422" s="3330" customFormat="1" spans="1:49">
      <c r="A422" s="3340"/>
      <c r="B422" s="64"/>
      <c r="D422" s="3484" t="s">
        <v>1893</v>
      </c>
      <c r="F422" s="3339"/>
      <c r="G422" s="3339"/>
      <c r="H422" s="3339"/>
      <c r="I422" s="3341"/>
      <c r="J422" s="3341"/>
      <c r="K422" s="3341"/>
      <c r="O422"/>
      <c r="P422"/>
      <c r="Q422"/>
      <c r="R422" s="5036" t="s">
        <v>225</v>
      </c>
      <c r="S422" s="3489"/>
      <c r="T422"/>
      <c r="U422"/>
      <c r="V422"/>
      <c r="W422"/>
      <c r="X422"/>
      <c r="Y422"/>
      <c r="Z422"/>
      <c r="AA422"/>
      <c r="AB422" s="2682">
        <f>+AA!E44</f>
        <v>1500000000</v>
      </c>
      <c r="AC422" s="2682"/>
      <c r="AD422" s="2682"/>
      <c r="AE422" s="2682"/>
      <c r="AF422" s="2682"/>
      <c r="AG422" s="2682"/>
      <c r="AH422" s="2682"/>
      <c r="AI422" s="3326"/>
      <c r="AJ422" s="2682">
        <f>+AA!F44</f>
        <v>1500000000</v>
      </c>
      <c r="AK422" s="2682"/>
      <c r="AL422" s="2682"/>
      <c r="AM422" s="2682"/>
      <c r="AN422" s="2682"/>
      <c r="AO422" s="2682"/>
      <c r="AP422" s="2682"/>
      <c r="AQ422" s="2635">
        <f>+AA!G44</f>
        <v>1500000000</v>
      </c>
      <c r="AR422" s="2635"/>
      <c r="AS422" s="2635"/>
      <c r="AT422" s="2635"/>
      <c r="AU422" s="2635"/>
      <c r="AV422" s="2635"/>
      <c r="AW422" s="2430"/>
    </row>
    <row r="423" s="3330" customFormat="1" spans="1:49">
      <c r="A423" s="3340"/>
      <c r="B423" s="64"/>
      <c r="D423" s="3484" t="s">
        <v>1894</v>
      </c>
      <c r="F423" s="3339"/>
      <c r="G423" s="3339"/>
      <c r="H423" s="3339"/>
      <c r="I423" s="3341"/>
      <c r="J423" s="3341"/>
      <c r="K423" s="3341"/>
      <c r="M423" s="3339"/>
      <c r="N423" s="3489"/>
      <c r="O423"/>
      <c r="P423"/>
      <c r="Q423"/>
      <c r="R423"/>
      <c r="S423"/>
      <c r="T423"/>
      <c r="U423"/>
      <c r="V423"/>
      <c r="W423"/>
      <c r="X423"/>
      <c r="Y423"/>
      <c r="Z423"/>
      <c r="AA423"/>
      <c r="AB423" s="2682">
        <f>+AA!E45</f>
        <v>0</v>
      </c>
      <c r="AC423" s="2682"/>
      <c r="AD423" s="2682"/>
      <c r="AE423" s="2682"/>
      <c r="AF423" s="2682"/>
      <c r="AG423" s="2682"/>
      <c r="AH423" s="2682"/>
      <c r="AI423"/>
      <c r="AJ423" s="2682">
        <f>+AA!F45</f>
        <v>0</v>
      </c>
      <c r="AK423" s="2682"/>
      <c r="AL423" s="2682"/>
      <c r="AM423" s="2682"/>
      <c r="AN423" s="2682"/>
      <c r="AO423" s="2682"/>
      <c r="AP423" s="2682"/>
      <c r="AQ423" s="2635">
        <f>+AA!G45</f>
        <v>0</v>
      </c>
      <c r="AR423" s="2635"/>
      <c r="AS423" s="2635"/>
      <c r="AT423" s="2635"/>
      <c r="AU423" s="2635"/>
      <c r="AV423" s="2635"/>
      <c r="AW423" s="2430"/>
    </row>
    <row r="424" s="3330" customFormat="1" spans="1:49">
      <c r="A424" s="3340"/>
      <c r="B424" s="64"/>
      <c r="D424" s="3484" t="s">
        <v>1895</v>
      </c>
      <c r="F424" s="3339"/>
      <c r="G424" s="3339"/>
      <c r="H424" s="3339"/>
      <c r="I424" s="3341"/>
      <c r="J424" s="3341"/>
      <c r="K424" s="3341"/>
      <c r="M424" s="3339"/>
      <c r="N424" s="3489"/>
      <c r="O424"/>
      <c r="P424"/>
      <c r="Q424"/>
      <c r="R424" s="5036" t="s">
        <v>225</v>
      </c>
      <c r="S424" s="5093" t="s">
        <v>1896</v>
      </c>
      <c r="T424"/>
      <c r="U424"/>
      <c r="V424"/>
      <c r="W424"/>
      <c r="X424"/>
      <c r="Y424"/>
      <c r="Z424"/>
      <c r="AA424"/>
      <c r="AB424" s="2682">
        <f>+AA!E46</f>
        <v>274691537</v>
      </c>
      <c r="AC424" s="2682"/>
      <c r="AD424" s="2682"/>
      <c r="AE424" s="2682"/>
      <c r="AF424" s="2682"/>
      <c r="AG424" s="2682"/>
      <c r="AH424" s="2682"/>
      <c r="AI424"/>
      <c r="AJ424" s="2682">
        <f>+AA!F46</f>
        <v>1123343949</v>
      </c>
      <c r="AK424" s="2682"/>
      <c r="AL424" s="2682"/>
      <c r="AM424" s="2682"/>
      <c r="AN424" s="2682"/>
      <c r="AO424" s="2682"/>
      <c r="AP424" s="2682"/>
      <c r="AQ424" s="2635">
        <f>+AA!G46</f>
        <v>1220540000</v>
      </c>
      <c r="AR424" s="2635"/>
      <c r="AS424" s="2635"/>
      <c r="AT424" s="2635"/>
      <c r="AU424" s="2635"/>
      <c r="AV424" s="2635"/>
      <c r="AW424" s="2430"/>
    </row>
    <row r="425" s="3330" customFormat="1" spans="1:50">
      <c r="A425" s="3340"/>
      <c r="B425" s="64"/>
      <c r="D425" s="3484" t="s">
        <v>1897</v>
      </c>
      <c r="F425" s="3339"/>
      <c r="G425" s="3339"/>
      <c r="H425" s="3339"/>
      <c r="I425" s="3341"/>
      <c r="J425" s="3341"/>
      <c r="K425" s="3341"/>
      <c r="M425" s="3339"/>
      <c r="N425" s="3489"/>
      <c r="O425"/>
      <c r="P425"/>
      <c r="Q425"/>
      <c r="R425" s="5036" t="s">
        <v>225</v>
      </c>
      <c r="S425" s="5044" t="s">
        <v>1898</v>
      </c>
      <c r="T425"/>
      <c r="U425"/>
      <c r="V425"/>
      <c r="W425"/>
      <c r="X425"/>
      <c r="Y425"/>
      <c r="Z425"/>
      <c r="AA425"/>
      <c r="AB425" s="2682">
        <f>+AA!E47</f>
        <v>0</v>
      </c>
      <c r="AC425" s="2682"/>
      <c r="AD425" s="2682"/>
      <c r="AE425" s="2682"/>
      <c r="AF425" s="2682"/>
      <c r="AG425" s="2682"/>
      <c r="AH425" s="2682"/>
      <c r="AI425"/>
      <c r="AJ425" s="2682">
        <f>+AA!F47</f>
        <v>891587098</v>
      </c>
      <c r="AK425" s="2682"/>
      <c r="AL425" s="2682"/>
      <c r="AM425" s="2682"/>
      <c r="AN425" s="2682"/>
      <c r="AO425" s="2682"/>
      <c r="AP425" s="2682"/>
      <c r="AQ425" s="2635">
        <f>+AA!G47</f>
        <v>891587098</v>
      </c>
      <c r="AR425" s="2635"/>
      <c r="AS425" s="2635"/>
      <c r="AT425" s="2635"/>
      <c r="AU425" s="2635"/>
      <c r="AV425" s="2635"/>
      <c r="AW425" s="2430"/>
      <c r="AX425" s="3330" t="s">
        <v>1899</v>
      </c>
    </row>
    <row r="426" s="3330" customFormat="1" spans="1:49">
      <c r="A426" s="3340"/>
      <c r="B426" s="64"/>
      <c r="D426" s="3484" t="s">
        <v>1900</v>
      </c>
      <c r="F426" s="3339"/>
      <c r="G426" s="3339"/>
      <c r="H426" s="3339"/>
      <c r="I426" s="3341"/>
      <c r="J426" s="3341"/>
      <c r="K426" s="3341"/>
      <c r="M426" s="3339"/>
      <c r="N426" s="3489"/>
      <c r="O426"/>
      <c r="P426"/>
      <c r="Q426"/>
      <c r="R426" s="5036" t="s">
        <v>225</v>
      </c>
      <c r="S426" s="5044" t="s">
        <v>1901</v>
      </c>
      <c r="T426"/>
      <c r="U426"/>
      <c r="V426"/>
      <c r="W426"/>
      <c r="X426"/>
      <c r="Y426"/>
      <c r="Z426"/>
      <c r="AA426"/>
      <c r="AB426" s="2682">
        <f>+AA!E48</f>
        <v>0</v>
      </c>
      <c r="AC426" s="2682"/>
      <c r="AD426" s="2682"/>
      <c r="AE426" s="2682"/>
      <c r="AF426" s="2682"/>
      <c r="AG426" s="2682"/>
      <c r="AH426" s="2682"/>
      <c r="AI426"/>
      <c r="AJ426" s="2682">
        <f>+AA!F48</f>
        <v>0</v>
      </c>
      <c r="AK426" s="2682"/>
      <c r="AL426" s="2682"/>
      <c r="AM426" s="2682"/>
      <c r="AN426" s="2682"/>
      <c r="AO426" s="2682"/>
      <c r="AP426" s="2682"/>
      <c r="AQ426" s="2635">
        <f>+AA!G48</f>
        <v>595100800</v>
      </c>
      <c r="AR426" s="2635"/>
      <c r="AS426" s="2635"/>
      <c r="AT426" s="2635"/>
      <c r="AU426" s="2635"/>
      <c r="AV426" s="2635"/>
      <c r="AW426" s="2430"/>
    </row>
    <row r="427" s="3330" customFormat="1" spans="1:50">
      <c r="A427" s="3340"/>
      <c r="B427" s="64"/>
      <c r="D427" s="3484" t="s">
        <v>1902</v>
      </c>
      <c r="F427" s="3339"/>
      <c r="G427" s="3339"/>
      <c r="H427" s="3339"/>
      <c r="I427" s="3341"/>
      <c r="J427" s="3341"/>
      <c r="K427" s="3341"/>
      <c r="M427" s="3339"/>
      <c r="N427" s="3489"/>
      <c r="O427"/>
      <c r="P427"/>
      <c r="Q427"/>
      <c r="R427" s="5036" t="s">
        <v>225</v>
      </c>
      <c r="S427" s="5044" t="s">
        <v>1903</v>
      </c>
      <c r="T427"/>
      <c r="U427"/>
      <c r="V427"/>
      <c r="W427"/>
      <c r="X427"/>
      <c r="Y427"/>
      <c r="Z427"/>
      <c r="AA427"/>
      <c r="AB427" s="2682">
        <f>+AA!E49</f>
        <v>0</v>
      </c>
      <c r="AC427" s="2682"/>
      <c r="AD427" s="2682"/>
      <c r="AE427" s="2682"/>
      <c r="AF427" s="2682"/>
      <c r="AG427" s="2682"/>
      <c r="AH427" s="2682"/>
      <c r="AI427"/>
      <c r="AJ427" s="2682">
        <f>+AA!F49</f>
        <v>0</v>
      </c>
      <c r="AK427" s="2682"/>
      <c r="AL427" s="2682"/>
      <c r="AM427" s="2682"/>
      <c r="AN427" s="2682"/>
      <c r="AO427" s="2682"/>
      <c r="AP427" s="2682"/>
      <c r="AQ427" s="2635">
        <f>+AA!G49</f>
        <v>660000000</v>
      </c>
      <c r="AR427" s="2635"/>
      <c r="AS427" s="2635"/>
      <c r="AT427" s="2635"/>
      <c r="AU427" s="2635"/>
      <c r="AV427" s="2635"/>
      <c r="AW427" s="2430"/>
      <c r="AX427" s="3330" t="s">
        <v>1904</v>
      </c>
    </row>
    <row r="428" s="3330" customFormat="1" spans="1:49">
      <c r="A428" s="3340"/>
      <c r="B428" s="64"/>
      <c r="D428" s="3484" t="s">
        <v>1905</v>
      </c>
      <c r="F428" s="3339"/>
      <c r="G428" s="3339"/>
      <c r="H428" s="3339"/>
      <c r="I428" s="3341"/>
      <c r="J428" s="3341"/>
      <c r="K428" s="3341"/>
      <c r="M428" s="3339"/>
      <c r="N428" s="3489"/>
      <c r="O428"/>
      <c r="P428"/>
      <c r="Q428"/>
      <c r="R428" s="5036" t="s">
        <v>225</v>
      </c>
      <c r="S428" s="5044" t="s">
        <v>1906</v>
      </c>
      <c r="T428"/>
      <c r="U428"/>
      <c r="V428"/>
      <c r="W428"/>
      <c r="X428"/>
      <c r="Y428"/>
      <c r="Z428"/>
      <c r="AA428"/>
      <c r="AB428" s="2682">
        <f>+AA!E50</f>
        <v>4649460000</v>
      </c>
      <c r="AC428" s="2682"/>
      <c r="AD428" s="2682"/>
      <c r="AE428" s="2682"/>
      <c r="AF428" s="2682"/>
      <c r="AG428" s="2682"/>
      <c r="AH428" s="2682"/>
      <c r="AI428"/>
      <c r="AJ428" s="2682">
        <f>+AA!F50</f>
        <v>4824460000</v>
      </c>
      <c r="AK428" s="2682"/>
      <c r="AL428" s="2682"/>
      <c r="AM428" s="2682"/>
      <c r="AN428" s="2682"/>
      <c r="AO428" s="2682"/>
      <c r="AP428" s="2682"/>
      <c r="AQ428" s="2635">
        <f>+AA!G50</f>
        <v>6074460000</v>
      </c>
      <c r="AR428" s="2635"/>
      <c r="AS428" s="2635"/>
      <c r="AT428" s="2635"/>
      <c r="AU428" s="2635"/>
      <c r="AV428" s="2635"/>
      <c r="AW428" s="2430"/>
    </row>
    <row r="429" s="3330" customFormat="1" spans="1:49">
      <c r="A429" s="3340"/>
      <c r="B429" s="64"/>
      <c r="D429" s="3484" t="s">
        <v>1907</v>
      </c>
      <c r="F429" s="3339"/>
      <c r="G429" s="3339"/>
      <c r="H429" s="3339"/>
      <c r="I429" s="3341"/>
      <c r="J429" s="3341"/>
      <c r="K429" s="3341"/>
      <c r="M429" s="3339"/>
      <c r="N429" s="3489"/>
      <c r="O429"/>
      <c r="P429"/>
      <c r="Q429"/>
      <c r="R429" s="5036" t="s">
        <v>225</v>
      </c>
      <c r="S429" s="5044" t="s">
        <v>1908</v>
      </c>
      <c r="T429"/>
      <c r="U429"/>
      <c r="V429"/>
      <c r="W429"/>
      <c r="X429"/>
      <c r="Y429"/>
      <c r="Z429"/>
      <c r="AA429"/>
      <c r="AB429" s="2682">
        <f>+AA!E51</f>
        <v>0</v>
      </c>
      <c r="AC429" s="2682"/>
      <c r="AD429" s="2682"/>
      <c r="AE429" s="2682"/>
      <c r="AF429" s="2682"/>
      <c r="AG429" s="2682"/>
      <c r="AH429" s="2682"/>
      <c r="AI429"/>
      <c r="AJ429" s="2682">
        <f>+AA!F51</f>
        <v>242581543</v>
      </c>
      <c r="AK429" s="2682"/>
      <c r="AL429" s="2682"/>
      <c r="AM429" s="2682"/>
      <c r="AN429" s="2682"/>
      <c r="AO429" s="2682"/>
      <c r="AP429" s="2682"/>
      <c r="AQ429" s="2635">
        <f>+AA!G51</f>
        <v>0</v>
      </c>
      <c r="AR429" s="2635"/>
      <c r="AS429" s="2635"/>
      <c r="AT429" s="2635"/>
      <c r="AU429" s="2635"/>
      <c r="AV429" s="2635"/>
      <c r="AW429" s="2430"/>
    </row>
    <row r="430" s="3330" customFormat="1" spans="1:49">
      <c r="A430" s="3340"/>
      <c r="B430" s="64"/>
      <c r="D430" s="3484" t="str">
        <f>+AA!C52</f>
        <v>BNI - PPH KMK - Bunga Restruktur ditangguhkan</v>
      </c>
      <c r="F430" s="3339"/>
      <c r="G430" s="3339"/>
      <c r="H430" s="3339"/>
      <c r="I430" s="3341"/>
      <c r="J430" s="3341"/>
      <c r="K430" s="3341"/>
      <c r="M430" s="3339"/>
      <c r="N430" s="3489"/>
      <c r="O430"/>
      <c r="P430"/>
      <c r="Q430"/>
      <c r="R430" s="3339"/>
      <c r="S430"/>
      <c r="T430"/>
      <c r="U430"/>
      <c r="V430"/>
      <c r="W430"/>
      <c r="X430"/>
      <c r="Y430"/>
      <c r="Z430"/>
      <c r="AA430"/>
      <c r="AB430" s="2682">
        <f>+AA!E52</f>
        <v>132502221</v>
      </c>
      <c r="AC430" s="2682"/>
      <c r="AD430" s="2682"/>
      <c r="AE430" s="2682"/>
      <c r="AF430" s="2682"/>
      <c r="AG430" s="2682"/>
      <c r="AH430" s="2682"/>
      <c r="AI430"/>
      <c r="AJ430" s="2682">
        <f>+AA!F52</f>
        <v>0</v>
      </c>
      <c r="AK430" s="2682"/>
      <c r="AL430" s="2682"/>
      <c r="AM430" s="2682"/>
      <c r="AN430" s="2682"/>
      <c r="AO430" s="2682"/>
      <c r="AP430" s="2682"/>
      <c r="AQ430" s="2635"/>
      <c r="AR430" s="2635"/>
      <c r="AS430" s="2635"/>
      <c r="AT430" s="2635"/>
      <c r="AU430" s="2635"/>
      <c r="AV430" s="2635"/>
      <c r="AW430" s="2430"/>
    </row>
    <row r="431" s="3330" customFormat="1" spans="1:49">
      <c r="A431" s="3340"/>
      <c r="B431" s="64"/>
      <c r="D431" s="3484" t="str">
        <f>+AA!C53</f>
        <v>BNI - PPH KI - Bunga Restruktur ditangguhkan</v>
      </c>
      <c r="F431" s="3339"/>
      <c r="G431" s="3339"/>
      <c r="H431" s="3339"/>
      <c r="I431" s="3341"/>
      <c r="J431" s="3341"/>
      <c r="K431" s="3341"/>
      <c r="M431" s="3339"/>
      <c r="N431" s="3489"/>
      <c r="O431"/>
      <c r="P431"/>
      <c r="Q431"/>
      <c r="R431" s="3339"/>
      <c r="S431"/>
      <c r="T431"/>
      <c r="U431"/>
      <c r="V431"/>
      <c r="W431"/>
      <c r="X431"/>
      <c r="Y431"/>
      <c r="Z431"/>
      <c r="AA431"/>
      <c r="AB431" s="2682">
        <f>+AA!E53</f>
        <v>428381197</v>
      </c>
      <c r="AC431" s="2682"/>
      <c r="AD431" s="2682"/>
      <c r="AE431" s="2682"/>
      <c r="AF431" s="2682"/>
      <c r="AG431" s="2682"/>
      <c r="AH431" s="2682"/>
      <c r="AI431"/>
      <c r="AJ431" s="2682">
        <f>+AA!F53</f>
        <v>0</v>
      </c>
      <c r="AK431" s="2682"/>
      <c r="AL431" s="2682"/>
      <c r="AM431" s="2682"/>
      <c r="AN431" s="2682"/>
      <c r="AO431" s="2682"/>
      <c r="AP431" s="2682"/>
      <c r="AQ431" s="2635"/>
      <c r="AR431" s="2635"/>
      <c r="AS431" s="2635"/>
      <c r="AT431" s="2635"/>
      <c r="AU431" s="2635"/>
      <c r="AV431" s="2635"/>
      <c r="AW431" s="2430"/>
    </row>
    <row r="432" s="3330" customFormat="1" ht="5.45" customHeight="1" spans="1:49">
      <c r="A432" s="3340"/>
      <c r="B432" s="64"/>
      <c r="D432" s="3484"/>
      <c r="F432" s="3339"/>
      <c r="G432" s="3339"/>
      <c r="H432" s="3339"/>
      <c r="I432" s="3341"/>
      <c r="J432" s="3341"/>
      <c r="K432" s="3341"/>
      <c r="M432" s="3339"/>
      <c r="N432" s="3489"/>
      <c r="O432"/>
      <c r="P432"/>
      <c r="Q432"/>
      <c r="R432"/>
      <c r="S432"/>
      <c r="T432"/>
      <c r="U432"/>
      <c r="V432"/>
      <c r="W432"/>
      <c r="X432"/>
      <c r="Y432"/>
      <c r="Z432"/>
      <c r="AA432"/>
      <c r="AB432" s="2682"/>
      <c r="AC432" s="2682"/>
      <c r="AD432" s="2682"/>
      <c r="AE432" s="2682"/>
      <c r="AF432" s="2682"/>
      <c r="AG432" s="2682"/>
      <c r="AH432" s="2682"/>
      <c r="AI432"/>
      <c r="AJ432" s="2682"/>
      <c r="AK432" s="2682"/>
      <c r="AL432" s="2682"/>
      <c r="AM432" s="2682"/>
      <c r="AN432" s="2682"/>
      <c r="AO432" s="2682"/>
      <c r="AP432" s="2682"/>
      <c r="AQ432" s="2682"/>
      <c r="AR432" s="2682"/>
      <c r="AS432" s="2682"/>
      <c r="AT432" s="2682"/>
      <c r="AU432" s="2682"/>
      <c r="AV432" s="2682"/>
      <c r="AW432" s="3404"/>
    </row>
    <row r="433" s="3330" customFormat="1" spans="1:49">
      <c r="A433" s="3340"/>
      <c r="B433" s="64"/>
      <c r="D433" s="3480" t="s">
        <v>1909</v>
      </c>
      <c r="F433" s="3339"/>
      <c r="G433" s="3339"/>
      <c r="H433" s="3339"/>
      <c r="I433" s="3341"/>
      <c r="J433" s="3341"/>
      <c r="K433" s="3341"/>
      <c r="M433" s="3339"/>
      <c r="N433" s="3489"/>
      <c r="O433"/>
      <c r="P433"/>
      <c r="Q433"/>
      <c r="R433"/>
      <c r="S433"/>
      <c r="T433"/>
      <c r="U433"/>
      <c r="V433"/>
      <c r="W433"/>
      <c r="X433"/>
      <c r="Y433"/>
      <c r="Z433"/>
      <c r="AA433"/>
      <c r="AB433" s="3494">
        <f>SUM(AB422:AH431)</f>
        <v>6985034955</v>
      </c>
      <c r="AC433" s="3494"/>
      <c r="AD433" s="3494"/>
      <c r="AE433" s="3494"/>
      <c r="AF433" s="3494"/>
      <c r="AG433" s="3494"/>
      <c r="AH433" s="3494"/>
      <c r="AI433" s="94"/>
      <c r="AJ433" s="3494">
        <f>SUM(AJ422:AP431)</f>
        <v>8581972590</v>
      </c>
      <c r="AK433" s="3494"/>
      <c r="AL433" s="3494"/>
      <c r="AM433" s="3494"/>
      <c r="AN433" s="3494"/>
      <c r="AO433" s="3494"/>
      <c r="AP433" s="3494"/>
      <c r="AQ433" s="3499">
        <f>SUM(AQ422:AQ432)</f>
        <v>10941687898</v>
      </c>
      <c r="AR433" s="3499"/>
      <c r="AS433" s="3499"/>
      <c r="AT433" s="3499"/>
      <c r="AU433" s="3499"/>
      <c r="AV433" s="3499"/>
      <c r="AW433" s="2433"/>
    </row>
    <row r="434" s="3330" customFormat="1" spans="1:49">
      <c r="A434" s="3340"/>
      <c r="B434" s="64"/>
      <c r="D434" s="3480"/>
      <c r="F434" s="3339"/>
      <c r="G434" s="3339"/>
      <c r="H434" s="3339"/>
      <c r="I434" s="3341"/>
      <c r="J434" s="3341"/>
      <c r="K434" s="3341"/>
      <c r="M434" s="3339"/>
      <c r="N434" s="3489"/>
      <c r="O434"/>
      <c r="P434"/>
      <c r="Q434"/>
      <c r="R434"/>
      <c r="S434"/>
      <c r="T434"/>
      <c r="U434"/>
      <c r="V434"/>
      <c r="W434"/>
      <c r="X434"/>
      <c r="Y434"/>
      <c r="Z434"/>
      <c r="AA434"/>
      <c r="AB434" s="3498"/>
      <c r="AC434" s="3498"/>
      <c r="AD434" s="3498"/>
      <c r="AE434" s="3498"/>
      <c r="AF434" s="3498"/>
      <c r="AG434" s="3498"/>
      <c r="AH434" s="3498"/>
      <c r="AI434" s="94"/>
      <c r="AJ434" s="3498"/>
      <c r="AK434" s="3498"/>
      <c r="AL434" s="3498"/>
      <c r="AM434" s="3498"/>
      <c r="AN434" s="3498"/>
      <c r="AO434" s="3498"/>
      <c r="AP434" s="3498"/>
      <c r="AR434" s="3479"/>
      <c r="AW434" s="3371"/>
    </row>
    <row r="435" s="3330" customFormat="1" ht="11.45" customHeight="1" spans="1:49">
      <c r="A435" s="3340"/>
      <c r="B435" s="64"/>
      <c r="C435" s="5094" t="s">
        <v>1912</v>
      </c>
      <c r="D435" s="3486"/>
      <c r="E435" s="3486"/>
      <c r="F435" s="3486"/>
      <c r="G435" s="3486"/>
      <c r="H435" s="3486"/>
      <c r="I435" s="3486"/>
      <c r="J435" s="3486"/>
      <c r="K435" s="3486"/>
      <c r="L435" s="3486"/>
      <c r="M435" s="3486"/>
      <c r="N435" s="3486"/>
      <c r="O435" s="3486"/>
      <c r="P435" s="3486"/>
      <c r="Q435" s="3486"/>
      <c r="R435" s="3486"/>
      <c r="S435" s="3486"/>
      <c r="T435" s="3486"/>
      <c r="U435" s="3486"/>
      <c r="V435" s="3486"/>
      <c r="W435" s="3486"/>
      <c r="X435" s="3486"/>
      <c r="Y435" s="3486"/>
      <c r="Z435" s="3486"/>
      <c r="AA435" s="3486"/>
      <c r="AB435" s="3486"/>
      <c r="AC435" s="3486"/>
      <c r="AD435" s="3486"/>
      <c r="AE435" s="3486"/>
      <c r="AF435" s="3486"/>
      <c r="AG435" s="3486"/>
      <c r="AH435" s="3486"/>
      <c r="AI435" s="3486"/>
      <c r="AJ435" s="3486"/>
      <c r="AK435" s="3486"/>
      <c r="AL435" s="3486"/>
      <c r="AM435" s="3486"/>
      <c r="AN435" s="3486"/>
      <c r="AO435" s="3485"/>
      <c r="AP435" s="3485"/>
      <c r="AR435" s="3479"/>
      <c r="AW435" s="3371"/>
    </row>
    <row r="436" s="3330" customFormat="1" ht="4.5" customHeight="1" spans="1:49">
      <c r="A436" s="3340"/>
      <c r="B436" s="64"/>
      <c r="C436" s="3481"/>
      <c r="D436" s="3482"/>
      <c r="E436" s="3482"/>
      <c r="F436" s="3482"/>
      <c r="G436" s="3482"/>
      <c r="H436" s="3482"/>
      <c r="I436" s="3482"/>
      <c r="J436" s="3482"/>
      <c r="K436" s="3482"/>
      <c r="L436" s="3482"/>
      <c r="M436" s="3482"/>
      <c r="N436" s="3482"/>
      <c r="O436" s="3482"/>
      <c r="P436" s="3482"/>
      <c r="Q436" s="3482"/>
      <c r="R436" s="3482"/>
      <c r="S436" s="3482"/>
      <c r="T436" s="3482"/>
      <c r="U436" s="3482"/>
      <c r="V436" s="3482"/>
      <c r="W436" s="3482"/>
      <c r="X436" s="3482"/>
      <c r="Y436" s="3482"/>
      <c r="Z436" s="3482"/>
      <c r="AA436" s="3482"/>
      <c r="AB436" s="3482"/>
      <c r="AC436" s="3482"/>
      <c r="AD436" s="3482"/>
      <c r="AE436" s="3482"/>
      <c r="AF436" s="3482"/>
      <c r="AG436" s="3482"/>
      <c r="AH436" s="3482"/>
      <c r="AI436" s="3482"/>
      <c r="AJ436" s="3482"/>
      <c r="AK436" s="3482"/>
      <c r="AL436" s="3482"/>
      <c r="AM436" s="3482"/>
      <c r="AN436" s="3482"/>
      <c r="AO436" s="3481"/>
      <c r="AP436" s="3481"/>
      <c r="AR436" s="3479"/>
      <c r="AW436" s="3371"/>
    </row>
    <row r="437" s="3330" customFormat="1" spans="1:49">
      <c r="A437" s="3340"/>
      <c r="B437" s="64"/>
      <c r="C437" s="3330">
        <f>C422+1</f>
        <v>1</v>
      </c>
      <c r="D437" s="3487" t="s">
        <v>1913</v>
      </c>
      <c r="F437" s="3339"/>
      <c r="G437" s="3339"/>
      <c r="H437" s="3339"/>
      <c r="I437" s="3341"/>
      <c r="J437" s="3341"/>
      <c r="K437" s="3341"/>
      <c r="M437" s="3339"/>
      <c r="N437" s="3490"/>
      <c r="O437" s="64"/>
      <c r="P437" s="64"/>
      <c r="Q437" s="64"/>
      <c r="R437" s="64"/>
      <c r="S437" s="64"/>
      <c r="T437" s="64"/>
      <c r="U437" s="64"/>
      <c r="V437" s="64"/>
      <c r="W437" s="64"/>
      <c r="X437" s="64"/>
      <c r="Y437" s="64"/>
      <c r="Z437" s="64"/>
      <c r="AA437"/>
      <c r="AB437"/>
      <c r="AC437"/>
      <c r="AD437"/>
      <c r="AE437"/>
      <c r="AF437"/>
      <c r="AG437"/>
      <c r="AH437"/>
      <c r="AI437"/>
      <c r="AJ437"/>
      <c r="AK437"/>
      <c r="AL437"/>
      <c r="AM437"/>
      <c r="AN437"/>
      <c r="AO437"/>
      <c r="AP437"/>
      <c r="AR437" s="3479"/>
      <c r="AW437" s="3371"/>
    </row>
    <row r="438" s="3330" customFormat="1" spans="1:49">
      <c r="A438" s="3340"/>
      <c r="B438" s="64"/>
      <c r="D438" s="3488" t="s">
        <v>1914</v>
      </c>
      <c r="F438" s="3339"/>
      <c r="G438" s="3339"/>
      <c r="H438" s="3339"/>
      <c r="I438" s="3341"/>
      <c r="J438" s="3341"/>
      <c r="K438" s="3341"/>
      <c r="M438" s="5036" t="s">
        <v>225</v>
      </c>
      <c r="N438" s="3490" t="s">
        <v>1915</v>
      </c>
      <c r="O438" s="64"/>
      <c r="P438" s="64"/>
      <c r="Q438" s="64"/>
      <c r="R438" s="64"/>
      <c r="S438" s="64"/>
      <c r="T438" s="64"/>
      <c r="U438" s="64"/>
      <c r="V438" s="64"/>
      <c r="W438" s="64"/>
      <c r="X438" s="64"/>
      <c r="Y438" s="64"/>
      <c r="Z438" s="64"/>
      <c r="AA438"/>
      <c r="AB438"/>
      <c r="AC438"/>
      <c r="AD438"/>
      <c r="AE438"/>
      <c r="AF438"/>
      <c r="AG438"/>
      <c r="AH438"/>
      <c r="AI438"/>
      <c r="AJ438"/>
      <c r="AK438"/>
      <c r="AL438"/>
      <c r="AM438"/>
      <c r="AN438"/>
      <c r="AO438"/>
      <c r="AP438"/>
      <c r="AR438" s="3479"/>
      <c r="AW438" s="3371"/>
    </row>
    <row r="439" s="3330" customFormat="1" spans="1:49">
      <c r="A439" s="3340"/>
      <c r="B439" s="64"/>
      <c r="D439" s="3488" t="s">
        <v>1916</v>
      </c>
      <c r="F439" s="3339"/>
      <c r="G439" s="3339"/>
      <c r="H439" s="3339"/>
      <c r="I439" s="3341"/>
      <c r="J439" s="3341"/>
      <c r="K439" s="3341"/>
      <c r="M439" s="5036" t="s">
        <v>225</v>
      </c>
      <c r="N439" s="3490" t="str">
        <f>+'AA1'!L49</f>
        <v>RC Terbatas</v>
      </c>
      <c r="O439" s="64"/>
      <c r="P439" s="64"/>
      <c r="Q439" s="64"/>
      <c r="R439" s="64"/>
      <c r="S439" s="64"/>
      <c r="T439" s="64"/>
      <c r="U439" s="64"/>
      <c r="V439" s="64"/>
      <c r="W439" s="64"/>
      <c r="X439" s="64"/>
      <c r="Y439" s="64"/>
      <c r="Z439" s="64"/>
      <c r="AA439"/>
      <c r="AB439"/>
      <c r="AC439"/>
      <c r="AD439"/>
      <c r="AE439"/>
      <c r="AF439"/>
      <c r="AG439"/>
      <c r="AH439"/>
      <c r="AI439"/>
      <c r="AJ439"/>
      <c r="AK439"/>
      <c r="AL439"/>
      <c r="AM439"/>
      <c r="AN439"/>
      <c r="AO439"/>
      <c r="AP439"/>
      <c r="AR439" s="3479"/>
      <c r="AW439" s="3371"/>
    </row>
    <row r="440" s="3330" customFormat="1" spans="1:49">
      <c r="A440" s="3340"/>
      <c r="B440" s="64"/>
      <c r="D440" s="3488" t="s">
        <v>1917</v>
      </c>
      <c r="F440" s="3339"/>
      <c r="G440" s="3339"/>
      <c r="H440" s="3339"/>
      <c r="I440" s="3341"/>
      <c r="J440" s="3341"/>
      <c r="K440" s="3341"/>
      <c r="L440" s="3341"/>
      <c r="M440" s="5036" t="s">
        <v>225</v>
      </c>
      <c r="N440" s="3490" t="s">
        <v>1918</v>
      </c>
      <c r="O440" s="64"/>
      <c r="P440" s="64"/>
      <c r="Q440" s="64"/>
      <c r="R440" s="64"/>
      <c r="S440" s="64"/>
      <c r="T440" s="64"/>
      <c r="U440" s="64"/>
      <c r="V440" s="64"/>
      <c r="W440" s="64"/>
      <c r="X440" s="64"/>
      <c r="Y440" s="64"/>
      <c r="Z440" s="64"/>
      <c r="AA440"/>
      <c r="AB440"/>
      <c r="AC440"/>
      <c r="AD440"/>
      <c r="AE440"/>
      <c r="AF440"/>
      <c r="AG440"/>
      <c r="AH440"/>
      <c r="AI440"/>
      <c r="AJ440"/>
      <c r="AK440"/>
      <c r="AL440"/>
      <c r="AM440"/>
      <c r="AN440"/>
      <c r="AO440"/>
      <c r="AP440"/>
      <c r="AR440" s="3479"/>
      <c r="AW440" s="3371"/>
    </row>
    <row r="441" s="3330" customFormat="1" spans="1:49">
      <c r="A441" s="3340"/>
      <c r="B441" s="64"/>
      <c r="D441" s="3488" t="s">
        <v>1919</v>
      </c>
      <c r="F441" s="64"/>
      <c r="G441" s="64"/>
      <c r="H441" s="64"/>
      <c r="I441" s="64"/>
      <c r="J441" s="64"/>
      <c r="K441" s="64"/>
      <c r="L441" s="64"/>
      <c r="M441" s="5036" t="s">
        <v>225</v>
      </c>
      <c r="N441" s="3491" t="s">
        <v>1920</v>
      </c>
      <c r="O441" s="2104"/>
      <c r="P441" s="2104"/>
      <c r="Q441" s="2104"/>
      <c r="R441" s="2104"/>
      <c r="S441" s="2104"/>
      <c r="T441" s="2104"/>
      <c r="U441" s="2104"/>
      <c r="V441" s="2104"/>
      <c r="W441" s="2104"/>
      <c r="X441" s="2104"/>
      <c r="Y441" s="2104"/>
      <c r="Z441" s="2104"/>
      <c r="AA441" s="2104"/>
      <c r="AB441" s="2104"/>
      <c r="AC441" s="2104"/>
      <c r="AD441" s="2104"/>
      <c r="AE441" s="2104"/>
      <c r="AF441" s="2104"/>
      <c r="AG441" s="2104"/>
      <c r="AH441" s="2104"/>
      <c r="AI441" s="2104"/>
      <c r="AJ441" s="2104"/>
      <c r="AK441" s="2104"/>
      <c r="AL441" s="2104"/>
      <c r="AM441" s="2104"/>
      <c r="AN441" s="2104"/>
      <c r="AO441" s="2104"/>
      <c r="AP441" s="2104"/>
      <c r="AR441" s="3479"/>
      <c r="AW441" s="3371"/>
    </row>
    <row r="442" s="3330" customFormat="1" spans="1:49">
      <c r="A442" s="3340"/>
      <c r="B442" s="64"/>
      <c r="D442" s="3488"/>
      <c r="F442" s="64"/>
      <c r="G442" s="64"/>
      <c r="H442" s="64"/>
      <c r="I442" s="64"/>
      <c r="J442" s="64"/>
      <c r="K442" s="64"/>
      <c r="L442" s="64"/>
      <c r="M442" s="3339"/>
      <c r="N442" s="3491"/>
      <c r="O442" s="2104"/>
      <c r="P442" s="2104"/>
      <c r="Q442" s="2104"/>
      <c r="R442" s="2104"/>
      <c r="S442" s="2104"/>
      <c r="T442" s="2104"/>
      <c r="U442" s="2104"/>
      <c r="V442" s="2104"/>
      <c r="W442" s="2104"/>
      <c r="X442" s="2104"/>
      <c r="Y442" s="2104"/>
      <c r="Z442" s="2104"/>
      <c r="AA442" s="2104"/>
      <c r="AB442" s="2104"/>
      <c r="AC442" s="2104"/>
      <c r="AD442" s="2104"/>
      <c r="AE442" s="2104"/>
      <c r="AF442" s="2104"/>
      <c r="AG442" s="2104"/>
      <c r="AH442" s="2104"/>
      <c r="AI442" s="2104"/>
      <c r="AJ442" s="2104"/>
      <c r="AK442" s="2104"/>
      <c r="AL442" s="2104"/>
      <c r="AM442" s="2104"/>
      <c r="AN442" s="2104"/>
      <c r="AO442" s="2104"/>
      <c r="AP442" s="2104"/>
      <c r="AR442" s="3479"/>
      <c r="AW442" s="3371"/>
    </row>
    <row r="443" s="3330" customFormat="1" spans="1:49">
      <c r="A443" s="3340"/>
      <c r="B443" s="64"/>
      <c r="D443" s="3488"/>
      <c r="E443" s="64"/>
      <c r="F443" s="64"/>
      <c r="G443" s="64"/>
      <c r="H443" s="64"/>
      <c r="I443" s="64"/>
      <c r="J443" s="64"/>
      <c r="K443" s="64"/>
      <c r="L443" s="64"/>
      <c r="M443" s="3339"/>
      <c r="N443" s="2104"/>
      <c r="O443" s="2104"/>
      <c r="P443" s="2104"/>
      <c r="Q443" s="2104"/>
      <c r="R443" s="2104"/>
      <c r="S443" s="2104"/>
      <c r="T443" s="2104"/>
      <c r="U443" s="2104"/>
      <c r="V443" s="2104"/>
      <c r="W443" s="2104"/>
      <c r="X443" s="2104"/>
      <c r="Y443" s="2104"/>
      <c r="Z443" s="2104"/>
      <c r="AA443" s="2104"/>
      <c r="AB443" s="2104"/>
      <c r="AC443" s="2104"/>
      <c r="AD443" s="2104"/>
      <c r="AE443" s="2104"/>
      <c r="AF443" s="2104"/>
      <c r="AG443" s="2104"/>
      <c r="AH443" s="2104"/>
      <c r="AI443" s="2104"/>
      <c r="AJ443" s="2104"/>
      <c r="AK443" s="2104"/>
      <c r="AL443" s="2104"/>
      <c r="AM443" s="2104"/>
      <c r="AN443" s="2104"/>
      <c r="AO443" s="2104"/>
      <c r="AP443" s="2104"/>
      <c r="AR443" s="3479"/>
      <c r="AW443" s="3371"/>
    </row>
    <row r="444" s="3330" customFormat="1" spans="1:49">
      <c r="A444" s="3340"/>
      <c r="B444" s="64"/>
      <c r="D444" s="3488"/>
      <c r="E444" s="64"/>
      <c r="F444" s="64"/>
      <c r="G444" s="64"/>
      <c r="H444" s="64"/>
      <c r="I444" s="64"/>
      <c r="J444" s="64"/>
      <c r="K444" s="64"/>
      <c r="L444" s="64"/>
      <c r="M444" s="3339"/>
      <c r="N444" s="2104"/>
      <c r="O444" s="2104"/>
      <c r="P444" s="2104"/>
      <c r="Q444" s="2104"/>
      <c r="R444" s="2104"/>
      <c r="S444" s="2104"/>
      <c r="T444" s="2104"/>
      <c r="U444" s="2104"/>
      <c r="V444" s="2104"/>
      <c r="W444" s="2104"/>
      <c r="X444" s="2104"/>
      <c r="Y444" s="2104"/>
      <c r="Z444" s="2104"/>
      <c r="AA444" s="2104"/>
      <c r="AB444" s="2104"/>
      <c r="AC444" s="2104"/>
      <c r="AD444" s="2104"/>
      <c r="AE444" s="2104"/>
      <c r="AF444" s="2104"/>
      <c r="AG444" s="2104"/>
      <c r="AH444" s="2104"/>
      <c r="AI444" s="2104"/>
      <c r="AJ444" s="2104"/>
      <c r="AK444" s="2104"/>
      <c r="AL444" s="2104"/>
      <c r="AM444" s="2104"/>
      <c r="AN444" s="2104"/>
      <c r="AO444" s="2104"/>
      <c r="AP444" s="2104"/>
      <c r="AR444" s="3479"/>
      <c r="AW444" s="3371"/>
    </row>
    <row r="445" s="3330" customFormat="1" spans="1:49">
      <c r="A445" s="3340"/>
      <c r="B445" s="64"/>
      <c r="C445" s="3322"/>
      <c r="D445" s="3488"/>
      <c r="E445" s="64"/>
      <c r="F445" s="64"/>
      <c r="G445" s="64"/>
      <c r="H445" s="64"/>
      <c r="I445" s="64"/>
      <c r="J445" s="64"/>
      <c r="K445" s="64"/>
      <c r="L445" s="64"/>
      <c r="M445" s="3339"/>
      <c r="N445" s="2104"/>
      <c r="O445" s="2104"/>
      <c r="P445" s="2104"/>
      <c r="Q445" s="2104"/>
      <c r="R445" s="2104"/>
      <c r="S445" s="2104"/>
      <c r="T445" s="2104"/>
      <c r="U445" s="2104"/>
      <c r="V445" s="2104"/>
      <c r="W445" s="2104"/>
      <c r="X445" s="2104"/>
      <c r="Y445" s="2104"/>
      <c r="Z445" s="2104"/>
      <c r="AA445" s="2104"/>
      <c r="AB445" s="2104"/>
      <c r="AC445" s="2104"/>
      <c r="AD445" s="2104"/>
      <c r="AE445" s="2104"/>
      <c r="AF445" s="2104"/>
      <c r="AG445" s="2104"/>
      <c r="AH445" s="2104"/>
      <c r="AI445" s="2104"/>
      <c r="AJ445" s="2104"/>
      <c r="AK445" s="2104"/>
      <c r="AL445" s="2104"/>
      <c r="AM445" s="2104"/>
      <c r="AN445" s="2104"/>
      <c r="AO445" s="2104"/>
      <c r="AP445" s="2104"/>
      <c r="AR445" s="3479"/>
      <c r="AW445" s="3371"/>
    </row>
    <row r="446" s="3330" customFormat="1" ht="7.5" customHeight="1" spans="1:49">
      <c r="A446" s="3335"/>
      <c r="B446" s="3315"/>
      <c r="C446" s="94"/>
      <c r="D446" s="64"/>
      <c r="E446" s="64"/>
      <c r="F446" s="64"/>
      <c r="G446" s="64"/>
      <c r="H446" s="64"/>
      <c r="I446" s="64"/>
      <c r="J446" s="64"/>
      <c r="K446" s="64"/>
      <c r="L446" s="64"/>
      <c r="M446" s="3339"/>
      <c r="N446" s="3490"/>
      <c r="O446" s="64"/>
      <c r="P446" s="64"/>
      <c r="Q446" s="64"/>
      <c r="R446" s="64"/>
      <c r="S446" s="64"/>
      <c r="T446" s="64"/>
      <c r="U446" s="64"/>
      <c r="V446" s="64"/>
      <c r="W446" s="64"/>
      <c r="X446" s="64"/>
      <c r="Y446" s="64"/>
      <c r="Z446" s="64"/>
      <c r="AA446" s="64"/>
      <c r="AR446" s="3479"/>
      <c r="AW446" s="3371"/>
    </row>
    <row r="447" s="3330" customFormat="1" spans="1:49">
      <c r="A447" s="3340"/>
      <c r="B447" s="64"/>
      <c r="C447" s="3330">
        <f>+C437+1</f>
        <v>2</v>
      </c>
      <c r="D447" s="3487" t="str">
        <f>+D424</f>
        <v>Kredit Investasi (Refinance)</v>
      </c>
      <c r="F447" s="3339"/>
      <c r="G447" s="3339"/>
      <c r="H447" s="3339"/>
      <c r="I447" s="3341"/>
      <c r="J447" s="3341"/>
      <c r="K447" s="3341"/>
      <c r="M447" s="3339"/>
      <c r="N447" s="3490"/>
      <c r="O447" s="64"/>
      <c r="P447" s="64"/>
      <c r="Q447" s="64"/>
      <c r="R447" s="64"/>
      <c r="S447" s="64"/>
      <c r="T447" s="64"/>
      <c r="U447" s="64"/>
      <c r="V447" s="64"/>
      <c r="W447" s="64"/>
      <c r="X447" s="64"/>
      <c r="Y447" s="64"/>
      <c r="Z447" s="64"/>
      <c r="AA447" s="64"/>
      <c r="AR447" s="3479"/>
      <c r="AW447" s="3371"/>
    </row>
    <row r="448" s="3330" customFormat="1" spans="1:49">
      <c r="A448" s="3340"/>
      <c r="B448" s="64"/>
      <c r="D448" s="3488" t="s">
        <v>1914</v>
      </c>
      <c r="F448" s="3339"/>
      <c r="G448" s="3339"/>
      <c r="H448" s="3339"/>
      <c r="I448" s="3341"/>
      <c r="J448" s="3341"/>
      <c r="K448" s="3341"/>
      <c r="M448" s="5036" t="s">
        <v>225</v>
      </c>
      <c r="N448" s="3492">
        <f>+'AA1'!I70</f>
        <v>1238540000</v>
      </c>
      <c r="O448" s="3492"/>
      <c r="P448" s="3492"/>
      <c r="Q448" s="3492"/>
      <c r="R448" s="3492"/>
      <c r="S448" s="3492"/>
      <c r="T448" s="3492"/>
      <c r="U448" s="64"/>
      <c r="V448" s="64"/>
      <c r="W448" s="64"/>
      <c r="X448" s="64"/>
      <c r="Y448" s="64"/>
      <c r="Z448" s="64"/>
      <c r="AA448" s="64"/>
      <c r="AR448" s="3479"/>
      <c r="AW448" s="3371"/>
    </row>
    <row r="449" s="3330" customFormat="1" spans="1:49">
      <c r="A449" s="3340"/>
      <c r="B449" s="64"/>
      <c r="D449" s="3488" t="s">
        <v>1916</v>
      </c>
      <c r="F449" s="3339"/>
      <c r="G449" s="3339"/>
      <c r="H449" s="3339"/>
      <c r="I449" s="3341"/>
      <c r="J449" s="3341"/>
      <c r="K449" s="3341"/>
      <c r="M449" s="5036" t="s">
        <v>225</v>
      </c>
      <c r="N449" s="3490" t="str">
        <f>+'AA1'!L70</f>
        <v>Aplofend</v>
      </c>
      <c r="O449" s="3492"/>
      <c r="P449" s="3492"/>
      <c r="Q449" s="3492"/>
      <c r="R449" s="3492"/>
      <c r="S449" s="3492"/>
      <c r="T449" s="3492"/>
      <c r="U449" s="64"/>
      <c r="V449" s="64"/>
      <c r="W449" s="64"/>
      <c r="X449" s="64"/>
      <c r="Y449" s="64"/>
      <c r="Z449" s="64"/>
      <c r="AA449" s="64"/>
      <c r="AR449" s="3479"/>
      <c r="AW449" s="3371"/>
    </row>
    <row r="450" s="3330" customFormat="1" spans="1:49">
      <c r="A450" s="3340"/>
      <c r="B450" s="64"/>
      <c r="D450" s="3488" t="s">
        <v>1917</v>
      </c>
      <c r="F450" s="3339"/>
      <c r="G450" s="3339"/>
      <c r="H450" s="3339"/>
      <c r="I450" s="3341"/>
      <c r="J450" s="3341"/>
      <c r="K450" s="3341"/>
      <c r="L450" s="3341"/>
      <c r="M450" s="5036" t="s">
        <v>225</v>
      </c>
      <c r="N450" s="3490" t="str">
        <f>+'AA1'!J70</f>
        <v>28 bulan sejak penandatangan</v>
      </c>
      <c r="O450" s="64"/>
      <c r="P450" s="64"/>
      <c r="Q450" s="64"/>
      <c r="R450" s="64"/>
      <c r="S450" s="64"/>
      <c r="T450" s="64"/>
      <c r="U450" s="64"/>
      <c r="V450" s="64"/>
      <c r="W450" s="64"/>
      <c r="X450" s="64"/>
      <c r="Y450" s="64"/>
      <c r="Z450" s="64"/>
      <c r="AA450" s="64"/>
      <c r="AR450" s="3479"/>
      <c r="AW450" s="3371"/>
    </row>
    <row r="451" s="3330" customFormat="1" spans="1:49">
      <c r="A451" s="3340"/>
      <c r="B451" s="64"/>
      <c r="D451" s="3488" t="s">
        <v>1919</v>
      </c>
      <c r="F451" s="64"/>
      <c r="G451" s="64"/>
      <c r="H451" s="64"/>
      <c r="I451" s="64"/>
      <c r="J451" s="64"/>
      <c r="K451" s="64"/>
      <c r="L451" s="64"/>
      <c r="M451" s="5036" t="s">
        <v>225</v>
      </c>
      <c r="N451" s="3491" t="s">
        <v>1921</v>
      </c>
      <c r="O451" s="2104"/>
      <c r="P451" s="2104"/>
      <c r="Q451" s="2104"/>
      <c r="R451" s="2104"/>
      <c r="S451" s="2104"/>
      <c r="T451" s="2104"/>
      <c r="U451" s="2104"/>
      <c r="V451" s="2104"/>
      <c r="W451" s="2104"/>
      <c r="X451" s="2104"/>
      <c r="Y451" s="2104"/>
      <c r="Z451" s="2104"/>
      <c r="AA451" s="2104"/>
      <c r="AB451" s="2104"/>
      <c r="AC451" s="2104"/>
      <c r="AD451" s="2104"/>
      <c r="AE451" s="2104"/>
      <c r="AF451" s="2104"/>
      <c r="AG451" s="2104"/>
      <c r="AH451" s="2104"/>
      <c r="AI451" s="2104"/>
      <c r="AJ451" s="2104"/>
      <c r="AK451" s="2104"/>
      <c r="AL451" s="2104"/>
      <c r="AM451" s="2104"/>
      <c r="AN451" s="2104"/>
      <c r="AO451" s="2104"/>
      <c r="AP451" s="2104"/>
      <c r="AR451" s="3479"/>
      <c r="AW451" s="3371"/>
    </row>
    <row r="452" s="3330" customFormat="1" spans="1:49">
      <c r="A452" s="3340"/>
      <c r="B452" s="64"/>
      <c r="D452" s="3488"/>
      <c r="F452" s="64"/>
      <c r="G452" s="64"/>
      <c r="H452" s="64"/>
      <c r="I452" s="64"/>
      <c r="J452" s="64"/>
      <c r="K452" s="64"/>
      <c r="L452" s="64"/>
      <c r="M452" s="3339"/>
      <c r="N452" s="3491"/>
      <c r="O452" s="2104"/>
      <c r="P452" s="2104"/>
      <c r="Q452" s="2104"/>
      <c r="R452" s="2104"/>
      <c r="S452" s="2104"/>
      <c r="T452" s="2104"/>
      <c r="U452" s="2104"/>
      <c r="V452" s="2104"/>
      <c r="W452" s="2104"/>
      <c r="X452" s="2104"/>
      <c r="Y452" s="2104"/>
      <c r="Z452" s="2104"/>
      <c r="AA452" s="2104"/>
      <c r="AB452" s="2104"/>
      <c r="AC452" s="2104"/>
      <c r="AD452" s="2104"/>
      <c r="AE452" s="2104"/>
      <c r="AF452" s="2104"/>
      <c r="AG452" s="2104"/>
      <c r="AH452" s="2104"/>
      <c r="AI452" s="2104"/>
      <c r="AJ452" s="2104"/>
      <c r="AK452" s="2104"/>
      <c r="AL452" s="2104"/>
      <c r="AM452" s="2104"/>
      <c r="AN452" s="2104"/>
      <c r="AO452" s="2104"/>
      <c r="AP452" s="2104"/>
      <c r="AR452" s="3479"/>
      <c r="AW452" s="3371"/>
    </row>
    <row r="453" s="3330" customFormat="1" spans="1:49">
      <c r="A453" s="3340"/>
      <c r="B453" s="64"/>
      <c r="D453" s="3488"/>
      <c r="E453" s="64"/>
      <c r="F453" s="64"/>
      <c r="G453" s="64"/>
      <c r="H453" s="64"/>
      <c r="I453" s="64"/>
      <c r="J453" s="64"/>
      <c r="K453" s="64"/>
      <c r="L453" s="64"/>
      <c r="M453" s="3339"/>
      <c r="N453" s="2104"/>
      <c r="O453" s="2104"/>
      <c r="P453" s="2104"/>
      <c r="Q453" s="2104"/>
      <c r="R453" s="2104"/>
      <c r="S453" s="2104"/>
      <c r="T453" s="2104"/>
      <c r="U453" s="2104"/>
      <c r="V453" s="2104"/>
      <c r="W453" s="2104"/>
      <c r="X453" s="2104"/>
      <c r="Y453" s="2104"/>
      <c r="Z453" s="2104"/>
      <c r="AA453" s="2104"/>
      <c r="AB453" s="2104"/>
      <c r="AC453" s="2104"/>
      <c r="AD453" s="2104"/>
      <c r="AE453" s="2104"/>
      <c r="AF453" s="2104"/>
      <c r="AG453" s="2104"/>
      <c r="AH453" s="2104"/>
      <c r="AI453" s="2104"/>
      <c r="AJ453" s="2104"/>
      <c r="AK453" s="2104"/>
      <c r="AL453" s="2104"/>
      <c r="AM453" s="2104"/>
      <c r="AN453" s="2104"/>
      <c r="AO453" s="2104"/>
      <c r="AP453" s="2104"/>
      <c r="AR453" s="3479"/>
      <c r="AW453" s="3371"/>
    </row>
    <row r="454" s="3330" customFormat="1" spans="1:49">
      <c r="A454" s="3340"/>
      <c r="B454" s="64"/>
      <c r="C454" s="3322"/>
      <c r="D454" s="3488"/>
      <c r="E454" s="64"/>
      <c r="F454" s="64"/>
      <c r="G454" s="64"/>
      <c r="H454" s="64"/>
      <c r="I454" s="64"/>
      <c r="J454" s="64"/>
      <c r="K454" s="64"/>
      <c r="L454" s="64"/>
      <c r="M454" s="3339"/>
      <c r="N454" s="2104"/>
      <c r="O454" s="2104"/>
      <c r="P454" s="2104"/>
      <c r="Q454" s="2104"/>
      <c r="R454" s="2104"/>
      <c r="S454" s="2104"/>
      <c r="T454" s="2104"/>
      <c r="U454" s="2104"/>
      <c r="V454" s="2104"/>
      <c r="W454" s="2104"/>
      <c r="X454" s="2104"/>
      <c r="Y454" s="2104"/>
      <c r="Z454" s="2104"/>
      <c r="AA454" s="2104"/>
      <c r="AB454" s="2104"/>
      <c r="AC454" s="2104"/>
      <c r="AD454" s="2104"/>
      <c r="AE454" s="2104"/>
      <c r="AF454" s="2104"/>
      <c r="AG454" s="2104"/>
      <c r="AH454" s="2104"/>
      <c r="AI454" s="2104"/>
      <c r="AJ454" s="2104"/>
      <c r="AK454" s="2104"/>
      <c r="AL454" s="2104"/>
      <c r="AM454" s="2104"/>
      <c r="AN454" s="2104"/>
      <c r="AO454" s="2104"/>
      <c r="AP454" s="2104"/>
      <c r="AR454" s="3479"/>
      <c r="AW454" s="3371"/>
    </row>
    <row r="455" s="3330" customFormat="1" spans="1:49">
      <c r="A455" s="3340"/>
      <c r="B455" s="64"/>
      <c r="D455" s="3488"/>
      <c r="E455" s="64"/>
      <c r="F455" s="64"/>
      <c r="G455" s="64"/>
      <c r="H455" s="64"/>
      <c r="I455" s="64"/>
      <c r="J455" s="64"/>
      <c r="K455" s="64"/>
      <c r="L455" s="64"/>
      <c r="M455" s="3339"/>
      <c r="N455" s="2104"/>
      <c r="O455" s="2104"/>
      <c r="P455" s="2104"/>
      <c r="Q455" s="2104"/>
      <c r="R455" s="2104"/>
      <c r="S455" s="2104"/>
      <c r="T455" s="2104"/>
      <c r="U455" s="2104"/>
      <c r="V455" s="2104"/>
      <c r="W455" s="2104"/>
      <c r="X455" s="2104"/>
      <c r="Y455" s="2104"/>
      <c r="Z455" s="2104"/>
      <c r="AA455" s="2104"/>
      <c r="AB455" s="2104"/>
      <c r="AC455" s="2104"/>
      <c r="AD455" s="2104"/>
      <c r="AE455" s="2104"/>
      <c r="AF455" s="2104"/>
      <c r="AG455" s="2104"/>
      <c r="AH455" s="2104"/>
      <c r="AI455" s="2104"/>
      <c r="AJ455" s="2104"/>
      <c r="AK455" s="2104"/>
      <c r="AL455" s="2104"/>
      <c r="AM455" s="2104"/>
      <c r="AN455" s="2104"/>
      <c r="AO455" s="2104"/>
      <c r="AP455" s="2104"/>
      <c r="AR455" s="3479"/>
      <c r="AW455" s="3371"/>
    </row>
    <row r="456" s="3330" customFormat="1" ht="6.95" customHeight="1" spans="1:49">
      <c r="A456" s="3340"/>
      <c r="B456" s="64"/>
      <c r="D456" s="3488"/>
      <c r="E456" s="64"/>
      <c r="F456" s="64"/>
      <c r="G456" s="64"/>
      <c r="H456" s="64"/>
      <c r="I456" s="64"/>
      <c r="J456" s="64"/>
      <c r="K456" s="64"/>
      <c r="L456" s="64"/>
      <c r="M456" s="3339"/>
      <c r="N456" s="2104"/>
      <c r="O456" s="2104"/>
      <c r="P456" s="2104"/>
      <c r="Q456" s="2104"/>
      <c r="R456" s="2104"/>
      <c r="S456" s="2104"/>
      <c r="T456" s="2104"/>
      <c r="U456" s="2104"/>
      <c r="V456" s="2104"/>
      <c r="W456" s="2104"/>
      <c r="X456" s="2104"/>
      <c r="Y456" s="2104"/>
      <c r="Z456" s="2104"/>
      <c r="AA456" s="2104"/>
      <c r="AB456" s="2104"/>
      <c r="AC456" s="2104"/>
      <c r="AD456" s="2104"/>
      <c r="AE456" s="2104"/>
      <c r="AF456" s="2104"/>
      <c r="AG456" s="2104"/>
      <c r="AH456" s="2104"/>
      <c r="AI456" s="2104"/>
      <c r="AJ456" s="2104"/>
      <c r="AK456" s="2104"/>
      <c r="AL456" s="2104"/>
      <c r="AM456" s="2104"/>
      <c r="AN456" s="2104"/>
      <c r="AO456" s="2104"/>
      <c r="AP456" s="2104"/>
      <c r="AR456" s="3479"/>
      <c r="AW456" s="3371"/>
    </row>
    <row r="457" s="3330" customFormat="1" spans="1:49">
      <c r="A457" s="3340"/>
      <c r="B457" s="64"/>
      <c r="C457" s="3330">
        <f>+C447+1</f>
        <v>3</v>
      </c>
      <c r="D457" s="3501" t="str">
        <f>+D425</f>
        <v>Kredit Modal Kerja 1 B</v>
      </c>
      <c r="F457" s="3339"/>
      <c r="G457" s="3339"/>
      <c r="H457" s="3339"/>
      <c r="I457" s="3341"/>
      <c r="J457" s="3341"/>
      <c r="K457" s="3341"/>
      <c r="M457" s="3339"/>
      <c r="N457" s="3490"/>
      <c r="O457" s="64"/>
      <c r="P457" s="64"/>
      <c r="Q457" s="64"/>
      <c r="R457" s="64"/>
      <c r="S457" s="64"/>
      <c r="T457" s="64"/>
      <c r="U457" s="64"/>
      <c r="V457" s="64"/>
      <c r="W457" s="64"/>
      <c r="X457" s="64"/>
      <c r="Y457" s="64"/>
      <c r="Z457" s="64"/>
      <c r="AA457" s="64"/>
      <c r="AR457" s="3479"/>
      <c r="AW457" s="3371"/>
    </row>
    <row r="458" s="3330" customFormat="1" spans="1:49">
      <c r="A458" s="3340"/>
      <c r="B458" s="64"/>
      <c r="D458" s="3488" t="s">
        <v>1914</v>
      </c>
      <c r="F458" s="3339"/>
      <c r="G458" s="3339"/>
      <c r="H458" s="3339"/>
      <c r="I458" s="3341"/>
      <c r="J458" s="3341"/>
      <c r="K458" s="3341"/>
      <c r="M458" s="5036" t="s">
        <v>225</v>
      </c>
      <c r="N458" s="3492">
        <f>+'AA1'!I15</f>
        <v>1091587098</v>
      </c>
      <c r="O458" s="3492"/>
      <c r="P458" s="3492"/>
      <c r="Q458" s="3492"/>
      <c r="R458" s="3492"/>
      <c r="S458" s="3492"/>
      <c r="T458" s="3492"/>
      <c r="U458" s="64"/>
      <c r="V458" s="64"/>
      <c r="W458" s="64"/>
      <c r="X458" s="64"/>
      <c r="Y458" s="64"/>
      <c r="Z458" s="64"/>
      <c r="AA458" s="64"/>
      <c r="AR458" s="3479"/>
      <c r="AW458" s="3371"/>
    </row>
    <row r="459" s="3330" customFormat="1" spans="1:49">
      <c r="A459" s="3340"/>
      <c r="B459" s="64"/>
      <c r="D459" s="3488" t="s">
        <v>1917</v>
      </c>
      <c r="F459" s="3339"/>
      <c r="G459" s="3339"/>
      <c r="H459" s="3339"/>
      <c r="I459" s="3341"/>
      <c r="J459" s="3341"/>
      <c r="K459" s="3341"/>
      <c r="L459" s="3341"/>
      <c r="M459" s="5036" t="s">
        <v>225</v>
      </c>
      <c r="N459" s="3491" t="s">
        <v>1922</v>
      </c>
      <c r="O459" s="2104"/>
      <c r="P459" s="2104"/>
      <c r="Q459" s="2104"/>
      <c r="R459" s="2104"/>
      <c r="S459" s="2104"/>
      <c r="T459" s="2104"/>
      <c r="U459" s="2104"/>
      <c r="V459" s="2104"/>
      <c r="W459" s="2104"/>
      <c r="X459" s="2104"/>
      <c r="Y459" s="2104"/>
      <c r="Z459" s="2104"/>
      <c r="AA459" s="2104"/>
      <c r="AB459" s="2104"/>
      <c r="AC459" s="2104"/>
      <c r="AD459" s="2104"/>
      <c r="AE459" s="2104"/>
      <c r="AF459" s="2104"/>
      <c r="AG459" s="2104"/>
      <c r="AH459" s="2104"/>
      <c r="AI459" s="2104"/>
      <c r="AJ459" s="2104"/>
      <c r="AK459" s="2104"/>
      <c r="AL459" s="2104"/>
      <c r="AM459" s="2104"/>
      <c r="AN459" s="2104"/>
      <c r="AO459" s="2104"/>
      <c r="AP459" s="2104"/>
      <c r="AR459" s="3479"/>
      <c r="AW459" s="3371"/>
    </row>
    <row r="460" s="3330" customFormat="1" spans="1:49">
      <c r="A460" s="3340"/>
      <c r="B460" s="64"/>
      <c r="D460" s="3488"/>
      <c r="F460" s="3339"/>
      <c r="G460" s="3339"/>
      <c r="H460" s="3339"/>
      <c r="I460" s="3341"/>
      <c r="J460" s="3341"/>
      <c r="K460" s="3341"/>
      <c r="L460" s="3341"/>
      <c r="M460" s="3339"/>
      <c r="N460" s="2104"/>
      <c r="O460" s="2104"/>
      <c r="P460" s="2104"/>
      <c r="Q460" s="2104"/>
      <c r="R460" s="2104"/>
      <c r="S460" s="2104"/>
      <c r="T460" s="2104"/>
      <c r="U460" s="2104"/>
      <c r="V460" s="2104"/>
      <c r="W460" s="2104"/>
      <c r="X460" s="2104"/>
      <c r="Y460" s="2104"/>
      <c r="Z460" s="2104"/>
      <c r="AA460" s="2104"/>
      <c r="AB460" s="2104"/>
      <c r="AC460" s="2104"/>
      <c r="AD460" s="2104"/>
      <c r="AE460" s="2104"/>
      <c r="AF460" s="2104"/>
      <c r="AG460" s="2104"/>
      <c r="AH460" s="2104"/>
      <c r="AI460" s="2104"/>
      <c r="AJ460" s="2104"/>
      <c r="AK460" s="2104"/>
      <c r="AL460" s="2104"/>
      <c r="AM460" s="2104"/>
      <c r="AN460" s="2104"/>
      <c r="AO460" s="2104"/>
      <c r="AP460" s="2104"/>
      <c r="AR460" s="3479"/>
      <c r="AW460" s="3371"/>
    </row>
    <row r="461" s="3330" customFormat="1" spans="1:49">
      <c r="A461" s="3340"/>
      <c r="B461" s="64"/>
      <c r="D461" s="3488" t="s">
        <v>1919</v>
      </c>
      <c r="F461" s="64"/>
      <c r="G461" s="64"/>
      <c r="H461" s="64"/>
      <c r="I461" s="64"/>
      <c r="J461" s="64"/>
      <c r="K461" s="64"/>
      <c r="L461" s="64"/>
      <c r="M461" s="5036" t="s">
        <v>225</v>
      </c>
      <c r="N461" s="3491" t="s">
        <v>1923</v>
      </c>
      <c r="O461" s="2104"/>
      <c r="P461" s="2104"/>
      <c r="Q461" s="2104"/>
      <c r="R461" s="2104"/>
      <c r="S461" s="2104"/>
      <c r="T461" s="2104"/>
      <c r="U461" s="2104"/>
      <c r="V461" s="2104"/>
      <c r="W461" s="2104"/>
      <c r="X461" s="2104"/>
      <c r="Y461" s="2104"/>
      <c r="Z461" s="2104"/>
      <c r="AA461" s="2104"/>
      <c r="AB461" s="2104"/>
      <c r="AC461" s="2104"/>
      <c r="AD461" s="2104"/>
      <c r="AE461" s="2104"/>
      <c r="AF461" s="2104"/>
      <c r="AG461" s="2104"/>
      <c r="AH461" s="2104"/>
      <c r="AI461" s="2104"/>
      <c r="AJ461" s="2104"/>
      <c r="AK461" s="2104"/>
      <c r="AL461" s="2104"/>
      <c r="AM461" s="2104"/>
      <c r="AN461" s="2104"/>
      <c r="AO461" s="2104"/>
      <c r="AP461" s="2104"/>
      <c r="AR461" s="3479"/>
      <c r="AW461" s="3371"/>
    </row>
    <row r="462" s="3330" customFormat="1" spans="1:49">
      <c r="A462" s="3340"/>
      <c r="B462" s="64"/>
      <c r="D462" s="3488"/>
      <c r="F462" s="64"/>
      <c r="G462" s="64"/>
      <c r="H462" s="64"/>
      <c r="I462" s="64"/>
      <c r="J462" s="64"/>
      <c r="K462" s="64"/>
      <c r="L462" s="64"/>
      <c r="M462" s="3339"/>
      <c r="N462" s="2104"/>
      <c r="O462" s="2104"/>
      <c r="P462" s="2104"/>
      <c r="Q462" s="2104"/>
      <c r="R462" s="2104"/>
      <c r="S462" s="2104"/>
      <c r="T462" s="2104"/>
      <c r="U462" s="2104"/>
      <c r="V462" s="2104"/>
      <c r="W462" s="2104"/>
      <c r="X462" s="2104"/>
      <c r="Y462" s="2104"/>
      <c r="Z462" s="2104"/>
      <c r="AA462" s="2104"/>
      <c r="AB462" s="2104"/>
      <c r="AC462" s="2104"/>
      <c r="AD462" s="2104"/>
      <c r="AE462" s="2104"/>
      <c r="AF462" s="2104"/>
      <c r="AG462" s="2104"/>
      <c r="AH462" s="2104"/>
      <c r="AI462" s="2104"/>
      <c r="AJ462" s="2104"/>
      <c r="AK462" s="2104"/>
      <c r="AL462" s="2104"/>
      <c r="AM462" s="2104"/>
      <c r="AN462" s="2104"/>
      <c r="AO462" s="2104"/>
      <c r="AP462" s="2104"/>
      <c r="AR462" s="3479"/>
      <c r="AW462" s="3371"/>
    </row>
    <row r="463" s="3330" customFormat="1" ht="6.6" customHeight="1" spans="1:49">
      <c r="A463" s="3340"/>
      <c r="B463" s="64"/>
      <c r="D463" s="3488"/>
      <c r="E463" s="64"/>
      <c r="F463" s="64"/>
      <c r="G463" s="64"/>
      <c r="H463" s="64"/>
      <c r="I463" s="64"/>
      <c r="J463" s="64"/>
      <c r="K463" s="64"/>
      <c r="L463" s="64"/>
      <c r="M463" s="3339"/>
      <c r="N463" s="3490"/>
      <c r="O463" s="64"/>
      <c r="P463" s="64"/>
      <c r="Q463" s="64"/>
      <c r="R463" s="64"/>
      <c r="S463" s="64"/>
      <c r="T463" s="64"/>
      <c r="U463" s="64"/>
      <c r="V463" s="64"/>
      <c r="W463" s="64"/>
      <c r="X463" s="64"/>
      <c r="Y463" s="64"/>
      <c r="Z463" s="64"/>
      <c r="AA463" s="64"/>
      <c r="AR463" s="3479"/>
      <c r="AW463" s="3371"/>
    </row>
    <row r="464" s="3330" customFormat="1" spans="1:49">
      <c r="A464" s="3340"/>
      <c r="B464" s="64"/>
      <c r="C464" s="3330">
        <f>+C457+1</f>
        <v>4</v>
      </c>
      <c r="D464" s="3501" t="str">
        <f>+D426</f>
        <v>Kredit Modal Kerja 2</v>
      </c>
      <c r="F464" s="3339"/>
      <c r="G464" s="3339"/>
      <c r="H464" s="3339"/>
      <c r="I464" s="3341"/>
      <c r="J464" s="3341"/>
      <c r="K464" s="3341"/>
      <c r="M464" s="3339"/>
      <c r="N464" s="3490"/>
      <c r="O464" s="64"/>
      <c r="P464" s="64"/>
      <c r="Q464" s="64"/>
      <c r="R464" s="64"/>
      <c r="S464" s="64"/>
      <c r="T464" s="64"/>
      <c r="U464" s="64"/>
      <c r="V464" s="64"/>
      <c r="W464" s="64"/>
      <c r="X464" s="64"/>
      <c r="Y464" s="64"/>
      <c r="Z464" s="64"/>
      <c r="AA464" s="64"/>
      <c r="AR464" s="3479"/>
      <c r="AW464" s="3371"/>
    </row>
    <row r="465" s="3330" customFormat="1" spans="1:49">
      <c r="A465" s="3340"/>
      <c r="B465" s="64"/>
      <c r="D465" s="3488" t="s">
        <v>1914</v>
      </c>
      <c r="F465" s="3339"/>
      <c r="G465" s="3339"/>
      <c r="H465" s="3339"/>
      <c r="I465" s="3341"/>
      <c r="J465" s="3341"/>
      <c r="K465" s="3341"/>
      <c r="M465" s="5036" t="s">
        <v>225</v>
      </c>
      <c r="N465" s="3492">
        <f>+'AA1'!I25</f>
        <v>595100800</v>
      </c>
      <c r="O465" s="3492"/>
      <c r="P465" s="3492"/>
      <c r="Q465" s="3492"/>
      <c r="R465" s="3492"/>
      <c r="S465" s="3492"/>
      <c r="T465" s="3492"/>
      <c r="U465" s="64"/>
      <c r="V465" s="64"/>
      <c r="W465" s="64"/>
      <c r="X465" s="64"/>
      <c r="Y465" s="64"/>
      <c r="Z465" s="64"/>
      <c r="AA465" s="64"/>
      <c r="AR465" s="3479"/>
      <c r="AW465" s="3371"/>
    </row>
    <row r="466" s="3330" customFormat="1" spans="1:49">
      <c r="A466" s="3340"/>
      <c r="B466" s="64"/>
      <c r="D466" s="3488" t="s">
        <v>1917</v>
      </c>
      <c r="F466" s="3339"/>
      <c r="G466" s="3339"/>
      <c r="H466" s="3339"/>
      <c r="I466" s="3341"/>
      <c r="J466" s="3341"/>
      <c r="K466" s="3341"/>
      <c r="L466" s="3341"/>
      <c r="M466" s="5036" t="s">
        <v>225</v>
      </c>
      <c r="N466" s="3490" t="s">
        <v>1924</v>
      </c>
      <c r="O466" s="64"/>
      <c r="P466" s="64"/>
      <c r="Q466" s="64"/>
      <c r="R466" s="64"/>
      <c r="S466" s="64"/>
      <c r="T466" s="64"/>
      <c r="U466" s="64"/>
      <c r="V466" s="64"/>
      <c r="W466" s="64"/>
      <c r="X466" s="64"/>
      <c r="Y466" s="64"/>
      <c r="Z466" s="64"/>
      <c r="AA466" s="64"/>
      <c r="AR466" s="3479"/>
      <c r="AW466" s="3371"/>
    </row>
    <row r="467" s="3330" customFormat="1" spans="1:49">
      <c r="A467" s="3340"/>
      <c r="B467" s="64"/>
      <c r="D467" s="3488" t="s">
        <v>1919</v>
      </c>
      <c r="F467" s="64"/>
      <c r="G467" s="64"/>
      <c r="H467" s="64"/>
      <c r="I467" s="64"/>
      <c r="J467" s="64"/>
      <c r="K467" s="64"/>
      <c r="L467" s="64"/>
      <c r="M467" s="5036" t="s">
        <v>225</v>
      </c>
      <c r="N467" s="3491" t="s">
        <v>1925</v>
      </c>
      <c r="O467" s="2104"/>
      <c r="P467" s="2104"/>
      <c r="Q467" s="2104"/>
      <c r="R467" s="2104"/>
      <c r="S467" s="2104"/>
      <c r="T467" s="2104"/>
      <c r="U467" s="2104"/>
      <c r="V467" s="2104"/>
      <c r="W467" s="2104"/>
      <c r="X467" s="2104"/>
      <c r="Y467" s="2104"/>
      <c r="Z467" s="2104"/>
      <c r="AA467" s="2104"/>
      <c r="AB467" s="2104"/>
      <c r="AC467" s="2104"/>
      <c r="AD467" s="2104"/>
      <c r="AE467" s="2104"/>
      <c r="AF467" s="2104"/>
      <c r="AG467" s="2104"/>
      <c r="AH467" s="2104"/>
      <c r="AI467" s="2104"/>
      <c r="AJ467" s="2104"/>
      <c r="AK467" s="2104"/>
      <c r="AL467" s="2104"/>
      <c r="AM467" s="2104"/>
      <c r="AN467" s="2104"/>
      <c r="AO467" s="2104"/>
      <c r="AP467" s="2104"/>
      <c r="AR467" s="3479"/>
      <c r="AW467" s="3371"/>
    </row>
    <row r="468" s="3330" customFormat="1" spans="1:49">
      <c r="A468" s="3340"/>
      <c r="B468" s="64"/>
      <c r="D468" s="3488"/>
      <c r="E468" s="64"/>
      <c r="F468" s="64"/>
      <c r="G468" s="64"/>
      <c r="H468" s="64"/>
      <c r="I468" s="64"/>
      <c r="J468" s="64"/>
      <c r="K468" s="64"/>
      <c r="L468" s="64"/>
      <c r="M468" s="3339"/>
      <c r="N468" s="2104"/>
      <c r="O468" s="2104"/>
      <c r="P468" s="2104"/>
      <c r="Q468" s="2104"/>
      <c r="R468" s="2104"/>
      <c r="S468" s="2104"/>
      <c r="T468" s="2104"/>
      <c r="U468" s="2104"/>
      <c r="V468" s="2104"/>
      <c r="W468" s="2104"/>
      <c r="X468" s="2104"/>
      <c r="Y468" s="2104"/>
      <c r="Z468" s="2104"/>
      <c r="AA468" s="2104"/>
      <c r="AB468" s="2104"/>
      <c r="AC468" s="2104"/>
      <c r="AD468" s="2104"/>
      <c r="AE468" s="2104"/>
      <c r="AF468" s="2104"/>
      <c r="AG468" s="2104"/>
      <c r="AH468" s="2104"/>
      <c r="AI468" s="2104"/>
      <c r="AJ468" s="2104"/>
      <c r="AK468" s="2104"/>
      <c r="AL468" s="2104"/>
      <c r="AM468" s="2104"/>
      <c r="AN468" s="2104"/>
      <c r="AO468" s="2104"/>
      <c r="AP468" s="2104"/>
      <c r="AR468" s="3479"/>
      <c r="AW468" s="3371"/>
    </row>
    <row r="469" s="3330" customFormat="1" ht="9" customHeight="1" spans="1:49">
      <c r="A469" s="3340"/>
      <c r="B469" s="64"/>
      <c r="D469" s="3488"/>
      <c r="E469" s="64"/>
      <c r="F469" s="64"/>
      <c r="G469" s="64"/>
      <c r="H469" s="64"/>
      <c r="I469" s="64"/>
      <c r="J469" s="64"/>
      <c r="K469" s="64"/>
      <c r="L469" s="64"/>
      <c r="M469" s="3339"/>
      <c r="N469" s="3490"/>
      <c r="O469" s="64"/>
      <c r="P469" s="64"/>
      <c r="Q469" s="64"/>
      <c r="R469" s="64"/>
      <c r="S469" s="64"/>
      <c r="T469" s="64"/>
      <c r="U469" s="64"/>
      <c r="V469" s="64"/>
      <c r="W469" s="64"/>
      <c r="X469" s="64"/>
      <c r="Y469" s="64"/>
      <c r="Z469" s="64"/>
      <c r="AA469" s="64"/>
      <c r="AR469" s="3479"/>
      <c r="AW469" s="3371"/>
    </row>
    <row r="470" s="3330" customFormat="1" spans="1:49">
      <c r="A470" s="3340"/>
      <c r="B470" s="64"/>
      <c r="C470" s="3330">
        <f>+C464+1</f>
        <v>5</v>
      </c>
      <c r="D470" s="3501" t="str">
        <f>+D427</f>
        <v>Kredit Modal Kerja 3</v>
      </c>
      <c r="F470" s="3339"/>
      <c r="G470" s="3339"/>
      <c r="H470" s="3339"/>
      <c r="I470" s="3341"/>
      <c r="J470" s="3341"/>
      <c r="K470" s="3341"/>
      <c r="M470" s="3339"/>
      <c r="N470" s="3490"/>
      <c r="O470" s="64"/>
      <c r="P470" s="64"/>
      <c r="Q470" s="64"/>
      <c r="R470" s="64"/>
      <c r="S470" s="64"/>
      <c r="T470" s="64"/>
      <c r="U470" s="64"/>
      <c r="V470" s="64"/>
      <c r="W470" s="64"/>
      <c r="X470" s="64"/>
      <c r="Y470" s="64"/>
      <c r="Z470" s="64"/>
      <c r="AA470" s="64"/>
      <c r="AR470" s="3479"/>
      <c r="AW470" s="3371"/>
    </row>
    <row r="471" s="3330" customFormat="1" spans="1:49">
      <c r="A471" s="3340"/>
      <c r="B471" s="64"/>
      <c r="D471" s="3488" t="s">
        <v>1914</v>
      </c>
      <c r="F471" s="3339"/>
      <c r="G471" s="3339"/>
      <c r="H471" s="3339"/>
      <c r="I471" s="3341"/>
      <c r="J471" s="3341"/>
      <c r="K471" s="3341"/>
      <c r="M471" s="5036" t="s">
        <v>225</v>
      </c>
      <c r="N471" s="3492">
        <f>+'AA1'!I34</f>
        <v>660000000</v>
      </c>
      <c r="O471" s="3492"/>
      <c r="P471" s="3492"/>
      <c r="Q471" s="3492"/>
      <c r="R471" s="3492"/>
      <c r="S471" s="3492"/>
      <c r="T471" s="3492"/>
      <c r="U471" s="64"/>
      <c r="V471" s="64"/>
      <c r="W471" s="64"/>
      <c r="X471" s="64"/>
      <c r="Y471" s="64"/>
      <c r="Z471" s="64"/>
      <c r="AA471" s="64"/>
      <c r="AR471" s="3479"/>
      <c r="AW471" s="3371"/>
    </row>
    <row r="472" s="3330" customFormat="1" spans="1:49">
      <c r="A472" s="3340"/>
      <c r="B472" s="64"/>
      <c r="D472" s="3488" t="s">
        <v>1917</v>
      </c>
      <c r="F472" s="3339"/>
      <c r="G472" s="3339"/>
      <c r="H472" s="3339"/>
      <c r="I472" s="3341"/>
      <c r="J472" s="3341"/>
      <c r="K472" s="3341"/>
      <c r="L472" s="3341"/>
      <c r="M472" s="5036" t="s">
        <v>225</v>
      </c>
      <c r="N472" s="3490" t="s">
        <v>1926</v>
      </c>
      <c r="O472" s="64"/>
      <c r="P472" s="64"/>
      <c r="Q472" s="64"/>
      <c r="R472" s="64"/>
      <c r="S472" s="64"/>
      <c r="T472" s="64"/>
      <c r="U472" s="64"/>
      <c r="V472" s="64"/>
      <c r="W472" s="64"/>
      <c r="X472" s="64"/>
      <c r="Y472" s="64"/>
      <c r="Z472" s="64"/>
      <c r="AA472" s="64"/>
      <c r="AR472" s="3479"/>
      <c r="AW472" s="3371"/>
    </row>
    <row r="473" s="3330" customFormat="1" spans="1:49">
      <c r="A473" s="3340"/>
      <c r="B473" s="64"/>
      <c r="D473" s="3488" t="s">
        <v>1919</v>
      </c>
      <c r="F473" s="64"/>
      <c r="G473" s="64"/>
      <c r="H473" s="64"/>
      <c r="I473" s="64"/>
      <c r="J473" s="64"/>
      <c r="K473" s="64"/>
      <c r="L473" s="64"/>
      <c r="M473" s="5036" t="s">
        <v>225</v>
      </c>
      <c r="N473" s="3491" t="s">
        <v>1927</v>
      </c>
      <c r="O473" s="2104"/>
      <c r="P473" s="2104"/>
      <c r="Q473" s="2104"/>
      <c r="R473" s="2104"/>
      <c r="S473" s="2104"/>
      <c r="T473" s="2104"/>
      <c r="U473" s="2104"/>
      <c r="V473" s="2104"/>
      <c r="W473" s="2104"/>
      <c r="X473" s="2104"/>
      <c r="Y473" s="2104"/>
      <c r="Z473" s="2104"/>
      <c r="AA473" s="2104"/>
      <c r="AB473" s="2104"/>
      <c r="AC473" s="2104"/>
      <c r="AD473" s="2104"/>
      <c r="AE473" s="2104"/>
      <c r="AF473" s="2104"/>
      <c r="AG473" s="2104"/>
      <c r="AH473" s="2104"/>
      <c r="AI473" s="2104"/>
      <c r="AJ473" s="2104"/>
      <c r="AK473" s="2104"/>
      <c r="AL473" s="2104"/>
      <c r="AM473" s="2104"/>
      <c r="AN473" s="2104"/>
      <c r="AO473" s="2104"/>
      <c r="AP473" s="2104"/>
      <c r="AR473" s="3479"/>
      <c r="AW473" s="3371"/>
    </row>
    <row r="474" s="3330" customFormat="1" spans="1:49">
      <c r="A474" s="3340"/>
      <c r="B474" s="64"/>
      <c r="D474" s="3488"/>
      <c r="E474" s="64"/>
      <c r="F474" s="64"/>
      <c r="G474" s="64"/>
      <c r="H474" s="64"/>
      <c r="I474" s="64"/>
      <c r="J474" s="64"/>
      <c r="K474" s="64"/>
      <c r="L474" s="64"/>
      <c r="M474" s="3339"/>
      <c r="N474" s="2104"/>
      <c r="O474" s="2104"/>
      <c r="P474" s="2104"/>
      <c r="Q474" s="2104"/>
      <c r="R474" s="2104"/>
      <c r="S474" s="2104"/>
      <c r="T474" s="2104"/>
      <c r="U474" s="2104"/>
      <c r="V474" s="2104"/>
      <c r="W474" s="2104"/>
      <c r="X474" s="2104"/>
      <c r="Y474" s="2104"/>
      <c r="Z474" s="2104"/>
      <c r="AA474" s="2104"/>
      <c r="AB474" s="2104"/>
      <c r="AC474" s="2104"/>
      <c r="AD474" s="2104"/>
      <c r="AE474" s="2104"/>
      <c r="AF474" s="2104"/>
      <c r="AG474" s="2104"/>
      <c r="AH474" s="2104"/>
      <c r="AI474" s="2104"/>
      <c r="AJ474" s="2104"/>
      <c r="AK474" s="2104"/>
      <c r="AL474" s="2104"/>
      <c r="AM474" s="2104"/>
      <c r="AN474" s="2104"/>
      <c r="AO474" s="2104"/>
      <c r="AP474" s="2104"/>
      <c r="AR474" s="3479"/>
      <c r="AW474" s="3371"/>
    </row>
    <row r="475" s="3330" customFormat="1" ht="7.5" customHeight="1" spans="1:49">
      <c r="A475" s="3340"/>
      <c r="B475" s="64"/>
      <c r="D475" s="3488"/>
      <c r="E475" s="64"/>
      <c r="F475" s="64"/>
      <c r="G475" s="64"/>
      <c r="H475" s="64"/>
      <c r="I475" s="64"/>
      <c r="J475" s="64"/>
      <c r="K475" s="64"/>
      <c r="L475" s="64"/>
      <c r="M475" s="3339"/>
      <c r="N475" s="3490"/>
      <c r="O475" s="64"/>
      <c r="P475" s="64"/>
      <c r="Q475" s="64"/>
      <c r="R475" s="64"/>
      <c r="S475" s="64"/>
      <c r="T475" s="64"/>
      <c r="U475" s="64"/>
      <c r="V475" s="64"/>
      <c r="W475" s="64"/>
      <c r="X475" s="64"/>
      <c r="Y475" s="64"/>
      <c r="Z475" s="64"/>
      <c r="AA475" s="64"/>
      <c r="AR475" s="3479"/>
      <c r="AW475" s="3371"/>
    </row>
    <row r="476" s="3330" customFormat="1" customHeight="1" spans="1:49">
      <c r="A476" s="3340"/>
      <c r="B476" s="64"/>
      <c r="D476" s="3488"/>
      <c r="E476" s="64"/>
      <c r="F476" s="64"/>
      <c r="G476" s="64"/>
      <c r="H476" s="64"/>
      <c r="I476" s="64"/>
      <c r="J476" s="64"/>
      <c r="K476" s="64"/>
      <c r="L476" s="64"/>
      <c r="M476" s="3339"/>
      <c r="N476" s="3490"/>
      <c r="O476" s="64"/>
      <c r="P476" s="64"/>
      <c r="Q476" s="64"/>
      <c r="R476" s="64"/>
      <c r="S476" s="64"/>
      <c r="T476" s="64"/>
      <c r="U476" s="64"/>
      <c r="V476" s="64"/>
      <c r="W476" s="64"/>
      <c r="X476" s="64"/>
      <c r="Y476" s="64"/>
      <c r="Z476" s="64"/>
      <c r="AA476" s="64"/>
      <c r="AR476" s="3479"/>
      <c r="AW476" s="3371"/>
    </row>
    <row r="477" s="3330" customFormat="1" customHeight="1" spans="1:49">
      <c r="A477" s="3340"/>
      <c r="B477" s="64"/>
      <c r="D477" s="3488"/>
      <c r="E477" s="64"/>
      <c r="F477" s="64"/>
      <c r="G477" s="64"/>
      <c r="H477" s="64"/>
      <c r="I477" s="64"/>
      <c r="J477" s="64"/>
      <c r="K477" s="64"/>
      <c r="L477" s="64"/>
      <c r="M477" s="3339"/>
      <c r="N477" s="3490"/>
      <c r="O477" s="64"/>
      <c r="P477" s="64"/>
      <c r="Q477" s="64"/>
      <c r="R477" s="64"/>
      <c r="S477" s="64"/>
      <c r="T477" s="64"/>
      <c r="U477" s="64"/>
      <c r="V477" s="64"/>
      <c r="W477" s="64"/>
      <c r="X477" s="64"/>
      <c r="Y477" s="64"/>
      <c r="Z477" s="64"/>
      <c r="AA477" s="64"/>
      <c r="AR477" s="3479"/>
      <c r="AW477" s="3371"/>
    </row>
    <row r="478" s="3330" customFormat="1" customHeight="1" spans="1:49">
      <c r="A478" s="3340"/>
      <c r="B478" s="64"/>
      <c r="D478" s="3488"/>
      <c r="E478" s="64"/>
      <c r="F478" s="64"/>
      <c r="G478" s="64"/>
      <c r="H478" s="64"/>
      <c r="I478" s="64"/>
      <c r="J478" s="64"/>
      <c r="K478" s="64"/>
      <c r="L478" s="64"/>
      <c r="M478" s="3339"/>
      <c r="N478" s="3490"/>
      <c r="O478" s="64"/>
      <c r="P478" s="64"/>
      <c r="Q478" s="64"/>
      <c r="R478" s="64"/>
      <c r="S478" s="64"/>
      <c r="T478" s="64"/>
      <c r="U478" s="64"/>
      <c r="V478" s="64"/>
      <c r="W478" s="64"/>
      <c r="X478" s="64"/>
      <c r="Y478" s="64"/>
      <c r="Z478" s="64"/>
      <c r="AA478" s="64"/>
      <c r="AR478" s="3479"/>
      <c r="AW478" s="3371"/>
    </row>
    <row r="479" s="3330" customFormat="1" customHeight="1" spans="1:49">
      <c r="A479" s="3340"/>
      <c r="B479" s="64"/>
      <c r="D479" s="3488"/>
      <c r="E479" s="64"/>
      <c r="F479" s="64"/>
      <c r="G479" s="64"/>
      <c r="H479" s="64"/>
      <c r="I479" s="64"/>
      <c r="J479" s="64"/>
      <c r="K479" s="64"/>
      <c r="L479" s="64"/>
      <c r="M479" s="3339"/>
      <c r="N479" s="3490"/>
      <c r="O479" s="64"/>
      <c r="P479" s="64"/>
      <c r="Q479" s="64"/>
      <c r="R479" s="64"/>
      <c r="S479" s="64"/>
      <c r="T479" s="64"/>
      <c r="U479" s="64"/>
      <c r="V479" s="64"/>
      <c r="W479" s="64"/>
      <c r="X479" s="64"/>
      <c r="Y479" s="64"/>
      <c r="Z479" s="64"/>
      <c r="AA479" s="64"/>
      <c r="AR479" s="3479"/>
      <c r="AW479" s="3371"/>
    </row>
    <row r="480" s="3330" customFormat="1" customHeight="1" spans="1:49">
      <c r="A480" s="3340"/>
      <c r="B480" s="64"/>
      <c r="D480" s="3488"/>
      <c r="E480" s="64"/>
      <c r="F480" s="64"/>
      <c r="G480" s="64"/>
      <c r="H480" s="64"/>
      <c r="I480" s="64"/>
      <c r="J480" s="64"/>
      <c r="K480" s="64"/>
      <c r="L480" s="64"/>
      <c r="M480" s="3339"/>
      <c r="N480" s="3490"/>
      <c r="O480" s="64"/>
      <c r="P480" s="64"/>
      <c r="Q480" s="64"/>
      <c r="R480" s="64"/>
      <c r="S480" s="64"/>
      <c r="T480" s="64"/>
      <c r="U480" s="64"/>
      <c r="V480" s="64"/>
      <c r="W480" s="64"/>
      <c r="X480" s="64"/>
      <c r="Y480" s="64"/>
      <c r="Z480" s="64"/>
      <c r="AA480" s="64"/>
      <c r="AR480" s="3479"/>
      <c r="AW480" s="3371"/>
    </row>
    <row r="481" s="3330" customFormat="1" customHeight="1" spans="1:49">
      <c r="A481" s="3340"/>
      <c r="B481" s="64"/>
      <c r="D481" s="3488"/>
      <c r="E481" s="64"/>
      <c r="F481" s="64"/>
      <c r="G481" s="64"/>
      <c r="H481" s="64"/>
      <c r="I481" s="64"/>
      <c r="J481" s="64"/>
      <c r="K481" s="64"/>
      <c r="L481" s="64"/>
      <c r="M481" s="3339"/>
      <c r="N481" s="3490"/>
      <c r="O481" s="64"/>
      <c r="P481" s="64"/>
      <c r="Q481" s="64"/>
      <c r="R481" s="64"/>
      <c r="S481" s="64"/>
      <c r="T481" s="64"/>
      <c r="U481" s="64"/>
      <c r="V481" s="64"/>
      <c r="W481" s="64"/>
      <c r="X481" s="64"/>
      <c r="Y481" s="64"/>
      <c r="Z481" s="64"/>
      <c r="AA481" s="64"/>
      <c r="AR481" s="3479"/>
      <c r="AW481" s="3371"/>
    </row>
    <row r="482" s="3330" customFormat="1" customHeight="1" spans="1:49">
      <c r="A482" s="3340"/>
      <c r="B482" s="64"/>
      <c r="D482" s="3488"/>
      <c r="E482" s="64"/>
      <c r="F482" s="64"/>
      <c r="G482" s="64"/>
      <c r="H482" s="64"/>
      <c r="I482" s="64"/>
      <c r="J482" s="64"/>
      <c r="K482" s="64"/>
      <c r="L482" s="64"/>
      <c r="M482" s="3339"/>
      <c r="N482" s="3490"/>
      <c r="O482" s="64"/>
      <c r="P482" s="64"/>
      <c r="Q482" s="64"/>
      <c r="R482" s="64"/>
      <c r="S482" s="64"/>
      <c r="T482" s="64"/>
      <c r="U482" s="64"/>
      <c r="V482" s="64"/>
      <c r="W482" s="64"/>
      <c r="X482" s="64"/>
      <c r="Y482" s="64"/>
      <c r="Z482" s="64"/>
      <c r="AA482" s="64"/>
      <c r="AR482" s="3479"/>
      <c r="AW482" s="3371"/>
    </row>
    <row r="483" s="3330" customFormat="1" customHeight="1" spans="1:49">
      <c r="A483" s="3340"/>
      <c r="B483" s="64"/>
      <c r="D483" s="3488"/>
      <c r="E483" s="64"/>
      <c r="F483" s="64"/>
      <c r="G483" s="64"/>
      <c r="H483" s="64"/>
      <c r="I483" s="64"/>
      <c r="J483" s="64"/>
      <c r="K483" s="64"/>
      <c r="L483" s="64"/>
      <c r="M483" s="3339"/>
      <c r="N483" s="3490"/>
      <c r="O483" s="64"/>
      <c r="P483" s="64"/>
      <c r="Q483" s="64"/>
      <c r="R483" s="64"/>
      <c r="S483" s="64"/>
      <c r="T483" s="64"/>
      <c r="U483" s="64"/>
      <c r="V483" s="64"/>
      <c r="W483" s="64"/>
      <c r="X483" s="64"/>
      <c r="Y483" s="64"/>
      <c r="Z483" s="64"/>
      <c r="AA483" s="64"/>
      <c r="AR483" s="3479"/>
      <c r="AW483" s="3371"/>
    </row>
    <row r="484" s="3330" customFormat="1" customHeight="1" spans="1:49">
      <c r="A484" s="3385">
        <f>+A413+1</f>
        <v>14</v>
      </c>
      <c r="B484" s="3385"/>
      <c r="C484" s="3385"/>
      <c r="D484" s="3385"/>
      <c r="E484" s="3385"/>
      <c r="F484" s="3385"/>
      <c r="G484" s="3385"/>
      <c r="H484" s="3385"/>
      <c r="I484" s="3385"/>
      <c r="J484" s="3385"/>
      <c r="K484" s="3385"/>
      <c r="L484" s="3385"/>
      <c r="M484" s="3385"/>
      <c r="N484" s="3385"/>
      <c r="O484" s="3385"/>
      <c r="P484" s="3385"/>
      <c r="Q484" s="3385"/>
      <c r="R484" s="3385"/>
      <c r="S484" s="3385"/>
      <c r="T484" s="3385"/>
      <c r="U484" s="3385"/>
      <c r="V484" s="3385"/>
      <c r="W484" s="3385"/>
      <c r="X484" s="3385"/>
      <c r="Y484" s="3385"/>
      <c r="Z484" s="3385"/>
      <c r="AA484" s="3385"/>
      <c r="AB484" s="3385"/>
      <c r="AC484" s="3385"/>
      <c r="AD484" s="3385"/>
      <c r="AE484" s="3385"/>
      <c r="AF484" s="3385"/>
      <c r="AG484" s="3385"/>
      <c r="AH484" s="3385"/>
      <c r="AI484" s="3385"/>
      <c r="AJ484" s="3385"/>
      <c r="AK484" s="3385"/>
      <c r="AL484" s="3385"/>
      <c r="AM484" s="3385"/>
      <c r="AN484" s="3385"/>
      <c r="AO484" s="3385"/>
      <c r="AP484" s="3385"/>
      <c r="AR484" s="3479"/>
      <c r="AW484" s="3371"/>
    </row>
    <row r="485" s="3330" customFormat="1" customHeight="1" spans="1:49">
      <c r="A485" s="3335">
        <f>+A414</f>
        <v>12</v>
      </c>
      <c r="B485" s="3315"/>
      <c r="C485" s="3322" t="s">
        <v>1910</v>
      </c>
      <c r="D485" s="64"/>
      <c r="E485" s="64"/>
      <c r="F485" s="3339"/>
      <c r="G485" s="3339"/>
      <c r="H485" s="64"/>
      <c r="I485" s="64"/>
      <c r="J485" s="64"/>
      <c r="K485" s="64"/>
      <c r="L485" s="64"/>
      <c r="M485" s="3339"/>
      <c r="N485" s="3490"/>
      <c r="O485" s="64"/>
      <c r="P485" s="64"/>
      <c r="Q485" s="64"/>
      <c r="R485" s="64"/>
      <c r="S485" s="64"/>
      <c r="T485" s="64"/>
      <c r="U485" s="64"/>
      <c r="V485" s="64"/>
      <c r="W485" s="64"/>
      <c r="X485" s="64"/>
      <c r="Y485" s="64"/>
      <c r="Z485" s="64"/>
      <c r="AA485" s="64"/>
      <c r="AR485" s="3479"/>
      <c r="AW485" s="3371"/>
    </row>
    <row r="486" s="3330" customFormat="1" customHeight="1" spans="1:49">
      <c r="A486" s="3340"/>
      <c r="B486" s="64"/>
      <c r="D486" s="3480"/>
      <c r="F486" s="3339"/>
      <c r="G486" s="3339"/>
      <c r="H486" s="64"/>
      <c r="I486" s="64"/>
      <c r="J486" s="64"/>
      <c r="K486" s="64"/>
      <c r="L486" s="64"/>
      <c r="M486" s="3339"/>
      <c r="N486" s="3490"/>
      <c r="O486" s="64"/>
      <c r="P486" s="64"/>
      <c r="Q486" s="64"/>
      <c r="R486" s="64"/>
      <c r="S486" s="64"/>
      <c r="T486" s="64"/>
      <c r="U486" s="64"/>
      <c r="V486" s="64"/>
      <c r="W486" s="64"/>
      <c r="X486" s="64"/>
      <c r="Y486" s="64"/>
      <c r="Z486" s="64"/>
      <c r="AA486" s="64"/>
      <c r="AR486" s="3479"/>
      <c r="AW486" s="3371"/>
    </row>
    <row r="487" s="3330" customFormat="1" customHeight="1" spans="1:49">
      <c r="A487" s="3340"/>
      <c r="B487" s="64"/>
      <c r="C487" s="94" t="s">
        <v>1911</v>
      </c>
      <c r="D487" s="64"/>
      <c r="E487" s="64"/>
      <c r="F487" s="64"/>
      <c r="G487" s="64"/>
      <c r="H487" s="64"/>
      <c r="I487" s="64"/>
      <c r="J487" s="64"/>
      <c r="K487" s="64"/>
      <c r="L487" s="64"/>
      <c r="M487" s="3339"/>
      <c r="N487" s="3490"/>
      <c r="O487" s="64"/>
      <c r="P487" s="64"/>
      <c r="Q487" s="64"/>
      <c r="R487" s="64"/>
      <c r="S487" s="64"/>
      <c r="T487" s="64"/>
      <c r="U487" s="64"/>
      <c r="V487" s="64"/>
      <c r="W487" s="64"/>
      <c r="X487" s="64"/>
      <c r="Y487" s="64"/>
      <c r="Z487" s="64"/>
      <c r="AA487" s="64"/>
      <c r="AR487" s="3479"/>
      <c r="AW487" s="3371"/>
    </row>
    <row r="488" s="3330" customFormat="1" customHeight="1" spans="1:49">
      <c r="A488" s="3340"/>
      <c r="B488" s="64"/>
      <c r="D488" s="3488"/>
      <c r="E488" s="64"/>
      <c r="F488" s="64"/>
      <c r="G488" s="64"/>
      <c r="H488" s="64"/>
      <c r="I488" s="64"/>
      <c r="J488" s="64"/>
      <c r="K488" s="64"/>
      <c r="L488" s="64"/>
      <c r="M488" s="3339"/>
      <c r="N488" s="3490"/>
      <c r="O488" s="64"/>
      <c r="P488" s="64"/>
      <c r="Q488" s="64"/>
      <c r="R488" s="64"/>
      <c r="S488" s="64"/>
      <c r="T488" s="64"/>
      <c r="U488" s="64"/>
      <c r="V488" s="64"/>
      <c r="W488" s="64"/>
      <c r="X488" s="64"/>
      <c r="Y488" s="64"/>
      <c r="Z488" s="64"/>
      <c r="AA488" s="64"/>
      <c r="AR488" s="3479"/>
      <c r="AW488" s="3371"/>
    </row>
    <row r="489" s="3330" customFormat="1" spans="1:49">
      <c r="A489" s="3340"/>
      <c r="B489" s="64"/>
      <c r="C489" s="3330">
        <f>+C470+1</f>
        <v>6</v>
      </c>
      <c r="D489" s="3501" t="str">
        <f>+D428</f>
        <v>Pinjaman Modal Kerja Kompresor </v>
      </c>
      <c r="F489" s="3339"/>
      <c r="G489" s="3339"/>
      <c r="H489" s="3339"/>
      <c r="I489" s="3341"/>
      <c r="J489" s="3341"/>
      <c r="K489" s="3341"/>
      <c r="M489" s="3339"/>
      <c r="N489" s="3490"/>
      <c r="O489" s="64"/>
      <c r="P489" s="64"/>
      <c r="Q489" s="64"/>
      <c r="R489" s="64"/>
      <c r="S489" s="64"/>
      <c r="T489" s="64"/>
      <c r="U489" s="64"/>
      <c r="V489" s="64"/>
      <c r="W489" s="64"/>
      <c r="X489" s="64"/>
      <c r="Y489" s="64"/>
      <c r="Z489" s="64"/>
      <c r="AA489" s="64"/>
      <c r="AR489" s="3479"/>
      <c r="AW489" s="3371"/>
    </row>
    <row r="490" s="3330" customFormat="1" spans="1:49">
      <c r="A490" s="3340"/>
      <c r="B490" s="64"/>
      <c r="D490" s="3488" t="s">
        <v>1914</v>
      </c>
      <c r="F490" s="3339"/>
      <c r="G490" s="3339"/>
      <c r="H490" s="3339"/>
      <c r="I490" s="3341"/>
      <c r="J490" s="3341"/>
      <c r="K490" s="3341"/>
      <c r="M490" s="5036" t="s">
        <v>225</v>
      </c>
      <c r="N490" s="3492">
        <f>+'AA1'!I62</f>
        <v>6094260000</v>
      </c>
      <c r="O490" s="3492"/>
      <c r="P490" s="3492"/>
      <c r="Q490" s="3492"/>
      <c r="R490" s="3492"/>
      <c r="S490" s="3492"/>
      <c r="T490" s="3492"/>
      <c r="U490" s="64"/>
      <c r="V490" s="64"/>
      <c r="W490" s="64"/>
      <c r="X490" s="64"/>
      <c r="Y490" s="64"/>
      <c r="Z490" s="64"/>
      <c r="AA490" s="64"/>
      <c r="AR490" s="3479"/>
      <c r="AW490" s="3371"/>
    </row>
    <row r="491" s="3330" customFormat="1" spans="1:49">
      <c r="A491" s="3340"/>
      <c r="B491" s="64"/>
      <c r="D491" s="3488" t="s">
        <v>1917</v>
      </c>
      <c r="F491" s="3339"/>
      <c r="G491" s="3339"/>
      <c r="H491" s="3339"/>
      <c r="I491" s="3341"/>
      <c r="J491" s="3341"/>
      <c r="K491" s="3341"/>
      <c r="L491" s="3341"/>
      <c r="M491" s="5036" t="s">
        <v>225</v>
      </c>
      <c r="N491" s="3490" t="s">
        <v>1928</v>
      </c>
      <c r="O491" s="64"/>
      <c r="P491" s="64"/>
      <c r="Q491" s="64"/>
      <c r="R491" s="64"/>
      <c r="S491" s="64"/>
      <c r="T491" s="64"/>
      <c r="U491" s="64"/>
      <c r="V491" s="64"/>
      <c r="W491" s="64"/>
      <c r="X491" s="64"/>
      <c r="Y491" s="64"/>
      <c r="Z491" s="64"/>
      <c r="AA491" s="64"/>
      <c r="AR491" s="3479"/>
      <c r="AW491" s="3371"/>
    </row>
    <row r="492" s="3330" customFormat="1" spans="1:49">
      <c r="A492" s="3340"/>
      <c r="B492" s="64"/>
      <c r="D492" s="3488" t="s">
        <v>1919</v>
      </c>
      <c r="F492" s="64"/>
      <c r="G492" s="64"/>
      <c r="H492" s="64"/>
      <c r="I492" s="64"/>
      <c r="J492" s="64"/>
      <c r="K492" s="64"/>
      <c r="L492" s="64"/>
      <c r="M492" s="5036" t="s">
        <v>225</v>
      </c>
      <c r="N492" s="3491" t="s">
        <v>1929</v>
      </c>
      <c r="O492" s="2104"/>
      <c r="P492" s="2104"/>
      <c r="Q492" s="2104"/>
      <c r="R492" s="2104"/>
      <c r="S492" s="2104"/>
      <c r="T492" s="2104"/>
      <c r="U492" s="2104"/>
      <c r="V492" s="2104"/>
      <c r="W492" s="2104"/>
      <c r="X492" s="2104"/>
      <c r="Y492" s="2104"/>
      <c r="Z492" s="2104"/>
      <c r="AA492" s="2104"/>
      <c r="AB492" s="2104"/>
      <c r="AC492" s="2104"/>
      <c r="AD492" s="2104"/>
      <c r="AE492" s="2104"/>
      <c r="AF492" s="2104"/>
      <c r="AG492" s="2104"/>
      <c r="AH492" s="2104"/>
      <c r="AI492" s="2104"/>
      <c r="AJ492" s="2104"/>
      <c r="AK492" s="2104"/>
      <c r="AL492" s="2104"/>
      <c r="AM492" s="2104"/>
      <c r="AN492" s="2104"/>
      <c r="AO492" s="2104"/>
      <c r="AP492" s="2104"/>
      <c r="AR492" s="3479"/>
      <c r="AW492" s="3371"/>
    </row>
    <row r="493" s="3330" customFormat="1" spans="1:49">
      <c r="A493" s="3340"/>
      <c r="B493" s="64"/>
      <c r="D493" s="3488"/>
      <c r="F493" s="64"/>
      <c r="G493" s="64"/>
      <c r="H493" s="64"/>
      <c r="I493" s="64"/>
      <c r="J493" s="64"/>
      <c r="K493" s="64"/>
      <c r="L493" s="64"/>
      <c r="M493" s="3339"/>
      <c r="N493" s="3491"/>
      <c r="O493" s="2104"/>
      <c r="P493" s="2104"/>
      <c r="Q493" s="2104"/>
      <c r="R493" s="2104"/>
      <c r="S493" s="2104"/>
      <c r="T493" s="2104"/>
      <c r="U493" s="2104"/>
      <c r="V493" s="2104"/>
      <c r="W493" s="2104"/>
      <c r="X493" s="2104"/>
      <c r="Y493" s="2104"/>
      <c r="Z493" s="2104"/>
      <c r="AA493" s="2104"/>
      <c r="AB493" s="2104"/>
      <c r="AC493" s="2104"/>
      <c r="AD493" s="2104"/>
      <c r="AE493" s="2104"/>
      <c r="AF493" s="2104"/>
      <c r="AG493" s="2104"/>
      <c r="AH493" s="2104"/>
      <c r="AI493" s="2104"/>
      <c r="AJ493" s="2104"/>
      <c r="AK493" s="2104"/>
      <c r="AL493" s="2104"/>
      <c r="AM493" s="2104"/>
      <c r="AN493" s="2104"/>
      <c r="AO493" s="2104"/>
      <c r="AP493" s="2104"/>
      <c r="AR493" s="3479"/>
      <c r="AW493" s="3371"/>
    </row>
    <row r="494" s="3330" customFormat="1" spans="1:49">
      <c r="A494" s="3340"/>
      <c r="B494" s="64"/>
      <c r="D494" s="3488"/>
      <c r="E494" s="64"/>
      <c r="F494" s="64"/>
      <c r="G494" s="64"/>
      <c r="H494" s="64"/>
      <c r="I494" s="64"/>
      <c r="J494" s="64"/>
      <c r="K494" s="64"/>
      <c r="L494" s="64"/>
      <c r="M494" s="3339"/>
      <c r="N494" s="2104"/>
      <c r="O494" s="2104"/>
      <c r="P494" s="2104"/>
      <c r="Q494" s="2104"/>
      <c r="R494" s="2104"/>
      <c r="S494" s="2104"/>
      <c r="T494" s="2104"/>
      <c r="U494" s="2104"/>
      <c r="V494" s="2104"/>
      <c r="W494" s="2104"/>
      <c r="X494" s="2104"/>
      <c r="Y494" s="2104"/>
      <c r="Z494" s="2104"/>
      <c r="AA494" s="2104"/>
      <c r="AB494" s="2104"/>
      <c r="AC494" s="2104"/>
      <c r="AD494" s="2104"/>
      <c r="AE494" s="2104"/>
      <c r="AF494" s="2104"/>
      <c r="AG494" s="2104"/>
      <c r="AH494" s="2104"/>
      <c r="AI494" s="2104"/>
      <c r="AJ494" s="2104"/>
      <c r="AK494" s="2104"/>
      <c r="AL494" s="2104"/>
      <c r="AM494" s="2104"/>
      <c r="AN494" s="2104"/>
      <c r="AO494" s="2104"/>
      <c r="AP494" s="2104"/>
      <c r="AR494" s="3479"/>
      <c r="AW494" s="3371"/>
    </row>
    <row r="495" s="3330" customFormat="1" spans="1:49">
      <c r="A495" s="3340"/>
      <c r="B495" s="64"/>
      <c r="D495" s="3488"/>
      <c r="E495" s="64"/>
      <c r="F495" s="64"/>
      <c r="G495" s="64"/>
      <c r="H495" s="64"/>
      <c r="I495" s="64"/>
      <c r="J495" s="64"/>
      <c r="K495" s="64"/>
      <c r="L495" s="64"/>
      <c r="M495" s="3339"/>
      <c r="N495" s="2104"/>
      <c r="O495" s="2104"/>
      <c r="P495" s="2104"/>
      <c r="Q495" s="2104"/>
      <c r="R495" s="2104"/>
      <c r="S495" s="2104"/>
      <c r="T495" s="2104"/>
      <c r="U495" s="2104"/>
      <c r="V495" s="2104"/>
      <c r="W495" s="2104"/>
      <c r="X495" s="2104"/>
      <c r="Y495" s="2104"/>
      <c r="Z495" s="2104"/>
      <c r="AA495" s="2104"/>
      <c r="AB495" s="2104"/>
      <c r="AC495" s="2104"/>
      <c r="AD495" s="2104"/>
      <c r="AE495" s="2104"/>
      <c r="AF495" s="2104"/>
      <c r="AG495" s="2104"/>
      <c r="AH495" s="2104"/>
      <c r="AI495" s="2104"/>
      <c r="AJ495" s="2104"/>
      <c r="AK495" s="2104"/>
      <c r="AL495" s="2104"/>
      <c r="AM495" s="2104"/>
      <c r="AN495" s="2104"/>
      <c r="AO495" s="2104"/>
      <c r="AP495" s="2104"/>
      <c r="AR495" s="3479"/>
      <c r="AW495" s="3371"/>
    </row>
    <row r="496" s="3330" customFormat="1" spans="1:49">
      <c r="A496" s="3340"/>
      <c r="B496" s="64"/>
      <c r="C496" s="3322"/>
      <c r="D496" s="3488"/>
      <c r="E496" s="64"/>
      <c r="F496" s="64"/>
      <c r="G496" s="64"/>
      <c r="H496" s="64"/>
      <c r="I496" s="64"/>
      <c r="J496" s="64"/>
      <c r="K496" s="64"/>
      <c r="L496" s="64"/>
      <c r="M496" s="3339"/>
      <c r="N496" s="2104"/>
      <c r="O496" s="2104"/>
      <c r="P496" s="2104"/>
      <c r="Q496" s="2104"/>
      <c r="R496" s="2104"/>
      <c r="S496" s="2104"/>
      <c r="T496" s="2104"/>
      <c r="U496" s="2104"/>
      <c r="V496" s="2104"/>
      <c r="W496" s="2104"/>
      <c r="X496" s="2104"/>
      <c r="Y496" s="2104"/>
      <c r="Z496" s="2104"/>
      <c r="AA496" s="2104"/>
      <c r="AB496" s="2104"/>
      <c r="AC496" s="2104"/>
      <c r="AD496" s="2104"/>
      <c r="AE496" s="2104"/>
      <c r="AF496" s="2104"/>
      <c r="AG496" s="2104"/>
      <c r="AH496" s="2104"/>
      <c r="AI496" s="2104"/>
      <c r="AJ496" s="2104"/>
      <c r="AK496" s="2104"/>
      <c r="AL496" s="2104"/>
      <c r="AM496" s="2104"/>
      <c r="AN496" s="2104"/>
      <c r="AO496" s="2104"/>
      <c r="AP496" s="2104"/>
      <c r="AR496" s="3479"/>
      <c r="AW496" s="3371"/>
    </row>
    <row r="497" s="3330" customFormat="1" ht="5.1" customHeight="1" spans="1:49">
      <c r="A497" s="3340"/>
      <c r="B497" s="64"/>
      <c r="C497" s="3322"/>
      <c r="D497" s="3488"/>
      <c r="E497" s="64"/>
      <c r="F497" s="64"/>
      <c r="G497" s="64"/>
      <c r="H497" s="64"/>
      <c r="I497" s="64"/>
      <c r="J497" s="64"/>
      <c r="K497" s="64"/>
      <c r="L497" s="64"/>
      <c r="M497" s="3339"/>
      <c r="N497" s="3490"/>
      <c r="O497" s="64"/>
      <c r="P497" s="64"/>
      <c r="Q497" s="64"/>
      <c r="R497" s="64"/>
      <c r="S497" s="64"/>
      <c r="T497" s="64"/>
      <c r="U497" s="64"/>
      <c r="V497" s="64"/>
      <c r="W497" s="64"/>
      <c r="X497" s="64"/>
      <c r="Y497" s="64"/>
      <c r="Z497" s="64"/>
      <c r="AA497" s="64"/>
      <c r="AR497" s="3479"/>
      <c r="AW497" s="3371"/>
    </row>
    <row r="498" s="3330" customFormat="1" spans="1:49">
      <c r="A498" s="3340"/>
      <c r="B498" s="64"/>
      <c r="C498" s="5059" t="s">
        <v>2105</v>
      </c>
      <c r="D498" s="2146"/>
      <c r="E498" s="2146"/>
      <c r="F498" s="2146"/>
      <c r="G498" s="2146"/>
      <c r="H498" s="2146"/>
      <c r="I498" s="2146"/>
      <c r="J498" s="2146"/>
      <c r="K498" s="2146"/>
      <c r="L498" s="2146"/>
      <c r="M498" s="2146"/>
      <c r="N498" s="2146"/>
      <c r="O498" s="2146"/>
      <c r="P498" s="2146"/>
      <c r="Q498" s="2146"/>
      <c r="R498" s="2146"/>
      <c r="S498" s="2146"/>
      <c r="T498" s="2146"/>
      <c r="U498" s="2146"/>
      <c r="V498" s="2146"/>
      <c r="W498" s="2146"/>
      <c r="X498" s="2146"/>
      <c r="Y498" s="2146"/>
      <c r="Z498" s="2146"/>
      <c r="AA498" s="2146"/>
      <c r="AB498" s="2146"/>
      <c r="AC498" s="2146"/>
      <c r="AD498" s="2146"/>
      <c r="AE498" s="2146"/>
      <c r="AF498" s="2146"/>
      <c r="AG498" s="2146"/>
      <c r="AH498" s="2146"/>
      <c r="AI498" s="2146"/>
      <c r="AJ498" s="2146"/>
      <c r="AK498" s="2146"/>
      <c r="AL498" s="2146"/>
      <c r="AM498" s="2146"/>
      <c r="AN498" s="2146"/>
      <c r="AO498" s="2104"/>
      <c r="AP498" s="2104"/>
      <c r="AR498" s="3479"/>
      <c r="AW498" s="3371"/>
    </row>
    <row r="499" s="3330" customFormat="1" spans="1:49">
      <c r="A499" s="3340"/>
      <c r="B499" s="64"/>
      <c r="C499" s="2104"/>
      <c r="D499" s="2104"/>
      <c r="E499" s="2104"/>
      <c r="F499" s="2104"/>
      <c r="G499" s="2104"/>
      <c r="H499" s="2104"/>
      <c r="I499" s="2104"/>
      <c r="J499" s="2104"/>
      <c r="K499" s="2104"/>
      <c r="L499" s="2104"/>
      <c r="M499" s="2104"/>
      <c r="N499" s="2104"/>
      <c r="O499" s="2104"/>
      <c r="P499" s="2104"/>
      <c r="Q499" s="2104"/>
      <c r="R499" s="2104"/>
      <c r="S499" s="2104"/>
      <c r="T499" s="2104"/>
      <c r="U499" s="2104"/>
      <c r="V499" s="2104"/>
      <c r="W499" s="2104"/>
      <c r="X499" s="2104"/>
      <c r="Y499" s="2104"/>
      <c r="Z499" s="2104"/>
      <c r="AA499" s="2104"/>
      <c r="AB499" s="2104"/>
      <c r="AC499" s="2104"/>
      <c r="AD499" s="2104"/>
      <c r="AE499" s="2104"/>
      <c r="AF499" s="2104"/>
      <c r="AG499" s="2104"/>
      <c r="AH499" s="2104"/>
      <c r="AI499" s="2104"/>
      <c r="AJ499" s="2104"/>
      <c r="AK499" s="2104"/>
      <c r="AL499" s="2104"/>
      <c r="AM499" s="2104"/>
      <c r="AN499" s="2104"/>
      <c r="AO499" s="2104"/>
      <c r="AP499" s="2104"/>
      <c r="AR499" s="3479"/>
      <c r="AW499" s="3371"/>
    </row>
    <row r="500" s="3330" customFormat="1" spans="1:49">
      <c r="A500" s="3340"/>
      <c r="B500" s="64"/>
      <c r="C500" s="2104"/>
      <c r="D500" s="2104"/>
      <c r="E500" s="2104"/>
      <c r="F500" s="2104"/>
      <c r="G500" s="2104"/>
      <c r="H500" s="2104"/>
      <c r="I500" s="2104"/>
      <c r="J500" s="2104"/>
      <c r="K500" s="2104"/>
      <c r="L500" s="2104"/>
      <c r="M500" s="2104"/>
      <c r="N500" s="2104"/>
      <c r="O500" s="2104"/>
      <c r="P500" s="2104"/>
      <c r="Q500" s="2104"/>
      <c r="R500" s="2104"/>
      <c r="S500" s="2104"/>
      <c r="T500" s="2104"/>
      <c r="U500" s="2104"/>
      <c r="V500" s="2104"/>
      <c r="W500" s="2104"/>
      <c r="X500" s="2104"/>
      <c r="Y500" s="2104"/>
      <c r="Z500" s="2104"/>
      <c r="AA500" s="2104"/>
      <c r="AB500" s="2104"/>
      <c r="AC500" s="2104"/>
      <c r="AD500" s="2104"/>
      <c r="AE500" s="2104"/>
      <c r="AF500" s="2104"/>
      <c r="AG500" s="2104"/>
      <c r="AH500" s="2104"/>
      <c r="AI500" s="2104"/>
      <c r="AJ500" s="2104"/>
      <c r="AK500" s="2104"/>
      <c r="AL500" s="2104"/>
      <c r="AM500" s="2104"/>
      <c r="AN500" s="2104"/>
      <c r="AO500" s="2104"/>
      <c r="AP500" s="2104"/>
      <c r="AR500" s="3479"/>
      <c r="AW500" s="3371"/>
    </row>
    <row r="501" s="3330" customFormat="1" spans="1:49">
      <c r="A501" s="3340"/>
      <c r="B501" s="64"/>
      <c r="C501" s="2104"/>
      <c r="D501" s="2104"/>
      <c r="E501" s="2104"/>
      <c r="F501" s="2104"/>
      <c r="G501" s="2104"/>
      <c r="H501" s="2104"/>
      <c r="I501" s="2104"/>
      <c r="J501" s="2104"/>
      <c r="K501" s="2104"/>
      <c r="L501" s="2104"/>
      <c r="M501" s="2104"/>
      <c r="N501" s="2104"/>
      <c r="O501" s="2104"/>
      <c r="P501" s="2104"/>
      <c r="Q501" s="2104"/>
      <c r="R501" s="2104"/>
      <c r="S501" s="2104"/>
      <c r="T501" s="2104"/>
      <c r="U501" s="2104"/>
      <c r="V501" s="2104"/>
      <c r="W501" s="2104"/>
      <c r="X501" s="2104"/>
      <c r="Y501" s="2104"/>
      <c r="Z501" s="2104"/>
      <c r="AA501" s="2104"/>
      <c r="AB501" s="2104"/>
      <c r="AC501" s="2104"/>
      <c r="AD501" s="2104"/>
      <c r="AE501" s="2104"/>
      <c r="AF501" s="2104"/>
      <c r="AG501" s="2104"/>
      <c r="AH501" s="2104"/>
      <c r="AI501" s="2104"/>
      <c r="AJ501" s="2104"/>
      <c r="AK501" s="2104"/>
      <c r="AL501" s="2104"/>
      <c r="AM501" s="2104"/>
      <c r="AN501" s="2104"/>
      <c r="AO501" s="2104"/>
      <c r="AP501" s="2104"/>
      <c r="AR501" s="3479"/>
      <c r="AW501" s="3371"/>
    </row>
    <row r="502" s="3330" customFormat="1" spans="1:49">
      <c r="A502" s="3340"/>
      <c r="B502" s="64"/>
      <c r="C502" s="2104"/>
      <c r="D502" s="2104"/>
      <c r="E502" s="2104"/>
      <c r="F502" s="2104"/>
      <c r="G502" s="2104"/>
      <c r="H502" s="2104"/>
      <c r="I502" s="2104"/>
      <c r="J502" s="2104"/>
      <c r="K502" s="2104"/>
      <c r="L502" s="2104"/>
      <c r="M502" s="2104"/>
      <c r="N502" s="2104"/>
      <c r="O502" s="2104"/>
      <c r="P502" s="2104"/>
      <c r="Q502" s="2104"/>
      <c r="R502" s="2104"/>
      <c r="S502" s="2104"/>
      <c r="T502" s="2104"/>
      <c r="U502" s="2104"/>
      <c r="V502" s="2104"/>
      <c r="W502" s="2104"/>
      <c r="X502" s="2104"/>
      <c r="Y502" s="2104"/>
      <c r="Z502" s="2104"/>
      <c r="AA502" s="2104"/>
      <c r="AB502" s="2104"/>
      <c r="AC502" s="2104"/>
      <c r="AD502" s="2104"/>
      <c r="AE502" s="2104"/>
      <c r="AF502" s="2104"/>
      <c r="AG502" s="2104"/>
      <c r="AH502" s="2104"/>
      <c r="AI502" s="2104"/>
      <c r="AJ502" s="2104"/>
      <c r="AK502" s="2104"/>
      <c r="AL502" s="2104"/>
      <c r="AM502" s="2104"/>
      <c r="AN502" s="2104"/>
      <c r="AO502" s="2104"/>
      <c r="AP502" s="2104"/>
      <c r="AR502" s="3479"/>
      <c r="AW502" s="3371"/>
    </row>
    <row r="503" s="3330" customFormat="1" ht="7.5" customHeight="1" spans="1:49">
      <c r="A503" s="3340"/>
      <c r="B503" s="64"/>
      <c r="D503" s="3488"/>
      <c r="E503" s="64"/>
      <c r="F503" s="64"/>
      <c r="G503" s="64"/>
      <c r="H503" s="64"/>
      <c r="I503" s="64"/>
      <c r="J503" s="64"/>
      <c r="K503" s="64"/>
      <c r="L503" s="64"/>
      <c r="M503" s="3339"/>
      <c r="N503" s="3490"/>
      <c r="O503" s="64"/>
      <c r="P503" s="64"/>
      <c r="Q503" s="64"/>
      <c r="R503" s="64"/>
      <c r="S503" s="64"/>
      <c r="T503" s="64"/>
      <c r="U503" s="64"/>
      <c r="V503" s="64"/>
      <c r="W503" s="64"/>
      <c r="X503" s="64"/>
      <c r="Y503" s="64"/>
      <c r="Z503" s="64"/>
      <c r="AA503" s="64"/>
      <c r="AR503" s="3479"/>
      <c r="AW503" s="3371"/>
    </row>
    <row r="504" s="3330" customFormat="1" spans="1:49">
      <c r="A504" s="3340"/>
      <c r="B504" s="64"/>
      <c r="C504" s="3480" t="s">
        <v>148</v>
      </c>
      <c r="D504" s="3502" t="s">
        <v>1931</v>
      </c>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R504" s="3479"/>
      <c r="AW504" s="3371"/>
    </row>
    <row r="505" s="3330" customFormat="1" ht="6.95" customHeight="1" spans="1:49">
      <c r="A505" s="3340"/>
      <c r="B505" s="64"/>
      <c r="C505" s="3322"/>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R505" s="3479"/>
      <c r="AW505" s="3371"/>
    </row>
    <row r="506" s="3330" customFormat="1" spans="1:49">
      <c r="A506" s="3340"/>
      <c r="B506" s="64"/>
      <c r="C506" s="3330">
        <f>C505+1</f>
        <v>1</v>
      </c>
      <c r="D506" s="2104" t="s">
        <v>1932</v>
      </c>
      <c r="E506" s="2104"/>
      <c r="F506" s="2104"/>
      <c r="G506" s="2104"/>
      <c r="H506" s="2104"/>
      <c r="I506" s="2104"/>
      <c r="J506" s="2104"/>
      <c r="K506" s="2104"/>
      <c r="L506" s="2104"/>
      <c r="M506" s="2104"/>
      <c r="N506" s="2104"/>
      <c r="O506" s="2104"/>
      <c r="P506" s="2104"/>
      <c r="Q506" s="2104"/>
      <c r="R506" s="2104"/>
      <c r="S506" s="2104"/>
      <c r="T506" s="2104"/>
      <c r="U506" s="2104"/>
      <c r="V506" s="2104"/>
      <c r="W506" s="2104"/>
      <c r="X506" s="2104"/>
      <c r="Y506" s="2104"/>
      <c r="Z506" s="2104"/>
      <c r="AA506" s="2104"/>
      <c r="AB506" s="2104"/>
      <c r="AC506" s="2104"/>
      <c r="AD506" s="2104"/>
      <c r="AE506" s="2104"/>
      <c r="AF506" s="2104"/>
      <c r="AG506" s="2104"/>
      <c r="AH506" s="2104"/>
      <c r="AI506" s="2104"/>
      <c r="AJ506" s="2104"/>
      <c r="AK506" s="2104"/>
      <c r="AL506" s="2104"/>
      <c r="AM506" s="2104"/>
      <c r="AN506" s="2104"/>
      <c r="AO506" s="2104"/>
      <c r="AP506" s="2104"/>
      <c r="AR506" s="3479"/>
      <c r="AW506" s="3371"/>
    </row>
    <row r="507" s="3330" customFormat="1" spans="1:49">
      <c r="A507" s="3340"/>
      <c r="B507" s="64"/>
      <c r="D507" s="2104"/>
      <c r="E507" s="2104"/>
      <c r="F507" s="2104"/>
      <c r="G507" s="2104"/>
      <c r="H507" s="2104"/>
      <c r="I507" s="2104"/>
      <c r="J507" s="2104"/>
      <c r="K507" s="2104"/>
      <c r="L507" s="2104"/>
      <c r="M507" s="2104"/>
      <c r="N507" s="2104"/>
      <c r="O507" s="2104"/>
      <c r="P507" s="2104"/>
      <c r="Q507" s="2104"/>
      <c r="R507" s="2104"/>
      <c r="S507" s="2104"/>
      <c r="T507" s="2104"/>
      <c r="U507" s="2104"/>
      <c r="V507" s="2104"/>
      <c r="W507" s="2104"/>
      <c r="X507" s="2104"/>
      <c r="Y507" s="2104"/>
      <c r="Z507" s="2104"/>
      <c r="AA507" s="2104"/>
      <c r="AB507" s="2104"/>
      <c r="AC507" s="2104"/>
      <c r="AD507" s="2104"/>
      <c r="AE507" s="2104"/>
      <c r="AF507" s="2104"/>
      <c r="AG507" s="2104"/>
      <c r="AH507" s="2104"/>
      <c r="AI507" s="2104"/>
      <c r="AJ507" s="2104"/>
      <c r="AK507" s="2104"/>
      <c r="AL507" s="2104"/>
      <c r="AM507" s="2104"/>
      <c r="AN507" s="2104"/>
      <c r="AO507" s="2104"/>
      <c r="AP507" s="2104"/>
      <c r="AR507" s="3479"/>
      <c r="AW507" s="3371"/>
    </row>
    <row r="508" s="3330" customFormat="1" spans="1:49">
      <c r="A508" s="3340"/>
      <c r="B508" s="64"/>
      <c r="D508" s="2104"/>
      <c r="E508" s="2104"/>
      <c r="F508" s="2104"/>
      <c r="G508" s="2104"/>
      <c r="H508" s="2104"/>
      <c r="I508" s="2104"/>
      <c r="J508" s="2104"/>
      <c r="K508" s="2104"/>
      <c r="L508" s="2104"/>
      <c r="M508" s="2104"/>
      <c r="N508" s="2104"/>
      <c r="O508" s="2104"/>
      <c r="P508" s="2104"/>
      <c r="Q508" s="2104"/>
      <c r="R508" s="2104"/>
      <c r="S508" s="2104"/>
      <c r="T508" s="2104"/>
      <c r="U508" s="2104"/>
      <c r="V508" s="2104"/>
      <c r="W508" s="2104"/>
      <c r="X508" s="2104"/>
      <c r="Y508" s="2104"/>
      <c r="Z508" s="2104"/>
      <c r="AA508" s="2104"/>
      <c r="AB508" s="2104"/>
      <c r="AC508" s="2104"/>
      <c r="AD508" s="2104"/>
      <c r="AE508" s="2104"/>
      <c r="AF508" s="2104"/>
      <c r="AG508" s="2104"/>
      <c r="AH508" s="2104"/>
      <c r="AI508" s="2104"/>
      <c r="AJ508" s="2104"/>
      <c r="AK508" s="2104"/>
      <c r="AL508" s="2104"/>
      <c r="AM508" s="2104"/>
      <c r="AN508" s="2104"/>
      <c r="AO508" s="2104"/>
      <c r="AP508" s="2104"/>
      <c r="AR508" s="3479"/>
      <c r="AW508" s="3371"/>
    </row>
    <row r="509" s="3330" customFormat="1" spans="1:49">
      <c r="A509" s="3340"/>
      <c r="B509" s="64"/>
      <c r="D509" s="2104"/>
      <c r="E509" s="2104"/>
      <c r="F509" s="2104"/>
      <c r="G509" s="2104"/>
      <c r="H509" s="2104"/>
      <c r="I509" s="2104"/>
      <c r="J509" s="2104"/>
      <c r="K509" s="2104"/>
      <c r="L509" s="2104"/>
      <c r="M509" s="2104"/>
      <c r="N509" s="2104"/>
      <c r="O509" s="2104"/>
      <c r="P509" s="2104"/>
      <c r="Q509" s="2104"/>
      <c r="R509" s="2104"/>
      <c r="S509" s="2104"/>
      <c r="T509" s="2104"/>
      <c r="U509" s="2104"/>
      <c r="V509" s="2104"/>
      <c r="W509" s="2104"/>
      <c r="X509" s="2104"/>
      <c r="Y509" s="2104"/>
      <c r="Z509" s="2104"/>
      <c r="AA509" s="2104"/>
      <c r="AB509" s="2104"/>
      <c r="AC509" s="2104"/>
      <c r="AD509" s="2104"/>
      <c r="AE509" s="2104"/>
      <c r="AF509" s="2104"/>
      <c r="AG509" s="2104"/>
      <c r="AH509" s="2104"/>
      <c r="AI509" s="2104"/>
      <c r="AJ509" s="2104"/>
      <c r="AK509" s="2104"/>
      <c r="AL509" s="2104"/>
      <c r="AM509" s="2104"/>
      <c r="AN509" s="2104"/>
      <c r="AO509" s="2104"/>
      <c r="AP509" s="2104"/>
      <c r="AR509" s="3479"/>
      <c r="AW509" s="3371"/>
    </row>
    <row r="510" s="3330" customFormat="1" spans="1:49">
      <c r="A510" s="3340"/>
      <c r="B510" s="64"/>
      <c r="D510" s="2104"/>
      <c r="E510" s="2104"/>
      <c r="F510" s="2104"/>
      <c r="G510" s="2104"/>
      <c r="H510" s="2104"/>
      <c r="I510" s="2104"/>
      <c r="J510" s="2104"/>
      <c r="K510" s="2104"/>
      <c r="L510" s="2104"/>
      <c r="M510" s="2104"/>
      <c r="N510" s="2104"/>
      <c r="O510" s="2104"/>
      <c r="P510" s="2104"/>
      <c r="Q510" s="2104"/>
      <c r="R510" s="2104"/>
      <c r="S510" s="2104"/>
      <c r="T510" s="2104"/>
      <c r="U510" s="2104"/>
      <c r="V510" s="2104"/>
      <c r="W510" s="2104"/>
      <c r="X510" s="2104"/>
      <c r="Y510" s="2104"/>
      <c r="Z510" s="2104"/>
      <c r="AA510" s="2104"/>
      <c r="AB510" s="2104"/>
      <c r="AC510" s="2104"/>
      <c r="AD510" s="2104"/>
      <c r="AE510" s="2104"/>
      <c r="AF510" s="2104"/>
      <c r="AG510" s="2104"/>
      <c r="AH510" s="2104"/>
      <c r="AI510" s="2104"/>
      <c r="AJ510" s="2104"/>
      <c r="AK510" s="2104"/>
      <c r="AL510" s="2104"/>
      <c r="AM510" s="2104"/>
      <c r="AN510" s="2104"/>
      <c r="AO510" s="2104"/>
      <c r="AP510" s="2104"/>
      <c r="AR510" s="3479"/>
      <c r="AW510" s="3371"/>
    </row>
    <row r="511" s="3330" customFormat="1" spans="1:49">
      <c r="A511" s="3340"/>
      <c r="B511" s="64"/>
      <c r="D511" s="2104"/>
      <c r="E511" s="2104"/>
      <c r="F511" s="2104"/>
      <c r="G511" s="2104"/>
      <c r="H511" s="2104"/>
      <c r="I511" s="2104"/>
      <c r="J511" s="2104"/>
      <c r="K511" s="2104"/>
      <c r="L511" s="2104"/>
      <c r="M511" s="2104"/>
      <c r="N511" s="2104"/>
      <c r="O511" s="2104"/>
      <c r="P511" s="2104"/>
      <c r="Q511" s="2104"/>
      <c r="R511" s="2104"/>
      <c r="S511" s="2104"/>
      <c r="T511" s="2104"/>
      <c r="U511" s="2104"/>
      <c r="V511" s="2104"/>
      <c r="W511" s="2104"/>
      <c r="X511" s="2104"/>
      <c r="Y511" s="2104"/>
      <c r="Z511" s="2104"/>
      <c r="AA511" s="2104"/>
      <c r="AB511" s="2104"/>
      <c r="AC511" s="2104"/>
      <c r="AD511" s="2104"/>
      <c r="AE511" s="2104"/>
      <c r="AF511" s="2104"/>
      <c r="AG511" s="2104"/>
      <c r="AH511" s="2104"/>
      <c r="AI511" s="2104"/>
      <c r="AJ511" s="2104"/>
      <c r="AK511" s="2104"/>
      <c r="AL511" s="2104"/>
      <c r="AM511" s="2104"/>
      <c r="AN511" s="2104"/>
      <c r="AO511" s="2104"/>
      <c r="AP511" s="2104"/>
      <c r="AR511" s="3479"/>
      <c r="AW511" s="3371"/>
    </row>
    <row r="512" s="3330" customFormat="1" ht="8.45" customHeight="1" spans="1:49">
      <c r="A512" s="3340"/>
      <c r="B512" s="64"/>
      <c r="D512" s="2104"/>
      <c r="E512" s="2104"/>
      <c r="F512" s="2104"/>
      <c r="G512" s="2104"/>
      <c r="H512" s="2104"/>
      <c r="I512" s="2104"/>
      <c r="J512" s="2104"/>
      <c r="K512" s="2104"/>
      <c r="L512" s="2104"/>
      <c r="M512" s="2104"/>
      <c r="N512" s="2104"/>
      <c r="O512" s="2104"/>
      <c r="P512" s="2104"/>
      <c r="Q512" s="2104"/>
      <c r="R512" s="2104"/>
      <c r="S512" s="2104"/>
      <c r="T512" s="2104"/>
      <c r="U512" s="2104"/>
      <c r="V512" s="2104"/>
      <c r="W512" s="2104"/>
      <c r="X512" s="2104"/>
      <c r="Y512" s="2104"/>
      <c r="Z512" s="2104"/>
      <c r="AA512" s="2104"/>
      <c r="AB512" s="2104"/>
      <c r="AC512" s="2104"/>
      <c r="AD512" s="2104"/>
      <c r="AE512" s="2104"/>
      <c r="AF512" s="2104"/>
      <c r="AG512" s="2104"/>
      <c r="AH512" s="2104"/>
      <c r="AI512" s="2104"/>
      <c r="AJ512" s="2104"/>
      <c r="AK512" s="2104"/>
      <c r="AL512" s="2104"/>
      <c r="AM512" s="2104"/>
      <c r="AN512" s="2104"/>
      <c r="AO512" s="2104"/>
      <c r="AP512" s="2104"/>
      <c r="AR512" s="3479"/>
      <c r="AW512" s="3371"/>
    </row>
    <row r="513" s="3330" customFormat="1" spans="1:49">
      <c r="A513" s="3340"/>
      <c r="B513" s="64"/>
      <c r="C513" s="3330">
        <v>2</v>
      </c>
      <c r="D513" s="5059" t="s">
        <v>2106</v>
      </c>
      <c r="E513" s="2104"/>
      <c r="F513" s="2104"/>
      <c r="G513" s="2104"/>
      <c r="H513" s="2104"/>
      <c r="I513" s="2104"/>
      <c r="J513" s="2104"/>
      <c r="K513" s="2104"/>
      <c r="L513" s="2104"/>
      <c r="M513" s="2104"/>
      <c r="N513" s="2104"/>
      <c r="O513" s="2104"/>
      <c r="P513" s="2104"/>
      <c r="Q513" s="2104"/>
      <c r="R513" s="2104"/>
      <c r="S513" s="2104"/>
      <c r="T513" s="2104"/>
      <c r="U513" s="2104"/>
      <c r="V513" s="2104"/>
      <c r="W513" s="2104"/>
      <c r="X513" s="2104"/>
      <c r="Y513" s="2104"/>
      <c r="Z513" s="2104"/>
      <c r="AA513" s="2104"/>
      <c r="AB513" s="2104"/>
      <c r="AC513" s="2104"/>
      <c r="AD513" s="2104"/>
      <c r="AE513" s="2104"/>
      <c r="AF513" s="2104"/>
      <c r="AG513" s="2104"/>
      <c r="AH513" s="2104"/>
      <c r="AI513" s="2104"/>
      <c r="AJ513" s="2104"/>
      <c r="AK513" s="2104"/>
      <c r="AL513" s="2104"/>
      <c r="AM513" s="2104"/>
      <c r="AN513" s="2104"/>
      <c r="AO513" s="2104"/>
      <c r="AP513" s="2104"/>
      <c r="AR513" s="3479"/>
      <c r="AW513" s="3371"/>
    </row>
    <row r="514" s="3330" customFormat="1" spans="1:49">
      <c r="A514" s="3340"/>
      <c r="B514" s="64"/>
      <c r="D514" s="2104"/>
      <c r="E514" s="2104"/>
      <c r="F514" s="2104"/>
      <c r="G514" s="2104"/>
      <c r="H514" s="2104"/>
      <c r="I514" s="2104"/>
      <c r="J514" s="2104"/>
      <c r="K514" s="2104"/>
      <c r="L514" s="2104"/>
      <c r="M514" s="2104"/>
      <c r="N514" s="2104"/>
      <c r="O514" s="2104"/>
      <c r="P514" s="2104"/>
      <c r="Q514" s="2104"/>
      <c r="R514" s="2104"/>
      <c r="S514" s="2104"/>
      <c r="T514" s="2104"/>
      <c r="U514" s="2104"/>
      <c r="V514" s="2104"/>
      <c r="W514" s="2104"/>
      <c r="X514" s="2104"/>
      <c r="Y514" s="2104"/>
      <c r="Z514" s="2104"/>
      <c r="AA514" s="2104"/>
      <c r="AB514" s="2104"/>
      <c r="AC514" s="2104"/>
      <c r="AD514" s="2104"/>
      <c r="AE514" s="2104"/>
      <c r="AF514" s="2104"/>
      <c r="AG514" s="2104"/>
      <c r="AH514" s="2104"/>
      <c r="AI514" s="2104"/>
      <c r="AJ514" s="2104"/>
      <c r="AK514" s="2104"/>
      <c r="AL514" s="2104"/>
      <c r="AM514" s="2104"/>
      <c r="AN514" s="2104"/>
      <c r="AO514" s="2104"/>
      <c r="AP514" s="2104"/>
      <c r="AR514" s="3479"/>
      <c r="AW514" s="3371"/>
    </row>
    <row r="515" s="3330" customFormat="1" spans="1:49">
      <c r="A515" s="3340"/>
      <c r="B515" s="64"/>
      <c r="D515" s="2104"/>
      <c r="E515" s="2104"/>
      <c r="F515" s="2104"/>
      <c r="G515" s="2104"/>
      <c r="H515" s="2104"/>
      <c r="I515" s="2104"/>
      <c r="J515" s="2104"/>
      <c r="K515" s="2104"/>
      <c r="L515" s="2104"/>
      <c r="M515" s="2104"/>
      <c r="N515" s="2104"/>
      <c r="O515" s="2104"/>
      <c r="P515" s="2104"/>
      <c r="Q515" s="2104"/>
      <c r="R515" s="2104"/>
      <c r="S515" s="2104"/>
      <c r="T515" s="2104"/>
      <c r="U515" s="2104"/>
      <c r="V515" s="2104"/>
      <c r="W515" s="2104"/>
      <c r="X515" s="2104"/>
      <c r="Y515" s="2104"/>
      <c r="Z515" s="2104"/>
      <c r="AA515" s="2104"/>
      <c r="AB515" s="2104"/>
      <c r="AC515" s="2104"/>
      <c r="AD515" s="2104"/>
      <c r="AE515" s="2104"/>
      <c r="AF515" s="2104"/>
      <c r="AG515" s="2104"/>
      <c r="AH515" s="2104"/>
      <c r="AI515" s="2104"/>
      <c r="AJ515" s="2104"/>
      <c r="AK515" s="2104"/>
      <c r="AL515" s="2104"/>
      <c r="AM515" s="2104"/>
      <c r="AN515" s="2104"/>
      <c r="AO515" s="2104"/>
      <c r="AP515" s="2104"/>
      <c r="AR515" s="3479"/>
      <c r="AW515" s="3371"/>
    </row>
    <row r="516" s="3330" customFormat="1" spans="1:49">
      <c r="A516" s="3340"/>
      <c r="B516" s="64"/>
      <c r="C516" s="5095" t="s">
        <v>1866</v>
      </c>
      <c r="D516" s="2104"/>
      <c r="E516" s="2104"/>
      <c r="F516" s="2104"/>
      <c r="G516" s="2104"/>
      <c r="H516" s="2104"/>
      <c r="I516" s="2104"/>
      <c r="J516" s="2104"/>
      <c r="K516" s="2104"/>
      <c r="L516" s="2104"/>
      <c r="M516" s="2104"/>
      <c r="N516" s="2104"/>
      <c r="O516" s="2104"/>
      <c r="P516" s="2104"/>
      <c r="Q516" s="2104"/>
      <c r="R516" s="2104"/>
      <c r="S516" s="2104"/>
      <c r="T516" s="2104"/>
      <c r="U516" s="2104"/>
      <c r="V516" s="2104"/>
      <c r="W516" s="2104"/>
      <c r="X516" s="2104"/>
      <c r="Y516" s="2104"/>
      <c r="Z516" s="2104"/>
      <c r="AA516" s="2104"/>
      <c r="AB516" s="2104"/>
      <c r="AC516" s="2104"/>
      <c r="AD516" s="2104"/>
      <c r="AE516" s="2104"/>
      <c r="AF516" s="2104"/>
      <c r="AG516" s="2104"/>
      <c r="AH516" s="2104"/>
      <c r="AI516" s="2104"/>
      <c r="AJ516" s="2104"/>
      <c r="AK516" s="2104"/>
      <c r="AL516" s="2104"/>
      <c r="AM516" s="2104"/>
      <c r="AN516" s="2104"/>
      <c r="AO516" s="2104"/>
      <c r="AP516" s="2104"/>
      <c r="AR516" s="3479"/>
      <c r="AW516" s="3371"/>
    </row>
    <row r="517" s="3330" customFormat="1" spans="1:49">
      <c r="A517" s="3340"/>
      <c r="B517" s="64"/>
      <c r="C517" s="5095" t="s">
        <v>1866</v>
      </c>
      <c r="D517" s="2104"/>
      <c r="E517" s="2104"/>
      <c r="F517" s="2104"/>
      <c r="G517" s="2104"/>
      <c r="H517" s="2104"/>
      <c r="I517" s="2104"/>
      <c r="J517" s="2104"/>
      <c r="K517" s="2104"/>
      <c r="L517" s="2104"/>
      <c r="M517" s="2104"/>
      <c r="N517" s="2104"/>
      <c r="O517" s="2104"/>
      <c r="P517" s="2104"/>
      <c r="Q517" s="2104"/>
      <c r="R517" s="2104"/>
      <c r="S517" s="2104"/>
      <c r="T517" s="2104"/>
      <c r="U517" s="2104"/>
      <c r="V517" s="2104"/>
      <c r="W517" s="2104"/>
      <c r="X517" s="2104"/>
      <c r="Y517" s="2104"/>
      <c r="Z517" s="2104"/>
      <c r="AA517" s="2104"/>
      <c r="AB517" s="2104"/>
      <c r="AC517" s="2104"/>
      <c r="AD517" s="2104"/>
      <c r="AE517" s="2104"/>
      <c r="AF517" s="2104"/>
      <c r="AG517" s="2104"/>
      <c r="AH517" s="2104"/>
      <c r="AI517" s="2104"/>
      <c r="AJ517" s="2104"/>
      <c r="AK517" s="2104"/>
      <c r="AL517" s="2104"/>
      <c r="AM517" s="2104"/>
      <c r="AN517" s="2104"/>
      <c r="AO517" s="2104"/>
      <c r="AP517" s="2104"/>
      <c r="AR517" s="3479"/>
      <c r="AW517" s="3371"/>
    </row>
    <row r="518" s="3330" customFormat="1" spans="1:49">
      <c r="A518" s="3340"/>
      <c r="B518" s="64"/>
      <c r="D518" s="2104"/>
      <c r="E518" s="2104"/>
      <c r="F518" s="2104"/>
      <c r="G518" s="2104"/>
      <c r="H518" s="2104"/>
      <c r="I518" s="2104"/>
      <c r="J518" s="2104"/>
      <c r="K518" s="2104"/>
      <c r="L518" s="2104"/>
      <c r="M518" s="2104"/>
      <c r="N518" s="2104"/>
      <c r="O518" s="2104"/>
      <c r="P518" s="2104"/>
      <c r="Q518" s="2104"/>
      <c r="R518" s="2104"/>
      <c r="S518" s="2104"/>
      <c r="T518" s="2104"/>
      <c r="U518" s="2104"/>
      <c r="V518" s="2104"/>
      <c r="W518" s="2104"/>
      <c r="X518" s="2104"/>
      <c r="Y518" s="2104"/>
      <c r="Z518" s="2104"/>
      <c r="AA518" s="2104"/>
      <c r="AB518" s="2104"/>
      <c r="AC518" s="2104"/>
      <c r="AD518" s="2104"/>
      <c r="AE518" s="2104"/>
      <c r="AF518" s="2104"/>
      <c r="AG518" s="2104"/>
      <c r="AH518" s="2104"/>
      <c r="AI518" s="2104"/>
      <c r="AJ518" s="2104"/>
      <c r="AK518" s="2104"/>
      <c r="AL518" s="2104"/>
      <c r="AM518" s="2104"/>
      <c r="AN518" s="2104"/>
      <c r="AO518" s="2104"/>
      <c r="AP518" s="2104"/>
      <c r="AR518" s="3479"/>
      <c r="AW518" s="3371"/>
    </row>
    <row r="519" s="3330" customFormat="1" spans="1:49">
      <c r="A519" s="3340"/>
      <c r="B519" s="64"/>
      <c r="D519" s="2104"/>
      <c r="E519" s="2104"/>
      <c r="F519" s="2104"/>
      <c r="G519" s="2104"/>
      <c r="H519" s="2104"/>
      <c r="I519" s="2104"/>
      <c r="J519" s="2104"/>
      <c r="K519" s="2104"/>
      <c r="L519" s="2104"/>
      <c r="M519" s="2104"/>
      <c r="N519" s="2104"/>
      <c r="O519" s="2104"/>
      <c r="P519" s="2104"/>
      <c r="Q519" s="2104"/>
      <c r="R519" s="2104"/>
      <c r="S519" s="2104"/>
      <c r="T519" s="2104"/>
      <c r="U519" s="2104"/>
      <c r="V519" s="2104"/>
      <c r="W519" s="2104"/>
      <c r="X519" s="2104"/>
      <c r="Y519" s="2104"/>
      <c r="Z519" s="2104"/>
      <c r="AA519" s="2104"/>
      <c r="AB519" s="2104"/>
      <c r="AC519" s="2104"/>
      <c r="AD519" s="2104"/>
      <c r="AE519" s="2104"/>
      <c r="AF519" s="2104"/>
      <c r="AG519" s="2104"/>
      <c r="AH519" s="2104"/>
      <c r="AI519" s="2104"/>
      <c r="AJ519" s="2104"/>
      <c r="AK519" s="2104"/>
      <c r="AL519" s="2104"/>
      <c r="AM519" s="2104"/>
      <c r="AN519" s="2104"/>
      <c r="AO519" s="2104"/>
      <c r="AP519" s="2104"/>
      <c r="AR519" s="3479"/>
      <c r="AW519" s="3371"/>
    </row>
    <row r="520" s="3330" customFormat="1" spans="1:49">
      <c r="A520" s="3340"/>
      <c r="B520" s="64"/>
      <c r="D520" s="2104"/>
      <c r="E520" s="2104"/>
      <c r="F520" s="2104"/>
      <c r="G520" s="2104"/>
      <c r="H520" s="2104"/>
      <c r="I520" s="2104"/>
      <c r="J520" s="2104"/>
      <c r="K520" s="2104"/>
      <c r="L520" s="2104"/>
      <c r="M520" s="2104"/>
      <c r="N520" s="2104"/>
      <c r="O520" s="2104"/>
      <c r="P520" s="2104"/>
      <c r="Q520" s="2104"/>
      <c r="R520" s="2104"/>
      <c r="S520" s="2104"/>
      <c r="T520" s="2104"/>
      <c r="U520" s="2104"/>
      <c r="V520" s="2104"/>
      <c r="W520" s="2104"/>
      <c r="X520" s="2104"/>
      <c r="Y520" s="2104"/>
      <c r="Z520" s="2104"/>
      <c r="AA520" s="2104"/>
      <c r="AB520" s="2104"/>
      <c r="AC520" s="2104"/>
      <c r="AD520" s="2104"/>
      <c r="AE520" s="2104"/>
      <c r="AF520" s="2104"/>
      <c r="AG520" s="2104"/>
      <c r="AH520" s="2104"/>
      <c r="AI520" s="2104"/>
      <c r="AJ520" s="2104"/>
      <c r="AK520" s="2104"/>
      <c r="AL520" s="2104"/>
      <c r="AM520" s="2104"/>
      <c r="AN520" s="2104"/>
      <c r="AO520" s="2104"/>
      <c r="AP520" s="2104"/>
      <c r="AR520" s="3479"/>
      <c r="AW520" s="3371"/>
    </row>
    <row r="521" s="3330" customFormat="1" ht="8.45" customHeight="1" spans="1:49">
      <c r="A521" s="3340"/>
      <c r="B521" s="64"/>
      <c r="D521" s="2623"/>
      <c r="E521" s="2623"/>
      <c r="F521" s="2623"/>
      <c r="G521" s="2623"/>
      <c r="H521" s="2623"/>
      <c r="I521" s="2623"/>
      <c r="J521" s="2623"/>
      <c r="K521" s="2623"/>
      <c r="L521" s="2623"/>
      <c r="M521" s="2623"/>
      <c r="N521" s="2623"/>
      <c r="O521" s="2623"/>
      <c r="P521" s="2623"/>
      <c r="Q521" s="2623"/>
      <c r="R521" s="2623"/>
      <c r="S521" s="2623"/>
      <c r="T521" s="2623"/>
      <c r="U521" s="2623"/>
      <c r="V521" s="2623"/>
      <c r="W521" s="2623"/>
      <c r="X521" s="2623"/>
      <c r="Y521" s="2623"/>
      <c r="Z521" s="2623"/>
      <c r="AA521" s="2623"/>
      <c r="AB521" s="2623"/>
      <c r="AC521" s="2623"/>
      <c r="AD521" s="2623"/>
      <c r="AE521" s="2623"/>
      <c r="AF521" s="2623"/>
      <c r="AG521" s="2623"/>
      <c r="AH521" s="2623"/>
      <c r="AI521" s="2623"/>
      <c r="AJ521" s="2623"/>
      <c r="AK521" s="2623"/>
      <c r="AL521" s="2623"/>
      <c r="AM521" s="2623"/>
      <c r="AN521" s="2623"/>
      <c r="AO521" s="2623"/>
      <c r="AP521" s="2623"/>
      <c r="AR521" s="3479"/>
      <c r="AW521" s="3371"/>
    </row>
    <row r="522" s="3330" customFormat="1" ht="11.1" customHeight="1" spans="1:49">
      <c r="A522" s="3340"/>
      <c r="B522" s="64"/>
      <c r="C522" s="3330">
        <v>3</v>
      </c>
      <c r="D522" s="2104" t="s">
        <v>1934</v>
      </c>
      <c r="E522" s="2104"/>
      <c r="F522" s="2104"/>
      <c r="G522" s="2104"/>
      <c r="H522" s="2104"/>
      <c r="I522" s="2104"/>
      <c r="J522" s="2104"/>
      <c r="K522" s="2104"/>
      <c r="L522" s="2104"/>
      <c r="M522" s="2104"/>
      <c r="N522" s="2104"/>
      <c r="O522" s="2104"/>
      <c r="P522" s="2104"/>
      <c r="Q522" s="2104"/>
      <c r="R522" s="2104"/>
      <c r="S522" s="2104"/>
      <c r="T522" s="2104"/>
      <c r="U522" s="2104"/>
      <c r="V522" s="2104"/>
      <c r="W522" s="2104"/>
      <c r="X522" s="2104"/>
      <c r="Y522" s="2104"/>
      <c r="Z522" s="2104"/>
      <c r="AA522" s="2104"/>
      <c r="AB522" s="2104"/>
      <c r="AC522" s="2104"/>
      <c r="AD522" s="2104"/>
      <c r="AE522" s="2104"/>
      <c r="AF522" s="2104"/>
      <c r="AG522" s="2104"/>
      <c r="AH522" s="2104"/>
      <c r="AI522" s="2104"/>
      <c r="AJ522" s="2104"/>
      <c r="AK522" s="2104"/>
      <c r="AL522" s="2104"/>
      <c r="AM522" s="2104"/>
      <c r="AN522" s="2104"/>
      <c r="AO522" s="2104"/>
      <c r="AP522" s="2104"/>
      <c r="AR522" s="3479"/>
      <c r="AW522" s="3371"/>
    </row>
    <row r="523" ht="11.4" spans="4:42">
      <c r="D523" s="2104"/>
      <c r="E523" s="2104"/>
      <c r="F523" s="2104"/>
      <c r="G523" s="2104"/>
      <c r="H523" s="2104"/>
      <c r="I523" s="2104"/>
      <c r="J523" s="2104"/>
      <c r="K523" s="2104"/>
      <c r="L523" s="2104"/>
      <c r="M523" s="2104"/>
      <c r="N523" s="2104"/>
      <c r="O523" s="2104"/>
      <c r="P523" s="2104"/>
      <c r="Q523" s="2104"/>
      <c r="R523" s="2104"/>
      <c r="S523" s="2104"/>
      <c r="T523" s="2104"/>
      <c r="U523" s="2104"/>
      <c r="V523" s="2104"/>
      <c r="W523" s="2104"/>
      <c r="X523" s="2104"/>
      <c r="Y523" s="2104"/>
      <c r="Z523" s="2104"/>
      <c r="AA523" s="2104"/>
      <c r="AB523" s="2104"/>
      <c r="AC523" s="2104"/>
      <c r="AD523" s="2104"/>
      <c r="AE523" s="2104"/>
      <c r="AF523" s="2104"/>
      <c r="AG523" s="2104"/>
      <c r="AH523" s="2104"/>
      <c r="AI523" s="2104"/>
      <c r="AJ523" s="2104"/>
      <c r="AK523" s="2104"/>
      <c r="AL523" s="2104"/>
      <c r="AM523" s="2104"/>
      <c r="AN523" s="2104"/>
      <c r="AO523" s="2104"/>
      <c r="AP523" s="2104"/>
    </row>
    <row r="524" s="3330" customFormat="1" spans="1:49">
      <c r="A524" s="3340"/>
      <c r="B524"/>
      <c r="C524"/>
      <c r="D524" s="2104"/>
      <c r="E524" s="2104"/>
      <c r="F524" s="2104"/>
      <c r="G524" s="2104"/>
      <c r="H524" s="2104"/>
      <c r="I524" s="2104"/>
      <c r="J524" s="2104"/>
      <c r="K524" s="2104"/>
      <c r="L524" s="2104"/>
      <c r="M524" s="2104"/>
      <c r="N524" s="2104"/>
      <c r="O524" s="2104"/>
      <c r="P524" s="2104"/>
      <c r="Q524" s="2104"/>
      <c r="R524" s="2104"/>
      <c r="S524" s="2104"/>
      <c r="T524" s="2104"/>
      <c r="U524" s="2104"/>
      <c r="V524" s="2104"/>
      <c r="W524" s="2104"/>
      <c r="X524" s="2104"/>
      <c r="Y524" s="2104"/>
      <c r="Z524" s="2104"/>
      <c r="AA524" s="2104"/>
      <c r="AB524" s="2104"/>
      <c r="AC524" s="2104"/>
      <c r="AD524" s="2104"/>
      <c r="AE524" s="2104"/>
      <c r="AF524" s="2104"/>
      <c r="AG524" s="2104"/>
      <c r="AH524" s="2104"/>
      <c r="AI524" s="2104"/>
      <c r="AJ524" s="2104"/>
      <c r="AK524" s="2104"/>
      <c r="AL524" s="2104"/>
      <c r="AM524" s="2104"/>
      <c r="AN524" s="2104"/>
      <c r="AO524" s="2104"/>
      <c r="AP524" s="2104"/>
      <c r="AR524" s="3479"/>
      <c r="AW524" s="3371"/>
    </row>
    <row r="525" s="3330" customFormat="1" customHeight="1" spans="1:49">
      <c r="A525" s="3340"/>
      <c r="B525"/>
      <c r="C525" s="3315"/>
      <c r="D525" s="2104"/>
      <c r="E525" s="2104"/>
      <c r="F525" s="2104"/>
      <c r="G525" s="2104"/>
      <c r="H525" s="2104"/>
      <c r="I525" s="2104"/>
      <c r="J525" s="2104"/>
      <c r="K525" s="2104"/>
      <c r="L525" s="2104"/>
      <c r="M525" s="2104"/>
      <c r="N525" s="2104"/>
      <c r="O525" s="2104"/>
      <c r="P525" s="2104"/>
      <c r="Q525" s="2104"/>
      <c r="R525" s="2104"/>
      <c r="S525" s="2104"/>
      <c r="T525" s="2104"/>
      <c r="U525" s="2104"/>
      <c r="V525" s="2104"/>
      <c r="W525" s="2104"/>
      <c r="X525" s="2104"/>
      <c r="Y525" s="2104"/>
      <c r="Z525" s="2104"/>
      <c r="AA525" s="2104"/>
      <c r="AB525" s="2104"/>
      <c r="AC525" s="2104"/>
      <c r="AD525" s="2104"/>
      <c r="AE525" s="2104"/>
      <c r="AF525" s="2104"/>
      <c r="AG525" s="2104"/>
      <c r="AH525" s="2104"/>
      <c r="AI525" s="2104"/>
      <c r="AJ525" s="2104"/>
      <c r="AK525" s="2104"/>
      <c r="AL525" s="2104"/>
      <c r="AM525" s="2104"/>
      <c r="AN525" s="2104"/>
      <c r="AO525" s="2104"/>
      <c r="AP525" s="2104"/>
      <c r="AR525" s="3479"/>
      <c r="AW525" s="3371"/>
    </row>
    <row r="526" s="3330" customFormat="1" customHeight="1" spans="1:49">
      <c r="A526" s="3340"/>
      <c r="B526"/>
      <c r="C526" s="3315"/>
      <c r="D526" s="2104"/>
      <c r="E526" s="2104"/>
      <c r="F526" s="2104"/>
      <c r="G526" s="2104"/>
      <c r="H526" s="2104"/>
      <c r="I526" s="2104"/>
      <c r="J526" s="2104"/>
      <c r="K526" s="2104"/>
      <c r="L526" s="2104"/>
      <c r="M526" s="2104"/>
      <c r="N526" s="2104"/>
      <c r="O526" s="2104"/>
      <c r="P526" s="2104"/>
      <c r="Q526" s="2104"/>
      <c r="R526" s="2104"/>
      <c r="S526" s="2104"/>
      <c r="T526" s="2104"/>
      <c r="U526" s="2104"/>
      <c r="V526" s="2104"/>
      <c r="W526" s="2104"/>
      <c r="X526" s="2104"/>
      <c r="Y526" s="2104"/>
      <c r="Z526" s="2104"/>
      <c r="AA526" s="2104"/>
      <c r="AB526" s="2104"/>
      <c r="AC526" s="2104"/>
      <c r="AD526" s="2104"/>
      <c r="AE526" s="2104"/>
      <c r="AF526" s="2104"/>
      <c r="AG526" s="2104"/>
      <c r="AH526" s="2104"/>
      <c r="AI526" s="2104"/>
      <c r="AJ526" s="2104"/>
      <c r="AK526" s="2104"/>
      <c r="AL526" s="2104"/>
      <c r="AM526" s="2104"/>
      <c r="AN526" s="2104"/>
      <c r="AO526" s="2104"/>
      <c r="AP526" s="2104"/>
      <c r="AR526" s="3479"/>
      <c r="AW526" s="3371"/>
    </row>
    <row r="527" s="3330" customFormat="1" customHeight="1" spans="1:49">
      <c r="A527" s="3340"/>
      <c r="B527"/>
      <c r="C527" s="3315"/>
      <c r="D527" s="2104"/>
      <c r="E527" s="2104"/>
      <c r="F527" s="2104"/>
      <c r="G527" s="2104"/>
      <c r="H527" s="2104"/>
      <c r="I527" s="2104"/>
      <c r="J527" s="2104"/>
      <c r="K527" s="2104"/>
      <c r="L527" s="2104"/>
      <c r="M527" s="2104"/>
      <c r="N527" s="2104"/>
      <c r="O527" s="2104"/>
      <c r="P527" s="2104"/>
      <c r="Q527" s="2104"/>
      <c r="R527" s="2104"/>
      <c r="S527" s="2104"/>
      <c r="T527" s="2104"/>
      <c r="U527" s="2104"/>
      <c r="V527" s="2104"/>
      <c r="W527" s="2104"/>
      <c r="X527" s="2104"/>
      <c r="Y527" s="2104"/>
      <c r="Z527" s="2104"/>
      <c r="AA527" s="2104"/>
      <c r="AB527" s="2104"/>
      <c r="AC527" s="2104"/>
      <c r="AD527" s="2104"/>
      <c r="AE527" s="2104"/>
      <c r="AF527" s="2104"/>
      <c r="AG527" s="2104"/>
      <c r="AH527" s="2104"/>
      <c r="AI527" s="2104"/>
      <c r="AJ527" s="2104"/>
      <c r="AK527" s="2104"/>
      <c r="AL527" s="2104"/>
      <c r="AM527" s="2104"/>
      <c r="AN527" s="2104"/>
      <c r="AO527" s="2104"/>
      <c r="AP527" s="2104"/>
      <c r="AR527" s="3479"/>
      <c r="AW527" s="3371"/>
    </row>
    <row r="528" s="3330" customFormat="1" customHeight="1" spans="1:49">
      <c r="A528" s="3340"/>
      <c r="B528"/>
      <c r="C528" s="3315"/>
      <c r="D528" s="2104"/>
      <c r="E528" s="2104"/>
      <c r="F528" s="2104"/>
      <c r="G528" s="2104"/>
      <c r="H528" s="2104"/>
      <c r="I528" s="2104"/>
      <c r="J528" s="2104"/>
      <c r="K528" s="2104"/>
      <c r="L528" s="2104"/>
      <c r="M528" s="2104"/>
      <c r="N528" s="2104"/>
      <c r="O528" s="2104"/>
      <c r="P528" s="2104"/>
      <c r="Q528" s="2104"/>
      <c r="R528" s="2104"/>
      <c r="S528" s="2104"/>
      <c r="T528" s="2104"/>
      <c r="U528" s="2104"/>
      <c r="V528" s="2104"/>
      <c r="W528" s="2104"/>
      <c r="X528" s="2104"/>
      <c r="Y528" s="2104"/>
      <c r="Z528" s="2104"/>
      <c r="AA528" s="2104"/>
      <c r="AB528" s="2104"/>
      <c r="AC528" s="2104"/>
      <c r="AD528" s="2104"/>
      <c r="AE528" s="2104"/>
      <c r="AF528" s="2104"/>
      <c r="AG528" s="2104"/>
      <c r="AH528" s="2104"/>
      <c r="AI528" s="2104"/>
      <c r="AJ528" s="2104"/>
      <c r="AK528" s="2104"/>
      <c r="AL528" s="2104"/>
      <c r="AM528" s="2104"/>
      <c r="AN528" s="2104"/>
      <c r="AO528" s="2104"/>
      <c r="AP528" s="2104"/>
      <c r="AR528" s="3479"/>
      <c r="AW528" s="3371"/>
    </row>
    <row r="529" s="3330" customFormat="1" customHeight="1" spans="1:49">
      <c r="A529" s="3340"/>
      <c r="B529"/>
      <c r="C529" s="3315"/>
      <c r="D529" s="2104"/>
      <c r="E529" s="2104"/>
      <c r="F529" s="2104"/>
      <c r="G529" s="2104"/>
      <c r="H529" s="2104"/>
      <c r="I529" s="2104"/>
      <c r="J529" s="2104"/>
      <c r="K529" s="2104"/>
      <c r="L529" s="2104"/>
      <c r="M529" s="2104"/>
      <c r="N529" s="2104"/>
      <c r="O529" s="2104"/>
      <c r="P529" s="2104"/>
      <c r="Q529" s="2104"/>
      <c r="R529" s="2104"/>
      <c r="S529" s="2104"/>
      <c r="T529" s="2104"/>
      <c r="U529" s="2104"/>
      <c r="V529" s="2104"/>
      <c r="W529" s="2104"/>
      <c r="X529" s="2104"/>
      <c r="Y529" s="2104"/>
      <c r="Z529" s="2104"/>
      <c r="AA529" s="2104"/>
      <c r="AB529" s="2104"/>
      <c r="AC529" s="2104"/>
      <c r="AD529" s="2104"/>
      <c r="AE529" s="2104"/>
      <c r="AF529" s="2104"/>
      <c r="AG529" s="2104"/>
      <c r="AH529" s="2104"/>
      <c r="AI529" s="2104"/>
      <c r="AJ529" s="2104"/>
      <c r="AK529" s="2104"/>
      <c r="AL529" s="2104"/>
      <c r="AM529" s="2104"/>
      <c r="AN529" s="2104"/>
      <c r="AO529" s="2104"/>
      <c r="AP529" s="2104"/>
      <c r="AR529" s="3479"/>
      <c r="AW529" s="3371"/>
    </row>
    <row r="530" s="3330" customFormat="1" ht="9" customHeight="1" spans="1:49">
      <c r="A530" s="3340"/>
      <c r="B530"/>
      <c r="C530" s="3315"/>
      <c r="D530"/>
      <c r="E530" s="2104"/>
      <c r="F530" s="2104"/>
      <c r="G530" s="2104"/>
      <c r="H530" s="2104"/>
      <c r="I530" s="2104"/>
      <c r="J530" s="2104"/>
      <c r="K530" s="2104"/>
      <c r="L530" s="2104"/>
      <c r="M530" s="2104"/>
      <c r="N530" s="2104"/>
      <c r="O530" s="2104"/>
      <c r="P530" s="2104"/>
      <c r="Q530" s="2104"/>
      <c r="R530" s="2104"/>
      <c r="S530" s="2104"/>
      <c r="T530" s="2104"/>
      <c r="U530" s="2104"/>
      <c r="V530" s="2104"/>
      <c r="W530" s="2104"/>
      <c r="X530" s="2104"/>
      <c r="Y530" s="2104"/>
      <c r="Z530" s="2104"/>
      <c r="AA530" s="2104"/>
      <c r="AB530" s="2104"/>
      <c r="AC530" s="2104"/>
      <c r="AD530" s="2104"/>
      <c r="AE530" s="2104"/>
      <c r="AF530" s="2104"/>
      <c r="AG530" s="2104"/>
      <c r="AH530" s="2104"/>
      <c r="AI530" s="2104"/>
      <c r="AJ530" s="2104"/>
      <c r="AK530" s="2104"/>
      <c r="AL530" s="2104"/>
      <c r="AM530" s="2104"/>
      <c r="AN530" s="2104"/>
      <c r="AO530" s="2104"/>
      <c r="AP530" s="2104"/>
      <c r="AR530" s="3479"/>
      <c r="AW530" s="3371"/>
    </row>
    <row r="531" s="3330" customFormat="1" customHeight="1" spans="1:49">
      <c r="A531" s="3340"/>
      <c r="B531"/>
      <c r="C531" s="3330">
        <v>4</v>
      </c>
      <c r="D531" s="2104" t="s">
        <v>1935</v>
      </c>
      <c r="E531" s="2104"/>
      <c r="F531" s="2104"/>
      <c r="G531" s="2104"/>
      <c r="H531" s="2104"/>
      <c r="I531" s="2104"/>
      <c r="J531" s="2104"/>
      <c r="K531" s="2104"/>
      <c r="L531" s="2104"/>
      <c r="M531" s="2104"/>
      <c r="N531" s="2104"/>
      <c r="O531" s="2104"/>
      <c r="P531" s="2104"/>
      <c r="Q531" s="2104"/>
      <c r="R531" s="2104"/>
      <c r="S531" s="2104"/>
      <c r="T531" s="2104"/>
      <c r="U531" s="2104"/>
      <c r="V531" s="2104"/>
      <c r="W531" s="2104"/>
      <c r="X531" s="2104"/>
      <c r="Y531" s="2104"/>
      <c r="Z531" s="2104"/>
      <c r="AA531" s="2104"/>
      <c r="AB531" s="2104"/>
      <c r="AC531" s="2104"/>
      <c r="AD531" s="2104"/>
      <c r="AE531" s="2104"/>
      <c r="AF531" s="2104"/>
      <c r="AG531" s="2104"/>
      <c r="AH531" s="2104"/>
      <c r="AI531" s="2104"/>
      <c r="AJ531" s="2104"/>
      <c r="AK531" s="2104"/>
      <c r="AL531" s="2104"/>
      <c r="AM531" s="2104"/>
      <c r="AN531" s="2104"/>
      <c r="AO531" s="2104"/>
      <c r="AP531" s="2104"/>
      <c r="AR531" s="3479"/>
      <c r="AW531" s="3371"/>
    </row>
    <row r="532" s="3330" customFormat="1" customHeight="1" spans="1:49">
      <c r="A532" s="3340"/>
      <c r="B532"/>
      <c r="C532" s="3326"/>
      <c r="D532" s="2104"/>
      <c r="E532" s="2104"/>
      <c r="F532" s="2104"/>
      <c r="G532" s="2104"/>
      <c r="H532" s="2104"/>
      <c r="I532" s="2104"/>
      <c r="J532" s="2104"/>
      <c r="K532" s="2104"/>
      <c r="L532" s="2104"/>
      <c r="M532" s="2104"/>
      <c r="N532" s="2104"/>
      <c r="O532" s="2104"/>
      <c r="P532" s="2104"/>
      <c r="Q532" s="2104"/>
      <c r="R532" s="2104"/>
      <c r="S532" s="2104"/>
      <c r="T532" s="2104"/>
      <c r="U532" s="2104"/>
      <c r="V532" s="2104"/>
      <c r="W532" s="2104"/>
      <c r="X532" s="2104"/>
      <c r="Y532" s="2104"/>
      <c r="Z532" s="2104"/>
      <c r="AA532" s="2104"/>
      <c r="AB532" s="2104"/>
      <c r="AC532" s="2104"/>
      <c r="AD532" s="2104"/>
      <c r="AE532" s="2104"/>
      <c r="AF532" s="2104"/>
      <c r="AG532" s="2104"/>
      <c r="AH532" s="2104"/>
      <c r="AI532" s="2104"/>
      <c r="AJ532" s="2104"/>
      <c r="AK532" s="2104"/>
      <c r="AL532" s="2104"/>
      <c r="AM532" s="2104"/>
      <c r="AN532" s="2104"/>
      <c r="AO532" s="2104"/>
      <c r="AP532" s="2104"/>
      <c r="AR532" s="3479"/>
      <c r="AW532" s="3371"/>
    </row>
    <row r="533" s="3330" customFormat="1" customHeight="1" spans="1:49">
      <c r="A533" s="3340"/>
      <c r="B533"/>
      <c r="C533"/>
      <c r="D533" s="2104"/>
      <c r="E533" s="2104"/>
      <c r="F533" s="2104"/>
      <c r="G533" s="2104"/>
      <c r="H533" s="2104"/>
      <c r="I533" s="2104"/>
      <c r="J533" s="2104"/>
      <c r="K533" s="2104"/>
      <c r="L533" s="2104"/>
      <c r="M533" s="2104"/>
      <c r="N533" s="2104"/>
      <c r="O533" s="2104"/>
      <c r="P533" s="2104"/>
      <c r="Q533" s="2104"/>
      <c r="R533" s="2104"/>
      <c r="S533" s="2104"/>
      <c r="T533" s="2104"/>
      <c r="U533" s="2104"/>
      <c r="V533" s="2104"/>
      <c r="W533" s="2104"/>
      <c r="X533" s="2104"/>
      <c r="Y533" s="2104"/>
      <c r="Z533" s="2104"/>
      <c r="AA533" s="2104"/>
      <c r="AB533" s="2104"/>
      <c r="AC533" s="2104"/>
      <c r="AD533" s="2104"/>
      <c r="AE533" s="2104"/>
      <c r="AF533" s="2104"/>
      <c r="AG533" s="2104"/>
      <c r="AH533" s="2104"/>
      <c r="AI533" s="2104"/>
      <c r="AJ533" s="2104"/>
      <c r="AK533" s="2104"/>
      <c r="AL533" s="2104"/>
      <c r="AM533" s="2104"/>
      <c r="AN533" s="2104"/>
      <c r="AO533" s="2104"/>
      <c r="AP533" s="2104"/>
      <c r="AR533" s="3479"/>
      <c r="AW533" s="3371"/>
    </row>
    <row r="534" s="3330" customFormat="1" customHeight="1" spans="1:49">
      <c r="A534" s="3340"/>
      <c r="B534"/>
      <c r="C534" s="3315"/>
      <c r="D534" s="2104"/>
      <c r="E534" s="2104"/>
      <c r="F534" s="2104"/>
      <c r="G534" s="2104"/>
      <c r="H534" s="2104"/>
      <c r="I534" s="2104"/>
      <c r="J534" s="2104"/>
      <c r="K534" s="2104"/>
      <c r="L534" s="2104"/>
      <c r="M534" s="2104"/>
      <c r="N534" s="2104"/>
      <c r="O534" s="2104"/>
      <c r="P534" s="2104"/>
      <c r="Q534" s="2104"/>
      <c r="R534" s="2104"/>
      <c r="S534" s="2104"/>
      <c r="T534" s="2104"/>
      <c r="U534" s="2104"/>
      <c r="V534" s="2104"/>
      <c r="W534" s="2104"/>
      <c r="X534" s="2104"/>
      <c r="Y534" s="2104"/>
      <c r="Z534" s="2104"/>
      <c r="AA534" s="2104"/>
      <c r="AB534" s="2104"/>
      <c r="AC534" s="2104"/>
      <c r="AD534" s="2104"/>
      <c r="AE534" s="2104"/>
      <c r="AF534" s="2104"/>
      <c r="AG534" s="2104"/>
      <c r="AH534" s="2104"/>
      <c r="AI534" s="2104"/>
      <c r="AJ534" s="2104"/>
      <c r="AK534" s="2104"/>
      <c r="AL534" s="2104"/>
      <c r="AM534" s="2104"/>
      <c r="AN534" s="2104"/>
      <c r="AO534" s="2104"/>
      <c r="AP534" s="2104"/>
      <c r="AR534" s="3479"/>
      <c r="AW534" s="3371"/>
    </row>
    <row r="535" s="3330" customFormat="1" customHeight="1" spans="1:49">
      <c r="A535" s="3340"/>
      <c r="B535"/>
      <c r="C535" s="3315"/>
      <c r="D535" s="2104"/>
      <c r="E535" s="2104"/>
      <c r="F535" s="2104"/>
      <c r="G535" s="2104"/>
      <c r="H535" s="2104"/>
      <c r="I535" s="2104"/>
      <c r="J535" s="2104"/>
      <c r="K535" s="2104"/>
      <c r="L535" s="2104"/>
      <c r="M535" s="2104"/>
      <c r="N535" s="2104"/>
      <c r="O535" s="2104"/>
      <c r="P535" s="2104"/>
      <c r="Q535" s="2104"/>
      <c r="R535" s="2104"/>
      <c r="S535" s="2104"/>
      <c r="T535" s="2104"/>
      <c r="U535" s="2104"/>
      <c r="V535" s="2104"/>
      <c r="W535" s="2104"/>
      <c r="X535" s="2104"/>
      <c r="Y535" s="2104"/>
      <c r="Z535" s="2104"/>
      <c r="AA535" s="2104"/>
      <c r="AB535" s="2104"/>
      <c r="AC535" s="2104"/>
      <c r="AD535" s="2104"/>
      <c r="AE535" s="2104"/>
      <c r="AF535" s="2104"/>
      <c r="AG535" s="2104"/>
      <c r="AH535" s="2104"/>
      <c r="AI535" s="2104"/>
      <c r="AJ535" s="2104"/>
      <c r="AK535" s="2104"/>
      <c r="AL535" s="2104"/>
      <c r="AM535" s="2104"/>
      <c r="AN535" s="2104"/>
      <c r="AO535" s="2104"/>
      <c r="AP535" s="2104"/>
      <c r="AR535" s="3479"/>
      <c r="AW535" s="3371"/>
    </row>
    <row r="536" s="3330" customFormat="1" customHeight="1" spans="1:49">
      <c r="A536" s="3340"/>
      <c r="B536"/>
      <c r="C536" s="3315"/>
      <c r="D536" s="2104"/>
      <c r="E536" s="2104"/>
      <c r="F536" s="2104"/>
      <c r="G536" s="2104"/>
      <c r="H536" s="2104"/>
      <c r="I536" s="2104"/>
      <c r="J536" s="2104"/>
      <c r="K536" s="2104"/>
      <c r="L536" s="2104"/>
      <c r="M536" s="2104"/>
      <c r="N536" s="2104"/>
      <c r="O536" s="2104"/>
      <c r="P536" s="2104"/>
      <c r="Q536" s="2104"/>
      <c r="R536" s="2104"/>
      <c r="S536" s="2104"/>
      <c r="T536" s="2104"/>
      <c r="U536" s="2104"/>
      <c r="V536" s="2104"/>
      <c r="W536" s="2104"/>
      <c r="X536" s="2104"/>
      <c r="Y536" s="2104"/>
      <c r="Z536" s="2104"/>
      <c r="AA536" s="2104"/>
      <c r="AB536" s="2104"/>
      <c r="AC536" s="2104"/>
      <c r="AD536" s="2104"/>
      <c r="AE536" s="2104"/>
      <c r="AF536" s="2104"/>
      <c r="AG536" s="2104"/>
      <c r="AH536" s="2104"/>
      <c r="AI536" s="2104"/>
      <c r="AJ536" s="2104"/>
      <c r="AK536" s="2104"/>
      <c r="AL536" s="2104"/>
      <c r="AM536" s="2104"/>
      <c r="AN536" s="2104"/>
      <c r="AO536" s="2104"/>
      <c r="AP536" s="2104"/>
      <c r="AR536" s="3479"/>
      <c r="AW536" s="3371"/>
    </row>
    <row r="537" s="3330" customFormat="1" customHeight="1" spans="1:49">
      <c r="A537" s="3340"/>
      <c r="B537"/>
      <c r="C537" s="3315"/>
      <c r="D537" s="2104"/>
      <c r="E537" s="2104"/>
      <c r="F537" s="2104"/>
      <c r="G537" s="2104"/>
      <c r="H537" s="2104"/>
      <c r="I537" s="2104"/>
      <c r="J537" s="2104"/>
      <c r="K537" s="2104"/>
      <c r="L537" s="2104"/>
      <c r="M537" s="2104"/>
      <c r="N537" s="2104"/>
      <c r="O537" s="2104"/>
      <c r="P537" s="2104"/>
      <c r="Q537" s="2104"/>
      <c r="R537" s="2104"/>
      <c r="S537" s="2104"/>
      <c r="T537" s="2104"/>
      <c r="U537" s="2104"/>
      <c r="V537" s="2104"/>
      <c r="W537" s="2104"/>
      <c r="X537" s="2104"/>
      <c r="Y537" s="2104"/>
      <c r="Z537" s="2104"/>
      <c r="AA537" s="2104"/>
      <c r="AB537" s="2104"/>
      <c r="AC537" s="2104"/>
      <c r="AD537" s="2104"/>
      <c r="AE537" s="2104"/>
      <c r="AF537" s="2104"/>
      <c r="AG537" s="2104"/>
      <c r="AH537" s="2104"/>
      <c r="AI537" s="2104"/>
      <c r="AJ537" s="2104"/>
      <c r="AK537" s="2104"/>
      <c r="AL537" s="2104"/>
      <c r="AM537" s="2104"/>
      <c r="AN537" s="2104"/>
      <c r="AO537" s="2104"/>
      <c r="AP537" s="2104"/>
      <c r="AR537" s="3479"/>
      <c r="AW537" s="3371"/>
    </row>
    <row r="538" s="3330" customFormat="1" customHeight="1" spans="3:49">
      <c r="C538" s="3315"/>
      <c r="D538" s="2104"/>
      <c r="E538" s="2104"/>
      <c r="F538" s="2104"/>
      <c r="G538" s="2104"/>
      <c r="H538" s="2104"/>
      <c r="I538" s="2104"/>
      <c r="J538" s="2104"/>
      <c r="K538" s="2104"/>
      <c r="L538" s="2104"/>
      <c r="M538" s="2104"/>
      <c r="N538" s="2104"/>
      <c r="O538" s="2104"/>
      <c r="P538" s="2104"/>
      <c r="Q538" s="2104"/>
      <c r="R538" s="2104"/>
      <c r="S538" s="2104"/>
      <c r="T538" s="2104"/>
      <c r="U538" s="2104"/>
      <c r="V538" s="2104"/>
      <c r="W538" s="2104"/>
      <c r="X538" s="2104"/>
      <c r="Y538" s="2104"/>
      <c r="Z538" s="2104"/>
      <c r="AA538" s="2104"/>
      <c r="AB538" s="2104"/>
      <c r="AC538" s="2104"/>
      <c r="AD538" s="2104"/>
      <c r="AE538" s="2104"/>
      <c r="AF538" s="2104"/>
      <c r="AG538" s="2104"/>
      <c r="AH538" s="2104"/>
      <c r="AI538" s="2104"/>
      <c r="AJ538" s="2104"/>
      <c r="AK538" s="2104"/>
      <c r="AL538" s="2104"/>
      <c r="AM538" s="2104"/>
      <c r="AN538" s="2104"/>
      <c r="AO538" s="2104"/>
      <c r="AP538" s="2104"/>
      <c r="AR538" s="3479"/>
      <c r="AW538" s="3371"/>
    </row>
    <row r="539" s="3330" customFormat="1" ht="9" customHeight="1" spans="44:49">
      <c r="AR539" s="3479"/>
      <c r="AW539" s="3371"/>
    </row>
    <row r="540" s="3330" customFormat="1" customHeight="1" spans="3:49">
      <c r="C540" s="3330">
        <f>+C531+1</f>
        <v>5</v>
      </c>
      <c r="D540" s="5059" t="s">
        <v>1936</v>
      </c>
      <c r="E540" s="2104"/>
      <c r="F540" s="2104"/>
      <c r="G540" s="2104"/>
      <c r="H540" s="2104"/>
      <c r="I540" s="2104"/>
      <c r="J540" s="2104"/>
      <c r="K540" s="2104"/>
      <c r="L540" s="2104"/>
      <c r="M540" s="2104"/>
      <c r="N540" s="2104"/>
      <c r="O540" s="2104"/>
      <c r="P540" s="2104"/>
      <c r="Q540" s="2104"/>
      <c r="R540" s="2104"/>
      <c r="S540" s="2104"/>
      <c r="T540" s="2104"/>
      <c r="U540" s="2104"/>
      <c r="V540" s="2104"/>
      <c r="W540" s="2104"/>
      <c r="X540" s="2104"/>
      <c r="Y540" s="2104"/>
      <c r="Z540" s="2104"/>
      <c r="AA540" s="2104"/>
      <c r="AB540" s="2104"/>
      <c r="AC540" s="2104"/>
      <c r="AD540" s="2104"/>
      <c r="AE540" s="2104"/>
      <c r="AF540" s="2104"/>
      <c r="AG540" s="2104"/>
      <c r="AH540" s="2104"/>
      <c r="AI540" s="2104"/>
      <c r="AJ540" s="2104"/>
      <c r="AK540" s="2104"/>
      <c r="AL540" s="2104"/>
      <c r="AM540" s="2104"/>
      <c r="AN540" s="2104"/>
      <c r="AO540" s="2104"/>
      <c r="AP540" s="2104"/>
      <c r="AR540" s="3479"/>
      <c r="AW540" s="3371"/>
    </row>
    <row r="541" s="3330" customFormat="1" customHeight="1" spans="3:49">
      <c r="C541" s="3326"/>
      <c r="D541" s="2104"/>
      <c r="E541" s="2104"/>
      <c r="F541" s="2104"/>
      <c r="G541" s="2104"/>
      <c r="H541" s="2104"/>
      <c r="I541" s="2104"/>
      <c r="J541" s="2104"/>
      <c r="K541" s="2104"/>
      <c r="L541" s="2104"/>
      <c r="M541" s="2104"/>
      <c r="N541" s="2104"/>
      <c r="O541" s="2104"/>
      <c r="P541" s="2104"/>
      <c r="Q541" s="2104"/>
      <c r="R541" s="2104"/>
      <c r="S541" s="2104"/>
      <c r="T541" s="2104"/>
      <c r="U541" s="2104"/>
      <c r="V541" s="2104"/>
      <c r="W541" s="2104"/>
      <c r="X541" s="2104"/>
      <c r="Y541" s="2104"/>
      <c r="Z541" s="2104"/>
      <c r="AA541" s="2104"/>
      <c r="AB541" s="2104"/>
      <c r="AC541" s="2104"/>
      <c r="AD541" s="2104"/>
      <c r="AE541" s="2104"/>
      <c r="AF541" s="2104"/>
      <c r="AG541" s="2104"/>
      <c r="AH541" s="2104"/>
      <c r="AI541" s="2104"/>
      <c r="AJ541" s="2104"/>
      <c r="AK541" s="2104"/>
      <c r="AL541" s="2104"/>
      <c r="AM541" s="2104"/>
      <c r="AN541" s="2104"/>
      <c r="AO541" s="2104"/>
      <c r="AP541" s="2104"/>
      <c r="AR541" s="3479"/>
      <c r="AW541" s="3371"/>
    </row>
    <row r="542" s="3330" customFormat="1" customHeight="1" spans="3:49">
      <c r="C542"/>
      <c r="D542" s="2104"/>
      <c r="E542" s="2104"/>
      <c r="F542" s="2104"/>
      <c r="G542" s="2104"/>
      <c r="H542" s="2104"/>
      <c r="I542" s="2104"/>
      <c r="J542" s="2104"/>
      <c r="K542" s="2104"/>
      <c r="L542" s="2104"/>
      <c r="M542" s="2104"/>
      <c r="N542" s="2104"/>
      <c r="O542" s="2104"/>
      <c r="P542" s="2104"/>
      <c r="Q542" s="2104"/>
      <c r="R542" s="2104"/>
      <c r="S542" s="2104"/>
      <c r="T542" s="2104"/>
      <c r="U542" s="2104"/>
      <c r="V542" s="2104"/>
      <c r="W542" s="2104"/>
      <c r="X542" s="2104"/>
      <c r="Y542" s="2104"/>
      <c r="Z542" s="2104"/>
      <c r="AA542" s="2104"/>
      <c r="AB542" s="2104"/>
      <c r="AC542" s="2104"/>
      <c r="AD542" s="2104"/>
      <c r="AE542" s="2104"/>
      <c r="AF542" s="2104"/>
      <c r="AG542" s="2104"/>
      <c r="AH542" s="2104"/>
      <c r="AI542" s="2104"/>
      <c r="AJ542" s="2104"/>
      <c r="AK542" s="2104"/>
      <c r="AL542" s="2104"/>
      <c r="AM542" s="2104"/>
      <c r="AN542" s="2104"/>
      <c r="AO542" s="2104"/>
      <c r="AP542" s="2104"/>
      <c r="AR542" s="3479"/>
      <c r="AW542" s="3371"/>
    </row>
    <row r="543" s="3330" customFormat="1" customHeight="1" spans="3:49">
      <c r="C543" s="3315"/>
      <c r="D543" s="2104"/>
      <c r="E543" s="2104"/>
      <c r="F543" s="2104"/>
      <c r="G543" s="2104"/>
      <c r="H543" s="2104"/>
      <c r="I543" s="2104"/>
      <c r="J543" s="2104"/>
      <c r="K543" s="2104"/>
      <c r="L543" s="2104"/>
      <c r="M543" s="2104"/>
      <c r="N543" s="2104"/>
      <c r="O543" s="2104"/>
      <c r="P543" s="2104"/>
      <c r="Q543" s="2104"/>
      <c r="R543" s="2104"/>
      <c r="S543" s="2104"/>
      <c r="T543" s="2104"/>
      <c r="U543" s="2104"/>
      <c r="V543" s="2104"/>
      <c r="W543" s="2104"/>
      <c r="X543" s="2104"/>
      <c r="Y543" s="2104"/>
      <c r="Z543" s="2104"/>
      <c r="AA543" s="2104"/>
      <c r="AB543" s="2104"/>
      <c r="AC543" s="2104"/>
      <c r="AD543" s="2104"/>
      <c r="AE543" s="2104"/>
      <c r="AF543" s="2104"/>
      <c r="AG543" s="2104"/>
      <c r="AH543" s="2104"/>
      <c r="AI543" s="2104"/>
      <c r="AJ543" s="2104"/>
      <c r="AK543" s="2104"/>
      <c r="AL543" s="2104"/>
      <c r="AM543" s="2104"/>
      <c r="AN543" s="2104"/>
      <c r="AO543" s="2104"/>
      <c r="AP543" s="2104"/>
      <c r="AR543" s="3479"/>
      <c r="AW543" s="3371"/>
    </row>
    <row r="544" s="3330" customFormat="1" customHeight="1" spans="3:49">
      <c r="C544" s="3315"/>
      <c r="D544" s="2104"/>
      <c r="E544" s="2104"/>
      <c r="F544" s="2104"/>
      <c r="G544" s="2104"/>
      <c r="H544" s="2104"/>
      <c r="I544" s="2104"/>
      <c r="J544" s="2104"/>
      <c r="K544" s="2104"/>
      <c r="L544" s="2104"/>
      <c r="M544" s="2104"/>
      <c r="N544" s="2104"/>
      <c r="O544" s="2104"/>
      <c r="P544" s="2104"/>
      <c r="Q544" s="2104"/>
      <c r="R544" s="2104"/>
      <c r="S544" s="2104"/>
      <c r="T544" s="2104"/>
      <c r="U544" s="2104"/>
      <c r="V544" s="2104"/>
      <c r="W544" s="2104"/>
      <c r="X544" s="2104"/>
      <c r="Y544" s="2104"/>
      <c r="Z544" s="2104"/>
      <c r="AA544" s="2104"/>
      <c r="AB544" s="2104"/>
      <c r="AC544" s="2104"/>
      <c r="AD544" s="2104"/>
      <c r="AE544" s="2104"/>
      <c r="AF544" s="2104"/>
      <c r="AG544" s="2104"/>
      <c r="AH544" s="2104"/>
      <c r="AI544" s="2104"/>
      <c r="AJ544" s="2104"/>
      <c r="AK544" s="2104"/>
      <c r="AL544" s="2104"/>
      <c r="AM544" s="2104"/>
      <c r="AN544" s="2104"/>
      <c r="AO544" s="2104"/>
      <c r="AP544" s="2104"/>
      <c r="AR544" s="3479"/>
      <c r="AW544" s="3371"/>
    </row>
    <row r="545" s="3330" customFormat="1" customHeight="1" spans="3:49">
      <c r="C545" s="3315"/>
      <c r="D545" s="2104"/>
      <c r="E545" s="2104"/>
      <c r="F545" s="2104"/>
      <c r="G545" s="2104"/>
      <c r="H545" s="2104"/>
      <c r="I545" s="2104"/>
      <c r="J545" s="2104"/>
      <c r="K545" s="2104"/>
      <c r="L545" s="2104"/>
      <c r="M545" s="2104"/>
      <c r="N545" s="2104"/>
      <c r="O545" s="2104"/>
      <c r="P545" s="2104"/>
      <c r="Q545" s="2104"/>
      <c r="R545" s="2104"/>
      <c r="S545" s="2104"/>
      <c r="T545" s="2104"/>
      <c r="U545" s="2104"/>
      <c r="V545" s="2104"/>
      <c r="W545" s="2104"/>
      <c r="X545" s="2104"/>
      <c r="Y545" s="2104"/>
      <c r="Z545" s="2104"/>
      <c r="AA545" s="2104"/>
      <c r="AB545" s="2104"/>
      <c r="AC545" s="2104"/>
      <c r="AD545" s="2104"/>
      <c r="AE545" s="2104"/>
      <c r="AF545" s="2104"/>
      <c r="AG545" s="2104"/>
      <c r="AH545" s="2104"/>
      <c r="AI545" s="2104"/>
      <c r="AJ545" s="2104"/>
      <c r="AK545" s="2104"/>
      <c r="AL545" s="2104"/>
      <c r="AM545" s="2104"/>
      <c r="AN545" s="2104"/>
      <c r="AO545" s="2104"/>
      <c r="AP545" s="2104"/>
      <c r="AR545" s="3479"/>
      <c r="AW545" s="3371"/>
    </row>
    <row r="546" s="3330" customFormat="1" customHeight="1" spans="3:49">
      <c r="C546" s="3315"/>
      <c r="D546" s="2104"/>
      <c r="E546" s="2104"/>
      <c r="F546" s="2104"/>
      <c r="G546" s="2104"/>
      <c r="H546" s="2104"/>
      <c r="I546" s="2104"/>
      <c r="J546" s="2104"/>
      <c r="K546" s="2104"/>
      <c r="L546" s="2104"/>
      <c r="M546" s="2104"/>
      <c r="N546" s="2104"/>
      <c r="O546" s="2104"/>
      <c r="P546" s="2104"/>
      <c r="Q546" s="2104"/>
      <c r="R546" s="2104"/>
      <c r="S546" s="2104"/>
      <c r="T546" s="2104"/>
      <c r="U546" s="2104"/>
      <c r="V546" s="2104"/>
      <c r="W546" s="2104"/>
      <c r="X546" s="2104"/>
      <c r="Y546" s="2104"/>
      <c r="Z546" s="2104"/>
      <c r="AA546" s="2104"/>
      <c r="AB546" s="2104"/>
      <c r="AC546" s="2104"/>
      <c r="AD546" s="2104"/>
      <c r="AE546" s="2104"/>
      <c r="AF546" s="2104"/>
      <c r="AG546" s="2104"/>
      <c r="AH546" s="2104"/>
      <c r="AI546" s="2104"/>
      <c r="AJ546" s="2104"/>
      <c r="AK546" s="2104"/>
      <c r="AL546" s="2104"/>
      <c r="AM546" s="2104"/>
      <c r="AN546" s="2104"/>
      <c r="AO546" s="2104"/>
      <c r="AP546" s="2104"/>
      <c r="AR546" s="3479"/>
      <c r="AW546" s="3371"/>
    </row>
    <row r="547" s="3330" customFormat="1" customHeight="1" spans="3:49">
      <c r="C547" s="3315"/>
      <c r="D547" s="2104"/>
      <c r="E547" s="2104"/>
      <c r="F547" s="2104"/>
      <c r="G547" s="2104"/>
      <c r="H547" s="2104"/>
      <c r="I547" s="2104"/>
      <c r="J547" s="2104"/>
      <c r="K547" s="2104"/>
      <c r="L547" s="2104"/>
      <c r="M547" s="2104"/>
      <c r="N547" s="2104"/>
      <c r="O547" s="2104"/>
      <c r="P547" s="2104"/>
      <c r="Q547" s="2104"/>
      <c r="R547" s="2104"/>
      <c r="S547" s="2104"/>
      <c r="T547" s="2104"/>
      <c r="U547" s="2104"/>
      <c r="V547" s="2104"/>
      <c r="W547" s="2104"/>
      <c r="X547" s="2104"/>
      <c r="Y547" s="2104"/>
      <c r="Z547" s="2104"/>
      <c r="AA547" s="2104"/>
      <c r="AB547" s="2104"/>
      <c r="AC547" s="2104"/>
      <c r="AD547" s="2104"/>
      <c r="AE547" s="2104"/>
      <c r="AF547" s="2104"/>
      <c r="AG547" s="2104"/>
      <c r="AH547" s="2104"/>
      <c r="AI547" s="2104"/>
      <c r="AJ547" s="2104"/>
      <c r="AK547" s="2104"/>
      <c r="AL547" s="2104"/>
      <c r="AM547" s="2104"/>
      <c r="AN547" s="2104"/>
      <c r="AO547" s="2104"/>
      <c r="AP547" s="2104"/>
      <c r="AR547" s="3479"/>
      <c r="AW547" s="3371"/>
    </row>
    <row r="548" s="3330" customFormat="1" customHeight="1" spans="3:49">
      <c r="C548" s="3315"/>
      <c r="D548" s="2104"/>
      <c r="E548" s="2104"/>
      <c r="F548" s="2104"/>
      <c r="G548" s="2104"/>
      <c r="H548" s="2104"/>
      <c r="I548" s="2104"/>
      <c r="J548" s="2104"/>
      <c r="K548" s="2104"/>
      <c r="L548" s="2104"/>
      <c r="M548" s="2104"/>
      <c r="N548" s="2104"/>
      <c r="O548" s="2104"/>
      <c r="P548" s="2104"/>
      <c r="Q548" s="2104"/>
      <c r="R548" s="2104"/>
      <c r="S548" s="2104"/>
      <c r="T548" s="2104"/>
      <c r="U548" s="2104"/>
      <c r="V548" s="2104"/>
      <c r="W548" s="2104"/>
      <c r="X548" s="2104"/>
      <c r="Y548" s="2104"/>
      <c r="Z548" s="2104"/>
      <c r="AA548" s="2104"/>
      <c r="AB548" s="2104"/>
      <c r="AC548" s="2104"/>
      <c r="AD548" s="2104"/>
      <c r="AE548" s="2104"/>
      <c r="AF548" s="2104"/>
      <c r="AG548" s="2104"/>
      <c r="AH548" s="2104"/>
      <c r="AI548" s="2104"/>
      <c r="AJ548" s="2104"/>
      <c r="AK548" s="2104"/>
      <c r="AL548" s="2104"/>
      <c r="AM548" s="2104"/>
      <c r="AN548" s="2104"/>
      <c r="AO548" s="2104"/>
      <c r="AP548" s="2104"/>
      <c r="AR548" s="3479"/>
      <c r="AW548" s="3371"/>
    </row>
    <row r="549" s="3330" customFormat="1" customHeight="1" spans="3:49">
      <c r="C549" s="3315"/>
      <c r="D549" s="2104"/>
      <c r="E549" s="2104"/>
      <c r="F549" s="2104"/>
      <c r="G549" s="2104"/>
      <c r="H549" s="2104"/>
      <c r="I549" s="2104"/>
      <c r="J549" s="2104"/>
      <c r="K549" s="2104"/>
      <c r="L549" s="2104"/>
      <c r="M549" s="2104"/>
      <c r="N549" s="2104"/>
      <c r="O549" s="2104"/>
      <c r="P549" s="2104"/>
      <c r="Q549" s="2104"/>
      <c r="R549" s="2104"/>
      <c r="S549" s="2104"/>
      <c r="T549" s="2104"/>
      <c r="U549" s="2104"/>
      <c r="V549" s="2104"/>
      <c r="W549" s="2104"/>
      <c r="X549" s="2104"/>
      <c r="Y549" s="2104"/>
      <c r="Z549" s="2104"/>
      <c r="AA549" s="2104"/>
      <c r="AB549" s="2104"/>
      <c r="AC549" s="2104"/>
      <c r="AD549" s="2104"/>
      <c r="AE549" s="2104"/>
      <c r="AF549" s="2104"/>
      <c r="AG549" s="2104"/>
      <c r="AH549" s="2104"/>
      <c r="AI549" s="2104"/>
      <c r="AJ549" s="2104"/>
      <c r="AK549" s="2104"/>
      <c r="AL549" s="2104"/>
      <c r="AM549" s="2104"/>
      <c r="AN549" s="2104"/>
      <c r="AO549" s="2104"/>
      <c r="AP549" s="2104"/>
      <c r="AR549" s="3479"/>
      <c r="AW549" s="3371"/>
    </row>
    <row r="550" s="3330" customFormat="1" customHeight="1" spans="3:49">
      <c r="C550" s="3315"/>
      <c r="D550" s="2104"/>
      <c r="E550" s="2104"/>
      <c r="F550" s="2104"/>
      <c r="G550" s="2104"/>
      <c r="H550" s="2104"/>
      <c r="I550" s="2104"/>
      <c r="J550" s="2104"/>
      <c r="K550" s="2104"/>
      <c r="L550" s="2104"/>
      <c r="M550" s="2104"/>
      <c r="N550" s="2104"/>
      <c r="O550" s="2104"/>
      <c r="P550" s="2104"/>
      <c r="Q550" s="2104"/>
      <c r="R550" s="2104"/>
      <c r="S550" s="2104"/>
      <c r="T550" s="2104"/>
      <c r="U550" s="2104"/>
      <c r="V550" s="2104"/>
      <c r="W550" s="2104"/>
      <c r="X550" s="2104"/>
      <c r="Y550" s="2104"/>
      <c r="Z550" s="2104"/>
      <c r="AA550" s="2104"/>
      <c r="AB550" s="2104"/>
      <c r="AC550" s="2104"/>
      <c r="AD550" s="2104"/>
      <c r="AE550" s="2104"/>
      <c r="AF550" s="2104"/>
      <c r="AG550" s="2104"/>
      <c r="AH550" s="2104"/>
      <c r="AI550" s="2104"/>
      <c r="AJ550" s="2104"/>
      <c r="AK550" s="2104"/>
      <c r="AL550" s="2104"/>
      <c r="AM550" s="2104"/>
      <c r="AN550" s="2104"/>
      <c r="AO550" s="2104"/>
      <c r="AP550" s="2104"/>
      <c r="AR550" s="3479"/>
      <c r="AW550" s="3371"/>
    </row>
    <row r="551" s="3330" customFormat="1" customHeight="1" spans="3:49">
      <c r="C551" s="3315"/>
      <c r="D551" s="2104"/>
      <c r="E551" s="2104"/>
      <c r="F551" s="2104"/>
      <c r="G551" s="2104"/>
      <c r="H551" s="2104"/>
      <c r="I551" s="2104"/>
      <c r="J551" s="2104"/>
      <c r="K551" s="2104"/>
      <c r="L551" s="2104"/>
      <c r="M551" s="2104"/>
      <c r="N551" s="2104"/>
      <c r="O551" s="2104"/>
      <c r="P551" s="2104"/>
      <c r="Q551" s="2104"/>
      <c r="R551" s="2104"/>
      <c r="S551" s="2104"/>
      <c r="T551" s="2104"/>
      <c r="U551" s="2104"/>
      <c r="V551" s="2104"/>
      <c r="W551" s="2104"/>
      <c r="X551" s="2104"/>
      <c r="Y551" s="2104"/>
      <c r="Z551" s="2104"/>
      <c r="AA551" s="2104"/>
      <c r="AB551" s="2104"/>
      <c r="AC551" s="2104"/>
      <c r="AD551" s="2104"/>
      <c r="AE551" s="2104"/>
      <c r="AF551" s="2104"/>
      <c r="AG551" s="2104"/>
      <c r="AH551" s="2104"/>
      <c r="AI551" s="2104"/>
      <c r="AJ551" s="2104"/>
      <c r="AK551" s="2104"/>
      <c r="AL551" s="2104"/>
      <c r="AM551" s="2104"/>
      <c r="AN551" s="2104"/>
      <c r="AO551" s="2104"/>
      <c r="AP551" s="2104"/>
      <c r="AR551" s="3479"/>
      <c r="AW551" s="3371"/>
    </row>
    <row r="552" s="3330" customFormat="1" customHeight="1" spans="3:49">
      <c r="C552" s="3315"/>
      <c r="D552" s="2104"/>
      <c r="E552" s="2104"/>
      <c r="F552" s="2104"/>
      <c r="G552" s="2104"/>
      <c r="H552" s="2104"/>
      <c r="I552" s="2104"/>
      <c r="J552" s="2104"/>
      <c r="K552" s="2104"/>
      <c r="L552" s="2104"/>
      <c r="M552" s="2104"/>
      <c r="N552" s="2104"/>
      <c r="O552" s="2104"/>
      <c r="P552" s="2104"/>
      <c r="Q552" s="2104"/>
      <c r="R552" s="2104"/>
      <c r="S552" s="2104"/>
      <c r="T552" s="2104"/>
      <c r="U552" s="2104"/>
      <c r="V552" s="2104"/>
      <c r="W552" s="2104"/>
      <c r="X552" s="2104"/>
      <c r="Y552" s="2104"/>
      <c r="Z552" s="2104"/>
      <c r="AA552" s="2104"/>
      <c r="AB552" s="2104"/>
      <c r="AC552" s="2104"/>
      <c r="AD552" s="2104"/>
      <c r="AE552" s="2104"/>
      <c r="AF552" s="2104"/>
      <c r="AG552" s="2104"/>
      <c r="AH552" s="2104"/>
      <c r="AI552" s="2104"/>
      <c r="AJ552" s="2104"/>
      <c r="AK552" s="2104"/>
      <c r="AL552" s="2104"/>
      <c r="AM552" s="2104"/>
      <c r="AN552" s="2104"/>
      <c r="AO552" s="2104"/>
      <c r="AP552" s="2104"/>
      <c r="AR552" s="3479"/>
      <c r="AW552" s="3371"/>
    </row>
    <row r="553" s="3330" customFormat="1" customHeight="1" spans="1:49">
      <c r="A553" s="3385">
        <f>+A484+1</f>
        <v>15</v>
      </c>
      <c r="B553" s="3385"/>
      <c r="C553" s="3385"/>
      <c r="D553" s="3385"/>
      <c r="E553" s="3385"/>
      <c r="F553" s="3385"/>
      <c r="G553" s="3385"/>
      <c r="H553" s="3385"/>
      <c r="I553" s="3385"/>
      <c r="J553" s="3385"/>
      <c r="K553" s="3385"/>
      <c r="L553" s="3385"/>
      <c r="M553" s="3385"/>
      <c r="N553" s="3385"/>
      <c r="O553" s="3385"/>
      <c r="P553" s="3385"/>
      <c r="Q553" s="3385"/>
      <c r="R553" s="3385"/>
      <c r="S553" s="3385"/>
      <c r="T553" s="3385"/>
      <c r="U553" s="3385"/>
      <c r="V553" s="3385"/>
      <c r="W553" s="3385"/>
      <c r="X553" s="3385"/>
      <c r="Y553" s="3385"/>
      <c r="Z553" s="3385"/>
      <c r="AA553" s="3385"/>
      <c r="AB553" s="3385"/>
      <c r="AC553" s="3385"/>
      <c r="AD553" s="3385"/>
      <c r="AE553" s="3385"/>
      <c r="AF553" s="3385"/>
      <c r="AG553" s="3385"/>
      <c r="AH553" s="3385"/>
      <c r="AI553" s="3385"/>
      <c r="AJ553" s="3385"/>
      <c r="AK553" s="3385"/>
      <c r="AL553" s="3385"/>
      <c r="AM553" s="3385"/>
      <c r="AN553" s="3385"/>
      <c r="AO553" s="3385"/>
      <c r="AP553" s="3385"/>
      <c r="AR553" s="3479"/>
      <c r="AW553" s="3371"/>
    </row>
    <row r="554" s="3330" customFormat="1" customHeight="1" spans="1:49">
      <c r="A554" s="3335">
        <f>+A414</f>
        <v>12</v>
      </c>
      <c r="B554" s="3315"/>
      <c r="C554" s="3322" t="s">
        <v>1910</v>
      </c>
      <c r="D554" s="64"/>
      <c r="E554" s="64"/>
      <c r="F554" s="64"/>
      <c r="G554" s="64"/>
      <c r="H554" s="2104"/>
      <c r="I554" s="2104"/>
      <c r="J554" s="2104"/>
      <c r="K554" s="2104"/>
      <c r="L554" s="2104"/>
      <c r="M554" s="2104"/>
      <c r="N554" s="2104"/>
      <c r="O554" s="2104"/>
      <c r="P554" s="2104"/>
      <c r="Q554" s="2104"/>
      <c r="R554" s="2104"/>
      <c r="S554" s="2104"/>
      <c r="T554" s="2104"/>
      <c r="U554" s="2104"/>
      <c r="V554" s="2104"/>
      <c r="W554" s="2104"/>
      <c r="X554" s="2104"/>
      <c r="Y554" s="2104"/>
      <c r="Z554" s="2104"/>
      <c r="AA554" s="2104"/>
      <c r="AB554" s="2104"/>
      <c r="AC554" s="2104"/>
      <c r="AD554" s="2104"/>
      <c r="AE554" s="2104"/>
      <c r="AF554" s="2104"/>
      <c r="AG554" s="2104"/>
      <c r="AH554" s="2104"/>
      <c r="AI554" s="2104"/>
      <c r="AJ554" s="2104"/>
      <c r="AK554" s="2104"/>
      <c r="AL554" s="2104"/>
      <c r="AM554" s="2104"/>
      <c r="AN554" s="2104"/>
      <c r="AO554" s="2104"/>
      <c r="AP554" s="2104"/>
      <c r="AR554" s="3479"/>
      <c r="AW554" s="3371"/>
    </row>
    <row r="555" s="3330" customFormat="1" ht="9.95" customHeight="1" spans="1:49">
      <c r="A555" s="3340"/>
      <c r="B555" s="64"/>
      <c r="D555" s="3480"/>
      <c r="F555" s="3339"/>
      <c r="G555" s="3339"/>
      <c r="H555" s="2104"/>
      <c r="I555" s="2104"/>
      <c r="J555" s="2104"/>
      <c r="K555" s="2104"/>
      <c r="L555" s="2104"/>
      <c r="M555" s="2104"/>
      <c r="N555" s="2104"/>
      <c r="O555" s="2104"/>
      <c r="P555" s="2104"/>
      <c r="Q555" s="2104"/>
      <c r="R555" s="2104"/>
      <c r="S555" s="2104"/>
      <c r="T555" s="2104"/>
      <c r="U555" s="2104"/>
      <c r="V555" s="2104"/>
      <c r="W555" s="2104"/>
      <c r="X555" s="2104"/>
      <c r="Y555" s="2104"/>
      <c r="Z555" s="2104"/>
      <c r="AA555" s="2104"/>
      <c r="AB555" s="2104"/>
      <c r="AC555" s="2104"/>
      <c r="AD555" s="2104"/>
      <c r="AE555" s="2104"/>
      <c r="AF555" s="2104"/>
      <c r="AG555" s="2104"/>
      <c r="AH555" s="2104"/>
      <c r="AI555" s="2104"/>
      <c r="AJ555" s="2104"/>
      <c r="AK555" s="2104"/>
      <c r="AL555" s="2104"/>
      <c r="AM555" s="2104"/>
      <c r="AN555" s="2104"/>
      <c r="AO555" s="2104"/>
      <c r="AP555" s="2104"/>
      <c r="AR555" s="3479"/>
      <c r="AW555" s="3371"/>
    </row>
    <row r="556" s="3330" customFormat="1" customHeight="1" spans="1:49">
      <c r="A556" s="3340"/>
      <c r="B556" s="64"/>
      <c r="C556" s="94" t="s">
        <v>1911</v>
      </c>
      <c r="D556" s="3484"/>
      <c r="F556" s="3339"/>
      <c r="G556" s="3339"/>
      <c r="H556" s="2104"/>
      <c r="I556" s="2104"/>
      <c r="J556" s="2104"/>
      <c r="K556" s="2104"/>
      <c r="L556" s="2104"/>
      <c r="M556" s="2104"/>
      <c r="N556" s="2104"/>
      <c r="O556" s="2104"/>
      <c r="P556" s="2104"/>
      <c r="Q556" s="2104"/>
      <c r="R556" s="2104"/>
      <c r="S556" s="2104"/>
      <c r="T556" s="2104"/>
      <c r="U556" s="2104"/>
      <c r="V556" s="2104"/>
      <c r="W556" s="2104"/>
      <c r="X556" s="2104"/>
      <c r="Y556" s="2104"/>
      <c r="Z556" s="2104"/>
      <c r="AA556" s="2104"/>
      <c r="AB556" s="2104"/>
      <c r="AC556" s="2104"/>
      <c r="AD556" s="2104"/>
      <c r="AE556" s="2104"/>
      <c r="AF556" s="2104"/>
      <c r="AG556" s="2104"/>
      <c r="AH556" s="2104"/>
      <c r="AI556" s="2104"/>
      <c r="AJ556" s="2104"/>
      <c r="AK556" s="2104"/>
      <c r="AL556" s="2104"/>
      <c r="AM556" s="2104"/>
      <c r="AN556" s="2104"/>
      <c r="AO556" s="2104"/>
      <c r="AP556" s="2104"/>
      <c r="AR556" s="3479"/>
      <c r="AW556" s="3371"/>
    </row>
    <row r="557" s="3330" customFormat="1" ht="9.95" customHeight="1" spans="1:49">
      <c r="A557" s="3340"/>
      <c r="B557" s="64"/>
      <c r="D557" s="3488"/>
      <c r="E557" s="64"/>
      <c r="F557" s="64"/>
      <c r="G557" s="64"/>
      <c r="H557" s="2104"/>
      <c r="I557" s="2104"/>
      <c r="J557" s="2104"/>
      <c r="K557" s="2104"/>
      <c r="L557" s="2104"/>
      <c r="M557" s="2104"/>
      <c r="N557" s="2104"/>
      <c r="O557" s="2104"/>
      <c r="P557" s="2104"/>
      <c r="Q557" s="2104"/>
      <c r="R557" s="2104"/>
      <c r="S557" s="2104"/>
      <c r="T557" s="2104"/>
      <c r="U557" s="2104"/>
      <c r="V557" s="2104"/>
      <c r="W557" s="2104"/>
      <c r="X557" s="2104"/>
      <c r="Y557" s="2104"/>
      <c r="Z557" s="2104"/>
      <c r="AA557" s="2104"/>
      <c r="AB557" s="2104"/>
      <c r="AC557" s="2104"/>
      <c r="AD557" s="2104"/>
      <c r="AE557" s="2104"/>
      <c r="AF557" s="2104"/>
      <c r="AG557" s="2104"/>
      <c r="AH557" s="2104"/>
      <c r="AI557" s="2104"/>
      <c r="AJ557" s="2104"/>
      <c r="AK557" s="2104"/>
      <c r="AL557" s="2104"/>
      <c r="AM557" s="2104"/>
      <c r="AN557" s="2104"/>
      <c r="AO557" s="2104"/>
      <c r="AP557" s="2104"/>
      <c r="AR557" s="3479"/>
      <c r="AW557" s="3371"/>
    </row>
    <row r="558" s="3330" customFormat="1" customHeight="1" spans="1:49">
      <c r="A558" s="3340"/>
      <c r="B558" s="64"/>
      <c r="C558" s="3480" t="s">
        <v>148</v>
      </c>
      <c r="D558" s="3502" t="s">
        <v>2107</v>
      </c>
      <c r="H558" s="2104"/>
      <c r="I558" s="2104"/>
      <c r="J558" s="2104"/>
      <c r="K558" s="2104"/>
      <c r="L558" s="2104"/>
      <c r="M558" s="2104"/>
      <c r="N558" s="2104"/>
      <c r="O558" s="2104"/>
      <c r="P558" s="2104"/>
      <c r="Q558" s="2104"/>
      <c r="R558" s="2104"/>
      <c r="S558" s="2104"/>
      <c r="T558" s="2104"/>
      <c r="U558" s="2104"/>
      <c r="V558" s="2104"/>
      <c r="W558" s="2104"/>
      <c r="X558" s="2104"/>
      <c r="Y558" s="2104"/>
      <c r="Z558" s="2104"/>
      <c r="AA558" s="2104"/>
      <c r="AB558" s="2104"/>
      <c r="AC558" s="2104"/>
      <c r="AD558" s="2104"/>
      <c r="AE558" s="2104"/>
      <c r="AF558" s="2104"/>
      <c r="AG558" s="2104"/>
      <c r="AH558" s="2104"/>
      <c r="AI558" s="2104"/>
      <c r="AJ558" s="2104"/>
      <c r="AK558" s="2104"/>
      <c r="AL558" s="2104"/>
      <c r="AM558" s="2104"/>
      <c r="AN558" s="2104"/>
      <c r="AO558" s="2104"/>
      <c r="AP558" s="2104"/>
      <c r="AR558" s="3479"/>
      <c r="AW558" s="3371"/>
    </row>
    <row r="559" s="3330" customFormat="1" ht="9" customHeight="1" spans="44:49">
      <c r="AR559" s="3479"/>
      <c r="AW559" s="3371"/>
    </row>
    <row r="560" s="3330" customFormat="1" customHeight="1" spans="3:49">
      <c r="C560" s="3330">
        <f>+C540+1</f>
        <v>6</v>
      </c>
      <c r="D560" s="5059" t="s">
        <v>1937</v>
      </c>
      <c r="E560" s="2104"/>
      <c r="F560" s="2104"/>
      <c r="G560" s="2104"/>
      <c r="H560" s="2104"/>
      <c r="I560" s="2104"/>
      <c r="J560" s="2104"/>
      <c r="K560" s="2104"/>
      <c r="L560" s="2104"/>
      <c r="M560" s="2104"/>
      <c r="N560" s="2104"/>
      <c r="O560" s="2104"/>
      <c r="P560" s="2104"/>
      <c r="Q560" s="2104"/>
      <c r="R560" s="2104"/>
      <c r="S560" s="2104"/>
      <c r="T560" s="2104"/>
      <c r="U560" s="2104"/>
      <c r="V560" s="2104"/>
      <c r="W560" s="2104"/>
      <c r="X560" s="2104"/>
      <c r="Y560" s="2104"/>
      <c r="Z560" s="2104"/>
      <c r="AA560" s="2104"/>
      <c r="AB560" s="2104"/>
      <c r="AC560" s="2104"/>
      <c r="AD560" s="2104"/>
      <c r="AE560" s="2104"/>
      <c r="AF560" s="2104"/>
      <c r="AG560" s="2104"/>
      <c r="AH560" s="2104"/>
      <c r="AI560" s="2104"/>
      <c r="AJ560" s="2104"/>
      <c r="AK560" s="2104"/>
      <c r="AL560" s="2104"/>
      <c r="AM560" s="2104"/>
      <c r="AN560" s="2104"/>
      <c r="AO560" s="2104"/>
      <c r="AP560" s="2104"/>
      <c r="AR560" s="3479"/>
      <c r="AW560" s="3371"/>
    </row>
    <row r="561" s="3330" customFormat="1" customHeight="1" spans="3:49">
      <c r="C561" s="3326"/>
      <c r="D561" s="2104"/>
      <c r="E561" s="2104"/>
      <c r="F561" s="2104"/>
      <c r="G561" s="2104"/>
      <c r="H561" s="2104"/>
      <c r="I561" s="2104"/>
      <c r="J561" s="2104"/>
      <c r="K561" s="2104"/>
      <c r="L561" s="2104"/>
      <c r="M561" s="2104"/>
      <c r="N561" s="2104"/>
      <c r="O561" s="2104"/>
      <c r="P561" s="2104"/>
      <c r="Q561" s="2104"/>
      <c r="R561" s="2104"/>
      <c r="S561" s="2104"/>
      <c r="T561" s="2104"/>
      <c r="U561" s="2104"/>
      <c r="V561" s="2104"/>
      <c r="W561" s="2104"/>
      <c r="X561" s="2104"/>
      <c r="Y561" s="2104"/>
      <c r="Z561" s="2104"/>
      <c r="AA561" s="2104"/>
      <c r="AB561" s="2104"/>
      <c r="AC561" s="2104"/>
      <c r="AD561" s="2104"/>
      <c r="AE561" s="2104"/>
      <c r="AF561" s="2104"/>
      <c r="AG561" s="2104"/>
      <c r="AH561" s="2104"/>
      <c r="AI561" s="2104"/>
      <c r="AJ561" s="2104"/>
      <c r="AK561" s="2104"/>
      <c r="AL561" s="2104"/>
      <c r="AM561" s="2104"/>
      <c r="AN561" s="2104"/>
      <c r="AO561" s="2104"/>
      <c r="AP561" s="2104"/>
      <c r="AR561" s="3479"/>
      <c r="AW561" s="3371"/>
    </row>
    <row r="562" s="3330" customFormat="1" customHeight="1" spans="3:49">
      <c r="C562"/>
      <c r="D562" s="2104"/>
      <c r="E562" s="2104"/>
      <c r="F562" s="2104"/>
      <c r="G562" s="2104"/>
      <c r="H562" s="2104"/>
      <c r="I562" s="2104"/>
      <c r="J562" s="2104"/>
      <c r="K562" s="2104"/>
      <c r="L562" s="2104"/>
      <c r="M562" s="2104"/>
      <c r="N562" s="2104"/>
      <c r="O562" s="2104"/>
      <c r="P562" s="2104"/>
      <c r="Q562" s="2104"/>
      <c r="R562" s="2104"/>
      <c r="S562" s="2104"/>
      <c r="T562" s="2104"/>
      <c r="U562" s="2104"/>
      <c r="V562" s="2104"/>
      <c r="W562" s="2104"/>
      <c r="X562" s="2104"/>
      <c r="Y562" s="2104"/>
      <c r="Z562" s="2104"/>
      <c r="AA562" s="2104"/>
      <c r="AB562" s="2104"/>
      <c r="AC562" s="2104"/>
      <c r="AD562" s="2104"/>
      <c r="AE562" s="2104"/>
      <c r="AF562" s="2104"/>
      <c r="AG562" s="2104"/>
      <c r="AH562" s="2104"/>
      <c r="AI562" s="2104"/>
      <c r="AJ562" s="2104"/>
      <c r="AK562" s="2104"/>
      <c r="AL562" s="2104"/>
      <c r="AM562" s="2104"/>
      <c r="AN562" s="2104"/>
      <c r="AO562" s="2104"/>
      <c r="AP562" s="2104"/>
      <c r="AR562" s="3479"/>
      <c r="AW562" s="3371"/>
    </row>
    <row r="563" s="3330" customFormat="1" customHeight="1" spans="3:49">
      <c r="C563" s="3315"/>
      <c r="D563" s="2104"/>
      <c r="E563" s="2104"/>
      <c r="F563" s="2104"/>
      <c r="G563" s="2104"/>
      <c r="H563" s="2104"/>
      <c r="I563" s="2104"/>
      <c r="J563" s="2104"/>
      <c r="K563" s="2104"/>
      <c r="L563" s="2104"/>
      <c r="M563" s="2104"/>
      <c r="N563" s="2104"/>
      <c r="O563" s="2104"/>
      <c r="P563" s="2104"/>
      <c r="Q563" s="2104"/>
      <c r="R563" s="2104"/>
      <c r="S563" s="2104"/>
      <c r="T563" s="2104"/>
      <c r="U563" s="2104"/>
      <c r="V563" s="2104"/>
      <c r="W563" s="2104"/>
      <c r="X563" s="2104"/>
      <c r="Y563" s="2104"/>
      <c r="Z563" s="2104"/>
      <c r="AA563" s="2104"/>
      <c r="AB563" s="2104"/>
      <c r="AC563" s="2104"/>
      <c r="AD563" s="2104"/>
      <c r="AE563" s="2104"/>
      <c r="AF563" s="2104"/>
      <c r="AG563" s="2104"/>
      <c r="AH563" s="2104"/>
      <c r="AI563" s="2104"/>
      <c r="AJ563" s="2104"/>
      <c r="AK563" s="2104"/>
      <c r="AL563" s="2104"/>
      <c r="AM563" s="2104"/>
      <c r="AN563" s="2104"/>
      <c r="AO563" s="2104"/>
      <c r="AP563" s="2104"/>
      <c r="AR563" s="3479"/>
      <c r="AW563" s="3371"/>
    </row>
    <row r="564" s="3330" customFormat="1" customHeight="1" spans="3:49">
      <c r="C564" s="3315"/>
      <c r="D564" s="2104"/>
      <c r="E564" s="2104"/>
      <c r="F564" s="2104"/>
      <c r="G564" s="2104"/>
      <c r="H564" s="2104"/>
      <c r="I564" s="2104"/>
      <c r="J564" s="2104"/>
      <c r="K564" s="2104"/>
      <c r="L564" s="2104"/>
      <c r="M564" s="2104"/>
      <c r="N564" s="2104"/>
      <c r="O564" s="2104"/>
      <c r="P564" s="2104"/>
      <c r="Q564" s="2104"/>
      <c r="R564" s="2104"/>
      <c r="S564" s="2104"/>
      <c r="T564" s="2104"/>
      <c r="U564" s="2104"/>
      <c r="V564" s="2104"/>
      <c r="W564" s="2104"/>
      <c r="X564" s="2104"/>
      <c r="Y564" s="2104"/>
      <c r="Z564" s="2104"/>
      <c r="AA564" s="2104"/>
      <c r="AB564" s="2104"/>
      <c r="AC564" s="2104"/>
      <c r="AD564" s="2104"/>
      <c r="AE564" s="2104"/>
      <c r="AF564" s="2104"/>
      <c r="AG564" s="2104"/>
      <c r="AH564" s="2104"/>
      <c r="AI564" s="2104"/>
      <c r="AJ564" s="2104"/>
      <c r="AK564" s="2104"/>
      <c r="AL564" s="2104"/>
      <c r="AM564" s="2104"/>
      <c r="AN564" s="2104"/>
      <c r="AO564" s="2104"/>
      <c r="AP564" s="2104"/>
      <c r="AR564" s="3479"/>
      <c r="AW564" s="3371"/>
    </row>
    <row r="565" s="3330" customFormat="1" customHeight="1" spans="3:49">
      <c r="C565" s="3315"/>
      <c r="D565" s="2104"/>
      <c r="E565" s="2104"/>
      <c r="F565" s="2104"/>
      <c r="G565" s="2104"/>
      <c r="H565" s="2104"/>
      <c r="I565" s="2104"/>
      <c r="J565" s="2104"/>
      <c r="K565" s="2104"/>
      <c r="L565" s="2104"/>
      <c r="M565" s="2104"/>
      <c r="N565" s="2104"/>
      <c r="O565" s="2104"/>
      <c r="P565" s="2104"/>
      <c r="Q565" s="2104"/>
      <c r="R565" s="2104"/>
      <c r="S565" s="2104"/>
      <c r="T565" s="2104"/>
      <c r="U565" s="2104"/>
      <c r="V565" s="2104"/>
      <c r="W565" s="2104"/>
      <c r="X565" s="2104"/>
      <c r="Y565" s="2104"/>
      <c r="Z565" s="2104"/>
      <c r="AA565" s="2104"/>
      <c r="AB565" s="2104"/>
      <c r="AC565" s="2104"/>
      <c r="AD565" s="2104"/>
      <c r="AE565" s="2104"/>
      <c r="AF565" s="2104"/>
      <c r="AG565" s="2104"/>
      <c r="AH565" s="2104"/>
      <c r="AI565" s="2104"/>
      <c r="AJ565" s="2104"/>
      <c r="AK565" s="2104"/>
      <c r="AL565" s="2104"/>
      <c r="AM565" s="2104"/>
      <c r="AN565" s="2104"/>
      <c r="AO565" s="2104"/>
      <c r="AP565" s="2104"/>
      <c r="AR565" s="3479"/>
      <c r="AW565" s="3371"/>
    </row>
    <row r="566" s="3330" customFormat="1" customHeight="1" spans="3:49">
      <c r="C566" s="3315"/>
      <c r="D566" s="2104"/>
      <c r="E566" s="2104"/>
      <c r="F566" s="2104"/>
      <c r="G566" s="2104"/>
      <c r="H566" s="2104"/>
      <c r="I566" s="2104"/>
      <c r="J566" s="2104"/>
      <c r="K566" s="2104"/>
      <c r="L566" s="2104"/>
      <c r="M566" s="2104"/>
      <c r="N566" s="2104"/>
      <c r="O566" s="2104"/>
      <c r="P566" s="2104"/>
      <c r="Q566" s="2104"/>
      <c r="R566" s="2104"/>
      <c r="S566" s="2104"/>
      <c r="T566" s="2104"/>
      <c r="U566" s="2104"/>
      <c r="V566" s="2104"/>
      <c r="W566" s="2104"/>
      <c r="X566" s="2104"/>
      <c r="Y566" s="2104"/>
      <c r="Z566" s="2104"/>
      <c r="AA566" s="2104"/>
      <c r="AB566" s="2104"/>
      <c r="AC566" s="2104"/>
      <c r="AD566" s="2104"/>
      <c r="AE566" s="2104"/>
      <c r="AF566" s="2104"/>
      <c r="AG566" s="2104"/>
      <c r="AH566" s="2104"/>
      <c r="AI566" s="2104"/>
      <c r="AJ566" s="2104"/>
      <c r="AK566" s="2104"/>
      <c r="AL566" s="2104"/>
      <c r="AM566" s="2104"/>
      <c r="AN566" s="2104"/>
      <c r="AO566" s="2104"/>
      <c r="AP566" s="2104"/>
      <c r="AR566" s="3479"/>
      <c r="AW566" s="3371"/>
    </row>
    <row r="567" s="3330" customFormat="1" customHeight="1" spans="3:49">
      <c r="C567" s="3315"/>
      <c r="D567" s="2104"/>
      <c r="E567" s="2104"/>
      <c r="F567" s="2104"/>
      <c r="G567" s="2104"/>
      <c r="H567" s="2104"/>
      <c r="I567" s="2104"/>
      <c r="J567" s="2104"/>
      <c r="K567" s="2104"/>
      <c r="L567" s="2104"/>
      <c r="M567" s="2104"/>
      <c r="N567" s="2104"/>
      <c r="O567" s="2104"/>
      <c r="P567" s="2104"/>
      <c r="Q567" s="2104"/>
      <c r="R567" s="2104"/>
      <c r="S567" s="2104"/>
      <c r="T567" s="2104"/>
      <c r="U567" s="2104"/>
      <c r="V567" s="2104"/>
      <c r="W567" s="2104"/>
      <c r="X567" s="2104"/>
      <c r="Y567" s="2104"/>
      <c r="Z567" s="2104"/>
      <c r="AA567" s="2104"/>
      <c r="AB567" s="2104"/>
      <c r="AC567" s="2104"/>
      <c r="AD567" s="2104"/>
      <c r="AE567" s="2104"/>
      <c r="AF567" s="2104"/>
      <c r="AG567" s="2104"/>
      <c r="AH567" s="2104"/>
      <c r="AI567" s="2104"/>
      <c r="AJ567" s="2104"/>
      <c r="AK567" s="2104"/>
      <c r="AL567" s="2104"/>
      <c r="AM567" s="2104"/>
      <c r="AN567" s="2104"/>
      <c r="AO567" s="2104"/>
      <c r="AP567" s="2104"/>
      <c r="AR567" s="3479"/>
      <c r="AW567" s="3371"/>
    </row>
    <row r="568" s="3330" customFormat="1" customHeight="1" spans="3:49">
      <c r="C568" s="3315"/>
      <c r="D568" s="2104"/>
      <c r="E568" s="2104"/>
      <c r="F568" s="2104"/>
      <c r="G568" s="2104"/>
      <c r="H568" s="2104"/>
      <c r="I568" s="2104"/>
      <c r="J568" s="2104"/>
      <c r="K568" s="2104"/>
      <c r="L568" s="2104"/>
      <c r="M568" s="2104"/>
      <c r="N568" s="2104"/>
      <c r="O568" s="2104"/>
      <c r="P568" s="2104"/>
      <c r="Q568" s="2104"/>
      <c r="R568" s="2104"/>
      <c r="S568" s="2104"/>
      <c r="T568" s="2104"/>
      <c r="U568" s="2104"/>
      <c r="V568" s="2104"/>
      <c r="W568" s="2104"/>
      <c r="X568" s="2104"/>
      <c r="Y568" s="2104"/>
      <c r="Z568" s="2104"/>
      <c r="AA568" s="2104"/>
      <c r="AB568" s="2104"/>
      <c r="AC568" s="2104"/>
      <c r="AD568" s="2104"/>
      <c r="AE568" s="2104"/>
      <c r="AF568" s="2104"/>
      <c r="AG568" s="2104"/>
      <c r="AH568" s="2104"/>
      <c r="AI568" s="2104"/>
      <c r="AJ568" s="2104"/>
      <c r="AK568" s="2104"/>
      <c r="AL568" s="2104"/>
      <c r="AM568" s="2104"/>
      <c r="AN568" s="2104"/>
      <c r="AO568" s="2104"/>
      <c r="AP568" s="2104"/>
      <c r="AR568" s="3479"/>
      <c r="AW568" s="3371"/>
    </row>
    <row r="569" s="3330" customFormat="1" customHeight="1" spans="44:49">
      <c r="AR569" s="3479"/>
      <c r="AW569" s="3371"/>
    </row>
    <row r="570" s="3330" customFormat="1" customHeight="1" spans="3:49">
      <c r="C570" s="3330">
        <f>+C560+1</f>
        <v>7</v>
      </c>
      <c r="D570" s="2104" t="s">
        <v>1938</v>
      </c>
      <c r="E570" s="2104"/>
      <c r="F570" s="2104"/>
      <c r="G570" s="2104"/>
      <c r="H570" s="2104"/>
      <c r="I570" s="2104"/>
      <c r="J570" s="2104"/>
      <c r="K570" s="2104"/>
      <c r="L570" s="2104"/>
      <c r="M570" s="2104"/>
      <c r="N570" s="2104"/>
      <c r="O570" s="2104"/>
      <c r="P570" s="2104"/>
      <c r="Q570" s="2104"/>
      <c r="R570" s="2104"/>
      <c r="S570" s="2104"/>
      <c r="T570" s="2104"/>
      <c r="U570" s="2104"/>
      <c r="V570" s="2104"/>
      <c r="W570" s="2104"/>
      <c r="X570" s="2104"/>
      <c r="Y570" s="2104"/>
      <c r="Z570" s="2104"/>
      <c r="AA570" s="2104"/>
      <c r="AB570" s="2104"/>
      <c r="AC570" s="2104"/>
      <c r="AD570" s="2104"/>
      <c r="AE570" s="2104"/>
      <c r="AF570" s="2104"/>
      <c r="AG570" s="2104"/>
      <c r="AH570" s="2104"/>
      <c r="AI570" s="2104"/>
      <c r="AJ570" s="2104"/>
      <c r="AK570" s="2104"/>
      <c r="AL570" s="2104"/>
      <c r="AM570" s="2104"/>
      <c r="AN570" s="2104"/>
      <c r="AO570" s="2104"/>
      <c r="AP570" s="2104"/>
      <c r="AR570" s="3479"/>
      <c r="AW570" s="3371"/>
    </row>
    <row r="571" s="3330" customFormat="1" customHeight="1" spans="4:49">
      <c r="D571" s="2104"/>
      <c r="E571" s="2104"/>
      <c r="F571" s="2104"/>
      <c r="G571" s="2104"/>
      <c r="H571" s="2104"/>
      <c r="I571" s="2104"/>
      <c r="J571" s="2104"/>
      <c r="K571" s="2104"/>
      <c r="L571" s="2104"/>
      <c r="M571" s="2104"/>
      <c r="N571" s="2104"/>
      <c r="O571" s="2104"/>
      <c r="P571" s="2104"/>
      <c r="Q571" s="2104"/>
      <c r="R571" s="2104"/>
      <c r="S571" s="2104"/>
      <c r="T571" s="2104"/>
      <c r="U571" s="2104"/>
      <c r="V571" s="2104"/>
      <c r="W571" s="2104"/>
      <c r="X571" s="2104"/>
      <c r="Y571" s="2104"/>
      <c r="Z571" s="2104"/>
      <c r="AA571" s="2104"/>
      <c r="AB571" s="2104"/>
      <c r="AC571" s="2104"/>
      <c r="AD571" s="2104"/>
      <c r="AE571" s="2104"/>
      <c r="AF571" s="2104"/>
      <c r="AG571" s="2104"/>
      <c r="AH571" s="2104"/>
      <c r="AI571" s="2104"/>
      <c r="AJ571" s="2104"/>
      <c r="AK571" s="2104"/>
      <c r="AL571" s="2104"/>
      <c r="AM571" s="2104"/>
      <c r="AN571" s="2104"/>
      <c r="AO571" s="2104"/>
      <c r="AP571" s="2104"/>
      <c r="AR571" s="3479"/>
      <c r="AW571" s="3371"/>
    </row>
    <row r="572" s="3330" customFormat="1" customHeight="1" spans="4:49">
      <c r="D572" s="2104"/>
      <c r="E572" s="2104"/>
      <c r="F572" s="2104"/>
      <c r="G572" s="2104"/>
      <c r="H572" s="2104"/>
      <c r="I572" s="2104"/>
      <c r="J572" s="2104"/>
      <c r="K572" s="2104"/>
      <c r="L572" s="2104"/>
      <c r="M572" s="2104"/>
      <c r="N572" s="2104"/>
      <c r="O572" s="2104"/>
      <c r="P572" s="2104"/>
      <c r="Q572" s="2104"/>
      <c r="R572" s="2104"/>
      <c r="S572" s="2104"/>
      <c r="T572" s="2104"/>
      <c r="U572" s="2104"/>
      <c r="V572" s="2104"/>
      <c r="W572" s="2104"/>
      <c r="X572" s="2104"/>
      <c r="Y572" s="2104"/>
      <c r="Z572" s="2104"/>
      <c r="AA572" s="2104"/>
      <c r="AB572" s="2104"/>
      <c r="AC572" s="2104"/>
      <c r="AD572" s="2104"/>
      <c r="AE572" s="2104"/>
      <c r="AF572" s="2104"/>
      <c r="AG572" s="2104"/>
      <c r="AH572" s="2104"/>
      <c r="AI572" s="2104"/>
      <c r="AJ572" s="2104"/>
      <c r="AK572" s="2104"/>
      <c r="AL572" s="2104"/>
      <c r="AM572" s="2104"/>
      <c r="AN572" s="2104"/>
      <c r="AO572" s="2104"/>
      <c r="AP572" s="2104"/>
      <c r="AR572" s="3479"/>
      <c r="AW572" s="3371"/>
    </row>
    <row r="573" s="3330" customFormat="1" customHeight="1" spans="4:49">
      <c r="D573" s="2104"/>
      <c r="E573" s="2104"/>
      <c r="F573" s="2104"/>
      <c r="G573" s="2104"/>
      <c r="H573" s="2104"/>
      <c r="I573" s="2104"/>
      <c r="J573" s="2104"/>
      <c r="K573" s="2104"/>
      <c r="L573" s="2104"/>
      <c r="M573" s="2104"/>
      <c r="N573" s="2104"/>
      <c r="O573" s="2104"/>
      <c r="P573" s="2104"/>
      <c r="Q573" s="2104"/>
      <c r="R573" s="2104"/>
      <c r="S573" s="2104"/>
      <c r="T573" s="2104"/>
      <c r="U573" s="2104"/>
      <c r="V573" s="2104"/>
      <c r="W573" s="2104"/>
      <c r="X573" s="2104"/>
      <c r="Y573" s="2104"/>
      <c r="Z573" s="2104"/>
      <c r="AA573" s="2104"/>
      <c r="AB573" s="2104"/>
      <c r="AC573" s="2104"/>
      <c r="AD573" s="2104"/>
      <c r="AE573" s="2104"/>
      <c r="AF573" s="2104"/>
      <c r="AG573" s="2104"/>
      <c r="AH573" s="2104"/>
      <c r="AI573" s="2104"/>
      <c r="AJ573" s="2104"/>
      <c r="AK573" s="2104"/>
      <c r="AL573" s="2104"/>
      <c r="AM573" s="2104"/>
      <c r="AN573" s="2104"/>
      <c r="AO573" s="2104"/>
      <c r="AP573" s="2104"/>
      <c r="AR573" s="3479"/>
      <c r="AW573" s="3371"/>
    </row>
    <row r="574" s="3330" customFormat="1" customHeight="1" spans="4:49">
      <c r="D574" s="2104"/>
      <c r="E574" s="2104"/>
      <c r="F574" s="2104"/>
      <c r="G574" s="2104"/>
      <c r="H574" s="2104"/>
      <c r="I574" s="2104"/>
      <c r="J574" s="2104"/>
      <c r="K574" s="2104"/>
      <c r="L574" s="2104"/>
      <c r="M574" s="2104"/>
      <c r="N574" s="2104"/>
      <c r="O574" s="2104"/>
      <c r="P574" s="2104"/>
      <c r="Q574" s="2104"/>
      <c r="R574" s="2104"/>
      <c r="S574" s="2104"/>
      <c r="T574" s="2104"/>
      <c r="U574" s="2104"/>
      <c r="V574" s="2104"/>
      <c r="W574" s="2104"/>
      <c r="X574" s="2104"/>
      <c r="Y574" s="2104"/>
      <c r="Z574" s="2104"/>
      <c r="AA574" s="2104"/>
      <c r="AB574" s="2104"/>
      <c r="AC574" s="2104"/>
      <c r="AD574" s="2104"/>
      <c r="AE574" s="2104"/>
      <c r="AF574" s="2104"/>
      <c r="AG574" s="2104"/>
      <c r="AH574" s="2104"/>
      <c r="AI574" s="2104"/>
      <c r="AJ574" s="2104"/>
      <c r="AK574" s="2104"/>
      <c r="AL574" s="2104"/>
      <c r="AM574" s="2104"/>
      <c r="AN574" s="2104"/>
      <c r="AO574" s="2104"/>
      <c r="AP574" s="2104"/>
      <c r="AR574" s="3479"/>
      <c r="AW574" s="3371"/>
    </row>
    <row r="575" s="3330" customFormat="1" customHeight="1" spans="4:49">
      <c r="D575" s="2104"/>
      <c r="E575" s="2104"/>
      <c r="F575" s="2104"/>
      <c r="G575" s="2104"/>
      <c r="H575" s="2104"/>
      <c r="I575" s="2104"/>
      <c r="J575" s="2104"/>
      <c r="K575" s="2104"/>
      <c r="L575" s="2104"/>
      <c r="M575" s="2104"/>
      <c r="N575" s="2104"/>
      <c r="O575" s="2104"/>
      <c r="P575" s="2104"/>
      <c r="Q575" s="2104"/>
      <c r="R575" s="2104"/>
      <c r="S575" s="2104"/>
      <c r="T575" s="2104"/>
      <c r="U575" s="2104"/>
      <c r="V575" s="2104"/>
      <c r="W575" s="2104"/>
      <c r="X575" s="2104"/>
      <c r="Y575" s="2104"/>
      <c r="Z575" s="2104"/>
      <c r="AA575" s="2104"/>
      <c r="AB575" s="2104"/>
      <c r="AC575" s="2104"/>
      <c r="AD575" s="2104"/>
      <c r="AE575" s="2104"/>
      <c r="AF575" s="2104"/>
      <c r="AG575" s="2104"/>
      <c r="AH575" s="2104"/>
      <c r="AI575" s="2104"/>
      <c r="AJ575" s="2104"/>
      <c r="AK575" s="2104"/>
      <c r="AL575" s="2104"/>
      <c r="AM575" s="2104"/>
      <c r="AN575" s="2104"/>
      <c r="AO575" s="2104"/>
      <c r="AP575" s="2104"/>
      <c r="AR575" s="3479"/>
      <c r="AW575" s="3371"/>
    </row>
    <row r="576" s="3330" customFormat="1" customHeight="1" spans="4:49">
      <c r="D576" s="2104"/>
      <c r="E576" s="2104"/>
      <c r="F576" s="2104"/>
      <c r="G576" s="2104"/>
      <c r="H576" s="2104"/>
      <c r="I576" s="2104"/>
      <c r="J576" s="2104"/>
      <c r="K576" s="2104"/>
      <c r="L576" s="2104"/>
      <c r="M576" s="2104"/>
      <c r="N576" s="2104"/>
      <c r="O576" s="2104"/>
      <c r="P576" s="2104"/>
      <c r="Q576" s="2104"/>
      <c r="R576" s="2104"/>
      <c r="S576" s="2104"/>
      <c r="T576" s="2104"/>
      <c r="U576" s="2104"/>
      <c r="V576" s="2104"/>
      <c r="W576" s="2104"/>
      <c r="X576" s="2104"/>
      <c r="Y576" s="2104"/>
      <c r="Z576" s="2104"/>
      <c r="AA576" s="2104"/>
      <c r="AB576" s="2104"/>
      <c r="AC576" s="2104"/>
      <c r="AD576" s="2104"/>
      <c r="AE576" s="2104"/>
      <c r="AF576" s="2104"/>
      <c r="AG576" s="2104"/>
      <c r="AH576" s="2104"/>
      <c r="AI576" s="2104"/>
      <c r="AJ576" s="2104"/>
      <c r="AK576" s="2104"/>
      <c r="AL576" s="2104"/>
      <c r="AM576" s="2104"/>
      <c r="AN576" s="2104"/>
      <c r="AO576" s="2104"/>
      <c r="AP576" s="2104"/>
      <c r="AR576" s="3479"/>
      <c r="AW576" s="3371"/>
    </row>
    <row r="577" s="3330" customFormat="1" customHeight="1" spans="4:49">
      <c r="D577" s="2104"/>
      <c r="E577" s="2104"/>
      <c r="F577" s="2104"/>
      <c r="G577" s="2104"/>
      <c r="H577" s="2104"/>
      <c r="I577" s="2104"/>
      <c r="J577" s="2104"/>
      <c r="K577" s="2104"/>
      <c r="L577" s="2104"/>
      <c r="M577" s="2104"/>
      <c r="N577" s="2104"/>
      <c r="O577" s="2104"/>
      <c r="P577" s="2104"/>
      <c r="Q577" s="2104"/>
      <c r="R577" s="2104"/>
      <c r="S577" s="2104"/>
      <c r="T577" s="2104"/>
      <c r="U577" s="2104"/>
      <c r="V577" s="2104"/>
      <c r="W577" s="2104"/>
      <c r="X577" s="2104"/>
      <c r="Y577" s="2104"/>
      <c r="Z577" s="2104"/>
      <c r="AA577" s="2104"/>
      <c r="AB577" s="2104"/>
      <c r="AC577" s="2104"/>
      <c r="AD577" s="2104"/>
      <c r="AE577" s="2104"/>
      <c r="AF577" s="2104"/>
      <c r="AG577" s="2104"/>
      <c r="AH577" s="2104"/>
      <c r="AI577" s="2104"/>
      <c r="AJ577" s="2104"/>
      <c r="AK577" s="2104"/>
      <c r="AL577" s="2104"/>
      <c r="AM577" s="2104"/>
      <c r="AN577" s="2104"/>
      <c r="AO577" s="2104"/>
      <c r="AP577" s="2104"/>
      <c r="AR577" s="3479"/>
      <c r="AW577" s="3371"/>
    </row>
    <row r="578" s="3330" customFormat="1" customHeight="1" spans="3:49">
      <c r="C578" s="3330">
        <f>+C570+1</f>
        <v>8</v>
      </c>
      <c r="D578" s="3330" t="s">
        <v>1939</v>
      </c>
      <c r="AR578" s="3479"/>
      <c r="AW578" s="3371"/>
    </row>
    <row r="579" s="3330" customFormat="1" customHeight="1" spans="44:49">
      <c r="AR579" s="3479"/>
      <c r="AW579" s="3371"/>
    </row>
    <row r="580" s="3330" customFormat="1" customHeight="1" spans="1:49">
      <c r="A580" s="3340"/>
      <c r="B580" s="64"/>
      <c r="C580" s="3504" t="s">
        <v>1941</v>
      </c>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2682"/>
      <c r="AC580" s="2682"/>
      <c r="AD580" s="2682"/>
      <c r="AE580" s="2682"/>
      <c r="AF580" s="2682"/>
      <c r="AG580" s="2682"/>
      <c r="AH580" s="2682"/>
      <c r="AI580" s="3326"/>
      <c r="AJ580" s="2682"/>
      <c r="AK580" s="2682"/>
      <c r="AL580" s="2682"/>
      <c r="AM580" s="2682"/>
      <c r="AN580" s="2682"/>
      <c r="AR580" s="3479"/>
      <c r="AW580" s="3371"/>
    </row>
    <row r="581" s="3330" customFormat="1" ht="6" customHeight="1" spans="1:49">
      <c r="A581" s="3340"/>
      <c r="B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2682"/>
      <c r="AC581" s="2682"/>
      <c r="AD581" s="2682"/>
      <c r="AE581" s="2682"/>
      <c r="AF581" s="2682"/>
      <c r="AG581" s="2682"/>
      <c r="AH581" s="2682"/>
      <c r="AI581" s="3326"/>
      <c r="AJ581" s="2682"/>
      <c r="AK581" s="2682"/>
      <c r="AL581" s="2682"/>
      <c r="AM581" s="2682"/>
      <c r="AN581" s="2682"/>
      <c r="AR581" s="3479"/>
      <c r="AW581" s="3371"/>
    </row>
    <row r="582" s="3330" customFormat="1" ht="23.25" customHeight="1" spans="1:49">
      <c r="A582" s="3340"/>
      <c r="B582" s="64"/>
      <c r="C582" s="5036" t="s">
        <v>1942</v>
      </c>
      <c r="D582" s="3341"/>
      <c r="E582" s="3341"/>
      <c r="F582" s="3341"/>
      <c r="G582" s="3341"/>
      <c r="H582" s="3341"/>
      <c r="I582" s="3341"/>
      <c r="J582" s="3341"/>
      <c r="K582" s="3341"/>
      <c r="L582" s="3341"/>
      <c r="M582" s="3341"/>
      <c r="N582" s="3341"/>
      <c r="O582" s="3341"/>
      <c r="P582" s="3341"/>
      <c r="Q582" s="3341"/>
      <c r="R582" s="3341"/>
      <c r="S582" s="3341"/>
      <c r="T582" s="3341"/>
      <c r="U582" s="3341"/>
      <c r="V582" s="3341"/>
      <c r="W582" s="3341"/>
      <c r="X582" s="3341"/>
      <c r="Y582" s="3341"/>
      <c r="Z582" s="3341"/>
      <c r="AA582" s="3341"/>
      <c r="AB582" s="3341"/>
      <c r="AC582" s="3341"/>
      <c r="AD582" s="3341"/>
      <c r="AE582" s="3341"/>
      <c r="AF582" s="3341"/>
      <c r="AG582" s="3341"/>
      <c r="AH582" s="3341"/>
      <c r="AI582" s="3341"/>
      <c r="AJ582" s="3341"/>
      <c r="AK582" s="3341"/>
      <c r="AL582" s="3341"/>
      <c r="AM582" s="3341"/>
      <c r="AN582" s="3341"/>
      <c r="AO582"/>
      <c r="AP582"/>
      <c r="AR582" s="3479"/>
      <c r="AW582" s="3371"/>
    </row>
    <row r="583" s="3330" customFormat="1" ht="4.5" customHeight="1" spans="1:49">
      <c r="A583" s="3340"/>
      <c r="B583" s="64"/>
      <c r="C583" s="3339"/>
      <c r="D583" s="3341"/>
      <c r="E583" s="3341"/>
      <c r="F583" s="3341"/>
      <c r="G583" s="3341"/>
      <c r="H583" s="3341"/>
      <c r="I583" s="3341"/>
      <c r="J583" s="3341"/>
      <c r="K583" s="3341"/>
      <c r="L583" s="3341"/>
      <c r="M583" s="3341"/>
      <c r="N583" s="3341"/>
      <c r="O583" s="3341"/>
      <c r="P583" s="3341"/>
      <c r="Q583" s="3341"/>
      <c r="R583" s="3341"/>
      <c r="S583" s="3341"/>
      <c r="T583" s="3341"/>
      <c r="U583" s="3341"/>
      <c r="V583" s="3341"/>
      <c r="W583" s="3341"/>
      <c r="X583" s="3341"/>
      <c r="Y583" s="3341"/>
      <c r="Z583" s="3341"/>
      <c r="AA583" s="3341"/>
      <c r="AB583" s="3341"/>
      <c r="AC583" s="3341"/>
      <c r="AD583" s="3341"/>
      <c r="AE583" s="3341"/>
      <c r="AF583" s="3341"/>
      <c r="AG583" s="3341"/>
      <c r="AH583" s="3341"/>
      <c r="AI583" s="3341"/>
      <c r="AJ583" s="3341"/>
      <c r="AK583" s="3341"/>
      <c r="AL583" s="3341"/>
      <c r="AM583" s="3341"/>
      <c r="AN583" s="3341"/>
      <c r="AR583" s="3479"/>
      <c r="AW583" s="3371"/>
    </row>
    <row r="584" s="3330" customFormat="1" customHeight="1" spans="1:49">
      <c r="A584" s="3340"/>
      <c r="B584"/>
      <c r="C584" s="3505" t="s">
        <v>1943</v>
      </c>
      <c r="D584"/>
      <c r="E584"/>
      <c r="F584"/>
      <c r="G584"/>
      <c r="H584"/>
      <c r="I584"/>
      <c r="J584"/>
      <c r="K584" s="3341"/>
      <c r="L584" s="3341"/>
      <c r="M584" s="3341"/>
      <c r="N584" s="3341"/>
      <c r="O584" s="3341"/>
      <c r="P584" s="3341"/>
      <c r="Q584" s="3341"/>
      <c r="R584" s="3341"/>
      <c r="S584" s="3341"/>
      <c r="T584" s="3341"/>
      <c r="U584" s="3341"/>
      <c r="V584" s="3341"/>
      <c r="W584" s="3341"/>
      <c r="X584" s="3341"/>
      <c r="Y584" s="3341"/>
      <c r="Z584" s="3341"/>
      <c r="AA584" s="3341"/>
      <c r="AB584" s="3341"/>
      <c r="AC584" s="3341"/>
      <c r="AD584" s="3341"/>
      <c r="AE584" s="3341"/>
      <c r="AF584" s="3341"/>
      <c r="AG584" s="3341"/>
      <c r="AH584" s="3341"/>
      <c r="AI584" s="3341"/>
      <c r="AJ584" s="3341"/>
      <c r="AK584" s="3341"/>
      <c r="AL584" s="3341"/>
      <c r="AM584" s="3341"/>
      <c r="AN584" s="3341"/>
      <c r="AR584" s="3479"/>
      <c r="AW584" s="3371"/>
    </row>
    <row r="585" s="3330" customFormat="1" customHeight="1" spans="1:49">
      <c r="A585" s="3340"/>
      <c r="B585"/>
      <c r="C585" s="94" t="s">
        <v>732</v>
      </c>
      <c r="D585" s="94"/>
      <c r="E585" s="3506" t="s">
        <v>1944</v>
      </c>
      <c r="F585"/>
      <c r="G585"/>
      <c r="H585"/>
      <c r="I585"/>
      <c r="J585"/>
      <c r="K585" s="3341"/>
      <c r="L585" s="3341"/>
      <c r="M585" s="3341"/>
      <c r="N585" s="3341"/>
      <c r="O585" s="3341"/>
      <c r="P585" s="3341"/>
      <c r="Q585" s="3341"/>
      <c r="R585" s="3341"/>
      <c r="S585" s="3341"/>
      <c r="T585" s="3341"/>
      <c r="U585" s="3341"/>
      <c r="V585" s="3341"/>
      <c r="W585" s="3341"/>
      <c r="X585" s="3341"/>
      <c r="Y585" s="3341"/>
      <c r="Z585" s="3341"/>
      <c r="AA585" s="3341"/>
      <c r="AB585" s="3341"/>
      <c r="AC585" s="3341"/>
      <c r="AD585" s="3341"/>
      <c r="AE585" s="3341"/>
      <c r="AF585" s="3341"/>
      <c r="AG585" s="3341"/>
      <c r="AH585" s="3341"/>
      <c r="AI585" s="3341"/>
      <c r="AJ585" s="3341"/>
      <c r="AK585" s="3341"/>
      <c r="AL585" s="3341"/>
      <c r="AM585" s="3341"/>
      <c r="AN585" s="3341"/>
      <c r="AR585" s="3479"/>
      <c r="AW585" s="3371"/>
    </row>
    <row r="586" s="3330" customFormat="1" customHeight="1" spans="1:49">
      <c r="A586" s="3340"/>
      <c r="B586"/>
      <c r="C586" s="3330">
        <v>1</v>
      </c>
      <c r="E586" s="3484" t="s">
        <v>1945</v>
      </c>
      <c r="F586" s="3339"/>
      <c r="G586" s="3339"/>
      <c r="H586" s="3339"/>
      <c r="I586" s="3341"/>
      <c r="J586" s="3341"/>
      <c r="K586" s="3341"/>
      <c r="M586" s="5036" t="s">
        <v>225</v>
      </c>
      <c r="N586" s="3489" t="s">
        <v>1946</v>
      </c>
      <c r="O586"/>
      <c r="P586"/>
      <c r="Q586"/>
      <c r="R586"/>
      <c r="S586"/>
      <c r="T586"/>
      <c r="U586"/>
      <c r="V586"/>
      <c r="W586"/>
      <c r="X586"/>
      <c r="Y586"/>
      <c r="Z586"/>
      <c r="AA586"/>
      <c r="AB586"/>
      <c r="AC586"/>
      <c r="AD586"/>
      <c r="AE586"/>
      <c r="AF586"/>
      <c r="AG586"/>
      <c r="AH586"/>
      <c r="AI586"/>
      <c r="AJ586"/>
      <c r="AK586"/>
      <c r="AL586"/>
      <c r="AM586"/>
      <c r="AN586"/>
      <c r="AO586"/>
      <c r="AP586"/>
      <c r="AR586" s="3479"/>
      <c r="AW586" s="3371"/>
    </row>
    <row r="587" s="3330" customFormat="1" customHeight="1" spans="1:49">
      <c r="A587" s="3340"/>
      <c r="B587"/>
      <c r="C587" s="3330">
        <f>+C586+1</f>
        <v>2</v>
      </c>
      <c r="E587" s="3484" t="s">
        <v>1947</v>
      </c>
      <c r="F587" s="3339"/>
      <c r="G587" s="3339"/>
      <c r="H587" s="3339"/>
      <c r="I587" s="3341"/>
      <c r="J587" s="3341"/>
      <c r="K587" s="3341"/>
      <c r="M587" s="5036" t="s">
        <v>225</v>
      </c>
      <c r="N587" s="3508" t="s">
        <v>1948</v>
      </c>
      <c r="O587" s="2104"/>
      <c r="P587" s="2104"/>
      <c r="Q587" s="2104"/>
      <c r="R587" s="2104"/>
      <c r="S587" s="2104"/>
      <c r="T587" s="2104"/>
      <c r="U587" s="2104"/>
      <c r="V587" s="2104"/>
      <c r="W587" s="2104"/>
      <c r="X587" s="2104"/>
      <c r="Y587" s="2104"/>
      <c r="Z587" s="2104"/>
      <c r="AA587" s="2104"/>
      <c r="AB587" s="2104"/>
      <c r="AC587" s="2104"/>
      <c r="AD587" s="2104"/>
      <c r="AE587" s="2104"/>
      <c r="AF587" s="2104"/>
      <c r="AG587" s="2104"/>
      <c r="AH587" s="2104"/>
      <c r="AI587" s="2104"/>
      <c r="AJ587" s="2104"/>
      <c r="AK587" s="2104"/>
      <c r="AL587" s="2104"/>
      <c r="AM587" s="2104"/>
      <c r="AN587" s="2104"/>
      <c r="AO587" s="2104"/>
      <c r="AP587" s="2104"/>
      <c r="AR587" s="3479"/>
      <c r="AW587" s="3371"/>
    </row>
    <row r="588" s="3330" customFormat="1" customHeight="1" spans="1:49">
      <c r="A588" s="3340"/>
      <c r="B588"/>
      <c r="E588" s="3484"/>
      <c r="F588" s="3339"/>
      <c r="G588" s="3339"/>
      <c r="H588" s="3339"/>
      <c r="I588" s="3341"/>
      <c r="J588" s="3341"/>
      <c r="K588" s="3341"/>
      <c r="M588" s="3339"/>
      <c r="N588" s="2104"/>
      <c r="O588" s="2104"/>
      <c r="P588" s="2104"/>
      <c r="Q588" s="2104"/>
      <c r="R588" s="2104"/>
      <c r="S588" s="2104"/>
      <c r="T588" s="2104"/>
      <c r="U588" s="2104"/>
      <c r="V588" s="2104"/>
      <c r="W588" s="2104"/>
      <c r="X588" s="2104"/>
      <c r="Y588" s="2104"/>
      <c r="Z588" s="2104"/>
      <c r="AA588" s="2104"/>
      <c r="AB588" s="2104"/>
      <c r="AC588" s="2104"/>
      <c r="AD588" s="2104"/>
      <c r="AE588" s="2104"/>
      <c r="AF588" s="2104"/>
      <c r="AG588" s="2104"/>
      <c r="AH588" s="2104"/>
      <c r="AI588" s="2104"/>
      <c r="AJ588" s="2104"/>
      <c r="AK588" s="2104"/>
      <c r="AL588" s="2104"/>
      <c r="AM588" s="2104"/>
      <c r="AN588" s="2104"/>
      <c r="AO588" s="2104"/>
      <c r="AP588" s="2104"/>
      <c r="AR588" s="3479"/>
      <c r="AW588" s="3371"/>
    </row>
    <row r="589" s="3330" customFormat="1" customHeight="1" spans="1:49">
      <c r="A589" s="3340"/>
      <c r="B589"/>
      <c r="C589" s="3330">
        <f>C587+1</f>
        <v>3</v>
      </c>
      <c r="E589" s="3484" t="s">
        <v>1917</v>
      </c>
      <c r="F589" s="3339"/>
      <c r="G589" s="3339"/>
      <c r="H589" s="3339"/>
      <c r="I589" s="3341"/>
      <c r="J589" s="3341"/>
      <c r="K589" s="3341"/>
      <c r="M589" s="5036" t="s">
        <v>225</v>
      </c>
      <c r="N589" s="3489" t="s">
        <v>1949</v>
      </c>
      <c r="O589"/>
      <c r="P589"/>
      <c r="Q589"/>
      <c r="R589"/>
      <c r="S589"/>
      <c r="T589"/>
      <c r="U589"/>
      <c r="V589"/>
      <c r="W589"/>
      <c r="X589"/>
      <c r="Y589"/>
      <c r="Z589"/>
      <c r="AA589"/>
      <c r="AB589"/>
      <c r="AC589"/>
      <c r="AD589"/>
      <c r="AE589"/>
      <c r="AF589"/>
      <c r="AG589"/>
      <c r="AH589"/>
      <c r="AI589"/>
      <c r="AJ589"/>
      <c r="AK589"/>
      <c r="AL589"/>
      <c r="AM589"/>
      <c r="AN589"/>
      <c r="AO589"/>
      <c r="AP589"/>
      <c r="AR589" s="3479"/>
      <c r="AW589" s="3371"/>
    </row>
    <row r="590" s="3330" customFormat="1" customHeight="1" spans="1:49">
      <c r="A590" s="3340"/>
      <c r="B590"/>
      <c r="C590" s="3330">
        <f>+C589+1</f>
        <v>4</v>
      </c>
      <c r="E590" s="3484" t="s">
        <v>1950</v>
      </c>
      <c r="F590" s="3339"/>
      <c r="G590" s="3339"/>
      <c r="H590" s="3339"/>
      <c r="I590" s="3341"/>
      <c r="J590" s="3341"/>
      <c r="K590" s="3341"/>
      <c r="M590" s="5036" t="s">
        <v>225</v>
      </c>
      <c r="N590" s="2104" t="s">
        <v>1951</v>
      </c>
      <c r="O590" s="2104"/>
      <c r="P590" s="2104"/>
      <c r="Q590" s="2104"/>
      <c r="R590" s="2104"/>
      <c r="S590" s="2104"/>
      <c r="T590" s="2104"/>
      <c r="U590" s="2104"/>
      <c r="V590" s="2104"/>
      <c r="W590" s="2104"/>
      <c r="X590" s="2104"/>
      <c r="Y590" s="2104"/>
      <c r="Z590" s="2104"/>
      <c r="AA590" s="2104"/>
      <c r="AB590" s="2104"/>
      <c r="AC590" s="2104"/>
      <c r="AD590" s="2104"/>
      <c r="AE590" s="2104"/>
      <c r="AF590" s="2104"/>
      <c r="AG590" s="2104"/>
      <c r="AH590" s="2104"/>
      <c r="AI590" s="2104"/>
      <c r="AJ590" s="2104"/>
      <c r="AK590" s="2104"/>
      <c r="AL590" s="2104"/>
      <c r="AM590" s="2104"/>
      <c r="AN590" s="2104"/>
      <c r="AO590" s="2104"/>
      <c r="AP590" s="2104"/>
      <c r="AR590" s="3479"/>
      <c r="AW590" s="3371"/>
    </row>
    <row r="591" s="3330" customFormat="1" customHeight="1" spans="1:49">
      <c r="A591" s="3340"/>
      <c r="B591"/>
      <c r="E591" s="3488"/>
      <c r="F591" s="3339"/>
      <c r="G591" s="3339"/>
      <c r="H591" s="3339"/>
      <c r="I591" s="3341"/>
      <c r="J591" s="3341"/>
      <c r="K591" s="3341"/>
      <c r="M591" s="3341"/>
      <c r="N591" s="2104"/>
      <c r="O591" s="2104"/>
      <c r="P591" s="2104"/>
      <c r="Q591" s="2104"/>
      <c r="R591" s="2104"/>
      <c r="S591" s="2104"/>
      <c r="T591" s="2104"/>
      <c r="U591" s="2104"/>
      <c r="V591" s="2104"/>
      <c r="W591" s="2104"/>
      <c r="X591" s="2104"/>
      <c r="Y591" s="2104"/>
      <c r="Z591" s="2104"/>
      <c r="AA591" s="2104"/>
      <c r="AB591" s="2104"/>
      <c r="AC591" s="2104"/>
      <c r="AD591" s="2104"/>
      <c r="AE591" s="2104"/>
      <c r="AF591" s="2104"/>
      <c r="AG591" s="2104"/>
      <c r="AH591" s="2104"/>
      <c r="AI591" s="2104"/>
      <c r="AJ591" s="2104"/>
      <c r="AK591" s="2104"/>
      <c r="AL591" s="2104"/>
      <c r="AM591" s="2104"/>
      <c r="AN591" s="2104"/>
      <c r="AO591" s="2104"/>
      <c r="AP591" s="2104"/>
      <c r="AR591" s="3479"/>
      <c r="AW591" s="3371"/>
    </row>
    <row r="592" s="3330" customFormat="1" customHeight="1" spans="1:49">
      <c r="A592" s="3340"/>
      <c r="B592"/>
      <c r="C592" s="3330">
        <f>+C590+1</f>
        <v>5</v>
      </c>
      <c r="E592" s="3484" t="s">
        <v>1952</v>
      </c>
      <c r="F592" s="3339"/>
      <c r="G592" s="3339"/>
      <c r="H592" s="3339"/>
      <c r="I592" s="3341"/>
      <c r="J592" s="3341"/>
      <c r="K592" s="3341"/>
      <c r="M592" s="5036" t="s">
        <v>225</v>
      </c>
      <c r="N592" t="s">
        <v>1953</v>
      </c>
      <c r="O592" s="64"/>
      <c r="P592" s="64"/>
      <c r="Q592" s="64"/>
      <c r="R592" s="64"/>
      <c r="S592" s="64"/>
      <c r="T592" s="64"/>
      <c r="U592" s="64"/>
      <c r="V592" s="64"/>
      <c r="W592" s="64"/>
      <c r="X592" s="64"/>
      <c r="Y592" s="64"/>
      <c r="Z592" s="64"/>
      <c r="AA592" s="3341"/>
      <c r="AB592" s="3341"/>
      <c r="AC592" s="3341"/>
      <c r="AD592" s="3341"/>
      <c r="AE592" s="3341"/>
      <c r="AF592" s="3341"/>
      <c r="AG592" s="3341"/>
      <c r="AH592" s="3341"/>
      <c r="AI592" s="3341"/>
      <c r="AJ592" s="3341"/>
      <c r="AK592" s="3341"/>
      <c r="AL592" s="3341"/>
      <c r="AM592" s="3341"/>
      <c r="AN592" s="3341"/>
      <c r="AR592" s="3479"/>
      <c r="AW592" s="3371"/>
    </row>
    <row r="593" s="3330" customFormat="1" spans="1:49">
      <c r="A593" s="3340"/>
      <c r="B593"/>
      <c r="C593" s="3330">
        <f>+C592+1</f>
        <v>6</v>
      </c>
      <c r="E593" s="3484" t="s">
        <v>1954</v>
      </c>
      <c r="F593" s="3339"/>
      <c r="G593" s="3339"/>
      <c r="H593" s="3339"/>
      <c r="I593" s="3341"/>
      <c r="J593" s="3341"/>
      <c r="K593" s="3341"/>
      <c r="M593" s="5036" t="s">
        <v>225</v>
      </c>
      <c r="N593" s="2104" t="s">
        <v>1955</v>
      </c>
      <c r="O593" s="2104"/>
      <c r="P593" s="2104"/>
      <c r="Q593" s="2104"/>
      <c r="R593" s="2104"/>
      <c r="S593" s="2104"/>
      <c r="T593" s="2104"/>
      <c r="U593" s="2104"/>
      <c r="V593" s="2104"/>
      <c r="W593" s="2104"/>
      <c r="X593" s="2104"/>
      <c r="Y593" s="2104"/>
      <c r="Z593" s="2104"/>
      <c r="AA593" s="2104"/>
      <c r="AB593" s="2104"/>
      <c r="AC593" s="2104"/>
      <c r="AD593" s="2104"/>
      <c r="AE593" s="2104"/>
      <c r="AF593" s="2104"/>
      <c r="AG593" s="2104"/>
      <c r="AH593" s="2104"/>
      <c r="AI593" s="2104"/>
      <c r="AJ593" s="2104"/>
      <c r="AK593" s="2104"/>
      <c r="AL593" s="2104"/>
      <c r="AM593" s="2104"/>
      <c r="AN593" s="2104"/>
      <c r="AO593" s="2104"/>
      <c r="AP593" s="2104"/>
      <c r="AR593" s="3479"/>
      <c r="AW593" s="3371"/>
    </row>
    <row r="594" s="3330" customFormat="1" spans="1:49">
      <c r="A594" s="3340"/>
      <c r="B594"/>
      <c r="E594" s="3484"/>
      <c r="F594" s="3339"/>
      <c r="G594" s="3339"/>
      <c r="H594" s="3339"/>
      <c r="I594" s="3341"/>
      <c r="J594" s="3341"/>
      <c r="K594" s="3341"/>
      <c r="M594" s="3339"/>
      <c r="N594" s="2104"/>
      <c r="O594" s="2104"/>
      <c r="P594" s="2104"/>
      <c r="Q594" s="2104"/>
      <c r="R594" s="2104"/>
      <c r="S594" s="2104"/>
      <c r="T594" s="2104"/>
      <c r="U594" s="2104"/>
      <c r="V594" s="2104"/>
      <c r="W594" s="2104"/>
      <c r="X594" s="2104"/>
      <c r="Y594" s="2104"/>
      <c r="Z594" s="2104"/>
      <c r="AA594" s="2104"/>
      <c r="AB594" s="2104"/>
      <c r="AC594" s="2104"/>
      <c r="AD594" s="2104"/>
      <c r="AE594" s="2104"/>
      <c r="AF594" s="2104"/>
      <c r="AG594" s="2104"/>
      <c r="AH594" s="2104"/>
      <c r="AI594" s="2104"/>
      <c r="AJ594" s="2104"/>
      <c r="AK594" s="2104"/>
      <c r="AL594" s="2104"/>
      <c r="AM594" s="2104"/>
      <c r="AN594" s="2104"/>
      <c r="AO594" s="2104"/>
      <c r="AP594" s="2104"/>
      <c r="AR594" s="3479"/>
      <c r="AW594" s="3371"/>
    </row>
    <row r="595" s="3330" customFormat="1" spans="1:49">
      <c r="A595" s="3340"/>
      <c r="B595"/>
      <c r="E595" s="3488"/>
      <c r="F595" s="3339"/>
      <c r="G595" s="3339"/>
      <c r="H595" s="3339"/>
      <c r="I595" s="3341"/>
      <c r="J595" s="3341"/>
      <c r="K595" s="3341"/>
      <c r="L595" s="3341"/>
      <c r="M595" s="3341"/>
      <c r="N595" s="2104"/>
      <c r="O595" s="2104"/>
      <c r="P595" s="2104"/>
      <c r="Q595" s="2104"/>
      <c r="R595" s="2104"/>
      <c r="S595" s="2104"/>
      <c r="T595" s="2104"/>
      <c r="U595" s="2104"/>
      <c r="V595" s="2104"/>
      <c r="W595" s="2104"/>
      <c r="X595" s="2104"/>
      <c r="Y595" s="2104"/>
      <c r="Z595" s="2104"/>
      <c r="AA595" s="2104"/>
      <c r="AB595" s="2104"/>
      <c r="AC595" s="2104"/>
      <c r="AD595" s="2104"/>
      <c r="AE595" s="2104"/>
      <c r="AF595" s="2104"/>
      <c r="AG595" s="2104"/>
      <c r="AH595" s="2104"/>
      <c r="AI595" s="2104"/>
      <c r="AJ595" s="2104"/>
      <c r="AK595" s="2104"/>
      <c r="AL595" s="2104"/>
      <c r="AM595" s="2104"/>
      <c r="AN595" s="2104"/>
      <c r="AO595" s="2104"/>
      <c r="AP595" s="2104"/>
      <c r="AR595" s="3479"/>
      <c r="AW595" s="3371"/>
    </row>
    <row r="596" s="3330" customFormat="1" customHeight="1" spans="1:49">
      <c r="A596" s="3340"/>
      <c r="B596"/>
      <c r="C596" s="3330">
        <f>+C593+1</f>
        <v>7</v>
      </c>
      <c r="E596" s="3484" t="str">
        <f>[69]Catatan!$F$2191</f>
        <v>Denda Keterlambatan</v>
      </c>
      <c r="F596" s="3339"/>
      <c r="G596" s="3339"/>
      <c r="H596" s="3339"/>
      <c r="I596" s="3341"/>
      <c r="J596" s="3341"/>
      <c r="K596" s="3341"/>
      <c r="M596" s="5036" t="s">
        <v>225</v>
      </c>
      <c r="N596" s="2088" t="s">
        <v>1956</v>
      </c>
      <c r="O596" s="64"/>
      <c r="P596" s="64"/>
      <c r="Q596" s="64"/>
      <c r="R596" s="64"/>
      <c r="S596" s="64"/>
      <c r="T596" s="64"/>
      <c r="U596" s="64"/>
      <c r="V596" s="64"/>
      <c r="W596" s="64"/>
      <c r="X596" s="64"/>
      <c r="Y596" s="64"/>
      <c r="Z596" s="64"/>
      <c r="AA596" s="3341"/>
      <c r="AB596" s="3341"/>
      <c r="AC596" s="3341"/>
      <c r="AD596" s="3341"/>
      <c r="AE596" s="3341"/>
      <c r="AF596" s="3341"/>
      <c r="AG596" s="3341"/>
      <c r="AH596" s="3341"/>
      <c r="AI596" s="3341"/>
      <c r="AJ596" s="3341"/>
      <c r="AK596" s="3341"/>
      <c r="AL596" s="3341"/>
      <c r="AM596" s="3341"/>
      <c r="AN596" s="3341"/>
      <c r="AR596" s="3479"/>
      <c r="AW596" s="3371"/>
    </row>
    <row r="597" s="3330" customFormat="1" customHeight="1" spans="1:49">
      <c r="A597" s="3340"/>
      <c r="B597"/>
      <c r="C597" s="3330">
        <f>+C596+1</f>
        <v>8</v>
      </c>
      <c r="E597" s="3484" t="str">
        <f>[69]Catatan!$F$2195</f>
        <v>Agunan dan Pengikat</v>
      </c>
      <c r="F597" s="3339"/>
      <c r="G597" s="3339"/>
      <c r="H597" s="3339"/>
      <c r="I597" s="3341"/>
      <c r="J597" s="3341"/>
      <c r="K597" s="3341"/>
      <c r="M597" s="5036" t="s">
        <v>225</v>
      </c>
      <c r="N597" t="s">
        <v>1957</v>
      </c>
      <c r="O597"/>
      <c r="P597"/>
      <c r="Q597"/>
      <c r="R597"/>
      <c r="S597" s="64"/>
      <c r="T597" s="64"/>
      <c r="U597" s="64"/>
      <c r="V597" s="64"/>
      <c r="W597" s="64"/>
      <c r="X597" s="64"/>
      <c r="Y597" s="64"/>
      <c r="Z597" s="64"/>
      <c r="AA597" s="3341"/>
      <c r="AB597" s="3341"/>
      <c r="AC597" s="3341"/>
      <c r="AD597" s="3341"/>
      <c r="AE597" s="3341"/>
      <c r="AF597" s="3341"/>
      <c r="AG597" s="3341"/>
      <c r="AH597" s="3341"/>
      <c r="AI597" s="3341"/>
      <c r="AJ597" s="3341"/>
      <c r="AK597" s="3341"/>
      <c r="AL597" s="3341"/>
      <c r="AM597" s="3341"/>
      <c r="AN597" s="3341"/>
      <c r="AR597" s="3479"/>
      <c r="AW597" s="3371"/>
    </row>
    <row r="598" s="3330" customFormat="1" customHeight="1" spans="1:49">
      <c r="A598" s="3340"/>
      <c r="B598"/>
      <c r="E598" s="3488"/>
      <c r="F598" s="3339"/>
      <c r="G598" s="3339"/>
      <c r="H598" s="3339"/>
      <c r="I598" s="3341"/>
      <c r="J598" s="3341"/>
      <c r="K598" s="3341"/>
      <c r="L598" s="3341"/>
      <c r="M598" s="3341"/>
      <c r="N598" s="5059" t="s">
        <v>1958</v>
      </c>
      <c r="O598" s="2104"/>
      <c r="P598" s="2104"/>
      <c r="Q598" s="2104"/>
      <c r="R598" s="2104"/>
      <c r="S598" s="2104"/>
      <c r="T598" s="2104"/>
      <c r="U598" s="2104"/>
      <c r="V598" s="2104"/>
      <c r="W598" s="2104"/>
      <c r="X598" s="2104"/>
      <c r="Y598" s="2104"/>
      <c r="Z598" s="2104"/>
      <c r="AA598" s="2104"/>
      <c r="AB598" s="2104"/>
      <c r="AC598" s="2104"/>
      <c r="AD598" s="2104"/>
      <c r="AE598" s="2104"/>
      <c r="AF598" s="2104"/>
      <c r="AG598" s="2104"/>
      <c r="AH598" s="2104"/>
      <c r="AI598" s="2104"/>
      <c r="AJ598" s="2104"/>
      <c r="AK598" s="2104"/>
      <c r="AL598" s="2104"/>
      <c r="AM598" s="2104"/>
      <c r="AN598" s="2104"/>
      <c r="AO598" s="2104"/>
      <c r="AP598" s="2104"/>
      <c r="AR598" s="3479"/>
      <c r="AW598" s="3371"/>
    </row>
    <row r="599" s="3330" customFormat="1" customHeight="1" spans="1:49">
      <c r="A599" s="3340"/>
      <c r="B599"/>
      <c r="E599" s="3488"/>
      <c r="F599" s="3339"/>
      <c r="G599" s="3339"/>
      <c r="H599" s="3339"/>
      <c r="I599" s="3341"/>
      <c r="J599" s="3341"/>
      <c r="K599" s="3341"/>
      <c r="L599" s="3341"/>
      <c r="M599" s="3341"/>
      <c r="N599" s="2104"/>
      <c r="O599" s="2104"/>
      <c r="P599" s="2104"/>
      <c r="Q599" s="2104"/>
      <c r="R599" s="2104"/>
      <c r="S599" s="2104"/>
      <c r="T599" s="2104"/>
      <c r="U599" s="2104"/>
      <c r="V599" s="2104"/>
      <c r="W599" s="2104"/>
      <c r="X599" s="2104"/>
      <c r="Y599" s="2104"/>
      <c r="Z599" s="2104"/>
      <c r="AA599" s="2104"/>
      <c r="AB599" s="2104"/>
      <c r="AC599" s="2104"/>
      <c r="AD599" s="2104"/>
      <c r="AE599" s="2104"/>
      <c r="AF599" s="2104"/>
      <c r="AG599" s="2104"/>
      <c r="AH599" s="2104"/>
      <c r="AI599" s="2104"/>
      <c r="AJ599" s="2104"/>
      <c r="AK599" s="2104"/>
      <c r="AL599" s="2104"/>
      <c r="AM599" s="2104"/>
      <c r="AN599" s="2104"/>
      <c r="AO599" s="2104"/>
      <c r="AP599" s="2104"/>
      <c r="AR599" s="3479"/>
      <c r="AW599" s="3371"/>
    </row>
    <row r="600" s="3330" customFormat="1" customHeight="1" spans="1:49">
      <c r="A600" s="3340"/>
      <c r="B600"/>
      <c r="E600" s="3488"/>
      <c r="F600" s="3339"/>
      <c r="G600" s="3339"/>
      <c r="H600" s="3339"/>
      <c r="I600" s="3341"/>
      <c r="J600" s="3341"/>
      <c r="K600" s="3341"/>
      <c r="L600" s="3341"/>
      <c r="M600" s="3341"/>
      <c r="N600" s="5044" t="s">
        <v>1959</v>
      </c>
      <c r="O600" s="3386"/>
      <c r="P600" s="3386"/>
      <c r="Q600" s="3386"/>
      <c r="R600" s="3386"/>
      <c r="S600" s="3386"/>
      <c r="T600" s="3386"/>
      <c r="U600" s="3386"/>
      <c r="V600" s="3386"/>
      <c r="W600" s="3386"/>
      <c r="X600" s="3386"/>
      <c r="Y600" s="3386"/>
      <c r="Z600" s="3386"/>
      <c r="AA600" s="3386"/>
      <c r="AB600" s="3386"/>
      <c r="AC600" s="3386"/>
      <c r="AD600" s="3386"/>
      <c r="AE600" s="3386"/>
      <c r="AF600" s="3386"/>
      <c r="AG600" s="3386"/>
      <c r="AH600" s="3386"/>
      <c r="AI600" s="3386"/>
      <c r="AJ600" s="3386"/>
      <c r="AK600" s="3386"/>
      <c r="AL600" s="3386"/>
      <c r="AM600" s="3386"/>
      <c r="AN600" s="3386"/>
      <c r="AO600" s="3386"/>
      <c r="AP600" s="3386"/>
      <c r="AR600" s="3479"/>
      <c r="AW600" s="3371"/>
    </row>
    <row r="601" s="3330" customFormat="1" ht="10.5" customHeight="1" spans="1:49">
      <c r="A601" s="3340"/>
      <c r="B601"/>
      <c r="E601" s="3488"/>
      <c r="F601" s="3339"/>
      <c r="G601" s="3339"/>
      <c r="H601" s="3339"/>
      <c r="I601" s="3341"/>
      <c r="J601" s="3341"/>
      <c r="K601" s="3341"/>
      <c r="L601" s="3341"/>
      <c r="M601" s="3341"/>
      <c r="N601"/>
      <c r="O601" s="3386"/>
      <c r="P601" s="3386"/>
      <c r="Q601" s="3386"/>
      <c r="R601" s="3386"/>
      <c r="S601" s="3386"/>
      <c r="T601" s="3386"/>
      <c r="U601" s="3386"/>
      <c r="V601" s="3386"/>
      <c r="W601" s="3386"/>
      <c r="X601" s="3386"/>
      <c r="Y601" s="3386"/>
      <c r="Z601" s="3386"/>
      <c r="AA601" s="3386"/>
      <c r="AB601" s="3386"/>
      <c r="AC601" s="3386"/>
      <c r="AD601" s="3386"/>
      <c r="AE601" s="3386"/>
      <c r="AF601" s="3386"/>
      <c r="AG601" s="3386"/>
      <c r="AH601" s="3386"/>
      <c r="AI601" s="3386"/>
      <c r="AJ601" s="3386"/>
      <c r="AK601" s="3386"/>
      <c r="AL601" s="3386"/>
      <c r="AM601" s="3386"/>
      <c r="AN601" s="3386"/>
      <c r="AO601" s="3386"/>
      <c r="AP601" s="3386"/>
      <c r="AR601" s="3479"/>
      <c r="AW601" s="3371"/>
    </row>
    <row r="602" s="3330" customFormat="1" customHeight="1" spans="1:49">
      <c r="A602" s="3340"/>
      <c r="B602"/>
      <c r="C602" s="94" t="s">
        <v>735</v>
      </c>
      <c r="D602" s="94"/>
      <c r="E602" s="3506" t="str">
        <f>+'AA2'!M13</f>
        <v>PRK Baru</v>
      </c>
      <c r="F602" s="3339"/>
      <c r="G602" s="3339"/>
      <c r="H602" s="3339"/>
      <c r="I602" s="3341"/>
      <c r="J602" s="3341"/>
      <c r="K602" s="3341"/>
      <c r="L602" s="3341"/>
      <c r="M602" s="3341"/>
      <c r="N602"/>
      <c r="O602" s="3386"/>
      <c r="P602" s="3386"/>
      <c r="Q602" s="3386"/>
      <c r="R602" s="3386"/>
      <c r="S602" s="3386"/>
      <c r="T602" s="3386"/>
      <c r="U602" s="3386"/>
      <c r="V602" s="3386"/>
      <c r="W602" s="3386"/>
      <c r="X602" s="3386"/>
      <c r="Y602" s="3386"/>
      <c r="Z602" s="3386"/>
      <c r="AA602" s="3386"/>
      <c r="AB602" s="3386"/>
      <c r="AC602" s="3386"/>
      <c r="AD602" s="3386"/>
      <c r="AE602" s="3386"/>
      <c r="AF602" s="3386"/>
      <c r="AG602" s="3386"/>
      <c r="AH602" s="3386"/>
      <c r="AI602" s="3386"/>
      <c r="AJ602" s="3386"/>
      <c r="AK602" s="3386"/>
      <c r="AL602" s="3386"/>
      <c r="AM602" s="3386"/>
      <c r="AN602" s="3386"/>
      <c r="AO602" s="3386"/>
      <c r="AP602" s="3386"/>
      <c r="AR602" s="3479"/>
      <c r="AW602" s="3371"/>
    </row>
    <row r="603" s="3330" customFormat="1" customHeight="1" spans="1:49">
      <c r="A603" s="3340"/>
      <c r="B603"/>
      <c r="C603" s="3330">
        <v>1</v>
      </c>
      <c r="E603" s="3484" t="s">
        <v>1945</v>
      </c>
      <c r="F603" s="3339"/>
      <c r="G603" s="3339"/>
      <c r="H603" s="3339"/>
      <c r="I603" s="3341"/>
      <c r="J603" s="3341"/>
      <c r="K603" s="3341"/>
      <c r="M603" s="5036" t="s">
        <v>225</v>
      </c>
      <c r="N603" s="3489" t="s">
        <v>1960</v>
      </c>
      <c r="O603"/>
      <c r="P603"/>
      <c r="Q603"/>
      <c r="R603"/>
      <c r="S603"/>
      <c r="T603"/>
      <c r="U603"/>
      <c r="V603"/>
      <c r="W603"/>
      <c r="X603"/>
      <c r="Y603"/>
      <c r="Z603"/>
      <c r="AA603"/>
      <c r="AB603"/>
      <c r="AC603"/>
      <c r="AD603"/>
      <c r="AE603"/>
      <c r="AF603"/>
      <c r="AG603"/>
      <c r="AH603"/>
      <c r="AI603"/>
      <c r="AJ603"/>
      <c r="AK603"/>
      <c r="AL603"/>
      <c r="AM603"/>
      <c r="AN603"/>
      <c r="AO603"/>
      <c r="AP603"/>
      <c r="AR603" s="3479"/>
      <c r="AW603" s="3371"/>
    </row>
    <row r="604" s="3330" customFormat="1" customHeight="1" spans="1:49">
      <c r="A604" s="3340"/>
      <c r="B604"/>
      <c r="C604" s="3330">
        <f>+C603+1</f>
        <v>2</v>
      </c>
      <c r="E604" s="3484" t="s">
        <v>1947</v>
      </c>
      <c r="F604" s="3339"/>
      <c r="G604" s="3339"/>
      <c r="H604" s="3339"/>
      <c r="I604" s="3341"/>
      <c r="J604" s="3341"/>
      <c r="K604" s="3341"/>
      <c r="M604" s="5036" t="s">
        <v>225</v>
      </c>
      <c r="N604" s="3508" t="s">
        <v>1961</v>
      </c>
      <c r="O604" s="2104"/>
      <c r="P604" s="2104"/>
      <c r="Q604" s="2104"/>
      <c r="R604" s="2104"/>
      <c r="S604" s="2104"/>
      <c r="T604" s="2104"/>
      <c r="U604" s="2104"/>
      <c r="V604" s="2104"/>
      <c r="W604" s="2104"/>
      <c r="X604" s="2104"/>
      <c r="Y604" s="2104"/>
      <c r="Z604" s="2104"/>
      <c r="AA604" s="2104"/>
      <c r="AB604" s="2104"/>
      <c r="AC604" s="2104"/>
      <c r="AD604" s="2104"/>
      <c r="AE604" s="2104"/>
      <c r="AF604" s="2104"/>
      <c r="AG604" s="2104"/>
      <c r="AH604" s="2104"/>
      <c r="AI604" s="2104"/>
      <c r="AJ604" s="2104"/>
      <c r="AK604" s="2104"/>
      <c r="AL604" s="2104"/>
      <c r="AM604" s="2104"/>
      <c r="AN604" s="2104"/>
      <c r="AO604" s="2104"/>
      <c r="AP604" s="2104"/>
      <c r="AR604" s="3479"/>
      <c r="AW604" s="3371"/>
    </row>
    <row r="605" s="3330" customFormat="1" customHeight="1" spans="1:49">
      <c r="A605" s="3340"/>
      <c r="B605"/>
      <c r="E605" s="3484"/>
      <c r="F605" s="3339"/>
      <c r="G605" s="3339"/>
      <c r="H605" s="3339"/>
      <c r="I605" s="3341"/>
      <c r="J605" s="3341"/>
      <c r="K605" s="3341"/>
      <c r="M605" s="3339"/>
      <c r="N605" s="2104"/>
      <c r="O605" s="2104"/>
      <c r="P605" s="2104"/>
      <c r="Q605" s="2104"/>
      <c r="R605" s="2104"/>
      <c r="S605" s="2104"/>
      <c r="T605" s="2104"/>
      <c r="U605" s="2104"/>
      <c r="V605" s="2104"/>
      <c r="W605" s="2104"/>
      <c r="X605" s="2104"/>
      <c r="Y605" s="2104"/>
      <c r="Z605" s="2104"/>
      <c r="AA605" s="2104"/>
      <c r="AB605" s="2104"/>
      <c r="AC605" s="2104"/>
      <c r="AD605" s="2104"/>
      <c r="AE605" s="2104"/>
      <c r="AF605" s="2104"/>
      <c r="AG605" s="2104"/>
      <c r="AH605" s="2104"/>
      <c r="AI605" s="2104"/>
      <c r="AJ605" s="2104"/>
      <c r="AK605" s="2104"/>
      <c r="AL605" s="2104"/>
      <c r="AM605" s="2104"/>
      <c r="AN605" s="2104"/>
      <c r="AO605" s="2104"/>
      <c r="AP605" s="2104"/>
      <c r="AR605" s="3479"/>
      <c r="AW605" s="3371"/>
    </row>
    <row r="606" s="3330" customFormat="1" customHeight="1" spans="1:49">
      <c r="A606" s="3340"/>
      <c r="B606"/>
      <c r="C606" s="3330">
        <f>C604+1</f>
        <v>3</v>
      </c>
      <c r="E606" s="3484" t="s">
        <v>1917</v>
      </c>
      <c r="F606" s="3339"/>
      <c r="G606" s="3339"/>
      <c r="H606" s="3339"/>
      <c r="I606" s="3341"/>
      <c r="J606" s="3341"/>
      <c r="K606" s="3341"/>
      <c r="M606" s="5036" t="s">
        <v>225</v>
      </c>
      <c r="N606" s="3489" t="s">
        <v>1962</v>
      </c>
      <c r="O606"/>
      <c r="P606"/>
      <c r="Q606"/>
      <c r="R606"/>
      <c r="S606"/>
      <c r="T606"/>
      <c r="U606"/>
      <c r="V606"/>
      <c r="W606"/>
      <c r="X606"/>
      <c r="Y606"/>
      <c r="Z606"/>
      <c r="AA606"/>
      <c r="AB606"/>
      <c r="AC606"/>
      <c r="AD606"/>
      <c r="AE606"/>
      <c r="AF606"/>
      <c r="AG606"/>
      <c r="AH606"/>
      <c r="AI606"/>
      <c r="AJ606"/>
      <c r="AK606"/>
      <c r="AL606"/>
      <c r="AM606"/>
      <c r="AN606"/>
      <c r="AO606"/>
      <c r="AP606"/>
      <c r="AR606" s="3479"/>
      <c r="AW606" s="3371"/>
    </row>
    <row r="607" s="3330" customFormat="1" customHeight="1" spans="1:49">
      <c r="A607" s="3340"/>
      <c r="B607"/>
      <c r="C607" s="3330">
        <f>+C606+1</f>
        <v>4</v>
      </c>
      <c r="E607" s="3484" t="s">
        <v>1950</v>
      </c>
      <c r="F607" s="3339"/>
      <c r="G607" s="3339"/>
      <c r="H607" s="3339"/>
      <c r="I607" s="3341"/>
      <c r="J607" s="3341"/>
      <c r="K607" s="3341"/>
      <c r="M607" s="5036" t="s">
        <v>225</v>
      </c>
      <c r="N607" s="2104" t="s">
        <v>1963</v>
      </c>
      <c r="O607" s="2104"/>
      <c r="P607" s="2104"/>
      <c r="Q607" s="2104"/>
      <c r="R607" s="2104"/>
      <c r="S607" s="2104"/>
      <c r="T607" s="2104"/>
      <c r="U607" s="2104"/>
      <c r="V607" s="2104"/>
      <c r="W607" s="2104"/>
      <c r="X607" s="2104"/>
      <c r="Y607" s="2104"/>
      <c r="Z607" s="2104"/>
      <c r="AA607" s="2104"/>
      <c r="AB607" s="2104"/>
      <c r="AC607" s="2104"/>
      <c r="AD607" s="2104"/>
      <c r="AE607" s="2104"/>
      <c r="AF607" s="2104"/>
      <c r="AG607" s="2104"/>
      <c r="AH607" s="2104"/>
      <c r="AI607" s="2104"/>
      <c r="AJ607" s="2104"/>
      <c r="AK607" s="2104"/>
      <c r="AL607" s="2104"/>
      <c r="AM607" s="2104"/>
      <c r="AN607" s="2104"/>
      <c r="AO607" s="2104"/>
      <c r="AP607" s="2104"/>
      <c r="AR607" s="3479"/>
      <c r="AW607" s="3371"/>
    </row>
    <row r="608" s="3330" customFormat="1" customHeight="1" spans="1:49">
      <c r="A608" s="3340"/>
      <c r="B608"/>
      <c r="E608" s="3488"/>
      <c r="F608" s="3339"/>
      <c r="G608" s="3339"/>
      <c r="H608" s="3339"/>
      <c r="I608" s="3341"/>
      <c r="J608" s="3341"/>
      <c r="K608" s="3341"/>
      <c r="M608" s="3341"/>
      <c r="N608" s="2104"/>
      <c r="O608" s="2104"/>
      <c r="P608" s="2104"/>
      <c r="Q608" s="2104"/>
      <c r="R608" s="2104"/>
      <c r="S608" s="2104"/>
      <c r="T608" s="2104"/>
      <c r="U608" s="2104"/>
      <c r="V608" s="2104"/>
      <c r="W608" s="2104"/>
      <c r="X608" s="2104"/>
      <c r="Y608" s="2104"/>
      <c r="Z608" s="2104"/>
      <c r="AA608" s="2104"/>
      <c r="AB608" s="2104"/>
      <c r="AC608" s="2104"/>
      <c r="AD608" s="2104"/>
      <c r="AE608" s="2104"/>
      <c r="AF608" s="2104"/>
      <c r="AG608" s="2104"/>
      <c r="AH608" s="2104"/>
      <c r="AI608" s="2104"/>
      <c r="AJ608" s="2104"/>
      <c r="AK608" s="2104"/>
      <c r="AL608" s="2104"/>
      <c r="AM608" s="2104"/>
      <c r="AN608" s="2104"/>
      <c r="AO608" s="2104"/>
      <c r="AP608" s="2104"/>
      <c r="AR608" s="3479"/>
      <c r="AW608" s="3371"/>
    </row>
    <row r="609" s="3330" customFormat="1" customHeight="1" spans="1:49">
      <c r="A609" s="3340"/>
      <c r="B609"/>
      <c r="C609" s="3330">
        <f>+C607+1</f>
        <v>5</v>
      </c>
      <c r="E609" s="3484" t="s">
        <v>1952</v>
      </c>
      <c r="F609" s="3339"/>
      <c r="G609" s="3339"/>
      <c r="H609" s="3339"/>
      <c r="I609" s="3341"/>
      <c r="J609" s="3341"/>
      <c r="K609" s="3341"/>
      <c r="M609" s="5036" t="s">
        <v>225</v>
      </c>
      <c r="N609" t="s">
        <v>1964</v>
      </c>
      <c r="O609" s="64"/>
      <c r="P609" s="64"/>
      <c r="Q609" s="64"/>
      <c r="R609" s="64"/>
      <c r="S609" s="64"/>
      <c r="T609" s="64"/>
      <c r="U609" s="64"/>
      <c r="V609" s="64"/>
      <c r="W609" s="64"/>
      <c r="X609" s="64"/>
      <c r="Y609" s="64"/>
      <c r="Z609" s="64"/>
      <c r="AA609" s="3341"/>
      <c r="AB609" s="3341"/>
      <c r="AC609" s="3341"/>
      <c r="AD609" s="3341"/>
      <c r="AE609" s="3341"/>
      <c r="AF609" s="3341"/>
      <c r="AG609" s="3341"/>
      <c r="AH609" s="3341"/>
      <c r="AI609" s="3341"/>
      <c r="AJ609" s="3341"/>
      <c r="AK609" s="3341"/>
      <c r="AL609" s="3341"/>
      <c r="AM609" s="3341"/>
      <c r="AN609" s="3341"/>
      <c r="AR609" s="3479"/>
      <c r="AW609" s="3371"/>
    </row>
    <row r="610" s="3330" customFormat="1" customHeight="1" spans="1:49">
      <c r="A610" s="3340"/>
      <c r="B610"/>
      <c r="C610" s="3330">
        <f>+C609+1</f>
        <v>6</v>
      </c>
      <c r="E610" s="3484" t="s">
        <v>1954</v>
      </c>
      <c r="F610" s="3339"/>
      <c r="G610" s="3339"/>
      <c r="H610" s="3339"/>
      <c r="I610" s="3341"/>
      <c r="J610" s="3341"/>
      <c r="K610" s="3341"/>
      <c r="M610" s="5036" t="s">
        <v>225</v>
      </c>
      <c r="N610" s="2104" t="s">
        <v>1965</v>
      </c>
      <c r="O610" s="2104"/>
      <c r="P610" s="2104"/>
      <c r="Q610" s="2104"/>
      <c r="R610" s="2104"/>
      <c r="S610" s="2104"/>
      <c r="T610" s="2104"/>
      <c r="U610" s="2104"/>
      <c r="V610" s="2104"/>
      <c r="W610" s="2104"/>
      <c r="X610" s="2104"/>
      <c r="Y610" s="2104"/>
      <c r="Z610" s="2104"/>
      <c r="AA610" s="2104"/>
      <c r="AB610" s="2104"/>
      <c r="AC610" s="2104"/>
      <c r="AD610" s="2104"/>
      <c r="AE610" s="2104"/>
      <c r="AF610" s="2104"/>
      <c r="AG610" s="2104"/>
      <c r="AH610" s="2104"/>
      <c r="AI610" s="2104"/>
      <c r="AJ610" s="2104"/>
      <c r="AK610" s="2104"/>
      <c r="AL610" s="2104"/>
      <c r="AM610" s="2104"/>
      <c r="AN610" s="2104"/>
      <c r="AO610" s="2104"/>
      <c r="AP610" s="2104"/>
      <c r="AR610" s="3479"/>
      <c r="AW610" s="3371"/>
    </row>
    <row r="611" s="3330" customFormat="1" customHeight="1" spans="1:49">
      <c r="A611" s="3340"/>
      <c r="B611"/>
      <c r="E611" s="3484"/>
      <c r="F611" s="3339"/>
      <c r="G611" s="3339"/>
      <c r="H611" s="3339"/>
      <c r="I611" s="3341"/>
      <c r="J611" s="3341"/>
      <c r="K611" s="3341"/>
      <c r="M611" s="3339"/>
      <c r="N611" s="2104"/>
      <c r="O611" s="2104"/>
      <c r="P611" s="2104"/>
      <c r="Q611" s="2104"/>
      <c r="R611" s="2104"/>
      <c r="S611" s="2104"/>
      <c r="T611" s="2104"/>
      <c r="U611" s="2104"/>
      <c r="V611" s="2104"/>
      <c r="W611" s="2104"/>
      <c r="X611" s="2104"/>
      <c r="Y611" s="2104"/>
      <c r="Z611" s="2104"/>
      <c r="AA611" s="2104"/>
      <c r="AB611" s="2104"/>
      <c r="AC611" s="2104"/>
      <c r="AD611" s="2104"/>
      <c r="AE611" s="2104"/>
      <c r="AF611" s="2104"/>
      <c r="AG611" s="2104"/>
      <c r="AH611" s="2104"/>
      <c r="AI611" s="2104"/>
      <c r="AJ611" s="2104"/>
      <c r="AK611" s="2104"/>
      <c r="AL611" s="2104"/>
      <c r="AM611" s="2104"/>
      <c r="AN611" s="2104"/>
      <c r="AO611" s="2104"/>
      <c r="AP611" s="2104"/>
      <c r="AR611" s="3479"/>
      <c r="AW611" s="3371"/>
    </row>
    <row r="612" s="3330" customFormat="1" customHeight="1" spans="1:49">
      <c r="A612" s="3340"/>
      <c r="B612"/>
      <c r="E612" s="3488"/>
      <c r="F612" s="3339"/>
      <c r="G612" s="3339"/>
      <c r="H612" s="3339"/>
      <c r="I612" s="3341"/>
      <c r="J612" s="3341"/>
      <c r="K612" s="3341"/>
      <c r="L612" s="3341"/>
      <c r="M612" s="3341"/>
      <c r="N612" s="2104"/>
      <c r="O612" s="2104"/>
      <c r="P612" s="2104"/>
      <c r="Q612" s="2104"/>
      <c r="R612" s="2104"/>
      <c r="S612" s="2104"/>
      <c r="T612" s="2104"/>
      <c r="U612" s="2104"/>
      <c r="V612" s="2104"/>
      <c r="W612" s="2104"/>
      <c r="X612" s="2104"/>
      <c r="Y612" s="2104"/>
      <c r="Z612" s="2104"/>
      <c r="AA612" s="2104"/>
      <c r="AB612" s="2104"/>
      <c r="AC612" s="2104"/>
      <c r="AD612" s="2104"/>
      <c r="AE612" s="2104"/>
      <c r="AF612" s="2104"/>
      <c r="AG612" s="2104"/>
      <c r="AH612" s="2104"/>
      <c r="AI612" s="2104"/>
      <c r="AJ612" s="2104"/>
      <c r="AK612" s="2104"/>
      <c r="AL612" s="2104"/>
      <c r="AM612" s="2104"/>
      <c r="AN612" s="2104"/>
      <c r="AO612" s="2104"/>
      <c r="AP612" s="2104"/>
      <c r="AR612" s="3479"/>
      <c r="AW612" s="3371"/>
    </row>
    <row r="613" s="3330" customFormat="1" customHeight="1" spans="1:49">
      <c r="A613" s="3340"/>
      <c r="B613"/>
      <c r="C613" s="3330">
        <f>+C610+1</f>
        <v>7</v>
      </c>
      <c r="E613" s="3484" t="str">
        <f>[69]Catatan!$F$2191</f>
        <v>Denda Keterlambatan</v>
      </c>
      <c r="F613" s="3339"/>
      <c r="G613" s="3339"/>
      <c r="H613" s="3339"/>
      <c r="I613" s="3341"/>
      <c r="J613" s="3341"/>
      <c r="K613" s="3341"/>
      <c r="M613" s="5036" t="s">
        <v>225</v>
      </c>
      <c r="N613" s="2088" t="s">
        <v>1956</v>
      </c>
      <c r="O613" s="64"/>
      <c r="P613" s="64"/>
      <c r="Q613" s="64"/>
      <c r="R613" s="64"/>
      <c r="S613" s="64"/>
      <c r="T613" s="64"/>
      <c r="U613" s="64"/>
      <c r="V613" s="64"/>
      <c r="W613" s="64"/>
      <c r="X613" s="64"/>
      <c r="Y613" s="64"/>
      <c r="Z613" s="64"/>
      <c r="AA613" s="3341"/>
      <c r="AB613" s="3341"/>
      <c r="AC613" s="3341"/>
      <c r="AD613" s="3341"/>
      <c r="AE613" s="3341"/>
      <c r="AF613" s="3341"/>
      <c r="AG613" s="3341"/>
      <c r="AH613" s="3341"/>
      <c r="AI613" s="3341"/>
      <c r="AJ613" s="3341"/>
      <c r="AK613" s="3341"/>
      <c r="AL613" s="3341"/>
      <c r="AM613" s="3341"/>
      <c r="AN613" s="3341"/>
      <c r="AR613" s="3479"/>
      <c r="AW613" s="3371"/>
    </row>
    <row r="614" s="3330" customFormat="1" customHeight="1" spans="1:49">
      <c r="A614" s="3340"/>
      <c r="B614"/>
      <c r="C614" s="3330">
        <f>+C613+1</f>
        <v>8</v>
      </c>
      <c r="E614" s="3484" t="str">
        <f>[69]Catatan!$F$2195</f>
        <v>Agunan dan Pengikat</v>
      </c>
      <c r="F614" s="3339"/>
      <c r="G614" s="3339"/>
      <c r="H614" s="3339"/>
      <c r="I614" s="3341"/>
      <c r="J614" s="3341"/>
      <c r="K614" s="3341"/>
      <c r="M614" s="5036" t="s">
        <v>225</v>
      </c>
      <c r="N614" t="s">
        <v>1957</v>
      </c>
      <c r="O614"/>
      <c r="P614"/>
      <c r="Q614"/>
      <c r="R614"/>
      <c r="S614" s="64"/>
      <c r="T614" s="64"/>
      <c r="U614" s="64"/>
      <c r="V614" s="64"/>
      <c r="W614" s="64"/>
      <c r="X614" s="64"/>
      <c r="Y614" s="64"/>
      <c r="Z614" s="64"/>
      <c r="AA614" s="3341"/>
      <c r="AB614" s="3341"/>
      <c r="AC614" s="3341"/>
      <c r="AD614" s="3341"/>
      <c r="AE614" s="3341"/>
      <c r="AF614" s="3341"/>
      <c r="AG614" s="3341"/>
      <c r="AH614" s="3341"/>
      <c r="AI614" s="3341"/>
      <c r="AJ614" s="3341"/>
      <c r="AK614" s="3341"/>
      <c r="AL614" s="3341"/>
      <c r="AM614" s="3341"/>
      <c r="AN614" s="3341"/>
      <c r="AR614" s="3479"/>
      <c r="AW614" s="3371"/>
    </row>
    <row r="615" s="3330" customFormat="1" customHeight="1" spans="1:49">
      <c r="A615" s="3340"/>
      <c r="B615"/>
      <c r="E615" s="3488"/>
      <c r="F615" s="3339"/>
      <c r="G615" s="3339"/>
      <c r="H615" s="3339"/>
      <c r="I615" s="3341"/>
      <c r="J615" s="3341"/>
      <c r="K615" s="3341"/>
      <c r="L615" s="3341"/>
      <c r="M615" s="3341"/>
      <c r="N615" s="5059" t="s">
        <v>1958</v>
      </c>
      <c r="O615" s="2104"/>
      <c r="P615" s="2104"/>
      <c r="Q615" s="2104"/>
      <c r="R615" s="2104"/>
      <c r="S615" s="2104"/>
      <c r="T615" s="2104"/>
      <c r="U615" s="2104"/>
      <c r="V615" s="2104"/>
      <c r="W615" s="2104"/>
      <c r="X615" s="2104"/>
      <c r="Y615" s="2104"/>
      <c r="Z615" s="2104"/>
      <c r="AA615" s="2104"/>
      <c r="AB615" s="2104"/>
      <c r="AC615" s="2104"/>
      <c r="AD615" s="2104"/>
      <c r="AE615" s="2104"/>
      <c r="AF615" s="2104"/>
      <c r="AG615" s="2104"/>
      <c r="AH615" s="2104"/>
      <c r="AI615" s="2104"/>
      <c r="AJ615" s="2104"/>
      <c r="AK615" s="2104"/>
      <c r="AL615" s="2104"/>
      <c r="AM615" s="2104"/>
      <c r="AN615" s="2104"/>
      <c r="AO615" s="2104"/>
      <c r="AP615" s="2104"/>
      <c r="AR615" s="3479"/>
      <c r="AW615" s="3371"/>
    </row>
    <row r="616" s="3330" customFormat="1" customHeight="1" spans="1:49">
      <c r="A616" s="3340"/>
      <c r="B616"/>
      <c r="E616" s="3488"/>
      <c r="F616" s="3339"/>
      <c r="G616" s="3339"/>
      <c r="H616" s="3339"/>
      <c r="I616" s="3341"/>
      <c r="J616" s="3341"/>
      <c r="K616" s="3341"/>
      <c r="L616" s="3341"/>
      <c r="M616" s="3341"/>
      <c r="N616" s="2104"/>
      <c r="O616" s="2104"/>
      <c r="P616" s="2104"/>
      <c r="Q616" s="2104"/>
      <c r="R616" s="2104"/>
      <c r="S616" s="2104"/>
      <c r="T616" s="2104"/>
      <c r="U616" s="2104"/>
      <c r="V616" s="2104"/>
      <c r="W616" s="2104"/>
      <c r="X616" s="2104"/>
      <c r="Y616" s="2104"/>
      <c r="Z616" s="2104"/>
      <c r="AA616" s="2104"/>
      <c r="AB616" s="2104"/>
      <c r="AC616" s="2104"/>
      <c r="AD616" s="2104"/>
      <c r="AE616" s="2104"/>
      <c r="AF616" s="2104"/>
      <c r="AG616" s="2104"/>
      <c r="AH616" s="2104"/>
      <c r="AI616" s="2104"/>
      <c r="AJ616" s="2104"/>
      <c r="AK616" s="2104"/>
      <c r="AL616" s="2104"/>
      <c r="AM616" s="2104"/>
      <c r="AN616" s="2104"/>
      <c r="AO616" s="2104"/>
      <c r="AP616" s="2104"/>
      <c r="AR616" s="3479"/>
      <c r="AW616" s="3371"/>
    </row>
    <row r="617" s="3330" customFormat="1" customHeight="1" spans="1:49">
      <c r="A617" s="3340"/>
      <c r="B617"/>
      <c r="E617" s="3488"/>
      <c r="F617" s="3339"/>
      <c r="G617" s="3339"/>
      <c r="H617" s="3339"/>
      <c r="I617" s="3341"/>
      <c r="J617" s="3341"/>
      <c r="K617" s="3341"/>
      <c r="L617" s="3341"/>
      <c r="M617" s="3341"/>
      <c r="N617" s="5044" t="s">
        <v>1959</v>
      </c>
      <c r="O617" s="3386"/>
      <c r="P617" s="3386"/>
      <c r="Q617" s="3386"/>
      <c r="R617" s="3386"/>
      <c r="S617" s="3386"/>
      <c r="T617" s="3386"/>
      <c r="U617" s="3386"/>
      <c r="V617" s="3386"/>
      <c r="W617" s="3386"/>
      <c r="X617" s="3386"/>
      <c r="Y617" s="3386"/>
      <c r="Z617" s="3386"/>
      <c r="AA617" s="3386"/>
      <c r="AB617" s="3386"/>
      <c r="AC617" s="3386"/>
      <c r="AD617" s="3386"/>
      <c r="AE617" s="3386"/>
      <c r="AF617" s="3386"/>
      <c r="AG617" s="3386"/>
      <c r="AH617" s="3386"/>
      <c r="AI617" s="3386"/>
      <c r="AJ617" s="3386"/>
      <c r="AK617" s="3386"/>
      <c r="AL617" s="3386"/>
      <c r="AM617" s="3386"/>
      <c r="AN617" s="3386"/>
      <c r="AO617" s="3386"/>
      <c r="AP617" s="3386"/>
      <c r="AR617" s="3479"/>
      <c r="AW617" s="3371"/>
    </row>
    <row r="618" s="3330" customFormat="1" customHeight="1" spans="1:49">
      <c r="A618" s="3340"/>
      <c r="B618"/>
      <c r="E618" s="3488"/>
      <c r="F618" s="3339"/>
      <c r="G618" s="3339"/>
      <c r="H618" s="3339"/>
      <c r="I618" s="3341"/>
      <c r="J618" s="3341"/>
      <c r="K618" s="3341"/>
      <c r="L618" s="3341"/>
      <c r="M618" s="3341"/>
      <c r="N618"/>
      <c r="O618" s="3386"/>
      <c r="P618" s="3386"/>
      <c r="Q618" s="3386"/>
      <c r="R618" s="3386"/>
      <c r="S618" s="3386"/>
      <c r="T618" s="3386"/>
      <c r="U618" s="3386"/>
      <c r="V618" s="3386"/>
      <c r="W618" s="3386"/>
      <c r="X618" s="3386"/>
      <c r="Y618" s="3386"/>
      <c r="Z618" s="3386"/>
      <c r="AA618" s="3386"/>
      <c r="AB618" s="3386"/>
      <c r="AC618" s="3386"/>
      <c r="AD618" s="3386"/>
      <c r="AE618" s="3386"/>
      <c r="AF618" s="3386"/>
      <c r="AG618" s="3386"/>
      <c r="AH618" s="3386"/>
      <c r="AI618" s="3386"/>
      <c r="AJ618" s="3386"/>
      <c r="AK618" s="3386"/>
      <c r="AL618" s="3386"/>
      <c r="AM618" s="3386"/>
      <c r="AN618" s="3386"/>
      <c r="AO618" s="3386"/>
      <c r="AP618" s="3386"/>
      <c r="AR618" s="3479"/>
      <c r="AW618" s="3371"/>
    </row>
    <row r="619" s="3330" customFormat="1" customHeight="1" spans="1:49">
      <c r="A619" s="3340"/>
      <c r="B619"/>
      <c r="E619" s="3488"/>
      <c r="F619" s="3339"/>
      <c r="G619" s="3339"/>
      <c r="H619" s="3339"/>
      <c r="I619" s="3341"/>
      <c r="J619" s="3341"/>
      <c r="K619" s="3341"/>
      <c r="L619" s="3341"/>
      <c r="M619" s="3341"/>
      <c r="N619"/>
      <c r="O619" s="3386"/>
      <c r="P619" s="3386"/>
      <c r="Q619" s="3386"/>
      <c r="R619" s="3386"/>
      <c r="S619" s="3386"/>
      <c r="T619" s="3386"/>
      <c r="U619" s="3386"/>
      <c r="V619" s="3386"/>
      <c r="W619" s="3386"/>
      <c r="X619" s="3386"/>
      <c r="Y619" s="3386"/>
      <c r="Z619" s="3386"/>
      <c r="AA619" s="3386"/>
      <c r="AB619" s="3386"/>
      <c r="AC619" s="3386"/>
      <c r="AD619" s="3386"/>
      <c r="AE619" s="3386"/>
      <c r="AF619" s="3386"/>
      <c r="AG619" s="3386"/>
      <c r="AH619" s="3386"/>
      <c r="AI619" s="3386"/>
      <c r="AJ619" s="3386"/>
      <c r="AK619" s="3386"/>
      <c r="AL619" s="3386"/>
      <c r="AM619" s="3386"/>
      <c r="AN619" s="3386"/>
      <c r="AO619" s="3386"/>
      <c r="AP619" s="3386"/>
      <c r="AR619" s="3479"/>
      <c r="AW619" s="3371"/>
    </row>
    <row r="620" s="3330" customFormat="1" customHeight="1" spans="1:49">
      <c r="A620" s="3385">
        <f>+A553+1</f>
        <v>16</v>
      </c>
      <c r="B620" s="3385"/>
      <c r="C620" s="3385"/>
      <c r="D620" s="3385"/>
      <c r="E620" s="3385"/>
      <c r="F620" s="3385"/>
      <c r="G620" s="3385"/>
      <c r="H620" s="3385"/>
      <c r="I620" s="3385"/>
      <c r="J620" s="3385"/>
      <c r="K620" s="3385"/>
      <c r="L620" s="3385"/>
      <c r="M620" s="3385"/>
      <c r="N620" s="3385"/>
      <c r="O620" s="3385"/>
      <c r="P620" s="3385"/>
      <c r="Q620" s="3385"/>
      <c r="R620" s="3385"/>
      <c r="S620" s="3385"/>
      <c r="T620" s="3385"/>
      <c r="U620" s="3385"/>
      <c r="V620" s="3385"/>
      <c r="W620" s="3385"/>
      <c r="X620" s="3385"/>
      <c r="Y620" s="3385"/>
      <c r="Z620" s="3385"/>
      <c r="AA620" s="3385"/>
      <c r="AB620" s="3385"/>
      <c r="AC620" s="3385"/>
      <c r="AD620" s="3385"/>
      <c r="AE620" s="3385"/>
      <c r="AF620" s="3385"/>
      <c r="AG620" s="3385"/>
      <c r="AH620" s="3385"/>
      <c r="AI620" s="3385"/>
      <c r="AJ620" s="3385"/>
      <c r="AK620" s="3385"/>
      <c r="AL620" s="3385"/>
      <c r="AM620" s="3385"/>
      <c r="AN620" s="3385"/>
      <c r="AO620" s="3385"/>
      <c r="AP620" s="3385"/>
      <c r="AR620" s="3479"/>
      <c r="AW620" s="3371"/>
    </row>
    <row r="621" s="3330" customFormat="1" customHeight="1" spans="1:49">
      <c r="A621" s="3335">
        <f>+A554</f>
        <v>12</v>
      </c>
      <c r="B621" s="3315"/>
      <c r="C621" s="3322" t="s">
        <v>1910</v>
      </c>
      <c r="D621" s="64"/>
      <c r="E621" s="3488"/>
      <c r="F621" s="3339"/>
      <c r="G621" s="3339"/>
      <c r="H621" s="3339"/>
      <c r="I621" s="3341"/>
      <c r="J621" s="3341"/>
      <c r="K621" s="3341"/>
      <c r="L621" s="3341"/>
      <c r="M621" s="3341"/>
      <c r="N621"/>
      <c r="O621" s="3386"/>
      <c r="P621" s="3386"/>
      <c r="Q621" s="3386"/>
      <c r="R621" s="3386"/>
      <c r="S621" s="3386"/>
      <c r="T621" s="3386"/>
      <c r="U621" s="3386"/>
      <c r="V621" s="3386"/>
      <c r="W621" s="3386"/>
      <c r="X621" s="3386"/>
      <c r="Y621" s="3386"/>
      <c r="Z621" s="3386"/>
      <c r="AA621" s="3386"/>
      <c r="AB621" s="3386"/>
      <c r="AC621" s="3386"/>
      <c r="AD621" s="3386"/>
      <c r="AE621" s="3386"/>
      <c r="AF621" s="3386"/>
      <c r="AG621" s="3386"/>
      <c r="AH621" s="3386"/>
      <c r="AI621" s="3386"/>
      <c r="AJ621" s="3386"/>
      <c r="AK621" s="3386"/>
      <c r="AL621" s="3386"/>
      <c r="AM621" s="3386"/>
      <c r="AN621" s="3386"/>
      <c r="AO621" s="3386"/>
      <c r="AP621" s="3386"/>
      <c r="AR621" s="3479"/>
      <c r="AW621" s="3371"/>
    </row>
    <row r="622" s="3330" customFormat="1" customHeight="1" spans="1:49">
      <c r="A622" s="3340"/>
      <c r="B622" s="64"/>
      <c r="D622" s="3480"/>
      <c r="E622" s="3488"/>
      <c r="F622" s="3339"/>
      <c r="G622" s="3339"/>
      <c r="H622" s="3339"/>
      <c r="I622" s="3341"/>
      <c r="J622" s="3341"/>
      <c r="K622" s="3341"/>
      <c r="L622" s="3341"/>
      <c r="M622" s="3341"/>
      <c r="N622"/>
      <c r="O622" s="3386"/>
      <c r="P622" s="3386"/>
      <c r="Q622" s="3386"/>
      <c r="R622" s="3386"/>
      <c r="S622" s="3386"/>
      <c r="T622" s="3386"/>
      <c r="U622" s="3386"/>
      <c r="V622" s="3386"/>
      <c r="W622" s="3386"/>
      <c r="X622" s="3386"/>
      <c r="Y622" s="3386"/>
      <c r="Z622" s="3386"/>
      <c r="AA622" s="3386"/>
      <c r="AB622" s="3386"/>
      <c r="AC622" s="3386"/>
      <c r="AD622" s="3386"/>
      <c r="AE622" s="3386"/>
      <c r="AF622" s="3386"/>
      <c r="AG622" s="3386"/>
      <c r="AH622" s="3386"/>
      <c r="AI622" s="3386"/>
      <c r="AJ622" s="3386"/>
      <c r="AK622" s="3386"/>
      <c r="AL622" s="3386"/>
      <c r="AM622" s="3386"/>
      <c r="AN622" s="3386"/>
      <c r="AO622" s="3386"/>
      <c r="AP622" s="3386"/>
      <c r="AR622" s="3479"/>
      <c r="AW622" s="3371"/>
    </row>
    <row r="623" s="3330" customFormat="1" customHeight="1" spans="1:49">
      <c r="A623" s="3340"/>
      <c r="B623"/>
      <c r="C623" s="3504" t="s">
        <v>1966</v>
      </c>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2682"/>
      <c r="AC623" s="2682"/>
      <c r="AD623" s="2682"/>
      <c r="AE623" s="2682"/>
      <c r="AF623" s="2682"/>
      <c r="AG623" s="2682"/>
      <c r="AH623" s="2682"/>
      <c r="AI623" s="3326"/>
      <c r="AJ623" s="2682"/>
      <c r="AK623" s="2682"/>
      <c r="AL623" s="2682"/>
      <c r="AM623" s="2682"/>
      <c r="AN623" s="2682"/>
      <c r="AR623" s="3479"/>
      <c r="AW623" s="3371"/>
    </row>
    <row r="624" s="3330" customFormat="1" customHeight="1" spans="1:49">
      <c r="A624" s="3340"/>
      <c r="B62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2682"/>
      <c r="AC624" s="2682"/>
      <c r="AD624" s="2682"/>
      <c r="AE624" s="2682"/>
      <c r="AF624" s="2682"/>
      <c r="AG624" s="2682"/>
      <c r="AH624" s="2682"/>
      <c r="AI624" s="3326"/>
      <c r="AJ624" s="2682"/>
      <c r="AK624" s="2682"/>
      <c r="AL624" s="2682"/>
      <c r="AM624" s="2682"/>
      <c r="AN624" s="2682"/>
      <c r="AR624" s="3479"/>
      <c r="AW624" s="3371"/>
    </row>
    <row r="625" s="3330" customFormat="1" customHeight="1" spans="1:49">
      <c r="A625" s="3335"/>
      <c r="B625" s="3315"/>
      <c r="C625" s="5059" t="s">
        <v>2108</v>
      </c>
      <c r="D625" s="2146"/>
      <c r="E625" s="2146"/>
      <c r="F625" s="2146"/>
      <c r="G625" s="2146"/>
      <c r="H625" s="2146"/>
      <c r="I625" s="2146"/>
      <c r="J625" s="2146"/>
      <c r="K625" s="2146"/>
      <c r="L625" s="2146"/>
      <c r="M625" s="2146"/>
      <c r="N625" s="2146"/>
      <c r="O625" s="2146"/>
      <c r="P625" s="2146"/>
      <c r="Q625" s="2146"/>
      <c r="R625" s="2146"/>
      <c r="S625" s="2146"/>
      <c r="T625" s="2146"/>
      <c r="U625" s="2146"/>
      <c r="V625" s="2146"/>
      <c r="W625" s="2146"/>
      <c r="X625" s="2146"/>
      <c r="Y625" s="2146"/>
      <c r="Z625" s="2146"/>
      <c r="AA625" s="2146"/>
      <c r="AB625" s="2146"/>
      <c r="AC625" s="2146"/>
      <c r="AD625" s="2146"/>
      <c r="AE625" s="2146"/>
      <c r="AF625" s="2146"/>
      <c r="AG625" s="2146"/>
      <c r="AH625" s="2146"/>
      <c r="AI625" s="2146"/>
      <c r="AJ625" s="2146"/>
      <c r="AK625" s="2146"/>
      <c r="AL625" s="2146"/>
      <c r="AM625" s="2146"/>
      <c r="AN625" s="2146"/>
      <c r="AO625" s="2104"/>
      <c r="AP625" s="2104"/>
      <c r="AR625" s="3479"/>
      <c r="AW625" s="3371"/>
    </row>
    <row r="626" s="3330" customFormat="1" customHeight="1" spans="1:49">
      <c r="A626" s="3335"/>
      <c r="B626" s="3315"/>
      <c r="C626" s="2104"/>
      <c r="D626" s="2104"/>
      <c r="E626" s="2104"/>
      <c r="F626" s="2104"/>
      <c r="G626" s="2104"/>
      <c r="H626" s="2104"/>
      <c r="I626" s="2104"/>
      <c r="J626" s="2104"/>
      <c r="K626" s="2104"/>
      <c r="L626" s="2104"/>
      <c r="M626" s="2104"/>
      <c r="N626" s="2104"/>
      <c r="O626" s="2104"/>
      <c r="P626" s="2104"/>
      <c r="Q626" s="2104"/>
      <c r="R626" s="2104"/>
      <c r="S626" s="2104"/>
      <c r="T626" s="2104"/>
      <c r="U626" s="2104"/>
      <c r="V626" s="2104"/>
      <c r="W626" s="2104"/>
      <c r="X626" s="2104"/>
      <c r="Y626" s="2104"/>
      <c r="Z626" s="2104"/>
      <c r="AA626" s="2104"/>
      <c r="AB626" s="2104"/>
      <c r="AC626" s="2104"/>
      <c r="AD626" s="2104"/>
      <c r="AE626" s="2104"/>
      <c r="AF626" s="2104"/>
      <c r="AG626" s="2104"/>
      <c r="AH626" s="2104"/>
      <c r="AI626" s="2104"/>
      <c r="AJ626" s="2104"/>
      <c r="AK626" s="2104"/>
      <c r="AL626" s="2104"/>
      <c r="AM626" s="2104"/>
      <c r="AN626" s="2104"/>
      <c r="AO626" s="2104"/>
      <c r="AP626" s="2104"/>
      <c r="AR626" s="3479"/>
      <c r="AW626" s="3371"/>
    </row>
    <row r="627" s="3330" customFormat="1" customHeight="1" spans="1:49">
      <c r="A627" s="3335"/>
      <c r="B627" s="3315"/>
      <c r="C627" s="2104"/>
      <c r="D627" s="2104"/>
      <c r="E627" s="2104"/>
      <c r="F627" s="2104"/>
      <c r="G627" s="2104"/>
      <c r="H627" s="2104"/>
      <c r="I627" s="2104"/>
      <c r="J627" s="2104"/>
      <c r="K627" s="2104"/>
      <c r="L627" s="2104"/>
      <c r="M627" s="2104"/>
      <c r="N627" s="2104"/>
      <c r="O627" s="2104"/>
      <c r="P627" s="2104"/>
      <c r="Q627" s="2104"/>
      <c r="R627" s="2104"/>
      <c r="S627" s="2104"/>
      <c r="T627" s="2104"/>
      <c r="U627" s="2104"/>
      <c r="V627" s="2104"/>
      <c r="W627" s="2104"/>
      <c r="X627" s="2104"/>
      <c r="Y627" s="2104"/>
      <c r="Z627" s="2104"/>
      <c r="AA627" s="2104"/>
      <c r="AB627" s="2104"/>
      <c r="AC627" s="2104"/>
      <c r="AD627" s="2104"/>
      <c r="AE627" s="2104"/>
      <c r="AF627" s="2104"/>
      <c r="AG627" s="2104"/>
      <c r="AH627" s="2104"/>
      <c r="AI627" s="2104"/>
      <c r="AJ627" s="2104"/>
      <c r="AK627" s="2104"/>
      <c r="AL627" s="2104"/>
      <c r="AM627" s="2104"/>
      <c r="AN627" s="2104"/>
      <c r="AO627" s="2104"/>
      <c r="AP627" s="2104"/>
      <c r="AR627" s="3479"/>
      <c r="AW627" s="3371"/>
    </row>
    <row r="628" s="3330" customFormat="1" customHeight="1" spans="1:49">
      <c r="A628" s="3335"/>
      <c r="B628" s="3315"/>
      <c r="C628" s="2104"/>
      <c r="D628" s="2104"/>
      <c r="E628" s="2104"/>
      <c r="F628" s="2104"/>
      <c r="G628" s="2104"/>
      <c r="H628" s="2104"/>
      <c r="I628" s="2104"/>
      <c r="J628" s="2104"/>
      <c r="K628" s="2104"/>
      <c r="L628" s="2104"/>
      <c r="M628" s="2104"/>
      <c r="N628" s="2104"/>
      <c r="O628" s="2104"/>
      <c r="P628" s="2104"/>
      <c r="Q628" s="2104"/>
      <c r="R628" s="2104"/>
      <c r="S628" s="2104"/>
      <c r="T628" s="2104"/>
      <c r="U628" s="2104"/>
      <c r="V628" s="2104"/>
      <c r="W628" s="2104"/>
      <c r="X628" s="2104"/>
      <c r="Y628" s="2104"/>
      <c r="Z628" s="2104"/>
      <c r="AA628" s="2104"/>
      <c r="AB628" s="2104"/>
      <c r="AC628" s="2104"/>
      <c r="AD628" s="2104"/>
      <c r="AE628" s="2104"/>
      <c r="AF628" s="2104"/>
      <c r="AG628" s="2104"/>
      <c r="AH628" s="2104"/>
      <c r="AI628" s="2104"/>
      <c r="AJ628" s="2104"/>
      <c r="AK628" s="2104"/>
      <c r="AL628" s="2104"/>
      <c r="AM628" s="2104"/>
      <c r="AN628" s="2104"/>
      <c r="AO628" s="2104"/>
      <c r="AP628" s="2104"/>
      <c r="AR628" s="3479"/>
      <c r="AW628" s="3371"/>
    </row>
    <row r="629" s="3330" customFormat="1" customHeight="1" spans="1:49">
      <c r="A629" s="3335"/>
      <c r="B629" s="3315"/>
      <c r="C629" s="2104"/>
      <c r="D629" s="2104"/>
      <c r="E629" s="2104"/>
      <c r="F629" s="2104"/>
      <c r="G629" s="2104"/>
      <c r="H629" s="2104"/>
      <c r="I629" s="2104"/>
      <c r="J629" s="2104"/>
      <c r="K629" s="2104"/>
      <c r="L629" s="2104"/>
      <c r="M629" s="2104"/>
      <c r="N629" s="2104"/>
      <c r="O629" s="2104"/>
      <c r="P629" s="2104"/>
      <c r="Q629" s="2104"/>
      <c r="R629" s="2104"/>
      <c r="S629" s="2104"/>
      <c r="T629" s="2104"/>
      <c r="U629" s="2104"/>
      <c r="V629" s="2104"/>
      <c r="W629" s="2104"/>
      <c r="X629" s="2104"/>
      <c r="Y629" s="2104"/>
      <c r="Z629" s="2104"/>
      <c r="AA629" s="2104"/>
      <c r="AB629" s="2104"/>
      <c r="AC629" s="2104"/>
      <c r="AD629" s="2104"/>
      <c r="AE629" s="2104"/>
      <c r="AF629" s="2104"/>
      <c r="AG629" s="2104"/>
      <c r="AH629" s="2104"/>
      <c r="AI629" s="2104"/>
      <c r="AJ629" s="2104"/>
      <c r="AK629" s="2104"/>
      <c r="AL629" s="2104"/>
      <c r="AM629" s="2104"/>
      <c r="AN629" s="2104"/>
      <c r="AO629" s="2104"/>
      <c r="AP629" s="2104"/>
      <c r="AR629" s="3479"/>
      <c r="AW629" s="3371"/>
    </row>
    <row r="630" s="3330" customFormat="1" customHeight="1" spans="1:49">
      <c r="A630" s="3335"/>
      <c r="B630" s="3315"/>
      <c r="C630" s="2104"/>
      <c r="D630" s="2104"/>
      <c r="E630" s="2104"/>
      <c r="F630" s="2104"/>
      <c r="G630" s="2104"/>
      <c r="H630" s="2104"/>
      <c r="I630" s="2104"/>
      <c r="J630" s="2104"/>
      <c r="K630" s="2104"/>
      <c r="L630" s="2104"/>
      <c r="M630" s="2104"/>
      <c r="N630" s="2104"/>
      <c r="O630" s="2104"/>
      <c r="P630" s="2104"/>
      <c r="Q630" s="2104"/>
      <c r="R630" s="2104"/>
      <c r="S630" s="2104"/>
      <c r="T630" s="2104"/>
      <c r="U630" s="2104"/>
      <c r="V630" s="2104"/>
      <c r="W630" s="2104"/>
      <c r="X630" s="2104"/>
      <c r="Y630" s="2104"/>
      <c r="Z630" s="2104"/>
      <c r="AA630" s="2104"/>
      <c r="AB630" s="2104"/>
      <c r="AC630" s="2104"/>
      <c r="AD630" s="2104"/>
      <c r="AE630" s="2104"/>
      <c r="AF630" s="2104"/>
      <c r="AG630" s="2104"/>
      <c r="AH630" s="2104"/>
      <c r="AI630" s="2104"/>
      <c r="AJ630" s="2104"/>
      <c r="AK630" s="2104"/>
      <c r="AL630" s="2104"/>
      <c r="AM630" s="2104"/>
      <c r="AN630" s="2104"/>
      <c r="AO630" s="2104"/>
      <c r="AP630" s="2104"/>
      <c r="AR630" s="3479"/>
      <c r="AW630" s="3371"/>
    </row>
    <row r="631" s="3330" customFormat="1" customHeight="1" spans="1:49">
      <c r="A631" s="3335"/>
      <c r="B631" s="3315"/>
      <c r="C631" s="2104"/>
      <c r="D631" s="2104"/>
      <c r="E631" s="2104"/>
      <c r="F631" s="2104"/>
      <c r="G631" s="2104"/>
      <c r="H631" s="2104"/>
      <c r="I631" s="2104"/>
      <c r="J631" s="2104"/>
      <c r="K631" s="2104"/>
      <c r="L631" s="2104"/>
      <c r="M631" s="2104"/>
      <c r="N631" s="2104"/>
      <c r="O631" s="2104"/>
      <c r="P631" s="2104"/>
      <c r="Q631" s="2104"/>
      <c r="R631" s="2104"/>
      <c r="S631" s="2104"/>
      <c r="T631" s="2104"/>
      <c r="U631" s="2104"/>
      <c r="V631" s="2104"/>
      <c r="W631" s="2104"/>
      <c r="X631" s="2104"/>
      <c r="Y631" s="2104"/>
      <c r="Z631" s="2104"/>
      <c r="AA631" s="2104"/>
      <c r="AB631" s="2104"/>
      <c r="AC631" s="2104"/>
      <c r="AD631" s="2104"/>
      <c r="AE631" s="2104"/>
      <c r="AF631" s="2104"/>
      <c r="AG631" s="2104"/>
      <c r="AH631" s="2104"/>
      <c r="AI631" s="2104"/>
      <c r="AJ631" s="2104"/>
      <c r="AK631" s="2104"/>
      <c r="AL631" s="2104"/>
      <c r="AM631" s="2104"/>
      <c r="AN631" s="2104"/>
      <c r="AO631" s="2104"/>
      <c r="AP631" s="2104"/>
      <c r="AR631" s="3479"/>
      <c r="AW631" s="3371"/>
    </row>
    <row r="632" s="3330" customFormat="1" customHeight="1" spans="1:49">
      <c r="A632" s="3335"/>
      <c r="B632" s="3315"/>
      <c r="C632" s="2104"/>
      <c r="D632" s="2104"/>
      <c r="E632" s="2104"/>
      <c r="F632" s="2104"/>
      <c r="G632" s="2104"/>
      <c r="H632" s="2104"/>
      <c r="I632" s="2104"/>
      <c r="J632" s="2104"/>
      <c r="K632" s="2104"/>
      <c r="L632" s="2104"/>
      <c r="M632" s="2104"/>
      <c r="N632" s="2104"/>
      <c r="O632" s="2104"/>
      <c r="P632" s="2104"/>
      <c r="Q632" s="2104"/>
      <c r="R632" s="2104"/>
      <c r="S632" s="2104"/>
      <c r="T632" s="2104"/>
      <c r="U632" s="2104"/>
      <c r="V632" s="2104"/>
      <c r="W632" s="2104"/>
      <c r="X632" s="2104"/>
      <c r="Y632" s="2104"/>
      <c r="Z632" s="2104"/>
      <c r="AA632" s="2104"/>
      <c r="AB632" s="2104"/>
      <c r="AC632" s="2104"/>
      <c r="AD632" s="2104"/>
      <c r="AE632" s="2104"/>
      <c r="AF632" s="2104"/>
      <c r="AG632" s="2104"/>
      <c r="AH632" s="2104"/>
      <c r="AI632" s="2104"/>
      <c r="AJ632" s="2104"/>
      <c r="AK632" s="2104"/>
      <c r="AL632" s="2104"/>
      <c r="AM632" s="2104"/>
      <c r="AN632" s="2104"/>
      <c r="AO632" s="2104"/>
      <c r="AP632" s="2104"/>
      <c r="AR632" s="3479"/>
      <c r="AW632" s="3371"/>
    </row>
    <row r="633" s="3330" customFormat="1" customHeight="1" spans="1:49">
      <c r="A633" s="3335"/>
      <c r="B633" s="3315"/>
      <c r="C633" s="2104"/>
      <c r="D633" s="2104"/>
      <c r="E633" s="2104"/>
      <c r="F633" s="2104"/>
      <c r="G633" s="2104"/>
      <c r="H633" s="2104"/>
      <c r="I633" s="2104"/>
      <c r="J633" s="2104"/>
      <c r="K633" s="2104"/>
      <c r="L633" s="2104"/>
      <c r="M633" s="2104"/>
      <c r="N633" s="2104"/>
      <c r="O633" s="2104"/>
      <c r="P633" s="2104"/>
      <c r="Q633" s="2104"/>
      <c r="R633" s="2104"/>
      <c r="S633" s="2104"/>
      <c r="T633" s="2104"/>
      <c r="U633" s="2104"/>
      <c r="V633" s="2104"/>
      <c r="W633" s="2104"/>
      <c r="X633" s="2104"/>
      <c r="Y633" s="2104"/>
      <c r="Z633" s="2104"/>
      <c r="AA633" s="2104"/>
      <c r="AB633" s="2104"/>
      <c r="AC633" s="2104"/>
      <c r="AD633" s="2104"/>
      <c r="AE633" s="2104"/>
      <c r="AF633" s="2104"/>
      <c r="AG633" s="2104"/>
      <c r="AH633" s="2104"/>
      <c r="AI633" s="2104"/>
      <c r="AJ633" s="2104"/>
      <c r="AK633" s="2104"/>
      <c r="AL633" s="2104"/>
      <c r="AM633" s="2104"/>
      <c r="AN633" s="2104"/>
      <c r="AO633" s="2104"/>
      <c r="AP633" s="2104"/>
      <c r="AR633" s="3479"/>
      <c r="AW633" s="3371"/>
    </row>
    <row r="634" s="3330" customFormat="1" ht="21.95" customHeight="1" spans="1:49">
      <c r="A634" s="3335"/>
      <c r="B634" s="3315"/>
      <c r="C634" s="2104"/>
      <c r="D634" s="2104"/>
      <c r="E634" s="2104"/>
      <c r="F634" s="2104"/>
      <c r="G634" s="2104"/>
      <c r="H634" s="2104"/>
      <c r="I634" s="2104"/>
      <c r="J634" s="2104"/>
      <c r="K634" s="2104"/>
      <c r="L634" s="2104"/>
      <c r="M634" s="2104"/>
      <c r="N634" s="2104"/>
      <c r="O634" s="2104"/>
      <c r="P634" s="2104"/>
      <c r="Q634" s="2104"/>
      <c r="R634" s="2104"/>
      <c r="S634" s="2104"/>
      <c r="T634" s="2104"/>
      <c r="U634" s="2104"/>
      <c r="V634" s="2104"/>
      <c r="W634" s="2104"/>
      <c r="X634" s="2104"/>
      <c r="Y634" s="2104"/>
      <c r="Z634" s="2104"/>
      <c r="AA634" s="2104"/>
      <c r="AB634" s="2104"/>
      <c r="AC634" s="2104"/>
      <c r="AD634" s="2104"/>
      <c r="AE634" s="2104"/>
      <c r="AF634" s="2104"/>
      <c r="AG634" s="2104"/>
      <c r="AH634" s="2104"/>
      <c r="AI634" s="2104"/>
      <c r="AJ634" s="2104"/>
      <c r="AK634" s="2104"/>
      <c r="AL634" s="2104"/>
      <c r="AM634" s="2104"/>
      <c r="AN634" s="2104"/>
      <c r="AO634" s="2104"/>
      <c r="AP634" s="2104"/>
      <c r="AR634" s="3479"/>
      <c r="AW634" s="3371"/>
    </row>
    <row r="635" s="3330" customFormat="1" ht="15.6" customHeight="1" spans="44:49">
      <c r="AR635" s="3479"/>
      <c r="AW635" s="3371"/>
    </row>
    <row r="636" s="3330" customFormat="1" customHeight="1" spans="1:49">
      <c r="A636" s="3335">
        <f>A377+1</f>
        <v>13</v>
      </c>
      <c r="B636"/>
      <c r="C636" s="3322" t="s">
        <v>1968</v>
      </c>
      <c r="D636"/>
      <c r="E636" s="3507"/>
      <c r="AI636" s="64"/>
      <c r="AR636" s="3479"/>
      <c r="AW636" s="3371"/>
    </row>
    <row r="637" s="3330" customFormat="1" spans="1:49">
      <c r="A637" s="3335"/>
      <c r="B637"/>
      <c r="C637" s="3322"/>
      <c r="D637"/>
      <c r="E637"/>
      <c r="F637"/>
      <c r="G637"/>
      <c r="H637"/>
      <c r="I637"/>
      <c r="J637"/>
      <c r="K637"/>
      <c r="L637"/>
      <c r="M637"/>
      <c r="N637"/>
      <c r="O637"/>
      <c r="P637"/>
      <c r="Q637"/>
      <c r="R637"/>
      <c r="S637"/>
      <c r="T637"/>
      <c r="U637"/>
      <c r="V637"/>
      <c r="W637"/>
      <c r="X637"/>
      <c r="Y637"/>
      <c r="Z637"/>
      <c r="AA637"/>
      <c r="AR637" s="3479"/>
      <c r="AW637" s="3371"/>
    </row>
    <row r="638" s="3330" customFormat="1" ht="24" customHeight="1" spans="1:49">
      <c r="A638" s="3335"/>
      <c r="B638"/>
      <c r="C638" s="5036" t="s">
        <v>1969</v>
      </c>
      <c r="D638" s="3341"/>
      <c r="E638" s="3341"/>
      <c r="F638" s="3341"/>
      <c r="G638" s="3341"/>
      <c r="H638" s="3341"/>
      <c r="I638" s="3341"/>
      <c r="J638" s="3341"/>
      <c r="K638" s="3341"/>
      <c r="L638" s="3341"/>
      <c r="M638" s="3341"/>
      <c r="N638" s="3341"/>
      <c r="O638" s="3341"/>
      <c r="P638" s="3341"/>
      <c r="Q638" s="3341"/>
      <c r="R638" s="3341"/>
      <c r="S638" s="3341"/>
      <c r="T638" s="3341"/>
      <c r="U638" s="3341"/>
      <c r="V638" s="3341"/>
      <c r="W638" s="3341"/>
      <c r="X638" s="3341"/>
      <c r="Y638" s="3341"/>
      <c r="Z638" s="3341"/>
      <c r="AA638" s="3341"/>
      <c r="AB638" s="3341"/>
      <c r="AC638" s="3341"/>
      <c r="AD638" s="3341"/>
      <c r="AE638" s="3341"/>
      <c r="AF638" s="3341"/>
      <c r="AG638" s="3341"/>
      <c r="AH638" s="3341"/>
      <c r="AI638" s="3341"/>
      <c r="AJ638" s="3341"/>
      <c r="AK638" s="3341"/>
      <c r="AL638" s="3341"/>
      <c r="AM638" s="3341"/>
      <c r="AN638" s="3341"/>
      <c r="AO638" s="3339"/>
      <c r="AP638" s="3339"/>
      <c r="AR638" s="3479"/>
      <c r="AW638" s="3371"/>
    </row>
    <row r="639" s="3330" customFormat="1" ht="8.45" customHeight="1" spans="1:49">
      <c r="A639" s="3335"/>
      <c r="B639"/>
      <c r="C639" s="3339"/>
      <c r="D639" s="3341"/>
      <c r="E639" s="3341"/>
      <c r="F639" s="3341"/>
      <c r="G639" s="3341"/>
      <c r="H639" s="3341"/>
      <c r="I639" s="3341"/>
      <c r="J639" s="3341"/>
      <c r="K639" s="3341"/>
      <c r="L639" s="3341"/>
      <c r="M639" s="3341"/>
      <c r="N639" s="3341"/>
      <c r="O639" s="3341"/>
      <c r="P639" s="3341"/>
      <c r="Q639" s="3341"/>
      <c r="R639" s="3341"/>
      <c r="S639" s="3341"/>
      <c r="T639" s="3341"/>
      <c r="U639" s="3341"/>
      <c r="V639" s="3341"/>
      <c r="W639" s="3341"/>
      <c r="X639" s="3341"/>
      <c r="Y639" s="3341"/>
      <c r="Z639" s="3341"/>
      <c r="AA639" s="3341"/>
      <c r="AB639" s="3341"/>
      <c r="AC639" s="3341"/>
      <c r="AD639" s="3341"/>
      <c r="AE639" s="3341"/>
      <c r="AF639" s="3341"/>
      <c r="AG639" s="3341"/>
      <c r="AH639" s="3341"/>
      <c r="AI639" s="3341"/>
      <c r="AJ639" s="3341"/>
      <c r="AK639" s="3341"/>
      <c r="AL639" s="3341"/>
      <c r="AM639" s="3341"/>
      <c r="AN639" s="3341"/>
      <c r="AO639" s="3339"/>
      <c r="AP639" s="3339"/>
      <c r="AR639" s="3479"/>
      <c r="AW639" s="3371"/>
    </row>
    <row r="640" s="3330" customFormat="1" ht="13.2" spans="1:49">
      <c r="A640" s="3335"/>
      <c r="B640"/>
      <c r="C640" s="5096" t="s">
        <v>1970</v>
      </c>
      <c r="D640" s="2674"/>
      <c r="E640" s="2674"/>
      <c r="F640" s="2674"/>
      <c r="G640" s="2674"/>
      <c r="H640" s="2674"/>
      <c r="I640" s="2674"/>
      <c r="J640" s="2674"/>
      <c r="K640" s="2674"/>
      <c r="L640" s="2674"/>
      <c r="M640" s="2674"/>
      <c r="N640" s="2674"/>
      <c r="O640" s="2674"/>
      <c r="P640" s="2674"/>
      <c r="Q640" s="2674"/>
      <c r="R640" s="2674"/>
      <c r="S640" s="3341"/>
      <c r="T640" s="3341"/>
      <c r="U640" s="3341"/>
      <c r="V640" s="3341"/>
      <c r="W640" s="3341"/>
      <c r="X640" s="3341"/>
      <c r="Y640" s="3341"/>
      <c r="Z640" s="3341"/>
      <c r="AA640" s="3341"/>
      <c r="AB640" s="3359">
        <f>+AB420</f>
        <v>2022</v>
      </c>
      <c r="AC640" s="3360"/>
      <c r="AD640" s="3360"/>
      <c r="AE640" s="3360"/>
      <c r="AF640" s="3360"/>
      <c r="AG640" s="3360"/>
      <c r="AH640" s="3360"/>
      <c r="AI640" s="64"/>
      <c r="AJ640" s="3359">
        <f>+AJ420</f>
        <v>2021</v>
      </c>
      <c r="AK640" s="3360"/>
      <c r="AL640" s="3360"/>
      <c r="AM640" s="3360"/>
      <c r="AN640" s="3360"/>
      <c r="AO640" s="3360"/>
      <c r="AP640" s="3360"/>
      <c r="AQ640" s="3360">
        <f>+AQ420</f>
        <v>2020</v>
      </c>
      <c r="AR640" s="3360"/>
      <c r="AS640" s="3360"/>
      <c r="AT640" s="3360"/>
      <c r="AU640" s="3360"/>
      <c r="AV640" s="3360"/>
      <c r="AW640" s="3381"/>
    </row>
    <row r="641" s="3330" customFormat="1" spans="1:49">
      <c r="A641" s="3335"/>
      <c r="B641"/>
      <c r="C641" s="3339"/>
      <c r="D641" s="3341"/>
      <c r="E641" s="3341"/>
      <c r="F641" s="3341"/>
      <c r="G641" s="3341"/>
      <c r="H641" s="3341"/>
      <c r="I641" s="3341"/>
      <c r="J641" s="3341"/>
      <c r="K641" s="3341"/>
      <c r="L641" s="3341"/>
      <c r="M641" s="3341"/>
      <c r="N641" s="3341"/>
      <c r="O641" s="3341"/>
      <c r="P641" s="3341"/>
      <c r="Q641" s="3341"/>
      <c r="R641" s="3341"/>
      <c r="S641" s="3341"/>
      <c r="T641" s="3341"/>
      <c r="U641" s="3341"/>
      <c r="V641" s="3341"/>
      <c r="W641" s="3341"/>
      <c r="X641" s="3341"/>
      <c r="Y641" s="3341"/>
      <c r="Z641" s="3341"/>
      <c r="AA641" s="3341"/>
      <c r="AB641" s="3496"/>
      <c r="AC641" s="3497"/>
      <c r="AD641" s="3497"/>
      <c r="AE641" s="3497"/>
      <c r="AF641" s="3497"/>
      <c r="AG641" s="3497"/>
      <c r="AH641" s="3497"/>
      <c r="AI641" s="64"/>
      <c r="AJ641" s="3496"/>
      <c r="AK641" s="3497"/>
      <c r="AL641" s="3497"/>
      <c r="AM641" s="3497"/>
      <c r="AN641" s="3497"/>
      <c r="AO641" s="3497"/>
      <c r="AP641" s="3497"/>
      <c r="AQ641" s="3496"/>
      <c r="AR641" s="3497"/>
      <c r="AS641" s="3497"/>
      <c r="AT641" s="3497"/>
      <c r="AU641" s="3497"/>
      <c r="AV641" s="3497"/>
      <c r="AW641" s="3380"/>
    </row>
    <row r="642" s="3330" customFormat="1" spans="1:49">
      <c r="A642" s="3335"/>
      <c r="B642"/>
      <c r="C642" s="5097" t="s">
        <v>1971</v>
      </c>
      <c r="D642" s="3341"/>
      <c r="E642" s="3341"/>
      <c r="F642" s="3341"/>
      <c r="G642" s="3341"/>
      <c r="H642" s="3341"/>
      <c r="I642" s="3341"/>
      <c r="J642" s="3341"/>
      <c r="K642" s="3341"/>
      <c r="L642" s="3341"/>
      <c r="M642" s="3341"/>
      <c r="N642" s="3341"/>
      <c r="O642" s="3341"/>
      <c r="P642" s="3341"/>
      <c r="Q642" s="3341"/>
      <c r="R642" s="3341"/>
      <c r="S642" s="3341"/>
      <c r="T642" s="3341"/>
      <c r="U642" s="3341"/>
      <c r="V642" s="3341"/>
      <c r="W642" s="3341"/>
      <c r="X642" s="3341"/>
      <c r="Y642" s="3341"/>
      <c r="Z642" s="3341"/>
      <c r="AA642" s="3341"/>
      <c r="AB642" s="2682">
        <f>+II!I35+II!I36</f>
        <v>125105192.136089</v>
      </c>
      <c r="AC642" s="2682"/>
      <c r="AD642" s="2682"/>
      <c r="AE642" s="2682"/>
      <c r="AF642" s="2682"/>
      <c r="AG642" s="2682"/>
      <c r="AH642" s="2682"/>
      <c r="AI642" s="3326"/>
      <c r="AJ642" s="2682">
        <f>+II!N35+II!N36</f>
        <v>271862458.928244</v>
      </c>
      <c r="AK642" s="2682"/>
      <c r="AL642" s="2682"/>
      <c r="AM642" s="2682"/>
      <c r="AN642" s="2682"/>
      <c r="AO642" s="2682"/>
      <c r="AP642" s="2682"/>
      <c r="AQ642" s="2635">
        <f>+II!S35+II!S36</f>
        <v>398582501.385667</v>
      </c>
      <c r="AR642" s="2635"/>
      <c r="AS642" s="2635"/>
      <c r="AT642" s="2635"/>
      <c r="AU642" s="2635"/>
      <c r="AV642" s="2635"/>
      <c r="AW642" s="2430"/>
    </row>
    <row r="643" s="3330" customFormat="1" spans="1:49">
      <c r="A643" s="3335"/>
      <c r="B643"/>
      <c r="C643" s="5097" t="s">
        <v>1972</v>
      </c>
      <c r="D643" s="3341"/>
      <c r="E643" s="3341"/>
      <c r="F643" s="3341"/>
      <c r="G643" s="3341"/>
      <c r="H643" s="3341"/>
      <c r="I643" s="3341"/>
      <c r="J643" s="3341"/>
      <c r="K643" s="3341"/>
      <c r="L643" s="3341"/>
      <c r="M643" s="3341"/>
      <c r="N643" s="3341"/>
      <c r="O643" s="3341"/>
      <c r="P643" s="3341"/>
      <c r="Q643" s="3341"/>
      <c r="R643" s="3341"/>
      <c r="S643" s="3341"/>
      <c r="T643" s="3341"/>
      <c r="U643" s="3341"/>
      <c r="V643" s="3341"/>
      <c r="W643" s="3341"/>
      <c r="X643" s="3341"/>
      <c r="Y643" s="3341"/>
      <c r="Z643" s="3341"/>
      <c r="AA643" s="3341"/>
      <c r="AB643" s="2682">
        <f>+II!I37</f>
        <v>116372797.854253</v>
      </c>
      <c r="AC643" s="2682"/>
      <c r="AD643" s="2682"/>
      <c r="AE643" s="2682"/>
      <c r="AF643" s="2682"/>
      <c r="AG643" s="2682"/>
      <c r="AH643" s="2682"/>
      <c r="AI643" s="3341"/>
      <c r="AJ643" s="2682">
        <f>+II!N37</f>
        <v>208712130.190626</v>
      </c>
      <c r="AK643" s="2682"/>
      <c r="AL643" s="2682"/>
      <c r="AM643" s="2682"/>
      <c r="AN643" s="2682"/>
      <c r="AO643" s="2682"/>
      <c r="AP643" s="2682"/>
      <c r="AQ643" s="2635">
        <f>+II!S37</f>
        <v>281981420.381672</v>
      </c>
      <c r="AR643" s="2635"/>
      <c r="AS643" s="2635"/>
      <c r="AT643" s="2635"/>
      <c r="AU643" s="2635"/>
      <c r="AV643" s="2635"/>
      <c r="AW643" s="2430"/>
    </row>
    <row r="644" s="3330" customFormat="1" spans="1:49">
      <c r="A644" s="3335"/>
      <c r="B644"/>
      <c r="C644" s="5097" t="s">
        <v>1973</v>
      </c>
      <c r="D644" s="3341"/>
      <c r="E644" s="3341"/>
      <c r="F644" s="3341"/>
      <c r="G644" s="3341"/>
      <c r="H644" s="3341"/>
      <c r="I644" s="3341"/>
      <c r="J644" s="3341"/>
      <c r="K644" s="3341"/>
      <c r="L644" s="3341"/>
      <c r="M644" s="3341"/>
      <c r="N644" s="3341"/>
      <c r="O644" s="3341"/>
      <c r="P644" s="3341"/>
      <c r="Q644" s="3341"/>
      <c r="R644" s="3341"/>
      <c r="S644" s="3341"/>
      <c r="T644" s="3341"/>
      <c r="U644" s="3341"/>
      <c r="V644" s="3341"/>
      <c r="W644" s="3341"/>
      <c r="X644" s="3341"/>
      <c r="Y644" s="3341"/>
      <c r="Z644" s="3341"/>
      <c r="AA644" s="3341"/>
      <c r="AB644" s="2682">
        <f>+II!I38</f>
        <v>4781442.44275645</v>
      </c>
      <c r="AC644" s="2682"/>
      <c r="AD644" s="2682"/>
      <c r="AE644" s="2682"/>
      <c r="AF644" s="2682"/>
      <c r="AG644" s="2682"/>
      <c r="AH644" s="2682"/>
      <c r="AI644" s="3341"/>
      <c r="AJ644" s="2682">
        <f>+II!N38</f>
        <v>31891262.529166</v>
      </c>
      <c r="AK644" s="2682"/>
      <c r="AL644" s="2682"/>
      <c r="AM644" s="2682"/>
      <c r="AN644" s="2682"/>
      <c r="AO644" s="2682"/>
      <c r="AP644" s="2682"/>
      <c r="AQ644" s="2635">
        <f>+II!S38</f>
        <v>56477696.8081792</v>
      </c>
      <c r="AR644" s="2635"/>
      <c r="AS644" s="2635"/>
      <c r="AT644" s="2635"/>
      <c r="AU644" s="2635"/>
      <c r="AV644" s="2635"/>
      <c r="AW644" s="2430"/>
    </row>
    <row r="645" s="3330" customFormat="1" ht="9.6" customHeight="1" spans="1:49">
      <c r="A645" s="3335"/>
      <c r="B645"/>
      <c r="C645" s="5097" t="s">
        <v>1974</v>
      </c>
      <c r="D645" s="3341"/>
      <c r="E645" s="3341"/>
      <c r="F645" s="3341"/>
      <c r="G645" s="3341"/>
      <c r="H645" s="3341"/>
      <c r="I645" s="3341"/>
      <c r="J645" s="3341"/>
      <c r="K645" s="3341"/>
      <c r="L645" s="3341"/>
      <c r="M645" s="3341"/>
      <c r="N645" s="3341"/>
      <c r="O645" s="3341"/>
      <c r="P645" s="3341"/>
      <c r="Q645" s="3341"/>
      <c r="R645" s="3341"/>
      <c r="S645" s="3341"/>
      <c r="T645" s="3341"/>
      <c r="U645" s="3341"/>
      <c r="V645" s="3341"/>
      <c r="W645" s="3341"/>
      <c r="X645" s="3341"/>
      <c r="Y645" s="3341"/>
      <c r="Z645" s="3341"/>
      <c r="AA645" s="3341"/>
      <c r="AB645" s="2682">
        <f>+II!I39</f>
        <v>177665616.71531</v>
      </c>
      <c r="AC645" s="2682"/>
      <c r="AD645" s="2682"/>
      <c r="AE645" s="2682"/>
      <c r="AF645" s="2682"/>
      <c r="AG645" s="2682"/>
      <c r="AH645" s="2682"/>
      <c r="AI645" s="3341"/>
      <c r="AJ645" s="2682">
        <f>+II!N39</f>
        <v>266153876.709388</v>
      </c>
      <c r="AK645" s="2682"/>
      <c r="AL645" s="2682"/>
      <c r="AM645" s="2682"/>
      <c r="AN645" s="2682"/>
      <c r="AO645" s="2682"/>
      <c r="AP645" s="2682"/>
      <c r="AQ645" s="2635">
        <f>+II!S39</f>
        <v>339898740.279999</v>
      </c>
      <c r="AR645" s="2635"/>
      <c r="AS645" s="2635"/>
      <c r="AT645" s="2635"/>
      <c r="AU645" s="2635"/>
      <c r="AV645" s="2635"/>
      <c r="AW645" s="2430"/>
    </row>
    <row r="646" s="3330" customFormat="1" spans="1:49">
      <c r="A646" s="3335"/>
      <c r="B646"/>
      <c r="C646" s="5097" t="s">
        <v>2109</v>
      </c>
      <c r="D646" s="3341"/>
      <c r="E646" s="3341"/>
      <c r="F646" s="3341"/>
      <c r="G646" s="3341"/>
      <c r="H646" s="3341"/>
      <c r="I646" s="3341"/>
      <c r="J646" s="3341"/>
      <c r="K646" s="3341"/>
      <c r="L646" s="3341"/>
      <c r="M646" s="3341"/>
      <c r="N646" s="3341"/>
      <c r="O646" s="3341"/>
      <c r="P646" s="3341"/>
      <c r="Q646" s="3341"/>
      <c r="R646" s="3341"/>
      <c r="S646" s="3341"/>
      <c r="T646" s="3341"/>
      <c r="U646" s="3341"/>
      <c r="V646" s="3341"/>
      <c r="W646" s="3341"/>
      <c r="X646" s="3341"/>
      <c r="Y646" s="3341"/>
      <c r="Z646" s="3341"/>
      <c r="AA646" s="3341"/>
      <c r="AB646" s="2682">
        <f>+II!I40</f>
        <v>747927126.950105</v>
      </c>
      <c r="AC646" s="2682"/>
      <c r="AD646" s="2682"/>
      <c r="AE646" s="2682"/>
      <c r="AF646" s="2682"/>
      <c r="AG646" s="2682"/>
      <c r="AH646" s="2682"/>
      <c r="AI646" s="3341"/>
      <c r="AJ646" s="2682">
        <f>+II!N40</f>
        <v>0</v>
      </c>
      <c r="AK646" s="2682"/>
      <c r="AL646" s="2682"/>
      <c r="AM646" s="2682"/>
      <c r="AN646" s="2682"/>
      <c r="AO646" s="2682"/>
      <c r="AP646" s="2682"/>
      <c r="AQ646" s="2635">
        <f>+II!S40</f>
        <v>0</v>
      </c>
      <c r="AR646" s="2635"/>
      <c r="AS646" s="2635"/>
      <c r="AT646" s="2635"/>
      <c r="AU646" s="2635"/>
      <c r="AV646" s="2635"/>
      <c r="AW646" s="2430"/>
    </row>
    <row r="647" s="3330" customFormat="1" spans="1:49">
      <c r="A647" s="3335"/>
      <c r="B647"/>
      <c r="C647" s="5097" t="s">
        <v>2110</v>
      </c>
      <c r="D647" s="3341"/>
      <c r="E647" s="3341"/>
      <c r="F647" s="3341"/>
      <c r="G647" s="3341"/>
      <c r="H647" s="3341"/>
      <c r="I647" s="3341"/>
      <c r="J647" s="3341"/>
      <c r="K647" s="3341"/>
      <c r="L647" s="3341"/>
      <c r="M647" s="3341"/>
      <c r="N647" s="3341"/>
      <c r="O647" s="3341"/>
      <c r="P647" s="3341"/>
      <c r="Q647" s="3341"/>
      <c r="R647" s="3341"/>
      <c r="S647" s="3341"/>
      <c r="T647" s="3341"/>
      <c r="U647" s="3341"/>
      <c r="V647" s="3341"/>
      <c r="W647" s="3341"/>
      <c r="X647" s="3341"/>
      <c r="Y647" s="3341"/>
      <c r="Z647" s="3341"/>
      <c r="AA647" s="3341"/>
      <c r="AB647" s="2682">
        <f>+II!I41</f>
        <v>1317435130.11007</v>
      </c>
      <c r="AC647" s="2682"/>
      <c r="AD647" s="2682"/>
      <c r="AE647" s="2682"/>
      <c r="AF647" s="2682"/>
      <c r="AG647" s="2682"/>
      <c r="AH647" s="2682"/>
      <c r="AI647" s="3341"/>
      <c r="AJ647" s="2682">
        <f>+II!N41</f>
        <v>0</v>
      </c>
      <c r="AK647" s="2682"/>
      <c r="AL647" s="2682"/>
      <c r="AM647" s="2682"/>
      <c r="AN647" s="2682"/>
      <c r="AO647" s="2682"/>
      <c r="AP647" s="2682"/>
      <c r="AQ647" s="2635">
        <f>+II!S41</f>
        <v>0</v>
      </c>
      <c r="AR647" s="2635"/>
      <c r="AS647" s="2635"/>
      <c r="AT647" s="2635"/>
      <c r="AU647" s="2635"/>
      <c r="AV647" s="2635"/>
      <c r="AW647" s="2430"/>
    </row>
    <row r="648" s="3330" customFormat="1" spans="1:49">
      <c r="A648" s="3335"/>
      <c r="B648"/>
      <c r="C648" s="5097" t="s">
        <v>2111</v>
      </c>
      <c r="D648" s="3341"/>
      <c r="E648" s="3341"/>
      <c r="F648" s="3341"/>
      <c r="G648" s="3341"/>
      <c r="H648" s="3341"/>
      <c r="I648" s="3341"/>
      <c r="J648" s="3341"/>
      <c r="K648" s="3341"/>
      <c r="L648" s="3341"/>
      <c r="M648" s="3341"/>
      <c r="N648" s="3341"/>
      <c r="O648" s="3341"/>
      <c r="P648" s="3341"/>
      <c r="Q648" s="3341"/>
      <c r="R648" s="3341"/>
      <c r="S648" s="3341"/>
      <c r="T648" s="3341"/>
      <c r="U648" s="3341"/>
      <c r="V648" s="3341"/>
      <c r="W648" s="3341"/>
      <c r="X648" s="3341"/>
      <c r="Y648" s="3341"/>
      <c r="Z648" s="3341"/>
      <c r="AA648" s="3341"/>
      <c r="AB648" s="2682">
        <f>+II!I42</f>
        <v>82391153.1588957</v>
      </c>
      <c r="AC648" s="2682"/>
      <c r="AD648" s="2682"/>
      <c r="AE648" s="2682"/>
      <c r="AF648" s="2682"/>
      <c r="AG648" s="2682"/>
      <c r="AH648" s="2682"/>
      <c r="AI648" s="3341"/>
      <c r="AJ648" s="2682">
        <f>+II!N42</f>
        <v>0</v>
      </c>
      <c r="AK648" s="2682"/>
      <c r="AL648" s="2682"/>
      <c r="AM648" s="2682"/>
      <c r="AN648" s="2682"/>
      <c r="AO648" s="2682"/>
      <c r="AP648" s="2682"/>
      <c r="AQ648" s="2635">
        <f>+II!S42</f>
        <v>0</v>
      </c>
      <c r="AR648" s="2635"/>
      <c r="AS648" s="2635"/>
      <c r="AT648" s="2635"/>
      <c r="AU648" s="2635"/>
      <c r="AV648" s="2635"/>
      <c r="AW648" s="2430"/>
    </row>
    <row r="649" s="3330" customFormat="1" spans="1:49">
      <c r="A649" s="3335"/>
      <c r="B649"/>
      <c r="C649" s="5097" t="s">
        <v>1978</v>
      </c>
      <c r="D649" s="3341"/>
      <c r="E649" s="3341"/>
      <c r="F649" s="3341"/>
      <c r="G649" s="3341"/>
      <c r="H649" s="3341"/>
      <c r="I649" s="3341"/>
      <c r="J649" s="3341"/>
      <c r="K649" s="3341"/>
      <c r="L649" s="3341"/>
      <c r="M649" s="3341"/>
      <c r="N649" s="3341"/>
      <c r="O649" s="3341"/>
      <c r="P649" s="3341"/>
      <c r="Q649" s="3341"/>
      <c r="R649" s="3341"/>
      <c r="S649" s="3341"/>
      <c r="T649" s="3341"/>
      <c r="U649" s="3341"/>
      <c r="V649" s="3341"/>
      <c r="W649" s="3341"/>
      <c r="X649" s="3341"/>
      <c r="Y649" s="3341"/>
      <c r="Z649" s="3341"/>
      <c r="AA649" s="3341"/>
      <c r="AB649" s="2682">
        <v>0</v>
      </c>
      <c r="AC649" s="2682"/>
      <c r="AD649" s="2682"/>
      <c r="AE649" s="2682"/>
      <c r="AF649" s="2682"/>
      <c r="AG649" s="2682"/>
      <c r="AH649" s="2682"/>
      <c r="AI649" s="3341"/>
      <c r="AJ649" s="2682">
        <f>+II!N43+II!N44</f>
        <v>423697764.581376</v>
      </c>
      <c r="AK649" s="2682"/>
      <c r="AL649" s="2682"/>
      <c r="AM649" s="2682"/>
      <c r="AN649" s="2682"/>
      <c r="AO649" s="2682"/>
      <c r="AP649" s="2682"/>
      <c r="AQ649" s="2635">
        <f>+II!S43+II!S44+II!S45</f>
        <v>1311538854.66325</v>
      </c>
      <c r="AR649" s="2635"/>
      <c r="AS649" s="2635"/>
      <c r="AT649" s="2635"/>
      <c r="AU649" s="2635"/>
      <c r="AV649" s="2635"/>
      <c r="AW649" s="2430"/>
    </row>
    <row r="650" s="3330" customFormat="1" ht="5.45" customHeight="1" spans="1:49">
      <c r="A650" s="3335"/>
      <c r="B650"/>
      <c r="C650" s="2921"/>
      <c r="D650" s="3341"/>
      <c r="E650" s="3341"/>
      <c r="F650" s="3341"/>
      <c r="G650" s="3341"/>
      <c r="H650" s="3341"/>
      <c r="I650" s="3341"/>
      <c r="J650" s="3341"/>
      <c r="K650" s="3341"/>
      <c r="L650" s="3341"/>
      <c r="M650" s="3341"/>
      <c r="N650" s="3341"/>
      <c r="O650" s="3341"/>
      <c r="P650" s="3341"/>
      <c r="Q650" s="3341"/>
      <c r="R650" s="3341"/>
      <c r="S650" s="3341"/>
      <c r="T650" s="3341"/>
      <c r="U650" s="3341"/>
      <c r="V650" s="3341"/>
      <c r="W650" s="3341"/>
      <c r="X650" s="3341"/>
      <c r="Y650" s="3341"/>
      <c r="Z650" s="3341"/>
      <c r="AA650" s="3341"/>
      <c r="AB650" s="3341"/>
      <c r="AC650" s="3341"/>
      <c r="AD650" s="3341"/>
      <c r="AE650" s="3341"/>
      <c r="AF650" s="3341"/>
      <c r="AG650" s="3341"/>
      <c r="AH650" s="3341"/>
      <c r="AI650" s="3341"/>
      <c r="AJ650" s="3341"/>
      <c r="AK650" s="3341"/>
      <c r="AL650" s="3341"/>
      <c r="AM650" s="3341"/>
      <c r="AN650" s="3341"/>
      <c r="AO650" s="3341"/>
      <c r="AP650" s="3341"/>
      <c r="AQ650" s="3341"/>
      <c r="AR650" s="3341"/>
      <c r="AS650" s="3341"/>
      <c r="AT650" s="3341"/>
      <c r="AU650" s="3341"/>
      <c r="AV650" s="3339"/>
      <c r="AW650" s="3342"/>
    </row>
    <row r="651" s="3330" customFormat="1" spans="1:49">
      <c r="A651" s="3335"/>
      <c r="B651"/>
      <c r="C651" s="5097" t="s">
        <v>1979</v>
      </c>
      <c r="D651" s="3341"/>
      <c r="E651" s="3341"/>
      <c r="F651" s="3341"/>
      <c r="G651" s="3341"/>
      <c r="H651" s="3341"/>
      <c r="I651" s="3341"/>
      <c r="J651" s="3341"/>
      <c r="K651" s="3341"/>
      <c r="L651" s="3341"/>
      <c r="M651" s="3341"/>
      <c r="N651" s="3341"/>
      <c r="O651" s="3341"/>
      <c r="P651" s="3341"/>
      <c r="Q651" s="3341"/>
      <c r="R651" s="3341"/>
      <c r="S651" s="3341"/>
      <c r="T651" s="3341"/>
      <c r="U651" s="3341"/>
      <c r="V651" s="3341"/>
      <c r="W651" s="3341"/>
      <c r="X651" s="3341"/>
      <c r="Y651" s="3341"/>
      <c r="Z651" s="3341"/>
      <c r="AA651" s="3341"/>
      <c r="AB651" s="3518">
        <f>SUM(AB642:AH650)</f>
        <v>2571678459.36748</v>
      </c>
      <c r="AC651" s="3518"/>
      <c r="AD651" s="3518"/>
      <c r="AE651" s="3518"/>
      <c r="AF651" s="3518"/>
      <c r="AG651" s="3518"/>
      <c r="AH651" s="3518"/>
      <c r="AI651" s="3341"/>
      <c r="AJ651" s="3518">
        <f>SUM(AJ642:AP650)</f>
        <v>1202317492.9388</v>
      </c>
      <c r="AK651" s="3518"/>
      <c r="AL651" s="3518"/>
      <c r="AM651" s="3518"/>
      <c r="AN651" s="3518"/>
      <c r="AO651" s="3518"/>
      <c r="AP651" s="3518"/>
      <c r="AQ651" s="3521">
        <f>SUM(AQ642:AW650)</f>
        <v>2388479213.51876</v>
      </c>
      <c r="AR651" s="3521"/>
      <c r="AS651" s="3521"/>
      <c r="AT651" s="3521"/>
      <c r="AU651" s="3521"/>
      <c r="AV651" s="3521"/>
      <c r="AW651" s="2430"/>
    </row>
    <row r="652" s="3330" customFormat="1" spans="1:49">
      <c r="A652" s="3335"/>
      <c r="B652"/>
      <c r="C652" s="2921"/>
      <c r="D652" s="3341"/>
      <c r="E652" s="3341"/>
      <c r="F652" s="3341"/>
      <c r="G652" s="3341"/>
      <c r="H652" s="3341"/>
      <c r="I652" s="3341"/>
      <c r="J652" s="3341"/>
      <c r="K652" s="3341"/>
      <c r="L652" s="3341"/>
      <c r="M652" s="3341"/>
      <c r="N652" s="3341"/>
      <c r="O652" s="3341"/>
      <c r="P652" s="3341"/>
      <c r="Q652" s="3341"/>
      <c r="R652" s="3341"/>
      <c r="S652" s="3341"/>
      <c r="T652" s="3341"/>
      <c r="U652" s="3341"/>
      <c r="V652" s="3341"/>
      <c r="W652" s="3341"/>
      <c r="X652" s="3341"/>
      <c r="Y652" s="3341"/>
      <c r="Z652" s="3341"/>
      <c r="AA652" s="3341"/>
      <c r="AB652" s="2682"/>
      <c r="AC652" s="2682"/>
      <c r="AD652" s="2682"/>
      <c r="AE652" s="2682"/>
      <c r="AF652" s="2682"/>
      <c r="AG652" s="2682"/>
      <c r="AH652" s="2682"/>
      <c r="AI652" s="3341"/>
      <c r="AJ652" s="2682"/>
      <c r="AK652" s="2682"/>
      <c r="AL652" s="2682"/>
      <c r="AM652" s="2682"/>
      <c r="AN652" s="2682"/>
      <c r="AO652" s="2682"/>
      <c r="AP652" s="2682"/>
      <c r="AQ652" s="2682"/>
      <c r="AR652" s="2682"/>
      <c r="AS652" s="2682"/>
      <c r="AT652" s="2682"/>
      <c r="AU652" s="2682"/>
      <c r="AV652" s="2682"/>
      <c r="AW652" s="3404"/>
    </row>
    <row r="653" s="3330" customFormat="1" ht="11.1" customHeight="1" spans="1:49">
      <c r="A653" s="3335"/>
      <c r="B653"/>
      <c r="C653" s="5044" t="s">
        <v>2112</v>
      </c>
      <c r="D653" s="3341"/>
      <c r="E653" s="3341"/>
      <c r="F653" s="3341"/>
      <c r="G653" s="3341"/>
      <c r="H653" s="3341"/>
      <c r="I653" s="3341"/>
      <c r="J653" s="3341"/>
      <c r="K653" s="3341"/>
      <c r="L653" s="3341"/>
      <c r="M653" s="3341"/>
      <c r="N653" s="3341"/>
      <c r="O653" s="3341"/>
      <c r="P653" s="3341"/>
      <c r="Q653" s="3341"/>
      <c r="R653" s="3341"/>
      <c r="S653" s="3341"/>
      <c r="T653" s="3341"/>
      <c r="U653" s="3341"/>
      <c r="V653" s="3341"/>
      <c r="W653" s="3341"/>
      <c r="X653" s="3341"/>
      <c r="Y653" s="3341"/>
      <c r="Z653" s="3341"/>
      <c r="AA653" s="3341"/>
      <c r="AB653" s="3496"/>
      <c r="AC653" s="3497"/>
      <c r="AD653" s="3497"/>
      <c r="AE653" s="3497"/>
      <c r="AF653" s="3497"/>
      <c r="AG653" s="3497"/>
      <c r="AH653" s="3497"/>
      <c r="AI653" s="64"/>
      <c r="AJ653" s="3496"/>
      <c r="AK653" s="3497"/>
      <c r="AL653" s="3497"/>
      <c r="AM653" s="3497"/>
      <c r="AN653" s="3497"/>
      <c r="AO653" s="3497"/>
      <c r="AP653" s="3497"/>
      <c r="AQ653" s="3496"/>
      <c r="AR653" s="3497"/>
      <c r="AS653" s="3497"/>
      <c r="AT653" s="3497"/>
      <c r="AU653" s="3497"/>
      <c r="AV653" s="3497"/>
      <c r="AW653" s="3380"/>
    </row>
    <row r="654" s="3330" customFormat="1" customHeight="1" spans="1:49">
      <c r="A654" s="3335"/>
      <c r="B654"/>
      <c r="C654" s="5044" t="s">
        <v>1981</v>
      </c>
      <c r="D654" s="3341"/>
      <c r="E654" s="3341"/>
      <c r="F654" s="3341"/>
      <c r="G654" s="3341"/>
      <c r="H654" s="3341"/>
      <c r="I654" s="3341"/>
      <c r="J654" s="3341"/>
      <c r="K654" s="3341"/>
      <c r="L654" s="3341"/>
      <c r="M654" s="3341"/>
      <c r="N654" s="3341"/>
      <c r="O654" s="3341"/>
      <c r="P654" s="3341"/>
      <c r="Q654" s="3341"/>
      <c r="R654" s="3341"/>
      <c r="S654" s="3341"/>
      <c r="T654" s="3341"/>
      <c r="U654" s="3341"/>
      <c r="V654" s="3341"/>
      <c r="W654" s="3341"/>
      <c r="X654" s="3341"/>
      <c r="Y654" s="3341"/>
      <c r="Z654" s="3341"/>
      <c r="AA654" s="3341"/>
      <c r="AB654" s="2682">
        <f>+II!K14</f>
        <v>2571678459.36748</v>
      </c>
      <c r="AC654" s="2682"/>
      <c r="AD654" s="2682"/>
      <c r="AE654" s="2682"/>
      <c r="AF654" s="2682"/>
      <c r="AG654" s="2682"/>
      <c r="AH654" s="2682"/>
      <c r="AI654" s="3326"/>
      <c r="AJ654" s="2682">
        <f>+II!Q14</f>
        <v>1202317492.9388</v>
      </c>
      <c r="AK654" s="2682"/>
      <c r="AL654" s="2682"/>
      <c r="AM654" s="2682"/>
      <c r="AN654" s="2682"/>
      <c r="AO654" s="2682"/>
      <c r="AP654" s="2682"/>
      <c r="AQ654" s="2635">
        <f>+II!R14</f>
        <v>2388479213.51876</v>
      </c>
      <c r="AR654" s="2635"/>
      <c r="AS654" s="2635"/>
      <c r="AT654" s="2635"/>
      <c r="AU654" s="2635"/>
      <c r="AV654" s="2635"/>
      <c r="AW654" s="2430"/>
    </row>
    <row r="655" s="3330" customFormat="1" customHeight="1" spans="1:49">
      <c r="A655" s="3335"/>
      <c r="B655"/>
      <c r="C655" s="3509" t="s">
        <v>1982</v>
      </c>
      <c r="D655" s="3510"/>
      <c r="E655" s="3510"/>
      <c r="F655" s="3510"/>
      <c r="G655" s="3510"/>
      <c r="H655" s="3510"/>
      <c r="I655" s="3510"/>
      <c r="J655" s="3510"/>
      <c r="K655" s="3510"/>
      <c r="L655" s="3510"/>
      <c r="M655" s="3510"/>
      <c r="N655" s="3510"/>
      <c r="O655" s="3341"/>
      <c r="P655" s="3341"/>
      <c r="Q655" s="3341"/>
      <c r="R655" s="3341"/>
      <c r="S655" s="3341"/>
      <c r="T655" s="3341"/>
      <c r="U655" s="3341"/>
      <c r="V655" s="3341"/>
      <c r="W655" s="3341"/>
      <c r="X655" s="3341"/>
      <c r="Y655" s="3341"/>
      <c r="Z655" s="3341"/>
      <c r="AA655" s="3341"/>
      <c r="AB655" s="3341"/>
      <c r="AC655" s="3341"/>
      <c r="AD655" s="3341"/>
      <c r="AE655" s="3341"/>
      <c r="AF655" s="3341"/>
      <c r="AG655" s="3341"/>
      <c r="AH655" s="3341"/>
      <c r="AI655" s="3341"/>
      <c r="AJ655" s="3341"/>
      <c r="AK655" s="3341"/>
      <c r="AL655" s="3341"/>
      <c r="AM655" s="3341"/>
      <c r="AN655" s="3341"/>
      <c r="AO655" s="3341"/>
      <c r="AP655" s="3341"/>
      <c r="AQ655" s="3341"/>
      <c r="AR655" s="3341"/>
      <c r="AS655" s="3341"/>
      <c r="AT655" s="3341"/>
      <c r="AU655" s="3341"/>
      <c r="AV655" s="3339"/>
      <c r="AW655" s="3342"/>
    </row>
    <row r="656" s="3330" customFormat="1" customHeight="1" spans="1:49">
      <c r="A656" s="3335"/>
      <c r="B656"/>
      <c r="C656" s="3330" t="s">
        <v>778</v>
      </c>
      <c r="D656" s="3341"/>
      <c r="E656" s="3341"/>
      <c r="F656" s="3341"/>
      <c r="G656" s="3341"/>
      <c r="H656" s="3341"/>
      <c r="I656" s="3341"/>
      <c r="J656" s="3341"/>
      <c r="K656" s="3341"/>
      <c r="L656" s="3341"/>
      <c r="M656" s="3341"/>
      <c r="N656" s="3341"/>
      <c r="O656" s="3341"/>
      <c r="P656" s="3341"/>
      <c r="Q656" s="3341"/>
      <c r="R656" s="3341"/>
      <c r="S656" s="3341"/>
      <c r="T656" s="3341"/>
      <c r="U656" s="3341"/>
      <c r="V656" s="3341"/>
      <c r="W656" s="3341"/>
      <c r="X656" s="3341"/>
      <c r="Y656" s="3341"/>
      <c r="Z656" s="3341"/>
      <c r="AA656" s="3341"/>
      <c r="AB656" s="2682">
        <f>+II!K16</f>
        <v>1156341700.40826</v>
      </c>
      <c r="AC656" s="2682"/>
      <c r="AD656" s="2682"/>
      <c r="AE656" s="2682"/>
      <c r="AF656" s="2682"/>
      <c r="AG656" s="2682"/>
      <c r="AH656" s="2682"/>
      <c r="AI656" s="3326"/>
      <c r="AJ656" s="2682">
        <f>+II!Q16</f>
        <v>778392443.790393</v>
      </c>
      <c r="AK656" s="2682"/>
      <c r="AL656" s="2682"/>
      <c r="AM656" s="2682"/>
      <c r="AN656" s="2682"/>
      <c r="AO656" s="2682"/>
      <c r="AP656" s="2682"/>
      <c r="AQ656" s="2635">
        <f>+II!R16</f>
        <v>1186161720.57996</v>
      </c>
      <c r="AR656" s="2635"/>
      <c r="AS656" s="2635"/>
      <c r="AT656" s="2635"/>
      <c r="AU656" s="2635"/>
      <c r="AV656" s="2635"/>
      <c r="AW656" s="2430"/>
    </row>
    <row r="657" s="3330" customFormat="1" ht="5.25" customHeight="1" spans="1:49">
      <c r="A657" s="3335"/>
      <c r="B657"/>
      <c r="C657"/>
      <c r="D657"/>
      <c r="E657"/>
      <c r="F657"/>
      <c r="G657"/>
      <c r="H657"/>
      <c r="I657"/>
      <c r="J657"/>
      <c r="K657"/>
      <c r="L657"/>
      <c r="M657"/>
      <c r="N657"/>
      <c r="O657"/>
      <c r="P657"/>
      <c r="Q657"/>
      <c r="R657"/>
      <c r="S657"/>
      <c r="T657"/>
      <c r="U657"/>
      <c r="V657"/>
      <c r="W657"/>
      <c r="X657"/>
      <c r="Y657"/>
      <c r="Z657"/>
      <c r="AA657"/>
      <c r="AW657" s="3371"/>
    </row>
    <row r="658" s="3330" customFormat="1" customHeight="1" spans="1:49">
      <c r="A658" s="3335"/>
      <c r="B658"/>
      <c r="C658" s="3322" t="s">
        <v>1983</v>
      </c>
      <c r="D658"/>
      <c r="E658"/>
      <c r="F658"/>
      <c r="G658"/>
      <c r="H658"/>
      <c r="I658"/>
      <c r="J658"/>
      <c r="K658"/>
      <c r="L658"/>
      <c r="M658"/>
      <c r="N658"/>
      <c r="O658"/>
      <c r="P658"/>
      <c r="Q658"/>
      <c r="R658"/>
      <c r="S658"/>
      <c r="T658"/>
      <c r="U658"/>
      <c r="V658"/>
      <c r="W658"/>
      <c r="X658"/>
      <c r="Y658"/>
      <c r="Z658"/>
      <c r="AA658"/>
      <c r="AB658" s="3436">
        <f>AB654-AB656</f>
        <v>1415336758.95921</v>
      </c>
      <c r="AC658" s="3436"/>
      <c r="AD658" s="3436"/>
      <c r="AE658" s="3436"/>
      <c r="AF658" s="3436"/>
      <c r="AG658" s="3436"/>
      <c r="AH658" s="3436"/>
      <c r="AI658" s="3464"/>
      <c r="AJ658" s="3436">
        <f>AJ654-AJ656</f>
        <v>423925049.148408</v>
      </c>
      <c r="AK658" s="3436"/>
      <c r="AL658" s="3436"/>
      <c r="AM658" s="3436"/>
      <c r="AN658" s="3436"/>
      <c r="AO658" s="3436"/>
      <c r="AP658" s="3436"/>
      <c r="AQ658" s="3378">
        <f>AQ654-AQ656</f>
        <v>1202317492.9388</v>
      </c>
      <c r="AR658" s="3378"/>
      <c r="AS658" s="3378"/>
      <c r="AT658" s="3378"/>
      <c r="AU658" s="3378"/>
      <c r="AV658" s="3378"/>
      <c r="AW658" s="2433"/>
    </row>
    <row r="659" s="3330" customFormat="1" customHeight="1" spans="1:49">
      <c r="A659" s="3335"/>
      <c r="B659"/>
      <c r="C659" s="3322"/>
      <c r="D659"/>
      <c r="E659"/>
      <c r="F659"/>
      <c r="G659"/>
      <c r="H659"/>
      <c r="I659"/>
      <c r="J659"/>
      <c r="K659"/>
      <c r="L659"/>
      <c r="M659"/>
      <c r="N659"/>
      <c r="O659"/>
      <c r="P659"/>
      <c r="Q659"/>
      <c r="R659"/>
      <c r="S659"/>
      <c r="T659"/>
      <c r="U659"/>
      <c r="V659"/>
      <c r="W659"/>
      <c r="X659"/>
      <c r="Y659"/>
      <c r="Z659"/>
      <c r="AA659"/>
      <c r="AB659" s="2912"/>
      <c r="AC659" s="2912"/>
      <c r="AD659" s="2912"/>
      <c r="AE659" s="2912"/>
      <c r="AF659" s="2912"/>
      <c r="AG659" s="2912"/>
      <c r="AH659" s="2912"/>
      <c r="AI659" s="3464"/>
      <c r="AJ659" s="2912"/>
      <c r="AK659" s="2912"/>
      <c r="AL659" s="2912"/>
      <c r="AM659" s="2912"/>
      <c r="AN659" s="2912"/>
      <c r="AO659" s="2912"/>
      <c r="AP659" s="2912"/>
      <c r="AR659" s="3479"/>
      <c r="AW659" s="3371"/>
    </row>
    <row r="660" s="3330" customFormat="1" ht="35.1" customHeight="1" spans="1:49">
      <c r="A660" s="3335"/>
      <c r="B660"/>
      <c r="C660" s="5036" t="s">
        <v>1984</v>
      </c>
      <c r="D660" s="3341"/>
      <c r="E660" s="3341"/>
      <c r="F660" s="3341"/>
      <c r="G660" s="3341"/>
      <c r="H660" s="3341"/>
      <c r="I660" s="3341"/>
      <c r="J660" s="3341"/>
      <c r="K660" s="3341"/>
      <c r="L660" s="3341"/>
      <c r="M660" s="3341"/>
      <c r="N660" s="3341"/>
      <c r="O660" s="3341"/>
      <c r="P660" s="3341"/>
      <c r="Q660" s="3341"/>
      <c r="R660" s="3341"/>
      <c r="S660" s="3341"/>
      <c r="T660" s="3341"/>
      <c r="U660" s="3341"/>
      <c r="V660" s="3341"/>
      <c r="W660" s="3341"/>
      <c r="X660" s="3341"/>
      <c r="Y660" s="3341"/>
      <c r="Z660" s="3341"/>
      <c r="AA660" s="3341"/>
      <c r="AB660" s="3341"/>
      <c r="AC660" s="3341"/>
      <c r="AD660" s="3341"/>
      <c r="AE660" s="3341"/>
      <c r="AF660" s="3341"/>
      <c r="AG660" s="3341"/>
      <c r="AH660" s="3341"/>
      <c r="AI660" s="3341"/>
      <c r="AJ660" s="3341"/>
      <c r="AK660" s="3341"/>
      <c r="AL660" s="3341"/>
      <c r="AM660" s="3341"/>
      <c r="AN660" s="3341"/>
      <c r="AO660" s="3339"/>
      <c r="AP660" s="3339"/>
      <c r="AR660" s="3479"/>
      <c r="AW660" s="3371"/>
    </row>
    <row r="661" s="3330" customFormat="1" ht="18" customHeight="1" spans="1:49">
      <c r="A661" s="3335"/>
      <c r="B661"/>
      <c r="C661" s="3322"/>
      <c r="D661"/>
      <c r="E661"/>
      <c r="F661"/>
      <c r="G661"/>
      <c r="H661"/>
      <c r="I661"/>
      <c r="J661"/>
      <c r="K661"/>
      <c r="L661"/>
      <c r="M661"/>
      <c r="N661"/>
      <c r="O661"/>
      <c r="P661"/>
      <c r="Q661"/>
      <c r="R661"/>
      <c r="S661"/>
      <c r="T661"/>
      <c r="U661"/>
      <c r="V661"/>
      <c r="W661"/>
      <c r="X661"/>
      <c r="Y661"/>
      <c r="Z661"/>
      <c r="AA661"/>
      <c r="AB661" s="2912"/>
      <c r="AC661" s="2912"/>
      <c r="AD661" s="2912"/>
      <c r="AE661" s="2912"/>
      <c r="AF661" s="2912"/>
      <c r="AG661" s="2912"/>
      <c r="AH661" s="2912"/>
      <c r="AI661" s="3464"/>
      <c r="AJ661" s="2912"/>
      <c r="AK661" s="2912"/>
      <c r="AL661" s="2912"/>
      <c r="AM661" s="2912"/>
      <c r="AN661" s="2912"/>
      <c r="AO661" s="2912"/>
      <c r="AP661" s="2912"/>
      <c r="AR661" s="3479"/>
      <c r="AW661" s="3371"/>
    </row>
    <row r="662" s="3330" customFormat="1" spans="1:49">
      <c r="A662" s="3335">
        <f>A636+1</f>
        <v>14</v>
      </c>
      <c r="B662"/>
      <c r="C662" s="3322" t="s">
        <v>1985</v>
      </c>
      <c r="D662"/>
      <c r="E662"/>
      <c r="F662"/>
      <c r="G662"/>
      <c r="H662"/>
      <c r="I662"/>
      <c r="J662"/>
      <c r="K662"/>
      <c r="L662"/>
      <c r="M662"/>
      <c r="N662"/>
      <c r="O662"/>
      <c r="P662"/>
      <c r="Q662"/>
      <c r="R662"/>
      <c r="S662"/>
      <c r="T662"/>
      <c r="U662"/>
      <c r="V662"/>
      <c r="W662"/>
      <c r="X662"/>
      <c r="Y662"/>
      <c r="Z662"/>
      <c r="AA662"/>
      <c r="AB662" s="3359">
        <f>+AB640</f>
        <v>2022</v>
      </c>
      <c r="AC662" s="3360"/>
      <c r="AD662" s="3360"/>
      <c r="AE662" s="3360"/>
      <c r="AF662" s="3360"/>
      <c r="AG662" s="3360"/>
      <c r="AH662" s="3360"/>
      <c r="AI662" s="64"/>
      <c r="AJ662" s="3359">
        <f>+AJ640</f>
        <v>2021</v>
      </c>
      <c r="AK662" s="3360"/>
      <c r="AL662" s="3360"/>
      <c r="AM662" s="3360"/>
      <c r="AN662" s="3360"/>
      <c r="AO662" s="3360"/>
      <c r="AP662" s="3360"/>
      <c r="AQ662" s="3360">
        <f>+AQ640</f>
        <v>2020</v>
      </c>
      <c r="AR662" s="3331"/>
      <c r="AW662" s="3371"/>
    </row>
    <row r="663" s="3330" customFormat="1" ht="9.2" customHeight="1" spans="1:49">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L663" s="3326"/>
      <c r="AQ663" s="3326"/>
      <c r="AR663" s="3331"/>
      <c r="AW663" s="3371"/>
    </row>
    <row r="664" s="3330" customFormat="1" customHeight="1" spans="1:49">
      <c r="A664"/>
      <c r="B664"/>
      <c r="C664" s="5044" t="s">
        <v>1986</v>
      </c>
      <c r="D664"/>
      <c r="E664"/>
      <c r="F664"/>
      <c r="G664"/>
      <c r="H664"/>
      <c r="I664"/>
      <c r="J664"/>
      <c r="K664"/>
      <c r="L664"/>
      <c r="M664"/>
      <c r="N664"/>
      <c r="O664"/>
      <c r="P664"/>
      <c r="Q664"/>
      <c r="R664"/>
      <c r="S664"/>
      <c r="T664"/>
      <c r="U664"/>
      <c r="V664"/>
      <c r="W664"/>
      <c r="X664"/>
      <c r="Y664"/>
      <c r="Z664"/>
      <c r="AA664"/>
      <c r="AB664"/>
      <c r="AC664"/>
      <c r="AD664"/>
      <c r="AE664"/>
      <c r="AF664"/>
      <c r="AG664"/>
      <c r="AH664"/>
      <c r="AL664" s="3326"/>
      <c r="AQ664" s="3326"/>
      <c r="AR664" s="3331"/>
      <c r="AW664" s="3371"/>
    </row>
    <row r="665" s="3330" customFormat="1" ht="8.25" customHeight="1" spans="1:49">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L665" s="3326"/>
      <c r="AQ665" s="3326"/>
      <c r="AR665" s="3331"/>
      <c r="AW665" s="3371"/>
    </row>
    <row r="666" s="3330" customFormat="1" customHeight="1" spans="1:49">
      <c r="A666"/>
      <c r="B666"/>
      <c r="C666" s="94" t="s">
        <v>1987</v>
      </c>
      <c r="D666"/>
      <c r="E666"/>
      <c r="F666"/>
      <c r="G666"/>
      <c r="H666"/>
      <c r="I666"/>
      <c r="J666"/>
      <c r="K666"/>
      <c r="L666"/>
      <c r="M666"/>
      <c r="N666"/>
      <c r="O666"/>
      <c r="P666"/>
      <c r="Q666"/>
      <c r="R666"/>
      <c r="S666"/>
      <c r="T666"/>
      <c r="U666"/>
      <c r="V666"/>
      <c r="W666"/>
      <c r="X666"/>
      <c r="Y666"/>
      <c r="Z666"/>
      <c r="AA666"/>
      <c r="AR666" s="3360"/>
      <c r="AS666" s="3360"/>
      <c r="AT666" s="3360"/>
      <c r="AU666" s="3360"/>
      <c r="AV666" s="3360"/>
      <c r="AW666" s="3381"/>
    </row>
    <row r="667" s="3330" customFormat="1" spans="1:49">
      <c r="A667"/>
      <c r="B667"/>
      <c r="C667" s="3338" t="s">
        <v>1176</v>
      </c>
      <c r="D667"/>
      <c r="E667"/>
      <c r="F667"/>
      <c r="G667"/>
      <c r="H667"/>
      <c r="I667"/>
      <c r="J667"/>
      <c r="K667"/>
      <c r="L667"/>
      <c r="M667"/>
      <c r="N667"/>
      <c r="O667"/>
      <c r="P667"/>
      <c r="Q667"/>
      <c r="R667"/>
      <c r="S667"/>
      <c r="T667"/>
      <c r="U667"/>
      <c r="V667"/>
      <c r="W667"/>
      <c r="X667"/>
      <c r="Y667"/>
      <c r="Z667"/>
      <c r="AA667" s="3335"/>
      <c r="AB667">
        <f>+DD!K14</f>
        <v>0</v>
      </c>
      <c r="AC667"/>
      <c r="AD667"/>
      <c r="AE667"/>
      <c r="AF667"/>
      <c r="AG667"/>
      <c r="AH667"/>
      <c r="AI667" s="3335"/>
      <c r="AJ667">
        <f>+DD!Q14</f>
        <v>2145000000</v>
      </c>
      <c r="AK667"/>
      <c r="AL667"/>
      <c r="AM667"/>
      <c r="AN667"/>
      <c r="AO667"/>
      <c r="AP667"/>
      <c r="AQ667" s="2623">
        <f>+DD!R14</f>
        <v>2145000000</v>
      </c>
      <c r="AR667" s="2623"/>
      <c r="AS667" s="2623"/>
      <c r="AT667" s="2623"/>
      <c r="AU667" s="2623"/>
      <c r="AV667" s="2623"/>
      <c r="AW667" s="1293"/>
    </row>
    <row r="668" s="3330" customFormat="1" ht="11.45" hidden="1" customHeight="1" spans="1:49">
      <c r="A668"/>
      <c r="B668"/>
      <c r="C668" s="3338" t="s">
        <v>2113</v>
      </c>
      <c r="D668"/>
      <c r="E668"/>
      <c r="F668"/>
      <c r="G668"/>
      <c r="I668"/>
      <c r="J668"/>
      <c r="K668"/>
      <c r="L668"/>
      <c r="M668"/>
      <c r="N668"/>
      <c r="O668"/>
      <c r="P668"/>
      <c r="Q668"/>
      <c r="R668"/>
      <c r="S668"/>
      <c r="T668"/>
      <c r="U668"/>
      <c r="V668"/>
      <c r="W668"/>
      <c r="X668"/>
      <c r="Y668"/>
      <c r="Z668"/>
      <c r="AA668" s="3335"/>
      <c r="AB668">
        <f>+DD!I15</f>
        <v>0</v>
      </c>
      <c r="AC668"/>
      <c r="AD668"/>
      <c r="AE668"/>
      <c r="AF668"/>
      <c r="AG668"/>
      <c r="AH668"/>
      <c r="AI668" s="3335"/>
      <c r="AJ668">
        <f>+DD!Q15</f>
        <v>0</v>
      </c>
      <c r="AK668"/>
      <c r="AL668"/>
      <c r="AM668"/>
      <c r="AN668"/>
      <c r="AO668"/>
      <c r="AP668"/>
      <c r="AQ668" s="2623">
        <f>+DD!R15</f>
        <v>0</v>
      </c>
      <c r="AR668" s="2623"/>
      <c r="AS668" s="2623"/>
      <c r="AT668" s="2623"/>
      <c r="AU668" s="2623"/>
      <c r="AV668" s="2623"/>
      <c r="AW668" s="1293"/>
    </row>
    <row r="669" s="3330" customFormat="1" hidden="1" spans="1:49">
      <c r="A669"/>
      <c r="B669"/>
      <c r="C669" s="3338" t="s">
        <v>2114</v>
      </c>
      <c r="D669"/>
      <c r="E669"/>
      <c r="F669"/>
      <c r="G669"/>
      <c r="I669"/>
      <c r="J669"/>
      <c r="K669"/>
      <c r="L669"/>
      <c r="M669"/>
      <c r="N669"/>
      <c r="O669"/>
      <c r="P669"/>
      <c r="Q669"/>
      <c r="R669"/>
      <c r="S669"/>
      <c r="T669"/>
      <c r="U669"/>
      <c r="V669"/>
      <c r="W669"/>
      <c r="X669"/>
      <c r="Y669"/>
      <c r="Z669"/>
      <c r="AA669" s="3335"/>
      <c r="AB669">
        <f>+DD!I16</f>
        <v>0</v>
      </c>
      <c r="AC669"/>
      <c r="AD669"/>
      <c r="AE669"/>
      <c r="AF669"/>
      <c r="AG669"/>
      <c r="AH669"/>
      <c r="AI669" s="3335"/>
      <c r="AJ669">
        <f>+DD!Q16</f>
        <v>0</v>
      </c>
      <c r="AK669"/>
      <c r="AL669"/>
      <c r="AM669"/>
      <c r="AN669"/>
      <c r="AO669"/>
      <c r="AP669"/>
      <c r="AQ669" s="2623">
        <f>+DD!R16+DD!R17</f>
        <v>844000000</v>
      </c>
      <c r="AR669" s="2623"/>
      <c r="AS669" s="2623"/>
      <c r="AT669" s="2623"/>
      <c r="AU669" s="2623"/>
      <c r="AV669" s="2623"/>
      <c r="AW669" s="1293"/>
    </row>
    <row r="670" s="3330" customFormat="1" ht="4.5" customHeight="1" spans="1:49">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2919"/>
      <c r="AC670" s="2919"/>
      <c r="AD670" s="2919"/>
      <c r="AE670" s="2919"/>
      <c r="AF670" s="2919"/>
      <c r="AG670" s="2919"/>
      <c r="AH670" s="2919"/>
      <c r="AI670" s="3520"/>
      <c r="AJ670" s="2919"/>
      <c r="AK670" s="2919"/>
      <c r="AL670" s="2919"/>
      <c r="AM670" s="2919"/>
      <c r="AN670" s="2919"/>
      <c r="AO670" s="2919"/>
      <c r="AP670" s="2919"/>
      <c r="AQ670" s="3522"/>
      <c r="AR670" s="3522"/>
      <c r="AS670" s="3522"/>
      <c r="AT670" s="3522"/>
      <c r="AU670" s="3522"/>
      <c r="AV670" s="3522"/>
      <c r="AW670" s="2433"/>
    </row>
    <row r="671" s="3330" customFormat="1" spans="1:49">
      <c r="A671" s="64"/>
      <c r="B671" s="64"/>
      <c r="C671" s="3511" t="s">
        <v>1990</v>
      </c>
      <c r="D671" s="94"/>
      <c r="E671" s="94"/>
      <c r="F671" s="94"/>
      <c r="G671" s="94"/>
      <c r="H671" s="94"/>
      <c r="I671" s="94"/>
      <c r="J671" s="94"/>
      <c r="K671" s="94"/>
      <c r="L671" s="94"/>
      <c r="M671" s="94"/>
      <c r="N671" s="94"/>
      <c r="O671" s="94"/>
      <c r="P671" s="94"/>
      <c r="Q671" s="94"/>
      <c r="R671" s="94"/>
      <c r="S671" s="94"/>
      <c r="T671" s="94"/>
      <c r="U671" s="94"/>
      <c r="V671" s="94"/>
      <c r="W671" s="94"/>
      <c r="X671" s="94"/>
      <c r="Y671" s="94"/>
      <c r="Z671" s="94"/>
      <c r="AA671" s="94"/>
      <c r="AB671" s="94">
        <f>SUM(AB667:AH670)</f>
        <v>0</v>
      </c>
      <c r="AC671" s="94"/>
      <c r="AD671" s="94"/>
      <c r="AE671" s="94"/>
      <c r="AF671" s="94"/>
      <c r="AG671" s="94"/>
      <c r="AH671" s="94"/>
      <c r="AI671" s="3520"/>
      <c r="AJ671" s="94">
        <f>SUM(AJ667:AP670)</f>
        <v>2145000000</v>
      </c>
      <c r="AK671" s="94"/>
      <c r="AL671" s="94"/>
      <c r="AM671" s="94"/>
      <c r="AN671" s="94"/>
      <c r="AO671" s="94"/>
      <c r="AP671" s="94"/>
      <c r="AQ671" s="2671">
        <f>SUM(AQ667:AW670)</f>
        <v>2989000000</v>
      </c>
      <c r="AR671" s="2671"/>
      <c r="AS671" s="2671"/>
      <c r="AT671" s="2671"/>
      <c r="AU671" s="2671"/>
      <c r="AV671" s="2671"/>
      <c r="AW671" s="2433"/>
    </row>
    <row r="672" s="3330" customFormat="1" ht="9.2" customHeight="1" spans="1:49">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c r="AC672"/>
      <c r="AD672"/>
      <c r="AE672"/>
      <c r="AF672"/>
      <c r="AG672"/>
      <c r="AH672"/>
      <c r="AI672" s="3335"/>
      <c r="AJ672"/>
      <c r="AK672"/>
      <c r="AL672"/>
      <c r="AM672"/>
      <c r="AN672"/>
      <c r="AO672"/>
      <c r="AP672"/>
      <c r="AQ672" s="2623">
        <f>+AQ671-DD!R19</f>
        <v>0</v>
      </c>
      <c r="AR672" s="2623"/>
      <c r="AS672" s="2623"/>
      <c r="AT672" s="2623"/>
      <c r="AU672" s="2623"/>
      <c r="AV672" s="2623"/>
      <c r="AW672" s="1293"/>
    </row>
    <row r="673" s="3330" customFormat="1" customHeight="1" spans="1:49">
      <c r="A673" s="3335"/>
      <c r="B673"/>
      <c r="C673" s="94" t="s">
        <v>1991</v>
      </c>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c r="AG673" s="64"/>
      <c r="AH673" s="64"/>
      <c r="AI673" s="64"/>
      <c r="AJ673" s="64"/>
      <c r="AK673" s="64"/>
      <c r="AL673" s="64"/>
      <c r="AM673" s="64"/>
      <c r="AN673" s="64"/>
      <c r="AO673" s="64"/>
      <c r="AP673" s="64"/>
      <c r="AQ673" s="64"/>
      <c r="AR673" s="64"/>
      <c r="AS673" s="64"/>
      <c r="AT673" s="64"/>
      <c r="AU673" s="64"/>
      <c r="AV673" s="64"/>
      <c r="AW673" s="1350"/>
    </row>
    <row r="674" s="3330" customFormat="1" spans="1:49">
      <c r="A674" s="3335"/>
      <c r="B674"/>
      <c r="C674" s="5044" t="s">
        <v>2115</v>
      </c>
      <c r="D674" s="3341"/>
      <c r="E674" s="3341"/>
      <c r="F674" s="3341"/>
      <c r="G674" s="3341"/>
      <c r="H674" s="3341"/>
      <c r="I674" s="3341"/>
      <c r="J674" s="3341"/>
      <c r="K674" s="3341"/>
      <c r="L674" s="3341"/>
      <c r="M674" s="3341"/>
      <c r="N674" s="3341"/>
      <c r="O674" s="3341"/>
      <c r="P674" s="3341"/>
      <c r="Q674" s="3341"/>
      <c r="R674" s="3341"/>
      <c r="S674" s="3341"/>
      <c r="T674" s="3341"/>
      <c r="U674" s="3341"/>
      <c r="V674" s="3341"/>
      <c r="W674" s="3341"/>
      <c r="X674" s="3341"/>
      <c r="Y674" s="3341"/>
      <c r="Z674" s="3341"/>
      <c r="AA674" s="3341"/>
      <c r="AB674" s="2682">
        <f>+DD!K22</f>
        <v>8475251179</v>
      </c>
      <c r="AC674" s="2682"/>
      <c r="AD674" s="2682"/>
      <c r="AE674" s="2682"/>
      <c r="AF674" s="2682"/>
      <c r="AG674" s="2682"/>
      <c r="AH674" s="2682"/>
      <c r="AI674" s="3326"/>
      <c r="AJ674" s="2682">
        <f>+DD!Q22</f>
        <v>0</v>
      </c>
      <c r="AK674" s="2682"/>
      <c r="AL674" s="2682"/>
      <c r="AM674" s="2682"/>
      <c r="AN674" s="2682"/>
      <c r="AO674" s="2682"/>
      <c r="AP674" s="2682"/>
      <c r="AQ674" s="2635">
        <f>+DD!R22</f>
        <v>0</v>
      </c>
      <c r="AR674" s="2635"/>
      <c r="AS674" s="2635"/>
      <c r="AT674" s="2635"/>
      <c r="AU674" s="2635"/>
      <c r="AV674" s="2635"/>
      <c r="AW674" s="2430"/>
    </row>
    <row r="675" s="3330" customFormat="1" spans="1:49">
      <c r="A675" s="3335"/>
      <c r="B675"/>
      <c r="C675" s="5044" t="s">
        <v>1994</v>
      </c>
      <c r="AB675" s="2682">
        <f>+DD!I23</f>
        <v>0</v>
      </c>
      <c r="AC675" s="2682"/>
      <c r="AD675" s="2682"/>
      <c r="AE675" s="2682"/>
      <c r="AF675" s="2682"/>
      <c r="AG675" s="2682"/>
      <c r="AH675" s="2682"/>
      <c r="AJ675" s="2682">
        <f>+DD!Q24</f>
        <v>19929512400.0357</v>
      </c>
      <c r="AK675" s="2682"/>
      <c r="AL675" s="2682"/>
      <c r="AM675" s="2682"/>
      <c r="AN675" s="2682"/>
      <c r="AO675" s="2682"/>
      <c r="AP675" s="2682"/>
      <c r="AQ675" s="2635">
        <f>+DD!R23</f>
        <v>0</v>
      </c>
      <c r="AR675" s="2635"/>
      <c r="AS675" s="2635"/>
      <c r="AT675" s="2635"/>
      <c r="AU675" s="2635"/>
      <c r="AV675" s="2635"/>
      <c r="AW675" s="2430"/>
    </row>
    <row r="676" s="3330" customFormat="1" customHeight="1" spans="1:49">
      <c r="A676" s="3335"/>
      <c r="B676"/>
      <c r="C676" s="5044" t="str">
        <f>+Note21!C641</f>
        <v>Bambang Prijambodo</v>
      </c>
      <c r="D676" s="3341"/>
      <c r="E676" s="3341"/>
      <c r="F676" s="3341"/>
      <c r="G676" s="3341"/>
      <c r="H676" s="3341"/>
      <c r="I676" s="3341"/>
      <c r="J676" s="3341"/>
      <c r="K676" s="3341"/>
      <c r="L676" s="3341"/>
      <c r="M676" s="3341"/>
      <c r="N676" s="3341"/>
      <c r="O676" s="3341"/>
      <c r="P676" s="3341"/>
      <c r="Q676" s="3341"/>
      <c r="R676" s="3341"/>
      <c r="S676" s="3341"/>
      <c r="T676" s="3341"/>
      <c r="U676" s="3341"/>
      <c r="V676" s="3341"/>
      <c r="W676" s="3341"/>
      <c r="X676" s="3341"/>
      <c r="Y676" s="3341"/>
      <c r="Z676" s="3341"/>
      <c r="AA676" s="3341"/>
      <c r="AB676" s="2682">
        <f>+'F2'!I30</f>
        <v>838597000</v>
      </c>
      <c r="AC676" s="2682"/>
      <c r="AD676" s="2682"/>
      <c r="AE676" s="2682"/>
      <c r="AF676" s="2682"/>
      <c r="AG676" s="2682"/>
      <c r="AH676" s="2682"/>
      <c r="AI676" s="3326"/>
      <c r="AJ676" s="2682">
        <f>+DD!Q25+DD!Q26</f>
        <v>838597000</v>
      </c>
      <c r="AK676" s="2682"/>
      <c r="AL676" s="2682"/>
      <c r="AM676" s="2682"/>
      <c r="AN676" s="2682"/>
      <c r="AO676" s="2682"/>
      <c r="AP676" s="2682"/>
      <c r="AQ676" s="2635">
        <f>+DD!R24</f>
        <v>21778127642.9259</v>
      </c>
      <c r="AR676" s="2635"/>
      <c r="AS676" s="2635"/>
      <c r="AT676" s="2635"/>
      <c r="AU676" s="2635"/>
      <c r="AV676" s="2635"/>
      <c r="AW676" s="2430"/>
    </row>
    <row r="677" s="3330" customFormat="1" ht="4.5" customHeight="1" spans="36:49">
      <c r="AJ677" s="2682"/>
      <c r="AK677" s="2682"/>
      <c r="AL677" s="2682"/>
      <c r="AM677" s="2682"/>
      <c r="AN677" s="2682"/>
      <c r="AO677" s="2682"/>
      <c r="AP677" s="2682"/>
      <c r="AW677" s="3371"/>
    </row>
    <row r="678" s="3330" customFormat="1" customHeight="1" spans="3:49">
      <c r="C678" s="3322" t="s">
        <v>1996</v>
      </c>
      <c r="D678"/>
      <c r="E678"/>
      <c r="F678"/>
      <c r="G678"/>
      <c r="H678"/>
      <c r="I678"/>
      <c r="J678"/>
      <c r="K678"/>
      <c r="L678"/>
      <c r="M678"/>
      <c r="N678"/>
      <c r="O678"/>
      <c r="P678"/>
      <c r="Q678"/>
      <c r="R678"/>
      <c r="S678"/>
      <c r="T678"/>
      <c r="U678"/>
      <c r="V678"/>
      <c r="W678"/>
      <c r="X678"/>
      <c r="Y678"/>
      <c r="Z678"/>
      <c r="AA678"/>
      <c r="AB678" s="3324">
        <f>SUM(AB674:AH677)</f>
        <v>9313848179</v>
      </c>
      <c r="AC678" s="3324"/>
      <c r="AD678" s="3324"/>
      <c r="AE678" s="3324"/>
      <c r="AF678" s="3324"/>
      <c r="AG678" s="3324"/>
      <c r="AH678" s="3324"/>
      <c r="AI678" s="3464"/>
      <c r="AJ678" s="3324">
        <f>SUM(AJ674:AP677)</f>
        <v>20768109400.0357</v>
      </c>
      <c r="AK678" s="3324"/>
      <c r="AL678" s="3324"/>
      <c r="AM678" s="3324"/>
      <c r="AN678" s="3324"/>
      <c r="AO678" s="3324"/>
      <c r="AP678" s="3324"/>
      <c r="AQ678" s="3378">
        <f>SUM(AQ674:AW677)</f>
        <v>21778127642.9259</v>
      </c>
      <c r="AR678" s="3378"/>
      <c r="AS678" s="3378"/>
      <c r="AT678" s="3378"/>
      <c r="AU678" s="3378"/>
      <c r="AV678" s="3378"/>
      <c r="AW678" s="2433"/>
    </row>
    <row r="679" s="3330" customFormat="1" ht="14.1" customHeight="1" spans="3:49">
      <c r="C679" s="3322"/>
      <c r="D679"/>
      <c r="E679"/>
      <c r="F679"/>
      <c r="G679"/>
      <c r="H679"/>
      <c r="I679"/>
      <c r="J679"/>
      <c r="K679"/>
      <c r="L679"/>
      <c r="M679"/>
      <c r="N679"/>
      <c r="O679"/>
      <c r="P679"/>
      <c r="Q679"/>
      <c r="R679"/>
      <c r="S679"/>
      <c r="T679"/>
      <c r="U679"/>
      <c r="V679"/>
      <c r="W679"/>
      <c r="X679"/>
      <c r="Y679"/>
      <c r="Z679"/>
      <c r="AA679"/>
      <c r="AB679" s="2682">
        <f>+AB678-'F2'!K30</f>
        <v>0</v>
      </c>
      <c r="AC679" s="2682"/>
      <c r="AD679" s="2682"/>
      <c r="AE679" s="2682"/>
      <c r="AF679" s="2682"/>
      <c r="AG679" s="2682"/>
      <c r="AH679" s="2682"/>
      <c r="AJ679" s="2682">
        <f>+AJ678-DD!Q27</f>
        <v>0</v>
      </c>
      <c r="AK679" s="2682"/>
      <c r="AL679" s="2682"/>
      <c r="AM679" s="2682"/>
      <c r="AN679" s="2682"/>
      <c r="AO679" s="2682"/>
      <c r="AP679" s="2682"/>
      <c r="AQ679" s="2635">
        <f>+AQ678-DD!R27</f>
        <v>-459940000</v>
      </c>
      <c r="AR679" s="2635"/>
      <c r="AS679" s="2635"/>
      <c r="AT679" s="2635"/>
      <c r="AU679" s="2635"/>
      <c r="AV679" s="2635"/>
      <c r="AW679" s="2430"/>
    </row>
    <row r="680" s="3330" customFormat="1" ht="23.1" customHeight="1" spans="3:49">
      <c r="C680" s="5059" t="s">
        <v>2116</v>
      </c>
      <c r="D680" s="2104"/>
      <c r="E680" s="2104"/>
      <c r="F680" s="2104"/>
      <c r="G680" s="2104"/>
      <c r="H680" s="2104"/>
      <c r="I680" s="2104"/>
      <c r="J680" s="2104"/>
      <c r="K680" s="2104"/>
      <c r="L680" s="2104"/>
      <c r="M680" s="2104"/>
      <c r="N680" s="2104"/>
      <c r="O680" s="2104"/>
      <c r="P680" s="2104"/>
      <c r="Q680" s="2104"/>
      <c r="R680" s="2104"/>
      <c r="S680" s="2104"/>
      <c r="T680" s="2104"/>
      <c r="U680" s="2104"/>
      <c r="V680" s="2104"/>
      <c r="W680" s="2104"/>
      <c r="X680" s="2104"/>
      <c r="Y680" s="2104"/>
      <c r="Z680" s="2104"/>
      <c r="AA680" s="2104"/>
      <c r="AB680" s="2104"/>
      <c r="AC680" s="2104"/>
      <c r="AD680" s="2104"/>
      <c r="AE680" s="2104"/>
      <c r="AF680" s="2104"/>
      <c r="AG680" s="2104"/>
      <c r="AH680" s="2104"/>
      <c r="AI680" s="2104"/>
      <c r="AJ680" s="2104"/>
      <c r="AK680" s="2104"/>
      <c r="AL680" s="2104"/>
      <c r="AM680" s="2104"/>
      <c r="AN680" s="2104"/>
      <c r="AO680" s="2104"/>
      <c r="AP680" s="2104"/>
      <c r="AQ680" s="64"/>
      <c r="AR680" s="3479"/>
      <c r="AW680" s="3371"/>
    </row>
    <row r="681" s="3330" customFormat="1" ht="8.1" customHeight="1" spans="3:49">
      <c r="C681" s="3322"/>
      <c r="D681"/>
      <c r="E681"/>
      <c r="F681"/>
      <c r="G681"/>
      <c r="H681"/>
      <c r="I681"/>
      <c r="J681"/>
      <c r="K681"/>
      <c r="L681"/>
      <c r="M681"/>
      <c r="N681"/>
      <c r="O681"/>
      <c r="P681"/>
      <c r="Q681"/>
      <c r="R681"/>
      <c r="S681"/>
      <c r="T681"/>
      <c r="U681"/>
      <c r="V681"/>
      <c r="W681"/>
      <c r="X681"/>
      <c r="Y681"/>
      <c r="Z681"/>
      <c r="AA681"/>
      <c r="AB681"/>
      <c r="AC681"/>
      <c r="AD681"/>
      <c r="AE681"/>
      <c r="AF681"/>
      <c r="AG681"/>
      <c r="AH681"/>
      <c r="AI681" s="3464"/>
      <c r="AJ681"/>
      <c r="AK681"/>
      <c r="AL681"/>
      <c r="AM681"/>
      <c r="AN681"/>
      <c r="AO681"/>
      <c r="AP681"/>
      <c r="AQ681" s="64"/>
      <c r="AR681" s="3479"/>
      <c r="AW681" s="3371"/>
    </row>
    <row r="682" s="3330" customFormat="1" ht="24.95" hidden="1" customHeight="1" spans="3:49">
      <c r="C682" s="5059" t="s">
        <v>1998</v>
      </c>
      <c r="D682" s="2104"/>
      <c r="E682" s="2104"/>
      <c r="F682" s="2104"/>
      <c r="G682" s="2104"/>
      <c r="H682" s="2104"/>
      <c r="I682" s="2104"/>
      <c r="J682" s="2104"/>
      <c r="K682" s="2104"/>
      <c r="L682" s="2104"/>
      <c r="M682" s="2104"/>
      <c r="N682" s="2104"/>
      <c r="O682" s="2104"/>
      <c r="P682" s="2104"/>
      <c r="Q682" s="2104"/>
      <c r="R682" s="2104"/>
      <c r="S682" s="2104"/>
      <c r="T682" s="2104"/>
      <c r="U682" s="2104"/>
      <c r="V682" s="2104"/>
      <c r="W682" s="2104"/>
      <c r="X682" s="2104"/>
      <c r="Y682" s="2104"/>
      <c r="Z682" s="2104"/>
      <c r="AA682" s="2104"/>
      <c r="AB682" s="2104"/>
      <c r="AC682" s="2104"/>
      <c r="AD682" s="2104"/>
      <c r="AE682" s="2104"/>
      <c r="AF682" s="2104"/>
      <c r="AG682" s="2104"/>
      <c r="AH682" s="2104"/>
      <c r="AI682" s="2104"/>
      <c r="AJ682" s="2104"/>
      <c r="AK682" s="2104"/>
      <c r="AL682" s="2104"/>
      <c r="AM682" s="2104"/>
      <c r="AN682" s="2104"/>
      <c r="AO682" s="2104"/>
      <c r="AP682" s="2104"/>
      <c r="AQ682" s="64"/>
      <c r="AR682" s="3479"/>
      <c r="AW682" s="3371"/>
    </row>
    <row r="683" s="3330" customFormat="1" ht="0.6" customHeight="1" spans="3:49">
      <c r="C683" s="3322"/>
      <c r="D683"/>
      <c r="E683"/>
      <c r="F683"/>
      <c r="G683"/>
      <c r="H683"/>
      <c r="I683"/>
      <c r="J683"/>
      <c r="K683"/>
      <c r="L683"/>
      <c r="M683"/>
      <c r="N683"/>
      <c r="O683"/>
      <c r="P683"/>
      <c r="Q683"/>
      <c r="R683"/>
      <c r="S683"/>
      <c r="T683"/>
      <c r="U683"/>
      <c r="V683"/>
      <c r="W683"/>
      <c r="X683"/>
      <c r="Y683"/>
      <c r="Z683"/>
      <c r="AA683"/>
      <c r="AB683"/>
      <c r="AC683"/>
      <c r="AD683"/>
      <c r="AE683"/>
      <c r="AF683"/>
      <c r="AG683"/>
      <c r="AH683"/>
      <c r="AI683" s="3464"/>
      <c r="AJ683"/>
      <c r="AK683"/>
      <c r="AL683"/>
      <c r="AM683"/>
      <c r="AN683"/>
      <c r="AO683"/>
      <c r="AP683"/>
      <c r="AQ683" s="64"/>
      <c r="AR683" s="3479"/>
      <c r="AW683" s="3371"/>
    </row>
    <row r="684" s="3330" customFormat="1" ht="25.5" customHeight="1" spans="3:49">
      <c r="C684" s="5059" t="s">
        <v>1999</v>
      </c>
      <c r="D684" s="2104"/>
      <c r="E684" s="2104"/>
      <c r="F684" s="2104"/>
      <c r="G684" s="2104"/>
      <c r="H684" s="2104"/>
      <c r="I684" s="2104"/>
      <c r="J684" s="2104"/>
      <c r="K684" s="2104"/>
      <c r="L684" s="2104"/>
      <c r="M684" s="2104"/>
      <c r="N684" s="2104"/>
      <c r="O684" s="2104"/>
      <c r="P684" s="2104"/>
      <c r="Q684" s="2104"/>
      <c r="R684" s="2104"/>
      <c r="S684" s="2104"/>
      <c r="T684" s="2104"/>
      <c r="U684" s="2104"/>
      <c r="V684" s="2104"/>
      <c r="W684" s="2104"/>
      <c r="X684" s="2104"/>
      <c r="Y684" s="2104"/>
      <c r="Z684" s="2104"/>
      <c r="AA684" s="2104"/>
      <c r="AB684" s="2104"/>
      <c r="AC684" s="2104"/>
      <c r="AD684" s="2104"/>
      <c r="AE684" s="2104"/>
      <c r="AF684" s="2104"/>
      <c r="AG684" s="2104"/>
      <c r="AH684" s="2104"/>
      <c r="AI684" s="2104"/>
      <c r="AJ684" s="2104"/>
      <c r="AK684" s="2104"/>
      <c r="AL684" s="2104"/>
      <c r="AM684" s="2104"/>
      <c r="AN684" s="2104"/>
      <c r="AO684" s="2104"/>
      <c r="AP684" s="2104"/>
      <c r="AQ684" s="64"/>
      <c r="AR684" s="3479"/>
      <c r="AW684" s="3371"/>
    </row>
    <row r="685" s="3330" customFormat="1" customHeight="1" spans="3:49">
      <c r="C685" s="3322"/>
      <c r="D685"/>
      <c r="E685"/>
      <c r="F685"/>
      <c r="G685"/>
      <c r="H685"/>
      <c r="I685"/>
      <c r="J685"/>
      <c r="K685"/>
      <c r="L685"/>
      <c r="M685"/>
      <c r="N685"/>
      <c r="O685"/>
      <c r="P685"/>
      <c r="Q685"/>
      <c r="R685"/>
      <c r="S685"/>
      <c r="T685"/>
      <c r="U685"/>
      <c r="V685"/>
      <c r="W685"/>
      <c r="X685"/>
      <c r="Y685"/>
      <c r="Z685"/>
      <c r="AA685"/>
      <c r="AB685"/>
      <c r="AC685"/>
      <c r="AD685"/>
      <c r="AE685"/>
      <c r="AF685"/>
      <c r="AG685"/>
      <c r="AH685"/>
      <c r="AI685" s="3464"/>
      <c r="AJ685"/>
      <c r="AK685"/>
      <c r="AL685"/>
      <c r="AM685"/>
      <c r="AN685"/>
      <c r="AO685"/>
      <c r="AP685"/>
      <c r="AQ685" s="64"/>
      <c r="AR685" s="3479"/>
      <c r="AW685" s="3371"/>
    </row>
    <row r="686" s="3330" customFormat="1" customHeight="1" spans="43:49">
      <c r="AQ686" s="64"/>
      <c r="AR686" s="3479"/>
      <c r="AW686" s="3371"/>
    </row>
    <row r="687" s="3330" customFormat="1" customHeight="1" spans="43:49">
      <c r="AQ687" s="64"/>
      <c r="AR687" s="3479"/>
      <c r="AW687" s="3371"/>
    </row>
    <row r="688" s="3330" customFormat="1" customHeight="1" spans="1:49">
      <c r="A688" s="3385">
        <f>+A620+1</f>
        <v>17</v>
      </c>
      <c r="B688" s="3385"/>
      <c r="C688" s="3385"/>
      <c r="D688" s="3385"/>
      <c r="E688" s="3385"/>
      <c r="F688" s="3385"/>
      <c r="G688" s="3385"/>
      <c r="H688" s="3385"/>
      <c r="I688" s="3385"/>
      <c r="J688" s="3385"/>
      <c r="K688" s="3385"/>
      <c r="L688" s="3385"/>
      <c r="M688" s="3385"/>
      <c r="N688" s="3385"/>
      <c r="O688" s="3385"/>
      <c r="P688" s="3385"/>
      <c r="Q688" s="3385"/>
      <c r="R688" s="3385"/>
      <c r="S688" s="3385"/>
      <c r="T688" s="3385"/>
      <c r="U688" s="3385"/>
      <c r="V688" s="3385"/>
      <c r="W688" s="3385"/>
      <c r="X688" s="3385"/>
      <c r="Y688" s="3385"/>
      <c r="Z688" s="3385"/>
      <c r="AA688" s="3385"/>
      <c r="AB688" s="3385"/>
      <c r="AC688" s="3385"/>
      <c r="AD688" s="3385"/>
      <c r="AE688" s="3385"/>
      <c r="AF688" s="3385"/>
      <c r="AG688" s="3385"/>
      <c r="AH688" s="3385"/>
      <c r="AI688" s="3385"/>
      <c r="AJ688" s="3385"/>
      <c r="AK688" s="3385"/>
      <c r="AL688" s="3385"/>
      <c r="AM688" s="3385"/>
      <c r="AN688" s="3385"/>
      <c r="AO688" s="3385"/>
      <c r="AP688" s="3385"/>
      <c r="AQ688" s="64"/>
      <c r="AR688" s="3479"/>
      <c r="AW688" s="3371"/>
    </row>
    <row r="689" s="3330" customFormat="1" customHeight="1" spans="1:49">
      <c r="A689" s="3335">
        <f>A662+1</f>
        <v>15</v>
      </c>
      <c r="B689"/>
      <c r="C689" s="3322" t="s">
        <v>2000</v>
      </c>
      <c r="AB689" s="3359">
        <f>+AB662</f>
        <v>2022</v>
      </c>
      <c r="AC689" s="3360"/>
      <c r="AD689" s="3360"/>
      <c r="AE689" s="3360"/>
      <c r="AF689" s="3360"/>
      <c r="AG689" s="3360"/>
      <c r="AH689" s="3360"/>
      <c r="AI689" s="64"/>
      <c r="AJ689" s="3359">
        <f>+AJ662</f>
        <v>2021</v>
      </c>
      <c r="AK689" s="3360"/>
      <c r="AL689" s="3360"/>
      <c r="AM689" s="3360"/>
      <c r="AN689" s="3360"/>
      <c r="AO689" s="3360"/>
      <c r="AP689" s="3360"/>
      <c r="AQ689" s="3360">
        <f>+AQ666</f>
        <v>0</v>
      </c>
      <c r="AR689" s="3479"/>
      <c r="AW689" s="3371"/>
    </row>
    <row r="690" s="3330" customFormat="1" ht="9.2" customHeight="1" spans="44:49">
      <c r="AR690" s="3479"/>
      <c r="AW690" s="3371"/>
    </row>
    <row r="691" s="3330" customFormat="1" ht="23.45" customHeight="1" spans="3:49">
      <c r="C691" s="5059" t="s">
        <v>2117</v>
      </c>
      <c r="D691" s="2104"/>
      <c r="E691" s="2104"/>
      <c r="F691" s="2104"/>
      <c r="G691" s="2104"/>
      <c r="H691" s="2104"/>
      <c r="I691" s="2104"/>
      <c r="J691" s="2104"/>
      <c r="K691" s="2104"/>
      <c r="L691" s="2104"/>
      <c r="M691" s="2104"/>
      <c r="N691" s="2104"/>
      <c r="O691" s="2104"/>
      <c r="P691" s="2104"/>
      <c r="Q691" s="2104"/>
      <c r="R691" s="2104"/>
      <c r="S691" s="2104"/>
      <c r="T691" s="2104"/>
      <c r="U691" s="2104"/>
      <c r="V691" s="2104"/>
      <c r="W691" s="2104"/>
      <c r="X691" s="2104"/>
      <c r="Y691" s="2104"/>
      <c r="Z691" s="2104"/>
      <c r="AA691" s="2104"/>
      <c r="AB691" s="2104"/>
      <c r="AC691" s="2104"/>
      <c r="AD691" s="2104"/>
      <c r="AE691" s="2104"/>
      <c r="AF691" s="2104"/>
      <c r="AG691" s="2104"/>
      <c r="AH691" s="2104"/>
      <c r="AI691" s="2104"/>
      <c r="AJ691" s="2104"/>
      <c r="AK691" s="2104"/>
      <c r="AL691" s="2104"/>
      <c r="AM691" s="2104"/>
      <c r="AN691" s="2104"/>
      <c r="AO691" s="2104"/>
      <c r="AP691" s="2104"/>
      <c r="AR691" s="3479"/>
      <c r="AW691" s="3371"/>
    </row>
    <row r="692" s="3330" customFormat="1" ht="7.5" customHeight="1" spans="1:52">
      <c r="A692" s="3326"/>
      <c r="B692" s="3326"/>
      <c r="C692" s="3326"/>
      <c r="D692" s="3326"/>
      <c r="E692" s="3326"/>
      <c r="F692" s="3326"/>
      <c r="G692" s="3326"/>
      <c r="H692" s="3326"/>
      <c r="I692" s="3326"/>
      <c r="J692" s="3326"/>
      <c r="K692" s="3326"/>
      <c r="L692" s="3326"/>
      <c r="M692" s="3326"/>
      <c r="N692" s="3326"/>
      <c r="O692" s="3326"/>
      <c r="P692" s="3326"/>
      <c r="Q692" s="3326"/>
      <c r="R692" s="3326"/>
      <c r="S692" s="3326"/>
      <c r="T692" s="3326"/>
      <c r="U692" s="3326"/>
      <c r="V692" s="3326"/>
      <c r="W692" s="3326"/>
      <c r="X692" s="3326"/>
      <c r="Y692" s="3326"/>
      <c r="Z692" s="3326"/>
      <c r="AA692" s="3326"/>
      <c r="AB692"/>
      <c r="AC692" s="3326"/>
      <c r="AD692" s="3326"/>
      <c r="AE692" s="3326"/>
      <c r="AF692" s="3326"/>
      <c r="AG692" s="3326"/>
      <c r="AH692" s="3326"/>
      <c r="AI692" s="64"/>
      <c r="AJ692" s="64"/>
      <c r="AL692" s="3326"/>
      <c r="AM692" s="3326"/>
      <c r="AN692" s="64"/>
      <c r="AO692" s="64"/>
      <c r="AP692" s="3326"/>
      <c r="AR692" s="3479"/>
      <c r="AT692">
        <f>+GG!AH3</f>
        <v>0</v>
      </c>
      <c r="AU692"/>
      <c r="AV692"/>
      <c r="AW692"/>
      <c r="AX692"/>
      <c r="AY692"/>
      <c r="AZ692"/>
    </row>
    <row r="693" s="3330" customFormat="1" customHeight="1" spans="3:49">
      <c r="C693" s="5044" t="s">
        <v>2002</v>
      </c>
      <c r="AB693" s="93">
        <f>AJ697</f>
        <v>110000000</v>
      </c>
      <c r="AC693" s="93"/>
      <c r="AD693" s="93"/>
      <c r="AE693" s="93"/>
      <c r="AF693" s="93"/>
      <c r="AG693" s="93"/>
      <c r="AH693" s="93"/>
      <c r="AI693" s="3341"/>
      <c r="AJ693" s="2682">
        <f>+'F2'!R31</f>
        <v>110000000</v>
      </c>
      <c r="AK693" s="2682"/>
      <c r="AL693" s="2682"/>
      <c r="AM693" s="2682"/>
      <c r="AN693" s="2682"/>
      <c r="AO693" s="2682"/>
      <c r="AP693" s="2682"/>
      <c r="AR693" s="3479"/>
      <c r="AW693" s="3371"/>
    </row>
    <row r="694" s="3330" customFormat="1" customHeight="1" spans="3:49">
      <c r="C694" s="5044" t="s">
        <v>2003</v>
      </c>
      <c r="AB694" s="93">
        <f>z!I13</f>
        <v>0</v>
      </c>
      <c r="AC694" s="93"/>
      <c r="AD694" s="93"/>
      <c r="AE694" s="93"/>
      <c r="AF694" s="93"/>
      <c r="AG694" s="93"/>
      <c r="AH694" s="93"/>
      <c r="AI694" s="3341"/>
      <c r="AJ694" s="2682">
        <v>0</v>
      </c>
      <c r="AK694" s="2682"/>
      <c r="AL694" s="2682"/>
      <c r="AM694" s="2682"/>
      <c r="AN694" s="2682"/>
      <c r="AO694" s="2682"/>
      <c r="AP694" s="2682"/>
      <c r="AR694" s="3479"/>
      <c r="AW694" s="3371"/>
    </row>
    <row r="695" s="3330" customFormat="1" customHeight="1" spans="3:49">
      <c r="C695" t="s">
        <v>2004</v>
      </c>
      <c r="AB695">
        <f>-z!H17</f>
        <v>0</v>
      </c>
      <c r="AC695"/>
      <c r="AD695"/>
      <c r="AE695"/>
      <c r="AF695"/>
      <c r="AG695"/>
      <c r="AH695"/>
      <c r="AI695" s="3341"/>
      <c r="AJ695">
        <v>0</v>
      </c>
      <c r="AK695"/>
      <c r="AL695"/>
      <c r="AM695"/>
      <c r="AN695"/>
      <c r="AO695"/>
      <c r="AP695"/>
      <c r="AR695" s="3479"/>
      <c r="AW695" s="3371"/>
    </row>
    <row r="696" s="3330" customFormat="1" ht="4.5" customHeight="1" spans="3:49">
      <c r="C696"/>
      <c r="AB696"/>
      <c r="AC696"/>
      <c r="AD696"/>
      <c r="AE696"/>
      <c r="AF696"/>
      <c r="AG696"/>
      <c r="AH696"/>
      <c r="AI696" s="3341"/>
      <c r="AJ696"/>
      <c r="AK696"/>
      <c r="AL696"/>
      <c r="AM696"/>
      <c r="AN696"/>
      <c r="AO696"/>
      <c r="AP696"/>
      <c r="AR696" s="3479"/>
      <c r="AW696" s="3371"/>
    </row>
    <row r="697" s="3330" customFormat="1" customHeight="1" spans="3:49">
      <c r="C697" t="s">
        <v>1030</v>
      </c>
      <c r="D697" s="3512"/>
      <c r="E697" s="3512"/>
      <c r="F697" s="3512"/>
      <c r="G697" s="3512"/>
      <c r="H697" s="3512"/>
      <c r="I697" s="3512"/>
      <c r="J697" s="3512"/>
      <c r="K697" s="3512"/>
      <c r="L697" s="3512"/>
      <c r="M697" s="3512"/>
      <c r="N697" s="3512"/>
      <c r="O697" s="3512"/>
      <c r="P697" s="3512"/>
      <c r="Q697" s="3512"/>
      <c r="R697" s="3512"/>
      <c r="S697" s="3512"/>
      <c r="T697" s="3512"/>
      <c r="U697" s="3512"/>
      <c r="V697" s="3512"/>
      <c r="W697" s="3512"/>
      <c r="X697" s="3512"/>
      <c r="Y697" s="3512"/>
      <c r="Z697" s="3512"/>
      <c r="AA697" s="3512"/>
      <c r="AB697" s="3436">
        <f>SUM(AB693:AH695)</f>
        <v>110000000</v>
      </c>
      <c r="AC697" s="3436"/>
      <c r="AD697" s="3436"/>
      <c r="AE697" s="3436"/>
      <c r="AF697" s="3436"/>
      <c r="AG697" s="3436"/>
      <c r="AH697" s="3436"/>
      <c r="AI697" s="3512"/>
      <c r="AJ697" s="3324">
        <f>SUM(AJ693:AP695)</f>
        <v>110000000</v>
      </c>
      <c r="AK697" s="3324"/>
      <c r="AL697" s="3324"/>
      <c r="AM697" s="3324"/>
      <c r="AN697" s="3324"/>
      <c r="AO697" s="3324"/>
      <c r="AP697" s="3324"/>
      <c r="AR697" s="3479"/>
      <c r="AW697" s="3371"/>
    </row>
    <row r="698" s="3330" customFormat="1" ht="12.15" spans="44:49">
      <c r="AR698" s="3479"/>
      <c r="AW698" s="3371"/>
    </row>
    <row r="699" s="3330" customFormat="1" customHeight="1" spans="1:49">
      <c r="A699" s="3335">
        <f>+A689+1</f>
        <v>16</v>
      </c>
      <c r="B699" s="64"/>
      <c r="C699" s="3322" t="s">
        <v>2009</v>
      </c>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c r="AG699" s="64"/>
      <c r="AH699" s="64"/>
      <c r="AL699" s="3326"/>
      <c r="AQ699" s="3478"/>
      <c r="AR699" s="3479"/>
      <c r="AW699" s="3371"/>
    </row>
    <row r="700" s="3330" customFormat="1" ht="9.2" customHeight="1" spans="1:49">
      <c r="A700" s="3340"/>
      <c r="B700" s="64"/>
      <c r="C700" s="3322"/>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c r="AG700" s="64"/>
      <c r="AH700" s="64"/>
      <c r="AL700" s="3326"/>
      <c r="AQ700" s="3478"/>
      <c r="AR700" s="3479"/>
      <c r="AW700" s="3371"/>
    </row>
    <row r="701" s="3330" customFormat="1" ht="23.45" customHeight="1" spans="1:49">
      <c r="A701" s="3340"/>
      <c r="B701" s="64"/>
      <c r="C701" s="5036" t="s">
        <v>2118</v>
      </c>
      <c r="D701" s="3341"/>
      <c r="E701" s="3341"/>
      <c r="F701" s="3341"/>
      <c r="G701" s="3341"/>
      <c r="H701" s="3341"/>
      <c r="I701" s="3341"/>
      <c r="J701" s="3341"/>
      <c r="K701" s="3341"/>
      <c r="L701" s="3341"/>
      <c r="M701" s="3341"/>
      <c r="N701" s="3341"/>
      <c r="O701" s="3341"/>
      <c r="P701" s="3341"/>
      <c r="Q701" s="3341"/>
      <c r="R701" s="3341"/>
      <c r="S701" s="3341"/>
      <c r="T701" s="3341"/>
      <c r="U701" s="3341"/>
      <c r="V701" s="3341"/>
      <c r="W701" s="3341"/>
      <c r="X701" s="3341"/>
      <c r="Y701" s="3341"/>
      <c r="Z701" s="3341"/>
      <c r="AA701" s="3341"/>
      <c r="AB701" s="3341"/>
      <c r="AC701" s="3341"/>
      <c r="AD701" s="3341"/>
      <c r="AE701" s="3341"/>
      <c r="AF701" s="3341"/>
      <c r="AG701" s="3341"/>
      <c r="AH701" s="3341"/>
      <c r="AI701" s="3341"/>
      <c r="AJ701" s="3341"/>
      <c r="AK701" s="3341"/>
      <c r="AL701" s="3341"/>
      <c r="AM701" s="3341"/>
      <c r="AN701" s="3341"/>
      <c r="AO701" s="3341"/>
      <c r="AP701" s="3341"/>
      <c r="AQ701" s="3478"/>
      <c r="AR701" s="3479"/>
      <c r="AW701" s="3371"/>
    </row>
    <row r="702" s="3330" customFormat="1" ht="6.95" customHeight="1" spans="1:49">
      <c r="A702" s="3340"/>
      <c r="B702" s="2635"/>
      <c r="C702" s="3339"/>
      <c r="D702" s="3341"/>
      <c r="E702" s="3341"/>
      <c r="F702" s="3341"/>
      <c r="G702" s="3341"/>
      <c r="H702" s="3341"/>
      <c r="I702" s="3341"/>
      <c r="J702" s="3341"/>
      <c r="K702" s="3341"/>
      <c r="L702" s="3341"/>
      <c r="M702" s="3341"/>
      <c r="N702" s="3341"/>
      <c r="O702" s="3341"/>
      <c r="P702" s="3341"/>
      <c r="Q702" s="3341"/>
      <c r="R702" s="3341"/>
      <c r="S702" s="3341"/>
      <c r="T702" s="3341"/>
      <c r="U702" s="3341"/>
      <c r="V702" s="3341"/>
      <c r="W702" s="3341"/>
      <c r="X702" s="3341"/>
      <c r="Y702" s="3341"/>
      <c r="Z702" s="3341"/>
      <c r="AA702" s="3341"/>
      <c r="AB702" s="3341"/>
      <c r="AC702" s="3341"/>
      <c r="AD702" s="3341"/>
      <c r="AE702" s="3341"/>
      <c r="AF702" s="3341"/>
      <c r="AG702" s="3341"/>
      <c r="AH702" s="3341"/>
      <c r="AI702" s="3341"/>
      <c r="AJ702" s="3341"/>
      <c r="AK702" s="3341"/>
      <c r="AL702" s="3341"/>
      <c r="AM702" s="3341"/>
      <c r="AN702" s="3341"/>
      <c r="AO702" s="3341"/>
      <c r="AP702" s="3341"/>
      <c r="AQ702" s="3523"/>
      <c r="AR702" s="3479"/>
      <c r="AW702" s="3371"/>
    </row>
    <row r="703" s="3330" customFormat="1" ht="11.1" customHeight="1" spans="1:49">
      <c r="A703" s="3340"/>
      <c r="B703" s="2635"/>
      <c r="C703" s="3513"/>
      <c r="D703" s="3514"/>
      <c r="E703" s="3514"/>
      <c r="F703" s="3514"/>
      <c r="G703" s="3514"/>
      <c r="H703" s="3514"/>
      <c r="I703" s="3514"/>
      <c r="J703" s="3514"/>
      <c r="K703" s="3514"/>
      <c r="L703" s="3514"/>
      <c r="M703" s="3514"/>
      <c r="N703" s="3514"/>
      <c r="O703" s="3515"/>
      <c r="P703" s="5098" t="s">
        <v>2011</v>
      </c>
      <c r="Q703" s="3516"/>
      <c r="R703" s="3516"/>
      <c r="S703" s="3516"/>
      <c r="T703" s="3516"/>
      <c r="U703" s="3517"/>
      <c r="V703" s="5098" t="s">
        <v>2012</v>
      </c>
      <c r="W703" s="3516"/>
      <c r="X703" s="3516"/>
      <c r="Y703" s="3516"/>
      <c r="Z703" s="3516"/>
      <c r="AA703" s="3516"/>
      <c r="AB703" s="3517"/>
      <c r="AC703" s="5098" t="s">
        <v>1204</v>
      </c>
      <c r="AD703" s="3516"/>
      <c r="AE703" s="3516"/>
      <c r="AF703" s="3516"/>
      <c r="AG703" s="3516"/>
      <c r="AH703" s="3516"/>
      <c r="AI703" s="3516"/>
      <c r="AJ703" s="3516"/>
      <c r="AK703" s="3514"/>
      <c r="AL703" s="3514"/>
      <c r="AM703" s="2683"/>
      <c r="AN703" s="2683"/>
      <c r="AO703" s="2683"/>
      <c r="AP703" s="2683"/>
      <c r="AQ703" s="3524"/>
      <c r="AR703" s="3479"/>
      <c r="AW703" s="3371"/>
    </row>
    <row r="704" s="3330" customFormat="1" ht="8.45" customHeight="1" spans="1:49">
      <c r="A704" s="3340"/>
      <c r="B704" s="2635"/>
      <c r="C704" s="3514"/>
      <c r="D704" s="3514"/>
      <c r="E704" s="3514"/>
      <c r="F704" s="3514"/>
      <c r="G704" s="3514"/>
      <c r="H704" s="3514"/>
      <c r="I704" s="3514"/>
      <c r="J704" s="3514"/>
      <c r="K704" s="3514"/>
      <c r="L704" s="3514"/>
      <c r="M704" s="3514"/>
      <c r="N704" s="3514"/>
      <c r="O704" s="3514"/>
      <c r="P704" s="3514"/>
      <c r="Q704" s="3514"/>
      <c r="R704" s="3514"/>
      <c r="S704" s="3514"/>
      <c r="T704" s="3514"/>
      <c r="U704" s="3514"/>
      <c r="V704" s="3514"/>
      <c r="W704" s="3514"/>
      <c r="X704" s="3514"/>
      <c r="Y704" s="3514"/>
      <c r="Z704" s="3514"/>
      <c r="AA704" s="3514"/>
      <c r="AB704" s="3514"/>
      <c r="AC704" s="3519"/>
      <c r="AD704" s="3519"/>
      <c r="AE704" s="3519"/>
      <c r="AF704" s="3519"/>
      <c r="AG704" s="3519"/>
      <c r="AH704" s="3519"/>
      <c r="AI704" s="3519"/>
      <c r="AJ704" s="3519"/>
      <c r="AK704" s="3514"/>
      <c r="AL704" s="3514"/>
      <c r="AM704" s="2683"/>
      <c r="AN704" s="2683"/>
      <c r="AO704" s="2683"/>
      <c r="AP704" s="2683"/>
      <c r="AQ704" s="3524"/>
      <c r="AR704" s="3479"/>
      <c r="AW704" s="3371"/>
    </row>
    <row r="705" s="3330" customFormat="1" ht="11.1" customHeight="1" spans="1:49">
      <c r="A705" s="3340"/>
      <c r="B705" s="2635"/>
      <c r="C705" s="5099" t="s">
        <v>2013</v>
      </c>
      <c r="D705" s="3514"/>
      <c r="E705" s="3514"/>
      <c r="F705" s="3514"/>
      <c r="G705" s="3514"/>
      <c r="H705" s="3514"/>
      <c r="I705" s="3514"/>
      <c r="J705" s="3514"/>
      <c r="K705" s="3514"/>
      <c r="L705" s="3514"/>
      <c r="M705" s="3514"/>
      <c r="N705" s="3514"/>
      <c r="O705" s="3514"/>
      <c r="P705" s="3531">
        <f>+SS!E29</f>
        <v>110000</v>
      </c>
      <c r="Q705" s="3531"/>
      <c r="R705" s="3531"/>
      <c r="S705" s="3531"/>
      <c r="T705" s="3531"/>
      <c r="U705" s="3514"/>
      <c r="V705" s="3531">
        <v>1000000</v>
      </c>
      <c r="W705" s="3531"/>
      <c r="X705" s="3531"/>
      <c r="Y705" s="3531"/>
      <c r="Z705" s="3531"/>
      <c r="AA705" s="3531"/>
      <c r="AB705" s="3514"/>
      <c r="AC705" s="3540">
        <f>+P705*V705</f>
        <v>110000000000</v>
      </c>
      <c r="AD705" s="3540"/>
      <c r="AE705" s="3540"/>
      <c r="AF705" s="3540"/>
      <c r="AG705" s="3540"/>
      <c r="AH705" s="3540"/>
      <c r="AI705" s="3540"/>
      <c r="AJ705" s="3540"/>
      <c r="AK705" s="3514"/>
      <c r="AL705" s="3514"/>
      <c r="AM705" s="2683"/>
      <c r="AN705" s="2683"/>
      <c r="AO705" s="2683"/>
      <c r="AP705" s="2683"/>
      <c r="AQ705" s="3524"/>
      <c r="AR705" s="3479"/>
      <c r="AW705" s="3371"/>
    </row>
    <row r="706" s="3330" customFormat="1" ht="11.1" customHeight="1" spans="1:49">
      <c r="A706" s="3340"/>
      <c r="B706" s="2635"/>
      <c r="C706" s="5099" t="s">
        <v>2014</v>
      </c>
      <c r="D706" s="3514"/>
      <c r="E706" s="3514"/>
      <c r="F706" s="3514"/>
      <c r="G706" s="3514"/>
      <c r="H706" s="3514"/>
      <c r="I706" s="3514"/>
      <c r="J706" s="3514"/>
      <c r="K706" s="3514"/>
      <c r="L706" s="3514"/>
      <c r="M706" s="3514"/>
      <c r="N706" s="3514"/>
      <c r="O706" s="3514"/>
      <c r="P706" s="3531"/>
      <c r="Q706" s="3531"/>
      <c r="R706" s="3531"/>
      <c r="S706" s="3531"/>
      <c r="T706" s="3531"/>
      <c r="U706" s="3514"/>
      <c r="V706" s="3531"/>
      <c r="W706" s="3531"/>
      <c r="X706" s="3531"/>
      <c r="Y706" s="3531"/>
      <c r="Z706" s="3531"/>
      <c r="AA706" s="3531"/>
      <c r="AB706" s="3514"/>
      <c r="AC706" s="3540"/>
      <c r="AD706" s="3540"/>
      <c r="AE706" s="3540"/>
      <c r="AF706" s="3540"/>
      <c r="AG706" s="3540"/>
      <c r="AH706" s="3540"/>
      <c r="AI706" s="3540"/>
      <c r="AJ706" s="3540"/>
      <c r="AK706" s="3514"/>
      <c r="AL706" s="3514"/>
      <c r="AM706" s="2683"/>
      <c r="AN706" s="2683"/>
      <c r="AO706" s="2683"/>
      <c r="AP706" s="2683"/>
      <c r="AQ706" s="3524"/>
      <c r="AR706" s="3479"/>
      <c r="AW706" s="3371"/>
    </row>
    <row r="707" s="3330" customFormat="1" ht="11.1" customHeight="1" spans="1:49">
      <c r="A707" s="3340"/>
      <c r="B707" s="2635"/>
      <c r="C707" s="5100" t="s">
        <v>1995</v>
      </c>
      <c r="D707" s="3514"/>
      <c r="E707" s="3514"/>
      <c r="F707" s="3514"/>
      <c r="G707" s="3514"/>
      <c r="H707" s="3514"/>
      <c r="I707" s="3514"/>
      <c r="J707" s="3514"/>
      <c r="K707" s="3514"/>
      <c r="L707" s="3514"/>
      <c r="M707" s="3514"/>
      <c r="N707" s="3514"/>
      <c r="O707" s="3514"/>
      <c r="P707" s="3531">
        <v>99000</v>
      </c>
      <c r="Q707" s="3531"/>
      <c r="R707" s="3531"/>
      <c r="S707" s="3531"/>
      <c r="T707" s="3531"/>
      <c r="U707" s="3514"/>
      <c r="V707" s="3531">
        <v>1000000</v>
      </c>
      <c r="W707" s="3531"/>
      <c r="X707" s="3531"/>
      <c r="Y707" s="3531"/>
      <c r="Z707" s="3531"/>
      <c r="AA707" s="3531"/>
      <c r="AB707" s="3514"/>
      <c r="AC707" s="3540">
        <f>+P707*V707</f>
        <v>99000000000</v>
      </c>
      <c r="AD707" s="3540"/>
      <c r="AE707" s="3540"/>
      <c r="AF707" s="3540"/>
      <c r="AG707" s="3540"/>
      <c r="AH707" s="3540"/>
      <c r="AI707" s="3540"/>
      <c r="AJ707" s="3540"/>
      <c r="AK707" s="3514"/>
      <c r="AL707" s="3514"/>
      <c r="AM707" s="2683"/>
      <c r="AN707" s="2683"/>
      <c r="AO707" s="2683"/>
      <c r="AP707" s="2683"/>
      <c r="AQ707" s="3524"/>
      <c r="AR707" s="3479"/>
      <c r="AW707" s="3371"/>
    </row>
    <row r="708" s="3330" customFormat="1" ht="11.1" customHeight="1" spans="1:49">
      <c r="A708" s="3340"/>
      <c r="B708" s="2635"/>
      <c r="C708" s="5100" t="s">
        <v>2015</v>
      </c>
      <c r="D708" s="3514"/>
      <c r="E708" s="3514"/>
      <c r="F708" s="3514"/>
      <c r="G708" s="3514"/>
      <c r="H708" s="3514"/>
      <c r="I708" s="3514"/>
      <c r="J708" s="3514"/>
      <c r="K708" s="3514"/>
      <c r="L708" s="3514"/>
      <c r="M708" s="3514"/>
      <c r="N708" s="3514"/>
      <c r="O708" s="3514"/>
      <c r="P708" s="3531">
        <v>11000</v>
      </c>
      <c r="Q708" s="3531"/>
      <c r="R708" s="3531"/>
      <c r="S708" s="3531"/>
      <c r="T708" s="3531"/>
      <c r="U708" s="3514"/>
      <c r="V708" s="3531">
        <v>1000000</v>
      </c>
      <c r="W708" s="3531"/>
      <c r="X708" s="3531"/>
      <c r="Y708" s="3531"/>
      <c r="Z708" s="3531"/>
      <c r="AA708" s="3531"/>
      <c r="AB708" s="3514"/>
      <c r="AC708" s="3540">
        <f>+P708*V708</f>
        <v>11000000000</v>
      </c>
      <c r="AD708" s="3540"/>
      <c r="AE708" s="3540"/>
      <c r="AF708" s="3540"/>
      <c r="AG708" s="3540"/>
      <c r="AH708" s="3540"/>
      <c r="AI708" s="3540"/>
      <c r="AJ708" s="3540"/>
      <c r="AK708" s="3514"/>
      <c r="AL708" s="3514"/>
      <c r="AM708" s="2683"/>
      <c r="AN708" s="2683"/>
      <c r="AO708" s="2683"/>
      <c r="AP708" s="2683"/>
      <c r="AQ708" s="3524"/>
      <c r="AR708" s="3479"/>
      <c r="AW708" s="3371"/>
    </row>
    <row r="709" s="3330" customFormat="1" ht="5.45" customHeight="1" spans="1:49">
      <c r="A709" s="3340"/>
      <c r="B709" s="2635"/>
      <c r="C709" s="3525"/>
      <c r="D709" s="3514"/>
      <c r="E709" s="3514"/>
      <c r="F709" s="3514"/>
      <c r="G709" s="3514"/>
      <c r="H709" s="3514"/>
      <c r="I709" s="3514"/>
      <c r="J709" s="3514"/>
      <c r="K709" s="3514"/>
      <c r="L709" s="3514"/>
      <c r="M709" s="3514"/>
      <c r="N709" s="3514"/>
      <c r="O709" s="3514"/>
      <c r="P709" s="3532"/>
      <c r="Q709" s="3532"/>
      <c r="R709" s="3532"/>
      <c r="S709" s="3532"/>
      <c r="T709" s="3532"/>
      <c r="U709" s="3514"/>
      <c r="V709" s="3531"/>
      <c r="W709" s="3531"/>
      <c r="X709" s="3531"/>
      <c r="Y709" s="3531"/>
      <c r="Z709" s="3531"/>
      <c r="AA709" s="3531"/>
      <c r="AB709" s="3514"/>
      <c r="AC709" s="3540"/>
      <c r="AD709" s="3540"/>
      <c r="AE709" s="3540"/>
      <c r="AF709" s="3540"/>
      <c r="AG709" s="3540"/>
      <c r="AH709" s="3540"/>
      <c r="AI709" s="3540"/>
      <c r="AJ709" s="3540"/>
      <c r="AK709" s="3514"/>
      <c r="AL709" s="3514"/>
      <c r="AM709" s="2683"/>
      <c r="AN709" s="2683"/>
      <c r="AO709" s="2683"/>
      <c r="AP709" s="2683"/>
      <c r="AQ709" s="3524"/>
      <c r="AR709" s="3479"/>
      <c r="AW709" s="3371"/>
    </row>
    <row r="710" s="3330" customFormat="1" ht="11.1" customHeight="1" spans="1:49">
      <c r="A710" s="3340"/>
      <c r="B710" s="2635"/>
      <c r="C710" s="5101" t="s">
        <v>151</v>
      </c>
      <c r="D710" s="3514"/>
      <c r="E710" s="3514"/>
      <c r="F710" s="3514"/>
      <c r="G710" s="3514"/>
      <c r="H710" s="3514"/>
      <c r="I710" s="3514"/>
      <c r="J710" s="3514"/>
      <c r="K710" s="3514"/>
      <c r="L710" s="3514"/>
      <c r="M710" s="3514"/>
      <c r="N710" s="3514"/>
      <c r="O710" s="3514"/>
      <c r="P710" s="3533">
        <f>SUM(P707:T708)</f>
        <v>110000</v>
      </c>
      <c r="Q710" s="3533"/>
      <c r="R710" s="3533"/>
      <c r="S710" s="3533"/>
      <c r="T710" s="3533"/>
      <c r="U710" s="3514"/>
      <c r="V710" s="3531"/>
      <c r="W710" s="3531"/>
      <c r="X710" s="3531"/>
      <c r="Y710" s="3531"/>
      <c r="Z710" s="3531"/>
      <c r="AA710" s="3531"/>
      <c r="AB710" s="3514"/>
      <c r="AC710" s="3541">
        <f>SUM(AC707:AJ708)</f>
        <v>110000000000</v>
      </c>
      <c r="AD710" s="3541"/>
      <c r="AE710" s="3541"/>
      <c r="AF710" s="3541"/>
      <c r="AG710" s="3541"/>
      <c r="AH710" s="3541"/>
      <c r="AI710" s="3541"/>
      <c r="AJ710" s="3541"/>
      <c r="AK710" s="3514"/>
      <c r="AL710" s="3514"/>
      <c r="AM710" s="2683"/>
      <c r="AN710" s="2683"/>
      <c r="AO710" s="2683"/>
      <c r="AP710" s="2683"/>
      <c r="AQ710" s="3524"/>
      <c r="AR710" s="3479"/>
      <c r="AW710" s="3371"/>
    </row>
    <row r="711" s="3330" customFormat="1" ht="9.95" customHeight="1" spans="1:49">
      <c r="A711" s="64"/>
      <c r="B711" s="64"/>
      <c r="C711" s="94"/>
      <c r="D711" s="94"/>
      <c r="E711" s="94"/>
      <c r="F711" s="64"/>
      <c r="G711" s="64"/>
      <c r="H711" s="64"/>
      <c r="I711" s="64"/>
      <c r="J711" s="64"/>
      <c r="K711" s="64"/>
      <c r="O711" s="3512"/>
      <c r="P711" s="3512"/>
      <c r="Q711" s="94"/>
      <c r="R711" s="3512"/>
      <c r="S711" s="3512"/>
      <c r="T711" s="94"/>
      <c r="U711" s="3538"/>
      <c r="V711" s="3538"/>
      <c r="W711"/>
      <c r="X711" s="3538"/>
      <c r="Y711"/>
      <c r="Z711"/>
      <c r="AA711"/>
      <c r="AB711" s="64"/>
      <c r="AC711" s="3542"/>
      <c r="AD711" s="3542"/>
      <c r="AE711" s="3542"/>
      <c r="AF711" s="3542"/>
      <c r="AG711" s="3542"/>
      <c r="AH711" s="3542"/>
      <c r="AJ711" s="94"/>
      <c r="AK711" s="94"/>
      <c r="AL711" s="94"/>
      <c r="AM711" s="94"/>
      <c r="AN711" s="94"/>
      <c r="AO711" s="94"/>
      <c r="AQ711" s="3478"/>
      <c r="AR711" s="3479"/>
      <c r="AW711" s="3371"/>
    </row>
    <row r="712" s="3330" customFormat="1" ht="22.5" customHeight="1" spans="1:49">
      <c r="A712" s="64"/>
      <c r="B712" s="2635"/>
      <c r="C712" s="3513" t="s">
        <v>2016</v>
      </c>
      <c r="D712" s="3514"/>
      <c r="E712" s="3514"/>
      <c r="F712" s="3514"/>
      <c r="G712" s="3514"/>
      <c r="H712" s="3514"/>
      <c r="I712" s="3514"/>
      <c r="J712" s="3514"/>
      <c r="K712" s="3514"/>
      <c r="L712" s="3514"/>
      <c r="M712" s="3514"/>
      <c r="N712" s="3514"/>
      <c r="O712" s="3515"/>
      <c r="P712" s="5102" t="s">
        <v>2017</v>
      </c>
      <c r="Q712" s="3534"/>
      <c r="R712" s="3534"/>
      <c r="S712" s="3534"/>
      <c r="T712" s="3534"/>
      <c r="U712" s="3517"/>
      <c r="V712" s="5103" t="s">
        <v>2018</v>
      </c>
      <c r="W712" s="3539"/>
      <c r="X712" s="3539"/>
      <c r="Y712" s="3539"/>
      <c r="Z712" s="3539"/>
      <c r="AA712" s="3539"/>
      <c r="AB712" s="3543"/>
      <c r="AC712" s="5103" t="s">
        <v>1204</v>
      </c>
      <c r="AD712" s="3539"/>
      <c r="AE712" s="3539"/>
      <c r="AF712" s="3539"/>
      <c r="AG712" s="3539"/>
      <c r="AH712" s="3539"/>
      <c r="AI712" s="3539"/>
      <c r="AJ712" s="3539"/>
      <c r="AK712" s="3514"/>
      <c r="AL712" s="3514"/>
      <c r="AM712" s="2683"/>
      <c r="AN712" s="2683"/>
      <c r="AO712" s="2683"/>
      <c r="AP712" s="2683"/>
      <c r="AQ712" s="3478"/>
      <c r="AR712" s="3479"/>
      <c r="AW712" s="3371"/>
    </row>
    <row r="713" s="3330" customFormat="1" ht="5.1" customHeight="1" spans="1:49">
      <c r="A713" s="64"/>
      <c r="B713" s="2635"/>
      <c r="C713" s="3514"/>
      <c r="D713" s="3514"/>
      <c r="E713" s="3514"/>
      <c r="F713" s="3514"/>
      <c r="G713" s="3514"/>
      <c r="H713" s="3514"/>
      <c r="I713" s="3514"/>
      <c r="J713" s="3514"/>
      <c r="K713" s="3514"/>
      <c r="L713" s="3514"/>
      <c r="M713" s="3514"/>
      <c r="N713" s="3514"/>
      <c r="O713" s="3514"/>
      <c r="P713" s="3514"/>
      <c r="Q713" s="3514"/>
      <c r="R713" s="3514"/>
      <c r="S713" s="3514"/>
      <c r="T713" s="3514"/>
      <c r="U713" s="3514"/>
      <c r="V713" s="3514"/>
      <c r="W713" s="3514"/>
      <c r="X713" s="3514"/>
      <c r="Y713" s="3514"/>
      <c r="Z713" s="3514"/>
      <c r="AA713" s="3514"/>
      <c r="AB713" s="3514"/>
      <c r="AC713" s="3519"/>
      <c r="AD713" s="3519"/>
      <c r="AE713" s="3519"/>
      <c r="AF713" s="3519"/>
      <c r="AG713" s="3519"/>
      <c r="AH713" s="3519"/>
      <c r="AI713" s="3519"/>
      <c r="AJ713" s="3519"/>
      <c r="AK713" s="3514"/>
      <c r="AL713" s="3514"/>
      <c r="AM713" s="2683"/>
      <c r="AN713" s="2683"/>
      <c r="AO713" s="2683"/>
      <c r="AP713" s="2683"/>
      <c r="AQ713" s="3478"/>
      <c r="AR713" s="3479"/>
      <c r="AW713" s="3371"/>
    </row>
    <row r="714" s="3330" customFormat="1" ht="11.4" spans="1:49">
      <c r="A714" s="64"/>
      <c r="B714" s="2635"/>
      <c r="C714" s="5099" t="s">
        <v>2013</v>
      </c>
      <c r="D714" s="3514"/>
      <c r="E714" s="3514"/>
      <c r="F714" s="3514"/>
      <c r="G714" s="3514"/>
      <c r="H714" s="3514"/>
      <c r="I714" s="3514"/>
      <c r="J714" s="3514"/>
      <c r="K714" s="3514"/>
      <c r="L714" s="3514"/>
      <c r="M714" s="3514"/>
      <c r="N714" s="3514"/>
      <c r="O714" s="3514"/>
      <c r="P714" s="3535">
        <f>+P710/P705</f>
        <v>1</v>
      </c>
      <c r="Q714" s="3535"/>
      <c r="R714" s="3535"/>
      <c r="S714" s="3535"/>
      <c r="T714" s="3535"/>
      <c r="U714" s="3514"/>
      <c r="V714" s="3531">
        <v>1000000</v>
      </c>
      <c r="W714" s="3531"/>
      <c r="X714" s="3531"/>
      <c r="Y714" s="3531"/>
      <c r="Z714" s="3531"/>
      <c r="AA714" s="3531"/>
      <c r="AB714" s="3514"/>
      <c r="AC714" s="3540">
        <f>+(AC710/AC705)*AC705</f>
        <v>110000000000</v>
      </c>
      <c r="AD714" s="3540"/>
      <c r="AE714" s="3540"/>
      <c r="AF714" s="3540"/>
      <c r="AG714" s="3540"/>
      <c r="AH714" s="3540"/>
      <c r="AI714" s="3540"/>
      <c r="AJ714" s="3540"/>
      <c r="AK714" s="3514"/>
      <c r="AL714" s="3514"/>
      <c r="AM714" s="2683"/>
      <c r="AN714" s="2683"/>
      <c r="AO714" s="2683"/>
      <c r="AP714" s="2683"/>
      <c r="AQ714" s="3478"/>
      <c r="AR714" s="3479"/>
      <c r="AW714" s="3371"/>
    </row>
    <row r="715" s="3330" customFormat="1" ht="11.4" spans="1:49">
      <c r="A715" s="64"/>
      <c r="B715" s="2635"/>
      <c r="C715" s="5099" t="s">
        <v>2014</v>
      </c>
      <c r="D715" s="3514"/>
      <c r="E715" s="3514"/>
      <c r="F715" s="3514"/>
      <c r="G715" s="3514"/>
      <c r="H715" s="3514"/>
      <c r="I715" s="3514"/>
      <c r="J715" s="3514"/>
      <c r="K715" s="3514"/>
      <c r="L715" s="3514"/>
      <c r="M715" s="3514"/>
      <c r="N715" s="3514"/>
      <c r="O715" s="3514"/>
      <c r="P715" s="3531"/>
      <c r="Q715" s="3531"/>
      <c r="R715" s="3531"/>
      <c r="S715" s="3531"/>
      <c r="T715" s="3531"/>
      <c r="U715" s="3514"/>
      <c r="V715" s="3531"/>
      <c r="W715" s="3531"/>
      <c r="X715" s="3531"/>
      <c r="Y715" s="3531"/>
      <c r="Z715" s="3531"/>
      <c r="AA715" s="3531"/>
      <c r="AB715" s="3514"/>
      <c r="AC715" s="3540"/>
      <c r="AD715" s="3540"/>
      <c r="AE715" s="3540"/>
      <c r="AF715" s="3540"/>
      <c r="AG715" s="3540"/>
      <c r="AH715" s="3540"/>
      <c r="AI715" s="3540"/>
      <c r="AJ715" s="3540"/>
      <c r="AK715" s="3514"/>
      <c r="AL715" s="3514"/>
      <c r="AM715" s="2683"/>
      <c r="AN715" s="2683"/>
      <c r="AO715" s="2683"/>
      <c r="AP715" s="2683"/>
      <c r="AQ715" s="3478"/>
      <c r="AR715" s="3479"/>
      <c r="AW715" s="3371"/>
    </row>
    <row r="716" s="3330" customFormat="1" ht="11.4" spans="1:49">
      <c r="A716" s="64"/>
      <c r="B716" s="2635"/>
      <c r="C716" s="5100" t="s">
        <v>1995</v>
      </c>
      <c r="D716" s="3514"/>
      <c r="E716" s="3514"/>
      <c r="F716" s="3514"/>
      <c r="G716" s="3514"/>
      <c r="H716" s="3514"/>
      <c r="I716" s="3514"/>
      <c r="J716" s="3514"/>
      <c r="K716" s="3514"/>
      <c r="L716" s="3514"/>
      <c r="M716" s="3514"/>
      <c r="N716" s="3514"/>
      <c r="O716" s="3514"/>
      <c r="P716" s="3536">
        <f>+V716/V719</f>
        <v>0.9</v>
      </c>
      <c r="Q716" s="3536"/>
      <c r="R716" s="3536"/>
      <c r="S716" s="3536"/>
      <c r="T716" s="3536"/>
      <c r="U716" s="3514"/>
      <c r="V716" s="3531">
        <f>+P707</f>
        <v>99000</v>
      </c>
      <c r="W716" s="3531"/>
      <c r="X716" s="3531"/>
      <c r="Y716" s="3531"/>
      <c r="Z716" s="3531"/>
      <c r="AA716" s="3531"/>
      <c r="AB716" s="3514"/>
      <c r="AC716" s="3540">
        <f>+AC707</f>
        <v>99000000000</v>
      </c>
      <c r="AD716" s="3540"/>
      <c r="AE716" s="3540"/>
      <c r="AF716" s="3540"/>
      <c r="AG716" s="3540"/>
      <c r="AH716" s="3540"/>
      <c r="AI716" s="3540"/>
      <c r="AJ716" s="3540"/>
      <c r="AK716" s="3514"/>
      <c r="AL716" s="3514"/>
      <c r="AM716" s="2683"/>
      <c r="AN716" s="2683"/>
      <c r="AO716" s="2683"/>
      <c r="AP716" s="2683"/>
      <c r="AQ716" s="3478"/>
      <c r="AR716" s="3479"/>
      <c r="AW716" s="3371"/>
    </row>
    <row r="717" s="3330" customFormat="1" ht="11.4" spans="1:49">
      <c r="A717" s="64"/>
      <c r="B717" s="2635"/>
      <c r="C717" s="5100" t="s">
        <v>2015</v>
      </c>
      <c r="D717" s="3514"/>
      <c r="E717" s="3514"/>
      <c r="F717" s="3514"/>
      <c r="G717" s="3514"/>
      <c r="H717" s="3514"/>
      <c r="I717" s="3514"/>
      <c r="J717" s="3514"/>
      <c r="K717" s="3514"/>
      <c r="L717" s="3514"/>
      <c r="M717" s="3514"/>
      <c r="N717" s="3514"/>
      <c r="O717" s="3514"/>
      <c r="P717" s="3536">
        <f>+V717/V719</f>
        <v>0.1</v>
      </c>
      <c r="Q717" s="3536"/>
      <c r="R717" s="3536"/>
      <c r="S717" s="3536"/>
      <c r="T717" s="3536"/>
      <c r="U717" s="3514"/>
      <c r="V717" s="3531">
        <f>+P708</f>
        <v>11000</v>
      </c>
      <c r="W717" s="3531"/>
      <c r="X717" s="3531"/>
      <c r="Y717" s="3531"/>
      <c r="Z717" s="3531"/>
      <c r="AA717" s="3531"/>
      <c r="AB717" s="3514"/>
      <c r="AC717" s="3540">
        <f>+AC708</f>
        <v>11000000000</v>
      </c>
      <c r="AD717" s="3540"/>
      <c r="AE717" s="3540"/>
      <c r="AF717" s="3540"/>
      <c r="AG717" s="3540"/>
      <c r="AH717" s="3540"/>
      <c r="AI717" s="3540"/>
      <c r="AJ717" s="3540"/>
      <c r="AK717" s="3514"/>
      <c r="AL717" s="3514"/>
      <c r="AM717" s="2683"/>
      <c r="AN717" s="2683"/>
      <c r="AO717" s="2683"/>
      <c r="AP717" s="2683"/>
      <c r="AQ717" s="3478"/>
      <c r="AR717" s="3479"/>
      <c r="AW717" s="3371"/>
    </row>
    <row r="718" s="3330" customFormat="1" ht="5.45" customHeight="1" spans="1:49">
      <c r="A718" s="64"/>
      <c r="B718" s="2635"/>
      <c r="C718" s="3525"/>
      <c r="D718" s="3514"/>
      <c r="E718" s="3514"/>
      <c r="F718" s="3514"/>
      <c r="G718" s="3514"/>
      <c r="H718" s="3514"/>
      <c r="I718" s="3514"/>
      <c r="J718" s="3514"/>
      <c r="K718" s="3514"/>
      <c r="L718" s="3514"/>
      <c r="M718" s="3514"/>
      <c r="N718" s="3514"/>
      <c r="O718" s="3514"/>
      <c r="P718" s="3532"/>
      <c r="Q718" s="3532"/>
      <c r="R718" s="3532"/>
      <c r="S718" s="3532"/>
      <c r="T718" s="3532"/>
      <c r="U718" s="3514"/>
      <c r="V718" s="3531"/>
      <c r="W718" s="3531"/>
      <c r="X718" s="3531"/>
      <c r="Y718" s="3531"/>
      <c r="Z718" s="3531"/>
      <c r="AA718" s="3531"/>
      <c r="AB718" s="3514"/>
      <c r="AC718" s="3540"/>
      <c r="AD718" s="3540"/>
      <c r="AE718" s="3540"/>
      <c r="AF718" s="3540"/>
      <c r="AG718" s="3540"/>
      <c r="AH718" s="3540"/>
      <c r="AI718" s="3540"/>
      <c r="AJ718" s="3540"/>
      <c r="AK718" s="3514"/>
      <c r="AL718" s="3514"/>
      <c r="AM718" s="2683"/>
      <c r="AN718" s="2683"/>
      <c r="AO718" s="2683"/>
      <c r="AP718" s="2683"/>
      <c r="AQ718" s="3478"/>
      <c r="AR718" s="3479"/>
      <c r="AW718" s="3371"/>
    </row>
    <row r="719" s="3330" customFormat="1" ht="12.15" spans="1:49">
      <c r="A719" s="64"/>
      <c r="B719" s="2635"/>
      <c r="C719" s="5101" t="s">
        <v>151</v>
      </c>
      <c r="D719" s="3514"/>
      <c r="E719" s="3514"/>
      <c r="F719" s="3514"/>
      <c r="G719" s="3514"/>
      <c r="H719" s="3514"/>
      <c r="I719" s="3514"/>
      <c r="J719" s="3514"/>
      <c r="K719" s="3514"/>
      <c r="L719" s="3514"/>
      <c r="M719" s="3514"/>
      <c r="N719" s="3514"/>
      <c r="O719" s="3514"/>
      <c r="P719" s="3537">
        <f>SUM(P716:T717)</f>
        <v>1</v>
      </c>
      <c r="Q719" s="3537"/>
      <c r="R719" s="3537"/>
      <c r="S719" s="3537"/>
      <c r="T719" s="3537"/>
      <c r="U719" s="3514"/>
      <c r="V719" s="3533">
        <f>SUM(V716:AA717)</f>
        <v>110000</v>
      </c>
      <c r="W719" s="3533"/>
      <c r="X719" s="3533"/>
      <c r="Y719" s="3533"/>
      <c r="Z719" s="3533"/>
      <c r="AA719" s="3533"/>
      <c r="AB719" s="3514"/>
      <c r="AC719" s="3541">
        <f>SUM(AC716:AJ717)</f>
        <v>110000000000</v>
      </c>
      <c r="AD719" s="3541"/>
      <c r="AE719" s="3541"/>
      <c r="AF719" s="3541"/>
      <c r="AG719" s="3541"/>
      <c r="AH719" s="3541"/>
      <c r="AI719" s="3541"/>
      <c r="AJ719" s="3541"/>
      <c r="AK719" s="3514"/>
      <c r="AL719" s="3514"/>
      <c r="AM719" s="2683"/>
      <c r="AN719" s="2683"/>
      <c r="AO719" s="2683"/>
      <c r="AP719" s="2683"/>
      <c r="AQ719" s="3478"/>
      <c r="AR719" s="3479"/>
      <c r="AW719" s="3371"/>
    </row>
    <row r="720" s="3330" customFormat="1" ht="11.1" customHeight="1" spans="1:49">
      <c r="A720" s="64"/>
      <c r="B720" s="64"/>
      <c r="C720" s="94"/>
      <c r="D720" s="94"/>
      <c r="E720" s="94"/>
      <c r="F720" s="64"/>
      <c r="G720" s="64"/>
      <c r="H720" s="64"/>
      <c r="I720" s="64"/>
      <c r="J720" s="64"/>
      <c r="K720" s="64"/>
      <c r="O720" s="3512"/>
      <c r="P720" s="3512"/>
      <c r="Q720" s="94"/>
      <c r="R720" s="3512"/>
      <c r="S720" s="3512"/>
      <c r="T720" s="94"/>
      <c r="U720" s="3538"/>
      <c r="V720" s="3538"/>
      <c r="W720"/>
      <c r="X720" s="3538"/>
      <c r="Y720"/>
      <c r="Z720"/>
      <c r="AA720"/>
      <c r="AB720" s="64"/>
      <c r="AC720" s="3542"/>
      <c r="AD720" s="3542"/>
      <c r="AE720" s="3542"/>
      <c r="AF720" s="3542"/>
      <c r="AG720" s="3542"/>
      <c r="AH720" s="3542"/>
      <c r="AJ720" s="94"/>
      <c r="AK720" s="94"/>
      <c r="AL720" s="94"/>
      <c r="AM720" s="94"/>
      <c r="AN720" s="94"/>
      <c r="AO720" s="94"/>
      <c r="AQ720" s="3478"/>
      <c r="AR720" s="3479"/>
      <c r="AW720" s="3371"/>
    </row>
    <row r="721" s="3330" customFormat="1" spans="1:49">
      <c r="A721" s="64"/>
      <c r="B721" s="64"/>
      <c r="C721" s="16" t="s">
        <v>2019</v>
      </c>
      <c r="D721" s="3339"/>
      <c r="E721" s="3339"/>
      <c r="F721" s="3341"/>
      <c r="G721" s="3341"/>
      <c r="H721" s="3341"/>
      <c r="I721" s="3341"/>
      <c r="J721" s="3341"/>
      <c r="K721" s="3341"/>
      <c r="L721" s="3341"/>
      <c r="M721" s="3341"/>
      <c r="N721" s="3341"/>
      <c r="O721" s="3341"/>
      <c r="P721" s="3341"/>
      <c r="Q721" s="3341"/>
      <c r="R721" s="3341"/>
      <c r="S721" s="3341"/>
      <c r="T721" s="3341"/>
      <c r="U721"/>
      <c r="V721"/>
      <c r="W721"/>
      <c r="X721"/>
      <c r="Y721"/>
      <c r="Z721"/>
      <c r="AA721"/>
      <c r="AB721" s="3349"/>
      <c r="AC721" s="16"/>
      <c r="AD721" s="16"/>
      <c r="AE721" s="16"/>
      <c r="AF721" s="16"/>
      <c r="AG721" s="16"/>
      <c r="AH721" s="16"/>
      <c r="AI721" s="3326"/>
      <c r="AJ721" s="3349"/>
      <c r="AK721" s="16"/>
      <c r="AL721" s="16"/>
      <c r="AM721" s="16"/>
      <c r="AN721" s="16"/>
      <c r="AO721" s="16"/>
      <c r="AP721" s="16"/>
      <c r="AQ721" s="3478"/>
      <c r="AR721" s="3479"/>
      <c r="AW721" s="3371"/>
    </row>
    <row r="722" s="3330" customFormat="1" ht="6" customHeight="1" spans="1:49">
      <c r="A722" s="64"/>
      <c r="B722" s="64"/>
      <c r="C722" s="3527"/>
      <c r="D722" s="3341"/>
      <c r="E722" s="3341"/>
      <c r="F722" s="3341"/>
      <c r="G722" s="3341"/>
      <c r="H722" s="3341"/>
      <c r="I722" s="3341"/>
      <c r="J722" s="3341"/>
      <c r="K722" s="3341"/>
      <c r="L722" s="3341"/>
      <c r="M722" s="3341"/>
      <c r="N722" s="3341"/>
      <c r="O722" s="3341"/>
      <c r="P722" s="3341"/>
      <c r="Q722" s="3341"/>
      <c r="R722" s="3341"/>
      <c r="S722" s="3341"/>
      <c r="T722" s="3341"/>
      <c r="U722" s="3341"/>
      <c r="V722" s="3341"/>
      <c r="W722" s="3341"/>
      <c r="X722" s="3341"/>
      <c r="Y722" s="3341"/>
      <c r="Z722" s="3341"/>
      <c r="AA722" s="3341"/>
      <c r="AB722" s="3349"/>
      <c r="AC722" s="16"/>
      <c r="AD722" s="16"/>
      <c r="AE722" s="16"/>
      <c r="AF722" s="16"/>
      <c r="AG722" s="16"/>
      <c r="AH722" s="16"/>
      <c r="AI722" s="3326"/>
      <c r="AJ722" s="3349"/>
      <c r="AK722" s="16"/>
      <c r="AL722" s="16"/>
      <c r="AM722" s="16"/>
      <c r="AN722" s="16"/>
      <c r="AO722" s="16"/>
      <c r="AP722" s="16"/>
      <c r="AQ722" s="3478"/>
      <c r="AR722" s="3479"/>
      <c r="AW722" s="3371"/>
    </row>
    <row r="723" s="3330" customFormat="1" ht="23.45" customHeight="1" spans="1:49">
      <c r="A723" s="64"/>
      <c r="B723" s="64"/>
      <c r="C723" s="5036" t="s">
        <v>2020</v>
      </c>
      <c r="D723" s="3341"/>
      <c r="E723" s="3341"/>
      <c r="F723" s="3341"/>
      <c r="G723" s="3341"/>
      <c r="H723" s="3341"/>
      <c r="I723" s="3341"/>
      <c r="J723" s="3341"/>
      <c r="K723" s="3341"/>
      <c r="L723" s="3341"/>
      <c r="M723" s="3341"/>
      <c r="N723" s="3341"/>
      <c r="O723" s="3341"/>
      <c r="P723" s="3341"/>
      <c r="Q723" s="3341"/>
      <c r="R723" s="3341"/>
      <c r="S723" s="3341"/>
      <c r="T723" s="3341"/>
      <c r="U723" s="3341"/>
      <c r="V723" s="3341"/>
      <c r="W723" s="3341"/>
      <c r="X723" s="3341"/>
      <c r="Y723" s="3341"/>
      <c r="Z723" s="3341"/>
      <c r="AA723" s="3341"/>
      <c r="AB723" s="3341"/>
      <c r="AC723" s="3341"/>
      <c r="AD723" s="3341"/>
      <c r="AE723" s="3341"/>
      <c r="AF723" s="3341"/>
      <c r="AG723" s="3341"/>
      <c r="AH723" s="3341"/>
      <c r="AI723" s="3341"/>
      <c r="AJ723" s="3341"/>
      <c r="AK723" s="3341"/>
      <c r="AL723" s="3341"/>
      <c r="AM723" s="3341"/>
      <c r="AN723" s="3341"/>
      <c r="AO723" s="3341"/>
      <c r="AP723" s="3341"/>
      <c r="AQ723" s="3478"/>
      <c r="AR723" s="3479"/>
      <c r="AW723" s="3371"/>
    </row>
    <row r="724" s="3330" customFormat="1" ht="6" customHeight="1" spans="1:49">
      <c r="A724" s="64"/>
      <c r="B724" s="64"/>
      <c r="C724" s="3339"/>
      <c r="D724" s="3341"/>
      <c r="E724" s="3341"/>
      <c r="F724" s="3341"/>
      <c r="G724" s="3341"/>
      <c r="H724" s="3341"/>
      <c r="I724" s="3341"/>
      <c r="J724" s="3341"/>
      <c r="K724" s="3341"/>
      <c r="L724" s="3341"/>
      <c r="M724" s="3341"/>
      <c r="N724" s="3341"/>
      <c r="O724" s="3341"/>
      <c r="P724" s="3341"/>
      <c r="Q724" s="3341"/>
      <c r="R724" s="3341"/>
      <c r="S724" s="3341"/>
      <c r="T724" s="3341"/>
      <c r="U724" s="3341"/>
      <c r="V724" s="3341"/>
      <c r="W724" s="3341"/>
      <c r="X724" s="3341"/>
      <c r="Y724" s="3341"/>
      <c r="Z724" s="3341"/>
      <c r="AA724" s="3341"/>
      <c r="AB724" s="3341"/>
      <c r="AC724" s="3341"/>
      <c r="AD724" s="3341"/>
      <c r="AE724" s="3341"/>
      <c r="AF724" s="3341"/>
      <c r="AG724" s="3341"/>
      <c r="AH724" s="3341"/>
      <c r="AI724" s="3341"/>
      <c r="AJ724" s="3341"/>
      <c r="AK724" s="3341"/>
      <c r="AL724" s="3341"/>
      <c r="AM724" s="3341"/>
      <c r="AN724" s="3341"/>
      <c r="AO724" s="3341"/>
      <c r="AP724" s="3341"/>
      <c r="AQ724" s="3478"/>
      <c r="AR724" s="3479"/>
      <c r="AW724" s="3371"/>
    </row>
    <row r="725" s="3330" customFormat="1" ht="37.5" customHeight="1" spans="1:49">
      <c r="A725" s="64"/>
      <c r="B725" s="64"/>
      <c r="C725" s="5036" t="s">
        <v>2021</v>
      </c>
      <c r="D725" s="3341"/>
      <c r="E725" s="3341"/>
      <c r="F725" s="3341"/>
      <c r="G725" s="3341"/>
      <c r="H725" s="3341"/>
      <c r="I725" s="3341"/>
      <c r="J725" s="3341"/>
      <c r="K725" s="3341"/>
      <c r="L725" s="3341"/>
      <c r="M725" s="3341"/>
      <c r="N725" s="3341"/>
      <c r="O725" s="3341"/>
      <c r="P725" s="3341"/>
      <c r="Q725" s="3341"/>
      <c r="R725" s="3341"/>
      <c r="S725" s="3341"/>
      <c r="T725" s="3341"/>
      <c r="U725" s="3341"/>
      <c r="V725" s="3341"/>
      <c r="W725" s="3341"/>
      <c r="X725" s="3341"/>
      <c r="Y725" s="3341"/>
      <c r="Z725" s="3341"/>
      <c r="AA725" s="3341"/>
      <c r="AB725" s="3341"/>
      <c r="AC725" s="3341"/>
      <c r="AD725" s="3341"/>
      <c r="AE725" s="3341"/>
      <c r="AF725" s="3341"/>
      <c r="AG725" s="3341"/>
      <c r="AH725" s="3341"/>
      <c r="AI725" s="3341"/>
      <c r="AJ725" s="3341"/>
      <c r="AK725" s="3341"/>
      <c r="AL725" s="3341"/>
      <c r="AM725" s="3341"/>
      <c r="AN725" s="3341"/>
      <c r="AO725" s="3341"/>
      <c r="AP725" s="3341"/>
      <c r="AQ725" s="3478"/>
      <c r="AR725" s="3479"/>
      <c r="AW725" s="3371"/>
    </row>
    <row r="726" s="3330" customFormat="1" ht="4.5" customHeight="1" spans="1:49">
      <c r="A726" s="64"/>
      <c r="B726" s="64"/>
      <c r="C726" s="3339"/>
      <c r="D726" s="3341"/>
      <c r="E726" s="3341"/>
      <c r="F726" s="3341"/>
      <c r="G726" s="3341"/>
      <c r="H726" s="3341"/>
      <c r="I726" s="3341"/>
      <c r="J726" s="3341"/>
      <c r="K726" s="3341"/>
      <c r="L726" s="3341"/>
      <c r="M726" s="3341"/>
      <c r="N726" s="3341"/>
      <c r="O726" s="3341"/>
      <c r="P726" s="3341"/>
      <c r="Q726" s="3341"/>
      <c r="R726" s="3341"/>
      <c r="S726" s="3341"/>
      <c r="T726" s="3341"/>
      <c r="U726" s="3341"/>
      <c r="V726" s="3341"/>
      <c r="W726" s="3341"/>
      <c r="X726" s="3341"/>
      <c r="Y726" s="3341"/>
      <c r="Z726" s="3341"/>
      <c r="AA726" s="3341"/>
      <c r="AB726" s="3341"/>
      <c r="AC726" s="3341"/>
      <c r="AD726" s="3341"/>
      <c r="AE726" s="3341"/>
      <c r="AF726" s="3341"/>
      <c r="AG726" s="3341"/>
      <c r="AH726" s="3341"/>
      <c r="AI726" s="3341"/>
      <c r="AJ726" s="3341"/>
      <c r="AK726" s="3341"/>
      <c r="AL726" s="3341"/>
      <c r="AM726" s="3341"/>
      <c r="AN726" s="3341"/>
      <c r="AO726" s="3341"/>
      <c r="AP726" s="3341"/>
      <c r="AQ726" s="3478"/>
      <c r="AR726" s="3479"/>
      <c r="AW726" s="3371"/>
    </row>
    <row r="727" s="3330" customFormat="1" ht="44.45" customHeight="1" spans="1:49">
      <c r="A727" s="64"/>
      <c r="B727" s="64"/>
      <c r="C727" s="5036" t="s">
        <v>2022</v>
      </c>
      <c r="D727" s="3341"/>
      <c r="E727" s="3341"/>
      <c r="F727" s="3341"/>
      <c r="G727" s="3341"/>
      <c r="H727" s="3341"/>
      <c r="I727" s="3341"/>
      <c r="J727" s="3341"/>
      <c r="K727" s="3341"/>
      <c r="L727" s="3341"/>
      <c r="M727" s="3341"/>
      <c r="N727" s="3341"/>
      <c r="O727" s="3341"/>
      <c r="P727" s="3341"/>
      <c r="Q727" s="3341"/>
      <c r="R727" s="3341"/>
      <c r="S727" s="3341"/>
      <c r="T727" s="3341"/>
      <c r="U727" s="3341"/>
      <c r="V727" s="3341"/>
      <c r="W727" s="3341"/>
      <c r="X727" s="3341"/>
      <c r="Y727" s="3341"/>
      <c r="Z727" s="3341"/>
      <c r="AA727" s="3341"/>
      <c r="AB727" s="3341"/>
      <c r="AC727" s="3341"/>
      <c r="AD727" s="3341"/>
      <c r="AE727" s="3341"/>
      <c r="AF727" s="3341"/>
      <c r="AG727" s="3341"/>
      <c r="AH727" s="3341"/>
      <c r="AI727" s="3341"/>
      <c r="AJ727" s="3341"/>
      <c r="AK727" s="3341"/>
      <c r="AL727" s="3341"/>
      <c r="AM727" s="3341"/>
      <c r="AN727" s="3341"/>
      <c r="AO727" s="3341"/>
      <c r="AP727" s="3341"/>
      <c r="AQ727" s="3478"/>
      <c r="AR727" s="3479"/>
      <c r="AW727" s="3371"/>
    </row>
    <row r="728" s="3330" customFormat="1" ht="2.1" customHeight="1" spans="1:49">
      <c r="A728" s="64"/>
      <c r="B728" s="64"/>
      <c r="C728" s="3339"/>
      <c r="D728" s="3341"/>
      <c r="E728" s="3341"/>
      <c r="F728" s="3341"/>
      <c r="G728" s="3341"/>
      <c r="H728" s="3341"/>
      <c r="I728" s="3341"/>
      <c r="J728" s="3341"/>
      <c r="K728" s="3341"/>
      <c r="L728" s="3341"/>
      <c r="M728" s="3341"/>
      <c r="N728" s="3341"/>
      <c r="O728" s="3341"/>
      <c r="P728" s="3341"/>
      <c r="Q728" s="3341"/>
      <c r="R728" s="3341"/>
      <c r="S728" s="3341"/>
      <c r="T728" s="3341"/>
      <c r="U728" s="3341"/>
      <c r="V728" s="3341"/>
      <c r="W728" s="3341"/>
      <c r="X728" s="3341"/>
      <c r="Y728" s="3341"/>
      <c r="Z728" s="3341"/>
      <c r="AA728" s="3341"/>
      <c r="AB728" s="3341"/>
      <c r="AC728" s="3341"/>
      <c r="AD728" s="3341"/>
      <c r="AE728" s="3341"/>
      <c r="AF728" s="3341"/>
      <c r="AG728" s="3341"/>
      <c r="AH728" s="3341"/>
      <c r="AI728" s="3341"/>
      <c r="AJ728" s="3341"/>
      <c r="AK728" s="3341"/>
      <c r="AL728" s="3341"/>
      <c r="AM728" s="3341"/>
      <c r="AN728" s="3341"/>
      <c r="AO728" s="3341"/>
      <c r="AP728" s="3341"/>
      <c r="AQ728" s="3478"/>
      <c r="AR728" s="3479"/>
      <c r="AW728" s="3371"/>
    </row>
    <row r="729" s="3330" customFormat="1" ht="12.95" customHeight="1" spans="1:50">
      <c r="A729" s="64"/>
      <c r="B729" s="64"/>
      <c r="C729" s="3322"/>
      <c r="D729" s="64"/>
      <c r="E729" s="64"/>
      <c r="F729" s="3341"/>
      <c r="G729" s="3341"/>
      <c r="H729" s="3341"/>
      <c r="I729" s="3341"/>
      <c r="J729" s="3341"/>
      <c r="K729" s="3341"/>
      <c r="L729" s="3341"/>
      <c r="M729" s="3341"/>
      <c r="N729" s="3341"/>
      <c r="O729" s="3341"/>
      <c r="P729" s="3341"/>
      <c r="Q729" s="3341"/>
      <c r="R729" s="3341"/>
      <c r="S729" s="3341"/>
      <c r="T729" s="3341"/>
      <c r="U729" s="3341"/>
      <c r="V729" s="3341"/>
      <c r="W729" s="3341"/>
      <c r="X729" s="3341"/>
      <c r="Y729" s="3341"/>
      <c r="Z729" s="3341"/>
      <c r="AA729" s="3341"/>
      <c r="AB729" s="3359">
        <f>+AB662</f>
        <v>2022</v>
      </c>
      <c r="AC729" s="3360"/>
      <c r="AD729" s="3360"/>
      <c r="AE729" s="3360"/>
      <c r="AF729" s="3360"/>
      <c r="AG729" s="3360"/>
      <c r="AH729" s="3360"/>
      <c r="AI729" s="64"/>
      <c r="AJ729" s="3359">
        <f>+AJ662</f>
        <v>2021</v>
      </c>
      <c r="AK729" s="3360"/>
      <c r="AL729" s="3360"/>
      <c r="AM729" s="3360"/>
      <c r="AN729" s="3360"/>
      <c r="AO729" s="3360"/>
      <c r="AP729" s="3360"/>
      <c r="AQ729" s="3360">
        <f>+AQ662</f>
        <v>2020</v>
      </c>
      <c r="AR729" s="3360"/>
      <c r="AS729" s="3360"/>
      <c r="AT729" s="3360"/>
      <c r="AU729" s="3360"/>
      <c r="AV729" s="3360"/>
      <c r="AW729" s="3381"/>
      <c r="AX729" s="3478"/>
    </row>
    <row r="730" s="3330" customFormat="1" customHeight="1" spans="1:50">
      <c r="A730" s="64"/>
      <c r="B730" s="64"/>
      <c r="C730" s="3528" t="s">
        <v>2023</v>
      </c>
      <c r="D730" s="3341"/>
      <c r="E730" s="3341"/>
      <c r="F730" s="3341"/>
      <c r="G730" s="3341"/>
      <c r="H730" s="3341"/>
      <c r="I730" s="3341"/>
      <c r="J730" s="3341"/>
      <c r="K730" s="3341"/>
      <c r="L730" s="3341"/>
      <c r="M730" s="3341"/>
      <c r="N730" s="3341"/>
      <c r="O730" s="3341"/>
      <c r="P730" s="3341"/>
      <c r="Q730" s="3341"/>
      <c r="R730" s="3341"/>
      <c r="S730" s="3341"/>
      <c r="T730" s="3341"/>
      <c r="U730" s="3341"/>
      <c r="V730" s="3341"/>
      <c r="W730" s="3341"/>
      <c r="X730" s="3341"/>
      <c r="Y730" s="3341"/>
      <c r="Z730" s="3341"/>
      <c r="AA730" s="3341"/>
      <c r="AB730" s="3">
        <f>+'FS-22'!W44</f>
        <v>8783553695.2464</v>
      </c>
      <c r="AC730" s="3"/>
      <c r="AD730" s="3"/>
      <c r="AE730" s="3"/>
      <c r="AF730" s="3"/>
      <c r="AG730" s="3"/>
      <c r="AH730" s="3"/>
      <c r="AI730" s="3326"/>
      <c r="AJ730" s="3">
        <f>SUM('FS-21'!Y43:AE43)</f>
        <v>14980282474.7325</v>
      </c>
      <c r="AK730" s="3"/>
      <c r="AL730" s="3"/>
      <c r="AM730" s="3"/>
      <c r="AN730" s="3"/>
      <c r="AO730" s="3"/>
      <c r="AP730" s="3"/>
      <c r="AQ730" s="3">
        <f>SUM('FS-21'!AG43:AM43)</f>
        <v>18230648972.9922</v>
      </c>
      <c r="AR730" s="3"/>
      <c r="AS730" s="3"/>
      <c r="AT730" s="3"/>
      <c r="AU730" s="3"/>
      <c r="AV730" s="3"/>
      <c r="AW730" s="3546"/>
      <c r="AX730" s="3478"/>
    </row>
    <row r="731" s="3330" customFormat="1" customHeight="1" spans="1:50">
      <c r="A731" s="64"/>
      <c r="B731" s="64"/>
      <c r="C731" s="3528" t="s">
        <v>2024</v>
      </c>
      <c r="D731" s="3341"/>
      <c r="E731" s="3341"/>
      <c r="F731" s="3341"/>
      <c r="G731" s="3341"/>
      <c r="H731" s="3341"/>
      <c r="I731" s="3341"/>
      <c r="J731" s="3341"/>
      <c r="K731" s="3341"/>
      <c r="L731" s="3341"/>
      <c r="M731" s="3341"/>
      <c r="N731" s="3341"/>
      <c r="O731" s="3341"/>
      <c r="P731" s="3341"/>
      <c r="Q731" s="3341"/>
      <c r="R731" s="3341"/>
      <c r="S731" s="3341"/>
      <c r="T731" s="3341"/>
      <c r="U731" s="3341"/>
      <c r="V731" s="3341"/>
      <c r="W731" s="3341"/>
      <c r="X731" s="3341"/>
      <c r="Y731" s="3341"/>
      <c r="Z731" s="3341"/>
      <c r="AA731" s="3341"/>
      <c r="AB731" s="3">
        <f>+'FS-22'!W54</f>
        <v>21402539324</v>
      </c>
      <c r="AC731" s="3"/>
      <c r="AD731" s="3"/>
      <c r="AE731" s="3"/>
      <c r="AF731" s="3"/>
      <c r="AG731" s="3"/>
      <c r="AH731" s="3"/>
      <c r="AI731" s="3326"/>
      <c r="AJ731" s="3544">
        <f>SUM('FS-21'!Y51:AE51)</f>
        <v>29999875599.0357</v>
      </c>
      <c r="AK731" s="3544"/>
      <c r="AL731" s="3544"/>
      <c r="AM731" s="3544"/>
      <c r="AN731" s="3544"/>
      <c r="AO731" s="3544"/>
      <c r="AP731" s="3544"/>
      <c r="AQ731" s="3544">
        <f>SUM('FS-21'!AG51:AM51)</f>
        <v>33710873644.7047</v>
      </c>
      <c r="AR731" s="3544"/>
      <c r="AS731" s="3544"/>
      <c r="AT731" s="3544"/>
      <c r="AU731" s="3544"/>
      <c r="AV731" s="3544"/>
      <c r="AW731" s="3546"/>
      <c r="AX731" s="3478"/>
    </row>
    <row r="732" s="3330" customFormat="1" customHeight="1" spans="1:50">
      <c r="A732" s="64"/>
      <c r="B732" s="64"/>
      <c r="C732" s="3528" t="s">
        <v>2025</v>
      </c>
      <c r="D732" s="3341"/>
      <c r="E732" s="3341"/>
      <c r="F732" s="3341"/>
      <c r="G732" s="3341"/>
      <c r="H732" s="3341"/>
      <c r="I732" s="3341"/>
      <c r="J732" s="3341"/>
      <c r="K732" s="3341"/>
      <c r="L732" s="3341"/>
      <c r="M732" s="3341"/>
      <c r="N732" s="3341"/>
      <c r="O732" s="3341"/>
      <c r="P732" s="3341"/>
      <c r="Q732" s="3341"/>
      <c r="R732" s="3341"/>
      <c r="S732" s="3341"/>
      <c r="T732" s="3341"/>
      <c r="U732" s="3341"/>
      <c r="V732" s="3341"/>
      <c r="W732" s="3341"/>
      <c r="X732" s="3341"/>
      <c r="Y732" s="3341"/>
      <c r="Z732" s="3341"/>
      <c r="AA732" s="3341"/>
      <c r="AB732" s="3">
        <f>SUM(AB730:AH731)</f>
        <v>30186093019.2464</v>
      </c>
      <c r="AC732" s="3"/>
      <c r="AD732" s="3"/>
      <c r="AE732" s="3"/>
      <c r="AF732" s="3"/>
      <c r="AG732" s="3"/>
      <c r="AH732" s="3"/>
      <c r="AI732" s="3326"/>
      <c r="AJ732" s="3">
        <f>SUM(AJ730:AP731)</f>
        <v>44980158073.7682</v>
      </c>
      <c r="AK732" s="3"/>
      <c r="AL732" s="3"/>
      <c r="AM732" s="3"/>
      <c r="AN732" s="3"/>
      <c r="AO732" s="3"/>
      <c r="AP732" s="3"/>
      <c r="AQ732" s="3">
        <f>SUM(AQ730:AW731)</f>
        <v>51941522617.6969</v>
      </c>
      <c r="AR732" s="3"/>
      <c r="AS732" s="3"/>
      <c r="AT732" s="3"/>
      <c r="AU732" s="3"/>
      <c r="AV732" s="3"/>
      <c r="AW732" s="3546"/>
      <c r="AX732" s="3478"/>
    </row>
    <row r="733" s="3330" customFormat="1" customHeight="1" spans="1:50">
      <c r="A733" s="64"/>
      <c r="B733" s="64"/>
      <c r="C733" s="3528" t="s">
        <v>2026</v>
      </c>
      <c r="D733" s="3341"/>
      <c r="E733" s="3341"/>
      <c r="F733" s="3341"/>
      <c r="G733" s="3341"/>
      <c r="H733" s="3341"/>
      <c r="I733" s="3341"/>
      <c r="J733" s="3341"/>
      <c r="K733" s="3341"/>
      <c r="L733" s="3341"/>
      <c r="M733" s="3341"/>
      <c r="N733" s="3341"/>
      <c r="O733" s="3341"/>
      <c r="P733" s="3341"/>
      <c r="Q733" s="3341"/>
      <c r="R733" s="3341"/>
      <c r="S733" s="3341"/>
      <c r="T733" s="3341"/>
      <c r="U733" s="3341"/>
      <c r="V733" s="3341"/>
      <c r="W733" s="3341"/>
      <c r="X733" s="3341"/>
      <c r="Y733" s="3341"/>
      <c r="Z733" s="3341"/>
      <c r="AA733" s="3341"/>
      <c r="AB733" s="3544">
        <f>SUM('FS-21'!Q11:W11)</f>
        <v>203630476.005</v>
      </c>
      <c r="AC733" s="3544"/>
      <c r="AD733" s="3544"/>
      <c r="AE733" s="3544"/>
      <c r="AF733" s="3544"/>
      <c r="AG733" s="3544"/>
      <c r="AH733" s="3544"/>
      <c r="AI733" s="3326"/>
      <c r="AJ733" s="3544">
        <f>SUM('FS-21'!Y11:AE11)</f>
        <v>295686160.08</v>
      </c>
      <c r="AK733" s="3544"/>
      <c r="AL733" s="3544"/>
      <c r="AM733" s="3544"/>
      <c r="AN733" s="3544"/>
      <c r="AO733" s="3544"/>
      <c r="AP733" s="3544"/>
      <c r="AQ733" s="3544">
        <f>SUM('FS-21'!AG11:AM11)</f>
        <v>750100447</v>
      </c>
      <c r="AR733" s="3544"/>
      <c r="AS733" s="3544"/>
      <c r="AT733" s="3544"/>
      <c r="AU733" s="3544"/>
      <c r="AV733" s="3544"/>
      <c r="AW733" s="3546"/>
      <c r="AX733" s="3478"/>
    </row>
    <row r="734" s="3330" customFormat="1" ht="12.95" customHeight="1" spans="1:50">
      <c r="A734" s="64"/>
      <c r="B734" s="64"/>
      <c r="C734" s="3528" t="s">
        <v>2027</v>
      </c>
      <c r="D734" s="3341"/>
      <c r="E734" s="3341"/>
      <c r="F734" s="3341"/>
      <c r="G734" s="3341"/>
      <c r="H734" s="3341"/>
      <c r="I734" s="3341"/>
      <c r="J734" s="3341"/>
      <c r="K734" s="3341"/>
      <c r="L734" s="3341"/>
      <c r="M734" s="3341"/>
      <c r="N734" s="3341"/>
      <c r="O734" s="3341"/>
      <c r="P734" s="3341"/>
      <c r="Q734" s="3341"/>
      <c r="R734" s="3341"/>
      <c r="S734" s="3341"/>
      <c r="T734" s="3341"/>
      <c r="U734" s="3341"/>
      <c r="V734" s="3341"/>
      <c r="W734" s="3341"/>
      <c r="X734" s="3341"/>
      <c r="Y734" s="3341"/>
      <c r="Z734" s="3341"/>
      <c r="AA734" s="3341"/>
      <c r="AB734">
        <f>AB732-AB733</f>
        <v>29982462543.2414</v>
      </c>
      <c r="AC734"/>
      <c r="AD734"/>
      <c r="AE734"/>
      <c r="AF734"/>
      <c r="AG734"/>
      <c r="AH734"/>
      <c r="AI734" s="3326"/>
      <c r="AJ734">
        <f>AJ732-AJ733</f>
        <v>44684471913.6882</v>
      </c>
      <c r="AK734"/>
      <c r="AL734"/>
      <c r="AM734"/>
      <c r="AN734"/>
      <c r="AO734"/>
      <c r="AP734"/>
      <c r="AQ734" s="2623">
        <f>AQ732-AQ733</f>
        <v>51191422170.6969</v>
      </c>
      <c r="AR734" s="2623"/>
      <c r="AS734" s="2623"/>
      <c r="AT734" s="2623"/>
      <c r="AU734" s="2623"/>
      <c r="AV734" s="2623"/>
      <c r="AW734" s="1293"/>
      <c r="AX734"/>
    </row>
    <row r="735" s="3330" customFormat="1" ht="11.4" spans="1:50">
      <c r="A735" s="64"/>
      <c r="B735" s="64"/>
      <c r="C735" s="3528" t="s">
        <v>2028</v>
      </c>
      <c r="D735" s="3341"/>
      <c r="E735" s="3341"/>
      <c r="F735" s="3341"/>
      <c r="G735" s="3341"/>
      <c r="H735" s="3341"/>
      <c r="I735" s="3341"/>
      <c r="J735" s="3341"/>
      <c r="K735" s="3341"/>
      <c r="L735" s="3341"/>
      <c r="M735" s="3341"/>
      <c r="N735" s="3341"/>
      <c r="O735" s="3341"/>
      <c r="P735" s="3341"/>
      <c r="Q735" s="3341"/>
      <c r="R735" s="3341"/>
      <c r="S735" s="3341"/>
      <c r="T735" s="3341"/>
      <c r="U735" s="3341"/>
      <c r="V735" s="3341"/>
      <c r="W735" s="3341"/>
      <c r="X735" s="3341"/>
      <c r="Y735" s="3341"/>
      <c r="Z735" s="3341"/>
      <c r="AA735" s="3341"/>
      <c r="AB735" s="3">
        <f>+'FS-22'!W62</f>
        <v>21698158386.8631</v>
      </c>
      <c r="AC735" s="3"/>
      <c r="AD735" s="3"/>
      <c r="AE735" s="3"/>
      <c r="AF735" s="3"/>
      <c r="AG735" s="3"/>
      <c r="AH735" s="3"/>
      <c r="AI735" s="3325"/>
      <c r="AJ735" s="3546">
        <f>SUM('FS-21'!Y59:AE59)</f>
        <v>21100743261.0143</v>
      </c>
      <c r="AK735" s="3546"/>
      <c r="AL735" s="3546"/>
      <c r="AM735" s="3546"/>
      <c r="AN735" s="3546"/>
      <c r="AO735" s="3546"/>
      <c r="AP735" s="3546"/>
      <c r="AQ735" s="3546">
        <f>SUM('FS-21'!AG59:AM59)</f>
        <v>20865490344.765</v>
      </c>
      <c r="AR735" s="3546"/>
      <c r="AS735" s="3546"/>
      <c r="AT735" s="3546"/>
      <c r="AU735" s="3546"/>
      <c r="AV735" s="3546"/>
      <c r="AW735" s="3546"/>
      <c r="AX735" s="3478"/>
    </row>
    <row r="736" s="3330" customFormat="1" customHeight="1" spans="1:50">
      <c r="A736" s="64"/>
      <c r="B736" s="64"/>
      <c r="C736" s="94" t="s">
        <v>2029</v>
      </c>
      <c r="D736" s="3344"/>
      <c r="E736" s="3344"/>
      <c r="F736" s="3344"/>
      <c r="G736" s="3344"/>
      <c r="H736" s="3344"/>
      <c r="I736" s="3344"/>
      <c r="J736" s="3344"/>
      <c r="K736" s="3344"/>
      <c r="L736" s="3344"/>
      <c r="M736" s="3344"/>
      <c r="N736" s="3344"/>
      <c r="O736" s="3344"/>
      <c r="P736" s="3344"/>
      <c r="Q736" s="3344"/>
      <c r="R736" s="3344"/>
      <c r="S736" s="3344"/>
      <c r="T736" s="3344"/>
      <c r="U736" s="3344"/>
      <c r="V736" s="3344"/>
      <c r="W736" s="3344"/>
      <c r="X736" s="3344"/>
      <c r="Y736" s="3344"/>
      <c r="Z736" s="3344"/>
      <c r="AA736" s="3344"/>
      <c r="AB736" s="3545">
        <f>AB734/AB735</f>
        <v>1.38179757049769</v>
      </c>
      <c r="AC736" s="3545"/>
      <c r="AD736" s="3545"/>
      <c r="AE736" s="3545"/>
      <c r="AF736" s="3545"/>
      <c r="AG736" s="3545"/>
      <c r="AH736" s="3545"/>
      <c r="AI736" s="3547"/>
      <c r="AJ736" s="3545">
        <f>AJ734/AJ735</f>
        <v>2.11767288767724</v>
      </c>
      <c r="AK736" s="3545"/>
      <c r="AL736" s="3545"/>
      <c r="AM736" s="3545"/>
      <c r="AN736" s="3545"/>
      <c r="AO736" s="3545"/>
      <c r="AP736" s="3545"/>
      <c r="AQ736" s="3548">
        <f>AQ734/AQ735</f>
        <v>2.45340134954176</v>
      </c>
      <c r="AR736" s="3548"/>
      <c r="AS736" s="3548"/>
      <c r="AT736" s="3548"/>
      <c r="AU736" s="3548"/>
      <c r="AV736" s="3548"/>
      <c r="AW736" s="3550"/>
      <c r="AX736" s="3478" t="s">
        <v>2030</v>
      </c>
    </row>
    <row r="737" s="3330" customFormat="1" ht="11.1" hidden="1" customHeight="1" spans="1:49">
      <c r="A737" s="3335">
        <f>A699+1</f>
        <v>17</v>
      </c>
      <c r="B737" s="64"/>
      <c r="C737" s="3322" t="s">
        <v>2031</v>
      </c>
      <c r="D737" s="3341"/>
      <c r="E737" s="3341"/>
      <c r="F737" s="3341"/>
      <c r="G737" s="3341"/>
      <c r="H737" s="3341"/>
      <c r="I737" s="3341"/>
      <c r="J737" s="3341"/>
      <c r="K737" s="3341"/>
      <c r="L737" s="3341"/>
      <c r="M737" s="3341"/>
      <c r="N737" s="3341"/>
      <c r="O737" s="3341"/>
      <c r="P737" s="3341"/>
      <c r="Q737" s="3341"/>
      <c r="R737" s="3341"/>
      <c r="S737" s="3341"/>
      <c r="T737" s="3341"/>
      <c r="U737" s="3341"/>
      <c r="V737" s="3341"/>
      <c r="W737" s="3341"/>
      <c r="X737" s="3341"/>
      <c r="Y737" s="3341"/>
      <c r="Z737" s="3341"/>
      <c r="AA737" s="3341"/>
      <c r="AB737" s="3349"/>
      <c r="AC737" s="16"/>
      <c r="AD737" s="16"/>
      <c r="AE737" s="16"/>
      <c r="AF737" s="16"/>
      <c r="AG737" s="16"/>
      <c r="AH737" s="16"/>
      <c r="AI737" s="3326"/>
      <c r="AJ737" s="3349"/>
      <c r="AK737" s="16"/>
      <c r="AL737" s="16"/>
      <c r="AM737" s="16"/>
      <c r="AN737" s="16"/>
      <c r="AO737" s="16"/>
      <c r="AP737" s="16"/>
      <c r="AQ737" s="3478"/>
      <c r="AR737"/>
      <c r="AW737" s="3371"/>
    </row>
    <row r="738" s="3330" customFormat="1" ht="9.2" hidden="1" customHeight="1" spans="1:49">
      <c r="A738" s="64"/>
      <c r="B738" s="64"/>
      <c r="C738" s="3341"/>
      <c r="D738" s="3341"/>
      <c r="E738" s="3341"/>
      <c r="F738" s="3341"/>
      <c r="G738" s="3341"/>
      <c r="H738" s="3341"/>
      <c r="I738" s="3341"/>
      <c r="J738" s="3341"/>
      <c r="K738" s="3341"/>
      <c r="L738" s="3341"/>
      <c r="M738" s="3341"/>
      <c r="N738" s="3341"/>
      <c r="O738" s="3341"/>
      <c r="P738" s="3341"/>
      <c r="Q738" s="3341"/>
      <c r="R738" s="3341"/>
      <c r="S738" s="3341"/>
      <c r="T738" s="3341"/>
      <c r="U738" s="3341"/>
      <c r="V738" s="3341"/>
      <c r="W738" s="3341"/>
      <c r="X738" s="3341"/>
      <c r="Y738" s="3341"/>
      <c r="Z738" s="3341"/>
      <c r="AA738" s="3341"/>
      <c r="AB738" s="3349"/>
      <c r="AC738" s="16"/>
      <c r="AD738" s="16"/>
      <c r="AE738" s="16"/>
      <c r="AF738" s="16"/>
      <c r="AG738" s="16"/>
      <c r="AH738" s="16"/>
      <c r="AI738" s="3326"/>
      <c r="AJ738" s="3349"/>
      <c r="AK738" s="16"/>
      <c r="AL738" s="16"/>
      <c r="AM738" s="16"/>
      <c r="AN738" s="16"/>
      <c r="AO738" s="16"/>
      <c r="AP738" s="16"/>
      <c r="AQ738" s="3478"/>
      <c r="AR738" s="3479"/>
      <c r="AW738" s="3371"/>
    </row>
    <row r="739" s="3330" customFormat="1" ht="36.75" hidden="1" customHeight="1" spans="1:49">
      <c r="A739" s="64"/>
      <c r="B739" s="64"/>
      <c r="C739" s="5036" t="s">
        <v>2119</v>
      </c>
      <c r="D739" s="3341"/>
      <c r="E739" s="3341"/>
      <c r="F739" s="3341"/>
      <c r="G739" s="3341"/>
      <c r="H739" s="3341"/>
      <c r="I739" s="3341"/>
      <c r="J739" s="3341"/>
      <c r="K739" s="3341"/>
      <c r="L739" s="3341"/>
      <c r="M739" s="3341"/>
      <c r="N739" s="3341"/>
      <c r="O739" s="3341"/>
      <c r="P739" s="3341"/>
      <c r="Q739" s="3341"/>
      <c r="R739" s="3341"/>
      <c r="S739" s="3341"/>
      <c r="T739" s="3341"/>
      <c r="U739" s="3341"/>
      <c r="V739" s="3341"/>
      <c r="W739" s="3341"/>
      <c r="X739" s="3341"/>
      <c r="Y739" s="3341"/>
      <c r="Z739" s="3341"/>
      <c r="AA739" s="3341"/>
      <c r="AB739" s="3341"/>
      <c r="AC739" s="3341"/>
      <c r="AD739" s="3341"/>
      <c r="AE739" s="3341"/>
      <c r="AF739" s="3341"/>
      <c r="AG739" s="3341"/>
      <c r="AH739" s="3341"/>
      <c r="AI739" s="3341"/>
      <c r="AJ739" s="3341"/>
      <c r="AK739" s="3341"/>
      <c r="AL739" s="3341"/>
      <c r="AM739" s="3341"/>
      <c r="AN739" s="3341"/>
      <c r="AO739" s="3341"/>
      <c r="AP739" s="3341"/>
      <c r="AQ739" s="3478"/>
      <c r="AR739"/>
      <c r="AW739" s="3371"/>
    </row>
    <row r="740" s="3330" customFormat="1" ht="15" hidden="1" customHeight="1" spans="1:49">
      <c r="A740" s="64"/>
      <c r="B740" s="64"/>
      <c r="C740" s="3527"/>
      <c r="D740" s="3341"/>
      <c r="E740" s="3341"/>
      <c r="F740" s="3341"/>
      <c r="G740" s="3341"/>
      <c r="H740" s="3341"/>
      <c r="I740" s="3341"/>
      <c r="J740" s="3341"/>
      <c r="K740" s="3341"/>
      <c r="L740" s="3341"/>
      <c r="M740" s="3341"/>
      <c r="N740" s="3341"/>
      <c r="O740" s="3341"/>
      <c r="P740" s="3341"/>
      <c r="Q740" s="3341"/>
      <c r="R740" s="3341"/>
      <c r="S740" s="3341"/>
      <c r="T740" s="3341"/>
      <c r="U740" s="3341"/>
      <c r="V740" s="3341"/>
      <c r="W740" s="3341"/>
      <c r="X740" s="3341"/>
      <c r="Y740" s="3341"/>
      <c r="Z740" s="3341"/>
      <c r="AA740" s="3341"/>
      <c r="AB740" s="3349"/>
      <c r="AC740" s="16"/>
      <c r="AD740" s="16"/>
      <c r="AE740" s="16"/>
      <c r="AF740" s="16"/>
      <c r="AG740" s="16"/>
      <c r="AH740" s="16"/>
      <c r="AI740" s="3326"/>
      <c r="AJ740" s="3349"/>
      <c r="AK740" s="16"/>
      <c r="AL740" s="16"/>
      <c r="AM740" s="16"/>
      <c r="AN740" s="16"/>
      <c r="AO740" s="16"/>
      <c r="AP740" s="16"/>
      <c r="AQ740" s="3478"/>
      <c r="AR740" s="3479"/>
      <c r="AW740" s="3371"/>
    </row>
    <row r="741" s="3330" customFormat="1" hidden="1" customHeight="1" spans="1:49">
      <c r="A741" s="3335">
        <f>A737+1</f>
        <v>18</v>
      </c>
      <c r="B741" s="64"/>
      <c r="C741" s="3322" t="e">
        <f>UPPER(#REF!)</f>
        <v>#REF!</v>
      </c>
      <c r="D741" s="3341"/>
      <c r="E741" s="3341"/>
      <c r="F741" s="3341"/>
      <c r="G741" s="3341"/>
      <c r="H741" s="3341"/>
      <c r="I741" s="3341"/>
      <c r="J741" s="3341"/>
      <c r="K741" s="3341"/>
      <c r="L741" s="3341"/>
      <c r="M741" s="3341"/>
      <c r="N741" s="3341"/>
      <c r="O741" s="3341"/>
      <c r="P741" s="3341"/>
      <c r="Q741" s="3341"/>
      <c r="R741" s="3341"/>
      <c r="S741" s="3341"/>
      <c r="T741" s="3341"/>
      <c r="U741" s="3341"/>
      <c r="V741" s="3341"/>
      <c r="W741" s="3341"/>
      <c r="X741" s="3341"/>
      <c r="Y741" s="3341"/>
      <c r="Z741" s="3341"/>
      <c r="AA741" s="3341"/>
      <c r="AB741" s="3349"/>
      <c r="AC741" s="16"/>
      <c r="AD741" s="16"/>
      <c r="AE741" s="16"/>
      <c r="AF741" s="16"/>
      <c r="AG741" s="16"/>
      <c r="AH741" s="16"/>
      <c r="AI741" s="3326"/>
      <c r="AJ741" s="3349"/>
      <c r="AK741" s="16"/>
      <c r="AL741" s="16"/>
      <c r="AM741" s="16"/>
      <c r="AN741" s="16"/>
      <c r="AO741" s="16"/>
      <c r="AP741" s="16"/>
      <c r="AQ741" s="3478"/>
      <c r="AR741" s="3479"/>
      <c r="AW741" s="3371"/>
    </row>
    <row r="742" s="3330" customFormat="1" ht="9.2" hidden="1" customHeight="1" spans="1:49">
      <c r="A742" s="64"/>
      <c r="B742" s="64"/>
      <c r="C742" s="3341"/>
      <c r="D742" s="3341"/>
      <c r="E742" s="3341"/>
      <c r="F742" s="3341"/>
      <c r="G742" s="3341"/>
      <c r="H742" s="3341"/>
      <c r="I742" s="3341"/>
      <c r="J742" s="3341"/>
      <c r="K742" s="3341"/>
      <c r="L742" s="3341"/>
      <c r="M742" s="3341"/>
      <c r="N742" s="3341"/>
      <c r="O742" s="3341"/>
      <c r="P742" s="3341"/>
      <c r="Q742" s="3341"/>
      <c r="R742" s="3341"/>
      <c r="S742" s="3341"/>
      <c r="T742" s="3341"/>
      <c r="U742" s="3341"/>
      <c r="V742" s="3341"/>
      <c r="W742" s="3341"/>
      <c r="X742" s="3341"/>
      <c r="Y742" s="3341"/>
      <c r="Z742" s="3341"/>
      <c r="AA742" s="3341"/>
      <c r="AB742" s="3349"/>
      <c r="AC742" s="16"/>
      <c r="AD742" s="16"/>
      <c r="AE742" s="16"/>
      <c r="AF742" s="16"/>
      <c r="AG742" s="16"/>
      <c r="AH742" s="16"/>
      <c r="AI742" s="3326"/>
      <c r="AJ742" s="3349"/>
      <c r="AK742" s="16"/>
      <c r="AL742" s="16"/>
      <c r="AM742" s="16"/>
      <c r="AN742" s="16"/>
      <c r="AO742" s="16"/>
      <c r="AP742" s="16"/>
      <c r="AQ742" s="3478"/>
      <c r="AR742" s="3479"/>
      <c r="AW742" s="3371"/>
    </row>
    <row r="743" s="3330" customFormat="1" ht="53.25" hidden="1" customHeight="1" spans="1:49">
      <c r="A743" s="64"/>
      <c r="B743" s="64"/>
      <c r="C743" s="5036" t="s">
        <v>2033</v>
      </c>
      <c r="D743" s="3341"/>
      <c r="E743" s="3341"/>
      <c r="F743" s="3341"/>
      <c r="G743" s="3341"/>
      <c r="H743" s="3341"/>
      <c r="I743" s="3341"/>
      <c r="J743" s="3341"/>
      <c r="K743" s="3341"/>
      <c r="L743" s="3341"/>
      <c r="M743" s="3341"/>
      <c r="N743" s="3341"/>
      <c r="O743" s="3341"/>
      <c r="P743" s="3341"/>
      <c r="Q743" s="3341"/>
      <c r="R743" s="3341"/>
      <c r="S743" s="3341"/>
      <c r="T743" s="3341"/>
      <c r="U743" s="3341"/>
      <c r="V743" s="3341"/>
      <c r="W743" s="3341"/>
      <c r="X743" s="3341"/>
      <c r="Y743" s="3341"/>
      <c r="Z743" s="3341"/>
      <c r="AA743" s="3341"/>
      <c r="AB743" s="3341"/>
      <c r="AC743" s="3341"/>
      <c r="AD743" s="3341"/>
      <c r="AE743" s="3341"/>
      <c r="AF743" s="3341"/>
      <c r="AG743" s="3341"/>
      <c r="AH743" s="3341"/>
      <c r="AI743" s="3341"/>
      <c r="AJ743" s="3341"/>
      <c r="AK743" s="3341"/>
      <c r="AL743" s="3341"/>
      <c r="AM743" s="3341"/>
      <c r="AN743" s="3341"/>
      <c r="AO743" s="3341"/>
      <c r="AP743" s="3341"/>
      <c r="AQ743" s="3478"/>
      <c r="AR743" s="3479"/>
      <c r="AW743" s="3371"/>
    </row>
    <row r="744" s="3330" customFormat="1" ht="15" customHeight="1" spans="1:49">
      <c r="A744" s="64"/>
      <c r="B744" s="64"/>
      <c r="C744" s="3527"/>
      <c r="D744" s="3341"/>
      <c r="E744" s="3341"/>
      <c r="F744" s="3341"/>
      <c r="G744" s="3341"/>
      <c r="H744" s="3341"/>
      <c r="I744" s="3341"/>
      <c r="J744" s="3341"/>
      <c r="K744" s="3341"/>
      <c r="L744" s="3341"/>
      <c r="M744" s="3341"/>
      <c r="N744" s="3341"/>
      <c r="O744" s="3341"/>
      <c r="P744" s="3341"/>
      <c r="Q744" s="3341"/>
      <c r="R744" s="3341"/>
      <c r="S744" s="3341"/>
      <c r="T744" s="3341"/>
      <c r="U744" s="3341"/>
      <c r="V744" s="3341"/>
      <c r="W744" s="3341"/>
      <c r="X744" s="3341"/>
      <c r="Y744" s="3341"/>
      <c r="Z744" s="3341"/>
      <c r="AA744" s="3341"/>
      <c r="AB744" s="3349"/>
      <c r="AC744" s="16"/>
      <c r="AD744" s="16"/>
      <c r="AE744" s="16"/>
      <c r="AF744" s="16"/>
      <c r="AG744" s="16"/>
      <c r="AH744" s="16"/>
      <c r="AI744" s="3326"/>
      <c r="AJ744" s="3349"/>
      <c r="AK744" s="16"/>
      <c r="AL744" s="16"/>
      <c r="AM744" s="16"/>
      <c r="AN744" s="16"/>
      <c r="AO744" s="16"/>
      <c r="AP744" s="16"/>
      <c r="AQ744" s="3478"/>
      <c r="AR744" s="3479"/>
      <c r="AW744" s="3371"/>
    </row>
    <row r="745" s="3330" customFormat="1" customHeight="1" spans="1:49">
      <c r="A745" s="3335">
        <f>+A699+1</f>
        <v>17</v>
      </c>
      <c r="B745" s="64"/>
      <c r="C745" s="3322" t="s">
        <v>1296</v>
      </c>
      <c r="D745" s="64"/>
      <c r="E745" s="64"/>
      <c r="F745" s="3341"/>
      <c r="G745" s="3341"/>
      <c r="H745" s="3341"/>
      <c r="I745" s="3341"/>
      <c r="J745" s="3341"/>
      <c r="K745" s="3341"/>
      <c r="L745" s="3341"/>
      <c r="M745" s="3341"/>
      <c r="N745" s="3341"/>
      <c r="O745" s="3341"/>
      <c r="P745" s="64"/>
      <c r="Q745" s="64"/>
      <c r="R745" s="64"/>
      <c r="S745" s="64"/>
      <c r="T745" s="64"/>
      <c r="U745" s="64"/>
      <c r="V745" s="64"/>
      <c r="W745" s="64"/>
      <c r="X745" s="64"/>
      <c r="Y745" s="64"/>
      <c r="Z745" s="64"/>
      <c r="AA745" s="64"/>
      <c r="AB745" s="3359">
        <f>AB729</f>
        <v>2022</v>
      </c>
      <c r="AC745" s="3360"/>
      <c r="AD745" s="3360"/>
      <c r="AE745" s="3360"/>
      <c r="AF745" s="3360"/>
      <c r="AG745" s="3360"/>
      <c r="AH745" s="3360"/>
      <c r="AI745" s="64"/>
      <c r="AJ745" s="3359">
        <f>AJ729</f>
        <v>2021</v>
      </c>
      <c r="AK745" s="3360"/>
      <c r="AL745" s="3360"/>
      <c r="AM745" s="3360"/>
      <c r="AN745" s="3360"/>
      <c r="AO745" s="3360"/>
      <c r="AP745" s="3360"/>
      <c r="AQ745" s="3549">
        <f>AQ729</f>
        <v>2020</v>
      </c>
      <c r="AR745" s="3549"/>
      <c r="AS745" s="3549"/>
      <c r="AT745" s="3549"/>
      <c r="AU745" s="3549"/>
      <c r="AV745" s="3549"/>
      <c r="AW745" s="3551"/>
    </row>
    <row r="746" s="3330" customFormat="1" ht="9.2" customHeight="1" spans="1:49">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c r="AG746" s="64"/>
      <c r="AH746" s="64"/>
      <c r="AJ746" s="64"/>
      <c r="AK746" s="64"/>
      <c r="AL746" s="64"/>
      <c r="AM746" s="64"/>
      <c r="AN746" s="64"/>
      <c r="AO746" s="64"/>
      <c r="AP746" s="64"/>
      <c r="AS746" s="3326"/>
      <c r="AW746" s="3371"/>
    </row>
    <row r="747" s="3330" customFormat="1" customHeight="1" spans="1:49">
      <c r="A747" s="64"/>
      <c r="B747" s="64"/>
      <c r="C747" t="s">
        <v>2034</v>
      </c>
      <c r="D747" s="3341"/>
      <c r="E747" s="3341"/>
      <c r="F747" s="3341"/>
      <c r="G747" s="3341"/>
      <c r="H747" s="3341"/>
      <c r="I747" s="3341"/>
      <c r="J747" s="3341"/>
      <c r="K747" s="3341"/>
      <c r="L747" s="3341"/>
      <c r="M747" s="3341"/>
      <c r="N747" s="3341"/>
      <c r="O747" s="3341"/>
      <c r="P747" s="3341"/>
      <c r="Q747" s="3341"/>
      <c r="R747" s="3341"/>
      <c r="S747" s="3341"/>
      <c r="T747" s="3341"/>
      <c r="U747" s="3341"/>
      <c r="V747" s="3341"/>
      <c r="W747" s="3341"/>
      <c r="X747" s="3341"/>
      <c r="Y747" s="3341"/>
      <c r="Z747" s="3341"/>
      <c r="AA747" s="3341"/>
      <c r="AB747" s="3">
        <f>+'Rekap Sales'!C8</f>
        <v>4949344418</v>
      </c>
      <c r="AC747" s="3"/>
      <c r="AD747" s="3"/>
      <c r="AE747" s="3"/>
      <c r="AF747" s="3"/>
      <c r="AG747" s="3"/>
      <c r="AH747" s="3"/>
      <c r="AI747" s="3326"/>
      <c r="AJ747" s="3">
        <f ca="1">+'Rekap Sales'!D8</f>
        <v>2546584440</v>
      </c>
      <c r="AK747" s="3"/>
      <c r="AL747" s="3"/>
      <c r="AM747" s="3"/>
      <c r="AN747" s="3"/>
      <c r="AO747" s="3"/>
      <c r="AP747" s="3"/>
      <c r="AQ747" s="3">
        <f>+'Rekap Sales'!E8</f>
        <v>4236090171</v>
      </c>
      <c r="AR747" s="3"/>
      <c r="AS747" s="3"/>
      <c r="AT747" s="3"/>
      <c r="AU747" s="3"/>
      <c r="AV747" s="3"/>
      <c r="AW747" s="3546"/>
    </row>
    <row r="748" s="3330" customFormat="1" customHeight="1" spans="1:49">
      <c r="A748" s="64"/>
      <c r="B748" s="64"/>
      <c r="C748" t="s">
        <v>2036</v>
      </c>
      <c r="D748" s="3341"/>
      <c r="E748" s="3341"/>
      <c r="F748" s="3341"/>
      <c r="G748" s="3341"/>
      <c r="H748" s="3341"/>
      <c r="I748" s="3341"/>
      <c r="J748" s="3341"/>
      <c r="K748" s="3341"/>
      <c r="L748" s="3341"/>
      <c r="M748" s="3341"/>
      <c r="N748" s="3341"/>
      <c r="O748" s="3341"/>
      <c r="P748" s="3341"/>
      <c r="Q748" s="3341"/>
      <c r="R748" s="3341"/>
      <c r="S748" s="3341"/>
      <c r="T748" s="3341"/>
      <c r="U748" s="3341"/>
      <c r="V748" s="3341"/>
      <c r="W748" s="3341"/>
      <c r="X748" s="3341"/>
      <c r="Y748" s="3341"/>
      <c r="Z748" s="3341"/>
      <c r="AA748" s="3341"/>
      <c r="AB748" s="3">
        <f>+'Rekap Sales'!C9</f>
        <v>1796531373.8796</v>
      </c>
      <c r="AC748" s="3"/>
      <c r="AD748" s="3"/>
      <c r="AE748" s="3"/>
      <c r="AF748" s="3"/>
      <c r="AG748" s="3"/>
      <c r="AH748" s="3"/>
      <c r="AI748" s="3326"/>
      <c r="AJ748" s="3">
        <f ca="1">+'Rekap Sales'!D9</f>
        <v>1080740706</v>
      </c>
      <c r="AK748" s="3"/>
      <c r="AL748" s="3"/>
      <c r="AM748" s="3"/>
      <c r="AN748" s="3"/>
      <c r="AO748" s="3"/>
      <c r="AP748" s="3"/>
      <c r="AQ748" s="3">
        <f>+'Rekap Sales'!E9</f>
        <v>1585333737</v>
      </c>
      <c r="AR748" s="3"/>
      <c r="AS748" s="3"/>
      <c r="AT748" s="3"/>
      <c r="AU748" s="3"/>
      <c r="AV748" s="3"/>
      <c r="AW748" s="3546"/>
    </row>
    <row r="749" s="3330" customFormat="1" customHeight="1" spans="1:49">
      <c r="A749" s="64"/>
      <c r="B749" s="64"/>
      <c r="C749" t="s">
        <v>2037</v>
      </c>
      <c r="D749" s="3341"/>
      <c r="E749" s="3341"/>
      <c r="F749" s="3341"/>
      <c r="G749" s="3341"/>
      <c r="H749" s="3341"/>
      <c r="I749" s="3341"/>
      <c r="J749" s="3341"/>
      <c r="K749" s="3341"/>
      <c r="L749" s="3341"/>
      <c r="M749" s="3341"/>
      <c r="N749" s="3341"/>
      <c r="O749" s="3341"/>
      <c r="P749" s="3341"/>
      <c r="Q749" s="3341"/>
      <c r="R749" s="3341"/>
      <c r="S749" s="3341"/>
      <c r="T749" s="3341"/>
      <c r="U749" s="3341"/>
      <c r="V749" s="3341"/>
      <c r="W749" s="3341"/>
      <c r="X749" s="3341"/>
      <c r="Y749" s="3341"/>
      <c r="Z749" s="3341"/>
      <c r="AA749" s="3341"/>
      <c r="AB749" s="3">
        <f>+'Rekap Sales'!C10</f>
        <v>670488750</v>
      </c>
      <c r="AC749" s="3"/>
      <c r="AD749" s="3"/>
      <c r="AE749" s="3"/>
      <c r="AF749" s="3"/>
      <c r="AG749" s="3"/>
      <c r="AH749" s="3"/>
      <c r="AI749" s="3326"/>
      <c r="AJ749" s="3">
        <f ca="1">+'Rekap Sales'!D10</f>
        <v>561830500</v>
      </c>
      <c r="AK749" s="3"/>
      <c r="AL749" s="3"/>
      <c r="AM749" s="3"/>
      <c r="AN749" s="3"/>
      <c r="AO749" s="3"/>
      <c r="AP749" s="3"/>
      <c r="AQ749" s="3">
        <f>+'Rekap Sales'!E10</f>
        <v>203066961</v>
      </c>
      <c r="AR749" s="3"/>
      <c r="AS749" s="3"/>
      <c r="AT749" s="3"/>
      <c r="AU749" s="3"/>
      <c r="AV749" s="3"/>
      <c r="AW749" s="3546"/>
    </row>
    <row r="750" s="3330" customFormat="1" customHeight="1" spans="1:49">
      <c r="A750" s="64"/>
      <c r="B750" s="64"/>
      <c r="C750" t="s">
        <v>2035</v>
      </c>
      <c r="D750" s="3341"/>
      <c r="E750" s="3341"/>
      <c r="F750" s="3341"/>
      <c r="G750" s="3341"/>
      <c r="H750" s="3341"/>
      <c r="I750" s="3341"/>
      <c r="J750" s="3341"/>
      <c r="K750" s="3341"/>
      <c r="L750" s="3341"/>
      <c r="M750" s="3341"/>
      <c r="N750" s="3341"/>
      <c r="O750" s="3341"/>
      <c r="P750" s="3341"/>
      <c r="Q750" s="3341"/>
      <c r="R750" s="3341"/>
      <c r="S750" s="3341"/>
      <c r="T750" s="3341"/>
      <c r="U750" s="3341"/>
      <c r="V750" s="3341"/>
      <c r="W750" s="3341"/>
      <c r="X750" s="3341"/>
      <c r="Y750" s="3341"/>
      <c r="Z750" s="3341"/>
      <c r="AA750" s="3341"/>
      <c r="AB750" s="3">
        <f>+'Rekap Sales'!C7</f>
        <v>58250911</v>
      </c>
      <c r="AC750" s="3"/>
      <c r="AD750" s="3"/>
      <c r="AE750" s="3"/>
      <c r="AF750" s="3"/>
      <c r="AG750" s="3"/>
      <c r="AH750" s="3"/>
      <c r="AI750" s="3326"/>
      <c r="AJ750" s="3">
        <f ca="1">+'Rekap Sales'!D7</f>
        <v>1362343076.72</v>
      </c>
      <c r="AK750" s="3"/>
      <c r="AL750" s="3"/>
      <c r="AM750" s="3"/>
      <c r="AN750" s="3"/>
      <c r="AO750" s="3"/>
      <c r="AP750" s="3"/>
      <c r="AQ750" s="3">
        <f>+'Rekap Sales'!E7</f>
        <v>6482516021.5</v>
      </c>
      <c r="AR750" s="3"/>
      <c r="AS750" s="3"/>
      <c r="AT750" s="3"/>
      <c r="AU750" s="3"/>
      <c r="AV750" s="3"/>
      <c r="AW750" s="3546"/>
    </row>
    <row r="751" s="3330" customFormat="1" ht="6" customHeight="1" spans="1:49">
      <c r="A751" s="64"/>
      <c r="B751" s="64"/>
      <c r="C751" s="3339"/>
      <c r="D751" s="3341"/>
      <c r="E751" s="3341"/>
      <c r="F751" s="3341"/>
      <c r="G751" s="3341"/>
      <c r="H751" s="3341"/>
      <c r="I751" s="3341"/>
      <c r="J751" s="3341"/>
      <c r="K751" s="3341"/>
      <c r="L751" s="3341"/>
      <c r="M751" s="3341"/>
      <c r="N751" s="3341"/>
      <c r="O751" s="3341"/>
      <c r="P751" s="3341"/>
      <c r="Q751" s="3341"/>
      <c r="R751" s="3341"/>
      <c r="S751" s="3341"/>
      <c r="T751" s="3341"/>
      <c r="U751" s="3341"/>
      <c r="V751" s="3341"/>
      <c r="W751" s="3341"/>
      <c r="X751" s="3341"/>
      <c r="Y751" s="3341"/>
      <c r="Z751" s="3341"/>
      <c r="AA751" s="3341"/>
      <c r="AB751"/>
      <c r="AC751"/>
      <c r="AD751"/>
      <c r="AE751"/>
      <c r="AF751"/>
      <c r="AG751"/>
      <c r="AH751"/>
      <c r="AI751" s="3326"/>
      <c r="AJ751"/>
      <c r="AK751"/>
      <c r="AL751"/>
      <c r="AM751"/>
      <c r="AN751"/>
      <c r="AO751"/>
      <c r="AP751"/>
      <c r="AQ751" s="2623"/>
      <c r="AR751" s="2623"/>
      <c r="AS751" s="2623"/>
      <c r="AT751" s="2623"/>
      <c r="AU751" s="2623"/>
      <c r="AV751" s="2623"/>
      <c r="AW751" s="1293"/>
    </row>
    <row r="752" s="3330" customFormat="1" ht="12.75" spans="1:49">
      <c r="A752" s="64"/>
      <c r="B752" s="64"/>
      <c r="C752" s="3529" t="s">
        <v>172</v>
      </c>
      <c r="D752" s="3344"/>
      <c r="E752" s="3344"/>
      <c r="F752" s="3344"/>
      <c r="G752" s="3344"/>
      <c r="H752" s="3344"/>
      <c r="I752" s="3344"/>
      <c r="J752" s="3344"/>
      <c r="K752" s="3344"/>
      <c r="L752" s="3344"/>
      <c r="M752" s="3344"/>
      <c r="N752" s="3344"/>
      <c r="O752" s="3344"/>
      <c r="P752" s="3344"/>
      <c r="Q752" s="3344"/>
      <c r="R752" s="3344"/>
      <c r="S752" s="3344"/>
      <c r="T752" s="3344"/>
      <c r="U752" s="3344"/>
      <c r="V752" s="3344"/>
      <c r="W752" s="3344"/>
      <c r="X752" s="3344"/>
      <c r="Y752" s="3344"/>
      <c r="Z752" s="3344"/>
      <c r="AA752" s="3344"/>
      <c r="AB752" s="3324">
        <f>SUM(AB747:AH751)</f>
        <v>7474615452.8796</v>
      </c>
      <c r="AC752" s="3324"/>
      <c r="AD752" s="3324"/>
      <c r="AE752" s="3324"/>
      <c r="AF752" s="3324"/>
      <c r="AG752" s="3324"/>
      <c r="AH752" s="3324"/>
      <c r="AI752" s="3464"/>
      <c r="AJ752" s="3324">
        <f ca="1">SUM(AJ747:AP751)</f>
        <v>5551498722.72</v>
      </c>
      <c r="AK752" s="3324"/>
      <c r="AL752" s="3324"/>
      <c r="AM752" s="3324"/>
      <c r="AN752" s="3324"/>
      <c r="AO752" s="3324"/>
      <c r="AP752" s="3324"/>
      <c r="AQ752" s="3378">
        <f>SUM(AQ747:AW751)</f>
        <v>12507006890.5</v>
      </c>
      <c r="AR752" s="3378"/>
      <c r="AS752" s="3378"/>
      <c r="AT752" s="3378"/>
      <c r="AU752" s="3378"/>
      <c r="AV752" s="3378"/>
      <c r="AW752" s="2433"/>
    </row>
    <row r="753" s="3330" customFormat="1" ht="9" customHeight="1" spans="1:49">
      <c r="A753" s="64"/>
      <c r="B753" s="64"/>
      <c r="C753" s="3528"/>
      <c r="D753" s="3341"/>
      <c r="E753" s="3341"/>
      <c r="F753" s="3341"/>
      <c r="G753" s="3341"/>
      <c r="H753" s="3341"/>
      <c r="I753" s="3341"/>
      <c r="J753" s="3341"/>
      <c r="K753" s="3341"/>
      <c r="L753" s="3341"/>
      <c r="M753" s="3341"/>
      <c r="N753" s="3341"/>
      <c r="O753" s="3341"/>
      <c r="P753" s="3341"/>
      <c r="Q753" s="3341"/>
      <c r="R753" s="3341"/>
      <c r="S753" s="3341"/>
      <c r="T753" s="3341"/>
      <c r="U753" s="3341"/>
      <c r="V753" s="3341"/>
      <c r="W753" s="3341"/>
      <c r="X753" s="3341"/>
      <c r="Y753" s="3341"/>
      <c r="Z753" s="3341"/>
      <c r="AA753" s="3341"/>
      <c r="AB753" s="3341"/>
      <c r="AC753" s="3341"/>
      <c r="AD753" s="3341"/>
      <c r="AE753" s="3341"/>
      <c r="AF753" s="3341"/>
      <c r="AG753" s="3341"/>
      <c r="AH753" s="3341"/>
      <c r="AI753" s="3341"/>
      <c r="AJ753" s="3341"/>
      <c r="AK753" s="3341"/>
      <c r="AL753" s="3341"/>
      <c r="AM753" s="3341"/>
      <c r="AN753" s="3341"/>
      <c r="AO753" s="3341"/>
      <c r="AP753" s="3341"/>
      <c r="AQ753" s="3478"/>
      <c r="AR753" s="3479"/>
      <c r="AW753" s="3371"/>
    </row>
    <row r="754" s="3330" customFormat="1" ht="47.45" customHeight="1" spans="1:49">
      <c r="A754" s="64"/>
      <c r="B754" s="64"/>
      <c r="C754" s="5036" t="s">
        <v>2038</v>
      </c>
      <c r="D754" s="3341"/>
      <c r="E754" s="3341"/>
      <c r="F754" s="3341"/>
      <c r="G754" s="3341"/>
      <c r="H754" s="3341"/>
      <c r="I754" s="3341"/>
      <c r="J754" s="3341"/>
      <c r="K754" s="3341"/>
      <c r="L754" s="3341"/>
      <c r="M754" s="3341"/>
      <c r="N754" s="3341"/>
      <c r="O754" s="3341"/>
      <c r="P754" s="3341"/>
      <c r="Q754" s="3341"/>
      <c r="R754" s="3341"/>
      <c r="S754" s="3341"/>
      <c r="T754" s="3341"/>
      <c r="U754" s="3341"/>
      <c r="V754" s="3341"/>
      <c r="W754" s="3341"/>
      <c r="X754" s="3341"/>
      <c r="Y754" s="3341"/>
      <c r="Z754" s="3341"/>
      <c r="AA754" s="3341"/>
      <c r="AB754" s="3341"/>
      <c r="AC754" s="3341"/>
      <c r="AD754" s="3341"/>
      <c r="AE754" s="3341"/>
      <c r="AF754" s="3341"/>
      <c r="AG754" s="3341"/>
      <c r="AH754" s="3341"/>
      <c r="AI754" s="3341"/>
      <c r="AJ754" s="3341"/>
      <c r="AK754" s="3341"/>
      <c r="AL754" s="3341"/>
      <c r="AM754" s="3341"/>
      <c r="AN754" s="3341"/>
      <c r="AO754" s="3341"/>
      <c r="AP754" s="3341"/>
      <c r="AQ754" s="3478"/>
      <c r="AR754" s="3479"/>
      <c r="AW754" s="3371"/>
    </row>
    <row r="755" s="3330" customFormat="1" ht="12.6" customHeight="1" spans="1:49">
      <c r="A755" s="64"/>
      <c r="B755" s="64"/>
      <c r="C755" s="3528"/>
      <c r="D755" s="3341"/>
      <c r="E755" s="3341"/>
      <c r="F755" s="3341"/>
      <c r="G755" s="3341"/>
      <c r="H755" s="3341"/>
      <c r="I755" s="3341"/>
      <c r="J755" s="3341"/>
      <c r="K755" s="3341"/>
      <c r="L755" s="3341"/>
      <c r="M755" s="3341"/>
      <c r="N755" s="3341"/>
      <c r="O755" s="3341"/>
      <c r="P755" s="3341"/>
      <c r="Q755" s="3341"/>
      <c r="R755" s="3341"/>
      <c r="S755" s="3341"/>
      <c r="T755" s="3341"/>
      <c r="U755" s="3341"/>
      <c r="V755" s="3341"/>
      <c r="W755" s="3341"/>
      <c r="X755" s="3341"/>
      <c r="Y755" s="3341"/>
      <c r="Z755" s="3341"/>
      <c r="AA755" s="3341"/>
      <c r="AB755" s="3341"/>
      <c r="AC755" s="3341"/>
      <c r="AD755" s="3341"/>
      <c r="AE755" s="3341"/>
      <c r="AF755" s="3341"/>
      <c r="AG755" s="3341"/>
      <c r="AH755" s="3341"/>
      <c r="AI755" s="3341"/>
      <c r="AJ755" s="3341"/>
      <c r="AK755" s="3341"/>
      <c r="AL755" s="3341"/>
      <c r="AM755" s="3341"/>
      <c r="AN755" s="3341"/>
      <c r="AO755" s="3341"/>
      <c r="AP755" s="3341"/>
      <c r="AQ755" s="3478"/>
      <c r="AR755" s="3479"/>
      <c r="AW755" s="3371"/>
    </row>
    <row r="756" s="3330" customFormat="1" ht="12.6" customHeight="1" spans="1:49">
      <c r="A756" s="64"/>
      <c r="B756" s="64"/>
      <c r="C756" s="3528"/>
      <c r="D756" s="3341"/>
      <c r="E756" s="3341"/>
      <c r="F756" s="3341"/>
      <c r="G756" s="3341"/>
      <c r="H756" s="3341"/>
      <c r="I756" s="3341"/>
      <c r="J756" s="3341"/>
      <c r="K756" s="3341"/>
      <c r="L756" s="3341"/>
      <c r="M756" s="3341"/>
      <c r="N756" s="3341"/>
      <c r="O756" s="3341"/>
      <c r="P756" s="3341"/>
      <c r="Q756" s="3341"/>
      <c r="R756" s="3341"/>
      <c r="S756" s="3341"/>
      <c r="T756" s="3341"/>
      <c r="U756" s="3341"/>
      <c r="V756" s="3341"/>
      <c r="W756" s="3341"/>
      <c r="X756" s="3341"/>
      <c r="Y756" s="3341"/>
      <c r="Z756" s="3341"/>
      <c r="AA756" s="3341"/>
      <c r="AB756" s="3341"/>
      <c r="AC756" s="3341"/>
      <c r="AD756" s="3341"/>
      <c r="AE756" s="3341"/>
      <c r="AF756" s="3341"/>
      <c r="AG756" s="3341"/>
      <c r="AH756" s="3341"/>
      <c r="AI756" s="3341"/>
      <c r="AJ756" s="3341"/>
      <c r="AK756" s="3341"/>
      <c r="AL756" s="3341"/>
      <c r="AM756" s="3341"/>
      <c r="AN756" s="3341"/>
      <c r="AO756" s="3341"/>
      <c r="AP756" s="3341"/>
      <c r="AQ756" s="3478"/>
      <c r="AR756" s="3479"/>
      <c r="AW756" s="3371"/>
    </row>
    <row r="757" s="3330" customFormat="1" ht="12.6" customHeight="1" spans="1:49">
      <c r="A757" s="3385">
        <f>+A688+1</f>
        <v>18</v>
      </c>
      <c r="B757" s="3385"/>
      <c r="C757" s="3385"/>
      <c r="D757" s="3385"/>
      <c r="E757" s="3385"/>
      <c r="F757" s="3385"/>
      <c r="G757" s="3385"/>
      <c r="H757" s="3385"/>
      <c r="I757" s="3385"/>
      <c r="J757" s="3385"/>
      <c r="K757" s="3385"/>
      <c r="L757" s="3385"/>
      <c r="M757" s="3385"/>
      <c r="N757" s="3385"/>
      <c r="O757" s="3385"/>
      <c r="P757" s="3385"/>
      <c r="Q757" s="3385"/>
      <c r="R757" s="3385"/>
      <c r="S757" s="3385"/>
      <c r="T757" s="3385"/>
      <c r="U757" s="3385"/>
      <c r="V757" s="3385"/>
      <c r="W757" s="3385"/>
      <c r="X757" s="3385"/>
      <c r="Y757" s="3385"/>
      <c r="Z757" s="3385"/>
      <c r="AA757" s="3385"/>
      <c r="AB757" s="3385"/>
      <c r="AC757" s="3385"/>
      <c r="AD757" s="3385"/>
      <c r="AE757" s="3385"/>
      <c r="AF757" s="3385"/>
      <c r="AG757" s="3385"/>
      <c r="AH757" s="3385"/>
      <c r="AI757" s="3385"/>
      <c r="AJ757" s="3385"/>
      <c r="AK757" s="3385"/>
      <c r="AL757" s="3385"/>
      <c r="AM757" s="3385"/>
      <c r="AN757" s="3385"/>
      <c r="AO757" s="3385"/>
      <c r="AP757" s="3385"/>
      <c r="AQ757" s="3478"/>
      <c r="AR757" s="3479"/>
      <c r="AW757" s="3371"/>
    </row>
    <row r="758" s="3330" customFormat="1" spans="1:49">
      <c r="A758" s="3335">
        <f>+A745+1</f>
        <v>18</v>
      </c>
      <c r="B758" s="64"/>
      <c r="C758" s="5037" t="s">
        <v>852</v>
      </c>
      <c r="D758" s="64"/>
      <c r="E758" s="64"/>
      <c r="F758" s="3315"/>
      <c r="G758" s="3315"/>
      <c r="H758" s="3315"/>
      <c r="I758" s="3315"/>
      <c r="J758" s="3315"/>
      <c r="K758" s="3315"/>
      <c r="L758" s="3315"/>
      <c r="M758" s="3315"/>
      <c r="N758" s="3315"/>
      <c r="O758" s="3315"/>
      <c r="P758" s="64"/>
      <c r="Q758" s="64"/>
      <c r="R758" s="64"/>
      <c r="S758" s="64"/>
      <c r="T758" s="64"/>
      <c r="U758" s="64"/>
      <c r="V758" s="64"/>
      <c r="W758" s="64"/>
      <c r="X758" s="64"/>
      <c r="Y758" s="64"/>
      <c r="Z758" s="64"/>
      <c r="AA758" s="3341"/>
      <c r="AB758" s="3359">
        <f>+AB745</f>
        <v>2022</v>
      </c>
      <c r="AC758" s="3360"/>
      <c r="AD758" s="3360"/>
      <c r="AE758" s="3360"/>
      <c r="AF758" s="3360"/>
      <c r="AG758" s="3360"/>
      <c r="AH758" s="3360"/>
      <c r="AI758" s="64"/>
      <c r="AJ758" s="3359">
        <f>+AJ745</f>
        <v>2021</v>
      </c>
      <c r="AK758" s="3360"/>
      <c r="AL758" s="3360"/>
      <c r="AM758" s="3360"/>
      <c r="AN758" s="3360"/>
      <c r="AO758" s="3360"/>
      <c r="AP758" s="3360"/>
      <c r="AQ758" s="3360">
        <f>+AQ745</f>
        <v>2020</v>
      </c>
      <c r="AR758" s="3360"/>
      <c r="AS758" s="3360"/>
      <c r="AT758" s="3360"/>
      <c r="AU758" s="3360"/>
      <c r="AV758" s="3360"/>
      <c r="AW758" s="3381"/>
    </row>
    <row r="759" s="3330" customFormat="1" ht="8.25" customHeight="1" spans="1:49">
      <c r="A759" s="64"/>
      <c r="B759" s="64"/>
      <c r="C759" s="3530"/>
      <c r="D759" s="64"/>
      <c r="E759" s="64"/>
      <c r="F759" s="64"/>
      <c r="G759" s="64"/>
      <c r="H759" s="64"/>
      <c r="I759" s="64"/>
      <c r="J759" s="64"/>
      <c r="K759" s="64"/>
      <c r="L759" s="64"/>
      <c r="M759" s="64"/>
      <c r="N759" s="64"/>
      <c r="O759" s="64"/>
      <c r="P759" s="64"/>
      <c r="Q759" s="64"/>
      <c r="R759" s="64"/>
      <c r="S759" s="64"/>
      <c r="T759" s="3"/>
      <c r="U759" s="3"/>
      <c r="V759" s="3"/>
      <c r="W759" s="3"/>
      <c r="X759" s="3"/>
      <c r="Y759" s="3"/>
      <c r="Z759" s="3"/>
      <c r="AA759" s="64"/>
      <c r="AB759" s="3"/>
      <c r="AC759" s="3"/>
      <c r="AD759" s="3"/>
      <c r="AE759" s="3"/>
      <c r="AF759" s="3"/>
      <c r="AG759" s="3"/>
      <c r="AH759" s="3"/>
      <c r="AI759" s="3326"/>
      <c r="AJ759" s="3"/>
      <c r="AK759" s="3"/>
      <c r="AL759" s="3"/>
      <c r="AM759" s="3"/>
      <c r="AN759" s="3"/>
      <c r="AO759" s="3"/>
      <c r="AP759" s="3"/>
      <c r="AQ759" s="3"/>
      <c r="AR759" s="3"/>
      <c r="AS759" s="3"/>
      <c r="AT759" s="3"/>
      <c r="AU759" s="3"/>
      <c r="AV759" s="3"/>
      <c r="AW759" s="3546"/>
    </row>
    <row r="760" s="3330" customFormat="1" customHeight="1" spans="1:49">
      <c r="A760" s="64"/>
      <c r="B760" s="64"/>
      <c r="C760" s="3528" t="s">
        <v>2039</v>
      </c>
      <c r="D760" s="3326"/>
      <c r="E760" s="64"/>
      <c r="F760" s="64"/>
      <c r="G760" s="64"/>
      <c r="H760" s="64"/>
      <c r="I760" s="64"/>
      <c r="J760" s="64"/>
      <c r="K760" s="64"/>
      <c r="L760" s="64"/>
      <c r="M760" s="64"/>
      <c r="N760" s="64"/>
      <c r="O760" s="64"/>
      <c r="P760" s="64"/>
      <c r="Q760" s="64"/>
      <c r="R760" s="64"/>
      <c r="S760" s="64"/>
      <c r="T760" s="3"/>
      <c r="U760" s="3"/>
      <c r="V760" s="3"/>
      <c r="W760" s="3"/>
      <c r="X760" s="3"/>
      <c r="Y760" s="3"/>
      <c r="Z760" s="3"/>
      <c r="AA760" s="64"/>
      <c r="AB760" s="3">
        <f>+'20'!K14</f>
        <v>502700450</v>
      </c>
      <c r="AC760" s="3"/>
      <c r="AD760" s="3"/>
      <c r="AE760" s="3"/>
      <c r="AF760" s="3"/>
      <c r="AG760" s="3"/>
      <c r="AH760" s="3"/>
      <c r="AI760" s="3326"/>
      <c r="AJ760" s="3">
        <f>+'20'!Q14</f>
        <v>533495000</v>
      </c>
      <c r="AK760" s="3"/>
      <c r="AL760" s="3"/>
      <c r="AM760" s="3"/>
      <c r="AN760" s="3"/>
      <c r="AO760" s="3"/>
      <c r="AP760" s="3"/>
      <c r="AQ760" s="3">
        <f>+'20'!R14</f>
        <v>1616911781.57465</v>
      </c>
      <c r="AR760" s="3"/>
      <c r="AS760" s="3"/>
      <c r="AT760" s="3"/>
      <c r="AU760" s="3"/>
      <c r="AV760" s="3"/>
      <c r="AW760" s="3546"/>
    </row>
    <row r="761" s="3330" customFormat="1" customHeight="1" spans="1:49">
      <c r="A761" s="64"/>
      <c r="B761" s="64"/>
      <c r="C761" s="3528" t="s">
        <v>2040</v>
      </c>
      <c r="D761" s="3326"/>
      <c r="E761" s="64"/>
      <c r="F761" s="64"/>
      <c r="G761" s="64"/>
      <c r="H761" s="64"/>
      <c r="I761" s="64"/>
      <c r="J761" s="64"/>
      <c r="K761" s="64"/>
      <c r="L761" s="64"/>
      <c r="M761" s="64"/>
      <c r="N761" s="64"/>
      <c r="O761" s="64"/>
      <c r="P761" s="64"/>
      <c r="Q761" s="64"/>
      <c r="R761" s="64"/>
      <c r="S761" s="64"/>
      <c r="T761" s="3"/>
      <c r="U761" s="3"/>
      <c r="V761" s="3"/>
      <c r="W761" s="3"/>
      <c r="X761" s="3"/>
      <c r="Y761" s="3"/>
      <c r="Z761" s="3"/>
      <c r="AA761" s="64"/>
      <c r="AB761" s="3">
        <f>+'20'!K15</f>
        <v>422300500</v>
      </c>
      <c r="AC761" s="3"/>
      <c r="AD761" s="3"/>
      <c r="AE761" s="3"/>
      <c r="AF761" s="3"/>
      <c r="AG761" s="3"/>
      <c r="AH761" s="3"/>
      <c r="AI761" s="3326"/>
      <c r="AJ761" s="3">
        <f>+'20'!Q15</f>
        <v>414511498</v>
      </c>
      <c r="AK761" s="3"/>
      <c r="AL761" s="3"/>
      <c r="AM761" s="3"/>
      <c r="AN761" s="3"/>
      <c r="AO761" s="3"/>
      <c r="AP761" s="3"/>
      <c r="AQ761" s="3">
        <f>+'20'!R15</f>
        <v>1403986764.01995</v>
      </c>
      <c r="AR761" s="3"/>
      <c r="AS761" s="3"/>
      <c r="AT761" s="3"/>
      <c r="AU761" s="3"/>
      <c r="AV761" s="3"/>
      <c r="AW761" s="3546"/>
    </row>
    <row r="762" s="3330" customFormat="1" customHeight="1" spans="1:49">
      <c r="A762" s="64"/>
      <c r="B762" s="64"/>
      <c r="C762" s="3528" t="s">
        <v>2041</v>
      </c>
      <c r="D762" s="3326"/>
      <c r="E762" s="64"/>
      <c r="F762" s="64"/>
      <c r="G762" s="64"/>
      <c r="H762" s="64"/>
      <c r="I762" s="64"/>
      <c r="J762" s="64"/>
      <c r="K762" s="64"/>
      <c r="L762" s="64"/>
      <c r="M762" s="64"/>
      <c r="N762" s="64"/>
      <c r="O762" s="64"/>
      <c r="P762" s="64"/>
      <c r="Q762" s="64"/>
      <c r="R762" s="64"/>
      <c r="S762" s="64"/>
      <c r="T762" s="3"/>
      <c r="U762" s="3"/>
      <c r="V762" s="3"/>
      <c r="W762" s="3"/>
      <c r="X762" s="3"/>
      <c r="Y762" s="3"/>
      <c r="Z762" s="3"/>
      <c r="AA762" s="64"/>
      <c r="AB762" s="3">
        <f>+'20'!K16</f>
        <v>147230000</v>
      </c>
      <c r="AC762" s="3"/>
      <c r="AD762" s="3"/>
      <c r="AE762" s="3"/>
      <c r="AF762" s="3"/>
      <c r="AG762" s="3"/>
      <c r="AH762" s="3"/>
      <c r="AI762" s="3326"/>
      <c r="AJ762" s="3">
        <f>+'20'!Q16</f>
        <v>155956751</v>
      </c>
      <c r="AK762" s="3"/>
      <c r="AL762" s="3"/>
      <c r="AM762" s="3"/>
      <c r="AN762" s="3"/>
      <c r="AO762" s="3"/>
      <c r="AP762" s="3"/>
      <c r="AQ762" s="3">
        <f>+'20'!R16</f>
        <v>0</v>
      </c>
      <c r="AR762" s="3"/>
      <c r="AS762" s="3"/>
      <c r="AT762" s="3"/>
      <c r="AU762" s="3"/>
      <c r="AV762" s="3"/>
      <c r="AW762" s="3546"/>
    </row>
    <row r="763" s="3330" customFormat="1" customHeight="1" spans="1:49">
      <c r="A763" s="64"/>
      <c r="B763" s="64"/>
      <c r="C763" s="3528" t="s">
        <v>874</v>
      </c>
      <c r="D763" s="3326"/>
      <c r="E763" s="64"/>
      <c r="F763" s="64"/>
      <c r="G763" s="64"/>
      <c r="H763" s="64"/>
      <c r="I763" s="64"/>
      <c r="J763" s="64"/>
      <c r="K763" s="64"/>
      <c r="L763" s="64"/>
      <c r="M763" s="64"/>
      <c r="N763" s="64"/>
      <c r="O763" s="64"/>
      <c r="P763" s="64"/>
      <c r="Q763" s="64"/>
      <c r="R763" s="64"/>
      <c r="S763" s="64"/>
      <c r="T763" s="3"/>
      <c r="U763" s="3"/>
      <c r="V763" s="3"/>
      <c r="W763" s="3"/>
      <c r="X763" s="3"/>
      <c r="Y763" s="3"/>
      <c r="Z763" s="3"/>
      <c r="AA763" s="64"/>
      <c r="AB763" s="3">
        <f>+'20'!K17</f>
        <v>1655768639.20978</v>
      </c>
      <c r="AC763" s="3"/>
      <c r="AD763" s="3"/>
      <c r="AE763" s="3"/>
      <c r="AF763" s="3"/>
      <c r="AG763" s="3"/>
      <c r="AH763" s="3"/>
      <c r="AI763" s="3326"/>
      <c r="AJ763" s="3">
        <f>+'20'!Q17</f>
        <v>1623623597</v>
      </c>
      <c r="AK763" s="3"/>
      <c r="AL763" s="3"/>
      <c r="AM763" s="3"/>
      <c r="AN763" s="3"/>
      <c r="AO763" s="3"/>
      <c r="AP763" s="3"/>
      <c r="AQ763" s="3">
        <f>+'20'!R17</f>
        <v>1032437987.5</v>
      </c>
      <c r="AR763" s="3"/>
      <c r="AS763" s="3"/>
      <c r="AT763" s="3"/>
      <c r="AU763" s="3"/>
      <c r="AV763" s="3"/>
      <c r="AW763" s="3546"/>
    </row>
    <row r="764" s="3330" customFormat="1" customHeight="1" spans="1:49">
      <c r="A764" s="64"/>
      <c r="B764" s="64"/>
      <c r="C764" s="3528" t="s">
        <v>2042</v>
      </c>
      <c r="D764" s="3326"/>
      <c r="E764" s="64"/>
      <c r="F764" s="64"/>
      <c r="G764" s="64"/>
      <c r="H764" s="64"/>
      <c r="I764" s="64"/>
      <c r="J764" s="64"/>
      <c r="K764" s="64"/>
      <c r="L764" s="64"/>
      <c r="M764" s="64"/>
      <c r="N764" s="64"/>
      <c r="O764" s="64"/>
      <c r="P764" s="64"/>
      <c r="Q764" s="64"/>
      <c r="R764" s="64"/>
      <c r="S764" s="64"/>
      <c r="T764" s="3"/>
      <c r="U764" s="3"/>
      <c r="V764" s="3"/>
      <c r="W764" s="3"/>
      <c r="X764" s="3"/>
      <c r="Y764" s="3"/>
      <c r="Z764" s="3"/>
      <c r="AA764" s="64"/>
      <c r="AB764" s="3">
        <f>+'20'!K18</f>
        <v>325000949.790218</v>
      </c>
      <c r="AC764" s="3"/>
      <c r="AD764" s="3"/>
      <c r="AE764" s="3"/>
      <c r="AF764" s="3"/>
      <c r="AG764" s="3"/>
      <c r="AH764" s="3"/>
      <c r="AI764" s="3326"/>
      <c r="AJ764" s="3">
        <f>+'20'!Q18</f>
        <v>333699424</v>
      </c>
      <c r="AK764" s="3"/>
      <c r="AL764" s="3"/>
      <c r="AM764" s="3"/>
      <c r="AN764" s="3"/>
      <c r="AO764" s="3"/>
      <c r="AP764" s="3"/>
      <c r="AQ764" s="3">
        <f>+'20'!R18</f>
        <v>5071128850.36736</v>
      </c>
      <c r="AR764" s="3"/>
      <c r="AS764" s="3"/>
      <c r="AT764" s="3"/>
      <c r="AU764" s="3"/>
      <c r="AV764" s="3"/>
      <c r="AW764" s="3546"/>
    </row>
    <row r="765" s="3330" customFormat="1" ht="3.95" customHeight="1" spans="1:49">
      <c r="A765" s="64"/>
      <c r="B765" s="64"/>
      <c r="D765" s="3341"/>
      <c r="E765" s="3341"/>
      <c r="F765" s="3341"/>
      <c r="G765" s="3341"/>
      <c r="H765" s="3341"/>
      <c r="I765" s="3341"/>
      <c r="J765" s="3341"/>
      <c r="K765" s="3341"/>
      <c r="L765" s="3341"/>
      <c r="M765" s="3341"/>
      <c r="N765" s="3341"/>
      <c r="O765" s="3341"/>
      <c r="P765" s="3341"/>
      <c r="Q765" s="3341"/>
      <c r="R765" s="3341"/>
      <c r="S765" s="3341"/>
      <c r="T765" s="3341"/>
      <c r="U765" s="3341"/>
      <c r="V765" s="3341"/>
      <c r="W765" s="3341"/>
      <c r="X765" s="3341"/>
      <c r="Y765" s="3341"/>
      <c r="Z765" s="3341"/>
      <c r="AA765" s="3341"/>
      <c r="AB765"/>
      <c r="AC765"/>
      <c r="AD765"/>
      <c r="AE765"/>
      <c r="AF765"/>
      <c r="AG765"/>
      <c r="AH765"/>
      <c r="AI765" s="3341"/>
      <c r="AJ765"/>
      <c r="AK765"/>
      <c r="AL765"/>
      <c r="AM765"/>
      <c r="AN765"/>
      <c r="AO765"/>
      <c r="AP765"/>
      <c r="AQ765" s="2623"/>
      <c r="AR765" s="2623"/>
      <c r="AS765" s="2623"/>
      <c r="AT765" s="2623"/>
      <c r="AU765" s="2623"/>
      <c r="AV765" s="2623"/>
      <c r="AW765" s="1293"/>
    </row>
    <row r="766" s="3330" customFormat="1" ht="12.75" spans="1:49">
      <c r="A766" s="64"/>
      <c r="B766" s="64"/>
      <c r="C766" s="3529" t="s">
        <v>2043</v>
      </c>
      <c r="D766" s="3344"/>
      <c r="E766" s="3344"/>
      <c r="F766" s="3344"/>
      <c r="G766" s="3344"/>
      <c r="H766" s="3344"/>
      <c r="I766" s="3344"/>
      <c r="J766" s="3344"/>
      <c r="K766" s="3344"/>
      <c r="L766" s="3344"/>
      <c r="M766" s="3344"/>
      <c r="N766" s="3344"/>
      <c r="O766" s="3344"/>
      <c r="P766" s="3344"/>
      <c r="Q766" s="3344"/>
      <c r="R766" s="3344"/>
      <c r="S766" s="3344"/>
      <c r="T766" s="3344"/>
      <c r="U766" s="3344"/>
      <c r="V766" s="3344"/>
      <c r="W766" s="3344"/>
      <c r="X766" s="3344"/>
      <c r="Y766" s="3344"/>
      <c r="Z766" s="3344"/>
      <c r="AA766" s="3344"/>
      <c r="AB766" s="3324">
        <f>SUM(AB760:AH765)</f>
        <v>3053000539</v>
      </c>
      <c r="AC766" s="3324"/>
      <c r="AD766" s="3324"/>
      <c r="AE766" s="3324"/>
      <c r="AF766" s="3324"/>
      <c r="AG766" s="3324"/>
      <c r="AH766" s="3324"/>
      <c r="AI766" s="3344"/>
      <c r="AJ766" s="3324">
        <f>SUM(AJ760:AP765)</f>
        <v>3061286270</v>
      </c>
      <c r="AK766" s="3324"/>
      <c r="AL766" s="3324"/>
      <c r="AM766" s="3324"/>
      <c r="AN766" s="3324"/>
      <c r="AO766" s="3324"/>
      <c r="AP766" s="3324"/>
      <c r="AQ766" s="3378">
        <f>SUM(AQ760:AW765)</f>
        <v>9124465383.46196</v>
      </c>
      <c r="AR766" s="3378"/>
      <c r="AS766" s="3378"/>
      <c r="AT766" s="3378"/>
      <c r="AU766" s="3378"/>
      <c r="AV766" s="3378"/>
      <c r="AW766" s="2433"/>
    </row>
    <row r="767" s="3330" customFormat="1" ht="14.45" customHeight="1" spans="43:49">
      <c r="AQ767" s="3478"/>
      <c r="AR767" s="3479"/>
      <c r="AS767" s="3479"/>
      <c r="AW767" s="3371"/>
    </row>
    <row r="768" customHeight="1" spans="1:49">
      <c r="A768" s="3335">
        <f>+A758+1</f>
        <v>19</v>
      </c>
      <c r="B768" s="64"/>
      <c r="C768" s="5037" t="s">
        <v>584</v>
      </c>
      <c r="D768" s="64"/>
      <c r="E768" s="64"/>
      <c r="F768" s="64"/>
      <c r="G768" s="64"/>
      <c r="H768" s="64"/>
      <c r="I768" s="64"/>
      <c r="J768" s="64"/>
      <c r="K768" s="64"/>
      <c r="L768" s="64"/>
      <c r="M768" s="64"/>
      <c r="N768" s="64"/>
      <c r="O768" s="64"/>
      <c r="P768" s="64"/>
      <c r="Q768" s="64"/>
      <c r="R768" s="64"/>
      <c r="S768" s="64"/>
      <c r="T768" s="16"/>
      <c r="U768" s="16"/>
      <c r="V768" s="16"/>
      <c r="W768" s="16"/>
      <c r="X768" s="16"/>
      <c r="Y768" s="16"/>
      <c r="Z768" s="16"/>
      <c r="AA768" s="64"/>
      <c r="AB768" s="3359">
        <f>+AB758</f>
        <v>2022</v>
      </c>
      <c r="AC768" s="3360"/>
      <c r="AD768" s="3360"/>
      <c r="AE768" s="3360"/>
      <c r="AF768" s="3360"/>
      <c r="AG768" s="3360"/>
      <c r="AH768" s="3360"/>
      <c r="AJ768" s="3359">
        <f>+AJ758</f>
        <v>2021</v>
      </c>
      <c r="AK768" s="3360"/>
      <c r="AL768" s="3360"/>
      <c r="AM768" s="3360"/>
      <c r="AN768" s="3360"/>
      <c r="AO768" s="3360"/>
      <c r="AP768" s="3360"/>
      <c r="AQ768" s="3360">
        <f>+AQ758</f>
        <v>2020</v>
      </c>
      <c r="AR768" s="3360"/>
      <c r="AS768" s="3360"/>
      <c r="AT768" s="3360"/>
      <c r="AU768" s="3360"/>
      <c r="AV768" s="3360"/>
      <c r="AW768" s="3381"/>
    </row>
    <row r="769" ht="9.2" customHeight="1" spans="1:49">
      <c r="A769" s="64"/>
      <c r="B769" s="64"/>
      <c r="C769" s="3530"/>
      <c r="D769" s="64"/>
      <c r="E769" s="64"/>
      <c r="F769" s="64"/>
      <c r="G769" s="64"/>
      <c r="H769" s="64"/>
      <c r="I769" s="64"/>
      <c r="J769" s="64"/>
      <c r="K769" s="64"/>
      <c r="L769" s="64"/>
      <c r="M769" s="64"/>
      <c r="N769" s="64"/>
      <c r="O769" s="64"/>
      <c r="P769" s="64"/>
      <c r="Q769" s="64"/>
      <c r="R769" s="64"/>
      <c r="S769" s="64"/>
      <c r="T769" s="3"/>
      <c r="U769" s="3"/>
      <c r="V769" s="3"/>
      <c r="W769" s="3"/>
      <c r="X769" s="3"/>
      <c r="Y769" s="3"/>
      <c r="Z769" s="3"/>
      <c r="AA769" s="64"/>
      <c r="AB769" s="3"/>
      <c r="AC769" s="3"/>
      <c r="AD769" s="3"/>
      <c r="AE769" s="3"/>
      <c r="AF769" s="3"/>
      <c r="AG769" s="3"/>
      <c r="AH769" s="3"/>
      <c r="AI769" s="3326"/>
      <c r="AJ769" s="3"/>
      <c r="AK769" s="3"/>
      <c r="AL769" s="3"/>
      <c r="AM769" s="3"/>
      <c r="AN769" s="3"/>
      <c r="AO769" s="3"/>
      <c r="AP769" s="3"/>
      <c r="AQ769" s="3"/>
      <c r="AR769" s="3"/>
      <c r="AS769" s="3"/>
      <c r="AT769" s="3"/>
      <c r="AU769" s="3"/>
      <c r="AV769" s="3"/>
      <c r="AW769" s="3546"/>
    </row>
    <row r="770" ht="12.95" customHeight="1" spans="1:49">
      <c r="A770" s="64"/>
      <c r="B770" s="64"/>
      <c r="C770" s="3552" t="s">
        <v>2044</v>
      </c>
      <c r="D770" s="3552"/>
      <c r="E770" s="3552"/>
      <c r="F770" s="3552"/>
      <c r="G770" s="3552"/>
      <c r="H770" s="3552"/>
      <c r="I770" s="3552"/>
      <c r="J770" s="64"/>
      <c r="K770" s="64"/>
      <c r="L770" s="64"/>
      <c r="M770" s="64"/>
      <c r="N770" s="64"/>
      <c r="O770" s="64"/>
      <c r="P770" s="64"/>
      <c r="Q770" s="64"/>
      <c r="R770" s="64"/>
      <c r="S770" s="64"/>
      <c r="T770" s="3"/>
      <c r="U770" s="3"/>
      <c r="V770" s="3"/>
      <c r="W770" s="3"/>
      <c r="X770" s="3"/>
      <c r="Y770" s="3"/>
      <c r="Z770" s="3"/>
      <c r="AA770" s="64"/>
      <c r="AB770" s="3"/>
      <c r="AC770" s="3"/>
      <c r="AD770" s="3"/>
      <c r="AE770" s="3"/>
      <c r="AF770" s="3"/>
      <c r="AG770" s="3"/>
      <c r="AH770" s="3"/>
      <c r="AI770" s="3326"/>
      <c r="AJ770" s="3"/>
      <c r="AK770" s="3"/>
      <c r="AL770" s="3"/>
      <c r="AM770" s="3"/>
      <c r="AN770" s="3"/>
      <c r="AO770" s="3"/>
      <c r="AP770" s="3"/>
      <c r="AQ770" s="3"/>
      <c r="AR770" s="3"/>
      <c r="AS770" s="3"/>
      <c r="AT770" s="3"/>
      <c r="AU770" s="3"/>
      <c r="AV770" s="3"/>
      <c r="AW770" s="3546"/>
    </row>
    <row r="771" customHeight="1" spans="1:49">
      <c r="A771" s="64"/>
      <c r="B771" s="64"/>
      <c r="C771" t="s">
        <v>2045</v>
      </c>
      <c r="D771" s="64"/>
      <c r="E771" s="64"/>
      <c r="F771" s="64"/>
      <c r="G771" s="64"/>
      <c r="H771" s="64"/>
      <c r="I771" s="64"/>
      <c r="J771" s="64"/>
      <c r="K771" s="64"/>
      <c r="L771" s="64"/>
      <c r="M771" s="64"/>
      <c r="N771" s="64"/>
      <c r="O771" s="64"/>
      <c r="P771" s="64"/>
      <c r="Q771" s="64"/>
      <c r="R771" s="64"/>
      <c r="S771" s="64"/>
      <c r="T771" s="3"/>
      <c r="U771" s="3"/>
      <c r="V771" s="3"/>
      <c r="W771" s="3"/>
      <c r="X771" s="3"/>
      <c r="Y771" s="3"/>
      <c r="Z771" s="3"/>
      <c r="AA771" s="64"/>
      <c r="AB771" s="3">
        <f>+'40'!K17</f>
        <v>14200000</v>
      </c>
      <c r="AC771" s="3"/>
      <c r="AD771" s="3"/>
      <c r="AE771" s="3"/>
      <c r="AF771" s="3"/>
      <c r="AG771" s="3"/>
      <c r="AH771" s="3"/>
      <c r="AI771" s="3326"/>
      <c r="AJ771" s="3">
        <f>+'40'!Q17</f>
        <v>137331501.4</v>
      </c>
      <c r="AK771" s="3"/>
      <c r="AL771" s="3"/>
      <c r="AM771" s="3"/>
      <c r="AN771" s="3"/>
      <c r="AO771" s="3"/>
      <c r="AP771" s="3"/>
      <c r="AQ771" s="3">
        <f>+'40'!R17</f>
        <v>270992605</v>
      </c>
      <c r="AR771" s="3"/>
      <c r="AS771" s="3"/>
      <c r="AT771" s="3"/>
      <c r="AU771" s="3"/>
      <c r="AV771" s="3"/>
      <c r="AW771" s="3546"/>
    </row>
    <row r="772" ht="4.5" customHeight="1" spans="1:49">
      <c r="A772" s="64"/>
      <c r="B772" s="64"/>
      <c r="C772"/>
      <c r="E772" s="64"/>
      <c r="F772" s="64"/>
      <c r="G772" s="64"/>
      <c r="H772" s="64"/>
      <c r="I772" s="64"/>
      <c r="J772" s="64"/>
      <c r="K772" s="64"/>
      <c r="L772" s="64"/>
      <c r="M772" s="64"/>
      <c r="N772" s="64"/>
      <c r="O772" s="64"/>
      <c r="P772" s="64"/>
      <c r="Q772" s="64"/>
      <c r="R772" s="64"/>
      <c r="S772" s="64"/>
      <c r="T772" s="3"/>
      <c r="U772" s="3"/>
      <c r="V772" s="3"/>
      <c r="W772" s="3"/>
      <c r="X772" s="3"/>
      <c r="Y772" s="3"/>
      <c r="Z772" s="3"/>
      <c r="AA772" s="64"/>
      <c r="AB772" s="164"/>
      <c r="AC772" s="164"/>
      <c r="AD772" s="164"/>
      <c r="AE772" s="164"/>
      <c r="AF772" s="164"/>
      <c r="AG772" s="164"/>
      <c r="AH772" s="164"/>
      <c r="AI772" s="3464"/>
      <c r="AJ772" s="164"/>
      <c r="AK772" s="164"/>
      <c r="AL772" s="164"/>
      <c r="AM772" s="164"/>
      <c r="AN772" s="164"/>
      <c r="AO772" s="164"/>
      <c r="AP772" s="164"/>
      <c r="AQ772" s="3454"/>
      <c r="AR772" s="3454"/>
      <c r="AS772" s="3454"/>
      <c r="AT772" s="3454"/>
      <c r="AU772" s="3454"/>
      <c r="AV772" s="3454"/>
      <c r="AW772" s="1293"/>
    </row>
    <row r="773" customHeight="1" spans="1:49">
      <c r="A773" s="64"/>
      <c r="B773" s="64"/>
      <c r="C773" s="94" t="s">
        <v>2046</v>
      </c>
      <c r="D773" s="3464"/>
      <c r="E773" s="94"/>
      <c r="F773" s="94"/>
      <c r="G773" s="94"/>
      <c r="H773" s="94"/>
      <c r="I773" s="94"/>
      <c r="J773" s="94"/>
      <c r="K773" s="94"/>
      <c r="L773" s="94"/>
      <c r="M773" s="94"/>
      <c r="N773" s="94"/>
      <c r="O773" s="94"/>
      <c r="P773" s="94"/>
      <c r="Q773" s="94"/>
      <c r="R773" s="94"/>
      <c r="S773" s="94"/>
      <c r="T773" s="16"/>
      <c r="U773" s="16"/>
      <c r="V773" s="16"/>
      <c r="W773" s="16"/>
      <c r="X773" s="16"/>
      <c r="Y773" s="16"/>
      <c r="Z773" s="16"/>
      <c r="AA773" s="94"/>
      <c r="AB773">
        <f>SUM(AB771:AH771)</f>
        <v>14200000</v>
      </c>
      <c r="AC773"/>
      <c r="AD773"/>
      <c r="AE773"/>
      <c r="AF773"/>
      <c r="AG773"/>
      <c r="AH773"/>
      <c r="AI773" s="3464"/>
      <c r="AJ773">
        <f>SUM(AJ771:AP771)</f>
        <v>137331501.4</v>
      </c>
      <c r="AK773"/>
      <c r="AL773"/>
      <c r="AM773"/>
      <c r="AN773"/>
      <c r="AO773"/>
      <c r="AP773"/>
      <c r="AQ773" s="2623">
        <f>SUM(AQ771:AW771)</f>
        <v>270992605</v>
      </c>
      <c r="AR773" s="2623"/>
      <c r="AS773" s="2623"/>
      <c r="AT773" s="2623"/>
      <c r="AU773" s="2623"/>
      <c r="AV773" s="2623"/>
      <c r="AW773" s="1293"/>
    </row>
    <row r="774" ht="9.2" customHeight="1" spans="1:49">
      <c r="A774" s="64"/>
      <c r="B774" s="64"/>
      <c r="C774"/>
      <c r="E774" s="64"/>
      <c r="F774" s="64"/>
      <c r="G774" s="64"/>
      <c r="H774" s="64"/>
      <c r="I774" s="64"/>
      <c r="J774" s="64"/>
      <c r="K774" s="64"/>
      <c r="L774" s="64"/>
      <c r="M774" s="64"/>
      <c r="N774" s="64"/>
      <c r="O774" s="64"/>
      <c r="P774" s="64"/>
      <c r="Q774" s="64"/>
      <c r="R774" s="64"/>
      <c r="S774" s="64"/>
      <c r="T774" s="3"/>
      <c r="U774" s="3"/>
      <c r="V774" s="3"/>
      <c r="W774" s="3"/>
      <c r="X774" s="3"/>
      <c r="Y774" s="3"/>
      <c r="Z774" s="3"/>
      <c r="AA774" s="64"/>
      <c r="AB774" s="3"/>
      <c r="AC774" s="3"/>
      <c r="AD774" s="3"/>
      <c r="AE774" s="3"/>
      <c r="AF774" s="3"/>
      <c r="AG774" s="3"/>
      <c r="AH774" s="3"/>
      <c r="AI774" s="3326"/>
      <c r="AJ774" s="3"/>
      <c r="AK774" s="3"/>
      <c r="AL774" s="3"/>
      <c r="AM774" s="3"/>
      <c r="AN774" s="3"/>
      <c r="AO774" s="3"/>
      <c r="AP774" s="3"/>
      <c r="AQ774" s="3"/>
      <c r="AR774" s="3"/>
      <c r="AS774" s="3"/>
      <c r="AT774" s="3"/>
      <c r="AU774" s="3"/>
      <c r="AV774" s="3"/>
      <c r="AW774" s="3546"/>
    </row>
    <row r="775" customHeight="1" spans="1:44">
      <c r="A775" s="64"/>
      <c r="B775" s="64"/>
      <c r="C775" s="3522" t="s">
        <v>2047</v>
      </c>
      <c r="D775" s="3553"/>
      <c r="E775" s="3553"/>
      <c r="F775" s="3553"/>
      <c r="G775" s="3553"/>
      <c r="H775" s="3553"/>
      <c r="I775" s="3553"/>
      <c r="J775" s="3553"/>
      <c r="K775" s="3553"/>
      <c r="L775" s="3553"/>
      <c r="M775" s="3553"/>
      <c r="N775" s="2402"/>
      <c r="O775" s="64"/>
      <c r="P775" s="64"/>
      <c r="Q775" s="64"/>
      <c r="R775" s="64"/>
      <c r="S775" s="64"/>
      <c r="T775" s="3"/>
      <c r="U775" s="3"/>
      <c r="V775" s="3"/>
      <c r="W775" s="3"/>
      <c r="X775" s="3"/>
      <c r="Y775" s="3"/>
      <c r="Z775" s="3"/>
      <c r="AA775" s="64"/>
      <c r="AI775" s="3326"/>
      <c r="AJ775" s="3326"/>
      <c r="AK775" s="3326"/>
      <c r="AN775" s="3326"/>
      <c r="AO775" s="3326"/>
      <c r="AR775" s="3326"/>
    </row>
    <row r="776" customHeight="1" spans="1:49">
      <c r="A776" s="64"/>
      <c r="B776" s="64"/>
      <c r="C776" t="str">
        <f>+'40'!B27</f>
        <v>Beban gaji dan tunjangan</v>
      </c>
      <c r="E776" s="64"/>
      <c r="F776" s="64"/>
      <c r="G776" s="64"/>
      <c r="H776" s="64"/>
      <c r="I776" s="64"/>
      <c r="J776" s="64"/>
      <c r="K776" s="64"/>
      <c r="L776" s="64"/>
      <c r="M776" s="64"/>
      <c r="N776" s="64"/>
      <c r="O776" s="64"/>
      <c r="P776" s="64"/>
      <c r="Q776" s="64"/>
      <c r="R776" s="64"/>
      <c r="S776" s="64"/>
      <c r="T776" s="3"/>
      <c r="U776" s="3"/>
      <c r="V776" s="3"/>
      <c r="W776" s="3"/>
      <c r="X776" s="3"/>
      <c r="Y776" s="3"/>
      <c r="Z776" s="3"/>
      <c r="AA776" s="64"/>
      <c r="AB776" s="3">
        <f>+'40'!K27</f>
        <v>585722836</v>
      </c>
      <c r="AC776" s="3"/>
      <c r="AD776" s="3"/>
      <c r="AE776" s="3"/>
      <c r="AF776" s="3"/>
      <c r="AG776" s="3"/>
      <c r="AH776" s="3"/>
      <c r="AI776" s="3326"/>
      <c r="AJ776" s="3">
        <f>+'40'!Q27</f>
        <v>602760278.3</v>
      </c>
      <c r="AK776" s="3"/>
      <c r="AL776" s="3"/>
      <c r="AM776" s="3"/>
      <c r="AN776" s="3"/>
      <c r="AO776" s="3"/>
      <c r="AP776" s="3"/>
      <c r="AQ776" s="3">
        <f>+'40'!R27</f>
        <v>962089454.462427</v>
      </c>
      <c r="AR776" s="3"/>
      <c r="AS776" s="3"/>
      <c r="AT776" s="3"/>
      <c r="AU776" s="3"/>
      <c r="AV776" s="3"/>
      <c r="AW776" s="3546"/>
    </row>
    <row r="777" customHeight="1" spans="1:49">
      <c r="A777" s="64"/>
      <c r="B777" s="64"/>
      <c r="C777" t="str">
        <f>+'40'!B28</f>
        <v>Beban Transportasi</v>
      </c>
      <c r="E777" s="64"/>
      <c r="F777" s="64"/>
      <c r="G777" s="64"/>
      <c r="H777" s="64"/>
      <c r="I777" s="64"/>
      <c r="J777" s="64"/>
      <c r="K777" s="64"/>
      <c r="L777" s="64"/>
      <c r="M777" s="64"/>
      <c r="N777" s="64"/>
      <c r="O777" s="64"/>
      <c r="P777" s="64"/>
      <c r="Q777" s="64"/>
      <c r="R777" s="64"/>
      <c r="S777" s="64"/>
      <c r="T777" s="3"/>
      <c r="U777" s="3"/>
      <c r="V777" s="3"/>
      <c r="W777" s="3"/>
      <c r="X777" s="3"/>
      <c r="Y777" s="3"/>
      <c r="Z777" s="3"/>
      <c r="AA777" s="64"/>
      <c r="AB777" s="3">
        <f>+'40'!K28</f>
        <v>42700000</v>
      </c>
      <c r="AC777" s="3"/>
      <c r="AD777" s="3"/>
      <c r="AE777" s="3"/>
      <c r="AF777" s="3"/>
      <c r="AG777" s="3"/>
      <c r="AH777" s="3"/>
      <c r="AI777" s="3326"/>
      <c r="AJ777" s="3">
        <f>+'40'!Q28</f>
        <v>9905717</v>
      </c>
      <c r="AK777" s="3"/>
      <c r="AL777" s="3"/>
      <c r="AM777" s="3"/>
      <c r="AN777" s="3"/>
      <c r="AO777" s="3"/>
      <c r="AP777" s="3"/>
      <c r="AQ777" s="3">
        <f>+'40'!R28</f>
        <v>0</v>
      </c>
      <c r="AR777" s="3"/>
      <c r="AS777" s="3"/>
      <c r="AT777" s="3"/>
      <c r="AU777" s="3"/>
      <c r="AV777" s="3"/>
      <c r="AW777" s="3546"/>
    </row>
    <row r="778" hidden="1" customHeight="1" spans="1:49">
      <c r="A778" s="64"/>
      <c r="B778" s="64"/>
      <c r="C778" t="str">
        <f>+'40'!B29</f>
        <v>Beban pemeliharaan</v>
      </c>
      <c r="E778" s="64"/>
      <c r="F778" s="64"/>
      <c r="G778" s="64"/>
      <c r="H778" s="64"/>
      <c r="I778" s="64"/>
      <c r="J778" s="64"/>
      <c r="K778" s="64"/>
      <c r="L778" s="64"/>
      <c r="M778" s="64"/>
      <c r="N778" s="64"/>
      <c r="O778" s="64"/>
      <c r="P778" s="64"/>
      <c r="Q778" s="64"/>
      <c r="R778" s="64"/>
      <c r="S778" s="64"/>
      <c r="T778" s="3"/>
      <c r="U778" s="3"/>
      <c r="V778" s="3"/>
      <c r="W778" s="3"/>
      <c r="X778" s="3"/>
      <c r="Y778" s="3"/>
      <c r="Z778" s="3"/>
      <c r="AA778" s="64"/>
      <c r="AB778" s="3">
        <f>+'40'!I29</f>
        <v>0</v>
      </c>
      <c r="AC778" s="3"/>
      <c r="AD778" s="3"/>
      <c r="AE778" s="3"/>
      <c r="AF778" s="3"/>
      <c r="AG778" s="3"/>
      <c r="AH778" s="3"/>
      <c r="AI778" s="3326"/>
      <c r="AJ778" s="3">
        <f>+'40'!Q29</f>
        <v>0</v>
      </c>
      <c r="AK778" s="3"/>
      <c r="AL778" s="3"/>
      <c r="AM778" s="3"/>
      <c r="AN778" s="3"/>
      <c r="AO778" s="3"/>
      <c r="AP778" s="3"/>
      <c r="AQ778" s="3">
        <f>+'40'!R29</f>
        <v>0</v>
      </c>
      <c r="AR778" s="3"/>
      <c r="AS778" s="3"/>
      <c r="AT778" s="3"/>
      <c r="AU778" s="3"/>
      <c r="AV778" s="3"/>
      <c r="AW778" s="3546"/>
    </row>
    <row r="779" customHeight="1" spans="1:49">
      <c r="A779" s="64"/>
      <c r="B779" s="64"/>
      <c r="C779" t="str">
        <f>+'40'!B30</f>
        <v>Beban penyusutan </v>
      </c>
      <c r="E779" s="64"/>
      <c r="F779" s="64"/>
      <c r="G779" s="64"/>
      <c r="H779" s="64"/>
      <c r="I779" s="64"/>
      <c r="J779" s="64"/>
      <c r="K779" s="64"/>
      <c r="L779" s="64"/>
      <c r="M779" s="64"/>
      <c r="N779" s="64"/>
      <c r="O779" s="64"/>
      <c r="P779" s="64"/>
      <c r="Q779" s="64"/>
      <c r="R779" s="64"/>
      <c r="S779" s="64"/>
      <c r="T779" s="3"/>
      <c r="U779" s="3"/>
      <c r="V779" s="3"/>
      <c r="W779" s="3"/>
      <c r="X779" s="3"/>
      <c r="Y779" s="3"/>
      <c r="Z779" s="3"/>
      <c r="AA779" s="64"/>
      <c r="AB779" s="3">
        <f>+'40'!K30</f>
        <v>545866843</v>
      </c>
      <c r="AC779" s="3"/>
      <c r="AD779" s="3"/>
      <c r="AE779" s="3"/>
      <c r="AF779" s="3"/>
      <c r="AG779" s="3"/>
      <c r="AH779" s="3"/>
      <c r="AI779" s="3326"/>
      <c r="AJ779" s="3">
        <f>+'40'!Q30</f>
        <v>177633247.9</v>
      </c>
      <c r="AK779" s="3"/>
      <c r="AL779" s="3"/>
      <c r="AM779" s="3"/>
      <c r="AN779" s="3"/>
      <c r="AO779" s="3"/>
      <c r="AP779" s="3"/>
      <c r="AQ779" s="3">
        <f>+'40'!R30</f>
        <v>76822512.5756187</v>
      </c>
      <c r="AR779" s="3"/>
      <c r="AS779" s="3"/>
      <c r="AT779" s="3"/>
      <c r="AU779" s="3"/>
      <c r="AV779" s="3"/>
      <c r="AW779" s="3546"/>
    </row>
    <row r="780" ht="11.4" spans="1:49">
      <c r="A780" s="64"/>
      <c r="B780" s="64"/>
      <c r="C780" t="str">
        <f>+'40'!B35</f>
        <v>BUA - Beban Lain-lain</v>
      </c>
      <c r="E780" s="64"/>
      <c r="F780" s="64"/>
      <c r="G780" s="64"/>
      <c r="H780" s="64"/>
      <c r="I780" s="64"/>
      <c r="J780" s="64"/>
      <c r="K780" s="64"/>
      <c r="L780" s="64"/>
      <c r="M780" s="64"/>
      <c r="N780" s="64"/>
      <c r="O780" s="64"/>
      <c r="P780" s="64"/>
      <c r="Q780" s="64"/>
      <c r="R780" s="64"/>
      <c r="S780" s="64"/>
      <c r="T780" s="3"/>
      <c r="U780" s="3"/>
      <c r="V780" s="3"/>
      <c r="W780" s="3"/>
      <c r="X780" s="3"/>
      <c r="Y780" s="3"/>
      <c r="Z780" s="3"/>
      <c r="AA780" s="64"/>
      <c r="AB780" s="3">
        <f>+'40'!K35</f>
        <v>81251067.64</v>
      </c>
      <c r="AC780" s="3"/>
      <c r="AD780" s="3"/>
      <c r="AE780" s="3"/>
      <c r="AF780" s="3"/>
      <c r="AG780" s="3"/>
      <c r="AH780" s="3"/>
      <c r="AI780" s="3326"/>
      <c r="AJ780" s="3">
        <f>+'40'!Q35</f>
        <v>565873645.2</v>
      </c>
      <c r="AK780" s="3"/>
      <c r="AL780" s="3"/>
      <c r="AM780" s="3"/>
      <c r="AN780" s="3"/>
      <c r="AO780" s="3"/>
      <c r="AP780" s="3"/>
      <c r="AQ780" s="3">
        <f>+'40'!R35</f>
        <v>362800000</v>
      </c>
      <c r="AR780" s="3"/>
      <c r="AS780" s="3"/>
      <c r="AT780" s="3"/>
      <c r="AU780" s="3"/>
      <c r="AV780" s="3"/>
      <c r="AW780" s="3546"/>
    </row>
    <row r="781" ht="4.5" customHeight="1" spans="1:49">
      <c r="A781" s="64"/>
      <c r="B781" s="64"/>
      <c r="C781" s="94"/>
      <c r="D781" s="3322"/>
      <c r="E781" s="3322"/>
      <c r="F781" s="64"/>
      <c r="G781" s="64"/>
      <c r="H781" s="64"/>
      <c r="I781" s="64"/>
      <c r="J781" s="64"/>
      <c r="K781" s="64"/>
      <c r="L781" s="64"/>
      <c r="M781" s="64"/>
      <c r="N781" s="64"/>
      <c r="O781" s="64"/>
      <c r="P781" s="64"/>
      <c r="Q781" s="64"/>
      <c r="R781" s="64"/>
      <c r="S781" s="3067"/>
      <c r="T781" s="3556"/>
      <c r="U781" s="3556"/>
      <c r="V781" s="3556"/>
      <c r="W781" s="3556"/>
      <c r="X781" s="3556"/>
      <c r="Y781" s="3556"/>
      <c r="Z781" s="3556"/>
      <c r="AA781" s="3556"/>
      <c r="AB781" s="164"/>
      <c r="AC781" s="164"/>
      <c r="AD781" s="164"/>
      <c r="AE781" s="164"/>
      <c r="AF781" s="164"/>
      <c r="AG781" s="164"/>
      <c r="AH781" s="164"/>
      <c r="AI781" s="3464"/>
      <c r="AJ781" s="164"/>
      <c r="AK781" s="164"/>
      <c r="AL781" s="164"/>
      <c r="AM781" s="164"/>
      <c r="AN781" s="164"/>
      <c r="AO781" s="164"/>
      <c r="AP781" s="164"/>
      <c r="AQ781" s="3454"/>
      <c r="AR781" s="3454"/>
      <c r="AS781" s="3454"/>
      <c r="AT781" s="3454"/>
      <c r="AU781" s="3454"/>
      <c r="AV781" s="3454"/>
      <c r="AW781" s="1293"/>
    </row>
    <row r="782" spans="1:49">
      <c r="A782" s="64"/>
      <c r="B782" s="64"/>
      <c r="C782" s="94" t="s">
        <v>2048</v>
      </c>
      <c r="D782" s="3322"/>
      <c r="E782" s="3322"/>
      <c r="F782" s="64"/>
      <c r="G782" s="64"/>
      <c r="H782" s="64"/>
      <c r="I782" s="64"/>
      <c r="J782" s="64"/>
      <c r="K782" s="64"/>
      <c r="L782" s="64"/>
      <c r="M782" s="64"/>
      <c r="N782" s="64"/>
      <c r="O782" s="64"/>
      <c r="P782" s="64"/>
      <c r="Q782" s="64"/>
      <c r="R782" s="64"/>
      <c r="S782" s="3067"/>
      <c r="T782" s="3556"/>
      <c r="U782" s="3556"/>
      <c r="V782" s="3556"/>
      <c r="W782" s="3556"/>
      <c r="X782" s="3556"/>
      <c r="Y782" s="3556"/>
      <c r="Z782" s="3556"/>
      <c r="AA782" s="3556"/>
      <c r="AB782">
        <f>SUM(AB776:AH781)</f>
        <v>1255540746.64</v>
      </c>
      <c r="AC782"/>
      <c r="AD782"/>
      <c r="AE782"/>
      <c r="AF782"/>
      <c r="AG782"/>
      <c r="AH782"/>
      <c r="AI782"/>
      <c r="AJ782">
        <f>SUM(AJ776:AP781)</f>
        <v>1356172888.4</v>
      </c>
      <c r="AK782"/>
      <c r="AL782"/>
      <c r="AM782"/>
      <c r="AN782"/>
      <c r="AO782"/>
      <c r="AP782"/>
      <c r="AQ782" s="2623">
        <f>SUM(AQ776:AW781)</f>
        <v>1401711967.03805</v>
      </c>
      <c r="AR782" s="2623"/>
      <c r="AS782" s="2623"/>
      <c r="AT782" s="2623"/>
      <c r="AU782" s="2623"/>
      <c r="AV782" s="2623"/>
      <c r="AW782" s="1293"/>
    </row>
    <row r="783" ht="9.2" customHeight="1" spans="1:49">
      <c r="A783" s="64"/>
      <c r="B783" s="64"/>
      <c r="C783" s="94"/>
      <c r="D783" s="3322"/>
      <c r="E783" s="3322"/>
      <c r="F783" s="64"/>
      <c r="G783" s="64"/>
      <c r="H783" s="64"/>
      <c r="I783" s="64"/>
      <c r="J783" s="64"/>
      <c r="K783" s="64"/>
      <c r="L783" s="64"/>
      <c r="M783" s="64"/>
      <c r="N783" s="64"/>
      <c r="O783" s="64"/>
      <c r="P783" s="64"/>
      <c r="Q783" s="64"/>
      <c r="R783" s="64"/>
      <c r="S783" s="3067"/>
      <c r="T783" s="3556"/>
      <c r="U783" s="3556"/>
      <c r="V783" s="3556"/>
      <c r="W783" s="3556"/>
      <c r="X783" s="3556"/>
      <c r="Y783" s="3556"/>
      <c r="Z783" s="3556"/>
      <c r="AA783" s="3556"/>
      <c r="AB783"/>
      <c r="AC783"/>
      <c r="AD783"/>
      <c r="AE783"/>
      <c r="AF783"/>
      <c r="AG783"/>
      <c r="AH783"/>
      <c r="AI783"/>
      <c r="AJ783"/>
      <c r="AK783"/>
      <c r="AL783"/>
      <c r="AM783"/>
      <c r="AN783"/>
      <c r="AO783"/>
      <c r="AP783"/>
      <c r="AQ783"/>
      <c r="AR783"/>
      <c r="AS783"/>
      <c r="AT783"/>
      <c r="AU783"/>
      <c r="AV783"/>
      <c r="AW783" s="159"/>
    </row>
    <row r="784" customHeight="1" spans="1:49">
      <c r="A784" s="64"/>
      <c r="B784" s="64"/>
      <c r="C784" s="94" t="s">
        <v>1301</v>
      </c>
      <c r="D784" s="3322"/>
      <c r="E784" s="3322"/>
      <c r="F784" s="64"/>
      <c r="G784" s="64"/>
      <c r="H784" s="64"/>
      <c r="I784" s="64"/>
      <c r="J784" s="64"/>
      <c r="K784" s="64"/>
      <c r="L784" s="64"/>
      <c r="M784" s="64"/>
      <c r="N784" s="64"/>
      <c r="O784" s="64"/>
      <c r="P784" s="64"/>
      <c r="Q784" s="64"/>
      <c r="R784" s="64"/>
      <c r="S784" s="3067"/>
      <c r="T784" s="3556"/>
      <c r="U784" s="3556"/>
      <c r="V784" s="3556"/>
      <c r="W784" s="3556"/>
      <c r="X784" s="3556"/>
      <c r="Y784" s="3556"/>
      <c r="Z784" s="3556"/>
      <c r="AA784" s="3556"/>
      <c r="AB784" s="3557">
        <f>AB782+AB773</f>
        <v>1269740746.64</v>
      </c>
      <c r="AC784" s="3557"/>
      <c r="AD784" s="3557"/>
      <c r="AE784" s="3557"/>
      <c r="AF784" s="3557"/>
      <c r="AG784" s="3557"/>
      <c r="AH784" s="3557"/>
      <c r="AI784"/>
      <c r="AJ784" s="3557">
        <f>AJ782+AJ773</f>
        <v>1493504389.8</v>
      </c>
      <c r="AK784" s="3557"/>
      <c r="AL784" s="3557"/>
      <c r="AM784" s="3557"/>
      <c r="AN784" s="3557"/>
      <c r="AO784" s="3557"/>
      <c r="AP784" s="3557"/>
      <c r="AQ784" s="3562">
        <f>AQ782+AQ773</f>
        <v>1672704572.03805</v>
      </c>
      <c r="AR784" s="3562"/>
      <c r="AS784" s="3562"/>
      <c r="AT784" s="3562"/>
      <c r="AU784" s="3562"/>
      <c r="AV784" s="3562"/>
      <c r="AW784" s="3564"/>
    </row>
    <row r="785" ht="16.5" customHeight="1" spans="35:44">
      <c r="AI785" s="3326"/>
      <c r="AJ785" s="3326"/>
      <c r="AK785" s="3326"/>
      <c r="AN785" s="3326"/>
      <c r="AO785" s="3326"/>
      <c r="AR785" s="3326"/>
    </row>
    <row r="786" customHeight="1" spans="1:49">
      <c r="A786" s="3335">
        <f>+A768+1</f>
        <v>20</v>
      </c>
      <c r="B786" s="64"/>
      <c r="C786" s="5037" t="s">
        <v>587</v>
      </c>
      <c r="D786" s="64"/>
      <c r="E786" s="64"/>
      <c r="F786" s="3315"/>
      <c r="G786" s="3315"/>
      <c r="H786" s="3315"/>
      <c r="I786" s="3315"/>
      <c r="J786" s="3315"/>
      <c r="K786" s="3315"/>
      <c r="L786" s="3315"/>
      <c r="M786" s="3315"/>
      <c r="N786" s="3315"/>
      <c r="O786" s="3315"/>
      <c r="P786" s="64"/>
      <c r="Q786" s="64"/>
      <c r="R786" s="64"/>
      <c r="S786" s="64"/>
      <c r="T786" s="64"/>
      <c r="U786" s="64"/>
      <c r="V786" s="64"/>
      <c r="W786" s="64"/>
      <c r="X786" s="64"/>
      <c r="Y786" s="64"/>
      <c r="Z786" s="64"/>
      <c r="AA786" s="64"/>
      <c r="AB786" s="3359">
        <f>+AB768</f>
        <v>2022</v>
      </c>
      <c r="AC786" s="3360"/>
      <c r="AD786" s="3360"/>
      <c r="AE786" s="3360"/>
      <c r="AF786" s="3360"/>
      <c r="AG786" s="3360"/>
      <c r="AH786" s="3360"/>
      <c r="AJ786" s="3359">
        <f>+AJ768</f>
        <v>2021</v>
      </c>
      <c r="AK786" s="3360"/>
      <c r="AL786" s="3360"/>
      <c r="AM786" s="3360"/>
      <c r="AN786" s="3360"/>
      <c r="AO786" s="3360"/>
      <c r="AP786" s="3360"/>
      <c r="AQ786" s="3360">
        <f>+AQ768</f>
        <v>2020</v>
      </c>
      <c r="AR786" s="3360"/>
      <c r="AS786" s="3360"/>
      <c r="AT786" s="3360"/>
      <c r="AU786" s="3360"/>
      <c r="AV786" s="3360"/>
      <c r="AW786" s="3381"/>
    </row>
    <row r="787" ht="9" customHeight="1" spans="1:49">
      <c r="A787" s="64"/>
      <c r="B787" s="64"/>
      <c r="C787" s="3530"/>
      <c r="D787" s="64"/>
      <c r="E787" s="64"/>
      <c r="F787" s="64"/>
      <c r="G787" s="64"/>
      <c r="H787" s="64"/>
      <c r="I787" s="64"/>
      <c r="J787" s="64"/>
      <c r="K787" s="64"/>
      <c r="L787" s="64"/>
      <c r="M787" s="64"/>
      <c r="N787" s="64"/>
      <c r="O787" s="64"/>
      <c r="P787" s="64"/>
      <c r="Q787" s="64"/>
      <c r="R787" s="64"/>
      <c r="S787" s="64"/>
      <c r="T787" s="3"/>
      <c r="U787" s="3"/>
      <c r="V787" s="3"/>
      <c r="W787" s="3"/>
      <c r="X787" s="3"/>
      <c r="Y787" s="3"/>
      <c r="Z787" s="3"/>
      <c r="AA787" s="64"/>
      <c r="AB787" s="3"/>
      <c r="AC787" s="3"/>
      <c r="AD787" s="3"/>
      <c r="AE787" s="3"/>
      <c r="AF787" s="3"/>
      <c r="AG787" s="3"/>
      <c r="AH787" s="3"/>
      <c r="AI787" s="3326"/>
      <c r="AJ787" s="3"/>
      <c r="AK787" s="3"/>
      <c r="AL787" s="3"/>
      <c r="AM787" s="3"/>
      <c r="AN787" s="3"/>
      <c r="AO787" s="3"/>
      <c r="AP787" s="3"/>
      <c r="AQ787" s="3"/>
      <c r="AR787" s="3"/>
      <c r="AS787" s="3"/>
      <c r="AT787" s="3"/>
      <c r="AU787" s="3"/>
      <c r="AV787" s="3"/>
      <c r="AW787" s="3546"/>
    </row>
    <row r="788" customHeight="1" spans="1:49">
      <c r="A788" s="64"/>
      <c r="B788" s="64"/>
      <c r="C788" s="3554" t="s">
        <v>2049</v>
      </c>
      <c r="E788" s="64"/>
      <c r="F788" s="64"/>
      <c r="G788" s="64"/>
      <c r="H788" s="64"/>
      <c r="I788" s="64"/>
      <c r="J788" s="64"/>
      <c r="K788" s="64"/>
      <c r="L788" s="64"/>
      <c r="M788" s="64"/>
      <c r="N788" s="64"/>
      <c r="O788" s="64"/>
      <c r="P788" s="64"/>
      <c r="Q788" s="64"/>
      <c r="R788" s="64"/>
      <c r="S788" s="64"/>
      <c r="T788" s="3"/>
      <c r="U788" s="3"/>
      <c r="V788" s="3"/>
      <c r="W788" s="3"/>
      <c r="X788" s="3"/>
      <c r="Y788" s="3"/>
      <c r="Z788" s="3"/>
      <c r="AA788" s="64"/>
      <c r="AB788" s="3"/>
      <c r="AC788" s="3"/>
      <c r="AD788" s="3"/>
      <c r="AE788" s="3"/>
      <c r="AF788" s="3"/>
      <c r="AG788" s="3"/>
      <c r="AH788" s="3"/>
      <c r="AI788" s="3326"/>
      <c r="AJ788" s="3"/>
      <c r="AK788" s="3"/>
      <c r="AL788" s="3"/>
      <c r="AM788" s="3"/>
      <c r="AN788" s="3"/>
      <c r="AO788" s="3"/>
      <c r="AP788" s="3"/>
      <c r="AQ788" s="3"/>
      <c r="AR788" s="3"/>
      <c r="AS788" s="3"/>
      <c r="AT788" s="3"/>
      <c r="AU788" s="3"/>
      <c r="AV788" s="3"/>
      <c r="AW788" s="3546"/>
    </row>
    <row r="789" customHeight="1" spans="1:49">
      <c r="A789" s="64"/>
      <c r="B789" s="64"/>
      <c r="C789" s="3528" t="s">
        <v>2050</v>
      </c>
      <c r="E789" s="64"/>
      <c r="F789" s="64"/>
      <c r="G789" s="64"/>
      <c r="H789" s="64"/>
      <c r="I789" s="64"/>
      <c r="J789" s="64"/>
      <c r="K789" s="64"/>
      <c r="L789" s="64"/>
      <c r="M789" s="64"/>
      <c r="N789" s="64"/>
      <c r="O789" s="64"/>
      <c r="P789" s="64"/>
      <c r="Q789" s="64"/>
      <c r="R789" s="64"/>
      <c r="S789" s="64"/>
      <c r="T789" s="3"/>
      <c r="U789" s="3"/>
      <c r="V789" s="3"/>
      <c r="W789" s="3"/>
      <c r="X789" s="3"/>
      <c r="Y789" s="3"/>
      <c r="Z789" s="3"/>
      <c r="AA789" s="64"/>
      <c r="AB789" s="3">
        <f>+'50'!J19</f>
        <v>968019.0607</v>
      </c>
      <c r="AC789" s="3"/>
      <c r="AD789" s="3"/>
      <c r="AE789" s="3"/>
      <c r="AF789" s="3"/>
      <c r="AG789" s="3"/>
      <c r="AH789" s="3"/>
      <c r="AI789" s="3326"/>
      <c r="AJ789" s="3">
        <f>+'50'!P19</f>
        <v>6328441.05</v>
      </c>
      <c r="AK789" s="3"/>
      <c r="AL789" s="3"/>
      <c r="AM789" s="3"/>
      <c r="AN789" s="3"/>
      <c r="AO789" s="3"/>
      <c r="AP789" s="3"/>
      <c r="AQ789" s="3">
        <f>+'50'!Q19</f>
        <v>8249050</v>
      </c>
      <c r="AR789" s="3"/>
      <c r="AS789" s="3"/>
      <c r="AT789" s="3"/>
      <c r="AU789" s="3"/>
      <c r="AV789" s="3"/>
      <c r="AW789" s="3546"/>
    </row>
    <row r="790" customHeight="1" spans="1:49">
      <c r="A790" s="64"/>
      <c r="B790" s="64"/>
      <c r="C790" t="s">
        <v>2051</v>
      </c>
      <c r="D790" s="64"/>
      <c r="E790" s="64"/>
      <c r="F790" s="64"/>
      <c r="G790" s="64"/>
      <c r="H790" s="64"/>
      <c r="I790" s="64"/>
      <c r="J790" s="64"/>
      <c r="K790" s="64"/>
      <c r="M790" s="64"/>
      <c r="N790" s="64"/>
      <c r="O790" s="64"/>
      <c r="P790" s="64"/>
      <c r="Q790" s="64"/>
      <c r="R790" s="64"/>
      <c r="S790" s="64"/>
      <c r="T790" s="64"/>
      <c r="U790" s="64"/>
      <c r="V790" s="64"/>
      <c r="W790" s="64"/>
      <c r="X790" s="64"/>
      <c r="Y790" s="64"/>
      <c r="Z790" s="64"/>
      <c r="AA790" s="64"/>
      <c r="AB790" s="3">
        <f>+'50'!H33</f>
        <v>0</v>
      </c>
      <c r="AC790" s="3"/>
      <c r="AD790" s="3"/>
      <c r="AE790" s="3"/>
      <c r="AF790" s="3"/>
      <c r="AG790" s="3"/>
      <c r="AH790" s="3"/>
      <c r="AI790" s="3326"/>
      <c r="AJ790" s="3">
        <f>+'50'!P33</f>
        <v>5600000</v>
      </c>
      <c r="AK790" s="3"/>
      <c r="AL790" s="3"/>
      <c r="AM790" s="3"/>
      <c r="AN790" s="3"/>
      <c r="AO790" s="3"/>
      <c r="AP790" s="3"/>
      <c r="AQ790" s="3">
        <f>+'50'!Q33</f>
        <v>1800000</v>
      </c>
      <c r="AR790" s="3"/>
      <c r="AS790" s="3"/>
      <c r="AT790" s="3"/>
      <c r="AU790" s="3"/>
      <c r="AV790" s="3"/>
      <c r="AW790" s="3546"/>
    </row>
    <row r="791" ht="4.5" customHeight="1" spans="1:49">
      <c r="A791" s="64"/>
      <c r="B791" s="64"/>
      <c r="C791" s="3528"/>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2402"/>
      <c r="AC791" s="2402"/>
      <c r="AD791" s="2402"/>
      <c r="AE791" s="2402"/>
      <c r="AF791" s="2402"/>
      <c r="AG791" s="2402"/>
      <c r="AH791" s="2402"/>
      <c r="AI791" s="3326"/>
      <c r="AJ791" s="2402"/>
      <c r="AK791" s="2402"/>
      <c r="AL791" s="2402"/>
      <c r="AM791" s="2402"/>
      <c r="AN791" s="2402"/>
      <c r="AO791" s="2402"/>
      <c r="AP791" s="2402"/>
      <c r="AQ791" s="2402"/>
      <c r="AR791" s="2402"/>
      <c r="AS791" s="2402"/>
      <c r="AT791" s="2402"/>
      <c r="AU791" s="2402"/>
      <c r="AV791" s="2402"/>
      <c r="AW791" s="1350"/>
    </row>
    <row r="792" customHeight="1" spans="1:49">
      <c r="A792" s="64"/>
      <c r="B792" s="64"/>
      <c r="C792" s="3529" t="s">
        <v>2052</v>
      </c>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3">
        <f>SUM(AB789:AH791)</f>
        <v>968019.0607</v>
      </c>
      <c r="AC792" s="3"/>
      <c r="AD792" s="3"/>
      <c r="AE792" s="3"/>
      <c r="AF792" s="3"/>
      <c r="AG792" s="3"/>
      <c r="AH792" s="3"/>
      <c r="AI792" s="3326"/>
      <c r="AJ792" s="3">
        <f>SUM(AJ789:AP791)</f>
        <v>11928441.05</v>
      </c>
      <c r="AK792" s="3"/>
      <c r="AL792" s="3"/>
      <c r="AM792" s="3"/>
      <c r="AN792" s="3"/>
      <c r="AO792" s="3"/>
      <c r="AP792" s="3"/>
      <c r="AQ792" s="3">
        <f>SUM(AQ789:AW791)</f>
        <v>10049050</v>
      </c>
      <c r="AR792" s="3"/>
      <c r="AS792" s="3"/>
      <c r="AT792" s="3"/>
      <c r="AU792" s="3"/>
      <c r="AV792" s="3"/>
      <c r="AW792" s="3546"/>
    </row>
    <row r="793" ht="9" customHeight="1" spans="1:49">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c r="AG793" s="64"/>
      <c r="AH793" s="64"/>
      <c r="AI793" s="3326"/>
      <c r="AK793" s="64"/>
      <c r="AL793" s="64"/>
      <c r="AM793" s="64"/>
      <c r="AP793" s="64"/>
      <c r="AQ793" s="64"/>
      <c r="AR793" s="64"/>
      <c r="AS793" s="64"/>
      <c r="AT793" s="64"/>
      <c r="AU793" s="64"/>
      <c r="AV793" s="64"/>
      <c r="AW793" s="1350"/>
    </row>
    <row r="794" customHeight="1" spans="1:49">
      <c r="A794" s="64"/>
      <c r="B794" s="64"/>
      <c r="C794" s="3554" t="s">
        <v>2053</v>
      </c>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c r="AG794" s="64"/>
      <c r="AH794" s="64"/>
      <c r="AI794" s="3326"/>
      <c r="AK794" s="64"/>
      <c r="AL794" s="64"/>
      <c r="AM794" s="64"/>
      <c r="AP794" s="64"/>
      <c r="AQ794" s="64"/>
      <c r="AR794" s="64"/>
      <c r="AS794" s="64"/>
      <c r="AT794" s="64"/>
      <c r="AU794" s="64"/>
      <c r="AV794" s="64"/>
      <c r="AW794" s="1350"/>
    </row>
    <row r="795" customHeight="1" spans="1:49">
      <c r="A795" s="64"/>
      <c r="B795" s="64"/>
      <c r="C795" s="3528" t="str">
        <f>+'50'!C40</f>
        <v>Beban Bunga pinjaman</v>
      </c>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3">
        <f>+'50'!J40</f>
        <v>2102232955</v>
      </c>
      <c r="AC795" s="3"/>
      <c r="AD795" s="3"/>
      <c r="AE795" s="3"/>
      <c r="AF795" s="3"/>
      <c r="AG795" s="3"/>
      <c r="AH795" s="3"/>
      <c r="AI795" s="3326"/>
      <c r="AJ795" s="3">
        <f>+'50'!P40</f>
        <v>587493064</v>
      </c>
      <c r="AK795" s="3"/>
      <c r="AL795" s="3"/>
      <c r="AM795" s="3"/>
      <c r="AN795" s="3"/>
      <c r="AO795" s="3"/>
      <c r="AP795" s="3"/>
      <c r="AQ795" s="3">
        <f>+'50'!Q40</f>
        <v>546941567</v>
      </c>
      <c r="AR795" s="3"/>
      <c r="AS795" s="3"/>
      <c r="AT795" s="3"/>
      <c r="AU795" s="3"/>
      <c r="AV795" s="3"/>
      <c r="AW795" s="3546"/>
    </row>
    <row r="796" customHeight="1" spans="1:49">
      <c r="A796" s="64"/>
      <c r="B796" s="64"/>
      <c r="C796" s="3528" t="str">
        <f>+'50'!B47</f>
        <v>Beban Administrasi Bank</v>
      </c>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3">
        <f>+'50'!J48</f>
        <v>5261099</v>
      </c>
      <c r="AC796" s="3"/>
      <c r="AD796" s="3"/>
      <c r="AE796" s="3"/>
      <c r="AF796" s="3"/>
      <c r="AG796" s="3"/>
      <c r="AH796" s="3"/>
      <c r="AI796" s="3326"/>
      <c r="AJ796" s="3">
        <f>+'50'!P48</f>
        <v>18908000</v>
      </c>
      <c r="AK796" s="3"/>
      <c r="AL796" s="3"/>
      <c r="AM796" s="3"/>
      <c r="AN796" s="3"/>
      <c r="AO796" s="3"/>
      <c r="AP796" s="3"/>
      <c r="AQ796" s="3">
        <f>+'50'!Q48</f>
        <v>23958695</v>
      </c>
      <c r="AR796" s="3"/>
      <c r="AS796" s="3"/>
      <c r="AT796" s="3"/>
      <c r="AU796" s="3"/>
      <c r="AV796" s="3"/>
      <c r="AW796" s="3546"/>
    </row>
    <row r="797" customHeight="1" spans="1:49">
      <c r="A797" s="64"/>
      <c r="B797" s="64"/>
      <c r="C797" s="3528" t="str">
        <f>+'50'!B56</f>
        <v>Pajak Jasa Giro</v>
      </c>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3">
        <f>+'50'!J57</f>
        <v>297747.5102</v>
      </c>
      <c r="AC797" s="3"/>
      <c r="AD797" s="3"/>
      <c r="AE797" s="3"/>
      <c r="AF797" s="3"/>
      <c r="AG797" s="3"/>
      <c r="AH797" s="3"/>
      <c r="AI797" s="3326"/>
      <c r="AJ797" s="3">
        <f>+'50'!P57</f>
        <v>1405499.54</v>
      </c>
      <c r="AK797" s="3"/>
      <c r="AL797" s="3"/>
      <c r="AM797" s="3"/>
      <c r="AN797" s="3"/>
      <c r="AO797" s="3"/>
      <c r="AP797" s="3"/>
      <c r="AQ797" s="3">
        <f>+'50'!Q57</f>
        <v>1078216</v>
      </c>
      <c r="AR797" s="3"/>
      <c r="AS797" s="3"/>
      <c r="AT797" s="3"/>
      <c r="AU797" s="3"/>
      <c r="AV797" s="3"/>
      <c r="AW797" s="3546"/>
    </row>
    <row r="798" customHeight="1" spans="1:49">
      <c r="A798" s="64"/>
      <c r="B798" s="64"/>
      <c r="C798" s="3528" t="str">
        <f>+'50'!B64</f>
        <v>Beban Oprs Lainnya</v>
      </c>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3">
        <f>SUM('50'!J65:J71)</f>
        <v>341480416.025</v>
      </c>
      <c r="AC798" s="3"/>
      <c r="AD798" s="3"/>
      <c r="AE798" s="3"/>
      <c r="AF798" s="3"/>
      <c r="AG798" s="3"/>
      <c r="AH798" s="3"/>
      <c r="AI798" s="3326"/>
      <c r="AJ798" s="3">
        <f>SUM('50'!P65:P72)</f>
        <v>129482002.084398</v>
      </c>
      <c r="AK798" s="3"/>
      <c r="AL798" s="3"/>
      <c r="AM798" s="3"/>
      <c r="AN798" s="3"/>
      <c r="AO798" s="3"/>
      <c r="AP798" s="3"/>
      <c r="AQ798" s="3">
        <f>SUM('50'!Q65:Q72)</f>
        <v>115764892</v>
      </c>
      <c r="AR798" s="3"/>
      <c r="AS798" s="3"/>
      <c r="AT798" s="3"/>
      <c r="AU798" s="3"/>
      <c r="AV798" s="3"/>
      <c r="AW798" s="3546"/>
    </row>
    <row r="799" ht="4.5" customHeight="1" spans="1:49">
      <c r="A799" s="64"/>
      <c r="B799" s="64"/>
      <c r="C799" s="3528"/>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2402"/>
      <c r="AC799" s="2402"/>
      <c r="AD799" s="2402"/>
      <c r="AE799" s="2402"/>
      <c r="AF799" s="2402"/>
      <c r="AG799" s="2402"/>
      <c r="AH799" s="2402"/>
      <c r="AI799" s="3326"/>
      <c r="AJ799" s="2402"/>
      <c r="AK799" s="2402"/>
      <c r="AL799" s="2402"/>
      <c r="AM799" s="2402"/>
      <c r="AN799" s="2402"/>
      <c r="AO799" s="2402"/>
      <c r="AP799" s="2402"/>
      <c r="AQ799" s="2402"/>
      <c r="AR799" s="2402"/>
      <c r="AS799" s="2402"/>
      <c r="AT799" s="2402"/>
      <c r="AU799" s="2402"/>
      <c r="AV799" s="2402"/>
      <c r="AW799" s="1350"/>
    </row>
    <row r="800" customHeight="1" spans="1:49">
      <c r="A800" s="64"/>
      <c r="B800" s="64"/>
      <c r="C800" s="3529" t="s">
        <v>2054</v>
      </c>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3">
        <f>SUM(AB795:AH799)</f>
        <v>2449272217.5352</v>
      </c>
      <c r="AC800" s="3"/>
      <c r="AD800" s="3"/>
      <c r="AE800" s="3"/>
      <c r="AF800" s="3"/>
      <c r="AG800" s="3"/>
      <c r="AH800" s="3"/>
      <c r="AI800" s="3326"/>
      <c r="AJ800" s="3">
        <f>SUM(AJ795:AP799)</f>
        <v>737288565.624398</v>
      </c>
      <c r="AK800" s="3"/>
      <c r="AL800" s="3"/>
      <c r="AM800" s="3"/>
      <c r="AN800" s="3"/>
      <c r="AO800" s="3"/>
      <c r="AP800" s="3"/>
      <c r="AQ800" s="3">
        <f>SUM(AQ795:AW799)</f>
        <v>687743370</v>
      </c>
      <c r="AR800" s="3"/>
      <c r="AS800" s="3"/>
      <c r="AT800" s="3"/>
      <c r="AU800" s="3"/>
      <c r="AV800" s="3"/>
      <c r="AW800" s="3546"/>
    </row>
    <row r="801" ht="9.2" customHeight="1" spans="1:49">
      <c r="A801" s="64"/>
      <c r="B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c r="AG801" s="64"/>
      <c r="AH801" s="64"/>
      <c r="AI801" s="3326"/>
      <c r="AK801" s="64"/>
      <c r="AL801" s="64"/>
      <c r="AM801" s="64"/>
      <c r="AP801" s="64"/>
      <c r="AQ801" s="64"/>
      <c r="AR801" s="64"/>
      <c r="AS801" s="64"/>
      <c r="AT801" s="64"/>
      <c r="AU801" s="64"/>
      <c r="AV801" s="64"/>
      <c r="AW801" s="1350"/>
    </row>
    <row r="802" customHeight="1" spans="1:49">
      <c r="A802" s="64"/>
      <c r="B802" s="64"/>
      <c r="C802" s="3529" t="s">
        <v>2055</v>
      </c>
      <c r="D802" s="94"/>
      <c r="E802" s="94"/>
      <c r="F802" s="94"/>
      <c r="G802" s="94"/>
      <c r="H802" s="94"/>
      <c r="I802" s="94"/>
      <c r="J802" s="94"/>
      <c r="K802" s="94"/>
      <c r="L802" s="94"/>
      <c r="M802" s="94"/>
      <c r="N802" s="94"/>
      <c r="O802" s="94"/>
      <c r="P802" s="94"/>
      <c r="Q802" s="94"/>
      <c r="R802" s="94"/>
      <c r="S802" s="94"/>
      <c r="T802" s="94"/>
      <c r="U802" s="94"/>
      <c r="V802" s="94"/>
      <c r="W802" s="94"/>
      <c r="X802" s="94"/>
      <c r="Y802" s="94"/>
      <c r="Z802" s="94"/>
      <c r="AA802" s="94"/>
      <c r="AB802" s="3324">
        <f>+AB792-AB800</f>
        <v>-2448304198.4745</v>
      </c>
      <c r="AC802" s="3324"/>
      <c r="AD802" s="3324"/>
      <c r="AE802" s="3324"/>
      <c r="AF802" s="3324"/>
      <c r="AG802" s="3324"/>
      <c r="AH802" s="3324"/>
      <c r="AI802" s="3464"/>
      <c r="AJ802" s="3324">
        <f>+AJ792-AJ800</f>
        <v>-725360124.574398</v>
      </c>
      <c r="AK802" s="3324"/>
      <c r="AL802" s="3324"/>
      <c r="AM802" s="3324"/>
      <c r="AN802" s="3324"/>
      <c r="AO802" s="3324"/>
      <c r="AP802" s="3324"/>
      <c r="AQ802" s="3378">
        <f>+AQ792-AQ800</f>
        <v>-677694320</v>
      </c>
      <c r="AR802" s="3378"/>
      <c r="AS802" s="3378"/>
      <c r="AT802" s="3378"/>
      <c r="AU802" s="3378"/>
      <c r="AV802" s="3378"/>
      <c r="AW802" s="2433"/>
    </row>
    <row r="803" ht="15" customHeight="1" spans="1:42">
      <c r="A803" s="64"/>
      <c r="B803" s="64"/>
      <c r="C803" s="3528"/>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3"/>
      <c r="AC803" s="3"/>
      <c r="AD803" s="3"/>
      <c r="AE803" s="3"/>
      <c r="AF803" s="3"/>
      <c r="AG803" s="3"/>
      <c r="AH803" s="3"/>
      <c r="AI803" s="3326"/>
      <c r="AJ803" s="3"/>
      <c r="AK803" s="3"/>
      <c r="AL803" s="3"/>
      <c r="AM803" s="3"/>
      <c r="AN803" s="3"/>
      <c r="AO803" s="3"/>
      <c r="AP803" s="3"/>
    </row>
    <row r="804" customHeight="1" spans="1:41">
      <c r="A804" s="3335">
        <f>+A786+1</f>
        <v>21</v>
      </c>
      <c r="B804" s="64"/>
      <c r="C804" s="3322" t="s">
        <v>2056</v>
      </c>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c r="AG804" s="64"/>
      <c r="AH804" s="64"/>
      <c r="AI804" s="3326"/>
      <c r="AJ804" s="3326"/>
      <c r="AN804" s="3326"/>
      <c r="AO804" s="3326"/>
    </row>
    <row r="805" ht="9.2" customHeight="1" spans="1:41">
      <c r="A805" s="3340"/>
      <c r="B805" s="64"/>
      <c r="C805" s="3322"/>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c r="AG805" s="64"/>
      <c r="AH805" s="64"/>
      <c r="AI805" s="3326"/>
      <c r="AJ805" s="3326"/>
      <c r="AN805" s="3326"/>
      <c r="AO805" s="3326"/>
    </row>
    <row r="806" ht="24" customHeight="1" spans="1:42">
      <c r="A806" s="3340"/>
      <c r="B806" s="64"/>
      <c r="C806" s="5036" t="s">
        <v>2057</v>
      </c>
      <c r="D806" s="3341"/>
      <c r="E806" s="3341"/>
      <c r="F806" s="3341"/>
      <c r="G806" s="3341"/>
      <c r="H806" s="3341"/>
      <c r="I806" s="3341"/>
      <c r="J806" s="3341"/>
      <c r="K806" s="3341"/>
      <c r="L806" s="3341"/>
      <c r="M806" s="3341"/>
      <c r="N806" s="3341"/>
      <c r="O806" s="3341"/>
      <c r="P806" s="3341"/>
      <c r="Q806" s="3341"/>
      <c r="R806" s="3341"/>
      <c r="S806" s="3341"/>
      <c r="T806" s="3341"/>
      <c r="U806" s="3341"/>
      <c r="V806" s="3341"/>
      <c r="W806" s="3341"/>
      <c r="X806" s="3341"/>
      <c r="Y806" s="3341"/>
      <c r="Z806" s="3341"/>
      <c r="AA806" s="3341"/>
      <c r="AB806" s="3341"/>
      <c r="AC806" s="3341"/>
      <c r="AD806" s="3341"/>
      <c r="AE806" s="3341"/>
      <c r="AF806" s="3341"/>
      <c r="AG806" s="3341"/>
      <c r="AH806" s="3341"/>
      <c r="AI806" s="3341"/>
      <c r="AJ806" s="3341"/>
      <c r="AK806" s="3341"/>
      <c r="AL806" s="3341"/>
      <c r="AM806" s="3341"/>
      <c r="AN806" s="3341"/>
      <c r="AO806" s="3341"/>
      <c r="AP806" s="3341"/>
    </row>
    <row r="807" ht="9.2" customHeight="1" spans="1:41">
      <c r="A807" s="64"/>
      <c r="B807" s="64"/>
      <c r="C807" s="64"/>
      <c r="D807" s="64"/>
      <c r="E807" s="64"/>
      <c r="F807" s="3341"/>
      <c r="G807" s="3341"/>
      <c r="H807" s="3341"/>
      <c r="I807" s="3341"/>
      <c r="J807" s="3341"/>
      <c r="K807" s="3341"/>
      <c r="L807" s="3341"/>
      <c r="M807" s="3341"/>
      <c r="N807" s="3341"/>
      <c r="O807" s="3341"/>
      <c r="P807" s="64"/>
      <c r="Q807" s="64"/>
      <c r="R807" s="64"/>
      <c r="S807" s="64"/>
      <c r="T807" s="64"/>
      <c r="U807" s="64"/>
      <c r="V807" s="64"/>
      <c r="W807" s="64"/>
      <c r="X807" s="64"/>
      <c r="Y807" s="64"/>
      <c r="Z807" s="64"/>
      <c r="AA807" s="64"/>
      <c r="AB807" s="64"/>
      <c r="AC807" s="64"/>
      <c r="AD807" s="64"/>
      <c r="AE807" s="64"/>
      <c r="AF807" s="64"/>
      <c r="AG807" s="64"/>
      <c r="AH807" s="64"/>
      <c r="AI807" s="3326"/>
      <c r="AJ807" s="3326"/>
      <c r="AN807" s="3326"/>
      <c r="AO807" s="3326"/>
    </row>
    <row r="808" customHeight="1" spans="1:42">
      <c r="A808" s="64"/>
      <c r="B808" s="64"/>
      <c r="C808" s="3317" t="s">
        <v>2058</v>
      </c>
      <c r="D808" s="3317"/>
      <c r="E808" s="3317"/>
      <c r="F808" s="3317"/>
      <c r="G808" s="3317"/>
      <c r="H808" s="3317"/>
      <c r="I808" s="3317"/>
      <c r="J808" s="3317"/>
      <c r="K808" s="3317"/>
      <c r="L808" s="3317"/>
      <c r="M808" s="3317"/>
      <c r="N808" s="3317"/>
      <c r="O808" s="3341"/>
      <c r="P808" s="3317" t="s">
        <v>2059</v>
      </c>
      <c r="Q808" s="3317"/>
      <c r="R808" s="3317"/>
      <c r="S808" s="3317"/>
      <c r="T808" s="3317"/>
      <c r="U808" s="3317"/>
      <c r="V808" s="3317"/>
      <c r="W808" s="3317"/>
      <c r="X808" s="3317"/>
      <c r="Y808" s="3317"/>
      <c r="Z808" s="3317"/>
      <c r="AA808" s="3317"/>
      <c r="AB808" s="3317"/>
      <c r="AD808" s="3317" t="s">
        <v>2060</v>
      </c>
      <c r="AE808" s="3317"/>
      <c r="AF808" s="3317"/>
      <c r="AG808" s="3317"/>
      <c r="AH808" s="3317"/>
      <c r="AI808" s="3317"/>
      <c r="AJ808" s="3317"/>
      <c r="AK808" s="3317"/>
      <c r="AL808" s="3317"/>
      <c r="AM808" s="3317"/>
      <c r="AN808" s="3317"/>
      <c r="AO808" s="3317"/>
      <c r="AP808" s="3317"/>
    </row>
    <row r="809" customHeight="1" spans="1:42">
      <c r="A809" s="64"/>
      <c r="B809" s="64"/>
      <c r="C809" t="s">
        <v>2061</v>
      </c>
      <c r="D809" s="64"/>
      <c r="E809" s="64"/>
      <c r="F809" s="3341"/>
      <c r="G809" s="3341"/>
      <c r="H809" s="3341"/>
      <c r="I809" s="3341"/>
      <c r="J809" s="3341"/>
      <c r="K809" s="3341"/>
      <c r="L809" s="3341"/>
      <c r="M809" s="3341"/>
      <c r="N809" s="3341"/>
      <c r="O809" s="3341"/>
      <c r="P809" t="s">
        <v>395</v>
      </c>
      <c r="R809" s="64"/>
      <c r="S809" s="64"/>
      <c r="T809" s="64"/>
      <c r="U809" s="64"/>
      <c r="V809" s="64"/>
      <c r="W809" s="64"/>
      <c r="X809" s="64"/>
      <c r="Y809" s="64"/>
      <c r="Z809" s="64"/>
      <c r="AA809" s="64"/>
      <c r="AD809" s="2542" t="s">
        <v>2062</v>
      </c>
      <c r="AE809" s="2542"/>
      <c r="AF809" s="2542"/>
      <c r="AG809" s="2542"/>
      <c r="AH809" s="2542"/>
      <c r="AI809" s="2542"/>
      <c r="AJ809" s="2542"/>
      <c r="AK809" s="2542"/>
      <c r="AL809" s="2542"/>
      <c r="AM809" s="2542"/>
      <c r="AN809" s="2542"/>
      <c r="AO809" s="2542"/>
      <c r="AP809" s="2542"/>
    </row>
    <row r="810" customHeight="1" spans="1:42">
      <c r="A810" s="64"/>
      <c r="B810" s="64"/>
      <c r="C810" t="str">
        <f>+B!C15</f>
        <v>Pratama Energy Mandiri (PEM), PT </v>
      </c>
      <c r="D810" s="64"/>
      <c r="E810" s="64"/>
      <c r="F810" s="3341"/>
      <c r="G810" s="3341"/>
      <c r="H810" s="3341"/>
      <c r="I810" s="3341"/>
      <c r="J810" s="3341"/>
      <c r="K810" s="3341"/>
      <c r="L810" s="3341"/>
      <c r="M810" s="3341"/>
      <c r="N810" s="3341"/>
      <c r="O810" s="3341"/>
      <c r="P810" t="s">
        <v>395</v>
      </c>
      <c r="R810" s="64"/>
      <c r="S810" s="64"/>
      <c r="T810" s="64"/>
      <c r="U810" s="64"/>
      <c r="V810" s="64"/>
      <c r="W810" s="64"/>
      <c r="X810" s="64"/>
      <c r="Y810" s="64"/>
      <c r="Z810" s="64"/>
      <c r="AA810" s="64"/>
      <c r="AD810" s="2542" t="s">
        <v>2063</v>
      </c>
      <c r="AE810" s="2542"/>
      <c r="AF810" s="2542"/>
      <c r="AG810" s="2542"/>
      <c r="AH810" s="2542"/>
      <c r="AI810" s="2542"/>
      <c r="AJ810" s="2542"/>
      <c r="AK810" s="2542"/>
      <c r="AL810" s="2542"/>
      <c r="AM810" s="2542"/>
      <c r="AN810" s="2542"/>
      <c r="AO810" s="2542"/>
      <c r="AP810" s="2542"/>
    </row>
    <row r="811" ht="9.2" customHeight="1" spans="1:41">
      <c r="A811" s="64"/>
      <c r="B811" s="64"/>
      <c r="C811"/>
      <c r="D811" s="64"/>
      <c r="E811" s="64"/>
      <c r="F811" s="3341"/>
      <c r="G811" s="3341"/>
      <c r="H811" s="3341"/>
      <c r="I811" s="3341"/>
      <c r="J811" s="3341"/>
      <c r="K811" s="3341"/>
      <c r="L811" s="3341"/>
      <c r="M811" s="3341"/>
      <c r="N811" s="3341"/>
      <c r="O811" s="3341"/>
      <c r="P811"/>
      <c r="R811" s="64"/>
      <c r="S811" s="64"/>
      <c r="T811" s="64"/>
      <c r="U811" s="64"/>
      <c r="V811" s="64"/>
      <c r="W811" s="64"/>
      <c r="X811" s="64"/>
      <c r="Y811" s="64"/>
      <c r="Z811" s="64"/>
      <c r="AA811" s="64"/>
      <c r="AD811"/>
      <c r="AE811" s="64"/>
      <c r="AF811" s="64"/>
      <c r="AG811" s="64"/>
      <c r="AH811" s="64"/>
      <c r="AI811" s="3326"/>
      <c r="AJ811" s="3326"/>
      <c r="AN811" s="3326"/>
      <c r="AO811" s="3326"/>
    </row>
    <row r="812" customHeight="1" spans="1:41">
      <c r="A812" s="64"/>
      <c r="B812" s="64"/>
      <c r="C812" s="5044" t="s">
        <v>2064</v>
      </c>
      <c r="D812" s="64"/>
      <c r="E812" s="64"/>
      <c r="F812" s="3341"/>
      <c r="G812" s="3341"/>
      <c r="H812" s="3341"/>
      <c r="I812" s="3341"/>
      <c r="J812" s="3341"/>
      <c r="K812" s="3341"/>
      <c r="L812" s="3341"/>
      <c r="M812" s="3341"/>
      <c r="N812" s="3341"/>
      <c r="O812" s="3341"/>
      <c r="P812" s="64"/>
      <c r="Q812" s="64"/>
      <c r="R812" s="64"/>
      <c r="S812" s="64"/>
      <c r="T812" s="64"/>
      <c r="U812" s="64"/>
      <c r="V812" s="64"/>
      <c r="W812" s="64"/>
      <c r="X812" s="64"/>
      <c r="Y812" s="64"/>
      <c r="Z812" s="64"/>
      <c r="AA812" s="64"/>
      <c r="AB812" s="64"/>
      <c r="AC812" s="64"/>
      <c r="AD812" s="64"/>
      <c r="AE812" s="64"/>
      <c r="AF812" s="64"/>
      <c r="AG812" s="64"/>
      <c r="AH812" s="64"/>
      <c r="AI812" s="3326"/>
      <c r="AJ812" s="3326"/>
      <c r="AN812" s="3326"/>
      <c r="AO812" s="3326"/>
    </row>
    <row r="813" ht="6" customHeight="1" spans="1:41">
      <c r="A813" s="64"/>
      <c r="B813" s="64"/>
      <c r="C813"/>
      <c r="D813" s="64"/>
      <c r="E813" s="64"/>
      <c r="F813" s="3341"/>
      <c r="G813" s="3341"/>
      <c r="H813" s="3341"/>
      <c r="I813" s="3341"/>
      <c r="J813" s="3341"/>
      <c r="K813" s="3341"/>
      <c r="L813" s="3341"/>
      <c r="M813" s="3341"/>
      <c r="N813" s="3341"/>
      <c r="O813" s="3341"/>
      <c r="P813" s="64"/>
      <c r="Q813" s="64"/>
      <c r="R813" s="64"/>
      <c r="S813" s="64"/>
      <c r="T813" s="64"/>
      <c r="U813" s="64"/>
      <c r="V813" s="64"/>
      <c r="W813" s="64"/>
      <c r="X813" s="64"/>
      <c r="Y813" s="64"/>
      <c r="Z813" s="64"/>
      <c r="AA813" s="64"/>
      <c r="AB813" s="64"/>
      <c r="AC813" s="64"/>
      <c r="AD813" s="64"/>
      <c r="AE813" s="64"/>
      <c r="AF813" s="64"/>
      <c r="AG813" s="64"/>
      <c r="AH813" s="64"/>
      <c r="AI813" s="3326"/>
      <c r="AJ813" s="3326"/>
      <c r="AN813" s="3326"/>
      <c r="AO813" s="3326"/>
    </row>
    <row r="814" hidden="1" customHeight="1" spans="1:34">
      <c r="A814" s="3340"/>
      <c r="B814" s="64"/>
      <c r="C814" s="3555" t="s">
        <v>738</v>
      </c>
      <c r="D814" s="3341"/>
      <c r="E814" s="3341"/>
      <c r="F814" s="3341"/>
      <c r="G814" s="3341"/>
      <c r="H814" s="3341"/>
      <c r="I814" s="3341"/>
      <c r="J814" s="3341"/>
      <c r="K814" s="3341"/>
      <c r="L814" s="3341"/>
      <c r="M814" s="3341"/>
      <c r="N814" s="3341"/>
      <c r="O814" s="3341"/>
      <c r="P814" s="3341"/>
      <c r="Q814" s="3341"/>
      <c r="R814" s="3341"/>
      <c r="S814" s="3341"/>
      <c r="T814" s="64"/>
      <c r="U814" s="64"/>
      <c r="V814" s="64"/>
      <c r="W814" s="64"/>
      <c r="X814" s="64"/>
      <c r="Y814" s="64"/>
      <c r="Z814" s="64"/>
      <c r="AA814" s="3341"/>
      <c r="AB814" s="3341"/>
      <c r="AC814" s="3341"/>
      <c r="AD814" s="3341"/>
      <c r="AE814" s="3341"/>
      <c r="AF814" s="3341"/>
      <c r="AG814" s="3341"/>
      <c r="AH814" s="3341"/>
    </row>
    <row r="815" s="3326" customFormat="1" hidden="1" spans="1:49">
      <c r="A815" s="3340"/>
      <c r="B815"/>
      <c r="C815" s="2069" t="s">
        <v>171</v>
      </c>
      <c r="D815" s="3339"/>
      <c r="E815" s="3339"/>
      <c r="F815" s="3339"/>
      <c r="G815" s="3339"/>
      <c r="H815" s="3339"/>
      <c r="I815" s="3339"/>
      <c r="J815" s="3339"/>
      <c r="K815" s="3339"/>
      <c r="L815" s="3339"/>
      <c r="M815" s="3339"/>
      <c r="N815" s="3339"/>
      <c r="O815" s="3339"/>
      <c r="P815" s="3339"/>
      <c r="Q815" s="3339"/>
      <c r="R815" s="3339"/>
      <c r="S815" s="3339"/>
      <c r="T815" s="64"/>
      <c r="U815" s="64"/>
      <c r="V815" s="64"/>
      <c r="W815" s="64"/>
      <c r="X815" s="64"/>
      <c r="Y815" s="64"/>
      <c r="Z815" s="64"/>
      <c r="AA815" s="3339"/>
      <c r="AB815" s="93">
        <v>0</v>
      </c>
      <c r="AC815" s="93"/>
      <c r="AD815" s="93"/>
      <c r="AE815" s="93"/>
      <c r="AF815" s="93"/>
      <c r="AG815" s="93"/>
      <c r="AH815" s="93"/>
      <c r="AI815"/>
      <c r="AJ815" s="93">
        <v>0</v>
      </c>
      <c r="AK815" s="93"/>
      <c r="AL815" s="93"/>
      <c r="AM815" s="93"/>
      <c r="AN815" s="93"/>
      <c r="AO815" s="93"/>
      <c r="AP815" s="93"/>
      <c r="AR815" s="3331"/>
      <c r="AW815" s="3325"/>
    </row>
    <row r="816" customHeight="1" spans="1:49">
      <c r="A816" s="64"/>
      <c r="B816" s="64"/>
      <c r="C816" s="3530" t="s">
        <v>783</v>
      </c>
      <c r="D816" s="64"/>
      <c r="E816" s="64"/>
      <c r="F816" s="3341"/>
      <c r="G816" s="3341"/>
      <c r="H816" s="3341"/>
      <c r="I816" s="3341"/>
      <c r="J816" s="3341"/>
      <c r="K816" s="3341"/>
      <c r="L816" s="3341"/>
      <c r="M816" s="3341"/>
      <c r="N816" s="3341"/>
      <c r="O816" s="3341"/>
      <c r="P816" s="64"/>
      <c r="Q816" s="64"/>
      <c r="R816" s="64"/>
      <c r="S816" s="64"/>
      <c r="T816" s="64"/>
      <c r="U816" s="64"/>
      <c r="V816" s="64"/>
      <c r="W816" s="64"/>
      <c r="X816" s="64"/>
      <c r="Y816" s="64"/>
      <c r="Z816" s="64"/>
      <c r="AA816" s="64"/>
      <c r="AB816" s="3359">
        <f>+AB786</f>
        <v>2022</v>
      </c>
      <c r="AC816" s="3360"/>
      <c r="AD816" s="3360"/>
      <c r="AE816" s="3360"/>
      <c r="AF816" s="3360"/>
      <c r="AG816" s="3360"/>
      <c r="AH816" s="3360"/>
      <c r="AJ816" s="3359">
        <f>+AJ786</f>
        <v>2021</v>
      </c>
      <c r="AK816" s="3360"/>
      <c r="AL816" s="3360"/>
      <c r="AM816" s="3360"/>
      <c r="AN816" s="3360"/>
      <c r="AO816" s="3360"/>
      <c r="AP816" s="3360"/>
      <c r="AQ816" s="3549">
        <f>+AQ786</f>
        <v>2020</v>
      </c>
      <c r="AR816" s="3549"/>
      <c r="AS816" s="3549"/>
      <c r="AT816" s="3549"/>
      <c r="AU816" s="3549"/>
      <c r="AV816" s="3549"/>
      <c r="AW816" s="3551"/>
    </row>
    <row r="817" customHeight="1" spans="1:49">
      <c r="A817" s="64"/>
      <c r="B817" s="64"/>
      <c r="C817" s="3337" t="str">
        <f>+C810</f>
        <v>Pratama Energy Mandiri (PEM), PT </v>
      </c>
      <c r="D817" s="3337"/>
      <c r="E817" s="3337"/>
      <c r="F817" s="64"/>
      <c r="G817" s="64"/>
      <c r="H817" s="64"/>
      <c r="I817" s="64"/>
      <c r="J817" s="64"/>
      <c r="K817" s="64"/>
      <c r="L817" s="64"/>
      <c r="M817" s="64"/>
      <c r="N817" s="64"/>
      <c r="O817" s="64"/>
      <c r="P817" s="64"/>
      <c r="Q817" s="64"/>
      <c r="R817" s="64"/>
      <c r="S817" s="64"/>
      <c r="T817" s="3345"/>
      <c r="U817" s="3345"/>
      <c r="V817" s="3345"/>
      <c r="W817" s="3345"/>
      <c r="X817" s="3345"/>
      <c r="Y817" s="3345"/>
      <c r="Z817" s="3345"/>
      <c r="AA817" s="3345"/>
      <c r="AB817" s="3345">
        <f>+AB98</f>
        <v>0</v>
      </c>
      <c r="AC817" s="3345"/>
      <c r="AD817" s="3345"/>
      <c r="AE817" s="3345"/>
      <c r="AF817" s="3345"/>
      <c r="AG817" s="3345"/>
      <c r="AH817" s="3345"/>
      <c r="AJ817" s="3345">
        <f>+AJ98</f>
        <v>1000000000</v>
      </c>
      <c r="AK817" s="3345"/>
      <c r="AL817" s="3345"/>
      <c r="AM817" s="3345"/>
      <c r="AN817" s="3345"/>
      <c r="AO817" s="3345"/>
      <c r="AP817" s="3345"/>
      <c r="AQ817" s="3345">
        <v>13924763540</v>
      </c>
      <c r="AR817" s="3345"/>
      <c r="AS817" s="3345"/>
      <c r="AT817" s="3345"/>
      <c r="AU817" s="3345"/>
      <c r="AV817" s="3345"/>
      <c r="AW817" s="3356"/>
    </row>
    <row r="818" customHeight="1" spans="1:49">
      <c r="A818" s="64"/>
      <c r="B818" s="64"/>
      <c r="C818" s="3337" t="str">
        <f>+C809</f>
        <v>Pesona Alam Sentosa (PAS), PT </v>
      </c>
      <c r="D818" s="64"/>
      <c r="E818" s="64"/>
      <c r="F818" s="3341"/>
      <c r="G818" s="3341"/>
      <c r="H818" s="3341"/>
      <c r="I818" s="3341"/>
      <c r="J818" s="3341"/>
      <c r="K818" s="3341"/>
      <c r="L818" s="3341"/>
      <c r="M818" s="3341"/>
      <c r="N818" s="3341"/>
      <c r="O818" s="3341"/>
      <c r="P818" s="64"/>
      <c r="Q818" s="64"/>
      <c r="R818" s="64"/>
      <c r="S818" s="64"/>
      <c r="T818" s="64"/>
      <c r="U818" s="64"/>
      <c r="V818" s="64"/>
      <c r="W818" s="64"/>
      <c r="X818" s="64"/>
      <c r="Y818" s="64"/>
      <c r="Z818" s="64"/>
      <c r="AA818" s="64"/>
      <c r="AB818" s="3345">
        <f>+AB99</f>
        <v>0</v>
      </c>
      <c r="AC818" s="3345"/>
      <c r="AD818" s="3345"/>
      <c r="AE818" s="3345"/>
      <c r="AF818" s="3345"/>
      <c r="AG818" s="3345"/>
      <c r="AH818" s="3345"/>
      <c r="AI818" s="3326"/>
      <c r="AJ818" s="3345">
        <f>+AJ99</f>
        <v>114400000</v>
      </c>
      <c r="AK818" s="3345"/>
      <c r="AL818" s="3345"/>
      <c r="AM818" s="3345"/>
      <c r="AN818" s="3345"/>
      <c r="AO818" s="3345"/>
      <c r="AP818" s="3345"/>
      <c r="AQ818" s="3345">
        <v>492000000</v>
      </c>
      <c r="AR818" s="3345"/>
      <c r="AS818" s="3345"/>
      <c r="AT818" s="3345"/>
      <c r="AU818" s="3345"/>
      <c r="AV818" s="3345"/>
      <c r="AW818" s="3356"/>
    </row>
    <row r="819" ht="5.25" customHeight="1" spans="1:49">
      <c r="A819" s="64"/>
      <c r="B819" s="64"/>
      <c r="C819" s="3337"/>
      <c r="D819" s="64"/>
      <c r="E819" s="64"/>
      <c r="F819" s="3341"/>
      <c r="G819" s="3341"/>
      <c r="H819" s="3341"/>
      <c r="I819" s="3341"/>
      <c r="J819" s="3341"/>
      <c r="K819" s="3341"/>
      <c r="L819" s="3341"/>
      <c r="M819" s="3341"/>
      <c r="N819" s="3341"/>
      <c r="O819" s="3341"/>
      <c r="P819" s="64"/>
      <c r="Q819" s="64"/>
      <c r="R819" s="64"/>
      <c r="S819" s="64"/>
      <c r="T819" s="64"/>
      <c r="U819" s="64"/>
      <c r="V819" s="64"/>
      <c r="W819" s="64"/>
      <c r="X819" s="64"/>
      <c r="Y819" s="64"/>
      <c r="Z819" s="64"/>
      <c r="AA819" s="64"/>
      <c r="AB819" s="3345"/>
      <c r="AC819" s="3345"/>
      <c r="AD819" s="3345"/>
      <c r="AE819" s="3345"/>
      <c r="AF819" s="3345"/>
      <c r="AG819" s="3345"/>
      <c r="AH819" s="3345"/>
      <c r="AI819" s="3326"/>
      <c r="AJ819" s="3345"/>
      <c r="AK819" s="3345"/>
      <c r="AL819" s="3345"/>
      <c r="AM819" s="3345"/>
      <c r="AN819" s="3345"/>
      <c r="AO819" s="3345"/>
      <c r="AP819" s="3345"/>
      <c r="AQ819" s="3345"/>
      <c r="AR819" s="3345"/>
      <c r="AS819" s="3345"/>
      <c r="AT819" s="3345"/>
      <c r="AU819" s="3345"/>
      <c r="AV819" s="3345"/>
      <c r="AW819" s="3356"/>
    </row>
    <row r="820" customHeight="1" spans="1:49">
      <c r="A820" s="64"/>
      <c r="B820" s="64"/>
      <c r="C820" s="3337" t="s">
        <v>151</v>
      </c>
      <c r="D820" s="64"/>
      <c r="E820" s="64"/>
      <c r="F820" s="3341"/>
      <c r="G820" s="3341"/>
      <c r="H820" s="3341"/>
      <c r="I820" s="3341"/>
      <c r="J820" s="3341"/>
      <c r="K820" s="3341"/>
      <c r="L820" s="3341"/>
      <c r="M820" s="3341"/>
      <c r="N820" s="3341"/>
      <c r="O820" s="3341"/>
      <c r="P820" s="64"/>
      <c r="Q820" s="64"/>
      <c r="R820" s="64"/>
      <c r="S820" s="64"/>
      <c r="T820" s="64"/>
      <c r="U820" s="64"/>
      <c r="V820" s="64"/>
      <c r="W820" s="64"/>
      <c r="X820" s="64"/>
      <c r="Y820" s="64"/>
      <c r="Z820" s="64"/>
      <c r="AA820" s="64"/>
      <c r="AB820" s="3558">
        <f>SUM(AB817:AH819)</f>
        <v>0</v>
      </c>
      <c r="AC820" s="3558"/>
      <c r="AD820" s="3558"/>
      <c r="AE820" s="3558"/>
      <c r="AF820" s="3558"/>
      <c r="AG820" s="3558"/>
      <c r="AH820" s="3558"/>
      <c r="AI820" s="3464"/>
      <c r="AJ820" s="3558">
        <f>SUM(AJ817:AP819)</f>
        <v>1114400000</v>
      </c>
      <c r="AK820" s="3558"/>
      <c r="AL820" s="3558"/>
      <c r="AM820" s="3558"/>
      <c r="AN820" s="3558"/>
      <c r="AO820" s="3558"/>
      <c r="AP820" s="3558"/>
      <c r="AQ820" s="3563">
        <f>SUM(AQ817:AW819)</f>
        <v>14416763540</v>
      </c>
      <c r="AR820" s="3563"/>
      <c r="AS820" s="3563"/>
      <c r="AT820" s="3563"/>
      <c r="AU820" s="3563"/>
      <c r="AV820" s="3563"/>
      <c r="AW820" s="3356"/>
    </row>
    <row r="821" ht="7.35" customHeight="1" spans="1:41">
      <c r="A821" s="64"/>
      <c r="B821" s="64"/>
      <c r="C821" s="64"/>
      <c r="D821" s="64"/>
      <c r="E821" s="64"/>
      <c r="F821" s="3341"/>
      <c r="G821" s="3341"/>
      <c r="H821" s="3341"/>
      <c r="I821" s="3341"/>
      <c r="J821" s="3341"/>
      <c r="K821" s="3341"/>
      <c r="L821" s="3341"/>
      <c r="M821" s="3341"/>
      <c r="N821" s="3341"/>
      <c r="O821" s="3341"/>
      <c r="P821" s="64"/>
      <c r="Q821" s="64"/>
      <c r="R821" s="64"/>
      <c r="S821" s="64"/>
      <c r="T821" s="64"/>
      <c r="U821" s="64"/>
      <c r="V821" s="64"/>
      <c r="W821" s="64"/>
      <c r="X821" s="64"/>
      <c r="Y821" s="64"/>
      <c r="Z821" s="64"/>
      <c r="AA821" s="64"/>
      <c r="AB821" s="64"/>
      <c r="AC821" s="64"/>
      <c r="AD821" s="64"/>
      <c r="AE821" s="64"/>
      <c r="AF821" s="64"/>
      <c r="AG821" s="64"/>
      <c r="AH821" s="64"/>
      <c r="AI821" s="3326"/>
      <c r="AJ821" s="3326"/>
      <c r="AN821" s="3326"/>
      <c r="AO821" s="3326"/>
    </row>
    <row r="822" ht="7.35" customHeight="1" spans="1:41">
      <c r="A822" s="64"/>
      <c r="B822" s="64"/>
      <c r="C822" s="64"/>
      <c r="D822" s="64"/>
      <c r="E822" s="64"/>
      <c r="F822" s="3341"/>
      <c r="G822" s="3341"/>
      <c r="H822" s="3341"/>
      <c r="I822" s="3341"/>
      <c r="J822" s="3341"/>
      <c r="K822" s="3341"/>
      <c r="L822" s="3341"/>
      <c r="M822" s="3341"/>
      <c r="N822" s="3341"/>
      <c r="O822" s="3341"/>
      <c r="P822" s="64"/>
      <c r="Q822" s="64"/>
      <c r="R822" s="64"/>
      <c r="S822" s="64"/>
      <c r="T822" s="64"/>
      <c r="U822" s="64"/>
      <c r="V822" s="64"/>
      <c r="W822" s="64"/>
      <c r="X822" s="64"/>
      <c r="Y822" s="64"/>
      <c r="Z822" s="64"/>
      <c r="AA822" s="64"/>
      <c r="AB822" s="64"/>
      <c r="AC822" s="64"/>
      <c r="AD822" s="64"/>
      <c r="AE822" s="64"/>
      <c r="AF822" s="64"/>
      <c r="AG822" s="64"/>
      <c r="AH822" s="64"/>
      <c r="AI822" s="3326"/>
      <c r="AJ822" s="3326"/>
      <c r="AN822" s="3326"/>
      <c r="AO822" s="3326"/>
    </row>
    <row r="823" hidden="1" customHeight="1" outlineLevel="1" spans="1:41">
      <c r="A823" s="3335">
        <f>+A804+1</f>
        <v>22</v>
      </c>
      <c r="B823" s="64"/>
      <c r="C823" s="3322" t="s">
        <v>2065</v>
      </c>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c r="AG823" s="64"/>
      <c r="AH823" s="64"/>
      <c r="AI823" s="3326"/>
      <c r="AJ823" s="3326"/>
      <c r="AN823" s="3326"/>
      <c r="AO823" s="3326"/>
    </row>
    <row r="824" hidden="1" customHeight="1" outlineLevel="1" spans="1:41">
      <c r="A824" s="3340"/>
      <c r="B824" s="64"/>
      <c r="C824" s="3322"/>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c r="AG824" s="64"/>
      <c r="AH824" s="64"/>
      <c r="AI824" s="3326"/>
      <c r="AJ824" s="3326"/>
      <c r="AN824" s="3326"/>
      <c r="AO824" s="3326"/>
    </row>
    <row r="825" ht="24" hidden="1" customHeight="1" outlineLevel="1" spans="1:42">
      <c r="A825" s="3340"/>
      <c r="B825" s="64"/>
      <c r="C825" s="5036" t="s">
        <v>2066</v>
      </c>
      <c r="D825" s="3341"/>
      <c r="E825" s="3341"/>
      <c r="F825" s="3341"/>
      <c r="G825" s="3341"/>
      <c r="H825" s="3341"/>
      <c r="I825" s="3341"/>
      <c r="J825" s="3341"/>
      <c r="K825" s="3341"/>
      <c r="L825" s="3341"/>
      <c r="M825" s="3341"/>
      <c r="N825" s="3341"/>
      <c r="O825" s="3341"/>
      <c r="P825" s="3341"/>
      <c r="Q825" s="3341"/>
      <c r="R825" s="3341"/>
      <c r="S825" s="3341"/>
      <c r="T825" s="3341"/>
      <c r="U825" s="3341"/>
      <c r="V825" s="3341"/>
      <c r="W825" s="3341"/>
      <c r="X825" s="3341"/>
      <c r="Y825" s="3341"/>
      <c r="Z825" s="3341"/>
      <c r="AA825" s="3341"/>
      <c r="AB825" s="3341"/>
      <c r="AC825" s="3341"/>
      <c r="AD825" s="3341"/>
      <c r="AE825" s="3341"/>
      <c r="AF825" s="3341"/>
      <c r="AG825" s="3341"/>
      <c r="AH825" s="3341"/>
      <c r="AI825" s="3341"/>
      <c r="AJ825" s="3341"/>
      <c r="AK825" s="3341"/>
      <c r="AL825" s="3341"/>
      <c r="AM825" s="3341"/>
      <c r="AN825" s="3341"/>
      <c r="AO825" s="3341"/>
      <c r="AP825" s="3341"/>
    </row>
    <row r="826" ht="8.25" hidden="1" customHeight="1" outlineLevel="1" spans="1:41">
      <c r="A826" s="64"/>
      <c r="B826" s="64"/>
      <c r="C826" s="64"/>
      <c r="D826" s="64"/>
      <c r="E826" s="64"/>
      <c r="F826" s="3341"/>
      <c r="G826" s="3341"/>
      <c r="H826" s="3341"/>
      <c r="I826" s="3341"/>
      <c r="J826" s="3341"/>
      <c r="K826" s="3341"/>
      <c r="L826" s="3341"/>
      <c r="M826" s="3341"/>
      <c r="N826" s="3341"/>
      <c r="O826" s="3341"/>
      <c r="P826" s="64"/>
      <c r="Q826" s="64"/>
      <c r="R826" s="64"/>
      <c r="S826" s="64"/>
      <c r="T826" s="64"/>
      <c r="U826" s="64"/>
      <c r="V826" s="64"/>
      <c r="W826" s="64"/>
      <c r="X826" s="64"/>
      <c r="Y826" s="64"/>
      <c r="Z826" s="64"/>
      <c r="AA826" s="64"/>
      <c r="AB826" s="64"/>
      <c r="AC826" s="64"/>
      <c r="AD826" s="64"/>
      <c r="AE826" s="64"/>
      <c r="AF826" s="64"/>
      <c r="AG826" s="64"/>
      <c r="AH826" s="64"/>
      <c r="AI826" s="3326"/>
      <c r="AJ826" s="3326"/>
      <c r="AN826" s="3326"/>
      <c r="AO826" s="3326"/>
    </row>
    <row r="827" hidden="1" customHeight="1" outlineLevel="1" spans="1:42">
      <c r="A827" s="64"/>
      <c r="B827" s="64"/>
      <c r="C827" s="64"/>
      <c r="D827" s="64"/>
      <c r="E827" s="64"/>
      <c r="F827" s="64"/>
      <c r="G827" s="64"/>
      <c r="H827" s="64"/>
      <c r="I827" s="64"/>
      <c r="J827" s="64"/>
      <c r="K827" s="64"/>
      <c r="L827" s="64"/>
      <c r="M827" s="64"/>
      <c r="N827" s="64"/>
      <c r="O827" s="64"/>
      <c r="P827" s="64"/>
      <c r="Q827" s="64"/>
      <c r="R827" s="64"/>
      <c r="S827" s="64"/>
      <c r="T827" s="16"/>
      <c r="U827" s="16"/>
      <c r="V827" s="16"/>
      <c r="W827" s="16"/>
      <c r="X827" s="16"/>
      <c r="Y827" s="16"/>
      <c r="Z827" s="16"/>
      <c r="AA827" s="64"/>
      <c r="AB827" s="3397">
        <f>+AJ816</f>
        <v>2021</v>
      </c>
      <c r="AC827" s="3370"/>
      <c r="AD827" s="3370"/>
      <c r="AE827" s="3370"/>
      <c r="AF827" s="3370"/>
      <c r="AG827" s="3370"/>
      <c r="AH827" s="3370"/>
      <c r="AI827" s="3326"/>
      <c r="AJ827" s="3397">
        <f>+AQ816</f>
        <v>2020</v>
      </c>
      <c r="AK827" s="3370"/>
      <c r="AL827" s="3370"/>
      <c r="AM827" s="3370"/>
      <c r="AN827" s="3370"/>
      <c r="AO827" s="3370"/>
      <c r="AP827" s="3370"/>
    </row>
    <row r="828" hidden="1" customHeight="1" outlineLevel="1" spans="1:42">
      <c r="A828" s="64"/>
      <c r="B828" s="64"/>
      <c r="C828" s="3322" t="s">
        <v>2067</v>
      </c>
      <c r="D828" s="64"/>
      <c r="E828" s="64"/>
      <c r="F828" s="64"/>
      <c r="G828" s="64"/>
      <c r="H828" s="64"/>
      <c r="I828" s="64"/>
      <c r="J828" s="64"/>
      <c r="K828" s="64"/>
      <c r="L828" s="64"/>
      <c r="M828" s="64"/>
      <c r="N828" s="64"/>
      <c r="O828" s="64"/>
      <c r="P828" s="64"/>
      <c r="Q828" s="64"/>
      <c r="R828" s="64"/>
      <c r="S828" s="3067"/>
      <c r="T828" s="3067"/>
      <c r="U828" s="3067"/>
      <c r="V828" s="3067"/>
      <c r="W828" s="3067"/>
      <c r="X828" s="3067"/>
      <c r="Y828" s="3067"/>
      <c r="Z828" s="3067"/>
      <c r="AA828" s="3067"/>
      <c r="AB828" s="3559"/>
      <c r="AC828" s="3559"/>
      <c r="AD828" s="3559"/>
      <c r="AE828" s="3559"/>
      <c r="AF828" s="3559"/>
      <c r="AG828" s="3559"/>
      <c r="AH828" s="3559"/>
      <c r="AI828" s="3326"/>
      <c r="AJ828" s="3559"/>
      <c r="AK828" s="3559"/>
      <c r="AL828" s="3559"/>
      <c r="AM828" s="3559"/>
      <c r="AN828" s="3559"/>
      <c r="AO828" s="3559"/>
      <c r="AP828" s="3559"/>
    </row>
    <row r="829" hidden="1" customHeight="1" outlineLevel="1" spans="1:44">
      <c r="A829" s="64"/>
      <c r="B829" s="64"/>
      <c r="C829" s="64" t="s">
        <v>731</v>
      </c>
      <c r="D829" s="64"/>
      <c r="E829" s="64"/>
      <c r="F829" s="64"/>
      <c r="G829" s="64"/>
      <c r="H829" s="64"/>
      <c r="I829" s="64"/>
      <c r="J829" s="64"/>
      <c r="K829" s="64"/>
      <c r="L829" s="64"/>
      <c r="M829" s="64"/>
      <c r="N829" s="64"/>
      <c r="O829" s="64"/>
      <c r="P829" s="64"/>
      <c r="Q829" s="64"/>
      <c r="R829" s="64"/>
      <c r="S829" s="3067"/>
      <c r="T829" s="3067"/>
      <c r="U829" s="3067"/>
      <c r="V829" s="3067"/>
      <c r="W829" s="3067"/>
      <c r="X829" s="3067"/>
      <c r="Y829" s="3067"/>
      <c r="Z829" s="3067"/>
      <c r="AA829" s="3560"/>
      <c r="AB829" s="3560">
        <f>+'F1'!P15</f>
        <v>295686160.08</v>
      </c>
      <c r="AC829" s="3560"/>
      <c r="AD829" s="3560"/>
      <c r="AE829" s="3560"/>
      <c r="AF829" s="3560"/>
      <c r="AG829" s="3560"/>
      <c r="AH829" s="3560"/>
      <c r="AI829" s="3326"/>
      <c r="AJ829" s="3560">
        <f>+'F1'!Q15</f>
        <v>750100447</v>
      </c>
      <c r="AK829" s="3560"/>
      <c r="AL829" s="3560"/>
      <c r="AM829" s="3560"/>
      <c r="AN829" s="3560"/>
      <c r="AO829" s="3560"/>
      <c r="AP829" s="3560"/>
      <c r="AQ829" s="3328"/>
      <c r="AR829" s="3399"/>
    </row>
    <row r="830" hidden="1" customHeight="1" outlineLevel="1" spans="1:42">
      <c r="A830" s="64"/>
      <c r="B830" s="64"/>
      <c r="C830" s="64" t="s">
        <v>733</v>
      </c>
      <c r="D830" s="64"/>
      <c r="E830" s="64"/>
      <c r="F830" s="64"/>
      <c r="G830" s="64"/>
      <c r="H830" s="64"/>
      <c r="I830" s="64"/>
      <c r="J830" s="64"/>
      <c r="K830" s="64"/>
      <c r="L830" s="64"/>
      <c r="M830" s="64"/>
      <c r="N830" s="64"/>
      <c r="O830" s="64"/>
      <c r="P830" s="64"/>
      <c r="Q830" s="64"/>
      <c r="R830" s="64"/>
      <c r="S830" s="3067"/>
      <c r="T830" s="3067"/>
      <c r="U830" s="3067"/>
      <c r="V830" s="3067"/>
      <c r="W830" s="3067"/>
      <c r="X830" s="3067"/>
      <c r="Y830" s="3067"/>
      <c r="Z830" s="3067"/>
      <c r="AA830" s="3560"/>
      <c r="AB830" s="3560">
        <f>AB834+'F1'!P16</f>
        <v>0</v>
      </c>
      <c r="AC830" s="3560"/>
      <c r="AD830" s="3560"/>
      <c r="AE830" s="3560"/>
      <c r="AF830" s="3560"/>
      <c r="AG830" s="3560"/>
      <c r="AH830" s="3560"/>
      <c r="AI830" s="3326"/>
      <c r="AJ830" s="3560">
        <f>+'F1'!Q16</f>
        <v>0</v>
      </c>
      <c r="AK830" s="3560"/>
      <c r="AL830" s="3560"/>
      <c r="AM830" s="3560"/>
      <c r="AN830" s="3560"/>
      <c r="AO830" s="3560"/>
      <c r="AP830" s="3560"/>
    </row>
    <row r="831" ht="8.25" hidden="1" customHeight="1" outlineLevel="1" spans="1:42">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2682"/>
      <c r="AB831" s="2682"/>
      <c r="AC831" s="2682"/>
      <c r="AD831" s="2682"/>
      <c r="AE831" s="2682"/>
      <c r="AF831" s="2682"/>
      <c r="AG831" s="2682"/>
      <c r="AH831" s="2682"/>
      <c r="AI831" s="3326"/>
      <c r="AJ831" s="2682"/>
      <c r="AK831" s="2682"/>
      <c r="AL831" s="2682"/>
      <c r="AM831" s="2682"/>
      <c r="AN831" s="2682"/>
      <c r="AO831" s="2682"/>
      <c r="AP831" s="2682"/>
    </row>
    <row r="832" ht="12.75" hidden="1" outlineLevel="1" spans="1:44">
      <c r="A832" s="64"/>
      <c r="B832" s="64"/>
      <c r="C832" s="94" t="s">
        <v>675</v>
      </c>
      <c r="D832" s="3322"/>
      <c r="E832" s="3322"/>
      <c r="F832" s="64"/>
      <c r="G832" s="64"/>
      <c r="H832" s="64"/>
      <c r="I832" s="64"/>
      <c r="J832" s="64"/>
      <c r="K832" s="64"/>
      <c r="L832" s="64"/>
      <c r="M832" s="64"/>
      <c r="N832" s="64"/>
      <c r="O832" s="64"/>
      <c r="P832" s="3322"/>
      <c r="Q832" s="3322"/>
      <c r="R832" s="3322"/>
      <c r="S832" s="3322"/>
      <c r="T832" s="3450"/>
      <c r="U832" s="3450"/>
      <c r="V832" s="3450"/>
      <c r="W832" s="3450"/>
      <c r="X832" s="3450"/>
      <c r="Y832" s="3450"/>
      <c r="Z832" s="3450"/>
      <c r="AA832" s="3561"/>
      <c r="AB832" s="3442">
        <f>+AB829</f>
        <v>295686160.08</v>
      </c>
      <c r="AC832" s="3442"/>
      <c r="AD832" s="3442"/>
      <c r="AE832" s="3442"/>
      <c r="AF832" s="3442"/>
      <c r="AG832" s="3442"/>
      <c r="AH832" s="3442"/>
      <c r="AI832" s="3326"/>
      <c r="AJ832" s="3442">
        <f>+AJ829</f>
        <v>750100447</v>
      </c>
      <c r="AK832" s="3442"/>
      <c r="AL832" s="3442"/>
      <c r="AM832" s="3442"/>
      <c r="AN832" s="3442"/>
      <c r="AO832" s="3442"/>
      <c r="AP832" s="3442"/>
      <c r="AQ832" s="3328"/>
      <c r="AR832" s="3399"/>
    </row>
    <row r="833" ht="12.95" hidden="1" customHeight="1" outlineLevel="1" spans="1:42">
      <c r="A833" s="64"/>
      <c r="B833" s="64"/>
      <c r="C833" s="2104"/>
      <c r="D833" s="2146"/>
      <c r="E833" s="2146"/>
      <c r="F833" s="2146"/>
      <c r="G833" s="2146"/>
      <c r="H833" s="2146"/>
      <c r="I833" s="2146"/>
      <c r="J833" s="2146"/>
      <c r="K833" s="2146"/>
      <c r="L833" s="2146"/>
      <c r="M833" s="2146"/>
      <c r="N833" s="2146"/>
      <c r="O833" s="2146"/>
      <c r="P833" s="2146"/>
      <c r="Q833" s="2146"/>
      <c r="R833" s="2146"/>
      <c r="S833" s="2146"/>
      <c r="T833" s="2146"/>
      <c r="U833" s="2146"/>
      <c r="V833" s="2146"/>
      <c r="W833" s="2146"/>
      <c r="X833" s="2146"/>
      <c r="Y833" s="2146"/>
      <c r="Z833" s="2146"/>
      <c r="AA833" s="2146"/>
      <c r="AB833" s="2146"/>
      <c r="AC833" s="2146"/>
      <c r="AD833" s="2146"/>
      <c r="AE833" s="2146"/>
      <c r="AF833" s="2146"/>
      <c r="AG833" s="2146"/>
      <c r="AH833" s="2146"/>
      <c r="AI833" s="2146"/>
      <c r="AJ833" s="2146"/>
      <c r="AK833" s="2146"/>
      <c r="AL833" s="2146"/>
      <c r="AM833" s="2146"/>
      <c r="AN833" s="2146"/>
      <c r="AO833" s="2146"/>
      <c r="AP833" s="2146"/>
    </row>
    <row r="834" hidden="1" customHeight="1" outlineLevel="1" spans="1:42">
      <c r="A834" s="64"/>
      <c r="B834" s="64"/>
      <c r="C834" s="3322" t="s">
        <v>2068</v>
      </c>
      <c r="D834" s="64"/>
      <c r="E834" s="64"/>
      <c r="F834" s="3322"/>
      <c r="G834" s="3322"/>
      <c r="H834" s="3322"/>
      <c r="I834" s="3322"/>
      <c r="J834" s="3322"/>
      <c r="K834" s="3322"/>
      <c r="L834" s="3322"/>
      <c r="M834" s="3322"/>
      <c r="N834" s="3322"/>
      <c r="O834" s="3322"/>
      <c r="P834" s="64"/>
      <c r="Q834" s="64"/>
      <c r="R834" s="64"/>
      <c r="S834" s="3067"/>
      <c r="T834" s="3067"/>
      <c r="U834" s="3067"/>
      <c r="V834" s="3067"/>
      <c r="W834" s="3067"/>
      <c r="X834" s="3067"/>
      <c r="Y834" s="3067"/>
      <c r="Z834" s="3067"/>
      <c r="AA834" s="3067"/>
      <c r="AB834" s="3067"/>
      <c r="AC834" s="3067"/>
      <c r="AD834" s="3067"/>
      <c r="AE834" s="3067"/>
      <c r="AF834" s="3067"/>
      <c r="AG834" s="3067"/>
      <c r="AH834" s="3067"/>
      <c r="AI834" s="3326"/>
      <c r="AJ834" s="3067"/>
      <c r="AK834" s="3067"/>
      <c r="AL834" s="3067"/>
      <c r="AM834" s="3067"/>
      <c r="AN834" s="3067"/>
      <c r="AO834" s="3067"/>
      <c r="AP834" s="3067"/>
    </row>
    <row r="835" hidden="1" customHeight="1" outlineLevel="1" spans="1:42">
      <c r="A835" s="64"/>
      <c r="B835" s="64"/>
      <c r="C835" s="3315" t="s">
        <v>769</v>
      </c>
      <c r="D835" s="64"/>
      <c r="E835" s="64"/>
      <c r="F835" s="3322"/>
      <c r="G835" s="3322"/>
      <c r="H835" s="3322"/>
      <c r="I835" s="3322"/>
      <c r="J835" s="3322"/>
      <c r="K835" s="3322"/>
      <c r="L835" s="3322"/>
      <c r="M835" s="3322"/>
      <c r="N835" s="3322"/>
      <c r="O835" s="3322"/>
      <c r="P835" s="64"/>
      <c r="Q835" s="64"/>
      <c r="R835" s="64"/>
      <c r="S835" s="3067"/>
      <c r="T835" s="3067"/>
      <c r="U835" s="3067"/>
      <c r="V835" s="3067"/>
      <c r="W835" s="3067"/>
      <c r="X835" s="3067"/>
      <c r="Y835" s="3067"/>
      <c r="Z835" s="3067"/>
      <c r="AA835" s="3067"/>
      <c r="AB835" s="3560">
        <f>+'F2'!Q16</f>
        <v>869165810</v>
      </c>
      <c r="AC835" s="3560"/>
      <c r="AD835" s="3560"/>
      <c r="AE835" s="3560"/>
      <c r="AF835" s="3560"/>
      <c r="AG835" s="3560"/>
      <c r="AH835" s="3560"/>
      <c r="AI835" s="3326"/>
      <c r="AJ835" s="1979">
        <f>+'F2'!R16</f>
        <v>1840865220</v>
      </c>
      <c r="AK835" s="1979"/>
      <c r="AL835" s="1979"/>
      <c r="AM835" s="1979"/>
      <c r="AN835" s="1979"/>
      <c r="AO835" s="1979"/>
      <c r="AP835" s="1979"/>
    </row>
    <row r="836" hidden="1" customHeight="1" outlineLevel="1" spans="1:42">
      <c r="A836" s="64"/>
      <c r="B836" s="64"/>
      <c r="C836" t="s">
        <v>2069</v>
      </c>
      <c r="D836" s="64"/>
      <c r="E836" s="64"/>
      <c r="F836" s="64"/>
      <c r="G836" s="64"/>
      <c r="H836" s="64"/>
      <c r="I836" s="64"/>
      <c r="J836" s="64"/>
      <c r="K836" s="64"/>
      <c r="L836" s="64"/>
      <c r="M836" s="64"/>
      <c r="N836" s="64"/>
      <c r="O836" s="64"/>
      <c r="P836" s="64"/>
      <c r="Q836" s="64"/>
      <c r="R836" s="64"/>
      <c r="S836" s="3067"/>
      <c r="T836" s="3568"/>
      <c r="U836" s="3568"/>
      <c r="V836" s="3568"/>
      <c r="W836" s="3568"/>
      <c r="X836" s="3568"/>
      <c r="Y836" s="3568"/>
      <c r="Z836" s="3568"/>
      <c r="AA836" s="3570"/>
      <c r="AB836" s="3570">
        <f>SUM('F2'!Q29)</f>
        <v>0</v>
      </c>
      <c r="AC836" s="3570"/>
      <c r="AD836" s="3570"/>
      <c r="AE836" s="3570"/>
      <c r="AF836" s="3570"/>
      <c r="AG836" s="3570"/>
      <c r="AH836" s="3570"/>
      <c r="AI836" s="3326"/>
      <c r="AJ836" s="3570">
        <f>+'F2'!R29</f>
        <v>0</v>
      </c>
      <c r="AK836" s="3570"/>
      <c r="AL836" s="3570"/>
      <c r="AM836" s="3570"/>
      <c r="AN836" s="3570"/>
      <c r="AO836" s="3570"/>
      <c r="AP836" s="3570"/>
    </row>
    <row r="837" ht="6.6" hidden="1" customHeight="1" outlineLevel="1" spans="1:42">
      <c r="A837" s="64"/>
      <c r="B837" s="64"/>
      <c r="C837" s="64"/>
      <c r="D837" s="64"/>
      <c r="E837" s="64"/>
      <c r="F837" s="64"/>
      <c r="G837" s="64"/>
      <c r="H837" s="64"/>
      <c r="I837" s="64"/>
      <c r="J837" s="64"/>
      <c r="K837" s="64"/>
      <c r="L837" s="64"/>
      <c r="M837" s="64"/>
      <c r="N837" s="64"/>
      <c r="O837" s="64"/>
      <c r="P837" s="64"/>
      <c r="Q837" s="64"/>
      <c r="R837" s="64"/>
      <c r="S837" s="64"/>
      <c r="T837" s="3569"/>
      <c r="U837" s="3569"/>
      <c r="V837" s="3569"/>
      <c r="W837" s="3569"/>
      <c r="X837" s="3569"/>
      <c r="Y837" s="3569"/>
      <c r="Z837" s="3569"/>
      <c r="AA837" s="3571"/>
      <c r="AB837" s="3571"/>
      <c r="AC837" s="3571"/>
      <c r="AD837" s="3571"/>
      <c r="AE837" s="3571"/>
      <c r="AF837" s="3571"/>
      <c r="AG837" s="3571"/>
      <c r="AH837" s="3571"/>
      <c r="AI837" s="3326"/>
      <c r="AJ837" s="3571"/>
      <c r="AK837" s="3571"/>
      <c r="AL837" s="3571"/>
      <c r="AM837" s="3571"/>
      <c r="AN837" s="3571"/>
      <c r="AO837" s="3571"/>
      <c r="AP837" s="3571"/>
    </row>
    <row r="838" hidden="1" customHeight="1" outlineLevel="1" spans="1:42">
      <c r="A838" s="64"/>
      <c r="B838" s="64"/>
      <c r="C838" s="94" t="s">
        <v>675</v>
      </c>
      <c r="D838" s="3322"/>
      <c r="E838" s="3322"/>
      <c r="F838" s="64"/>
      <c r="G838" s="64"/>
      <c r="H838" s="64"/>
      <c r="I838" s="64"/>
      <c r="J838" s="64"/>
      <c r="K838" s="64"/>
      <c r="L838" s="64"/>
      <c r="M838" s="64"/>
      <c r="N838" s="64"/>
      <c r="O838" s="64"/>
      <c r="P838" s="3322"/>
      <c r="Q838" s="3322"/>
      <c r="R838" s="3322"/>
      <c r="S838" s="3322"/>
      <c r="T838" s="3450"/>
      <c r="U838" s="3450"/>
      <c r="V838" s="3450"/>
      <c r="W838" s="3450"/>
      <c r="X838" s="3450"/>
      <c r="Y838" s="3450"/>
      <c r="Z838" s="3450"/>
      <c r="AA838" s="3561"/>
      <c r="AB838" s="3442">
        <f>+AB836</f>
        <v>0</v>
      </c>
      <c r="AC838" s="3442"/>
      <c r="AD838" s="3442"/>
      <c r="AE838" s="3442"/>
      <c r="AF838" s="3442"/>
      <c r="AG838" s="3442"/>
      <c r="AH838" s="3442"/>
      <c r="AI838" s="3326"/>
      <c r="AJ838" s="3442">
        <f>+AJ836</f>
        <v>0</v>
      </c>
      <c r="AK838" s="3442"/>
      <c r="AL838" s="3442"/>
      <c r="AM838" s="3442"/>
      <c r="AN838" s="3442"/>
      <c r="AO838" s="3442"/>
      <c r="AP838" s="3442"/>
    </row>
    <row r="839" hidden="1" customHeight="1" outlineLevel="1" spans="1:42">
      <c r="A839" s="64"/>
      <c r="B839" s="64"/>
      <c r="C839" s="94"/>
      <c r="D839" s="3322"/>
      <c r="E839" s="3322"/>
      <c r="F839" s="64"/>
      <c r="G839" s="64"/>
      <c r="H839" s="64"/>
      <c r="I839" s="64"/>
      <c r="J839" s="64"/>
      <c r="K839" s="64"/>
      <c r="L839" s="64"/>
      <c r="M839" s="64"/>
      <c r="N839" s="64"/>
      <c r="O839" s="64"/>
      <c r="P839" s="3322"/>
      <c r="Q839" s="3322"/>
      <c r="R839" s="3322"/>
      <c r="S839" s="3322"/>
      <c r="T839" s="3561"/>
      <c r="U839" s="3561"/>
      <c r="V839" s="3561"/>
      <c r="W839" s="3561"/>
      <c r="X839" s="3561"/>
      <c r="Y839" s="3561"/>
      <c r="Z839" s="3561"/>
      <c r="AA839" s="3561"/>
      <c r="AB839" s="3561"/>
      <c r="AC839" s="3561"/>
      <c r="AD839" s="3561"/>
      <c r="AE839" s="3561"/>
      <c r="AF839" s="3561"/>
      <c r="AG839" s="3561"/>
      <c r="AH839" s="3561"/>
      <c r="AI839" s="3326"/>
      <c r="AJ839" s="3561"/>
      <c r="AK839" s="3561"/>
      <c r="AL839" s="3561"/>
      <c r="AM839" s="3561"/>
      <c r="AN839" s="3561"/>
      <c r="AO839" s="3561"/>
      <c r="AP839" s="3561"/>
    </row>
    <row r="840" ht="27.2" hidden="1" customHeight="1" outlineLevel="1" spans="1:42">
      <c r="A840" s="64"/>
      <c r="B840" s="64"/>
      <c r="C840" s="5059" t="s">
        <v>2070</v>
      </c>
      <c r="D840" s="2146"/>
      <c r="E840" s="2146"/>
      <c r="F840" s="2146"/>
      <c r="G840" s="2146"/>
      <c r="H840" s="2146"/>
      <c r="I840" s="2146"/>
      <c r="J840" s="2146"/>
      <c r="K840" s="2146"/>
      <c r="L840" s="2146"/>
      <c r="M840" s="2146"/>
      <c r="N840" s="2146"/>
      <c r="O840" s="2146"/>
      <c r="P840" s="2146"/>
      <c r="Q840" s="2146"/>
      <c r="R840" s="2146"/>
      <c r="S840" s="2146"/>
      <c r="T840" s="2146"/>
      <c r="U840" s="2146"/>
      <c r="V840" s="2146"/>
      <c r="W840" s="2146"/>
      <c r="X840" s="2146"/>
      <c r="Y840" s="2146"/>
      <c r="Z840" s="2146"/>
      <c r="AA840" s="2146"/>
      <c r="AB840" s="2146"/>
      <c r="AC840" s="2146"/>
      <c r="AD840" s="2146"/>
      <c r="AE840" s="2146"/>
      <c r="AF840" s="2146"/>
      <c r="AG840" s="2146"/>
      <c r="AH840" s="2146"/>
      <c r="AI840" s="2146"/>
      <c r="AJ840" s="2146"/>
      <c r="AK840" s="2146"/>
      <c r="AL840" s="2146"/>
      <c r="AM840" s="2146"/>
      <c r="AN840" s="2146"/>
      <c r="AO840" s="2146"/>
      <c r="AP840" s="2146"/>
    </row>
    <row r="841" ht="12.95" hidden="1" customHeight="1" outlineLevel="1" spans="1:42">
      <c r="A841" s="64"/>
      <c r="B841" s="64"/>
      <c r="C841" s="2104"/>
      <c r="D841" s="2146"/>
      <c r="E841" s="2146"/>
      <c r="F841" s="2146"/>
      <c r="G841" s="2146"/>
      <c r="H841" s="2146"/>
      <c r="I841" s="2146"/>
      <c r="J841" s="2146"/>
      <c r="K841" s="2146"/>
      <c r="L841" s="2146"/>
      <c r="M841" s="2146"/>
      <c r="N841" s="2146"/>
      <c r="O841" s="2146"/>
      <c r="P841" s="2146"/>
      <c r="Q841" s="2146"/>
      <c r="R841" s="2146"/>
      <c r="S841" s="2146"/>
      <c r="T841" s="2146"/>
      <c r="U841" s="2146"/>
      <c r="V841" s="2146"/>
      <c r="W841" s="2146"/>
      <c r="X841" s="2146"/>
      <c r="Y841" s="2146"/>
      <c r="Z841" s="2146"/>
      <c r="AA841" s="2146"/>
      <c r="AB841" s="2146"/>
      <c r="AC841" s="2146"/>
      <c r="AD841" s="2146"/>
      <c r="AE841" s="2146"/>
      <c r="AF841" s="2146"/>
      <c r="AG841" s="2146"/>
      <c r="AH841" s="2146"/>
      <c r="AI841" s="2146"/>
      <c r="AJ841" s="2146"/>
      <c r="AK841" s="2146"/>
      <c r="AL841" s="2146"/>
      <c r="AM841" s="2146"/>
      <c r="AN841" s="2146"/>
      <c r="AO841" s="2146"/>
      <c r="AP841" s="2146"/>
    </row>
    <row r="842" ht="12.95" hidden="1" customHeight="1" outlineLevel="1" spans="1:42">
      <c r="A842" s="64"/>
      <c r="B842" s="64"/>
      <c r="C842" s="2104"/>
      <c r="D842" s="2146"/>
      <c r="E842" s="2146"/>
      <c r="F842" s="2146"/>
      <c r="G842" s="2146"/>
      <c r="H842" s="2146"/>
      <c r="I842" s="2146"/>
      <c r="J842" s="2146"/>
      <c r="K842" s="2146"/>
      <c r="L842" s="2146"/>
      <c r="M842" s="2146"/>
      <c r="N842" s="2146"/>
      <c r="O842" s="2146"/>
      <c r="P842" s="2146"/>
      <c r="Q842" s="2146"/>
      <c r="R842" s="2146"/>
      <c r="S842" s="2146"/>
      <c r="T842" s="2146"/>
      <c r="U842" s="2146"/>
      <c r="V842" s="2146"/>
      <c r="W842" s="2146"/>
      <c r="X842" s="2146"/>
      <c r="Y842" s="2146"/>
      <c r="Z842" s="2146"/>
      <c r="AA842" s="2146"/>
      <c r="AB842" s="2146"/>
      <c r="AC842" s="2146"/>
      <c r="AD842" s="2146"/>
      <c r="AE842" s="2146"/>
      <c r="AF842" s="2146"/>
      <c r="AG842" s="2146"/>
      <c r="AH842" s="2146"/>
      <c r="AI842" s="2146"/>
      <c r="AJ842" s="2146"/>
      <c r="AK842" s="2146"/>
      <c r="AL842" s="2146"/>
      <c r="AM842" s="2146"/>
      <c r="AN842" s="2146"/>
      <c r="AO842" s="2146"/>
      <c r="AP842" s="2146"/>
    </row>
    <row r="843" ht="12.95" hidden="1" customHeight="1" outlineLevel="1" spans="1:42">
      <c r="A843" s="64"/>
      <c r="B843" s="64"/>
      <c r="C843" s="2104"/>
      <c r="D843" s="2146"/>
      <c r="E843" s="2146"/>
      <c r="F843" s="2146"/>
      <c r="G843" s="2146"/>
      <c r="H843" s="2146"/>
      <c r="I843" s="2146"/>
      <c r="J843" s="2146"/>
      <c r="K843" s="2146"/>
      <c r="L843" s="2146"/>
      <c r="M843" s="2146"/>
      <c r="N843" s="2146"/>
      <c r="O843" s="2146"/>
      <c r="P843" s="2146"/>
      <c r="Q843" s="2146"/>
      <c r="R843" s="2146"/>
      <c r="S843" s="2146"/>
      <c r="T843" s="2146"/>
      <c r="U843" s="2146"/>
      <c r="V843" s="2146"/>
      <c r="W843" s="2146"/>
      <c r="X843" s="2146"/>
      <c r="Y843" s="2146"/>
      <c r="Z843" s="2146"/>
      <c r="AA843" s="2146"/>
      <c r="AB843" s="2146"/>
      <c r="AC843" s="2146"/>
      <c r="AD843" s="2146"/>
      <c r="AE843" s="2146"/>
      <c r="AF843" s="2146"/>
      <c r="AG843" s="2146"/>
      <c r="AH843" s="2146"/>
      <c r="AI843" s="2146"/>
      <c r="AJ843" s="2146"/>
      <c r="AK843" s="2146"/>
      <c r="AL843" s="2146"/>
      <c r="AM843" s="2146"/>
      <c r="AN843" s="2146"/>
      <c r="AO843" s="2146"/>
      <c r="AP843" s="2146"/>
    </row>
    <row r="844" ht="12.95" hidden="1" customHeight="1" outlineLevel="1" spans="1:42">
      <c r="A844" s="64"/>
      <c r="B844" s="64"/>
      <c r="C844" s="2104"/>
      <c r="D844" s="2146"/>
      <c r="E844" s="2146"/>
      <c r="F844" s="2146"/>
      <c r="G844" s="2146"/>
      <c r="H844" s="2146"/>
      <c r="I844" s="2146"/>
      <c r="J844" s="2146"/>
      <c r="K844" s="2146"/>
      <c r="L844" s="2146"/>
      <c r="M844" s="2146"/>
      <c r="N844" s="2146"/>
      <c r="O844" s="2146"/>
      <c r="P844" s="2146"/>
      <c r="Q844" s="2146"/>
      <c r="R844" s="2146"/>
      <c r="S844" s="2146"/>
      <c r="T844" s="2146"/>
      <c r="U844" s="2146"/>
      <c r="V844" s="2146"/>
      <c r="W844" s="2146"/>
      <c r="X844" s="2146"/>
      <c r="Y844" s="2146"/>
      <c r="Z844" s="2146"/>
      <c r="AA844" s="2146"/>
      <c r="AB844" s="2146"/>
      <c r="AC844" s="2146"/>
      <c r="AD844" s="2146"/>
      <c r="AE844" s="2146"/>
      <c r="AF844" s="2146"/>
      <c r="AG844" s="2146"/>
      <c r="AH844" s="2146"/>
      <c r="AI844" s="2146"/>
      <c r="AJ844" s="2146"/>
      <c r="AK844" s="2146"/>
      <c r="AL844" s="2146"/>
      <c r="AM844" s="2146"/>
      <c r="AN844" s="2146"/>
      <c r="AO844" s="2146"/>
      <c r="AP844" s="2146"/>
    </row>
    <row r="845" ht="12.95" hidden="1" customHeight="1" outlineLevel="1" spans="1:42">
      <c r="A845" s="64"/>
      <c r="B845" s="64"/>
      <c r="C845" s="2104"/>
      <c r="D845" s="2146"/>
      <c r="E845" s="2146"/>
      <c r="F845" s="2146"/>
      <c r="G845" s="2146"/>
      <c r="H845" s="2146"/>
      <c r="I845" s="2146"/>
      <c r="J845" s="2146"/>
      <c r="K845" s="2146"/>
      <c r="L845" s="2146"/>
      <c r="M845" s="2146"/>
      <c r="N845" s="2146"/>
      <c r="O845" s="2146"/>
      <c r="P845" s="2146"/>
      <c r="Q845" s="2146"/>
      <c r="R845" s="2146"/>
      <c r="S845" s="2146"/>
      <c r="T845" s="2146"/>
      <c r="U845" s="2146"/>
      <c r="V845" s="2146"/>
      <c r="W845" s="2146"/>
      <c r="X845" s="2146"/>
      <c r="Y845" s="2146"/>
      <c r="Z845" s="2146"/>
      <c r="AA845" s="2146"/>
      <c r="AB845" s="2146"/>
      <c r="AC845" s="2146"/>
      <c r="AD845" s="2146"/>
      <c r="AE845" s="2146"/>
      <c r="AF845" s="2146"/>
      <c r="AG845" s="2146"/>
      <c r="AH845" s="2146"/>
      <c r="AI845" s="2146"/>
      <c r="AJ845" s="2146"/>
      <c r="AK845" s="2146"/>
      <c r="AL845" s="2146"/>
      <c r="AM845" s="2146"/>
      <c r="AN845" s="2146"/>
      <c r="AO845" s="2146"/>
      <c r="AP845" s="2146"/>
    </row>
    <row r="846" ht="12.95" customHeight="1" collapsed="1" spans="1:39">
      <c r="A846" s="3335">
        <f>A804+1</f>
        <v>22</v>
      </c>
      <c r="B846" s="64"/>
      <c r="C846" s="94" t="s">
        <v>2071</v>
      </c>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c r="AG846" s="64"/>
      <c r="AH846" s="64"/>
      <c r="AJ846" s="3574"/>
      <c r="AK846" s="64"/>
      <c r="AL846" s="64"/>
      <c r="AM846" s="64"/>
    </row>
    <row r="847" ht="11.4" spans="1:39">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c r="AG847" s="64"/>
      <c r="AH847" s="64"/>
      <c r="AJ847" s="3574"/>
      <c r="AK847" s="64"/>
      <c r="AL847" s="64"/>
      <c r="AM847" s="64"/>
    </row>
    <row r="848" ht="12.95" customHeight="1" spans="1:42">
      <c r="A848" s="64"/>
      <c r="B848" s="64"/>
      <c r="C848" s="5059" t="s">
        <v>2120</v>
      </c>
      <c r="D848" s="2146"/>
      <c r="E848" s="2146"/>
      <c r="F848" s="2146"/>
      <c r="G848" s="2146"/>
      <c r="H848" s="2146"/>
      <c r="I848" s="2146"/>
      <c r="J848" s="2146"/>
      <c r="K848" s="2146"/>
      <c r="L848" s="2146"/>
      <c r="M848" s="2146"/>
      <c r="N848" s="2146"/>
      <c r="O848" s="2146"/>
      <c r="P848" s="2146"/>
      <c r="Q848" s="2146"/>
      <c r="R848" s="2146"/>
      <c r="S848" s="2146"/>
      <c r="T848" s="2146"/>
      <c r="U848" s="2146"/>
      <c r="V848" s="2146"/>
      <c r="W848" s="2146"/>
      <c r="X848" s="2146"/>
      <c r="Y848" s="2146"/>
      <c r="Z848" s="2146"/>
      <c r="AA848" s="2146"/>
      <c r="AB848" s="2146"/>
      <c r="AC848" s="2146"/>
      <c r="AD848" s="2146"/>
      <c r="AE848" s="2146"/>
      <c r="AF848" s="2146"/>
      <c r="AG848" s="2146"/>
      <c r="AH848" s="2146"/>
      <c r="AI848" s="2146"/>
      <c r="AJ848" s="2146"/>
      <c r="AK848" s="2146"/>
      <c r="AL848" s="2146"/>
      <c r="AM848" s="2146"/>
      <c r="AN848" s="2146"/>
      <c r="AO848" s="2146"/>
      <c r="AP848" s="2146"/>
    </row>
    <row r="849" ht="12.95" customHeight="1" spans="1:42">
      <c r="A849" s="64"/>
      <c r="B849" s="64"/>
      <c r="C849" s="2104"/>
      <c r="D849" s="2104"/>
      <c r="E849" s="2104"/>
      <c r="F849" s="2104"/>
      <c r="G849" s="2104"/>
      <c r="H849" s="2104"/>
      <c r="I849" s="2104"/>
      <c r="J849" s="2104"/>
      <c r="K849" s="2104"/>
      <c r="L849" s="2104"/>
      <c r="M849" s="2104"/>
      <c r="N849" s="2104"/>
      <c r="O849" s="2104"/>
      <c r="P849" s="2104"/>
      <c r="Q849" s="2104"/>
      <c r="R849" s="2104"/>
      <c r="S849" s="2104"/>
      <c r="T849" s="2104"/>
      <c r="U849" s="2104"/>
      <c r="V849" s="2104"/>
      <c r="W849" s="2104"/>
      <c r="X849" s="2104"/>
      <c r="Y849" s="2104"/>
      <c r="Z849" s="2104"/>
      <c r="AA849" s="2104"/>
      <c r="AB849" s="2104"/>
      <c r="AC849" s="2104"/>
      <c r="AD849" s="2104"/>
      <c r="AE849" s="2104"/>
      <c r="AF849" s="2104"/>
      <c r="AG849" s="2104"/>
      <c r="AH849" s="2104"/>
      <c r="AI849" s="2104"/>
      <c r="AJ849" s="2104"/>
      <c r="AK849" s="2104"/>
      <c r="AL849" s="2104"/>
      <c r="AM849" s="2104"/>
      <c r="AN849" s="2104"/>
      <c r="AO849" s="2104"/>
      <c r="AP849" s="2104"/>
    </row>
    <row r="850" ht="11.4" spans="1:42">
      <c r="A850" s="64"/>
      <c r="B850" s="64"/>
      <c r="C850" s="2104"/>
      <c r="D850" s="2146"/>
      <c r="E850" s="2146"/>
      <c r="F850" s="2146"/>
      <c r="G850" s="2146"/>
      <c r="H850" s="2146"/>
      <c r="I850" s="2146"/>
      <c r="J850" s="2146"/>
      <c r="K850" s="2146"/>
      <c r="L850" s="2146"/>
      <c r="M850" s="2146"/>
      <c r="N850" s="2146"/>
      <c r="O850" s="2146"/>
      <c r="P850" s="2146"/>
      <c r="Q850" s="2146"/>
      <c r="R850" s="2146"/>
      <c r="S850" s="2146"/>
      <c r="T850" s="2146"/>
      <c r="U850" s="2146"/>
      <c r="V850" s="2146"/>
      <c r="W850" s="2146"/>
      <c r="X850" s="2146"/>
      <c r="Y850" s="2146"/>
      <c r="Z850" s="2146"/>
      <c r="AA850" s="2146"/>
      <c r="AB850" s="2146"/>
      <c r="AC850" s="2146"/>
      <c r="AD850" s="2146"/>
      <c r="AE850" s="2146"/>
      <c r="AF850" s="2146"/>
      <c r="AG850" s="2146"/>
      <c r="AH850" s="2146"/>
      <c r="AI850" s="2146"/>
      <c r="AJ850" s="2146"/>
      <c r="AK850" s="2146"/>
      <c r="AL850" s="2146"/>
      <c r="AM850" s="2146"/>
      <c r="AN850" s="2146"/>
      <c r="AO850" s="2146"/>
      <c r="AP850" s="2146"/>
    </row>
    <row r="851" ht="11.4" spans="1:42">
      <c r="A851" s="64"/>
      <c r="B851" s="64"/>
      <c r="C851" s="2104"/>
      <c r="D851" s="2146"/>
      <c r="E851" s="2146"/>
      <c r="F851" s="2146"/>
      <c r="G851" s="2146"/>
      <c r="H851" s="2146"/>
      <c r="I851" s="2146"/>
      <c r="J851" s="2146"/>
      <c r="K851" s="2146"/>
      <c r="L851" s="2146"/>
      <c r="M851" s="2146"/>
      <c r="N851" s="2146"/>
      <c r="O851" s="2146"/>
      <c r="P851" s="2146"/>
      <c r="Q851" s="2146"/>
      <c r="R851" s="2146"/>
      <c r="S851" s="2146"/>
      <c r="T851" s="2146"/>
      <c r="U851" s="2146"/>
      <c r="V851" s="2146"/>
      <c r="W851" s="2146"/>
      <c r="X851" s="2146"/>
      <c r="Y851" s="2146"/>
      <c r="Z851" s="2146"/>
      <c r="AA851" s="2146"/>
      <c r="AB851" s="2146"/>
      <c r="AC851" s="2146"/>
      <c r="AD851" s="2146"/>
      <c r="AE851" s="2146"/>
      <c r="AF851" s="2146"/>
      <c r="AG851" s="2146"/>
      <c r="AH851" s="2146"/>
      <c r="AI851" s="2146"/>
      <c r="AJ851" s="2146"/>
      <c r="AK851" s="2146"/>
      <c r="AL851" s="2146"/>
      <c r="AM851" s="2146"/>
      <c r="AN851" s="2146"/>
      <c r="AO851" s="2146"/>
      <c r="AP851" s="2146"/>
    </row>
    <row r="852" ht="11.4" spans="1:42">
      <c r="A852" s="64"/>
      <c r="B852" s="64"/>
      <c r="C852" s="2104"/>
      <c r="D852" s="2146"/>
      <c r="E852" s="2146"/>
      <c r="F852" s="2146"/>
      <c r="G852" s="2146"/>
      <c r="H852" s="2146"/>
      <c r="I852" s="2146"/>
      <c r="J852" s="2146"/>
      <c r="K852" s="2146"/>
      <c r="L852" s="2146"/>
      <c r="M852" s="2146"/>
      <c r="N852" s="2146"/>
      <c r="O852" s="2146"/>
      <c r="P852" s="2146"/>
      <c r="Q852" s="2146"/>
      <c r="R852" s="2146"/>
      <c r="S852" s="2146"/>
      <c r="T852" s="2146"/>
      <c r="U852" s="2146"/>
      <c r="V852" s="2146"/>
      <c r="W852" s="2146"/>
      <c r="X852" s="2146"/>
      <c r="Y852" s="2146"/>
      <c r="Z852" s="2146"/>
      <c r="AA852" s="2146"/>
      <c r="AB852" s="2146"/>
      <c r="AC852" s="2146"/>
      <c r="AD852" s="2146"/>
      <c r="AE852" s="2146"/>
      <c r="AF852" s="2146"/>
      <c r="AG852" s="2146"/>
      <c r="AH852" s="2146"/>
      <c r="AI852" s="2146"/>
      <c r="AJ852" s="2146"/>
      <c r="AK852" s="2146"/>
      <c r="AL852" s="2146"/>
      <c r="AM852" s="2146"/>
      <c r="AN852" s="2146"/>
      <c r="AO852" s="2146"/>
      <c r="AP852" s="2146"/>
    </row>
    <row r="853" ht="11.4" spans="1:42">
      <c r="A853" s="64"/>
      <c r="B853" s="64"/>
      <c r="C853" s="2104"/>
      <c r="D853" s="2146"/>
      <c r="E853" s="2146"/>
      <c r="F853" s="2146"/>
      <c r="G853" s="2146"/>
      <c r="H853" s="2146"/>
      <c r="I853" s="2146"/>
      <c r="J853" s="2146"/>
      <c r="K853" s="2146"/>
      <c r="L853" s="2146"/>
      <c r="M853" s="2146"/>
      <c r="N853" s="2146"/>
      <c r="O853" s="2146"/>
      <c r="P853" s="2146"/>
      <c r="Q853" s="2146"/>
      <c r="R853" s="2146"/>
      <c r="S853" s="2146"/>
      <c r="T853" s="2146"/>
      <c r="U853" s="2146"/>
      <c r="V853" s="2146"/>
      <c r="W853" s="2146"/>
      <c r="X853" s="2146"/>
      <c r="Y853" s="2146"/>
      <c r="Z853" s="2146"/>
      <c r="AA853" s="2146"/>
      <c r="AB853" s="2146"/>
      <c r="AC853" s="2146"/>
      <c r="AD853" s="2146"/>
      <c r="AE853" s="2146"/>
      <c r="AF853" s="2146"/>
      <c r="AG853" s="2146"/>
      <c r="AH853" s="2146"/>
      <c r="AI853" s="2146"/>
      <c r="AJ853" s="2146"/>
      <c r="AK853" s="2146"/>
      <c r="AL853" s="2146"/>
      <c r="AM853" s="2146"/>
      <c r="AN853" s="2146"/>
      <c r="AO853" s="2146"/>
      <c r="AP853" s="2146"/>
    </row>
    <row r="854" ht="11.4" spans="1:42">
      <c r="A854" s="3385">
        <f>+A757+1</f>
        <v>19</v>
      </c>
      <c r="B854" s="3385"/>
      <c r="C854" s="3385"/>
      <c r="D854" s="3385"/>
      <c r="E854" s="3385"/>
      <c r="F854" s="3385"/>
      <c r="G854" s="3385"/>
      <c r="H854" s="3385"/>
      <c r="I854" s="3385"/>
      <c r="J854" s="3385"/>
      <c r="K854" s="3385"/>
      <c r="L854" s="3385"/>
      <c r="M854" s="3385"/>
      <c r="N854" s="3385"/>
      <c r="O854" s="3385"/>
      <c r="P854" s="3385"/>
      <c r="Q854" s="3385"/>
      <c r="R854" s="3385"/>
      <c r="S854" s="3385"/>
      <c r="T854" s="3385"/>
      <c r="U854" s="3385"/>
      <c r="V854" s="3385"/>
      <c r="W854" s="3385"/>
      <c r="X854" s="3385"/>
      <c r="Y854" s="3385"/>
      <c r="Z854" s="3385"/>
      <c r="AA854" s="3385"/>
      <c r="AB854" s="3385"/>
      <c r="AC854" s="3385"/>
      <c r="AD854" s="3385"/>
      <c r="AE854" s="3385"/>
      <c r="AF854" s="3385"/>
      <c r="AG854" s="3385"/>
      <c r="AH854" s="3385"/>
      <c r="AI854" s="3385"/>
      <c r="AJ854" s="3385"/>
      <c r="AK854" s="3385"/>
      <c r="AL854" s="3385"/>
      <c r="AM854" s="3385"/>
      <c r="AN854" s="3385"/>
      <c r="AO854" s="3385"/>
      <c r="AP854" s="3385"/>
    </row>
    <row r="855" ht="12.95" customHeight="1" spans="1:39">
      <c r="A855" s="3335">
        <f>+A846+1</f>
        <v>23</v>
      </c>
      <c r="B855" s="64"/>
      <c r="C855" s="94" t="s">
        <v>2121</v>
      </c>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c r="AG855" s="64"/>
      <c r="AH855" s="64"/>
      <c r="AJ855" s="3574"/>
      <c r="AK855" s="64"/>
      <c r="AL855" s="64"/>
      <c r="AM855" s="64"/>
    </row>
    <row r="856" ht="9.2" customHeight="1" spans="1:39">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c r="AG856" s="64"/>
      <c r="AH856" s="64"/>
      <c r="AJ856" s="3574"/>
      <c r="AK856" s="64"/>
      <c r="AL856" s="64"/>
      <c r="AM856" s="64"/>
    </row>
    <row r="857" ht="26.45" customHeight="1" spans="1:42">
      <c r="A857" s="64"/>
      <c r="B857" s="64"/>
      <c r="C857" s="5059" t="s">
        <v>2122</v>
      </c>
      <c r="D857" s="2146"/>
      <c r="E857" s="2146"/>
      <c r="F857" s="2146"/>
      <c r="G857" s="2146"/>
      <c r="H857" s="2146"/>
      <c r="I857" s="2146"/>
      <c r="J857" s="2146"/>
      <c r="K857" s="2146"/>
      <c r="L857" s="2146"/>
      <c r="M857" s="2146"/>
      <c r="N857" s="2146"/>
      <c r="O857" s="2146"/>
      <c r="P857" s="2146"/>
      <c r="Q857" s="2146"/>
      <c r="R857" s="2146"/>
      <c r="S857" s="2146"/>
      <c r="T857" s="2146"/>
      <c r="U857" s="2146"/>
      <c r="V857" s="2146"/>
      <c r="W857" s="2146"/>
      <c r="X857" s="2146"/>
      <c r="Y857" s="2146"/>
      <c r="Z857" s="2146"/>
      <c r="AA857" s="2146"/>
      <c r="AB857" s="2146"/>
      <c r="AC857" s="2146"/>
      <c r="AD857" s="2146"/>
      <c r="AE857" s="2146"/>
      <c r="AF857" s="2146"/>
      <c r="AG857" s="2146"/>
      <c r="AH857" s="2146"/>
      <c r="AI857" s="2146"/>
      <c r="AJ857" s="2146"/>
      <c r="AK857" s="2146"/>
      <c r="AL857" s="2146"/>
      <c r="AM857" s="2146"/>
      <c r="AN857" s="2146"/>
      <c r="AO857" s="2146"/>
      <c r="AP857" s="2146"/>
    </row>
    <row r="858" ht="11.4" spans="35:41">
      <c r="AI858" s="3326"/>
      <c r="AJ858" s="3326"/>
      <c r="AK858" s="3326"/>
      <c r="AN858" s="3326"/>
      <c r="AO858" s="3326"/>
    </row>
    <row r="859" ht="12.95" customHeight="1" spans="1:42">
      <c r="A859" s="64"/>
      <c r="B859" s="64"/>
      <c r="C859" s="5109" t="s">
        <v>2123</v>
      </c>
      <c r="D859" s="2635"/>
      <c r="E859" s="2635"/>
      <c r="F859" s="2635"/>
      <c r="G859" s="2635"/>
      <c r="H859" s="2635"/>
      <c r="I859" s="2635"/>
      <c r="J859" s="2635"/>
      <c r="K859" s="2635"/>
      <c r="L859" s="2635"/>
      <c r="M859" s="2635"/>
      <c r="N859" s="2635"/>
      <c r="O859" s="2635"/>
      <c r="P859" s="2635"/>
      <c r="Q859" s="2635"/>
      <c r="R859" s="2635"/>
      <c r="S859" s="2635"/>
      <c r="T859" s="2635"/>
      <c r="U859" s="2635"/>
      <c r="V859" s="2635"/>
      <c r="W859" s="2635"/>
      <c r="X859" s="2635"/>
      <c r="Y859" s="2635"/>
      <c r="Z859" s="2635"/>
      <c r="AA859" s="2635"/>
      <c r="AB859" s="3359">
        <f>+AB816</f>
        <v>2022</v>
      </c>
      <c r="AC859" s="3360"/>
      <c r="AD859" s="3360"/>
      <c r="AE859" s="3360"/>
      <c r="AF859" s="3360"/>
      <c r="AG859" s="3360"/>
      <c r="AH859" s="3360"/>
      <c r="AJ859" s="3359">
        <f>+AJ816</f>
        <v>2021</v>
      </c>
      <c r="AK859" s="3360"/>
      <c r="AL859" s="3360"/>
      <c r="AM859" s="3360"/>
      <c r="AN859" s="3360"/>
      <c r="AO859" s="3360"/>
      <c r="AP859" s="3360"/>
    </row>
    <row r="860" ht="12.95" customHeight="1" spans="1:42">
      <c r="A860" s="64"/>
      <c r="B860" s="64"/>
      <c r="C860" s="3339"/>
      <c r="D860" s="3341"/>
      <c r="E860" s="3341"/>
      <c r="F860" s="3341"/>
      <c r="G860" s="3341"/>
      <c r="H860" s="3341"/>
      <c r="I860" s="3341"/>
      <c r="J860" s="3341"/>
      <c r="K860" s="3341"/>
      <c r="L860" s="3341"/>
      <c r="M860" s="3341"/>
      <c r="N860" s="3341"/>
      <c r="O860" s="3341"/>
      <c r="P860" s="3341"/>
      <c r="Q860" s="3341"/>
      <c r="R860" s="3341"/>
      <c r="S860" s="3341"/>
      <c r="T860" s="3341"/>
      <c r="U860" s="3341"/>
      <c r="V860" s="3341"/>
      <c r="W860" s="3341"/>
      <c r="X860" s="3341"/>
      <c r="Y860" s="3341"/>
      <c r="Z860" s="3341"/>
      <c r="AA860" s="3341"/>
      <c r="AB860" s="3345"/>
      <c r="AC860" s="3345"/>
      <c r="AD860" s="3345"/>
      <c r="AE860" s="3345"/>
      <c r="AF860" s="3345"/>
      <c r="AG860" s="3345"/>
      <c r="AH860" s="3345"/>
      <c r="AJ860" s="3345"/>
      <c r="AK860" s="3345"/>
      <c r="AL860" s="3345"/>
      <c r="AM860" s="3345"/>
      <c r="AN860" s="3345"/>
      <c r="AO860" s="3345"/>
      <c r="AP860" s="3345"/>
    </row>
    <row r="861" ht="12.95" customHeight="1" spans="3:42">
      <c r="C861" s="3326" t="s">
        <v>2124</v>
      </c>
      <c r="J861" s="3464"/>
      <c r="AB861" s="3345">
        <f>+AB142</f>
        <v>0</v>
      </c>
      <c r="AC861" s="3345"/>
      <c r="AD861" s="3345"/>
      <c r="AE861" s="3345"/>
      <c r="AF861" s="3345"/>
      <c r="AG861" s="3345"/>
      <c r="AH861" s="3345"/>
      <c r="AJ861" s="3345">
        <f>+'UV2'!I14</f>
        <v>1251663380</v>
      </c>
      <c r="AK861" s="3345"/>
      <c r="AL861" s="3345"/>
      <c r="AM861" s="3345"/>
      <c r="AN861" s="3345"/>
      <c r="AO861" s="3345"/>
      <c r="AP861" s="3345"/>
    </row>
    <row r="862" ht="12.95" customHeight="1" spans="1:42">
      <c r="A862" s="64"/>
      <c r="B862" s="64"/>
      <c r="C862" s="3326" t="s">
        <v>2125</v>
      </c>
      <c r="D862" s="3341"/>
      <c r="E862" s="3341"/>
      <c r="F862" s="3341"/>
      <c r="G862" s="3341"/>
      <c r="H862" s="3341"/>
      <c r="I862" s="3341"/>
      <c r="J862" s="3341"/>
      <c r="K862" s="3341"/>
      <c r="L862" s="3341"/>
      <c r="M862" s="3341"/>
      <c r="N862" s="3341"/>
      <c r="O862" s="3341"/>
      <c r="P862" s="3341"/>
      <c r="Q862" s="3341"/>
      <c r="R862" s="3341"/>
      <c r="S862" s="3341"/>
      <c r="T862" s="3341"/>
      <c r="U862" s="3341"/>
      <c r="V862" s="3341"/>
      <c r="W862" s="3341"/>
      <c r="X862" s="3341"/>
      <c r="Y862" s="3341"/>
      <c r="Z862" s="3341"/>
      <c r="AA862" s="3341"/>
      <c r="AB862" s="3345">
        <f>+'UV2'!J14</f>
        <v>1251663380</v>
      </c>
      <c r="AC862" s="3345"/>
      <c r="AD862" s="3345"/>
      <c r="AE862" s="3345"/>
      <c r="AF862" s="3345"/>
      <c r="AG862" s="3345"/>
      <c r="AH862" s="3345"/>
      <c r="AJ862" s="3345">
        <v>0</v>
      </c>
      <c r="AK862" s="3345"/>
      <c r="AL862" s="3345"/>
      <c r="AM862" s="3345"/>
      <c r="AN862" s="3345"/>
      <c r="AO862" s="3345"/>
      <c r="AP862" s="3345"/>
    </row>
    <row r="863" ht="12.95" customHeight="1" spans="1:42">
      <c r="A863" s="64"/>
      <c r="B863" s="64"/>
      <c r="C863" s="3339"/>
      <c r="D863" s="3341"/>
      <c r="E863" s="3341"/>
      <c r="F863" s="3341"/>
      <c r="G863" s="3341"/>
      <c r="H863" s="3341"/>
      <c r="I863" s="3341"/>
      <c r="J863" s="3341"/>
      <c r="K863" s="3341"/>
      <c r="L863" s="3341"/>
      <c r="M863" s="3341"/>
      <c r="N863" s="3341"/>
      <c r="O863" s="3341"/>
      <c r="P863" s="3341"/>
      <c r="Q863" s="3341"/>
      <c r="R863" s="3341"/>
      <c r="S863" s="3341"/>
      <c r="T863" s="3341"/>
      <c r="U863" s="3341"/>
      <c r="V863" s="3341"/>
      <c r="W863" s="3341"/>
      <c r="X863" s="3341"/>
      <c r="Y863" s="3341"/>
      <c r="Z863" s="3341"/>
      <c r="AA863" s="3341"/>
      <c r="AB863" s="3341"/>
      <c r="AC863" s="3341"/>
      <c r="AD863" s="3341"/>
      <c r="AE863" s="3341"/>
      <c r="AF863" s="3341"/>
      <c r="AG863" s="3341"/>
      <c r="AH863" s="3341"/>
      <c r="AI863" s="3341"/>
      <c r="AJ863" s="3341"/>
      <c r="AK863" s="3341"/>
      <c r="AL863" s="3341"/>
      <c r="AM863" s="3341"/>
      <c r="AN863" s="3341"/>
      <c r="AO863" s="3341"/>
      <c r="AP863" s="3341"/>
    </row>
    <row r="864" ht="12.95" customHeight="1" spans="1:42">
      <c r="A864" s="64"/>
      <c r="B864" s="64"/>
      <c r="C864" s="3326" t="s">
        <v>2126</v>
      </c>
      <c r="J864" s="3464"/>
      <c r="AB864" s="3345">
        <f>+AB145</f>
        <v>0</v>
      </c>
      <c r="AC864" s="3345"/>
      <c r="AD864" s="3345"/>
      <c r="AE864" s="3345"/>
      <c r="AF864" s="3345"/>
      <c r="AG864" s="3345"/>
      <c r="AH864" s="3345"/>
      <c r="AJ864" s="3345">
        <f>-'UV2'!N14</f>
        <v>-1043261427.23</v>
      </c>
      <c r="AK864" s="3345"/>
      <c r="AL864" s="3345"/>
      <c r="AM864" s="3345"/>
      <c r="AN864" s="3345"/>
      <c r="AO864" s="3345"/>
      <c r="AP864" s="3345"/>
    </row>
    <row r="865" ht="12.95" customHeight="1" spans="1:42">
      <c r="A865" s="64"/>
      <c r="B865" s="64"/>
      <c r="C865" s="3326" t="s">
        <v>2127</v>
      </c>
      <c r="D865" s="3341"/>
      <c r="E865" s="3341"/>
      <c r="F865" s="3341"/>
      <c r="G865" s="3341"/>
      <c r="H865" s="3341"/>
      <c r="I865" s="3341"/>
      <c r="J865" s="3341"/>
      <c r="K865" s="3341"/>
      <c r="L865" s="3341"/>
      <c r="M865" s="3341"/>
      <c r="N865" s="3341"/>
      <c r="O865" s="3341"/>
      <c r="P865" s="3341"/>
      <c r="Q865" s="3341"/>
      <c r="R865" s="3341"/>
      <c r="S865" s="3341"/>
      <c r="T865" s="3341"/>
      <c r="U865" s="3341"/>
      <c r="V865" s="3341"/>
      <c r="W865" s="3341"/>
      <c r="X865" s="3341"/>
      <c r="Y865" s="3341"/>
      <c r="Z865" s="3341"/>
      <c r="AA865" s="3341"/>
      <c r="AB865" s="3345">
        <f>+AJ864</f>
        <v>-1043261427.23</v>
      </c>
      <c r="AC865" s="3345"/>
      <c r="AD865" s="3345"/>
      <c r="AE865" s="3345"/>
      <c r="AF865" s="3345"/>
      <c r="AG865" s="3345"/>
      <c r="AH865" s="3345"/>
      <c r="AJ865" s="3345">
        <v>0</v>
      </c>
      <c r="AK865" s="3345"/>
      <c r="AL865" s="3345"/>
      <c r="AM865" s="3345"/>
      <c r="AN865" s="3345"/>
      <c r="AO865" s="3345"/>
      <c r="AP865" s="3345"/>
    </row>
    <row r="866" ht="12.95" customHeight="1" spans="1:42">
      <c r="A866" s="64"/>
      <c r="B866" s="64"/>
      <c r="C866" s="3339"/>
      <c r="D866" s="3341"/>
      <c r="E866" s="3341"/>
      <c r="F866" s="3341"/>
      <c r="G866" s="3341"/>
      <c r="H866" s="3341"/>
      <c r="I866" s="3341"/>
      <c r="J866" s="3341"/>
      <c r="K866" s="3341"/>
      <c r="L866" s="3341"/>
      <c r="M866" s="3341"/>
      <c r="N866" s="3341"/>
      <c r="O866" s="3341"/>
      <c r="P866" s="3341"/>
      <c r="Q866" s="3341"/>
      <c r="R866" s="3341"/>
      <c r="S866" s="3341"/>
      <c r="T866" s="3341"/>
      <c r="U866" s="3341"/>
      <c r="V866" s="3341"/>
      <c r="W866" s="3341"/>
      <c r="X866" s="3341"/>
      <c r="Y866" s="3341"/>
      <c r="Z866" s="3341"/>
      <c r="AA866" s="3341"/>
      <c r="AB866" s="3341"/>
      <c r="AC866" s="3341"/>
      <c r="AD866" s="3341"/>
      <c r="AE866" s="3341"/>
      <c r="AF866" s="3341"/>
      <c r="AG866" s="3341"/>
      <c r="AH866" s="3341"/>
      <c r="AI866" s="3341"/>
      <c r="AJ866" s="3341"/>
      <c r="AK866" s="3341"/>
      <c r="AL866" s="3341"/>
      <c r="AM866" s="3341"/>
      <c r="AN866" s="3341"/>
      <c r="AO866" s="3341"/>
      <c r="AP866" s="3341"/>
    </row>
    <row r="867" ht="12.95" customHeight="1" spans="1:42">
      <c r="A867" s="64"/>
      <c r="B867" s="64"/>
      <c r="C867" s="3464" t="s">
        <v>2128</v>
      </c>
      <c r="D867" s="3341"/>
      <c r="E867" s="3341"/>
      <c r="F867" s="3341"/>
      <c r="G867" s="3341"/>
      <c r="H867" s="3341"/>
      <c r="I867" s="3341"/>
      <c r="J867" s="3341"/>
      <c r="K867" s="3341"/>
      <c r="L867" s="3341"/>
      <c r="M867" s="3341"/>
      <c r="N867" s="3341"/>
      <c r="O867" s="3341"/>
      <c r="P867" s="3341"/>
      <c r="Q867" s="3341"/>
      <c r="R867" s="3341"/>
      <c r="S867" s="3341"/>
      <c r="T867" s="3341"/>
      <c r="U867" s="3341"/>
      <c r="V867" s="3341"/>
      <c r="W867" s="3341"/>
      <c r="X867" s="3341"/>
      <c r="Y867" s="3341"/>
      <c r="Z867" s="3341"/>
      <c r="AA867" s="3341"/>
      <c r="AB867" s="3359">
        <f>+AB859</f>
        <v>2022</v>
      </c>
      <c r="AC867" s="3360"/>
      <c r="AD867" s="3360"/>
      <c r="AE867" s="3360"/>
      <c r="AF867" s="3360"/>
      <c r="AG867" s="3360"/>
      <c r="AH867" s="3360"/>
      <c r="AJ867" s="3359">
        <f>+AJ859</f>
        <v>2021</v>
      </c>
      <c r="AK867" s="3360"/>
      <c r="AL867" s="3360"/>
      <c r="AM867" s="3360"/>
      <c r="AN867" s="3360"/>
      <c r="AO867" s="3360"/>
      <c r="AP867" s="3360"/>
    </row>
    <row r="868" ht="12.95" customHeight="1" spans="1:42">
      <c r="A868" s="64"/>
      <c r="B868" s="64"/>
      <c r="C868" s="3326" t="s">
        <v>2124</v>
      </c>
      <c r="D868" s="3341"/>
      <c r="E868" s="3341"/>
      <c r="F868" s="3341"/>
      <c r="G868" s="3341"/>
      <c r="H868" s="3341"/>
      <c r="I868" s="3341"/>
      <c r="J868" s="3341"/>
      <c r="K868" s="3341"/>
      <c r="L868" s="3341"/>
      <c r="M868" s="3341"/>
      <c r="N868" s="3341"/>
      <c r="O868" s="3341"/>
      <c r="P868" s="3341"/>
      <c r="Q868" s="3341"/>
      <c r="R868" s="3341"/>
      <c r="S868" s="3341"/>
      <c r="T868" s="3341"/>
      <c r="U868" s="3341"/>
      <c r="V868" s="3341"/>
      <c r="W868" s="3341"/>
      <c r="X868" s="3341"/>
      <c r="Y868" s="3341"/>
      <c r="Z868" s="3341"/>
      <c r="AA868" s="3341"/>
      <c r="AB868" s="3345">
        <v>0</v>
      </c>
      <c r="AC868" s="3345"/>
      <c r="AD868" s="3345"/>
      <c r="AE868" s="3345"/>
      <c r="AF868" s="3345"/>
      <c r="AG868" s="3345"/>
      <c r="AH868" s="3345"/>
      <c r="AJ868" s="3345">
        <f>+AJ861</f>
        <v>1251663380</v>
      </c>
      <c r="AK868" s="3345"/>
      <c r="AL868" s="3345"/>
      <c r="AM868" s="3345"/>
      <c r="AN868" s="3345"/>
      <c r="AO868" s="3345"/>
      <c r="AP868" s="3345"/>
    </row>
    <row r="869" ht="12.95" customHeight="1" spans="1:42">
      <c r="A869" s="64"/>
      <c r="B869" s="64"/>
      <c r="C869" s="3326" t="s">
        <v>2126</v>
      </c>
      <c r="D869" s="3341"/>
      <c r="E869" s="3341"/>
      <c r="F869" s="3341"/>
      <c r="G869" s="3341"/>
      <c r="H869" s="3341"/>
      <c r="I869" s="3341"/>
      <c r="J869" s="3341"/>
      <c r="K869" s="3341"/>
      <c r="L869" s="3341"/>
      <c r="M869" s="3341"/>
      <c r="N869" s="3341"/>
      <c r="O869" s="3341"/>
      <c r="P869" s="3341"/>
      <c r="Q869" s="3341"/>
      <c r="R869" s="3341"/>
      <c r="S869" s="3341"/>
      <c r="T869" s="3341"/>
      <c r="U869" s="3341"/>
      <c r="V869" s="3341"/>
      <c r="W869" s="3341"/>
      <c r="X869" s="3341"/>
      <c r="Y869" s="3341"/>
      <c r="Z869" s="3341"/>
      <c r="AA869" s="3341"/>
      <c r="AB869" s="3572">
        <v>0</v>
      </c>
      <c r="AC869" s="3572"/>
      <c r="AD869" s="3572"/>
      <c r="AE869" s="3572"/>
      <c r="AF869" s="3572"/>
      <c r="AG869" s="3572"/>
      <c r="AH869" s="3572"/>
      <c r="AJ869" s="3572">
        <f>+AJ864</f>
        <v>-1043261427.23</v>
      </c>
      <c r="AK869" s="3572"/>
      <c r="AL869" s="3572"/>
      <c r="AM869" s="3572"/>
      <c r="AN869" s="3572"/>
      <c r="AO869" s="3572"/>
      <c r="AP869" s="3572"/>
    </row>
    <row r="870" ht="12.95" customHeight="1" spans="1:42">
      <c r="A870" s="64"/>
      <c r="B870" s="64"/>
      <c r="C870" s="3326" t="s">
        <v>2129</v>
      </c>
      <c r="D870" s="3341"/>
      <c r="E870" s="3341"/>
      <c r="F870" s="3341"/>
      <c r="G870" s="3341"/>
      <c r="H870" s="3341"/>
      <c r="I870" s="3341"/>
      <c r="J870" s="3341"/>
      <c r="K870" s="3341"/>
      <c r="L870" s="3341"/>
      <c r="M870" s="3341"/>
      <c r="N870" s="3341"/>
      <c r="O870" s="3341"/>
      <c r="P870" s="3341"/>
      <c r="Q870" s="3341"/>
      <c r="R870" s="3341"/>
      <c r="S870" s="3341"/>
      <c r="T870" s="3341"/>
      <c r="U870" s="3341"/>
      <c r="V870" s="3341"/>
      <c r="W870" s="3341"/>
      <c r="X870" s="3341"/>
      <c r="Y870" s="3341"/>
      <c r="Z870" s="3341"/>
      <c r="AA870" s="3341"/>
      <c r="AB870" s="3573">
        <f>SUM(AB868:AH869)</f>
        <v>0</v>
      </c>
      <c r="AC870" s="3573"/>
      <c r="AD870" s="3573"/>
      <c r="AE870" s="3573"/>
      <c r="AF870" s="3573"/>
      <c r="AG870" s="3573"/>
      <c r="AH870" s="3573"/>
      <c r="AJ870" s="3573">
        <f>SUM(AJ868:AP869)</f>
        <v>208401952.77</v>
      </c>
      <c r="AK870" s="3573"/>
      <c r="AL870" s="3573"/>
      <c r="AM870" s="3573"/>
      <c r="AN870" s="3573"/>
      <c r="AO870" s="3573"/>
      <c r="AP870" s="3573"/>
    </row>
    <row r="871" ht="12.95" customHeight="1" spans="1:42">
      <c r="A871" s="64"/>
      <c r="B871" s="64"/>
      <c r="D871" s="3341"/>
      <c r="E871" s="3341"/>
      <c r="F871" s="3341"/>
      <c r="G871" s="3341"/>
      <c r="H871" s="3341"/>
      <c r="I871" s="3341"/>
      <c r="J871" s="3341"/>
      <c r="K871" s="3341"/>
      <c r="L871" s="3341"/>
      <c r="M871" s="3341"/>
      <c r="N871" s="3341"/>
      <c r="O871" s="3341"/>
      <c r="P871" s="3341"/>
      <c r="Q871" s="3341"/>
      <c r="R871" s="3341"/>
      <c r="S871" s="3341"/>
      <c r="T871" s="3341"/>
      <c r="U871" s="3341"/>
      <c r="V871" s="3341"/>
      <c r="W871" s="3341"/>
      <c r="X871" s="3341"/>
      <c r="Y871" s="3341"/>
      <c r="Z871" s="3341"/>
      <c r="AA871" s="3341"/>
      <c r="AB871" s="3345"/>
      <c r="AC871" s="3345"/>
      <c r="AD871" s="3345"/>
      <c r="AE871" s="3345"/>
      <c r="AF871" s="3345"/>
      <c r="AG871" s="3345"/>
      <c r="AH871" s="3345"/>
      <c r="AJ871" s="3345"/>
      <c r="AK871" s="3345"/>
      <c r="AL871" s="3345"/>
      <c r="AM871" s="3345"/>
      <c r="AN871" s="3345"/>
      <c r="AO871" s="3345"/>
      <c r="AP871" s="3345"/>
    </row>
    <row r="872" ht="12.95" customHeight="1" spans="1:42">
      <c r="A872" s="64"/>
      <c r="B872" s="64"/>
      <c r="C872" s="3326" t="s">
        <v>2125</v>
      </c>
      <c r="D872" s="3341"/>
      <c r="E872" s="3341"/>
      <c r="F872" s="3341"/>
      <c r="G872" s="3341"/>
      <c r="H872" s="3341"/>
      <c r="I872" s="3341"/>
      <c r="J872" s="3341"/>
      <c r="K872" s="3341"/>
      <c r="L872" s="3341"/>
      <c r="M872" s="3341"/>
      <c r="N872" s="3341"/>
      <c r="O872" s="3341"/>
      <c r="P872" s="3341"/>
      <c r="Q872" s="3341"/>
      <c r="R872" s="3341"/>
      <c r="S872" s="3341"/>
      <c r="T872" s="3341"/>
      <c r="U872" s="3341"/>
      <c r="V872" s="3341"/>
      <c r="W872" s="3341"/>
      <c r="X872" s="3341"/>
      <c r="Y872" s="3341"/>
      <c r="Z872" s="3341"/>
      <c r="AA872" s="3341"/>
      <c r="AB872" s="3345">
        <f>+AB862</f>
        <v>1251663380</v>
      </c>
      <c r="AC872" s="3345"/>
      <c r="AD872" s="3345"/>
      <c r="AE872" s="3345"/>
      <c r="AF872" s="3345"/>
      <c r="AG872" s="3345"/>
      <c r="AH872" s="3345"/>
      <c r="AJ872" s="3345">
        <v>0</v>
      </c>
      <c r="AK872" s="3345"/>
      <c r="AL872" s="3345"/>
      <c r="AM872" s="3345"/>
      <c r="AN872" s="3345"/>
      <c r="AO872" s="3345"/>
      <c r="AP872" s="3345"/>
    </row>
    <row r="873" ht="12.95" customHeight="1" spans="1:42">
      <c r="A873" s="64"/>
      <c r="B873" s="64"/>
      <c r="C873" s="3326" t="s">
        <v>2127</v>
      </c>
      <c r="D873" s="3341"/>
      <c r="E873" s="3341"/>
      <c r="F873" s="3341"/>
      <c r="G873" s="3341"/>
      <c r="H873" s="3341"/>
      <c r="I873" s="3341"/>
      <c r="J873" s="3341"/>
      <c r="K873" s="3341"/>
      <c r="L873" s="3341"/>
      <c r="M873" s="3341"/>
      <c r="N873" s="3341"/>
      <c r="O873" s="3341"/>
      <c r="P873" s="3341"/>
      <c r="Q873" s="3341"/>
      <c r="R873" s="3341"/>
      <c r="S873" s="3341"/>
      <c r="T873" s="3341"/>
      <c r="U873" s="3341"/>
      <c r="V873" s="3341"/>
      <c r="W873" s="3341"/>
      <c r="X873" s="3341"/>
      <c r="Y873" s="3341"/>
      <c r="Z873" s="3341"/>
      <c r="AA873" s="3341"/>
      <c r="AB873" s="3345">
        <f>+AB865</f>
        <v>-1043261427.23</v>
      </c>
      <c r="AC873" s="3345"/>
      <c r="AD873" s="3345"/>
      <c r="AE873" s="3345"/>
      <c r="AF873" s="3345"/>
      <c r="AG873" s="3345"/>
      <c r="AH873" s="3345"/>
      <c r="AJ873" s="3345">
        <v>0</v>
      </c>
      <c r="AK873" s="3345"/>
      <c r="AL873" s="3345"/>
      <c r="AM873" s="3345"/>
      <c r="AN873" s="3345"/>
      <c r="AO873" s="3345"/>
      <c r="AP873" s="3345"/>
    </row>
    <row r="874" ht="12.95" customHeight="1" spans="1:42">
      <c r="A874" s="64"/>
      <c r="B874" s="64"/>
      <c r="C874" s="3326" t="s">
        <v>2130</v>
      </c>
      <c r="D874" s="3341"/>
      <c r="E874" s="3341"/>
      <c r="F874" s="3341"/>
      <c r="G874" s="3341"/>
      <c r="H874" s="3341"/>
      <c r="I874" s="3341"/>
      <c r="J874" s="3341"/>
      <c r="K874" s="3341"/>
      <c r="L874" s="3341"/>
      <c r="M874" s="3341"/>
      <c r="N874" s="3341"/>
      <c r="O874" s="3341"/>
      <c r="P874" s="3341"/>
      <c r="Q874" s="3341"/>
      <c r="R874" s="3341"/>
      <c r="S874" s="3341"/>
      <c r="T874" s="3341"/>
      <c r="U874" s="3341"/>
      <c r="V874" s="3341"/>
      <c r="W874" s="3341"/>
      <c r="X874" s="3341"/>
      <c r="Y874" s="3341"/>
      <c r="Z874" s="3341"/>
      <c r="AA874" s="3341"/>
      <c r="AB874" s="3573">
        <f>SUM(AB872:AH873)</f>
        <v>208401952.77</v>
      </c>
      <c r="AC874" s="3573"/>
      <c r="AD874" s="3573"/>
      <c r="AE874" s="3573"/>
      <c r="AF874" s="3573"/>
      <c r="AG874" s="3573"/>
      <c r="AH874" s="3573"/>
      <c r="AI874" s="3341"/>
      <c r="AJ874" s="3573">
        <f>SUM(AJ872:AP873)</f>
        <v>0</v>
      </c>
      <c r="AK874" s="3573"/>
      <c r="AL874" s="3573"/>
      <c r="AM874" s="3573"/>
      <c r="AN874" s="3573"/>
      <c r="AO874" s="3573"/>
      <c r="AP874" s="3573"/>
    </row>
    <row r="875" ht="12.95" customHeight="1" spans="1:42">
      <c r="A875" s="64"/>
      <c r="B875" s="64"/>
      <c r="D875" s="3341"/>
      <c r="E875" s="3341"/>
      <c r="F875" s="3341"/>
      <c r="G875" s="3341"/>
      <c r="H875" s="3341"/>
      <c r="I875" s="3341"/>
      <c r="J875" s="3341"/>
      <c r="K875" s="3341"/>
      <c r="L875" s="3341"/>
      <c r="M875" s="3341"/>
      <c r="N875" s="3341"/>
      <c r="O875" s="3341"/>
      <c r="P875" s="3341"/>
      <c r="Q875" s="3341"/>
      <c r="R875" s="3341"/>
      <c r="S875" s="3341"/>
      <c r="T875" s="3341"/>
      <c r="U875" s="3341"/>
      <c r="V875" s="3341"/>
      <c r="W875" s="3341"/>
      <c r="X875" s="3341"/>
      <c r="Y875" s="3341"/>
      <c r="Z875" s="3341"/>
      <c r="AA875" s="3341"/>
      <c r="AB875" s="3341"/>
      <c r="AC875" s="3341"/>
      <c r="AD875" s="3341"/>
      <c r="AE875" s="3341"/>
      <c r="AF875" s="3341"/>
      <c r="AG875" s="3341"/>
      <c r="AH875" s="3341"/>
      <c r="AI875" s="3341"/>
      <c r="AJ875" s="3341"/>
      <c r="AK875" s="3341"/>
      <c r="AL875" s="3341"/>
      <c r="AM875" s="3341"/>
      <c r="AN875" s="3341"/>
      <c r="AO875" s="3341"/>
      <c r="AP875" s="3341"/>
    </row>
    <row r="876" ht="12.95" customHeight="1" spans="1:42">
      <c r="A876" s="64"/>
      <c r="B876" s="64"/>
      <c r="C876" s="3339"/>
      <c r="D876" s="3341"/>
      <c r="E876" s="3341"/>
      <c r="F876" s="3341"/>
      <c r="G876" s="3341"/>
      <c r="H876" s="3341"/>
      <c r="I876" s="3341"/>
      <c r="J876" s="3341"/>
      <c r="K876" s="3341"/>
      <c r="L876" s="3341"/>
      <c r="M876" s="3341"/>
      <c r="N876" s="3341"/>
      <c r="O876" s="3341"/>
      <c r="P876" s="3341"/>
      <c r="Q876" s="3341"/>
      <c r="R876" s="3341"/>
      <c r="S876" s="3341"/>
      <c r="T876" s="3341"/>
      <c r="U876" s="3341"/>
      <c r="V876" s="3341"/>
      <c r="W876" s="3341"/>
      <c r="X876" s="3341"/>
      <c r="Y876" s="3341"/>
      <c r="Z876" s="3341"/>
      <c r="AA876" s="3341"/>
      <c r="AB876" s="3341"/>
      <c r="AC876" s="3341"/>
      <c r="AD876" s="3341"/>
      <c r="AE876" s="3341"/>
      <c r="AF876" s="3341"/>
      <c r="AG876" s="3341"/>
      <c r="AH876" s="3341"/>
      <c r="AI876" s="3341"/>
      <c r="AJ876" s="3341"/>
      <c r="AK876" s="3341"/>
      <c r="AL876" s="3341"/>
      <c r="AM876" s="3341"/>
      <c r="AN876" s="3341"/>
      <c r="AO876" s="3341"/>
      <c r="AP876" s="3341"/>
    </row>
    <row r="877" ht="12.95" customHeight="1" spans="1:41">
      <c r="A877" s="3335">
        <f>+A855+1</f>
        <v>24</v>
      </c>
      <c r="B877" s="64"/>
      <c r="C877" s="3322" t="s">
        <v>2073</v>
      </c>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c r="AG877" s="64"/>
      <c r="AH877" s="64"/>
      <c r="AI877" s="3326"/>
      <c r="AJ877" s="3326"/>
      <c r="AN877" s="3326"/>
      <c r="AO877" s="3326"/>
    </row>
    <row r="878" ht="12.95" customHeight="1" spans="1:41">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c r="AG878" s="64"/>
      <c r="AH878" s="64"/>
      <c r="AI878" s="3326"/>
      <c r="AJ878" s="3326"/>
      <c r="AN878" s="3326"/>
      <c r="AO878" s="3326"/>
    </row>
    <row r="879" ht="59.1" customHeight="1" spans="1:42">
      <c r="A879" s="64"/>
      <c r="B879" s="64"/>
      <c r="C879" s="5036" t="s">
        <v>2074</v>
      </c>
      <c r="D879" s="3341"/>
      <c r="E879" s="3341"/>
      <c r="F879" s="3341"/>
      <c r="G879" s="3341"/>
      <c r="H879" s="3341"/>
      <c r="I879" s="3341"/>
      <c r="J879" s="3341"/>
      <c r="K879" s="3341"/>
      <c r="L879" s="3341"/>
      <c r="M879" s="3341"/>
      <c r="N879" s="3341"/>
      <c r="O879" s="3341"/>
      <c r="P879" s="3341"/>
      <c r="Q879" s="3341"/>
      <c r="R879" s="3341"/>
      <c r="S879" s="3341"/>
      <c r="T879" s="3341"/>
      <c r="U879" s="3341"/>
      <c r="V879" s="3341"/>
      <c r="W879" s="3341"/>
      <c r="X879" s="3341"/>
      <c r="Y879" s="3341"/>
      <c r="Z879" s="3341"/>
      <c r="AA879" s="3341"/>
      <c r="AB879" s="3341"/>
      <c r="AC879" s="3341"/>
      <c r="AD879" s="3341"/>
      <c r="AE879" s="3341"/>
      <c r="AF879" s="3341"/>
      <c r="AG879" s="3341"/>
      <c r="AH879" s="3341"/>
      <c r="AI879" s="3341"/>
      <c r="AJ879" s="3341"/>
      <c r="AK879" s="3341"/>
      <c r="AL879" s="3341"/>
      <c r="AM879" s="3341"/>
      <c r="AN879" s="3341"/>
      <c r="AO879" s="3341"/>
      <c r="AP879" s="3341"/>
    </row>
    <row r="880" ht="12.95" customHeight="1" spans="1:41">
      <c r="A880" s="64"/>
      <c r="B880" s="64"/>
      <c r="C880" s="64"/>
      <c r="D880" s="64"/>
      <c r="E880" s="64"/>
      <c r="F880" s="3341"/>
      <c r="G880" s="3341"/>
      <c r="H880" s="3341"/>
      <c r="I880" s="3341"/>
      <c r="J880" s="3341"/>
      <c r="K880" s="3341"/>
      <c r="L880" s="3341"/>
      <c r="M880" s="3341"/>
      <c r="N880" s="3341"/>
      <c r="O880" s="3341"/>
      <c r="P880" s="64"/>
      <c r="Q880" s="64"/>
      <c r="R880" s="64"/>
      <c r="S880" s="64"/>
      <c r="T880" s="64"/>
      <c r="U880" s="64"/>
      <c r="V880" s="64"/>
      <c r="W880" s="64"/>
      <c r="X880" s="64"/>
      <c r="Y880" s="64"/>
      <c r="Z880" s="64"/>
      <c r="AA880" s="64"/>
      <c r="AB880" s="64"/>
      <c r="AC880" s="64"/>
      <c r="AD880" s="64"/>
      <c r="AE880" s="64"/>
      <c r="AF880" s="64"/>
      <c r="AG880" s="64"/>
      <c r="AH880" s="64"/>
      <c r="AI880" s="3326"/>
      <c r="AJ880" s="3326"/>
      <c r="AN880" s="3326"/>
      <c r="AO880" s="3326"/>
    </row>
    <row r="881" ht="27" customHeight="1" spans="1:42">
      <c r="A881" s="64"/>
      <c r="B881" s="64"/>
      <c r="C881" s="5036" t="s">
        <v>2075</v>
      </c>
      <c r="D881" s="3341"/>
      <c r="E881" s="3341"/>
      <c r="F881" s="3341"/>
      <c r="G881" s="3341"/>
      <c r="H881" s="3341"/>
      <c r="I881" s="3341"/>
      <c r="J881" s="3341"/>
      <c r="K881" s="3341"/>
      <c r="L881" s="3341"/>
      <c r="M881" s="3341"/>
      <c r="N881" s="3341"/>
      <c r="O881" s="3341"/>
      <c r="P881" s="3341"/>
      <c r="Q881" s="3341"/>
      <c r="R881" s="3341"/>
      <c r="S881" s="3341"/>
      <c r="T881" s="3341"/>
      <c r="U881" s="3341"/>
      <c r="V881" s="3341"/>
      <c r="W881" s="3341"/>
      <c r="X881" s="3341"/>
      <c r="Y881" s="3341"/>
      <c r="Z881" s="3341"/>
      <c r="AA881" s="3341"/>
      <c r="AB881" s="3341"/>
      <c r="AC881" s="3341"/>
      <c r="AD881" s="3341"/>
      <c r="AE881" s="3341"/>
      <c r="AF881" s="3341"/>
      <c r="AG881" s="3341"/>
      <c r="AH881" s="3341"/>
      <c r="AI881" s="3341"/>
      <c r="AJ881" s="3341"/>
      <c r="AK881" s="3341"/>
      <c r="AL881" s="3341"/>
      <c r="AM881" s="3341"/>
      <c r="AN881" s="3341"/>
      <c r="AO881" s="3341"/>
      <c r="AP881" s="3341"/>
    </row>
    <row r="882" customHeight="1" spans="3:42">
      <c r="C882" s="3565">
        <v>26</v>
      </c>
      <c r="D882" s="3565"/>
      <c r="E882" s="3565"/>
      <c r="F882" s="3566"/>
      <c r="G882" s="5104" t="s">
        <v>2076</v>
      </c>
      <c r="H882" s="3567"/>
      <c r="I882" s="3567"/>
      <c r="J882" s="3567"/>
      <c r="K882" s="3567"/>
      <c r="L882" s="3567"/>
      <c r="M882" s="3567"/>
      <c r="N882" s="3567"/>
      <c r="O882" s="3567"/>
      <c r="P882" s="3567"/>
      <c r="Q882" s="3567"/>
      <c r="R882" s="3567"/>
      <c r="S882" s="3567"/>
      <c r="T882" s="3567"/>
      <c r="U882" s="3567"/>
      <c r="V882" s="3567"/>
      <c r="W882" s="3567"/>
      <c r="X882" s="3567"/>
      <c r="Y882" s="3567"/>
      <c r="Z882" s="3567"/>
      <c r="AA882" s="3567"/>
      <c r="AB882" s="3567"/>
      <c r="AC882" s="3567"/>
      <c r="AD882" s="3567"/>
      <c r="AE882" s="3567"/>
      <c r="AF882" s="3567"/>
      <c r="AG882" s="3567"/>
      <c r="AH882" s="3567"/>
      <c r="AI882" s="3567"/>
      <c r="AJ882" s="3567"/>
      <c r="AK882" s="3567"/>
      <c r="AL882" s="3567"/>
      <c r="AM882" s="3567"/>
      <c r="AN882" s="3567"/>
      <c r="AO882" s="3567"/>
      <c r="AP882" s="3567"/>
    </row>
    <row r="885" customHeight="1" spans="35:44">
      <c r="AI885" s="3326"/>
      <c r="AJ885" s="3326"/>
      <c r="AK885" s="3326"/>
      <c r="AN885" s="3326"/>
      <c r="AO885" s="3326"/>
      <c r="AR885" s="3326"/>
    </row>
    <row r="886" customHeight="1" spans="35:44">
      <c r="AI886" s="3326"/>
      <c r="AJ886" s="3326"/>
      <c r="AK886" s="3326"/>
      <c r="AN886" s="3326"/>
      <c r="AO886" s="3326"/>
      <c r="AR886" s="3326"/>
    </row>
    <row r="887" ht="11.4" spans="35:44">
      <c r="AI887" s="3326"/>
      <c r="AJ887" s="3326"/>
      <c r="AK887" s="3326"/>
      <c r="AN887" s="3326"/>
      <c r="AO887" s="3326"/>
      <c r="AR887" s="3326"/>
    </row>
    <row r="912" customHeight="1" spans="1:42">
      <c r="A912" s="3385">
        <f>+A854+1</f>
        <v>20</v>
      </c>
      <c r="B912" s="3385"/>
      <c r="C912" s="3385"/>
      <c r="D912" s="3385"/>
      <c r="E912" s="3385"/>
      <c r="F912" s="3385"/>
      <c r="G912" s="3385"/>
      <c r="H912" s="3385"/>
      <c r="I912" s="3385"/>
      <c r="J912" s="3385"/>
      <c r="K912" s="3385"/>
      <c r="L912" s="3385"/>
      <c r="M912" s="3385"/>
      <c r="N912" s="3385"/>
      <c r="O912" s="3385"/>
      <c r="P912" s="3385"/>
      <c r="Q912" s="3385"/>
      <c r="R912" s="3385"/>
      <c r="S912" s="3385"/>
      <c r="T912" s="3385"/>
      <c r="U912" s="3385"/>
      <c r="V912" s="3385"/>
      <c r="W912" s="3385"/>
      <c r="X912" s="3385"/>
      <c r="Y912" s="3385"/>
      <c r="Z912" s="3385"/>
      <c r="AA912" s="3385"/>
      <c r="AB912" s="3385"/>
      <c r="AC912" s="3385"/>
      <c r="AD912" s="3385"/>
      <c r="AE912" s="3385"/>
      <c r="AF912" s="3385"/>
      <c r="AG912" s="3385"/>
      <c r="AH912" s="3385"/>
      <c r="AI912" s="3385"/>
      <c r="AJ912" s="3385"/>
      <c r="AK912" s="3385"/>
      <c r="AL912" s="3385"/>
      <c r="AM912" s="3385"/>
      <c r="AN912" s="3385"/>
      <c r="AO912" s="3385"/>
      <c r="AP912" s="3385"/>
    </row>
  </sheetData>
  <mergeCells count="940">
    <mergeCell ref="AB7:AH7"/>
    <mergeCell ref="AJ7:AP7"/>
    <mergeCell ref="AB9:AH9"/>
    <mergeCell ref="AJ9:AP9"/>
    <mergeCell ref="AB11:AH11"/>
    <mergeCell ref="AJ11:AP11"/>
    <mergeCell ref="AB13:AH13"/>
    <mergeCell ref="AJ13:AP13"/>
    <mergeCell ref="AB14:AH14"/>
    <mergeCell ref="AJ14:AP14"/>
    <mergeCell ref="AB15:AH15"/>
    <mergeCell ref="AJ15:AP15"/>
    <mergeCell ref="AB16:AH16"/>
    <mergeCell ref="AJ16:AP16"/>
    <mergeCell ref="AB17:AH17"/>
    <mergeCell ref="AJ17:AP17"/>
    <mergeCell ref="AB18:AH18"/>
    <mergeCell ref="AJ18:AP18"/>
    <mergeCell ref="AB20:AH20"/>
    <mergeCell ref="AJ20:AP20"/>
    <mergeCell ref="AB22:AH22"/>
    <mergeCell ref="AJ22:AP22"/>
    <mergeCell ref="AB23:AH23"/>
    <mergeCell ref="C24:AP24"/>
    <mergeCell ref="C26:AP26"/>
    <mergeCell ref="C28:AP28"/>
    <mergeCell ref="C32:AP32"/>
    <mergeCell ref="AB34:AH34"/>
    <mergeCell ref="AJ34:AP34"/>
    <mergeCell ref="AB36:AH36"/>
    <mergeCell ref="AJ36:AP36"/>
    <mergeCell ref="AB37:AH37"/>
    <mergeCell ref="AJ37:AP37"/>
    <mergeCell ref="AB38:AH38"/>
    <mergeCell ref="AJ38:AP38"/>
    <mergeCell ref="AB39:AH39"/>
    <mergeCell ref="AJ39:AP39"/>
    <mergeCell ref="AB40:AH40"/>
    <mergeCell ref="AJ40:AP40"/>
    <mergeCell ref="AB41:AH41"/>
    <mergeCell ref="AJ41:AP41"/>
    <mergeCell ref="AB42:AH42"/>
    <mergeCell ref="AJ42:AP42"/>
    <mergeCell ref="AB43:AH43"/>
    <mergeCell ref="AJ43:AP43"/>
    <mergeCell ref="AB44:AH44"/>
    <mergeCell ref="AJ44:AP44"/>
    <mergeCell ref="AB45:AH45"/>
    <mergeCell ref="AJ45:AP45"/>
    <mergeCell ref="AB46:AH46"/>
    <mergeCell ref="AJ46:AP46"/>
    <mergeCell ref="AB47:AH47"/>
    <mergeCell ref="AJ47:AP47"/>
    <mergeCell ref="AB49:AH49"/>
    <mergeCell ref="AJ49:AP49"/>
    <mergeCell ref="AB50:AH50"/>
    <mergeCell ref="AJ50:AP50"/>
    <mergeCell ref="AB52:AH52"/>
    <mergeCell ref="AJ52:AP52"/>
    <mergeCell ref="AB54:AH54"/>
    <mergeCell ref="AJ54:AP54"/>
    <mergeCell ref="AB55:AH55"/>
    <mergeCell ref="AJ55:AP55"/>
    <mergeCell ref="AB57:AH57"/>
    <mergeCell ref="AJ57:AP57"/>
    <mergeCell ref="C59:AP59"/>
    <mergeCell ref="AB61:AH61"/>
    <mergeCell ref="AJ61:AP61"/>
    <mergeCell ref="AB62:AH62"/>
    <mergeCell ref="AJ62:AP62"/>
    <mergeCell ref="AB63:AH63"/>
    <mergeCell ref="AJ63:AP63"/>
    <mergeCell ref="AB64:AH64"/>
    <mergeCell ref="AJ64:AP64"/>
    <mergeCell ref="AB65:AH65"/>
    <mergeCell ref="AJ65:AP65"/>
    <mergeCell ref="AB66:AH66"/>
    <mergeCell ref="AJ66:AP66"/>
    <mergeCell ref="AB67:AH67"/>
    <mergeCell ref="AJ67:AP67"/>
    <mergeCell ref="AB68:AH68"/>
    <mergeCell ref="AJ68:AP68"/>
    <mergeCell ref="AB70:AH70"/>
    <mergeCell ref="AJ70:AP70"/>
    <mergeCell ref="AB71:AH71"/>
    <mergeCell ref="C72:AP72"/>
    <mergeCell ref="AB73:AH73"/>
    <mergeCell ref="AB74:AH74"/>
    <mergeCell ref="AJ74:AP74"/>
    <mergeCell ref="AB76:AH76"/>
    <mergeCell ref="AJ76:AP76"/>
    <mergeCell ref="AB77:AH77"/>
    <mergeCell ref="AJ77:AP77"/>
    <mergeCell ref="AB79:AH79"/>
    <mergeCell ref="AJ79:AP79"/>
    <mergeCell ref="A90:AP90"/>
    <mergeCell ref="AB91:AH91"/>
    <mergeCell ref="AJ91:AP91"/>
    <mergeCell ref="AB95:AH95"/>
    <mergeCell ref="AJ95:AP95"/>
    <mergeCell ref="AB96:AH96"/>
    <mergeCell ref="AJ96:AP96"/>
    <mergeCell ref="AB97:AH97"/>
    <mergeCell ref="AJ97:AP97"/>
    <mergeCell ref="AB98:AH98"/>
    <mergeCell ref="AJ98:AP98"/>
    <mergeCell ref="AB99:AH99"/>
    <mergeCell ref="AJ99:AP99"/>
    <mergeCell ref="AB100:AH100"/>
    <mergeCell ref="AJ100:AP100"/>
    <mergeCell ref="AB102:AH102"/>
    <mergeCell ref="AJ102:AP102"/>
    <mergeCell ref="AB104:AH104"/>
    <mergeCell ref="AJ104:AP104"/>
    <mergeCell ref="AB105:AH105"/>
    <mergeCell ref="AJ105:AP105"/>
    <mergeCell ref="C106:AP106"/>
    <mergeCell ref="C108:AP108"/>
    <mergeCell ref="C110:AP110"/>
    <mergeCell ref="C114:AP114"/>
    <mergeCell ref="AB116:AH116"/>
    <mergeCell ref="AJ116:AP116"/>
    <mergeCell ref="AB118:AH118"/>
    <mergeCell ref="AJ118:AP118"/>
    <mergeCell ref="AB119:AH119"/>
    <mergeCell ref="AJ119:AP119"/>
    <mergeCell ref="AB120:AH120"/>
    <mergeCell ref="AJ120:AP120"/>
    <mergeCell ref="AB121:AH121"/>
    <mergeCell ref="AJ121:AP121"/>
    <mergeCell ref="AB122:AH122"/>
    <mergeCell ref="AJ122:AP122"/>
    <mergeCell ref="AB123:AH123"/>
    <mergeCell ref="AJ123:AP123"/>
    <mergeCell ref="AB124:AH124"/>
    <mergeCell ref="AJ124:AP124"/>
    <mergeCell ref="AB128:AH128"/>
    <mergeCell ref="AJ128:AP128"/>
    <mergeCell ref="AB129:AH129"/>
    <mergeCell ref="AJ129:AP129"/>
    <mergeCell ref="AQ129:CF129"/>
    <mergeCell ref="C130:AP130"/>
    <mergeCell ref="C132:AP132"/>
    <mergeCell ref="C136:H136"/>
    <mergeCell ref="P136:U136"/>
    <mergeCell ref="W136:AB136"/>
    <mergeCell ref="AK136:AP136"/>
    <mergeCell ref="C138:H138"/>
    <mergeCell ref="P138:U138"/>
    <mergeCell ref="W138:AB138"/>
    <mergeCell ref="AD138:AI138"/>
    <mergeCell ref="AK138:AP138"/>
    <mergeCell ref="P139:U139"/>
    <mergeCell ref="W139:AB139"/>
    <mergeCell ref="AD139:AI139"/>
    <mergeCell ref="AK139:AP139"/>
    <mergeCell ref="P140:U140"/>
    <mergeCell ref="W140:AB140"/>
    <mergeCell ref="AD140:AI140"/>
    <mergeCell ref="AK140:AP140"/>
    <mergeCell ref="P141:U141"/>
    <mergeCell ref="W141:AB141"/>
    <mergeCell ref="AD141:AI141"/>
    <mergeCell ref="AK141:AP141"/>
    <mergeCell ref="P142:U142"/>
    <mergeCell ref="W142:AB142"/>
    <mergeCell ref="AD142:AI142"/>
    <mergeCell ref="AK142:AP142"/>
    <mergeCell ref="P143:U143"/>
    <mergeCell ref="W143:AB143"/>
    <mergeCell ref="AD143:AI143"/>
    <mergeCell ref="AK143:AP143"/>
    <mergeCell ref="AK144:AP144"/>
    <mergeCell ref="P145:U145"/>
    <mergeCell ref="W145:AB145"/>
    <mergeCell ref="AD145:AI145"/>
    <mergeCell ref="AK145:AP145"/>
    <mergeCell ref="P147:U147"/>
    <mergeCell ref="W147:AB147"/>
    <mergeCell ref="AD147:AI147"/>
    <mergeCell ref="AK147:AP147"/>
    <mergeCell ref="P148:U148"/>
    <mergeCell ref="W148:AB148"/>
    <mergeCell ref="AD148:AI148"/>
    <mergeCell ref="AK148:AP148"/>
    <mergeCell ref="P149:U149"/>
    <mergeCell ref="W149:AB149"/>
    <mergeCell ref="AD149:AI149"/>
    <mergeCell ref="AK149:AP149"/>
    <mergeCell ref="P150:U150"/>
    <mergeCell ref="W150:AB150"/>
    <mergeCell ref="AD150:AI150"/>
    <mergeCell ref="AK150:AP150"/>
    <mergeCell ref="P151:U151"/>
    <mergeCell ref="W151:AB151"/>
    <mergeCell ref="AD151:AI151"/>
    <mergeCell ref="AK151:AP151"/>
    <mergeCell ref="P152:U152"/>
    <mergeCell ref="W152:AB152"/>
    <mergeCell ref="AD152:AI152"/>
    <mergeCell ref="AK152:AP152"/>
    <mergeCell ref="P153:U153"/>
    <mergeCell ref="W153:AB153"/>
    <mergeCell ref="AD153:AI153"/>
    <mergeCell ref="AK153:AP153"/>
    <mergeCell ref="P155:U155"/>
    <mergeCell ref="W155:AB155"/>
    <mergeCell ref="AK155:AP155"/>
    <mergeCell ref="P156:U156"/>
    <mergeCell ref="A159:AP159"/>
    <mergeCell ref="C162:H162"/>
    <mergeCell ref="P162:U162"/>
    <mergeCell ref="W162:AB162"/>
    <mergeCell ref="AK162:AP162"/>
    <mergeCell ref="C164:H164"/>
    <mergeCell ref="P164:U164"/>
    <mergeCell ref="W164:AB164"/>
    <mergeCell ref="AD164:AI164"/>
    <mergeCell ref="AK164:AP164"/>
    <mergeCell ref="P165:U165"/>
    <mergeCell ref="W165:AB165"/>
    <mergeCell ref="AD165:AI165"/>
    <mergeCell ref="AK165:AP165"/>
    <mergeCell ref="P166:U166"/>
    <mergeCell ref="W166:AB166"/>
    <mergeCell ref="AD166:AI166"/>
    <mergeCell ref="AK166:AP166"/>
    <mergeCell ref="P167:U167"/>
    <mergeCell ref="W167:AB167"/>
    <mergeCell ref="AD167:AI167"/>
    <mergeCell ref="AK167:AP167"/>
    <mergeCell ref="P168:U168"/>
    <mergeCell ref="W168:AB168"/>
    <mergeCell ref="AD168:AI168"/>
    <mergeCell ref="AK168:AP168"/>
    <mergeCell ref="P169:U169"/>
    <mergeCell ref="W169:AB169"/>
    <mergeCell ref="AD169:AI169"/>
    <mergeCell ref="AK169:AP169"/>
    <mergeCell ref="AK170:AP170"/>
    <mergeCell ref="P171:U171"/>
    <mergeCell ref="W171:AB171"/>
    <mergeCell ref="AD171:AI171"/>
    <mergeCell ref="AK171:AP171"/>
    <mergeCell ref="P173:U173"/>
    <mergeCell ref="W173:AB173"/>
    <mergeCell ref="AD173:AI173"/>
    <mergeCell ref="AK173:AP173"/>
    <mergeCell ref="P174:U174"/>
    <mergeCell ref="W174:AB174"/>
    <mergeCell ref="AD174:AI174"/>
    <mergeCell ref="AK174:AP174"/>
    <mergeCell ref="P175:U175"/>
    <mergeCell ref="W175:AB175"/>
    <mergeCell ref="AD175:AI175"/>
    <mergeCell ref="AK175:AP175"/>
    <mergeCell ref="P176:U176"/>
    <mergeCell ref="W176:AB176"/>
    <mergeCell ref="AD176:AI176"/>
    <mergeCell ref="AK176:AP176"/>
    <mergeCell ref="P177:U177"/>
    <mergeCell ref="W177:AB177"/>
    <mergeCell ref="AD177:AI177"/>
    <mergeCell ref="AK177:AP177"/>
    <mergeCell ref="P178:U178"/>
    <mergeCell ref="W178:AB178"/>
    <mergeCell ref="AD178:AI178"/>
    <mergeCell ref="AK178:AP178"/>
    <mergeCell ref="P179:U179"/>
    <mergeCell ref="W179:AB179"/>
    <mergeCell ref="AD179:AI179"/>
    <mergeCell ref="AK179:AP179"/>
    <mergeCell ref="P181:U181"/>
    <mergeCell ref="W181:AB181"/>
    <mergeCell ref="AK181:AP181"/>
    <mergeCell ref="C182:H182"/>
    <mergeCell ref="P182:U182"/>
    <mergeCell ref="W182:AB182"/>
    <mergeCell ref="AK182:AP182"/>
    <mergeCell ref="P184:U184"/>
    <mergeCell ref="W184:AB184"/>
    <mergeCell ref="AD184:AI184"/>
    <mergeCell ref="AK184:AP184"/>
    <mergeCell ref="P185:U185"/>
    <mergeCell ref="W185:AB185"/>
    <mergeCell ref="AD185:AI185"/>
    <mergeCell ref="AK185:AP185"/>
    <mergeCell ref="P186:U186"/>
    <mergeCell ref="W186:AB186"/>
    <mergeCell ref="AD186:AI186"/>
    <mergeCell ref="AK186:AP186"/>
    <mergeCell ref="P187:U187"/>
    <mergeCell ref="W187:AB187"/>
    <mergeCell ref="AD187:AI187"/>
    <mergeCell ref="AK187:AP187"/>
    <mergeCell ref="P188:U188"/>
    <mergeCell ref="W188:AB188"/>
    <mergeCell ref="AD188:AI188"/>
    <mergeCell ref="AK188:AP188"/>
    <mergeCell ref="P189:U189"/>
    <mergeCell ref="W189:AB189"/>
    <mergeCell ref="AD189:AI189"/>
    <mergeCell ref="AK189:AP189"/>
    <mergeCell ref="P190:U190"/>
    <mergeCell ref="W190:AB190"/>
    <mergeCell ref="AD190:AI190"/>
    <mergeCell ref="AK190:AP190"/>
    <mergeCell ref="O191:U191"/>
    <mergeCell ref="W191:AB191"/>
    <mergeCell ref="AD191:AI191"/>
    <mergeCell ref="AK191:AP191"/>
    <mergeCell ref="P194:U194"/>
    <mergeCell ref="W194:AB194"/>
    <mergeCell ref="AD194:AI194"/>
    <mergeCell ref="AK194:AP194"/>
    <mergeCell ref="P195:U195"/>
    <mergeCell ref="W195:AB195"/>
    <mergeCell ref="AD195:AI195"/>
    <mergeCell ref="AK195:AP195"/>
    <mergeCell ref="P196:U196"/>
    <mergeCell ref="W196:AB196"/>
    <mergeCell ref="AD196:AI196"/>
    <mergeCell ref="AK196:AP196"/>
    <mergeCell ref="P197:U197"/>
    <mergeCell ref="W197:AB197"/>
    <mergeCell ref="AD197:AI197"/>
    <mergeCell ref="AK197:AP197"/>
    <mergeCell ref="P198:U198"/>
    <mergeCell ref="W198:AB198"/>
    <mergeCell ref="AD198:AI198"/>
    <mergeCell ref="AK198:AP198"/>
    <mergeCell ref="P199:U199"/>
    <mergeCell ref="W199:AB199"/>
    <mergeCell ref="AD199:AI199"/>
    <mergeCell ref="AK199:AP199"/>
    <mergeCell ref="P201:U201"/>
    <mergeCell ref="AK201:AP201"/>
    <mergeCell ref="C203:AP203"/>
    <mergeCell ref="C205:AP205"/>
    <mergeCell ref="C207:AP207"/>
    <mergeCell ref="AB210:AH210"/>
    <mergeCell ref="AJ210:AP210"/>
    <mergeCell ref="AB211:AH211"/>
    <mergeCell ref="AJ211:AP211"/>
    <mergeCell ref="AB212:AH212"/>
    <mergeCell ref="AJ212:AP212"/>
    <mergeCell ref="AB214:AH214"/>
    <mergeCell ref="AJ214:AP214"/>
    <mergeCell ref="AB216:AH216"/>
    <mergeCell ref="AJ216:AP216"/>
    <mergeCell ref="AB217:AH217"/>
    <mergeCell ref="AJ217:AP217"/>
    <mergeCell ref="C218:AP218"/>
    <mergeCell ref="AB224:AH224"/>
    <mergeCell ref="AJ224:AP224"/>
    <mergeCell ref="AB226:AH226"/>
    <mergeCell ref="AJ226:AP226"/>
    <mergeCell ref="AB227:AH227"/>
    <mergeCell ref="AJ227:AP227"/>
    <mergeCell ref="AB228:AH228"/>
    <mergeCell ref="AJ228:AP228"/>
    <mergeCell ref="AB229:AH229"/>
    <mergeCell ref="AJ229:AP229"/>
    <mergeCell ref="AB230:AH230"/>
    <mergeCell ref="AJ230:AP230"/>
    <mergeCell ref="AB231:AH231"/>
    <mergeCell ref="AJ231:AP231"/>
    <mergeCell ref="AB232:AH232"/>
    <mergeCell ref="AJ232:AP232"/>
    <mergeCell ref="AB233:AH233"/>
    <mergeCell ref="AJ233:AP233"/>
    <mergeCell ref="AB234:AH234"/>
    <mergeCell ref="AJ234:AP234"/>
    <mergeCell ref="AB235:AH235"/>
    <mergeCell ref="AJ235:AP235"/>
    <mergeCell ref="AB237:AH237"/>
    <mergeCell ref="AJ237:AP237"/>
    <mergeCell ref="AB239:AH239"/>
    <mergeCell ref="AJ239:AP239"/>
    <mergeCell ref="AB240:AH240"/>
    <mergeCell ref="AJ240:AP240"/>
    <mergeCell ref="AB241:AH241"/>
    <mergeCell ref="AJ241:AP241"/>
    <mergeCell ref="AB242:AH242"/>
    <mergeCell ref="AJ242:AP242"/>
    <mergeCell ref="AB244:AH244"/>
    <mergeCell ref="AJ244:AP244"/>
    <mergeCell ref="AB245:AH245"/>
    <mergeCell ref="C248:AP248"/>
    <mergeCell ref="A251:AP251"/>
    <mergeCell ref="C256:AP256"/>
    <mergeCell ref="C260:AP260"/>
    <mergeCell ref="AB262:AH262"/>
    <mergeCell ref="AJ262:AP262"/>
    <mergeCell ref="AB264:AH264"/>
    <mergeCell ref="AJ264:AP264"/>
    <mergeCell ref="AB265:AH265"/>
    <mergeCell ref="AJ265:AP265"/>
    <mergeCell ref="AB266:AH266"/>
    <mergeCell ref="AJ266:AP266"/>
    <mergeCell ref="AB267:AH267"/>
    <mergeCell ref="AJ267:AP267"/>
    <mergeCell ref="AB268:AH268"/>
    <mergeCell ref="AJ268:AP268"/>
    <mergeCell ref="AB269:AH269"/>
    <mergeCell ref="AJ269:AP269"/>
    <mergeCell ref="AB270:AH270"/>
    <mergeCell ref="AJ270:AP270"/>
    <mergeCell ref="AB271:AH271"/>
    <mergeCell ref="AJ271:AP271"/>
    <mergeCell ref="AB272:AH272"/>
    <mergeCell ref="AJ272:AP272"/>
    <mergeCell ref="AB273:AH273"/>
    <mergeCell ref="AJ273:AP273"/>
    <mergeCell ref="AB274:AH274"/>
    <mergeCell ref="AJ274:AP274"/>
    <mergeCell ref="AB275:AH275"/>
    <mergeCell ref="AJ275:AP275"/>
    <mergeCell ref="AB276:AH276"/>
    <mergeCell ref="AJ276:AP276"/>
    <mergeCell ref="AB277:AH277"/>
    <mergeCell ref="AJ277:AP277"/>
    <mergeCell ref="AB278:AH278"/>
    <mergeCell ref="AJ278:AP278"/>
    <mergeCell ref="AB279:AH279"/>
    <mergeCell ref="AJ279:AP279"/>
    <mergeCell ref="AB280:AH280"/>
    <mergeCell ref="AJ280:AP280"/>
    <mergeCell ref="AB281:AH281"/>
    <mergeCell ref="AJ281:AP281"/>
    <mergeCell ref="AB282:AH282"/>
    <mergeCell ref="AJ282:AP282"/>
    <mergeCell ref="C284:AP284"/>
    <mergeCell ref="AB286:AH286"/>
    <mergeCell ref="AJ286:AP286"/>
    <mergeCell ref="AB287:AH287"/>
    <mergeCell ref="AJ287:AP287"/>
    <mergeCell ref="AB288:AH288"/>
    <mergeCell ref="AJ288:AP288"/>
    <mergeCell ref="AB289:AH289"/>
    <mergeCell ref="AJ289:AP289"/>
    <mergeCell ref="AB290:AH290"/>
    <mergeCell ref="AJ290:AP290"/>
    <mergeCell ref="AB291:AH291"/>
    <mergeCell ref="AJ291:AP291"/>
    <mergeCell ref="AB292:AH292"/>
    <mergeCell ref="AJ292:AP292"/>
    <mergeCell ref="AB293:AH293"/>
    <mergeCell ref="AJ293:AP293"/>
    <mergeCell ref="C295:AP295"/>
    <mergeCell ref="AB297:AH297"/>
    <mergeCell ref="AJ297:AP297"/>
    <mergeCell ref="AB301:AH301"/>
    <mergeCell ref="AJ301:AP301"/>
    <mergeCell ref="AB302:AH302"/>
    <mergeCell ref="AJ302:AP302"/>
    <mergeCell ref="AB303:AH303"/>
    <mergeCell ref="AJ303:AP303"/>
    <mergeCell ref="AB304:AH304"/>
    <mergeCell ref="AJ304:AP304"/>
    <mergeCell ref="AB305:AH305"/>
    <mergeCell ref="AJ305:AP305"/>
    <mergeCell ref="AB307:AH307"/>
    <mergeCell ref="AJ307:AP307"/>
    <mergeCell ref="AB308:AH308"/>
    <mergeCell ref="AJ308:AP308"/>
    <mergeCell ref="E311:AP311"/>
    <mergeCell ref="AB313:AH313"/>
    <mergeCell ref="AJ313:AP313"/>
    <mergeCell ref="AB315:AH315"/>
    <mergeCell ref="AJ315:AP315"/>
    <mergeCell ref="AB317:AH317"/>
    <mergeCell ref="AJ317:AP317"/>
    <mergeCell ref="AB318:AH318"/>
    <mergeCell ref="AJ318:AP318"/>
    <mergeCell ref="AB319:AH319"/>
    <mergeCell ref="AJ319:AP319"/>
    <mergeCell ref="AB320:AH320"/>
    <mergeCell ref="AJ320:AP320"/>
    <mergeCell ref="AB321:AH321"/>
    <mergeCell ref="AJ321:AP321"/>
    <mergeCell ref="AB323:AH323"/>
    <mergeCell ref="AJ323:AP323"/>
    <mergeCell ref="A328:AP328"/>
    <mergeCell ref="AB331:AH331"/>
    <mergeCell ref="AJ331:AP331"/>
    <mergeCell ref="AB333:AH333"/>
    <mergeCell ref="AJ333:AP333"/>
    <mergeCell ref="M337:R337"/>
    <mergeCell ref="M338:R338"/>
    <mergeCell ref="M340:R340"/>
    <mergeCell ref="M341:R341"/>
    <mergeCell ref="E344:J344"/>
    <mergeCell ref="M344:R344"/>
    <mergeCell ref="U344:Z344"/>
    <mergeCell ref="AC344:AI344"/>
    <mergeCell ref="AJ344:AP344"/>
    <mergeCell ref="E346:J346"/>
    <mergeCell ref="M346:R346"/>
    <mergeCell ref="U346:Z346"/>
    <mergeCell ref="AC346:AI346"/>
    <mergeCell ref="AJ346:AP346"/>
    <mergeCell ref="E349:J349"/>
    <mergeCell ref="L349:N349"/>
    <mergeCell ref="P349:R349"/>
    <mergeCell ref="U349:Z349"/>
    <mergeCell ref="AB349:AH349"/>
    <mergeCell ref="AJ349:AP349"/>
    <mergeCell ref="L350:N350"/>
    <mergeCell ref="U350:Z350"/>
    <mergeCell ref="AB350:AH350"/>
    <mergeCell ref="AJ350:AP350"/>
    <mergeCell ref="AB351:AH351"/>
    <mergeCell ref="AJ351:AP351"/>
    <mergeCell ref="E353:J353"/>
    <mergeCell ref="L353:N353"/>
    <mergeCell ref="P353:R353"/>
    <mergeCell ref="U353:Z353"/>
    <mergeCell ref="AB353:AH353"/>
    <mergeCell ref="AJ353:AP353"/>
    <mergeCell ref="L354:N354"/>
    <mergeCell ref="T354:Z354"/>
    <mergeCell ref="AB354:AH354"/>
    <mergeCell ref="AJ354:AP354"/>
    <mergeCell ref="AB355:AH355"/>
    <mergeCell ref="AJ355:AP355"/>
    <mergeCell ref="AB357:AH357"/>
    <mergeCell ref="AJ357:AP357"/>
    <mergeCell ref="AB359:AH359"/>
    <mergeCell ref="AJ359:AP359"/>
    <mergeCell ref="AB361:AH361"/>
    <mergeCell ref="AJ361:AP361"/>
    <mergeCell ref="AB363:AH363"/>
    <mergeCell ref="AJ363:AP363"/>
    <mergeCell ref="AB368:AH368"/>
    <mergeCell ref="AJ368:AP368"/>
    <mergeCell ref="AB371:AH371"/>
    <mergeCell ref="AJ371:AP371"/>
    <mergeCell ref="AB372:AH372"/>
    <mergeCell ref="AJ372:AP372"/>
    <mergeCell ref="AB373:AH373"/>
    <mergeCell ref="AJ373:AP373"/>
    <mergeCell ref="AB375:AH375"/>
    <mergeCell ref="AJ375:AP375"/>
    <mergeCell ref="AB377:AH377"/>
    <mergeCell ref="AJ377:AP377"/>
    <mergeCell ref="AB380:AH380"/>
    <mergeCell ref="AJ380:AP380"/>
    <mergeCell ref="AB381:AH381"/>
    <mergeCell ref="AJ381:AP381"/>
    <mergeCell ref="AB382:AH382"/>
    <mergeCell ref="AJ382:AP382"/>
    <mergeCell ref="AB384:AH384"/>
    <mergeCell ref="AJ384:AP384"/>
    <mergeCell ref="AB387:AH387"/>
    <mergeCell ref="AJ387:AP387"/>
    <mergeCell ref="AB388:AH388"/>
    <mergeCell ref="AJ388:AP388"/>
    <mergeCell ref="AB389:AH389"/>
    <mergeCell ref="AJ389:AP389"/>
    <mergeCell ref="AB390:AH390"/>
    <mergeCell ref="AJ390:AP390"/>
    <mergeCell ref="AB391:AH391"/>
    <mergeCell ref="AJ391:AP391"/>
    <mergeCell ref="AB394:AH394"/>
    <mergeCell ref="AJ394:AP394"/>
    <mergeCell ref="AB395:AH395"/>
    <mergeCell ref="AJ395:AP395"/>
    <mergeCell ref="AB396:AH396"/>
    <mergeCell ref="AJ396:AP396"/>
    <mergeCell ref="AB398:AH398"/>
    <mergeCell ref="AJ398:AP398"/>
    <mergeCell ref="A413:AP413"/>
    <mergeCell ref="AJ416:AP416"/>
    <mergeCell ref="AQ416:AW416"/>
    <mergeCell ref="C418:AP418"/>
    <mergeCell ref="D420:J420"/>
    <mergeCell ref="S420:W420"/>
    <mergeCell ref="AB420:AH420"/>
    <mergeCell ref="AJ420:AP420"/>
    <mergeCell ref="AB422:AH422"/>
    <mergeCell ref="AJ422:AP422"/>
    <mergeCell ref="AB423:AH423"/>
    <mergeCell ref="AJ423:AP423"/>
    <mergeCell ref="AB424:AH424"/>
    <mergeCell ref="AJ424:AP424"/>
    <mergeCell ref="AB425:AH425"/>
    <mergeCell ref="AJ425:AP425"/>
    <mergeCell ref="AB426:AH426"/>
    <mergeCell ref="AJ426:AP426"/>
    <mergeCell ref="AB427:AH427"/>
    <mergeCell ref="AJ427:AP427"/>
    <mergeCell ref="AB428:AH428"/>
    <mergeCell ref="AJ428:AP428"/>
    <mergeCell ref="AB429:AH429"/>
    <mergeCell ref="AJ429:AP429"/>
    <mergeCell ref="AB430:AH430"/>
    <mergeCell ref="AJ430:AP430"/>
    <mergeCell ref="AB431:AH431"/>
    <mergeCell ref="AJ431:AP431"/>
    <mergeCell ref="AB433:AH433"/>
    <mergeCell ref="AJ433:AP433"/>
    <mergeCell ref="N448:T448"/>
    <mergeCell ref="N458:T458"/>
    <mergeCell ref="N465:T465"/>
    <mergeCell ref="N471:T471"/>
    <mergeCell ref="A484:AP484"/>
    <mergeCell ref="N490:T490"/>
    <mergeCell ref="A553:AP553"/>
    <mergeCell ref="C582:AP582"/>
    <mergeCell ref="A620:AP620"/>
    <mergeCell ref="C638:AP638"/>
    <mergeCell ref="C640:R640"/>
    <mergeCell ref="AB640:AH640"/>
    <mergeCell ref="AJ640:AP640"/>
    <mergeCell ref="AB642:AH642"/>
    <mergeCell ref="AJ642:AP642"/>
    <mergeCell ref="AB643:AH643"/>
    <mergeCell ref="AJ643:AP643"/>
    <mergeCell ref="AB644:AH644"/>
    <mergeCell ref="AJ644:AP644"/>
    <mergeCell ref="AB645:AH645"/>
    <mergeCell ref="AJ645:AP645"/>
    <mergeCell ref="AB646:AH646"/>
    <mergeCell ref="AJ646:AP646"/>
    <mergeCell ref="AB647:AH647"/>
    <mergeCell ref="AJ647:AP647"/>
    <mergeCell ref="AB648:AH648"/>
    <mergeCell ref="AJ648:AP648"/>
    <mergeCell ref="AB649:AH649"/>
    <mergeCell ref="AJ649:AP649"/>
    <mergeCell ref="AB651:AH651"/>
    <mergeCell ref="AJ651:AP651"/>
    <mergeCell ref="AB654:AH654"/>
    <mergeCell ref="AJ654:AP654"/>
    <mergeCell ref="AB656:AH656"/>
    <mergeCell ref="AJ656:AP656"/>
    <mergeCell ref="AB658:AH658"/>
    <mergeCell ref="AJ658:AP658"/>
    <mergeCell ref="C660:AP660"/>
    <mergeCell ref="AB662:AH662"/>
    <mergeCell ref="AJ662:AP662"/>
    <mergeCell ref="AB667:AH667"/>
    <mergeCell ref="AJ667:AP667"/>
    <mergeCell ref="AB668:AH668"/>
    <mergeCell ref="AJ668:AP668"/>
    <mergeCell ref="AB669:AH669"/>
    <mergeCell ref="AJ669:AP669"/>
    <mergeCell ref="AB670:AH670"/>
    <mergeCell ref="AJ670:AP670"/>
    <mergeCell ref="AB671:AH671"/>
    <mergeCell ref="AJ671:AP671"/>
    <mergeCell ref="AB672:AH672"/>
    <mergeCell ref="AJ672:AP672"/>
    <mergeCell ref="AB674:AH674"/>
    <mergeCell ref="AJ674:AP674"/>
    <mergeCell ref="AB675:AH675"/>
    <mergeCell ref="AJ675:AP675"/>
    <mergeCell ref="AB676:AH676"/>
    <mergeCell ref="AJ676:AP676"/>
    <mergeCell ref="AJ677:AP677"/>
    <mergeCell ref="AB678:AH678"/>
    <mergeCell ref="AJ678:AP678"/>
    <mergeCell ref="AB679:AH679"/>
    <mergeCell ref="AJ679:AP679"/>
    <mergeCell ref="C680:AP680"/>
    <mergeCell ref="C682:AP682"/>
    <mergeCell ref="C684:AP684"/>
    <mergeCell ref="A688:AP688"/>
    <mergeCell ref="AB689:AH689"/>
    <mergeCell ref="AJ689:AP689"/>
    <mergeCell ref="C691:AP691"/>
    <mergeCell ref="AT692:AZ692"/>
    <mergeCell ref="AB693:AH693"/>
    <mergeCell ref="AJ693:AP693"/>
    <mergeCell ref="AB694:AH694"/>
    <mergeCell ref="AJ694:AP694"/>
    <mergeCell ref="AB695:AH695"/>
    <mergeCell ref="AJ695:AP695"/>
    <mergeCell ref="AB697:AH697"/>
    <mergeCell ref="AJ697:AP697"/>
    <mergeCell ref="C701:AP701"/>
    <mergeCell ref="P703:T703"/>
    <mergeCell ref="V703:AA703"/>
    <mergeCell ref="AC703:AJ703"/>
    <mergeCell ref="P705:T705"/>
    <mergeCell ref="V705:AA705"/>
    <mergeCell ref="AC705:AJ705"/>
    <mergeCell ref="P706:T706"/>
    <mergeCell ref="V706:AA706"/>
    <mergeCell ref="P707:T707"/>
    <mergeCell ref="V707:AA707"/>
    <mergeCell ref="AC707:AJ707"/>
    <mergeCell ref="P708:T708"/>
    <mergeCell ref="V708:AA708"/>
    <mergeCell ref="AC708:AJ708"/>
    <mergeCell ref="P710:T710"/>
    <mergeCell ref="V710:AA710"/>
    <mergeCell ref="AC710:AJ710"/>
    <mergeCell ref="P712:T712"/>
    <mergeCell ref="V712:AA712"/>
    <mergeCell ref="AC712:AJ712"/>
    <mergeCell ref="P714:T714"/>
    <mergeCell ref="V714:AA714"/>
    <mergeCell ref="AC714:AJ714"/>
    <mergeCell ref="P715:T715"/>
    <mergeCell ref="V715:AA715"/>
    <mergeCell ref="P716:T716"/>
    <mergeCell ref="V716:AA716"/>
    <mergeCell ref="AC716:AJ716"/>
    <mergeCell ref="P717:T717"/>
    <mergeCell ref="V717:AA717"/>
    <mergeCell ref="AC717:AJ717"/>
    <mergeCell ref="P719:T719"/>
    <mergeCell ref="V719:AA719"/>
    <mergeCell ref="AC719:AJ719"/>
    <mergeCell ref="C723:AP723"/>
    <mergeCell ref="C725:AP725"/>
    <mergeCell ref="C727:AP727"/>
    <mergeCell ref="AB729:AH729"/>
    <mergeCell ref="AJ729:AP729"/>
    <mergeCell ref="AB730:AH730"/>
    <mergeCell ref="AJ730:AP730"/>
    <mergeCell ref="AB731:AH731"/>
    <mergeCell ref="AJ731:AP731"/>
    <mergeCell ref="AB732:AH732"/>
    <mergeCell ref="AJ732:AP732"/>
    <mergeCell ref="AB733:AH733"/>
    <mergeCell ref="AJ733:AP733"/>
    <mergeCell ref="AB734:AH734"/>
    <mergeCell ref="AJ734:AP734"/>
    <mergeCell ref="AB735:AH735"/>
    <mergeCell ref="AJ735:AP735"/>
    <mergeCell ref="AB736:AH736"/>
    <mergeCell ref="AJ736:AP736"/>
    <mergeCell ref="C739:AP739"/>
    <mergeCell ref="C743:AP743"/>
    <mergeCell ref="AB745:AH745"/>
    <mergeCell ref="AJ745:AP745"/>
    <mergeCell ref="AB747:AH747"/>
    <mergeCell ref="AJ747:AP747"/>
    <mergeCell ref="AB748:AH748"/>
    <mergeCell ref="AJ748:AP748"/>
    <mergeCell ref="AB749:AH749"/>
    <mergeCell ref="AJ749:AP749"/>
    <mergeCell ref="AB750:AH750"/>
    <mergeCell ref="AJ750:AP750"/>
    <mergeCell ref="AB751:AH751"/>
    <mergeCell ref="AJ751:AP751"/>
    <mergeCell ref="AB752:AH752"/>
    <mergeCell ref="AJ752:AP752"/>
    <mergeCell ref="C754:AP754"/>
    <mergeCell ref="A757:AP757"/>
    <mergeCell ref="AB758:AH758"/>
    <mergeCell ref="AJ758:AP758"/>
    <mergeCell ref="AB759:AH759"/>
    <mergeCell ref="AJ759:AP759"/>
    <mergeCell ref="AB760:AH760"/>
    <mergeCell ref="AJ760:AP760"/>
    <mergeCell ref="AB761:AH761"/>
    <mergeCell ref="AJ761:AP761"/>
    <mergeCell ref="AB762:AH762"/>
    <mergeCell ref="AJ762:AP762"/>
    <mergeCell ref="AB763:AH763"/>
    <mergeCell ref="AJ763:AP763"/>
    <mergeCell ref="AB764:AH764"/>
    <mergeCell ref="AJ764:AP764"/>
    <mergeCell ref="AB765:AH765"/>
    <mergeCell ref="AJ765:AP765"/>
    <mergeCell ref="AB766:AH766"/>
    <mergeCell ref="AJ766:AP766"/>
    <mergeCell ref="AB768:AH768"/>
    <mergeCell ref="AJ768:AP768"/>
    <mergeCell ref="C770:I770"/>
    <mergeCell ref="AB771:AH771"/>
    <mergeCell ref="AJ771:AP771"/>
    <mergeCell ref="AB772:AH772"/>
    <mergeCell ref="AJ772:AP772"/>
    <mergeCell ref="AB773:AH773"/>
    <mergeCell ref="AJ773:AP773"/>
    <mergeCell ref="AB776:AH776"/>
    <mergeCell ref="AJ776:AP776"/>
    <mergeCell ref="AB777:AH777"/>
    <mergeCell ref="AJ777:AP777"/>
    <mergeCell ref="AB778:AH778"/>
    <mergeCell ref="AJ778:AP778"/>
    <mergeCell ref="AB779:AH779"/>
    <mergeCell ref="AJ779:AP779"/>
    <mergeCell ref="AB780:AH780"/>
    <mergeCell ref="AJ780:AP780"/>
    <mergeCell ref="AB781:AH781"/>
    <mergeCell ref="AJ781:AP781"/>
    <mergeCell ref="AB782:AH782"/>
    <mergeCell ref="AJ782:AP782"/>
    <mergeCell ref="AB784:AH784"/>
    <mergeCell ref="AJ784:AP784"/>
    <mergeCell ref="AB786:AH786"/>
    <mergeCell ref="AJ786:AP786"/>
    <mergeCell ref="AB789:AH789"/>
    <mergeCell ref="AJ789:AP789"/>
    <mergeCell ref="AB790:AH790"/>
    <mergeCell ref="AJ790:AP790"/>
    <mergeCell ref="AB792:AH792"/>
    <mergeCell ref="AJ792:AP792"/>
    <mergeCell ref="AB795:AH795"/>
    <mergeCell ref="AJ795:AP795"/>
    <mergeCell ref="AB796:AH796"/>
    <mergeCell ref="AJ796:AP796"/>
    <mergeCell ref="AB797:AH797"/>
    <mergeCell ref="AJ797:AP797"/>
    <mergeCell ref="AB798:AH798"/>
    <mergeCell ref="AJ798:AP798"/>
    <mergeCell ref="AB800:AH800"/>
    <mergeCell ref="AJ800:AP800"/>
    <mergeCell ref="AB802:AH802"/>
    <mergeCell ref="AJ802:AP802"/>
    <mergeCell ref="C806:AP806"/>
    <mergeCell ref="C808:N808"/>
    <mergeCell ref="P808:AB808"/>
    <mergeCell ref="AD808:AP808"/>
    <mergeCell ref="AD809:AP809"/>
    <mergeCell ref="AD810:AP810"/>
    <mergeCell ref="AB815:AH815"/>
    <mergeCell ref="AJ815:AP815"/>
    <mergeCell ref="AB816:AH816"/>
    <mergeCell ref="AJ816:AP816"/>
    <mergeCell ref="AB817:AH817"/>
    <mergeCell ref="AJ817:AP817"/>
    <mergeCell ref="AB818:AH818"/>
    <mergeCell ref="AJ818:AP818"/>
    <mergeCell ref="AB820:AH820"/>
    <mergeCell ref="AJ820:AP820"/>
    <mergeCell ref="C825:AP825"/>
    <mergeCell ref="AB827:AH827"/>
    <mergeCell ref="AJ827:AP827"/>
    <mergeCell ref="AB828:AH828"/>
    <mergeCell ref="AJ828:AP828"/>
    <mergeCell ref="AB829:AH829"/>
    <mergeCell ref="AJ829:AP829"/>
    <mergeCell ref="AB830:AH830"/>
    <mergeCell ref="AJ830:AP830"/>
    <mergeCell ref="AB831:AH831"/>
    <mergeCell ref="AJ831:AP831"/>
    <mergeCell ref="AB832:AH832"/>
    <mergeCell ref="AJ832:AP832"/>
    <mergeCell ref="AB834:AH834"/>
    <mergeCell ref="AJ834:AP834"/>
    <mergeCell ref="AB835:AH835"/>
    <mergeCell ref="AJ835:AP835"/>
    <mergeCell ref="AB836:AH836"/>
    <mergeCell ref="AJ836:AP836"/>
    <mergeCell ref="AB837:AH837"/>
    <mergeCell ref="AJ837:AP837"/>
    <mergeCell ref="AB838:AH838"/>
    <mergeCell ref="AJ838:AP838"/>
    <mergeCell ref="C840:AP840"/>
    <mergeCell ref="A854:AP854"/>
    <mergeCell ref="C857:AP857"/>
    <mergeCell ref="AB859:AH859"/>
    <mergeCell ref="AJ859:AP859"/>
    <mergeCell ref="AB860:AH860"/>
    <mergeCell ref="AJ860:AP860"/>
    <mergeCell ref="AB861:AH861"/>
    <mergeCell ref="AJ861:AP861"/>
    <mergeCell ref="AB862:AH862"/>
    <mergeCell ref="AJ862:AP862"/>
    <mergeCell ref="AB864:AH864"/>
    <mergeCell ref="AJ864:AP864"/>
    <mergeCell ref="AB865:AH865"/>
    <mergeCell ref="AJ865:AP865"/>
    <mergeCell ref="AB867:AH867"/>
    <mergeCell ref="AJ867:AP867"/>
    <mergeCell ref="AB868:AH868"/>
    <mergeCell ref="AJ868:AP868"/>
    <mergeCell ref="AB869:AH869"/>
    <mergeCell ref="AJ869:AP869"/>
    <mergeCell ref="AB870:AH870"/>
    <mergeCell ref="AJ870:AP870"/>
    <mergeCell ref="AB871:AH871"/>
    <mergeCell ref="AJ871:AP871"/>
    <mergeCell ref="AB872:AH872"/>
    <mergeCell ref="AJ872:AP872"/>
    <mergeCell ref="AB873:AH873"/>
    <mergeCell ref="AJ873:AP873"/>
    <mergeCell ref="AB874:AH874"/>
    <mergeCell ref="AJ874:AP874"/>
    <mergeCell ref="C879:AP879"/>
    <mergeCell ref="C881:AP881"/>
    <mergeCell ref="C882:E882"/>
    <mergeCell ref="G882:AP882"/>
    <mergeCell ref="A912:AP912"/>
    <mergeCell ref="K337:K338"/>
    <mergeCell ref="K340:K341"/>
    <mergeCell ref="T337:T338"/>
    <mergeCell ref="T340:T341"/>
    <mergeCell ref="U337:U338"/>
    <mergeCell ref="U340:U341"/>
    <mergeCell ref="C625:AP634"/>
    <mergeCell ref="N610:AP612"/>
    <mergeCell ref="N615:AP616"/>
    <mergeCell ref="N587:AP588"/>
    <mergeCell ref="N590:AP591"/>
    <mergeCell ref="N593:AP595"/>
    <mergeCell ref="N598:AP599"/>
    <mergeCell ref="N604:AP605"/>
    <mergeCell ref="N607:AP608"/>
    <mergeCell ref="C366:AP367"/>
    <mergeCell ref="C848:AP849"/>
    <mergeCell ref="N492:AP496"/>
    <mergeCell ref="C498:AP502"/>
    <mergeCell ref="D506:AP511"/>
    <mergeCell ref="D513:AP520"/>
    <mergeCell ref="D522:AP529"/>
    <mergeCell ref="N461:AP462"/>
    <mergeCell ref="N467:AP468"/>
    <mergeCell ref="N473:AP474"/>
    <mergeCell ref="D531:AP538"/>
    <mergeCell ref="D540:AP546"/>
    <mergeCell ref="D560:AP568"/>
    <mergeCell ref="D570:AP577"/>
    <mergeCell ref="N441:AP445"/>
    <mergeCell ref="N451:AP455"/>
    <mergeCell ref="N459:AP460"/>
    <mergeCell ref="V340:AB341"/>
    <mergeCell ref="AC340:AI341"/>
    <mergeCell ref="AK340:AP341"/>
    <mergeCell ref="V337:AB338"/>
    <mergeCell ref="AC337:AI338"/>
    <mergeCell ref="AK337:AP338"/>
    <mergeCell ref="F340:J341"/>
    <mergeCell ref="F337:J338"/>
    <mergeCell ref="AD182:AI183"/>
    <mergeCell ref="AD162:AI163"/>
    <mergeCell ref="AD136:AI137"/>
    <mergeCell ref="C81:AP83"/>
    <mergeCell ref="AA1:AB5"/>
    <mergeCell ref="AC1:AJ3"/>
    <mergeCell ref="AK1:AP3"/>
    <mergeCell ref="AC4:AJ5"/>
    <mergeCell ref="AK4:AP5"/>
  </mergeCells>
  <pageMargins left="1.18110236220472" right="0.590551181102362" top="0.590551181102362" bottom="0.590551181102362" header="0.31496062992126" footer="0.196850393700787"/>
  <pageSetup paperSize="9" scale="91" firstPageNumber="8" orientation="portrait" useFirstPageNumber="1"/>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2"/>
  <dimension ref="B2:T173"/>
  <sheetViews>
    <sheetView showGridLines="0" topLeftCell="A28" workbookViewId="0">
      <selection activeCell="C9" sqref="C9"/>
    </sheetView>
  </sheetViews>
  <sheetFormatPr defaultColWidth="8.84375" defaultRowHeight="11.4"/>
  <cols>
    <col min="1" max="1" width="3.44791666666667" style="64" customWidth="1"/>
    <col min="2" max="2" width="2.25" style="64" customWidth="1"/>
    <col min="3" max="4" width="8.84375" style="64"/>
    <col min="5" max="5" width="11.3854166666667" style="64" customWidth="1"/>
    <col min="6" max="6" width="29.6666666666667" style="3315" customWidth="1"/>
    <col min="7" max="7" width="15.1354166666667" style="64" customWidth="1"/>
    <col min="8" max="8" width="3.44791666666667" style="64" customWidth="1"/>
    <col min="9" max="9" width="14.9791666666667" style="64" customWidth="1"/>
    <col min="10" max="10" width="3" customWidth="1"/>
    <col min="11" max="11" width="14.8333333333333" style="64" customWidth="1"/>
    <col min="12" max="12" width="13.1875" style="64" hidden="1" customWidth="1"/>
    <col min="13" max="13" width="2.55208333333333" style="64" customWidth="1"/>
    <col min="14" max="14" width="12.4375" hidden="1" customWidth="1" outlineLevel="1"/>
    <col min="15" max="15" width="15.1354166666667" style="64" hidden="1" customWidth="1" outlineLevel="1"/>
    <col min="16" max="16" width="14.6875" hidden="1" customWidth="1" outlineLevel="1"/>
    <col min="17" max="17" width="10.3333333333333" style="64" hidden="1" customWidth="1" outlineLevel="1"/>
    <col min="18" max="19" width="8.84375" style="64" hidden="1" customWidth="1" outlineLevel="1"/>
    <col min="20" max="20" width="13.78125" style="64" customWidth="1" collapsed="1"/>
    <col min="21" max="16384" width="8.84375" style="64"/>
  </cols>
  <sheetData>
    <row r="2" ht="12" spans="2:2">
      <c r="B2" s="94" t="e">
        <f>#REF!</f>
        <v>#REF!</v>
      </c>
    </row>
    <row r="3" spans="2:2">
      <c r="B3" s="64" t="s">
        <v>2131</v>
      </c>
    </row>
    <row r="4" spans="2:2">
      <c r="B4" s="5068" t="s">
        <v>2132</v>
      </c>
    </row>
    <row r="5" ht="8.25" customHeight="1" spans="2:12">
      <c r="B5" s="2402"/>
      <c r="C5" s="2402"/>
      <c r="D5" s="2402"/>
      <c r="E5" s="2402"/>
      <c r="F5" s="3316"/>
      <c r="G5" s="2402"/>
      <c r="H5" s="2402"/>
      <c r="I5" s="2402"/>
      <c r="J5" s="164"/>
      <c r="K5" s="2402"/>
      <c r="L5">
        <v>2017</v>
      </c>
    </row>
    <row r="6" spans="2:12">
      <c r="B6"/>
      <c r="C6"/>
      <c r="D6"/>
      <c r="E6"/>
      <c r="G6"/>
      <c r="H6"/>
      <c r="I6"/>
      <c r="J6" s="159"/>
      <c r="K6"/>
      <c r="L6"/>
    </row>
    <row r="7" ht="12" spans="7:16">
      <c r="G7" s="5110" t="s">
        <v>451</v>
      </c>
      <c r="I7" s="5110" t="s">
        <v>452</v>
      </c>
      <c r="J7" s="94"/>
      <c r="K7" s="5110" t="s">
        <v>453</v>
      </c>
      <c r="P7">
        <f>SUM(P51:P171)</f>
        <v>11178990681</v>
      </c>
    </row>
    <row r="8" ht="12" spans="2:2">
      <c r="B8" s="22" t="s">
        <v>1237</v>
      </c>
    </row>
    <row r="9" ht="12" spans="2:11">
      <c r="B9" s="22"/>
      <c r="C9" t="s">
        <v>1662</v>
      </c>
      <c r="G9" s="64">
        <v>406671434.88</v>
      </c>
      <c r="I9">
        <v>379354097</v>
      </c>
      <c r="J9" s="159"/>
      <c r="K9" s="64">
        <v>0</v>
      </c>
    </row>
    <row r="10" ht="12" spans="2:11">
      <c r="B10" s="22"/>
      <c r="C10" t="s">
        <v>1661</v>
      </c>
      <c r="G10" s="64">
        <v>391977903.64</v>
      </c>
      <c r="I10">
        <v>665967859</v>
      </c>
      <c r="J10" s="159"/>
      <c r="K10" s="64">
        <v>479883917.7</v>
      </c>
    </row>
    <row r="11" ht="12" spans="2:11">
      <c r="B11" s="22"/>
      <c r="C11" s="64" t="s">
        <v>2133</v>
      </c>
      <c r="G11" s="64">
        <v>378645815.8</v>
      </c>
      <c r="I11">
        <v>0</v>
      </c>
      <c r="K11">
        <v>0</v>
      </c>
    </row>
    <row r="12" ht="12" spans="2:11">
      <c r="B12" s="22"/>
      <c r="C12" t="s">
        <v>2134</v>
      </c>
      <c r="G12" s="64">
        <v>196246875</v>
      </c>
      <c r="I12">
        <v>218336360</v>
      </c>
      <c r="J12" s="159"/>
      <c r="K12" s="64">
        <v>193747950</v>
      </c>
    </row>
    <row r="13" ht="12" spans="2:11">
      <c r="B13" s="22"/>
      <c r="C13" t="s">
        <v>1652</v>
      </c>
      <c r="G13" s="64">
        <v>165727570.38</v>
      </c>
      <c r="I13">
        <v>139271089.9</v>
      </c>
      <c r="J13" s="159"/>
      <c r="K13" s="64">
        <v>0</v>
      </c>
    </row>
    <row r="14" ht="12" spans="2:11">
      <c r="B14" s="22"/>
      <c r="C14" t="s">
        <v>1716</v>
      </c>
      <c r="G14" s="64">
        <v>164410620</v>
      </c>
      <c r="I14">
        <v>43426350</v>
      </c>
      <c r="J14" s="159"/>
      <c r="K14" s="64">
        <v>33030360</v>
      </c>
    </row>
    <row r="15" ht="12" spans="2:11">
      <c r="B15" s="22"/>
      <c r="C15" s="64" t="s">
        <v>2135</v>
      </c>
      <c r="G15" s="64">
        <v>162570320</v>
      </c>
      <c r="I15">
        <v>0</v>
      </c>
      <c r="K15">
        <v>0</v>
      </c>
    </row>
    <row r="16" ht="12" spans="2:11">
      <c r="B16" s="22"/>
      <c r="C16" t="s">
        <v>2136</v>
      </c>
      <c r="G16" s="64">
        <v>148000000</v>
      </c>
      <c r="I16">
        <v>0</v>
      </c>
      <c r="K16">
        <v>0</v>
      </c>
    </row>
    <row r="17" outlineLevel="1" spans="3:15">
      <c r="C17" s="64" t="s">
        <v>2137</v>
      </c>
      <c r="G17" s="64">
        <v>145365000</v>
      </c>
      <c r="I17" s="64">
        <v>0</v>
      </c>
      <c r="K17" s="64">
        <v>71555825</v>
      </c>
      <c r="O17"/>
    </row>
    <row r="18" ht="12" spans="2:11">
      <c r="B18" s="22"/>
      <c r="C18" s="64" t="s">
        <v>1648</v>
      </c>
      <c r="G18" s="64">
        <v>141114879.6</v>
      </c>
      <c r="I18" s="64">
        <v>17160000</v>
      </c>
      <c r="K18" s="64">
        <v>0</v>
      </c>
    </row>
    <row r="19" ht="12" spans="2:11">
      <c r="B19" s="22"/>
      <c r="C19" t="s">
        <v>1707</v>
      </c>
      <c r="G19" s="64">
        <v>135113489.2</v>
      </c>
      <c r="I19">
        <v>225196565</v>
      </c>
      <c r="J19" s="159"/>
      <c r="K19" s="64">
        <v>46114200</v>
      </c>
    </row>
    <row r="20" ht="12" spans="2:11">
      <c r="B20" s="22"/>
      <c r="C20" t="s">
        <v>1724</v>
      </c>
      <c r="G20" s="64">
        <v>133579641.4</v>
      </c>
      <c r="I20">
        <v>136668940</v>
      </c>
      <c r="J20" s="159"/>
      <c r="K20" s="64">
        <v>0</v>
      </c>
    </row>
    <row r="21" ht="12" spans="2:11">
      <c r="B21" s="22"/>
      <c r="C21" t="s">
        <v>1702</v>
      </c>
      <c r="G21" s="64">
        <v>133460767.85</v>
      </c>
      <c r="I21">
        <v>133660728</v>
      </c>
      <c r="K21" s="64">
        <v>0</v>
      </c>
    </row>
    <row r="22" ht="12" spans="2:11">
      <c r="B22" s="22"/>
      <c r="C22" t="s">
        <v>2138</v>
      </c>
      <c r="G22" s="18">
        <v>109716000</v>
      </c>
      <c r="I22">
        <v>0</v>
      </c>
      <c r="K22">
        <v>0</v>
      </c>
    </row>
    <row r="23" ht="12" spans="2:11">
      <c r="B23" s="22"/>
      <c r="C23" t="s">
        <v>2139</v>
      </c>
      <c r="G23" s="18">
        <v>105863891.73</v>
      </c>
      <c r="I23">
        <v>0</v>
      </c>
      <c r="K23">
        <v>0</v>
      </c>
    </row>
    <row r="24" ht="12" spans="2:11">
      <c r="B24" s="22"/>
      <c r="C24" t="s">
        <v>2140</v>
      </c>
      <c r="G24" s="18">
        <v>102929694</v>
      </c>
      <c r="I24">
        <v>0</v>
      </c>
      <c r="K24">
        <v>0</v>
      </c>
    </row>
    <row r="25" ht="12" spans="2:11">
      <c r="B25" s="22"/>
      <c r="C25" t="s">
        <v>2141</v>
      </c>
      <c r="G25" s="18">
        <v>98571000</v>
      </c>
      <c r="I25">
        <v>0</v>
      </c>
      <c r="K25">
        <v>0</v>
      </c>
    </row>
    <row r="26" ht="12" spans="2:11">
      <c r="B26" s="22"/>
      <c r="C26" s="64" t="s">
        <v>1694</v>
      </c>
      <c r="G26" s="64">
        <v>92758235.11</v>
      </c>
      <c r="I26" s="64">
        <v>20959155</v>
      </c>
      <c r="K26" s="64">
        <v>0</v>
      </c>
    </row>
    <row r="27" ht="12" spans="2:11">
      <c r="B27" s="22"/>
      <c r="C27" t="s">
        <v>1519</v>
      </c>
      <c r="E27" s="3318"/>
      <c r="F27" s="3319"/>
      <c r="G27" s="18">
        <v>92628708</v>
      </c>
      <c r="I27">
        <v>0</v>
      </c>
      <c r="K27">
        <v>0</v>
      </c>
    </row>
    <row r="28" ht="12" spans="2:11">
      <c r="B28" s="22"/>
      <c r="C28" t="s">
        <v>1668</v>
      </c>
      <c r="E28" s="3318"/>
      <c r="F28" s="3319"/>
      <c r="G28" s="64">
        <v>90067454</v>
      </c>
      <c r="I28">
        <v>210157390</v>
      </c>
      <c r="J28" s="159"/>
      <c r="K28" s="64">
        <v>139637567.3</v>
      </c>
    </row>
    <row r="29" ht="12" spans="2:11">
      <c r="B29" s="22"/>
      <c r="C29" t="s">
        <v>2142</v>
      </c>
      <c r="E29" s="3320"/>
      <c r="F29" s="3321"/>
      <c r="G29" s="18">
        <v>86705000</v>
      </c>
      <c r="I29">
        <v>0</v>
      </c>
      <c r="K29">
        <v>0</v>
      </c>
    </row>
    <row r="30" ht="12" spans="2:11">
      <c r="B30" s="22"/>
      <c r="C30" t="s">
        <v>2143</v>
      </c>
      <c r="E30" s="3318"/>
      <c r="F30" s="3319"/>
      <c r="G30" s="64">
        <v>85605875</v>
      </c>
      <c r="I30">
        <v>70726200</v>
      </c>
      <c r="J30" s="159"/>
      <c r="K30" s="64">
        <v>0</v>
      </c>
    </row>
    <row r="31" ht="12" spans="2:11">
      <c r="B31" s="22"/>
      <c r="C31" t="s">
        <v>1714</v>
      </c>
      <c r="E31" s="3318"/>
      <c r="F31" s="3319"/>
      <c r="G31" s="64">
        <v>83755900</v>
      </c>
      <c r="I31">
        <v>264107250</v>
      </c>
      <c r="K31" s="64">
        <v>484015387.9</v>
      </c>
    </row>
    <row r="32" ht="12" spans="2:11">
      <c r="B32" s="22"/>
      <c r="C32" t="s">
        <v>2144</v>
      </c>
      <c r="E32" s="3320"/>
      <c r="F32" s="3321"/>
      <c r="G32" s="18">
        <v>81775440</v>
      </c>
      <c r="I32">
        <v>0</v>
      </c>
      <c r="K32">
        <v>0</v>
      </c>
    </row>
    <row r="33" ht="12" spans="2:11">
      <c r="B33" s="22"/>
      <c r="C33" t="s">
        <v>2145</v>
      </c>
      <c r="E33" s="3320"/>
      <c r="F33" s="3321"/>
      <c r="G33" s="18">
        <v>76500001</v>
      </c>
      <c r="I33">
        <v>0</v>
      </c>
      <c r="K33">
        <v>0</v>
      </c>
    </row>
    <row r="34" ht="12" spans="2:11">
      <c r="B34" s="22"/>
      <c r="C34" t="s">
        <v>2146</v>
      </c>
      <c r="E34" s="3320"/>
      <c r="F34" s="3321"/>
      <c r="G34" s="18">
        <v>74639518</v>
      </c>
      <c r="I34">
        <v>0</v>
      </c>
      <c r="K34">
        <v>0</v>
      </c>
    </row>
    <row r="35" ht="12" spans="2:11">
      <c r="B35" s="22"/>
      <c r="C35" t="s">
        <v>2147</v>
      </c>
      <c r="E35" s="3320"/>
      <c r="F35" s="3321"/>
      <c r="G35" s="18">
        <v>70885500</v>
      </c>
      <c r="I35">
        <v>0</v>
      </c>
      <c r="K35">
        <v>0</v>
      </c>
    </row>
    <row r="36" ht="12" spans="2:11">
      <c r="B36" s="22"/>
      <c r="C36" t="s">
        <v>2148</v>
      </c>
      <c r="E36" s="3320"/>
      <c r="F36" s="3321"/>
      <c r="G36" s="18">
        <v>69250000</v>
      </c>
      <c r="I36">
        <v>0</v>
      </c>
      <c r="K36">
        <v>0</v>
      </c>
    </row>
    <row r="37" ht="12" spans="2:11">
      <c r="B37" s="22"/>
      <c r="C37" t="s">
        <v>2149</v>
      </c>
      <c r="E37" s="3320"/>
      <c r="F37" s="3321"/>
      <c r="G37" s="18">
        <v>68045690</v>
      </c>
      <c r="I37">
        <v>0</v>
      </c>
      <c r="K37">
        <v>0</v>
      </c>
    </row>
    <row r="38" ht="12" spans="2:11">
      <c r="B38" s="22"/>
      <c r="C38" t="s">
        <v>1664</v>
      </c>
      <c r="E38" s="3318"/>
      <c r="F38" s="3319"/>
      <c r="G38" s="64">
        <v>67802400</v>
      </c>
      <c r="I38">
        <v>115732800</v>
      </c>
      <c r="J38" s="159"/>
      <c r="K38" s="64">
        <v>0</v>
      </c>
    </row>
    <row r="39" ht="12" spans="2:11">
      <c r="B39" s="22"/>
      <c r="C39" t="s">
        <v>1703</v>
      </c>
      <c r="E39" s="3318"/>
      <c r="F39" s="3319"/>
      <c r="G39" s="64">
        <v>66618970</v>
      </c>
      <c r="I39">
        <v>111401895</v>
      </c>
      <c r="K39" s="64">
        <v>0</v>
      </c>
    </row>
    <row r="40" ht="12" spans="2:11">
      <c r="B40" s="22"/>
      <c r="C40" t="s">
        <v>2150</v>
      </c>
      <c r="E40" s="3320"/>
      <c r="F40" s="3321"/>
      <c r="G40" s="18">
        <v>66369975</v>
      </c>
      <c r="I40">
        <v>0</v>
      </c>
      <c r="K40">
        <v>0</v>
      </c>
    </row>
    <row r="41" ht="12" spans="2:11">
      <c r="B41" s="22"/>
      <c r="C41" t="s">
        <v>1719</v>
      </c>
      <c r="E41" s="3318"/>
      <c r="F41" s="3319"/>
      <c r="G41" s="64">
        <v>57775260</v>
      </c>
      <c r="I41">
        <v>119042906</v>
      </c>
      <c r="J41" s="159"/>
      <c r="K41" s="64">
        <v>0</v>
      </c>
    </row>
    <row r="42" ht="12" spans="2:11">
      <c r="B42" s="22"/>
      <c r="C42" s="64" t="s">
        <v>1682</v>
      </c>
      <c r="E42" s="3318"/>
      <c r="F42" s="3319"/>
      <c r="G42" s="64">
        <v>50926180</v>
      </c>
      <c r="I42" s="64">
        <v>22490930</v>
      </c>
      <c r="J42" s="159"/>
      <c r="K42" s="64">
        <v>116047963.9</v>
      </c>
    </row>
    <row r="43" ht="12" spans="2:11">
      <c r="B43" s="22"/>
      <c r="C43" t="s">
        <v>2151</v>
      </c>
      <c r="E43" s="3320"/>
      <c r="F43" s="3321"/>
      <c r="G43" s="18">
        <v>50000000</v>
      </c>
      <c r="I43">
        <v>0</v>
      </c>
      <c r="K43">
        <v>0</v>
      </c>
    </row>
    <row r="44" ht="12" spans="2:11">
      <c r="B44" s="22"/>
      <c r="C44" t="s">
        <v>2152</v>
      </c>
      <c r="E44" s="3320"/>
      <c r="F44" s="3321"/>
      <c r="G44" s="64">
        <v>48280000</v>
      </c>
      <c r="I44">
        <v>58175800</v>
      </c>
      <c r="K44" s="64">
        <v>266108383</v>
      </c>
    </row>
    <row r="45" ht="12" spans="2:11">
      <c r="B45" s="22"/>
      <c r="C45" t="s">
        <v>2153</v>
      </c>
      <c r="E45" s="3320"/>
      <c r="F45" s="3321"/>
      <c r="G45" s="18">
        <v>46212870</v>
      </c>
      <c r="I45">
        <v>0</v>
      </c>
      <c r="K45">
        <v>0</v>
      </c>
    </row>
    <row r="46" ht="12" spans="2:11">
      <c r="B46" s="22"/>
      <c r="C46" t="s">
        <v>1678</v>
      </c>
      <c r="E46" s="3318"/>
      <c r="F46" s="3319"/>
      <c r="G46" s="64">
        <v>44068195.4</v>
      </c>
      <c r="I46">
        <v>43355943</v>
      </c>
      <c r="J46" s="159"/>
      <c r="K46" s="64">
        <v>26339922.4</v>
      </c>
    </row>
    <row r="47" ht="12" spans="2:11">
      <c r="B47" s="22"/>
      <c r="C47" t="s">
        <v>1709</v>
      </c>
      <c r="E47" s="3318"/>
      <c r="F47" s="3319"/>
      <c r="G47" s="64">
        <v>43881013.25</v>
      </c>
      <c r="I47">
        <v>65777559</v>
      </c>
      <c r="J47" s="159"/>
      <c r="K47" s="64">
        <v>25983430</v>
      </c>
    </row>
    <row r="48" ht="12" spans="2:11">
      <c r="B48" s="22"/>
      <c r="C48" t="s">
        <v>2154</v>
      </c>
      <c r="E48" s="3320"/>
      <c r="F48" s="3321"/>
      <c r="G48" s="18">
        <v>41901499</v>
      </c>
      <c r="I48">
        <v>0</v>
      </c>
      <c r="K48">
        <v>0</v>
      </c>
    </row>
    <row r="49" ht="12" spans="2:11">
      <c r="B49" s="22"/>
      <c r="C49" t="s">
        <v>2155</v>
      </c>
      <c r="E49" s="3320"/>
      <c r="F49" s="3321"/>
      <c r="G49" s="18">
        <v>40940119</v>
      </c>
      <c r="I49">
        <v>0</v>
      </c>
      <c r="K49">
        <v>0</v>
      </c>
    </row>
    <row r="50" ht="12" spans="2:11">
      <c r="B50" s="22"/>
      <c r="C50" s="64" t="s">
        <v>1679</v>
      </c>
      <c r="E50" s="3320"/>
      <c r="F50" s="3321"/>
      <c r="G50" s="64">
        <v>40565000</v>
      </c>
      <c r="I50" s="64">
        <v>7525000</v>
      </c>
      <c r="K50" s="64">
        <v>149557294.7</v>
      </c>
    </row>
    <row r="51" spans="3:17">
      <c r="C51" t="s">
        <v>1711</v>
      </c>
      <c r="E51" s="3318"/>
      <c r="F51" s="3319"/>
      <c r="G51" s="64">
        <v>39225000</v>
      </c>
      <c r="I51">
        <v>59960000</v>
      </c>
      <c r="J51" s="159"/>
      <c r="K51" s="64">
        <v>0</v>
      </c>
      <c r="L51" s="64">
        <v>3011626224</v>
      </c>
      <c r="N51" t="s">
        <v>2156</v>
      </c>
      <c r="O51"/>
      <c r="P51">
        <v>5879764363</v>
      </c>
      <c r="Q51" s="64">
        <f>I51-P51</f>
        <v>-5819804363</v>
      </c>
    </row>
    <row r="52" spans="3:17">
      <c r="C52" t="s">
        <v>1728</v>
      </c>
      <c r="E52" s="3318"/>
      <c r="F52" s="3319"/>
      <c r="G52" s="64">
        <v>39035816.6</v>
      </c>
      <c r="I52">
        <v>58424097</v>
      </c>
      <c r="K52" s="64">
        <v>13880821.9</v>
      </c>
      <c r="N52" t="s">
        <v>2157</v>
      </c>
      <c r="O52"/>
      <c r="P52">
        <v>148800000</v>
      </c>
      <c r="Q52" s="64">
        <f t="shared" ref="Q52:Q112" si="0">I52-P52</f>
        <v>-90375903</v>
      </c>
    </row>
    <row r="53" spans="3:17">
      <c r="C53" t="s">
        <v>2158</v>
      </c>
      <c r="E53" s="3320"/>
      <c r="F53" s="3321"/>
      <c r="G53" s="18">
        <v>37199880</v>
      </c>
      <c r="I53">
        <v>0</v>
      </c>
      <c r="K53">
        <v>0</v>
      </c>
      <c r="L53" s="64">
        <v>14910324</v>
      </c>
      <c r="N53" t="s">
        <v>2159</v>
      </c>
      <c r="O53"/>
      <c r="P53">
        <v>130957683</v>
      </c>
      <c r="Q53" s="64">
        <f t="shared" si="0"/>
        <v>-130957683</v>
      </c>
    </row>
    <row r="54" spans="3:17">
      <c r="C54" t="s">
        <v>1669</v>
      </c>
      <c r="E54" s="3318"/>
      <c r="F54" s="3319"/>
      <c r="G54" s="64">
        <v>35043160</v>
      </c>
      <c r="I54">
        <v>27561561</v>
      </c>
      <c r="J54" s="159"/>
      <c r="K54" s="64">
        <v>31297730.2</v>
      </c>
      <c r="L54" s="64">
        <v>22780943</v>
      </c>
      <c r="N54" t="s">
        <v>2160</v>
      </c>
      <c r="O54"/>
      <c r="P54">
        <v>97187956</v>
      </c>
      <c r="Q54" s="64">
        <f t="shared" si="0"/>
        <v>-69626395</v>
      </c>
    </row>
    <row r="55" spans="3:17">
      <c r="C55" t="s">
        <v>2161</v>
      </c>
      <c r="E55" s="3320"/>
      <c r="F55" s="3321"/>
      <c r="G55" s="18">
        <v>28850000</v>
      </c>
      <c r="I55">
        <v>0</v>
      </c>
      <c r="K55">
        <v>0</v>
      </c>
      <c r="L55" s="64">
        <v>58443193</v>
      </c>
      <c r="N55" t="s">
        <v>2162</v>
      </c>
      <c r="O55"/>
      <c r="P55">
        <v>80041593</v>
      </c>
      <c r="Q55" s="64">
        <f t="shared" si="0"/>
        <v>-80041593</v>
      </c>
    </row>
    <row r="56" spans="3:17">
      <c r="C56" t="s">
        <v>2163</v>
      </c>
      <c r="E56" s="3320"/>
      <c r="F56" s="3321"/>
      <c r="G56" s="18">
        <v>27717390</v>
      </c>
      <c r="I56">
        <v>0</v>
      </c>
      <c r="K56">
        <v>0</v>
      </c>
      <c r="L56" s="64">
        <v>29893462</v>
      </c>
      <c r="N56" t="s">
        <v>2164</v>
      </c>
      <c r="O56"/>
      <c r="P56">
        <v>58477805</v>
      </c>
      <c r="Q56" s="64">
        <f t="shared" si="0"/>
        <v>-58477805</v>
      </c>
    </row>
    <row r="57" spans="3:17">
      <c r="C57" t="s">
        <v>1732</v>
      </c>
      <c r="E57" s="3318"/>
      <c r="F57" s="3319"/>
      <c r="G57" s="64">
        <v>26409020</v>
      </c>
      <c r="I57">
        <v>92664000</v>
      </c>
      <c r="J57" s="64"/>
      <c r="K57" s="64">
        <v>103257000</v>
      </c>
      <c r="N57" t="s">
        <v>2165</v>
      </c>
      <c r="O57"/>
      <c r="P57">
        <v>52140884</v>
      </c>
      <c r="Q57" s="64">
        <f t="shared" si="0"/>
        <v>40523116</v>
      </c>
    </row>
    <row r="58" spans="3:17">
      <c r="C58" t="s">
        <v>2166</v>
      </c>
      <c r="E58" s="3320"/>
      <c r="F58" s="3321"/>
      <c r="G58" s="18">
        <v>25375460</v>
      </c>
      <c r="I58">
        <v>0</v>
      </c>
      <c r="K58">
        <v>0</v>
      </c>
      <c r="L58" s="64">
        <v>43266791</v>
      </c>
      <c r="N58" t="s">
        <v>2167</v>
      </c>
      <c r="O58"/>
      <c r="P58">
        <v>42100581</v>
      </c>
      <c r="Q58" s="64">
        <f t="shared" si="0"/>
        <v>-42100581</v>
      </c>
    </row>
    <row r="59" spans="3:17">
      <c r="C59" t="s">
        <v>2168</v>
      </c>
      <c r="E59" s="3320"/>
      <c r="F59" s="3321"/>
      <c r="G59" s="18">
        <v>25000000</v>
      </c>
      <c r="I59">
        <v>0</v>
      </c>
      <c r="K59">
        <v>0</v>
      </c>
      <c r="L59" s="64">
        <v>0</v>
      </c>
      <c r="N59" t="s">
        <v>2169</v>
      </c>
      <c r="O59"/>
      <c r="P59">
        <v>41190701</v>
      </c>
      <c r="Q59" s="64">
        <f t="shared" si="0"/>
        <v>-41190701</v>
      </c>
    </row>
    <row r="60" spans="3:17">
      <c r="C60" t="s">
        <v>2170</v>
      </c>
      <c r="E60" s="3320"/>
      <c r="F60" s="3321"/>
      <c r="G60" s="18">
        <v>24472800</v>
      </c>
      <c r="I60">
        <v>0</v>
      </c>
      <c r="K60">
        <v>0</v>
      </c>
      <c r="L60" s="64">
        <v>43930442</v>
      </c>
      <c r="N60" t="s">
        <v>2171</v>
      </c>
      <c r="O60"/>
      <c r="P60">
        <v>39886956</v>
      </c>
      <c r="Q60" s="64">
        <f t="shared" si="0"/>
        <v>-39886956</v>
      </c>
    </row>
    <row r="61" spans="3:17">
      <c r="C61" t="s">
        <v>2172</v>
      </c>
      <c r="E61" s="3320"/>
      <c r="F61" s="3321"/>
      <c r="G61" s="18">
        <v>24300000</v>
      </c>
      <c r="I61">
        <v>0</v>
      </c>
      <c r="K61">
        <v>0</v>
      </c>
      <c r="N61" t="s">
        <v>2173</v>
      </c>
      <c r="O61"/>
      <c r="P61">
        <v>37432785</v>
      </c>
      <c r="Q61" s="64">
        <f t="shared" si="0"/>
        <v>-37432785</v>
      </c>
    </row>
    <row r="62" spans="3:17">
      <c r="C62" t="s">
        <v>1595</v>
      </c>
      <c r="E62" s="3320"/>
      <c r="F62" s="3321"/>
      <c r="G62" s="18">
        <v>22864539.4</v>
      </c>
      <c r="I62">
        <v>0</v>
      </c>
      <c r="K62">
        <v>0</v>
      </c>
      <c r="L62" s="64">
        <v>0</v>
      </c>
      <c r="N62" t="s">
        <v>2174</v>
      </c>
      <c r="O62"/>
      <c r="P62">
        <v>34569562</v>
      </c>
      <c r="Q62" s="64">
        <f t="shared" si="0"/>
        <v>-34569562</v>
      </c>
    </row>
    <row r="63" spans="3:17">
      <c r="C63" t="s">
        <v>2175</v>
      </c>
      <c r="E63" s="3320"/>
      <c r="F63" s="3321"/>
      <c r="G63" s="18">
        <v>22500000</v>
      </c>
      <c r="I63">
        <v>0</v>
      </c>
      <c r="K63">
        <v>0</v>
      </c>
      <c r="O63"/>
      <c r="Q63" s="64">
        <f t="shared" si="0"/>
        <v>0</v>
      </c>
    </row>
    <row r="64" spans="3:17">
      <c r="C64" t="s">
        <v>2176</v>
      </c>
      <c r="E64" s="3320"/>
      <c r="F64" s="3321"/>
      <c r="G64" s="18">
        <v>22480761.5</v>
      </c>
      <c r="I64">
        <v>0</v>
      </c>
      <c r="K64">
        <v>0</v>
      </c>
      <c r="L64" s="64">
        <v>51368222</v>
      </c>
      <c r="N64" t="s">
        <v>2177</v>
      </c>
      <c r="O64"/>
      <c r="P64">
        <v>26626415</v>
      </c>
      <c r="Q64" s="64">
        <f t="shared" si="0"/>
        <v>-26626415</v>
      </c>
    </row>
    <row r="65" spans="3:17">
      <c r="C65" t="s">
        <v>2178</v>
      </c>
      <c r="E65" s="3320"/>
      <c r="F65" s="3321"/>
      <c r="G65" s="18">
        <v>21925000</v>
      </c>
      <c r="I65">
        <v>0</v>
      </c>
      <c r="K65">
        <v>0</v>
      </c>
      <c r="L65" s="64">
        <v>5526068</v>
      </c>
      <c r="N65" t="s">
        <v>2179</v>
      </c>
      <c r="O65"/>
      <c r="P65">
        <v>24471364</v>
      </c>
      <c r="Q65" s="64">
        <f t="shared" si="0"/>
        <v>-24471364</v>
      </c>
    </row>
    <row r="66" spans="7:15">
      <c r="G66" s="2402"/>
      <c r="I66" s="2402"/>
      <c r="J66" s="159"/>
      <c r="K66" s="2402"/>
      <c r="O66"/>
    </row>
    <row r="67" ht="12" spans="3:15">
      <c r="C67" s="64" t="s">
        <v>2180</v>
      </c>
      <c r="D67" s="94"/>
      <c r="E67" s="94"/>
      <c r="F67" s="3322"/>
      <c r="G67" s="3323">
        <f>SUM(G9:G66)</f>
        <v>5180322533.74</v>
      </c>
      <c r="H67" s="94"/>
      <c r="I67" s="3323">
        <f>SUM(I9:I66)</f>
        <v>3307104474.9</v>
      </c>
      <c r="J67" s="1364"/>
      <c r="K67" s="94">
        <f>SUM(K9:K66)</f>
        <v>2180457754</v>
      </c>
      <c r="O67"/>
    </row>
    <row r="68" spans="3:15">
      <c r="C68"/>
      <c r="E68" s="3320"/>
      <c r="F68" s="3321"/>
      <c r="G68" s="18"/>
      <c r="I68"/>
      <c r="K68"/>
      <c r="O68"/>
    </row>
    <row r="69" ht="12" spans="2:15">
      <c r="B69" s="94" t="e">
        <f>B2</f>
        <v>#REF!</v>
      </c>
      <c r="J69" s="159"/>
      <c r="O69"/>
    </row>
    <row r="70" spans="2:15">
      <c r="B70" s="64" t="s">
        <v>2181</v>
      </c>
      <c r="J70" s="159"/>
      <c r="O70"/>
    </row>
    <row r="71" spans="2:15">
      <c r="B71" s="5068" t="s">
        <v>2182</v>
      </c>
      <c r="J71" s="159"/>
      <c r="O71"/>
    </row>
    <row r="72" spans="2:15">
      <c r="B72" s="2402"/>
      <c r="C72" s="2402"/>
      <c r="D72" s="2402"/>
      <c r="E72" s="2402"/>
      <c r="F72" s="3316"/>
      <c r="G72" s="2402"/>
      <c r="H72" s="2402"/>
      <c r="I72" s="2402"/>
      <c r="J72" s="164"/>
      <c r="K72" s="2402"/>
      <c r="O72"/>
    </row>
    <row r="73" spans="10:15">
      <c r="J73" s="159"/>
      <c r="O73"/>
    </row>
    <row r="74" ht="12" spans="7:15">
      <c r="G74" s="5110" t="s">
        <v>453</v>
      </c>
      <c r="I74" s="5110" t="s">
        <v>1784</v>
      </c>
      <c r="J74" s="94"/>
      <c r="K74" s="5110" t="s">
        <v>537</v>
      </c>
      <c r="O74"/>
    </row>
    <row r="75" ht="12" spans="2:15">
      <c r="B75" s="22" t="s">
        <v>1237</v>
      </c>
      <c r="O75"/>
    </row>
    <row r="76" ht="12" spans="2:15">
      <c r="B76" s="22"/>
      <c r="O76"/>
    </row>
    <row r="77" ht="12" spans="3:15">
      <c r="C77" s="64" t="s">
        <v>2183</v>
      </c>
      <c r="D77" s="94"/>
      <c r="E77" s="94"/>
      <c r="F77" s="3322"/>
      <c r="G77" s="1350">
        <f>G67</f>
        <v>5180322533.74</v>
      </c>
      <c r="H77" s="94"/>
      <c r="I77" s="1350">
        <f>I67</f>
        <v>3307104474.9</v>
      </c>
      <c r="J77" s="1364"/>
      <c r="K77" s="1364">
        <f>K67</f>
        <v>2180457754</v>
      </c>
      <c r="O77"/>
    </row>
    <row r="78" spans="3:15">
      <c r="C78"/>
      <c r="E78" s="3320"/>
      <c r="F78" s="3321"/>
      <c r="G78" s="18"/>
      <c r="I78"/>
      <c r="K78"/>
      <c r="O78"/>
    </row>
    <row r="79" spans="3:17">
      <c r="C79" t="s">
        <v>1663</v>
      </c>
      <c r="E79" s="3318"/>
      <c r="F79" s="3319"/>
      <c r="G79" s="64">
        <v>21420551</v>
      </c>
      <c r="I79">
        <v>35348901</v>
      </c>
      <c r="J79" s="159"/>
      <c r="K79" s="64">
        <v>0</v>
      </c>
      <c r="L79" s="64">
        <v>22704722</v>
      </c>
      <c r="N79" t="s">
        <v>2184</v>
      </c>
      <c r="O79"/>
      <c r="P79">
        <v>23957755</v>
      </c>
      <c r="Q79" s="64">
        <f t="shared" si="0"/>
        <v>11391146</v>
      </c>
    </row>
    <row r="80" spans="3:18">
      <c r="C80" t="s">
        <v>2185</v>
      </c>
      <c r="E80" s="3320"/>
      <c r="F80" s="3321"/>
      <c r="G80" s="18">
        <v>20060700</v>
      </c>
      <c r="I80">
        <v>0</v>
      </c>
      <c r="K80">
        <v>0</v>
      </c>
      <c r="L80" s="64">
        <v>0</v>
      </c>
      <c r="N80" t="s">
        <v>2186</v>
      </c>
      <c r="O80"/>
      <c r="P80">
        <v>23445180</v>
      </c>
      <c r="Q80" s="64">
        <f t="shared" si="0"/>
        <v>-23445180</v>
      </c>
      <c r="R80" s="64" t="s">
        <v>2187</v>
      </c>
    </row>
    <row r="81" spans="3:17">
      <c r="C81" t="s">
        <v>2188</v>
      </c>
      <c r="E81" s="3320"/>
      <c r="F81" s="3321"/>
      <c r="G81" s="18">
        <v>19500000</v>
      </c>
      <c r="I81">
        <v>0</v>
      </c>
      <c r="K81">
        <v>0</v>
      </c>
      <c r="N81" t="s">
        <v>2189</v>
      </c>
      <c r="O81"/>
      <c r="P81">
        <v>22951734</v>
      </c>
      <c r="Q81" s="64">
        <f t="shared" si="0"/>
        <v>-22951734</v>
      </c>
    </row>
    <row r="82" spans="3:17">
      <c r="C82" t="s">
        <v>2190</v>
      </c>
      <c r="E82" s="3320"/>
      <c r="F82" s="3321"/>
      <c r="G82" s="18">
        <v>19000000</v>
      </c>
      <c r="I82">
        <v>0</v>
      </c>
      <c r="K82">
        <v>0</v>
      </c>
      <c r="L82" s="64">
        <v>6650980</v>
      </c>
      <c r="N82" t="s">
        <v>2191</v>
      </c>
      <c r="O82"/>
      <c r="P82">
        <v>22704722</v>
      </c>
      <c r="Q82" s="64">
        <f t="shared" si="0"/>
        <v>-22704722</v>
      </c>
    </row>
    <row r="83" spans="3:15">
      <c r="C83" t="s">
        <v>1718</v>
      </c>
      <c r="E83" s="3318"/>
      <c r="F83" s="3319"/>
      <c r="G83" s="64">
        <v>18860475</v>
      </c>
      <c r="I83">
        <v>40291629</v>
      </c>
      <c r="J83" s="159"/>
      <c r="K83" s="64">
        <v>44678568</v>
      </c>
      <c r="L83" s="64">
        <v>27750931</v>
      </c>
      <c r="O83"/>
    </row>
    <row r="84" spans="3:17">
      <c r="C84" t="s">
        <v>2192</v>
      </c>
      <c r="E84" s="3320"/>
      <c r="F84" s="3321"/>
      <c r="G84" s="18">
        <v>17112743</v>
      </c>
      <c r="I84">
        <v>0</v>
      </c>
      <c r="K84">
        <v>0</v>
      </c>
      <c r="L84" s="64">
        <v>0</v>
      </c>
      <c r="N84" t="s">
        <v>2193</v>
      </c>
      <c r="O84"/>
      <c r="P84">
        <v>17100000</v>
      </c>
      <c r="Q84" s="64">
        <f t="shared" si="0"/>
        <v>-17100000</v>
      </c>
    </row>
    <row r="85" spans="3:17">
      <c r="C85" t="s">
        <v>1562</v>
      </c>
      <c r="E85" s="3320"/>
      <c r="F85" s="3321"/>
      <c r="G85" s="18">
        <v>16360000</v>
      </c>
      <c r="I85">
        <v>0</v>
      </c>
      <c r="K85">
        <v>0</v>
      </c>
      <c r="N85" t="s">
        <v>2194</v>
      </c>
      <c r="O85"/>
      <c r="P85">
        <v>17086987</v>
      </c>
      <c r="Q85" s="64">
        <f t="shared" si="0"/>
        <v>-17086987</v>
      </c>
    </row>
    <row r="86" spans="3:17">
      <c r="C86" s="64" t="s">
        <v>1701</v>
      </c>
      <c r="E86" s="3320"/>
      <c r="F86" s="3321"/>
      <c r="G86" s="64">
        <v>15177690.6</v>
      </c>
      <c r="I86" s="64">
        <v>26549600</v>
      </c>
      <c r="K86" s="64">
        <v>0</v>
      </c>
      <c r="L86" s="64">
        <v>14685439</v>
      </c>
      <c r="N86" t="s">
        <v>2195</v>
      </c>
      <c r="O86"/>
      <c r="P86">
        <v>14685439</v>
      </c>
      <c r="Q86" s="64">
        <f t="shared" si="0"/>
        <v>11864161</v>
      </c>
    </row>
    <row r="87" spans="3:17">
      <c r="C87" t="s">
        <v>1715</v>
      </c>
      <c r="E87" s="3318"/>
      <c r="F87" s="3319"/>
      <c r="G87" s="64">
        <v>15050750</v>
      </c>
      <c r="I87">
        <v>54260965</v>
      </c>
      <c r="J87" s="159"/>
      <c r="K87" s="64">
        <v>127125141</v>
      </c>
      <c r="N87" t="s">
        <v>2196</v>
      </c>
      <c r="O87"/>
      <c r="P87">
        <v>14165843</v>
      </c>
      <c r="Q87" s="64">
        <f t="shared" si="0"/>
        <v>40095122</v>
      </c>
    </row>
    <row r="88" spans="3:17">
      <c r="C88" t="s">
        <v>2197</v>
      </c>
      <c r="E88" s="3318"/>
      <c r="F88" s="3319"/>
      <c r="G88" s="64">
        <v>14850000</v>
      </c>
      <c r="I88">
        <v>29700000</v>
      </c>
      <c r="K88" s="64">
        <v>0</v>
      </c>
      <c r="N88" t="s">
        <v>2198</v>
      </c>
      <c r="O88"/>
      <c r="P88">
        <v>13257828</v>
      </c>
      <c r="Q88" s="64">
        <f t="shared" si="0"/>
        <v>16442172</v>
      </c>
    </row>
    <row r="89" spans="3:17">
      <c r="C89" s="64" t="s">
        <v>1655</v>
      </c>
      <c r="E89" s="3318"/>
      <c r="F89" s="3319"/>
      <c r="G89" s="64">
        <v>11890735.19</v>
      </c>
      <c r="I89" s="64">
        <v>15981800</v>
      </c>
      <c r="K89" s="64">
        <v>0</v>
      </c>
      <c r="N89" t="s">
        <v>2199</v>
      </c>
      <c r="O89"/>
      <c r="P89">
        <v>13234599</v>
      </c>
      <c r="Q89" s="64">
        <f t="shared" si="0"/>
        <v>2747201</v>
      </c>
    </row>
    <row r="90" spans="3:17">
      <c r="C90" t="s">
        <v>2200</v>
      </c>
      <c r="E90" s="3320"/>
      <c r="F90" s="3321"/>
      <c r="G90" s="18">
        <v>11642549</v>
      </c>
      <c r="I90">
        <v>0</v>
      </c>
      <c r="K90">
        <v>0</v>
      </c>
      <c r="L90" s="64">
        <v>0</v>
      </c>
      <c r="N90" t="s">
        <v>2201</v>
      </c>
      <c r="O90"/>
      <c r="P90">
        <v>12540000</v>
      </c>
      <c r="Q90" s="64">
        <f t="shared" si="0"/>
        <v>-12540000</v>
      </c>
    </row>
    <row r="91" spans="3:17">
      <c r="C91" s="64" t="s">
        <v>1699</v>
      </c>
      <c r="E91" s="3318"/>
      <c r="F91" s="3319"/>
      <c r="G91" s="64">
        <v>11508337</v>
      </c>
      <c r="I91" s="64">
        <v>13127950</v>
      </c>
      <c r="J91" s="159"/>
      <c r="K91" s="64">
        <v>11617375</v>
      </c>
      <c r="L91" s="64">
        <v>13230806</v>
      </c>
      <c r="N91" t="s">
        <v>2202</v>
      </c>
      <c r="O91"/>
      <c r="P91">
        <v>12473715</v>
      </c>
      <c r="Q91" s="64">
        <f t="shared" si="0"/>
        <v>654235</v>
      </c>
    </row>
    <row r="92" spans="3:17">
      <c r="C92" s="64" t="s">
        <v>2203</v>
      </c>
      <c r="E92" s="3318"/>
      <c r="F92" s="3319"/>
      <c r="G92" s="64">
        <v>11110000</v>
      </c>
      <c r="I92" s="64">
        <v>16720000</v>
      </c>
      <c r="K92" s="64">
        <v>0</v>
      </c>
      <c r="L92" s="64">
        <v>12467539</v>
      </c>
      <c r="N92" t="s">
        <v>2204</v>
      </c>
      <c r="O92"/>
      <c r="P92">
        <v>12433138</v>
      </c>
      <c r="Q92" s="64">
        <f t="shared" si="0"/>
        <v>4286862</v>
      </c>
    </row>
    <row r="93" spans="3:17">
      <c r="C93" t="s">
        <v>2205</v>
      </c>
      <c r="E93" s="3320"/>
      <c r="F93" s="3321"/>
      <c r="G93" s="18">
        <v>11039000</v>
      </c>
      <c r="I93">
        <v>0</v>
      </c>
      <c r="K93">
        <v>0</v>
      </c>
      <c r="L93" s="64">
        <v>11102368</v>
      </c>
      <c r="N93" t="s">
        <v>2206</v>
      </c>
      <c r="O93"/>
      <c r="P93">
        <v>11743394</v>
      </c>
      <c r="Q93" s="64">
        <f t="shared" si="0"/>
        <v>-11743394</v>
      </c>
    </row>
    <row r="94" spans="3:17">
      <c r="C94" s="64" t="s">
        <v>1691</v>
      </c>
      <c r="E94" s="3320"/>
      <c r="F94" s="3070"/>
      <c r="G94" s="64">
        <v>10760000</v>
      </c>
      <c r="I94" s="64">
        <v>16000000</v>
      </c>
      <c r="J94" s="159"/>
      <c r="K94" s="64">
        <v>0</v>
      </c>
      <c r="L94" s="64">
        <v>0</v>
      </c>
      <c r="N94" t="s">
        <v>2207</v>
      </c>
      <c r="O94"/>
      <c r="P94">
        <v>11092054</v>
      </c>
      <c r="Q94" s="64">
        <f t="shared" si="0"/>
        <v>4907946</v>
      </c>
    </row>
    <row r="95" spans="3:17">
      <c r="C95" t="s">
        <v>1734</v>
      </c>
      <c r="E95" s="3320"/>
      <c r="F95" s="3321"/>
      <c r="G95" s="18">
        <v>10576200</v>
      </c>
      <c r="I95">
        <v>0</v>
      </c>
      <c r="K95">
        <v>0</v>
      </c>
      <c r="L95" s="64">
        <v>0</v>
      </c>
      <c r="N95" t="s">
        <v>2208</v>
      </c>
      <c r="O95"/>
      <c r="P95">
        <v>9701034</v>
      </c>
      <c r="Q95" s="64">
        <f t="shared" si="0"/>
        <v>-9701034</v>
      </c>
    </row>
    <row r="96" spans="3:18">
      <c r="C96" s="64" t="s">
        <v>1730</v>
      </c>
      <c r="E96" s="3318"/>
      <c r="F96" s="3319"/>
      <c r="G96" s="64">
        <v>10507500</v>
      </c>
      <c r="I96" s="64">
        <v>10507500</v>
      </c>
      <c r="K96" s="64">
        <v>0</v>
      </c>
      <c r="L96" s="64">
        <v>0</v>
      </c>
      <c r="N96" t="s">
        <v>1489</v>
      </c>
      <c r="O96"/>
      <c r="P96">
        <v>2095762</v>
      </c>
      <c r="R96" s="64" t="s">
        <v>171</v>
      </c>
    </row>
    <row r="97" spans="3:17">
      <c r="C97" t="s">
        <v>1651</v>
      </c>
      <c r="E97" s="3318"/>
      <c r="F97" s="3319"/>
      <c r="G97" s="64">
        <v>10426739.93</v>
      </c>
      <c r="I97">
        <v>91277249</v>
      </c>
      <c r="J97" s="159"/>
      <c r="K97" s="64">
        <v>0</v>
      </c>
      <c r="N97" t="s">
        <v>2209</v>
      </c>
      <c r="O97"/>
      <c r="P97">
        <v>9671859</v>
      </c>
      <c r="Q97" s="64">
        <f t="shared" si="0"/>
        <v>81605390</v>
      </c>
    </row>
    <row r="98" spans="3:17">
      <c r="C98" s="64" t="s">
        <v>1689</v>
      </c>
      <c r="E98" s="3318"/>
      <c r="F98" s="3319"/>
      <c r="G98" s="64">
        <v>9945035.9</v>
      </c>
      <c r="I98" s="64">
        <v>18705808</v>
      </c>
      <c r="K98" s="64">
        <v>0</v>
      </c>
      <c r="L98" s="64">
        <v>0</v>
      </c>
      <c r="N98" t="s">
        <v>2210</v>
      </c>
      <c r="O98"/>
      <c r="P98">
        <v>9495620</v>
      </c>
      <c r="Q98" s="64">
        <f t="shared" si="0"/>
        <v>9210188</v>
      </c>
    </row>
    <row r="99" spans="3:15">
      <c r="C99" s="64" t="s">
        <v>1721</v>
      </c>
      <c r="E99" s="3318"/>
      <c r="F99" s="3319"/>
      <c r="G99" s="64">
        <v>9508276</v>
      </c>
      <c r="I99" s="64">
        <v>4832575</v>
      </c>
      <c r="K99" s="64">
        <v>8434979.3</v>
      </c>
      <c r="O99"/>
    </row>
    <row r="100" spans="3:15">
      <c r="C100" s="64" t="s">
        <v>1607</v>
      </c>
      <c r="E100" s="3318"/>
      <c r="F100" s="3319"/>
      <c r="G100" s="64">
        <v>7981600</v>
      </c>
      <c r="I100" s="64">
        <v>0</v>
      </c>
      <c r="K100" s="64">
        <v>11462000</v>
      </c>
      <c r="O100"/>
    </row>
    <row r="101" spans="3:15">
      <c r="C101" s="64" t="s">
        <v>1733</v>
      </c>
      <c r="E101" s="3318"/>
      <c r="F101" s="3319"/>
      <c r="G101" s="64">
        <v>7161959.04</v>
      </c>
      <c r="I101" s="64">
        <v>3388440</v>
      </c>
      <c r="K101" s="64">
        <v>23824341.2</v>
      </c>
      <c r="O101"/>
    </row>
    <row r="102" spans="3:18">
      <c r="C102" s="64" t="s">
        <v>1720</v>
      </c>
      <c r="E102" s="3318"/>
      <c r="F102" s="3319"/>
      <c r="G102" s="64">
        <v>6571542.07</v>
      </c>
      <c r="I102" s="64">
        <v>7365752.9</v>
      </c>
      <c r="K102" s="64">
        <v>5737843.1</v>
      </c>
      <c r="L102" s="64">
        <v>34118506</v>
      </c>
      <c r="N102" t="s">
        <v>1492</v>
      </c>
      <c r="O102"/>
      <c r="P102">
        <v>1788783</v>
      </c>
      <c r="R102" s="64" t="s">
        <v>171</v>
      </c>
    </row>
    <row r="103" spans="3:17">
      <c r="C103" t="s">
        <v>1650</v>
      </c>
      <c r="E103" s="3318"/>
      <c r="F103" s="3319"/>
      <c r="G103" s="64">
        <v>6316108.4</v>
      </c>
      <c r="I103">
        <v>66449310</v>
      </c>
      <c r="J103" s="159"/>
      <c r="K103" s="64">
        <v>149429635.8</v>
      </c>
      <c r="L103" s="64">
        <v>5031545</v>
      </c>
      <c r="N103" t="s">
        <v>2211</v>
      </c>
      <c r="O103"/>
      <c r="P103">
        <v>8478563</v>
      </c>
      <c r="Q103" s="64">
        <f t="shared" si="0"/>
        <v>57970747</v>
      </c>
    </row>
    <row r="104" spans="3:18">
      <c r="C104" s="64" t="s">
        <v>1729</v>
      </c>
      <c r="E104" s="3318"/>
      <c r="F104" s="3319"/>
      <c r="G104" s="64">
        <v>5005000</v>
      </c>
      <c r="I104" s="64">
        <v>9306000</v>
      </c>
      <c r="K104" s="64">
        <v>19384200</v>
      </c>
      <c r="L104" s="64">
        <v>0</v>
      </c>
      <c r="N104" t="s">
        <v>1490</v>
      </c>
      <c r="O104"/>
      <c r="P104">
        <v>2043084</v>
      </c>
      <c r="R104" s="64" t="s">
        <v>171</v>
      </c>
    </row>
    <row r="105" spans="3:17">
      <c r="C105" s="64" t="s">
        <v>1696</v>
      </c>
      <c r="E105" s="3318"/>
      <c r="F105" s="3319"/>
      <c r="G105" s="64">
        <v>3291750</v>
      </c>
      <c r="I105" s="64">
        <v>16458750</v>
      </c>
      <c r="J105" s="159"/>
      <c r="K105" s="64">
        <v>0</v>
      </c>
      <c r="L105" s="64">
        <v>5691340</v>
      </c>
      <c r="N105" t="s">
        <v>2212</v>
      </c>
      <c r="O105"/>
      <c r="P105">
        <v>8104905</v>
      </c>
      <c r="Q105" s="64">
        <f t="shared" si="0"/>
        <v>8353845</v>
      </c>
    </row>
    <row r="106" spans="3:17">
      <c r="C106" s="64" t="s">
        <v>1673</v>
      </c>
      <c r="G106" s="64">
        <v>1820104</v>
      </c>
      <c r="I106" s="64">
        <v>27367450</v>
      </c>
      <c r="K106" s="64">
        <v>30369425.6</v>
      </c>
      <c r="N106" t="s">
        <v>2213</v>
      </c>
      <c r="O106"/>
      <c r="P106">
        <v>7632517</v>
      </c>
      <c r="Q106" s="64">
        <f t="shared" si="0"/>
        <v>19734933</v>
      </c>
    </row>
    <row r="107" spans="3:17">
      <c r="C107" s="64" t="s">
        <v>1726</v>
      </c>
      <c r="G107" s="64">
        <v>346500</v>
      </c>
      <c r="I107" s="64">
        <v>12650000</v>
      </c>
      <c r="J107" s="159"/>
      <c r="K107" s="64">
        <v>0</v>
      </c>
      <c r="L107" s="64">
        <v>0</v>
      </c>
      <c r="N107" t="s">
        <v>2214</v>
      </c>
      <c r="O107"/>
      <c r="P107">
        <v>7020000</v>
      </c>
      <c r="Q107" s="64">
        <f t="shared" si="0"/>
        <v>5630000</v>
      </c>
    </row>
    <row r="108" spans="3:17">
      <c r="C108" t="s">
        <v>1683</v>
      </c>
      <c r="G108" s="3318">
        <v>0</v>
      </c>
      <c r="I108">
        <v>114755829</v>
      </c>
      <c r="J108" s="159"/>
      <c r="K108" s="64">
        <v>0</v>
      </c>
      <c r="L108" s="64">
        <v>0</v>
      </c>
      <c r="N108" t="s">
        <v>2215</v>
      </c>
      <c r="O108"/>
      <c r="P108">
        <v>6526383</v>
      </c>
      <c r="Q108" s="64">
        <f t="shared" si="0"/>
        <v>108229446</v>
      </c>
    </row>
    <row r="109" spans="3:17">
      <c r="C109" t="s">
        <v>1680</v>
      </c>
      <c r="G109" s="3318">
        <v>0</v>
      </c>
      <c r="I109">
        <v>62000000</v>
      </c>
      <c r="J109" s="159"/>
      <c r="K109" s="64">
        <v>0</v>
      </c>
      <c r="L109" s="64">
        <v>0</v>
      </c>
      <c r="N109" t="s">
        <v>2216</v>
      </c>
      <c r="O109"/>
      <c r="P109">
        <v>4985172</v>
      </c>
      <c r="Q109" s="64">
        <f t="shared" si="0"/>
        <v>57014828</v>
      </c>
    </row>
    <row r="110" spans="3:17">
      <c r="C110" t="s">
        <v>1735</v>
      </c>
      <c r="G110" s="3318">
        <v>0</v>
      </c>
      <c r="I110">
        <v>36513000</v>
      </c>
      <c r="J110" s="159"/>
      <c r="K110" s="64">
        <v>0</v>
      </c>
      <c r="N110" t="s">
        <v>2217</v>
      </c>
      <c r="O110"/>
      <c r="P110">
        <v>4781524</v>
      </c>
      <c r="Q110" s="64">
        <f t="shared" si="0"/>
        <v>31731476</v>
      </c>
    </row>
    <row r="111" spans="3:17">
      <c r="C111" t="s">
        <v>1693</v>
      </c>
      <c r="G111" s="3318">
        <v>0</v>
      </c>
      <c r="I111">
        <v>35984000</v>
      </c>
      <c r="K111" s="64">
        <v>0</v>
      </c>
      <c r="N111" t="s">
        <v>2218</v>
      </c>
      <c r="O111"/>
      <c r="P111">
        <v>4218979</v>
      </c>
      <c r="Q111" s="64">
        <f t="shared" si="0"/>
        <v>31765021</v>
      </c>
    </row>
    <row r="112" spans="3:17">
      <c r="C112" t="s">
        <v>1686</v>
      </c>
      <c r="G112" s="3318">
        <v>0</v>
      </c>
      <c r="I112">
        <v>34023500</v>
      </c>
      <c r="J112" s="159"/>
      <c r="K112" s="64">
        <v>0</v>
      </c>
      <c r="L112" s="64">
        <v>0</v>
      </c>
      <c r="N112" t="s">
        <v>2219</v>
      </c>
      <c r="O112"/>
      <c r="P112">
        <v>3909441</v>
      </c>
      <c r="Q112" s="64">
        <f t="shared" si="0"/>
        <v>30114059</v>
      </c>
    </row>
    <row r="113" spans="3:18">
      <c r="C113" s="64" t="s">
        <v>1704</v>
      </c>
      <c r="G113" s="3318">
        <v>0</v>
      </c>
      <c r="I113" s="64">
        <v>21675030</v>
      </c>
      <c r="J113" s="159"/>
      <c r="K113" s="64">
        <v>0</v>
      </c>
      <c r="L113" s="64">
        <v>0</v>
      </c>
      <c r="N113" t="s">
        <v>1481</v>
      </c>
      <c r="O113"/>
      <c r="P113">
        <v>3449221</v>
      </c>
      <c r="R113" s="64" t="s">
        <v>2220</v>
      </c>
    </row>
    <row r="114" spans="3:16">
      <c r="C114" s="64" t="s">
        <v>1681</v>
      </c>
      <c r="G114" s="3318">
        <v>0</v>
      </c>
      <c r="I114" s="64">
        <v>21600000</v>
      </c>
      <c r="K114" s="64">
        <v>0</v>
      </c>
      <c r="L114" s="64">
        <v>31655265</v>
      </c>
      <c r="N114" t="s">
        <v>1482</v>
      </c>
      <c r="O114"/>
      <c r="P114">
        <v>3150000</v>
      </c>
    </row>
    <row r="115" spans="3:16">
      <c r="C115" s="64" t="s">
        <v>1717</v>
      </c>
      <c r="G115" s="3318">
        <v>0</v>
      </c>
      <c r="I115" s="64">
        <v>21170244</v>
      </c>
      <c r="K115" s="64">
        <v>372000000</v>
      </c>
      <c r="L115" s="64">
        <v>22090758</v>
      </c>
      <c r="N115" t="s">
        <v>1483</v>
      </c>
      <c r="O115"/>
      <c r="P115">
        <v>3147169</v>
      </c>
    </row>
    <row r="116" spans="3:16">
      <c r="C116" s="64" t="s">
        <v>1738</v>
      </c>
      <c r="G116" s="3318">
        <v>0</v>
      </c>
      <c r="I116" s="64">
        <v>16250000</v>
      </c>
      <c r="K116" s="64">
        <v>0</v>
      </c>
      <c r="L116" s="64">
        <v>0</v>
      </c>
      <c r="N116" t="s">
        <v>1484</v>
      </c>
      <c r="O116"/>
      <c r="P116">
        <v>2714994</v>
      </c>
    </row>
    <row r="117" spans="3:16">
      <c r="C117" s="64" t="s">
        <v>1731</v>
      </c>
      <c r="G117" s="3318">
        <v>0</v>
      </c>
      <c r="I117" s="64">
        <v>15118552</v>
      </c>
      <c r="J117" s="159"/>
      <c r="K117" s="64">
        <v>0</v>
      </c>
      <c r="L117" s="64">
        <v>8584300</v>
      </c>
      <c r="N117" t="s">
        <v>1485</v>
      </c>
      <c r="O117"/>
      <c r="P117">
        <v>2585313</v>
      </c>
    </row>
    <row r="118" spans="3:16">
      <c r="C118" s="64" t="s">
        <v>1695</v>
      </c>
      <c r="G118" s="3318">
        <v>0</v>
      </c>
      <c r="I118" s="64">
        <v>14938000</v>
      </c>
      <c r="J118" s="159"/>
      <c r="K118" s="64">
        <v>0</v>
      </c>
      <c r="L118" s="64">
        <v>0</v>
      </c>
      <c r="N118" t="s">
        <v>1486</v>
      </c>
      <c r="O118"/>
      <c r="P118">
        <v>2301825</v>
      </c>
    </row>
    <row r="119" spans="3:16">
      <c r="C119" s="64" t="s">
        <v>1737</v>
      </c>
      <c r="G119" s="64">
        <v>0</v>
      </c>
      <c r="I119" s="64">
        <v>12500000</v>
      </c>
      <c r="J119" s="159"/>
      <c r="K119" s="64">
        <v>0</v>
      </c>
      <c r="L119" s="64">
        <v>30240158</v>
      </c>
      <c r="N119" t="s">
        <v>1487</v>
      </c>
      <c r="O119"/>
      <c r="P119">
        <v>2273700</v>
      </c>
    </row>
    <row r="120" spans="3:16">
      <c r="C120" s="64" t="s">
        <v>1665</v>
      </c>
      <c r="G120" s="64">
        <v>0</v>
      </c>
      <c r="I120" s="64">
        <v>12000000</v>
      </c>
      <c r="K120" s="64">
        <v>0</v>
      </c>
      <c r="L120" s="64">
        <v>8293707</v>
      </c>
      <c r="N120" t="s">
        <v>1488</v>
      </c>
      <c r="O120"/>
      <c r="P120">
        <v>2248926</v>
      </c>
    </row>
    <row r="121" hidden="1" outlineLevel="1" spans="3:15">
      <c r="C121" s="64" t="s">
        <v>2221</v>
      </c>
      <c r="G121" s="64">
        <v>0</v>
      </c>
      <c r="I121" s="64">
        <v>0</v>
      </c>
      <c r="K121" s="64">
        <v>227392896</v>
      </c>
      <c r="O121"/>
    </row>
    <row r="122" hidden="1" outlineLevel="1" spans="3:15">
      <c r="C122" s="64" t="s">
        <v>2222</v>
      </c>
      <c r="G122" s="64">
        <v>0</v>
      </c>
      <c r="I122" s="64">
        <v>0</v>
      </c>
      <c r="K122" s="64">
        <v>206452070</v>
      </c>
      <c r="O122"/>
    </row>
    <row r="123" hidden="1" outlineLevel="1" spans="3:15">
      <c r="C123" s="64" t="s">
        <v>1536</v>
      </c>
      <c r="G123" s="64">
        <v>0</v>
      </c>
      <c r="I123" s="64">
        <v>0</v>
      </c>
      <c r="K123" s="64">
        <v>120679098.1</v>
      </c>
      <c r="O123"/>
    </row>
    <row r="124" hidden="1" outlineLevel="1" spans="3:15">
      <c r="C124" s="64" t="s">
        <v>2223</v>
      </c>
      <c r="G124" s="64">
        <v>0</v>
      </c>
      <c r="I124" s="64">
        <v>0</v>
      </c>
      <c r="K124" s="64">
        <v>95040000</v>
      </c>
      <c r="O124"/>
    </row>
    <row r="125" hidden="1" outlineLevel="1" spans="3:15">
      <c r="C125" s="64" t="s">
        <v>2224</v>
      </c>
      <c r="G125" s="64">
        <v>0</v>
      </c>
      <c r="I125" s="64">
        <v>0</v>
      </c>
      <c r="K125" s="64">
        <v>87400000</v>
      </c>
      <c r="O125"/>
    </row>
    <row r="126" hidden="1" outlineLevel="1" spans="3:15">
      <c r="C126" s="64" t="s">
        <v>2225</v>
      </c>
      <c r="G126" s="64">
        <v>0</v>
      </c>
      <c r="I126" s="64">
        <v>0</v>
      </c>
      <c r="K126" s="64">
        <v>66142954.9</v>
      </c>
      <c r="O126"/>
    </row>
    <row r="127" hidden="1" outlineLevel="1" spans="3:15">
      <c r="C127" s="64" t="s">
        <v>2226</v>
      </c>
      <c r="G127" s="64">
        <v>0</v>
      </c>
      <c r="I127" s="64">
        <v>0</v>
      </c>
      <c r="K127" s="64">
        <v>61760155.6</v>
      </c>
      <c r="O127"/>
    </row>
    <row r="128" hidden="1" outlineLevel="1" spans="3:15">
      <c r="C128" s="64" t="s">
        <v>1556</v>
      </c>
      <c r="G128" s="64">
        <v>0</v>
      </c>
      <c r="I128" s="64">
        <v>0</v>
      </c>
      <c r="K128" s="64">
        <v>61207434.2</v>
      </c>
      <c r="O128"/>
    </row>
    <row r="129" hidden="1" outlineLevel="1" spans="3:15">
      <c r="C129" s="64" t="s">
        <v>1553</v>
      </c>
      <c r="G129" s="64">
        <v>0</v>
      </c>
      <c r="I129" s="64">
        <v>0</v>
      </c>
      <c r="K129" s="64">
        <v>46200000</v>
      </c>
      <c r="O129"/>
    </row>
    <row r="130" hidden="1" outlineLevel="1" spans="3:15">
      <c r="C130" s="64" t="s">
        <v>2227</v>
      </c>
      <c r="G130" s="64">
        <v>0</v>
      </c>
      <c r="I130" s="64">
        <v>0</v>
      </c>
      <c r="K130" s="64">
        <v>28716083.1</v>
      </c>
      <c r="O130"/>
    </row>
    <row r="131" hidden="1" outlineLevel="1" spans="3:15">
      <c r="C131" s="64" t="s">
        <v>2228</v>
      </c>
      <c r="G131" s="64">
        <v>0</v>
      </c>
      <c r="I131" s="64">
        <v>0</v>
      </c>
      <c r="K131" s="64">
        <v>20000000</v>
      </c>
      <c r="O131"/>
    </row>
    <row r="132" hidden="1" outlineLevel="1" spans="3:15">
      <c r="C132" s="64" t="s">
        <v>2229</v>
      </c>
      <c r="G132" s="64">
        <v>0</v>
      </c>
      <c r="I132" s="64">
        <v>0</v>
      </c>
      <c r="K132" s="64">
        <v>19051500</v>
      </c>
      <c r="O132"/>
    </row>
    <row r="133" hidden="1" outlineLevel="1" spans="3:15">
      <c r="C133" s="64" t="s">
        <v>2230</v>
      </c>
      <c r="G133" s="64">
        <v>0</v>
      </c>
      <c r="I133" s="64">
        <v>0</v>
      </c>
      <c r="K133" s="64">
        <v>14060970</v>
      </c>
      <c r="O133"/>
    </row>
    <row r="134" hidden="1" outlineLevel="1" spans="3:15">
      <c r="C134" s="64" t="s">
        <v>2231</v>
      </c>
      <c r="G134" s="64">
        <v>0</v>
      </c>
      <c r="I134" s="64">
        <v>0</v>
      </c>
      <c r="K134" s="64">
        <v>12132523.7</v>
      </c>
      <c r="O134"/>
    </row>
    <row r="135" hidden="1" outlineLevel="1" spans="3:15">
      <c r="C135" s="64" t="s">
        <v>2232</v>
      </c>
      <c r="G135" s="64">
        <v>0</v>
      </c>
      <c r="I135" s="64">
        <v>0</v>
      </c>
      <c r="K135" s="64">
        <v>12090000</v>
      </c>
      <c r="O135"/>
    </row>
    <row r="136" collapsed="1" spans="3:15">
      <c r="C136" s="64" t="s">
        <v>2233</v>
      </c>
      <c r="G136" s="64" t="e">
        <f>#REF!+120391748</f>
        <v>#REF!</v>
      </c>
      <c r="I136" s="64">
        <f>208918192+58424097</f>
        <v>267342289</v>
      </c>
      <c r="K136" s="64">
        <v>31511006.4</v>
      </c>
      <c r="O136"/>
    </row>
    <row r="137" ht="12" customHeight="1" spans="3:20">
      <c r="C137"/>
      <c r="I137" s="2402"/>
      <c r="K137" s="2402"/>
      <c r="L137" s="64">
        <v>26649966</v>
      </c>
      <c r="N137" t="s">
        <v>1494</v>
      </c>
      <c r="O137"/>
      <c r="P137">
        <v>1229098</v>
      </c>
      <c r="T137" s="64" t="e">
        <f>G138-G136</f>
        <v>#REF!</v>
      </c>
    </row>
    <row r="138" ht="12.75" spans="3:16">
      <c r="C138" s="94" t="s">
        <v>2234</v>
      </c>
      <c r="D138" s="94"/>
      <c r="E138" s="94"/>
      <c r="F138" s="3322"/>
      <c r="G138" s="3324" t="e">
        <f>SUM(G77:G137)</f>
        <v>#REF!</v>
      </c>
      <c r="H138" s="94"/>
      <c r="I138" s="3324">
        <f>SUM(I77:I137)</f>
        <v>4509264598.8</v>
      </c>
      <c r="K138" s="3324">
        <f>SUM(K77:K137)</f>
        <v>4094357955</v>
      </c>
      <c r="L138" s="64">
        <v>20167685</v>
      </c>
      <c r="N138" t="s">
        <v>1495</v>
      </c>
      <c r="O138"/>
      <c r="P138">
        <v>1088535</v>
      </c>
    </row>
    <row r="139" ht="12.15" spans="7:16">
      <c r="G139" t="s">
        <v>480</v>
      </c>
      <c r="H139"/>
      <c r="I139" t="s">
        <v>480</v>
      </c>
      <c r="K139" s="64">
        <f>K138-'F2'!R16</f>
        <v>2253492735</v>
      </c>
      <c r="L139" s="64">
        <v>14220225</v>
      </c>
      <c r="N139" t="s">
        <v>1496</v>
      </c>
      <c r="O139"/>
      <c r="P139">
        <v>1082265</v>
      </c>
    </row>
    <row r="140" spans="12:16">
      <c r="L140" s="64">
        <v>12925102</v>
      </c>
      <c r="N140" t="s">
        <v>1497</v>
      </c>
      <c r="O140"/>
      <c r="P140">
        <v>1024773</v>
      </c>
    </row>
    <row r="141" ht="12" hidden="1" outlineLevel="1" spans="2:16">
      <c r="B141" s="22" t="s">
        <v>1254</v>
      </c>
      <c r="G141" s="64" t="e">
        <f>G139+G140</f>
        <v>#VALUE!</v>
      </c>
      <c r="L141" s="64">
        <v>10550687</v>
      </c>
      <c r="N141" t="s">
        <v>1498</v>
      </c>
      <c r="O141"/>
      <c r="P141">
        <v>887741</v>
      </c>
    </row>
    <row r="142" hidden="1" outlineLevel="2" spans="3:16">
      <c r="C142" t="s">
        <v>2235</v>
      </c>
      <c r="I142">
        <v>0</v>
      </c>
      <c r="J142" s="159"/>
      <c r="K142" s="64">
        <v>0</v>
      </c>
      <c r="L142" s="64">
        <v>9800000</v>
      </c>
      <c r="N142" t="s">
        <v>1499</v>
      </c>
      <c r="O142"/>
      <c r="P142">
        <v>853536</v>
      </c>
    </row>
    <row r="143" hidden="1" outlineLevel="2" spans="3:18">
      <c r="C143" t="s">
        <v>2236</v>
      </c>
      <c r="I143">
        <v>0</v>
      </c>
      <c r="J143" s="159"/>
      <c r="K143" s="64">
        <v>0</v>
      </c>
      <c r="L143" s="64">
        <v>8865320</v>
      </c>
      <c r="N143" t="s">
        <v>1500</v>
      </c>
      <c r="O143"/>
      <c r="P143">
        <v>701325</v>
      </c>
      <c r="R143" s="64">
        <f>SUM(I138:K138)</f>
        <v>8603622553.8</v>
      </c>
    </row>
    <row r="144" hidden="1" outlineLevel="2" spans="3:16">
      <c r="C144" t="s">
        <v>2237</v>
      </c>
      <c r="I144">
        <v>0</v>
      </c>
      <c r="J144" s="159"/>
      <c r="K144" s="64">
        <v>0</v>
      </c>
      <c r="L144" s="64">
        <v>8003772</v>
      </c>
      <c r="N144" t="s">
        <v>1501</v>
      </c>
      <c r="O144"/>
      <c r="P144">
        <v>672000</v>
      </c>
    </row>
    <row r="145" hidden="1" outlineLevel="2" spans="3:16">
      <c r="C145" t="s">
        <v>2238</v>
      </c>
      <c r="I145">
        <v>0</v>
      </c>
      <c r="J145" s="159"/>
      <c r="K145" s="64">
        <v>0</v>
      </c>
      <c r="L145" s="64">
        <v>7199656</v>
      </c>
      <c r="N145" t="s">
        <v>1502</v>
      </c>
      <c r="O145"/>
      <c r="P145">
        <v>590864</v>
      </c>
    </row>
    <row r="146" hidden="1" outlineLevel="2" spans="3:16">
      <c r="C146" t="s">
        <v>2239</v>
      </c>
      <c r="I146">
        <v>0</v>
      </c>
      <c r="J146" s="159"/>
      <c r="K146" s="64">
        <v>0</v>
      </c>
      <c r="L146" s="64">
        <v>7020000</v>
      </c>
      <c r="N146" t="s">
        <v>1503</v>
      </c>
      <c r="O146"/>
      <c r="P146">
        <v>410356</v>
      </c>
    </row>
    <row r="147" hidden="1" outlineLevel="2" spans="3:16">
      <c r="C147" t="s">
        <v>2240</v>
      </c>
      <c r="I147">
        <v>0</v>
      </c>
      <c r="J147" s="159"/>
      <c r="K147" s="64">
        <v>0</v>
      </c>
      <c r="L147" s="64">
        <v>6732837</v>
      </c>
      <c r="N147" t="s">
        <v>1504</v>
      </c>
      <c r="O147"/>
      <c r="P147">
        <v>332430</v>
      </c>
    </row>
    <row r="148" ht="3.95" hidden="1" customHeight="1" outlineLevel="2" spans="7:16">
      <c r="G148" s="2402"/>
      <c r="I148" s="2402"/>
      <c r="K148" s="2402"/>
      <c r="L148" s="64">
        <v>5712000</v>
      </c>
      <c r="N148" t="s">
        <v>1505</v>
      </c>
      <c r="O148"/>
      <c r="P148">
        <v>327942</v>
      </c>
    </row>
    <row r="149" hidden="1" outlineLevel="2" spans="3:16">
      <c r="C149" t="s">
        <v>2241</v>
      </c>
      <c r="G149" s="64">
        <f>SUM(G142:G148)</f>
        <v>0</v>
      </c>
      <c r="I149" s="64">
        <f>SUM(I142:I148)</f>
        <v>0</v>
      </c>
      <c r="K149" s="64">
        <f>SUM(K142:K148)</f>
        <v>0</v>
      </c>
      <c r="L149" s="64">
        <v>5162328</v>
      </c>
      <c r="N149" t="s">
        <v>1506</v>
      </c>
      <c r="O149"/>
      <c r="P149">
        <v>253313</v>
      </c>
    </row>
    <row r="150" hidden="1" outlineLevel="2" spans="10:16">
      <c r="J150" s="64"/>
      <c r="L150" s="64">
        <v>0</v>
      </c>
      <c r="N150" t="s">
        <v>1507</v>
      </c>
      <c r="O150"/>
      <c r="P150">
        <v>221577</v>
      </c>
    </row>
    <row r="151" ht="12.75" hidden="1" outlineLevel="2" spans="3:16">
      <c r="C151" s="94" t="s">
        <v>1844</v>
      </c>
      <c r="E151" s="94"/>
      <c r="F151" s="3322"/>
      <c r="G151" s="3324" t="e">
        <f>G138+G149</f>
        <v>#REF!</v>
      </c>
      <c r="H151" s="94"/>
      <c r="I151" s="3324">
        <f>I138+I149</f>
        <v>4509264598.8</v>
      </c>
      <c r="J151" s="94"/>
      <c r="K151" s="3324">
        <f>K138+K149</f>
        <v>4094357955</v>
      </c>
      <c r="L151" s="64">
        <v>0</v>
      </c>
      <c r="N151" t="s">
        <v>1508</v>
      </c>
      <c r="O151"/>
      <c r="P151">
        <v>189879</v>
      </c>
    </row>
    <row r="152" ht="12.15" hidden="1" outlineLevel="2" spans="7:16">
      <c r="G152" s="719" t="e">
        <f>SUM(#REF!)-G151</f>
        <v>#REF!</v>
      </c>
      <c r="I152" s="719" t="e">
        <f>SUM(#REF!)-I151</f>
        <v>#REF!</v>
      </c>
      <c r="J152" s="64"/>
      <c r="K152" t="e">
        <f>SUM(#REF!)-K151</f>
        <v>#REF!</v>
      </c>
      <c r="L152" s="64">
        <v>42512741.6</v>
      </c>
      <c r="N152" t="s">
        <v>1509</v>
      </c>
      <c r="O152"/>
      <c r="P152">
        <v>157239</v>
      </c>
    </row>
    <row r="153" collapsed="1" spans="14:14">
      <c r="N153" s="64"/>
    </row>
    <row r="154" spans="14:14">
      <c r="N154" s="64"/>
    </row>
    <row r="155" spans="12:14">
      <c r="L155" s="64">
        <v>1804711634</v>
      </c>
      <c r="N155" s="64"/>
    </row>
    <row r="156" spans="12:14">
      <c r="L156" s="64">
        <v>350035452</v>
      </c>
      <c r="N156" s="64"/>
    </row>
    <row r="157" spans="10:14">
      <c r="J157" s="64"/>
      <c r="L157" s="64">
        <v>100494329</v>
      </c>
      <c r="N157" s="64"/>
    </row>
    <row r="158" spans="10:14">
      <c r="J158" s="64"/>
      <c r="L158" s="64">
        <v>34518670</v>
      </c>
      <c r="N158" s="64"/>
    </row>
    <row r="159" spans="10:14">
      <c r="J159" s="64"/>
      <c r="L159" s="64">
        <v>13274452</v>
      </c>
      <c r="N159" s="64"/>
    </row>
    <row r="160" spans="10:14">
      <c r="J160" s="64"/>
      <c r="L160" s="64">
        <v>23279950</v>
      </c>
      <c r="N160" s="64"/>
    </row>
    <row r="161" spans="14:14">
      <c r="N161" s="64"/>
    </row>
    <row r="162" spans="14:14">
      <c r="N162" s="64"/>
    </row>
    <row r="163" spans="12:14">
      <c r="L163">
        <f>SUM(L51:L161)</f>
        <v>6047880839.6</v>
      </c>
      <c r="N163" s="64"/>
    </row>
    <row r="165" spans="14:16">
      <c r="N165" t="s">
        <v>2242</v>
      </c>
      <c r="O165"/>
      <c r="P165">
        <v>3163821487</v>
      </c>
    </row>
    <row r="166" spans="14:16">
      <c r="N166" t="s">
        <v>2243</v>
      </c>
      <c r="O166"/>
      <c r="P166">
        <v>5789988</v>
      </c>
    </row>
    <row r="167" spans="14:16">
      <c r="N167" t="s">
        <v>2244</v>
      </c>
      <c r="O167"/>
      <c r="P167">
        <v>20539962</v>
      </c>
    </row>
    <row r="168" spans="14:16">
      <c r="N168" t="s">
        <v>2245</v>
      </c>
      <c r="O168"/>
      <c r="P168">
        <v>147864965</v>
      </c>
    </row>
    <row r="169" spans="14:16">
      <c r="N169" t="s">
        <v>2236</v>
      </c>
      <c r="O169"/>
      <c r="P169">
        <v>706006407</v>
      </c>
    </row>
    <row r="170" spans="14:16">
      <c r="N170" t="s">
        <v>2246</v>
      </c>
      <c r="O170"/>
      <c r="P170">
        <v>13274456</v>
      </c>
    </row>
    <row r="171" spans="14:16">
      <c r="N171" t="s">
        <v>2238</v>
      </c>
      <c r="O171"/>
      <c r="P171">
        <v>62824733</v>
      </c>
    </row>
    <row r="172" ht="12" spans="14:16">
      <c r="N172" s="94" t="s">
        <v>947</v>
      </c>
      <c r="P172">
        <f>SUM(P51:P171)</f>
        <v>11178990681</v>
      </c>
    </row>
    <row r="173" spans="14:16">
      <c r="N173" t="s">
        <v>947</v>
      </c>
      <c r="O173"/>
      <c r="P173">
        <v>11213639621</v>
      </c>
    </row>
  </sheetData>
  <autoFilter ref="C7:P163">
    <extLst/>
  </autoFilter>
  <pageMargins left="0.78740157480315" right="0.590551181102362" top="0.590551181102362" bottom="0.590551181102362" header="0.31496062992126" footer="0.31496062992126"/>
  <pageSetup paperSize="9" orientation="portrait"/>
  <headerFooter/>
  <drawing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6">
    <tabColor theme="6" tint="-0.249977111117893"/>
    <pageSetUpPr fitToPage="1"/>
  </sheetPr>
  <dimension ref="A2:T78"/>
  <sheetViews>
    <sheetView showGridLines="0" zoomScale="130" zoomScaleNormal="130" workbookViewId="0">
      <pane xSplit="3" ySplit="11" topLeftCell="D15" activePane="bottomRight" state="frozen"/>
      <selection/>
      <selection pane="topRight"/>
      <selection pane="bottomLeft"/>
      <selection pane="bottomRight" activeCell="Q24" sqref="Q24"/>
    </sheetView>
  </sheetViews>
  <sheetFormatPr defaultColWidth="9.13541666666667" defaultRowHeight="13.2"/>
  <cols>
    <col min="1" max="1" width="2.69791666666667" style="186" customWidth="1"/>
    <col min="2" max="2" width="10.1875" style="186" customWidth="1"/>
    <col min="3" max="3" width="40.15625" style="186" customWidth="1"/>
    <col min="4" max="4" width="4.79166666666667" style="186" customWidth="1"/>
    <col min="5" max="5" width="16.3333333333333" style="186" hidden="1" customWidth="1"/>
    <col min="6" max="6" width="16.3333333333333" style="186" customWidth="1"/>
    <col min="7" max="7" width="7.04166666666667" style="186" customWidth="1"/>
    <col min="8" max="9" width="16.3333333333333" style="186" customWidth="1"/>
    <col min="10" max="10" width="7.1875" style="186" customWidth="1"/>
    <col min="11" max="11" width="16.3333333333333" style="186" customWidth="1"/>
    <col min="12" max="12" width="17.2291666666667" style="186" hidden="1" customWidth="1" outlineLevel="1"/>
    <col min="13" max="13" width="4.79166666666667" style="186" hidden="1" customWidth="1" outlineLevel="1"/>
    <col min="14" max="14" width="15.4270833333333" style="186" hidden="1" customWidth="1" outlineLevel="1"/>
    <col min="15" max="15" width="14.6875" style="186" hidden="1" customWidth="1" outlineLevel="1"/>
    <col min="16" max="16" width="4.79166666666667" style="186" hidden="1" customWidth="1" outlineLevel="1"/>
    <col min="17" max="17" width="17.9791666666667" style="186" customWidth="1" collapsed="1"/>
    <col min="18" max="18" width="18.125" style="186" customWidth="1"/>
    <col min="19" max="19" width="16.3333333333333" style="186" customWidth="1"/>
    <col min="20" max="20" width="7.1875" style="186" customWidth="1"/>
    <col min="21" max="16384" width="9.13541666666667" style="186"/>
  </cols>
  <sheetData>
    <row r="2" ht="21" spans="2:20">
      <c r="B2" s="1499" t="str">
        <f>B!B2</f>
        <v>KAP LIASTA NIRWAN SYAFRUDIN &amp; REKAN</v>
      </c>
      <c r="C2" s="3142"/>
      <c r="D2" s="731"/>
      <c r="E2" s="731"/>
      <c r="F2" s="731"/>
      <c r="G2" s="731"/>
      <c r="H2" s="731"/>
      <c r="I2" s="731"/>
      <c r="J2" s="731"/>
      <c r="K2" s="731"/>
      <c r="L2" s="731"/>
      <c r="M2" s="731"/>
      <c r="N2" s="731"/>
      <c r="O2" s="731"/>
      <c r="P2" s="2649"/>
      <c r="Q2" s="731" t="s">
        <v>481</v>
      </c>
      <c r="R2" s="765" t="s">
        <v>482</v>
      </c>
      <c r="S2" s="766" t="s">
        <v>483</v>
      </c>
      <c r="T2" s="766"/>
    </row>
    <row r="3" ht="15.6" spans="2:20">
      <c r="B3" s="1500"/>
      <c r="C3" s="3143"/>
      <c r="D3" s="1501"/>
      <c r="E3" s="1502"/>
      <c r="F3" s="1954"/>
      <c r="G3" s="1954"/>
      <c r="H3" s="1954"/>
      <c r="I3" s="1954"/>
      <c r="J3" s="1954"/>
      <c r="K3" s="1954"/>
      <c r="L3" s="3149"/>
      <c r="M3" s="3149"/>
      <c r="N3" s="2625"/>
      <c r="O3" s="2625"/>
      <c r="P3" s="1586"/>
      <c r="Q3" s="738" t="s">
        <v>484</v>
      </c>
      <c r="R3" s="767">
        <v>45173</v>
      </c>
      <c r="S3" s="768" t="s">
        <v>737</v>
      </c>
      <c r="T3" s="3309"/>
    </row>
    <row r="4" spans="2:20">
      <c r="B4" s="1546" t="str">
        <f>B!B4</f>
        <v>Client </v>
      </c>
      <c r="C4" s="3302" t="str">
        <f>B!D4</f>
        <v>PT INTAN GIRI ABADI</v>
      </c>
      <c r="D4" s="1548"/>
      <c r="E4" s="1548"/>
      <c r="F4" s="1548"/>
      <c r="G4" s="1548"/>
      <c r="H4" s="1548"/>
      <c r="I4" s="1548"/>
      <c r="J4" s="1548"/>
      <c r="K4" s="1548"/>
      <c r="L4" s="1548"/>
      <c r="M4" s="1548"/>
      <c r="N4" s="1548"/>
      <c r="O4" s="1548"/>
      <c r="P4" s="746"/>
      <c r="Q4" s="742" t="s">
        <v>487</v>
      </c>
      <c r="R4" s="769" t="s">
        <v>482</v>
      </c>
      <c r="S4" s="770" t="s">
        <v>488</v>
      </c>
      <c r="T4" s="774"/>
    </row>
    <row r="5" ht="8.25" customHeight="1" spans="2:20">
      <c r="B5" s="775"/>
      <c r="C5" s="3143"/>
      <c r="D5" s="753"/>
      <c r="E5" s="753"/>
      <c r="F5" s="753"/>
      <c r="G5" s="753"/>
      <c r="H5" s="753"/>
      <c r="I5" s="753"/>
      <c r="J5" s="753"/>
      <c r="K5" s="753"/>
      <c r="L5" s="753"/>
      <c r="M5" s="753"/>
      <c r="N5" s="753"/>
      <c r="O5" s="753"/>
      <c r="P5" s="1592"/>
      <c r="Q5" s="1592"/>
      <c r="R5" s="771"/>
      <c r="S5" s="772"/>
      <c r="T5" s="1475"/>
    </row>
    <row r="6" spans="2:20">
      <c r="B6" s="773"/>
      <c r="C6" s="3144"/>
      <c r="D6" s="1760"/>
      <c r="E6" s="1760"/>
      <c r="F6" s="1760"/>
      <c r="G6" s="1760"/>
      <c r="H6" s="1760"/>
      <c r="I6" s="1760"/>
      <c r="J6" s="1760"/>
      <c r="K6" s="1760"/>
      <c r="L6" s="1760"/>
      <c r="M6" s="1760"/>
      <c r="N6" s="1760"/>
      <c r="O6" s="1760"/>
      <c r="P6" s="770"/>
      <c r="Q6" s="742"/>
      <c r="R6" s="773"/>
      <c r="S6" s="774" t="s">
        <v>491</v>
      </c>
      <c r="T6" s="1471"/>
    </row>
    <row r="7" spans="2:20">
      <c r="B7" s="775" t="s">
        <v>2247</v>
      </c>
      <c r="C7" s="3303" t="s">
        <v>546</v>
      </c>
      <c r="D7" s="1550"/>
      <c r="E7" s="753"/>
      <c r="F7" s="753"/>
      <c r="G7" s="753"/>
      <c r="H7" s="753"/>
      <c r="I7" s="753"/>
      <c r="J7" s="753"/>
      <c r="K7" s="753"/>
      <c r="L7" s="753"/>
      <c r="M7" s="753"/>
      <c r="N7" s="753"/>
      <c r="O7" s="753"/>
      <c r="P7" s="1599"/>
      <c r="Q7" s="753"/>
      <c r="R7" s="775"/>
      <c r="S7" s="776">
        <f>B!T7</f>
        <v>44926</v>
      </c>
      <c r="T7" s="1475"/>
    </row>
    <row r="8" ht="13.95" spans="14:15">
      <c r="N8" s="1388"/>
      <c r="O8" s="1388"/>
    </row>
    <row r="9" spans="2:20">
      <c r="B9" s="2443"/>
      <c r="C9" s="1328"/>
      <c r="D9" s="1330"/>
      <c r="E9" s="1330" t="s">
        <v>2248</v>
      </c>
      <c r="F9" s="1329" t="s">
        <v>2248</v>
      </c>
      <c r="G9" s="1330"/>
      <c r="H9" s="2281" t="s">
        <v>1228</v>
      </c>
      <c r="I9" s="2281"/>
      <c r="J9" s="1330"/>
      <c r="K9" s="1327" t="s">
        <v>2248</v>
      </c>
      <c r="L9" s="1329" t="s">
        <v>2248</v>
      </c>
      <c r="M9" s="1330"/>
      <c r="N9" s="2281" t="s">
        <v>1228</v>
      </c>
      <c r="O9" s="2281"/>
      <c r="P9" s="1330"/>
      <c r="Q9" s="1327" t="s">
        <v>2248</v>
      </c>
      <c r="R9" s="1327" t="s">
        <v>2248</v>
      </c>
      <c r="S9" s="1403">
        <f>K11</f>
        <v>44926</v>
      </c>
      <c r="T9" s="1404"/>
    </row>
    <row r="10" spans="2:20">
      <c r="B10" s="2444" t="s">
        <v>492</v>
      </c>
      <c r="C10" s="2445"/>
      <c r="D10" s="1336" t="s">
        <v>654</v>
      </c>
      <c r="E10" s="1336" t="e">
        <f>'[89]F1'!F6</f>
        <v>#REF!</v>
      </c>
      <c r="F10" s="1335" t="s">
        <v>2249</v>
      </c>
      <c r="G10" s="1336" t="s">
        <v>1230</v>
      </c>
      <c r="H10" s="2283"/>
      <c r="I10" s="2283"/>
      <c r="J10" s="1336" t="s">
        <v>1230</v>
      </c>
      <c r="K10" s="1389" t="s">
        <v>2250</v>
      </c>
      <c r="L10" s="1335" t="s">
        <v>2249</v>
      </c>
      <c r="M10" s="1336" t="s">
        <v>1230</v>
      </c>
      <c r="N10" s="2283"/>
      <c r="O10" s="2283"/>
      <c r="P10" s="1336" t="s">
        <v>1230</v>
      </c>
      <c r="Q10" s="1389" t="s">
        <v>2250</v>
      </c>
      <c r="R10" s="1389" t="s">
        <v>2250</v>
      </c>
      <c r="S10" s="1405" t="s">
        <v>2251</v>
      </c>
      <c r="T10" s="1406"/>
    </row>
    <row r="11" ht="13.95" spans="2:20">
      <c r="B11" s="2446"/>
      <c r="C11" s="1340"/>
      <c r="D11" s="5111" t="s">
        <v>2252</v>
      </c>
      <c r="E11" s="1341" t="e">
        <f>'[89]F1'!F7</f>
        <v>#REF!</v>
      </c>
      <c r="F11" s="1341">
        <f>+'F1'!E10</f>
        <v>44926</v>
      </c>
      <c r="G11" s="1342" t="s">
        <v>2253</v>
      </c>
      <c r="H11" s="1342" t="s">
        <v>1231</v>
      </c>
      <c r="I11" s="1342" t="s">
        <v>1232</v>
      </c>
      <c r="J11" s="1342" t="s">
        <v>2253</v>
      </c>
      <c r="K11" s="1390">
        <f>F11</f>
        <v>44926</v>
      </c>
      <c r="L11" s="1341">
        <f>+'F1'!P10</f>
        <v>44561</v>
      </c>
      <c r="M11" s="1342" t="s">
        <v>2253</v>
      </c>
      <c r="N11" s="1342" t="s">
        <v>1231</v>
      </c>
      <c r="O11" s="1342" t="s">
        <v>1232</v>
      </c>
      <c r="P11" s="1342" t="s">
        <v>2253</v>
      </c>
      <c r="Q11" s="1390">
        <f>L11</f>
        <v>44561</v>
      </c>
      <c r="R11" s="1390">
        <f>+'F1'!Q10</f>
        <v>44196</v>
      </c>
      <c r="S11" s="1336" t="s">
        <v>151</v>
      </c>
      <c r="T11" s="5112" t="s">
        <v>2254</v>
      </c>
    </row>
    <row r="12" spans="2:20">
      <c r="B12" s="1983"/>
      <c r="D12" s="135"/>
      <c r="E12" s="296"/>
      <c r="F12" s="296"/>
      <c r="G12" s="135"/>
      <c r="H12" s="296"/>
      <c r="I12" s="296"/>
      <c r="J12" s="135"/>
      <c r="K12" s="1391"/>
      <c r="L12" s="296"/>
      <c r="M12" s="135"/>
      <c r="N12" s="296"/>
      <c r="O12" s="296"/>
      <c r="P12" s="135"/>
      <c r="Q12" s="1391"/>
      <c r="S12" s="191"/>
      <c r="T12" s="1409"/>
    </row>
    <row r="13" spans="2:20">
      <c r="B13" s="1983"/>
      <c r="C13" s="248" t="s">
        <v>2255</v>
      </c>
      <c r="D13" s="135"/>
      <c r="E13" s="296"/>
      <c r="F13" s="296"/>
      <c r="G13" s="296"/>
      <c r="H13" s="296"/>
      <c r="I13" s="296"/>
      <c r="J13" s="296"/>
      <c r="K13" s="296"/>
      <c r="L13" s="3308"/>
      <c r="M13" s="200"/>
      <c r="N13" s="174"/>
      <c r="O13" s="174"/>
      <c r="P13" s="200"/>
      <c r="Q13" s="174"/>
      <c r="R13"/>
      <c r="S13" s="296"/>
      <c r="T13" s="1409"/>
    </row>
    <row r="14" spans="2:20">
      <c r="B14" s="1983"/>
      <c r="D14" s="135"/>
      <c r="E14" s="296"/>
      <c r="F14" s="296">
        <v>0</v>
      </c>
      <c r="G14" s="296"/>
      <c r="H14" s="174"/>
      <c r="I14" s="174"/>
      <c r="J14" s="296"/>
      <c r="K14" s="174">
        <f t="shared" ref="K14:K21" si="0">F14+H14-I14</f>
        <v>0</v>
      </c>
      <c r="L14" s="174">
        <v>0</v>
      </c>
      <c r="M14" s="200"/>
      <c r="N14" s="174"/>
      <c r="O14" s="174"/>
      <c r="P14" s="200"/>
      <c r="Q14" s="174">
        <f>+L14+N14-O14</f>
        <v>0</v>
      </c>
      <c r="R14" s="231">
        <v>0</v>
      </c>
      <c r="S14" s="191">
        <f>F14-Q14</f>
        <v>0</v>
      </c>
      <c r="T14" s="1409">
        <f>IF(Q14=0,IF(S14=0,0,S14/S14),S14/Q14)</f>
        <v>0</v>
      </c>
    </row>
    <row r="15" spans="2:20">
      <c r="B15" s="1983"/>
      <c r="D15" s="135"/>
      <c r="E15" s="296"/>
      <c r="F15" s="296">
        <v>0</v>
      </c>
      <c r="G15" s="296"/>
      <c r="H15" s="174"/>
      <c r="I15" s="174"/>
      <c r="J15" s="296"/>
      <c r="K15" s="174">
        <f t="shared" si="0"/>
        <v>0</v>
      </c>
      <c r="L15" s="174">
        <v>0</v>
      </c>
      <c r="M15" s="200"/>
      <c r="N15" s="174"/>
      <c r="O15" s="174"/>
      <c r="P15" s="200"/>
      <c r="Q15" s="174">
        <f t="shared" ref="Q15:Q21" si="1">+L15+N15-O15</f>
        <v>0</v>
      </c>
      <c r="R15" s="231">
        <v>0</v>
      </c>
      <c r="S15" s="191">
        <f t="shared" ref="S15:S21" si="2">F15-Q15</f>
        <v>0</v>
      </c>
      <c r="T15" s="1409">
        <f t="shared" ref="T15:T21" si="3">IF(Q15=0,IF(S15=0,0,S15/S15),S15/Q15)</f>
        <v>0</v>
      </c>
    </row>
    <row r="16" spans="2:20">
      <c r="B16" s="1983"/>
      <c r="D16" s="135"/>
      <c r="E16" s="296"/>
      <c r="F16" s="296">
        <v>0</v>
      </c>
      <c r="G16" s="296"/>
      <c r="H16" s="174"/>
      <c r="I16" s="174"/>
      <c r="J16" s="296"/>
      <c r="K16" s="174">
        <f t="shared" si="0"/>
        <v>0</v>
      </c>
      <c r="L16" s="174">
        <v>0</v>
      </c>
      <c r="M16" s="200"/>
      <c r="N16" s="174"/>
      <c r="O16" s="174"/>
      <c r="P16" s="200"/>
      <c r="Q16" s="174">
        <f t="shared" si="1"/>
        <v>0</v>
      </c>
      <c r="R16" s="231">
        <v>0</v>
      </c>
      <c r="S16" s="191">
        <f t="shared" si="2"/>
        <v>0</v>
      </c>
      <c r="T16" s="1409">
        <f t="shared" si="3"/>
        <v>0</v>
      </c>
    </row>
    <row r="17" spans="2:20">
      <c r="B17" s="1983"/>
      <c r="D17" s="135"/>
      <c r="E17" s="296"/>
      <c r="F17" s="296">
        <v>0</v>
      </c>
      <c r="G17" s="296"/>
      <c r="H17" s="174"/>
      <c r="I17" s="174"/>
      <c r="J17" s="296"/>
      <c r="K17" s="174">
        <f t="shared" si="0"/>
        <v>0</v>
      </c>
      <c r="L17" s="174">
        <v>0</v>
      </c>
      <c r="M17" s="200"/>
      <c r="N17" s="174"/>
      <c r="O17" s="174"/>
      <c r="P17" s="200"/>
      <c r="Q17" s="174">
        <f t="shared" si="1"/>
        <v>0</v>
      </c>
      <c r="R17" s="231">
        <v>0</v>
      </c>
      <c r="S17" s="191">
        <f t="shared" si="2"/>
        <v>0</v>
      </c>
      <c r="T17" s="1409">
        <f t="shared" si="3"/>
        <v>0</v>
      </c>
    </row>
    <row r="18" spans="2:20">
      <c r="B18" s="1983"/>
      <c r="D18" s="135"/>
      <c r="E18" s="296"/>
      <c r="F18" s="296">
        <v>0</v>
      </c>
      <c r="G18" s="296"/>
      <c r="H18" s="174"/>
      <c r="I18" s="174"/>
      <c r="J18" s="296"/>
      <c r="K18" s="174">
        <f t="shared" si="0"/>
        <v>0</v>
      </c>
      <c r="L18" s="174">
        <v>0</v>
      </c>
      <c r="M18" s="200"/>
      <c r="N18" s="174"/>
      <c r="O18" s="174"/>
      <c r="P18" s="200"/>
      <c r="Q18" s="174">
        <f t="shared" si="1"/>
        <v>0</v>
      </c>
      <c r="R18" s="231">
        <v>0</v>
      </c>
      <c r="S18" s="191">
        <f t="shared" si="2"/>
        <v>0</v>
      </c>
      <c r="T18" s="1409">
        <f t="shared" si="3"/>
        <v>0</v>
      </c>
    </row>
    <row r="19" spans="2:20">
      <c r="B19" s="1983"/>
      <c r="D19" s="135"/>
      <c r="E19" s="296"/>
      <c r="F19" s="296">
        <v>0</v>
      </c>
      <c r="G19" s="296"/>
      <c r="H19" s="174"/>
      <c r="I19" s="174"/>
      <c r="J19" s="296"/>
      <c r="K19" s="174">
        <f t="shared" si="0"/>
        <v>0</v>
      </c>
      <c r="L19" s="174">
        <v>0</v>
      </c>
      <c r="M19" s="200"/>
      <c r="N19" s="174"/>
      <c r="O19" s="174"/>
      <c r="P19" s="200"/>
      <c r="Q19" s="174">
        <f t="shared" si="1"/>
        <v>0</v>
      </c>
      <c r="R19" s="231">
        <v>0</v>
      </c>
      <c r="S19" s="191">
        <f t="shared" si="2"/>
        <v>0</v>
      </c>
      <c r="T19" s="1409">
        <f t="shared" si="3"/>
        <v>0</v>
      </c>
    </row>
    <row r="20" spans="2:20">
      <c r="B20" s="1983"/>
      <c r="D20" s="135"/>
      <c r="E20" s="296"/>
      <c r="F20" s="296">
        <v>0</v>
      </c>
      <c r="G20" s="296"/>
      <c r="H20" s="174"/>
      <c r="I20" s="174"/>
      <c r="J20" s="296"/>
      <c r="K20" s="174">
        <f t="shared" si="0"/>
        <v>0</v>
      </c>
      <c r="L20" s="174">
        <v>0</v>
      </c>
      <c r="M20" s="200"/>
      <c r="N20" s="174"/>
      <c r="O20" s="174"/>
      <c r="P20" s="200"/>
      <c r="Q20" s="174">
        <f t="shared" si="1"/>
        <v>0</v>
      </c>
      <c r="R20" s="231">
        <v>0</v>
      </c>
      <c r="S20" s="191">
        <f t="shared" si="2"/>
        <v>0</v>
      </c>
      <c r="T20" s="1409">
        <f t="shared" si="3"/>
        <v>0</v>
      </c>
    </row>
    <row r="21" spans="2:20">
      <c r="B21" s="1983"/>
      <c r="D21" s="135"/>
      <c r="E21" s="296"/>
      <c r="F21" s="296">
        <v>0</v>
      </c>
      <c r="G21" s="296"/>
      <c r="H21" s="174"/>
      <c r="I21" s="174"/>
      <c r="J21" s="296"/>
      <c r="K21" s="174">
        <f t="shared" si="0"/>
        <v>0</v>
      </c>
      <c r="L21" s="174">
        <v>0</v>
      </c>
      <c r="M21" s="200"/>
      <c r="N21" s="174"/>
      <c r="O21" s="174"/>
      <c r="P21" s="200"/>
      <c r="Q21" s="174">
        <f t="shared" si="1"/>
        <v>0</v>
      </c>
      <c r="R21" s="231">
        <v>0</v>
      </c>
      <c r="S21" s="191">
        <f t="shared" si="2"/>
        <v>0</v>
      </c>
      <c r="T21" s="1409">
        <f t="shared" si="3"/>
        <v>0</v>
      </c>
    </row>
    <row r="22" spans="2:20">
      <c r="B22" s="1983"/>
      <c r="D22" s="135"/>
      <c r="E22" s="296"/>
      <c r="F22" s="236"/>
      <c r="G22" s="236"/>
      <c r="H22" s="2180"/>
      <c r="I22" s="2180"/>
      <c r="J22" s="236"/>
      <c r="K22" s="2180"/>
      <c r="L22" s="2180"/>
      <c r="M22" s="203"/>
      <c r="N22" s="2180"/>
      <c r="O22" s="2180"/>
      <c r="P22" s="203"/>
      <c r="Q22" s="2180"/>
      <c r="R22" s="2203"/>
      <c r="S22" s="2180"/>
      <c r="T22" s="3161"/>
    </row>
    <row r="23" spans="2:20">
      <c r="B23" s="1983"/>
      <c r="C23" s="248" t="s">
        <v>2256</v>
      </c>
      <c r="D23" s="135"/>
      <c r="E23" s="296"/>
      <c r="F23" s="150">
        <f>SUM(F14:F22)</f>
        <v>0</v>
      </c>
      <c r="G23" s="296"/>
      <c r="H23" s="174"/>
      <c r="I23" s="174"/>
      <c r="J23" s="296"/>
      <c r="K23" s="150">
        <f>SUM(K14:K22)</f>
        <v>0</v>
      </c>
      <c r="L23" s="150">
        <f>SUM(L14:L20)</f>
        <v>0</v>
      </c>
      <c r="M23" s="150">
        <f>SUM(M14:M20)</f>
        <v>0</v>
      </c>
      <c r="N23" s="150">
        <f>SUM(N14:N20)</f>
        <v>0</v>
      </c>
      <c r="O23" s="150">
        <f>SUM(O14:O20)</f>
        <v>0</v>
      </c>
      <c r="P23" s="150">
        <f>SUM(P14:P20)</f>
        <v>0</v>
      </c>
      <c r="Q23" s="150">
        <f>SUM(Q14:Q22)</f>
        <v>0</v>
      </c>
      <c r="R23" s="133">
        <f>SUM(R14:R22)</f>
        <v>0</v>
      </c>
      <c r="S23" s="150">
        <f>SUM(S14:S22)</f>
        <v>0</v>
      </c>
      <c r="T23" s="1409">
        <f>IF(Q23=0,IF(S23=0,0,S23/S23),S23/Q23)</f>
        <v>0</v>
      </c>
    </row>
    <row r="24" spans="2:20">
      <c r="B24" s="1983"/>
      <c r="D24" s="135"/>
      <c r="E24" s="296"/>
      <c r="F24" s="296"/>
      <c r="G24" s="296"/>
      <c r="H24" s="174"/>
      <c r="I24" s="174"/>
      <c r="J24" s="296"/>
      <c r="K24" s="174"/>
      <c r="L24" s="174"/>
      <c r="M24" s="200"/>
      <c r="N24" s="174"/>
      <c r="O24" s="174"/>
      <c r="P24" s="200"/>
      <c r="Q24" s="174"/>
      <c r="R24" s="229"/>
      <c r="S24" s="174"/>
      <c r="T24" s="1409"/>
    </row>
    <row r="25" spans="2:20">
      <c r="B25" s="1983"/>
      <c r="C25"/>
      <c r="D25" s="135"/>
      <c r="E25" s="296"/>
      <c r="F25" s="296"/>
      <c r="G25" s="296"/>
      <c r="H25" s="174"/>
      <c r="I25" s="174"/>
      <c r="J25" s="296"/>
      <c r="K25" s="174"/>
      <c r="L25" s="174"/>
      <c r="M25" s="200"/>
      <c r="N25" s="174"/>
      <c r="O25" s="174"/>
      <c r="P25" s="200"/>
      <c r="Q25" s="174"/>
      <c r="R25" s="229"/>
      <c r="S25" s="174"/>
      <c r="T25" s="1409"/>
    </row>
    <row r="26" spans="2:20">
      <c r="B26" s="1983"/>
      <c r="C26" s="186" t="s">
        <v>2257</v>
      </c>
      <c r="D26" s="135"/>
      <c r="E26" s="296"/>
      <c r="F26" s="296">
        <v>0</v>
      </c>
      <c r="G26" s="296"/>
      <c r="H26" s="296"/>
      <c r="I26" s="296"/>
      <c r="J26" s="296"/>
      <c r="K26" s="174">
        <f>F26+H26-I26</f>
        <v>0</v>
      </c>
      <c r="L26" s="174">
        <f>[88]Sheet1!J49</f>
        <v>110448433.86</v>
      </c>
      <c r="M26" s="200"/>
      <c r="N26" s="174"/>
      <c r="O26" s="174"/>
      <c r="P26" s="200"/>
      <c r="Q26" s="174">
        <v>0</v>
      </c>
      <c r="R26" s="229">
        <v>0</v>
      </c>
      <c r="S26" s="174">
        <v>0</v>
      </c>
      <c r="T26" s="1409"/>
    </row>
    <row r="27" spans="2:20">
      <c r="B27" s="1983"/>
      <c r="D27" s="135"/>
      <c r="E27" s="296"/>
      <c r="F27" s="236"/>
      <c r="G27" s="236"/>
      <c r="H27" s="236"/>
      <c r="I27" s="236"/>
      <c r="J27" s="236"/>
      <c r="K27" s="2180"/>
      <c r="L27" s="2180"/>
      <c r="M27" s="203"/>
      <c r="N27" s="2180"/>
      <c r="O27" s="2180"/>
      <c r="P27" s="203"/>
      <c r="Q27" s="2180"/>
      <c r="R27" s="2203"/>
      <c r="S27" s="2180"/>
      <c r="T27" s="1409"/>
    </row>
    <row r="28" spans="2:20">
      <c r="B28" s="1983"/>
      <c r="C28" s="248" t="s">
        <v>2258</v>
      </c>
      <c r="D28" s="135"/>
      <c r="E28" s="296"/>
      <c r="F28" s="150">
        <f>SUM(F26)</f>
        <v>0</v>
      </c>
      <c r="G28" s="296"/>
      <c r="H28" s="174"/>
      <c r="I28" s="174"/>
      <c r="J28" s="296"/>
      <c r="K28" s="150">
        <f t="shared" ref="K28:S28" si="4">SUM(K26)</f>
        <v>0</v>
      </c>
      <c r="L28" s="150">
        <f t="shared" si="4"/>
        <v>110448433.86</v>
      </c>
      <c r="M28" s="150">
        <f t="shared" si="4"/>
        <v>0</v>
      </c>
      <c r="N28" s="150">
        <f t="shared" si="4"/>
        <v>0</v>
      </c>
      <c r="O28" s="150">
        <f t="shared" si="4"/>
        <v>0</v>
      </c>
      <c r="P28" s="150">
        <f t="shared" si="4"/>
        <v>0</v>
      </c>
      <c r="Q28" s="150">
        <f t="shared" si="4"/>
        <v>0</v>
      </c>
      <c r="R28" s="133">
        <f t="shared" si="4"/>
        <v>0</v>
      </c>
      <c r="S28" s="150">
        <f t="shared" si="4"/>
        <v>0</v>
      </c>
      <c r="T28" s="1409">
        <f>IF(Q28=0,IF(S28=0,0,S28/S28),S28/Q28)</f>
        <v>0</v>
      </c>
    </row>
    <row r="29" spans="2:20">
      <c r="B29" s="1983"/>
      <c r="D29" s="135"/>
      <c r="E29" s="296"/>
      <c r="F29" s="296"/>
      <c r="G29" s="296"/>
      <c r="H29" s="174"/>
      <c r="I29" s="174"/>
      <c r="J29" s="296"/>
      <c r="K29" s="174"/>
      <c r="L29" s="174"/>
      <c r="M29" s="200"/>
      <c r="N29" s="174"/>
      <c r="O29" s="174"/>
      <c r="P29" s="200"/>
      <c r="Q29" s="174"/>
      <c r="R29" s="229"/>
      <c r="S29" s="174"/>
      <c r="T29" s="1409"/>
    </row>
    <row r="30" spans="2:20">
      <c r="B30" s="1983"/>
      <c r="D30" s="135"/>
      <c r="E30" s="296"/>
      <c r="F30" s="296"/>
      <c r="G30" s="296"/>
      <c r="H30" s="174"/>
      <c r="I30" s="174"/>
      <c r="J30" s="296"/>
      <c r="K30" s="296"/>
      <c r="L30" s="174"/>
      <c r="M30" s="200"/>
      <c r="N30" s="174"/>
      <c r="O30" s="174"/>
      <c r="P30" s="200"/>
      <c r="Q30" s="174"/>
      <c r="R30"/>
      <c r="S30" s="236"/>
      <c r="T30" s="1409"/>
    </row>
    <row r="31" ht="13.95" spans="2:20">
      <c r="B31" s="1985"/>
      <c r="C31" s="2447" t="s">
        <v>151</v>
      </c>
      <c r="D31" s="135"/>
      <c r="E31" s="1412">
        <f>SUM(E13:E13)</f>
        <v>0</v>
      </c>
      <c r="F31" s="1412">
        <f>+F23+F28</f>
        <v>0</v>
      </c>
      <c r="G31" s="1412"/>
      <c r="H31" s="1412">
        <f>+H23+H28</f>
        <v>0</v>
      </c>
      <c r="I31" s="1412">
        <f>+I23+I28</f>
        <v>0</v>
      </c>
      <c r="J31" s="1412"/>
      <c r="K31" s="1412">
        <f>+K23+K28</f>
        <v>0</v>
      </c>
      <c r="L31" s="1392">
        <f>SUM(L13:L15)</f>
        <v>0</v>
      </c>
      <c r="M31" s="200"/>
      <c r="N31" s="1392">
        <f>SUM(N13:N15)</f>
        <v>0</v>
      </c>
      <c r="O31" s="1392">
        <f>SUM(O13:O15)</f>
        <v>0</v>
      </c>
      <c r="P31" s="200"/>
      <c r="Q31" s="1412">
        <f>+Q23+Q28</f>
        <v>0</v>
      </c>
      <c r="R31" s="3310">
        <f>+R23+R28</f>
        <v>0</v>
      </c>
      <c r="S31" s="1412">
        <f>+S23+S28</f>
        <v>0</v>
      </c>
      <c r="T31" s="1409">
        <f>IF(Q31=0,IF(S31=0,0,S31/S31),S31/Q31)</f>
        <v>0</v>
      </c>
    </row>
    <row r="32" ht="14.7" spans="2:20">
      <c r="B32" s="2448"/>
      <c r="C32" s="1347"/>
      <c r="D32" s="2286"/>
      <c r="E32" s="1348"/>
      <c r="F32" s="1348">
        <f>+F31-'F1'!E19</f>
        <v>0</v>
      </c>
      <c r="G32" s="1348"/>
      <c r="H32" s="1393"/>
      <c r="I32" s="1393"/>
      <c r="J32" s="1348"/>
      <c r="K32" s="1348">
        <f>+K31-'F1'!J19</f>
        <v>0</v>
      </c>
      <c r="L32" s="3155"/>
      <c r="M32" s="2286"/>
      <c r="N32" s="1348"/>
      <c r="O32" s="1348"/>
      <c r="P32" s="2286"/>
      <c r="Q32" s="1348">
        <f>+Q31-'F1'!P19</f>
        <v>0</v>
      </c>
      <c r="R32" s="2287">
        <f>+R31-'F1'!Q19</f>
        <v>0</v>
      </c>
      <c r="S32" s="1348"/>
      <c r="T32" s="2317"/>
    </row>
    <row r="33" spans="8:20">
      <c r="H33" s="2423"/>
      <c r="I33" s="2423"/>
      <c r="L33" s="3156" t="s">
        <v>649</v>
      </c>
      <c r="M33"/>
      <c r="N33"/>
      <c r="O33"/>
      <c r="P33"/>
      <c r="Q33"/>
      <c r="R33" s="3156" t="s">
        <v>650</v>
      </c>
      <c r="T33" s="2318"/>
    </row>
    <row r="34" spans="8:20">
      <c r="H34" s="2423"/>
      <c r="I34" s="2423"/>
      <c r="T34" s="2318"/>
    </row>
    <row r="35" spans="8:9">
      <c r="H35" s="2423"/>
      <c r="I35" s="2423"/>
    </row>
    <row r="36" spans="3:3">
      <c r="C36" s="248"/>
    </row>
    <row r="37" spans="3:3">
      <c r="C37" s="186" t="str">
        <f>'F1'!C46</f>
        <v>Sesuai dengan Saldo Buku Besar Periode 31 Desember 2022 &amp; 2021</v>
      </c>
    </row>
    <row r="38" ht="9.2" customHeight="1"/>
    <row r="39" spans="3:3">
      <c r="C39" s="5113" t="str">
        <f>'F1'!C47</f>
        <v>Sesuai dengan Saldo Audit Periode Sebelumnya</v>
      </c>
    </row>
    <row r="40" ht="9.2" customHeight="1"/>
    <row r="41" spans="3:3">
      <c r="C41" s="5113" t="str">
        <f>'F1'!C48</f>
        <v>Rumus dan Formula Perhitungan telah Diperiksa</v>
      </c>
    </row>
    <row r="43" spans="2:19">
      <c r="B43" s="2999"/>
      <c r="C43" s="3000"/>
      <c r="D43" s="3000"/>
      <c r="E43" s="3000"/>
      <c r="F43" s="3000"/>
      <c r="G43" s="3000"/>
      <c r="H43" s="3000"/>
      <c r="I43" s="3000"/>
      <c r="J43" s="3000"/>
      <c r="K43" s="3000"/>
      <c r="L43" s="3000"/>
      <c r="M43" s="3000"/>
      <c r="N43" s="3000"/>
      <c r="O43" s="3000"/>
      <c r="P43" s="3000"/>
      <c r="Q43" s="3000"/>
      <c r="R43" s="3000"/>
      <c r="S43" s="3030"/>
    </row>
    <row r="44" spans="2:19">
      <c r="B44" s="3304"/>
      <c r="C44" s="3039" t="s">
        <v>2259</v>
      </c>
      <c r="D44" s="224"/>
      <c r="E44" s="224"/>
      <c r="F44" s="224"/>
      <c r="G44" s="224"/>
      <c r="H44" s="224"/>
      <c r="I44" s="224"/>
      <c r="J44" s="224"/>
      <c r="K44" s="224"/>
      <c r="L44" s="224"/>
      <c r="M44" s="224"/>
      <c r="N44" s="224"/>
      <c r="O44" s="224"/>
      <c r="P44" s="224"/>
      <c r="Q44" s="224"/>
      <c r="R44" s="224"/>
      <c r="S44" s="3031"/>
    </row>
    <row r="45" spans="2:19">
      <c r="B45" s="3304"/>
      <c r="C45" s="224"/>
      <c r="D45" s="224"/>
      <c r="E45" s="3008"/>
      <c r="F45" s="3008"/>
      <c r="G45" s="3008"/>
      <c r="H45" s="3008"/>
      <c r="I45" s="224"/>
      <c r="J45" s="3008"/>
      <c r="K45" s="3008"/>
      <c r="L45" s="3008"/>
      <c r="M45" s="3008"/>
      <c r="N45" s="3008"/>
      <c r="O45" s="3008"/>
      <c r="P45" s="3008"/>
      <c r="Q45" s="224"/>
      <c r="R45" s="224"/>
      <c r="S45" s="3031"/>
    </row>
    <row r="46" spans="2:19">
      <c r="B46" s="3305" t="s">
        <v>1031</v>
      </c>
      <c r="C46" s="3306" t="s">
        <v>2260</v>
      </c>
      <c r="D46" s="224"/>
      <c r="E46" s="3008"/>
      <c r="F46" s="3008"/>
      <c r="G46" s="3008"/>
      <c r="H46" s="3008"/>
      <c r="I46" s="3306" t="s">
        <v>2261</v>
      </c>
      <c r="J46" s="3306"/>
      <c r="K46" s="3306" t="s">
        <v>1204</v>
      </c>
      <c r="L46" s="3008"/>
      <c r="M46" s="3008"/>
      <c r="N46" s="3008"/>
      <c r="O46" s="3008"/>
      <c r="P46" s="3008"/>
      <c r="Q46" s="224"/>
      <c r="R46" s="224"/>
      <c r="S46" s="3031"/>
    </row>
    <row r="47" spans="2:19">
      <c r="B47" s="3304">
        <v>44562</v>
      </c>
      <c r="C47" s="224" t="str">
        <f>+'[90]Gl work 22'!$D$21450</f>
        <v>500.006.2 - COGS FIRE (Simplex,Horinglih,Geca, Syst Sensor,Thorn, Vesda)</v>
      </c>
      <c r="D47" s="224"/>
      <c r="E47" s="3008"/>
      <c r="F47" s="3008"/>
      <c r="G47" s="3008"/>
      <c r="H47" s="3008"/>
      <c r="I47" s="224" t="str">
        <f>+'[90]Gl work 22'!$F$21450</f>
        <v>Faktur Penjualan</v>
      </c>
      <c r="J47" s="3008"/>
      <c r="K47" s="224">
        <f>+'[90]Gl work 22'!$I$21450</f>
        <v>38083558.68</v>
      </c>
      <c r="L47" s="3008"/>
      <c r="M47" s="3008"/>
      <c r="N47" s="3008"/>
      <c r="O47" s="3008"/>
      <c r="P47" s="3008"/>
      <c r="Q47" s="224"/>
      <c r="R47" s="224"/>
      <c r="S47" s="3031"/>
    </row>
    <row r="48" spans="2:19">
      <c r="B48" s="3304">
        <f>+B47</f>
        <v>44562</v>
      </c>
      <c r="C48" s="224" t="str">
        <f>+'[90]Gl work 22'!$D$7474</f>
        <v>120.001 - Barang Terkirim</v>
      </c>
      <c r="D48" s="224"/>
      <c r="E48" s="3008"/>
      <c r="F48" s="3008"/>
      <c r="G48" s="3008"/>
      <c r="H48" s="3008"/>
      <c r="I48" s="224" t="str">
        <f>+'[90]Gl work 22'!$F$7474</f>
        <v>Faktur Penjualan</v>
      </c>
      <c r="J48" s="3008"/>
      <c r="K48" s="3008"/>
      <c r="L48" s="3008"/>
      <c r="M48" s="3008"/>
      <c r="N48" s="3008"/>
      <c r="O48" s="3008"/>
      <c r="P48" s="3008"/>
      <c r="Q48" s="224">
        <f>+'[90]Gl work 22'!$J$7474</f>
        <v>38083558.68</v>
      </c>
      <c r="R48" s="224"/>
      <c r="S48" s="3031"/>
    </row>
    <row r="49" spans="2:19">
      <c r="B49" s="3304"/>
      <c r="C49" s="224"/>
      <c r="D49" s="224"/>
      <c r="E49" s="3008"/>
      <c r="F49" s="3008"/>
      <c r="G49" s="3008"/>
      <c r="H49" s="3008"/>
      <c r="I49" s="3008"/>
      <c r="J49" s="3008"/>
      <c r="K49" s="3008"/>
      <c r="L49" s="3008"/>
      <c r="M49" s="3008"/>
      <c r="N49" s="3008"/>
      <c r="O49" s="3008"/>
      <c r="P49" s="3008"/>
      <c r="Q49" s="224"/>
      <c r="R49" s="224"/>
      <c r="S49" s="3031"/>
    </row>
    <row r="50" spans="2:19">
      <c r="B50" s="3304"/>
      <c r="C50" s="224"/>
      <c r="D50" s="224"/>
      <c r="E50" s="3008"/>
      <c r="F50" s="3008"/>
      <c r="G50" s="3008"/>
      <c r="H50" s="3008"/>
      <c r="I50" s="3008"/>
      <c r="J50" s="3008"/>
      <c r="K50" s="3008"/>
      <c r="L50" s="3008"/>
      <c r="M50" s="3008"/>
      <c r="N50" s="3008"/>
      <c r="O50" s="3008"/>
      <c r="P50" s="3008"/>
      <c r="Q50" s="224"/>
      <c r="R50" s="224"/>
      <c r="S50" s="3031"/>
    </row>
    <row r="51" spans="2:19">
      <c r="B51" s="3304"/>
      <c r="C51" s="3039" t="s">
        <v>2262</v>
      </c>
      <c r="D51" s="224"/>
      <c r="E51" s="3008"/>
      <c r="F51" s="3008"/>
      <c r="G51" s="3008"/>
      <c r="H51" s="3008"/>
      <c r="I51" s="3008"/>
      <c r="J51" s="3008"/>
      <c r="K51" s="3008"/>
      <c r="L51" s="3008"/>
      <c r="M51" s="3008"/>
      <c r="N51" s="3008"/>
      <c r="O51" s="3008"/>
      <c r="P51" s="3008"/>
      <c r="Q51" s="224"/>
      <c r="R51" s="224"/>
      <c r="S51" s="3031"/>
    </row>
    <row r="52" spans="2:19">
      <c r="B52" s="3304"/>
      <c r="C52" s="224"/>
      <c r="D52" s="224"/>
      <c r="E52" s="3008"/>
      <c r="F52" s="3008"/>
      <c r="G52" s="3008"/>
      <c r="H52" s="3008"/>
      <c r="I52" s="224"/>
      <c r="J52" s="3008"/>
      <c r="K52" s="3008"/>
      <c r="L52" s="3008"/>
      <c r="M52" s="3008"/>
      <c r="N52" s="3008"/>
      <c r="O52" s="3008"/>
      <c r="P52" s="3008"/>
      <c r="Q52" s="224"/>
      <c r="R52" s="224"/>
      <c r="S52" s="3031"/>
    </row>
    <row r="53" spans="2:19">
      <c r="B53" s="3304">
        <f>+B47+26</f>
        <v>44588</v>
      </c>
      <c r="C53" s="224" t="str">
        <f>+'[90]Gl work 22'!$D$7262</f>
        <v>120.001 - Barang Terkirim</v>
      </c>
      <c r="D53" s="224"/>
      <c r="E53" s="3008"/>
      <c r="F53" s="3008"/>
      <c r="G53" s="3008"/>
      <c r="H53" s="3008"/>
      <c r="I53" s="224" t="str">
        <f>+'[90]Gl work 22'!$F$7262</f>
        <v>Pengiriman Pesanan</v>
      </c>
      <c r="J53" s="3008"/>
      <c r="K53" s="224">
        <f>+'[90]Gl work 22'!$I$7262</f>
        <v>38083558.68</v>
      </c>
      <c r="L53" s="3008"/>
      <c r="M53" s="3008"/>
      <c r="N53" s="3008"/>
      <c r="O53" s="3008"/>
      <c r="P53" s="3008"/>
      <c r="Q53" s="224"/>
      <c r="R53" s="224"/>
      <c r="S53" s="3031"/>
    </row>
    <row r="54" spans="2:19">
      <c r="B54" s="3304">
        <f>+B53</f>
        <v>44588</v>
      </c>
      <c r="C54" s="224" t="str">
        <f>+'[90]Gl work 22'!$D$9949</f>
        <v>120.102 - FIRE (Simplex,Geca, Horinglih, System Sen,Thorn,Vesda)</v>
      </c>
      <c r="D54" s="224"/>
      <c r="E54" s="3008"/>
      <c r="F54" s="3008"/>
      <c r="G54" s="3008"/>
      <c r="H54" s="3008"/>
      <c r="I54" s="224" t="str">
        <f>+'[90]Gl work 22'!$F$9949</f>
        <v>Pengiriman Pesanan</v>
      </c>
      <c r="J54" s="3008"/>
      <c r="K54" s="3008"/>
      <c r="L54" s="3008"/>
      <c r="M54" s="3008"/>
      <c r="N54" s="3008"/>
      <c r="O54" s="3008"/>
      <c r="P54" s="3008"/>
      <c r="Q54" s="224">
        <f>+'[90]Gl work 22'!$J$9949</f>
        <v>38083558.68</v>
      </c>
      <c r="R54" s="224"/>
      <c r="S54" s="3031"/>
    </row>
    <row r="55" spans="2:19">
      <c r="B55" s="3304"/>
      <c r="C55" s="224"/>
      <c r="D55" s="224"/>
      <c r="E55" s="3008"/>
      <c r="F55" s="3008"/>
      <c r="G55" s="3008"/>
      <c r="H55" s="3008"/>
      <c r="I55" s="224"/>
      <c r="J55" s="3008"/>
      <c r="K55" s="3008"/>
      <c r="L55" s="3008"/>
      <c r="M55" s="3008"/>
      <c r="N55" s="3008"/>
      <c r="O55" s="3008"/>
      <c r="P55" s="3008"/>
      <c r="Q55" s="224"/>
      <c r="R55" s="224"/>
      <c r="S55" s="3031"/>
    </row>
    <row r="56" spans="2:19">
      <c r="B56" s="3304"/>
      <c r="C56" s="224"/>
      <c r="D56" s="224"/>
      <c r="E56" s="3008"/>
      <c r="F56" s="3008"/>
      <c r="G56" s="3008"/>
      <c r="H56" s="3008"/>
      <c r="I56" s="224"/>
      <c r="J56" s="3008"/>
      <c r="K56" s="3008"/>
      <c r="L56" s="3008"/>
      <c r="M56" s="3008"/>
      <c r="N56" s="3008"/>
      <c r="O56" s="3008"/>
      <c r="P56" s="3008"/>
      <c r="Q56" s="224"/>
      <c r="R56" s="224"/>
      <c r="S56" s="3031"/>
    </row>
    <row r="57" spans="2:19">
      <c r="B57" s="3304"/>
      <c r="C57" s="224"/>
      <c r="D57" s="224"/>
      <c r="E57" s="3008"/>
      <c r="F57" s="3008"/>
      <c r="G57" s="3008"/>
      <c r="H57" s="3008"/>
      <c r="I57" s="3008"/>
      <c r="J57" s="3008"/>
      <c r="K57" s="3008"/>
      <c r="L57" s="3008"/>
      <c r="M57" s="3008"/>
      <c r="N57" s="3008"/>
      <c r="O57" s="3008"/>
      <c r="P57" s="3008"/>
      <c r="Q57" s="224"/>
      <c r="R57" s="224"/>
      <c r="S57" s="3031"/>
    </row>
    <row r="58" spans="2:19">
      <c r="B58" s="3304"/>
      <c r="C58" s="224"/>
      <c r="D58" s="224"/>
      <c r="E58" s="3008"/>
      <c r="F58" s="3008"/>
      <c r="G58" s="3008"/>
      <c r="H58" s="3008"/>
      <c r="I58" s="3008"/>
      <c r="J58" s="3008"/>
      <c r="K58" s="3008"/>
      <c r="L58" s="3008"/>
      <c r="M58" s="3008"/>
      <c r="N58" s="3008"/>
      <c r="O58" s="3008"/>
      <c r="P58" s="3008"/>
      <c r="Q58" s="224"/>
      <c r="R58" s="224"/>
      <c r="S58" s="3031"/>
    </row>
    <row r="59" spans="2:19">
      <c r="B59" s="223"/>
      <c r="C59" s="224"/>
      <c r="D59" s="224"/>
      <c r="E59" s="3008"/>
      <c r="F59" s="3008"/>
      <c r="G59" s="3008"/>
      <c r="H59" s="3008"/>
      <c r="I59" s="3008"/>
      <c r="J59" s="3008"/>
      <c r="K59" s="3008"/>
      <c r="L59" s="3008"/>
      <c r="M59" s="3008"/>
      <c r="N59" s="3008"/>
      <c r="O59" s="3008"/>
      <c r="P59" s="3008"/>
      <c r="Q59" s="224"/>
      <c r="R59" s="224"/>
      <c r="S59" s="3031"/>
    </row>
    <row r="60" spans="2:19">
      <c r="B60" s="223"/>
      <c r="C60" s="224" t="s">
        <v>2263</v>
      </c>
      <c r="D60" s="224"/>
      <c r="E60" s="224">
        <f>'[91]sewa prepaid'!$I$124</f>
        <v>0</v>
      </c>
      <c r="F60" s="224"/>
      <c r="G60" s="224"/>
      <c r="H60" s="224"/>
      <c r="I60" s="224"/>
      <c r="J60" s="224"/>
      <c r="K60" s="224"/>
      <c r="L60" s="224"/>
      <c r="M60" s="224"/>
      <c r="N60" s="224"/>
      <c r="O60" s="224"/>
      <c r="P60" s="224"/>
      <c r="Q60" s="224"/>
      <c r="R60" s="224"/>
      <c r="S60" s="3031"/>
    </row>
    <row r="61" ht="13.95" spans="1:19">
      <c r="A61" s="289"/>
      <c r="B61" s="224"/>
      <c r="C61" s="224"/>
      <c r="D61" s="224"/>
      <c r="E61" s="224"/>
      <c r="F61" s="224"/>
      <c r="G61" s="224"/>
      <c r="H61" s="224"/>
      <c r="I61" s="224"/>
      <c r="J61" s="224"/>
      <c r="K61" s="224"/>
      <c r="L61" s="224"/>
      <c r="M61" s="224"/>
      <c r="N61" s="224"/>
      <c r="O61" s="224"/>
      <c r="P61" s="224"/>
      <c r="Q61" s="224"/>
      <c r="R61" s="224"/>
      <c r="S61" s="3031"/>
    </row>
    <row r="62" ht="13.95" spans="1:19">
      <c r="A62" s="289"/>
      <c r="B62" s="3307" t="s">
        <v>952</v>
      </c>
      <c r="C62" s="3035"/>
      <c r="D62" s="3036"/>
      <c r="E62" s="3042"/>
      <c r="F62" s="3042"/>
      <c r="G62" s="3042"/>
      <c r="H62" s="3042"/>
      <c r="I62" s="3042"/>
      <c r="J62" s="3042"/>
      <c r="K62" s="3042"/>
      <c r="L62" s="3043"/>
      <c r="M62" s="3044" t="s">
        <v>953</v>
      </c>
      <c r="N62" s="3042" t="s">
        <v>954</v>
      </c>
      <c r="O62" s="3045"/>
      <c r="P62" s="3046"/>
      <c r="Q62" s="3042" t="s">
        <v>2264</v>
      </c>
      <c r="R62" s="224"/>
      <c r="S62" s="3031"/>
    </row>
    <row r="63" spans="1:19">
      <c r="A63" s="289"/>
      <c r="B63" s="3307"/>
      <c r="C63" s="3035"/>
      <c r="D63" s="3036"/>
      <c r="E63" s="3042"/>
      <c r="F63" s="3042"/>
      <c r="G63" s="3042"/>
      <c r="H63"/>
      <c r="I63" s="3042"/>
      <c r="J63" s="3042"/>
      <c r="K63" s="3042"/>
      <c r="L63" s="219"/>
      <c r="M63" s="219"/>
      <c r="N63" s="3042"/>
      <c r="O63" s="222"/>
      <c r="P63" s="222"/>
      <c r="Q63" s="3042"/>
      <c r="R63" s="224"/>
      <c r="S63" s="3031"/>
    </row>
    <row r="64" spans="1:19">
      <c r="A64" s="289"/>
      <c r="B64" s="3307"/>
      <c r="C64" s="3035" t="s">
        <v>2265</v>
      </c>
      <c r="D64" s="3036"/>
      <c r="E64" s="3042"/>
      <c r="F64" s="3042"/>
      <c r="G64" s="3042"/>
      <c r="H64" s="3042"/>
      <c r="I64" s="3042"/>
      <c r="J64" s="3042"/>
      <c r="K64" s="3042"/>
      <c r="L64" s="219"/>
      <c r="M64" s="219"/>
      <c r="N64" s="3042"/>
      <c r="O64" s="222"/>
      <c r="P64" s="222"/>
      <c r="Q64" s="3042"/>
      <c r="R64" s="224"/>
      <c r="S64" s="3031"/>
    </row>
    <row r="65" spans="1:19">
      <c r="A65" s="289"/>
      <c r="B65" s="3307"/>
      <c r="C65" s="3035" t="s">
        <v>2266</v>
      </c>
      <c r="D65" s="3036"/>
      <c r="E65" s="3042"/>
      <c r="F65" s="3042"/>
      <c r="G65" s="3042"/>
      <c r="H65" s="3042"/>
      <c r="I65" s="3042"/>
      <c r="J65" s="3042"/>
      <c r="K65" s="3042"/>
      <c r="L65" s="219"/>
      <c r="M65" s="219"/>
      <c r="N65" s="3042"/>
      <c r="O65" s="222"/>
      <c r="P65" s="222"/>
      <c r="Q65" s="3042"/>
      <c r="R65" s="224"/>
      <c r="S65" s="3031"/>
    </row>
    <row r="66" spans="1:19">
      <c r="A66" s="289"/>
      <c r="B66" s="3307"/>
      <c r="C66" s="3035"/>
      <c r="D66" s="3036"/>
      <c r="E66" s="3042"/>
      <c r="F66">
        <v>2022</v>
      </c>
      <c r="G66" s="3042"/>
      <c r="H66">
        <f>+F66-1</f>
        <v>2021</v>
      </c>
      <c r="I66" s="3042"/>
      <c r="J66" s="3042"/>
      <c r="K66" s="3042"/>
      <c r="L66" s="219"/>
      <c r="M66" s="219"/>
      <c r="N66" s="3042"/>
      <c r="O66" s="222"/>
      <c r="P66" s="222"/>
      <c r="Q66" s="3042"/>
      <c r="R66" s="224"/>
      <c r="S66" s="3031"/>
    </row>
    <row r="67" spans="1:19">
      <c r="A67" s="289"/>
      <c r="B67" s="3307"/>
      <c r="C67" s="3035" t="s">
        <v>2267</v>
      </c>
      <c r="D67" s="3036"/>
      <c r="E67" s="3042"/>
      <c r="F67">
        <f>+Q31</f>
        <v>0</v>
      </c>
      <c r="G67" s="3042"/>
      <c r="H67">
        <f>+R31</f>
        <v>0</v>
      </c>
      <c r="I67" s="3042"/>
      <c r="J67" s="3042"/>
      <c r="K67" s="3042"/>
      <c r="L67" s="219"/>
      <c r="M67" s="219"/>
      <c r="N67" s="3042"/>
      <c r="O67" s="222"/>
      <c r="P67" s="222"/>
      <c r="Q67" s="3042"/>
      <c r="R67" s="224"/>
      <c r="S67" s="3031"/>
    </row>
    <row r="68" spans="1:19">
      <c r="A68" s="289"/>
      <c r="B68" s="3307"/>
      <c r="C68" s="3035" t="s">
        <v>2268</v>
      </c>
      <c r="D68" s="3036"/>
      <c r="E68" s="3042"/>
      <c r="F68">
        <f>+F31</f>
        <v>0</v>
      </c>
      <c r="G68" s="3042"/>
      <c r="H68">
        <f>+F67</f>
        <v>0</v>
      </c>
      <c r="I68" s="3042"/>
      <c r="J68" s="3042"/>
      <c r="K68" s="3042"/>
      <c r="L68" s="219"/>
      <c r="M68" s="219"/>
      <c r="N68" s="3042"/>
      <c r="O68" s="222"/>
      <c r="P68" s="222"/>
      <c r="Q68" s="3042"/>
      <c r="R68" s="224"/>
      <c r="S68" s="3031"/>
    </row>
    <row r="69" spans="1:19">
      <c r="A69" s="289"/>
      <c r="B69" s="3307"/>
      <c r="C69" s="3035" t="s">
        <v>2269</v>
      </c>
      <c r="D69" s="3036"/>
      <c r="E69" s="3042"/>
      <c r="F69" s="3042">
        <f>SUM(F67:F68)/2</f>
        <v>0</v>
      </c>
      <c r="G69" s="3042"/>
      <c r="H69" s="3042">
        <f>SUM(H67:H68)/2</f>
        <v>0</v>
      </c>
      <c r="I69" s="3042"/>
      <c r="J69" s="3042"/>
      <c r="K69" s="3042"/>
      <c r="L69" s="219"/>
      <c r="M69" s="219"/>
      <c r="N69" s="3042"/>
      <c r="O69" s="222"/>
      <c r="P69" s="222"/>
      <c r="Q69" s="3042"/>
      <c r="R69" s="224"/>
      <c r="S69" s="3031"/>
    </row>
    <row r="70" spans="1:19">
      <c r="A70" s="289"/>
      <c r="B70" s="3307"/>
      <c r="C70" s="3035"/>
      <c r="D70" s="3036"/>
      <c r="E70" s="3042"/>
      <c r="F70" s="3042"/>
      <c r="G70" s="3042"/>
      <c r="H70" s="3042"/>
      <c r="I70" s="3042"/>
      <c r="J70" s="3042"/>
      <c r="K70" s="3042"/>
      <c r="L70" s="219"/>
      <c r="M70" s="219"/>
      <c r="N70" s="3042"/>
      <c r="O70" s="222"/>
      <c r="P70" s="222"/>
      <c r="Q70" s="3042"/>
      <c r="R70" s="224"/>
      <c r="S70" s="3031"/>
    </row>
    <row r="71" spans="1:19">
      <c r="A71" s="289"/>
      <c r="B71" s="3307"/>
      <c r="C71" s="3035" t="s">
        <v>393</v>
      </c>
      <c r="D71" s="3036"/>
      <c r="E71" s="3042"/>
      <c r="F71" s="3042">
        <f>+'F30'!K13</f>
        <v>7376021851.59131</v>
      </c>
      <c r="G71" s="3042"/>
      <c r="H71" s="3042">
        <f>+'F30'!Q13</f>
        <v>5551498722</v>
      </c>
      <c r="I71" s="3042"/>
      <c r="J71" s="3042"/>
      <c r="K71" s="3042"/>
      <c r="L71" s="219"/>
      <c r="M71" s="219"/>
      <c r="N71" s="3042"/>
      <c r="O71" s="222"/>
      <c r="P71" s="222"/>
      <c r="Q71" s="3042"/>
      <c r="R71" s="224"/>
      <c r="S71" s="3031"/>
    </row>
    <row r="72" spans="1:19">
      <c r="A72" s="289"/>
      <c r="B72" s="3307"/>
      <c r="C72" s="3035" t="s">
        <v>2270</v>
      </c>
      <c r="D72" s="3036"/>
      <c r="E72" s="3042"/>
      <c r="F72" t="e">
        <f>+F71/F69</f>
        <v>#DIV/0!</v>
      </c>
      <c r="G72"/>
      <c r="H72" t="e">
        <f>+H71/H69</f>
        <v>#DIV/0!</v>
      </c>
      <c r="I72" s="3042"/>
      <c r="J72" s="3042"/>
      <c r="K72" s="3042"/>
      <c r="L72" s="219"/>
      <c r="M72" s="219"/>
      <c r="N72" s="3042"/>
      <c r="O72" s="222"/>
      <c r="P72" s="222"/>
      <c r="Q72" s="3042"/>
      <c r="R72" s="224"/>
      <c r="S72" s="3031"/>
    </row>
    <row r="73" spans="1:19">
      <c r="A73" s="289"/>
      <c r="B73" s="3307"/>
      <c r="C73" s="3035"/>
      <c r="D73" s="3036"/>
      <c r="E73" s="3042"/>
      <c r="F73" s="3042"/>
      <c r="G73" s="3042"/>
      <c r="H73" s="3042"/>
      <c r="I73" s="3042"/>
      <c r="J73" s="3042"/>
      <c r="K73" s="3042"/>
      <c r="L73" s="219"/>
      <c r="M73" s="219"/>
      <c r="N73" s="3042"/>
      <c r="O73" s="222"/>
      <c r="P73" s="222"/>
      <c r="Q73" s="3042"/>
      <c r="R73" s="224"/>
      <c r="S73" s="3031"/>
    </row>
    <row r="74" spans="1:19">
      <c r="A74" s="289"/>
      <c r="B74" s="3307"/>
      <c r="C74" s="3035"/>
      <c r="D74" s="3036"/>
      <c r="E74" s="3042"/>
      <c r="F74" s="3042"/>
      <c r="G74" s="3042"/>
      <c r="H74" s="3042"/>
      <c r="I74" s="3042"/>
      <c r="J74" s="3042"/>
      <c r="K74" s="3042"/>
      <c r="L74" s="219"/>
      <c r="M74" s="219"/>
      <c r="N74" s="3042"/>
      <c r="O74" s="222"/>
      <c r="P74" s="222"/>
      <c r="Q74" s="3042"/>
      <c r="R74" s="224"/>
      <c r="S74" s="3031"/>
    </row>
    <row r="75" spans="1:19">
      <c r="A75" s="289"/>
      <c r="B75" s="3307"/>
      <c r="C75" s="3035"/>
      <c r="D75" s="3036"/>
      <c r="E75" s="3042"/>
      <c r="F75" s="3042"/>
      <c r="G75" s="3042"/>
      <c r="H75" s="3042"/>
      <c r="I75" s="3042"/>
      <c r="J75" s="3042"/>
      <c r="K75" s="3042"/>
      <c r="L75" s="219"/>
      <c r="M75" s="219"/>
      <c r="N75" s="3042"/>
      <c r="O75" s="222"/>
      <c r="P75" s="222"/>
      <c r="Q75" s="3042"/>
      <c r="R75" s="224"/>
      <c r="S75" s="3031"/>
    </row>
    <row r="76" spans="1:19">
      <c r="A76" s="289"/>
      <c r="B76" s="3307"/>
      <c r="C76" s="3035"/>
      <c r="D76" s="3036"/>
      <c r="E76" s="3042"/>
      <c r="F76" s="3042"/>
      <c r="G76" s="3042"/>
      <c r="H76" s="3042"/>
      <c r="I76" s="3042"/>
      <c r="J76" s="3042"/>
      <c r="K76" s="3042"/>
      <c r="L76" s="219"/>
      <c r="M76" s="219"/>
      <c r="N76" s="3042"/>
      <c r="O76" s="222"/>
      <c r="P76" s="222"/>
      <c r="Q76" s="3042"/>
      <c r="R76" s="224"/>
      <c r="S76" s="3031"/>
    </row>
    <row r="77" spans="1:19">
      <c r="A77" s="289"/>
      <c r="B77" s="3311" t="s">
        <v>2271</v>
      </c>
      <c r="C77" s="3035"/>
      <c r="D77" s="3036"/>
      <c r="E77" s="3042"/>
      <c r="F77" s="3042"/>
      <c r="G77" s="3042"/>
      <c r="H77" s="3042"/>
      <c r="I77" s="3042"/>
      <c r="J77" s="3042"/>
      <c r="K77" s="3042"/>
      <c r="L77" s="3312"/>
      <c r="M77" s="3035"/>
      <c r="N77" s="3035"/>
      <c r="O77" s="3035"/>
      <c r="P77" s="3313"/>
      <c r="Q77" s="3314"/>
      <c r="R77" s="224"/>
      <c r="S77" s="3031"/>
    </row>
    <row r="78" spans="2:19">
      <c r="B78" s="3037"/>
      <c r="C78" s="3006"/>
      <c r="D78" s="3006"/>
      <c r="E78" s="3006"/>
      <c r="F78" s="3006"/>
      <c r="G78" s="3006"/>
      <c r="H78" s="3006"/>
      <c r="I78" s="3006"/>
      <c r="J78" s="3006"/>
      <c r="K78" s="3006"/>
      <c r="L78" s="3006"/>
      <c r="M78" s="3006"/>
      <c r="N78" s="3006"/>
      <c r="O78" s="3006"/>
      <c r="P78" s="3006"/>
      <c r="Q78" s="3006"/>
      <c r="R78" s="3006"/>
      <c r="S78" s="3048"/>
    </row>
  </sheetData>
  <mergeCells count="5">
    <mergeCell ref="S9:T9"/>
    <mergeCell ref="B10:C10"/>
    <mergeCell ref="S10:T10"/>
    <mergeCell ref="H9:I10"/>
    <mergeCell ref="N9:O10"/>
  </mergeCells>
  <printOptions horizontalCentered="1"/>
  <pageMargins left="0.708661417322835" right="0.511811023622047" top="0.708661417322835" bottom="0.31496062992126" header="0.511811023622047" footer="0.511811023622047"/>
  <pageSetup paperSize="9" scale="80" orientation="landscape"/>
  <headerFooter alignWithMargins="0">
    <oddFooter>&amp;R&amp;"Arial,Bold"&amp;28L</oddFooter>
  </headerFooter>
  <drawing r:id="rId1"/>
  <legacyDrawing r:id="rId2"/>
  <oleObjects>
    <mc:AlternateContent xmlns:mc="http://schemas.openxmlformats.org/markup-compatibility/2006">
      <mc:Choice Requires="x14">
        <oleObject shapeId="421889" progId="Paint.Picture" r:id="rId3">
          <objectPr defaultSize="0" r:id="rId4">
            <anchor moveWithCells="1">
              <from>
                <xdr:col>1</xdr:col>
                <xdr:colOff>82550</xdr:colOff>
                <xdr:row>40</xdr:row>
                <xdr:rowOff>12700</xdr:rowOff>
              </from>
              <to>
                <xdr:col>1</xdr:col>
                <xdr:colOff>234950</xdr:colOff>
                <xdr:row>41</xdr:row>
                <xdr:rowOff>0</xdr:rowOff>
              </to>
            </anchor>
          </objectPr>
        </oleObject>
      </mc:Choice>
      <mc:Fallback>
        <oleObject shapeId="421889" progId="Paint.Picture" r:id="rId3"/>
      </mc:Fallback>
    </mc:AlternateContent>
    <mc:AlternateContent xmlns:mc="http://schemas.openxmlformats.org/markup-compatibility/2006">
      <mc:Choice Requires="x14">
        <oleObject shapeId="421890" progId="Paint.Picture" r:id="rId5">
          <objectPr defaultSize="0" r:id="rId6">
            <anchor moveWithCells="1">
              <from>
                <xdr:col>1</xdr:col>
                <xdr:colOff>82550</xdr:colOff>
                <xdr:row>38</xdr:row>
                <xdr:rowOff>12700</xdr:rowOff>
              </from>
              <to>
                <xdr:col>1</xdr:col>
                <xdr:colOff>279400</xdr:colOff>
                <xdr:row>39</xdr:row>
                <xdr:rowOff>19050</xdr:rowOff>
              </to>
            </anchor>
          </objectPr>
        </oleObject>
      </mc:Choice>
      <mc:Fallback>
        <oleObject shapeId="421890" progId="Paint.Picture" r:id="rId5"/>
      </mc:Fallback>
    </mc:AlternateContent>
    <mc:AlternateContent xmlns:mc="http://schemas.openxmlformats.org/markup-compatibility/2006">
      <mc:Choice Requires="x14">
        <oleObject shapeId="421891" progId="Paint.Picture" r:id="rId7">
          <objectPr defaultSize="0" r:id="rId6">
            <anchor moveWithCells="1">
              <from>
                <xdr:col>17</xdr:col>
                <xdr:colOff>527050</xdr:colOff>
                <xdr:row>6</xdr:row>
                <xdr:rowOff>139700</xdr:rowOff>
              </from>
              <to>
                <xdr:col>17</xdr:col>
                <xdr:colOff>711200</xdr:colOff>
                <xdr:row>7</xdr:row>
                <xdr:rowOff>146050</xdr:rowOff>
              </to>
            </anchor>
          </objectPr>
        </oleObject>
      </mc:Choice>
      <mc:Fallback>
        <oleObject shapeId="421891" progId="Paint.Picture" r:id="rId7"/>
      </mc:Fallback>
    </mc:AlternateContent>
    <mc:AlternateContent xmlns:mc="http://schemas.openxmlformats.org/markup-compatibility/2006">
      <mc:Choice Requires="x14">
        <oleObject shapeId="1918404" progId="Paint.Picture" r:id="rId8">
          <objectPr defaultSize="0" r:id="rId4">
            <anchor moveWithCells="1">
              <from>
                <xdr:col>7</xdr:col>
                <xdr:colOff>927100</xdr:colOff>
                <xdr:row>33</xdr:row>
                <xdr:rowOff>114300</xdr:rowOff>
              </from>
              <to>
                <xdr:col>8</xdr:col>
                <xdr:colOff>6350</xdr:colOff>
                <xdr:row>34</xdr:row>
                <xdr:rowOff>139700</xdr:rowOff>
              </to>
            </anchor>
          </objectPr>
        </oleObject>
      </mc:Choice>
      <mc:Fallback>
        <oleObject shapeId="1918404" progId="Paint.Picture" r:id="rId8"/>
      </mc:Fallback>
    </mc:AlternateContent>
  </oleObject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4"/>
  <dimension ref="B1:K3907"/>
  <sheetViews>
    <sheetView zoomScale="115" zoomScaleNormal="115" workbookViewId="0">
      <pane xSplit="4" ySplit="8" topLeftCell="E3899" activePane="bottomRight" state="frozen"/>
      <selection/>
      <selection pane="topRight"/>
      <selection pane="bottomLeft"/>
      <selection pane="bottomRight" activeCell="E3914" sqref="E3914:F3914"/>
    </sheetView>
  </sheetViews>
  <sheetFormatPr defaultColWidth="8.84375" defaultRowHeight="13.2"/>
  <cols>
    <col min="1" max="1" width="1.19791666666667" style="784" customWidth="1"/>
    <col min="2" max="2" width="4.9375" style="784" customWidth="1"/>
    <col min="3" max="3" width="1.19791666666667" style="784" customWidth="1"/>
    <col min="4" max="4" width="13.3333333333333" style="784" customWidth="1"/>
    <col min="5" max="5" width="38.2083333333333" style="784" customWidth="1"/>
    <col min="6" max="6" width="12.4375" style="784" customWidth="1"/>
    <col min="7" max="7" width="10.6354166666667" style="784" customWidth="1"/>
    <col min="8" max="8" width="5.98958333333333" style="784" customWidth="1"/>
    <col min="9" max="9" width="15.1354166666667" style="784" customWidth="1"/>
    <col min="10" max="16384" width="8.84375" style="784"/>
  </cols>
  <sheetData>
    <row r="1" ht="11.1" customHeight="1" spans="2:9">
      <c r="B1" s="3288" t="s">
        <v>2272</v>
      </c>
      <c r="C1" s="3288"/>
      <c r="D1" s="3288"/>
      <c r="E1" s="3288"/>
      <c r="F1" s="3288"/>
      <c r="I1" s="3298"/>
    </row>
    <row r="2" spans="2:9">
      <c r="B2" s="3289" t="s">
        <v>2273</v>
      </c>
      <c r="C2" s="3289"/>
      <c r="D2" s="3289"/>
      <c r="E2" s="3289"/>
      <c r="F2" s="3289"/>
      <c r="G2" s="3289"/>
      <c r="H2" s="3289"/>
      <c r="I2" s="3289"/>
    </row>
    <row r="3" spans="2:9">
      <c r="B3" s="3290" t="s">
        <v>2274</v>
      </c>
      <c r="C3" s="3290"/>
      <c r="D3" s="3290"/>
      <c r="E3" s="3290"/>
      <c r="F3" s="3290"/>
      <c r="G3" s="3290"/>
      <c r="H3" s="3290"/>
      <c r="I3" s="3290"/>
    </row>
    <row r="4" ht="17.4" spans="2:9">
      <c r="B4" s="3291" t="s">
        <v>2275</v>
      </c>
      <c r="C4" s="3269"/>
      <c r="D4" s="3269"/>
      <c r="E4" s="3269"/>
      <c r="F4" s="3269"/>
      <c r="G4" s="3269"/>
      <c r="H4" s="3269"/>
      <c r="I4" s="3269"/>
    </row>
    <row r="5" ht="12.75" customHeight="1" spans="2:2">
      <c r="B5" s="3291" t="s">
        <v>2276</v>
      </c>
    </row>
    <row r="6" ht="11.1" customHeight="1" spans="2:6">
      <c r="B6" s="3292" t="s">
        <v>2277</v>
      </c>
      <c r="C6" s="3292"/>
      <c r="D6" s="3292" t="s">
        <v>2278</v>
      </c>
      <c r="E6" s="3292"/>
      <c r="F6" s="3292"/>
    </row>
    <row r="7" ht="9" customHeight="1"/>
    <row r="8" ht="13.35" customHeight="1" spans="2:9">
      <c r="B8" s="3293" t="s">
        <v>26</v>
      </c>
      <c r="D8" s="3294" t="s">
        <v>2279</v>
      </c>
      <c r="E8" s="3295" t="s">
        <v>2280</v>
      </c>
      <c r="F8" s="3295" t="s">
        <v>2281</v>
      </c>
      <c r="G8" s="3294" t="s">
        <v>2282</v>
      </c>
      <c r="H8" s="3295" t="s">
        <v>2283</v>
      </c>
      <c r="I8" s="3294" t="s">
        <v>2284</v>
      </c>
    </row>
    <row r="9" ht="13.35" customHeight="1" spans="2:5">
      <c r="B9" s="3296" t="s">
        <v>2285</v>
      </c>
      <c r="C9" s="3296"/>
      <c r="D9" s="3296"/>
      <c r="E9" s="3296"/>
    </row>
    <row r="10" ht="12.75" customHeight="1" spans="2:9">
      <c r="B10" s="3274">
        <v>1</v>
      </c>
      <c r="D10" s="3297" t="s">
        <v>2286</v>
      </c>
      <c r="E10" s="3298" t="s">
        <v>2287</v>
      </c>
      <c r="F10" s="3298" t="s">
        <v>2288</v>
      </c>
      <c r="G10" s="3278">
        <v>315720</v>
      </c>
      <c r="H10" s="3299">
        <v>0</v>
      </c>
      <c r="I10" s="3278">
        <v>0</v>
      </c>
    </row>
    <row r="11" ht="13.35" customHeight="1" spans="3:9">
      <c r="C11" s="3281" t="s">
        <v>2289</v>
      </c>
      <c r="D11" s="3281"/>
      <c r="E11" s="3281"/>
      <c r="I11" s="3279">
        <v>0</v>
      </c>
    </row>
    <row r="12" ht="13.35" customHeight="1" spans="2:5">
      <c r="B12" s="3296" t="s">
        <v>2290</v>
      </c>
      <c r="C12" s="3296"/>
      <c r="D12" s="3296"/>
      <c r="E12" s="3296"/>
    </row>
    <row r="13" ht="12.75" customHeight="1" spans="2:9">
      <c r="B13" s="3274">
        <v>1</v>
      </c>
      <c r="D13" s="3297" t="s">
        <v>2291</v>
      </c>
      <c r="E13" s="3298" t="s">
        <v>2292</v>
      </c>
      <c r="F13" s="3298" t="s">
        <v>2293</v>
      </c>
      <c r="G13" s="3278">
        <v>9900</v>
      </c>
      <c r="H13" s="3299">
        <v>0</v>
      </c>
      <c r="I13" s="3278">
        <v>0</v>
      </c>
    </row>
    <row r="14" ht="12.75" customHeight="1" spans="2:9">
      <c r="B14" s="3274">
        <v>2</v>
      </c>
      <c r="D14" s="3297" t="s">
        <v>2294</v>
      </c>
      <c r="E14" s="3298" t="s">
        <v>2295</v>
      </c>
      <c r="F14" s="3298" t="s">
        <v>2296</v>
      </c>
      <c r="G14" s="3278">
        <v>9350</v>
      </c>
      <c r="H14" s="3299">
        <v>0</v>
      </c>
      <c r="I14" s="3278">
        <v>0</v>
      </c>
    </row>
    <row r="15" ht="12.75" customHeight="1" spans="2:9">
      <c r="B15" s="3274">
        <v>3</v>
      </c>
      <c r="D15" s="3297" t="s">
        <v>2297</v>
      </c>
      <c r="E15" s="3298" t="s">
        <v>2298</v>
      </c>
      <c r="F15" s="3298" t="s">
        <v>2299</v>
      </c>
      <c r="G15" s="3278">
        <v>5500</v>
      </c>
      <c r="H15" s="3299">
        <v>0</v>
      </c>
      <c r="I15" s="3278">
        <v>0</v>
      </c>
    </row>
    <row r="16" ht="12.75" customHeight="1" spans="2:9">
      <c r="B16" s="3274">
        <v>4</v>
      </c>
      <c r="D16" s="3297" t="s">
        <v>2300</v>
      </c>
      <c r="E16" s="3298" t="s">
        <v>2301</v>
      </c>
      <c r="F16" s="3298" t="s">
        <v>2299</v>
      </c>
      <c r="G16" s="3278">
        <v>0</v>
      </c>
      <c r="H16" s="3299">
        <v>0</v>
      </c>
      <c r="I16" s="3278">
        <v>0</v>
      </c>
    </row>
    <row r="17" ht="12.75" customHeight="1" spans="2:9">
      <c r="B17" s="3274">
        <v>5</v>
      </c>
      <c r="D17" s="3297" t="s">
        <v>2302</v>
      </c>
      <c r="E17" s="3298" t="s">
        <v>2303</v>
      </c>
      <c r="F17" s="3298" t="s">
        <v>2304</v>
      </c>
      <c r="G17" s="3278">
        <v>1713800</v>
      </c>
      <c r="H17" s="3299">
        <v>0</v>
      </c>
      <c r="I17" s="3278">
        <v>0</v>
      </c>
    </row>
    <row r="18" ht="12.75" customHeight="1" spans="2:9">
      <c r="B18" s="3274">
        <v>6</v>
      </c>
      <c r="D18" s="3297" t="s">
        <v>2305</v>
      </c>
      <c r="E18" s="3298" t="s">
        <v>2306</v>
      </c>
      <c r="F18" s="3298" t="s">
        <v>2299</v>
      </c>
      <c r="G18" s="3278">
        <v>13200</v>
      </c>
      <c r="H18" s="3299">
        <v>0</v>
      </c>
      <c r="I18" s="3278">
        <v>0</v>
      </c>
    </row>
    <row r="19" ht="12.75" customHeight="1" spans="2:9">
      <c r="B19" s="3274">
        <v>7</v>
      </c>
      <c r="D19" s="3297" t="s">
        <v>2307</v>
      </c>
      <c r="E19" s="3298" t="s">
        <v>2308</v>
      </c>
      <c r="F19" s="3298" t="s">
        <v>2309</v>
      </c>
      <c r="G19" s="3278">
        <v>10300</v>
      </c>
      <c r="H19" s="3299">
        <v>0</v>
      </c>
      <c r="I19" s="3278">
        <v>0</v>
      </c>
    </row>
    <row r="20" ht="12.75" customHeight="1" spans="2:9">
      <c r="B20" s="3274">
        <v>8</v>
      </c>
      <c r="D20" s="3297" t="s">
        <v>2310</v>
      </c>
      <c r="E20" s="3298" t="s">
        <v>2311</v>
      </c>
      <c r="F20" s="3298" t="s">
        <v>2293</v>
      </c>
      <c r="G20" s="3278">
        <v>13062.5</v>
      </c>
      <c r="H20" s="3299">
        <v>0</v>
      </c>
      <c r="I20" s="3278">
        <v>0</v>
      </c>
    </row>
    <row r="21" ht="12.75" customHeight="1" spans="2:9">
      <c r="B21" s="3274">
        <v>9</v>
      </c>
      <c r="D21" s="3297" t="s">
        <v>2312</v>
      </c>
      <c r="E21" s="3298" t="s">
        <v>2313</v>
      </c>
      <c r="F21" s="3298" t="s">
        <v>2314</v>
      </c>
      <c r="G21" s="3278">
        <v>135000</v>
      </c>
      <c r="H21" s="3299">
        <v>0</v>
      </c>
      <c r="I21" s="3278">
        <v>0</v>
      </c>
    </row>
    <row r="22" ht="12.75" customHeight="1" spans="2:9">
      <c r="B22" s="3274">
        <v>10</v>
      </c>
      <c r="D22" s="3297" t="s">
        <v>2315</v>
      </c>
      <c r="E22" s="3298" t="s">
        <v>2316</v>
      </c>
      <c r="F22" s="3298" t="s">
        <v>2299</v>
      </c>
      <c r="G22" s="3278">
        <v>548625</v>
      </c>
      <c r="H22" s="3299">
        <v>1</v>
      </c>
      <c r="I22" s="3278">
        <v>548625</v>
      </c>
    </row>
    <row r="23" ht="12.75" customHeight="1" spans="2:9">
      <c r="B23" s="3274">
        <v>11</v>
      </c>
      <c r="D23" s="3297" t="s">
        <v>2317</v>
      </c>
      <c r="E23" s="3298" t="s">
        <v>2318</v>
      </c>
      <c r="F23" s="3298" t="s">
        <v>2299</v>
      </c>
      <c r="G23" s="3278">
        <v>1430</v>
      </c>
      <c r="H23" s="3299">
        <v>400</v>
      </c>
      <c r="I23" s="3278">
        <v>572000</v>
      </c>
    </row>
    <row r="24" ht="12.75" customHeight="1" spans="2:9">
      <c r="B24" s="3274">
        <v>12</v>
      </c>
      <c r="D24" s="3297" t="s">
        <v>2319</v>
      </c>
      <c r="E24" s="3298" t="s">
        <v>2320</v>
      </c>
      <c r="F24" s="3298" t="s">
        <v>2321</v>
      </c>
      <c r="G24" s="3278">
        <v>7629.6</v>
      </c>
      <c r="H24" s="3299">
        <v>0</v>
      </c>
      <c r="I24" s="3278">
        <v>0</v>
      </c>
    </row>
    <row r="25" ht="12.75" customHeight="1" spans="2:9">
      <c r="B25" s="3274">
        <v>13</v>
      </c>
      <c r="D25" s="3297" t="s">
        <v>2322</v>
      </c>
      <c r="E25" s="3298" t="s">
        <v>2323</v>
      </c>
      <c r="F25" s="3298" t="s">
        <v>2299</v>
      </c>
      <c r="G25" s="3278">
        <v>6600000</v>
      </c>
      <c r="H25" s="3299">
        <v>0</v>
      </c>
      <c r="I25" s="3278">
        <v>0</v>
      </c>
    </row>
    <row r="26" ht="12.75" customHeight="1" spans="2:9">
      <c r="B26" s="3274">
        <v>14</v>
      </c>
      <c r="D26" s="3297" t="s">
        <v>2324</v>
      </c>
      <c r="E26" s="3298" t="s">
        <v>2325</v>
      </c>
      <c r="F26" s="3298" t="s">
        <v>2299</v>
      </c>
      <c r="G26" s="3278">
        <v>24750</v>
      </c>
      <c r="H26" s="3299">
        <v>22</v>
      </c>
      <c r="I26" s="3278">
        <v>544500</v>
      </c>
    </row>
    <row r="27" ht="12.75" customHeight="1" spans="2:9">
      <c r="B27" s="3274">
        <v>15</v>
      </c>
      <c r="D27" s="3297" t="s">
        <v>2326</v>
      </c>
      <c r="E27" s="3298" t="s">
        <v>2327</v>
      </c>
      <c r="F27" s="3298" t="s">
        <v>2299</v>
      </c>
      <c r="G27" s="3278">
        <v>24750</v>
      </c>
      <c r="H27" s="3299">
        <v>25</v>
      </c>
      <c r="I27" s="3278">
        <v>618750</v>
      </c>
    </row>
    <row r="28" ht="12.75" customHeight="1" spans="2:9">
      <c r="B28" s="3274">
        <v>16</v>
      </c>
      <c r="D28" s="3297" t="s">
        <v>2328</v>
      </c>
      <c r="E28" s="3298" t="s">
        <v>2329</v>
      </c>
      <c r="F28" s="3298" t="s">
        <v>2299</v>
      </c>
      <c r="G28" s="3278">
        <v>24750</v>
      </c>
      <c r="H28" s="3299">
        <v>12</v>
      </c>
      <c r="I28" s="3278">
        <v>297000</v>
      </c>
    </row>
    <row r="29" ht="12.75" customHeight="1" spans="2:9">
      <c r="B29" s="3274">
        <v>17</v>
      </c>
      <c r="D29" s="3297" t="s">
        <v>2330</v>
      </c>
      <c r="E29" s="3298" t="s">
        <v>2331</v>
      </c>
      <c r="F29" s="3298" t="s">
        <v>2299</v>
      </c>
      <c r="G29" s="3278">
        <v>22000</v>
      </c>
      <c r="H29" s="3299">
        <v>11</v>
      </c>
      <c r="I29" s="3278">
        <v>242000</v>
      </c>
    </row>
    <row r="30" ht="12.75" customHeight="1" spans="2:9">
      <c r="B30" s="3274">
        <v>18</v>
      </c>
      <c r="D30" s="3297" t="s">
        <v>2332</v>
      </c>
      <c r="E30" s="3298" t="s">
        <v>2333</v>
      </c>
      <c r="F30" s="3298" t="s">
        <v>2299</v>
      </c>
      <c r="G30" s="3278">
        <v>24750</v>
      </c>
      <c r="H30" s="3299">
        <v>9</v>
      </c>
      <c r="I30" s="3278">
        <v>222750</v>
      </c>
    </row>
    <row r="31" ht="12.75" customHeight="1" spans="2:9">
      <c r="B31" s="3274">
        <v>19</v>
      </c>
      <c r="D31" s="3297" t="s">
        <v>2334</v>
      </c>
      <c r="E31" s="3298" t="s">
        <v>2335</v>
      </c>
      <c r="F31" s="3298" t="s">
        <v>2299</v>
      </c>
      <c r="G31" s="3278">
        <v>24750</v>
      </c>
      <c r="H31" s="3299">
        <v>0</v>
      </c>
      <c r="I31" s="3278">
        <v>0</v>
      </c>
    </row>
    <row r="32" ht="12.75" customHeight="1" spans="2:9">
      <c r="B32" s="3274">
        <v>20</v>
      </c>
      <c r="D32" s="3297" t="s">
        <v>2336</v>
      </c>
      <c r="E32" s="3298" t="s">
        <v>2337</v>
      </c>
      <c r="F32" s="3298" t="s">
        <v>2293</v>
      </c>
      <c r="G32" s="3278">
        <v>1089</v>
      </c>
      <c r="H32" s="3299">
        <v>400</v>
      </c>
      <c r="I32" s="3278">
        <v>435600</v>
      </c>
    </row>
    <row r="33" ht="12.75" customHeight="1" spans="2:9">
      <c r="B33" s="3274">
        <v>21</v>
      </c>
      <c r="D33" s="3297" t="s">
        <v>2338</v>
      </c>
      <c r="E33" s="3298" t="s">
        <v>2339</v>
      </c>
      <c r="F33" s="3298" t="s">
        <v>2299</v>
      </c>
      <c r="G33" s="3278">
        <v>1300.079</v>
      </c>
      <c r="H33" s="3299">
        <v>0</v>
      </c>
      <c r="I33" s="3278">
        <v>0</v>
      </c>
    </row>
    <row r="34" ht="12.75" customHeight="1" spans="2:9">
      <c r="B34" s="3274">
        <v>22</v>
      </c>
      <c r="D34" s="3297" t="s">
        <v>2340</v>
      </c>
      <c r="E34" s="3298" t="s">
        <v>2341</v>
      </c>
      <c r="F34" s="3298" t="s">
        <v>2342</v>
      </c>
      <c r="G34" s="3278">
        <v>4400</v>
      </c>
      <c r="H34" s="3299">
        <v>0</v>
      </c>
      <c r="I34" s="3278">
        <v>0</v>
      </c>
    </row>
    <row r="35" ht="12.75" customHeight="1" spans="2:9">
      <c r="B35" s="3274">
        <v>23</v>
      </c>
      <c r="D35" s="3297" t="s">
        <v>2343</v>
      </c>
      <c r="E35" s="3298" t="s">
        <v>2344</v>
      </c>
      <c r="F35" s="3298" t="s">
        <v>2342</v>
      </c>
      <c r="G35" s="3278">
        <v>4603.5</v>
      </c>
      <c r="H35" s="3299">
        <v>100</v>
      </c>
      <c r="I35" s="3278">
        <v>460350</v>
      </c>
    </row>
    <row r="36" ht="12.75" customHeight="1" spans="2:9">
      <c r="B36" s="3274">
        <v>24</v>
      </c>
      <c r="D36" s="3297" t="s">
        <v>2345</v>
      </c>
      <c r="E36" s="3298" t="s">
        <v>2346</v>
      </c>
      <c r="F36" s="3298" t="s">
        <v>2342</v>
      </c>
      <c r="G36" s="3278">
        <v>4603.5</v>
      </c>
      <c r="H36" s="3299">
        <v>100</v>
      </c>
      <c r="I36" s="3278">
        <v>460350</v>
      </c>
    </row>
    <row r="37" ht="12.75" customHeight="1" spans="2:9">
      <c r="B37" s="3274">
        <v>25</v>
      </c>
      <c r="D37" s="3297" t="s">
        <v>2347</v>
      </c>
      <c r="E37" s="3298" t="s">
        <v>2348</v>
      </c>
      <c r="F37" s="3298" t="s">
        <v>2299</v>
      </c>
      <c r="G37" s="3278">
        <v>385</v>
      </c>
      <c r="H37" s="3299">
        <v>0</v>
      </c>
      <c r="I37" s="3278">
        <v>0</v>
      </c>
    </row>
    <row r="38" ht="12.75" customHeight="1" spans="2:9">
      <c r="B38" s="3274">
        <v>26</v>
      </c>
      <c r="D38" s="3297" t="s">
        <v>2349</v>
      </c>
      <c r="E38" s="3298" t="s">
        <v>2350</v>
      </c>
      <c r="F38" s="3298" t="s">
        <v>2299</v>
      </c>
      <c r="G38" s="3278">
        <v>275000</v>
      </c>
      <c r="H38" s="3299">
        <v>0</v>
      </c>
      <c r="I38" s="3278">
        <v>0</v>
      </c>
    </row>
    <row r="39" ht="12.75" customHeight="1" spans="2:9">
      <c r="B39" s="3274">
        <v>27</v>
      </c>
      <c r="D39" s="3297" t="s">
        <v>2351</v>
      </c>
      <c r="E39" s="3298" t="s">
        <v>2352</v>
      </c>
      <c r="F39" s="3298" t="s">
        <v>2299</v>
      </c>
      <c r="G39" s="3278">
        <v>275000</v>
      </c>
      <c r="H39" s="3299">
        <v>0</v>
      </c>
      <c r="I39" s="3278">
        <v>0</v>
      </c>
    </row>
    <row r="40" ht="12.75" customHeight="1" spans="2:9">
      <c r="B40" s="3274">
        <v>28</v>
      </c>
      <c r="D40" s="3297" t="s">
        <v>2353</v>
      </c>
      <c r="E40" s="3298" t="s">
        <v>2354</v>
      </c>
      <c r="F40" s="3298" t="s">
        <v>2299</v>
      </c>
      <c r="G40" s="3278">
        <v>25300</v>
      </c>
      <c r="H40" s="3299">
        <v>2</v>
      </c>
      <c r="I40" s="3278">
        <v>50600</v>
      </c>
    </row>
    <row r="41" ht="12.75" customHeight="1" spans="2:9">
      <c r="B41" s="3274">
        <v>29</v>
      </c>
      <c r="D41" s="3297" t="s">
        <v>2355</v>
      </c>
      <c r="E41" s="3298" t="s">
        <v>2356</v>
      </c>
      <c r="F41" s="3298" t="s">
        <v>2293</v>
      </c>
      <c r="G41" s="3278">
        <v>33000</v>
      </c>
      <c r="H41" s="3299">
        <v>0</v>
      </c>
      <c r="I41" s="3278">
        <v>0</v>
      </c>
    </row>
    <row r="42" ht="12.75" customHeight="1" spans="2:9">
      <c r="B42" s="3274">
        <v>30</v>
      </c>
      <c r="D42" s="3297" t="s">
        <v>2357</v>
      </c>
      <c r="E42" s="3298" t="s">
        <v>2358</v>
      </c>
      <c r="F42" s="3298" t="s">
        <v>2321</v>
      </c>
      <c r="G42" s="3278">
        <v>17490.55</v>
      </c>
      <c r="H42" s="3299">
        <v>0</v>
      </c>
      <c r="I42" s="3278">
        <v>0</v>
      </c>
    </row>
    <row r="43" ht="12.75" customHeight="1" spans="2:9">
      <c r="B43" s="3274">
        <v>31</v>
      </c>
      <c r="D43" s="3297" t="s">
        <v>2359</v>
      </c>
      <c r="E43" s="3298" t="s">
        <v>2360</v>
      </c>
      <c r="F43" s="3298" t="s">
        <v>2299</v>
      </c>
      <c r="G43" s="3278">
        <v>16346</v>
      </c>
      <c r="H43" s="3299">
        <v>0</v>
      </c>
      <c r="I43" s="3278">
        <v>0</v>
      </c>
    </row>
    <row r="44" ht="12.75" customHeight="1" spans="2:9">
      <c r="B44" s="3274">
        <v>32</v>
      </c>
      <c r="D44" s="3297" t="s">
        <v>2361</v>
      </c>
      <c r="E44" s="3298" t="s">
        <v>2362</v>
      </c>
      <c r="F44" s="3298" t="s">
        <v>2299</v>
      </c>
      <c r="G44" s="3278">
        <v>69877.5</v>
      </c>
      <c r="H44" s="3299">
        <v>0</v>
      </c>
      <c r="I44" s="3278">
        <v>0</v>
      </c>
    </row>
    <row r="45" ht="12.75" customHeight="1" spans="2:9">
      <c r="B45" s="3274">
        <v>33</v>
      </c>
      <c r="D45" s="3297" t="s">
        <v>2363</v>
      </c>
      <c r="E45" s="3298" t="s">
        <v>2364</v>
      </c>
      <c r="F45" s="3298" t="s">
        <v>2299</v>
      </c>
      <c r="G45" s="3278">
        <v>99492.8</v>
      </c>
      <c r="H45" s="3299">
        <v>60</v>
      </c>
      <c r="I45" s="3278">
        <v>5969568</v>
      </c>
    </row>
    <row r="46" ht="12.75" customHeight="1" spans="2:9">
      <c r="B46" s="3274">
        <v>34</v>
      </c>
      <c r="D46" s="3297" t="s">
        <v>2365</v>
      </c>
      <c r="E46" s="3298" t="s">
        <v>2366</v>
      </c>
      <c r="F46" s="3298" t="s">
        <v>2367</v>
      </c>
      <c r="G46" s="3278">
        <v>72649.995</v>
      </c>
      <c r="H46" s="3299">
        <v>0</v>
      </c>
      <c r="I46" s="3278">
        <v>0</v>
      </c>
    </row>
    <row r="47" ht="12.75" customHeight="1" spans="2:9">
      <c r="B47" s="3274">
        <v>35</v>
      </c>
      <c r="D47" s="3297" t="s">
        <v>2368</v>
      </c>
      <c r="E47" s="3298" t="s">
        <v>2369</v>
      </c>
      <c r="F47" s="3298" t="s">
        <v>2367</v>
      </c>
      <c r="G47" s="3278">
        <v>59895</v>
      </c>
      <c r="H47" s="3299">
        <v>0</v>
      </c>
      <c r="I47" s="3278">
        <v>0</v>
      </c>
    </row>
    <row r="48" ht="12.75" customHeight="1" spans="2:9">
      <c r="B48" s="3274">
        <v>36</v>
      </c>
      <c r="D48" s="3297" t="s">
        <v>2370</v>
      </c>
      <c r="E48" s="3298" t="s">
        <v>2371</v>
      </c>
      <c r="F48" s="3298" t="s">
        <v>2367</v>
      </c>
      <c r="G48" s="3278">
        <v>99492.8</v>
      </c>
      <c r="H48" s="3299">
        <v>0</v>
      </c>
      <c r="I48" s="3278">
        <v>0</v>
      </c>
    </row>
    <row r="49" ht="12.75" customHeight="1" spans="2:9">
      <c r="B49" s="3274">
        <v>37</v>
      </c>
      <c r="D49" s="3297" t="s">
        <v>2372</v>
      </c>
      <c r="E49" s="3298" t="s">
        <v>2373</v>
      </c>
      <c r="F49" s="3298" t="s">
        <v>2367</v>
      </c>
      <c r="G49" s="3278">
        <v>72650.006</v>
      </c>
      <c r="H49" s="3299">
        <v>0</v>
      </c>
      <c r="I49" s="3278">
        <v>0</v>
      </c>
    </row>
    <row r="50" ht="12.75" customHeight="1" spans="2:9">
      <c r="B50" s="3274">
        <v>38</v>
      </c>
      <c r="D50" s="3297" t="s">
        <v>2374</v>
      </c>
      <c r="E50" s="3298" t="s">
        <v>2375</v>
      </c>
      <c r="F50" s="3298" t="s">
        <v>2367</v>
      </c>
      <c r="G50" s="3278">
        <v>99492.8</v>
      </c>
      <c r="H50" s="3299">
        <v>48</v>
      </c>
      <c r="I50" s="3278">
        <v>4775654.4</v>
      </c>
    </row>
    <row r="51" ht="12.75" customHeight="1" spans="2:9">
      <c r="B51" s="3274">
        <v>39</v>
      </c>
      <c r="D51" s="3297" t="s">
        <v>2376</v>
      </c>
      <c r="E51" s="3298" t="s">
        <v>2377</v>
      </c>
      <c r="F51" s="3298" t="s">
        <v>2367</v>
      </c>
      <c r="G51" s="3278">
        <v>99492.8</v>
      </c>
      <c r="H51" s="3299">
        <v>12</v>
      </c>
      <c r="I51" s="3278">
        <v>1193913.6</v>
      </c>
    </row>
    <row r="52" ht="12.75" customHeight="1" spans="2:9">
      <c r="B52" s="3274">
        <v>40</v>
      </c>
      <c r="D52" s="3297" t="s">
        <v>2378</v>
      </c>
      <c r="E52" s="3298" t="s">
        <v>2379</v>
      </c>
      <c r="F52" s="3298" t="s">
        <v>2367</v>
      </c>
      <c r="G52" s="3278">
        <v>99492.8</v>
      </c>
      <c r="H52" s="3299">
        <v>24</v>
      </c>
      <c r="I52" s="3278">
        <v>2387827.2</v>
      </c>
    </row>
    <row r="53" ht="12.75" customHeight="1" spans="2:9">
      <c r="B53" s="3274">
        <v>41</v>
      </c>
      <c r="D53" s="3297" t="s">
        <v>2380</v>
      </c>
      <c r="E53" s="3298" t="s">
        <v>2381</v>
      </c>
      <c r="F53" s="3298" t="s">
        <v>2367</v>
      </c>
      <c r="G53" s="3278">
        <v>99492.8</v>
      </c>
      <c r="H53" s="3299">
        <v>0</v>
      </c>
      <c r="I53" s="3278">
        <v>0</v>
      </c>
    </row>
    <row r="54" ht="12.75" customHeight="1" spans="2:9">
      <c r="B54" s="3274">
        <v>42</v>
      </c>
      <c r="D54" s="3297" t="s">
        <v>2382</v>
      </c>
      <c r="E54" s="3298" t="s">
        <v>2383</v>
      </c>
      <c r="F54" s="3298" t="s">
        <v>2367</v>
      </c>
      <c r="G54" s="3278">
        <v>84000.004</v>
      </c>
      <c r="H54" s="3299">
        <v>0</v>
      </c>
      <c r="I54" s="3278">
        <v>0</v>
      </c>
    </row>
    <row r="55" ht="12.75" customHeight="1" spans="2:9">
      <c r="B55" s="3274">
        <v>43</v>
      </c>
      <c r="D55" s="3297" t="s">
        <v>2384</v>
      </c>
      <c r="E55" s="3298" t="s">
        <v>2385</v>
      </c>
      <c r="F55" s="3298" t="s">
        <v>2299</v>
      </c>
      <c r="G55" s="3278">
        <v>187000</v>
      </c>
      <c r="H55" s="3299">
        <v>10</v>
      </c>
      <c r="I55" s="3278">
        <v>1870000</v>
      </c>
    </row>
    <row r="56" ht="12.75" customHeight="1" spans="2:9">
      <c r="B56" s="3274">
        <v>44</v>
      </c>
      <c r="D56" s="3297" t="s">
        <v>2386</v>
      </c>
      <c r="E56" s="3298" t="s">
        <v>2387</v>
      </c>
      <c r="F56" s="3298" t="s">
        <v>2388</v>
      </c>
      <c r="G56" s="3278">
        <v>316.8</v>
      </c>
      <c r="H56" s="3299">
        <v>0</v>
      </c>
      <c r="I56" s="3278">
        <v>0</v>
      </c>
    </row>
    <row r="57" ht="12.75" customHeight="1" spans="2:9">
      <c r="B57" s="3274">
        <v>45</v>
      </c>
      <c r="D57" s="3297" t="s">
        <v>2389</v>
      </c>
      <c r="E57" s="3298" t="s">
        <v>2390</v>
      </c>
      <c r="F57" s="3298" t="s">
        <v>2391</v>
      </c>
      <c r="G57" s="3278">
        <v>7975</v>
      </c>
      <c r="H57" s="3299">
        <v>0</v>
      </c>
      <c r="I57" s="3278">
        <v>0</v>
      </c>
    </row>
    <row r="58" ht="12.75" customHeight="1" spans="2:9">
      <c r="B58" s="3274">
        <v>46</v>
      </c>
      <c r="D58" s="3297" t="s">
        <v>2392</v>
      </c>
      <c r="E58" s="3298" t="s">
        <v>2393</v>
      </c>
      <c r="F58" s="3298" t="s">
        <v>2314</v>
      </c>
      <c r="G58" s="3278">
        <v>27500</v>
      </c>
      <c r="H58" s="3299">
        <v>0</v>
      </c>
      <c r="I58" s="3278">
        <v>0</v>
      </c>
    </row>
    <row r="59" ht="12.75" customHeight="1" spans="2:9">
      <c r="B59" s="3274">
        <v>47</v>
      </c>
      <c r="D59" s="3297" t="s">
        <v>2394</v>
      </c>
      <c r="E59" s="3298" t="s">
        <v>2395</v>
      </c>
      <c r="F59" s="3298" t="s">
        <v>2321</v>
      </c>
      <c r="G59" s="3278">
        <v>4950</v>
      </c>
      <c r="H59" s="3299">
        <v>0</v>
      </c>
      <c r="I59" s="3278">
        <v>0</v>
      </c>
    </row>
    <row r="60" ht="12.75" customHeight="1" spans="2:9">
      <c r="B60" s="3274">
        <v>48</v>
      </c>
      <c r="D60" s="3297" t="s">
        <v>2396</v>
      </c>
      <c r="E60" s="3298" t="s">
        <v>2397</v>
      </c>
      <c r="F60" s="3298" t="s">
        <v>2321</v>
      </c>
      <c r="G60" s="3278">
        <v>2999.997</v>
      </c>
      <c r="H60" s="3299">
        <v>0</v>
      </c>
      <c r="I60" s="3278">
        <v>0</v>
      </c>
    </row>
    <row r="61" ht="12.75" customHeight="1" spans="2:9">
      <c r="B61" s="3274">
        <v>49</v>
      </c>
      <c r="D61" s="3297" t="s">
        <v>2398</v>
      </c>
      <c r="E61" s="3298" t="s">
        <v>2399</v>
      </c>
      <c r="F61" s="3298" t="s">
        <v>2321</v>
      </c>
      <c r="G61" s="3278">
        <v>825</v>
      </c>
      <c r="H61" s="3299">
        <v>0</v>
      </c>
      <c r="I61" s="3278">
        <v>0</v>
      </c>
    </row>
    <row r="62" ht="12.75" customHeight="1" spans="2:9">
      <c r="B62" s="3274">
        <v>50</v>
      </c>
      <c r="D62" s="3297" t="s">
        <v>2400</v>
      </c>
      <c r="E62" s="3298" t="s">
        <v>2401</v>
      </c>
      <c r="F62" s="3298" t="s">
        <v>2321</v>
      </c>
      <c r="G62" s="3278">
        <v>4400</v>
      </c>
      <c r="H62" s="3299">
        <v>0</v>
      </c>
      <c r="I62" s="3278">
        <v>0</v>
      </c>
    </row>
    <row r="63" ht="12.75" customHeight="1" spans="2:9">
      <c r="B63" s="3274">
        <v>51</v>
      </c>
      <c r="D63" s="3297" t="s">
        <v>2402</v>
      </c>
      <c r="E63" s="3298" t="s">
        <v>2403</v>
      </c>
      <c r="F63" s="3298" t="s">
        <v>2321</v>
      </c>
      <c r="G63" s="3278">
        <v>1100</v>
      </c>
      <c r="H63" s="3299">
        <v>0</v>
      </c>
      <c r="I63" s="3278">
        <v>0</v>
      </c>
    </row>
    <row r="64" ht="12.75" customHeight="1" spans="2:9">
      <c r="B64" s="3274">
        <v>52</v>
      </c>
      <c r="D64" s="3297" t="s">
        <v>2404</v>
      </c>
      <c r="E64" s="3298" t="s">
        <v>2405</v>
      </c>
      <c r="F64" s="3298" t="s">
        <v>2321</v>
      </c>
      <c r="G64" s="3278">
        <v>1430</v>
      </c>
      <c r="H64" s="3299">
        <v>0</v>
      </c>
      <c r="I64" s="3278">
        <v>0</v>
      </c>
    </row>
    <row r="65" ht="12.75" customHeight="1" spans="2:9">
      <c r="B65" s="3274">
        <v>53</v>
      </c>
      <c r="D65" s="3297" t="s">
        <v>2406</v>
      </c>
      <c r="E65" s="3298" t="s">
        <v>2407</v>
      </c>
      <c r="F65" s="3298" t="s">
        <v>2299</v>
      </c>
      <c r="G65" s="3278">
        <v>42237.8</v>
      </c>
      <c r="H65" s="3299">
        <v>0</v>
      </c>
      <c r="I65" s="3278">
        <v>0</v>
      </c>
    </row>
    <row r="66" ht="12.75" customHeight="1" spans="2:9">
      <c r="B66" s="3274">
        <v>54</v>
      </c>
      <c r="D66" s="3297" t="s">
        <v>2408</v>
      </c>
      <c r="E66" s="3298" t="s">
        <v>2409</v>
      </c>
      <c r="F66" s="3298" t="s">
        <v>2299</v>
      </c>
      <c r="G66" s="3278">
        <v>14000.008</v>
      </c>
      <c r="H66" s="3299">
        <v>0</v>
      </c>
      <c r="I66" s="3278">
        <v>0</v>
      </c>
    </row>
    <row r="67" ht="12.75" customHeight="1" spans="2:9">
      <c r="B67" s="3274">
        <v>55</v>
      </c>
      <c r="D67" s="3297" t="s">
        <v>2410</v>
      </c>
      <c r="E67" s="3298" t="s">
        <v>2411</v>
      </c>
      <c r="F67" s="3298" t="s">
        <v>2299</v>
      </c>
      <c r="G67" s="3278">
        <v>44000</v>
      </c>
      <c r="H67" s="3299">
        <v>0</v>
      </c>
      <c r="I67" s="3278">
        <v>0</v>
      </c>
    </row>
    <row r="68" ht="12.75" customHeight="1" spans="2:9">
      <c r="B68" s="3274">
        <v>56</v>
      </c>
      <c r="D68" s="3297" t="s">
        <v>2412</v>
      </c>
      <c r="E68" s="3298" t="s">
        <v>2413</v>
      </c>
      <c r="F68" s="3298" t="s">
        <v>2299</v>
      </c>
      <c r="G68" s="3278">
        <v>64420.4</v>
      </c>
      <c r="H68" s="3299">
        <v>0</v>
      </c>
      <c r="I68" s="3278">
        <v>0</v>
      </c>
    </row>
    <row r="69" ht="12.75" customHeight="1" spans="2:9">
      <c r="B69" s="3274">
        <v>57</v>
      </c>
      <c r="D69" s="3297" t="s">
        <v>2414</v>
      </c>
      <c r="E69" s="3298" t="s">
        <v>2415</v>
      </c>
      <c r="F69" s="3298" t="s">
        <v>2299</v>
      </c>
      <c r="G69" s="3278">
        <v>37203.1</v>
      </c>
      <c r="H69" s="3299">
        <v>0</v>
      </c>
      <c r="I69" s="3278">
        <v>0</v>
      </c>
    </row>
    <row r="70" ht="12.75" customHeight="1" spans="2:9">
      <c r="B70" s="3274">
        <v>58</v>
      </c>
      <c r="D70" s="3297" t="s">
        <v>2416</v>
      </c>
      <c r="E70" s="3298" t="s">
        <v>2417</v>
      </c>
      <c r="F70" s="3298" t="s">
        <v>2418</v>
      </c>
      <c r="G70" s="3278">
        <v>13200</v>
      </c>
      <c r="H70" s="3299">
        <v>0</v>
      </c>
      <c r="I70" s="3278">
        <v>0</v>
      </c>
    </row>
    <row r="71" ht="12.75" customHeight="1" spans="2:9">
      <c r="B71" s="3274">
        <v>59</v>
      </c>
      <c r="D71" s="3297" t="s">
        <v>2419</v>
      </c>
      <c r="E71" s="3298" t="s">
        <v>2420</v>
      </c>
      <c r="F71" s="3298" t="s">
        <v>2299</v>
      </c>
      <c r="G71" s="3278">
        <v>48400</v>
      </c>
      <c r="H71" s="3299">
        <v>0</v>
      </c>
      <c r="I71" s="3278">
        <v>0</v>
      </c>
    </row>
    <row r="72" ht="12.75" customHeight="1" spans="2:9">
      <c r="B72" s="3274">
        <v>60</v>
      </c>
      <c r="D72" s="3297" t="s">
        <v>2421</v>
      </c>
      <c r="E72" s="3298" t="s">
        <v>2422</v>
      </c>
      <c r="F72" s="3298" t="s">
        <v>2299</v>
      </c>
      <c r="G72" s="3278">
        <v>58930.3</v>
      </c>
      <c r="H72" s="3299">
        <v>0</v>
      </c>
      <c r="I72" s="3278">
        <v>0</v>
      </c>
    </row>
    <row r="73" ht="12.75" customHeight="1" spans="2:9">
      <c r="B73" s="3274">
        <v>61</v>
      </c>
      <c r="D73" s="3297" t="s">
        <v>2423</v>
      </c>
      <c r="E73" s="3298" t="s">
        <v>2424</v>
      </c>
      <c r="F73" s="3298" t="s">
        <v>2299</v>
      </c>
      <c r="G73" s="3278">
        <v>45870</v>
      </c>
      <c r="H73" s="3299">
        <v>0</v>
      </c>
      <c r="I73" s="3278">
        <v>0</v>
      </c>
    </row>
    <row r="74" ht="12.75" customHeight="1" spans="2:9">
      <c r="B74" s="3274">
        <v>62</v>
      </c>
      <c r="D74" s="3297" t="s">
        <v>2425</v>
      </c>
      <c r="E74" s="3298" t="s">
        <v>2426</v>
      </c>
      <c r="F74" s="3298" t="s">
        <v>2342</v>
      </c>
      <c r="G74" s="3278">
        <v>38432.9</v>
      </c>
      <c r="H74" s="3299">
        <v>0</v>
      </c>
      <c r="I74" s="3278">
        <v>0</v>
      </c>
    </row>
    <row r="75" ht="12.75" customHeight="1" spans="2:9">
      <c r="B75" s="3274">
        <v>63</v>
      </c>
      <c r="D75" s="3297" t="s">
        <v>2427</v>
      </c>
      <c r="E75" s="3298" t="s">
        <v>2428</v>
      </c>
      <c r="F75" s="3298" t="s">
        <v>2299</v>
      </c>
      <c r="G75" s="3278">
        <v>48000.7</v>
      </c>
      <c r="H75" s="3299">
        <v>0</v>
      </c>
      <c r="I75" s="3278">
        <v>0</v>
      </c>
    </row>
    <row r="76" ht="12.75" customHeight="1" spans="2:9">
      <c r="B76" s="3274">
        <v>64</v>
      </c>
      <c r="D76" s="3297" t="s">
        <v>2429</v>
      </c>
      <c r="E76" s="3298" t="s">
        <v>2430</v>
      </c>
      <c r="F76" s="3298" t="s">
        <v>2299</v>
      </c>
      <c r="G76" s="3278">
        <v>38432.9</v>
      </c>
      <c r="H76" s="3299">
        <v>0</v>
      </c>
      <c r="I76" s="3278">
        <v>0</v>
      </c>
    </row>
    <row r="77" ht="12.75" customHeight="1" spans="2:9">
      <c r="B77" s="3274">
        <v>65</v>
      </c>
      <c r="D77" s="3297" t="s">
        <v>2431</v>
      </c>
      <c r="E77" s="3298" t="s">
        <v>2432</v>
      </c>
      <c r="F77" s="3298" t="s">
        <v>2299</v>
      </c>
      <c r="G77" s="3278">
        <v>58930.3</v>
      </c>
      <c r="H77" s="3299">
        <v>0</v>
      </c>
      <c r="I77" s="3278">
        <v>0</v>
      </c>
    </row>
    <row r="78" ht="12.75" customHeight="1" spans="2:9">
      <c r="B78" s="3274">
        <v>66</v>
      </c>
      <c r="D78" s="3297" t="s">
        <v>2433</v>
      </c>
      <c r="E78" s="3298" t="s">
        <v>2434</v>
      </c>
      <c r="F78" s="3298" t="s">
        <v>2299</v>
      </c>
      <c r="G78" s="3278">
        <v>28000.005</v>
      </c>
      <c r="H78" s="3299">
        <v>0</v>
      </c>
      <c r="I78" s="3278">
        <v>0</v>
      </c>
    </row>
    <row r="79" ht="12.75" customHeight="1" spans="2:9">
      <c r="B79" s="3274">
        <v>67</v>
      </c>
      <c r="D79" s="3297" t="s">
        <v>2435</v>
      </c>
      <c r="E79" s="3298" t="s">
        <v>2436</v>
      </c>
      <c r="F79" s="3298" t="s">
        <v>2299</v>
      </c>
      <c r="G79" s="3278">
        <v>852500</v>
      </c>
      <c r="H79" s="3299">
        <v>0</v>
      </c>
      <c r="I79" s="3278">
        <v>0</v>
      </c>
    </row>
    <row r="80" ht="12.75" customHeight="1" spans="2:9">
      <c r="B80" s="3274">
        <v>68</v>
      </c>
      <c r="D80" s="3297" t="s">
        <v>2437</v>
      </c>
      <c r="E80" s="3298" t="s">
        <v>2438</v>
      </c>
      <c r="F80" s="3298" t="s">
        <v>2293</v>
      </c>
      <c r="G80" s="3278">
        <v>110880</v>
      </c>
      <c r="H80" s="3299">
        <v>0</v>
      </c>
      <c r="I80" s="3278">
        <v>0</v>
      </c>
    </row>
    <row r="81" ht="12.75" customHeight="1" spans="2:9">
      <c r="B81" s="3274">
        <v>69</v>
      </c>
      <c r="D81" s="3297" t="s">
        <v>2439</v>
      </c>
      <c r="E81" s="3298" t="s">
        <v>2440</v>
      </c>
      <c r="F81" s="3298" t="s">
        <v>2299</v>
      </c>
      <c r="G81" s="3278">
        <v>110000</v>
      </c>
      <c r="H81" s="3299">
        <v>0</v>
      </c>
      <c r="I81" s="3278">
        <v>0</v>
      </c>
    </row>
    <row r="82" ht="12.75" customHeight="1" spans="2:9">
      <c r="B82" s="3274">
        <v>70</v>
      </c>
      <c r="D82" s="3297" t="s">
        <v>2441</v>
      </c>
      <c r="E82" s="3298" t="s">
        <v>2442</v>
      </c>
      <c r="F82" s="3298" t="s">
        <v>2299</v>
      </c>
      <c r="G82" s="3278">
        <v>74083.9</v>
      </c>
      <c r="H82" s="3299">
        <v>0</v>
      </c>
      <c r="I82" s="3278">
        <v>0</v>
      </c>
    </row>
    <row r="83" ht="12.75" customHeight="1" spans="2:9">
      <c r="B83" s="3274">
        <v>71</v>
      </c>
      <c r="D83" s="3297" t="s">
        <v>2443</v>
      </c>
      <c r="E83" s="3298" t="s">
        <v>2444</v>
      </c>
      <c r="F83" s="3298" t="s">
        <v>2299</v>
      </c>
      <c r="G83" s="3278">
        <v>166375</v>
      </c>
      <c r="H83" s="3299">
        <v>0</v>
      </c>
      <c r="I83" s="3278">
        <v>0</v>
      </c>
    </row>
    <row r="84" ht="12.75" customHeight="1" spans="2:9">
      <c r="B84" s="3274">
        <v>72</v>
      </c>
      <c r="D84" s="3297" t="s">
        <v>2445</v>
      </c>
      <c r="E84" s="3298" t="s">
        <v>2446</v>
      </c>
      <c r="F84" s="3298" t="s">
        <v>2299</v>
      </c>
      <c r="G84" s="3278">
        <v>116285.7143</v>
      </c>
      <c r="H84" s="3299">
        <v>0</v>
      </c>
      <c r="I84" s="3278">
        <v>0</v>
      </c>
    </row>
    <row r="85" ht="12.75" customHeight="1" spans="2:9">
      <c r="B85" s="3274">
        <v>73</v>
      </c>
      <c r="D85" s="3297" t="s">
        <v>2447</v>
      </c>
      <c r="E85" s="3298" t="s">
        <v>2448</v>
      </c>
      <c r="F85" s="3298" t="s">
        <v>2299</v>
      </c>
      <c r="G85" s="3278">
        <v>35750</v>
      </c>
      <c r="H85" s="3299">
        <v>0</v>
      </c>
      <c r="I85" s="3278">
        <v>0</v>
      </c>
    </row>
    <row r="86" ht="12.75" customHeight="1" spans="2:9">
      <c r="B86" s="3274">
        <v>74</v>
      </c>
      <c r="D86" s="3297" t="s">
        <v>2449</v>
      </c>
      <c r="E86" s="3298" t="s">
        <v>2450</v>
      </c>
      <c r="F86" s="3298" t="s">
        <v>2299</v>
      </c>
      <c r="G86" s="3278">
        <v>79999.997</v>
      </c>
      <c r="H86" s="3299">
        <v>0</v>
      </c>
      <c r="I86" s="3278">
        <v>0</v>
      </c>
    </row>
    <row r="87" ht="12.75" customHeight="1" spans="2:9">
      <c r="B87" s="3274">
        <v>75</v>
      </c>
      <c r="D87" s="3297" t="s">
        <v>2451</v>
      </c>
      <c r="E87" s="3298" t="s">
        <v>2452</v>
      </c>
      <c r="F87" s="3298" t="s">
        <v>2299</v>
      </c>
      <c r="G87" s="3278">
        <v>82500</v>
      </c>
      <c r="H87" s="3299">
        <v>0</v>
      </c>
      <c r="I87" s="3278">
        <v>0</v>
      </c>
    </row>
    <row r="88" ht="12.75" customHeight="1" spans="2:9">
      <c r="B88" s="3274">
        <v>76</v>
      </c>
      <c r="D88" s="3297" t="s">
        <v>2453</v>
      </c>
      <c r="E88" s="3298" t="s">
        <v>2454</v>
      </c>
      <c r="F88" s="3298" t="s">
        <v>2299</v>
      </c>
      <c r="G88" s="3278">
        <v>27500</v>
      </c>
      <c r="H88" s="3299">
        <v>0</v>
      </c>
      <c r="I88" s="3278">
        <v>0</v>
      </c>
    </row>
    <row r="89" ht="12.75" customHeight="1" spans="2:9">
      <c r="B89" s="3274">
        <v>77</v>
      </c>
      <c r="D89" s="3297" t="s">
        <v>2455</v>
      </c>
      <c r="E89" s="3298" t="s">
        <v>2456</v>
      </c>
      <c r="F89" s="3298" t="s">
        <v>2457</v>
      </c>
      <c r="G89" s="3278">
        <v>181060</v>
      </c>
      <c r="H89" s="3299">
        <v>1</v>
      </c>
      <c r="I89" s="3278">
        <v>181060</v>
      </c>
    </row>
    <row r="90" ht="12.75" customHeight="1" spans="2:9">
      <c r="B90" s="3274">
        <v>78</v>
      </c>
      <c r="D90" s="3297" t="s">
        <v>2458</v>
      </c>
      <c r="E90" s="3298" t="s">
        <v>2459</v>
      </c>
      <c r="F90" s="3298" t="s">
        <v>2457</v>
      </c>
      <c r="G90" s="3278">
        <v>233750</v>
      </c>
      <c r="H90" s="3299">
        <v>0</v>
      </c>
      <c r="I90" s="3278">
        <v>0</v>
      </c>
    </row>
    <row r="91" ht="12.75" customHeight="1" spans="2:9">
      <c r="B91" s="3274">
        <v>79</v>
      </c>
      <c r="D91" s="3297" t="s">
        <v>2460</v>
      </c>
      <c r="E91" s="3298" t="s">
        <v>2461</v>
      </c>
      <c r="F91" s="3298" t="s">
        <v>2388</v>
      </c>
      <c r="G91" s="3278">
        <v>121000</v>
      </c>
      <c r="H91" s="3299">
        <v>0</v>
      </c>
      <c r="I91" s="3278">
        <v>0</v>
      </c>
    </row>
    <row r="92" ht="12.75" customHeight="1" spans="2:9">
      <c r="B92" s="3274">
        <v>80</v>
      </c>
      <c r="D92" s="3297" t="s">
        <v>2462</v>
      </c>
      <c r="E92" s="3298" t="s">
        <v>2463</v>
      </c>
      <c r="F92" s="3298" t="s">
        <v>2299</v>
      </c>
      <c r="G92" s="3278">
        <v>25300</v>
      </c>
      <c r="H92" s="3299">
        <v>3</v>
      </c>
      <c r="I92" s="3278">
        <v>75900</v>
      </c>
    </row>
    <row r="93" ht="12.75" customHeight="1" spans="2:9">
      <c r="B93" s="3274">
        <v>81</v>
      </c>
      <c r="D93" s="3297" t="s">
        <v>2464</v>
      </c>
      <c r="E93" s="3298" t="s">
        <v>2465</v>
      </c>
      <c r="F93" s="3298" t="s">
        <v>2299</v>
      </c>
      <c r="G93" s="3278">
        <v>25300</v>
      </c>
      <c r="H93" s="3299">
        <v>2</v>
      </c>
      <c r="I93" s="3278">
        <v>50600</v>
      </c>
    </row>
    <row r="94" ht="12.75" customHeight="1" spans="2:9">
      <c r="B94" s="3274">
        <v>82</v>
      </c>
      <c r="D94" s="3297" t="s">
        <v>2466</v>
      </c>
      <c r="E94" s="3298" t="s">
        <v>2467</v>
      </c>
      <c r="F94" s="3298" t="s">
        <v>2299</v>
      </c>
      <c r="G94" s="3278">
        <v>110000</v>
      </c>
      <c r="H94" s="3299">
        <v>0</v>
      </c>
      <c r="I94" s="3278">
        <v>0</v>
      </c>
    </row>
    <row r="95" ht="12.75" customHeight="1" spans="2:9">
      <c r="B95" s="3274">
        <v>83</v>
      </c>
      <c r="D95" s="3297" t="s">
        <v>2468</v>
      </c>
      <c r="E95" s="3298" t="s">
        <v>2469</v>
      </c>
      <c r="F95" s="3298" t="s">
        <v>2299</v>
      </c>
      <c r="G95" s="3278">
        <v>8800</v>
      </c>
      <c r="H95" s="3299">
        <v>0</v>
      </c>
      <c r="I95" s="3278">
        <v>0</v>
      </c>
    </row>
    <row r="96" ht="12.75" customHeight="1" spans="2:9">
      <c r="B96" s="3274">
        <v>84</v>
      </c>
      <c r="D96" s="3297" t="s">
        <v>2470</v>
      </c>
      <c r="E96" s="3298" t="s">
        <v>2471</v>
      </c>
      <c r="F96" s="3298" t="s">
        <v>2472</v>
      </c>
      <c r="G96" s="3278">
        <v>88000</v>
      </c>
      <c r="H96" s="3299">
        <v>0</v>
      </c>
      <c r="I96" s="3278">
        <v>0</v>
      </c>
    </row>
    <row r="97" ht="12.75" customHeight="1" spans="2:9">
      <c r="B97" s="3274">
        <v>85</v>
      </c>
      <c r="D97" s="3297" t="s">
        <v>2473</v>
      </c>
      <c r="E97" s="3298" t="s">
        <v>2474</v>
      </c>
      <c r="F97" s="3298" t="s">
        <v>2299</v>
      </c>
      <c r="G97" s="3278">
        <v>523534</v>
      </c>
      <c r="H97" s="3299">
        <v>0</v>
      </c>
      <c r="I97" s="3278">
        <v>0</v>
      </c>
    </row>
    <row r="98" ht="12.75" customHeight="1" spans="2:9">
      <c r="B98" s="3274">
        <v>86</v>
      </c>
      <c r="D98" s="3297" t="s">
        <v>2475</v>
      </c>
      <c r="E98" s="3298" t="s">
        <v>2476</v>
      </c>
      <c r="F98" s="3298" t="s">
        <v>2299</v>
      </c>
      <c r="G98" s="3278">
        <v>93500</v>
      </c>
      <c r="H98" s="3299">
        <v>1</v>
      </c>
      <c r="I98" s="3278">
        <v>93500</v>
      </c>
    </row>
    <row r="99" ht="12.75" customHeight="1" spans="2:9">
      <c r="B99" s="3274">
        <v>87</v>
      </c>
      <c r="D99" s="3297" t="s">
        <v>2477</v>
      </c>
      <c r="E99" s="3298" t="s">
        <v>2478</v>
      </c>
      <c r="F99" s="3298" t="s">
        <v>2299</v>
      </c>
      <c r="G99" s="3278">
        <v>88000</v>
      </c>
      <c r="H99" s="3299">
        <v>6</v>
      </c>
      <c r="I99" s="3278">
        <v>528000</v>
      </c>
    </row>
    <row r="100" ht="12.75" customHeight="1" spans="2:9">
      <c r="B100" s="3274">
        <v>88</v>
      </c>
      <c r="D100" s="3297" t="s">
        <v>2479</v>
      </c>
      <c r="E100" s="3298" t="s">
        <v>2480</v>
      </c>
      <c r="F100" s="3298" t="s">
        <v>2299</v>
      </c>
      <c r="G100" s="3278">
        <v>106029</v>
      </c>
      <c r="H100" s="3299">
        <v>4</v>
      </c>
      <c r="I100" s="3278">
        <v>424116</v>
      </c>
    </row>
    <row r="101" ht="12.75" customHeight="1" spans="2:9">
      <c r="B101" s="3274">
        <v>89</v>
      </c>
      <c r="D101" s="3297" t="s">
        <v>2481</v>
      </c>
      <c r="E101" s="3298" t="s">
        <v>2482</v>
      </c>
      <c r="F101" s="3298" t="s">
        <v>2299</v>
      </c>
      <c r="G101" s="3278">
        <v>132000</v>
      </c>
      <c r="H101" s="3299">
        <v>4</v>
      </c>
      <c r="I101" s="3278">
        <v>528000</v>
      </c>
    </row>
    <row r="102" ht="12.75" customHeight="1" spans="2:9">
      <c r="B102" s="3274">
        <v>90</v>
      </c>
      <c r="D102" s="3297" t="s">
        <v>2483</v>
      </c>
      <c r="E102" s="3298" t="s">
        <v>2484</v>
      </c>
      <c r="F102" s="3298" t="s">
        <v>2299</v>
      </c>
      <c r="G102" s="3278">
        <v>89100</v>
      </c>
      <c r="H102" s="3299">
        <v>1</v>
      </c>
      <c r="I102" s="3278">
        <v>89100</v>
      </c>
    </row>
    <row r="103" ht="12.75" customHeight="1" spans="2:9">
      <c r="B103" s="3274">
        <v>91</v>
      </c>
      <c r="D103" s="3297" t="s">
        <v>2485</v>
      </c>
      <c r="E103" s="3298" t="s">
        <v>2486</v>
      </c>
      <c r="F103" s="3298" t="s">
        <v>2299</v>
      </c>
      <c r="G103" s="3278">
        <v>93500</v>
      </c>
      <c r="H103" s="3299">
        <v>6</v>
      </c>
      <c r="I103" s="3278">
        <v>561000</v>
      </c>
    </row>
    <row r="104" ht="12.75" customHeight="1" spans="2:9">
      <c r="B104" s="3274">
        <v>92</v>
      </c>
      <c r="D104" s="3297" t="s">
        <v>2487</v>
      </c>
      <c r="E104" s="3298" t="s">
        <v>2488</v>
      </c>
      <c r="F104" s="3298" t="s">
        <v>2299</v>
      </c>
      <c r="G104" s="3278">
        <v>33000</v>
      </c>
      <c r="H104" s="3299">
        <v>5</v>
      </c>
      <c r="I104" s="3278">
        <v>165000</v>
      </c>
    </row>
    <row r="105" ht="12.75" customHeight="1" spans="2:9">
      <c r="B105" s="3274">
        <v>93</v>
      </c>
      <c r="D105" s="3297" t="s">
        <v>2489</v>
      </c>
      <c r="E105" s="3298" t="s">
        <v>2490</v>
      </c>
      <c r="F105" s="3298" t="s">
        <v>2299</v>
      </c>
      <c r="G105" s="3278">
        <v>39600</v>
      </c>
      <c r="H105" s="3299">
        <v>8</v>
      </c>
      <c r="I105" s="3278">
        <v>316800</v>
      </c>
    </row>
    <row r="106" ht="12.75" customHeight="1" spans="2:9">
      <c r="B106" s="3274">
        <v>94</v>
      </c>
      <c r="D106" s="3297" t="s">
        <v>2491</v>
      </c>
      <c r="E106" s="3298" t="s">
        <v>2492</v>
      </c>
      <c r="F106" s="3298" t="s">
        <v>2299</v>
      </c>
      <c r="G106" s="3278">
        <v>2850.1</v>
      </c>
      <c r="H106" s="3299">
        <v>0</v>
      </c>
      <c r="I106" s="3278">
        <v>0</v>
      </c>
    </row>
    <row r="107" ht="12.75" customHeight="1" spans="2:9">
      <c r="B107" s="3274">
        <v>95</v>
      </c>
      <c r="D107" s="3297" t="s">
        <v>2493</v>
      </c>
      <c r="E107" s="3298" t="s">
        <v>2494</v>
      </c>
      <c r="F107" s="3298" t="s">
        <v>2299</v>
      </c>
      <c r="G107" s="3278">
        <v>36960</v>
      </c>
      <c r="H107" s="3299">
        <v>19</v>
      </c>
      <c r="I107" s="3278">
        <v>702240</v>
      </c>
    </row>
    <row r="108" ht="12.75" customHeight="1" spans="2:9">
      <c r="B108" s="3274">
        <v>96</v>
      </c>
      <c r="D108" s="3297" t="s">
        <v>2495</v>
      </c>
      <c r="E108" s="3298" t="s">
        <v>2496</v>
      </c>
      <c r="F108" s="3298" t="s">
        <v>2299</v>
      </c>
      <c r="G108" s="3278">
        <v>38500</v>
      </c>
      <c r="H108" s="3299">
        <v>15</v>
      </c>
      <c r="I108" s="3278">
        <v>577500</v>
      </c>
    </row>
    <row r="109" ht="12.75" customHeight="1" spans="2:9">
      <c r="B109" s="3274">
        <v>97</v>
      </c>
      <c r="D109" s="3297" t="s">
        <v>2497</v>
      </c>
      <c r="E109" s="3298" t="s">
        <v>2498</v>
      </c>
      <c r="F109" s="3298" t="s">
        <v>2299</v>
      </c>
      <c r="G109" s="3278">
        <v>38500</v>
      </c>
      <c r="H109" s="3299">
        <v>0</v>
      </c>
      <c r="I109" s="3278">
        <v>0</v>
      </c>
    </row>
    <row r="110" ht="12.75" customHeight="1" spans="2:9">
      <c r="B110" s="3274">
        <v>98</v>
      </c>
      <c r="D110" s="3297" t="s">
        <v>2499</v>
      </c>
      <c r="E110" s="3298" t="s">
        <v>2500</v>
      </c>
      <c r="F110" s="3298" t="s">
        <v>2299</v>
      </c>
      <c r="G110" s="3278">
        <v>42350</v>
      </c>
      <c r="H110" s="3299">
        <v>8</v>
      </c>
      <c r="I110" s="3278">
        <v>338800</v>
      </c>
    </row>
    <row r="111" ht="12.75" customHeight="1" spans="2:9">
      <c r="B111" s="3274">
        <v>99</v>
      </c>
      <c r="D111" s="3297" t="s">
        <v>2501</v>
      </c>
      <c r="E111" s="3298" t="s">
        <v>2502</v>
      </c>
      <c r="F111" s="3298" t="s">
        <v>2299</v>
      </c>
      <c r="G111" s="3278">
        <v>38500</v>
      </c>
      <c r="H111" s="3299">
        <v>11</v>
      </c>
      <c r="I111" s="3278">
        <v>423500</v>
      </c>
    </row>
    <row r="112" ht="12.75" customHeight="1" spans="2:9">
      <c r="B112" s="3274">
        <v>100</v>
      </c>
      <c r="D112" s="3297" t="s">
        <v>2503</v>
      </c>
      <c r="E112" s="3298" t="s">
        <v>2504</v>
      </c>
      <c r="F112" s="3298" t="s">
        <v>2299</v>
      </c>
      <c r="G112" s="3278">
        <v>131252</v>
      </c>
      <c r="H112" s="3299">
        <v>0</v>
      </c>
      <c r="I112" s="3278">
        <v>0</v>
      </c>
    </row>
    <row r="113" ht="12.75" customHeight="1" spans="2:9">
      <c r="B113" s="3274">
        <v>101</v>
      </c>
      <c r="D113" s="3297" t="s">
        <v>2505</v>
      </c>
      <c r="E113" s="3298" t="s">
        <v>2506</v>
      </c>
      <c r="F113" s="3298" t="s">
        <v>2299</v>
      </c>
      <c r="G113" s="3278">
        <v>124520</v>
      </c>
      <c r="H113" s="3299">
        <v>0</v>
      </c>
      <c r="I113" s="3278">
        <v>0</v>
      </c>
    </row>
    <row r="114" ht="12.75" customHeight="1" spans="2:9">
      <c r="B114" s="3274">
        <v>102</v>
      </c>
      <c r="D114" s="3297" t="s">
        <v>2507</v>
      </c>
      <c r="E114" s="3298" t="s">
        <v>2508</v>
      </c>
      <c r="F114" s="3298" t="s">
        <v>2299</v>
      </c>
      <c r="G114" s="3278">
        <v>124520</v>
      </c>
      <c r="H114" s="3299">
        <v>0</v>
      </c>
      <c r="I114" s="3278">
        <v>0</v>
      </c>
    </row>
    <row r="115" ht="12.75" customHeight="1" spans="2:9">
      <c r="B115" s="3274">
        <v>103</v>
      </c>
      <c r="D115" s="3297" t="s">
        <v>2509</v>
      </c>
      <c r="E115" s="3298" t="s">
        <v>2510</v>
      </c>
      <c r="F115" s="3298" t="s">
        <v>2299</v>
      </c>
      <c r="G115" s="3278">
        <v>200475</v>
      </c>
      <c r="H115" s="3299">
        <v>4</v>
      </c>
      <c r="I115" s="3278">
        <v>801900</v>
      </c>
    </row>
    <row r="116" ht="12.75" customHeight="1" spans="2:9">
      <c r="B116" s="3274">
        <v>104</v>
      </c>
      <c r="D116" s="3297" t="s">
        <v>2511</v>
      </c>
      <c r="E116" s="3298" t="s">
        <v>2512</v>
      </c>
      <c r="F116" s="3298" t="s">
        <v>2299</v>
      </c>
      <c r="G116" s="3278">
        <v>11550</v>
      </c>
      <c r="H116" s="3299">
        <v>6</v>
      </c>
      <c r="I116" s="3278">
        <v>69300</v>
      </c>
    </row>
    <row r="117" ht="12.75" customHeight="1" spans="2:9">
      <c r="B117" s="3274">
        <v>105</v>
      </c>
      <c r="D117" s="3297" t="s">
        <v>2513</v>
      </c>
      <c r="E117" s="3298" t="s">
        <v>2514</v>
      </c>
      <c r="F117" s="3298" t="s">
        <v>2299</v>
      </c>
      <c r="G117" s="3278">
        <v>20900</v>
      </c>
      <c r="H117" s="3299">
        <v>4</v>
      </c>
      <c r="I117" s="3278">
        <v>83600</v>
      </c>
    </row>
    <row r="118" ht="12.75" customHeight="1" spans="2:9">
      <c r="B118" s="3274">
        <v>106</v>
      </c>
      <c r="D118" s="3297" t="s">
        <v>2515</v>
      </c>
      <c r="E118" s="3298" t="s">
        <v>2516</v>
      </c>
      <c r="F118" s="3298" t="s">
        <v>2299</v>
      </c>
      <c r="G118" s="3278">
        <v>14025</v>
      </c>
      <c r="H118" s="3299">
        <v>8</v>
      </c>
      <c r="I118" s="3278">
        <v>112200</v>
      </c>
    </row>
    <row r="119" ht="12.75" customHeight="1" spans="2:9">
      <c r="B119" s="3274">
        <v>107</v>
      </c>
      <c r="D119" s="3297" t="s">
        <v>2517</v>
      </c>
      <c r="E119" s="3298" t="s">
        <v>2518</v>
      </c>
      <c r="F119" s="3298" t="s">
        <v>2299</v>
      </c>
      <c r="G119" s="3278">
        <v>24200</v>
      </c>
      <c r="H119" s="3299">
        <v>64</v>
      </c>
      <c r="I119" s="3278">
        <v>1548800</v>
      </c>
    </row>
    <row r="120" ht="12.75" customHeight="1" spans="2:9">
      <c r="B120" s="3274">
        <v>108</v>
      </c>
      <c r="D120" s="3297" t="s">
        <v>2519</v>
      </c>
      <c r="E120" s="3298" t="s">
        <v>2520</v>
      </c>
      <c r="F120" s="3298" t="s">
        <v>2299</v>
      </c>
      <c r="G120" s="3278">
        <v>25300</v>
      </c>
      <c r="H120" s="3299">
        <v>24</v>
      </c>
      <c r="I120" s="3278">
        <v>607200</v>
      </c>
    </row>
    <row r="121" ht="12.75" customHeight="1" spans="2:9">
      <c r="B121" s="3274">
        <v>109</v>
      </c>
      <c r="D121" s="3297" t="s">
        <v>2521</v>
      </c>
      <c r="E121" s="3298" t="s">
        <v>2522</v>
      </c>
      <c r="F121" s="3298" t="s">
        <v>2299</v>
      </c>
      <c r="G121" s="3278">
        <v>20900</v>
      </c>
      <c r="H121" s="3299">
        <v>0</v>
      </c>
      <c r="I121" s="3278">
        <v>0</v>
      </c>
    </row>
    <row r="122" ht="12.75" customHeight="1" spans="2:9">
      <c r="B122" s="3274">
        <v>110</v>
      </c>
      <c r="D122" s="3297" t="s">
        <v>2523</v>
      </c>
      <c r="E122" s="3298" t="s">
        <v>2524</v>
      </c>
      <c r="F122" s="3298" t="s">
        <v>2299</v>
      </c>
      <c r="G122" s="3278">
        <v>44587.994</v>
      </c>
      <c r="H122" s="3299">
        <v>0</v>
      </c>
      <c r="I122" s="3278">
        <v>0</v>
      </c>
    </row>
    <row r="123" ht="12.75" customHeight="1" spans="2:9">
      <c r="B123" s="3274">
        <v>111</v>
      </c>
      <c r="D123" s="3297" t="s">
        <v>2525</v>
      </c>
      <c r="E123" s="3298" t="s">
        <v>2526</v>
      </c>
      <c r="F123" s="3298" t="s">
        <v>2299</v>
      </c>
      <c r="G123" s="3278">
        <v>14025</v>
      </c>
      <c r="H123" s="3299">
        <v>0</v>
      </c>
      <c r="I123" s="3278">
        <v>0</v>
      </c>
    </row>
    <row r="124" ht="12.75" customHeight="1" spans="2:9">
      <c r="B124" s="3274">
        <v>112</v>
      </c>
      <c r="D124" s="3297" t="s">
        <v>2527</v>
      </c>
      <c r="E124" s="3298" t="s">
        <v>2528</v>
      </c>
      <c r="F124" s="3298" t="s">
        <v>2299</v>
      </c>
      <c r="G124" s="3278">
        <v>274881.002</v>
      </c>
      <c r="H124" s="3299">
        <v>0</v>
      </c>
      <c r="I124" s="3278">
        <v>0</v>
      </c>
    </row>
    <row r="125" ht="12.75" customHeight="1" spans="2:9">
      <c r="B125" s="3274">
        <v>113</v>
      </c>
      <c r="D125" s="3297" t="s">
        <v>2529</v>
      </c>
      <c r="E125" s="3298" t="s">
        <v>2530</v>
      </c>
      <c r="F125" s="3298" t="s">
        <v>2299</v>
      </c>
      <c r="G125" s="3278">
        <v>19800</v>
      </c>
      <c r="H125" s="3299">
        <v>0</v>
      </c>
      <c r="I125" s="3278">
        <v>0</v>
      </c>
    </row>
    <row r="126" ht="12.75" customHeight="1" spans="2:9">
      <c r="B126" s="3274">
        <v>114</v>
      </c>
      <c r="D126" s="3297" t="s">
        <v>2531</v>
      </c>
      <c r="E126" s="3298" t="s">
        <v>2532</v>
      </c>
      <c r="F126" s="3298" t="s">
        <v>2293</v>
      </c>
      <c r="G126" s="3278">
        <v>10890</v>
      </c>
      <c r="H126" s="3299">
        <v>0</v>
      </c>
      <c r="I126" s="3278">
        <v>0</v>
      </c>
    </row>
    <row r="127" ht="12.75" customHeight="1" spans="2:9">
      <c r="B127" s="3274">
        <v>115</v>
      </c>
      <c r="D127" s="3297" t="s">
        <v>2533</v>
      </c>
      <c r="E127" s="3298" t="s">
        <v>2534</v>
      </c>
      <c r="F127" s="3298" t="s">
        <v>2293</v>
      </c>
      <c r="G127" s="3278">
        <v>13200</v>
      </c>
      <c r="H127" s="3299">
        <v>0</v>
      </c>
      <c r="I127" s="3278">
        <v>0</v>
      </c>
    </row>
    <row r="128" ht="12.75" customHeight="1" spans="2:9">
      <c r="B128" s="3274">
        <v>116</v>
      </c>
      <c r="D128" s="3297" t="s">
        <v>2535</v>
      </c>
      <c r="E128" s="3298" t="s">
        <v>2536</v>
      </c>
      <c r="F128" s="3298" t="s">
        <v>2293</v>
      </c>
      <c r="G128" s="3278">
        <v>9900</v>
      </c>
      <c r="H128" s="3299">
        <v>0</v>
      </c>
      <c r="I128" s="3278">
        <v>0</v>
      </c>
    </row>
    <row r="129" ht="12.75" customHeight="1" spans="2:9">
      <c r="B129" s="3274">
        <v>117</v>
      </c>
      <c r="D129" s="3297" t="s">
        <v>2537</v>
      </c>
      <c r="E129" s="3298" t="s">
        <v>2538</v>
      </c>
      <c r="F129" s="3298" t="s">
        <v>2293</v>
      </c>
      <c r="G129" s="3278">
        <v>10890</v>
      </c>
      <c r="H129" s="3299">
        <v>0</v>
      </c>
      <c r="I129" s="3278">
        <v>0</v>
      </c>
    </row>
    <row r="130" ht="12.75" customHeight="1" spans="2:9">
      <c r="B130" s="3274">
        <v>118</v>
      </c>
      <c r="D130" s="3297" t="s">
        <v>2539</v>
      </c>
      <c r="E130" s="3298" t="s">
        <v>2540</v>
      </c>
      <c r="F130" s="3298" t="s">
        <v>2293</v>
      </c>
      <c r="G130" s="3278">
        <v>9900</v>
      </c>
      <c r="H130" s="3299">
        <v>0</v>
      </c>
      <c r="I130" s="3278">
        <v>0</v>
      </c>
    </row>
    <row r="131" ht="12.75" customHeight="1" spans="2:9">
      <c r="B131" s="3274">
        <v>119</v>
      </c>
      <c r="D131" s="3297" t="s">
        <v>2541</v>
      </c>
      <c r="E131" s="3298" t="s">
        <v>2542</v>
      </c>
      <c r="F131" s="3298" t="s">
        <v>2367</v>
      </c>
      <c r="G131" s="3278">
        <v>2500</v>
      </c>
      <c r="H131" s="3299">
        <v>0</v>
      </c>
      <c r="I131" s="3278">
        <v>0</v>
      </c>
    </row>
    <row r="132" ht="12.75" customHeight="1" spans="2:9">
      <c r="B132" s="3274">
        <v>120</v>
      </c>
      <c r="D132" s="3297" t="s">
        <v>2543</v>
      </c>
      <c r="E132" s="3298" t="s">
        <v>2544</v>
      </c>
      <c r="F132" s="3298" t="s">
        <v>2367</v>
      </c>
      <c r="G132" s="3278">
        <v>60500</v>
      </c>
      <c r="H132" s="3299">
        <v>20</v>
      </c>
      <c r="I132" s="3278">
        <v>1210000</v>
      </c>
    </row>
    <row r="133" ht="12.75" customHeight="1" spans="2:9">
      <c r="B133" s="3274">
        <v>121</v>
      </c>
      <c r="D133" s="3297" t="s">
        <v>2545</v>
      </c>
      <c r="E133" s="3298" t="s">
        <v>2546</v>
      </c>
      <c r="F133" s="3298" t="s">
        <v>2367</v>
      </c>
      <c r="G133" s="3278">
        <v>302500</v>
      </c>
      <c r="H133" s="3299">
        <v>0</v>
      </c>
      <c r="I133" s="3278">
        <v>0</v>
      </c>
    </row>
    <row r="134" ht="12.75" customHeight="1" spans="2:9">
      <c r="B134" s="3274">
        <v>122</v>
      </c>
      <c r="D134" s="3297" t="s">
        <v>2547</v>
      </c>
      <c r="E134" s="3298" t="s">
        <v>2548</v>
      </c>
      <c r="F134" s="3298" t="s">
        <v>2299</v>
      </c>
      <c r="G134" s="3278">
        <v>253000</v>
      </c>
      <c r="H134" s="3299">
        <v>0</v>
      </c>
      <c r="I134" s="3278">
        <v>0</v>
      </c>
    </row>
    <row r="135" ht="12.75" customHeight="1" spans="2:9">
      <c r="B135" s="3274">
        <v>123</v>
      </c>
      <c r="D135" s="3297" t="s">
        <v>2549</v>
      </c>
      <c r="E135" s="3298" t="s">
        <v>2550</v>
      </c>
      <c r="F135" s="3298" t="s">
        <v>2299</v>
      </c>
      <c r="G135" s="3278">
        <v>192500</v>
      </c>
      <c r="H135" s="3299">
        <v>0</v>
      </c>
      <c r="I135" s="3278">
        <v>0</v>
      </c>
    </row>
    <row r="136" ht="12.75" customHeight="1" spans="2:9">
      <c r="B136" s="3274">
        <v>124</v>
      </c>
      <c r="D136" s="3297" t="s">
        <v>2551</v>
      </c>
      <c r="E136" s="3298" t="s">
        <v>2552</v>
      </c>
      <c r="F136" s="3298" t="s">
        <v>2299</v>
      </c>
      <c r="G136" s="3278">
        <v>253000</v>
      </c>
      <c r="H136" s="3299">
        <v>0</v>
      </c>
      <c r="I136" s="3278">
        <v>0</v>
      </c>
    </row>
    <row r="137" ht="12.75" customHeight="1" spans="2:9">
      <c r="B137" s="3274">
        <v>125</v>
      </c>
      <c r="D137" s="3297" t="s">
        <v>2553</v>
      </c>
      <c r="E137" s="3298" t="s">
        <v>2554</v>
      </c>
      <c r="F137" s="3298" t="s">
        <v>2299</v>
      </c>
      <c r="G137" s="3278">
        <v>192500</v>
      </c>
      <c r="H137" s="3299">
        <v>0</v>
      </c>
      <c r="I137" s="3278">
        <v>0</v>
      </c>
    </row>
    <row r="138" ht="12.75" customHeight="1" spans="2:9">
      <c r="B138" s="3274">
        <v>126</v>
      </c>
      <c r="D138" s="3297" t="s">
        <v>2555</v>
      </c>
      <c r="E138" s="3298" t="s">
        <v>2556</v>
      </c>
      <c r="F138" s="3298" t="s">
        <v>2299</v>
      </c>
      <c r="G138" s="3278">
        <v>192500</v>
      </c>
      <c r="H138" s="3299">
        <v>1</v>
      </c>
      <c r="I138" s="3278">
        <v>192500</v>
      </c>
    </row>
    <row r="139" ht="12.75" customHeight="1" spans="2:9">
      <c r="B139" s="3274">
        <v>127</v>
      </c>
      <c r="D139" s="3297" t="s">
        <v>2557</v>
      </c>
      <c r="E139" s="3298" t="s">
        <v>2558</v>
      </c>
      <c r="F139" s="3298" t="s">
        <v>2299</v>
      </c>
      <c r="G139" s="3278">
        <v>192500</v>
      </c>
      <c r="H139" s="3299">
        <v>1</v>
      </c>
      <c r="I139" s="3278">
        <v>192500</v>
      </c>
    </row>
    <row r="140" ht="12.75" customHeight="1" spans="2:9">
      <c r="B140" s="3274">
        <v>128</v>
      </c>
      <c r="D140" s="3297" t="s">
        <v>2559</v>
      </c>
      <c r="E140" s="3298" t="s">
        <v>2560</v>
      </c>
      <c r="F140" s="3298" t="s">
        <v>2299</v>
      </c>
      <c r="G140" s="3278">
        <v>253000</v>
      </c>
      <c r="H140" s="3299">
        <v>0</v>
      </c>
      <c r="I140" s="3278">
        <v>0</v>
      </c>
    </row>
    <row r="141" ht="12.75" customHeight="1" spans="2:9">
      <c r="B141" s="3274">
        <v>129</v>
      </c>
      <c r="D141" s="3297" t="s">
        <v>2561</v>
      </c>
      <c r="E141" s="3298" t="s">
        <v>2562</v>
      </c>
      <c r="F141" s="3298" t="s">
        <v>2299</v>
      </c>
      <c r="G141" s="3278">
        <v>253000</v>
      </c>
      <c r="H141" s="3299">
        <v>2</v>
      </c>
      <c r="I141" s="3278">
        <v>506000</v>
      </c>
    </row>
    <row r="142" ht="12.75" customHeight="1" spans="2:9">
      <c r="B142" s="3274">
        <v>130</v>
      </c>
      <c r="D142" s="3297" t="s">
        <v>2563</v>
      </c>
      <c r="E142" s="3298" t="s">
        <v>2564</v>
      </c>
      <c r="F142" s="3298" t="s">
        <v>2565</v>
      </c>
      <c r="G142" s="3278">
        <v>235466</v>
      </c>
      <c r="H142" s="3299">
        <v>0</v>
      </c>
      <c r="I142" s="3278">
        <v>0</v>
      </c>
    </row>
    <row r="143" ht="12.75" customHeight="1" spans="2:9">
      <c r="B143" s="3274">
        <v>131</v>
      </c>
      <c r="D143" s="3297" t="s">
        <v>2566</v>
      </c>
      <c r="E143" s="3298" t="s">
        <v>2567</v>
      </c>
      <c r="F143" s="3298" t="s">
        <v>2565</v>
      </c>
      <c r="G143" s="3278">
        <v>242000</v>
      </c>
      <c r="H143" s="3299">
        <v>0</v>
      </c>
      <c r="I143" s="3278">
        <v>0</v>
      </c>
    </row>
    <row r="144" ht="12.75" customHeight="1" spans="2:9">
      <c r="B144" s="3274">
        <v>132</v>
      </c>
      <c r="D144" s="3297" t="s">
        <v>2568</v>
      </c>
      <c r="E144" s="3298" t="s">
        <v>2569</v>
      </c>
      <c r="F144" s="3298" t="s">
        <v>2299</v>
      </c>
      <c r="G144" s="3278">
        <v>74500</v>
      </c>
      <c r="H144" s="3299">
        <v>0</v>
      </c>
      <c r="I144" s="3278">
        <v>0</v>
      </c>
    </row>
    <row r="145" ht="12.75" customHeight="1" spans="2:9">
      <c r="B145" s="3274">
        <v>133</v>
      </c>
      <c r="D145" s="3297" t="s">
        <v>2570</v>
      </c>
      <c r="E145" s="3298" t="s">
        <v>2571</v>
      </c>
      <c r="F145" s="3298" t="s">
        <v>2299</v>
      </c>
      <c r="G145" s="3278">
        <v>155000</v>
      </c>
      <c r="H145" s="3299">
        <v>0</v>
      </c>
      <c r="I145" s="3278">
        <v>0</v>
      </c>
    </row>
    <row r="146" ht="12.75" customHeight="1" spans="2:9">
      <c r="B146" s="3274">
        <v>134</v>
      </c>
      <c r="D146" s="3297" t="s">
        <v>2572</v>
      </c>
      <c r="E146" s="3298" t="s">
        <v>2573</v>
      </c>
      <c r="F146" s="3298" t="s">
        <v>2293</v>
      </c>
      <c r="G146" s="3278">
        <v>5500</v>
      </c>
      <c r="H146" s="3299">
        <v>0</v>
      </c>
      <c r="I146" s="3278">
        <v>0</v>
      </c>
    </row>
    <row r="147" ht="12.75" customHeight="1" spans="2:9">
      <c r="B147" s="3274">
        <v>135</v>
      </c>
      <c r="D147" s="3297" t="s">
        <v>2574</v>
      </c>
      <c r="E147" s="3298" t="s">
        <v>2575</v>
      </c>
      <c r="F147" s="3298" t="s">
        <v>2293</v>
      </c>
      <c r="G147" s="3278">
        <v>118800</v>
      </c>
      <c r="H147" s="3299">
        <v>0</v>
      </c>
      <c r="I147" s="3278">
        <v>0</v>
      </c>
    </row>
    <row r="148" ht="12.75" customHeight="1" spans="2:9">
      <c r="B148" s="3274">
        <v>136</v>
      </c>
      <c r="D148" s="3297" t="s">
        <v>2576</v>
      </c>
      <c r="E148" s="3298" t="s">
        <v>2577</v>
      </c>
      <c r="F148" s="3298" t="s">
        <v>2299</v>
      </c>
      <c r="G148" s="3278">
        <v>9790</v>
      </c>
      <c r="H148" s="3299">
        <v>0</v>
      </c>
      <c r="I148" s="3278">
        <v>0</v>
      </c>
    </row>
    <row r="149" ht="12.75" customHeight="1" spans="2:9">
      <c r="B149" s="3274">
        <v>137</v>
      </c>
      <c r="D149" s="3297" t="s">
        <v>2578</v>
      </c>
      <c r="E149" s="3298" t="s">
        <v>2579</v>
      </c>
      <c r="F149" s="3298" t="s">
        <v>2299</v>
      </c>
      <c r="G149" s="3278">
        <v>20900</v>
      </c>
      <c r="H149" s="3299">
        <v>23</v>
      </c>
      <c r="I149" s="3278">
        <v>480700</v>
      </c>
    </row>
    <row r="150" ht="12.75" customHeight="1" spans="2:9">
      <c r="B150" s="3274">
        <v>138</v>
      </c>
      <c r="D150" s="3297" t="s">
        <v>2580</v>
      </c>
      <c r="E150" s="3298" t="s">
        <v>2581</v>
      </c>
      <c r="F150" s="3298" t="s">
        <v>2299</v>
      </c>
      <c r="G150" s="3278">
        <v>11660</v>
      </c>
      <c r="H150" s="3299">
        <v>0</v>
      </c>
      <c r="I150" s="3278">
        <v>0</v>
      </c>
    </row>
    <row r="151" ht="12.75" customHeight="1" spans="2:9">
      <c r="B151" s="3274">
        <v>139</v>
      </c>
      <c r="D151" s="3297" t="s">
        <v>2582</v>
      </c>
      <c r="E151" s="3298" t="s">
        <v>2583</v>
      </c>
      <c r="F151" s="3298" t="s">
        <v>2299</v>
      </c>
      <c r="G151" s="3278">
        <v>10780</v>
      </c>
      <c r="H151" s="3299">
        <v>0</v>
      </c>
      <c r="I151" s="3278">
        <v>0</v>
      </c>
    </row>
    <row r="152" ht="12.75" customHeight="1" spans="2:9">
      <c r="B152" s="3274">
        <v>140</v>
      </c>
      <c r="D152" s="3297" t="s">
        <v>2584</v>
      </c>
      <c r="E152" s="3298" t="s">
        <v>2585</v>
      </c>
      <c r="F152" s="3298" t="s">
        <v>2299</v>
      </c>
      <c r="G152" s="3278">
        <v>69300</v>
      </c>
      <c r="H152" s="3299">
        <v>130</v>
      </c>
      <c r="I152" s="3278">
        <v>9009000</v>
      </c>
    </row>
    <row r="153" ht="12.75" customHeight="1" spans="2:9">
      <c r="B153" s="3274">
        <v>141</v>
      </c>
      <c r="D153" s="3297" t="s">
        <v>2586</v>
      </c>
      <c r="E153" s="3298" t="s">
        <v>2587</v>
      </c>
      <c r="F153" s="3298" t="s">
        <v>2299</v>
      </c>
      <c r="G153" s="3278">
        <v>30800</v>
      </c>
      <c r="H153" s="3299">
        <v>0</v>
      </c>
      <c r="I153" s="3278">
        <v>0</v>
      </c>
    </row>
    <row r="154" ht="12.75" customHeight="1" spans="2:9">
      <c r="B154" s="3274">
        <v>142</v>
      </c>
      <c r="D154" s="3297" t="s">
        <v>2588</v>
      </c>
      <c r="E154" s="3298" t="s">
        <v>2589</v>
      </c>
      <c r="F154" s="3298" t="s">
        <v>2299</v>
      </c>
      <c r="G154" s="3278">
        <v>7700</v>
      </c>
      <c r="H154" s="3299">
        <v>0</v>
      </c>
      <c r="I154" s="3278">
        <v>0</v>
      </c>
    </row>
    <row r="155" ht="12.75" customHeight="1" spans="2:9">
      <c r="B155" s="3274">
        <v>143</v>
      </c>
      <c r="D155" s="3297" t="s">
        <v>2590</v>
      </c>
      <c r="E155" s="3298" t="s">
        <v>2591</v>
      </c>
      <c r="F155" s="3298" t="s">
        <v>2299</v>
      </c>
      <c r="G155" s="3278">
        <v>2249.5</v>
      </c>
      <c r="H155" s="3299">
        <v>0</v>
      </c>
      <c r="I155" s="3278">
        <v>0</v>
      </c>
    </row>
    <row r="156" ht="12.75" customHeight="1" spans="2:9">
      <c r="B156" s="3274">
        <v>144</v>
      </c>
      <c r="D156" s="3297" t="s">
        <v>2592</v>
      </c>
      <c r="E156" s="3298" t="s">
        <v>2593</v>
      </c>
      <c r="F156" s="3298" t="s">
        <v>2299</v>
      </c>
      <c r="G156" s="3278">
        <v>2249.5</v>
      </c>
      <c r="H156" s="3299">
        <v>0</v>
      </c>
      <c r="I156" s="3278">
        <v>0</v>
      </c>
    </row>
    <row r="157" ht="12.75" customHeight="1" spans="2:9">
      <c r="B157" s="3274">
        <v>145</v>
      </c>
      <c r="D157" s="3297" t="s">
        <v>2594</v>
      </c>
      <c r="E157" s="3298" t="s">
        <v>2595</v>
      </c>
      <c r="F157" s="3298" t="s">
        <v>2299</v>
      </c>
      <c r="G157" s="3278">
        <v>2249.5</v>
      </c>
      <c r="H157" s="3299">
        <v>0</v>
      </c>
      <c r="I157" s="3278">
        <v>0</v>
      </c>
    </row>
    <row r="158" ht="12.75" customHeight="1" spans="2:9">
      <c r="B158" s="3274">
        <v>146</v>
      </c>
      <c r="D158" s="3297" t="s">
        <v>2596</v>
      </c>
      <c r="E158" s="3298" t="s">
        <v>2597</v>
      </c>
      <c r="F158" s="3298" t="s">
        <v>2299</v>
      </c>
      <c r="G158" s="3278">
        <v>1181.4</v>
      </c>
      <c r="H158" s="3299">
        <v>0</v>
      </c>
      <c r="I158" s="3278">
        <v>0</v>
      </c>
    </row>
    <row r="159" ht="12.75" customHeight="1" spans="2:9">
      <c r="B159" s="3274">
        <v>147</v>
      </c>
      <c r="D159" s="3297" t="s">
        <v>2598</v>
      </c>
      <c r="E159" s="3298" t="s">
        <v>2599</v>
      </c>
      <c r="F159" s="3298" t="s">
        <v>2299</v>
      </c>
      <c r="G159" s="3278">
        <v>2249.5</v>
      </c>
      <c r="H159" s="3299">
        <v>0</v>
      </c>
      <c r="I159" s="3278">
        <v>0</v>
      </c>
    </row>
    <row r="160" ht="12.75" customHeight="1" spans="2:9">
      <c r="B160" s="3274">
        <v>148</v>
      </c>
      <c r="D160" s="3297" t="s">
        <v>2600</v>
      </c>
      <c r="E160" s="3298" t="s">
        <v>2601</v>
      </c>
      <c r="F160" s="3298" t="s">
        <v>2299</v>
      </c>
      <c r="G160" s="3278">
        <v>1833.337</v>
      </c>
      <c r="H160" s="3299">
        <v>0</v>
      </c>
      <c r="I160" s="3278">
        <v>0</v>
      </c>
    </row>
    <row r="161" ht="12.75" customHeight="1" spans="2:9">
      <c r="B161" s="3274">
        <v>149</v>
      </c>
      <c r="D161" s="3297" t="s">
        <v>2602</v>
      </c>
      <c r="E161" s="3298" t="s">
        <v>2603</v>
      </c>
      <c r="F161" s="3298" t="s">
        <v>2299</v>
      </c>
      <c r="G161" s="3278">
        <v>1833.337</v>
      </c>
      <c r="H161" s="3299">
        <v>0</v>
      </c>
      <c r="I161" s="3278">
        <v>0</v>
      </c>
    </row>
    <row r="162" ht="12.75" customHeight="1" spans="2:9">
      <c r="B162" s="3274">
        <v>150</v>
      </c>
      <c r="D162" s="3297" t="s">
        <v>2604</v>
      </c>
      <c r="E162" s="3298" t="s">
        <v>2605</v>
      </c>
      <c r="F162" s="3298" t="s">
        <v>2388</v>
      </c>
      <c r="G162" s="3278">
        <v>56.1</v>
      </c>
      <c r="H162" s="3299">
        <v>0</v>
      </c>
      <c r="I162" s="3278">
        <v>0</v>
      </c>
    </row>
    <row r="163" ht="12.75" customHeight="1" spans="2:9">
      <c r="B163" s="3274">
        <v>151</v>
      </c>
      <c r="D163" s="3297" t="s">
        <v>2606</v>
      </c>
      <c r="E163" s="3298" t="s">
        <v>2607</v>
      </c>
      <c r="F163" s="3298" t="s">
        <v>2472</v>
      </c>
      <c r="G163" s="3278">
        <v>89999.8</v>
      </c>
      <c r="H163" s="3299">
        <v>0</v>
      </c>
      <c r="I163" s="3278">
        <v>0</v>
      </c>
    </row>
    <row r="164" ht="12.75" customHeight="1" spans="2:9">
      <c r="B164" s="3274">
        <v>152</v>
      </c>
      <c r="D164" s="3297" t="s">
        <v>2608</v>
      </c>
      <c r="E164" s="3298" t="s">
        <v>2609</v>
      </c>
      <c r="F164" s="3298" t="s">
        <v>2610</v>
      </c>
      <c r="G164" s="3278">
        <v>4400</v>
      </c>
      <c r="H164" s="3299">
        <v>0</v>
      </c>
      <c r="I164" s="3278">
        <v>0</v>
      </c>
    </row>
    <row r="165" ht="12.75" customHeight="1" spans="2:9">
      <c r="B165" s="3274">
        <v>153</v>
      </c>
      <c r="D165" s="3297" t="s">
        <v>2611</v>
      </c>
      <c r="E165" s="3298" t="s">
        <v>2612</v>
      </c>
      <c r="F165" s="3298" t="s">
        <v>2610</v>
      </c>
      <c r="G165" s="3278">
        <v>78650</v>
      </c>
      <c r="H165" s="3299">
        <v>0</v>
      </c>
      <c r="I165" s="3278">
        <v>0</v>
      </c>
    </row>
    <row r="166" ht="12.75" customHeight="1" spans="2:9">
      <c r="B166" s="3274">
        <v>154</v>
      </c>
      <c r="D166" s="3297" t="s">
        <v>2613</v>
      </c>
      <c r="E166" s="3298" t="s">
        <v>2614</v>
      </c>
      <c r="F166" s="3298" t="s">
        <v>2610</v>
      </c>
      <c r="G166" s="3278">
        <v>27500</v>
      </c>
      <c r="H166" s="3299">
        <v>7</v>
      </c>
      <c r="I166" s="3278">
        <v>192500</v>
      </c>
    </row>
    <row r="167" ht="12.75" customHeight="1" spans="2:9">
      <c r="B167" s="3274">
        <v>155</v>
      </c>
      <c r="D167" s="3297" t="s">
        <v>2615</v>
      </c>
      <c r="E167" s="3298" t="s">
        <v>2616</v>
      </c>
      <c r="F167" s="3298" t="s">
        <v>2610</v>
      </c>
      <c r="G167" s="3278">
        <v>1760</v>
      </c>
      <c r="H167" s="3299">
        <v>0</v>
      </c>
      <c r="I167" s="3278">
        <v>0</v>
      </c>
    </row>
    <row r="168" ht="12.75" customHeight="1" spans="2:9">
      <c r="B168" s="3274">
        <v>156</v>
      </c>
      <c r="D168" s="3297" t="s">
        <v>2617</v>
      </c>
      <c r="E168" s="3298" t="s">
        <v>2618</v>
      </c>
      <c r="F168" s="3298" t="s">
        <v>2388</v>
      </c>
      <c r="G168" s="3278">
        <v>788.3304</v>
      </c>
      <c r="H168" s="3299">
        <v>2640</v>
      </c>
      <c r="I168" s="3278">
        <v>2081192.256</v>
      </c>
    </row>
    <row r="169" ht="12.75" customHeight="1" spans="2:9">
      <c r="B169" s="3274">
        <v>157</v>
      </c>
      <c r="D169" s="3297" t="s">
        <v>2619</v>
      </c>
      <c r="E169" s="3298" t="s">
        <v>2620</v>
      </c>
      <c r="F169" s="3298" t="s">
        <v>2457</v>
      </c>
      <c r="G169" s="3278">
        <v>3300</v>
      </c>
      <c r="H169" s="3299">
        <v>48</v>
      </c>
      <c r="I169" s="3278">
        <v>158400</v>
      </c>
    </row>
    <row r="170" ht="12.75" customHeight="1" spans="2:9">
      <c r="B170" s="3274">
        <v>158</v>
      </c>
      <c r="D170" s="3297" t="s">
        <v>2621</v>
      </c>
      <c r="E170" s="3298" t="s">
        <v>2622</v>
      </c>
      <c r="F170" s="3298" t="s">
        <v>2388</v>
      </c>
      <c r="G170" s="3278">
        <v>2200</v>
      </c>
      <c r="H170" s="3299">
        <v>0</v>
      </c>
      <c r="I170" s="3278">
        <v>0</v>
      </c>
    </row>
    <row r="171" ht="12.75" customHeight="1" spans="2:9">
      <c r="B171" s="3274">
        <v>159</v>
      </c>
      <c r="D171" s="3297" t="s">
        <v>2623</v>
      </c>
      <c r="E171" s="3298" t="s">
        <v>2624</v>
      </c>
      <c r="F171" s="3298" t="s">
        <v>2388</v>
      </c>
      <c r="G171" s="3278">
        <v>22</v>
      </c>
      <c r="H171" s="3299">
        <v>0</v>
      </c>
      <c r="I171" s="3278">
        <v>0</v>
      </c>
    </row>
    <row r="172" ht="12.75" customHeight="1" spans="2:9">
      <c r="B172" s="3274">
        <v>160</v>
      </c>
      <c r="D172" s="3297" t="s">
        <v>2625</v>
      </c>
      <c r="E172" s="3298" t="s">
        <v>2626</v>
      </c>
      <c r="F172" s="3298" t="s">
        <v>2388</v>
      </c>
      <c r="G172" s="3278">
        <v>250250</v>
      </c>
      <c r="H172" s="3299">
        <v>0</v>
      </c>
      <c r="I172" s="3278">
        <v>0</v>
      </c>
    </row>
    <row r="173" ht="12.75" customHeight="1" spans="2:9">
      <c r="B173" s="3274">
        <v>161</v>
      </c>
      <c r="D173" s="3297" t="s">
        <v>2627</v>
      </c>
      <c r="E173" s="3298" t="s">
        <v>2628</v>
      </c>
      <c r="F173" s="3298" t="s">
        <v>2299</v>
      </c>
      <c r="G173" s="3278">
        <v>250000.003</v>
      </c>
      <c r="H173" s="3299">
        <v>0</v>
      </c>
      <c r="I173" s="3278">
        <v>0</v>
      </c>
    </row>
    <row r="174" ht="12.75" customHeight="1" spans="2:9">
      <c r="B174" s="3274">
        <v>162</v>
      </c>
      <c r="D174" s="3297" t="s">
        <v>2629</v>
      </c>
      <c r="E174" s="3298" t="s">
        <v>2630</v>
      </c>
      <c r="F174" s="3298" t="s">
        <v>2299</v>
      </c>
      <c r="G174" s="3278">
        <v>4950</v>
      </c>
      <c r="H174" s="3299">
        <v>8</v>
      </c>
      <c r="I174" s="3278">
        <v>39600</v>
      </c>
    </row>
    <row r="175" ht="12.75" customHeight="1" spans="2:9">
      <c r="B175" s="3274">
        <v>163</v>
      </c>
      <c r="D175" s="3297" t="s">
        <v>2631</v>
      </c>
      <c r="E175" s="3298" t="s">
        <v>2632</v>
      </c>
      <c r="F175" s="3298" t="s">
        <v>2299</v>
      </c>
      <c r="G175" s="3278">
        <v>875</v>
      </c>
      <c r="H175" s="3299">
        <v>0</v>
      </c>
      <c r="I175" s="3278">
        <v>0</v>
      </c>
    </row>
    <row r="176" ht="12.75" customHeight="1" spans="2:9">
      <c r="B176" s="3274">
        <v>164</v>
      </c>
      <c r="D176" s="3297" t="s">
        <v>2633</v>
      </c>
      <c r="E176" s="3298" t="s">
        <v>2634</v>
      </c>
      <c r="F176" s="3298" t="s">
        <v>2367</v>
      </c>
      <c r="G176" s="3278">
        <v>4455</v>
      </c>
      <c r="H176" s="3299">
        <v>0</v>
      </c>
      <c r="I176" s="3278">
        <v>0</v>
      </c>
    </row>
    <row r="177" ht="12.75" customHeight="1" spans="2:9">
      <c r="B177" s="3274">
        <v>165</v>
      </c>
      <c r="D177" s="3297" t="s">
        <v>2635</v>
      </c>
      <c r="E177" s="3298" t="s">
        <v>2636</v>
      </c>
      <c r="F177" s="3298" t="s">
        <v>2637</v>
      </c>
      <c r="G177" s="3278">
        <v>71500</v>
      </c>
      <c r="H177" s="3299">
        <v>0</v>
      </c>
      <c r="I177" s="3278">
        <v>0</v>
      </c>
    </row>
    <row r="178" ht="12.75" customHeight="1" spans="2:9">
      <c r="B178" s="3274">
        <v>166</v>
      </c>
      <c r="D178" s="3297" t="s">
        <v>2638</v>
      </c>
      <c r="E178" s="3298" t="s">
        <v>2639</v>
      </c>
      <c r="F178" s="3298" t="s">
        <v>2299</v>
      </c>
      <c r="G178" s="3278">
        <v>115500</v>
      </c>
      <c r="H178" s="3299">
        <v>0</v>
      </c>
      <c r="I178" s="3278">
        <v>0</v>
      </c>
    </row>
    <row r="179" ht="12.75" customHeight="1" spans="2:9">
      <c r="B179" s="3274">
        <v>167</v>
      </c>
      <c r="D179" s="3297" t="s">
        <v>2640</v>
      </c>
      <c r="E179" s="3298" t="s">
        <v>2641</v>
      </c>
      <c r="F179" s="3298" t="s">
        <v>2299</v>
      </c>
      <c r="G179" s="3278">
        <v>1227.25</v>
      </c>
      <c r="H179" s="3299">
        <v>0</v>
      </c>
      <c r="I179" s="3278">
        <v>0</v>
      </c>
    </row>
    <row r="180" ht="12.75" customHeight="1" spans="2:9">
      <c r="B180" s="3274">
        <v>168</v>
      </c>
      <c r="D180" s="3297" t="s">
        <v>2642</v>
      </c>
      <c r="E180" s="3298" t="s">
        <v>2643</v>
      </c>
      <c r="F180" s="3298" t="s">
        <v>2299</v>
      </c>
      <c r="G180" s="3278">
        <v>302500</v>
      </c>
      <c r="H180" s="3299">
        <v>0</v>
      </c>
      <c r="I180" s="3278">
        <v>0</v>
      </c>
    </row>
    <row r="181" ht="12.75" customHeight="1" spans="2:9">
      <c r="B181" s="3274">
        <v>169</v>
      </c>
      <c r="D181" s="3297" t="s">
        <v>2644</v>
      </c>
      <c r="E181" s="3298" t="s">
        <v>2645</v>
      </c>
      <c r="F181" s="3298" t="s">
        <v>2299</v>
      </c>
      <c r="G181" s="3278">
        <v>332750</v>
      </c>
      <c r="H181" s="3299">
        <v>0</v>
      </c>
      <c r="I181" s="3278">
        <v>0</v>
      </c>
    </row>
    <row r="182" ht="12.75" customHeight="1" spans="2:9">
      <c r="B182" s="3274">
        <v>170</v>
      </c>
      <c r="D182" s="3297" t="s">
        <v>2646</v>
      </c>
      <c r="E182" s="3298" t="s">
        <v>2647</v>
      </c>
      <c r="F182" s="3298" t="s">
        <v>2299</v>
      </c>
      <c r="G182" s="3278">
        <v>275000</v>
      </c>
      <c r="H182" s="3299">
        <v>0</v>
      </c>
      <c r="I182" s="3278">
        <v>0</v>
      </c>
    </row>
    <row r="183" ht="12.75" customHeight="1" spans="2:9">
      <c r="B183" s="3274">
        <v>171</v>
      </c>
      <c r="D183" s="3297" t="s">
        <v>2648</v>
      </c>
      <c r="E183" s="3298" t="s">
        <v>2649</v>
      </c>
      <c r="F183" s="3298" t="s">
        <v>2299</v>
      </c>
      <c r="G183" s="3278">
        <v>9900</v>
      </c>
      <c r="H183" s="3299">
        <v>0</v>
      </c>
      <c r="I183" s="3278">
        <v>0</v>
      </c>
    </row>
    <row r="184" ht="12.75" customHeight="1" spans="2:9">
      <c r="B184" s="3274">
        <v>172</v>
      </c>
      <c r="D184" s="3297" t="s">
        <v>2650</v>
      </c>
      <c r="E184" s="3298" t="s">
        <v>2651</v>
      </c>
      <c r="F184" s="3298" t="s">
        <v>2299</v>
      </c>
      <c r="G184" s="3278">
        <v>19800</v>
      </c>
      <c r="H184" s="3299">
        <v>0</v>
      </c>
      <c r="I184" s="3278">
        <v>0</v>
      </c>
    </row>
    <row r="185" ht="12.75" customHeight="1" spans="2:9">
      <c r="B185" s="3274">
        <v>173</v>
      </c>
      <c r="D185" s="3297" t="s">
        <v>2652</v>
      </c>
      <c r="E185" s="3298" t="s">
        <v>2653</v>
      </c>
      <c r="F185" s="3298" t="s">
        <v>2299</v>
      </c>
      <c r="G185" s="3278">
        <v>14300</v>
      </c>
      <c r="H185" s="3299">
        <v>66</v>
      </c>
      <c r="I185" s="3278">
        <v>943800</v>
      </c>
    </row>
    <row r="186" ht="12.75" customHeight="1" spans="2:9">
      <c r="B186" s="3274">
        <v>174</v>
      </c>
      <c r="D186" s="3297" t="s">
        <v>2654</v>
      </c>
      <c r="E186" s="3298" t="s">
        <v>2655</v>
      </c>
      <c r="F186" s="3298" t="s">
        <v>2637</v>
      </c>
      <c r="G186" s="3278">
        <v>62838.6</v>
      </c>
      <c r="H186" s="3299">
        <v>0</v>
      </c>
      <c r="I186" s="3278">
        <v>0</v>
      </c>
    </row>
    <row r="187" ht="12.75" customHeight="1" spans="2:9">
      <c r="B187" s="3274">
        <v>175</v>
      </c>
      <c r="D187" s="3297" t="s">
        <v>2656</v>
      </c>
      <c r="E187" s="3298" t="s">
        <v>2657</v>
      </c>
      <c r="F187" s="3298" t="s">
        <v>2367</v>
      </c>
      <c r="G187" s="3278">
        <v>440</v>
      </c>
      <c r="H187" s="3299">
        <v>0</v>
      </c>
      <c r="I187" s="3278">
        <v>0</v>
      </c>
    </row>
    <row r="188" ht="12.75" customHeight="1" spans="2:9">
      <c r="B188" s="3274">
        <v>176</v>
      </c>
      <c r="D188" s="3297" t="s">
        <v>2658</v>
      </c>
      <c r="E188" s="3298" t="s">
        <v>2659</v>
      </c>
      <c r="F188" s="3298" t="s">
        <v>2299</v>
      </c>
      <c r="G188" s="3278">
        <v>30000</v>
      </c>
      <c r="H188" s="3299">
        <v>28</v>
      </c>
      <c r="I188" s="3278">
        <v>840000</v>
      </c>
    </row>
    <row r="189" ht="12.75" customHeight="1" spans="2:9">
      <c r="B189" s="3274">
        <v>177</v>
      </c>
      <c r="D189" s="3297" t="s">
        <v>2660</v>
      </c>
      <c r="E189" s="3298" t="s">
        <v>2661</v>
      </c>
      <c r="F189" s="3298" t="s">
        <v>2299</v>
      </c>
      <c r="G189" s="3278">
        <v>30000</v>
      </c>
      <c r="H189" s="3299">
        <v>3</v>
      </c>
      <c r="I189" s="3278">
        <v>90000</v>
      </c>
    </row>
    <row r="190" ht="12.75" customHeight="1" spans="2:9">
      <c r="B190" s="3274">
        <v>178</v>
      </c>
      <c r="D190" s="3297" t="s">
        <v>2662</v>
      </c>
      <c r="E190" s="3298" t="s">
        <v>2663</v>
      </c>
      <c r="F190" s="3298" t="s">
        <v>2299</v>
      </c>
      <c r="G190" s="3278">
        <v>38500</v>
      </c>
      <c r="H190" s="3299">
        <v>22</v>
      </c>
      <c r="I190" s="3278">
        <v>847000</v>
      </c>
    </row>
    <row r="191" ht="12.75" customHeight="1" spans="2:9">
      <c r="B191" s="3274">
        <v>179</v>
      </c>
      <c r="D191" s="3297" t="s">
        <v>2664</v>
      </c>
      <c r="E191" s="3298" t="s">
        <v>2665</v>
      </c>
      <c r="F191" s="3298" t="s">
        <v>2299</v>
      </c>
      <c r="G191" s="3278">
        <v>55000</v>
      </c>
      <c r="H191" s="3299">
        <v>24</v>
      </c>
      <c r="I191" s="3278">
        <v>1320000</v>
      </c>
    </row>
    <row r="192" ht="12.75" customHeight="1" spans="2:9">
      <c r="B192" s="3274">
        <v>180</v>
      </c>
      <c r="D192" s="3297" t="s">
        <v>2666</v>
      </c>
      <c r="E192" s="3298" t="s">
        <v>2667</v>
      </c>
      <c r="F192" s="3298" t="s">
        <v>2299</v>
      </c>
      <c r="G192" s="3278">
        <v>75000</v>
      </c>
      <c r="H192" s="3299">
        <v>0</v>
      </c>
      <c r="I192" s="3278">
        <v>0</v>
      </c>
    </row>
    <row r="193" ht="12.75" customHeight="1" spans="2:9">
      <c r="B193" s="3274">
        <v>181</v>
      </c>
      <c r="D193" s="3297" t="s">
        <v>2668</v>
      </c>
      <c r="E193" s="3298" t="s">
        <v>2669</v>
      </c>
      <c r="F193" s="3298" t="s">
        <v>2299</v>
      </c>
      <c r="G193" s="3278">
        <v>88000</v>
      </c>
      <c r="H193" s="3299">
        <v>24</v>
      </c>
      <c r="I193" s="3278">
        <v>2112000</v>
      </c>
    </row>
    <row r="194" ht="12.75" customHeight="1" spans="2:9">
      <c r="B194" s="3274">
        <v>182</v>
      </c>
      <c r="D194" s="3297" t="s">
        <v>2670</v>
      </c>
      <c r="E194" s="3298" t="s">
        <v>2671</v>
      </c>
      <c r="F194" s="3298" t="s">
        <v>2299</v>
      </c>
      <c r="G194" s="3278">
        <v>33000</v>
      </c>
      <c r="H194" s="3299">
        <v>25</v>
      </c>
      <c r="I194" s="3278">
        <v>825000</v>
      </c>
    </row>
    <row r="195" ht="12.75" customHeight="1" spans="2:9">
      <c r="B195" s="3274">
        <v>183</v>
      </c>
      <c r="D195" s="3297" t="s">
        <v>2672</v>
      </c>
      <c r="E195" s="3298" t="s">
        <v>2673</v>
      </c>
      <c r="F195" s="3298" t="s">
        <v>2299</v>
      </c>
      <c r="G195" s="3278">
        <v>55000</v>
      </c>
      <c r="H195" s="3299">
        <v>7</v>
      </c>
      <c r="I195" s="3278">
        <v>385000</v>
      </c>
    </row>
    <row r="196" ht="12.75" customHeight="1" spans="2:9">
      <c r="B196" s="3274">
        <v>184</v>
      </c>
      <c r="D196" s="3297" t="s">
        <v>2674</v>
      </c>
      <c r="E196" s="3298" t="s">
        <v>2675</v>
      </c>
      <c r="F196" s="3298" t="s">
        <v>2457</v>
      </c>
      <c r="G196" s="3278">
        <v>17000.5</v>
      </c>
      <c r="H196" s="3299">
        <v>0</v>
      </c>
      <c r="I196" s="3278">
        <v>0</v>
      </c>
    </row>
    <row r="197" ht="12.75" customHeight="1" spans="2:9">
      <c r="B197" s="3274">
        <v>185</v>
      </c>
      <c r="D197" s="3297" t="s">
        <v>2676</v>
      </c>
      <c r="E197" s="3298" t="s">
        <v>2677</v>
      </c>
      <c r="F197" s="3298" t="s">
        <v>2299</v>
      </c>
      <c r="G197" s="3278">
        <v>90000</v>
      </c>
      <c r="H197" s="3299">
        <v>0</v>
      </c>
      <c r="I197" s="3278">
        <v>0</v>
      </c>
    </row>
    <row r="198" ht="12.75" customHeight="1" spans="2:9">
      <c r="B198" s="3274">
        <v>186</v>
      </c>
      <c r="D198" s="3297" t="s">
        <v>2678</v>
      </c>
      <c r="E198" s="3298" t="s">
        <v>2679</v>
      </c>
      <c r="F198" s="3298" t="s">
        <v>2367</v>
      </c>
      <c r="G198" s="3278">
        <v>3750</v>
      </c>
      <c r="H198" s="3299">
        <v>240</v>
      </c>
      <c r="I198" s="3278">
        <v>900000</v>
      </c>
    </row>
    <row r="199" ht="12.75" customHeight="1" spans="2:9">
      <c r="B199" s="3274">
        <v>187</v>
      </c>
      <c r="D199" s="3297" t="s">
        <v>2680</v>
      </c>
      <c r="E199" s="3298" t="s">
        <v>2681</v>
      </c>
      <c r="F199" s="3298" t="s">
        <v>2299</v>
      </c>
      <c r="G199" s="3278">
        <v>10816.6631</v>
      </c>
      <c r="H199" s="3299">
        <v>0</v>
      </c>
      <c r="I199" s="3278">
        <v>0</v>
      </c>
    </row>
    <row r="200" ht="12.75" customHeight="1" spans="2:9">
      <c r="B200" s="3274">
        <v>188</v>
      </c>
      <c r="D200" s="3297" t="s">
        <v>2682</v>
      </c>
      <c r="E200" s="3298" t="s">
        <v>2683</v>
      </c>
      <c r="F200" s="3298" t="s">
        <v>2299</v>
      </c>
      <c r="G200" s="3278">
        <v>29218.2</v>
      </c>
      <c r="H200" s="3299">
        <v>5</v>
      </c>
      <c r="I200" s="3278">
        <v>146091</v>
      </c>
    </row>
    <row r="201" ht="12.75" customHeight="1" spans="2:9">
      <c r="B201" s="3274">
        <v>189</v>
      </c>
      <c r="D201" s="3297" t="s">
        <v>2684</v>
      </c>
      <c r="E201" s="3298" t="s">
        <v>2685</v>
      </c>
      <c r="F201" s="3298" t="s">
        <v>2299</v>
      </c>
      <c r="G201" s="3278">
        <v>58437.5</v>
      </c>
      <c r="H201" s="3299">
        <v>30</v>
      </c>
      <c r="I201" s="3278">
        <v>1753125</v>
      </c>
    </row>
    <row r="202" ht="12.75" customHeight="1" spans="2:9">
      <c r="B202" s="3274">
        <v>190</v>
      </c>
      <c r="D202" s="3297" t="s">
        <v>2686</v>
      </c>
      <c r="E202" s="3298" t="s">
        <v>2687</v>
      </c>
      <c r="F202" s="3298" t="s">
        <v>2321</v>
      </c>
      <c r="G202" s="3278">
        <v>11721.325</v>
      </c>
      <c r="H202" s="3299">
        <v>0</v>
      </c>
      <c r="I202" s="3278">
        <v>0</v>
      </c>
    </row>
    <row r="203" ht="12.75" customHeight="1" spans="2:9">
      <c r="B203" s="3274">
        <v>191</v>
      </c>
      <c r="D203" s="3297" t="s">
        <v>2688</v>
      </c>
      <c r="E203" s="3298" t="s">
        <v>2689</v>
      </c>
      <c r="F203" s="3298" t="s">
        <v>2321</v>
      </c>
      <c r="G203" s="3278">
        <v>7004.7824</v>
      </c>
      <c r="H203" s="3299">
        <v>0</v>
      </c>
      <c r="I203" s="3278">
        <v>0</v>
      </c>
    </row>
    <row r="204" ht="12.75" customHeight="1" spans="2:9">
      <c r="B204" s="3274">
        <v>192</v>
      </c>
      <c r="D204" s="3297" t="s">
        <v>2690</v>
      </c>
      <c r="E204" s="3298" t="s">
        <v>2691</v>
      </c>
      <c r="F204" s="3298" t="s">
        <v>2321</v>
      </c>
      <c r="G204" s="3278">
        <v>10506.9954</v>
      </c>
      <c r="H204" s="3299">
        <v>0</v>
      </c>
      <c r="I204" s="3278">
        <v>0</v>
      </c>
    </row>
    <row r="205" ht="12.75" customHeight="1" spans="2:9">
      <c r="B205" s="3274">
        <v>193</v>
      </c>
      <c r="D205" s="3297" t="s">
        <v>2692</v>
      </c>
      <c r="E205" s="3298" t="s">
        <v>2693</v>
      </c>
      <c r="F205" s="3298" t="s">
        <v>2321</v>
      </c>
      <c r="G205" s="3278">
        <v>6633.253</v>
      </c>
      <c r="H205" s="3299">
        <v>0</v>
      </c>
      <c r="I205" s="3278">
        <v>0</v>
      </c>
    </row>
    <row r="206" ht="12.75" customHeight="1" spans="2:9">
      <c r="B206" s="3274">
        <v>194</v>
      </c>
      <c r="D206" s="3297" t="s">
        <v>2694</v>
      </c>
      <c r="E206" s="3298" t="s">
        <v>2695</v>
      </c>
      <c r="F206" s="3298" t="s">
        <v>2457</v>
      </c>
      <c r="G206" s="3278">
        <v>10796.995</v>
      </c>
      <c r="H206" s="3299">
        <v>0</v>
      </c>
      <c r="I206" s="3278">
        <v>0</v>
      </c>
    </row>
    <row r="207" ht="12.75" customHeight="1" spans="2:9">
      <c r="B207" s="3274">
        <v>195</v>
      </c>
      <c r="D207" s="3297" t="s">
        <v>2696</v>
      </c>
      <c r="E207" s="3298" t="s">
        <v>2697</v>
      </c>
      <c r="F207" s="3298" t="s">
        <v>2299</v>
      </c>
      <c r="G207" s="3278">
        <v>10567.997</v>
      </c>
      <c r="H207" s="3299">
        <v>0</v>
      </c>
      <c r="I207" s="3278">
        <v>0</v>
      </c>
    </row>
    <row r="208" ht="12.75" customHeight="1" spans="2:9">
      <c r="B208" s="3274">
        <v>196</v>
      </c>
      <c r="D208" s="3297" t="s">
        <v>2698</v>
      </c>
      <c r="E208" s="3298" t="s">
        <v>2699</v>
      </c>
      <c r="F208" s="3298" t="s">
        <v>2299</v>
      </c>
      <c r="G208" s="3278">
        <v>5107.663</v>
      </c>
      <c r="H208" s="3299">
        <v>0</v>
      </c>
      <c r="I208" s="3278">
        <v>0</v>
      </c>
    </row>
    <row r="209" ht="12.75" customHeight="1" spans="2:9">
      <c r="B209" s="3274">
        <v>197</v>
      </c>
      <c r="D209" s="3297" t="s">
        <v>2700</v>
      </c>
      <c r="E209" s="3298" t="s">
        <v>2701</v>
      </c>
      <c r="F209" s="3298" t="s">
        <v>2299</v>
      </c>
      <c r="G209" s="3278">
        <v>2200</v>
      </c>
      <c r="H209" s="3299">
        <v>0</v>
      </c>
      <c r="I209" s="3278">
        <v>0</v>
      </c>
    </row>
    <row r="210" ht="12.75" customHeight="1" spans="2:9">
      <c r="B210" s="3274">
        <v>198</v>
      </c>
      <c r="D210" s="3297" t="s">
        <v>2702</v>
      </c>
      <c r="E210" s="3298" t="s">
        <v>2703</v>
      </c>
      <c r="F210" s="3298" t="s">
        <v>2299</v>
      </c>
      <c r="G210" s="3278">
        <v>275000</v>
      </c>
      <c r="H210" s="3299">
        <v>0</v>
      </c>
      <c r="I210" s="3278">
        <v>0</v>
      </c>
    </row>
    <row r="211" ht="12.75" customHeight="1" spans="2:9">
      <c r="B211" s="3274">
        <v>199</v>
      </c>
      <c r="D211" s="3297" t="s">
        <v>2704</v>
      </c>
      <c r="E211" s="3298" t="s">
        <v>2705</v>
      </c>
      <c r="F211" s="3298" t="s">
        <v>2299</v>
      </c>
      <c r="G211" s="3278">
        <v>6900.3</v>
      </c>
      <c r="H211" s="3299">
        <v>15</v>
      </c>
      <c r="I211" s="3278">
        <v>103504.5</v>
      </c>
    </row>
    <row r="212" ht="12.75" customHeight="1" spans="2:9">
      <c r="B212" s="3274">
        <v>200</v>
      </c>
      <c r="D212" s="3297" t="s">
        <v>2706</v>
      </c>
      <c r="E212" s="3298" t="s">
        <v>2707</v>
      </c>
      <c r="F212" s="3298" t="s">
        <v>2299</v>
      </c>
      <c r="G212" s="3278">
        <v>21450</v>
      </c>
      <c r="H212" s="3299">
        <v>35</v>
      </c>
      <c r="I212" s="3278">
        <v>750750</v>
      </c>
    </row>
    <row r="213" ht="12.75" customHeight="1" spans="2:9">
      <c r="B213" s="3274">
        <v>201</v>
      </c>
      <c r="D213" s="3297" t="s">
        <v>2708</v>
      </c>
      <c r="E213" s="3298" t="s">
        <v>2709</v>
      </c>
      <c r="F213" s="3298" t="s">
        <v>2299</v>
      </c>
      <c r="G213" s="3278">
        <v>16500</v>
      </c>
      <c r="H213" s="3299">
        <v>24</v>
      </c>
      <c r="I213" s="3278">
        <v>396000</v>
      </c>
    </row>
    <row r="214" ht="12.75" customHeight="1" spans="2:9">
      <c r="B214" s="3274">
        <v>202</v>
      </c>
      <c r="D214" s="3297" t="s">
        <v>2710</v>
      </c>
      <c r="E214" s="3298" t="s">
        <v>2711</v>
      </c>
      <c r="F214" s="3298" t="s">
        <v>2299</v>
      </c>
      <c r="G214" s="3278">
        <v>66000</v>
      </c>
      <c r="H214" s="3299">
        <v>0</v>
      </c>
      <c r="I214" s="3278">
        <v>0</v>
      </c>
    </row>
    <row r="215" ht="12.75" customHeight="1" spans="2:9">
      <c r="B215" s="3274">
        <v>203</v>
      </c>
      <c r="D215" s="3297" t="s">
        <v>2712</v>
      </c>
      <c r="E215" s="3298" t="s">
        <v>2713</v>
      </c>
      <c r="F215" s="3298" t="s">
        <v>2367</v>
      </c>
      <c r="G215" s="3278">
        <v>1188</v>
      </c>
      <c r="H215" s="3299">
        <v>400</v>
      </c>
      <c r="I215" s="3278">
        <v>475200</v>
      </c>
    </row>
    <row r="216" ht="12.75" customHeight="1" spans="2:9">
      <c r="B216" s="3274">
        <v>204</v>
      </c>
      <c r="D216" s="3297" t="s">
        <v>2714</v>
      </c>
      <c r="E216" s="3298" t="s">
        <v>2715</v>
      </c>
      <c r="F216" s="3298" t="s">
        <v>2367</v>
      </c>
      <c r="G216" s="3278">
        <v>2200</v>
      </c>
      <c r="H216" s="3299">
        <v>0</v>
      </c>
      <c r="I216" s="3278">
        <v>0</v>
      </c>
    </row>
    <row r="217" ht="12.75" customHeight="1" spans="2:9">
      <c r="B217" s="3274">
        <v>205</v>
      </c>
      <c r="D217" s="3297" t="s">
        <v>2716</v>
      </c>
      <c r="E217" s="3298" t="s">
        <v>2717</v>
      </c>
      <c r="F217" s="3298" t="s">
        <v>2367</v>
      </c>
      <c r="G217" s="3278">
        <v>2200</v>
      </c>
      <c r="H217" s="3299">
        <v>0</v>
      </c>
      <c r="I217" s="3278">
        <v>0</v>
      </c>
    </row>
    <row r="218" ht="12.75" customHeight="1" spans="2:9">
      <c r="B218" s="3274">
        <v>206</v>
      </c>
      <c r="D218" s="3297" t="s">
        <v>2718</v>
      </c>
      <c r="E218" s="3298" t="s">
        <v>2719</v>
      </c>
      <c r="F218" s="3298" t="s">
        <v>2367</v>
      </c>
      <c r="G218" s="3278">
        <v>1188</v>
      </c>
      <c r="H218" s="3299">
        <v>0</v>
      </c>
      <c r="I218" s="3278">
        <v>0</v>
      </c>
    </row>
    <row r="219" ht="12.75" customHeight="1" spans="2:9">
      <c r="B219" s="3274">
        <v>207</v>
      </c>
      <c r="D219" s="3297" t="s">
        <v>2720</v>
      </c>
      <c r="E219" s="3298" t="s">
        <v>2721</v>
      </c>
      <c r="F219" s="3298" t="s">
        <v>2299</v>
      </c>
      <c r="G219" s="3278">
        <v>6600</v>
      </c>
      <c r="H219" s="3299">
        <v>0</v>
      </c>
      <c r="I219" s="3278">
        <v>0</v>
      </c>
    </row>
    <row r="220" ht="12.75" customHeight="1" spans="2:9">
      <c r="B220" s="3274">
        <v>208</v>
      </c>
      <c r="D220" s="3297" t="s">
        <v>2722</v>
      </c>
      <c r="E220" s="3298" t="s">
        <v>2723</v>
      </c>
      <c r="F220" s="3298" t="s">
        <v>2299</v>
      </c>
      <c r="G220" s="3278">
        <v>6000.005</v>
      </c>
      <c r="H220" s="3299">
        <v>0</v>
      </c>
      <c r="I220" s="3278">
        <v>0</v>
      </c>
    </row>
    <row r="221" ht="12.75" customHeight="1" spans="2:9">
      <c r="B221" s="3274">
        <v>209</v>
      </c>
      <c r="D221" s="3297" t="s">
        <v>2724</v>
      </c>
      <c r="E221" s="3298" t="s">
        <v>2725</v>
      </c>
      <c r="F221" s="3298" t="s">
        <v>2367</v>
      </c>
      <c r="G221" s="3278">
        <v>26400</v>
      </c>
      <c r="H221" s="3299">
        <v>0</v>
      </c>
      <c r="I221" s="3278">
        <v>0</v>
      </c>
    </row>
    <row r="222" ht="12.75" customHeight="1" spans="2:9">
      <c r="B222" s="3274">
        <v>210</v>
      </c>
      <c r="D222" s="3297" t="s">
        <v>2726</v>
      </c>
      <c r="E222" s="3298" t="s">
        <v>2727</v>
      </c>
      <c r="F222" s="3298" t="s">
        <v>2299</v>
      </c>
      <c r="G222" s="3278">
        <v>38500</v>
      </c>
      <c r="H222" s="3299">
        <v>4</v>
      </c>
      <c r="I222" s="3278">
        <v>154000</v>
      </c>
    </row>
    <row r="223" ht="12.75" customHeight="1" spans="2:9">
      <c r="B223" s="3274">
        <v>211</v>
      </c>
      <c r="D223" s="3297" t="s">
        <v>2728</v>
      </c>
      <c r="E223" s="3298" t="s">
        <v>2729</v>
      </c>
      <c r="F223" s="3298" t="s">
        <v>2299</v>
      </c>
      <c r="G223" s="3278">
        <v>38500</v>
      </c>
      <c r="H223" s="3299">
        <v>40</v>
      </c>
      <c r="I223" s="3278">
        <v>1540000</v>
      </c>
    </row>
    <row r="224" ht="12.75" customHeight="1" spans="2:9">
      <c r="B224" s="3274">
        <v>212</v>
      </c>
      <c r="D224" s="3297" t="s">
        <v>2730</v>
      </c>
      <c r="E224" s="3298" t="s">
        <v>2731</v>
      </c>
      <c r="F224" s="3298" t="s">
        <v>2299</v>
      </c>
      <c r="G224" s="3278">
        <v>20900</v>
      </c>
      <c r="H224" s="3299">
        <v>6</v>
      </c>
      <c r="I224" s="3278">
        <v>125400</v>
      </c>
    </row>
    <row r="225" ht="12.75" customHeight="1" spans="2:9">
      <c r="B225" s="3274">
        <v>213</v>
      </c>
      <c r="D225" s="3297" t="s">
        <v>2732</v>
      </c>
      <c r="E225" s="3298" t="s">
        <v>2733</v>
      </c>
      <c r="F225" s="3298" t="s">
        <v>2299</v>
      </c>
      <c r="G225" s="3278">
        <v>36960</v>
      </c>
      <c r="H225" s="3299">
        <v>14</v>
      </c>
      <c r="I225" s="3278">
        <v>517440</v>
      </c>
    </row>
    <row r="226" ht="12.75" customHeight="1" spans="2:9">
      <c r="B226" s="3274">
        <v>214</v>
      </c>
      <c r="D226" s="3297" t="s">
        <v>2734</v>
      </c>
      <c r="E226" s="3298" t="s">
        <v>2735</v>
      </c>
      <c r="F226" s="3298" t="s">
        <v>2314</v>
      </c>
      <c r="G226" s="3278">
        <v>302814.6</v>
      </c>
      <c r="H226" s="3299">
        <v>4</v>
      </c>
      <c r="I226" s="3278">
        <v>1211258.4</v>
      </c>
    </row>
    <row r="227" ht="12.75" customHeight="1" spans="2:9">
      <c r="B227" s="3274">
        <v>215</v>
      </c>
      <c r="D227" s="3297" t="s">
        <v>2736</v>
      </c>
      <c r="E227" s="3298" t="s">
        <v>2737</v>
      </c>
      <c r="F227" s="3298" t="s">
        <v>2299</v>
      </c>
      <c r="G227" s="3278">
        <v>33000</v>
      </c>
      <c r="H227" s="3299">
        <v>0</v>
      </c>
      <c r="I227" s="3278">
        <v>0</v>
      </c>
    </row>
    <row r="228" ht="12.75" customHeight="1" spans="2:9">
      <c r="B228" s="3274">
        <v>216</v>
      </c>
      <c r="D228" s="3297" t="s">
        <v>2738</v>
      </c>
      <c r="E228" s="3298" t="s">
        <v>2739</v>
      </c>
      <c r="F228" s="3298" t="s">
        <v>2299</v>
      </c>
      <c r="G228" s="3278">
        <v>28875</v>
      </c>
      <c r="H228" s="3299">
        <v>0</v>
      </c>
      <c r="I228" s="3278">
        <v>0</v>
      </c>
    </row>
    <row r="229" ht="12.75" customHeight="1" spans="2:9">
      <c r="B229" s="3274">
        <v>217</v>
      </c>
      <c r="D229" s="3297" t="s">
        <v>2740</v>
      </c>
      <c r="E229" s="3298" t="s">
        <v>2741</v>
      </c>
      <c r="F229" s="3298" t="s">
        <v>2321</v>
      </c>
      <c r="G229" s="3278">
        <v>35750</v>
      </c>
      <c r="H229" s="3299">
        <v>0</v>
      </c>
      <c r="I229" s="3278">
        <v>0</v>
      </c>
    </row>
    <row r="230" ht="12.75" customHeight="1" spans="2:9">
      <c r="B230" s="3274">
        <v>218</v>
      </c>
      <c r="D230" s="3297" t="s">
        <v>2742</v>
      </c>
      <c r="E230" s="3298" t="s">
        <v>2743</v>
      </c>
      <c r="F230" s="3298" t="s">
        <v>2418</v>
      </c>
      <c r="G230" s="3278">
        <v>88000</v>
      </c>
      <c r="H230" s="3299">
        <v>11</v>
      </c>
      <c r="I230" s="3278">
        <v>968000</v>
      </c>
    </row>
    <row r="231" ht="12.75" customHeight="1" spans="2:9">
      <c r="B231" s="3274">
        <v>219</v>
      </c>
      <c r="D231" s="3297" t="s">
        <v>2744</v>
      </c>
      <c r="E231" s="3298" t="s">
        <v>2745</v>
      </c>
      <c r="F231" s="3298" t="s">
        <v>2418</v>
      </c>
      <c r="G231" s="3278">
        <v>71500</v>
      </c>
      <c r="H231" s="3299">
        <v>2</v>
      </c>
      <c r="I231" s="3278">
        <v>143000</v>
      </c>
    </row>
    <row r="232" ht="12.75" customHeight="1" spans="2:9">
      <c r="B232" s="3274">
        <v>220</v>
      </c>
      <c r="D232" s="3297" t="s">
        <v>2746</v>
      </c>
      <c r="E232" s="3298" t="s">
        <v>2747</v>
      </c>
      <c r="F232" s="3298" t="s">
        <v>2418</v>
      </c>
      <c r="G232" s="3278">
        <v>69300</v>
      </c>
      <c r="H232" s="3299">
        <v>1</v>
      </c>
      <c r="I232" s="3278">
        <v>69300</v>
      </c>
    </row>
    <row r="233" ht="12.75" customHeight="1" spans="2:9">
      <c r="B233" s="3274">
        <v>221</v>
      </c>
      <c r="D233" s="3297" t="s">
        <v>2748</v>
      </c>
      <c r="E233" s="3298" t="s">
        <v>2749</v>
      </c>
      <c r="F233" s="3298" t="s">
        <v>2299</v>
      </c>
      <c r="G233" s="3278">
        <v>2950.2</v>
      </c>
      <c r="H233" s="3299">
        <v>0</v>
      </c>
      <c r="I233" s="3278">
        <v>0</v>
      </c>
    </row>
    <row r="234" ht="12.75" customHeight="1" spans="2:9">
      <c r="B234" s="3274">
        <v>222</v>
      </c>
      <c r="D234" s="3297" t="s">
        <v>2750</v>
      </c>
      <c r="E234" s="3298" t="s">
        <v>2751</v>
      </c>
      <c r="F234" s="3298" t="s">
        <v>2299</v>
      </c>
      <c r="G234" s="3278">
        <v>1557.38</v>
      </c>
      <c r="H234" s="3299">
        <v>0</v>
      </c>
      <c r="I234" s="3278">
        <v>0</v>
      </c>
    </row>
    <row r="235" ht="12.75" customHeight="1" spans="2:9">
      <c r="B235" s="3274">
        <v>223</v>
      </c>
      <c r="D235" s="3297" t="s">
        <v>2752</v>
      </c>
      <c r="E235" s="3298" t="s">
        <v>2753</v>
      </c>
      <c r="F235" s="3298" t="s">
        <v>2299</v>
      </c>
      <c r="G235" s="3278">
        <v>5567.1</v>
      </c>
      <c r="H235" s="3299">
        <v>0</v>
      </c>
      <c r="I235" s="3278">
        <v>0</v>
      </c>
    </row>
    <row r="236" ht="12.75" customHeight="1" spans="2:9">
      <c r="B236" s="3274">
        <v>224</v>
      </c>
      <c r="D236" s="3297" t="s">
        <v>2754</v>
      </c>
      <c r="E236" s="3298" t="s">
        <v>2755</v>
      </c>
      <c r="F236" s="3298" t="s">
        <v>2299</v>
      </c>
      <c r="G236" s="3278">
        <v>13739</v>
      </c>
      <c r="H236" s="3299">
        <v>0</v>
      </c>
      <c r="I236" s="3278">
        <v>0</v>
      </c>
    </row>
    <row r="237" ht="12.75" customHeight="1" spans="2:9">
      <c r="B237" s="3274">
        <v>225</v>
      </c>
      <c r="D237" s="3297" t="s">
        <v>2756</v>
      </c>
      <c r="E237" s="3298" t="s">
        <v>2757</v>
      </c>
      <c r="F237" s="3298" t="s">
        <v>2299</v>
      </c>
      <c r="G237" s="3278">
        <v>4900.5</v>
      </c>
      <c r="H237" s="3299">
        <v>0</v>
      </c>
      <c r="I237" s="3278">
        <v>0</v>
      </c>
    </row>
    <row r="238" ht="12.75" customHeight="1" spans="2:9">
      <c r="B238" s="3274">
        <v>226</v>
      </c>
      <c r="D238" s="3297" t="s">
        <v>2758</v>
      </c>
      <c r="E238" s="3298" t="s">
        <v>2759</v>
      </c>
      <c r="F238" s="3298" t="s">
        <v>2457</v>
      </c>
      <c r="G238" s="3278">
        <v>1475.1</v>
      </c>
      <c r="H238" s="3299">
        <v>0</v>
      </c>
      <c r="I238" s="3278">
        <v>0</v>
      </c>
    </row>
    <row r="239" ht="12.75" customHeight="1" spans="2:9">
      <c r="B239" s="3274">
        <v>227</v>
      </c>
      <c r="D239" s="3297" t="s">
        <v>2760</v>
      </c>
      <c r="E239" s="3298" t="s">
        <v>2761</v>
      </c>
      <c r="F239" s="3298" t="s">
        <v>2299</v>
      </c>
      <c r="G239" s="3278">
        <v>1433.3</v>
      </c>
      <c r="H239" s="3299">
        <v>0</v>
      </c>
      <c r="I239" s="3278">
        <v>0</v>
      </c>
    </row>
    <row r="240" ht="12.75" customHeight="1" spans="2:9">
      <c r="B240" s="3274">
        <v>228</v>
      </c>
      <c r="D240" s="3297" t="s">
        <v>2762</v>
      </c>
      <c r="E240" s="3298" t="s">
        <v>2763</v>
      </c>
      <c r="F240" s="3298" t="s">
        <v>2299</v>
      </c>
      <c r="G240" s="3278">
        <v>2150.5</v>
      </c>
      <c r="H240" s="3299">
        <v>0</v>
      </c>
      <c r="I240" s="3278">
        <v>0</v>
      </c>
    </row>
    <row r="241" ht="12.75" customHeight="1" spans="2:9">
      <c r="B241" s="3274">
        <v>229</v>
      </c>
      <c r="D241" s="3297" t="s">
        <v>2764</v>
      </c>
      <c r="E241" s="3298" t="s">
        <v>2765</v>
      </c>
      <c r="F241" s="3298" t="s">
        <v>2299</v>
      </c>
      <c r="G241" s="3278">
        <v>30000.3</v>
      </c>
      <c r="H241" s="3299">
        <v>0</v>
      </c>
      <c r="I241" s="3278">
        <v>0</v>
      </c>
    </row>
    <row r="242" ht="12.75" customHeight="1" spans="2:9">
      <c r="B242" s="3274">
        <v>230</v>
      </c>
      <c r="D242" s="3297" t="s">
        <v>2766</v>
      </c>
      <c r="E242" s="3298" t="s">
        <v>2767</v>
      </c>
      <c r="F242" s="3298" t="s">
        <v>2314</v>
      </c>
      <c r="G242" s="3278">
        <v>60500</v>
      </c>
      <c r="H242" s="3299">
        <v>0</v>
      </c>
      <c r="I242" s="3278">
        <v>0</v>
      </c>
    </row>
    <row r="243" ht="12.75" customHeight="1" spans="2:9">
      <c r="B243" s="3274">
        <v>231</v>
      </c>
      <c r="D243" s="3297" t="s">
        <v>2768</v>
      </c>
      <c r="E243" s="3298" t="s">
        <v>2769</v>
      </c>
      <c r="F243" s="3298" t="s">
        <v>2314</v>
      </c>
      <c r="G243" s="3278">
        <v>198000</v>
      </c>
      <c r="H243" s="3299">
        <v>0</v>
      </c>
      <c r="I243" s="3278">
        <v>0</v>
      </c>
    </row>
    <row r="244" ht="12.75" customHeight="1" spans="2:9">
      <c r="B244" s="3274">
        <v>232</v>
      </c>
      <c r="D244" s="3297" t="s">
        <v>2770</v>
      </c>
      <c r="E244" s="3298" t="s">
        <v>2771</v>
      </c>
      <c r="F244" s="3298" t="s">
        <v>2299</v>
      </c>
      <c r="G244" s="3278">
        <v>5060</v>
      </c>
      <c r="H244" s="3299">
        <v>251</v>
      </c>
      <c r="I244" s="3278">
        <v>1270060</v>
      </c>
    </row>
    <row r="245" ht="12.75" customHeight="1" spans="2:9">
      <c r="B245" s="3274">
        <v>233</v>
      </c>
      <c r="D245" s="3297" t="s">
        <v>2772</v>
      </c>
      <c r="E245" s="3298" t="s">
        <v>2773</v>
      </c>
      <c r="F245" s="3298" t="s">
        <v>2299</v>
      </c>
      <c r="G245" s="3278">
        <v>100760</v>
      </c>
      <c r="H245" s="3299">
        <v>0</v>
      </c>
      <c r="I245" s="3278">
        <v>0</v>
      </c>
    </row>
    <row r="246" ht="12.75" customHeight="1" spans="2:9">
      <c r="B246" s="3274">
        <v>234</v>
      </c>
      <c r="D246" s="3297" t="s">
        <v>2774</v>
      </c>
      <c r="E246" s="3298" t="s">
        <v>2775</v>
      </c>
      <c r="F246" s="3298" t="s">
        <v>2299</v>
      </c>
      <c r="G246" s="3278">
        <v>49500</v>
      </c>
      <c r="H246" s="3299">
        <v>0</v>
      </c>
      <c r="I246" s="3278">
        <v>0</v>
      </c>
    </row>
    <row r="247" ht="12.75" customHeight="1" spans="2:9">
      <c r="B247" s="3274">
        <v>235</v>
      </c>
      <c r="D247" s="3297" t="s">
        <v>2776</v>
      </c>
      <c r="E247" s="3298" t="s">
        <v>2777</v>
      </c>
      <c r="F247" s="3298" t="s">
        <v>2299</v>
      </c>
      <c r="G247" s="3278">
        <v>78650</v>
      </c>
      <c r="H247" s="3299">
        <v>0</v>
      </c>
      <c r="I247" s="3278">
        <v>0</v>
      </c>
    </row>
    <row r="248" ht="12.75" customHeight="1" spans="2:9">
      <c r="B248" s="3274">
        <v>236</v>
      </c>
      <c r="D248" s="3297" t="s">
        <v>2778</v>
      </c>
      <c r="E248" s="3298" t="s">
        <v>2779</v>
      </c>
      <c r="F248" s="3298" t="s">
        <v>2299</v>
      </c>
      <c r="G248" s="3278">
        <v>93500</v>
      </c>
      <c r="H248" s="3299">
        <v>0</v>
      </c>
      <c r="I248" s="3278">
        <v>0</v>
      </c>
    </row>
    <row r="249" ht="12.75" customHeight="1" spans="2:9">
      <c r="B249" s="3274">
        <v>237</v>
      </c>
      <c r="D249" s="3297" t="s">
        <v>2780</v>
      </c>
      <c r="E249" s="3298" t="s">
        <v>2781</v>
      </c>
      <c r="F249" s="3298" t="s">
        <v>2367</v>
      </c>
      <c r="G249" s="3278">
        <v>60355.5602</v>
      </c>
      <c r="H249" s="3299">
        <v>0</v>
      </c>
      <c r="I249" s="3278">
        <v>0</v>
      </c>
    </row>
    <row r="250" ht="12.75" customHeight="1" spans="2:9">
      <c r="B250" s="3274">
        <v>238</v>
      </c>
      <c r="D250" s="3297" t="s">
        <v>2782</v>
      </c>
      <c r="E250" s="3298" t="s">
        <v>2783</v>
      </c>
      <c r="F250" s="3298" t="s">
        <v>2299</v>
      </c>
      <c r="G250" s="3278">
        <v>66550</v>
      </c>
      <c r="H250" s="3299">
        <v>0</v>
      </c>
      <c r="I250" s="3278">
        <v>0</v>
      </c>
    </row>
    <row r="251" ht="12.75" customHeight="1" spans="2:9">
      <c r="B251" s="3274">
        <v>239</v>
      </c>
      <c r="D251" s="3297" t="s">
        <v>2784</v>
      </c>
      <c r="E251" s="3298" t="s">
        <v>2785</v>
      </c>
      <c r="F251" s="3298" t="s">
        <v>2299</v>
      </c>
      <c r="G251" s="3278">
        <v>49912.5</v>
      </c>
      <c r="H251" s="3299">
        <v>0</v>
      </c>
      <c r="I251" s="3278">
        <v>0</v>
      </c>
    </row>
    <row r="252" ht="12.75" customHeight="1" spans="2:9">
      <c r="B252" s="3274">
        <v>240</v>
      </c>
      <c r="D252" s="3297" t="s">
        <v>2786</v>
      </c>
      <c r="E252" s="3298" t="s">
        <v>2787</v>
      </c>
      <c r="F252" s="3298" t="s">
        <v>2299</v>
      </c>
      <c r="G252" s="3278">
        <v>77000</v>
      </c>
      <c r="H252" s="3299">
        <v>0</v>
      </c>
      <c r="I252" s="3278">
        <v>0</v>
      </c>
    </row>
    <row r="253" ht="12.75" customHeight="1" spans="2:9">
      <c r="B253" s="3274">
        <v>241</v>
      </c>
      <c r="D253" s="3297" t="s">
        <v>2788</v>
      </c>
      <c r="E253" s="3298" t="s">
        <v>2789</v>
      </c>
      <c r="F253" s="3298" t="s">
        <v>2299</v>
      </c>
      <c r="G253" s="3278">
        <v>49912.5</v>
      </c>
      <c r="H253" s="3299">
        <v>0</v>
      </c>
      <c r="I253" s="3278">
        <v>0</v>
      </c>
    </row>
    <row r="254" ht="12.75" customHeight="1" spans="2:9">
      <c r="B254" s="3274">
        <v>242</v>
      </c>
      <c r="D254" s="3297" t="s">
        <v>2790</v>
      </c>
      <c r="E254" s="3298" t="s">
        <v>2791</v>
      </c>
      <c r="F254" s="3298" t="s">
        <v>2367</v>
      </c>
      <c r="G254" s="3278">
        <v>47999.996</v>
      </c>
      <c r="H254" s="3299">
        <v>0</v>
      </c>
      <c r="I254" s="3278">
        <v>0</v>
      </c>
    </row>
    <row r="255" ht="12.75" customHeight="1" spans="2:9">
      <c r="B255" s="3274">
        <v>243</v>
      </c>
      <c r="D255" s="3297" t="s">
        <v>2792</v>
      </c>
      <c r="E255" s="3298" t="s">
        <v>2793</v>
      </c>
      <c r="F255" s="3298" t="s">
        <v>2299</v>
      </c>
      <c r="G255" s="3278">
        <v>76532.5</v>
      </c>
      <c r="H255" s="3299">
        <v>24</v>
      </c>
      <c r="I255" s="3278">
        <v>1836780</v>
      </c>
    </row>
    <row r="256" ht="12.75" customHeight="1" spans="2:9">
      <c r="B256" s="3274">
        <v>244</v>
      </c>
      <c r="D256" s="3297" t="s">
        <v>2794</v>
      </c>
      <c r="E256" s="3298" t="s">
        <v>2795</v>
      </c>
      <c r="F256" s="3298" t="s">
        <v>2299</v>
      </c>
      <c r="G256" s="3278">
        <v>76532.5</v>
      </c>
      <c r="H256" s="3299">
        <v>12</v>
      </c>
      <c r="I256" s="3278">
        <v>918390</v>
      </c>
    </row>
    <row r="257" ht="12.75" customHeight="1" spans="2:9">
      <c r="B257" s="3274">
        <v>245</v>
      </c>
      <c r="D257" s="3297" t="s">
        <v>2796</v>
      </c>
      <c r="E257" s="3298" t="s">
        <v>2797</v>
      </c>
      <c r="F257" s="3298" t="s">
        <v>2299</v>
      </c>
      <c r="G257" s="3278">
        <v>76532.5</v>
      </c>
      <c r="H257" s="3299">
        <v>0</v>
      </c>
      <c r="I257" s="3278">
        <v>0</v>
      </c>
    </row>
    <row r="258" ht="12.75" customHeight="1" spans="2:9">
      <c r="B258" s="3274">
        <v>246</v>
      </c>
      <c r="D258" s="3297" t="s">
        <v>2798</v>
      </c>
      <c r="E258" s="3298" t="s">
        <v>2799</v>
      </c>
      <c r="F258" s="3298" t="s">
        <v>2299</v>
      </c>
      <c r="G258" s="3278">
        <v>66550</v>
      </c>
      <c r="H258" s="3299">
        <v>0</v>
      </c>
      <c r="I258" s="3278">
        <v>0</v>
      </c>
    </row>
    <row r="259" ht="12.75" customHeight="1" spans="2:9">
      <c r="B259" s="3274">
        <v>247</v>
      </c>
      <c r="D259" s="3297" t="s">
        <v>2800</v>
      </c>
      <c r="E259" s="3298" t="s">
        <v>2801</v>
      </c>
      <c r="F259" s="3298" t="s">
        <v>2299</v>
      </c>
      <c r="G259" s="3278">
        <v>76532.5</v>
      </c>
      <c r="H259" s="3299">
        <v>24</v>
      </c>
      <c r="I259" s="3278">
        <v>1836780</v>
      </c>
    </row>
    <row r="260" ht="12.75" customHeight="1" spans="2:9">
      <c r="B260" s="3274">
        <v>248</v>
      </c>
      <c r="D260" s="3297" t="s">
        <v>2802</v>
      </c>
      <c r="E260" s="3298" t="s">
        <v>2803</v>
      </c>
      <c r="F260" s="3298" t="s">
        <v>2367</v>
      </c>
      <c r="G260" s="3278">
        <v>66550</v>
      </c>
      <c r="H260" s="3299">
        <v>0</v>
      </c>
      <c r="I260" s="3278">
        <v>0</v>
      </c>
    </row>
    <row r="261" ht="12.75" customHeight="1" spans="2:9">
      <c r="B261" s="3274">
        <v>249</v>
      </c>
      <c r="D261" s="3297" t="s">
        <v>2804</v>
      </c>
      <c r="E261" s="3298" t="s">
        <v>2805</v>
      </c>
      <c r="F261" s="3298" t="s">
        <v>2299</v>
      </c>
      <c r="G261" s="3278">
        <v>52937.5</v>
      </c>
      <c r="H261" s="3299">
        <v>0</v>
      </c>
      <c r="I261" s="3278">
        <v>0</v>
      </c>
    </row>
    <row r="262" ht="12.75" customHeight="1" spans="2:9">
      <c r="B262" s="3274">
        <v>250</v>
      </c>
      <c r="D262" s="3297" t="s">
        <v>2806</v>
      </c>
      <c r="E262" s="3298" t="s">
        <v>2807</v>
      </c>
      <c r="F262" s="3298" t="s">
        <v>2299</v>
      </c>
      <c r="G262" s="3278">
        <v>88000</v>
      </c>
      <c r="H262" s="3299">
        <v>12</v>
      </c>
      <c r="I262" s="3278">
        <v>1056000</v>
      </c>
    </row>
    <row r="263" ht="12.75" customHeight="1" spans="2:9">
      <c r="B263" s="3274">
        <v>251</v>
      </c>
      <c r="D263" s="3297" t="s">
        <v>2808</v>
      </c>
      <c r="E263" s="3298" t="s">
        <v>2809</v>
      </c>
      <c r="F263" s="3298" t="s">
        <v>2810</v>
      </c>
      <c r="G263" s="3278">
        <v>299.992</v>
      </c>
      <c r="H263" s="3299">
        <v>0</v>
      </c>
      <c r="I263" s="3278">
        <v>0</v>
      </c>
    </row>
    <row r="264" ht="12.75" customHeight="1" spans="2:9">
      <c r="B264" s="3274">
        <v>252</v>
      </c>
      <c r="D264" s="3297" t="s">
        <v>2811</v>
      </c>
      <c r="E264" s="3298" t="s">
        <v>2812</v>
      </c>
      <c r="F264" s="3298" t="s">
        <v>2810</v>
      </c>
      <c r="G264" s="3278">
        <v>786.5</v>
      </c>
      <c r="H264" s="3299">
        <v>0</v>
      </c>
      <c r="I264" s="3278">
        <v>0</v>
      </c>
    </row>
    <row r="265" ht="12.75" customHeight="1" spans="2:9">
      <c r="B265" s="3274">
        <v>253</v>
      </c>
      <c r="D265" s="3297" t="s">
        <v>2813</v>
      </c>
      <c r="E265" s="3298" t="s">
        <v>2814</v>
      </c>
      <c r="F265" s="3298" t="s">
        <v>2810</v>
      </c>
      <c r="G265" s="3278">
        <v>770</v>
      </c>
      <c r="H265" s="3299">
        <v>79</v>
      </c>
      <c r="I265" s="3278">
        <v>60830</v>
      </c>
    </row>
    <row r="266" ht="12.75" customHeight="1" spans="2:9">
      <c r="B266" s="3274">
        <v>254</v>
      </c>
      <c r="D266" s="3297" t="s">
        <v>2815</v>
      </c>
      <c r="E266" s="3298" t="s">
        <v>2816</v>
      </c>
      <c r="F266" s="3298" t="s">
        <v>2810</v>
      </c>
      <c r="G266" s="3278">
        <v>1409.2944</v>
      </c>
      <c r="H266" s="3299">
        <v>0</v>
      </c>
      <c r="I266" s="3278">
        <v>0</v>
      </c>
    </row>
    <row r="267" ht="12.75" customHeight="1" spans="2:9">
      <c r="B267" s="3274">
        <v>255</v>
      </c>
      <c r="D267" s="3297" t="s">
        <v>2817</v>
      </c>
      <c r="E267" s="3298" t="s">
        <v>2818</v>
      </c>
      <c r="F267" s="3298" t="s">
        <v>2810</v>
      </c>
      <c r="G267" s="3278">
        <v>302.5</v>
      </c>
      <c r="H267" s="3299">
        <v>0</v>
      </c>
      <c r="I267" s="3278">
        <v>0</v>
      </c>
    </row>
    <row r="268" ht="12.75" customHeight="1" spans="2:9">
      <c r="B268" s="3274">
        <v>256</v>
      </c>
      <c r="D268" s="3297" t="s">
        <v>2819</v>
      </c>
      <c r="E268" s="3298" t="s">
        <v>2820</v>
      </c>
      <c r="F268" s="3298" t="s">
        <v>2810</v>
      </c>
      <c r="G268" s="3278">
        <v>423.5</v>
      </c>
      <c r="H268" s="3299">
        <v>0</v>
      </c>
      <c r="I268" s="3278">
        <v>0</v>
      </c>
    </row>
    <row r="269" ht="12.75" customHeight="1" spans="2:9">
      <c r="B269" s="3274">
        <v>257</v>
      </c>
      <c r="D269" s="3297" t="s">
        <v>2821</v>
      </c>
      <c r="E269" s="3298" t="s">
        <v>2822</v>
      </c>
      <c r="F269" s="3298" t="s">
        <v>2810</v>
      </c>
      <c r="G269" s="3278">
        <v>825</v>
      </c>
      <c r="H269" s="3299">
        <v>232</v>
      </c>
      <c r="I269" s="3278">
        <v>191400</v>
      </c>
    </row>
    <row r="270" ht="12.75" customHeight="1" spans="2:9">
      <c r="B270" s="3274">
        <v>258</v>
      </c>
      <c r="D270" s="3297" t="s">
        <v>2823</v>
      </c>
      <c r="E270" s="3298" t="s">
        <v>2824</v>
      </c>
      <c r="F270" s="3298" t="s">
        <v>2367</v>
      </c>
      <c r="G270" s="3278">
        <v>18000.4</v>
      </c>
      <c r="H270" s="3299">
        <v>0</v>
      </c>
      <c r="I270" s="3278">
        <v>0</v>
      </c>
    </row>
    <row r="271" ht="12.75" customHeight="1" spans="2:9">
      <c r="B271" s="3274">
        <v>259</v>
      </c>
      <c r="D271" s="3297" t="s">
        <v>2825</v>
      </c>
      <c r="E271" s="3298" t="s">
        <v>2826</v>
      </c>
      <c r="F271" s="3298" t="s">
        <v>2367</v>
      </c>
      <c r="G271" s="3278">
        <v>68750</v>
      </c>
      <c r="H271" s="3299">
        <v>0</v>
      </c>
      <c r="I271" s="3278">
        <v>0</v>
      </c>
    </row>
    <row r="272" ht="12.75" customHeight="1" spans="2:9">
      <c r="B272" s="3274">
        <v>260</v>
      </c>
      <c r="D272" s="3297" t="s">
        <v>2827</v>
      </c>
      <c r="E272" s="3298" t="s">
        <v>2828</v>
      </c>
      <c r="F272" s="3298" t="s">
        <v>2299</v>
      </c>
      <c r="G272" s="3278">
        <v>44000</v>
      </c>
      <c r="H272" s="3299">
        <v>0</v>
      </c>
      <c r="I272" s="3278">
        <v>0</v>
      </c>
    </row>
    <row r="273" ht="12.75" customHeight="1" spans="2:9">
      <c r="B273" s="3274">
        <v>261</v>
      </c>
      <c r="D273" s="3297" t="s">
        <v>2829</v>
      </c>
      <c r="E273" s="3298" t="s">
        <v>2830</v>
      </c>
      <c r="F273" s="3298" t="s">
        <v>2299</v>
      </c>
      <c r="G273" s="3278">
        <v>148500</v>
      </c>
      <c r="H273" s="3299">
        <v>0</v>
      </c>
      <c r="I273" s="3278">
        <v>0</v>
      </c>
    </row>
    <row r="274" ht="12.75" customHeight="1" spans="2:9">
      <c r="B274" s="3274">
        <v>262</v>
      </c>
      <c r="D274" s="3297" t="s">
        <v>2831</v>
      </c>
      <c r="E274" s="3298" t="s">
        <v>2832</v>
      </c>
      <c r="F274" s="3298" t="s">
        <v>2299</v>
      </c>
      <c r="G274" s="3278">
        <v>106250.001</v>
      </c>
      <c r="H274" s="3299">
        <v>0</v>
      </c>
      <c r="I274" s="3278">
        <v>0</v>
      </c>
    </row>
    <row r="275" ht="12.75" customHeight="1" spans="2:9">
      <c r="B275" s="3274">
        <v>263</v>
      </c>
      <c r="D275" s="3297" t="s">
        <v>2833</v>
      </c>
      <c r="E275" s="3298" t="s">
        <v>2834</v>
      </c>
      <c r="F275" s="3298" t="s">
        <v>2299</v>
      </c>
      <c r="G275" s="3278">
        <v>148500</v>
      </c>
      <c r="H275" s="3299">
        <v>0</v>
      </c>
      <c r="I275" s="3278">
        <v>0</v>
      </c>
    </row>
    <row r="276" ht="12.75" customHeight="1" spans="2:9">
      <c r="B276" s="3274">
        <v>264</v>
      </c>
      <c r="D276" s="3297" t="s">
        <v>2835</v>
      </c>
      <c r="E276" s="3298" t="s">
        <v>2836</v>
      </c>
      <c r="F276" s="3298" t="s">
        <v>2299</v>
      </c>
      <c r="G276" s="3278">
        <v>148500</v>
      </c>
      <c r="H276" s="3299">
        <v>0</v>
      </c>
      <c r="I276" s="3278">
        <v>0</v>
      </c>
    </row>
    <row r="277" ht="12.75" customHeight="1" spans="2:9">
      <c r="B277" s="3274">
        <v>265</v>
      </c>
      <c r="D277" s="3297" t="s">
        <v>2837</v>
      </c>
      <c r="E277" s="3298" t="s">
        <v>2838</v>
      </c>
      <c r="F277" s="3298" t="s">
        <v>2299</v>
      </c>
      <c r="G277" s="3278">
        <v>55562.1</v>
      </c>
      <c r="H277" s="3299">
        <v>0</v>
      </c>
      <c r="I277" s="3278">
        <v>0</v>
      </c>
    </row>
    <row r="278" ht="12.75" customHeight="1" spans="2:9">
      <c r="B278" s="3274">
        <v>266</v>
      </c>
      <c r="D278" s="3297" t="s">
        <v>2839</v>
      </c>
      <c r="E278" s="3298" t="s">
        <v>2840</v>
      </c>
      <c r="F278" s="3298" t="s">
        <v>2314</v>
      </c>
      <c r="G278" s="3278">
        <v>60506.05</v>
      </c>
      <c r="H278" s="3299">
        <v>0</v>
      </c>
      <c r="I278" s="3278">
        <v>0</v>
      </c>
    </row>
    <row r="279" ht="12.75" customHeight="1" spans="2:9">
      <c r="B279" s="3274">
        <v>267</v>
      </c>
      <c r="D279" s="3297" t="s">
        <v>2841</v>
      </c>
      <c r="E279" s="3298" t="s">
        <v>2842</v>
      </c>
      <c r="F279" s="3298" t="s">
        <v>2843</v>
      </c>
      <c r="G279" s="3278">
        <v>770000</v>
      </c>
      <c r="H279" s="3299">
        <v>0</v>
      </c>
      <c r="I279" s="3278">
        <v>0</v>
      </c>
    </row>
    <row r="280" ht="12.75" customHeight="1" spans="2:9">
      <c r="B280" s="3274">
        <v>268</v>
      </c>
      <c r="D280" s="3297" t="s">
        <v>2844</v>
      </c>
      <c r="E280" s="3298" t="s">
        <v>2845</v>
      </c>
      <c r="F280" s="3298" t="s">
        <v>2293</v>
      </c>
      <c r="G280" s="3278">
        <v>23333.331</v>
      </c>
      <c r="H280" s="3299">
        <v>66</v>
      </c>
      <c r="I280" s="3278">
        <v>1539999.846</v>
      </c>
    </row>
    <row r="281" ht="12.75" customHeight="1" spans="2:9">
      <c r="B281" s="3274">
        <v>269</v>
      </c>
      <c r="D281" s="3297" t="s">
        <v>2846</v>
      </c>
      <c r="E281" s="3298" t="s">
        <v>2847</v>
      </c>
      <c r="F281" s="3298" t="s">
        <v>2314</v>
      </c>
      <c r="G281" s="3278">
        <v>33000</v>
      </c>
      <c r="H281" s="3299">
        <v>0</v>
      </c>
      <c r="I281" s="3278">
        <v>0</v>
      </c>
    </row>
    <row r="282" ht="12.75" customHeight="1" spans="2:9">
      <c r="B282" s="3274">
        <v>270</v>
      </c>
      <c r="D282" s="3297" t="s">
        <v>2848</v>
      </c>
      <c r="E282" s="3298" t="s">
        <v>2849</v>
      </c>
      <c r="F282" s="3298" t="s">
        <v>2299</v>
      </c>
      <c r="G282" s="3278">
        <v>638</v>
      </c>
      <c r="H282" s="3299">
        <v>0</v>
      </c>
      <c r="I282" s="3278">
        <v>0</v>
      </c>
    </row>
    <row r="283" ht="12.75" customHeight="1" spans="2:9">
      <c r="B283" s="3274">
        <v>271</v>
      </c>
      <c r="D283" s="3297" t="s">
        <v>2850</v>
      </c>
      <c r="E283" s="3298" t="s">
        <v>2851</v>
      </c>
      <c r="F283" s="3298" t="s">
        <v>2391</v>
      </c>
      <c r="G283" s="3278">
        <v>21780</v>
      </c>
      <c r="H283" s="3299">
        <v>0</v>
      </c>
      <c r="I283" s="3278">
        <v>0</v>
      </c>
    </row>
    <row r="284" ht="12.75" customHeight="1" spans="2:9">
      <c r="B284" s="3274">
        <v>272</v>
      </c>
      <c r="D284" s="3297" t="s">
        <v>2852</v>
      </c>
      <c r="E284" s="3298" t="s">
        <v>2853</v>
      </c>
      <c r="F284" s="3298" t="s">
        <v>2299</v>
      </c>
      <c r="G284" s="3278">
        <v>55562.1</v>
      </c>
      <c r="H284" s="3299">
        <v>0</v>
      </c>
      <c r="I284" s="3278">
        <v>0</v>
      </c>
    </row>
    <row r="285" ht="12.75" customHeight="1" spans="2:9">
      <c r="B285" s="3274">
        <v>273</v>
      </c>
      <c r="D285" s="3297" t="s">
        <v>2854</v>
      </c>
      <c r="E285" s="3298" t="s">
        <v>2855</v>
      </c>
      <c r="F285" s="3298" t="s">
        <v>2314</v>
      </c>
      <c r="G285" s="3278">
        <v>5800.003</v>
      </c>
      <c r="H285" s="3299">
        <v>0</v>
      </c>
      <c r="I285" s="3278">
        <v>0</v>
      </c>
    </row>
    <row r="286" ht="12.75" customHeight="1" spans="2:9">
      <c r="B286" s="3274">
        <v>274</v>
      </c>
      <c r="D286" s="3297" t="s">
        <v>2856</v>
      </c>
      <c r="E286" s="3298" t="s">
        <v>2857</v>
      </c>
      <c r="F286" s="3298" t="s">
        <v>2367</v>
      </c>
      <c r="G286" s="3278">
        <v>55562.1</v>
      </c>
      <c r="H286" s="3299">
        <v>12</v>
      </c>
      <c r="I286" s="3278">
        <v>666745.2</v>
      </c>
    </row>
    <row r="287" ht="12.75" customHeight="1" spans="2:9">
      <c r="B287" s="3274">
        <v>275</v>
      </c>
      <c r="D287" s="3297" t="s">
        <v>2858</v>
      </c>
      <c r="E287" s="3298" t="s">
        <v>2859</v>
      </c>
      <c r="F287" s="3298" t="s">
        <v>2299</v>
      </c>
      <c r="G287" s="3278">
        <v>35076.8</v>
      </c>
      <c r="H287" s="3299">
        <v>0</v>
      </c>
      <c r="I287" s="3278">
        <v>0</v>
      </c>
    </row>
    <row r="288" ht="12.75" customHeight="1" spans="2:9">
      <c r="B288" s="3274">
        <v>276</v>
      </c>
      <c r="D288" s="3297" t="s">
        <v>2860</v>
      </c>
      <c r="E288" s="3298" t="s">
        <v>2861</v>
      </c>
      <c r="F288" s="3298" t="s">
        <v>2367</v>
      </c>
      <c r="G288" s="3278">
        <v>33000</v>
      </c>
      <c r="H288" s="3299">
        <v>0</v>
      </c>
      <c r="I288" s="3278">
        <v>0</v>
      </c>
    </row>
    <row r="289" ht="12.75" customHeight="1" spans="2:9">
      <c r="B289" s="3274">
        <v>277</v>
      </c>
      <c r="D289" s="3297" t="s">
        <v>2862</v>
      </c>
      <c r="E289" s="3298" t="s">
        <v>2863</v>
      </c>
      <c r="F289" s="3298" t="s">
        <v>2367</v>
      </c>
      <c r="G289" s="3278">
        <v>29324.9</v>
      </c>
      <c r="H289" s="3299">
        <v>0</v>
      </c>
      <c r="I289" s="3278">
        <v>0</v>
      </c>
    </row>
    <row r="290" ht="12.75" customHeight="1" spans="2:9">
      <c r="B290" s="3274">
        <v>278</v>
      </c>
      <c r="D290" s="3297" t="s">
        <v>2864</v>
      </c>
      <c r="E290" s="3298" t="s">
        <v>2865</v>
      </c>
      <c r="F290" s="3298" t="s">
        <v>2367</v>
      </c>
      <c r="G290" s="3278">
        <v>39710</v>
      </c>
      <c r="H290" s="3299">
        <v>0</v>
      </c>
      <c r="I290" s="3278">
        <v>0</v>
      </c>
    </row>
    <row r="291" ht="12.75" customHeight="1" spans="2:9">
      <c r="B291" s="3274">
        <v>279</v>
      </c>
      <c r="D291" s="3297" t="s">
        <v>2866</v>
      </c>
      <c r="E291" s="3298" t="s">
        <v>2867</v>
      </c>
      <c r="F291" s="3298" t="s">
        <v>2367</v>
      </c>
      <c r="G291" s="3278">
        <v>40040</v>
      </c>
      <c r="H291" s="3299">
        <v>0</v>
      </c>
      <c r="I291" s="3278">
        <v>0</v>
      </c>
    </row>
    <row r="292" ht="12.75" customHeight="1" spans="2:9">
      <c r="B292" s="3274">
        <v>280</v>
      </c>
      <c r="D292" s="3297" t="s">
        <v>2868</v>
      </c>
      <c r="E292" s="3298" t="s">
        <v>2869</v>
      </c>
      <c r="F292" s="3298" t="s">
        <v>2299</v>
      </c>
      <c r="G292" s="3278">
        <v>11495</v>
      </c>
      <c r="H292" s="3299">
        <v>0</v>
      </c>
      <c r="I292" s="3278">
        <v>0</v>
      </c>
    </row>
    <row r="293" ht="12.75" customHeight="1" spans="2:9">
      <c r="B293" s="3274">
        <v>281</v>
      </c>
      <c r="D293" s="3297" t="s">
        <v>2870</v>
      </c>
      <c r="E293" s="3298" t="s">
        <v>2871</v>
      </c>
      <c r="F293" s="3298" t="s">
        <v>2457</v>
      </c>
      <c r="G293" s="3278">
        <v>23549.999</v>
      </c>
      <c r="H293" s="3299">
        <v>0</v>
      </c>
      <c r="I293" s="3278">
        <v>0</v>
      </c>
    </row>
    <row r="294" ht="12.75" customHeight="1" spans="2:9">
      <c r="B294" s="3274">
        <v>282</v>
      </c>
      <c r="D294" s="3297" t="s">
        <v>2872</v>
      </c>
      <c r="E294" s="3298" t="s">
        <v>2873</v>
      </c>
      <c r="F294" s="3298" t="s">
        <v>2472</v>
      </c>
      <c r="G294" s="3278">
        <v>90000</v>
      </c>
      <c r="H294" s="3299">
        <v>0</v>
      </c>
      <c r="I294" s="3278">
        <v>0</v>
      </c>
    </row>
    <row r="295" ht="12.75" customHeight="1" spans="2:9">
      <c r="B295" s="3274">
        <v>283</v>
      </c>
      <c r="D295" s="3297" t="s">
        <v>2874</v>
      </c>
      <c r="E295" s="3298" t="s">
        <v>2875</v>
      </c>
      <c r="F295" s="3298" t="s">
        <v>2472</v>
      </c>
      <c r="G295" s="3278">
        <v>70000</v>
      </c>
      <c r="H295" s="3299">
        <v>0</v>
      </c>
      <c r="I295" s="3278">
        <v>0</v>
      </c>
    </row>
    <row r="296" ht="12.75" customHeight="1" spans="2:9">
      <c r="B296" s="3274">
        <v>284</v>
      </c>
      <c r="D296" s="3297" t="s">
        <v>2876</v>
      </c>
      <c r="E296" s="3298" t="s">
        <v>2877</v>
      </c>
      <c r="F296" s="3298" t="s">
        <v>2299</v>
      </c>
      <c r="G296" s="3278">
        <v>24750</v>
      </c>
      <c r="H296" s="3299">
        <v>0</v>
      </c>
      <c r="I296" s="3278">
        <v>0</v>
      </c>
    </row>
    <row r="297" ht="12.75" customHeight="1" spans="2:9">
      <c r="B297" s="3274">
        <v>285</v>
      </c>
      <c r="D297" s="3297" t="s">
        <v>2878</v>
      </c>
      <c r="E297" s="3298" t="s">
        <v>2879</v>
      </c>
      <c r="F297" s="3298" t="s">
        <v>2299</v>
      </c>
      <c r="G297" s="3278">
        <v>59400</v>
      </c>
      <c r="H297" s="3299">
        <v>100</v>
      </c>
      <c r="I297" s="3278">
        <v>5940000</v>
      </c>
    </row>
    <row r="298" ht="12.75" customHeight="1" spans="2:9">
      <c r="B298" s="3274">
        <v>286</v>
      </c>
      <c r="D298" s="3297" t="s">
        <v>2880</v>
      </c>
      <c r="E298" s="3298" t="s">
        <v>2881</v>
      </c>
      <c r="F298" s="3298" t="s">
        <v>2299</v>
      </c>
      <c r="G298" s="3278">
        <v>57475</v>
      </c>
      <c r="H298" s="3299">
        <v>0</v>
      </c>
      <c r="I298" s="3278">
        <v>0</v>
      </c>
    </row>
    <row r="299" ht="12.75" customHeight="1" spans="2:9">
      <c r="B299" s="3274">
        <v>287</v>
      </c>
      <c r="D299" s="3297" t="s">
        <v>2882</v>
      </c>
      <c r="E299" s="3298" t="s">
        <v>2883</v>
      </c>
      <c r="F299" s="3298" t="s">
        <v>2299</v>
      </c>
      <c r="G299" s="3278">
        <v>3025</v>
      </c>
      <c r="H299" s="3299">
        <v>0</v>
      </c>
      <c r="I299" s="3278">
        <v>0</v>
      </c>
    </row>
    <row r="300" ht="12.75" customHeight="1" spans="2:9">
      <c r="B300" s="3274">
        <v>288</v>
      </c>
      <c r="D300" s="3297" t="s">
        <v>2884</v>
      </c>
      <c r="E300" s="3298" t="s">
        <v>2885</v>
      </c>
      <c r="F300" s="3298" t="s">
        <v>2367</v>
      </c>
      <c r="G300" s="3278">
        <v>2860</v>
      </c>
      <c r="H300" s="3299">
        <v>0</v>
      </c>
      <c r="I300" s="3278">
        <v>0</v>
      </c>
    </row>
    <row r="301" ht="12.75" customHeight="1" spans="2:9">
      <c r="B301" s="3274">
        <v>289</v>
      </c>
      <c r="D301" s="3297" t="s">
        <v>2886</v>
      </c>
      <c r="E301" s="3298" t="s">
        <v>2887</v>
      </c>
      <c r="F301" s="3298" t="s">
        <v>2299</v>
      </c>
      <c r="G301" s="3278">
        <v>6600</v>
      </c>
      <c r="H301" s="3299">
        <v>0</v>
      </c>
      <c r="I301" s="3278">
        <v>0</v>
      </c>
    </row>
    <row r="302" ht="12.75" customHeight="1" spans="2:9">
      <c r="B302" s="3274">
        <v>290</v>
      </c>
      <c r="D302" s="3297" t="s">
        <v>2888</v>
      </c>
      <c r="E302" s="3298" t="s">
        <v>2889</v>
      </c>
      <c r="F302" s="3298" t="s">
        <v>2299</v>
      </c>
      <c r="G302" s="3278">
        <v>2915</v>
      </c>
      <c r="H302" s="3299">
        <v>0</v>
      </c>
      <c r="I302" s="3278">
        <v>0</v>
      </c>
    </row>
    <row r="303" ht="12.75" customHeight="1" spans="2:9">
      <c r="B303" s="3274">
        <v>291</v>
      </c>
      <c r="D303" s="3297" t="s">
        <v>2890</v>
      </c>
      <c r="E303" s="3298" t="s">
        <v>2891</v>
      </c>
      <c r="F303" s="3298" t="s">
        <v>2299</v>
      </c>
      <c r="G303" s="3278">
        <v>8250</v>
      </c>
      <c r="H303" s="3299">
        <v>50</v>
      </c>
      <c r="I303" s="3278">
        <v>412500</v>
      </c>
    </row>
    <row r="304" ht="12.75" customHeight="1" spans="2:9">
      <c r="B304" s="3274">
        <v>292</v>
      </c>
      <c r="D304" s="3297" t="s">
        <v>2892</v>
      </c>
      <c r="E304" s="3298" t="s">
        <v>2893</v>
      </c>
      <c r="F304" s="3298" t="s">
        <v>2299</v>
      </c>
      <c r="G304" s="3278">
        <v>2783</v>
      </c>
      <c r="H304" s="3299">
        <v>500</v>
      </c>
      <c r="I304" s="3278">
        <v>1391500</v>
      </c>
    </row>
    <row r="305" ht="12.75" customHeight="1" spans="2:9">
      <c r="B305" s="3274">
        <v>293</v>
      </c>
      <c r="D305" s="3297" t="s">
        <v>2894</v>
      </c>
      <c r="E305" s="3298" t="s">
        <v>2895</v>
      </c>
      <c r="F305" s="3298" t="s">
        <v>2299</v>
      </c>
      <c r="G305" s="3278">
        <v>3080</v>
      </c>
      <c r="H305" s="3299">
        <v>0</v>
      </c>
      <c r="I305" s="3278">
        <v>0</v>
      </c>
    </row>
    <row r="306" ht="12.75" customHeight="1" spans="2:9">
      <c r="B306" s="3274">
        <v>294</v>
      </c>
      <c r="D306" s="3297" t="s">
        <v>2896</v>
      </c>
      <c r="E306" s="3298" t="s">
        <v>2897</v>
      </c>
      <c r="F306" s="3298" t="s">
        <v>2299</v>
      </c>
      <c r="G306" s="3278">
        <v>3002.353</v>
      </c>
      <c r="H306" s="3299">
        <v>0</v>
      </c>
      <c r="I306" s="3278">
        <v>0</v>
      </c>
    </row>
    <row r="307" ht="12.75" customHeight="1" spans="2:9">
      <c r="B307" s="3274">
        <v>295</v>
      </c>
      <c r="D307" s="3297" t="s">
        <v>2898</v>
      </c>
      <c r="E307" s="3298" t="s">
        <v>2899</v>
      </c>
      <c r="F307" s="3298" t="s">
        <v>2367</v>
      </c>
      <c r="G307" s="3278">
        <v>19822</v>
      </c>
      <c r="H307" s="3299">
        <v>0</v>
      </c>
      <c r="I307" s="3278">
        <v>0</v>
      </c>
    </row>
    <row r="308" ht="12.75" customHeight="1" spans="2:9">
      <c r="B308" s="3274">
        <v>296</v>
      </c>
      <c r="D308" s="3297" t="s">
        <v>2900</v>
      </c>
      <c r="E308" s="3298" t="s">
        <v>2901</v>
      </c>
      <c r="F308" s="3298" t="s">
        <v>2367</v>
      </c>
      <c r="G308" s="3278">
        <v>44000</v>
      </c>
      <c r="H308" s="3299">
        <v>40</v>
      </c>
      <c r="I308" s="3278">
        <v>1760000</v>
      </c>
    </row>
    <row r="309" ht="12.75" customHeight="1" spans="2:9">
      <c r="B309" s="3274">
        <v>297</v>
      </c>
      <c r="D309" s="3297" t="s">
        <v>2902</v>
      </c>
      <c r="E309" s="3298" t="s">
        <v>2903</v>
      </c>
      <c r="F309" s="3298" t="s">
        <v>2299</v>
      </c>
      <c r="G309" s="3278">
        <v>2480.5</v>
      </c>
      <c r="H309" s="3299">
        <v>0</v>
      </c>
      <c r="I309" s="3278">
        <v>0</v>
      </c>
    </row>
    <row r="310" ht="12.75" customHeight="1" spans="2:9">
      <c r="B310" s="3274">
        <v>298</v>
      </c>
      <c r="D310" s="3297" t="s">
        <v>2904</v>
      </c>
      <c r="E310" s="3298" t="s">
        <v>2905</v>
      </c>
      <c r="F310" s="3298" t="s">
        <v>2367</v>
      </c>
      <c r="G310" s="3278">
        <v>13750</v>
      </c>
      <c r="H310" s="3299">
        <v>0</v>
      </c>
      <c r="I310" s="3278">
        <v>0</v>
      </c>
    </row>
    <row r="311" ht="12.75" customHeight="1" spans="2:9">
      <c r="B311" s="3274">
        <v>299</v>
      </c>
      <c r="D311" s="3297" t="s">
        <v>2906</v>
      </c>
      <c r="E311" s="3298" t="s">
        <v>2907</v>
      </c>
      <c r="F311" s="3298" t="s">
        <v>2293</v>
      </c>
      <c r="G311" s="3278">
        <v>19800</v>
      </c>
      <c r="H311" s="3299">
        <v>0</v>
      </c>
      <c r="I311" s="3278">
        <v>0</v>
      </c>
    </row>
    <row r="312" ht="12.75" customHeight="1" spans="2:9">
      <c r="B312" s="3274">
        <v>300</v>
      </c>
      <c r="D312" s="3297" t="s">
        <v>2908</v>
      </c>
      <c r="E312" s="3298" t="s">
        <v>2909</v>
      </c>
      <c r="F312" s="3298" t="s">
        <v>2299</v>
      </c>
      <c r="G312" s="3278">
        <v>19800</v>
      </c>
      <c r="H312" s="3299">
        <v>0</v>
      </c>
      <c r="I312" s="3278">
        <v>0</v>
      </c>
    </row>
    <row r="313" ht="12.75" customHeight="1" spans="2:9">
      <c r="B313" s="3274">
        <v>301</v>
      </c>
      <c r="D313" s="3297" t="s">
        <v>2910</v>
      </c>
      <c r="E313" s="3298" t="s">
        <v>2911</v>
      </c>
      <c r="F313" s="3298" t="s">
        <v>2299</v>
      </c>
      <c r="G313" s="3278">
        <v>19800</v>
      </c>
      <c r="H313" s="3299">
        <v>0</v>
      </c>
      <c r="I313" s="3278">
        <v>0</v>
      </c>
    </row>
    <row r="314" ht="12.75" customHeight="1" spans="2:9">
      <c r="B314" s="3274">
        <v>302</v>
      </c>
      <c r="D314" s="3297" t="s">
        <v>2912</v>
      </c>
      <c r="E314" s="3298" t="s">
        <v>2913</v>
      </c>
      <c r="F314" s="3298" t="s">
        <v>2299</v>
      </c>
      <c r="G314" s="3278">
        <v>8800</v>
      </c>
      <c r="H314" s="3299">
        <v>21</v>
      </c>
      <c r="I314" s="3278">
        <v>184800</v>
      </c>
    </row>
    <row r="315" ht="12.75" customHeight="1" spans="2:9">
      <c r="B315" s="3274">
        <v>303</v>
      </c>
      <c r="D315" s="3297" t="s">
        <v>2914</v>
      </c>
      <c r="E315" s="3298" t="s">
        <v>2915</v>
      </c>
      <c r="F315" s="3298" t="s">
        <v>2299</v>
      </c>
      <c r="G315" s="3278">
        <v>7700</v>
      </c>
      <c r="H315" s="3299">
        <v>7</v>
      </c>
      <c r="I315" s="3278">
        <v>53900</v>
      </c>
    </row>
    <row r="316" ht="12.75" customHeight="1" spans="2:9">
      <c r="B316" s="3274">
        <v>304</v>
      </c>
      <c r="D316" s="3297" t="s">
        <v>2916</v>
      </c>
      <c r="E316" s="3298" t="s">
        <v>2917</v>
      </c>
      <c r="F316" s="3298" t="s">
        <v>2299</v>
      </c>
      <c r="G316" s="3278">
        <v>9680</v>
      </c>
      <c r="H316" s="3299">
        <v>0</v>
      </c>
      <c r="I316" s="3278">
        <v>0</v>
      </c>
    </row>
    <row r="317" ht="12.75" customHeight="1" spans="2:9">
      <c r="B317" s="3274">
        <v>305</v>
      </c>
      <c r="D317" s="3297" t="s">
        <v>2918</v>
      </c>
      <c r="E317" s="3298" t="s">
        <v>2919</v>
      </c>
      <c r="F317" s="3298" t="s">
        <v>2299</v>
      </c>
      <c r="G317" s="3278">
        <v>9680</v>
      </c>
      <c r="H317" s="3299">
        <v>0</v>
      </c>
      <c r="I317" s="3278">
        <v>0</v>
      </c>
    </row>
    <row r="318" ht="12.75" customHeight="1" spans="2:9">
      <c r="B318" s="3274">
        <v>306</v>
      </c>
      <c r="D318" s="3297" t="s">
        <v>2920</v>
      </c>
      <c r="E318" s="3298" t="s">
        <v>2921</v>
      </c>
      <c r="F318" s="3298" t="s">
        <v>2299</v>
      </c>
      <c r="G318" s="3278">
        <v>8712</v>
      </c>
      <c r="H318" s="3299">
        <v>80</v>
      </c>
      <c r="I318" s="3278">
        <v>696960</v>
      </c>
    </row>
    <row r="319" ht="12.75" customHeight="1" spans="2:9">
      <c r="B319" s="3274">
        <v>307</v>
      </c>
      <c r="D319" s="3297" t="s">
        <v>2922</v>
      </c>
      <c r="E319" s="3298" t="s">
        <v>2923</v>
      </c>
      <c r="F319" s="3298" t="s">
        <v>2299</v>
      </c>
      <c r="G319" s="3278">
        <v>145200</v>
      </c>
      <c r="H319" s="3299">
        <v>0</v>
      </c>
      <c r="I319" s="3278">
        <v>0</v>
      </c>
    </row>
    <row r="320" ht="12.75" customHeight="1" spans="2:9">
      <c r="B320" s="3274">
        <v>308</v>
      </c>
      <c r="D320" s="3297" t="s">
        <v>2924</v>
      </c>
      <c r="E320" s="3298" t="s">
        <v>2925</v>
      </c>
      <c r="F320" s="3298" t="s">
        <v>2299</v>
      </c>
      <c r="G320" s="3278">
        <v>192500</v>
      </c>
      <c r="H320" s="3299">
        <v>0</v>
      </c>
      <c r="I320" s="3278">
        <v>0</v>
      </c>
    </row>
    <row r="321" ht="12.75" customHeight="1" spans="2:9">
      <c r="B321" s="3274">
        <v>309</v>
      </c>
      <c r="D321" s="3297" t="s">
        <v>2926</v>
      </c>
      <c r="E321" s="3298" t="s">
        <v>2927</v>
      </c>
      <c r="F321" s="3298" t="s">
        <v>2367</v>
      </c>
      <c r="G321" s="3278">
        <v>46200</v>
      </c>
      <c r="H321" s="3299">
        <v>0</v>
      </c>
      <c r="I321" s="3278">
        <v>0</v>
      </c>
    </row>
    <row r="322" ht="12.75" customHeight="1" spans="2:9">
      <c r="B322" s="3274">
        <v>310</v>
      </c>
      <c r="D322" s="3297" t="s">
        <v>2928</v>
      </c>
      <c r="E322" s="3298" t="s">
        <v>2929</v>
      </c>
      <c r="F322" s="3298" t="s">
        <v>2367</v>
      </c>
      <c r="G322" s="3278">
        <v>214500</v>
      </c>
      <c r="H322" s="3299">
        <v>0</v>
      </c>
      <c r="I322" s="3278">
        <v>0</v>
      </c>
    </row>
    <row r="323" ht="12.75" customHeight="1" spans="2:9">
      <c r="B323" s="3274">
        <v>311</v>
      </c>
      <c r="D323" s="3297" t="s">
        <v>2930</v>
      </c>
      <c r="E323" s="3298" t="s">
        <v>2931</v>
      </c>
      <c r="F323" s="3298" t="s">
        <v>2388</v>
      </c>
      <c r="G323" s="3278">
        <v>12017.5</v>
      </c>
      <c r="H323" s="3299">
        <v>0</v>
      </c>
      <c r="I323" s="3278">
        <v>0</v>
      </c>
    </row>
    <row r="324" ht="12.75" customHeight="1" spans="2:9">
      <c r="B324" s="3274">
        <v>312</v>
      </c>
      <c r="D324" s="3297" t="s">
        <v>2932</v>
      </c>
      <c r="E324" s="3298" t="s">
        <v>2933</v>
      </c>
      <c r="F324" s="3298" t="s">
        <v>2367</v>
      </c>
      <c r="G324" s="3278">
        <v>13640</v>
      </c>
      <c r="H324" s="3299">
        <v>0</v>
      </c>
      <c r="I324" s="3278">
        <v>0</v>
      </c>
    </row>
    <row r="325" ht="12.75" customHeight="1" spans="2:9">
      <c r="B325" s="3274">
        <v>313</v>
      </c>
      <c r="D325" s="3297" t="s">
        <v>2934</v>
      </c>
      <c r="E325" s="3298" t="s">
        <v>2935</v>
      </c>
      <c r="F325" s="3298" t="s">
        <v>2388</v>
      </c>
      <c r="G325" s="3278">
        <v>48400</v>
      </c>
      <c r="H325" s="3299">
        <v>0</v>
      </c>
      <c r="I325" s="3278">
        <v>0</v>
      </c>
    </row>
    <row r="326" ht="12.75" customHeight="1" spans="2:9">
      <c r="B326" s="3274">
        <v>314</v>
      </c>
      <c r="D326" s="3297" t="s">
        <v>2936</v>
      </c>
      <c r="E326" s="3298" t="s">
        <v>2937</v>
      </c>
      <c r="F326" s="3298" t="s">
        <v>2418</v>
      </c>
      <c r="G326" s="3278">
        <v>69615.7</v>
      </c>
      <c r="H326" s="3299">
        <v>0</v>
      </c>
      <c r="I326" s="3278">
        <v>0</v>
      </c>
    </row>
    <row r="327" ht="12.75" customHeight="1" spans="2:9">
      <c r="B327" s="3274">
        <v>315</v>
      </c>
      <c r="D327" s="3297" t="s">
        <v>2938</v>
      </c>
      <c r="E327" s="3298" t="s">
        <v>2939</v>
      </c>
      <c r="F327" s="3298" t="s">
        <v>2418</v>
      </c>
      <c r="G327" s="3278">
        <v>128700</v>
      </c>
      <c r="H327" s="3299">
        <v>0</v>
      </c>
      <c r="I327" s="3278">
        <v>0</v>
      </c>
    </row>
    <row r="328" ht="12.75" customHeight="1" spans="2:9">
      <c r="B328" s="3274">
        <v>316</v>
      </c>
      <c r="D328" s="3297" t="s">
        <v>2940</v>
      </c>
      <c r="E328" s="3298" t="s">
        <v>2941</v>
      </c>
      <c r="F328" s="3298" t="s">
        <v>2418</v>
      </c>
      <c r="G328" s="3278">
        <v>77000</v>
      </c>
      <c r="H328" s="3299">
        <v>0</v>
      </c>
      <c r="I328" s="3278">
        <v>0</v>
      </c>
    </row>
    <row r="329" ht="12.75" customHeight="1" spans="2:9">
      <c r="B329" s="3274">
        <v>317</v>
      </c>
      <c r="D329" s="3297" t="s">
        <v>2942</v>
      </c>
      <c r="E329" s="3298" t="s">
        <v>2943</v>
      </c>
      <c r="F329" s="3298" t="s">
        <v>2299</v>
      </c>
      <c r="G329" s="3278">
        <v>26400</v>
      </c>
      <c r="H329" s="3299">
        <v>20</v>
      </c>
      <c r="I329" s="3278">
        <v>528000</v>
      </c>
    </row>
    <row r="330" ht="12.75" customHeight="1" spans="2:9">
      <c r="B330" s="3274">
        <v>318</v>
      </c>
      <c r="D330" s="3297" t="s">
        <v>2944</v>
      </c>
      <c r="E330" s="3298" t="s">
        <v>2945</v>
      </c>
      <c r="F330" s="3298" t="s">
        <v>2367</v>
      </c>
      <c r="G330" s="3278">
        <v>10692</v>
      </c>
      <c r="H330" s="3299">
        <v>0</v>
      </c>
      <c r="I330" s="3278">
        <v>0</v>
      </c>
    </row>
    <row r="331" ht="12.75" customHeight="1" spans="2:9">
      <c r="B331" s="3274">
        <v>319</v>
      </c>
      <c r="D331" s="3297" t="s">
        <v>2946</v>
      </c>
      <c r="E331" s="3298" t="s">
        <v>2947</v>
      </c>
      <c r="F331" s="3298" t="s">
        <v>2299</v>
      </c>
      <c r="G331" s="3278">
        <v>548625</v>
      </c>
      <c r="H331" s="3299">
        <v>1</v>
      </c>
      <c r="I331" s="3278">
        <v>548625</v>
      </c>
    </row>
    <row r="332" ht="12.75" customHeight="1" spans="2:9">
      <c r="B332" s="3274">
        <v>320</v>
      </c>
      <c r="D332" s="3297" t="s">
        <v>2948</v>
      </c>
      <c r="E332" s="3298" t="s">
        <v>2949</v>
      </c>
      <c r="F332" s="3298" t="s">
        <v>2299</v>
      </c>
      <c r="G332" s="3278">
        <v>732.6</v>
      </c>
      <c r="H332" s="3299">
        <v>550</v>
      </c>
      <c r="I332" s="3278">
        <v>402930</v>
      </c>
    </row>
    <row r="333" ht="12.75" customHeight="1" spans="2:9">
      <c r="B333" s="3274">
        <v>321</v>
      </c>
      <c r="D333" s="3297" t="s">
        <v>2950</v>
      </c>
      <c r="E333" s="3298" t="s">
        <v>2951</v>
      </c>
      <c r="F333" s="3298" t="s">
        <v>2299</v>
      </c>
      <c r="G333" s="3278">
        <v>165006.6</v>
      </c>
      <c r="H333" s="3299">
        <v>0</v>
      </c>
      <c r="I333" s="3278">
        <v>0</v>
      </c>
    </row>
    <row r="334" ht="12.75" customHeight="1" spans="2:9">
      <c r="B334" s="3274">
        <v>322</v>
      </c>
      <c r="D334" s="3297" t="s">
        <v>2952</v>
      </c>
      <c r="E334" s="3298" t="s">
        <v>2953</v>
      </c>
      <c r="F334" s="3298" t="s">
        <v>2388</v>
      </c>
      <c r="G334" s="3278">
        <v>660</v>
      </c>
      <c r="H334" s="3299">
        <v>1100</v>
      </c>
      <c r="I334" s="3278">
        <v>726000</v>
      </c>
    </row>
    <row r="335" ht="12.75" customHeight="1" spans="2:9">
      <c r="B335" s="3274">
        <v>323</v>
      </c>
      <c r="D335" s="3297" t="s">
        <v>2954</v>
      </c>
      <c r="E335" s="3298" t="s">
        <v>2955</v>
      </c>
      <c r="F335" s="3298" t="s">
        <v>2367</v>
      </c>
      <c r="G335" s="3278">
        <v>1760</v>
      </c>
      <c r="H335" s="3299">
        <v>50</v>
      </c>
      <c r="I335" s="3278">
        <v>88000</v>
      </c>
    </row>
    <row r="336" ht="12.75" customHeight="1" spans="2:9">
      <c r="B336" s="3274">
        <v>324</v>
      </c>
      <c r="D336" s="3297" t="s">
        <v>2956</v>
      </c>
      <c r="E336" s="3298" t="s">
        <v>2957</v>
      </c>
      <c r="F336" s="3298" t="s">
        <v>2293</v>
      </c>
      <c r="G336" s="3278">
        <v>4743.75</v>
      </c>
      <c r="H336" s="3299">
        <v>310</v>
      </c>
      <c r="I336" s="3278">
        <v>1470562.5</v>
      </c>
    </row>
    <row r="337" ht="12.75" customHeight="1" spans="2:9">
      <c r="B337" s="3274">
        <v>325</v>
      </c>
      <c r="D337" s="3297" t="s">
        <v>2958</v>
      </c>
      <c r="E337" s="3298" t="s">
        <v>2959</v>
      </c>
      <c r="F337" s="3298" t="s">
        <v>2299</v>
      </c>
      <c r="G337" s="3278">
        <v>8855</v>
      </c>
      <c r="H337" s="3299">
        <v>60</v>
      </c>
      <c r="I337" s="3278">
        <v>531300</v>
      </c>
    </row>
    <row r="338" ht="12.75" customHeight="1" spans="2:9">
      <c r="B338" s="3274">
        <v>326</v>
      </c>
      <c r="D338" s="3297" t="s">
        <v>2960</v>
      </c>
      <c r="E338" s="3298" t="s">
        <v>2961</v>
      </c>
      <c r="F338" s="3298" t="s">
        <v>2293</v>
      </c>
      <c r="G338" s="3278">
        <v>49500</v>
      </c>
      <c r="H338" s="3299">
        <v>23</v>
      </c>
      <c r="I338" s="3278">
        <v>1138500</v>
      </c>
    </row>
    <row r="339" ht="12.75" customHeight="1" spans="2:9">
      <c r="B339" s="3274">
        <v>327</v>
      </c>
      <c r="D339" s="3297" t="s">
        <v>2962</v>
      </c>
      <c r="E339" s="3298" t="s">
        <v>2963</v>
      </c>
      <c r="F339" s="3298" t="s">
        <v>2321</v>
      </c>
      <c r="G339" s="3278">
        <v>50077.5</v>
      </c>
      <c r="H339" s="3299">
        <v>60</v>
      </c>
      <c r="I339" s="3278">
        <v>3004650</v>
      </c>
    </row>
    <row r="340" ht="12.75" customHeight="1" spans="2:9">
      <c r="B340" s="3274">
        <v>328</v>
      </c>
      <c r="D340" s="3297" t="s">
        <v>2964</v>
      </c>
      <c r="E340" s="3298" t="s">
        <v>2965</v>
      </c>
      <c r="F340" s="3298" t="s">
        <v>2367</v>
      </c>
      <c r="G340" s="3278">
        <v>363000</v>
      </c>
      <c r="H340" s="3299">
        <v>0</v>
      </c>
      <c r="I340" s="3278">
        <v>0</v>
      </c>
    </row>
    <row r="341" ht="12.75" customHeight="1" spans="2:9">
      <c r="B341" s="3274">
        <v>329</v>
      </c>
      <c r="D341" s="3297" t="s">
        <v>2966</v>
      </c>
      <c r="E341" s="3298" t="s">
        <v>2967</v>
      </c>
      <c r="F341" s="3298" t="s">
        <v>2367</v>
      </c>
      <c r="G341" s="3278">
        <v>22078.5715</v>
      </c>
      <c r="H341" s="3299">
        <v>0</v>
      </c>
      <c r="I341" s="3278">
        <v>0</v>
      </c>
    </row>
    <row r="342" ht="12.75" customHeight="1" spans="2:9">
      <c r="B342" s="3274">
        <v>330</v>
      </c>
      <c r="D342" s="3297" t="s">
        <v>2968</v>
      </c>
      <c r="E342" s="3298" t="s">
        <v>2969</v>
      </c>
      <c r="F342" s="3298" t="s">
        <v>2293</v>
      </c>
      <c r="G342" s="3278">
        <v>22068.75</v>
      </c>
      <c r="H342" s="3299">
        <v>0</v>
      </c>
      <c r="I342" s="3278">
        <v>0</v>
      </c>
    </row>
    <row r="343" ht="12.75" customHeight="1" spans="2:9">
      <c r="B343" s="3274">
        <v>331</v>
      </c>
      <c r="D343" s="3297" t="s">
        <v>2970</v>
      </c>
      <c r="E343" s="3298" t="s">
        <v>2971</v>
      </c>
      <c r="F343" s="3298" t="s">
        <v>2293</v>
      </c>
      <c r="G343" s="3278">
        <v>24200</v>
      </c>
      <c r="H343" s="3299">
        <v>0</v>
      </c>
      <c r="I343" s="3278">
        <v>0</v>
      </c>
    </row>
    <row r="344" ht="12.75" customHeight="1" spans="2:9">
      <c r="B344" s="3274">
        <v>332</v>
      </c>
      <c r="D344" s="3297" t="s">
        <v>2972</v>
      </c>
      <c r="E344" s="3298" t="s">
        <v>2973</v>
      </c>
      <c r="F344" s="3298" t="s">
        <v>2293</v>
      </c>
      <c r="G344" s="3278">
        <v>22000</v>
      </c>
      <c r="H344" s="3299">
        <v>0</v>
      </c>
      <c r="I344" s="3278">
        <v>0</v>
      </c>
    </row>
    <row r="345" ht="12.75" customHeight="1" spans="2:9">
      <c r="B345" s="3274">
        <v>333</v>
      </c>
      <c r="D345" s="3297" t="s">
        <v>2974</v>
      </c>
      <c r="E345" s="3298" t="s">
        <v>2975</v>
      </c>
      <c r="F345" s="3298" t="s">
        <v>2293</v>
      </c>
      <c r="G345" s="3278">
        <v>24200</v>
      </c>
      <c r="H345" s="3299">
        <v>0</v>
      </c>
      <c r="I345" s="3278">
        <v>0</v>
      </c>
    </row>
    <row r="346" ht="12.75" customHeight="1" spans="2:9">
      <c r="B346" s="3274">
        <v>334</v>
      </c>
      <c r="D346" s="3297" t="s">
        <v>2976</v>
      </c>
      <c r="E346" s="3298" t="s">
        <v>2977</v>
      </c>
      <c r="F346" s="3298" t="s">
        <v>2293</v>
      </c>
      <c r="G346" s="3278">
        <v>1389.96</v>
      </c>
      <c r="H346" s="3299">
        <v>285</v>
      </c>
      <c r="I346" s="3278">
        <v>396138.6</v>
      </c>
    </row>
    <row r="347" ht="12.75" customHeight="1" spans="2:9">
      <c r="B347" s="3274">
        <v>335</v>
      </c>
      <c r="D347" s="3297" t="s">
        <v>2978</v>
      </c>
      <c r="E347" s="3298" t="s">
        <v>2979</v>
      </c>
      <c r="F347" s="3298" t="s">
        <v>2293</v>
      </c>
      <c r="G347" s="3278">
        <v>694.98</v>
      </c>
      <c r="H347" s="3299">
        <v>110</v>
      </c>
      <c r="I347" s="3278">
        <v>76447.8</v>
      </c>
    </row>
    <row r="348" ht="12.75" customHeight="1" spans="2:9">
      <c r="B348" s="3274">
        <v>336</v>
      </c>
      <c r="D348" s="3297" t="s">
        <v>2980</v>
      </c>
      <c r="E348" s="3298" t="s">
        <v>2981</v>
      </c>
      <c r="F348" s="3298" t="s">
        <v>2565</v>
      </c>
      <c r="G348" s="3278">
        <v>159500</v>
      </c>
      <c r="H348" s="3299">
        <v>0</v>
      </c>
      <c r="I348" s="3278">
        <v>0</v>
      </c>
    </row>
    <row r="349" ht="12.75" customHeight="1" spans="2:9">
      <c r="B349" s="3274">
        <v>337</v>
      </c>
      <c r="D349" s="3297" t="s">
        <v>2982</v>
      </c>
      <c r="E349" s="3298" t="s">
        <v>2983</v>
      </c>
      <c r="F349" s="3298" t="s">
        <v>2321</v>
      </c>
      <c r="G349" s="3278">
        <v>2200</v>
      </c>
      <c r="H349" s="3299">
        <v>0</v>
      </c>
      <c r="I349" s="3278">
        <v>0</v>
      </c>
    </row>
    <row r="350" ht="12.75" customHeight="1" spans="2:9">
      <c r="B350" s="3274">
        <v>338</v>
      </c>
      <c r="D350" s="3297" t="s">
        <v>2984</v>
      </c>
      <c r="E350" s="3298" t="s">
        <v>2985</v>
      </c>
      <c r="F350" s="3298" t="s">
        <v>2299</v>
      </c>
      <c r="G350" s="3278">
        <v>12100</v>
      </c>
      <c r="H350" s="3299">
        <v>0</v>
      </c>
      <c r="I350" s="3278">
        <v>0</v>
      </c>
    </row>
    <row r="351" ht="12.75" customHeight="1" spans="2:9">
      <c r="B351" s="3274">
        <v>339</v>
      </c>
      <c r="D351" s="3297" t="s">
        <v>2986</v>
      </c>
      <c r="E351" s="3298" t="s">
        <v>2987</v>
      </c>
      <c r="F351" s="3298" t="s">
        <v>2299</v>
      </c>
      <c r="G351" s="3278">
        <v>11880</v>
      </c>
      <c r="H351" s="3299">
        <v>50</v>
      </c>
      <c r="I351" s="3278">
        <v>594000</v>
      </c>
    </row>
    <row r="352" ht="12.75" customHeight="1" spans="2:9">
      <c r="B352" s="3274">
        <v>340</v>
      </c>
      <c r="D352" s="3297" t="s">
        <v>2988</v>
      </c>
      <c r="E352" s="3298" t="s">
        <v>2989</v>
      </c>
      <c r="F352" s="3298" t="s">
        <v>2299</v>
      </c>
      <c r="G352" s="3278">
        <v>10890</v>
      </c>
      <c r="H352" s="3299">
        <v>0</v>
      </c>
      <c r="I352" s="3278">
        <v>0</v>
      </c>
    </row>
    <row r="353" ht="12.75" customHeight="1" spans="2:9">
      <c r="B353" s="3274">
        <v>341</v>
      </c>
      <c r="D353" s="3297" t="s">
        <v>2990</v>
      </c>
      <c r="E353" s="3298" t="s">
        <v>2991</v>
      </c>
      <c r="F353" s="3298" t="s">
        <v>2293</v>
      </c>
      <c r="G353" s="3278">
        <v>275</v>
      </c>
      <c r="H353" s="3299">
        <v>0</v>
      </c>
      <c r="I353" s="3278">
        <v>0</v>
      </c>
    </row>
    <row r="354" ht="12.75" customHeight="1" spans="2:9">
      <c r="B354" s="3274">
        <v>342</v>
      </c>
      <c r="D354" s="3297" t="s">
        <v>2992</v>
      </c>
      <c r="E354" s="3298" t="s">
        <v>2993</v>
      </c>
      <c r="F354" s="3298" t="s">
        <v>2388</v>
      </c>
      <c r="G354" s="3278">
        <v>61600</v>
      </c>
      <c r="H354" s="3299">
        <v>0</v>
      </c>
      <c r="I354" s="3278">
        <v>0</v>
      </c>
    </row>
    <row r="355" ht="12.75" customHeight="1" spans="2:9">
      <c r="B355" s="3274">
        <v>343</v>
      </c>
      <c r="D355" s="3297" t="s">
        <v>2994</v>
      </c>
      <c r="E355" s="3298" t="s">
        <v>2995</v>
      </c>
      <c r="F355" s="3298" t="s">
        <v>2388</v>
      </c>
      <c r="G355" s="3278">
        <v>154000</v>
      </c>
      <c r="H355" s="3299">
        <v>0</v>
      </c>
      <c r="I355" s="3278">
        <v>0</v>
      </c>
    </row>
    <row r="356" ht="12.75" customHeight="1" spans="2:9">
      <c r="B356" s="3274">
        <v>344</v>
      </c>
      <c r="D356" s="3297" t="s">
        <v>2996</v>
      </c>
      <c r="E356" s="3298" t="s">
        <v>2997</v>
      </c>
      <c r="F356" s="3298" t="s">
        <v>2388</v>
      </c>
      <c r="G356" s="3278">
        <v>38400</v>
      </c>
      <c r="H356" s="3299">
        <v>0</v>
      </c>
      <c r="I356" s="3278">
        <v>0</v>
      </c>
    </row>
    <row r="357" ht="12.75" customHeight="1" spans="2:9">
      <c r="B357" s="3274">
        <v>345</v>
      </c>
      <c r="D357" s="3297" t="s">
        <v>2998</v>
      </c>
      <c r="E357" s="3298" t="s">
        <v>2999</v>
      </c>
      <c r="F357" s="3298" t="s">
        <v>2321</v>
      </c>
      <c r="G357" s="3278">
        <v>307307</v>
      </c>
      <c r="H357" s="3299">
        <v>0</v>
      </c>
      <c r="I357" s="3278">
        <v>0</v>
      </c>
    </row>
    <row r="358" ht="12.75" customHeight="1" spans="2:9">
      <c r="B358" s="3274">
        <v>346</v>
      </c>
      <c r="D358" s="3297" t="s">
        <v>3000</v>
      </c>
      <c r="E358" s="3298" t="s">
        <v>3001</v>
      </c>
      <c r="F358" s="3298" t="s">
        <v>2299</v>
      </c>
      <c r="G358" s="3278">
        <v>64526.1632</v>
      </c>
      <c r="H358" s="3299">
        <v>0</v>
      </c>
      <c r="I358" s="3278">
        <v>0</v>
      </c>
    </row>
    <row r="359" ht="12.75" customHeight="1" spans="2:9">
      <c r="B359" s="3274">
        <v>347</v>
      </c>
      <c r="D359" s="3297" t="s">
        <v>3002</v>
      </c>
      <c r="E359" s="3298" t="s">
        <v>3003</v>
      </c>
      <c r="F359" s="3298" t="s">
        <v>2321</v>
      </c>
      <c r="G359" s="3278">
        <v>77000</v>
      </c>
      <c r="H359" s="3299">
        <v>0</v>
      </c>
      <c r="I359" s="3278">
        <v>0</v>
      </c>
    </row>
    <row r="360" ht="12.75" customHeight="1" spans="2:9">
      <c r="B360" s="3274">
        <v>348</v>
      </c>
      <c r="D360" s="3297" t="s">
        <v>3004</v>
      </c>
      <c r="E360" s="3298" t="s">
        <v>3005</v>
      </c>
      <c r="F360" s="3298" t="s">
        <v>2299</v>
      </c>
      <c r="G360" s="3278">
        <v>13200</v>
      </c>
      <c r="H360" s="3299">
        <v>0</v>
      </c>
      <c r="I360" s="3278">
        <v>0</v>
      </c>
    </row>
    <row r="361" ht="12.75" customHeight="1" spans="2:9">
      <c r="B361" s="3274">
        <v>349</v>
      </c>
      <c r="D361" s="3297" t="s">
        <v>3006</v>
      </c>
      <c r="E361" s="3298" t="s">
        <v>3007</v>
      </c>
      <c r="F361" s="3298" t="s">
        <v>2472</v>
      </c>
      <c r="G361" s="3278">
        <v>100000</v>
      </c>
      <c r="H361" s="3299">
        <v>0</v>
      </c>
      <c r="I361" s="3278">
        <v>0</v>
      </c>
    </row>
    <row r="362" ht="12.75" customHeight="1" spans="2:9">
      <c r="B362" s="3274">
        <v>350</v>
      </c>
      <c r="D362" s="3297" t="s">
        <v>3008</v>
      </c>
      <c r="E362" s="3298" t="s">
        <v>3009</v>
      </c>
      <c r="F362" s="3298" t="s">
        <v>2299</v>
      </c>
      <c r="G362" s="3278">
        <v>22000</v>
      </c>
      <c r="H362" s="3299">
        <v>0</v>
      </c>
      <c r="I362" s="3278">
        <v>0</v>
      </c>
    </row>
    <row r="363" ht="12.75" customHeight="1" spans="2:9">
      <c r="B363" s="3274">
        <v>351</v>
      </c>
      <c r="D363" s="3297" t="s">
        <v>3010</v>
      </c>
      <c r="E363" s="3298" t="s">
        <v>3011</v>
      </c>
      <c r="F363" s="3298" t="s">
        <v>2299</v>
      </c>
      <c r="G363" s="3278">
        <v>29700</v>
      </c>
      <c r="H363" s="3299">
        <v>3</v>
      </c>
      <c r="I363" s="3278">
        <v>89100</v>
      </c>
    </row>
    <row r="364" ht="12.75" customHeight="1" spans="2:9">
      <c r="B364" s="3274">
        <v>352</v>
      </c>
      <c r="D364" s="3297" t="s">
        <v>3012</v>
      </c>
      <c r="E364" s="3298" t="s">
        <v>3013</v>
      </c>
      <c r="F364" s="3298" t="s">
        <v>2299</v>
      </c>
      <c r="G364" s="3278">
        <v>88000</v>
      </c>
      <c r="H364" s="3299">
        <v>2</v>
      </c>
      <c r="I364" s="3278">
        <v>176000</v>
      </c>
    </row>
    <row r="365" ht="12.75" customHeight="1" spans="2:9">
      <c r="B365" s="3274">
        <v>353</v>
      </c>
      <c r="D365" s="3297" t="s">
        <v>3014</v>
      </c>
      <c r="E365" s="3298" t="s">
        <v>3015</v>
      </c>
      <c r="F365" s="3298" t="s">
        <v>2637</v>
      </c>
      <c r="G365" s="3278">
        <v>67731</v>
      </c>
      <c r="H365" s="3299">
        <v>0</v>
      </c>
      <c r="I365" s="3278">
        <v>0</v>
      </c>
    </row>
    <row r="366" ht="12.75" customHeight="1" spans="2:9">
      <c r="B366" s="3274">
        <v>354</v>
      </c>
      <c r="D366" s="3297" t="s">
        <v>3016</v>
      </c>
      <c r="E366" s="3298" t="s">
        <v>3017</v>
      </c>
      <c r="F366" s="3298" t="s">
        <v>2299</v>
      </c>
      <c r="G366" s="3278">
        <v>27500</v>
      </c>
      <c r="H366" s="3299">
        <v>0</v>
      </c>
      <c r="I366" s="3278">
        <v>0</v>
      </c>
    </row>
    <row r="367" ht="12.75" customHeight="1" spans="2:9">
      <c r="B367" s="3274">
        <v>355</v>
      </c>
      <c r="D367" s="3297" t="s">
        <v>3018</v>
      </c>
      <c r="E367" s="3298" t="s">
        <v>3019</v>
      </c>
      <c r="F367" s="3298" t="s">
        <v>2418</v>
      </c>
      <c r="G367" s="3278">
        <v>247500</v>
      </c>
      <c r="H367" s="3299">
        <v>0</v>
      </c>
      <c r="I367" s="3278">
        <v>0</v>
      </c>
    </row>
    <row r="368" ht="12.75" customHeight="1" spans="2:9">
      <c r="B368" s="3274">
        <v>356</v>
      </c>
      <c r="D368" s="3297" t="s">
        <v>3020</v>
      </c>
      <c r="E368" s="3298" t="s">
        <v>3021</v>
      </c>
      <c r="F368" s="3298" t="s">
        <v>2299</v>
      </c>
      <c r="G368" s="3278">
        <v>19800</v>
      </c>
      <c r="H368" s="3299">
        <v>0</v>
      </c>
      <c r="I368" s="3278">
        <v>0</v>
      </c>
    </row>
    <row r="369" ht="12.75" customHeight="1" spans="2:9">
      <c r="B369" s="3274">
        <v>357</v>
      </c>
      <c r="D369" s="3297" t="s">
        <v>3022</v>
      </c>
      <c r="E369" s="3298" t="s">
        <v>3023</v>
      </c>
      <c r="F369" s="3298" t="s">
        <v>2299</v>
      </c>
      <c r="G369" s="3278">
        <v>19800</v>
      </c>
      <c r="H369" s="3299">
        <v>0</v>
      </c>
      <c r="I369" s="3278">
        <v>0</v>
      </c>
    </row>
    <row r="370" ht="12.75" customHeight="1" spans="2:9">
      <c r="B370" s="3274">
        <v>358</v>
      </c>
      <c r="D370" s="3297" t="s">
        <v>3024</v>
      </c>
      <c r="E370" s="3298" t="s">
        <v>3025</v>
      </c>
      <c r="F370" s="3298" t="s">
        <v>2299</v>
      </c>
      <c r="G370" s="3278">
        <v>44000</v>
      </c>
      <c r="H370" s="3299">
        <v>0</v>
      </c>
      <c r="I370" s="3278">
        <v>0</v>
      </c>
    </row>
    <row r="371" ht="12.75" customHeight="1" spans="2:9">
      <c r="B371" s="3274">
        <v>359</v>
      </c>
      <c r="D371" s="3297" t="s">
        <v>3026</v>
      </c>
      <c r="E371" s="3298" t="s">
        <v>3027</v>
      </c>
      <c r="F371" s="3298" t="s">
        <v>2299</v>
      </c>
      <c r="G371" s="3278">
        <v>506</v>
      </c>
      <c r="H371" s="3299">
        <v>1200</v>
      </c>
      <c r="I371" s="3278">
        <v>607200</v>
      </c>
    </row>
    <row r="372" ht="12.75" customHeight="1" spans="2:9">
      <c r="B372" s="3274">
        <v>360</v>
      </c>
      <c r="D372" s="3297" t="s">
        <v>3028</v>
      </c>
      <c r="E372" s="3298" t="s">
        <v>3029</v>
      </c>
      <c r="F372" s="3298" t="s">
        <v>2299</v>
      </c>
      <c r="G372" s="3278">
        <v>506</v>
      </c>
      <c r="H372" s="3299">
        <v>1600</v>
      </c>
      <c r="I372" s="3278">
        <v>809600</v>
      </c>
    </row>
    <row r="373" ht="12.75" customHeight="1" spans="2:9">
      <c r="B373" s="3274">
        <v>361</v>
      </c>
      <c r="D373" s="3297" t="s">
        <v>3030</v>
      </c>
      <c r="E373" s="3298" t="s">
        <v>3031</v>
      </c>
      <c r="F373" s="3298" t="s">
        <v>2293</v>
      </c>
      <c r="G373" s="3278">
        <v>285500</v>
      </c>
      <c r="H373" s="3299">
        <v>0</v>
      </c>
      <c r="I373" s="3278">
        <v>0</v>
      </c>
    </row>
    <row r="374" ht="12.75" customHeight="1" spans="2:9">
      <c r="B374" s="3274">
        <v>362</v>
      </c>
      <c r="D374" s="3297" t="s">
        <v>3032</v>
      </c>
      <c r="E374" s="3298" t="s">
        <v>3033</v>
      </c>
      <c r="F374" s="3298" t="s">
        <v>2299</v>
      </c>
      <c r="G374" s="3278">
        <v>187000</v>
      </c>
      <c r="H374" s="3299">
        <v>0</v>
      </c>
      <c r="I374" s="3278">
        <v>0</v>
      </c>
    </row>
    <row r="375" ht="12.75" customHeight="1" spans="2:9">
      <c r="B375" s="3274">
        <v>363</v>
      </c>
      <c r="D375" s="3297" t="s">
        <v>3034</v>
      </c>
      <c r="E375" s="3298" t="s">
        <v>3035</v>
      </c>
      <c r="F375" s="3298" t="s">
        <v>2293</v>
      </c>
      <c r="G375" s="3278">
        <v>20000.2</v>
      </c>
      <c r="H375" s="3299">
        <v>0</v>
      </c>
      <c r="I375" s="3278">
        <v>0</v>
      </c>
    </row>
    <row r="376" ht="12.75" customHeight="1" spans="2:9">
      <c r="B376" s="3274">
        <v>364</v>
      </c>
      <c r="D376" s="3297" t="s">
        <v>3036</v>
      </c>
      <c r="E376" s="3298" t="s">
        <v>3037</v>
      </c>
      <c r="F376" s="3298" t="s">
        <v>2299</v>
      </c>
      <c r="G376" s="3278">
        <v>523.875</v>
      </c>
      <c r="H376" s="3299">
        <v>2100</v>
      </c>
      <c r="I376" s="3278">
        <v>1100137.5</v>
      </c>
    </row>
    <row r="377" ht="12.75" customHeight="1" spans="2:9">
      <c r="B377" s="3274">
        <v>365</v>
      </c>
      <c r="D377" s="3297" t="s">
        <v>3038</v>
      </c>
      <c r="E377" s="3298" t="s">
        <v>3039</v>
      </c>
      <c r="F377" s="3298" t="s">
        <v>2299</v>
      </c>
      <c r="G377" s="3278">
        <v>59400</v>
      </c>
      <c r="H377" s="3299">
        <v>0</v>
      </c>
      <c r="I377" s="3278">
        <v>0</v>
      </c>
    </row>
    <row r="378" ht="12.75" customHeight="1" spans="2:9">
      <c r="B378" s="3274">
        <v>366</v>
      </c>
      <c r="D378" s="3297" t="s">
        <v>3040</v>
      </c>
      <c r="E378" s="3298" t="s">
        <v>3041</v>
      </c>
      <c r="F378" s="3298" t="s">
        <v>3042</v>
      </c>
      <c r="G378" s="3278">
        <v>7403</v>
      </c>
      <c r="H378" s="3299">
        <v>0</v>
      </c>
      <c r="I378" s="3278">
        <v>0</v>
      </c>
    </row>
    <row r="379" ht="12.75" customHeight="1" spans="2:9">
      <c r="B379" s="3274">
        <v>367</v>
      </c>
      <c r="D379" s="3297" t="s">
        <v>3043</v>
      </c>
      <c r="E379" s="3298" t="s">
        <v>3044</v>
      </c>
      <c r="F379" s="3298" t="s">
        <v>3045</v>
      </c>
      <c r="G379" s="3278">
        <v>240000</v>
      </c>
      <c r="H379" s="3299">
        <v>0</v>
      </c>
      <c r="I379" s="3278">
        <v>0</v>
      </c>
    </row>
    <row r="380" ht="12.75" customHeight="1" spans="2:9">
      <c r="B380" s="3274">
        <v>368</v>
      </c>
      <c r="D380" s="3297" t="s">
        <v>3046</v>
      </c>
      <c r="E380" s="3298" t="s">
        <v>3047</v>
      </c>
      <c r="F380" s="3298" t="s">
        <v>2299</v>
      </c>
      <c r="G380" s="3278">
        <v>57750</v>
      </c>
      <c r="H380" s="3299">
        <v>0</v>
      </c>
      <c r="I380" s="3278">
        <v>0</v>
      </c>
    </row>
    <row r="381" ht="12.75" customHeight="1" spans="2:9">
      <c r="B381" s="3274">
        <v>369</v>
      </c>
      <c r="D381" s="3297" t="s">
        <v>3048</v>
      </c>
      <c r="E381" s="3298" t="s">
        <v>3049</v>
      </c>
      <c r="F381" s="3298" t="s">
        <v>2321</v>
      </c>
      <c r="G381" s="3278">
        <v>49524.2</v>
      </c>
      <c r="H381" s="3299">
        <v>0</v>
      </c>
      <c r="I381" s="3278">
        <v>0</v>
      </c>
    </row>
    <row r="382" ht="12.75" customHeight="1" spans="2:9">
      <c r="B382" s="3274">
        <v>370</v>
      </c>
      <c r="D382" s="3297" t="s">
        <v>3050</v>
      </c>
      <c r="E382" s="3298" t="s">
        <v>3051</v>
      </c>
      <c r="F382" s="3298" t="s">
        <v>2321</v>
      </c>
      <c r="G382" s="3278">
        <v>212993</v>
      </c>
      <c r="H382" s="3299">
        <v>2</v>
      </c>
      <c r="I382" s="3278">
        <v>425986</v>
      </c>
    </row>
    <row r="383" ht="12.75" customHeight="1" spans="2:9">
      <c r="B383" s="3274">
        <v>371</v>
      </c>
      <c r="D383" s="3297" t="s">
        <v>3052</v>
      </c>
      <c r="E383" s="3298" t="s">
        <v>3053</v>
      </c>
      <c r="F383" s="3298" t="s">
        <v>2321</v>
      </c>
      <c r="G383" s="3278">
        <v>19800</v>
      </c>
      <c r="H383" s="3299">
        <v>0</v>
      </c>
      <c r="I383" s="3278">
        <v>0</v>
      </c>
    </row>
    <row r="384" ht="12.75" customHeight="1" spans="2:9">
      <c r="B384" s="3274">
        <v>372</v>
      </c>
      <c r="D384" s="3297" t="s">
        <v>3054</v>
      </c>
      <c r="E384" s="3298" t="s">
        <v>3055</v>
      </c>
      <c r="F384" s="3298" t="s">
        <v>3056</v>
      </c>
      <c r="G384" s="3278">
        <v>7975</v>
      </c>
      <c r="H384" s="3299">
        <v>0</v>
      </c>
      <c r="I384" s="3278">
        <v>0</v>
      </c>
    </row>
    <row r="385" ht="12.75" customHeight="1" spans="2:9">
      <c r="B385" s="3274">
        <v>373</v>
      </c>
      <c r="D385" s="3297" t="s">
        <v>3057</v>
      </c>
      <c r="E385" s="3298" t="s">
        <v>3058</v>
      </c>
      <c r="F385" s="3298" t="s">
        <v>2299</v>
      </c>
      <c r="G385" s="3278">
        <v>22000</v>
      </c>
      <c r="H385" s="3299">
        <v>0</v>
      </c>
      <c r="I385" s="3278">
        <v>0</v>
      </c>
    </row>
    <row r="386" ht="12.75" customHeight="1" spans="2:9">
      <c r="B386" s="3274">
        <v>374</v>
      </c>
      <c r="D386" s="3297" t="s">
        <v>3059</v>
      </c>
      <c r="E386" s="3298" t="s">
        <v>3060</v>
      </c>
      <c r="F386" s="3298" t="s">
        <v>2321</v>
      </c>
      <c r="G386" s="3278">
        <v>70400</v>
      </c>
      <c r="H386" s="3299">
        <v>0</v>
      </c>
      <c r="I386" s="3278">
        <v>0</v>
      </c>
    </row>
    <row r="387" ht="12.75" customHeight="1" spans="2:9">
      <c r="B387" s="3274">
        <v>375</v>
      </c>
      <c r="D387" s="3297" t="s">
        <v>3061</v>
      </c>
      <c r="E387" s="3298" t="s">
        <v>3062</v>
      </c>
      <c r="F387" s="3298" t="s">
        <v>2299</v>
      </c>
      <c r="G387" s="3278">
        <v>1100</v>
      </c>
      <c r="H387" s="3299">
        <v>0</v>
      </c>
      <c r="I387" s="3278">
        <v>0</v>
      </c>
    </row>
    <row r="388" ht="12.75" customHeight="1" spans="2:9">
      <c r="B388" s="3274">
        <v>376</v>
      </c>
      <c r="D388" s="3297" t="s">
        <v>3063</v>
      </c>
      <c r="E388" s="3298" t="s">
        <v>3064</v>
      </c>
      <c r="F388" s="3298" t="s">
        <v>2299</v>
      </c>
      <c r="G388" s="3278">
        <v>308</v>
      </c>
      <c r="H388" s="3299">
        <v>0</v>
      </c>
      <c r="I388" s="3278">
        <v>0</v>
      </c>
    </row>
    <row r="389" ht="12.75" customHeight="1" spans="2:9">
      <c r="B389" s="3274">
        <v>377</v>
      </c>
      <c r="D389" s="3297" t="s">
        <v>3065</v>
      </c>
      <c r="E389" s="3298" t="s">
        <v>3066</v>
      </c>
      <c r="F389" s="3298" t="s">
        <v>2293</v>
      </c>
      <c r="G389" s="3278">
        <v>825000</v>
      </c>
      <c r="H389" s="3299">
        <v>0</v>
      </c>
      <c r="I389" s="3278">
        <v>0</v>
      </c>
    </row>
    <row r="390" ht="12.75" customHeight="1" spans="2:9">
      <c r="B390" s="3274">
        <v>378</v>
      </c>
      <c r="D390" s="3297" t="s">
        <v>3067</v>
      </c>
      <c r="E390" s="3298" t="s">
        <v>3068</v>
      </c>
      <c r="F390" s="3298" t="s">
        <v>2299</v>
      </c>
      <c r="G390" s="3278">
        <v>462</v>
      </c>
      <c r="H390" s="3299">
        <v>800</v>
      </c>
      <c r="I390" s="3278">
        <v>369600</v>
      </c>
    </row>
    <row r="391" ht="12.75" customHeight="1" spans="2:9">
      <c r="B391" s="3274">
        <v>379</v>
      </c>
      <c r="D391" s="3297" t="s">
        <v>3069</v>
      </c>
      <c r="E391" s="3298" t="s">
        <v>3070</v>
      </c>
      <c r="F391" s="3298" t="s">
        <v>2299</v>
      </c>
      <c r="G391" s="3278">
        <v>16000</v>
      </c>
      <c r="H391" s="3299">
        <v>0</v>
      </c>
      <c r="I391" s="3278">
        <v>0</v>
      </c>
    </row>
    <row r="392" ht="12.75" customHeight="1" spans="2:9">
      <c r="B392" s="3274">
        <v>380</v>
      </c>
      <c r="D392" s="3297" t="s">
        <v>3071</v>
      </c>
      <c r="E392" s="3298" t="s">
        <v>3072</v>
      </c>
      <c r="F392" s="3298" t="s">
        <v>2299</v>
      </c>
      <c r="G392" s="3278">
        <v>16000</v>
      </c>
      <c r="H392" s="3299">
        <v>0</v>
      </c>
      <c r="I392" s="3278">
        <v>0</v>
      </c>
    </row>
    <row r="393" ht="12.75" customHeight="1" spans="2:9">
      <c r="B393" s="3274">
        <v>381</v>
      </c>
      <c r="D393" s="3297" t="s">
        <v>3073</v>
      </c>
      <c r="E393" s="3298" t="s">
        <v>3074</v>
      </c>
      <c r="F393" s="3298" t="s">
        <v>2293</v>
      </c>
      <c r="G393" s="3278">
        <v>1000</v>
      </c>
      <c r="H393" s="3299">
        <v>0</v>
      </c>
      <c r="I393" s="3278">
        <v>0</v>
      </c>
    </row>
    <row r="394" ht="12.75" customHeight="1" spans="2:9">
      <c r="B394" s="3274">
        <v>382</v>
      </c>
      <c r="D394" s="3297" t="s">
        <v>3075</v>
      </c>
      <c r="E394" s="3298" t="s">
        <v>3076</v>
      </c>
      <c r="F394" s="3298" t="s">
        <v>2293</v>
      </c>
      <c r="G394" s="3278">
        <v>381.942</v>
      </c>
      <c r="H394" s="3299">
        <v>0</v>
      </c>
      <c r="I394" s="3278">
        <v>0</v>
      </c>
    </row>
    <row r="395" ht="12.75" customHeight="1" spans="2:9">
      <c r="B395" s="3274">
        <v>383</v>
      </c>
      <c r="D395" s="3297" t="s">
        <v>3077</v>
      </c>
      <c r="E395" s="3298" t="s">
        <v>3078</v>
      </c>
      <c r="F395" s="3298" t="s">
        <v>2457</v>
      </c>
      <c r="G395" s="3278">
        <v>660</v>
      </c>
      <c r="H395" s="3299">
        <v>1000</v>
      </c>
      <c r="I395" s="3278">
        <v>660000</v>
      </c>
    </row>
    <row r="396" ht="12.75" customHeight="1" spans="2:9">
      <c r="B396" s="3274">
        <v>384</v>
      </c>
      <c r="D396" s="3297" t="s">
        <v>3079</v>
      </c>
      <c r="E396" s="3298" t="s">
        <v>3080</v>
      </c>
      <c r="F396" s="3298" t="s">
        <v>2293</v>
      </c>
      <c r="G396" s="3278">
        <v>2300</v>
      </c>
      <c r="H396" s="3299">
        <v>0</v>
      </c>
      <c r="I396" s="3278">
        <v>0</v>
      </c>
    </row>
    <row r="397" ht="12.75" customHeight="1" spans="2:9">
      <c r="B397" s="3274">
        <v>385</v>
      </c>
      <c r="D397" s="3297" t="s">
        <v>3081</v>
      </c>
      <c r="E397" s="3298" t="s">
        <v>3082</v>
      </c>
      <c r="F397" s="3298" t="s">
        <v>2293</v>
      </c>
      <c r="G397" s="3278">
        <v>1815</v>
      </c>
      <c r="H397" s="3299">
        <v>0</v>
      </c>
      <c r="I397" s="3278">
        <v>0</v>
      </c>
    </row>
    <row r="398" ht="12.75" customHeight="1" spans="2:9">
      <c r="B398" s="3274">
        <v>386</v>
      </c>
      <c r="D398" s="3297" t="s">
        <v>3083</v>
      </c>
      <c r="E398" s="3298" t="s">
        <v>3084</v>
      </c>
      <c r="F398" s="3298" t="s">
        <v>2293</v>
      </c>
      <c r="G398" s="3278">
        <v>891</v>
      </c>
      <c r="H398" s="3299">
        <v>200</v>
      </c>
      <c r="I398" s="3278">
        <v>178200</v>
      </c>
    </row>
    <row r="399" ht="12.75" customHeight="1" spans="2:9">
      <c r="B399" s="3274">
        <v>387</v>
      </c>
      <c r="D399" s="3297" t="s">
        <v>3085</v>
      </c>
      <c r="E399" s="3298" t="s">
        <v>3086</v>
      </c>
      <c r="F399" s="3298" t="s">
        <v>2299</v>
      </c>
      <c r="G399" s="3278">
        <v>34100</v>
      </c>
      <c r="H399" s="3299">
        <v>0</v>
      </c>
      <c r="I399" s="3278">
        <v>0</v>
      </c>
    </row>
    <row r="400" ht="12.75" customHeight="1" spans="2:9">
      <c r="B400" s="3274">
        <v>388</v>
      </c>
      <c r="D400" s="3297" t="s">
        <v>3087</v>
      </c>
      <c r="E400" s="3298" t="s">
        <v>3088</v>
      </c>
      <c r="F400" s="3298" t="s">
        <v>3056</v>
      </c>
      <c r="G400" s="3278">
        <v>2200</v>
      </c>
      <c r="H400" s="3299">
        <v>0</v>
      </c>
      <c r="I400" s="3278">
        <v>0</v>
      </c>
    </row>
    <row r="401" ht="12.75" customHeight="1" spans="2:9">
      <c r="B401" s="3274">
        <v>389</v>
      </c>
      <c r="D401" s="3297" t="s">
        <v>3089</v>
      </c>
      <c r="E401" s="3298" t="s">
        <v>3090</v>
      </c>
      <c r="F401" s="3298" t="s">
        <v>2321</v>
      </c>
      <c r="G401" s="3278">
        <v>8800</v>
      </c>
      <c r="H401" s="3299">
        <v>0</v>
      </c>
      <c r="I401" s="3278">
        <v>0</v>
      </c>
    </row>
    <row r="402" ht="12.75" customHeight="1" spans="2:9">
      <c r="B402" s="3274">
        <v>390</v>
      </c>
      <c r="D402" s="3297" t="s">
        <v>3091</v>
      </c>
      <c r="E402" s="3298" t="s">
        <v>3092</v>
      </c>
      <c r="F402" s="3298" t="s">
        <v>2299</v>
      </c>
      <c r="G402" s="3278">
        <v>33000</v>
      </c>
      <c r="H402" s="3299">
        <v>0</v>
      </c>
      <c r="I402" s="3278">
        <v>0</v>
      </c>
    </row>
    <row r="403" ht="12.75" customHeight="1" spans="2:9">
      <c r="B403" s="3274">
        <v>391</v>
      </c>
      <c r="D403" s="3297" t="s">
        <v>3093</v>
      </c>
      <c r="E403" s="3298" t="s">
        <v>3094</v>
      </c>
      <c r="F403" s="3298" t="s">
        <v>2299</v>
      </c>
      <c r="G403" s="3278">
        <v>1650</v>
      </c>
      <c r="H403" s="3299">
        <v>0</v>
      </c>
      <c r="I403" s="3278">
        <v>0</v>
      </c>
    </row>
    <row r="404" ht="12.75" customHeight="1" spans="2:9">
      <c r="B404" s="3274">
        <v>392</v>
      </c>
      <c r="D404" s="3297" t="s">
        <v>3095</v>
      </c>
      <c r="E404" s="3298" t="s">
        <v>3096</v>
      </c>
      <c r="F404" s="3298" t="s">
        <v>2299</v>
      </c>
      <c r="G404" s="3278">
        <v>1650</v>
      </c>
      <c r="H404" s="3299">
        <v>0</v>
      </c>
      <c r="I404" s="3278">
        <v>0</v>
      </c>
    </row>
    <row r="405" ht="12.75" customHeight="1" spans="2:9">
      <c r="B405" s="3274">
        <v>393</v>
      </c>
      <c r="D405" s="3297" t="s">
        <v>3097</v>
      </c>
      <c r="E405" s="3298" t="s">
        <v>3098</v>
      </c>
      <c r="F405" s="3298" t="s">
        <v>2299</v>
      </c>
      <c r="G405" s="3278">
        <v>151250</v>
      </c>
      <c r="H405" s="3299">
        <v>0</v>
      </c>
      <c r="I405" s="3278">
        <v>0</v>
      </c>
    </row>
    <row r="406" ht="12.75" customHeight="1" spans="2:9">
      <c r="B406" s="3274">
        <v>394</v>
      </c>
      <c r="D406" s="3297" t="s">
        <v>3099</v>
      </c>
      <c r="E406" s="3298" t="s">
        <v>3100</v>
      </c>
      <c r="F406" s="3298" t="s">
        <v>2299</v>
      </c>
      <c r="G406" s="3278">
        <v>1188</v>
      </c>
      <c r="H406" s="3299">
        <v>300</v>
      </c>
      <c r="I406" s="3278">
        <v>356400</v>
      </c>
    </row>
    <row r="407" ht="12.75" customHeight="1" spans="2:9">
      <c r="B407" s="3274">
        <v>395</v>
      </c>
      <c r="D407" s="3297" t="s">
        <v>3101</v>
      </c>
      <c r="E407" s="3298" t="s">
        <v>3102</v>
      </c>
      <c r="F407" s="3298" t="s">
        <v>2299</v>
      </c>
      <c r="G407" s="3278">
        <v>9900</v>
      </c>
      <c r="H407" s="3299">
        <v>0</v>
      </c>
      <c r="I407" s="3278">
        <v>0</v>
      </c>
    </row>
    <row r="408" ht="12.75" customHeight="1" spans="2:9">
      <c r="B408" s="3274">
        <v>396</v>
      </c>
      <c r="D408" s="3297" t="s">
        <v>3103</v>
      </c>
      <c r="E408" s="3298" t="s">
        <v>3104</v>
      </c>
      <c r="F408" s="3298" t="s">
        <v>2299</v>
      </c>
      <c r="G408" s="3278">
        <v>25300</v>
      </c>
      <c r="H408" s="3299">
        <v>4</v>
      </c>
      <c r="I408" s="3278">
        <v>101200</v>
      </c>
    </row>
    <row r="409" ht="12.75" customHeight="1" spans="2:9">
      <c r="B409" s="3274">
        <v>397</v>
      </c>
      <c r="D409" s="3297" t="s">
        <v>3105</v>
      </c>
      <c r="E409" s="3298" t="s">
        <v>3106</v>
      </c>
      <c r="F409" s="3298" t="s">
        <v>2299</v>
      </c>
      <c r="G409" s="3278">
        <v>115500</v>
      </c>
      <c r="H409" s="3299">
        <v>0</v>
      </c>
      <c r="I409" s="3278">
        <v>0</v>
      </c>
    </row>
    <row r="410" ht="12.75" customHeight="1" spans="2:9">
      <c r="B410" s="3274">
        <v>398</v>
      </c>
      <c r="D410" s="3297" t="s">
        <v>3107</v>
      </c>
      <c r="E410" s="3298" t="s">
        <v>3108</v>
      </c>
      <c r="F410" s="3298" t="s">
        <v>2299</v>
      </c>
      <c r="G410" s="3278">
        <v>9680</v>
      </c>
      <c r="H410" s="3299">
        <v>16</v>
      </c>
      <c r="I410" s="3278">
        <v>154880</v>
      </c>
    </row>
    <row r="411" ht="12.75" customHeight="1" spans="2:9">
      <c r="B411" s="3274">
        <v>399</v>
      </c>
      <c r="D411" s="3297" t="s">
        <v>3109</v>
      </c>
      <c r="E411" s="3298" t="s">
        <v>3110</v>
      </c>
      <c r="F411" s="3298" t="s">
        <v>2299</v>
      </c>
      <c r="G411" s="3278">
        <v>3300</v>
      </c>
      <c r="H411" s="3299">
        <v>0</v>
      </c>
      <c r="I411" s="3278">
        <v>0</v>
      </c>
    </row>
    <row r="412" ht="12.75" customHeight="1" spans="2:9">
      <c r="B412" s="3274">
        <v>400</v>
      </c>
      <c r="D412" s="3297" t="s">
        <v>3111</v>
      </c>
      <c r="E412" s="3298" t="s">
        <v>3112</v>
      </c>
      <c r="F412" s="3298" t="s">
        <v>2299</v>
      </c>
      <c r="G412" s="3278">
        <v>24750</v>
      </c>
      <c r="H412" s="3299">
        <v>13</v>
      </c>
      <c r="I412" s="3278">
        <v>321750</v>
      </c>
    </row>
    <row r="413" ht="12.75" customHeight="1" spans="2:9">
      <c r="B413" s="3274">
        <v>401</v>
      </c>
      <c r="D413" s="3297" t="s">
        <v>3113</v>
      </c>
      <c r="E413" s="3298" t="s">
        <v>3114</v>
      </c>
      <c r="F413" s="3298" t="s">
        <v>2299</v>
      </c>
      <c r="G413" s="3278">
        <v>6600</v>
      </c>
      <c r="H413" s="3299">
        <v>0</v>
      </c>
      <c r="I413" s="3278">
        <v>0</v>
      </c>
    </row>
    <row r="414" ht="12.75" customHeight="1" spans="2:9">
      <c r="B414" s="3274">
        <v>402</v>
      </c>
      <c r="D414" s="3297" t="s">
        <v>3115</v>
      </c>
      <c r="E414" s="3298" t="s">
        <v>3116</v>
      </c>
      <c r="F414" s="3298" t="s">
        <v>2367</v>
      </c>
      <c r="G414" s="3278">
        <v>0</v>
      </c>
      <c r="H414" s="3299">
        <v>0</v>
      </c>
      <c r="I414" s="3278">
        <v>0</v>
      </c>
    </row>
    <row r="415" ht="12.75" customHeight="1" spans="2:9">
      <c r="B415" s="3274">
        <v>403</v>
      </c>
      <c r="D415" s="3297" t="s">
        <v>3117</v>
      </c>
      <c r="E415" s="3298" t="s">
        <v>3118</v>
      </c>
      <c r="F415" s="3298" t="s">
        <v>2293</v>
      </c>
      <c r="G415" s="3278">
        <v>9614</v>
      </c>
      <c r="H415" s="3299">
        <v>600</v>
      </c>
      <c r="I415" s="3278">
        <v>5768400</v>
      </c>
    </row>
    <row r="416" ht="12.75" customHeight="1" spans="2:9">
      <c r="B416" s="3274">
        <v>404</v>
      </c>
      <c r="D416" s="3297" t="s">
        <v>3119</v>
      </c>
      <c r="E416" s="3298" t="s">
        <v>3120</v>
      </c>
      <c r="F416" s="3298" t="s">
        <v>2299</v>
      </c>
      <c r="G416" s="3278">
        <v>1200</v>
      </c>
      <c r="H416" s="3299">
        <v>0</v>
      </c>
      <c r="I416" s="3278">
        <v>0</v>
      </c>
    </row>
    <row r="417" ht="12.75" customHeight="1" spans="2:9">
      <c r="B417" s="3274">
        <v>405</v>
      </c>
      <c r="D417" s="3297" t="s">
        <v>3121</v>
      </c>
      <c r="E417" s="3298" t="s">
        <v>3122</v>
      </c>
      <c r="F417" s="3298" t="s">
        <v>2843</v>
      </c>
      <c r="G417" s="3278">
        <v>0</v>
      </c>
      <c r="H417" s="3299">
        <v>0</v>
      </c>
      <c r="I417" s="3278">
        <v>0</v>
      </c>
    </row>
    <row r="418" ht="12.75" customHeight="1" spans="2:9">
      <c r="B418" s="3274">
        <v>406</v>
      </c>
      <c r="D418" s="3297" t="s">
        <v>3123</v>
      </c>
      <c r="E418" s="3298" t="s">
        <v>3124</v>
      </c>
      <c r="F418" s="3298" t="s">
        <v>2299</v>
      </c>
      <c r="G418" s="3278">
        <v>55000</v>
      </c>
      <c r="H418" s="3299">
        <v>0</v>
      </c>
      <c r="I418" s="3278">
        <v>0</v>
      </c>
    </row>
    <row r="419" ht="12.75" customHeight="1" spans="2:9">
      <c r="B419" s="3274">
        <v>407</v>
      </c>
      <c r="D419" s="3297" t="s">
        <v>3125</v>
      </c>
      <c r="E419" s="3298" t="s">
        <v>3126</v>
      </c>
      <c r="F419" s="3298" t="s">
        <v>2299</v>
      </c>
      <c r="G419" s="3278">
        <v>55000</v>
      </c>
      <c r="H419" s="3299">
        <v>0</v>
      </c>
      <c r="I419" s="3278">
        <v>0</v>
      </c>
    </row>
    <row r="420" ht="12.75" customHeight="1" spans="2:9">
      <c r="B420" s="3274">
        <v>408</v>
      </c>
      <c r="D420" s="3297" t="s">
        <v>3127</v>
      </c>
      <c r="E420" s="3298" t="s">
        <v>3128</v>
      </c>
      <c r="F420" s="3298" t="s">
        <v>2299</v>
      </c>
      <c r="G420" s="3278">
        <v>46200</v>
      </c>
      <c r="H420" s="3299">
        <v>0</v>
      </c>
      <c r="I420" s="3278">
        <v>0</v>
      </c>
    </row>
    <row r="421" ht="12.75" customHeight="1" spans="2:9">
      <c r="B421" s="3274">
        <v>409</v>
      </c>
      <c r="D421" s="3297" t="s">
        <v>3129</v>
      </c>
      <c r="E421" s="3298" t="s">
        <v>3130</v>
      </c>
      <c r="F421" s="3298" t="s">
        <v>2299</v>
      </c>
      <c r="G421" s="3278">
        <v>71500</v>
      </c>
      <c r="H421" s="3299">
        <v>0</v>
      </c>
      <c r="I421" s="3278">
        <v>0</v>
      </c>
    </row>
    <row r="422" ht="12.75" customHeight="1" spans="2:9">
      <c r="B422" s="3274">
        <v>410</v>
      </c>
      <c r="D422" s="3297" t="s">
        <v>3131</v>
      </c>
      <c r="E422" s="3298" t="s">
        <v>3132</v>
      </c>
      <c r="F422" s="3298" t="s">
        <v>2299</v>
      </c>
      <c r="G422" s="3278">
        <v>974737.5</v>
      </c>
      <c r="H422" s="3299">
        <v>3</v>
      </c>
      <c r="I422" s="3278">
        <v>2924212.5</v>
      </c>
    </row>
    <row r="423" ht="12.75" customHeight="1" spans="2:9">
      <c r="B423" s="3274">
        <v>411</v>
      </c>
      <c r="D423" s="3297" t="s">
        <v>3133</v>
      </c>
      <c r="E423" s="3298" t="s">
        <v>3134</v>
      </c>
      <c r="F423" s="3298" t="s">
        <v>2299</v>
      </c>
      <c r="G423" s="3278">
        <v>0</v>
      </c>
      <c r="H423" s="3299">
        <v>0</v>
      </c>
      <c r="I423" s="3278">
        <v>0</v>
      </c>
    </row>
    <row r="424" ht="12.75" customHeight="1" spans="2:9">
      <c r="B424" s="3274">
        <v>412</v>
      </c>
      <c r="D424" s="3297" t="s">
        <v>3135</v>
      </c>
      <c r="E424" s="3298" t="s">
        <v>3136</v>
      </c>
      <c r="F424" s="3298" t="s">
        <v>2299</v>
      </c>
      <c r="G424" s="3278">
        <v>4603.5</v>
      </c>
      <c r="H424" s="3299">
        <v>100</v>
      </c>
      <c r="I424" s="3278">
        <v>460350</v>
      </c>
    </row>
    <row r="425" ht="12.75" customHeight="1" spans="2:9">
      <c r="B425" s="3274">
        <v>413</v>
      </c>
      <c r="D425" s="3297" t="s">
        <v>3137</v>
      </c>
      <c r="E425" s="3298" t="s">
        <v>3138</v>
      </c>
      <c r="F425" s="3298" t="s">
        <v>2293</v>
      </c>
      <c r="G425" s="3278">
        <v>0</v>
      </c>
      <c r="H425" s="3299">
        <v>0</v>
      </c>
      <c r="I425" s="3278">
        <v>0</v>
      </c>
    </row>
    <row r="426" ht="12.75" customHeight="1" spans="2:9">
      <c r="B426" s="3274">
        <v>414</v>
      </c>
      <c r="D426" s="3297" t="s">
        <v>3139</v>
      </c>
      <c r="E426" s="3298" t="s">
        <v>3140</v>
      </c>
      <c r="F426" s="3298" t="s">
        <v>2367</v>
      </c>
      <c r="G426" s="3278">
        <v>935000</v>
      </c>
      <c r="H426" s="3299">
        <v>0</v>
      </c>
      <c r="I426" s="3278">
        <v>0</v>
      </c>
    </row>
    <row r="427" ht="12.75" customHeight="1" spans="2:9">
      <c r="B427" s="3274">
        <v>415</v>
      </c>
      <c r="D427" s="3297" t="s">
        <v>3141</v>
      </c>
      <c r="E427" s="3298" t="s">
        <v>3142</v>
      </c>
      <c r="F427" s="3298" t="s">
        <v>2321</v>
      </c>
      <c r="G427" s="3278">
        <v>2984668.5</v>
      </c>
      <c r="H427" s="3299">
        <v>0</v>
      </c>
      <c r="I427" s="3278">
        <v>0</v>
      </c>
    </row>
    <row r="428" ht="12.75" customHeight="1" spans="2:9">
      <c r="B428" s="3274">
        <v>416</v>
      </c>
      <c r="D428" s="3297" t="s">
        <v>3143</v>
      </c>
      <c r="E428" s="3298" t="s">
        <v>3144</v>
      </c>
      <c r="F428" s="3298" t="s">
        <v>2299</v>
      </c>
      <c r="G428" s="3278">
        <v>0</v>
      </c>
      <c r="H428" s="3299">
        <v>0</v>
      </c>
      <c r="I428" s="3278">
        <v>0</v>
      </c>
    </row>
    <row r="429" ht="12.75" customHeight="1" spans="2:9">
      <c r="B429" s="3274">
        <v>417</v>
      </c>
      <c r="D429" s="3297" t="s">
        <v>3145</v>
      </c>
      <c r="E429" s="3298" t="s">
        <v>3146</v>
      </c>
      <c r="F429" s="3298" t="s">
        <v>2299</v>
      </c>
      <c r="G429" s="3278">
        <v>34056</v>
      </c>
      <c r="H429" s="3299">
        <v>25</v>
      </c>
      <c r="I429" s="3278">
        <v>851400</v>
      </c>
    </row>
    <row r="430" ht="12.75" customHeight="1" spans="2:9">
      <c r="B430" s="3274">
        <v>418</v>
      </c>
      <c r="D430" s="3297" t="s">
        <v>3147</v>
      </c>
      <c r="E430" s="3298" t="s">
        <v>3148</v>
      </c>
      <c r="F430" s="3298" t="s">
        <v>2565</v>
      </c>
      <c r="G430" s="3278">
        <v>2895750</v>
      </c>
      <c r="H430" s="3299">
        <v>0</v>
      </c>
      <c r="I430" s="3278">
        <v>0</v>
      </c>
    </row>
    <row r="431" ht="12.75" customHeight="1" spans="2:9">
      <c r="B431" s="3274">
        <v>419</v>
      </c>
      <c r="D431" s="3297" t="s">
        <v>3149</v>
      </c>
      <c r="E431" s="3298" t="s">
        <v>3150</v>
      </c>
      <c r="F431" s="3298" t="s">
        <v>2299</v>
      </c>
      <c r="G431" s="3278">
        <v>264</v>
      </c>
      <c r="H431" s="3299">
        <v>5400</v>
      </c>
      <c r="I431" s="3278">
        <v>1425600</v>
      </c>
    </row>
    <row r="432" ht="12.75" customHeight="1" spans="2:9">
      <c r="B432" s="3274">
        <v>420</v>
      </c>
      <c r="D432" s="3297" t="s">
        <v>3151</v>
      </c>
      <c r="E432" s="3298" t="s">
        <v>3152</v>
      </c>
      <c r="F432" s="3298" t="s">
        <v>2367</v>
      </c>
      <c r="G432" s="3278">
        <v>514250</v>
      </c>
      <c r="H432" s="3299">
        <v>0</v>
      </c>
      <c r="I432" s="3278">
        <v>0</v>
      </c>
    </row>
    <row r="433" ht="12.75" customHeight="1" spans="2:9">
      <c r="B433" s="3274">
        <v>421</v>
      </c>
      <c r="D433" s="3297" t="s">
        <v>3153</v>
      </c>
      <c r="E433" s="3298" t="s">
        <v>3154</v>
      </c>
      <c r="F433" s="3298" t="s">
        <v>2293</v>
      </c>
      <c r="G433" s="3278">
        <v>550000</v>
      </c>
      <c r="H433" s="3299">
        <v>0</v>
      </c>
      <c r="I433" s="3278">
        <v>0</v>
      </c>
    </row>
    <row r="434" ht="12.75" customHeight="1" spans="2:9">
      <c r="B434" s="3274">
        <v>422</v>
      </c>
      <c r="D434" s="3297" t="s">
        <v>3155</v>
      </c>
      <c r="E434" s="3298" t="s">
        <v>3156</v>
      </c>
      <c r="F434" s="3298" t="s">
        <v>2299</v>
      </c>
      <c r="G434" s="3278">
        <v>7012.5</v>
      </c>
      <c r="H434" s="3299">
        <v>100</v>
      </c>
      <c r="I434" s="3278">
        <v>701250</v>
      </c>
    </row>
    <row r="435" ht="12.75" customHeight="1" spans="2:9">
      <c r="B435" s="3274">
        <v>423</v>
      </c>
      <c r="D435" s="3297" t="s">
        <v>3157</v>
      </c>
      <c r="E435" s="3298" t="s">
        <v>3158</v>
      </c>
      <c r="F435" s="3298" t="s">
        <v>2299</v>
      </c>
      <c r="G435" s="3278">
        <v>7012.5</v>
      </c>
      <c r="H435" s="3299">
        <v>0</v>
      </c>
      <c r="I435" s="3278">
        <v>0</v>
      </c>
    </row>
    <row r="436" ht="12.75" customHeight="1" spans="2:9">
      <c r="B436" s="3274">
        <v>424</v>
      </c>
      <c r="D436" s="3297" t="s">
        <v>3159</v>
      </c>
      <c r="E436" s="3298" t="s">
        <v>3160</v>
      </c>
      <c r="F436" s="3298" t="s">
        <v>2299</v>
      </c>
      <c r="G436" s="3278">
        <v>7012.5</v>
      </c>
      <c r="H436" s="3299">
        <v>100</v>
      </c>
      <c r="I436" s="3278">
        <v>701250</v>
      </c>
    </row>
    <row r="437" ht="12.75" customHeight="1" spans="2:9">
      <c r="B437" s="3274">
        <v>425</v>
      </c>
      <c r="D437" s="3297" t="s">
        <v>3161</v>
      </c>
      <c r="E437" s="3298" t="s">
        <v>3162</v>
      </c>
      <c r="F437" s="3298" t="s">
        <v>2299</v>
      </c>
      <c r="G437" s="3278">
        <v>50000</v>
      </c>
      <c r="H437" s="3299">
        <v>0</v>
      </c>
      <c r="I437" s="3278">
        <v>0</v>
      </c>
    </row>
    <row r="438" ht="12.75" customHeight="1" spans="2:9">
      <c r="B438" s="3274">
        <v>426</v>
      </c>
      <c r="D438" s="3297" t="s">
        <v>3163</v>
      </c>
      <c r="E438" s="3298" t="s">
        <v>3164</v>
      </c>
      <c r="F438" s="3298" t="s">
        <v>2321</v>
      </c>
      <c r="G438" s="3278">
        <v>874500</v>
      </c>
      <c r="H438" s="3299">
        <v>0</v>
      </c>
      <c r="I438" s="3278">
        <v>0</v>
      </c>
    </row>
    <row r="439" ht="12.75" customHeight="1" spans="2:9">
      <c r="B439" s="3274">
        <v>427</v>
      </c>
      <c r="D439" s="3297" t="s">
        <v>3165</v>
      </c>
      <c r="E439" s="3298" t="s">
        <v>3166</v>
      </c>
      <c r="F439" s="3298" t="s">
        <v>2321</v>
      </c>
      <c r="G439" s="3278">
        <v>88000</v>
      </c>
      <c r="H439" s="3299">
        <v>0</v>
      </c>
      <c r="I439" s="3278">
        <v>0</v>
      </c>
    </row>
    <row r="440" ht="12.75" customHeight="1" spans="2:9">
      <c r="B440" s="3274">
        <v>428</v>
      </c>
      <c r="D440" s="3297" t="s">
        <v>3167</v>
      </c>
      <c r="E440" s="3298" t="s">
        <v>3168</v>
      </c>
      <c r="F440" s="3298" t="s">
        <v>2299</v>
      </c>
      <c r="G440" s="3278">
        <v>37766.6609</v>
      </c>
      <c r="H440" s="3299">
        <v>0</v>
      </c>
      <c r="I440" s="3278">
        <v>0</v>
      </c>
    </row>
    <row r="441" ht="12.75" customHeight="1" spans="2:9">
      <c r="B441" s="3274">
        <v>429</v>
      </c>
      <c r="D441" s="3297" t="s">
        <v>3169</v>
      </c>
      <c r="E441" s="3298" t="s">
        <v>3170</v>
      </c>
      <c r="F441" s="3298" t="s">
        <v>2299</v>
      </c>
      <c r="G441" s="3278">
        <v>79890</v>
      </c>
      <c r="H441" s="3299">
        <v>0</v>
      </c>
      <c r="I441" s="3278">
        <v>0</v>
      </c>
    </row>
    <row r="442" ht="12.75" customHeight="1" spans="2:9">
      <c r="B442" s="3274">
        <v>430</v>
      </c>
      <c r="D442" s="3297" t="s">
        <v>3171</v>
      </c>
      <c r="E442" s="3298" t="s">
        <v>3172</v>
      </c>
      <c r="F442" s="3298" t="s">
        <v>2299</v>
      </c>
      <c r="G442" s="3278">
        <v>99492.8</v>
      </c>
      <c r="H442" s="3299">
        <v>0</v>
      </c>
      <c r="I442" s="3278">
        <v>0</v>
      </c>
    </row>
    <row r="443" ht="12.75" customHeight="1" spans="2:9">
      <c r="B443" s="3274">
        <v>431</v>
      </c>
      <c r="D443" s="3297" t="s">
        <v>3173</v>
      </c>
      <c r="E443" s="3298" t="s">
        <v>3174</v>
      </c>
      <c r="F443" s="3298" t="s">
        <v>2299</v>
      </c>
      <c r="G443" s="3278">
        <v>122452</v>
      </c>
      <c r="H443" s="3299">
        <v>0</v>
      </c>
      <c r="I443" s="3278">
        <v>0</v>
      </c>
    </row>
    <row r="444" ht="12.75" customHeight="1" spans="2:9">
      <c r="B444" s="3274">
        <v>432</v>
      </c>
      <c r="D444" s="3297" t="s">
        <v>3175</v>
      </c>
      <c r="E444" s="3298" t="s">
        <v>3176</v>
      </c>
      <c r="F444" s="3298" t="s">
        <v>2293</v>
      </c>
      <c r="G444" s="3278">
        <v>10500</v>
      </c>
      <c r="H444" s="3299">
        <v>0</v>
      </c>
      <c r="I444" s="3278">
        <v>0</v>
      </c>
    </row>
    <row r="445" ht="12.75" customHeight="1" spans="2:9">
      <c r="B445" s="3274">
        <v>433</v>
      </c>
      <c r="D445" s="3297" t="s">
        <v>3177</v>
      </c>
      <c r="E445" s="3298" t="s">
        <v>3178</v>
      </c>
      <c r="F445" s="3298" t="s">
        <v>2293</v>
      </c>
      <c r="G445" s="3278">
        <v>0</v>
      </c>
      <c r="H445" s="3299">
        <v>0</v>
      </c>
      <c r="I445" s="3278">
        <v>0</v>
      </c>
    </row>
    <row r="446" ht="12.75" customHeight="1" spans="2:9">
      <c r="B446" s="3274">
        <v>434</v>
      </c>
      <c r="D446" s="3297" t="s">
        <v>3179</v>
      </c>
      <c r="E446" s="3298" t="s">
        <v>3180</v>
      </c>
      <c r="F446" s="3298" t="s">
        <v>2299</v>
      </c>
      <c r="G446" s="3278">
        <v>6050</v>
      </c>
      <c r="H446" s="3299">
        <v>200</v>
      </c>
      <c r="I446" s="3278">
        <v>1210000</v>
      </c>
    </row>
    <row r="447" ht="12.75" customHeight="1" spans="2:9">
      <c r="B447" s="3274">
        <v>435</v>
      </c>
      <c r="D447" s="3297" t="s">
        <v>3181</v>
      </c>
      <c r="E447" s="3298" t="s">
        <v>3182</v>
      </c>
      <c r="F447" s="3298" t="s">
        <v>2299</v>
      </c>
      <c r="G447" s="3278">
        <v>0</v>
      </c>
      <c r="H447" s="3299">
        <v>0</v>
      </c>
      <c r="I447" s="3278">
        <v>0</v>
      </c>
    </row>
    <row r="448" ht="12.75" customHeight="1" spans="2:9">
      <c r="B448" s="3274">
        <v>436</v>
      </c>
      <c r="D448" s="3297" t="s">
        <v>3183</v>
      </c>
      <c r="E448" s="3298" t="s">
        <v>3184</v>
      </c>
      <c r="F448" s="3298" t="s">
        <v>2299</v>
      </c>
      <c r="G448" s="3278">
        <v>39600</v>
      </c>
      <c r="H448" s="3299">
        <v>0</v>
      </c>
      <c r="I448" s="3278">
        <v>0</v>
      </c>
    </row>
    <row r="449" ht="12.75" customHeight="1" spans="2:9">
      <c r="B449" s="3274">
        <v>437</v>
      </c>
      <c r="D449" s="3297" t="s">
        <v>3185</v>
      </c>
      <c r="E449" s="3298" t="s">
        <v>3186</v>
      </c>
      <c r="F449" s="3298" t="s">
        <v>2299</v>
      </c>
      <c r="G449" s="3278">
        <v>49500</v>
      </c>
      <c r="H449" s="3299">
        <v>0</v>
      </c>
      <c r="I449" s="3278">
        <v>0</v>
      </c>
    </row>
    <row r="450" ht="12.75" customHeight="1" spans="2:9">
      <c r="B450" s="3274">
        <v>438</v>
      </c>
      <c r="D450" s="3297" t="s">
        <v>3187</v>
      </c>
      <c r="E450" s="3298" t="s">
        <v>3188</v>
      </c>
      <c r="F450" s="3298" t="s">
        <v>2457</v>
      </c>
      <c r="G450" s="3278">
        <v>1320000</v>
      </c>
      <c r="H450" s="3299">
        <v>0</v>
      </c>
      <c r="I450" s="3278">
        <v>0</v>
      </c>
    </row>
    <row r="451" ht="12.75" customHeight="1" spans="2:9">
      <c r="B451" s="3274">
        <v>439</v>
      </c>
      <c r="D451" s="3297" t="s">
        <v>3189</v>
      </c>
      <c r="E451" s="3298" t="s">
        <v>3190</v>
      </c>
      <c r="F451" s="3298" t="s">
        <v>2321</v>
      </c>
      <c r="G451" s="3278">
        <v>858000</v>
      </c>
      <c r="H451" s="3299">
        <v>0</v>
      </c>
      <c r="I451" s="3278">
        <v>0</v>
      </c>
    </row>
    <row r="452" ht="12.75" customHeight="1" spans="2:9">
      <c r="B452" s="3274">
        <v>440</v>
      </c>
      <c r="D452" s="3297" t="s">
        <v>3191</v>
      </c>
      <c r="E452" s="3298" t="s">
        <v>3192</v>
      </c>
      <c r="F452" s="3298" t="s">
        <v>2299</v>
      </c>
      <c r="G452" s="3278">
        <v>88000</v>
      </c>
      <c r="H452" s="3299">
        <v>24</v>
      </c>
      <c r="I452" s="3278">
        <v>2112000</v>
      </c>
    </row>
    <row r="453" ht="12.75" customHeight="1" spans="2:9">
      <c r="B453" s="3274">
        <v>441</v>
      </c>
      <c r="D453" s="3297" t="s">
        <v>3193</v>
      </c>
      <c r="E453" s="3298" t="s">
        <v>3194</v>
      </c>
      <c r="F453" s="3298" t="s">
        <v>2296</v>
      </c>
      <c r="G453" s="3278">
        <v>101200</v>
      </c>
      <c r="H453" s="3299">
        <v>50</v>
      </c>
      <c r="I453" s="3278">
        <v>5060000</v>
      </c>
    </row>
    <row r="454" ht="12.75" customHeight="1" spans="2:9">
      <c r="B454" s="3274">
        <v>442</v>
      </c>
      <c r="D454" s="3297" t="s">
        <v>3195</v>
      </c>
      <c r="E454" s="3298" t="s">
        <v>3196</v>
      </c>
      <c r="F454" s="3298" t="s">
        <v>2299</v>
      </c>
      <c r="G454" s="3278">
        <v>1290</v>
      </c>
      <c r="H454" s="3299">
        <v>0</v>
      </c>
      <c r="I454" s="3278">
        <v>0</v>
      </c>
    </row>
    <row r="455" ht="12.75" customHeight="1" spans="2:9">
      <c r="B455" s="3274">
        <v>443</v>
      </c>
      <c r="D455" s="3297" t="s">
        <v>3197</v>
      </c>
      <c r="E455" s="3298" t="s">
        <v>3198</v>
      </c>
      <c r="F455" s="3298" t="s">
        <v>2367</v>
      </c>
      <c r="G455" s="3278">
        <v>522500</v>
      </c>
      <c r="H455" s="3299">
        <v>0</v>
      </c>
      <c r="I455" s="3278">
        <v>0</v>
      </c>
    </row>
    <row r="456" ht="12.75" customHeight="1" spans="2:9">
      <c r="B456" s="3274">
        <v>444</v>
      </c>
      <c r="D456" s="3297" t="s">
        <v>3199</v>
      </c>
      <c r="E456" s="3298" t="s">
        <v>3200</v>
      </c>
      <c r="F456" s="3298" t="s">
        <v>2367</v>
      </c>
      <c r="G456" s="3278">
        <v>935000</v>
      </c>
      <c r="H456" s="3299">
        <v>0</v>
      </c>
      <c r="I456" s="3278">
        <v>0</v>
      </c>
    </row>
    <row r="457" ht="12.75" customHeight="1" spans="2:9">
      <c r="B457" s="3274">
        <v>445</v>
      </c>
      <c r="D457" s="3297" t="s">
        <v>3201</v>
      </c>
      <c r="E457" s="3298" t="s">
        <v>3202</v>
      </c>
      <c r="F457" s="3298" t="s">
        <v>2367</v>
      </c>
      <c r="G457" s="3278">
        <v>1210000</v>
      </c>
      <c r="H457" s="3299">
        <v>0</v>
      </c>
      <c r="I457" s="3278">
        <v>0</v>
      </c>
    </row>
    <row r="458" ht="12.75" customHeight="1" spans="2:9">
      <c r="B458" s="3274">
        <v>446</v>
      </c>
      <c r="D458" s="3297" t="s">
        <v>3203</v>
      </c>
      <c r="E458" s="3298" t="s">
        <v>3204</v>
      </c>
      <c r="F458" s="3298" t="s">
        <v>2293</v>
      </c>
      <c r="G458" s="3278">
        <v>13805.8944</v>
      </c>
      <c r="H458" s="3299">
        <v>55</v>
      </c>
      <c r="I458" s="3278">
        <v>759324.192</v>
      </c>
    </row>
    <row r="459" ht="12.75" customHeight="1" spans="2:9">
      <c r="B459" s="3274">
        <v>447</v>
      </c>
      <c r="D459" s="3297" t="s">
        <v>3205</v>
      </c>
      <c r="E459" s="3298" t="s">
        <v>3206</v>
      </c>
      <c r="F459" s="3298" t="s">
        <v>2299</v>
      </c>
      <c r="G459" s="3278">
        <v>275</v>
      </c>
      <c r="H459" s="3299">
        <v>200</v>
      </c>
      <c r="I459" s="3278">
        <v>55000</v>
      </c>
    </row>
    <row r="460" ht="12.75" customHeight="1" spans="2:9">
      <c r="B460" s="3274">
        <v>448</v>
      </c>
      <c r="D460" s="3297" t="s">
        <v>3207</v>
      </c>
      <c r="E460" s="3298" t="s">
        <v>3208</v>
      </c>
      <c r="F460" s="3298" t="s">
        <v>2299</v>
      </c>
      <c r="G460" s="3278">
        <v>250</v>
      </c>
      <c r="H460" s="3299">
        <v>0</v>
      </c>
      <c r="I460" s="3278">
        <v>0</v>
      </c>
    </row>
    <row r="461" ht="12.75" customHeight="1" spans="2:9">
      <c r="B461" s="3274">
        <v>449</v>
      </c>
      <c r="D461" s="3297" t="s">
        <v>3209</v>
      </c>
      <c r="E461" s="3298" t="s">
        <v>3210</v>
      </c>
      <c r="F461" s="3298" t="s">
        <v>2299</v>
      </c>
      <c r="G461" s="3278">
        <v>0</v>
      </c>
      <c r="H461" s="3299">
        <v>0</v>
      </c>
      <c r="I461" s="3278">
        <v>0</v>
      </c>
    </row>
    <row r="462" ht="12.75" customHeight="1" spans="2:9">
      <c r="B462" s="3274">
        <v>450</v>
      </c>
      <c r="D462" s="3297" t="s">
        <v>3211</v>
      </c>
      <c r="E462" s="3298" t="s">
        <v>3212</v>
      </c>
      <c r="F462" s="3298" t="s">
        <v>2299</v>
      </c>
      <c r="G462" s="3278">
        <v>605</v>
      </c>
      <c r="H462" s="3299">
        <v>3000</v>
      </c>
      <c r="I462" s="3278">
        <v>1815000</v>
      </c>
    </row>
    <row r="463" ht="12.75" customHeight="1" spans="2:9">
      <c r="B463" s="3274">
        <v>451</v>
      </c>
      <c r="D463" s="3297" t="s">
        <v>3213</v>
      </c>
      <c r="E463" s="3298" t="s">
        <v>3214</v>
      </c>
      <c r="F463" s="3298" t="s">
        <v>2321</v>
      </c>
      <c r="G463" s="3278">
        <v>240900</v>
      </c>
      <c r="H463" s="3299">
        <v>0</v>
      </c>
      <c r="I463" s="3278">
        <v>0</v>
      </c>
    </row>
    <row r="464" ht="12.75" customHeight="1" spans="2:9">
      <c r="B464" s="3274">
        <v>452</v>
      </c>
      <c r="D464" s="3297" t="s">
        <v>3215</v>
      </c>
      <c r="E464" s="3298" t="s">
        <v>3216</v>
      </c>
      <c r="F464" s="3298" t="s">
        <v>2293</v>
      </c>
      <c r="G464" s="3278">
        <v>3300</v>
      </c>
      <c r="H464" s="3299">
        <v>450</v>
      </c>
      <c r="I464" s="3278">
        <v>1485000</v>
      </c>
    </row>
    <row r="465" ht="12.75" customHeight="1" spans="2:9">
      <c r="B465" s="3274">
        <v>453</v>
      </c>
      <c r="D465" s="3297" t="s">
        <v>3217</v>
      </c>
      <c r="E465" s="3298" t="s">
        <v>3218</v>
      </c>
      <c r="F465" s="3298" t="s">
        <v>2299</v>
      </c>
      <c r="G465" s="3278">
        <v>2750</v>
      </c>
      <c r="H465" s="3299">
        <v>0</v>
      </c>
      <c r="I465" s="3278">
        <v>0</v>
      </c>
    </row>
    <row r="466" ht="12.75" customHeight="1" spans="2:9">
      <c r="B466" s="3274">
        <v>454</v>
      </c>
      <c r="D466" s="3297" t="s">
        <v>3219</v>
      </c>
      <c r="E466" s="3298" t="s">
        <v>3220</v>
      </c>
      <c r="F466" s="3298" t="s">
        <v>2299</v>
      </c>
      <c r="G466" s="3278">
        <v>110511</v>
      </c>
      <c r="H466" s="3299">
        <v>0</v>
      </c>
      <c r="I466" s="3278">
        <v>0</v>
      </c>
    </row>
    <row r="467" ht="12.75" customHeight="1" spans="2:9">
      <c r="B467" s="3274">
        <v>455</v>
      </c>
      <c r="D467" s="3297" t="s">
        <v>3221</v>
      </c>
      <c r="E467" s="3298" t="s">
        <v>3222</v>
      </c>
      <c r="F467" s="3298" t="s">
        <v>2299</v>
      </c>
      <c r="G467" s="3278">
        <v>1500000</v>
      </c>
      <c r="H467" s="3299">
        <v>0</v>
      </c>
      <c r="I467" s="3278">
        <v>0</v>
      </c>
    </row>
    <row r="468" ht="12.75" customHeight="1" spans="2:9">
      <c r="B468" s="3274">
        <v>456</v>
      </c>
      <c r="D468" s="3297" t="s">
        <v>3223</v>
      </c>
      <c r="E468" s="3298" t="s">
        <v>3224</v>
      </c>
      <c r="F468" s="3298" t="s">
        <v>2299</v>
      </c>
      <c r="G468" s="3278">
        <v>0</v>
      </c>
      <c r="H468" s="3299">
        <v>0</v>
      </c>
      <c r="I468" s="3278">
        <v>0</v>
      </c>
    </row>
    <row r="469" ht="12.75" customHeight="1" spans="2:9">
      <c r="B469" s="3274">
        <v>457</v>
      </c>
      <c r="D469" s="3297" t="s">
        <v>3225</v>
      </c>
      <c r="E469" s="3298" t="s">
        <v>3226</v>
      </c>
      <c r="F469" s="3298" t="s">
        <v>2299</v>
      </c>
      <c r="G469" s="3278">
        <v>8400000</v>
      </c>
      <c r="H469" s="3299">
        <v>0</v>
      </c>
      <c r="I469" s="3278">
        <v>0</v>
      </c>
    </row>
    <row r="470" ht="12.75" customHeight="1" spans="2:9">
      <c r="B470" s="3274">
        <v>458</v>
      </c>
      <c r="D470" s="3297" t="s">
        <v>3227</v>
      </c>
      <c r="E470" s="3298" t="s">
        <v>3228</v>
      </c>
      <c r="F470" s="3298" t="s">
        <v>2321</v>
      </c>
      <c r="G470" s="3278">
        <v>36300</v>
      </c>
      <c r="H470" s="3299">
        <v>0</v>
      </c>
      <c r="I470" s="3278">
        <v>0</v>
      </c>
    </row>
    <row r="471" ht="12.75" customHeight="1" spans="2:9">
      <c r="B471" s="3274">
        <v>459</v>
      </c>
      <c r="D471" s="3297" t="s">
        <v>3229</v>
      </c>
      <c r="E471" s="3298" t="s">
        <v>3230</v>
      </c>
      <c r="F471" s="3298" t="s">
        <v>2843</v>
      </c>
      <c r="G471" s="3278">
        <v>0</v>
      </c>
      <c r="H471" s="3299">
        <v>0</v>
      </c>
      <c r="I471" s="3278">
        <v>0</v>
      </c>
    </row>
    <row r="472" ht="12.75" customHeight="1" spans="2:9">
      <c r="B472" s="3274">
        <v>460</v>
      </c>
      <c r="D472" s="3297" t="s">
        <v>3231</v>
      </c>
      <c r="E472" s="3298" t="s">
        <v>3232</v>
      </c>
      <c r="F472" s="3298" t="s">
        <v>2299</v>
      </c>
      <c r="G472" s="3278">
        <v>214500</v>
      </c>
      <c r="H472" s="3299">
        <v>0</v>
      </c>
      <c r="I472" s="3278">
        <v>0</v>
      </c>
    </row>
    <row r="473" ht="12.75" customHeight="1" spans="2:9">
      <c r="B473" s="3274">
        <v>461</v>
      </c>
      <c r="D473" s="3297" t="s">
        <v>3233</v>
      </c>
      <c r="E473" s="3298" t="s">
        <v>3234</v>
      </c>
      <c r="F473" s="3298" t="s">
        <v>2321</v>
      </c>
      <c r="G473" s="3278">
        <v>575000</v>
      </c>
      <c r="H473" s="3299">
        <v>0</v>
      </c>
      <c r="I473" s="3278">
        <v>0</v>
      </c>
    </row>
    <row r="474" ht="12.75" customHeight="1" spans="2:9">
      <c r="B474" s="3274">
        <v>462</v>
      </c>
      <c r="D474" s="3297" t="s">
        <v>3235</v>
      </c>
      <c r="E474" s="3298" t="s">
        <v>3236</v>
      </c>
      <c r="F474" s="3298" t="s">
        <v>2565</v>
      </c>
      <c r="G474" s="3278">
        <v>31625</v>
      </c>
      <c r="H474" s="3299">
        <v>40</v>
      </c>
      <c r="I474" s="3278">
        <v>1265000</v>
      </c>
    </row>
    <row r="475" ht="12.75" customHeight="1" spans="2:9">
      <c r="B475" s="3274">
        <v>463</v>
      </c>
      <c r="D475" s="3297" t="s">
        <v>3237</v>
      </c>
      <c r="E475" s="3298" t="s">
        <v>3238</v>
      </c>
      <c r="F475" s="3298" t="s">
        <v>2565</v>
      </c>
      <c r="G475" s="3278">
        <v>83999.9961</v>
      </c>
      <c r="H475" s="3299">
        <v>0</v>
      </c>
      <c r="I475" s="3278">
        <v>0</v>
      </c>
    </row>
    <row r="476" ht="12.75" customHeight="1" spans="2:9">
      <c r="B476" s="3274">
        <v>464</v>
      </c>
      <c r="D476" s="3297" t="s">
        <v>3239</v>
      </c>
      <c r="E476" s="3298" t="s">
        <v>3240</v>
      </c>
      <c r="F476" s="3298" t="s">
        <v>2299</v>
      </c>
      <c r="G476" s="3278">
        <v>187000</v>
      </c>
      <c r="H476" s="3299">
        <v>0</v>
      </c>
      <c r="I476" s="3278">
        <v>0</v>
      </c>
    </row>
    <row r="477" ht="12.75" customHeight="1" spans="2:9">
      <c r="B477" s="3274">
        <v>465</v>
      </c>
      <c r="D477" s="3297" t="s">
        <v>3241</v>
      </c>
      <c r="E477" s="3298" t="s">
        <v>3242</v>
      </c>
      <c r="F477" s="3298" t="s">
        <v>2299</v>
      </c>
      <c r="G477" s="3278">
        <v>37203.1</v>
      </c>
      <c r="H477" s="3299">
        <v>0</v>
      </c>
      <c r="I477" s="3278">
        <v>0</v>
      </c>
    </row>
    <row r="478" ht="12.75" customHeight="1" spans="2:9">
      <c r="B478" s="3274">
        <v>466</v>
      </c>
      <c r="D478" s="3297" t="s">
        <v>3243</v>
      </c>
      <c r="E478" s="3298" t="s">
        <v>3244</v>
      </c>
      <c r="F478" s="3298" t="s">
        <v>2299</v>
      </c>
      <c r="G478" s="3278">
        <v>34939</v>
      </c>
      <c r="H478" s="3299">
        <v>0</v>
      </c>
      <c r="I478" s="3278">
        <v>0</v>
      </c>
    </row>
    <row r="479" ht="12.75" customHeight="1" spans="2:9">
      <c r="B479" s="3274">
        <v>467</v>
      </c>
      <c r="D479" s="3297" t="s">
        <v>3245</v>
      </c>
      <c r="E479" s="3298" t="s">
        <v>3246</v>
      </c>
      <c r="F479" s="3298" t="s">
        <v>2299</v>
      </c>
      <c r="G479" s="3278">
        <v>48315.3</v>
      </c>
      <c r="H479" s="3299">
        <v>0</v>
      </c>
      <c r="I479" s="3278">
        <v>0</v>
      </c>
    </row>
    <row r="480" ht="12.75" customHeight="1" spans="2:9">
      <c r="B480" s="3274">
        <v>468</v>
      </c>
      <c r="D480" s="3297" t="s">
        <v>3247</v>
      </c>
      <c r="E480" s="3298" t="s">
        <v>3248</v>
      </c>
      <c r="F480" s="3298" t="s">
        <v>2299</v>
      </c>
      <c r="G480" s="3278">
        <v>58930.3</v>
      </c>
      <c r="H480" s="3299">
        <v>24</v>
      </c>
      <c r="I480" s="3278">
        <v>1414327.2</v>
      </c>
    </row>
    <row r="481" ht="12.75" customHeight="1" spans="2:9">
      <c r="B481" s="3274">
        <v>469</v>
      </c>
      <c r="D481" s="3297" t="s">
        <v>3249</v>
      </c>
      <c r="E481" s="3298" t="s">
        <v>3250</v>
      </c>
      <c r="F481" s="3298" t="s">
        <v>2299</v>
      </c>
      <c r="G481" s="3278">
        <v>794750</v>
      </c>
      <c r="H481" s="3299">
        <v>5</v>
      </c>
      <c r="I481" s="3278">
        <v>3973750</v>
      </c>
    </row>
    <row r="482" ht="12.75" customHeight="1" spans="2:9">
      <c r="B482" s="3274">
        <v>470</v>
      </c>
      <c r="D482" s="3297" t="s">
        <v>3251</v>
      </c>
      <c r="E482" s="3298" t="s">
        <v>3252</v>
      </c>
      <c r="F482" s="3298" t="s">
        <v>2293</v>
      </c>
      <c r="G482" s="3278">
        <v>1719630</v>
      </c>
      <c r="H482" s="3299">
        <v>1</v>
      </c>
      <c r="I482" s="3278">
        <v>1719630</v>
      </c>
    </row>
    <row r="483" ht="12.75" customHeight="1" spans="2:9">
      <c r="B483" s="3274">
        <v>471</v>
      </c>
      <c r="D483" s="3297" t="s">
        <v>3253</v>
      </c>
      <c r="E483" s="3298" t="s">
        <v>3254</v>
      </c>
      <c r="F483" s="3298" t="s">
        <v>2299</v>
      </c>
      <c r="G483" s="3278">
        <v>1078110</v>
      </c>
      <c r="H483" s="3299">
        <v>0</v>
      </c>
      <c r="I483" s="3278">
        <v>0</v>
      </c>
    </row>
    <row r="484" ht="12.75" customHeight="1" spans="2:9">
      <c r="B484" s="3274">
        <v>472</v>
      </c>
      <c r="D484" s="3297" t="s">
        <v>3255</v>
      </c>
      <c r="E484" s="3298" t="s">
        <v>3256</v>
      </c>
      <c r="F484" s="3298" t="s">
        <v>3257</v>
      </c>
      <c r="G484" s="3278">
        <v>418.737</v>
      </c>
      <c r="H484" s="3299">
        <v>3759</v>
      </c>
      <c r="I484" s="3278">
        <v>1574032.383</v>
      </c>
    </row>
    <row r="485" ht="12.75" customHeight="1" spans="2:9">
      <c r="B485" s="3274">
        <v>473</v>
      </c>
      <c r="D485" s="3297" t="s">
        <v>3258</v>
      </c>
      <c r="E485" s="3298" t="s">
        <v>3259</v>
      </c>
      <c r="F485" s="3298" t="s">
        <v>2296</v>
      </c>
      <c r="G485" s="3278">
        <v>82500</v>
      </c>
      <c r="H485" s="3299">
        <v>40</v>
      </c>
      <c r="I485" s="3278">
        <v>3300000</v>
      </c>
    </row>
    <row r="486" ht="12.75" customHeight="1" spans="2:9">
      <c r="B486" s="3274">
        <v>474</v>
      </c>
      <c r="D486" s="3297" t="s">
        <v>3260</v>
      </c>
      <c r="E486" s="3298" t="s">
        <v>3261</v>
      </c>
      <c r="F486" s="3298" t="s">
        <v>2299</v>
      </c>
      <c r="G486" s="3278">
        <v>0</v>
      </c>
      <c r="H486" s="3299">
        <v>0</v>
      </c>
      <c r="I486" s="3278">
        <v>0</v>
      </c>
    </row>
    <row r="487" ht="12.75" customHeight="1" spans="2:9">
      <c r="B487" s="3274">
        <v>475</v>
      </c>
      <c r="D487" s="3297" t="s">
        <v>3262</v>
      </c>
      <c r="E487" s="3298" t="s">
        <v>3263</v>
      </c>
      <c r="F487" s="3298" t="s">
        <v>2299</v>
      </c>
      <c r="G487" s="3278">
        <v>1155000</v>
      </c>
      <c r="H487" s="3299">
        <v>0</v>
      </c>
      <c r="I487" s="3278">
        <v>0</v>
      </c>
    </row>
    <row r="488" ht="12.75" customHeight="1" spans="2:9">
      <c r="B488" s="3274">
        <v>476</v>
      </c>
      <c r="D488" s="3297" t="s">
        <v>3264</v>
      </c>
      <c r="E488" s="3298" t="s">
        <v>3265</v>
      </c>
      <c r="F488" s="3298" t="s">
        <v>2299</v>
      </c>
      <c r="G488" s="3278">
        <v>258500</v>
      </c>
      <c r="H488" s="3299">
        <v>0</v>
      </c>
      <c r="I488" s="3278">
        <v>0</v>
      </c>
    </row>
    <row r="489" ht="12.75" customHeight="1" spans="2:9">
      <c r="B489" s="3274">
        <v>477</v>
      </c>
      <c r="D489" s="3297" t="s">
        <v>3266</v>
      </c>
      <c r="E489" s="3298" t="s">
        <v>3267</v>
      </c>
      <c r="F489" s="3298" t="s">
        <v>2299</v>
      </c>
      <c r="G489" s="3278">
        <v>258500</v>
      </c>
      <c r="H489" s="3299">
        <v>0</v>
      </c>
      <c r="I489" s="3278">
        <v>0</v>
      </c>
    </row>
    <row r="490" ht="12.75" customHeight="1" spans="2:9">
      <c r="B490" s="3274">
        <v>478</v>
      </c>
      <c r="D490" s="3297" t="s">
        <v>3268</v>
      </c>
      <c r="E490" s="3298" t="s">
        <v>3269</v>
      </c>
      <c r="F490" s="3298" t="s">
        <v>3056</v>
      </c>
      <c r="G490" s="3278">
        <v>4400</v>
      </c>
      <c r="H490" s="3299">
        <v>0</v>
      </c>
      <c r="I490" s="3278">
        <v>0</v>
      </c>
    </row>
    <row r="491" ht="12.75" customHeight="1" spans="2:9">
      <c r="B491" s="3274">
        <v>479</v>
      </c>
      <c r="D491" s="3297" t="s">
        <v>3270</v>
      </c>
      <c r="E491" s="3298" t="s">
        <v>3271</v>
      </c>
      <c r="F491" s="3298" t="s">
        <v>2367</v>
      </c>
      <c r="G491" s="3278">
        <v>3850000</v>
      </c>
      <c r="H491" s="3299">
        <v>2</v>
      </c>
      <c r="I491" s="3278">
        <v>7700000</v>
      </c>
    </row>
    <row r="492" ht="12.75" customHeight="1" spans="2:9">
      <c r="B492" s="3274">
        <v>480</v>
      </c>
      <c r="D492" s="3297" t="s">
        <v>3272</v>
      </c>
      <c r="E492" s="3298" t="s">
        <v>3273</v>
      </c>
      <c r="F492" s="3298" t="s">
        <v>2367</v>
      </c>
      <c r="G492" s="3278">
        <v>1845250</v>
      </c>
      <c r="H492" s="3299">
        <v>0</v>
      </c>
      <c r="I492" s="3278">
        <v>0</v>
      </c>
    </row>
    <row r="493" ht="12.75" customHeight="1" spans="2:9">
      <c r="B493" s="3274">
        <v>481</v>
      </c>
      <c r="D493" s="3297" t="s">
        <v>3274</v>
      </c>
      <c r="E493" s="3298" t="s">
        <v>3275</v>
      </c>
      <c r="F493" s="3298" t="s">
        <v>2299</v>
      </c>
      <c r="G493" s="3278">
        <v>0</v>
      </c>
      <c r="H493" s="3299">
        <v>0</v>
      </c>
      <c r="I493" s="3278">
        <v>0</v>
      </c>
    </row>
    <row r="494" ht="12.75" customHeight="1" spans="2:9">
      <c r="B494" s="3274">
        <v>482</v>
      </c>
      <c r="D494" s="3297" t="s">
        <v>3276</v>
      </c>
      <c r="E494" s="3298" t="s">
        <v>3277</v>
      </c>
      <c r="F494" s="3298" t="s">
        <v>2314</v>
      </c>
      <c r="G494" s="3278">
        <v>17285400</v>
      </c>
      <c r="H494" s="3299">
        <v>0</v>
      </c>
      <c r="I494" s="3278">
        <v>0</v>
      </c>
    </row>
    <row r="495" ht="12.75" customHeight="1" spans="2:9">
      <c r="B495" s="3274">
        <v>483</v>
      </c>
      <c r="D495" s="3297" t="s">
        <v>3278</v>
      </c>
      <c r="E495" s="3298" t="s">
        <v>3279</v>
      </c>
      <c r="F495" s="3298" t="s">
        <v>2299</v>
      </c>
      <c r="G495" s="3278">
        <v>2475</v>
      </c>
      <c r="H495" s="3299">
        <v>1200</v>
      </c>
      <c r="I495" s="3278">
        <v>2970000</v>
      </c>
    </row>
    <row r="496" ht="12.75" customHeight="1" spans="2:9">
      <c r="B496" s="3274">
        <v>484</v>
      </c>
      <c r="D496" s="3297" t="s">
        <v>3280</v>
      </c>
      <c r="E496" s="3298" t="s">
        <v>3281</v>
      </c>
      <c r="F496" s="3298" t="s">
        <v>2367</v>
      </c>
      <c r="G496" s="3278">
        <v>371800</v>
      </c>
      <c r="H496" s="3299">
        <v>0</v>
      </c>
      <c r="I496" s="3278">
        <v>0</v>
      </c>
    </row>
    <row r="497" ht="12.75" customHeight="1" spans="2:9">
      <c r="B497" s="3274">
        <v>485</v>
      </c>
      <c r="D497" s="3297" t="s">
        <v>3282</v>
      </c>
      <c r="E497" s="3298" t="s">
        <v>3283</v>
      </c>
      <c r="F497" s="3298" t="s">
        <v>2457</v>
      </c>
      <c r="G497" s="3278">
        <v>0</v>
      </c>
      <c r="H497" s="3299">
        <v>0</v>
      </c>
      <c r="I497" s="3278">
        <v>0</v>
      </c>
    </row>
    <row r="498" ht="12.75" customHeight="1" spans="2:9">
      <c r="B498" s="3274">
        <v>486</v>
      </c>
      <c r="D498" s="3297" t="s">
        <v>3284</v>
      </c>
      <c r="E498" s="3298" t="s">
        <v>3285</v>
      </c>
      <c r="F498" s="3298" t="s">
        <v>2457</v>
      </c>
      <c r="G498" s="3278">
        <v>0</v>
      </c>
      <c r="H498" s="3299">
        <v>0</v>
      </c>
      <c r="I498" s="3278">
        <v>0</v>
      </c>
    </row>
    <row r="499" ht="12.75" customHeight="1" spans="2:9">
      <c r="B499" s="3274">
        <v>487</v>
      </c>
      <c r="D499" s="3297" t="s">
        <v>3286</v>
      </c>
      <c r="E499" s="3298" t="s">
        <v>3287</v>
      </c>
      <c r="F499" s="3298" t="s">
        <v>2299</v>
      </c>
      <c r="G499" s="3278">
        <v>44000</v>
      </c>
      <c r="H499" s="3299">
        <v>0</v>
      </c>
      <c r="I499" s="3278">
        <v>0</v>
      </c>
    </row>
    <row r="500" ht="12.75" customHeight="1" spans="2:9">
      <c r="B500" s="3274">
        <v>488</v>
      </c>
      <c r="D500" s="3297" t="s">
        <v>3288</v>
      </c>
      <c r="E500" s="3298" t="s">
        <v>3289</v>
      </c>
      <c r="F500" s="3298" t="s">
        <v>2299</v>
      </c>
      <c r="G500" s="3278">
        <v>44000</v>
      </c>
      <c r="H500" s="3299">
        <v>0</v>
      </c>
      <c r="I500" s="3278">
        <v>0</v>
      </c>
    </row>
    <row r="501" ht="12.75" customHeight="1" spans="2:9">
      <c r="B501" s="3274">
        <v>489</v>
      </c>
      <c r="D501" s="3297" t="s">
        <v>3290</v>
      </c>
      <c r="E501" s="3298" t="s">
        <v>3291</v>
      </c>
      <c r="F501" s="3298" t="s">
        <v>2299</v>
      </c>
      <c r="G501" s="3278">
        <v>280000</v>
      </c>
      <c r="H501" s="3299">
        <v>0</v>
      </c>
      <c r="I501" s="3278">
        <v>0</v>
      </c>
    </row>
    <row r="502" ht="12.75" customHeight="1" spans="2:9">
      <c r="B502" s="3274">
        <v>490</v>
      </c>
      <c r="D502" s="3297" t="s">
        <v>3292</v>
      </c>
      <c r="E502" s="3298" t="s">
        <v>3293</v>
      </c>
      <c r="F502" s="3298" t="s">
        <v>2299</v>
      </c>
      <c r="G502" s="3278">
        <v>0</v>
      </c>
      <c r="H502" s="3299">
        <v>0</v>
      </c>
      <c r="I502" s="3278">
        <v>0</v>
      </c>
    </row>
    <row r="503" ht="12.75" customHeight="1" spans="2:9">
      <c r="B503" s="3274">
        <v>491</v>
      </c>
      <c r="D503" s="3297" t="s">
        <v>3294</v>
      </c>
      <c r="E503" s="3298" t="s">
        <v>3295</v>
      </c>
      <c r="F503" s="3298" t="s">
        <v>2299</v>
      </c>
      <c r="G503" s="3278">
        <v>128700</v>
      </c>
      <c r="H503" s="3299">
        <v>36</v>
      </c>
      <c r="I503" s="3278">
        <v>4633200</v>
      </c>
    </row>
    <row r="504" ht="12.75" customHeight="1" spans="2:9">
      <c r="B504" s="3274">
        <v>492</v>
      </c>
      <c r="D504" s="3297" t="s">
        <v>3296</v>
      </c>
      <c r="E504" s="3298" t="s">
        <v>3297</v>
      </c>
      <c r="F504" s="3298" t="s">
        <v>2299</v>
      </c>
      <c r="G504" s="3278">
        <v>0</v>
      </c>
      <c r="H504" s="3299">
        <v>0</v>
      </c>
      <c r="I504" s="3278">
        <v>0</v>
      </c>
    </row>
    <row r="505" ht="12.75" customHeight="1" spans="2:9">
      <c r="B505" s="3274">
        <v>493</v>
      </c>
      <c r="D505" s="3297" t="s">
        <v>3298</v>
      </c>
      <c r="E505" s="3298" t="s">
        <v>3299</v>
      </c>
      <c r="F505" s="3298" t="s">
        <v>2299</v>
      </c>
      <c r="G505" s="3278">
        <v>0</v>
      </c>
      <c r="H505" s="3299">
        <v>0</v>
      </c>
      <c r="I505" s="3278">
        <v>0</v>
      </c>
    </row>
    <row r="506" ht="12.75" customHeight="1" spans="2:9">
      <c r="B506" s="3274">
        <v>494</v>
      </c>
      <c r="D506" s="3297" t="s">
        <v>3300</v>
      </c>
      <c r="E506" s="3298" t="s">
        <v>3301</v>
      </c>
      <c r="F506" s="3298" t="s">
        <v>2299</v>
      </c>
      <c r="G506" s="3278">
        <v>0</v>
      </c>
      <c r="H506" s="3299">
        <v>0</v>
      </c>
      <c r="I506" s="3278">
        <v>0</v>
      </c>
    </row>
    <row r="507" ht="12.75" customHeight="1" spans="2:9">
      <c r="B507" s="3274">
        <v>495</v>
      </c>
      <c r="D507" s="3297" t="s">
        <v>3302</v>
      </c>
      <c r="E507" s="3298" t="s">
        <v>3303</v>
      </c>
      <c r="F507" s="3298" t="s">
        <v>2299</v>
      </c>
      <c r="G507" s="3278">
        <v>103400</v>
      </c>
      <c r="H507" s="3299">
        <v>36</v>
      </c>
      <c r="I507" s="3278">
        <v>3722400</v>
      </c>
    </row>
    <row r="508" ht="12.75" customHeight="1" spans="2:9">
      <c r="B508" s="3274">
        <v>496</v>
      </c>
      <c r="D508" s="3297" t="s">
        <v>3304</v>
      </c>
      <c r="E508" s="3298" t="s">
        <v>3305</v>
      </c>
      <c r="F508" s="3298" t="s">
        <v>2299</v>
      </c>
      <c r="G508" s="3278">
        <v>0</v>
      </c>
      <c r="H508" s="3299">
        <v>0</v>
      </c>
      <c r="I508" s="3278">
        <v>0</v>
      </c>
    </row>
    <row r="509" ht="12.75" customHeight="1" spans="2:9">
      <c r="B509" s="3274">
        <v>497</v>
      </c>
      <c r="D509" s="3297" t="s">
        <v>3306</v>
      </c>
      <c r="E509" s="3298" t="s">
        <v>3307</v>
      </c>
      <c r="F509" s="3298" t="s">
        <v>2299</v>
      </c>
      <c r="G509" s="3278">
        <v>187000</v>
      </c>
      <c r="H509" s="3299">
        <v>0</v>
      </c>
      <c r="I509" s="3278">
        <v>0</v>
      </c>
    </row>
    <row r="510" ht="12.75" customHeight="1" spans="2:9">
      <c r="B510" s="3274">
        <v>498</v>
      </c>
      <c r="D510" s="3297" t="s">
        <v>3308</v>
      </c>
      <c r="E510" s="3298" t="s">
        <v>3309</v>
      </c>
      <c r="F510" s="3298" t="s">
        <v>2299</v>
      </c>
      <c r="G510" s="3278">
        <v>165000</v>
      </c>
      <c r="H510" s="3299">
        <v>0</v>
      </c>
      <c r="I510" s="3278">
        <v>0</v>
      </c>
    </row>
    <row r="511" ht="12.75" customHeight="1" spans="2:9">
      <c r="B511" s="3274">
        <v>499</v>
      </c>
      <c r="D511" s="3297" t="s">
        <v>3310</v>
      </c>
      <c r="E511" s="3298" t="s">
        <v>3311</v>
      </c>
      <c r="F511" s="3298" t="s">
        <v>2299</v>
      </c>
      <c r="G511" s="3278">
        <v>165000</v>
      </c>
      <c r="H511" s="3299">
        <v>0</v>
      </c>
      <c r="I511" s="3278">
        <v>0</v>
      </c>
    </row>
    <row r="512" ht="12.75" customHeight="1" spans="2:9">
      <c r="B512" s="3274">
        <v>500</v>
      </c>
      <c r="D512" s="3297" t="s">
        <v>3312</v>
      </c>
      <c r="E512" s="3298" t="s">
        <v>3313</v>
      </c>
      <c r="F512" s="3298" t="s">
        <v>2299</v>
      </c>
      <c r="G512" s="3278">
        <v>165000</v>
      </c>
      <c r="H512" s="3299">
        <v>0</v>
      </c>
      <c r="I512" s="3278">
        <v>0</v>
      </c>
    </row>
    <row r="513" ht="12.75" customHeight="1" spans="2:9">
      <c r="B513" s="3274">
        <v>501</v>
      </c>
      <c r="D513" s="3297" t="s">
        <v>3314</v>
      </c>
      <c r="E513" s="3298" t="s">
        <v>3315</v>
      </c>
      <c r="F513" s="3298" t="s">
        <v>2299</v>
      </c>
      <c r="G513" s="3278">
        <v>165000</v>
      </c>
      <c r="H513" s="3299">
        <v>0</v>
      </c>
      <c r="I513" s="3278">
        <v>0</v>
      </c>
    </row>
    <row r="514" ht="12.75" customHeight="1" spans="2:9">
      <c r="B514" s="3274">
        <v>502</v>
      </c>
      <c r="D514" s="3297" t="s">
        <v>3316</v>
      </c>
      <c r="E514" s="3298" t="s">
        <v>3317</v>
      </c>
      <c r="F514" s="3298" t="s">
        <v>2299</v>
      </c>
      <c r="G514" s="3278">
        <v>165000</v>
      </c>
      <c r="H514" s="3299">
        <v>0</v>
      </c>
      <c r="I514" s="3278">
        <v>0</v>
      </c>
    </row>
    <row r="515" ht="12.75" customHeight="1" spans="2:9">
      <c r="B515" s="3274">
        <v>503</v>
      </c>
      <c r="D515" s="3297" t="s">
        <v>3318</v>
      </c>
      <c r="E515" s="3298" t="s">
        <v>3319</v>
      </c>
      <c r="F515" s="3298" t="s">
        <v>2321</v>
      </c>
      <c r="G515" s="3278">
        <v>35999.7</v>
      </c>
      <c r="H515" s="3299">
        <v>0</v>
      </c>
      <c r="I515" s="3278">
        <v>0</v>
      </c>
    </row>
    <row r="516" ht="12.75" customHeight="1" spans="2:9">
      <c r="B516" s="3274">
        <v>504</v>
      </c>
      <c r="D516" s="3297" t="s">
        <v>3320</v>
      </c>
      <c r="E516" s="3298" t="s">
        <v>3321</v>
      </c>
      <c r="F516" s="3298" t="s">
        <v>2299</v>
      </c>
      <c r="G516" s="3278">
        <v>22</v>
      </c>
      <c r="H516" s="3299">
        <v>0</v>
      </c>
      <c r="I516" s="3278">
        <v>0</v>
      </c>
    </row>
    <row r="517" ht="12.75" customHeight="1" spans="2:9">
      <c r="B517" s="3274">
        <v>505</v>
      </c>
      <c r="D517" s="3297" t="s">
        <v>3322</v>
      </c>
      <c r="E517" s="3298" t="s">
        <v>3323</v>
      </c>
      <c r="F517" s="3298" t="s">
        <v>2299</v>
      </c>
      <c r="G517" s="3278">
        <v>1100</v>
      </c>
      <c r="H517" s="3299">
        <v>0</v>
      </c>
      <c r="I517" s="3278">
        <v>0</v>
      </c>
    </row>
    <row r="518" ht="12.75" customHeight="1" spans="2:9">
      <c r="B518" s="3274">
        <v>506</v>
      </c>
      <c r="D518" s="3297" t="s">
        <v>3324</v>
      </c>
      <c r="E518" s="3298" t="s">
        <v>3325</v>
      </c>
      <c r="F518" s="3298" t="s">
        <v>2367</v>
      </c>
      <c r="G518" s="3278">
        <v>1430000</v>
      </c>
      <c r="H518" s="3299">
        <v>1</v>
      </c>
      <c r="I518" s="3278">
        <v>1430000</v>
      </c>
    </row>
    <row r="519" ht="12.75" customHeight="1" spans="2:9">
      <c r="B519" s="3274">
        <v>507</v>
      </c>
      <c r="D519" s="3297" t="s">
        <v>3326</v>
      </c>
      <c r="E519" s="3298" t="s">
        <v>3327</v>
      </c>
      <c r="F519" s="3298" t="s">
        <v>2296</v>
      </c>
      <c r="G519" s="3278">
        <v>16500</v>
      </c>
      <c r="H519" s="3299">
        <v>0</v>
      </c>
      <c r="I519" s="3278">
        <v>0</v>
      </c>
    </row>
    <row r="520" ht="12.75" customHeight="1" spans="2:9">
      <c r="B520" s="3274">
        <v>508</v>
      </c>
      <c r="D520" s="3297" t="s">
        <v>3328</v>
      </c>
      <c r="E520" s="3298" t="s">
        <v>3329</v>
      </c>
      <c r="F520" s="3298" t="s">
        <v>2299</v>
      </c>
      <c r="G520" s="3278">
        <v>8580</v>
      </c>
      <c r="H520" s="3299">
        <v>0</v>
      </c>
      <c r="I520" s="3278">
        <v>0</v>
      </c>
    </row>
    <row r="521" ht="12.75" customHeight="1" spans="2:9">
      <c r="B521" s="3274">
        <v>509</v>
      </c>
      <c r="D521" s="3297" t="s">
        <v>3330</v>
      </c>
      <c r="E521" s="3298" t="s">
        <v>3331</v>
      </c>
      <c r="F521" s="3298" t="s">
        <v>2293</v>
      </c>
      <c r="G521" s="3278">
        <v>0</v>
      </c>
      <c r="H521" s="3299">
        <v>0</v>
      </c>
      <c r="I521" s="3278">
        <v>0</v>
      </c>
    </row>
    <row r="522" ht="12.75" customHeight="1" spans="2:9">
      <c r="B522" s="3274">
        <v>510</v>
      </c>
      <c r="D522" s="3297" t="s">
        <v>3332</v>
      </c>
      <c r="E522" s="3298" t="s">
        <v>3333</v>
      </c>
      <c r="F522" s="3298" t="s">
        <v>2293</v>
      </c>
      <c r="G522" s="3278">
        <v>0</v>
      </c>
      <c r="H522" s="3299">
        <v>0</v>
      </c>
      <c r="I522" s="3278">
        <v>0</v>
      </c>
    </row>
    <row r="523" ht="12.75" customHeight="1" spans="2:9">
      <c r="B523" s="3274">
        <v>511</v>
      </c>
      <c r="D523" s="3297" t="s">
        <v>3334</v>
      </c>
      <c r="E523" s="3298" t="s">
        <v>3335</v>
      </c>
      <c r="F523" s="3298" t="s">
        <v>2293</v>
      </c>
      <c r="G523" s="3278">
        <v>105600</v>
      </c>
      <c r="H523" s="3299">
        <v>0</v>
      </c>
      <c r="I523" s="3278">
        <v>0</v>
      </c>
    </row>
    <row r="524" ht="12.75" customHeight="1" spans="2:9">
      <c r="B524" s="3274">
        <v>512</v>
      </c>
      <c r="D524" s="3297" t="s">
        <v>3336</v>
      </c>
      <c r="E524" s="3298" t="s">
        <v>3337</v>
      </c>
      <c r="F524" s="3298" t="s">
        <v>2299</v>
      </c>
      <c r="G524" s="3278">
        <v>0</v>
      </c>
      <c r="H524" s="3299">
        <v>0</v>
      </c>
      <c r="I524" s="3278">
        <v>0</v>
      </c>
    </row>
    <row r="525" ht="12.75" customHeight="1" spans="2:9">
      <c r="B525" s="3274">
        <v>513</v>
      </c>
      <c r="D525" s="3297" t="s">
        <v>3338</v>
      </c>
      <c r="E525" s="3298" t="s">
        <v>3339</v>
      </c>
      <c r="F525" s="3298" t="s">
        <v>2299</v>
      </c>
      <c r="G525" s="3278">
        <v>0</v>
      </c>
      <c r="H525" s="3299">
        <v>0</v>
      </c>
      <c r="I525" s="3278">
        <v>0</v>
      </c>
    </row>
    <row r="526" ht="12.75" customHeight="1" spans="2:9">
      <c r="B526" s="3274">
        <v>514</v>
      </c>
      <c r="D526" s="3297" t="s">
        <v>3340</v>
      </c>
      <c r="E526" s="3298" t="s">
        <v>3341</v>
      </c>
      <c r="F526" s="3298" t="s">
        <v>2299</v>
      </c>
      <c r="G526" s="3278">
        <v>119625</v>
      </c>
      <c r="H526" s="3299">
        <v>0</v>
      </c>
      <c r="I526" s="3278">
        <v>0</v>
      </c>
    </row>
    <row r="527" ht="12.75" customHeight="1" spans="2:9">
      <c r="B527" s="3274">
        <v>515</v>
      </c>
      <c r="D527" s="3297" t="s">
        <v>3342</v>
      </c>
      <c r="E527" s="3298" t="s">
        <v>3343</v>
      </c>
      <c r="F527" s="3298" t="s">
        <v>2637</v>
      </c>
      <c r="G527" s="3278">
        <v>120175</v>
      </c>
      <c r="H527" s="3299">
        <v>0</v>
      </c>
      <c r="I527" s="3278">
        <v>0</v>
      </c>
    </row>
    <row r="528" ht="12.75" customHeight="1" spans="2:9">
      <c r="B528" s="3274">
        <v>516</v>
      </c>
      <c r="D528" s="3297" t="s">
        <v>3344</v>
      </c>
      <c r="E528" s="3298" t="s">
        <v>3345</v>
      </c>
      <c r="F528" s="3298" t="s">
        <v>2299</v>
      </c>
      <c r="G528" s="3278">
        <v>1100000</v>
      </c>
      <c r="H528" s="3299">
        <v>0</v>
      </c>
      <c r="I528" s="3278">
        <v>0</v>
      </c>
    </row>
    <row r="529" ht="12.75" customHeight="1" spans="2:9">
      <c r="B529" s="3274">
        <v>517</v>
      </c>
      <c r="D529" s="3297" t="s">
        <v>3346</v>
      </c>
      <c r="E529" s="3298" t="s">
        <v>3347</v>
      </c>
      <c r="F529" s="3298" t="s">
        <v>2321</v>
      </c>
      <c r="G529" s="3278">
        <v>0</v>
      </c>
      <c r="H529" s="3299">
        <v>0</v>
      </c>
      <c r="I529" s="3278">
        <v>0</v>
      </c>
    </row>
    <row r="530" ht="12.75" customHeight="1" spans="2:9">
      <c r="B530" s="3274">
        <v>518</v>
      </c>
      <c r="D530" s="3297" t="s">
        <v>3348</v>
      </c>
      <c r="E530" s="3298" t="s">
        <v>3349</v>
      </c>
      <c r="F530" s="3298" t="s">
        <v>2321</v>
      </c>
      <c r="G530" s="3278">
        <v>0</v>
      </c>
      <c r="H530" s="3299">
        <v>0</v>
      </c>
      <c r="I530" s="3278">
        <v>0</v>
      </c>
    </row>
    <row r="531" ht="12.75" customHeight="1" spans="2:9">
      <c r="B531" s="3274">
        <v>519</v>
      </c>
      <c r="D531" s="3297" t="s">
        <v>3350</v>
      </c>
      <c r="E531" s="3298" t="s">
        <v>3351</v>
      </c>
      <c r="F531" s="3298" t="s">
        <v>2418</v>
      </c>
      <c r="G531" s="3278">
        <v>187687.5</v>
      </c>
      <c r="H531" s="3299">
        <v>0</v>
      </c>
      <c r="I531" s="3278">
        <v>0</v>
      </c>
    </row>
    <row r="532" ht="12.75" customHeight="1" spans="2:9">
      <c r="B532" s="3274">
        <v>520</v>
      </c>
      <c r="D532" s="3297" t="s">
        <v>3352</v>
      </c>
      <c r="E532" s="3298" t="s">
        <v>3353</v>
      </c>
      <c r="F532" s="3298" t="s">
        <v>2418</v>
      </c>
      <c r="G532" s="3278">
        <v>245350</v>
      </c>
      <c r="H532" s="3299">
        <v>0</v>
      </c>
      <c r="I532" s="3278">
        <v>0</v>
      </c>
    </row>
    <row r="533" ht="12.75" customHeight="1" spans="2:9">
      <c r="B533" s="3274">
        <v>521</v>
      </c>
      <c r="D533" s="3297" t="s">
        <v>3354</v>
      </c>
      <c r="E533" s="3298" t="s">
        <v>3355</v>
      </c>
      <c r="F533" s="3298" t="s">
        <v>2299</v>
      </c>
      <c r="G533" s="3278">
        <v>0</v>
      </c>
      <c r="H533" s="3299">
        <v>0</v>
      </c>
      <c r="I533" s="3278">
        <v>0</v>
      </c>
    </row>
    <row r="534" ht="12.75" customHeight="1" spans="2:9">
      <c r="B534" s="3274">
        <v>522</v>
      </c>
      <c r="D534" s="3297" t="s">
        <v>3356</v>
      </c>
      <c r="E534" s="3298" t="s">
        <v>3357</v>
      </c>
      <c r="F534" s="3298" t="s">
        <v>2299</v>
      </c>
      <c r="G534" s="3278">
        <v>275200</v>
      </c>
      <c r="H534" s="3299">
        <v>0</v>
      </c>
      <c r="I534" s="3278">
        <v>0</v>
      </c>
    </row>
    <row r="535" ht="12.75" customHeight="1" spans="2:9">
      <c r="B535" s="3274">
        <v>523</v>
      </c>
      <c r="D535" s="3297" t="s">
        <v>3358</v>
      </c>
      <c r="E535" s="3298" t="s">
        <v>3359</v>
      </c>
      <c r="F535" s="3298" t="s">
        <v>3360</v>
      </c>
      <c r="G535" s="3278">
        <v>1650000</v>
      </c>
      <c r="H535" s="3299">
        <v>1</v>
      </c>
      <c r="I535" s="3278">
        <v>1650000</v>
      </c>
    </row>
    <row r="536" ht="12.75" customHeight="1" spans="2:9">
      <c r="B536" s="3274">
        <v>524</v>
      </c>
      <c r="D536" s="3297" t="s">
        <v>3361</v>
      </c>
      <c r="E536" s="3298" t="s">
        <v>3362</v>
      </c>
      <c r="F536" s="3298" t="s">
        <v>3360</v>
      </c>
      <c r="G536" s="3278">
        <v>3558824.5</v>
      </c>
      <c r="H536" s="3299">
        <v>1</v>
      </c>
      <c r="I536" s="3278">
        <v>3558824.5</v>
      </c>
    </row>
    <row r="537" ht="12.75" customHeight="1" spans="2:9">
      <c r="B537" s="3274">
        <v>525</v>
      </c>
      <c r="D537" s="3297" t="s">
        <v>3363</v>
      </c>
      <c r="E537" s="3298" t="s">
        <v>3364</v>
      </c>
      <c r="F537" s="3298" t="s">
        <v>2299</v>
      </c>
      <c r="G537" s="3278">
        <v>18000</v>
      </c>
      <c r="H537" s="3299">
        <v>0</v>
      </c>
      <c r="I537" s="3278">
        <v>0</v>
      </c>
    </row>
    <row r="538" ht="12.75" customHeight="1" spans="2:9">
      <c r="B538" s="3274">
        <v>526</v>
      </c>
      <c r="D538" s="3297" t="s">
        <v>3365</v>
      </c>
      <c r="E538" s="3298" t="s">
        <v>3366</v>
      </c>
      <c r="F538" s="3298" t="s">
        <v>2321</v>
      </c>
      <c r="G538" s="3278">
        <v>90420</v>
      </c>
      <c r="H538" s="3299">
        <v>0</v>
      </c>
      <c r="I538" s="3278">
        <v>0</v>
      </c>
    </row>
    <row r="539" ht="12.75" customHeight="1" spans="2:9">
      <c r="B539" s="3274">
        <v>527</v>
      </c>
      <c r="D539" s="3297" t="s">
        <v>3367</v>
      </c>
      <c r="E539" s="3298" t="s">
        <v>3368</v>
      </c>
      <c r="F539" s="3298" t="s">
        <v>2457</v>
      </c>
      <c r="G539" s="3278">
        <v>40500</v>
      </c>
      <c r="H539" s="3299">
        <v>0</v>
      </c>
      <c r="I539" s="3278">
        <v>0</v>
      </c>
    </row>
    <row r="540" ht="12.75" customHeight="1" spans="2:9">
      <c r="B540" s="3274">
        <v>528</v>
      </c>
      <c r="D540" s="3297" t="s">
        <v>3369</v>
      </c>
      <c r="E540" s="3298" t="s">
        <v>3370</v>
      </c>
      <c r="F540" s="3298" t="s">
        <v>2299</v>
      </c>
      <c r="G540" s="3278">
        <v>19250</v>
      </c>
      <c r="H540" s="3299">
        <v>0</v>
      </c>
      <c r="I540" s="3278">
        <v>0</v>
      </c>
    </row>
    <row r="541" ht="12.75" customHeight="1" spans="2:9">
      <c r="B541" s="3274">
        <v>529</v>
      </c>
      <c r="D541" s="3297" t="s">
        <v>3371</v>
      </c>
      <c r="E541" s="3298" t="s">
        <v>3372</v>
      </c>
      <c r="F541" s="3298" t="s">
        <v>2293</v>
      </c>
      <c r="G541" s="3278">
        <v>2750</v>
      </c>
      <c r="H541" s="3299">
        <v>0</v>
      </c>
      <c r="I541" s="3278">
        <v>0</v>
      </c>
    </row>
    <row r="542" ht="12.75" customHeight="1" spans="2:9">
      <c r="B542" s="3274">
        <v>530</v>
      </c>
      <c r="D542" s="3297" t="s">
        <v>3373</v>
      </c>
      <c r="E542" s="3298" t="s">
        <v>3374</v>
      </c>
      <c r="F542" s="3298" t="s">
        <v>2293</v>
      </c>
      <c r="G542" s="3278">
        <v>0</v>
      </c>
      <c r="H542" s="3299">
        <v>0</v>
      </c>
      <c r="I542" s="3278">
        <v>0</v>
      </c>
    </row>
    <row r="543" ht="12.75" customHeight="1" spans="2:9">
      <c r="B543" s="3274">
        <v>531</v>
      </c>
      <c r="D543" s="3297" t="s">
        <v>3375</v>
      </c>
      <c r="E543" s="3298" t="s">
        <v>3376</v>
      </c>
      <c r="F543" s="3298" t="s">
        <v>2293</v>
      </c>
      <c r="G543" s="3278">
        <v>3300</v>
      </c>
      <c r="H543" s="3299">
        <v>0</v>
      </c>
      <c r="I543" s="3278">
        <v>0</v>
      </c>
    </row>
    <row r="544" ht="12.75" customHeight="1" spans="2:9">
      <c r="B544" s="3274">
        <v>532</v>
      </c>
      <c r="D544" s="3297" t="s">
        <v>3377</v>
      </c>
      <c r="E544" s="3298" t="s">
        <v>3378</v>
      </c>
      <c r="F544" s="3298" t="s">
        <v>2293</v>
      </c>
      <c r="G544" s="3278">
        <v>19250</v>
      </c>
      <c r="H544" s="3299">
        <v>0</v>
      </c>
      <c r="I544" s="3278">
        <v>0</v>
      </c>
    </row>
    <row r="545" ht="12.75" customHeight="1" spans="2:9">
      <c r="B545" s="3274">
        <v>533</v>
      </c>
      <c r="D545" s="3297" t="s">
        <v>3379</v>
      </c>
      <c r="E545" s="3298" t="s">
        <v>3380</v>
      </c>
      <c r="F545" s="3298" t="s">
        <v>2457</v>
      </c>
      <c r="G545" s="3278">
        <v>9570</v>
      </c>
      <c r="H545" s="3299">
        <v>0</v>
      </c>
      <c r="I545" s="3278">
        <v>0</v>
      </c>
    </row>
    <row r="546" ht="12.75" customHeight="1" spans="2:9">
      <c r="B546" s="3274">
        <v>534</v>
      </c>
      <c r="D546" s="3297" t="s">
        <v>3381</v>
      </c>
      <c r="E546" s="3298" t="s">
        <v>3382</v>
      </c>
      <c r="F546" s="3298" t="s">
        <v>2457</v>
      </c>
      <c r="G546" s="3278">
        <v>38720</v>
      </c>
      <c r="H546" s="3299">
        <v>0</v>
      </c>
      <c r="I546" s="3278">
        <v>0</v>
      </c>
    </row>
    <row r="547" ht="12.75" customHeight="1" spans="2:9">
      <c r="B547" s="3274">
        <v>535</v>
      </c>
      <c r="D547" s="3297" t="s">
        <v>3383</v>
      </c>
      <c r="E547" s="3298" t="s">
        <v>3384</v>
      </c>
      <c r="F547" s="3298" t="s">
        <v>2565</v>
      </c>
      <c r="G547" s="3278">
        <v>31625</v>
      </c>
      <c r="H547" s="3299">
        <v>40</v>
      </c>
      <c r="I547" s="3278">
        <v>1265000</v>
      </c>
    </row>
    <row r="548" ht="12.75" customHeight="1" spans="2:9">
      <c r="B548" s="3274">
        <v>536</v>
      </c>
      <c r="D548" s="3297" t="s">
        <v>3385</v>
      </c>
      <c r="E548" s="3298" t="s">
        <v>3386</v>
      </c>
      <c r="F548" s="3298" t="s">
        <v>2321</v>
      </c>
      <c r="G548" s="3278">
        <v>17050</v>
      </c>
      <c r="H548" s="3299">
        <v>0</v>
      </c>
      <c r="I548" s="3278">
        <v>0</v>
      </c>
    </row>
    <row r="549" ht="12.75" customHeight="1" spans="2:9">
      <c r="B549" s="3274">
        <v>537</v>
      </c>
      <c r="D549" s="3297" t="s">
        <v>3387</v>
      </c>
      <c r="E549" s="3298" t="s">
        <v>3388</v>
      </c>
      <c r="F549" s="3298" t="s">
        <v>2321</v>
      </c>
      <c r="G549" s="3278">
        <v>17050</v>
      </c>
      <c r="H549" s="3299">
        <v>0</v>
      </c>
      <c r="I549" s="3278">
        <v>0</v>
      </c>
    </row>
    <row r="550" ht="12.75" customHeight="1" spans="2:9">
      <c r="B550" s="3274">
        <v>538</v>
      </c>
      <c r="D550" s="3297" t="s">
        <v>3389</v>
      </c>
      <c r="E550" s="3298" t="s">
        <v>3390</v>
      </c>
      <c r="F550" s="3298" t="s">
        <v>2321</v>
      </c>
      <c r="G550" s="3278">
        <v>2267</v>
      </c>
      <c r="H550" s="3299">
        <v>0</v>
      </c>
      <c r="I550" s="3278">
        <v>0</v>
      </c>
    </row>
    <row r="551" ht="12.75" customHeight="1" spans="2:9">
      <c r="B551" s="3274">
        <v>539</v>
      </c>
      <c r="D551" s="3297" t="s">
        <v>3391</v>
      </c>
      <c r="E551" s="3298" t="s">
        <v>3392</v>
      </c>
      <c r="F551" s="3298" t="s">
        <v>2293</v>
      </c>
      <c r="G551" s="3278">
        <v>16830</v>
      </c>
      <c r="H551" s="3299">
        <v>0</v>
      </c>
      <c r="I551" s="3278">
        <v>0</v>
      </c>
    </row>
    <row r="552" ht="12.75" customHeight="1" spans="2:9">
      <c r="B552" s="3274">
        <v>540</v>
      </c>
      <c r="D552" s="3297" t="s">
        <v>3393</v>
      </c>
      <c r="E552" s="3298" t="s">
        <v>3394</v>
      </c>
      <c r="F552" s="3298" t="s">
        <v>2299</v>
      </c>
      <c r="G552" s="3278">
        <v>0</v>
      </c>
      <c r="H552" s="3299">
        <v>0</v>
      </c>
      <c r="I552" s="3278">
        <v>0</v>
      </c>
    </row>
    <row r="553" ht="12.75" customHeight="1" spans="2:9">
      <c r="B553" s="3274">
        <v>541</v>
      </c>
      <c r="D553" s="3297" t="s">
        <v>3395</v>
      </c>
      <c r="E553" s="3298" t="s">
        <v>3396</v>
      </c>
      <c r="F553" s="3298" t="s">
        <v>2299</v>
      </c>
      <c r="G553" s="3278">
        <v>456500</v>
      </c>
      <c r="H553" s="3299">
        <v>1</v>
      </c>
      <c r="I553" s="3278">
        <v>456500</v>
      </c>
    </row>
    <row r="554" ht="12.75" customHeight="1" spans="2:9">
      <c r="B554" s="3274">
        <v>542</v>
      </c>
      <c r="D554" s="3297" t="s">
        <v>3397</v>
      </c>
      <c r="E554" s="3298" t="s">
        <v>3398</v>
      </c>
      <c r="F554" s="3298" t="s">
        <v>2299</v>
      </c>
      <c r="G554" s="3278">
        <v>0</v>
      </c>
      <c r="H554" s="3299">
        <v>0</v>
      </c>
      <c r="I554" s="3278">
        <v>0</v>
      </c>
    </row>
    <row r="555" ht="12.75" customHeight="1" spans="2:9">
      <c r="B555" s="3274">
        <v>543</v>
      </c>
      <c r="D555" s="3297" t="s">
        <v>3399</v>
      </c>
      <c r="E555" s="3298" t="s">
        <v>3400</v>
      </c>
      <c r="F555" s="3298" t="s">
        <v>2299</v>
      </c>
      <c r="G555" s="3278">
        <v>2887500</v>
      </c>
      <c r="H555" s="3299">
        <v>0</v>
      </c>
      <c r="I555" s="3278">
        <v>0</v>
      </c>
    </row>
    <row r="556" ht="12.75" customHeight="1" spans="2:9">
      <c r="B556" s="3274">
        <v>544</v>
      </c>
      <c r="D556" s="3297" t="s">
        <v>3401</v>
      </c>
      <c r="E556" s="3298" t="s">
        <v>3402</v>
      </c>
      <c r="F556" s="3298" t="s">
        <v>2299</v>
      </c>
      <c r="G556" s="3278">
        <v>495000</v>
      </c>
      <c r="H556" s="3299">
        <v>0</v>
      </c>
      <c r="I556" s="3278">
        <v>0</v>
      </c>
    </row>
    <row r="557" ht="12.75" customHeight="1" spans="2:9">
      <c r="B557" s="3274">
        <v>545</v>
      </c>
      <c r="D557" s="3297" t="s">
        <v>3403</v>
      </c>
      <c r="E557" s="3298" t="s">
        <v>3404</v>
      </c>
      <c r="F557" s="3298" t="s">
        <v>2391</v>
      </c>
      <c r="G557" s="3278">
        <v>36000</v>
      </c>
      <c r="H557" s="3299">
        <v>0</v>
      </c>
      <c r="I557" s="3278">
        <v>0</v>
      </c>
    </row>
    <row r="558" ht="12.75" customHeight="1" spans="2:9">
      <c r="B558" s="3274">
        <v>546</v>
      </c>
      <c r="D558" s="3297" t="s">
        <v>3405</v>
      </c>
      <c r="E558" s="3298" t="s">
        <v>3406</v>
      </c>
      <c r="F558" s="3298" t="s">
        <v>2299</v>
      </c>
      <c r="G558" s="3278">
        <v>88000</v>
      </c>
      <c r="H558" s="3299">
        <v>0</v>
      </c>
      <c r="I558" s="3278">
        <v>0</v>
      </c>
    </row>
    <row r="559" ht="12.75" customHeight="1" spans="2:9">
      <c r="B559" s="3274">
        <v>547</v>
      </c>
      <c r="D559" s="3297" t="s">
        <v>3407</v>
      </c>
      <c r="E559" s="3298" t="s">
        <v>3408</v>
      </c>
      <c r="F559" s="3298" t="s">
        <v>3409</v>
      </c>
      <c r="G559" s="3278">
        <v>417.978</v>
      </c>
      <c r="H559" s="3299">
        <v>0</v>
      </c>
      <c r="I559" s="3278">
        <v>0</v>
      </c>
    </row>
    <row r="560" ht="12.75" customHeight="1" spans="2:9">
      <c r="B560" s="3274">
        <v>548</v>
      </c>
      <c r="D560" s="3297" t="s">
        <v>3410</v>
      </c>
      <c r="E560" s="3298" t="s">
        <v>3411</v>
      </c>
      <c r="F560" s="3298" t="s">
        <v>3412</v>
      </c>
      <c r="G560" s="3278">
        <v>640000</v>
      </c>
      <c r="H560" s="3299">
        <v>0</v>
      </c>
      <c r="I560" s="3278">
        <v>0</v>
      </c>
    </row>
    <row r="561" ht="12.75" customHeight="1" spans="2:9">
      <c r="B561" s="3274">
        <v>549</v>
      </c>
      <c r="D561" s="3297" t="s">
        <v>3413</v>
      </c>
      <c r="E561" s="3298" t="s">
        <v>3414</v>
      </c>
      <c r="F561" s="3298" t="s">
        <v>2296</v>
      </c>
      <c r="G561" s="3278">
        <v>22500</v>
      </c>
      <c r="H561" s="3299">
        <v>0</v>
      </c>
      <c r="I561" s="3278">
        <v>0</v>
      </c>
    </row>
    <row r="562" ht="12.75" customHeight="1" spans="2:9">
      <c r="B562" s="3274">
        <v>550</v>
      </c>
      <c r="D562" s="3297" t="s">
        <v>3415</v>
      </c>
      <c r="E562" s="3298" t="s">
        <v>3416</v>
      </c>
      <c r="F562" s="3298" t="s">
        <v>2296</v>
      </c>
      <c r="G562" s="3278">
        <v>4520</v>
      </c>
      <c r="H562" s="3299">
        <v>0</v>
      </c>
      <c r="I562" s="3278">
        <v>0</v>
      </c>
    </row>
    <row r="563" ht="12.75" customHeight="1" spans="2:9">
      <c r="B563" s="3274">
        <v>551</v>
      </c>
      <c r="D563" s="3297" t="s">
        <v>3417</v>
      </c>
      <c r="E563" s="3298" t="s">
        <v>3418</v>
      </c>
      <c r="F563" s="3298" t="s">
        <v>2296</v>
      </c>
      <c r="G563" s="3278">
        <v>4680</v>
      </c>
      <c r="H563" s="3299">
        <v>0</v>
      </c>
      <c r="I563" s="3278">
        <v>0</v>
      </c>
    </row>
    <row r="564" ht="12.75" customHeight="1" spans="2:9">
      <c r="B564" s="3274">
        <v>552</v>
      </c>
      <c r="D564" s="3297" t="s">
        <v>3419</v>
      </c>
      <c r="E564" s="3298" t="s">
        <v>3420</v>
      </c>
      <c r="F564" s="3298" t="s">
        <v>2299</v>
      </c>
      <c r="G564" s="3278">
        <v>94050</v>
      </c>
      <c r="H564" s="3299">
        <v>1</v>
      </c>
      <c r="I564" s="3278">
        <v>94050</v>
      </c>
    </row>
    <row r="565" ht="12.75" customHeight="1" spans="2:9">
      <c r="B565" s="3274">
        <v>553</v>
      </c>
      <c r="D565" s="3297" t="s">
        <v>3421</v>
      </c>
      <c r="E565" s="3298" t="s">
        <v>3422</v>
      </c>
      <c r="F565" s="3298" t="s">
        <v>3423</v>
      </c>
      <c r="G565" s="3278">
        <v>825000</v>
      </c>
      <c r="H565" s="3299">
        <v>0</v>
      </c>
      <c r="I565" s="3278">
        <v>0</v>
      </c>
    </row>
    <row r="566" ht="12.75" customHeight="1" spans="2:9">
      <c r="B566" s="3274">
        <v>554</v>
      </c>
      <c r="D566" s="3297" t="s">
        <v>3424</v>
      </c>
      <c r="E566" s="3298" t="s">
        <v>3425</v>
      </c>
      <c r="F566" s="3298" t="s">
        <v>3423</v>
      </c>
      <c r="G566" s="3278">
        <v>825000</v>
      </c>
      <c r="H566" s="3299">
        <v>0</v>
      </c>
      <c r="I566" s="3278">
        <v>0</v>
      </c>
    </row>
    <row r="567" ht="12.75" customHeight="1" spans="2:9">
      <c r="B567" s="3274">
        <v>555</v>
      </c>
      <c r="D567" s="3297" t="s">
        <v>3426</v>
      </c>
      <c r="E567" s="3298" t="s">
        <v>3427</v>
      </c>
      <c r="F567" s="3298" t="s">
        <v>3423</v>
      </c>
      <c r="G567" s="3278">
        <v>825000</v>
      </c>
      <c r="H567" s="3299">
        <v>0</v>
      </c>
      <c r="I567" s="3278">
        <v>0</v>
      </c>
    </row>
    <row r="568" ht="12.75" customHeight="1" spans="2:9">
      <c r="B568" s="3274">
        <v>556</v>
      </c>
      <c r="D568" s="3297" t="s">
        <v>3428</v>
      </c>
      <c r="E568" s="3298" t="s">
        <v>3429</v>
      </c>
      <c r="F568" s="3298" t="s">
        <v>2299</v>
      </c>
      <c r="G568" s="3278">
        <v>60394.125</v>
      </c>
      <c r="H568" s="3299">
        <v>0</v>
      </c>
      <c r="I568" s="3278">
        <v>0</v>
      </c>
    </row>
    <row r="569" ht="12.75" customHeight="1" spans="2:9">
      <c r="B569" s="3274">
        <v>557</v>
      </c>
      <c r="D569" s="3297" t="s">
        <v>3430</v>
      </c>
      <c r="E569" s="3298" t="s">
        <v>3431</v>
      </c>
      <c r="F569" s="3298" t="s">
        <v>2321</v>
      </c>
      <c r="G569" s="3278">
        <v>137500</v>
      </c>
      <c r="H569" s="3299">
        <v>0</v>
      </c>
      <c r="I569" s="3278">
        <v>0</v>
      </c>
    </row>
    <row r="570" ht="12.75" customHeight="1" spans="2:9">
      <c r="B570" s="3274">
        <v>558</v>
      </c>
      <c r="D570" s="3297" t="s">
        <v>3432</v>
      </c>
      <c r="E570" s="3298" t="s">
        <v>3433</v>
      </c>
      <c r="F570" s="3298" t="s">
        <v>2299</v>
      </c>
      <c r="G570" s="3278">
        <v>106029</v>
      </c>
      <c r="H570" s="3299">
        <v>3</v>
      </c>
      <c r="I570" s="3278">
        <v>318087</v>
      </c>
    </row>
    <row r="571" ht="12.75" customHeight="1" spans="2:9">
      <c r="B571" s="3274">
        <v>559</v>
      </c>
      <c r="D571" s="3297" t="s">
        <v>3434</v>
      </c>
      <c r="E571" s="3298" t="s">
        <v>3435</v>
      </c>
      <c r="F571" s="3298" t="s">
        <v>2299</v>
      </c>
      <c r="G571" s="3278">
        <v>97350</v>
      </c>
      <c r="H571" s="3299">
        <v>3</v>
      </c>
      <c r="I571" s="3278">
        <v>292050</v>
      </c>
    </row>
    <row r="572" ht="12.75" customHeight="1" spans="2:9">
      <c r="B572" s="3274">
        <v>560</v>
      </c>
      <c r="D572" s="3297" t="s">
        <v>3436</v>
      </c>
      <c r="E572" s="3298" t="s">
        <v>3437</v>
      </c>
      <c r="F572" s="3298" t="s">
        <v>2299</v>
      </c>
      <c r="G572" s="3278">
        <v>89100</v>
      </c>
      <c r="H572" s="3299">
        <v>1</v>
      </c>
      <c r="I572" s="3278">
        <v>89100</v>
      </c>
    </row>
    <row r="573" ht="12.75" customHeight="1" spans="2:9">
      <c r="B573" s="3274">
        <v>561</v>
      </c>
      <c r="D573" s="3297" t="s">
        <v>3438</v>
      </c>
      <c r="E573" s="3298" t="s">
        <v>3439</v>
      </c>
      <c r="F573" s="3298" t="s">
        <v>2299</v>
      </c>
      <c r="G573" s="3278">
        <v>51700</v>
      </c>
      <c r="H573" s="3299">
        <v>0</v>
      </c>
      <c r="I573" s="3278">
        <v>0</v>
      </c>
    </row>
    <row r="574" ht="12.75" customHeight="1" spans="2:9">
      <c r="B574" s="3274">
        <v>562</v>
      </c>
      <c r="D574" s="3297" t="s">
        <v>3440</v>
      </c>
      <c r="E574" s="3298" t="s">
        <v>3441</v>
      </c>
      <c r="F574" s="3298" t="s">
        <v>2299</v>
      </c>
      <c r="G574" s="3278">
        <v>770000</v>
      </c>
      <c r="H574" s="3299">
        <v>0</v>
      </c>
      <c r="I574" s="3278">
        <v>0</v>
      </c>
    </row>
    <row r="575" ht="12.75" customHeight="1" spans="2:9">
      <c r="B575" s="3274">
        <v>563</v>
      </c>
      <c r="D575" s="3297" t="s">
        <v>3442</v>
      </c>
      <c r="E575" s="3298" t="s">
        <v>3443</v>
      </c>
      <c r="F575" s="3298" t="s">
        <v>2299</v>
      </c>
      <c r="G575" s="3278">
        <v>770000</v>
      </c>
      <c r="H575" s="3299">
        <v>0</v>
      </c>
      <c r="I575" s="3278">
        <v>0</v>
      </c>
    </row>
    <row r="576" ht="12.75" customHeight="1" spans="2:9">
      <c r="B576" s="3274">
        <v>564</v>
      </c>
      <c r="D576" s="3297" t="s">
        <v>3444</v>
      </c>
      <c r="E576" s="3298" t="s">
        <v>3445</v>
      </c>
      <c r="F576" s="3298" t="s">
        <v>2299</v>
      </c>
      <c r="G576" s="3278">
        <v>13854.5</v>
      </c>
      <c r="H576" s="3299">
        <v>0</v>
      </c>
      <c r="I576" s="3278">
        <v>0</v>
      </c>
    </row>
    <row r="577" ht="12.75" customHeight="1" spans="2:9">
      <c r="B577" s="3274">
        <v>565</v>
      </c>
      <c r="D577" s="3297" t="s">
        <v>3446</v>
      </c>
      <c r="E577" s="3298" t="s">
        <v>3447</v>
      </c>
      <c r="F577" s="3298" t="s">
        <v>2418</v>
      </c>
      <c r="G577" s="3278">
        <v>100485</v>
      </c>
      <c r="H577" s="3299">
        <v>24</v>
      </c>
      <c r="I577" s="3278">
        <v>2411640</v>
      </c>
    </row>
    <row r="578" ht="12.75" customHeight="1" spans="2:9">
      <c r="B578" s="3274">
        <v>566</v>
      </c>
      <c r="D578" s="3297" t="s">
        <v>3448</v>
      </c>
      <c r="E578" s="3298" t="s">
        <v>3449</v>
      </c>
      <c r="F578" s="3298" t="s">
        <v>2299</v>
      </c>
      <c r="G578" s="3278">
        <v>69795</v>
      </c>
      <c r="H578" s="3299">
        <v>0</v>
      </c>
      <c r="I578" s="3278">
        <v>0</v>
      </c>
    </row>
    <row r="579" ht="12.75" customHeight="1" spans="2:9">
      <c r="B579" s="3274">
        <v>567</v>
      </c>
      <c r="D579" s="3297" t="s">
        <v>3450</v>
      </c>
      <c r="E579" s="3298" t="s">
        <v>3451</v>
      </c>
      <c r="F579" s="3298" t="s">
        <v>2299</v>
      </c>
      <c r="G579" s="3278">
        <v>40700</v>
      </c>
      <c r="H579" s="3299">
        <v>13</v>
      </c>
      <c r="I579" s="3278">
        <v>529100</v>
      </c>
    </row>
    <row r="580" ht="12.75" customHeight="1" spans="2:9">
      <c r="B580" s="3274">
        <v>568</v>
      </c>
      <c r="D580" s="3297" t="s">
        <v>3452</v>
      </c>
      <c r="E580" s="3298" t="s">
        <v>3453</v>
      </c>
      <c r="F580" s="3298" t="s">
        <v>3412</v>
      </c>
      <c r="G580" s="3278">
        <v>4478100</v>
      </c>
      <c r="H580" s="3299">
        <v>0</v>
      </c>
      <c r="I580" s="3278">
        <v>0</v>
      </c>
    </row>
    <row r="581" ht="12.75" customHeight="1" spans="2:9">
      <c r="B581" s="3274">
        <v>569</v>
      </c>
      <c r="D581" s="3297" t="s">
        <v>3454</v>
      </c>
      <c r="E581" s="3298" t="s">
        <v>3455</v>
      </c>
      <c r="F581" s="3298" t="s">
        <v>2299</v>
      </c>
      <c r="G581" s="3278">
        <v>11000</v>
      </c>
      <c r="H581" s="3299">
        <v>300</v>
      </c>
      <c r="I581" s="3278">
        <v>3300000</v>
      </c>
    </row>
    <row r="582" ht="12.75" customHeight="1" spans="2:9">
      <c r="B582" s="3274">
        <v>570</v>
      </c>
      <c r="D582" s="3297" t="s">
        <v>3456</v>
      </c>
      <c r="E582" s="3298" t="s">
        <v>3457</v>
      </c>
      <c r="F582" s="3298" t="s">
        <v>2299</v>
      </c>
      <c r="G582" s="3278">
        <v>16500</v>
      </c>
      <c r="H582" s="3299">
        <v>200</v>
      </c>
      <c r="I582" s="3278">
        <v>3300000</v>
      </c>
    </row>
    <row r="583" ht="12.75" customHeight="1" spans="2:9">
      <c r="B583" s="3274">
        <v>571</v>
      </c>
      <c r="D583" s="3297" t="s">
        <v>3458</v>
      </c>
      <c r="E583" s="3298" t="s">
        <v>3459</v>
      </c>
      <c r="F583" s="3298" t="s">
        <v>2299</v>
      </c>
      <c r="G583" s="3278">
        <v>16500</v>
      </c>
      <c r="H583" s="3299">
        <v>0</v>
      </c>
      <c r="I583" s="3278">
        <v>0</v>
      </c>
    </row>
    <row r="584" ht="12.75" customHeight="1" spans="2:9">
      <c r="B584" s="3274">
        <v>572</v>
      </c>
      <c r="D584" s="3297" t="s">
        <v>3460</v>
      </c>
      <c r="E584" s="3298" t="s">
        <v>3461</v>
      </c>
      <c r="F584" s="3298" t="s">
        <v>2299</v>
      </c>
      <c r="G584" s="3278">
        <v>161095</v>
      </c>
      <c r="H584" s="3299">
        <v>0</v>
      </c>
      <c r="I584" s="3278">
        <v>0</v>
      </c>
    </row>
    <row r="585" ht="12.75" customHeight="1" spans="2:9">
      <c r="B585" s="3274">
        <v>573</v>
      </c>
      <c r="D585" s="3297" t="s">
        <v>3462</v>
      </c>
      <c r="E585" s="3298" t="s">
        <v>3463</v>
      </c>
      <c r="F585" s="3298" t="s">
        <v>2299</v>
      </c>
      <c r="G585" s="3278">
        <v>7700</v>
      </c>
      <c r="H585" s="3299">
        <v>0</v>
      </c>
      <c r="I585" s="3278">
        <v>0</v>
      </c>
    </row>
    <row r="586" ht="12.75" customHeight="1" spans="2:9">
      <c r="B586" s="3274">
        <v>574</v>
      </c>
      <c r="D586" s="3297" t="s">
        <v>3464</v>
      </c>
      <c r="E586" s="3298" t="s">
        <v>3465</v>
      </c>
      <c r="F586" s="3298" t="s">
        <v>2299</v>
      </c>
      <c r="G586" s="3278">
        <v>0</v>
      </c>
      <c r="H586" s="3299">
        <v>0</v>
      </c>
      <c r="I586" s="3278">
        <v>0</v>
      </c>
    </row>
    <row r="587" ht="12.75" customHeight="1" spans="2:9">
      <c r="B587" s="3274">
        <v>575</v>
      </c>
      <c r="D587" s="3297" t="s">
        <v>3466</v>
      </c>
      <c r="E587" s="3298" t="s">
        <v>3467</v>
      </c>
      <c r="F587" s="3298" t="s">
        <v>2367</v>
      </c>
      <c r="G587" s="3278">
        <v>946000</v>
      </c>
      <c r="H587" s="3299">
        <v>0</v>
      </c>
      <c r="I587" s="3278">
        <v>0</v>
      </c>
    </row>
    <row r="588" ht="12.75" customHeight="1" spans="2:9">
      <c r="B588" s="3274">
        <v>576</v>
      </c>
      <c r="D588" s="3297" t="s">
        <v>3468</v>
      </c>
      <c r="E588" s="3298" t="s">
        <v>3469</v>
      </c>
      <c r="F588" s="3298" t="s">
        <v>2321</v>
      </c>
      <c r="G588" s="3278">
        <v>935000</v>
      </c>
      <c r="H588" s="3299">
        <v>0</v>
      </c>
      <c r="I588" s="3278">
        <v>0</v>
      </c>
    </row>
    <row r="589" ht="12.75" customHeight="1" spans="2:9">
      <c r="B589" s="3274">
        <v>577</v>
      </c>
      <c r="D589" s="3297" t="s">
        <v>3470</v>
      </c>
      <c r="E589" s="3298" t="s">
        <v>3471</v>
      </c>
      <c r="F589" s="3298" t="s">
        <v>2367</v>
      </c>
      <c r="G589" s="3278">
        <v>1094500</v>
      </c>
      <c r="H589" s="3299">
        <v>1</v>
      </c>
      <c r="I589" s="3278">
        <v>1094500</v>
      </c>
    </row>
    <row r="590" ht="12.75" customHeight="1" spans="2:9">
      <c r="B590" s="3274">
        <v>578</v>
      </c>
      <c r="D590" s="3297" t="s">
        <v>3472</v>
      </c>
      <c r="E590" s="3298" t="s">
        <v>3473</v>
      </c>
      <c r="F590" s="3298" t="s">
        <v>2367</v>
      </c>
      <c r="G590" s="3278">
        <v>968000</v>
      </c>
      <c r="H590" s="3299">
        <v>0</v>
      </c>
      <c r="I590" s="3278">
        <v>0</v>
      </c>
    </row>
    <row r="591" ht="12.75" customHeight="1" spans="2:9">
      <c r="B591" s="3274">
        <v>579</v>
      </c>
      <c r="D591" s="3297" t="s">
        <v>3474</v>
      </c>
      <c r="E591" s="3298" t="s">
        <v>3475</v>
      </c>
      <c r="F591" s="3298" t="s">
        <v>2314</v>
      </c>
      <c r="G591" s="3278">
        <v>451000</v>
      </c>
      <c r="H591" s="3299">
        <v>0</v>
      </c>
      <c r="I591" s="3278">
        <v>0</v>
      </c>
    </row>
    <row r="592" ht="12.75" customHeight="1" spans="2:9">
      <c r="B592" s="3274">
        <v>580</v>
      </c>
      <c r="D592" s="3297" t="s">
        <v>3476</v>
      </c>
      <c r="E592" s="3298" t="s">
        <v>3477</v>
      </c>
      <c r="F592" s="3298" t="s">
        <v>2637</v>
      </c>
      <c r="G592" s="3278">
        <v>165000</v>
      </c>
      <c r="H592" s="3299">
        <v>0</v>
      </c>
      <c r="I592" s="3278">
        <v>0</v>
      </c>
    </row>
    <row r="593" ht="12.75" customHeight="1" spans="2:9">
      <c r="B593" s="3274">
        <v>581</v>
      </c>
      <c r="D593" s="3297" t="s">
        <v>3478</v>
      </c>
      <c r="E593" s="3298" t="s">
        <v>3479</v>
      </c>
      <c r="F593" s="3298" t="s">
        <v>2367</v>
      </c>
      <c r="G593" s="3278">
        <v>880000</v>
      </c>
      <c r="H593" s="3299">
        <v>1</v>
      </c>
      <c r="I593" s="3278">
        <v>880000</v>
      </c>
    </row>
    <row r="594" ht="12.75" customHeight="1" spans="2:9">
      <c r="B594" s="3274">
        <v>582</v>
      </c>
      <c r="D594" s="3297" t="s">
        <v>3480</v>
      </c>
      <c r="E594" s="3298" t="s">
        <v>3481</v>
      </c>
      <c r="F594" s="3298" t="s">
        <v>2367</v>
      </c>
      <c r="G594" s="3278">
        <v>1485000</v>
      </c>
      <c r="H594" s="3299">
        <v>0</v>
      </c>
      <c r="I594" s="3278">
        <v>0</v>
      </c>
    </row>
    <row r="595" ht="12.75" customHeight="1" spans="2:9">
      <c r="B595" s="3274">
        <v>583</v>
      </c>
      <c r="D595" s="3297" t="s">
        <v>3482</v>
      </c>
      <c r="E595" s="3298" t="s">
        <v>3483</v>
      </c>
      <c r="F595" s="3298" t="s">
        <v>2367</v>
      </c>
      <c r="G595" s="3278">
        <v>748000</v>
      </c>
      <c r="H595" s="3299">
        <v>0</v>
      </c>
      <c r="I595" s="3278">
        <v>0</v>
      </c>
    </row>
    <row r="596" ht="12.75" customHeight="1" spans="2:9">
      <c r="B596" s="3274">
        <v>584</v>
      </c>
      <c r="D596" s="3297" t="s">
        <v>3484</v>
      </c>
      <c r="E596" s="3298" t="s">
        <v>3485</v>
      </c>
      <c r="F596" s="3298" t="s">
        <v>2367</v>
      </c>
      <c r="G596" s="3278">
        <v>1074480</v>
      </c>
      <c r="H596" s="3299">
        <v>0</v>
      </c>
      <c r="I596" s="3278">
        <v>0</v>
      </c>
    </row>
    <row r="597" ht="12.75" customHeight="1" spans="2:9">
      <c r="B597" s="3274">
        <v>585</v>
      </c>
      <c r="D597" s="3297" t="s">
        <v>3486</v>
      </c>
      <c r="E597" s="3298" t="s">
        <v>3487</v>
      </c>
      <c r="F597" s="3298" t="s">
        <v>2418</v>
      </c>
      <c r="G597" s="3278">
        <v>61600</v>
      </c>
      <c r="H597" s="3299">
        <v>0</v>
      </c>
      <c r="I597" s="3278">
        <v>0</v>
      </c>
    </row>
    <row r="598" ht="12.75" customHeight="1" spans="2:9">
      <c r="B598" s="3274">
        <v>586</v>
      </c>
      <c r="D598" s="3297" t="s">
        <v>3488</v>
      </c>
      <c r="E598" s="3298" t="s">
        <v>3489</v>
      </c>
      <c r="F598" s="3298" t="s">
        <v>2418</v>
      </c>
      <c r="G598" s="3278">
        <v>50600</v>
      </c>
      <c r="H598" s="3299">
        <v>0</v>
      </c>
      <c r="I598" s="3278">
        <v>0</v>
      </c>
    </row>
    <row r="599" ht="12.75" customHeight="1" spans="2:9">
      <c r="B599" s="3274">
        <v>587</v>
      </c>
      <c r="D599" s="3297" t="s">
        <v>3490</v>
      </c>
      <c r="E599" s="3298" t="s">
        <v>3491</v>
      </c>
      <c r="F599" s="3298" t="s">
        <v>2418</v>
      </c>
      <c r="G599" s="3278">
        <v>80300</v>
      </c>
      <c r="H599" s="3299">
        <v>0</v>
      </c>
      <c r="I599" s="3278">
        <v>0</v>
      </c>
    </row>
    <row r="600" ht="12.75" customHeight="1" spans="2:9">
      <c r="B600" s="3274">
        <v>588</v>
      </c>
      <c r="D600" s="3297" t="s">
        <v>3492</v>
      </c>
      <c r="E600" s="3298" t="s">
        <v>3493</v>
      </c>
      <c r="F600" s="3298" t="s">
        <v>2367</v>
      </c>
      <c r="G600" s="3278">
        <v>2640000</v>
      </c>
      <c r="H600" s="3299">
        <v>0</v>
      </c>
      <c r="I600" s="3278">
        <v>0</v>
      </c>
    </row>
    <row r="601" ht="12.75" customHeight="1" spans="2:9">
      <c r="B601" s="3274">
        <v>589</v>
      </c>
      <c r="D601" s="3297" t="s">
        <v>3494</v>
      </c>
      <c r="E601" s="3298" t="s">
        <v>3495</v>
      </c>
      <c r="F601" s="3298" t="s">
        <v>2299</v>
      </c>
      <c r="G601" s="3278">
        <v>192500</v>
      </c>
      <c r="H601" s="3299">
        <v>0</v>
      </c>
      <c r="I601" s="3278">
        <v>0</v>
      </c>
    </row>
    <row r="602" ht="12.75" customHeight="1" spans="2:9">
      <c r="B602" s="3274">
        <v>590</v>
      </c>
      <c r="D602" s="3297" t="s">
        <v>3496</v>
      </c>
      <c r="E602" s="3298" t="s">
        <v>3497</v>
      </c>
      <c r="F602" s="3298" t="s">
        <v>2299</v>
      </c>
      <c r="G602" s="3278">
        <v>25300</v>
      </c>
      <c r="H602" s="3299">
        <v>1</v>
      </c>
      <c r="I602" s="3278">
        <v>25300</v>
      </c>
    </row>
    <row r="603" ht="12.75" customHeight="1" spans="2:9">
      <c r="B603" s="3274">
        <v>591</v>
      </c>
      <c r="D603" s="3297" t="s">
        <v>3498</v>
      </c>
      <c r="E603" s="3298" t="s">
        <v>3499</v>
      </c>
      <c r="F603" s="3298" t="s">
        <v>2299</v>
      </c>
      <c r="G603" s="3278">
        <v>13750</v>
      </c>
      <c r="H603" s="3299">
        <v>0</v>
      </c>
      <c r="I603" s="3278">
        <v>0</v>
      </c>
    </row>
    <row r="604" ht="12.75" customHeight="1" spans="2:9">
      <c r="B604" s="3274">
        <v>592</v>
      </c>
      <c r="D604" s="3297" t="s">
        <v>3500</v>
      </c>
      <c r="E604" s="3298" t="s">
        <v>3501</v>
      </c>
      <c r="F604" s="3298" t="s">
        <v>2418</v>
      </c>
      <c r="G604" s="3278">
        <v>1730421</v>
      </c>
      <c r="H604" s="3299">
        <v>0</v>
      </c>
      <c r="I604" s="3278">
        <v>0</v>
      </c>
    </row>
    <row r="605" ht="12.75" customHeight="1" spans="2:9">
      <c r="B605" s="3274">
        <v>593</v>
      </c>
      <c r="D605" s="3297" t="s">
        <v>3502</v>
      </c>
      <c r="E605" s="3298" t="s">
        <v>3503</v>
      </c>
      <c r="F605" s="3298" t="s">
        <v>2299</v>
      </c>
      <c r="G605" s="3278">
        <v>42075</v>
      </c>
      <c r="H605" s="3299">
        <v>3</v>
      </c>
      <c r="I605" s="3278">
        <v>126225</v>
      </c>
    </row>
    <row r="606" ht="12.75" customHeight="1" spans="2:9">
      <c r="B606" s="3274">
        <v>594</v>
      </c>
      <c r="D606" s="3297" t="s">
        <v>3504</v>
      </c>
      <c r="E606" s="3298" t="s">
        <v>3505</v>
      </c>
      <c r="F606" s="3298" t="s">
        <v>2299</v>
      </c>
      <c r="G606" s="3278">
        <v>660</v>
      </c>
      <c r="H606" s="3299">
        <v>0</v>
      </c>
      <c r="I606" s="3278">
        <v>0</v>
      </c>
    </row>
    <row r="607" ht="12.75" customHeight="1" spans="2:9">
      <c r="B607" s="3274">
        <v>595</v>
      </c>
      <c r="D607" s="3297" t="s">
        <v>3506</v>
      </c>
      <c r="E607" s="3298" t="s">
        <v>3507</v>
      </c>
      <c r="F607" s="3298" t="s">
        <v>2299</v>
      </c>
      <c r="G607" s="3278">
        <v>495</v>
      </c>
      <c r="H607" s="3299">
        <v>2400</v>
      </c>
      <c r="I607" s="3278">
        <v>1188000</v>
      </c>
    </row>
    <row r="608" ht="12.75" customHeight="1" spans="2:9">
      <c r="B608" s="3274">
        <v>596</v>
      </c>
      <c r="D608" s="3297" t="s">
        <v>3508</v>
      </c>
      <c r="E608" s="3298" t="s">
        <v>3509</v>
      </c>
      <c r="F608" s="3298" t="s">
        <v>2296</v>
      </c>
      <c r="G608" s="3278">
        <v>42812</v>
      </c>
      <c r="H608" s="3299">
        <v>50</v>
      </c>
      <c r="I608" s="3278">
        <v>2140600</v>
      </c>
    </row>
    <row r="609" ht="12.75" customHeight="1" spans="2:9">
      <c r="B609" s="3274">
        <v>597</v>
      </c>
      <c r="D609" s="3297" t="s">
        <v>3510</v>
      </c>
      <c r="E609" s="3298" t="s">
        <v>3511</v>
      </c>
      <c r="F609" s="3298" t="s">
        <v>2296</v>
      </c>
      <c r="G609" s="3278">
        <v>28297.5</v>
      </c>
      <c r="H609" s="3299">
        <v>75</v>
      </c>
      <c r="I609" s="3278">
        <v>2122312.5</v>
      </c>
    </row>
    <row r="610" ht="12.75" customHeight="1" spans="2:9">
      <c r="B610" s="3274">
        <v>598</v>
      </c>
      <c r="D610" s="3297" t="s">
        <v>3512</v>
      </c>
      <c r="E610" s="3298" t="s">
        <v>3513</v>
      </c>
      <c r="F610" s="3298" t="s">
        <v>2299</v>
      </c>
      <c r="G610" s="3278">
        <v>25850</v>
      </c>
      <c r="H610" s="3299">
        <v>0</v>
      </c>
      <c r="I610" s="3278">
        <v>0</v>
      </c>
    </row>
    <row r="611" ht="12.75" customHeight="1" spans="2:9">
      <c r="B611" s="3274">
        <v>599</v>
      </c>
      <c r="D611" s="3297" t="s">
        <v>3514</v>
      </c>
      <c r="E611" s="3298" t="s">
        <v>3515</v>
      </c>
      <c r="F611" s="3298" t="s">
        <v>2367</v>
      </c>
      <c r="G611" s="3278">
        <v>4730000</v>
      </c>
      <c r="H611" s="3299">
        <v>0</v>
      </c>
      <c r="I611" s="3278">
        <v>0</v>
      </c>
    </row>
    <row r="612" ht="12.75" customHeight="1" spans="2:9">
      <c r="B612" s="3274">
        <v>600</v>
      </c>
      <c r="D612" s="3297" t="s">
        <v>3516</v>
      </c>
      <c r="E612" s="3298" t="s">
        <v>3517</v>
      </c>
      <c r="F612" s="3298" t="s">
        <v>2367</v>
      </c>
      <c r="G612" s="3278">
        <v>1815000</v>
      </c>
      <c r="H612" s="3299">
        <v>0</v>
      </c>
      <c r="I612" s="3278">
        <v>0</v>
      </c>
    </row>
    <row r="613" ht="12.75" customHeight="1" spans="2:9">
      <c r="B613" s="3274">
        <v>601</v>
      </c>
      <c r="D613" s="3297" t="s">
        <v>3518</v>
      </c>
      <c r="E613" s="3298" t="s">
        <v>3519</v>
      </c>
      <c r="F613" s="3298" t="s">
        <v>2293</v>
      </c>
      <c r="G613" s="3278">
        <v>0</v>
      </c>
      <c r="H613" s="3299">
        <v>0</v>
      </c>
      <c r="I613" s="3278">
        <v>0</v>
      </c>
    </row>
    <row r="614" ht="12.75" customHeight="1" spans="2:9">
      <c r="B614" s="3274">
        <v>602</v>
      </c>
      <c r="D614" s="3297" t="s">
        <v>3520</v>
      </c>
      <c r="E614" s="3298" t="s">
        <v>3521</v>
      </c>
      <c r="F614" s="3298" t="s">
        <v>2321</v>
      </c>
      <c r="G614" s="3278">
        <v>544500</v>
      </c>
      <c r="H614" s="3299">
        <v>0</v>
      </c>
      <c r="I614" s="3278">
        <v>0</v>
      </c>
    </row>
    <row r="615" ht="12.75" customHeight="1" spans="2:9">
      <c r="B615" s="3274">
        <v>603</v>
      </c>
      <c r="D615" s="3297" t="s">
        <v>3522</v>
      </c>
      <c r="E615" s="3298" t="s">
        <v>3523</v>
      </c>
      <c r="F615" s="3298" t="s">
        <v>2843</v>
      </c>
      <c r="G615" s="3278">
        <v>0</v>
      </c>
      <c r="H615" s="3299">
        <v>0</v>
      </c>
      <c r="I615" s="3278">
        <v>0</v>
      </c>
    </row>
    <row r="616" ht="12.75" customHeight="1" spans="2:9">
      <c r="B616" s="3274">
        <v>604</v>
      </c>
      <c r="D616" s="3297" t="s">
        <v>3524</v>
      </c>
      <c r="E616" s="3298" t="s">
        <v>3525</v>
      </c>
      <c r="F616" s="3298" t="s">
        <v>2565</v>
      </c>
      <c r="G616" s="3278">
        <v>187000</v>
      </c>
      <c r="H616" s="3299">
        <v>0</v>
      </c>
      <c r="I616" s="3278">
        <v>0</v>
      </c>
    </row>
    <row r="617" ht="12.75" customHeight="1" spans="2:9">
      <c r="B617" s="3274">
        <v>605</v>
      </c>
      <c r="D617" s="3297" t="s">
        <v>3526</v>
      </c>
      <c r="E617" s="3298" t="s">
        <v>3527</v>
      </c>
      <c r="F617" s="3298" t="s">
        <v>2299</v>
      </c>
      <c r="G617" s="3278">
        <v>60500</v>
      </c>
      <c r="H617" s="3299">
        <v>0</v>
      </c>
      <c r="I617" s="3278">
        <v>0</v>
      </c>
    </row>
    <row r="618" ht="12.75" customHeight="1" spans="2:9">
      <c r="B618" s="3274">
        <v>606</v>
      </c>
      <c r="D618" s="3297" t="s">
        <v>3528</v>
      </c>
      <c r="E618" s="3298" t="s">
        <v>3529</v>
      </c>
      <c r="F618" s="3298" t="s">
        <v>2321</v>
      </c>
      <c r="G618" s="3278">
        <v>192500</v>
      </c>
      <c r="H618" s="3299">
        <v>0</v>
      </c>
      <c r="I618" s="3278">
        <v>0</v>
      </c>
    </row>
    <row r="619" ht="12.75" customHeight="1" spans="2:9">
      <c r="B619" s="3274">
        <v>607</v>
      </c>
      <c r="D619" s="3297" t="s">
        <v>3530</v>
      </c>
      <c r="E619" s="3298" t="s">
        <v>3531</v>
      </c>
      <c r="F619" s="3298" t="s">
        <v>2299</v>
      </c>
      <c r="G619" s="3278">
        <v>209000</v>
      </c>
      <c r="H619" s="3299">
        <v>0</v>
      </c>
      <c r="I619" s="3278">
        <v>0</v>
      </c>
    </row>
    <row r="620" ht="12.75" customHeight="1" spans="2:9">
      <c r="B620" s="3274">
        <v>608</v>
      </c>
      <c r="D620" s="3297" t="s">
        <v>3532</v>
      </c>
      <c r="E620" s="3298" t="s">
        <v>3533</v>
      </c>
      <c r="F620" s="3298" t="s">
        <v>2299</v>
      </c>
      <c r="G620" s="3278">
        <v>0</v>
      </c>
      <c r="H620" s="3299">
        <v>0</v>
      </c>
      <c r="I620" s="3278">
        <v>0</v>
      </c>
    </row>
    <row r="621" ht="12.75" customHeight="1" spans="2:9">
      <c r="B621" s="3274">
        <v>609</v>
      </c>
      <c r="D621" s="3297" t="s">
        <v>3534</v>
      </c>
      <c r="E621" s="3298" t="s">
        <v>3535</v>
      </c>
      <c r="F621" s="3298" t="s">
        <v>2299</v>
      </c>
      <c r="G621" s="3278">
        <v>16955.4</v>
      </c>
      <c r="H621" s="3299">
        <v>25</v>
      </c>
      <c r="I621" s="3278">
        <v>423885</v>
      </c>
    </row>
    <row r="622" ht="12.75" customHeight="1" spans="2:9">
      <c r="B622" s="3274">
        <v>610</v>
      </c>
      <c r="D622" s="3297" t="s">
        <v>3536</v>
      </c>
      <c r="E622" s="3298" t="s">
        <v>3537</v>
      </c>
      <c r="F622" s="3298" t="s">
        <v>2299</v>
      </c>
      <c r="G622" s="3278">
        <v>16955.4</v>
      </c>
      <c r="H622" s="3299">
        <v>25</v>
      </c>
      <c r="I622" s="3278">
        <v>423885</v>
      </c>
    </row>
    <row r="623" ht="12.75" customHeight="1" spans="2:9">
      <c r="B623" s="3274">
        <v>611</v>
      </c>
      <c r="D623" s="3297" t="s">
        <v>3538</v>
      </c>
      <c r="E623" s="3298" t="s">
        <v>3539</v>
      </c>
      <c r="F623" s="3298" t="s">
        <v>2299</v>
      </c>
      <c r="G623" s="3278">
        <v>16955.4</v>
      </c>
      <c r="H623" s="3299">
        <v>25</v>
      </c>
      <c r="I623" s="3278">
        <v>423885</v>
      </c>
    </row>
    <row r="624" ht="12.75" customHeight="1" spans="2:9">
      <c r="B624" s="3274">
        <v>612</v>
      </c>
      <c r="D624" s="3297" t="s">
        <v>3540</v>
      </c>
      <c r="E624" s="3298" t="s">
        <v>3541</v>
      </c>
      <c r="F624" s="3298" t="s">
        <v>2299</v>
      </c>
      <c r="G624" s="3278">
        <v>25652</v>
      </c>
      <c r="H624" s="3299">
        <v>0</v>
      </c>
      <c r="I624" s="3278">
        <v>0</v>
      </c>
    </row>
    <row r="625" ht="12.75" customHeight="1" spans="2:9">
      <c r="B625" s="3274">
        <v>613</v>
      </c>
      <c r="D625" s="3297" t="s">
        <v>3542</v>
      </c>
      <c r="E625" s="3298" t="s">
        <v>3543</v>
      </c>
      <c r="F625" s="3298" t="s">
        <v>2299</v>
      </c>
      <c r="G625" s="3278">
        <v>2395.8</v>
      </c>
      <c r="H625" s="3299">
        <v>240</v>
      </c>
      <c r="I625" s="3278">
        <v>574992</v>
      </c>
    </row>
    <row r="626" ht="12.75" customHeight="1" spans="2:9">
      <c r="B626" s="3274">
        <v>614</v>
      </c>
      <c r="D626" s="3297" t="s">
        <v>3544</v>
      </c>
      <c r="E626" s="3298" t="s">
        <v>3545</v>
      </c>
      <c r="F626" s="3298" t="s">
        <v>2299</v>
      </c>
      <c r="G626" s="3278">
        <v>1796.85</v>
      </c>
      <c r="H626" s="3299">
        <v>240</v>
      </c>
      <c r="I626" s="3278">
        <v>431244</v>
      </c>
    </row>
    <row r="627" ht="12.75" customHeight="1" spans="2:9">
      <c r="B627" s="3274">
        <v>615</v>
      </c>
      <c r="D627" s="3297" t="s">
        <v>3546</v>
      </c>
      <c r="E627" s="3298" t="s">
        <v>3547</v>
      </c>
      <c r="F627" s="3298" t="s">
        <v>2299</v>
      </c>
      <c r="G627" s="3278">
        <v>2395.8</v>
      </c>
      <c r="H627" s="3299">
        <v>240</v>
      </c>
      <c r="I627" s="3278">
        <v>574992</v>
      </c>
    </row>
    <row r="628" ht="12.75" customHeight="1" spans="2:9">
      <c r="B628" s="3274">
        <v>616</v>
      </c>
      <c r="D628" s="3297" t="s">
        <v>3548</v>
      </c>
      <c r="E628" s="3298" t="s">
        <v>3549</v>
      </c>
      <c r="F628" s="3298" t="s">
        <v>2299</v>
      </c>
      <c r="G628" s="3278">
        <v>1375000</v>
      </c>
      <c r="H628" s="3299">
        <v>0</v>
      </c>
      <c r="I628" s="3278">
        <v>0</v>
      </c>
    </row>
    <row r="629" ht="12.75" customHeight="1" spans="2:9">
      <c r="B629" s="3274">
        <v>617</v>
      </c>
      <c r="D629" s="3297" t="s">
        <v>3550</v>
      </c>
      <c r="E629" s="3298" t="s">
        <v>3551</v>
      </c>
      <c r="F629" s="3298" t="s">
        <v>2299</v>
      </c>
      <c r="G629" s="3278">
        <v>1650000</v>
      </c>
      <c r="H629" s="3299">
        <v>0</v>
      </c>
      <c r="I629" s="3278">
        <v>0</v>
      </c>
    </row>
    <row r="630" ht="12.75" customHeight="1" spans="2:9">
      <c r="B630" s="3274">
        <v>618</v>
      </c>
      <c r="D630" s="3297" t="s">
        <v>3552</v>
      </c>
      <c r="E630" s="3298" t="s">
        <v>3553</v>
      </c>
      <c r="F630" s="3298" t="s">
        <v>2299</v>
      </c>
      <c r="G630" s="3278">
        <v>1650000</v>
      </c>
      <c r="H630" s="3299">
        <v>0</v>
      </c>
      <c r="I630" s="3278">
        <v>0</v>
      </c>
    </row>
    <row r="631" ht="12.75" customHeight="1" spans="2:9">
      <c r="B631" s="3274">
        <v>619</v>
      </c>
      <c r="D631" s="3297" t="s">
        <v>3554</v>
      </c>
      <c r="E631" s="3298" t="s">
        <v>3555</v>
      </c>
      <c r="F631" s="3298" t="s">
        <v>3412</v>
      </c>
      <c r="G631" s="3278">
        <v>1000000</v>
      </c>
      <c r="H631" s="3299">
        <v>0</v>
      </c>
      <c r="I631" s="3278">
        <v>0</v>
      </c>
    </row>
    <row r="632" ht="12.75" customHeight="1" spans="2:9">
      <c r="B632" s="3274">
        <v>620</v>
      </c>
      <c r="D632" s="3297" t="s">
        <v>3556</v>
      </c>
      <c r="E632" s="3298" t="s">
        <v>3557</v>
      </c>
      <c r="F632" s="3298" t="s">
        <v>3412</v>
      </c>
      <c r="G632" s="3278">
        <v>750000</v>
      </c>
      <c r="H632" s="3299">
        <v>0</v>
      </c>
      <c r="I632" s="3278">
        <v>0</v>
      </c>
    </row>
    <row r="633" ht="12.75" customHeight="1" spans="2:9">
      <c r="B633" s="3274">
        <v>621</v>
      </c>
      <c r="D633" s="3297" t="s">
        <v>3558</v>
      </c>
      <c r="E633" s="3298" t="s">
        <v>3559</v>
      </c>
      <c r="F633" s="3298" t="s">
        <v>2299</v>
      </c>
      <c r="G633" s="3278">
        <v>4000000</v>
      </c>
      <c r="H633" s="3299">
        <v>0</v>
      </c>
      <c r="I633" s="3278">
        <v>0</v>
      </c>
    </row>
    <row r="634" ht="12.75" customHeight="1" spans="2:9">
      <c r="B634" s="3274">
        <v>622</v>
      </c>
      <c r="D634" s="3297" t="s">
        <v>3560</v>
      </c>
      <c r="E634" s="3298" t="s">
        <v>3561</v>
      </c>
      <c r="F634" s="3298" t="s">
        <v>2457</v>
      </c>
      <c r="G634" s="3278">
        <v>3500000</v>
      </c>
      <c r="H634" s="3299">
        <v>0</v>
      </c>
      <c r="I634" s="3278">
        <v>0</v>
      </c>
    </row>
    <row r="635" ht="12.75" customHeight="1" spans="2:9">
      <c r="B635" s="3274">
        <v>623</v>
      </c>
      <c r="D635" s="3297" t="s">
        <v>3562</v>
      </c>
      <c r="E635" s="3298" t="s">
        <v>3563</v>
      </c>
      <c r="F635" s="3298" t="s">
        <v>2457</v>
      </c>
      <c r="G635" s="3278">
        <v>3500000</v>
      </c>
      <c r="H635" s="3299">
        <v>0</v>
      </c>
      <c r="I635" s="3278">
        <v>0</v>
      </c>
    </row>
    <row r="636" ht="12.75" customHeight="1" spans="2:9">
      <c r="B636" s="3274">
        <v>624</v>
      </c>
      <c r="D636" s="3297" t="s">
        <v>3564</v>
      </c>
      <c r="E636" s="3298" t="s">
        <v>3565</v>
      </c>
      <c r="F636" s="3298" t="s">
        <v>2314</v>
      </c>
      <c r="G636" s="3278">
        <v>3850000</v>
      </c>
      <c r="H636" s="3299">
        <v>0</v>
      </c>
      <c r="I636" s="3278">
        <v>0</v>
      </c>
    </row>
    <row r="637" ht="12.75" customHeight="1" spans="2:9">
      <c r="B637" s="3274">
        <v>625</v>
      </c>
      <c r="D637" s="3297" t="s">
        <v>3566</v>
      </c>
      <c r="E637" s="3298" t="s">
        <v>3567</v>
      </c>
      <c r="F637" s="3298" t="s">
        <v>2299</v>
      </c>
      <c r="G637" s="3278">
        <v>500000</v>
      </c>
      <c r="H637" s="3299">
        <v>0</v>
      </c>
      <c r="I637" s="3278">
        <v>0</v>
      </c>
    </row>
    <row r="638" ht="12.75" customHeight="1" spans="2:9">
      <c r="B638" s="3274">
        <v>626</v>
      </c>
      <c r="D638" s="3297" t="s">
        <v>3568</v>
      </c>
      <c r="E638" s="3298" t="s">
        <v>3569</v>
      </c>
      <c r="F638" s="3298" t="s">
        <v>2299</v>
      </c>
      <c r="G638" s="3278">
        <v>500000</v>
      </c>
      <c r="H638" s="3299">
        <v>0</v>
      </c>
      <c r="I638" s="3278">
        <v>0</v>
      </c>
    </row>
    <row r="639" ht="12.75" customHeight="1" spans="2:9">
      <c r="B639" s="3274">
        <v>627</v>
      </c>
      <c r="D639" s="3297" t="s">
        <v>3570</v>
      </c>
      <c r="E639" s="3298" t="s">
        <v>3571</v>
      </c>
      <c r="F639" s="3298" t="s">
        <v>3412</v>
      </c>
      <c r="G639" s="3278">
        <v>4000000</v>
      </c>
      <c r="H639" s="3299">
        <v>0</v>
      </c>
      <c r="I639" s="3278">
        <v>0</v>
      </c>
    </row>
    <row r="640" ht="12.75" customHeight="1" spans="2:9">
      <c r="B640" s="3274">
        <v>628</v>
      </c>
      <c r="D640" s="3297" t="s">
        <v>3572</v>
      </c>
      <c r="E640" s="3298" t="s">
        <v>3573</v>
      </c>
      <c r="F640" s="3298" t="s">
        <v>3412</v>
      </c>
      <c r="G640" s="3278">
        <v>2200000</v>
      </c>
      <c r="H640" s="3299">
        <v>0</v>
      </c>
      <c r="I640" s="3278">
        <v>0</v>
      </c>
    </row>
    <row r="641" ht="12.75" customHeight="1" spans="2:9">
      <c r="B641" s="3274">
        <v>629</v>
      </c>
      <c r="D641" s="3297" t="s">
        <v>3574</v>
      </c>
      <c r="E641" s="3298" t="s">
        <v>3575</v>
      </c>
      <c r="F641" s="3298" t="s">
        <v>3412</v>
      </c>
      <c r="G641" s="3278">
        <v>1650000</v>
      </c>
      <c r="H641" s="3299">
        <v>0</v>
      </c>
      <c r="I641" s="3278">
        <v>0</v>
      </c>
    </row>
    <row r="642" ht="12.75" customHeight="1" spans="2:9">
      <c r="B642" s="3274">
        <v>630</v>
      </c>
      <c r="D642" s="3297" t="s">
        <v>3576</v>
      </c>
      <c r="E642" s="3298" t="s">
        <v>3577</v>
      </c>
      <c r="F642" s="3298" t="s">
        <v>2314</v>
      </c>
      <c r="G642" s="3278">
        <v>4000000</v>
      </c>
      <c r="H642" s="3299">
        <v>0</v>
      </c>
      <c r="I642" s="3278">
        <v>0</v>
      </c>
    </row>
    <row r="643" ht="12.75" customHeight="1" spans="2:9">
      <c r="B643" s="3274">
        <v>631</v>
      </c>
      <c r="D643" s="3297" t="s">
        <v>3578</v>
      </c>
      <c r="E643" s="3298" t="s">
        <v>3579</v>
      </c>
      <c r="F643" s="3298" t="s">
        <v>2314</v>
      </c>
      <c r="G643" s="3278">
        <v>4000000</v>
      </c>
      <c r="H643" s="3299">
        <v>0</v>
      </c>
      <c r="I643" s="3278">
        <v>0</v>
      </c>
    </row>
    <row r="644" ht="12.75" customHeight="1" spans="2:9">
      <c r="B644" s="3274">
        <v>632</v>
      </c>
      <c r="D644" s="3297" t="s">
        <v>3580</v>
      </c>
      <c r="E644" s="3298" t="s">
        <v>3581</v>
      </c>
      <c r="F644" s="3298" t="s">
        <v>2314</v>
      </c>
      <c r="G644" s="3278">
        <v>5000000</v>
      </c>
      <c r="H644" s="3299">
        <v>0</v>
      </c>
      <c r="I644" s="3278">
        <v>0</v>
      </c>
    </row>
    <row r="645" ht="12.75" customHeight="1" spans="2:9">
      <c r="B645" s="3274">
        <v>633</v>
      </c>
      <c r="D645" s="3297" t="s">
        <v>3582</v>
      </c>
      <c r="E645" s="3298" t="s">
        <v>3583</v>
      </c>
      <c r="F645" s="3298" t="s">
        <v>2299</v>
      </c>
      <c r="G645" s="3278">
        <v>715000</v>
      </c>
      <c r="H645" s="3299">
        <v>1</v>
      </c>
      <c r="I645" s="3278">
        <v>715000</v>
      </c>
    </row>
    <row r="646" ht="12.75" customHeight="1" spans="2:9">
      <c r="B646" s="3274">
        <v>634</v>
      </c>
      <c r="D646" s="3297" t="s">
        <v>3584</v>
      </c>
      <c r="E646" s="3298" t="s">
        <v>3585</v>
      </c>
      <c r="F646" s="3298" t="s">
        <v>2293</v>
      </c>
      <c r="G646" s="3278">
        <v>5445</v>
      </c>
      <c r="H646" s="3299">
        <v>0</v>
      </c>
      <c r="I646" s="3278">
        <v>0</v>
      </c>
    </row>
    <row r="647" ht="12.75" customHeight="1" spans="2:9">
      <c r="B647" s="3274">
        <v>635</v>
      </c>
      <c r="D647" s="3297" t="s">
        <v>3586</v>
      </c>
      <c r="E647" s="3298" t="s">
        <v>3587</v>
      </c>
      <c r="F647" s="3298" t="s">
        <v>2299</v>
      </c>
      <c r="G647" s="3278">
        <v>9900</v>
      </c>
      <c r="H647" s="3299">
        <v>0</v>
      </c>
      <c r="I647" s="3278">
        <v>0</v>
      </c>
    </row>
    <row r="648" ht="12.75" customHeight="1" spans="2:9">
      <c r="B648" s="3274">
        <v>636</v>
      </c>
      <c r="D648" s="3297" t="s">
        <v>3588</v>
      </c>
      <c r="E648" s="3298" t="s">
        <v>3589</v>
      </c>
      <c r="F648" s="3298" t="s">
        <v>2299</v>
      </c>
      <c r="G648" s="3278">
        <v>13200</v>
      </c>
      <c r="H648" s="3299">
        <v>100</v>
      </c>
      <c r="I648" s="3278">
        <v>1320000</v>
      </c>
    </row>
    <row r="649" ht="12.75" customHeight="1" spans="2:9">
      <c r="B649" s="3274">
        <v>637</v>
      </c>
      <c r="D649" s="3297" t="s">
        <v>3590</v>
      </c>
      <c r="E649" s="3298" t="s">
        <v>3591</v>
      </c>
      <c r="F649" s="3298" t="s">
        <v>2299</v>
      </c>
      <c r="G649" s="3278">
        <v>8800</v>
      </c>
      <c r="H649" s="3299">
        <v>0</v>
      </c>
      <c r="I649" s="3278">
        <v>0</v>
      </c>
    </row>
    <row r="650" ht="12.75" customHeight="1" spans="2:9">
      <c r="B650" s="3274">
        <v>638</v>
      </c>
      <c r="D650" s="3297" t="s">
        <v>3592</v>
      </c>
      <c r="E650" s="3298" t="s">
        <v>3593</v>
      </c>
      <c r="F650" s="3298" t="s">
        <v>2299</v>
      </c>
      <c r="G650" s="3278">
        <v>81400</v>
      </c>
      <c r="H650" s="3299">
        <v>1</v>
      </c>
      <c r="I650" s="3278">
        <v>81400</v>
      </c>
    </row>
    <row r="651" ht="12.75" customHeight="1" spans="2:9">
      <c r="B651" s="3274">
        <v>639</v>
      </c>
      <c r="D651" s="3297" t="s">
        <v>3594</v>
      </c>
      <c r="E651" s="3298" t="s">
        <v>3595</v>
      </c>
      <c r="F651" s="3298" t="s">
        <v>2299</v>
      </c>
      <c r="G651" s="3278">
        <v>81400</v>
      </c>
      <c r="H651" s="3299">
        <v>1</v>
      </c>
      <c r="I651" s="3278">
        <v>81400</v>
      </c>
    </row>
    <row r="652" ht="12.75" customHeight="1" spans="2:9">
      <c r="B652" s="3274">
        <v>640</v>
      </c>
      <c r="D652" s="3297" t="s">
        <v>3596</v>
      </c>
      <c r="E652" s="3298" t="s">
        <v>3597</v>
      </c>
      <c r="F652" s="3298" t="s">
        <v>2299</v>
      </c>
      <c r="G652" s="3278">
        <v>81400</v>
      </c>
      <c r="H652" s="3299">
        <v>1</v>
      </c>
      <c r="I652" s="3278">
        <v>81400</v>
      </c>
    </row>
    <row r="653" ht="12.75" customHeight="1" spans="2:9">
      <c r="B653" s="3274">
        <v>641</v>
      </c>
      <c r="D653" s="3297" t="s">
        <v>3598</v>
      </c>
      <c r="E653" s="3298" t="s">
        <v>3599</v>
      </c>
      <c r="F653" s="3298" t="s">
        <v>2299</v>
      </c>
      <c r="G653" s="3278">
        <v>19875.9</v>
      </c>
      <c r="H653" s="3299">
        <v>0</v>
      </c>
      <c r="I653" s="3278">
        <v>0</v>
      </c>
    </row>
    <row r="654" ht="12.75" customHeight="1" spans="2:9">
      <c r="B654" s="3274">
        <v>642</v>
      </c>
      <c r="D654" s="3297" t="s">
        <v>3600</v>
      </c>
      <c r="E654" s="3298" t="s">
        <v>3601</v>
      </c>
      <c r="F654" s="3298" t="s">
        <v>2299</v>
      </c>
      <c r="G654" s="3278">
        <v>24200</v>
      </c>
      <c r="H654" s="3299">
        <v>0</v>
      </c>
      <c r="I654" s="3278">
        <v>0</v>
      </c>
    </row>
    <row r="655" ht="12.75" customHeight="1" spans="2:9">
      <c r="B655" s="3274">
        <v>643</v>
      </c>
      <c r="D655" s="3297" t="s">
        <v>3602</v>
      </c>
      <c r="E655" s="3298" t="s">
        <v>3603</v>
      </c>
      <c r="F655" s="3298" t="s">
        <v>2299</v>
      </c>
      <c r="G655" s="3278">
        <v>24200</v>
      </c>
      <c r="H655" s="3299">
        <v>0</v>
      </c>
      <c r="I655" s="3278">
        <v>0</v>
      </c>
    </row>
    <row r="656" ht="12.75" customHeight="1" spans="2:9">
      <c r="B656" s="3274">
        <v>644</v>
      </c>
      <c r="D656" s="3297" t="s">
        <v>3604</v>
      </c>
      <c r="E656" s="3298" t="s">
        <v>3605</v>
      </c>
      <c r="F656" s="3298" t="s">
        <v>2299</v>
      </c>
      <c r="G656" s="3278">
        <v>24200</v>
      </c>
      <c r="H656" s="3299">
        <v>0</v>
      </c>
      <c r="I656" s="3278">
        <v>0</v>
      </c>
    </row>
    <row r="657" ht="12.75" customHeight="1" spans="2:9">
      <c r="B657" s="3274">
        <v>645</v>
      </c>
      <c r="D657" s="3297" t="s">
        <v>3606</v>
      </c>
      <c r="E657" s="3298" t="s">
        <v>3607</v>
      </c>
      <c r="F657" s="3298" t="s">
        <v>2299</v>
      </c>
      <c r="G657" s="3278">
        <v>24200</v>
      </c>
      <c r="H657" s="3299">
        <v>0</v>
      </c>
      <c r="I657" s="3278">
        <v>0</v>
      </c>
    </row>
    <row r="658" ht="12.75" customHeight="1" spans="2:9">
      <c r="B658" s="3274">
        <v>646</v>
      </c>
      <c r="D658" s="3297" t="s">
        <v>3608</v>
      </c>
      <c r="E658" s="3298" t="s">
        <v>3609</v>
      </c>
      <c r="F658" s="3298" t="s">
        <v>2299</v>
      </c>
      <c r="G658" s="3278">
        <v>500000</v>
      </c>
      <c r="H658" s="3299">
        <v>0</v>
      </c>
      <c r="I658" s="3278">
        <v>0</v>
      </c>
    </row>
    <row r="659" ht="12.75" customHeight="1" spans="2:9">
      <c r="B659" s="3274">
        <v>647</v>
      </c>
      <c r="D659" s="3297" t="s">
        <v>3610</v>
      </c>
      <c r="E659" s="3298" t="s">
        <v>3611</v>
      </c>
      <c r="F659" s="3298" t="s">
        <v>2321</v>
      </c>
      <c r="G659" s="3278">
        <v>32815.2</v>
      </c>
      <c r="H659" s="3299">
        <v>0</v>
      </c>
      <c r="I659" s="3278">
        <v>0</v>
      </c>
    </row>
    <row r="660" ht="12.75" customHeight="1" spans="2:9">
      <c r="B660" s="3274">
        <v>648</v>
      </c>
      <c r="D660" s="3297" t="s">
        <v>3612</v>
      </c>
      <c r="E660" s="3298" t="s">
        <v>3613</v>
      </c>
      <c r="F660" s="3298" t="s">
        <v>2299</v>
      </c>
      <c r="G660" s="3278">
        <v>72600</v>
      </c>
      <c r="H660" s="3299">
        <v>0</v>
      </c>
      <c r="I660" s="3278">
        <v>0</v>
      </c>
    </row>
    <row r="661" ht="12.75" customHeight="1" spans="2:9">
      <c r="B661" s="3274">
        <v>649</v>
      </c>
      <c r="D661" s="3297" t="s">
        <v>3614</v>
      </c>
      <c r="E661" s="3298" t="s">
        <v>3615</v>
      </c>
      <c r="F661" s="3298" t="s">
        <v>2457</v>
      </c>
      <c r="G661" s="3278">
        <v>40150</v>
      </c>
      <c r="H661" s="3299">
        <v>0</v>
      </c>
      <c r="I661" s="3278">
        <v>0</v>
      </c>
    </row>
    <row r="662" ht="12.75" customHeight="1" spans="2:9">
      <c r="B662" s="3274">
        <v>650</v>
      </c>
      <c r="D662" s="3297" t="s">
        <v>3616</v>
      </c>
      <c r="E662" s="3298" t="s">
        <v>3617</v>
      </c>
      <c r="F662" s="3298" t="s">
        <v>2299</v>
      </c>
      <c r="G662" s="3278">
        <v>550000</v>
      </c>
      <c r="H662" s="3299">
        <v>0</v>
      </c>
      <c r="I662" s="3278">
        <v>0</v>
      </c>
    </row>
    <row r="663" ht="12.75" customHeight="1" spans="2:9">
      <c r="B663" s="3274">
        <v>651</v>
      </c>
      <c r="D663" s="3297" t="s">
        <v>3618</v>
      </c>
      <c r="E663" s="3298" t="s">
        <v>3619</v>
      </c>
      <c r="F663" s="3298" t="s">
        <v>3620</v>
      </c>
      <c r="G663" s="3278">
        <v>16610</v>
      </c>
      <c r="H663" s="3299">
        <v>5</v>
      </c>
      <c r="I663" s="3278">
        <v>83050</v>
      </c>
    </row>
    <row r="664" ht="12.75" customHeight="1" spans="2:9">
      <c r="B664" s="3274">
        <v>652</v>
      </c>
      <c r="D664" s="3297" t="s">
        <v>3621</v>
      </c>
      <c r="E664" s="3298" t="s">
        <v>3622</v>
      </c>
      <c r="F664" s="3298" t="s">
        <v>2321</v>
      </c>
      <c r="G664" s="3278">
        <v>1870000</v>
      </c>
      <c r="H664" s="3299">
        <v>0</v>
      </c>
      <c r="I664" s="3278">
        <v>0</v>
      </c>
    </row>
    <row r="665" ht="12.75" customHeight="1" spans="2:9">
      <c r="B665" s="3274">
        <v>653</v>
      </c>
      <c r="D665" s="3297" t="s">
        <v>3623</v>
      </c>
      <c r="E665" s="3298" t="s">
        <v>3624</v>
      </c>
      <c r="F665" s="3298" t="s">
        <v>2457</v>
      </c>
      <c r="G665" s="3278">
        <v>19800</v>
      </c>
      <c r="H665" s="3299">
        <v>0</v>
      </c>
      <c r="I665" s="3278">
        <v>0</v>
      </c>
    </row>
    <row r="666" ht="12.75" customHeight="1" spans="2:9">
      <c r="B666" s="3274">
        <v>654</v>
      </c>
      <c r="D666" s="3297" t="s">
        <v>3625</v>
      </c>
      <c r="E666" s="3298" t="s">
        <v>3626</v>
      </c>
      <c r="F666" s="3298" t="s">
        <v>2293</v>
      </c>
      <c r="G666" s="3278">
        <v>825</v>
      </c>
      <c r="H666" s="3299">
        <v>200</v>
      </c>
      <c r="I666" s="3278">
        <v>165000</v>
      </c>
    </row>
    <row r="667" ht="12.75" customHeight="1" spans="2:9">
      <c r="B667" s="3274">
        <v>655</v>
      </c>
      <c r="D667" s="3297" t="s">
        <v>3627</v>
      </c>
      <c r="E667" s="3298" t="s">
        <v>3628</v>
      </c>
      <c r="F667" s="3298" t="s">
        <v>2299</v>
      </c>
      <c r="G667" s="3278">
        <v>1803.45</v>
      </c>
      <c r="H667" s="3299">
        <v>400</v>
      </c>
      <c r="I667" s="3278">
        <v>721380</v>
      </c>
    </row>
    <row r="668" ht="12.75" customHeight="1" spans="2:9">
      <c r="B668" s="3274">
        <v>656</v>
      </c>
      <c r="D668" s="3297" t="s">
        <v>3629</v>
      </c>
      <c r="E668" s="3298" t="s">
        <v>3630</v>
      </c>
      <c r="F668" s="3298" t="s">
        <v>2299</v>
      </c>
      <c r="G668" s="3278">
        <v>499.73</v>
      </c>
      <c r="H668" s="3299">
        <v>170</v>
      </c>
      <c r="I668" s="3278">
        <v>84954.1</v>
      </c>
    </row>
    <row r="669" ht="12.75" customHeight="1" spans="2:9">
      <c r="B669" s="3274">
        <v>657</v>
      </c>
      <c r="D669" s="3297" t="s">
        <v>3631</v>
      </c>
      <c r="E669" s="3298" t="s">
        <v>3632</v>
      </c>
      <c r="F669" s="3298" t="s">
        <v>2299</v>
      </c>
      <c r="G669" s="3278">
        <v>1100</v>
      </c>
      <c r="H669" s="3299">
        <v>500</v>
      </c>
      <c r="I669" s="3278">
        <v>550000</v>
      </c>
    </row>
    <row r="670" ht="12.75" customHeight="1" spans="2:9">
      <c r="B670" s="3274">
        <v>658</v>
      </c>
      <c r="D670" s="3297" t="s">
        <v>3633</v>
      </c>
      <c r="E670" s="3298" t="s">
        <v>3634</v>
      </c>
      <c r="F670" s="3298" t="s">
        <v>2293</v>
      </c>
      <c r="G670" s="3278">
        <v>175450</v>
      </c>
      <c r="H670" s="3299">
        <v>0</v>
      </c>
      <c r="I670" s="3278">
        <v>0</v>
      </c>
    </row>
    <row r="671" ht="12.75" customHeight="1" spans="2:9">
      <c r="B671" s="3274">
        <v>659</v>
      </c>
      <c r="D671" s="3297" t="s">
        <v>3635</v>
      </c>
      <c r="E671" s="3298" t="s">
        <v>3636</v>
      </c>
      <c r="F671" s="3298" t="s">
        <v>2293</v>
      </c>
      <c r="G671" s="3278">
        <v>148500</v>
      </c>
      <c r="H671" s="3299">
        <v>7</v>
      </c>
      <c r="I671" s="3278">
        <v>1039500</v>
      </c>
    </row>
    <row r="672" ht="12.75" customHeight="1" spans="2:9">
      <c r="B672" s="3274">
        <v>660</v>
      </c>
      <c r="D672" s="3297" t="s">
        <v>3637</v>
      </c>
      <c r="E672" s="3298" t="s">
        <v>3638</v>
      </c>
      <c r="F672" s="3298" t="s">
        <v>2418</v>
      </c>
      <c r="G672" s="3278">
        <v>0</v>
      </c>
      <c r="H672" s="3299">
        <v>0</v>
      </c>
      <c r="I672" s="3278">
        <v>0</v>
      </c>
    </row>
    <row r="673" ht="12.75" customHeight="1" spans="2:9">
      <c r="B673" s="3274">
        <v>661</v>
      </c>
      <c r="D673" s="3297" t="s">
        <v>3639</v>
      </c>
      <c r="E673" s="3298" t="s">
        <v>3640</v>
      </c>
      <c r="F673" s="3298" t="s">
        <v>2418</v>
      </c>
      <c r="G673" s="3278">
        <v>71500</v>
      </c>
      <c r="H673" s="3299">
        <v>9</v>
      </c>
      <c r="I673" s="3278">
        <v>643500</v>
      </c>
    </row>
    <row r="674" ht="12.75" customHeight="1" spans="2:9">
      <c r="B674" s="3274">
        <v>662</v>
      </c>
      <c r="D674" s="3297" t="s">
        <v>3641</v>
      </c>
      <c r="E674" s="3298" t="s">
        <v>3642</v>
      </c>
      <c r="F674" s="3298" t="s">
        <v>2367</v>
      </c>
      <c r="G674" s="3278">
        <v>363000</v>
      </c>
      <c r="H674" s="3299">
        <v>8</v>
      </c>
      <c r="I674" s="3278">
        <v>2904000</v>
      </c>
    </row>
    <row r="675" ht="12.75" customHeight="1" spans="2:9">
      <c r="B675" s="3274">
        <v>663</v>
      </c>
      <c r="D675" s="3297" t="s">
        <v>3643</v>
      </c>
      <c r="E675" s="3298" t="s">
        <v>3644</v>
      </c>
      <c r="F675" s="3298" t="s">
        <v>2314</v>
      </c>
      <c r="G675" s="3278">
        <v>1097800</v>
      </c>
      <c r="H675" s="3299">
        <v>0</v>
      </c>
      <c r="I675" s="3278">
        <v>0</v>
      </c>
    </row>
    <row r="676" ht="12.75" customHeight="1" spans="2:9">
      <c r="B676" s="3274">
        <v>664</v>
      </c>
      <c r="D676" s="3297" t="s">
        <v>3645</v>
      </c>
      <c r="E676" s="3298" t="s">
        <v>3646</v>
      </c>
      <c r="F676" s="3298" t="s">
        <v>2299</v>
      </c>
      <c r="G676" s="3278">
        <v>225000</v>
      </c>
      <c r="H676" s="3299">
        <v>0</v>
      </c>
      <c r="I676" s="3278">
        <v>0</v>
      </c>
    </row>
    <row r="677" ht="12.75" customHeight="1" spans="2:9">
      <c r="B677" s="3274">
        <v>665</v>
      </c>
      <c r="D677" s="3297" t="s">
        <v>3647</v>
      </c>
      <c r="E677" s="3298" t="s">
        <v>3648</v>
      </c>
      <c r="F677" s="3298" t="s">
        <v>2299</v>
      </c>
      <c r="G677" s="3278">
        <v>125000</v>
      </c>
      <c r="H677" s="3299">
        <v>0</v>
      </c>
      <c r="I677" s="3278">
        <v>0</v>
      </c>
    </row>
    <row r="678" ht="12.75" customHeight="1" spans="2:9">
      <c r="B678" s="3274">
        <v>666</v>
      </c>
      <c r="D678" s="3297" t="s">
        <v>3649</v>
      </c>
      <c r="E678" s="3298" t="s">
        <v>3650</v>
      </c>
      <c r="F678" s="3298" t="s">
        <v>3257</v>
      </c>
      <c r="G678" s="3278">
        <v>825</v>
      </c>
      <c r="H678" s="3299">
        <v>0</v>
      </c>
      <c r="I678" s="3278">
        <v>0</v>
      </c>
    </row>
    <row r="679" ht="12.75" customHeight="1" spans="2:9">
      <c r="B679" s="3274">
        <v>667</v>
      </c>
      <c r="D679" s="3297" t="s">
        <v>3651</v>
      </c>
      <c r="E679" s="3298" t="s">
        <v>3652</v>
      </c>
      <c r="F679" s="3298" t="s">
        <v>2299</v>
      </c>
      <c r="G679" s="3278">
        <v>1604.163</v>
      </c>
      <c r="H679" s="3299">
        <v>36</v>
      </c>
      <c r="I679" s="3278">
        <v>57749.868</v>
      </c>
    </row>
    <row r="680" ht="12.75" customHeight="1" spans="2:9">
      <c r="B680" s="3274">
        <v>668</v>
      </c>
      <c r="D680" s="3297" t="s">
        <v>3653</v>
      </c>
      <c r="E680" s="3298" t="s">
        <v>3654</v>
      </c>
      <c r="F680" s="3298" t="s">
        <v>2299</v>
      </c>
      <c r="G680" s="3278">
        <v>7150</v>
      </c>
      <c r="H680" s="3299">
        <v>8</v>
      </c>
      <c r="I680" s="3278">
        <v>57200</v>
      </c>
    </row>
    <row r="681" ht="12.75" customHeight="1" spans="2:9">
      <c r="B681" s="3274">
        <v>669</v>
      </c>
      <c r="D681" s="3297" t="s">
        <v>3655</v>
      </c>
      <c r="E681" s="3298" t="s">
        <v>3656</v>
      </c>
      <c r="F681" s="3298" t="s">
        <v>2293</v>
      </c>
      <c r="G681" s="3278">
        <v>7150</v>
      </c>
      <c r="H681" s="3299">
        <v>5</v>
      </c>
      <c r="I681" s="3278">
        <v>35750</v>
      </c>
    </row>
    <row r="682" ht="12.75" customHeight="1" spans="2:9">
      <c r="B682" s="3274">
        <v>670</v>
      </c>
      <c r="D682" s="3297" t="s">
        <v>3657</v>
      </c>
      <c r="E682" s="3298" t="s">
        <v>3658</v>
      </c>
      <c r="F682" s="3298" t="s">
        <v>2293</v>
      </c>
      <c r="G682" s="3278">
        <v>775008.94</v>
      </c>
      <c r="H682" s="3299">
        <v>0</v>
      </c>
      <c r="I682" s="3278">
        <v>0</v>
      </c>
    </row>
    <row r="683" ht="12.75" customHeight="1" spans="2:9">
      <c r="B683" s="3274">
        <v>671</v>
      </c>
      <c r="D683" s="3297" t="s">
        <v>3659</v>
      </c>
      <c r="E683" s="3298" t="s">
        <v>3660</v>
      </c>
      <c r="F683" s="3298" t="s">
        <v>2457</v>
      </c>
      <c r="G683" s="3278">
        <v>11792</v>
      </c>
      <c r="H683" s="3299">
        <v>0</v>
      </c>
      <c r="I683" s="3278">
        <v>0</v>
      </c>
    </row>
    <row r="684" ht="12.75" customHeight="1" spans="2:9">
      <c r="B684" s="3274">
        <v>672</v>
      </c>
      <c r="D684" s="3297" t="s">
        <v>3661</v>
      </c>
      <c r="E684" s="3298" t="s">
        <v>3662</v>
      </c>
      <c r="F684" s="3298" t="s">
        <v>2299</v>
      </c>
      <c r="G684" s="3278">
        <v>385</v>
      </c>
      <c r="H684" s="3299">
        <v>0</v>
      </c>
      <c r="I684" s="3278">
        <v>0</v>
      </c>
    </row>
    <row r="685" ht="12.75" customHeight="1" spans="2:9">
      <c r="B685" s="3274">
        <v>673</v>
      </c>
      <c r="D685" s="3297" t="s">
        <v>3663</v>
      </c>
      <c r="E685" s="3298" t="s">
        <v>3664</v>
      </c>
      <c r="F685" s="3298" t="s">
        <v>2296</v>
      </c>
      <c r="G685" s="3278">
        <v>5000</v>
      </c>
      <c r="H685" s="3299">
        <v>0</v>
      </c>
      <c r="I685" s="3278">
        <v>0</v>
      </c>
    </row>
    <row r="686" ht="12.75" customHeight="1" spans="2:9">
      <c r="B686" s="3274">
        <v>674</v>
      </c>
      <c r="D686" s="3297" t="s">
        <v>3665</v>
      </c>
      <c r="E686" s="3298" t="s">
        <v>3666</v>
      </c>
      <c r="F686" s="3298" t="s">
        <v>2293</v>
      </c>
      <c r="G686" s="3278">
        <v>1100</v>
      </c>
      <c r="H686" s="3299">
        <v>0</v>
      </c>
      <c r="I686" s="3278">
        <v>0</v>
      </c>
    </row>
    <row r="687" ht="12.75" customHeight="1" spans="2:9">
      <c r="B687" s="3274">
        <v>675</v>
      </c>
      <c r="D687" s="3297" t="s">
        <v>3667</v>
      </c>
      <c r="E687" s="3298" t="s">
        <v>3668</v>
      </c>
      <c r="F687" s="3298" t="s">
        <v>3412</v>
      </c>
      <c r="G687" s="3278">
        <v>110000</v>
      </c>
      <c r="H687" s="3299">
        <v>0</v>
      </c>
      <c r="I687" s="3278">
        <v>0</v>
      </c>
    </row>
    <row r="688" ht="12.75" customHeight="1" spans="2:9">
      <c r="B688" s="3274">
        <v>676</v>
      </c>
      <c r="D688" s="3297" t="s">
        <v>3669</v>
      </c>
      <c r="E688" s="3298" t="s">
        <v>3670</v>
      </c>
      <c r="F688" s="3298" t="s">
        <v>2843</v>
      </c>
      <c r="G688" s="3278">
        <v>0</v>
      </c>
      <c r="H688" s="3299">
        <v>0</v>
      </c>
      <c r="I688" s="3278">
        <v>0</v>
      </c>
    </row>
    <row r="689" ht="12.75" customHeight="1" spans="2:9">
      <c r="B689" s="3274">
        <v>677</v>
      </c>
      <c r="D689" s="3297" t="s">
        <v>3671</v>
      </c>
      <c r="E689" s="3298" t="s">
        <v>3672</v>
      </c>
      <c r="F689" s="3298" t="s">
        <v>2299</v>
      </c>
      <c r="G689" s="3278">
        <v>352000</v>
      </c>
      <c r="H689" s="3299">
        <v>0</v>
      </c>
      <c r="I689" s="3278">
        <v>0</v>
      </c>
    </row>
    <row r="690" ht="12.75" customHeight="1" spans="2:9">
      <c r="B690" s="3274">
        <v>678</v>
      </c>
      <c r="D690" s="3297" t="s">
        <v>3673</v>
      </c>
      <c r="E690" s="3298" t="s">
        <v>3674</v>
      </c>
      <c r="F690" s="3298" t="s">
        <v>2299</v>
      </c>
      <c r="G690" s="3278">
        <v>6000000</v>
      </c>
      <c r="H690" s="3299">
        <v>0</v>
      </c>
      <c r="I690" s="3278">
        <v>0</v>
      </c>
    </row>
    <row r="691" ht="12.75" customHeight="1" spans="2:9">
      <c r="B691" s="3274">
        <v>679</v>
      </c>
      <c r="D691" s="3297" t="s">
        <v>3675</v>
      </c>
      <c r="E691" s="3298" t="s">
        <v>3676</v>
      </c>
      <c r="F691" s="3298" t="s">
        <v>2299</v>
      </c>
      <c r="G691" s="3278">
        <v>17050</v>
      </c>
      <c r="H691" s="3299">
        <v>0</v>
      </c>
      <c r="I691" s="3278">
        <v>0</v>
      </c>
    </row>
    <row r="692" ht="12.75" customHeight="1" spans="2:9">
      <c r="B692" s="3274">
        <v>680</v>
      </c>
      <c r="D692" s="3297" t="s">
        <v>3677</v>
      </c>
      <c r="E692" s="3298" t="s">
        <v>3678</v>
      </c>
      <c r="F692" s="3298" t="s">
        <v>2299</v>
      </c>
      <c r="G692" s="3278">
        <v>9350</v>
      </c>
      <c r="H692" s="3299">
        <v>0</v>
      </c>
      <c r="I692" s="3278">
        <v>0</v>
      </c>
    </row>
    <row r="693" ht="12.75" customHeight="1" spans="2:9">
      <c r="B693" s="3274">
        <v>681</v>
      </c>
      <c r="D693" s="3297" t="s">
        <v>3679</v>
      </c>
      <c r="E693" s="3298" t="s">
        <v>3680</v>
      </c>
      <c r="F693" s="3298" t="s">
        <v>2299</v>
      </c>
      <c r="G693" s="3278">
        <v>251900</v>
      </c>
      <c r="H693" s="3299">
        <v>0</v>
      </c>
      <c r="I693" s="3278">
        <v>0</v>
      </c>
    </row>
    <row r="694" ht="12.75" customHeight="1" spans="2:9">
      <c r="B694" s="3274">
        <v>682</v>
      </c>
      <c r="D694" s="3297" t="s">
        <v>3681</v>
      </c>
      <c r="E694" s="3298" t="s">
        <v>3682</v>
      </c>
      <c r="F694" s="3298" t="s">
        <v>2299</v>
      </c>
      <c r="G694" s="3278">
        <v>3850</v>
      </c>
      <c r="H694" s="3299">
        <v>0</v>
      </c>
      <c r="I694" s="3278">
        <v>0</v>
      </c>
    </row>
    <row r="695" ht="12.75" customHeight="1" spans="2:9">
      <c r="B695" s="3274">
        <v>683</v>
      </c>
      <c r="D695" s="3297" t="s">
        <v>3683</v>
      </c>
      <c r="E695" s="3298" t="s">
        <v>3684</v>
      </c>
      <c r="F695" s="3298" t="s">
        <v>2293</v>
      </c>
      <c r="G695" s="3278">
        <v>0</v>
      </c>
      <c r="H695" s="3299">
        <v>0</v>
      </c>
      <c r="I695" s="3278">
        <v>0</v>
      </c>
    </row>
    <row r="696" ht="12.75" customHeight="1" spans="2:9">
      <c r="B696" s="3274">
        <v>684</v>
      </c>
      <c r="D696" s="3297" t="s">
        <v>3685</v>
      </c>
      <c r="E696" s="3298" t="s">
        <v>3686</v>
      </c>
      <c r="F696" s="3298" t="s">
        <v>2293</v>
      </c>
      <c r="G696" s="3278">
        <v>548625</v>
      </c>
      <c r="H696" s="3299">
        <v>6</v>
      </c>
      <c r="I696" s="3278">
        <v>3291750</v>
      </c>
    </row>
    <row r="697" ht="12.75" customHeight="1" spans="2:9">
      <c r="B697" s="3274">
        <v>685</v>
      </c>
      <c r="D697" s="3297" t="s">
        <v>3687</v>
      </c>
      <c r="E697" s="3298" t="s">
        <v>3688</v>
      </c>
      <c r="F697" s="3298" t="s">
        <v>2293</v>
      </c>
      <c r="G697" s="3278">
        <v>577500</v>
      </c>
      <c r="H697" s="3299">
        <v>0</v>
      </c>
      <c r="I697" s="3278">
        <v>0</v>
      </c>
    </row>
    <row r="698" ht="12.75" customHeight="1" spans="2:9">
      <c r="B698" s="3274">
        <v>686</v>
      </c>
      <c r="D698" s="3297" t="s">
        <v>3689</v>
      </c>
      <c r="E698" s="3298" t="s">
        <v>3690</v>
      </c>
      <c r="F698" s="3298" t="s">
        <v>2299</v>
      </c>
      <c r="G698" s="3278">
        <v>577500</v>
      </c>
      <c r="H698" s="3299">
        <v>3</v>
      </c>
      <c r="I698" s="3278">
        <v>1732500</v>
      </c>
    </row>
    <row r="699" ht="12.75" customHeight="1" spans="2:9">
      <c r="B699" s="3274">
        <v>687</v>
      </c>
      <c r="D699" s="3297" t="s">
        <v>3691</v>
      </c>
      <c r="E699" s="3298" t="s">
        <v>3692</v>
      </c>
      <c r="F699" s="3298" t="s">
        <v>2299</v>
      </c>
      <c r="G699" s="3278">
        <v>500000</v>
      </c>
      <c r="H699" s="3299">
        <v>0</v>
      </c>
      <c r="I699" s="3278">
        <v>0</v>
      </c>
    </row>
    <row r="700" ht="12.75" customHeight="1" spans="2:9">
      <c r="B700" s="3274">
        <v>688</v>
      </c>
      <c r="D700" s="3297" t="s">
        <v>3693</v>
      </c>
      <c r="E700" s="3298" t="s">
        <v>3694</v>
      </c>
      <c r="F700" s="3298" t="s">
        <v>2299</v>
      </c>
      <c r="G700" s="3278">
        <v>704000</v>
      </c>
      <c r="H700" s="3299">
        <v>0</v>
      </c>
      <c r="I700" s="3278">
        <v>0</v>
      </c>
    </row>
    <row r="701" ht="12.75" customHeight="1" spans="2:9">
      <c r="B701" s="3274">
        <v>689</v>
      </c>
      <c r="D701" s="3297" t="s">
        <v>3695</v>
      </c>
      <c r="E701" s="3298" t="s">
        <v>3696</v>
      </c>
      <c r="F701" s="3298" t="s">
        <v>2299</v>
      </c>
      <c r="G701" s="3278">
        <v>600000</v>
      </c>
      <c r="H701" s="3299">
        <v>0</v>
      </c>
      <c r="I701" s="3278">
        <v>0</v>
      </c>
    </row>
    <row r="702" ht="12.75" customHeight="1" spans="2:9">
      <c r="B702" s="3274">
        <v>690</v>
      </c>
      <c r="D702" s="3297" t="s">
        <v>3697</v>
      </c>
      <c r="E702" s="3298" t="s">
        <v>3698</v>
      </c>
      <c r="F702" s="3298" t="s">
        <v>2299</v>
      </c>
      <c r="G702" s="3278">
        <v>400000</v>
      </c>
      <c r="H702" s="3299">
        <v>0</v>
      </c>
      <c r="I702" s="3278">
        <v>0</v>
      </c>
    </row>
    <row r="703" ht="12.75" customHeight="1" spans="2:9">
      <c r="B703" s="3274">
        <v>691</v>
      </c>
      <c r="D703" s="3297" t="s">
        <v>3699</v>
      </c>
      <c r="E703" s="3298" t="s">
        <v>3700</v>
      </c>
      <c r="F703" s="3298" t="s">
        <v>2299</v>
      </c>
      <c r="G703" s="3278">
        <v>704000</v>
      </c>
      <c r="H703" s="3299">
        <v>0</v>
      </c>
      <c r="I703" s="3278">
        <v>0</v>
      </c>
    </row>
    <row r="704" ht="12.75" customHeight="1" spans="2:9">
      <c r="B704" s="3274">
        <v>692</v>
      </c>
      <c r="D704" s="3297" t="s">
        <v>3701</v>
      </c>
      <c r="E704" s="3298" t="s">
        <v>3702</v>
      </c>
      <c r="F704" s="3298" t="s">
        <v>2299</v>
      </c>
      <c r="G704" s="3278">
        <v>220000</v>
      </c>
      <c r="H704" s="3299">
        <v>0</v>
      </c>
      <c r="I704" s="3278">
        <v>0</v>
      </c>
    </row>
    <row r="705" ht="12.75" customHeight="1" spans="2:9">
      <c r="B705" s="3274">
        <v>693</v>
      </c>
      <c r="D705" s="3297" t="s">
        <v>3703</v>
      </c>
      <c r="E705" s="3298" t="s">
        <v>3704</v>
      </c>
      <c r="F705" s="3298" t="s">
        <v>2299</v>
      </c>
      <c r="G705" s="3278">
        <v>220000</v>
      </c>
      <c r="H705" s="3299">
        <v>0</v>
      </c>
      <c r="I705" s="3278">
        <v>0</v>
      </c>
    </row>
    <row r="706" ht="12.75" customHeight="1" spans="2:9">
      <c r="B706" s="3274">
        <v>694</v>
      </c>
      <c r="D706" s="3297" t="s">
        <v>3705</v>
      </c>
      <c r="E706" s="3298" t="s">
        <v>3706</v>
      </c>
      <c r="F706" s="3298" t="s">
        <v>2299</v>
      </c>
      <c r="G706" s="3278">
        <v>38500</v>
      </c>
      <c r="H706" s="3299">
        <v>0</v>
      </c>
      <c r="I706" s="3278">
        <v>0</v>
      </c>
    </row>
    <row r="707" ht="12.75" customHeight="1" spans="2:9">
      <c r="B707" s="3274">
        <v>695</v>
      </c>
      <c r="D707" s="3297" t="s">
        <v>3707</v>
      </c>
      <c r="E707" s="3298" t="s">
        <v>3708</v>
      </c>
      <c r="F707" s="3298" t="s">
        <v>2299</v>
      </c>
      <c r="G707" s="3278">
        <v>2145000</v>
      </c>
      <c r="H707" s="3299">
        <v>0</v>
      </c>
      <c r="I707" s="3278">
        <v>0</v>
      </c>
    </row>
    <row r="708" ht="12.75" customHeight="1" spans="2:9">
      <c r="B708" s="3274">
        <v>696</v>
      </c>
      <c r="D708" s="3297" t="s">
        <v>3709</v>
      </c>
      <c r="E708" s="3298" t="s">
        <v>3710</v>
      </c>
      <c r="F708" s="3298" t="s">
        <v>2299</v>
      </c>
      <c r="G708" s="3278">
        <v>14025</v>
      </c>
      <c r="H708" s="3299">
        <v>50</v>
      </c>
      <c r="I708" s="3278">
        <v>701250</v>
      </c>
    </row>
    <row r="709" ht="12.75" customHeight="1" spans="2:9">
      <c r="B709" s="3274">
        <v>697</v>
      </c>
      <c r="D709" s="3297" t="s">
        <v>3711</v>
      </c>
      <c r="E709" s="3298" t="s">
        <v>3712</v>
      </c>
      <c r="F709" s="3298" t="s">
        <v>2299</v>
      </c>
      <c r="G709" s="3278">
        <v>698.5</v>
      </c>
      <c r="H709" s="3299">
        <v>2000</v>
      </c>
      <c r="I709" s="3278">
        <v>1397000</v>
      </c>
    </row>
    <row r="710" ht="12.75" customHeight="1" spans="2:9">
      <c r="B710" s="3274">
        <v>698</v>
      </c>
      <c r="D710" s="3297" t="s">
        <v>3713</v>
      </c>
      <c r="E710" s="3298" t="s">
        <v>3714</v>
      </c>
      <c r="F710" s="3298" t="s">
        <v>2293</v>
      </c>
      <c r="G710" s="3278">
        <v>22000</v>
      </c>
      <c r="H710" s="3299">
        <v>0</v>
      </c>
      <c r="I710" s="3278">
        <v>0</v>
      </c>
    </row>
    <row r="711" ht="12.75" customHeight="1" spans="2:9">
      <c r="B711" s="3274">
        <v>699</v>
      </c>
      <c r="D711" s="3297" t="s">
        <v>3715</v>
      </c>
      <c r="E711" s="3298" t="s">
        <v>3716</v>
      </c>
      <c r="F711" s="3298" t="s">
        <v>2293</v>
      </c>
      <c r="G711" s="3278">
        <v>29700</v>
      </c>
      <c r="H711" s="3299">
        <v>0</v>
      </c>
      <c r="I711" s="3278">
        <v>0</v>
      </c>
    </row>
    <row r="712" ht="12.75" customHeight="1" spans="2:9">
      <c r="B712" s="3274">
        <v>700</v>
      </c>
      <c r="D712" s="3297" t="s">
        <v>3717</v>
      </c>
      <c r="E712" s="3298" t="s">
        <v>3718</v>
      </c>
      <c r="F712" s="3298" t="s">
        <v>2299</v>
      </c>
      <c r="G712" s="3278">
        <v>3462.8</v>
      </c>
      <c r="H712" s="3299">
        <v>0</v>
      </c>
      <c r="I712" s="3278">
        <v>0</v>
      </c>
    </row>
    <row r="713" ht="12.75" customHeight="1" spans="2:9">
      <c r="B713" s="3274">
        <v>701</v>
      </c>
      <c r="D713" s="3297" t="s">
        <v>3719</v>
      </c>
      <c r="E713" s="3298" t="s">
        <v>3720</v>
      </c>
      <c r="F713" s="3298" t="s">
        <v>2299</v>
      </c>
      <c r="G713" s="3278">
        <v>12375</v>
      </c>
      <c r="H713" s="3299">
        <v>40</v>
      </c>
      <c r="I713" s="3278">
        <v>495000</v>
      </c>
    </row>
    <row r="714" ht="12.75" customHeight="1" spans="2:9">
      <c r="B714" s="3274">
        <v>702</v>
      </c>
      <c r="D714" s="3297" t="s">
        <v>3721</v>
      </c>
      <c r="E714" s="3298" t="s">
        <v>3722</v>
      </c>
      <c r="F714" s="3298" t="s">
        <v>2299</v>
      </c>
      <c r="G714" s="3278">
        <v>660000</v>
      </c>
      <c r="H714" s="3299">
        <v>2</v>
      </c>
      <c r="I714" s="3278">
        <v>1320000</v>
      </c>
    </row>
    <row r="715" ht="12.75" customHeight="1" spans="2:9">
      <c r="B715" s="3274">
        <v>703</v>
      </c>
      <c r="D715" s="3297" t="s">
        <v>3723</v>
      </c>
      <c r="E715" s="3298" t="s">
        <v>3724</v>
      </c>
      <c r="F715" s="3298" t="s">
        <v>2299</v>
      </c>
      <c r="G715" s="3278">
        <v>0</v>
      </c>
      <c r="H715" s="3299">
        <v>0</v>
      </c>
      <c r="I715" s="3278">
        <v>0</v>
      </c>
    </row>
    <row r="716" ht="12.75" customHeight="1" spans="2:9">
      <c r="B716" s="3274">
        <v>704</v>
      </c>
      <c r="D716" s="3297" t="s">
        <v>3725</v>
      </c>
      <c r="E716" s="3298" t="s">
        <v>3726</v>
      </c>
      <c r="F716" s="3298" t="s">
        <v>2299</v>
      </c>
      <c r="G716" s="3278">
        <v>187000</v>
      </c>
      <c r="H716" s="3299">
        <v>0</v>
      </c>
      <c r="I716" s="3278">
        <v>0</v>
      </c>
    </row>
    <row r="717" ht="12.75" customHeight="1" spans="2:9">
      <c r="B717" s="3274">
        <v>705</v>
      </c>
      <c r="D717" s="3297" t="s">
        <v>3727</v>
      </c>
      <c r="E717" s="3298" t="s">
        <v>3728</v>
      </c>
      <c r="F717" s="3298" t="s">
        <v>2299</v>
      </c>
      <c r="G717" s="3278">
        <v>2117500</v>
      </c>
      <c r="H717" s="3299">
        <v>0</v>
      </c>
      <c r="I717" s="3278">
        <v>0</v>
      </c>
    </row>
    <row r="718" ht="12.75" customHeight="1" spans="2:9">
      <c r="B718" s="3274">
        <v>706</v>
      </c>
      <c r="D718" s="3297" t="s">
        <v>3729</v>
      </c>
      <c r="E718" s="3298" t="s">
        <v>3730</v>
      </c>
      <c r="F718" s="3298" t="s">
        <v>2299</v>
      </c>
      <c r="G718" s="3278">
        <v>14609.375</v>
      </c>
      <c r="H718" s="3299">
        <v>16</v>
      </c>
      <c r="I718" s="3278">
        <v>233750</v>
      </c>
    </row>
    <row r="719" ht="12.75" customHeight="1" spans="2:9">
      <c r="B719" s="3274">
        <v>707</v>
      </c>
      <c r="D719" s="3297" t="s">
        <v>3731</v>
      </c>
      <c r="E719" s="3298" t="s">
        <v>3732</v>
      </c>
      <c r="F719" s="3298" t="s">
        <v>2314</v>
      </c>
      <c r="G719" s="3278">
        <v>0</v>
      </c>
      <c r="H719" s="3299">
        <v>0</v>
      </c>
      <c r="I719" s="3278">
        <v>0</v>
      </c>
    </row>
    <row r="720" ht="12.75" customHeight="1" spans="2:9">
      <c r="B720" s="3274">
        <v>708</v>
      </c>
      <c r="D720" s="3297" t="s">
        <v>3733</v>
      </c>
      <c r="E720" s="3298" t="s">
        <v>3734</v>
      </c>
      <c r="F720" s="3298" t="s">
        <v>2299</v>
      </c>
      <c r="G720" s="3278">
        <v>10450</v>
      </c>
      <c r="H720" s="3299">
        <v>0</v>
      </c>
      <c r="I720" s="3278">
        <v>0</v>
      </c>
    </row>
    <row r="721" ht="12.75" customHeight="1" spans="2:9">
      <c r="B721" s="3274">
        <v>709</v>
      </c>
      <c r="D721" s="3297" t="s">
        <v>3735</v>
      </c>
      <c r="E721" s="3298" t="s">
        <v>3736</v>
      </c>
      <c r="F721" s="3298" t="s">
        <v>2299</v>
      </c>
      <c r="G721" s="3278">
        <v>0</v>
      </c>
      <c r="H721" s="3299">
        <v>0</v>
      </c>
      <c r="I721" s="3278">
        <v>0</v>
      </c>
    </row>
    <row r="722" ht="12.75" customHeight="1" spans="2:9">
      <c r="B722" s="3274">
        <v>710</v>
      </c>
      <c r="D722" s="3297" t="s">
        <v>3737</v>
      </c>
      <c r="E722" s="3298" t="s">
        <v>3738</v>
      </c>
      <c r="F722" s="3298" t="s">
        <v>2299</v>
      </c>
      <c r="G722" s="3278">
        <v>0</v>
      </c>
      <c r="H722" s="3299">
        <v>0</v>
      </c>
      <c r="I722" s="3278">
        <v>0</v>
      </c>
    </row>
    <row r="723" ht="12.75" customHeight="1" spans="2:9">
      <c r="B723" s="3274">
        <v>711</v>
      </c>
      <c r="D723" s="3297" t="s">
        <v>3739</v>
      </c>
      <c r="E723" s="3298" t="s">
        <v>3740</v>
      </c>
      <c r="F723" s="3298" t="s">
        <v>2299</v>
      </c>
      <c r="G723" s="3278">
        <v>0</v>
      </c>
      <c r="H723" s="3299">
        <v>0</v>
      </c>
      <c r="I723" s="3278">
        <v>0</v>
      </c>
    </row>
    <row r="724" ht="12.75" customHeight="1" spans="2:9">
      <c r="B724" s="3274">
        <v>712</v>
      </c>
      <c r="D724" s="3297" t="s">
        <v>3741</v>
      </c>
      <c r="E724" s="3298" t="s">
        <v>3742</v>
      </c>
      <c r="F724" s="3298" t="s">
        <v>2299</v>
      </c>
      <c r="G724" s="3278">
        <v>10450</v>
      </c>
      <c r="H724" s="3299">
        <v>0</v>
      </c>
      <c r="I724" s="3278">
        <v>0</v>
      </c>
    </row>
    <row r="725" ht="12.75" customHeight="1" spans="2:9">
      <c r="B725" s="3274">
        <v>713</v>
      </c>
      <c r="D725" s="3297" t="s">
        <v>3743</v>
      </c>
      <c r="E725" s="3298" t="s">
        <v>3744</v>
      </c>
      <c r="F725" s="3298" t="s">
        <v>2299</v>
      </c>
      <c r="G725" s="3278">
        <v>12650</v>
      </c>
      <c r="H725" s="3299">
        <v>0</v>
      </c>
      <c r="I725" s="3278">
        <v>0</v>
      </c>
    </row>
    <row r="726" ht="12.75" customHeight="1" spans="2:9">
      <c r="B726" s="3274">
        <v>714</v>
      </c>
      <c r="D726" s="3297" t="s">
        <v>3745</v>
      </c>
      <c r="E726" s="3298" t="s">
        <v>3746</v>
      </c>
      <c r="F726" s="3298" t="s">
        <v>2299</v>
      </c>
      <c r="G726" s="3278">
        <v>20900</v>
      </c>
      <c r="H726" s="3299">
        <v>0</v>
      </c>
      <c r="I726" s="3278">
        <v>0</v>
      </c>
    </row>
    <row r="727" ht="12.75" customHeight="1" spans="2:9">
      <c r="B727" s="3274">
        <v>715</v>
      </c>
      <c r="D727" s="3297" t="s">
        <v>3747</v>
      </c>
      <c r="E727" s="3298" t="s">
        <v>3748</v>
      </c>
      <c r="F727" s="3298" t="s">
        <v>2299</v>
      </c>
      <c r="G727" s="3278">
        <v>0</v>
      </c>
      <c r="H727" s="3299">
        <v>0</v>
      </c>
      <c r="I727" s="3278">
        <v>0</v>
      </c>
    </row>
    <row r="728" ht="12.75" customHeight="1" spans="2:9">
      <c r="B728" s="3274">
        <v>716</v>
      </c>
      <c r="D728" s="3297" t="s">
        <v>3749</v>
      </c>
      <c r="E728" s="3298" t="s">
        <v>3750</v>
      </c>
      <c r="F728" s="3298" t="s">
        <v>2293</v>
      </c>
      <c r="G728" s="3278">
        <v>8800</v>
      </c>
      <c r="H728" s="3299">
        <v>0</v>
      </c>
      <c r="I728" s="3278">
        <v>0</v>
      </c>
    </row>
    <row r="729" ht="12.75" customHeight="1" spans="2:9">
      <c r="B729" s="3274">
        <v>717</v>
      </c>
      <c r="D729" s="3297" t="s">
        <v>3751</v>
      </c>
      <c r="E729" s="3298" t="s">
        <v>3752</v>
      </c>
      <c r="F729" s="3298" t="s">
        <v>2299</v>
      </c>
      <c r="G729" s="3278">
        <v>5500</v>
      </c>
      <c r="H729" s="3299">
        <v>0</v>
      </c>
      <c r="I729" s="3278">
        <v>0</v>
      </c>
    </row>
    <row r="730" ht="12.75" customHeight="1" spans="2:9">
      <c r="B730" s="3274">
        <v>718</v>
      </c>
      <c r="D730" s="3297" t="s">
        <v>3753</v>
      </c>
      <c r="E730" s="3298" t="s">
        <v>3754</v>
      </c>
      <c r="F730" s="3298" t="s">
        <v>2299</v>
      </c>
      <c r="G730" s="3278">
        <v>8250</v>
      </c>
      <c r="H730" s="3299">
        <v>0</v>
      </c>
      <c r="I730" s="3278">
        <v>0</v>
      </c>
    </row>
    <row r="731" ht="12.75" customHeight="1" spans="2:9">
      <c r="B731" s="3274">
        <v>719</v>
      </c>
      <c r="D731" s="3297" t="s">
        <v>3755</v>
      </c>
      <c r="E731" s="3298" t="s">
        <v>3756</v>
      </c>
      <c r="F731" s="3298" t="s">
        <v>2299</v>
      </c>
      <c r="G731" s="3278">
        <v>5500</v>
      </c>
      <c r="H731" s="3299">
        <v>0</v>
      </c>
      <c r="I731" s="3278">
        <v>0</v>
      </c>
    </row>
    <row r="732" ht="12.75" customHeight="1" spans="2:9">
      <c r="B732" s="3274">
        <v>720</v>
      </c>
      <c r="D732" s="3297" t="s">
        <v>3757</v>
      </c>
      <c r="E732" s="3298" t="s">
        <v>3758</v>
      </c>
      <c r="F732" s="3298" t="s">
        <v>2299</v>
      </c>
      <c r="G732" s="3278">
        <v>7700</v>
      </c>
      <c r="H732" s="3299">
        <v>100</v>
      </c>
      <c r="I732" s="3278">
        <v>770000</v>
      </c>
    </row>
    <row r="733" ht="12.75" customHeight="1" spans="2:9">
      <c r="B733" s="3274">
        <v>721</v>
      </c>
      <c r="D733" s="3297" t="s">
        <v>3759</v>
      </c>
      <c r="E733" s="3298" t="s">
        <v>3760</v>
      </c>
      <c r="F733" s="3298" t="s">
        <v>2299</v>
      </c>
      <c r="G733" s="3278">
        <v>0</v>
      </c>
      <c r="H733" s="3299">
        <v>0</v>
      </c>
      <c r="I733" s="3278">
        <v>0</v>
      </c>
    </row>
    <row r="734" ht="12.75" customHeight="1" spans="2:9">
      <c r="B734" s="3274">
        <v>722</v>
      </c>
      <c r="D734" s="3297" t="s">
        <v>3761</v>
      </c>
      <c r="E734" s="3298" t="s">
        <v>3762</v>
      </c>
      <c r="F734" s="3298" t="s">
        <v>2299</v>
      </c>
      <c r="G734" s="3278">
        <v>5500</v>
      </c>
      <c r="H734" s="3299">
        <v>0</v>
      </c>
      <c r="I734" s="3278">
        <v>0</v>
      </c>
    </row>
    <row r="735" ht="12.75" customHeight="1" spans="2:9">
      <c r="B735" s="3274">
        <v>723</v>
      </c>
      <c r="D735" s="3297" t="s">
        <v>3763</v>
      </c>
      <c r="E735" s="3298" t="s">
        <v>3764</v>
      </c>
      <c r="F735" s="3298" t="s">
        <v>2296</v>
      </c>
      <c r="G735" s="3278">
        <v>84480</v>
      </c>
      <c r="H735" s="3299">
        <v>300</v>
      </c>
      <c r="I735" s="3278">
        <v>25344000</v>
      </c>
    </row>
    <row r="736" ht="12.75" customHeight="1" spans="2:9">
      <c r="B736" s="3274">
        <v>724</v>
      </c>
      <c r="D736" s="3297" t="s">
        <v>3765</v>
      </c>
      <c r="E736" s="3298" t="s">
        <v>3766</v>
      </c>
      <c r="F736" s="3298" t="s">
        <v>2296</v>
      </c>
      <c r="G736" s="3278">
        <v>0</v>
      </c>
      <c r="H736" s="3299">
        <v>0</v>
      </c>
      <c r="I736" s="3278">
        <v>0</v>
      </c>
    </row>
    <row r="737" ht="12.75" customHeight="1" spans="2:9">
      <c r="B737" s="3274">
        <v>725</v>
      </c>
      <c r="D737" s="3297" t="s">
        <v>3767</v>
      </c>
      <c r="E737" s="3298" t="s">
        <v>3768</v>
      </c>
      <c r="F737" s="3298" t="s">
        <v>2321</v>
      </c>
      <c r="G737" s="3278">
        <v>23178</v>
      </c>
      <c r="H737" s="3299">
        <v>0</v>
      </c>
      <c r="I737" s="3278">
        <v>0</v>
      </c>
    </row>
    <row r="738" ht="12.75" customHeight="1" spans="2:9">
      <c r="B738" s="3274">
        <v>726</v>
      </c>
      <c r="D738" s="3297" t="s">
        <v>3769</v>
      </c>
      <c r="E738" s="3298" t="s">
        <v>3770</v>
      </c>
      <c r="F738" s="3298" t="s">
        <v>2321</v>
      </c>
      <c r="G738" s="3278">
        <v>17272</v>
      </c>
      <c r="H738" s="3299">
        <v>0</v>
      </c>
      <c r="I738" s="3278">
        <v>0</v>
      </c>
    </row>
    <row r="739" ht="12.75" customHeight="1" spans="2:9">
      <c r="B739" s="3274">
        <v>727</v>
      </c>
      <c r="D739" s="3297" t="s">
        <v>3771</v>
      </c>
      <c r="E739" s="3298" t="s">
        <v>3772</v>
      </c>
      <c r="F739" s="3298" t="s">
        <v>2293</v>
      </c>
      <c r="G739" s="3278">
        <v>175000</v>
      </c>
      <c r="H739" s="3299">
        <v>0</v>
      </c>
      <c r="I739" s="3278">
        <v>0</v>
      </c>
    </row>
    <row r="740" ht="12.75" customHeight="1" spans="2:9">
      <c r="B740" s="3274">
        <v>728</v>
      </c>
      <c r="D740" s="3297" t="s">
        <v>3773</v>
      </c>
      <c r="E740" s="3298" t="s">
        <v>3774</v>
      </c>
      <c r="F740" s="3298" t="s">
        <v>2321</v>
      </c>
      <c r="G740" s="3278">
        <v>27225</v>
      </c>
      <c r="H740" s="3299">
        <v>0</v>
      </c>
      <c r="I740" s="3278">
        <v>0</v>
      </c>
    </row>
    <row r="741" ht="12.75" customHeight="1" spans="2:9">
      <c r="B741" s="3274">
        <v>729</v>
      </c>
      <c r="D741" s="3297" t="s">
        <v>3775</v>
      </c>
      <c r="E741" s="3298" t="s">
        <v>3776</v>
      </c>
      <c r="F741" s="3298" t="s">
        <v>2299</v>
      </c>
      <c r="G741" s="3278">
        <v>4950000</v>
      </c>
      <c r="H741" s="3299">
        <v>0</v>
      </c>
      <c r="I741" s="3278">
        <v>0</v>
      </c>
    </row>
    <row r="742" ht="12.75" customHeight="1" spans="2:9">
      <c r="B742" s="3274">
        <v>730</v>
      </c>
      <c r="D742" s="3297" t="s">
        <v>3777</v>
      </c>
      <c r="E742" s="3298" t="s">
        <v>3778</v>
      </c>
      <c r="F742" s="3298" t="s">
        <v>2314</v>
      </c>
      <c r="G742" s="3278">
        <v>4000000</v>
      </c>
      <c r="H742" s="3299">
        <v>0</v>
      </c>
      <c r="I742" s="3278">
        <v>0</v>
      </c>
    </row>
    <row r="743" ht="12.75" customHeight="1" spans="2:9">
      <c r="B743" s="3274">
        <v>731</v>
      </c>
      <c r="D743" s="3297" t="s">
        <v>3779</v>
      </c>
      <c r="E743" s="3298" t="s">
        <v>3780</v>
      </c>
      <c r="F743" s="3298" t="s">
        <v>2299</v>
      </c>
      <c r="G743" s="3278">
        <v>264000</v>
      </c>
      <c r="H743" s="3299">
        <v>1</v>
      </c>
      <c r="I743" s="3278">
        <v>264000</v>
      </c>
    </row>
    <row r="744" ht="12.75" customHeight="1" spans="2:9">
      <c r="B744" s="3274">
        <v>732</v>
      </c>
      <c r="D744" s="3297" t="s">
        <v>3781</v>
      </c>
      <c r="E744" s="3298" t="s">
        <v>3782</v>
      </c>
      <c r="F744" s="3298" t="s">
        <v>2299</v>
      </c>
      <c r="G744" s="3278">
        <v>0</v>
      </c>
      <c r="H744" s="3299">
        <v>0</v>
      </c>
      <c r="I744" s="3278">
        <v>0</v>
      </c>
    </row>
    <row r="745" ht="12.75" customHeight="1" spans="2:9">
      <c r="B745" s="3274">
        <v>733</v>
      </c>
      <c r="D745" s="3297" t="s">
        <v>3783</v>
      </c>
      <c r="E745" s="3298" t="s">
        <v>3784</v>
      </c>
      <c r="F745" s="3298" t="s">
        <v>2299</v>
      </c>
      <c r="G745" s="3278">
        <v>264000</v>
      </c>
      <c r="H745" s="3299">
        <v>1</v>
      </c>
      <c r="I745" s="3278">
        <v>264000</v>
      </c>
    </row>
    <row r="746" ht="12.75" customHeight="1" spans="2:9">
      <c r="B746" s="3274">
        <v>734</v>
      </c>
      <c r="D746" s="3297" t="s">
        <v>3785</v>
      </c>
      <c r="E746" s="3298" t="s">
        <v>3786</v>
      </c>
      <c r="F746" s="3298" t="s">
        <v>2299</v>
      </c>
      <c r="G746" s="3278">
        <v>0</v>
      </c>
      <c r="H746" s="3299">
        <v>0</v>
      </c>
      <c r="I746" s="3278">
        <v>0</v>
      </c>
    </row>
    <row r="747" ht="12.75" customHeight="1" spans="2:9">
      <c r="B747" s="3274">
        <v>735</v>
      </c>
      <c r="D747" s="3297" t="s">
        <v>3787</v>
      </c>
      <c r="E747" s="3298" t="s">
        <v>3788</v>
      </c>
      <c r="F747" s="3298" t="s">
        <v>2299</v>
      </c>
      <c r="G747" s="3278">
        <v>0</v>
      </c>
      <c r="H747" s="3299">
        <v>0</v>
      </c>
      <c r="I747" s="3278">
        <v>0</v>
      </c>
    </row>
    <row r="748" ht="12.75" customHeight="1" spans="2:9">
      <c r="B748" s="3274">
        <v>736</v>
      </c>
      <c r="D748" s="3297" t="s">
        <v>3789</v>
      </c>
      <c r="E748" s="3298" t="s">
        <v>3790</v>
      </c>
      <c r="F748" s="3298" t="s">
        <v>2299</v>
      </c>
      <c r="G748" s="3278">
        <v>277200</v>
      </c>
      <c r="H748" s="3299">
        <v>0</v>
      </c>
      <c r="I748" s="3278">
        <v>0</v>
      </c>
    </row>
    <row r="749" ht="12.75" customHeight="1" spans="2:9">
      <c r="B749" s="3274">
        <v>737</v>
      </c>
      <c r="D749" s="3297" t="s">
        <v>3791</v>
      </c>
      <c r="E749" s="3298" t="s">
        <v>3792</v>
      </c>
      <c r="F749" s="3298" t="s">
        <v>2299</v>
      </c>
      <c r="G749" s="3278">
        <v>277200</v>
      </c>
      <c r="H749" s="3299">
        <v>0</v>
      </c>
      <c r="I749" s="3278">
        <v>0</v>
      </c>
    </row>
    <row r="750" ht="12.75" customHeight="1" spans="2:9">
      <c r="B750" s="3274">
        <v>738</v>
      </c>
      <c r="D750" s="3297" t="s">
        <v>3793</v>
      </c>
      <c r="E750" s="3298" t="s">
        <v>3794</v>
      </c>
      <c r="F750" s="3298" t="s">
        <v>2293</v>
      </c>
      <c r="G750" s="3278">
        <v>2310</v>
      </c>
      <c r="H750" s="3299">
        <v>1700</v>
      </c>
      <c r="I750" s="3278">
        <v>3927000</v>
      </c>
    </row>
    <row r="751" ht="12.75" customHeight="1" spans="2:9">
      <c r="B751" s="3274">
        <v>739</v>
      </c>
      <c r="D751" s="3297" t="s">
        <v>3795</v>
      </c>
      <c r="E751" s="3298" t="s">
        <v>3796</v>
      </c>
      <c r="F751" s="3298" t="s">
        <v>2299</v>
      </c>
      <c r="G751" s="3278">
        <v>1188</v>
      </c>
      <c r="H751" s="3299">
        <v>100</v>
      </c>
      <c r="I751" s="3278">
        <v>118800</v>
      </c>
    </row>
    <row r="752" ht="12.75" customHeight="1" spans="2:9">
      <c r="B752" s="3274">
        <v>740</v>
      </c>
      <c r="D752" s="3297" t="s">
        <v>3797</v>
      </c>
      <c r="E752" s="3298" t="s">
        <v>3798</v>
      </c>
      <c r="F752" s="3298" t="s">
        <v>2299</v>
      </c>
      <c r="G752" s="3278">
        <v>3850</v>
      </c>
      <c r="H752" s="3299">
        <v>100</v>
      </c>
      <c r="I752" s="3278">
        <v>385000</v>
      </c>
    </row>
    <row r="753" ht="12.75" customHeight="1" spans="2:9">
      <c r="B753" s="3274">
        <v>741</v>
      </c>
      <c r="D753" s="3297" t="s">
        <v>3799</v>
      </c>
      <c r="E753" s="3298" t="s">
        <v>3800</v>
      </c>
      <c r="F753" s="3298" t="s">
        <v>2299</v>
      </c>
      <c r="G753" s="3278">
        <v>503360</v>
      </c>
      <c r="H753" s="3299">
        <v>0</v>
      </c>
      <c r="I753" s="3278">
        <v>0</v>
      </c>
    </row>
    <row r="754" ht="12.75" customHeight="1" spans="2:9">
      <c r="B754" s="3274">
        <v>742</v>
      </c>
      <c r="D754" s="3297" t="s">
        <v>3801</v>
      </c>
      <c r="E754" s="3298" t="s">
        <v>3802</v>
      </c>
      <c r="F754" s="3298" t="s">
        <v>2367</v>
      </c>
      <c r="G754" s="3278">
        <v>1452</v>
      </c>
      <c r="H754" s="3299">
        <v>0</v>
      </c>
      <c r="I754" s="3278">
        <v>0</v>
      </c>
    </row>
    <row r="755" ht="12.75" customHeight="1" spans="2:9">
      <c r="B755" s="3274">
        <v>743</v>
      </c>
      <c r="D755" s="3297" t="s">
        <v>3803</v>
      </c>
      <c r="E755" s="3298" t="s">
        <v>3804</v>
      </c>
      <c r="F755" s="3298" t="s">
        <v>2367</v>
      </c>
      <c r="G755" s="3278">
        <v>209000</v>
      </c>
      <c r="H755" s="3299">
        <v>0</v>
      </c>
      <c r="I755" s="3278">
        <v>0</v>
      </c>
    </row>
    <row r="756" ht="12.75" customHeight="1" spans="2:9">
      <c r="B756" s="3274">
        <v>744</v>
      </c>
      <c r="D756" s="3297" t="s">
        <v>3805</v>
      </c>
      <c r="E756" s="3298" t="s">
        <v>3806</v>
      </c>
      <c r="F756" s="3298" t="s">
        <v>2299</v>
      </c>
      <c r="G756" s="3278">
        <v>6600</v>
      </c>
      <c r="H756" s="3299">
        <v>0</v>
      </c>
      <c r="I756" s="3278">
        <v>0</v>
      </c>
    </row>
    <row r="757" ht="12.75" customHeight="1" spans="2:9">
      <c r="B757" s="3274">
        <v>745</v>
      </c>
      <c r="D757" s="3297" t="s">
        <v>3807</v>
      </c>
      <c r="E757" s="3298" t="s">
        <v>3808</v>
      </c>
      <c r="F757" s="3298" t="s">
        <v>2299</v>
      </c>
      <c r="G757" s="3278">
        <v>6600</v>
      </c>
      <c r="H757" s="3299">
        <v>0</v>
      </c>
      <c r="I757" s="3278">
        <v>0</v>
      </c>
    </row>
    <row r="758" ht="12.75" customHeight="1" spans="2:9">
      <c r="B758" s="3274">
        <v>746</v>
      </c>
      <c r="D758" s="3297" t="s">
        <v>3809</v>
      </c>
      <c r="E758" s="3298" t="s">
        <v>3810</v>
      </c>
      <c r="F758" s="3298" t="s">
        <v>2299</v>
      </c>
      <c r="G758" s="3278">
        <v>417934</v>
      </c>
      <c r="H758" s="3299">
        <v>0</v>
      </c>
      <c r="I758" s="3278">
        <v>0</v>
      </c>
    </row>
    <row r="759" ht="12.75" customHeight="1" spans="2:9">
      <c r="B759" s="3274">
        <v>747</v>
      </c>
      <c r="D759" s="3297" t="s">
        <v>3811</v>
      </c>
      <c r="E759" s="3298" t="s">
        <v>3812</v>
      </c>
      <c r="F759" s="3298" t="s">
        <v>2299</v>
      </c>
      <c r="G759" s="3278">
        <v>36960</v>
      </c>
      <c r="H759" s="3299">
        <v>13</v>
      </c>
      <c r="I759" s="3278">
        <v>480480</v>
      </c>
    </row>
    <row r="760" ht="12.75" customHeight="1" spans="2:9">
      <c r="B760" s="3274">
        <v>748</v>
      </c>
      <c r="D760" s="3297" t="s">
        <v>3813</v>
      </c>
      <c r="E760" s="3298" t="s">
        <v>3814</v>
      </c>
      <c r="F760" s="3298" t="s">
        <v>2637</v>
      </c>
      <c r="G760" s="3278">
        <v>0</v>
      </c>
      <c r="H760" s="3299">
        <v>0</v>
      </c>
      <c r="I760" s="3278">
        <v>0</v>
      </c>
    </row>
    <row r="761" ht="12.75" customHeight="1" spans="2:9">
      <c r="B761" s="3274">
        <v>749</v>
      </c>
      <c r="D761" s="3297" t="s">
        <v>3815</v>
      </c>
      <c r="E761" s="3298" t="s">
        <v>3816</v>
      </c>
      <c r="F761" s="3298" t="s">
        <v>2367</v>
      </c>
      <c r="G761" s="3278">
        <v>0</v>
      </c>
      <c r="H761" s="3299">
        <v>0</v>
      </c>
      <c r="I761" s="3278">
        <v>0</v>
      </c>
    </row>
    <row r="762" ht="12.75" customHeight="1" spans="2:9">
      <c r="B762" s="3274">
        <v>750</v>
      </c>
      <c r="D762" s="3297" t="s">
        <v>3817</v>
      </c>
      <c r="E762" s="3298" t="s">
        <v>3818</v>
      </c>
      <c r="F762" s="3298" t="s">
        <v>2457</v>
      </c>
      <c r="G762" s="3278">
        <v>16362.5</v>
      </c>
      <c r="H762" s="3299">
        <v>73</v>
      </c>
      <c r="I762" s="3278">
        <v>1194462.5</v>
      </c>
    </row>
    <row r="763" ht="12.75" customHeight="1" spans="2:9">
      <c r="B763" s="3274">
        <v>751</v>
      </c>
      <c r="D763" s="3297" t="s">
        <v>3819</v>
      </c>
      <c r="E763" s="3298" t="s">
        <v>3820</v>
      </c>
      <c r="F763" s="3298" t="s">
        <v>2321</v>
      </c>
      <c r="G763" s="3278">
        <v>715000</v>
      </c>
      <c r="H763" s="3299">
        <v>0</v>
      </c>
      <c r="I763" s="3278">
        <v>0</v>
      </c>
    </row>
    <row r="764" ht="12.75" customHeight="1" spans="2:9">
      <c r="B764" s="3274">
        <v>752</v>
      </c>
      <c r="D764" s="3297" t="s">
        <v>3821</v>
      </c>
      <c r="E764" s="3298" t="s">
        <v>3822</v>
      </c>
      <c r="F764" s="3298" t="s">
        <v>2565</v>
      </c>
      <c r="G764" s="3278">
        <v>0</v>
      </c>
      <c r="H764" s="3299">
        <v>0</v>
      </c>
      <c r="I764" s="3278">
        <v>0</v>
      </c>
    </row>
    <row r="765" ht="12.75" customHeight="1" spans="2:9">
      <c r="B765" s="3274">
        <v>753</v>
      </c>
      <c r="D765" s="3297" t="s">
        <v>3823</v>
      </c>
      <c r="E765" s="3298" t="s">
        <v>3824</v>
      </c>
      <c r="F765" s="3298" t="s">
        <v>3412</v>
      </c>
      <c r="G765" s="3278">
        <v>14850000</v>
      </c>
      <c r="H765" s="3299">
        <v>0</v>
      </c>
      <c r="I765" s="3278">
        <v>0</v>
      </c>
    </row>
    <row r="766" ht="12.75" customHeight="1" spans="2:9">
      <c r="B766" s="3274">
        <v>754</v>
      </c>
      <c r="D766" s="3297" t="s">
        <v>3825</v>
      </c>
      <c r="E766" s="3298" t="s">
        <v>3826</v>
      </c>
      <c r="F766" s="3298" t="s">
        <v>2321</v>
      </c>
      <c r="G766" s="3278">
        <v>158455</v>
      </c>
      <c r="H766" s="3299">
        <v>0</v>
      </c>
      <c r="I766" s="3278">
        <v>0</v>
      </c>
    </row>
    <row r="767" ht="12.75" customHeight="1" spans="2:9">
      <c r="B767" s="3274">
        <v>755</v>
      </c>
      <c r="D767" s="3297" t="s">
        <v>3827</v>
      </c>
      <c r="E767" s="3298" t="s">
        <v>3828</v>
      </c>
      <c r="F767" s="3298" t="s">
        <v>2299</v>
      </c>
      <c r="G767" s="3278">
        <v>0</v>
      </c>
      <c r="H767" s="3299">
        <v>0</v>
      </c>
      <c r="I767" s="3278">
        <v>0</v>
      </c>
    </row>
    <row r="768" ht="12.75" customHeight="1" spans="2:9">
      <c r="B768" s="3274">
        <v>756</v>
      </c>
      <c r="D768" s="3297" t="s">
        <v>3829</v>
      </c>
      <c r="E768" s="3298" t="s">
        <v>3830</v>
      </c>
      <c r="F768" s="3298" t="s">
        <v>2299</v>
      </c>
      <c r="G768" s="3278">
        <v>0</v>
      </c>
      <c r="H768" s="3299">
        <v>0</v>
      </c>
      <c r="I768" s="3278">
        <v>0</v>
      </c>
    </row>
    <row r="769" ht="12.75" customHeight="1" spans="2:9">
      <c r="B769" s="3274">
        <v>757</v>
      </c>
      <c r="D769" s="3297" t="s">
        <v>3831</v>
      </c>
      <c r="E769" s="3298" t="s">
        <v>3832</v>
      </c>
      <c r="F769" s="3298" t="s">
        <v>2299</v>
      </c>
      <c r="G769" s="3278">
        <v>0</v>
      </c>
      <c r="H769" s="3299">
        <v>0</v>
      </c>
      <c r="I769" s="3278">
        <v>0</v>
      </c>
    </row>
    <row r="770" ht="12.75" customHeight="1" spans="2:9">
      <c r="B770" s="3274">
        <v>758</v>
      </c>
      <c r="D770" s="3297" t="s">
        <v>3833</v>
      </c>
      <c r="E770" s="3298" t="s">
        <v>3834</v>
      </c>
      <c r="F770" s="3298" t="s">
        <v>2299</v>
      </c>
      <c r="G770" s="3278">
        <v>0</v>
      </c>
      <c r="H770" s="3299">
        <v>0</v>
      </c>
      <c r="I770" s="3278">
        <v>0</v>
      </c>
    </row>
    <row r="771" ht="12.75" customHeight="1" spans="2:9">
      <c r="B771" s="3274">
        <v>759</v>
      </c>
      <c r="D771" s="3297" t="s">
        <v>3835</v>
      </c>
      <c r="E771" s="3298" t="s">
        <v>3836</v>
      </c>
      <c r="F771" s="3298" t="s">
        <v>2299</v>
      </c>
      <c r="G771" s="3278">
        <v>0</v>
      </c>
      <c r="H771" s="3299">
        <v>0</v>
      </c>
      <c r="I771" s="3278">
        <v>0</v>
      </c>
    </row>
    <row r="772" ht="12.75" customHeight="1" spans="2:9">
      <c r="B772" s="3274">
        <v>760</v>
      </c>
      <c r="D772" s="3297" t="s">
        <v>3837</v>
      </c>
      <c r="E772" s="3298" t="s">
        <v>3838</v>
      </c>
      <c r="F772" s="3298" t="s">
        <v>2299</v>
      </c>
      <c r="G772" s="3278">
        <v>0</v>
      </c>
      <c r="H772" s="3299">
        <v>0</v>
      </c>
      <c r="I772" s="3278">
        <v>0</v>
      </c>
    </row>
    <row r="773" ht="12.75" customHeight="1" spans="2:9">
      <c r="B773" s="3274">
        <v>761</v>
      </c>
      <c r="D773" s="3297" t="s">
        <v>3839</v>
      </c>
      <c r="E773" s="3298" t="s">
        <v>3840</v>
      </c>
      <c r="F773" s="3298" t="s">
        <v>2299</v>
      </c>
      <c r="G773" s="3278">
        <v>90750</v>
      </c>
      <c r="H773" s="3299">
        <v>36</v>
      </c>
      <c r="I773" s="3278">
        <v>3267000</v>
      </c>
    </row>
    <row r="774" ht="12.75" customHeight="1" spans="2:9">
      <c r="B774" s="3274">
        <v>762</v>
      </c>
      <c r="D774" s="3297" t="s">
        <v>3841</v>
      </c>
      <c r="E774" s="3298" t="s">
        <v>3842</v>
      </c>
      <c r="F774" s="3298" t="s">
        <v>2299</v>
      </c>
      <c r="G774" s="3278">
        <v>0</v>
      </c>
      <c r="H774" s="3299">
        <v>0</v>
      </c>
      <c r="I774" s="3278">
        <v>0</v>
      </c>
    </row>
    <row r="775" ht="12.75" customHeight="1" spans="2:9">
      <c r="B775" s="3274">
        <v>763</v>
      </c>
      <c r="D775" s="3297" t="s">
        <v>3843</v>
      </c>
      <c r="E775" s="3298" t="s">
        <v>3844</v>
      </c>
      <c r="F775" s="3298" t="s">
        <v>2299</v>
      </c>
      <c r="G775" s="3278">
        <v>16500</v>
      </c>
      <c r="H775" s="3299">
        <v>0</v>
      </c>
      <c r="I775" s="3278">
        <v>0</v>
      </c>
    </row>
    <row r="776" ht="12.75" customHeight="1" spans="2:9">
      <c r="B776" s="3274">
        <v>764</v>
      </c>
      <c r="D776" s="3297" t="s">
        <v>3845</v>
      </c>
      <c r="E776" s="3298" t="s">
        <v>3846</v>
      </c>
      <c r="F776" s="3298" t="s">
        <v>2299</v>
      </c>
      <c r="G776" s="3278">
        <v>23169.3</v>
      </c>
      <c r="H776" s="3299">
        <v>6</v>
      </c>
      <c r="I776" s="3278">
        <v>139015.8</v>
      </c>
    </row>
    <row r="777" ht="12.75" customHeight="1" spans="2:9">
      <c r="B777" s="3274">
        <v>765</v>
      </c>
      <c r="D777" s="3297" t="s">
        <v>3847</v>
      </c>
      <c r="E777" s="3298" t="s">
        <v>3848</v>
      </c>
      <c r="F777" s="3298" t="s">
        <v>2457</v>
      </c>
      <c r="G777" s="3278">
        <v>439450</v>
      </c>
      <c r="H777" s="3299">
        <v>0</v>
      </c>
      <c r="I777" s="3278">
        <v>0</v>
      </c>
    </row>
    <row r="778" ht="12.75" customHeight="1" spans="2:9">
      <c r="B778" s="3274">
        <v>766</v>
      </c>
      <c r="D778" s="3297" t="s">
        <v>3849</v>
      </c>
      <c r="E778" s="3298" t="s">
        <v>3850</v>
      </c>
      <c r="F778" s="3298" t="s">
        <v>2299</v>
      </c>
      <c r="G778" s="3278">
        <v>396000</v>
      </c>
      <c r="H778" s="3299">
        <v>12</v>
      </c>
      <c r="I778" s="3278">
        <v>4752000</v>
      </c>
    </row>
    <row r="779" ht="12.75" customHeight="1" spans="2:9">
      <c r="B779" s="3274">
        <v>767</v>
      </c>
      <c r="D779" s="3297" t="s">
        <v>3851</v>
      </c>
      <c r="E779" s="3298" t="s">
        <v>3852</v>
      </c>
      <c r="F779" s="3298" t="s">
        <v>2299</v>
      </c>
      <c r="G779" s="3278">
        <v>192500</v>
      </c>
      <c r="H779" s="3299">
        <v>12</v>
      </c>
      <c r="I779" s="3278">
        <v>2310000</v>
      </c>
    </row>
    <row r="780" ht="12.75" customHeight="1" spans="2:9">
      <c r="B780" s="3274">
        <v>768</v>
      </c>
      <c r="D780" s="3297" t="s">
        <v>3853</v>
      </c>
      <c r="E780" s="3298" t="s">
        <v>3854</v>
      </c>
      <c r="F780" s="3298" t="s">
        <v>2299</v>
      </c>
      <c r="G780" s="3278">
        <v>166138.5</v>
      </c>
      <c r="H780" s="3299">
        <v>0</v>
      </c>
      <c r="I780" s="3278">
        <v>0</v>
      </c>
    </row>
    <row r="781" ht="12.75" customHeight="1" spans="2:9">
      <c r="B781" s="3274">
        <v>769</v>
      </c>
      <c r="D781" s="3297" t="s">
        <v>3855</v>
      </c>
      <c r="E781" s="3298" t="s">
        <v>3856</v>
      </c>
      <c r="F781" s="3298" t="s">
        <v>2299</v>
      </c>
      <c r="G781" s="3278">
        <v>396000</v>
      </c>
      <c r="H781" s="3299">
        <v>0</v>
      </c>
      <c r="I781" s="3278">
        <v>0</v>
      </c>
    </row>
    <row r="782" ht="12.75" customHeight="1" spans="2:9">
      <c r="B782" s="3274">
        <v>770</v>
      </c>
      <c r="D782" s="3297" t="s">
        <v>3857</v>
      </c>
      <c r="E782" s="3298" t="s">
        <v>3858</v>
      </c>
      <c r="F782" s="3298" t="s">
        <v>2299</v>
      </c>
      <c r="G782" s="3278">
        <v>3850</v>
      </c>
      <c r="H782" s="3299">
        <v>100</v>
      </c>
      <c r="I782" s="3278">
        <v>385000</v>
      </c>
    </row>
    <row r="783" ht="12.75" customHeight="1" spans="2:9">
      <c r="B783" s="3274">
        <v>771</v>
      </c>
      <c r="D783" s="3297" t="s">
        <v>3859</v>
      </c>
      <c r="E783" s="3298" t="s">
        <v>3860</v>
      </c>
      <c r="F783" s="3298" t="s">
        <v>2418</v>
      </c>
      <c r="G783" s="3278">
        <v>1045000</v>
      </c>
      <c r="H783" s="3299">
        <v>0</v>
      </c>
      <c r="I783" s="3278">
        <v>0</v>
      </c>
    </row>
    <row r="784" ht="12.75" customHeight="1" spans="2:9">
      <c r="B784" s="3274">
        <v>772</v>
      </c>
      <c r="D784" s="3297" t="s">
        <v>3861</v>
      </c>
      <c r="E784" s="3298" t="s">
        <v>3862</v>
      </c>
      <c r="F784" s="3298" t="s">
        <v>2293</v>
      </c>
      <c r="G784" s="3278">
        <v>5963.716</v>
      </c>
      <c r="H784" s="3299">
        <v>0</v>
      </c>
      <c r="I784" s="3278">
        <v>0</v>
      </c>
    </row>
    <row r="785" ht="12.75" customHeight="1" spans="2:9">
      <c r="B785" s="3274">
        <v>773</v>
      </c>
      <c r="D785" s="3297" t="s">
        <v>3863</v>
      </c>
      <c r="E785" s="3298" t="s">
        <v>3864</v>
      </c>
      <c r="F785" s="3298" t="s">
        <v>2293</v>
      </c>
      <c r="G785" s="3278">
        <v>6709.45</v>
      </c>
      <c r="H785" s="3299">
        <v>0</v>
      </c>
      <c r="I785" s="3278">
        <v>0</v>
      </c>
    </row>
    <row r="786" ht="12.75" customHeight="1" spans="2:9">
      <c r="B786" s="3274">
        <v>774</v>
      </c>
      <c r="D786" s="3297" t="s">
        <v>3865</v>
      </c>
      <c r="E786" s="3298" t="s">
        <v>3866</v>
      </c>
      <c r="F786" s="3298" t="s">
        <v>2299</v>
      </c>
      <c r="G786" s="3278">
        <v>6700</v>
      </c>
      <c r="H786" s="3299">
        <v>0</v>
      </c>
      <c r="I786" s="3278">
        <v>0</v>
      </c>
    </row>
    <row r="787" ht="12.75" customHeight="1" spans="2:9">
      <c r="B787" s="3274">
        <v>775</v>
      </c>
      <c r="D787" s="3297" t="s">
        <v>3867</v>
      </c>
      <c r="E787" s="3298" t="s">
        <v>3868</v>
      </c>
      <c r="F787" s="3298" t="s">
        <v>2299</v>
      </c>
      <c r="G787" s="3278">
        <v>6532.9</v>
      </c>
      <c r="H787" s="3299">
        <v>0</v>
      </c>
      <c r="I787" s="3278">
        <v>0</v>
      </c>
    </row>
    <row r="788" ht="12.75" customHeight="1" spans="2:9">
      <c r="B788" s="3274">
        <v>776</v>
      </c>
      <c r="D788" s="3297" t="s">
        <v>3869</v>
      </c>
      <c r="E788" s="3298" t="s">
        <v>3870</v>
      </c>
      <c r="F788" s="3298" t="s">
        <v>2299</v>
      </c>
      <c r="G788" s="3278">
        <v>99000</v>
      </c>
      <c r="H788" s="3299">
        <v>0</v>
      </c>
      <c r="I788" s="3278">
        <v>0</v>
      </c>
    </row>
    <row r="789" ht="12.75" customHeight="1" spans="2:9">
      <c r="B789" s="3274">
        <v>777</v>
      </c>
      <c r="D789" s="3297" t="s">
        <v>3871</v>
      </c>
      <c r="E789" s="3298" t="s">
        <v>3872</v>
      </c>
      <c r="F789" s="3298" t="s">
        <v>2299</v>
      </c>
      <c r="G789" s="3278">
        <v>99000</v>
      </c>
      <c r="H789" s="3299">
        <v>0</v>
      </c>
      <c r="I789" s="3278">
        <v>0</v>
      </c>
    </row>
    <row r="790" ht="12.75" customHeight="1" spans="2:9">
      <c r="B790" s="3274">
        <v>778</v>
      </c>
      <c r="D790" s="3297" t="s">
        <v>3873</v>
      </c>
      <c r="E790" s="3298" t="s">
        <v>3874</v>
      </c>
      <c r="F790" s="3298" t="s">
        <v>2299</v>
      </c>
      <c r="G790" s="3278">
        <v>99000</v>
      </c>
      <c r="H790" s="3299">
        <v>0</v>
      </c>
      <c r="I790" s="3278">
        <v>0</v>
      </c>
    </row>
    <row r="791" ht="12.75" customHeight="1" spans="2:9">
      <c r="B791" s="3274">
        <v>779</v>
      </c>
      <c r="D791" s="3297" t="s">
        <v>3875</v>
      </c>
      <c r="E791" s="3298" t="s">
        <v>3876</v>
      </c>
      <c r="F791" s="3298" t="s">
        <v>2299</v>
      </c>
      <c r="G791" s="3278">
        <v>468075</v>
      </c>
      <c r="H791" s="3299">
        <v>0</v>
      </c>
      <c r="I791" s="3278">
        <v>0</v>
      </c>
    </row>
    <row r="792" ht="12.75" customHeight="1" spans="2:9">
      <c r="B792" s="3274">
        <v>780</v>
      </c>
      <c r="D792" s="3297" t="s">
        <v>3877</v>
      </c>
      <c r="E792" s="3298" t="s">
        <v>3878</v>
      </c>
      <c r="F792" s="3298" t="s">
        <v>2299</v>
      </c>
      <c r="G792" s="3278">
        <v>500000</v>
      </c>
      <c r="H792" s="3299">
        <v>0</v>
      </c>
      <c r="I792" s="3278">
        <v>0</v>
      </c>
    </row>
    <row r="793" ht="12.75" customHeight="1" spans="2:9">
      <c r="B793" s="3274">
        <v>781</v>
      </c>
      <c r="D793" s="3297" t="s">
        <v>3879</v>
      </c>
      <c r="E793" s="3298" t="s">
        <v>3880</v>
      </c>
      <c r="F793" s="3298" t="s">
        <v>2293</v>
      </c>
      <c r="G793" s="3278">
        <v>605000</v>
      </c>
      <c r="H793" s="3299">
        <v>0</v>
      </c>
      <c r="I793" s="3278">
        <v>0</v>
      </c>
    </row>
    <row r="794" ht="12.75" customHeight="1" spans="2:9">
      <c r="B794" s="3274">
        <v>782</v>
      </c>
      <c r="D794" s="3297" t="s">
        <v>3881</v>
      </c>
      <c r="E794" s="3298" t="s">
        <v>3882</v>
      </c>
      <c r="F794" s="3298" t="s">
        <v>2314</v>
      </c>
      <c r="G794" s="3278">
        <v>682000</v>
      </c>
      <c r="H794" s="3299">
        <v>0</v>
      </c>
      <c r="I794" s="3278">
        <v>0</v>
      </c>
    </row>
    <row r="795" ht="12.75" customHeight="1" spans="2:9">
      <c r="B795" s="3274">
        <v>783</v>
      </c>
      <c r="D795" s="3297" t="s">
        <v>3883</v>
      </c>
      <c r="E795" s="3298" t="s">
        <v>3884</v>
      </c>
      <c r="F795" s="3298" t="s">
        <v>2299</v>
      </c>
      <c r="G795" s="3278">
        <v>52250</v>
      </c>
      <c r="H795" s="3299">
        <v>0</v>
      </c>
      <c r="I795" s="3278">
        <v>0</v>
      </c>
    </row>
    <row r="796" ht="12.75" customHeight="1" spans="2:9">
      <c r="B796" s="3274">
        <v>784</v>
      </c>
      <c r="D796" s="3297" t="s">
        <v>3885</v>
      </c>
      <c r="E796" s="3298" t="s">
        <v>3886</v>
      </c>
      <c r="F796" s="3298" t="s">
        <v>2299</v>
      </c>
      <c r="G796" s="3278">
        <v>2310</v>
      </c>
      <c r="H796" s="3299">
        <v>0</v>
      </c>
      <c r="I796" s="3278">
        <v>0</v>
      </c>
    </row>
    <row r="797" ht="12.75" customHeight="1" spans="2:9">
      <c r="B797" s="3274">
        <v>785</v>
      </c>
      <c r="D797" s="3297" t="s">
        <v>3887</v>
      </c>
      <c r="E797" s="3298" t="s">
        <v>3888</v>
      </c>
      <c r="F797" s="3298" t="s">
        <v>2299</v>
      </c>
      <c r="G797" s="3278">
        <v>44528</v>
      </c>
      <c r="H797" s="3299">
        <v>0</v>
      </c>
      <c r="I797" s="3278">
        <v>0</v>
      </c>
    </row>
    <row r="798" ht="12.75" customHeight="1" spans="2:9">
      <c r="B798" s="3274">
        <v>786</v>
      </c>
      <c r="D798" s="3297" t="s">
        <v>3889</v>
      </c>
      <c r="E798" s="3298" t="s">
        <v>3890</v>
      </c>
      <c r="F798" s="3298" t="s">
        <v>2299</v>
      </c>
      <c r="G798" s="3278">
        <v>34848</v>
      </c>
      <c r="H798" s="3299">
        <v>0</v>
      </c>
      <c r="I798" s="3278">
        <v>0</v>
      </c>
    </row>
    <row r="799" ht="12.75" customHeight="1" spans="2:9">
      <c r="B799" s="3274">
        <v>787</v>
      </c>
      <c r="D799" s="3297" t="s">
        <v>3891</v>
      </c>
      <c r="E799" s="3298" t="s">
        <v>3892</v>
      </c>
      <c r="F799" s="3298" t="s">
        <v>2299</v>
      </c>
      <c r="G799" s="3278">
        <v>71500</v>
      </c>
      <c r="H799" s="3299">
        <v>0</v>
      </c>
      <c r="I799" s="3278">
        <v>0</v>
      </c>
    </row>
    <row r="800" ht="12.75" customHeight="1" spans="2:9">
      <c r="B800" s="3274">
        <v>788</v>
      </c>
      <c r="D800" s="3297" t="s">
        <v>3893</v>
      </c>
      <c r="E800" s="3298" t="s">
        <v>3894</v>
      </c>
      <c r="F800" s="3298" t="s">
        <v>2299</v>
      </c>
      <c r="G800" s="3278">
        <v>17600</v>
      </c>
      <c r="H800" s="3299">
        <v>0</v>
      </c>
      <c r="I800" s="3278">
        <v>0</v>
      </c>
    </row>
    <row r="801" ht="12.75" customHeight="1" spans="2:9">
      <c r="B801" s="3274">
        <v>789</v>
      </c>
      <c r="D801" s="3297" t="s">
        <v>3895</v>
      </c>
      <c r="E801" s="3298" t="s">
        <v>3896</v>
      </c>
      <c r="F801" s="3298" t="s">
        <v>2293</v>
      </c>
      <c r="G801" s="3278">
        <v>165000</v>
      </c>
      <c r="H801" s="3299">
        <v>2</v>
      </c>
      <c r="I801" s="3278">
        <v>330000</v>
      </c>
    </row>
    <row r="802" ht="12.75" customHeight="1" spans="2:9">
      <c r="B802" s="3274">
        <v>790</v>
      </c>
      <c r="D802" s="3297" t="s">
        <v>3897</v>
      </c>
      <c r="E802" s="3298" t="s">
        <v>3898</v>
      </c>
      <c r="F802" s="3298" t="s">
        <v>2299</v>
      </c>
      <c r="G802" s="3278">
        <v>3135</v>
      </c>
      <c r="H802" s="3299">
        <v>0</v>
      </c>
      <c r="I802" s="3278">
        <v>0</v>
      </c>
    </row>
    <row r="803" ht="12.75" customHeight="1" spans="2:9">
      <c r="B803" s="3274">
        <v>791</v>
      </c>
      <c r="D803" s="3297" t="s">
        <v>3899</v>
      </c>
      <c r="E803" s="3298" t="s">
        <v>3900</v>
      </c>
      <c r="F803" s="3298" t="s">
        <v>2299</v>
      </c>
      <c r="G803" s="3278">
        <v>825</v>
      </c>
      <c r="H803" s="3299">
        <v>0</v>
      </c>
      <c r="I803" s="3278">
        <v>0</v>
      </c>
    </row>
    <row r="804" ht="12.75" customHeight="1" spans="2:9">
      <c r="B804" s="3274">
        <v>792</v>
      </c>
      <c r="D804" s="3297" t="s">
        <v>3901</v>
      </c>
      <c r="E804" s="3298" t="s">
        <v>3902</v>
      </c>
      <c r="F804" s="3298" t="s">
        <v>2810</v>
      </c>
      <c r="G804" s="3278">
        <v>825</v>
      </c>
      <c r="H804" s="3299">
        <v>500</v>
      </c>
      <c r="I804" s="3278">
        <v>412500</v>
      </c>
    </row>
    <row r="805" ht="12.75" customHeight="1" spans="2:9">
      <c r="B805" s="3274">
        <v>793</v>
      </c>
      <c r="D805" s="3297" t="s">
        <v>3903</v>
      </c>
      <c r="E805" s="3298" t="s">
        <v>3904</v>
      </c>
      <c r="F805" s="3298" t="s">
        <v>2418</v>
      </c>
      <c r="G805" s="3278">
        <v>836825</v>
      </c>
      <c r="H805" s="3299">
        <v>0</v>
      </c>
      <c r="I805" s="3278">
        <v>0</v>
      </c>
    </row>
    <row r="806" ht="12.75" customHeight="1" spans="2:9">
      <c r="B806" s="3274">
        <v>794</v>
      </c>
      <c r="D806" s="3297" t="s">
        <v>3905</v>
      </c>
      <c r="E806" s="3298" t="s">
        <v>3906</v>
      </c>
      <c r="F806" s="3298" t="s">
        <v>2418</v>
      </c>
      <c r="G806" s="3278">
        <v>1341450</v>
      </c>
      <c r="H806" s="3299">
        <v>0</v>
      </c>
      <c r="I806" s="3278">
        <v>0</v>
      </c>
    </row>
    <row r="807" ht="12.75" customHeight="1" spans="2:9">
      <c r="B807" s="3274">
        <v>795</v>
      </c>
      <c r="D807" s="3297" t="s">
        <v>3907</v>
      </c>
      <c r="E807" s="3298" t="s">
        <v>3908</v>
      </c>
      <c r="F807" s="3298" t="s">
        <v>2391</v>
      </c>
      <c r="G807" s="3278">
        <v>3924.8</v>
      </c>
      <c r="H807" s="3299">
        <v>1600</v>
      </c>
      <c r="I807" s="3278">
        <v>6279680</v>
      </c>
    </row>
    <row r="808" ht="12.75" customHeight="1" spans="2:9">
      <c r="B808" s="3274">
        <v>796</v>
      </c>
      <c r="D808" s="3297" t="s">
        <v>3909</v>
      </c>
      <c r="E808" s="3298" t="s">
        <v>3910</v>
      </c>
      <c r="F808" s="3298" t="s">
        <v>2299</v>
      </c>
      <c r="G808" s="3278">
        <v>0</v>
      </c>
      <c r="H808" s="3299">
        <v>0</v>
      </c>
      <c r="I808" s="3278">
        <v>0</v>
      </c>
    </row>
    <row r="809" ht="12.75" customHeight="1" spans="2:9">
      <c r="B809" s="3274">
        <v>797</v>
      </c>
      <c r="D809" s="3297" t="s">
        <v>3911</v>
      </c>
      <c r="E809" s="3298" t="s">
        <v>3912</v>
      </c>
      <c r="F809" s="3298" t="s">
        <v>2299</v>
      </c>
      <c r="G809" s="3278">
        <v>221375</v>
      </c>
      <c r="H809" s="3299">
        <v>0</v>
      </c>
      <c r="I809" s="3278">
        <v>0</v>
      </c>
    </row>
    <row r="810" ht="12.75" customHeight="1" spans="2:9">
      <c r="B810" s="3274">
        <v>798</v>
      </c>
      <c r="D810" s="3297" t="s">
        <v>3913</v>
      </c>
      <c r="E810" s="3298" t="s">
        <v>3914</v>
      </c>
      <c r="F810" s="3298" t="s">
        <v>2299</v>
      </c>
      <c r="G810" s="3278">
        <v>110000</v>
      </c>
      <c r="H810" s="3299">
        <v>0</v>
      </c>
      <c r="I810" s="3278">
        <v>0</v>
      </c>
    </row>
    <row r="811" ht="12.75" customHeight="1" spans="2:9">
      <c r="B811" s="3274">
        <v>799</v>
      </c>
      <c r="D811" s="3297" t="s">
        <v>3915</v>
      </c>
      <c r="E811" s="3298" t="s">
        <v>3916</v>
      </c>
      <c r="F811" s="3298" t="s">
        <v>2293</v>
      </c>
      <c r="G811" s="3278">
        <v>0</v>
      </c>
      <c r="H811" s="3299">
        <v>0</v>
      </c>
      <c r="I811" s="3278">
        <v>0</v>
      </c>
    </row>
    <row r="812" ht="12.75" customHeight="1" spans="2:9">
      <c r="B812" s="3274">
        <v>800</v>
      </c>
      <c r="D812" s="3297" t="s">
        <v>3917</v>
      </c>
      <c r="E812" s="3298" t="s">
        <v>3918</v>
      </c>
      <c r="F812" s="3298" t="s">
        <v>2314</v>
      </c>
      <c r="G812" s="3278">
        <v>209000</v>
      </c>
      <c r="H812" s="3299">
        <v>0</v>
      </c>
      <c r="I812" s="3278">
        <v>0</v>
      </c>
    </row>
    <row r="813" ht="12.75" customHeight="1" spans="2:9">
      <c r="B813" s="3274">
        <v>801</v>
      </c>
      <c r="D813" s="3297" t="s">
        <v>3919</v>
      </c>
      <c r="E813" s="3298" t="s">
        <v>3920</v>
      </c>
      <c r="F813" s="3298" t="s">
        <v>2321</v>
      </c>
      <c r="G813" s="3278">
        <v>121000</v>
      </c>
      <c r="H813" s="3299">
        <v>0</v>
      </c>
      <c r="I813" s="3278">
        <v>0</v>
      </c>
    </row>
    <row r="814" ht="12.75" customHeight="1" spans="2:9">
      <c r="B814" s="3274">
        <v>802</v>
      </c>
      <c r="D814" s="3297" t="s">
        <v>3921</v>
      </c>
      <c r="E814" s="3298" t="s">
        <v>3922</v>
      </c>
      <c r="F814" s="3298" t="s">
        <v>2457</v>
      </c>
      <c r="G814" s="3278">
        <v>1056000</v>
      </c>
      <c r="H814" s="3299">
        <v>2</v>
      </c>
      <c r="I814" s="3278">
        <v>2112000</v>
      </c>
    </row>
    <row r="815" ht="12.75" customHeight="1" spans="2:9">
      <c r="B815" s="3274">
        <v>803</v>
      </c>
      <c r="D815" s="3297" t="s">
        <v>3923</v>
      </c>
      <c r="E815" s="3298" t="s">
        <v>3924</v>
      </c>
      <c r="F815" s="3298" t="s">
        <v>2293</v>
      </c>
      <c r="G815" s="3278">
        <v>0</v>
      </c>
      <c r="H815" s="3299">
        <v>0</v>
      </c>
      <c r="I815" s="3278">
        <v>0</v>
      </c>
    </row>
    <row r="816" ht="12.75" customHeight="1" spans="2:9">
      <c r="B816" s="3274">
        <v>804</v>
      </c>
      <c r="D816" s="3297" t="s">
        <v>3925</v>
      </c>
      <c r="E816" s="3298" t="s">
        <v>3926</v>
      </c>
      <c r="F816" s="3298" t="s">
        <v>2299</v>
      </c>
      <c r="G816" s="3278">
        <v>55000</v>
      </c>
      <c r="H816" s="3299">
        <v>0</v>
      </c>
      <c r="I816" s="3278">
        <v>0</v>
      </c>
    </row>
    <row r="817" ht="12.75" customHeight="1" spans="2:9">
      <c r="B817" s="3274">
        <v>805</v>
      </c>
      <c r="D817" s="3297" t="s">
        <v>3927</v>
      </c>
      <c r="E817" s="3298" t="s">
        <v>3928</v>
      </c>
      <c r="F817" s="3298" t="s">
        <v>2299</v>
      </c>
      <c r="G817" s="3278">
        <v>18480</v>
      </c>
      <c r="H817" s="3299">
        <v>0</v>
      </c>
      <c r="I817" s="3278">
        <v>0</v>
      </c>
    </row>
    <row r="818" ht="12.75" customHeight="1" spans="2:9">
      <c r="B818" s="3274">
        <v>806</v>
      </c>
      <c r="D818" s="3297" t="s">
        <v>3929</v>
      </c>
      <c r="E818" s="3298" t="s">
        <v>3930</v>
      </c>
      <c r="F818" s="3298" t="s">
        <v>2299</v>
      </c>
      <c r="G818" s="3278">
        <v>20350</v>
      </c>
      <c r="H818" s="3299">
        <v>0</v>
      </c>
      <c r="I818" s="3278">
        <v>0</v>
      </c>
    </row>
    <row r="819" ht="12.75" customHeight="1" spans="2:9">
      <c r="B819" s="3274">
        <v>807</v>
      </c>
      <c r="D819" s="3297" t="s">
        <v>3931</v>
      </c>
      <c r="E819" s="3298" t="s">
        <v>3932</v>
      </c>
      <c r="F819" s="3298" t="s">
        <v>2296</v>
      </c>
      <c r="G819" s="3278">
        <v>99000</v>
      </c>
      <c r="H819" s="3299">
        <v>0</v>
      </c>
      <c r="I819" s="3278">
        <v>0</v>
      </c>
    </row>
    <row r="820" ht="12.75" customHeight="1" spans="2:9">
      <c r="B820" s="3274">
        <v>808</v>
      </c>
      <c r="D820" s="3297" t="s">
        <v>3933</v>
      </c>
      <c r="E820" s="3298" t="s">
        <v>3934</v>
      </c>
      <c r="F820" s="3298" t="s">
        <v>2299</v>
      </c>
      <c r="G820" s="3278">
        <v>316800</v>
      </c>
      <c r="H820" s="3299">
        <v>0</v>
      </c>
      <c r="I820" s="3278">
        <v>0</v>
      </c>
    </row>
    <row r="821" ht="12.75" customHeight="1" spans="2:9">
      <c r="B821" s="3274">
        <v>809</v>
      </c>
      <c r="D821" s="3297" t="s">
        <v>3935</v>
      </c>
      <c r="E821" s="3298" t="s">
        <v>3936</v>
      </c>
      <c r="F821" s="3298" t="s">
        <v>2299</v>
      </c>
      <c r="G821" s="3278">
        <v>316800</v>
      </c>
      <c r="H821" s="3299">
        <v>0</v>
      </c>
      <c r="I821" s="3278">
        <v>0</v>
      </c>
    </row>
    <row r="822" ht="12.75" customHeight="1" spans="2:9">
      <c r="B822" s="3274">
        <v>810</v>
      </c>
      <c r="D822" s="3297" t="s">
        <v>3937</v>
      </c>
      <c r="E822" s="3298" t="s">
        <v>3938</v>
      </c>
      <c r="F822" s="3298" t="s">
        <v>2299</v>
      </c>
      <c r="G822" s="3278">
        <v>415800</v>
      </c>
      <c r="H822" s="3299">
        <v>0</v>
      </c>
      <c r="I822" s="3278">
        <v>0</v>
      </c>
    </row>
    <row r="823" ht="12.75" customHeight="1" spans="2:9">
      <c r="B823" s="3274">
        <v>811</v>
      </c>
      <c r="D823" s="3297" t="s">
        <v>3939</v>
      </c>
      <c r="E823" s="3298" t="s">
        <v>3940</v>
      </c>
      <c r="F823" s="3298" t="s">
        <v>2299</v>
      </c>
      <c r="G823" s="3278">
        <v>415800</v>
      </c>
      <c r="H823" s="3299">
        <v>0</v>
      </c>
      <c r="I823" s="3278">
        <v>0</v>
      </c>
    </row>
    <row r="824" ht="12.75" customHeight="1" spans="2:9">
      <c r="B824" s="3274">
        <v>812</v>
      </c>
      <c r="D824" s="3297" t="s">
        <v>3941</v>
      </c>
      <c r="E824" s="3298" t="s">
        <v>3942</v>
      </c>
      <c r="F824" s="3298" t="s">
        <v>2299</v>
      </c>
      <c r="G824" s="3278">
        <v>415800</v>
      </c>
      <c r="H824" s="3299">
        <v>0</v>
      </c>
      <c r="I824" s="3278">
        <v>0</v>
      </c>
    </row>
    <row r="825" ht="12.75" customHeight="1" spans="2:9">
      <c r="B825" s="3274">
        <v>813</v>
      </c>
      <c r="D825" s="3297" t="s">
        <v>3943</v>
      </c>
      <c r="E825" s="3298" t="s">
        <v>3944</v>
      </c>
      <c r="F825" s="3298" t="s">
        <v>2299</v>
      </c>
      <c r="G825" s="3278">
        <v>415800</v>
      </c>
      <c r="H825" s="3299">
        <v>0</v>
      </c>
      <c r="I825" s="3278">
        <v>0</v>
      </c>
    </row>
    <row r="826" ht="12.75" customHeight="1" spans="2:9">
      <c r="B826" s="3274">
        <v>814</v>
      </c>
      <c r="D826" s="3297" t="s">
        <v>3945</v>
      </c>
      <c r="E826" s="3298" t="s">
        <v>3946</v>
      </c>
      <c r="F826" s="3298" t="s">
        <v>2299</v>
      </c>
      <c r="G826" s="3278">
        <v>415800</v>
      </c>
      <c r="H826" s="3299">
        <v>0</v>
      </c>
      <c r="I826" s="3278">
        <v>0</v>
      </c>
    </row>
    <row r="827" ht="12.75" customHeight="1" spans="2:9">
      <c r="B827" s="3274">
        <v>815</v>
      </c>
      <c r="D827" s="3297" t="s">
        <v>3947</v>
      </c>
      <c r="E827" s="3298" t="s">
        <v>3948</v>
      </c>
      <c r="F827" s="3298" t="s">
        <v>2299</v>
      </c>
      <c r="G827" s="3278">
        <v>415800</v>
      </c>
      <c r="H827" s="3299">
        <v>0</v>
      </c>
      <c r="I827" s="3278">
        <v>0</v>
      </c>
    </row>
    <row r="828" ht="12.75" customHeight="1" spans="2:9">
      <c r="B828" s="3274">
        <v>816</v>
      </c>
      <c r="D828" s="3297" t="s">
        <v>3949</v>
      </c>
      <c r="E828" s="3298" t="s">
        <v>3950</v>
      </c>
      <c r="F828" s="3298" t="s">
        <v>2296</v>
      </c>
      <c r="G828" s="3278">
        <v>16500</v>
      </c>
      <c r="H828" s="3299">
        <v>0</v>
      </c>
      <c r="I828" s="3278">
        <v>0</v>
      </c>
    </row>
    <row r="829" ht="12.75" customHeight="1" spans="2:9">
      <c r="B829" s="3274">
        <v>817</v>
      </c>
      <c r="D829" s="3297" t="s">
        <v>3951</v>
      </c>
      <c r="E829" s="3298" t="s">
        <v>3952</v>
      </c>
      <c r="F829" s="3298" t="s">
        <v>2321</v>
      </c>
      <c r="G829" s="3278">
        <v>107250</v>
      </c>
      <c r="H829" s="3299">
        <v>0</v>
      </c>
      <c r="I829" s="3278">
        <v>0</v>
      </c>
    </row>
    <row r="830" ht="12.75" customHeight="1" spans="2:9">
      <c r="B830" s="3274">
        <v>818</v>
      </c>
      <c r="D830" s="3297" t="s">
        <v>3953</v>
      </c>
      <c r="E830" s="3298" t="s">
        <v>3954</v>
      </c>
      <c r="F830" s="3298" t="s">
        <v>2299</v>
      </c>
      <c r="G830" s="3278">
        <v>62700</v>
      </c>
      <c r="H830" s="3299">
        <v>0</v>
      </c>
      <c r="I830" s="3278">
        <v>0</v>
      </c>
    </row>
    <row r="831" ht="12.75" customHeight="1" spans="2:9">
      <c r="B831" s="3274">
        <v>819</v>
      </c>
      <c r="D831" s="3297" t="s">
        <v>3955</v>
      </c>
      <c r="E831" s="3298" t="s">
        <v>3956</v>
      </c>
      <c r="F831" s="3298" t="s">
        <v>2321</v>
      </c>
      <c r="G831" s="3278">
        <v>80000</v>
      </c>
      <c r="H831" s="3299">
        <v>0</v>
      </c>
      <c r="I831" s="3278">
        <v>0</v>
      </c>
    </row>
    <row r="832" ht="12.75" customHeight="1" spans="2:9">
      <c r="B832" s="3274">
        <v>820</v>
      </c>
      <c r="D832" s="3297" t="s">
        <v>3957</v>
      </c>
      <c r="E832" s="3298" t="s">
        <v>3958</v>
      </c>
      <c r="F832" s="3298" t="s">
        <v>2457</v>
      </c>
      <c r="G832" s="3278">
        <v>59999.5</v>
      </c>
      <c r="H832" s="3299">
        <v>0</v>
      </c>
      <c r="I832" s="3278">
        <v>0</v>
      </c>
    </row>
    <row r="833" ht="12.75" customHeight="1" spans="2:9">
      <c r="B833" s="3274">
        <v>821</v>
      </c>
      <c r="D833" s="3297" t="s">
        <v>3959</v>
      </c>
      <c r="E833" s="3298" t="s">
        <v>3960</v>
      </c>
      <c r="F833" s="3298" t="s">
        <v>2299</v>
      </c>
      <c r="G833" s="3278">
        <v>103675</v>
      </c>
      <c r="H833" s="3299">
        <v>0</v>
      </c>
      <c r="I833" s="3278">
        <v>0</v>
      </c>
    </row>
    <row r="834" ht="12.75" customHeight="1" spans="2:9">
      <c r="B834" s="3274">
        <v>822</v>
      </c>
      <c r="D834" s="3297" t="s">
        <v>3961</v>
      </c>
      <c r="E834" s="3298" t="s">
        <v>3962</v>
      </c>
      <c r="F834" s="3298" t="s">
        <v>2457</v>
      </c>
      <c r="G834" s="3278">
        <v>6600</v>
      </c>
      <c r="H834" s="3299">
        <v>0</v>
      </c>
      <c r="I834" s="3278">
        <v>0</v>
      </c>
    </row>
    <row r="835" ht="12.75" customHeight="1" spans="2:9">
      <c r="B835" s="3274">
        <v>823</v>
      </c>
      <c r="D835" s="3297" t="s">
        <v>3963</v>
      </c>
      <c r="E835" s="3298" t="s">
        <v>3964</v>
      </c>
      <c r="F835" s="3298" t="s">
        <v>2299</v>
      </c>
      <c r="G835" s="3278">
        <v>495</v>
      </c>
      <c r="H835" s="3299">
        <v>0</v>
      </c>
      <c r="I835" s="3278">
        <v>0</v>
      </c>
    </row>
    <row r="836" ht="12.75" customHeight="1" spans="2:9">
      <c r="B836" s="3274">
        <v>824</v>
      </c>
      <c r="D836" s="3297" t="s">
        <v>3965</v>
      </c>
      <c r="E836" s="3298" t="s">
        <v>3966</v>
      </c>
      <c r="F836" s="3298" t="s">
        <v>2367</v>
      </c>
      <c r="G836" s="3278">
        <v>0</v>
      </c>
      <c r="H836" s="3299">
        <v>0</v>
      </c>
      <c r="I836" s="3278">
        <v>0</v>
      </c>
    </row>
    <row r="837" ht="12.75" customHeight="1" spans="2:9">
      <c r="B837" s="3274">
        <v>825</v>
      </c>
      <c r="D837" s="3297" t="s">
        <v>3967</v>
      </c>
      <c r="E837" s="3298" t="s">
        <v>3968</v>
      </c>
      <c r="F837" s="3298" t="s">
        <v>2299</v>
      </c>
      <c r="G837" s="3278">
        <v>550</v>
      </c>
      <c r="H837" s="3299">
        <v>500</v>
      </c>
      <c r="I837" s="3278">
        <v>275000</v>
      </c>
    </row>
    <row r="838" ht="12.75" customHeight="1" spans="2:9">
      <c r="B838" s="3274">
        <v>826</v>
      </c>
      <c r="D838" s="3297" t="s">
        <v>3969</v>
      </c>
      <c r="E838" s="3298" t="s">
        <v>3970</v>
      </c>
      <c r="F838" s="3298" t="s">
        <v>2299</v>
      </c>
      <c r="G838" s="3278">
        <v>29150</v>
      </c>
      <c r="H838" s="3299">
        <v>0</v>
      </c>
      <c r="I838" s="3278">
        <v>0</v>
      </c>
    </row>
    <row r="839" ht="12.75" customHeight="1" spans="2:9">
      <c r="B839" s="3274">
        <v>827</v>
      </c>
      <c r="D839" s="3297" t="s">
        <v>3971</v>
      </c>
      <c r="E839" s="3298" t="s">
        <v>3972</v>
      </c>
      <c r="F839" s="3298" t="s">
        <v>2299</v>
      </c>
      <c r="G839" s="3278">
        <v>29150</v>
      </c>
      <c r="H839" s="3299">
        <v>0</v>
      </c>
      <c r="I839" s="3278">
        <v>0</v>
      </c>
    </row>
    <row r="840" ht="12.75" customHeight="1" spans="2:9">
      <c r="B840" s="3274">
        <v>828</v>
      </c>
      <c r="D840" s="3297" t="s">
        <v>3973</v>
      </c>
      <c r="E840" s="3298" t="s">
        <v>3974</v>
      </c>
      <c r="F840" s="3298" t="s">
        <v>2299</v>
      </c>
      <c r="G840" s="3278">
        <v>29150</v>
      </c>
      <c r="H840" s="3299">
        <v>0</v>
      </c>
      <c r="I840" s="3278">
        <v>0</v>
      </c>
    </row>
    <row r="841" ht="12.75" customHeight="1" spans="2:9">
      <c r="B841" s="3274">
        <v>829</v>
      </c>
      <c r="D841" s="3297" t="s">
        <v>3975</v>
      </c>
      <c r="E841" s="3298" t="s">
        <v>3976</v>
      </c>
      <c r="F841" s="3298" t="s">
        <v>2293</v>
      </c>
      <c r="G841" s="3278">
        <v>412500</v>
      </c>
      <c r="H841" s="3299">
        <v>0</v>
      </c>
      <c r="I841" s="3278">
        <v>0</v>
      </c>
    </row>
    <row r="842" ht="12.75" customHeight="1" spans="2:9">
      <c r="B842" s="3274">
        <v>830</v>
      </c>
      <c r="D842" s="3297" t="s">
        <v>3977</v>
      </c>
      <c r="E842" s="3298" t="s">
        <v>3978</v>
      </c>
      <c r="F842" s="3298" t="s">
        <v>2299</v>
      </c>
      <c r="G842" s="3278">
        <v>500000</v>
      </c>
      <c r="H842" s="3299">
        <v>0</v>
      </c>
      <c r="I842" s="3278">
        <v>0</v>
      </c>
    </row>
    <row r="843" ht="12.75" customHeight="1" spans="2:9">
      <c r="B843" s="3274">
        <v>831</v>
      </c>
      <c r="D843" s="3297" t="s">
        <v>3979</v>
      </c>
      <c r="E843" s="3298" t="s">
        <v>3980</v>
      </c>
      <c r="F843" s="3298" t="s">
        <v>2299</v>
      </c>
      <c r="G843" s="3278">
        <v>99000</v>
      </c>
      <c r="H843" s="3299">
        <v>0</v>
      </c>
      <c r="I843" s="3278">
        <v>0</v>
      </c>
    </row>
    <row r="844" ht="12.75" customHeight="1" spans="2:9">
      <c r="B844" s="3274">
        <v>832</v>
      </c>
      <c r="D844" s="3297" t="s">
        <v>3981</v>
      </c>
      <c r="E844" s="3298" t="s">
        <v>3982</v>
      </c>
      <c r="F844" s="3298" t="s">
        <v>2299</v>
      </c>
      <c r="G844" s="3278">
        <v>99000</v>
      </c>
      <c r="H844" s="3299">
        <v>0</v>
      </c>
      <c r="I844" s="3278">
        <v>0</v>
      </c>
    </row>
    <row r="845" ht="12.75" customHeight="1" spans="2:9">
      <c r="B845" s="3274">
        <v>833</v>
      </c>
      <c r="D845" s="3297" t="s">
        <v>3983</v>
      </c>
      <c r="E845" s="3298" t="s">
        <v>3984</v>
      </c>
      <c r="F845" s="3298" t="s">
        <v>2299</v>
      </c>
      <c r="G845" s="3278">
        <v>0</v>
      </c>
      <c r="H845" s="3299">
        <v>0</v>
      </c>
      <c r="I845" s="3278">
        <v>0</v>
      </c>
    </row>
    <row r="846" ht="12.75" customHeight="1" spans="2:9">
      <c r="B846" s="3274">
        <v>834</v>
      </c>
      <c r="D846" s="3297" t="s">
        <v>3985</v>
      </c>
      <c r="E846" s="3298" t="s">
        <v>3986</v>
      </c>
      <c r="F846" s="3298" t="s">
        <v>2321</v>
      </c>
      <c r="G846" s="3278">
        <v>46332</v>
      </c>
      <c r="H846" s="3299">
        <v>0</v>
      </c>
      <c r="I846" s="3278">
        <v>0</v>
      </c>
    </row>
    <row r="847" ht="12.75" customHeight="1" spans="2:9">
      <c r="B847" s="3274">
        <v>835</v>
      </c>
      <c r="D847" s="3297" t="s">
        <v>3987</v>
      </c>
      <c r="E847" s="3298" t="s">
        <v>3988</v>
      </c>
      <c r="F847" s="3298" t="s">
        <v>2293</v>
      </c>
      <c r="G847" s="3278">
        <v>580</v>
      </c>
      <c r="H847" s="3299">
        <v>0</v>
      </c>
      <c r="I847" s="3278">
        <v>0</v>
      </c>
    </row>
    <row r="848" ht="12.75" customHeight="1" spans="2:9">
      <c r="B848" s="3274">
        <v>836</v>
      </c>
      <c r="D848" s="3297" t="s">
        <v>3989</v>
      </c>
      <c r="E848" s="3298" t="s">
        <v>3990</v>
      </c>
      <c r="F848" s="3298" t="s">
        <v>2293</v>
      </c>
      <c r="G848" s="3278">
        <v>580</v>
      </c>
      <c r="H848" s="3299">
        <v>0</v>
      </c>
      <c r="I848" s="3278">
        <v>0</v>
      </c>
    </row>
    <row r="849" ht="12.75" customHeight="1" spans="2:9">
      <c r="B849" s="3274">
        <v>837</v>
      </c>
      <c r="D849" s="3297" t="s">
        <v>3991</v>
      </c>
      <c r="E849" s="3298" t="s">
        <v>3992</v>
      </c>
      <c r="F849" s="3298" t="s">
        <v>2299</v>
      </c>
      <c r="G849" s="3278">
        <v>42570</v>
      </c>
      <c r="H849" s="3299">
        <v>0</v>
      </c>
      <c r="I849" s="3278">
        <v>0</v>
      </c>
    </row>
    <row r="850" ht="12.75" customHeight="1" spans="2:9">
      <c r="B850" s="3274">
        <v>838</v>
      </c>
      <c r="D850" s="3297" t="s">
        <v>3993</v>
      </c>
      <c r="E850" s="3298" t="s">
        <v>3994</v>
      </c>
      <c r="F850" s="3298" t="s">
        <v>2296</v>
      </c>
      <c r="G850" s="3278">
        <v>110000</v>
      </c>
      <c r="H850" s="3299">
        <v>0</v>
      </c>
      <c r="I850" s="3278">
        <v>0</v>
      </c>
    </row>
    <row r="851" ht="12.75" customHeight="1" spans="2:9">
      <c r="B851" s="3274">
        <v>839</v>
      </c>
      <c r="D851" s="3297" t="s">
        <v>3995</v>
      </c>
      <c r="E851" s="3298" t="s">
        <v>3996</v>
      </c>
      <c r="F851" s="3298" t="s">
        <v>2314</v>
      </c>
      <c r="G851" s="3278">
        <v>8800000</v>
      </c>
      <c r="H851" s="3299">
        <v>0</v>
      </c>
      <c r="I851" s="3278">
        <v>0</v>
      </c>
    </row>
    <row r="852" ht="12.75" customHeight="1" spans="2:9">
      <c r="B852" s="3274">
        <v>840</v>
      </c>
      <c r="D852" s="3297" t="s">
        <v>3997</v>
      </c>
      <c r="E852" s="3298" t="s">
        <v>3998</v>
      </c>
      <c r="F852" s="3298" t="s">
        <v>2565</v>
      </c>
      <c r="G852" s="3278">
        <v>121000</v>
      </c>
      <c r="H852" s="3299">
        <v>0</v>
      </c>
      <c r="I852" s="3278">
        <v>0</v>
      </c>
    </row>
    <row r="853" ht="12.75" customHeight="1" spans="2:9">
      <c r="B853" s="3274">
        <v>841</v>
      </c>
      <c r="D853" s="3297" t="s">
        <v>3999</v>
      </c>
      <c r="E853" s="3298" t="s">
        <v>4000</v>
      </c>
      <c r="F853" s="3298" t="s">
        <v>2299</v>
      </c>
      <c r="G853" s="3278">
        <v>313500</v>
      </c>
      <c r="H853" s="3299">
        <v>2</v>
      </c>
      <c r="I853" s="3278">
        <v>627000</v>
      </c>
    </row>
    <row r="854" ht="12.75" customHeight="1" spans="2:9">
      <c r="B854" s="3274">
        <v>842</v>
      </c>
      <c r="D854" s="3297" t="s">
        <v>4001</v>
      </c>
      <c r="E854" s="3298" t="s">
        <v>4002</v>
      </c>
      <c r="F854" s="3298" t="s">
        <v>2299</v>
      </c>
      <c r="G854" s="3278">
        <v>235125</v>
      </c>
      <c r="H854" s="3299">
        <v>4</v>
      </c>
      <c r="I854" s="3278">
        <v>940500</v>
      </c>
    </row>
    <row r="855" ht="12.75" customHeight="1" spans="2:9">
      <c r="B855" s="3274">
        <v>843</v>
      </c>
      <c r="D855" s="3297" t="s">
        <v>4003</v>
      </c>
      <c r="E855" s="3298" t="s">
        <v>4004</v>
      </c>
      <c r="F855" s="3298" t="s">
        <v>2299</v>
      </c>
      <c r="G855" s="3278">
        <v>313500</v>
      </c>
      <c r="H855" s="3299">
        <v>3</v>
      </c>
      <c r="I855" s="3278">
        <v>940500</v>
      </c>
    </row>
    <row r="856" ht="12.75" customHeight="1" spans="2:9">
      <c r="B856" s="3274">
        <v>844</v>
      </c>
      <c r="D856" s="3297" t="s">
        <v>4005</v>
      </c>
      <c r="E856" s="3298" t="s">
        <v>4006</v>
      </c>
      <c r="F856" s="3298" t="s">
        <v>2299</v>
      </c>
      <c r="G856" s="3278">
        <v>35076.8</v>
      </c>
      <c r="H856" s="3299">
        <v>0</v>
      </c>
      <c r="I856" s="3278">
        <v>0</v>
      </c>
    </row>
    <row r="857" ht="12.75" customHeight="1" spans="2:9">
      <c r="B857" s="3274">
        <v>845</v>
      </c>
      <c r="D857" s="3297" t="s">
        <v>4007</v>
      </c>
      <c r="E857" s="3298" t="s">
        <v>4008</v>
      </c>
      <c r="F857" s="3298" t="s">
        <v>2299</v>
      </c>
      <c r="G857" s="3278">
        <v>55562.1</v>
      </c>
      <c r="H857" s="3299">
        <v>24</v>
      </c>
      <c r="I857" s="3278">
        <v>1333490.4</v>
      </c>
    </row>
    <row r="858" ht="12.75" customHeight="1" spans="2:9">
      <c r="B858" s="3274">
        <v>846</v>
      </c>
      <c r="D858" s="3297" t="s">
        <v>4009</v>
      </c>
      <c r="E858" s="3298" t="s">
        <v>4010</v>
      </c>
      <c r="F858" s="3298" t="s">
        <v>4011</v>
      </c>
      <c r="G858" s="3278">
        <v>660</v>
      </c>
      <c r="H858" s="3299">
        <v>0</v>
      </c>
      <c r="I858" s="3278">
        <v>0</v>
      </c>
    </row>
    <row r="859" ht="12.75" customHeight="1" spans="2:9">
      <c r="B859" s="3274">
        <v>847</v>
      </c>
      <c r="D859" s="3297" t="s">
        <v>4012</v>
      </c>
      <c r="E859" s="3298" t="s">
        <v>4013</v>
      </c>
      <c r="F859" s="3298" t="s">
        <v>2299</v>
      </c>
      <c r="G859" s="3278">
        <v>57200</v>
      </c>
      <c r="H859" s="3299">
        <v>0</v>
      </c>
      <c r="I859" s="3278">
        <v>0</v>
      </c>
    </row>
    <row r="860" ht="12.75" customHeight="1" spans="2:9">
      <c r="B860" s="3274">
        <v>848</v>
      </c>
      <c r="D860" s="3297" t="s">
        <v>4014</v>
      </c>
      <c r="E860" s="3298" t="s">
        <v>4015</v>
      </c>
      <c r="F860" s="3298" t="s">
        <v>2299</v>
      </c>
      <c r="G860" s="3278">
        <v>92623.3</v>
      </c>
      <c r="H860" s="3299">
        <v>0</v>
      </c>
      <c r="I860" s="3278">
        <v>0</v>
      </c>
    </row>
    <row r="861" ht="12.75" customHeight="1" spans="2:9">
      <c r="B861" s="3274">
        <v>849</v>
      </c>
      <c r="D861" s="3297" t="s">
        <v>4016</v>
      </c>
      <c r="E861" s="3298" t="s">
        <v>4017</v>
      </c>
      <c r="F861" s="3298" t="s">
        <v>2299</v>
      </c>
      <c r="G861" s="3278">
        <v>55562.1</v>
      </c>
      <c r="H861" s="3299">
        <v>24</v>
      </c>
      <c r="I861" s="3278">
        <v>1333490.4</v>
      </c>
    </row>
    <row r="862" ht="12.75" customHeight="1" spans="2:9">
      <c r="B862" s="3274">
        <v>850</v>
      </c>
      <c r="D862" s="3297" t="s">
        <v>4018</v>
      </c>
      <c r="E862" s="3298" t="s">
        <v>4019</v>
      </c>
      <c r="F862" s="3298" t="s">
        <v>2299</v>
      </c>
      <c r="G862" s="3278">
        <v>55562.1</v>
      </c>
      <c r="H862" s="3299">
        <v>24</v>
      </c>
      <c r="I862" s="3278">
        <v>1333490.4</v>
      </c>
    </row>
    <row r="863" ht="12.75" customHeight="1" spans="2:9">
      <c r="B863" s="3274">
        <v>851</v>
      </c>
      <c r="D863" s="3297" t="s">
        <v>4020</v>
      </c>
      <c r="E863" s="3298" t="s">
        <v>4021</v>
      </c>
      <c r="F863" s="3298" t="s">
        <v>2293</v>
      </c>
      <c r="G863" s="3278">
        <v>2750</v>
      </c>
      <c r="H863" s="3299">
        <v>0</v>
      </c>
      <c r="I863" s="3278">
        <v>0</v>
      </c>
    </row>
    <row r="864" ht="12.75" customHeight="1" spans="2:9">
      <c r="B864" s="3274">
        <v>852</v>
      </c>
      <c r="D864" s="3297" t="s">
        <v>4022</v>
      </c>
      <c r="E864" s="3298" t="s">
        <v>4023</v>
      </c>
      <c r="F864" s="3298" t="s">
        <v>2299</v>
      </c>
      <c r="G864" s="3278">
        <v>1595000</v>
      </c>
      <c r="H864" s="3299">
        <v>0</v>
      </c>
      <c r="I864" s="3278">
        <v>0</v>
      </c>
    </row>
    <row r="865" ht="12.75" customHeight="1" spans="2:9">
      <c r="B865" s="3274">
        <v>853</v>
      </c>
      <c r="D865" s="3297" t="s">
        <v>4024</v>
      </c>
      <c r="E865" s="3298" t="s">
        <v>4025</v>
      </c>
      <c r="F865" s="3298" t="s">
        <v>2299</v>
      </c>
      <c r="G865" s="3278">
        <v>3300000</v>
      </c>
      <c r="H865" s="3299">
        <v>0</v>
      </c>
      <c r="I865" s="3278">
        <v>0</v>
      </c>
    </row>
    <row r="866" ht="12.75" customHeight="1" spans="2:9">
      <c r="B866" s="3274">
        <v>854</v>
      </c>
      <c r="D866" s="3297" t="s">
        <v>4026</v>
      </c>
      <c r="E866" s="3298" t="s">
        <v>4027</v>
      </c>
      <c r="F866" s="3298" t="s">
        <v>2367</v>
      </c>
      <c r="G866" s="3278">
        <v>3300</v>
      </c>
      <c r="H866" s="3299">
        <v>0</v>
      </c>
      <c r="I866" s="3278">
        <v>0</v>
      </c>
    </row>
    <row r="867" ht="12.75" customHeight="1" spans="2:9">
      <c r="B867" s="3274">
        <v>855</v>
      </c>
      <c r="D867" s="3297" t="s">
        <v>4028</v>
      </c>
      <c r="E867" s="3298" t="s">
        <v>4029</v>
      </c>
      <c r="F867" s="3298" t="s">
        <v>2321</v>
      </c>
      <c r="G867" s="3278">
        <v>0</v>
      </c>
      <c r="H867" s="3299">
        <v>0</v>
      </c>
      <c r="I867" s="3278">
        <v>0</v>
      </c>
    </row>
    <row r="868" ht="12.75" customHeight="1" spans="2:9">
      <c r="B868" s="3274">
        <v>856</v>
      </c>
      <c r="D868" s="3297" t="s">
        <v>4030</v>
      </c>
      <c r="E868" s="3298" t="s">
        <v>4031</v>
      </c>
      <c r="F868" s="3298" t="s">
        <v>2457</v>
      </c>
      <c r="G868" s="3278">
        <v>16243.7</v>
      </c>
      <c r="H868" s="3299">
        <v>0</v>
      </c>
      <c r="I868" s="3278">
        <v>0</v>
      </c>
    </row>
    <row r="869" ht="12.75" customHeight="1" spans="2:9">
      <c r="B869" s="3274">
        <v>857</v>
      </c>
      <c r="D869" s="3297" t="s">
        <v>4032</v>
      </c>
      <c r="E869" s="3298" t="s">
        <v>4033</v>
      </c>
      <c r="F869" s="3298" t="s">
        <v>2299</v>
      </c>
      <c r="G869" s="3278">
        <v>0</v>
      </c>
      <c r="H869" s="3299">
        <v>0</v>
      </c>
      <c r="I869" s="3278">
        <v>0</v>
      </c>
    </row>
    <row r="870" ht="12.75" customHeight="1" spans="2:9">
      <c r="B870" s="3274">
        <v>858</v>
      </c>
      <c r="D870" s="3297" t="s">
        <v>4034</v>
      </c>
      <c r="E870" s="3298" t="s">
        <v>4035</v>
      </c>
      <c r="F870" s="3298" t="s">
        <v>2299</v>
      </c>
      <c r="G870" s="3278">
        <v>0</v>
      </c>
      <c r="H870" s="3299">
        <v>0</v>
      </c>
      <c r="I870" s="3278">
        <v>0</v>
      </c>
    </row>
    <row r="871" ht="12.75" customHeight="1" spans="2:9">
      <c r="B871" s="3274">
        <v>859</v>
      </c>
      <c r="D871" s="3297" t="s">
        <v>4036</v>
      </c>
      <c r="E871" s="3298" t="s">
        <v>4037</v>
      </c>
      <c r="F871" s="3298" t="s">
        <v>2293</v>
      </c>
      <c r="G871" s="3278">
        <v>291500</v>
      </c>
      <c r="H871" s="3299">
        <v>13</v>
      </c>
      <c r="I871" s="3278">
        <v>3789500</v>
      </c>
    </row>
    <row r="872" ht="12.75" customHeight="1" spans="2:9">
      <c r="B872" s="3274">
        <v>860</v>
      </c>
      <c r="D872" s="3297" t="s">
        <v>4038</v>
      </c>
      <c r="E872" s="3298" t="s">
        <v>4039</v>
      </c>
      <c r="F872" s="3298" t="s">
        <v>2472</v>
      </c>
      <c r="G872" s="3278">
        <v>20000</v>
      </c>
      <c r="H872" s="3299">
        <v>0</v>
      </c>
      <c r="I872" s="3278">
        <v>0</v>
      </c>
    </row>
    <row r="873" ht="12.75" customHeight="1" spans="2:9">
      <c r="B873" s="3274">
        <v>861</v>
      </c>
      <c r="D873" s="3297" t="s">
        <v>4040</v>
      </c>
      <c r="E873" s="3298" t="s">
        <v>4041</v>
      </c>
      <c r="F873" s="3298" t="s">
        <v>2472</v>
      </c>
      <c r="G873" s="3278">
        <v>10000</v>
      </c>
      <c r="H873" s="3299">
        <v>0</v>
      </c>
      <c r="I873" s="3278">
        <v>0</v>
      </c>
    </row>
    <row r="874" ht="12.75" customHeight="1" spans="2:9">
      <c r="B874" s="3274">
        <v>862</v>
      </c>
      <c r="D874" s="3297" t="s">
        <v>4042</v>
      </c>
      <c r="E874" s="3298" t="s">
        <v>4043</v>
      </c>
      <c r="F874" s="3298" t="s">
        <v>2299</v>
      </c>
      <c r="G874" s="3278">
        <v>20000</v>
      </c>
      <c r="H874" s="3299">
        <v>0</v>
      </c>
      <c r="I874" s="3278">
        <v>0</v>
      </c>
    </row>
    <row r="875" ht="12.75" customHeight="1" spans="2:9">
      <c r="B875" s="3274">
        <v>863</v>
      </c>
      <c r="D875" s="3297" t="s">
        <v>4044</v>
      </c>
      <c r="E875" s="3298" t="s">
        <v>4045</v>
      </c>
      <c r="F875" s="3298" t="s">
        <v>2299</v>
      </c>
      <c r="G875" s="3278">
        <v>16500</v>
      </c>
      <c r="H875" s="3299">
        <v>0</v>
      </c>
      <c r="I875" s="3278">
        <v>0</v>
      </c>
    </row>
    <row r="876" ht="12.75" customHeight="1" spans="2:9">
      <c r="B876" s="3274">
        <v>864</v>
      </c>
      <c r="D876" s="3297" t="s">
        <v>4046</v>
      </c>
      <c r="E876" s="3298" t="s">
        <v>4047</v>
      </c>
      <c r="F876" s="3298" t="s">
        <v>2418</v>
      </c>
      <c r="G876" s="3278">
        <v>81277.9</v>
      </c>
      <c r="H876" s="3299">
        <v>0</v>
      </c>
      <c r="I876" s="3278">
        <v>0</v>
      </c>
    </row>
    <row r="877" ht="12.75" customHeight="1" spans="2:9">
      <c r="B877" s="3274">
        <v>865</v>
      </c>
      <c r="D877" s="3297" t="s">
        <v>4048</v>
      </c>
      <c r="E877" s="3298" t="s">
        <v>4049</v>
      </c>
      <c r="F877" s="3298" t="s">
        <v>2299</v>
      </c>
      <c r="G877" s="3278">
        <v>0</v>
      </c>
      <c r="H877" s="3299">
        <v>0</v>
      </c>
      <c r="I877" s="3278">
        <v>0</v>
      </c>
    </row>
    <row r="878" ht="12.75" customHeight="1" spans="2:9">
      <c r="B878" s="3274">
        <v>866</v>
      </c>
      <c r="D878" s="3297" t="s">
        <v>4050</v>
      </c>
      <c r="E878" s="3298" t="s">
        <v>4051</v>
      </c>
      <c r="F878" s="3298" t="s">
        <v>2321</v>
      </c>
      <c r="G878" s="3278">
        <v>968000</v>
      </c>
      <c r="H878" s="3299">
        <v>0</v>
      </c>
      <c r="I878" s="3278">
        <v>0</v>
      </c>
    </row>
    <row r="879" ht="12.75" customHeight="1" spans="2:9">
      <c r="B879" s="3274">
        <v>867</v>
      </c>
      <c r="D879" s="3297" t="s">
        <v>4052</v>
      </c>
      <c r="E879" s="3298" t="s">
        <v>4053</v>
      </c>
      <c r="F879" s="3298" t="s">
        <v>2299</v>
      </c>
      <c r="G879" s="3278">
        <v>383900</v>
      </c>
      <c r="H879" s="3299">
        <v>1</v>
      </c>
      <c r="I879" s="3278">
        <v>383900</v>
      </c>
    </row>
    <row r="880" ht="12.75" customHeight="1" spans="2:9">
      <c r="B880" s="3274">
        <v>868</v>
      </c>
      <c r="D880" s="3297" t="s">
        <v>4054</v>
      </c>
      <c r="E880" s="3298" t="s">
        <v>4055</v>
      </c>
      <c r="F880" s="3298" t="s">
        <v>2843</v>
      </c>
      <c r="G880" s="3278">
        <v>770000</v>
      </c>
      <c r="H880" s="3299">
        <v>1</v>
      </c>
      <c r="I880" s="3278">
        <v>770000</v>
      </c>
    </row>
    <row r="881" ht="12.75" customHeight="1" spans="2:9">
      <c r="B881" s="3274">
        <v>869</v>
      </c>
      <c r="D881" s="3297" t="s">
        <v>4056</v>
      </c>
      <c r="E881" s="3298" t="s">
        <v>4057</v>
      </c>
      <c r="F881" s="3298" t="s">
        <v>2321</v>
      </c>
      <c r="G881" s="3278">
        <v>165000</v>
      </c>
      <c r="H881" s="3299">
        <v>6</v>
      </c>
      <c r="I881" s="3278">
        <v>990000</v>
      </c>
    </row>
    <row r="882" ht="12.75" customHeight="1" spans="2:9">
      <c r="B882" s="3274">
        <v>870</v>
      </c>
      <c r="D882" s="3297" t="s">
        <v>4058</v>
      </c>
      <c r="E882" s="3298" t="s">
        <v>4059</v>
      </c>
      <c r="F882" s="3298" t="s">
        <v>3412</v>
      </c>
      <c r="G882" s="3278">
        <v>1760000</v>
      </c>
      <c r="H882" s="3299">
        <v>0</v>
      </c>
      <c r="I882" s="3278">
        <v>0</v>
      </c>
    </row>
    <row r="883" ht="12.75" customHeight="1" spans="2:9">
      <c r="B883" s="3274">
        <v>871</v>
      </c>
      <c r="D883" s="3297" t="s">
        <v>4060</v>
      </c>
      <c r="E883" s="3298" t="s">
        <v>4061</v>
      </c>
      <c r="F883" s="3298" t="s">
        <v>2367</v>
      </c>
      <c r="G883" s="3278">
        <v>126500</v>
      </c>
      <c r="H883" s="3299">
        <v>0</v>
      </c>
      <c r="I883" s="3278">
        <v>0</v>
      </c>
    </row>
    <row r="884" ht="12.75" customHeight="1" spans="2:9">
      <c r="B884" s="3274">
        <v>872</v>
      </c>
      <c r="D884" s="3297" t="s">
        <v>4062</v>
      </c>
      <c r="E884" s="3298" t="s">
        <v>4063</v>
      </c>
      <c r="F884" s="3298" t="s">
        <v>2367</v>
      </c>
      <c r="G884" s="3278">
        <v>148000</v>
      </c>
      <c r="H884" s="3299">
        <v>0</v>
      </c>
      <c r="I884" s="3278">
        <v>0</v>
      </c>
    </row>
    <row r="885" ht="12.75" customHeight="1" spans="2:9">
      <c r="B885" s="3274">
        <v>873</v>
      </c>
      <c r="D885" s="3297" t="s">
        <v>4064</v>
      </c>
      <c r="E885" s="3298" t="s">
        <v>4065</v>
      </c>
      <c r="F885" s="3298" t="s">
        <v>2299</v>
      </c>
      <c r="G885" s="3278">
        <v>343310</v>
      </c>
      <c r="H885" s="3299">
        <v>0</v>
      </c>
      <c r="I885" s="3278">
        <v>0</v>
      </c>
    </row>
    <row r="886" ht="12.75" customHeight="1" spans="2:9">
      <c r="B886" s="3274">
        <v>874</v>
      </c>
      <c r="D886" s="3297" t="s">
        <v>4066</v>
      </c>
      <c r="E886" s="3298" t="s">
        <v>4067</v>
      </c>
      <c r="F886" s="3298" t="s">
        <v>2299</v>
      </c>
      <c r="G886" s="3278">
        <v>495000</v>
      </c>
      <c r="H886" s="3299">
        <v>0</v>
      </c>
      <c r="I886" s="3278">
        <v>0</v>
      </c>
    </row>
    <row r="887" ht="12.75" customHeight="1" spans="2:9">
      <c r="B887" s="3274">
        <v>875</v>
      </c>
      <c r="D887" s="3297" t="s">
        <v>4068</v>
      </c>
      <c r="E887" s="3298" t="s">
        <v>4069</v>
      </c>
      <c r="F887" s="3298" t="s">
        <v>2299</v>
      </c>
      <c r="G887" s="3278">
        <v>399999.996</v>
      </c>
      <c r="H887" s="3299">
        <v>0</v>
      </c>
      <c r="I887" s="3278">
        <v>0</v>
      </c>
    </row>
    <row r="888" ht="12.75" customHeight="1" spans="2:9">
      <c r="B888" s="3274">
        <v>876</v>
      </c>
      <c r="D888" s="3297" t="s">
        <v>4070</v>
      </c>
      <c r="E888" s="3298" t="s">
        <v>4071</v>
      </c>
      <c r="F888" s="3298" t="s">
        <v>2299</v>
      </c>
      <c r="G888" s="3278">
        <v>400000.0125</v>
      </c>
      <c r="H888" s="3299">
        <v>0</v>
      </c>
      <c r="I888" s="3278">
        <v>0</v>
      </c>
    </row>
    <row r="889" ht="12.75" customHeight="1" spans="2:9">
      <c r="B889" s="3274">
        <v>877</v>
      </c>
      <c r="D889" s="3297" t="s">
        <v>4072</v>
      </c>
      <c r="E889" s="3298" t="s">
        <v>4073</v>
      </c>
      <c r="F889" s="3298" t="s">
        <v>2299</v>
      </c>
      <c r="G889" s="3278">
        <v>440000</v>
      </c>
      <c r="H889" s="3299">
        <v>0</v>
      </c>
      <c r="I889" s="3278">
        <v>0</v>
      </c>
    </row>
    <row r="890" ht="12.75" customHeight="1" spans="2:9">
      <c r="B890" s="3274">
        <v>878</v>
      </c>
      <c r="D890" s="3297" t="s">
        <v>4074</v>
      </c>
      <c r="E890" s="3298" t="s">
        <v>4075</v>
      </c>
      <c r="F890" s="3298" t="s">
        <v>2299</v>
      </c>
      <c r="G890" s="3278">
        <v>450000.001</v>
      </c>
      <c r="H890" s="3299">
        <v>0</v>
      </c>
      <c r="I890" s="3278">
        <v>0</v>
      </c>
    </row>
    <row r="891" ht="12.75" customHeight="1" spans="2:9">
      <c r="B891" s="3274">
        <v>879</v>
      </c>
      <c r="D891" s="3297" t="s">
        <v>4076</v>
      </c>
      <c r="E891" s="3298" t="s">
        <v>4077</v>
      </c>
      <c r="F891" s="3298" t="s">
        <v>2299</v>
      </c>
      <c r="G891" s="3278">
        <v>440000</v>
      </c>
      <c r="H891" s="3299">
        <v>0</v>
      </c>
      <c r="I891" s="3278">
        <v>0</v>
      </c>
    </row>
    <row r="892" ht="12.75" customHeight="1" spans="2:9">
      <c r="B892" s="3274">
        <v>880</v>
      </c>
      <c r="D892" s="3297" t="s">
        <v>4078</v>
      </c>
      <c r="E892" s="3298" t="s">
        <v>4079</v>
      </c>
      <c r="F892" s="3298" t="s">
        <v>2299</v>
      </c>
      <c r="G892" s="3278">
        <v>550000</v>
      </c>
      <c r="H892" s="3299">
        <v>0</v>
      </c>
      <c r="I892" s="3278">
        <v>0</v>
      </c>
    </row>
    <row r="893" ht="12.75" customHeight="1" spans="2:9">
      <c r="B893" s="3274">
        <v>881</v>
      </c>
      <c r="D893" s="3297" t="s">
        <v>4080</v>
      </c>
      <c r="E893" s="3298" t="s">
        <v>4081</v>
      </c>
      <c r="F893" s="3298" t="s">
        <v>2299</v>
      </c>
      <c r="G893" s="3278">
        <v>577500</v>
      </c>
      <c r="H893" s="3299">
        <v>0</v>
      </c>
      <c r="I893" s="3278">
        <v>0</v>
      </c>
    </row>
    <row r="894" ht="12.75" customHeight="1" spans="2:9">
      <c r="B894" s="3274">
        <v>882</v>
      </c>
      <c r="D894" s="3297" t="s">
        <v>4082</v>
      </c>
      <c r="E894" s="3298" t="s">
        <v>4083</v>
      </c>
      <c r="F894" s="3298" t="s">
        <v>2299</v>
      </c>
      <c r="G894" s="3278">
        <v>577500</v>
      </c>
      <c r="H894" s="3299">
        <v>0</v>
      </c>
      <c r="I894" s="3278">
        <v>0</v>
      </c>
    </row>
    <row r="895" ht="12.75" customHeight="1" spans="2:9">
      <c r="B895" s="3274">
        <v>883</v>
      </c>
      <c r="D895" s="3297" t="s">
        <v>4084</v>
      </c>
      <c r="E895" s="3298" t="s">
        <v>4085</v>
      </c>
      <c r="F895" s="3298" t="s">
        <v>2299</v>
      </c>
      <c r="G895" s="3278">
        <v>660000</v>
      </c>
      <c r="H895" s="3299">
        <v>0</v>
      </c>
      <c r="I895" s="3278">
        <v>0</v>
      </c>
    </row>
    <row r="896" ht="12.75" customHeight="1" spans="2:9">
      <c r="B896" s="3274">
        <v>884</v>
      </c>
      <c r="D896" s="3297" t="s">
        <v>4086</v>
      </c>
      <c r="E896" s="3298" t="s">
        <v>4087</v>
      </c>
      <c r="F896" s="3298" t="s">
        <v>2299</v>
      </c>
      <c r="G896" s="3278">
        <v>605000</v>
      </c>
      <c r="H896" s="3299">
        <v>0</v>
      </c>
      <c r="I896" s="3278">
        <v>0</v>
      </c>
    </row>
    <row r="897" ht="12.75" customHeight="1" spans="2:9">
      <c r="B897" s="3274">
        <v>885</v>
      </c>
      <c r="D897" s="3297" t="s">
        <v>4088</v>
      </c>
      <c r="E897" s="3298" t="s">
        <v>4089</v>
      </c>
      <c r="F897" s="3298" t="s">
        <v>2299</v>
      </c>
      <c r="G897" s="3278">
        <v>660000</v>
      </c>
      <c r="H897" s="3299">
        <v>0</v>
      </c>
      <c r="I897" s="3278">
        <v>0</v>
      </c>
    </row>
    <row r="898" ht="12.75" customHeight="1" spans="2:9">
      <c r="B898" s="3274">
        <v>886</v>
      </c>
      <c r="D898" s="3297" t="s">
        <v>4090</v>
      </c>
      <c r="E898" s="3298" t="s">
        <v>4091</v>
      </c>
      <c r="F898" s="3298" t="s">
        <v>2299</v>
      </c>
      <c r="G898" s="3278">
        <v>660000</v>
      </c>
      <c r="H898" s="3299">
        <v>0</v>
      </c>
      <c r="I898" s="3278">
        <v>0</v>
      </c>
    </row>
    <row r="899" ht="12.75" customHeight="1" spans="2:9">
      <c r="B899" s="3274">
        <v>887</v>
      </c>
      <c r="D899" s="3297" t="s">
        <v>4092</v>
      </c>
      <c r="E899" s="3298" t="s">
        <v>4093</v>
      </c>
      <c r="F899" s="3298" t="s">
        <v>2299</v>
      </c>
      <c r="G899" s="3278">
        <v>44650</v>
      </c>
      <c r="H899" s="3299">
        <v>0</v>
      </c>
      <c r="I899" s="3278">
        <v>0</v>
      </c>
    </row>
    <row r="900" ht="12.75" customHeight="1" spans="2:9">
      <c r="B900" s="3274">
        <v>888</v>
      </c>
      <c r="D900" s="3297" t="s">
        <v>4094</v>
      </c>
      <c r="E900" s="3298" t="s">
        <v>4095</v>
      </c>
      <c r="F900" s="3298" t="s">
        <v>2299</v>
      </c>
      <c r="G900" s="3278">
        <v>379940</v>
      </c>
      <c r="H900" s="3299">
        <v>0</v>
      </c>
      <c r="I900" s="3278">
        <v>0</v>
      </c>
    </row>
    <row r="901" ht="12.75" customHeight="1" spans="2:9">
      <c r="B901" s="3274">
        <v>889</v>
      </c>
      <c r="D901" s="3297" t="s">
        <v>4096</v>
      </c>
      <c r="E901" s="3298" t="s">
        <v>4097</v>
      </c>
      <c r="F901" s="3298" t="s">
        <v>3412</v>
      </c>
      <c r="G901" s="3278">
        <v>1760000</v>
      </c>
      <c r="H901" s="3299">
        <v>0</v>
      </c>
      <c r="I901" s="3278">
        <v>0</v>
      </c>
    </row>
    <row r="902" ht="12.75" customHeight="1" spans="2:9">
      <c r="B902" s="3274">
        <v>890</v>
      </c>
      <c r="D902" s="3297" t="s">
        <v>4098</v>
      </c>
      <c r="E902" s="3298" t="s">
        <v>4099</v>
      </c>
      <c r="F902" s="3298" t="s">
        <v>2367</v>
      </c>
      <c r="G902" s="3278">
        <v>2700720</v>
      </c>
      <c r="H902" s="3299">
        <v>2</v>
      </c>
      <c r="I902" s="3278">
        <v>5401440</v>
      </c>
    </row>
    <row r="903" ht="12.75" customHeight="1" spans="2:9">
      <c r="B903" s="3274">
        <v>891</v>
      </c>
      <c r="D903" s="3297" t="s">
        <v>4100</v>
      </c>
      <c r="E903" s="3298" t="s">
        <v>4101</v>
      </c>
      <c r="F903" s="3298" t="s">
        <v>1305</v>
      </c>
      <c r="G903" s="3278">
        <v>2526480</v>
      </c>
      <c r="H903" s="3299">
        <v>3</v>
      </c>
      <c r="I903" s="3278">
        <v>7579440</v>
      </c>
    </row>
    <row r="904" ht="12.75" customHeight="1" spans="2:9">
      <c r="B904" s="3274">
        <v>892</v>
      </c>
      <c r="D904" s="3297" t="s">
        <v>4102</v>
      </c>
      <c r="E904" s="3298" t="s">
        <v>4103</v>
      </c>
      <c r="F904" s="3298" t="s">
        <v>2367</v>
      </c>
      <c r="G904" s="3278">
        <v>2526700</v>
      </c>
      <c r="H904" s="3299">
        <v>0</v>
      </c>
      <c r="I904" s="3278">
        <v>0</v>
      </c>
    </row>
    <row r="905" ht="12.75" customHeight="1" spans="2:9">
      <c r="B905" s="3274">
        <v>893</v>
      </c>
      <c r="D905" s="3297" t="s">
        <v>4104</v>
      </c>
      <c r="E905" s="3298" t="s">
        <v>4105</v>
      </c>
      <c r="F905" s="3298" t="s">
        <v>2293</v>
      </c>
      <c r="G905" s="3278">
        <v>11000</v>
      </c>
      <c r="H905" s="3299">
        <v>0</v>
      </c>
      <c r="I905" s="3278">
        <v>0</v>
      </c>
    </row>
    <row r="906" ht="12.75" customHeight="1" spans="2:9">
      <c r="B906" s="3274">
        <v>894</v>
      </c>
      <c r="D906" s="3297" t="s">
        <v>4106</v>
      </c>
      <c r="E906" s="3298" t="s">
        <v>4107</v>
      </c>
      <c r="F906" s="3298" t="s">
        <v>2299</v>
      </c>
      <c r="G906" s="3278">
        <v>50600</v>
      </c>
      <c r="H906" s="3299">
        <v>0</v>
      </c>
      <c r="I906" s="3278">
        <v>0</v>
      </c>
    </row>
    <row r="907" ht="12.75" customHeight="1" spans="2:9">
      <c r="B907" s="3274">
        <v>895</v>
      </c>
      <c r="D907" s="3297" t="s">
        <v>4108</v>
      </c>
      <c r="E907" s="3298" t="s">
        <v>4109</v>
      </c>
      <c r="F907" s="3298" t="s">
        <v>2321</v>
      </c>
      <c r="G907" s="3278">
        <v>661320</v>
      </c>
      <c r="H907" s="3299">
        <v>1</v>
      </c>
      <c r="I907" s="3278">
        <v>661320</v>
      </c>
    </row>
    <row r="908" ht="12.75" customHeight="1" spans="2:9">
      <c r="B908" s="3274">
        <v>896</v>
      </c>
      <c r="D908" s="3297" t="s">
        <v>4110</v>
      </c>
      <c r="E908" s="3298" t="s">
        <v>4111</v>
      </c>
      <c r="F908" s="3298" t="s">
        <v>2299</v>
      </c>
      <c r="G908" s="3278">
        <v>49500</v>
      </c>
      <c r="H908" s="3299">
        <v>0</v>
      </c>
      <c r="I908" s="3278">
        <v>0</v>
      </c>
    </row>
    <row r="909" ht="12.75" customHeight="1" spans="2:9">
      <c r="B909" s="3274">
        <v>897</v>
      </c>
      <c r="D909" s="3297" t="s">
        <v>4112</v>
      </c>
      <c r="E909" s="3298" t="s">
        <v>4113</v>
      </c>
      <c r="F909" s="3298" t="s">
        <v>2299</v>
      </c>
      <c r="G909" s="3278">
        <v>555500</v>
      </c>
      <c r="H909" s="3299">
        <v>2</v>
      </c>
      <c r="I909" s="3278">
        <v>1111000</v>
      </c>
    </row>
    <row r="910" ht="12.75" customHeight="1" spans="2:9">
      <c r="B910" s="3274">
        <v>898</v>
      </c>
      <c r="D910" s="3297" t="s">
        <v>4114</v>
      </c>
      <c r="E910" s="3298" t="s">
        <v>4115</v>
      </c>
      <c r="F910" s="3298" t="s">
        <v>2299</v>
      </c>
      <c r="G910" s="3278">
        <v>32120</v>
      </c>
      <c r="H910" s="3299">
        <v>0</v>
      </c>
      <c r="I910" s="3278">
        <v>0</v>
      </c>
    </row>
    <row r="911" ht="12.75" customHeight="1" spans="2:9">
      <c r="B911" s="3274">
        <v>899</v>
      </c>
      <c r="D911" s="3297" t="s">
        <v>4116</v>
      </c>
      <c r="E911" s="3298" t="s">
        <v>4117</v>
      </c>
      <c r="F911" s="3298" t="s">
        <v>2299</v>
      </c>
      <c r="G911" s="3278">
        <v>32120</v>
      </c>
      <c r="H911" s="3299">
        <v>0</v>
      </c>
      <c r="I911" s="3278">
        <v>0</v>
      </c>
    </row>
    <row r="912" ht="12.75" customHeight="1" spans="2:9">
      <c r="B912" s="3274">
        <v>900</v>
      </c>
      <c r="D912" s="3297" t="s">
        <v>4118</v>
      </c>
      <c r="E912" s="3298" t="s">
        <v>4119</v>
      </c>
      <c r="F912" s="3298" t="s">
        <v>2299</v>
      </c>
      <c r="G912" s="3278">
        <v>32120</v>
      </c>
      <c r="H912" s="3299">
        <v>0</v>
      </c>
      <c r="I912" s="3278">
        <v>0</v>
      </c>
    </row>
    <row r="913" ht="12.75" customHeight="1" spans="2:9">
      <c r="B913" s="3274">
        <v>901</v>
      </c>
      <c r="D913" s="3297" t="s">
        <v>4120</v>
      </c>
      <c r="E913" s="3298" t="s">
        <v>4121</v>
      </c>
      <c r="F913" s="3298" t="s">
        <v>2299</v>
      </c>
      <c r="G913" s="3278">
        <v>33440</v>
      </c>
      <c r="H913" s="3299">
        <v>0</v>
      </c>
      <c r="I913" s="3278">
        <v>0</v>
      </c>
    </row>
    <row r="914" ht="12.75" customHeight="1" spans="2:9">
      <c r="B914" s="3274">
        <v>902</v>
      </c>
      <c r="D914" s="3297" t="s">
        <v>4122</v>
      </c>
      <c r="E914" s="3298" t="s">
        <v>4123</v>
      </c>
      <c r="F914" s="3298" t="s">
        <v>2299</v>
      </c>
      <c r="G914" s="3278">
        <v>106326</v>
      </c>
      <c r="H914" s="3299">
        <v>0</v>
      </c>
      <c r="I914" s="3278">
        <v>0</v>
      </c>
    </row>
    <row r="915" ht="12.75" customHeight="1" spans="2:9">
      <c r="B915" s="3274">
        <v>903</v>
      </c>
      <c r="D915" s="3297" t="s">
        <v>4124</v>
      </c>
      <c r="E915" s="3298" t="s">
        <v>4125</v>
      </c>
      <c r="F915" s="3298" t="s">
        <v>2299</v>
      </c>
      <c r="G915" s="3278">
        <v>182026</v>
      </c>
      <c r="H915" s="3299">
        <v>0</v>
      </c>
      <c r="I915" s="3278">
        <v>0</v>
      </c>
    </row>
    <row r="916" ht="12.75" customHeight="1" spans="2:9">
      <c r="B916" s="3274">
        <v>904</v>
      </c>
      <c r="D916" s="3297" t="s">
        <v>4126</v>
      </c>
      <c r="E916" s="3298" t="s">
        <v>4127</v>
      </c>
      <c r="F916" s="3298" t="s">
        <v>2457</v>
      </c>
      <c r="G916" s="3278">
        <v>0</v>
      </c>
      <c r="H916" s="3299">
        <v>0</v>
      </c>
      <c r="I916" s="3278">
        <v>0</v>
      </c>
    </row>
    <row r="917" ht="12.75" customHeight="1" spans="2:9">
      <c r="B917" s="3274">
        <v>905</v>
      </c>
      <c r="D917" s="3297" t="s">
        <v>4128</v>
      </c>
      <c r="E917" s="3298" t="s">
        <v>4129</v>
      </c>
      <c r="F917" s="3298" t="s">
        <v>2299</v>
      </c>
      <c r="G917" s="3278">
        <v>1029.6</v>
      </c>
      <c r="H917" s="3299">
        <v>600</v>
      </c>
      <c r="I917" s="3278">
        <v>617760</v>
      </c>
    </row>
    <row r="918" ht="12.75" customHeight="1" spans="2:9">
      <c r="B918" s="3274">
        <v>906</v>
      </c>
      <c r="D918" s="3297" t="s">
        <v>4130</v>
      </c>
      <c r="E918" s="3298" t="s">
        <v>4131</v>
      </c>
      <c r="F918" s="3298" t="s">
        <v>2299</v>
      </c>
      <c r="G918" s="3278">
        <v>925.65</v>
      </c>
      <c r="H918" s="3299">
        <v>1000</v>
      </c>
      <c r="I918" s="3278">
        <v>925650</v>
      </c>
    </row>
    <row r="919" ht="12.75" customHeight="1" spans="2:9">
      <c r="B919" s="3274">
        <v>907</v>
      </c>
      <c r="D919" s="3297" t="s">
        <v>4132</v>
      </c>
      <c r="E919" s="3298" t="s">
        <v>4133</v>
      </c>
      <c r="F919" s="3298" t="s">
        <v>2299</v>
      </c>
      <c r="G919" s="3278">
        <v>2277</v>
      </c>
      <c r="H919" s="3299">
        <v>0</v>
      </c>
      <c r="I919" s="3278">
        <v>0</v>
      </c>
    </row>
    <row r="920" ht="12.75" customHeight="1" spans="2:9">
      <c r="B920" s="3274">
        <v>908</v>
      </c>
      <c r="D920" s="3297" t="s">
        <v>4134</v>
      </c>
      <c r="E920" s="3298" t="s">
        <v>4135</v>
      </c>
      <c r="F920" s="3298" t="s">
        <v>2299</v>
      </c>
      <c r="G920" s="3278">
        <v>2376</v>
      </c>
      <c r="H920" s="3299">
        <v>0</v>
      </c>
      <c r="I920" s="3278">
        <v>0</v>
      </c>
    </row>
    <row r="921" ht="12.75" customHeight="1" spans="2:9">
      <c r="B921" s="3274">
        <v>909</v>
      </c>
      <c r="D921" s="3297" t="s">
        <v>4136</v>
      </c>
      <c r="E921" s="3298" t="s">
        <v>4137</v>
      </c>
      <c r="F921" s="3298" t="s">
        <v>2367</v>
      </c>
      <c r="G921" s="3278">
        <v>2420000</v>
      </c>
      <c r="H921" s="3299">
        <v>0</v>
      </c>
      <c r="I921" s="3278">
        <v>0</v>
      </c>
    </row>
    <row r="922" ht="12.75" customHeight="1" spans="2:9">
      <c r="B922" s="3274">
        <v>910</v>
      </c>
      <c r="D922" s="3297" t="s">
        <v>4138</v>
      </c>
      <c r="E922" s="3298" t="s">
        <v>4139</v>
      </c>
      <c r="F922" s="3298" t="s">
        <v>2299</v>
      </c>
      <c r="G922" s="3278">
        <v>106700</v>
      </c>
      <c r="H922" s="3299">
        <v>0</v>
      </c>
      <c r="I922" s="3278">
        <v>0</v>
      </c>
    </row>
    <row r="923" ht="12.75" customHeight="1" spans="2:9">
      <c r="B923" s="3274">
        <v>911</v>
      </c>
      <c r="D923" s="3297" t="s">
        <v>4140</v>
      </c>
      <c r="E923" s="3298" t="s">
        <v>4141</v>
      </c>
      <c r="F923" s="3298" t="s">
        <v>2299</v>
      </c>
      <c r="G923" s="3278">
        <v>74800</v>
      </c>
      <c r="H923" s="3299">
        <v>0</v>
      </c>
      <c r="I923" s="3278">
        <v>0</v>
      </c>
    </row>
    <row r="924" ht="12.75" customHeight="1" spans="2:9">
      <c r="B924" s="3274">
        <v>912</v>
      </c>
      <c r="D924" s="3297" t="s">
        <v>4142</v>
      </c>
      <c r="E924" s="3298" t="s">
        <v>4143</v>
      </c>
      <c r="F924" s="3298" t="s">
        <v>2299</v>
      </c>
      <c r="G924" s="3278">
        <v>125290</v>
      </c>
      <c r="H924" s="3299">
        <v>36</v>
      </c>
      <c r="I924" s="3278">
        <v>4510440</v>
      </c>
    </row>
    <row r="925" ht="12.75" customHeight="1" spans="2:9">
      <c r="B925" s="3274">
        <v>913</v>
      </c>
      <c r="D925" s="3297" t="s">
        <v>4144</v>
      </c>
      <c r="E925" s="3298" t="s">
        <v>4145</v>
      </c>
      <c r="F925" s="3298" t="s">
        <v>2299</v>
      </c>
      <c r="G925" s="3278">
        <v>80410</v>
      </c>
      <c r="H925" s="3299">
        <v>48</v>
      </c>
      <c r="I925" s="3278">
        <v>3859680</v>
      </c>
    </row>
    <row r="926" ht="12.75" customHeight="1" spans="2:9">
      <c r="B926" s="3274">
        <v>914</v>
      </c>
      <c r="D926" s="3297" t="s">
        <v>4146</v>
      </c>
      <c r="E926" s="3298" t="s">
        <v>4147</v>
      </c>
      <c r="F926" s="3298" t="s">
        <v>2299</v>
      </c>
      <c r="G926" s="3278">
        <v>219450</v>
      </c>
      <c r="H926" s="3299">
        <v>0</v>
      </c>
      <c r="I926" s="3278">
        <v>0</v>
      </c>
    </row>
    <row r="927" ht="12.75" customHeight="1" spans="2:9">
      <c r="B927" s="3274">
        <v>915</v>
      </c>
      <c r="D927" s="3297" t="s">
        <v>4148</v>
      </c>
      <c r="E927" s="3298" t="s">
        <v>4149</v>
      </c>
      <c r="F927" s="3298" t="s">
        <v>2299</v>
      </c>
      <c r="G927" s="3278">
        <v>78666.225</v>
      </c>
      <c r="H927" s="3299">
        <v>12</v>
      </c>
      <c r="I927" s="3278">
        <v>943994.7</v>
      </c>
    </row>
    <row r="928" ht="12.75" customHeight="1" spans="2:9">
      <c r="B928" s="3274">
        <v>916</v>
      </c>
      <c r="D928" s="3297" t="s">
        <v>4150</v>
      </c>
      <c r="E928" s="3298" t="s">
        <v>4151</v>
      </c>
      <c r="F928" s="3298" t="s">
        <v>2299</v>
      </c>
      <c r="G928" s="3278">
        <v>0</v>
      </c>
      <c r="H928" s="3299">
        <v>0</v>
      </c>
      <c r="I928" s="3278">
        <v>0</v>
      </c>
    </row>
    <row r="929" ht="12.75" customHeight="1" spans="2:9">
      <c r="B929" s="3274">
        <v>917</v>
      </c>
      <c r="D929" s="3297" t="s">
        <v>4152</v>
      </c>
      <c r="E929" s="3298" t="s">
        <v>4153</v>
      </c>
      <c r="F929" s="3298" t="s">
        <v>2299</v>
      </c>
      <c r="G929" s="3278">
        <v>84150</v>
      </c>
      <c r="H929" s="3299">
        <v>0</v>
      </c>
      <c r="I929" s="3278">
        <v>0</v>
      </c>
    </row>
    <row r="930" ht="12.75" customHeight="1" spans="2:9">
      <c r="B930" s="3274">
        <v>918</v>
      </c>
      <c r="D930" s="3297" t="s">
        <v>4154</v>
      </c>
      <c r="E930" s="3298" t="s">
        <v>4155</v>
      </c>
      <c r="F930" s="3298" t="s">
        <v>2299</v>
      </c>
      <c r="G930" s="3278">
        <v>0</v>
      </c>
      <c r="H930" s="3299">
        <v>0</v>
      </c>
      <c r="I930" s="3278">
        <v>0</v>
      </c>
    </row>
    <row r="931" ht="12.75" customHeight="1" spans="2:9">
      <c r="B931" s="3274">
        <v>919</v>
      </c>
      <c r="D931" s="3297" t="s">
        <v>4156</v>
      </c>
      <c r="E931" s="3298" t="s">
        <v>4157</v>
      </c>
      <c r="F931" s="3298" t="s">
        <v>2367</v>
      </c>
      <c r="G931" s="3278">
        <v>297000</v>
      </c>
      <c r="H931" s="3299">
        <v>0</v>
      </c>
      <c r="I931" s="3278">
        <v>0</v>
      </c>
    </row>
    <row r="932" ht="12.75" customHeight="1" spans="2:9">
      <c r="B932" s="3274">
        <v>920</v>
      </c>
      <c r="D932" s="3297" t="s">
        <v>4158</v>
      </c>
      <c r="E932" s="3298" t="s">
        <v>4159</v>
      </c>
      <c r="F932" s="3298" t="s">
        <v>2299</v>
      </c>
      <c r="G932" s="3278">
        <v>1870</v>
      </c>
      <c r="H932" s="3299">
        <v>1300</v>
      </c>
      <c r="I932" s="3278">
        <v>2431000</v>
      </c>
    </row>
    <row r="933" ht="12.75" customHeight="1" spans="2:9">
      <c r="B933" s="3274">
        <v>921</v>
      </c>
      <c r="D933" s="3297" t="s">
        <v>4160</v>
      </c>
      <c r="E933" s="3298" t="s">
        <v>4161</v>
      </c>
      <c r="F933" s="3298" t="s">
        <v>2299</v>
      </c>
      <c r="G933" s="3278">
        <v>0</v>
      </c>
      <c r="H933" s="3299">
        <v>0</v>
      </c>
      <c r="I933" s="3278">
        <v>0</v>
      </c>
    </row>
    <row r="934" ht="12.75" customHeight="1" spans="2:9">
      <c r="B934" s="3274">
        <v>922</v>
      </c>
      <c r="D934" s="3297" t="s">
        <v>4162</v>
      </c>
      <c r="E934" s="3298" t="s">
        <v>4163</v>
      </c>
      <c r="F934" s="3298" t="s">
        <v>2367</v>
      </c>
      <c r="G934" s="3278">
        <v>731500</v>
      </c>
      <c r="H934" s="3299">
        <v>0</v>
      </c>
      <c r="I934" s="3278">
        <v>0</v>
      </c>
    </row>
    <row r="935" ht="12.75" customHeight="1" spans="2:9">
      <c r="B935" s="3274">
        <v>923</v>
      </c>
      <c r="D935" s="3297" t="s">
        <v>4164</v>
      </c>
      <c r="E935" s="3298" t="s">
        <v>4165</v>
      </c>
      <c r="F935" s="3298" t="s">
        <v>2367</v>
      </c>
      <c r="G935" s="3278">
        <v>825000</v>
      </c>
      <c r="H935" s="3299">
        <v>0</v>
      </c>
      <c r="I935" s="3278">
        <v>0</v>
      </c>
    </row>
    <row r="936" ht="12.75" customHeight="1" spans="2:9">
      <c r="B936" s="3274">
        <v>924</v>
      </c>
      <c r="D936" s="3297" t="s">
        <v>4166</v>
      </c>
      <c r="E936" s="3298" t="s">
        <v>4167</v>
      </c>
      <c r="F936" s="3298" t="s">
        <v>2299</v>
      </c>
      <c r="G936" s="3278">
        <v>950</v>
      </c>
      <c r="H936" s="3299">
        <v>0</v>
      </c>
      <c r="I936" s="3278">
        <v>0</v>
      </c>
    </row>
    <row r="937" ht="12.75" customHeight="1" spans="2:9">
      <c r="B937" s="3274">
        <v>925</v>
      </c>
      <c r="D937" s="3297" t="s">
        <v>4168</v>
      </c>
      <c r="E937" s="3298" t="s">
        <v>4169</v>
      </c>
      <c r="F937" s="3298" t="s">
        <v>2367</v>
      </c>
      <c r="G937" s="3278">
        <v>0</v>
      </c>
      <c r="H937" s="3299">
        <v>0</v>
      </c>
      <c r="I937" s="3278">
        <v>0</v>
      </c>
    </row>
    <row r="938" ht="12.75" customHeight="1" spans="2:9">
      <c r="B938" s="3274">
        <v>926</v>
      </c>
      <c r="D938" s="3297" t="s">
        <v>4170</v>
      </c>
      <c r="E938" s="3298" t="s">
        <v>4171</v>
      </c>
      <c r="F938" s="3298" t="s">
        <v>2299</v>
      </c>
      <c r="G938" s="3278">
        <v>296450</v>
      </c>
      <c r="H938" s="3299">
        <v>0</v>
      </c>
      <c r="I938" s="3278">
        <v>0</v>
      </c>
    </row>
    <row r="939" ht="12.75" customHeight="1" spans="2:9">
      <c r="B939" s="3274">
        <v>927</v>
      </c>
      <c r="D939" s="3297" t="s">
        <v>4172</v>
      </c>
      <c r="E939" s="3298" t="s">
        <v>4173</v>
      </c>
      <c r="F939" s="3298" t="s">
        <v>2299</v>
      </c>
      <c r="G939" s="3278">
        <v>72600</v>
      </c>
      <c r="H939" s="3299">
        <v>0</v>
      </c>
      <c r="I939" s="3278">
        <v>0</v>
      </c>
    </row>
    <row r="940" ht="12.75" customHeight="1" spans="2:9">
      <c r="B940" s="3274">
        <v>928</v>
      </c>
      <c r="D940" s="3297" t="s">
        <v>4174</v>
      </c>
      <c r="E940" s="3298" t="s">
        <v>4175</v>
      </c>
      <c r="F940" s="3298" t="s">
        <v>2299</v>
      </c>
      <c r="G940" s="3278">
        <v>0</v>
      </c>
      <c r="H940" s="3299">
        <v>0</v>
      </c>
      <c r="I940" s="3278">
        <v>0</v>
      </c>
    </row>
    <row r="941" ht="12.75" customHeight="1" spans="2:9">
      <c r="B941" s="3274">
        <v>929</v>
      </c>
      <c r="D941" s="3297" t="s">
        <v>4176</v>
      </c>
      <c r="E941" s="3298" t="s">
        <v>4177</v>
      </c>
      <c r="F941" s="3298" t="s">
        <v>2299</v>
      </c>
      <c r="G941" s="3278">
        <v>56567.5</v>
      </c>
      <c r="H941" s="3299">
        <v>36</v>
      </c>
      <c r="I941" s="3278">
        <v>2036430</v>
      </c>
    </row>
    <row r="942" ht="12.75" customHeight="1" spans="2:9">
      <c r="B942" s="3274">
        <v>930</v>
      </c>
      <c r="D942" s="3297" t="s">
        <v>4178</v>
      </c>
      <c r="E942" s="3298" t="s">
        <v>4179</v>
      </c>
      <c r="F942" s="3298" t="s">
        <v>2299</v>
      </c>
      <c r="G942" s="3278">
        <v>0</v>
      </c>
      <c r="H942" s="3299">
        <v>0</v>
      </c>
      <c r="I942" s="3278">
        <v>0</v>
      </c>
    </row>
    <row r="943" ht="12.75" customHeight="1" spans="2:9">
      <c r="B943" s="3274">
        <v>931</v>
      </c>
      <c r="D943" s="3297" t="s">
        <v>4180</v>
      </c>
      <c r="E943" s="3298" t="s">
        <v>4181</v>
      </c>
      <c r="F943" s="3298" t="s">
        <v>2299</v>
      </c>
      <c r="G943" s="3278">
        <v>62645</v>
      </c>
      <c r="H943" s="3299">
        <v>12</v>
      </c>
      <c r="I943" s="3278">
        <v>751740</v>
      </c>
    </row>
    <row r="944" ht="12.75" customHeight="1" spans="2:9">
      <c r="B944" s="3274">
        <v>932</v>
      </c>
      <c r="D944" s="3297" t="s">
        <v>4182</v>
      </c>
      <c r="E944" s="3298" t="s">
        <v>4183</v>
      </c>
      <c r="F944" s="3298" t="s">
        <v>2299</v>
      </c>
      <c r="G944" s="3278">
        <v>64515</v>
      </c>
      <c r="H944" s="3299">
        <v>36</v>
      </c>
      <c r="I944" s="3278">
        <v>2322540</v>
      </c>
    </row>
    <row r="945" ht="12.75" customHeight="1" spans="2:9">
      <c r="B945" s="3274">
        <v>933</v>
      </c>
      <c r="D945" s="3297" t="s">
        <v>4184</v>
      </c>
      <c r="E945" s="3298" t="s">
        <v>4185</v>
      </c>
      <c r="F945" s="3298" t="s">
        <v>2299</v>
      </c>
      <c r="G945" s="3278">
        <v>46778</v>
      </c>
      <c r="H945" s="3299">
        <v>0</v>
      </c>
      <c r="I945" s="3278">
        <v>0</v>
      </c>
    </row>
    <row r="946" ht="12.75" customHeight="1" spans="2:9">
      <c r="B946" s="3274">
        <v>934</v>
      </c>
      <c r="D946" s="3297" t="s">
        <v>4186</v>
      </c>
      <c r="E946" s="3298" t="s">
        <v>4187</v>
      </c>
      <c r="F946" s="3298" t="s">
        <v>2299</v>
      </c>
      <c r="G946" s="3278">
        <v>12760</v>
      </c>
      <c r="H946" s="3299">
        <v>0</v>
      </c>
      <c r="I946" s="3278">
        <v>0</v>
      </c>
    </row>
    <row r="947" ht="12.75" customHeight="1" spans="2:9">
      <c r="B947" s="3274">
        <v>935</v>
      </c>
      <c r="D947" s="3297" t="s">
        <v>4188</v>
      </c>
      <c r="E947" s="3298" t="s">
        <v>4189</v>
      </c>
      <c r="F947" s="3298" t="s">
        <v>2299</v>
      </c>
      <c r="G947" s="3278">
        <v>12760</v>
      </c>
      <c r="H947" s="3299">
        <v>0</v>
      </c>
      <c r="I947" s="3278">
        <v>0</v>
      </c>
    </row>
    <row r="948" ht="12.75" customHeight="1" spans="2:9">
      <c r="B948" s="3274">
        <v>936</v>
      </c>
      <c r="D948" s="3297" t="s">
        <v>4190</v>
      </c>
      <c r="E948" s="3298" t="s">
        <v>4191</v>
      </c>
      <c r="F948" s="3298" t="s">
        <v>2299</v>
      </c>
      <c r="G948" s="3278">
        <v>12760</v>
      </c>
      <c r="H948" s="3299">
        <v>0</v>
      </c>
      <c r="I948" s="3278">
        <v>0</v>
      </c>
    </row>
    <row r="949" ht="12.75" customHeight="1" spans="2:9">
      <c r="B949" s="3274">
        <v>937</v>
      </c>
      <c r="D949" s="3297" t="s">
        <v>4192</v>
      </c>
      <c r="E949" s="3298" t="s">
        <v>4193</v>
      </c>
      <c r="F949" s="3298" t="s">
        <v>2299</v>
      </c>
      <c r="G949" s="3278">
        <v>12760</v>
      </c>
      <c r="H949" s="3299">
        <v>0</v>
      </c>
      <c r="I949" s="3278">
        <v>0</v>
      </c>
    </row>
    <row r="950" ht="12.75" customHeight="1" spans="2:9">
      <c r="B950" s="3274">
        <v>938</v>
      </c>
      <c r="D950" s="3297" t="s">
        <v>4194</v>
      </c>
      <c r="E950" s="3298" t="s">
        <v>4195</v>
      </c>
      <c r="F950" s="3298" t="s">
        <v>2299</v>
      </c>
      <c r="G950" s="3278">
        <v>12760</v>
      </c>
      <c r="H950" s="3299">
        <v>0</v>
      </c>
      <c r="I950" s="3278">
        <v>0</v>
      </c>
    </row>
    <row r="951" ht="12.75" customHeight="1" spans="2:9">
      <c r="B951" s="3274">
        <v>939</v>
      </c>
      <c r="D951" s="3297" t="s">
        <v>4196</v>
      </c>
      <c r="E951" s="3298" t="s">
        <v>4197</v>
      </c>
      <c r="F951" s="3298" t="s">
        <v>2299</v>
      </c>
      <c r="G951" s="3278">
        <v>49500</v>
      </c>
      <c r="H951" s="3299">
        <v>0</v>
      </c>
      <c r="I951" s="3278">
        <v>0</v>
      </c>
    </row>
    <row r="952" ht="12.75" customHeight="1" spans="2:9">
      <c r="B952" s="3274">
        <v>940</v>
      </c>
      <c r="D952" s="3297" t="s">
        <v>4198</v>
      </c>
      <c r="E952" s="3298" t="s">
        <v>4199</v>
      </c>
      <c r="F952" s="3298" t="s">
        <v>2296</v>
      </c>
      <c r="G952" s="3278">
        <v>25698.7715</v>
      </c>
      <c r="H952" s="3299">
        <v>0</v>
      </c>
      <c r="I952" s="3278">
        <v>0</v>
      </c>
    </row>
    <row r="953" ht="12.75" customHeight="1" spans="2:9">
      <c r="B953" s="3274">
        <v>941</v>
      </c>
      <c r="D953" s="3297" t="s">
        <v>4200</v>
      </c>
      <c r="E953" s="3298" t="s">
        <v>4201</v>
      </c>
      <c r="F953" s="3298" t="s">
        <v>2367</v>
      </c>
      <c r="G953" s="3278">
        <v>39600</v>
      </c>
      <c r="H953" s="3299">
        <v>0</v>
      </c>
      <c r="I953" s="3278">
        <v>0</v>
      </c>
    </row>
    <row r="954" ht="12.75" customHeight="1" spans="2:9">
      <c r="B954" s="3274">
        <v>942</v>
      </c>
      <c r="D954" s="3297" t="s">
        <v>4202</v>
      </c>
      <c r="E954" s="3298" t="s">
        <v>4203</v>
      </c>
      <c r="F954" s="3298" t="s">
        <v>2299</v>
      </c>
      <c r="G954" s="3278">
        <v>6600</v>
      </c>
      <c r="H954" s="3299">
        <v>100</v>
      </c>
      <c r="I954" s="3278">
        <v>660000</v>
      </c>
    </row>
    <row r="955" ht="12.75" customHeight="1" spans="2:9">
      <c r="B955" s="3274">
        <v>943</v>
      </c>
      <c r="D955" s="3297" t="s">
        <v>4204</v>
      </c>
      <c r="E955" s="3298" t="s">
        <v>4205</v>
      </c>
      <c r="F955" s="3298" t="s">
        <v>2418</v>
      </c>
      <c r="G955" s="3278">
        <v>121000</v>
      </c>
      <c r="H955" s="3299">
        <v>0</v>
      </c>
      <c r="I955" s="3278">
        <v>0</v>
      </c>
    </row>
    <row r="956" ht="12.75" customHeight="1" spans="2:9">
      <c r="B956" s="3274">
        <v>944</v>
      </c>
      <c r="D956" s="3297" t="s">
        <v>4206</v>
      </c>
      <c r="E956" s="3298" t="s">
        <v>4207</v>
      </c>
      <c r="F956" s="3298" t="s">
        <v>2299</v>
      </c>
      <c r="G956" s="3278">
        <v>228800</v>
      </c>
      <c r="H956" s="3299">
        <v>0</v>
      </c>
      <c r="I956" s="3278">
        <v>0</v>
      </c>
    </row>
    <row r="957" ht="12.75" customHeight="1" spans="2:9">
      <c r="B957" s="3274">
        <v>945</v>
      </c>
      <c r="D957" s="3297" t="s">
        <v>4208</v>
      </c>
      <c r="E957" s="3298" t="s">
        <v>4209</v>
      </c>
      <c r="F957" s="3298" t="s">
        <v>2299</v>
      </c>
      <c r="G957" s="3278">
        <v>84700</v>
      </c>
      <c r="H957" s="3299">
        <v>0</v>
      </c>
      <c r="I957" s="3278">
        <v>0</v>
      </c>
    </row>
    <row r="958" ht="12.75" customHeight="1" spans="2:9">
      <c r="B958" s="3274">
        <v>946</v>
      </c>
      <c r="D958" s="3297" t="s">
        <v>4210</v>
      </c>
      <c r="E958" s="3298" t="s">
        <v>4211</v>
      </c>
      <c r="F958" s="3298" t="s">
        <v>2299</v>
      </c>
      <c r="G958" s="3278">
        <v>74800</v>
      </c>
      <c r="H958" s="3299">
        <v>36</v>
      </c>
      <c r="I958" s="3278">
        <v>2692800</v>
      </c>
    </row>
    <row r="959" ht="12.75" customHeight="1" spans="2:9">
      <c r="B959" s="3274">
        <v>947</v>
      </c>
      <c r="D959" s="3297" t="s">
        <v>4212</v>
      </c>
      <c r="E959" s="3298" t="s">
        <v>4213</v>
      </c>
      <c r="F959" s="3298" t="s">
        <v>2299</v>
      </c>
      <c r="G959" s="3278">
        <v>92400</v>
      </c>
      <c r="H959" s="3299">
        <v>0</v>
      </c>
      <c r="I959" s="3278">
        <v>0</v>
      </c>
    </row>
    <row r="960" ht="12.75" customHeight="1" spans="2:9">
      <c r="B960" s="3274">
        <v>948</v>
      </c>
      <c r="D960" s="3297" t="s">
        <v>4214</v>
      </c>
      <c r="E960" s="3298" t="s">
        <v>4215</v>
      </c>
      <c r="F960" s="3298" t="s">
        <v>2293</v>
      </c>
      <c r="G960" s="3278">
        <v>6600</v>
      </c>
      <c r="H960" s="3299">
        <v>0</v>
      </c>
      <c r="I960" s="3278">
        <v>0</v>
      </c>
    </row>
    <row r="961" ht="12.75" customHeight="1" spans="2:9">
      <c r="B961" s="3274">
        <v>949</v>
      </c>
      <c r="D961" s="3297" t="s">
        <v>4216</v>
      </c>
      <c r="E961" s="3298" t="s">
        <v>4217</v>
      </c>
      <c r="F961" s="3298" t="s">
        <v>2299</v>
      </c>
      <c r="G961" s="3278">
        <v>0</v>
      </c>
      <c r="H961" s="3299">
        <v>0</v>
      </c>
      <c r="I961" s="3278">
        <v>0</v>
      </c>
    </row>
    <row r="962" ht="12.75" customHeight="1" spans="2:9">
      <c r="B962" s="3274">
        <v>950</v>
      </c>
      <c r="D962" s="3297" t="s">
        <v>4218</v>
      </c>
      <c r="E962" s="3298" t="s">
        <v>4219</v>
      </c>
      <c r="F962" s="3298" t="s">
        <v>2367</v>
      </c>
      <c r="G962" s="3278">
        <v>924000</v>
      </c>
      <c r="H962" s="3299">
        <v>0</v>
      </c>
      <c r="I962" s="3278">
        <v>0</v>
      </c>
    </row>
    <row r="963" ht="12.75" customHeight="1" spans="2:9">
      <c r="B963" s="3274">
        <v>951</v>
      </c>
      <c r="D963" s="3297" t="s">
        <v>4220</v>
      </c>
      <c r="E963" s="3298" t="s">
        <v>4221</v>
      </c>
      <c r="F963" s="3298" t="s">
        <v>2299</v>
      </c>
      <c r="G963" s="3278">
        <v>7590</v>
      </c>
      <c r="H963" s="3299">
        <v>0</v>
      </c>
      <c r="I963" s="3278">
        <v>0</v>
      </c>
    </row>
    <row r="964" ht="12.75" customHeight="1" spans="2:9">
      <c r="B964" s="3274">
        <v>952</v>
      </c>
      <c r="D964" s="3297" t="s">
        <v>4222</v>
      </c>
      <c r="E964" s="3298" t="s">
        <v>4223</v>
      </c>
      <c r="F964" s="3298" t="s">
        <v>2367</v>
      </c>
      <c r="G964" s="3278">
        <v>5280000</v>
      </c>
      <c r="H964" s="3299">
        <v>0</v>
      </c>
      <c r="I964" s="3278">
        <v>0</v>
      </c>
    </row>
    <row r="965" ht="12.75" customHeight="1" spans="2:9">
      <c r="B965" s="3274">
        <v>953</v>
      </c>
      <c r="D965" s="3297" t="s">
        <v>4224</v>
      </c>
      <c r="E965" s="3298" t="s">
        <v>4225</v>
      </c>
      <c r="F965" s="3298" t="s">
        <v>3360</v>
      </c>
      <c r="G965" s="3278">
        <v>0</v>
      </c>
      <c r="H965" s="3299">
        <v>0</v>
      </c>
      <c r="I965" s="3278">
        <v>0</v>
      </c>
    </row>
    <row r="966" ht="12.75" customHeight="1" spans="2:9">
      <c r="B966" s="3274">
        <v>954</v>
      </c>
      <c r="D966" s="3297" t="s">
        <v>4226</v>
      </c>
      <c r="E966" s="3298" t="s">
        <v>4227</v>
      </c>
      <c r="F966" s="3298" t="s">
        <v>2299</v>
      </c>
      <c r="G966" s="3278">
        <v>21560</v>
      </c>
      <c r="H966" s="3299">
        <v>350</v>
      </c>
      <c r="I966" s="3278">
        <v>7546000</v>
      </c>
    </row>
    <row r="967" ht="12.75" customHeight="1" spans="2:9">
      <c r="B967" s="3274">
        <v>955</v>
      </c>
      <c r="D967" s="3297" t="s">
        <v>4228</v>
      </c>
      <c r="E967" s="3298" t="s">
        <v>4229</v>
      </c>
      <c r="F967" s="3298" t="s">
        <v>2299</v>
      </c>
      <c r="G967" s="3278">
        <v>21560</v>
      </c>
      <c r="H967" s="3299">
        <v>250</v>
      </c>
      <c r="I967" s="3278">
        <v>5390000</v>
      </c>
    </row>
    <row r="968" ht="12.75" customHeight="1" spans="2:9">
      <c r="B968" s="3274">
        <v>956</v>
      </c>
      <c r="D968" s="3297" t="s">
        <v>4230</v>
      </c>
      <c r="E968" s="3298" t="s">
        <v>4231</v>
      </c>
      <c r="F968" s="3298" t="s">
        <v>2299</v>
      </c>
      <c r="G968" s="3278">
        <v>23023</v>
      </c>
      <c r="H968" s="3299">
        <v>0</v>
      </c>
      <c r="I968" s="3278">
        <v>0</v>
      </c>
    </row>
    <row r="969" ht="12.75" customHeight="1" spans="2:9">
      <c r="B969" s="3274">
        <v>957</v>
      </c>
      <c r="D969" s="3297" t="s">
        <v>4232</v>
      </c>
      <c r="E969" s="3298" t="s">
        <v>4233</v>
      </c>
      <c r="F969" s="3298" t="s">
        <v>2299</v>
      </c>
      <c r="G969" s="3278">
        <v>21560</v>
      </c>
      <c r="H969" s="3299">
        <v>50</v>
      </c>
      <c r="I969" s="3278">
        <v>1078000</v>
      </c>
    </row>
    <row r="970" ht="12.75" customHeight="1" spans="2:9">
      <c r="B970" s="3274">
        <v>958</v>
      </c>
      <c r="D970" s="3297" t="s">
        <v>4234</v>
      </c>
      <c r="E970" s="3298" t="s">
        <v>4235</v>
      </c>
      <c r="F970" s="3298" t="s">
        <v>2299</v>
      </c>
      <c r="G970" s="3278">
        <v>21560</v>
      </c>
      <c r="H970" s="3299">
        <v>58</v>
      </c>
      <c r="I970" s="3278">
        <v>1250480</v>
      </c>
    </row>
    <row r="971" ht="12.75" customHeight="1" spans="2:9">
      <c r="B971" s="3274">
        <v>959</v>
      </c>
      <c r="D971" s="3297" t="s">
        <v>4236</v>
      </c>
      <c r="E971" s="3298" t="s">
        <v>4237</v>
      </c>
      <c r="F971" s="3298" t="s">
        <v>2299</v>
      </c>
      <c r="G971" s="3278">
        <v>8393</v>
      </c>
      <c r="H971" s="3299">
        <v>0</v>
      </c>
      <c r="I971" s="3278">
        <v>0</v>
      </c>
    </row>
    <row r="972" ht="12.75" customHeight="1" spans="2:9">
      <c r="B972" s="3274">
        <v>960</v>
      </c>
      <c r="D972" s="3297" t="s">
        <v>4238</v>
      </c>
      <c r="E972" s="3298" t="s">
        <v>4239</v>
      </c>
      <c r="F972" s="3298" t="s">
        <v>2299</v>
      </c>
      <c r="G972" s="3278">
        <v>8393</v>
      </c>
      <c r="H972" s="3299">
        <v>100</v>
      </c>
      <c r="I972" s="3278">
        <v>839300</v>
      </c>
    </row>
    <row r="973" ht="12.75" customHeight="1" spans="2:9">
      <c r="B973" s="3274">
        <v>961</v>
      </c>
      <c r="D973" s="3297" t="s">
        <v>4240</v>
      </c>
      <c r="E973" s="3298" t="s">
        <v>4241</v>
      </c>
      <c r="F973" s="3298" t="s">
        <v>2299</v>
      </c>
      <c r="G973" s="3278">
        <v>0</v>
      </c>
      <c r="H973" s="3299">
        <v>0</v>
      </c>
      <c r="I973" s="3278">
        <v>0</v>
      </c>
    </row>
    <row r="974" ht="12.75" customHeight="1" spans="2:9">
      <c r="B974" s="3274">
        <v>962</v>
      </c>
      <c r="D974" s="3297" t="s">
        <v>4242</v>
      </c>
      <c r="E974" s="3298" t="s">
        <v>4243</v>
      </c>
      <c r="F974" s="3298" t="s">
        <v>2299</v>
      </c>
      <c r="G974" s="3278">
        <v>0</v>
      </c>
      <c r="H974" s="3299">
        <v>0</v>
      </c>
      <c r="I974" s="3278">
        <v>0</v>
      </c>
    </row>
    <row r="975" ht="12.75" customHeight="1" spans="2:9">
      <c r="B975" s="3274">
        <v>963</v>
      </c>
      <c r="D975" s="3297" t="s">
        <v>4244</v>
      </c>
      <c r="E975" s="3298" t="s">
        <v>4245</v>
      </c>
      <c r="F975" s="3298" t="s">
        <v>2299</v>
      </c>
      <c r="G975" s="3278">
        <v>0</v>
      </c>
      <c r="H975" s="3299">
        <v>0</v>
      </c>
      <c r="I975" s="3278">
        <v>0</v>
      </c>
    </row>
    <row r="976" ht="12.75" customHeight="1" spans="2:9">
      <c r="B976" s="3274">
        <v>964</v>
      </c>
      <c r="D976" s="3297" t="s">
        <v>4246</v>
      </c>
      <c r="E976" s="3298" t="s">
        <v>4247</v>
      </c>
      <c r="F976" s="3298" t="s">
        <v>2299</v>
      </c>
      <c r="G976" s="3278">
        <v>8393</v>
      </c>
      <c r="H976" s="3299">
        <v>100</v>
      </c>
      <c r="I976" s="3278">
        <v>839300</v>
      </c>
    </row>
    <row r="977" ht="12.75" customHeight="1" spans="2:9">
      <c r="B977" s="3274">
        <v>965</v>
      </c>
      <c r="D977" s="3297" t="s">
        <v>4248</v>
      </c>
      <c r="E977" s="3298" t="s">
        <v>4249</v>
      </c>
      <c r="F977" s="3298" t="s">
        <v>2293</v>
      </c>
      <c r="G977" s="3278">
        <v>3988600</v>
      </c>
      <c r="H977" s="3299">
        <v>1</v>
      </c>
      <c r="I977" s="3278">
        <v>3988600</v>
      </c>
    </row>
    <row r="978" ht="12.75" customHeight="1" spans="2:9">
      <c r="B978" s="3274">
        <v>966</v>
      </c>
      <c r="D978" s="3297" t="s">
        <v>4250</v>
      </c>
      <c r="E978" s="3298" t="s">
        <v>4251</v>
      </c>
      <c r="F978" s="3298" t="s">
        <v>2299</v>
      </c>
      <c r="G978" s="3278">
        <v>80877.5</v>
      </c>
      <c r="H978" s="3299">
        <v>12</v>
      </c>
      <c r="I978" s="3278">
        <v>970530</v>
      </c>
    </row>
    <row r="979" ht="12.75" customHeight="1" spans="2:9">
      <c r="B979" s="3274">
        <v>967</v>
      </c>
      <c r="D979" s="3297" t="s">
        <v>4252</v>
      </c>
      <c r="E979" s="3298" t="s">
        <v>4253</v>
      </c>
      <c r="F979" s="3298" t="s">
        <v>2299</v>
      </c>
      <c r="G979" s="3278">
        <v>88000</v>
      </c>
      <c r="H979" s="3299">
        <v>12</v>
      </c>
      <c r="I979" s="3278">
        <v>1056000</v>
      </c>
    </row>
    <row r="980" ht="12.75" customHeight="1" spans="2:9">
      <c r="B980" s="3274">
        <v>968</v>
      </c>
      <c r="D980" s="3297" t="s">
        <v>4254</v>
      </c>
      <c r="E980" s="3298" t="s">
        <v>4255</v>
      </c>
      <c r="F980" s="3298" t="s">
        <v>2299</v>
      </c>
      <c r="G980" s="3278">
        <v>90200</v>
      </c>
      <c r="H980" s="3299">
        <v>0</v>
      </c>
      <c r="I980" s="3278">
        <v>0</v>
      </c>
    </row>
    <row r="981" ht="12.75" customHeight="1" spans="2:9">
      <c r="B981" s="3274">
        <v>969</v>
      </c>
      <c r="D981" s="3297" t="s">
        <v>4256</v>
      </c>
      <c r="E981" s="3298" t="s">
        <v>4257</v>
      </c>
      <c r="F981" s="3298" t="s">
        <v>2299</v>
      </c>
      <c r="G981" s="3278">
        <v>82500</v>
      </c>
      <c r="H981" s="3299">
        <v>24</v>
      </c>
      <c r="I981" s="3278">
        <v>1980000</v>
      </c>
    </row>
    <row r="982" ht="12.75" customHeight="1" spans="2:9">
      <c r="B982" s="3274">
        <v>970</v>
      </c>
      <c r="D982" s="3297" t="s">
        <v>4258</v>
      </c>
      <c r="E982" s="3298" t="s">
        <v>4259</v>
      </c>
      <c r="F982" s="3298" t="s">
        <v>2299</v>
      </c>
      <c r="G982" s="3278">
        <v>80850</v>
      </c>
      <c r="H982" s="3299">
        <v>36</v>
      </c>
      <c r="I982" s="3278">
        <v>2910600</v>
      </c>
    </row>
    <row r="983" ht="12.75" customHeight="1" spans="2:9">
      <c r="B983" s="3274">
        <v>971</v>
      </c>
      <c r="D983" s="3297" t="s">
        <v>4260</v>
      </c>
      <c r="E983" s="3298" t="s">
        <v>4261</v>
      </c>
      <c r="F983" s="3298" t="s">
        <v>2299</v>
      </c>
      <c r="G983" s="3278">
        <v>440000</v>
      </c>
      <c r="H983" s="3299">
        <v>0</v>
      </c>
      <c r="I983" s="3278">
        <v>0</v>
      </c>
    </row>
    <row r="984" ht="12.75" customHeight="1" spans="2:9">
      <c r="B984" s="3274">
        <v>972</v>
      </c>
      <c r="D984" s="3297" t="s">
        <v>4262</v>
      </c>
      <c r="E984" s="3298" t="s">
        <v>4263</v>
      </c>
      <c r="F984" s="3298" t="s">
        <v>2367</v>
      </c>
      <c r="G984" s="3278">
        <v>1045440</v>
      </c>
      <c r="H984" s="3299">
        <v>0</v>
      </c>
      <c r="I984" s="3278">
        <v>0</v>
      </c>
    </row>
    <row r="985" ht="12.75" customHeight="1" spans="2:9">
      <c r="B985" s="3274">
        <v>973</v>
      </c>
      <c r="D985" s="3297" t="s">
        <v>4264</v>
      </c>
      <c r="E985" s="3298" t="s">
        <v>4265</v>
      </c>
      <c r="F985" s="3298" t="s">
        <v>2367</v>
      </c>
      <c r="G985" s="3278">
        <v>1430000</v>
      </c>
      <c r="H985" s="3299">
        <v>0</v>
      </c>
      <c r="I985" s="3278">
        <v>0</v>
      </c>
    </row>
    <row r="986" ht="12.75" customHeight="1" spans="2:9">
      <c r="B986" s="3274">
        <v>974</v>
      </c>
      <c r="D986" s="3297" t="s">
        <v>4266</v>
      </c>
      <c r="E986" s="3298" t="s">
        <v>4267</v>
      </c>
      <c r="F986" s="3298" t="s">
        <v>2367</v>
      </c>
      <c r="G986" s="3278">
        <v>831270</v>
      </c>
      <c r="H986" s="3299">
        <v>0</v>
      </c>
      <c r="I986" s="3278">
        <v>0</v>
      </c>
    </row>
    <row r="987" ht="12.75" customHeight="1" spans="2:9">
      <c r="B987" s="3274">
        <v>975</v>
      </c>
      <c r="D987" s="3297" t="s">
        <v>4268</v>
      </c>
      <c r="E987" s="3298" t="s">
        <v>4269</v>
      </c>
      <c r="F987" s="3298" t="s">
        <v>2367</v>
      </c>
      <c r="G987" s="3278">
        <v>1540000</v>
      </c>
      <c r="H987" s="3299">
        <v>1</v>
      </c>
      <c r="I987" s="3278">
        <v>1540000</v>
      </c>
    </row>
    <row r="988" ht="12.75" customHeight="1" spans="2:9">
      <c r="B988" s="3274">
        <v>976</v>
      </c>
      <c r="D988" s="3297" t="s">
        <v>4270</v>
      </c>
      <c r="E988" s="3298" t="s">
        <v>4271</v>
      </c>
      <c r="F988" s="3298" t="s">
        <v>2293</v>
      </c>
      <c r="G988" s="3278">
        <v>1650</v>
      </c>
      <c r="H988" s="3299">
        <v>500</v>
      </c>
      <c r="I988" s="3278">
        <v>825000</v>
      </c>
    </row>
    <row r="989" ht="12.75" customHeight="1" spans="2:9">
      <c r="B989" s="3274">
        <v>977</v>
      </c>
      <c r="D989" s="3297" t="s">
        <v>4272</v>
      </c>
      <c r="E989" s="3298" t="s">
        <v>4273</v>
      </c>
      <c r="F989" s="3298" t="s">
        <v>4274</v>
      </c>
      <c r="G989" s="3278">
        <v>0</v>
      </c>
      <c r="H989" s="3299">
        <v>0</v>
      </c>
      <c r="I989" s="3278">
        <v>0</v>
      </c>
    </row>
    <row r="990" ht="12.75" customHeight="1" spans="2:9">
      <c r="B990" s="3274">
        <v>978</v>
      </c>
      <c r="D990" s="3297" t="s">
        <v>4275</v>
      </c>
      <c r="E990" s="3298" t="s">
        <v>4276</v>
      </c>
      <c r="F990" s="3298" t="s">
        <v>2299</v>
      </c>
      <c r="G990" s="3278">
        <v>17600</v>
      </c>
      <c r="H990" s="3299">
        <v>0</v>
      </c>
      <c r="I990" s="3278">
        <v>0</v>
      </c>
    </row>
    <row r="991" ht="12.75" customHeight="1" spans="2:9">
      <c r="B991" s="3274">
        <v>979</v>
      </c>
      <c r="D991" s="3297" t="s">
        <v>4277</v>
      </c>
      <c r="E991" s="3298" t="s">
        <v>4278</v>
      </c>
      <c r="F991" s="3298" t="s">
        <v>2299</v>
      </c>
      <c r="G991" s="3278">
        <v>17600</v>
      </c>
      <c r="H991" s="3299">
        <v>0</v>
      </c>
      <c r="I991" s="3278">
        <v>0</v>
      </c>
    </row>
    <row r="992" ht="12.75" customHeight="1" spans="2:9">
      <c r="B992" s="3274">
        <v>980</v>
      </c>
      <c r="D992" s="3297" t="s">
        <v>4279</v>
      </c>
      <c r="E992" s="3298" t="s">
        <v>4280</v>
      </c>
      <c r="F992" s="3298" t="s">
        <v>2299</v>
      </c>
      <c r="G992" s="3278">
        <v>15950</v>
      </c>
      <c r="H992" s="3299">
        <v>50</v>
      </c>
      <c r="I992" s="3278">
        <v>797500</v>
      </c>
    </row>
    <row r="993" ht="12.75" customHeight="1" spans="2:9">
      <c r="B993" s="3274">
        <v>981</v>
      </c>
      <c r="D993" s="3297" t="s">
        <v>4281</v>
      </c>
      <c r="E993" s="3298" t="s">
        <v>4282</v>
      </c>
      <c r="F993" s="3298" t="s">
        <v>2299</v>
      </c>
      <c r="G993" s="3278">
        <v>12760</v>
      </c>
      <c r="H993" s="3299">
        <v>0</v>
      </c>
      <c r="I993" s="3278">
        <v>0</v>
      </c>
    </row>
    <row r="994" ht="12.75" customHeight="1" spans="2:9">
      <c r="B994" s="3274">
        <v>982</v>
      </c>
      <c r="D994" s="3297" t="s">
        <v>4283</v>
      </c>
      <c r="E994" s="3298" t="s">
        <v>4284</v>
      </c>
      <c r="F994" s="3298" t="s">
        <v>2299</v>
      </c>
      <c r="G994" s="3278">
        <v>12760</v>
      </c>
      <c r="H994" s="3299">
        <v>0</v>
      </c>
      <c r="I994" s="3278">
        <v>0</v>
      </c>
    </row>
    <row r="995" ht="12.75" customHeight="1" spans="2:9">
      <c r="B995" s="3274">
        <v>983</v>
      </c>
      <c r="D995" s="3297" t="s">
        <v>4285</v>
      </c>
      <c r="E995" s="3298" t="s">
        <v>4286</v>
      </c>
      <c r="F995" s="3298" t="s">
        <v>2299</v>
      </c>
      <c r="G995" s="3278">
        <v>12760</v>
      </c>
      <c r="H995" s="3299">
        <v>0</v>
      </c>
      <c r="I995" s="3278">
        <v>0</v>
      </c>
    </row>
    <row r="996" ht="12.75" customHeight="1" spans="2:9">
      <c r="B996" s="3274">
        <v>984</v>
      </c>
      <c r="D996" s="3297" t="s">
        <v>4287</v>
      </c>
      <c r="E996" s="3298" t="s">
        <v>4288</v>
      </c>
      <c r="F996" s="3298" t="s">
        <v>2299</v>
      </c>
      <c r="G996" s="3278">
        <v>15000</v>
      </c>
      <c r="H996" s="3299">
        <v>0</v>
      </c>
      <c r="I996" s="3278">
        <v>0</v>
      </c>
    </row>
    <row r="997" ht="12.75" customHeight="1" spans="2:9">
      <c r="B997" s="3274">
        <v>985</v>
      </c>
      <c r="D997" s="3297" t="s">
        <v>4289</v>
      </c>
      <c r="E997" s="3298" t="s">
        <v>4290</v>
      </c>
      <c r="F997" s="3298" t="s">
        <v>2299</v>
      </c>
      <c r="G997" s="3278">
        <v>15000</v>
      </c>
      <c r="H997" s="3299">
        <v>0</v>
      </c>
      <c r="I997" s="3278">
        <v>0</v>
      </c>
    </row>
    <row r="998" ht="12.75" customHeight="1" spans="2:9">
      <c r="B998" s="3274">
        <v>986</v>
      </c>
      <c r="D998" s="3297" t="s">
        <v>4291</v>
      </c>
      <c r="E998" s="3298" t="s">
        <v>4292</v>
      </c>
      <c r="F998" s="3298" t="s">
        <v>2299</v>
      </c>
      <c r="G998" s="3278">
        <v>16500</v>
      </c>
      <c r="H998" s="3299">
        <v>0</v>
      </c>
      <c r="I998" s="3278">
        <v>0</v>
      </c>
    </row>
    <row r="999" ht="12.75" customHeight="1" spans="2:9">
      <c r="B999" s="3274">
        <v>987</v>
      </c>
      <c r="D999" s="3297" t="s">
        <v>4293</v>
      </c>
      <c r="E999" s="3298" t="s">
        <v>4294</v>
      </c>
      <c r="F999" s="3298" t="s">
        <v>2299</v>
      </c>
      <c r="G999" s="3278">
        <v>16500</v>
      </c>
      <c r="H999" s="3299">
        <v>0</v>
      </c>
      <c r="I999" s="3278">
        <v>0</v>
      </c>
    </row>
    <row r="1000" ht="12.75" customHeight="1" spans="2:9">
      <c r="B1000" s="3274">
        <v>988</v>
      </c>
      <c r="D1000" s="3297" t="s">
        <v>4295</v>
      </c>
      <c r="E1000" s="3298" t="s">
        <v>4296</v>
      </c>
      <c r="F1000" s="3298" t="s">
        <v>2299</v>
      </c>
      <c r="G1000" s="3278">
        <v>31361</v>
      </c>
      <c r="H1000" s="3299">
        <v>0</v>
      </c>
      <c r="I1000" s="3278">
        <v>0</v>
      </c>
    </row>
    <row r="1001" ht="12.75" customHeight="1" spans="2:9">
      <c r="B1001" s="3274">
        <v>989</v>
      </c>
      <c r="D1001" s="3297" t="s">
        <v>4297</v>
      </c>
      <c r="E1001" s="3298" t="s">
        <v>4298</v>
      </c>
      <c r="F1001" s="3298" t="s">
        <v>2299</v>
      </c>
      <c r="G1001" s="3278">
        <v>22000</v>
      </c>
      <c r="H1001" s="3299">
        <v>0</v>
      </c>
      <c r="I1001" s="3278">
        <v>0</v>
      </c>
    </row>
    <row r="1002" ht="12.75" customHeight="1" spans="2:9">
      <c r="B1002" s="3274">
        <v>990</v>
      </c>
      <c r="D1002" s="3297" t="s">
        <v>4299</v>
      </c>
      <c r="E1002" s="3298" t="s">
        <v>4300</v>
      </c>
      <c r="F1002" s="3298" t="s">
        <v>2299</v>
      </c>
      <c r="G1002" s="3278">
        <v>22000</v>
      </c>
      <c r="H1002" s="3299">
        <v>0</v>
      </c>
      <c r="I1002" s="3278">
        <v>0</v>
      </c>
    </row>
    <row r="1003" ht="12.75" customHeight="1" spans="2:9">
      <c r="B1003" s="3274">
        <v>991</v>
      </c>
      <c r="D1003" s="3297" t="s">
        <v>4301</v>
      </c>
      <c r="E1003" s="3298" t="s">
        <v>4302</v>
      </c>
      <c r="F1003" s="3298" t="s">
        <v>2299</v>
      </c>
      <c r="G1003" s="3278">
        <v>22000</v>
      </c>
      <c r="H1003" s="3299">
        <v>0</v>
      </c>
      <c r="I1003" s="3278">
        <v>0</v>
      </c>
    </row>
    <row r="1004" ht="12.75" customHeight="1" spans="2:9">
      <c r="B1004" s="3274">
        <v>992</v>
      </c>
      <c r="D1004" s="3297" t="s">
        <v>4303</v>
      </c>
      <c r="E1004" s="3298" t="s">
        <v>4304</v>
      </c>
      <c r="F1004" s="3298" t="s">
        <v>2299</v>
      </c>
      <c r="G1004" s="3278">
        <v>22000</v>
      </c>
      <c r="H1004" s="3299">
        <v>0</v>
      </c>
      <c r="I1004" s="3278">
        <v>0</v>
      </c>
    </row>
    <row r="1005" ht="12.75" customHeight="1" spans="2:9">
      <c r="B1005" s="3274">
        <v>993</v>
      </c>
      <c r="D1005" s="3297" t="s">
        <v>4305</v>
      </c>
      <c r="E1005" s="3298" t="s">
        <v>4306</v>
      </c>
      <c r="F1005" s="3298" t="s">
        <v>2299</v>
      </c>
      <c r="G1005" s="3278">
        <v>0</v>
      </c>
      <c r="H1005" s="3299">
        <v>0</v>
      </c>
      <c r="I1005" s="3278">
        <v>0</v>
      </c>
    </row>
    <row r="1006" ht="12.75" customHeight="1" spans="2:9">
      <c r="B1006" s="3274">
        <v>994</v>
      </c>
      <c r="D1006" s="3297" t="s">
        <v>4307</v>
      </c>
      <c r="E1006" s="3298" t="s">
        <v>4308</v>
      </c>
      <c r="F1006" s="3298" t="s">
        <v>2299</v>
      </c>
      <c r="G1006" s="3278">
        <v>6797.868</v>
      </c>
      <c r="H1006" s="3299">
        <v>0</v>
      </c>
      <c r="I1006" s="3278">
        <v>0</v>
      </c>
    </row>
    <row r="1007" ht="12.75" customHeight="1" spans="2:9">
      <c r="B1007" s="3274">
        <v>995</v>
      </c>
      <c r="D1007" s="3297" t="s">
        <v>4309</v>
      </c>
      <c r="E1007" s="3298" t="s">
        <v>4310</v>
      </c>
      <c r="F1007" s="3298" t="s">
        <v>2299</v>
      </c>
      <c r="G1007" s="3278">
        <v>6797.868</v>
      </c>
      <c r="H1007" s="3299">
        <v>0</v>
      </c>
      <c r="I1007" s="3278">
        <v>0</v>
      </c>
    </row>
    <row r="1008" ht="12.75" customHeight="1" spans="2:9">
      <c r="B1008" s="3274">
        <v>996</v>
      </c>
      <c r="D1008" s="3297" t="s">
        <v>4311</v>
      </c>
      <c r="E1008" s="3298" t="s">
        <v>4312</v>
      </c>
      <c r="F1008" s="3298" t="s">
        <v>2299</v>
      </c>
      <c r="G1008" s="3278">
        <v>6797.868</v>
      </c>
      <c r="H1008" s="3299">
        <v>0</v>
      </c>
      <c r="I1008" s="3278">
        <v>0</v>
      </c>
    </row>
    <row r="1009" ht="12.75" customHeight="1" spans="2:9">
      <c r="B1009" s="3274">
        <v>997</v>
      </c>
      <c r="D1009" s="3297" t="s">
        <v>4313</v>
      </c>
      <c r="E1009" s="3298" t="s">
        <v>4314</v>
      </c>
      <c r="F1009" s="3298" t="s">
        <v>2314</v>
      </c>
      <c r="G1009" s="3278">
        <v>12650000</v>
      </c>
      <c r="H1009" s="3299">
        <v>0</v>
      </c>
      <c r="I1009" s="3278">
        <v>0</v>
      </c>
    </row>
    <row r="1010" ht="12.75" customHeight="1" spans="2:9">
      <c r="B1010" s="3274">
        <v>998</v>
      </c>
      <c r="D1010" s="3297" t="s">
        <v>4315</v>
      </c>
      <c r="E1010" s="3298" t="s">
        <v>4316</v>
      </c>
      <c r="F1010" s="3298" t="s">
        <v>2299</v>
      </c>
      <c r="G1010" s="3278">
        <v>2420</v>
      </c>
      <c r="H1010" s="3299">
        <v>0</v>
      </c>
      <c r="I1010" s="3278">
        <v>0</v>
      </c>
    </row>
    <row r="1011" ht="12.75" customHeight="1" spans="2:9">
      <c r="B1011" s="3274">
        <v>999</v>
      </c>
      <c r="D1011" s="3297" t="s">
        <v>4317</v>
      </c>
      <c r="E1011" s="3298" t="s">
        <v>4318</v>
      </c>
      <c r="F1011" s="3298" t="s">
        <v>2299</v>
      </c>
      <c r="G1011" s="3278">
        <v>43560</v>
      </c>
      <c r="H1011" s="3299">
        <v>30</v>
      </c>
      <c r="I1011" s="3278">
        <v>1306800</v>
      </c>
    </row>
    <row r="1012" ht="12.75" customHeight="1" spans="2:9">
      <c r="B1012" s="3274">
        <v>1000</v>
      </c>
      <c r="D1012" s="3297" t="s">
        <v>4319</v>
      </c>
      <c r="E1012" s="3298" t="s">
        <v>4320</v>
      </c>
      <c r="F1012" s="3298" t="s">
        <v>2299</v>
      </c>
      <c r="G1012" s="3278">
        <v>0</v>
      </c>
      <c r="H1012" s="3299">
        <v>0</v>
      </c>
      <c r="I1012" s="3278">
        <v>0</v>
      </c>
    </row>
    <row r="1013" ht="12.75" customHeight="1" spans="2:9">
      <c r="B1013" s="3274">
        <v>1001</v>
      </c>
      <c r="D1013" s="3297" t="s">
        <v>4321</v>
      </c>
      <c r="E1013" s="3298" t="s">
        <v>4322</v>
      </c>
      <c r="F1013" s="3298" t="s">
        <v>2299</v>
      </c>
      <c r="G1013" s="3278">
        <v>0</v>
      </c>
      <c r="H1013" s="3299">
        <v>0</v>
      </c>
      <c r="I1013" s="3278">
        <v>0</v>
      </c>
    </row>
    <row r="1014" ht="12.75" customHeight="1" spans="2:9">
      <c r="B1014" s="3274">
        <v>1002</v>
      </c>
      <c r="D1014" s="3297" t="s">
        <v>4323</v>
      </c>
      <c r="E1014" s="3298" t="s">
        <v>4324</v>
      </c>
      <c r="F1014" s="3298" t="s">
        <v>2299</v>
      </c>
      <c r="G1014" s="3278">
        <v>495</v>
      </c>
      <c r="H1014" s="3299">
        <v>1000</v>
      </c>
      <c r="I1014" s="3278">
        <v>495000</v>
      </c>
    </row>
    <row r="1015" ht="12.75" customHeight="1" spans="2:9">
      <c r="B1015" s="3274">
        <v>1003</v>
      </c>
      <c r="D1015" s="3297" t="s">
        <v>4325</v>
      </c>
      <c r="E1015" s="3298" t="s">
        <v>4326</v>
      </c>
      <c r="F1015" s="3298" t="s">
        <v>2418</v>
      </c>
      <c r="G1015" s="3278">
        <v>75790</v>
      </c>
      <c r="H1015" s="3299">
        <v>0</v>
      </c>
      <c r="I1015" s="3278">
        <v>0</v>
      </c>
    </row>
    <row r="1016" ht="12.75" customHeight="1" spans="2:9">
      <c r="B1016" s="3274">
        <v>1004</v>
      </c>
      <c r="D1016" s="3297" t="s">
        <v>4327</v>
      </c>
      <c r="E1016" s="3298" t="s">
        <v>4328</v>
      </c>
      <c r="F1016" s="3298" t="s">
        <v>2418</v>
      </c>
      <c r="G1016" s="3278">
        <v>10863.6</v>
      </c>
      <c r="H1016" s="3299">
        <v>0</v>
      </c>
      <c r="I1016" s="3278">
        <v>0</v>
      </c>
    </row>
    <row r="1017" ht="12.75" customHeight="1" spans="2:9">
      <c r="B1017" s="3274">
        <v>1005</v>
      </c>
      <c r="D1017" s="3297" t="s">
        <v>4329</v>
      </c>
      <c r="E1017" s="3298" t="s">
        <v>4330</v>
      </c>
      <c r="F1017" s="3298" t="s">
        <v>2418</v>
      </c>
      <c r="G1017" s="3278">
        <v>13688.4</v>
      </c>
      <c r="H1017" s="3299">
        <v>0</v>
      </c>
      <c r="I1017" s="3278">
        <v>0</v>
      </c>
    </row>
    <row r="1018" ht="12.75" customHeight="1" spans="2:9">
      <c r="B1018" s="3274">
        <v>1006</v>
      </c>
      <c r="D1018" s="3297" t="s">
        <v>4331</v>
      </c>
      <c r="E1018" s="3298" t="s">
        <v>4332</v>
      </c>
      <c r="F1018" s="3298" t="s">
        <v>2418</v>
      </c>
      <c r="G1018" s="3278">
        <v>20858.2</v>
      </c>
      <c r="H1018" s="3299">
        <v>0</v>
      </c>
      <c r="I1018" s="3278">
        <v>0</v>
      </c>
    </row>
    <row r="1019" ht="12.75" customHeight="1" spans="2:9">
      <c r="B1019" s="3274">
        <v>1007</v>
      </c>
      <c r="D1019" s="3297" t="s">
        <v>4333</v>
      </c>
      <c r="E1019" s="3298" t="s">
        <v>4334</v>
      </c>
      <c r="F1019" s="3298" t="s">
        <v>2388</v>
      </c>
      <c r="G1019" s="3278">
        <v>154000</v>
      </c>
      <c r="H1019" s="3299">
        <v>0</v>
      </c>
      <c r="I1019" s="3278">
        <v>0</v>
      </c>
    </row>
    <row r="1020" ht="12.75" customHeight="1" spans="2:9">
      <c r="B1020" s="3274">
        <v>1008</v>
      </c>
      <c r="D1020" s="3297" t="s">
        <v>4335</v>
      </c>
      <c r="E1020" s="3298" t="s">
        <v>4336</v>
      </c>
      <c r="F1020" s="3298" t="s">
        <v>2321</v>
      </c>
      <c r="G1020" s="3278">
        <v>0</v>
      </c>
      <c r="H1020" s="3299">
        <v>0</v>
      </c>
      <c r="I1020" s="3278">
        <v>0</v>
      </c>
    </row>
    <row r="1021" ht="12.75" customHeight="1" spans="2:9">
      <c r="B1021" s="3274">
        <v>1009</v>
      </c>
      <c r="D1021" s="3297" t="s">
        <v>4337</v>
      </c>
      <c r="E1021" s="3298" t="s">
        <v>4338</v>
      </c>
      <c r="F1021" s="3298" t="s">
        <v>2321</v>
      </c>
      <c r="G1021" s="3278">
        <v>11000</v>
      </c>
      <c r="H1021" s="3299">
        <v>50</v>
      </c>
      <c r="I1021" s="3278">
        <v>550000</v>
      </c>
    </row>
    <row r="1022" ht="12.75" customHeight="1" spans="2:9">
      <c r="B1022" s="3274">
        <v>1010</v>
      </c>
      <c r="D1022" s="3297" t="s">
        <v>4339</v>
      </c>
      <c r="E1022" s="3298" t="s">
        <v>4340</v>
      </c>
      <c r="F1022" s="3298" t="s">
        <v>2299</v>
      </c>
      <c r="G1022" s="3278">
        <v>302.5</v>
      </c>
      <c r="H1022" s="3299">
        <v>0</v>
      </c>
      <c r="I1022" s="3278">
        <v>0</v>
      </c>
    </row>
    <row r="1023" ht="12.75" customHeight="1" spans="2:9">
      <c r="B1023" s="3274">
        <v>1011</v>
      </c>
      <c r="D1023" s="3297" t="s">
        <v>4341</v>
      </c>
      <c r="E1023" s="3298" t="s">
        <v>4342</v>
      </c>
      <c r="F1023" s="3298" t="s">
        <v>2299</v>
      </c>
      <c r="G1023" s="3278">
        <v>2200</v>
      </c>
      <c r="H1023" s="3299">
        <v>0</v>
      </c>
      <c r="I1023" s="3278">
        <v>0</v>
      </c>
    </row>
    <row r="1024" ht="12.75" customHeight="1" spans="2:9">
      <c r="B1024" s="3274">
        <v>1012</v>
      </c>
      <c r="D1024" s="3297" t="s">
        <v>4343</v>
      </c>
      <c r="E1024" s="3298" t="s">
        <v>4344</v>
      </c>
      <c r="F1024" s="3298" t="s">
        <v>2299</v>
      </c>
      <c r="G1024" s="3278">
        <v>0</v>
      </c>
      <c r="H1024" s="3299">
        <v>0</v>
      </c>
      <c r="I1024" s="3278">
        <v>0</v>
      </c>
    </row>
    <row r="1025" ht="13.35" customHeight="1" spans="3:9">
      <c r="C1025" s="3281" t="s">
        <v>4345</v>
      </c>
      <c r="D1025" s="3281"/>
      <c r="E1025" s="3281"/>
      <c r="I1025" s="3279">
        <v>334115704.245</v>
      </c>
    </row>
    <row r="1026" ht="13.35" customHeight="1" spans="2:5">
      <c r="B1026" s="3296" t="s">
        <v>4346</v>
      </c>
      <c r="C1026" s="3296"/>
      <c r="D1026" s="3296"/>
      <c r="E1026" s="3296"/>
    </row>
    <row r="1027" ht="12.75" customHeight="1" spans="2:9">
      <c r="B1027" s="3274">
        <v>1</v>
      </c>
      <c r="D1027" s="3297" t="s">
        <v>4347</v>
      </c>
      <c r="E1027" s="3298" t="s">
        <v>4348</v>
      </c>
      <c r="F1027" s="3298" t="s">
        <v>2321</v>
      </c>
      <c r="G1027" s="3278">
        <v>165</v>
      </c>
      <c r="H1027" s="3299">
        <v>0</v>
      </c>
      <c r="I1027" s="3278">
        <v>0</v>
      </c>
    </row>
    <row r="1028" ht="12.75" customHeight="1" spans="2:9">
      <c r="B1028" s="3274">
        <v>2</v>
      </c>
      <c r="D1028" s="3297" t="s">
        <v>4349</v>
      </c>
      <c r="E1028" s="3298" t="s">
        <v>4350</v>
      </c>
      <c r="F1028" s="3298" t="s">
        <v>4351</v>
      </c>
      <c r="G1028" s="3278">
        <v>44.737</v>
      </c>
      <c r="H1028" s="3299">
        <v>0</v>
      </c>
      <c r="I1028" s="3278">
        <v>0</v>
      </c>
    </row>
    <row r="1029" ht="12.75" customHeight="1" spans="2:9">
      <c r="B1029" s="3274">
        <v>3</v>
      </c>
      <c r="D1029" s="3297" t="s">
        <v>4352</v>
      </c>
      <c r="E1029" s="3298" t="s">
        <v>4353</v>
      </c>
      <c r="F1029" s="3298" t="s">
        <v>4354</v>
      </c>
      <c r="G1029" s="3278">
        <v>396</v>
      </c>
      <c r="H1029" s="3299">
        <v>0</v>
      </c>
      <c r="I1029" s="3278">
        <v>0</v>
      </c>
    </row>
    <row r="1030" ht="12.75" customHeight="1" spans="2:9">
      <c r="B1030" s="3274">
        <v>4</v>
      </c>
      <c r="D1030" s="3297" t="s">
        <v>4355</v>
      </c>
      <c r="E1030" s="3298" t="s">
        <v>4356</v>
      </c>
      <c r="F1030" s="3298" t="s">
        <v>4357</v>
      </c>
      <c r="G1030" s="3278">
        <v>550</v>
      </c>
      <c r="H1030" s="3299">
        <v>0</v>
      </c>
      <c r="I1030" s="3278">
        <v>0</v>
      </c>
    </row>
    <row r="1031" ht="12.75" customHeight="1" spans="2:9">
      <c r="B1031" s="3274">
        <v>5</v>
      </c>
      <c r="D1031" s="3297" t="s">
        <v>4358</v>
      </c>
      <c r="E1031" s="3298" t="s">
        <v>4359</v>
      </c>
      <c r="F1031" s="3298" t="s">
        <v>2810</v>
      </c>
      <c r="G1031" s="3278">
        <v>6160</v>
      </c>
      <c r="H1031" s="3299">
        <v>0</v>
      </c>
      <c r="I1031" s="3278">
        <v>0</v>
      </c>
    </row>
    <row r="1032" ht="12.75" customHeight="1" spans="2:9">
      <c r="B1032" s="3274">
        <v>6</v>
      </c>
      <c r="D1032" s="3297" t="s">
        <v>4360</v>
      </c>
      <c r="E1032" s="3298" t="s">
        <v>4361</v>
      </c>
      <c r="F1032" s="3298" t="s">
        <v>776</v>
      </c>
      <c r="G1032" s="3278">
        <v>110</v>
      </c>
      <c r="H1032" s="3299">
        <v>0</v>
      </c>
      <c r="I1032" s="3278">
        <v>0</v>
      </c>
    </row>
    <row r="1033" ht="12.75" customHeight="1" spans="2:9">
      <c r="B1033" s="3274">
        <v>7</v>
      </c>
      <c r="D1033" s="3297" t="s">
        <v>4362</v>
      </c>
      <c r="E1033" s="3298" t="s">
        <v>4363</v>
      </c>
      <c r="F1033" s="3298" t="s">
        <v>4357</v>
      </c>
      <c r="G1033" s="3278">
        <v>110</v>
      </c>
      <c r="H1033" s="3299">
        <v>0</v>
      </c>
      <c r="I1033" s="3278">
        <v>0</v>
      </c>
    </row>
    <row r="1034" ht="12.75" customHeight="1" spans="2:9">
      <c r="B1034" s="3274">
        <v>8</v>
      </c>
      <c r="D1034" s="3297" t="s">
        <v>4364</v>
      </c>
      <c r="E1034" s="3298" t="s">
        <v>4365</v>
      </c>
      <c r="F1034" s="3298" t="s">
        <v>4357</v>
      </c>
      <c r="G1034" s="3278">
        <v>100.001</v>
      </c>
      <c r="H1034" s="3299">
        <v>0</v>
      </c>
      <c r="I1034" s="3278">
        <v>0</v>
      </c>
    </row>
    <row r="1035" ht="12.75" customHeight="1" spans="2:9">
      <c r="B1035" s="3274">
        <v>9</v>
      </c>
      <c r="D1035" s="3297" t="s">
        <v>4366</v>
      </c>
      <c r="E1035" s="3298" t="s">
        <v>4367</v>
      </c>
      <c r="F1035" s="3298" t="s">
        <v>3257</v>
      </c>
      <c r="G1035" s="3278">
        <v>1375</v>
      </c>
      <c r="H1035" s="3299">
        <v>0</v>
      </c>
      <c r="I1035" s="3278">
        <v>0</v>
      </c>
    </row>
    <row r="1036" ht="12.75" customHeight="1" spans="2:9">
      <c r="B1036" s="3274">
        <v>10</v>
      </c>
      <c r="D1036" s="3297" t="s">
        <v>4368</v>
      </c>
      <c r="E1036" s="3298" t="s">
        <v>4369</v>
      </c>
      <c r="F1036" s="3298" t="s">
        <v>4370</v>
      </c>
      <c r="G1036" s="3278">
        <v>586.3</v>
      </c>
      <c r="H1036" s="3299">
        <v>0</v>
      </c>
      <c r="I1036" s="3278">
        <v>0</v>
      </c>
    </row>
    <row r="1037" ht="12.75" customHeight="1" spans="2:9">
      <c r="B1037" s="3274">
        <v>11</v>
      </c>
      <c r="D1037" s="3297" t="s">
        <v>4371</v>
      </c>
      <c r="E1037" s="3298" t="s">
        <v>4372</v>
      </c>
      <c r="F1037" s="3298" t="s">
        <v>4351</v>
      </c>
      <c r="G1037" s="3278">
        <v>625</v>
      </c>
      <c r="H1037" s="3299">
        <v>0</v>
      </c>
      <c r="I1037" s="3278">
        <v>0</v>
      </c>
    </row>
    <row r="1038" ht="12.75" customHeight="1" spans="2:9">
      <c r="B1038" s="3274">
        <v>12</v>
      </c>
      <c r="D1038" s="3297" t="s">
        <v>4373</v>
      </c>
      <c r="E1038" s="3298" t="s">
        <v>4374</v>
      </c>
      <c r="F1038" s="3298" t="s">
        <v>2367</v>
      </c>
      <c r="G1038" s="3278">
        <v>3960</v>
      </c>
      <c r="H1038" s="3299">
        <v>0</v>
      </c>
      <c r="I1038" s="3278">
        <v>0</v>
      </c>
    </row>
    <row r="1039" ht="12.75" customHeight="1" spans="2:9">
      <c r="B1039" s="3274">
        <v>13</v>
      </c>
      <c r="D1039" s="3297" t="s">
        <v>4375</v>
      </c>
      <c r="E1039" s="3298" t="s">
        <v>4376</v>
      </c>
      <c r="F1039" s="3298" t="s">
        <v>2565</v>
      </c>
      <c r="G1039" s="3278">
        <v>74999.991</v>
      </c>
      <c r="H1039" s="3299">
        <v>0</v>
      </c>
      <c r="I1039" s="3278">
        <v>0</v>
      </c>
    </row>
    <row r="1040" ht="12.75" customHeight="1" spans="2:9">
      <c r="B1040" s="3274">
        <v>14</v>
      </c>
      <c r="D1040" s="3297" t="s">
        <v>4377</v>
      </c>
      <c r="E1040" s="3298" t="s">
        <v>4378</v>
      </c>
      <c r="F1040" s="3298" t="s">
        <v>4357</v>
      </c>
      <c r="G1040" s="3278">
        <v>400.4</v>
      </c>
      <c r="H1040" s="3299">
        <v>0</v>
      </c>
      <c r="I1040" s="3278">
        <v>0</v>
      </c>
    </row>
    <row r="1041" ht="12.75" customHeight="1" spans="2:9">
      <c r="B1041" s="3274">
        <v>15</v>
      </c>
      <c r="D1041" s="3297" t="s">
        <v>4379</v>
      </c>
      <c r="E1041" s="3298" t="s">
        <v>4380</v>
      </c>
      <c r="F1041" s="3298" t="s">
        <v>4354</v>
      </c>
      <c r="G1041" s="3278">
        <v>7499.8</v>
      </c>
      <c r="H1041" s="3299">
        <v>0</v>
      </c>
      <c r="I1041" s="3278">
        <v>0</v>
      </c>
    </row>
    <row r="1042" ht="12.75" customHeight="1" spans="2:9">
      <c r="B1042" s="3274">
        <v>16</v>
      </c>
      <c r="D1042" s="3297" t="s">
        <v>4381</v>
      </c>
      <c r="E1042" s="3298" t="s">
        <v>4382</v>
      </c>
      <c r="F1042" s="3298" t="s">
        <v>4354</v>
      </c>
      <c r="G1042" s="3278">
        <v>165</v>
      </c>
      <c r="H1042" s="3299">
        <v>0</v>
      </c>
      <c r="I1042" s="3278">
        <v>0</v>
      </c>
    </row>
    <row r="1043" ht="12.75" customHeight="1" spans="2:9">
      <c r="B1043" s="3274">
        <v>17</v>
      </c>
      <c r="D1043" s="3297" t="s">
        <v>4383</v>
      </c>
      <c r="E1043" s="3298" t="s">
        <v>4384</v>
      </c>
      <c r="F1043" s="3298" t="s">
        <v>2321</v>
      </c>
      <c r="G1043" s="3278">
        <v>38720</v>
      </c>
      <c r="H1043" s="3299">
        <v>0</v>
      </c>
      <c r="I1043" s="3278">
        <v>0</v>
      </c>
    </row>
    <row r="1044" ht="12.75" customHeight="1" spans="2:9">
      <c r="B1044" s="3274">
        <v>18</v>
      </c>
      <c r="D1044" s="3297" t="s">
        <v>4385</v>
      </c>
      <c r="E1044" s="3298" t="s">
        <v>4386</v>
      </c>
      <c r="F1044" s="3298" t="s">
        <v>2565</v>
      </c>
      <c r="G1044" s="3278">
        <v>145000</v>
      </c>
      <c r="H1044" s="3299">
        <v>0</v>
      </c>
      <c r="I1044" s="3278">
        <v>0</v>
      </c>
    </row>
    <row r="1045" ht="12.75" customHeight="1" spans="2:9">
      <c r="B1045" s="3274">
        <v>19</v>
      </c>
      <c r="D1045" s="3297" t="s">
        <v>4387</v>
      </c>
      <c r="E1045" s="3298" t="s">
        <v>4388</v>
      </c>
      <c r="F1045" s="3298" t="s">
        <v>3257</v>
      </c>
      <c r="G1045" s="3278">
        <v>30.008</v>
      </c>
      <c r="H1045" s="3299">
        <v>3000</v>
      </c>
      <c r="I1045" s="3278">
        <v>90024</v>
      </c>
    </row>
    <row r="1046" ht="12.75" customHeight="1" spans="2:9">
      <c r="B1046" s="3274">
        <v>20</v>
      </c>
      <c r="D1046" s="3297" t="s">
        <v>4389</v>
      </c>
      <c r="E1046" s="3298" t="s">
        <v>4390</v>
      </c>
      <c r="F1046" s="3298" t="s">
        <v>4274</v>
      </c>
      <c r="G1046" s="3278">
        <v>0</v>
      </c>
      <c r="H1046" s="3299">
        <v>0</v>
      </c>
      <c r="I1046" s="3278">
        <v>0</v>
      </c>
    </row>
    <row r="1047" ht="12.75" customHeight="1" spans="2:9">
      <c r="B1047" s="3274">
        <v>21</v>
      </c>
      <c r="D1047" s="3297" t="s">
        <v>4391</v>
      </c>
      <c r="E1047" s="3298" t="s">
        <v>4392</v>
      </c>
      <c r="F1047" s="3298" t="s">
        <v>2565</v>
      </c>
      <c r="G1047" s="3278">
        <v>5500</v>
      </c>
      <c r="H1047" s="3299">
        <v>0</v>
      </c>
      <c r="I1047" s="3278">
        <v>0</v>
      </c>
    </row>
    <row r="1048" ht="12.75" customHeight="1" spans="2:9">
      <c r="B1048" s="3274">
        <v>22</v>
      </c>
      <c r="D1048" s="3297" t="s">
        <v>4393</v>
      </c>
      <c r="E1048" s="3298" t="s">
        <v>4394</v>
      </c>
      <c r="F1048" s="3298" t="s">
        <v>2321</v>
      </c>
      <c r="G1048" s="3278">
        <v>33881.1</v>
      </c>
      <c r="H1048" s="3299">
        <v>0</v>
      </c>
      <c r="I1048" s="3278">
        <v>0</v>
      </c>
    </row>
    <row r="1049" ht="12.75" customHeight="1" spans="2:9">
      <c r="B1049" s="3274">
        <v>23</v>
      </c>
      <c r="D1049" s="3297" t="s">
        <v>4395</v>
      </c>
      <c r="E1049" s="3298" t="s">
        <v>4396</v>
      </c>
      <c r="F1049" s="3298" t="s">
        <v>3257</v>
      </c>
      <c r="G1049" s="3278">
        <v>23.518</v>
      </c>
      <c r="H1049" s="3299">
        <v>0</v>
      </c>
      <c r="I1049" s="3278">
        <v>0</v>
      </c>
    </row>
    <row r="1050" ht="12.75" customHeight="1" spans="2:9">
      <c r="B1050" s="3274">
        <v>24</v>
      </c>
      <c r="D1050" s="3297" t="s">
        <v>4397</v>
      </c>
      <c r="E1050" s="3298" t="s">
        <v>4398</v>
      </c>
      <c r="F1050" s="3298" t="s">
        <v>2321</v>
      </c>
      <c r="G1050" s="3278">
        <v>104500</v>
      </c>
      <c r="H1050" s="3299">
        <v>0</v>
      </c>
      <c r="I1050" s="3278">
        <v>0</v>
      </c>
    </row>
    <row r="1051" ht="12.75" customHeight="1" spans="2:9">
      <c r="B1051" s="3274">
        <v>25</v>
      </c>
      <c r="D1051" s="3297" t="s">
        <v>4399</v>
      </c>
      <c r="E1051" s="3298" t="s">
        <v>4400</v>
      </c>
      <c r="F1051" s="3298" t="s">
        <v>4357</v>
      </c>
      <c r="G1051" s="3278">
        <v>919999.96</v>
      </c>
      <c r="H1051" s="3299">
        <v>0</v>
      </c>
      <c r="I1051" s="3278">
        <v>0</v>
      </c>
    </row>
    <row r="1052" ht="12.75" customHeight="1" spans="2:9">
      <c r="B1052" s="3274">
        <v>26</v>
      </c>
      <c r="D1052" s="3297" t="s">
        <v>4401</v>
      </c>
      <c r="E1052" s="3298" t="s">
        <v>4402</v>
      </c>
      <c r="F1052" s="3298" t="s">
        <v>4403</v>
      </c>
      <c r="G1052" s="3278">
        <v>77</v>
      </c>
      <c r="H1052" s="3299">
        <v>5000</v>
      </c>
      <c r="I1052" s="3278">
        <v>385000</v>
      </c>
    </row>
    <row r="1053" ht="12.75" customHeight="1" spans="2:9">
      <c r="B1053" s="3274">
        <v>27</v>
      </c>
      <c r="D1053" s="3297" t="s">
        <v>4404</v>
      </c>
      <c r="E1053" s="3298" t="s">
        <v>4405</v>
      </c>
      <c r="F1053" s="3298" t="s">
        <v>4403</v>
      </c>
      <c r="G1053" s="3278">
        <v>38.5</v>
      </c>
      <c r="H1053" s="3299">
        <v>2000</v>
      </c>
      <c r="I1053" s="3278">
        <v>77000</v>
      </c>
    </row>
    <row r="1054" ht="12.75" customHeight="1" spans="2:9">
      <c r="B1054" s="3274">
        <v>28</v>
      </c>
      <c r="D1054" s="3297" t="s">
        <v>4406</v>
      </c>
      <c r="E1054" s="3298" t="s">
        <v>4407</v>
      </c>
      <c r="F1054" s="3298" t="s">
        <v>4403</v>
      </c>
      <c r="G1054" s="3278">
        <v>37.994</v>
      </c>
      <c r="H1054" s="3299">
        <v>2000</v>
      </c>
      <c r="I1054" s="3278">
        <v>75988</v>
      </c>
    </row>
    <row r="1055" ht="12.75" customHeight="1" spans="2:9">
      <c r="B1055" s="3274">
        <v>29</v>
      </c>
      <c r="D1055" s="3297" t="s">
        <v>4408</v>
      </c>
      <c r="E1055" s="3298" t="s">
        <v>4409</v>
      </c>
      <c r="F1055" s="3298" t="s">
        <v>3056</v>
      </c>
      <c r="G1055" s="3278">
        <v>780.01</v>
      </c>
      <c r="H1055" s="3299">
        <v>0</v>
      </c>
      <c r="I1055" s="3278">
        <v>0</v>
      </c>
    </row>
    <row r="1056" ht="12.75" customHeight="1" spans="2:9">
      <c r="B1056" s="3274">
        <v>30</v>
      </c>
      <c r="D1056" s="3297" t="s">
        <v>4410</v>
      </c>
      <c r="E1056" s="3298" t="s">
        <v>4411</v>
      </c>
      <c r="F1056" s="3298" t="s">
        <v>4354</v>
      </c>
      <c r="G1056" s="3278">
        <v>0</v>
      </c>
      <c r="H1056" s="3299">
        <v>0</v>
      </c>
      <c r="I1056" s="3278">
        <v>0</v>
      </c>
    </row>
    <row r="1057" ht="12.75" customHeight="1" spans="2:9">
      <c r="B1057" s="3274">
        <v>31</v>
      </c>
      <c r="D1057" s="3297" t="s">
        <v>4412</v>
      </c>
      <c r="E1057" s="3298" t="s">
        <v>4413</v>
      </c>
      <c r="F1057" s="3298" t="s">
        <v>2321</v>
      </c>
      <c r="G1057" s="3278">
        <v>8779.8369</v>
      </c>
      <c r="H1057" s="3299">
        <v>0</v>
      </c>
      <c r="I1057" s="3278">
        <v>0</v>
      </c>
    </row>
    <row r="1058" ht="12.75" customHeight="1" spans="2:9">
      <c r="B1058" s="3274">
        <v>32</v>
      </c>
      <c r="D1058" s="3297" t="s">
        <v>4414</v>
      </c>
      <c r="E1058" s="3298" t="s">
        <v>4415</v>
      </c>
      <c r="F1058" s="3298" t="s">
        <v>2321</v>
      </c>
      <c r="G1058" s="3278">
        <v>39875</v>
      </c>
      <c r="H1058" s="3299">
        <v>1</v>
      </c>
      <c r="I1058" s="3278">
        <v>39875</v>
      </c>
    </row>
    <row r="1059" ht="12.75" customHeight="1" spans="2:9">
      <c r="B1059" s="3274">
        <v>33</v>
      </c>
      <c r="D1059" s="3297" t="s">
        <v>4416</v>
      </c>
      <c r="E1059" s="3298" t="s">
        <v>4417</v>
      </c>
      <c r="F1059" s="3298" t="s">
        <v>2299</v>
      </c>
      <c r="G1059" s="3278">
        <v>180000</v>
      </c>
      <c r="H1059" s="3299">
        <v>0</v>
      </c>
      <c r="I1059" s="3278">
        <v>0</v>
      </c>
    </row>
    <row r="1060" ht="12.75" customHeight="1" spans="2:9">
      <c r="B1060" s="3274">
        <v>34</v>
      </c>
      <c r="D1060" s="3297" t="s">
        <v>4418</v>
      </c>
      <c r="E1060" s="3298" t="s">
        <v>4419</v>
      </c>
      <c r="F1060" s="3298" t="s">
        <v>2321</v>
      </c>
      <c r="G1060" s="3278">
        <v>299200</v>
      </c>
      <c r="H1060" s="3299">
        <v>0</v>
      </c>
      <c r="I1060" s="3278">
        <v>0</v>
      </c>
    </row>
    <row r="1061" ht="12.75" customHeight="1" spans="2:9">
      <c r="B1061" s="3274">
        <v>35</v>
      </c>
      <c r="D1061" s="3297" t="s">
        <v>4420</v>
      </c>
      <c r="E1061" s="3298" t="s">
        <v>4421</v>
      </c>
      <c r="F1061" s="3298" t="s">
        <v>3056</v>
      </c>
      <c r="G1061" s="3278">
        <v>1100</v>
      </c>
      <c r="H1061" s="3299">
        <v>0</v>
      </c>
      <c r="I1061" s="3278">
        <v>0</v>
      </c>
    </row>
    <row r="1062" ht="12.75" customHeight="1" spans="2:9">
      <c r="B1062" s="3274">
        <v>36</v>
      </c>
      <c r="D1062" s="3297" t="s">
        <v>4422</v>
      </c>
      <c r="E1062" s="3298" t="s">
        <v>4423</v>
      </c>
      <c r="F1062" s="3298" t="s">
        <v>3056</v>
      </c>
      <c r="G1062" s="3278">
        <v>1361.25</v>
      </c>
      <c r="H1062" s="3299">
        <v>370</v>
      </c>
      <c r="I1062" s="3278">
        <v>503662.5</v>
      </c>
    </row>
    <row r="1063" ht="12.75" customHeight="1" spans="2:9">
      <c r="B1063" s="3274">
        <v>37</v>
      </c>
      <c r="D1063" s="3297" t="s">
        <v>4424</v>
      </c>
      <c r="E1063" s="3298" t="s">
        <v>4425</v>
      </c>
      <c r="F1063" s="3298" t="s">
        <v>2321</v>
      </c>
      <c r="G1063" s="3278">
        <v>38500</v>
      </c>
      <c r="H1063" s="3299">
        <v>0</v>
      </c>
      <c r="I1063" s="3278">
        <v>0</v>
      </c>
    </row>
    <row r="1064" ht="12.75" customHeight="1" spans="2:9">
      <c r="B1064" s="3274">
        <v>38</v>
      </c>
      <c r="D1064" s="3297" t="s">
        <v>4426</v>
      </c>
      <c r="E1064" s="3298" t="s">
        <v>4427</v>
      </c>
      <c r="F1064" s="3298" t="s">
        <v>2293</v>
      </c>
      <c r="G1064" s="3278">
        <v>0</v>
      </c>
      <c r="H1064" s="3299">
        <v>0</v>
      </c>
      <c r="I1064" s="3278">
        <v>0</v>
      </c>
    </row>
    <row r="1065" ht="13.35" customHeight="1" spans="3:9">
      <c r="C1065" s="3281" t="s">
        <v>4428</v>
      </c>
      <c r="D1065" s="3281"/>
      <c r="E1065" s="3281"/>
      <c r="I1065" s="3279">
        <v>1171549.5</v>
      </c>
    </row>
    <row r="1066" ht="13.35" customHeight="1" spans="2:5">
      <c r="B1066" s="3296" t="s">
        <v>4429</v>
      </c>
      <c r="C1066" s="3296"/>
      <c r="D1066" s="3296"/>
      <c r="E1066" s="3296"/>
    </row>
    <row r="1067" ht="12.75" customHeight="1" spans="2:9">
      <c r="B1067" s="3274">
        <v>1</v>
      </c>
      <c r="D1067" s="3297" t="s">
        <v>4430</v>
      </c>
      <c r="E1067" s="3298" t="s">
        <v>4431</v>
      </c>
      <c r="F1067" s="3298" t="s">
        <v>3056</v>
      </c>
      <c r="G1067" s="3278">
        <v>222459.6</v>
      </c>
      <c r="H1067" s="3299">
        <v>0</v>
      </c>
      <c r="I1067" s="3278">
        <v>0</v>
      </c>
    </row>
    <row r="1068" ht="12.75" customHeight="1" spans="2:9">
      <c r="B1068" s="3274">
        <v>2</v>
      </c>
      <c r="D1068" s="3297" t="s">
        <v>4432</v>
      </c>
      <c r="E1068" s="3298" t="s">
        <v>4433</v>
      </c>
      <c r="F1068" s="3298" t="s">
        <v>3423</v>
      </c>
      <c r="G1068" s="3278">
        <v>1570000.003</v>
      </c>
      <c r="H1068" s="3299">
        <v>0</v>
      </c>
      <c r="I1068" s="3278">
        <v>0</v>
      </c>
    </row>
    <row r="1069" ht="12.75" customHeight="1" spans="2:9">
      <c r="B1069" s="3274">
        <v>3</v>
      </c>
      <c r="D1069" s="3297" t="s">
        <v>4434</v>
      </c>
      <c r="E1069" s="3298" t="s">
        <v>4435</v>
      </c>
      <c r="F1069" s="3298" t="s">
        <v>3056</v>
      </c>
      <c r="G1069" s="3278">
        <v>11550</v>
      </c>
      <c r="H1069" s="3299">
        <v>0</v>
      </c>
      <c r="I1069" s="3278">
        <v>0</v>
      </c>
    </row>
    <row r="1070" ht="12.75" customHeight="1" spans="2:9">
      <c r="B1070" s="3274">
        <v>4</v>
      </c>
      <c r="D1070" s="3297" t="s">
        <v>4436</v>
      </c>
      <c r="E1070" s="3298" t="s">
        <v>4437</v>
      </c>
      <c r="F1070" s="3298" t="s">
        <v>3042</v>
      </c>
      <c r="G1070" s="3278">
        <v>110000</v>
      </c>
      <c r="H1070" s="3299">
        <v>0</v>
      </c>
      <c r="I1070" s="3278">
        <v>0</v>
      </c>
    </row>
    <row r="1071" ht="12.75" customHeight="1" spans="2:9">
      <c r="B1071" s="3274">
        <v>5</v>
      </c>
      <c r="D1071" s="3297" t="s">
        <v>4438</v>
      </c>
      <c r="E1071" s="3298" t="s">
        <v>4439</v>
      </c>
      <c r="F1071" s="3298" t="s">
        <v>3056</v>
      </c>
      <c r="G1071" s="3278">
        <v>1283.337</v>
      </c>
      <c r="H1071" s="3299">
        <v>0</v>
      </c>
      <c r="I1071" s="3278">
        <v>0</v>
      </c>
    </row>
    <row r="1072" ht="12.75" customHeight="1" spans="2:9">
      <c r="B1072" s="3274">
        <v>6</v>
      </c>
      <c r="D1072" s="3297" t="s">
        <v>4440</v>
      </c>
      <c r="E1072" s="3298" t="s">
        <v>4441</v>
      </c>
      <c r="F1072" s="3298" t="s">
        <v>3056</v>
      </c>
      <c r="G1072" s="3278">
        <v>12799</v>
      </c>
      <c r="H1072" s="3299">
        <v>0</v>
      </c>
      <c r="I1072" s="3278">
        <v>0</v>
      </c>
    </row>
    <row r="1073" ht="12.75" customHeight="1" spans="2:9">
      <c r="B1073" s="3274">
        <v>7</v>
      </c>
      <c r="D1073" s="3297" t="s">
        <v>4442</v>
      </c>
      <c r="E1073" s="3298" t="s">
        <v>4443</v>
      </c>
      <c r="F1073" s="3298" t="s">
        <v>2293</v>
      </c>
      <c r="G1073" s="3278">
        <v>12100</v>
      </c>
      <c r="H1073" s="3299">
        <v>0</v>
      </c>
      <c r="I1073" s="3278">
        <v>0</v>
      </c>
    </row>
    <row r="1074" ht="12.75" customHeight="1" spans="2:9">
      <c r="B1074" s="3274">
        <v>8</v>
      </c>
      <c r="D1074" s="3297" t="s">
        <v>4444</v>
      </c>
      <c r="E1074" s="3298" t="s">
        <v>4445</v>
      </c>
      <c r="F1074" s="3298" t="s">
        <v>3056</v>
      </c>
      <c r="G1074" s="3278">
        <v>6820</v>
      </c>
      <c r="H1074" s="3299">
        <v>0</v>
      </c>
      <c r="I1074" s="3278">
        <v>0</v>
      </c>
    </row>
    <row r="1075" ht="12.75" customHeight="1" spans="2:9">
      <c r="B1075" s="3274">
        <v>9</v>
      </c>
      <c r="D1075" s="3297" t="s">
        <v>4446</v>
      </c>
      <c r="E1075" s="3298" t="s">
        <v>4447</v>
      </c>
      <c r="F1075" s="3298" t="s">
        <v>3042</v>
      </c>
      <c r="G1075" s="3278">
        <v>9240</v>
      </c>
      <c r="H1075" s="3299">
        <v>0</v>
      </c>
      <c r="I1075" s="3278">
        <v>0</v>
      </c>
    </row>
    <row r="1076" ht="12.75" customHeight="1" spans="2:9">
      <c r="B1076" s="3274">
        <v>10</v>
      </c>
      <c r="D1076" s="3297" t="s">
        <v>4448</v>
      </c>
      <c r="E1076" s="3298" t="s">
        <v>4449</v>
      </c>
      <c r="F1076" s="3298" t="s">
        <v>2321</v>
      </c>
      <c r="G1076" s="3278">
        <v>30250</v>
      </c>
      <c r="H1076" s="3299">
        <v>0</v>
      </c>
      <c r="I1076" s="3278">
        <v>0</v>
      </c>
    </row>
    <row r="1077" ht="12.75" customHeight="1" spans="2:9">
      <c r="B1077" s="3274">
        <v>11</v>
      </c>
      <c r="D1077" s="3297" t="s">
        <v>4450</v>
      </c>
      <c r="E1077" s="3298" t="s">
        <v>4451</v>
      </c>
      <c r="F1077" s="3298" t="s">
        <v>3056</v>
      </c>
      <c r="G1077" s="3278">
        <v>10200.003</v>
      </c>
      <c r="H1077" s="3299">
        <v>0</v>
      </c>
      <c r="I1077" s="3278">
        <v>0</v>
      </c>
    </row>
    <row r="1078" ht="12.75" customHeight="1" spans="2:9">
      <c r="B1078" s="3274">
        <v>12</v>
      </c>
      <c r="D1078" s="3297" t="s">
        <v>4452</v>
      </c>
      <c r="E1078" s="3298" t="s">
        <v>4453</v>
      </c>
      <c r="F1078" s="3298" t="s">
        <v>2321</v>
      </c>
      <c r="G1078" s="3278">
        <v>93129.3</v>
      </c>
      <c r="H1078" s="3299">
        <v>0</v>
      </c>
      <c r="I1078" s="3278">
        <v>0</v>
      </c>
    </row>
    <row r="1079" ht="12.75" customHeight="1" spans="2:9">
      <c r="B1079" s="3274">
        <v>13</v>
      </c>
      <c r="D1079" s="3297" t="s">
        <v>4454</v>
      </c>
      <c r="E1079" s="3298" t="s">
        <v>4455</v>
      </c>
      <c r="F1079" s="3298" t="s">
        <v>2321</v>
      </c>
      <c r="G1079" s="3278">
        <v>52448</v>
      </c>
      <c r="H1079" s="3299">
        <v>0</v>
      </c>
      <c r="I1079" s="3278">
        <v>0</v>
      </c>
    </row>
    <row r="1080" ht="12.75" customHeight="1" spans="2:9">
      <c r="B1080" s="3274">
        <v>14</v>
      </c>
      <c r="D1080" s="3297" t="s">
        <v>4456</v>
      </c>
      <c r="E1080" s="3298" t="s">
        <v>4457</v>
      </c>
      <c r="F1080" s="3298" t="s">
        <v>3056</v>
      </c>
      <c r="G1080" s="3278">
        <v>4411</v>
      </c>
      <c r="H1080" s="3299">
        <v>0</v>
      </c>
      <c r="I1080" s="3278">
        <v>0</v>
      </c>
    </row>
    <row r="1081" ht="12.75" customHeight="1" spans="2:9">
      <c r="B1081" s="3274">
        <v>15</v>
      </c>
      <c r="D1081" s="3297" t="s">
        <v>4458</v>
      </c>
      <c r="E1081" s="3298" t="s">
        <v>4459</v>
      </c>
      <c r="F1081" s="3298" t="s">
        <v>3056</v>
      </c>
      <c r="G1081" s="3278">
        <v>9870.3</v>
      </c>
      <c r="H1081" s="3299">
        <v>0</v>
      </c>
      <c r="I1081" s="3278">
        <v>0</v>
      </c>
    </row>
    <row r="1082" ht="12.75" customHeight="1" spans="2:9">
      <c r="B1082" s="3274">
        <v>16</v>
      </c>
      <c r="D1082" s="3297" t="s">
        <v>4460</v>
      </c>
      <c r="E1082" s="3298" t="s">
        <v>4461</v>
      </c>
      <c r="F1082" s="3298" t="s">
        <v>4351</v>
      </c>
      <c r="G1082" s="3278">
        <v>770</v>
      </c>
      <c r="H1082" s="3299">
        <v>0</v>
      </c>
      <c r="I1082" s="3278">
        <v>0</v>
      </c>
    </row>
    <row r="1083" ht="12.75" customHeight="1" spans="2:9">
      <c r="B1083" s="3274">
        <v>17</v>
      </c>
      <c r="D1083" s="3297" t="s">
        <v>4462</v>
      </c>
      <c r="E1083" s="3298" t="s">
        <v>4463</v>
      </c>
      <c r="F1083" s="3298" t="s">
        <v>3056</v>
      </c>
      <c r="G1083" s="3278">
        <v>19426</v>
      </c>
      <c r="H1083" s="3299">
        <v>0</v>
      </c>
      <c r="I1083" s="3278">
        <v>0</v>
      </c>
    </row>
    <row r="1084" ht="12.75" customHeight="1" spans="2:9">
      <c r="B1084" s="3274">
        <v>18</v>
      </c>
      <c r="D1084" s="3297" t="s">
        <v>4464</v>
      </c>
      <c r="E1084" s="3298" t="s">
        <v>4465</v>
      </c>
      <c r="F1084" s="3298" t="s">
        <v>2321</v>
      </c>
      <c r="G1084" s="3278">
        <v>9240</v>
      </c>
      <c r="H1084" s="3299">
        <v>0</v>
      </c>
      <c r="I1084" s="3278">
        <v>0</v>
      </c>
    </row>
    <row r="1085" ht="12.75" customHeight="1" spans="2:9">
      <c r="B1085" s="3274">
        <v>19</v>
      </c>
      <c r="D1085" s="3297" t="s">
        <v>4466</v>
      </c>
      <c r="E1085" s="3298" t="s">
        <v>4467</v>
      </c>
      <c r="F1085" s="3298" t="s">
        <v>3056</v>
      </c>
      <c r="G1085" s="3278">
        <v>5225</v>
      </c>
      <c r="H1085" s="3299">
        <v>0</v>
      </c>
      <c r="I1085" s="3278">
        <v>0</v>
      </c>
    </row>
    <row r="1086" ht="12.75" customHeight="1" spans="2:9">
      <c r="B1086" s="3274">
        <v>20</v>
      </c>
      <c r="D1086" s="3297" t="s">
        <v>4468</v>
      </c>
      <c r="E1086" s="3298" t="s">
        <v>4469</v>
      </c>
      <c r="F1086" s="3298" t="s">
        <v>2293</v>
      </c>
      <c r="G1086" s="3278">
        <v>0</v>
      </c>
      <c r="H1086" s="3299">
        <v>0</v>
      </c>
      <c r="I1086" s="3278">
        <v>0</v>
      </c>
    </row>
    <row r="1087" ht="12.75" customHeight="1" spans="2:9">
      <c r="B1087" s="3274">
        <v>21</v>
      </c>
      <c r="D1087" s="3297" t="s">
        <v>4470</v>
      </c>
      <c r="E1087" s="3298" t="s">
        <v>4471</v>
      </c>
      <c r="F1087" s="3298" t="s">
        <v>3257</v>
      </c>
      <c r="G1087" s="3278">
        <v>36300</v>
      </c>
      <c r="H1087" s="3299">
        <v>0</v>
      </c>
      <c r="I1087" s="3278">
        <v>0</v>
      </c>
    </row>
    <row r="1088" ht="12.75" customHeight="1" spans="2:9">
      <c r="B1088" s="3274">
        <v>22</v>
      </c>
      <c r="D1088" s="3297" t="s">
        <v>4472</v>
      </c>
      <c r="E1088" s="3298" t="s">
        <v>4473</v>
      </c>
      <c r="F1088" s="3298" t="s">
        <v>2321</v>
      </c>
      <c r="G1088" s="3278">
        <v>19250</v>
      </c>
      <c r="H1088" s="3299">
        <v>0</v>
      </c>
      <c r="I1088" s="3278">
        <v>0</v>
      </c>
    </row>
    <row r="1089" ht="12.75" customHeight="1" spans="2:9">
      <c r="B1089" s="3274">
        <v>23</v>
      </c>
      <c r="D1089" s="3297" t="s">
        <v>4474</v>
      </c>
      <c r="E1089" s="3298" t="s">
        <v>4475</v>
      </c>
      <c r="F1089" s="3298" t="s">
        <v>3056</v>
      </c>
      <c r="G1089" s="3278">
        <v>3630</v>
      </c>
      <c r="H1089" s="3299">
        <v>0</v>
      </c>
      <c r="I1089" s="3278">
        <v>0</v>
      </c>
    </row>
    <row r="1090" ht="12.75" customHeight="1" spans="2:9">
      <c r="B1090" s="3274">
        <v>24</v>
      </c>
      <c r="D1090" s="3297" t="s">
        <v>4476</v>
      </c>
      <c r="E1090" s="3298" t="s">
        <v>4477</v>
      </c>
      <c r="F1090" s="3298" t="s">
        <v>2321</v>
      </c>
      <c r="G1090" s="3278">
        <v>66000</v>
      </c>
      <c r="H1090" s="3299">
        <v>0</v>
      </c>
      <c r="I1090" s="3278">
        <v>0</v>
      </c>
    </row>
    <row r="1091" ht="12.75" customHeight="1" spans="2:9">
      <c r="B1091" s="3274">
        <v>25</v>
      </c>
      <c r="D1091" s="3297" t="s">
        <v>4478</v>
      </c>
      <c r="E1091" s="3298" t="s">
        <v>4479</v>
      </c>
      <c r="F1091" s="3298" t="s">
        <v>3056</v>
      </c>
      <c r="G1091" s="3278">
        <v>821.7</v>
      </c>
      <c r="H1091" s="3299">
        <v>0</v>
      </c>
      <c r="I1091" s="3278">
        <v>0</v>
      </c>
    </row>
    <row r="1092" ht="12.75" customHeight="1" spans="2:9">
      <c r="B1092" s="3274">
        <v>26</v>
      </c>
      <c r="D1092" s="3297" t="s">
        <v>4480</v>
      </c>
      <c r="E1092" s="3298" t="s">
        <v>4481</v>
      </c>
      <c r="F1092" s="3298" t="s">
        <v>2321</v>
      </c>
      <c r="G1092" s="3278">
        <v>68200</v>
      </c>
      <c r="H1092" s="3299">
        <v>0</v>
      </c>
      <c r="I1092" s="3278">
        <v>0</v>
      </c>
    </row>
    <row r="1093" ht="12.75" customHeight="1" spans="2:9">
      <c r="B1093" s="3274">
        <v>27</v>
      </c>
      <c r="D1093" s="3297" t="s">
        <v>4482</v>
      </c>
      <c r="E1093" s="3298" t="s">
        <v>4483</v>
      </c>
      <c r="F1093" s="3298" t="s">
        <v>2321</v>
      </c>
      <c r="G1093" s="3278">
        <v>33000</v>
      </c>
      <c r="H1093" s="3299">
        <v>0</v>
      </c>
      <c r="I1093" s="3278">
        <v>0</v>
      </c>
    </row>
    <row r="1094" ht="12.75" customHeight="1" spans="2:9">
      <c r="B1094" s="3274">
        <v>28</v>
      </c>
      <c r="D1094" s="3297" t="s">
        <v>4484</v>
      </c>
      <c r="E1094" s="3298" t="s">
        <v>4485</v>
      </c>
      <c r="F1094" s="3298" t="s">
        <v>2321</v>
      </c>
      <c r="G1094" s="3278">
        <v>79200</v>
      </c>
      <c r="H1094" s="3299">
        <v>0</v>
      </c>
      <c r="I1094" s="3278">
        <v>0</v>
      </c>
    </row>
    <row r="1095" ht="12.75" customHeight="1" spans="2:9">
      <c r="B1095" s="3274">
        <v>29</v>
      </c>
      <c r="D1095" s="3297" t="s">
        <v>4486</v>
      </c>
      <c r="E1095" s="3298" t="s">
        <v>4487</v>
      </c>
      <c r="F1095" s="3298" t="s">
        <v>3042</v>
      </c>
      <c r="G1095" s="3278">
        <v>41800</v>
      </c>
      <c r="H1095" s="3299">
        <v>0</v>
      </c>
      <c r="I1095" s="3278">
        <v>0</v>
      </c>
    </row>
    <row r="1096" ht="12.75" customHeight="1" spans="2:9">
      <c r="B1096" s="3274">
        <v>30</v>
      </c>
      <c r="D1096" s="3297" t="s">
        <v>4488</v>
      </c>
      <c r="E1096" s="3298" t="s">
        <v>4489</v>
      </c>
      <c r="F1096" s="3298" t="s">
        <v>4351</v>
      </c>
      <c r="G1096" s="3278">
        <v>19424.999</v>
      </c>
      <c r="H1096" s="3299">
        <v>0</v>
      </c>
      <c r="I1096" s="3278">
        <v>0</v>
      </c>
    </row>
    <row r="1097" ht="12.75" customHeight="1" spans="2:9">
      <c r="B1097" s="3274">
        <v>31</v>
      </c>
      <c r="D1097" s="3297" t="s">
        <v>4490</v>
      </c>
      <c r="E1097" s="3298" t="s">
        <v>4491</v>
      </c>
      <c r="F1097" s="3298" t="s">
        <v>3056</v>
      </c>
      <c r="G1097" s="3278">
        <v>10120</v>
      </c>
      <c r="H1097" s="3299">
        <v>0</v>
      </c>
      <c r="I1097" s="3278">
        <v>0</v>
      </c>
    </row>
    <row r="1098" ht="12.75" customHeight="1" spans="2:9">
      <c r="B1098" s="3274">
        <v>32</v>
      </c>
      <c r="D1098" s="3297" t="s">
        <v>4492</v>
      </c>
      <c r="E1098" s="3298" t="s">
        <v>4493</v>
      </c>
      <c r="F1098" s="3298" t="s">
        <v>3042</v>
      </c>
      <c r="G1098" s="3278">
        <v>624800</v>
      </c>
      <c r="H1098" s="3299">
        <v>0</v>
      </c>
      <c r="I1098" s="3278">
        <v>0</v>
      </c>
    </row>
    <row r="1099" ht="12.75" customHeight="1" spans="2:9">
      <c r="B1099" s="3274">
        <v>33</v>
      </c>
      <c r="D1099" s="3297" t="s">
        <v>4494</v>
      </c>
      <c r="E1099" s="3298" t="s">
        <v>4495</v>
      </c>
      <c r="F1099" s="3298" t="s">
        <v>4354</v>
      </c>
      <c r="G1099" s="3278">
        <v>110</v>
      </c>
      <c r="H1099" s="3299">
        <v>0</v>
      </c>
      <c r="I1099" s="3278">
        <v>0</v>
      </c>
    </row>
    <row r="1100" ht="12.75" customHeight="1" spans="2:9">
      <c r="B1100" s="3274">
        <v>34</v>
      </c>
      <c r="D1100" s="3297" t="s">
        <v>4496</v>
      </c>
      <c r="E1100" s="3298" t="s">
        <v>4497</v>
      </c>
      <c r="F1100" s="3298" t="s">
        <v>4498</v>
      </c>
      <c r="G1100" s="3278">
        <v>1.65</v>
      </c>
      <c r="H1100" s="3299">
        <v>0</v>
      </c>
      <c r="I1100" s="3278">
        <v>0</v>
      </c>
    </row>
    <row r="1101" ht="12.75" customHeight="1" spans="2:9">
      <c r="B1101" s="3274">
        <v>35</v>
      </c>
      <c r="D1101" s="3297" t="s">
        <v>4499</v>
      </c>
      <c r="E1101" s="3298" t="s">
        <v>4500</v>
      </c>
      <c r="F1101" s="3298" t="s">
        <v>2321</v>
      </c>
      <c r="G1101" s="3278">
        <v>84700</v>
      </c>
      <c r="H1101" s="3299">
        <v>0</v>
      </c>
      <c r="I1101" s="3278">
        <v>0</v>
      </c>
    </row>
    <row r="1102" ht="12.75" customHeight="1" spans="2:9">
      <c r="B1102" s="3274">
        <v>36</v>
      </c>
      <c r="D1102" s="3297" t="s">
        <v>4501</v>
      </c>
      <c r="E1102" s="3298" t="s">
        <v>4502</v>
      </c>
      <c r="F1102" s="3298" t="s">
        <v>3056</v>
      </c>
      <c r="G1102" s="3278">
        <v>13200</v>
      </c>
      <c r="H1102" s="3299">
        <v>0</v>
      </c>
      <c r="I1102" s="3278">
        <v>0</v>
      </c>
    </row>
    <row r="1103" ht="12.75" customHeight="1" spans="2:9">
      <c r="B1103" s="3274">
        <v>37</v>
      </c>
      <c r="D1103" s="3297" t="s">
        <v>4503</v>
      </c>
      <c r="E1103" s="3298" t="s">
        <v>4504</v>
      </c>
      <c r="F1103" s="3298" t="s">
        <v>2321</v>
      </c>
      <c r="G1103" s="3278">
        <v>63250</v>
      </c>
      <c r="H1103" s="3299">
        <v>0</v>
      </c>
      <c r="I1103" s="3278">
        <v>0</v>
      </c>
    </row>
    <row r="1104" ht="12.75" customHeight="1" spans="2:9">
      <c r="B1104" s="3274">
        <v>38</v>
      </c>
      <c r="D1104" s="3297" t="s">
        <v>4505</v>
      </c>
      <c r="E1104" s="3298" t="s">
        <v>4506</v>
      </c>
      <c r="F1104" s="3298" t="s">
        <v>3042</v>
      </c>
      <c r="G1104" s="3278">
        <v>17881.6</v>
      </c>
      <c r="H1104" s="3299">
        <v>0</v>
      </c>
      <c r="I1104" s="3278">
        <v>0</v>
      </c>
    </row>
    <row r="1105" ht="12.75" customHeight="1" spans="2:9">
      <c r="B1105" s="3274">
        <v>39</v>
      </c>
      <c r="D1105" s="3297" t="s">
        <v>4507</v>
      </c>
      <c r="E1105" s="3298" t="s">
        <v>4508</v>
      </c>
      <c r="F1105" s="3298" t="s">
        <v>3042</v>
      </c>
      <c r="G1105" s="3278">
        <v>264000</v>
      </c>
      <c r="H1105" s="3299">
        <v>0</v>
      </c>
      <c r="I1105" s="3278">
        <v>0</v>
      </c>
    </row>
    <row r="1106" ht="12.75" customHeight="1" spans="2:9">
      <c r="B1106" s="3274">
        <v>40</v>
      </c>
      <c r="D1106" s="3297" t="s">
        <v>4509</v>
      </c>
      <c r="E1106" s="3298" t="s">
        <v>4510</v>
      </c>
      <c r="F1106" s="3298" t="s">
        <v>3056</v>
      </c>
      <c r="G1106" s="3278">
        <v>8800</v>
      </c>
      <c r="H1106" s="3299">
        <v>0</v>
      </c>
      <c r="I1106" s="3278">
        <v>0</v>
      </c>
    </row>
    <row r="1107" ht="12.75" customHeight="1" spans="2:9">
      <c r="B1107" s="3274">
        <v>41</v>
      </c>
      <c r="D1107" s="3297" t="s">
        <v>4511</v>
      </c>
      <c r="E1107" s="3298" t="s">
        <v>4512</v>
      </c>
      <c r="F1107" s="3298" t="s">
        <v>2321</v>
      </c>
      <c r="G1107" s="3278">
        <v>24200</v>
      </c>
      <c r="H1107" s="3299">
        <v>0</v>
      </c>
      <c r="I1107" s="3278">
        <v>0</v>
      </c>
    </row>
    <row r="1108" ht="12.75" customHeight="1" spans="2:9">
      <c r="B1108" s="3274">
        <v>42</v>
      </c>
      <c r="D1108" s="3297" t="s">
        <v>4513</v>
      </c>
      <c r="E1108" s="3298" t="s">
        <v>4514</v>
      </c>
      <c r="F1108" s="3298" t="s">
        <v>2321</v>
      </c>
      <c r="G1108" s="3278">
        <v>22000</v>
      </c>
      <c r="H1108" s="3299">
        <v>0</v>
      </c>
      <c r="I1108" s="3278">
        <v>0</v>
      </c>
    </row>
    <row r="1109" ht="12.75" customHeight="1" spans="2:9">
      <c r="B1109" s="3274">
        <v>43</v>
      </c>
      <c r="D1109" s="3297" t="s">
        <v>4515</v>
      </c>
      <c r="E1109" s="3298" t="s">
        <v>4516</v>
      </c>
      <c r="F1109" s="3298" t="s">
        <v>2321</v>
      </c>
      <c r="G1109" s="3278">
        <v>23628.6285</v>
      </c>
      <c r="H1109" s="3299">
        <v>0</v>
      </c>
      <c r="I1109" s="3278">
        <v>0</v>
      </c>
    </row>
    <row r="1110" ht="12.75" customHeight="1" spans="2:9">
      <c r="B1110" s="3274">
        <v>44</v>
      </c>
      <c r="D1110" s="3297" t="s">
        <v>4517</v>
      </c>
      <c r="E1110" s="3298" t="s">
        <v>4518</v>
      </c>
      <c r="F1110" s="3298" t="s">
        <v>2637</v>
      </c>
      <c r="G1110" s="3278">
        <v>3624.5</v>
      </c>
      <c r="H1110" s="3299">
        <v>150</v>
      </c>
      <c r="I1110" s="3278">
        <v>543675</v>
      </c>
    </row>
    <row r="1111" ht="12.75" customHeight="1" spans="2:9">
      <c r="B1111" s="3274">
        <v>45</v>
      </c>
      <c r="D1111" s="3297" t="s">
        <v>4519</v>
      </c>
      <c r="E1111" s="3298" t="s">
        <v>4520</v>
      </c>
      <c r="F1111" s="3298" t="s">
        <v>3056</v>
      </c>
      <c r="G1111" s="3278">
        <v>2500.003</v>
      </c>
      <c r="H1111" s="3299">
        <v>0</v>
      </c>
      <c r="I1111" s="3278">
        <v>0</v>
      </c>
    </row>
    <row r="1112" ht="12.75" customHeight="1" spans="2:9">
      <c r="B1112" s="3274">
        <v>46</v>
      </c>
      <c r="D1112" s="3297" t="s">
        <v>4521</v>
      </c>
      <c r="E1112" s="3298" t="s">
        <v>4522</v>
      </c>
      <c r="F1112" s="3298" t="s">
        <v>3056</v>
      </c>
      <c r="G1112" s="3278">
        <v>2448.6</v>
      </c>
      <c r="H1112" s="3299">
        <v>0</v>
      </c>
      <c r="I1112" s="3278">
        <v>0</v>
      </c>
    </row>
    <row r="1113" ht="12.75" customHeight="1" spans="2:9">
      <c r="B1113" s="3274">
        <v>47</v>
      </c>
      <c r="D1113" s="3297" t="s">
        <v>4523</v>
      </c>
      <c r="E1113" s="3298" t="s">
        <v>4524</v>
      </c>
      <c r="F1113" s="3298" t="s">
        <v>3056</v>
      </c>
      <c r="G1113" s="3278">
        <v>1639</v>
      </c>
      <c r="H1113" s="3299">
        <v>0</v>
      </c>
      <c r="I1113" s="3278">
        <v>0</v>
      </c>
    </row>
    <row r="1114" ht="12.75" customHeight="1" spans="2:9">
      <c r="B1114" s="3274">
        <v>48</v>
      </c>
      <c r="D1114" s="3297" t="s">
        <v>4525</v>
      </c>
      <c r="E1114" s="3298" t="s">
        <v>4526</v>
      </c>
      <c r="F1114" s="3298" t="s">
        <v>3056</v>
      </c>
      <c r="G1114" s="3278">
        <v>10763</v>
      </c>
      <c r="H1114" s="3299">
        <v>0</v>
      </c>
      <c r="I1114" s="3278">
        <v>0</v>
      </c>
    </row>
    <row r="1115" ht="12.75" customHeight="1" spans="2:9">
      <c r="B1115" s="3274">
        <v>49</v>
      </c>
      <c r="D1115" s="3297" t="s">
        <v>4527</v>
      </c>
      <c r="E1115" s="3298" t="s">
        <v>4528</v>
      </c>
      <c r="F1115" s="3298" t="s">
        <v>3056</v>
      </c>
      <c r="G1115" s="3278">
        <v>880</v>
      </c>
      <c r="H1115" s="3299">
        <v>0</v>
      </c>
      <c r="I1115" s="3278">
        <v>0</v>
      </c>
    </row>
    <row r="1116" ht="12.75" customHeight="1" spans="2:9">
      <c r="B1116" s="3274">
        <v>50</v>
      </c>
      <c r="D1116" s="3297" t="s">
        <v>4529</v>
      </c>
      <c r="E1116" s="3298" t="s">
        <v>4530</v>
      </c>
      <c r="F1116" s="3298" t="s">
        <v>3056</v>
      </c>
      <c r="G1116" s="3278">
        <v>2217.6</v>
      </c>
      <c r="H1116" s="3299">
        <v>0</v>
      </c>
      <c r="I1116" s="3278">
        <v>0</v>
      </c>
    </row>
    <row r="1117" ht="12.75" customHeight="1" spans="2:9">
      <c r="B1117" s="3274">
        <v>51</v>
      </c>
      <c r="D1117" s="3297" t="s">
        <v>4531</v>
      </c>
      <c r="E1117" s="3298" t="s">
        <v>4532</v>
      </c>
      <c r="F1117" s="3298" t="s">
        <v>3042</v>
      </c>
      <c r="G1117" s="3278">
        <v>22000</v>
      </c>
      <c r="H1117" s="3299">
        <v>0</v>
      </c>
      <c r="I1117" s="3278">
        <v>0</v>
      </c>
    </row>
    <row r="1118" ht="12.75" customHeight="1" spans="2:9">
      <c r="B1118" s="3274">
        <v>52</v>
      </c>
      <c r="D1118" s="3297" t="s">
        <v>4533</v>
      </c>
      <c r="E1118" s="3298" t="s">
        <v>4534</v>
      </c>
      <c r="F1118" s="3298" t="s">
        <v>3056</v>
      </c>
      <c r="G1118" s="3278">
        <v>3798.663</v>
      </c>
      <c r="H1118" s="3299">
        <v>0</v>
      </c>
      <c r="I1118" s="3278">
        <v>0</v>
      </c>
    </row>
    <row r="1119" ht="12.75" customHeight="1" spans="2:9">
      <c r="B1119" s="3274">
        <v>53</v>
      </c>
      <c r="D1119" s="3297" t="s">
        <v>4535</v>
      </c>
      <c r="E1119" s="3298" t="s">
        <v>4536</v>
      </c>
      <c r="F1119" s="3298" t="s">
        <v>2321</v>
      </c>
      <c r="G1119" s="3278">
        <v>77821.7</v>
      </c>
      <c r="H1119" s="3299">
        <v>0</v>
      </c>
      <c r="I1119" s="3278">
        <v>0</v>
      </c>
    </row>
    <row r="1120" ht="12.75" customHeight="1" spans="2:9">
      <c r="B1120" s="3274">
        <v>54</v>
      </c>
      <c r="D1120" s="3297" t="s">
        <v>4537</v>
      </c>
      <c r="E1120" s="3298" t="s">
        <v>4538</v>
      </c>
      <c r="F1120" s="3298" t="s">
        <v>2321</v>
      </c>
      <c r="G1120" s="3278">
        <v>24200</v>
      </c>
      <c r="H1120" s="3299">
        <v>0</v>
      </c>
      <c r="I1120" s="3278">
        <v>0</v>
      </c>
    </row>
    <row r="1121" ht="12.75" customHeight="1" spans="2:9">
      <c r="B1121" s="3274">
        <v>55</v>
      </c>
      <c r="D1121" s="3297" t="s">
        <v>4539</v>
      </c>
      <c r="E1121" s="3298" t="s">
        <v>4540</v>
      </c>
      <c r="F1121" s="3298" t="s">
        <v>2321</v>
      </c>
      <c r="G1121" s="3278">
        <v>52910</v>
      </c>
      <c r="H1121" s="3299">
        <v>27</v>
      </c>
      <c r="I1121" s="3278">
        <v>1428570</v>
      </c>
    </row>
    <row r="1122" ht="12.75" customHeight="1" spans="2:9">
      <c r="B1122" s="3274">
        <v>56</v>
      </c>
      <c r="D1122" s="3297" t="s">
        <v>4541</v>
      </c>
      <c r="E1122" s="3298" t="s">
        <v>4542</v>
      </c>
      <c r="F1122" s="3298" t="s">
        <v>2321</v>
      </c>
      <c r="G1122" s="3278">
        <v>43890</v>
      </c>
      <c r="H1122" s="3299">
        <v>8</v>
      </c>
      <c r="I1122" s="3278">
        <v>351120</v>
      </c>
    </row>
    <row r="1123" ht="12.75" customHeight="1" spans="2:9">
      <c r="B1123" s="3274">
        <v>57</v>
      </c>
      <c r="D1123" s="3297" t="s">
        <v>4543</v>
      </c>
      <c r="E1123" s="3298" t="s">
        <v>4544</v>
      </c>
      <c r="F1123" s="3298" t="s">
        <v>2321</v>
      </c>
      <c r="G1123" s="3278">
        <v>75240</v>
      </c>
      <c r="H1123" s="3299">
        <v>17</v>
      </c>
      <c r="I1123" s="3278">
        <v>1279080</v>
      </c>
    </row>
    <row r="1124" ht="12.75" customHeight="1" spans="2:9">
      <c r="B1124" s="3274">
        <v>58</v>
      </c>
      <c r="D1124" s="3297" t="s">
        <v>4545</v>
      </c>
      <c r="E1124" s="3298" t="s">
        <v>4546</v>
      </c>
      <c r="F1124" s="3298" t="s">
        <v>3056</v>
      </c>
      <c r="G1124" s="3278">
        <v>2425.5</v>
      </c>
      <c r="H1124" s="3299">
        <v>0</v>
      </c>
      <c r="I1124" s="3278">
        <v>0</v>
      </c>
    </row>
    <row r="1125" ht="12.75" customHeight="1" spans="2:9">
      <c r="B1125" s="3274">
        <v>59</v>
      </c>
      <c r="D1125" s="3297" t="s">
        <v>4547</v>
      </c>
      <c r="E1125" s="3298" t="s">
        <v>4548</v>
      </c>
      <c r="F1125" s="3298" t="s">
        <v>3056</v>
      </c>
      <c r="G1125" s="3278">
        <v>5621</v>
      </c>
      <c r="H1125" s="3299">
        <v>0</v>
      </c>
      <c r="I1125" s="3278">
        <v>0</v>
      </c>
    </row>
    <row r="1126" ht="12.75" customHeight="1" spans="2:9">
      <c r="B1126" s="3274">
        <v>60</v>
      </c>
      <c r="D1126" s="3297" t="s">
        <v>4549</v>
      </c>
      <c r="E1126" s="3298" t="s">
        <v>4550</v>
      </c>
      <c r="F1126" s="3298" t="s">
        <v>3056</v>
      </c>
      <c r="G1126" s="3278">
        <v>1064.8</v>
      </c>
      <c r="H1126" s="3299">
        <v>0</v>
      </c>
      <c r="I1126" s="3278">
        <v>0</v>
      </c>
    </row>
    <row r="1127" ht="12.75" customHeight="1" spans="2:9">
      <c r="B1127" s="3274">
        <v>61</v>
      </c>
      <c r="D1127" s="3297" t="s">
        <v>4551</v>
      </c>
      <c r="E1127" s="3298" t="s">
        <v>4552</v>
      </c>
      <c r="F1127" s="3298" t="s">
        <v>3042</v>
      </c>
      <c r="G1127" s="3278">
        <v>14972.5404</v>
      </c>
      <c r="H1127" s="3299">
        <v>0</v>
      </c>
      <c r="I1127" s="3278">
        <v>0</v>
      </c>
    </row>
    <row r="1128" ht="12.75" customHeight="1" spans="2:9">
      <c r="B1128" s="3274">
        <v>62</v>
      </c>
      <c r="D1128" s="3297" t="s">
        <v>4553</v>
      </c>
      <c r="E1128" s="3298" t="s">
        <v>4554</v>
      </c>
      <c r="F1128" s="3298" t="s">
        <v>3056</v>
      </c>
      <c r="G1128" s="3278">
        <v>833.338</v>
      </c>
      <c r="H1128" s="3299">
        <v>0</v>
      </c>
      <c r="I1128" s="3278">
        <v>0</v>
      </c>
    </row>
    <row r="1129" ht="12.75" customHeight="1" spans="2:9">
      <c r="B1129" s="3274">
        <v>63</v>
      </c>
      <c r="D1129" s="3297" t="s">
        <v>4555</v>
      </c>
      <c r="E1129" s="3298" t="s">
        <v>4556</v>
      </c>
      <c r="F1129" s="3298" t="s">
        <v>2321</v>
      </c>
      <c r="G1129" s="3278">
        <v>5500</v>
      </c>
      <c r="H1129" s="3299">
        <v>51</v>
      </c>
      <c r="I1129" s="3278">
        <v>280500</v>
      </c>
    </row>
    <row r="1130" ht="12.75" customHeight="1" spans="2:9">
      <c r="B1130" s="3274">
        <v>64</v>
      </c>
      <c r="D1130" s="3297" t="s">
        <v>4557</v>
      </c>
      <c r="E1130" s="3298" t="s">
        <v>4558</v>
      </c>
      <c r="F1130" s="3298" t="s">
        <v>3257</v>
      </c>
      <c r="G1130" s="3278">
        <v>43.252</v>
      </c>
      <c r="H1130" s="3299">
        <v>12000</v>
      </c>
      <c r="I1130" s="3278">
        <v>519024</v>
      </c>
    </row>
    <row r="1131" ht="12.75" customHeight="1" spans="2:9">
      <c r="B1131" s="3274">
        <v>65</v>
      </c>
      <c r="D1131" s="3297" t="s">
        <v>4559</v>
      </c>
      <c r="E1131" s="3298" t="s">
        <v>4560</v>
      </c>
      <c r="F1131" s="3298" t="s">
        <v>3042</v>
      </c>
      <c r="G1131" s="3278">
        <v>13350</v>
      </c>
      <c r="H1131" s="3299">
        <v>0</v>
      </c>
      <c r="I1131" s="3278">
        <v>0</v>
      </c>
    </row>
    <row r="1132" ht="12.75" customHeight="1" spans="2:9">
      <c r="B1132" s="3274">
        <v>66</v>
      </c>
      <c r="D1132" s="3297" t="s">
        <v>4561</v>
      </c>
      <c r="E1132" s="3298" t="s">
        <v>4562</v>
      </c>
      <c r="F1132" s="3298" t="s">
        <v>2565</v>
      </c>
      <c r="G1132" s="3278">
        <v>33000</v>
      </c>
      <c r="H1132" s="3299">
        <v>2</v>
      </c>
      <c r="I1132" s="3278">
        <v>66000</v>
      </c>
    </row>
    <row r="1133" ht="12.75" customHeight="1" spans="2:9">
      <c r="B1133" s="3274">
        <v>67</v>
      </c>
      <c r="D1133" s="3297" t="s">
        <v>4563</v>
      </c>
      <c r="E1133" s="3298" t="s">
        <v>4564</v>
      </c>
      <c r="F1133" s="3298" t="s">
        <v>3056</v>
      </c>
      <c r="G1133" s="3278">
        <v>205.92</v>
      </c>
      <c r="H1133" s="3299">
        <v>3800</v>
      </c>
      <c r="I1133" s="3278">
        <v>782496</v>
      </c>
    </row>
    <row r="1134" ht="12.75" customHeight="1" spans="2:9">
      <c r="B1134" s="3274">
        <v>68</v>
      </c>
      <c r="D1134" s="3297" t="s">
        <v>4565</v>
      </c>
      <c r="E1134" s="3298" t="s">
        <v>4566</v>
      </c>
      <c r="F1134" s="3298" t="s">
        <v>3056</v>
      </c>
      <c r="G1134" s="3278">
        <v>645.7</v>
      </c>
      <c r="H1134" s="3299">
        <v>0</v>
      </c>
      <c r="I1134" s="3278">
        <v>0</v>
      </c>
    </row>
    <row r="1135" ht="12.75" customHeight="1" spans="2:9">
      <c r="B1135" s="3274">
        <v>69</v>
      </c>
      <c r="D1135" s="3297" t="s">
        <v>4567</v>
      </c>
      <c r="E1135" s="3298" t="s">
        <v>4568</v>
      </c>
      <c r="F1135" s="3298" t="s">
        <v>3056</v>
      </c>
      <c r="G1135" s="3278">
        <v>4922.5</v>
      </c>
      <c r="H1135" s="3299">
        <v>300</v>
      </c>
      <c r="I1135" s="3278">
        <v>1476750</v>
      </c>
    </row>
    <row r="1136" ht="12.75" customHeight="1" spans="2:9">
      <c r="B1136" s="3274">
        <v>70</v>
      </c>
      <c r="D1136" s="3297" t="s">
        <v>4569</v>
      </c>
      <c r="E1136" s="3298" t="s">
        <v>4570</v>
      </c>
      <c r="F1136" s="3298" t="s">
        <v>3056</v>
      </c>
      <c r="G1136" s="3278">
        <v>2500.003</v>
      </c>
      <c r="H1136" s="3299">
        <v>0</v>
      </c>
      <c r="I1136" s="3278">
        <v>0</v>
      </c>
    </row>
    <row r="1137" ht="12.75" customHeight="1" spans="2:9">
      <c r="B1137" s="3274">
        <v>71</v>
      </c>
      <c r="D1137" s="3297" t="s">
        <v>4571</v>
      </c>
      <c r="E1137" s="3298" t="s">
        <v>4572</v>
      </c>
      <c r="F1137" s="3298" t="s">
        <v>2637</v>
      </c>
      <c r="G1137" s="3278">
        <v>84700</v>
      </c>
      <c r="H1137" s="3299">
        <v>18</v>
      </c>
      <c r="I1137" s="3278">
        <v>1524600</v>
      </c>
    </row>
    <row r="1138" ht="12.75" customHeight="1" spans="2:9">
      <c r="B1138" s="3274">
        <v>72</v>
      </c>
      <c r="D1138" s="3297" t="s">
        <v>4573</v>
      </c>
      <c r="E1138" s="3298" t="s">
        <v>4574</v>
      </c>
      <c r="F1138" s="3298" t="s">
        <v>2367</v>
      </c>
      <c r="G1138" s="3278">
        <v>585.002</v>
      </c>
      <c r="H1138" s="3299">
        <v>600</v>
      </c>
      <c r="I1138" s="3278">
        <v>351001.2</v>
      </c>
    </row>
    <row r="1139" ht="12.75" customHeight="1" spans="2:9">
      <c r="B1139" s="3274">
        <v>73</v>
      </c>
      <c r="D1139" s="3297" t="s">
        <v>4575</v>
      </c>
      <c r="E1139" s="3298" t="s">
        <v>4576</v>
      </c>
      <c r="F1139" s="3298" t="s">
        <v>3056</v>
      </c>
      <c r="G1139" s="3278">
        <v>899.998</v>
      </c>
      <c r="H1139" s="3299">
        <v>600</v>
      </c>
      <c r="I1139" s="3278">
        <v>539998.8</v>
      </c>
    </row>
    <row r="1140" ht="12.75" customHeight="1" spans="2:9">
      <c r="B1140" s="3274">
        <v>74</v>
      </c>
      <c r="D1140" s="3297" t="s">
        <v>4577</v>
      </c>
      <c r="E1140" s="3298" t="s">
        <v>4578</v>
      </c>
      <c r="F1140" s="3298" t="s">
        <v>2367</v>
      </c>
      <c r="G1140" s="3278">
        <v>3116.6631</v>
      </c>
      <c r="H1140" s="3299">
        <v>0</v>
      </c>
      <c r="I1140" s="3278">
        <v>0</v>
      </c>
    </row>
    <row r="1141" ht="12.75" customHeight="1" spans="2:9">
      <c r="B1141" s="3274">
        <v>75</v>
      </c>
      <c r="D1141" s="3297" t="s">
        <v>4579</v>
      </c>
      <c r="E1141" s="3298" t="s">
        <v>4580</v>
      </c>
      <c r="F1141" s="3298" t="s">
        <v>3056</v>
      </c>
      <c r="G1141" s="3278">
        <v>3960</v>
      </c>
      <c r="H1141" s="3299">
        <v>0</v>
      </c>
      <c r="I1141" s="3278">
        <v>0</v>
      </c>
    </row>
    <row r="1142" ht="12.75" customHeight="1" spans="2:9">
      <c r="B1142" s="3274">
        <v>76</v>
      </c>
      <c r="D1142" s="3297" t="s">
        <v>4581</v>
      </c>
      <c r="E1142" s="3298" t="s">
        <v>4582</v>
      </c>
      <c r="F1142" s="3298" t="s">
        <v>2367</v>
      </c>
      <c r="G1142" s="3278">
        <v>2090</v>
      </c>
      <c r="H1142" s="3299">
        <v>0</v>
      </c>
      <c r="I1142" s="3278">
        <v>0</v>
      </c>
    </row>
    <row r="1143" ht="12.75" customHeight="1" spans="2:9">
      <c r="B1143" s="3274">
        <v>77</v>
      </c>
      <c r="D1143" s="3297" t="s">
        <v>4583</v>
      </c>
      <c r="E1143" s="3298" t="s">
        <v>4584</v>
      </c>
      <c r="F1143" s="3298" t="s">
        <v>3056</v>
      </c>
      <c r="G1143" s="3278">
        <v>7427</v>
      </c>
      <c r="H1143" s="3299">
        <v>0</v>
      </c>
      <c r="I1143" s="3278">
        <v>0</v>
      </c>
    </row>
    <row r="1144" ht="12.75" customHeight="1" spans="2:9">
      <c r="B1144" s="3274">
        <v>78</v>
      </c>
      <c r="D1144" s="3297" t="s">
        <v>4585</v>
      </c>
      <c r="E1144" s="3298" t="s">
        <v>4586</v>
      </c>
      <c r="F1144" s="3298" t="s">
        <v>2367</v>
      </c>
      <c r="G1144" s="3278">
        <v>1122</v>
      </c>
      <c r="H1144" s="3299">
        <v>0</v>
      </c>
      <c r="I1144" s="3278">
        <v>0</v>
      </c>
    </row>
    <row r="1145" ht="12.75" customHeight="1" spans="2:9">
      <c r="B1145" s="3274">
        <v>79</v>
      </c>
      <c r="D1145" s="3297" t="s">
        <v>4587</v>
      </c>
      <c r="E1145" s="3298" t="s">
        <v>4588</v>
      </c>
      <c r="F1145" s="3298" t="s">
        <v>2321</v>
      </c>
      <c r="G1145" s="3278">
        <v>67589.5</v>
      </c>
      <c r="H1145" s="3299">
        <v>14</v>
      </c>
      <c r="I1145" s="3278">
        <v>946253</v>
      </c>
    </row>
    <row r="1146" ht="12.75" customHeight="1" spans="2:9">
      <c r="B1146" s="3274">
        <v>80</v>
      </c>
      <c r="D1146" s="3297" t="s">
        <v>4589</v>
      </c>
      <c r="E1146" s="3298" t="s">
        <v>4590</v>
      </c>
      <c r="F1146" s="3298" t="s">
        <v>2321</v>
      </c>
      <c r="G1146" s="3278">
        <v>225500</v>
      </c>
      <c r="H1146" s="3299">
        <v>0</v>
      </c>
      <c r="I1146" s="3278">
        <v>0</v>
      </c>
    </row>
    <row r="1147" ht="12.75" customHeight="1" spans="2:9">
      <c r="B1147" s="3274">
        <v>81</v>
      </c>
      <c r="D1147" s="3297" t="s">
        <v>4591</v>
      </c>
      <c r="E1147" s="3298" t="s">
        <v>4592</v>
      </c>
      <c r="F1147" s="3298" t="s">
        <v>2321</v>
      </c>
      <c r="G1147" s="3278">
        <v>148426.3</v>
      </c>
      <c r="H1147" s="3299">
        <v>0</v>
      </c>
      <c r="I1147" s="3278">
        <v>0</v>
      </c>
    </row>
    <row r="1148" ht="12.75" customHeight="1" spans="2:9">
      <c r="B1148" s="3274">
        <v>82</v>
      </c>
      <c r="D1148" s="3297" t="s">
        <v>4593</v>
      </c>
      <c r="E1148" s="3298" t="s">
        <v>4594</v>
      </c>
      <c r="F1148" s="3298" t="s">
        <v>3042</v>
      </c>
      <c r="G1148" s="3278">
        <v>6171.8745</v>
      </c>
      <c r="H1148" s="3299">
        <v>0</v>
      </c>
      <c r="I1148" s="3278">
        <v>0</v>
      </c>
    </row>
    <row r="1149" ht="12.75" customHeight="1" spans="2:9">
      <c r="B1149" s="3274">
        <v>83</v>
      </c>
      <c r="D1149" s="3297" t="s">
        <v>4595</v>
      </c>
      <c r="E1149" s="3298" t="s">
        <v>4596</v>
      </c>
      <c r="F1149" s="3298" t="s">
        <v>4357</v>
      </c>
      <c r="G1149" s="3278">
        <v>339.999</v>
      </c>
      <c r="H1149" s="3299">
        <v>0</v>
      </c>
      <c r="I1149" s="3278">
        <v>0</v>
      </c>
    </row>
    <row r="1150" ht="12.75" customHeight="1" spans="2:9">
      <c r="B1150" s="3274">
        <v>84</v>
      </c>
      <c r="D1150" s="3297" t="s">
        <v>4597</v>
      </c>
      <c r="E1150" s="3298" t="s">
        <v>4598</v>
      </c>
      <c r="F1150" s="3298" t="s">
        <v>2367</v>
      </c>
      <c r="G1150" s="3278">
        <v>2119.997</v>
      </c>
      <c r="H1150" s="3299">
        <v>0</v>
      </c>
      <c r="I1150" s="3278">
        <v>0</v>
      </c>
    </row>
    <row r="1151" ht="12.75" customHeight="1" spans="2:9">
      <c r="B1151" s="3274">
        <v>85</v>
      </c>
      <c r="D1151" s="3297" t="s">
        <v>4599</v>
      </c>
      <c r="E1151" s="3298" t="s">
        <v>4600</v>
      </c>
      <c r="F1151" s="3298" t="s">
        <v>2367</v>
      </c>
      <c r="G1151" s="3278">
        <v>1504.9165</v>
      </c>
      <c r="H1151" s="3299">
        <v>0</v>
      </c>
      <c r="I1151" s="3278">
        <v>0</v>
      </c>
    </row>
    <row r="1152" ht="12.75" customHeight="1" spans="2:9">
      <c r="B1152" s="3274">
        <v>86</v>
      </c>
      <c r="D1152" s="3297" t="s">
        <v>4601</v>
      </c>
      <c r="E1152" s="3298" t="s">
        <v>4602</v>
      </c>
      <c r="F1152" s="3298" t="s">
        <v>2367</v>
      </c>
      <c r="G1152" s="3278">
        <v>4689.3</v>
      </c>
      <c r="H1152" s="3299">
        <v>0</v>
      </c>
      <c r="I1152" s="3278">
        <v>0</v>
      </c>
    </row>
    <row r="1153" ht="12.75" customHeight="1" spans="2:9">
      <c r="B1153" s="3274">
        <v>87</v>
      </c>
      <c r="D1153" s="3297" t="s">
        <v>4603</v>
      </c>
      <c r="E1153" s="3298" t="s">
        <v>4604</v>
      </c>
      <c r="F1153" s="3298" t="s">
        <v>2321</v>
      </c>
      <c r="G1153" s="3278">
        <v>19272</v>
      </c>
      <c r="H1153" s="3299">
        <v>0</v>
      </c>
      <c r="I1153" s="3278">
        <v>0</v>
      </c>
    </row>
    <row r="1154" ht="12.75" customHeight="1" spans="2:9">
      <c r="B1154" s="3274">
        <v>88</v>
      </c>
      <c r="D1154" s="3297" t="s">
        <v>4605</v>
      </c>
      <c r="E1154" s="3298" t="s">
        <v>4606</v>
      </c>
      <c r="F1154" s="3298" t="s">
        <v>2321</v>
      </c>
      <c r="G1154" s="3278">
        <v>27368</v>
      </c>
      <c r="H1154" s="3299">
        <v>15</v>
      </c>
      <c r="I1154" s="3278">
        <v>410520</v>
      </c>
    </row>
    <row r="1155" ht="12.75" customHeight="1" spans="2:9">
      <c r="B1155" s="3274">
        <v>89</v>
      </c>
      <c r="D1155" s="3297" t="s">
        <v>4607</v>
      </c>
      <c r="E1155" s="3298" t="s">
        <v>4608</v>
      </c>
      <c r="F1155" s="3298" t="s">
        <v>4351</v>
      </c>
      <c r="G1155" s="3278">
        <v>1595</v>
      </c>
      <c r="H1155" s="3299">
        <v>0</v>
      </c>
      <c r="I1155" s="3278">
        <v>0</v>
      </c>
    </row>
    <row r="1156" ht="12.75" customHeight="1" spans="2:9">
      <c r="B1156" s="3274">
        <v>90</v>
      </c>
      <c r="D1156" s="3297" t="s">
        <v>4609</v>
      </c>
      <c r="E1156" s="3298" t="s">
        <v>4610</v>
      </c>
      <c r="F1156" s="3298" t="s">
        <v>3056</v>
      </c>
      <c r="G1156" s="3278">
        <v>12100</v>
      </c>
      <c r="H1156" s="3299">
        <v>0</v>
      </c>
      <c r="I1156" s="3278">
        <v>0</v>
      </c>
    </row>
    <row r="1157" ht="12.75" customHeight="1" spans="2:9">
      <c r="B1157" s="3274">
        <v>91</v>
      </c>
      <c r="D1157" s="3297" t="s">
        <v>4611</v>
      </c>
      <c r="E1157" s="3298" t="s">
        <v>4612</v>
      </c>
      <c r="F1157" s="3298" t="s">
        <v>2321</v>
      </c>
      <c r="G1157" s="3278">
        <v>69300</v>
      </c>
      <c r="H1157" s="3299">
        <v>0</v>
      </c>
      <c r="I1157" s="3278">
        <v>0</v>
      </c>
    </row>
    <row r="1158" ht="12.75" customHeight="1" spans="2:9">
      <c r="B1158" s="3274">
        <v>92</v>
      </c>
      <c r="D1158" s="3297" t="s">
        <v>4613</v>
      </c>
      <c r="E1158" s="3298" t="s">
        <v>4614</v>
      </c>
      <c r="F1158" s="3298" t="s">
        <v>2367</v>
      </c>
      <c r="G1158" s="3278">
        <v>1980</v>
      </c>
      <c r="H1158" s="3299">
        <v>0</v>
      </c>
      <c r="I1158" s="3278">
        <v>0</v>
      </c>
    </row>
    <row r="1159" ht="12.75" customHeight="1" spans="2:9">
      <c r="B1159" s="3274">
        <v>93</v>
      </c>
      <c r="D1159" s="3297" t="s">
        <v>4615</v>
      </c>
      <c r="E1159" s="3298" t="s">
        <v>4616</v>
      </c>
      <c r="F1159" s="3298" t="s">
        <v>2321</v>
      </c>
      <c r="G1159" s="3278">
        <v>36300</v>
      </c>
      <c r="H1159" s="3299">
        <v>0</v>
      </c>
      <c r="I1159" s="3278">
        <v>0</v>
      </c>
    </row>
    <row r="1160" ht="12.75" customHeight="1" spans="2:9">
      <c r="B1160" s="3274">
        <v>94</v>
      </c>
      <c r="D1160" s="3297" t="s">
        <v>4617</v>
      </c>
      <c r="E1160" s="3298" t="s">
        <v>4618</v>
      </c>
      <c r="F1160" s="3298" t="s">
        <v>2321</v>
      </c>
      <c r="G1160" s="3278">
        <v>33000</v>
      </c>
      <c r="H1160" s="3299">
        <v>0</v>
      </c>
      <c r="I1160" s="3278">
        <v>0</v>
      </c>
    </row>
    <row r="1161" ht="12.75" customHeight="1" spans="2:9">
      <c r="B1161" s="3274">
        <v>95</v>
      </c>
      <c r="D1161" s="3297" t="s">
        <v>4619</v>
      </c>
      <c r="E1161" s="3298" t="s">
        <v>4620</v>
      </c>
      <c r="F1161" s="3298" t="s">
        <v>3056</v>
      </c>
      <c r="G1161" s="3278">
        <v>14372.6</v>
      </c>
      <c r="H1161" s="3299">
        <v>0</v>
      </c>
      <c r="I1161" s="3278">
        <v>0</v>
      </c>
    </row>
    <row r="1162" ht="12.75" customHeight="1" spans="2:9">
      <c r="B1162" s="3274">
        <v>96</v>
      </c>
      <c r="D1162" s="3297" t="s">
        <v>4621</v>
      </c>
      <c r="E1162" s="3298" t="s">
        <v>4622</v>
      </c>
      <c r="F1162" s="3298" t="s">
        <v>2637</v>
      </c>
      <c r="G1162" s="3278">
        <v>48787.2</v>
      </c>
      <c r="H1162" s="3299">
        <v>0</v>
      </c>
      <c r="I1162" s="3278">
        <v>0</v>
      </c>
    </row>
    <row r="1163" ht="12.75" customHeight="1" spans="2:9">
      <c r="B1163" s="3274">
        <v>97</v>
      </c>
      <c r="D1163" s="3297" t="s">
        <v>4623</v>
      </c>
      <c r="E1163" s="3298" t="s">
        <v>4624</v>
      </c>
      <c r="F1163" s="3298" t="s">
        <v>2637</v>
      </c>
      <c r="G1163" s="3278">
        <v>52800</v>
      </c>
      <c r="H1163" s="3299">
        <v>0</v>
      </c>
      <c r="I1163" s="3278">
        <v>0</v>
      </c>
    </row>
    <row r="1164" ht="12.75" customHeight="1" spans="2:9">
      <c r="B1164" s="3274">
        <v>98</v>
      </c>
      <c r="D1164" s="3297" t="s">
        <v>4625</v>
      </c>
      <c r="E1164" s="3298" t="s">
        <v>4626</v>
      </c>
      <c r="F1164" s="3298" t="s">
        <v>3056</v>
      </c>
      <c r="G1164" s="3278">
        <v>14444.7273</v>
      </c>
      <c r="H1164" s="3299">
        <v>0</v>
      </c>
      <c r="I1164" s="3278">
        <v>0</v>
      </c>
    </row>
    <row r="1165" ht="12.75" customHeight="1" spans="2:9">
      <c r="B1165" s="3274">
        <v>99</v>
      </c>
      <c r="D1165" s="3297" t="s">
        <v>4627</v>
      </c>
      <c r="E1165" s="3298" t="s">
        <v>4628</v>
      </c>
      <c r="F1165" s="3298" t="s">
        <v>2843</v>
      </c>
      <c r="G1165" s="3278">
        <v>4965.5199</v>
      </c>
      <c r="H1165" s="3299">
        <v>0</v>
      </c>
      <c r="I1165" s="3278">
        <v>0</v>
      </c>
    </row>
    <row r="1166" ht="12.75" customHeight="1" spans="2:9">
      <c r="B1166" s="3274">
        <v>100</v>
      </c>
      <c r="D1166" s="3297" t="s">
        <v>4629</v>
      </c>
      <c r="E1166" s="3298" t="s">
        <v>4630</v>
      </c>
      <c r="F1166" s="3298" t="s">
        <v>3042</v>
      </c>
      <c r="G1166" s="3278">
        <v>9900</v>
      </c>
      <c r="H1166" s="3299">
        <v>0</v>
      </c>
      <c r="I1166" s="3278">
        <v>0</v>
      </c>
    </row>
    <row r="1167" ht="12.75" customHeight="1" spans="2:9">
      <c r="B1167" s="3274">
        <v>101</v>
      </c>
      <c r="D1167" s="3297" t="s">
        <v>4631</v>
      </c>
      <c r="E1167" s="3298" t="s">
        <v>4632</v>
      </c>
      <c r="F1167" s="3298" t="s">
        <v>2321</v>
      </c>
      <c r="G1167" s="3278">
        <v>13750</v>
      </c>
      <c r="H1167" s="3299">
        <v>0</v>
      </c>
      <c r="I1167" s="3278">
        <v>0</v>
      </c>
    </row>
    <row r="1168" ht="12.75" customHeight="1" spans="2:9">
      <c r="B1168" s="3274">
        <v>102</v>
      </c>
      <c r="D1168" s="3297" t="s">
        <v>4633</v>
      </c>
      <c r="E1168" s="3298" t="s">
        <v>4634</v>
      </c>
      <c r="F1168" s="3298" t="s">
        <v>3056</v>
      </c>
      <c r="G1168" s="3278">
        <v>8126.25</v>
      </c>
      <c r="H1168" s="3299">
        <v>0</v>
      </c>
      <c r="I1168" s="3278">
        <v>0</v>
      </c>
    </row>
    <row r="1169" ht="12.75" customHeight="1" spans="2:9">
      <c r="B1169" s="3274">
        <v>103</v>
      </c>
      <c r="D1169" s="3297" t="s">
        <v>4635</v>
      </c>
      <c r="E1169" s="3298" t="s">
        <v>4636</v>
      </c>
      <c r="F1169" s="3298" t="s">
        <v>3056</v>
      </c>
      <c r="G1169" s="3278">
        <v>1050.5</v>
      </c>
      <c r="H1169" s="3299">
        <v>0</v>
      </c>
      <c r="I1169" s="3278">
        <v>0</v>
      </c>
    </row>
    <row r="1170" ht="12.75" customHeight="1" spans="2:9">
      <c r="B1170" s="3274">
        <v>104</v>
      </c>
      <c r="D1170" s="3297" t="s">
        <v>4637</v>
      </c>
      <c r="E1170" s="3298" t="s">
        <v>4638</v>
      </c>
      <c r="F1170" s="3298" t="s">
        <v>2367</v>
      </c>
      <c r="G1170" s="3278">
        <v>935</v>
      </c>
      <c r="H1170" s="3299">
        <v>0</v>
      </c>
      <c r="I1170" s="3278">
        <v>0</v>
      </c>
    </row>
    <row r="1171" ht="12.75" customHeight="1" spans="2:9">
      <c r="B1171" s="3274">
        <v>105</v>
      </c>
      <c r="D1171" s="3297" t="s">
        <v>4639</v>
      </c>
      <c r="E1171" s="3298" t="s">
        <v>4640</v>
      </c>
      <c r="F1171" s="3298" t="s">
        <v>2321</v>
      </c>
      <c r="G1171" s="3278">
        <v>34999.998</v>
      </c>
      <c r="H1171" s="3299">
        <v>0</v>
      </c>
      <c r="I1171" s="3278">
        <v>0</v>
      </c>
    </row>
    <row r="1172" ht="12.75" customHeight="1" spans="2:9">
      <c r="B1172" s="3274">
        <v>106</v>
      </c>
      <c r="D1172" s="3297" t="s">
        <v>4641</v>
      </c>
      <c r="E1172" s="3298" t="s">
        <v>4642</v>
      </c>
      <c r="F1172" s="3298" t="s">
        <v>3056</v>
      </c>
      <c r="G1172" s="3278">
        <v>2473.9</v>
      </c>
      <c r="H1172" s="3299">
        <v>0</v>
      </c>
      <c r="I1172" s="3278">
        <v>0</v>
      </c>
    </row>
    <row r="1173" ht="12.75" customHeight="1" spans="2:9">
      <c r="B1173" s="3274">
        <v>107</v>
      </c>
      <c r="D1173" s="3297" t="s">
        <v>4643</v>
      </c>
      <c r="E1173" s="3298" t="s">
        <v>4644</v>
      </c>
      <c r="F1173" s="3298" t="s">
        <v>3056</v>
      </c>
      <c r="G1173" s="3278">
        <v>524.7</v>
      </c>
      <c r="H1173" s="3299">
        <v>900</v>
      </c>
      <c r="I1173" s="3278">
        <v>472230</v>
      </c>
    </row>
    <row r="1174" ht="12.75" customHeight="1" spans="2:9">
      <c r="B1174" s="3274">
        <v>108</v>
      </c>
      <c r="D1174" s="3297" t="s">
        <v>4645</v>
      </c>
      <c r="E1174" s="3298" t="s">
        <v>4646</v>
      </c>
      <c r="F1174" s="3298" t="s">
        <v>2637</v>
      </c>
      <c r="G1174" s="3278">
        <v>55000</v>
      </c>
      <c r="H1174" s="3299">
        <v>0</v>
      </c>
      <c r="I1174" s="3278">
        <v>0</v>
      </c>
    </row>
    <row r="1175" ht="12.75" customHeight="1" spans="2:9">
      <c r="B1175" s="3274">
        <v>109</v>
      </c>
      <c r="D1175" s="3297" t="s">
        <v>4647</v>
      </c>
      <c r="E1175" s="3298" t="s">
        <v>4648</v>
      </c>
      <c r="F1175" s="3298" t="s">
        <v>4351</v>
      </c>
      <c r="G1175" s="3278">
        <v>12941</v>
      </c>
      <c r="H1175" s="3299">
        <v>0</v>
      </c>
      <c r="I1175" s="3278">
        <v>0</v>
      </c>
    </row>
    <row r="1176" ht="12.75" customHeight="1" spans="2:9">
      <c r="B1176" s="3274">
        <v>110</v>
      </c>
      <c r="D1176" s="3297" t="s">
        <v>4649</v>
      </c>
      <c r="E1176" s="3298" t="s">
        <v>4650</v>
      </c>
      <c r="F1176" s="3298" t="s">
        <v>3056</v>
      </c>
      <c r="G1176" s="3278">
        <v>1892</v>
      </c>
      <c r="H1176" s="3299">
        <v>200</v>
      </c>
      <c r="I1176" s="3278">
        <v>378400</v>
      </c>
    </row>
    <row r="1177" ht="12.75" customHeight="1" spans="2:9">
      <c r="B1177" s="3274">
        <v>111</v>
      </c>
      <c r="D1177" s="3297" t="s">
        <v>4651</v>
      </c>
      <c r="E1177" s="3298" t="s">
        <v>4652</v>
      </c>
      <c r="F1177" s="3298" t="s">
        <v>2321</v>
      </c>
      <c r="G1177" s="3278">
        <v>51150</v>
      </c>
      <c r="H1177" s="3299">
        <v>0</v>
      </c>
      <c r="I1177" s="3278">
        <v>0</v>
      </c>
    </row>
    <row r="1178" ht="12.75" customHeight="1" spans="2:9">
      <c r="B1178" s="3274">
        <v>112</v>
      </c>
      <c r="D1178" s="3297" t="s">
        <v>4653</v>
      </c>
      <c r="E1178" s="3298" t="s">
        <v>4654</v>
      </c>
      <c r="F1178" s="3298" t="s">
        <v>3056</v>
      </c>
      <c r="G1178" s="3278">
        <v>9900</v>
      </c>
      <c r="H1178" s="3299">
        <v>0</v>
      </c>
      <c r="I1178" s="3278">
        <v>0</v>
      </c>
    </row>
    <row r="1179" ht="12.75" customHeight="1" spans="2:9">
      <c r="B1179" s="3274">
        <v>113</v>
      </c>
      <c r="D1179" s="3297" t="s">
        <v>4655</v>
      </c>
      <c r="E1179" s="3298" t="s">
        <v>4656</v>
      </c>
      <c r="F1179" s="3298" t="s">
        <v>3056</v>
      </c>
      <c r="G1179" s="3278">
        <v>8800</v>
      </c>
      <c r="H1179" s="3299">
        <v>0</v>
      </c>
      <c r="I1179" s="3278">
        <v>0</v>
      </c>
    </row>
    <row r="1180" ht="12.75" customHeight="1" spans="2:9">
      <c r="B1180" s="3274">
        <v>114</v>
      </c>
      <c r="D1180" s="3297" t="s">
        <v>4657</v>
      </c>
      <c r="E1180" s="3298" t="s">
        <v>4658</v>
      </c>
      <c r="F1180" s="3298" t="s">
        <v>2367</v>
      </c>
      <c r="G1180" s="3278">
        <v>11000</v>
      </c>
      <c r="H1180" s="3299">
        <v>0</v>
      </c>
      <c r="I1180" s="3278">
        <v>0</v>
      </c>
    </row>
    <row r="1181" ht="12.75" customHeight="1" spans="2:9">
      <c r="B1181" s="3274">
        <v>115</v>
      </c>
      <c r="D1181" s="3297" t="s">
        <v>4659</v>
      </c>
      <c r="E1181" s="3298" t="s">
        <v>4660</v>
      </c>
      <c r="F1181" s="3298" t="s">
        <v>2367</v>
      </c>
      <c r="G1181" s="3278">
        <v>2612.5</v>
      </c>
      <c r="H1181" s="3299">
        <v>200</v>
      </c>
      <c r="I1181" s="3278">
        <v>522500</v>
      </c>
    </row>
    <row r="1182" ht="12.75" customHeight="1" spans="2:9">
      <c r="B1182" s="3274">
        <v>116</v>
      </c>
      <c r="D1182" s="3297" t="s">
        <v>4661</v>
      </c>
      <c r="E1182" s="3298" t="s">
        <v>4662</v>
      </c>
      <c r="F1182" s="3298" t="s">
        <v>2367</v>
      </c>
      <c r="G1182" s="3278">
        <v>1552.683</v>
      </c>
      <c r="H1182" s="3299">
        <v>0</v>
      </c>
      <c r="I1182" s="3278">
        <v>0</v>
      </c>
    </row>
    <row r="1183" ht="12.75" customHeight="1" spans="2:9">
      <c r="B1183" s="3274">
        <v>117</v>
      </c>
      <c r="D1183" s="3297" t="s">
        <v>4663</v>
      </c>
      <c r="E1183" s="3298" t="s">
        <v>4664</v>
      </c>
      <c r="F1183" s="3298" t="s">
        <v>3056</v>
      </c>
      <c r="G1183" s="3278">
        <v>13565</v>
      </c>
      <c r="H1183" s="3299">
        <v>0</v>
      </c>
      <c r="I1183" s="3278">
        <v>0</v>
      </c>
    </row>
    <row r="1184" ht="12.75" customHeight="1" spans="2:9">
      <c r="B1184" s="3274">
        <v>118</v>
      </c>
      <c r="D1184" s="3297" t="s">
        <v>4665</v>
      </c>
      <c r="E1184" s="3298" t="s">
        <v>4666</v>
      </c>
      <c r="F1184" s="3298" t="s">
        <v>2321</v>
      </c>
      <c r="G1184" s="3278">
        <v>88000</v>
      </c>
      <c r="H1184" s="3299">
        <v>0</v>
      </c>
      <c r="I1184" s="3278">
        <v>0</v>
      </c>
    </row>
    <row r="1185" ht="12.75" customHeight="1" spans="2:9">
      <c r="B1185" s="3274">
        <v>119</v>
      </c>
      <c r="D1185" s="3297" t="s">
        <v>4667</v>
      </c>
      <c r="E1185" s="3298" t="s">
        <v>4668</v>
      </c>
      <c r="F1185" s="3298" t="s">
        <v>2637</v>
      </c>
      <c r="G1185" s="3278">
        <v>83098.4</v>
      </c>
      <c r="H1185" s="3299">
        <v>0</v>
      </c>
      <c r="I1185" s="3278">
        <v>0</v>
      </c>
    </row>
    <row r="1186" ht="12.75" customHeight="1" spans="2:9">
      <c r="B1186" s="3274">
        <v>120</v>
      </c>
      <c r="D1186" s="3297" t="s">
        <v>4669</v>
      </c>
      <c r="E1186" s="3298" t="s">
        <v>4670</v>
      </c>
      <c r="F1186" s="3298" t="s">
        <v>2367</v>
      </c>
      <c r="G1186" s="3278">
        <v>18525.1</v>
      </c>
      <c r="H1186" s="3299">
        <v>0</v>
      </c>
      <c r="I1186" s="3278">
        <v>0</v>
      </c>
    </row>
    <row r="1187" ht="12.75" customHeight="1" spans="2:9">
      <c r="B1187" s="3274">
        <v>121</v>
      </c>
      <c r="D1187" s="3297" t="s">
        <v>4671</v>
      </c>
      <c r="E1187" s="3298" t="s">
        <v>4672</v>
      </c>
      <c r="F1187" s="3298" t="s">
        <v>2321</v>
      </c>
      <c r="G1187" s="3278">
        <v>24905.1</v>
      </c>
      <c r="H1187" s="3299">
        <v>0</v>
      </c>
      <c r="I1187" s="3278">
        <v>0</v>
      </c>
    </row>
    <row r="1188" ht="12.75" customHeight="1" spans="2:9">
      <c r="B1188" s="3274">
        <v>122</v>
      </c>
      <c r="D1188" s="3297" t="s">
        <v>4673</v>
      </c>
      <c r="E1188" s="3298" t="s">
        <v>4674</v>
      </c>
      <c r="F1188" s="3298" t="s">
        <v>2637</v>
      </c>
      <c r="G1188" s="3278">
        <v>62150</v>
      </c>
      <c r="H1188" s="3299">
        <v>0</v>
      </c>
      <c r="I1188" s="3278">
        <v>0</v>
      </c>
    </row>
    <row r="1189" ht="12.75" customHeight="1" spans="2:9">
      <c r="B1189" s="3274">
        <v>123</v>
      </c>
      <c r="D1189" s="3297" t="s">
        <v>4675</v>
      </c>
      <c r="E1189" s="3298" t="s">
        <v>4676</v>
      </c>
      <c r="F1189" s="3298" t="s">
        <v>3056</v>
      </c>
      <c r="G1189" s="3278">
        <v>2110.9</v>
      </c>
      <c r="H1189" s="3299">
        <v>0</v>
      </c>
      <c r="I1189" s="3278">
        <v>0</v>
      </c>
    </row>
    <row r="1190" ht="12.75" customHeight="1" spans="2:9">
      <c r="B1190" s="3274">
        <v>124</v>
      </c>
      <c r="D1190" s="3297" t="s">
        <v>4677</v>
      </c>
      <c r="E1190" s="3298" t="s">
        <v>4678</v>
      </c>
      <c r="F1190" s="3298" t="s">
        <v>2367</v>
      </c>
      <c r="G1190" s="3278">
        <v>1628</v>
      </c>
      <c r="H1190" s="3299">
        <v>0</v>
      </c>
      <c r="I1190" s="3278">
        <v>0</v>
      </c>
    </row>
    <row r="1191" ht="12.75" customHeight="1" spans="2:9">
      <c r="B1191" s="3274">
        <v>125</v>
      </c>
      <c r="D1191" s="3297" t="s">
        <v>4679</v>
      </c>
      <c r="E1191" s="3298" t="s">
        <v>4680</v>
      </c>
      <c r="F1191" s="3298" t="s">
        <v>2367</v>
      </c>
      <c r="G1191" s="3278">
        <v>739.827</v>
      </c>
      <c r="H1191" s="3299">
        <v>0</v>
      </c>
      <c r="I1191" s="3278">
        <v>0</v>
      </c>
    </row>
    <row r="1192" ht="12.75" customHeight="1" spans="2:9">
      <c r="B1192" s="3274">
        <v>126</v>
      </c>
      <c r="D1192" s="3297" t="s">
        <v>4681</v>
      </c>
      <c r="E1192" s="3298" t="s">
        <v>4682</v>
      </c>
      <c r="F1192" s="3298" t="s">
        <v>2321</v>
      </c>
      <c r="G1192" s="3278">
        <v>23985.5</v>
      </c>
      <c r="H1192" s="3299">
        <v>0</v>
      </c>
      <c r="I1192" s="3278">
        <v>0</v>
      </c>
    </row>
    <row r="1193" ht="12.75" customHeight="1" spans="2:9">
      <c r="B1193" s="3274">
        <v>127</v>
      </c>
      <c r="D1193" s="3297" t="s">
        <v>4683</v>
      </c>
      <c r="E1193" s="3298" t="s">
        <v>4684</v>
      </c>
      <c r="F1193" s="3298" t="s">
        <v>2810</v>
      </c>
      <c r="G1193" s="3278">
        <v>6991.6</v>
      </c>
      <c r="H1193" s="3299">
        <v>0</v>
      </c>
      <c r="I1193" s="3278">
        <v>0</v>
      </c>
    </row>
    <row r="1194" ht="12.75" customHeight="1" spans="2:9">
      <c r="B1194" s="3274">
        <v>128</v>
      </c>
      <c r="D1194" s="3297" t="s">
        <v>4685</v>
      </c>
      <c r="E1194" s="3298" t="s">
        <v>4686</v>
      </c>
      <c r="F1194" s="3298" t="s">
        <v>2321</v>
      </c>
      <c r="G1194" s="3278">
        <v>56100</v>
      </c>
      <c r="H1194" s="3299">
        <v>0</v>
      </c>
      <c r="I1194" s="3278">
        <v>0</v>
      </c>
    </row>
    <row r="1195" ht="12.75" customHeight="1" spans="2:9">
      <c r="B1195" s="3274">
        <v>129</v>
      </c>
      <c r="D1195" s="3297" t="s">
        <v>4687</v>
      </c>
      <c r="E1195" s="3298" t="s">
        <v>4688</v>
      </c>
      <c r="F1195" s="3298" t="s">
        <v>2321</v>
      </c>
      <c r="G1195" s="3278">
        <v>82500</v>
      </c>
      <c r="H1195" s="3299">
        <v>0</v>
      </c>
      <c r="I1195" s="3278">
        <v>0</v>
      </c>
    </row>
    <row r="1196" ht="12.75" customHeight="1" spans="2:9">
      <c r="B1196" s="3274">
        <v>130</v>
      </c>
      <c r="D1196" s="3297" t="s">
        <v>4689</v>
      </c>
      <c r="E1196" s="3298" t="s">
        <v>4690</v>
      </c>
      <c r="F1196" s="3298" t="s">
        <v>3056</v>
      </c>
      <c r="G1196" s="3278">
        <v>11000</v>
      </c>
      <c r="H1196" s="3299">
        <v>0</v>
      </c>
      <c r="I1196" s="3278">
        <v>0</v>
      </c>
    </row>
    <row r="1197" ht="12.75" customHeight="1" spans="2:9">
      <c r="B1197" s="3274">
        <v>131</v>
      </c>
      <c r="D1197" s="3297" t="s">
        <v>4691</v>
      </c>
      <c r="E1197" s="3298" t="s">
        <v>4692</v>
      </c>
      <c r="F1197" s="3298" t="s">
        <v>2321</v>
      </c>
      <c r="G1197" s="3278">
        <v>1430</v>
      </c>
      <c r="H1197" s="3299">
        <v>0</v>
      </c>
      <c r="I1197" s="3278">
        <v>0</v>
      </c>
    </row>
    <row r="1198" ht="12.75" customHeight="1" spans="2:9">
      <c r="B1198" s="3274">
        <v>132</v>
      </c>
      <c r="D1198" s="3297" t="s">
        <v>4693</v>
      </c>
      <c r="E1198" s="3298" t="s">
        <v>4694</v>
      </c>
      <c r="F1198" s="3298" t="s">
        <v>2637</v>
      </c>
      <c r="G1198" s="3278">
        <v>18000</v>
      </c>
      <c r="H1198" s="3299">
        <v>0</v>
      </c>
      <c r="I1198" s="3278">
        <v>0</v>
      </c>
    </row>
    <row r="1199" ht="12.75" customHeight="1" spans="2:9">
      <c r="B1199" s="3274">
        <v>133</v>
      </c>
      <c r="D1199" s="3297" t="s">
        <v>4695</v>
      </c>
      <c r="E1199" s="3298" t="s">
        <v>4696</v>
      </c>
      <c r="F1199" s="3298" t="s">
        <v>2637</v>
      </c>
      <c r="G1199" s="3278">
        <v>6600</v>
      </c>
      <c r="H1199" s="3299">
        <v>0</v>
      </c>
      <c r="I1199" s="3278">
        <v>0</v>
      </c>
    </row>
    <row r="1200" ht="12.75" customHeight="1" spans="2:9">
      <c r="B1200" s="3274">
        <v>134</v>
      </c>
      <c r="D1200" s="3297" t="s">
        <v>4697</v>
      </c>
      <c r="E1200" s="3298" t="s">
        <v>4698</v>
      </c>
      <c r="F1200" s="3298" t="s">
        <v>2637</v>
      </c>
      <c r="G1200" s="3278">
        <v>15400</v>
      </c>
      <c r="H1200" s="3299">
        <v>0</v>
      </c>
      <c r="I1200" s="3278">
        <v>0</v>
      </c>
    </row>
    <row r="1201" ht="12.75" customHeight="1" spans="2:9">
      <c r="B1201" s="3274">
        <v>135</v>
      </c>
      <c r="D1201" s="3297" t="s">
        <v>4699</v>
      </c>
      <c r="E1201" s="3298" t="s">
        <v>4700</v>
      </c>
      <c r="F1201" s="3298" t="s">
        <v>2637</v>
      </c>
      <c r="G1201" s="3278">
        <v>8250</v>
      </c>
      <c r="H1201" s="3299">
        <v>0</v>
      </c>
      <c r="I1201" s="3278">
        <v>0</v>
      </c>
    </row>
    <row r="1202" ht="12.75" customHeight="1" spans="2:9">
      <c r="B1202" s="3274">
        <v>136</v>
      </c>
      <c r="D1202" s="3297" t="s">
        <v>4701</v>
      </c>
      <c r="E1202" s="3298" t="s">
        <v>4702</v>
      </c>
      <c r="F1202" s="3298" t="s">
        <v>3056</v>
      </c>
      <c r="G1202" s="3278">
        <v>2860</v>
      </c>
      <c r="H1202" s="3299">
        <v>0</v>
      </c>
      <c r="I1202" s="3278">
        <v>0</v>
      </c>
    </row>
    <row r="1203" ht="12.75" customHeight="1" spans="2:9">
      <c r="B1203" s="3274">
        <v>137</v>
      </c>
      <c r="D1203" s="3297" t="s">
        <v>4703</v>
      </c>
      <c r="E1203" s="3298" t="s">
        <v>4704</v>
      </c>
      <c r="F1203" s="3298" t="s">
        <v>2367</v>
      </c>
      <c r="G1203" s="3278">
        <v>990</v>
      </c>
      <c r="H1203" s="3299">
        <v>0</v>
      </c>
      <c r="I1203" s="3278">
        <v>0</v>
      </c>
    </row>
    <row r="1204" ht="12.75" customHeight="1" spans="2:9">
      <c r="B1204" s="3274">
        <v>138</v>
      </c>
      <c r="D1204" s="3297" t="s">
        <v>4705</v>
      </c>
      <c r="E1204" s="3298" t="s">
        <v>4706</v>
      </c>
      <c r="F1204" s="3298" t="s">
        <v>3620</v>
      </c>
      <c r="G1204" s="3278">
        <v>102795</v>
      </c>
      <c r="H1204" s="3299">
        <v>0</v>
      </c>
      <c r="I1204" s="3278">
        <v>0</v>
      </c>
    </row>
    <row r="1205" ht="12.75" customHeight="1" spans="2:9">
      <c r="B1205" s="3274">
        <v>139</v>
      </c>
      <c r="D1205" s="3297" t="s">
        <v>4707</v>
      </c>
      <c r="E1205" s="3298" t="s">
        <v>4708</v>
      </c>
      <c r="F1205" s="3298" t="s">
        <v>2637</v>
      </c>
      <c r="G1205" s="3278">
        <v>68530</v>
      </c>
      <c r="H1205" s="3299">
        <v>0</v>
      </c>
      <c r="I1205" s="3278">
        <v>0</v>
      </c>
    </row>
    <row r="1206" ht="12.75" customHeight="1" spans="2:9">
      <c r="B1206" s="3274">
        <v>140</v>
      </c>
      <c r="D1206" s="3297" t="s">
        <v>4709</v>
      </c>
      <c r="E1206" s="3298" t="s">
        <v>4710</v>
      </c>
      <c r="F1206" s="3298" t="s">
        <v>3056</v>
      </c>
      <c r="G1206" s="3278">
        <v>1265</v>
      </c>
      <c r="H1206" s="3299">
        <v>0</v>
      </c>
      <c r="I1206" s="3278">
        <v>0</v>
      </c>
    </row>
    <row r="1207" ht="12.75" customHeight="1" spans="2:9">
      <c r="B1207" s="3274">
        <v>141</v>
      </c>
      <c r="D1207" s="3297" t="s">
        <v>4711</v>
      </c>
      <c r="E1207" s="3298" t="s">
        <v>4712</v>
      </c>
      <c r="F1207" s="3298" t="s">
        <v>2321</v>
      </c>
      <c r="G1207" s="3278">
        <v>12964.05</v>
      </c>
      <c r="H1207" s="3299">
        <v>0</v>
      </c>
      <c r="I1207" s="3278">
        <v>0</v>
      </c>
    </row>
    <row r="1208" ht="12.75" customHeight="1" spans="2:9">
      <c r="B1208" s="3274">
        <v>142</v>
      </c>
      <c r="D1208" s="3297" t="s">
        <v>4713</v>
      </c>
      <c r="E1208" s="3298" t="s">
        <v>4714</v>
      </c>
      <c r="F1208" s="3298" t="s">
        <v>2321</v>
      </c>
      <c r="G1208" s="3278">
        <v>29323</v>
      </c>
      <c r="H1208" s="3299">
        <v>0</v>
      </c>
      <c r="I1208" s="3278">
        <v>0</v>
      </c>
    </row>
    <row r="1209" ht="12.75" customHeight="1" spans="2:9">
      <c r="B1209" s="3274">
        <v>143</v>
      </c>
      <c r="D1209" s="3297" t="s">
        <v>4715</v>
      </c>
      <c r="E1209" s="3298" t="s">
        <v>4716</v>
      </c>
      <c r="F1209" s="3298" t="s">
        <v>2637</v>
      </c>
      <c r="G1209" s="3278">
        <v>7535</v>
      </c>
      <c r="H1209" s="3299">
        <v>0</v>
      </c>
      <c r="I1209" s="3278">
        <v>0</v>
      </c>
    </row>
    <row r="1210" ht="12.75" customHeight="1" spans="2:9">
      <c r="B1210" s="3274">
        <v>144</v>
      </c>
      <c r="D1210" s="3297" t="s">
        <v>4717</v>
      </c>
      <c r="E1210" s="3298" t="s">
        <v>4718</v>
      </c>
      <c r="F1210" s="3298" t="s">
        <v>2388</v>
      </c>
      <c r="G1210" s="3278">
        <v>236.17</v>
      </c>
      <c r="H1210" s="3299">
        <v>0</v>
      </c>
      <c r="I1210" s="3278">
        <v>0</v>
      </c>
    </row>
    <row r="1211" ht="12.75" customHeight="1" spans="2:9">
      <c r="B1211" s="3274">
        <v>145</v>
      </c>
      <c r="D1211" s="3297" t="s">
        <v>4719</v>
      </c>
      <c r="E1211" s="3298" t="s">
        <v>4720</v>
      </c>
      <c r="F1211" s="3298" t="s">
        <v>2388</v>
      </c>
      <c r="G1211" s="3278">
        <v>247.06</v>
      </c>
      <c r="H1211" s="3299">
        <v>0</v>
      </c>
      <c r="I1211" s="3278">
        <v>0</v>
      </c>
    </row>
    <row r="1212" ht="12.75" customHeight="1" spans="2:9">
      <c r="B1212" s="3274">
        <v>146</v>
      </c>
      <c r="D1212" s="3297" t="s">
        <v>4721</v>
      </c>
      <c r="E1212" s="3298" t="s">
        <v>4722</v>
      </c>
      <c r="F1212" s="3298" t="s">
        <v>2321</v>
      </c>
      <c r="G1212" s="3278">
        <v>18700</v>
      </c>
      <c r="H1212" s="3299">
        <v>0</v>
      </c>
      <c r="I1212" s="3278">
        <v>0</v>
      </c>
    </row>
    <row r="1213" ht="12.75" customHeight="1" spans="2:9">
      <c r="B1213" s="3274">
        <v>147</v>
      </c>
      <c r="D1213" s="3297" t="s">
        <v>4723</v>
      </c>
      <c r="E1213" s="3298" t="s">
        <v>4724</v>
      </c>
      <c r="F1213" s="3298" t="s">
        <v>2321</v>
      </c>
      <c r="G1213" s="3278">
        <v>19085</v>
      </c>
      <c r="H1213" s="3299">
        <v>0</v>
      </c>
      <c r="I1213" s="3278">
        <v>0</v>
      </c>
    </row>
    <row r="1214" ht="12.75" customHeight="1" spans="2:9">
      <c r="B1214" s="3274">
        <v>148</v>
      </c>
      <c r="D1214" s="3297" t="s">
        <v>4725</v>
      </c>
      <c r="E1214" s="3298" t="s">
        <v>4726</v>
      </c>
      <c r="F1214" s="3298" t="s">
        <v>2321</v>
      </c>
      <c r="G1214" s="3278">
        <v>4150.3</v>
      </c>
      <c r="H1214" s="3299">
        <v>0</v>
      </c>
      <c r="I1214" s="3278">
        <v>0</v>
      </c>
    </row>
    <row r="1215" ht="12.75" customHeight="1" spans="2:9">
      <c r="B1215" s="3274">
        <v>149</v>
      </c>
      <c r="D1215" s="3297" t="s">
        <v>4727</v>
      </c>
      <c r="E1215" s="3298" t="s">
        <v>4728</v>
      </c>
      <c r="F1215" s="3298" t="s">
        <v>2321</v>
      </c>
      <c r="G1215" s="3278">
        <v>38284.4</v>
      </c>
      <c r="H1215" s="3299">
        <v>0</v>
      </c>
      <c r="I1215" s="3278">
        <v>0</v>
      </c>
    </row>
    <row r="1216" ht="12.75" customHeight="1" spans="2:9">
      <c r="B1216" s="3274">
        <v>150</v>
      </c>
      <c r="D1216" s="3297" t="s">
        <v>4729</v>
      </c>
      <c r="E1216" s="3298" t="s">
        <v>4730</v>
      </c>
      <c r="F1216" s="3298" t="s">
        <v>2321</v>
      </c>
      <c r="G1216" s="3278">
        <v>37400</v>
      </c>
      <c r="H1216" s="3299">
        <v>0</v>
      </c>
      <c r="I1216" s="3278">
        <v>0</v>
      </c>
    </row>
    <row r="1217" ht="12.75" customHeight="1" spans="2:9">
      <c r="B1217" s="3274">
        <v>151</v>
      </c>
      <c r="D1217" s="3297" t="s">
        <v>4731</v>
      </c>
      <c r="E1217" s="3298" t="s">
        <v>4732</v>
      </c>
      <c r="F1217" s="3298" t="s">
        <v>2321</v>
      </c>
      <c r="G1217" s="3278">
        <v>70400</v>
      </c>
      <c r="H1217" s="3299">
        <v>0</v>
      </c>
      <c r="I1217" s="3278">
        <v>0</v>
      </c>
    </row>
    <row r="1218" ht="12.75" customHeight="1" spans="2:9">
      <c r="B1218" s="3274">
        <v>152</v>
      </c>
      <c r="D1218" s="3297" t="s">
        <v>4733</v>
      </c>
      <c r="E1218" s="3298" t="s">
        <v>4734</v>
      </c>
      <c r="F1218" s="3298" t="s">
        <v>2321</v>
      </c>
      <c r="G1218" s="3278">
        <v>54450</v>
      </c>
      <c r="H1218" s="3299">
        <v>4</v>
      </c>
      <c r="I1218" s="3278">
        <v>217800</v>
      </c>
    </row>
    <row r="1219" ht="12.75" customHeight="1" spans="2:9">
      <c r="B1219" s="3274">
        <v>153</v>
      </c>
      <c r="D1219" s="3297" t="s">
        <v>4735</v>
      </c>
      <c r="E1219" s="3298" t="s">
        <v>4736</v>
      </c>
      <c r="F1219" s="3298" t="s">
        <v>3056</v>
      </c>
      <c r="G1219" s="3278">
        <v>14150</v>
      </c>
      <c r="H1219" s="3299">
        <v>0</v>
      </c>
      <c r="I1219" s="3278">
        <v>0</v>
      </c>
    </row>
    <row r="1220" ht="12.75" customHeight="1" spans="2:9">
      <c r="B1220" s="3274">
        <v>154</v>
      </c>
      <c r="D1220" s="3297" t="s">
        <v>4737</v>
      </c>
      <c r="E1220" s="3298" t="s">
        <v>4738</v>
      </c>
      <c r="F1220" s="3298" t="s">
        <v>2637</v>
      </c>
      <c r="G1220" s="3278">
        <v>7651.875</v>
      </c>
      <c r="H1220" s="3299">
        <v>0</v>
      </c>
      <c r="I1220" s="3278">
        <v>0</v>
      </c>
    </row>
    <row r="1221" ht="12.75" customHeight="1" spans="2:9">
      <c r="B1221" s="3274">
        <v>155</v>
      </c>
      <c r="D1221" s="3297" t="s">
        <v>4739</v>
      </c>
      <c r="E1221" s="3298" t="s">
        <v>4740</v>
      </c>
      <c r="F1221" s="3298" t="s">
        <v>2637</v>
      </c>
      <c r="G1221" s="3278">
        <v>12127.5</v>
      </c>
      <c r="H1221" s="3299">
        <v>163</v>
      </c>
      <c r="I1221" s="3278">
        <v>1976782.5</v>
      </c>
    </row>
    <row r="1222" ht="12.75" customHeight="1" spans="2:9">
      <c r="B1222" s="3274">
        <v>156</v>
      </c>
      <c r="D1222" s="3297" t="s">
        <v>4741</v>
      </c>
      <c r="E1222" s="3298" t="s">
        <v>4742</v>
      </c>
      <c r="F1222" s="3298" t="s">
        <v>3056</v>
      </c>
      <c r="G1222" s="3278">
        <v>1243</v>
      </c>
      <c r="H1222" s="3299">
        <v>0</v>
      </c>
      <c r="I1222" s="3278">
        <v>0</v>
      </c>
    </row>
    <row r="1223" ht="12.75" customHeight="1" spans="2:9">
      <c r="B1223" s="3274">
        <v>157</v>
      </c>
      <c r="D1223" s="3297" t="s">
        <v>4743</v>
      </c>
      <c r="E1223" s="3298" t="s">
        <v>4744</v>
      </c>
      <c r="F1223" s="3298" t="s">
        <v>3056</v>
      </c>
      <c r="G1223" s="3278">
        <v>10890</v>
      </c>
      <c r="H1223" s="3299">
        <v>0</v>
      </c>
      <c r="I1223" s="3278">
        <v>0</v>
      </c>
    </row>
    <row r="1224" ht="12.75" customHeight="1" spans="2:9">
      <c r="B1224" s="3274">
        <v>158</v>
      </c>
      <c r="D1224" s="3297" t="s">
        <v>4745</v>
      </c>
      <c r="E1224" s="3298" t="s">
        <v>4746</v>
      </c>
      <c r="F1224" s="3298" t="s">
        <v>3056</v>
      </c>
      <c r="G1224" s="3278">
        <v>132</v>
      </c>
      <c r="H1224" s="3299">
        <v>0</v>
      </c>
      <c r="I1224" s="3278">
        <v>0</v>
      </c>
    </row>
    <row r="1225" ht="12.75" customHeight="1" spans="2:9">
      <c r="B1225" s="3274">
        <v>159</v>
      </c>
      <c r="D1225" s="3297" t="s">
        <v>4747</v>
      </c>
      <c r="E1225" s="3298" t="s">
        <v>4748</v>
      </c>
      <c r="F1225" s="3298" t="s">
        <v>3056</v>
      </c>
      <c r="G1225" s="3278">
        <v>2970</v>
      </c>
      <c r="H1225" s="3299">
        <v>0</v>
      </c>
      <c r="I1225" s="3278">
        <v>0</v>
      </c>
    </row>
    <row r="1226" ht="12.75" customHeight="1" spans="2:9">
      <c r="B1226" s="3274">
        <v>160</v>
      </c>
      <c r="D1226" s="3297" t="s">
        <v>4749</v>
      </c>
      <c r="E1226" s="3298" t="s">
        <v>4750</v>
      </c>
      <c r="F1226" s="3298" t="s">
        <v>3042</v>
      </c>
      <c r="G1226" s="3278">
        <v>176000</v>
      </c>
      <c r="H1226" s="3299">
        <v>25</v>
      </c>
      <c r="I1226" s="3278">
        <v>4400000</v>
      </c>
    </row>
    <row r="1227" ht="12.75" customHeight="1" spans="2:9">
      <c r="B1227" s="3274">
        <v>161</v>
      </c>
      <c r="D1227" s="3297" t="s">
        <v>4751</v>
      </c>
      <c r="E1227" s="3298" t="s">
        <v>4752</v>
      </c>
      <c r="F1227" s="3298" t="s">
        <v>3056</v>
      </c>
      <c r="G1227" s="3278">
        <v>1356.663</v>
      </c>
      <c r="H1227" s="3299">
        <v>0</v>
      </c>
      <c r="I1227" s="3278">
        <v>0</v>
      </c>
    </row>
    <row r="1228" ht="12.75" customHeight="1" spans="2:9">
      <c r="B1228" s="3274">
        <v>162</v>
      </c>
      <c r="D1228" s="3297" t="s">
        <v>4753</v>
      </c>
      <c r="E1228" s="3298" t="s">
        <v>4754</v>
      </c>
      <c r="F1228" s="3298" t="s">
        <v>3056</v>
      </c>
      <c r="G1228" s="3278">
        <v>315.7</v>
      </c>
      <c r="H1228" s="3299">
        <v>0</v>
      </c>
      <c r="I1228" s="3278">
        <v>0</v>
      </c>
    </row>
    <row r="1229" ht="12.75" customHeight="1" spans="2:9">
      <c r="B1229" s="3274">
        <v>163</v>
      </c>
      <c r="D1229" s="3297" t="s">
        <v>4755</v>
      </c>
      <c r="E1229" s="3298" t="s">
        <v>4756</v>
      </c>
      <c r="F1229" s="3298" t="s">
        <v>4757</v>
      </c>
      <c r="G1229" s="3278">
        <v>4950</v>
      </c>
      <c r="H1229" s="3299">
        <v>0</v>
      </c>
      <c r="I1229" s="3278">
        <v>0</v>
      </c>
    </row>
    <row r="1230" ht="12.75" customHeight="1" spans="2:9">
      <c r="B1230" s="3274">
        <v>164</v>
      </c>
      <c r="D1230" s="3297" t="s">
        <v>4758</v>
      </c>
      <c r="E1230" s="3298" t="s">
        <v>4759</v>
      </c>
      <c r="F1230" s="3298" t="s">
        <v>2321</v>
      </c>
      <c r="G1230" s="3278">
        <v>49500</v>
      </c>
      <c r="H1230" s="3299">
        <v>0</v>
      </c>
      <c r="I1230" s="3278">
        <v>0</v>
      </c>
    </row>
    <row r="1231" ht="12.75" customHeight="1" spans="2:9">
      <c r="B1231" s="3274">
        <v>165</v>
      </c>
      <c r="D1231" s="3297" t="s">
        <v>4760</v>
      </c>
      <c r="E1231" s="3298" t="s">
        <v>4761</v>
      </c>
      <c r="F1231" s="3298" t="s">
        <v>2637</v>
      </c>
      <c r="G1231" s="3278">
        <v>18700</v>
      </c>
      <c r="H1231" s="3299">
        <v>22</v>
      </c>
      <c r="I1231" s="3278">
        <v>411400</v>
      </c>
    </row>
    <row r="1232" ht="12.75" customHeight="1" spans="2:9">
      <c r="B1232" s="3274">
        <v>166</v>
      </c>
      <c r="D1232" s="3297" t="s">
        <v>4762</v>
      </c>
      <c r="E1232" s="3298" t="s">
        <v>4763</v>
      </c>
      <c r="F1232" s="3298" t="s">
        <v>4757</v>
      </c>
      <c r="G1232" s="3278">
        <v>858</v>
      </c>
      <c r="H1232" s="3299">
        <v>800</v>
      </c>
      <c r="I1232" s="3278">
        <v>686400</v>
      </c>
    </row>
    <row r="1233" ht="12.75" customHeight="1" spans="2:9">
      <c r="B1233" s="3274">
        <v>167</v>
      </c>
      <c r="D1233" s="3297" t="s">
        <v>4764</v>
      </c>
      <c r="E1233" s="3298" t="s">
        <v>4765</v>
      </c>
      <c r="F1233" s="3298" t="s">
        <v>2321</v>
      </c>
      <c r="G1233" s="3278">
        <v>38500</v>
      </c>
      <c r="H1233" s="3299">
        <v>0</v>
      </c>
      <c r="I1233" s="3278">
        <v>0</v>
      </c>
    </row>
    <row r="1234" ht="12.75" customHeight="1" spans="2:9">
      <c r="B1234" s="3274">
        <v>168</v>
      </c>
      <c r="D1234" s="3297" t="s">
        <v>4766</v>
      </c>
      <c r="E1234" s="3298" t="s">
        <v>4767</v>
      </c>
      <c r="F1234" s="3298" t="s">
        <v>4757</v>
      </c>
      <c r="G1234" s="3278">
        <v>1610.2778</v>
      </c>
      <c r="H1234" s="3299">
        <v>0</v>
      </c>
      <c r="I1234" s="3278">
        <v>0</v>
      </c>
    </row>
    <row r="1235" ht="12.75" customHeight="1" spans="2:9">
      <c r="B1235" s="3274">
        <v>169</v>
      </c>
      <c r="D1235" s="3297" t="s">
        <v>4768</v>
      </c>
      <c r="E1235" s="3298" t="s">
        <v>4769</v>
      </c>
      <c r="F1235" s="3298" t="s">
        <v>4757</v>
      </c>
      <c r="G1235" s="3278">
        <v>3723.5</v>
      </c>
      <c r="H1235" s="3299">
        <v>0</v>
      </c>
      <c r="I1235" s="3278">
        <v>0</v>
      </c>
    </row>
    <row r="1236" ht="12.75" customHeight="1" spans="2:9">
      <c r="B1236" s="3274">
        <v>170</v>
      </c>
      <c r="D1236" s="3297" t="s">
        <v>4770</v>
      </c>
      <c r="E1236" s="3298" t="s">
        <v>4771</v>
      </c>
      <c r="F1236" s="3298" t="s">
        <v>2321</v>
      </c>
      <c r="G1236" s="3278">
        <v>17952</v>
      </c>
      <c r="H1236" s="3299">
        <v>27</v>
      </c>
      <c r="I1236" s="3278">
        <v>484704</v>
      </c>
    </row>
    <row r="1237" ht="12.75" customHeight="1" spans="2:9">
      <c r="B1237" s="3274">
        <v>171</v>
      </c>
      <c r="D1237" s="3297" t="s">
        <v>4772</v>
      </c>
      <c r="E1237" s="3298" t="s">
        <v>4773</v>
      </c>
      <c r="F1237" s="3298" t="s">
        <v>2321</v>
      </c>
      <c r="G1237" s="3278">
        <v>49632</v>
      </c>
      <c r="H1237" s="3299">
        <v>4</v>
      </c>
      <c r="I1237" s="3278">
        <v>198528</v>
      </c>
    </row>
    <row r="1238" ht="12.75" customHeight="1" spans="2:9">
      <c r="B1238" s="3274">
        <v>172</v>
      </c>
      <c r="D1238" s="3297" t="s">
        <v>4774</v>
      </c>
      <c r="E1238" s="3298" t="s">
        <v>4775</v>
      </c>
      <c r="F1238" s="3298" t="s">
        <v>3423</v>
      </c>
      <c r="G1238" s="3278">
        <v>220000</v>
      </c>
      <c r="H1238" s="3299">
        <v>0</v>
      </c>
      <c r="I1238" s="3278">
        <v>0</v>
      </c>
    </row>
    <row r="1239" ht="12.75" customHeight="1" spans="2:9">
      <c r="B1239" s="3274">
        <v>173</v>
      </c>
      <c r="D1239" s="3297" t="s">
        <v>4776</v>
      </c>
      <c r="E1239" s="3298" t="s">
        <v>4777</v>
      </c>
      <c r="F1239" s="3298" t="s">
        <v>3423</v>
      </c>
      <c r="G1239" s="3278">
        <v>165000</v>
      </c>
      <c r="H1239" s="3299">
        <v>0</v>
      </c>
      <c r="I1239" s="3278">
        <v>0</v>
      </c>
    </row>
    <row r="1240" ht="12.75" customHeight="1" spans="2:9">
      <c r="B1240" s="3274">
        <v>174</v>
      </c>
      <c r="D1240" s="3297" t="s">
        <v>4778</v>
      </c>
      <c r="E1240" s="3298" t="s">
        <v>4779</v>
      </c>
      <c r="F1240" s="3298" t="s">
        <v>2321</v>
      </c>
      <c r="G1240" s="3278">
        <v>53790</v>
      </c>
      <c r="H1240" s="3299">
        <v>0</v>
      </c>
      <c r="I1240" s="3278">
        <v>0</v>
      </c>
    </row>
    <row r="1241" ht="12.75" customHeight="1" spans="2:9">
      <c r="B1241" s="3274">
        <v>175</v>
      </c>
      <c r="D1241" s="3297" t="s">
        <v>4780</v>
      </c>
      <c r="E1241" s="3298" t="s">
        <v>4781</v>
      </c>
      <c r="F1241" s="3298" t="s">
        <v>2321</v>
      </c>
      <c r="G1241" s="3278">
        <v>24750</v>
      </c>
      <c r="H1241" s="3299">
        <v>0</v>
      </c>
      <c r="I1241" s="3278">
        <v>0</v>
      </c>
    </row>
    <row r="1242" ht="12.75" customHeight="1" spans="2:9">
      <c r="B1242" s="3274">
        <v>176</v>
      </c>
      <c r="D1242" s="3297" t="s">
        <v>4782</v>
      </c>
      <c r="E1242" s="3298" t="s">
        <v>4783</v>
      </c>
      <c r="F1242" s="3298" t="s">
        <v>2321</v>
      </c>
      <c r="G1242" s="3278">
        <v>27225</v>
      </c>
      <c r="H1242" s="3299">
        <v>0</v>
      </c>
      <c r="I1242" s="3278">
        <v>0</v>
      </c>
    </row>
    <row r="1243" ht="12.75" customHeight="1" spans="2:9">
      <c r="B1243" s="3274">
        <v>177</v>
      </c>
      <c r="D1243" s="3297" t="s">
        <v>4784</v>
      </c>
      <c r="E1243" s="3298" t="s">
        <v>4785</v>
      </c>
      <c r="F1243" s="3298" t="s">
        <v>3423</v>
      </c>
      <c r="G1243" s="3278">
        <v>58234</v>
      </c>
      <c r="H1243" s="3299">
        <v>20</v>
      </c>
      <c r="I1243" s="3278">
        <v>1164680</v>
      </c>
    </row>
    <row r="1244" ht="12.75" customHeight="1" spans="2:9">
      <c r="B1244" s="3274">
        <v>178</v>
      </c>
      <c r="D1244" s="3297" t="s">
        <v>4786</v>
      </c>
      <c r="E1244" s="3298" t="s">
        <v>4787</v>
      </c>
      <c r="F1244" s="3298" t="s">
        <v>2321</v>
      </c>
      <c r="G1244" s="3278">
        <v>24805</v>
      </c>
      <c r="H1244" s="3299">
        <v>0</v>
      </c>
      <c r="I1244" s="3278">
        <v>0</v>
      </c>
    </row>
    <row r="1245" ht="12.75" customHeight="1" spans="2:9">
      <c r="B1245" s="3274">
        <v>179</v>
      </c>
      <c r="D1245" s="3297" t="s">
        <v>4788</v>
      </c>
      <c r="E1245" s="3298" t="s">
        <v>4789</v>
      </c>
      <c r="F1245" s="3298" t="s">
        <v>2321</v>
      </c>
      <c r="G1245" s="3278">
        <v>28050</v>
      </c>
      <c r="H1245" s="3299">
        <v>0</v>
      </c>
      <c r="I1245" s="3278">
        <v>0</v>
      </c>
    </row>
    <row r="1246" ht="12.75" customHeight="1" spans="2:9">
      <c r="B1246" s="3274">
        <v>180</v>
      </c>
      <c r="D1246" s="3297" t="s">
        <v>4790</v>
      </c>
      <c r="E1246" s="3298" t="s">
        <v>4791</v>
      </c>
      <c r="F1246" s="3298" t="s">
        <v>3056</v>
      </c>
      <c r="G1246" s="3278">
        <v>1195.7</v>
      </c>
      <c r="H1246" s="3299">
        <v>0</v>
      </c>
      <c r="I1246" s="3278">
        <v>0</v>
      </c>
    </row>
    <row r="1247" ht="12.75" customHeight="1" spans="2:9">
      <c r="B1247" s="3274">
        <v>181</v>
      </c>
      <c r="D1247" s="3297" t="s">
        <v>4792</v>
      </c>
      <c r="E1247" s="3298" t="s">
        <v>4793</v>
      </c>
      <c r="F1247" s="3298" t="s">
        <v>3056</v>
      </c>
      <c r="G1247" s="3278">
        <v>15152</v>
      </c>
      <c r="H1247" s="3299">
        <v>0</v>
      </c>
      <c r="I1247" s="3278">
        <v>0</v>
      </c>
    </row>
    <row r="1248" ht="12.75" customHeight="1" spans="2:9">
      <c r="B1248" s="3274">
        <v>182</v>
      </c>
      <c r="D1248" s="3297" t="s">
        <v>4794</v>
      </c>
      <c r="E1248" s="3298" t="s">
        <v>4795</v>
      </c>
      <c r="F1248" s="3298" t="s">
        <v>3056</v>
      </c>
      <c r="G1248" s="3278">
        <v>14948.2298</v>
      </c>
      <c r="H1248" s="3299">
        <v>0</v>
      </c>
      <c r="I1248" s="3278">
        <v>0</v>
      </c>
    </row>
    <row r="1249" ht="12.75" customHeight="1" spans="2:9">
      <c r="B1249" s="3274">
        <v>183</v>
      </c>
      <c r="D1249" s="3297" t="s">
        <v>4796</v>
      </c>
      <c r="E1249" s="3298" t="s">
        <v>4797</v>
      </c>
      <c r="F1249" s="3298" t="s">
        <v>3056</v>
      </c>
      <c r="G1249" s="3278">
        <v>14948.219</v>
      </c>
      <c r="H1249" s="3299">
        <v>0</v>
      </c>
      <c r="I1249" s="3278">
        <v>0</v>
      </c>
    </row>
    <row r="1250" ht="12.75" customHeight="1" spans="2:9">
      <c r="B1250" s="3274">
        <v>184</v>
      </c>
      <c r="D1250" s="3297" t="s">
        <v>4798</v>
      </c>
      <c r="E1250" s="3298" t="s">
        <v>4799</v>
      </c>
      <c r="F1250" s="3298" t="s">
        <v>2637</v>
      </c>
      <c r="G1250" s="3278">
        <v>4133.8</v>
      </c>
      <c r="H1250" s="3299">
        <v>0</v>
      </c>
      <c r="I1250" s="3278">
        <v>0</v>
      </c>
    </row>
    <row r="1251" ht="12.75" customHeight="1" spans="2:9">
      <c r="B1251" s="3274">
        <v>185</v>
      </c>
      <c r="D1251" s="3297" t="s">
        <v>4800</v>
      </c>
      <c r="E1251" s="3298" t="s">
        <v>4801</v>
      </c>
      <c r="F1251" s="3298" t="s">
        <v>3056</v>
      </c>
      <c r="G1251" s="3278">
        <v>1160.5</v>
      </c>
      <c r="H1251" s="3299">
        <v>0</v>
      </c>
      <c r="I1251" s="3278">
        <v>0</v>
      </c>
    </row>
    <row r="1252" ht="12.75" customHeight="1" spans="2:9">
      <c r="B1252" s="3274">
        <v>186</v>
      </c>
      <c r="D1252" s="3297" t="s">
        <v>4802</v>
      </c>
      <c r="E1252" s="3298" t="s">
        <v>4803</v>
      </c>
      <c r="F1252" s="3298" t="s">
        <v>2321</v>
      </c>
      <c r="G1252" s="3278">
        <v>33000</v>
      </c>
      <c r="H1252" s="3299">
        <v>0</v>
      </c>
      <c r="I1252" s="3278">
        <v>0</v>
      </c>
    </row>
    <row r="1253" ht="12.75" customHeight="1" spans="2:9">
      <c r="B1253" s="3274">
        <v>187</v>
      </c>
      <c r="D1253" s="3297" t="s">
        <v>4804</v>
      </c>
      <c r="E1253" s="3298" t="s">
        <v>4805</v>
      </c>
      <c r="F1253" s="3298" t="s">
        <v>2367</v>
      </c>
      <c r="G1253" s="3278">
        <v>20929.359</v>
      </c>
      <c r="H1253" s="3299">
        <v>5</v>
      </c>
      <c r="I1253" s="3278">
        <v>104646.795</v>
      </c>
    </row>
    <row r="1254" ht="12.75" customHeight="1" spans="2:9">
      <c r="B1254" s="3274">
        <v>188</v>
      </c>
      <c r="D1254" s="3297" t="s">
        <v>4806</v>
      </c>
      <c r="E1254" s="3298" t="s">
        <v>4807</v>
      </c>
      <c r="F1254" s="3298" t="s">
        <v>2367</v>
      </c>
      <c r="G1254" s="3278">
        <v>2261.182</v>
      </c>
      <c r="H1254" s="3299">
        <v>0</v>
      </c>
      <c r="I1254" s="3278">
        <v>0</v>
      </c>
    </row>
    <row r="1255" ht="12.75" customHeight="1" spans="2:9">
      <c r="B1255" s="3274">
        <v>189</v>
      </c>
      <c r="D1255" s="3297" t="s">
        <v>4808</v>
      </c>
      <c r="E1255" s="3298" t="s">
        <v>4809</v>
      </c>
      <c r="F1255" s="3298" t="s">
        <v>3423</v>
      </c>
      <c r="G1255" s="3278">
        <v>60500</v>
      </c>
      <c r="H1255" s="3299">
        <v>0</v>
      </c>
      <c r="I1255" s="3278">
        <v>0</v>
      </c>
    </row>
    <row r="1256" ht="12.75" customHeight="1" spans="2:9">
      <c r="B1256" s="3274">
        <v>190</v>
      </c>
      <c r="D1256" s="3297" t="s">
        <v>4810</v>
      </c>
      <c r="E1256" s="3298" t="s">
        <v>4811</v>
      </c>
      <c r="F1256" s="3298" t="s">
        <v>2637</v>
      </c>
      <c r="G1256" s="3278">
        <v>58850</v>
      </c>
      <c r="H1256" s="3299">
        <v>9</v>
      </c>
      <c r="I1256" s="3278">
        <v>529650</v>
      </c>
    </row>
    <row r="1257" ht="12.75" customHeight="1" spans="2:9">
      <c r="B1257" s="3274">
        <v>191</v>
      </c>
      <c r="D1257" s="3297" t="s">
        <v>4812</v>
      </c>
      <c r="E1257" s="3298" t="s">
        <v>4813</v>
      </c>
      <c r="F1257" s="3298" t="s">
        <v>3423</v>
      </c>
      <c r="G1257" s="3278">
        <v>35909.5</v>
      </c>
      <c r="H1257" s="3299">
        <v>40</v>
      </c>
      <c r="I1257" s="3278">
        <v>1436380</v>
      </c>
    </row>
    <row r="1258" ht="12.75" customHeight="1" spans="2:9">
      <c r="B1258" s="3274">
        <v>192</v>
      </c>
      <c r="D1258" s="3297" t="s">
        <v>4814</v>
      </c>
      <c r="E1258" s="3298" t="s">
        <v>4815</v>
      </c>
      <c r="F1258" s="3298" t="s">
        <v>3056</v>
      </c>
      <c r="G1258" s="3278">
        <v>4232.8</v>
      </c>
      <c r="H1258" s="3299">
        <v>0</v>
      </c>
      <c r="I1258" s="3278">
        <v>0</v>
      </c>
    </row>
    <row r="1259" ht="12.75" customHeight="1" spans="2:9">
      <c r="B1259" s="3274">
        <v>193</v>
      </c>
      <c r="D1259" s="3297" t="s">
        <v>4816</v>
      </c>
      <c r="E1259" s="3298" t="s">
        <v>4817</v>
      </c>
      <c r="F1259" s="3298" t="s">
        <v>3056</v>
      </c>
      <c r="G1259" s="3278">
        <v>3091</v>
      </c>
      <c r="H1259" s="3299">
        <v>0</v>
      </c>
      <c r="I1259" s="3278">
        <v>0</v>
      </c>
    </row>
    <row r="1260" ht="12.75" customHeight="1" spans="2:9">
      <c r="B1260" s="3274">
        <v>194</v>
      </c>
      <c r="D1260" s="3297" t="s">
        <v>4818</v>
      </c>
      <c r="E1260" s="3298" t="s">
        <v>4819</v>
      </c>
      <c r="F1260" s="3298" t="s">
        <v>3423</v>
      </c>
      <c r="G1260" s="3278">
        <v>61600</v>
      </c>
      <c r="H1260" s="3299">
        <v>0</v>
      </c>
      <c r="I1260" s="3278">
        <v>0</v>
      </c>
    </row>
    <row r="1261" ht="12.75" customHeight="1" spans="2:9">
      <c r="B1261" s="3274">
        <v>195</v>
      </c>
      <c r="D1261" s="3297" t="s">
        <v>4820</v>
      </c>
      <c r="E1261" s="3298" t="s">
        <v>4821</v>
      </c>
      <c r="F1261" s="3298" t="s">
        <v>2367</v>
      </c>
      <c r="G1261" s="3278">
        <v>6381.1</v>
      </c>
      <c r="H1261" s="3299">
        <v>0</v>
      </c>
      <c r="I1261" s="3278">
        <v>0</v>
      </c>
    </row>
    <row r="1262" ht="12.75" customHeight="1" spans="2:9">
      <c r="B1262" s="3274">
        <v>196</v>
      </c>
      <c r="D1262" s="3297" t="s">
        <v>4822</v>
      </c>
      <c r="E1262" s="3298" t="s">
        <v>4823</v>
      </c>
      <c r="F1262" s="3298" t="s">
        <v>2367</v>
      </c>
      <c r="G1262" s="3278">
        <v>9084.9</v>
      </c>
      <c r="H1262" s="3299">
        <v>0</v>
      </c>
      <c r="I1262" s="3278">
        <v>0</v>
      </c>
    </row>
    <row r="1263" ht="12.75" customHeight="1" spans="2:9">
      <c r="B1263" s="3274">
        <v>197</v>
      </c>
      <c r="D1263" s="3297" t="s">
        <v>4824</v>
      </c>
      <c r="E1263" s="3298" t="s">
        <v>4825</v>
      </c>
      <c r="F1263" s="3298" t="s">
        <v>3056</v>
      </c>
      <c r="G1263" s="3278">
        <v>10278</v>
      </c>
      <c r="H1263" s="3299">
        <v>0</v>
      </c>
      <c r="I1263" s="3278">
        <v>0</v>
      </c>
    </row>
    <row r="1264" ht="12.75" customHeight="1" spans="2:9">
      <c r="B1264" s="3274">
        <v>198</v>
      </c>
      <c r="D1264" s="3297" t="s">
        <v>4826</v>
      </c>
      <c r="E1264" s="3298" t="s">
        <v>4827</v>
      </c>
      <c r="F1264" s="3298" t="s">
        <v>3056</v>
      </c>
      <c r="G1264" s="3278">
        <v>5280</v>
      </c>
      <c r="H1264" s="3299">
        <v>0</v>
      </c>
      <c r="I1264" s="3278">
        <v>0</v>
      </c>
    </row>
    <row r="1265" ht="12.75" customHeight="1" spans="2:9">
      <c r="B1265" s="3274">
        <v>199</v>
      </c>
      <c r="D1265" s="3297" t="s">
        <v>4828</v>
      </c>
      <c r="E1265" s="3298" t="s">
        <v>4829</v>
      </c>
      <c r="F1265" s="3298" t="s">
        <v>2321</v>
      </c>
      <c r="G1265" s="3278">
        <v>13051.5</v>
      </c>
      <c r="H1265" s="3299">
        <v>0</v>
      </c>
      <c r="I1265" s="3278">
        <v>0</v>
      </c>
    </row>
    <row r="1266" ht="12.75" customHeight="1" spans="2:9">
      <c r="B1266" s="3274">
        <v>200</v>
      </c>
      <c r="D1266" s="3297" t="s">
        <v>4830</v>
      </c>
      <c r="E1266" s="3298" t="s">
        <v>4831</v>
      </c>
      <c r="F1266" s="3298" t="s">
        <v>2321</v>
      </c>
      <c r="G1266" s="3278">
        <v>23046</v>
      </c>
      <c r="H1266" s="3299">
        <v>0</v>
      </c>
      <c r="I1266" s="3278">
        <v>0</v>
      </c>
    </row>
    <row r="1267" ht="12.75" customHeight="1" spans="2:9">
      <c r="B1267" s="3274">
        <v>201</v>
      </c>
      <c r="D1267" s="3297" t="s">
        <v>4832</v>
      </c>
      <c r="E1267" s="3298" t="s">
        <v>4833</v>
      </c>
      <c r="F1267" s="3298" t="s">
        <v>2321</v>
      </c>
      <c r="G1267" s="3278">
        <v>14083.3</v>
      </c>
      <c r="H1267" s="3299">
        <v>0</v>
      </c>
      <c r="I1267" s="3278">
        <v>0</v>
      </c>
    </row>
    <row r="1268" ht="12.75" customHeight="1" spans="2:9">
      <c r="B1268" s="3274">
        <v>202</v>
      </c>
      <c r="D1268" s="3297" t="s">
        <v>4834</v>
      </c>
      <c r="E1268" s="3298" t="s">
        <v>4835</v>
      </c>
      <c r="F1268" s="3298" t="s">
        <v>2321</v>
      </c>
      <c r="G1268" s="3278">
        <v>7425</v>
      </c>
      <c r="H1268" s="3299">
        <v>0</v>
      </c>
      <c r="I1268" s="3278">
        <v>0</v>
      </c>
    </row>
    <row r="1269" ht="12.75" customHeight="1" spans="2:9">
      <c r="B1269" s="3274">
        <v>203</v>
      </c>
      <c r="D1269" s="3297" t="s">
        <v>4836</v>
      </c>
      <c r="E1269" s="3298" t="s">
        <v>4837</v>
      </c>
      <c r="F1269" s="3298" t="s">
        <v>2367</v>
      </c>
      <c r="G1269" s="3278">
        <v>660</v>
      </c>
      <c r="H1269" s="3299">
        <v>0</v>
      </c>
      <c r="I1269" s="3278">
        <v>0</v>
      </c>
    </row>
    <row r="1270" ht="12.75" customHeight="1" spans="2:9">
      <c r="B1270" s="3274">
        <v>204</v>
      </c>
      <c r="D1270" s="3297" t="s">
        <v>4838</v>
      </c>
      <c r="E1270" s="3298" t="s">
        <v>4839</v>
      </c>
      <c r="F1270" s="3298" t="s">
        <v>2637</v>
      </c>
      <c r="G1270" s="3278">
        <v>16973</v>
      </c>
      <c r="H1270" s="3299">
        <v>0</v>
      </c>
      <c r="I1270" s="3278">
        <v>0</v>
      </c>
    </row>
    <row r="1271" ht="12.75" customHeight="1" spans="2:9">
      <c r="B1271" s="3274">
        <v>205</v>
      </c>
      <c r="D1271" s="3297" t="s">
        <v>4840</v>
      </c>
      <c r="E1271" s="3298" t="s">
        <v>4841</v>
      </c>
      <c r="F1271" s="3298" t="s">
        <v>2321</v>
      </c>
      <c r="G1271" s="3278">
        <v>50688</v>
      </c>
      <c r="H1271" s="3299">
        <v>0</v>
      </c>
      <c r="I1271" s="3278">
        <v>0</v>
      </c>
    </row>
    <row r="1272" ht="12.75" customHeight="1" spans="2:9">
      <c r="B1272" s="3274">
        <v>206</v>
      </c>
      <c r="D1272" s="3297" t="s">
        <v>4842</v>
      </c>
      <c r="E1272" s="3298" t="s">
        <v>4843</v>
      </c>
      <c r="F1272" s="3298" t="s">
        <v>2321</v>
      </c>
      <c r="G1272" s="3278">
        <v>7260</v>
      </c>
      <c r="H1272" s="3299">
        <v>0</v>
      </c>
      <c r="I1272" s="3278">
        <v>0</v>
      </c>
    </row>
    <row r="1273" ht="12.75" customHeight="1" spans="2:9">
      <c r="B1273" s="3274">
        <v>207</v>
      </c>
      <c r="D1273" s="3297" t="s">
        <v>4844</v>
      </c>
      <c r="E1273" s="3298" t="s">
        <v>4845</v>
      </c>
      <c r="F1273" s="3298" t="s">
        <v>3056</v>
      </c>
      <c r="G1273" s="3278">
        <v>8800</v>
      </c>
      <c r="H1273" s="3299">
        <v>0</v>
      </c>
      <c r="I1273" s="3278">
        <v>0</v>
      </c>
    </row>
    <row r="1274" ht="12.75" customHeight="1" spans="2:9">
      <c r="B1274" s="3274">
        <v>208</v>
      </c>
      <c r="D1274" s="3297" t="s">
        <v>4846</v>
      </c>
      <c r="E1274" s="3298" t="s">
        <v>4847</v>
      </c>
      <c r="F1274" s="3298" t="s">
        <v>2321</v>
      </c>
      <c r="G1274" s="3278">
        <v>31000.2</v>
      </c>
      <c r="H1274" s="3299">
        <v>0</v>
      </c>
      <c r="I1274" s="3278">
        <v>0</v>
      </c>
    </row>
    <row r="1275" ht="12.75" customHeight="1" spans="2:9">
      <c r="B1275" s="3274">
        <v>209</v>
      </c>
      <c r="D1275" s="3297" t="s">
        <v>4848</v>
      </c>
      <c r="E1275" s="3298" t="s">
        <v>4849</v>
      </c>
      <c r="F1275" s="3298" t="s">
        <v>2367</v>
      </c>
      <c r="G1275" s="3278">
        <v>462</v>
      </c>
      <c r="H1275" s="3299">
        <v>0</v>
      </c>
      <c r="I1275" s="3278">
        <v>0</v>
      </c>
    </row>
    <row r="1276" ht="12.75" customHeight="1" spans="2:9">
      <c r="B1276" s="3274">
        <v>210</v>
      </c>
      <c r="D1276" s="3297" t="s">
        <v>4850</v>
      </c>
      <c r="E1276" s="3298" t="s">
        <v>4851</v>
      </c>
      <c r="F1276" s="3298" t="s">
        <v>3056</v>
      </c>
      <c r="G1276" s="3278">
        <v>6061.0661</v>
      </c>
      <c r="H1276" s="3299">
        <v>0</v>
      </c>
      <c r="I1276" s="3278">
        <v>0</v>
      </c>
    </row>
    <row r="1277" ht="12.75" customHeight="1" spans="2:9">
      <c r="B1277" s="3274">
        <v>211</v>
      </c>
      <c r="D1277" s="3297" t="s">
        <v>4852</v>
      </c>
      <c r="E1277" s="3298" t="s">
        <v>4853</v>
      </c>
      <c r="F1277" s="3298" t="s">
        <v>3056</v>
      </c>
      <c r="G1277" s="3278">
        <v>3175.8539</v>
      </c>
      <c r="H1277" s="3299">
        <v>0</v>
      </c>
      <c r="I1277" s="3278">
        <v>0</v>
      </c>
    </row>
    <row r="1278" ht="12.75" customHeight="1" spans="2:9">
      <c r="B1278" s="3274">
        <v>212</v>
      </c>
      <c r="D1278" s="3297" t="s">
        <v>4854</v>
      </c>
      <c r="E1278" s="3298" t="s">
        <v>4855</v>
      </c>
      <c r="F1278" s="3298" t="s">
        <v>3423</v>
      </c>
      <c r="G1278" s="3278">
        <v>33900.0191</v>
      </c>
      <c r="H1278" s="3299">
        <v>220</v>
      </c>
      <c r="I1278" s="3278">
        <v>7458004.202</v>
      </c>
    </row>
    <row r="1279" ht="12.75" customHeight="1" spans="2:9">
      <c r="B1279" s="3274">
        <v>213</v>
      </c>
      <c r="D1279" s="3297" t="s">
        <v>4856</v>
      </c>
      <c r="E1279" s="3298" t="s">
        <v>4857</v>
      </c>
      <c r="F1279" s="3298" t="s">
        <v>2367</v>
      </c>
      <c r="G1279" s="3278">
        <v>4262.5</v>
      </c>
      <c r="H1279" s="3299">
        <v>0</v>
      </c>
      <c r="I1279" s="3278">
        <v>0</v>
      </c>
    </row>
    <row r="1280" ht="12.75" customHeight="1" spans="2:9">
      <c r="B1280" s="3274">
        <v>214</v>
      </c>
      <c r="D1280" s="3297" t="s">
        <v>4858</v>
      </c>
      <c r="E1280" s="3298" t="s">
        <v>4859</v>
      </c>
      <c r="F1280" s="3298" t="s">
        <v>3056</v>
      </c>
      <c r="G1280" s="3278">
        <v>2638.9</v>
      </c>
      <c r="H1280" s="3299">
        <v>0</v>
      </c>
      <c r="I1280" s="3278">
        <v>0</v>
      </c>
    </row>
    <row r="1281" ht="12.75" customHeight="1" spans="2:9">
      <c r="B1281" s="3274">
        <v>215</v>
      </c>
      <c r="D1281" s="3297" t="s">
        <v>4860</v>
      </c>
      <c r="E1281" s="3298" t="s">
        <v>4861</v>
      </c>
      <c r="F1281" s="3298" t="s">
        <v>3056</v>
      </c>
      <c r="G1281" s="3278">
        <v>4989.6</v>
      </c>
      <c r="H1281" s="3299">
        <v>0</v>
      </c>
      <c r="I1281" s="3278">
        <v>0</v>
      </c>
    </row>
    <row r="1282" ht="12.75" customHeight="1" spans="2:9">
      <c r="B1282" s="3274">
        <v>216</v>
      </c>
      <c r="D1282" s="3297" t="s">
        <v>4862</v>
      </c>
      <c r="E1282" s="3298" t="s">
        <v>4863</v>
      </c>
      <c r="F1282" s="3298" t="s">
        <v>3056</v>
      </c>
      <c r="G1282" s="3278">
        <v>18150</v>
      </c>
      <c r="H1282" s="3299">
        <v>0</v>
      </c>
      <c r="I1282" s="3278">
        <v>0</v>
      </c>
    </row>
    <row r="1283" ht="12.75" customHeight="1" spans="2:9">
      <c r="B1283" s="3274">
        <v>217</v>
      </c>
      <c r="D1283" s="3297" t="s">
        <v>4864</v>
      </c>
      <c r="E1283" s="3298" t="s">
        <v>4865</v>
      </c>
      <c r="F1283" s="3298" t="s">
        <v>3042</v>
      </c>
      <c r="G1283" s="3278">
        <v>31900</v>
      </c>
      <c r="H1283" s="3299">
        <v>0</v>
      </c>
      <c r="I1283" s="3278">
        <v>0</v>
      </c>
    </row>
    <row r="1284" ht="12.75" customHeight="1" spans="2:9">
      <c r="B1284" s="3274">
        <v>218</v>
      </c>
      <c r="D1284" s="3297" t="s">
        <v>4866</v>
      </c>
      <c r="E1284" s="3298" t="s">
        <v>4867</v>
      </c>
      <c r="F1284" s="3298" t="s">
        <v>3056</v>
      </c>
      <c r="G1284" s="3278">
        <v>2200</v>
      </c>
      <c r="H1284" s="3299">
        <v>0</v>
      </c>
      <c r="I1284" s="3278">
        <v>0</v>
      </c>
    </row>
    <row r="1285" ht="12.75" customHeight="1" spans="2:9">
      <c r="B1285" s="3274">
        <v>219</v>
      </c>
      <c r="D1285" s="3297" t="s">
        <v>4868</v>
      </c>
      <c r="E1285" s="3298" t="s">
        <v>4869</v>
      </c>
      <c r="F1285" s="3298" t="s">
        <v>3042</v>
      </c>
      <c r="G1285" s="3278">
        <v>71280</v>
      </c>
      <c r="H1285" s="3299">
        <v>0</v>
      </c>
      <c r="I1285" s="3278">
        <v>0</v>
      </c>
    </row>
    <row r="1286" ht="12.75" customHeight="1" spans="2:9">
      <c r="B1286" s="3274">
        <v>220</v>
      </c>
      <c r="D1286" s="3297" t="s">
        <v>4870</v>
      </c>
      <c r="E1286" s="3298" t="s">
        <v>4871</v>
      </c>
      <c r="F1286" s="3298" t="s">
        <v>3056</v>
      </c>
      <c r="G1286" s="3278">
        <v>1136.663</v>
      </c>
      <c r="H1286" s="3299">
        <v>240</v>
      </c>
      <c r="I1286" s="3278">
        <v>272799.12</v>
      </c>
    </row>
    <row r="1287" ht="12.75" customHeight="1" spans="2:9">
      <c r="B1287" s="3274">
        <v>221</v>
      </c>
      <c r="D1287" s="3297" t="s">
        <v>4872</v>
      </c>
      <c r="E1287" s="3298" t="s">
        <v>4873</v>
      </c>
      <c r="F1287" s="3298" t="s">
        <v>4757</v>
      </c>
      <c r="G1287" s="3278">
        <v>6600</v>
      </c>
      <c r="H1287" s="3299">
        <v>0</v>
      </c>
      <c r="I1287" s="3278">
        <v>0</v>
      </c>
    </row>
    <row r="1288" ht="12.75" customHeight="1" spans="2:9">
      <c r="B1288" s="3274">
        <v>222</v>
      </c>
      <c r="D1288" s="3297" t="s">
        <v>4874</v>
      </c>
      <c r="E1288" s="3298" t="s">
        <v>4875</v>
      </c>
      <c r="F1288" s="3298" t="s">
        <v>4351</v>
      </c>
      <c r="G1288" s="3278">
        <v>4856.5</v>
      </c>
      <c r="H1288" s="3299">
        <v>0</v>
      </c>
      <c r="I1288" s="3278">
        <v>0</v>
      </c>
    </row>
    <row r="1289" ht="12.75" customHeight="1" spans="2:9">
      <c r="B1289" s="3274">
        <v>223</v>
      </c>
      <c r="D1289" s="3297" t="s">
        <v>4876</v>
      </c>
      <c r="E1289" s="3298" t="s">
        <v>4877</v>
      </c>
      <c r="F1289" s="3298" t="s">
        <v>4351</v>
      </c>
      <c r="G1289" s="3278">
        <v>8707.6</v>
      </c>
      <c r="H1289" s="3299">
        <v>500</v>
      </c>
      <c r="I1289" s="3278">
        <v>4353800</v>
      </c>
    </row>
    <row r="1290" ht="12.75" customHeight="1" spans="2:9">
      <c r="B1290" s="3274">
        <v>224</v>
      </c>
      <c r="D1290" s="3297" t="s">
        <v>4878</v>
      </c>
      <c r="E1290" s="3298" t="s">
        <v>4879</v>
      </c>
      <c r="F1290" s="3298" t="s">
        <v>2321</v>
      </c>
      <c r="G1290" s="3278">
        <v>75130</v>
      </c>
      <c r="H1290" s="3299">
        <v>0</v>
      </c>
      <c r="I1290" s="3278">
        <v>0</v>
      </c>
    </row>
    <row r="1291" ht="12.75" customHeight="1" spans="2:9">
      <c r="B1291" s="3274">
        <v>225</v>
      </c>
      <c r="D1291" s="3297" t="s">
        <v>4880</v>
      </c>
      <c r="E1291" s="3298" t="s">
        <v>4881</v>
      </c>
      <c r="F1291" s="3298" t="s">
        <v>2321</v>
      </c>
      <c r="G1291" s="3278">
        <v>44770</v>
      </c>
      <c r="H1291" s="3299">
        <v>0</v>
      </c>
      <c r="I1291" s="3278">
        <v>0</v>
      </c>
    </row>
    <row r="1292" ht="12.75" customHeight="1" spans="2:9">
      <c r="B1292" s="3274">
        <v>226</v>
      </c>
      <c r="D1292" s="3297" t="s">
        <v>4882</v>
      </c>
      <c r="E1292" s="3298" t="s">
        <v>4883</v>
      </c>
      <c r="F1292" s="3298" t="s">
        <v>4757</v>
      </c>
      <c r="G1292" s="3278">
        <v>21450</v>
      </c>
      <c r="H1292" s="3299">
        <v>0</v>
      </c>
      <c r="I1292" s="3278">
        <v>0</v>
      </c>
    </row>
    <row r="1293" ht="12.75" customHeight="1" spans="2:9">
      <c r="B1293" s="3274">
        <v>227</v>
      </c>
      <c r="D1293" s="3297" t="s">
        <v>4884</v>
      </c>
      <c r="E1293" s="3298" t="s">
        <v>4885</v>
      </c>
      <c r="F1293" s="3298" t="s">
        <v>4757</v>
      </c>
      <c r="G1293" s="3278">
        <v>33000</v>
      </c>
      <c r="H1293" s="3299">
        <v>0</v>
      </c>
      <c r="I1293" s="3278">
        <v>0</v>
      </c>
    </row>
    <row r="1294" ht="12.75" customHeight="1" spans="2:9">
      <c r="B1294" s="3274">
        <v>228</v>
      </c>
      <c r="D1294" s="3297" t="s">
        <v>4886</v>
      </c>
      <c r="E1294" s="3298" t="s">
        <v>4887</v>
      </c>
      <c r="F1294" s="3298" t="s">
        <v>2321</v>
      </c>
      <c r="G1294" s="3278">
        <v>91300</v>
      </c>
      <c r="H1294" s="3299">
        <v>0</v>
      </c>
      <c r="I1294" s="3278">
        <v>0</v>
      </c>
    </row>
    <row r="1295" ht="12.75" customHeight="1" spans="2:9">
      <c r="B1295" s="3274">
        <v>229</v>
      </c>
      <c r="D1295" s="3297" t="s">
        <v>4888</v>
      </c>
      <c r="E1295" s="3298" t="s">
        <v>4889</v>
      </c>
      <c r="F1295" s="3298" t="s">
        <v>3423</v>
      </c>
      <c r="G1295" s="3278">
        <v>45100</v>
      </c>
      <c r="H1295" s="3299">
        <v>3440</v>
      </c>
      <c r="I1295" s="3278">
        <v>155144000</v>
      </c>
    </row>
    <row r="1296" ht="12.75" customHeight="1" spans="2:9">
      <c r="B1296" s="3274">
        <v>230</v>
      </c>
      <c r="D1296" s="3297" t="s">
        <v>4890</v>
      </c>
      <c r="E1296" s="3298" t="s">
        <v>4891</v>
      </c>
      <c r="F1296" s="3298" t="s">
        <v>3423</v>
      </c>
      <c r="G1296" s="3278">
        <v>209000</v>
      </c>
      <c r="H1296" s="3299">
        <v>0</v>
      </c>
      <c r="I1296" s="3278">
        <v>0</v>
      </c>
    </row>
    <row r="1297" ht="12.75" customHeight="1" spans="2:9">
      <c r="B1297" s="3274">
        <v>231</v>
      </c>
      <c r="D1297" s="3297" t="s">
        <v>4892</v>
      </c>
      <c r="E1297" s="3298" t="s">
        <v>4893</v>
      </c>
      <c r="F1297" s="3298" t="s">
        <v>4351</v>
      </c>
      <c r="G1297" s="3278">
        <v>11000.22</v>
      </c>
      <c r="H1297" s="3299">
        <v>0</v>
      </c>
      <c r="I1297" s="3278">
        <v>0</v>
      </c>
    </row>
    <row r="1298" ht="12.75" customHeight="1" spans="2:9">
      <c r="B1298" s="3274">
        <v>232</v>
      </c>
      <c r="D1298" s="3297" t="s">
        <v>4894</v>
      </c>
      <c r="E1298" s="3298" t="s">
        <v>4895</v>
      </c>
      <c r="F1298" s="3298" t="s">
        <v>4351</v>
      </c>
      <c r="G1298" s="3278">
        <v>13091.727</v>
      </c>
      <c r="H1298" s="3299">
        <v>0</v>
      </c>
      <c r="I1298" s="3278">
        <v>0</v>
      </c>
    </row>
    <row r="1299" ht="12.75" customHeight="1" spans="2:9">
      <c r="B1299" s="3274">
        <v>233</v>
      </c>
      <c r="D1299" s="3297" t="s">
        <v>4896</v>
      </c>
      <c r="E1299" s="3298" t="s">
        <v>4897</v>
      </c>
      <c r="F1299" s="3298" t="s">
        <v>2388</v>
      </c>
      <c r="G1299" s="3278">
        <v>4015</v>
      </c>
      <c r="H1299" s="3299">
        <v>350</v>
      </c>
      <c r="I1299" s="3278">
        <v>1405250</v>
      </c>
    </row>
    <row r="1300" ht="12.75" customHeight="1" spans="2:9">
      <c r="B1300" s="3274">
        <v>234</v>
      </c>
      <c r="D1300" s="3297" t="s">
        <v>4898</v>
      </c>
      <c r="E1300" s="3298" t="s">
        <v>4899</v>
      </c>
      <c r="F1300" s="3298" t="s">
        <v>2321</v>
      </c>
      <c r="G1300" s="3278">
        <v>58235.1</v>
      </c>
      <c r="H1300" s="3299">
        <v>0</v>
      </c>
      <c r="I1300" s="3278">
        <v>0</v>
      </c>
    </row>
    <row r="1301" ht="12.75" customHeight="1" spans="2:9">
      <c r="B1301" s="3274">
        <v>235</v>
      </c>
      <c r="D1301" s="3297" t="s">
        <v>4900</v>
      </c>
      <c r="E1301" s="3298" t="s">
        <v>4901</v>
      </c>
      <c r="F1301" s="3298" t="s">
        <v>2321</v>
      </c>
      <c r="G1301" s="3278">
        <v>70730</v>
      </c>
      <c r="H1301" s="3299">
        <v>10</v>
      </c>
      <c r="I1301" s="3278">
        <v>707300</v>
      </c>
    </row>
    <row r="1302" ht="12.75" customHeight="1" spans="2:9">
      <c r="B1302" s="3274">
        <v>236</v>
      </c>
      <c r="D1302" s="3297" t="s">
        <v>4902</v>
      </c>
      <c r="E1302" s="3298" t="s">
        <v>4903</v>
      </c>
      <c r="F1302" s="3298" t="s">
        <v>2367</v>
      </c>
      <c r="G1302" s="3278">
        <v>3685.99</v>
      </c>
      <c r="H1302" s="3299">
        <v>0</v>
      </c>
      <c r="I1302" s="3278">
        <v>0</v>
      </c>
    </row>
    <row r="1303" ht="12.75" customHeight="1" spans="2:9">
      <c r="B1303" s="3274">
        <v>237</v>
      </c>
      <c r="D1303" s="3297" t="s">
        <v>4904</v>
      </c>
      <c r="E1303" s="3298" t="s">
        <v>4905</v>
      </c>
      <c r="F1303" s="3298" t="s">
        <v>2321</v>
      </c>
      <c r="G1303" s="3278">
        <v>27637.5</v>
      </c>
      <c r="H1303" s="3299">
        <v>0</v>
      </c>
      <c r="I1303" s="3278">
        <v>0</v>
      </c>
    </row>
    <row r="1304" ht="12.75" customHeight="1" spans="2:9">
      <c r="B1304" s="3274">
        <v>238</v>
      </c>
      <c r="D1304" s="3297" t="s">
        <v>4906</v>
      </c>
      <c r="E1304" s="3298" t="s">
        <v>4907</v>
      </c>
      <c r="F1304" s="3298" t="s">
        <v>2321</v>
      </c>
      <c r="G1304" s="3278">
        <v>24062.5</v>
      </c>
      <c r="H1304" s="3299">
        <v>0</v>
      </c>
      <c r="I1304" s="3278">
        <v>0</v>
      </c>
    </row>
    <row r="1305" ht="12.75" customHeight="1" spans="2:9">
      <c r="B1305" s="3274">
        <v>239</v>
      </c>
      <c r="D1305" s="3297" t="s">
        <v>4908</v>
      </c>
      <c r="E1305" s="3298" t="s">
        <v>4909</v>
      </c>
      <c r="F1305" s="3298" t="s">
        <v>2321</v>
      </c>
      <c r="G1305" s="3278">
        <v>33687.5</v>
      </c>
      <c r="H1305" s="3299">
        <v>0</v>
      </c>
      <c r="I1305" s="3278">
        <v>0</v>
      </c>
    </row>
    <row r="1306" ht="12.75" customHeight="1" spans="2:9">
      <c r="B1306" s="3274">
        <v>240</v>
      </c>
      <c r="D1306" s="3297" t="s">
        <v>4910</v>
      </c>
      <c r="E1306" s="3298" t="s">
        <v>4911</v>
      </c>
      <c r="F1306" s="3298" t="s">
        <v>2321</v>
      </c>
      <c r="G1306" s="3278">
        <v>28325</v>
      </c>
      <c r="H1306" s="3299">
        <v>0</v>
      </c>
      <c r="I1306" s="3278">
        <v>0</v>
      </c>
    </row>
    <row r="1307" ht="12.75" customHeight="1" spans="2:9">
      <c r="B1307" s="3274">
        <v>241</v>
      </c>
      <c r="D1307" s="3297" t="s">
        <v>4912</v>
      </c>
      <c r="E1307" s="3298" t="s">
        <v>4913</v>
      </c>
      <c r="F1307" s="3298" t="s">
        <v>2637</v>
      </c>
      <c r="G1307" s="3278">
        <v>23460.9375</v>
      </c>
      <c r="H1307" s="3299">
        <v>56</v>
      </c>
      <c r="I1307" s="3278">
        <v>1313812.5</v>
      </c>
    </row>
    <row r="1308" ht="12.75" customHeight="1" spans="2:9">
      <c r="B1308" s="3274">
        <v>242</v>
      </c>
      <c r="D1308" s="3297" t="s">
        <v>4914</v>
      </c>
      <c r="E1308" s="3298" t="s">
        <v>4915</v>
      </c>
      <c r="F1308" s="3298" t="s">
        <v>2321</v>
      </c>
      <c r="G1308" s="3278">
        <v>31212.5</v>
      </c>
      <c r="H1308" s="3299">
        <v>0</v>
      </c>
      <c r="I1308" s="3278">
        <v>0</v>
      </c>
    </row>
    <row r="1309" ht="12.75" customHeight="1" spans="2:9">
      <c r="B1309" s="3274">
        <v>243</v>
      </c>
      <c r="D1309" s="3297" t="s">
        <v>4916</v>
      </c>
      <c r="E1309" s="3298" t="s">
        <v>4917</v>
      </c>
      <c r="F1309" s="3298" t="s">
        <v>2321</v>
      </c>
      <c r="G1309" s="3278">
        <v>24131.25</v>
      </c>
      <c r="H1309" s="3299">
        <v>0</v>
      </c>
      <c r="I1309" s="3278">
        <v>0</v>
      </c>
    </row>
    <row r="1310" ht="12.75" customHeight="1" spans="2:9">
      <c r="B1310" s="3274">
        <v>244</v>
      </c>
      <c r="D1310" s="3297" t="s">
        <v>4918</v>
      </c>
      <c r="E1310" s="3298" t="s">
        <v>4919</v>
      </c>
      <c r="F1310" s="3298" t="s">
        <v>2321</v>
      </c>
      <c r="G1310" s="3278">
        <v>21862.005</v>
      </c>
      <c r="H1310" s="3299">
        <v>0</v>
      </c>
      <c r="I1310" s="3278">
        <v>0</v>
      </c>
    </row>
    <row r="1311" ht="12.75" customHeight="1" spans="2:9">
      <c r="B1311" s="3274">
        <v>245</v>
      </c>
      <c r="D1311" s="3297" t="s">
        <v>4920</v>
      </c>
      <c r="E1311" s="3298" t="s">
        <v>4921</v>
      </c>
      <c r="F1311" s="3298" t="s">
        <v>2637</v>
      </c>
      <c r="G1311" s="3278">
        <v>22137.5</v>
      </c>
      <c r="H1311" s="3299">
        <v>0</v>
      </c>
      <c r="I1311" s="3278">
        <v>0</v>
      </c>
    </row>
    <row r="1312" ht="12.75" customHeight="1" spans="2:9">
      <c r="B1312" s="3274">
        <v>246</v>
      </c>
      <c r="D1312" s="3297" t="s">
        <v>4922</v>
      </c>
      <c r="E1312" s="3298" t="s">
        <v>4923</v>
      </c>
      <c r="F1312" s="3298" t="s">
        <v>2321</v>
      </c>
      <c r="G1312" s="3278">
        <v>20075</v>
      </c>
      <c r="H1312" s="3299">
        <v>24</v>
      </c>
      <c r="I1312" s="3278">
        <v>481800</v>
      </c>
    </row>
    <row r="1313" ht="12.75" customHeight="1" spans="2:9">
      <c r="B1313" s="3274">
        <v>247</v>
      </c>
      <c r="D1313" s="3297" t="s">
        <v>4924</v>
      </c>
      <c r="E1313" s="3298" t="s">
        <v>4925</v>
      </c>
      <c r="F1313" s="3298" t="s">
        <v>2391</v>
      </c>
      <c r="G1313" s="3278">
        <v>21037.5</v>
      </c>
      <c r="H1313" s="3299">
        <v>0</v>
      </c>
      <c r="I1313" s="3278">
        <v>0</v>
      </c>
    </row>
    <row r="1314" ht="12.75" customHeight="1" spans="2:9">
      <c r="B1314" s="3274">
        <v>248</v>
      </c>
      <c r="D1314" s="3297" t="s">
        <v>4926</v>
      </c>
      <c r="E1314" s="3298" t="s">
        <v>4927</v>
      </c>
      <c r="F1314" s="3298" t="s">
        <v>2321</v>
      </c>
      <c r="G1314" s="3278">
        <v>29975</v>
      </c>
      <c r="H1314" s="3299">
        <v>0</v>
      </c>
      <c r="I1314" s="3278">
        <v>0</v>
      </c>
    </row>
    <row r="1315" ht="12.75" customHeight="1" spans="2:9">
      <c r="B1315" s="3274">
        <v>249</v>
      </c>
      <c r="D1315" s="3297" t="s">
        <v>4928</v>
      </c>
      <c r="E1315" s="3298" t="s">
        <v>4929</v>
      </c>
      <c r="F1315" s="3298" t="s">
        <v>2367</v>
      </c>
      <c r="G1315" s="3278">
        <v>2943.6</v>
      </c>
      <c r="H1315" s="3299">
        <v>0</v>
      </c>
      <c r="I1315" s="3278">
        <v>0</v>
      </c>
    </row>
    <row r="1316" ht="12.75" customHeight="1" spans="2:9">
      <c r="B1316" s="3274">
        <v>250</v>
      </c>
      <c r="D1316" s="3297" t="s">
        <v>4930</v>
      </c>
      <c r="E1316" s="3298" t="s">
        <v>4931</v>
      </c>
      <c r="F1316" s="3298" t="s">
        <v>2367</v>
      </c>
      <c r="G1316" s="3278">
        <v>13200</v>
      </c>
      <c r="H1316" s="3299">
        <v>0</v>
      </c>
      <c r="I1316" s="3278">
        <v>0</v>
      </c>
    </row>
    <row r="1317" ht="12.75" customHeight="1" spans="2:9">
      <c r="B1317" s="3274">
        <v>251</v>
      </c>
      <c r="D1317" s="3297" t="s">
        <v>4932</v>
      </c>
      <c r="E1317" s="3298" t="s">
        <v>4933</v>
      </c>
      <c r="F1317" s="3298" t="s">
        <v>2367</v>
      </c>
      <c r="G1317" s="3278">
        <v>1815</v>
      </c>
      <c r="H1317" s="3299">
        <v>0</v>
      </c>
      <c r="I1317" s="3278">
        <v>0</v>
      </c>
    </row>
    <row r="1318" ht="12.75" customHeight="1" spans="2:9">
      <c r="B1318" s="3274">
        <v>252</v>
      </c>
      <c r="D1318" s="3297" t="s">
        <v>4934</v>
      </c>
      <c r="E1318" s="3298" t="s">
        <v>4935</v>
      </c>
      <c r="F1318" s="3298" t="s">
        <v>2637</v>
      </c>
      <c r="G1318" s="3278">
        <v>12897.5</v>
      </c>
      <c r="H1318" s="3299">
        <v>18</v>
      </c>
      <c r="I1318" s="3278">
        <v>232155</v>
      </c>
    </row>
    <row r="1319" ht="12.75" customHeight="1" spans="2:9">
      <c r="B1319" s="3274">
        <v>253</v>
      </c>
      <c r="D1319" s="3297" t="s">
        <v>4936</v>
      </c>
      <c r="E1319" s="3298" t="s">
        <v>4937</v>
      </c>
      <c r="F1319" s="3298" t="s">
        <v>2637</v>
      </c>
      <c r="G1319" s="3278">
        <v>12650</v>
      </c>
      <c r="H1319" s="3299">
        <v>17</v>
      </c>
      <c r="I1319" s="3278">
        <v>215050</v>
      </c>
    </row>
    <row r="1320" ht="12.75" customHeight="1" spans="2:9">
      <c r="B1320" s="3274">
        <v>254</v>
      </c>
      <c r="D1320" s="3297" t="s">
        <v>4938</v>
      </c>
      <c r="E1320" s="3298" t="s">
        <v>4939</v>
      </c>
      <c r="F1320" s="3298" t="s">
        <v>2367</v>
      </c>
      <c r="G1320" s="3278">
        <v>8910</v>
      </c>
      <c r="H1320" s="3299">
        <v>0</v>
      </c>
      <c r="I1320" s="3278">
        <v>0</v>
      </c>
    </row>
    <row r="1321" ht="12.75" customHeight="1" spans="2:9">
      <c r="B1321" s="3274">
        <v>255</v>
      </c>
      <c r="D1321" s="3297" t="s">
        <v>4940</v>
      </c>
      <c r="E1321" s="3298" t="s">
        <v>4941</v>
      </c>
      <c r="F1321" s="3298" t="s">
        <v>3056</v>
      </c>
      <c r="G1321" s="3278">
        <v>7700</v>
      </c>
      <c r="H1321" s="3299">
        <v>0</v>
      </c>
      <c r="I1321" s="3278">
        <v>0</v>
      </c>
    </row>
    <row r="1322" ht="12.75" customHeight="1" spans="2:9">
      <c r="B1322" s="3274">
        <v>256</v>
      </c>
      <c r="D1322" s="3297" t="s">
        <v>4942</v>
      </c>
      <c r="E1322" s="3298" t="s">
        <v>4943</v>
      </c>
      <c r="F1322" s="3298" t="s">
        <v>2637</v>
      </c>
      <c r="G1322" s="3278">
        <v>17600</v>
      </c>
      <c r="H1322" s="3299">
        <v>26</v>
      </c>
      <c r="I1322" s="3278">
        <v>457600</v>
      </c>
    </row>
    <row r="1323" ht="12.75" customHeight="1" spans="2:9">
      <c r="B1323" s="3274">
        <v>257</v>
      </c>
      <c r="D1323" s="3297" t="s">
        <v>4944</v>
      </c>
      <c r="E1323" s="3298" t="s">
        <v>4945</v>
      </c>
      <c r="F1323" s="3298" t="s">
        <v>2637</v>
      </c>
      <c r="G1323" s="3278">
        <v>19800</v>
      </c>
      <c r="H1323" s="3299">
        <v>39</v>
      </c>
      <c r="I1323" s="3278">
        <v>772200</v>
      </c>
    </row>
    <row r="1324" ht="12.75" customHeight="1" spans="2:9">
      <c r="B1324" s="3274">
        <v>258</v>
      </c>
      <c r="D1324" s="3297" t="s">
        <v>4946</v>
      </c>
      <c r="E1324" s="3298" t="s">
        <v>4947</v>
      </c>
      <c r="F1324" s="3298" t="s">
        <v>2367</v>
      </c>
      <c r="G1324" s="3278">
        <v>4400</v>
      </c>
      <c r="H1324" s="3299">
        <v>0</v>
      </c>
      <c r="I1324" s="3278">
        <v>0</v>
      </c>
    </row>
    <row r="1325" ht="12.75" customHeight="1" spans="2:9">
      <c r="B1325" s="3274">
        <v>259</v>
      </c>
      <c r="D1325" s="3297" t="s">
        <v>4948</v>
      </c>
      <c r="E1325" s="3298" t="s">
        <v>4949</v>
      </c>
      <c r="F1325" s="3298" t="s">
        <v>2367</v>
      </c>
      <c r="G1325" s="3278">
        <v>7700</v>
      </c>
      <c r="H1325" s="3299">
        <v>0</v>
      </c>
      <c r="I1325" s="3278">
        <v>0</v>
      </c>
    </row>
    <row r="1326" ht="12.75" customHeight="1" spans="2:9">
      <c r="B1326" s="3274">
        <v>260</v>
      </c>
      <c r="D1326" s="3297" t="s">
        <v>4950</v>
      </c>
      <c r="E1326" s="3298" t="s">
        <v>4951</v>
      </c>
      <c r="F1326" s="3298" t="s">
        <v>3056</v>
      </c>
      <c r="G1326" s="3278">
        <v>8800</v>
      </c>
      <c r="H1326" s="3299">
        <v>0</v>
      </c>
      <c r="I1326" s="3278">
        <v>0</v>
      </c>
    </row>
    <row r="1327" ht="12.75" customHeight="1" spans="2:9">
      <c r="B1327" s="3274">
        <v>261</v>
      </c>
      <c r="D1327" s="3297" t="s">
        <v>4952</v>
      </c>
      <c r="E1327" s="3298" t="s">
        <v>4953</v>
      </c>
      <c r="F1327" s="3298" t="s">
        <v>4757</v>
      </c>
      <c r="G1327" s="3278">
        <v>12925</v>
      </c>
      <c r="H1327" s="3299">
        <v>330</v>
      </c>
      <c r="I1327" s="3278">
        <v>4265250</v>
      </c>
    </row>
    <row r="1328" ht="12.75" customHeight="1" spans="2:9">
      <c r="B1328" s="3274">
        <v>262</v>
      </c>
      <c r="D1328" s="3297" t="s">
        <v>4954</v>
      </c>
      <c r="E1328" s="3298" t="s">
        <v>4955</v>
      </c>
      <c r="F1328" s="3298" t="s">
        <v>2321</v>
      </c>
      <c r="G1328" s="3278">
        <v>60456</v>
      </c>
      <c r="H1328" s="3299">
        <v>0</v>
      </c>
      <c r="I1328" s="3278">
        <v>0</v>
      </c>
    </row>
    <row r="1329" ht="12.75" customHeight="1" spans="2:9">
      <c r="B1329" s="3274">
        <v>263</v>
      </c>
      <c r="D1329" s="3297" t="s">
        <v>4956</v>
      </c>
      <c r="E1329" s="3298" t="s">
        <v>4957</v>
      </c>
      <c r="F1329" s="3298" t="s">
        <v>2321</v>
      </c>
      <c r="G1329" s="3278">
        <v>45584</v>
      </c>
      <c r="H1329" s="3299">
        <v>0</v>
      </c>
      <c r="I1329" s="3278">
        <v>0</v>
      </c>
    </row>
    <row r="1330" ht="12.75" customHeight="1" spans="2:9">
      <c r="B1330" s="3274">
        <v>264</v>
      </c>
      <c r="D1330" s="3297" t="s">
        <v>4958</v>
      </c>
      <c r="E1330" s="3298" t="s">
        <v>4959</v>
      </c>
      <c r="F1330" s="3298" t="s">
        <v>4757</v>
      </c>
      <c r="G1330" s="3278">
        <v>6875</v>
      </c>
      <c r="H1330" s="3299">
        <v>0</v>
      </c>
      <c r="I1330" s="3278">
        <v>0</v>
      </c>
    </row>
    <row r="1331" ht="12.75" customHeight="1" spans="2:9">
      <c r="B1331" s="3274">
        <v>265</v>
      </c>
      <c r="D1331" s="3297" t="s">
        <v>4960</v>
      </c>
      <c r="E1331" s="3298" t="s">
        <v>4961</v>
      </c>
      <c r="F1331" s="3298" t="s">
        <v>4757</v>
      </c>
      <c r="G1331" s="3278">
        <v>6600</v>
      </c>
      <c r="H1331" s="3299">
        <v>0</v>
      </c>
      <c r="I1331" s="3278">
        <v>0</v>
      </c>
    </row>
    <row r="1332" ht="12.75" customHeight="1" spans="2:9">
      <c r="B1332" s="3274">
        <v>266</v>
      </c>
      <c r="D1332" s="3297" t="s">
        <v>4962</v>
      </c>
      <c r="E1332" s="3298" t="s">
        <v>4963</v>
      </c>
      <c r="F1332" s="3298" t="s">
        <v>2637</v>
      </c>
      <c r="G1332" s="3278">
        <v>27500</v>
      </c>
      <c r="H1332" s="3299">
        <v>0</v>
      </c>
      <c r="I1332" s="3278">
        <v>0</v>
      </c>
    </row>
    <row r="1333" ht="12.75" customHeight="1" spans="2:9">
      <c r="B1333" s="3274">
        <v>267</v>
      </c>
      <c r="D1333" s="3297" t="s">
        <v>4964</v>
      </c>
      <c r="E1333" s="3298" t="s">
        <v>4965</v>
      </c>
      <c r="F1333" s="3298" t="s">
        <v>2367</v>
      </c>
      <c r="G1333" s="3278">
        <v>4730</v>
      </c>
      <c r="H1333" s="3299">
        <v>0</v>
      </c>
      <c r="I1333" s="3278">
        <v>0</v>
      </c>
    </row>
    <row r="1334" ht="12.75" customHeight="1" spans="2:9">
      <c r="B1334" s="3274">
        <v>268</v>
      </c>
      <c r="D1334" s="3297" t="s">
        <v>4966</v>
      </c>
      <c r="E1334" s="3298" t="s">
        <v>4967</v>
      </c>
      <c r="F1334" s="3298" t="s">
        <v>3056</v>
      </c>
      <c r="G1334" s="3278">
        <v>7480</v>
      </c>
      <c r="H1334" s="3299">
        <v>0</v>
      </c>
      <c r="I1334" s="3278">
        <v>0</v>
      </c>
    </row>
    <row r="1335" ht="12.75" customHeight="1" spans="2:9">
      <c r="B1335" s="3274">
        <v>269</v>
      </c>
      <c r="D1335" s="3297" t="s">
        <v>4968</v>
      </c>
      <c r="E1335" s="3298" t="s">
        <v>4969</v>
      </c>
      <c r="F1335" s="3298" t="s">
        <v>2367</v>
      </c>
      <c r="G1335" s="3278">
        <v>2365</v>
      </c>
      <c r="H1335" s="3299">
        <v>0</v>
      </c>
      <c r="I1335" s="3278">
        <v>0</v>
      </c>
    </row>
    <row r="1336" ht="12.75" customHeight="1" spans="2:9">
      <c r="B1336" s="3274">
        <v>270</v>
      </c>
      <c r="D1336" s="3297" t="s">
        <v>4970</v>
      </c>
      <c r="E1336" s="3298" t="s">
        <v>4971</v>
      </c>
      <c r="F1336" s="3298" t="s">
        <v>3056</v>
      </c>
      <c r="G1336" s="3278">
        <v>4400</v>
      </c>
      <c r="H1336" s="3299">
        <v>0</v>
      </c>
      <c r="I1336" s="3278">
        <v>0</v>
      </c>
    </row>
    <row r="1337" ht="12.75" customHeight="1" spans="2:9">
      <c r="B1337" s="3274">
        <v>271</v>
      </c>
      <c r="D1337" s="3297" t="s">
        <v>4972</v>
      </c>
      <c r="E1337" s="3298" t="s">
        <v>4973</v>
      </c>
      <c r="F1337" s="3298" t="s">
        <v>3056</v>
      </c>
      <c r="G1337" s="3278">
        <v>684.97</v>
      </c>
      <c r="H1337" s="3299">
        <v>800</v>
      </c>
      <c r="I1337" s="3278">
        <v>547976</v>
      </c>
    </row>
    <row r="1338" ht="12.75" customHeight="1" spans="2:9">
      <c r="B1338" s="3274">
        <v>272</v>
      </c>
      <c r="D1338" s="3297" t="s">
        <v>4974</v>
      </c>
      <c r="E1338" s="3298" t="s">
        <v>4975</v>
      </c>
      <c r="F1338" s="3298" t="s">
        <v>3056</v>
      </c>
      <c r="G1338" s="3278">
        <v>1623.6</v>
      </c>
      <c r="H1338" s="3299">
        <v>0</v>
      </c>
      <c r="I1338" s="3278">
        <v>0</v>
      </c>
    </row>
    <row r="1339" ht="12.75" customHeight="1" spans="2:9">
      <c r="B1339" s="3274">
        <v>273</v>
      </c>
      <c r="D1339" s="3297" t="s">
        <v>4976</v>
      </c>
      <c r="E1339" s="3298" t="s">
        <v>4977</v>
      </c>
      <c r="F1339" s="3298" t="s">
        <v>4351</v>
      </c>
      <c r="G1339" s="3278">
        <v>7937.6</v>
      </c>
      <c r="H1339" s="3299">
        <v>0</v>
      </c>
      <c r="I1339" s="3278">
        <v>0</v>
      </c>
    </row>
    <row r="1340" ht="12.75" customHeight="1" spans="2:9">
      <c r="B1340" s="3274">
        <v>274</v>
      </c>
      <c r="D1340" s="3297" t="s">
        <v>4978</v>
      </c>
      <c r="E1340" s="3298" t="s">
        <v>4979</v>
      </c>
      <c r="F1340" s="3298" t="s">
        <v>2321</v>
      </c>
      <c r="G1340" s="3278">
        <v>11998.25</v>
      </c>
      <c r="H1340" s="3299">
        <v>0</v>
      </c>
      <c r="I1340" s="3278">
        <v>0</v>
      </c>
    </row>
    <row r="1341" ht="12.75" customHeight="1" spans="2:9">
      <c r="B1341" s="3274">
        <v>275</v>
      </c>
      <c r="D1341" s="3297" t="s">
        <v>4980</v>
      </c>
      <c r="E1341" s="3298" t="s">
        <v>4981</v>
      </c>
      <c r="F1341" s="3298" t="s">
        <v>3056</v>
      </c>
      <c r="G1341" s="3278">
        <v>5610</v>
      </c>
      <c r="H1341" s="3299">
        <v>0</v>
      </c>
      <c r="I1341" s="3278">
        <v>0</v>
      </c>
    </row>
    <row r="1342" ht="12.75" customHeight="1" spans="2:9">
      <c r="B1342" s="3274">
        <v>276</v>
      </c>
      <c r="D1342" s="3297" t="s">
        <v>4982</v>
      </c>
      <c r="E1342" s="3298" t="s">
        <v>4983</v>
      </c>
      <c r="F1342" s="3298" t="s">
        <v>3056</v>
      </c>
      <c r="G1342" s="3278">
        <v>1155</v>
      </c>
      <c r="H1342" s="3299">
        <v>0</v>
      </c>
      <c r="I1342" s="3278">
        <v>0</v>
      </c>
    </row>
    <row r="1343" ht="12.75" customHeight="1" spans="2:9">
      <c r="B1343" s="3274">
        <v>277</v>
      </c>
      <c r="D1343" s="3297" t="s">
        <v>4984</v>
      </c>
      <c r="E1343" s="3298" t="s">
        <v>4985</v>
      </c>
      <c r="F1343" s="3298" t="s">
        <v>2321</v>
      </c>
      <c r="G1343" s="3278">
        <v>10615</v>
      </c>
      <c r="H1343" s="3299">
        <v>0</v>
      </c>
      <c r="I1343" s="3278">
        <v>0</v>
      </c>
    </row>
    <row r="1344" ht="12.75" customHeight="1" spans="2:9">
      <c r="B1344" s="3274">
        <v>278</v>
      </c>
      <c r="D1344" s="3297" t="s">
        <v>4986</v>
      </c>
      <c r="E1344" s="3298" t="s">
        <v>4987</v>
      </c>
      <c r="F1344" s="3298" t="s">
        <v>3056</v>
      </c>
      <c r="G1344" s="3278">
        <v>506</v>
      </c>
      <c r="H1344" s="3299">
        <v>0</v>
      </c>
      <c r="I1344" s="3278">
        <v>0</v>
      </c>
    </row>
    <row r="1345" ht="12.75" customHeight="1" spans="2:9">
      <c r="B1345" s="3274">
        <v>279</v>
      </c>
      <c r="D1345" s="3297" t="s">
        <v>4988</v>
      </c>
      <c r="E1345" s="3298" t="s">
        <v>4989</v>
      </c>
      <c r="F1345" s="3298" t="s">
        <v>2321</v>
      </c>
      <c r="G1345" s="3278">
        <v>181500</v>
      </c>
      <c r="H1345" s="3299">
        <v>0</v>
      </c>
      <c r="I1345" s="3278">
        <v>0</v>
      </c>
    </row>
    <row r="1346" ht="12.75" customHeight="1" spans="2:9">
      <c r="B1346" s="3274">
        <v>280</v>
      </c>
      <c r="D1346" s="3297" t="s">
        <v>4990</v>
      </c>
      <c r="E1346" s="3298" t="s">
        <v>4991</v>
      </c>
      <c r="F1346" s="3298" t="s">
        <v>3056</v>
      </c>
      <c r="G1346" s="3278">
        <v>15972</v>
      </c>
      <c r="H1346" s="3299">
        <v>0</v>
      </c>
      <c r="I1346" s="3278">
        <v>0</v>
      </c>
    </row>
    <row r="1347" ht="12.75" customHeight="1" spans="2:9">
      <c r="B1347" s="3274">
        <v>281</v>
      </c>
      <c r="D1347" s="3297" t="s">
        <v>4992</v>
      </c>
      <c r="E1347" s="3298" t="s">
        <v>4993</v>
      </c>
      <c r="F1347" s="3298" t="s">
        <v>2321</v>
      </c>
      <c r="G1347" s="3278">
        <v>15400</v>
      </c>
      <c r="H1347" s="3299">
        <v>0</v>
      </c>
      <c r="I1347" s="3278">
        <v>0</v>
      </c>
    </row>
    <row r="1348" ht="12.75" customHeight="1" spans="2:9">
      <c r="B1348" s="3274">
        <v>282</v>
      </c>
      <c r="D1348" s="3297" t="s">
        <v>4994</v>
      </c>
      <c r="E1348" s="3298" t="s">
        <v>4995</v>
      </c>
      <c r="F1348" s="3298" t="s">
        <v>3423</v>
      </c>
      <c r="G1348" s="3278">
        <v>4549.9959</v>
      </c>
      <c r="H1348" s="3299">
        <v>0</v>
      </c>
      <c r="I1348" s="3278">
        <v>0</v>
      </c>
    </row>
    <row r="1349" ht="12.75" customHeight="1" spans="2:9">
      <c r="B1349" s="3274">
        <v>283</v>
      </c>
      <c r="D1349" s="3297" t="s">
        <v>4996</v>
      </c>
      <c r="E1349" s="3298" t="s">
        <v>4997</v>
      </c>
      <c r="F1349" s="3298" t="s">
        <v>2321</v>
      </c>
      <c r="G1349" s="3278">
        <v>57860</v>
      </c>
      <c r="H1349" s="3299">
        <v>0</v>
      </c>
      <c r="I1349" s="3278">
        <v>0</v>
      </c>
    </row>
    <row r="1350" ht="12.75" customHeight="1" spans="2:9">
      <c r="B1350" s="3274">
        <v>284</v>
      </c>
      <c r="D1350" s="3297" t="s">
        <v>4998</v>
      </c>
      <c r="E1350" s="3298" t="s">
        <v>4999</v>
      </c>
      <c r="F1350" s="3298" t="s">
        <v>2321</v>
      </c>
      <c r="G1350" s="3278">
        <v>54363.1</v>
      </c>
      <c r="H1350" s="3299">
        <v>0</v>
      </c>
      <c r="I1350" s="3278">
        <v>0</v>
      </c>
    </row>
    <row r="1351" ht="12.75" customHeight="1" spans="2:9">
      <c r="B1351" s="3274">
        <v>285</v>
      </c>
      <c r="D1351" s="3297" t="s">
        <v>5000</v>
      </c>
      <c r="E1351" s="3298" t="s">
        <v>5001</v>
      </c>
      <c r="F1351" s="3298" t="s">
        <v>2367</v>
      </c>
      <c r="G1351" s="3278">
        <v>8943.0205</v>
      </c>
      <c r="H1351" s="3299">
        <v>0</v>
      </c>
      <c r="I1351" s="3278">
        <v>0</v>
      </c>
    </row>
    <row r="1352" ht="12.75" customHeight="1" spans="2:9">
      <c r="B1352" s="3274">
        <v>286</v>
      </c>
      <c r="D1352" s="3297" t="s">
        <v>5002</v>
      </c>
      <c r="E1352" s="3298" t="s">
        <v>5003</v>
      </c>
      <c r="F1352" s="3298" t="s">
        <v>3423</v>
      </c>
      <c r="G1352" s="3278">
        <v>40075.75</v>
      </c>
      <c r="H1352" s="3299">
        <v>0</v>
      </c>
      <c r="I1352" s="3278">
        <v>0</v>
      </c>
    </row>
    <row r="1353" ht="12.75" customHeight="1" spans="2:9">
      <c r="B1353" s="3274">
        <v>287</v>
      </c>
      <c r="D1353" s="3297" t="s">
        <v>5004</v>
      </c>
      <c r="E1353" s="3298" t="s">
        <v>5005</v>
      </c>
      <c r="F1353" s="3298" t="s">
        <v>2367</v>
      </c>
      <c r="G1353" s="3278">
        <v>5896</v>
      </c>
      <c r="H1353" s="3299">
        <v>0</v>
      </c>
      <c r="I1353" s="3278">
        <v>0</v>
      </c>
    </row>
    <row r="1354" ht="12.75" customHeight="1" spans="2:9">
      <c r="B1354" s="3274">
        <v>288</v>
      </c>
      <c r="D1354" s="3297" t="s">
        <v>5006</v>
      </c>
      <c r="E1354" s="3298" t="s">
        <v>5007</v>
      </c>
      <c r="F1354" s="3298" t="s">
        <v>2367</v>
      </c>
      <c r="G1354" s="3278">
        <v>246.4</v>
      </c>
      <c r="H1354" s="3299">
        <v>0</v>
      </c>
      <c r="I1354" s="3278">
        <v>0</v>
      </c>
    </row>
    <row r="1355" ht="12.75" customHeight="1" spans="2:9">
      <c r="B1355" s="3274">
        <v>289</v>
      </c>
      <c r="D1355" s="3297" t="s">
        <v>5008</v>
      </c>
      <c r="E1355" s="3298" t="s">
        <v>5009</v>
      </c>
      <c r="F1355" s="3298" t="s">
        <v>2637</v>
      </c>
      <c r="G1355" s="3278">
        <v>17930</v>
      </c>
      <c r="H1355" s="3299">
        <v>0</v>
      </c>
      <c r="I1355" s="3278">
        <v>0</v>
      </c>
    </row>
    <row r="1356" ht="12.75" customHeight="1" spans="2:9">
      <c r="B1356" s="3274">
        <v>290</v>
      </c>
      <c r="D1356" s="3297" t="s">
        <v>5010</v>
      </c>
      <c r="E1356" s="3298" t="s">
        <v>5011</v>
      </c>
      <c r="F1356" s="3298" t="s">
        <v>2637</v>
      </c>
      <c r="G1356" s="3278">
        <v>79860</v>
      </c>
      <c r="H1356" s="3299">
        <v>0</v>
      </c>
      <c r="I1356" s="3278">
        <v>0</v>
      </c>
    </row>
    <row r="1357" ht="12.75" customHeight="1" spans="2:9">
      <c r="B1357" s="3274">
        <v>291</v>
      </c>
      <c r="D1357" s="3297" t="s">
        <v>5012</v>
      </c>
      <c r="E1357" s="3298" t="s">
        <v>5013</v>
      </c>
      <c r="F1357" s="3298" t="s">
        <v>2637</v>
      </c>
      <c r="G1357" s="3278">
        <v>22206.8</v>
      </c>
      <c r="H1357" s="3299">
        <v>0</v>
      </c>
      <c r="I1357" s="3278">
        <v>0</v>
      </c>
    </row>
    <row r="1358" ht="12.75" customHeight="1" spans="2:9">
      <c r="B1358" s="3274">
        <v>292</v>
      </c>
      <c r="D1358" s="3297" t="s">
        <v>5014</v>
      </c>
      <c r="E1358" s="3298" t="s">
        <v>5015</v>
      </c>
      <c r="F1358" s="3298" t="s">
        <v>2637</v>
      </c>
      <c r="G1358" s="3278">
        <v>35466.2</v>
      </c>
      <c r="H1358" s="3299">
        <v>0</v>
      </c>
      <c r="I1358" s="3278">
        <v>0</v>
      </c>
    </row>
    <row r="1359" ht="12.75" customHeight="1" spans="2:9">
      <c r="B1359" s="3274">
        <v>293</v>
      </c>
      <c r="D1359" s="3297" t="s">
        <v>5016</v>
      </c>
      <c r="E1359" s="3298" t="s">
        <v>5017</v>
      </c>
      <c r="F1359" s="3298" t="s">
        <v>3056</v>
      </c>
      <c r="G1359" s="3278">
        <v>35200</v>
      </c>
      <c r="H1359" s="3299">
        <v>0</v>
      </c>
      <c r="I1359" s="3278">
        <v>0</v>
      </c>
    </row>
    <row r="1360" ht="12.75" customHeight="1" spans="2:9">
      <c r="B1360" s="3274">
        <v>294</v>
      </c>
      <c r="D1360" s="3297" t="s">
        <v>5018</v>
      </c>
      <c r="E1360" s="3298" t="s">
        <v>5019</v>
      </c>
      <c r="F1360" s="3298" t="s">
        <v>3423</v>
      </c>
      <c r="G1360" s="3278">
        <v>302600</v>
      </c>
      <c r="H1360" s="3299">
        <v>0</v>
      </c>
      <c r="I1360" s="3278">
        <v>0</v>
      </c>
    </row>
    <row r="1361" ht="12.75" customHeight="1" spans="2:9">
      <c r="B1361" s="3274">
        <v>295</v>
      </c>
      <c r="D1361" s="3297" t="s">
        <v>5020</v>
      </c>
      <c r="E1361" s="3298" t="s">
        <v>5021</v>
      </c>
      <c r="F1361" s="3298" t="s">
        <v>3056</v>
      </c>
      <c r="G1361" s="3278">
        <v>23.001</v>
      </c>
      <c r="H1361" s="3299">
        <v>2000</v>
      </c>
      <c r="I1361" s="3278">
        <v>46002</v>
      </c>
    </row>
    <row r="1362" ht="12.75" customHeight="1" spans="2:9">
      <c r="B1362" s="3274">
        <v>296</v>
      </c>
      <c r="D1362" s="3297" t="s">
        <v>5022</v>
      </c>
      <c r="E1362" s="3298" t="s">
        <v>5023</v>
      </c>
      <c r="F1362" s="3298" t="s">
        <v>2321</v>
      </c>
      <c r="G1362" s="3278">
        <v>14850</v>
      </c>
      <c r="H1362" s="3299">
        <v>0</v>
      </c>
      <c r="I1362" s="3278">
        <v>0</v>
      </c>
    </row>
    <row r="1363" ht="12.75" customHeight="1" spans="2:9">
      <c r="B1363" s="3274">
        <v>297</v>
      </c>
      <c r="D1363" s="3297" t="s">
        <v>5024</v>
      </c>
      <c r="E1363" s="3298" t="s">
        <v>5025</v>
      </c>
      <c r="F1363" s="3298" t="s">
        <v>2321</v>
      </c>
      <c r="G1363" s="3278">
        <v>13549</v>
      </c>
      <c r="H1363" s="3299">
        <v>0</v>
      </c>
      <c r="I1363" s="3278">
        <v>0</v>
      </c>
    </row>
    <row r="1364" ht="12.75" customHeight="1" spans="2:9">
      <c r="B1364" s="3274">
        <v>298</v>
      </c>
      <c r="D1364" s="3297" t="s">
        <v>5026</v>
      </c>
      <c r="E1364" s="3298" t="s">
        <v>5027</v>
      </c>
      <c r="F1364" s="3298" t="s">
        <v>3056</v>
      </c>
      <c r="G1364" s="3278">
        <v>1306.8</v>
      </c>
      <c r="H1364" s="3299">
        <v>0</v>
      </c>
      <c r="I1364" s="3278">
        <v>0</v>
      </c>
    </row>
    <row r="1365" ht="12.75" customHeight="1" spans="2:9">
      <c r="B1365" s="3274">
        <v>299</v>
      </c>
      <c r="D1365" s="3297" t="s">
        <v>5028</v>
      </c>
      <c r="E1365" s="3298" t="s">
        <v>5029</v>
      </c>
      <c r="F1365" s="3298" t="s">
        <v>4757</v>
      </c>
      <c r="G1365" s="3278">
        <v>2970</v>
      </c>
      <c r="H1365" s="3299">
        <v>0</v>
      </c>
      <c r="I1365" s="3278">
        <v>0</v>
      </c>
    </row>
    <row r="1366" ht="12.75" customHeight="1" spans="2:9">
      <c r="B1366" s="3274">
        <v>300</v>
      </c>
      <c r="D1366" s="3297" t="s">
        <v>5030</v>
      </c>
      <c r="E1366" s="3298" t="s">
        <v>5031</v>
      </c>
      <c r="F1366" s="3298" t="s">
        <v>2321</v>
      </c>
      <c r="G1366" s="3278">
        <v>51150</v>
      </c>
      <c r="H1366" s="3299">
        <v>0</v>
      </c>
      <c r="I1366" s="3278">
        <v>0</v>
      </c>
    </row>
    <row r="1367" ht="12.75" customHeight="1" spans="2:9">
      <c r="B1367" s="3274">
        <v>301</v>
      </c>
      <c r="D1367" s="3297" t="s">
        <v>5032</v>
      </c>
      <c r="E1367" s="3298" t="s">
        <v>5033</v>
      </c>
      <c r="F1367" s="3298" t="s">
        <v>2321</v>
      </c>
      <c r="G1367" s="3278">
        <v>16500</v>
      </c>
      <c r="H1367" s="3299">
        <v>0</v>
      </c>
      <c r="I1367" s="3278">
        <v>0</v>
      </c>
    </row>
    <row r="1368" ht="12.75" customHeight="1" spans="2:9">
      <c r="B1368" s="3274">
        <v>302</v>
      </c>
      <c r="D1368" s="3297" t="s">
        <v>5034</v>
      </c>
      <c r="E1368" s="3298" t="s">
        <v>5035</v>
      </c>
      <c r="F1368" s="3298" t="s">
        <v>2321</v>
      </c>
      <c r="G1368" s="3278">
        <v>18700</v>
      </c>
      <c r="H1368" s="3299">
        <v>0</v>
      </c>
      <c r="I1368" s="3278">
        <v>0</v>
      </c>
    </row>
    <row r="1369" ht="12.75" customHeight="1" spans="2:9">
      <c r="B1369" s="3274">
        <v>303</v>
      </c>
      <c r="D1369" s="3297" t="s">
        <v>5036</v>
      </c>
      <c r="E1369" s="3298" t="s">
        <v>5037</v>
      </c>
      <c r="F1369" s="3298" t="s">
        <v>2367</v>
      </c>
      <c r="G1369" s="3278">
        <v>1980</v>
      </c>
      <c r="H1369" s="3299">
        <v>0</v>
      </c>
      <c r="I1369" s="3278">
        <v>0</v>
      </c>
    </row>
    <row r="1370" ht="12.75" customHeight="1" spans="2:9">
      <c r="B1370" s="3274">
        <v>304</v>
      </c>
      <c r="D1370" s="3297" t="s">
        <v>5038</v>
      </c>
      <c r="E1370" s="3298" t="s">
        <v>5039</v>
      </c>
      <c r="F1370" s="3298" t="s">
        <v>2299</v>
      </c>
      <c r="G1370" s="3278">
        <v>7818.4751</v>
      </c>
      <c r="H1370" s="3299">
        <v>21</v>
      </c>
      <c r="I1370" s="3278">
        <v>164187.9771</v>
      </c>
    </row>
    <row r="1371" ht="12.75" customHeight="1" spans="2:9">
      <c r="B1371" s="3274">
        <v>305</v>
      </c>
      <c r="D1371" s="3297" t="s">
        <v>5040</v>
      </c>
      <c r="E1371" s="3298" t="s">
        <v>5041</v>
      </c>
      <c r="F1371" s="3298" t="s">
        <v>3423</v>
      </c>
      <c r="G1371" s="3278">
        <v>9009</v>
      </c>
      <c r="H1371" s="3299">
        <v>0</v>
      </c>
      <c r="I1371" s="3278">
        <v>0</v>
      </c>
    </row>
    <row r="1372" ht="12.75" customHeight="1" spans="2:9">
      <c r="B1372" s="3274">
        <v>306</v>
      </c>
      <c r="D1372" s="3297" t="s">
        <v>5042</v>
      </c>
      <c r="E1372" s="3298" t="s">
        <v>5043</v>
      </c>
      <c r="F1372" s="3298" t="s">
        <v>2637</v>
      </c>
      <c r="G1372" s="3278">
        <v>27500</v>
      </c>
      <c r="H1372" s="3299">
        <v>0</v>
      </c>
      <c r="I1372" s="3278">
        <v>0</v>
      </c>
    </row>
    <row r="1373" ht="12.75" customHeight="1" spans="2:9">
      <c r="B1373" s="3274">
        <v>307</v>
      </c>
      <c r="D1373" s="3297" t="s">
        <v>5044</v>
      </c>
      <c r="E1373" s="3298" t="s">
        <v>5045</v>
      </c>
      <c r="F1373" s="3298" t="s">
        <v>2637</v>
      </c>
      <c r="G1373" s="3278">
        <v>16500</v>
      </c>
      <c r="H1373" s="3299">
        <v>0</v>
      </c>
      <c r="I1373" s="3278">
        <v>0</v>
      </c>
    </row>
    <row r="1374" ht="12.75" customHeight="1" spans="2:9">
      <c r="B1374" s="3274">
        <v>308</v>
      </c>
      <c r="D1374" s="3297" t="s">
        <v>5046</v>
      </c>
      <c r="E1374" s="3298" t="s">
        <v>5047</v>
      </c>
      <c r="F1374" s="3298" t="s">
        <v>2637</v>
      </c>
      <c r="G1374" s="3278">
        <v>63302.8</v>
      </c>
      <c r="H1374" s="3299">
        <v>0</v>
      </c>
      <c r="I1374" s="3278">
        <v>0</v>
      </c>
    </row>
    <row r="1375" ht="12.75" customHeight="1" spans="2:9">
      <c r="B1375" s="3274">
        <v>309</v>
      </c>
      <c r="D1375" s="3297" t="s">
        <v>5048</v>
      </c>
      <c r="E1375" s="3298" t="s">
        <v>5049</v>
      </c>
      <c r="F1375" s="3298" t="s">
        <v>4351</v>
      </c>
      <c r="G1375" s="3278">
        <v>2194.5</v>
      </c>
      <c r="H1375" s="3299">
        <v>0</v>
      </c>
      <c r="I1375" s="3278">
        <v>0</v>
      </c>
    </row>
    <row r="1376" ht="12.75" customHeight="1" spans="2:9">
      <c r="B1376" s="3274">
        <v>310</v>
      </c>
      <c r="D1376" s="3297" t="s">
        <v>5050</v>
      </c>
      <c r="E1376" s="3298" t="s">
        <v>5051</v>
      </c>
      <c r="F1376" s="3298" t="s">
        <v>2367</v>
      </c>
      <c r="G1376" s="3278">
        <v>5248.1</v>
      </c>
      <c r="H1376" s="3299">
        <v>0</v>
      </c>
      <c r="I1376" s="3278">
        <v>0</v>
      </c>
    </row>
    <row r="1377" ht="12.75" customHeight="1" spans="2:9">
      <c r="B1377" s="3274">
        <v>311</v>
      </c>
      <c r="D1377" s="3297" t="s">
        <v>5052</v>
      </c>
      <c r="E1377" s="3298" t="s">
        <v>5053</v>
      </c>
      <c r="F1377" s="3298" t="s">
        <v>2367</v>
      </c>
      <c r="G1377" s="3278">
        <v>2640</v>
      </c>
      <c r="H1377" s="3299">
        <v>0</v>
      </c>
      <c r="I1377" s="3278">
        <v>0</v>
      </c>
    </row>
    <row r="1378" ht="12.75" customHeight="1" spans="2:9">
      <c r="B1378" s="3274">
        <v>312</v>
      </c>
      <c r="D1378" s="3297" t="s">
        <v>5054</v>
      </c>
      <c r="E1378" s="3298" t="s">
        <v>5055</v>
      </c>
      <c r="F1378" s="3298" t="s">
        <v>2367</v>
      </c>
      <c r="G1378" s="3278">
        <v>139404.1</v>
      </c>
      <c r="H1378" s="3299">
        <v>0</v>
      </c>
      <c r="I1378" s="3278">
        <v>0</v>
      </c>
    </row>
    <row r="1379" ht="12.75" customHeight="1" spans="2:9">
      <c r="B1379" s="3274">
        <v>313</v>
      </c>
      <c r="D1379" s="3297" t="s">
        <v>5056</v>
      </c>
      <c r="E1379" s="3298" t="s">
        <v>5057</v>
      </c>
      <c r="F1379" s="3298" t="s">
        <v>2367</v>
      </c>
      <c r="G1379" s="3278">
        <v>404.756</v>
      </c>
      <c r="H1379" s="3299">
        <v>0</v>
      </c>
      <c r="I1379" s="3278">
        <v>0</v>
      </c>
    </row>
    <row r="1380" ht="12.75" customHeight="1" spans="2:9">
      <c r="B1380" s="3274">
        <v>314</v>
      </c>
      <c r="D1380" s="3297" t="s">
        <v>5058</v>
      </c>
      <c r="E1380" s="3298" t="s">
        <v>5059</v>
      </c>
      <c r="F1380" s="3298" t="s">
        <v>2367</v>
      </c>
      <c r="G1380" s="3278">
        <v>625</v>
      </c>
      <c r="H1380" s="3299">
        <v>0</v>
      </c>
      <c r="I1380" s="3278">
        <v>0</v>
      </c>
    </row>
    <row r="1381" ht="12.75" customHeight="1" spans="2:9">
      <c r="B1381" s="3274">
        <v>315</v>
      </c>
      <c r="D1381" s="3297" t="s">
        <v>5060</v>
      </c>
      <c r="E1381" s="3298" t="s">
        <v>5061</v>
      </c>
      <c r="F1381" s="3298" t="s">
        <v>2321</v>
      </c>
      <c r="G1381" s="3278">
        <v>24035</v>
      </c>
      <c r="H1381" s="3299">
        <v>14</v>
      </c>
      <c r="I1381" s="3278">
        <v>336490</v>
      </c>
    </row>
    <row r="1382" ht="12.75" customHeight="1" spans="2:9">
      <c r="B1382" s="3274">
        <v>316</v>
      </c>
      <c r="D1382" s="3297" t="s">
        <v>5062</v>
      </c>
      <c r="E1382" s="3298" t="s">
        <v>5063</v>
      </c>
      <c r="F1382" s="3298" t="s">
        <v>2367</v>
      </c>
      <c r="G1382" s="3278">
        <v>6875</v>
      </c>
      <c r="H1382" s="3299">
        <v>0</v>
      </c>
      <c r="I1382" s="3278">
        <v>0</v>
      </c>
    </row>
    <row r="1383" ht="12.75" customHeight="1" spans="2:9">
      <c r="B1383" s="3274">
        <v>317</v>
      </c>
      <c r="D1383" s="3297" t="s">
        <v>5064</v>
      </c>
      <c r="E1383" s="3298" t="s">
        <v>5065</v>
      </c>
      <c r="F1383" s="3298" t="s">
        <v>3056</v>
      </c>
      <c r="G1383" s="3278">
        <v>750.75</v>
      </c>
      <c r="H1383" s="3299">
        <v>0</v>
      </c>
      <c r="I1383" s="3278">
        <v>0</v>
      </c>
    </row>
    <row r="1384" ht="12.75" customHeight="1" spans="2:9">
      <c r="B1384" s="3274">
        <v>318</v>
      </c>
      <c r="D1384" s="3297" t="s">
        <v>5066</v>
      </c>
      <c r="E1384" s="3298" t="s">
        <v>5067</v>
      </c>
      <c r="F1384" s="3298" t="s">
        <v>2321</v>
      </c>
      <c r="G1384" s="3278">
        <v>6104.45</v>
      </c>
      <c r="H1384" s="3299">
        <v>0</v>
      </c>
      <c r="I1384" s="3278">
        <v>0</v>
      </c>
    </row>
    <row r="1385" ht="12.75" customHeight="1" spans="2:9">
      <c r="B1385" s="3274">
        <v>319</v>
      </c>
      <c r="D1385" s="3297" t="s">
        <v>5068</v>
      </c>
      <c r="E1385" s="3298" t="s">
        <v>5069</v>
      </c>
      <c r="F1385" s="3298" t="s">
        <v>5070</v>
      </c>
      <c r="G1385" s="3278">
        <v>9166.6631</v>
      </c>
      <c r="H1385" s="3299">
        <v>0</v>
      </c>
      <c r="I1385" s="3278">
        <v>0</v>
      </c>
    </row>
    <row r="1386" ht="12.75" customHeight="1" spans="2:9">
      <c r="B1386" s="3274">
        <v>320</v>
      </c>
      <c r="D1386" s="3297" t="s">
        <v>5071</v>
      </c>
      <c r="E1386" s="3298" t="s">
        <v>5072</v>
      </c>
      <c r="F1386" s="3298" t="s">
        <v>2321</v>
      </c>
      <c r="G1386" s="3278">
        <v>22000</v>
      </c>
      <c r="H1386" s="3299">
        <v>0</v>
      </c>
      <c r="I1386" s="3278">
        <v>0</v>
      </c>
    </row>
    <row r="1387" ht="12.75" customHeight="1" spans="2:9">
      <c r="B1387" s="3274">
        <v>321</v>
      </c>
      <c r="D1387" s="3297" t="s">
        <v>5073</v>
      </c>
      <c r="E1387" s="3298" t="s">
        <v>5074</v>
      </c>
      <c r="F1387" s="3298" t="s">
        <v>2637</v>
      </c>
      <c r="G1387" s="3278">
        <v>29700</v>
      </c>
      <c r="H1387" s="3299">
        <v>0</v>
      </c>
      <c r="I1387" s="3278">
        <v>0</v>
      </c>
    </row>
    <row r="1388" ht="12.75" customHeight="1" spans="2:9">
      <c r="B1388" s="3274">
        <v>322</v>
      </c>
      <c r="D1388" s="3297" t="s">
        <v>5075</v>
      </c>
      <c r="E1388" s="3298" t="s">
        <v>5076</v>
      </c>
      <c r="F1388" s="3298" t="s">
        <v>3056</v>
      </c>
      <c r="G1388" s="3278">
        <v>5417.5</v>
      </c>
      <c r="H1388" s="3299">
        <v>0</v>
      </c>
      <c r="I1388" s="3278">
        <v>0</v>
      </c>
    </row>
    <row r="1389" ht="12.75" customHeight="1" spans="2:9">
      <c r="B1389" s="3274">
        <v>323</v>
      </c>
      <c r="D1389" s="3297" t="s">
        <v>5077</v>
      </c>
      <c r="E1389" s="3298" t="s">
        <v>5078</v>
      </c>
      <c r="F1389" s="3298" t="s">
        <v>2321</v>
      </c>
      <c r="G1389" s="3278">
        <v>192500</v>
      </c>
      <c r="H1389" s="3299">
        <v>0</v>
      </c>
      <c r="I1389" s="3278">
        <v>0</v>
      </c>
    </row>
    <row r="1390" ht="12.75" customHeight="1" spans="2:9">
      <c r="B1390" s="3274">
        <v>324</v>
      </c>
      <c r="D1390" s="3297" t="s">
        <v>5079</v>
      </c>
      <c r="E1390" s="3298" t="s">
        <v>5080</v>
      </c>
      <c r="F1390" s="3298" t="s">
        <v>2321</v>
      </c>
      <c r="G1390" s="3278">
        <v>65129</v>
      </c>
      <c r="H1390" s="3299">
        <v>0</v>
      </c>
      <c r="I1390" s="3278">
        <v>0</v>
      </c>
    </row>
    <row r="1391" ht="12.75" customHeight="1" spans="2:9">
      <c r="B1391" s="3274">
        <v>325</v>
      </c>
      <c r="D1391" s="3297" t="s">
        <v>5081</v>
      </c>
      <c r="E1391" s="3298" t="s">
        <v>5082</v>
      </c>
      <c r="F1391" s="3298" t="s">
        <v>3423</v>
      </c>
      <c r="G1391" s="3278">
        <v>3047090.992</v>
      </c>
      <c r="H1391" s="3299">
        <v>0</v>
      </c>
      <c r="I1391" s="3278">
        <v>0</v>
      </c>
    </row>
    <row r="1392" ht="12.75" customHeight="1" spans="2:9">
      <c r="B1392" s="3274">
        <v>326</v>
      </c>
      <c r="D1392" s="3297" t="s">
        <v>5083</v>
      </c>
      <c r="E1392" s="3298" t="s">
        <v>5084</v>
      </c>
      <c r="F1392" s="3298" t="s">
        <v>3423</v>
      </c>
      <c r="G1392" s="3278">
        <v>9240</v>
      </c>
      <c r="H1392" s="3299">
        <v>0</v>
      </c>
      <c r="I1392" s="3278">
        <v>0</v>
      </c>
    </row>
    <row r="1393" ht="12.75" customHeight="1" spans="2:9">
      <c r="B1393" s="3274">
        <v>327</v>
      </c>
      <c r="D1393" s="3297" t="s">
        <v>5085</v>
      </c>
      <c r="E1393" s="3298" t="s">
        <v>5086</v>
      </c>
      <c r="F1393" s="3298" t="s">
        <v>3423</v>
      </c>
      <c r="G1393" s="3278">
        <v>176000</v>
      </c>
      <c r="H1393" s="3299">
        <v>0</v>
      </c>
      <c r="I1393" s="3278">
        <v>0</v>
      </c>
    </row>
    <row r="1394" ht="12.75" customHeight="1" spans="2:9">
      <c r="B1394" s="3274">
        <v>328</v>
      </c>
      <c r="D1394" s="3297" t="s">
        <v>5087</v>
      </c>
      <c r="E1394" s="3298" t="s">
        <v>5088</v>
      </c>
      <c r="F1394" s="3298" t="s">
        <v>2637</v>
      </c>
      <c r="G1394" s="3278">
        <v>22727.1</v>
      </c>
      <c r="H1394" s="3299">
        <v>0</v>
      </c>
      <c r="I1394" s="3278">
        <v>0</v>
      </c>
    </row>
    <row r="1395" ht="12.75" customHeight="1" spans="2:9">
      <c r="B1395" s="3274">
        <v>329</v>
      </c>
      <c r="D1395" s="3297" t="s">
        <v>5089</v>
      </c>
      <c r="E1395" s="3298" t="s">
        <v>5090</v>
      </c>
      <c r="F1395" s="3298" t="s">
        <v>3042</v>
      </c>
      <c r="G1395" s="3278">
        <v>11550</v>
      </c>
      <c r="H1395" s="3299">
        <v>0</v>
      </c>
      <c r="I1395" s="3278">
        <v>0</v>
      </c>
    </row>
    <row r="1396" ht="12.75" customHeight="1" spans="2:9">
      <c r="B1396" s="3274">
        <v>330</v>
      </c>
      <c r="D1396" s="3297" t="s">
        <v>5091</v>
      </c>
      <c r="E1396" s="3298" t="s">
        <v>5092</v>
      </c>
      <c r="F1396" s="3298" t="s">
        <v>2321</v>
      </c>
      <c r="G1396" s="3278">
        <v>30203.8</v>
      </c>
      <c r="H1396" s="3299">
        <v>0</v>
      </c>
      <c r="I1396" s="3278">
        <v>0</v>
      </c>
    </row>
    <row r="1397" ht="12.75" customHeight="1" spans="2:9">
      <c r="B1397" s="3274">
        <v>331</v>
      </c>
      <c r="D1397" s="3297" t="s">
        <v>5093</v>
      </c>
      <c r="E1397" s="3298" t="s">
        <v>5094</v>
      </c>
      <c r="F1397" s="3298" t="s">
        <v>2367</v>
      </c>
      <c r="G1397" s="3278">
        <v>2350</v>
      </c>
      <c r="H1397" s="3299">
        <v>0</v>
      </c>
      <c r="I1397" s="3278">
        <v>0</v>
      </c>
    </row>
    <row r="1398" ht="12.75" customHeight="1" spans="2:9">
      <c r="B1398" s="3274">
        <v>332</v>
      </c>
      <c r="D1398" s="3297" t="s">
        <v>5095</v>
      </c>
      <c r="E1398" s="3298" t="s">
        <v>5096</v>
      </c>
      <c r="F1398" s="3298" t="s">
        <v>2321</v>
      </c>
      <c r="G1398" s="3278">
        <v>17565.9</v>
      </c>
      <c r="H1398" s="3299">
        <v>0</v>
      </c>
      <c r="I1398" s="3278">
        <v>0</v>
      </c>
    </row>
    <row r="1399" ht="12.75" customHeight="1" spans="2:9">
      <c r="B1399" s="3274">
        <v>333</v>
      </c>
      <c r="D1399" s="3297" t="s">
        <v>5097</v>
      </c>
      <c r="E1399" s="3298" t="s">
        <v>5098</v>
      </c>
      <c r="F1399" s="3298" t="s">
        <v>3056</v>
      </c>
      <c r="G1399" s="3278">
        <v>1595</v>
      </c>
      <c r="H1399" s="3299">
        <v>0</v>
      </c>
      <c r="I1399" s="3278">
        <v>0</v>
      </c>
    </row>
    <row r="1400" ht="12.75" customHeight="1" spans="2:9">
      <c r="B1400" s="3274">
        <v>334</v>
      </c>
      <c r="D1400" s="3297" t="s">
        <v>5099</v>
      </c>
      <c r="E1400" s="3298" t="s">
        <v>5100</v>
      </c>
      <c r="F1400" s="3298" t="s">
        <v>2321</v>
      </c>
      <c r="G1400" s="3278">
        <v>20350</v>
      </c>
      <c r="H1400" s="3299">
        <v>0</v>
      </c>
      <c r="I1400" s="3278">
        <v>0</v>
      </c>
    </row>
    <row r="1401" ht="12.75" customHeight="1" spans="2:9">
      <c r="B1401" s="3274">
        <v>335</v>
      </c>
      <c r="D1401" s="3297" t="s">
        <v>5101</v>
      </c>
      <c r="E1401" s="3298" t="s">
        <v>5102</v>
      </c>
      <c r="F1401" s="3298" t="s">
        <v>2321</v>
      </c>
      <c r="G1401" s="3278">
        <v>75900</v>
      </c>
      <c r="H1401" s="3299">
        <v>0</v>
      </c>
      <c r="I1401" s="3278">
        <v>0</v>
      </c>
    </row>
    <row r="1402" ht="12.75" customHeight="1" spans="2:9">
      <c r="B1402" s="3274">
        <v>336</v>
      </c>
      <c r="D1402" s="3297" t="s">
        <v>5103</v>
      </c>
      <c r="E1402" s="3298" t="s">
        <v>5104</v>
      </c>
      <c r="F1402" s="3298" t="s">
        <v>2321</v>
      </c>
      <c r="G1402" s="3278">
        <v>9900</v>
      </c>
      <c r="H1402" s="3299">
        <v>0</v>
      </c>
      <c r="I1402" s="3278">
        <v>0</v>
      </c>
    </row>
    <row r="1403" ht="12.75" customHeight="1" spans="2:9">
      <c r="B1403" s="3274">
        <v>337</v>
      </c>
      <c r="D1403" s="3297" t="s">
        <v>5105</v>
      </c>
      <c r="E1403" s="3298" t="s">
        <v>5106</v>
      </c>
      <c r="F1403" s="3298" t="s">
        <v>3056</v>
      </c>
      <c r="G1403" s="3278">
        <v>2750</v>
      </c>
      <c r="H1403" s="3299">
        <v>0</v>
      </c>
      <c r="I1403" s="3278">
        <v>0</v>
      </c>
    </row>
    <row r="1404" ht="12.75" customHeight="1" spans="2:9">
      <c r="B1404" s="3274">
        <v>338</v>
      </c>
      <c r="D1404" s="3297" t="s">
        <v>5107</v>
      </c>
      <c r="E1404" s="3298" t="s">
        <v>3390</v>
      </c>
      <c r="F1404" s="3298" t="s">
        <v>2321</v>
      </c>
      <c r="G1404" s="3278">
        <v>2267.54</v>
      </c>
      <c r="H1404" s="3299">
        <v>0</v>
      </c>
      <c r="I1404" s="3278">
        <v>0</v>
      </c>
    </row>
    <row r="1405" ht="12.75" customHeight="1" spans="2:9">
      <c r="B1405" s="3274">
        <v>339</v>
      </c>
      <c r="D1405" s="3297" t="s">
        <v>5108</v>
      </c>
      <c r="E1405" s="3298" t="s">
        <v>5109</v>
      </c>
      <c r="F1405" s="3298" t="s">
        <v>2321</v>
      </c>
      <c r="G1405" s="3278">
        <v>26060</v>
      </c>
      <c r="H1405" s="3299">
        <v>0</v>
      </c>
      <c r="I1405" s="3278">
        <v>0</v>
      </c>
    </row>
    <row r="1406" ht="12.75" customHeight="1" spans="2:9">
      <c r="B1406" s="3274">
        <v>340</v>
      </c>
      <c r="D1406" s="3297" t="s">
        <v>5110</v>
      </c>
      <c r="E1406" s="3298" t="s">
        <v>5111</v>
      </c>
      <c r="F1406" s="3298" t="s">
        <v>3056</v>
      </c>
      <c r="G1406" s="3278">
        <v>2750</v>
      </c>
      <c r="H1406" s="3299">
        <v>0</v>
      </c>
      <c r="I1406" s="3278">
        <v>0</v>
      </c>
    </row>
    <row r="1407" ht="12.75" customHeight="1" spans="2:9">
      <c r="B1407" s="3274">
        <v>341</v>
      </c>
      <c r="D1407" s="3297" t="s">
        <v>5112</v>
      </c>
      <c r="E1407" s="3298" t="s">
        <v>5113</v>
      </c>
      <c r="F1407" s="3298" t="s">
        <v>2304</v>
      </c>
      <c r="G1407" s="3278">
        <v>173548.65</v>
      </c>
      <c r="H1407" s="3299">
        <v>4</v>
      </c>
      <c r="I1407" s="3278">
        <v>694194.6</v>
      </c>
    </row>
    <row r="1408" ht="12.75" customHeight="1" spans="2:9">
      <c r="B1408" s="3274">
        <v>342</v>
      </c>
      <c r="D1408" s="3297" t="s">
        <v>5114</v>
      </c>
      <c r="E1408" s="3298" t="s">
        <v>5115</v>
      </c>
      <c r="F1408" s="3298" t="s">
        <v>2321</v>
      </c>
      <c r="G1408" s="3278">
        <v>14666.3</v>
      </c>
      <c r="H1408" s="3299">
        <v>0</v>
      </c>
      <c r="I1408" s="3278">
        <v>0</v>
      </c>
    </row>
    <row r="1409" ht="12.75" customHeight="1" spans="2:9">
      <c r="B1409" s="3274">
        <v>343</v>
      </c>
      <c r="D1409" s="3297" t="s">
        <v>5116</v>
      </c>
      <c r="E1409" s="3298" t="s">
        <v>5117</v>
      </c>
      <c r="F1409" s="3298" t="s">
        <v>2321</v>
      </c>
      <c r="G1409" s="3278">
        <v>14707</v>
      </c>
      <c r="H1409" s="3299">
        <v>48</v>
      </c>
      <c r="I1409" s="3278">
        <v>705936</v>
      </c>
    </row>
    <row r="1410" ht="12.75" customHeight="1" spans="2:9">
      <c r="B1410" s="3274">
        <v>344</v>
      </c>
      <c r="D1410" s="3297" t="s">
        <v>5118</v>
      </c>
      <c r="E1410" s="3298" t="s">
        <v>5119</v>
      </c>
      <c r="F1410" s="3298" t="s">
        <v>4351</v>
      </c>
      <c r="G1410" s="3278">
        <v>9075</v>
      </c>
      <c r="H1410" s="3299">
        <v>0</v>
      </c>
      <c r="I1410" s="3278">
        <v>0</v>
      </c>
    </row>
    <row r="1411" ht="12.75" customHeight="1" spans="2:9">
      <c r="B1411" s="3274">
        <v>345</v>
      </c>
      <c r="D1411" s="3297" t="s">
        <v>5120</v>
      </c>
      <c r="E1411" s="3298" t="s">
        <v>5121</v>
      </c>
      <c r="F1411" s="3298" t="s">
        <v>2321</v>
      </c>
      <c r="G1411" s="3278">
        <v>8859.928</v>
      </c>
      <c r="H1411" s="3299">
        <v>0</v>
      </c>
      <c r="I1411" s="3278">
        <v>0</v>
      </c>
    </row>
    <row r="1412" ht="12.75" customHeight="1" spans="2:9">
      <c r="B1412" s="3274">
        <v>346</v>
      </c>
      <c r="D1412" s="3297" t="s">
        <v>5122</v>
      </c>
      <c r="E1412" s="3298" t="s">
        <v>5123</v>
      </c>
      <c r="F1412" s="3298" t="s">
        <v>3042</v>
      </c>
      <c r="G1412" s="3278">
        <v>35201.1</v>
      </c>
      <c r="H1412" s="3299">
        <v>0</v>
      </c>
      <c r="I1412" s="3278">
        <v>0</v>
      </c>
    </row>
    <row r="1413" ht="12.75" customHeight="1" spans="2:9">
      <c r="B1413" s="3274">
        <v>347</v>
      </c>
      <c r="D1413" s="3297" t="s">
        <v>5124</v>
      </c>
      <c r="E1413" s="3298" t="s">
        <v>5125</v>
      </c>
      <c r="F1413" s="3298" t="s">
        <v>2321</v>
      </c>
      <c r="G1413" s="3278">
        <v>20680</v>
      </c>
      <c r="H1413" s="3299">
        <v>0</v>
      </c>
      <c r="I1413" s="3278">
        <v>0</v>
      </c>
    </row>
    <row r="1414" ht="12.75" customHeight="1" spans="2:9">
      <c r="B1414" s="3274">
        <v>348</v>
      </c>
      <c r="D1414" s="3297" t="s">
        <v>5126</v>
      </c>
      <c r="E1414" s="3298" t="s">
        <v>5127</v>
      </c>
      <c r="F1414" s="3298" t="s">
        <v>3056</v>
      </c>
      <c r="G1414" s="3278">
        <v>880</v>
      </c>
      <c r="H1414" s="3299">
        <v>0</v>
      </c>
      <c r="I1414" s="3278">
        <v>0</v>
      </c>
    </row>
    <row r="1415" ht="12.75" customHeight="1" spans="2:9">
      <c r="B1415" s="3274">
        <v>349</v>
      </c>
      <c r="D1415" s="3297" t="s">
        <v>5128</v>
      </c>
      <c r="E1415" s="3298" t="s">
        <v>5129</v>
      </c>
      <c r="F1415" s="3298" t="s">
        <v>2321</v>
      </c>
      <c r="G1415" s="3278">
        <v>27500</v>
      </c>
      <c r="H1415" s="3299">
        <v>17</v>
      </c>
      <c r="I1415" s="3278">
        <v>467500</v>
      </c>
    </row>
    <row r="1416" ht="12.75" customHeight="1" spans="2:9">
      <c r="B1416" s="3274">
        <v>350</v>
      </c>
      <c r="D1416" s="3297" t="s">
        <v>5130</v>
      </c>
      <c r="E1416" s="3298" t="s">
        <v>5131</v>
      </c>
      <c r="F1416" s="3298" t="s">
        <v>3056</v>
      </c>
      <c r="G1416" s="3278">
        <v>8305</v>
      </c>
      <c r="H1416" s="3299">
        <v>0</v>
      </c>
      <c r="I1416" s="3278">
        <v>0</v>
      </c>
    </row>
    <row r="1417" ht="12.75" customHeight="1" spans="2:9">
      <c r="B1417" s="3274">
        <v>351</v>
      </c>
      <c r="D1417" s="3297" t="s">
        <v>5132</v>
      </c>
      <c r="E1417" s="3298" t="s">
        <v>5133</v>
      </c>
      <c r="F1417" s="3298" t="s">
        <v>3423</v>
      </c>
      <c r="G1417" s="3278">
        <v>77000</v>
      </c>
      <c r="H1417" s="3299">
        <v>0</v>
      </c>
      <c r="I1417" s="3278">
        <v>0</v>
      </c>
    </row>
    <row r="1418" ht="12.75" customHeight="1" spans="2:9">
      <c r="B1418" s="3274">
        <v>352</v>
      </c>
      <c r="D1418" s="3297" t="s">
        <v>5134</v>
      </c>
      <c r="E1418" s="3298" t="s">
        <v>5135</v>
      </c>
      <c r="F1418" s="3298" t="s">
        <v>2367</v>
      </c>
      <c r="G1418" s="3278">
        <v>39999.993</v>
      </c>
      <c r="H1418" s="3299">
        <v>0</v>
      </c>
      <c r="I1418" s="3278">
        <v>0</v>
      </c>
    </row>
    <row r="1419" ht="12.75" customHeight="1" spans="2:9">
      <c r="B1419" s="3274">
        <v>353</v>
      </c>
      <c r="D1419" s="3297" t="s">
        <v>5136</v>
      </c>
      <c r="E1419" s="3298" t="s">
        <v>5137</v>
      </c>
      <c r="F1419" s="3298" t="s">
        <v>3056</v>
      </c>
      <c r="G1419" s="3278">
        <v>1100</v>
      </c>
      <c r="H1419" s="3299">
        <v>0</v>
      </c>
      <c r="I1419" s="3278">
        <v>0</v>
      </c>
    </row>
    <row r="1420" ht="12.75" customHeight="1" spans="2:9">
      <c r="B1420" s="3274">
        <v>354</v>
      </c>
      <c r="D1420" s="3297" t="s">
        <v>5138</v>
      </c>
      <c r="E1420" s="3298" t="s">
        <v>5139</v>
      </c>
      <c r="F1420" s="3298" t="s">
        <v>3423</v>
      </c>
      <c r="G1420" s="3278">
        <v>112901.8</v>
      </c>
      <c r="H1420" s="3299">
        <v>0</v>
      </c>
      <c r="I1420" s="3278">
        <v>0</v>
      </c>
    </row>
    <row r="1421" ht="12.75" customHeight="1" spans="2:9">
      <c r="B1421" s="3274">
        <v>355</v>
      </c>
      <c r="D1421" s="3297" t="s">
        <v>5140</v>
      </c>
      <c r="E1421" s="3298" t="s">
        <v>5141</v>
      </c>
      <c r="F1421" s="3298" t="s">
        <v>3056</v>
      </c>
      <c r="G1421" s="3278">
        <v>3118.5</v>
      </c>
      <c r="H1421" s="3299">
        <v>0</v>
      </c>
      <c r="I1421" s="3278">
        <v>0</v>
      </c>
    </row>
    <row r="1422" ht="12.75" customHeight="1" spans="2:9">
      <c r="B1422" s="3274">
        <v>356</v>
      </c>
      <c r="D1422" s="3297" t="s">
        <v>5142</v>
      </c>
      <c r="E1422" s="3298" t="s">
        <v>5143</v>
      </c>
      <c r="F1422" s="3298" t="s">
        <v>2321</v>
      </c>
      <c r="G1422" s="3278">
        <v>46475</v>
      </c>
      <c r="H1422" s="3299">
        <v>0</v>
      </c>
      <c r="I1422" s="3278">
        <v>0</v>
      </c>
    </row>
    <row r="1423" ht="12.75" customHeight="1" spans="2:9">
      <c r="B1423" s="3274">
        <v>357</v>
      </c>
      <c r="D1423" s="3297" t="s">
        <v>5144</v>
      </c>
      <c r="E1423" s="3298" t="s">
        <v>5145</v>
      </c>
      <c r="F1423" s="3298" t="s">
        <v>2367</v>
      </c>
      <c r="G1423" s="3278">
        <v>4402.2</v>
      </c>
      <c r="H1423" s="3299">
        <v>0</v>
      </c>
      <c r="I1423" s="3278">
        <v>0</v>
      </c>
    </row>
    <row r="1424" ht="12.75" customHeight="1" spans="2:9">
      <c r="B1424" s="3274">
        <v>358</v>
      </c>
      <c r="D1424" s="3297" t="s">
        <v>5146</v>
      </c>
      <c r="E1424" s="3298" t="s">
        <v>5147</v>
      </c>
      <c r="F1424" s="3298" t="s">
        <v>2321</v>
      </c>
      <c r="G1424" s="3278">
        <v>55000</v>
      </c>
      <c r="H1424" s="3299">
        <v>0</v>
      </c>
      <c r="I1424" s="3278">
        <v>0</v>
      </c>
    </row>
    <row r="1425" ht="12.75" customHeight="1" spans="2:9">
      <c r="B1425" s="3274">
        <v>359</v>
      </c>
      <c r="D1425" s="3297" t="s">
        <v>5148</v>
      </c>
      <c r="E1425" s="3298" t="s">
        <v>5149</v>
      </c>
      <c r="F1425" s="3298" t="s">
        <v>2457</v>
      </c>
      <c r="G1425" s="3278">
        <v>90750</v>
      </c>
      <c r="H1425" s="3299">
        <v>0</v>
      </c>
      <c r="I1425" s="3278">
        <v>0</v>
      </c>
    </row>
    <row r="1426" ht="12.75" customHeight="1" spans="2:9">
      <c r="B1426" s="3274">
        <v>360</v>
      </c>
      <c r="D1426" s="3297" t="s">
        <v>5150</v>
      </c>
      <c r="E1426" s="3298" t="s">
        <v>5151</v>
      </c>
      <c r="F1426" s="3298" t="s">
        <v>2321</v>
      </c>
      <c r="G1426" s="3278">
        <v>12100</v>
      </c>
      <c r="H1426" s="3299">
        <v>0</v>
      </c>
      <c r="I1426" s="3278">
        <v>0</v>
      </c>
    </row>
    <row r="1427" ht="12.75" customHeight="1" spans="2:9">
      <c r="B1427" s="3274">
        <v>361</v>
      </c>
      <c r="D1427" s="3297" t="s">
        <v>5152</v>
      </c>
      <c r="E1427" s="3298" t="s">
        <v>5153</v>
      </c>
      <c r="F1427" s="3298" t="s">
        <v>2367</v>
      </c>
      <c r="G1427" s="3278">
        <v>33000</v>
      </c>
      <c r="H1427" s="3299">
        <v>0</v>
      </c>
      <c r="I1427" s="3278">
        <v>0</v>
      </c>
    </row>
    <row r="1428" ht="12.75" customHeight="1" spans="2:9">
      <c r="B1428" s="3274">
        <v>362</v>
      </c>
      <c r="D1428" s="3297" t="s">
        <v>5154</v>
      </c>
      <c r="E1428" s="3298" t="s">
        <v>5155</v>
      </c>
      <c r="F1428" s="3298" t="s">
        <v>2321</v>
      </c>
      <c r="G1428" s="3278">
        <v>30250</v>
      </c>
      <c r="H1428" s="3299">
        <v>0</v>
      </c>
      <c r="I1428" s="3278">
        <v>0</v>
      </c>
    </row>
    <row r="1429" ht="12.75" customHeight="1" spans="2:9">
      <c r="B1429" s="3274">
        <v>363</v>
      </c>
      <c r="D1429" s="3297" t="s">
        <v>5156</v>
      </c>
      <c r="E1429" s="3298" t="s">
        <v>5157</v>
      </c>
      <c r="F1429" s="3298" t="s">
        <v>3056</v>
      </c>
      <c r="G1429" s="3278">
        <v>135.905</v>
      </c>
      <c r="H1429" s="3299">
        <v>300</v>
      </c>
      <c r="I1429" s="3278">
        <v>40771.5</v>
      </c>
    </row>
    <row r="1430" ht="12.75" customHeight="1" spans="2:9">
      <c r="B1430" s="3274">
        <v>364</v>
      </c>
      <c r="D1430" s="3297" t="s">
        <v>5158</v>
      </c>
      <c r="E1430" s="3298" t="s">
        <v>5159</v>
      </c>
      <c r="F1430" s="3298" t="s">
        <v>2321</v>
      </c>
      <c r="G1430" s="3278">
        <v>28589</v>
      </c>
      <c r="H1430" s="3299">
        <v>0</v>
      </c>
      <c r="I1430" s="3278">
        <v>0</v>
      </c>
    </row>
    <row r="1431" ht="12.75" customHeight="1" spans="2:9">
      <c r="B1431" s="3274">
        <v>365</v>
      </c>
      <c r="D1431" s="3297" t="s">
        <v>5160</v>
      </c>
      <c r="E1431" s="3298" t="s">
        <v>5161</v>
      </c>
      <c r="F1431" s="3298" t="s">
        <v>2367</v>
      </c>
      <c r="G1431" s="3278">
        <v>30250</v>
      </c>
      <c r="H1431" s="3299">
        <v>0</v>
      </c>
      <c r="I1431" s="3278">
        <v>0</v>
      </c>
    </row>
    <row r="1432" ht="12.75" customHeight="1" spans="2:9">
      <c r="B1432" s="3274">
        <v>366</v>
      </c>
      <c r="D1432" s="3297" t="s">
        <v>5162</v>
      </c>
      <c r="E1432" s="3298" t="s">
        <v>5163</v>
      </c>
      <c r="F1432" s="3298" t="s">
        <v>2321</v>
      </c>
      <c r="G1432" s="3278">
        <v>52250</v>
      </c>
      <c r="H1432" s="3299">
        <v>0</v>
      </c>
      <c r="I1432" s="3278">
        <v>0</v>
      </c>
    </row>
    <row r="1433" ht="12.75" customHeight="1" spans="2:9">
      <c r="B1433" s="3274">
        <v>367</v>
      </c>
      <c r="D1433" s="3297" t="s">
        <v>5164</v>
      </c>
      <c r="E1433" s="3298" t="s">
        <v>5165</v>
      </c>
      <c r="F1433" s="3298" t="s">
        <v>3056</v>
      </c>
      <c r="G1433" s="3278">
        <v>1633.5</v>
      </c>
      <c r="H1433" s="3299">
        <v>0</v>
      </c>
      <c r="I1433" s="3278">
        <v>0</v>
      </c>
    </row>
    <row r="1434" ht="12.75" customHeight="1" spans="2:9">
      <c r="B1434" s="3274">
        <v>368</v>
      </c>
      <c r="D1434" s="3297" t="s">
        <v>5166</v>
      </c>
      <c r="E1434" s="3298" t="s">
        <v>5167</v>
      </c>
      <c r="F1434" s="3298" t="s">
        <v>3056</v>
      </c>
      <c r="G1434" s="3278">
        <v>36300</v>
      </c>
      <c r="H1434" s="3299">
        <v>0</v>
      </c>
      <c r="I1434" s="3278">
        <v>0</v>
      </c>
    </row>
    <row r="1435" ht="12.75" customHeight="1" spans="2:9">
      <c r="B1435" s="3274">
        <v>369</v>
      </c>
      <c r="D1435" s="3297" t="s">
        <v>5168</v>
      </c>
      <c r="E1435" s="3298" t="s">
        <v>5169</v>
      </c>
      <c r="F1435" s="3298" t="s">
        <v>4351</v>
      </c>
      <c r="G1435" s="3278">
        <v>14575</v>
      </c>
      <c r="H1435" s="3299">
        <v>0</v>
      </c>
      <c r="I1435" s="3278">
        <v>0</v>
      </c>
    </row>
    <row r="1436" ht="12.75" customHeight="1" spans="2:9">
      <c r="B1436" s="3274">
        <v>370</v>
      </c>
      <c r="D1436" s="3297" t="s">
        <v>5170</v>
      </c>
      <c r="E1436" s="3298" t="s">
        <v>5171</v>
      </c>
      <c r="F1436" s="3298" t="s">
        <v>3423</v>
      </c>
      <c r="G1436" s="3278">
        <v>424847.5</v>
      </c>
      <c r="H1436" s="3299">
        <v>0</v>
      </c>
      <c r="I1436" s="3278">
        <v>0</v>
      </c>
    </row>
    <row r="1437" ht="12.75" customHeight="1" spans="2:9">
      <c r="B1437" s="3274">
        <v>371</v>
      </c>
      <c r="D1437" s="3297" t="s">
        <v>5172</v>
      </c>
      <c r="E1437" s="3298" t="s">
        <v>5173</v>
      </c>
      <c r="F1437" s="3298" t="s">
        <v>2637</v>
      </c>
      <c r="G1437" s="3278">
        <v>107492</v>
      </c>
      <c r="H1437" s="3299">
        <v>0</v>
      </c>
      <c r="I1437" s="3278">
        <v>0</v>
      </c>
    </row>
    <row r="1438" ht="12.75" customHeight="1" spans="2:9">
      <c r="B1438" s="3274">
        <v>372</v>
      </c>
      <c r="D1438" s="3297" t="s">
        <v>5174</v>
      </c>
      <c r="E1438" s="3298" t="s">
        <v>5175</v>
      </c>
      <c r="F1438" s="3298" t="s">
        <v>3056</v>
      </c>
      <c r="G1438" s="3278">
        <v>128.7</v>
      </c>
      <c r="H1438" s="3299">
        <v>0</v>
      </c>
      <c r="I1438" s="3278">
        <v>0</v>
      </c>
    </row>
    <row r="1439" ht="12.75" customHeight="1" spans="2:9">
      <c r="B1439" s="3274">
        <v>373</v>
      </c>
      <c r="D1439" s="3297" t="s">
        <v>5176</v>
      </c>
      <c r="E1439" s="3298" t="s">
        <v>5177</v>
      </c>
      <c r="F1439" s="3298" t="s">
        <v>3056</v>
      </c>
      <c r="G1439" s="3278">
        <v>2541</v>
      </c>
      <c r="H1439" s="3299">
        <v>0</v>
      </c>
      <c r="I1439" s="3278">
        <v>0</v>
      </c>
    </row>
    <row r="1440" ht="12.75" customHeight="1" spans="2:9">
      <c r="B1440" s="3274">
        <v>374</v>
      </c>
      <c r="D1440" s="3297" t="s">
        <v>5178</v>
      </c>
      <c r="E1440" s="3298" t="s">
        <v>5179</v>
      </c>
      <c r="F1440" s="3298" t="s">
        <v>3056</v>
      </c>
      <c r="G1440" s="3278">
        <v>7425</v>
      </c>
      <c r="H1440" s="3299">
        <v>0</v>
      </c>
      <c r="I1440" s="3278">
        <v>0</v>
      </c>
    </row>
    <row r="1441" ht="12.75" customHeight="1" spans="2:9">
      <c r="B1441" s="3274">
        <v>375</v>
      </c>
      <c r="D1441" s="3297" t="s">
        <v>5180</v>
      </c>
      <c r="E1441" s="3298" t="s">
        <v>5181</v>
      </c>
      <c r="F1441" s="3298" t="s">
        <v>2321</v>
      </c>
      <c r="G1441" s="3278">
        <v>11550</v>
      </c>
      <c r="H1441" s="3299">
        <v>0</v>
      </c>
      <c r="I1441" s="3278">
        <v>0</v>
      </c>
    </row>
    <row r="1442" ht="12.75" customHeight="1" spans="2:9">
      <c r="B1442" s="3274">
        <v>376</v>
      </c>
      <c r="D1442" s="3297" t="s">
        <v>5182</v>
      </c>
      <c r="E1442" s="3298" t="s">
        <v>5183</v>
      </c>
      <c r="F1442" s="3298" t="s">
        <v>2367</v>
      </c>
      <c r="G1442" s="3278">
        <v>12432.046</v>
      </c>
      <c r="H1442" s="3299">
        <v>0</v>
      </c>
      <c r="I1442" s="3278">
        <v>0</v>
      </c>
    </row>
    <row r="1443" ht="12.75" customHeight="1" spans="2:9">
      <c r="B1443" s="3274">
        <v>377</v>
      </c>
      <c r="D1443" s="3297" t="s">
        <v>5184</v>
      </c>
      <c r="E1443" s="3298" t="s">
        <v>5185</v>
      </c>
      <c r="F1443" s="3298" t="s">
        <v>3056</v>
      </c>
      <c r="G1443" s="3278">
        <v>925.1</v>
      </c>
      <c r="H1443" s="3299">
        <v>0</v>
      </c>
      <c r="I1443" s="3278">
        <v>0</v>
      </c>
    </row>
    <row r="1444" ht="12.75" customHeight="1" spans="2:9">
      <c r="B1444" s="3274">
        <v>378</v>
      </c>
      <c r="D1444" s="3297" t="s">
        <v>5186</v>
      </c>
      <c r="E1444" s="3298" t="s">
        <v>5187</v>
      </c>
      <c r="F1444" s="3298" t="s">
        <v>2637</v>
      </c>
      <c r="G1444" s="3278">
        <v>58180.1</v>
      </c>
      <c r="H1444" s="3299">
        <v>0</v>
      </c>
      <c r="I1444" s="3278">
        <v>0</v>
      </c>
    </row>
    <row r="1445" ht="12.75" customHeight="1" spans="2:9">
      <c r="B1445" s="3274">
        <v>379</v>
      </c>
      <c r="D1445" s="3297" t="s">
        <v>5188</v>
      </c>
      <c r="E1445" s="3298" t="s">
        <v>5189</v>
      </c>
      <c r="F1445" s="3298" t="s">
        <v>5190</v>
      </c>
      <c r="G1445" s="3278">
        <v>30432.1875</v>
      </c>
      <c r="H1445" s="3299">
        <v>0</v>
      </c>
      <c r="I1445" s="3278">
        <v>0</v>
      </c>
    </row>
    <row r="1446" ht="12.75" customHeight="1" spans="2:9">
      <c r="B1446" s="3274">
        <v>380</v>
      </c>
      <c r="D1446" s="3297" t="s">
        <v>5191</v>
      </c>
      <c r="E1446" s="3298" t="s">
        <v>5192</v>
      </c>
      <c r="F1446" s="3298" t="s">
        <v>3056</v>
      </c>
      <c r="G1446" s="3278">
        <v>746.537</v>
      </c>
      <c r="H1446" s="3299">
        <v>0</v>
      </c>
      <c r="I1446" s="3278">
        <v>0</v>
      </c>
    </row>
    <row r="1447" ht="12.75" customHeight="1" spans="2:9">
      <c r="B1447" s="3274">
        <v>381</v>
      </c>
      <c r="D1447" s="3297" t="s">
        <v>5193</v>
      </c>
      <c r="E1447" s="3298" t="s">
        <v>5194</v>
      </c>
      <c r="F1447" s="3298" t="s">
        <v>3056</v>
      </c>
      <c r="G1447" s="3278">
        <v>11550</v>
      </c>
      <c r="H1447" s="3299">
        <v>0</v>
      </c>
      <c r="I1447" s="3278">
        <v>0</v>
      </c>
    </row>
    <row r="1448" ht="12.75" customHeight="1" spans="2:9">
      <c r="B1448" s="3274">
        <v>382</v>
      </c>
      <c r="D1448" s="3297" t="s">
        <v>5195</v>
      </c>
      <c r="E1448" s="3298" t="s">
        <v>5196</v>
      </c>
      <c r="F1448" s="3298" t="s">
        <v>3412</v>
      </c>
      <c r="G1448" s="3278">
        <v>83950.02</v>
      </c>
      <c r="H1448" s="3299">
        <v>100</v>
      </c>
      <c r="I1448" s="3278">
        <v>8395002</v>
      </c>
    </row>
    <row r="1449" ht="12.75" customHeight="1" spans="2:9">
      <c r="B1449" s="3274">
        <v>383</v>
      </c>
      <c r="D1449" s="3297" t="s">
        <v>5197</v>
      </c>
      <c r="E1449" s="3298" t="s">
        <v>5198</v>
      </c>
      <c r="F1449" s="3298" t="s">
        <v>5070</v>
      </c>
      <c r="G1449" s="3278">
        <v>7260</v>
      </c>
      <c r="H1449" s="3299">
        <v>0</v>
      </c>
      <c r="I1449" s="3278">
        <v>0</v>
      </c>
    </row>
    <row r="1450" ht="12.75" customHeight="1" spans="2:9">
      <c r="B1450" s="3274">
        <v>384</v>
      </c>
      <c r="D1450" s="3297" t="s">
        <v>5199</v>
      </c>
      <c r="E1450" s="3298" t="s">
        <v>5200</v>
      </c>
      <c r="F1450" s="3298" t="s">
        <v>3423</v>
      </c>
      <c r="G1450" s="3278">
        <v>201166.9</v>
      </c>
      <c r="H1450" s="3299">
        <v>0</v>
      </c>
      <c r="I1450" s="3278">
        <v>0</v>
      </c>
    </row>
    <row r="1451" ht="12.75" customHeight="1" spans="2:9">
      <c r="B1451" s="3274">
        <v>385</v>
      </c>
      <c r="D1451" s="3297" t="s">
        <v>5201</v>
      </c>
      <c r="E1451" s="3298" t="s">
        <v>5202</v>
      </c>
      <c r="F1451" s="3298" t="s">
        <v>2637</v>
      </c>
      <c r="G1451" s="3278">
        <v>39462.5</v>
      </c>
      <c r="H1451" s="3299">
        <v>0</v>
      </c>
      <c r="I1451" s="3278">
        <v>0</v>
      </c>
    </row>
    <row r="1452" ht="12.75" customHeight="1" spans="2:9">
      <c r="B1452" s="3274">
        <v>386</v>
      </c>
      <c r="D1452" s="3297" t="s">
        <v>5203</v>
      </c>
      <c r="E1452" s="3298" t="s">
        <v>5204</v>
      </c>
      <c r="F1452" s="3298" t="s">
        <v>2367</v>
      </c>
      <c r="G1452" s="3278">
        <v>2134</v>
      </c>
      <c r="H1452" s="3299">
        <v>0</v>
      </c>
      <c r="I1452" s="3278">
        <v>0</v>
      </c>
    </row>
    <row r="1453" ht="12.75" customHeight="1" spans="2:9">
      <c r="B1453" s="3274">
        <v>387</v>
      </c>
      <c r="D1453" s="3297" t="s">
        <v>5205</v>
      </c>
      <c r="E1453" s="3298" t="s">
        <v>5206</v>
      </c>
      <c r="F1453" s="3298" t="s">
        <v>2367</v>
      </c>
      <c r="G1453" s="3278">
        <v>14410</v>
      </c>
      <c r="H1453" s="3299">
        <v>0</v>
      </c>
      <c r="I1453" s="3278">
        <v>0</v>
      </c>
    </row>
    <row r="1454" ht="12.75" customHeight="1" spans="2:9">
      <c r="B1454" s="3274">
        <v>388</v>
      </c>
      <c r="D1454" s="3297" t="s">
        <v>5207</v>
      </c>
      <c r="E1454" s="3298" t="s">
        <v>5208</v>
      </c>
      <c r="F1454" s="3298" t="s">
        <v>3056</v>
      </c>
      <c r="G1454" s="3278">
        <v>1842.5</v>
      </c>
      <c r="H1454" s="3299">
        <v>0</v>
      </c>
      <c r="I1454" s="3278">
        <v>0</v>
      </c>
    </row>
    <row r="1455" ht="12.75" customHeight="1" spans="2:9">
      <c r="B1455" s="3274">
        <v>389</v>
      </c>
      <c r="D1455" s="3297" t="s">
        <v>5209</v>
      </c>
      <c r="E1455" s="3298" t="s">
        <v>5210</v>
      </c>
      <c r="F1455" s="3298" t="s">
        <v>2321</v>
      </c>
      <c r="G1455" s="3278">
        <v>44000</v>
      </c>
      <c r="H1455" s="3299">
        <v>0</v>
      </c>
      <c r="I1455" s="3278">
        <v>0</v>
      </c>
    </row>
    <row r="1456" ht="12.75" customHeight="1" spans="2:9">
      <c r="B1456" s="3274">
        <v>390</v>
      </c>
      <c r="D1456" s="3297" t="s">
        <v>5211</v>
      </c>
      <c r="E1456" s="3298" t="s">
        <v>5212</v>
      </c>
      <c r="F1456" s="3298" t="s">
        <v>3056</v>
      </c>
      <c r="G1456" s="3278">
        <v>3630</v>
      </c>
      <c r="H1456" s="3299">
        <v>0</v>
      </c>
      <c r="I1456" s="3278">
        <v>0</v>
      </c>
    </row>
    <row r="1457" ht="12.75" customHeight="1" spans="2:9">
      <c r="B1457" s="3274">
        <v>391</v>
      </c>
      <c r="D1457" s="3297" t="s">
        <v>5213</v>
      </c>
      <c r="E1457" s="3298" t="s">
        <v>5214</v>
      </c>
      <c r="F1457" s="3298" t="s">
        <v>2367</v>
      </c>
      <c r="G1457" s="3278">
        <v>2200</v>
      </c>
      <c r="H1457" s="3299">
        <v>0</v>
      </c>
      <c r="I1457" s="3278">
        <v>0</v>
      </c>
    </row>
    <row r="1458" ht="12.75" customHeight="1" spans="2:9">
      <c r="B1458" s="3274">
        <v>392</v>
      </c>
      <c r="D1458" s="3297" t="s">
        <v>5215</v>
      </c>
      <c r="E1458" s="3298" t="s">
        <v>5216</v>
      </c>
      <c r="F1458" s="3298" t="s">
        <v>2367</v>
      </c>
      <c r="G1458" s="3278">
        <v>2566.674</v>
      </c>
      <c r="H1458" s="3299">
        <v>0</v>
      </c>
      <c r="I1458" s="3278">
        <v>0</v>
      </c>
    </row>
    <row r="1459" ht="12.75" customHeight="1" spans="2:9">
      <c r="B1459" s="3274">
        <v>393</v>
      </c>
      <c r="D1459" s="3297" t="s">
        <v>5217</v>
      </c>
      <c r="E1459" s="3298" t="s">
        <v>5218</v>
      </c>
      <c r="F1459" s="3298" t="s">
        <v>2367</v>
      </c>
      <c r="G1459" s="3278">
        <v>2475</v>
      </c>
      <c r="H1459" s="3299">
        <v>0</v>
      </c>
      <c r="I1459" s="3278">
        <v>0</v>
      </c>
    </row>
    <row r="1460" ht="12.75" customHeight="1" spans="2:9">
      <c r="B1460" s="3274">
        <v>394</v>
      </c>
      <c r="D1460" s="3297" t="s">
        <v>5219</v>
      </c>
      <c r="E1460" s="3298" t="s">
        <v>5220</v>
      </c>
      <c r="F1460" s="3298" t="s">
        <v>3042</v>
      </c>
      <c r="G1460" s="3278">
        <v>96380.02</v>
      </c>
      <c r="H1460" s="3299">
        <v>0</v>
      </c>
      <c r="I1460" s="3278">
        <v>0</v>
      </c>
    </row>
    <row r="1461" ht="12.75" customHeight="1" spans="2:9">
      <c r="B1461" s="3274">
        <v>395</v>
      </c>
      <c r="D1461" s="3297" t="s">
        <v>5221</v>
      </c>
      <c r="E1461" s="3298" t="s">
        <v>5222</v>
      </c>
      <c r="F1461" s="3298" t="s">
        <v>3056</v>
      </c>
      <c r="G1461" s="3278">
        <v>1650</v>
      </c>
      <c r="H1461" s="3299">
        <v>0</v>
      </c>
      <c r="I1461" s="3278">
        <v>0</v>
      </c>
    </row>
    <row r="1462" ht="12.75" customHeight="1" spans="2:9">
      <c r="B1462" s="3274">
        <v>396</v>
      </c>
      <c r="D1462" s="3297" t="s">
        <v>5223</v>
      </c>
      <c r="E1462" s="3298" t="s">
        <v>5224</v>
      </c>
      <c r="F1462" s="3298" t="s">
        <v>2321</v>
      </c>
      <c r="G1462" s="3278">
        <v>54182.997</v>
      </c>
      <c r="H1462" s="3299">
        <v>0</v>
      </c>
      <c r="I1462" s="3278">
        <v>0</v>
      </c>
    </row>
    <row r="1463" ht="12.75" customHeight="1" spans="2:9">
      <c r="B1463" s="3274">
        <v>397</v>
      </c>
      <c r="D1463" s="3297" t="s">
        <v>5225</v>
      </c>
      <c r="E1463" s="3298" t="s">
        <v>5226</v>
      </c>
      <c r="F1463" s="3298" t="s">
        <v>2367</v>
      </c>
      <c r="G1463" s="3278">
        <v>22239.14</v>
      </c>
      <c r="H1463" s="3299">
        <v>0</v>
      </c>
      <c r="I1463" s="3278">
        <v>0</v>
      </c>
    </row>
    <row r="1464" ht="12.75" customHeight="1" spans="2:9">
      <c r="B1464" s="3274">
        <v>398</v>
      </c>
      <c r="D1464" s="3297" t="s">
        <v>5227</v>
      </c>
      <c r="E1464" s="3298" t="s">
        <v>5228</v>
      </c>
      <c r="F1464" s="3298" t="s">
        <v>2367</v>
      </c>
      <c r="G1464" s="3278">
        <v>15937.152</v>
      </c>
      <c r="H1464" s="3299">
        <v>18</v>
      </c>
      <c r="I1464" s="3278">
        <v>286868.736</v>
      </c>
    </row>
    <row r="1465" ht="12.75" customHeight="1" spans="2:9">
      <c r="B1465" s="3274">
        <v>399</v>
      </c>
      <c r="D1465" s="3297" t="s">
        <v>5229</v>
      </c>
      <c r="E1465" s="3298" t="s">
        <v>5230</v>
      </c>
      <c r="F1465" s="3298" t="s">
        <v>3056</v>
      </c>
      <c r="G1465" s="3278">
        <v>1473.692</v>
      </c>
      <c r="H1465" s="3299">
        <v>0</v>
      </c>
      <c r="I1465" s="3278">
        <v>0</v>
      </c>
    </row>
    <row r="1466" ht="12.75" customHeight="1" spans="2:9">
      <c r="B1466" s="3274">
        <v>400</v>
      </c>
      <c r="D1466" s="3297" t="s">
        <v>5231</v>
      </c>
      <c r="E1466" s="3298" t="s">
        <v>5232</v>
      </c>
      <c r="F1466" s="3298" t="s">
        <v>5233</v>
      </c>
      <c r="G1466" s="3278">
        <v>22179.3</v>
      </c>
      <c r="H1466" s="3299">
        <v>0</v>
      </c>
      <c r="I1466" s="3278">
        <v>0</v>
      </c>
    </row>
    <row r="1467" ht="12.75" customHeight="1" spans="2:9">
      <c r="B1467" s="3274">
        <v>401</v>
      </c>
      <c r="D1467" s="3297" t="s">
        <v>5234</v>
      </c>
      <c r="E1467" s="3298" t="s">
        <v>5235</v>
      </c>
      <c r="F1467" s="3298" t="s">
        <v>5233</v>
      </c>
      <c r="G1467" s="3278">
        <v>30988.1</v>
      </c>
      <c r="H1467" s="3299">
        <v>0</v>
      </c>
      <c r="I1467" s="3278">
        <v>0</v>
      </c>
    </row>
    <row r="1468" ht="12.75" customHeight="1" spans="2:9">
      <c r="B1468" s="3274">
        <v>402</v>
      </c>
      <c r="D1468" s="3297" t="s">
        <v>5236</v>
      </c>
      <c r="E1468" s="3298" t="s">
        <v>5237</v>
      </c>
      <c r="F1468" s="3298" t="s">
        <v>2321</v>
      </c>
      <c r="G1468" s="3278">
        <v>16060</v>
      </c>
      <c r="H1468" s="3299">
        <v>0</v>
      </c>
      <c r="I1468" s="3278">
        <v>0</v>
      </c>
    </row>
    <row r="1469" ht="12.75" customHeight="1" spans="2:9">
      <c r="B1469" s="3274">
        <v>403</v>
      </c>
      <c r="D1469" s="3297" t="s">
        <v>5238</v>
      </c>
      <c r="E1469" s="3298" t="s">
        <v>5239</v>
      </c>
      <c r="F1469" s="3298" t="s">
        <v>3056</v>
      </c>
      <c r="G1469" s="3278">
        <v>405.295</v>
      </c>
      <c r="H1469" s="3299">
        <v>0</v>
      </c>
      <c r="I1469" s="3278">
        <v>0</v>
      </c>
    </row>
    <row r="1470" ht="12.75" customHeight="1" spans="2:9">
      <c r="B1470" s="3274">
        <v>404</v>
      </c>
      <c r="D1470" s="3297" t="s">
        <v>5240</v>
      </c>
      <c r="E1470" s="3298" t="s">
        <v>5241</v>
      </c>
      <c r="F1470" s="3298" t="s">
        <v>3056</v>
      </c>
      <c r="G1470" s="3278">
        <v>554.587</v>
      </c>
      <c r="H1470" s="3299">
        <v>0</v>
      </c>
      <c r="I1470" s="3278">
        <v>0</v>
      </c>
    </row>
    <row r="1471" ht="12.75" customHeight="1" spans="2:9">
      <c r="B1471" s="3274">
        <v>405</v>
      </c>
      <c r="D1471" s="3297" t="s">
        <v>5242</v>
      </c>
      <c r="E1471" s="3298" t="s">
        <v>5243</v>
      </c>
      <c r="F1471" s="3298" t="s">
        <v>3056</v>
      </c>
      <c r="G1471" s="3278">
        <v>14526.05</v>
      </c>
      <c r="H1471" s="3299">
        <v>0</v>
      </c>
      <c r="I1471" s="3278">
        <v>0</v>
      </c>
    </row>
    <row r="1472" ht="12.75" customHeight="1" spans="2:9">
      <c r="B1472" s="3274">
        <v>406</v>
      </c>
      <c r="D1472" s="3297" t="s">
        <v>5244</v>
      </c>
      <c r="E1472" s="3298" t="s">
        <v>5245</v>
      </c>
      <c r="F1472" s="3298" t="s">
        <v>2388</v>
      </c>
      <c r="G1472" s="3278">
        <v>125400</v>
      </c>
      <c r="H1472" s="3299">
        <v>0</v>
      </c>
      <c r="I1472" s="3278">
        <v>0</v>
      </c>
    </row>
    <row r="1473" ht="12.75" customHeight="1" spans="2:9">
      <c r="B1473" s="3274">
        <v>407</v>
      </c>
      <c r="D1473" s="3297" t="s">
        <v>5246</v>
      </c>
      <c r="E1473" s="3298" t="s">
        <v>5247</v>
      </c>
      <c r="F1473" s="3298" t="s">
        <v>3042</v>
      </c>
      <c r="G1473" s="3278">
        <v>28416.6631</v>
      </c>
      <c r="H1473" s="3299">
        <v>0</v>
      </c>
      <c r="I1473" s="3278">
        <v>0</v>
      </c>
    </row>
    <row r="1474" ht="12.75" customHeight="1" spans="2:9">
      <c r="B1474" s="3274">
        <v>408</v>
      </c>
      <c r="D1474" s="3297" t="s">
        <v>5248</v>
      </c>
      <c r="E1474" s="3298" t="s">
        <v>5249</v>
      </c>
      <c r="F1474" s="3298" t="s">
        <v>2367</v>
      </c>
      <c r="G1474" s="3278">
        <v>5500</v>
      </c>
      <c r="H1474" s="3299">
        <v>0</v>
      </c>
      <c r="I1474" s="3278">
        <v>0</v>
      </c>
    </row>
    <row r="1475" ht="12.75" customHeight="1" spans="2:9">
      <c r="B1475" s="3274">
        <v>409</v>
      </c>
      <c r="D1475" s="3297" t="s">
        <v>5250</v>
      </c>
      <c r="E1475" s="3298" t="s">
        <v>5251</v>
      </c>
      <c r="F1475" s="3298" t="s">
        <v>3423</v>
      </c>
      <c r="G1475" s="3278">
        <v>242000</v>
      </c>
      <c r="H1475" s="3299">
        <v>0</v>
      </c>
      <c r="I1475" s="3278">
        <v>0</v>
      </c>
    </row>
    <row r="1476" ht="12.75" customHeight="1" spans="2:9">
      <c r="B1476" s="3274">
        <v>410</v>
      </c>
      <c r="D1476" s="3297" t="s">
        <v>5252</v>
      </c>
      <c r="E1476" s="3298" t="s">
        <v>5253</v>
      </c>
      <c r="F1476" s="3298" t="s">
        <v>2637</v>
      </c>
      <c r="G1476" s="3278">
        <v>179300</v>
      </c>
      <c r="H1476" s="3299">
        <v>0</v>
      </c>
      <c r="I1476" s="3278">
        <v>0</v>
      </c>
    </row>
    <row r="1477" ht="12.75" customHeight="1" spans="2:9">
      <c r="B1477" s="3274">
        <v>411</v>
      </c>
      <c r="D1477" s="3297" t="s">
        <v>5254</v>
      </c>
      <c r="E1477" s="3298" t="s">
        <v>5255</v>
      </c>
      <c r="F1477" s="3298" t="s">
        <v>2321</v>
      </c>
      <c r="G1477" s="3278">
        <v>18480</v>
      </c>
      <c r="H1477" s="3299">
        <v>9</v>
      </c>
      <c r="I1477" s="3278">
        <v>166320</v>
      </c>
    </row>
    <row r="1478" ht="12.75" customHeight="1" spans="2:9">
      <c r="B1478" s="3274">
        <v>412</v>
      </c>
      <c r="D1478" s="3297" t="s">
        <v>5256</v>
      </c>
      <c r="E1478" s="3298" t="s">
        <v>5257</v>
      </c>
      <c r="F1478" s="3298" t="s">
        <v>3056</v>
      </c>
      <c r="G1478" s="3278">
        <v>693</v>
      </c>
      <c r="H1478" s="3299">
        <v>0</v>
      </c>
      <c r="I1478" s="3278">
        <v>0</v>
      </c>
    </row>
    <row r="1479" ht="12.75" customHeight="1" spans="2:9">
      <c r="B1479" s="3274">
        <v>413</v>
      </c>
      <c r="D1479" s="3297" t="s">
        <v>5258</v>
      </c>
      <c r="E1479" s="3298" t="s">
        <v>5259</v>
      </c>
      <c r="F1479" s="3298" t="s">
        <v>2367</v>
      </c>
      <c r="G1479" s="3278">
        <v>4161.663</v>
      </c>
      <c r="H1479" s="3299">
        <v>0</v>
      </c>
      <c r="I1479" s="3278">
        <v>0</v>
      </c>
    </row>
    <row r="1480" ht="12.75" customHeight="1" spans="2:9">
      <c r="B1480" s="3274">
        <v>414</v>
      </c>
      <c r="D1480" s="3297" t="s">
        <v>5260</v>
      </c>
      <c r="E1480" s="3298" t="s">
        <v>5261</v>
      </c>
      <c r="F1480" s="3298" t="s">
        <v>2637</v>
      </c>
      <c r="G1480" s="3278">
        <v>60500</v>
      </c>
      <c r="H1480" s="3299">
        <v>0</v>
      </c>
      <c r="I1480" s="3278">
        <v>0</v>
      </c>
    </row>
    <row r="1481" ht="12.75" customHeight="1" spans="2:9">
      <c r="B1481" s="3274">
        <v>415</v>
      </c>
      <c r="D1481" s="3297" t="s">
        <v>5262</v>
      </c>
      <c r="E1481" s="3298" t="s">
        <v>5263</v>
      </c>
      <c r="F1481" s="3298" t="s">
        <v>2637</v>
      </c>
      <c r="G1481" s="3278">
        <v>39325</v>
      </c>
      <c r="H1481" s="3299">
        <v>0</v>
      </c>
      <c r="I1481" s="3278">
        <v>0</v>
      </c>
    </row>
    <row r="1482" ht="12.75" customHeight="1" spans="2:9">
      <c r="B1482" s="3274">
        <v>416</v>
      </c>
      <c r="D1482" s="3297" t="s">
        <v>5264</v>
      </c>
      <c r="E1482" s="3298" t="s">
        <v>5265</v>
      </c>
      <c r="F1482" s="3298" t="s">
        <v>5070</v>
      </c>
      <c r="G1482" s="3278">
        <v>8800</v>
      </c>
      <c r="H1482" s="3299">
        <v>0</v>
      </c>
      <c r="I1482" s="3278">
        <v>0</v>
      </c>
    </row>
    <row r="1483" ht="12.75" customHeight="1" spans="2:9">
      <c r="B1483" s="3274">
        <v>417</v>
      </c>
      <c r="D1483" s="3297" t="s">
        <v>5266</v>
      </c>
      <c r="E1483" s="3298" t="s">
        <v>5267</v>
      </c>
      <c r="F1483" s="3298" t="s">
        <v>3056</v>
      </c>
      <c r="G1483" s="3278">
        <v>1650</v>
      </c>
      <c r="H1483" s="3299">
        <v>0</v>
      </c>
      <c r="I1483" s="3278">
        <v>0</v>
      </c>
    </row>
    <row r="1484" ht="12.75" customHeight="1" spans="2:9">
      <c r="B1484" s="3274">
        <v>418</v>
      </c>
      <c r="D1484" s="3297" t="s">
        <v>5268</v>
      </c>
      <c r="E1484" s="3298" t="s">
        <v>5269</v>
      </c>
      <c r="F1484" s="3298" t="s">
        <v>2367</v>
      </c>
      <c r="G1484" s="3278">
        <v>3960</v>
      </c>
      <c r="H1484" s="3299">
        <v>0</v>
      </c>
      <c r="I1484" s="3278">
        <v>0</v>
      </c>
    </row>
    <row r="1485" ht="12.75" customHeight="1" spans="2:9">
      <c r="B1485" s="3274">
        <v>419</v>
      </c>
      <c r="D1485" s="3297" t="s">
        <v>5270</v>
      </c>
      <c r="E1485" s="3298" t="s">
        <v>5271</v>
      </c>
      <c r="F1485" s="3298" t="s">
        <v>5070</v>
      </c>
      <c r="G1485" s="3278">
        <v>19800</v>
      </c>
      <c r="H1485" s="3299">
        <v>0</v>
      </c>
      <c r="I1485" s="3278">
        <v>0</v>
      </c>
    </row>
    <row r="1486" ht="12.75" customHeight="1" spans="2:9">
      <c r="B1486" s="3274">
        <v>420</v>
      </c>
      <c r="D1486" s="3297" t="s">
        <v>5272</v>
      </c>
      <c r="E1486" s="3298" t="s">
        <v>5273</v>
      </c>
      <c r="F1486" s="3298" t="s">
        <v>2321</v>
      </c>
      <c r="G1486" s="3278">
        <v>14408.9</v>
      </c>
      <c r="H1486" s="3299">
        <v>0</v>
      </c>
      <c r="I1486" s="3278">
        <v>0</v>
      </c>
    </row>
    <row r="1487" ht="12.75" customHeight="1" spans="2:9">
      <c r="B1487" s="3274">
        <v>421</v>
      </c>
      <c r="D1487" s="3297" t="s">
        <v>5274</v>
      </c>
      <c r="E1487" s="3298" t="s">
        <v>5275</v>
      </c>
      <c r="F1487" s="3298" t="s">
        <v>2321</v>
      </c>
      <c r="G1487" s="3278">
        <v>24660.9</v>
      </c>
      <c r="H1487" s="3299">
        <v>0</v>
      </c>
      <c r="I1487" s="3278">
        <v>0</v>
      </c>
    </row>
    <row r="1488" ht="12.75" customHeight="1" spans="2:9">
      <c r="B1488" s="3274">
        <v>422</v>
      </c>
      <c r="D1488" s="3297" t="s">
        <v>5276</v>
      </c>
      <c r="E1488" s="3298" t="s">
        <v>5277</v>
      </c>
      <c r="F1488" s="3298" t="s">
        <v>2367</v>
      </c>
      <c r="G1488" s="3278">
        <v>65838.3</v>
      </c>
      <c r="H1488" s="3299">
        <v>0</v>
      </c>
      <c r="I1488" s="3278">
        <v>0</v>
      </c>
    </row>
    <row r="1489" ht="12.75" customHeight="1" spans="2:9">
      <c r="B1489" s="3274">
        <v>423</v>
      </c>
      <c r="D1489" s="3297" t="s">
        <v>5278</v>
      </c>
      <c r="E1489" s="3298" t="s">
        <v>5279</v>
      </c>
      <c r="F1489" s="3298" t="s">
        <v>2367</v>
      </c>
      <c r="G1489" s="3278">
        <v>32000.001</v>
      </c>
      <c r="H1489" s="3299">
        <v>0</v>
      </c>
      <c r="I1489" s="3278">
        <v>0</v>
      </c>
    </row>
    <row r="1490" ht="12.75" customHeight="1" spans="2:9">
      <c r="B1490" s="3274">
        <v>424</v>
      </c>
      <c r="D1490" s="3297" t="s">
        <v>5280</v>
      </c>
      <c r="E1490" s="3298" t="s">
        <v>5281</v>
      </c>
      <c r="F1490" s="3298" t="s">
        <v>3056</v>
      </c>
      <c r="G1490" s="3278">
        <v>995.5</v>
      </c>
      <c r="H1490" s="3299">
        <v>0</v>
      </c>
      <c r="I1490" s="3278">
        <v>0</v>
      </c>
    </row>
    <row r="1491" ht="12.75" customHeight="1" spans="2:9">
      <c r="B1491" s="3274">
        <v>425</v>
      </c>
      <c r="D1491" s="3297" t="s">
        <v>5282</v>
      </c>
      <c r="E1491" s="3298" t="s">
        <v>5283</v>
      </c>
      <c r="F1491" s="3298" t="s">
        <v>2321</v>
      </c>
      <c r="G1491" s="3278">
        <v>14784</v>
      </c>
      <c r="H1491" s="3299">
        <v>25</v>
      </c>
      <c r="I1491" s="3278">
        <v>369600</v>
      </c>
    </row>
    <row r="1492" ht="12.75" customHeight="1" spans="2:9">
      <c r="B1492" s="3274">
        <v>426</v>
      </c>
      <c r="D1492" s="3297" t="s">
        <v>5284</v>
      </c>
      <c r="E1492" s="3298" t="s">
        <v>5285</v>
      </c>
      <c r="F1492" s="3298" t="s">
        <v>2367</v>
      </c>
      <c r="G1492" s="3278">
        <v>712.8</v>
      </c>
      <c r="H1492" s="3299">
        <v>500</v>
      </c>
      <c r="I1492" s="3278">
        <v>356400</v>
      </c>
    </row>
    <row r="1493" ht="12.75" customHeight="1" spans="2:9">
      <c r="B1493" s="3274">
        <v>427</v>
      </c>
      <c r="D1493" s="3297" t="s">
        <v>5286</v>
      </c>
      <c r="E1493" s="3298" t="s">
        <v>5287</v>
      </c>
      <c r="F1493" s="3298" t="s">
        <v>2367</v>
      </c>
      <c r="G1493" s="3278">
        <v>22550</v>
      </c>
      <c r="H1493" s="3299">
        <v>0</v>
      </c>
      <c r="I1493" s="3278">
        <v>0</v>
      </c>
    </row>
    <row r="1494" ht="12.75" customHeight="1" spans="2:9">
      <c r="B1494" s="3274">
        <v>428</v>
      </c>
      <c r="D1494" s="3297" t="s">
        <v>5288</v>
      </c>
      <c r="E1494" s="3298" t="s">
        <v>5289</v>
      </c>
      <c r="F1494" s="3298" t="s">
        <v>2637</v>
      </c>
      <c r="G1494" s="3278">
        <v>15125</v>
      </c>
      <c r="H1494" s="3299">
        <v>0</v>
      </c>
      <c r="I1494" s="3278">
        <v>0</v>
      </c>
    </row>
    <row r="1495" ht="12.75" customHeight="1" spans="2:9">
      <c r="B1495" s="3274">
        <v>429</v>
      </c>
      <c r="D1495" s="3297" t="s">
        <v>5290</v>
      </c>
      <c r="E1495" s="3298" t="s">
        <v>5291</v>
      </c>
      <c r="F1495" s="3298" t="s">
        <v>5070</v>
      </c>
      <c r="G1495" s="3278">
        <v>523.49</v>
      </c>
      <c r="H1495" s="3299">
        <v>0</v>
      </c>
      <c r="I1495" s="3278">
        <v>0</v>
      </c>
    </row>
    <row r="1496" ht="12.75" customHeight="1" spans="2:9">
      <c r="B1496" s="3274">
        <v>430</v>
      </c>
      <c r="D1496" s="3297" t="s">
        <v>5292</v>
      </c>
      <c r="E1496" s="3298" t="s">
        <v>5293</v>
      </c>
      <c r="F1496" s="3298" t="s">
        <v>2321</v>
      </c>
      <c r="G1496" s="3278">
        <v>5445</v>
      </c>
      <c r="H1496" s="3299">
        <v>0</v>
      </c>
      <c r="I1496" s="3278">
        <v>0</v>
      </c>
    </row>
    <row r="1497" ht="12.75" customHeight="1" spans="2:9">
      <c r="B1497" s="3274">
        <v>431</v>
      </c>
      <c r="D1497" s="3297" t="s">
        <v>5294</v>
      </c>
      <c r="E1497" s="3298" t="s">
        <v>5295</v>
      </c>
      <c r="F1497" s="3298" t="s">
        <v>2367</v>
      </c>
      <c r="G1497" s="3278">
        <v>1463</v>
      </c>
      <c r="H1497" s="3299">
        <v>0</v>
      </c>
      <c r="I1497" s="3278">
        <v>0</v>
      </c>
    </row>
    <row r="1498" ht="12.75" customHeight="1" spans="2:9">
      <c r="B1498" s="3274">
        <v>432</v>
      </c>
      <c r="D1498" s="3297" t="s">
        <v>5296</v>
      </c>
      <c r="E1498" s="3298" t="s">
        <v>5297</v>
      </c>
      <c r="F1498" s="3298" t="s">
        <v>2367</v>
      </c>
      <c r="G1498" s="3278">
        <v>2706</v>
      </c>
      <c r="H1498" s="3299">
        <v>0</v>
      </c>
      <c r="I1498" s="3278">
        <v>0</v>
      </c>
    </row>
    <row r="1499" ht="12.75" customHeight="1" spans="2:9">
      <c r="B1499" s="3274">
        <v>433</v>
      </c>
      <c r="D1499" s="3297" t="s">
        <v>5298</v>
      </c>
      <c r="E1499" s="3298" t="s">
        <v>5299</v>
      </c>
      <c r="F1499" s="3298" t="s">
        <v>2321</v>
      </c>
      <c r="G1499" s="3278">
        <v>19008</v>
      </c>
      <c r="H1499" s="3299">
        <v>11</v>
      </c>
      <c r="I1499" s="3278">
        <v>209088</v>
      </c>
    </row>
    <row r="1500" ht="12.75" customHeight="1" spans="2:9">
      <c r="B1500" s="3274">
        <v>434</v>
      </c>
      <c r="D1500" s="3297" t="s">
        <v>5300</v>
      </c>
      <c r="E1500" s="3298" t="s">
        <v>5301</v>
      </c>
      <c r="F1500" s="3298" t="s">
        <v>2367</v>
      </c>
      <c r="G1500" s="3278">
        <v>3554.87</v>
      </c>
      <c r="H1500" s="3299">
        <v>0</v>
      </c>
      <c r="I1500" s="3278">
        <v>0</v>
      </c>
    </row>
    <row r="1501" ht="12.75" customHeight="1" spans="2:9">
      <c r="B1501" s="3274">
        <v>435</v>
      </c>
      <c r="D1501" s="3297" t="s">
        <v>5302</v>
      </c>
      <c r="E1501" s="3298" t="s">
        <v>5303</v>
      </c>
      <c r="F1501" s="3298" t="s">
        <v>2367</v>
      </c>
      <c r="G1501" s="3278">
        <v>4506.4635</v>
      </c>
      <c r="H1501" s="3299">
        <v>0</v>
      </c>
      <c r="I1501" s="3278">
        <v>0</v>
      </c>
    </row>
    <row r="1502" ht="12.75" customHeight="1" spans="2:9">
      <c r="B1502" s="3274">
        <v>436</v>
      </c>
      <c r="D1502" s="3297" t="s">
        <v>5304</v>
      </c>
      <c r="E1502" s="3298" t="s">
        <v>5305</v>
      </c>
      <c r="F1502" s="3298" t="s">
        <v>2367</v>
      </c>
      <c r="G1502" s="3278">
        <v>135630</v>
      </c>
      <c r="H1502" s="3299">
        <v>0</v>
      </c>
      <c r="I1502" s="3278">
        <v>0</v>
      </c>
    </row>
    <row r="1503" ht="12.75" customHeight="1" spans="2:9">
      <c r="B1503" s="3274">
        <v>437</v>
      </c>
      <c r="D1503" s="3297" t="s">
        <v>5306</v>
      </c>
      <c r="E1503" s="3298" t="s">
        <v>5307</v>
      </c>
      <c r="F1503" s="3298" t="s">
        <v>2637</v>
      </c>
      <c r="G1503" s="3278">
        <v>78925</v>
      </c>
      <c r="H1503" s="3299">
        <v>0</v>
      </c>
      <c r="I1503" s="3278">
        <v>0</v>
      </c>
    </row>
    <row r="1504" ht="12.75" customHeight="1" spans="2:9">
      <c r="B1504" s="3274">
        <v>438</v>
      </c>
      <c r="D1504" s="3297" t="s">
        <v>5308</v>
      </c>
      <c r="E1504" s="3298" t="s">
        <v>5309</v>
      </c>
      <c r="F1504" s="3298" t="s">
        <v>2637</v>
      </c>
      <c r="G1504" s="3278">
        <v>152130</v>
      </c>
      <c r="H1504" s="3299">
        <v>0</v>
      </c>
      <c r="I1504" s="3278">
        <v>0</v>
      </c>
    </row>
    <row r="1505" ht="12.75" customHeight="1" spans="2:9">
      <c r="B1505" s="3274">
        <v>439</v>
      </c>
      <c r="D1505" s="3297" t="s">
        <v>5310</v>
      </c>
      <c r="E1505" s="3298" t="s">
        <v>5311</v>
      </c>
      <c r="F1505" s="3298" t="s">
        <v>2637</v>
      </c>
      <c r="G1505" s="3278">
        <v>23210</v>
      </c>
      <c r="H1505" s="3299">
        <v>0</v>
      </c>
      <c r="I1505" s="3278">
        <v>0</v>
      </c>
    </row>
    <row r="1506" ht="12.75" customHeight="1" spans="2:9">
      <c r="B1506" s="3274">
        <v>440</v>
      </c>
      <c r="D1506" s="3297" t="s">
        <v>5312</v>
      </c>
      <c r="E1506" s="3298" t="s">
        <v>5313</v>
      </c>
      <c r="F1506" s="3298" t="s">
        <v>2321</v>
      </c>
      <c r="G1506" s="3278">
        <v>42240</v>
      </c>
      <c r="H1506" s="3299">
        <v>0</v>
      </c>
      <c r="I1506" s="3278">
        <v>0</v>
      </c>
    </row>
    <row r="1507" ht="12.75" customHeight="1" spans="2:9">
      <c r="B1507" s="3274">
        <v>441</v>
      </c>
      <c r="D1507" s="3297" t="s">
        <v>5314</v>
      </c>
      <c r="E1507" s="3298" t="s">
        <v>5315</v>
      </c>
      <c r="F1507" s="3298" t="s">
        <v>2367</v>
      </c>
      <c r="G1507" s="3278">
        <v>1074.5888</v>
      </c>
      <c r="H1507" s="3299">
        <v>0</v>
      </c>
      <c r="I1507" s="3278">
        <v>0</v>
      </c>
    </row>
    <row r="1508" ht="12.75" customHeight="1" spans="2:9">
      <c r="B1508" s="3274">
        <v>442</v>
      </c>
      <c r="D1508" s="3297" t="s">
        <v>5316</v>
      </c>
      <c r="E1508" s="3298" t="s">
        <v>5317</v>
      </c>
      <c r="F1508" s="3298" t="s">
        <v>2367</v>
      </c>
      <c r="G1508" s="3278">
        <v>4537.5</v>
      </c>
      <c r="H1508" s="3299">
        <v>0</v>
      </c>
      <c r="I1508" s="3278">
        <v>0</v>
      </c>
    </row>
    <row r="1509" ht="12.75" customHeight="1" spans="2:9">
      <c r="B1509" s="3274">
        <v>443</v>
      </c>
      <c r="D1509" s="3297" t="s">
        <v>5318</v>
      </c>
      <c r="E1509" s="3298" t="s">
        <v>5319</v>
      </c>
      <c r="F1509" s="3298" t="s">
        <v>2367</v>
      </c>
      <c r="G1509" s="3278">
        <v>5500</v>
      </c>
      <c r="H1509" s="3299">
        <v>0</v>
      </c>
      <c r="I1509" s="3278">
        <v>0</v>
      </c>
    </row>
    <row r="1510" ht="12.75" customHeight="1" spans="2:9">
      <c r="B1510" s="3274">
        <v>444</v>
      </c>
      <c r="D1510" s="3297" t="s">
        <v>5320</v>
      </c>
      <c r="E1510" s="3298" t="s">
        <v>5321</v>
      </c>
      <c r="F1510" s="3298" t="s">
        <v>3056</v>
      </c>
      <c r="G1510" s="3278">
        <v>4190</v>
      </c>
      <c r="H1510" s="3299">
        <v>0</v>
      </c>
      <c r="I1510" s="3278">
        <v>0</v>
      </c>
    </row>
    <row r="1511" ht="12.75" customHeight="1" spans="2:9">
      <c r="B1511" s="3274">
        <v>445</v>
      </c>
      <c r="D1511" s="3297" t="s">
        <v>5322</v>
      </c>
      <c r="E1511" s="3298" t="s">
        <v>5323</v>
      </c>
      <c r="F1511" s="3298" t="s">
        <v>3056</v>
      </c>
      <c r="G1511" s="3278">
        <v>2035.0688</v>
      </c>
      <c r="H1511" s="3299">
        <v>0</v>
      </c>
      <c r="I1511" s="3278">
        <v>0</v>
      </c>
    </row>
    <row r="1512" ht="12.75" customHeight="1" spans="2:9">
      <c r="B1512" s="3274">
        <v>446</v>
      </c>
      <c r="D1512" s="3297" t="s">
        <v>5324</v>
      </c>
      <c r="E1512" s="3298" t="s">
        <v>5325</v>
      </c>
      <c r="F1512" s="3298" t="s">
        <v>2321</v>
      </c>
      <c r="G1512" s="3278">
        <v>11176</v>
      </c>
      <c r="H1512" s="3299">
        <v>0</v>
      </c>
      <c r="I1512" s="3278">
        <v>0</v>
      </c>
    </row>
    <row r="1513" ht="12.75" customHeight="1" spans="2:9">
      <c r="B1513" s="3274">
        <v>447</v>
      </c>
      <c r="D1513" s="3297" t="s">
        <v>5326</v>
      </c>
      <c r="E1513" s="3298" t="s">
        <v>5327</v>
      </c>
      <c r="F1513" s="3298" t="s">
        <v>2367</v>
      </c>
      <c r="G1513" s="3278">
        <v>4633.332</v>
      </c>
      <c r="H1513" s="3299">
        <v>0</v>
      </c>
      <c r="I1513" s="3278">
        <v>0</v>
      </c>
    </row>
    <row r="1514" ht="12.75" customHeight="1" spans="2:9">
      <c r="B1514" s="3274">
        <v>448</v>
      </c>
      <c r="D1514" s="3297" t="s">
        <v>5328</v>
      </c>
      <c r="E1514" s="3298" t="s">
        <v>5329</v>
      </c>
      <c r="F1514" s="3298" t="s">
        <v>2367</v>
      </c>
      <c r="G1514" s="3278">
        <v>1892</v>
      </c>
      <c r="H1514" s="3299">
        <v>0</v>
      </c>
      <c r="I1514" s="3278">
        <v>0</v>
      </c>
    </row>
    <row r="1515" ht="12.75" customHeight="1" spans="2:9">
      <c r="B1515" s="3274">
        <v>449</v>
      </c>
      <c r="D1515" s="3297" t="s">
        <v>5330</v>
      </c>
      <c r="E1515" s="3298" t="s">
        <v>5331</v>
      </c>
      <c r="F1515" s="3298" t="s">
        <v>2457</v>
      </c>
      <c r="G1515" s="3278">
        <v>17039</v>
      </c>
      <c r="H1515" s="3299">
        <v>0</v>
      </c>
      <c r="I1515" s="3278">
        <v>0</v>
      </c>
    </row>
    <row r="1516" ht="12.75" customHeight="1" spans="2:9">
      <c r="B1516" s="3274">
        <v>450</v>
      </c>
      <c r="D1516" s="3297" t="s">
        <v>5332</v>
      </c>
      <c r="E1516" s="3298" t="s">
        <v>5333</v>
      </c>
      <c r="F1516" s="3298" t="s">
        <v>2637</v>
      </c>
      <c r="G1516" s="3278">
        <v>76133.2</v>
      </c>
      <c r="H1516" s="3299">
        <v>0</v>
      </c>
      <c r="I1516" s="3278">
        <v>0</v>
      </c>
    </row>
    <row r="1517" ht="12.75" customHeight="1" spans="2:9">
      <c r="B1517" s="3274">
        <v>451</v>
      </c>
      <c r="D1517" s="3297" t="s">
        <v>5334</v>
      </c>
      <c r="E1517" s="3298" t="s">
        <v>5335</v>
      </c>
      <c r="F1517" s="3298" t="s">
        <v>2637</v>
      </c>
      <c r="G1517" s="3278">
        <v>108240</v>
      </c>
      <c r="H1517" s="3299">
        <v>0</v>
      </c>
      <c r="I1517" s="3278">
        <v>0</v>
      </c>
    </row>
    <row r="1518" ht="12.75" customHeight="1" spans="2:9">
      <c r="B1518" s="3274">
        <v>452</v>
      </c>
      <c r="D1518" s="3297" t="s">
        <v>5336</v>
      </c>
      <c r="E1518" s="3298" t="s">
        <v>5337</v>
      </c>
      <c r="F1518" s="3298" t="s">
        <v>5233</v>
      </c>
      <c r="G1518" s="3278">
        <v>11803</v>
      </c>
      <c r="H1518" s="3299">
        <v>0</v>
      </c>
      <c r="I1518" s="3278">
        <v>0</v>
      </c>
    </row>
    <row r="1519" ht="12.75" customHeight="1" spans="2:9">
      <c r="B1519" s="3274">
        <v>453</v>
      </c>
      <c r="D1519" s="3297" t="s">
        <v>5338</v>
      </c>
      <c r="E1519" s="3298" t="s">
        <v>5339</v>
      </c>
      <c r="F1519" s="3298" t="s">
        <v>3042</v>
      </c>
      <c r="G1519" s="3278">
        <v>4950</v>
      </c>
      <c r="H1519" s="3299">
        <v>0</v>
      </c>
      <c r="I1519" s="3278">
        <v>0</v>
      </c>
    </row>
    <row r="1520" ht="12.75" customHeight="1" spans="2:9">
      <c r="B1520" s="3274">
        <v>454</v>
      </c>
      <c r="D1520" s="3297" t="s">
        <v>5340</v>
      </c>
      <c r="E1520" s="3298" t="s">
        <v>5341</v>
      </c>
      <c r="F1520" s="3298" t="s">
        <v>3042</v>
      </c>
      <c r="G1520" s="3278">
        <v>44000</v>
      </c>
      <c r="H1520" s="3299">
        <v>5</v>
      </c>
      <c r="I1520" s="3278">
        <v>220000</v>
      </c>
    </row>
    <row r="1521" ht="12.75" customHeight="1" spans="2:9">
      <c r="B1521" s="3274">
        <v>455</v>
      </c>
      <c r="D1521" s="3297" t="s">
        <v>5342</v>
      </c>
      <c r="E1521" s="3298" t="s">
        <v>5343</v>
      </c>
      <c r="F1521" s="3298" t="s">
        <v>2367</v>
      </c>
      <c r="G1521" s="3278">
        <v>275</v>
      </c>
      <c r="H1521" s="3299">
        <v>0</v>
      </c>
      <c r="I1521" s="3278">
        <v>0</v>
      </c>
    </row>
    <row r="1522" ht="12.75" customHeight="1" spans="2:9">
      <c r="B1522" s="3274">
        <v>456</v>
      </c>
      <c r="D1522" s="3297" t="s">
        <v>5344</v>
      </c>
      <c r="E1522" s="3298" t="s">
        <v>5345</v>
      </c>
      <c r="F1522" s="3298" t="s">
        <v>2321</v>
      </c>
      <c r="G1522" s="3278">
        <v>55000</v>
      </c>
      <c r="H1522" s="3299">
        <v>0</v>
      </c>
      <c r="I1522" s="3278">
        <v>0</v>
      </c>
    </row>
    <row r="1523" ht="12.75" customHeight="1" spans="2:9">
      <c r="B1523" s="3274">
        <v>457</v>
      </c>
      <c r="D1523" s="3297" t="s">
        <v>5346</v>
      </c>
      <c r="E1523" s="3298" t="s">
        <v>5347</v>
      </c>
      <c r="F1523" s="3298" t="s">
        <v>3042</v>
      </c>
      <c r="G1523" s="3278">
        <v>7546</v>
      </c>
      <c r="H1523" s="3299">
        <v>0</v>
      </c>
      <c r="I1523" s="3278">
        <v>0</v>
      </c>
    </row>
    <row r="1524" ht="12.75" customHeight="1" spans="2:9">
      <c r="B1524" s="3274">
        <v>458</v>
      </c>
      <c r="D1524" s="3297" t="s">
        <v>5348</v>
      </c>
      <c r="E1524" s="3298" t="s">
        <v>5349</v>
      </c>
      <c r="F1524" s="3298" t="s">
        <v>2367</v>
      </c>
      <c r="G1524" s="3278">
        <v>5940</v>
      </c>
      <c r="H1524" s="3299">
        <v>0</v>
      </c>
      <c r="I1524" s="3278">
        <v>0</v>
      </c>
    </row>
    <row r="1525" ht="12.75" customHeight="1" spans="2:9">
      <c r="B1525" s="3274">
        <v>459</v>
      </c>
      <c r="D1525" s="3297" t="s">
        <v>5350</v>
      </c>
      <c r="E1525" s="3298" t="s">
        <v>5351</v>
      </c>
      <c r="F1525" s="3298" t="s">
        <v>2367</v>
      </c>
      <c r="G1525" s="3278">
        <v>13506.9</v>
      </c>
      <c r="H1525" s="3299">
        <v>0</v>
      </c>
      <c r="I1525" s="3278">
        <v>0</v>
      </c>
    </row>
    <row r="1526" ht="12.75" customHeight="1" spans="2:9">
      <c r="B1526" s="3274">
        <v>460</v>
      </c>
      <c r="D1526" s="3297" t="s">
        <v>5352</v>
      </c>
      <c r="E1526" s="3298" t="s">
        <v>5353</v>
      </c>
      <c r="F1526" s="3298" t="s">
        <v>2637</v>
      </c>
      <c r="G1526" s="3278">
        <v>78754.5</v>
      </c>
      <c r="H1526" s="3299">
        <v>8</v>
      </c>
      <c r="I1526" s="3278">
        <v>630036</v>
      </c>
    </row>
    <row r="1527" ht="12.75" customHeight="1" spans="2:9">
      <c r="B1527" s="3274">
        <v>461</v>
      </c>
      <c r="D1527" s="3297" t="s">
        <v>5354</v>
      </c>
      <c r="E1527" s="3298" t="s">
        <v>5355</v>
      </c>
      <c r="F1527" s="3298" t="s">
        <v>2321</v>
      </c>
      <c r="G1527" s="3278">
        <v>32670</v>
      </c>
      <c r="H1527" s="3299">
        <v>36</v>
      </c>
      <c r="I1527" s="3278">
        <v>1176120</v>
      </c>
    </row>
    <row r="1528" ht="12.75" customHeight="1" spans="2:9">
      <c r="B1528" s="3274">
        <v>462</v>
      </c>
      <c r="D1528" s="3297" t="s">
        <v>5356</v>
      </c>
      <c r="E1528" s="3298" t="s">
        <v>5357</v>
      </c>
      <c r="F1528" s="3298" t="s">
        <v>2321</v>
      </c>
      <c r="G1528" s="3278">
        <v>31680</v>
      </c>
      <c r="H1528" s="3299">
        <v>20</v>
      </c>
      <c r="I1528" s="3278">
        <v>633600</v>
      </c>
    </row>
    <row r="1529" ht="12.75" customHeight="1" spans="2:9">
      <c r="B1529" s="3274">
        <v>463</v>
      </c>
      <c r="D1529" s="3297" t="s">
        <v>5358</v>
      </c>
      <c r="E1529" s="3298" t="s">
        <v>5359</v>
      </c>
      <c r="F1529" s="3298" t="s">
        <v>2367</v>
      </c>
      <c r="G1529" s="3278">
        <v>916.674</v>
      </c>
      <c r="H1529" s="3299">
        <v>0</v>
      </c>
      <c r="I1529" s="3278">
        <v>0</v>
      </c>
    </row>
    <row r="1530" ht="12.75" customHeight="1" spans="2:9">
      <c r="B1530" s="3274">
        <v>464</v>
      </c>
      <c r="D1530" s="3297" t="s">
        <v>5360</v>
      </c>
      <c r="E1530" s="3298" t="s">
        <v>5361</v>
      </c>
      <c r="F1530" s="3298" t="s">
        <v>2321</v>
      </c>
      <c r="G1530" s="3278">
        <v>28050</v>
      </c>
      <c r="H1530" s="3299">
        <v>0</v>
      </c>
      <c r="I1530" s="3278">
        <v>0</v>
      </c>
    </row>
    <row r="1531" ht="12.75" customHeight="1" spans="2:9">
      <c r="B1531" s="3274">
        <v>465</v>
      </c>
      <c r="D1531" s="3297" t="s">
        <v>5362</v>
      </c>
      <c r="E1531" s="3298" t="s">
        <v>5363</v>
      </c>
      <c r="F1531" s="3298" t="s">
        <v>2367</v>
      </c>
      <c r="G1531" s="3278">
        <v>4950</v>
      </c>
      <c r="H1531" s="3299">
        <v>0</v>
      </c>
      <c r="I1531" s="3278">
        <v>0</v>
      </c>
    </row>
    <row r="1532" ht="12.75" customHeight="1" spans="2:9">
      <c r="B1532" s="3274">
        <v>466</v>
      </c>
      <c r="D1532" s="3297" t="s">
        <v>5364</v>
      </c>
      <c r="E1532" s="3298" t="s">
        <v>5365</v>
      </c>
      <c r="F1532" s="3298" t="s">
        <v>3056</v>
      </c>
      <c r="G1532" s="3278">
        <v>1164.757</v>
      </c>
      <c r="H1532" s="3299">
        <v>0</v>
      </c>
      <c r="I1532" s="3278">
        <v>0</v>
      </c>
    </row>
    <row r="1533" ht="12.75" customHeight="1" spans="2:9">
      <c r="B1533" s="3274">
        <v>467</v>
      </c>
      <c r="D1533" s="3297" t="s">
        <v>5366</v>
      </c>
      <c r="E1533" s="3298" t="s">
        <v>5367</v>
      </c>
      <c r="F1533" s="3298" t="s">
        <v>2321</v>
      </c>
      <c r="G1533" s="3278">
        <v>154000</v>
      </c>
      <c r="H1533" s="3299">
        <v>0</v>
      </c>
      <c r="I1533" s="3278">
        <v>0</v>
      </c>
    </row>
    <row r="1534" ht="12.75" customHeight="1" spans="2:9">
      <c r="B1534" s="3274">
        <v>468</v>
      </c>
      <c r="D1534" s="3297" t="s">
        <v>5368</v>
      </c>
      <c r="E1534" s="3298" t="s">
        <v>5369</v>
      </c>
      <c r="F1534" s="3298" t="s">
        <v>2321</v>
      </c>
      <c r="G1534" s="3278">
        <v>8800</v>
      </c>
      <c r="H1534" s="3299">
        <v>0</v>
      </c>
      <c r="I1534" s="3278">
        <v>0</v>
      </c>
    </row>
    <row r="1535" ht="12.75" customHeight="1" spans="2:9">
      <c r="B1535" s="3274">
        <v>469</v>
      </c>
      <c r="D1535" s="3297" t="s">
        <v>5370</v>
      </c>
      <c r="E1535" s="3298" t="s">
        <v>5371</v>
      </c>
      <c r="F1535" s="3298" t="s">
        <v>2321</v>
      </c>
      <c r="G1535" s="3278">
        <v>115500</v>
      </c>
      <c r="H1535" s="3299">
        <v>0</v>
      </c>
      <c r="I1535" s="3278">
        <v>0</v>
      </c>
    </row>
    <row r="1536" ht="12.75" customHeight="1" spans="2:9">
      <c r="B1536" s="3274">
        <v>470</v>
      </c>
      <c r="D1536" s="3297" t="s">
        <v>5372</v>
      </c>
      <c r="E1536" s="3298" t="s">
        <v>5373</v>
      </c>
      <c r="F1536" s="3298" t="s">
        <v>2367</v>
      </c>
      <c r="G1536" s="3278">
        <v>14795.693</v>
      </c>
      <c r="H1536" s="3299">
        <v>0</v>
      </c>
      <c r="I1536" s="3278">
        <v>0</v>
      </c>
    </row>
    <row r="1537" ht="12.75" customHeight="1" spans="2:9">
      <c r="B1537" s="3274">
        <v>471</v>
      </c>
      <c r="D1537" s="3297" t="s">
        <v>5374</v>
      </c>
      <c r="E1537" s="3298" t="s">
        <v>5375</v>
      </c>
      <c r="F1537" s="3298" t="s">
        <v>2367</v>
      </c>
      <c r="G1537" s="3278">
        <v>36000</v>
      </c>
      <c r="H1537" s="3299">
        <v>0</v>
      </c>
      <c r="I1537" s="3278">
        <v>0</v>
      </c>
    </row>
    <row r="1538" ht="12.75" customHeight="1" spans="2:9">
      <c r="B1538" s="3274">
        <v>472</v>
      </c>
      <c r="D1538" s="3297" t="s">
        <v>5376</v>
      </c>
      <c r="E1538" s="3298" t="s">
        <v>5377</v>
      </c>
      <c r="F1538" s="3298" t="s">
        <v>2321</v>
      </c>
      <c r="G1538" s="3278">
        <v>74900</v>
      </c>
      <c r="H1538" s="3299">
        <v>0</v>
      </c>
      <c r="I1538" s="3278">
        <v>0</v>
      </c>
    </row>
    <row r="1539" ht="12.75" customHeight="1" spans="2:9">
      <c r="B1539" s="3274">
        <v>473</v>
      </c>
      <c r="D1539" s="3297" t="s">
        <v>5378</v>
      </c>
      <c r="E1539" s="3298" t="s">
        <v>5379</v>
      </c>
      <c r="F1539" s="3298" t="s">
        <v>2367</v>
      </c>
      <c r="G1539" s="3278">
        <v>16778.3</v>
      </c>
      <c r="H1539" s="3299">
        <v>0</v>
      </c>
      <c r="I1539" s="3278">
        <v>0</v>
      </c>
    </row>
    <row r="1540" ht="12.75" customHeight="1" spans="2:9">
      <c r="B1540" s="3274">
        <v>474</v>
      </c>
      <c r="D1540" s="3297" t="s">
        <v>5380</v>
      </c>
      <c r="E1540" s="3298" t="s">
        <v>5381</v>
      </c>
      <c r="F1540" s="3298" t="s">
        <v>3056</v>
      </c>
      <c r="G1540" s="3278">
        <v>712.8</v>
      </c>
      <c r="H1540" s="3299">
        <v>0</v>
      </c>
      <c r="I1540" s="3278">
        <v>0</v>
      </c>
    </row>
    <row r="1541" ht="12.75" customHeight="1" spans="2:9">
      <c r="B1541" s="3274">
        <v>475</v>
      </c>
      <c r="D1541" s="3297" t="s">
        <v>5382</v>
      </c>
      <c r="E1541" s="3298" t="s">
        <v>5383</v>
      </c>
      <c r="F1541" s="3298" t="s">
        <v>3056</v>
      </c>
      <c r="G1541" s="3278">
        <v>1566.4</v>
      </c>
      <c r="H1541" s="3299">
        <v>0</v>
      </c>
      <c r="I1541" s="3278">
        <v>0</v>
      </c>
    </row>
    <row r="1542" ht="12.75" customHeight="1" spans="2:9">
      <c r="B1542" s="3274">
        <v>476</v>
      </c>
      <c r="D1542" s="3297" t="s">
        <v>5384</v>
      </c>
      <c r="E1542" s="3298" t="s">
        <v>5385</v>
      </c>
      <c r="F1542" s="3298" t="s">
        <v>2637</v>
      </c>
      <c r="G1542" s="3278">
        <v>25400.1</v>
      </c>
      <c r="H1542" s="3299">
        <v>0</v>
      </c>
      <c r="I1542" s="3278">
        <v>0</v>
      </c>
    </row>
    <row r="1543" ht="12.75" customHeight="1" spans="2:9">
      <c r="B1543" s="3274">
        <v>477</v>
      </c>
      <c r="D1543" s="3297" t="s">
        <v>5386</v>
      </c>
      <c r="E1543" s="3298" t="s">
        <v>5387</v>
      </c>
      <c r="F1543" s="3298" t="s">
        <v>3423</v>
      </c>
      <c r="G1543" s="3278">
        <v>121000</v>
      </c>
      <c r="H1543" s="3299">
        <v>0</v>
      </c>
      <c r="I1543" s="3278">
        <v>0</v>
      </c>
    </row>
    <row r="1544" ht="12.75" customHeight="1" spans="2:9">
      <c r="B1544" s="3274">
        <v>478</v>
      </c>
      <c r="D1544" s="3297" t="s">
        <v>5388</v>
      </c>
      <c r="E1544" s="3298" t="s">
        <v>5389</v>
      </c>
      <c r="F1544" s="3298" t="s">
        <v>2367</v>
      </c>
      <c r="G1544" s="3278">
        <v>1004.355</v>
      </c>
      <c r="H1544" s="3299">
        <v>0</v>
      </c>
      <c r="I1544" s="3278">
        <v>0</v>
      </c>
    </row>
    <row r="1545" ht="12.75" customHeight="1" spans="2:9">
      <c r="B1545" s="3274">
        <v>479</v>
      </c>
      <c r="D1545" s="3297" t="s">
        <v>5390</v>
      </c>
      <c r="E1545" s="3298" t="s">
        <v>5391</v>
      </c>
      <c r="F1545" s="3298" t="s">
        <v>2367</v>
      </c>
      <c r="G1545" s="3278">
        <v>891</v>
      </c>
      <c r="H1545" s="3299">
        <v>0</v>
      </c>
      <c r="I1545" s="3278">
        <v>0</v>
      </c>
    </row>
    <row r="1546" ht="12.75" customHeight="1" spans="2:9">
      <c r="B1546" s="3274">
        <v>480</v>
      </c>
      <c r="D1546" s="3297" t="s">
        <v>5392</v>
      </c>
      <c r="E1546" s="3298" t="s">
        <v>5393</v>
      </c>
      <c r="F1546" s="3298" t="s">
        <v>5070</v>
      </c>
      <c r="G1546" s="3278">
        <v>7678</v>
      </c>
      <c r="H1546" s="3299">
        <v>0</v>
      </c>
      <c r="I1546" s="3278">
        <v>0</v>
      </c>
    </row>
    <row r="1547" ht="12.75" customHeight="1" spans="2:9">
      <c r="B1547" s="3274">
        <v>481</v>
      </c>
      <c r="D1547" s="3297" t="s">
        <v>5394</v>
      </c>
      <c r="E1547" s="3298" t="s">
        <v>5395</v>
      </c>
      <c r="F1547" s="3298" t="s">
        <v>2321</v>
      </c>
      <c r="G1547" s="3278">
        <v>9680</v>
      </c>
      <c r="H1547" s="3299">
        <v>0</v>
      </c>
      <c r="I1547" s="3278">
        <v>0</v>
      </c>
    </row>
    <row r="1548" ht="12.75" customHeight="1" spans="2:9">
      <c r="B1548" s="3274">
        <v>482</v>
      </c>
      <c r="D1548" s="3297" t="s">
        <v>5396</v>
      </c>
      <c r="E1548" s="3298" t="s">
        <v>5397</v>
      </c>
      <c r="F1548" s="3298" t="s">
        <v>2367</v>
      </c>
      <c r="G1548" s="3278">
        <v>8294</v>
      </c>
      <c r="H1548" s="3299">
        <v>0</v>
      </c>
      <c r="I1548" s="3278">
        <v>0</v>
      </c>
    </row>
    <row r="1549" ht="12.75" customHeight="1" spans="2:9">
      <c r="B1549" s="3274">
        <v>483</v>
      </c>
      <c r="D1549" s="3297" t="s">
        <v>5398</v>
      </c>
      <c r="E1549" s="3298" t="s">
        <v>5399</v>
      </c>
      <c r="F1549" s="3298" t="s">
        <v>2321</v>
      </c>
      <c r="G1549" s="3278">
        <v>104610</v>
      </c>
      <c r="H1549" s="3299">
        <v>0</v>
      </c>
      <c r="I1549" s="3278">
        <v>0</v>
      </c>
    </row>
    <row r="1550" ht="12.75" customHeight="1" spans="2:9">
      <c r="B1550" s="3274">
        <v>484</v>
      </c>
      <c r="D1550" s="3297" t="s">
        <v>5400</v>
      </c>
      <c r="E1550" s="3298" t="s">
        <v>5401</v>
      </c>
      <c r="F1550" s="3298" t="s">
        <v>2367</v>
      </c>
      <c r="G1550" s="3278">
        <v>3300</v>
      </c>
      <c r="H1550" s="3299">
        <v>0</v>
      </c>
      <c r="I1550" s="3278">
        <v>0</v>
      </c>
    </row>
    <row r="1551" ht="12.75" customHeight="1" spans="2:9">
      <c r="B1551" s="3274">
        <v>485</v>
      </c>
      <c r="D1551" s="3297" t="s">
        <v>5402</v>
      </c>
      <c r="E1551" s="3298" t="s">
        <v>5403</v>
      </c>
      <c r="F1551" s="3298" t="s">
        <v>2367</v>
      </c>
      <c r="G1551" s="3278">
        <v>1100</v>
      </c>
      <c r="H1551" s="3299">
        <v>2300</v>
      </c>
      <c r="I1551" s="3278">
        <v>2530000</v>
      </c>
    </row>
    <row r="1552" ht="12.75" customHeight="1" spans="2:9">
      <c r="B1552" s="3274">
        <v>486</v>
      </c>
      <c r="D1552" s="3297" t="s">
        <v>5404</v>
      </c>
      <c r="E1552" s="3298" t="s">
        <v>5405</v>
      </c>
      <c r="F1552" s="3298" t="s">
        <v>2367</v>
      </c>
      <c r="G1552" s="3278">
        <v>990</v>
      </c>
      <c r="H1552" s="3299">
        <v>0</v>
      </c>
      <c r="I1552" s="3278">
        <v>0</v>
      </c>
    </row>
    <row r="1553" ht="12.75" customHeight="1" spans="2:9">
      <c r="B1553" s="3274">
        <v>487</v>
      </c>
      <c r="D1553" s="3297" t="s">
        <v>5406</v>
      </c>
      <c r="E1553" s="3298" t="s">
        <v>5407</v>
      </c>
      <c r="F1553" s="3298" t="s">
        <v>4351</v>
      </c>
      <c r="G1553" s="3278">
        <v>3762</v>
      </c>
      <c r="H1553" s="3299">
        <v>0</v>
      </c>
      <c r="I1553" s="3278">
        <v>0</v>
      </c>
    </row>
    <row r="1554" ht="12.75" customHeight="1" spans="2:9">
      <c r="B1554" s="3274">
        <v>488</v>
      </c>
      <c r="D1554" s="3297" t="s">
        <v>5408</v>
      </c>
      <c r="E1554" s="3298" t="s">
        <v>5409</v>
      </c>
      <c r="F1554" s="3298" t="s">
        <v>2367</v>
      </c>
      <c r="G1554" s="3278">
        <v>825</v>
      </c>
      <c r="H1554" s="3299">
        <v>0</v>
      </c>
      <c r="I1554" s="3278">
        <v>0</v>
      </c>
    </row>
    <row r="1555" ht="12.75" customHeight="1" spans="2:9">
      <c r="B1555" s="3274">
        <v>489</v>
      </c>
      <c r="D1555" s="3297" t="s">
        <v>5410</v>
      </c>
      <c r="E1555" s="3298" t="s">
        <v>5411</v>
      </c>
      <c r="F1555" s="3298" t="s">
        <v>2367</v>
      </c>
      <c r="G1555" s="3278">
        <v>712.8</v>
      </c>
      <c r="H1555" s="3299">
        <v>0</v>
      </c>
      <c r="I1555" s="3278">
        <v>0</v>
      </c>
    </row>
    <row r="1556" ht="12.75" customHeight="1" spans="2:9">
      <c r="B1556" s="3274">
        <v>490</v>
      </c>
      <c r="D1556" s="3297" t="s">
        <v>5412</v>
      </c>
      <c r="E1556" s="3298" t="s">
        <v>5413</v>
      </c>
      <c r="F1556" s="3298" t="s">
        <v>3056</v>
      </c>
      <c r="G1556" s="3278">
        <v>1100</v>
      </c>
      <c r="H1556" s="3299">
        <v>0</v>
      </c>
      <c r="I1556" s="3278">
        <v>0</v>
      </c>
    </row>
    <row r="1557" ht="12.75" customHeight="1" spans="2:9">
      <c r="B1557" s="3274">
        <v>491</v>
      </c>
      <c r="D1557" s="3297" t="s">
        <v>5414</v>
      </c>
      <c r="E1557" s="3298" t="s">
        <v>5415</v>
      </c>
      <c r="F1557" s="3298" t="s">
        <v>2367</v>
      </c>
      <c r="G1557" s="3278">
        <v>1045</v>
      </c>
      <c r="H1557" s="3299">
        <v>0</v>
      </c>
      <c r="I1557" s="3278">
        <v>0</v>
      </c>
    </row>
    <row r="1558" ht="12.75" customHeight="1" spans="2:9">
      <c r="B1558" s="3274">
        <v>492</v>
      </c>
      <c r="D1558" s="3297" t="s">
        <v>5416</v>
      </c>
      <c r="E1558" s="3298" t="s">
        <v>5417</v>
      </c>
      <c r="F1558" s="3298" t="s">
        <v>2367</v>
      </c>
      <c r="G1558" s="3278">
        <v>5390</v>
      </c>
      <c r="H1558" s="3299">
        <v>0</v>
      </c>
      <c r="I1558" s="3278">
        <v>0</v>
      </c>
    </row>
    <row r="1559" ht="12.75" customHeight="1" spans="2:9">
      <c r="B1559" s="3274">
        <v>493</v>
      </c>
      <c r="D1559" s="3297" t="s">
        <v>5418</v>
      </c>
      <c r="E1559" s="3298" t="s">
        <v>5419</v>
      </c>
      <c r="F1559" s="3298" t="s">
        <v>3042</v>
      </c>
      <c r="G1559" s="3278">
        <v>90530</v>
      </c>
      <c r="H1559" s="3299">
        <v>0</v>
      </c>
      <c r="I1559" s="3278">
        <v>0</v>
      </c>
    </row>
    <row r="1560" ht="12.75" customHeight="1" spans="2:9">
      <c r="B1560" s="3274">
        <v>494</v>
      </c>
      <c r="D1560" s="3297" t="s">
        <v>5420</v>
      </c>
      <c r="E1560" s="3298" t="s">
        <v>5421</v>
      </c>
      <c r="F1560" s="3298" t="s">
        <v>3423</v>
      </c>
      <c r="G1560" s="3278">
        <v>264687.5</v>
      </c>
      <c r="H1560" s="3299">
        <v>0</v>
      </c>
      <c r="I1560" s="3278">
        <v>0</v>
      </c>
    </row>
    <row r="1561" ht="12.75" customHeight="1" spans="2:9">
      <c r="B1561" s="3274">
        <v>495</v>
      </c>
      <c r="D1561" s="3297" t="s">
        <v>5422</v>
      </c>
      <c r="E1561" s="3298" t="s">
        <v>5423</v>
      </c>
      <c r="F1561" s="3298" t="s">
        <v>2367</v>
      </c>
      <c r="G1561" s="3278">
        <v>5252.005</v>
      </c>
      <c r="H1561" s="3299">
        <v>0</v>
      </c>
      <c r="I1561" s="3278">
        <v>0</v>
      </c>
    </row>
    <row r="1562" ht="12.75" customHeight="1" spans="2:9">
      <c r="B1562" s="3274">
        <v>496</v>
      </c>
      <c r="D1562" s="3297" t="s">
        <v>5424</v>
      </c>
      <c r="E1562" s="3298" t="s">
        <v>5425</v>
      </c>
      <c r="F1562" s="3298" t="s">
        <v>2321</v>
      </c>
      <c r="G1562" s="3278">
        <v>109800.02</v>
      </c>
      <c r="H1562" s="3299">
        <v>0</v>
      </c>
      <c r="I1562" s="3278">
        <v>0</v>
      </c>
    </row>
    <row r="1563" ht="12.75" customHeight="1" spans="2:9">
      <c r="B1563" s="3274">
        <v>497</v>
      </c>
      <c r="D1563" s="3297" t="s">
        <v>5426</v>
      </c>
      <c r="E1563" s="3298" t="s">
        <v>5427</v>
      </c>
      <c r="F1563" s="3298" t="s">
        <v>2637</v>
      </c>
      <c r="G1563" s="3278">
        <v>74624</v>
      </c>
      <c r="H1563" s="3299">
        <v>0</v>
      </c>
      <c r="I1563" s="3278">
        <v>0</v>
      </c>
    </row>
    <row r="1564" ht="12.75" customHeight="1" spans="2:9">
      <c r="B1564" s="3274">
        <v>498</v>
      </c>
      <c r="D1564" s="3297" t="s">
        <v>5428</v>
      </c>
      <c r="E1564" s="3298" t="s">
        <v>5429</v>
      </c>
      <c r="F1564" s="3298" t="s">
        <v>2321</v>
      </c>
      <c r="G1564" s="3278">
        <v>50248</v>
      </c>
      <c r="H1564" s="3299">
        <v>456</v>
      </c>
      <c r="I1564" s="3278">
        <v>22913088</v>
      </c>
    </row>
    <row r="1565" ht="12.75" customHeight="1" spans="2:9">
      <c r="B1565" s="3274">
        <v>499</v>
      </c>
      <c r="D1565" s="3297" t="s">
        <v>5430</v>
      </c>
      <c r="E1565" s="3298" t="s">
        <v>5431</v>
      </c>
      <c r="F1565" s="3298" t="s">
        <v>2367</v>
      </c>
      <c r="G1565" s="3278">
        <v>5390</v>
      </c>
      <c r="H1565" s="3299">
        <v>0</v>
      </c>
      <c r="I1565" s="3278">
        <v>0</v>
      </c>
    </row>
    <row r="1566" ht="12.75" customHeight="1" spans="2:9">
      <c r="B1566" s="3274">
        <v>500</v>
      </c>
      <c r="D1566" s="3297" t="s">
        <v>5432</v>
      </c>
      <c r="E1566" s="3298" t="s">
        <v>5433</v>
      </c>
      <c r="F1566" s="3298" t="s">
        <v>2637</v>
      </c>
      <c r="G1566" s="3278">
        <v>33504.9</v>
      </c>
      <c r="H1566" s="3299">
        <v>0</v>
      </c>
      <c r="I1566" s="3278">
        <v>0</v>
      </c>
    </row>
    <row r="1567" ht="12.75" customHeight="1" spans="2:9">
      <c r="B1567" s="3274">
        <v>501</v>
      </c>
      <c r="D1567" s="3297" t="s">
        <v>5434</v>
      </c>
      <c r="E1567" s="3298" t="s">
        <v>5435</v>
      </c>
      <c r="F1567" s="3298" t="s">
        <v>2367</v>
      </c>
      <c r="G1567" s="3278">
        <v>16995</v>
      </c>
      <c r="H1567" s="3299">
        <v>0</v>
      </c>
      <c r="I1567" s="3278">
        <v>0</v>
      </c>
    </row>
    <row r="1568" ht="12.75" customHeight="1" spans="2:9">
      <c r="B1568" s="3274">
        <v>502</v>
      </c>
      <c r="D1568" s="3297" t="s">
        <v>5436</v>
      </c>
      <c r="E1568" s="3298" t="s">
        <v>5437</v>
      </c>
      <c r="F1568" s="3298" t="s">
        <v>2367</v>
      </c>
      <c r="G1568" s="3278">
        <v>10450</v>
      </c>
      <c r="H1568" s="3299">
        <v>0</v>
      </c>
      <c r="I1568" s="3278">
        <v>0</v>
      </c>
    </row>
    <row r="1569" ht="12.75" customHeight="1" spans="2:9">
      <c r="B1569" s="3274">
        <v>503</v>
      </c>
      <c r="D1569" s="3297" t="s">
        <v>5438</v>
      </c>
      <c r="E1569" s="3298" t="s">
        <v>5439</v>
      </c>
      <c r="F1569" s="3298" t="s">
        <v>2321</v>
      </c>
      <c r="G1569" s="3278">
        <v>295694.3</v>
      </c>
      <c r="H1569" s="3299">
        <v>0</v>
      </c>
      <c r="I1569" s="3278">
        <v>0</v>
      </c>
    </row>
    <row r="1570" ht="12.75" customHeight="1" spans="2:9">
      <c r="B1570" s="3274">
        <v>504</v>
      </c>
      <c r="D1570" s="3297" t="s">
        <v>5440</v>
      </c>
      <c r="E1570" s="3298" t="s">
        <v>5441</v>
      </c>
      <c r="F1570" s="3298" t="s">
        <v>2637</v>
      </c>
      <c r="G1570" s="3278">
        <v>3489.2</v>
      </c>
      <c r="H1570" s="3299">
        <v>0</v>
      </c>
      <c r="I1570" s="3278">
        <v>0</v>
      </c>
    </row>
    <row r="1571" ht="12.75" customHeight="1" spans="2:9">
      <c r="B1571" s="3274">
        <v>505</v>
      </c>
      <c r="D1571" s="3297" t="s">
        <v>5442</v>
      </c>
      <c r="E1571" s="3298" t="s">
        <v>5443</v>
      </c>
      <c r="F1571" s="3298" t="s">
        <v>2367</v>
      </c>
      <c r="G1571" s="3278">
        <v>3300</v>
      </c>
      <c r="H1571" s="3299">
        <v>0</v>
      </c>
      <c r="I1571" s="3278">
        <v>0</v>
      </c>
    </row>
    <row r="1572" ht="12.75" customHeight="1" spans="2:9">
      <c r="B1572" s="3274">
        <v>506</v>
      </c>
      <c r="D1572" s="3297" t="s">
        <v>5444</v>
      </c>
      <c r="E1572" s="3298" t="s">
        <v>5445</v>
      </c>
      <c r="F1572" s="3298" t="s">
        <v>2367</v>
      </c>
      <c r="G1572" s="3278">
        <v>4400</v>
      </c>
      <c r="H1572" s="3299">
        <v>600</v>
      </c>
      <c r="I1572" s="3278">
        <v>2640000</v>
      </c>
    </row>
    <row r="1573" ht="12.75" customHeight="1" spans="2:9">
      <c r="B1573" s="3274">
        <v>507</v>
      </c>
      <c r="D1573" s="3297" t="s">
        <v>5446</v>
      </c>
      <c r="E1573" s="3298" t="s">
        <v>5447</v>
      </c>
      <c r="F1573" s="3298" t="s">
        <v>3056</v>
      </c>
      <c r="G1573" s="3278">
        <v>23.364</v>
      </c>
      <c r="H1573" s="3299">
        <v>0</v>
      </c>
      <c r="I1573" s="3278">
        <v>0</v>
      </c>
    </row>
    <row r="1574" ht="12.75" customHeight="1" spans="2:9">
      <c r="B1574" s="3274">
        <v>508</v>
      </c>
      <c r="D1574" s="3297" t="s">
        <v>5448</v>
      </c>
      <c r="E1574" s="3298" t="s">
        <v>5449</v>
      </c>
      <c r="F1574" s="3298" t="s">
        <v>3056</v>
      </c>
      <c r="G1574" s="3278">
        <v>1215.5</v>
      </c>
      <c r="H1574" s="3299">
        <v>2600</v>
      </c>
      <c r="I1574" s="3278">
        <v>3160300</v>
      </c>
    </row>
    <row r="1575" ht="12.75" customHeight="1" spans="2:9">
      <c r="B1575" s="3274">
        <v>509</v>
      </c>
      <c r="D1575" s="3297" t="s">
        <v>5450</v>
      </c>
      <c r="E1575" s="3298" t="s">
        <v>5451</v>
      </c>
      <c r="F1575" s="3298" t="s">
        <v>2367</v>
      </c>
      <c r="G1575" s="3278">
        <v>1696.2</v>
      </c>
      <c r="H1575" s="3299">
        <v>0</v>
      </c>
      <c r="I1575" s="3278">
        <v>0</v>
      </c>
    </row>
    <row r="1576" ht="12.75" customHeight="1" spans="2:9">
      <c r="B1576" s="3274">
        <v>510</v>
      </c>
      <c r="D1576" s="3297" t="s">
        <v>5452</v>
      </c>
      <c r="E1576" s="3298" t="s">
        <v>5453</v>
      </c>
      <c r="F1576" s="3298" t="s">
        <v>2367</v>
      </c>
      <c r="G1576" s="3278">
        <v>1120.35</v>
      </c>
      <c r="H1576" s="3299">
        <v>0</v>
      </c>
      <c r="I1576" s="3278">
        <v>0</v>
      </c>
    </row>
    <row r="1577" ht="12.75" customHeight="1" spans="2:9">
      <c r="B1577" s="3274">
        <v>511</v>
      </c>
      <c r="D1577" s="3297" t="s">
        <v>5454</v>
      </c>
      <c r="E1577" s="3298" t="s">
        <v>5455</v>
      </c>
      <c r="F1577" s="3298" t="s">
        <v>2367</v>
      </c>
      <c r="G1577" s="3278">
        <v>1472.625</v>
      </c>
      <c r="H1577" s="3299">
        <v>0</v>
      </c>
      <c r="I1577" s="3278">
        <v>0</v>
      </c>
    </row>
    <row r="1578" ht="12.75" customHeight="1" spans="2:9">
      <c r="B1578" s="3274">
        <v>512</v>
      </c>
      <c r="D1578" s="3297" t="s">
        <v>5456</v>
      </c>
      <c r="E1578" s="3298" t="s">
        <v>5457</v>
      </c>
      <c r="F1578" s="3298" t="s">
        <v>2367</v>
      </c>
      <c r="G1578" s="3278">
        <v>1885.587</v>
      </c>
      <c r="H1578" s="3299">
        <v>0</v>
      </c>
      <c r="I1578" s="3278">
        <v>0</v>
      </c>
    </row>
    <row r="1579" ht="12.75" customHeight="1" spans="2:9">
      <c r="B1579" s="3274">
        <v>513</v>
      </c>
      <c r="D1579" s="3297" t="s">
        <v>5458</v>
      </c>
      <c r="E1579" s="3298" t="s">
        <v>5459</v>
      </c>
      <c r="F1579" s="3298" t="s">
        <v>3056</v>
      </c>
      <c r="G1579" s="3278">
        <v>3501.1461</v>
      </c>
      <c r="H1579" s="3299">
        <v>0</v>
      </c>
      <c r="I1579" s="3278">
        <v>0</v>
      </c>
    </row>
    <row r="1580" ht="12.75" customHeight="1" spans="2:9">
      <c r="B1580" s="3274">
        <v>514</v>
      </c>
      <c r="D1580" s="3297" t="s">
        <v>5460</v>
      </c>
      <c r="E1580" s="3298" t="s">
        <v>5461</v>
      </c>
      <c r="F1580" s="3298" t="s">
        <v>2367</v>
      </c>
      <c r="G1580" s="3278">
        <v>4251.3241</v>
      </c>
      <c r="H1580" s="3299">
        <v>0</v>
      </c>
      <c r="I1580" s="3278">
        <v>0</v>
      </c>
    </row>
    <row r="1581" ht="12.75" customHeight="1" spans="2:9">
      <c r="B1581" s="3274">
        <v>515</v>
      </c>
      <c r="D1581" s="3297" t="s">
        <v>5462</v>
      </c>
      <c r="E1581" s="3298" t="s">
        <v>5463</v>
      </c>
      <c r="F1581" s="3298" t="s">
        <v>3056</v>
      </c>
      <c r="G1581" s="3278">
        <v>1020.536</v>
      </c>
      <c r="H1581" s="3299">
        <v>3300</v>
      </c>
      <c r="I1581" s="3278">
        <v>3367768.8</v>
      </c>
    </row>
    <row r="1582" ht="12.75" customHeight="1" spans="2:9">
      <c r="B1582" s="3274">
        <v>516</v>
      </c>
      <c r="D1582" s="3297" t="s">
        <v>5464</v>
      </c>
      <c r="E1582" s="3298" t="s">
        <v>5465</v>
      </c>
      <c r="F1582" s="3298" t="s">
        <v>2637</v>
      </c>
      <c r="G1582" s="3278">
        <v>15950</v>
      </c>
      <c r="H1582" s="3299">
        <v>0</v>
      </c>
      <c r="I1582" s="3278">
        <v>0</v>
      </c>
    </row>
    <row r="1583" ht="12.75" customHeight="1" spans="2:9">
      <c r="B1583" s="3274">
        <v>517</v>
      </c>
      <c r="D1583" s="3297" t="s">
        <v>5466</v>
      </c>
      <c r="E1583" s="3298" t="s">
        <v>5467</v>
      </c>
      <c r="F1583" s="3298" t="s">
        <v>3042</v>
      </c>
      <c r="G1583" s="3278">
        <v>115500</v>
      </c>
      <c r="H1583" s="3299">
        <v>0</v>
      </c>
      <c r="I1583" s="3278">
        <v>0</v>
      </c>
    </row>
    <row r="1584" ht="12.75" customHeight="1" spans="2:9">
      <c r="B1584" s="3274">
        <v>518</v>
      </c>
      <c r="D1584" s="3297" t="s">
        <v>5468</v>
      </c>
      <c r="E1584" s="3298" t="s">
        <v>5469</v>
      </c>
      <c r="F1584" s="3298" t="s">
        <v>4351</v>
      </c>
      <c r="G1584" s="3278">
        <v>66550</v>
      </c>
      <c r="H1584" s="3299">
        <v>0</v>
      </c>
      <c r="I1584" s="3278">
        <v>0</v>
      </c>
    </row>
    <row r="1585" ht="12.75" customHeight="1" spans="2:9">
      <c r="B1585" s="3274">
        <v>519</v>
      </c>
      <c r="D1585" s="3297" t="s">
        <v>5470</v>
      </c>
      <c r="E1585" s="3298" t="s">
        <v>5471</v>
      </c>
      <c r="F1585" s="3298" t="s">
        <v>2367</v>
      </c>
      <c r="G1585" s="3278">
        <v>2420</v>
      </c>
      <c r="H1585" s="3299">
        <v>0</v>
      </c>
      <c r="I1585" s="3278">
        <v>0</v>
      </c>
    </row>
    <row r="1586" ht="12.75" customHeight="1" spans="2:9">
      <c r="B1586" s="3274">
        <v>520</v>
      </c>
      <c r="D1586" s="3297" t="s">
        <v>5472</v>
      </c>
      <c r="E1586" s="3298" t="s">
        <v>5473</v>
      </c>
      <c r="F1586" s="3298" t="s">
        <v>2321</v>
      </c>
      <c r="G1586" s="3278">
        <v>187000</v>
      </c>
      <c r="H1586" s="3299">
        <v>0</v>
      </c>
      <c r="I1586" s="3278">
        <v>0</v>
      </c>
    </row>
    <row r="1587" ht="12.75" customHeight="1" spans="2:9">
      <c r="B1587" s="3274">
        <v>521</v>
      </c>
      <c r="D1587" s="3297" t="s">
        <v>5474</v>
      </c>
      <c r="E1587" s="3298" t="s">
        <v>5475</v>
      </c>
      <c r="F1587" s="3298" t="s">
        <v>3056</v>
      </c>
      <c r="G1587" s="3278">
        <v>7299.9851</v>
      </c>
      <c r="H1587" s="3299">
        <v>0</v>
      </c>
      <c r="I1587" s="3278">
        <v>0</v>
      </c>
    </row>
    <row r="1588" ht="12.75" customHeight="1" spans="2:9">
      <c r="B1588" s="3274">
        <v>522</v>
      </c>
      <c r="D1588" s="3297" t="s">
        <v>5476</v>
      </c>
      <c r="E1588" s="3298" t="s">
        <v>5477</v>
      </c>
      <c r="F1588" s="3298" t="s">
        <v>2367</v>
      </c>
      <c r="G1588" s="3278">
        <v>2032.217</v>
      </c>
      <c r="H1588" s="3299">
        <v>100</v>
      </c>
      <c r="I1588" s="3278">
        <v>203221.7</v>
      </c>
    </row>
    <row r="1589" ht="12.75" customHeight="1" spans="2:9">
      <c r="B1589" s="3274">
        <v>523</v>
      </c>
      <c r="D1589" s="3297" t="s">
        <v>5478</v>
      </c>
      <c r="E1589" s="3298" t="s">
        <v>5479</v>
      </c>
      <c r="F1589" s="3298" t="s">
        <v>2321</v>
      </c>
      <c r="G1589" s="3278">
        <v>184800</v>
      </c>
      <c r="H1589" s="3299">
        <v>0</v>
      </c>
      <c r="I1589" s="3278">
        <v>0</v>
      </c>
    </row>
    <row r="1590" ht="12.75" customHeight="1" spans="2:9">
      <c r="B1590" s="3274">
        <v>524</v>
      </c>
      <c r="D1590" s="3297" t="s">
        <v>5480</v>
      </c>
      <c r="E1590" s="3298" t="s">
        <v>5481</v>
      </c>
      <c r="F1590" s="3298" t="s">
        <v>2367</v>
      </c>
      <c r="G1590" s="3278">
        <v>8324.0385</v>
      </c>
      <c r="H1590" s="3299">
        <v>0</v>
      </c>
      <c r="I1590" s="3278">
        <v>0</v>
      </c>
    </row>
    <row r="1591" ht="12.75" customHeight="1" spans="2:9">
      <c r="B1591" s="3274">
        <v>525</v>
      </c>
      <c r="D1591" s="3297" t="s">
        <v>5482</v>
      </c>
      <c r="E1591" s="3298" t="s">
        <v>5483</v>
      </c>
      <c r="F1591" s="3298" t="s">
        <v>2367</v>
      </c>
      <c r="G1591" s="3278">
        <v>6600</v>
      </c>
      <c r="H1591" s="3299">
        <v>0</v>
      </c>
      <c r="I1591" s="3278">
        <v>0</v>
      </c>
    </row>
    <row r="1592" ht="12.75" customHeight="1" spans="2:9">
      <c r="B1592" s="3274">
        <v>526</v>
      </c>
      <c r="D1592" s="3297" t="s">
        <v>5484</v>
      </c>
      <c r="E1592" s="3298" t="s">
        <v>5485</v>
      </c>
      <c r="F1592" s="3298" t="s">
        <v>5070</v>
      </c>
      <c r="G1592" s="3278">
        <v>57156</v>
      </c>
      <c r="H1592" s="3299">
        <v>0</v>
      </c>
      <c r="I1592" s="3278">
        <v>0</v>
      </c>
    </row>
    <row r="1593" ht="12.75" customHeight="1" spans="2:9">
      <c r="B1593" s="3274">
        <v>527</v>
      </c>
      <c r="D1593" s="3297" t="s">
        <v>5486</v>
      </c>
      <c r="E1593" s="3298" t="s">
        <v>5487</v>
      </c>
      <c r="F1593" s="3298" t="s">
        <v>2367</v>
      </c>
      <c r="G1593" s="3278">
        <v>143688</v>
      </c>
      <c r="H1593" s="3299">
        <v>0</v>
      </c>
      <c r="I1593" s="3278">
        <v>0</v>
      </c>
    </row>
    <row r="1594" ht="12.75" customHeight="1" spans="2:9">
      <c r="B1594" s="3274">
        <v>528</v>
      </c>
      <c r="D1594" s="3297" t="s">
        <v>5488</v>
      </c>
      <c r="E1594" s="3298" t="s">
        <v>5489</v>
      </c>
      <c r="F1594" s="3298" t="s">
        <v>2367</v>
      </c>
      <c r="G1594" s="3278">
        <v>330</v>
      </c>
      <c r="H1594" s="3299">
        <v>0</v>
      </c>
      <c r="I1594" s="3278">
        <v>0</v>
      </c>
    </row>
    <row r="1595" ht="12.75" customHeight="1" spans="2:9">
      <c r="B1595" s="3274">
        <v>529</v>
      </c>
      <c r="D1595" s="3297" t="s">
        <v>5490</v>
      </c>
      <c r="E1595" s="3298" t="s">
        <v>5491</v>
      </c>
      <c r="F1595" s="3298" t="s">
        <v>4351</v>
      </c>
      <c r="G1595" s="3278">
        <v>4460.016</v>
      </c>
      <c r="H1595" s="3299">
        <v>700</v>
      </c>
      <c r="I1595" s="3278">
        <v>3122011.2</v>
      </c>
    </row>
    <row r="1596" ht="12.75" customHeight="1" spans="2:9">
      <c r="B1596" s="3274">
        <v>530</v>
      </c>
      <c r="D1596" s="3297" t="s">
        <v>5492</v>
      </c>
      <c r="E1596" s="3298" t="s">
        <v>5493</v>
      </c>
      <c r="F1596" s="3298" t="s">
        <v>2367</v>
      </c>
      <c r="G1596" s="3278">
        <v>13062.5</v>
      </c>
      <c r="H1596" s="3299">
        <v>0</v>
      </c>
      <c r="I1596" s="3278">
        <v>0</v>
      </c>
    </row>
    <row r="1597" ht="12.75" customHeight="1" spans="2:9">
      <c r="B1597" s="3274">
        <v>531</v>
      </c>
      <c r="D1597" s="3297" t="s">
        <v>5494</v>
      </c>
      <c r="E1597" s="3298" t="s">
        <v>5495</v>
      </c>
      <c r="F1597" s="3298" t="s">
        <v>2293</v>
      </c>
      <c r="G1597" s="3278">
        <v>7250.001</v>
      </c>
      <c r="H1597" s="3299">
        <v>0</v>
      </c>
      <c r="I1597" s="3278">
        <v>0</v>
      </c>
    </row>
    <row r="1598" ht="12.75" customHeight="1" spans="2:9">
      <c r="B1598" s="3274">
        <v>532</v>
      </c>
      <c r="D1598" s="3297" t="s">
        <v>5496</v>
      </c>
      <c r="E1598" s="3298" t="s">
        <v>5497</v>
      </c>
      <c r="F1598" s="3298" t="s">
        <v>3056</v>
      </c>
      <c r="G1598" s="3278">
        <v>3080</v>
      </c>
      <c r="H1598" s="3299">
        <v>0</v>
      </c>
      <c r="I1598" s="3278">
        <v>0</v>
      </c>
    </row>
    <row r="1599" ht="12.75" customHeight="1" spans="2:9">
      <c r="B1599" s="3274">
        <v>533</v>
      </c>
      <c r="D1599" s="3297" t="s">
        <v>5498</v>
      </c>
      <c r="E1599" s="3298" t="s">
        <v>5499</v>
      </c>
      <c r="F1599" s="3298" t="s">
        <v>4757</v>
      </c>
      <c r="G1599" s="3278">
        <v>3575</v>
      </c>
      <c r="H1599" s="3299">
        <v>0</v>
      </c>
      <c r="I1599" s="3278">
        <v>0</v>
      </c>
    </row>
    <row r="1600" ht="12.75" customHeight="1" spans="2:9">
      <c r="B1600" s="3274">
        <v>534</v>
      </c>
      <c r="D1600" s="3297" t="s">
        <v>5500</v>
      </c>
      <c r="E1600" s="3298" t="s">
        <v>5501</v>
      </c>
      <c r="F1600" s="3298" t="s">
        <v>2367</v>
      </c>
      <c r="G1600" s="3278">
        <v>15967.16</v>
      </c>
      <c r="H1600" s="3299">
        <v>0</v>
      </c>
      <c r="I1600" s="3278">
        <v>0</v>
      </c>
    </row>
    <row r="1601" ht="12.75" customHeight="1" spans="2:9">
      <c r="B1601" s="3274">
        <v>535</v>
      </c>
      <c r="D1601" s="3297" t="s">
        <v>5502</v>
      </c>
      <c r="E1601" s="3298" t="s">
        <v>5503</v>
      </c>
      <c r="F1601" s="3298" t="s">
        <v>3056</v>
      </c>
      <c r="G1601" s="3278">
        <v>588.5</v>
      </c>
      <c r="H1601" s="3299">
        <v>0</v>
      </c>
      <c r="I1601" s="3278">
        <v>0</v>
      </c>
    </row>
    <row r="1602" ht="12.75" customHeight="1" spans="2:9">
      <c r="B1602" s="3274">
        <v>536</v>
      </c>
      <c r="D1602" s="3297" t="s">
        <v>5504</v>
      </c>
      <c r="E1602" s="3298" t="s">
        <v>5505</v>
      </c>
      <c r="F1602" s="3298" t="s">
        <v>2367</v>
      </c>
      <c r="G1602" s="3278">
        <v>1723.7</v>
      </c>
      <c r="H1602" s="3299">
        <v>0</v>
      </c>
      <c r="I1602" s="3278">
        <v>0</v>
      </c>
    </row>
    <row r="1603" ht="12.75" customHeight="1" spans="2:9">
      <c r="B1603" s="3274">
        <v>537</v>
      </c>
      <c r="D1603" s="3297" t="s">
        <v>5506</v>
      </c>
      <c r="E1603" s="3298" t="s">
        <v>5507</v>
      </c>
      <c r="F1603" s="3298" t="s">
        <v>4351</v>
      </c>
      <c r="G1603" s="3278">
        <v>7718.337</v>
      </c>
      <c r="H1603" s="3299">
        <v>0</v>
      </c>
      <c r="I1603" s="3278">
        <v>0</v>
      </c>
    </row>
    <row r="1604" ht="12.75" customHeight="1" spans="2:9">
      <c r="B1604" s="3274">
        <v>538</v>
      </c>
      <c r="D1604" s="3297" t="s">
        <v>5508</v>
      </c>
      <c r="E1604" s="3298" t="s">
        <v>5509</v>
      </c>
      <c r="F1604" s="3298" t="s">
        <v>2321</v>
      </c>
      <c r="G1604" s="3278">
        <v>1540000</v>
      </c>
      <c r="H1604" s="3299">
        <v>0</v>
      </c>
      <c r="I1604" s="3278">
        <v>0</v>
      </c>
    </row>
    <row r="1605" ht="12.75" customHeight="1" spans="2:9">
      <c r="B1605" s="3274">
        <v>539</v>
      </c>
      <c r="D1605" s="3297" t="s">
        <v>5510</v>
      </c>
      <c r="E1605" s="3298" t="s">
        <v>5511</v>
      </c>
      <c r="F1605" s="3298" t="s">
        <v>2367</v>
      </c>
      <c r="G1605" s="3278">
        <v>6336.165</v>
      </c>
      <c r="H1605" s="3299">
        <v>0</v>
      </c>
      <c r="I1605" s="3278">
        <v>0</v>
      </c>
    </row>
    <row r="1606" ht="12.75" customHeight="1" spans="2:9">
      <c r="B1606" s="3274">
        <v>540</v>
      </c>
      <c r="D1606" s="3297" t="s">
        <v>5512</v>
      </c>
      <c r="E1606" s="3298" t="s">
        <v>5513</v>
      </c>
      <c r="F1606" s="3298" t="s">
        <v>2367</v>
      </c>
      <c r="G1606" s="3278">
        <v>4510</v>
      </c>
      <c r="H1606" s="3299">
        <v>0</v>
      </c>
      <c r="I1606" s="3278">
        <v>0</v>
      </c>
    </row>
    <row r="1607" ht="12.75" customHeight="1" spans="2:9">
      <c r="B1607" s="3274">
        <v>541</v>
      </c>
      <c r="D1607" s="3297" t="s">
        <v>5514</v>
      </c>
      <c r="E1607" s="3298" t="s">
        <v>5515</v>
      </c>
      <c r="F1607" s="3298" t="s">
        <v>3056</v>
      </c>
      <c r="G1607" s="3278">
        <v>4656.6631</v>
      </c>
      <c r="H1607" s="3299">
        <v>0</v>
      </c>
      <c r="I1607" s="3278">
        <v>0</v>
      </c>
    </row>
    <row r="1608" ht="12.75" customHeight="1" spans="2:9">
      <c r="B1608" s="3274">
        <v>542</v>
      </c>
      <c r="D1608" s="3297" t="s">
        <v>5516</v>
      </c>
      <c r="E1608" s="3298" t="s">
        <v>5517</v>
      </c>
      <c r="F1608" s="3298" t="s">
        <v>2810</v>
      </c>
      <c r="G1608" s="3278">
        <v>5599.99</v>
      </c>
      <c r="H1608" s="3299">
        <v>0</v>
      </c>
      <c r="I1608" s="3278">
        <v>0</v>
      </c>
    </row>
    <row r="1609" ht="12.75" customHeight="1" spans="2:9">
      <c r="B1609" s="3274">
        <v>543</v>
      </c>
      <c r="D1609" s="3297" t="s">
        <v>5518</v>
      </c>
      <c r="E1609" s="3298" t="s">
        <v>5519</v>
      </c>
      <c r="F1609" s="3298" t="s">
        <v>2293</v>
      </c>
      <c r="G1609" s="3278">
        <v>59299.9</v>
      </c>
      <c r="H1609" s="3299">
        <v>0</v>
      </c>
      <c r="I1609" s="3278">
        <v>0</v>
      </c>
    </row>
    <row r="1610" ht="12.75" customHeight="1" spans="2:9">
      <c r="B1610" s="3274">
        <v>544</v>
      </c>
      <c r="D1610" s="3297" t="s">
        <v>5520</v>
      </c>
      <c r="E1610" s="3298" t="s">
        <v>5521</v>
      </c>
      <c r="F1610" s="3298" t="s">
        <v>2367</v>
      </c>
      <c r="G1610" s="3278">
        <v>6050</v>
      </c>
      <c r="H1610" s="3299">
        <v>0</v>
      </c>
      <c r="I1610" s="3278">
        <v>0</v>
      </c>
    </row>
    <row r="1611" ht="12.75" customHeight="1" spans="2:9">
      <c r="B1611" s="3274">
        <v>545</v>
      </c>
      <c r="D1611" s="3297" t="s">
        <v>5522</v>
      </c>
      <c r="E1611" s="3298" t="s">
        <v>5523</v>
      </c>
      <c r="F1611" s="3298" t="s">
        <v>2637</v>
      </c>
      <c r="G1611" s="3278">
        <v>71500</v>
      </c>
      <c r="H1611" s="3299">
        <v>0</v>
      </c>
      <c r="I1611" s="3278">
        <v>0</v>
      </c>
    </row>
    <row r="1612" ht="12.75" customHeight="1" spans="2:9">
      <c r="B1612" s="3274">
        <v>546</v>
      </c>
      <c r="D1612" s="3297" t="s">
        <v>5524</v>
      </c>
      <c r="E1612" s="3298" t="s">
        <v>5525</v>
      </c>
      <c r="F1612" s="3298" t="s">
        <v>2637</v>
      </c>
      <c r="G1612" s="3278">
        <v>107525</v>
      </c>
      <c r="H1612" s="3299">
        <v>0</v>
      </c>
      <c r="I1612" s="3278">
        <v>0</v>
      </c>
    </row>
    <row r="1613" ht="12.75" customHeight="1" spans="2:9">
      <c r="B1613" s="3274">
        <v>547</v>
      </c>
      <c r="D1613" s="3297" t="s">
        <v>5526</v>
      </c>
      <c r="E1613" s="3298" t="s">
        <v>5527</v>
      </c>
      <c r="F1613" s="3298" t="s">
        <v>2321</v>
      </c>
      <c r="G1613" s="3278">
        <v>62150</v>
      </c>
      <c r="H1613" s="3299">
        <v>0</v>
      </c>
      <c r="I1613" s="3278">
        <v>0</v>
      </c>
    </row>
    <row r="1614" ht="12.75" customHeight="1" spans="2:9">
      <c r="B1614" s="3274">
        <v>548</v>
      </c>
      <c r="D1614" s="3297" t="s">
        <v>5528</v>
      </c>
      <c r="E1614" s="3298" t="s">
        <v>5529</v>
      </c>
      <c r="F1614" s="3298" t="s">
        <v>2367</v>
      </c>
      <c r="G1614" s="3278">
        <v>8355.6</v>
      </c>
      <c r="H1614" s="3299">
        <v>0</v>
      </c>
      <c r="I1614" s="3278">
        <v>0</v>
      </c>
    </row>
    <row r="1615" ht="12.75" customHeight="1" spans="2:9">
      <c r="B1615" s="3274">
        <v>549</v>
      </c>
      <c r="D1615" s="3297" t="s">
        <v>5530</v>
      </c>
      <c r="E1615" s="3298" t="s">
        <v>5531</v>
      </c>
      <c r="F1615" s="3298" t="s">
        <v>2321</v>
      </c>
      <c r="G1615" s="3278">
        <v>48400</v>
      </c>
      <c r="H1615" s="3299">
        <v>0</v>
      </c>
      <c r="I1615" s="3278">
        <v>0</v>
      </c>
    </row>
    <row r="1616" ht="12.75" customHeight="1" spans="2:9">
      <c r="B1616" s="3274">
        <v>550</v>
      </c>
      <c r="D1616" s="3297" t="s">
        <v>5532</v>
      </c>
      <c r="E1616" s="3298" t="s">
        <v>5533</v>
      </c>
      <c r="F1616" s="3298" t="s">
        <v>2321</v>
      </c>
      <c r="G1616" s="3278">
        <v>32947.2</v>
      </c>
      <c r="H1616" s="3299">
        <v>0</v>
      </c>
      <c r="I1616" s="3278">
        <v>0</v>
      </c>
    </row>
    <row r="1617" ht="12.75" customHeight="1" spans="2:9">
      <c r="B1617" s="3274">
        <v>551</v>
      </c>
      <c r="D1617" s="3297" t="s">
        <v>5534</v>
      </c>
      <c r="E1617" s="3298" t="s">
        <v>5535</v>
      </c>
      <c r="F1617" s="3298" t="s">
        <v>3056</v>
      </c>
      <c r="G1617" s="3278">
        <v>3239.5</v>
      </c>
      <c r="H1617" s="3299">
        <v>0</v>
      </c>
      <c r="I1617" s="3278">
        <v>0</v>
      </c>
    </row>
    <row r="1618" ht="12.75" customHeight="1" spans="2:9">
      <c r="B1618" s="3274">
        <v>552</v>
      </c>
      <c r="D1618" s="3297" t="s">
        <v>5536</v>
      </c>
      <c r="E1618" s="3298" t="s">
        <v>5537</v>
      </c>
      <c r="F1618" s="3298" t="s">
        <v>2367</v>
      </c>
      <c r="G1618" s="3278">
        <v>8140</v>
      </c>
      <c r="H1618" s="3299">
        <v>0</v>
      </c>
      <c r="I1618" s="3278">
        <v>0</v>
      </c>
    </row>
    <row r="1619" ht="12.75" customHeight="1" spans="2:9">
      <c r="B1619" s="3274">
        <v>553</v>
      </c>
      <c r="D1619" s="3297" t="s">
        <v>5538</v>
      </c>
      <c r="E1619" s="3298" t="s">
        <v>5539</v>
      </c>
      <c r="F1619" s="3298" t="s">
        <v>4757</v>
      </c>
      <c r="G1619" s="3278">
        <v>6600</v>
      </c>
      <c r="H1619" s="3299">
        <v>0</v>
      </c>
      <c r="I1619" s="3278">
        <v>0</v>
      </c>
    </row>
    <row r="1620" ht="12.75" customHeight="1" spans="2:9">
      <c r="B1620" s="3274">
        <v>554</v>
      </c>
      <c r="D1620" s="3297" t="s">
        <v>5540</v>
      </c>
      <c r="E1620" s="3298" t="s">
        <v>5541</v>
      </c>
      <c r="F1620" s="3298" t="s">
        <v>2321</v>
      </c>
      <c r="G1620" s="3278">
        <v>99400</v>
      </c>
      <c r="H1620" s="3299">
        <v>0</v>
      </c>
      <c r="I1620" s="3278">
        <v>0</v>
      </c>
    </row>
    <row r="1621" ht="12.75" customHeight="1" spans="2:9">
      <c r="B1621" s="3274">
        <v>555</v>
      </c>
      <c r="D1621" s="3297" t="s">
        <v>5542</v>
      </c>
      <c r="E1621" s="3298" t="s">
        <v>5543</v>
      </c>
      <c r="F1621" s="3298" t="s">
        <v>4757</v>
      </c>
      <c r="G1621" s="3278">
        <v>4018.3</v>
      </c>
      <c r="H1621" s="3299">
        <v>0</v>
      </c>
      <c r="I1621" s="3278">
        <v>0</v>
      </c>
    </row>
    <row r="1622" ht="12.75" customHeight="1" spans="2:9">
      <c r="B1622" s="3274">
        <v>556</v>
      </c>
      <c r="D1622" s="3297" t="s">
        <v>5544</v>
      </c>
      <c r="E1622" s="3298" t="s">
        <v>5545</v>
      </c>
      <c r="F1622" s="3298" t="s">
        <v>2367</v>
      </c>
      <c r="G1622" s="3278">
        <v>1100</v>
      </c>
      <c r="H1622" s="3299">
        <v>0</v>
      </c>
      <c r="I1622" s="3278">
        <v>0</v>
      </c>
    </row>
    <row r="1623" ht="12.75" customHeight="1" spans="2:9">
      <c r="B1623" s="3274">
        <v>557</v>
      </c>
      <c r="D1623" s="3297" t="s">
        <v>5546</v>
      </c>
      <c r="E1623" s="3298" t="s">
        <v>5547</v>
      </c>
      <c r="F1623" s="3298" t="s">
        <v>2367</v>
      </c>
      <c r="G1623" s="3278">
        <v>7947.5</v>
      </c>
      <c r="H1623" s="3299">
        <v>0</v>
      </c>
      <c r="I1623" s="3278">
        <v>0</v>
      </c>
    </row>
    <row r="1624" ht="12.75" customHeight="1" spans="2:9">
      <c r="B1624" s="3274">
        <v>558</v>
      </c>
      <c r="D1624" s="3297" t="s">
        <v>5548</v>
      </c>
      <c r="E1624" s="3298" t="s">
        <v>5549</v>
      </c>
      <c r="F1624" s="3298" t="s">
        <v>2321</v>
      </c>
      <c r="G1624" s="3278">
        <v>18645</v>
      </c>
      <c r="H1624" s="3299">
        <v>0</v>
      </c>
      <c r="I1624" s="3278">
        <v>0</v>
      </c>
    </row>
    <row r="1625" ht="12.75" customHeight="1" spans="2:9">
      <c r="B1625" s="3274">
        <v>559</v>
      </c>
      <c r="D1625" s="3297" t="s">
        <v>5550</v>
      </c>
      <c r="E1625" s="3298" t="s">
        <v>5551</v>
      </c>
      <c r="F1625" s="3298" t="s">
        <v>3056</v>
      </c>
      <c r="G1625" s="3278">
        <v>847</v>
      </c>
      <c r="H1625" s="3299">
        <v>0</v>
      </c>
      <c r="I1625" s="3278">
        <v>0</v>
      </c>
    </row>
    <row r="1626" ht="12.75" customHeight="1" spans="2:9">
      <c r="B1626" s="3274">
        <v>560</v>
      </c>
      <c r="D1626" s="3297" t="s">
        <v>5552</v>
      </c>
      <c r="E1626" s="3298" t="s">
        <v>5553</v>
      </c>
      <c r="F1626" s="3298" t="s">
        <v>2321</v>
      </c>
      <c r="G1626" s="3278">
        <v>85184</v>
      </c>
      <c r="H1626" s="3299">
        <v>0</v>
      </c>
      <c r="I1626" s="3278">
        <v>0</v>
      </c>
    </row>
    <row r="1627" ht="12.75" customHeight="1" spans="2:9">
      <c r="B1627" s="3274">
        <v>561</v>
      </c>
      <c r="D1627" s="3297" t="s">
        <v>5554</v>
      </c>
      <c r="E1627" s="3298" t="s">
        <v>5555</v>
      </c>
      <c r="F1627" s="3298" t="s">
        <v>2321</v>
      </c>
      <c r="G1627" s="3278">
        <v>84000.0047</v>
      </c>
      <c r="H1627" s="3299">
        <v>0</v>
      </c>
      <c r="I1627" s="3278">
        <v>0</v>
      </c>
    </row>
    <row r="1628" ht="12.75" customHeight="1" spans="2:9">
      <c r="B1628" s="3274">
        <v>562</v>
      </c>
      <c r="D1628" s="3297" t="s">
        <v>5556</v>
      </c>
      <c r="E1628" s="3298" t="s">
        <v>5557</v>
      </c>
      <c r="F1628" s="3298" t="s">
        <v>2321</v>
      </c>
      <c r="G1628" s="3278">
        <v>15911.995</v>
      </c>
      <c r="H1628" s="3299">
        <v>0</v>
      </c>
      <c r="I1628" s="3278">
        <v>0</v>
      </c>
    </row>
    <row r="1629" ht="12.75" customHeight="1" spans="2:9">
      <c r="B1629" s="3274">
        <v>563</v>
      </c>
      <c r="D1629" s="3297" t="s">
        <v>5558</v>
      </c>
      <c r="E1629" s="3298" t="s">
        <v>5559</v>
      </c>
      <c r="F1629" s="3298" t="s">
        <v>2367</v>
      </c>
      <c r="G1629" s="3278">
        <v>605</v>
      </c>
      <c r="H1629" s="3299">
        <v>0</v>
      </c>
      <c r="I1629" s="3278">
        <v>0</v>
      </c>
    </row>
    <row r="1630" ht="12.75" customHeight="1" spans="2:9">
      <c r="B1630" s="3274">
        <v>564</v>
      </c>
      <c r="D1630" s="3297" t="s">
        <v>5560</v>
      </c>
      <c r="E1630" s="3298" t="s">
        <v>5561</v>
      </c>
      <c r="F1630" s="3298" t="s">
        <v>2367</v>
      </c>
      <c r="G1630" s="3278">
        <v>11330</v>
      </c>
      <c r="H1630" s="3299">
        <v>0</v>
      </c>
      <c r="I1630" s="3278">
        <v>0</v>
      </c>
    </row>
    <row r="1631" ht="12.75" customHeight="1" spans="2:9">
      <c r="B1631" s="3274">
        <v>565</v>
      </c>
      <c r="D1631" s="3297" t="s">
        <v>5562</v>
      </c>
      <c r="E1631" s="3298" t="s">
        <v>5563</v>
      </c>
      <c r="F1631" s="3298" t="s">
        <v>2367</v>
      </c>
      <c r="G1631" s="3278">
        <v>2922.161</v>
      </c>
      <c r="H1631" s="3299">
        <v>0</v>
      </c>
      <c r="I1631" s="3278">
        <v>0</v>
      </c>
    </row>
    <row r="1632" ht="12.75" customHeight="1" spans="2:9">
      <c r="B1632" s="3274">
        <v>566</v>
      </c>
      <c r="D1632" s="3297" t="s">
        <v>5564</v>
      </c>
      <c r="E1632" s="3298" t="s">
        <v>5565</v>
      </c>
      <c r="F1632" s="3298" t="s">
        <v>3042</v>
      </c>
      <c r="G1632" s="3278">
        <v>2133450</v>
      </c>
      <c r="H1632" s="3299">
        <v>0</v>
      </c>
      <c r="I1632" s="3278">
        <v>0</v>
      </c>
    </row>
    <row r="1633" ht="12.75" customHeight="1" spans="2:9">
      <c r="B1633" s="3274">
        <v>567</v>
      </c>
      <c r="D1633" s="3297" t="s">
        <v>5566</v>
      </c>
      <c r="E1633" s="3298" t="s">
        <v>5567</v>
      </c>
      <c r="F1633" s="3298" t="s">
        <v>3056</v>
      </c>
      <c r="G1633" s="3278">
        <v>792</v>
      </c>
      <c r="H1633" s="3299">
        <v>0</v>
      </c>
      <c r="I1633" s="3278">
        <v>0</v>
      </c>
    </row>
    <row r="1634" ht="12.75" customHeight="1" spans="2:9">
      <c r="B1634" s="3274">
        <v>568</v>
      </c>
      <c r="D1634" s="3297" t="s">
        <v>5568</v>
      </c>
      <c r="E1634" s="3298" t="s">
        <v>5569</v>
      </c>
      <c r="F1634" s="3298" t="s">
        <v>3056</v>
      </c>
      <c r="G1634" s="3278">
        <v>605</v>
      </c>
      <c r="H1634" s="3299">
        <v>0</v>
      </c>
      <c r="I1634" s="3278">
        <v>0</v>
      </c>
    </row>
    <row r="1635" ht="12.75" customHeight="1" spans="2:9">
      <c r="B1635" s="3274">
        <v>569</v>
      </c>
      <c r="D1635" s="3297" t="s">
        <v>5570</v>
      </c>
      <c r="E1635" s="3298" t="s">
        <v>5571</v>
      </c>
      <c r="F1635" s="3298" t="s">
        <v>3042</v>
      </c>
      <c r="G1635" s="3278">
        <v>71148</v>
      </c>
      <c r="H1635" s="3299">
        <v>4</v>
      </c>
      <c r="I1635" s="3278">
        <v>284592</v>
      </c>
    </row>
    <row r="1636" ht="12.75" customHeight="1" spans="2:9">
      <c r="B1636" s="3274">
        <v>570</v>
      </c>
      <c r="D1636" s="3297" t="s">
        <v>5572</v>
      </c>
      <c r="E1636" s="3298" t="s">
        <v>5573</v>
      </c>
      <c r="F1636" s="3298" t="s">
        <v>2367</v>
      </c>
      <c r="G1636" s="3278">
        <v>597.217</v>
      </c>
      <c r="H1636" s="3299">
        <v>0</v>
      </c>
      <c r="I1636" s="3278">
        <v>0</v>
      </c>
    </row>
    <row r="1637" ht="12.75" customHeight="1" spans="2:9">
      <c r="B1637" s="3274">
        <v>571</v>
      </c>
      <c r="D1637" s="3297" t="s">
        <v>5574</v>
      </c>
      <c r="E1637" s="3298" t="s">
        <v>5575</v>
      </c>
      <c r="F1637" s="3298" t="s">
        <v>3257</v>
      </c>
      <c r="G1637" s="3278">
        <v>7260</v>
      </c>
      <c r="H1637" s="3299">
        <v>250</v>
      </c>
      <c r="I1637" s="3278">
        <v>1815000</v>
      </c>
    </row>
    <row r="1638" ht="12.75" customHeight="1" spans="2:9">
      <c r="B1638" s="3274">
        <v>572</v>
      </c>
      <c r="D1638" s="3297" t="s">
        <v>5576</v>
      </c>
      <c r="E1638" s="3298" t="s">
        <v>5577</v>
      </c>
      <c r="F1638" s="3298" t="s">
        <v>2321</v>
      </c>
      <c r="G1638" s="3278">
        <v>108281.8</v>
      </c>
      <c r="H1638" s="3299">
        <v>0</v>
      </c>
      <c r="I1638" s="3278">
        <v>0</v>
      </c>
    </row>
    <row r="1639" ht="12.75" customHeight="1" spans="2:9">
      <c r="B1639" s="3274">
        <v>573</v>
      </c>
      <c r="D1639" s="3297" t="s">
        <v>5578</v>
      </c>
      <c r="E1639" s="3298" t="s">
        <v>5579</v>
      </c>
      <c r="F1639" s="3298" t="s">
        <v>3056</v>
      </c>
      <c r="G1639" s="3278">
        <v>15516.75</v>
      </c>
      <c r="H1639" s="3299">
        <v>0</v>
      </c>
      <c r="I1639" s="3278">
        <v>0</v>
      </c>
    </row>
    <row r="1640" ht="12.75" customHeight="1" spans="2:9">
      <c r="B1640" s="3274">
        <v>574</v>
      </c>
      <c r="D1640" s="3297" t="s">
        <v>5580</v>
      </c>
      <c r="E1640" s="3298" t="s">
        <v>5581</v>
      </c>
      <c r="F1640" s="3298" t="s">
        <v>3056</v>
      </c>
      <c r="G1640" s="3278">
        <v>12774.3</v>
      </c>
      <c r="H1640" s="3299">
        <v>0</v>
      </c>
      <c r="I1640" s="3278">
        <v>0</v>
      </c>
    </row>
    <row r="1641" ht="12.75" customHeight="1" spans="2:9">
      <c r="B1641" s="3274">
        <v>575</v>
      </c>
      <c r="D1641" s="3297" t="s">
        <v>5582</v>
      </c>
      <c r="E1641" s="3298" t="s">
        <v>5583</v>
      </c>
      <c r="F1641" s="3298" t="s">
        <v>2367</v>
      </c>
      <c r="G1641" s="3278">
        <v>825</v>
      </c>
      <c r="H1641" s="3299">
        <v>0</v>
      </c>
      <c r="I1641" s="3278">
        <v>0</v>
      </c>
    </row>
    <row r="1642" ht="12.75" customHeight="1" spans="2:9">
      <c r="B1642" s="3274">
        <v>576</v>
      </c>
      <c r="D1642" s="3297" t="s">
        <v>5584</v>
      </c>
      <c r="E1642" s="3298" t="s">
        <v>5585</v>
      </c>
      <c r="F1642" s="3298" t="s">
        <v>3042</v>
      </c>
      <c r="G1642" s="3278">
        <v>94600</v>
      </c>
      <c r="H1642" s="3299">
        <v>0</v>
      </c>
      <c r="I1642" s="3278">
        <v>0</v>
      </c>
    </row>
    <row r="1643" ht="12.75" customHeight="1" spans="2:9">
      <c r="B1643" s="3274">
        <v>577</v>
      </c>
      <c r="D1643" s="3297" t="s">
        <v>5586</v>
      </c>
      <c r="E1643" s="3298" t="s">
        <v>5587</v>
      </c>
      <c r="F1643" s="3298" t="s">
        <v>3056</v>
      </c>
      <c r="G1643" s="3278">
        <v>8250</v>
      </c>
      <c r="H1643" s="3299">
        <v>136</v>
      </c>
      <c r="I1643" s="3278">
        <v>1122000</v>
      </c>
    </row>
    <row r="1644" ht="12.75" customHeight="1" spans="2:9">
      <c r="B1644" s="3274">
        <v>578</v>
      </c>
      <c r="D1644" s="3297" t="s">
        <v>5588</v>
      </c>
      <c r="E1644" s="3298" t="s">
        <v>5589</v>
      </c>
      <c r="F1644" s="3298" t="s">
        <v>2321</v>
      </c>
      <c r="G1644" s="3278">
        <v>66000</v>
      </c>
      <c r="H1644" s="3299">
        <v>36</v>
      </c>
      <c r="I1644" s="3278">
        <v>2376000</v>
      </c>
    </row>
    <row r="1645" ht="12.75" customHeight="1" spans="2:9">
      <c r="B1645" s="3274">
        <v>579</v>
      </c>
      <c r="D1645" s="3297" t="s">
        <v>5590</v>
      </c>
      <c r="E1645" s="3298" t="s">
        <v>5591</v>
      </c>
      <c r="F1645" s="3298" t="s">
        <v>2321</v>
      </c>
      <c r="G1645" s="3278">
        <v>3758.7</v>
      </c>
      <c r="H1645" s="3299">
        <v>0</v>
      </c>
      <c r="I1645" s="3278">
        <v>0</v>
      </c>
    </row>
    <row r="1646" ht="12.75" customHeight="1" spans="2:9">
      <c r="B1646" s="3274">
        <v>580</v>
      </c>
      <c r="D1646" s="3297" t="s">
        <v>5592</v>
      </c>
      <c r="E1646" s="3298" t="s">
        <v>5593</v>
      </c>
      <c r="F1646" s="3298" t="s">
        <v>2321</v>
      </c>
      <c r="G1646" s="3278">
        <v>2016.3</v>
      </c>
      <c r="H1646" s="3299">
        <v>0</v>
      </c>
      <c r="I1646" s="3278">
        <v>0</v>
      </c>
    </row>
    <row r="1647" ht="12.75" customHeight="1" spans="2:9">
      <c r="B1647" s="3274">
        <v>581</v>
      </c>
      <c r="D1647" s="3297" t="s">
        <v>5594</v>
      </c>
      <c r="E1647" s="3298" t="s">
        <v>5595</v>
      </c>
      <c r="F1647" s="3298" t="s">
        <v>2321</v>
      </c>
      <c r="G1647" s="3278">
        <v>8753.8</v>
      </c>
      <c r="H1647" s="3299">
        <v>0</v>
      </c>
      <c r="I1647" s="3278">
        <v>0</v>
      </c>
    </row>
    <row r="1648" ht="12.75" customHeight="1" spans="2:9">
      <c r="B1648" s="3274">
        <v>582</v>
      </c>
      <c r="D1648" s="3297" t="s">
        <v>5596</v>
      </c>
      <c r="E1648" s="3298" t="s">
        <v>5597</v>
      </c>
      <c r="F1648" s="3298" t="s">
        <v>2367</v>
      </c>
      <c r="G1648" s="3278">
        <v>390.83</v>
      </c>
      <c r="H1648" s="3299">
        <v>0</v>
      </c>
      <c r="I1648" s="3278">
        <v>0</v>
      </c>
    </row>
    <row r="1649" ht="12.75" customHeight="1" spans="2:9">
      <c r="B1649" s="3274">
        <v>583</v>
      </c>
      <c r="D1649" s="3297" t="s">
        <v>5598</v>
      </c>
      <c r="E1649" s="3298" t="s">
        <v>5599</v>
      </c>
      <c r="F1649" s="3298" t="s">
        <v>2321</v>
      </c>
      <c r="G1649" s="3278">
        <v>9643.997</v>
      </c>
      <c r="H1649" s="3299">
        <v>20</v>
      </c>
      <c r="I1649" s="3278">
        <v>192879.94</v>
      </c>
    </row>
    <row r="1650" ht="12.75" customHeight="1" spans="2:9">
      <c r="B1650" s="3274">
        <v>584</v>
      </c>
      <c r="D1650" s="3297" t="s">
        <v>5600</v>
      </c>
      <c r="E1650" s="3298" t="s">
        <v>5601</v>
      </c>
      <c r="F1650" s="3298" t="s">
        <v>2304</v>
      </c>
      <c r="G1650" s="3278">
        <v>23595</v>
      </c>
      <c r="H1650" s="3299">
        <v>0</v>
      </c>
      <c r="I1650" s="3278">
        <v>0</v>
      </c>
    </row>
    <row r="1651" ht="12.75" customHeight="1" spans="2:9">
      <c r="B1651" s="3274">
        <v>585</v>
      </c>
      <c r="D1651" s="3297" t="s">
        <v>5602</v>
      </c>
      <c r="E1651" s="3298" t="s">
        <v>5603</v>
      </c>
      <c r="F1651" s="3298" t="s">
        <v>2304</v>
      </c>
      <c r="G1651" s="3278">
        <v>10696.4</v>
      </c>
      <c r="H1651" s="3299">
        <v>0</v>
      </c>
      <c r="I1651" s="3278">
        <v>0</v>
      </c>
    </row>
    <row r="1652" ht="12.75" customHeight="1" spans="2:9">
      <c r="B1652" s="3274">
        <v>586</v>
      </c>
      <c r="D1652" s="3297" t="s">
        <v>5604</v>
      </c>
      <c r="E1652" s="3298" t="s">
        <v>5605</v>
      </c>
      <c r="F1652" s="3298" t="s">
        <v>2321</v>
      </c>
      <c r="G1652" s="3278">
        <v>12963.3147</v>
      </c>
      <c r="H1652" s="3299">
        <v>0</v>
      </c>
      <c r="I1652" s="3278">
        <v>0</v>
      </c>
    </row>
    <row r="1653" ht="12.75" customHeight="1" spans="2:9">
      <c r="B1653" s="3274">
        <v>587</v>
      </c>
      <c r="D1653" s="3297" t="s">
        <v>5606</v>
      </c>
      <c r="E1653" s="3298" t="s">
        <v>5607</v>
      </c>
      <c r="F1653" s="3298" t="s">
        <v>2321</v>
      </c>
      <c r="G1653" s="3278">
        <v>16271.2</v>
      </c>
      <c r="H1653" s="3299">
        <v>0</v>
      </c>
      <c r="I1653" s="3278">
        <v>0</v>
      </c>
    </row>
    <row r="1654" ht="12.75" customHeight="1" spans="2:9">
      <c r="B1654" s="3274">
        <v>588</v>
      </c>
      <c r="D1654" s="3297" t="s">
        <v>5608</v>
      </c>
      <c r="E1654" s="3298" t="s">
        <v>5609</v>
      </c>
      <c r="F1654" s="3298" t="s">
        <v>2321</v>
      </c>
      <c r="G1654" s="3278">
        <v>99825</v>
      </c>
      <c r="H1654" s="3299">
        <v>0</v>
      </c>
      <c r="I1654" s="3278">
        <v>0</v>
      </c>
    </row>
    <row r="1655" ht="12.75" customHeight="1" spans="2:9">
      <c r="B1655" s="3274">
        <v>589</v>
      </c>
      <c r="D1655" s="3297" t="s">
        <v>5610</v>
      </c>
      <c r="E1655" s="3298" t="s">
        <v>5611</v>
      </c>
      <c r="F1655" s="3298" t="s">
        <v>2367</v>
      </c>
      <c r="G1655" s="3278">
        <v>11405.57</v>
      </c>
      <c r="H1655" s="3299">
        <v>0</v>
      </c>
      <c r="I1655" s="3278">
        <v>0</v>
      </c>
    </row>
    <row r="1656" ht="12.75" customHeight="1" spans="2:9">
      <c r="B1656" s="3274">
        <v>590</v>
      </c>
      <c r="D1656" s="3297" t="s">
        <v>5612</v>
      </c>
      <c r="E1656" s="3298" t="s">
        <v>5613</v>
      </c>
      <c r="F1656" s="3298" t="s">
        <v>2367</v>
      </c>
      <c r="G1656" s="3278">
        <v>4950</v>
      </c>
      <c r="H1656" s="3299">
        <v>0</v>
      </c>
      <c r="I1656" s="3278">
        <v>0</v>
      </c>
    </row>
    <row r="1657" ht="12.75" customHeight="1" spans="2:9">
      <c r="B1657" s="3274">
        <v>591</v>
      </c>
      <c r="D1657" s="3297" t="s">
        <v>5614</v>
      </c>
      <c r="E1657" s="3298" t="s">
        <v>5615</v>
      </c>
      <c r="F1657" s="3298" t="s">
        <v>2367</v>
      </c>
      <c r="G1657" s="3278">
        <v>3538.3259</v>
      </c>
      <c r="H1657" s="3299">
        <v>0</v>
      </c>
      <c r="I1657" s="3278">
        <v>0</v>
      </c>
    </row>
    <row r="1658" ht="12.75" customHeight="1" spans="2:9">
      <c r="B1658" s="3274">
        <v>592</v>
      </c>
      <c r="D1658" s="3297" t="s">
        <v>5616</v>
      </c>
      <c r="E1658" s="3298" t="s">
        <v>5617</v>
      </c>
      <c r="F1658" s="3298" t="s">
        <v>3042</v>
      </c>
      <c r="G1658" s="3278">
        <v>12281.5</v>
      </c>
      <c r="H1658" s="3299">
        <v>60</v>
      </c>
      <c r="I1658" s="3278">
        <v>736890</v>
      </c>
    </row>
    <row r="1659" ht="12.75" customHeight="1" spans="2:9">
      <c r="B1659" s="3274">
        <v>593</v>
      </c>
      <c r="D1659" s="3297" t="s">
        <v>5618</v>
      </c>
      <c r="E1659" s="3298" t="s">
        <v>5619</v>
      </c>
      <c r="F1659" s="3298" t="s">
        <v>2321</v>
      </c>
      <c r="G1659" s="3278">
        <v>54202.5</v>
      </c>
      <c r="H1659" s="3299">
        <v>0</v>
      </c>
      <c r="I1659" s="3278">
        <v>0</v>
      </c>
    </row>
    <row r="1660" ht="12.75" customHeight="1" spans="2:9">
      <c r="B1660" s="3274">
        <v>594</v>
      </c>
      <c r="D1660" s="3297" t="s">
        <v>5620</v>
      </c>
      <c r="E1660" s="3298" t="s">
        <v>5621</v>
      </c>
      <c r="F1660" s="3298" t="s">
        <v>2321</v>
      </c>
      <c r="G1660" s="3278">
        <v>31803.75</v>
      </c>
      <c r="H1660" s="3299">
        <v>49</v>
      </c>
      <c r="I1660" s="3278">
        <v>1558383.75</v>
      </c>
    </row>
    <row r="1661" ht="12.75" customHeight="1" spans="2:9">
      <c r="B1661" s="3274">
        <v>595</v>
      </c>
      <c r="D1661" s="3297" t="s">
        <v>5622</v>
      </c>
      <c r="E1661" s="3298" t="s">
        <v>5623</v>
      </c>
      <c r="F1661" s="3298" t="s">
        <v>3042</v>
      </c>
      <c r="G1661" s="3278">
        <v>48895</v>
      </c>
      <c r="H1661" s="3299">
        <v>0</v>
      </c>
      <c r="I1661" s="3278">
        <v>0</v>
      </c>
    </row>
    <row r="1662" ht="12.75" customHeight="1" spans="2:9">
      <c r="B1662" s="3274">
        <v>596</v>
      </c>
      <c r="D1662" s="3297" t="s">
        <v>5624</v>
      </c>
      <c r="E1662" s="3298" t="s">
        <v>5625</v>
      </c>
      <c r="F1662" s="3298" t="s">
        <v>2637</v>
      </c>
      <c r="G1662" s="3278">
        <v>73920</v>
      </c>
      <c r="H1662" s="3299">
        <v>0</v>
      </c>
      <c r="I1662" s="3278">
        <v>0</v>
      </c>
    </row>
    <row r="1663" ht="12.75" customHeight="1" spans="2:9">
      <c r="B1663" s="3274">
        <v>597</v>
      </c>
      <c r="D1663" s="3297" t="s">
        <v>5626</v>
      </c>
      <c r="E1663" s="3298" t="s">
        <v>5627</v>
      </c>
      <c r="F1663" s="3298" t="s">
        <v>2637</v>
      </c>
      <c r="G1663" s="3278">
        <v>57200</v>
      </c>
      <c r="H1663" s="3299">
        <v>20</v>
      </c>
      <c r="I1663" s="3278">
        <v>1144000</v>
      </c>
    </row>
    <row r="1664" ht="12.75" customHeight="1" spans="2:9">
      <c r="B1664" s="3274">
        <v>598</v>
      </c>
      <c r="D1664" s="3297" t="s">
        <v>5628</v>
      </c>
      <c r="E1664" s="3298" t="s">
        <v>5629</v>
      </c>
      <c r="F1664" s="3298" t="s">
        <v>2367</v>
      </c>
      <c r="G1664" s="3278">
        <v>43340</v>
      </c>
      <c r="H1664" s="3299">
        <v>0</v>
      </c>
      <c r="I1664" s="3278">
        <v>0</v>
      </c>
    </row>
    <row r="1665" ht="12.75" customHeight="1" spans="2:9">
      <c r="B1665" s="3274">
        <v>599</v>
      </c>
      <c r="D1665" s="3297" t="s">
        <v>5630</v>
      </c>
      <c r="E1665" s="3298" t="s">
        <v>5631</v>
      </c>
      <c r="F1665" s="3298" t="s">
        <v>2367</v>
      </c>
      <c r="G1665" s="3278">
        <v>8349</v>
      </c>
      <c r="H1665" s="3299">
        <v>0</v>
      </c>
      <c r="I1665" s="3278">
        <v>0</v>
      </c>
    </row>
    <row r="1666" ht="12.75" customHeight="1" spans="2:9">
      <c r="B1666" s="3274">
        <v>600</v>
      </c>
      <c r="D1666" s="3297" t="s">
        <v>5632</v>
      </c>
      <c r="E1666" s="3298" t="s">
        <v>5633</v>
      </c>
      <c r="F1666" s="3298" t="s">
        <v>2367</v>
      </c>
      <c r="G1666" s="3278">
        <v>38500</v>
      </c>
      <c r="H1666" s="3299">
        <v>0</v>
      </c>
      <c r="I1666" s="3278">
        <v>0</v>
      </c>
    </row>
    <row r="1667" ht="12.75" customHeight="1" spans="2:9">
      <c r="B1667" s="3274">
        <v>601</v>
      </c>
      <c r="D1667" s="3297" t="s">
        <v>5634</v>
      </c>
      <c r="E1667" s="3298" t="s">
        <v>5635</v>
      </c>
      <c r="F1667" s="3298" t="s">
        <v>3056</v>
      </c>
      <c r="G1667" s="3278">
        <v>7590</v>
      </c>
      <c r="H1667" s="3299">
        <v>0</v>
      </c>
      <c r="I1667" s="3278">
        <v>0</v>
      </c>
    </row>
    <row r="1668" ht="12.75" customHeight="1" spans="2:9">
      <c r="B1668" s="3274">
        <v>602</v>
      </c>
      <c r="D1668" s="3297" t="s">
        <v>5636</v>
      </c>
      <c r="E1668" s="3298" t="s">
        <v>5637</v>
      </c>
      <c r="F1668" s="3298" t="s">
        <v>2637</v>
      </c>
      <c r="G1668" s="3278">
        <v>40700</v>
      </c>
      <c r="H1668" s="3299">
        <v>0</v>
      </c>
      <c r="I1668" s="3278">
        <v>0</v>
      </c>
    </row>
    <row r="1669" ht="12.75" customHeight="1" spans="2:9">
      <c r="B1669" s="3274">
        <v>603</v>
      </c>
      <c r="D1669" s="3297" t="s">
        <v>5638</v>
      </c>
      <c r="E1669" s="3298" t="s">
        <v>5639</v>
      </c>
      <c r="F1669" s="3298" t="s">
        <v>3056</v>
      </c>
      <c r="G1669" s="3278">
        <v>2915</v>
      </c>
      <c r="H1669" s="3299">
        <v>0</v>
      </c>
      <c r="I1669" s="3278">
        <v>0</v>
      </c>
    </row>
    <row r="1670" ht="12.75" customHeight="1" spans="2:9">
      <c r="B1670" s="3274">
        <v>604</v>
      </c>
      <c r="D1670" s="3297" t="s">
        <v>5640</v>
      </c>
      <c r="E1670" s="3298" t="s">
        <v>5641</v>
      </c>
      <c r="F1670" s="3298" t="s">
        <v>2637</v>
      </c>
      <c r="G1670" s="3278">
        <v>27500</v>
      </c>
      <c r="H1670" s="3299">
        <v>0</v>
      </c>
      <c r="I1670" s="3278">
        <v>0</v>
      </c>
    </row>
    <row r="1671" ht="12.75" customHeight="1" spans="2:9">
      <c r="B1671" s="3274">
        <v>605</v>
      </c>
      <c r="D1671" s="3297" t="s">
        <v>5642</v>
      </c>
      <c r="E1671" s="3298" t="s">
        <v>5643</v>
      </c>
      <c r="F1671" s="3298" t="s">
        <v>2367</v>
      </c>
      <c r="G1671" s="3278">
        <v>900.24</v>
      </c>
      <c r="H1671" s="3299">
        <v>0</v>
      </c>
      <c r="I1671" s="3278">
        <v>0</v>
      </c>
    </row>
    <row r="1672" ht="12.75" customHeight="1" spans="2:9">
      <c r="B1672" s="3274">
        <v>606</v>
      </c>
      <c r="D1672" s="3297" t="s">
        <v>5644</v>
      </c>
      <c r="E1672" s="3298" t="s">
        <v>5645</v>
      </c>
      <c r="F1672" s="3298" t="s">
        <v>2367</v>
      </c>
      <c r="G1672" s="3278">
        <v>1592.36</v>
      </c>
      <c r="H1672" s="3299">
        <v>0</v>
      </c>
      <c r="I1672" s="3278">
        <v>0</v>
      </c>
    </row>
    <row r="1673" ht="12.75" customHeight="1" spans="2:9">
      <c r="B1673" s="3274">
        <v>607</v>
      </c>
      <c r="D1673" s="3297" t="s">
        <v>5646</v>
      </c>
      <c r="E1673" s="3298" t="s">
        <v>5647</v>
      </c>
      <c r="F1673" s="3298" t="s">
        <v>2367</v>
      </c>
      <c r="G1673" s="3278">
        <v>1166</v>
      </c>
      <c r="H1673" s="3299">
        <v>0</v>
      </c>
      <c r="I1673" s="3278">
        <v>0</v>
      </c>
    </row>
    <row r="1674" ht="12.75" customHeight="1" spans="2:9">
      <c r="B1674" s="3274">
        <v>608</v>
      </c>
      <c r="D1674" s="3297" t="s">
        <v>5648</v>
      </c>
      <c r="E1674" s="3298" t="s">
        <v>5649</v>
      </c>
      <c r="F1674" s="3298" t="s">
        <v>2367</v>
      </c>
      <c r="G1674" s="3278">
        <v>3164.0619</v>
      </c>
      <c r="H1674" s="3299">
        <v>0</v>
      </c>
      <c r="I1674" s="3278">
        <v>0</v>
      </c>
    </row>
    <row r="1675" ht="12.75" customHeight="1" spans="2:9">
      <c r="B1675" s="3274">
        <v>609</v>
      </c>
      <c r="D1675" s="3297" t="s">
        <v>5650</v>
      </c>
      <c r="E1675" s="3298" t="s">
        <v>5651</v>
      </c>
      <c r="F1675" s="3298" t="s">
        <v>3257</v>
      </c>
      <c r="G1675" s="3278">
        <v>20020</v>
      </c>
      <c r="H1675" s="3299">
        <v>0</v>
      </c>
      <c r="I1675" s="3278">
        <v>0</v>
      </c>
    </row>
    <row r="1676" ht="12.75" customHeight="1" spans="2:9">
      <c r="B1676" s="3274">
        <v>610</v>
      </c>
      <c r="D1676" s="3297" t="s">
        <v>5652</v>
      </c>
      <c r="E1676" s="3298" t="s">
        <v>5653</v>
      </c>
      <c r="F1676" s="3298" t="s">
        <v>3056</v>
      </c>
      <c r="G1676" s="3278">
        <v>1573</v>
      </c>
      <c r="H1676" s="3299">
        <v>400</v>
      </c>
      <c r="I1676" s="3278">
        <v>629200</v>
      </c>
    </row>
    <row r="1677" ht="12.75" customHeight="1" spans="2:9">
      <c r="B1677" s="3274">
        <v>611</v>
      </c>
      <c r="D1677" s="3297" t="s">
        <v>5654</v>
      </c>
      <c r="E1677" s="3298" t="s">
        <v>5655</v>
      </c>
      <c r="F1677" s="3298" t="s">
        <v>3423</v>
      </c>
      <c r="G1677" s="3278">
        <v>170500</v>
      </c>
      <c r="H1677" s="3299">
        <v>0</v>
      </c>
      <c r="I1677" s="3278">
        <v>0</v>
      </c>
    </row>
    <row r="1678" ht="12.75" customHeight="1" spans="2:9">
      <c r="B1678" s="3274">
        <v>612</v>
      </c>
      <c r="D1678" s="3297" t="s">
        <v>5656</v>
      </c>
      <c r="E1678" s="3298" t="s">
        <v>5657</v>
      </c>
      <c r="F1678" s="3298" t="s">
        <v>2367</v>
      </c>
      <c r="G1678" s="3278">
        <v>4400</v>
      </c>
      <c r="H1678" s="3299">
        <v>0</v>
      </c>
      <c r="I1678" s="3278">
        <v>0</v>
      </c>
    </row>
    <row r="1679" ht="12.75" customHeight="1" spans="2:9">
      <c r="B1679" s="3274">
        <v>613</v>
      </c>
      <c r="D1679" s="3297" t="s">
        <v>5658</v>
      </c>
      <c r="E1679" s="3298" t="s">
        <v>5659</v>
      </c>
      <c r="F1679" s="3298" t="s">
        <v>2321</v>
      </c>
      <c r="G1679" s="3278">
        <v>13200</v>
      </c>
      <c r="H1679" s="3299">
        <v>0</v>
      </c>
      <c r="I1679" s="3278">
        <v>0</v>
      </c>
    </row>
    <row r="1680" ht="12.75" customHeight="1" spans="2:9">
      <c r="B1680" s="3274">
        <v>614</v>
      </c>
      <c r="D1680" s="3297" t="s">
        <v>5660</v>
      </c>
      <c r="E1680" s="3298" t="s">
        <v>5661</v>
      </c>
      <c r="F1680" s="3298" t="s">
        <v>2321</v>
      </c>
      <c r="G1680" s="3278">
        <v>61050</v>
      </c>
      <c r="H1680" s="3299">
        <v>0</v>
      </c>
      <c r="I1680" s="3278">
        <v>0</v>
      </c>
    </row>
    <row r="1681" ht="12.75" customHeight="1" spans="2:9">
      <c r="B1681" s="3274">
        <v>615</v>
      </c>
      <c r="D1681" s="3297" t="s">
        <v>5662</v>
      </c>
      <c r="E1681" s="3298" t="s">
        <v>5663</v>
      </c>
      <c r="F1681" s="3298" t="s">
        <v>2321</v>
      </c>
      <c r="G1681" s="3278">
        <v>21780</v>
      </c>
      <c r="H1681" s="3299">
        <v>0</v>
      </c>
      <c r="I1681" s="3278">
        <v>0</v>
      </c>
    </row>
    <row r="1682" ht="12.75" customHeight="1" spans="2:9">
      <c r="B1682" s="3274">
        <v>616</v>
      </c>
      <c r="D1682" s="3297" t="s">
        <v>5664</v>
      </c>
      <c r="E1682" s="3298" t="s">
        <v>5665</v>
      </c>
      <c r="F1682" s="3298" t="s">
        <v>2321</v>
      </c>
      <c r="G1682" s="3278">
        <v>52250</v>
      </c>
      <c r="H1682" s="3299">
        <v>0</v>
      </c>
      <c r="I1682" s="3278">
        <v>0</v>
      </c>
    </row>
    <row r="1683" ht="12.75" customHeight="1" spans="2:9">
      <c r="B1683" s="3274">
        <v>617</v>
      </c>
      <c r="D1683" s="3297" t="s">
        <v>5666</v>
      </c>
      <c r="E1683" s="3298" t="s">
        <v>5667</v>
      </c>
      <c r="F1683" s="3298" t="s">
        <v>2321</v>
      </c>
      <c r="G1683" s="3278">
        <v>25300</v>
      </c>
      <c r="H1683" s="3299">
        <v>0</v>
      </c>
      <c r="I1683" s="3278">
        <v>0</v>
      </c>
    </row>
    <row r="1684" ht="12.75" customHeight="1" spans="2:9">
      <c r="B1684" s="3274">
        <v>618</v>
      </c>
      <c r="D1684" s="3297" t="s">
        <v>5668</v>
      </c>
      <c r="E1684" s="3298" t="s">
        <v>5669</v>
      </c>
      <c r="F1684" s="3298" t="s">
        <v>2637</v>
      </c>
      <c r="G1684" s="3278">
        <v>24278.573</v>
      </c>
      <c r="H1684" s="3299">
        <v>0</v>
      </c>
      <c r="I1684" s="3278">
        <v>0</v>
      </c>
    </row>
    <row r="1685" ht="12.75" customHeight="1" spans="2:9">
      <c r="B1685" s="3274">
        <v>619</v>
      </c>
      <c r="D1685" s="3297" t="s">
        <v>5670</v>
      </c>
      <c r="E1685" s="3298" t="s">
        <v>5671</v>
      </c>
      <c r="F1685" s="3298" t="s">
        <v>2367</v>
      </c>
      <c r="G1685" s="3278">
        <v>3300</v>
      </c>
      <c r="H1685" s="3299">
        <v>1140</v>
      </c>
      <c r="I1685" s="3278">
        <v>3762000</v>
      </c>
    </row>
    <row r="1686" ht="12.75" customHeight="1" spans="2:9">
      <c r="B1686" s="3274">
        <v>620</v>
      </c>
      <c r="D1686" s="3297" t="s">
        <v>5672</v>
      </c>
      <c r="E1686" s="3298" t="s">
        <v>5673</v>
      </c>
      <c r="F1686" s="3298" t="s">
        <v>5070</v>
      </c>
      <c r="G1686" s="3278">
        <v>6490</v>
      </c>
      <c r="H1686" s="3299">
        <v>0</v>
      </c>
      <c r="I1686" s="3278">
        <v>0</v>
      </c>
    </row>
    <row r="1687" ht="12.75" customHeight="1" spans="2:9">
      <c r="B1687" s="3274">
        <v>621</v>
      </c>
      <c r="D1687" s="3297" t="s">
        <v>5674</v>
      </c>
      <c r="E1687" s="3298" t="s">
        <v>5675</v>
      </c>
      <c r="F1687" s="3298" t="s">
        <v>2321</v>
      </c>
      <c r="G1687" s="3278">
        <v>48400</v>
      </c>
      <c r="H1687" s="3299">
        <v>0</v>
      </c>
      <c r="I1687" s="3278">
        <v>0</v>
      </c>
    </row>
    <row r="1688" ht="12.75" customHeight="1" spans="2:9">
      <c r="B1688" s="3274">
        <v>622</v>
      </c>
      <c r="D1688" s="3297" t="s">
        <v>5676</v>
      </c>
      <c r="E1688" s="3298" t="s">
        <v>5677</v>
      </c>
      <c r="F1688" s="3298" t="s">
        <v>3042</v>
      </c>
      <c r="G1688" s="3278">
        <v>88300</v>
      </c>
      <c r="H1688" s="3299">
        <v>0</v>
      </c>
      <c r="I1688" s="3278">
        <v>0</v>
      </c>
    </row>
    <row r="1689" ht="12.75" customHeight="1" spans="2:9">
      <c r="B1689" s="3274">
        <v>623</v>
      </c>
      <c r="D1689" s="3297" t="s">
        <v>5678</v>
      </c>
      <c r="E1689" s="3298" t="s">
        <v>5679</v>
      </c>
      <c r="F1689" s="3298" t="s">
        <v>3056</v>
      </c>
      <c r="G1689" s="3278">
        <v>3575</v>
      </c>
      <c r="H1689" s="3299">
        <v>0</v>
      </c>
      <c r="I1689" s="3278">
        <v>0</v>
      </c>
    </row>
    <row r="1690" ht="12.75" customHeight="1" spans="2:9">
      <c r="B1690" s="3274">
        <v>624</v>
      </c>
      <c r="D1690" s="3297" t="s">
        <v>5680</v>
      </c>
      <c r="E1690" s="3298" t="s">
        <v>5681</v>
      </c>
      <c r="F1690" s="3298" t="s">
        <v>2367</v>
      </c>
      <c r="G1690" s="3278">
        <v>11770</v>
      </c>
      <c r="H1690" s="3299">
        <v>0</v>
      </c>
      <c r="I1690" s="3278">
        <v>0</v>
      </c>
    </row>
    <row r="1691" ht="12.75" customHeight="1" spans="2:9">
      <c r="B1691" s="3274">
        <v>625</v>
      </c>
      <c r="D1691" s="3297" t="s">
        <v>5682</v>
      </c>
      <c r="E1691" s="3298" t="s">
        <v>5683</v>
      </c>
      <c r="F1691" s="3298" t="s">
        <v>2367</v>
      </c>
      <c r="G1691" s="3278">
        <v>2167</v>
      </c>
      <c r="H1691" s="3299">
        <v>0</v>
      </c>
      <c r="I1691" s="3278">
        <v>0</v>
      </c>
    </row>
    <row r="1692" ht="12.75" customHeight="1" spans="2:9">
      <c r="B1692" s="3274">
        <v>626</v>
      </c>
      <c r="D1692" s="3297" t="s">
        <v>5684</v>
      </c>
      <c r="E1692" s="3298" t="s">
        <v>5685</v>
      </c>
      <c r="F1692" s="3298" t="s">
        <v>2367</v>
      </c>
      <c r="G1692" s="3278">
        <v>4180</v>
      </c>
      <c r="H1692" s="3299">
        <v>0</v>
      </c>
      <c r="I1692" s="3278">
        <v>0</v>
      </c>
    </row>
    <row r="1693" ht="12.75" customHeight="1" spans="2:9">
      <c r="B1693" s="3274">
        <v>627</v>
      </c>
      <c r="D1693" s="3297" t="s">
        <v>5686</v>
      </c>
      <c r="E1693" s="3298" t="s">
        <v>5687</v>
      </c>
      <c r="F1693" s="3298" t="s">
        <v>4757</v>
      </c>
      <c r="G1693" s="3278">
        <v>2860</v>
      </c>
      <c r="H1693" s="3299">
        <v>0</v>
      </c>
      <c r="I1693" s="3278">
        <v>0</v>
      </c>
    </row>
    <row r="1694" ht="12.75" customHeight="1" spans="2:9">
      <c r="B1694" s="3274">
        <v>628</v>
      </c>
      <c r="D1694" s="3297" t="s">
        <v>5688</v>
      </c>
      <c r="E1694" s="3298" t="s">
        <v>5689</v>
      </c>
      <c r="F1694" s="3298" t="s">
        <v>4351</v>
      </c>
      <c r="G1694" s="3278">
        <v>9680</v>
      </c>
      <c r="H1694" s="3299">
        <v>0</v>
      </c>
      <c r="I1694" s="3278">
        <v>0</v>
      </c>
    </row>
    <row r="1695" ht="12.75" customHeight="1" spans="2:9">
      <c r="B1695" s="3274">
        <v>629</v>
      </c>
      <c r="D1695" s="3297" t="s">
        <v>5690</v>
      </c>
      <c r="E1695" s="3298" t="s">
        <v>5691</v>
      </c>
      <c r="F1695" s="3298" t="s">
        <v>2321</v>
      </c>
      <c r="G1695" s="3278">
        <v>69300</v>
      </c>
      <c r="H1695" s="3299">
        <v>0</v>
      </c>
      <c r="I1695" s="3278">
        <v>0</v>
      </c>
    </row>
    <row r="1696" ht="12.75" customHeight="1" spans="2:9">
      <c r="B1696" s="3274">
        <v>630</v>
      </c>
      <c r="D1696" s="3297" t="s">
        <v>5692</v>
      </c>
      <c r="E1696" s="3298" t="s">
        <v>5693</v>
      </c>
      <c r="F1696" s="3298" t="s">
        <v>2321</v>
      </c>
      <c r="G1696" s="3278">
        <v>41800</v>
      </c>
      <c r="H1696" s="3299">
        <v>0</v>
      </c>
      <c r="I1696" s="3278">
        <v>0</v>
      </c>
    </row>
    <row r="1697" ht="12.75" customHeight="1" spans="2:9">
      <c r="B1697" s="3274">
        <v>631</v>
      </c>
      <c r="D1697" s="3297" t="s">
        <v>5694</v>
      </c>
      <c r="E1697" s="3298" t="s">
        <v>5695</v>
      </c>
      <c r="F1697" s="3298" t="s">
        <v>2321</v>
      </c>
      <c r="G1697" s="3278">
        <v>30250</v>
      </c>
      <c r="H1697" s="3299">
        <v>0</v>
      </c>
      <c r="I1697" s="3278">
        <v>0</v>
      </c>
    </row>
    <row r="1698" ht="12.75" customHeight="1" spans="2:9">
      <c r="B1698" s="3274">
        <v>632</v>
      </c>
      <c r="D1698" s="3297" t="s">
        <v>5696</v>
      </c>
      <c r="E1698" s="3298" t="s">
        <v>5697</v>
      </c>
      <c r="F1698" s="3298" t="s">
        <v>2321</v>
      </c>
      <c r="G1698" s="3278">
        <v>25300</v>
      </c>
      <c r="H1698" s="3299">
        <v>0</v>
      </c>
      <c r="I1698" s="3278">
        <v>0</v>
      </c>
    </row>
    <row r="1699" ht="12.75" customHeight="1" spans="2:9">
      <c r="B1699" s="3274">
        <v>633</v>
      </c>
      <c r="D1699" s="3297" t="s">
        <v>5698</v>
      </c>
      <c r="E1699" s="3298" t="s">
        <v>5699</v>
      </c>
      <c r="F1699" s="3298" t="s">
        <v>2321</v>
      </c>
      <c r="G1699" s="3278">
        <v>22000</v>
      </c>
      <c r="H1699" s="3299">
        <v>0</v>
      </c>
      <c r="I1699" s="3278">
        <v>0</v>
      </c>
    </row>
    <row r="1700" ht="12.75" customHeight="1" spans="2:9">
      <c r="B1700" s="3274">
        <v>634</v>
      </c>
      <c r="D1700" s="3297" t="s">
        <v>5700</v>
      </c>
      <c r="E1700" s="3298" t="s">
        <v>5701</v>
      </c>
      <c r="F1700" s="3298" t="s">
        <v>3056</v>
      </c>
      <c r="G1700" s="3278">
        <v>2530</v>
      </c>
      <c r="H1700" s="3299">
        <v>0</v>
      </c>
      <c r="I1700" s="3278">
        <v>0</v>
      </c>
    </row>
    <row r="1701" ht="12.75" customHeight="1" spans="2:9">
      <c r="B1701" s="3274">
        <v>635</v>
      </c>
      <c r="D1701" s="3297" t="s">
        <v>5702</v>
      </c>
      <c r="E1701" s="3298" t="s">
        <v>5703</v>
      </c>
      <c r="F1701" s="3298" t="s">
        <v>4351</v>
      </c>
      <c r="G1701" s="3278">
        <v>13200</v>
      </c>
      <c r="H1701" s="3299">
        <v>0</v>
      </c>
      <c r="I1701" s="3278">
        <v>0</v>
      </c>
    </row>
    <row r="1702" ht="12.75" customHeight="1" spans="2:9">
      <c r="B1702" s="3274">
        <v>636</v>
      </c>
      <c r="D1702" s="3297" t="s">
        <v>5704</v>
      </c>
      <c r="E1702" s="3298" t="s">
        <v>5705</v>
      </c>
      <c r="F1702" s="3298" t="s">
        <v>3056</v>
      </c>
      <c r="G1702" s="3278">
        <v>2420</v>
      </c>
      <c r="H1702" s="3299">
        <v>0</v>
      </c>
      <c r="I1702" s="3278">
        <v>0</v>
      </c>
    </row>
    <row r="1703" ht="12.75" customHeight="1" spans="2:9">
      <c r="B1703" s="3274">
        <v>637</v>
      </c>
      <c r="D1703" s="3297" t="s">
        <v>5706</v>
      </c>
      <c r="E1703" s="3298" t="s">
        <v>5707</v>
      </c>
      <c r="F1703" s="3298" t="s">
        <v>2321</v>
      </c>
      <c r="G1703" s="3278">
        <v>28600</v>
      </c>
      <c r="H1703" s="3299">
        <v>0</v>
      </c>
      <c r="I1703" s="3278">
        <v>0</v>
      </c>
    </row>
    <row r="1704" ht="12.75" customHeight="1" spans="2:9">
      <c r="B1704" s="3274">
        <v>638</v>
      </c>
      <c r="D1704" s="3297" t="s">
        <v>5708</v>
      </c>
      <c r="E1704" s="3298" t="s">
        <v>5709</v>
      </c>
      <c r="F1704" s="3298" t="s">
        <v>2321</v>
      </c>
      <c r="G1704" s="3278">
        <v>17600</v>
      </c>
      <c r="H1704" s="3299">
        <v>0</v>
      </c>
      <c r="I1704" s="3278">
        <v>0</v>
      </c>
    </row>
    <row r="1705" ht="12.75" customHeight="1" spans="2:9">
      <c r="B1705" s="3274">
        <v>639</v>
      </c>
      <c r="D1705" s="3297" t="s">
        <v>5710</v>
      </c>
      <c r="E1705" s="3298" t="s">
        <v>5711</v>
      </c>
      <c r="F1705" s="3298" t="s">
        <v>2321</v>
      </c>
      <c r="G1705" s="3278">
        <v>16500</v>
      </c>
      <c r="H1705" s="3299">
        <v>0</v>
      </c>
      <c r="I1705" s="3278">
        <v>0</v>
      </c>
    </row>
    <row r="1706" ht="12.75" customHeight="1" spans="2:9">
      <c r="B1706" s="3274">
        <v>640</v>
      </c>
      <c r="D1706" s="3297" t="s">
        <v>5712</v>
      </c>
      <c r="E1706" s="3298" t="s">
        <v>5713</v>
      </c>
      <c r="F1706" s="3298" t="s">
        <v>3423</v>
      </c>
      <c r="G1706" s="3278">
        <v>139150</v>
      </c>
      <c r="H1706" s="3299">
        <v>0</v>
      </c>
      <c r="I1706" s="3278">
        <v>0</v>
      </c>
    </row>
    <row r="1707" ht="12.75" customHeight="1" spans="2:9">
      <c r="B1707" s="3274">
        <v>641</v>
      </c>
      <c r="D1707" s="3297" t="s">
        <v>5714</v>
      </c>
      <c r="E1707" s="3298" t="s">
        <v>5715</v>
      </c>
      <c r="F1707" s="3298" t="s">
        <v>2367</v>
      </c>
      <c r="G1707" s="3278">
        <v>10263</v>
      </c>
      <c r="H1707" s="3299">
        <v>0</v>
      </c>
      <c r="I1707" s="3278">
        <v>0</v>
      </c>
    </row>
    <row r="1708" ht="12.75" customHeight="1" spans="2:9">
      <c r="B1708" s="3274">
        <v>642</v>
      </c>
      <c r="D1708" s="3297" t="s">
        <v>5716</v>
      </c>
      <c r="E1708" s="3298" t="s">
        <v>5717</v>
      </c>
      <c r="F1708" s="3298" t="s">
        <v>2367</v>
      </c>
      <c r="G1708" s="3278">
        <v>1540</v>
      </c>
      <c r="H1708" s="3299">
        <v>0</v>
      </c>
      <c r="I1708" s="3278">
        <v>0</v>
      </c>
    </row>
    <row r="1709" ht="12.75" customHeight="1" spans="2:9">
      <c r="B1709" s="3274">
        <v>643</v>
      </c>
      <c r="D1709" s="3297" t="s">
        <v>5718</v>
      </c>
      <c r="E1709" s="3298" t="s">
        <v>5719</v>
      </c>
      <c r="F1709" s="3298" t="s">
        <v>2367</v>
      </c>
      <c r="G1709" s="3278">
        <v>1650</v>
      </c>
      <c r="H1709" s="3299">
        <v>0</v>
      </c>
      <c r="I1709" s="3278">
        <v>0</v>
      </c>
    </row>
    <row r="1710" ht="12.75" customHeight="1" spans="2:9">
      <c r="B1710" s="3274">
        <v>644</v>
      </c>
      <c r="D1710" s="3297" t="s">
        <v>5720</v>
      </c>
      <c r="E1710" s="3298" t="s">
        <v>5721</v>
      </c>
      <c r="F1710" s="3298" t="s">
        <v>2321</v>
      </c>
      <c r="G1710" s="3278">
        <v>58080</v>
      </c>
      <c r="H1710" s="3299">
        <v>0</v>
      </c>
      <c r="I1710" s="3278">
        <v>0</v>
      </c>
    </row>
    <row r="1711" ht="12.75" customHeight="1" spans="2:9">
      <c r="B1711" s="3274">
        <v>645</v>
      </c>
      <c r="D1711" s="3297" t="s">
        <v>5722</v>
      </c>
      <c r="E1711" s="3298" t="s">
        <v>5723</v>
      </c>
      <c r="F1711" s="3298" t="s">
        <v>2321</v>
      </c>
      <c r="G1711" s="3278">
        <v>40268.8</v>
      </c>
      <c r="H1711" s="3299">
        <v>0</v>
      </c>
      <c r="I1711" s="3278">
        <v>0</v>
      </c>
    </row>
    <row r="1712" ht="12.75" customHeight="1" spans="2:9">
      <c r="B1712" s="3274">
        <v>646</v>
      </c>
      <c r="D1712" s="3297" t="s">
        <v>5724</v>
      </c>
      <c r="E1712" s="3298" t="s">
        <v>5725</v>
      </c>
      <c r="F1712" s="3298" t="s">
        <v>2321</v>
      </c>
      <c r="G1712" s="3278">
        <v>13629</v>
      </c>
      <c r="H1712" s="3299">
        <v>0</v>
      </c>
      <c r="I1712" s="3278">
        <v>0</v>
      </c>
    </row>
    <row r="1713" ht="12.75" customHeight="1" spans="2:9">
      <c r="B1713" s="3274">
        <v>647</v>
      </c>
      <c r="D1713" s="3297" t="s">
        <v>5726</v>
      </c>
      <c r="E1713" s="3298" t="s">
        <v>5727</v>
      </c>
      <c r="F1713" s="3298" t="s">
        <v>2321</v>
      </c>
      <c r="G1713" s="3278">
        <v>2274.8</v>
      </c>
      <c r="H1713" s="3299">
        <v>0</v>
      </c>
      <c r="I1713" s="3278">
        <v>0</v>
      </c>
    </row>
    <row r="1714" ht="12.75" customHeight="1" spans="2:9">
      <c r="B1714" s="3274">
        <v>648</v>
      </c>
      <c r="D1714" s="3297" t="s">
        <v>5728</v>
      </c>
      <c r="E1714" s="3298" t="s">
        <v>5729</v>
      </c>
      <c r="F1714" s="3298" t="s">
        <v>3056</v>
      </c>
      <c r="G1714" s="3278">
        <v>15400</v>
      </c>
      <c r="H1714" s="3299">
        <v>0</v>
      </c>
      <c r="I1714" s="3278">
        <v>0</v>
      </c>
    </row>
    <row r="1715" ht="12.75" customHeight="1" spans="2:9">
      <c r="B1715" s="3274">
        <v>649</v>
      </c>
      <c r="D1715" s="3297" t="s">
        <v>5730</v>
      </c>
      <c r="E1715" s="3298" t="s">
        <v>5731</v>
      </c>
      <c r="F1715" s="3298" t="s">
        <v>2367</v>
      </c>
      <c r="G1715" s="3278">
        <v>16208.72</v>
      </c>
      <c r="H1715" s="3299">
        <v>0</v>
      </c>
      <c r="I1715" s="3278">
        <v>0</v>
      </c>
    </row>
    <row r="1716" ht="12.75" customHeight="1" spans="2:9">
      <c r="B1716" s="3274">
        <v>650</v>
      </c>
      <c r="D1716" s="3297" t="s">
        <v>5732</v>
      </c>
      <c r="E1716" s="3298" t="s">
        <v>5733</v>
      </c>
      <c r="F1716" s="3298" t="s">
        <v>3056</v>
      </c>
      <c r="G1716" s="3278">
        <v>6283.2</v>
      </c>
      <c r="H1716" s="3299">
        <v>0</v>
      </c>
      <c r="I1716" s="3278">
        <v>0</v>
      </c>
    </row>
    <row r="1717" ht="12.75" customHeight="1" spans="2:9">
      <c r="B1717" s="3274">
        <v>651</v>
      </c>
      <c r="D1717" s="3297" t="s">
        <v>5734</v>
      </c>
      <c r="E1717" s="3298" t="s">
        <v>5735</v>
      </c>
      <c r="F1717" s="3298" t="s">
        <v>2367</v>
      </c>
      <c r="G1717" s="3278">
        <v>935</v>
      </c>
      <c r="H1717" s="3299">
        <v>0</v>
      </c>
      <c r="I1717" s="3278">
        <v>0</v>
      </c>
    </row>
    <row r="1718" ht="12.75" customHeight="1" spans="2:9">
      <c r="B1718" s="3274">
        <v>652</v>
      </c>
      <c r="D1718" s="3297" t="s">
        <v>5736</v>
      </c>
      <c r="E1718" s="3298" t="s">
        <v>5737</v>
      </c>
      <c r="F1718" s="3298" t="s">
        <v>2367</v>
      </c>
      <c r="G1718" s="3278">
        <v>2062.5</v>
      </c>
      <c r="H1718" s="3299">
        <v>0</v>
      </c>
      <c r="I1718" s="3278">
        <v>0</v>
      </c>
    </row>
    <row r="1719" ht="12.75" customHeight="1" spans="2:9">
      <c r="B1719" s="3274">
        <v>653</v>
      </c>
      <c r="D1719" s="3297" t="s">
        <v>5738</v>
      </c>
      <c r="E1719" s="3298" t="s">
        <v>5739</v>
      </c>
      <c r="F1719" s="3298" t="s">
        <v>2367</v>
      </c>
      <c r="G1719" s="3278">
        <v>1540</v>
      </c>
      <c r="H1719" s="3299">
        <v>0</v>
      </c>
      <c r="I1719" s="3278">
        <v>0</v>
      </c>
    </row>
    <row r="1720" ht="12.75" customHeight="1" spans="2:9">
      <c r="B1720" s="3274">
        <v>654</v>
      </c>
      <c r="D1720" s="3297" t="s">
        <v>5740</v>
      </c>
      <c r="E1720" s="3298" t="s">
        <v>5741</v>
      </c>
      <c r="F1720" s="3298" t="s">
        <v>2321</v>
      </c>
      <c r="G1720" s="3278">
        <v>41800</v>
      </c>
      <c r="H1720" s="3299">
        <v>0</v>
      </c>
      <c r="I1720" s="3278">
        <v>0</v>
      </c>
    </row>
    <row r="1721" ht="12.75" customHeight="1" spans="2:9">
      <c r="B1721" s="3274">
        <v>655</v>
      </c>
      <c r="D1721" s="3297" t="s">
        <v>5742</v>
      </c>
      <c r="E1721" s="3298" t="s">
        <v>5743</v>
      </c>
      <c r="F1721" s="3298" t="s">
        <v>2321</v>
      </c>
      <c r="G1721" s="3278">
        <v>46750</v>
      </c>
      <c r="H1721" s="3299">
        <v>0</v>
      </c>
      <c r="I1721" s="3278">
        <v>0</v>
      </c>
    </row>
    <row r="1722" ht="12.75" customHeight="1" spans="2:9">
      <c r="B1722" s="3274">
        <v>656</v>
      </c>
      <c r="D1722" s="3297" t="s">
        <v>5744</v>
      </c>
      <c r="E1722" s="3298" t="s">
        <v>5745</v>
      </c>
      <c r="F1722" s="3298" t="s">
        <v>2321</v>
      </c>
      <c r="G1722" s="3278">
        <v>39600</v>
      </c>
      <c r="H1722" s="3299">
        <v>0</v>
      </c>
      <c r="I1722" s="3278">
        <v>0</v>
      </c>
    </row>
    <row r="1723" ht="12.75" customHeight="1" spans="2:9">
      <c r="B1723" s="3274">
        <v>657</v>
      </c>
      <c r="D1723" s="3297" t="s">
        <v>5746</v>
      </c>
      <c r="E1723" s="3298" t="s">
        <v>5747</v>
      </c>
      <c r="F1723" s="3298" t="s">
        <v>2321</v>
      </c>
      <c r="G1723" s="3278">
        <v>80300</v>
      </c>
      <c r="H1723" s="3299">
        <v>0</v>
      </c>
      <c r="I1723" s="3278">
        <v>0</v>
      </c>
    </row>
    <row r="1724" ht="12.75" customHeight="1" spans="2:9">
      <c r="B1724" s="3274">
        <v>658</v>
      </c>
      <c r="D1724" s="3297" t="s">
        <v>5748</v>
      </c>
      <c r="E1724" s="3298" t="s">
        <v>5749</v>
      </c>
      <c r="F1724" s="3298" t="s">
        <v>2321</v>
      </c>
      <c r="G1724" s="3278">
        <v>16500</v>
      </c>
      <c r="H1724" s="3299">
        <v>0</v>
      </c>
      <c r="I1724" s="3278">
        <v>0</v>
      </c>
    </row>
    <row r="1725" ht="12.75" customHeight="1" spans="2:9">
      <c r="B1725" s="3274">
        <v>659</v>
      </c>
      <c r="D1725" s="3297" t="s">
        <v>5750</v>
      </c>
      <c r="E1725" s="3298" t="s">
        <v>5751</v>
      </c>
      <c r="F1725" s="3298" t="s">
        <v>2367</v>
      </c>
      <c r="G1725" s="3278">
        <v>10106.25</v>
      </c>
      <c r="H1725" s="3299">
        <v>1200</v>
      </c>
      <c r="I1725" s="3278">
        <v>12127500</v>
      </c>
    </row>
    <row r="1726" ht="12.75" customHeight="1" spans="2:9">
      <c r="B1726" s="3274">
        <v>660</v>
      </c>
      <c r="D1726" s="3297" t="s">
        <v>5752</v>
      </c>
      <c r="E1726" s="3298" t="s">
        <v>5753</v>
      </c>
      <c r="F1726" s="3298" t="s">
        <v>2367</v>
      </c>
      <c r="G1726" s="3278">
        <v>19800</v>
      </c>
      <c r="H1726" s="3299">
        <v>360</v>
      </c>
      <c r="I1726" s="3278">
        <v>7128000</v>
      </c>
    </row>
    <row r="1727" ht="12.75" customHeight="1" spans="2:9">
      <c r="B1727" s="3274">
        <v>661</v>
      </c>
      <c r="D1727" s="3297" t="s">
        <v>5754</v>
      </c>
      <c r="E1727" s="3298" t="s">
        <v>5755</v>
      </c>
      <c r="F1727" s="3298" t="s">
        <v>2367</v>
      </c>
      <c r="G1727" s="3278">
        <v>4125</v>
      </c>
      <c r="H1727" s="3299">
        <v>0</v>
      </c>
      <c r="I1727" s="3278">
        <v>0</v>
      </c>
    </row>
    <row r="1728" ht="12.75" customHeight="1" spans="2:9">
      <c r="B1728" s="3274">
        <v>662</v>
      </c>
      <c r="D1728" s="3297" t="s">
        <v>5756</v>
      </c>
      <c r="E1728" s="3298" t="s">
        <v>5757</v>
      </c>
      <c r="F1728" s="3298" t="s">
        <v>2367</v>
      </c>
      <c r="G1728" s="3278">
        <v>1430</v>
      </c>
      <c r="H1728" s="3299">
        <v>0</v>
      </c>
      <c r="I1728" s="3278">
        <v>0</v>
      </c>
    </row>
    <row r="1729" ht="12.75" customHeight="1" spans="2:9">
      <c r="B1729" s="3274">
        <v>663</v>
      </c>
      <c r="D1729" s="3297" t="s">
        <v>5758</v>
      </c>
      <c r="E1729" s="3298" t="s">
        <v>5759</v>
      </c>
      <c r="F1729" s="3298" t="s">
        <v>3056</v>
      </c>
      <c r="G1729" s="3278">
        <v>32455.5</v>
      </c>
      <c r="H1729" s="3299">
        <v>0</v>
      </c>
      <c r="I1729" s="3278">
        <v>0</v>
      </c>
    </row>
    <row r="1730" ht="12.75" customHeight="1" spans="2:9">
      <c r="B1730" s="3274">
        <v>664</v>
      </c>
      <c r="D1730" s="3297" t="s">
        <v>5760</v>
      </c>
      <c r="E1730" s="3298" t="s">
        <v>5761</v>
      </c>
      <c r="F1730" s="3298" t="s">
        <v>2367</v>
      </c>
      <c r="G1730" s="3278">
        <v>169400</v>
      </c>
      <c r="H1730" s="3299">
        <v>0</v>
      </c>
      <c r="I1730" s="3278">
        <v>0</v>
      </c>
    </row>
    <row r="1731" ht="12.75" customHeight="1" spans="2:9">
      <c r="B1731" s="3274">
        <v>665</v>
      </c>
      <c r="D1731" s="3297" t="s">
        <v>5762</v>
      </c>
      <c r="E1731" s="3298" t="s">
        <v>5763</v>
      </c>
      <c r="F1731" s="3298" t="s">
        <v>2367</v>
      </c>
      <c r="G1731" s="3278">
        <v>3217.225</v>
      </c>
      <c r="H1731" s="3299">
        <v>0</v>
      </c>
      <c r="I1731" s="3278">
        <v>0</v>
      </c>
    </row>
    <row r="1732" ht="12.75" customHeight="1" spans="2:9">
      <c r="B1732" s="3274">
        <v>666</v>
      </c>
      <c r="D1732" s="3297" t="s">
        <v>5764</v>
      </c>
      <c r="E1732" s="3298" t="s">
        <v>5765</v>
      </c>
      <c r="F1732" s="3298" t="s">
        <v>2367</v>
      </c>
      <c r="G1732" s="3278">
        <v>19914.9178</v>
      </c>
      <c r="H1732" s="3299">
        <v>150</v>
      </c>
      <c r="I1732" s="3278">
        <v>2987237.67</v>
      </c>
    </row>
    <row r="1733" ht="12.75" customHeight="1" spans="2:9">
      <c r="B1733" s="3274">
        <v>667</v>
      </c>
      <c r="D1733" s="3297" t="s">
        <v>5766</v>
      </c>
      <c r="E1733" s="3298" t="s">
        <v>5767</v>
      </c>
      <c r="F1733" s="3298" t="s">
        <v>2367</v>
      </c>
      <c r="G1733" s="3278">
        <v>20504.4835</v>
      </c>
      <c r="H1733" s="3299">
        <v>0</v>
      </c>
      <c r="I1733" s="3278">
        <v>0</v>
      </c>
    </row>
    <row r="1734" ht="12.75" customHeight="1" spans="2:9">
      <c r="B1734" s="3274">
        <v>668</v>
      </c>
      <c r="D1734" s="3297" t="s">
        <v>5768</v>
      </c>
      <c r="E1734" s="3298" t="s">
        <v>5769</v>
      </c>
      <c r="F1734" s="3298" t="s">
        <v>3056</v>
      </c>
      <c r="G1734" s="3278">
        <v>4620</v>
      </c>
      <c r="H1734" s="3299">
        <v>0</v>
      </c>
      <c r="I1734" s="3278">
        <v>0</v>
      </c>
    </row>
    <row r="1735" ht="12.75" customHeight="1" spans="2:9">
      <c r="B1735" s="3274">
        <v>669</v>
      </c>
      <c r="D1735" s="3297" t="s">
        <v>5770</v>
      </c>
      <c r="E1735" s="3298" t="s">
        <v>5771</v>
      </c>
      <c r="F1735" s="3298" t="s">
        <v>2367</v>
      </c>
      <c r="G1735" s="3278">
        <v>42199.3</v>
      </c>
      <c r="H1735" s="3299">
        <v>0</v>
      </c>
      <c r="I1735" s="3278">
        <v>0</v>
      </c>
    </row>
    <row r="1736" ht="12.75" customHeight="1" spans="2:9">
      <c r="B1736" s="3274">
        <v>670</v>
      </c>
      <c r="D1736" s="3297" t="s">
        <v>5772</v>
      </c>
      <c r="E1736" s="3298" t="s">
        <v>5773</v>
      </c>
      <c r="F1736" s="3298" t="s">
        <v>3056</v>
      </c>
      <c r="G1736" s="3278">
        <v>858</v>
      </c>
      <c r="H1736" s="3299">
        <v>0</v>
      </c>
      <c r="I1736" s="3278">
        <v>0</v>
      </c>
    </row>
    <row r="1737" ht="12.75" customHeight="1" spans="2:9">
      <c r="B1737" s="3274">
        <v>671</v>
      </c>
      <c r="D1737" s="3297" t="s">
        <v>5774</v>
      </c>
      <c r="E1737" s="3298" t="s">
        <v>5775</v>
      </c>
      <c r="F1737" s="3298" t="s">
        <v>2367</v>
      </c>
      <c r="G1737" s="3278">
        <v>2574</v>
      </c>
      <c r="H1737" s="3299">
        <v>0</v>
      </c>
      <c r="I1737" s="3278">
        <v>0</v>
      </c>
    </row>
    <row r="1738" ht="12.75" customHeight="1" spans="2:9">
      <c r="B1738" s="3274">
        <v>672</v>
      </c>
      <c r="D1738" s="3297" t="s">
        <v>5776</v>
      </c>
      <c r="E1738" s="3298" t="s">
        <v>5777</v>
      </c>
      <c r="F1738" s="3298" t="s">
        <v>3056</v>
      </c>
      <c r="G1738" s="3278">
        <v>4620</v>
      </c>
      <c r="H1738" s="3299">
        <v>0</v>
      </c>
      <c r="I1738" s="3278">
        <v>0</v>
      </c>
    </row>
    <row r="1739" ht="12.75" customHeight="1" spans="2:9">
      <c r="B1739" s="3274">
        <v>673</v>
      </c>
      <c r="D1739" s="3297" t="s">
        <v>5778</v>
      </c>
      <c r="E1739" s="3298" t="s">
        <v>5779</v>
      </c>
      <c r="F1739" s="3298" t="s">
        <v>2367</v>
      </c>
      <c r="G1739" s="3278">
        <v>248266.15</v>
      </c>
      <c r="H1739" s="3299">
        <v>12</v>
      </c>
      <c r="I1739" s="3278">
        <v>2979193.8</v>
      </c>
    </row>
    <row r="1740" ht="12.75" customHeight="1" spans="2:9">
      <c r="B1740" s="3274">
        <v>674</v>
      </c>
      <c r="D1740" s="3297" t="s">
        <v>5780</v>
      </c>
      <c r="E1740" s="3298" t="s">
        <v>5781</v>
      </c>
      <c r="F1740" s="3298" t="s">
        <v>3423</v>
      </c>
      <c r="G1740" s="3278">
        <v>5720</v>
      </c>
      <c r="H1740" s="3299">
        <v>0</v>
      </c>
      <c r="I1740" s="3278">
        <v>0</v>
      </c>
    </row>
    <row r="1741" ht="12.75" customHeight="1" spans="2:9">
      <c r="B1741" s="3274">
        <v>675</v>
      </c>
      <c r="D1741" s="3297" t="s">
        <v>5782</v>
      </c>
      <c r="E1741" s="3298" t="s">
        <v>5783</v>
      </c>
      <c r="F1741" s="3298" t="s">
        <v>3056</v>
      </c>
      <c r="G1741" s="3278">
        <v>70.092</v>
      </c>
      <c r="H1741" s="3299">
        <v>0</v>
      </c>
      <c r="I1741" s="3278">
        <v>0</v>
      </c>
    </row>
    <row r="1742" ht="12.75" customHeight="1" spans="2:9">
      <c r="B1742" s="3274">
        <v>676</v>
      </c>
      <c r="D1742" s="3297" t="s">
        <v>5784</v>
      </c>
      <c r="E1742" s="3298" t="s">
        <v>5785</v>
      </c>
      <c r="F1742" s="3298" t="s">
        <v>2367</v>
      </c>
      <c r="G1742" s="3278">
        <v>4400</v>
      </c>
      <c r="H1742" s="3299">
        <v>0</v>
      </c>
      <c r="I1742" s="3278">
        <v>0</v>
      </c>
    </row>
    <row r="1743" ht="12.75" customHeight="1" spans="2:9">
      <c r="B1743" s="3274">
        <v>677</v>
      </c>
      <c r="D1743" s="3297" t="s">
        <v>5786</v>
      </c>
      <c r="E1743" s="3298" t="s">
        <v>5787</v>
      </c>
      <c r="F1743" s="3298" t="s">
        <v>2367</v>
      </c>
      <c r="G1743" s="3278">
        <v>374000</v>
      </c>
      <c r="H1743" s="3299">
        <v>0</v>
      </c>
      <c r="I1743" s="3278">
        <v>0</v>
      </c>
    </row>
    <row r="1744" ht="12.75" customHeight="1" spans="2:9">
      <c r="B1744" s="3274">
        <v>678</v>
      </c>
      <c r="D1744" s="3297" t="s">
        <v>5788</v>
      </c>
      <c r="E1744" s="3298" t="s">
        <v>5789</v>
      </c>
      <c r="F1744" s="3298" t="s">
        <v>2367</v>
      </c>
      <c r="G1744" s="3278">
        <v>16148</v>
      </c>
      <c r="H1744" s="3299">
        <v>0</v>
      </c>
      <c r="I1744" s="3278">
        <v>0</v>
      </c>
    </row>
    <row r="1745" ht="12.75" customHeight="1" spans="2:9">
      <c r="B1745" s="3274">
        <v>679</v>
      </c>
      <c r="D1745" s="3297" t="s">
        <v>5790</v>
      </c>
      <c r="E1745" s="3298" t="s">
        <v>5791</v>
      </c>
      <c r="F1745" s="3298" t="s">
        <v>2293</v>
      </c>
      <c r="G1745" s="3278">
        <v>13999.997</v>
      </c>
      <c r="H1745" s="3299">
        <v>0</v>
      </c>
      <c r="I1745" s="3278">
        <v>0</v>
      </c>
    </row>
    <row r="1746" ht="12.75" customHeight="1" spans="2:9">
      <c r="B1746" s="3274">
        <v>680</v>
      </c>
      <c r="D1746" s="3297" t="s">
        <v>5792</v>
      </c>
      <c r="E1746" s="3298" t="s">
        <v>5793</v>
      </c>
      <c r="F1746" s="3298" t="s">
        <v>2321</v>
      </c>
      <c r="G1746" s="3278">
        <v>12375</v>
      </c>
      <c r="H1746" s="3299">
        <v>0</v>
      </c>
      <c r="I1746" s="3278">
        <v>0</v>
      </c>
    </row>
    <row r="1747" ht="12.75" customHeight="1" spans="2:9">
      <c r="B1747" s="3274">
        <v>681</v>
      </c>
      <c r="D1747" s="3297" t="s">
        <v>5794</v>
      </c>
      <c r="E1747" s="3298" t="s">
        <v>5795</v>
      </c>
      <c r="F1747" s="3298" t="s">
        <v>2321</v>
      </c>
      <c r="G1747" s="3278">
        <v>18400</v>
      </c>
      <c r="H1747" s="3299">
        <v>0</v>
      </c>
      <c r="I1747" s="3278">
        <v>0</v>
      </c>
    </row>
    <row r="1748" ht="12.75" customHeight="1" spans="2:9">
      <c r="B1748" s="3274">
        <v>682</v>
      </c>
      <c r="D1748" s="3297" t="s">
        <v>5796</v>
      </c>
      <c r="E1748" s="3298" t="s">
        <v>5797</v>
      </c>
      <c r="F1748" s="3298" t="s">
        <v>2321</v>
      </c>
      <c r="G1748" s="3278">
        <v>39499.999</v>
      </c>
      <c r="H1748" s="3299">
        <v>0</v>
      </c>
      <c r="I1748" s="3278">
        <v>0</v>
      </c>
    </row>
    <row r="1749" ht="12.75" customHeight="1" spans="2:9">
      <c r="B1749" s="3274">
        <v>683</v>
      </c>
      <c r="D1749" s="3297" t="s">
        <v>5798</v>
      </c>
      <c r="E1749" s="3298" t="s">
        <v>5799</v>
      </c>
      <c r="F1749" s="3298" t="s">
        <v>2321</v>
      </c>
      <c r="G1749" s="3278">
        <v>14500.002</v>
      </c>
      <c r="H1749" s="3299">
        <v>0</v>
      </c>
      <c r="I1749" s="3278">
        <v>0</v>
      </c>
    </row>
    <row r="1750" ht="12.75" customHeight="1" spans="2:9">
      <c r="B1750" s="3274">
        <v>684</v>
      </c>
      <c r="D1750" s="3297" t="s">
        <v>5800</v>
      </c>
      <c r="E1750" s="3298" t="s">
        <v>5801</v>
      </c>
      <c r="F1750" s="3298" t="s">
        <v>2321</v>
      </c>
      <c r="G1750" s="3278">
        <v>21450</v>
      </c>
      <c r="H1750" s="3299">
        <v>0</v>
      </c>
      <c r="I1750" s="3278">
        <v>0</v>
      </c>
    </row>
    <row r="1751" ht="12.75" customHeight="1" spans="2:9">
      <c r="B1751" s="3274">
        <v>685</v>
      </c>
      <c r="D1751" s="3297" t="s">
        <v>5802</v>
      </c>
      <c r="E1751" s="3298" t="s">
        <v>5803</v>
      </c>
      <c r="F1751" s="3298" t="s">
        <v>2321</v>
      </c>
      <c r="G1751" s="3278">
        <v>36300</v>
      </c>
      <c r="H1751" s="3299">
        <v>0</v>
      </c>
      <c r="I1751" s="3278">
        <v>0</v>
      </c>
    </row>
    <row r="1752" ht="12.75" customHeight="1" spans="2:9">
      <c r="B1752" s="3274">
        <v>686</v>
      </c>
      <c r="D1752" s="3297" t="s">
        <v>5804</v>
      </c>
      <c r="E1752" s="3298" t="s">
        <v>5805</v>
      </c>
      <c r="F1752" s="3298" t="s">
        <v>2321</v>
      </c>
      <c r="G1752" s="3278">
        <v>14900.006</v>
      </c>
      <c r="H1752" s="3299">
        <v>0</v>
      </c>
      <c r="I1752" s="3278">
        <v>0</v>
      </c>
    </row>
    <row r="1753" ht="12.75" customHeight="1" spans="2:9">
      <c r="B1753" s="3274">
        <v>687</v>
      </c>
      <c r="D1753" s="3297" t="s">
        <v>5806</v>
      </c>
      <c r="E1753" s="3298" t="s">
        <v>5807</v>
      </c>
      <c r="F1753" s="3298" t="s">
        <v>2321</v>
      </c>
      <c r="G1753" s="3278">
        <v>8500.008</v>
      </c>
      <c r="H1753" s="3299">
        <v>0</v>
      </c>
      <c r="I1753" s="3278">
        <v>0</v>
      </c>
    </row>
    <row r="1754" ht="12.75" customHeight="1" spans="2:9">
      <c r="B1754" s="3274">
        <v>688</v>
      </c>
      <c r="D1754" s="3297" t="s">
        <v>5808</v>
      </c>
      <c r="E1754" s="3298" t="s">
        <v>5809</v>
      </c>
      <c r="F1754" s="3298" t="s">
        <v>2367</v>
      </c>
      <c r="G1754" s="3278">
        <v>3850</v>
      </c>
      <c r="H1754" s="3299">
        <v>0</v>
      </c>
      <c r="I1754" s="3278">
        <v>0</v>
      </c>
    </row>
    <row r="1755" ht="12.75" customHeight="1" spans="2:9">
      <c r="B1755" s="3274">
        <v>689</v>
      </c>
      <c r="D1755" s="3297" t="s">
        <v>5810</v>
      </c>
      <c r="E1755" s="3298" t="s">
        <v>5811</v>
      </c>
      <c r="F1755" s="3298" t="s">
        <v>2321</v>
      </c>
      <c r="G1755" s="3278">
        <v>38500</v>
      </c>
      <c r="H1755" s="3299">
        <v>0</v>
      </c>
      <c r="I1755" s="3278">
        <v>0</v>
      </c>
    </row>
    <row r="1756" ht="12.75" customHeight="1" spans="2:9">
      <c r="B1756" s="3274">
        <v>690</v>
      </c>
      <c r="D1756" s="3297" t="s">
        <v>5812</v>
      </c>
      <c r="E1756" s="3298" t="s">
        <v>5813</v>
      </c>
      <c r="F1756" s="3298" t="s">
        <v>3056</v>
      </c>
      <c r="G1756" s="3278">
        <v>5379</v>
      </c>
      <c r="H1756" s="3299">
        <v>0</v>
      </c>
      <c r="I1756" s="3278">
        <v>0</v>
      </c>
    </row>
    <row r="1757" ht="12.75" customHeight="1" spans="2:9">
      <c r="B1757" s="3274">
        <v>691</v>
      </c>
      <c r="D1757" s="3297" t="s">
        <v>5814</v>
      </c>
      <c r="E1757" s="3298" t="s">
        <v>5815</v>
      </c>
      <c r="F1757" s="3298" t="s">
        <v>2367</v>
      </c>
      <c r="G1757" s="3278">
        <v>3116.6631</v>
      </c>
      <c r="H1757" s="3299">
        <v>120</v>
      </c>
      <c r="I1757" s="3278">
        <v>373999.572</v>
      </c>
    </row>
    <row r="1758" ht="12.75" customHeight="1" spans="2:9">
      <c r="B1758" s="3274">
        <v>692</v>
      </c>
      <c r="D1758" s="3297" t="s">
        <v>5816</v>
      </c>
      <c r="E1758" s="3298" t="s">
        <v>5817</v>
      </c>
      <c r="F1758" s="3298" t="s">
        <v>2367</v>
      </c>
      <c r="G1758" s="3278">
        <v>2915</v>
      </c>
      <c r="H1758" s="3299">
        <v>0</v>
      </c>
      <c r="I1758" s="3278">
        <v>0</v>
      </c>
    </row>
    <row r="1759" ht="12.75" customHeight="1" spans="2:9">
      <c r="B1759" s="3274">
        <v>693</v>
      </c>
      <c r="D1759" s="3297" t="s">
        <v>5818</v>
      </c>
      <c r="E1759" s="3298" t="s">
        <v>5819</v>
      </c>
      <c r="F1759" s="3298" t="s">
        <v>2293</v>
      </c>
      <c r="G1759" s="3278">
        <v>97020</v>
      </c>
      <c r="H1759" s="3299">
        <v>0</v>
      </c>
      <c r="I1759" s="3278">
        <v>0</v>
      </c>
    </row>
    <row r="1760" ht="12.75" customHeight="1" spans="2:9">
      <c r="B1760" s="3274">
        <v>694</v>
      </c>
      <c r="D1760" s="3297" t="s">
        <v>5820</v>
      </c>
      <c r="E1760" s="3298" t="s">
        <v>5821</v>
      </c>
      <c r="F1760" s="3298" t="s">
        <v>2321</v>
      </c>
      <c r="G1760" s="3278">
        <v>110000</v>
      </c>
      <c r="H1760" s="3299">
        <v>0</v>
      </c>
      <c r="I1760" s="3278">
        <v>0</v>
      </c>
    </row>
    <row r="1761" ht="12.75" customHeight="1" spans="2:9">
      <c r="B1761" s="3274">
        <v>695</v>
      </c>
      <c r="D1761" s="3297" t="s">
        <v>5822</v>
      </c>
      <c r="E1761" s="3298" t="s">
        <v>5823</v>
      </c>
      <c r="F1761" s="3298" t="s">
        <v>3056</v>
      </c>
      <c r="G1761" s="3278">
        <v>6050</v>
      </c>
      <c r="H1761" s="3299">
        <v>0</v>
      </c>
      <c r="I1761" s="3278">
        <v>0</v>
      </c>
    </row>
    <row r="1762" ht="12.75" customHeight="1" spans="2:9">
      <c r="B1762" s="3274">
        <v>696</v>
      </c>
      <c r="D1762" s="3297" t="s">
        <v>5824</v>
      </c>
      <c r="E1762" s="3298" t="s">
        <v>5825</v>
      </c>
      <c r="F1762" s="3298" t="s">
        <v>3056</v>
      </c>
      <c r="G1762" s="3278">
        <v>2828.925</v>
      </c>
      <c r="H1762" s="3299">
        <v>0</v>
      </c>
      <c r="I1762" s="3278">
        <v>0</v>
      </c>
    </row>
    <row r="1763" ht="12.75" customHeight="1" spans="2:9">
      <c r="B1763" s="3274">
        <v>697</v>
      </c>
      <c r="D1763" s="3297" t="s">
        <v>5826</v>
      </c>
      <c r="E1763" s="3298" t="s">
        <v>5827</v>
      </c>
      <c r="F1763" s="3298" t="s">
        <v>2367</v>
      </c>
      <c r="G1763" s="3278">
        <v>43670</v>
      </c>
      <c r="H1763" s="3299">
        <v>0</v>
      </c>
      <c r="I1763" s="3278">
        <v>0</v>
      </c>
    </row>
    <row r="1764" ht="12.75" customHeight="1" spans="2:9">
      <c r="B1764" s="3274">
        <v>698</v>
      </c>
      <c r="D1764" s="3297" t="s">
        <v>5828</v>
      </c>
      <c r="E1764" s="3298" t="s">
        <v>5829</v>
      </c>
      <c r="F1764" s="3298" t="s">
        <v>2367</v>
      </c>
      <c r="G1764" s="3278">
        <v>555.5</v>
      </c>
      <c r="H1764" s="3299">
        <v>0</v>
      </c>
      <c r="I1764" s="3278">
        <v>0</v>
      </c>
    </row>
    <row r="1765" ht="12.75" customHeight="1" spans="2:9">
      <c r="B1765" s="3274">
        <v>699</v>
      </c>
      <c r="D1765" s="3297" t="s">
        <v>5830</v>
      </c>
      <c r="E1765" s="3298" t="s">
        <v>5831</v>
      </c>
      <c r="F1765" s="3298" t="s">
        <v>2367</v>
      </c>
      <c r="G1765" s="3278">
        <v>1144</v>
      </c>
      <c r="H1765" s="3299">
        <v>0</v>
      </c>
      <c r="I1765" s="3278">
        <v>0</v>
      </c>
    </row>
    <row r="1766" ht="12.75" customHeight="1" spans="2:9">
      <c r="B1766" s="3274">
        <v>700</v>
      </c>
      <c r="D1766" s="3297" t="s">
        <v>5832</v>
      </c>
      <c r="E1766" s="3298" t="s">
        <v>5833</v>
      </c>
      <c r="F1766" s="3298" t="s">
        <v>2367</v>
      </c>
      <c r="G1766" s="3278">
        <v>1210</v>
      </c>
      <c r="H1766" s="3299">
        <v>0</v>
      </c>
      <c r="I1766" s="3278">
        <v>0</v>
      </c>
    </row>
    <row r="1767" ht="12.75" customHeight="1" spans="2:9">
      <c r="B1767" s="3274">
        <v>701</v>
      </c>
      <c r="D1767" s="3297" t="s">
        <v>5834</v>
      </c>
      <c r="E1767" s="3298" t="s">
        <v>5835</v>
      </c>
      <c r="F1767" s="3298" t="s">
        <v>4351</v>
      </c>
      <c r="G1767" s="3278">
        <v>1408</v>
      </c>
      <c r="H1767" s="3299">
        <v>0</v>
      </c>
      <c r="I1767" s="3278">
        <v>0</v>
      </c>
    </row>
    <row r="1768" ht="12.75" customHeight="1" spans="2:9">
      <c r="B1768" s="3274">
        <v>702</v>
      </c>
      <c r="D1768" s="3297" t="s">
        <v>5836</v>
      </c>
      <c r="E1768" s="3298" t="s">
        <v>5837</v>
      </c>
      <c r="F1768" s="3298" t="s">
        <v>3056</v>
      </c>
      <c r="G1768" s="3278">
        <v>19250</v>
      </c>
      <c r="H1768" s="3299">
        <v>0</v>
      </c>
      <c r="I1768" s="3278">
        <v>0</v>
      </c>
    </row>
    <row r="1769" ht="12.75" customHeight="1" spans="2:9">
      <c r="B1769" s="3274">
        <v>703</v>
      </c>
      <c r="D1769" s="3297" t="s">
        <v>5838</v>
      </c>
      <c r="E1769" s="3298" t="s">
        <v>5839</v>
      </c>
      <c r="F1769" s="3298" t="s">
        <v>3056</v>
      </c>
      <c r="G1769" s="3278">
        <v>461.34</v>
      </c>
      <c r="H1769" s="3299">
        <v>1800</v>
      </c>
      <c r="I1769" s="3278">
        <v>830412</v>
      </c>
    </row>
    <row r="1770" ht="12.75" customHeight="1" spans="2:9">
      <c r="B1770" s="3274">
        <v>704</v>
      </c>
      <c r="D1770" s="3297" t="s">
        <v>5840</v>
      </c>
      <c r="E1770" s="3298" t="s">
        <v>5841</v>
      </c>
      <c r="F1770" s="3298" t="s">
        <v>3056</v>
      </c>
      <c r="G1770" s="3278">
        <v>3966.6</v>
      </c>
      <c r="H1770" s="3299">
        <v>0</v>
      </c>
      <c r="I1770" s="3278">
        <v>0</v>
      </c>
    </row>
    <row r="1771" ht="12.75" customHeight="1" spans="2:9">
      <c r="B1771" s="3274">
        <v>705</v>
      </c>
      <c r="D1771" s="3297" t="s">
        <v>5842</v>
      </c>
      <c r="E1771" s="3298" t="s">
        <v>5843</v>
      </c>
      <c r="F1771" s="3298" t="s">
        <v>2321</v>
      </c>
      <c r="G1771" s="3278">
        <v>58554.1</v>
      </c>
      <c r="H1771" s="3299">
        <v>0</v>
      </c>
      <c r="I1771" s="3278">
        <v>0</v>
      </c>
    </row>
    <row r="1772" ht="12.75" customHeight="1" spans="2:9">
      <c r="B1772" s="3274">
        <v>706</v>
      </c>
      <c r="D1772" s="3297" t="s">
        <v>5844</v>
      </c>
      <c r="E1772" s="3298" t="s">
        <v>5845</v>
      </c>
      <c r="F1772" s="3298" t="s">
        <v>2367</v>
      </c>
      <c r="G1772" s="3278">
        <v>4272.994</v>
      </c>
      <c r="H1772" s="3299">
        <v>0</v>
      </c>
      <c r="I1772" s="3278">
        <v>0</v>
      </c>
    </row>
    <row r="1773" ht="12.75" customHeight="1" spans="2:9">
      <c r="B1773" s="3274">
        <v>707</v>
      </c>
      <c r="D1773" s="3297" t="s">
        <v>5846</v>
      </c>
      <c r="E1773" s="3298" t="s">
        <v>5847</v>
      </c>
      <c r="F1773" s="3298" t="s">
        <v>3042</v>
      </c>
      <c r="G1773" s="3278">
        <v>236775</v>
      </c>
      <c r="H1773" s="3299">
        <v>0</v>
      </c>
      <c r="I1773" s="3278">
        <v>0</v>
      </c>
    </row>
    <row r="1774" ht="12.75" customHeight="1" spans="2:9">
      <c r="B1774" s="3274">
        <v>708</v>
      </c>
      <c r="D1774" s="3297" t="s">
        <v>5848</v>
      </c>
      <c r="E1774" s="3298" t="s">
        <v>5849</v>
      </c>
      <c r="F1774" s="3298" t="s">
        <v>3042</v>
      </c>
      <c r="G1774" s="3278">
        <v>462275</v>
      </c>
      <c r="H1774" s="3299">
        <v>0</v>
      </c>
      <c r="I1774" s="3278">
        <v>0</v>
      </c>
    </row>
    <row r="1775" ht="12.75" customHeight="1" spans="2:9">
      <c r="B1775" s="3274">
        <v>709</v>
      </c>
      <c r="D1775" s="3297" t="s">
        <v>5850</v>
      </c>
      <c r="E1775" s="3298" t="s">
        <v>5851</v>
      </c>
      <c r="F1775" s="3298" t="s">
        <v>3056</v>
      </c>
      <c r="G1775" s="3278">
        <v>3366</v>
      </c>
      <c r="H1775" s="3299">
        <v>0</v>
      </c>
      <c r="I1775" s="3278">
        <v>0</v>
      </c>
    </row>
    <row r="1776" ht="12.75" customHeight="1" spans="2:9">
      <c r="B1776" s="3274">
        <v>710</v>
      </c>
      <c r="D1776" s="3297" t="s">
        <v>5852</v>
      </c>
      <c r="E1776" s="3298" t="s">
        <v>5853</v>
      </c>
      <c r="F1776" s="3298" t="s">
        <v>2637</v>
      </c>
      <c r="G1776" s="3278">
        <v>25300</v>
      </c>
      <c r="H1776" s="3299">
        <v>0</v>
      </c>
      <c r="I1776" s="3278">
        <v>0</v>
      </c>
    </row>
    <row r="1777" ht="12.75" customHeight="1" spans="2:9">
      <c r="B1777" s="3274">
        <v>711</v>
      </c>
      <c r="D1777" s="3297" t="s">
        <v>5854</v>
      </c>
      <c r="E1777" s="3298" t="s">
        <v>5855</v>
      </c>
      <c r="F1777" s="3298" t="s">
        <v>3056</v>
      </c>
      <c r="G1777" s="3278">
        <v>172.425</v>
      </c>
      <c r="H1777" s="3299">
        <v>0</v>
      </c>
      <c r="I1777" s="3278">
        <v>0</v>
      </c>
    </row>
    <row r="1778" ht="12.75" customHeight="1" spans="2:9">
      <c r="B1778" s="3274">
        <v>712</v>
      </c>
      <c r="D1778" s="3297" t="s">
        <v>5856</v>
      </c>
      <c r="E1778" s="3298" t="s">
        <v>5857</v>
      </c>
      <c r="F1778" s="3298" t="s">
        <v>3056</v>
      </c>
      <c r="G1778" s="3278">
        <v>407.55</v>
      </c>
      <c r="H1778" s="3299">
        <v>0</v>
      </c>
      <c r="I1778" s="3278">
        <v>0</v>
      </c>
    </row>
    <row r="1779" ht="12.75" customHeight="1" spans="2:9">
      <c r="B1779" s="3274">
        <v>713</v>
      </c>
      <c r="D1779" s="3297" t="s">
        <v>5858</v>
      </c>
      <c r="E1779" s="3298" t="s">
        <v>5859</v>
      </c>
      <c r="F1779" s="3298" t="s">
        <v>2367</v>
      </c>
      <c r="G1779" s="3278">
        <v>23123.87</v>
      </c>
      <c r="H1779" s="3299">
        <v>0</v>
      </c>
      <c r="I1779" s="3278">
        <v>0</v>
      </c>
    </row>
    <row r="1780" ht="12.75" customHeight="1" spans="2:9">
      <c r="B1780" s="3274">
        <v>714</v>
      </c>
      <c r="D1780" s="3297" t="s">
        <v>5860</v>
      </c>
      <c r="E1780" s="3298" t="s">
        <v>5861</v>
      </c>
      <c r="F1780" s="3298" t="s">
        <v>2321</v>
      </c>
      <c r="G1780" s="3278">
        <v>6448.2</v>
      </c>
      <c r="H1780" s="3299">
        <v>51</v>
      </c>
      <c r="I1780" s="3278">
        <v>328858.2</v>
      </c>
    </row>
    <row r="1781" ht="12.75" customHeight="1" spans="2:9">
      <c r="B1781" s="3274">
        <v>715</v>
      </c>
      <c r="D1781" s="3297" t="s">
        <v>5862</v>
      </c>
      <c r="E1781" s="3298" t="s">
        <v>5863</v>
      </c>
      <c r="F1781" s="3298" t="s">
        <v>2367</v>
      </c>
      <c r="G1781" s="3278">
        <v>12716</v>
      </c>
      <c r="H1781" s="3299">
        <v>0</v>
      </c>
      <c r="I1781" s="3278">
        <v>0</v>
      </c>
    </row>
    <row r="1782" ht="12.75" customHeight="1" spans="2:9">
      <c r="B1782" s="3274">
        <v>716</v>
      </c>
      <c r="D1782" s="3297" t="s">
        <v>5864</v>
      </c>
      <c r="E1782" s="3298" t="s">
        <v>5865</v>
      </c>
      <c r="F1782" s="3298" t="s">
        <v>2321</v>
      </c>
      <c r="G1782" s="3278">
        <v>3221.9</v>
      </c>
      <c r="H1782" s="3299">
        <v>0</v>
      </c>
      <c r="I1782" s="3278">
        <v>0</v>
      </c>
    </row>
    <row r="1783" ht="12.75" customHeight="1" spans="2:9">
      <c r="B1783" s="3274">
        <v>717</v>
      </c>
      <c r="D1783" s="3297" t="s">
        <v>5866</v>
      </c>
      <c r="E1783" s="3298" t="s">
        <v>5867</v>
      </c>
      <c r="F1783" s="3298" t="s">
        <v>2321</v>
      </c>
      <c r="G1783" s="3278">
        <v>8250</v>
      </c>
      <c r="H1783" s="3299">
        <v>0</v>
      </c>
      <c r="I1783" s="3278">
        <v>0</v>
      </c>
    </row>
    <row r="1784" ht="12.75" customHeight="1" spans="2:9">
      <c r="B1784" s="3274">
        <v>718</v>
      </c>
      <c r="D1784" s="3297" t="s">
        <v>5868</v>
      </c>
      <c r="E1784" s="3298" t="s">
        <v>5869</v>
      </c>
      <c r="F1784" s="3298" t="s">
        <v>3056</v>
      </c>
      <c r="G1784" s="3278">
        <v>18150</v>
      </c>
      <c r="H1784" s="3299">
        <v>0</v>
      </c>
      <c r="I1784" s="3278">
        <v>0</v>
      </c>
    </row>
    <row r="1785" ht="12.75" customHeight="1" spans="2:9">
      <c r="B1785" s="3274">
        <v>719</v>
      </c>
      <c r="D1785" s="3297" t="s">
        <v>5870</v>
      </c>
      <c r="E1785" s="3298" t="s">
        <v>5871</v>
      </c>
      <c r="F1785" s="3298" t="s">
        <v>3056</v>
      </c>
      <c r="G1785" s="3278">
        <v>15691.5</v>
      </c>
      <c r="H1785" s="3299">
        <v>0</v>
      </c>
      <c r="I1785" s="3278">
        <v>0</v>
      </c>
    </row>
    <row r="1786" ht="12.75" customHeight="1" spans="2:9">
      <c r="B1786" s="3274">
        <v>720</v>
      </c>
      <c r="D1786" s="3297" t="s">
        <v>5872</v>
      </c>
      <c r="E1786" s="3298" t="s">
        <v>5873</v>
      </c>
      <c r="F1786" s="3298" t="s">
        <v>5233</v>
      </c>
      <c r="G1786" s="3278">
        <v>20006.25</v>
      </c>
      <c r="H1786" s="3299">
        <v>10</v>
      </c>
      <c r="I1786" s="3278">
        <v>200062.5</v>
      </c>
    </row>
    <row r="1787" ht="12.75" customHeight="1" spans="2:9">
      <c r="B1787" s="3274">
        <v>721</v>
      </c>
      <c r="D1787" s="3297" t="s">
        <v>5874</v>
      </c>
      <c r="E1787" s="3298" t="s">
        <v>5875</v>
      </c>
      <c r="F1787" s="3298" t="s">
        <v>3042</v>
      </c>
      <c r="G1787" s="3278">
        <v>234667.0047</v>
      </c>
      <c r="H1787" s="3299">
        <v>0</v>
      </c>
      <c r="I1787" s="3278">
        <v>0</v>
      </c>
    </row>
    <row r="1788" ht="12.75" customHeight="1" spans="2:9">
      <c r="B1788" s="3274">
        <v>722</v>
      </c>
      <c r="D1788" s="3297" t="s">
        <v>5876</v>
      </c>
      <c r="E1788" s="3298" t="s">
        <v>5877</v>
      </c>
      <c r="F1788" s="3298" t="s">
        <v>3042</v>
      </c>
      <c r="G1788" s="3278">
        <v>49500</v>
      </c>
      <c r="H1788" s="3299">
        <v>0</v>
      </c>
      <c r="I1788" s="3278">
        <v>0</v>
      </c>
    </row>
    <row r="1789" ht="12.75" customHeight="1" spans="2:9">
      <c r="B1789" s="3274">
        <v>723</v>
      </c>
      <c r="D1789" s="3297" t="s">
        <v>5878</v>
      </c>
      <c r="E1789" s="3298" t="s">
        <v>5879</v>
      </c>
      <c r="F1789" s="3298" t="s">
        <v>3042</v>
      </c>
      <c r="G1789" s="3278">
        <v>115500</v>
      </c>
      <c r="H1789" s="3299">
        <v>12</v>
      </c>
      <c r="I1789" s="3278">
        <v>1386000</v>
      </c>
    </row>
    <row r="1790" ht="12.75" customHeight="1" spans="2:9">
      <c r="B1790" s="3274">
        <v>724</v>
      </c>
      <c r="D1790" s="3297" t="s">
        <v>5880</v>
      </c>
      <c r="E1790" s="3298" t="s">
        <v>5881</v>
      </c>
      <c r="F1790" s="3298" t="s">
        <v>2321</v>
      </c>
      <c r="G1790" s="3278">
        <v>8497.8753</v>
      </c>
      <c r="H1790" s="3299">
        <v>0</v>
      </c>
      <c r="I1790" s="3278">
        <v>0</v>
      </c>
    </row>
    <row r="1791" ht="12.75" customHeight="1" spans="2:9">
      <c r="B1791" s="3274">
        <v>725</v>
      </c>
      <c r="D1791" s="3297" t="s">
        <v>5882</v>
      </c>
      <c r="E1791" s="3298" t="s">
        <v>5883</v>
      </c>
      <c r="F1791" s="3298" t="s">
        <v>2321</v>
      </c>
      <c r="G1791" s="3278">
        <v>6953.0505</v>
      </c>
      <c r="H1791" s="3299">
        <v>0</v>
      </c>
      <c r="I1791" s="3278">
        <v>0</v>
      </c>
    </row>
    <row r="1792" ht="12.75" customHeight="1" spans="2:9">
      <c r="B1792" s="3274">
        <v>726</v>
      </c>
      <c r="D1792" s="3297" t="s">
        <v>5884</v>
      </c>
      <c r="E1792" s="3298" t="s">
        <v>5885</v>
      </c>
      <c r="F1792" s="3298" t="s">
        <v>2321</v>
      </c>
      <c r="G1792" s="3278">
        <v>47597</v>
      </c>
      <c r="H1792" s="3299">
        <v>0</v>
      </c>
      <c r="I1792" s="3278">
        <v>0</v>
      </c>
    </row>
    <row r="1793" ht="12.75" customHeight="1" spans="2:9">
      <c r="B1793" s="3274">
        <v>727</v>
      </c>
      <c r="D1793" s="3297" t="s">
        <v>5886</v>
      </c>
      <c r="E1793" s="3298" t="s">
        <v>5887</v>
      </c>
      <c r="F1793" s="3298" t="s">
        <v>2321</v>
      </c>
      <c r="G1793" s="3278">
        <v>3214.2</v>
      </c>
      <c r="H1793" s="3299">
        <v>0</v>
      </c>
      <c r="I1793" s="3278">
        <v>0</v>
      </c>
    </row>
    <row r="1794" ht="12.75" customHeight="1" spans="2:9">
      <c r="B1794" s="3274">
        <v>728</v>
      </c>
      <c r="D1794" s="3297" t="s">
        <v>5888</v>
      </c>
      <c r="E1794" s="3298" t="s">
        <v>5889</v>
      </c>
      <c r="F1794" s="3298" t="s">
        <v>3056</v>
      </c>
      <c r="G1794" s="3278">
        <v>3353.163</v>
      </c>
      <c r="H1794" s="3299">
        <v>0</v>
      </c>
      <c r="I1794" s="3278">
        <v>0</v>
      </c>
    </row>
    <row r="1795" ht="12.75" customHeight="1" spans="2:9">
      <c r="B1795" s="3274">
        <v>729</v>
      </c>
      <c r="D1795" s="3297" t="s">
        <v>5890</v>
      </c>
      <c r="E1795" s="3298" t="s">
        <v>5891</v>
      </c>
      <c r="F1795" s="3298" t="s">
        <v>3042</v>
      </c>
      <c r="G1795" s="3278">
        <v>48691.5</v>
      </c>
      <c r="H1795" s="3299">
        <v>0</v>
      </c>
      <c r="I1795" s="3278">
        <v>0</v>
      </c>
    </row>
    <row r="1796" ht="12.75" customHeight="1" spans="2:9">
      <c r="B1796" s="3274">
        <v>730</v>
      </c>
      <c r="D1796" s="3297" t="s">
        <v>5892</v>
      </c>
      <c r="E1796" s="3298" t="s">
        <v>5893</v>
      </c>
      <c r="F1796" s="3298" t="s">
        <v>3056</v>
      </c>
      <c r="G1796" s="3278">
        <v>33366.663</v>
      </c>
      <c r="H1796" s="3299">
        <v>0</v>
      </c>
      <c r="I1796" s="3278">
        <v>0</v>
      </c>
    </row>
    <row r="1797" ht="12.75" customHeight="1" spans="2:9">
      <c r="B1797" s="3274">
        <v>731</v>
      </c>
      <c r="D1797" s="3297" t="s">
        <v>5894</v>
      </c>
      <c r="E1797" s="3298" t="s">
        <v>5895</v>
      </c>
      <c r="F1797" s="3298" t="s">
        <v>2367</v>
      </c>
      <c r="G1797" s="3278">
        <v>11750.2</v>
      </c>
      <c r="H1797" s="3299">
        <v>0</v>
      </c>
      <c r="I1797" s="3278">
        <v>0</v>
      </c>
    </row>
    <row r="1798" ht="12.75" customHeight="1" spans="2:9">
      <c r="B1798" s="3274">
        <v>732</v>
      </c>
      <c r="D1798" s="3297" t="s">
        <v>5896</v>
      </c>
      <c r="E1798" s="3298" t="s">
        <v>5897</v>
      </c>
      <c r="F1798" s="3298" t="s">
        <v>2367</v>
      </c>
      <c r="G1798" s="3278">
        <v>8030</v>
      </c>
      <c r="H1798" s="3299">
        <v>0</v>
      </c>
      <c r="I1798" s="3278">
        <v>0</v>
      </c>
    </row>
    <row r="1799" ht="12.75" customHeight="1" spans="2:9">
      <c r="B1799" s="3274">
        <v>733</v>
      </c>
      <c r="D1799" s="3297" t="s">
        <v>5898</v>
      </c>
      <c r="E1799" s="3298" t="s">
        <v>5899</v>
      </c>
      <c r="F1799" s="3298" t="s">
        <v>2367</v>
      </c>
      <c r="G1799" s="3278">
        <v>4950</v>
      </c>
      <c r="H1799" s="3299">
        <v>0</v>
      </c>
      <c r="I1799" s="3278">
        <v>0</v>
      </c>
    </row>
    <row r="1800" ht="12.75" customHeight="1" spans="2:9">
      <c r="B1800" s="3274">
        <v>734</v>
      </c>
      <c r="D1800" s="3297" t="s">
        <v>5900</v>
      </c>
      <c r="E1800" s="3298" t="s">
        <v>5901</v>
      </c>
      <c r="F1800" s="3298" t="s">
        <v>2367</v>
      </c>
      <c r="G1800" s="3278">
        <v>7274.674</v>
      </c>
      <c r="H1800" s="3299">
        <v>0</v>
      </c>
      <c r="I1800" s="3278">
        <v>0</v>
      </c>
    </row>
    <row r="1801" ht="12.75" customHeight="1" spans="2:9">
      <c r="B1801" s="3274">
        <v>735</v>
      </c>
      <c r="D1801" s="3297" t="s">
        <v>5902</v>
      </c>
      <c r="E1801" s="3298" t="s">
        <v>5903</v>
      </c>
      <c r="F1801" s="3298" t="s">
        <v>2321</v>
      </c>
      <c r="G1801" s="3278">
        <v>40700</v>
      </c>
      <c r="H1801" s="3299">
        <v>15</v>
      </c>
      <c r="I1801" s="3278">
        <v>610500</v>
      </c>
    </row>
    <row r="1802" ht="12.75" customHeight="1" spans="2:9">
      <c r="B1802" s="3274">
        <v>736</v>
      </c>
      <c r="D1802" s="3297" t="s">
        <v>5904</v>
      </c>
      <c r="E1802" s="3298" t="s">
        <v>5905</v>
      </c>
      <c r="F1802" s="3298" t="s">
        <v>2321</v>
      </c>
      <c r="G1802" s="3278">
        <v>29700</v>
      </c>
      <c r="H1802" s="3299">
        <v>11</v>
      </c>
      <c r="I1802" s="3278">
        <v>326700</v>
      </c>
    </row>
    <row r="1803" ht="12.75" customHeight="1" spans="2:9">
      <c r="B1803" s="3274">
        <v>737</v>
      </c>
      <c r="D1803" s="3297" t="s">
        <v>5906</v>
      </c>
      <c r="E1803" s="3298" t="s">
        <v>5907</v>
      </c>
      <c r="F1803" s="3298" t="s">
        <v>2321</v>
      </c>
      <c r="G1803" s="3278">
        <v>25300</v>
      </c>
      <c r="H1803" s="3299">
        <v>0</v>
      </c>
      <c r="I1803" s="3278">
        <v>0</v>
      </c>
    </row>
    <row r="1804" ht="12.75" customHeight="1" spans="2:9">
      <c r="B1804" s="3274">
        <v>738</v>
      </c>
      <c r="D1804" s="3297" t="s">
        <v>5908</v>
      </c>
      <c r="E1804" s="3298" t="s">
        <v>5909</v>
      </c>
      <c r="F1804" s="3298" t="s">
        <v>3056</v>
      </c>
      <c r="G1804" s="3278">
        <v>1320</v>
      </c>
      <c r="H1804" s="3299">
        <v>1200</v>
      </c>
      <c r="I1804" s="3278">
        <v>1584000</v>
      </c>
    </row>
    <row r="1805" ht="12.75" customHeight="1" spans="2:9">
      <c r="B1805" s="3274">
        <v>739</v>
      </c>
      <c r="D1805" s="3297" t="s">
        <v>5910</v>
      </c>
      <c r="E1805" s="3298" t="s">
        <v>5911</v>
      </c>
      <c r="F1805" s="3298" t="s">
        <v>2321</v>
      </c>
      <c r="G1805" s="3278">
        <v>14080</v>
      </c>
      <c r="H1805" s="3299">
        <v>84</v>
      </c>
      <c r="I1805" s="3278">
        <v>1182720</v>
      </c>
    </row>
    <row r="1806" ht="12.75" customHeight="1" spans="2:9">
      <c r="B1806" s="3274">
        <v>740</v>
      </c>
      <c r="D1806" s="3297" t="s">
        <v>5912</v>
      </c>
      <c r="E1806" s="3298" t="s">
        <v>5913</v>
      </c>
      <c r="F1806" s="3298" t="s">
        <v>3056</v>
      </c>
      <c r="G1806" s="3278">
        <v>522.5</v>
      </c>
      <c r="H1806" s="3299">
        <v>100</v>
      </c>
      <c r="I1806" s="3278">
        <v>52250</v>
      </c>
    </row>
    <row r="1807" ht="12.75" customHeight="1" spans="2:9">
      <c r="B1807" s="3274">
        <v>741</v>
      </c>
      <c r="D1807" s="3297" t="s">
        <v>5914</v>
      </c>
      <c r="E1807" s="3298" t="s">
        <v>5915</v>
      </c>
      <c r="F1807" s="3298" t="s">
        <v>2321</v>
      </c>
      <c r="G1807" s="3278">
        <v>44550</v>
      </c>
      <c r="H1807" s="3299">
        <v>0</v>
      </c>
      <c r="I1807" s="3278">
        <v>0</v>
      </c>
    </row>
    <row r="1808" ht="12.75" customHeight="1" spans="2:9">
      <c r="B1808" s="3274">
        <v>742</v>
      </c>
      <c r="D1808" s="3297" t="s">
        <v>5916</v>
      </c>
      <c r="E1808" s="3298" t="s">
        <v>5917</v>
      </c>
      <c r="F1808" s="3298" t="s">
        <v>2321</v>
      </c>
      <c r="G1808" s="3278">
        <v>35970</v>
      </c>
      <c r="H1808" s="3299">
        <v>0</v>
      </c>
      <c r="I1808" s="3278">
        <v>0</v>
      </c>
    </row>
    <row r="1809" ht="12.75" customHeight="1" spans="2:9">
      <c r="B1809" s="3274">
        <v>743</v>
      </c>
      <c r="D1809" s="3297" t="s">
        <v>5918</v>
      </c>
      <c r="E1809" s="3298" t="s">
        <v>5919</v>
      </c>
      <c r="F1809" s="3298" t="s">
        <v>2321</v>
      </c>
      <c r="G1809" s="3278">
        <v>45760</v>
      </c>
      <c r="H1809" s="3299">
        <v>0</v>
      </c>
      <c r="I1809" s="3278">
        <v>0</v>
      </c>
    </row>
    <row r="1810" ht="12.75" customHeight="1" spans="2:9">
      <c r="B1810" s="3274">
        <v>744</v>
      </c>
      <c r="D1810" s="3297" t="s">
        <v>5920</v>
      </c>
      <c r="E1810" s="3298" t="s">
        <v>5921</v>
      </c>
      <c r="F1810" s="3298" t="s">
        <v>2367</v>
      </c>
      <c r="G1810" s="3278">
        <v>2425.5</v>
      </c>
      <c r="H1810" s="3299">
        <v>0</v>
      </c>
      <c r="I1810" s="3278">
        <v>0</v>
      </c>
    </row>
    <row r="1811" ht="12.75" customHeight="1" spans="2:9">
      <c r="B1811" s="3274">
        <v>745</v>
      </c>
      <c r="D1811" s="3297" t="s">
        <v>5922</v>
      </c>
      <c r="E1811" s="3298" t="s">
        <v>5923</v>
      </c>
      <c r="F1811" s="3298" t="s">
        <v>2321</v>
      </c>
      <c r="G1811" s="3278">
        <v>53433.6</v>
      </c>
      <c r="H1811" s="3299">
        <v>0</v>
      </c>
      <c r="I1811" s="3278">
        <v>0</v>
      </c>
    </row>
    <row r="1812" ht="12.75" customHeight="1" spans="2:9">
      <c r="B1812" s="3274">
        <v>746</v>
      </c>
      <c r="D1812" s="3297" t="s">
        <v>5924</v>
      </c>
      <c r="E1812" s="3298" t="s">
        <v>5925</v>
      </c>
      <c r="F1812" s="3298" t="s">
        <v>2321</v>
      </c>
      <c r="G1812" s="3278">
        <v>48576</v>
      </c>
      <c r="H1812" s="3299">
        <v>0</v>
      </c>
      <c r="I1812" s="3278">
        <v>0</v>
      </c>
    </row>
    <row r="1813" ht="12.75" customHeight="1" spans="2:9">
      <c r="B1813" s="3274">
        <v>747</v>
      </c>
      <c r="D1813" s="3297" t="s">
        <v>5926</v>
      </c>
      <c r="E1813" s="3298" t="s">
        <v>5927</v>
      </c>
      <c r="F1813" s="3298" t="s">
        <v>2367</v>
      </c>
      <c r="G1813" s="3278">
        <v>4596.9</v>
      </c>
      <c r="H1813" s="3299">
        <v>0</v>
      </c>
      <c r="I1813" s="3278">
        <v>0</v>
      </c>
    </row>
    <row r="1814" ht="12.75" customHeight="1" spans="2:9">
      <c r="B1814" s="3274">
        <v>748</v>
      </c>
      <c r="D1814" s="3297" t="s">
        <v>5928</v>
      </c>
      <c r="E1814" s="3298" t="s">
        <v>5929</v>
      </c>
      <c r="F1814" s="3298" t="s">
        <v>2321</v>
      </c>
      <c r="G1814" s="3278">
        <v>73205</v>
      </c>
      <c r="H1814" s="3299">
        <v>0</v>
      </c>
      <c r="I1814" s="3278">
        <v>0</v>
      </c>
    </row>
    <row r="1815" ht="12.75" customHeight="1" spans="2:9">
      <c r="B1815" s="3274">
        <v>749</v>
      </c>
      <c r="D1815" s="3297" t="s">
        <v>5930</v>
      </c>
      <c r="E1815" s="3298" t="s">
        <v>5931</v>
      </c>
      <c r="F1815" s="3298" t="s">
        <v>2367</v>
      </c>
      <c r="G1815" s="3278">
        <v>1375</v>
      </c>
      <c r="H1815" s="3299">
        <v>0</v>
      </c>
      <c r="I1815" s="3278">
        <v>0</v>
      </c>
    </row>
    <row r="1816" ht="12.75" customHeight="1" spans="2:9">
      <c r="B1816" s="3274">
        <v>750</v>
      </c>
      <c r="D1816" s="3297" t="s">
        <v>5932</v>
      </c>
      <c r="E1816" s="3298" t="s">
        <v>5933</v>
      </c>
      <c r="F1816" s="3298" t="s">
        <v>2321</v>
      </c>
      <c r="G1816" s="3278">
        <v>9950.006</v>
      </c>
      <c r="H1816" s="3299">
        <v>0</v>
      </c>
      <c r="I1816" s="3278">
        <v>0</v>
      </c>
    </row>
    <row r="1817" ht="12.75" customHeight="1" spans="2:9">
      <c r="B1817" s="3274">
        <v>751</v>
      </c>
      <c r="D1817" s="3297" t="s">
        <v>5934</v>
      </c>
      <c r="E1817" s="3298" t="s">
        <v>5935</v>
      </c>
      <c r="F1817" s="3298" t="s">
        <v>2637</v>
      </c>
      <c r="G1817" s="3278">
        <v>100750</v>
      </c>
      <c r="H1817" s="3299">
        <v>7</v>
      </c>
      <c r="I1817" s="3278">
        <v>705250</v>
      </c>
    </row>
    <row r="1818" ht="12.75" customHeight="1" spans="2:9">
      <c r="B1818" s="3274">
        <v>752</v>
      </c>
      <c r="D1818" s="3297" t="s">
        <v>5936</v>
      </c>
      <c r="E1818" s="3298" t="s">
        <v>5937</v>
      </c>
      <c r="F1818" s="3298" t="s">
        <v>2391</v>
      </c>
      <c r="G1818" s="3278">
        <v>9680</v>
      </c>
      <c r="H1818" s="3299">
        <v>0</v>
      </c>
      <c r="I1818" s="3278">
        <v>0</v>
      </c>
    </row>
    <row r="1819" ht="12.75" customHeight="1" spans="2:9">
      <c r="B1819" s="3274">
        <v>753</v>
      </c>
      <c r="D1819" s="3297" t="s">
        <v>5938</v>
      </c>
      <c r="E1819" s="3298" t="s">
        <v>5939</v>
      </c>
      <c r="F1819" s="3298" t="s">
        <v>2321</v>
      </c>
      <c r="G1819" s="3278">
        <v>34100</v>
      </c>
      <c r="H1819" s="3299">
        <v>0</v>
      </c>
      <c r="I1819" s="3278">
        <v>0</v>
      </c>
    </row>
    <row r="1820" ht="12.75" customHeight="1" spans="2:9">
      <c r="B1820" s="3274">
        <v>754</v>
      </c>
      <c r="D1820" s="3297" t="s">
        <v>5940</v>
      </c>
      <c r="E1820" s="3298" t="s">
        <v>5941</v>
      </c>
      <c r="F1820" s="3298" t="s">
        <v>2321</v>
      </c>
      <c r="G1820" s="3278">
        <v>8888</v>
      </c>
      <c r="H1820" s="3299">
        <v>0</v>
      </c>
      <c r="I1820" s="3278">
        <v>0</v>
      </c>
    </row>
    <row r="1821" ht="12.75" customHeight="1" spans="2:9">
      <c r="B1821" s="3274">
        <v>755</v>
      </c>
      <c r="D1821" s="3297" t="s">
        <v>5942</v>
      </c>
      <c r="E1821" s="3298" t="s">
        <v>5943</v>
      </c>
      <c r="F1821" s="3298" t="s">
        <v>2367</v>
      </c>
      <c r="G1821" s="3278">
        <v>438.625</v>
      </c>
      <c r="H1821" s="3299">
        <v>0</v>
      </c>
      <c r="I1821" s="3278">
        <v>0</v>
      </c>
    </row>
    <row r="1822" ht="12.75" customHeight="1" spans="2:9">
      <c r="B1822" s="3274">
        <v>756</v>
      </c>
      <c r="D1822" s="3297" t="s">
        <v>5944</v>
      </c>
      <c r="E1822" s="3298" t="s">
        <v>5945</v>
      </c>
      <c r="F1822" s="3298" t="s">
        <v>3056</v>
      </c>
      <c r="G1822" s="3278">
        <v>4840</v>
      </c>
      <c r="H1822" s="3299">
        <v>0</v>
      </c>
      <c r="I1822" s="3278">
        <v>0</v>
      </c>
    </row>
    <row r="1823" ht="12.75" customHeight="1" spans="2:9">
      <c r="B1823" s="3274">
        <v>757</v>
      </c>
      <c r="D1823" s="3297" t="s">
        <v>5946</v>
      </c>
      <c r="E1823" s="3298" t="s">
        <v>5947</v>
      </c>
      <c r="F1823" s="3298" t="s">
        <v>3042</v>
      </c>
      <c r="G1823" s="3278">
        <v>8250</v>
      </c>
      <c r="H1823" s="3299">
        <v>0</v>
      </c>
      <c r="I1823" s="3278">
        <v>0</v>
      </c>
    </row>
    <row r="1824" ht="12.75" customHeight="1" spans="2:9">
      <c r="B1824" s="3274">
        <v>758</v>
      </c>
      <c r="D1824" s="3297" t="s">
        <v>5948</v>
      </c>
      <c r="E1824" s="3298" t="s">
        <v>5949</v>
      </c>
      <c r="F1824" s="3298" t="s">
        <v>3056</v>
      </c>
      <c r="G1824" s="3278">
        <v>272.118</v>
      </c>
      <c r="H1824" s="3299">
        <v>0</v>
      </c>
      <c r="I1824" s="3278">
        <v>0</v>
      </c>
    </row>
    <row r="1825" ht="12.75" customHeight="1" spans="2:9">
      <c r="B1825" s="3274">
        <v>759</v>
      </c>
      <c r="D1825" s="3297" t="s">
        <v>5950</v>
      </c>
      <c r="E1825" s="3298" t="s">
        <v>5951</v>
      </c>
      <c r="F1825" s="3298" t="s">
        <v>2321</v>
      </c>
      <c r="G1825" s="3278">
        <v>2860</v>
      </c>
      <c r="H1825" s="3299">
        <v>600</v>
      </c>
      <c r="I1825" s="3278">
        <v>1716000</v>
      </c>
    </row>
    <row r="1826" ht="12.75" customHeight="1" spans="2:9">
      <c r="B1826" s="3274">
        <v>760</v>
      </c>
      <c r="D1826" s="3297" t="s">
        <v>5952</v>
      </c>
      <c r="E1826" s="3298" t="s">
        <v>5953</v>
      </c>
      <c r="F1826" s="3298" t="s">
        <v>2321</v>
      </c>
      <c r="G1826" s="3278">
        <v>17600</v>
      </c>
      <c r="H1826" s="3299">
        <v>0</v>
      </c>
      <c r="I1826" s="3278">
        <v>0</v>
      </c>
    </row>
    <row r="1827" ht="12.75" customHeight="1" spans="2:9">
      <c r="B1827" s="3274">
        <v>761</v>
      </c>
      <c r="D1827" s="3297" t="s">
        <v>5954</v>
      </c>
      <c r="E1827" s="3298" t="s">
        <v>5955</v>
      </c>
      <c r="F1827" s="3298" t="s">
        <v>2299</v>
      </c>
      <c r="G1827" s="3278">
        <v>22869</v>
      </c>
      <c r="H1827" s="3299">
        <v>8</v>
      </c>
      <c r="I1827" s="3278">
        <v>182952</v>
      </c>
    </row>
    <row r="1828" ht="12.75" customHeight="1" spans="2:9">
      <c r="B1828" s="3274">
        <v>762</v>
      </c>
      <c r="D1828" s="3297" t="s">
        <v>5956</v>
      </c>
      <c r="E1828" s="3298" t="s">
        <v>5957</v>
      </c>
      <c r="F1828" s="3298" t="s">
        <v>2321</v>
      </c>
      <c r="G1828" s="3278">
        <v>13513.5</v>
      </c>
      <c r="H1828" s="3299">
        <v>1260</v>
      </c>
      <c r="I1828" s="3278">
        <v>17027010</v>
      </c>
    </row>
    <row r="1829" ht="12.75" customHeight="1" spans="2:9">
      <c r="B1829" s="3274">
        <v>763</v>
      </c>
      <c r="D1829" s="3297" t="s">
        <v>5958</v>
      </c>
      <c r="E1829" s="3298" t="s">
        <v>5959</v>
      </c>
      <c r="F1829" s="3298" t="s">
        <v>5960</v>
      </c>
      <c r="G1829" s="3278">
        <v>14666.3</v>
      </c>
      <c r="H1829" s="3299">
        <v>29</v>
      </c>
      <c r="I1829" s="3278">
        <v>425322.7</v>
      </c>
    </row>
    <row r="1830" ht="12.75" customHeight="1" spans="2:9">
      <c r="B1830" s="3274">
        <v>764</v>
      </c>
      <c r="D1830" s="3297" t="s">
        <v>5961</v>
      </c>
      <c r="E1830" s="3298" t="s">
        <v>5962</v>
      </c>
      <c r="F1830" s="3298" t="s">
        <v>2321</v>
      </c>
      <c r="G1830" s="3278">
        <v>14800.5</v>
      </c>
      <c r="H1830" s="3299">
        <v>221</v>
      </c>
      <c r="I1830" s="3278">
        <v>3270910.5</v>
      </c>
    </row>
    <row r="1831" ht="12.75" customHeight="1" spans="2:9">
      <c r="B1831" s="3274">
        <v>765</v>
      </c>
      <c r="D1831" s="3297" t="s">
        <v>5963</v>
      </c>
      <c r="E1831" s="3298" t="s">
        <v>5964</v>
      </c>
      <c r="F1831" s="3298" t="s">
        <v>3620</v>
      </c>
      <c r="G1831" s="3278">
        <v>17270</v>
      </c>
      <c r="H1831" s="3299">
        <v>0</v>
      </c>
      <c r="I1831" s="3278">
        <v>0</v>
      </c>
    </row>
    <row r="1832" ht="12.75" customHeight="1" spans="2:9">
      <c r="B1832" s="3274">
        <v>766</v>
      </c>
      <c r="D1832" s="3297" t="s">
        <v>5965</v>
      </c>
      <c r="E1832" s="3298" t="s">
        <v>5966</v>
      </c>
      <c r="F1832" s="3298" t="s">
        <v>2321</v>
      </c>
      <c r="G1832" s="3278">
        <v>14399</v>
      </c>
      <c r="H1832" s="3299">
        <v>0</v>
      </c>
      <c r="I1832" s="3278">
        <v>0</v>
      </c>
    </row>
    <row r="1833" ht="12.75" customHeight="1" spans="2:9">
      <c r="B1833" s="3274">
        <v>767</v>
      </c>
      <c r="D1833" s="3297" t="s">
        <v>5967</v>
      </c>
      <c r="E1833" s="3298" t="s">
        <v>5968</v>
      </c>
      <c r="F1833" s="3298" t="s">
        <v>2321</v>
      </c>
      <c r="G1833" s="3278">
        <v>13090</v>
      </c>
      <c r="H1833" s="3299">
        <v>240</v>
      </c>
      <c r="I1833" s="3278">
        <v>3141600</v>
      </c>
    </row>
    <row r="1834" ht="12.75" customHeight="1" spans="2:9">
      <c r="B1834" s="3274">
        <v>768</v>
      </c>
      <c r="D1834" s="3297" t="s">
        <v>5969</v>
      </c>
      <c r="E1834" s="3298" t="s">
        <v>5970</v>
      </c>
      <c r="F1834" s="3298" t="s">
        <v>2367</v>
      </c>
      <c r="G1834" s="3278">
        <v>918.5</v>
      </c>
      <c r="H1834" s="3299">
        <v>0</v>
      </c>
      <c r="I1834" s="3278">
        <v>0</v>
      </c>
    </row>
    <row r="1835" ht="12.75" customHeight="1" spans="2:9">
      <c r="B1835" s="3274">
        <v>769</v>
      </c>
      <c r="D1835" s="3297" t="s">
        <v>5971</v>
      </c>
      <c r="E1835" s="3298" t="s">
        <v>5972</v>
      </c>
      <c r="F1835" s="3298" t="s">
        <v>2321</v>
      </c>
      <c r="G1835" s="3278">
        <v>29568</v>
      </c>
      <c r="H1835" s="3299">
        <v>0</v>
      </c>
      <c r="I1835" s="3278">
        <v>0</v>
      </c>
    </row>
    <row r="1836" ht="12.75" customHeight="1" spans="2:9">
      <c r="B1836" s="3274">
        <v>770</v>
      </c>
      <c r="D1836" s="3297" t="s">
        <v>5973</v>
      </c>
      <c r="E1836" s="3298" t="s">
        <v>5974</v>
      </c>
      <c r="F1836" s="3298" t="s">
        <v>2321</v>
      </c>
      <c r="G1836" s="3278">
        <v>30332.5</v>
      </c>
      <c r="H1836" s="3299">
        <v>0</v>
      </c>
      <c r="I1836" s="3278">
        <v>0</v>
      </c>
    </row>
    <row r="1837" ht="12.75" customHeight="1" spans="2:9">
      <c r="B1837" s="3274">
        <v>771</v>
      </c>
      <c r="D1837" s="3297" t="s">
        <v>5975</v>
      </c>
      <c r="E1837" s="3298" t="s">
        <v>5976</v>
      </c>
      <c r="F1837" s="3298" t="s">
        <v>2321</v>
      </c>
      <c r="G1837" s="3278">
        <v>107165.3</v>
      </c>
      <c r="H1837" s="3299">
        <v>0</v>
      </c>
      <c r="I1837" s="3278">
        <v>0</v>
      </c>
    </row>
    <row r="1838" ht="12.75" customHeight="1" spans="2:9">
      <c r="B1838" s="3274">
        <v>772</v>
      </c>
      <c r="D1838" s="3297" t="s">
        <v>5977</v>
      </c>
      <c r="E1838" s="3298" t="s">
        <v>5978</v>
      </c>
      <c r="F1838" s="3298" t="s">
        <v>4351</v>
      </c>
      <c r="G1838" s="3278">
        <v>1248.5</v>
      </c>
      <c r="H1838" s="3299">
        <v>0</v>
      </c>
      <c r="I1838" s="3278">
        <v>0</v>
      </c>
    </row>
    <row r="1839" ht="12.75" customHeight="1" spans="2:9">
      <c r="B1839" s="3274">
        <v>773</v>
      </c>
      <c r="D1839" s="3297" t="s">
        <v>5979</v>
      </c>
      <c r="E1839" s="3298" t="s">
        <v>5980</v>
      </c>
      <c r="F1839" s="3298" t="s">
        <v>2321</v>
      </c>
      <c r="G1839" s="3278">
        <v>28975.1</v>
      </c>
      <c r="H1839" s="3299">
        <v>0</v>
      </c>
      <c r="I1839" s="3278">
        <v>0</v>
      </c>
    </row>
    <row r="1840" ht="12.75" customHeight="1" spans="2:9">
      <c r="B1840" s="3274">
        <v>774</v>
      </c>
      <c r="D1840" s="3297" t="s">
        <v>5981</v>
      </c>
      <c r="E1840" s="3298" t="s">
        <v>5982</v>
      </c>
      <c r="F1840" s="3298" t="s">
        <v>2367</v>
      </c>
      <c r="G1840" s="3278">
        <v>297</v>
      </c>
      <c r="H1840" s="3299">
        <v>0</v>
      </c>
      <c r="I1840" s="3278">
        <v>0</v>
      </c>
    </row>
    <row r="1841" ht="12.75" customHeight="1" spans="2:9">
      <c r="B1841" s="3274">
        <v>775</v>
      </c>
      <c r="D1841" s="3297" t="s">
        <v>5983</v>
      </c>
      <c r="E1841" s="3298" t="s">
        <v>5984</v>
      </c>
      <c r="F1841" s="3298" t="s">
        <v>2367</v>
      </c>
      <c r="G1841" s="3278">
        <v>394.02</v>
      </c>
      <c r="H1841" s="3299">
        <v>0</v>
      </c>
      <c r="I1841" s="3278">
        <v>0</v>
      </c>
    </row>
    <row r="1842" ht="12.75" customHeight="1" spans="2:9">
      <c r="B1842" s="3274">
        <v>776</v>
      </c>
      <c r="D1842" s="3297" t="s">
        <v>5985</v>
      </c>
      <c r="E1842" s="3298" t="s">
        <v>5986</v>
      </c>
      <c r="F1842" s="3298" t="s">
        <v>2367</v>
      </c>
      <c r="G1842" s="3278">
        <v>643.5</v>
      </c>
      <c r="H1842" s="3299">
        <v>0</v>
      </c>
      <c r="I1842" s="3278">
        <v>0</v>
      </c>
    </row>
    <row r="1843" ht="12.75" customHeight="1" spans="2:9">
      <c r="B1843" s="3274">
        <v>777</v>
      </c>
      <c r="D1843" s="3297" t="s">
        <v>5987</v>
      </c>
      <c r="E1843" s="3298" t="s">
        <v>5988</v>
      </c>
      <c r="F1843" s="3298" t="s">
        <v>3056</v>
      </c>
      <c r="G1843" s="3278">
        <v>8800</v>
      </c>
      <c r="H1843" s="3299">
        <v>0</v>
      </c>
      <c r="I1843" s="3278">
        <v>0</v>
      </c>
    </row>
    <row r="1844" ht="12.75" customHeight="1" spans="2:9">
      <c r="B1844" s="3274">
        <v>778</v>
      </c>
      <c r="D1844" s="3297" t="s">
        <v>5989</v>
      </c>
      <c r="E1844" s="3298" t="s">
        <v>5990</v>
      </c>
      <c r="F1844" s="3298" t="s">
        <v>3056</v>
      </c>
      <c r="G1844" s="3278">
        <v>781</v>
      </c>
      <c r="H1844" s="3299">
        <v>200</v>
      </c>
      <c r="I1844" s="3278">
        <v>156200</v>
      </c>
    </row>
    <row r="1845" ht="12.75" customHeight="1" spans="2:9">
      <c r="B1845" s="3274">
        <v>779</v>
      </c>
      <c r="D1845" s="3297" t="s">
        <v>5991</v>
      </c>
      <c r="E1845" s="3298" t="s">
        <v>5992</v>
      </c>
      <c r="F1845" s="3298" t="s">
        <v>3042</v>
      </c>
      <c r="G1845" s="3278">
        <v>8987</v>
      </c>
      <c r="H1845" s="3299">
        <v>0</v>
      </c>
      <c r="I1845" s="3278">
        <v>0</v>
      </c>
    </row>
    <row r="1846" ht="12.75" customHeight="1" spans="2:9">
      <c r="B1846" s="3274">
        <v>780</v>
      </c>
      <c r="D1846" s="3297" t="s">
        <v>5993</v>
      </c>
      <c r="E1846" s="3298" t="s">
        <v>5994</v>
      </c>
      <c r="F1846" s="3298" t="s">
        <v>2367</v>
      </c>
      <c r="G1846" s="3278">
        <v>1656.996</v>
      </c>
      <c r="H1846" s="3299">
        <v>0</v>
      </c>
      <c r="I1846" s="3278">
        <v>0</v>
      </c>
    </row>
    <row r="1847" ht="12.75" customHeight="1" spans="2:9">
      <c r="B1847" s="3274">
        <v>781</v>
      </c>
      <c r="D1847" s="3297" t="s">
        <v>5995</v>
      </c>
      <c r="E1847" s="3298" t="s">
        <v>5996</v>
      </c>
      <c r="F1847" s="3298" t="s">
        <v>3056</v>
      </c>
      <c r="G1847" s="3278">
        <v>2783.99</v>
      </c>
      <c r="H1847" s="3299">
        <v>0</v>
      </c>
      <c r="I1847" s="3278">
        <v>0</v>
      </c>
    </row>
    <row r="1848" ht="12.75" customHeight="1" spans="2:9">
      <c r="B1848" s="3274">
        <v>782</v>
      </c>
      <c r="D1848" s="3297" t="s">
        <v>5997</v>
      </c>
      <c r="E1848" s="3298" t="s">
        <v>5998</v>
      </c>
      <c r="F1848" s="3298" t="s">
        <v>2367</v>
      </c>
      <c r="G1848" s="3278">
        <v>13915</v>
      </c>
      <c r="H1848" s="3299">
        <v>0</v>
      </c>
      <c r="I1848" s="3278">
        <v>0</v>
      </c>
    </row>
    <row r="1849" ht="12.75" customHeight="1" spans="2:9">
      <c r="B1849" s="3274">
        <v>783</v>
      </c>
      <c r="D1849" s="3297" t="s">
        <v>5999</v>
      </c>
      <c r="E1849" s="3298" t="s">
        <v>6000</v>
      </c>
      <c r="F1849" s="3298" t="s">
        <v>3056</v>
      </c>
      <c r="G1849" s="3278">
        <v>954.8</v>
      </c>
      <c r="H1849" s="3299">
        <v>3300</v>
      </c>
      <c r="I1849" s="3278">
        <v>3150840</v>
      </c>
    </row>
    <row r="1850" ht="12.75" customHeight="1" spans="2:9">
      <c r="B1850" s="3274">
        <v>784</v>
      </c>
      <c r="D1850" s="3297" t="s">
        <v>6001</v>
      </c>
      <c r="E1850" s="3298" t="s">
        <v>6002</v>
      </c>
      <c r="F1850" s="3298" t="s">
        <v>3423</v>
      </c>
      <c r="G1850" s="3278">
        <v>4373.6</v>
      </c>
      <c r="H1850" s="3299">
        <v>610</v>
      </c>
      <c r="I1850" s="3278">
        <v>2667896</v>
      </c>
    </row>
    <row r="1851" ht="12.75" customHeight="1" spans="2:9">
      <c r="B1851" s="3274">
        <v>785</v>
      </c>
      <c r="D1851" s="3297" t="s">
        <v>6003</v>
      </c>
      <c r="E1851" s="3298" t="s">
        <v>6004</v>
      </c>
      <c r="F1851" s="3298" t="s">
        <v>2367</v>
      </c>
      <c r="G1851" s="3278">
        <v>902</v>
      </c>
      <c r="H1851" s="3299">
        <v>500</v>
      </c>
      <c r="I1851" s="3278">
        <v>451000</v>
      </c>
    </row>
    <row r="1852" ht="12.75" customHeight="1" spans="2:9">
      <c r="B1852" s="3274">
        <v>786</v>
      </c>
      <c r="D1852" s="3297" t="s">
        <v>6005</v>
      </c>
      <c r="E1852" s="3298" t="s">
        <v>6006</v>
      </c>
      <c r="F1852" s="3298" t="s">
        <v>3056</v>
      </c>
      <c r="G1852" s="3278">
        <v>557.15</v>
      </c>
      <c r="H1852" s="3299">
        <v>300</v>
      </c>
      <c r="I1852" s="3278">
        <v>167145</v>
      </c>
    </row>
    <row r="1853" ht="12.75" customHeight="1" spans="2:9">
      <c r="B1853" s="3274">
        <v>787</v>
      </c>
      <c r="D1853" s="3297" t="s">
        <v>6007</v>
      </c>
      <c r="E1853" s="3298" t="s">
        <v>6008</v>
      </c>
      <c r="F1853" s="3298" t="s">
        <v>2367</v>
      </c>
      <c r="G1853" s="3278">
        <v>15739.229</v>
      </c>
      <c r="H1853" s="3299">
        <v>0</v>
      </c>
      <c r="I1853" s="3278">
        <v>0</v>
      </c>
    </row>
    <row r="1854" ht="12.75" customHeight="1" spans="2:9">
      <c r="B1854" s="3274">
        <v>788</v>
      </c>
      <c r="D1854" s="3297" t="s">
        <v>6009</v>
      </c>
      <c r="E1854" s="3298" t="s">
        <v>6010</v>
      </c>
      <c r="F1854" s="3298" t="s">
        <v>3056</v>
      </c>
      <c r="G1854" s="3278">
        <v>25833</v>
      </c>
      <c r="H1854" s="3299">
        <v>0</v>
      </c>
      <c r="I1854" s="3278">
        <v>0</v>
      </c>
    </row>
    <row r="1855" ht="12.75" customHeight="1" spans="2:9">
      <c r="B1855" s="3274">
        <v>789</v>
      </c>
      <c r="D1855" s="3297" t="s">
        <v>6011</v>
      </c>
      <c r="E1855" s="3298" t="s">
        <v>6012</v>
      </c>
      <c r="F1855" s="3298" t="s">
        <v>3056</v>
      </c>
      <c r="G1855" s="3278">
        <v>1145.837</v>
      </c>
      <c r="H1855" s="3299">
        <v>0</v>
      </c>
      <c r="I1855" s="3278">
        <v>0</v>
      </c>
    </row>
    <row r="1856" ht="12.75" customHeight="1" spans="2:9">
      <c r="B1856" s="3274">
        <v>790</v>
      </c>
      <c r="D1856" s="3297" t="s">
        <v>6013</v>
      </c>
      <c r="E1856" s="3298" t="s">
        <v>6014</v>
      </c>
      <c r="F1856" s="3298" t="s">
        <v>2321</v>
      </c>
      <c r="G1856" s="3278">
        <v>38665</v>
      </c>
      <c r="H1856" s="3299">
        <v>10</v>
      </c>
      <c r="I1856" s="3278">
        <v>386650</v>
      </c>
    </row>
    <row r="1857" ht="12.75" customHeight="1" spans="2:9">
      <c r="B1857" s="3274">
        <v>791</v>
      </c>
      <c r="D1857" s="3297" t="s">
        <v>6015</v>
      </c>
      <c r="E1857" s="3298" t="s">
        <v>6016</v>
      </c>
      <c r="F1857" s="3298" t="s">
        <v>2321</v>
      </c>
      <c r="G1857" s="3278">
        <v>84902</v>
      </c>
      <c r="H1857" s="3299">
        <v>0</v>
      </c>
      <c r="I1857" s="3278">
        <v>0</v>
      </c>
    </row>
    <row r="1858" ht="12.75" customHeight="1" spans="2:9">
      <c r="B1858" s="3274">
        <v>792</v>
      </c>
      <c r="D1858" s="3297" t="s">
        <v>6017</v>
      </c>
      <c r="E1858" s="3298" t="s">
        <v>6018</v>
      </c>
      <c r="F1858" s="3298" t="s">
        <v>2321</v>
      </c>
      <c r="G1858" s="3278">
        <v>360800</v>
      </c>
      <c r="H1858" s="3299">
        <v>0</v>
      </c>
      <c r="I1858" s="3278">
        <v>0</v>
      </c>
    </row>
    <row r="1859" ht="12.75" customHeight="1" spans="2:9">
      <c r="B1859" s="3274">
        <v>793</v>
      </c>
      <c r="D1859" s="3297" t="s">
        <v>6019</v>
      </c>
      <c r="E1859" s="3298" t="s">
        <v>6020</v>
      </c>
      <c r="F1859" s="3298" t="s">
        <v>3042</v>
      </c>
      <c r="G1859" s="3278">
        <v>92143.3334</v>
      </c>
      <c r="H1859" s="3299">
        <v>0</v>
      </c>
      <c r="I1859" s="3278">
        <v>0</v>
      </c>
    </row>
    <row r="1860" ht="12.75" customHeight="1" spans="2:9">
      <c r="B1860" s="3274">
        <v>794</v>
      </c>
      <c r="D1860" s="3297" t="s">
        <v>6021</v>
      </c>
      <c r="E1860" s="3298" t="s">
        <v>6022</v>
      </c>
      <c r="F1860" s="3298" t="s">
        <v>2367</v>
      </c>
      <c r="G1860" s="3278">
        <v>4276.602</v>
      </c>
      <c r="H1860" s="3299">
        <v>0</v>
      </c>
      <c r="I1860" s="3278">
        <v>0</v>
      </c>
    </row>
    <row r="1861" ht="12.75" customHeight="1" spans="2:9">
      <c r="B1861" s="3274">
        <v>795</v>
      </c>
      <c r="D1861" s="3297" t="s">
        <v>6023</v>
      </c>
      <c r="E1861" s="3298" t="s">
        <v>6024</v>
      </c>
      <c r="F1861" s="3298" t="s">
        <v>3042</v>
      </c>
      <c r="G1861" s="3278">
        <v>91758.3391</v>
      </c>
      <c r="H1861" s="3299">
        <v>0</v>
      </c>
      <c r="I1861" s="3278">
        <v>0</v>
      </c>
    </row>
    <row r="1862" ht="12.75" customHeight="1" spans="2:9">
      <c r="B1862" s="3274">
        <v>796</v>
      </c>
      <c r="D1862" s="3297" t="s">
        <v>6025</v>
      </c>
      <c r="E1862" s="3298" t="s">
        <v>6026</v>
      </c>
      <c r="F1862" s="3298" t="s">
        <v>2367</v>
      </c>
      <c r="G1862" s="3278">
        <v>10857</v>
      </c>
      <c r="H1862" s="3299">
        <v>0</v>
      </c>
      <c r="I1862" s="3278">
        <v>0</v>
      </c>
    </row>
    <row r="1863" ht="12.75" customHeight="1" spans="2:9">
      <c r="B1863" s="3274">
        <v>797</v>
      </c>
      <c r="D1863" s="3297" t="s">
        <v>6027</v>
      </c>
      <c r="E1863" s="3298" t="s">
        <v>6028</v>
      </c>
      <c r="F1863" s="3298" t="s">
        <v>2367</v>
      </c>
      <c r="G1863" s="3278">
        <v>3623.2654</v>
      </c>
      <c r="H1863" s="3299">
        <v>0</v>
      </c>
      <c r="I1863" s="3278">
        <v>0</v>
      </c>
    </row>
    <row r="1864" ht="12.75" customHeight="1" spans="2:9">
      <c r="B1864" s="3274">
        <v>798</v>
      </c>
      <c r="D1864" s="3297" t="s">
        <v>6029</v>
      </c>
      <c r="E1864" s="3298" t="s">
        <v>6030</v>
      </c>
      <c r="F1864" s="3298" t="s">
        <v>3056</v>
      </c>
      <c r="G1864" s="3278">
        <v>270.413</v>
      </c>
      <c r="H1864" s="3299">
        <v>0</v>
      </c>
      <c r="I1864" s="3278">
        <v>0</v>
      </c>
    </row>
    <row r="1865" ht="12.75" customHeight="1" spans="2:9">
      <c r="B1865" s="3274">
        <v>799</v>
      </c>
      <c r="D1865" s="3297" t="s">
        <v>6031</v>
      </c>
      <c r="E1865" s="3298" t="s">
        <v>6032</v>
      </c>
      <c r="F1865" s="3298" t="s">
        <v>3042</v>
      </c>
      <c r="G1865" s="3278">
        <v>90365</v>
      </c>
      <c r="H1865" s="3299">
        <v>0</v>
      </c>
      <c r="I1865" s="3278">
        <v>0</v>
      </c>
    </row>
    <row r="1866" ht="12.75" customHeight="1" spans="2:9">
      <c r="B1866" s="3274">
        <v>800</v>
      </c>
      <c r="D1866" s="3297" t="s">
        <v>6033</v>
      </c>
      <c r="E1866" s="3298" t="s">
        <v>6034</v>
      </c>
      <c r="F1866" s="3298" t="s">
        <v>2367</v>
      </c>
      <c r="G1866" s="3278">
        <v>7150</v>
      </c>
      <c r="H1866" s="3299">
        <v>0</v>
      </c>
      <c r="I1866" s="3278">
        <v>0</v>
      </c>
    </row>
    <row r="1867" ht="12.75" customHeight="1" spans="2:9">
      <c r="B1867" s="3274">
        <v>801</v>
      </c>
      <c r="D1867" s="3297" t="s">
        <v>6035</v>
      </c>
      <c r="E1867" s="3298" t="s">
        <v>6036</v>
      </c>
      <c r="F1867" s="3298" t="s">
        <v>2367</v>
      </c>
      <c r="G1867" s="3278">
        <v>3850</v>
      </c>
      <c r="H1867" s="3299">
        <v>0</v>
      </c>
      <c r="I1867" s="3278">
        <v>0</v>
      </c>
    </row>
    <row r="1868" ht="12.75" customHeight="1" spans="2:9">
      <c r="B1868" s="3274">
        <v>802</v>
      </c>
      <c r="D1868" s="3297" t="s">
        <v>6037</v>
      </c>
      <c r="E1868" s="3298" t="s">
        <v>6038</v>
      </c>
      <c r="F1868" s="3298" t="s">
        <v>4354</v>
      </c>
      <c r="G1868" s="3278">
        <v>6187.5</v>
      </c>
      <c r="H1868" s="3299">
        <v>0</v>
      </c>
      <c r="I1868" s="3278">
        <v>0</v>
      </c>
    </row>
    <row r="1869" ht="12.75" customHeight="1" spans="2:9">
      <c r="B1869" s="3274">
        <v>803</v>
      </c>
      <c r="D1869" s="3297" t="s">
        <v>6039</v>
      </c>
      <c r="E1869" s="3298" t="s">
        <v>6040</v>
      </c>
      <c r="F1869" s="3298" t="s">
        <v>2321</v>
      </c>
      <c r="G1869" s="3278">
        <v>143000</v>
      </c>
      <c r="H1869" s="3299">
        <v>0</v>
      </c>
      <c r="I1869" s="3278">
        <v>0</v>
      </c>
    </row>
    <row r="1870" ht="12.75" customHeight="1" spans="2:9">
      <c r="B1870" s="3274">
        <v>804</v>
      </c>
      <c r="D1870" s="3297" t="s">
        <v>6041</v>
      </c>
      <c r="E1870" s="3298" t="s">
        <v>6042</v>
      </c>
      <c r="F1870" s="3298" t="s">
        <v>2321</v>
      </c>
      <c r="G1870" s="3278">
        <v>121000</v>
      </c>
      <c r="H1870" s="3299">
        <v>0</v>
      </c>
      <c r="I1870" s="3278">
        <v>0</v>
      </c>
    </row>
    <row r="1871" ht="12.75" customHeight="1" spans="2:9">
      <c r="B1871" s="3274">
        <v>805</v>
      </c>
      <c r="D1871" s="3297" t="s">
        <v>6043</v>
      </c>
      <c r="E1871" s="3298" t="s">
        <v>6044</v>
      </c>
      <c r="F1871" s="3298" t="s">
        <v>2367</v>
      </c>
      <c r="G1871" s="3278">
        <v>60500</v>
      </c>
      <c r="H1871" s="3299">
        <v>0</v>
      </c>
      <c r="I1871" s="3278">
        <v>0</v>
      </c>
    </row>
    <row r="1872" ht="12.75" customHeight="1" spans="2:9">
      <c r="B1872" s="3274">
        <v>806</v>
      </c>
      <c r="D1872" s="3297" t="s">
        <v>6045</v>
      </c>
      <c r="E1872" s="3298" t="s">
        <v>6046</v>
      </c>
      <c r="F1872" s="3298" t="s">
        <v>2367</v>
      </c>
      <c r="G1872" s="3278">
        <v>9300</v>
      </c>
      <c r="H1872" s="3299">
        <v>0</v>
      </c>
      <c r="I1872" s="3278">
        <v>0</v>
      </c>
    </row>
    <row r="1873" ht="12.75" customHeight="1" spans="2:9">
      <c r="B1873" s="3274">
        <v>807</v>
      </c>
      <c r="D1873" s="3297" t="s">
        <v>6047</v>
      </c>
      <c r="E1873" s="3298" t="s">
        <v>6048</v>
      </c>
      <c r="F1873" s="3298" t="s">
        <v>2321</v>
      </c>
      <c r="G1873" s="3278">
        <v>36658.6</v>
      </c>
      <c r="H1873" s="3299">
        <v>0</v>
      </c>
      <c r="I1873" s="3278">
        <v>0</v>
      </c>
    </row>
    <row r="1874" ht="12.75" customHeight="1" spans="2:9">
      <c r="B1874" s="3274">
        <v>808</v>
      </c>
      <c r="D1874" s="3297" t="s">
        <v>6049</v>
      </c>
      <c r="E1874" s="3298" t="s">
        <v>6050</v>
      </c>
      <c r="F1874" s="3298" t="s">
        <v>3056</v>
      </c>
      <c r="G1874" s="3278">
        <v>1141.041</v>
      </c>
      <c r="H1874" s="3299">
        <v>0</v>
      </c>
      <c r="I1874" s="3278">
        <v>0</v>
      </c>
    </row>
    <row r="1875" ht="12.75" customHeight="1" spans="2:9">
      <c r="B1875" s="3274">
        <v>809</v>
      </c>
      <c r="D1875" s="3297" t="s">
        <v>6051</v>
      </c>
      <c r="E1875" s="3298" t="s">
        <v>6052</v>
      </c>
      <c r="F1875" s="3298" t="s">
        <v>3042</v>
      </c>
      <c r="G1875" s="3278">
        <v>164670</v>
      </c>
      <c r="H1875" s="3299">
        <v>0</v>
      </c>
      <c r="I1875" s="3278">
        <v>0</v>
      </c>
    </row>
    <row r="1876" ht="12.75" customHeight="1" spans="2:9">
      <c r="B1876" s="3274">
        <v>810</v>
      </c>
      <c r="D1876" s="3297" t="s">
        <v>6053</v>
      </c>
      <c r="E1876" s="3298" t="s">
        <v>6054</v>
      </c>
      <c r="F1876" s="3298" t="s">
        <v>2637</v>
      </c>
      <c r="G1876" s="3278">
        <v>242000</v>
      </c>
      <c r="H1876" s="3299">
        <v>0</v>
      </c>
      <c r="I1876" s="3278">
        <v>0</v>
      </c>
    </row>
    <row r="1877" ht="12.75" customHeight="1" spans="2:9">
      <c r="B1877" s="3274">
        <v>811</v>
      </c>
      <c r="D1877" s="3297" t="s">
        <v>6055</v>
      </c>
      <c r="E1877" s="3298" t="s">
        <v>6056</v>
      </c>
      <c r="F1877" s="3298" t="s">
        <v>2304</v>
      </c>
      <c r="G1877" s="3278">
        <v>234910.5</v>
      </c>
      <c r="H1877" s="3299">
        <v>0</v>
      </c>
      <c r="I1877" s="3278">
        <v>0</v>
      </c>
    </row>
    <row r="1878" ht="12.75" customHeight="1" spans="2:9">
      <c r="B1878" s="3274">
        <v>812</v>
      </c>
      <c r="D1878" s="3297" t="s">
        <v>6057</v>
      </c>
      <c r="E1878" s="3298" t="s">
        <v>6058</v>
      </c>
      <c r="F1878" s="3298" t="s">
        <v>3042</v>
      </c>
      <c r="G1878" s="3278">
        <v>236500</v>
      </c>
      <c r="H1878" s="3299">
        <v>0</v>
      </c>
      <c r="I1878" s="3278">
        <v>0</v>
      </c>
    </row>
    <row r="1879" ht="12.75" customHeight="1" spans="2:9">
      <c r="B1879" s="3274">
        <v>813</v>
      </c>
      <c r="D1879" s="3297" t="s">
        <v>6059</v>
      </c>
      <c r="E1879" s="3298" t="s">
        <v>6060</v>
      </c>
      <c r="F1879" s="3298" t="s">
        <v>2367</v>
      </c>
      <c r="G1879" s="3278">
        <v>3872</v>
      </c>
      <c r="H1879" s="3299">
        <v>0</v>
      </c>
      <c r="I1879" s="3278">
        <v>0</v>
      </c>
    </row>
    <row r="1880" ht="12.75" customHeight="1" spans="2:9">
      <c r="B1880" s="3274">
        <v>814</v>
      </c>
      <c r="D1880" s="3297" t="s">
        <v>6061</v>
      </c>
      <c r="E1880" s="3298" t="s">
        <v>6062</v>
      </c>
      <c r="F1880" s="3298" t="s">
        <v>2367</v>
      </c>
      <c r="G1880" s="3278">
        <v>44000</v>
      </c>
      <c r="H1880" s="3299">
        <v>0</v>
      </c>
      <c r="I1880" s="3278">
        <v>0</v>
      </c>
    </row>
    <row r="1881" ht="12.75" customHeight="1" spans="2:9">
      <c r="B1881" s="3274">
        <v>815</v>
      </c>
      <c r="D1881" s="3297" t="s">
        <v>6063</v>
      </c>
      <c r="E1881" s="3298" t="s">
        <v>6064</v>
      </c>
      <c r="F1881" s="3298" t="s">
        <v>2321</v>
      </c>
      <c r="G1881" s="3278">
        <v>28248</v>
      </c>
      <c r="H1881" s="3299">
        <v>13</v>
      </c>
      <c r="I1881" s="3278">
        <v>367224</v>
      </c>
    </row>
    <row r="1882" ht="12.75" customHeight="1" spans="2:9">
      <c r="B1882" s="3274">
        <v>816</v>
      </c>
      <c r="D1882" s="3297" t="s">
        <v>6065</v>
      </c>
      <c r="E1882" s="3298" t="s">
        <v>6066</v>
      </c>
      <c r="F1882" s="3298" t="s">
        <v>2367</v>
      </c>
      <c r="G1882" s="3278">
        <v>1870</v>
      </c>
      <c r="H1882" s="3299">
        <v>0</v>
      </c>
      <c r="I1882" s="3278">
        <v>0</v>
      </c>
    </row>
    <row r="1883" ht="12.75" customHeight="1" spans="2:9">
      <c r="B1883" s="3274">
        <v>817</v>
      </c>
      <c r="D1883" s="3297" t="s">
        <v>6067</v>
      </c>
      <c r="E1883" s="3298" t="s">
        <v>6068</v>
      </c>
      <c r="F1883" s="3298" t="s">
        <v>2321</v>
      </c>
      <c r="G1883" s="3278">
        <v>7436</v>
      </c>
      <c r="H1883" s="3299">
        <v>0</v>
      </c>
      <c r="I1883" s="3278">
        <v>0</v>
      </c>
    </row>
    <row r="1884" ht="12.75" customHeight="1" spans="2:9">
      <c r="B1884" s="3274">
        <v>818</v>
      </c>
      <c r="D1884" s="3297" t="s">
        <v>6069</v>
      </c>
      <c r="E1884" s="3298" t="s">
        <v>6070</v>
      </c>
      <c r="F1884" s="3298" t="s">
        <v>2321</v>
      </c>
      <c r="G1884" s="3278">
        <v>10120</v>
      </c>
      <c r="H1884" s="3299">
        <v>3</v>
      </c>
      <c r="I1884" s="3278">
        <v>30360</v>
      </c>
    </row>
    <row r="1885" ht="12.75" customHeight="1" spans="2:9">
      <c r="B1885" s="3274">
        <v>819</v>
      </c>
      <c r="D1885" s="3297" t="s">
        <v>6071</v>
      </c>
      <c r="E1885" s="3298" t="s">
        <v>6072</v>
      </c>
      <c r="F1885" s="3298" t="s">
        <v>2321</v>
      </c>
      <c r="G1885" s="3278">
        <v>15950</v>
      </c>
      <c r="H1885" s="3299">
        <v>0</v>
      </c>
      <c r="I1885" s="3278">
        <v>0</v>
      </c>
    </row>
    <row r="1886" ht="12.75" customHeight="1" spans="2:9">
      <c r="B1886" s="3274">
        <v>820</v>
      </c>
      <c r="D1886" s="3297" t="s">
        <v>6073</v>
      </c>
      <c r="E1886" s="3298" t="s">
        <v>6074</v>
      </c>
      <c r="F1886" s="3298" t="s">
        <v>2321</v>
      </c>
      <c r="G1886" s="3278">
        <v>8250</v>
      </c>
      <c r="H1886" s="3299">
        <v>0</v>
      </c>
      <c r="I1886" s="3278">
        <v>0</v>
      </c>
    </row>
    <row r="1887" ht="12.75" customHeight="1" spans="2:9">
      <c r="B1887" s="3274">
        <v>821</v>
      </c>
      <c r="D1887" s="3297" t="s">
        <v>6075</v>
      </c>
      <c r="E1887" s="3298" t="s">
        <v>6076</v>
      </c>
      <c r="F1887" s="3298" t="s">
        <v>2321</v>
      </c>
      <c r="G1887" s="3278">
        <v>20919.8</v>
      </c>
      <c r="H1887" s="3299">
        <v>0</v>
      </c>
      <c r="I1887" s="3278">
        <v>0</v>
      </c>
    </row>
    <row r="1888" ht="12.75" customHeight="1" spans="2:9">
      <c r="B1888" s="3274">
        <v>822</v>
      </c>
      <c r="D1888" s="3297" t="s">
        <v>6077</v>
      </c>
      <c r="E1888" s="3298" t="s">
        <v>6078</v>
      </c>
      <c r="F1888" s="3298" t="s">
        <v>2321</v>
      </c>
      <c r="G1888" s="3278">
        <v>158122.8</v>
      </c>
      <c r="H1888" s="3299">
        <v>0</v>
      </c>
      <c r="I1888" s="3278">
        <v>0</v>
      </c>
    </row>
    <row r="1889" ht="12.75" customHeight="1" spans="2:9">
      <c r="B1889" s="3274">
        <v>823</v>
      </c>
      <c r="D1889" s="3297" t="s">
        <v>6079</v>
      </c>
      <c r="E1889" s="3298" t="s">
        <v>6080</v>
      </c>
      <c r="F1889" s="3298" t="s">
        <v>3056</v>
      </c>
      <c r="G1889" s="3278">
        <v>1144</v>
      </c>
      <c r="H1889" s="3299">
        <v>900</v>
      </c>
      <c r="I1889" s="3278">
        <v>1029600</v>
      </c>
    </row>
    <row r="1890" ht="12.75" customHeight="1" spans="2:9">
      <c r="B1890" s="3274">
        <v>824</v>
      </c>
      <c r="D1890" s="3297" t="s">
        <v>6081</v>
      </c>
      <c r="E1890" s="3298" t="s">
        <v>6082</v>
      </c>
      <c r="F1890" s="3298" t="s">
        <v>3042</v>
      </c>
      <c r="G1890" s="3278">
        <v>30250</v>
      </c>
      <c r="H1890" s="3299">
        <v>0</v>
      </c>
      <c r="I1890" s="3278">
        <v>0</v>
      </c>
    </row>
    <row r="1891" ht="12.75" customHeight="1" spans="2:9">
      <c r="B1891" s="3274">
        <v>825</v>
      </c>
      <c r="D1891" s="3297" t="s">
        <v>6083</v>
      </c>
      <c r="E1891" s="3298" t="s">
        <v>6084</v>
      </c>
      <c r="F1891" s="3298" t="s">
        <v>3042</v>
      </c>
      <c r="G1891" s="3278">
        <v>38500</v>
      </c>
      <c r="H1891" s="3299">
        <v>0</v>
      </c>
      <c r="I1891" s="3278">
        <v>0</v>
      </c>
    </row>
    <row r="1892" ht="12.75" customHeight="1" spans="2:9">
      <c r="B1892" s="3274">
        <v>826</v>
      </c>
      <c r="D1892" s="3297" t="s">
        <v>6085</v>
      </c>
      <c r="E1892" s="3298" t="s">
        <v>6086</v>
      </c>
      <c r="F1892" s="3298" t="s">
        <v>3257</v>
      </c>
      <c r="G1892" s="3278">
        <v>484</v>
      </c>
      <c r="H1892" s="3299">
        <v>0</v>
      </c>
      <c r="I1892" s="3278">
        <v>0</v>
      </c>
    </row>
    <row r="1893" ht="12.75" customHeight="1" spans="2:9">
      <c r="B1893" s="3274">
        <v>827</v>
      </c>
      <c r="D1893" s="3297" t="s">
        <v>6087</v>
      </c>
      <c r="E1893" s="3298" t="s">
        <v>6088</v>
      </c>
      <c r="F1893" s="3298" t="s">
        <v>3056</v>
      </c>
      <c r="G1893" s="3278">
        <v>18700</v>
      </c>
      <c r="H1893" s="3299">
        <v>0</v>
      </c>
      <c r="I1893" s="3278">
        <v>0</v>
      </c>
    </row>
    <row r="1894" ht="12.75" customHeight="1" spans="2:9">
      <c r="B1894" s="3274">
        <v>828</v>
      </c>
      <c r="D1894" s="3297" t="s">
        <v>6089</v>
      </c>
      <c r="E1894" s="3298" t="s">
        <v>6090</v>
      </c>
      <c r="F1894" s="3298" t="s">
        <v>2367</v>
      </c>
      <c r="G1894" s="3278">
        <v>10450</v>
      </c>
      <c r="H1894" s="3299">
        <v>0</v>
      </c>
      <c r="I1894" s="3278">
        <v>0</v>
      </c>
    </row>
    <row r="1895" ht="12.75" customHeight="1" spans="2:9">
      <c r="B1895" s="3274">
        <v>829</v>
      </c>
      <c r="D1895" s="3297" t="s">
        <v>6091</v>
      </c>
      <c r="E1895" s="3298" t="s">
        <v>6092</v>
      </c>
      <c r="F1895" s="3298" t="s">
        <v>2321</v>
      </c>
      <c r="G1895" s="3278">
        <v>49500</v>
      </c>
      <c r="H1895" s="3299">
        <v>21</v>
      </c>
      <c r="I1895" s="3278">
        <v>1039500</v>
      </c>
    </row>
    <row r="1896" ht="12.75" customHeight="1" spans="2:9">
      <c r="B1896" s="3274">
        <v>830</v>
      </c>
      <c r="D1896" s="3297" t="s">
        <v>6093</v>
      </c>
      <c r="E1896" s="3298" t="s">
        <v>6094</v>
      </c>
      <c r="F1896" s="3298" t="s">
        <v>2321</v>
      </c>
      <c r="G1896" s="3278">
        <v>74800</v>
      </c>
      <c r="H1896" s="3299">
        <v>59</v>
      </c>
      <c r="I1896" s="3278">
        <v>4413200</v>
      </c>
    </row>
    <row r="1897" ht="12.75" customHeight="1" spans="2:9">
      <c r="B1897" s="3274">
        <v>831</v>
      </c>
      <c r="D1897" s="3297" t="s">
        <v>6095</v>
      </c>
      <c r="E1897" s="3298" t="s">
        <v>6096</v>
      </c>
      <c r="F1897" s="3298" t="s">
        <v>2367</v>
      </c>
      <c r="G1897" s="3278">
        <v>2750</v>
      </c>
      <c r="H1897" s="3299">
        <v>0</v>
      </c>
      <c r="I1897" s="3278">
        <v>0</v>
      </c>
    </row>
    <row r="1898" ht="12.75" customHeight="1" spans="2:9">
      <c r="B1898" s="3274">
        <v>832</v>
      </c>
      <c r="D1898" s="3297" t="s">
        <v>6097</v>
      </c>
      <c r="E1898" s="3298" t="s">
        <v>6098</v>
      </c>
      <c r="F1898" s="3298" t="s">
        <v>3056</v>
      </c>
      <c r="G1898" s="3278">
        <v>5500</v>
      </c>
      <c r="H1898" s="3299">
        <v>0</v>
      </c>
      <c r="I1898" s="3278">
        <v>0</v>
      </c>
    </row>
    <row r="1899" ht="12.75" customHeight="1" spans="2:9">
      <c r="B1899" s="3274">
        <v>833</v>
      </c>
      <c r="D1899" s="3297" t="s">
        <v>6099</v>
      </c>
      <c r="E1899" s="3298" t="s">
        <v>6100</v>
      </c>
      <c r="F1899" s="3298" t="s">
        <v>2367</v>
      </c>
      <c r="G1899" s="3278">
        <v>990</v>
      </c>
      <c r="H1899" s="3299">
        <v>0</v>
      </c>
      <c r="I1899" s="3278">
        <v>0</v>
      </c>
    </row>
    <row r="1900" ht="12.75" customHeight="1" spans="2:9">
      <c r="B1900" s="3274">
        <v>834</v>
      </c>
      <c r="D1900" s="3297" t="s">
        <v>6101</v>
      </c>
      <c r="E1900" s="3298" t="s">
        <v>6102</v>
      </c>
      <c r="F1900" s="3298" t="s">
        <v>2367</v>
      </c>
      <c r="G1900" s="3278">
        <v>19800</v>
      </c>
      <c r="H1900" s="3299">
        <v>0</v>
      </c>
      <c r="I1900" s="3278">
        <v>0</v>
      </c>
    </row>
    <row r="1901" ht="12.75" customHeight="1" spans="2:9">
      <c r="B1901" s="3274">
        <v>835</v>
      </c>
      <c r="D1901" s="3297" t="s">
        <v>6103</v>
      </c>
      <c r="E1901" s="3298" t="s">
        <v>6104</v>
      </c>
      <c r="F1901" s="3298" t="s">
        <v>2321</v>
      </c>
      <c r="G1901" s="3278">
        <v>88000</v>
      </c>
      <c r="H1901" s="3299">
        <v>0</v>
      </c>
      <c r="I1901" s="3278">
        <v>0</v>
      </c>
    </row>
    <row r="1902" ht="12.75" customHeight="1" spans="2:9">
      <c r="B1902" s="3274">
        <v>836</v>
      </c>
      <c r="D1902" s="3297" t="s">
        <v>6105</v>
      </c>
      <c r="E1902" s="3298" t="s">
        <v>6106</v>
      </c>
      <c r="F1902" s="3298" t="s">
        <v>3056</v>
      </c>
      <c r="G1902" s="3278">
        <v>8203.8</v>
      </c>
      <c r="H1902" s="3299">
        <v>0</v>
      </c>
      <c r="I1902" s="3278">
        <v>0</v>
      </c>
    </row>
    <row r="1903" ht="12.75" customHeight="1" spans="2:9">
      <c r="B1903" s="3274">
        <v>837</v>
      </c>
      <c r="D1903" s="3297" t="s">
        <v>6107</v>
      </c>
      <c r="E1903" s="3298" t="s">
        <v>6108</v>
      </c>
      <c r="F1903" s="3298" t="s">
        <v>2367</v>
      </c>
      <c r="G1903" s="3278">
        <v>3025</v>
      </c>
      <c r="H1903" s="3299">
        <v>0</v>
      </c>
      <c r="I1903" s="3278">
        <v>0</v>
      </c>
    </row>
    <row r="1904" ht="12.75" customHeight="1" spans="2:9">
      <c r="B1904" s="3274">
        <v>838</v>
      </c>
      <c r="D1904" s="3297" t="s">
        <v>6109</v>
      </c>
      <c r="E1904" s="3298" t="s">
        <v>6110</v>
      </c>
      <c r="F1904" s="3298" t="s">
        <v>2367</v>
      </c>
      <c r="G1904" s="3278">
        <v>7469</v>
      </c>
      <c r="H1904" s="3299">
        <v>0</v>
      </c>
      <c r="I1904" s="3278">
        <v>0</v>
      </c>
    </row>
    <row r="1905" ht="12.75" customHeight="1" spans="2:9">
      <c r="B1905" s="3274">
        <v>839</v>
      </c>
      <c r="D1905" s="3297" t="s">
        <v>6111</v>
      </c>
      <c r="E1905" s="3298" t="s">
        <v>6112</v>
      </c>
      <c r="F1905" s="3298" t="s">
        <v>2367</v>
      </c>
      <c r="G1905" s="3278">
        <v>4961</v>
      </c>
      <c r="H1905" s="3299">
        <v>0</v>
      </c>
      <c r="I1905" s="3278">
        <v>0</v>
      </c>
    </row>
    <row r="1906" ht="12.75" customHeight="1" spans="2:9">
      <c r="B1906" s="3274">
        <v>840</v>
      </c>
      <c r="D1906" s="3297" t="s">
        <v>6113</v>
      </c>
      <c r="E1906" s="3298" t="s">
        <v>6114</v>
      </c>
      <c r="F1906" s="3298" t="s">
        <v>2321</v>
      </c>
      <c r="G1906" s="3278">
        <v>23650</v>
      </c>
      <c r="H1906" s="3299">
        <v>0</v>
      </c>
      <c r="I1906" s="3278">
        <v>0</v>
      </c>
    </row>
    <row r="1907" ht="12.75" customHeight="1" spans="2:9">
      <c r="B1907" s="3274">
        <v>841</v>
      </c>
      <c r="D1907" s="3297" t="s">
        <v>6115</v>
      </c>
      <c r="E1907" s="3298" t="s">
        <v>6116</v>
      </c>
      <c r="F1907" s="3298" t="s">
        <v>2321</v>
      </c>
      <c r="G1907" s="3278">
        <v>63745</v>
      </c>
      <c r="H1907" s="3299">
        <v>0</v>
      </c>
      <c r="I1907" s="3278">
        <v>0</v>
      </c>
    </row>
    <row r="1908" ht="12.75" customHeight="1" spans="2:9">
      <c r="B1908" s="3274">
        <v>842</v>
      </c>
      <c r="D1908" s="3297" t="s">
        <v>6117</v>
      </c>
      <c r="E1908" s="3298" t="s">
        <v>6118</v>
      </c>
      <c r="F1908" s="3298" t="s">
        <v>2321</v>
      </c>
      <c r="G1908" s="3278">
        <v>31350</v>
      </c>
      <c r="H1908" s="3299">
        <v>0</v>
      </c>
      <c r="I1908" s="3278">
        <v>0</v>
      </c>
    </row>
    <row r="1909" ht="12.75" customHeight="1" spans="2:9">
      <c r="B1909" s="3274">
        <v>843</v>
      </c>
      <c r="D1909" s="3297" t="s">
        <v>6119</v>
      </c>
      <c r="E1909" s="3298" t="s">
        <v>6120</v>
      </c>
      <c r="F1909" s="3298" t="s">
        <v>2321</v>
      </c>
      <c r="G1909" s="3278">
        <v>33000</v>
      </c>
      <c r="H1909" s="3299">
        <v>0</v>
      </c>
      <c r="I1909" s="3278">
        <v>0</v>
      </c>
    </row>
    <row r="1910" ht="12.75" customHeight="1" spans="2:9">
      <c r="B1910" s="3274">
        <v>844</v>
      </c>
      <c r="D1910" s="3297" t="s">
        <v>6121</v>
      </c>
      <c r="E1910" s="3298" t="s">
        <v>6122</v>
      </c>
      <c r="F1910" s="3298" t="s">
        <v>2321</v>
      </c>
      <c r="G1910" s="3278">
        <v>30334.7</v>
      </c>
      <c r="H1910" s="3299">
        <v>33</v>
      </c>
      <c r="I1910" s="3278">
        <v>1001045.1</v>
      </c>
    </row>
    <row r="1911" ht="12.75" customHeight="1" spans="2:9">
      <c r="B1911" s="3274">
        <v>845</v>
      </c>
      <c r="D1911" s="3297" t="s">
        <v>6123</v>
      </c>
      <c r="E1911" s="3298" t="s">
        <v>6124</v>
      </c>
      <c r="F1911" s="3298" t="s">
        <v>3423</v>
      </c>
      <c r="G1911" s="3278">
        <v>96525</v>
      </c>
      <c r="H1911" s="3299">
        <v>0</v>
      </c>
      <c r="I1911" s="3278">
        <v>0</v>
      </c>
    </row>
    <row r="1912" ht="12.75" customHeight="1" spans="2:9">
      <c r="B1912" s="3274">
        <v>846</v>
      </c>
      <c r="D1912" s="3297" t="s">
        <v>6125</v>
      </c>
      <c r="E1912" s="3298" t="s">
        <v>6126</v>
      </c>
      <c r="F1912" s="3298" t="s">
        <v>2321</v>
      </c>
      <c r="G1912" s="3278">
        <v>71999.994</v>
      </c>
      <c r="H1912" s="3299">
        <v>0</v>
      </c>
      <c r="I1912" s="3278">
        <v>0</v>
      </c>
    </row>
    <row r="1913" ht="12.75" customHeight="1" spans="2:9">
      <c r="B1913" s="3274">
        <v>847</v>
      </c>
      <c r="D1913" s="3297" t="s">
        <v>6127</v>
      </c>
      <c r="E1913" s="3298" t="s">
        <v>6128</v>
      </c>
      <c r="F1913" s="3298" t="s">
        <v>2321</v>
      </c>
      <c r="G1913" s="3278">
        <v>55000</v>
      </c>
      <c r="H1913" s="3299">
        <v>0</v>
      </c>
      <c r="I1913" s="3278">
        <v>0</v>
      </c>
    </row>
    <row r="1914" ht="12.75" customHeight="1" spans="2:9">
      <c r="B1914" s="3274">
        <v>848</v>
      </c>
      <c r="D1914" s="3297" t="s">
        <v>6129</v>
      </c>
      <c r="E1914" s="3298" t="s">
        <v>6130</v>
      </c>
      <c r="F1914" s="3298" t="s">
        <v>2321</v>
      </c>
      <c r="G1914" s="3278">
        <v>45.001</v>
      </c>
      <c r="H1914" s="3299">
        <v>0</v>
      </c>
      <c r="I1914" s="3278">
        <v>0</v>
      </c>
    </row>
    <row r="1915" ht="12.75" customHeight="1" spans="2:9">
      <c r="B1915" s="3274">
        <v>849</v>
      </c>
      <c r="D1915" s="3297" t="s">
        <v>6131</v>
      </c>
      <c r="E1915" s="3298" t="s">
        <v>6132</v>
      </c>
      <c r="F1915" s="3298" t="s">
        <v>2367</v>
      </c>
      <c r="G1915" s="3278">
        <v>929.995</v>
      </c>
      <c r="H1915" s="3299">
        <v>0</v>
      </c>
      <c r="I1915" s="3278">
        <v>0</v>
      </c>
    </row>
    <row r="1916" ht="12.75" customHeight="1" spans="2:9">
      <c r="B1916" s="3274">
        <v>850</v>
      </c>
      <c r="D1916" s="3297" t="s">
        <v>6133</v>
      </c>
      <c r="E1916" s="3298" t="s">
        <v>6134</v>
      </c>
      <c r="F1916" s="3298" t="s">
        <v>2321</v>
      </c>
      <c r="G1916" s="3278">
        <v>27908.1</v>
      </c>
      <c r="H1916" s="3299">
        <v>0</v>
      </c>
      <c r="I1916" s="3278">
        <v>0</v>
      </c>
    </row>
    <row r="1917" ht="12.75" customHeight="1" spans="2:9">
      <c r="B1917" s="3274">
        <v>851</v>
      </c>
      <c r="D1917" s="3297" t="s">
        <v>6135</v>
      </c>
      <c r="E1917" s="3298" t="s">
        <v>6136</v>
      </c>
      <c r="F1917" s="3298" t="s">
        <v>2367</v>
      </c>
      <c r="G1917" s="3278">
        <v>1023</v>
      </c>
      <c r="H1917" s="3299">
        <v>0</v>
      </c>
      <c r="I1917" s="3278">
        <v>0</v>
      </c>
    </row>
    <row r="1918" ht="12.75" customHeight="1" spans="2:9">
      <c r="B1918" s="3274">
        <v>852</v>
      </c>
      <c r="D1918" s="3297" t="s">
        <v>6137</v>
      </c>
      <c r="E1918" s="3298" t="s">
        <v>6138</v>
      </c>
      <c r="F1918" s="3298" t="s">
        <v>2321</v>
      </c>
      <c r="G1918" s="3278">
        <v>12817.2</v>
      </c>
      <c r="H1918" s="3299">
        <v>0</v>
      </c>
      <c r="I1918" s="3278">
        <v>0</v>
      </c>
    </row>
    <row r="1919" ht="12.75" customHeight="1" spans="2:9">
      <c r="B1919" s="3274">
        <v>853</v>
      </c>
      <c r="D1919" s="3297" t="s">
        <v>6139</v>
      </c>
      <c r="E1919" s="3298" t="s">
        <v>6140</v>
      </c>
      <c r="F1919" s="3298" t="s">
        <v>2321</v>
      </c>
      <c r="G1919" s="3278">
        <v>29095</v>
      </c>
      <c r="H1919" s="3299">
        <v>0</v>
      </c>
      <c r="I1919" s="3278">
        <v>0</v>
      </c>
    </row>
    <row r="1920" ht="12.75" customHeight="1" spans="2:9">
      <c r="B1920" s="3274">
        <v>854</v>
      </c>
      <c r="D1920" s="3297" t="s">
        <v>6141</v>
      </c>
      <c r="E1920" s="3298" t="s">
        <v>6142</v>
      </c>
      <c r="F1920" s="3298" t="s">
        <v>3056</v>
      </c>
      <c r="G1920" s="3278">
        <v>860</v>
      </c>
      <c r="H1920" s="3299">
        <v>0</v>
      </c>
      <c r="I1920" s="3278">
        <v>0</v>
      </c>
    </row>
    <row r="1921" ht="12.75" customHeight="1" spans="2:9">
      <c r="B1921" s="3274">
        <v>855</v>
      </c>
      <c r="D1921" s="3297" t="s">
        <v>6143</v>
      </c>
      <c r="E1921" s="3298" t="s">
        <v>6144</v>
      </c>
      <c r="F1921" s="3298" t="s">
        <v>2321</v>
      </c>
      <c r="G1921" s="3278">
        <v>29008.3828</v>
      </c>
      <c r="H1921" s="3299">
        <v>0</v>
      </c>
      <c r="I1921" s="3278">
        <v>0</v>
      </c>
    </row>
    <row r="1922" ht="12.75" customHeight="1" spans="2:9">
      <c r="B1922" s="3274">
        <v>856</v>
      </c>
      <c r="D1922" s="3297" t="s">
        <v>6145</v>
      </c>
      <c r="E1922" s="3298" t="s">
        <v>6146</v>
      </c>
      <c r="F1922" s="3298" t="s">
        <v>2367</v>
      </c>
      <c r="G1922" s="3278">
        <v>2871</v>
      </c>
      <c r="H1922" s="3299">
        <v>0</v>
      </c>
      <c r="I1922" s="3278">
        <v>0</v>
      </c>
    </row>
    <row r="1923" ht="12.75" customHeight="1" spans="2:9">
      <c r="B1923" s="3274">
        <v>857</v>
      </c>
      <c r="D1923" s="3297" t="s">
        <v>6147</v>
      </c>
      <c r="E1923" s="3298" t="s">
        <v>6148</v>
      </c>
      <c r="F1923" s="3298" t="s">
        <v>2367</v>
      </c>
      <c r="G1923" s="3278">
        <v>16000.006</v>
      </c>
      <c r="H1923" s="3299">
        <v>0</v>
      </c>
      <c r="I1923" s="3278">
        <v>0</v>
      </c>
    </row>
    <row r="1924" ht="12.75" customHeight="1" spans="2:9">
      <c r="B1924" s="3274">
        <v>858</v>
      </c>
      <c r="D1924" s="3297" t="s">
        <v>6149</v>
      </c>
      <c r="E1924" s="3298" t="s">
        <v>6150</v>
      </c>
      <c r="F1924" s="3298" t="s">
        <v>3423</v>
      </c>
      <c r="G1924" s="3278">
        <v>143000</v>
      </c>
      <c r="H1924" s="3299">
        <v>0</v>
      </c>
      <c r="I1924" s="3278">
        <v>0</v>
      </c>
    </row>
    <row r="1925" ht="12.75" customHeight="1" spans="2:9">
      <c r="B1925" s="3274">
        <v>859</v>
      </c>
      <c r="D1925" s="3297" t="s">
        <v>6151</v>
      </c>
      <c r="E1925" s="3298" t="s">
        <v>6152</v>
      </c>
      <c r="F1925" s="3298" t="s">
        <v>3042</v>
      </c>
      <c r="G1925" s="3278">
        <v>13337.5</v>
      </c>
      <c r="H1925" s="3299">
        <v>0</v>
      </c>
      <c r="I1925" s="3278">
        <v>0</v>
      </c>
    </row>
    <row r="1926" ht="12.75" customHeight="1" spans="2:9">
      <c r="B1926" s="3274">
        <v>860</v>
      </c>
      <c r="D1926" s="3297" t="s">
        <v>6153</v>
      </c>
      <c r="E1926" s="3298" t="s">
        <v>6154</v>
      </c>
      <c r="F1926" s="3298" t="s">
        <v>2367</v>
      </c>
      <c r="G1926" s="3278">
        <v>21748.562</v>
      </c>
      <c r="H1926" s="3299">
        <v>0</v>
      </c>
      <c r="I1926" s="3278">
        <v>0</v>
      </c>
    </row>
    <row r="1927" ht="12.75" customHeight="1" spans="2:9">
      <c r="B1927" s="3274">
        <v>861</v>
      </c>
      <c r="D1927" s="3297" t="s">
        <v>6155</v>
      </c>
      <c r="E1927" s="3298" t="s">
        <v>6156</v>
      </c>
      <c r="F1927" s="3298" t="s">
        <v>2367</v>
      </c>
      <c r="G1927" s="3278">
        <v>18857.19</v>
      </c>
      <c r="H1927" s="3299">
        <v>0</v>
      </c>
      <c r="I1927" s="3278">
        <v>0</v>
      </c>
    </row>
    <row r="1928" ht="12.75" customHeight="1" spans="2:9">
      <c r="B1928" s="3274">
        <v>862</v>
      </c>
      <c r="D1928" s="3297" t="s">
        <v>6157</v>
      </c>
      <c r="E1928" s="3298" t="s">
        <v>6158</v>
      </c>
      <c r="F1928" s="3298" t="s">
        <v>2321</v>
      </c>
      <c r="G1928" s="3278">
        <v>42295</v>
      </c>
      <c r="H1928" s="3299">
        <v>0</v>
      </c>
      <c r="I1928" s="3278">
        <v>0</v>
      </c>
    </row>
    <row r="1929" ht="12.75" customHeight="1" spans="2:9">
      <c r="B1929" s="3274">
        <v>863</v>
      </c>
      <c r="D1929" s="3297" t="s">
        <v>6159</v>
      </c>
      <c r="E1929" s="3298" t="s">
        <v>6160</v>
      </c>
      <c r="F1929" s="3298" t="s">
        <v>2321</v>
      </c>
      <c r="G1929" s="3278">
        <v>59999.995</v>
      </c>
      <c r="H1929" s="3299">
        <v>0</v>
      </c>
      <c r="I1929" s="3278">
        <v>0</v>
      </c>
    </row>
    <row r="1930" ht="12.75" customHeight="1" spans="2:9">
      <c r="B1930" s="3274">
        <v>864</v>
      </c>
      <c r="D1930" s="3297" t="s">
        <v>6161</v>
      </c>
      <c r="E1930" s="3298" t="s">
        <v>6162</v>
      </c>
      <c r="F1930" s="3298" t="s">
        <v>2367</v>
      </c>
      <c r="G1930" s="3278">
        <v>2200</v>
      </c>
      <c r="H1930" s="3299">
        <v>0</v>
      </c>
      <c r="I1930" s="3278">
        <v>0</v>
      </c>
    </row>
    <row r="1931" ht="12.75" customHeight="1" spans="2:9">
      <c r="B1931" s="3274">
        <v>865</v>
      </c>
      <c r="D1931" s="3297" t="s">
        <v>6163</v>
      </c>
      <c r="E1931" s="3298" t="s">
        <v>6164</v>
      </c>
      <c r="F1931" s="3298" t="s">
        <v>2321</v>
      </c>
      <c r="G1931" s="3278">
        <v>26268.99</v>
      </c>
      <c r="H1931" s="3299">
        <v>0</v>
      </c>
      <c r="I1931" s="3278">
        <v>0</v>
      </c>
    </row>
    <row r="1932" ht="12.75" customHeight="1" spans="2:9">
      <c r="B1932" s="3274">
        <v>866</v>
      </c>
      <c r="D1932" s="3297" t="s">
        <v>6165</v>
      </c>
      <c r="E1932" s="3298" t="s">
        <v>6166</v>
      </c>
      <c r="F1932" s="3298" t="s">
        <v>2367</v>
      </c>
      <c r="G1932" s="3278">
        <v>2646.1902</v>
      </c>
      <c r="H1932" s="3299">
        <v>80</v>
      </c>
      <c r="I1932" s="3278">
        <v>211695.216</v>
      </c>
    </row>
    <row r="1933" ht="12.75" customHeight="1" spans="2:9">
      <c r="B1933" s="3274">
        <v>867</v>
      </c>
      <c r="D1933" s="3297" t="s">
        <v>6167</v>
      </c>
      <c r="E1933" s="3298" t="s">
        <v>6168</v>
      </c>
      <c r="F1933" s="3298" t="s">
        <v>2321</v>
      </c>
      <c r="G1933" s="3278">
        <v>862.4</v>
      </c>
      <c r="H1933" s="3299">
        <v>0</v>
      </c>
      <c r="I1933" s="3278">
        <v>0</v>
      </c>
    </row>
    <row r="1934" ht="12.75" customHeight="1" spans="2:9">
      <c r="B1934" s="3274">
        <v>868</v>
      </c>
      <c r="D1934" s="3297" t="s">
        <v>6169</v>
      </c>
      <c r="E1934" s="3298" t="s">
        <v>6170</v>
      </c>
      <c r="F1934" s="3298" t="s">
        <v>2321</v>
      </c>
      <c r="G1934" s="3278">
        <v>314.171</v>
      </c>
      <c r="H1934" s="3299">
        <v>0</v>
      </c>
      <c r="I1934" s="3278">
        <v>0</v>
      </c>
    </row>
    <row r="1935" ht="12.75" customHeight="1" spans="2:9">
      <c r="B1935" s="3274">
        <v>869</v>
      </c>
      <c r="D1935" s="3297" t="s">
        <v>6171</v>
      </c>
      <c r="E1935" s="3298" t="s">
        <v>6172</v>
      </c>
      <c r="F1935" s="3298" t="s">
        <v>2367</v>
      </c>
      <c r="G1935" s="3278">
        <v>1127.5</v>
      </c>
      <c r="H1935" s="3299">
        <v>0</v>
      </c>
      <c r="I1935" s="3278">
        <v>0</v>
      </c>
    </row>
    <row r="1936" ht="12.75" customHeight="1" spans="2:9">
      <c r="B1936" s="3274">
        <v>870</v>
      </c>
      <c r="D1936" s="3297" t="s">
        <v>6173</v>
      </c>
      <c r="E1936" s="3298" t="s">
        <v>6174</v>
      </c>
      <c r="F1936" s="3298" t="s">
        <v>3042</v>
      </c>
      <c r="G1936" s="3278">
        <v>19481</v>
      </c>
      <c r="H1936" s="3299">
        <v>10</v>
      </c>
      <c r="I1936" s="3278">
        <v>194810</v>
      </c>
    </row>
    <row r="1937" ht="12.75" customHeight="1" spans="2:9">
      <c r="B1937" s="3274">
        <v>871</v>
      </c>
      <c r="D1937" s="3297" t="s">
        <v>6175</v>
      </c>
      <c r="E1937" s="3298" t="s">
        <v>6176</v>
      </c>
      <c r="F1937" s="3298" t="s">
        <v>2367</v>
      </c>
      <c r="G1937" s="3278">
        <v>1655</v>
      </c>
      <c r="H1937" s="3299">
        <v>0</v>
      </c>
      <c r="I1937" s="3278">
        <v>0</v>
      </c>
    </row>
    <row r="1938" ht="12.75" customHeight="1" spans="2:9">
      <c r="B1938" s="3274">
        <v>872</v>
      </c>
      <c r="D1938" s="3297" t="s">
        <v>6177</v>
      </c>
      <c r="E1938" s="3298" t="s">
        <v>6178</v>
      </c>
      <c r="F1938" s="3298" t="s">
        <v>4351</v>
      </c>
      <c r="G1938" s="3278">
        <v>592.9</v>
      </c>
      <c r="H1938" s="3299">
        <v>200</v>
      </c>
      <c r="I1938" s="3278">
        <v>118580</v>
      </c>
    </row>
    <row r="1939" ht="12.75" customHeight="1" spans="2:9">
      <c r="B1939" s="3274">
        <v>873</v>
      </c>
      <c r="D1939" s="3297" t="s">
        <v>6179</v>
      </c>
      <c r="E1939" s="3298" t="s">
        <v>6180</v>
      </c>
      <c r="F1939" s="3298" t="s">
        <v>3042</v>
      </c>
      <c r="G1939" s="3278">
        <v>54324.8545</v>
      </c>
      <c r="H1939" s="3299">
        <v>40</v>
      </c>
      <c r="I1939" s="3278">
        <v>2172994.18</v>
      </c>
    </row>
    <row r="1940" ht="12.75" customHeight="1" spans="2:9">
      <c r="B1940" s="3274">
        <v>874</v>
      </c>
      <c r="D1940" s="3297" t="s">
        <v>6181</v>
      </c>
      <c r="E1940" s="3298" t="s">
        <v>6182</v>
      </c>
      <c r="F1940" s="3298" t="s">
        <v>3423</v>
      </c>
      <c r="G1940" s="3278">
        <v>126390</v>
      </c>
      <c r="H1940" s="3299">
        <v>0</v>
      </c>
      <c r="I1940" s="3278">
        <v>0</v>
      </c>
    </row>
    <row r="1941" ht="12.75" customHeight="1" spans="2:9">
      <c r="B1941" s="3274">
        <v>875</v>
      </c>
      <c r="D1941" s="3297" t="s">
        <v>6183</v>
      </c>
      <c r="E1941" s="3298" t="s">
        <v>6184</v>
      </c>
      <c r="F1941" s="3298" t="s">
        <v>2637</v>
      </c>
      <c r="G1941" s="3278">
        <v>35200</v>
      </c>
      <c r="H1941" s="3299">
        <v>0</v>
      </c>
      <c r="I1941" s="3278">
        <v>0</v>
      </c>
    </row>
    <row r="1942" ht="12.75" customHeight="1" spans="2:9">
      <c r="B1942" s="3274">
        <v>876</v>
      </c>
      <c r="D1942" s="3297" t="s">
        <v>6185</v>
      </c>
      <c r="E1942" s="3298" t="s">
        <v>6186</v>
      </c>
      <c r="F1942" s="3298" t="s">
        <v>3423</v>
      </c>
      <c r="G1942" s="3278">
        <v>137500</v>
      </c>
      <c r="H1942" s="3299">
        <v>0</v>
      </c>
      <c r="I1942" s="3278">
        <v>0</v>
      </c>
    </row>
    <row r="1943" ht="12.75" customHeight="1" spans="2:9">
      <c r="B1943" s="3274">
        <v>877</v>
      </c>
      <c r="D1943" s="3297" t="s">
        <v>6187</v>
      </c>
      <c r="E1943" s="3298" t="s">
        <v>6188</v>
      </c>
      <c r="F1943" s="3298" t="s">
        <v>4354</v>
      </c>
      <c r="G1943" s="3278">
        <v>385</v>
      </c>
      <c r="H1943" s="3299">
        <v>0</v>
      </c>
      <c r="I1943" s="3278">
        <v>0</v>
      </c>
    </row>
    <row r="1944" ht="12.75" customHeight="1" spans="2:9">
      <c r="B1944" s="3274">
        <v>878</v>
      </c>
      <c r="D1944" s="3297" t="s">
        <v>6189</v>
      </c>
      <c r="E1944" s="3298" t="s">
        <v>6190</v>
      </c>
      <c r="F1944" s="3298" t="s">
        <v>2367</v>
      </c>
      <c r="G1944" s="3278">
        <v>10890</v>
      </c>
      <c r="H1944" s="3299">
        <v>0</v>
      </c>
      <c r="I1944" s="3278">
        <v>0</v>
      </c>
    </row>
    <row r="1945" ht="12.75" customHeight="1" spans="2:9">
      <c r="B1945" s="3274">
        <v>879</v>
      </c>
      <c r="D1945" s="3297" t="s">
        <v>6191</v>
      </c>
      <c r="E1945" s="3298" t="s">
        <v>6192</v>
      </c>
      <c r="F1945" s="3298" t="s">
        <v>2367</v>
      </c>
      <c r="G1945" s="3278">
        <v>12500.0036</v>
      </c>
      <c r="H1945" s="3299">
        <v>0</v>
      </c>
      <c r="I1945" s="3278">
        <v>0</v>
      </c>
    </row>
    <row r="1946" ht="12.75" customHeight="1" spans="2:9">
      <c r="B1946" s="3274">
        <v>880</v>
      </c>
      <c r="D1946" s="3297" t="s">
        <v>6193</v>
      </c>
      <c r="E1946" s="3298" t="s">
        <v>6194</v>
      </c>
      <c r="F1946" s="3298" t="s">
        <v>3056</v>
      </c>
      <c r="G1946" s="3278">
        <v>2310</v>
      </c>
      <c r="H1946" s="3299">
        <v>0</v>
      </c>
      <c r="I1946" s="3278">
        <v>0</v>
      </c>
    </row>
    <row r="1947" ht="12.75" customHeight="1" spans="2:9">
      <c r="B1947" s="3274">
        <v>881</v>
      </c>
      <c r="D1947" s="3297" t="s">
        <v>6195</v>
      </c>
      <c r="E1947" s="3298" t="s">
        <v>6196</v>
      </c>
      <c r="F1947" s="3298" t="s">
        <v>3056</v>
      </c>
      <c r="G1947" s="3278">
        <v>27200.207</v>
      </c>
      <c r="H1947" s="3299">
        <v>84</v>
      </c>
      <c r="I1947" s="3278">
        <v>2284817.388</v>
      </c>
    </row>
    <row r="1948" ht="12.75" customHeight="1" spans="2:9">
      <c r="B1948" s="3274">
        <v>882</v>
      </c>
      <c r="D1948" s="3297" t="s">
        <v>6197</v>
      </c>
      <c r="E1948" s="3298" t="s">
        <v>6198</v>
      </c>
      <c r="F1948" s="3298" t="s">
        <v>2367</v>
      </c>
      <c r="G1948" s="3278">
        <v>13200</v>
      </c>
      <c r="H1948" s="3299">
        <v>0</v>
      </c>
      <c r="I1948" s="3278">
        <v>0</v>
      </c>
    </row>
    <row r="1949" ht="12.75" customHeight="1" spans="2:9">
      <c r="B1949" s="3274">
        <v>883</v>
      </c>
      <c r="D1949" s="3297" t="s">
        <v>6199</v>
      </c>
      <c r="E1949" s="3298" t="s">
        <v>6200</v>
      </c>
      <c r="F1949" s="3298" t="s">
        <v>2367</v>
      </c>
      <c r="G1949" s="3278">
        <v>3025</v>
      </c>
      <c r="H1949" s="3299">
        <v>0</v>
      </c>
      <c r="I1949" s="3278">
        <v>0</v>
      </c>
    </row>
    <row r="1950" ht="12.75" customHeight="1" spans="2:9">
      <c r="B1950" s="3274">
        <v>884</v>
      </c>
      <c r="D1950" s="3297" t="s">
        <v>6201</v>
      </c>
      <c r="E1950" s="3298" t="s">
        <v>6202</v>
      </c>
      <c r="F1950" s="3298" t="s">
        <v>2321</v>
      </c>
      <c r="G1950" s="3278">
        <v>47348.4</v>
      </c>
      <c r="H1950" s="3299">
        <v>0</v>
      </c>
      <c r="I1950" s="3278">
        <v>0</v>
      </c>
    </row>
    <row r="1951" ht="12.75" customHeight="1" spans="2:9">
      <c r="B1951" s="3274">
        <v>885</v>
      </c>
      <c r="D1951" s="3297" t="s">
        <v>6203</v>
      </c>
      <c r="E1951" s="3298" t="s">
        <v>6204</v>
      </c>
      <c r="F1951" s="3298" t="s">
        <v>2321</v>
      </c>
      <c r="G1951" s="3278">
        <v>21340</v>
      </c>
      <c r="H1951" s="3299">
        <v>0</v>
      </c>
      <c r="I1951" s="3278">
        <v>0</v>
      </c>
    </row>
    <row r="1952" ht="12.75" customHeight="1" spans="2:9">
      <c r="B1952" s="3274">
        <v>886</v>
      </c>
      <c r="D1952" s="3297" t="s">
        <v>6205</v>
      </c>
      <c r="E1952" s="3298" t="s">
        <v>6206</v>
      </c>
      <c r="F1952" s="3298" t="s">
        <v>2321</v>
      </c>
      <c r="G1952" s="3278">
        <v>28050</v>
      </c>
      <c r="H1952" s="3299">
        <v>0</v>
      </c>
      <c r="I1952" s="3278">
        <v>0</v>
      </c>
    </row>
    <row r="1953" ht="12.75" customHeight="1" spans="2:9">
      <c r="B1953" s="3274">
        <v>887</v>
      </c>
      <c r="D1953" s="3297" t="s">
        <v>6207</v>
      </c>
      <c r="E1953" s="3298" t="s">
        <v>6208</v>
      </c>
      <c r="F1953" s="3298" t="s">
        <v>3056</v>
      </c>
      <c r="G1953" s="3278">
        <v>962.5</v>
      </c>
      <c r="H1953" s="3299">
        <v>0</v>
      </c>
      <c r="I1953" s="3278">
        <v>0</v>
      </c>
    </row>
    <row r="1954" ht="12.75" customHeight="1" spans="2:9">
      <c r="B1954" s="3274">
        <v>888</v>
      </c>
      <c r="D1954" s="3297" t="s">
        <v>6209</v>
      </c>
      <c r="E1954" s="3298" t="s">
        <v>6210</v>
      </c>
      <c r="F1954" s="3298" t="s">
        <v>2321</v>
      </c>
      <c r="G1954" s="3278">
        <v>11275</v>
      </c>
      <c r="H1954" s="3299">
        <v>0</v>
      </c>
      <c r="I1954" s="3278">
        <v>0</v>
      </c>
    </row>
    <row r="1955" ht="12.75" customHeight="1" spans="2:9">
      <c r="B1955" s="3274">
        <v>889</v>
      </c>
      <c r="D1955" s="3297" t="s">
        <v>6211</v>
      </c>
      <c r="E1955" s="3298" t="s">
        <v>6212</v>
      </c>
      <c r="F1955" s="3298" t="s">
        <v>2367</v>
      </c>
      <c r="G1955" s="3278">
        <v>3086.6</v>
      </c>
      <c r="H1955" s="3299">
        <v>0</v>
      </c>
      <c r="I1955" s="3278">
        <v>0</v>
      </c>
    </row>
    <row r="1956" ht="12.75" customHeight="1" spans="2:9">
      <c r="B1956" s="3274">
        <v>890</v>
      </c>
      <c r="D1956" s="3297" t="s">
        <v>6213</v>
      </c>
      <c r="E1956" s="3298" t="s">
        <v>6214</v>
      </c>
      <c r="F1956" s="3298" t="s">
        <v>2367</v>
      </c>
      <c r="G1956" s="3278">
        <v>7150</v>
      </c>
      <c r="H1956" s="3299">
        <v>0</v>
      </c>
      <c r="I1956" s="3278">
        <v>0</v>
      </c>
    </row>
    <row r="1957" ht="12.75" customHeight="1" spans="2:9">
      <c r="B1957" s="3274">
        <v>891</v>
      </c>
      <c r="D1957" s="3297" t="s">
        <v>6215</v>
      </c>
      <c r="E1957" s="3298" t="s">
        <v>6216</v>
      </c>
      <c r="F1957" s="3298" t="s">
        <v>2367</v>
      </c>
      <c r="G1957" s="3278">
        <v>506</v>
      </c>
      <c r="H1957" s="3299">
        <v>0</v>
      </c>
      <c r="I1957" s="3278">
        <v>0</v>
      </c>
    </row>
    <row r="1958" ht="12.75" customHeight="1" spans="2:9">
      <c r="B1958" s="3274">
        <v>892</v>
      </c>
      <c r="D1958" s="3297" t="s">
        <v>6217</v>
      </c>
      <c r="E1958" s="3298" t="s">
        <v>6218</v>
      </c>
      <c r="F1958" s="3298" t="s">
        <v>2367</v>
      </c>
      <c r="G1958" s="3278">
        <v>2200</v>
      </c>
      <c r="H1958" s="3299">
        <v>0</v>
      </c>
      <c r="I1958" s="3278">
        <v>0</v>
      </c>
    </row>
    <row r="1959" ht="12.75" customHeight="1" spans="2:9">
      <c r="B1959" s="3274">
        <v>893</v>
      </c>
      <c r="D1959" s="3297" t="s">
        <v>6219</v>
      </c>
      <c r="E1959" s="3298" t="s">
        <v>6220</v>
      </c>
      <c r="F1959" s="3298" t="s">
        <v>3056</v>
      </c>
      <c r="G1959" s="3278">
        <v>184.25</v>
      </c>
      <c r="H1959" s="3299">
        <v>0</v>
      </c>
      <c r="I1959" s="3278">
        <v>0</v>
      </c>
    </row>
    <row r="1960" ht="12.75" customHeight="1" spans="2:9">
      <c r="B1960" s="3274">
        <v>894</v>
      </c>
      <c r="D1960" s="3297" t="s">
        <v>6221</v>
      </c>
      <c r="E1960" s="3298" t="s">
        <v>6222</v>
      </c>
      <c r="F1960" s="3298" t="s">
        <v>3257</v>
      </c>
      <c r="G1960" s="3278">
        <v>192.5</v>
      </c>
      <c r="H1960" s="3299">
        <v>0</v>
      </c>
      <c r="I1960" s="3278">
        <v>0</v>
      </c>
    </row>
    <row r="1961" ht="12.75" customHeight="1" spans="2:9">
      <c r="B1961" s="3274">
        <v>895</v>
      </c>
      <c r="D1961" s="3297" t="s">
        <v>6223</v>
      </c>
      <c r="E1961" s="3298" t="s">
        <v>6224</v>
      </c>
      <c r="F1961" s="3298" t="s">
        <v>2367</v>
      </c>
      <c r="G1961" s="3278">
        <v>5220.6</v>
      </c>
      <c r="H1961" s="3299">
        <v>0</v>
      </c>
      <c r="I1961" s="3278">
        <v>0</v>
      </c>
    </row>
    <row r="1962" ht="12.75" customHeight="1" spans="2:9">
      <c r="B1962" s="3274">
        <v>896</v>
      </c>
      <c r="D1962" s="3297" t="s">
        <v>6225</v>
      </c>
      <c r="E1962" s="3298" t="s">
        <v>6226</v>
      </c>
      <c r="F1962" s="3298" t="s">
        <v>2321</v>
      </c>
      <c r="G1962" s="3278">
        <v>24882</v>
      </c>
      <c r="H1962" s="3299">
        <v>43</v>
      </c>
      <c r="I1962" s="3278">
        <v>1069926</v>
      </c>
    </row>
    <row r="1963" ht="12.75" customHeight="1" spans="2:9">
      <c r="B1963" s="3274">
        <v>897</v>
      </c>
      <c r="D1963" s="3297" t="s">
        <v>6227</v>
      </c>
      <c r="E1963" s="3298" t="s">
        <v>6228</v>
      </c>
      <c r="F1963" s="3298" t="s">
        <v>2321</v>
      </c>
      <c r="G1963" s="3278">
        <v>39857.4</v>
      </c>
      <c r="H1963" s="3299">
        <v>0</v>
      </c>
      <c r="I1963" s="3278">
        <v>0</v>
      </c>
    </row>
    <row r="1964" ht="12.75" customHeight="1" spans="2:9">
      <c r="B1964" s="3274">
        <v>898</v>
      </c>
      <c r="D1964" s="3297" t="s">
        <v>6229</v>
      </c>
      <c r="E1964" s="3298" t="s">
        <v>6230</v>
      </c>
      <c r="F1964" s="3298" t="s">
        <v>2321</v>
      </c>
      <c r="G1964" s="3278">
        <v>21505</v>
      </c>
      <c r="H1964" s="3299">
        <v>4</v>
      </c>
      <c r="I1964" s="3278">
        <v>86020</v>
      </c>
    </row>
    <row r="1965" ht="12.75" customHeight="1" spans="2:9">
      <c r="B1965" s="3274">
        <v>899</v>
      </c>
      <c r="D1965" s="3297" t="s">
        <v>6231</v>
      </c>
      <c r="E1965" s="3298" t="s">
        <v>6232</v>
      </c>
      <c r="F1965" s="3298" t="s">
        <v>2321</v>
      </c>
      <c r="G1965" s="3278">
        <v>183986</v>
      </c>
      <c r="H1965" s="3299">
        <v>0</v>
      </c>
      <c r="I1965" s="3278">
        <v>0</v>
      </c>
    </row>
    <row r="1966" ht="12.75" customHeight="1" spans="2:9">
      <c r="B1966" s="3274">
        <v>900</v>
      </c>
      <c r="D1966" s="3297" t="s">
        <v>6233</v>
      </c>
      <c r="E1966" s="3298" t="s">
        <v>6234</v>
      </c>
      <c r="F1966" s="3298" t="s">
        <v>2367</v>
      </c>
      <c r="G1966" s="3278">
        <v>3300</v>
      </c>
      <c r="H1966" s="3299">
        <v>0</v>
      </c>
      <c r="I1966" s="3278">
        <v>0</v>
      </c>
    </row>
    <row r="1967" ht="12.75" customHeight="1" spans="2:9">
      <c r="B1967" s="3274">
        <v>901</v>
      </c>
      <c r="D1967" s="3297" t="s">
        <v>6235</v>
      </c>
      <c r="E1967" s="3298" t="s">
        <v>6236</v>
      </c>
      <c r="F1967" s="3298" t="s">
        <v>2367</v>
      </c>
      <c r="G1967" s="3278">
        <v>3584.1636</v>
      </c>
      <c r="H1967" s="3299">
        <v>360</v>
      </c>
      <c r="I1967" s="3278">
        <v>1290298.896</v>
      </c>
    </row>
    <row r="1968" ht="12.75" customHeight="1" spans="2:9">
      <c r="B1968" s="3274">
        <v>902</v>
      </c>
      <c r="D1968" s="3297" t="s">
        <v>6237</v>
      </c>
      <c r="E1968" s="3298" t="s">
        <v>6238</v>
      </c>
      <c r="F1968" s="3298" t="s">
        <v>4351</v>
      </c>
      <c r="G1968" s="3278">
        <v>968</v>
      </c>
      <c r="H1968" s="3299">
        <v>0</v>
      </c>
      <c r="I1968" s="3278">
        <v>0</v>
      </c>
    </row>
    <row r="1969" ht="12.75" customHeight="1" spans="2:9">
      <c r="B1969" s="3274">
        <v>903</v>
      </c>
      <c r="D1969" s="3297" t="s">
        <v>6239</v>
      </c>
      <c r="E1969" s="3298" t="s">
        <v>6240</v>
      </c>
      <c r="F1969" s="3298" t="s">
        <v>3056</v>
      </c>
      <c r="G1969" s="3278">
        <v>3025</v>
      </c>
      <c r="H1969" s="3299">
        <v>0</v>
      </c>
      <c r="I1969" s="3278">
        <v>0</v>
      </c>
    </row>
    <row r="1970" ht="12.75" customHeight="1" spans="2:9">
      <c r="B1970" s="3274">
        <v>904</v>
      </c>
      <c r="D1970" s="3297" t="s">
        <v>6241</v>
      </c>
      <c r="E1970" s="3298" t="s">
        <v>6242</v>
      </c>
      <c r="F1970" s="3298" t="s">
        <v>3056</v>
      </c>
      <c r="G1970" s="3278">
        <v>2367.8439</v>
      </c>
      <c r="H1970" s="3299">
        <v>0</v>
      </c>
      <c r="I1970" s="3278">
        <v>0</v>
      </c>
    </row>
    <row r="1971" ht="12.75" customHeight="1" spans="2:9">
      <c r="B1971" s="3274">
        <v>905</v>
      </c>
      <c r="D1971" s="3297" t="s">
        <v>6243</v>
      </c>
      <c r="E1971" s="3298" t="s">
        <v>6244</v>
      </c>
      <c r="F1971" s="3298" t="s">
        <v>2321</v>
      </c>
      <c r="G1971" s="3278">
        <v>4400</v>
      </c>
      <c r="H1971" s="3299">
        <v>0</v>
      </c>
      <c r="I1971" s="3278">
        <v>0</v>
      </c>
    </row>
    <row r="1972" ht="12.75" customHeight="1" spans="2:9">
      <c r="B1972" s="3274">
        <v>906</v>
      </c>
      <c r="D1972" s="3297" t="s">
        <v>6245</v>
      </c>
      <c r="E1972" s="3298" t="s">
        <v>6246</v>
      </c>
      <c r="F1972" s="3298" t="s">
        <v>3056</v>
      </c>
      <c r="G1972" s="3278">
        <v>7680.2</v>
      </c>
      <c r="H1972" s="3299">
        <v>0</v>
      </c>
      <c r="I1972" s="3278">
        <v>0</v>
      </c>
    </row>
    <row r="1973" ht="12.75" customHeight="1" spans="2:9">
      <c r="B1973" s="3274">
        <v>907</v>
      </c>
      <c r="D1973" s="3297" t="s">
        <v>6247</v>
      </c>
      <c r="E1973" s="3298" t="s">
        <v>6248</v>
      </c>
      <c r="F1973" s="3298" t="s">
        <v>3042</v>
      </c>
      <c r="G1973" s="3278">
        <v>11366.674</v>
      </c>
      <c r="H1973" s="3299">
        <v>0</v>
      </c>
      <c r="I1973" s="3278">
        <v>0</v>
      </c>
    </row>
    <row r="1974" ht="12.75" customHeight="1" spans="2:9">
      <c r="B1974" s="3274">
        <v>908</v>
      </c>
      <c r="D1974" s="3297" t="s">
        <v>6249</v>
      </c>
      <c r="E1974" s="3298" t="s">
        <v>6250</v>
      </c>
      <c r="F1974" s="3298" t="s">
        <v>2367</v>
      </c>
      <c r="G1974" s="3278">
        <v>1719</v>
      </c>
      <c r="H1974" s="3299">
        <v>0</v>
      </c>
      <c r="I1974" s="3278">
        <v>0</v>
      </c>
    </row>
    <row r="1975" ht="12.75" customHeight="1" spans="2:9">
      <c r="B1975" s="3274">
        <v>909</v>
      </c>
      <c r="D1975" s="3297" t="s">
        <v>6251</v>
      </c>
      <c r="E1975" s="3298" t="s">
        <v>6252</v>
      </c>
      <c r="F1975" s="3298" t="s">
        <v>3257</v>
      </c>
      <c r="G1975" s="3278">
        <v>3469.4</v>
      </c>
      <c r="H1975" s="3299">
        <v>1400</v>
      </c>
      <c r="I1975" s="3278">
        <v>4857160</v>
      </c>
    </row>
    <row r="1976" ht="12.75" customHeight="1" spans="2:9">
      <c r="B1976" s="3274">
        <v>910</v>
      </c>
      <c r="D1976" s="3297" t="s">
        <v>6253</v>
      </c>
      <c r="E1976" s="3298" t="s">
        <v>6254</v>
      </c>
      <c r="F1976" s="3298" t="s">
        <v>5070</v>
      </c>
      <c r="G1976" s="3278">
        <v>4125</v>
      </c>
      <c r="H1976" s="3299">
        <v>0</v>
      </c>
      <c r="I1976" s="3278">
        <v>0</v>
      </c>
    </row>
    <row r="1977" ht="12.75" customHeight="1" spans="2:9">
      <c r="B1977" s="3274">
        <v>911</v>
      </c>
      <c r="D1977" s="3297" t="s">
        <v>6255</v>
      </c>
      <c r="E1977" s="3298" t="s">
        <v>6256</v>
      </c>
      <c r="F1977" s="3298" t="s">
        <v>2367</v>
      </c>
      <c r="G1977" s="3278">
        <v>16500</v>
      </c>
      <c r="H1977" s="3299">
        <v>130</v>
      </c>
      <c r="I1977" s="3278">
        <v>2145000</v>
      </c>
    </row>
    <row r="1978" ht="12.75" customHeight="1" spans="2:9">
      <c r="B1978" s="3274">
        <v>912</v>
      </c>
      <c r="D1978" s="3297" t="s">
        <v>6257</v>
      </c>
      <c r="E1978" s="3298" t="s">
        <v>6258</v>
      </c>
      <c r="F1978" s="3298" t="s">
        <v>2367</v>
      </c>
      <c r="G1978" s="3278">
        <v>4180</v>
      </c>
      <c r="H1978" s="3299">
        <v>0</v>
      </c>
      <c r="I1978" s="3278">
        <v>0</v>
      </c>
    </row>
    <row r="1979" ht="12.75" customHeight="1" spans="2:9">
      <c r="B1979" s="3274">
        <v>913</v>
      </c>
      <c r="D1979" s="3297" t="s">
        <v>6259</v>
      </c>
      <c r="E1979" s="3298" t="s">
        <v>6260</v>
      </c>
      <c r="F1979" s="3298" t="s">
        <v>4351</v>
      </c>
      <c r="G1979" s="3278">
        <v>5225</v>
      </c>
      <c r="H1979" s="3299">
        <v>0</v>
      </c>
      <c r="I1979" s="3278">
        <v>0</v>
      </c>
    </row>
    <row r="1980" ht="12.75" customHeight="1" spans="2:9">
      <c r="B1980" s="3274">
        <v>914</v>
      </c>
      <c r="D1980" s="3297" t="s">
        <v>6261</v>
      </c>
      <c r="E1980" s="3298" t="s">
        <v>6262</v>
      </c>
      <c r="F1980" s="3298" t="s">
        <v>2367</v>
      </c>
      <c r="G1980" s="3278">
        <v>7518.5</v>
      </c>
      <c r="H1980" s="3299">
        <v>500</v>
      </c>
      <c r="I1980" s="3278">
        <v>3759250</v>
      </c>
    </row>
    <row r="1981" ht="12.75" customHeight="1" spans="2:9">
      <c r="B1981" s="3274">
        <v>915</v>
      </c>
      <c r="D1981" s="3297" t="s">
        <v>6263</v>
      </c>
      <c r="E1981" s="3298" t="s">
        <v>6264</v>
      </c>
      <c r="F1981" s="3298" t="s">
        <v>2367</v>
      </c>
      <c r="G1981" s="3278">
        <v>328.306</v>
      </c>
      <c r="H1981" s="3299">
        <v>0</v>
      </c>
      <c r="I1981" s="3278">
        <v>0</v>
      </c>
    </row>
    <row r="1982" ht="12.75" customHeight="1" spans="2:9">
      <c r="B1982" s="3274">
        <v>916</v>
      </c>
      <c r="D1982" s="3297" t="s">
        <v>6265</v>
      </c>
      <c r="E1982" s="3298" t="s">
        <v>6266</v>
      </c>
      <c r="F1982" s="3298" t="s">
        <v>2367</v>
      </c>
      <c r="G1982" s="3278">
        <v>4400</v>
      </c>
      <c r="H1982" s="3299">
        <v>0</v>
      </c>
      <c r="I1982" s="3278">
        <v>0</v>
      </c>
    </row>
    <row r="1983" ht="12.75" customHeight="1" spans="2:9">
      <c r="B1983" s="3274">
        <v>917</v>
      </c>
      <c r="D1983" s="3297" t="s">
        <v>6267</v>
      </c>
      <c r="E1983" s="3298" t="s">
        <v>6268</v>
      </c>
      <c r="F1983" s="3298" t="s">
        <v>3056</v>
      </c>
      <c r="G1983" s="3278">
        <v>9152</v>
      </c>
      <c r="H1983" s="3299">
        <v>0</v>
      </c>
      <c r="I1983" s="3278">
        <v>0</v>
      </c>
    </row>
    <row r="1984" ht="12.75" customHeight="1" spans="2:9">
      <c r="B1984" s="3274">
        <v>918</v>
      </c>
      <c r="D1984" s="3297" t="s">
        <v>6269</v>
      </c>
      <c r="E1984" s="3298" t="s">
        <v>6270</v>
      </c>
      <c r="F1984" s="3298" t="s">
        <v>2321</v>
      </c>
      <c r="G1984" s="3278">
        <v>36921.5</v>
      </c>
      <c r="H1984" s="3299">
        <v>0</v>
      </c>
      <c r="I1984" s="3278">
        <v>0</v>
      </c>
    </row>
    <row r="1985" ht="12.75" customHeight="1" spans="2:9">
      <c r="B1985" s="3274">
        <v>919</v>
      </c>
      <c r="D1985" s="3297" t="s">
        <v>6271</v>
      </c>
      <c r="E1985" s="3298" t="s">
        <v>6272</v>
      </c>
      <c r="F1985" s="3298" t="s">
        <v>2321</v>
      </c>
      <c r="G1985" s="3278">
        <v>20746</v>
      </c>
      <c r="H1985" s="3299">
        <v>0</v>
      </c>
      <c r="I1985" s="3278">
        <v>0</v>
      </c>
    </row>
    <row r="1986" ht="12.75" customHeight="1" spans="2:9">
      <c r="B1986" s="3274">
        <v>920</v>
      </c>
      <c r="D1986" s="3297" t="s">
        <v>6273</v>
      </c>
      <c r="E1986" s="3298" t="s">
        <v>6274</v>
      </c>
      <c r="F1986" s="3298" t="s">
        <v>2299</v>
      </c>
      <c r="G1986" s="3278">
        <v>7393.1</v>
      </c>
      <c r="H1986" s="3299">
        <v>0</v>
      </c>
      <c r="I1986" s="3278">
        <v>0</v>
      </c>
    </row>
    <row r="1987" ht="12.75" customHeight="1" spans="2:9">
      <c r="B1987" s="3274">
        <v>921</v>
      </c>
      <c r="D1987" s="3297" t="s">
        <v>6275</v>
      </c>
      <c r="E1987" s="3298" t="s">
        <v>6276</v>
      </c>
      <c r="F1987" s="3298" t="s">
        <v>3056</v>
      </c>
      <c r="G1987" s="3278">
        <v>968</v>
      </c>
      <c r="H1987" s="3299">
        <v>0</v>
      </c>
      <c r="I1987" s="3278">
        <v>0</v>
      </c>
    </row>
    <row r="1988" ht="12.75" customHeight="1" spans="2:9">
      <c r="B1988" s="3274">
        <v>922</v>
      </c>
      <c r="D1988" s="3297" t="s">
        <v>6277</v>
      </c>
      <c r="E1988" s="3298" t="s">
        <v>6278</v>
      </c>
      <c r="F1988" s="3298" t="s">
        <v>2367</v>
      </c>
      <c r="G1988" s="3278">
        <v>12466.674</v>
      </c>
      <c r="H1988" s="3299">
        <v>0</v>
      </c>
      <c r="I1988" s="3278">
        <v>0</v>
      </c>
    </row>
    <row r="1989" ht="12.75" customHeight="1" spans="2:9">
      <c r="B1989" s="3274">
        <v>923</v>
      </c>
      <c r="D1989" s="3297" t="s">
        <v>6279</v>
      </c>
      <c r="E1989" s="3298" t="s">
        <v>6280</v>
      </c>
      <c r="F1989" s="3298" t="s">
        <v>2367</v>
      </c>
      <c r="G1989" s="3278">
        <v>1867.8</v>
      </c>
      <c r="H1989" s="3299">
        <v>0</v>
      </c>
      <c r="I1989" s="3278">
        <v>0</v>
      </c>
    </row>
    <row r="1990" ht="12.75" customHeight="1" spans="2:9">
      <c r="B1990" s="3274">
        <v>924</v>
      </c>
      <c r="D1990" s="3297" t="s">
        <v>6281</v>
      </c>
      <c r="E1990" s="3298" t="s">
        <v>6282</v>
      </c>
      <c r="F1990" s="3298" t="s">
        <v>2367</v>
      </c>
      <c r="G1990" s="3278">
        <v>8620.15</v>
      </c>
      <c r="H1990" s="3299">
        <v>0</v>
      </c>
      <c r="I1990" s="3278">
        <v>0</v>
      </c>
    </row>
    <row r="1991" ht="12.75" customHeight="1" spans="2:9">
      <c r="B1991" s="3274">
        <v>925</v>
      </c>
      <c r="D1991" s="3297" t="s">
        <v>6283</v>
      </c>
      <c r="E1991" s="3298" t="s">
        <v>6284</v>
      </c>
      <c r="F1991" s="3298" t="s">
        <v>2637</v>
      </c>
      <c r="G1991" s="3278">
        <v>272250</v>
      </c>
      <c r="H1991" s="3299">
        <v>0</v>
      </c>
      <c r="I1991" s="3278">
        <v>0</v>
      </c>
    </row>
    <row r="1992" ht="12.75" customHeight="1" spans="2:9">
      <c r="B1992" s="3274">
        <v>926</v>
      </c>
      <c r="D1992" s="3297" t="s">
        <v>6285</v>
      </c>
      <c r="E1992" s="3298" t="s">
        <v>6286</v>
      </c>
      <c r="F1992" s="3298" t="s">
        <v>2367</v>
      </c>
      <c r="G1992" s="3278">
        <v>2571.25</v>
      </c>
      <c r="H1992" s="3299">
        <v>0</v>
      </c>
      <c r="I1992" s="3278">
        <v>0</v>
      </c>
    </row>
    <row r="1993" ht="12.75" customHeight="1" spans="2:9">
      <c r="B1993" s="3274">
        <v>927</v>
      </c>
      <c r="D1993" s="3297" t="s">
        <v>6287</v>
      </c>
      <c r="E1993" s="3298" t="s">
        <v>6288</v>
      </c>
      <c r="F1993" s="3298" t="s">
        <v>3412</v>
      </c>
      <c r="G1993" s="3278">
        <v>24657.435</v>
      </c>
      <c r="H1993" s="3299">
        <v>140</v>
      </c>
      <c r="I1993" s="3278">
        <v>3452040.9</v>
      </c>
    </row>
    <row r="1994" ht="12.75" customHeight="1" spans="2:9">
      <c r="B1994" s="3274">
        <v>928</v>
      </c>
      <c r="D1994" s="3297" t="s">
        <v>6289</v>
      </c>
      <c r="E1994" s="3298" t="s">
        <v>6290</v>
      </c>
      <c r="F1994" s="3298" t="s">
        <v>2367</v>
      </c>
      <c r="G1994" s="3278">
        <v>11616</v>
      </c>
      <c r="H1994" s="3299">
        <v>140</v>
      </c>
      <c r="I1994" s="3278">
        <v>1626240</v>
      </c>
    </row>
    <row r="1995" ht="12.75" customHeight="1" spans="2:9">
      <c r="B1995" s="3274">
        <v>929</v>
      </c>
      <c r="D1995" s="3297" t="s">
        <v>6291</v>
      </c>
      <c r="E1995" s="3298" t="s">
        <v>6292</v>
      </c>
      <c r="F1995" s="3298" t="s">
        <v>2321</v>
      </c>
      <c r="G1995" s="3278">
        <v>15444</v>
      </c>
      <c r="H1995" s="3299">
        <v>0</v>
      </c>
      <c r="I1995" s="3278">
        <v>0</v>
      </c>
    </row>
    <row r="1996" ht="12.75" customHeight="1" spans="2:9">
      <c r="B1996" s="3274">
        <v>930</v>
      </c>
      <c r="D1996" s="3297" t="s">
        <v>6293</v>
      </c>
      <c r="E1996" s="3298" t="s">
        <v>6294</v>
      </c>
      <c r="F1996" s="3298" t="s">
        <v>2321</v>
      </c>
      <c r="G1996" s="3278">
        <v>15444</v>
      </c>
      <c r="H1996" s="3299">
        <v>0</v>
      </c>
      <c r="I1996" s="3278">
        <v>0</v>
      </c>
    </row>
    <row r="1997" ht="12.75" customHeight="1" spans="2:9">
      <c r="B1997" s="3274">
        <v>931</v>
      </c>
      <c r="D1997" s="3297" t="s">
        <v>6295</v>
      </c>
      <c r="E1997" s="3298" t="s">
        <v>6296</v>
      </c>
      <c r="F1997" s="3298" t="s">
        <v>2321</v>
      </c>
      <c r="G1997" s="3278">
        <v>55399.993</v>
      </c>
      <c r="H1997" s="3299">
        <v>0</v>
      </c>
      <c r="I1997" s="3278">
        <v>0</v>
      </c>
    </row>
    <row r="1998" ht="12.75" customHeight="1" spans="2:9">
      <c r="B1998" s="3274">
        <v>932</v>
      </c>
      <c r="D1998" s="3297" t="s">
        <v>6297</v>
      </c>
      <c r="E1998" s="3298" t="s">
        <v>6298</v>
      </c>
      <c r="F1998" s="3298" t="s">
        <v>2367</v>
      </c>
      <c r="G1998" s="3278">
        <v>9900</v>
      </c>
      <c r="H1998" s="3299">
        <v>0</v>
      </c>
      <c r="I1998" s="3278">
        <v>0</v>
      </c>
    </row>
    <row r="1999" ht="12.75" customHeight="1" spans="2:9">
      <c r="B1999" s="3274">
        <v>933</v>
      </c>
      <c r="D1999" s="3297" t="s">
        <v>6299</v>
      </c>
      <c r="E1999" s="3298" t="s">
        <v>6300</v>
      </c>
      <c r="F1999" s="3298" t="s">
        <v>2321</v>
      </c>
      <c r="G1999" s="3278">
        <v>72600</v>
      </c>
      <c r="H1999" s="3299">
        <v>0</v>
      </c>
      <c r="I1999" s="3278">
        <v>0</v>
      </c>
    </row>
    <row r="2000" ht="12.75" customHeight="1" spans="2:9">
      <c r="B2000" s="3274">
        <v>934</v>
      </c>
      <c r="D2000" s="3297" t="s">
        <v>6301</v>
      </c>
      <c r="E2000" s="3298" t="s">
        <v>6302</v>
      </c>
      <c r="F2000" s="3298" t="s">
        <v>2321</v>
      </c>
      <c r="G2000" s="3278">
        <v>45100</v>
      </c>
      <c r="H2000" s="3299">
        <v>0</v>
      </c>
      <c r="I2000" s="3278">
        <v>0</v>
      </c>
    </row>
    <row r="2001" ht="12.75" customHeight="1" spans="2:9">
      <c r="B2001" s="3274">
        <v>935</v>
      </c>
      <c r="D2001" s="3297" t="s">
        <v>6303</v>
      </c>
      <c r="E2001" s="3298" t="s">
        <v>6304</v>
      </c>
      <c r="F2001" s="3298" t="s">
        <v>2367</v>
      </c>
      <c r="G2001" s="3278">
        <v>10395</v>
      </c>
      <c r="H2001" s="3299">
        <v>0</v>
      </c>
      <c r="I2001" s="3278">
        <v>0</v>
      </c>
    </row>
    <row r="2002" ht="12.75" customHeight="1" spans="2:9">
      <c r="B2002" s="3274">
        <v>936</v>
      </c>
      <c r="D2002" s="3297" t="s">
        <v>6305</v>
      </c>
      <c r="E2002" s="3298" t="s">
        <v>6306</v>
      </c>
      <c r="F2002" s="3298" t="s">
        <v>2321</v>
      </c>
      <c r="G2002" s="3278">
        <v>45100</v>
      </c>
      <c r="H2002" s="3299">
        <v>0</v>
      </c>
      <c r="I2002" s="3278">
        <v>0</v>
      </c>
    </row>
    <row r="2003" ht="12.75" customHeight="1" spans="2:9">
      <c r="B2003" s="3274">
        <v>937</v>
      </c>
      <c r="D2003" s="3297" t="s">
        <v>6307</v>
      </c>
      <c r="E2003" s="3298" t="s">
        <v>6308</v>
      </c>
      <c r="F2003" s="3298" t="s">
        <v>3042</v>
      </c>
      <c r="G2003" s="3278">
        <v>2702.7</v>
      </c>
      <c r="H2003" s="3299">
        <v>1500</v>
      </c>
      <c r="I2003" s="3278">
        <v>4054050</v>
      </c>
    </row>
    <row r="2004" ht="12.75" customHeight="1" spans="2:9">
      <c r="B2004" s="3274">
        <v>938</v>
      </c>
      <c r="D2004" s="3297" t="s">
        <v>6309</v>
      </c>
      <c r="E2004" s="3298" t="s">
        <v>6310</v>
      </c>
      <c r="F2004" s="3298" t="s">
        <v>2321</v>
      </c>
      <c r="G2004" s="3278">
        <v>48400</v>
      </c>
      <c r="H2004" s="3299">
        <v>0</v>
      </c>
      <c r="I2004" s="3278">
        <v>0</v>
      </c>
    </row>
    <row r="2005" ht="12.75" customHeight="1" spans="2:9">
      <c r="B2005" s="3274">
        <v>939</v>
      </c>
      <c r="D2005" s="3297" t="s">
        <v>6311</v>
      </c>
      <c r="E2005" s="3298" t="s">
        <v>6312</v>
      </c>
      <c r="F2005" s="3298" t="s">
        <v>2321</v>
      </c>
      <c r="G2005" s="3278">
        <v>15955.5</v>
      </c>
      <c r="H2005" s="3299">
        <v>0</v>
      </c>
      <c r="I2005" s="3278">
        <v>0</v>
      </c>
    </row>
    <row r="2006" ht="12.75" customHeight="1" spans="2:9">
      <c r="B2006" s="3274">
        <v>940</v>
      </c>
      <c r="D2006" s="3297" t="s">
        <v>6313</v>
      </c>
      <c r="E2006" s="3298" t="s">
        <v>6314</v>
      </c>
      <c r="F2006" s="3298" t="s">
        <v>2321</v>
      </c>
      <c r="G2006" s="3278">
        <v>30830.8</v>
      </c>
      <c r="H2006" s="3299">
        <v>0</v>
      </c>
      <c r="I2006" s="3278">
        <v>0</v>
      </c>
    </row>
    <row r="2007" ht="12.75" customHeight="1" spans="2:9">
      <c r="B2007" s="3274">
        <v>941</v>
      </c>
      <c r="D2007" s="3297" t="s">
        <v>6315</v>
      </c>
      <c r="E2007" s="3298" t="s">
        <v>6316</v>
      </c>
      <c r="F2007" s="3298" t="s">
        <v>2367</v>
      </c>
      <c r="G2007" s="3278">
        <v>4950</v>
      </c>
      <c r="H2007" s="3299">
        <v>0</v>
      </c>
      <c r="I2007" s="3278">
        <v>0</v>
      </c>
    </row>
    <row r="2008" ht="12.75" customHeight="1" spans="2:9">
      <c r="B2008" s="3274">
        <v>942</v>
      </c>
      <c r="D2008" s="3297" t="s">
        <v>6317</v>
      </c>
      <c r="E2008" s="3298" t="s">
        <v>6318</v>
      </c>
      <c r="F2008" s="3298" t="s">
        <v>2637</v>
      </c>
      <c r="G2008" s="3278">
        <v>26970.9</v>
      </c>
      <c r="H2008" s="3299">
        <v>0</v>
      </c>
      <c r="I2008" s="3278">
        <v>0</v>
      </c>
    </row>
    <row r="2009" ht="12.75" customHeight="1" spans="2:9">
      <c r="B2009" s="3274">
        <v>943</v>
      </c>
      <c r="D2009" s="3297" t="s">
        <v>6319</v>
      </c>
      <c r="E2009" s="3298" t="s">
        <v>6320</v>
      </c>
      <c r="F2009" s="3298" t="s">
        <v>2637</v>
      </c>
      <c r="G2009" s="3278">
        <v>56870</v>
      </c>
      <c r="H2009" s="3299">
        <v>0</v>
      </c>
      <c r="I2009" s="3278">
        <v>0</v>
      </c>
    </row>
    <row r="2010" ht="12.75" customHeight="1" spans="2:9">
      <c r="B2010" s="3274">
        <v>944</v>
      </c>
      <c r="D2010" s="3297" t="s">
        <v>6321</v>
      </c>
      <c r="E2010" s="3298" t="s">
        <v>6322</v>
      </c>
      <c r="F2010" s="3298" t="s">
        <v>2321</v>
      </c>
      <c r="G2010" s="3278">
        <v>205832</v>
      </c>
      <c r="H2010" s="3299">
        <v>7</v>
      </c>
      <c r="I2010" s="3278">
        <v>1440824</v>
      </c>
    </row>
    <row r="2011" ht="12.75" customHeight="1" spans="2:9">
      <c r="B2011" s="3274">
        <v>945</v>
      </c>
      <c r="D2011" s="3297" t="s">
        <v>6323</v>
      </c>
      <c r="E2011" s="3298" t="s">
        <v>6324</v>
      </c>
      <c r="F2011" s="3298" t="s">
        <v>4351</v>
      </c>
      <c r="G2011" s="3278">
        <v>2033.34</v>
      </c>
      <c r="H2011" s="3299">
        <v>0</v>
      </c>
      <c r="I2011" s="3278">
        <v>0</v>
      </c>
    </row>
    <row r="2012" ht="12.75" customHeight="1" spans="2:9">
      <c r="B2012" s="3274">
        <v>946</v>
      </c>
      <c r="D2012" s="3297" t="s">
        <v>6325</v>
      </c>
      <c r="E2012" s="3298" t="s">
        <v>6326</v>
      </c>
      <c r="F2012" s="3298" t="s">
        <v>2367</v>
      </c>
      <c r="G2012" s="3278">
        <v>2889.425</v>
      </c>
      <c r="H2012" s="3299">
        <v>0</v>
      </c>
      <c r="I2012" s="3278">
        <v>0</v>
      </c>
    </row>
    <row r="2013" ht="12.75" customHeight="1" spans="2:9">
      <c r="B2013" s="3274">
        <v>947</v>
      </c>
      <c r="D2013" s="3297" t="s">
        <v>6327</v>
      </c>
      <c r="E2013" s="3298" t="s">
        <v>6328</v>
      </c>
      <c r="F2013" s="3298" t="s">
        <v>2321</v>
      </c>
      <c r="G2013" s="3278">
        <v>106150</v>
      </c>
      <c r="H2013" s="3299">
        <v>3</v>
      </c>
      <c r="I2013" s="3278">
        <v>318450</v>
      </c>
    </row>
    <row r="2014" ht="12.75" customHeight="1" spans="2:9">
      <c r="B2014" s="3274">
        <v>948</v>
      </c>
      <c r="D2014" s="3297" t="s">
        <v>6329</v>
      </c>
      <c r="E2014" s="3298" t="s">
        <v>6330</v>
      </c>
      <c r="F2014" s="3298" t="s">
        <v>2367</v>
      </c>
      <c r="G2014" s="3278">
        <v>6398.337</v>
      </c>
      <c r="H2014" s="3299">
        <v>0</v>
      </c>
      <c r="I2014" s="3278">
        <v>0</v>
      </c>
    </row>
    <row r="2015" ht="12.75" customHeight="1" spans="2:9">
      <c r="B2015" s="3274">
        <v>949</v>
      </c>
      <c r="D2015" s="3297" t="s">
        <v>6331</v>
      </c>
      <c r="E2015" s="3298" t="s">
        <v>6332</v>
      </c>
      <c r="F2015" s="3298" t="s">
        <v>2299</v>
      </c>
      <c r="G2015" s="3278">
        <v>8166.664</v>
      </c>
      <c r="H2015" s="3299">
        <v>0</v>
      </c>
      <c r="I2015" s="3278">
        <v>0</v>
      </c>
    </row>
    <row r="2016" ht="12.75" customHeight="1" spans="2:9">
      <c r="B2016" s="3274">
        <v>950</v>
      </c>
      <c r="D2016" s="3297" t="s">
        <v>6333</v>
      </c>
      <c r="E2016" s="3298" t="s">
        <v>6334</v>
      </c>
      <c r="F2016" s="3298" t="s">
        <v>2637</v>
      </c>
      <c r="G2016" s="3278">
        <v>88000</v>
      </c>
      <c r="H2016" s="3299">
        <v>0</v>
      </c>
      <c r="I2016" s="3278">
        <v>0</v>
      </c>
    </row>
    <row r="2017" ht="12.75" customHeight="1" spans="2:9">
      <c r="B2017" s="3274">
        <v>951</v>
      </c>
      <c r="D2017" s="3297" t="s">
        <v>6335</v>
      </c>
      <c r="E2017" s="3298" t="s">
        <v>6336</v>
      </c>
      <c r="F2017" s="3298" t="s">
        <v>2637</v>
      </c>
      <c r="G2017" s="3278">
        <v>41250</v>
      </c>
      <c r="H2017" s="3299">
        <v>0</v>
      </c>
      <c r="I2017" s="3278">
        <v>0</v>
      </c>
    </row>
    <row r="2018" ht="12.75" customHeight="1" spans="2:9">
      <c r="B2018" s="3274">
        <v>952</v>
      </c>
      <c r="D2018" s="3297" t="s">
        <v>6337</v>
      </c>
      <c r="E2018" s="3298" t="s">
        <v>6338</v>
      </c>
      <c r="F2018" s="3298" t="s">
        <v>2637</v>
      </c>
      <c r="G2018" s="3278">
        <v>114400</v>
      </c>
      <c r="H2018" s="3299">
        <v>0</v>
      </c>
      <c r="I2018" s="3278">
        <v>0</v>
      </c>
    </row>
    <row r="2019" ht="12.75" customHeight="1" spans="2:9">
      <c r="B2019" s="3274">
        <v>953</v>
      </c>
      <c r="D2019" s="3297" t="s">
        <v>6339</v>
      </c>
      <c r="E2019" s="3298" t="s">
        <v>6340</v>
      </c>
      <c r="F2019" s="3298" t="s">
        <v>2321</v>
      </c>
      <c r="G2019" s="3278">
        <v>36300</v>
      </c>
      <c r="H2019" s="3299">
        <v>0</v>
      </c>
      <c r="I2019" s="3278">
        <v>0</v>
      </c>
    </row>
    <row r="2020" ht="12.75" customHeight="1" spans="2:9">
      <c r="B2020" s="3274">
        <v>954</v>
      </c>
      <c r="D2020" s="3297" t="s">
        <v>6341</v>
      </c>
      <c r="E2020" s="3298" t="s">
        <v>6342</v>
      </c>
      <c r="F2020" s="3298" t="s">
        <v>2321</v>
      </c>
      <c r="G2020" s="3278">
        <v>36960</v>
      </c>
      <c r="H2020" s="3299">
        <v>0</v>
      </c>
      <c r="I2020" s="3278">
        <v>0</v>
      </c>
    </row>
    <row r="2021" ht="12.75" customHeight="1" spans="2:9">
      <c r="B2021" s="3274">
        <v>955</v>
      </c>
      <c r="D2021" s="3297" t="s">
        <v>6343</v>
      </c>
      <c r="E2021" s="3298" t="s">
        <v>6344</v>
      </c>
      <c r="F2021" s="3298" t="s">
        <v>3056</v>
      </c>
      <c r="G2021" s="3278">
        <v>2591.6</v>
      </c>
      <c r="H2021" s="3299">
        <v>0</v>
      </c>
      <c r="I2021" s="3278">
        <v>0</v>
      </c>
    </row>
    <row r="2022" ht="12.75" customHeight="1" spans="2:9">
      <c r="B2022" s="3274">
        <v>956</v>
      </c>
      <c r="D2022" s="3297" t="s">
        <v>6345</v>
      </c>
      <c r="E2022" s="3298" t="s">
        <v>6346</v>
      </c>
      <c r="F2022" s="3298" t="s">
        <v>4351</v>
      </c>
      <c r="G2022" s="3278">
        <v>7698.9</v>
      </c>
      <c r="H2022" s="3299">
        <v>0</v>
      </c>
      <c r="I2022" s="3278">
        <v>0</v>
      </c>
    </row>
    <row r="2023" ht="12.75" customHeight="1" spans="2:9">
      <c r="B2023" s="3274">
        <v>957</v>
      </c>
      <c r="D2023" s="3297" t="s">
        <v>6347</v>
      </c>
      <c r="E2023" s="3298" t="s">
        <v>6348</v>
      </c>
      <c r="F2023" s="3298" t="s">
        <v>2367</v>
      </c>
      <c r="G2023" s="3278">
        <v>3700.4</v>
      </c>
      <c r="H2023" s="3299">
        <v>9100</v>
      </c>
      <c r="I2023" s="3278">
        <v>33673640</v>
      </c>
    </row>
    <row r="2024" ht="12.75" customHeight="1" spans="2:9">
      <c r="B2024" s="3274">
        <v>958</v>
      </c>
      <c r="D2024" s="3297" t="s">
        <v>6349</v>
      </c>
      <c r="E2024" s="3298" t="s">
        <v>6350</v>
      </c>
      <c r="F2024" s="3298" t="s">
        <v>3056</v>
      </c>
      <c r="G2024" s="3278">
        <v>3025</v>
      </c>
      <c r="H2024" s="3299">
        <v>0</v>
      </c>
      <c r="I2024" s="3278">
        <v>0</v>
      </c>
    </row>
    <row r="2025" ht="12.75" customHeight="1" spans="2:9">
      <c r="B2025" s="3274">
        <v>959</v>
      </c>
      <c r="D2025" s="3297" t="s">
        <v>6351</v>
      </c>
      <c r="E2025" s="3298" t="s">
        <v>6352</v>
      </c>
      <c r="F2025" s="3298" t="s">
        <v>2321</v>
      </c>
      <c r="G2025" s="3278">
        <v>84040</v>
      </c>
      <c r="H2025" s="3299">
        <v>0</v>
      </c>
      <c r="I2025" s="3278">
        <v>0</v>
      </c>
    </row>
    <row r="2026" ht="12.75" customHeight="1" spans="2:9">
      <c r="B2026" s="3274">
        <v>960</v>
      </c>
      <c r="D2026" s="3297" t="s">
        <v>6353</v>
      </c>
      <c r="E2026" s="3298" t="s">
        <v>6354</v>
      </c>
      <c r="F2026" s="3298" t="s">
        <v>3056</v>
      </c>
      <c r="G2026" s="3278">
        <v>8514</v>
      </c>
      <c r="H2026" s="3299">
        <v>0</v>
      </c>
      <c r="I2026" s="3278">
        <v>0</v>
      </c>
    </row>
    <row r="2027" ht="12.75" customHeight="1" spans="2:9">
      <c r="B2027" s="3274">
        <v>961</v>
      </c>
      <c r="D2027" s="3297" t="s">
        <v>6355</v>
      </c>
      <c r="E2027" s="3298" t="s">
        <v>6356</v>
      </c>
      <c r="F2027" s="3298" t="s">
        <v>2367</v>
      </c>
      <c r="G2027" s="3278">
        <v>2189</v>
      </c>
      <c r="H2027" s="3299">
        <v>0</v>
      </c>
      <c r="I2027" s="3278">
        <v>0</v>
      </c>
    </row>
    <row r="2028" ht="12.75" customHeight="1" spans="2:9">
      <c r="B2028" s="3274">
        <v>962</v>
      </c>
      <c r="D2028" s="3297" t="s">
        <v>6357</v>
      </c>
      <c r="E2028" s="3298" t="s">
        <v>6358</v>
      </c>
      <c r="F2028" s="3298" t="s">
        <v>2367</v>
      </c>
      <c r="G2028" s="3278">
        <v>2640</v>
      </c>
      <c r="H2028" s="3299">
        <v>0</v>
      </c>
      <c r="I2028" s="3278">
        <v>0</v>
      </c>
    </row>
    <row r="2029" ht="12.75" customHeight="1" spans="2:9">
      <c r="B2029" s="3274">
        <v>963</v>
      </c>
      <c r="D2029" s="3297" t="s">
        <v>6359</v>
      </c>
      <c r="E2029" s="3298" t="s">
        <v>6360</v>
      </c>
      <c r="F2029" s="3298" t="s">
        <v>3056</v>
      </c>
      <c r="G2029" s="3278">
        <v>6179.25</v>
      </c>
      <c r="H2029" s="3299">
        <v>0</v>
      </c>
      <c r="I2029" s="3278">
        <v>0</v>
      </c>
    </row>
    <row r="2030" ht="12.75" customHeight="1" spans="2:9">
      <c r="B2030" s="3274">
        <v>964</v>
      </c>
      <c r="D2030" s="3297" t="s">
        <v>6361</v>
      </c>
      <c r="E2030" s="3298" t="s">
        <v>6362</v>
      </c>
      <c r="F2030" s="3298" t="s">
        <v>2299</v>
      </c>
      <c r="G2030" s="3278">
        <v>15361.5</v>
      </c>
      <c r="H2030" s="3299">
        <v>144</v>
      </c>
      <c r="I2030" s="3278">
        <v>2212056</v>
      </c>
    </row>
    <row r="2031" ht="12.75" customHeight="1" spans="2:9">
      <c r="B2031" s="3274">
        <v>965</v>
      </c>
      <c r="D2031" s="3297" t="s">
        <v>6363</v>
      </c>
      <c r="E2031" s="3298" t="s">
        <v>6364</v>
      </c>
      <c r="F2031" s="3298" t="s">
        <v>2321</v>
      </c>
      <c r="G2031" s="3278">
        <v>16593.5</v>
      </c>
      <c r="H2031" s="3299">
        <v>144</v>
      </c>
      <c r="I2031" s="3278">
        <v>2389464</v>
      </c>
    </row>
    <row r="2032" ht="12.75" customHeight="1" spans="2:9">
      <c r="B2032" s="3274">
        <v>966</v>
      </c>
      <c r="D2032" s="3297" t="s">
        <v>6365</v>
      </c>
      <c r="E2032" s="3298" t="s">
        <v>6366</v>
      </c>
      <c r="F2032" s="3298" t="s">
        <v>2367</v>
      </c>
      <c r="G2032" s="3278">
        <v>10419.2914</v>
      </c>
      <c r="H2032" s="3299">
        <v>0</v>
      </c>
      <c r="I2032" s="3278">
        <v>0</v>
      </c>
    </row>
    <row r="2033" ht="12.75" customHeight="1" spans="2:9">
      <c r="B2033" s="3274">
        <v>967</v>
      </c>
      <c r="D2033" s="3297" t="s">
        <v>6367</v>
      </c>
      <c r="E2033" s="3298" t="s">
        <v>6368</v>
      </c>
      <c r="F2033" s="3298" t="s">
        <v>2321</v>
      </c>
      <c r="G2033" s="3278">
        <v>2471.007</v>
      </c>
      <c r="H2033" s="3299">
        <v>0</v>
      </c>
      <c r="I2033" s="3278">
        <v>0</v>
      </c>
    </row>
    <row r="2034" ht="12.75" customHeight="1" spans="2:9">
      <c r="B2034" s="3274">
        <v>968</v>
      </c>
      <c r="D2034" s="3297" t="s">
        <v>6369</v>
      </c>
      <c r="E2034" s="3298" t="s">
        <v>6370</v>
      </c>
      <c r="F2034" s="3298" t="s">
        <v>2321</v>
      </c>
      <c r="G2034" s="3278">
        <v>6050</v>
      </c>
      <c r="H2034" s="3299">
        <v>0</v>
      </c>
      <c r="I2034" s="3278">
        <v>0</v>
      </c>
    </row>
    <row r="2035" ht="12.75" customHeight="1" spans="2:9">
      <c r="B2035" s="3274">
        <v>969</v>
      </c>
      <c r="D2035" s="3297" t="s">
        <v>6371</v>
      </c>
      <c r="E2035" s="3298" t="s">
        <v>6372</v>
      </c>
      <c r="F2035" s="3298" t="s">
        <v>2321</v>
      </c>
      <c r="G2035" s="3278">
        <v>30779.1</v>
      </c>
      <c r="H2035" s="3299">
        <v>0</v>
      </c>
      <c r="I2035" s="3278">
        <v>0</v>
      </c>
    </row>
    <row r="2036" ht="12.75" customHeight="1" spans="2:9">
      <c r="B2036" s="3274">
        <v>970</v>
      </c>
      <c r="D2036" s="3297" t="s">
        <v>6373</v>
      </c>
      <c r="E2036" s="3298" t="s">
        <v>6374</v>
      </c>
      <c r="F2036" s="3298" t="s">
        <v>2321</v>
      </c>
      <c r="G2036" s="3278">
        <v>13833.6</v>
      </c>
      <c r="H2036" s="3299">
        <v>960</v>
      </c>
      <c r="I2036" s="3278">
        <v>13280256</v>
      </c>
    </row>
    <row r="2037" ht="12.75" customHeight="1" spans="2:9">
      <c r="B2037" s="3274">
        <v>971</v>
      </c>
      <c r="D2037" s="3297" t="s">
        <v>6375</v>
      </c>
      <c r="E2037" s="3298" t="s">
        <v>6376</v>
      </c>
      <c r="F2037" s="3298" t="s">
        <v>2321</v>
      </c>
      <c r="G2037" s="3278">
        <v>8065.838</v>
      </c>
      <c r="H2037" s="3299">
        <v>0</v>
      </c>
      <c r="I2037" s="3278">
        <v>0</v>
      </c>
    </row>
    <row r="2038" ht="12.75" customHeight="1" spans="2:9">
      <c r="B2038" s="3274">
        <v>972</v>
      </c>
      <c r="D2038" s="3297" t="s">
        <v>6377</v>
      </c>
      <c r="E2038" s="3298" t="s">
        <v>6378</v>
      </c>
      <c r="F2038" s="3298" t="s">
        <v>3423</v>
      </c>
      <c r="G2038" s="3278">
        <v>137500</v>
      </c>
      <c r="H2038" s="3299">
        <v>0</v>
      </c>
      <c r="I2038" s="3278">
        <v>0</v>
      </c>
    </row>
    <row r="2039" ht="12.75" customHeight="1" spans="2:9">
      <c r="B2039" s="3274">
        <v>973</v>
      </c>
      <c r="D2039" s="3297" t="s">
        <v>6379</v>
      </c>
      <c r="E2039" s="3298" t="s">
        <v>6380</v>
      </c>
      <c r="F2039" s="3298" t="s">
        <v>3056</v>
      </c>
      <c r="G2039" s="3278">
        <v>13200</v>
      </c>
      <c r="H2039" s="3299">
        <v>0</v>
      </c>
      <c r="I2039" s="3278">
        <v>0</v>
      </c>
    </row>
    <row r="2040" ht="12.75" customHeight="1" spans="2:9">
      <c r="B2040" s="3274">
        <v>974</v>
      </c>
      <c r="D2040" s="3297" t="s">
        <v>6381</v>
      </c>
      <c r="E2040" s="3298" t="s">
        <v>6382</v>
      </c>
      <c r="F2040" s="3298" t="s">
        <v>2321</v>
      </c>
      <c r="G2040" s="3278">
        <v>10780</v>
      </c>
      <c r="H2040" s="3299">
        <v>0</v>
      </c>
      <c r="I2040" s="3278">
        <v>0</v>
      </c>
    </row>
    <row r="2041" ht="12.75" customHeight="1" spans="2:9">
      <c r="B2041" s="3274">
        <v>975</v>
      </c>
      <c r="D2041" s="3297" t="s">
        <v>6383</v>
      </c>
      <c r="E2041" s="3298" t="s">
        <v>6384</v>
      </c>
      <c r="F2041" s="3298" t="s">
        <v>2321</v>
      </c>
      <c r="G2041" s="3278">
        <v>7920</v>
      </c>
      <c r="H2041" s="3299">
        <v>0</v>
      </c>
      <c r="I2041" s="3278">
        <v>0</v>
      </c>
    </row>
    <row r="2042" ht="12.75" customHeight="1" spans="2:9">
      <c r="B2042" s="3274">
        <v>976</v>
      </c>
      <c r="D2042" s="3297" t="s">
        <v>6385</v>
      </c>
      <c r="E2042" s="3298" t="s">
        <v>6386</v>
      </c>
      <c r="F2042" s="3298" t="s">
        <v>2367</v>
      </c>
      <c r="G2042" s="3278">
        <v>4950</v>
      </c>
      <c r="H2042" s="3299">
        <v>0</v>
      </c>
      <c r="I2042" s="3278">
        <v>0</v>
      </c>
    </row>
    <row r="2043" ht="12.75" customHeight="1" spans="2:9">
      <c r="B2043" s="3274">
        <v>977</v>
      </c>
      <c r="D2043" s="3297" t="s">
        <v>6387</v>
      </c>
      <c r="E2043" s="3298" t="s">
        <v>6388</v>
      </c>
      <c r="F2043" s="3298" t="s">
        <v>2321</v>
      </c>
      <c r="G2043" s="3278">
        <v>44000</v>
      </c>
      <c r="H2043" s="3299">
        <v>31</v>
      </c>
      <c r="I2043" s="3278">
        <v>1364000</v>
      </c>
    </row>
    <row r="2044" ht="12.75" customHeight="1" spans="2:9">
      <c r="B2044" s="3274">
        <v>978</v>
      </c>
      <c r="D2044" s="3297" t="s">
        <v>6389</v>
      </c>
      <c r="E2044" s="3298" t="s">
        <v>6390</v>
      </c>
      <c r="F2044" s="3298" t="s">
        <v>2321</v>
      </c>
      <c r="G2044" s="3278">
        <v>44000</v>
      </c>
      <c r="H2044" s="3299">
        <v>28</v>
      </c>
      <c r="I2044" s="3278">
        <v>1232000</v>
      </c>
    </row>
    <row r="2045" ht="12.75" customHeight="1" spans="2:9">
      <c r="B2045" s="3274">
        <v>979</v>
      </c>
      <c r="D2045" s="3297" t="s">
        <v>6391</v>
      </c>
      <c r="E2045" s="3298" t="s">
        <v>6392</v>
      </c>
      <c r="F2045" s="3298" t="s">
        <v>2367</v>
      </c>
      <c r="G2045" s="3278">
        <v>4400</v>
      </c>
      <c r="H2045" s="3299">
        <v>0</v>
      </c>
      <c r="I2045" s="3278">
        <v>0</v>
      </c>
    </row>
    <row r="2046" ht="12.75" customHeight="1" spans="2:9">
      <c r="B2046" s="3274">
        <v>980</v>
      </c>
      <c r="D2046" s="3297" t="s">
        <v>6393</v>
      </c>
      <c r="E2046" s="3298" t="s">
        <v>6394</v>
      </c>
      <c r="F2046" s="3298" t="s">
        <v>2367</v>
      </c>
      <c r="G2046" s="3278">
        <v>3465</v>
      </c>
      <c r="H2046" s="3299">
        <v>0</v>
      </c>
      <c r="I2046" s="3278">
        <v>0</v>
      </c>
    </row>
    <row r="2047" ht="12.75" customHeight="1" spans="2:9">
      <c r="B2047" s="3274">
        <v>981</v>
      </c>
      <c r="D2047" s="3297" t="s">
        <v>6395</v>
      </c>
      <c r="E2047" s="3298" t="s">
        <v>6396</v>
      </c>
      <c r="F2047" s="3298" t="s">
        <v>2637</v>
      </c>
      <c r="G2047" s="3278">
        <v>12485</v>
      </c>
      <c r="H2047" s="3299">
        <v>0</v>
      </c>
      <c r="I2047" s="3278">
        <v>0</v>
      </c>
    </row>
    <row r="2048" ht="12.75" customHeight="1" spans="2:9">
      <c r="B2048" s="3274">
        <v>982</v>
      </c>
      <c r="D2048" s="3297" t="s">
        <v>6397</v>
      </c>
      <c r="E2048" s="3298" t="s">
        <v>6398</v>
      </c>
      <c r="F2048" s="3298" t="s">
        <v>2321</v>
      </c>
      <c r="G2048" s="3278">
        <v>23182.5</v>
      </c>
      <c r="H2048" s="3299">
        <v>0</v>
      </c>
      <c r="I2048" s="3278">
        <v>0</v>
      </c>
    </row>
    <row r="2049" ht="12.75" customHeight="1" spans="2:9">
      <c r="B2049" s="3274">
        <v>983</v>
      </c>
      <c r="D2049" s="3297" t="s">
        <v>6399</v>
      </c>
      <c r="E2049" s="3298" t="s">
        <v>6400</v>
      </c>
      <c r="F2049" s="3298" t="s">
        <v>3423</v>
      </c>
      <c r="G2049" s="3278">
        <v>12000</v>
      </c>
      <c r="H2049" s="3299">
        <v>0</v>
      </c>
      <c r="I2049" s="3278">
        <v>0</v>
      </c>
    </row>
    <row r="2050" ht="12.75" customHeight="1" spans="2:9">
      <c r="B2050" s="3274">
        <v>984</v>
      </c>
      <c r="D2050" s="3297" t="s">
        <v>6401</v>
      </c>
      <c r="E2050" s="3298" t="s">
        <v>6402</v>
      </c>
      <c r="F2050" s="3298" t="s">
        <v>2321</v>
      </c>
      <c r="G2050" s="3278">
        <v>9850.5</v>
      </c>
      <c r="H2050" s="3299">
        <v>0</v>
      </c>
      <c r="I2050" s="3278">
        <v>0</v>
      </c>
    </row>
    <row r="2051" ht="12.75" customHeight="1" spans="2:9">
      <c r="B2051" s="3274">
        <v>985</v>
      </c>
      <c r="D2051" s="3297" t="s">
        <v>6403</v>
      </c>
      <c r="E2051" s="3298" t="s">
        <v>6404</v>
      </c>
      <c r="F2051" s="3298" t="s">
        <v>2810</v>
      </c>
      <c r="G2051" s="3278">
        <v>6006</v>
      </c>
      <c r="H2051" s="3299">
        <v>0</v>
      </c>
      <c r="I2051" s="3278">
        <v>0</v>
      </c>
    </row>
    <row r="2052" ht="12.75" customHeight="1" spans="2:9">
      <c r="B2052" s="3274">
        <v>986</v>
      </c>
      <c r="D2052" s="3297" t="s">
        <v>6405</v>
      </c>
      <c r="E2052" s="3298" t="s">
        <v>6406</v>
      </c>
      <c r="F2052" s="3298" t="s">
        <v>2321</v>
      </c>
      <c r="G2052" s="3278">
        <v>11948.2</v>
      </c>
      <c r="H2052" s="3299">
        <v>0</v>
      </c>
      <c r="I2052" s="3278">
        <v>0</v>
      </c>
    </row>
    <row r="2053" ht="12.75" customHeight="1" spans="2:9">
      <c r="B2053" s="3274">
        <v>987</v>
      </c>
      <c r="D2053" s="3297" t="s">
        <v>6407</v>
      </c>
      <c r="E2053" s="3298" t="s">
        <v>6408</v>
      </c>
      <c r="F2053" s="3298" t="s">
        <v>3056</v>
      </c>
      <c r="G2053" s="3278">
        <v>14000</v>
      </c>
      <c r="H2053" s="3299">
        <v>0</v>
      </c>
      <c r="I2053" s="3278">
        <v>0</v>
      </c>
    </row>
    <row r="2054" ht="12.75" customHeight="1" spans="2:9">
      <c r="B2054" s="3274">
        <v>988</v>
      </c>
      <c r="D2054" s="3297" t="s">
        <v>6409</v>
      </c>
      <c r="E2054" s="3298" t="s">
        <v>6410</v>
      </c>
      <c r="F2054" s="3298" t="s">
        <v>2637</v>
      </c>
      <c r="G2054" s="3278">
        <v>13750</v>
      </c>
      <c r="H2054" s="3299">
        <v>0</v>
      </c>
      <c r="I2054" s="3278">
        <v>0</v>
      </c>
    </row>
    <row r="2055" ht="12.75" customHeight="1" spans="2:9">
      <c r="B2055" s="3274">
        <v>989</v>
      </c>
      <c r="D2055" s="3297" t="s">
        <v>6411</v>
      </c>
      <c r="E2055" s="3298" t="s">
        <v>6412</v>
      </c>
      <c r="F2055" s="3298" t="s">
        <v>2321</v>
      </c>
      <c r="G2055" s="3278">
        <v>8448</v>
      </c>
      <c r="H2055" s="3299">
        <v>0</v>
      </c>
      <c r="I2055" s="3278">
        <v>0</v>
      </c>
    </row>
    <row r="2056" ht="12.75" customHeight="1" spans="2:9">
      <c r="B2056" s="3274">
        <v>990</v>
      </c>
      <c r="D2056" s="3297" t="s">
        <v>6413</v>
      </c>
      <c r="E2056" s="3298" t="s">
        <v>6414</v>
      </c>
      <c r="F2056" s="3298" t="s">
        <v>2321</v>
      </c>
      <c r="G2056" s="3278">
        <v>12540</v>
      </c>
      <c r="H2056" s="3299">
        <v>0</v>
      </c>
      <c r="I2056" s="3278">
        <v>0</v>
      </c>
    </row>
    <row r="2057" ht="12.75" customHeight="1" spans="2:9">
      <c r="B2057" s="3274">
        <v>991</v>
      </c>
      <c r="D2057" s="3297" t="s">
        <v>6415</v>
      </c>
      <c r="E2057" s="3298" t="s">
        <v>6416</v>
      </c>
      <c r="F2057" s="3298" t="s">
        <v>2321</v>
      </c>
      <c r="G2057" s="3278">
        <v>32266.674</v>
      </c>
      <c r="H2057" s="3299">
        <v>0</v>
      </c>
      <c r="I2057" s="3278">
        <v>0</v>
      </c>
    </row>
    <row r="2058" ht="12.75" customHeight="1" spans="2:9">
      <c r="B2058" s="3274">
        <v>992</v>
      </c>
      <c r="D2058" s="3297" t="s">
        <v>6417</v>
      </c>
      <c r="E2058" s="3298" t="s">
        <v>6418</v>
      </c>
      <c r="F2058" s="3298" t="s">
        <v>2321</v>
      </c>
      <c r="G2058" s="3278">
        <v>12232</v>
      </c>
      <c r="H2058" s="3299">
        <v>0</v>
      </c>
      <c r="I2058" s="3278">
        <v>0</v>
      </c>
    </row>
    <row r="2059" ht="12.75" customHeight="1" spans="2:9">
      <c r="B2059" s="3274">
        <v>993</v>
      </c>
      <c r="D2059" s="3297" t="s">
        <v>6419</v>
      </c>
      <c r="E2059" s="3298" t="s">
        <v>6420</v>
      </c>
      <c r="F2059" s="3298" t="s">
        <v>2367</v>
      </c>
      <c r="G2059" s="3278">
        <v>1100</v>
      </c>
      <c r="H2059" s="3299">
        <v>0</v>
      </c>
      <c r="I2059" s="3278">
        <v>0</v>
      </c>
    </row>
    <row r="2060" ht="12.75" customHeight="1" spans="2:9">
      <c r="B2060" s="3274">
        <v>994</v>
      </c>
      <c r="D2060" s="3297" t="s">
        <v>6421</v>
      </c>
      <c r="E2060" s="3298" t="s">
        <v>6422</v>
      </c>
      <c r="F2060" s="3298" t="s">
        <v>4351</v>
      </c>
      <c r="G2060" s="3278">
        <v>1237.258</v>
      </c>
      <c r="H2060" s="3299">
        <v>0</v>
      </c>
      <c r="I2060" s="3278">
        <v>0</v>
      </c>
    </row>
    <row r="2061" ht="12.75" customHeight="1" spans="2:9">
      <c r="B2061" s="3274">
        <v>995</v>
      </c>
      <c r="D2061" s="3297" t="s">
        <v>6423</v>
      </c>
      <c r="E2061" s="3298" t="s">
        <v>6424</v>
      </c>
      <c r="F2061" s="3298" t="s">
        <v>2321</v>
      </c>
      <c r="G2061" s="3278">
        <v>26950</v>
      </c>
      <c r="H2061" s="3299">
        <v>0</v>
      </c>
      <c r="I2061" s="3278">
        <v>0</v>
      </c>
    </row>
    <row r="2062" ht="12.75" customHeight="1" spans="2:9">
      <c r="B2062" s="3274">
        <v>996</v>
      </c>
      <c r="D2062" s="3297" t="s">
        <v>6425</v>
      </c>
      <c r="E2062" s="3298" t="s">
        <v>6426</v>
      </c>
      <c r="F2062" s="3298" t="s">
        <v>2367</v>
      </c>
      <c r="G2062" s="3278">
        <v>759</v>
      </c>
      <c r="H2062" s="3299">
        <v>0</v>
      </c>
      <c r="I2062" s="3278">
        <v>0</v>
      </c>
    </row>
    <row r="2063" ht="12.75" customHeight="1" spans="2:9">
      <c r="B2063" s="3274">
        <v>997</v>
      </c>
      <c r="D2063" s="3297" t="s">
        <v>6427</v>
      </c>
      <c r="E2063" s="3298" t="s">
        <v>6428</v>
      </c>
      <c r="F2063" s="3298" t="s">
        <v>2321</v>
      </c>
      <c r="G2063" s="3278">
        <v>13464</v>
      </c>
      <c r="H2063" s="3299">
        <v>48</v>
      </c>
      <c r="I2063" s="3278">
        <v>646272</v>
      </c>
    </row>
    <row r="2064" ht="12.75" customHeight="1" spans="2:9">
      <c r="B2064" s="3274">
        <v>998</v>
      </c>
      <c r="D2064" s="3297" t="s">
        <v>6429</v>
      </c>
      <c r="E2064" s="3298" t="s">
        <v>6430</v>
      </c>
      <c r="F2064" s="3298" t="s">
        <v>2321</v>
      </c>
      <c r="G2064" s="3278">
        <v>10032</v>
      </c>
      <c r="H2064" s="3299">
        <v>0</v>
      </c>
      <c r="I2064" s="3278">
        <v>0</v>
      </c>
    </row>
    <row r="2065" ht="12.75" customHeight="1" spans="2:9">
      <c r="B2065" s="3274">
        <v>999</v>
      </c>
      <c r="D2065" s="3297" t="s">
        <v>6431</v>
      </c>
      <c r="E2065" s="3298" t="s">
        <v>6432</v>
      </c>
      <c r="F2065" s="3298" t="s">
        <v>2367</v>
      </c>
      <c r="G2065" s="3278">
        <v>246.4</v>
      </c>
      <c r="H2065" s="3299">
        <v>0</v>
      </c>
      <c r="I2065" s="3278">
        <v>0</v>
      </c>
    </row>
    <row r="2066" ht="12.75" customHeight="1" spans="2:9">
      <c r="B2066" s="3274">
        <v>1000</v>
      </c>
      <c r="D2066" s="3297" t="s">
        <v>6433</v>
      </c>
      <c r="E2066" s="3298" t="s">
        <v>6434</v>
      </c>
      <c r="F2066" s="3298" t="s">
        <v>2367</v>
      </c>
      <c r="G2066" s="3278">
        <v>1980</v>
      </c>
      <c r="H2066" s="3299">
        <v>300</v>
      </c>
      <c r="I2066" s="3278">
        <v>594000</v>
      </c>
    </row>
    <row r="2067" ht="12.75" customHeight="1" spans="2:9">
      <c r="B2067" s="3274">
        <v>1001</v>
      </c>
      <c r="D2067" s="3297" t="s">
        <v>6435</v>
      </c>
      <c r="E2067" s="3298" t="s">
        <v>6436</v>
      </c>
      <c r="F2067" s="3298" t="s">
        <v>2321</v>
      </c>
      <c r="G2067" s="3278">
        <v>21912</v>
      </c>
      <c r="H2067" s="3299">
        <v>30</v>
      </c>
      <c r="I2067" s="3278">
        <v>657360</v>
      </c>
    </row>
    <row r="2068" ht="12.75" customHeight="1" spans="2:9">
      <c r="B2068" s="3274">
        <v>1002</v>
      </c>
      <c r="D2068" s="3297" t="s">
        <v>6437</v>
      </c>
      <c r="E2068" s="3298" t="s">
        <v>6438</v>
      </c>
      <c r="F2068" s="3298" t="s">
        <v>2367</v>
      </c>
      <c r="G2068" s="3278">
        <v>929.5</v>
      </c>
      <c r="H2068" s="3299">
        <v>400</v>
      </c>
      <c r="I2068" s="3278">
        <v>371800</v>
      </c>
    </row>
    <row r="2069" ht="12.75" customHeight="1" spans="2:9">
      <c r="B2069" s="3274">
        <v>1003</v>
      </c>
      <c r="D2069" s="3297" t="s">
        <v>6439</v>
      </c>
      <c r="E2069" s="3298" t="s">
        <v>6440</v>
      </c>
      <c r="F2069" s="3298" t="s">
        <v>3056</v>
      </c>
      <c r="G2069" s="3278">
        <v>1250</v>
      </c>
      <c r="H2069" s="3299">
        <v>0</v>
      </c>
      <c r="I2069" s="3278">
        <v>0</v>
      </c>
    </row>
    <row r="2070" ht="12.75" customHeight="1" spans="2:9">
      <c r="B2070" s="3274">
        <v>1004</v>
      </c>
      <c r="D2070" s="3297" t="s">
        <v>6441</v>
      </c>
      <c r="E2070" s="3298" t="s">
        <v>6442</v>
      </c>
      <c r="F2070" s="3298" t="s">
        <v>3056</v>
      </c>
      <c r="G2070" s="3278">
        <v>885.5</v>
      </c>
      <c r="H2070" s="3299">
        <v>0</v>
      </c>
      <c r="I2070" s="3278">
        <v>0</v>
      </c>
    </row>
    <row r="2071" ht="12.75" customHeight="1" spans="2:9">
      <c r="B2071" s="3274">
        <v>1005</v>
      </c>
      <c r="D2071" s="3297" t="s">
        <v>6443</v>
      </c>
      <c r="E2071" s="3298" t="s">
        <v>6444</v>
      </c>
      <c r="F2071" s="3298" t="s">
        <v>2367</v>
      </c>
      <c r="G2071" s="3278">
        <v>583</v>
      </c>
      <c r="H2071" s="3299">
        <v>0</v>
      </c>
      <c r="I2071" s="3278">
        <v>0</v>
      </c>
    </row>
    <row r="2072" ht="12.75" customHeight="1" spans="2:9">
      <c r="B2072" s="3274">
        <v>1006</v>
      </c>
      <c r="D2072" s="3297" t="s">
        <v>6445</v>
      </c>
      <c r="E2072" s="3298" t="s">
        <v>6446</v>
      </c>
      <c r="F2072" s="3298" t="s">
        <v>2321</v>
      </c>
      <c r="G2072" s="3278">
        <v>15000.007</v>
      </c>
      <c r="H2072" s="3299">
        <v>0</v>
      </c>
      <c r="I2072" s="3278">
        <v>0</v>
      </c>
    </row>
    <row r="2073" ht="12.75" customHeight="1" spans="2:9">
      <c r="B2073" s="3274">
        <v>1007</v>
      </c>
      <c r="D2073" s="3297" t="s">
        <v>6447</v>
      </c>
      <c r="E2073" s="3298" t="s">
        <v>6448</v>
      </c>
      <c r="F2073" s="3298" t="s">
        <v>2321</v>
      </c>
      <c r="G2073" s="3278">
        <v>29150</v>
      </c>
      <c r="H2073" s="3299">
        <v>0</v>
      </c>
      <c r="I2073" s="3278">
        <v>0</v>
      </c>
    </row>
    <row r="2074" ht="12.75" customHeight="1" spans="2:9">
      <c r="B2074" s="3274">
        <v>1008</v>
      </c>
      <c r="D2074" s="3297" t="s">
        <v>6449</v>
      </c>
      <c r="E2074" s="3298" t="s">
        <v>6450</v>
      </c>
      <c r="F2074" s="3298" t="s">
        <v>2321</v>
      </c>
      <c r="G2074" s="3278">
        <v>18700</v>
      </c>
      <c r="H2074" s="3299">
        <v>0</v>
      </c>
      <c r="I2074" s="3278">
        <v>0</v>
      </c>
    </row>
    <row r="2075" ht="12.75" customHeight="1" spans="2:9">
      <c r="B2075" s="3274">
        <v>1009</v>
      </c>
      <c r="D2075" s="3297" t="s">
        <v>6451</v>
      </c>
      <c r="E2075" s="3298" t="s">
        <v>6452</v>
      </c>
      <c r="F2075" s="3298" t="s">
        <v>2321</v>
      </c>
      <c r="G2075" s="3278">
        <v>26000.7</v>
      </c>
      <c r="H2075" s="3299">
        <v>0</v>
      </c>
      <c r="I2075" s="3278">
        <v>0</v>
      </c>
    </row>
    <row r="2076" ht="12.75" customHeight="1" spans="2:9">
      <c r="B2076" s="3274">
        <v>1010</v>
      </c>
      <c r="D2076" s="3297" t="s">
        <v>6453</v>
      </c>
      <c r="E2076" s="3298" t="s">
        <v>6454</v>
      </c>
      <c r="F2076" s="3298" t="s">
        <v>2367</v>
      </c>
      <c r="G2076" s="3278">
        <v>2750</v>
      </c>
      <c r="H2076" s="3299">
        <v>0</v>
      </c>
      <c r="I2076" s="3278">
        <v>0</v>
      </c>
    </row>
    <row r="2077" ht="12.75" customHeight="1" spans="2:9">
      <c r="B2077" s="3274">
        <v>1011</v>
      </c>
      <c r="D2077" s="3297" t="s">
        <v>6455</v>
      </c>
      <c r="E2077" s="3298" t="s">
        <v>6456</v>
      </c>
      <c r="F2077" s="3298" t="s">
        <v>3056</v>
      </c>
      <c r="G2077" s="3278">
        <v>1925</v>
      </c>
      <c r="H2077" s="3299">
        <v>0</v>
      </c>
      <c r="I2077" s="3278">
        <v>0</v>
      </c>
    </row>
    <row r="2078" ht="12.75" customHeight="1" spans="2:9">
      <c r="B2078" s="3274">
        <v>1012</v>
      </c>
      <c r="D2078" s="3297" t="s">
        <v>6457</v>
      </c>
      <c r="E2078" s="3298" t="s">
        <v>6458</v>
      </c>
      <c r="F2078" s="3298" t="s">
        <v>2367</v>
      </c>
      <c r="G2078" s="3278">
        <v>51719.646</v>
      </c>
      <c r="H2078" s="3299">
        <v>0</v>
      </c>
      <c r="I2078" s="3278">
        <v>0</v>
      </c>
    </row>
    <row r="2079" ht="12.75" customHeight="1" spans="2:9">
      <c r="B2079" s="3274">
        <v>1013</v>
      </c>
      <c r="D2079" s="3297" t="s">
        <v>6459</v>
      </c>
      <c r="E2079" s="3298" t="s">
        <v>6460</v>
      </c>
      <c r="F2079" s="3298" t="s">
        <v>4351</v>
      </c>
      <c r="G2079" s="3278">
        <v>5500</v>
      </c>
      <c r="H2079" s="3299">
        <v>120</v>
      </c>
      <c r="I2079" s="3278">
        <v>660000</v>
      </c>
    </row>
    <row r="2080" ht="12.75" customHeight="1" spans="2:9">
      <c r="B2080" s="3274">
        <v>1014</v>
      </c>
      <c r="D2080" s="3297" t="s">
        <v>6461</v>
      </c>
      <c r="E2080" s="3298" t="s">
        <v>6462</v>
      </c>
      <c r="F2080" s="3298" t="s">
        <v>2367</v>
      </c>
      <c r="G2080" s="3278">
        <v>4145.087</v>
      </c>
      <c r="H2080" s="3299">
        <v>0</v>
      </c>
      <c r="I2080" s="3278">
        <v>0</v>
      </c>
    </row>
    <row r="2081" ht="12.75" customHeight="1" spans="2:9">
      <c r="B2081" s="3274">
        <v>1015</v>
      </c>
      <c r="D2081" s="3297" t="s">
        <v>6463</v>
      </c>
      <c r="E2081" s="3298" t="s">
        <v>6464</v>
      </c>
      <c r="F2081" s="3298" t="s">
        <v>3056</v>
      </c>
      <c r="G2081" s="3278">
        <v>7401.1631</v>
      </c>
      <c r="H2081" s="3299">
        <v>0</v>
      </c>
      <c r="I2081" s="3278">
        <v>0</v>
      </c>
    </row>
    <row r="2082" ht="12.75" customHeight="1" spans="2:9">
      <c r="B2082" s="3274">
        <v>1016</v>
      </c>
      <c r="D2082" s="3297" t="s">
        <v>6465</v>
      </c>
      <c r="E2082" s="3298" t="s">
        <v>6466</v>
      </c>
      <c r="F2082" s="3298" t="s">
        <v>3056</v>
      </c>
      <c r="G2082" s="3278">
        <v>1540</v>
      </c>
      <c r="H2082" s="3299">
        <v>300</v>
      </c>
      <c r="I2082" s="3278">
        <v>462000</v>
      </c>
    </row>
    <row r="2083" ht="12.75" customHeight="1" spans="2:9">
      <c r="B2083" s="3274">
        <v>1017</v>
      </c>
      <c r="D2083" s="3297" t="s">
        <v>6467</v>
      </c>
      <c r="E2083" s="3298" t="s">
        <v>6468</v>
      </c>
      <c r="F2083" s="3298" t="s">
        <v>3056</v>
      </c>
      <c r="G2083" s="3278">
        <v>11250</v>
      </c>
      <c r="H2083" s="3299">
        <v>0</v>
      </c>
      <c r="I2083" s="3278">
        <v>0</v>
      </c>
    </row>
    <row r="2084" ht="12.75" customHeight="1" spans="2:9">
      <c r="B2084" s="3274">
        <v>1018</v>
      </c>
      <c r="D2084" s="3297" t="s">
        <v>6469</v>
      </c>
      <c r="E2084" s="3298" t="s">
        <v>6470</v>
      </c>
      <c r="F2084" s="3298" t="s">
        <v>2321</v>
      </c>
      <c r="G2084" s="3278">
        <v>13200</v>
      </c>
      <c r="H2084" s="3299">
        <v>0</v>
      </c>
      <c r="I2084" s="3278">
        <v>0</v>
      </c>
    </row>
    <row r="2085" ht="12.75" customHeight="1" spans="2:9">
      <c r="B2085" s="3274">
        <v>1019</v>
      </c>
      <c r="D2085" s="3297" t="s">
        <v>6471</v>
      </c>
      <c r="E2085" s="3298" t="s">
        <v>6472</v>
      </c>
      <c r="F2085" s="3298" t="s">
        <v>3056</v>
      </c>
      <c r="G2085" s="3278">
        <v>1980</v>
      </c>
      <c r="H2085" s="3299">
        <v>600</v>
      </c>
      <c r="I2085" s="3278">
        <v>1188000</v>
      </c>
    </row>
    <row r="2086" ht="12.75" customHeight="1" spans="2:9">
      <c r="B2086" s="3274">
        <v>1020</v>
      </c>
      <c r="D2086" s="3297" t="s">
        <v>6473</v>
      </c>
      <c r="E2086" s="3298" t="s">
        <v>6474</v>
      </c>
      <c r="F2086" s="3298" t="s">
        <v>3423</v>
      </c>
      <c r="G2086" s="3278">
        <v>192500</v>
      </c>
      <c r="H2086" s="3299">
        <v>0</v>
      </c>
      <c r="I2086" s="3278">
        <v>0</v>
      </c>
    </row>
    <row r="2087" ht="12.75" customHeight="1" spans="2:9">
      <c r="B2087" s="3274">
        <v>1021</v>
      </c>
      <c r="D2087" s="3297" t="s">
        <v>6475</v>
      </c>
      <c r="E2087" s="3298" t="s">
        <v>6476</v>
      </c>
      <c r="F2087" s="3298" t="s">
        <v>2367</v>
      </c>
      <c r="G2087" s="3278">
        <v>11916.6631</v>
      </c>
      <c r="H2087" s="3299">
        <v>0</v>
      </c>
      <c r="I2087" s="3278">
        <v>0</v>
      </c>
    </row>
    <row r="2088" ht="12.75" customHeight="1" spans="2:9">
      <c r="B2088" s="3274">
        <v>1022</v>
      </c>
      <c r="D2088" s="3297" t="s">
        <v>6477</v>
      </c>
      <c r="E2088" s="3298" t="s">
        <v>6478</v>
      </c>
      <c r="F2088" s="3298" t="s">
        <v>3423</v>
      </c>
      <c r="G2088" s="3278">
        <v>137500</v>
      </c>
      <c r="H2088" s="3299">
        <v>0</v>
      </c>
      <c r="I2088" s="3278">
        <v>0</v>
      </c>
    </row>
    <row r="2089" ht="12.75" customHeight="1" spans="2:9">
      <c r="B2089" s="3274">
        <v>1023</v>
      </c>
      <c r="D2089" s="3297" t="s">
        <v>6479</v>
      </c>
      <c r="E2089" s="3298" t="s">
        <v>6480</v>
      </c>
      <c r="F2089" s="3298" t="s">
        <v>2367</v>
      </c>
      <c r="G2089" s="3278">
        <v>19066.6631</v>
      </c>
      <c r="H2089" s="3299">
        <v>0</v>
      </c>
      <c r="I2089" s="3278">
        <v>0</v>
      </c>
    </row>
    <row r="2090" ht="12.75" customHeight="1" spans="2:9">
      <c r="B2090" s="3274">
        <v>1024</v>
      </c>
      <c r="D2090" s="3297" t="s">
        <v>6481</v>
      </c>
      <c r="E2090" s="3298" t="s">
        <v>6482</v>
      </c>
      <c r="F2090" s="3298" t="s">
        <v>2367</v>
      </c>
      <c r="G2090" s="3278">
        <v>2035</v>
      </c>
      <c r="H2090" s="3299">
        <v>0</v>
      </c>
      <c r="I2090" s="3278">
        <v>0</v>
      </c>
    </row>
    <row r="2091" ht="12.75" customHeight="1" spans="2:9">
      <c r="B2091" s="3274">
        <v>1025</v>
      </c>
      <c r="D2091" s="3297" t="s">
        <v>6483</v>
      </c>
      <c r="E2091" s="3298" t="s">
        <v>6484</v>
      </c>
      <c r="F2091" s="3298" t="s">
        <v>3056</v>
      </c>
      <c r="G2091" s="3278">
        <v>12833.337</v>
      </c>
      <c r="H2091" s="3299">
        <v>0</v>
      </c>
      <c r="I2091" s="3278">
        <v>0</v>
      </c>
    </row>
    <row r="2092" ht="12.75" customHeight="1" spans="2:9">
      <c r="B2092" s="3274">
        <v>1026</v>
      </c>
      <c r="D2092" s="3297" t="s">
        <v>6485</v>
      </c>
      <c r="E2092" s="3298" t="s">
        <v>6486</v>
      </c>
      <c r="F2092" s="3298" t="s">
        <v>3042</v>
      </c>
      <c r="G2092" s="3278">
        <v>39600</v>
      </c>
      <c r="H2092" s="3299">
        <v>0</v>
      </c>
      <c r="I2092" s="3278">
        <v>0</v>
      </c>
    </row>
    <row r="2093" ht="12.75" customHeight="1" spans="2:9">
      <c r="B2093" s="3274">
        <v>1027</v>
      </c>
      <c r="D2093" s="3297" t="s">
        <v>6487</v>
      </c>
      <c r="E2093" s="3298" t="s">
        <v>6488</v>
      </c>
      <c r="F2093" s="3298" t="s">
        <v>2321</v>
      </c>
      <c r="G2093" s="3278">
        <v>72600</v>
      </c>
      <c r="H2093" s="3299">
        <v>0</v>
      </c>
      <c r="I2093" s="3278">
        <v>0</v>
      </c>
    </row>
    <row r="2094" ht="12.75" customHeight="1" spans="2:9">
      <c r="B2094" s="3274">
        <v>1028</v>
      </c>
      <c r="D2094" s="3297" t="s">
        <v>6489</v>
      </c>
      <c r="E2094" s="3298" t="s">
        <v>6490</v>
      </c>
      <c r="F2094" s="3298" t="s">
        <v>2367</v>
      </c>
      <c r="G2094" s="3278">
        <v>12100</v>
      </c>
      <c r="H2094" s="3299">
        <v>0</v>
      </c>
      <c r="I2094" s="3278">
        <v>0</v>
      </c>
    </row>
    <row r="2095" ht="12.75" customHeight="1" spans="2:9">
      <c r="B2095" s="3274">
        <v>1029</v>
      </c>
      <c r="D2095" s="3297" t="s">
        <v>6491</v>
      </c>
      <c r="E2095" s="3298" t="s">
        <v>6492</v>
      </c>
      <c r="F2095" s="3298" t="s">
        <v>3423</v>
      </c>
      <c r="G2095" s="3278">
        <v>80300</v>
      </c>
      <c r="H2095" s="3299">
        <v>0</v>
      </c>
      <c r="I2095" s="3278">
        <v>0</v>
      </c>
    </row>
    <row r="2096" ht="12.75" customHeight="1" spans="2:9">
      <c r="B2096" s="3274">
        <v>1030</v>
      </c>
      <c r="D2096" s="3297" t="s">
        <v>6493</v>
      </c>
      <c r="E2096" s="3298" t="s">
        <v>6494</v>
      </c>
      <c r="F2096" s="3298" t="s">
        <v>2367</v>
      </c>
      <c r="G2096" s="3278">
        <v>2530</v>
      </c>
      <c r="H2096" s="3299">
        <v>0</v>
      </c>
      <c r="I2096" s="3278">
        <v>0</v>
      </c>
    </row>
    <row r="2097" ht="12.75" customHeight="1" spans="2:9">
      <c r="B2097" s="3274">
        <v>1031</v>
      </c>
      <c r="D2097" s="3297" t="s">
        <v>6495</v>
      </c>
      <c r="E2097" s="3298" t="s">
        <v>6496</v>
      </c>
      <c r="F2097" s="3298" t="s">
        <v>3423</v>
      </c>
      <c r="G2097" s="3278">
        <v>220000</v>
      </c>
      <c r="H2097" s="3299">
        <v>0</v>
      </c>
      <c r="I2097" s="3278">
        <v>0</v>
      </c>
    </row>
    <row r="2098" ht="12.75" customHeight="1" spans="2:9">
      <c r="B2098" s="3274">
        <v>1032</v>
      </c>
      <c r="D2098" s="3297" t="s">
        <v>6497</v>
      </c>
      <c r="E2098" s="3298" t="s">
        <v>6498</v>
      </c>
      <c r="F2098" s="3298" t="s">
        <v>3056</v>
      </c>
      <c r="G2098" s="3278">
        <v>638</v>
      </c>
      <c r="H2098" s="3299">
        <v>300</v>
      </c>
      <c r="I2098" s="3278">
        <v>191400</v>
      </c>
    </row>
    <row r="2099" ht="12.75" customHeight="1" spans="2:9">
      <c r="B2099" s="3274">
        <v>1033</v>
      </c>
      <c r="D2099" s="3297" t="s">
        <v>6499</v>
      </c>
      <c r="E2099" s="3298" t="s">
        <v>6500</v>
      </c>
      <c r="F2099" s="3298" t="s">
        <v>2367</v>
      </c>
      <c r="G2099" s="3278">
        <v>5390</v>
      </c>
      <c r="H2099" s="3299">
        <v>0</v>
      </c>
      <c r="I2099" s="3278">
        <v>0</v>
      </c>
    </row>
    <row r="2100" ht="12.75" customHeight="1" spans="2:9">
      <c r="B2100" s="3274">
        <v>1034</v>
      </c>
      <c r="D2100" s="3297" t="s">
        <v>6501</v>
      </c>
      <c r="E2100" s="3298" t="s">
        <v>6502</v>
      </c>
      <c r="F2100" s="3298" t="s">
        <v>2367</v>
      </c>
      <c r="G2100" s="3278">
        <v>1974.995</v>
      </c>
      <c r="H2100" s="3299">
        <v>0</v>
      </c>
      <c r="I2100" s="3278">
        <v>0</v>
      </c>
    </row>
    <row r="2101" ht="12.75" customHeight="1" spans="2:9">
      <c r="B2101" s="3274">
        <v>1035</v>
      </c>
      <c r="D2101" s="3297" t="s">
        <v>6503</v>
      </c>
      <c r="E2101" s="3298" t="s">
        <v>6504</v>
      </c>
      <c r="F2101" s="3298" t="s">
        <v>2367</v>
      </c>
      <c r="G2101" s="3278">
        <v>6225.45</v>
      </c>
      <c r="H2101" s="3299">
        <v>0</v>
      </c>
      <c r="I2101" s="3278">
        <v>0</v>
      </c>
    </row>
    <row r="2102" ht="12.75" customHeight="1" spans="2:9">
      <c r="B2102" s="3274">
        <v>1036</v>
      </c>
      <c r="D2102" s="3297" t="s">
        <v>6505</v>
      </c>
      <c r="E2102" s="3298" t="s">
        <v>6506</v>
      </c>
      <c r="F2102" s="3298" t="s">
        <v>2367</v>
      </c>
      <c r="G2102" s="3278">
        <v>18700</v>
      </c>
      <c r="H2102" s="3299">
        <v>0</v>
      </c>
      <c r="I2102" s="3278">
        <v>0</v>
      </c>
    </row>
    <row r="2103" ht="12.75" customHeight="1" spans="2:9">
      <c r="B2103" s="3274">
        <v>1037</v>
      </c>
      <c r="D2103" s="3297" t="s">
        <v>6507</v>
      </c>
      <c r="E2103" s="3298" t="s">
        <v>6508</v>
      </c>
      <c r="F2103" s="3298" t="s">
        <v>2321</v>
      </c>
      <c r="G2103" s="3278">
        <v>131560</v>
      </c>
      <c r="H2103" s="3299">
        <v>0</v>
      </c>
      <c r="I2103" s="3278">
        <v>0</v>
      </c>
    </row>
    <row r="2104" ht="12.75" customHeight="1" spans="2:9">
      <c r="B2104" s="3274">
        <v>1038</v>
      </c>
      <c r="D2104" s="3297" t="s">
        <v>6509</v>
      </c>
      <c r="E2104" s="3298" t="s">
        <v>6510</v>
      </c>
      <c r="F2104" s="3298" t="s">
        <v>2367</v>
      </c>
      <c r="G2104" s="3278">
        <v>16269</v>
      </c>
      <c r="H2104" s="3299">
        <v>0</v>
      </c>
      <c r="I2104" s="3278">
        <v>0</v>
      </c>
    </row>
    <row r="2105" ht="12.75" customHeight="1" spans="2:9">
      <c r="B2105" s="3274">
        <v>1039</v>
      </c>
      <c r="D2105" s="3297" t="s">
        <v>6511</v>
      </c>
      <c r="E2105" s="3298" t="s">
        <v>6512</v>
      </c>
      <c r="F2105" s="3298" t="s">
        <v>2367</v>
      </c>
      <c r="G2105" s="3278">
        <v>12584</v>
      </c>
      <c r="H2105" s="3299">
        <v>5</v>
      </c>
      <c r="I2105" s="3278">
        <v>62920</v>
      </c>
    </row>
    <row r="2106" ht="12.75" customHeight="1" spans="2:9">
      <c r="B2106" s="3274">
        <v>1040</v>
      </c>
      <c r="D2106" s="3297" t="s">
        <v>6513</v>
      </c>
      <c r="E2106" s="3298" t="s">
        <v>6514</v>
      </c>
      <c r="F2106" s="3298" t="s">
        <v>2637</v>
      </c>
      <c r="G2106" s="3278">
        <v>39204</v>
      </c>
      <c r="H2106" s="3299">
        <v>0</v>
      </c>
      <c r="I2106" s="3278">
        <v>0</v>
      </c>
    </row>
    <row r="2107" ht="12.75" customHeight="1" spans="2:9">
      <c r="B2107" s="3274">
        <v>1041</v>
      </c>
      <c r="D2107" s="3297" t="s">
        <v>6515</v>
      </c>
      <c r="E2107" s="3298" t="s">
        <v>6516</v>
      </c>
      <c r="F2107" s="3298" t="s">
        <v>2637</v>
      </c>
      <c r="G2107" s="3278">
        <v>26136</v>
      </c>
      <c r="H2107" s="3299">
        <v>0</v>
      </c>
      <c r="I2107" s="3278">
        <v>0</v>
      </c>
    </row>
    <row r="2108" ht="12.75" customHeight="1" spans="2:9">
      <c r="B2108" s="3274">
        <v>1042</v>
      </c>
      <c r="D2108" s="3297" t="s">
        <v>6517</v>
      </c>
      <c r="E2108" s="3298" t="s">
        <v>6518</v>
      </c>
      <c r="F2108" s="3298" t="s">
        <v>2321</v>
      </c>
      <c r="G2108" s="3278">
        <v>34100</v>
      </c>
      <c r="H2108" s="3299">
        <v>0</v>
      </c>
      <c r="I2108" s="3278">
        <v>0</v>
      </c>
    </row>
    <row r="2109" ht="12.75" customHeight="1" spans="2:9">
      <c r="B2109" s="3274">
        <v>1043</v>
      </c>
      <c r="D2109" s="3297" t="s">
        <v>6519</v>
      </c>
      <c r="E2109" s="3298" t="s">
        <v>6520</v>
      </c>
      <c r="F2109" s="3298" t="s">
        <v>2367</v>
      </c>
      <c r="G2109" s="3278">
        <v>3018.4</v>
      </c>
      <c r="H2109" s="3299">
        <v>0</v>
      </c>
      <c r="I2109" s="3278">
        <v>0</v>
      </c>
    </row>
    <row r="2110" ht="12.75" customHeight="1" spans="2:9">
      <c r="B2110" s="3274">
        <v>1044</v>
      </c>
      <c r="D2110" s="3297" t="s">
        <v>6521</v>
      </c>
      <c r="E2110" s="3298" t="s">
        <v>6522</v>
      </c>
      <c r="F2110" s="3298" t="s">
        <v>2321</v>
      </c>
      <c r="G2110" s="3278">
        <v>22275</v>
      </c>
      <c r="H2110" s="3299">
        <v>0</v>
      </c>
      <c r="I2110" s="3278">
        <v>0</v>
      </c>
    </row>
    <row r="2111" ht="12.75" customHeight="1" spans="2:9">
      <c r="B2111" s="3274">
        <v>1045</v>
      </c>
      <c r="D2111" s="3297" t="s">
        <v>6523</v>
      </c>
      <c r="E2111" s="3298" t="s">
        <v>6524</v>
      </c>
      <c r="F2111" s="3298" t="s">
        <v>2321</v>
      </c>
      <c r="G2111" s="3278">
        <v>5753</v>
      </c>
      <c r="H2111" s="3299">
        <v>0</v>
      </c>
      <c r="I2111" s="3278">
        <v>0</v>
      </c>
    </row>
    <row r="2112" ht="12.75" customHeight="1" spans="2:9">
      <c r="B2112" s="3274">
        <v>1046</v>
      </c>
      <c r="D2112" s="3297" t="s">
        <v>6525</v>
      </c>
      <c r="E2112" s="3298" t="s">
        <v>6526</v>
      </c>
      <c r="F2112" s="3298" t="s">
        <v>3423</v>
      </c>
      <c r="G2112" s="3278">
        <v>7700</v>
      </c>
      <c r="H2112" s="3299">
        <v>100</v>
      </c>
      <c r="I2112" s="3278">
        <v>770000</v>
      </c>
    </row>
    <row r="2113" ht="12.75" customHeight="1" spans="2:9">
      <c r="B2113" s="3274">
        <v>1047</v>
      </c>
      <c r="D2113" s="3297" t="s">
        <v>6527</v>
      </c>
      <c r="E2113" s="3298" t="s">
        <v>6528</v>
      </c>
      <c r="F2113" s="3298" t="s">
        <v>3056</v>
      </c>
      <c r="G2113" s="3278">
        <v>1834.8</v>
      </c>
      <c r="H2113" s="3299">
        <v>0</v>
      </c>
      <c r="I2113" s="3278">
        <v>0</v>
      </c>
    </row>
    <row r="2114" ht="12.75" customHeight="1" spans="2:9">
      <c r="B2114" s="3274">
        <v>1048</v>
      </c>
      <c r="D2114" s="3297" t="s">
        <v>6529</v>
      </c>
      <c r="E2114" s="3298" t="s">
        <v>6530</v>
      </c>
      <c r="F2114" s="3298" t="s">
        <v>3056</v>
      </c>
      <c r="G2114" s="3278">
        <v>2602.809</v>
      </c>
      <c r="H2114" s="3299">
        <v>0</v>
      </c>
      <c r="I2114" s="3278">
        <v>0</v>
      </c>
    </row>
    <row r="2115" ht="12.75" customHeight="1" spans="2:9">
      <c r="B2115" s="3274">
        <v>1049</v>
      </c>
      <c r="D2115" s="3297" t="s">
        <v>6531</v>
      </c>
      <c r="E2115" s="3298" t="s">
        <v>6532</v>
      </c>
      <c r="F2115" s="3298" t="s">
        <v>2367</v>
      </c>
      <c r="G2115" s="3278">
        <v>10670</v>
      </c>
      <c r="H2115" s="3299">
        <v>0</v>
      </c>
      <c r="I2115" s="3278">
        <v>0</v>
      </c>
    </row>
    <row r="2116" ht="12.75" customHeight="1" spans="2:9">
      <c r="B2116" s="3274">
        <v>1050</v>
      </c>
      <c r="D2116" s="3297" t="s">
        <v>6533</v>
      </c>
      <c r="E2116" s="3298" t="s">
        <v>6534</v>
      </c>
      <c r="F2116" s="3298" t="s">
        <v>2367</v>
      </c>
      <c r="G2116" s="3278">
        <v>606.25</v>
      </c>
      <c r="H2116" s="3299">
        <v>0</v>
      </c>
      <c r="I2116" s="3278">
        <v>0</v>
      </c>
    </row>
    <row r="2117" ht="12.75" customHeight="1" spans="2:9">
      <c r="B2117" s="3274">
        <v>1051</v>
      </c>
      <c r="D2117" s="3297" t="s">
        <v>6535</v>
      </c>
      <c r="E2117" s="3298" t="s">
        <v>6536</v>
      </c>
      <c r="F2117" s="3298" t="s">
        <v>2367</v>
      </c>
      <c r="G2117" s="3278">
        <v>15548</v>
      </c>
      <c r="H2117" s="3299">
        <v>0</v>
      </c>
      <c r="I2117" s="3278">
        <v>0</v>
      </c>
    </row>
    <row r="2118" ht="12.75" customHeight="1" spans="2:9">
      <c r="B2118" s="3274">
        <v>1052</v>
      </c>
      <c r="D2118" s="3297" t="s">
        <v>6537</v>
      </c>
      <c r="E2118" s="3298" t="s">
        <v>6538</v>
      </c>
      <c r="F2118" s="3298" t="s">
        <v>4351</v>
      </c>
      <c r="G2118" s="3278">
        <v>3850</v>
      </c>
      <c r="H2118" s="3299">
        <v>0</v>
      </c>
      <c r="I2118" s="3278">
        <v>0</v>
      </c>
    </row>
    <row r="2119" ht="12.75" customHeight="1" spans="2:9">
      <c r="B2119" s="3274">
        <v>1053</v>
      </c>
      <c r="D2119" s="3297" t="s">
        <v>6539</v>
      </c>
      <c r="E2119" s="3298" t="s">
        <v>6540</v>
      </c>
      <c r="F2119" s="3298" t="s">
        <v>2367</v>
      </c>
      <c r="G2119" s="3278">
        <v>16563.03</v>
      </c>
      <c r="H2119" s="3299">
        <v>0</v>
      </c>
      <c r="I2119" s="3278">
        <v>0</v>
      </c>
    </row>
    <row r="2120" ht="12.75" customHeight="1" spans="2:9">
      <c r="B2120" s="3274">
        <v>1054</v>
      </c>
      <c r="D2120" s="3297" t="s">
        <v>6541</v>
      </c>
      <c r="E2120" s="3298" t="s">
        <v>6542</v>
      </c>
      <c r="F2120" s="3298" t="s">
        <v>2367</v>
      </c>
      <c r="G2120" s="3278">
        <v>10298.2</v>
      </c>
      <c r="H2120" s="3299">
        <v>0</v>
      </c>
      <c r="I2120" s="3278">
        <v>0</v>
      </c>
    </row>
    <row r="2121" ht="12.75" customHeight="1" spans="2:9">
      <c r="B2121" s="3274">
        <v>1055</v>
      </c>
      <c r="D2121" s="3297" t="s">
        <v>6543</v>
      </c>
      <c r="E2121" s="3298" t="s">
        <v>6544</v>
      </c>
      <c r="F2121" s="3298" t="s">
        <v>2321</v>
      </c>
      <c r="G2121" s="3278">
        <v>33000</v>
      </c>
      <c r="H2121" s="3299">
        <v>0</v>
      </c>
      <c r="I2121" s="3278">
        <v>0</v>
      </c>
    </row>
    <row r="2122" ht="12.75" customHeight="1" spans="2:9">
      <c r="B2122" s="3274">
        <v>1056</v>
      </c>
      <c r="D2122" s="3297" t="s">
        <v>6545</v>
      </c>
      <c r="E2122" s="3298" t="s">
        <v>6546</v>
      </c>
      <c r="F2122" s="3298" t="s">
        <v>2321</v>
      </c>
      <c r="G2122" s="3278">
        <v>23100</v>
      </c>
      <c r="H2122" s="3299">
        <v>0</v>
      </c>
      <c r="I2122" s="3278">
        <v>0</v>
      </c>
    </row>
    <row r="2123" ht="12.75" customHeight="1" spans="2:9">
      <c r="B2123" s="3274">
        <v>1057</v>
      </c>
      <c r="D2123" s="3297" t="s">
        <v>6547</v>
      </c>
      <c r="E2123" s="3298" t="s">
        <v>6548</v>
      </c>
      <c r="F2123" s="3298" t="s">
        <v>2321</v>
      </c>
      <c r="G2123" s="3278">
        <v>113500</v>
      </c>
      <c r="H2123" s="3299">
        <v>0</v>
      </c>
      <c r="I2123" s="3278">
        <v>0</v>
      </c>
    </row>
    <row r="2124" ht="12.75" customHeight="1" spans="2:9">
      <c r="B2124" s="3274">
        <v>1058</v>
      </c>
      <c r="D2124" s="3297" t="s">
        <v>6549</v>
      </c>
      <c r="E2124" s="3298" t="s">
        <v>6550</v>
      </c>
      <c r="F2124" s="3298" t="s">
        <v>2367</v>
      </c>
      <c r="G2124" s="3278">
        <v>7700</v>
      </c>
      <c r="H2124" s="3299">
        <v>0</v>
      </c>
      <c r="I2124" s="3278">
        <v>0</v>
      </c>
    </row>
    <row r="2125" ht="12.75" customHeight="1" spans="2:9">
      <c r="B2125" s="3274">
        <v>1059</v>
      </c>
      <c r="D2125" s="3297" t="s">
        <v>6551</v>
      </c>
      <c r="E2125" s="3298" t="s">
        <v>6552</v>
      </c>
      <c r="F2125" s="3298" t="s">
        <v>3423</v>
      </c>
      <c r="G2125" s="3278">
        <v>149509.25</v>
      </c>
      <c r="H2125" s="3299">
        <v>0</v>
      </c>
      <c r="I2125" s="3278">
        <v>0</v>
      </c>
    </row>
    <row r="2126" ht="12.75" customHeight="1" spans="2:9">
      <c r="B2126" s="3274">
        <v>1060</v>
      </c>
      <c r="D2126" s="3297" t="s">
        <v>6553</v>
      </c>
      <c r="E2126" s="3298" t="s">
        <v>6554</v>
      </c>
      <c r="F2126" s="3298" t="s">
        <v>3423</v>
      </c>
      <c r="G2126" s="3278">
        <v>141537</v>
      </c>
      <c r="H2126" s="3299">
        <v>0</v>
      </c>
      <c r="I2126" s="3278">
        <v>0</v>
      </c>
    </row>
    <row r="2127" ht="12.75" customHeight="1" spans="2:9">
      <c r="B2127" s="3274">
        <v>1061</v>
      </c>
      <c r="D2127" s="3297" t="s">
        <v>6555</v>
      </c>
      <c r="E2127" s="3298" t="s">
        <v>6556</v>
      </c>
      <c r="F2127" s="3298" t="s">
        <v>2321</v>
      </c>
      <c r="G2127" s="3278">
        <v>37070</v>
      </c>
      <c r="H2127" s="3299">
        <v>0</v>
      </c>
      <c r="I2127" s="3278">
        <v>0</v>
      </c>
    </row>
    <row r="2128" ht="12.75" customHeight="1" spans="2:9">
      <c r="B2128" s="3274">
        <v>1062</v>
      </c>
      <c r="D2128" s="3297" t="s">
        <v>6557</v>
      </c>
      <c r="E2128" s="3298" t="s">
        <v>6558</v>
      </c>
      <c r="F2128" s="3298" t="s">
        <v>2321</v>
      </c>
      <c r="G2128" s="3278">
        <v>39270</v>
      </c>
      <c r="H2128" s="3299">
        <v>0</v>
      </c>
      <c r="I2128" s="3278">
        <v>0</v>
      </c>
    </row>
    <row r="2129" ht="12.75" customHeight="1" spans="2:9">
      <c r="B2129" s="3274">
        <v>1063</v>
      </c>
      <c r="D2129" s="3297" t="s">
        <v>6559</v>
      </c>
      <c r="E2129" s="3298" t="s">
        <v>6560</v>
      </c>
      <c r="F2129" s="3298" t="s">
        <v>2321</v>
      </c>
      <c r="G2129" s="3278">
        <v>35640</v>
      </c>
      <c r="H2129" s="3299">
        <v>0</v>
      </c>
      <c r="I2129" s="3278">
        <v>0</v>
      </c>
    </row>
    <row r="2130" ht="12.75" customHeight="1" spans="2:9">
      <c r="B2130" s="3274">
        <v>1064</v>
      </c>
      <c r="D2130" s="3297" t="s">
        <v>6561</v>
      </c>
      <c r="E2130" s="3298" t="s">
        <v>6562</v>
      </c>
      <c r="F2130" s="3298" t="s">
        <v>2367</v>
      </c>
      <c r="G2130" s="3278">
        <v>2970</v>
      </c>
      <c r="H2130" s="3299">
        <v>0</v>
      </c>
      <c r="I2130" s="3278">
        <v>0</v>
      </c>
    </row>
    <row r="2131" ht="12.75" customHeight="1" spans="2:9">
      <c r="B2131" s="3274">
        <v>1065</v>
      </c>
      <c r="D2131" s="3297" t="s">
        <v>6563</v>
      </c>
      <c r="E2131" s="3298" t="s">
        <v>6564</v>
      </c>
      <c r="F2131" s="3298" t="s">
        <v>2367</v>
      </c>
      <c r="G2131" s="3278">
        <v>5830</v>
      </c>
      <c r="H2131" s="3299">
        <v>0</v>
      </c>
      <c r="I2131" s="3278">
        <v>0</v>
      </c>
    </row>
    <row r="2132" ht="12.75" customHeight="1" spans="2:9">
      <c r="B2132" s="3274">
        <v>1066</v>
      </c>
      <c r="D2132" s="3297" t="s">
        <v>6565</v>
      </c>
      <c r="E2132" s="3298" t="s">
        <v>6566</v>
      </c>
      <c r="F2132" s="3298" t="s">
        <v>2367</v>
      </c>
      <c r="G2132" s="3278">
        <v>2370.5</v>
      </c>
      <c r="H2132" s="3299">
        <v>0</v>
      </c>
      <c r="I2132" s="3278">
        <v>0</v>
      </c>
    </row>
    <row r="2133" ht="12.75" customHeight="1" spans="2:9">
      <c r="B2133" s="3274">
        <v>1067</v>
      </c>
      <c r="D2133" s="3297" t="s">
        <v>6567</v>
      </c>
      <c r="E2133" s="3298" t="s">
        <v>6568</v>
      </c>
      <c r="F2133" s="3298" t="s">
        <v>2367</v>
      </c>
      <c r="G2133" s="3278">
        <v>2053.337</v>
      </c>
      <c r="H2133" s="3299">
        <v>0</v>
      </c>
      <c r="I2133" s="3278">
        <v>0</v>
      </c>
    </row>
    <row r="2134" ht="12.75" customHeight="1" spans="2:9">
      <c r="B2134" s="3274">
        <v>1068</v>
      </c>
      <c r="D2134" s="3297" t="s">
        <v>6569</v>
      </c>
      <c r="E2134" s="3298" t="s">
        <v>6570</v>
      </c>
      <c r="F2134" s="3298" t="s">
        <v>2367</v>
      </c>
      <c r="G2134" s="3278">
        <v>5720</v>
      </c>
      <c r="H2134" s="3299">
        <v>0</v>
      </c>
      <c r="I2134" s="3278">
        <v>0</v>
      </c>
    </row>
    <row r="2135" ht="12.75" customHeight="1" spans="2:9">
      <c r="B2135" s="3274">
        <v>1069</v>
      </c>
      <c r="D2135" s="3297" t="s">
        <v>6571</v>
      </c>
      <c r="E2135" s="3298" t="s">
        <v>6572</v>
      </c>
      <c r="F2135" s="3298" t="s">
        <v>3056</v>
      </c>
      <c r="G2135" s="3278">
        <v>13200</v>
      </c>
      <c r="H2135" s="3299">
        <v>810</v>
      </c>
      <c r="I2135" s="3278">
        <v>10692000</v>
      </c>
    </row>
    <row r="2136" ht="12.75" customHeight="1" spans="2:9">
      <c r="B2136" s="3274">
        <v>1070</v>
      </c>
      <c r="D2136" s="3297" t="s">
        <v>6573</v>
      </c>
      <c r="E2136" s="3298" t="s">
        <v>6574</v>
      </c>
      <c r="F2136" s="3298" t="s">
        <v>2367</v>
      </c>
      <c r="G2136" s="3278">
        <v>181104</v>
      </c>
      <c r="H2136" s="3299">
        <v>88</v>
      </c>
      <c r="I2136" s="3278">
        <v>15937152</v>
      </c>
    </row>
    <row r="2137" ht="12.75" customHeight="1" spans="2:9">
      <c r="B2137" s="3274">
        <v>1071</v>
      </c>
      <c r="D2137" s="3297" t="s">
        <v>6575</v>
      </c>
      <c r="E2137" s="3298" t="s">
        <v>6576</v>
      </c>
      <c r="F2137" s="3298" t="s">
        <v>2367</v>
      </c>
      <c r="G2137" s="3278">
        <v>17600</v>
      </c>
      <c r="H2137" s="3299">
        <v>0</v>
      </c>
      <c r="I2137" s="3278">
        <v>0</v>
      </c>
    </row>
    <row r="2138" ht="12.75" customHeight="1" spans="2:9">
      <c r="B2138" s="3274">
        <v>1072</v>
      </c>
      <c r="D2138" s="3297" t="s">
        <v>6577</v>
      </c>
      <c r="E2138" s="3298" t="s">
        <v>6578</v>
      </c>
      <c r="F2138" s="3298" t="s">
        <v>3056</v>
      </c>
      <c r="G2138" s="3278">
        <v>19525</v>
      </c>
      <c r="H2138" s="3299">
        <v>0</v>
      </c>
      <c r="I2138" s="3278">
        <v>0</v>
      </c>
    </row>
    <row r="2139" ht="12.75" customHeight="1" spans="2:9">
      <c r="B2139" s="3274">
        <v>1073</v>
      </c>
      <c r="D2139" s="3297" t="s">
        <v>6579</v>
      </c>
      <c r="E2139" s="3298" t="s">
        <v>6580</v>
      </c>
      <c r="F2139" s="3298" t="s">
        <v>4357</v>
      </c>
      <c r="G2139" s="3278">
        <v>366.003</v>
      </c>
      <c r="H2139" s="3299">
        <v>0</v>
      </c>
      <c r="I2139" s="3278">
        <v>0</v>
      </c>
    </row>
    <row r="2140" ht="12.75" customHeight="1" spans="2:9">
      <c r="B2140" s="3274">
        <v>1074</v>
      </c>
      <c r="D2140" s="3297" t="s">
        <v>6581</v>
      </c>
      <c r="E2140" s="3298" t="s">
        <v>6582</v>
      </c>
      <c r="F2140" s="3298" t="s">
        <v>3056</v>
      </c>
      <c r="G2140" s="3278">
        <v>4439.204</v>
      </c>
      <c r="H2140" s="3299">
        <v>0</v>
      </c>
      <c r="I2140" s="3278">
        <v>0</v>
      </c>
    </row>
    <row r="2141" ht="12.75" customHeight="1" spans="2:9">
      <c r="B2141" s="3274">
        <v>1075</v>
      </c>
      <c r="D2141" s="3297" t="s">
        <v>6583</v>
      </c>
      <c r="E2141" s="3298" t="s">
        <v>6584</v>
      </c>
      <c r="F2141" s="3298" t="s">
        <v>2321</v>
      </c>
      <c r="G2141" s="3278">
        <v>36962.332</v>
      </c>
      <c r="H2141" s="3299">
        <v>0</v>
      </c>
      <c r="I2141" s="3278">
        <v>0</v>
      </c>
    </row>
    <row r="2142" ht="12.75" customHeight="1" spans="2:9">
      <c r="B2142" s="3274">
        <v>1076</v>
      </c>
      <c r="D2142" s="3297" t="s">
        <v>6585</v>
      </c>
      <c r="E2142" s="3298" t="s">
        <v>6586</v>
      </c>
      <c r="F2142" s="3298" t="s">
        <v>2367</v>
      </c>
      <c r="G2142" s="3278">
        <v>1430</v>
      </c>
      <c r="H2142" s="3299">
        <v>0</v>
      </c>
      <c r="I2142" s="3278">
        <v>0</v>
      </c>
    </row>
    <row r="2143" ht="12.75" customHeight="1" spans="2:9">
      <c r="B2143" s="3274">
        <v>1077</v>
      </c>
      <c r="D2143" s="3297" t="s">
        <v>6587</v>
      </c>
      <c r="E2143" s="3298" t="s">
        <v>6588</v>
      </c>
      <c r="F2143" s="3298" t="s">
        <v>2367</v>
      </c>
      <c r="G2143" s="3278">
        <v>5705</v>
      </c>
      <c r="H2143" s="3299">
        <v>0</v>
      </c>
      <c r="I2143" s="3278">
        <v>0</v>
      </c>
    </row>
    <row r="2144" ht="12.75" customHeight="1" spans="2:9">
      <c r="B2144" s="3274">
        <v>1078</v>
      </c>
      <c r="D2144" s="3297" t="s">
        <v>6589</v>
      </c>
      <c r="E2144" s="3298" t="s">
        <v>6590</v>
      </c>
      <c r="F2144" s="3298" t="s">
        <v>2321</v>
      </c>
      <c r="G2144" s="3278">
        <v>31900</v>
      </c>
      <c r="H2144" s="3299">
        <v>0</v>
      </c>
      <c r="I2144" s="3278">
        <v>0</v>
      </c>
    </row>
    <row r="2145" ht="12.75" customHeight="1" spans="2:9">
      <c r="B2145" s="3274">
        <v>1079</v>
      </c>
      <c r="D2145" s="3297" t="s">
        <v>6591</v>
      </c>
      <c r="E2145" s="3298" t="s">
        <v>6592</v>
      </c>
      <c r="F2145" s="3298" t="s">
        <v>3056</v>
      </c>
      <c r="G2145" s="3278">
        <v>821.337</v>
      </c>
      <c r="H2145" s="3299">
        <v>2700</v>
      </c>
      <c r="I2145" s="3278">
        <v>2217609.9</v>
      </c>
    </row>
    <row r="2146" ht="12.75" customHeight="1" spans="2:9">
      <c r="B2146" s="3274">
        <v>1080</v>
      </c>
      <c r="D2146" s="3297" t="s">
        <v>6593</v>
      </c>
      <c r="E2146" s="3298" t="s">
        <v>6594</v>
      </c>
      <c r="F2146" s="3298" t="s">
        <v>2637</v>
      </c>
      <c r="G2146" s="3278">
        <v>54450</v>
      </c>
      <c r="H2146" s="3299">
        <v>8</v>
      </c>
      <c r="I2146" s="3278">
        <v>435600</v>
      </c>
    </row>
    <row r="2147" ht="12.75" customHeight="1" spans="2:9">
      <c r="B2147" s="3274">
        <v>1081</v>
      </c>
      <c r="D2147" s="3297" t="s">
        <v>6595</v>
      </c>
      <c r="E2147" s="3298" t="s">
        <v>6596</v>
      </c>
      <c r="F2147" s="3298" t="s">
        <v>2637</v>
      </c>
      <c r="G2147" s="3278">
        <v>33000</v>
      </c>
      <c r="H2147" s="3299">
        <v>0</v>
      </c>
      <c r="I2147" s="3278">
        <v>0</v>
      </c>
    </row>
    <row r="2148" ht="12.75" customHeight="1" spans="2:9">
      <c r="B2148" s="3274">
        <v>1082</v>
      </c>
      <c r="D2148" s="3297" t="s">
        <v>6597</v>
      </c>
      <c r="E2148" s="3298" t="s">
        <v>6598</v>
      </c>
      <c r="F2148" s="3298" t="s">
        <v>2367</v>
      </c>
      <c r="G2148" s="3278">
        <v>2650</v>
      </c>
      <c r="H2148" s="3299">
        <v>0</v>
      </c>
      <c r="I2148" s="3278">
        <v>0</v>
      </c>
    </row>
    <row r="2149" ht="12.75" customHeight="1" spans="2:9">
      <c r="B2149" s="3274">
        <v>1083</v>
      </c>
      <c r="D2149" s="3297" t="s">
        <v>6599</v>
      </c>
      <c r="E2149" s="3298" t="s">
        <v>6600</v>
      </c>
      <c r="F2149" s="3298" t="s">
        <v>2367</v>
      </c>
      <c r="G2149" s="3278">
        <v>1043.9</v>
      </c>
      <c r="H2149" s="3299">
        <v>0</v>
      </c>
      <c r="I2149" s="3278">
        <v>0</v>
      </c>
    </row>
    <row r="2150" ht="12.75" customHeight="1" spans="2:9">
      <c r="B2150" s="3274">
        <v>1084</v>
      </c>
      <c r="D2150" s="3297" t="s">
        <v>6601</v>
      </c>
      <c r="E2150" s="3298" t="s">
        <v>6602</v>
      </c>
      <c r="F2150" s="3298" t="s">
        <v>2367</v>
      </c>
      <c r="G2150" s="3278">
        <v>2530</v>
      </c>
      <c r="H2150" s="3299">
        <v>0</v>
      </c>
      <c r="I2150" s="3278">
        <v>0</v>
      </c>
    </row>
    <row r="2151" ht="12.75" customHeight="1" spans="2:9">
      <c r="B2151" s="3274">
        <v>1085</v>
      </c>
      <c r="D2151" s="3297" t="s">
        <v>6603</v>
      </c>
      <c r="E2151" s="3298" t="s">
        <v>6604</v>
      </c>
      <c r="F2151" s="3298" t="s">
        <v>3056</v>
      </c>
      <c r="G2151" s="3278">
        <v>534</v>
      </c>
      <c r="H2151" s="3299">
        <v>0</v>
      </c>
      <c r="I2151" s="3278">
        <v>0</v>
      </c>
    </row>
    <row r="2152" ht="12.75" customHeight="1" spans="2:9">
      <c r="B2152" s="3274">
        <v>1086</v>
      </c>
      <c r="D2152" s="3297" t="s">
        <v>6605</v>
      </c>
      <c r="E2152" s="3298" t="s">
        <v>6606</v>
      </c>
      <c r="F2152" s="3298" t="s">
        <v>2367</v>
      </c>
      <c r="G2152" s="3278">
        <v>3025</v>
      </c>
      <c r="H2152" s="3299">
        <v>0</v>
      </c>
      <c r="I2152" s="3278">
        <v>0</v>
      </c>
    </row>
    <row r="2153" ht="12.75" customHeight="1" spans="2:9">
      <c r="B2153" s="3274">
        <v>1087</v>
      </c>
      <c r="D2153" s="3297" t="s">
        <v>6607</v>
      </c>
      <c r="E2153" s="3298" t="s">
        <v>6608</v>
      </c>
      <c r="F2153" s="3298" t="s">
        <v>3423</v>
      </c>
      <c r="G2153" s="3278">
        <v>151800</v>
      </c>
      <c r="H2153" s="3299">
        <v>0</v>
      </c>
      <c r="I2153" s="3278">
        <v>0</v>
      </c>
    </row>
    <row r="2154" ht="12.75" customHeight="1" spans="2:9">
      <c r="B2154" s="3274">
        <v>1088</v>
      </c>
      <c r="D2154" s="3297" t="s">
        <v>6609</v>
      </c>
      <c r="E2154" s="3298" t="s">
        <v>6610</v>
      </c>
      <c r="F2154" s="3298" t="s">
        <v>2367</v>
      </c>
      <c r="G2154" s="3278">
        <v>2706</v>
      </c>
      <c r="H2154" s="3299">
        <v>0</v>
      </c>
      <c r="I2154" s="3278">
        <v>0</v>
      </c>
    </row>
    <row r="2155" ht="12.75" customHeight="1" spans="2:9">
      <c r="B2155" s="3274">
        <v>1089</v>
      </c>
      <c r="D2155" s="3297" t="s">
        <v>6611</v>
      </c>
      <c r="E2155" s="3298" t="s">
        <v>6612</v>
      </c>
      <c r="F2155" s="3298" t="s">
        <v>3042</v>
      </c>
      <c r="G2155" s="3278">
        <v>13463.2979</v>
      </c>
      <c r="H2155" s="3299">
        <v>0</v>
      </c>
      <c r="I2155" s="3278">
        <v>0</v>
      </c>
    </row>
    <row r="2156" ht="12.75" customHeight="1" spans="2:9">
      <c r="B2156" s="3274">
        <v>1090</v>
      </c>
      <c r="D2156" s="3297" t="s">
        <v>6613</v>
      </c>
      <c r="E2156" s="3298" t="s">
        <v>6614</v>
      </c>
      <c r="F2156" s="3298" t="s">
        <v>4351</v>
      </c>
      <c r="G2156" s="3278">
        <v>5500</v>
      </c>
      <c r="H2156" s="3299">
        <v>0</v>
      </c>
      <c r="I2156" s="3278">
        <v>0</v>
      </c>
    </row>
    <row r="2157" ht="12.75" customHeight="1" spans="2:9">
      <c r="B2157" s="3274">
        <v>1091</v>
      </c>
      <c r="D2157" s="3297" t="s">
        <v>6615</v>
      </c>
      <c r="E2157" s="3298" t="s">
        <v>6616</v>
      </c>
      <c r="F2157" s="3298" t="s">
        <v>3042</v>
      </c>
      <c r="G2157" s="3278">
        <v>36498</v>
      </c>
      <c r="H2157" s="3299">
        <v>0</v>
      </c>
      <c r="I2157" s="3278">
        <v>0</v>
      </c>
    </row>
    <row r="2158" ht="12.75" customHeight="1" spans="2:9">
      <c r="B2158" s="3274">
        <v>1092</v>
      </c>
      <c r="D2158" s="3297" t="s">
        <v>6617</v>
      </c>
      <c r="E2158" s="3298" t="s">
        <v>6618</v>
      </c>
      <c r="F2158" s="3298" t="s">
        <v>5233</v>
      </c>
      <c r="G2158" s="3278">
        <v>14338.5</v>
      </c>
      <c r="H2158" s="3299">
        <v>170</v>
      </c>
      <c r="I2158" s="3278">
        <v>2437545</v>
      </c>
    </row>
    <row r="2159" ht="12.75" customHeight="1" spans="2:9">
      <c r="B2159" s="3274">
        <v>1093</v>
      </c>
      <c r="D2159" s="3297" t="s">
        <v>6619</v>
      </c>
      <c r="E2159" s="3298" t="s">
        <v>6620</v>
      </c>
      <c r="F2159" s="3298" t="s">
        <v>3042</v>
      </c>
      <c r="G2159" s="3278">
        <v>8250</v>
      </c>
      <c r="H2159" s="3299">
        <v>0</v>
      </c>
      <c r="I2159" s="3278">
        <v>0</v>
      </c>
    </row>
    <row r="2160" ht="12.75" customHeight="1" spans="2:9">
      <c r="B2160" s="3274">
        <v>1094</v>
      </c>
      <c r="D2160" s="3297" t="s">
        <v>6621</v>
      </c>
      <c r="E2160" s="3298" t="s">
        <v>6622</v>
      </c>
      <c r="F2160" s="3298" t="s">
        <v>3056</v>
      </c>
      <c r="G2160" s="3278">
        <v>3303.3</v>
      </c>
      <c r="H2160" s="3299">
        <v>0</v>
      </c>
      <c r="I2160" s="3278">
        <v>0</v>
      </c>
    </row>
    <row r="2161" ht="12.75" customHeight="1" spans="2:9">
      <c r="B2161" s="3274">
        <v>1095</v>
      </c>
      <c r="D2161" s="3297" t="s">
        <v>6623</v>
      </c>
      <c r="E2161" s="3298" t="s">
        <v>6624</v>
      </c>
      <c r="F2161" s="3298" t="s">
        <v>3056</v>
      </c>
      <c r="G2161" s="3278">
        <v>1518</v>
      </c>
      <c r="H2161" s="3299">
        <v>0</v>
      </c>
      <c r="I2161" s="3278">
        <v>0</v>
      </c>
    </row>
    <row r="2162" ht="12.75" customHeight="1" spans="2:9">
      <c r="B2162" s="3274">
        <v>1096</v>
      </c>
      <c r="D2162" s="3297" t="s">
        <v>6625</v>
      </c>
      <c r="E2162" s="3298" t="s">
        <v>6626</v>
      </c>
      <c r="F2162" s="3298" t="s">
        <v>2637</v>
      </c>
      <c r="G2162" s="3278">
        <v>43792.1</v>
      </c>
      <c r="H2162" s="3299">
        <v>0</v>
      </c>
      <c r="I2162" s="3278">
        <v>0</v>
      </c>
    </row>
    <row r="2163" ht="12.75" customHeight="1" spans="2:9">
      <c r="B2163" s="3274">
        <v>1097</v>
      </c>
      <c r="D2163" s="3297" t="s">
        <v>6627</v>
      </c>
      <c r="E2163" s="3298" t="s">
        <v>6628</v>
      </c>
      <c r="F2163" s="3298" t="s">
        <v>2637</v>
      </c>
      <c r="G2163" s="3278">
        <v>40040</v>
      </c>
      <c r="H2163" s="3299">
        <v>19</v>
      </c>
      <c r="I2163" s="3278">
        <v>760760</v>
      </c>
    </row>
    <row r="2164" ht="12.75" customHeight="1" spans="2:9">
      <c r="B2164" s="3274">
        <v>1098</v>
      </c>
      <c r="D2164" s="3297" t="s">
        <v>6629</v>
      </c>
      <c r="E2164" s="3298" t="s">
        <v>6630</v>
      </c>
      <c r="F2164" s="3298" t="s">
        <v>2637</v>
      </c>
      <c r="G2164" s="3278">
        <v>45100</v>
      </c>
      <c r="H2164" s="3299">
        <v>8</v>
      </c>
      <c r="I2164" s="3278">
        <v>360800</v>
      </c>
    </row>
    <row r="2165" ht="12.75" customHeight="1" spans="2:9">
      <c r="B2165" s="3274">
        <v>1099</v>
      </c>
      <c r="D2165" s="3297" t="s">
        <v>6631</v>
      </c>
      <c r="E2165" s="3298" t="s">
        <v>6632</v>
      </c>
      <c r="F2165" s="3298" t="s">
        <v>2637</v>
      </c>
      <c r="G2165" s="3278">
        <v>43792.1</v>
      </c>
      <c r="H2165" s="3299">
        <v>0</v>
      </c>
      <c r="I2165" s="3278">
        <v>0</v>
      </c>
    </row>
    <row r="2166" ht="12.75" customHeight="1" spans="2:9">
      <c r="B2166" s="3274">
        <v>1100</v>
      </c>
      <c r="D2166" s="3297" t="s">
        <v>6633</v>
      </c>
      <c r="E2166" s="3298" t="s">
        <v>6634</v>
      </c>
      <c r="F2166" s="3298" t="s">
        <v>2321</v>
      </c>
      <c r="G2166" s="3278">
        <v>63912.2</v>
      </c>
      <c r="H2166" s="3299">
        <v>0</v>
      </c>
      <c r="I2166" s="3278">
        <v>0</v>
      </c>
    </row>
    <row r="2167" ht="12.75" customHeight="1" spans="2:9">
      <c r="B2167" s="3274">
        <v>1101</v>
      </c>
      <c r="D2167" s="3297" t="s">
        <v>6635</v>
      </c>
      <c r="E2167" s="3298" t="s">
        <v>6636</v>
      </c>
      <c r="F2167" s="3298" t="s">
        <v>2321</v>
      </c>
      <c r="G2167" s="3278">
        <v>50292</v>
      </c>
      <c r="H2167" s="3299">
        <v>0</v>
      </c>
      <c r="I2167" s="3278">
        <v>0</v>
      </c>
    </row>
    <row r="2168" ht="12.75" customHeight="1" spans="2:9">
      <c r="B2168" s="3274">
        <v>1102</v>
      </c>
      <c r="D2168" s="3297" t="s">
        <v>6637</v>
      </c>
      <c r="E2168" s="3298" t="s">
        <v>6638</v>
      </c>
      <c r="F2168" s="3298" t="s">
        <v>2321</v>
      </c>
      <c r="G2168" s="3278">
        <v>17160</v>
      </c>
      <c r="H2168" s="3299">
        <v>77</v>
      </c>
      <c r="I2168" s="3278">
        <v>1321320</v>
      </c>
    </row>
    <row r="2169" ht="12.75" customHeight="1" spans="2:9">
      <c r="B2169" s="3274">
        <v>1103</v>
      </c>
      <c r="D2169" s="3297" t="s">
        <v>6639</v>
      </c>
      <c r="E2169" s="3298" t="s">
        <v>6640</v>
      </c>
      <c r="F2169" s="3298" t="s">
        <v>3056</v>
      </c>
      <c r="G2169" s="3278">
        <v>1523.5</v>
      </c>
      <c r="H2169" s="3299">
        <v>1500</v>
      </c>
      <c r="I2169" s="3278">
        <v>2285250</v>
      </c>
    </row>
    <row r="2170" ht="12.75" customHeight="1" spans="2:9">
      <c r="B2170" s="3274">
        <v>1104</v>
      </c>
      <c r="D2170" s="3297" t="s">
        <v>6641</v>
      </c>
      <c r="E2170" s="3298" t="s">
        <v>6642</v>
      </c>
      <c r="F2170" s="3298" t="s">
        <v>2321</v>
      </c>
      <c r="G2170" s="3278">
        <v>36410</v>
      </c>
      <c r="H2170" s="3299">
        <v>0</v>
      </c>
      <c r="I2170" s="3278">
        <v>0</v>
      </c>
    </row>
    <row r="2171" ht="12.75" customHeight="1" spans="2:9">
      <c r="B2171" s="3274">
        <v>1105</v>
      </c>
      <c r="D2171" s="3297" t="s">
        <v>6643</v>
      </c>
      <c r="E2171" s="3298" t="s">
        <v>6644</v>
      </c>
      <c r="F2171" s="3298" t="s">
        <v>2321</v>
      </c>
      <c r="G2171" s="3278">
        <v>52910</v>
      </c>
      <c r="H2171" s="3299">
        <v>0</v>
      </c>
      <c r="I2171" s="3278">
        <v>0</v>
      </c>
    </row>
    <row r="2172" ht="12.75" customHeight="1" spans="2:9">
      <c r="B2172" s="3274">
        <v>1106</v>
      </c>
      <c r="D2172" s="3297" t="s">
        <v>6645</v>
      </c>
      <c r="E2172" s="3298" t="s">
        <v>6646</v>
      </c>
      <c r="F2172" s="3298" t="s">
        <v>2321</v>
      </c>
      <c r="G2172" s="3278">
        <v>36410</v>
      </c>
      <c r="H2172" s="3299">
        <v>0</v>
      </c>
      <c r="I2172" s="3278">
        <v>0</v>
      </c>
    </row>
    <row r="2173" ht="12.75" customHeight="1" spans="2:9">
      <c r="B2173" s="3274">
        <v>1107</v>
      </c>
      <c r="D2173" s="3297" t="s">
        <v>6647</v>
      </c>
      <c r="E2173" s="3298" t="s">
        <v>6648</v>
      </c>
      <c r="F2173" s="3298" t="s">
        <v>2321</v>
      </c>
      <c r="G2173" s="3278">
        <v>36410</v>
      </c>
      <c r="H2173" s="3299">
        <v>0</v>
      </c>
      <c r="I2173" s="3278">
        <v>0</v>
      </c>
    </row>
    <row r="2174" ht="12.75" customHeight="1" spans="2:9">
      <c r="B2174" s="3274">
        <v>1108</v>
      </c>
      <c r="D2174" s="3297" t="s">
        <v>6649</v>
      </c>
      <c r="E2174" s="3298" t="s">
        <v>6650</v>
      </c>
      <c r="F2174" s="3298" t="s">
        <v>2367</v>
      </c>
      <c r="G2174" s="3278">
        <v>8999.98</v>
      </c>
      <c r="H2174" s="3299">
        <v>0</v>
      </c>
      <c r="I2174" s="3278">
        <v>0</v>
      </c>
    </row>
    <row r="2175" ht="12.75" customHeight="1" spans="2:9">
      <c r="B2175" s="3274">
        <v>1109</v>
      </c>
      <c r="D2175" s="3297" t="s">
        <v>6651</v>
      </c>
      <c r="E2175" s="3298" t="s">
        <v>6652</v>
      </c>
      <c r="F2175" s="3298" t="s">
        <v>3045</v>
      </c>
      <c r="G2175" s="3278">
        <v>74701</v>
      </c>
      <c r="H2175" s="3299">
        <v>0</v>
      </c>
      <c r="I2175" s="3278">
        <v>0</v>
      </c>
    </row>
    <row r="2176" ht="12.75" customHeight="1" spans="2:9">
      <c r="B2176" s="3274">
        <v>1110</v>
      </c>
      <c r="D2176" s="3297" t="s">
        <v>6653</v>
      </c>
      <c r="E2176" s="3298" t="s">
        <v>6654</v>
      </c>
      <c r="F2176" s="3298" t="s">
        <v>2367</v>
      </c>
      <c r="G2176" s="3278">
        <v>1578.5</v>
      </c>
      <c r="H2176" s="3299">
        <v>0</v>
      </c>
      <c r="I2176" s="3278">
        <v>0</v>
      </c>
    </row>
    <row r="2177" ht="12.75" customHeight="1" spans="2:9">
      <c r="B2177" s="3274">
        <v>1111</v>
      </c>
      <c r="D2177" s="3297" t="s">
        <v>6655</v>
      </c>
      <c r="E2177" s="3298" t="s">
        <v>6656</v>
      </c>
      <c r="F2177" s="3298" t="s">
        <v>3045</v>
      </c>
      <c r="G2177" s="3278">
        <v>16170</v>
      </c>
      <c r="H2177" s="3299">
        <v>0</v>
      </c>
      <c r="I2177" s="3278">
        <v>0</v>
      </c>
    </row>
    <row r="2178" ht="12.75" customHeight="1" spans="2:9">
      <c r="B2178" s="3274">
        <v>1112</v>
      </c>
      <c r="D2178" s="3297" t="s">
        <v>6657</v>
      </c>
      <c r="E2178" s="3298" t="s">
        <v>6658</v>
      </c>
      <c r="F2178" s="3298" t="s">
        <v>2321</v>
      </c>
      <c r="G2178" s="3278">
        <v>16593.5</v>
      </c>
      <c r="H2178" s="3299">
        <v>336</v>
      </c>
      <c r="I2178" s="3278">
        <v>5575416</v>
      </c>
    </row>
    <row r="2179" ht="12.75" customHeight="1" spans="2:9">
      <c r="B2179" s="3274">
        <v>1113</v>
      </c>
      <c r="D2179" s="3297" t="s">
        <v>6659</v>
      </c>
      <c r="E2179" s="3298" t="s">
        <v>6660</v>
      </c>
      <c r="F2179" s="3298" t="s">
        <v>3045</v>
      </c>
      <c r="G2179" s="3278">
        <v>15400</v>
      </c>
      <c r="H2179" s="3299">
        <v>0</v>
      </c>
      <c r="I2179" s="3278">
        <v>0</v>
      </c>
    </row>
    <row r="2180" ht="12.75" customHeight="1" spans="2:9">
      <c r="B2180" s="3274">
        <v>1114</v>
      </c>
      <c r="D2180" s="3297" t="s">
        <v>6661</v>
      </c>
      <c r="E2180" s="3298" t="s">
        <v>6662</v>
      </c>
      <c r="F2180" s="3298" t="s">
        <v>3056</v>
      </c>
      <c r="G2180" s="3278">
        <v>3850</v>
      </c>
      <c r="H2180" s="3299">
        <v>0</v>
      </c>
      <c r="I2180" s="3278">
        <v>0</v>
      </c>
    </row>
    <row r="2181" ht="12.75" customHeight="1" spans="2:9">
      <c r="B2181" s="3274">
        <v>1115</v>
      </c>
      <c r="D2181" s="3297" t="s">
        <v>6663</v>
      </c>
      <c r="E2181" s="3298" t="s">
        <v>6664</v>
      </c>
      <c r="F2181" s="3298" t="s">
        <v>3423</v>
      </c>
      <c r="G2181" s="3278">
        <v>107800</v>
      </c>
      <c r="H2181" s="3299">
        <v>0</v>
      </c>
      <c r="I2181" s="3278">
        <v>0</v>
      </c>
    </row>
    <row r="2182" ht="12.75" customHeight="1" spans="2:9">
      <c r="B2182" s="3274">
        <v>1116</v>
      </c>
      <c r="D2182" s="3297" t="s">
        <v>6665</v>
      </c>
      <c r="E2182" s="3298" t="s">
        <v>6666</v>
      </c>
      <c r="F2182" s="3298" t="s">
        <v>3045</v>
      </c>
      <c r="G2182" s="3278">
        <v>46999.7</v>
      </c>
      <c r="H2182" s="3299">
        <v>18</v>
      </c>
      <c r="I2182" s="3278">
        <v>845994.6</v>
      </c>
    </row>
    <row r="2183" ht="12.75" customHeight="1" spans="2:9">
      <c r="B2183" s="3274">
        <v>1117</v>
      </c>
      <c r="D2183" s="3297" t="s">
        <v>6667</v>
      </c>
      <c r="E2183" s="3298" t="s">
        <v>6668</v>
      </c>
      <c r="F2183" s="3298" t="s">
        <v>2321</v>
      </c>
      <c r="G2183" s="3278">
        <v>102850</v>
      </c>
      <c r="H2183" s="3299">
        <v>12</v>
      </c>
      <c r="I2183" s="3278">
        <v>1234200</v>
      </c>
    </row>
    <row r="2184" ht="12.75" customHeight="1" spans="2:9">
      <c r="B2184" s="3274">
        <v>1118</v>
      </c>
      <c r="D2184" s="3297" t="s">
        <v>6669</v>
      </c>
      <c r="E2184" s="3298" t="s">
        <v>6670</v>
      </c>
      <c r="F2184" s="3298" t="s">
        <v>3056</v>
      </c>
      <c r="G2184" s="3278">
        <v>1297</v>
      </c>
      <c r="H2184" s="3299">
        <v>0</v>
      </c>
      <c r="I2184" s="3278">
        <v>0</v>
      </c>
    </row>
    <row r="2185" ht="12.75" customHeight="1" spans="2:9">
      <c r="B2185" s="3274">
        <v>1119</v>
      </c>
      <c r="D2185" s="3297" t="s">
        <v>6671</v>
      </c>
      <c r="E2185" s="3298" t="s">
        <v>6672</v>
      </c>
      <c r="F2185" s="3298" t="s">
        <v>2367</v>
      </c>
      <c r="G2185" s="3278">
        <v>14773</v>
      </c>
      <c r="H2185" s="3299">
        <v>0</v>
      </c>
      <c r="I2185" s="3278">
        <v>0</v>
      </c>
    </row>
    <row r="2186" ht="12.75" customHeight="1" spans="2:9">
      <c r="B2186" s="3274">
        <v>1120</v>
      </c>
      <c r="D2186" s="3297" t="s">
        <v>6673</v>
      </c>
      <c r="E2186" s="3298" t="s">
        <v>6674</v>
      </c>
      <c r="F2186" s="3298" t="s">
        <v>2367</v>
      </c>
      <c r="G2186" s="3278">
        <v>638</v>
      </c>
      <c r="H2186" s="3299">
        <v>0</v>
      </c>
      <c r="I2186" s="3278">
        <v>0</v>
      </c>
    </row>
    <row r="2187" ht="12.75" customHeight="1" spans="2:9">
      <c r="B2187" s="3274">
        <v>1121</v>
      </c>
      <c r="D2187" s="3297" t="s">
        <v>6675</v>
      </c>
      <c r="E2187" s="3298" t="s">
        <v>6676</v>
      </c>
      <c r="F2187" s="3298" t="s">
        <v>2367</v>
      </c>
      <c r="G2187" s="3278">
        <v>3850</v>
      </c>
      <c r="H2187" s="3299">
        <v>0</v>
      </c>
      <c r="I2187" s="3278">
        <v>0</v>
      </c>
    </row>
    <row r="2188" ht="12.75" customHeight="1" spans="2:9">
      <c r="B2188" s="3274">
        <v>1122</v>
      </c>
      <c r="D2188" s="3297" t="s">
        <v>6677</v>
      </c>
      <c r="E2188" s="3298" t="s">
        <v>6678</v>
      </c>
      <c r="F2188" s="3298" t="s">
        <v>2367</v>
      </c>
      <c r="G2188" s="3278">
        <v>17600</v>
      </c>
      <c r="H2188" s="3299">
        <v>0</v>
      </c>
      <c r="I2188" s="3278">
        <v>0</v>
      </c>
    </row>
    <row r="2189" ht="12.75" customHeight="1" spans="2:9">
      <c r="B2189" s="3274">
        <v>1123</v>
      </c>
      <c r="D2189" s="3297" t="s">
        <v>6679</v>
      </c>
      <c r="E2189" s="3298" t="s">
        <v>6680</v>
      </c>
      <c r="F2189" s="3298" t="s">
        <v>2367</v>
      </c>
      <c r="G2189" s="3278">
        <v>720.5</v>
      </c>
      <c r="H2189" s="3299">
        <v>0</v>
      </c>
      <c r="I2189" s="3278">
        <v>0</v>
      </c>
    </row>
    <row r="2190" ht="12.75" customHeight="1" spans="2:9">
      <c r="B2190" s="3274">
        <v>1124</v>
      </c>
      <c r="D2190" s="3297" t="s">
        <v>6681</v>
      </c>
      <c r="E2190" s="3298" t="s">
        <v>6682</v>
      </c>
      <c r="F2190" s="3298" t="s">
        <v>2367</v>
      </c>
      <c r="G2190" s="3278">
        <v>5390</v>
      </c>
      <c r="H2190" s="3299">
        <v>0</v>
      </c>
      <c r="I2190" s="3278">
        <v>0</v>
      </c>
    </row>
    <row r="2191" ht="12.75" customHeight="1" spans="2:9">
      <c r="B2191" s="3274">
        <v>1125</v>
      </c>
      <c r="D2191" s="3297" t="s">
        <v>6683</v>
      </c>
      <c r="E2191" s="3298" t="s">
        <v>6684</v>
      </c>
      <c r="F2191" s="3298" t="s">
        <v>2367</v>
      </c>
      <c r="G2191" s="3278">
        <v>5412</v>
      </c>
      <c r="H2191" s="3299">
        <v>120</v>
      </c>
      <c r="I2191" s="3278">
        <v>649440</v>
      </c>
    </row>
    <row r="2192" ht="12.75" customHeight="1" spans="2:9">
      <c r="B2192" s="3274">
        <v>1126</v>
      </c>
      <c r="D2192" s="3297" t="s">
        <v>6685</v>
      </c>
      <c r="E2192" s="3298" t="s">
        <v>6686</v>
      </c>
      <c r="F2192" s="3298" t="s">
        <v>4351</v>
      </c>
      <c r="G2192" s="3278">
        <v>10426.1631</v>
      </c>
      <c r="H2192" s="3299">
        <v>0</v>
      </c>
      <c r="I2192" s="3278">
        <v>0</v>
      </c>
    </row>
    <row r="2193" ht="12.75" customHeight="1" spans="2:9">
      <c r="B2193" s="3274">
        <v>1127</v>
      </c>
      <c r="D2193" s="3297" t="s">
        <v>6687</v>
      </c>
      <c r="E2193" s="3298" t="s">
        <v>6688</v>
      </c>
      <c r="F2193" s="3298" t="s">
        <v>2367</v>
      </c>
      <c r="G2193" s="3278">
        <v>2893</v>
      </c>
      <c r="H2193" s="3299">
        <v>0</v>
      </c>
      <c r="I2193" s="3278">
        <v>0</v>
      </c>
    </row>
    <row r="2194" ht="12.75" customHeight="1" spans="2:9">
      <c r="B2194" s="3274">
        <v>1128</v>
      </c>
      <c r="D2194" s="3297" t="s">
        <v>6689</v>
      </c>
      <c r="E2194" s="3298" t="s">
        <v>6690</v>
      </c>
      <c r="F2194" s="3298" t="s">
        <v>3056</v>
      </c>
      <c r="G2194" s="3278">
        <v>5591.6631</v>
      </c>
      <c r="H2194" s="3299">
        <v>0</v>
      </c>
      <c r="I2194" s="3278">
        <v>0</v>
      </c>
    </row>
    <row r="2195" ht="12.75" customHeight="1" spans="2:9">
      <c r="B2195" s="3274">
        <v>1129</v>
      </c>
      <c r="D2195" s="3297" t="s">
        <v>6691</v>
      </c>
      <c r="E2195" s="3298" t="s">
        <v>6692</v>
      </c>
      <c r="F2195" s="3298" t="s">
        <v>2367</v>
      </c>
      <c r="G2195" s="3278">
        <v>5107.3</v>
      </c>
      <c r="H2195" s="3299">
        <v>0</v>
      </c>
      <c r="I2195" s="3278">
        <v>0</v>
      </c>
    </row>
    <row r="2196" ht="12.75" customHeight="1" spans="2:9">
      <c r="B2196" s="3274">
        <v>1130</v>
      </c>
      <c r="D2196" s="3297" t="s">
        <v>6693</v>
      </c>
      <c r="E2196" s="3298" t="s">
        <v>6694</v>
      </c>
      <c r="F2196" s="3298" t="s">
        <v>3056</v>
      </c>
      <c r="G2196" s="3278">
        <v>2798.4</v>
      </c>
      <c r="H2196" s="3299">
        <v>0</v>
      </c>
      <c r="I2196" s="3278">
        <v>0</v>
      </c>
    </row>
    <row r="2197" ht="12.75" customHeight="1" spans="2:9">
      <c r="B2197" s="3274">
        <v>1131</v>
      </c>
      <c r="D2197" s="3297" t="s">
        <v>6695</v>
      </c>
      <c r="E2197" s="3298" t="s">
        <v>6696</v>
      </c>
      <c r="F2197" s="3298" t="s">
        <v>2367</v>
      </c>
      <c r="G2197" s="3278">
        <v>209650.001</v>
      </c>
      <c r="H2197" s="3299">
        <v>0</v>
      </c>
      <c r="I2197" s="3278">
        <v>0</v>
      </c>
    </row>
    <row r="2198" ht="12.75" customHeight="1" spans="2:9">
      <c r="B2198" s="3274">
        <v>1132</v>
      </c>
      <c r="D2198" s="3297" t="s">
        <v>6697</v>
      </c>
      <c r="E2198" s="3298" t="s">
        <v>6698</v>
      </c>
      <c r="F2198" s="3298" t="s">
        <v>3042</v>
      </c>
      <c r="G2198" s="3278">
        <v>165000</v>
      </c>
      <c r="H2198" s="3299">
        <v>0</v>
      </c>
      <c r="I2198" s="3278">
        <v>0</v>
      </c>
    </row>
    <row r="2199" ht="12.75" customHeight="1" spans="2:9">
      <c r="B2199" s="3274">
        <v>1133</v>
      </c>
      <c r="D2199" s="3297" t="s">
        <v>6699</v>
      </c>
      <c r="E2199" s="3298" t="s">
        <v>6700</v>
      </c>
      <c r="F2199" s="3298" t="s">
        <v>3423</v>
      </c>
      <c r="G2199" s="3278">
        <v>134999.997</v>
      </c>
      <c r="H2199" s="3299">
        <v>0</v>
      </c>
      <c r="I2199" s="3278">
        <v>0</v>
      </c>
    </row>
    <row r="2200" ht="12.75" customHeight="1" spans="2:9">
      <c r="B2200" s="3274">
        <v>1134</v>
      </c>
      <c r="D2200" s="3297" t="s">
        <v>6701</v>
      </c>
      <c r="E2200" s="3298" t="s">
        <v>6702</v>
      </c>
      <c r="F2200" s="3298" t="s">
        <v>3042</v>
      </c>
      <c r="G2200" s="3278">
        <v>98868</v>
      </c>
      <c r="H2200" s="3299">
        <v>0</v>
      </c>
      <c r="I2200" s="3278">
        <v>0</v>
      </c>
    </row>
    <row r="2201" ht="12.75" customHeight="1" spans="2:9">
      <c r="B2201" s="3274">
        <v>1135</v>
      </c>
      <c r="D2201" s="3297" t="s">
        <v>6703</v>
      </c>
      <c r="E2201" s="3298" t="s">
        <v>6704</v>
      </c>
      <c r="F2201" s="3298" t="s">
        <v>2367</v>
      </c>
      <c r="G2201" s="3278">
        <v>87846</v>
      </c>
      <c r="H2201" s="3299">
        <v>0</v>
      </c>
      <c r="I2201" s="3278">
        <v>0</v>
      </c>
    </row>
    <row r="2202" ht="12.75" customHeight="1" spans="2:9">
      <c r="B2202" s="3274">
        <v>1136</v>
      </c>
      <c r="D2202" s="3297" t="s">
        <v>6705</v>
      </c>
      <c r="E2202" s="3298" t="s">
        <v>6706</v>
      </c>
      <c r="F2202" s="3298" t="s">
        <v>3423</v>
      </c>
      <c r="G2202" s="3278">
        <v>313317.4</v>
      </c>
      <c r="H2202" s="3299">
        <v>0</v>
      </c>
      <c r="I2202" s="3278">
        <v>0</v>
      </c>
    </row>
    <row r="2203" ht="12.75" customHeight="1" spans="2:9">
      <c r="B2203" s="3274">
        <v>1137</v>
      </c>
      <c r="D2203" s="3297" t="s">
        <v>6707</v>
      </c>
      <c r="E2203" s="3298" t="s">
        <v>6708</v>
      </c>
      <c r="F2203" s="3298" t="s">
        <v>2367</v>
      </c>
      <c r="G2203" s="3278">
        <v>192500</v>
      </c>
      <c r="H2203" s="3299">
        <v>0</v>
      </c>
      <c r="I2203" s="3278">
        <v>0</v>
      </c>
    </row>
    <row r="2204" ht="12.75" customHeight="1" spans="2:9">
      <c r="B2204" s="3274">
        <v>1138</v>
      </c>
      <c r="D2204" s="3297" t="s">
        <v>6709</v>
      </c>
      <c r="E2204" s="3298" t="s">
        <v>6710</v>
      </c>
      <c r="F2204" s="3298" t="s">
        <v>2367</v>
      </c>
      <c r="G2204" s="3278">
        <v>415635</v>
      </c>
      <c r="H2204" s="3299">
        <v>0</v>
      </c>
      <c r="I2204" s="3278">
        <v>0</v>
      </c>
    </row>
    <row r="2205" ht="12.75" customHeight="1" spans="2:9">
      <c r="B2205" s="3274">
        <v>1139</v>
      </c>
      <c r="D2205" s="3297" t="s">
        <v>6711</v>
      </c>
      <c r="E2205" s="3298" t="s">
        <v>6712</v>
      </c>
      <c r="F2205" s="3298" t="s">
        <v>2367</v>
      </c>
      <c r="G2205" s="3278">
        <v>242000</v>
      </c>
      <c r="H2205" s="3299">
        <v>0</v>
      </c>
      <c r="I2205" s="3278">
        <v>0</v>
      </c>
    </row>
    <row r="2206" ht="12.75" customHeight="1" spans="2:9">
      <c r="B2206" s="3274">
        <v>1140</v>
      </c>
      <c r="D2206" s="3297" t="s">
        <v>6713</v>
      </c>
      <c r="E2206" s="3298" t="s">
        <v>6714</v>
      </c>
      <c r="F2206" s="3298" t="s">
        <v>2367</v>
      </c>
      <c r="G2206" s="3278">
        <v>349999.43</v>
      </c>
      <c r="H2206" s="3299">
        <v>0</v>
      </c>
      <c r="I2206" s="3278">
        <v>0</v>
      </c>
    </row>
    <row r="2207" ht="12.75" customHeight="1" spans="2:9">
      <c r="B2207" s="3274">
        <v>1141</v>
      </c>
      <c r="D2207" s="3297" t="s">
        <v>6715</v>
      </c>
      <c r="E2207" s="3298" t="s">
        <v>6716</v>
      </c>
      <c r="F2207" s="3298" t="s">
        <v>2367</v>
      </c>
      <c r="G2207" s="3278">
        <v>693000</v>
      </c>
      <c r="H2207" s="3299">
        <v>0</v>
      </c>
      <c r="I2207" s="3278">
        <v>0</v>
      </c>
    </row>
    <row r="2208" ht="12.75" customHeight="1" spans="2:9">
      <c r="B2208" s="3274">
        <v>1142</v>
      </c>
      <c r="D2208" s="3297" t="s">
        <v>6717</v>
      </c>
      <c r="E2208" s="3298" t="s">
        <v>6718</v>
      </c>
      <c r="F2208" s="3298" t="s">
        <v>3257</v>
      </c>
      <c r="G2208" s="3278">
        <v>343328.337</v>
      </c>
      <c r="H2208" s="3299">
        <v>0</v>
      </c>
      <c r="I2208" s="3278">
        <v>0</v>
      </c>
    </row>
    <row r="2209" ht="12.75" customHeight="1" spans="2:9">
      <c r="B2209" s="3274">
        <v>1143</v>
      </c>
      <c r="D2209" s="3297" t="s">
        <v>6719</v>
      </c>
      <c r="E2209" s="3298" t="s">
        <v>6720</v>
      </c>
      <c r="F2209" s="3298" t="s">
        <v>2367</v>
      </c>
      <c r="G2209" s="3278">
        <v>748000</v>
      </c>
      <c r="H2209" s="3299">
        <v>0</v>
      </c>
      <c r="I2209" s="3278">
        <v>0</v>
      </c>
    </row>
    <row r="2210" ht="12.75" customHeight="1" spans="2:9">
      <c r="B2210" s="3274">
        <v>1144</v>
      </c>
      <c r="D2210" s="3297" t="s">
        <v>6721</v>
      </c>
      <c r="E2210" s="3298" t="s">
        <v>6722</v>
      </c>
      <c r="F2210" s="3298" t="s">
        <v>3423</v>
      </c>
      <c r="G2210" s="3278">
        <v>321255</v>
      </c>
      <c r="H2210" s="3299">
        <v>0</v>
      </c>
      <c r="I2210" s="3278">
        <v>0</v>
      </c>
    </row>
    <row r="2211" ht="12.75" customHeight="1" spans="2:9">
      <c r="B2211" s="3274">
        <v>1145</v>
      </c>
      <c r="D2211" s="3297" t="s">
        <v>6723</v>
      </c>
      <c r="E2211" s="3298" t="s">
        <v>6724</v>
      </c>
      <c r="F2211" s="3298" t="s">
        <v>2367</v>
      </c>
      <c r="G2211" s="3278">
        <v>203280</v>
      </c>
      <c r="H2211" s="3299">
        <v>0</v>
      </c>
      <c r="I2211" s="3278">
        <v>0</v>
      </c>
    </row>
    <row r="2212" ht="12.75" customHeight="1" spans="2:9">
      <c r="B2212" s="3274">
        <v>1146</v>
      </c>
      <c r="D2212" s="3297" t="s">
        <v>6725</v>
      </c>
      <c r="E2212" s="3298" t="s">
        <v>6726</v>
      </c>
      <c r="F2212" s="3298" t="s">
        <v>2367</v>
      </c>
      <c r="G2212" s="3278">
        <v>199875.5</v>
      </c>
      <c r="H2212" s="3299">
        <v>0</v>
      </c>
      <c r="I2212" s="3278">
        <v>0</v>
      </c>
    </row>
    <row r="2213" ht="12.75" customHeight="1" spans="2:9">
      <c r="B2213" s="3274">
        <v>1147</v>
      </c>
      <c r="D2213" s="3297" t="s">
        <v>6727</v>
      </c>
      <c r="E2213" s="3298" t="s">
        <v>6728</v>
      </c>
      <c r="F2213" s="3298" t="s">
        <v>2367</v>
      </c>
      <c r="G2213" s="3278">
        <v>154690.8</v>
      </c>
      <c r="H2213" s="3299">
        <v>0</v>
      </c>
      <c r="I2213" s="3278">
        <v>0</v>
      </c>
    </row>
    <row r="2214" ht="12.75" customHeight="1" spans="2:9">
      <c r="B2214" s="3274">
        <v>1148</v>
      </c>
      <c r="D2214" s="3297" t="s">
        <v>6729</v>
      </c>
      <c r="E2214" s="3298" t="s">
        <v>6730</v>
      </c>
      <c r="F2214" s="3298" t="s">
        <v>2367</v>
      </c>
      <c r="G2214" s="3278">
        <v>320690.0125</v>
      </c>
      <c r="H2214" s="3299">
        <v>0</v>
      </c>
      <c r="I2214" s="3278">
        <v>0</v>
      </c>
    </row>
    <row r="2215" ht="12.75" customHeight="1" spans="2:9">
      <c r="B2215" s="3274">
        <v>1149</v>
      </c>
      <c r="D2215" s="3297" t="s">
        <v>6731</v>
      </c>
      <c r="E2215" s="3298" t="s">
        <v>6732</v>
      </c>
      <c r="F2215" s="3298" t="s">
        <v>3257</v>
      </c>
      <c r="G2215" s="3278">
        <v>18700</v>
      </c>
      <c r="H2215" s="3299">
        <v>0</v>
      </c>
      <c r="I2215" s="3278">
        <v>0</v>
      </c>
    </row>
    <row r="2216" ht="12.75" customHeight="1" spans="2:9">
      <c r="B2216" s="3274">
        <v>1150</v>
      </c>
      <c r="D2216" s="3297" t="s">
        <v>6733</v>
      </c>
      <c r="E2216" s="3298" t="s">
        <v>6734</v>
      </c>
      <c r="F2216" s="3298" t="s">
        <v>2367</v>
      </c>
      <c r="G2216" s="3278">
        <v>146800.5</v>
      </c>
      <c r="H2216" s="3299">
        <v>0</v>
      </c>
      <c r="I2216" s="3278">
        <v>0</v>
      </c>
    </row>
    <row r="2217" ht="12.75" customHeight="1" spans="2:9">
      <c r="B2217" s="3274">
        <v>1151</v>
      </c>
      <c r="D2217" s="3297" t="s">
        <v>6735</v>
      </c>
      <c r="E2217" s="3298" t="s">
        <v>6736</v>
      </c>
      <c r="F2217" s="3298" t="s">
        <v>2367</v>
      </c>
      <c r="G2217" s="3278">
        <v>13200</v>
      </c>
      <c r="H2217" s="3299">
        <v>0</v>
      </c>
      <c r="I2217" s="3278">
        <v>0</v>
      </c>
    </row>
    <row r="2218" ht="12.75" customHeight="1" spans="2:9">
      <c r="B2218" s="3274">
        <v>1152</v>
      </c>
      <c r="D2218" s="3297" t="s">
        <v>6737</v>
      </c>
      <c r="E2218" s="3298" t="s">
        <v>6738</v>
      </c>
      <c r="F2218" s="3298" t="s">
        <v>2321</v>
      </c>
      <c r="G2218" s="3278">
        <v>71885</v>
      </c>
      <c r="H2218" s="3299">
        <v>0</v>
      </c>
      <c r="I2218" s="3278">
        <v>0</v>
      </c>
    </row>
    <row r="2219" ht="12.75" customHeight="1" spans="2:9">
      <c r="B2219" s="3274">
        <v>1153</v>
      </c>
      <c r="D2219" s="3297" t="s">
        <v>6739</v>
      </c>
      <c r="E2219" s="3298" t="s">
        <v>6740</v>
      </c>
      <c r="F2219" s="3298" t="s">
        <v>3056</v>
      </c>
      <c r="G2219" s="3278">
        <v>242</v>
      </c>
      <c r="H2219" s="3299">
        <v>0</v>
      </c>
      <c r="I2219" s="3278">
        <v>0</v>
      </c>
    </row>
    <row r="2220" ht="12.75" customHeight="1" spans="2:9">
      <c r="B2220" s="3274">
        <v>1154</v>
      </c>
      <c r="D2220" s="3297" t="s">
        <v>6741</v>
      </c>
      <c r="E2220" s="3298" t="s">
        <v>6742</v>
      </c>
      <c r="F2220" s="3298" t="s">
        <v>3056</v>
      </c>
      <c r="G2220" s="3278">
        <v>407</v>
      </c>
      <c r="H2220" s="3299">
        <v>0</v>
      </c>
      <c r="I2220" s="3278">
        <v>0</v>
      </c>
    </row>
    <row r="2221" ht="12.75" customHeight="1" spans="2:9">
      <c r="B2221" s="3274">
        <v>1155</v>
      </c>
      <c r="D2221" s="3297" t="s">
        <v>6743</v>
      </c>
      <c r="E2221" s="3298" t="s">
        <v>6744</v>
      </c>
      <c r="F2221" s="3298" t="s">
        <v>2367</v>
      </c>
      <c r="G2221" s="3278">
        <v>104500</v>
      </c>
      <c r="H2221" s="3299">
        <v>5</v>
      </c>
      <c r="I2221" s="3278">
        <v>522500</v>
      </c>
    </row>
    <row r="2222" ht="12.75" customHeight="1" spans="2:9">
      <c r="B2222" s="3274">
        <v>1156</v>
      </c>
      <c r="D2222" s="3297" t="s">
        <v>6745</v>
      </c>
      <c r="E2222" s="3298" t="s">
        <v>6746</v>
      </c>
      <c r="F2222" s="3298" t="s">
        <v>3056</v>
      </c>
      <c r="G2222" s="3278">
        <v>605</v>
      </c>
      <c r="H2222" s="3299">
        <v>0</v>
      </c>
      <c r="I2222" s="3278">
        <v>0</v>
      </c>
    </row>
    <row r="2223" ht="12.75" customHeight="1" spans="2:9">
      <c r="B2223" s="3274">
        <v>1157</v>
      </c>
      <c r="D2223" s="3297" t="s">
        <v>6747</v>
      </c>
      <c r="E2223" s="3298" t="s">
        <v>6748</v>
      </c>
      <c r="F2223" s="3298" t="s">
        <v>3056</v>
      </c>
      <c r="G2223" s="3278">
        <v>17460</v>
      </c>
      <c r="H2223" s="3299">
        <v>0</v>
      </c>
      <c r="I2223" s="3278">
        <v>0</v>
      </c>
    </row>
    <row r="2224" ht="12.75" customHeight="1" spans="2:9">
      <c r="B2224" s="3274">
        <v>1158</v>
      </c>
      <c r="D2224" s="3297" t="s">
        <v>6749</v>
      </c>
      <c r="E2224" s="3298" t="s">
        <v>6750</v>
      </c>
      <c r="F2224" s="3298" t="s">
        <v>3056</v>
      </c>
      <c r="G2224" s="3278">
        <v>10230</v>
      </c>
      <c r="H2224" s="3299">
        <v>0</v>
      </c>
      <c r="I2224" s="3278">
        <v>0</v>
      </c>
    </row>
    <row r="2225" ht="12.75" customHeight="1" spans="2:9">
      <c r="B2225" s="3274">
        <v>1159</v>
      </c>
      <c r="D2225" s="3297" t="s">
        <v>6751</v>
      </c>
      <c r="E2225" s="3298" t="s">
        <v>6752</v>
      </c>
      <c r="F2225" s="3298" t="s">
        <v>3056</v>
      </c>
      <c r="G2225" s="3278">
        <v>7184.1</v>
      </c>
      <c r="H2225" s="3299">
        <v>0</v>
      </c>
      <c r="I2225" s="3278">
        <v>0</v>
      </c>
    </row>
    <row r="2226" ht="12.75" customHeight="1" spans="2:9">
      <c r="B2226" s="3274">
        <v>1160</v>
      </c>
      <c r="D2226" s="3297" t="s">
        <v>6753</v>
      </c>
      <c r="E2226" s="3298" t="s">
        <v>6754</v>
      </c>
      <c r="F2226" s="3298" t="s">
        <v>2321</v>
      </c>
      <c r="G2226" s="3278">
        <v>56320</v>
      </c>
      <c r="H2226" s="3299">
        <v>0</v>
      </c>
      <c r="I2226" s="3278">
        <v>0</v>
      </c>
    </row>
    <row r="2227" ht="12.75" customHeight="1" spans="2:9">
      <c r="B2227" s="3274">
        <v>1161</v>
      </c>
      <c r="D2227" s="3297" t="s">
        <v>6755</v>
      </c>
      <c r="E2227" s="3298" t="s">
        <v>6756</v>
      </c>
      <c r="F2227" s="3298" t="s">
        <v>2321</v>
      </c>
      <c r="G2227" s="3278">
        <v>149338.2</v>
      </c>
      <c r="H2227" s="3299">
        <v>0</v>
      </c>
      <c r="I2227" s="3278">
        <v>0</v>
      </c>
    </row>
    <row r="2228" ht="12.75" customHeight="1" spans="2:9">
      <c r="B2228" s="3274">
        <v>1162</v>
      </c>
      <c r="D2228" s="3297" t="s">
        <v>6757</v>
      </c>
      <c r="E2228" s="3298" t="s">
        <v>6758</v>
      </c>
      <c r="F2228" s="3298" t="s">
        <v>3042</v>
      </c>
      <c r="G2228" s="3278">
        <v>204600</v>
      </c>
      <c r="H2228" s="3299">
        <v>0</v>
      </c>
      <c r="I2228" s="3278">
        <v>0</v>
      </c>
    </row>
    <row r="2229" ht="12.75" customHeight="1" spans="2:9">
      <c r="B2229" s="3274">
        <v>1163</v>
      </c>
      <c r="D2229" s="3297" t="s">
        <v>6759</v>
      </c>
      <c r="E2229" s="3298" t="s">
        <v>6760</v>
      </c>
      <c r="F2229" s="3298" t="s">
        <v>2321</v>
      </c>
      <c r="G2229" s="3278">
        <v>63527.2</v>
      </c>
      <c r="H2229" s="3299">
        <v>0</v>
      </c>
      <c r="I2229" s="3278">
        <v>0</v>
      </c>
    </row>
    <row r="2230" ht="12.75" customHeight="1" spans="2:9">
      <c r="B2230" s="3274">
        <v>1164</v>
      </c>
      <c r="D2230" s="3297" t="s">
        <v>6761</v>
      </c>
      <c r="E2230" s="3298" t="s">
        <v>6762</v>
      </c>
      <c r="F2230" s="3298" t="s">
        <v>2293</v>
      </c>
      <c r="G2230" s="3278">
        <v>59999.5</v>
      </c>
      <c r="H2230" s="3299">
        <v>1</v>
      </c>
      <c r="I2230" s="3278">
        <v>59999.5</v>
      </c>
    </row>
    <row r="2231" ht="12.75" customHeight="1" spans="2:9">
      <c r="B2231" s="3274">
        <v>1165</v>
      </c>
      <c r="D2231" s="3297" t="s">
        <v>6763</v>
      </c>
      <c r="E2231" s="3298" t="s">
        <v>6764</v>
      </c>
      <c r="F2231" s="3298" t="s">
        <v>3042</v>
      </c>
      <c r="G2231" s="3278">
        <v>3999.9851</v>
      </c>
      <c r="H2231" s="3299">
        <v>240</v>
      </c>
      <c r="I2231" s="3278">
        <v>959996.424</v>
      </c>
    </row>
    <row r="2232" ht="12.75" customHeight="1" spans="2:9">
      <c r="B2232" s="3274">
        <v>1166</v>
      </c>
      <c r="D2232" s="3297" t="s">
        <v>6765</v>
      </c>
      <c r="E2232" s="3298" t="s">
        <v>6766</v>
      </c>
      <c r="F2232" s="3298" t="s">
        <v>2637</v>
      </c>
      <c r="G2232" s="3278">
        <v>10978</v>
      </c>
      <c r="H2232" s="3299">
        <v>0</v>
      </c>
      <c r="I2232" s="3278">
        <v>0</v>
      </c>
    </row>
    <row r="2233" ht="12.75" customHeight="1" spans="2:9">
      <c r="B2233" s="3274">
        <v>1167</v>
      </c>
      <c r="D2233" s="3297" t="s">
        <v>6767</v>
      </c>
      <c r="E2233" s="3298" t="s">
        <v>6768</v>
      </c>
      <c r="F2233" s="3298" t="s">
        <v>2293</v>
      </c>
      <c r="G2233" s="3278">
        <v>8250</v>
      </c>
      <c r="H2233" s="3299">
        <v>0</v>
      </c>
      <c r="I2233" s="3278">
        <v>0</v>
      </c>
    </row>
    <row r="2234" ht="12.75" customHeight="1" spans="2:9">
      <c r="B2234" s="3274">
        <v>1168</v>
      </c>
      <c r="D2234" s="3297" t="s">
        <v>6769</v>
      </c>
      <c r="E2234" s="3298" t="s">
        <v>6770</v>
      </c>
      <c r="F2234" s="3298" t="s">
        <v>2367</v>
      </c>
      <c r="G2234" s="3278">
        <v>20165</v>
      </c>
      <c r="H2234" s="3299">
        <v>0</v>
      </c>
      <c r="I2234" s="3278">
        <v>0</v>
      </c>
    </row>
    <row r="2235" ht="12.75" customHeight="1" spans="2:9">
      <c r="B2235" s="3274">
        <v>1169</v>
      </c>
      <c r="D2235" s="3297" t="s">
        <v>6771</v>
      </c>
      <c r="E2235" s="3298" t="s">
        <v>6772</v>
      </c>
      <c r="F2235" s="3298" t="s">
        <v>2293</v>
      </c>
      <c r="G2235" s="3278">
        <v>12650</v>
      </c>
      <c r="H2235" s="3299">
        <v>0</v>
      </c>
      <c r="I2235" s="3278">
        <v>0</v>
      </c>
    </row>
    <row r="2236" ht="12.75" customHeight="1" spans="2:9">
      <c r="B2236" s="3274">
        <v>1170</v>
      </c>
      <c r="D2236" s="3297" t="s">
        <v>6773</v>
      </c>
      <c r="E2236" s="3298" t="s">
        <v>6774</v>
      </c>
      <c r="F2236" s="3298" t="s">
        <v>2293</v>
      </c>
      <c r="G2236" s="3278">
        <v>4374.7</v>
      </c>
      <c r="H2236" s="3299">
        <v>0</v>
      </c>
      <c r="I2236" s="3278">
        <v>0</v>
      </c>
    </row>
    <row r="2237" ht="12.75" customHeight="1" spans="2:9">
      <c r="B2237" s="3274">
        <v>1171</v>
      </c>
      <c r="D2237" s="3297" t="s">
        <v>6775</v>
      </c>
      <c r="E2237" s="3298" t="s">
        <v>6776</v>
      </c>
      <c r="F2237" s="3298" t="s">
        <v>2367</v>
      </c>
      <c r="G2237" s="3278">
        <v>2200</v>
      </c>
      <c r="H2237" s="3299">
        <v>0</v>
      </c>
      <c r="I2237" s="3278">
        <v>0</v>
      </c>
    </row>
    <row r="2238" ht="12.75" customHeight="1" spans="2:9">
      <c r="B2238" s="3274">
        <v>1172</v>
      </c>
      <c r="D2238" s="3297" t="s">
        <v>6777</v>
      </c>
      <c r="E2238" s="3298" t="s">
        <v>6778</v>
      </c>
      <c r="F2238" s="3298" t="s">
        <v>2321</v>
      </c>
      <c r="G2238" s="3278">
        <v>13750</v>
      </c>
      <c r="H2238" s="3299">
        <v>0</v>
      </c>
      <c r="I2238" s="3278">
        <v>0</v>
      </c>
    </row>
    <row r="2239" ht="12.75" customHeight="1" spans="2:9">
      <c r="B2239" s="3274">
        <v>1173</v>
      </c>
      <c r="D2239" s="3297" t="s">
        <v>6779</v>
      </c>
      <c r="E2239" s="3298" t="s">
        <v>6780</v>
      </c>
      <c r="F2239" s="3298" t="s">
        <v>2321</v>
      </c>
      <c r="G2239" s="3278">
        <v>22000</v>
      </c>
      <c r="H2239" s="3299">
        <v>0</v>
      </c>
      <c r="I2239" s="3278">
        <v>0</v>
      </c>
    </row>
    <row r="2240" ht="12.75" customHeight="1" spans="2:9">
      <c r="B2240" s="3274">
        <v>1174</v>
      </c>
      <c r="D2240" s="3297" t="s">
        <v>6781</v>
      </c>
      <c r="E2240" s="3298" t="s">
        <v>6782</v>
      </c>
      <c r="F2240" s="3298" t="s">
        <v>2293</v>
      </c>
      <c r="G2240" s="3278">
        <v>9196</v>
      </c>
      <c r="H2240" s="3299">
        <v>0</v>
      </c>
      <c r="I2240" s="3278">
        <v>0</v>
      </c>
    </row>
    <row r="2241" ht="12.75" customHeight="1" spans="2:9">
      <c r="B2241" s="3274">
        <v>1175</v>
      </c>
      <c r="D2241" s="3297" t="s">
        <v>6783</v>
      </c>
      <c r="E2241" s="3298" t="s">
        <v>6784</v>
      </c>
      <c r="F2241" s="3298" t="s">
        <v>2367</v>
      </c>
      <c r="G2241" s="3278">
        <v>3003</v>
      </c>
      <c r="H2241" s="3299">
        <v>0</v>
      </c>
      <c r="I2241" s="3278">
        <v>0</v>
      </c>
    </row>
    <row r="2242" ht="12.75" customHeight="1" spans="2:9">
      <c r="B2242" s="3274">
        <v>1176</v>
      </c>
      <c r="D2242" s="3297" t="s">
        <v>6785</v>
      </c>
      <c r="E2242" s="3298" t="s">
        <v>6786</v>
      </c>
      <c r="F2242" s="3298" t="s">
        <v>2367</v>
      </c>
      <c r="G2242" s="3278">
        <v>660</v>
      </c>
      <c r="H2242" s="3299">
        <v>0</v>
      </c>
      <c r="I2242" s="3278">
        <v>0</v>
      </c>
    </row>
    <row r="2243" ht="12.75" customHeight="1" spans="2:9">
      <c r="B2243" s="3274">
        <v>1177</v>
      </c>
      <c r="D2243" s="3297" t="s">
        <v>6787</v>
      </c>
      <c r="E2243" s="3298" t="s">
        <v>6788</v>
      </c>
      <c r="F2243" s="3298" t="s">
        <v>2367</v>
      </c>
      <c r="G2243" s="3278">
        <v>1100</v>
      </c>
      <c r="H2243" s="3299">
        <v>0</v>
      </c>
      <c r="I2243" s="3278">
        <v>0</v>
      </c>
    </row>
    <row r="2244" ht="12.75" customHeight="1" spans="2:9">
      <c r="B2244" s="3274">
        <v>1178</v>
      </c>
      <c r="D2244" s="3297" t="s">
        <v>6789</v>
      </c>
      <c r="E2244" s="3298" t="s">
        <v>6790</v>
      </c>
      <c r="F2244" s="3298" t="s">
        <v>3056</v>
      </c>
      <c r="G2244" s="3278">
        <v>3023.999</v>
      </c>
      <c r="H2244" s="3299">
        <v>0</v>
      </c>
      <c r="I2244" s="3278">
        <v>0</v>
      </c>
    </row>
    <row r="2245" ht="12.75" customHeight="1" spans="2:9">
      <c r="B2245" s="3274">
        <v>1179</v>
      </c>
      <c r="D2245" s="3297" t="s">
        <v>6791</v>
      </c>
      <c r="E2245" s="3298" t="s">
        <v>6792</v>
      </c>
      <c r="F2245" s="3298" t="s">
        <v>2637</v>
      </c>
      <c r="G2245" s="3278">
        <v>95700</v>
      </c>
      <c r="H2245" s="3299">
        <v>0</v>
      </c>
      <c r="I2245" s="3278">
        <v>0</v>
      </c>
    </row>
    <row r="2246" ht="12.75" customHeight="1" spans="2:9">
      <c r="B2246" s="3274">
        <v>1180</v>
      </c>
      <c r="D2246" s="3297" t="s">
        <v>6793</v>
      </c>
      <c r="E2246" s="3298" t="s">
        <v>6794</v>
      </c>
      <c r="F2246" s="3298" t="s">
        <v>2367</v>
      </c>
      <c r="G2246" s="3278">
        <v>3520</v>
      </c>
      <c r="H2246" s="3299">
        <v>0</v>
      </c>
      <c r="I2246" s="3278">
        <v>0</v>
      </c>
    </row>
    <row r="2247" ht="12.75" customHeight="1" spans="2:9">
      <c r="B2247" s="3274">
        <v>1181</v>
      </c>
      <c r="D2247" s="3297" t="s">
        <v>6795</v>
      </c>
      <c r="E2247" s="3298" t="s">
        <v>6796</v>
      </c>
      <c r="F2247" s="3298" t="s">
        <v>2321</v>
      </c>
      <c r="G2247" s="3278">
        <v>36300</v>
      </c>
      <c r="H2247" s="3299">
        <v>0</v>
      </c>
      <c r="I2247" s="3278">
        <v>0</v>
      </c>
    </row>
    <row r="2248" ht="12.75" customHeight="1" spans="2:9">
      <c r="B2248" s="3274">
        <v>1182</v>
      </c>
      <c r="D2248" s="3297" t="s">
        <v>6797</v>
      </c>
      <c r="E2248" s="3298" t="s">
        <v>6798</v>
      </c>
      <c r="F2248" s="3298" t="s">
        <v>2321</v>
      </c>
      <c r="G2248" s="3278">
        <v>36300</v>
      </c>
      <c r="H2248" s="3299">
        <v>0</v>
      </c>
      <c r="I2248" s="3278">
        <v>0</v>
      </c>
    </row>
    <row r="2249" ht="12.75" customHeight="1" spans="2:9">
      <c r="B2249" s="3274">
        <v>1183</v>
      </c>
      <c r="D2249" s="3297" t="s">
        <v>6799</v>
      </c>
      <c r="E2249" s="3298" t="s">
        <v>6800</v>
      </c>
      <c r="F2249" s="3298" t="s">
        <v>2321</v>
      </c>
      <c r="G2249" s="3278">
        <v>37950</v>
      </c>
      <c r="H2249" s="3299">
        <v>0</v>
      </c>
      <c r="I2249" s="3278">
        <v>0</v>
      </c>
    </row>
    <row r="2250" ht="12.75" customHeight="1" spans="2:9">
      <c r="B2250" s="3274">
        <v>1184</v>
      </c>
      <c r="D2250" s="3297" t="s">
        <v>6801</v>
      </c>
      <c r="E2250" s="3298" t="s">
        <v>6802</v>
      </c>
      <c r="F2250" s="3298" t="s">
        <v>2321</v>
      </c>
      <c r="G2250" s="3278">
        <v>37950</v>
      </c>
      <c r="H2250" s="3299">
        <v>0</v>
      </c>
      <c r="I2250" s="3278">
        <v>0</v>
      </c>
    </row>
    <row r="2251" ht="12.75" customHeight="1" spans="2:9">
      <c r="B2251" s="3274">
        <v>1185</v>
      </c>
      <c r="D2251" s="3297" t="s">
        <v>6803</v>
      </c>
      <c r="E2251" s="3298" t="s">
        <v>6804</v>
      </c>
      <c r="F2251" s="3298" t="s">
        <v>2321</v>
      </c>
      <c r="G2251" s="3278">
        <v>24750</v>
      </c>
      <c r="H2251" s="3299">
        <v>0</v>
      </c>
      <c r="I2251" s="3278">
        <v>0</v>
      </c>
    </row>
    <row r="2252" ht="12.75" customHeight="1" spans="2:9">
      <c r="B2252" s="3274">
        <v>1186</v>
      </c>
      <c r="D2252" s="3297" t="s">
        <v>6805</v>
      </c>
      <c r="E2252" s="3298" t="s">
        <v>6806</v>
      </c>
      <c r="F2252" s="3298" t="s">
        <v>2367</v>
      </c>
      <c r="G2252" s="3278">
        <v>1974.5</v>
      </c>
      <c r="H2252" s="3299">
        <v>0</v>
      </c>
      <c r="I2252" s="3278">
        <v>0</v>
      </c>
    </row>
    <row r="2253" ht="12.75" customHeight="1" spans="2:9">
      <c r="B2253" s="3274">
        <v>1187</v>
      </c>
      <c r="D2253" s="3297" t="s">
        <v>6807</v>
      </c>
      <c r="E2253" s="3298" t="s">
        <v>6808</v>
      </c>
      <c r="F2253" s="3298" t="s">
        <v>3056</v>
      </c>
      <c r="G2253" s="3278">
        <v>2827</v>
      </c>
      <c r="H2253" s="3299">
        <v>0</v>
      </c>
      <c r="I2253" s="3278">
        <v>0</v>
      </c>
    </row>
    <row r="2254" ht="12.75" customHeight="1" spans="2:9">
      <c r="B2254" s="3274">
        <v>1188</v>
      </c>
      <c r="D2254" s="3297" t="s">
        <v>6809</v>
      </c>
      <c r="E2254" s="3298" t="s">
        <v>6810</v>
      </c>
      <c r="F2254" s="3298" t="s">
        <v>2367</v>
      </c>
      <c r="G2254" s="3278">
        <v>4041.4</v>
      </c>
      <c r="H2254" s="3299">
        <v>0</v>
      </c>
      <c r="I2254" s="3278">
        <v>0</v>
      </c>
    </row>
    <row r="2255" ht="12.75" customHeight="1" spans="2:9">
      <c r="B2255" s="3274">
        <v>1189</v>
      </c>
      <c r="D2255" s="3297" t="s">
        <v>6811</v>
      </c>
      <c r="E2255" s="3298" t="s">
        <v>6812</v>
      </c>
      <c r="F2255" s="3298" t="s">
        <v>4351</v>
      </c>
      <c r="G2255" s="3278">
        <v>12041.656</v>
      </c>
      <c r="H2255" s="3299">
        <v>0</v>
      </c>
      <c r="I2255" s="3278">
        <v>0</v>
      </c>
    </row>
    <row r="2256" ht="12.75" customHeight="1" spans="2:9">
      <c r="B2256" s="3274">
        <v>1190</v>
      </c>
      <c r="D2256" s="3297" t="s">
        <v>6813</v>
      </c>
      <c r="E2256" s="3298" t="s">
        <v>6814</v>
      </c>
      <c r="F2256" s="3298" t="s">
        <v>2367</v>
      </c>
      <c r="G2256" s="3278">
        <v>194025</v>
      </c>
      <c r="H2256" s="3299">
        <v>0</v>
      </c>
      <c r="I2256" s="3278">
        <v>0</v>
      </c>
    </row>
    <row r="2257" ht="12.75" customHeight="1" spans="2:9">
      <c r="B2257" s="3274">
        <v>1191</v>
      </c>
      <c r="D2257" s="3297" t="s">
        <v>6815</v>
      </c>
      <c r="E2257" s="3298" t="s">
        <v>6816</v>
      </c>
      <c r="F2257" s="3298" t="s">
        <v>2367</v>
      </c>
      <c r="G2257" s="3278">
        <v>155980</v>
      </c>
      <c r="H2257" s="3299">
        <v>0</v>
      </c>
      <c r="I2257" s="3278">
        <v>0</v>
      </c>
    </row>
    <row r="2258" ht="12.75" customHeight="1" spans="2:9">
      <c r="B2258" s="3274">
        <v>1192</v>
      </c>
      <c r="D2258" s="3297" t="s">
        <v>6817</v>
      </c>
      <c r="E2258" s="3298" t="s">
        <v>6818</v>
      </c>
      <c r="F2258" s="3298" t="s">
        <v>2321</v>
      </c>
      <c r="G2258" s="3278">
        <v>55360.8</v>
      </c>
      <c r="H2258" s="3299">
        <v>0</v>
      </c>
      <c r="I2258" s="3278">
        <v>0</v>
      </c>
    </row>
    <row r="2259" ht="12.75" customHeight="1" spans="2:9">
      <c r="B2259" s="3274">
        <v>1193</v>
      </c>
      <c r="D2259" s="3297" t="s">
        <v>6819</v>
      </c>
      <c r="E2259" s="3298" t="s">
        <v>6820</v>
      </c>
      <c r="F2259" s="3298" t="s">
        <v>2367</v>
      </c>
      <c r="G2259" s="3278">
        <v>18700</v>
      </c>
      <c r="H2259" s="3299">
        <v>0</v>
      </c>
      <c r="I2259" s="3278">
        <v>0</v>
      </c>
    </row>
    <row r="2260" ht="12.75" customHeight="1" spans="2:9">
      <c r="B2260" s="3274">
        <v>1194</v>
      </c>
      <c r="D2260" s="3297" t="s">
        <v>6821</v>
      </c>
      <c r="E2260" s="3298" t="s">
        <v>6822</v>
      </c>
      <c r="F2260" s="3298" t="s">
        <v>3056</v>
      </c>
      <c r="G2260" s="3278">
        <v>4620</v>
      </c>
      <c r="H2260" s="3299">
        <v>0</v>
      </c>
      <c r="I2260" s="3278">
        <v>0</v>
      </c>
    </row>
    <row r="2261" ht="12.75" customHeight="1" spans="2:9">
      <c r="B2261" s="3274">
        <v>1195</v>
      </c>
      <c r="D2261" s="3297" t="s">
        <v>6823</v>
      </c>
      <c r="E2261" s="3298" t="s">
        <v>6824</v>
      </c>
      <c r="F2261" s="3298" t="s">
        <v>3056</v>
      </c>
      <c r="G2261" s="3278">
        <v>2420</v>
      </c>
      <c r="H2261" s="3299">
        <v>0</v>
      </c>
      <c r="I2261" s="3278">
        <v>0</v>
      </c>
    </row>
    <row r="2262" ht="12.75" customHeight="1" spans="2:9">
      <c r="B2262" s="3274">
        <v>1196</v>
      </c>
      <c r="D2262" s="3297" t="s">
        <v>6825</v>
      </c>
      <c r="E2262" s="3298" t="s">
        <v>6826</v>
      </c>
      <c r="F2262" s="3298" t="s">
        <v>2367</v>
      </c>
      <c r="G2262" s="3278">
        <v>2156</v>
      </c>
      <c r="H2262" s="3299">
        <v>0</v>
      </c>
      <c r="I2262" s="3278">
        <v>0</v>
      </c>
    </row>
    <row r="2263" ht="12.75" customHeight="1" spans="2:9">
      <c r="B2263" s="3274">
        <v>1197</v>
      </c>
      <c r="D2263" s="3297" t="s">
        <v>6827</v>
      </c>
      <c r="E2263" s="3298" t="s">
        <v>6828</v>
      </c>
      <c r="F2263" s="3298" t="s">
        <v>2367</v>
      </c>
      <c r="G2263" s="3278">
        <v>1125.003</v>
      </c>
      <c r="H2263" s="3299">
        <v>0</v>
      </c>
      <c r="I2263" s="3278">
        <v>0</v>
      </c>
    </row>
    <row r="2264" ht="12.75" customHeight="1" spans="2:9">
      <c r="B2264" s="3274">
        <v>1198</v>
      </c>
      <c r="D2264" s="3297" t="s">
        <v>6829</v>
      </c>
      <c r="E2264" s="3298" t="s">
        <v>6830</v>
      </c>
      <c r="F2264" s="3298" t="s">
        <v>3056</v>
      </c>
      <c r="G2264" s="3278">
        <v>45100</v>
      </c>
      <c r="H2264" s="3299">
        <v>0</v>
      </c>
      <c r="I2264" s="3278">
        <v>0</v>
      </c>
    </row>
    <row r="2265" ht="12.75" customHeight="1" spans="2:9">
      <c r="B2265" s="3274">
        <v>1199</v>
      </c>
      <c r="D2265" s="3297" t="s">
        <v>6831</v>
      </c>
      <c r="E2265" s="3298" t="s">
        <v>6832</v>
      </c>
      <c r="F2265" s="3298" t="s">
        <v>2321</v>
      </c>
      <c r="G2265" s="3278">
        <v>128947.5</v>
      </c>
      <c r="H2265" s="3299">
        <v>0</v>
      </c>
      <c r="I2265" s="3278">
        <v>0</v>
      </c>
    </row>
    <row r="2266" ht="12.75" customHeight="1" spans="2:9">
      <c r="B2266" s="3274">
        <v>1200</v>
      </c>
      <c r="D2266" s="3297" t="s">
        <v>6833</v>
      </c>
      <c r="E2266" s="3298" t="s">
        <v>6834</v>
      </c>
      <c r="F2266" s="3298" t="s">
        <v>3056</v>
      </c>
      <c r="G2266" s="3278">
        <v>523.996</v>
      </c>
      <c r="H2266" s="3299">
        <v>100</v>
      </c>
      <c r="I2266" s="3278">
        <v>52399.6</v>
      </c>
    </row>
    <row r="2267" ht="12.75" customHeight="1" spans="2:9">
      <c r="B2267" s="3274">
        <v>1201</v>
      </c>
      <c r="D2267" s="3297" t="s">
        <v>6835</v>
      </c>
      <c r="E2267" s="3298" t="s">
        <v>6836</v>
      </c>
      <c r="F2267" s="3298" t="s">
        <v>4354</v>
      </c>
      <c r="G2267" s="3278">
        <v>999.9</v>
      </c>
      <c r="H2267" s="3299">
        <v>0</v>
      </c>
      <c r="I2267" s="3278">
        <v>0</v>
      </c>
    </row>
    <row r="2268" ht="12.75" customHeight="1" spans="2:9">
      <c r="B2268" s="3274">
        <v>1202</v>
      </c>
      <c r="D2268" s="3297" t="s">
        <v>6837</v>
      </c>
      <c r="E2268" s="3298" t="s">
        <v>6838</v>
      </c>
      <c r="F2268" s="3298" t="s">
        <v>3056</v>
      </c>
      <c r="G2268" s="3278">
        <v>3190</v>
      </c>
      <c r="H2268" s="3299">
        <v>0</v>
      </c>
      <c r="I2268" s="3278">
        <v>0</v>
      </c>
    </row>
    <row r="2269" ht="12.75" customHeight="1" spans="2:9">
      <c r="B2269" s="3274">
        <v>1203</v>
      </c>
      <c r="D2269" s="3297" t="s">
        <v>6839</v>
      </c>
      <c r="E2269" s="3298" t="s">
        <v>6840</v>
      </c>
      <c r="F2269" s="3298" t="s">
        <v>2321</v>
      </c>
      <c r="G2269" s="3278">
        <v>40595.5</v>
      </c>
      <c r="H2269" s="3299">
        <v>0</v>
      </c>
      <c r="I2269" s="3278">
        <v>0</v>
      </c>
    </row>
    <row r="2270" ht="12.75" customHeight="1" spans="2:9">
      <c r="B2270" s="3274">
        <v>1204</v>
      </c>
      <c r="D2270" s="3297" t="s">
        <v>6841</v>
      </c>
      <c r="E2270" s="3298" t="s">
        <v>6842</v>
      </c>
      <c r="F2270" s="3298" t="s">
        <v>2299</v>
      </c>
      <c r="G2270" s="3278">
        <v>3150.4</v>
      </c>
      <c r="H2270" s="3299">
        <v>0</v>
      </c>
      <c r="I2270" s="3278">
        <v>0</v>
      </c>
    </row>
    <row r="2271" ht="12.75" customHeight="1" spans="2:9">
      <c r="B2271" s="3274">
        <v>1205</v>
      </c>
      <c r="D2271" s="3297" t="s">
        <v>6843</v>
      </c>
      <c r="E2271" s="3298" t="s">
        <v>6844</v>
      </c>
      <c r="F2271" s="3298" t="s">
        <v>3056</v>
      </c>
      <c r="G2271" s="3278">
        <v>3069</v>
      </c>
      <c r="H2271" s="3299">
        <v>0</v>
      </c>
      <c r="I2271" s="3278">
        <v>0</v>
      </c>
    </row>
    <row r="2272" ht="12.75" customHeight="1" spans="2:9">
      <c r="B2272" s="3274">
        <v>1206</v>
      </c>
      <c r="D2272" s="3297" t="s">
        <v>6845</v>
      </c>
      <c r="E2272" s="3298" t="s">
        <v>6846</v>
      </c>
      <c r="F2272" s="3298" t="s">
        <v>3056</v>
      </c>
      <c r="G2272" s="3278">
        <v>90.75</v>
      </c>
      <c r="H2272" s="3299">
        <v>0</v>
      </c>
      <c r="I2272" s="3278">
        <v>0</v>
      </c>
    </row>
    <row r="2273" ht="12.75" customHeight="1" spans="2:9">
      <c r="B2273" s="3274">
        <v>1207</v>
      </c>
      <c r="D2273" s="3297" t="s">
        <v>6847</v>
      </c>
      <c r="E2273" s="3298" t="s">
        <v>6848</v>
      </c>
      <c r="F2273" s="3298" t="s">
        <v>2637</v>
      </c>
      <c r="G2273" s="3278">
        <v>138498</v>
      </c>
      <c r="H2273" s="3299">
        <v>0</v>
      </c>
      <c r="I2273" s="3278">
        <v>0</v>
      </c>
    </row>
    <row r="2274" ht="12.75" customHeight="1" spans="2:9">
      <c r="B2274" s="3274">
        <v>1208</v>
      </c>
      <c r="D2274" s="3297" t="s">
        <v>6849</v>
      </c>
      <c r="E2274" s="3298" t="s">
        <v>6850</v>
      </c>
      <c r="F2274" s="3298" t="s">
        <v>2293</v>
      </c>
      <c r="G2274" s="3278">
        <v>12731.4</v>
      </c>
      <c r="H2274" s="3299">
        <v>0</v>
      </c>
      <c r="I2274" s="3278">
        <v>0</v>
      </c>
    </row>
    <row r="2275" ht="12.75" customHeight="1" spans="2:9">
      <c r="B2275" s="3274">
        <v>1209</v>
      </c>
      <c r="D2275" s="3297" t="s">
        <v>6851</v>
      </c>
      <c r="E2275" s="3298" t="s">
        <v>6852</v>
      </c>
      <c r="F2275" s="3298" t="s">
        <v>2367</v>
      </c>
      <c r="G2275" s="3278">
        <v>2240</v>
      </c>
      <c r="H2275" s="3299">
        <v>0</v>
      </c>
      <c r="I2275" s="3278">
        <v>0</v>
      </c>
    </row>
    <row r="2276" ht="12.75" customHeight="1" spans="2:9">
      <c r="B2276" s="3274">
        <v>1210</v>
      </c>
      <c r="D2276" s="3297" t="s">
        <v>6853</v>
      </c>
      <c r="E2276" s="3298" t="s">
        <v>6854</v>
      </c>
      <c r="F2276" s="3298" t="s">
        <v>4757</v>
      </c>
      <c r="G2276" s="3278">
        <v>3740</v>
      </c>
      <c r="H2276" s="3299">
        <v>0</v>
      </c>
      <c r="I2276" s="3278">
        <v>0</v>
      </c>
    </row>
    <row r="2277" ht="12.75" customHeight="1" spans="2:9">
      <c r="B2277" s="3274">
        <v>1211</v>
      </c>
      <c r="D2277" s="3297" t="s">
        <v>6855</v>
      </c>
      <c r="E2277" s="3298" t="s">
        <v>6856</v>
      </c>
      <c r="F2277" s="3298" t="s">
        <v>2321</v>
      </c>
      <c r="G2277" s="3278">
        <v>14520</v>
      </c>
      <c r="H2277" s="3299">
        <v>0</v>
      </c>
      <c r="I2277" s="3278">
        <v>0</v>
      </c>
    </row>
    <row r="2278" ht="12.75" customHeight="1" spans="2:9">
      <c r="B2278" s="3274">
        <v>1212</v>
      </c>
      <c r="D2278" s="3297" t="s">
        <v>6857</v>
      </c>
      <c r="E2278" s="3298" t="s">
        <v>6858</v>
      </c>
      <c r="F2278" s="3298" t="s">
        <v>3056</v>
      </c>
      <c r="G2278" s="3278">
        <v>3740</v>
      </c>
      <c r="H2278" s="3299">
        <v>600</v>
      </c>
      <c r="I2278" s="3278">
        <v>2244000</v>
      </c>
    </row>
    <row r="2279" ht="12.75" customHeight="1" spans="2:9">
      <c r="B2279" s="3274">
        <v>1213</v>
      </c>
      <c r="D2279" s="3297" t="s">
        <v>6859</v>
      </c>
      <c r="E2279" s="3298" t="s">
        <v>6860</v>
      </c>
      <c r="F2279" s="3298" t="s">
        <v>3042</v>
      </c>
      <c r="G2279" s="3278">
        <v>22880</v>
      </c>
      <c r="H2279" s="3299">
        <v>0</v>
      </c>
      <c r="I2279" s="3278">
        <v>0</v>
      </c>
    </row>
    <row r="2280" ht="12.75" customHeight="1" spans="2:9">
      <c r="B2280" s="3274">
        <v>1214</v>
      </c>
      <c r="D2280" s="3297" t="s">
        <v>6861</v>
      </c>
      <c r="E2280" s="3298" t="s">
        <v>6862</v>
      </c>
      <c r="F2280" s="3298" t="s">
        <v>2367</v>
      </c>
      <c r="G2280" s="3278">
        <v>3960</v>
      </c>
      <c r="H2280" s="3299">
        <v>0</v>
      </c>
      <c r="I2280" s="3278">
        <v>0</v>
      </c>
    </row>
    <row r="2281" ht="12.75" customHeight="1" spans="2:9">
      <c r="B2281" s="3274">
        <v>1215</v>
      </c>
      <c r="D2281" s="3297" t="s">
        <v>6863</v>
      </c>
      <c r="E2281" s="3298" t="s">
        <v>6864</v>
      </c>
      <c r="F2281" s="3298" t="s">
        <v>3423</v>
      </c>
      <c r="G2281" s="3278">
        <v>116523</v>
      </c>
      <c r="H2281" s="3299">
        <v>0</v>
      </c>
      <c r="I2281" s="3278">
        <v>0</v>
      </c>
    </row>
    <row r="2282" ht="12.75" customHeight="1" spans="2:9">
      <c r="B2282" s="3274">
        <v>1216</v>
      </c>
      <c r="D2282" s="3297" t="s">
        <v>6865</v>
      </c>
      <c r="E2282" s="3298" t="s">
        <v>6866</v>
      </c>
      <c r="F2282" s="3298" t="s">
        <v>2299</v>
      </c>
      <c r="G2282" s="3278">
        <v>20625</v>
      </c>
      <c r="H2282" s="3299">
        <v>20</v>
      </c>
      <c r="I2282" s="3278">
        <v>412500</v>
      </c>
    </row>
    <row r="2283" ht="12.75" customHeight="1" spans="2:9">
      <c r="B2283" s="3274">
        <v>1217</v>
      </c>
      <c r="D2283" s="3297" t="s">
        <v>6867</v>
      </c>
      <c r="E2283" s="3298" t="s">
        <v>6868</v>
      </c>
      <c r="F2283" s="3298" t="s">
        <v>3056</v>
      </c>
      <c r="G2283" s="3278">
        <v>9075</v>
      </c>
      <c r="H2283" s="3299">
        <v>0</v>
      </c>
      <c r="I2283" s="3278">
        <v>0</v>
      </c>
    </row>
    <row r="2284" ht="12.75" customHeight="1" spans="2:9">
      <c r="B2284" s="3274">
        <v>1218</v>
      </c>
      <c r="D2284" s="3297" t="s">
        <v>6869</v>
      </c>
      <c r="E2284" s="3298" t="s">
        <v>6870</v>
      </c>
      <c r="F2284" s="3298" t="s">
        <v>2321</v>
      </c>
      <c r="G2284" s="3278">
        <v>31680</v>
      </c>
      <c r="H2284" s="3299">
        <v>0</v>
      </c>
      <c r="I2284" s="3278">
        <v>0</v>
      </c>
    </row>
    <row r="2285" ht="12.75" customHeight="1" spans="2:9">
      <c r="B2285" s="3274">
        <v>1219</v>
      </c>
      <c r="D2285" s="3297" t="s">
        <v>6871</v>
      </c>
      <c r="E2285" s="3298" t="s">
        <v>6872</v>
      </c>
      <c r="F2285" s="3298" t="s">
        <v>3056</v>
      </c>
      <c r="G2285" s="3278">
        <v>4840</v>
      </c>
      <c r="H2285" s="3299">
        <v>0</v>
      </c>
      <c r="I2285" s="3278">
        <v>0</v>
      </c>
    </row>
    <row r="2286" ht="12.75" customHeight="1" spans="2:9">
      <c r="B2286" s="3274">
        <v>1220</v>
      </c>
      <c r="D2286" s="3297" t="s">
        <v>6873</v>
      </c>
      <c r="E2286" s="3298" t="s">
        <v>6874</v>
      </c>
      <c r="F2286" s="3298" t="s">
        <v>3056</v>
      </c>
      <c r="G2286" s="3278">
        <v>22459</v>
      </c>
      <c r="H2286" s="3299">
        <v>0</v>
      </c>
      <c r="I2286" s="3278">
        <v>0</v>
      </c>
    </row>
    <row r="2287" ht="12.75" customHeight="1" spans="2:9">
      <c r="B2287" s="3274">
        <v>1221</v>
      </c>
      <c r="D2287" s="3297" t="s">
        <v>6875</v>
      </c>
      <c r="E2287" s="3298" t="s">
        <v>6876</v>
      </c>
      <c r="F2287" s="3298" t="s">
        <v>3056</v>
      </c>
      <c r="G2287" s="3278">
        <v>4785</v>
      </c>
      <c r="H2287" s="3299">
        <v>0</v>
      </c>
      <c r="I2287" s="3278">
        <v>0</v>
      </c>
    </row>
    <row r="2288" ht="12.75" customHeight="1" spans="2:9">
      <c r="B2288" s="3274">
        <v>1222</v>
      </c>
      <c r="D2288" s="3297" t="s">
        <v>6877</v>
      </c>
      <c r="E2288" s="3298" t="s">
        <v>6878</v>
      </c>
      <c r="F2288" s="3298" t="s">
        <v>3056</v>
      </c>
      <c r="G2288" s="3278">
        <v>1129.337</v>
      </c>
      <c r="H2288" s="3299">
        <v>0</v>
      </c>
      <c r="I2288" s="3278">
        <v>0</v>
      </c>
    </row>
    <row r="2289" ht="12.75" customHeight="1" spans="2:9">
      <c r="B2289" s="3274">
        <v>1223</v>
      </c>
      <c r="D2289" s="3297" t="s">
        <v>6879</v>
      </c>
      <c r="E2289" s="3298" t="s">
        <v>6880</v>
      </c>
      <c r="F2289" s="3298" t="s">
        <v>2321</v>
      </c>
      <c r="G2289" s="3278">
        <v>55022</v>
      </c>
      <c r="H2289" s="3299">
        <v>0</v>
      </c>
      <c r="I2289" s="3278">
        <v>0</v>
      </c>
    </row>
    <row r="2290" ht="12.75" customHeight="1" spans="2:9">
      <c r="B2290" s="3274">
        <v>1224</v>
      </c>
      <c r="D2290" s="3297" t="s">
        <v>6881</v>
      </c>
      <c r="E2290" s="3298" t="s">
        <v>6882</v>
      </c>
      <c r="F2290" s="3298" t="s">
        <v>3056</v>
      </c>
      <c r="G2290" s="3278">
        <v>1980</v>
      </c>
      <c r="H2290" s="3299">
        <v>0</v>
      </c>
      <c r="I2290" s="3278">
        <v>0</v>
      </c>
    </row>
    <row r="2291" ht="12.75" customHeight="1" spans="2:9">
      <c r="B2291" s="3274">
        <v>1225</v>
      </c>
      <c r="D2291" s="3297" t="s">
        <v>6883</v>
      </c>
      <c r="E2291" s="3298" t="s">
        <v>6884</v>
      </c>
      <c r="F2291" s="3298" t="s">
        <v>2293</v>
      </c>
      <c r="G2291" s="3278">
        <v>15675</v>
      </c>
      <c r="H2291" s="3299">
        <v>100</v>
      </c>
      <c r="I2291" s="3278">
        <v>1567500</v>
      </c>
    </row>
    <row r="2292" ht="12.75" customHeight="1" spans="2:9">
      <c r="B2292" s="3274">
        <v>1226</v>
      </c>
      <c r="D2292" s="3297" t="s">
        <v>6885</v>
      </c>
      <c r="E2292" s="3298" t="s">
        <v>6886</v>
      </c>
      <c r="F2292" s="3298" t="s">
        <v>3423</v>
      </c>
      <c r="G2292" s="3278">
        <v>220000</v>
      </c>
      <c r="H2292" s="3299">
        <v>0</v>
      </c>
      <c r="I2292" s="3278">
        <v>0</v>
      </c>
    </row>
    <row r="2293" ht="12.75" customHeight="1" spans="2:9">
      <c r="B2293" s="3274">
        <v>1227</v>
      </c>
      <c r="D2293" s="3297" t="s">
        <v>6887</v>
      </c>
      <c r="E2293" s="3298" t="s">
        <v>6888</v>
      </c>
      <c r="F2293" s="3298" t="s">
        <v>3056</v>
      </c>
      <c r="G2293" s="3278">
        <v>11550</v>
      </c>
      <c r="H2293" s="3299">
        <v>150</v>
      </c>
      <c r="I2293" s="3278">
        <v>1732500</v>
      </c>
    </row>
    <row r="2294" ht="12.75" customHeight="1" spans="2:9">
      <c r="B2294" s="3274">
        <v>1228</v>
      </c>
      <c r="D2294" s="3297" t="s">
        <v>6889</v>
      </c>
      <c r="E2294" s="3298" t="s">
        <v>6890</v>
      </c>
      <c r="F2294" s="3298" t="s">
        <v>3056</v>
      </c>
      <c r="G2294" s="3278">
        <v>6242.775</v>
      </c>
      <c r="H2294" s="3299">
        <v>0</v>
      </c>
      <c r="I2294" s="3278">
        <v>0</v>
      </c>
    </row>
    <row r="2295" ht="12.75" customHeight="1" spans="2:9">
      <c r="B2295" s="3274">
        <v>1229</v>
      </c>
      <c r="D2295" s="3297" t="s">
        <v>6891</v>
      </c>
      <c r="E2295" s="3298" t="s">
        <v>6892</v>
      </c>
      <c r="F2295" s="3298" t="s">
        <v>3423</v>
      </c>
      <c r="G2295" s="3278">
        <v>318626</v>
      </c>
      <c r="H2295" s="3299">
        <v>0</v>
      </c>
      <c r="I2295" s="3278">
        <v>0</v>
      </c>
    </row>
    <row r="2296" ht="12.75" customHeight="1" spans="2:9">
      <c r="B2296" s="3274">
        <v>1230</v>
      </c>
      <c r="D2296" s="3297" t="s">
        <v>6893</v>
      </c>
      <c r="E2296" s="3298" t="s">
        <v>6894</v>
      </c>
      <c r="F2296" s="3298" t="s">
        <v>3056</v>
      </c>
      <c r="G2296" s="3278">
        <v>15832.3</v>
      </c>
      <c r="H2296" s="3299">
        <v>0</v>
      </c>
      <c r="I2296" s="3278">
        <v>0</v>
      </c>
    </row>
    <row r="2297" ht="12.75" customHeight="1" spans="2:9">
      <c r="B2297" s="3274">
        <v>1231</v>
      </c>
      <c r="D2297" s="3297" t="s">
        <v>6895</v>
      </c>
      <c r="E2297" s="3298" t="s">
        <v>6896</v>
      </c>
      <c r="F2297" s="3298" t="s">
        <v>2293</v>
      </c>
      <c r="G2297" s="3278">
        <v>49060</v>
      </c>
      <c r="H2297" s="3299">
        <v>0</v>
      </c>
      <c r="I2297" s="3278">
        <v>0</v>
      </c>
    </row>
    <row r="2298" ht="12.75" customHeight="1" spans="2:9">
      <c r="B2298" s="3274">
        <v>1232</v>
      </c>
      <c r="D2298" s="3297" t="s">
        <v>6897</v>
      </c>
      <c r="E2298" s="3298" t="s">
        <v>6898</v>
      </c>
      <c r="F2298" s="3298" t="s">
        <v>3423</v>
      </c>
      <c r="G2298" s="3278">
        <v>94380</v>
      </c>
      <c r="H2298" s="3299">
        <v>0</v>
      </c>
      <c r="I2298" s="3278">
        <v>0</v>
      </c>
    </row>
    <row r="2299" ht="12.75" customHeight="1" spans="2:9">
      <c r="B2299" s="3274">
        <v>1233</v>
      </c>
      <c r="D2299" s="3297" t="s">
        <v>6899</v>
      </c>
      <c r="E2299" s="3298" t="s">
        <v>6900</v>
      </c>
      <c r="F2299" s="3298" t="s">
        <v>3423</v>
      </c>
      <c r="G2299" s="3278">
        <v>225500</v>
      </c>
      <c r="H2299" s="3299">
        <v>14</v>
      </c>
      <c r="I2299" s="3278">
        <v>3157000</v>
      </c>
    </row>
    <row r="2300" ht="12.75" customHeight="1" spans="2:9">
      <c r="B2300" s="3274">
        <v>1234</v>
      </c>
      <c r="D2300" s="3297" t="s">
        <v>6901</v>
      </c>
      <c r="E2300" s="3298" t="s">
        <v>6902</v>
      </c>
      <c r="F2300" s="3298" t="s">
        <v>3056</v>
      </c>
      <c r="G2300" s="3278">
        <v>17899.002</v>
      </c>
      <c r="H2300" s="3299">
        <v>0</v>
      </c>
      <c r="I2300" s="3278">
        <v>0</v>
      </c>
    </row>
    <row r="2301" ht="12.75" customHeight="1" spans="2:9">
      <c r="B2301" s="3274">
        <v>1235</v>
      </c>
      <c r="D2301" s="3297" t="s">
        <v>6903</v>
      </c>
      <c r="E2301" s="3298" t="s">
        <v>6904</v>
      </c>
      <c r="F2301" s="3298" t="s">
        <v>2299</v>
      </c>
      <c r="G2301" s="3278">
        <v>18150</v>
      </c>
      <c r="H2301" s="3299">
        <v>0</v>
      </c>
      <c r="I2301" s="3278">
        <v>0</v>
      </c>
    </row>
    <row r="2302" ht="12.75" customHeight="1" spans="2:9">
      <c r="B2302" s="3274">
        <v>1236</v>
      </c>
      <c r="D2302" s="3297" t="s">
        <v>6905</v>
      </c>
      <c r="E2302" s="3298" t="s">
        <v>6906</v>
      </c>
      <c r="F2302" s="3298" t="s">
        <v>3056</v>
      </c>
      <c r="G2302" s="3278">
        <v>1221</v>
      </c>
      <c r="H2302" s="3299">
        <v>0</v>
      </c>
      <c r="I2302" s="3278">
        <v>0</v>
      </c>
    </row>
    <row r="2303" ht="12.75" customHeight="1" spans="2:9">
      <c r="B2303" s="3274">
        <v>1237</v>
      </c>
      <c r="D2303" s="3297" t="s">
        <v>6907</v>
      </c>
      <c r="E2303" s="3298" t="s">
        <v>6908</v>
      </c>
      <c r="F2303" s="3298" t="s">
        <v>2321</v>
      </c>
      <c r="G2303" s="3278">
        <v>23650</v>
      </c>
      <c r="H2303" s="3299">
        <v>0</v>
      </c>
      <c r="I2303" s="3278">
        <v>0</v>
      </c>
    </row>
    <row r="2304" ht="12.75" customHeight="1" spans="2:9">
      <c r="B2304" s="3274">
        <v>1238</v>
      </c>
      <c r="D2304" s="3297" t="s">
        <v>6909</v>
      </c>
      <c r="E2304" s="3298" t="s">
        <v>6910</v>
      </c>
      <c r="F2304" s="3298" t="s">
        <v>2321</v>
      </c>
      <c r="G2304" s="3278">
        <v>198800</v>
      </c>
      <c r="H2304" s="3299">
        <v>0</v>
      </c>
      <c r="I2304" s="3278">
        <v>0</v>
      </c>
    </row>
    <row r="2305" ht="12.75" customHeight="1" spans="2:9">
      <c r="B2305" s="3274">
        <v>1239</v>
      </c>
      <c r="D2305" s="3297" t="s">
        <v>6911</v>
      </c>
      <c r="E2305" s="3298" t="s">
        <v>6912</v>
      </c>
      <c r="F2305" s="3298" t="s">
        <v>2321</v>
      </c>
      <c r="G2305" s="3278">
        <v>12100</v>
      </c>
      <c r="H2305" s="3299">
        <v>0</v>
      </c>
      <c r="I2305" s="3278">
        <v>0</v>
      </c>
    </row>
    <row r="2306" ht="12.75" customHeight="1" spans="2:9">
      <c r="B2306" s="3274">
        <v>1240</v>
      </c>
      <c r="D2306" s="3297" t="s">
        <v>6913</v>
      </c>
      <c r="E2306" s="3298" t="s">
        <v>6914</v>
      </c>
      <c r="F2306" s="3298" t="s">
        <v>3423</v>
      </c>
      <c r="G2306" s="3278">
        <v>269500</v>
      </c>
      <c r="H2306" s="3299">
        <v>0</v>
      </c>
      <c r="I2306" s="3278">
        <v>0</v>
      </c>
    </row>
    <row r="2307" ht="12.75" customHeight="1" spans="2:9">
      <c r="B2307" s="3274">
        <v>1241</v>
      </c>
      <c r="D2307" s="3297" t="s">
        <v>6915</v>
      </c>
      <c r="E2307" s="3298" t="s">
        <v>6916</v>
      </c>
      <c r="F2307" s="3298" t="s">
        <v>2321</v>
      </c>
      <c r="G2307" s="3278">
        <v>32329</v>
      </c>
      <c r="H2307" s="3299">
        <v>0</v>
      </c>
      <c r="I2307" s="3278">
        <v>0</v>
      </c>
    </row>
    <row r="2308" ht="12.75" customHeight="1" spans="2:9">
      <c r="B2308" s="3274">
        <v>1242</v>
      </c>
      <c r="D2308" s="3297" t="s">
        <v>6917</v>
      </c>
      <c r="E2308" s="3298" t="s">
        <v>6918</v>
      </c>
      <c r="F2308" s="3298" t="s">
        <v>3056</v>
      </c>
      <c r="G2308" s="3278">
        <v>6600</v>
      </c>
      <c r="H2308" s="3299">
        <v>0</v>
      </c>
      <c r="I2308" s="3278">
        <v>0</v>
      </c>
    </row>
    <row r="2309" ht="12.75" customHeight="1" spans="2:9">
      <c r="B2309" s="3274">
        <v>1243</v>
      </c>
      <c r="D2309" s="3297" t="s">
        <v>6919</v>
      </c>
      <c r="E2309" s="3298" t="s">
        <v>6920</v>
      </c>
      <c r="F2309" s="3298" t="s">
        <v>4757</v>
      </c>
      <c r="G2309" s="3278">
        <v>833.34</v>
      </c>
      <c r="H2309" s="3299">
        <v>0</v>
      </c>
      <c r="I2309" s="3278">
        <v>0</v>
      </c>
    </row>
    <row r="2310" ht="12.75" customHeight="1" spans="2:9">
      <c r="B2310" s="3274">
        <v>1244</v>
      </c>
      <c r="D2310" s="3297" t="s">
        <v>6921</v>
      </c>
      <c r="E2310" s="3298" t="s">
        <v>6922</v>
      </c>
      <c r="F2310" s="3298" t="s">
        <v>3056</v>
      </c>
      <c r="G2310" s="3278">
        <v>700</v>
      </c>
      <c r="H2310" s="3299">
        <v>0</v>
      </c>
      <c r="I2310" s="3278">
        <v>0</v>
      </c>
    </row>
    <row r="2311" ht="12.75" customHeight="1" spans="2:9">
      <c r="B2311" s="3274">
        <v>1245</v>
      </c>
      <c r="D2311" s="3297" t="s">
        <v>6923</v>
      </c>
      <c r="E2311" s="3298" t="s">
        <v>6924</v>
      </c>
      <c r="F2311" s="3298" t="s">
        <v>2321</v>
      </c>
      <c r="G2311" s="3278">
        <v>96333.996</v>
      </c>
      <c r="H2311" s="3299">
        <v>0</v>
      </c>
      <c r="I2311" s="3278">
        <v>0</v>
      </c>
    </row>
    <row r="2312" ht="12.75" customHeight="1" spans="2:9">
      <c r="B2312" s="3274">
        <v>1246</v>
      </c>
      <c r="D2312" s="3297" t="s">
        <v>6925</v>
      </c>
      <c r="E2312" s="3298" t="s">
        <v>6926</v>
      </c>
      <c r="F2312" s="3298" t="s">
        <v>2299</v>
      </c>
      <c r="G2312" s="3278">
        <v>19800</v>
      </c>
      <c r="H2312" s="3299">
        <v>0</v>
      </c>
      <c r="I2312" s="3278">
        <v>0</v>
      </c>
    </row>
    <row r="2313" ht="12.75" customHeight="1" spans="2:9">
      <c r="B2313" s="3274">
        <v>1247</v>
      </c>
      <c r="D2313" s="3297" t="s">
        <v>6927</v>
      </c>
      <c r="E2313" s="3298" t="s">
        <v>6928</v>
      </c>
      <c r="F2313" s="3298" t="s">
        <v>3056</v>
      </c>
      <c r="G2313" s="3278">
        <v>2200</v>
      </c>
      <c r="H2313" s="3299">
        <v>0</v>
      </c>
      <c r="I2313" s="3278">
        <v>0</v>
      </c>
    </row>
    <row r="2314" ht="12.75" customHeight="1" spans="2:9">
      <c r="B2314" s="3274">
        <v>1248</v>
      </c>
      <c r="D2314" s="3297" t="s">
        <v>6929</v>
      </c>
      <c r="E2314" s="3298" t="s">
        <v>6930</v>
      </c>
      <c r="F2314" s="3298" t="s">
        <v>2293</v>
      </c>
      <c r="G2314" s="3278">
        <v>24200</v>
      </c>
      <c r="H2314" s="3299">
        <v>0</v>
      </c>
      <c r="I2314" s="3278">
        <v>0</v>
      </c>
    </row>
    <row r="2315" ht="12.75" customHeight="1" spans="2:9">
      <c r="B2315" s="3274">
        <v>1249</v>
      </c>
      <c r="D2315" s="3297" t="s">
        <v>6931</v>
      </c>
      <c r="E2315" s="3298" t="s">
        <v>6932</v>
      </c>
      <c r="F2315" s="3298" t="s">
        <v>2321</v>
      </c>
      <c r="G2315" s="3278">
        <v>165000</v>
      </c>
      <c r="H2315" s="3299">
        <v>0</v>
      </c>
      <c r="I2315" s="3278">
        <v>0</v>
      </c>
    </row>
    <row r="2316" ht="12.75" customHeight="1" spans="2:9">
      <c r="B2316" s="3274">
        <v>1250</v>
      </c>
      <c r="D2316" s="3297" t="s">
        <v>6933</v>
      </c>
      <c r="E2316" s="3298" t="s">
        <v>6934</v>
      </c>
      <c r="F2316" s="3298" t="s">
        <v>3056</v>
      </c>
      <c r="G2316" s="3278">
        <v>14251</v>
      </c>
      <c r="H2316" s="3299">
        <v>0</v>
      </c>
      <c r="I2316" s="3278">
        <v>0</v>
      </c>
    </row>
    <row r="2317" ht="12.75" customHeight="1" spans="2:9">
      <c r="B2317" s="3274">
        <v>1251</v>
      </c>
      <c r="D2317" s="3297" t="s">
        <v>6935</v>
      </c>
      <c r="E2317" s="3298" t="s">
        <v>6936</v>
      </c>
      <c r="F2317" s="3298" t="s">
        <v>2293</v>
      </c>
      <c r="G2317" s="3278">
        <v>3874.2</v>
      </c>
      <c r="H2317" s="3299">
        <v>0</v>
      </c>
      <c r="I2317" s="3278">
        <v>0</v>
      </c>
    </row>
    <row r="2318" ht="12.75" customHeight="1" spans="2:9">
      <c r="B2318" s="3274">
        <v>1252</v>
      </c>
      <c r="D2318" s="3297" t="s">
        <v>6937</v>
      </c>
      <c r="E2318" s="3298" t="s">
        <v>6938</v>
      </c>
      <c r="F2318" s="3298" t="s">
        <v>3412</v>
      </c>
      <c r="G2318" s="3278">
        <v>319990</v>
      </c>
      <c r="H2318" s="3299">
        <v>0</v>
      </c>
      <c r="I2318" s="3278">
        <v>0</v>
      </c>
    </row>
    <row r="2319" ht="12.75" customHeight="1" spans="2:9">
      <c r="B2319" s="3274">
        <v>1253</v>
      </c>
      <c r="D2319" s="3297" t="s">
        <v>6939</v>
      </c>
      <c r="E2319" s="3298" t="s">
        <v>6940</v>
      </c>
      <c r="F2319" s="3298" t="s">
        <v>2321</v>
      </c>
      <c r="G2319" s="3278">
        <v>40898</v>
      </c>
      <c r="H2319" s="3299">
        <v>0</v>
      </c>
      <c r="I2319" s="3278">
        <v>0</v>
      </c>
    </row>
    <row r="2320" ht="12.75" customHeight="1" spans="2:9">
      <c r="B2320" s="3274">
        <v>1254</v>
      </c>
      <c r="D2320" s="3297" t="s">
        <v>6941</v>
      </c>
      <c r="E2320" s="3298" t="s">
        <v>6942</v>
      </c>
      <c r="F2320" s="3298" t="s">
        <v>2321</v>
      </c>
      <c r="G2320" s="3278">
        <v>49500</v>
      </c>
      <c r="H2320" s="3299">
        <v>0</v>
      </c>
      <c r="I2320" s="3278">
        <v>0</v>
      </c>
    </row>
    <row r="2321" ht="12.75" customHeight="1" spans="2:9">
      <c r="B2321" s="3274">
        <v>1255</v>
      </c>
      <c r="D2321" s="3297" t="s">
        <v>6943</v>
      </c>
      <c r="E2321" s="3298" t="s">
        <v>6944</v>
      </c>
      <c r="F2321" s="3298" t="s">
        <v>2321</v>
      </c>
      <c r="G2321" s="3278">
        <v>15660.7</v>
      </c>
      <c r="H2321" s="3299">
        <v>0</v>
      </c>
      <c r="I2321" s="3278">
        <v>0</v>
      </c>
    </row>
    <row r="2322" ht="12.75" customHeight="1" spans="2:9">
      <c r="B2322" s="3274">
        <v>1256</v>
      </c>
      <c r="D2322" s="3297" t="s">
        <v>6945</v>
      </c>
      <c r="E2322" s="3298" t="s">
        <v>6946</v>
      </c>
      <c r="F2322" s="3298" t="s">
        <v>2293</v>
      </c>
      <c r="G2322" s="3278">
        <v>134.387</v>
      </c>
      <c r="H2322" s="3299">
        <v>0</v>
      </c>
      <c r="I2322" s="3278">
        <v>0</v>
      </c>
    </row>
    <row r="2323" ht="12.75" customHeight="1" spans="2:9">
      <c r="B2323" s="3274">
        <v>1257</v>
      </c>
      <c r="D2323" s="3297" t="s">
        <v>6947</v>
      </c>
      <c r="E2323" s="3298" t="s">
        <v>6948</v>
      </c>
      <c r="F2323" s="3298" t="s">
        <v>2293</v>
      </c>
      <c r="G2323" s="3278">
        <v>4235</v>
      </c>
      <c r="H2323" s="3299">
        <v>0</v>
      </c>
      <c r="I2323" s="3278">
        <v>0</v>
      </c>
    </row>
    <row r="2324" ht="12.75" customHeight="1" spans="2:9">
      <c r="B2324" s="3274">
        <v>1258</v>
      </c>
      <c r="D2324" s="3297" t="s">
        <v>6949</v>
      </c>
      <c r="E2324" s="3298" t="s">
        <v>6950</v>
      </c>
      <c r="F2324" s="3298" t="s">
        <v>3056</v>
      </c>
      <c r="G2324" s="3278">
        <v>1650</v>
      </c>
      <c r="H2324" s="3299">
        <v>0</v>
      </c>
      <c r="I2324" s="3278">
        <v>0</v>
      </c>
    </row>
    <row r="2325" ht="12.75" customHeight="1" spans="2:9">
      <c r="B2325" s="3274">
        <v>1259</v>
      </c>
      <c r="D2325" s="3297" t="s">
        <v>6951</v>
      </c>
      <c r="E2325" s="3298" t="s">
        <v>6952</v>
      </c>
      <c r="F2325" s="3298" t="s">
        <v>3056</v>
      </c>
      <c r="G2325" s="3278">
        <v>456.148</v>
      </c>
      <c r="H2325" s="3299">
        <v>0</v>
      </c>
      <c r="I2325" s="3278">
        <v>0</v>
      </c>
    </row>
    <row r="2326" ht="12.75" customHeight="1" spans="2:9">
      <c r="B2326" s="3274">
        <v>1260</v>
      </c>
      <c r="D2326" s="3297" t="s">
        <v>6953</v>
      </c>
      <c r="E2326" s="3298" t="s">
        <v>6954</v>
      </c>
      <c r="F2326" s="3298" t="s">
        <v>2637</v>
      </c>
      <c r="G2326" s="3278">
        <v>25999.996</v>
      </c>
      <c r="H2326" s="3299">
        <v>0</v>
      </c>
      <c r="I2326" s="3278">
        <v>0</v>
      </c>
    </row>
    <row r="2327" ht="12.75" customHeight="1" spans="2:9">
      <c r="B2327" s="3274">
        <v>1261</v>
      </c>
      <c r="D2327" s="3297" t="s">
        <v>6955</v>
      </c>
      <c r="E2327" s="3298" t="s">
        <v>6956</v>
      </c>
      <c r="F2327" s="3298" t="s">
        <v>2637</v>
      </c>
      <c r="G2327" s="3278">
        <v>148500</v>
      </c>
      <c r="H2327" s="3299">
        <v>0</v>
      </c>
      <c r="I2327" s="3278">
        <v>0</v>
      </c>
    </row>
    <row r="2328" ht="12.75" customHeight="1" spans="2:9">
      <c r="B2328" s="3274">
        <v>1262</v>
      </c>
      <c r="D2328" s="3297" t="s">
        <v>6957</v>
      </c>
      <c r="E2328" s="3298" t="s">
        <v>6958</v>
      </c>
      <c r="F2328" s="3298" t="s">
        <v>2321</v>
      </c>
      <c r="G2328" s="3278">
        <v>49500</v>
      </c>
      <c r="H2328" s="3299">
        <v>0</v>
      </c>
      <c r="I2328" s="3278">
        <v>0</v>
      </c>
    </row>
    <row r="2329" ht="12.75" customHeight="1" spans="2:9">
      <c r="B2329" s="3274">
        <v>1263</v>
      </c>
      <c r="D2329" s="3297" t="s">
        <v>6959</v>
      </c>
      <c r="E2329" s="3298" t="s">
        <v>6960</v>
      </c>
      <c r="F2329" s="3298" t="s">
        <v>3056</v>
      </c>
      <c r="G2329" s="3278">
        <v>2475</v>
      </c>
      <c r="H2329" s="3299">
        <v>0</v>
      </c>
      <c r="I2329" s="3278">
        <v>0</v>
      </c>
    </row>
    <row r="2330" ht="12.75" customHeight="1" spans="2:9">
      <c r="B2330" s="3274">
        <v>1264</v>
      </c>
      <c r="D2330" s="3297" t="s">
        <v>6961</v>
      </c>
      <c r="E2330" s="3298" t="s">
        <v>6962</v>
      </c>
      <c r="F2330" s="3298" t="s">
        <v>2321</v>
      </c>
      <c r="G2330" s="3278">
        <v>58300</v>
      </c>
      <c r="H2330" s="3299">
        <v>0</v>
      </c>
      <c r="I2330" s="3278">
        <v>0</v>
      </c>
    </row>
    <row r="2331" ht="12.75" customHeight="1" spans="2:9">
      <c r="B2331" s="3274">
        <v>1265</v>
      </c>
      <c r="D2331" s="3297" t="s">
        <v>6963</v>
      </c>
      <c r="E2331" s="3298" t="s">
        <v>6964</v>
      </c>
      <c r="F2331" s="3298" t="s">
        <v>3056</v>
      </c>
      <c r="G2331" s="3278">
        <v>5500</v>
      </c>
      <c r="H2331" s="3299">
        <v>0</v>
      </c>
      <c r="I2331" s="3278">
        <v>0</v>
      </c>
    </row>
    <row r="2332" ht="12.75" customHeight="1" spans="2:9">
      <c r="B2332" s="3274">
        <v>1266</v>
      </c>
      <c r="D2332" s="3297" t="s">
        <v>6965</v>
      </c>
      <c r="E2332" s="3298" t="s">
        <v>6966</v>
      </c>
      <c r="F2332" s="3298" t="s">
        <v>3423</v>
      </c>
      <c r="G2332" s="3278">
        <v>8360</v>
      </c>
      <c r="H2332" s="3299">
        <v>190</v>
      </c>
      <c r="I2332" s="3278">
        <v>1588400</v>
      </c>
    </row>
    <row r="2333" ht="12.75" customHeight="1" spans="2:9">
      <c r="B2333" s="3274">
        <v>1267</v>
      </c>
      <c r="D2333" s="3297" t="s">
        <v>6967</v>
      </c>
      <c r="E2333" s="3298" t="s">
        <v>6968</v>
      </c>
      <c r="F2333" s="3298" t="s">
        <v>2321</v>
      </c>
      <c r="G2333" s="3278">
        <v>33000</v>
      </c>
      <c r="H2333" s="3299">
        <v>0</v>
      </c>
      <c r="I2333" s="3278">
        <v>0</v>
      </c>
    </row>
    <row r="2334" ht="12.75" customHeight="1" spans="2:9">
      <c r="B2334" s="3274">
        <v>1268</v>
      </c>
      <c r="D2334" s="3297" t="s">
        <v>6969</v>
      </c>
      <c r="E2334" s="3298" t="s">
        <v>6970</v>
      </c>
      <c r="F2334" s="3298" t="s">
        <v>3423</v>
      </c>
      <c r="G2334" s="3278">
        <v>93500</v>
      </c>
      <c r="H2334" s="3299">
        <v>401</v>
      </c>
      <c r="I2334" s="3278">
        <v>37493500</v>
      </c>
    </row>
    <row r="2335" ht="12.75" customHeight="1" spans="2:9">
      <c r="B2335" s="3274">
        <v>1269</v>
      </c>
      <c r="D2335" s="3297" t="s">
        <v>6971</v>
      </c>
      <c r="E2335" s="3298" t="s">
        <v>6972</v>
      </c>
      <c r="F2335" s="3298" t="s">
        <v>2637</v>
      </c>
      <c r="G2335" s="3278">
        <v>82500</v>
      </c>
      <c r="H2335" s="3299">
        <v>0</v>
      </c>
      <c r="I2335" s="3278">
        <v>0</v>
      </c>
    </row>
    <row r="2336" ht="12.75" customHeight="1" spans="2:9">
      <c r="B2336" s="3274">
        <v>1270</v>
      </c>
      <c r="D2336" s="3297" t="s">
        <v>6973</v>
      </c>
      <c r="E2336" s="3298" t="s">
        <v>6974</v>
      </c>
      <c r="F2336" s="3298" t="s">
        <v>3056</v>
      </c>
      <c r="G2336" s="3278">
        <v>17.578</v>
      </c>
      <c r="H2336" s="3299">
        <v>0</v>
      </c>
      <c r="I2336" s="3278">
        <v>0</v>
      </c>
    </row>
    <row r="2337" ht="12.75" customHeight="1" spans="2:9">
      <c r="B2337" s="3274">
        <v>1271</v>
      </c>
      <c r="D2337" s="3297" t="s">
        <v>6975</v>
      </c>
      <c r="E2337" s="3298" t="s">
        <v>6976</v>
      </c>
      <c r="F2337" s="3298" t="s">
        <v>2293</v>
      </c>
      <c r="G2337" s="3278">
        <v>5830</v>
      </c>
      <c r="H2337" s="3299">
        <v>0</v>
      </c>
      <c r="I2337" s="3278">
        <v>0</v>
      </c>
    </row>
    <row r="2338" ht="12.75" customHeight="1" spans="2:9">
      <c r="B2338" s="3274">
        <v>1272</v>
      </c>
      <c r="D2338" s="3297" t="s">
        <v>6977</v>
      </c>
      <c r="E2338" s="3298" t="s">
        <v>6978</v>
      </c>
      <c r="F2338" s="3298" t="s">
        <v>3423</v>
      </c>
      <c r="G2338" s="3278">
        <v>220990</v>
      </c>
      <c r="H2338" s="3299">
        <v>0</v>
      </c>
      <c r="I2338" s="3278">
        <v>0</v>
      </c>
    </row>
    <row r="2339" ht="12.75" customHeight="1" spans="2:9">
      <c r="B2339" s="3274">
        <v>1273</v>
      </c>
      <c r="D2339" s="3297" t="s">
        <v>6979</v>
      </c>
      <c r="E2339" s="3298" t="s">
        <v>6980</v>
      </c>
      <c r="F2339" s="3298" t="s">
        <v>2637</v>
      </c>
      <c r="G2339" s="3278">
        <v>47630</v>
      </c>
      <c r="H2339" s="3299">
        <v>0</v>
      </c>
      <c r="I2339" s="3278">
        <v>0</v>
      </c>
    </row>
    <row r="2340" ht="12.75" customHeight="1" spans="2:9">
      <c r="B2340" s="3274">
        <v>1274</v>
      </c>
      <c r="D2340" s="3297" t="s">
        <v>6981</v>
      </c>
      <c r="E2340" s="3298" t="s">
        <v>6982</v>
      </c>
      <c r="F2340" s="3298" t="s">
        <v>3423</v>
      </c>
      <c r="G2340" s="3278">
        <v>152900</v>
      </c>
      <c r="H2340" s="3299">
        <v>0</v>
      </c>
      <c r="I2340" s="3278">
        <v>0</v>
      </c>
    </row>
    <row r="2341" ht="12.75" customHeight="1" spans="2:9">
      <c r="B2341" s="3274">
        <v>1275</v>
      </c>
      <c r="D2341" s="3297" t="s">
        <v>6983</v>
      </c>
      <c r="E2341" s="3298" t="s">
        <v>6984</v>
      </c>
      <c r="F2341" s="3298" t="s">
        <v>3056</v>
      </c>
      <c r="G2341" s="3278">
        <v>550</v>
      </c>
      <c r="H2341" s="3299">
        <v>0</v>
      </c>
      <c r="I2341" s="3278">
        <v>0</v>
      </c>
    </row>
    <row r="2342" ht="12.75" customHeight="1" spans="2:9">
      <c r="B2342" s="3274">
        <v>1276</v>
      </c>
      <c r="D2342" s="3297" t="s">
        <v>6985</v>
      </c>
      <c r="E2342" s="3298" t="s">
        <v>6986</v>
      </c>
      <c r="F2342" s="3298" t="s">
        <v>2457</v>
      </c>
      <c r="G2342" s="3278">
        <v>27500</v>
      </c>
      <c r="H2342" s="3299">
        <v>0</v>
      </c>
      <c r="I2342" s="3278">
        <v>0</v>
      </c>
    </row>
    <row r="2343" ht="12.75" customHeight="1" spans="2:9">
      <c r="B2343" s="3274">
        <v>1277</v>
      </c>
      <c r="D2343" s="3297" t="s">
        <v>6987</v>
      </c>
      <c r="E2343" s="3298" t="s">
        <v>6988</v>
      </c>
      <c r="F2343" s="3298" t="s">
        <v>3056</v>
      </c>
      <c r="G2343" s="3278">
        <v>4612.5202</v>
      </c>
      <c r="H2343" s="3299">
        <v>0</v>
      </c>
      <c r="I2343" s="3278">
        <v>0</v>
      </c>
    </row>
    <row r="2344" ht="12.75" customHeight="1" spans="2:9">
      <c r="B2344" s="3274">
        <v>1278</v>
      </c>
      <c r="D2344" s="3297" t="s">
        <v>6989</v>
      </c>
      <c r="E2344" s="3298" t="s">
        <v>6990</v>
      </c>
      <c r="F2344" s="3298" t="s">
        <v>3423</v>
      </c>
      <c r="G2344" s="3278">
        <v>63891.08</v>
      </c>
      <c r="H2344" s="3299">
        <v>0</v>
      </c>
      <c r="I2344" s="3278">
        <v>0</v>
      </c>
    </row>
    <row r="2345" ht="12.75" customHeight="1" spans="2:9">
      <c r="B2345" s="3274">
        <v>1279</v>
      </c>
      <c r="D2345" s="3297" t="s">
        <v>6991</v>
      </c>
      <c r="E2345" s="3298" t="s">
        <v>6992</v>
      </c>
      <c r="F2345" s="3298" t="s">
        <v>3056</v>
      </c>
      <c r="G2345" s="3278">
        <v>3514.5</v>
      </c>
      <c r="H2345" s="3299">
        <v>0</v>
      </c>
      <c r="I2345" s="3278">
        <v>0</v>
      </c>
    </row>
    <row r="2346" ht="12.75" customHeight="1" spans="2:9">
      <c r="B2346" s="3274">
        <v>1280</v>
      </c>
      <c r="D2346" s="3297" t="s">
        <v>6993</v>
      </c>
      <c r="E2346" s="3298" t="s">
        <v>6994</v>
      </c>
      <c r="F2346" s="3298" t="s">
        <v>2637</v>
      </c>
      <c r="G2346" s="3278">
        <v>13475</v>
      </c>
      <c r="H2346" s="3299">
        <v>0</v>
      </c>
      <c r="I2346" s="3278">
        <v>0</v>
      </c>
    </row>
    <row r="2347" ht="12.75" customHeight="1" spans="2:9">
      <c r="B2347" s="3274">
        <v>1281</v>
      </c>
      <c r="D2347" s="3297" t="s">
        <v>6995</v>
      </c>
      <c r="E2347" s="3298" t="s">
        <v>6996</v>
      </c>
      <c r="F2347" s="3298" t="s">
        <v>3423</v>
      </c>
      <c r="G2347" s="3278">
        <v>16170.0161</v>
      </c>
      <c r="H2347" s="3299">
        <v>48</v>
      </c>
      <c r="I2347" s="3278">
        <v>776160.7728</v>
      </c>
    </row>
    <row r="2348" ht="12.75" customHeight="1" spans="2:9">
      <c r="B2348" s="3274">
        <v>1282</v>
      </c>
      <c r="D2348" s="3297" t="s">
        <v>6997</v>
      </c>
      <c r="E2348" s="3298" t="s">
        <v>6998</v>
      </c>
      <c r="F2348" s="3298" t="s">
        <v>4403</v>
      </c>
      <c r="G2348" s="3278">
        <v>495</v>
      </c>
      <c r="H2348" s="3299">
        <v>0</v>
      </c>
      <c r="I2348" s="3278">
        <v>0</v>
      </c>
    </row>
    <row r="2349" ht="12.75" customHeight="1" spans="2:9">
      <c r="B2349" s="3274">
        <v>1283</v>
      </c>
      <c r="D2349" s="3297" t="s">
        <v>6999</v>
      </c>
      <c r="E2349" s="3298" t="s">
        <v>7000</v>
      </c>
      <c r="F2349" s="3298" t="s">
        <v>2637</v>
      </c>
      <c r="G2349" s="3278">
        <v>48801.5</v>
      </c>
      <c r="H2349" s="3299">
        <v>0</v>
      </c>
      <c r="I2349" s="3278">
        <v>0</v>
      </c>
    </row>
    <row r="2350" ht="12.75" customHeight="1" spans="2:9">
      <c r="B2350" s="3274">
        <v>1284</v>
      </c>
      <c r="D2350" s="3297" t="s">
        <v>7001</v>
      </c>
      <c r="E2350" s="3298" t="s">
        <v>7002</v>
      </c>
      <c r="F2350" s="3298" t="s">
        <v>3056</v>
      </c>
      <c r="G2350" s="3278">
        <v>18350</v>
      </c>
      <c r="H2350" s="3299">
        <v>0</v>
      </c>
      <c r="I2350" s="3278">
        <v>0</v>
      </c>
    </row>
    <row r="2351" ht="12.75" customHeight="1" spans="2:9">
      <c r="B2351" s="3274">
        <v>1285</v>
      </c>
      <c r="D2351" s="3297" t="s">
        <v>7003</v>
      </c>
      <c r="E2351" s="3298" t="s">
        <v>7004</v>
      </c>
      <c r="F2351" s="3298" t="s">
        <v>3042</v>
      </c>
      <c r="G2351" s="3278">
        <v>422290</v>
      </c>
      <c r="H2351" s="3299">
        <v>0</v>
      </c>
      <c r="I2351" s="3278">
        <v>0</v>
      </c>
    </row>
    <row r="2352" ht="12.75" customHeight="1" spans="2:9">
      <c r="B2352" s="3274">
        <v>1286</v>
      </c>
      <c r="D2352" s="3297" t="s">
        <v>7005</v>
      </c>
      <c r="E2352" s="3298" t="s">
        <v>7006</v>
      </c>
      <c r="F2352" s="3298" t="s">
        <v>3042</v>
      </c>
      <c r="G2352" s="3278">
        <v>76340</v>
      </c>
      <c r="H2352" s="3299">
        <v>10</v>
      </c>
      <c r="I2352" s="3278">
        <v>763400</v>
      </c>
    </row>
    <row r="2353" ht="12.75" customHeight="1" spans="2:9">
      <c r="B2353" s="3274">
        <v>1287</v>
      </c>
      <c r="D2353" s="3297" t="s">
        <v>7007</v>
      </c>
      <c r="E2353" s="3298" t="s">
        <v>7008</v>
      </c>
      <c r="F2353" s="3298" t="s">
        <v>2565</v>
      </c>
      <c r="G2353" s="3278">
        <v>145000</v>
      </c>
      <c r="H2353" s="3299">
        <v>0</v>
      </c>
      <c r="I2353" s="3278">
        <v>0</v>
      </c>
    </row>
    <row r="2354" ht="12.75" customHeight="1" spans="2:9">
      <c r="B2354" s="3274">
        <v>1288</v>
      </c>
      <c r="D2354" s="3297" t="s">
        <v>7009</v>
      </c>
      <c r="E2354" s="3298" t="s">
        <v>7010</v>
      </c>
      <c r="F2354" s="3298" t="s">
        <v>3056</v>
      </c>
      <c r="G2354" s="3278">
        <v>3206.5</v>
      </c>
      <c r="H2354" s="3299">
        <v>0</v>
      </c>
      <c r="I2354" s="3278">
        <v>0</v>
      </c>
    </row>
    <row r="2355" ht="12.75" customHeight="1" spans="2:9">
      <c r="B2355" s="3274">
        <v>1289</v>
      </c>
      <c r="D2355" s="3297" t="s">
        <v>7011</v>
      </c>
      <c r="E2355" s="3298" t="s">
        <v>7012</v>
      </c>
      <c r="F2355" s="3298" t="s">
        <v>2367</v>
      </c>
      <c r="G2355" s="3278">
        <v>363000</v>
      </c>
      <c r="H2355" s="3299">
        <v>0</v>
      </c>
      <c r="I2355" s="3278">
        <v>0</v>
      </c>
    </row>
    <row r="2356" ht="12.75" customHeight="1" spans="2:9">
      <c r="B2356" s="3274">
        <v>1290</v>
      </c>
      <c r="D2356" s="3297" t="s">
        <v>7013</v>
      </c>
      <c r="E2356" s="3298" t="s">
        <v>7014</v>
      </c>
      <c r="F2356" s="3298" t="s">
        <v>3056</v>
      </c>
      <c r="G2356" s="3278">
        <v>5060</v>
      </c>
      <c r="H2356" s="3299">
        <v>0</v>
      </c>
      <c r="I2356" s="3278">
        <v>0</v>
      </c>
    </row>
    <row r="2357" ht="12.75" customHeight="1" spans="2:9">
      <c r="B2357" s="3274">
        <v>1291</v>
      </c>
      <c r="D2357" s="3297" t="s">
        <v>7015</v>
      </c>
      <c r="E2357" s="3298" t="s">
        <v>7016</v>
      </c>
      <c r="F2357" s="3298" t="s">
        <v>3056</v>
      </c>
      <c r="G2357" s="3278">
        <v>2486</v>
      </c>
      <c r="H2357" s="3299">
        <v>1900</v>
      </c>
      <c r="I2357" s="3278">
        <v>4723400</v>
      </c>
    </row>
    <row r="2358" ht="12.75" customHeight="1" spans="2:9">
      <c r="B2358" s="3274">
        <v>1292</v>
      </c>
      <c r="D2358" s="3297" t="s">
        <v>7017</v>
      </c>
      <c r="E2358" s="3298" t="s">
        <v>7018</v>
      </c>
      <c r="F2358" s="3298" t="s">
        <v>2321</v>
      </c>
      <c r="G2358" s="3278">
        <v>59400</v>
      </c>
      <c r="H2358" s="3299">
        <v>0</v>
      </c>
      <c r="I2358" s="3278">
        <v>0</v>
      </c>
    </row>
    <row r="2359" ht="12.75" customHeight="1" spans="2:9">
      <c r="B2359" s="3274">
        <v>1293</v>
      </c>
      <c r="D2359" s="3297" t="s">
        <v>7019</v>
      </c>
      <c r="E2359" s="3298" t="s">
        <v>7020</v>
      </c>
      <c r="F2359" s="3298" t="s">
        <v>2367</v>
      </c>
      <c r="G2359" s="3278">
        <v>277365</v>
      </c>
      <c r="H2359" s="3299">
        <v>0</v>
      </c>
      <c r="I2359" s="3278">
        <v>0</v>
      </c>
    </row>
    <row r="2360" ht="12.75" customHeight="1" spans="2:9">
      <c r="B2360" s="3274">
        <v>1294</v>
      </c>
      <c r="D2360" s="3297" t="s">
        <v>7021</v>
      </c>
      <c r="E2360" s="3298" t="s">
        <v>7022</v>
      </c>
      <c r="F2360" s="3298" t="s">
        <v>3423</v>
      </c>
      <c r="G2360" s="3278">
        <v>23958</v>
      </c>
      <c r="H2360" s="3299">
        <v>0</v>
      </c>
      <c r="I2360" s="3278">
        <v>0</v>
      </c>
    </row>
    <row r="2361" ht="12.75" customHeight="1" spans="2:9">
      <c r="B2361" s="3274">
        <v>1295</v>
      </c>
      <c r="D2361" s="3297" t="s">
        <v>7023</v>
      </c>
      <c r="E2361" s="3298" t="s">
        <v>7024</v>
      </c>
      <c r="F2361" s="3298" t="s">
        <v>2321</v>
      </c>
      <c r="G2361" s="3278">
        <v>26400</v>
      </c>
      <c r="H2361" s="3299">
        <v>0</v>
      </c>
      <c r="I2361" s="3278">
        <v>0</v>
      </c>
    </row>
    <row r="2362" ht="12.75" customHeight="1" spans="2:9">
      <c r="B2362" s="3274">
        <v>1296</v>
      </c>
      <c r="D2362" s="3297" t="s">
        <v>7025</v>
      </c>
      <c r="E2362" s="3298" t="s">
        <v>7026</v>
      </c>
      <c r="F2362" s="3298" t="s">
        <v>4757</v>
      </c>
      <c r="G2362" s="3278">
        <v>10633.326</v>
      </c>
      <c r="H2362" s="3299">
        <v>0</v>
      </c>
      <c r="I2362" s="3278">
        <v>0</v>
      </c>
    </row>
    <row r="2363" ht="12.75" customHeight="1" spans="2:9">
      <c r="B2363" s="3274">
        <v>1297</v>
      </c>
      <c r="D2363" s="3297" t="s">
        <v>7027</v>
      </c>
      <c r="E2363" s="3298" t="s">
        <v>7028</v>
      </c>
      <c r="F2363" s="3298" t="s">
        <v>5233</v>
      </c>
      <c r="G2363" s="3278">
        <v>10728.025</v>
      </c>
      <c r="H2363" s="3299">
        <v>0</v>
      </c>
      <c r="I2363" s="3278">
        <v>0</v>
      </c>
    </row>
    <row r="2364" ht="12.75" customHeight="1" spans="2:9">
      <c r="B2364" s="3274">
        <v>1298</v>
      </c>
      <c r="D2364" s="3297" t="s">
        <v>7029</v>
      </c>
      <c r="E2364" s="3298" t="s">
        <v>7030</v>
      </c>
      <c r="F2364" s="3298" t="s">
        <v>2293</v>
      </c>
      <c r="G2364" s="3278">
        <v>1100</v>
      </c>
      <c r="H2364" s="3299">
        <v>0</v>
      </c>
      <c r="I2364" s="3278">
        <v>0</v>
      </c>
    </row>
    <row r="2365" ht="12.75" customHeight="1" spans="2:9">
      <c r="B2365" s="3274">
        <v>1299</v>
      </c>
      <c r="D2365" s="3297" t="s">
        <v>7031</v>
      </c>
      <c r="E2365" s="3298" t="s">
        <v>7032</v>
      </c>
      <c r="F2365" s="3298" t="s">
        <v>2321</v>
      </c>
      <c r="G2365" s="3278">
        <v>226270</v>
      </c>
      <c r="H2365" s="3299">
        <v>0</v>
      </c>
      <c r="I2365" s="3278">
        <v>0</v>
      </c>
    </row>
    <row r="2366" ht="12.75" customHeight="1" spans="2:9">
      <c r="B2366" s="3274">
        <v>1300</v>
      </c>
      <c r="D2366" s="3297" t="s">
        <v>7033</v>
      </c>
      <c r="E2366" s="3298" t="s">
        <v>7034</v>
      </c>
      <c r="F2366" s="3298" t="s">
        <v>2637</v>
      </c>
      <c r="G2366" s="3278">
        <v>181500</v>
      </c>
      <c r="H2366" s="3299">
        <v>0</v>
      </c>
      <c r="I2366" s="3278">
        <v>0</v>
      </c>
    </row>
    <row r="2367" ht="12.75" customHeight="1" spans="2:9">
      <c r="B2367" s="3274">
        <v>1301</v>
      </c>
      <c r="D2367" s="3297" t="s">
        <v>7035</v>
      </c>
      <c r="E2367" s="3298" t="s">
        <v>7036</v>
      </c>
      <c r="F2367" s="3298" t="s">
        <v>4351</v>
      </c>
      <c r="G2367" s="3278">
        <v>13200</v>
      </c>
      <c r="H2367" s="3299">
        <v>0</v>
      </c>
      <c r="I2367" s="3278">
        <v>0</v>
      </c>
    </row>
    <row r="2368" ht="12.75" customHeight="1" spans="2:9">
      <c r="B2368" s="3274">
        <v>1302</v>
      </c>
      <c r="D2368" s="3297" t="s">
        <v>7037</v>
      </c>
      <c r="E2368" s="3298" t="s">
        <v>7038</v>
      </c>
      <c r="F2368" s="3298" t="s">
        <v>4351</v>
      </c>
      <c r="G2368" s="3278">
        <v>6050</v>
      </c>
      <c r="H2368" s="3299">
        <v>0</v>
      </c>
      <c r="I2368" s="3278">
        <v>0</v>
      </c>
    </row>
    <row r="2369" ht="12.75" customHeight="1" spans="2:9">
      <c r="B2369" s="3274">
        <v>1303</v>
      </c>
      <c r="D2369" s="3297" t="s">
        <v>7039</v>
      </c>
      <c r="E2369" s="3298" t="s">
        <v>7040</v>
      </c>
      <c r="F2369" s="3298" t="s">
        <v>2637</v>
      </c>
      <c r="G2369" s="3278">
        <v>15334</v>
      </c>
      <c r="H2369" s="3299">
        <v>0</v>
      </c>
      <c r="I2369" s="3278">
        <v>0</v>
      </c>
    </row>
    <row r="2370" ht="12.75" customHeight="1" spans="2:9">
      <c r="B2370" s="3274">
        <v>1304</v>
      </c>
      <c r="D2370" s="3297" t="s">
        <v>7041</v>
      </c>
      <c r="E2370" s="3298" t="s">
        <v>7042</v>
      </c>
      <c r="F2370" s="3298" t="s">
        <v>2321</v>
      </c>
      <c r="G2370" s="3278">
        <v>286000</v>
      </c>
      <c r="H2370" s="3299">
        <v>0</v>
      </c>
      <c r="I2370" s="3278">
        <v>0</v>
      </c>
    </row>
    <row r="2371" ht="12.75" customHeight="1" spans="2:9">
      <c r="B2371" s="3274">
        <v>1305</v>
      </c>
      <c r="D2371" s="3297" t="s">
        <v>7043</v>
      </c>
      <c r="E2371" s="3298" t="s">
        <v>7044</v>
      </c>
      <c r="F2371" s="3298" t="s">
        <v>3045</v>
      </c>
      <c r="G2371" s="3278">
        <v>71500</v>
      </c>
      <c r="H2371" s="3299">
        <v>0</v>
      </c>
      <c r="I2371" s="3278">
        <v>0</v>
      </c>
    </row>
    <row r="2372" ht="12.75" customHeight="1" spans="2:9">
      <c r="B2372" s="3274">
        <v>1306</v>
      </c>
      <c r="D2372" s="3297" t="s">
        <v>7045</v>
      </c>
      <c r="E2372" s="3298" t="s">
        <v>7046</v>
      </c>
      <c r="F2372" s="3298" t="s">
        <v>2321</v>
      </c>
      <c r="G2372" s="3278">
        <v>40920</v>
      </c>
      <c r="H2372" s="3299">
        <v>43</v>
      </c>
      <c r="I2372" s="3278">
        <v>1759560</v>
      </c>
    </row>
    <row r="2373" ht="12.75" customHeight="1" spans="2:9">
      <c r="B2373" s="3274">
        <v>1307</v>
      </c>
      <c r="D2373" s="3297" t="s">
        <v>7047</v>
      </c>
      <c r="E2373" s="3298" t="s">
        <v>7048</v>
      </c>
      <c r="F2373" s="3298" t="s">
        <v>2321</v>
      </c>
      <c r="G2373" s="3278">
        <v>63250</v>
      </c>
      <c r="H2373" s="3299">
        <v>0</v>
      </c>
      <c r="I2373" s="3278">
        <v>0</v>
      </c>
    </row>
    <row r="2374" ht="12.75" customHeight="1" spans="2:9">
      <c r="B2374" s="3274">
        <v>1308</v>
      </c>
      <c r="D2374" s="3297" t="s">
        <v>7049</v>
      </c>
      <c r="E2374" s="3298" t="s">
        <v>7050</v>
      </c>
      <c r="F2374" s="3298" t="s">
        <v>3056</v>
      </c>
      <c r="G2374" s="3278">
        <v>1375</v>
      </c>
      <c r="H2374" s="3299">
        <v>0</v>
      </c>
      <c r="I2374" s="3278">
        <v>0</v>
      </c>
    </row>
    <row r="2375" ht="12.75" customHeight="1" spans="2:9">
      <c r="B2375" s="3274">
        <v>1309</v>
      </c>
      <c r="D2375" s="3297" t="s">
        <v>7051</v>
      </c>
      <c r="E2375" s="3298" t="s">
        <v>7052</v>
      </c>
      <c r="F2375" s="3298" t="s">
        <v>4351</v>
      </c>
      <c r="G2375" s="3278">
        <v>149.996</v>
      </c>
      <c r="H2375" s="3299">
        <v>0</v>
      </c>
      <c r="I2375" s="3278">
        <v>0</v>
      </c>
    </row>
    <row r="2376" ht="12.75" customHeight="1" spans="2:9">
      <c r="B2376" s="3274">
        <v>1310</v>
      </c>
      <c r="D2376" s="3297" t="s">
        <v>7053</v>
      </c>
      <c r="E2376" s="3298" t="s">
        <v>7054</v>
      </c>
      <c r="F2376" s="3298" t="s">
        <v>2637</v>
      </c>
      <c r="G2376" s="3278">
        <v>18370</v>
      </c>
      <c r="H2376" s="3299">
        <v>0</v>
      </c>
      <c r="I2376" s="3278">
        <v>0</v>
      </c>
    </row>
    <row r="2377" ht="12.75" customHeight="1" spans="2:9">
      <c r="B2377" s="3274">
        <v>1311</v>
      </c>
      <c r="D2377" s="3297" t="s">
        <v>7055</v>
      </c>
      <c r="E2377" s="3298" t="s">
        <v>7056</v>
      </c>
      <c r="F2377" s="3298" t="s">
        <v>776</v>
      </c>
      <c r="G2377" s="3278">
        <v>30000</v>
      </c>
      <c r="H2377" s="3299">
        <v>0</v>
      </c>
      <c r="I2377" s="3278">
        <v>0</v>
      </c>
    </row>
    <row r="2378" ht="12.75" customHeight="1" spans="2:9">
      <c r="B2378" s="3274">
        <v>1312</v>
      </c>
      <c r="D2378" s="3297" t="s">
        <v>7057</v>
      </c>
      <c r="E2378" s="3298" t="s">
        <v>7058</v>
      </c>
      <c r="F2378" s="3298" t="s">
        <v>2309</v>
      </c>
      <c r="G2378" s="3278">
        <v>3211.747</v>
      </c>
      <c r="H2378" s="3299">
        <v>0</v>
      </c>
      <c r="I2378" s="3278">
        <v>0</v>
      </c>
    </row>
    <row r="2379" ht="12.75" customHeight="1" spans="2:9">
      <c r="B2379" s="3274">
        <v>1313</v>
      </c>
      <c r="D2379" s="3297" t="s">
        <v>7059</v>
      </c>
      <c r="E2379" s="3298" t="s">
        <v>7060</v>
      </c>
      <c r="F2379" s="3298" t="s">
        <v>3056</v>
      </c>
      <c r="G2379" s="3278">
        <v>8690</v>
      </c>
      <c r="H2379" s="3299">
        <v>0</v>
      </c>
      <c r="I2379" s="3278">
        <v>0</v>
      </c>
    </row>
    <row r="2380" ht="12.75" customHeight="1" spans="2:9">
      <c r="B2380" s="3274">
        <v>1314</v>
      </c>
      <c r="D2380" s="3297" t="s">
        <v>7061</v>
      </c>
      <c r="E2380" s="3298" t="s">
        <v>7062</v>
      </c>
      <c r="F2380" s="3298" t="s">
        <v>3423</v>
      </c>
      <c r="G2380" s="3278">
        <v>128744</v>
      </c>
      <c r="H2380" s="3299">
        <v>147</v>
      </c>
      <c r="I2380" s="3278">
        <v>18925368</v>
      </c>
    </row>
    <row r="2381" ht="12.75" customHeight="1" spans="2:9">
      <c r="B2381" s="3274">
        <v>1315</v>
      </c>
      <c r="D2381" s="3297" t="s">
        <v>7063</v>
      </c>
      <c r="E2381" s="3298" t="s">
        <v>7064</v>
      </c>
      <c r="F2381" s="3298" t="s">
        <v>2321</v>
      </c>
      <c r="G2381" s="3278">
        <v>37400</v>
      </c>
      <c r="H2381" s="3299">
        <v>5</v>
      </c>
      <c r="I2381" s="3278">
        <v>187000</v>
      </c>
    </row>
    <row r="2382" ht="12.75" customHeight="1" spans="2:9">
      <c r="B2382" s="3274">
        <v>1316</v>
      </c>
      <c r="D2382" s="3297" t="s">
        <v>7065</v>
      </c>
      <c r="E2382" s="3298" t="s">
        <v>7066</v>
      </c>
      <c r="F2382" s="3298" t="s">
        <v>4351</v>
      </c>
      <c r="G2382" s="3278">
        <v>19800</v>
      </c>
      <c r="H2382" s="3299">
        <v>0</v>
      </c>
      <c r="I2382" s="3278">
        <v>0</v>
      </c>
    </row>
    <row r="2383" ht="12.75" customHeight="1" spans="2:9">
      <c r="B2383" s="3274">
        <v>1317</v>
      </c>
      <c r="D2383" s="3297" t="s">
        <v>7067</v>
      </c>
      <c r="E2383" s="3298" t="s">
        <v>7068</v>
      </c>
      <c r="F2383" s="3298" t="s">
        <v>4351</v>
      </c>
      <c r="G2383" s="3278">
        <v>6050</v>
      </c>
      <c r="H2383" s="3299">
        <v>0</v>
      </c>
      <c r="I2383" s="3278">
        <v>0</v>
      </c>
    </row>
    <row r="2384" ht="12.75" customHeight="1" spans="2:9">
      <c r="B2384" s="3274">
        <v>1318</v>
      </c>
      <c r="D2384" s="3297" t="s">
        <v>7069</v>
      </c>
      <c r="E2384" s="3298" t="s">
        <v>7070</v>
      </c>
      <c r="F2384" s="3298" t="s">
        <v>2321</v>
      </c>
      <c r="G2384" s="3278">
        <v>28050</v>
      </c>
      <c r="H2384" s="3299">
        <v>0</v>
      </c>
      <c r="I2384" s="3278">
        <v>0</v>
      </c>
    </row>
    <row r="2385" ht="12.75" customHeight="1" spans="2:9">
      <c r="B2385" s="3274">
        <v>1319</v>
      </c>
      <c r="D2385" s="3297" t="s">
        <v>7071</v>
      </c>
      <c r="E2385" s="3298" t="s">
        <v>7072</v>
      </c>
      <c r="F2385" s="3298" t="s">
        <v>3056</v>
      </c>
      <c r="G2385" s="3278">
        <v>4675</v>
      </c>
      <c r="H2385" s="3299">
        <v>0</v>
      </c>
      <c r="I2385" s="3278">
        <v>0</v>
      </c>
    </row>
    <row r="2386" ht="12.75" customHeight="1" spans="2:9">
      <c r="B2386" s="3274">
        <v>1320</v>
      </c>
      <c r="D2386" s="3297" t="s">
        <v>7073</v>
      </c>
      <c r="E2386" s="3298" t="s">
        <v>7074</v>
      </c>
      <c r="F2386" s="3298" t="s">
        <v>3042</v>
      </c>
      <c r="G2386" s="3278">
        <v>191400</v>
      </c>
      <c r="H2386" s="3299">
        <v>0</v>
      </c>
      <c r="I2386" s="3278">
        <v>0</v>
      </c>
    </row>
    <row r="2387" ht="12.75" customHeight="1" spans="2:9">
      <c r="B2387" s="3274">
        <v>1321</v>
      </c>
      <c r="D2387" s="3297" t="s">
        <v>7075</v>
      </c>
      <c r="E2387" s="3298" t="s">
        <v>7076</v>
      </c>
      <c r="F2387" s="3298" t="s">
        <v>2342</v>
      </c>
      <c r="G2387" s="3278">
        <v>1320</v>
      </c>
      <c r="H2387" s="3299">
        <v>0</v>
      </c>
      <c r="I2387" s="3278">
        <v>0</v>
      </c>
    </row>
    <row r="2388" ht="12.75" customHeight="1" spans="2:9">
      <c r="B2388" s="3274">
        <v>1322</v>
      </c>
      <c r="D2388" s="3297" t="s">
        <v>7077</v>
      </c>
      <c r="E2388" s="3298" t="s">
        <v>7078</v>
      </c>
      <c r="F2388" s="3298" t="s">
        <v>3042</v>
      </c>
      <c r="G2388" s="3278">
        <v>13640</v>
      </c>
      <c r="H2388" s="3299">
        <v>0</v>
      </c>
      <c r="I2388" s="3278">
        <v>0</v>
      </c>
    </row>
    <row r="2389" ht="12.75" customHeight="1" spans="2:9">
      <c r="B2389" s="3274">
        <v>1323</v>
      </c>
      <c r="D2389" s="3297" t="s">
        <v>7079</v>
      </c>
      <c r="E2389" s="3298" t="s">
        <v>7080</v>
      </c>
      <c r="F2389" s="3298" t="s">
        <v>3056</v>
      </c>
      <c r="G2389" s="3278">
        <v>5133</v>
      </c>
      <c r="H2389" s="3299">
        <v>0</v>
      </c>
      <c r="I2389" s="3278">
        <v>0</v>
      </c>
    </row>
    <row r="2390" ht="12.75" customHeight="1" spans="2:9">
      <c r="B2390" s="3274">
        <v>1324</v>
      </c>
      <c r="D2390" s="3297" t="s">
        <v>7081</v>
      </c>
      <c r="E2390" s="3298" t="s">
        <v>7082</v>
      </c>
      <c r="F2390" s="3298" t="s">
        <v>2637</v>
      </c>
      <c r="G2390" s="3278">
        <v>57556.4</v>
      </c>
      <c r="H2390" s="3299">
        <v>0</v>
      </c>
      <c r="I2390" s="3278">
        <v>0</v>
      </c>
    </row>
    <row r="2391" ht="12.75" customHeight="1" spans="2:9">
      <c r="B2391" s="3274">
        <v>1325</v>
      </c>
      <c r="D2391" s="3297" t="s">
        <v>7083</v>
      </c>
      <c r="E2391" s="3298" t="s">
        <v>7084</v>
      </c>
      <c r="F2391" s="3298" t="s">
        <v>3056</v>
      </c>
      <c r="G2391" s="3278">
        <v>7810</v>
      </c>
      <c r="H2391" s="3299">
        <v>0</v>
      </c>
      <c r="I2391" s="3278">
        <v>0</v>
      </c>
    </row>
    <row r="2392" ht="12.75" customHeight="1" spans="2:9">
      <c r="B2392" s="3274">
        <v>1326</v>
      </c>
      <c r="D2392" s="3297" t="s">
        <v>7085</v>
      </c>
      <c r="E2392" s="3298" t="s">
        <v>7086</v>
      </c>
      <c r="F2392" s="3298" t="s">
        <v>2321</v>
      </c>
      <c r="G2392" s="3278">
        <v>10230</v>
      </c>
      <c r="H2392" s="3299">
        <v>0</v>
      </c>
      <c r="I2392" s="3278">
        <v>0</v>
      </c>
    </row>
    <row r="2393" ht="12.75" customHeight="1" spans="2:9">
      <c r="B2393" s="3274">
        <v>1327</v>
      </c>
      <c r="D2393" s="3297" t="s">
        <v>7087</v>
      </c>
      <c r="E2393" s="3298" t="s">
        <v>7088</v>
      </c>
      <c r="F2393" s="3298" t="s">
        <v>2321</v>
      </c>
      <c r="G2393" s="3278">
        <v>17380</v>
      </c>
      <c r="H2393" s="3299">
        <v>0</v>
      </c>
      <c r="I2393" s="3278">
        <v>0</v>
      </c>
    </row>
    <row r="2394" ht="12.75" customHeight="1" spans="2:9">
      <c r="B2394" s="3274">
        <v>1328</v>
      </c>
      <c r="D2394" s="3297" t="s">
        <v>7089</v>
      </c>
      <c r="E2394" s="3298" t="s">
        <v>7090</v>
      </c>
      <c r="F2394" s="3298" t="s">
        <v>3042</v>
      </c>
      <c r="G2394" s="3278">
        <v>21340</v>
      </c>
      <c r="H2394" s="3299">
        <v>0</v>
      </c>
      <c r="I2394" s="3278">
        <v>0</v>
      </c>
    </row>
    <row r="2395" ht="12.75" customHeight="1" spans="2:9">
      <c r="B2395" s="3274">
        <v>1329</v>
      </c>
      <c r="D2395" s="3297" t="s">
        <v>7091</v>
      </c>
      <c r="E2395" s="3298" t="s">
        <v>7092</v>
      </c>
      <c r="F2395" s="3298" t="s">
        <v>2321</v>
      </c>
      <c r="G2395" s="3278">
        <v>54699.7</v>
      </c>
      <c r="H2395" s="3299">
        <v>4</v>
      </c>
      <c r="I2395" s="3278">
        <v>218798.8</v>
      </c>
    </row>
    <row r="2396" ht="12.75" customHeight="1" spans="2:9">
      <c r="B2396" s="3274">
        <v>1330</v>
      </c>
      <c r="D2396" s="3297" t="s">
        <v>7093</v>
      </c>
      <c r="E2396" s="3298" t="s">
        <v>7094</v>
      </c>
      <c r="F2396" s="3298" t="s">
        <v>3423</v>
      </c>
      <c r="G2396" s="3278">
        <v>3517800</v>
      </c>
      <c r="H2396" s="3299">
        <v>0</v>
      </c>
      <c r="I2396" s="3278">
        <v>0</v>
      </c>
    </row>
    <row r="2397" ht="12.75" customHeight="1" spans="2:9">
      <c r="B2397" s="3274">
        <v>1331</v>
      </c>
      <c r="D2397" s="3297" t="s">
        <v>7095</v>
      </c>
      <c r="E2397" s="3298" t="s">
        <v>7096</v>
      </c>
      <c r="F2397" s="3298" t="s">
        <v>2293</v>
      </c>
      <c r="G2397" s="3278">
        <v>107250</v>
      </c>
      <c r="H2397" s="3299">
        <v>0</v>
      </c>
      <c r="I2397" s="3278">
        <v>0</v>
      </c>
    </row>
    <row r="2398" ht="12.75" customHeight="1" spans="2:9">
      <c r="B2398" s="3274">
        <v>1332</v>
      </c>
      <c r="D2398" s="3297" t="s">
        <v>7097</v>
      </c>
      <c r="E2398" s="3298" t="s">
        <v>7098</v>
      </c>
      <c r="F2398" s="3298" t="s">
        <v>3042</v>
      </c>
      <c r="G2398" s="3278">
        <v>245520</v>
      </c>
      <c r="H2398" s="3299">
        <v>0</v>
      </c>
      <c r="I2398" s="3278">
        <v>0</v>
      </c>
    </row>
    <row r="2399" ht="12.75" customHeight="1" spans="2:9">
      <c r="B2399" s="3274">
        <v>1333</v>
      </c>
      <c r="D2399" s="3297" t="s">
        <v>7099</v>
      </c>
      <c r="E2399" s="3298" t="s">
        <v>7100</v>
      </c>
      <c r="F2399" s="3298" t="s">
        <v>2637</v>
      </c>
      <c r="G2399" s="3278">
        <v>67100</v>
      </c>
      <c r="H2399" s="3299">
        <v>0</v>
      </c>
      <c r="I2399" s="3278">
        <v>0</v>
      </c>
    </row>
    <row r="2400" ht="12.75" customHeight="1" spans="2:9">
      <c r="B2400" s="3274">
        <v>1334</v>
      </c>
      <c r="D2400" s="3297" t="s">
        <v>7101</v>
      </c>
      <c r="E2400" s="3298" t="s">
        <v>7102</v>
      </c>
      <c r="F2400" s="3298" t="s">
        <v>2321</v>
      </c>
      <c r="G2400" s="3278">
        <v>117975</v>
      </c>
      <c r="H2400" s="3299">
        <v>0</v>
      </c>
      <c r="I2400" s="3278">
        <v>0</v>
      </c>
    </row>
    <row r="2401" ht="12.75" customHeight="1" spans="2:9">
      <c r="B2401" s="3274">
        <v>1335</v>
      </c>
      <c r="D2401" s="3297" t="s">
        <v>7103</v>
      </c>
      <c r="E2401" s="3298" t="s">
        <v>7104</v>
      </c>
      <c r="F2401" s="3298" t="s">
        <v>3423</v>
      </c>
      <c r="G2401" s="3278">
        <v>72490</v>
      </c>
      <c r="H2401" s="3299">
        <v>0</v>
      </c>
      <c r="I2401" s="3278">
        <v>0</v>
      </c>
    </row>
    <row r="2402" ht="12.75" customHeight="1" spans="2:9">
      <c r="B2402" s="3274">
        <v>1336</v>
      </c>
      <c r="D2402" s="3297" t="s">
        <v>7105</v>
      </c>
      <c r="E2402" s="3298" t="s">
        <v>7106</v>
      </c>
      <c r="F2402" s="3298" t="s">
        <v>3056</v>
      </c>
      <c r="G2402" s="3278">
        <v>990</v>
      </c>
      <c r="H2402" s="3299">
        <v>0</v>
      </c>
      <c r="I2402" s="3278">
        <v>0</v>
      </c>
    </row>
    <row r="2403" ht="12.75" customHeight="1" spans="2:9">
      <c r="B2403" s="3274">
        <v>1337</v>
      </c>
      <c r="D2403" s="3297" t="s">
        <v>7107</v>
      </c>
      <c r="E2403" s="3298" t="s">
        <v>7108</v>
      </c>
      <c r="F2403" s="3298" t="s">
        <v>3056</v>
      </c>
      <c r="G2403" s="3278">
        <v>7150</v>
      </c>
      <c r="H2403" s="3299">
        <v>0</v>
      </c>
      <c r="I2403" s="3278">
        <v>0</v>
      </c>
    </row>
    <row r="2404" ht="12.75" customHeight="1" spans="2:9">
      <c r="B2404" s="3274">
        <v>1338</v>
      </c>
      <c r="D2404" s="3297" t="s">
        <v>7109</v>
      </c>
      <c r="E2404" s="3298" t="s">
        <v>7110</v>
      </c>
      <c r="F2404" s="3298" t="s">
        <v>3056</v>
      </c>
      <c r="G2404" s="3278">
        <v>8800</v>
      </c>
      <c r="H2404" s="3299">
        <v>0</v>
      </c>
      <c r="I2404" s="3278">
        <v>0</v>
      </c>
    </row>
    <row r="2405" ht="12.75" customHeight="1" spans="2:9">
      <c r="B2405" s="3274">
        <v>1339</v>
      </c>
      <c r="D2405" s="3297" t="s">
        <v>7111</v>
      </c>
      <c r="E2405" s="3298" t="s">
        <v>7112</v>
      </c>
      <c r="F2405" s="3298" t="s">
        <v>2321</v>
      </c>
      <c r="G2405" s="3278">
        <v>18199.5</v>
      </c>
      <c r="H2405" s="3299">
        <v>0</v>
      </c>
      <c r="I2405" s="3278">
        <v>0</v>
      </c>
    </row>
    <row r="2406" ht="12.75" customHeight="1" spans="2:9">
      <c r="B2406" s="3274">
        <v>1340</v>
      </c>
      <c r="D2406" s="3297" t="s">
        <v>7113</v>
      </c>
      <c r="E2406" s="3298" t="s">
        <v>7114</v>
      </c>
      <c r="F2406" s="3298" t="s">
        <v>2321</v>
      </c>
      <c r="G2406" s="3278">
        <v>34760</v>
      </c>
      <c r="H2406" s="3299">
        <v>0</v>
      </c>
      <c r="I2406" s="3278">
        <v>0</v>
      </c>
    </row>
    <row r="2407" ht="12.75" customHeight="1" spans="2:9">
      <c r="B2407" s="3274">
        <v>1341</v>
      </c>
      <c r="D2407" s="3297" t="s">
        <v>7115</v>
      </c>
      <c r="E2407" s="3298" t="s">
        <v>7116</v>
      </c>
      <c r="F2407" s="3298" t="s">
        <v>2321</v>
      </c>
      <c r="G2407" s="3278">
        <v>66000</v>
      </c>
      <c r="H2407" s="3299">
        <v>0</v>
      </c>
      <c r="I2407" s="3278">
        <v>0</v>
      </c>
    </row>
    <row r="2408" ht="12.75" customHeight="1" spans="2:9">
      <c r="B2408" s="3274">
        <v>1342</v>
      </c>
      <c r="D2408" s="3297" t="s">
        <v>7117</v>
      </c>
      <c r="E2408" s="3298" t="s">
        <v>7118</v>
      </c>
      <c r="F2408" s="3298" t="s">
        <v>2293</v>
      </c>
      <c r="G2408" s="3278">
        <v>88000</v>
      </c>
      <c r="H2408" s="3299">
        <v>22</v>
      </c>
      <c r="I2408" s="3278">
        <v>1936000</v>
      </c>
    </row>
    <row r="2409" ht="12.75" customHeight="1" spans="2:9">
      <c r="B2409" s="3274">
        <v>1343</v>
      </c>
      <c r="D2409" s="3297" t="s">
        <v>7119</v>
      </c>
      <c r="E2409" s="3298" t="s">
        <v>7120</v>
      </c>
      <c r="F2409" s="3298" t="s">
        <v>2637</v>
      </c>
      <c r="G2409" s="3278">
        <v>12100</v>
      </c>
      <c r="H2409" s="3299">
        <v>0</v>
      </c>
      <c r="I2409" s="3278">
        <v>0</v>
      </c>
    </row>
    <row r="2410" ht="12.75" customHeight="1" spans="2:9">
      <c r="B2410" s="3274">
        <v>1344</v>
      </c>
      <c r="D2410" s="3297" t="s">
        <v>7121</v>
      </c>
      <c r="E2410" s="3298" t="s">
        <v>7122</v>
      </c>
      <c r="F2410" s="3298" t="s">
        <v>3042</v>
      </c>
      <c r="G2410" s="3278">
        <v>4917</v>
      </c>
      <c r="H2410" s="3299">
        <v>0</v>
      </c>
      <c r="I2410" s="3278">
        <v>0</v>
      </c>
    </row>
    <row r="2411" ht="12.75" customHeight="1" spans="2:9">
      <c r="B2411" s="3274">
        <v>1345</v>
      </c>
      <c r="D2411" s="3297" t="s">
        <v>7123</v>
      </c>
      <c r="E2411" s="3298" t="s">
        <v>7124</v>
      </c>
      <c r="F2411" s="3298" t="s">
        <v>3423</v>
      </c>
      <c r="G2411" s="3278">
        <v>25300</v>
      </c>
      <c r="H2411" s="3299">
        <v>0</v>
      </c>
      <c r="I2411" s="3278">
        <v>0</v>
      </c>
    </row>
    <row r="2412" ht="12.75" customHeight="1" spans="2:9">
      <c r="B2412" s="3274">
        <v>1346</v>
      </c>
      <c r="D2412" s="3297" t="s">
        <v>7125</v>
      </c>
      <c r="E2412" s="3298" t="s">
        <v>7126</v>
      </c>
      <c r="F2412" s="3298" t="s">
        <v>2321</v>
      </c>
      <c r="G2412" s="3278">
        <v>109450</v>
      </c>
      <c r="H2412" s="3299">
        <v>0</v>
      </c>
      <c r="I2412" s="3278">
        <v>0</v>
      </c>
    </row>
    <row r="2413" ht="12.75" customHeight="1" spans="2:9">
      <c r="B2413" s="3274">
        <v>1347</v>
      </c>
      <c r="D2413" s="3297" t="s">
        <v>7127</v>
      </c>
      <c r="E2413" s="3298" t="s">
        <v>7128</v>
      </c>
      <c r="F2413" s="3298" t="s">
        <v>2321</v>
      </c>
      <c r="G2413" s="3278">
        <v>14960</v>
      </c>
      <c r="H2413" s="3299">
        <v>0</v>
      </c>
      <c r="I2413" s="3278">
        <v>0</v>
      </c>
    </row>
    <row r="2414" ht="12.75" customHeight="1" spans="2:9">
      <c r="B2414" s="3274">
        <v>1348</v>
      </c>
      <c r="D2414" s="3297" t="s">
        <v>7129</v>
      </c>
      <c r="E2414" s="3298" t="s">
        <v>7130</v>
      </c>
      <c r="F2414" s="3298" t="s">
        <v>2321</v>
      </c>
      <c r="G2414" s="3278">
        <v>39600</v>
      </c>
      <c r="H2414" s="3299">
        <v>0</v>
      </c>
      <c r="I2414" s="3278">
        <v>0</v>
      </c>
    </row>
    <row r="2415" ht="12.75" customHeight="1" spans="2:9">
      <c r="B2415" s="3274">
        <v>1349</v>
      </c>
      <c r="D2415" s="3297" t="s">
        <v>7131</v>
      </c>
      <c r="E2415" s="3298" t="s">
        <v>7132</v>
      </c>
      <c r="F2415" s="3298" t="s">
        <v>2321</v>
      </c>
      <c r="G2415" s="3278">
        <v>42000</v>
      </c>
      <c r="H2415" s="3299">
        <v>0</v>
      </c>
      <c r="I2415" s="3278">
        <v>0</v>
      </c>
    </row>
    <row r="2416" ht="12.75" customHeight="1" spans="2:9">
      <c r="B2416" s="3274">
        <v>1350</v>
      </c>
      <c r="D2416" s="3297" t="s">
        <v>7133</v>
      </c>
      <c r="E2416" s="3298" t="s">
        <v>7134</v>
      </c>
      <c r="F2416" s="3298" t="s">
        <v>3423</v>
      </c>
      <c r="G2416" s="3278">
        <v>297000</v>
      </c>
      <c r="H2416" s="3299">
        <v>0</v>
      </c>
      <c r="I2416" s="3278">
        <v>0</v>
      </c>
    </row>
    <row r="2417" ht="12.75" customHeight="1" spans="2:9">
      <c r="B2417" s="3274">
        <v>1351</v>
      </c>
      <c r="D2417" s="3297" t="s">
        <v>7135</v>
      </c>
      <c r="E2417" s="3298" t="s">
        <v>7136</v>
      </c>
      <c r="F2417" s="3298" t="s">
        <v>2321</v>
      </c>
      <c r="G2417" s="3278">
        <v>6600</v>
      </c>
      <c r="H2417" s="3299">
        <v>0</v>
      </c>
      <c r="I2417" s="3278">
        <v>0</v>
      </c>
    </row>
    <row r="2418" ht="12.75" customHeight="1" spans="2:9">
      <c r="B2418" s="3274">
        <v>1352</v>
      </c>
      <c r="D2418" s="3297" t="s">
        <v>7137</v>
      </c>
      <c r="E2418" s="3298" t="s">
        <v>7138</v>
      </c>
      <c r="F2418" s="3298" t="s">
        <v>2637</v>
      </c>
      <c r="G2418" s="3278">
        <v>46420</v>
      </c>
      <c r="H2418" s="3299">
        <v>0</v>
      </c>
      <c r="I2418" s="3278">
        <v>0</v>
      </c>
    </row>
    <row r="2419" ht="12.75" customHeight="1" spans="2:9">
      <c r="B2419" s="3274">
        <v>1353</v>
      </c>
      <c r="D2419" s="3297" t="s">
        <v>7139</v>
      </c>
      <c r="E2419" s="3298" t="s">
        <v>7140</v>
      </c>
      <c r="F2419" s="3298" t="s">
        <v>2293</v>
      </c>
      <c r="G2419" s="3278">
        <v>13398</v>
      </c>
      <c r="H2419" s="3299">
        <v>0</v>
      </c>
      <c r="I2419" s="3278">
        <v>0</v>
      </c>
    </row>
    <row r="2420" ht="12.75" customHeight="1" spans="2:9">
      <c r="B2420" s="3274">
        <v>1354</v>
      </c>
      <c r="D2420" s="3297" t="s">
        <v>7141</v>
      </c>
      <c r="E2420" s="3298" t="s">
        <v>7142</v>
      </c>
      <c r="F2420" s="3298" t="s">
        <v>3056</v>
      </c>
      <c r="G2420" s="3278">
        <v>2200</v>
      </c>
      <c r="H2420" s="3299">
        <v>0</v>
      </c>
      <c r="I2420" s="3278">
        <v>0</v>
      </c>
    </row>
    <row r="2421" ht="12.75" customHeight="1" spans="2:9">
      <c r="B2421" s="3274">
        <v>1355</v>
      </c>
      <c r="D2421" s="3297" t="s">
        <v>7143</v>
      </c>
      <c r="E2421" s="3298" t="s">
        <v>7144</v>
      </c>
      <c r="F2421" s="3298" t="s">
        <v>2637</v>
      </c>
      <c r="G2421" s="3278">
        <v>17600</v>
      </c>
      <c r="H2421" s="3299">
        <v>0</v>
      </c>
      <c r="I2421" s="3278">
        <v>0</v>
      </c>
    </row>
    <row r="2422" ht="12.75" customHeight="1" spans="2:9">
      <c r="B2422" s="3274">
        <v>1356</v>
      </c>
      <c r="D2422" s="3297" t="s">
        <v>7145</v>
      </c>
      <c r="E2422" s="3298" t="s">
        <v>7146</v>
      </c>
      <c r="F2422" s="3298" t="s">
        <v>2637</v>
      </c>
      <c r="G2422" s="3278">
        <v>13200</v>
      </c>
      <c r="H2422" s="3299">
        <v>0</v>
      </c>
      <c r="I2422" s="3278">
        <v>0</v>
      </c>
    </row>
    <row r="2423" ht="12.75" customHeight="1" spans="2:9">
      <c r="B2423" s="3274">
        <v>1357</v>
      </c>
      <c r="D2423" s="3297" t="s">
        <v>7147</v>
      </c>
      <c r="E2423" s="3298" t="s">
        <v>7148</v>
      </c>
      <c r="F2423" s="3298" t="s">
        <v>2321</v>
      </c>
      <c r="G2423" s="3278">
        <v>16500</v>
      </c>
      <c r="H2423" s="3299">
        <v>0</v>
      </c>
      <c r="I2423" s="3278">
        <v>0</v>
      </c>
    </row>
    <row r="2424" ht="12.75" customHeight="1" spans="2:9">
      <c r="B2424" s="3274">
        <v>1358</v>
      </c>
      <c r="D2424" s="3297" t="s">
        <v>7149</v>
      </c>
      <c r="E2424" s="3298" t="s">
        <v>7150</v>
      </c>
      <c r="F2424" s="3298" t="s">
        <v>3423</v>
      </c>
      <c r="G2424" s="3278">
        <v>30800</v>
      </c>
      <c r="H2424" s="3299">
        <v>0</v>
      </c>
      <c r="I2424" s="3278">
        <v>0</v>
      </c>
    </row>
    <row r="2425" ht="12.75" customHeight="1" spans="2:9">
      <c r="B2425" s="3274">
        <v>1359</v>
      </c>
      <c r="D2425" s="3297" t="s">
        <v>7151</v>
      </c>
      <c r="E2425" s="3298" t="s">
        <v>7152</v>
      </c>
      <c r="F2425" s="3298" t="s">
        <v>3056</v>
      </c>
      <c r="G2425" s="3278">
        <v>21395</v>
      </c>
      <c r="H2425" s="3299">
        <v>0</v>
      </c>
      <c r="I2425" s="3278">
        <v>0</v>
      </c>
    </row>
    <row r="2426" ht="12.75" customHeight="1" spans="2:9">
      <c r="B2426" s="3274">
        <v>1360</v>
      </c>
      <c r="D2426" s="3297" t="s">
        <v>7153</v>
      </c>
      <c r="E2426" s="3298" t="s">
        <v>7154</v>
      </c>
      <c r="F2426" s="3298" t="s">
        <v>2299</v>
      </c>
      <c r="G2426" s="3278">
        <v>548625</v>
      </c>
      <c r="H2426" s="3299">
        <v>3</v>
      </c>
      <c r="I2426" s="3278">
        <v>1645875</v>
      </c>
    </row>
    <row r="2427" ht="12.75" customHeight="1" spans="2:9">
      <c r="B2427" s="3274">
        <v>1361</v>
      </c>
      <c r="D2427" s="3297" t="s">
        <v>7155</v>
      </c>
      <c r="E2427" s="3298" t="s">
        <v>7156</v>
      </c>
      <c r="F2427" s="3298" t="s">
        <v>2299</v>
      </c>
      <c r="G2427" s="3278">
        <v>1540</v>
      </c>
      <c r="H2427" s="3299">
        <v>0</v>
      </c>
      <c r="I2427" s="3278">
        <v>0</v>
      </c>
    </row>
    <row r="2428" ht="12.75" customHeight="1" spans="2:9">
      <c r="B2428" s="3274">
        <v>1362</v>
      </c>
      <c r="D2428" s="3297" t="s">
        <v>7157</v>
      </c>
      <c r="E2428" s="3298" t="s">
        <v>7158</v>
      </c>
      <c r="F2428" s="3298" t="s">
        <v>3056</v>
      </c>
      <c r="G2428" s="3278">
        <v>11440</v>
      </c>
      <c r="H2428" s="3299">
        <v>0</v>
      </c>
      <c r="I2428" s="3278">
        <v>0</v>
      </c>
    </row>
    <row r="2429" ht="12.75" customHeight="1" spans="2:9">
      <c r="B2429" s="3274">
        <v>1363</v>
      </c>
      <c r="D2429" s="3297" t="s">
        <v>7159</v>
      </c>
      <c r="E2429" s="3298" t="s">
        <v>7160</v>
      </c>
      <c r="F2429" s="3298" t="s">
        <v>2293</v>
      </c>
      <c r="G2429" s="3278">
        <v>599.995</v>
      </c>
      <c r="H2429" s="3299">
        <v>600</v>
      </c>
      <c r="I2429" s="3278">
        <v>359997</v>
      </c>
    </row>
    <row r="2430" ht="12.75" customHeight="1" spans="2:9">
      <c r="B2430" s="3274">
        <v>1364</v>
      </c>
      <c r="D2430" s="3297" t="s">
        <v>7161</v>
      </c>
      <c r="E2430" s="3298" t="s">
        <v>7162</v>
      </c>
      <c r="F2430" s="3298" t="s">
        <v>3056</v>
      </c>
      <c r="G2430" s="3278">
        <v>5610</v>
      </c>
      <c r="H2430" s="3299">
        <v>0</v>
      </c>
      <c r="I2430" s="3278">
        <v>0</v>
      </c>
    </row>
    <row r="2431" ht="12.75" customHeight="1" spans="2:9">
      <c r="B2431" s="3274">
        <v>1365</v>
      </c>
      <c r="D2431" s="3297" t="s">
        <v>7163</v>
      </c>
      <c r="E2431" s="3298" t="s">
        <v>7164</v>
      </c>
      <c r="F2431" s="3298" t="s">
        <v>2321</v>
      </c>
      <c r="G2431" s="3278">
        <v>8250</v>
      </c>
      <c r="H2431" s="3299">
        <v>0</v>
      </c>
      <c r="I2431" s="3278">
        <v>0</v>
      </c>
    </row>
    <row r="2432" ht="12.75" customHeight="1" spans="2:9">
      <c r="B2432" s="3274">
        <v>1366</v>
      </c>
      <c r="D2432" s="3297" t="s">
        <v>7165</v>
      </c>
      <c r="E2432" s="3298" t="s">
        <v>7166</v>
      </c>
      <c r="F2432" s="3298" t="s">
        <v>2321</v>
      </c>
      <c r="G2432" s="3278">
        <v>5005</v>
      </c>
      <c r="H2432" s="3299">
        <v>109</v>
      </c>
      <c r="I2432" s="3278">
        <v>545545</v>
      </c>
    </row>
    <row r="2433" ht="12.75" customHeight="1" spans="2:9">
      <c r="B2433" s="3274">
        <v>1367</v>
      </c>
      <c r="D2433" s="3297" t="s">
        <v>7167</v>
      </c>
      <c r="E2433" s="3298" t="s">
        <v>7168</v>
      </c>
      <c r="F2433" s="3298" t="s">
        <v>2321</v>
      </c>
      <c r="G2433" s="3278">
        <v>32954.9</v>
      </c>
      <c r="H2433" s="3299">
        <v>0</v>
      </c>
      <c r="I2433" s="3278">
        <v>0</v>
      </c>
    </row>
    <row r="2434" ht="12.75" customHeight="1" spans="2:9">
      <c r="B2434" s="3274">
        <v>1368</v>
      </c>
      <c r="D2434" s="3297" t="s">
        <v>7169</v>
      </c>
      <c r="E2434" s="3298" t="s">
        <v>7170</v>
      </c>
      <c r="F2434" s="3298" t="s">
        <v>2299</v>
      </c>
      <c r="G2434" s="3278">
        <v>19800</v>
      </c>
      <c r="H2434" s="3299">
        <v>0</v>
      </c>
      <c r="I2434" s="3278">
        <v>0</v>
      </c>
    </row>
    <row r="2435" ht="12.75" customHeight="1" spans="2:9">
      <c r="B2435" s="3274">
        <v>1369</v>
      </c>
      <c r="D2435" s="3297" t="s">
        <v>7171</v>
      </c>
      <c r="E2435" s="3298" t="s">
        <v>7172</v>
      </c>
      <c r="F2435" s="3298" t="s">
        <v>2299</v>
      </c>
      <c r="G2435" s="3278">
        <v>4099.7</v>
      </c>
      <c r="H2435" s="3299">
        <v>0</v>
      </c>
      <c r="I2435" s="3278">
        <v>0</v>
      </c>
    </row>
    <row r="2436" ht="12.75" customHeight="1" spans="2:9">
      <c r="B2436" s="3274">
        <v>1370</v>
      </c>
      <c r="D2436" s="3297" t="s">
        <v>7173</v>
      </c>
      <c r="E2436" s="3298" t="s">
        <v>7174</v>
      </c>
      <c r="F2436" s="3298" t="s">
        <v>2299</v>
      </c>
      <c r="G2436" s="3278">
        <v>33550</v>
      </c>
      <c r="H2436" s="3299">
        <v>0</v>
      </c>
      <c r="I2436" s="3278">
        <v>0</v>
      </c>
    </row>
    <row r="2437" ht="12.75" customHeight="1" spans="2:9">
      <c r="B2437" s="3274">
        <v>1371</v>
      </c>
      <c r="D2437" s="3297" t="s">
        <v>7175</v>
      </c>
      <c r="E2437" s="3298" t="s">
        <v>7176</v>
      </c>
      <c r="F2437" s="3298" t="s">
        <v>2299</v>
      </c>
      <c r="G2437" s="3278">
        <v>11300.003</v>
      </c>
      <c r="H2437" s="3299">
        <v>0</v>
      </c>
      <c r="I2437" s="3278">
        <v>0</v>
      </c>
    </row>
    <row r="2438" ht="12.75" customHeight="1" spans="2:9">
      <c r="B2438" s="3274">
        <v>1372</v>
      </c>
      <c r="D2438" s="3297" t="s">
        <v>7177</v>
      </c>
      <c r="E2438" s="3298" t="s">
        <v>7178</v>
      </c>
      <c r="F2438" s="3298" t="s">
        <v>2637</v>
      </c>
      <c r="G2438" s="3278">
        <v>41328.1</v>
      </c>
      <c r="H2438" s="3299">
        <v>0</v>
      </c>
      <c r="I2438" s="3278">
        <v>0</v>
      </c>
    </row>
    <row r="2439" ht="12.75" customHeight="1" spans="2:9">
      <c r="B2439" s="3274">
        <v>1373</v>
      </c>
      <c r="D2439" s="3297" t="s">
        <v>7179</v>
      </c>
      <c r="E2439" s="3298" t="s">
        <v>7180</v>
      </c>
      <c r="F2439" s="3298" t="s">
        <v>3056</v>
      </c>
      <c r="G2439" s="3278">
        <v>22271.997</v>
      </c>
      <c r="H2439" s="3299">
        <v>0</v>
      </c>
      <c r="I2439" s="3278">
        <v>0</v>
      </c>
    </row>
    <row r="2440" ht="12.75" customHeight="1" spans="2:9">
      <c r="B2440" s="3274">
        <v>1374</v>
      </c>
      <c r="D2440" s="3297" t="s">
        <v>7181</v>
      </c>
      <c r="E2440" s="3298" t="s">
        <v>7182</v>
      </c>
      <c r="F2440" s="3298" t="s">
        <v>2321</v>
      </c>
      <c r="G2440" s="3278">
        <v>41800</v>
      </c>
      <c r="H2440" s="3299">
        <v>0</v>
      </c>
      <c r="I2440" s="3278">
        <v>0</v>
      </c>
    </row>
    <row r="2441" ht="12.75" customHeight="1" spans="2:9">
      <c r="B2441" s="3274">
        <v>1375</v>
      </c>
      <c r="D2441" s="3297" t="s">
        <v>7183</v>
      </c>
      <c r="E2441" s="3298" t="s">
        <v>7184</v>
      </c>
      <c r="F2441" s="3298" t="s">
        <v>2299</v>
      </c>
      <c r="G2441" s="3278">
        <v>58300</v>
      </c>
      <c r="H2441" s="3299">
        <v>0</v>
      </c>
      <c r="I2441" s="3278">
        <v>0</v>
      </c>
    </row>
    <row r="2442" ht="12.75" customHeight="1" spans="2:9">
      <c r="B2442" s="3274">
        <v>1376</v>
      </c>
      <c r="D2442" s="3297" t="s">
        <v>7185</v>
      </c>
      <c r="E2442" s="3298" t="s">
        <v>7186</v>
      </c>
      <c r="F2442" s="3298" t="s">
        <v>2299</v>
      </c>
      <c r="G2442" s="3278">
        <v>3796.1</v>
      </c>
      <c r="H2442" s="3299">
        <v>8</v>
      </c>
      <c r="I2442" s="3278">
        <v>30368.8</v>
      </c>
    </row>
    <row r="2443" ht="12.75" customHeight="1" spans="2:9">
      <c r="B2443" s="3274">
        <v>1377</v>
      </c>
      <c r="D2443" s="3297" t="s">
        <v>7187</v>
      </c>
      <c r="E2443" s="3298" t="s">
        <v>7188</v>
      </c>
      <c r="F2443" s="3298" t="s">
        <v>2637</v>
      </c>
      <c r="G2443" s="3278">
        <v>56100</v>
      </c>
      <c r="H2443" s="3299">
        <v>0</v>
      </c>
      <c r="I2443" s="3278">
        <v>0</v>
      </c>
    </row>
    <row r="2444" ht="12.75" customHeight="1" spans="2:9">
      <c r="B2444" s="3274">
        <v>1378</v>
      </c>
      <c r="D2444" s="3297" t="s">
        <v>7189</v>
      </c>
      <c r="E2444" s="3298" t="s">
        <v>7190</v>
      </c>
      <c r="F2444" s="3298" t="s">
        <v>2321</v>
      </c>
      <c r="G2444" s="3278">
        <v>231000</v>
      </c>
      <c r="H2444" s="3299">
        <v>0</v>
      </c>
      <c r="I2444" s="3278">
        <v>0</v>
      </c>
    </row>
    <row r="2445" ht="12.75" customHeight="1" spans="2:9">
      <c r="B2445" s="3274">
        <v>1379</v>
      </c>
      <c r="D2445" s="3297" t="s">
        <v>7191</v>
      </c>
      <c r="E2445" s="3298" t="s">
        <v>7192</v>
      </c>
      <c r="F2445" s="3298" t="s">
        <v>2299</v>
      </c>
      <c r="G2445" s="3278">
        <v>55314.314</v>
      </c>
      <c r="H2445" s="3299">
        <v>0</v>
      </c>
      <c r="I2445" s="3278">
        <v>0</v>
      </c>
    </row>
    <row r="2446" ht="12.75" customHeight="1" spans="2:9">
      <c r="B2446" s="3274">
        <v>1380</v>
      </c>
      <c r="D2446" s="3297" t="s">
        <v>7193</v>
      </c>
      <c r="E2446" s="3298" t="s">
        <v>7194</v>
      </c>
      <c r="F2446" s="3298" t="s">
        <v>2299</v>
      </c>
      <c r="G2446" s="3278">
        <v>143000</v>
      </c>
      <c r="H2446" s="3299">
        <v>0</v>
      </c>
      <c r="I2446" s="3278">
        <v>0</v>
      </c>
    </row>
    <row r="2447" ht="12.75" customHeight="1" spans="2:9">
      <c r="B2447" s="3274">
        <v>1381</v>
      </c>
      <c r="D2447" s="3297" t="s">
        <v>7195</v>
      </c>
      <c r="E2447" s="3298" t="s">
        <v>7196</v>
      </c>
      <c r="F2447" s="3298" t="s">
        <v>2299</v>
      </c>
      <c r="G2447" s="3278">
        <v>8250</v>
      </c>
      <c r="H2447" s="3299">
        <v>0</v>
      </c>
      <c r="I2447" s="3278">
        <v>0</v>
      </c>
    </row>
    <row r="2448" ht="12.75" customHeight="1" spans="2:9">
      <c r="B2448" s="3274">
        <v>1382</v>
      </c>
      <c r="D2448" s="3297" t="s">
        <v>7197</v>
      </c>
      <c r="E2448" s="3298" t="s">
        <v>7198</v>
      </c>
      <c r="F2448" s="3298" t="s">
        <v>2321</v>
      </c>
      <c r="G2448" s="3278">
        <v>90750</v>
      </c>
      <c r="H2448" s="3299">
        <v>9</v>
      </c>
      <c r="I2448" s="3278">
        <v>816750</v>
      </c>
    </row>
    <row r="2449" ht="12.75" customHeight="1" spans="2:9">
      <c r="B2449" s="3274">
        <v>1383</v>
      </c>
      <c r="D2449" s="3297" t="s">
        <v>7199</v>
      </c>
      <c r="E2449" s="3298" t="s">
        <v>7200</v>
      </c>
      <c r="F2449" s="3298" t="s">
        <v>2299</v>
      </c>
      <c r="G2449" s="3278">
        <v>14520</v>
      </c>
      <c r="H2449" s="3299">
        <v>0</v>
      </c>
      <c r="I2449" s="3278">
        <v>0</v>
      </c>
    </row>
    <row r="2450" ht="12.75" customHeight="1" spans="2:9">
      <c r="B2450" s="3274">
        <v>1384</v>
      </c>
      <c r="D2450" s="3297" t="s">
        <v>7201</v>
      </c>
      <c r="E2450" s="3298" t="s">
        <v>7202</v>
      </c>
      <c r="F2450" s="3298" t="s">
        <v>2299</v>
      </c>
      <c r="G2450" s="3278">
        <v>154000</v>
      </c>
      <c r="H2450" s="3299">
        <v>9</v>
      </c>
      <c r="I2450" s="3278">
        <v>1386000</v>
      </c>
    </row>
    <row r="2451" ht="12.75" customHeight="1" spans="2:9">
      <c r="B2451" s="3274">
        <v>1385</v>
      </c>
      <c r="D2451" s="3297" t="s">
        <v>7203</v>
      </c>
      <c r="E2451" s="3298" t="s">
        <v>7204</v>
      </c>
      <c r="F2451" s="3298" t="s">
        <v>3056</v>
      </c>
      <c r="G2451" s="3278">
        <v>2750</v>
      </c>
      <c r="H2451" s="3299">
        <v>0</v>
      </c>
      <c r="I2451" s="3278">
        <v>0</v>
      </c>
    </row>
    <row r="2452" ht="12.75" customHeight="1" spans="2:9">
      <c r="B2452" s="3274">
        <v>1386</v>
      </c>
      <c r="D2452" s="3297" t="s">
        <v>7205</v>
      </c>
      <c r="E2452" s="3298" t="s">
        <v>7206</v>
      </c>
      <c r="F2452" s="3298" t="s">
        <v>2321</v>
      </c>
      <c r="G2452" s="3278">
        <v>84920</v>
      </c>
      <c r="H2452" s="3299">
        <v>2</v>
      </c>
      <c r="I2452" s="3278">
        <v>169840</v>
      </c>
    </row>
    <row r="2453" ht="12.75" customHeight="1" spans="2:9">
      <c r="B2453" s="3274">
        <v>1387</v>
      </c>
      <c r="D2453" s="3297" t="s">
        <v>7207</v>
      </c>
      <c r="E2453" s="3298" t="s">
        <v>7208</v>
      </c>
      <c r="F2453" s="3298" t="s">
        <v>5070</v>
      </c>
      <c r="G2453" s="3278">
        <v>13915</v>
      </c>
      <c r="H2453" s="3299">
        <v>0</v>
      </c>
      <c r="I2453" s="3278">
        <v>0</v>
      </c>
    </row>
    <row r="2454" ht="12.75" customHeight="1" spans="2:9">
      <c r="B2454" s="3274">
        <v>1388</v>
      </c>
      <c r="D2454" s="3297" t="s">
        <v>7209</v>
      </c>
      <c r="E2454" s="3298" t="s">
        <v>7210</v>
      </c>
      <c r="F2454" s="3298" t="s">
        <v>2299</v>
      </c>
      <c r="G2454" s="3278">
        <v>9759.75</v>
      </c>
      <c r="H2454" s="3299">
        <v>25</v>
      </c>
      <c r="I2454" s="3278">
        <v>243993.75</v>
      </c>
    </row>
    <row r="2455" ht="12.75" customHeight="1" spans="2:9">
      <c r="B2455" s="3274">
        <v>1389</v>
      </c>
      <c r="D2455" s="3297" t="s">
        <v>7211</v>
      </c>
      <c r="E2455" s="3298" t="s">
        <v>7212</v>
      </c>
      <c r="F2455" s="3298" t="s">
        <v>3056</v>
      </c>
      <c r="G2455" s="3278">
        <v>10450</v>
      </c>
      <c r="H2455" s="3299">
        <v>4200</v>
      </c>
      <c r="I2455" s="3278">
        <v>43890000</v>
      </c>
    </row>
    <row r="2456" ht="12.75" customHeight="1" spans="2:9">
      <c r="B2456" s="3274">
        <v>1390</v>
      </c>
      <c r="D2456" s="3297" t="s">
        <v>7213</v>
      </c>
      <c r="E2456" s="3298" t="s">
        <v>7214</v>
      </c>
      <c r="F2456" s="3298" t="s">
        <v>2299</v>
      </c>
      <c r="G2456" s="3278">
        <v>26235</v>
      </c>
      <c r="H2456" s="3299">
        <v>15</v>
      </c>
      <c r="I2456" s="3278">
        <v>393525</v>
      </c>
    </row>
    <row r="2457" ht="12.75" customHeight="1" spans="2:9">
      <c r="B2457" s="3274">
        <v>1391</v>
      </c>
      <c r="D2457" s="3297" t="s">
        <v>7215</v>
      </c>
      <c r="E2457" s="3298" t="s">
        <v>7216</v>
      </c>
      <c r="F2457" s="3298" t="s">
        <v>3423</v>
      </c>
      <c r="G2457" s="3278">
        <v>143000</v>
      </c>
      <c r="H2457" s="3299">
        <v>0</v>
      </c>
      <c r="I2457" s="3278">
        <v>0</v>
      </c>
    </row>
    <row r="2458" ht="12.75" customHeight="1" spans="2:9">
      <c r="B2458" s="3274">
        <v>1392</v>
      </c>
      <c r="D2458" s="3297" t="s">
        <v>7217</v>
      </c>
      <c r="E2458" s="3298" t="s">
        <v>7218</v>
      </c>
      <c r="F2458" s="3298" t="s">
        <v>3056</v>
      </c>
      <c r="G2458" s="3278">
        <v>59283.4</v>
      </c>
      <c r="H2458" s="3299">
        <v>0</v>
      </c>
      <c r="I2458" s="3278">
        <v>0</v>
      </c>
    </row>
    <row r="2459" ht="12.75" customHeight="1" spans="2:9">
      <c r="B2459" s="3274">
        <v>1393</v>
      </c>
      <c r="D2459" s="3297" t="s">
        <v>7219</v>
      </c>
      <c r="E2459" s="3298" t="s">
        <v>7220</v>
      </c>
      <c r="F2459" s="3298" t="s">
        <v>2299</v>
      </c>
      <c r="G2459" s="3278">
        <v>16593.5</v>
      </c>
      <c r="H2459" s="3299">
        <v>0</v>
      </c>
      <c r="I2459" s="3278">
        <v>0</v>
      </c>
    </row>
    <row r="2460" ht="12.75" customHeight="1" spans="2:9">
      <c r="B2460" s="3274">
        <v>1394</v>
      </c>
      <c r="D2460" s="3297" t="s">
        <v>7221</v>
      </c>
      <c r="E2460" s="3298" t="s">
        <v>7222</v>
      </c>
      <c r="F2460" s="3298" t="s">
        <v>2299</v>
      </c>
      <c r="G2460" s="3278">
        <v>6954.2</v>
      </c>
      <c r="H2460" s="3299">
        <v>13</v>
      </c>
      <c r="I2460" s="3278">
        <v>90404.6</v>
      </c>
    </row>
    <row r="2461" ht="12.75" customHeight="1" spans="2:9">
      <c r="B2461" s="3274">
        <v>1395</v>
      </c>
      <c r="D2461" s="3297" t="s">
        <v>7223</v>
      </c>
      <c r="E2461" s="3298" t="s">
        <v>7224</v>
      </c>
      <c r="F2461" s="3298" t="s">
        <v>2299</v>
      </c>
      <c r="G2461" s="3278">
        <v>3223</v>
      </c>
      <c r="H2461" s="3299">
        <v>32</v>
      </c>
      <c r="I2461" s="3278">
        <v>103136</v>
      </c>
    </row>
    <row r="2462" ht="12.75" customHeight="1" spans="2:9">
      <c r="B2462" s="3274">
        <v>1396</v>
      </c>
      <c r="D2462" s="3297" t="s">
        <v>7225</v>
      </c>
      <c r="E2462" s="3298" t="s">
        <v>7226</v>
      </c>
      <c r="F2462" s="3298" t="s">
        <v>3056</v>
      </c>
      <c r="G2462" s="3278">
        <v>7920</v>
      </c>
      <c r="H2462" s="3299">
        <v>0</v>
      </c>
      <c r="I2462" s="3278">
        <v>0</v>
      </c>
    </row>
    <row r="2463" ht="12.75" customHeight="1" spans="2:9">
      <c r="B2463" s="3274">
        <v>1397</v>
      </c>
      <c r="D2463" s="3297" t="s">
        <v>7227</v>
      </c>
      <c r="E2463" s="3298" t="s">
        <v>7228</v>
      </c>
      <c r="F2463" s="3298" t="s">
        <v>2637</v>
      </c>
      <c r="G2463" s="3278">
        <v>33504.9</v>
      </c>
      <c r="H2463" s="3299">
        <v>0</v>
      </c>
      <c r="I2463" s="3278">
        <v>0</v>
      </c>
    </row>
    <row r="2464" ht="12.75" customHeight="1" spans="2:9">
      <c r="B2464" s="3274">
        <v>1398</v>
      </c>
      <c r="D2464" s="3297" t="s">
        <v>7229</v>
      </c>
      <c r="E2464" s="3298" t="s">
        <v>7230</v>
      </c>
      <c r="F2464" s="3298" t="s">
        <v>3056</v>
      </c>
      <c r="G2464" s="3278">
        <v>14125.5071</v>
      </c>
      <c r="H2464" s="3299">
        <v>0</v>
      </c>
      <c r="I2464" s="3278">
        <v>0</v>
      </c>
    </row>
    <row r="2465" ht="12.75" customHeight="1" spans="2:9">
      <c r="B2465" s="3274">
        <v>1399</v>
      </c>
      <c r="D2465" s="3297" t="s">
        <v>7231</v>
      </c>
      <c r="E2465" s="3298" t="s">
        <v>7232</v>
      </c>
      <c r="F2465" s="3298" t="s">
        <v>3056</v>
      </c>
      <c r="G2465" s="3278">
        <v>11096.25</v>
      </c>
      <c r="H2465" s="3299">
        <v>0</v>
      </c>
      <c r="I2465" s="3278">
        <v>0</v>
      </c>
    </row>
    <row r="2466" ht="12.75" customHeight="1" spans="2:9">
      <c r="B2466" s="3274">
        <v>1400</v>
      </c>
      <c r="D2466" s="3297" t="s">
        <v>7233</v>
      </c>
      <c r="E2466" s="3298" t="s">
        <v>7234</v>
      </c>
      <c r="F2466" s="3298" t="s">
        <v>2321</v>
      </c>
      <c r="G2466" s="3278">
        <v>37400</v>
      </c>
      <c r="H2466" s="3299">
        <v>0</v>
      </c>
      <c r="I2466" s="3278">
        <v>0</v>
      </c>
    </row>
    <row r="2467" ht="12.75" customHeight="1" spans="2:9">
      <c r="B2467" s="3274">
        <v>1401</v>
      </c>
      <c r="D2467" s="3297" t="s">
        <v>7235</v>
      </c>
      <c r="E2467" s="3298" t="s">
        <v>7236</v>
      </c>
      <c r="F2467" s="3298" t="s">
        <v>2299</v>
      </c>
      <c r="G2467" s="3278">
        <v>3300</v>
      </c>
      <c r="H2467" s="3299">
        <v>0</v>
      </c>
      <c r="I2467" s="3278">
        <v>0</v>
      </c>
    </row>
    <row r="2468" ht="12.75" customHeight="1" spans="2:9">
      <c r="B2468" s="3274">
        <v>1402</v>
      </c>
      <c r="D2468" s="3297" t="s">
        <v>7237</v>
      </c>
      <c r="E2468" s="3298" t="s">
        <v>7238</v>
      </c>
      <c r="F2468" s="3298" t="s">
        <v>2299</v>
      </c>
      <c r="G2468" s="3278">
        <v>12964.259</v>
      </c>
      <c r="H2468" s="3299">
        <v>0</v>
      </c>
      <c r="I2468" s="3278">
        <v>0</v>
      </c>
    </row>
    <row r="2469" ht="12.75" customHeight="1" spans="2:9">
      <c r="B2469" s="3274">
        <v>1403</v>
      </c>
      <c r="D2469" s="3297" t="s">
        <v>7239</v>
      </c>
      <c r="E2469" s="3298" t="s">
        <v>7240</v>
      </c>
      <c r="F2469" s="3298" t="s">
        <v>3056</v>
      </c>
      <c r="G2469" s="3278">
        <v>682.33</v>
      </c>
      <c r="H2469" s="3299">
        <v>0</v>
      </c>
      <c r="I2469" s="3278">
        <v>0</v>
      </c>
    </row>
    <row r="2470" ht="12.75" customHeight="1" spans="2:9">
      <c r="B2470" s="3274">
        <v>1404</v>
      </c>
      <c r="D2470" s="3297" t="s">
        <v>7241</v>
      </c>
      <c r="E2470" s="3298" t="s">
        <v>7242</v>
      </c>
      <c r="F2470" s="3298" t="s">
        <v>2299</v>
      </c>
      <c r="G2470" s="3278">
        <v>3327.5</v>
      </c>
      <c r="H2470" s="3299">
        <v>24</v>
      </c>
      <c r="I2470" s="3278">
        <v>79860</v>
      </c>
    </row>
    <row r="2471" ht="12.75" customHeight="1" spans="2:9">
      <c r="B2471" s="3274">
        <v>1405</v>
      </c>
      <c r="D2471" s="3297" t="s">
        <v>7243</v>
      </c>
      <c r="E2471" s="3298" t="s">
        <v>7244</v>
      </c>
      <c r="F2471" s="3298" t="s">
        <v>2299</v>
      </c>
      <c r="G2471" s="3278">
        <v>12650</v>
      </c>
      <c r="H2471" s="3299">
        <v>0</v>
      </c>
      <c r="I2471" s="3278">
        <v>0</v>
      </c>
    </row>
    <row r="2472" ht="12.75" customHeight="1" spans="2:9">
      <c r="B2472" s="3274">
        <v>1406</v>
      </c>
      <c r="D2472" s="3297" t="s">
        <v>7245</v>
      </c>
      <c r="E2472" s="3298" t="s">
        <v>7246</v>
      </c>
      <c r="F2472" s="3298" t="s">
        <v>2321</v>
      </c>
      <c r="G2472" s="3278">
        <v>84000</v>
      </c>
      <c r="H2472" s="3299">
        <v>0</v>
      </c>
      <c r="I2472" s="3278">
        <v>0</v>
      </c>
    </row>
    <row r="2473" ht="12.75" customHeight="1" spans="2:9">
      <c r="B2473" s="3274">
        <v>1407</v>
      </c>
      <c r="D2473" s="3297" t="s">
        <v>7247</v>
      </c>
      <c r="E2473" s="3298" t="s">
        <v>7248</v>
      </c>
      <c r="F2473" s="3298" t="s">
        <v>776</v>
      </c>
      <c r="G2473" s="3278">
        <v>1265</v>
      </c>
      <c r="H2473" s="3299">
        <v>0</v>
      </c>
      <c r="I2473" s="3278">
        <v>0</v>
      </c>
    </row>
    <row r="2474" ht="12.75" customHeight="1" spans="2:9">
      <c r="B2474" s="3274">
        <v>1408</v>
      </c>
      <c r="D2474" s="3297" t="s">
        <v>7249</v>
      </c>
      <c r="E2474" s="3298" t="s">
        <v>7250</v>
      </c>
      <c r="F2474" s="3298" t="s">
        <v>2565</v>
      </c>
      <c r="G2474" s="3278">
        <v>145000</v>
      </c>
      <c r="H2474" s="3299">
        <v>0</v>
      </c>
      <c r="I2474" s="3278">
        <v>0</v>
      </c>
    </row>
    <row r="2475" ht="12.75" customHeight="1" spans="2:9">
      <c r="B2475" s="3274">
        <v>1409</v>
      </c>
      <c r="D2475" s="3297" t="s">
        <v>7251</v>
      </c>
      <c r="E2475" s="3298" t="s">
        <v>7252</v>
      </c>
      <c r="F2475" s="3298" t="s">
        <v>3056</v>
      </c>
      <c r="G2475" s="3278">
        <v>21450</v>
      </c>
      <c r="H2475" s="3299">
        <v>0</v>
      </c>
      <c r="I2475" s="3278">
        <v>0</v>
      </c>
    </row>
    <row r="2476" ht="12.75" customHeight="1" spans="2:9">
      <c r="B2476" s="3274">
        <v>1410</v>
      </c>
      <c r="D2476" s="3297" t="s">
        <v>7253</v>
      </c>
      <c r="E2476" s="3298" t="s">
        <v>7254</v>
      </c>
      <c r="F2476" s="3298" t="s">
        <v>2299</v>
      </c>
      <c r="G2476" s="3278">
        <v>58930.3</v>
      </c>
      <c r="H2476" s="3299">
        <v>24</v>
      </c>
      <c r="I2476" s="3278">
        <v>1414327.2</v>
      </c>
    </row>
    <row r="2477" ht="12.75" customHeight="1" spans="2:9">
      <c r="B2477" s="3274">
        <v>1411</v>
      </c>
      <c r="D2477" s="3297" t="s">
        <v>7255</v>
      </c>
      <c r="E2477" s="3298" t="s">
        <v>7256</v>
      </c>
      <c r="F2477" s="3298" t="s">
        <v>2299</v>
      </c>
      <c r="G2477" s="3278">
        <v>90750</v>
      </c>
      <c r="H2477" s="3299">
        <v>0</v>
      </c>
      <c r="I2477" s="3278">
        <v>0</v>
      </c>
    </row>
    <row r="2478" ht="12.75" customHeight="1" spans="2:9">
      <c r="B2478" s="3274">
        <v>1412</v>
      </c>
      <c r="D2478" s="3297" t="s">
        <v>7257</v>
      </c>
      <c r="E2478" s="3298" t="s">
        <v>7258</v>
      </c>
      <c r="F2478" s="3298" t="s">
        <v>2321</v>
      </c>
      <c r="G2478" s="3278">
        <v>8800</v>
      </c>
      <c r="H2478" s="3299">
        <v>0</v>
      </c>
      <c r="I2478" s="3278">
        <v>0</v>
      </c>
    </row>
    <row r="2479" ht="12.75" customHeight="1" spans="2:9">
      <c r="B2479" s="3274">
        <v>1413</v>
      </c>
      <c r="D2479" s="3297" t="s">
        <v>7259</v>
      </c>
      <c r="E2479" s="3298" t="s">
        <v>7260</v>
      </c>
      <c r="F2479" s="3298" t="s">
        <v>3056</v>
      </c>
      <c r="G2479" s="3278">
        <v>4053.5</v>
      </c>
      <c r="H2479" s="3299">
        <v>0</v>
      </c>
      <c r="I2479" s="3278">
        <v>0</v>
      </c>
    </row>
    <row r="2480" ht="12.75" customHeight="1" spans="2:9">
      <c r="B2480" s="3274">
        <v>1414</v>
      </c>
      <c r="D2480" s="3297" t="s">
        <v>7261</v>
      </c>
      <c r="E2480" s="3298" t="s">
        <v>7262</v>
      </c>
      <c r="F2480" s="3298" t="s">
        <v>3056</v>
      </c>
      <c r="G2480" s="3278">
        <v>1320</v>
      </c>
      <c r="H2480" s="3299">
        <v>0</v>
      </c>
      <c r="I2480" s="3278">
        <v>0</v>
      </c>
    </row>
    <row r="2481" ht="12.75" customHeight="1" spans="2:9">
      <c r="B2481" s="3274">
        <v>1415</v>
      </c>
      <c r="D2481" s="3297" t="s">
        <v>7263</v>
      </c>
      <c r="E2481" s="3298" t="s">
        <v>7264</v>
      </c>
      <c r="F2481" s="3298" t="s">
        <v>3056</v>
      </c>
      <c r="G2481" s="3278">
        <v>9309.531</v>
      </c>
      <c r="H2481" s="3299">
        <v>0</v>
      </c>
      <c r="I2481" s="3278">
        <v>0</v>
      </c>
    </row>
    <row r="2482" ht="12.75" customHeight="1" spans="2:9">
      <c r="B2482" s="3274">
        <v>1416</v>
      </c>
      <c r="D2482" s="3297" t="s">
        <v>7265</v>
      </c>
      <c r="E2482" s="3298" t="s">
        <v>7266</v>
      </c>
      <c r="F2482" s="3298" t="s">
        <v>2299</v>
      </c>
      <c r="G2482" s="3278">
        <v>14575</v>
      </c>
      <c r="H2482" s="3299">
        <v>0</v>
      </c>
      <c r="I2482" s="3278">
        <v>0</v>
      </c>
    </row>
    <row r="2483" ht="12.75" customHeight="1" spans="2:9">
      <c r="B2483" s="3274">
        <v>1417</v>
      </c>
      <c r="D2483" s="3297" t="s">
        <v>7267</v>
      </c>
      <c r="E2483" s="3298" t="s">
        <v>7268</v>
      </c>
      <c r="F2483" s="3298" t="s">
        <v>2299</v>
      </c>
      <c r="G2483" s="3278">
        <v>27200</v>
      </c>
      <c r="H2483" s="3299">
        <v>0</v>
      </c>
      <c r="I2483" s="3278">
        <v>0</v>
      </c>
    </row>
    <row r="2484" ht="12.75" customHeight="1" spans="2:9">
      <c r="B2484" s="3274">
        <v>1418</v>
      </c>
      <c r="D2484" s="3297" t="s">
        <v>7269</v>
      </c>
      <c r="E2484" s="3298" t="s">
        <v>7270</v>
      </c>
      <c r="F2484" s="3298" t="s">
        <v>2321</v>
      </c>
      <c r="G2484" s="3278">
        <v>71500</v>
      </c>
      <c r="H2484" s="3299">
        <v>0</v>
      </c>
      <c r="I2484" s="3278">
        <v>0</v>
      </c>
    </row>
    <row r="2485" ht="12.75" customHeight="1" spans="2:9">
      <c r="B2485" s="3274">
        <v>1419</v>
      </c>
      <c r="D2485" s="3297" t="s">
        <v>7271</v>
      </c>
      <c r="E2485" s="3298" t="s">
        <v>7272</v>
      </c>
      <c r="F2485" s="3298" t="s">
        <v>3042</v>
      </c>
      <c r="G2485" s="3278">
        <v>22000</v>
      </c>
      <c r="H2485" s="3299">
        <v>0</v>
      </c>
      <c r="I2485" s="3278">
        <v>0</v>
      </c>
    </row>
    <row r="2486" ht="12.75" customHeight="1" spans="2:9">
      <c r="B2486" s="3274">
        <v>1420</v>
      </c>
      <c r="D2486" s="3297" t="s">
        <v>7273</v>
      </c>
      <c r="E2486" s="3298" t="s">
        <v>7274</v>
      </c>
      <c r="F2486" s="3298" t="s">
        <v>2293</v>
      </c>
      <c r="G2486" s="3278">
        <v>117590</v>
      </c>
      <c r="H2486" s="3299">
        <v>0</v>
      </c>
      <c r="I2486" s="3278">
        <v>0</v>
      </c>
    </row>
    <row r="2487" ht="12.75" customHeight="1" spans="2:9">
      <c r="B2487" s="3274">
        <v>1421</v>
      </c>
      <c r="D2487" s="3297" t="s">
        <v>7275</v>
      </c>
      <c r="E2487" s="3298" t="s">
        <v>7276</v>
      </c>
      <c r="F2487" s="3298" t="s">
        <v>3056</v>
      </c>
      <c r="G2487" s="3278">
        <v>10633.7</v>
      </c>
      <c r="H2487" s="3299">
        <v>0</v>
      </c>
      <c r="I2487" s="3278">
        <v>0</v>
      </c>
    </row>
    <row r="2488" ht="12.75" customHeight="1" spans="2:9">
      <c r="B2488" s="3274">
        <v>1422</v>
      </c>
      <c r="D2488" s="3297" t="s">
        <v>7277</v>
      </c>
      <c r="E2488" s="3298" t="s">
        <v>7278</v>
      </c>
      <c r="F2488" s="3298" t="s">
        <v>2321</v>
      </c>
      <c r="G2488" s="3278">
        <v>55000</v>
      </c>
      <c r="H2488" s="3299">
        <v>0</v>
      </c>
      <c r="I2488" s="3278">
        <v>0</v>
      </c>
    </row>
    <row r="2489" ht="12.75" customHeight="1" spans="2:9">
      <c r="B2489" s="3274">
        <v>1423</v>
      </c>
      <c r="D2489" s="3297" t="s">
        <v>7279</v>
      </c>
      <c r="E2489" s="3298" t="s">
        <v>7280</v>
      </c>
      <c r="F2489" s="3298" t="s">
        <v>2299</v>
      </c>
      <c r="G2489" s="3278">
        <v>5500</v>
      </c>
      <c r="H2489" s="3299">
        <v>0</v>
      </c>
      <c r="I2489" s="3278">
        <v>0</v>
      </c>
    </row>
    <row r="2490" ht="12.75" customHeight="1" spans="2:9">
      <c r="B2490" s="3274">
        <v>1424</v>
      </c>
      <c r="D2490" s="3297" t="s">
        <v>7281</v>
      </c>
      <c r="E2490" s="3298" t="s">
        <v>7282</v>
      </c>
      <c r="F2490" s="3298" t="s">
        <v>3056</v>
      </c>
      <c r="G2490" s="3278">
        <v>1315</v>
      </c>
      <c r="H2490" s="3299">
        <v>0</v>
      </c>
      <c r="I2490" s="3278">
        <v>0</v>
      </c>
    </row>
    <row r="2491" ht="12.75" customHeight="1" spans="2:9">
      <c r="B2491" s="3274">
        <v>1425</v>
      </c>
      <c r="D2491" s="3297" t="s">
        <v>7283</v>
      </c>
      <c r="E2491" s="3298" t="s">
        <v>7284</v>
      </c>
      <c r="F2491" s="3298" t="s">
        <v>3056</v>
      </c>
      <c r="G2491" s="3278">
        <v>2719.2</v>
      </c>
      <c r="H2491" s="3299">
        <v>0</v>
      </c>
      <c r="I2491" s="3278">
        <v>0</v>
      </c>
    </row>
    <row r="2492" ht="12.75" customHeight="1" spans="2:9">
      <c r="B2492" s="3274">
        <v>1426</v>
      </c>
      <c r="D2492" s="3297" t="s">
        <v>7285</v>
      </c>
      <c r="E2492" s="3298" t="s">
        <v>7286</v>
      </c>
      <c r="F2492" s="3298" t="s">
        <v>2637</v>
      </c>
      <c r="G2492" s="3278">
        <v>83190.0007</v>
      </c>
      <c r="H2492" s="3299">
        <v>0</v>
      </c>
      <c r="I2492" s="3278">
        <v>0</v>
      </c>
    </row>
    <row r="2493" ht="12.75" customHeight="1" spans="2:9">
      <c r="B2493" s="3274">
        <v>1427</v>
      </c>
      <c r="D2493" s="3297" t="s">
        <v>7287</v>
      </c>
      <c r="E2493" s="3298" t="s">
        <v>7288</v>
      </c>
      <c r="F2493" s="3298" t="s">
        <v>2321</v>
      </c>
      <c r="G2493" s="3278">
        <v>25300</v>
      </c>
      <c r="H2493" s="3299">
        <v>0</v>
      </c>
      <c r="I2493" s="3278">
        <v>0</v>
      </c>
    </row>
    <row r="2494" ht="12.75" customHeight="1" spans="2:9">
      <c r="B2494" s="3274">
        <v>1428</v>
      </c>
      <c r="D2494" s="3297" t="s">
        <v>7289</v>
      </c>
      <c r="E2494" s="3298" t="s">
        <v>7290</v>
      </c>
      <c r="F2494" s="3298" t="s">
        <v>2637</v>
      </c>
      <c r="G2494" s="3278">
        <v>8470</v>
      </c>
      <c r="H2494" s="3299">
        <v>0</v>
      </c>
      <c r="I2494" s="3278">
        <v>0</v>
      </c>
    </row>
    <row r="2495" ht="12.75" customHeight="1" spans="2:9">
      <c r="B2495" s="3274">
        <v>1429</v>
      </c>
      <c r="D2495" s="3297" t="s">
        <v>7291</v>
      </c>
      <c r="E2495" s="3298" t="s">
        <v>7292</v>
      </c>
      <c r="F2495" s="3298" t="s">
        <v>3056</v>
      </c>
      <c r="G2495" s="3278">
        <v>20010.1</v>
      </c>
      <c r="H2495" s="3299">
        <v>0</v>
      </c>
      <c r="I2495" s="3278">
        <v>0</v>
      </c>
    </row>
    <row r="2496" ht="12.75" customHeight="1" spans="2:9">
      <c r="B2496" s="3274">
        <v>1430</v>
      </c>
      <c r="D2496" s="3297" t="s">
        <v>7293</v>
      </c>
      <c r="E2496" s="3298" t="s">
        <v>7294</v>
      </c>
      <c r="F2496" s="3298" t="s">
        <v>2321</v>
      </c>
      <c r="G2496" s="3278">
        <v>180136</v>
      </c>
      <c r="H2496" s="3299">
        <v>816</v>
      </c>
      <c r="I2496" s="3278">
        <v>146990976</v>
      </c>
    </row>
    <row r="2497" ht="12.75" customHeight="1" spans="2:9">
      <c r="B2497" s="3274">
        <v>1431</v>
      </c>
      <c r="D2497" s="3297" t="s">
        <v>7295</v>
      </c>
      <c r="E2497" s="3298" t="s">
        <v>7296</v>
      </c>
      <c r="F2497" s="3298" t="s">
        <v>3056</v>
      </c>
      <c r="G2497" s="3278">
        <v>1162.7</v>
      </c>
      <c r="H2497" s="3299">
        <v>0</v>
      </c>
      <c r="I2497" s="3278">
        <v>0</v>
      </c>
    </row>
    <row r="2498" ht="12.75" customHeight="1" spans="2:9">
      <c r="B2498" s="3274">
        <v>1432</v>
      </c>
      <c r="D2498" s="3297" t="s">
        <v>7297</v>
      </c>
      <c r="E2498" s="3298" t="s">
        <v>7298</v>
      </c>
      <c r="F2498" s="3298" t="s">
        <v>3042</v>
      </c>
      <c r="G2498" s="3278">
        <v>412500</v>
      </c>
      <c r="H2498" s="3299">
        <v>0</v>
      </c>
      <c r="I2498" s="3278">
        <v>0</v>
      </c>
    </row>
    <row r="2499" ht="12.75" customHeight="1" spans="2:9">
      <c r="B2499" s="3274">
        <v>1433</v>
      </c>
      <c r="D2499" s="3297" t="s">
        <v>7299</v>
      </c>
      <c r="E2499" s="3298" t="s">
        <v>7300</v>
      </c>
      <c r="F2499" s="3298" t="s">
        <v>2321</v>
      </c>
      <c r="G2499" s="3278">
        <v>87208</v>
      </c>
      <c r="H2499" s="3299">
        <v>0</v>
      </c>
      <c r="I2499" s="3278">
        <v>0</v>
      </c>
    </row>
    <row r="2500" ht="12.75" customHeight="1" spans="2:9">
      <c r="B2500" s="3274">
        <v>1434</v>
      </c>
      <c r="D2500" s="3297" t="s">
        <v>7301</v>
      </c>
      <c r="E2500" s="3298" t="s">
        <v>7302</v>
      </c>
      <c r="F2500" s="3298" t="s">
        <v>3423</v>
      </c>
      <c r="G2500" s="3278">
        <v>85884.7</v>
      </c>
      <c r="H2500" s="3299">
        <v>0</v>
      </c>
      <c r="I2500" s="3278">
        <v>0</v>
      </c>
    </row>
    <row r="2501" ht="12.75" customHeight="1" spans="2:9">
      <c r="B2501" s="3274">
        <v>1435</v>
      </c>
      <c r="D2501" s="3297" t="s">
        <v>7303</v>
      </c>
      <c r="E2501" s="3298" t="s">
        <v>7304</v>
      </c>
      <c r="F2501" s="3298" t="s">
        <v>3423</v>
      </c>
      <c r="G2501" s="3278">
        <v>574911.7</v>
      </c>
      <c r="H2501" s="3299">
        <v>0</v>
      </c>
      <c r="I2501" s="3278">
        <v>0</v>
      </c>
    </row>
    <row r="2502" ht="12.75" customHeight="1" spans="2:9">
      <c r="B2502" s="3274">
        <v>1436</v>
      </c>
      <c r="D2502" s="3297" t="s">
        <v>7305</v>
      </c>
      <c r="E2502" s="3298" t="s">
        <v>7306</v>
      </c>
      <c r="F2502" s="3298" t="s">
        <v>2321</v>
      </c>
      <c r="G2502" s="3278">
        <v>88000</v>
      </c>
      <c r="H2502" s="3299">
        <v>0</v>
      </c>
      <c r="I2502" s="3278">
        <v>0</v>
      </c>
    </row>
    <row r="2503" ht="12.75" customHeight="1" spans="2:9">
      <c r="B2503" s="3274">
        <v>1437</v>
      </c>
      <c r="D2503" s="3297" t="s">
        <v>7307</v>
      </c>
      <c r="E2503" s="3298" t="s">
        <v>7308</v>
      </c>
      <c r="F2503" s="3298" t="s">
        <v>2321</v>
      </c>
      <c r="G2503" s="3278">
        <v>181390</v>
      </c>
      <c r="H2503" s="3299">
        <v>0</v>
      </c>
      <c r="I2503" s="3278">
        <v>0</v>
      </c>
    </row>
    <row r="2504" ht="12.75" customHeight="1" spans="2:9">
      <c r="B2504" s="3274">
        <v>1438</v>
      </c>
      <c r="D2504" s="3297" t="s">
        <v>7309</v>
      </c>
      <c r="E2504" s="3298" t="s">
        <v>7306</v>
      </c>
      <c r="F2504" s="3298" t="s">
        <v>2321</v>
      </c>
      <c r="G2504" s="3278">
        <v>107910</v>
      </c>
      <c r="H2504" s="3299">
        <v>0</v>
      </c>
      <c r="I2504" s="3278">
        <v>0</v>
      </c>
    </row>
    <row r="2505" ht="12.75" customHeight="1" spans="2:9">
      <c r="B2505" s="3274">
        <v>1439</v>
      </c>
      <c r="D2505" s="3297" t="s">
        <v>7310</v>
      </c>
      <c r="E2505" s="3298" t="s">
        <v>7311</v>
      </c>
      <c r="F2505" s="3298" t="s">
        <v>3056</v>
      </c>
      <c r="G2505" s="3278">
        <v>33696.663</v>
      </c>
      <c r="H2505" s="3299">
        <v>0</v>
      </c>
      <c r="I2505" s="3278">
        <v>0</v>
      </c>
    </row>
    <row r="2506" ht="12.75" customHeight="1" spans="2:9">
      <c r="B2506" s="3274">
        <v>1440</v>
      </c>
      <c r="D2506" s="3297" t="s">
        <v>7312</v>
      </c>
      <c r="E2506" s="3298" t="s">
        <v>7313</v>
      </c>
      <c r="F2506" s="3298" t="s">
        <v>2321</v>
      </c>
      <c r="G2506" s="3278">
        <v>347050</v>
      </c>
      <c r="H2506" s="3299">
        <v>0</v>
      </c>
      <c r="I2506" s="3278">
        <v>0</v>
      </c>
    </row>
    <row r="2507" ht="12.75" customHeight="1" spans="2:9">
      <c r="B2507" s="3274">
        <v>1441</v>
      </c>
      <c r="D2507" s="3297" t="s">
        <v>7314</v>
      </c>
      <c r="E2507" s="3298" t="s">
        <v>7315</v>
      </c>
      <c r="F2507" s="3298" t="s">
        <v>3056</v>
      </c>
      <c r="G2507" s="3278">
        <v>60000</v>
      </c>
      <c r="H2507" s="3299">
        <v>0</v>
      </c>
      <c r="I2507" s="3278">
        <v>0</v>
      </c>
    </row>
    <row r="2508" ht="12.75" customHeight="1" spans="2:9">
      <c r="B2508" s="3274">
        <v>1442</v>
      </c>
      <c r="D2508" s="3297" t="s">
        <v>7316</v>
      </c>
      <c r="E2508" s="3298" t="s">
        <v>7317</v>
      </c>
      <c r="F2508" s="3298" t="s">
        <v>4351</v>
      </c>
      <c r="G2508" s="3278">
        <v>1466.6696</v>
      </c>
      <c r="H2508" s="3299">
        <v>2340</v>
      </c>
      <c r="I2508" s="3278">
        <v>3432006.864</v>
      </c>
    </row>
    <row r="2509" ht="12.75" customHeight="1" spans="2:9">
      <c r="B2509" s="3274">
        <v>1443</v>
      </c>
      <c r="D2509" s="3297" t="s">
        <v>7318</v>
      </c>
      <c r="E2509" s="3298" t="s">
        <v>7319</v>
      </c>
      <c r="F2509" s="3298" t="s">
        <v>2321</v>
      </c>
      <c r="G2509" s="3278">
        <v>218900</v>
      </c>
      <c r="H2509" s="3299">
        <v>0</v>
      </c>
      <c r="I2509" s="3278">
        <v>0</v>
      </c>
    </row>
    <row r="2510" ht="12.75" customHeight="1" spans="2:9">
      <c r="B2510" s="3274">
        <v>1444</v>
      </c>
      <c r="D2510" s="3297" t="s">
        <v>7320</v>
      </c>
      <c r="E2510" s="3298" t="s">
        <v>7321</v>
      </c>
      <c r="F2510" s="3298" t="s">
        <v>2299</v>
      </c>
      <c r="G2510" s="3278">
        <v>12100</v>
      </c>
      <c r="H2510" s="3299">
        <v>0</v>
      </c>
      <c r="I2510" s="3278">
        <v>0</v>
      </c>
    </row>
    <row r="2511" ht="12.75" customHeight="1" spans="2:9">
      <c r="B2511" s="3274">
        <v>1445</v>
      </c>
      <c r="D2511" s="3297" t="s">
        <v>7322</v>
      </c>
      <c r="E2511" s="3298" t="s">
        <v>7323</v>
      </c>
      <c r="F2511" s="3298" t="s">
        <v>2299</v>
      </c>
      <c r="G2511" s="3278">
        <v>55000</v>
      </c>
      <c r="H2511" s="3299">
        <v>0</v>
      </c>
      <c r="I2511" s="3278">
        <v>0</v>
      </c>
    </row>
    <row r="2512" ht="12.75" customHeight="1" spans="2:9">
      <c r="B2512" s="3274">
        <v>1446</v>
      </c>
      <c r="D2512" s="3297" t="s">
        <v>7324</v>
      </c>
      <c r="E2512" s="3298" t="s">
        <v>7325</v>
      </c>
      <c r="F2512" s="3298" t="s">
        <v>2299</v>
      </c>
      <c r="G2512" s="3278">
        <v>71500</v>
      </c>
      <c r="H2512" s="3299">
        <v>0</v>
      </c>
      <c r="I2512" s="3278">
        <v>0</v>
      </c>
    </row>
    <row r="2513" ht="12.75" customHeight="1" spans="2:9">
      <c r="B2513" s="3274">
        <v>1447</v>
      </c>
      <c r="D2513" s="3297" t="s">
        <v>7326</v>
      </c>
      <c r="E2513" s="3298" t="s">
        <v>7327</v>
      </c>
      <c r="F2513" s="3298" t="s">
        <v>2299</v>
      </c>
      <c r="G2513" s="3278">
        <v>71500</v>
      </c>
      <c r="H2513" s="3299">
        <v>0</v>
      </c>
      <c r="I2513" s="3278">
        <v>0</v>
      </c>
    </row>
    <row r="2514" ht="12.75" customHeight="1" spans="2:9">
      <c r="B2514" s="3274">
        <v>1448</v>
      </c>
      <c r="D2514" s="3297" t="s">
        <v>7328</v>
      </c>
      <c r="E2514" s="3298" t="s">
        <v>7323</v>
      </c>
      <c r="F2514" s="3298" t="s">
        <v>2299</v>
      </c>
      <c r="G2514" s="3278">
        <v>55000</v>
      </c>
      <c r="H2514" s="3299">
        <v>0</v>
      </c>
      <c r="I2514" s="3278">
        <v>0</v>
      </c>
    </row>
    <row r="2515" ht="12.75" customHeight="1" spans="2:9">
      <c r="B2515" s="3274">
        <v>1449</v>
      </c>
      <c r="D2515" s="3297" t="s">
        <v>7329</v>
      </c>
      <c r="E2515" s="3298" t="s">
        <v>7323</v>
      </c>
      <c r="F2515" s="3298" t="s">
        <v>2299</v>
      </c>
      <c r="G2515" s="3278">
        <v>55000</v>
      </c>
      <c r="H2515" s="3299">
        <v>0</v>
      </c>
      <c r="I2515" s="3278">
        <v>0</v>
      </c>
    </row>
    <row r="2516" ht="12.75" customHeight="1" spans="2:9">
      <c r="B2516" s="3274">
        <v>1450</v>
      </c>
      <c r="D2516" s="3297" t="s">
        <v>7330</v>
      </c>
      <c r="E2516" s="3298" t="s">
        <v>7331</v>
      </c>
      <c r="F2516" s="3298" t="s">
        <v>2299</v>
      </c>
      <c r="G2516" s="3278">
        <v>77000</v>
      </c>
      <c r="H2516" s="3299">
        <v>0</v>
      </c>
      <c r="I2516" s="3278">
        <v>0</v>
      </c>
    </row>
    <row r="2517" ht="12.75" customHeight="1" spans="2:9">
      <c r="B2517" s="3274">
        <v>1451</v>
      </c>
      <c r="D2517" s="3297" t="s">
        <v>7332</v>
      </c>
      <c r="E2517" s="3298" t="s">
        <v>7333</v>
      </c>
      <c r="F2517" s="3298" t="s">
        <v>2299</v>
      </c>
      <c r="G2517" s="3278">
        <v>66000</v>
      </c>
      <c r="H2517" s="3299">
        <v>0</v>
      </c>
      <c r="I2517" s="3278">
        <v>0</v>
      </c>
    </row>
    <row r="2518" ht="12.75" customHeight="1" spans="2:9">
      <c r="B2518" s="3274">
        <v>1452</v>
      </c>
      <c r="D2518" s="3297" t="s">
        <v>7334</v>
      </c>
      <c r="E2518" s="3298" t="s">
        <v>7335</v>
      </c>
      <c r="F2518" s="3298" t="s">
        <v>2299</v>
      </c>
      <c r="G2518" s="3278">
        <v>33000</v>
      </c>
      <c r="H2518" s="3299">
        <v>0</v>
      </c>
      <c r="I2518" s="3278">
        <v>0</v>
      </c>
    </row>
    <row r="2519" ht="12.75" customHeight="1" spans="2:9">
      <c r="B2519" s="3274">
        <v>1453</v>
      </c>
      <c r="D2519" s="3297" t="s">
        <v>7336</v>
      </c>
      <c r="E2519" s="3298" t="s">
        <v>7337</v>
      </c>
      <c r="F2519" s="3298" t="s">
        <v>2299</v>
      </c>
      <c r="G2519" s="3278">
        <v>55000</v>
      </c>
      <c r="H2519" s="3299">
        <v>0</v>
      </c>
      <c r="I2519" s="3278">
        <v>0</v>
      </c>
    </row>
    <row r="2520" ht="12.75" customHeight="1" spans="2:9">
      <c r="B2520" s="3274">
        <v>1454</v>
      </c>
      <c r="D2520" s="3297" t="s">
        <v>7338</v>
      </c>
      <c r="E2520" s="3298" t="s">
        <v>7339</v>
      </c>
      <c r="F2520" s="3298" t="s">
        <v>3423</v>
      </c>
      <c r="G2520" s="3278">
        <v>660000</v>
      </c>
      <c r="H2520" s="3299">
        <v>0</v>
      </c>
      <c r="I2520" s="3278">
        <v>0</v>
      </c>
    </row>
    <row r="2521" ht="12.75" customHeight="1" spans="2:9">
      <c r="B2521" s="3274">
        <v>1455</v>
      </c>
      <c r="D2521" s="3297" t="s">
        <v>7340</v>
      </c>
      <c r="E2521" s="3298" t="s">
        <v>7341</v>
      </c>
      <c r="F2521" s="3298" t="s">
        <v>3257</v>
      </c>
      <c r="G2521" s="3278">
        <v>300.3</v>
      </c>
      <c r="H2521" s="3299">
        <v>0</v>
      </c>
      <c r="I2521" s="3278">
        <v>0</v>
      </c>
    </row>
    <row r="2522" ht="12.75" customHeight="1" spans="2:9">
      <c r="B2522" s="3274">
        <v>1456</v>
      </c>
      <c r="D2522" s="3297" t="s">
        <v>7342</v>
      </c>
      <c r="E2522" s="3298" t="s">
        <v>7343</v>
      </c>
      <c r="F2522" s="3298" t="s">
        <v>3056</v>
      </c>
      <c r="G2522" s="3278">
        <v>8935.3</v>
      </c>
      <c r="H2522" s="3299">
        <v>0</v>
      </c>
      <c r="I2522" s="3278">
        <v>0</v>
      </c>
    </row>
    <row r="2523" ht="12.75" customHeight="1" spans="2:9">
      <c r="B2523" s="3274">
        <v>1457</v>
      </c>
      <c r="D2523" s="3297" t="s">
        <v>7344</v>
      </c>
      <c r="E2523" s="3298" t="s">
        <v>7345</v>
      </c>
      <c r="F2523" s="3298" t="s">
        <v>3056</v>
      </c>
      <c r="G2523" s="3278">
        <v>10285</v>
      </c>
      <c r="H2523" s="3299">
        <v>0</v>
      </c>
      <c r="I2523" s="3278">
        <v>0</v>
      </c>
    </row>
    <row r="2524" ht="12.75" customHeight="1" spans="2:9">
      <c r="B2524" s="3274">
        <v>1458</v>
      </c>
      <c r="D2524" s="3297" t="s">
        <v>7346</v>
      </c>
      <c r="E2524" s="3298" t="s">
        <v>7347</v>
      </c>
      <c r="F2524" s="3298" t="s">
        <v>3056</v>
      </c>
      <c r="G2524" s="3278">
        <v>4934.996</v>
      </c>
      <c r="H2524" s="3299">
        <v>0</v>
      </c>
      <c r="I2524" s="3278">
        <v>0</v>
      </c>
    </row>
    <row r="2525" ht="12.75" customHeight="1" spans="2:9">
      <c r="B2525" s="3274">
        <v>1459</v>
      </c>
      <c r="D2525" s="3297" t="s">
        <v>7348</v>
      </c>
      <c r="E2525" s="3298" t="s">
        <v>7349</v>
      </c>
      <c r="F2525" s="3298" t="s">
        <v>2321</v>
      </c>
      <c r="G2525" s="3278">
        <v>64454.5</v>
      </c>
      <c r="H2525" s="3299">
        <v>0</v>
      </c>
      <c r="I2525" s="3278">
        <v>0</v>
      </c>
    </row>
    <row r="2526" ht="12.75" customHeight="1" spans="2:9">
      <c r="B2526" s="3274">
        <v>1460</v>
      </c>
      <c r="D2526" s="3297" t="s">
        <v>7350</v>
      </c>
      <c r="E2526" s="3298" t="s">
        <v>7351</v>
      </c>
      <c r="F2526" s="3298" t="s">
        <v>2637</v>
      </c>
      <c r="G2526" s="3278">
        <v>45100</v>
      </c>
      <c r="H2526" s="3299">
        <v>0</v>
      </c>
      <c r="I2526" s="3278">
        <v>0</v>
      </c>
    </row>
    <row r="2527" ht="12.75" customHeight="1" spans="2:9">
      <c r="B2527" s="3274">
        <v>1461</v>
      </c>
      <c r="D2527" s="3297" t="s">
        <v>7352</v>
      </c>
      <c r="E2527" s="3298" t="s">
        <v>7353</v>
      </c>
      <c r="F2527" s="3298" t="s">
        <v>3056</v>
      </c>
      <c r="G2527" s="3278">
        <v>23735</v>
      </c>
      <c r="H2527" s="3299">
        <v>0</v>
      </c>
      <c r="I2527" s="3278">
        <v>0</v>
      </c>
    </row>
    <row r="2528" ht="12.75" customHeight="1" spans="2:9">
      <c r="B2528" s="3274">
        <v>1462</v>
      </c>
      <c r="D2528" s="3297" t="s">
        <v>7354</v>
      </c>
      <c r="E2528" s="3298" t="s">
        <v>7355</v>
      </c>
      <c r="F2528" s="3298" t="s">
        <v>2637</v>
      </c>
      <c r="G2528" s="3278">
        <v>115000</v>
      </c>
      <c r="H2528" s="3299">
        <v>0</v>
      </c>
      <c r="I2528" s="3278">
        <v>0</v>
      </c>
    </row>
    <row r="2529" ht="12.75" customHeight="1" spans="2:9">
      <c r="B2529" s="3274">
        <v>1463</v>
      </c>
      <c r="D2529" s="3297" t="s">
        <v>7356</v>
      </c>
      <c r="E2529" s="3298" t="s">
        <v>7357</v>
      </c>
      <c r="F2529" s="3298" t="s">
        <v>2299</v>
      </c>
      <c r="G2529" s="3278">
        <v>0</v>
      </c>
      <c r="H2529" s="3299">
        <v>0</v>
      </c>
      <c r="I2529" s="3278">
        <v>0</v>
      </c>
    </row>
    <row r="2530" ht="12.75" customHeight="1" spans="2:9">
      <c r="B2530" s="3274">
        <v>1464</v>
      </c>
      <c r="D2530" s="3297" t="s">
        <v>7358</v>
      </c>
      <c r="E2530" s="3298" t="s">
        <v>7359</v>
      </c>
      <c r="F2530" s="3298" t="s">
        <v>4351</v>
      </c>
      <c r="G2530" s="3278">
        <v>535.733</v>
      </c>
      <c r="H2530" s="3299">
        <v>600</v>
      </c>
      <c r="I2530" s="3278">
        <v>321439.8</v>
      </c>
    </row>
    <row r="2531" ht="12.75" customHeight="1" spans="2:9">
      <c r="B2531" s="3274">
        <v>1465</v>
      </c>
      <c r="D2531" s="3297" t="s">
        <v>7360</v>
      </c>
      <c r="E2531" s="3298" t="s">
        <v>7361</v>
      </c>
      <c r="F2531" s="3298" t="s">
        <v>3056</v>
      </c>
      <c r="G2531" s="3278">
        <v>446.6</v>
      </c>
      <c r="H2531" s="3299">
        <v>0</v>
      </c>
      <c r="I2531" s="3278">
        <v>0</v>
      </c>
    </row>
    <row r="2532" ht="12.75" customHeight="1" spans="2:9">
      <c r="B2532" s="3274">
        <v>1466</v>
      </c>
      <c r="D2532" s="3297" t="s">
        <v>7362</v>
      </c>
      <c r="E2532" s="3298" t="s">
        <v>7363</v>
      </c>
      <c r="F2532" s="3298" t="s">
        <v>5233</v>
      </c>
      <c r="G2532" s="3278">
        <v>18150</v>
      </c>
      <c r="H2532" s="3299">
        <v>0</v>
      </c>
      <c r="I2532" s="3278">
        <v>0</v>
      </c>
    </row>
    <row r="2533" ht="12.75" customHeight="1" spans="2:9">
      <c r="B2533" s="3274">
        <v>1467</v>
      </c>
      <c r="D2533" s="3297" t="s">
        <v>7364</v>
      </c>
      <c r="E2533" s="3298" t="s">
        <v>7365</v>
      </c>
      <c r="F2533" s="3298" t="s">
        <v>4351</v>
      </c>
      <c r="G2533" s="3278">
        <v>5976.6631</v>
      </c>
      <c r="H2533" s="3299">
        <v>0</v>
      </c>
      <c r="I2533" s="3278">
        <v>0</v>
      </c>
    </row>
    <row r="2534" ht="12.75" customHeight="1" spans="2:9">
      <c r="B2534" s="3274">
        <v>1468</v>
      </c>
      <c r="D2534" s="3297" t="s">
        <v>7366</v>
      </c>
      <c r="E2534" s="3298" t="s">
        <v>7367</v>
      </c>
      <c r="F2534" s="3298" t="s">
        <v>4351</v>
      </c>
      <c r="G2534" s="3278">
        <v>7610</v>
      </c>
      <c r="H2534" s="3299">
        <v>0</v>
      </c>
      <c r="I2534" s="3278">
        <v>0</v>
      </c>
    </row>
    <row r="2535" ht="12.75" customHeight="1" spans="2:9">
      <c r="B2535" s="3274">
        <v>1469</v>
      </c>
      <c r="D2535" s="3297" t="s">
        <v>7368</v>
      </c>
      <c r="E2535" s="3298" t="s">
        <v>7369</v>
      </c>
      <c r="F2535" s="3298" t="s">
        <v>2367</v>
      </c>
      <c r="G2535" s="3278">
        <v>1232000</v>
      </c>
      <c r="H2535" s="3299">
        <v>0</v>
      </c>
      <c r="I2535" s="3278">
        <v>0</v>
      </c>
    </row>
    <row r="2536" ht="12.75" customHeight="1" spans="2:9">
      <c r="B2536" s="3274">
        <v>1470</v>
      </c>
      <c r="D2536" s="3297" t="s">
        <v>7370</v>
      </c>
      <c r="E2536" s="3298" t="s">
        <v>7371</v>
      </c>
      <c r="F2536" s="3298" t="s">
        <v>3056</v>
      </c>
      <c r="G2536" s="3278">
        <v>110</v>
      </c>
      <c r="H2536" s="3299">
        <v>0</v>
      </c>
      <c r="I2536" s="3278">
        <v>0</v>
      </c>
    </row>
    <row r="2537" ht="12.75" customHeight="1" spans="2:9">
      <c r="B2537" s="3274">
        <v>1471</v>
      </c>
      <c r="D2537" s="3297" t="s">
        <v>7372</v>
      </c>
      <c r="E2537" s="3298" t="s">
        <v>7373</v>
      </c>
      <c r="F2537" s="3298" t="s">
        <v>3042</v>
      </c>
      <c r="G2537" s="3278">
        <v>229900</v>
      </c>
      <c r="H2537" s="3299">
        <v>0</v>
      </c>
      <c r="I2537" s="3278">
        <v>0</v>
      </c>
    </row>
    <row r="2538" ht="12.75" customHeight="1" spans="2:9">
      <c r="B2538" s="3274">
        <v>1472</v>
      </c>
      <c r="D2538" s="3297" t="s">
        <v>7374</v>
      </c>
      <c r="E2538" s="3298" t="s">
        <v>7375</v>
      </c>
      <c r="F2538" s="3298" t="s">
        <v>3056</v>
      </c>
      <c r="G2538" s="3278">
        <v>2667.5</v>
      </c>
      <c r="H2538" s="3299">
        <v>0</v>
      </c>
      <c r="I2538" s="3278">
        <v>0</v>
      </c>
    </row>
    <row r="2539" ht="12.75" customHeight="1" spans="2:9">
      <c r="B2539" s="3274">
        <v>1473</v>
      </c>
      <c r="D2539" s="3297" t="s">
        <v>7376</v>
      </c>
      <c r="E2539" s="3298" t="s">
        <v>7377</v>
      </c>
      <c r="F2539" s="3298" t="s">
        <v>3056</v>
      </c>
      <c r="G2539" s="3278">
        <v>6185.19</v>
      </c>
      <c r="H2539" s="3299">
        <v>0</v>
      </c>
      <c r="I2539" s="3278">
        <v>0</v>
      </c>
    </row>
    <row r="2540" ht="12.75" customHeight="1" spans="2:9">
      <c r="B2540" s="3274">
        <v>1474</v>
      </c>
      <c r="D2540" s="3297" t="s">
        <v>7378</v>
      </c>
      <c r="E2540" s="3298" t="s">
        <v>7379</v>
      </c>
      <c r="F2540" s="3298" t="s">
        <v>3056</v>
      </c>
      <c r="G2540" s="3278">
        <v>3490.08</v>
      </c>
      <c r="H2540" s="3299">
        <v>0</v>
      </c>
      <c r="I2540" s="3278">
        <v>0</v>
      </c>
    </row>
    <row r="2541" ht="12.75" customHeight="1" spans="2:9">
      <c r="B2541" s="3274">
        <v>1475</v>
      </c>
      <c r="D2541" s="3297" t="s">
        <v>7380</v>
      </c>
      <c r="E2541" s="3298" t="s">
        <v>7381</v>
      </c>
      <c r="F2541" s="3298" t="s">
        <v>3056</v>
      </c>
      <c r="G2541" s="3278">
        <v>9333</v>
      </c>
      <c r="H2541" s="3299">
        <v>0</v>
      </c>
      <c r="I2541" s="3278">
        <v>0</v>
      </c>
    </row>
    <row r="2542" ht="12.75" customHeight="1" spans="2:9">
      <c r="B2542" s="3274">
        <v>1476</v>
      </c>
      <c r="D2542" s="3297" t="s">
        <v>7382</v>
      </c>
      <c r="E2542" s="3298" t="s">
        <v>7383</v>
      </c>
      <c r="F2542" s="3298" t="s">
        <v>2321</v>
      </c>
      <c r="G2542" s="3278">
        <v>106563</v>
      </c>
      <c r="H2542" s="3299">
        <v>0</v>
      </c>
      <c r="I2542" s="3278">
        <v>0</v>
      </c>
    </row>
    <row r="2543" ht="12.75" customHeight="1" spans="2:9">
      <c r="B2543" s="3274">
        <v>1477</v>
      </c>
      <c r="D2543" s="3297" t="s">
        <v>7384</v>
      </c>
      <c r="E2543" s="3298" t="s">
        <v>7385</v>
      </c>
      <c r="F2543" s="3298" t="s">
        <v>2321</v>
      </c>
      <c r="G2543" s="3278">
        <v>94710</v>
      </c>
      <c r="H2543" s="3299">
        <v>0</v>
      </c>
      <c r="I2543" s="3278">
        <v>0</v>
      </c>
    </row>
    <row r="2544" ht="12.75" customHeight="1" spans="2:9">
      <c r="B2544" s="3274">
        <v>1478</v>
      </c>
      <c r="D2544" s="3297" t="s">
        <v>7386</v>
      </c>
      <c r="E2544" s="3298" t="s">
        <v>7387</v>
      </c>
      <c r="F2544" s="3298" t="s">
        <v>2299</v>
      </c>
      <c r="G2544" s="3278">
        <v>50000</v>
      </c>
      <c r="H2544" s="3299">
        <v>0</v>
      </c>
      <c r="I2544" s="3278">
        <v>0</v>
      </c>
    </row>
    <row r="2545" ht="12.75" customHeight="1" spans="2:9">
      <c r="B2545" s="3274">
        <v>1479</v>
      </c>
      <c r="D2545" s="3297" t="s">
        <v>7388</v>
      </c>
      <c r="E2545" s="3298" t="s">
        <v>7389</v>
      </c>
      <c r="F2545" s="3298" t="s">
        <v>2367</v>
      </c>
      <c r="G2545" s="3278">
        <v>6600</v>
      </c>
      <c r="H2545" s="3299">
        <v>0</v>
      </c>
      <c r="I2545" s="3278">
        <v>0</v>
      </c>
    </row>
    <row r="2546" ht="12.75" customHeight="1" spans="2:9">
      <c r="B2546" s="3274">
        <v>1480</v>
      </c>
      <c r="D2546" s="3297" t="s">
        <v>7390</v>
      </c>
      <c r="E2546" s="3298" t="s">
        <v>7391</v>
      </c>
      <c r="F2546" s="3298" t="s">
        <v>2299</v>
      </c>
      <c r="G2546" s="3278">
        <v>2099.999</v>
      </c>
      <c r="H2546" s="3299">
        <v>0</v>
      </c>
      <c r="I2546" s="3278">
        <v>0</v>
      </c>
    </row>
    <row r="2547" ht="12.75" customHeight="1" spans="2:9">
      <c r="B2547" s="3274">
        <v>1481</v>
      </c>
      <c r="D2547" s="3297" t="s">
        <v>7392</v>
      </c>
      <c r="E2547" s="3298" t="s">
        <v>7393</v>
      </c>
      <c r="F2547" s="3298" t="s">
        <v>3056</v>
      </c>
      <c r="G2547" s="3278">
        <v>3520</v>
      </c>
      <c r="H2547" s="3299">
        <v>0</v>
      </c>
      <c r="I2547" s="3278">
        <v>0</v>
      </c>
    </row>
    <row r="2548" ht="12.75" customHeight="1" spans="2:9">
      <c r="B2548" s="3274">
        <v>1482</v>
      </c>
      <c r="D2548" s="3297" t="s">
        <v>7394</v>
      </c>
      <c r="E2548" s="3298" t="s">
        <v>7395</v>
      </c>
      <c r="F2548" s="3298" t="s">
        <v>3056</v>
      </c>
      <c r="G2548" s="3278">
        <v>5481.3</v>
      </c>
      <c r="H2548" s="3299">
        <v>0</v>
      </c>
      <c r="I2548" s="3278">
        <v>0</v>
      </c>
    </row>
    <row r="2549" ht="12.75" customHeight="1" spans="2:9">
      <c r="B2549" s="3274">
        <v>1483</v>
      </c>
      <c r="D2549" s="3297" t="s">
        <v>7396</v>
      </c>
      <c r="E2549" s="3298" t="s">
        <v>7397</v>
      </c>
      <c r="F2549" s="3298" t="s">
        <v>2288</v>
      </c>
      <c r="G2549" s="3278">
        <v>644050</v>
      </c>
      <c r="H2549" s="3299">
        <v>0</v>
      </c>
      <c r="I2549" s="3278">
        <v>0</v>
      </c>
    </row>
    <row r="2550" ht="12.75" customHeight="1" spans="2:9">
      <c r="B2550" s="3274">
        <v>1484</v>
      </c>
      <c r="D2550" s="3297" t="s">
        <v>7398</v>
      </c>
      <c r="E2550" s="3298" t="s">
        <v>7399</v>
      </c>
      <c r="F2550" s="3298" t="s">
        <v>2288</v>
      </c>
      <c r="G2550" s="3278">
        <v>661250</v>
      </c>
      <c r="H2550" s="3299">
        <v>0</v>
      </c>
      <c r="I2550" s="3278">
        <v>0</v>
      </c>
    </row>
    <row r="2551" ht="12.75" customHeight="1" spans="2:9">
      <c r="B2551" s="3274">
        <v>1485</v>
      </c>
      <c r="D2551" s="3297" t="s">
        <v>7400</v>
      </c>
      <c r="E2551" s="3298" t="s">
        <v>7401</v>
      </c>
      <c r="F2551" s="3298" t="s">
        <v>2293</v>
      </c>
      <c r="G2551" s="3278">
        <v>3300</v>
      </c>
      <c r="H2551" s="3299">
        <v>0</v>
      </c>
      <c r="I2551" s="3278">
        <v>0</v>
      </c>
    </row>
    <row r="2552" ht="12.75" customHeight="1" spans="2:9">
      <c r="B2552" s="3274">
        <v>1486</v>
      </c>
      <c r="D2552" s="3297" t="s">
        <v>7402</v>
      </c>
      <c r="E2552" s="3298" t="s">
        <v>7403</v>
      </c>
      <c r="F2552" s="3298" t="s">
        <v>2321</v>
      </c>
      <c r="G2552" s="3278">
        <v>99000</v>
      </c>
      <c r="H2552" s="3299">
        <v>0</v>
      </c>
      <c r="I2552" s="3278">
        <v>0</v>
      </c>
    </row>
    <row r="2553" ht="12.75" customHeight="1" spans="2:9">
      <c r="B2553" s="3274">
        <v>1487</v>
      </c>
      <c r="D2553" s="3297" t="s">
        <v>7404</v>
      </c>
      <c r="E2553" s="3298" t="s">
        <v>7405</v>
      </c>
      <c r="F2553" s="3298" t="s">
        <v>2321</v>
      </c>
      <c r="G2553" s="3278">
        <v>110000</v>
      </c>
      <c r="H2553" s="3299">
        <v>0</v>
      </c>
      <c r="I2553" s="3278">
        <v>0</v>
      </c>
    </row>
    <row r="2554" ht="12.75" customHeight="1" spans="2:9">
      <c r="B2554" s="3274">
        <v>1488</v>
      </c>
      <c r="D2554" s="3297" t="s">
        <v>7406</v>
      </c>
      <c r="E2554" s="3298" t="s">
        <v>7407</v>
      </c>
      <c r="F2554" s="3298" t="s">
        <v>2321</v>
      </c>
      <c r="G2554" s="3278">
        <v>93500</v>
      </c>
      <c r="H2554" s="3299">
        <v>0</v>
      </c>
      <c r="I2554" s="3278">
        <v>0</v>
      </c>
    </row>
    <row r="2555" ht="12.75" customHeight="1" spans="2:9">
      <c r="B2555" s="3274">
        <v>1489</v>
      </c>
      <c r="D2555" s="3297" t="s">
        <v>7408</v>
      </c>
      <c r="E2555" s="3298" t="s">
        <v>7409</v>
      </c>
      <c r="F2555" s="3298" t="s">
        <v>2321</v>
      </c>
      <c r="G2555" s="3278">
        <v>26125</v>
      </c>
      <c r="H2555" s="3299">
        <v>6</v>
      </c>
      <c r="I2555" s="3278">
        <v>156750</v>
      </c>
    </row>
    <row r="2556" ht="12.75" customHeight="1" spans="2:9">
      <c r="B2556" s="3274">
        <v>1490</v>
      </c>
      <c r="D2556" s="3297" t="s">
        <v>7410</v>
      </c>
      <c r="E2556" s="3298" t="s">
        <v>7411</v>
      </c>
      <c r="F2556" s="3298" t="s">
        <v>3056</v>
      </c>
      <c r="G2556" s="3278">
        <v>48733.33</v>
      </c>
      <c r="H2556" s="3299">
        <v>0</v>
      </c>
      <c r="I2556" s="3278">
        <v>0</v>
      </c>
    </row>
    <row r="2557" ht="12.75" customHeight="1" spans="2:9">
      <c r="B2557" s="3274">
        <v>1491</v>
      </c>
      <c r="D2557" s="3297" t="s">
        <v>7412</v>
      </c>
      <c r="E2557" s="3298" t="s">
        <v>7413</v>
      </c>
      <c r="F2557" s="3298" t="s">
        <v>2637</v>
      </c>
      <c r="G2557" s="3278">
        <v>60000</v>
      </c>
      <c r="H2557" s="3299">
        <v>0</v>
      </c>
      <c r="I2557" s="3278">
        <v>0</v>
      </c>
    </row>
    <row r="2558" ht="12.75" customHeight="1" spans="2:9">
      <c r="B2558" s="3274">
        <v>1492</v>
      </c>
      <c r="D2558" s="3297" t="s">
        <v>7414</v>
      </c>
      <c r="E2558" s="3298" t="s">
        <v>7415</v>
      </c>
      <c r="F2558" s="3298" t="s">
        <v>3056</v>
      </c>
      <c r="G2558" s="3278">
        <v>6099.313</v>
      </c>
      <c r="H2558" s="3299">
        <v>0</v>
      </c>
      <c r="I2558" s="3278">
        <v>0</v>
      </c>
    </row>
    <row r="2559" ht="12.75" customHeight="1" spans="2:9">
      <c r="B2559" s="3274">
        <v>1493</v>
      </c>
      <c r="D2559" s="3297" t="s">
        <v>7416</v>
      </c>
      <c r="E2559" s="3298" t="s">
        <v>7417</v>
      </c>
      <c r="F2559" s="3298" t="s">
        <v>3056</v>
      </c>
      <c r="G2559" s="3278">
        <v>17000</v>
      </c>
      <c r="H2559" s="3299">
        <v>0</v>
      </c>
      <c r="I2559" s="3278">
        <v>0</v>
      </c>
    </row>
    <row r="2560" ht="12.75" customHeight="1" spans="2:9">
      <c r="B2560" s="3274">
        <v>1494</v>
      </c>
      <c r="D2560" s="3297" t="s">
        <v>7418</v>
      </c>
      <c r="E2560" s="3298" t="s">
        <v>7419</v>
      </c>
      <c r="F2560" s="3298" t="s">
        <v>3056</v>
      </c>
      <c r="G2560" s="3278">
        <v>21389.5</v>
      </c>
      <c r="H2560" s="3299">
        <v>0</v>
      </c>
      <c r="I2560" s="3278">
        <v>0</v>
      </c>
    </row>
    <row r="2561" ht="12.75" customHeight="1" spans="2:9">
      <c r="B2561" s="3274">
        <v>1495</v>
      </c>
      <c r="D2561" s="3297" t="s">
        <v>7420</v>
      </c>
      <c r="E2561" s="3298" t="s">
        <v>7421</v>
      </c>
      <c r="F2561" s="3298" t="s">
        <v>5070</v>
      </c>
      <c r="G2561" s="3278">
        <v>65787.5</v>
      </c>
      <c r="H2561" s="3299">
        <v>0</v>
      </c>
      <c r="I2561" s="3278">
        <v>0</v>
      </c>
    </row>
    <row r="2562" ht="12.75" customHeight="1" spans="2:9">
      <c r="B2562" s="3274">
        <v>1496</v>
      </c>
      <c r="D2562" s="3297" t="s">
        <v>7422</v>
      </c>
      <c r="E2562" s="3298" t="s">
        <v>7423</v>
      </c>
      <c r="F2562" s="3298" t="s">
        <v>3056</v>
      </c>
      <c r="G2562" s="3278">
        <v>27500</v>
      </c>
      <c r="H2562" s="3299">
        <v>0</v>
      </c>
      <c r="I2562" s="3278">
        <v>0</v>
      </c>
    </row>
    <row r="2563" ht="12.75" customHeight="1" spans="2:9">
      <c r="B2563" s="3274">
        <v>1497</v>
      </c>
      <c r="D2563" s="3297" t="s">
        <v>7424</v>
      </c>
      <c r="E2563" s="3298" t="s">
        <v>7425</v>
      </c>
      <c r="F2563" s="3298" t="s">
        <v>3056</v>
      </c>
      <c r="G2563" s="3278">
        <v>33000</v>
      </c>
      <c r="H2563" s="3299">
        <v>0</v>
      </c>
      <c r="I2563" s="3278">
        <v>0</v>
      </c>
    </row>
    <row r="2564" ht="12.75" customHeight="1" spans="2:9">
      <c r="B2564" s="3274">
        <v>1498</v>
      </c>
      <c r="D2564" s="3297" t="s">
        <v>7426</v>
      </c>
      <c r="E2564" s="3298" t="s">
        <v>7427</v>
      </c>
      <c r="F2564" s="3298" t="s">
        <v>3056</v>
      </c>
      <c r="G2564" s="3278">
        <v>950</v>
      </c>
      <c r="H2564" s="3299">
        <v>0</v>
      </c>
      <c r="I2564" s="3278">
        <v>0</v>
      </c>
    </row>
    <row r="2565" ht="12.75" customHeight="1" spans="2:9">
      <c r="B2565" s="3274">
        <v>1499</v>
      </c>
      <c r="D2565" s="3297" t="s">
        <v>7428</v>
      </c>
      <c r="E2565" s="3298" t="s">
        <v>7429</v>
      </c>
      <c r="F2565" s="3298" t="s">
        <v>3056</v>
      </c>
      <c r="G2565" s="3278">
        <v>10816.663</v>
      </c>
      <c r="H2565" s="3299">
        <v>0</v>
      </c>
      <c r="I2565" s="3278">
        <v>0</v>
      </c>
    </row>
    <row r="2566" ht="12.75" customHeight="1" spans="2:9">
      <c r="B2566" s="3274">
        <v>1500</v>
      </c>
      <c r="D2566" s="3297" t="s">
        <v>7430</v>
      </c>
      <c r="E2566" s="3298" t="s">
        <v>7431</v>
      </c>
      <c r="F2566" s="3298" t="s">
        <v>4498</v>
      </c>
      <c r="G2566" s="3278">
        <v>0.242</v>
      </c>
      <c r="H2566" s="3299">
        <v>0</v>
      </c>
      <c r="I2566" s="3278">
        <v>0</v>
      </c>
    </row>
    <row r="2567" ht="12.75" customHeight="1" spans="2:9">
      <c r="B2567" s="3274">
        <v>1501</v>
      </c>
      <c r="D2567" s="3297" t="s">
        <v>7432</v>
      </c>
      <c r="E2567" s="3298" t="s">
        <v>7433</v>
      </c>
      <c r="F2567" s="3298" t="s">
        <v>3056</v>
      </c>
      <c r="G2567" s="3278">
        <v>1589</v>
      </c>
      <c r="H2567" s="3299">
        <v>0</v>
      </c>
      <c r="I2567" s="3278">
        <v>0</v>
      </c>
    </row>
    <row r="2568" ht="12.75" customHeight="1" spans="2:9">
      <c r="B2568" s="3274">
        <v>1502</v>
      </c>
      <c r="D2568" s="3297" t="s">
        <v>7434</v>
      </c>
      <c r="E2568" s="3298" t="s">
        <v>7435</v>
      </c>
      <c r="F2568" s="3298" t="s">
        <v>3056</v>
      </c>
      <c r="G2568" s="3278">
        <v>722.997</v>
      </c>
      <c r="H2568" s="3299">
        <v>0</v>
      </c>
      <c r="I2568" s="3278">
        <v>0</v>
      </c>
    </row>
    <row r="2569" ht="12.75" customHeight="1" spans="2:9">
      <c r="B2569" s="3274">
        <v>1503</v>
      </c>
      <c r="D2569" s="3297" t="s">
        <v>7436</v>
      </c>
      <c r="E2569" s="3298" t="s">
        <v>7437</v>
      </c>
      <c r="F2569" s="3298" t="s">
        <v>3056</v>
      </c>
      <c r="G2569" s="3278">
        <v>5262</v>
      </c>
      <c r="H2569" s="3299">
        <v>0</v>
      </c>
      <c r="I2569" s="3278">
        <v>0</v>
      </c>
    </row>
    <row r="2570" ht="12.75" customHeight="1" spans="2:9">
      <c r="B2570" s="3274">
        <v>1504</v>
      </c>
      <c r="D2570" s="3297" t="s">
        <v>7438</v>
      </c>
      <c r="E2570" s="3298" t="s">
        <v>7439</v>
      </c>
      <c r="F2570" s="3298" t="s">
        <v>3056</v>
      </c>
      <c r="G2570" s="3278">
        <v>3300</v>
      </c>
      <c r="H2570" s="3299">
        <v>0</v>
      </c>
      <c r="I2570" s="3278">
        <v>0</v>
      </c>
    </row>
    <row r="2571" ht="12.75" customHeight="1" spans="2:9">
      <c r="B2571" s="3274">
        <v>1505</v>
      </c>
      <c r="D2571" s="3297" t="s">
        <v>7440</v>
      </c>
      <c r="E2571" s="3298" t="s">
        <v>7441</v>
      </c>
      <c r="F2571" s="3298" t="s">
        <v>3056</v>
      </c>
      <c r="G2571" s="3278">
        <v>2100</v>
      </c>
      <c r="H2571" s="3299">
        <v>0</v>
      </c>
      <c r="I2571" s="3278">
        <v>0</v>
      </c>
    </row>
    <row r="2572" ht="12.75" customHeight="1" spans="2:9">
      <c r="B2572" s="3274">
        <v>1506</v>
      </c>
      <c r="D2572" s="3297" t="s">
        <v>7442</v>
      </c>
      <c r="E2572" s="3298" t="s">
        <v>7443</v>
      </c>
      <c r="F2572" s="3298" t="s">
        <v>3423</v>
      </c>
      <c r="G2572" s="3278">
        <v>51975</v>
      </c>
      <c r="H2572" s="3299">
        <v>0</v>
      </c>
      <c r="I2572" s="3278">
        <v>0</v>
      </c>
    </row>
    <row r="2573" ht="12.75" customHeight="1" spans="2:9">
      <c r="B2573" s="3274">
        <v>1507</v>
      </c>
      <c r="D2573" s="3297" t="s">
        <v>7444</v>
      </c>
      <c r="E2573" s="3298" t="s">
        <v>7445</v>
      </c>
      <c r="F2573" s="3298" t="s">
        <v>3042</v>
      </c>
      <c r="G2573" s="3278">
        <v>0</v>
      </c>
      <c r="H2573" s="3299">
        <v>0</v>
      </c>
      <c r="I2573" s="3278">
        <v>0</v>
      </c>
    </row>
    <row r="2574" ht="12.75" customHeight="1" spans="2:9">
      <c r="B2574" s="3274">
        <v>1508</v>
      </c>
      <c r="D2574" s="3297" t="s">
        <v>7446</v>
      </c>
      <c r="E2574" s="3298" t="s">
        <v>7447</v>
      </c>
      <c r="F2574" s="3298" t="s">
        <v>2321</v>
      </c>
      <c r="G2574" s="3278">
        <v>112476.1</v>
      </c>
      <c r="H2574" s="3299">
        <v>7</v>
      </c>
      <c r="I2574" s="3278">
        <v>787332.7</v>
      </c>
    </row>
    <row r="2575" ht="12.75" customHeight="1" spans="2:9">
      <c r="B2575" s="3274">
        <v>1509</v>
      </c>
      <c r="D2575" s="3297" t="s">
        <v>7448</v>
      </c>
      <c r="E2575" s="3298" t="s">
        <v>7449</v>
      </c>
      <c r="F2575" s="3298" t="s">
        <v>3056</v>
      </c>
      <c r="G2575" s="3278">
        <v>2016.663</v>
      </c>
      <c r="H2575" s="3299">
        <v>0</v>
      </c>
      <c r="I2575" s="3278">
        <v>0</v>
      </c>
    </row>
    <row r="2576" ht="12.75" customHeight="1" spans="2:9">
      <c r="B2576" s="3274">
        <v>1510</v>
      </c>
      <c r="D2576" s="3297" t="s">
        <v>7450</v>
      </c>
      <c r="E2576" s="3298" t="s">
        <v>7451</v>
      </c>
      <c r="F2576" s="3298" t="s">
        <v>3056</v>
      </c>
      <c r="G2576" s="3278">
        <v>86350</v>
      </c>
      <c r="H2576" s="3299">
        <v>0</v>
      </c>
      <c r="I2576" s="3278">
        <v>0</v>
      </c>
    </row>
    <row r="2577" ht="12.75" customHeight="1" spans="2:9">
      <c r="B2577" s="3274">
        <v>1511</v>
      </c>
      <c r="D2577" s="3297" t="s">
        <v>7452</v>
      </c>
      <c r="E2577" s="3298" t="s">
        <v>7453</v>
      </c>
      <c r="F2577" s="3298" t="s">
        <v>2321</v>
      </c>
      <c r="G2577" s="3278">
        <v>543555.1</v>
      </c>
      <c r="H2577" s="3299">
        <v>0</v>
      </c>
      <c r="I2577" s="3278">
        <v>0</v>
      </c>
    </row>
    <row r="2578" ht="12.75" customHeight="1" spans="2:9">
      <c r="B2578" s="3274">
        <v>1512</v>
      </c>
      <c r="D2578" s="3297" t="s">
        <v>7454</v>
      </c>
      <c r="E2578" s="3298" t="s">
        <v>7455</v>
      </c>
      <c r="F2578" s="3298" t="s">
        <v>3056</v>
      </c>
      <c r="G2578" s="3278">
        <v>21001.2</v>
      </c>
      <c r="H2578" s="3299">
        <v>0</v>
      </c>
      <c r="I2578" s="3278">
        <v>0</v>
      </c>
    </row>
    <row r="2579" ht="12.75" customHeight="1" spans="2:9">
      <c r="B2579" s="3274">
        <v>1513</v>
      </c>
      <c r="D2579" s="3297" t="s">
        <v>7456</v>
      </c>
      <c r="E2579" s="3298" t="s">
        <v>7457</v>
      </c>
      <c r="F2579" s="3298" t="s">
        <v>2637</v>
      </c>
      <c r="G2579" s="3278">
        <v>139100</v>
      </c>
      <c r="H2579" s="3299">
        <v>0</v>
      </c>
      <c r="I2579" s="3278">
        <v>0</v>
      </c>
    </row>
    <row r="2580" ht="12.75" customHeight="1" spans="2:9">
      <c r="B2580" s="3274">
        <v>1514</v>
      </c>
      <c r="D2580" s="3297" t="s">
        <v>7458</v>
      </c>
      <c r="E2580" s="3298" t="s">
        <v>7459</v>
      </c>
      <c r="F2580" s="3298" t="s">
        <v>2637</v>
      </c>
      <c r="G2580" s="3278">
        <v>38500</v>
      </c>
      <c r="H2580" s="3299">
        <v>0</v>
      </c>
      <c r="I2580" s="3278">
        <v>0</v>
      </c>
    </row>
    <row r="2581" ht="12.75" customHeight="1" spans="2:9">
      <c r="B2581" s="3274">
        <v>1515</v>
      </c>
      <c r="D2581" s="3297" t="s">
        <v>7460</v>
      </c>
      <c r="E2581" s="3298" t="s">
        <v>7461</v>
      </c>
      <c r="F2581" s="3298" t="s">
        <v>3056</v>
      </c>
      <c r="G2581" s="3278">
        <v>27426.3</v>
      </c>
      <c r="H2581" s="3299">
        <v>0</v>
      </c>
      <c r="I2581" s="3278">
        <v>0</v>
      </c>
    </row>
    <row r="2582" ht="12.75" customHeight="1" spans="2:9">
      <c r="B2582" s="3274">
        <v>1516</v>
      </c>
      <c r="D2582" s="3297" t="s">
        <v>7462</v>
      </c>
      <c r="E2582" s="3298" t="s">
        <v>7463</v>
      </c>
      <c r="F2582" s="3298" t="s">
        <v>2637</v>
      </c>
      <c r="G2582" s="3278">
        <v>16293.2</v>
      </c>
      <c r="H2582" s="3299">
        <v>0</v>
      </c>
      <c r="I2582" s="3278">
        <v>0</v>
      </c>
    </row>
    <row r="2583" ht="12.75" customHeight="1" spans="2:9">
      <c r="B2583" s="3274">
        <v>1517</v>
      </c>
      <c r="D2583" s="3297" t="s">
        <v>7464</v>
      </c>
      <c r="E2583" s="3298" t="s">
        <v>7465</v>
      </c>
      <c r="F2583" s="3298" t="s">
        <v>2321</v>
      </c>
      <c r="G2583" s="3278">
        <v>4950</v>
      </c>
      <c r="H2583" s="3299">
        <v>0</v>
      </c>
      <c r="I2583" s="3278">
        <v>0</v>
      </c>
    </row>
    <row r="2584" ht="12.75" customHeight="1" spans="2:9">
      <c r="B2584" s="3274">
        <v>1518</v>
      </c>
      <c r="D2584" s="3297" t="s">
        <v>7466</v>
      </c>
      <c r="E2584" s="3298" t="s">
        <v>7467</v>
      </c>
      <c r="F2584" s="3298" t="s">
        <v>2637</v>
      </c>
      <c r="G2584" s="3278">
        <v>9283</v>
      </c>
      <c r="H2584" s="3299">
        <v>0</v>
      </c>
      <c r="I2584" s="3278">
        <v>0</v>
      </c>
    </row>
    <row r="2585" ht="12.75" customHeight="1" spans="2:9">
      <c r="B2585" s="3274">
        <v>1519</v>
      </c>
      <c r="D2585" s="3297" t="s">
        <v>7468</v>
      </c>
      <c r="E2585" s="3298" t="s">
        <v>7469</v>
      </c>
      <c r="F2585" s="3298" t="s">
        <v>2321</v>
      </c>
      <c r="G2585" s="3278">
        <v>11869</v>
      </c>
      <c r="H2585" s="3299">
        <v>0</v>
      </c>
      <c r="I2585" s="3278">
        <v>0</v>
      </c>
    </row>
    <row r="2586" ht="12.75" customHeight="1" spans="2:9">
      <c r="B2586" s="3274">
        <v>1520</v>
      </c>
      <c r="D2586" s="3297" t="s">
        <v>7470</v>
      </c>
      <c r="E2586" s="3298" t="s">
        <v>7471</v>
      </c>
      <c r="F2586" s="3298" t="s">
        <v>3056</v>
      </c>
      <c r="G2586" s="3278">
        <v>7439.993</v>
      </c>
      <c r="H2586" s="3299">
        <v>0</v>
      </c>
      <c r="I2586" s="3278">
        <v>0</v>
      </c>
    </row>
    <row r="2587" ht="12.75" customHeight="1" spans="2:9">
      <c r="B2587" s="3274">
        <v>1521</v>
      </c>
      <c r="D2587" s="3297" t="s">
        <v>7472</v>
      </c>
      <c r="E2587" s="3298" t="s">
        <v>7473</v>
      </c>
      <c r="F2587" s="3298" t="s">
        <v>2321</v>
      </c>
      <c r="G2587" s="3278">
        <v>27225</v>
      </c>
      <c r="H2587" s="3299">
        <v>38</v>
      </c>
      <c r="I2587" s="3278">
        <v>1034550</v>
      </c>
    </row>
    <row r="2588" ht="12.75" customHeight="1" spans="2:9">
      <c r="B2588" s="3274">
        <v>1522</v>
      </c>
      <c r="D2588" s="3297" t="s">
        <v>7474</v>
      </c>
      <c r="E2588" s="3298" t="s">
        <v>7475</v>
      </c>
      <c r="F2588" s="3298" t="s">
        <v>3056</v>
      </c>
      <c r="G2588" s="3278">
        <v>5500</v>
      </c>
      <c r="H2588" s="3299">
        <v>0</v>
      </c>
      <c r="I2588" s="3278">
        <v>0</v>
      </c>
    </row>
    <row r="2589" ht="12.75" customHeight="1" spans="2:9">
      <c r="B2589" s="3274">
        <v>1523</v>
      </c>
      <c r="D2589" s="3297" t="s">
        <v>7476</v>
      </c>
      <c r="E2589" s="3298" t="s">
        <v>7477</v>
      </c>
      <c r="F2589" s="3298" t="s">
        <v>2299</v>
      </c>
      <c r="G2589" s="3278">
        <v>143000</v>
      </c>
      <c r="H2589" s="3299">
        <v>0</v>
      </c>
      <c r="I2589" s="3278">
        <v>0</v>
      </c>
    </row>
    <row r="2590" ht="12.75" customHeight="1" spans="2:9">
      <c r="B2590" s="3274">
        <v>1524</v>
      </c>
      <c r="D2590" s="3297" t="s">
        <v>7478</v>
      </c>
      <c r="E2590" s="3298" t="s">
        <v>7479</v>
      </c>
      <c r="F2590" s="3298" t="s">
        <v>2637</v>
      </c>
      <c r="G2590" s="3278">
        <v>109400</v>
      </c>
      <c r="H2590" s="3299">
        <v>0</v>
      </c>
      <c r="I2590" s="3278">
        <v>0</v>
      </c>
    </row>
    <row r="2591" ht="12.75" customHeight="1" spans="2:9">
      <c r="B2591" s="3274">
        <v>1525</v>
      </c>
      <c r="D2591" s="3297" t="s">
        <v>7480</v>
      </c>
      <c r="E2591" s="3298" t="s">
        <v>686</v>
      </c>
      <c r="F2591" s="3298" t="s">
        <v>2637</v>
      </c>
      <c r="G2591" s="3278">
        <v>50000</v>
      </c>
      <c r="H2591" s="3299">
        <v>0</v>
      </c>
      <c r="I2591" s="3278">
        <v>0</v>
      </c>
    </row>
    <row r="2592" ht="12.75" customHeight="1" spans="2:9">
      <c r="B2592" s="3274">
        <v>1526</v>
      </c>
      <c r="D2592" s="3297" t="s">
        <v>7481</v>
      </c>
      <c r="E2592" s="3298" t="s">
        <v>7482</v>
      </c>
      <c r="F2592" s="3298" t="s">
        <v>3045</v>
      </c>
      <c r="G2592" s="3278">
        <v>31350</v>
      </c>
      <c r="H2592" s="3299">
        <v>0</v>
      </c>
      <c r="I2592" s="3278">
        <v>0</v>
      </c>
    </row>
    <row r="2593" ht="12.75" customHeight="1" spans="2:9">
      <c r="B2593" s="3274">
        <v>1527</v>
      </c>
      <c r="D2593" s="3297" t="s">
        <v>7483</v>
      </c>
      <c r="E2593" s="3298" t="s">
        <v>7484</v>
      </c>
      <c r="F2593" s="3298" t="s">
        <v>3056</v>
      </c>
      <c r="G2593" s="3278">
        <v>2200</v>
      </c>
      <c r="H2593" s="3299">
        <v>0</v>
      </c>
      <c r="I2593" s="3278">
        <v>0</v>
      </c>
    </row>
    <row r="2594" ht="12.75" customHeight="1" spans="2:9">
      <c r="B2594" s="3274">
        <v>1528</v>
      </c>
      <c r="D2594" s="3297" t="s">
        <v>7485</v>
      </c>
      <c r="E2594" s="3298" t="s">
        <v>7486</v>
      </c>
      <c r="F2594" s="3298" t="s">
        <v>2457</v>
      </c>
      <c r="G2594" s="3278">
        <v>0</v>
      </c>
      <c r="H2594" s="3299">
        <v>0</v>
      </c>
      <c r="I2594" s="3278">
        <v>0</v>
      </c>
    </row>
    <row r="2595" ht="12.75" customHeight="1" spans="2:9">
      <c r="B2595" s="3274">
        <v>1529</v>
      </c>
      <c r="D2595" s="3297" t="s">
        <v>7487</v>
      </c>
      <c r="E2595" s="3298" t="s">
        <v>7488</v>
      </c>
      <c r="F2595" s="3298" t="s">
        <v>2457</v>
      </c>
      <c r="G2595" s="3278">
        <v>0</v>
      </c>
      <c r="H2595" s="3299">
        <v>0</v>
      </c>
      <c r="I2595" s="3278">
        <v>0</v>
      </c>
    </row>
    <row r="2596" ht="12.75" customHeight="1" spans="2:9">
      <c r="B2596" s="3274">
        <v>1530</v>
      </c>
      <c r="D2596" s="3297" t="s">
        <v>7489</v>
      </c>
      <c r="E2596" s="3298" t="s">
        <v>7490</v>
      </c>
      <c r="F2596" s="3298" t="s">
        <v>2293</v>
      </c>
      <c r="G2596" s="3278">
        <v>55000</v>
      </c>
      <c r="H2596" s="3299">
        <v>0</v>
      </c>
      <c r="I2596" s="3278">
        <v>0</v>
      </c>
    </row>
    <row r="2597" ht="12.75" customHeight="1" spans="2:9">
      <c r="B2597" s="3274">
        <v>1531</v>
      </c>
      <c r="D2597" s="3297" t="s">
        <v>7491</v>
      </c>
      <c r="E2597" s="3298" t="s">
        <v>7492</v>
      </c>
      <c r="F2597" s="3298" t="s">
        <v>2293</v>
      </c>
      <c r="G2597" s="3278">
        <v>59999.995</v>
      </c>
      <c r="H2597" s="3299">
        <v>0</v>
      </c>
      <c r="I2597" s="3278">
        <v>0</v>
      </c>
    </row>
    <row r="2598" ht="12.75" customHeight="1" spans="2:9">
      <c r="B2598" s="3274">
        <v>1532</v>
      </c>
      <c r="D2598" s="3297" t="s">
        <v>7493</v>
      </c>
      <c r="E2598" s="3298" t="s">
        <v>7494</v>
      </c>
      <c r="F2598" s="3298" t="s">
        <v>2299</v>
      </c>
      <c r="G2598" s="3278">
        <v>93500</v>
      </c>
      <c r="H2598" s="3299">
        <v>0</v>
      </c>
      <c r="I2598" s="3278">
        <v>0</v>
      </c>
    </row>
    <row r="2599" ht="12.75" customHeight="1" spans="2:9">
      <c r="B2599" s="3274">
        <v>1533</v>
      </c>
      <c r="D2599" s="3297" t="s">
        <v>7495</v>
      </c>
      <c r="E2599" s="3298" t="s">
        <v>7496</v>
      </c>
      <c r="F2599" s="3298" t="s">
        <v>2637</v>
      </c>
      <c r="G2599" s="3278">
        <v>15204.75</v>
      </c>
      <c r="H2599" s="3299">
        <v>24</v>
      </c>
      <c r="I2599" s="3278">
        <v>364914</v>
      </c>
    </row>
    <row r="2600" ht="12.75" customHeight="1" spans="2:9">
      <c r="B2600" s="3274">
        <v>1534</v>
      </c>
      <c r="D2600" s="3297" t="s">
        <v>7497</v>
      </c>
      <c r="E2600" s="3298" t="s">
        <v>7498</v>
      </c>
      <c r="F2600" s="3298" t="s">
        <v>3423</v>
      </c>
      <c r="G2600" s="3278">
        <v>24921.6</v>
      </c>
      <c r="H2600" s="3299">
        <v>0</v>
      </c>
      <c r="I2600" s="3278">
        <v>0</v>
      </c>
    </row>
    <row r="2601" ht="12.75" customHeight="1" spans="2:9">
      <c r="B2601" s="3274">
        <v>1535</v>
      </c>
      <c r="D2601" s="3297" t="s">
        <v>7499</v>
      </c>
      <c r="E2601" s="3298" t="s">
        <v>7500</v>
      </c>
      <c r="F2601" s="3298" t="s">
        <v>2293</v>
      </c>
      <c r="G2601" s="3278">
        <v>51829.998</v>
      </c>
      <c r="H2601" s="3299">
        <v>0</v>
      </c>
      <c r="I2601" s="3278">
        <v>0</v>
      </c>
    </row>
    <row r="2602" ht="12.75" customHeight="1" spans="2:9">
      <c r="B2602" s="3274">
        <v>1536</v>
      </c>
      <c r="D2602" s="3297" t="s">
        <v>7501</v>
      </c>
      <c r="E2602" s="3298" t="s">
        <v>7502</v>
      </c>
      <c r="F2602" s="3298" t="s">
        <v>3056</v>
      </c>
      <c r="G2602" s="3278">
        <v>2598.75</v>
      </c>
      <c r="H2602" s="3299">
        <v>500</v>
      </c>
      <c r="I2602" s="3278">
        <v>1299375</v>
      </c>
    </row>
    <row r="2603" ht="12.75" customHeight="1" spans="2:9">
      <c r="B2603" s="3274">
        <v>1537</v>
      </c>
      <c r="D2603" s="3297" t="s">
        <v>7503</v>
      </c>
      <c r="E2603" s="3298" t="s">
        <v>7504</v>
      </c>
      <c r="F2603" s="3298" t="s">
        <v>2637</v>
      </c>
      <c r="G2603" s="3278">
        <v>12980</v>
      </c>
      <c r="H2603" s="3299">
        <v>0</v>
      </c>
      <c r="I2603" s="3278">
        <v>0</v>
      </c>
    </row>
    <row r="2604" ht="12.75" customHeight="1" spans="2:9">
      <c r="B2604" s="3274">
        <v>1538</v>
      </c>
      <c r="D2604" s="3297" t="s">
        <v>7505</v>
      </c>
      <c r="E2604" s="3298" t="s">
        <v>7506</v>
      </c>
      <c r="F2604" s="3298" t="s">
        <v>2565</v>
      </c>
      <c r="G2604" s="3278">
        <v>152.306</v>
      </c>
      <c r="H2604" s="3299">
        <v>0</v>
      </c>
      <c r="I2604" s="3278">
        <v>0</v>
      </c>
    </row>
    <row r="2605" ht="12.75" customHeight="1" spans="2:9">
      <c r="B2605" s="3274">
        <v>1539</v>
      </c>
      <c r="D2605" s="3297" t="s">
        <v>7507</v>
      </c>
      <c r="E2605" s="3298" t="s">
        <v>7508</v>
      </c>
      <c r="F2605" s="3298" t="s">
        <v>2321</v>
      </c>
      <c r="G2605" s="3278">
        <v>192500</v>
      </c>
      <c r="H2605" s="3299">
        <v>1</v>
      </c>
      <c r="I2605" s="3278">
        <v>192500</v>
      </c>
    </row>
    <row r="2606" ht="12.75" customHeight="1" spans="2:9">
      <c r="B2606" s="3274">
        <v>1540</v>
      </c>
      <c r="D2606" s="3297" t="s">
        <v>7509</v>
      </c>
      <c r="E2606" s="3298" t="s">
        <v>7510</v>
      </c>
      <c r="F2606" s="3298" t="s">
        <v>2299</v>
      </c>
      <c r="G2606" s="3278">
        <v>7535</v>
      </c>
      <c r="H2606" s="3299">
        <v>0</v>
      </c>
      <c r="I2606" s="3278">
        <v>0</v>
      </c>
    </row>
    <row r="2607" ht="12.75" customHeight="1" spans="2:9">
      <c r="B2607" s="3274">
        <v>1541</v>
      </c>
      <c r="D2607" s="3297" t="s">
        <v>7511</v>
      </c>
      <c r="E2607" s="3298" t="s">
        <v>7512</v>
      </c>
      <c r="F2607" s="3298" t="s">
        <v>2321</v>
      </c>
      <c r="G2607" s="3278">
        <v>25608</v>
      </c>
      <c r="H2607" s="3299">
        <v>0</v>
      </c>
      <c r="I2607" s="3278">
        <v>0</v>
      </c>
    </row>
    <row r="2608" ht="12.75" customHeight="1" spans="2:9">
      <c r="B2608" s="3274">
        <v>1542</v>
      </c>
      <c r="D2608" s="3297" t="s">
        <v>7513</v>
      </c>
      <c r="E2608" s="3298" t="s">
        <v>7514</v>
      </c>
      <c r="F2608" s="3298" t="s">
        <v>2367</v>
      </c>
      <c r="G2608" s="3278">
        <v>968000</v>
      </c>
      <c r="H2608" s="3299">
        <v>0</v>
      </c>
      <c r="I2608" s="3278">
        <v>0</v>
      </c>
    </row>
    <row r="2609" ht="12.75" customHeight="1" spans="2:9">
      <c r="B2609" s="3274">
        <v>1543</v>
      </c>
      <c r="D2609" s="3297" t="s">
        <v>7515</v>
      </c>
      <c r="E2609" s="3298" t="s">
        <v>7516</v>
      </c>
      <c r="F2609" s="3298" t="s">
        <v>2321</v>
      </c>
      <c r="G2609" s="3278">
        <v>105000</v>
      </c>
      <c r="H2609" s="3299">
        <v>0</v>
      </c>
      <c r="I2609" s="3278">
        <v>0</v>
      </c>
    </row>
    <row r="2610" ht="12.75" customHeight="1" spans="2:9">
      <c r="B2610" s="3274">
        <v>1544</v>
      </c>
      <c r="D2610" s="3297" t="s">
        <v>7517</v>
      </c>
      <c r="E2610" s="3298" t="s">
        <v>7518</v>
      </c>
      <c r="F2610" s="3298" t="s">
        <v>3056</v>
      </c>
      <c r="G2610" s="3278">
        <v>7564.854</v>
      </c>
      <c r="H2610" s="3299">
        <v>0</v>
      </c>
      <c r="I2610" s="3278">
        <v>0</v>
      </c>
    </row>
    <row r="2611" ht="12.75" customHeight="1" spans="2:9">
      <c r="B2611" s="3274">
        <v>1545</v>
      </c>
      <c r="D2611" s="3297" t="s">
        <v>7519</v>
      </c>
      <c r="E2611" s="3298" t="s">
        <v>7520</v>
      </c>
      <c r="F2611" s="3298" t="s">
        <v>3056</v>
      </c>
      <c r="G2611" s="3278">
        <v>11505</v>
      </c>
      <c r="H2611" s="3299">
        <v>0</v>
      </c>
      <c r="I2611" s="3278">
        <v>0</v>
      </c>
    </row>
    <row r="2612" ht="12.75" customHeight="1" spans="2:9">
      <c r="B2612" s="3274">
        <v>1546</v>
      </c>
      <c r="D2612" s="3297" t="s">
        <v>7521</v>
      </c>
      <c r="E2612" s="3298" t="s">
        <v>7522</v>
      </c>
      <c r="F2612" s="3298" t="s">
        <v>2321</v>
      </c>
      <c r="G2612" s="3278">
        <v>198000</v>
      </c>
      <c r="H2612" s="3299">
        <v>0</v>
      </c>
      <c r="I2612" s="3278">
        <v>0</v>
      </c>
    </row>
    <row r="2613" ht="12.75" customHeight="1" spans="2:9">
      <c r="B2613" s="3274">
        <v>1547</v>
      </c>
      <c r="D2613" s="3297" t="s">
        <v>7523</v>
      </c>
      <c r="E2613" s="3298" t="s">
        <v>7524</v>
      </c>
      <c r="F2613" s="3298" t="s">
        <v>3423</v>
      </c>
      <c r="G2613" s="3278">
        <v>0</v>
      </c>
      <c r="H2613" s="3299">
        <v>0</v>
      </c>
      <c r="I2613" s="3278">
        <v>0</v>
      </c>
    </row>
    <row r="2614" ht="12.75" customHeight="1" spans="2:9">
      <c r="B2614" s="3274">
        <v>1548</v>
      </c>
      <c r="D2614" s="3297" t="s">
        <v>7525</v>
      </c>
      <c r="E2614" s="3298" t="s">
        <v>7526</v>
      </c>
      <c r="F2614" s="3298" t="s">
        <v>4351</v>
      </c>
      <c r="G2614" s="3278">
        <v>2311.837</v>
      </c>
      <c r="H2614" s="3299">
        <v>0</v>
      </c>
      <c r="I2614" s="3278">
        <v>0</v>
      </c>
    </row>
    <row r="2615" ht="12.75" customHeight="1" spans="2:9">
      <c r="B2615" s="3274">
        <v>1549</v>
      </c>
      <c r="D2615" s="3297" t="s">
        <v>7527</v>
      </c>
      <c r="E2615" s="3298" t="s">
        <v>7528</v>
      </c>
      <c r="F2615" s="3298" t="s">
        <v>3042</v>
      </c>
      <c r="G2615" s="3278">
        <v>267740</v>
      </c>
      <c r="H2615" s="3299">
        <v>0</v>
      </c>
      <c r="I2615" s="3278">
        <v>0</v>
      </c>
    </row>
    <row r="2616" ht="12.75" customHeight="1" spans="2:9">
      <c r="B2616" s="3274">
        <v>1550</v>
      </c>
      <c r="D2616" s="3297" t="s">
        <v>7529</v>
      </c>
      <c r="E2616" s="3298" t="s">
        <v>7530</v>
      </c>
      <c r="F2616" s="3298" t="s">
        <v>3423</v>
      </c>
      <c r="G2616" s="3278">
        <v>165000</v>
      </c>
      <c r="H2616" s="3299">
        <v>0</v>
      </c>
      <c r="I2616" s="3278">
        <v>0</v>
      </c>
    </row>
    <row r="2617" ht="12.75" customHeight="1" spans="2:9">
      <c r="B2617" s="3274">
        <v>1551</v>
      </c>
      <c r="D2617" s="3297" t="s">
        <v>7531</v>
      </c>
      <c r="E2617" s="3298" t="s">
        <v>7532</v>
      </c>
      <c r="F2617" s="3298" t="s">
        <v>2457</v>
      </c>
      <c r="G2617" s="3278">
        <v>78375</v>
      </c>
      <c r="H2617" s="3299">
        <v>0</v>
      </c>
      <c r="I2617" s="3278">
        <v>0</v>
      </c>
    </row>
    <row r="2618" ht="12.75" customHeight="1" spans="2:9">
      <c r="B2618" s="3274">
        <v>1552</v>
      </c>
      <c r="D2618" s="3297" t="s">
        <v>7533</v>
      </c>
      <c r="E2618" s="3298" t="s">
        <v>7534</v>
      </c>
      <c r="F2618" s="3298" t="s">
        <v>2457</v>
      </c>
      <c r="G2618" s="3278">
        <v>130000.2</v>
      </c>
      <c r="H2618" s="3299">
        <v>0</v>
      </c>
      <c r="I2618" s="3278">
        <v>0</v>
      </c>
    </row>
    <row r="2619" ht="12.75" customHeight="1" spans="2:9">
      <c r="B2619" s="3274">
        <v>1553</v>
      </c>
      <c r="D2619" s="3297" t="s">
        <v>7535</v>
      </c>
      <c r="E2619" s="3298" t="s">
        <v>7536</v>
      </c>
      <c r="F2619" s="3298" t="s">
        <v>2457</v>
      </c>
      <c r="G2619" s="3278">
        <v>85470</v>
      </c>
      <c r="H2619" s="3299">
        <v>0</v>
      </c>
      <c r="I2619" s="3278">
        <v>0</v>
      </c>
    </row>
    <row r="2620" ht="12.75" customHeight="1" spans="2:9">
      <c r="B2620" s="3274">
        <v>1554</v>
      </c>
      <c r="D2620" s="3297" t="s">
        <v>7537</v>
      </c>
      <c r="E2620" s="3298" t="s">
        <v>7538</v>
      </c>
      <c r="F2620" s="3298" t="s">
        <v>2457</v>
      </c>
      <c r="G2620" s="3278">
        <v>137093</v>
      </c>
      <c r="H2620" s="3299">
        <v>0</v>
      </c>
      <c r="I2620" s="3278">
        <v>0</v>
      </c>
    </row>
    <row r="2621" ht="12.75" customHeight="1" spans="2:9">
      <c r="B2621" s="3274">
        <v>1555</v>
      </c>
      <c r="D2621" s="3297" t="s">
        <v>7539</v>
      </c>
      <c r="E2621" s="3298" t="s">
        <v>7540</v>
      </c>
      <c r="F2621" s="3298" t="s">
        <v>2321</v>
      </c>
      <c r="G2621" s="3278">
        <v>228999.3063</v>
      </c>
      <c r="H2621" s="3299">
        <v>0</v>
      </c>
      <c r="I2621" s="3278">
        <v>0</v>
      </c>
    </row>
    <row r="2622" ht="12.75" customHeight="1" spans="2:9">
      <c r="B2622" s="3274">
        <v>1556</v>
      </c>
      <c r="D2622" s="3297" t="s">
        <v>7541</v>
      </c>
      <c r="E2622" s="3298" t="s">
        <v>7542</v>
      </c>
      <c r="F2622" s="3298" t="s">
        <v>2321</v>
      </c>
      <c r="G2622" s="3278">
        <v>306900</v>
      </c>
      <c r="H2622" s="3299">
        <v>0</v>
      </c>
      <c r="I2622" s="3278">
        <v>0</v>
      </c>
    </row>
    <row r="2623" ht="12.75" customHeight="1" spans="2:9">
      <c r="B2623" s="3274">
        <v>1557</v>
      </c>
      <c r="D2623" s="3297" t="s">
        <v>7543</v>
      </c>
      <c r="E2623" s="3298" t="s">
        <v>7544</v>
      </c>
      <c r="F2623" s="3298" t="s">
        <v>3056</v>
      </c>
      <c r="G2623" s="3278">
        <v>40333.326</v>
      </c>
      <c r="H2623" s="3299">
        <v>0</v>
      </c>
      <c r="I2623" s="3278">
        <v>0</v>
      </c>
    </row>
    <row r="2624" ht="12.75" customHeight="1" spans="2:9">
      <c r="B2624" s="3274">
        <v>1558</v>
      </c>
      <c r="D2624" s="3297" t="s">
        <v>7545</v>
      </c>
      <c r="E2624" s="3298" t="s">
        <v>7546</v>
      </c>
      <c r="F2624" s="3298" t="s">
        <v>3056</v>
      </c>
      <c r="G2624" s="3278">
        <v>403696.425</v>
      </c>
      <c r="H2624" s="3299">
        <v>0</v>
      </c>
      <c r="I2624" s="3278">
        <v>0</v>
      </c>
    </row>
    <row r="2625" ht="12.75" customHeight="1" spans="2:9">
      <c r="B2625" s="3274">
        <v>1559</v>
      </c>
      <c r="D2625" s="3297" t="s">
        <v>7547</v>
      </c>
      <c r="E2625" s="3298" t="s">
        <v>7548</v>
      </c>
      <c r="F2625" s="3298" t="s">
        <v>2321</v>
      </c>
      <c r="G2625" s="3278">
        <v>4800</v>
      </c>
      <c r="H2625" s="3299">
        <v>0</v>
      </c>
      <c r="I2625" s="3278">
        <v>0</v>
      </c>
    </row>
    <row r="2626" ht="12.75" customHeight="1" spans="2:9">
      <c r="B2626" s="3274">
        <v>1560</v>
      </c>
      <c r="D2626" s="3297" t="s">
        <v>7549</v>
      </c>
      <c r="E2626" s="3298" t="s">
        <v>7550</v>
      </c>
      <c r="F2626" s="3298" t="s">
        <v>2299</v>
      </c>
      <c r="G2626" s="3278">
        <v>11225.5</v>
      </c>
      <c r="H2626" s="3299">
        <v>0</v>
      </c>
      <c r="I2626" s="3278">
        <v>0</v>
      </c>
    </row>
    <row r="2627" ht="12.75" customHeight="1" spans="2:9">
      <c r="B2627" s="3274">
        <v>1561</v>
      </c>
      <c r="D2627" s="3297" t="s">
        <v>7551</v>
      </c>
      <c r="E2627" s="3298" t="s">
        <v>7552</v>
      </c>
      <c r="F2627" s="3298" t="s">
        <v>2637</v>
      </c>
      <c r="G2627" s="3278">
        <v>71445</v>
      </c>
      <c r="H2627" s="3299">
        <v>0</v>
      </c>
      <c r="I2627" s="3278">
        <v>0</v>
      </c>
    </row>
    <row r="2628" ht="12.75" customHeight="1" spans="2:9">
      <c r="B2628" s="3274">
        <v>1562</v>
      </c>
      <c r="D2628" s="3297" t="s">
        <v>7553</v>
      </c>
      <c r="E2628" s="3298" t="s">
        <v>7554</v>
      </c>
      <c r="F2628" s="3298" t="s">
        <v>2637</v>
      </c>
      <c r="G2628" s="3278">
        <v>96195</v>
      </c>
      <c r="H2628" s="3299">
        <v>0</v>
      </c>
      <c r="I2628" s="3278">
        <v>0</v>
      </c>
    </row>
    <row r="2629" ht="12.75" customHeight="1" spans="2:9">
      <c r="B2629" s="3274">
        <v>1563</v>
      </c>
      <c r="D2629" s="3297" t="s">
        <v>7555</v>
      </c>
      <c r="E2629" s="3298" t="s">
        <v>7556</v>
      </c>
      <c r="F2629" s="3298" t="s">
        <v>2637</v>
      </c>
      <c r="G2629" s="3278">
        <v>46666.4988</v>
      </c>
      <c r="H2629" s="3299">
        <v>0</v>
      </c>
      <c r="I2629" s="3278">
        <v>0</v>
      </c>
    </row>
    <row r="2630" ht="12.75" customHeight="1" spans="2:9">
      <c r="B2630" s="3274">
        <v>1564</v>
      </c>
      <c r="D2630" s="3297" t="s">
        <v>7557</v>
      </c>
      <c r="E2630" s="3298" t="s">
        <v>7558</v>
      </c>
      <c r="F2630" s="3298" t="s">
        <v>2367</v>
      </c>
      <c r="G2630" s="3278">
        <v>0</v>
      </c>
      <c r="H2630" s="3299">
        <v>0</v>
      </c>
      <c r="I2630" s="3278">
        <v>0</v>
      </c>
    </row>
    <row r="2631" ht="12.75" customHeight="1" spans="2:9">
      <c r="B2631" s="3274">
        <v>1565</v>
      </c>
      <c r="D2631" s="3297" t="s">
        <v>7559</v>
      </c>
      <c r="E2631" s="3298" t="s">
        <v>7560</v>
      </c>
      <c r="F2631" s="3298" t="s">
        <v>2321</v>
      </c>
      <c r="G2631" s="3278">
        <v>38321.25</v>
      </c>
      <c r="H2631" s="3299">
        <v>117</v>
      </c>
      <c r="I2631" s="3278">
        <v>4483586.25</v>
      </c>
    </row>
    <row r="2632" ht="12.75" customHeight="1" spans="2:9">
      <c r="B2632" s="3274">
        <v>1566</v>
      </c>
      <c r="D2632" s="3297" t="s">
        <v>7561</v>
      </c>
      <c r="E2632" s="3298" t="s">
        <v>7562</v>
      </c>
      <c r="F2632" s="3298" t="s">
        <v>2321</v>
      </c>
      <c r="G2632" s="3278">
        <v>18649.994</v>
      </c>
      <c r="H2632" s="3299">
        <v>0</v>
      </c>
      <c r="I2632" s="3278">
        <v>0</v>
      </c>
    </row>
    <row r="2633" ht="12.75" customHeight="1" spans="2:9">
      <c r="B2633" s="3274">
        <v>1567</v>
      </c>
      <c r="D2633" s="3297" t="s">
        <v>7563</v>
      </c>
      <c r="E2633" s="3298" t="s">
        <v>7564</v>
      </c>
      <c r="F2633" s="3298" t="s">
        <v>2299</v>
      </c>
      <c r="G2633" s="3278">
        <v>88000</v>
      </c>
      <c r="H2633" s="3299">
        <v>0</v>
      </c>
      <c r="I2633" s="3278">
        <v>0</v>
      </c>
    </row>
    <row r="2634" ht="12.75" customHeight="1" spans="2:9">
      <c r="B2634" s="3274">
        <v>1568</v>
      </c>
      <c r="D2634" s="3297" t="s">
        <v>7565</v>
      </c>
      <c r="E2634" s="3298" t="s">
        <v>7566</v>
      </c>
      <c r="F2634" s="3298" t="s">
        <v>3056</v>
      </c>
      <c r="G2634" s="3278">
        <v>14385.8</v>
      </c>
      <c r="H2634" s="3299">
        <v>0</v>
      </c>
      <c r="I2634" s="3278">
        <v>0</v>
      </c>
    </row>
    <row r="2635" ht="12.75" customHeight="1" spans="2:9">
      <c r="B2635" s="3274">
        <v>1569</v>
      </c>
      <c r="D2635" s="3297" t="s">
        <v>7567</v>
      </c>
      <c r="E2635" s="3298" t="s">
        <v>7568</v>
      </c>
      <c r="F2635" s="3298" t="s">
        <v>3257</v>
      </c>
      <c r="G2635" s="3278">
        <v>155.1</v>
      </c>
      <c r="H2635" s="3299">
        <v>0</v>
      </c>
      <c r="I2635" s="3278">
        <v>0</v>
      </c>
    </row>
    <row r="2636" ht="12.75" customHeight="1" spans="2:9">
      <c r="B2636" s="3274">
        <v>1570</v>
      </c>
      <c r="D2636" s="3297" t="s">
        <v>7569</v>
      </c>
      <c r="E2636" s="3298" t="s">
        <v>7570</v>
      </c>
      <c r="F2636" s="3298" t="s">
        <v>3257</v>
      </c>
      <c r="G2636" s="3278">
        <v>225.5</v>
      </c>
      <c r="H2636" s="3299">
        <v>0</v>
      </c>
      <c r="I2636" s="3278">
        <v>0</v>
      </c>
    </row>
    <row r="2637" ht="12.75" customHeight="1" spans="2:9">
      <c r="B2637" s="3274">
        <v>1571</v>
      </c>
      <c r="D2637" s="3297" t="s">
        <v>7571</v>
      </c>
      <c r="E2637" s="3298" t="s">
        <v>7572</v>
      </c>
      <c r="F2637" s="3298" t="s">
        <v>4757</v>
      </c>
      <c r="G2637" s="3278">
        <v>27361.95</v>
      </c>
      <c r="H2637" s="3299">
        <v>0</v>
      </c>
      <c r="I2637" s="3278">
        <v>0</v>
      </c>
    </row>
    <row r="2638" ht="12.75" customHeight="1" spans="2:9">
      <c r="B2638" s="3274">
        <v>1572</v>
      </c>
      <c r="D2638" s="3297" t="s">
        <v>7573</v>
      </c>
      <c r="E2638" s="3298" t="s">
        <v>7574</v>
      </c>
      <c r="F2638" s="3298" t="s">
        <v>3042</v>
      </c>
      <c r="G2638" s="3278">
        <v>63800</v>
      </c>
      <c r="H2638" s="3299">
        <v>0</v>
      </c>
      <c r="I2638" s="3278">
        <v>0</v>
      </c>
    </row>
    <row r="2639" ht="12.75" customHeight="1" spans="2:9">
      <c r="B2639" s="3274">
        <v>1573</v>
      </c>
      <c r="D2639" s="3297" t="s">
        <v>7575</v>
      </c>
      <c r="E2639" s="3298" t="s">
        <v>7576</v>
      </c>
      <c r="F2639" s="3298" t="s">
        <v>2293</v>
      </c>
      <c r="G2639" s="3278">
        <v>40012.5</v>
      </c>
      <c r="H2639" s="3299">
        <v>0</v>
      </c>
      <c r="I2639" s="3278">
        <v>0</v>
      </c>
    </row>
    <row r="2640" ht="12.75" customHeight="1" spans="2:9">
      <c r="B2640" s="3274">
        <v>1574</v>
      </c>
      <c r="D2640" s="3297" t="s">
        <v>7577</v>
      </c>
      <c r="E2640" s="3298" t="s">
        <v>7578</v>
      </c>
      <c r="F2640" s="3298" t="s">
        <v>2321</v>
      </c>
      <c r="G2640" s="3278">
        <v>12119.8</v>
      </c>
      <c r="H2640" s="3299">
        <v>0</v>
      </c>
      <c r="I2640" s="3278">
        <v>0</v>
      </c>
    </row>
    <row r="2641" ht="12.75" customHeight="1" spans="2:9">
      <c r="B2641" s="3274">
        <v>1575</v>
      </c>
      <c r="D2641" s="3297" t="s">
        <v>7579</v>
      </c>
      <c r="E2641" s="3298" t="s">
        <v>7580</v>
      </c>
      <c r="F2641" s="3298" t="s">
        <v>2321</v>
      </c>
      <c r="G2641" s="3278">
        <v>55000</v>
      </c>
      <c r="H2641" s="3299">
        <v>0</v>
      </c>
      <c r="I2641" s="3278">
        <v>0</v>
      </c>
    </row>
    <row r="2642" ht="12.75" customHeight="1" spans="2:9">
      <c r="B2642" s="3274">
        <v>1576</v>
      </c>
      <c r="D2642" s="3297" t="s">
        <v>7581</v>
      </c>
      <c r="E2642" s="3298" t="s">
        <v>7582</v>
      </c>
      <c r="F2642" s="3298" t="s">
        <v>2321</v>
      </c>
      <c r="G2642" s="3278">
        <v>66000</v>
      </c>
      <c r="H2642" s="3299">
        <v>0</v>
      </c>
      <c r="I2642" s="3278">
        <v>0</v>
      </c>
    </row>
    <row r="2643" ht="12.75" customHeight="1" spans="2:9">
      <c r="B2643" s="3274">
        <v>1577</v>
      </c>
      <c r="D2643" s="3297" t="s">
        <v>7583</v>
      </c>
      <c r="E2643" s="3298" t="s">
        <v>7584</v>
      </c>
      <c r="F2643" s="3298" t="s">
        <v>4757</v>
      </c>
      <c r="G2643" s="3278">
        <v>4125</v>
      </c>
      <c r="H2643" s="3299">
        <v>210</v>
      </c>
      <c r="I2643" s="3278">
        <v>866250</v>
      </c>
    </row>
    <row r="2644" ht="12.75" customHeight="1" spans="2:9">
      <c r="B2644" s="3274">
        <v>1578</v>
      </c>
      <c r="D2644" s="3297" t="s">
        <v>7585</v>
      </c>
      <c r="E2644" s="3298" t="s">
        <v>7586</v>
      </c>
      <c r="F2644" s="3298" t="s">
        <v>4757</v>
      </c>
      <c r="G2644" s="3278">
        <v>4840</v>
      </c>
      <c r="H2644" s="3299">
        <v>720</v>
      </c>
      <c r="I2644" s="3278">
        <v>3484800</v>
      </c>
    </row>
    <row r="2645" ht="12.75" customHeight="1" spans="2:9">
      <c r="B2645" s="3274">
        <v>1579</v>
      </c>
      <c r="D2645" s="3297" t="s">
        <v>7587</v>
      </c>
      <c r="E2645" s="3298" t="s">
        <v>7588</v>
      </c>
      <c r="F2645" s="3298" t="s">
        <v>4351</v>
      </c>
      <c r="G2645" s="3278">
        <v>3025</v>
      </c>
      <c r="H2645" s="3299">
        <v>0</v>
      </c>
      <c r="I2645" s="3278">
        <v>0</v>
      </c>
    </row>
    <row r="2646" ht="12.75" customHeight="1" spans="2:9">
      <c r="B2646" s="3274">
        <v>1580</v>
      </c>
      <c r="D2646" s="3297" t="s">
        <v>7589</v>
      </c>
      <c r="E2646" s="3298" t="s">
        <v>7590</v>
      </c>
      <c r="F2646" s="3298" t="s">
        <v>4757</v>
      </c>
      <c r="G2646" s="3278">
        <v>5720</v>
      </c>
      <c r="H2646" s="3299">
        <v>0</v>
      </c>
      <c r="I2646" s="3278">
        <v>0</v>
      </c>
    </row>
    <row r="2647" ht="12.75" customHeight="1" spans="2:9">
      <c r="B2647" s="3274">
        <v>1581</v>
      </c>
      <c r="D2647" s="3297" t="s">
        <v>7591</v>
      </c>
      <c r="E2647" s="3298" t="s">
        <v>7592</v>
      </c>
      <c r="F2647" s="3298" t="s">
        <v>3056</v>
      </c>
      <c r="G2647" s="3278">
        <v>7425</v>
      </c>
      <c r="H2647" s="3299">
        <v>1260</v>
      </c>
      <c r="I2647" s="3278">
        <v>9355500</v>
      </c>
    </row>
    <row r="2648" ht="12.75" customHeight="1" spans="2:9">
      <c r="B2648" s="3274">
        <v>1582</v>
      </c>
      <c r="D2648" s="3297" t="s">
        <v>7593</v>
      </c>
      <c r="E2648" s="3298" t="s">
        <v>7594</v>
      </c>
      <c r="F2648" s="3298" t="s">
        <v>3056</v>
      </c>
      <c r="G2648" s="3278">
        <v>5500</v>
      </c>
      <c r="H2648" s="3299">
        <v>0</v>
      </c>
      <c r="I2648" s="3278">
        <v>0</v>
      </c>
    </row>
    <row r="2649" ht="12.75" customHeight="1" spans="2:9">
      <c r="B2649" s="3274">
        <v>1583</v>
      </c>
      <c r="D2649" s="3297" t="s">
        <v>7595</v>
      </c>
      <c r="E2649" s="3298" t="s">
        <v>7596</v>
      </c>
      <c r="F2649" s="3298" t="s">
        <v>3056</v>
      </c>
      <c r="G2649" s="3278">
        <v>8250</v>
      </c>
      <c r="H2649" s="3299">
        <v>0</v>
      </c>
      <c r="I2649" s="3278">
        <v>0</v>
      </c>
    </row>
    <row r="2650" ht="12.75" customHeight="1" spans="2:9">
      <c r="B2650" s="3274">
        <v>1584</v>
      </c>
      <c r="D2650" s="3297" t="s">
        <v>7597</v>
      </c>
      <c r="E2650" s="3298" t="s">
        <v>7598</v>
      </c>
      <c r="F2650" s="3298" t="s">
        <v>2293</v>
      </c>
      <c r="G2650" s="3278">
        <v>112900</v>
      </c>
      <c r="H2650" s="3299">
        <v>0</v>
      </c>
      <c r="I2650" s="3278">
        <v>0</v>
      </c>
    </row>
    <row r="2651" ht="12.75" customHeight="1" spans="2:9">
      <c r="B2651" s="3274">
        <v>1585</v>
      </c>
      <c r="D2651" s="3297" t="s">
        <v>7599</v>
      </c>
      <c r="E2651" s="3298" t="s">
        <v>7600</v>
      </c>
      <c r="F2651" s="3298" t="s">
        <v>2299</v>
      </c>
      <c r="G2651" s="3278">
        <v>0</v>
      </c>
      <c r="H2651" s="3299">
        <v>0</v>
      </c>
      <c r="I2651" s="3278">
        <v>0</v>
      </c>
    </row>
    <row r="2652" ht="12.75" customHeight="1" spans="2:9">
      <c r="B2652" s="3274">
        <v>1586</v>
      </c>
      <c r="D2652" s="3297" t="s">
        <v>7601</v>
      </c>
      <c r="E2652" s="3298" t="s">
        <v>7602</v>
      </c>
      <c r="F2652" s="3298" t="s">
        <v>3042</v>
      </c>
      <c r="G2652" s="3278">
        <v>13112</v>
      </c>
      <c r="H2652" s="3299">
        <v>0</v>
      </c>
      <c r="I2652" s="3278">
        <v>0</v>
      </c>
    </row>
    <row r="2653" ht="12.75" customHeight="1" spans="2:9">
      <c r="B2653" s="3274">
        <v>1587</v>
      </c>
      <c r="D2653" s="3297" t="s">
        <v>7603</v>
      </c>
      <c r="E2653" s="3298" t="s">
        <v>7604</v>
      </c>
      <c r="F2653" s="3298" t="s">
        <v>3056</v>
      </c>
      <c r="G2653" s="3278">
        <v>1353</v>
      </c>
      <c r="H2653" s="3299">
        <v>0</v>
      </c>
      <c r="I2653" s="3278">
        <v>0</v>
      </c>
    </row>
    <row r="2654" ht="12.75" customHeight="1" spans="2:9">
      <c r="B2654" s="3274">
        <v>1588</v>
      </c>
      <c r="D2654" s="3297" t="s">
        <v>7605</v>
      </c>
      <c r="E2654" s="3298" t="s">
        <v>7606</v>
      </c>
      <c r="F2654" s="3298" t="s">
        <v>2637</v>
      </c>
      <c r="G2654" s="3278">
        <v>28930</v>
      </c>
      <c r="H2654" s="3299">
        <v>2</v>
      </c>
      <c r="I2654" s="3278">
        <v>57860</v>
      </c>
    </row>
    <row r="2655" ht="12.75" customHeight="1" spans="2:9">
      <c r="B2655" s="3274">
        <v>1589</v>
      </c>
      <c r="D2655" s="3297" t="s">
        <v>7607</v>
      </c>
      <c r="E2655" s="3298" t="s">
        <v>7608</v>
      </c>
      <c r="F2655" s="3298" t="s">
        <v>2637</v>
      </c>
      <c r="G2655" s="3278">
        <v>37235</v>
      </c>
      <c r="H2655" s="3299">
        <v>5</v>
      </c>
      <c r="I2655" s="3278">
        <v>186175</v>
      </c>
    </row>
    <row r="2656" ht="12.75" customHeight="1" spans="2:9">
      <c r="B2656" s="3274">
        <v>1590</v>
      </c>
      <c r="D2656" s="3297" t="s">
        <v>7609</v>
      </c>
      <c r="E2656" s="3298" t="s">
        <v>7610</v>
      </c>
      <c r="F2656" s="3298" t="s">
        <v>3056</v>
      </c>
      <c r="G2656" s="3278">
        <v>4950</v>
      </c>
      <c r="H2656" s="3299">
        <v>0</v>
      </c>
      <c r="I2656" s="3278">
        <v>0</v>
      </c>
    </row>
    <row r="2657" ht="12.75" customHeight="1" spans="2:9">
      <c r="B2657" s="3274">
        <v>1591</v>
      </c>
      <c r="D2657" s="3297" t="s">
        <v>7611</v>
      </c>
      <c r="E2657" s="3298" t="s">
        <v>7612</v>
      </c>
      <c r="F2657" s="3298" t="s">
        <v>3056</v>
      </c>
      <c r="G2657" s="3278">
        <v>4950</v>
      </c>
      <c r="H2657" s="3299">
        <v>0</v>
      </c>
      <c r="I2657" s="3278">
        <v>0</v>
      </c>
    </row>
    <row r="2658" ht="12.75" customHeight="1" spans="2:9">
      <c r="B2658" s="3274">
        <v>1592</v>
      </c>
      <c r="D2658" s="3297" t="s">
        <v>7613</v>
      </c>
      <c r="E2658" s="3298" t="s">
        <v>7614</v>
      </c>
      <c r="F2658" s="3298" t="s">
        <v>3056</v>
      </c>
      <c r="G2658" s="3278">
        <v>7700</v>
      </c>
      <c r="H2658" s="3299">
        <v>0</v>
      </c>
      <c r="I2658" s="3278">
        <v>0</v>
      </c>
    </row>
    <row r="2659" ht="12.75" customHeight="1" spans="2:9">
      <c r="B2659" s="3274">
        <v>1593</v>
      </c>
      <c r="D2659" s="3297" t="s">
        <v>7615</v>
      </c>
      <c r="E2659" s="3298" t="s">
        <v>7616</v>
      </c>
      <c r="F2659" s="3298" t="s">
        <v>3056</v>
      </c>
      <c r="G2659" s="3278">
        <v>127600</v>
      </c>
      <c r="H2659" s="3299">
        <v>0</v>
      </c>
      <c r="I2659" s="3278">
        <v>0</v>
      </c>
    </row>
    <row r="2660" ht="12.75" customHeight="1" spans="2:9">
      <c r="B2660" s="3274">
        <v>1594</v>
      </c>
      <c r="D2660" s="3297" t="s">
        <v>7617</v>
      </c>
      <c r="E2660" s="3298" t="s">
        <v>7618</v>
      </c>
      <c r="F2660" s="3298" t="s">
        <v>3056</v>
      </c>
      <c r="G2660" s="3278">
        <v>91839.396</v>
      </c>
      <c r="H2660" s="3299">
        <v>0</v>
      </c>
      <c r="I2660" s="3278">
        <v>0</v>
      </c>
    </row>
    <row r="2661" ht="12.75" customHeight="1" spans="2:9">
      <c r="B2661" s="3274">
        <v>1595</v>
      </c>
      <c r="D2661" s="3297" t="s">
        <v>7619</v>
      </c>
      <c r="E2661" s="3298" t="s">
        <v>7620</v>
      </c>
      <c r="F2661" s="3298" t="s">
        <v>3056</v>
      </c>
      <c r="G2661" s="3278">
        <v>2383.3369</v>
      </c>
      <c r="H2661" s="3299">
        <v>0</v>
      </c>
      <c r="I2661" s="3278">
        <v>0</v>
      </c>
    </row>
    <row r="2662" ht="12.75" customHeight="1" spans="2:9">
      <c r="B2662" s="3274">
        <v>1596</v>
      </c>
      <c r="D2662" s="3297" t="s">
        <v>7621</v>
      </c>
      <c r="E2662" s="3298" t="s">
        <v>7622</v>
      </c>
      <c r="F2662" s="3298" t="s">
        <v>3056</v>
      </c>
      <c r="G2662" s="3278">
        <v>1411.663</v>
      </c>
      <c r="H2662" s="3299">
        <v>0</v>
      </c>
      <c r="I2662" s="3278">
        <v>0</v>
      </c>
    </row>
    <row r="2663" ht="12.75" customHeight="1" spans="2:9">
      <c r="B2663" s="3274">
        <v>1597</v>
      </c>
      <c r="D2663" s="3297" t="s">
        <v>7623</v>
      </c>
      <c r="E2663" s="3298" t="s">
        <v>7624</v>
      </c>
      <c r="F2663" s="3298" t="s">
        <v>3056</v>
      </c>
      <c r="G2663" s="3278">
        <v>2640</v>
      </c>
      <c r="H2663" s="3299">
        <v>0</v>
      </c>
      <c r="I2663" s="3278">
        <v>0</v>
      </c>
    </row>
    <row r="2664" ht="12.75" customHeight="1" spans="2:9">
      <c r="B2664" s="3274">
        <v>1598</v>
      </c>
      <c r="D2664" s="3297" t="s">
        <v>7625</v>
      </c>
      <c r="E2664" s="3298" t="s">
        <v>7626</v>
      </c>
      <c r="F2664" s="3298" t="s">
        <v>2321</v>
      </c>
      <c r="G2664" s="3278">
        <v>71500</v>
      </c>
      <c r="H2664" s="3299">
        <v>0</v>
      </c>
      <c r="I2664" s="3278">
        <v>0</v>
      </c>
    </row>
    <row r="2665" ht="12.75" customHeight="1" spans="2:9">
      <c r="B2665" s="3274">
        <v>1599</v>
      </c>
      <c r="D2665" s="3297" t="s">
        <v>7627</v>
      </c>
      <c r="E2665" s="3298" t="s">
        <v>7628</v>
      </c>
      <c r="F2665" s="3298" t="s">
        <v>3423</v>
      </c>
      <c r="G2665" s="3278">
        <v>93500</v>
      </c>
      <c r="H2665" s="3299">
        <v>0</v>
      </c>
      <c r="I2665" s="3278">
        <v>0</v>
      </c>
    </row>
    <row r="2666" ht="12.75" customHeight="1" spans="2:9">
      <c r="B2666" s="3274">
        <v>1600</v>
      </c>
      <c r="D2666" s="3297" t="s">
        <v>7629</v>
      </c>
      <c r="E2666" s="3298" t="s">
        <v>7630</v>
      </c>
      <c r="F2666" s="3298" t="s">
        <v>3423</v>
      </c>
      <c r="G2666" s="3278">
        <v>22000</v>
      </c>
      <c r="H2666" s="3299">
        <v>12</v>
      </c>
      <c r="I2666" s="3278">
        <v>264000</v>
      </c>
    </row>
    <row r="2667" ht="12.75" customHeight="1" spans="2:9">
      <c r="B2667" s="3274">
        <v>1601</v>
      </c>
      <c r="D2667" s="3297" t="s">
        <v>7631</v>
      </c>
      <c r="E2667" s="3298" t="s">
        <v>7632</v>
      </c>
      <c r="F2667" s="3298" t="s">
        <v>3056</v>
      </c>
      <c r="G2667" s="3278">
        <v>33392.8705</v>
      </c>
      <c r="H2667" s="3299">
        <v>0</v>
      </c>
      <c r="I2667" s="3278">
        <v>0</v>
      </c>
    </row>
    <row r="2668" ht="12.75" customHeight="1" spans="2:9">
      <c r="B2668" s="3274">
        <v>1602</v>
      </c>
      <c r="D2668" s="3297" t="s">
        <v>7633</v>
      </c>
      <c r="E2668" s="3298" t="s">
        <v>7634</v>
      </c>
      <c r="F2668" s="3298" t="s">
        <v>4351</v>
      </c>
      <c r="G2668" s="3278">
        <v>42592</v>
      </c>
      <c r="H2668" s="3299">
        <v>0</v>
      </c>
      <c r="I2668" s="3278">
        <v>0</v>
      </c>
    </row>
    <row r="2669" ht="12.75" customHeight="1" spans="2:9">
      <c r="B2669" s="3274">
        <v>1603</v>
      </c>
      <c r="D2669" s="3297" t="s">
        <v>7635</v>
      </c>
      <c r="E2669" s="3298" t="s">
        <v>7636</v>
      </c>
      <c r="F2669" s="3298" t="s">
        <v>2637</v>
      </c>
      <c r="G2669" s="3278">
        <v>39325</v>
      </c>
      <c r="H2669" s="3299">
        <v>19</v>
      </c>
      <c r="I2669" s="3278">
        <v>747175</v>
      </c>
    </row>
    <row r="2670" ht="12.75" customHeight="1" spans="2:9">
      <c r="B2670" s="3274">
        <v>1604</v>
      </c>
      <c r="D2670" s="3297" t="s">
        <v>7637</v>
      </c>
      <c r="E2670" s="3298" t="s">
        <v>7638</v>
      </c>
      <c r="F2670" s="3298" t="s">
        <v>2637</v>
      </c>
      <c r="G2670" s="3278">
        <v>89936</v>
      </c>
      <c r="H2670" s="3299">
        <v>0</v>
      </c>
      <c r="I2670" s="3278">
        <v>0</v>
      </c>
    </row>
    <row r="2671" ht="12.75" customHeight="1" spans="2:9">
      <c r="B2671" s="3274">
        <v>1605</v>
      </c>
      <c r="D2671" s="3297" t="s">
        <v>7639</v>
      </c>
      <c r="E2671" s="3298" t="s">
        <v>7640</v>
      </c>
      <c r="F2671" s="3298" t="s">
        <v>2637</v>
      </c>
      <c r="G2671" s="3278">
        <v>40012.5</v>
      </c>
      <c r="H2671" s="3299">
        <v>0</v>
      </c>
      <c r="I2671" s="3278">
        <v>0</v>
      </c>
    </row>
    <row r="2672" ht="12.75" customHeight="1" spans="2:9">
      <c r="B2672" s="3274">
        <v>1606</v>
      </c>
      <c r="D2672" s="3297" t="s">
        <v>7641</v>
      </c>
      <c r="E2672" s="3298" t="s">
        <v>7642</v>
      </c>
      <c r="F2672" s="3298" t="s">
        <v>2637</v>
      </c>
      <c r="G2672" s="3278">
        <v>62700</v>
      </c>
      <c r="H2672" s="3299">
        <v>0</v>
      </c>
      <c r="I2672" s="3278">
        <v>0</v>
      </c>
    </row>
    <row r="2673" ht="12.75" customHeight="1" spans="2:9">
      <c r="B2673" s="3274">
        <v>1607</v>
      </c>
      <c r="D2673" s="3297" t="s">
        <v>7643</v>
      </c>
      <c r="E2673" s="3298" t="s">
        <v>7644</v>
      </c>
      <c r="F2673" s="3298" t="s">
        <v>2637</v>
      </c>
      <c r="G2673" s="3278">
        <v>14575</v>
      </c>
      <c r="H2673" s="3299">
        <v>13</v>
      </c>
      <c r="I2673" s="3278">
        <v>189475</v>
      </c>
    </row>
    <row r="2674" ht="12.75" customHeight="1" spans="2:9">
      <c r="B2674" s="3274">
        <v>1608</v>
      </c>
      <c r="D2674" s="3297" t="s">
        <v>7645</v>
      </c>
      <c r="E2674" s="3298" t="s">
        <v>7646</v>
      </c>
      <c r="F2674" s="3298" t="s">
        <v>2321</v>
      </c>
      <c r="G2674" s="3278">
        <v>24612.5</v>
      </c>
      <c r="H2674" s="3299">
        <v>0</v>
      </c>
      <c r="I2674" s="3278">
        <v>0</v>
      </c>
    </row>
    <row r="2675" ht="12.75" customHeight="1" spans="2:9">
      <c r="B2675" s="3274">
        <v>1609</v>
      </c>
      <c r="D2675" s="3297" t="s">
        <v>7647</v>
      </c>
      <c r="E2675" s="3298" t="s">
        <v>7648</v>
      </c>
      <c r="F2675" s="3298" t="s">
        <v>2299</v>
      </c>
      <c r="G2675" s="3278">
        <v>25278</v>
      </c>
      <c r="H2675" s="3299">
        <v>0</v>
      </c>
      <c r="I2675" s="3278">
        <v>0</v>
      </c>
    </row>
    <row r="2676" ht="12.75" customHeight="1" spans="2:9">
      <c r="B2676" s="3274">
        <v>1610</v>
      </c>
      <c r="D2676" s="3297" t="s">
        <v>7649</v>
      </c>
      <c r="E2676" s="3298" t="s">
        <v>7650</v>
      </c>
      <c r="F2676" s="3298" t="s">
        <v>2637</v>
      </c>
      <c r="G2676" s="3278">
        <v>36575</v>
      </c>
      <c r="H2676" s="3299">
        <v>0</v>
      </c>
      <c r="I2676" s="3278">
        <v>0</v>
      </c>
    </row>
    <row r="2677" ht="12.75" customHeight="1" spans="2:9">
      <c r="B2677" s="3274">
        <v>1611</v>
      </c>
      <c r="D2677" s="3297" t="s">
        <v>7651</v>
      </c>
      <c r="E2677" s="3298" t="s">
        <v>7652</v>
      </c>
      <c r="F2677" s="3298" t="s">
        <v>2637</v>
      </c>
      <c r="G2677" s="3278">
        <v>50875</v>
      </c>
      <c r="H2677" s="3299">
        <v>0</v>
      </c>
      <c r="I2677" s="3278">
        <v>0</v>
      </c>
    </row>
    <row r="2678" ht="12.75" customHeight="1" spans="2:9">
      <c r="B2678" s="3274">
        <v>1612</v>
      </c>
      <c r="D2678" s="3297" t="s">
        <v>7653</v>
      </c>
      <c r="E2678" s="3298" t="s">
        <v>7654</v>
      </c>
      <c r="F2678" s="3298" t="s">
        <v>2299</v>
      </c>
      <c r="G2678" s="3278">
        <v>88275</v>
      </c>
      <c r="H2678" s="3299">
        <v>0</v>
      </c>
      <c r="I2678" s="3278">
        <v>0</v>
      </c>
    </row>
    <row r="2679" ht="12.75" customHeight="1" spans="2:9">
      <c r="B2679" s="3274">
        <v>1613</v>
      </c>
      <c r="D2679" s="3297" t="s">
        <v>7655</v>
      </c>
      <c r="E2679" s="3298" t="s">
        <v>7656</v>
      </c>
      <c r="F2679" s="3298" t="s">
        <v>2637</v>
      </c>
      <c r="G2679" s="3278">
        <v>41250</v>
      </c>
      <c r="H2679" s="3299">
        <v>31</v>
      </c>
      <c r="I2679" s="3278">
        <v>1278750</v>
      </c>
    </row>
    <row r="2680" ht="12.75" customHeight="1" spans="2:9">
      <c r="B2680" s="3274">
        <v>1614</v>
      </c>
      <c r="D2680" s="3297" t="s">
        <v>7657</v>
      </c>
      <c r="E2680" s="3298" t="s">
        <v>7658</v>
      </c>
      <c r="F2680" s="3298" t="s">
        <v>2637</v>
      </c>
      <c r="G2680" s="3278">
        <v>31762.5</v>
      </c>
      <c r="H2680" s="3299">
        <v>0</v>
      </c>
      <c r="I2680" s="3278">
        <v>0</v>
      </c>
    </row>
    <row r="2681" ht="12.75" customHeight="1" spans="2:9">
      <c r="B2681" s="3274">
        <v>1615</v>
      </c>
      <c r="D2681" s="3297" t="s">
        <v>7659</v>
      </c>
      <c r="E2681" s="3298" t="s">
        <v>7660</v>
      </c>
      <c r="F2681" s="3298" t="s">
        <v>2299</v>
      </c>
      <c r="G2681" s="3278">
        <v>29013.325</v>
      </c>
      <c r="H2681" s="3299">
        <v>0</v>
      </c>
      <c r="I2681" s="3278">
        <v>0</v>
      </c>
    </row>
    <row r="2682" ht="12.75" customHeight="1" spans="2:9">
      <c r="B2682" s="3274">
        <v>1616</v>
      </c>
      <c r="D2682" s="3297" t="s">
        <v>7661</v>
      </c>
      <c r="E2682" s="3298" t="s">
        <v>7662</v>
      </c>
      <c r="F2682" s="3298" t="s">
        <v>2299</v>
      </c>
      <c r="G2682" s="3278">
        <v>13337.5</v>
      </c>
      <c r="H2682" s="3299">
        <v>0</v>
      </c>
      <c r="I2682" s="3278">
        <v>0</v>
      </c>
    </row>
    <row r="2683" ht="12.75" customHeight="1" spans="2:9">
      <c r="B2683" s="3274">
        <v>1617</v>
      </c>
      <c r="D2683" s="3297" t="s">
        <v>7663</v>
      </c>
      <c r="E2683" s="3298" t="s">
        <v>7664</v>
      </c>
      <c r="F2683" s="3298" t="s">
        <v>2299</v>
      </c>
      <c r="G2683" s="3278">
        <v>32312.5</v>
      </c>
      <c r="H2683" s="3299">
        <v>0</v>
      </c>
      <c r="I2683" s="3278">
        <v>0</v>
      </c>
    </row>
    <row r="2684" ht="12.75" customHeight="1" spans="2:9">
      <c r="B2684" s="3274">
        <v>1618</v>
      </c>
      <c r="D2684" s="3297" t="s">
        <v>7665</v>
      </c>
      <c r="E2684" s="3298" t="s">
        <v>7666</v>
      </c>
      <c r="F2684" s="3298" t="s">
        <v>2299</v>
      </c>
      <c r="G2684" s="3278">
        <v>40012.5</v>
      </c>
      <c r="H2684" s="3299">
        <v>9</v>
      </c>
      <c r="I2684" s="3278">
        <v>360112.5</v>
      </c>
    </row>
    <row r="2685" ht="12.75" customHeight="1" spans="2:9">
      <c r="B2685" s="3274">
        <v>1619</v>
      </c>
      <c r="D2685" s="3297" t="s">
        <v>7667</v>
      </c>
      <c r="E2685" s="3298" t="s">
        <v>7668</v>
      </c>
      <c r="F2685" s="3298" t="s">
        <v>2637</v>
      </c>
      <c r="G2685" s="3278">
        <v>13337.5</v>
      </c>
      <c r="H2685" s="3299">
        <v>0</v>
      </c>
      <c r="I2685" s="3278">
        <v>0</v>
      </c>
    </row>
    <row r="2686" ht="12.75" customHeight="1" spans="2:9">
      <c r="B2686" s="3274">
        <v>1620</v>
      </c>
      <c r="D2686" s="3297" t="s">
        <v>7669</v>
      </c>
      <c r="E2686" s="3298" t="s">
        <v>7670</v>
      </c>
      <c r="F2686" s="3298" t="s">
        <v>2321</v>
      </c>
      <c r="G2686" s="3278">
        <v>39462.5</v>
      </c>
      <c r="H2686" s="3299">
        <v>0</v>
      </c>
      <c r="I2686" s="3278">
        <v>0</v>
      </c>
    </row>
    <row r="2687" ht="12.75" customHeight="1" spans="2:9">
      <c r="B2687" s="3274">
        <v>1621</v>
      </c>
      <c r="D2687" s="3297" t="s">
        <v>7671</v>
      </c>
      <c r="E2687" s="3298" t="s">
        <v>7672</v>
      </c>
      <c r="F2687" s="3298" t="s">
        <v>2321</v>
      </c>
      <c r="G2687" s="3278">
        <v>76175</v>
      </c>
      <c r="H2687" s="3299">
        <v>0</v>
      </c>
      <c r="I2687" s="3278">
        <v>0</v>
      </c>
    </row>
    <row r="2688" ht="12.75" customHeight="1" spans="2:9">
      <c r="B2688" s="3274">
        <v>1622</v>
      </c>
      <c r="D2688" s="3297" t="s">
        <v>7673</v>
      </c>
      <c r="E2688" s="3298" t="s">
        <v>7674</v>
      </c>
      <c r="F2688" s="3298" t="s">
        <v>2321</v>
      </c>
      <c r="G2688" s="3278">
        <v>0</v>
      </c>
      <c r="H2688" s="3299">
        <v>0</v>
      </c>
      <c r="I2688" s="3278">
        <v>0</v>
      </c>
    </row>
    <row r="2689" ht="12.75" customHeight="1" spans="2:9">
      <c r="B2689" s="3274">
        <v>1623</v>
      </c>
      <c r="D2689" s="3297" t="s">
        <v>7675</v>
      </c>
      <c r="E2689" s="3298" t="s">
        <v>7676</v>
      </c>
      <c r="F2689" s="3298" t="s">
        <v>2321</v>
      </c>
      <c r="G2689" s="3278">
        <v>31898.625</v>
      </c>
      <c r="H2689" s="3299">
        <v>0</v>
      </c>
      <c r="I2689" s="3278">
        <v>0</v>
      </c>
    </row>
    <row r="2690" ht="12.75" customHeight="1" spans="2:9">
      <c r="B2690" s="3274">
        <v>1624</v>
      </c>
      <c r="D2690" s="3297" t="s">
        <v>7677</v>
      </c>
      <c r="E2690" s="3298" t="s">
        <v>7678</v>
      </c>
      <c r="F2690" s="3298" t="s">
        <v>2321</v>
      </c>
      <c r="G2690" s="3278">
        <v>17875</v>
      </c>
      <c r="H2690" s="3299">
        <v>8</v>
      </c>
      <c r="I2690" s="3278">
        <v>143000</v>
      </c>
    </row>
    <row r="2691" ht="12.75" customHeight="1" spans="2:9">
      <c r="B2691" s="3274">
        <v>1625</v>
      </c>
      <c r="D2691" s="3297" t="s">
        <v>7679</v>
      </c>
      <c r="E2691" s="3298" t="s">
        <v>7680</v>
      </c>
      <c r="F2691" s="3298" t="s">
        <v>2391</v>
      </c>
      <c r="G2691" s="3278">
        <v>62700</v>
      </c>
      <c r="H2691" s="3299">
        <v>0</v>
      </c>
      <c r="I2691" s="3278">
        <v>0</v>
      </c>
    </row>
    <row r="2692" ht="12.75" customHeight="1" spans="2:9">
      <c r="B2692" s="3274">
        <v>1626</v>
      </c>
      <c r="D2692" s="3297" t="s">
        <v>7681</v>
      </c>
      <c r="E2692" s="3298" t="s">
        <v>7682</v>
      </c>
      <c r="F2692" s="3298" t="s">
        <v>2391</v>
      </c>
      <c r="G2692" s="3278">
        <v>39462.5</v>
      </c>
      <c r="H2692" s="3299">
        <v>0</v>
      </c>
      <c r="I2692" s="3278">
        <v>0</v>
      </c>
    </row>
    <row r="2693" ht="12.75" customHeight="1" spans="2:9">
      <c r="B2693" s="3274">
        <v>1627</v>
      </c>
      <c r="D2693" s="3297" t="s">
        <v>7683</v>
      </c>
      <c r="E2693" s="3298" t="s">
        <v>7684</v>
      </c>
      <c r="F2693" s="3298" t="s">
        <v>2321</v>
      </c>
      <c r="G2693" s="3278">
        <v>33440</v>
      </c>
      <c r="H2693" s="3299">
        <v>0</v>
      </c>
      <c r="I2693" s="3278">
        <v>0</v>
      </c>
    </row>
    <row r="2694" ht="12.75" customHeight="1" spans="2:9">
      <c r="B2694" s="3274">
        <v>1628</v>
      </c>
      <c r="D2694" s="3297" t="s">
        <v>7685</v>
      </c>
      <c r="E2694" s="3298" t="s">
        <v>7686</v>
      </c>
      <c r="F2694" s="3298" t="s">
        <v>2299</v>
      </c>
      <c r="G2694" s="3278">
        <v>29425</v>
      </c>
      <c r="H2694" s="3299">
        <v>0</v>
      </c>
      <c r="I2694" s="3278">
        <v>0</v>
      </c>
    </row>
    <row r="2695" ht="12.75" customHeight="1" spans="2:9">
      <c r="B2695" s="3274">
        <v>1629</v>
      </c>
      <c r="D2695" s="3297" t="s">
        <v>7687</v>
      </c>
      <c r="E2695" s="3298" t="s">
        <v>7688</v>
      </c>
      <c r="F2695" s="3298" t="s">
        <v>2321</v>
      </c>
      <c r="G2695" s="3278">
        <v>44000</v>
      </c>
      <c r="H2695" s="3299">
        <v>0</v>
      </c>
      <c r="I2695" s="3278">
        <v>0</v>
      </c>
    </row>
    <row r="2696" ht="12.75" customHeight="1" spans="2:9">
      <c r="B2696" s="3274">
        <v>1630</v>
      </c>
      <c r="D2696" s="3297" t="s">
        <v>7689</v>
      </c>
      <c r="E2696" s="3298" t="s">
        <v>7690</v>
      </c>
      <c r="F2696" s="3298" t="s">
        <v>2321</v>
      </c>
      <c r="G2696" s="3278">
        <v>40480</v>
      </c>
      <c r="H2696" s="3299">
        <v>0</v>
      </c>
      <c r="I2696" s="3278">
        <v>0</v>
      </c>
    </row>
    <row r="2697" ht="12.75" customHeight="1" spans="2:9">
      <c r="B2697" s="3274">
        <v>1631</v>
      </c>
      <c r="D2697" s="3297" t="s">
        <v>7691</v>
      </c>
      <c r="E2697" s="3298" t="s">
        <v>7692</v>
      </c>
      <c r="F2697" s="3298" t="s">
        <v>2321</v>
      </c>
      <c r="G2697" s="3278">
        <v>40480</v>
      </c>
      <c r="H2697" s="3299">
        <v>0</v>
      </c>
      <c r="I2697" s="3278">
        <v>0</v>
      </c>
    </row>
    <row r="2698" ht="12.75" customHeight="1" spans="2:9">
      <c r="B2698" s="3274">
        <v>1632</v>
      </c>
      <c r="D2698" s="3297" t="s">
        <v>7693</v>
      </c>
      <c r="E2698" s="3298" t="s">
        <v>7694</v>
      </c>
      <c r="F2698" s="3298" t="s">
        <v>3042</v>
      </c>
      <c r="G2698" s="3278">
        <v>190300</v>
      </c>
      <c r="H2698" s="3299">
        <v>0</v>
      </c>
      <c r="I2698" s="3278">
        <v>0</v>
      </c>
    </row>
    <row r="2699" ht="12.75" customHeight="1" spans="2:9">
      <c r="B2699" s="3274">
        <v>1633</v>
      </c>
      <c r="D2699" s="3297" t="s">
        <v>7695</v>
      </c>
      <c r="E2699" s="3298" t="s">
        <v>7696</v>
      </c>
      <c r="F2699" s="3298" t="s">
        <v>2321</v>
      </c>
      <c r="G2699" s="3278">
        <v>154019.8</v>
      </c>
      <c r="H2699" s="3299">
        <v>0</v>
      </c>
      <c r="I2699" s="3278">
        <v>0</v>
      </c>
    </row>
    <row r="2700" ht="12.75" customHeight="1" spans="2:9">
      <c r="B2700" s="3274">
        <v>1634</v>
      </c>
      <c r="D2700" s="3297" t="s">
        <v>7697</v>
      </c>
      <c r="E2700" s="3298" t="s">
        <v>7698</v>
      </c>
      <c r="F2700" s="3298" t="s">
        <v>4351</v>
      </c>
      <c r="G2700" s="3278">
        <v>6655</v>
      </c>
      <c r="H2700" s="3299">
        <v>0</v>
      </c>
      <c r="I2700" s="3278">
        <v>0</v>
      </c>
    </row>
    <row r="2701" ht="12.75" customHeight="1" spans="2:9">
      <c r="B2701" s="3274">
        <v>1635</v>
      </c>
      <c r="D2701" s="3297" t="s">
        <v>7699</v>
      </c>
      <c r="E2701" s="3298" t="s">
        <v>7700</v>
      </c>
      <c r="F2701" s="3298" t="s">
        <v>2293</v>
      </c>
      <c r="G2701" s="3278">
        <v>285500</v>
      </c>
      <c r="H2701" s="3299">
        <v>0</v>
      </c>
      <c r="I2701" s="3278">
        <v>0</v>
      </c>
    </row>
    <row r="2702" ht="12.75" customHeight="1" spans="2:9">
      <c r="B2702" s="3274">
        <v>1636</v>
      </c>
      <c r="D2702" s="3297" t="s">
        <v>7701</v>
      </c>
      <c r="E2702" s="3298" t="s">
        <v>7702</v>
      </c>
      <c r="F2702" s="3298" t="s">
        <v>2457</v>
      </c>
      <c r="G2702" s="3278">
        <v>83435</v>
      </c>
      <c r="H2702" s="3299">
        <v>0</v>
      </c>
      <c r="I2702" s="3278">
        <v>0</v>
      </c>
    </row>
    <row r="2703" ht="12.75" customHeight="1" spans="2:9">
      <c r="B2703" s="3274">
        <v>1637</v>
      </c>
      <c r="D2703" s="3297" t="s">
        <v>7703</v>
      </c>
      <c r="E2703" s="3298" t="s">
        <v>7704</v>
      </c>
      <c r="F2703" s="3298" t="s">
        <v>2457</v>
      </c>
      <c r="G2703" s="3278">
        <v>130982.5</v>
      </c>
      <c r="H2703" s="3299">
        <v>0</v>
      </c>
      <c r="I2703" s="3278">
        <v>0</v>
      </c>
    </row>
    <row r="2704" ht="12.75" customHeight="1" spans="2:9">
      <c r="B2704" s="3274">
        <v>1638</v>
      </c>
      <c r="D2704" s="3297" t="s">
        <v>7705</v>
      </c>
      <c r="E2704" s="3298" t="s">
        <v>7706</v>
      </c>
      <c r="F2704" s="3298" t="s">
        <v>2457</v>
      </c>
      <c r="G2704" s="3278">
        <v>61325</v>
      </c>
      <c r="H2704" s="3299">
        <v>0</v>
      </c>
      <c r="I2704" s="3278">
        <v>0</v>
      </c>
    </row>
    <row r="2705" ht="12.75" customHeight="1" spans="2:9">
      <c r="B2705" s="3274">
        <v>1639</v>
      </c>
      <c r="D2705" s="3297" t="s">
        <v>7707</v>
      </c>
      <c r="E2705" s="3298" t="s">
        <v>7708</v>
      </c>
      <c r="F2705" s="3298" t="s">
        <v>2457</v>
      </c>
      <c r="G2705" s="3278">
        <v>118346.8</v>
      </c>
      <c r="H2705" s="3299">
        <v>0</v>
      </c>
      <c r="I2705" s="3278">
        <v>0</v>
      </c>
    </row>
    <row r="2706" ht="12.75" customHeight="1" spans="2:9">
      <c r="B2706" s="3274">
        <v>1640</v>
      </c>
      <c r="D2706" s="3297" t="s">
        <v>7709</v>
      </c>
      <c r="E2706" s="3298" t="s">
        <v>7710</v>
      </c>
      <c r="F2706" s="3298" t="s">
        <v>2457</v>
      </c>
      <c r="G2706" s="3278">
        <v>76780</v>
      </c>
      <c r="H2706" s="3299">
        <v>0</v>
      </c>
      <c r="I2706" s="3278">
        <v>0</v>
      </c>
    </row>
    <row r="2707" ht="12.75" customHeight="1" spans="2:9">
      <c r="B2707" s="3274">
        <v>1641</v>
      </c>
      <c r="D2707" s="3297" t="s">
        <v>7711</v>
      </c>
      <c r="E2707" s="3298" t="s">
        <v>7712</v>
      </c>
      <c r="F2707" s="3298" t="s">
        <v>2457</v>
      </c>
      <c r="G2707" s="3278">
        <v>124997.4</v>
      </c>
      <c r="H2707" s="3299">
        <v>0</v>
      </c>
      <c r="I2707" s="3278">
        <v>0</v>
      </c>
    </row>
    <row r="2708" ht="12.75" customHeight="1" spans="2:9">
      <c r="B2708" s="3274">
        <v>1642</v>
      </c>
      <c r="D2708" s="3297" t="s">
        <v>7713</v>
      </c>
      <c r="E2708" s="3298" t="s">
        <v>7714</v>
      </c>
      <c r="F2708" s="3298" t="s">
        <v>2457</v>
      </c>
      <c r="G2708" s="3278">
        <v>56870</v>
      </c>
      <c r="H2708" s="3299">
        <v>0</v>
      </c>
      <c r="I2708" s="3278">
        <v>0</v>
      </c>
    </row>
    <row r="2709" ht="12.75" customHeight="1" spans="2:9">
      <c r="B2709" s="3274">
        <v>1643</v>
      </c>
      <c r="D2709" s="3297" t="s">
        <v>7715</v>
      </c>
      <c r="E2709" s="3298" t="s">
        <v>7716</v>
      </c>
      <c r="F2709" s="3298" t="s">
        <v>2457</v>
      </c>
      <c r="G2709" s="3278">
        <v>69960</v>
      </c>
      <c r="H2709" s="3299">
        <v>0</v>
      </c>
      <c r="I2709" s="3278">
        <v>0</v>
      </c>
    </row>
    <row r="2710" ht="12.75" customHeight="1" spans="2:9">
      <c r="B2710" s="3274">
        <v>1644</v>
      </c>
      <c r="D2710" s="3297" t="s">
        <v>7717</v>
      </c>
      <c r="E2710" s="3298" t="s">
        <v>7718</v>
      </c>
      <c r="F2710" s="3298" t="s">
        <v>2321</v>
      </c>
      <c r="G2710" s="3278">
        <v>3921.5</v>
      </c>
      <c r="H2710" s="3299">
        <v>0</v>
      </c>
      <c r="I2710" s="3278">
        <v>0</v>
      </c>
    </row>
    <row r="2711" ht="12.75" customHeight="1" spans="2:9">
      <c r="B2711" s="3274">
        <v>1645</v>
      </c>
      <c r="D2711" s="3297" t="s">
        <v>7719</v>
      </c>
      <c r="E2711" s="3298" t="s">
        <v>7720</v>
      </c>
      <c r="F2711" s="3298" t="s">
        <v>2457</v>
      </c>
      <c r="G2711" s="3278">
        <v>194793.5</v>
      </c>
      <c r="H2711" s="3299">
        <v>0</v>
      </c>
      <c r="I2711" s="3278">
        <v>0</v>
      </c>
    </row>
    <row r="2712" ht="12.75" customHeight="1" spans="2:9">
      <c r="B2712" s="3274">
        <v>1646</v>
      </c>
      <c r="D2712" s="3297" t="s">
        <v>7721</v>
      </c>
      <c r="E2712" s="3298" t="s">
        <v>7722</v>
      </c>
      <c r="F2712" s="3298" t="s">
        <v>2321</v>
      </c>
      <c r="G2712" s="3278">
        <v>3921.5</v>
      </c>
      <c r="H2712" s="3299">
        <v>0</v>
      </c>
      <c r="I2712" s="3278">
        <v>0</v>
      </c>
    </row>
    <row r="2713" ht="12.75" customHeight="1" spans="2:9">
      <c r="B2713" s="3274">
        <v>1647</v>
      </c>
      <c r="D2713" s="3297" t="s">
        <v>7723</v>
      </c>
      <c r="E2713" s="3298" t="s">
        <v>7724</v>
      </c>
      <c r="F2713" s="3298" t="s">
        <v>3423</v>
      </c>
      <c r="G2713" s="3278">
        <v>12375</v>
      </c>
      <c r="H2713" s="3299">
        <v>0</v>
      </c>
      <c r="I2713" s="3278">
        <v>0</v>
      </c>
    </row>
    <row r="2714" ht="12.75" customHeight="1" spans="2:9">
      <c r="B2714" s="3274">
        <v>1648</v>
      </c>
      <c r="D2714" s="3297" t="s">
        <v>7725</v>
      </c>
      <c r="E2714" s="3298" t="s">
        <v>7726</v>
      </c>
      <c r="F2714" s="3298" t="s">
        <v>3056</v>
      </c>
      <c r="G2714" s="3278">
        <v>24860</v>
      </c>
      <c r="H2714" s="3299">
        <v>0</v>
      </c>
      <c r="I2714" s="3278">
        <v>0</v>
      </c>
    </row>
    <row r="2715" ht="12.75" customHeight="1" spans="2:9">
      <c r="B2715" s="3274">
        <v>1649</v>
      </c>
      <c r="D2715" s="3297" t="s">
        <v>7727</v>
      </c>
      <c r="E2715" s="3298" t="s">
        <v>7728</v>
      </c>
      <c r="F2715" s="3298" t="s">
        <v>3423</v>
      </c>
      <c r="G2715" s="3278">
        <v>196342</v>
      </c>
      <c r="H2715" s="3299">
        <v>0</v>
      </c>
      <c r="I2715" s="3278">
        <v>0</v>
      </c>
    </row>
    <row r="2716" ht="12.75" customHeight="1" spans="2:9">
      <c r="B2716" s="3274">
        <v>1650</v>
      </c>
      <c r="D2716" s="3297" t="s">
        <v>7729</v>
      </c>
      <c r="E2716" s="3298" t="s">
        <v>7730</v>
      </c>
      <c r="F2716" s="3298" t="s">
        <v>2637</v>
      </c>
      <c r="G2716" s="3278">
        <v>42350</v>
      </c>
      <c r="H2716" s="3299">
        <v>0</v>
      </c>
      <c r="I2716" s="3278">
        <v>0</v>
      </c>
    </row>
    <row r="2717" ht="12.75" customHeight="1" spans="2:9">
      <c r="B2717" s="3274">
        <v>1651</v>
      </c>
      <c r="D2717" s="3297" t="s">
        <v>7731</v>
      </c>
      <c r="E2717" s="3298" t="s">
        <v>7732</v>
      </c>
      <c r="F2717" s="3298" t="s">
        <v>3056</v>
      </c>
      <c r="G2717" s="3278">
        <v>0</v>
      </c>
      <c r="H2717" s="3299">
        <v>0</v>
      </c>
      <c r="I2717" s="3278">
        <v>0</v>
      </c>
    </row>
    <row r="2718" ht="12.75" customHeight="1" spans="2:9">
      <c r="B2718" s="3274">
        <v>1652</v>
      </c>
      <c r="D2718" s="3297" t="s">
        <v>7733</v>
      </c>
      <c r="E2718" s="3298" t="s">
        <v>7734</v>
      </c>
      <c r="F2718" s="3298" t="s">
        <v>3056</v>
      </c>
      <c r="G2718" s="3278">
        <v>2500</v>
      </c>
      <c r="H2718" s="3299">
        <v>0</v>
      </c>
      <c r="I2718" s="3278">
        <v>0</v>
      </c>
    </row>
    <row r="2719" ht="12.75" customHeight="1" spans="2:9">
      <c r="B2719" s="3274">
        <v>1653</v>
      </c>
      <c r="D2719" s="3297" t="s">
        <v>7735</v>
      </c>
      <c r="E2719" s="3298" t="s">
        <v>7736</v>
      </c>
      <c r="F2719" s="3298" t="s">
        <v>2299</v>
      </c>
      <c r="G2719" s="3278">
        <v>40000</v>
      </c>
      <c r="H2719" s="3299">
        <v>0</v>
      </c>
      <c r="I2719" s="3278">
        <v>0</v>
      </c>
    </row>
    <row r="2720" ht="12.75" customHeight="1" spans="2:9">
      <c r="B2720" s="3274">
        <v>1654</v>
      </c>
      <c r="D2720" s="3297" t="s">
        <v>7737</v>
      </c>
      <c r="E2720" s="3298" t="s">
        <v>7738</v>
      </c>
      <c r="F2720" s="3298" t="s">
        <v>2293</v>
      </c>
      <c r="G2720" s="3278">
        <v>12705</v>
      </c>
      <c r="H2720" s="3299">
        <v>0</v>
      </c>
      <c r="I2720" s="3278">
        <v>0</v>
      </c>
    </row>
    <row r="2721" ht="12.75" customHeight="1" spans="2:9">
      <c r="B2721" s="3274">
        <v>1655</v>
      </c>
      <c r="D2721" s="3297" t="s">
        <v>7739</v>
      </c>
      <c r="E2721" s="3298" t="s">
        <v>7740</v>
      </c>
      <c r="F2721" s="3298" t="s">
        <v>3056</v>
      </c>
      <c r="G2721" s="3278">
        <v>3135</v>
      </c>
      <c r="H2721" s="3299">
        <v>0</v>
      </c>
      <c r="I2721" s="3278">
        <v>0</v>
      </c>
    </row>
    <row r="2722" ht="12.75" customHeight="1" spans="2:9">
      <c r="B2722" s="3274">
        <v>1656</v>
      </c>
      <c r="D2722" s="3297" t="s">
        <v>7741</v>
      </c>
      <c r="E2722" s="3298" t="s">
        <v>7742</v>
      </c>
      <c r="F2722" s="3298" t="s">
        <v>4274</v>
      </c>
      <c r="G2722" s="3278">
        <v>295600</v>
      </c>
      <c r="H2722" s="3299">
        <v>0</v>
      </c>
      <c r="I2722" s="3278">
        <v>0</v>
      </c>
    </row>
    <row r="2723" ht="12.75" customHeight="1" spans="2:9">
      <c r="B2723" s="3274">
        <v>1657</v>
      </c>
      <c r="D2723" s="3297" t="s">
        <v>7743</v>
      </c>
      <c r="E2723" s="3298" t="s">
        <v>7744</v>
      </c>
      <c r="F2723" s="3298" t="s">
        <v>3056</v>
      </c>
      <c r="G2723" s="3278">
        <v>5854.156</v>
      </c>
      <c r="H2723" s="3299">
        <v>0</v>
      </c>
      <c r="I2723" s="3278">
        <v>0</v>
      </c>
    </row>
    <row r="2724" ht="12.75" customHeight="1" spans="2:9">
      <c r="B2724" s="3274">
        <v>1658</v>
      </c>
      <c r="D2724" s="3297" t="s">
        <v>7745</v>
      </c>
      <c r="E2724" s="3298" t="s">
        <v>7746</v>
      </c>
      <c r="F2724" s="3298" t="s">
        <v>4403</v>
      </c>
      <c r="G2724" s="3278">
        <v>44</v>
      </c>
      <c r="H2724" s="3299">
        <v>5000</v>
      </c>
      <c r="I2724" s="3278">
        <v>220000</v>
      </c>
    </row>
    <row r="2725" ht="12.75" customHeight="1" spans="2:9">
      <c r="B2725" s="3274">
        <v>1659</v>
      </c>
      <c r="D2725" s="3297" t="s">
        <v>7747</v>
      </c>
      <c r="E2725" s="3298" t="s">
        <v>7748</v>
      </c>
      <c r="F2725" s="3298" t="s">
        <v>2321</v>
      </c>
      <c r="G2725" s="3278">
        <v>85277.5</v>
      </c>
      <c r="H2725" s="3299">
        <v>0</v>
      </c>
      <c r="I2725" s="3278">
        <v>0</v>
      </c>
    </row>
    <row r="2726" ht="12.75" customHeight="1" spans="2:9">
      <c r="B2726" s="3274">
        <v>1660</v>
      </c>
      <c r="D2726" s="3297" t="s">
        <v>7749</v>
      </c>
      <c r="E2726" s="3298" t="s">
        <v>7750</v>
      </c>
      <c r="F2726" s="3298" t="s">
        <v>2293</v>
      </c>
      <c r="G2726" s="3278">
        <v>20250.01</v>
      </c>
      <c r="H2726" s="3299">
        <v>0</v>
      </c>
      <c r="I2726" s="3278">
        <v>0</v>
      </c>
    </row>
    <row r="2727" ht="12.75" customHeight="1" spans="2:9">
      <c r="B2727" s="3274">
        <v>1661</v>
      </c>
      <c r="D2727" s="3297" t="s">
        <v>7751</v>
      </c>
      <c r="E2727" s="3298" t="s">
        <v>7752</v>
      </c>
      <c r="F2727" s="3298" t="s">
        <v>3423</v>
      </c>
      <c r="G2727" s="3278">
        <v>15682.7</v>
      </c>
      <c r="H2727" s="3299">
        <v>0</v>
      </c>
      <c r="I2727" s="3278">
        <v>0</v>
      </c>
    </row>
    <row r="2728" ht="12.75" customHeight="1" spans="2:9">
      <c r="B2728" s="3274">
        <v>1662</v>
      </c>
      <c r="D2728" s="3297" t="s">
        <v>7753</v>
      </c>
      <c r="E2728" s="3298" t="s">
        <v>7754</v>
      </c>
      <c r="F2728" s="3298" t="s">
        <v>3056</v>
      </c>
      <c r="G2728" s="3278">
        <v>8510.337</v>
      </c>
      <c r="H2728" s="3299">
        <v>0</v>
      </c>
      <c r="I2728" s="3278">
        <v>0</v>
      </c>
    </row>
    <row r="2729" ht="12.75" customHeight="1" spans="2:9">
      <c r="B2729" s="3274">
        <v>1663</v>
      </c>
      <c r="D2729" s="3297" t="s">
        <v>7755</v>
      </c>
      <c r="E2729" s="3298" t="s">
        <v>7756</v>
      </c>
      <c r="F2729" s="3298" t="s">
        <v>2321</v>
      </c>
      <c r="G2729" s="3278">
        <v>26400.88</v>
      </c>
      <c r="H2729" s="3299">
        <v>0</v>
      </c>
      <c r="I2729" s="3278">
        <v>0</v>
      </c>
    </row>
    <row r="2730" ht="12.75" customHeight="1" spans="2:9">
      <c r="B2730" s="3274">
        <v>1664</v>
      </c>
      <c r="D2730" s="3297" t="s">
        <v>7757</v>
      </c>
      <c r="E2730" s="3298" t="s">
        <v>7758</v>
      </c>
      <c r="F2730" s="3298" t="s">
        <v>2321</v>
      </c>
      <c r="G2730" s="3278">
        <v>77000</v>
      </c>
      <c r="H2730" s="3299">
        <v>0</v>
      </c>
      <c r="I2730" s="3278">
        <v>0</v>
      </c>
    </row>
    <row r="2731" ht="12.75" customHeight="1" spans="2:9">
      <c r="B2731" s="3274">
        <v>1665</v>
      </c>
      <c r="D2731" s="3297" t="s">
        <v>7759</v>
      </c>
      <c r="E2731" s="3298" t="s">
        <v>7760</v>
      </c>
      <c r="F2731" s="3298" t="s">
        <v>3423</v>
      </c>
      <c r="G2731" s="3278">
        <v>404074</v>
      </c>
      <c r="H2731" s="3299">
        <v>0</v>
      </c>
      <c r="I2731" s="3278">
        <v>0</v>
      </c>
    </row>
    <row r="2732" ht="12.75" customHeight="1" spans="2:9">
      <c r="B2732" s="3274">
        <v>1666</v>
      </c>
      <c r="D2732" s="3297" t="s">
        <v>7761</v>
      </c>
      <c r="E2732" s="3298" t="s">
        <v>7762</v>
      </c>
      <c r="F2732" s="3298" t="s">
        <v>4351</v>
      </c>
      <c r="G2732" s="3278">
        <v>11100</v>
      </c>
      <c r="H2732" s="3299">
        <v>0</v>
      </c>
      <c r="I2732" s="3278">
        <v>0</v>
      </c>
    </row>
    <row r="2733" ht="12.75" customHeight="1" spans="2:9">
      <c r="B2733" s="3274">
        <v>1667</v>
      </c>
      <c r="D2733" s="3297" t="s">
        <v>7763</v>
      </c>
      <c r="E2733" s="3298" t="s">
        <v>7764</v>
      </c>
      <c r="F2733" s="3298" t="s">
        <v>2299</v>
      </c>
      <c r="G2733" s="3278">
        <v>110</v>
      </c>
      <c r="H2733" s="3299">
        <v>0</v>
      </c>
      <c r="I2733" s="3278">
        <v>0</v>
      </c>
    </row>
    <row r="2734" ht="12.75" customHeight="1" spans="2:9">
      <c r="B2734" s="3274">
        <v>1668</v>
      </c>
      <c r="D2734" s="3297" t="s">
        <v>7765</v>
      </c>
      <c r="E2734" s="3298" t="s">
        <v>7766</v>
      </c>
      <c r="F2734" s="3298" t="s">
        <v>2299</v>
      </c>
      <c r="G2734" s="3278">
        <v>80449.996</v>
      </c>
      <c r="H2734" s="3299">
        <v>0</v>
      </c>
      <c r="I2734" s="3278">
        <v>0</v>
      </c>
    </row>
    <row r="2735" ht="12.75" customHeight="1" spans="2:9">
      <c r="B2735" s="3274">
        <v>1669</v>
      </c>
      <c r="D2735" s="3297" t="s">
        <v>7767</v>
      </c>
      <c r="E2735" s="3298" t="s">
        <v>7768</v>
      </c>
      <c r="F2735" s="3298" t="s">
        <v>3056</v>
      </c>
      <c r="G2735" s="3278">
        <v>17000</v>
      </c>
      <c r="H2735" s="3299">
        <v>0</v>
      </c>
      <c r="I2735" s="3278">
        <v>0</v>
      </c>
    </row>
    <row r="2736" ht="12.75" customHeight="1" spans="2:9">
      <c r="B2736" s="3274">
        <v>1670</v>
      </c>
      <c r="D2736" s="3297" t="s">
        <v>7769</v>
      </c>
      <c r="E2736" s="3298" t="s">
        <v>7770</v>
      </c>
      <c r="F2736" s="3298" t="s">
        <v>2321</v>
      </c>
      <c r="G2736" s="3278">
        <v>0</v>
      </c>
      <c r="H2736" s="3299">
        <v>0</v>
      </c>
      <c r="I2736" s="3278">
        <v>0</v>
      </c>
    </row>
    <row r="2737" ht="12.75" customHeight="1" spans="2:9">
      <c r="B2737" s="3274">
        <v>1671</v>
      </c>
      <c r="D2737" s="3297" t="s">
        <v>7771</v>
      </c>
      <c r="E2737" s="3298" t="s">
        <v>7772</v>
      </c>
      <c r="F2737" s="3298" t="s">
        <v>2367</v>
      </c>
      <c r="G2737" s="3278">
        <v>2310000</v>
      </c>
      <c r="H2737" s="3299">
        <v>0</v>
      </c>
      <c r="I2737" s="3278">
        <v>0</v>
      </c>
    </row>
    <row r="2738" ht="12.75" customHeight="1" spans="2:9">
      <c r="B2738" s="3274">
        <v>1672</v>
      </c>
      <c r="D2738" s="3297" t="s">
        <v>7773</v>
      </c>
      <c r="E2738" s="3298" t="s">
        <v>7774</v>
      </c>
      <c r="F2738" s="3298" t="s">
        <v>3056</v>
      </c>
      <c r="G2738" s="3278">
        <v>20013.334</v>
      </c>
      <c r="H2738" s="3299">
        <v>0</v>
      </c>
      <c r="I2738" s="3278">
        <v>0</v>
      </c>
    </row>
    <row r="2739" ht="12.75" customHeight="1" spans="2:9">
      <c r="B2739" s="3274">
        <v>1673</v>
      </c>
      <c r="D2739" s="3297" t="s">
        <v>7775</v>
      </c>
      <c r="E2739" s="3298" t="s">
        <v>3910</v>
      </c>
      <c r="F2739" s="3298" t="s">
        <v>2299</v>
      </c>
      <c r="G2739" s="3278">
        <v>11000</v>
      </c>
      <c r="H2739" s="3299">
        <v>0</v>
      </c>
      <c r="I2739" s="3278">
        <v>0</v>
      </c>
    </row>
    <row r="2740" ht="12.75" customHeight="1" spans="2:9">
      <c r="B2740" s="3274">
        <v>1674</v>
      </c>
      <c r="D2740" s="3297" t="s">
        <v>7776</v>
      </c>
      <c r="E2740" s="3298" t="s">
        <v>7777</v>
      </c>
      <c r="F2740" s="3298" t="s">
        <v>3056</v>
      </c>
      <c r="G2740" s="3278">
        <v>24301.2</v>
      </c>
      <c r="H2740" s="3299">
        <v>0</v>
      </c>
      <c r="I2740" s="3278">
        <v>0</v>
      </c>
    </row>
    <row r="2741" ht="12.75" customHeight="1" spans="2:9">
      <c r="B2741" s="3274">
        <v>1675</v>
      </c>
      <c r="D2741" s="3297" t="s">
        <v>7778</v>
      </c>
      <c r="E2741" s="3298" t="s">
        <v>7779</v>
      </c>
      <c r="F2741" s="3298" t="s">
        <v>3056</v>
      </c>
      <c r="G2741" s="3278">
        <v>17224.999</v>
      </c>
      <c r="H2741" s="3299">
        <v>0</v>
      </c>
      <c r="I2741" s="3278">
        <v>0</v>
      </c>
    </row>
    <row r="2742" ht="12.75" customHeight="1" spans="2:9">
      <c r="B2742" s="3274">
        <v>1676</v>
      </c>
      <c r="D2742" s="3297" t="s">
        <v>7780</v>
      </c>
      <c r="E2742" s="3298" t="s">
        <v>7781</v>
      </c>
      <c r="F2742" s="3298" t="s">
        <v>2321</v>
      </c>
      <c r="G2742" s="3278">
        <v>33000</v>
      </c>
      <c r="H2742" s="3299">
        <v>0</v>
      </c>
      <c r="I2742" s="3278">
        <v>0</v>
      </c>
    </row>
    <row r="2743" ht="12.75" customHeight="1" spans="2:9">
      <c r="B2743" s="3274">
        <v>1677</v>
      </c>
      <c r="D2743" s="3297" t="s">
        <v>7782</v>
      </c>
      <c r="E2743" s="3298" t="s">
        <v>7783</v>
      </c>
      <c r="F2743" s="3298" t="s">
        <v>5233</v>
      </c>
      <c r="G2743" s="3278">
        <v>38836.6</v>
      </c>
      <c r="H2743" s="3299">
        <v>0</v>
      </c>
      <c r="I2743" s="3278">
        <v>0</v>
      </c>
    </row>
    <row r="2744" ht="12.75" customHeight="1" spans="2:9">
      <c r="B2744" s="3274">
        <v>1678</v>
      </c>
      <c r="D2744" s="3297" t="s">
        <v>7784</v>
      </c>
      <c r="E2744" s="3298" t="s">
        <v>7785</v>
      </c>
      <c r="F2744" s="3298" t="s">
        <v>3056</v>
      </c>
      <c r="G2744" s="3278">
        <v>1773.75</v>
      </c>
      <c r="H2744" s="3299">
        <v>400</v>
      </c>
      <c r="I2744" s="3278">
        <v>709500</v>
      </c>
    </row>
    <row r="2745" ht="12.75" customHeight="1" spans="2:9">
      <c r="B2745" s="3274">
        <v>1679</v>
      </c>
      <c r="D2745" s="3297" t="s">
        <v>7786</v>
      </c>
      <c r="E2745" s="3298" t="s">
        <v>7787</v>
      </c>
      <c r="F2745" s="3298" t="s">
        <v>3056</v>
      </c>
      <c r="G2745" s="3278">
        <v>15140.4</v>
      </c>
      <c r="H2745" s="3299">
        <v>0</v>
      </c>
      <c r="I2745" s="3278">
        <v>0</v>
      </c>
    </row>
    <row r="2746" ht="12.75" customHeight="1" spans="2:9">
      <c r="B2746" s="3274">
        <v>1680</v>
      </c>
      <c r="D2746" s="3297" t="s">
        <v>7788</v>
      </c>
      <c r="E2746" s="3298" t="s">
        <v>7789</v>
      </c>
      <c r="F2746" s="3298" t="s">
        <v>2321</v>
      </c>
      <c r="G2746" s="3278">
        <v>17932.2</v>
      </c>
      <c r="H2746" s="3299">
        <v>20</v>
      </c>
      <c r="I2746" s="3278">
        <v>358644</v>
      </c>
    </row>
    <row r="2747" ht="12.75" customHeight="1" spans="2:9">
      <c r="B2747" s="3274">
        <v>1681</v>
      </c>
      <c r="D2747" s="3297" t="s">
        <v>7790</v>
      </c>
      <c r="E2747" s="3298" t="s">
        <v>7791</v>
      </c>
      <c r="F2747" s="3298" t="s">
        <v>2321</v>
      </c>
      <c r="G2747" s="3278">
        <v>14800.5</v>
      </c>
      <c r="H2747" s="3299">
        <v>0</v>
      </c>
      <c r="I2747" s="3278">
        <v>0</v>
      </c>
    </row>
    <row r="2748" ht="12.75" customHeight="1" spans="2:9">
      <c r="B2748" s="3274">
        <v>1682</v>
      </c>
      <c r="D2748" s="3297" t="s">
        <v>7792</v>
      </c>
      <c r="E2748" s="3298" t="s">
        <v>7793</v>
      </c>
      <c r="F2748" s="3298" t="s">
        <v>2321</v>
      </c>
      <c r="G2748" s="3278">
        <v>20405</v>
      </c>
      <c r="H2748" s="3299">
        <v>0</v>
      </c>
      <c r="I2748" s="3278">
        <v>0</v>
      </c>
    </row>
    <row r="2749" ht="12.75" customHeight="1" spans="2:9">
      <c r="B2749" s="3274">
        <v>1683</v>
      </c>
      <c r="D2749" s="3297" t="s">
        <v>7794</v>
      </c>
      <c r="E2749" s="3298" t="s">
        <v>7795</v>
      </c>
      <c r="F2749" s="3298" t="s">
        <v>2321</v>
      </c>
      <c r="G2749" s="3278">
        <v>14014</v>
      </c>
      <c r="H2749" s="3299">
        <v>0</v>
      </c>
      <c r="I2749" s="3278">
        <v>0</v>
      </c>
    </row>
    <row r="2750" ht="12.75" customHeight="1" spans="2:9">
      <c r="B2750" s="3274">
        <v>1684</v>
      </c>
      <c r="D2750" s="3297" t="s">
        <v>7796</v>
      </c>
      <c r="E2750" s="3298" t="s">
        <v>7797</v>
      </c>
      <c r="F2750" s="3298" t="s">
        <v>2637</v>
      </c>
      <c r="G2750" s="3278">
        <v>59149.2</v>
      </c>
      <c r="H2750" s="3299">
        <v>0</v>
      </c>
      <c r="I2750" s="3278">
        <v>0</v>
      </c>
    </row>
    <row r="2751" ht="12.75" customHeight="1" spans="2:9">
      <c r="B2751" s="3274">
        <v>1685</v>
      </c>
      <c r="D2751" s="3297" t="s">
        <v>7798</v>
      </c>
      <c r="E2751" s="3298" t="s">
        <v>7799</v>
      </c>
      <c r="F2751" s="3298" t="s">
        <v>3056</v>
      </c>
      <c r="G2751" s="3278">
        <v>1606</v>
      </c>
      <c r="H2751" s="3299">
        <v>500</v>
      </c>
      <c r="I2751" s="3278">
        <v>803000</v>
      </c>
    </row>
    <row r="2752" ht="12.75" customHeight="1" spans="2:9">
      <c r="B2752" s="3274">
        <v>1686</v>
      </c>
      <c r="D2752" s="3297" t="s">
        <v>7800</v>
      </c>
      <c r="E2752" s="3298" t="s">
        <v>7801</v>
      </c>
      <c r="F2752" s="3298" t="s">
        <v>4351</v>
      </c>
      <c r="G2752" s="3278">
        <v>9615.298</v>
      </c>
      <c r="H2752" s="3299">
        <v>0</v>
      </c>
      <c r="I2752" s="3278">
        <v>0</v>
      </c>
    </row>
    <row r="2753" ht="12.75" customHeight="1" spans="2:9">
      <c r="B2753" s="3274">
        <v>1687</v>
      </c>
      <c r="D2753" s="3297" t="s">
        <v>7802</v>
      </c>
      <c r="E2753" s="3298" t="s">
        <v>7803</v>
      </c>
      <c r="F2753" s="3298" t="s">
        <v>2321</v>
      </c>
      <c r="G2753" s="3278">
        <v>36300</v>
      </c>
      <c r="H2753" s="3299">
        <v>0</v>
      </c>
      <c r="I2753" s="3278">
        <v>0</v>
      </c>
    </row>
    <row r="2754" ht="12.75" customHeight="1" spans="2:9">
      <c r="B2754" s="3274">
        <v>1688</v>
      </c>
      <c r="D2754" s="3297" t="s">
        <v>7804</v>
      </c>
      <c r="E2754" s="3298" t="s">
        <v>7805</v>
      </c>
      <c r="F2754" s="3298" t="s">
        <v>2299</v>
      </c>
      <c r="G2754" s="3278">
        <v>110000</v>
      </c>
      <c r="H2754" s="3299">
        <v>0</v>
      </c>
      <c r="I2754" s="3278">
        <v>0</v>
      </c>
    </row>
    <row r="2755" ht="12.75" customHeight="1" spans="2:9">
      <c r="B2755" s="3274">
        <v>1689</v>
      </c>
      <c r="D2755" s="3297" t="s">
        <v>7806</v>
      </c>
      <c r="E2755" s="3298" t="s">
        <v>7807</v>
      </c>
      <c r="F2755" s="3298" t="s">
        <v>2321</v>
      </c>
      <c r="G2755" s="3278">
        <v>19826.4</v>
      </c>
      <c r="H2755" s="3299">
        <v>0</v>
      </c>
      <c r="I2755" s="3278">
        <v>0</v>
      </c>
    </row>
    <row r="2756" ht="12.75" customHeight="1" spans="2:9">
      <c r="B2756" s="3274">
        <v>1690</v>
      </c>
      <c r="D2756" s="3297" t="s">
        <v>7808</v>
      </c>
      <c r="E2756" s="3298" t="s">
        <v>7809</v>
      </c>
      <c r="F2756" s="3298" t="s">
        <v>3056</v>
      </c>
      <c r="G2756" s="3278">
        <v>6380</v>
      </c>
      <c r="H2756" s="3299">
        <v>0</v>
      </c>
      <c r="I2756" s="3278">
        <v>0</v>
      </c>
    </row>
    <row r="2757" ht="12.75" customHeight="1" spans="2:9">
      <c r="B2757" s="3274">
        <v>1691</v>
      </c>
      <c r="D2757" s="3297" t="s">
        <v>7810</v>
      </c>
      <c r="E2757" s="3298" t="s">
        <v>7811</v>
      </c>
      <c r="F2757" s="3298" t="s">
        <v>3056</v>
      </c>
      <c r="G2757" s="3278">
        <v>9680</v>
      </c>
      <c r="H2757" s="3299">
        <v>0</v>
      </c>
      <c r="I2757" s="3278">
        <v>0</v>
      </c>
    </row>
    <row r="2758" ht="12.75" customHeight="1" spans="2:9">
      <c r="B2758" s="3274">
        <v>1692</v>
      </c>
      <c r="D2758" s="3297" t="s">
        <v>7812</v>
      </c>
      <c r="E2758" s="3298" t="s">
        <v>7813</v>
      </c>
      <c r="F2758" s="3298" t="s">
        <v>3056</v>
      </c>
      <c r="G2758" s="3278">
        <v>1006.005</v>
      </c>
      <c r="H2758" s="3299">
        <v>600</v>
      </c>
      <c r="I2758" s="3278">
        <v>603603</v>
      </c>
    </row>
    <row r="2759" ht="12.75" customHeight="1" spans="2:9">
      <c r="B2759" s="3274">
        <v>1693</v>
      </c>
      <c r="D2759" s="3297" t="s">
        <v>7814</v>
      </c>
      <c r="E2759" s="3298" t="s">
        <v>7815</v>
      </c>
      <c r="F2759" s="3298" t="s">
        <v>2321</v>
      </c>
      <c r="G2759" s="3278">
        <v>13200</v>
      </c>
      <c r="H2759" s="3299">
        <v>0</v>
      </c>
      <c r="I2759" s="3278">
        <v>0</v>
      </c>
    </row>
    <row r="2760" ht="12.75" customHeight="1" spans="2:9">
      <c r="B2760" s="3274">
        <v>1694</v>
      </c>
      <c r="D2760" s="3297" t="s">
        <v>7816</v>
      </c>
      <c r="E2760" s="3298" t="s">
        <v>7817</v>
      </c>
      <c r="F2760" s="3298" t="s">
        <v>3423</v>
      </c>
      <c r="G2760" s="3278">
        <v>13000000</v>
      </c>
      <c r="H2760" s="3299">
        <v>0</v>
      </c>
      <c r="I2760" s="3278">
        <v>0</v>
      </c>
    </row>
    <row r="2761" ht="12.75" customHeight="1" spans="2:9">
      <c r="B2761" s="3274">
        <v>1695</v>
      </c>
      <c r="D2761" s="3297" t="s">
        <v>7818</v>
      </c>
      <c r="E2761" s="3298" t="s">
        <v>7819</v>
      </c>
      <c r="F2761" s="3298" t="s">
        <v>3056</v>
      </c>
      <c r="G2761" s="3278">
        <v>6500</v>
      </c>
      <c r="H2761" s="3299">
        <v>0</v>
      </c>
      <c r="I2761" s="3278">
        <v>0</v>
      </c>
    </row>
    <row r="2762" ht="12.75" customHeight="1" spans="2:9">
      <c r="B2762" s="3274">
        <v>1696</v>
      </c>
      <c r="D2762" s="3297" t="s">
        <v>7820</v>
      </c>
      <c r="E2762" s="3298" t="s">
        <v>7821</v>
      </c>
      <c r="F2762" s="3298" t="s">
        <v>3423</v>
      </c>
      <c r="G2762" s="3278">
        <v>8800</v>
      </c>
      <c r="H2762" s="3299">
        <v>0</v>
      </c>
      <c r="I2762" s="3278">
        <v>0</v>
      </c>
    </row>
    <row r="2763" ht="12.75" customHeight="1" spans="2:9">
      <c r="B2763" s="3274">
        <v>1697</v>
      </c>
      <c r="D2763" s="3297" t="s">
        <v>7822</v>
      </c>
      <c r="E2763" s="3298" t="s">
        <v>7823</v>
      </c>
      <c r="F2763" s="3298" t="s">
        <v>3056</v>
      </c>
      <c r="G2763" s="3278">
        <v>12100</v>
      </c>
      <c r="H2763" s="3299">
        <v>0</v>
      </c>
      <c r="I2763" s="3278">
        <v>0</v>
      </c>
    </row>
    <row r="2764" ht="12.75" customHeight="1" spans="2:9">
      <c r="B2764" s="3274">
        <v>1698</v>
      </c>
      <c r="D2764" s="3297" t="s">
        <v>7824</v>
      </c>
      <c r="E2764" s="3298" t="s">
        <v>7825</v>
      </c>
      <c r="F2764" s="3298" t="s">
        <v>3056</v>
      </c>
      <c r="G2764" s="3278">
        <v>24200</v>
      </c>
      <c r="H2764" s="3299">
        <v>0</v>
      </c>
      <c r="I2764" s="3278">
        <v>0</v>
      </c>
    </row>
    <row r="2765" ht="12.75" customHeight="1" spans="2:9">
      <c r="B2765" s="3274">
        <v>1699</v>
      </c>
      <c r="D2765" s="3297" t="s">
        <v>7826</v>
      </c>
      <c r="E2765" s="3298" t="s">
        <v>7827</v>
      </c>
      <c r="F2765" s="3298" t="s">
        <v>2299</v>
      </c>
      <c r="G2765" s="3278">
        <v>224000</v>
      </c>
      <c r="H2765" s="3299">
        <v>0</v>
      </c>
      <c r="I2765" s="3278">
        <v>0</v>
      </c>
    </row>
    <row r="2766" ht="12.75" customHeight="1" spans="2:9">
      <c r="B2766" s="3274">
        <v>1700</v>
      </c>
      <c r="D2766" s="3297" t="s">
        <v>7828</v>
      </c>
      <c r="E2766" s="3298" t="s">
        <v>7829</v>
      </c>
      <c r="F2766" s="3298" t="s">
        <v>2321</v>
      </c>
      <c r="G2766" s="3278">
        <v>158400</v>
      </c>
      <c r="H2766" s="3299">
        <v>0</v>
      </c>
      <c r="I2766" s="3278">
        <v>0</v>
      </c>
    </row>
    <row r="2767" ht="12.75" customHeight="1" spans="2:9">
      <c r="B2767" s="3274">
        <v>1701</v>
      </c>
      <c r="D2767" s="3297" t="s">
        <v>7830</v>
      </c>
      <c r="E2767" s="3298" t="s">
        <v>7831</v>
      </c>
      <c r="F2767" s="3298" t="s">
        <v>2637</v>
      </c>
      <c r="G2767" s="3278">
        <v>35750</v>
      </c>
      <c r="H2767" s="3299">
        <v>0</v>
      </c>
      <c r="I2767" s="3278">
        <v>0</v>
      </c>
    </row>
    <row r="2768" ht="12.75" customHeight="1" spans="2:9">
      <c r="B2768" s="3274">
        <v>1702</v>
      </c>
      <c r="D2768" s="3297" t="s">
        <v>7832</v>
      </c>
      <c r="E2768" s="3298" t="s">
        <v>7833</v>
      </c>
      <c r="F2768" s="3298" t="s">
        <v>2321</v>
      </c>
      <c r="G2768" s="3278">
        <v>71500</v>
      </c>
      <c r="H2768" s="3299">
        <v>0</v>
      </c>
      <c r="I2768" s="3278">
        <v>0</v>
      </c>
    </row>
    <row r="2769" ht="12.75" customHeight="1" spans="2:9">
      <c r="B2769" s="3274">
        <v>1703</v>
      </c>
      <c r="D2769" s="3297" t="s">
        <v>7834</v>
      </c>
      <c r="E2769" s="3298" t="s">
        <v>7835</v>
      </c>
      <c r="F2769" s="3298" t="s">
        <v>2321</v>
      </c>
      <c r="G2769" s="3278">
        <v>0</v>
      </c>
      <c r="H2769" s="3299">
        <v>0</v>
      </c>
      <c r="I2769" s="3278">
        <v>0</v>
      </c>
    </row>
    <row r="2770" ht="12.75" customHeight="1" spans="2:9">
      <c r="B2770" s="3274">
        <v>1704</v>
      </c>
      <c r="D2770" s="3297" t="s">
        <v>7836</v>
      </c>
      <c r="E2770" s="3298" t="s">
        <v>7837</v>
      </c>
      <c r="F2770" s="3298" t="s">
        <v>2637</v>
      </c>
      <c r="G2770" s="3278">
        <v>11913</v>
      </c>
      <c r="H2770" s="3299">
        <v>0</v>
      </c>
      <c r="I2770" s="3278">
        <v>0</v>
      </c>
    </row>
    <row r="2771" ht="12.75" customHeight="1" spans="2:9">
      <c r="B2771" s="3274">
        <v>1705</v>
      </c>
      <c r="D2771" s="3297" t="s">
        <v>7838</v>
      </c>
      <c r="E2771" s="3298" t="s">
        <v>7839</v>
      </c>
      <c r="F2771" s="3298" t="s">
        <v>2637</v>
      </c>
      <c r="G2771" s="3278">
        <v>12540</v>
      </c>
      <c r="H2771" s="3299">
        <v>10</v>
      </c>
      <c r="I2771" s="3278">
        <v>125400</v>
      </c>
    </row>
    <row r="2772" ht="12.75" customHeight="1" spans="2:9">
      <c r="B2772" s="3274">
        <v>1706</v>
      </c>
      <c r="D2772" s="3297" t="s">
        <v>7840</v>
      </c>
      <c r="E2772" s="3298" t="s">
        <v>7841</v>
      </c>
      <c r="F2772" s="3298" t="s">
        <v>2637</v>
      </c>
      <c r="G2772" s="3278">
        <v>50545</v>
      </c>
      <c r="H2772" s="3299">
        <v>0</v>
      </c>
      <c r="I2772" s="3278">
        <v>0</v>
      </c>
    </row>
    <row r="2773" ht="12.75" customHeight="1" spans="2:9">
      <c r="B2773" s="3274">
        <v>1707</v>
      </c>
      <c r="D2773" s="3297" t="s">
        <v>7842</v>
      </c>
      <c r="E2773" s="3298" t="s">
        <v>7843</v>
      </c>
      <c r="F2773" s="3298" t="s">
        <v>3056</v>
      </c>
      <c r="G2773" s="3278">
        <v>4559.5</v>
      </c>
      <c r="H2773" s="3299">
        <v>0</v>
      </c>
      <c r="I2773" s="3278">
        <v>0</v>
      </c>
    </row>
    <row r="2774" ht="12.75" customHeight="1" spans="2:9">
      <c r="B2774" s="3274">
        <v>1708</v>
      </c>
      <c r="D2774" s="3297" t="s">
        <v>7844</v>
      </c>
      <c r="E2774" s="3298" t="s">
        <v>7845</v>
      </c>
      <c r="F2774" s="3298" t="s">
        <v>3042</v>
      </c>
      <c r="G2774" s="3278">
        <v>38500</v>
      </c>
      <c r="H2774" s="3299">
        <v>0</v>
      </c>
      <c r="I2774" s="3278">
        <v>0</v>
      </c>
    </row>
    <row r="2775" ht="12.75" customHeight="1" spans="2:9">
      <c r="B2775" s="3274">
        <v>1709</v>
      </c>
      <c r="D2775" s="3297" t="s">
        <v>7846</v>
      </c>
      <c r="E2775" s="3298" t="s">
        <v>7847</v>
      </c>
      <c r="F2775" s="3298" t="s">
        <v>2321</v>
      </c>
      <c r="G2775" s="3278">
        <v>8800</v>
      </c>
      <c r="H2775" s="3299">
        <v>0</v>
      </c>
      <c r="I2775" s="3278">
        <v>0</v>
      </c>
    </row>
    <row r="2776" ht="12.75" customHeight="1" spans="2:9">
      <c r="B2776" s="3274">
        <v>1710</v>
      </c>
      <c r="D2776" s="3297" t="s">
        <v>7848</v>
      </c>
      <c r="E2776" s="3298" t="s">
        <v>7849</v>
      </c>
      <c r="F2776" s="3298" t="s">
        <v>4757</v>
      </c>
      <c r="G2776" s="3278">
        <v>2750</v>
      </c>
      <c r="H2776" s="3299">
        <v>0</v>
      </c>
      <c r="I2776" s="3278">
        <v>0</v>
      </c>
    </row>
    <row r="2777" ht="12.75" customHeight="1" spans="2:9">
      <c r="B2777" s="3274">
        <v>1711</v>
      </c>
      <c r="D2777" s="3297" t="s">
        <v>7850</v>
      </c>
      <c r="E2777" s="3298" t="s">
        <v>7851</v>
      </c>
      <c r="F2777" s="3298" t="s">
        <v>2457</v>
      </c>
      <c r="G2777" s="3278">
        <v>45980</v>
      </c>
      <c r="H2777" s="3299">
        <v>0</v>
      </c>
      <c r="I2777" s="3278">
        <v>0</v>
      </c>
    </row>
    <row r="2778" ht="12.75" customHeight="1" spans="2:9">
      <c r="B2778" s="3274">
        <v>1712</v>
      </c>
      <c r="D2778" s="3297" t="s">
        <v>7852</v>
      </c>
      <c r="E2778" s="3298" t="s">
        <v>7853</v>
      </c>
      <c r="F2778" s="3298" t="s">
        <v>2457</v>
      </c>
      <c r="G2778" s="3278">
        <v>47100</v>
      </c>
      <c r="H2778" s="3299">
        <v>0</v>
      </c>
      <c r="I2778" s="3278">
        <v>0</v>
      </c>
    </row>
    <row r="2779" ht="12.75" customHeight="1" spans="2:9">
      <c r="B2779" s="3274">
        <v>1713</v>
      </c>
      <c r="D2779" s="3297" t="s">
        <v>7854</v>
      </c>
      <c r="E2779" s="3298" t="s">
        <v>7855</v>
      </c>
      <c r="F2779" s="3298" t="s">
        <v>2457</v>
      </c>
      <c r="G2779" s="3278">
        <v>124520</v>
      </c>
      <c r="H2779" s="3299">
        <v>0</v>
      </c>
      <c r="I2779" s="3278">
        <v>0</v>
      </c>
    </row>
    <row r="2780" ht="12.75" customHeight="1" spans="2:9">
      <c r="B2780" s="3274">
        <v>1714</v>
      </c>
      <c r="D2780" s="3297" t="s">
        <v>7856</v>
      </c>
      <c r="E2780" s="3298" t="s">
        <v>7857</v>
      </c>
      <c r="F2780" s="3298" t="s">
        <v>2457</v>
      </c>
      <c r="G2780" s="3278">
        <v>124520</v>
      </c>
      <c r="H2780" s="3299">
        <v>0</v>
      </c>
      <c r="I2780" s="3278">
        <v>0</v>
      </c>
    </row>
    <row r="2781" ht="12.75" customHeight="1" spans="2:9">
      <c r="B2781" s="3274">
        <v>1715</v>
      </c>
      <c r="D2781" s="3297" t="s">
        <v>7858</v>
      </c>
      <c r="E2781" s="3298" t="s">
        <v>7859</v>
      </c>
      <c r="F2781" s="3298" t="s">
        <v>2457</v>
      </c>
      <c r="G2781" s="3278">
        <v>16170</v>
      </c>
      <c r="H2781" s="3299">
        <v>0</v>
      </c>
      <c r="I2781" s="3278">
        <v>0</v>
      </c>
    </row>
    <row r="2782" ht="12.75" customHeight="1" spans="2:9">
      <c r="B2782" s="3274">
        <v>1716</v>
      </c>
      <c r="D2782" s="3297" t="s">
        <v>7860</v>
      </c>
      <c r="E2782" s="3298" t="s">
        <v>7861</v>
      </c>
      <c r="F2782" s="3298" t="s">
        <v>2457</v>
      </c>
      <c r="G2782" s="3278">
        <v>25080</v>
      </c>
      <c r="H2782" s="3299">
        <v>0</v>
      </c>
      <c r="I2782" s="3278">
        <v>0</v>
      </c>
    </row>
    <row r="2783" ht="12.75" customHeight="1" spans="2:9">
      <c r="B2783" s="3274">
        <v>1717</v>
      </c>
      <c r="D2783" s="3297" t="s">
        <v>7862</v>
      </c>
      <c r="E2783" s="3298" t="s">
        <v>7863</v>
      </c>
      <c r="F2783" s="3298" t="s">
        <v>2367</v>
      </c>
      <c r="G2783" s="3278">
        <v>36135</v>
      </c>
      <c r="H2783" s="3299">
        <v>0</v>
      </c>
      <c r="I2783" s="3278">
        <v>0</v>
      </c>
    </row>
    <row r="2784" ht="12.75" customHeight="1" spans="2:9">
      <c r="B2784" s="3274">
        <v>1718</v>
      </c>
      <c r="D2784" s="3297" t="s">
        <v>7864</v>
      </c>
      <c r="E2784" s="3298" t="s">
        <v>7865</v>
      </c>
      <c r="F2784" s="3298" t="s">
        <v>2367</v>
      </c>
      <c r="G2784" s="3278">
        <v>50124.8</v>
      </c>
      <c r="H2784" s="3299">
        <v>0</v>
      </c>
      <c r="I2784" s="3278">
        <v>0</v>
      </c>
    </row>
    <row r="2785" ht="12.75" customHeight="1" spans="2:9">
      <c r="B2785" s="3274">
        <v>1719</v>
      </c>
      <c r="D2785" s="3297" t="s">
        <v>7866</v>
      </c>
      <c r="E2785" s="3298" t="s">
        <v>7867</v>
      </c>
      <c r="F2785" s="3298" t="s">
        <v>3042</v>
      </c>
      <c r="G2785" s="3278">
        <v>144467</v>
      </c>
      <c r="H2785" s="3299">
        <v>0</v>
      </c>
      <c r="I2785" s="3278">
        <v>0</v>
      </c>
    </row>
    <row r="2786" ht="12.75" customHeight="1" spans="2:9">
      <c r="B2786" s="3274">
        <v>1720</v>
      </c>
      <c r="D2786" s="3297" t="s">
        <v>7868</v>
      </c>
      <c r="E2786" s="3298" t="s">
        <v>7869</v>
      </c>
      <c r="F2786" s="3298" t="s">
        <v>3042</v>
      </c>
      <c r="G2786" s="3278">
        <v>89045</v>
      </c>
      <c r="H2786" s="3299">
        <v>0</v>
      </c>
      <c r="I2786" s="3278">
        <v>0</v>
      </c>
    </row>
    <row r="2787" ht="12.75" customHeight="1" spans="2:9">
      <c r="B2787" s="3274">
        <v>1721</v>
      </c>
      <c r="D2787" s="3297" t="s">
        <v>7870</v>
      </c>
      <c r="E2787" s="3298" t="s">
        <v>7871</v>
      </c>
      <c r="F2787" s="3298" t="s">
        <v>3042</v>
      </c>
      <c r="G2787" s="3278">
        <v>45430</v>
      </c>
      <c r="H2787" s="3299">
        <v>0</v>
      </c>
      <c r="I2787" s="3278">
        <v>0</v>
      </c>
    </row>
    <row r="2788" ht="12.75" customHeight="1" spans="2:9">
      <c r="B2788" s="3274">
        <v>1722</v>
      </c>
      <c r="D2788" s="3297" t="s">
        <v>7872</v>
      </c>
      <c r="E2788" s="3298" t="s">
        <v>7873</v>
      </c>
      <c r="F2788" s="3298" t="s">
        <v>2321</v>
      </c>
      <c r="G2788" s="3278">
        <v>286000</v>
      </c>
      <c r="H2788" s="3299">
        <v>0</v>
      </c>
      <c r="I2788" s="3278">
        <v>0</v>
      </c>
    </row>
    <row r="2789" ht="12.75" customHeight="1" spans="2:9">
      <c r="B2789" s="3274">
        <v>1723</v>
      </c>
      <c r="D2789" s="3297" t="s">
        <v>7874</v>
      </c>
      <c r="E2789" s="3298" t="s">
        <v>7875</v>
      </c>
      <c r="F2789" s="3298" t="s">
        <v>2314</v>
      </c>
      <c r="G2789" s="3278">
        <v>0</v>
      </c>
      <c r="H2789" s="3299">
        <v>0</v>
      </c>
      <c r="I2789" s="3278">
        <v>0</v>
      </c>
    </row>
    <row r="2790" ht="12.75" customHeight="1" spans="2:9">
      <c r="B2790" s="3274">
        <v>1724</v>
      </c>
      <c r="D2790" s="3297" t="s">
        <v>7876</v>
      </c>
      <c r="E2790" s="3298" t="s">
        <v>7877</v>
      </c>
      <c r="F2790" s="3298" t="s">
        <v>4351</v>
      </c>
      <c r="G2790" s="3278">
        <v>15585.196</v>
      </c>
      <c r="H2790" s="3299">
        <v>0</v>
      </c>
      <c r="I2790" s="3278">
        <v>0</v>
      </c>
    </row>
    <row r="2791" ht="12.75" customHeight="1" spans="2:9">
      <c r="B2791" s="3274">
        <v>1725</v>
      </c>
      <c r="D2791" s="3297" t="s">
        <v>7878</v>
      </c>
      <c r="E2791" s="3298" t="s">
        <v>7879</v>
      </c>
      <c r="F2791" s="3298" t="s">
        <v>3056</v>
      </c>
      <c r="G2791" s="3278">
        <v>4400</v>
      </c>
      <c r="H2791" s="3299">
        <v>0</v>
      </c>
      <c r="I2791" s="3278">
        <v>0</v>
      </c>
    </row>
    <row r="2792" ht="12.75" customHeight="1" spans="2:9">
      <c r="B2792" s="3274">
        <v>1726</v>
      </c>
      <c r="D2792" s="3297" t="s">
        <v>7880</v>
      </c>
      <c r="E2792" s="3298" t="s">
        <v>7881</v>
      </c>
      <c r="F2792" s="3298" t="s">
        <v>2293</v>
      </c>
      <c r="G2792" s="3278">
        <v>49710.1</v>
      </c>
      <c r="H2792" s="3299">
        <v>0</v>
      </c>
      <c r="I2792" s="3278">
        <v>0</v>
      </c>
    </row>
    <row r="2793" ht="12.75" customHeight="1" spans="2:9">
      <c r="B2793" s="3274">
        <v>1727</v>
      </c>
      <c r="D2793" s="3297" t="s">
        <v>7882</v>
      </c>
      <c r="E2793" s="3298" t="s">
        <v>7883</v>
      </c>
      <c r="F2793" s="3298" t="s">
        <v>3423</v>
      </c>
      <c r="G2793" s="3278">
        <v>8662.5</v>
      </c>
      <c r="H2793" s="3299">
        <v>0</v>
      </c>
      <c r="I2793" s="3278">
        <v>0</v>
      </c>
    </row>
    <row r="2794" ht="12.75" customHeight="1" spans="2:9">
      <c r="B2794" s="3274">
        <v>1728</v>
      </c>
      <c r="D2794" s="3297" t="s">
        <v>7884</v>
      </c>
      <c r="E2794" s="3298" t="s">
        <v>7885</v>
      </c>
      <c r="F2794" s="3298" t="s">
        <v>2457</v>
      </c>
      <c r="G2794" s="3278">
        <v>51920</v>
      </c>
      <c r="H2794" s="3299">
        <v>0</v>
      </c>
      <c r="I2794" s="3278">
        <v>0</v>
      </c>
    </row>
    <row r="2795" ht="12.75" customHeight="1" spans="2:9">
      <c r="B2795" s="3274">
        <v>1729</v>
      </c>
      <c r="D2795" s="3297" t="s">
        <v>7886</v>
      </c>
      <c r="E2795" s="3298" t="s">
        <v>7887</v>
      </c>
      <c r="F2795" s="3298" t="s">
        <v>2321</v>
      </c>
      <c r="G2795" s="3278">
        <v>37500.001</v>
      </c>
      <c r="H2795" s="3299">
        <v>0</v>
      </c>
      <c r="I2795" s="3278">
        <v>0</v>
      </c>
    </row>
    <row r="2796" ht="12.75" customHeight="1" spans="2:9">
      <c r="B2796" s="3274">
        <v>1730</v>
      </c>
      <c r="D2796" s="3297" t="s">
        <v>7888</v>
      </c>
      <c r="E2796" s="3298" t="s">
        <v>7889</v>
      </c>
      <c r="F2796" s="3298" t="s">
        <v>3042</v>
      </c>
      <c r="G2796" s="3278">
        <v>99000</v>
      </c>
      <c r="H2796" s="3299">
        <v>0</v>
      </c>
      <c r="I2796" s="3278">
        <v>0</v>
      </c>
    </row>
    <row r="2797" ht="12.75" customHeight="1" spans="2:9">
      <c r="B2797" s="3274">
        <v>1731</v>
      </c>
      <c r="D2797" s="3297" t="s">
        <v>7890</v>
      </c>
      <c r="E2797" s="3298" t="s">
        <v>7891</v>
      </c>
      <c r="F2797" s="3298" t="s">
        <v>3042</v>
      </c>
      <c r="G2797" s="3278">
        <v>0</v>
      </c>
      <c r="H2797" s="3299">
        <v>0</v>
      </c>
      <c r="I2797" s="3278">
        <v>0</v>
      </c>
    </row>
    <row r="2798" ht="12.75" customHeight="1" spans="2:9">
      <c r="B2798" s="3274">
        <v>1732</v>
      </c>
      <c r="D2798" s="3297" t="s">
        <v>7892</v>
      </c>
      <c r="E2798" s="3298" t="s">
        <v>7893</v>
      </c>
      <c r="F2798" s="3298" t="s">
        <v>3042</v>
      </c>
      <c r="G2798" s="3278">
        <v>212520</v>
      </c>
      <c r="H2798" s="3299">
        <v>0</v>
      </c>
      <c r="I2798" s="3278">
        <v>0</v>
      </c>
    </row>
    <row r="2799" ht="12.75" customHeight="1" spans="2:9">
      <c r="B2799" s="3274">
        <v>1733</v>
      </c>
      <c r="D2799" s="3297" t="s">
        <v>7894</v>
      </c>
      <c r="E2799" s="3298" t="s">
        <v>7895</v>
      </c>
      <c r="F2799" s="3298" t="s">
        <v>2637</v>
      </c>
      <c r="G2799" s="3278">
        <v>51040</v>
      </c>
      <c r="H2799" s="3299">
        <v>0</v>
      </c>
      <c r="I2799" s="3278">
        <v>0</v>
      </c>
    </row>
    <row r="2800" ht="12.75" customHeight="1" spans="2:9">
      <c r="B2800" s="3274">
        <v>1734</v>
      </c>
      <c r="D2800" s="3297" t="s">
        <v>7896</v>
      </c>
      <c r="E2800" s="3298" t="s">
        <v>7897</v>
      </c>
      <c r="F2800" s="3298" t="s">
        <v>2637</v>
      </c>
      <c r="G2800" s="3278">
        <v>51040</v>
      </c>
      <c r="H2800" s="3299">
        <v>0</v>
      </c>
      <c r="I2800" s="3278">
        <v>0</v>
      </c>
    </row>
    <row r="2801" ht="12.75" customHeight="1" spans="2:9">
      <c r="B2801" s="3274">
        <v>1735</v>
      </c>
      <c r="D2801" s="3297" t="s">
        <v>7898</v>
      </c>
      <c r="E2801" s="3298" t="s">
        <v>7899</v>
      </c>
      <c r="F2801" s="3298" t="s">
        <v>2321</v>
      </c>
      <c r="G2801" s="3278">
        <v>3475</v>
      </c>
      <c r="H2801" s="3299">
        <v>0</v>
      </c>
      <c r="I2801" s="3278">
        <v>0</v>
      </c>
    </row>
    <row r="2802" ht="12.75" customHeight="1" spans="2:9">
      <c r="B2802" s="3274">
        <v>1736</v>
      </c>
      <c r="D2802" s="3297" t="s">
        <v>7900</v>
      </c>
      <c r="E2802" s="3298" t="s">
        <v>7901</v>
      </c>
      <c r="F2802" s="3298" t="s">
        <v>2321</v>
      </c>
      <c r="G2802" s="3278">
        <v>19064.1</v>
      </c>
      <c r="H2802" s="3299">
        <v>0</v>
      </c>
      <c r="I2802" s="3278">
        <v>0</v>
      </c>
    </row>
    <row r="2803" ht="12.75" customHeight="1" spans="2:9">
      <c r="B2803" s="3274">
        <v>1737</v>
      </c>
      <c r="D2803" s="3297" t="s">
        <v>7902</v>
      </c>
      <c r="E2803" s="3298" t="s">
        <v>7903</v>
      </c>
      <c r="F2803" s="3298" t="s">
        <v>3042</v>
      </c>
      <c r="G2803" s="3278">
        <v>78100</v>
      </c>
      <c r="H2803" s="3299">
        <v>0</v>
      </c>
      <c r="I2803" s="3278">
        <v>0</v>
      </c>
    </row>
    <row r="2804" ht="12.75" customHeight="1" spans="2:9">
      <c r="B2804" s="3274">
        <v>1738</v>
      </c>
      <c r="D2804" s="3297" t="s">
        <v>7904</v>
      </c>
      <c r="E2804" s="3298" t="s">
        <v>7905</v>
      </c>
      <c r="F2804" s="3298" t="s">
        <v>3423</v>
      </c>
      <c r="G2804" s="3278">
        <v>106018</v>
      </c>
      <c r="H2804" s="3299">
        <v>0</v>
      </c>
      <c r="I2804" s="3278">
        <v>0</v>
      </c>
    </row>
    <row r="2805" ht="12.75" customHeight="1" spans="2:9">
      <c r="B2805" s="3274">
        <v>1739</v>
      </c>
      <c r="D2805" s="3297" t="s">
        <v>7906</v>
      </c>
      <c r="E2805" s="3298" t="s">
        <v>7907</v>
      </c>
      <c r="F2805" s="3298" t="s">
        <v>2321</v>
      </c>
      <c r="G2805" s="3278">
        <v>44000</v>
      </c>
      <c r="H2805" s="3299">
        <v>0</v>
      </c>
      <c r="I2805" s="3278">
        <v>0</v>
      </c>
    </row>
    <row r="2806" ht="12.75" customHeight="1" spans="2:9">
      <c r="B2806" s="3274">
        <v>1740</v>
      </c>
      <c r="D2806" s="3297" t="s">
        <v>7908</v>
      </c>
      <c r="E2806" s="3298" t="s">
        <v>7909</v>
      </c>
      <c r="F2806" s="3298" t="s">
        <v>4351</v>
      </c>
      <c r="G2806" s="3278">
        <v>7085.903</v>
      </c>
      <c r="H2806" s="3299">
        <v>0</v>
      </c>
      <c r="I2806" s="3278">
        <v>0</v>
      </c>
    </row>
    <row r="2807" ht="12.75" customHeight="1" spans="2:9">
      <c r="B2807" s="3274">
        <v>1741</v>
      </c>
      <c r="D2807" s="3297" t="s">
        <v>7910</v>
      </c>
      <c r="E2807" s="3298" t="s">
        <v>7911</v>
      </c>
      <c r="F2807" s="3298" t="s">
        <v>3056</v>
      </c>
      <c r="G2807" s="3278">
        <v>16500</v>
      </c>
      <c r="H2807" s="3299">
        <v>0</v>
      </c>
      <c r="I2807" s="3278">
        <v>0</v>
      </c>
    </row>
    <row r="2808" ht="12.75" customHeight="1" spans="2:9">
      <c r="B2808" s="3274">
        <v>1742</v>
      </c>
      <c r="D2808" s="3297" t="s">
        <v>7912</v>
      </c>
      <c r="E2808" s="3298" t="s">
        <v>7913</v>
      </c>
      <c r="F2808" s="3298" t="s">
        <v>2388</v>
      </c>
      <c r="G2808" s="3278">
        <v>308900</v>
      </c>
      <c r="H2808" s="3299">
        <v>0</v>
      </c>
      <c r="I2808" s="3278">
        <v>0</v>
      </c>
    </row>
    <row r="2809" ht="12.75" customHeight="1" spans="2:9">
      <c r="B2809" s="3274">
        <v>1743</v>
      </c>
      <c r="D2809" s="3297" t="s">
        <v>7914</v>
      </c>
      <c r="E2809" s="3298" t="s">
        <v>7915</v>
      </c>
      <c r="F2809" s="3298" t="s">
        <v>3056</v>
      </c>
      <c r="G2809" s="3278">
        <v>5502.2</v>
      </c>
      <c r="H2809" s="3299">
        <v>0</v>
      </c>
      <c r="I2809" s="3278">
        <v>0</v>
      </c>
    </row>
    <row r="2810" ht="12.75" customHeight="1" spans="2:9">
      <c r="B2810" s="3274">
        <v>1744</v>
      </c>
      <c r="D2810" s="3297" t="s">
        <v>7916</v>
      </c>
      <c r="E2810" s="3298" t="s">
        <v>7917</v>
      </c>
      <c r="F2810" s="3298" t="s">
        <v>2321</v>
      </c>
      <c r="G2810" s="3278">
        <v>0</v>
      </c>
      <c r="H2810" s="3299">
        <v>0</v>
      </c>
      <c r="I2810" s="3278">
        <v>0</v>
      </c>
    </row>
    <row r="2811" ht="12.75" customHeight="1" spans="2:9">
      <c r="B2811" s="3274">
        <v>1745</v>
      </c>
      <c r="D2811" s="3297" t="s">
        <v>7918</v>
      </c>
      <c r="E2811" s="3298" t="s">
        <v>7919</v>
      </c>
      <c r="F2811" s="3298" t="s">
        <v>4757</v>
      </c>
      <c r="G2811" s="3278">
        <v>0</v>
      </c>
      <c r="H2811" s="3299">
        <v>0</v>
      </c>
      <c r="I2811" s="3278">
        <v>0</v>
      </c>
    </row>
    <row r="2812" ht="12.75" customHeight="1" spans="2:9">
      <c r="B2812" s="3274">
        <v>1746</v>
      </c>
      <c r="D2812" s="3297" t="s">
        <v>7920</v>
      </c>
      <c r="E2812" s="3298" t="s">
        <v>7921</v>
      </c>
      <c r="F2812" s="3298" t="s">
        <v>2299</v>
      </c>
      <c r="G2812" s="3278">
        <v>5500</v>
      </c>
      <c r="H2812" s="3299">
        <v>700</v>
      </c>
      <c r="I2812" s="3278">
        <v>3850000</v>
      </c>
    </row>
    <row r="2813" ht="12.75" customHeight="1" spans="2:9">
      <c r="B2813" s="3274">
        <v>1747</v>
      </c>
      <c r="D2813" s="3297" t="s">
        <v>7922</v>
      </c>
      <c r="E2813" s="3298" t="s">
        <v>7923</v>
      </c>
      <c r="F2813" s="3298" t="s">
        <v>3056</v>
      </c>
      <c r="G2813" s="3278">
        <v>8250</v>
      </c>
      <c r="H2813" s="3299">
        <v>0</v>
      </c>
      <c r="I2813" s="3278">
        <v>0</v>
      </c>
    </row>
    <row r="2814" ht="12.75" customHeight="1" spans="2:9">
      <c r="B2814" s="3274">
        <v>1748</v>
      </c>
      <c r="D2814" s="3297" t="s">
        <v>7924</v>
      </c>
      <c r="E2814" s="3298" t="s">
        <v>7925</v>
      </c>
      <c r="F2814" s="3298" t="s">
        <v>2299</v>
      </c>
      <c r="G2814" s="3278">
        <v>77000</v>
      </c>
      <c r="H2814" s="3299">
        <v>0</v>
      </c>
      <c r="I2814" s="3278">
        <v>0</v>
      </c>
    </row>
    <row r="2815" ht="12.75" customHeight="1" spans="2:9">
      <c r="B2815" s="3274">
        <v>1749</v>
      </c>
      <c r="D2815" s="3297" t="s">
        <v>7926</v>
      </c>
      <c r="E2815" s="3298" t="s">
        <v>7927</v>
      </c>
      <c r="F2815" s="3298" t="s">
        <v>2367</v>
      </c>
      <c r="G2815" s="3278">
        <v>550000</v>
      </c>
      <c r="H2815" s="3299">
        <v>0</v>
      </c>
      <c r="I2815" s="3278">
        <v>0</v>
      </c>
    </row>
    <row r="2816" ht="12.75" customHeight="1" spans="2:9">
      <c r="B2816" s="3274">
        <v>1750</v>
      </c>
      <c r="D2816" s="3297" t="s">
        <v>7928</v>
      </c>
      <c r="E2816" s="3298" t="s">
        <v>7929</v>
      </c>
      <c r="F2816" s="3298" t="s">
        <v>2637</v>
      </c>
      <c r="G2816" s="3278">
        <v>138211</v>
      </c>
      <c r="H2816" s="3299">
        <v>0</v>
      </c>
      <c r="I2816" s="3278">
        <v>0</v>
      </c>
    </row>
    <row r="2817" ht="12.75" customHeight="1" spans="2:9">
      <c r="B2817" s="3274">
        <v>1751</v>
      </c>
      <c r="D2817" s="3297" t="s">
        <v>7930</v>
      </c>
      <c r="E2817" s="3298" t="s">
        <v>7931</v>
      </c>
      <c r="F2817" s="3298" t="s">
        <v>3056</v>
      </c>
      <c r="G2817" s="3278">
        <v>1890.174</v>
      </c>
      <c r="H2817" s="3299">
        <v>0</v>
      </c>
      <c r="I2817" s="3278">
        <v>0</v>
      </c>
    </row>
    <row r="2818" ht="12.75" customHeight="1" spans="2:9">
      <c r="B2818" s="3274">
        <v>1752</v>
      </c>
      <c r="D2818" s="3297" t="s">
        <v>7932</v>
      </c>
      <c r="E2818" s="3298" t="s">
        <v>7933</v>
      </c>
      <c r="F2818" s="3298" t="s">
        <v>3056</v>
      </c>
      <c r="G2818" s="3278">
        <v>3915.34</v>
      </c>
      <c r="H2818" s="3299">
        <v>0</v>
      </c>
      <c r="I2818" s="3278">
        <v>0</v>
      </c>
    </row>
    <row r="2819" ht="12.75" customHeight="1" spans="2:9">
      <c r="B2819" s="3274">
        <v>1753</v>
      </c>
      <c r="D2819" s="3297" t="s">
        <v>7934</v>
      </c>
      <c r="E2819" s="3298" t="s">
        <v>7935</v>
      </c>
      <c r="F2819" s="3298" t="s">
        <v>2457</v>
      </c>
      <c r="G2819" s="3278">
        <v>1309000</v>
      </c>
      <c r="H2819" s="3299">
        <v>0</v>
      </c>
      <c r="I2819" s="3278">
        <v>0</v>
      </c>
    </row>
    <row r="2820" ht="12.75" customHeight="1" spans="2:9">
      <c r="B2820" s="3274">
        <v>1754</v>
      </c>
      <c r="D2820" s="3297" t="s">
        <v>7936</v>
      </c>
      <c r="E2820" s="3298" t="s">
        <v>7937</v>
      </c>
      <c r="F2820" s="3298" t="s">
        <v>2293</v>
      </c>
      <c r="G2820" s="3278">
        <v>67650</v>
      </c>
      <c r="H2820" s="3299">
        <v>0</v>
      </c>
      <c r="I2820" s="3278">
        <v>0</v>
      </c>
    </row>
    <row r="2821" ht="12.75" customHeight="1" spans="2:9">
      <c r="B2821" s="3274">
        <v>1755</v>
      </c>
      <c r="D2821" s="3297" t="s">
        <v>7938</v>
      </c>
      <c r="E2821" s="3298" t="s">
        <v>7939</v>
      </c>
      <c r="F2821" s="3298" t="s">
        <v>2457</v>
      </c>
      <c r="G2821" s="3278">
        <v>40260</v>
      </c>
      <c r="H2821" s="3299">
        <v>0</v>
      </c>
      <c r="I2821" s="3278">
        <v>0</v>
      </c>
    </row>
    <row r="2822" ht="12.75" customHeight="1" spans="2:9">
      <c r="B2822" s="3274">
        <v>1756</v>
      </c>
      <c r="D2822" s="3297" t="s">
        <v>7940</v>
      </c>
      <c r="E2822" s="3298" t="s">
        <v>7941</v>
      </c>
      <c r="F2822" s="3298" t="s">
        <v>2457</v>
      </c>
      <c r="G2822" s="3278">
        <v>28600</v>
      </c>
      <c r="H2822" s="3299">
        <v>0</v>
      </c>
      <c r="I2822" s="3278">
        <v>0</v>
      </c>
    </row>
    <row r="2823" ht="12.75" customHeight="1" spans="2:9">
      <c r="B2823" s="3274">
        <v>1757</v>
      </c>
      <c r="D2823" s="3297" t="s">
        <v>7942</v>
      </c>
      <c r="E2823" s="3298" t="s">
        <v>7943</v>
      </c>
      <c r="F2823" s="3298" t="s">
        <v>2457</v>
      </c>
      <c r="G2823" s="3278">
        <v>23925</v>
      </c>
      <c r="H2823" s="3299">
        <v>0</v>
      </c>
      <c r="I2823" s="3278">
        <v>0</v>
      </c>
    </row>
    <row r="2824" ht="12.75" customHeight="1" spans="2:9">
      <c r="B2824" s="3274">
        <v>1758</v>
      </c>
      <c r="D2824" s="3297" t="s">
        <v>7944</v>
      </c>
      <c r="E2824" s="3298" t="s">
        <v>7945</v>
      </c>
      <c r="F2824" s="3298" t="s">
        <v>2457</v>
      </c>
      <c r="G2824" s="3278">
        <v>23925</v>
      </c>
      <c r="H2824" s="3299">
        <v>0</v>
      </c>
      <c r="I2824" s="3278">
        <v>0</v>
      </c>
    </row>
    <row r="2825" ht="12.75" customHeight="1" spans="2:9">
      <c r="B2825" s="3274">
        <v>1759</v>
      </c>
      <c r="D2825" s="3297" t="s">
        <v>7946</v>
      </c>
      <c r="E2825" s="3298" t="s">
        <v>7947</v>
      </c>
      <c r="F2825" s="3298" t="s">
        <v>2457</v>
      </c>
      <c r="G2825" s="3278">
        <v>18700</v>
      </c>
      <c r="H2825" s="3299">
        <v>0</v>
      </c>
      <c r="I2825" s="3278">
        <v>0</v>
      </c>
    </row>
    <row r="2826" ht="12.75" customHeight="1" spans="2:9">
      <c r="B2826" s="3274">
        <v>1760</v>
      </c>
      <c r="D2826" s="3297" t="s">
        <v>7948</v>
      </c>
      <c r="E2826" s="3298" t="s">
        <v>7949</v>
      </c>
      <c r="F2826" s="3298" t="s">
        <v>2457</v>
      </c>
      <c r="G2826" s="3278">
        <v>18700</v>
      </c>
      <c r="H2826" s="3299">
        <v>0</v>
      </c>
      <c r="I2826" s="3278">
        <v>0</v>
      </c>
    </row>
    <row r="2827" ht="12.75" customHeight="1" spans="2:9">
      <c r="B2827" s="3274">
        <v>1761</v>
      </c>
      <c r="D2827" s="3297" t="s">
        <v>7950</v>
      </c>
      <c r="E2827" s="3298" t="s">
        <v>7951</v>
      </c>
      <c r="F2827" s="3298" t="s">
        <v>2367</v>
      </c>
      <c r="G2827" s="3278">
        <v>59400</v>
      </c>
      <c r="H2827" s="3299">
        <v>0</v>
      </c>
      <c r="I2827" s="3278">
        <v>0</v>
      </c>
    </row>
    <row r="2828" ht="12.75" customHeight="1" spans="2:9">
      <c r="B2828" s="3274">
        <v>1762</v>
      </c>
      <c r="D2828" s="3297" t="s">
        <v>7952</v>
      </c>
      <c r="E2828" s="3298" t="s">
        <v>7953</v>
      </c>
      <c r="F2828" s="3298" t="s">
        <v>3056</v>
      </c>
      <c r="G2828" s="3278">
        <v>909.007</v>
      </c>
      <c r="H2828" s="3299">
        <v>0</v>
      </c>
      <c r="I2828" s="3278">
        <v>0</v>
      </c>
    </row>
    <row r="2829" ht="12.75" customHeight="1" spans="2:9">
      <c r="B2829" s="3274">
        <v>1763</v>
      </c>
      <c r="D2829" s="3297" t="s">
        <v>7954</v>
      </c>
      <c r="E2829" s="3298" t="s">
        <v>7955</v>
      </c>
      <c r="F2829" s="3298" t="s">
        <v>4351</v>
      </c>
      <c r="G2829" s="3278">
        <v>18965.1</v>
      </c>
      <c r="H2829" s="3299">
        <v>0</v>
      </c>
      <c r="I2829" s="3278">
        <v>0</v>
      </c>
    </row>
    <row r="2830" ht="12.75" customHeight="1" spans="2:9">
      <c r="B2830" s="3274">
        <v>1764</v>
      </c>
      <c r="D2830" s="3297" t="s">
        <v>7956</v>
      </c>
      <c r="E2830" s="3298" t="s">
        <v>7957</v>
      </c>
      <c r="F2830" s="3298" t="s">
        <v>2321</v>
      </c>
      <c r="G2830" s="3278">
        <v>32296</v>
      </c>
      <c r="H2830" s="3299">
        <v>0</v>
      </c>
      <c r="I2830" s="3278">
        <v>0</v>
      </c>
    </row>
    <row r="2831" ht="12.75" customHeight="1" spans="2:9">
      <c r="B2831" s="3274">
        <v>1765</v>
      </c>
      <c r="D2831" s="3297" t="s">
        <v>7958</v>
      </c>
      <c r="E2831" s="3298" t="s">
        <v>7959</v>
      </c>
      <c r="F2831" s="3298" t="s">
        <v>3056</v>
      </c>
      <c r="G2831" s="3278">
        <v>9790</v>
      </c>
      <c r="H2831" s="3299">
        <v>30</v>
      </c>
      <c r="I2831" s="3278">
        <v>293700</v>
      </c>
    </row>
    <row r="2832" ht="12.75" customHeight="1" spans="2:9">
      <c r="B2832" s="3274">
        <v>1766</v>
      </c>
      <c r="D2832" s="3297" t="s">
        <v>7960</v>
      </c>
      <c r="E2832" s="3298" t="s">
        <v>7961</v>
      </c>
      <c r="F2832" s="3298" t="s">
        <v>2391</v>
      </c>
      <c r="G2832" s="3278">
        <v>3025</v>
      </c>
      <c r="H2832" s="3299">
        <v>0</v>
      </c>
      <c r="I2832" s="3278">
        <v>0</v>
      </c>
    </row>
    <row r="2833" ht="12.75" customHeight="1" spans="2:9">
      <c r="B2833" s="3274">
        <v>1767</v>
      </c>
      <c r="D2833" s="3297" t="s">
        <v>7962</v>
      </c>
      <c r="E2833" s="3298" t="s">
        <v>7963</v>
      </c>
      <c r="F2833" s="3298" t="s">
        <v>2304</v>
      </c>
      <c r="G2833" s="3278">
        <v>78408</v>
      </c>
      <c r="H2833" s="3299">
        <v>200</v>
      </c>
      <c r="I2833" s="3278">
        <v>15681600</v>
      </c>
    </row>
    <row r="2834" ht="12.75" customHeight="1" spans="2:9">
      <c r="B2834" s="3274">
        <v>1768</v>
      </c>
      <c r="D2834" s="3297" t="s">
        <v>7964</v>
      </c>
      <c r="E2834" s="3298" t="s">
        <v>7965</v>
      </c>
      <c r="F2834" s="3298" t="s">
        <v>2304</v>
      </c>
      <c r="G2834" s="3278">
        <v>275000</v>
      </c>
      <c r="H2834" s="3299">
        <v>0</v>
      </c>
      <c r="I2834" s="3278">
        <v>0</v>
      </c>
    </row>
    <row r="2835" ht="12.75" customHeight="1" spans="2:9">
      <c r="B2835" s="3274">
        <v>1769</v>
      </c>
      <c r="D2835" s="3297" t="s">
        <v>7966</v>
      </c>
      <c r="E2835" s="3298" t="s">
        <v>7967</v>
      </c>
      <c r="F2835" s="3298" t="s">
        <v>3423</v>
      </c>
      <c r="G2835" s="3278">
        <v>77000</v>
      </c>
      <c r="H2835" s="3299">
        <v>0</v>
      </c>
      <c r="I2835" s="3278">
        <v>0</v>
      </c>
    </row>
    <row r="2836" ht="12.75" customHeight="1" spans="2:9">
      <c r="B2836" s="3274">
        <v>1770</v>
      </c>
      <c r="D2836" s="3297" t="s">
        <v>7968</v>
      </c>
      <c r="E2836" s="3298" t="s">
        <v>7969</v>
      </c>
      <c r="F2836" s="3298" t="s">
        <v>2304</v>
      </c>
      <c r="G2836" s="3278">
        <v>2299999.9</v>
      </c>
      <c r="H2836" s="3299">
        <v>0</v>
      </c>
      <c r="I2836" s="3278">
        <v>0</v>
      </c>
    </row>
    <row r="2837" ht="12.75" customHeight="1" spans="2:9">
      <c r="B2837" s="3274">
        <v>1771</v>
      </c>
      <c r="D2837" s="3297" t="s">
        <v>7970</v>
      </c>
      <c r="E2837" s="3298" t="s">
        <v>7971</v>
      </c>
      <c r="F2837" s="3298" t="s">
        <v>2321</v>
      </c>
      <c r="G2837" s="3278">
        <v>46415.6</v>
      </c>
      <c r="H2837" s="3299">
        <v>0</v>
      </c>
      <c r="I2837" s="3278">
        <v>0</v>
      </c>
    </row>
    <row r="2838" ht="12.75" customHeight="1" spans="2:9">
      <c r="B2838" s="3274">
        <v>1772</v>
      </c>
      <c r="D2838" s="3297" t="s">
        <v>7972</v>
      </c>
      <c r="E2838" s="3298" t="s">
        <v>7973</v>
      </c>
      <c r="F2838" s="3298" t="s">
        <v>4351</v>
      </c>
      <c r="G2838" s="3278">
        <v>4477</v>
      </c>
      <c r="H2838" s="3299">
        <v>0</v>
      </c>
      <c r="I2838" s="3278">
        <v>0</v>
      </c>
    </row>
    <row r="2839" ht="12.75" customHeight="1" spans="2:9">
      <c r="B2839" s="3274">
        <v>1773</v>
      </c>
      <c r="D2839" s="3297" t="s">
        <v>7974</v>
      </c>
      <c r="E2839" s="3298" t="s">
        <v>7975</v>
      </c>
      <c r="F2839" s="3298" t="s">
        <v>3056</v>
      </c>
      <c r="G2839" s="3278">
        <v>5626.4339</v>
      </c>
      <c r="H2839" s="3299">
        <v>2300</v>
      </c>
      <c r="I2839" s="3278">
        <v>12940797.97</v>
      </c>
    </row>
    <row r="2840" ht="12.75" customHeight="1" spans="2:9">
      <c r="B2840" s="3274">
        <v>1774</v>
      </c>
      <c r="D2840" s="3297" t="s">
        <v>7976</v>
      </c>
      <c r="E2840" s="3298" t="s">
        <v>7977</v>
      </c>
      <c r="F2840" s="3298" t="s">
        <v>2293</v>
      </c>
      <c r="G2840" s="3278">
        <v>2904</v>
      </c>
      <c r="H2840" s="3299">
        <v>0</v>
      </c>
      <c r="I2840" s="3278">
        <v>0</v>
      </c>
    </row>
    <row r="2841" ht="12.75" customHeight="1" spans="2:9">
      <c r="B2841" s="3274">
        <v>1775</v>
      </c>
      <c r="D2841" s="3297" t="s">
        <v>7978</v>
      </c>
      <c r="E2841" s="3298" t="s">
        <v>7979</v>
      </c>
      <c r="F2841" s="3298" t="s">
        <v>2637</v>
      </c>
      <c r="G2841" s="3278">
        <v>3905</v>
      </c>
      <c r="H2841" s="3299">
        <v>0</v>
      </c>
      <c r="I2841" s="3278">
        <v>0</v>
      </c>
    </row>
    <row r="2842" ht="12.75" customHeight="1" spans="2:9">
      <c r="B2842" s="3274">
        <v>1776</v>
      </c>
      <c r="D2842" s="3297" t="s">
        <v>7980</v>
      </c>
      <c r="E2842" s="3298" t="s">
        <v>7981</v>
      </c>
      <c r="F2842" s="3298" t="s">
        <v>2637</v>
      </c>
      <c r="G2842" s="3278">
        <v>6132.5</v>
      </c>
      <c r="H2842" s="3299">
        <v>0</v>
      </c>
      <c r="I2842" s="3278">
        <v>0</v>
      </c>
    </row>
    <row r="2843" ht="12.75" customHeight="1" spans="2:9">
      <c r="B2843" s="3274">
        <v>1777</v>
      </c>
      <c r="D2843" s="3297" t="s">
        <v>7982</v>
      </c>
      <c r="E2843" s="3298" t="s">
        <v>7983</v>
      </c>
      <c r="F2843" s="3298" t="s">
        <v>2637</v>
      </c>
      <c r="G2843" s="3278">
        <v>9997.17</v>
      </c>
      <c r="H2843" s="3299">
        <v>21</v>
      </c>
      <c r="I2843" s="3278">
        <v>209940.57</v>
      </c>
    </row>
    <row r="2844" ht="12.75" customHeight="1" spans="2:9">
      <c r="B2844" s="3274">
        <v>1778</v>
      </c>
      <c r="D2844" s="3297" t="s">
        <v>7984</v>
      </c>
      <c r="E2844" s="3298" t="s">
        <v>7985</v>
      </c>
      <c r="F2844" s="3298" t="s">
        <v>2637</v>
      </c>
      <c r="G2844" s="3278">
        <v>7892.5</v>
      </c>
      <c r="H2844" s="3299">
        <v>36</v>
      </c>
      <c r="I2844" s="3278">
        <v>284130</v>
      </c>
    </row>
    <row r="2845" ht="12.75" customHeight="1" spans="2:9">
      <c r="B2845" s="3274">
        <v>1779</v>
      </c>
      <c r="D2845" s="3297" t="s">
        <v>7986</v>
      </c>
      <c r="E2845" s="3298" t="s">
        <v>7987</v>
      </c>
      <c r="F2845" s="3298" t="s">
        <v>3423</v>
      </c>
      <c r="G2845" s="3278">
        <v>165000</v>
      </c>
      <c r="H2845" s="3299">
        <v>24</v>
      </c>
      <c r="I2845" s="3278">
        <v>3960000</v>
      </c>
    </row>
    <row r="2846" ht="12.75" customHeight="1" spans="2:9">
      <c r="B2846" s="3274">
        <v>1780</v>
      </c>
      <c r="D2846" s="3297" t="s">
        <v>7988</v>
      </c>
      <c r="E2846" s="3298" t="s">
        <v>7989</v>
      </c>
      <c r="F2846" s="3298" t="s">
        <v>3042</v>
      </c>
      <c r="G2846" s="3278">
        <v>40700</v>
      </c>
      <c r="H2846" s="3299">
        <v>30</v>
      </c>
      <c r="I2846" s="3278">
        <v>1221000</v>
      </c>
    </row>
    <row r="2847" ht="12.75" customHeight="1" spans="2:9">
      <c r="B2847" s="3274">
        <v>1781</v>
      </c>
      <c r="D2847" s="3297" t="s">
        <v>7990</v>
      </c>
      <c r="E2847" s="3298" t="s">
        <v>7991</v>
      </c>
      <c r="F2847" s="3298" t="s">
        <v>3056</v>
      </c>
      <c r="G2847" s="3278">
        <v>14850</v>
      </c>
      <c r="H2847" s="3299">
        <v>0</v>
      </c>
      <c r="I2847" s="3278">
        <v>0</v>
      </c>
    </row>
    <row r="2848" ht="12.75" customHeight="1" spans="2:9">
      <c r="B2848" s="3274">
        <v>1782</v>
      </c>
      <c r="D2848" s="3297" t="s">
        <v>7992</v>
      </c>
      <c r="E2848" s="3298" t="s">
        <v>7993</v>
      </c>
      <c r="F2848" s="3298" t="s">
        <v>2321</v>
      </c>
      <c r="G2848" s="3278">
        <v>49500</v>
      </c>
      <c r="H2848" s="3299">
        <v>30</v>
      </c>
      <c r="I2848" s="3278">
        <v>1485000</v>
      </c>
    </row>
    <row r="2849" ht="12.75" customHeight="1" spans="2:9">
      <c r="B2849" s="3274">
        <v>1783</v>
      </c>
      <c r="D2849" s="3297" t="s">
        <v>7994</v>
      </c>
      <c r="E2849" s="3298" t="s">
        <v>7995</v>
      </c>
      <c r="F2849" s="3298" t="s">
        <v>3042</v>
      </c>
      <c r="G2849" s="3278">
        <v>8690</v>
      </c>
      <c r="H2849" s="3299">
        <v>0</v>
      </c>
      <c r="I2849" s="3278">
        <v>0</v>
      </c>
    </row>
    <row r="2850" ht="12.75" customHeight="1" spans="2:9">
      <c r="B2850" s="3274">
        <v>1784</v>
      </c>
      <c r="D2850" s="3297" t="s">
        <v>7996</v>
      </c>
      <c r="E2850" s="3298" t="s">
        <v>7997</v>
      </c>
      <c r="F2850" s="3298" t="s">
        <v>3056</v>
      </c>
      <c r="G2850" s="3278">
        <v>10450</v>
      </c>
      <c r="H2850" s="3299">
        <v>0</v>
      </c>
      <c r="I2850" s="3278">
        <v>0</v>
      </c>
    </row>
    <row r="2851" ht="12.75" customHeight="1" spans="2:9">
      <c r="B2851" s="3274">
        <v>1785</v>
      </c>
      <c r="D2851" s="3297" t="s">
        <v>7998</v>
      </c>
      <c r="E2851" s="3298" t="s">
        <v>7999</v>
      </c>
      <c r="F2851" s="3298" t="s">
        <v>3056</v>
      </c>
      <c r="G2851" s="3278">
        <v>6050</v>
      </c>
      <c r="H2851" s="3299">
        <v>0</v>
      </c>
      <c r="I2851" s="3278">
        <v>0</v>
      </c>
    </row>
    <row r="2852" ht="12.75" customHeight="1" spans="2:9">
      <c r="B2852" s="3274">
        <v>1786</v>
      </c>
      <c r="D2852" s="3297" t="s">
        <v>8000</v>
      </c>
      <c r="E2852" s="3298" t="s">
        <v>8001</v>
      </c>
      <c r="F2852" s="3298" t="s">
        <v>3056</v>
      </c>
      <c r="G2852" s="3278">
        <v>7700</v>
      </c>
      <c r="H2852" s="3299">
        <v>0</v>
      </c>
      <c r="I2852" s="3278">
        <v>0</v>
      </c>
    </row>
    <row r="2853" ht="12.75" customHeight="1" spans="2:9">
      <c r="B2853" s="3274">
        <v>1787</v>
      </c>
      <c r="D2853" s="3297" t="s">
        <v>8002</v>
      </c>
      <c r="E2853" s="3298" t="s">
        <v>8003</v>
      </c>
      <c r="F2853" s="3298" t="s">
        <v>3056</v>
      </c>
      <c r="G2853" s="3278">
        <v>2740</v>
      </c>
      <c r="H2853" s="3299">
        <v>0</v>
      </c>
      <c r="I2853" s="3278">
        <v>0</v>
      </c>
    </row>
    <row r="2854" ht="12.75" customHeight="1" spans="2:9">
      <c r="B2854" s="3274">
        <v>1788</v>
      </c>
      <c r="D2854" s="3297" t="s">
        <v>8004</v>
      </c>
      <c r="E2854" s="3298" t="s">
        <v>8005</v>
      </c>
      <c r="F2854" s="3298" t="s">
        <v>2637</v>
      </c>
      <c r="G2854" s="3278">
        <v>44000</v>
      </c>
      <c r="H2854" s="3299">
        <v>0</v>
      </c>
      <c r="I2854" s="3278">
        <v>0</v>
      </c>
    </row>
    <row r="2855" ht="12.75" customHeight="1" spans="2:9">
      <c r="B2855" s="3274">
        <v>1789</v>
      </c>
      <c r="D2855" s="3297" t="s">
        <v>8006</v>
      </c>
      <c r="E2855" s="3298" t="s">
        <v>8007</v>
      </c>
      <c r="F2855" s="3298" t="s">
        <v>2637</v>
      </c>
      <c r="G2855" s="3278">
        <v>49500</v>
      </c>
      <c r="H2855" s="3299">
        <v>6</v>
      </c>
      <c r="I2855" s="3278">
        <v>297000</v>
      </c>
    </row>
    <row r="2856" ht="12.75" customHeight="1" spans="2:9">
      <c r="B2856" s="3274">
        <v>1790</v>
      </c>
      <c r="D2856" s="3297" t="s">
        <v>8008</v>
      </c>
      <c r="E2856" s="3298" t="s">
        <v>8009</v>
      </c>
      <c r="F2856" s="3298" t="s">
        <v>3056</v>
      </c>
      <c r="G2856" s="3278">
        <v>3080</v>
      </c>
      <c r="H2856" s="3299">
        <v>0</v>
      </c>
      <c r="I2856" s="3278">
        <v>0</v>
      </c>
    </row>
    <row r="2857" ht="12.75" customHeight="1" spans="2:9">
      <c r="B2857" s="3274">
        <v>1791</v>
      </c>
      <c r="D2857" s="3297" t="s">
        <v>8010</v>
      </c>
      <c r="E2857" s="3298" t="s">
        <v>8011</v>
      </c>
      <c r="F2857" s="3298" t="s">
        <v>3056</v>
      </c>
      <c r="G2857" s="3278">
        <v>25116.663</v>
      </c>
      <c r="H2857" s="3299">
        <v>0</v>
      </c>
      <c r="I2857" s="3278">
        <v>0</v>
      </c>
    </row>
    <row r="2858" ht="12.75" customHeight="1" spans="2:9">
      <c r="B2858" s="3274">
        <v>1792</v>
      </c>
      <c r="D2858" s="3297" t="s">
        <v>8012</v>
      </c>
      <c r="E2858" s="3298" t="s">
        <v>8013</v>
      </c>
      <c r="F2858" s="3298" t="s">
        <v>3056</v>
      </c>
      <c r="G2858" s="3278">
        <v>14630</v>
      </c>
      <c r="H2858" s="3299">
        <v>0</v>
      </c>
      <c r="I2858" s="3278">
        <v>0</v>
      </c>
    </row>
    <row r="2859" ht="12.75" customHeight="1" spans="2:9">
      <c r="B2859" s="3274">
        <v>1793</v>
      </c>
      <c r="D2859" s="3297" t="s">
        <v>8014</v>
      </c>
      <c r="E2859" s="3298" t="s">
        <v>8015</v>
      </c>
      <c r="F2859" s="3298" t="s">
        <v>3056</v>
      </c>
      <c r="G2859" s="3278">
        <v>6534</v>
      </c>
      <c r="H2859" s="3299">
        <v>0</v>
      </c>
      <c r="I2859" s="3278">
        <v>0</v>
      </c>
    </row>
    <row r="2860" ht="12.75" customHeight="1" spans="2:9">
      <c r="B2860" s="3274">
        <v>1794</v>
      </c>
      <c r="D2860" s="3297" t="s">
        <v>8016</v>
      </c>
      <c r="E2860" s="3298" t="s">
        <v>8017</v>
      </c>
      <c r="F2860" s="3298" t="s">
        <v>3056</v>
      </c>
      <c r="G2860" s="3278">
        <v>17893.326</v>
      </c>
      <c r="H2860" s="3299">
        <v>0</v>
      </c>
      <c r="I2860" s="3278">
        <v>0</v>
      </c>
    </row>
    <row r="2861" ht="12.75" customHeight="1" spans="2:9">
      <c r="B2861" s="3274">
        <v>1795</v>
      </c>
      <c r="D2861" s="3297" t="s">
        <v>8018</v>
      </c>
      <c r="E2861" s="3298" t="s">
        <v>8019</v>
      </c>
      <c r="F2861" s="3298" t="s">
        <v>2299</v>
      </c>
      <c r="G2861" s="3278">
        <v>49500</v>
      </c>
      <c r="H2861" s="3299">
        <v>0</v>
      </c>
      <c r="I2861" s="3278">
        <v>0</v>
      </c>
    </row>
    <row r="2862" ht="12.75" customHeight="1" spans="2:9">
      <c r="B2862" s="3274">
        <v>1796</v>
      </c>
      <c r="D2862" s="3297" t="s">
        <v>8020</v>
      </c>
      <c r="E2862" s="3298" t="s">
        <v>8019</v>
      </c>
      <c r="F2862" s="3298" t="s">
        <v>2299</v>
      </c>
      <c r="G2862" s="3278">
        <v>49500</v>
      </c>
      <c r="H2862" s="3299">
        <v>0</v>
      </c>
      <c r="I2862" s="3278">
        <v>0</v>
      </c>
    </row>
    <row r="2863" ht="12.75" customHeight="1" spans="2:9">
      <c r="B2863" s="3274">
        <v>1797</v>
      </c>
      <c r="D2863" s="3297" t="s">
        <v>8021</v>
      </c>
      <c r="E2863" s="3298" t="s">
        <v>8022</v>
      </c>
      <c r="F2863" s="3298" t="s">
        <v>2637</v>
      </c>
      <c r="G2863" s="3278">
        <v>35000</v>
      </c>
      <c r="H2863" s="3299">
        <v>0</v>
      </c>
      <c r="I2863" s="3278">
        <v>0</v>
      </c>
    </row>
    <row r="2864" ht="12.75" customHeight="1" spans="2:9">
      <c r="B2864" s="3274">
        <v>1798</v>
      </c>
      <c r="D2864" s="3297" t="s">
        <v>8023</v>
      </c>
      <c r="E2864" s="3298" t="s">
        <v>8024</v>
      </c>
      <c r="F2864" s="3298" t="s">
        <v>2321</v>
      </c>
      <c r="G2864" s="3278">
        <v>35000</v>
      </c>
      <c r="H2864" s="3299">
        <v>0</v>
      </c>
      <c r="I2864" s="3278">
        <v>0</v>
      </c>
    </row>
    <row r="2865" ht="12.75" customHeight="1" spans="2:9">
      <c r="B2865" s="3274">
        <v>1799</v>
      </c>
      <c r="D2865" s="3297" t="s">
        <v>8025</v>
      </c>
      <c r="E2865" s="3298" t="s">
        <v>8026</v>
      </c>
      <c r="F2865" s="3298" t="s">
        <v>2321</v>
      </c>
      <c r="G2865" s="3278">
        <v>55000</v>
      </c>
      <c r="H2865" s="3299">
        <v>0</v>
      </c>
      <c r="I2865" s="3278">
        <v>0</v>
      </c>
    </row>
    <row r="2866" ht="12.75" customHeight="1" spans="2:9">
      <c r="B2866" s="3274">
        <v>1800</v>
      </c>
      <c r="D2866" s="3297" t="s">
        <v>8027</v>
      </c>
      <c r="E2866" s="3298" t="s">
        <v>8028</v>
      </c>
      <c r="F2866" s="3298" t="s">
        <v>2321</v>
      </c>
      <c r="G2866" s="3278">
        <v>35000</v>
      </c>
      <c r="H2866" s="3299">
        <v>0</v>
      </c>
      <c r="I2866" s="3278">
        <v>0</v>
      </c>
    </row>
    <row r="2867" ht="12.75" customHeight="1" spans="2:9">
      <c r="B2867" s="3274">
        <v>1801</v>
      </c>
      <c r="D2867" s="3297" t="s">
        <v>8029</v>
      </c>
      <c r="E2867" s="3298" t="s">
        <v>8030</v>
      </c>
      <c r="F2867" s="3298" t="s">
        <v>2321</v>
      </c>
      <c r="G2867" s="3278">
        <v>35000</v>
      </c>
      <c r="H2867" s="3299">
        <v>0</v>
      </c>
      <c r="I2867" s="3278">
        <v>0</v>
      </c>
    </row>
    <row r="2868" ht="12.75" customHeight="1" spans="2:9">
      <c r="B2868" s="3274">
        <v>1802</v>
      </c>
      <c r="D2868" s="3297" t="s">
        <v>8031</v>
      </c>
      <c r="E2868" s="3298" t="s">
        <v>8032</v>
      </c>
      <c r="F2868" s="3298" t="s">
        <v>3056</v>
      </c>
      <c r="G2868" s="3278">
        <v>440</v>
      </c>
      <c r="H2868" s="3299">
        <v>0</v>
      </c>
      <c r="I2868" s="3278">
        <v>0</v>
      </c>
    </row>
    <row r="2869" ht="12.75" customHeight="1" spans="2:9">
      <c r="B2869" s="3274">
        <v>1803</v>
      </c>
      <c r="D2869" s="3297" t="s">
        <v>8033</v>
      </c>
      <c r="E2869" s="3298" t="s">
        <v>8034</v>
      </c>
      <c r="F2869" s="3298" t="s">
        <v>3056</v>
      </c>
      <c r="G2869" s="3278">
        <v>18333.337</v>
      </c>
      <c r="H2869" s="3299">
        <v>0</v>
      </c>
      <c r="I2869" s="3278">
        <v>0</v>
      </c>
    </row>
    <row r="2870" ht="12.75" customHeight="1" spans="2:9">
      <c r="B2870" s="3274">
        <v>1804</v>
      </c>
      <c r="D2870" s="3297" t="s">
        <v>8035</v>
      </c>
      <c r="E2870" s="3298" t="s">
        <v>8036</v>
      </c>
      <c r="F2870" s="3298" t="s">
        <v>3056</v>
      </c>
      <c r="G2870" s="3278">
        <v>704</v>
      </c>
      <c r="H2870" s="3299">
        <v>0</v>
      </c>
      <c r="I2870" s="3278">
        <v>0</v>
      </c>
    </row>
    <row r="2871" ht="12.75" customHeight="1" spans="2:9">
      <c r="B2871" s="3274">
        <v>1805</v>
      </c>
      <c r="D2871" s="3297" t="s">
        <v>8037</v>
      </c>
      <c r="E2871" s="3298" t="s">
        <v>8038</v>
      </c>
      <c r="F2871" s="3298" t="s">
        <v>3056</v>
      </c>
      <c r="G2871" s="3278">
        <v>0</v>
      </c>
      <c r="H2871" s="3299">
        <v>0</v>
      </c>
      <c r="I2871" s="3278">
        <v>0</v>
      </c>
    </row>
    <row r="2872" ht="12.75" customHeight="1" spans="2:9">
      <c r="B2872" s="3274">
        <v>1806</v>
      </c>
      <c r="D2872" s="3297" t="s">
        <v>8039</v>
      </c>
      <c r="E2872" s="3298" t="s">
        <v>8040</v>
      </c>
      <c r="F2872" s="3298" t="s">
        <v>3257</v>
      </c>
      <c r="G2872" s="3278">
        <v>20350</v>
      </c>
      <c r="H2872" s="3299">
        <v>0</v>
      </c>
      <c r="I2872" s="3278">
        <v>0</v>
      </c>
    </row>
    <row r="2873" ht="12.75" customHeight="1" spans="2:9">
      <c r="B2873" s="3274">
        <v>1807</v>
      </c>
      <c r="D2873" s="3297" t="s">
        <v>8041</v>
      </c>
      <c r="E2873" s="3298" t="s">
        <v>8042</v>
      </c>
      <c r="F2873" s="3298" t="s">
        <v>3056</v>
      </c>
      <c r="G2873" s="3278">
        <v>3025</v>
      </c>
      <c r="H2873" s="3299">
        <v>0</v>
      </c>
      <c r="I2873" s="3278">
        <v>0</v>
      </c>
    </row>
    <row r="2874" ht="12.75" customHeight="1" spans="2:9">
      <c r="B2874" s="3274">
        <v>1808</v>
      </c>
      <c r="D2874" s="3297" t="s">
        <v>8043</v>
      </c>
      <c r="E2874" s="3298" t="s">
        <v>8044</v>
      </c>
      <c r="F2874" s="3298" t="s">
        <v>2321</v>
      </c>
      <c r="G2874" s="3278">
        <v>38500</v>
      </c>
      <c r="H2874" s="3299">
        <v>18</v>
      </c>
      <c r="I2874" s="3278">
        <v>693000</v>
      </c>
    </row>
    <row r="2875" ht="12.75" customHeight="1" spans="2:9">
      <c r="B2875" s="3274">
        <v>1809</v>
      </c>
      <c r="D2875" s="3297" t="s">
        <v>8045</v>
      </c>
      <c r="E2875" s="3298" t="s">
        <v>8046</v>
      </c>
      <c r="F2875" s="3298" t="s">
        <v>2321</v>
      </c>
      <c r="G2875" s="3278">
        <v>31350</v>
      </c>
      <c r="H2875" s="3299">
        <v>6</v>
      </c>
      <c r="I2875" s="3278">
        <v>188100</v>
      </c>
    </row>
    <row r="2876" ht="12.75" customHeight="1" spans="2:9">
      <c r="B2876" s="3274">
        <v>1810</v>
      </c>
      <c r="D2876" s="3297" t="s">
        <v>8047</v>
      </c>
      <c r="E2876" s="3298" t="s">
        <v>8048</v>
      </c>
      <c r="F2876" s="3298" t="s">
        <v>2299</v>
      </c>
      <c r="G2876" s="3278">
        <v>80300</v>
      </c>
      <c r="H2876" s="3299">
        <v>0</v>
      </c>
      <c r="I2876" s="3278">
        <v>0</v>
      </c>
    </row>
    <row r="2877" ht="12.75" customHeight="1" spans="2:9">
      <c r="B2877" s="3274">
        <v>1811</v>
      </c>
      <c r="D2877" s="3297" t="s">
        <v>8049</v>
      </c>
      <c r="E2877" s="3298" t="s">
        <v>8050</v>
      </c>
      <c r="F2877" s="3298" t="s">
        <v>3056</v>
      </c>
      <c r="G2877" s="3278">
        <v>9180</v>
      </c>
      <c r="H2877" s="3299">
        <v>0</v>
      </c>
      <c r="I2877" s="3278">
        <v>0</v>
      </c>
    </row>
    <row r="2878" ht="12.75" customHeight="1" spans="2:9">
      <c r="B2878" s="3274">
        <v>1812</v>
      </c>
      <c r="D2878" s="3297" t="s">
        <v>8051</v>
      </c>
      <c r="E2878" s="3298" t="s">
        <v>8052</v>
      </c>
      <c r="F2878" s="3298" t="s">
        <v>2321</v>
      </c>
      <c r="G2878" s="3278">
        <v>31061.25</v>
      </c>
      <c r="H2878" s="3299">
        <v>4</v>
      </c>
      <c r="I2878" s="3278">
        <v>124245</v>
      </c>
    </row>
    <row r="2879" ht="12.75" customHeight="1" spans="2:9">
      <c r="B2879" s="3274">
        <v>1813</v>
      </c>
      <c r="D2879" s="3297" t="s">
        <v>8053</v>
      </c>
      <c r="E2879" s="3298" t="s">
        <v>8054</v>
      </c>
      <c r="F2879" s="3298" t="s">
        <v>2321</v>
      </c>
      <c r="G2879" s="3278">
        <v>90750</v>
      </c>
      <c r="H2879" s="3299">
        <v>0</v>
      </c>
      <c r="I2879" s="3278">
        <v>0</v>
      </c>
    </row>
    <row r="2880" ht="12.75" customHeight="1" spans="2:9">
      <c r="B2880" s="3274">
        <v>1814</v>
      </c>
      <c r="D2880" s="3297" t="s">
        <v>8055</v>
      </c>
      <c r="E2880" s="3298" t="s">
        <v>8056</v>
      </c>
      <c r="F2880" s="3298" t="s">
        <v>2637</v>
      </c>
      <c r="G2880" s="3278">
        <v>88000</v>
      </c>
      <c r="H2880" s="3299">
        <v>0</v>
      </c>
      <c r="I2880" s="3278">
        <v>0</v>
      </c>
    </row>
    <row r="2881" ht="12.75" customHeight="1" spans="2:9">
      <c r="B2881" s="3274">
        <v>1815</v>
      </c>
      <c r="D2881" s="3297" t="s">
        <v>8057</v>
      </c>
      <c r="E2881" s="3298" t="s">
        <v>8058</v>
      </c>
      <c r="F2881" s="3298" t="s">
        <v>4757</v>
      </c>
      <c r="G2881" s="3278">
        <v>8067</v>
      </c>
      <c r="H2881" s="3299">
        <v>0</v>
      </c>
      <c r="I2881" s="3278">
        <v>0</v>
      </c>
    </row>
    <row r="2882" ht="12.75" customHeight="1" spans="2:9">
      <c r="B2882" s="3274">
        <v>1816</v>
      </c>
      <c r="D2882" s="3297" t="s">
        <v>8059</v>
      </c>
      <c r="E2882" s="3298" t="s">
        <v>8060</v>
      </c>
      <c r="F2882" s="3298" t="s">
        <v>3056</v>
      </c>
      <c r="G2882" s="3278">
        <v>9900</v>
      </c>
      <c r="H2882" s="3299">
        <v>0</v>
      </c>
      <c r="I2882" s="3278">
        <v>0</v>
      </c>
    </row>
    <row r="2883" ht="12.75" customHeight="1" spans="2:9">
      <c r="B2883" s="3274">
        <v>1817</v>
      </c>
      <c r="D2883" s="3297" t="s">
        <v>8061</v>
      </c>
      <c r="E2883" s="3298" t="s">
        <v>8062</v>
      </c>
      <c r="F2883" s="3298" t="s">
        <v>2321</v>
      </c>
      <c r="G2883" s="3278">
        <v>330000</v>
      </c>
      <c r="H2883" s="3299">
        <v>4</v>
      </c>
      <c r="I2883" s="3278">
        <v>1320000</v>
      </c>
    </row>
    <row r="2884" ht="12.75" customHeight="1" spans="2:9">
      <c r="B2884" s="3274">
        <v>1818</v>
      </c>
      <c r="D2884" s="3297" t="s">
        <v>8063</v>
      </c>
      <c r="E2884" s="3298" t="s">
        <v>8064</v>
      </c>
      <c r="F2884" s="3298" t="s">
        <v>3042</v>
      </c>
      <c r="G2884" s="3278">
        <v>54560</v>
      </c>
      <c r="H2884" s="3299">
        <v>0</v>
      </c>
      <c r="I2884" s="3278">
        <v>0</v>
      </c>
    </row>
    <row r="2885" ht="12.75" customHeight="1" spans="2:9">
      <c r="B2885" s="3274">
        <v>1819</v>
      </c>
      <c r="D2885" s="3297" t="s">
        <v>8065</v>
      </c>
      <c r="E2885" s="3298" t="s">
        <v>8066</v>
      </c>
      <c r="F2885" s="3298" t="s">
        <v>3056</v>
      </c>
      <c r="G2885" s="3278">
        <v>0</v>
      </c>
      <c r="H2885" s="3299">
        <v>0</v>
      </c>
      <c r="I2885" s="3278">
        <v>0</v>
      </c>
    </row>
    <row r="2886" ht="12.75" customHeight="1" spans="2:9">
      <c r="B2886" s="3274">
        <v>1820</v>
      </c>
      <c r="D2886" s="3297" t="s">
        <v>8067</v>
      </c>
      <c r="E2886" s="3298" t="s">
        <v>8068</v>
      </c>
      <c r="F2886" s="3298" t="s">
        <v>3056</v>
      </c>
      <c r="G2886" s="3278">
        <v>28325</v>
      </c>
      <c r="H2886" s="3299">
        <v>0</v>
      </c>
      <c r="I2886" s="3278">
        <v>0</v>
      </c>
    </row>
    <row r="2887" ht="12.75" customHeight="1" spans="2:9">
      <c r="B2887" s="3274">
        <v>1821</v>
      </c>
      <c r="D2887" s="3297" t="s">
        <v>8069</v>
      </c>
      <c r="E2887" s="3298" t="s">
        <v>8070</v>
      </c>
      <c r="F2887" s="3298" t="s">
        <v>3056</v>
      </c>
      <c r="G2887" s="3278">
        <v>3300</v>
      </c>
      <c r="H2887" s="3299">
        <v>0</v>
      </c>
      <c r="I2887" s="3278">
        <v>0</v>
      </c>
    </row>
    <row r="2888" ht="12.75" customHeight="1" spans="2:9">
      <c r="B2888" s="3274">
        <v>1822</v>
      </c>
      <c r="D2888" s="3297" t="s">
        <v>8071</v>
      </c>
      <c r="E2888" s="3298" t="s">
        <v>8072</v>
      </c>
      <c r="F2888" s="3298" t="s">
        <v>3056</v>
      </c>
      <c r="G2888" s="3278">
        <v>2750</v>
      </c>
      <c r="H2888" s="3299">
        <v>0</v>
      </c>
      <c r="I2888" s="3278">
        <v>0</v>
      </c>
    </row>
    <row r="2889" ht="12.75" customHeight="1" spans="2:9">
      <c r="B2889" s="3274">
        <v>1823</v>
      </c>
      <c r="D2889" s="3297" t="s">
        <v>8073</v>
      </c>
      <c r="E2889" s="3298" t="s">
        <v>8074</v>
      </c>
      <c r="F2889" s="3298" t="s">
        <v>2299</v>
      </c>
      <c r="G2889" s="3278">
        <v>20542.5</v>
      </c>
      <c r="H2889" s="3299">
        <v>6</v>
      </c>
      <c r="I2889" s="3278">
        <v>123255</v>
      </c>
    </row>
    <row r="2890" ht="12.75" customHeight="1" spans="2:9">
      <c r="B2890" s="3274">
        <v>1824</v>
      </c>
      <c r="D2890" s="3297" t="s">
        <v>8075</v>
      </c>
      <c r="E2890" s="3298" t="s">
        <v>8076</v>
      </c>
      <c r="F2890" s="3298" t="s">
        <v>3056</v>
      </c>
      <c r="G2890" s="3278">
        <v>14073.4</v>
      </c>
      <c r="H2890" s="3299">
        <v>0</v>
      </c>
      <c r="I2890" s="3278">
        <v>0</v>
      </c>
    </row>
    <row r="2891" ht="12.75" customHeight="1" spans="2:9">
      <c r="B2891" s="3274">
        <v>1825</v>
      </c>
      <c r="D2891" s="3297" t="s">
        <v>8077</v>
      </c>
      <c r="E2891" s="3298" t="s">
        <v>8078</v>
      </c>
      <c r="F2891" s="3298" t="s">
        <v>3423</v>
      </c>
      <c r="G2891" s="3278">
        <v>148500</v>
      </c>
      <c r="H2891" s="3299">
        <v>2</v>
      </c>
      <c r="I2891" s="3278">
        <v>297000</v>
      </c>
    </row>
    <row r="2892" ht="12.75" customHeight="1" spans="2:9">
      <c r="B2892" s="3274">
        <v>1826</v>
      </c>
      <c r="D2892" s="3297" t="s">
        <v>8079</v>
      </c>
      <c r="E2892" s="3298" t="s">
        <v>8080</v>
      </c>
      <c r="F2892" s="3298" t="s">
        <v>2299</v>
      </c>
      <c r="G2892" s="3278">
        <v>13860</v>
      </c>
      <c r="H2892" s="3299">
        <v>0</v>
      </c>
      <c r="I2892" s="3278">
        <v>0</v>
      </c>
    </row>
    <row r="2893" ht="12.75" customHeight="1" spans="2:9">
      <c r="B2893" s="3274">
        <v>1827</v>
      </c>
      <c r="D2893" s="3297" t="s">
        <v>8081</v>
      </c>
      <c r="E2893" s="3298" t="s">
        <v>8082</v>
      </c>
      <c r="F2893" s="3298" t="s">
        <v>2321</v>
      </c>
      <c r="G2893" s="3278">
        <v>63800</v>
      </c>
      <c r="H2893" s="3299">
        <v>0</v>
      </c>
      <c r="I2893" s="3278">
        <v>0</v>
      </c>
    </row>
    <row r="2894" ht="12.75" customHeight="1" spans="2:9">
      <c r="B2894" s="3274">
        <v>1828</v>
      </c>
      <c r="D2894" s="3297" t="s">
        <v>8083</v>
      </c>
      <c r="E2894" s="3298" t="s">
        <v>8084</v>
      </c>
      <c r="F2894" s="3298" t="s">
        <v>2288</v>
      </c>
      <c r="G2894" s="3278">
        <v>86653</v>
      </c>
      <c r="H2894" s="3299">
        <v>0</v>
      </c>
      <c r="I2894" s="3278">
        <v>0</v>
      </c>
    </row>
    <row r="2895" ht="12.75" customHeight="1" spans="2:9">
      <c r="B2895" s="3274">
        <v>1829</v>
      </c>
      <c r="D2895" s="3297" t="s">
        <v>8085</v>
      </c>
      <c r="E2895" s="3298" t="s">
        <v>8086</v>
      </c>
      <c r="F2895" s="3298" t="s">
        <v>2288</v>
      </c>
      <c r="G2895" s="3278">
        <v>141741</v>
      </c>
      <c r="H2895" s="3299">
        <v>15</v>
      </c>
      <c r="I2895" s="3278">
        <v>2126115</v>
      </c>
    </row>
    <row r="2896" ht="12.75" customHeight="1" spans="2:9">
      <c r="B2896" s="3274">
        <v>1830</v>
      </c>
      <c r="D2896" s="3297" t="s">
        <v>8087</v>
      </c>
      <c r="E2896" s="3298" t="s">
        <v>8088</v>
      </c>
      <c r="F2896" s="3298" t="s">
        <v>2288</v>
      </c>
      <c r="G2896" s="3278">
        <v>274116.7</v>
      </c>
      <c r="H2896" s="3299">
        <v>0</v>
      </c>
      <c r="I2896" s="3278">
        <v>0</v>
      </c>
    </row>
    <row r="2897" ht="12.75" customHeight="1" spans="2:9">
      <c r="B2897" s="3274">
        <v>1831</v>
      </c>
      <c r="D2897" s="3297" t="s">
        <v>8089</v>
      </c>
      <c r="E2897" s="3298" t="s">
        <v>8090</v>
      </c>
      <c r="F2897" s="3298" t="s">
        <v>2288</v>
      </c>
      <c r="G2897" s="3278">
        <v>123299</v>
      </c>
      <c r="H2897" s="3299">
        <v>0</v>
      </c>
      <c r="I2897" s="3278">
        <v>0</v>
      </c>
    </row>
    <row r="2898" ht="12.75" customHeight="1" spans="2:9">
      <c r="B2898" s="3274">
        <v>1832</v>
      </c>
      <c r="D2898" s="3297" t="s">
        <v>8091</v>
      </c>
      <c r="E2898" s="3298" t="s">
        <v>8092</v>
      </c>
      <c r="F2898" s="3298" t="s">
        <v>2288</v>
      </c>
      <c r="G2898" s="3278">
        <v>263412.6</v>
      </c>
      <c r="H2898" s="3299">
        <v>0</v>
      </c>
      <c r="I2898" s="3278">
        <v>0</v>
      </c>
    </row>
    <row r="2899" ht="12.75" customHeight="1" spans="2:9">
      <c r="B2899" s="3274">
        <v>1833</v>
      </c>
      <c r="D2899" s="3297" t="s">
        <v>8093</v>
      </c>
      <c r="E2899" s="3298" t="s">
        <v>8094</v>
      </c>
      <c r="F2899" s="3298" t="s">
        <v>3056</v>
      </c>
      <c r="G2899" s="3278">
        <v>1686.663</v>
      </c>
      <c r="H2899" s="3299">
        <v>0</v>
      </c>
      <c r="I2899" s="3278">
        <v>0</v>
      </c>
    </row>
    <row r="2900" ht="12.75" customHeight="1" spans="2:9">
      <c r="B2900" s="3274">
        <v>1834</v>
      </c>
      <c r="D2900" s="3297" t="s">
        <v>8095</v>
      </c>
      <c r="E2900" s="3298" t="s">
        <v>8096</v>
      </c>
      <c r="F2900" s="3298" t="s">
        <v>3056</v>
      </c>
      <c r="G2900" s="3278">
        <v>0</v>
      </c>
      <c r="H2900" s="3299">
        <v>0</v>
      </c>
      <c r="I2900" s="3278">
        <v>0</v>
      </c>
    </row>
    <row r="2901" ht="12.75" customHeight="1" spans="2:9">
      <c r="B2901" s="3274">
        <v>1835</v>
      </c>
      <c r="D2901" s="3297" t="s">
        <v>8097</v>
      </c>
      <c r="E2901" s="3298" t="s">
        <v>8098</v>
      </c>
      <c r="F2901" s="3298" t="s">
        <v>3056</v>
      </c>
      <c r="G2901" s="3278">
        <v>0</v>
      </c>
      <c r="H2901" s="3299">
        <v>0</v>
      </c>
      <c r="I2901" s="3278">
        <v>0</v>
      </c>
    </row>
    <row r="2902" ht="12.75" customHeight="1" spans="2:9">
      <c r="B2902" s="3274">
        <v>1836</v>
      </c>
      <c r="D2902" s="3297" t="s">
        <v>8099</v>
      </c>
      <c r="E2902" s="3298" t="s">
        <v>8100</v>
      </c>
      <c r="F2902" s="3298" t="s">
        <v>2637</v>
      </c>
      <c r="G2902" s="3278">
        <v>0</v>
      </c>
      <c r="H2902" s="3299">
        <v>0</v>
      </c>
      <c r="I2902" s="3278">
        <v>0</v>
      </c>
    </row>
    <row r="2903" ht="12.75" customHeight="1" spans="2:9">
      <c r="B2903" s="3274">
        <v>1837</v>
      </c>
      <c r="D2903" s="3297" t="s">
        <v>8101</v>
      </c>
      <c r="E2903" s="3298" t="s">
        <v>8102</v>
      </c>
      <c r="F2903" s="3298" t="s">
        <v>3042</v>
      </c>
      <c r="G2903" s="3278">
        <v>12100</v>
      </c>
      <c r="H2903" s="3299">
        <v>90</v>
      </c>
      <c r="I2903" s="3278">
        <v>1089000</v>
      </c>
    </row>
    <row r="2904" ht="12.75" customHeight="1" spans="2:9">
      <c r="B2904" s="3274">
        <v>1838</v>
      </c>
      <c r="D2904" s="3297" t="s">
        <v>8103</v>
      </c>
      <c r="E2904" s="3298" t="s">
        <v>8104</v>
      </c>
      <c r="F2904" s="3298" t="s">
        <v>3423</v>
      </c>
      <c r="G2904" s="3278">
        <v>3410</v>
      </c>
      <c r="H2904" s="3299">
        <v>0</v>
      </c>
      <c r="I2904" s="3278">
        <v>0</v>
      </c>
    </row>
    <row r="2905" ht="12.75" customHeight="1" spans="2:9">
      <c r="B2905" s="3274">
        <v>1839</v>
      </c>
      <c r="D2905" s="3297" t="s">
        <v>8105</v>
      </c>
      <c r="E2905" s="3298" t="s">
        <v>8106</v>
      </c>
      <c r="F2905" s="3298" t="s">
        <v>2637</v>
      </c>
      <c r="G2905" s="3278">
        <v>60500</v>
      </c>
      <c r="H2905" s="3299">
        <v>0</v>
      </c>
      <c r="I2905" s="3278">
        <v>0</v>
      </c>
    </row>
    <row r="2906" ht="12.75" customHeight="1" spans="2:9">
      <c r="B2906" s="3274">
        <v>1840</v>
      </c>
      <c r="D2906" s="3297" t="s">
        <v>8107</v>
      </c>
      <c r="E2906" s="3298" t="s">
        <v>8108</v>
      </c>
      <c r="F2906" s="3298" t="s">
        <v>2637</v>
      </c>
      <c r="G2906" s="3278">
        <v>51700</v>
      </c>
      <c r="H2906" s="3299">
        <v>0</v>
      </c>
      <c r="I2906" s="3278">
        <v>0</v>
      </c>
    </row>
    <row r="2907" ht="12.75" customHeight="1" spans="2:9">
      <c r="B2907" s="3274">
        <v>1841</v>
      </c>
      <c r="D2907" s="3297" t="s">
        <v>8109</v>
      </c>
      <c r="E2907" s="3298" t="s">
        <v>8110</v>
      </c>
      <c r="F2907" s="3298" t="s">
        <v>2637</v>
      </c>
      <c r="G2907" s="3278">
        <v>50000</v>
      </c>
      <c r="H2907" s="3299">
        <v>0</v>
      </c>
      <c r="I2907" s="3278">
        <v>0</v>
      </c>
    </row>
    <row r="2908" ht="12.75" customHeight="1" spans="2:9">
      <c r="B2908" s="3274">
        <v>1842</v>
      </c>
      <c r="D2908" s="3297" t="s">
        <v>8111</v>
      </c>
      <c r="E2908" s="3298" t="s">
        <v>8112</v>
      </c>
      <c r="F2908" s="3298" t="s">
        <v>2637</v>
      </c>
      <c r="G2908" s="3278">
        <v>49500</v>
      </c>
      <c r="H2908" s="3299">
        <v>0</v>
      </c>
      <c r="I2908" s="3278">
        <v>0</v>
      </c>
    </row>
    <row r="2909" ht="12.75" customHeight="1" spans="2:9">
      <c r="B2909" s="3274">
        <v>1843</v>
      </c>
      <c r="D2909" s="3297" t="s">
        <v>8113</v>
      </c>
      <c r="E2909" s="3298" t="s">
        <v>8114</v>
      </c>
      <c r="F2909" s="3298" t="s">
        <v>2299</v>
      </c>
      <c r="G2909" s="3278">
        <v>55000</v>
      </c>
      <c r="H2909" s="3299">
        <v>0</v>
      </c>
      <c r="I2909" s="3278">
        <v>0</v>
      </c>
    </row>
    <row r="2910" ht="12.75" customHeight="1" spans="2:9">
      <c r="B2910" s="3274">
        <v>1844</v>
      </c>
      <c r="D2910" s="3297" t="s">
        <v>8115</v>
      </c>
      <c r="E2910" s="3298" t="s">
        <v>8116</v>
      </c>
      <c r="F2910" s="3298" t="s">
        <v>4351</v>
      </c>
      <c r="G2910" s="3278">
        <v>3850</v>
      </c>
      <c r="H2910" s="3299">
        <v>0</v>
      </c>
      <c r="I2910" s="3278">
        <v>0</v>
      </c>
    </row>
    <row r="2911" ht="12.75" customHeight="1" spans="2:9">
      <c r="B2911" s="3274">
        <v>1845</v>
      </c>
      <c r="D2911" s="3297" t="s">
        <v>8117</v>
      </c>
      <c r="E2911" s="3298" t="s">
        <v>8118</v>
      </c>
      <c r="F2911" s="3298" t="s">
        <v>2321</v>
      </c>
      <c r="G2911" s="3278">
        <v>109395</v>
      </c>
      <c r="H2911" s="3299">
        <v>47</v>
      </c>
      <c r="I2911" s="3278">
        <v>5141565</v>
      </c>
    </row>
    <row r="2912" ht="12.75" customHeight="1" spans="2:9">
      <c r="B2912" s="3274">
        <v>1846</v>
      </c>
      <c r="D2912" s="3297" t="s">
        <v>8119</v>
      </c>
      <c r="E2912" s="3298" t="s">
        <v>8120</v>
      </c>
      <c r="F2912" s="3298" t="s">
        <v>3056</v>
      </c>
      <c r="G2912" s="3278">
        <v>3055.56</v>
      </c>
      <c r="H2912" s="3299">
        <v>0</v>
      </c>
      <c r="I2912" s="3278">
        <v>0</v>
      </c>
    </row>
    <row r="2913" ht="12.75" customHeight="1" spans="2:9">
      <c r="B2913" s="3274">
        <v>1847</v>
      </c>
      <c r="D2913" s="3297" t="s">
        <v>8121</v>
      </c>
      <c r="E2913" s="3298" t="s">
        <v>8122</v>
      </c>
      <c r="F2913" s="3298" t="s">
        <v>2637</v>
      </c>
      <c r="G2913" s="3278">
        <v>62264.4</v>
      </c>
      <c r="H2913" s="3299">
        <v>0</v>
      </c>
      <c r="I2913" s="3278">
        <v>0</v>
      </c>
    </row>
    <row r="2914" ht="12.75" customHeight="1" spans="2:9">
      <c r="B2914" s="3274">
        <v>1848</v>
      </c>
      <c r="D2914" s="3297" t="s">
        <v>8123</v>
      </c>
      <c r="E2914" s="3298" t="s">
        <v>8124</v>
      </c>
      <c r="F2914" s="3298" t="s">
        <v>2637</v>
      </c>
      <c r="G2914" s="3278">
        <v>101594.9</v>
      </c>
      <c r="H2914" s="3299">
        <v>0</v>
      </c>
      <c r="I2914" s="3278">
        <v>0</v>
      </c>
    </row>
    <row r="2915" ht="12.75" customHeight="1" spans="2:9">
      <c r="B2915" s="3274">
        <v>1849</v>
      </c>
      <c r="D2915" s="3297" t="s">
        <v>8125</v>
      </c>
      <c r="E2915" s="3298" t="s">
        <v>8126</v>
      </c>
      <c r="F2915" s="3298" t="s">
        <v>3423</v>
      </c>
      <c r="G2915" s="3278">
        <v>0</v>
      </c>
      <c r="H2915" s="3299">
        <v>0</v>
      </c>
      <c r="I2915" s="3278">
        <v>0</v>
      </c>
    </row>
    <row r="2916" ht="12.75" customHeight="1" spans="2:9">
      <c r="B2916" s="3274">
        <v>1850</v>
      </c>
      <c r="D2916" s="3297" t="s">
        <v>8127</v>
      </c>
      <c r="E2916" s="3298" t="s">
        <v>8128</v>
      </c>
      <c r="F2916" s="3298" t="s">
        <v>2637</v>
      </c>
      <c r="G2916" s="3278">
        <v>14711.994</v>
      </c>
      <c r="H2916" s="3299">
        <v>0</v>
      </c>
      <c r="I2916" s="3278">
        <v>0</v>
      </c>
    </row>
    <row r="2917" ht="12.75" customHeight="1" spans="2:9">
      <c r="B2917" s="3274">
        <v>1851</v>
      </c>
      <c r="D2917" s="3297" t="s">
        <v>8129</v>
      </c>
      <c r="E2917" s="3298" t="s">
        <v>8130</v>
      </c>
      <c r="F2917" s="3298" t="s">
        <v>3056</v>
      </c>
      <c r="G2917" s="3278">
        <v>0</v>
      </c>
      <c r="H2917" s="3299">
        <v>0</v>
      </c>
      <c r="I2917" s="3278">
        <v>0</v>
      </c>
    </row>
    <row r="2918" ht="12.75" customHeight="1" spans="2:9">
      <c r="B2918" s="3274">
        <v>1852</v>
      </c>
      <c r="D2918" s="3297" t="s">
        <v>8131</v>
      </c>
      <c r="E2918" s="3298" t="s">
        <v>8132</v>
      </c>
      <c r="F2918" s="3298" t="s">
        <v>3056</v>
      </c>
      <c r="G2918" s="3278">
        <v>4206</v>
      </c>
      <c r="H2918" s="3299">
        <v>0</v>
      </c>
      <c r="I2918" s="3278">
        <v>0</v>
      </c>
    </row>
    <row r="2919" ht="12.75" customHeight="1" spans="2:9">
      <c r="B2919" s="3274">
        <v>1853</v>
      </c>
      <c r="D2919" s="3297" t="s">
        <v>8133</v>
      </c>
      <c r="E2919" s="3298" t="s">
        <v>8134</v>
      </c>
      <c r="F2919" s="3298" t="s">
        <v>3056</v>
      </c>
      <c r="G2919" s="3278">
        <v>3646.5</v>
      </c>
      <c r="H2919" s="3299">
        <v>1000</v>
      </c>
      <c r="I2919" s="3278">
        <v>3646500</v>
      </c>
    </row>
    <row r="2920" ht="12.75" customHeight="1" spans="2:9">
      <c r="B2920" s="3274">
        <v>1854</v>
      </c>
      <c r="D2920" s="3297" t="s">
        <v>8135</v>
      </c>
      <c r="E2920" s="3298" t="s">
        <v>8136</v>
      </c>
      <c r="F2920" s="3298" t="s">
        <v>3056</v>
      </c>
      <c r="G2920" s="3278">
        <v>4400</v>
      </c>
      <c r="H2920" s="3299">
        <v>270</v>
      </c>
      <c r="I2920" s="3278">
        <v>1188000</v>
      </c>
    </row>
    <row r="2921" ht="12.75" customHeight="1" spans="2:9">
      <c r="B2921" s="3274">
        <v>1855</v>
      </c>
      <c r="D2921" s="3297" t="s">
        <v>8137</v>
      </c>
      <c r="E2921" s="3298" t="s">
        <v>8138</v>
      </c>
      <c r="F2921" s="3298" t="s">
        <v>3056</v>
      </c>
      <c r="G2921" s="3278">
        <v>5830</v>
      </c>
      <c r="H2921" s="3299">
        <v>450</v>
      </c>
      <c r="I2921" s="3278">
        <v>2623500</v>
      </c>
    </row>
    <row r="2922" ht="12.75" customHeight="1" spans="2:9">
      <c r="B2922" s="3274">
        <v>1856</v>
      </c>
      <c r="D2922" s="3297" t="s">
        <v>8139</v>
      </c>
      <c r="E2922" s="3298" t="s">
        <v>8140</v>
      </c>
      <c r="F2922" s="3298" t="s">
        <v>3056</v>
      </c>
      <c r="G2922" s="3278">
        <v>5517.6</v>
      </c>
      <c r="H2922" s="3299">
        <v>870</v>
      </c>
      <c r="I2922" s="3278">
        <v>4800312</v>
      </c>
    </row>
    <row r="2923" ht="12.75" customHeight="1" spans="2:9">
      <c r="B2923" s="3274">
        <v>1857</v>
      </c>
      <c r="D2923" s="3297" t="s">
        <v>8141</v>
      </c>
      <c r="E2923" s="3298" t="s">
        <v>8142</v>
      </c>
      <c r="F2923" s="3298" t="s">
        <v>3423</v>
      </c>
      <c r="G2923" s="3278">
        <v>103000</v>
      </c>
      <c r="H2923" s="3299">
        <v>0</v>
      </c>
      <c r="I2923" s="3278">
        <v>0</v>
      </c>
    </row>
    <row r="2924" ht="12.75" customHeight="1" spans="2:9">
      <c r="B2924" s="3274">
        <v>1858</v>
      </c>
      <c r="D2924" s="3297" t="s">
        <v>8143</v>
      </c>
      <c r="E2924" s="3298" t="s">
        <v>8144</v>
      </c>
      <c r="F2924" s="3298" t="s">
        <v>3056</v>
      </c>
      <c r="G2924" s="3278">
        <v>4400</v>
      </c>
      <c r="H2924" s="3299">
        <v>0</v>
      </c>
      <c r="I2924" s="3278">
        <v>0</v>
      </c>
    </row>
    <row r="2925" ht="12.75" customHeight="1" spans="2:9">
      <c r="B2925" s="3274">
        <v>1859</v>
      </c>
      <c r="D2925" s="3297" t="s">
        <v>8145</v>
      </c>
      <c r="E2925" s="3298" t="s">
        <v>8146</v>
      </c>
      <c r="F2925" s="3298" t="s">
        <v>3056</v>
      </c>
      <c r="G2925" s="3278">
        <v>1693.8923</v>
      </c>
      <c r="H2925" s="3299">
        <v>2400</v>
      </c>
      <c r="I2925" s="3278">
        <v>4065341.52</v>
      </c>
    </row>
    <row r="2926" ht="12.75" customHeight="1" spans="2:9">
      <c r="B2926" s="3274">
        <v>1860</v>
      </c>
      <c r="D2926" s="3297" t="s">
        <v>8147</v>
      </c>
      <c r="E2926" s="3298" t="s">
        <v>8148</v>
      </c>
      <c r="F2926" s="3298" t="s">
        <v>3056</v>
      </c>
      <c r="G2926" s="3278">
        <v>748</v>
      </c>
      <c r="H2926" s="3299">
        <v>0</v>
      </c>
      <c r="I2926" s="3278">
        <v>0</v>
      </c>
    </row>
    <row r="2927" ht="12.75" customHeight="1" spans="2:9">
      <c r="B2927" s="3274">
        <v>1861</v>
      </c>
      <c r="D2927" s="3297" t="s">
        <v>8149</v>
      </c>
      <c r="E2927" s="3298" t="s">
        <v>8150</v>
      </c>
      <c r="F2927" s="3298" t="s">
        <v>2299</v>
      </c>
      <c r="G2927" s="3278">
        <v>6738</v>
      </c>
      <c r="H2927" s="3299">
        <v>0</v>
      </c>
      <c r="I2927" s="3278">
        <v>0</v>
      </c>
    </row>
    <row r="2928" ht="12.75" customHeight="1" spans="2:9">
      <c r="B2928" s="3274">
        <v>1862</v>
      </c>
      <c r="D2928" s="3297" t="s">
        <v>8151</v>
      </c>
      <c r="E2928" s="3298" t="s">
        <v>8152</v>
      </c>
      <c r="F2928" s="3298" t="s">
        <v>3056</v>
      </c>
      <c r="G2928" s="3278">
        <v>2192.663</v>
      </c>
      <c r="H2928" s="3299">
        <v>0</v>
      </c>
      <c r="I2928" s="3278">
        <v>0</v>
      </c>
    </row>
    <row r="2929" ht="12.75" customHeight="1" spans="2:9">
      <c r="B2929" s="3274">
        <v>1863</v>
      </c>
      <c r="D2929" s="3297" t="s">
        <v>8153</v>
      </c>
      <c r="E2929" s="3298" t="s">
        <v>8154</v>
      </c>
      <c r="F2929" s="3298" t="s">
        <v>3056</v>
      </c>
      <c r="G2929" s="3278">
        <v>1595</v>
      </c>
      <c r="H2929" s="3299">
        <v>0</v>
      </c>
      <c r="I2929" s="3278">
        <v>0</v>
      </c>
    </row>
    <row r="2930" ht="12.75" customHeight="1" spans="2:9">
      <c r="B2930" s="3274">
        <v>1864</v>
      </c>
      <c r="D2930" s="3297" t="s">
        <v>8155</v>
      </c>
      <c r="E2930" s="3298" t="s">
        <v>8156</v>
      </c>
      <c r="F2930" s="3298" t="s">
        <v>3056</v>
      </c>
      <c r="G2930" s="3278">
        <v>13750</v>
      </c>
      <c r="H2930" s="3299">
        <v>0</v>
      </c>
      <c r="I2930" s="3278">
        <v>0</v>
      </c>
    </row>
    <row r="2931" ht="12.75" customHeight="1" spans="2:9">
      <c r="B2931" s="3274">
        <v>1865</v>
      </c>
      <c r="D2931" s="3297" t="s">
        <v>8157</v>
      </c>
      <c r="E2931" s="3298" t="s">
        <v>8158</v>
      </c>
      <c r="F2931" s="3298" t="s">
        <v>3056</v>
      </c>
      <c r="G2931" s="3278">
        <v>1540</v>
      </c>
      <c r="H2931" s="3299">
        <v>0</v>
      </c>
      <c r="I2931" s="3278">
        <v>0</v>
      </c>
    </row>
    <row r="2932" ht="12.75" customHeight="1" spans="2:9">
      <c r="B2932" s="3274">
        <v>1866</v>
      </c>
      <c r="D2932" s="3297" t="s">
        <v>8159</v>
      </c>
      <c r="E2932" s="3298" t="s">
        <v>8160</v>
      </c>
      <c r="F2932" s="3298" t="s">
        <v>3056</v>
      </c>
      <c r="G2932" s="3278">
        <v>1347.5</v>
      </c>
      <c r="H2932" s="3299">
        <v>0</v>
      </c>
      <c r="I2932" s="3278">
        <v>0</v>
      </c>
    </row>
    <row r="2933" ht="12.75" customHeight="1" spans="2:9">
      <c r="B2933" s="3274">
        <v>1867</v>
      </c>
      <c r="D2933" s="3297" t="s">
        <v>8161</v>
      </c>
      <c r="E2933" s="3298" t="s">
        <v>8162</v>
      </c>
      <c r="F2933" s="3298" t="s">
        <v>3042</v>
      </c>
      <c r="G2933" s="3278">
        <v>56500</v>
      </c>
      <c r="H2933" s="3299">
        <v>0</v>
      </c>
      <c r="I2933" s="3278">
        <v>0</v>
      </c>
    </row>
    <row r="2934" ht="12.75" customHeight="1" spans="2:9">
      <c r="B2934" s="3274">
        <v>1868</v>
      </c>
      <c r="D2934" s="3297" t="s">
        <v>8163</v>
      </c>
      <c r="E2934" s="3298" t="s">
        <v>8164</v>
      </c>
      <c r="F2934" s="3298" t="s">
        <v>3042</v>
      </c>
      <c r="G2934" s="3278">
        <v>110000</v>
      </c>
      <c r="H2934" s="3299">
        <v>0</v>
      </c>
      <c r="I2934" s="3278">
        <v>0</v>
      </c>
    </row>
    <row r="2935" ht="12.75" customHeight="1" spans="2:9">
      <c r="B2935" s="3274">
        <v>1869</v>
      </c>
      <c r="D2935" s="3297" t="s">
        <v>8165</v>
      </c>
      <c r="E2935" s="3298" t="s">
        <v>8166</v>
      </c>
      <c r="F2935" s="3298" t="s">
        <v>3056</v>
      </c>
      <c r="G2935" s="3278">
        <v>22000</v>
      </c>
      <c r="H2935" s="3299">
        <v>40</v>
      </c>
      <c r="I2935" s="3278">
        <v>880000</v>
      </c>
    </row>
    <row r="2936" ht="12.75" customHeight="1" spans="2:9">
      <c r="B2936" s="3274">
        <v>1870</v>
      </c>
      <c r="D2936" s="3297" t="s">
        <v>8167</v>
      </c>
      <c r="E2936" s="3298" t="s">
        <v>8168</v>
      </c>
      <c r="F2936" s="3298" t="s">
        <v>2299</v>
      </c>
      <c r="G2936" s="3278">
        <v>71500</v>
      </c>
      <c r="H2936" s="3299">
        <v>0</v>
      </c>
      <c r="I2936" s="3278">
        <v>0</v>
      </c>
    </row>
    <row r="2937" ht="12.75" customHeight="1" spans="2:9">
      <c r="B2937" s="3274">
        <v>1871</v>
      </c>
      <c r="D2937" s="3297" t="s">
        <v>8169</v>
      </c>
      <c r="E2937" s="3298" t="s">
        <v>8170</v>
      </c>
      <c r="F2937" s="3298" t="s">
        <v>2637</v>
      </c>
      <c r="G2937" s="3278">
        <v>0</v>
      </c>
      <c r="H2937" s="3299">
        <v>0</v>
      </c>
      <c r="I2937" s="3278">
        <v>0</v>
      </c>
    </row>
    <row r="2938" ht="12.75" customHeight="1" spans="2:9">
      <c r="B2938" s="3274">
        <v>1872</v>
      </c>
      <c r="D2938" s="3297" t="s">
        <v>8171</v>
      </c>
      <c r="E2938" s="3298" t="s">
        <v>8172</v>
      </c>
      <c r="F2938" s="3298" t="s">
        <v>4757</v>
      </c>
      <c r="G2938" s="3278">
        <v>5115</v>
      </c>
      <c r="H2938" s="3299">
        <v>0</v>
      </c>
      <c r="I2938" s="3278">
        <v>0</v>
      </c>
    </row>
    <row r="2939" ht="12.75" customHeight="1" spans="2:9">
      <c r="B2939" s="3274">
        <v>1873</v>
      </c>
      <c r="D2939" s="3297" t="s">
        <v>8173</v>
      </c>
      <c r="E2939" s="3298" t="s">
        <v>8174</v>
      </c>
      <c r="F2939" s="3298" t="s">
        <v>2367</v>
      </c>
      <c r="G2939" s="3278">
        <v>1485000</v>
      </c>
      <c r="H2939" s="3299">
        <v>0</v>
      </c>
      <c r="I2939" s="3278">
        <v>0</v>
      </c>
    </row>
    <row r="2940" ht="12.75" customHeight="1" spans="2:9">
      <c r="B2940" s="3274">
        <v>1874</v>
      </c>
      <c r="D2940" s="3297" t="s">
        <v>8175</v>
      </c>
      <c r="E2940" s="3298" t="s">
        <v>8176</v>
      </c>
      <c r="F2940" s="3298" t="s">
        <v>2367</v>
      </c>
      <c r="G2940" s="3278">
        <v>5610000</v>
      </c>
      <c r="H2940" s="3299">
        <v>0</v>
      </c>
      <c r="I2940" s="3278">
        <v>0</v>
      </c>
    </row>
    <row r="2941" ht="12.75" customHeight="1" spans="2:9">
      <c r="B2941" s="3274">
        <v>1875</v>
      </c>
      <c r="D2941" s="3297" t="s">
        <v>8177</v>
      </c>
      <c r="E2941" s="3298" t="s">
        <v>8178</v>
      </c>
      <c r="F2941" s="3298" t="s">
        <v>4351</v>
      </c>
      <c r="G2941" s="3278">
        <v>4835.0172</v>
      </c>
      <c r="H2941" s="3299">
        <v>1300</v>
      </c>
      <c r="I2941" s="3278">
        <v>6285522.36</v>
      </c>
    </row>
    <row r="2942" ht="12.75" customHeight="1" spans="2:9">
      <c r="B2942" s="3274">
        <v>1876</v>
      </c>
      <c r="D2942" s="3297" t="s">
        <v>8179</v>
      </c>
      <c r="E2942" s="3298" t="s">
        <v>8180</v>
      </c>
      <c r="F2942" s="3298" t="s">
        <v>2810</v>
      </c>
      <c r="G2942" s="3278">
        <v>17418</v>
      </c>
      <c r="H2942" s="3299">
        <v>0</v>
      </c>
      <c r="I2942" s="3278">
        <v>0</v>
      </c>
    </row>
    <row r="2943" ht="12.75" customHeight="1" spans="2:9">
      <c r="B2943" s="3274">
        <v>1877</v>
      </c>
      <c r="D2943" s="3297" t="s">
        <v>8181</v>
      </c>
      <c r="E2943" s="3298" t="s">
        <v>8182</v>
      </c>
      <c r="F2943" s="3298" t="s">
        <v>5070</v>
      </c>
      <c r="G2943" s="3278">
        <v>12705</v>
      </c>
      <c r="H2943" s="3299">
        <v>0</v>
      </c>
      <c r="I2943" s="3278">
        <v>0</v>
      </c>
    </row>
    <row r="2944" ht="12.75" customHeight="1" spans="2:9">
      <c r="B2944" s="3274">
        <v>1878</v>
      </c>
      <c r="D2944" s="3297" t="s">
        <v>8183</v>
      </c>
      <c r="E2944" s="3298" t="s">
        <v>8184</v>
      </c>
      <c r="F2944" s="3298" t="s">
        <v>3056</v>
      </c>
      <c r="G2944" s="3278">
        <v>660</v>
      </c>
      <c r="H2944" s="3299">
        <v>0</v>
      </c>
      <c r="I2944" s="3278">
        <v>0</v>
      </c>
    </row>
    <row r="2945" ht="12.75" customHeight="1" spans="2:9">
      <c r="B2945" s="3274">
        <v>1879</v>
      </c>
      <c r="D2945" s="3297" t="s">
        <v>8185</v>
      </c>
      <c r="E2945" s="3298" t="s">
        <v>8186</v>
      </c>
      <c r="F2945" s="3298" t="s">
        <v>2321</v>
      </c>
      <c r="G2945" s="3278">
        <v>148500</v>
      </c>
      <c r="H2945" s="3299">
        <v>0</v>
      </c>
      <c r="I2945" s="3278">
        <v>0</v>
      </c>
    </row>
    <row r="2946" ht="12.75" customHeight="1" spans="2:9">
      <c r="B2946" s="3274">
        <v>1880</v>
      </c>
      <c r="D2946" s="3297" t="s">
        <v>8187</v>
      </c>
      <c r="E2946" s="3298" t="s">
        <v>8188</v>
      </c>
      <c r="F2946" s="3298" t="s">
        <v>2299</v>
      </c>
      <c r="G2946" s="3278">
        <v>110000</v>
      </c>
      <c r="H2946" s="3299">
        <v>0</v>
      </c>
      <c r="I2946" s="3278">
        <v>0</v>
      </c>
    </row>
    <row r="2947" ht="12.75" customHeight="1" spans="2:9">
      <c r="B2947" s="3274">
        <v>1881</v>
      </c>
      <c r="D2947" s="3297" t="s">
        <v>8189</v>
      </c>
      <c r="E2947" s="3298" t="s">
        <v>8190</v>
      </c>
      <c r="F2947" s="3298" t="s">
        <v>2637</v>
      </c>
      <c r="G2947" s="3278">
        <v>0</v>
      </c>
      <c r="H2947" s="3299">
        <v>0</v>
      </c>
      <c r="I2947" s="3278">
        <v>0</v>
      </c>
    </row>
    <row r="2948" ht="12.75" customHeight="1" spans="2:9">
      <c r="B2948" s="3274">
        <v>1882</v>
      </c>
      <c r="D2948" s="3297" t="s">
        <v>8191</v>
      </c>
      <c r="E2948" s="3298" t="s">
        <v>8192</v>
      </c>
      <c r="F2948" s="3298" t="s">
        <v>2637</v>
      </c>
      <c r="G2948" s="3278">
        <v>0</v>
      </c>
      <c r="H2948" s="3299">
        <v>0</v>
      </c>
      <c r="I2948" s="3278">
        <v>0</v>
      </c>
    </row>
    <row r="2949" ht="12.75" customHeight="1" spans="2:9">
      <c r="B2949" s="3274">
        <v>1883</v>
      </c>
      <c r="D2949" s="3297" t="s">
        <v>8193</v>
      </c>
      <c r="E2949" s="3298" t="s">
        <v>8194</v>
      </c>
      <c r="F2949" s="3298" t="s">
        <v>3056</v>
      </c>
      <c r="G2949" s="3278">
        <v>1375</v>
      </c>
      <c r="H2949" s="3299">
        <v>0</v>
      </c>
      <c r="I2949" s="3278">
        <v>0</v>
      </c>
    </row>
    <row r="2950" ht="12.75" customHeight="1" spans="2:9">
      <c r="B2950" s="3274">
        <v>1884</v>
      </c>
      <c r="D2950" s="3297" t="s">
        <v>8195</v>
      </c>
      <c r="E2950" s="3298" t="s">
        <v>8196</v>
      </c>
      <c r="F2950" s="3298" t="s">
        <v>2304</v>
      </c>
      <c r="G2950" s="3278">
        <v>203385.6</v>
      </c>
      <c r="H2950" s="3299">
        <v>0</v>
      </c>
      <c r="I2950" s="3278">
        <v>0</v>
      </c>
    </row>
    <row r="2951" ht="12.75" customHeight="1" spans="2:9">
      <c r="B2951" s="3274">
        <v>1885</v>
      </c>
      <c r="D2951" s="3297" t="s">
        <v>8197</v>
      </c>
      <c r="E2951" s="3298" t="s">
        <v>8198</v>
      </c>
      <c r="F2951" s="3298" t="s">
        <v>3042</v>
      </c>
      <c r="G2951" s="3278">
        <v>0</v>
      </c>
      <c r="H2951" s="3299">
        <v>0</v>
      </c>
      <c r="I2951" s="3278">
        <v>0</v>
      </c>
    </row>
    <row r="2952" ht="12.75" customHeight="1" spans="2:9">
      <c r="B2952" s="3274">
        <v>1886</v>
      </c>
      <c r="D2952" s="3297" t="s">
        <v>8199</v>
      </c>
      <c r="E2952" s="3298" t="s">
        <v>8200</v>
      </c>
      <c r="F2952" s="3298" t="s">
        <v>2321</v>
      </c>
      <c r="G2952" s="3278">
        <v>53212.5</v>
      </c>
      <c r="H2952" s="3299">
        <v>16</v>
      </c>
      <c r="I2952" s="3278">
        <v>851400</v>
      </c>
    </row>
    <row r="2953" ht="12.75" customHeight="1" spans="2:9">
      <c r="B2953" s="3274">
        <v>1887</v>
      </c>
      <c r="D2953" s="3297" t="s">
        <v>8201</v>
      </c>
      <c r="E2953" s="3298" t="s">
        <v>8202</v>
      </c>
      <c r="F2953" s="3298" t="s">
        <v>4351</v>
      </c>
      <c r="G2953" s="3278">
        <v>11075.009</v>
      </c>
      <c r="H2953" s="3299">
        <v>0</v>
      </c>
      <c r="I2953" s="3278">
        <v>0</v>
      </c>
    </row>
    <row r="2954" ht="12.75" customHeight="1" spans="2:9">
      <c r="B2954" s="3274">
        <v>1888</v>
      </c>
      <c r="D2954" s="3297" t="s">
        <v>8203</v>
      </c>
      <c r="E2954" s="3298" t="s">
        <v>8204</v>
      </c>
      <c r="F2954" s="3298" t="s">
        <v>2299</v>
      </c>
      <c r="G2954" s="3278">
        <v>61028</v>
      </c>
      <c r="H2954" s="3299">
        <v>312</v>
      </c>
      <c r="I2954" s="3278">
        <v>19040736</v>
      </c>
    </row>
    <row r="2955" ht="12.75" customHeight="1" spans="2:9">
      <c r="B2955" s="3274">
        <v>1889</v>
      </c>
      <c r="D2955" s="3297" t="s">
        <v>8205</v>
      </c>
      <c r="E2955" s="3298" t="s">
        <v>8206</v>
      </c>
      <c r="F2955" s="3298" t="s">
        <v>3423</v>
      </c>
      <c r="G2955" s="3278">
        <v>2880405</v>
      </c>
      <c r="H2955" s="3299">
        <v>0</v>
      </c>
      <c r="I2955" s="3278">
        <v>0</v>
      </c>
    </row>
    <row r="2956" ht="12.75" customHeight="1" spans="2:9">
      <c r="B2956" s="3274">
        <v>1890</v>
      </c>
      <c r="D2956" s="3297" t="s">
        <v>8207</v>
      </c>
      <c r="E2956" s="3298" t="s">
        <v>8208</v>
      </c>
      <c r="F2956" s="3298" t="s">
        <v>3056</v>
      </c>
      <c r="G2956" s="3278">
        <v>8085</v>
      </c>
      <c r="H2956" s="3299">
        <v>0</v>
      </c>
      <c r="I2956" s="3278">
        <v>0</v>
      </c>
    </row>
    <row r="2957" ht="12.75" customHeight="1" spans="2:9">
      <c r="B2957" s="3274">
        <v>1891</v>
      </c>
      <c r="D2957" s="3297" t="s">
        <v>8209</v>
      </c>
      <c r="E2957" s="3298" t="s">
        <v>8210</v>
      </c>
      <c r="F2957" s="3298" t="s">
        <v>2321</v>
      </c>
      <c r="G2957" s="3278">
        <v>52250</v>
      </c>
      <c r="H2957" s="3299">
        <v>4</v>
      </c>
      <c r="I2957" s="3278">
        <v>209000</v>
      </c>
    </row>
    <row r="2958" ht="12.75" customHeight="1" spans="2:9">
      <c r="B2958" s="3274">
        <v>1892</v>
      </c>
      <c r="D2958" s="3297" t="s">
        <v>8211</v>
      </c>
      <c r="E2958" s="3298" t="s">
        <v>8212</v>
      </c>
      <c r="F2958" s="3298" t="s">
        <v>2321</v>
      </c>
      <c r="G2958" s="3278">
        <v>0</v>
      </c>
      <c r="H2958" s="3299">
        <v>0</v>
      </c>
      <c r="I2958" s="3278">
        <v>0</v>
      </c>
    </row>
    <row r="2959" ht="12.75" customHeight="1" spans="2:9">
      <c r="B2959" s="3274">
        <v>1893</v>
      </c>
      <c r="D2959" s="3297" t="s">
        <v>8213</v>
      </c>
      <c r="E2959" s="3298" t="s">
        <v>8214</v>
      </c>
      <c r="F2959" s="3298" t="s">
        <v>2637</v>
      </c>
      <c r="G2959" s="3278">
        <v>137500</v>
      </c>
      <c r="H2959" s="3299">
        <v>0</v>
      </c>
      <c r="I2959" s="3278">
        <v>0</v>
      </c>
    </row>
    <row r="2960" ht="12.75" customHeight="1" spans="2:9">
      <c r="B2960" s="3274">
        <v>1894</v>
      </c>
      <c r="D2960" s="3297" t="s">
        <v>8215</v>
      </c>
      <c r="E2960" s="3298" t="s">
        <v>8216</v>
      </c>
      <c r="F2960" s="3298" t="s">
        <v>776</v>
      </c>
      <c r="G2960" s="3278">
        <v>983.18</v>
      </c>
      <c r="H2960" s="3299">
        <v>0</v>
      </c>
      <c r="I2960" s="3278">
        <v>0</v>
      </c>
    </row>
    <row r="2961" ht="12.75" customHeight="1" spans="2:9">
      <c r="B2961" s="3274">
        <v>1895</v>
      </c>
      <c r="D2961" s="3297" t="s">
        <v>8217</v>
      </c>
      <c r="E2961" s="3298" t="s">
        <v>8218</v>
      </c>
      <c r="F2961" s="3298" t="s">
        <v>3056</v>
      </c>
      <c r="G2961" s="3278">
        <v>5930</v>
      </c>
      <c r="H2961" s="3299">
        <v>0</v>
      </c>
      <c r="I2961" s="3278">
        <v>0</v>
      </c>
    </row>
    <row r="2962" ht="12.75" customHeight="1" spans="2:9">
      <c r="B2962" s="3274">
        <v>1896</v>
      </c>
      <c r="D2962" s="3297" t="s">
        <v>8219</v>
      </c>
      <c r="E2962" s="3298" t="s">
        <v>8220</v>
      </c>
      <c r="F2962" s="3298" t="s">
        <v>2299</v>
      </c>
      <c r="G2962" s="3278">
        <v>17479</v>
      </c>
      <c r="H2962" s="3299">
        <v>0</v>
      </c>
      <c r="I2962" s="3278">
        <v>0</v>
      </c>
    </row>
    <row r="2963" ht="12.75" customHeight="1" spans="2:9">
      <c r="B2963" s="3274">
        <v>1897</v>
      </c>
      <c r="D2963" s="3297" t="s">
        <v>8221</v>
      </c>
      <c r="E2963" s="3298" t="s">
        <v>8222</v>
      </c>
      <c r="F2963" s="3298" t="s">
        <v>3042</v>
      </c>
      <c r="G2963" s="3278">
        <v>0</v>
      </c>
      <c r="H2963" s="3299">
        <v>0</v>
      </c>
      <c r="I2963" s="3278">
        <v>0</v>
      </c>
    </row>
    <row r="2964" ht="12.75" customHeight="1" spans="2:9">
      <c r="B2964" s="3274">
        <v>1898</v>
      </c>
      <c r="D2964" s="3297" t="s">
        <v>8223</v>
      </c>
      <c r="E2964" s="3298" t="s">
        <v>8224</v>
      </c>
      <c r="F2964" s="3298" t="s">
        <v>2321</v>
      </c>
      <c r="G2964" s="3278">
        <v>42075</v>
      </c>
      <c r="H2964" s="3299">
        <v>26</v>
      </c>
      <c r="I2964" s="3278">
        <v>1093950</v>
      </c>
    </row>
    <row r="2965" ht="12.75" customHeight="1" spans="2:9">
      <c r="B2965" s="3274">
        <v>1899</v>
      </c>
      <c r="D2965" s="3297" t="s">
        <v>8225</v>
      </c>
      <c r="E2965" s="3298" t="s">
        <v>8226</v>
      </c>
      <c r="F2965" s="3298" t="s">
        <v>2321</v>
      </c>
      <c r="G2965" s="3278">
        <v>96800</v>
      </c>
      <c r="H2965" s="3299">
        <v>0</v>
      </c>
      <c r="I2965" s="3278">
        <v>0</v>
      </c>
    </row>
    <row r="2966" ht="12.75" customHeight="1" spans="2:9">
      <c r="B2966" s="3274">
        <v>1900</v>
      </c>
      <c r="D2966" s="3297" t="s">
        <v>8227</v>
      </c>
      <c r="E2966" s="3298" t="s">
        <v>8228</v>
      </c>
      <c r="F2966" s="3298" t="s">
        <v>4757</v>
      </c>
      <c r="G2966" s="3278">
        <v>8580</v>
      </c>
      <c r="H2966" s="3299">
        <v>0</v>
      </c>
      <c r="I2966" s="3278">
        <v>0</v>
      </c>
    </row>
    <row r="2967" ht="12.75" customHeight="1" spans="2:9">
      <c r="B2967" s="3274">
        <v>1901</v>
      </c>
      <c r="D2967" s="3297" t="s">
        <v>8229</v>
      </c>
      <c r="E2967" s="3298" t="s">
        <v>8230</v>
      </c>
      <c r="F2967" s="3298" t="s">
        <v>3056</v>
      </c>
      <c r="G2967" s="3278">
        <v>9900</v>
      </c>
      <c r="H2967" s="3299">
        <v>0</v>
      </c>
      <c r="I2967" s="3278">
        <v>0</v>
      </c>
    </row>
    <row r="2968" ht="12.75" customHeight="1" spans="2:9">
      <c r="B2968" s="3274">
        <v>1902</v>
      </c>
      <c r="D2968" s="3297" t="s">
        <v>8231</v>
      </c>
      <c r="E2968" s="3298" t="s">
        <v>8232</v>
      </c>
      <c r="F2968" s="3298" t="s">
        <v>3423</v>
      </c>
      <c r="G2968" s="3278">
        <v>23595</v>
      </c>
      <c r="H2968" s="3299">
        <v>0</v>
      </c>
      <c r="I2968" s="3278">
        <v>0</v>
      </c>
    </row>
    <row r="2969" ht="12.75" customHeight="1" spans="2:9">
      <c r="B2969" s="3274">
        <v>1903</v>
      </c>
      <c r="D2969" s="3297" t="s">
        <v>8233</v>
      </c>
      <c r="E2969" s="3298" t="s">
        <v>8234</v>
      </c>
      <c r="F2969" s="3298" t="s">
        <v>3042</v>
      </c>
      <c r="G2969" s="3278">
        <v>71500</v>
      </c>
      <c r="H2969" s="3299">
        <v>0</v>
      </c>
      <c r="I2969" s="3278">
        <v>0</v>
      </c>
    </row>
    <row r="2970" ht="12.75" customHeight="1" spans="2:9">
      <c r="B2970" s="3274">
        <v>1904</v>
      </c>
      <c r="D2970" s="3297" t="s">
        <v>8235</v>
      </c>
      <c r="E2970" s="3298" t="s">
        <v>8236</v>
      </c>
      <c r="F2970" s="3298" t="s">
        <v>2299</v>
      </c>
      <c r="G2970" s="3278">
        <v>11040.007</v>
      </c>
      <c r="H2970" s="3299">
        <v>0</v>
      </c>
      <c r="I2970" s="3278">
        <v>0</v>
      </c>
    </row>
    <row r="2971" ht="12.75" customHeight="1" spans="2:9">
      <c r="B2971" s="3274">
        <v>1905</v>
      </c>
      <c r="D2971" s="3297" t="s">
        <v>8237</v>
      </c>
      <c r="E2971" s="3298" t="s">
        <v>8238</v>
      </c>
      <c r="F2971" s="3298" t="s">
        <v>2299</v>
      </c>
      <c r="G2971" s="3278">
        <v>11591.998</v>
      </c>
      <c r="H2971" s="3299">
        <v>0</v>
      </c>
      <c r="I2971" s="3278">
        <v>0</v>
      </c>
    </row>
    <row r="2972" ht="12.75" customHeight="1" spans="2:9">
      <c r="B2972" s="3274">
        <v>1906</v>
      </c>
      <c r="D2972" s="3297" t="s">
        <v>8239</v>
      </c>
      <c r="E2972" s="3298" t="s">
        <v>8240</v>
      </c>
      <c r="F2972" s="3298" t="s">
        <v>3056</v>
      </c>
      <c r="G2972" s="3278">
        <v>12400</v>
      </c>
      <c r="H2972" s="3299">
        <v>0</v>
      </c>
      <c r="I2972" s="3278">
        <v>0</v>
      </c>
    </row>
    <row r="2973" ht="12.75" customHeight="1" spans="2:9">
      <c r="B2973" s="3274">
        <v>1907</v>
      </c>
      <c r="D2973" s="3297" t="s">
        <v>8241</v>
      </c>
      <c r="E2973" s="3298" t="s">
        <v>8242</v>
      </c>
      <c r="F2973" s="3298" t="s">
        <v>3056</v>
      </c>
      <c r="G2973" s="3278">
        <v>4549.6</v>
      </c>
      <c r="H2973" s="3299">
        <v>0</v>
      </c>
      <c r="I2973" s="3278">
        <v>0</v>
      </c>
    </row>
    <row r="2974" ht="12.75" customHeight="1" spans="2:9">
      <c r="B2974" s="3274">
        <v>1908</v>
      </c>
      <c r="D2974" s="3297" t="s">
        <v>8243</v>
      </c>
      <c r="E2974" s="3298" t="s">
        <v>8244</v>
      </c>
      <c r="F2974" s="3298" t="s">
        <v>3056</v>
      </c>
      <c r="G2974" s="3278">
        <v>3000</v>
      </c>
      <c r="H2974" s="3299">
        <v>0</v>
      </c>
      <c r="I2974" s="3278">
        <v>0</v>
      </c>
    </row>
    <row r="2975" ht="12.75" customHeight="1" spans="2:9">
      <c r="B2975" s="3274">
        <v>1909</v>
      </c>
      <c r="D2975" s="3297" t="s">
        <v>8245</v>
      </c>
      <c r="E2975" s="3298" t="s">
        <v>8246</v>
      </c>
      <c r="F2975" s="3298" t="s">
        <v>2321</v>
      </c>
      <c r="G2975" s="3278">
        <v>266000</v>
      </c>
      <c r="H2975" s="3299">
        <v>0</v>
      </c>
      <c r="I2975" s="3278">
        <v>0</v>
      </c>
    </row>
    <row r="2976" ht="12.75" customHeight="1" spans="2:9">
      <c r="B2976" s="3274">
        <v>1910</v>
      </c>
      <c r="D2976" s="3297" t="s">
        <v>8247</v>
      </c>
      <c r="E2976" s="3298" t="s">
        <v>8248</v>
      </c>
      <c r="F2976" s="3298" t="s">
        <v>3056</v>
      </c>
      <c r="G2976" s="3278">
        <v>12463</v>
      </c>
      <c r="H2976" s="3299">
        <v>0</v>
      </c>
      <c r="I2976" s="3278">
        <v>0</v>
      </c>
    </row>
    <row r="2977" ht="12.75" customHeight="1" spans="2:9">
      <c r="B2977" s="3274">
        <v>1911</v>
      </c>
      <c r="D2977" s="3297" t="s">
        <v>8249</v>
      </c>
      <c r="E2977" s="3298" t="s">
        <v>8250</v>
      </c>
      <c r="F2977" s="3298" t="s">
        <v>2321</v>
      </c>
      <c r="G2977" s="3278">
        <v>198000</v>
      </c>
      <c r="H2977" s="3299">
        <v>0</v>
      </c>
      <c r="I2977" s="3278">
        <v>0</v>
      </c>
    </row>
    <row r="2978" ht="12.75" customHeight="1" spans="2:9">
      <c r="B2978" s="3274">
        <v>1912</v>
      </c>
      <c r="D2978" s="3297" t="s">
        <v>8251</v>
      </c>
      <c r="E2978" s="3298" t="s">
        <v>8252</v>
      </c>
      <c r="F2978" s="3298" t="s">
        <v>3042</v>
      </c>
      <c r="G2978" s="3278">
        <v>3038.75</v>
      </c>
      <c r="H2978" s="3299">
        <v>300</v>
      </c>
      <c r="I2978" s="3278">
        <v>911625</v>
      </c>
    </row>
    <row r="2979" ht="12.75" customHeight="1" spans="2:9">
      <c r="B2979" s="3274">
        <v>1913</v>
      </c>
      <c r="D2979" s="3297" t="s">
        <v>8253</v>
      </c>
      <c r="E2979" s="3298" t="s">
        <v>8254</v>
      </c>
      <c r="F2979" s="3298" t="s">
        <v>2321</v>
      </c>
      <c r="G2979" s="3278">
        <v>49500</v>
      </c>
      <c r="H2979" s="3299">
        <v>0</v>
      </c>
      <c r="I2979" s="3278">
        <v>0</v>
      </c>
    </row>
    <row r="2980" ht="12.75" customHeight="1" spans="2:9">
      <c r="B2980" s="3274">
        <v>1914</v>
      </c>
      <c r="D2980" s="3297" t="s">
        <v>8255</v>
      </c>
      <c r="E2980" s="3298" t="s">
        <v>8256</v>
      </c>
      <c r="F2980" s="3298" t="s">
        <v>3056</v>
      </c>
      <c r="G2980" s="3278">
        <v>15506.997</v>
      </c>
      <c r="H2980" s="3299">
        <v>0</v>
      </c>
      <c r="I2980" s="3278">
        <v>0</v>
      </c>
    </row>
    <row r="2981" ht="12.75" customHeight="1" spans="2:9">
      <c r="B2981" s="3274">
        <v>1915</v>
      </c>
      <c r="D2981" s="3297" t="s">
        <v>8257</v>
      </c>
      <c r="E2981" s="3298" t="s">
        <v>8258</v>
      </c>
      <c r="F2981" s="3298" t="s">
        <v>3056</v>
      </c>
      <c r="G2981" s="3278">
        <v>11000</v>
      </c>
      <c r="H2981" s="3299">
        <v>0</v>
      </c>
      <c r="I2981" s="3278">
        <v>0</v>
      </c>
    </row>
    <row r="2982" ht="12.75" customHeight="1" spans="2:9">
      <c r="B2982" s="3274">
        <v>1916</v>
      </c>
      <c r="D2982" s="3297" t="s">
        <v>8259</v>
      </c>
      <c r="E2982" s="3298" t="s">
        <v>8260</v>
      </c>
      <c r="F2982" s="3298" t="s">
        <v>2299</v>
      </c>
      <c r="G2982" s="3278">
        <v>20608.203</v>
      </c>
      <c r="H2982" s="3299">
        <v>0</v>
      </c>
      <c r="I2982" s="3278">
        <v>0</v>
      </c>
    </row>
    <row r="2983" ht="12.75" customHeight="1" spans="2:9">
      <c r="B2983" s="3274">
        <v>1917</v>
      </c>
      <c r="D2983" s="3297" t="s">
        <v>8261</v>
      </c>
      <c r="E2983" s="3298" t="s">
        <v>8262</v>
      </c>
      <c r="F2983" s="3298" t="s">
        <v>4757</v>
      </c>
      <c r="G2983" s="3278">
        <v>0</v>
      </c>
      <c r="H2983" s="3299">
        <v>0</v>
      </c>
      <c r="I2983" s="3278">
        <v>0</v>
      </c>
    </row>
    <row r="2984" ht="12.75" customHeight="1" spans="2:9">
      <c r="B2984" s="3274">
        <v>1918</v>
      </c>
      <c r="D2984" s="3297" t="s">
        <v>8263</v>
      </c>
      <c r="E2984" s="3298" t="s">
        <v>8264</v>
      </c>
      <c r="F2984" s="3298" t="s">
        <v>3056</v>
      </c>
      <c r="G2984" s="3278">
        <v>21428</v>
      </c>
      <c r="H2984" s="3299">
        <v>0</v>
      </c>
      <c r="I2984" s="3278">
        <v>0</v>
      </c>
    </row>
    <row r="2985" ht="12.75" customHeight="1" spans="2:9">
      <c r="B2985" s="3274">
        <v>1919</v>
      </c>
      <c r="D2985" s="3297" t="s">
        <v>8265</v>
      </c>
      <c r="E2985" s="3298" t="s">
        <v>8266</v>
      </c>
      <c r="F2985" s="3298" t="s">
        <v>3056</v>
      </c>
      <c r="G2985" s="3278">
        <v>23426.073</v>
      </c>
      <c r="H2985" s="3299">
        <v>0</v>
      </c>
      <c r="I2985" s="3278">
        <v>0</v>
      </c>
    </row>
    <row r="2986" ht="12.75" customHeight="1" spans="2:9">
      <c r="B2986" s="3274">
        <v>1920</v>
      </c>
      <c r="D2986" s="3297" t="s">
        <v>8267</v>
      </c>
      <c r="E2986" s="3298" t="s">
        <v>8268</v>
      </c>
      <c r="F2986" s="3298" t="s">
        <v>3056</v>
      </c>
      <c r="G2986" s="3278">
        <v>11651.2</v>
      </c>
      <c r="H2986" s="3299">
        <v>0</v>
      </c>
      <c r="I2986" s="3278">
        <v>0</v>
      </c>
    </row>
    <row r="2987" ht="12.75" customHeight="1" spans="2:9">
      <c r="B2987" s="3274">
        <v>1921</v>
      </c>
      <c r="D2987" s="3297" t="s">
        <v>8269</v>
      </c>
      <c r="E2987" s="3298" t="s">
        <v>8270</v>
      </c>
      <c r="F2987" s="3298" t="s">
        <v>3056</v>
      </c>
      <c r="G2987" s="3278">
        <v>20622</v>
      </c>
      <c r="H2987" s="3299">
        <v>0</v>
      </c>
      <c r="I2987" s="3278">
        <v>0</v>
      </c>
    </row>
    <row r="2988" ht="12.75" customHeight="1" spans="2:9">
      <c r="B2988" s="3274">
        <v>1922</v>
      </c>
      <c r="D2988" s="3297" t="s">
        <v>8271</v>
      </c>
      <c r="E2988" s="3298" t="s">
        <v>8272</v>
      </c>
      <c r="F2988" s="3298" t="s">
        <v>3056</v>
      </c>
      <c r="G2988" s="3278">
        <v>8666.6578</v>
      </c>
      <c r="H2988" s="3299">
        <v>0</v>
      </c>
      <c r="I2988" s="3278">
        <v>0</v>
      </c>
    </row>
    <row r="2989" ht="12.75" customHeight="1" spans="2:9">
      <c r="B2989" s="3274">
        <v>1923</v>
      </c>
      <c r="D2989" s="3297" t="s">
        <v>8273</v>
      </c>
      <c r="E2989" s="3298" t="s">
        <v>8274</v>
      </c>
      <c r="F2989" s="3298" t="s">
        <v>2321</v>
      </c>
      <c r="G2989" s="3278">
        <v>10857</v>
      </c>
      <c r="H2989" s="3299">
        <v>0</v>
      </c>
      <c r="I2989" s="3278">
        <v>0</v>
      </c>
    </row>
    <row r="2990" ht="12.75" customHeight="1" spans="2:9">
      <c r="B2990" s="3274">
        <v>1924</v>
      </c>
      <c r="D2990" s="3297" t="s">
        <v>8275</v>
      </c>
      <c r="E2990" s="3298" t="s">
        <v>8276</v>
      </c>
      <c r="F2990" s="3298" t="s">
        <v>4351</v>
      </c>
      <c r="G2990" s="3278">
        <v>9548</v>
      </c>
      <c r="H2990" s="3299">
        <v>0</v>
      </c>
      <c r="I2990" s="3278">
        <v>0</v>
      </c>
    </row>
    <row r="2991" ht="12.75" customHeight="1" spans="2:9">
      <c r="B2991" s="3274">
        <v>1925</v>
      </c>
      <c r="D2991" s="3297" t="s">
        <v>8277</v>
      </c>
      <c r="E2991" s="3298" t="s">
        <v>8278</v>
      </c>
      <c r="F2991" s="3298" t="s">
        <v>2321</v>
      </c>
      <c r="G2991" s="3278">
        <v>151794.5</v>
      </c>
      <c r="H2991" s="3299">
        <v>0</v>
      </c>
      <c r="I2991" s="3278">
        <v>0</v>
      </c>
    </row>
    <row r="2992" ht="12.75" customHeight="1" spans="2:9">
      <c r="B2992" s="3274">
        <v>1926</v>
      </c>
      <c r="D2992" s="3297" t="s">
        <v>8279</v>
      </c>
      <c r="E2992" s="3298" t="s">
        <v>8280</v>
      </c>
      <c r="F2992" s="3298" t="s">
        <v>5070</v>
      </c>
      <c r="G2992" s="3278">
        <v>19000</v>
      </c>
      <c r="H2992" s="3299">
        <v>0</v>
      </c>
      <c r="I2992" s="3278">
        <v>0</v>
      </c>
    </row>
    <row r="2993" ht="12.75" customHeight="1" spans="2:9">
      <c r="B2993" s="3274">
        <v>1927</v>
      </c>
      <c r="D2993" s="3297" t="s">
        <v>8281</v>
      </c>
      <c r="E2993" s="3298" t="s">
        <v>8282</v>
      </c>
      <c r="F2993" s="3298" t="s">
        <v>5233</v>
      </c>
      <c r="G2993" s="3278">
        <v>13750</v>
      </c>
      <c r="H2993" s="3299">
        <v>0</v>
      </c>
      <c r="I2993" s="3278">
        <v>0</v>
      </c>
    </row>
    <row r="2994" ht="12.75" customHeight="1" spans="2:9">
      <c r="B2994" s="3274">
        <v>1928</v>
      </c>
      <c r="D2994" s="3297" t="s">
        <v>8283</v>
      </c>
      <c r="E2994" s="3298" t="s">
        <v>8284</v>
      </c>
      <c r="F2994" s="3298" t="s">
        <v>4351</v>
      </c>
      <c r="G2994" s="3278">
        <v>8400</v>
      </c>
      <c r="H2994" s="3299">
        <v>0</v>
      </c>
      <c r="I2994" s="3278">
        <v>0</v>
      </c>
    </row>
    <row r="2995" ht="12.75" customHeight="1" spans="2:9">
      <c r="B2995" s="3274">
        <v>1929</v>
      </c>
      <c r="D2995" s="3297" t="s">
        <v>8285</v>
      </c>
      <c r="E2995" s="3298" t="s">
        <v>8286</v>
      </c>
      <c r="F2995" s="3298" t="s">
        <v>2321</v>
      </c>
      <c r="G2995" s="3278">
        <v>35999.997</v>
      </c>
      <c r="H2995" s="3299">
        <v>0</v>
      </c>
      <c r="I2995" s="3278">
        <v>0</v>
      </c>
    </row>
    <row r="2996" ht="12.75" customHeight="1" spans="2:9">
      <c r="B2996" s="3274">
        <v>1930</v>
      </c>
      <c r="D2996" s="3297" t="s">
        <v>8287</v>
      </c>
      <c r="E2996" s="3298" t="s">
        <v>8288</v>
      </c>
      <c r="F2996" s="3298" t="s">
        <v>2299</v>
      </c>
      <c r="G2996" s="3278">
        <v>84700</v>
      </c>
      <c r="H2996" s="3299">
        <v>0</v>
      </c>
      <c r="I2996" s="3278">
        <v>0</v>
      </c>
    </row>
    <row r="2997" ht="12.75" customHeight="1" spans="2:9">
      <c r="B2997" s="3274">
        <v>1931</v>
      </c>
      <c r="D2997" s="3297" t="s">
        <v>8289</v>
      </c>
      <c r="E2997" s="3298" t="s">
        <v>8290</v>
      </c>
      <c r="F2997" s="3298" t="s">
        <v>2299</v>
      </c>
      <c r="G2997" s="3278">
        <v>140800</v>
      </c>
      <c r="H2997" s="3299">
        <v>0</v>
      </c>
      <c r="I2997" s="3278">
        <v>0</v>
      </c>
    </row>
    <row r="2998" ht="12.75" customHeight="1" spans="2:9">
      <c r="B2998" s="3274">
        <v>1932</v>
      </c>
      <c r="D2998" s="3297" t="s">
        <v>8291</v>
      </c>
      <c r="E2998" s="3298" t="s">
        <v>8292</v>
      </c>
      <c r="F2998" s="3298" t="s">
        <v>3056</v>
      </c>
      <c r="G2998" s="3278">
        <v>12145.1</v>
      </c>
      <c r="H2998" s="3299">
        <v>0</v>
      </c>
      <c r="I2998" s="3278">
        <v>0</v>
      </c>
    </row>
    <row r="2999" ht="12.75" customHeight="1" spans="2:9">
      <c r="B2999" s="3274">
        <v>1933</v>
      </c>
      <c r="D2999" s="3297" t="s">
        <v>8293</v>
      </c>
      <c r="E2999" s="3298" t="s">
        <v>8294</v>
      </c>
      <c r="F2999" s="3298" t="s">
        <v>3042</v>
      </c>
      <c r="G2999" s="3278">
        <v>45100</v>
      </c>
      <c r="H2999" s="3299">
        <v>0</v>
      </c>
      <c r="I2999" s="3278">
        <v>0</v>
      </c>
    </row>
    <row r="3000" ht="12.75" customHeight="1" spans="2:9">
      <c r="B3000" s="3274">
        <v>1934</v>
      </c>
      <c r="D3000" s="3297" t="s">
        <v>8295</v>
      </c>
      <c r="E3000" s="3298" t="s">
        <v>8296</v>
      </c>
      <c r="F3000" s="3298" t="s">
        <v>3042</v>
      </c>
      <c r="G3000" s="3278">
        <v>42350</v>
      </c>
      <c r="H3000" s="3299">
        <v>0</v>
      </c>
      <c r="I3000" s="3278">
        <v>0</v>
      </c>
    </row>
    <row r="3001" ht="12.75" customHeight="1" spans="2:9">
      <c r="B3001" s="3274">
        <v>1935</v>
      </c>
      <c r="D3001" s="3297" t="s">
        <v>8297</v>
      </c>
      <c r="E3001" s="3298" t="s">
        <v>8298</v>
      </c>
      <c r="F3001" s="3298" t="s">
        <v>3056</v>
      </c>
      <c r="G3001" s="3278">
        <v>5720</v>
      </c>
      <c r="H3001" s="3299">
        <v>0</v>
      </c>
      <c r="I3001" s="3278">
        <v>0</v>
      </c>
    </row>
    <row r="3002" ht="12.75" customHeight="1" spans="2:9">
      <c r="B3002" s="3274">
        <v>1936</v>
      </c>
      <c r="D3002" s="3297" t="s">
        <v>8299</v>
      </c>
      <c r="E3002" s="3298" t="s">
        <v>8300</v>
      </c>
      <c r="F3002" s="3298" t="s">
        <v>3257</v>
      </c>
      <c r="G3002" s="3278">
        <v>42222.95</v>
      </c>
      <c r="H3002" s="3299">
        <v>0</v>
      </c>
      <c r="I3002" s="3278">
        <v>0</v>
      </c>
    </row>
    <row r="3003" ht="12.75" customHeight="1" spans="2:9">
      <c r="B3003" s="3274">
        <v>1937</v>
      </c>
      <c r="D3003" s="3297" t="s">
        <v>8301</v>
      </c>
      <c r="E3003" s="3298" t="s">
        <v>8302</v>
      </c>
      <c r="F3003" s="3298" t="s">
        <v>2321</v>
      </c>
      <c r="G3003" s="3278">
        <v>43833.999</v>
      </c>
      <c r="H3003" s="3299">
        <v>0</v>
      </c>
      <c r="I3003" s="3278">
        <v>0</v>
      </c>
    </row>
    <row r="3004" ht="12.75" customHeight="1" spans="2:9">
      <c r="B3004" s="3274">
        <v>1938</v>
      </c>
      <c r="D3004" s="3297" t="s">
        <v>8303</v>
      </c>
      <c r="E3004" s="3298" t="s">
        <v>8304</v>
      </c>
      <c r="F3004" s="3298" t="s">
        <v>2637</v>
      </c>
      <c r="G3004" s="3278">
        <v>9606.6631</v>
      </c>
      <c r="H3004" s="3299">
        <v>18</v>
      </c>
      <c r="I3004" s="3278">
        <v>172919.9358</v>
      </c>
    </row>
    <row r="3005" ht="12.75" customHeight="1" spans="2:9">
      <c r="B3005" s="3274">
        <v>1939</v>
      </c>
      <c r="D3005" s="3297" t="s">
        <v>8305</v>
      </c>
      <c r="E3005" s="3298" t="s">
        <v>8306</v>
      </c>
      <c r="F3005" s="3298" t="s">
        <v>2637</v>
      </c>
      <c r="G3005" s="3278">
        <v>7590</v>
      </c>
      <c r="H3005" s="3299">
        <v>0</v>
      </c>
      <c r="I3005" s="3278">
        <v>0</v>
      </c>
    </row>
    <row r="3006" ht="12.75" customHeight="1" spans="2:9">
      <c r="B3006" s="3274">
        <v>1940</v>
      </c>
      <c r="D3006" s="3297" t="s">
        <v>8307</v>
      </c>
      <c r="E3006" s="3298" t="s">
        <v>8308</v>
      </c>
      <c r="F3006" s="3298" t="s">
        <v>2321</v>
      </c>
      <c r="G3006" s="3278">
        <v>44110</v>
      </c>
      <c r="H3006" s="3299">
        <v>11</v>
      </c>
      <c r="I3006" s="3278">
        <v>485210</v>
      </c>
    </row>
    <row r="3007" ht="12.75" customHeight="1" spans="2:9">
      <c r="B3007" s="3274">
        <v>1941</v>
      </c>
      <c r="D3007" s="3297" t="s">
        <v>8309</v>
      </c>
      <c r="E3007" s="3298" t="s">
        <v>8310</v>
      </c>
      <c r="F3007" s="3298" t="s">
        <v>2299</v>
      </c>
      <c r="G3007" s="3278">
        <v>82500</v>
      </c>
      <c r="H3007" s="3299">
        <v>0</v>
      </c>
      <c r="I3007" s="3278">
        <v>0</v>
      </c>
    </row>
    <row r="3008" ht="12.75" customHeight="1" spans="2:9">
      <c r="B3008" s="3274">
        <v>1942</v>
      </c>
      <c r="D3008" s="3297" t="s">
        <v>8311</v>
      </c>
      <c r="E3008" s="3298" t="s">
        <v>8312</v>
      </c>
      <c r="F3008" s="3298" t="s">
        <v>2637</v>
      </c>
      <c r="G3008" s="3278">
        <v>55000</v>
      </c>
      <c r="H3008" s="3299">
        <v>0</v>
      </c>
      <c r="I3008" s="3278">
        <v>0</v>
      </c>
    </row>
    <row r="3009" ht="12.75" customHeight="1" spans="2:9">
      <c r="B3009" s="3274">
        <v>1943</v>
      </c>
      <c r="D3009" s="3297" t="s">
        <v>8313</v>
      </c>
      <c r="E3009" s="3298" t="s">
        <v>8314</v>
      </c>
      <c r="F3009" s="3298" t="s">
        <v>2299</v>
      </c>
      <c r="G3009" s="3278">
        <v>77000</v>
      </c>
      <c r="H3009" s="3299">
        <v>0</v>
      </c>
      <c r="I3009" s="3278">
        <v>0</v>
      </c>
    </row>
    <row r="3010" ht="12.75" customHeight="1" spans="2:9">
      <c r="B3010" s="3274">
        <v>1944</v>
      </c>
      <c r="D3010" s="3297" t="s">
        <v>8315</v>
      </c>
      <c r="E3010" s="3298" t="s">
        <v>8316</v>
      </c>
      <c r="F3010" s="3298" t="s">
        <v>3042</v>
      </c>
      <c r="G3010" s="3278">
        <v>0</v>
      </c>
      <c r="H3010" s="3299">
        <v>0</v>
      </c>
      <c r="I3010" s="3278">
        <v>0</v>
      </c>
    </row>
    <row r="3011" ht="12.75" customHeight="1" spans="2:9">
      <c r="B3011" s="3274">
        <v>1945</v>
      </c>
      <c r="D3011" s="3297" t="s">
        <v>8317</v>
      </c>
      <c r="E3011" s="3298" t="s">
        <v>8318</v>
      </c>
      <c r="F3011" s="3298" t="s">
        <v>2637</v>
      </c>
      <c r="G3011" s="3278">
        <v>30043</v>
      </c>
      <c r="H3011" s="3299">
        <v>0</v>
      </c>
      <c r="I3011" s="3278">
        <v>0</v>
      </c>
    </row>
    <row r="3012" ht="12.75" customHeight="1" spans="2:9">
      <c r="B3012" s="3274">
        <v>1946</v>
      </c>
      <c r="D3012" s="3297" t="s">
        <v>8319</v>
      </c>
      <c r="E3012" s="3298" t="s">
        <v>8320</v>
      </c>
      <c r="F3012" s="3298" t="s">
        <v>2637</v>
      </c>
      <c r="G3012" s="3278">
        <v>21265.75</v>
      </c>
      <c r="H3012" s="3299">
        <v>0</v>
      </c>
      <c r="I3012" s="3278">
        <v>0</v>
      </c>
    </row>
    <row r="3013" ht="12.75" customHeight="1" spans="2:9">
      <c r="B3013" s="3274">
        <v>1947</v>
      </c>
      <c r="D3013" s="3297" t="s">
        <v>8321</v>
      </c>
      <c r="E3013" s="3298" t="s">
        <v>8322</v>
      </c>
      <c r="F3013" s="3298" t="s">
        <v>2637</v>
      </c>
      <c r="G3013" s="3278">
        <v>20350</v>
      </c>
      <c r="H3013" s="3299">
        <v>0</v>
      </c>
      <c r="I3013" s="3278">
        <v>0</v>
      </c>
    </row>
    <row r="3014" ht="12.75" customHeight="1" spans="2:9">
      <c r="B3014" s="3274">
        <v>1948</v>
      </c>
      <c r="D3014" s="3297" t="s">
        <v>8323</v>
      </c>
      <c r="E3014" s="3298" t="s">
        <v>8324</v>
      </c>
      <c r="F3014" s="3298" t="s">
        <v>2637</v>
      </c>
      <c r="G3014" s="3278">
        <v>21265.75</v>
      </c>
      <c r="H3014" s="3299">
        <v>21</v>
      </c>
      <c r="I3014" s="3278">
        <v>446580.75</v>
      </c>
    </row>
    <row r="3015" ht="12.75" customHeight="1" spans="2:9">
      <c r="B3015" s="3274">
        <v>1949</v>
      </c>
      <c r="D3015" s="3297" t="s">
        <v>8325</v>
      </c>
      <c r="E3015" s="3298" t="s">
        <v>8326</v>
      </c>
      <c r="F3015" s="3298" t="s">
        <v>3056</v>
      </c>
      <c r="G3015" s="3278">
        <v>6580.3101</v>
      </c>
      <c r="H3015" s="3299">
        <v>0</v>
      </c>
      <c r="I3015" s="3278">
        <v>0</v>
      </c>
    </row>
    <row r="3016" ht="12.75" customHeight="1" spans="2:9">
      <c r="B3016" s="3274">
        <v>1950</v>
      </c>
      <c r="D3016" s="3297" t="s">
        <v>8327</v>
      </c>
      <c r="E3016" s="3298" t="s">
        <v>8328</v>
      </c>
      <c r="F3016" s="3298" t="s">
        <v>3056</v>
      </c>
      <c r="G3016" s="3278">
        <v>11000</v>
      </c>
      <c r="H3016" s="3299">
        <v>0</v>
      </c>
      <c r="I3016" s="3278">
        <v>0</v>
      </c>
    </row>
    <row r="3017" ht="12.75" customHeight="1" spans="2:9">
      <c r="B3017" s="3274">
        <v>1951</v>
      </c>
      <c r="D3017" s="3297" t="s">
        <v>8329</v>
      </c>
      <c r="E3017" s="3298" t="s">
        <v>8330</v>
      </c>
      <c r="F3017" s="3298" t="s">
        <v>2299</v>
      </c>
      <c r="G3017" s="3278">
        <v>55000</v>
      </c>
      <c r="H3017" s="3299">
        <v>0</v>
      </c>
      <c r="I3017" s="3278">
        <v>0</v>
      </c>
    </row>
    <row r="3018" ht="12.75" customHeight="1" spans="2:9">
      <c r="B3018" s="3274">
        <v>1952</v>
      </c>
      <c r="D3018" s="3297" t="s">
        <v>8331</v>
      </c>
      <c r="E3018" s="3298" t="s">
        <v>8332</v>
      </c>
      <c r="F3018" s="3298" t="s">
        <v>2299</v>
      </c>
      <c r="G3018" s="3278">
        <v>47300</v>
      </c>
      <c r="H3018" s="3299">
        <v>0</v>
      </c>
      <c r="I3018" s="3278">
        <v>0</v>
      </c>
    </row>
    <row r="3019" ht="12.75" customHeight="1" spans="2:9">
      <c r="B3019" s="3274">
        <v>1953</v>
      </c>
      <c r="D3019" s="3297" t="s">
        <v>8333</v>
      </c>
      <c r="E3019" s="3298" t="s">
        <v>8334</v>
      </c>
      <c r="F3019" s="3298" t="s">
        <v>2309</v>
      </c>
      <c r="G3019" s="3278">
        <v>825</v>
      </c>
      <c r="H3019" s="3299">
        <v>0</v>
      </c>
      <c r="I3019" s="3278">
        <v>0</v>
      </c>
    </row>
    <row r="3020" ht="12.75" customHeight="1" spans="2:9">
      <c r="B3020" s="3274">
        <v>1954</v>
      </c>
      <c r="D3020" s="3297" t="s">
        <v>8335</v>
      </c>
      <c r="E3020" s="3298" t="s">
        <v>8336</v>
      </c>
      <c r="F3020" s="3298" t="s">
        <v>2293</v>
      </c>
      <c r="G3020" s="3278">
        <v>62500.009</v>
      </c>
      <c r="H3020" s="3299">
        <v>0</v>
      </c>
      <c r="I3020" s="3278">
        <v>0</v>
      </c>
    </row>
    <row r="3021" ht="12.75" customHeight="1" spans="2:9">
      <c r="B3021" s="3274">
        <v>1955</v>
      </c>
      <c r="D3021" s="3297" t="s">
        <v>8337</v>
      </c>
      <c r="E3021" s="3298" t="s">
        <v>8338</v>
      </c>
      <c r="F3021" s="3298" t="s">
        <v>2299</v>
      </c>
      <c r="G3021" s="3278">
        <v>59999.9941</v>
      </c>
      <c r="H3021" s="3299">
        <v>0</v>
      </c>
      <c r="I3021" s="3278">
        <v>0</v>
      </c>
    </row>
    <row r="3022" ht="12.75" customHeight="1" spans="2:9">
      <c r="B3022" s="3274">
        <v>1956</v>
      </c>
      <c r="D3022" s="3297" t="s">
        <v>8339</v>
      </c>
      <c r="E3022" s="3298" t="s">
        <v>8340</v>
      </c>
      <c r="F3022" s="3298" t="s">
        <v>2293</v>
      </c>
      <c r="G3022" s="3278">
        <v>71500</v>
      </c>
      <c r="H3022" s="3299">
        <v>0</v>
      </c>
      <c r="I3022" s="3278">
        <v>0</v>
      </c>
    </row>
    <row r="3023" ht="12.75" customHeight="1" spans="2:9">
      <c r="B3023" s="3274">
        <v>1957</v>
      </c>
      <c r="D3023" s="3297" t="s">
        <v>8341</v>
      </c>
      <c r="E3023" s="3298" t="s">
        <v>8342</v>
      </c>
      <c r="F3023" s="3298" t="s">
        <v>2321</v>
      </c>
      <c r="G3023" s="3278">
        <v>82000</v>
      </c>
      <c r="H3023" s="3299">
        <v>0</v>
      </c>
      <c r="I3023" s="3278">
        <v>0</v>
      </c>
    </row>
    <row r="3024" ht="12.75" customHeight="1" spans="2:9">
      <c r="B3024" s="3274">
        <v>1958</v>
      </c>
      <c r="D3024" s="3297" t="s">
        <v>8343</v>
      </c>
      <c r="E3024" s="3298" t="s">
        <v>8344</v>
      </c>
      <c r="F3024" s="3298" t="s">
        <v>2321</v>
      </c>
      <c r="G3024" s="3278">
        <v>88000</v>
      </c>
      <c r="H3024" s="3299">
        <v>0</v>
      </c>
      <c r="I3024" s="3278">
        <v>0</v>
      </c>
    </row>
    <row r="3025" ht="12.75" customHeight="1" spans="2:9">
      <c r="B3025" s="3274">
        <v>1959</v>
      </c>
      <c r="D3025" s="3297" t="s">
        <v>8345</v>
      </c>
      <c r="E3025" s="3298" t="s">
        <v>8346</v>
      </c>
      <c r="F3025" s="3298" t="s">
        <v>3056</v>
      </c>
      <c r="G3025" s="3278">
        <v>0</v>
      </c>
      <c r="H3025" s="3299">
        <v>0</v>
      </c>
      <c r="I3025" s="3278">
        <v>0</v>
      </c>
    </row>
    <row r="3026" ht="12.75" customHeight="1" spans="2:9">
      <c r="B3026" s="3274">
        <v>1960</v>
      </c>
      <c r="D3026" s="3297" t="s">
        <v>8347</v>
      </c>
      <c r="E3026" s="3298" t="s">
        <v>8348</v>
      </c>
      <c r="F3026" s="3298" t="s">
        <v>4351</v>
      </c>
      <c r="G3026" s="3278">
        <v>0</v>
      </c>
      <c r="H3026" s="3299">
        <v>0</v>
      </c>
      <c r="I3026" s="3278">
        <v>0</v>
      </c>
    </row>
    <row r="3027" ht="12.75" customHeight="1" spans="2:9">
      <c r="B3027" s="3274">
        <v>1961</v>
      </c>
      <c r="D3027" s="3297" t="s">
        <v>8349</v>
      </c>
      <c r="E3027" s="3298" t="s">
        <v>8350</v>
      </c>
      <c r="F3027" s="3298" t="s">
        <v>2321</v>
      </c>
      <c r="G3027" s="3278">
        <v>0</v>
      </c>
      <c r="H3027" s="3299">
        <v>0</v>
      </c>
      <c r="I3027" s="3278">
        <v>0</v>
      </c>
    </row>
    <row r="3028" ht="12.75" customHeight="1" spans="2:9">
      <c r="B3028" s="3274">
        <v>1962</v>
      </c>
      <c r="D3028" s="3297" t="s">
        <v>8351</v>
      </c>
      <c r="E3028" s="3298" t="s">
        <v>8352</v>
      </c>
      <c r="F3028" s="3298" t="s">
        <v>2321</v>
      </c>
      <c r="G3028" s="3278">
        <v>127470</v>
      </c>
      <c r="H3028" s="3299">
        <v>0</v>
      </c>
      <c r="I3028" s="3278">
        <v>0</v>
      </c>
    </row>
    <row r="3029" ht="12.75" customHeight="1" spans="2:9">
      <c r="B3029" s="3274">
        <v>1963</v>
      </c>
      <c r="D3029" s="3297" t="s">
        <v>8353</v>
      </c>
      <c r="E3029" s="3298" t="s">
        <v>8354</v>
      </c>
      <c r="F3029" s="3298" t="s">
        <v>2457</v>
      </c>
      <c r="G3029" s="3278">
        <v>11990</v>
      </c>
      <c r="H3029" s="3299">
        <v>0</v>
      </c>
      <c r="I3029" s="3278">
        <v>0</v>
      </c>
    </row>
    <row r="3030" ht="12.75" customHeight="1" spans="2:9">
      <c r="B3030" s="3274">
        <v>1964</v>
      </c>
      <c r="D3030" s="3297" t="s">
        <v>8355</v>
      </c>
      <c r="E3030" s="3298" t="s">
        <v>8356</v>
      </c>
      <c r="F3030" s="3298" t="s">
        <v>3045</v>
      </c>
      <c r="G3030" s="3278">
        <v>83050</v>
      </c>
      <c r="H3030" s="3299">
        <v>0</v>
      </c>
      <c r="I3030" s="3278">
        <v>0</v>
      </c>
    </row>
    <row r="3031" ht="12.75" customHeight="1" spans="2:9">
      <c r="B3031" s="3274">
        <v>1965</v>
      </c>
      <c r="D3031" s="3297" t="s">
        <v>8357</v>
      </c>
      <c r="E3031" s="3298" t="s">
        <v>8358</v>
      </c>
      <c r="F3031" s="3298" t="s">
        <v>2321</v>
      </c>
      <c r="G3031" s="3278">
        <v>119170.7</v>
      </c>
      <c r="H3031" s="3299">
        <v>0</v>
      </c>
      <c r="I3031" s="3278">
        <v>0</v>
      </c>
    </row>
    <row r="3032" ht="12.75" customHeight="1" spans="2:9">
      <c r="B3032" s="3274">
        <v>1966</v>
      </c>
      <c r="D3032" s="3297" t="s">
        <v>8359</v>
      </c>
      <c r="E3032" s="3298" t="s">
        <v>8360</v>
      </c>
      <c r="F3032" s="3298" t="s">
        <v>3056</v>
      </c>
      <c r="G3032" s="3278">
        <v>0</v>
      </c>
      <c r="H3032" s="3299">
        <v>0</v>
      </c>
      <c r="I3032" s="3278">
        <v>0</v>
      </c>
    </row>
    <row r="3033" ht="12.75" customHeight="1" spans="2:9">
      <c r="B3033" s="3274">
        <v>1967</v>
      </c>
      <c r="D3033" s="3297" t="s">
        <v>8361</v>
      </c>
      <c r="E3033" s="3298" t="s">
        <v>8362</v>
      </c>
      <c r="F3033" s="3298" t="s">
        <v>3056</v>
      </c>
      <c r="G3033" s="3278">
        <v>0</v>
      </c>
      <c r="H3033" s="3299">
        <v>0</v>
      </c>
      <c r="I3033" s="3278">
        <v>0</v>
      </c>
    </row>
    <row r="3034" ht="12.75" customHeight="1" spans="2:9">
      <c r="B3034" s="3274">
        <v>1968</v>
      </c>
      <c r="D3034" s="3297" t="s">
        <v>8363</v>
      </c>
      <c r="E3034" s="3298" t="s">
        <v>8364</v>
      </c>
      <c r="F3034" s="3298" t="s">
        <v>2321</v>
      </c>
      <c r="G3034" s="3278">
        <v>0</v>
      </c>
      <c r="H3034" s="3299">
        <v>0</v>
      </c>
      <c r="I3034" s="3278">
        <v>0</v>
      </c>
    </row>
    <row r="3035" ht="12.75" customHeight="1" spans="2:9">
      <c r="B3035" s="3274">
        <v>1969</v>
      </c>
      <c r="D3035" s="3297" t="s">
        <v>8365</v>
      </c>
      <c r="E3035" s="3298" t="s">
        <v>8366</v>
      </c>
      <c r="F3035" s="3298" t="s">
        <v>3056</v>
      </c>
      <c r="G3035" s="3278">
        <v>4840</v>
      </c>
      <c r="H3035" s="3299">
        <v>0</v>
      </c>
      <c r="I3035" s="3278">
        <v>0</v>
      </c>
    </row>
    <row r="3036" ht="12.75" customHeight="1" spans="2:9">
      <c r="B3036" s="3274">
        <v>1970</v>
      </c>
      <c r="D3036" s="3297" t="s">
        <v>8367</v>
      </c>
      <c r="E3036" s="3298" t="s">
        <v>8368</v>
      </c>
      <c r="F3036" s="3298" t="s">
        <v>4757</v>
      </c>
      <c r="G3036" s="3278">
        <v>0</v>
      </c>
      <c r="H3036" s="3299">
        <v>0</v>
      </c>
      <c r="I3036" s="3278">
        <v>0</v>
      </c>
    </row>
    <row r="3037" ht="12.75" customHeight="1" spans="2:9">
      <c r="B3037" s="3274">
        <v>1971</v>
      </c>
      <c r="D3037" s="3297" t="s">
        <v>8369</v>
      </c>
      <c r="E3037" s="3298" t="s">
        <v>8370</v>
      </c>
      <c r="F3037" s="3298" t="s">
        <v>3056</v>
      </c>
      <c r="G3037" s="3278">
        <v>0</v>
      </c>
      <c r="H3037" s="3299">
        <v>0</v>
      </c>
      <c r="I3037" s="3278">
        <v>0</v>
      </c>
    </row>
    <row r="3038" ht="12.75" customHeight="1" spans="2:9">
      <c r="B3038" s="3274">
        <v>1972</v>
      </c>
      <c r="D3038" s="3297" t="s">
        <v>8371</v>
      </c>
      <c r="E3038" s="3298" t="s">
        <v>8372</v>
      </c>
      <c r="F3038" s="3298" t="s">
        <v>3042</v>
      </c>
      <c r="G3038" s="3278">
        <v>20900</v>
      </c>
      <c r="H3038" s="3299">
        <v>0</v>
      </c>
      <c r="I3038" s="3278">
        <v>0</v>
      </c>
    </row>
    <row r="3039" ht="12.75" customHeight="1" spans="2:9">
      <c r="B3039" s="3274">
        <v>1973</v>
      </c>
      <c r="D3039" s="3297" t="s">
        <v>8373</v>
      </c>
      <c r="E3039" s="3298" t="s">
        <v>8374</v>
      </c>
      <c r="F3039" s="3298" t="s">
        <v>2321</v>
      </c>
      <c r="G3039" s="3278">
        <v>385000</v>
      </c>
      <c r="H3039" s="3299">
        <v>0</v>
      </c>
      <c r="I3039" s="3278">
        <v>0</v>
      </c>
    </row>
    <row r="3040" ht="12.75" customHeight="1" spans="2:9">
      <c r="B3040" s="3274">
        <v>1974</v>
      </c>
      <c r="D3040" s="3297" t="s">
        <v>8375</v>
      </c>
      <c r="E3040" s="3298" t="s">
        <v>5743</v>
      </c>
      <c r="F3040" s="3298" t="s">
        <v>2321</v>
      </c>
      <c r="G3040" s="3278">
        <v>50965.2</v>
      </c>
      <c r="H3040" s="3299">
        <v>0</v>
      </c>
      <c r="I3040" s="3278">
        <v>0</v>
      </c>
    </row>
    <row r="3041" ht="12.75" customHeight="1" spans="2:9">
      <c r="B3041" s="3274">
        <v>1975</v>
      </c>
      <c r="D3041" s="3297" t="s">
        <v>8376</v>
      </c>
      <c r="E3041" s="3298" t="s">
        <v>8377</v>
      </c>
      <c r="F3041" s="3298" t="s">
        <v>2367</v>
      </c>
      <c r="G3041" s="3278">
        <v>5610000</v>
      </c>
      <c r="H3041" s="3299">
        <v>1</v>
      </c>
      <c r="I3041" s="3278">
        <v>5610000</v>
      </c>
    </row>
    <row r="3042" ht="12.75" customHeight="1" spans="2:9">
      <c r="B3042" s="3274">
        <v>1976</v>
      </c>
      <c r="D3042" s="3297" t="s">
        <v>8378</v>
      </c>
      <c r="E3042" s="3298" t="s">
        <v>8379</v>
      </c>
      <c r="F3042" s="3298" t="s">
        <v>2296</v>
      </c>
      <c r="G3042" s="3278">
        <v>52800</v>
      </c>
      <c r="H3042" s="3299">
        <v>0</v>
      </c>
      <c r="I3042" s="3278">
        <v>0</v>
      </c>
    </row>
    <row r="3043" ht="12.75" customHeight="1" spans="2:9">
      <c r="B3043" s="3274">
        <v>1977</v>
      </c>
      <c r="D3043" s="3297" t="s">
        <v>8380</v>
      </c>
      <c r="E3043" s="3298" t="s">
        <v>8381</v>
      </c>
      <c r="F3043" s="3298" t="s">
        <v>4351</v>
      </c>
      <c r="G3043" s="3278">
        <v>217433.3219</v>
      </c>
      <c r="H3043" s="3299">
        <v>0</v>
      </c>
      <c r="I3043" s="3278">
        <v>0</v>
      </c>
    </row>
    <row r="3044" ht="12.75" customHeight="1" spans="2:9">
      <c r="B3044" s="3274">
        <v>1978</v>
      </c>
      <c r="D3044" s="3297" t="s">
        <v>8382</v>
      </c>
      <c r="E3044" s="3298" t="s">
        <v>8383</v>
      </c>
      <c r="F3044" s="3298" t="s">
        <v>3056</v>
      </c>
      <c r="G3044" s="3278">
        <v>4900</v>
      </c>
      <c r="H3044" s="3299">
        <v>0</v>
      </c>
      <c r="I3044" s="3278">
        <v>0</v>
      </c>
    </row>
    <row r="3045" ht="12.75" customHeight="1" spans="2:9">
      <c r="B3045" s="3274">
        <v>1979</v>
      </c>
      <c r="D3045" s="3297" t="s">
        <v>8384</v>
      </c>
      <c r="E3045" s="3298" t="s">
        <v>8385</v>
      </c>
      <c r="F3045" s="3298" t="s">
        <v>3423</v>
      </c>
      <c r="G3045" s="3278">
        <v>1246667</v>
      </c>
      <c r="H3045" s="3299">
        <v>0</v>
      </c>
      <c r="I3045" s="3278">
        <v>0</v>
      </c>
    </row>
    <row r="3046" ht="12.75" customHeight="1" spans="2:9">
      <c r="B3046" s="3274">
        <v>1980</v>
      </c>
      <c r="D3046" s="3297" t="s">
        <v>8386</v>
      </c>
      <c r="E3046" s="3298" t="s">
        <v>8387</v>
      </c>
      <c r="F3046" s="3298" t="s">
        <v>2293</v>
      </c>
      <c r="G3046" s="3278">
        <v>83949.998</v>
      </c>
      <c r="H3046" s="3299">
        <v>105</v>
      </c>
      <c r="I3046" s="3278">
        <v>8814749.79</v>
      </c>
    </row>
    <row r="3047" ht="12.75" customHeight="1" spans="2:9">
      <c r="B3047" s="3274">
        <v>1981</v>
      </c>
      <c r="D3047" s="3297" t="s">
        <v>8388</v>
      </c>
      <c r="E3047" s="3298" t="s">
        <v>8389</v>
      </c>
      <c r="F3047" s="3298" t="s">
        <v>2321</v>
      </c>
      <c r="G3047" s="3278">
        <v>308000</v>
      </c>
      <c r="H3047" s="3299">
        <v>0</v>
      </c>
      <c r="I3047" s="3278">
        <v>0</v>
      </c>
    </row>
    <row r="3048" ht="12.75" customHeight="1" spans="2:9">
      <c r="B3048" s="3274">
        <v>1982</v>
      </c>
      <c r="D3048" s="3297" t="s">
        <v>8390</v>
      </c>
      <c r="E3048" s="3298" t="s">
        <v>8391</v>
      </c>
      <c r="F3048" s="3298" t="s">
        <v>2321</v>
      </c>
      <c r="G3048" s="3278">
        <v>63195</v>
      </c>
      <c r="H3048" s="3299">
        <v>64</v>
      </c>
      <c r="I3048" s="3278">
        <v>4044480</v>
      </c>
    </row>
    <row r="3049" ht="12.75" customHeight="1" spans="2:9">
      <c r="B3049" s="3274">
        <v>1983</v>
      </c>
      <c r="D3049" s="3297" t="s">
        <v>8392</v>
      </c>
      <c r="E3049" s="3298" t="s">
        <v>8393</v>
      </c>
      <c r="F3049" s="3298" t="s">
        <v>3056</v>
      </c>
      <c r="G3049" s="3278">
        <v>924</v>
      </c>
      <c r="H3049" s="3299">
        <v>0</v>
      </c>
      <c r="I3049" s="3278">
        <v>0</v>
      </c>
    </row>
    <row r="3050" ht="12.75" customHeight="1" spans="2:9">
      <c r="B3050" s="3274">
        <v>1984</v>
      </c>
      <c r="D3050" s="3297" t="s">
        <v>8394</v>
      </c>
      <c r="E3050" s="3298" t="s">
        <v>8395</v>
      </c>
      <c r="F3050" s="3298" t="s">
        <v>4351</v>
      </c>
      <c r="G3050" s="3278">
        <v>12100</v>
      </c>
      <c r="H3050" s="3299">
        <v>0</v>
      </c>
      <c r="I3050" s="3278">
        <v>0</v>
      </c>
    </row>
    <row r="3051" ht="12.75" customHeight="1" spans="2:9">
      <c r="B3051" s="3274">
        <v>1985</v>
      </c>
      <c r="D3051" s="3297" t="s">
        <v>8396</v>
      </c>
      <c r="E3051" s="3298" t="s">
        <v>8397</v>
      </c>
      <c r="F3051" s="3298" t="s">
        <v>4351</v>
      </c>
      <c r="G3051" s="3278">
        <v>5500</v>
      </c>
      <c r="H3051" s="3299">
        <v>0</v>
      </c>
      <c r="I3051" s="3278">
        <v>0</v>
      </c>
    </row>
    <row r="3052" ht="12.75" customHeight="1" spans="2:9">
      <c r="B3052" s="3274">
        <v>1986</v>
      </c>
      <c r="D3052" s="3297" t="s">
        <v>8398</v>
      </c>
      <c r="E3052" s="3298" t="s">
        <v>8399</v>
      </c>
      <c r="F3052" s="3298" t="s">
        <v>2299</v>
      </c>
      <c r="G3052" s="3278">
        <v>605000</v>
      </c>
      <c r="H3052" s="3299">
        <v>0</v>
      </c>
      <c r="I3052" s="3278">
        <v>0</v>
      </c>
    </row>
    <row r="3053" ht="12.75" customHeight="1" spans="2:9">
      <c r="B3053" s="3274">
        <v>1987</v>
      </c>
      <c r="D3053" s="3297" t="s">
        <v>8400</v>
      </c>
      <c r="E3053" s="3298" t="s">
        <v>8401</v>
      </c>
      <c r="F3053" s="3298" t="s">
        <v>3056</v>
      </c>
      <c r="G3053" s="3278">
        <v>18295.2</v>
      </c>
      <c r="H3053" s="3299">
        <v>0</v>
      </c>
      <c r="I3053" s="3278">
        <v>0</v>
      </c>
    </row>
    <row r="3054" ht="12.75" customHeight="1" spans="2:9">
      <c r="B3054" s="3274">
        <v>1988</v>
      </c>
      <c r="D3054" s="3297" t="s">
        <v>8402</v>
      </c>
      <c r="E3054" s="3298" t="s">
        <v>8403</v>
      </c>
      <c r="F3054" s="3298" t="s">
        <v>3056</v>
      </c>
      <c r="G3054" s="3278">
        <v>9922.3298</v>
      </c>
      <c r="H3054" s="3299">
        <v>0</v>
      </c>
      <c r="I3054" s="3278">
        <v>0</v>
      </c>
    </row>
    <row r="3055" ht="12.75" customHeight="1" spans="2:9">
      <c r="B3055" s="3274">
        <v>1989</v>
      </c>
      <c r="D3055" s="3297" t="s">
        <v>8404</v>
      </c>
      <c r="E3055" s="3298" t="s">
        <v>8405</v>
      </c>
      <c r="F3055" s="3298" t="s">
        <v>2321</v>
      </c>
      <c r="G3055" s="3278">
        <v>236940</v>
      </c>
      <c r="H3055" s="3299">
        <v>18</v>
      </c>
      <c r="I3055" s="3278">
        <v>4264920</v>
      </c>
    </row>
    <row r="3056" ht="12.75" customHeight="1" spans="2:9">
      <c r="B3056" s="3274">
        <v>1990</v>
      </c>
      <c r="D3056" s="3297" t="s">
        <v>8406</v>
      </c>
      <c r="E3056" s="3298" t="s">
        <v>8407</v>
      </c>
      <c r="F3056" s="3298" t="s">
        <v>2321</v>
      </c>
      <c r="G3056" s="3278">
        <v>314999.9875</v>
      </c>
      <c r="H3056" s="3299">
        <v>0</v>
      </c>
      <c r="I3056" s="3278">
        <v>0</v>
      </c>
    </row>
    <row r="3057" ht="12.75" customHeight="1" spans="2:9">
      <c r="B3057" s="3274">
        <v>1991</v>
      </c>
      <c r="D3057" s="3297" t="s">
        <v>8408</v>
      </c>
      <c r="E3057" s="3298" t="s">
        <v>8409</v>
      </c>
      <c r="F3057" s="3298" t="s">
        <v>2321</v>
      </c>
      <c r="G3057" s="3278">
        <v>192350</v>
      </c>
      <c r="H3057" s="3299">
        <v>0</v>
      </c>
      <c r="I3057" s="3278">
        <v>0</v>
      </c>
    </row>
    <row r="3058" ht="12.75" customHeight="1" spans="2:9">
      <c r="B3058" s="3274">
        <v>1992</v>
      </c>
      <c r="D3058" s="3297" t="s">
        <v>8410</v>
      </c>
      <c r="E3058" s="3298" t="s">
        <v>8411</v>
      </c>
      <c r="F3058" s="3298" t="s">
        <v>3056</v>
      </c>
      <c r="G3058" s="3278">
        <v>8250</v>
      </c>
      <c r="H3058" s="3299">
        <v>120</v>
      </c>
      <c r="I3058" s="3278">
        <v>990000</v>
      </c>
    </row>
    <row r="3059" ht="12.75" customHeight="1" spans="2:9">
      <c r="B3059" s="3274">
        <v>1993</v>
      </c>
      <c r="D3059" s="3297" t="s">
        <v>8412</v>
      </c>
      <c r="E3059" s="3298" t="s">
        <v>8413</v>
      </c>
      <c r="F3059" s="3298" t="s">
        <v>3056</v>
      </c>
      <c r="G3059" s="3278">
        <v>16071</v>
      </c>
      <c r="H3059" s="3299">
        <v>0</v>
      </c>
      <c r="I3059" s="3278">
        <v>0</v>
      </c>
    </row>
    <row r="3060" ht="12.75" customHeight="1" spans="2:9">
      <c r="B3060" s="3274">
        <v>1994</v>
      </c>
      <c r="D3060" s="3297" t="s">
        <v>8414</v>
      </c>
      <c r="E3060" s="3298" t="s">
        <v>8415</v>
      </c>
      <c r="F3060" s="3298" t="s">
        <v>2321</v>
      </c>
      <c r="G3060" s="3278">
        <v>75680</v>
      </c>
      <c r="H3060" s="3299">
        <v>0</v>
      </c>
      <c r="I3060" s="3278">
        <v>0</v>
      </c>
    </row>
    <row r="3061" ht="12.75" customHeight="1" spans="2:9">
      <c r="B3061" s="3274">
        <v>1995</v>
      </c>
      <c r="D3061" s="3297" t="s">
        <v>8416</v>
      </c>
      <c r="E3061" s="3298" t="s">
        <v>8417</v>
      </c>
      <c r="F3061" s="3298" t="s">
        <v>2321</v>
      </c>
      <c r="G3061" s="3278">
        <v>122650</v>
      </c>
      <c r="H3061" s="3299">
        <v>0</v>
      </c>
      <c r="I3061" s="3278">
        <v>0</v>
      </c>
    </row>
    <row r="3062" ht="12.75" customHeight="1" spans="2:9">
      <c r="B3062" s="3274">
        <v>1996</v>
      </c>
      <c r="D3062" s="3297" t="s">
        <v>8418</v>
      </c>
      <c r="E3062" s="3298" t="s">
        <v>8419</v>
      </c>
      <c r="F3062" s="3298" t="s">
        <v>2637</v>
      </c>
      <c r="G3062" s="3278">
        <v>75700</v>
      </c>
      <c r="H3062" s="3299">
        <v>0</v>
      </c>
      <c r="I3062" s="3278">
        <v>0</v>
      </c>
    </row>
    <row r="3063" ht="12.75" customHeight="1" spans="2:9">
      <c r="B3063" s="3274">
        <v>1997</v>
      </c>
      <c r="D3063" s="3297" t="s">
        <v>8420</v>
      </c>
      <c r="E3063" s="3298" t="s">
        <v>8421</v>
      </c>
      <c r="F3063" s="3298" t="s">
        <v>3056</v>
      </c>
      <c r="G3063" s="3278">
        <v>6057.3369</v>
      </c>
      <c r="H3063" s="3299">
        <v>0</v>
      </c>
      <c r="I3063" s="3278">
        <v>0</v>
      </c>
    </row>
    <row r="3064" ht="12.75" customHeight="1" spans="2:9">
      <c r="B3064" s="3274">
        <v>1998</v>
      </c>
      <c r="D3064" s="3297" t="s">
        <v>8422</v>
      </c>
      <c r="E3064" s="3298" t="s">
        <v>8423</v>
      </c>
      <c r="F3064" s="3298" t="s">
        <v>3056</v>
      </c>
      <c r="G3064" s="3278">
        <v>13020</v>
      </c>
      <c r="H3064" s="3299">
        <v>0</v>
      </c>
      <c r="I3064" s="3278">
        <v>0</v>
      </c>
    </row>
    <row r="3065" ht="12.75" customHeight="1" spans="2:9">
      <c r="B3065" s="3274">
        <v>1999</v>
      </c>
      <c r="D3065" s="3297" t="s">
        <v>8424</v>
      </c>
      <c r="E3065" s="3298" t="s">
        <v>8425</v>
      </c>
      <c r="F3065" s="3298" t="s">
        <v>3042</v>
      </c>
      <c r="G3065" s="3278">
        <v>15000</v>
      </c>
      <c r="H3065" s="3299">
        <v>0</v>
      </c>
      <c r="I3065" s="3278">
        <v>0</v>
      </c>
    </row>
    <row r="3066" ht="12.75" customHeight="1" spans="2:9">
      <c r="B3066" s="3274">
        <v>2000</v>
      </c>
      <c r="D3066" s="3297" t="s">
        <v>8426</v>
      </c>
      <c r="E3066" s="3298" t="s">
        <v>8427</v>
      </c>
      <c r="F3066" s="3298" t="s">
        <v>4351</v>
      </c>
      <c r="G3066" s="3278">
        <v>5900</v>
      </c>
      <c r="H3066" s="3299">
        <v>0</v>
      </c>
      <c r="I3066" s="3278">
        <v>0</v>
      </c>
    </row>
    <row r="3067" ht="12.75" customHeight="1" spans="2:9">
      <c r="B3067" s="3274">
        <v>2001</v>
      </c>
      <c r="D3067" s="3297" t="s">
        <v>8428</v>
      </c>
      <c r="E3067" s="3298" t="s">
        <v>8429</v>
      </c>
      <c r="F3067" s="3298" t="s">
        <v>2299</v>
      </c>
      <c r="G3067" s="3278">
        <v>19360</v>
      </c>
      <c r="H3067" s="3299">
        <v>0</v>
      </c>
      <c r="I3067" s="3278">
        <v>0</v>
      </c>
    </row>
    <row r="3068" ht="12.75" customHeight="1" spans="2:9">
      <c r="B3068" s="3274">
        <v>2002</v>
      </c>
      <c r="D3068" s="3297" t="s">
        <v>8430</v>
      </c>
      <c r="E3068" s="3298" t="s">
        <v>8431</v>
      </c>
      <c r="F3068" s="3298" t="s">
        <v>2321</v>
      </c>
      <c r="G3068" s="3278">
        <v>60000.007</v>
      </c>
      <c r="H3068" s="3299">
        <v>0</v>
      </c>
      <c r="I3068" s="3278">
        <v>0</v>
      </c>
    </row>
    <row r="3069" ht="12.75" customHeight="1" spans="2:9">
      <c r="B3069" s="3274">
        <v>2003</v>
      </c>
      <c r="D3069" s="3297" t="s">
        <v>8432</v>
      </c>
      <c r="E3069" s="3298" t="s">
        <v>8433</v>
      </c>
      <c r="F3069" s="3298" t="s">
        <v>2637</v>
      </c>
      <c r="G3069" s="3278">
        <v>62500.0105</v>
      </c>
      <c r="H3069" s="3299">
        <v>0</v>
      </c>
      <c r="I3069" s="3278">
        <v>0</v>
      </c>
    </row>
    <row r="3070" ht="12.75" customHeight="1" spans="2:9">
      <c r="B3070" s="3274">
        <v>2004</v>
      </c>
      <c r="D3070" s="3297" t="s">
        <v>8434</v>
      </c>
      <c r="E3070" s="3298" t="s">
        <v>8435</v>
      </c>
      <c r="F3070" s="3298" t="s">
        <v>2457</v>
      </c>
      <c r="G3070" s="3278">
        <v>20620.6</v>
      </c>
      <c r="H3070" s="3299">
        <v>0</v>
      </c>
      <c r="I3070" s="3278">
        <v>0</v>
      </c>
    </row>
    <row r="3071" ht="12.75" customHeight="1" spans="2:9">
      <c r="B3071" s="3274">
        <v>2005</v>
      </c>
      <c r="D3071" s="3297" t="s">
        <v>8436</v>
      </c>
      <c r="E3071" s="3298" t="s">
        <v>8437</v>
      </c>
      <c r="F3071" s="3298" t="s">
        <v>2457</v>
      </c>
      <c r="G3071" s="3278">
        <v>20620.6</v>
      </c>
      <c r="H3071" s="3299">
        <v>0</v>
      </c>
      <c r="I3071" s="3278">
        <v>0</v>
      </c>
    </row>
    <row r="3072" ht="12.75" customHeight="1" spans="2:9">
      <c r="B3072" s="3274">
        <v>2006</v>
      </c>
      <c r="D3072" s="3297" t="s">
        <v>8438</v>
      </c>
      <c r="E3072" s="3298" t="s">
        <v>8439</v>
      </c>
      <c r="F3072" s="3298" t="s">
        <v>3056</v>
      </c>
      <c r="G3072" s="3278">
        <v>4400</v>
      </c>
      <c r="H3072" s="3299">
        <v>0</v>
      </c>
      <c r="I3072" s="3278">
        <v>0</v>
      </c>
    </row>
    <row r="3073" ht="12.75" customHeight="1" spans="2:9">
      <c r="B3073" s="3274">
        <v>2007</v>
      </c>
      <c r="D3073" s="3297" t="s">
        <v>8440</v>
      </c>
      <c r="E3073" s="3298" t="s">
        <v>8441</v>
      </c>
      <c r="F3073" s="3298" t="s">
        <v>3056</v>
      </c>
      <c r="G3073" s="3278">
        <v>14300</v>
      </c>
      <c r="H3073" s="3299">
        <v>0</v>
      </c>
      <c r="I3073" s="3278">
        <v>0</v>
      </c>
    </row>
    <row r="3074" ht="12.75" customHeight="1" spans="2:9">
      <c r="B3074" s="3274">
        <v>2008</v>
      </c>
      <c r="D3074" s="3297" t="s">
        <v>8442</v>
      </c>
      <c r="E3074" s="3298" t="s">
        <v>8443</v>
      </c>
      <c r="F3074" s="3298" t="s">
        <v>3056</v>
      </c>
      <c r="G3074" s="3278">
        <v>1927.002</v>
      </c>
      <c r="H3074" s="3299">
        <v>0</v>
      </c>
      <c r="I3074" s="3278">
        <v>0</v>
      </c>
    </row>
    <row r="3075" ht="12.75" customHeight="1" spans="2:9">
      <c r="B3075" s="3274">
        <v>2009</v>
      </c>
      <c r="D3075" s="3297" t="s">
        <v>8444</v>
      </c>
      <c r="E3075" s="3298" t="s">
        <v>8445</v>
      </c>
      <c r="F3075" s="3298" t="s">
        <v>4351</v>
      </c>
      <c r="G3075" s="3278">
        <v>12570.1727</v>
      </c>
      <c r="H3075" s="3299">
        <v>0</v>
      </c>
      <c r="I3075" s="3278">
        <v>0</v>
      </c>
    </row>
    <row r="3076" ht="12.75" customHeight="1" spans="2:9">
      <c r="B3076" s="3274">
        <v>2010</v>
      </c>
      <c r="D3076" s="3297" t="s">
        <v>8446</v>
      </c>
      <c r="E3076" s="3298" t="s">
        <v>8447</v>
      </c>
      <c r="F3076" s="3298" t="s">
        <v>4351</v>
      </c>
      <c r="G3076" s="3278">
        <v>31036</v>
      </c>
      <c r="H3076" s="3299">
        <v>0</v>
      </c>
      <c r="I3076" s="3278">
        <v>0</v>
      </c>
    </row>
    <row r="3077" ht="12.75" customHeight="1" spans="2:9">
      <c r="B3077" s="3274">
        <v>2011</v>
      </c>
      <c r="D3077" s="3297" t="s">
        <v>8448</v>
      </c>
      <c r="E3077" s="3298" t="s">
        <v>8449</v>
      </c>
      <c r="F3077" s="3298" t="s">
        <v>3056</v>
      </c>
      <c r="G3077" s="3278">
        <v>1170</v>
      </c>
      <c r="H3077" s="3299">
        <v>0</v>
      </c>
      <c r="I3077" s="3278">
        <v>0</v>
      </c>
    </row>
    <row r="3078" ht="12.75" customHeight="1" spans="2:9">
      <c r="B3078" s="3274">
        <v>2012</v>
      </c>
      <c r="D3078" s="3297" t="s">
        <v>8450</v>
      </c>
      <c r="E3078" s="3298" t="s">
        <v>8451</v>
      </c>
      <c r="F3078" s="3298" t="s">
        <v>2321</v>
      </c>
      <c r="G3078" s="3278">
        <v>33000</v>
      </c>
      <c r="H3078" s="3299">
        <v>0</v>
      </c>
      <c r="I3078" s="3278">
        <v>0</v>
      </c>
    </row>
    <row r="3079" ht="12.75" customHeight="1" spans="2:9">
      <c r="B3079" s="3274">
        <v>2013</v>
      </c>
      <c r="D3079" s="3297" t="s">
        <v>8452</v>
      </c>
      <c r="E3079" s="3298" t="s">
        <v>8453</v>
      </c>
      <c r="F3079" s="3298" t="s">
        <v>3045</v>
      </c>
      <c r="G3079" s="3278">
        <v>110000</v>
      </c>
      <c r="H3079" s="3299">
        <v>0</v>
      </c>
      <c r="I3079" s="3278">
        <v>0</v>
      </c>
    </row>
    <row r="3080" ht="12.75" customHeight="1" spans="2:9">
      <c r="B3080" s="3274">
        <v>2014</v>
      </c>
      <c r="D3080" s="3297" t="s">
        <v>8454</v>
      </c>
      <c r="E3080" s="3298" t="s">
        <v>8455</v>
      </c>
      <c r="F3080" s="3298" t="s">
        <v>3056</v>
      </c>
      <c r="G3080" s="3278">
        <v>4999.995</v>
      </c>
      <c r="H3080" s="3299">
        <v>0</v>
      </c>
      <c r="I3080" s="3278">
        <v>0</v>
      </c>
    </row>
    <row r="3081" ht="12.75" customHeight="1" spans="2:9">
      <c r="B3081" s="3274">
        <v>2015</v>
      </c>
      <c r="D3081" s="3297" t="s">
        <v>8456</v>
      </c>
      <c r="E3081" s="3298" t="s">
        <v>8457</v>
      </c>
      <c r="F3081" s="3298" t="s">
        <v>3056</v>
      </c>
      <c r="G3081" s="3278">
        <v>383</v>
      </c>
      <c r="H3081" s="3299">
        <v>0</v>
      </c>
      <c r="I3081" s="3278">
        <v>0</v>
      </c>
    </row>
    <row r="3082" ht="12.75" customHeight="1" spans="2:9">
      <c r="B3082" s="3274">
        <v>2016</v>
      </c>
      <c r="D3082" s="3297" t="s">
        <v>8458</v>
      </c>
      <c r="E3082" s="3298" t="s">
        <v>8459</v>
      </c>
      <c r="F3082" s="3298" t="s">
        <v>2321</v>
      </c>
      <c r="G3082" s="3278">
        <v>39930</v>
      </c>
      <c r="H3082" s="3299">
        <v>0</v>
      </c>
      <c r="I3082" s="3278">
        <v>0</v>
      </c>
    </row>
    <row r="3083" ht="12.75" customHeight="1" spans="2:9">
      <c r="B3083" s="3274">
        <v>2017</v>
      </c>
      <c r="D3083" s="3297" t="s">
        <v>8460</v>
      </c>
      <c r="E3083" s="3298" t="s">
        <v>8461</v>
      </c>
      <c r="F3083" s="3298" t="s">
        <v>3042</v>
      </c>
      <c r="G3083" s="3278">
        <v>108804.3</v>
      </c>
      <c r="H3083" s="3299">
        <v>0</v>
      </c>
      <c r="I3083" s="3278">
        <v>0</v>
      </c>
    </row>
    <row r="3084" ht="12.75" customHeight="1" spans="2:9">
      <c r="B3084" s="3274">
        <v>2018</v>
      </c>
      <c r="D3084" s="3297" t="s">
        <v>8462</v>
      </c>
      <c r="E3084" s="3298" t="s">
        <v>8463</v>
      </c>
      <c r="F3084" s="3298" t="s">
        <v>3042</v>
      </c>
      <c r="G3084" s="3278">
        <v>109203.6</v>
      </c>
      <c r="H3084" s="3299">
        <v>0</v>
      </c>
      <c r="I3084" s="3278">
        <v>0</v>
      </c>
    </row>
    <row r="3085" ht="12.75" customHeight="1" spans="2:9">
      <c r="B3085" s="3274">
        <v>2019</v>
      </c>
      <c r="D3085" s="3297" t="s">
        <v>8464</v>
      </c>
      <c r="E3085" s="3298" t="s">
        <v>8465</v>
      </c>
      <c r="F3085" s="3298" t="s">
        <v>2299</v>
      </c>
      <c r="G3085" s="3278">
        <v>27830</v>
      </c>
      <c r="H3085" s="3299">
        <v>0</v>
      </c>
      <c r="I3085" s="3278">
        <v>0</v>
      </c>
    </row>
    <row r="3086" ht="12.75" customHeight="1" spans="2:9">
      <c r="B3086" s="3274">
        <v>2020</v>
      </c>
      <c r="D3086" s="3297" t="s">
        <v>8466</v>
      </c>
      <c r="E3086" s="3298" t="s">
        <v>8467</v>
      </c>
      <c r="F3086" s="3298" t="s">
        <v>3056</v>
      </c>
      <c r="G3086" s="3278">
        <v>3300</v>
      </c>
      <c r="H3086" s="3299">
        <v>0</v>
      </c>
      <c r="I3086" s="3278">
        <v>0</v>
      </c>
    </row>
    <row r="3087" ht="12.75" customHeight="1" spans="2:9">
      <c r="B3087" s="3274">
        <v>2021</v>
      </c>
      <c r="D3087" s="3297" t="s">
        <v>8468</v>
      </c>
      <c r="E3087" s="3298" t="s">
        <v>8469</v>
      </c>
      <c r="F3087" s="3298" t="s">
        <v>3412</v>
      </c>
      <c r="G3087" s="3278">
        <v>31900</v>
      </c>
      <c r="H3087" s="3299">
        <v>0</v>
      </c>
      <c r="I3087" s="3278">
        <v>0</v>
      </c>
    </row>
    <row r="3088" ht="12.75" customHeight="1" spans="2:9">
      <c r="B3088" s="3274">
        <v>2022</v>
      </c>
      <c r="D3088" s="3297" t="s">
        <v>8470</v>
      </c>
      <c r="E3088" s="3298" t="s">
        <v>8471</v>
      </c>
      <c r="F3088" s="3298" t="s">
        <v>4351</v>
      </c>
      <c r="G3088" s="3278">
        <v>1823.063</v>
      </c>
      <c r="H3088" s="3299">
        <v>0</v>
      </c>
      <c r="I3088" s="3278">
        <v>0</v>
      </c>
    </row>
    <row r="3089" ht="12.75" customHeight="1" spans="2:9">
      <c r="B3089" s="3274">
        <v>2023</v>
      </c>
      <c r="D3089" s="3297" t="s">
        <v>8472</v>
      </c>
      <c r="E3089" s="3298" t="s">
        <v>8473</v>
      </c>
      <c r="F3089" s="3298" t="s">
        <v>3056</v>
      </c>
      <c r="G3089" s="3278">
        <v>49500</v>
      </c>
      <c r="H3089" s="3299">
        <v>0</v>
      </c>
      <c r="I3089" s="3278">
        <v>0</v>
      </c>
    </row>
    <row r="3090" ht="12.75" customHeight="1" spans="2:9">
      <c r="B3090" s="3274">
        <v>2024</v>
      </c>
      <c r="D3090" s="3297" t="s">
        <v>8474</v>
      </c>
      <c r="E3090" s="3298" t="s">
        <v>8475</v>
      </c>
      <c r="F3090" s="3298" t="s">
        <v>2637</v>
      </c>
      <c r="G3090" s="3278">
        <v>65000.1</v>
      </c>
      <c r="H3090" s="3299">
        <v>0</v>
      </c>
      <c r="I3090" s="3278">
        <v>0</v>
      </c>
    </row>
    <row r="3091" ht="12.75" customHeight="1" spans="2:9">
      <c r="B3091" s="3274">
        <v>2025</v>
      </c>
      <c r="D3091" s="3297" t="s">
        <v>8476</v>
      </c>
      <c r="E3091" s="3298" t="s">
        <v>8477</v>
      </c>
      <c r="F3091" s="3298" t="s">
        <v>4757</v>
      </c>
      <c r="G3091" s="3278">
        <v>4538.325</v>
      </c>
      <c r="H3091" s="3299">
        <v>0</v>
      </c>
      <c r="I3091" s="3278">
        <v>0</v>
      </c>
    </row>
    <row r="3092" ht="12.75" customHeight="1" spans="2:9">
      <c r="B3092" s="3274">
        <v>2026</v>
      </c>
      <c r="D3092" s="3297" t="s">
        <v>8478</v>
      </c>
      <c r="E3092" s="3298" t="s">
        <v>8479</v>
      </c>
      <c r="F3092" s="3298" t="s">
        <v>4757</v>
      </c>
      <c r="G3092" s="3278">
        <v>0</v>
      </c>
      <c r="H3092" s="3299">
        <v>0</v>
      </c>
      <c r="I3092" s="3278">
        <v>0</v>
      </c>
    </row>
    <row r="3093" ht="12.75" customHeight="1" spans="2:9">
      <c r="B3093" s="3274">
        <v>2027</v>
      </c>
      <c r="D3093" s="3297" t="s">
        <v>8480</v>
      </c>
      <c r="E3093" s="3298" t="s">
        <v>8481</v>
      </c>
      <c r="F3093" s="3298" t="s">
        <v>2637</v>
      </c>
      <c r="G3093" s="3278">
        <v>8396.663</v>
      </c>
      <c r="H3093" s="3299">
        <v>18</v>
      </c>
      <c r="I3093" s="3278">
        <v>151139.934</v>
      </c>
    </row>
    <row r="3094" ht="12.75" customHeight="1" spans="2:9">
      <c r="B3094" s="3274">
        <v>2028</v>
      </c>
      <c r="D3094" s="3297" t="s">
        <v>8482</v>
      </c>
      <c r="E3094" s="3298" t="s">
        <v>8483</v>
      </c>
      <c r="F3094" s="3298" t="s">
        <v>2637</v>
      </c>
      <c r="G3094" s="3278">
        <v>71995</v>
      </c>
      <c r="H3094" s="3299">
        <v>3</v>
      </c>
      <c r="I3094" s="3278">
        <v>215985</v>
      </c>
    </row>
    <row r="3095" ht="12.75" customHeight="1" spans="2:9">
      <c r="B3095" s="3274">
        <v>2029</v>
      </c>
      <c r="D3095" s="3297" t="s">
        <v>8484</v>
      </c>
      <c r="E3095" s="3298" t="s">
        <v>8485</v>
      </c>
      <c r="F3095" s="3298" t="s">
        <v>2321</v>
      </c>
      <c r="G3095" s="3278">
        <v>385000</v>
      </c>
      <c r="H3095" s="3299">
        <v>0</v>
      </c>
      <c r="I3095" s="3278">
        <v>0</v>
      </c>
    </row>
    <row r="3096" ht="12.75" customHeight="1" spans="2:9">
      <c r="B3096" s="3274">
        <v>2030</v>
      </c>
      <c r="D3096" s="3297" t="s">
        <v>8486</v>
      </c>
      <c r="E3096" s="3298" t="s">
        <v>8487</v>
      </c>
      <c r="F3096" s="3298" t="s">
        <v>3056</v>
      </c>
      <c r="G3096" s="3278">
        <v>1100</v>
      </c>
      <c r="H3096" s="3299">
        <v>0</v>
      </c>
      <c r="I3096" s="3278">
        <v>0</v>
      </c>
    </row>
    <row r="3097" ht="12.75" customHeight="1" spans="2:9">
      <c r="B3097" s="3274">
        <v>2031</v>
      </c>
      <c r="D3097" s="3297" t="s">
        <v>8488</v>
      </c>
      <c r="E3097" s="3298" t="s">
        <v>8489</v>
      </c>
      <c r="F3097" s="3298" t="s">
        <v>3042</v>
      </c>
      <c r="G3097" s="3278">
        <v>8520.05</v>
      </c>
      <c r="H3097" s="3299">
        <v>0</v>
      </c>
      <c r="I3097" s="3278">
        <v>0</v>
      </c>
    </row>
    <row r="3098" ht="12.75" customHeight="1" spans="2:9">
      <c r="B3098" s="3274">
        <v>2032</v>
      </c>
      <c r="D3098" s="3297" t="s">
        <v>8490</v>
      </c>
      <c r="E3098" s="3298" t="s">
        <v>8491</v>
      </c>
      <c r="F3098" s="3298" t="s">
        <v>3056</v>
      </c>
      <c r="G3098" s="3278">
        <v>715</v>
      </c>
      <c r="H3098" s="3299">
        <v>0</v>
      </c>
      <c r="I3098" s="3278">
        <v>0</v>
      </c>
    </row>
    <row r="3099" ht="12.75" customHeight="1" spans="2:9">
      <c r="B3099" s="3274">
        <v>2033</v>
      </c>
      <c r="D3099" s="3297" t="s">
        <v>8492</v>
      </c>
      <c r="E3099" s="3298" t="s">
        <v>8493</v>
      </c>
      <c r="F3099" s="3298" t="s">
        <v>3056</v>
      </c>
      <c r="G3099" s="3278">
        <v>3740</v>
      </c>
      <c r="H3099" s="3299">
        <v>700</v>
      </c>
      <c r="I3099" s="3278">
        <v>2618000</v>
      </c>
    </row>
    <row r="3100" ht="12.75" customHeight="1" spans="2:9">
      <c r="B3100" s="3274">
        <v>2034</v>
      </c>
      <c r="D3100" s="3297" t="s">
        <v>8494</v>
      </c>
      <c r="E3100" s="3298" t="s">
        <v>8495</v>
      </c>
      <c r="F3100" s="3298" t="s">
        <v>3056</v>
      </c>
      <c r="G3100" s="3278">
        <v>2920.225</v>
      </c>
      <c r="H3100" s="3299">
        <v>0</v>
      </c>
      <c r="I3100" s="3278">
        <v>0</v>
      </c>
    </row>
    <row r="3101" ht="12.75" customHeight="1" spans="2:9">
      <c r="B3101" s="3274">
        <v>2035</v>
      </c>
      <c r="D3101" s="3297" t="s">
        <v>8496</v>
      </c>
      <c r="E3101" s="3298" t="s">
        <v>8497</v>
      </c>
      <c r="F3101" s="3298" t="s">
        <v>3042</v>
      </c>
      <c r="G3101" s="3278">
        <v>9487.5</v>
      </c>
      <c r="H3101" s="3299">
        <v>0</v>
      </c>
      <c r="I3101" s="3278">
        <v>0</v>
      </c>
    </row>
    <row r="3102" ht="12.75" customHeight="1" spans="2:9">
      <c r="B3102" s="3274">
        <v>2036</v>
      </c>
      <c r="D3102" s="3297" t="s">
        <v>8498</v>
      </c>
      <c r="E3102" s="3298" t="s">
        <v>8499</v>
      </c>
      <c r="F3102" s="3298" t="s">
        <v>3056</v>
      </c>
      <c r="G3102" s="3278">
        <v>2041.875</v>
      </c>
      <c r="H3102" s="3299">
        <v>0</v>
      </c>
      <c r="I3102" s="3278">
        <v>0</v>
      </c>
    </row>
    <row r="3103" ht="12.75" customHeight="1" spans="2:9">
      <c r="B3103" s="3274">
        <v>2037</v>
      </c>
      <c r="D3103" s="3297" t="s">
        <v>8500</v>
      </c>
      <c r="E3103" s="3298" t="s">
        <v>8501</v>
      </c>
      <c r="F3103" s="3298" t="s">
        <v>2321</v>
      </c>
      <c r="G3103" s="3278">
        <v>30910</v>
      </c>
      <c r="H3103" s="3299">
        <v>35</v>
      </c>
      <c r="I3103" s="3278">
        <v>1081850</v>
      </c>
    </row>
    <row r="3104" ht="12.75" customHeight="1" spans="2:9">
      <c r="B3104" s="3274">
        <v>2038</v>
      </c>
      <c r="D3104" s="3297" t="s">
        <v>8502</v>
      </c>
      <c r="E3104" s="3298" t="s">
        <v>8503</v>
      </c>
      <c r="F3104" s="3298" t="s">
        <v>3423</v>
      </c>
      <c r="G3104" s="3278">
        <v>139332.9953</v>
      </c>
      <c r="H3104" s="3299">
        <v>0</v>
      </c>
      <c r="I3104" s="3278">
        <v>0</v>
      </c>
    </row>
    <row r="3105" ht="12.75" customHeight="1" spans="2:9">
      <c r="B3105" s="3274">
        <v>2039</v>
      </c>
      <c r="D3105" s="3297" t="s">
        <v>8504</v>
      </c>
      <c r="E3105" s="3298" t="s">
        <v>8505</v>
      </c>
      <c r="F3105" s="3298" t="s">
        <v>3042</v>
      </c>
      <c r="G3105" s="3278">
        <v>0</v>
      </c>
      <c r="H3105" s="3299">
        <v>0</v>
      </c>
      <c r="I3105" s="3278">
        <v>0</v>
      </c>
    </row>
    <row r="3106" ht="12.75" customHeight="1" spans="2:9">
      <c r="B3106" s="3274">
        <v>2040</v>
      </c>
      <c r="D3106" s="3297" t="s">
        <v>8506</v>
      </c>
      <c r="E3106" s="3298" t="s">
        <v>8507</v>
      </c>
      <c r="F3106" s="3298" t="s">
        <v>2299</v>
      </c>
      <c r="G3106" s="3278">
        <v>15730</v>
      </c>
      <c r="H3106" s="3299">
        <v>0</v>
      </c>
      <c r="I3106" s="3278">
        <v>0</v>
      </c>
    </row>
    <row r="3107" ht="12.75" customHeight="1" spans="2:9">
      <c r="B3107" s="3274">
        <v>2041</v>
      </c>
      <c r="D3107" s="3297" t="s">
        <v>8508</v>
      </c>
      <c r="E3107" s="3298" t="s">
        <v>8509</v>
      </c>
      <c r="F3107" s="3298" t="s">
        <v>2637</v>
      </c>
      <c r="G3107" s="3278">
        <v>77000</v>
      </c>
      <c r="H3107" s="3299">
        <v>0</v>
      </c>
      <c r="I3107" s="3278">
        <v>0</v>
      </c>
    </row>
    <row r="3108" ht="12.75" customHeight="1" spans="2:9">
      <c r="B3108" s="3274">
        <v>2042</v>
      </c>
      <c r="D3108" s="3297" t="s">
        <v>8510</v>
      </c>
      <c r="E3108" s="3298" t="s">
        <v>8511</v>
      </c>
      <c r="F3108" s="3298" t="s">
        <v>2457</v>
      </c>
      <c r="G3108" s="3278">
        <v>12532.3</v>
      </c>
      <c r="H3108" s="3299">
        <v>0</v>
      </c>
      <c r="I3108" s="3278">
        <v>0</v>
      </c>
    </row>
    <row r="3109" ht="12.75" customHeight="1" spans="2:9">
      <c r="B3109" s="3274">
        <v>2043</v>
      </c>
      <c r="D3109" s="3297" t="s">
        <v>8512</v>
      </c>
      <c r="E3109" s="3298" t="s">
        <v>8513</v>
      </c>
      <c r="F3109" s="3298" t="s">
        <v>2457</v>
      </c>
      <c r="G3109" s="3278">
        <v>12518</v>
      </c>
      <c r="H3109" s="3299">
        <v>0</v>
      </c>
      <c r="I3109" s="3278">
        <v>0</v>
      </c>
    </row>
    <row r="3110" ht="12.75" customHeight="1" spans="2:9">
      <c r="B3110" s="3274">
        <v>2044</v>
      </c>
      <c r="D3110" s="3297" t="s">
        <v>8514</v>
      </c>
      <c r="E3110" s="3298" t="s">
        <v>8515</v>
      </c>
      <c r="F3110" s="3298" t="s">
        <v>2457</v>
      </c>
      <c r="G3110" s="3278">
        <v>13552</v>
      </c>
      <c r="H3110" s="3299">
        <v>0</v>
      </c>
      <c r="I3110" s="3278">
        <v>0</v>
      </c>
    </row>
    <row r="3111" ht="12.75" customHeight="1" spans="2:9">
      <c r="B3111" s="3274">
        <v>2045</v>
      </c>
      <c r="D3111" s="3297" t="s">
        <v>8516</v>
      </c>
      <c r="E3111" s="3298" t="s">
        <v>8517</v>
      </c>
      <c r="F3111" s="3298" t="s">
        <v>2457</v>
      </c>
      <c r="G3111" s="3278">
        <v>21772.3</v>
      </c>
      <c r="H3111" s="3299">
        <v>0</v>
      </c>
      <c r="I3111" s="3278">
        <v>0</v>
      </c>
    </row>
    <row r="3112" ht="12.75" customHeight="1" spans="2:9">
      <c r="B3112" s="3274">
        <v>2046</v>
      </c>
      <c r="D3112" s="3297" t="s">
        <v>8518</v>
      </c>
      <c r="E3112" s="3298" t="s">
        <v>8519</v>
      </c>
      <c r="F3112" s="3298" t="s">
        <v>2457</v>
      </c>
      <c r="G3112" s="3278">
        <v>21772.3</v>
      </c>
      <c r="H3112" s="3299">
        <v>0</v>
      </c>
      <c r="I3112" s="3278">
        <v>0</v>
      </c>
    </row>
    <row r="3113" ht="12.75" customHeight="1" spans="2:9">
      <c r="B3113" s="3274">
        <v>2047</v>
      </c>
      <c r="D3113" s="3297" t="s">
        <v>8520</v>
      </c>
      <c r="E3113" s="3298" t="s">
        <v>8521</v>
      </c>
      <c r="F3113" s="3298" t="s">
        <v>2457</v>
      </c>
      <c r="G3113" s="3278">
        <v>11345.4</v>
      </c>
      <c r="H3113" s="3299">
        <v>0</v>
      </c>
      <c r="I3113" s="3278">
        <v>0</v>
      </c>
    </row>
    <row r="3114" ht="12.75" customHeight="1" spans="2:9">
      <c r="B3114" s="3274">
        <v>2048</v>
      </c>
      <c r="D3114" s="3297" t="s">
        <v>8522</v>
      </c>
      <c r="E3114" s="3298" t="s">
        <v>8523</v>
      </c>
      <c r="F3114" s="3298" t="s">
        <v>2457</v>
      </c>
      <c r="G3114" s="3278">
        <v>13420</v>
      </c>
      <c r="H3114" s="3299">
        <v>0</v>
      </c>
      <c r="I3114" s="3278">
        <v>0</v>
      </c>
    </row>
    <row r="3115" ht="12.75" customHeight="1" spans="2:9">
      <c r="B3115" s="3274">
        <v>2049</v>
      </c>
      <c r="D3115" s="3297" t="s">
        <v>8524</v>
      </c>
      <c r="E3115" s="3298" t="s">
        <v>8525</v>
      </c>
      <c r="F3115" s="3298" t="s">
        <v>2457</v>
      </c>
      <c r="G3115" s="3278">
        <v>12532.3</v>
      </c>
      <c r="H3115" s="3299">
        <v>0</v>
      </c>
      <c r="I3115" s="3278">
        <v>0</v>
      </c>
    </row>
    <row r="3116" ht="12.75" customHeight="1" spans="2:9">
      <c r="B3116" s="3274">
        <v>2050</v>
      </c>
      <c r="D3116" s="3297" t="s">
        <v>8526</v>
      </c>
      <c r="E3116" s="3298" t="s">
        <v>8527</v>
      </c>
      <c r="F3116" s="3298" t="s">
        <v>2457</v>
      </c>
      <c r="G3116" s="3278">
        <v>12532.3</v>
      </c>
      <c r="H3116" s="3299">
        <v>0</v>
      </c>
      <c r="I3116" s="3278">
        <v>0</v>
      </c>
    </row>
    <row r="3117" ht="12.75" customHeight="1" spans="2:9">
      <c r="B3117" s="3274">
        <v>2051</v>
      </c>
      <c r="D3117" s="3297" t="s">
        <v>8528</v>
      </c>
      <c r="E3117" s="3298" t="s">
        <v>8529</v>
      </c>
      <c r="F3117" s="3298" t="s">
        <v>2457</v>
      </c>
      <c r="G3117" s="3278">
        <v>12532.3</v>
      </c>
      <c r="H3117" s="3299">
        <v>0</v>
      </c>
      <c r="I3117" s="3278">
        <v>0</v>
      </c>
    </row>
    <row r="3118" ht="12.75" customHeight="1" spans="2:9">
      <c r="B3118" s="3274">
        <v>2052</v>
      </c>
      <c r="D3118" s="3297" t="s">
        <v>8530</v>
      </c>
      <c r="E3118" s="3298" t="s">
        <v>8531</v>
      </c>
      <c r="F3118" s="3298" t="s">
        <v>2457</v>
      </c>
      <c r="G3118" s="3278">
        <v>11345.4</v>
      </c>
      <c r="H3118" s="3299">
        <v>0</v>
      </c>
      <c r="I3118" s="3278">
        <v>0</v>
      </c>
    </row>
    <row r="3119" ht="12.75" customHeight="1" spans="2:9">
      <c r="B3119" s="3274">
        <v>2053</v>
      </c>
      <c r="D3119" s="3297" t="s">
        <v>8532</v>
      </c>
      <c r="E3119" s="3298" t="s">
        <v>8533</v>
      </c>
      <c r="F3119" s="3298" t="s">
        <v>776</v>
      </c>
      <c r="G3119" s="3278">
        <v>4400</v>
      </c>
      <c r="H3119" s="3299">
        <v>300</v>
      </c>
      <c r="I3119" s="3278">
        <v>1320000</v>
      </c>
    </row>
    <row r="3120" ht="12.75" customHeight="1" spans="2:9">
      <c r="B3120" s="3274">
        <v>2054</v>
      </c>
      <c r="D3120" s="3297" t="s">
        <v>8534</v>
      </c>
      <c r="E3120" s="3298" t="s">
        <v>8535</v>
      </c>
      <c r="F3120" s="3298" t="s">
        <v>3056</v>
      </c>
      <c r="G3120" s="3278">
        <v>0</v>
      </c>
      <c r="H3120" s="3299">
        <v>0</v>
      </c>
      <c r="I3120" s="3278">
        <v>0</v>
      </c>
    </row>
    <row r="3121" ht="12.75" customHeight="1" spans="2:9">
      <c r="B3121" s="3274">
        <v>2055</v>
      </c>
      <c r="D3121" s="3297" t="s">
        <v>8536</v>
      </c>
      <c r="E3121" s="3298" t="s">
        <v>8537</v>
      </c>
      <c r="F3121" s="3298" t="s">
        <v>2321</v>
      </c>
      <c r="G3121" s="3278">
        <v>12921.942</v>
      </c>
      <c r="H3121" s="3299">
        <v>0</v>
      </c>
      <c r="I3121" s="3278">
        <v>0</v>
      </c>
    </row>
    <row r="3122" ht="12.75" customHeight="1" spans="2:9">
      <c r="B3122" s="3274">
        <v>2056</v>
      </c>
      <c r="D3122" s="3297" t="s">
        <v>8538</v>
      </c>
      <c r="E3122" s="3298" t="s">
        <v>8539</v>
      </c>
      <c r="F3122" s="3298" t="s">
        <v>2321</v>
      </c>
      <c r="G3122" s="3278">
        <v>22750.002</v>
      </c>
      <c r="H3122" s="3299">
        <v>0</v>
      </c>
      <c r="I3122" s="3278">
        <v>0</v>
      </c>
    </row>
    <row r="3123" ht="12.75" customHeight="1" spans="2:9">
      <c r="B3123" s="3274">
        <v>2057</v>
      </c>
      <c r="D3123" s="3297" t="s">
        <v>8540</v>
      </c>
      <c r="E3123" s="3298" t="s">
        <v>8541</v>
      </c>
      <c r="F3123" s="3298" t="s">
        <v>2321</v>
      </c>
      <c r="G3123" s="3278">
        <v>20159.997</v>
      </c>
      <c r="H3123" s="3299">
        <v>0</v>
      </c>
      <c r="I3123" s="3278">
        <v>0</v>
      </c>
    </row>
    <row r="3124" ht="12.75" customHeight="1" spans="2:9">
      <c r="B3124" s="3274">
        <v>2058</v>
      </c>
      <c r="D3124" s="3297" t="s">
        <v>8542</v>
      </c>
      <c r="E3124" s="3298" t="s">
        <v>8543</v>
      </c>
      <c r="F3124" s="3298" t="s">
        <v>2321</v>
      </c>
      <c r="G3124" s="3278">
        <v>19800</v>
      </c>
      <c r="H3124" s="3299">
        <v>12</v>
      </c>
      <c r="I3124" s="3278">
        <v>237600</v>
      </c>
    </row>
    <row r="3125" ht="12.75" customHeight="1" spans="2:9">
      <c r="B3125" s="3274">
        <v>2059</v>
      </c>
      <c r="D3125" s="3297" t="s">
        <v>8544</v>
      </c>
      <c r="E3125" s="3298" t="s">
        <v>8545</v>
      </c>
      <c r="F3125" s="3298" t="s">
        <v>2321</v>
      </c>
      <c r="G3125" s="3278">
        <v>17613.75</v>
      </c>
      <c r="H3125" s="3299">
        <v>39</v>
      </c>
      <c r="I3125" s="3278">
        <v>686936.25</v>
      </c>
    </row>
    <row r="3126" ht="12.75" customHeight="1" spans="2:9">
      <c r="B3126" s="3274">
        <v>2060</v>
      </c>
      <c r="D3126" s="3297" t="s">
        <v>8546</v>
      </c>
      <c r="E3126" s="3298" t="s">
        <v>8547</v>
      </c>
      <c r="F3126" s="3298" t="s">
        <v>3056</v>
      </c>
      <c r="G3126" s="3278">
        <v>847</v>
      </c>
      <c r="H3126" s="3299">
        <v>0</v>
      </c>
      <c r="I3126" s="3278">
        <v>0</v>
      </c>
    </row>
    <row r="3127" ht="12.75" customHeight="1" spans="2:9">
      <c r="B3127" s="3274">
        <v>2061</v>
      </c>
      <c r="D3127" s="3297" t="s">
        <v>8548</v>
      </c>
      <c r="E3127" s="3298" t="s">
        <v>8549</v>
      </c>
      <c r="F3127" s="3298" t="s">
        <v>2637</v>
      </c>
      <c r="G3127" s="3278">
        <v>49500</v>
      </c>
      <c r="H3127" s="3299">
        <v>0</v>
      </c>
      <c r="I3127" s="3278">
        <v>0</v>
      </c>
    </row>
    <row r="3128" ht="12.75" customHeight="1" spans="2:9">
      <c r="B3128" s="3274">
        <v>2062</v>
      </c>
      <c r="D3128" s="3297" t="s">
        <v>8550</v>
      </c>
      <c r="E3128" s="3298" t="s">
        <v>8551</v>
      </c>
      <c r="F3128" s="3298" t="s">
        <v>3056</v>
      </c>
      <c r="G3128" s="3278">
        <v>13400</v>
      </c>
      <c r="H3128" s="3299">
        <v>0</v>
      </c>
      <c r="I3128" s="3278">
        <v>0</v>
      </c>
    </row>
    <row r="3129" ht="12.75" customHeight="1" spans="2:9">
      <c r="B3129" s="3274">
        <v>2063</v>
      </c>
      <c r="D3129" s="3297" t="s">
        <v>8552</v>
      </c>
      <c r="E3129" s="3298" t="s">
        <v>8553</v>
      </c>
      <c r="F3129" s="3298" t="s">
        <v>2299</v>
      </c>
      <c r="G3129" s="3278">
        <v>49500</v>
      </c>
      <c r="H3129" s="3299">
        <v>0</v>
      </c>
      <c r="I3129" s="3278">
        <v>0</v>
      </c>
    </row>
    <row r="3130" ht="12.75" customHeight="1" spans="2:9">
      <c r="B3130" s="3274">
        <v>2064</v>
      </c>
      <c r="D3130" s="3297" t="s">
        <v>8554</v>
      </c>
      <c r="E3130" s="3298" t="s">
        <v>8555</v>
      </c>
      <c r="F3130" s="3298" t="s">
        <v>2637</v>
      </c>
      <c r="G3130" s="3278">
        <v>0</v>
      </c>
      <c r="H3130" s="3299">
        <v>0</v>
      </c>
      <c r="I3130" s="3278">
        <v>0</v>
      </c>
    </row>
    <row r="3131" ht="12.75" customHeight="1" spans="2:9">
      <c r="B3131" s="3274">
        <v>2065</v>
      </c>
      <c r="D3131" s="3297" t="s">
        <v>8556</v>
      </c>
      <c r="E3131" s="3298" t="s">
        <v>8557</v>
      </c>
      <c r="F3131" s="3298" t="s">
        <v>5070</v>
      </c>
      <c r="G3131" s="3278">
        <v>235950</v>
      </c>
      <c r="H3131" s="3299">
        <v>0</v>
      </c>
      <c r="I3131" s="3278">
        <v>0</v>
      </c>
    </row>
    <row r="3132" ht="12.75" customHeight="1" spans="2:9">
      <c r="B3132" s="3274">
        <v>2066</v>
      </c>
      <c r="D3132" s="3297" t="s">
        <v>8558</v>
      </c>
      <c r="E3132" s="3298" t="s">
        <v>8559</v>
      </c>
      <c r="F3132" s="3298" t="s">
        <v>3056</v>
      </c>
      <c r="G3132" s="3278">
        <v>8100</v>
      </c>
      <c r="H3132" s="3299">
        <v>0</v>
      </c>
      <c r="I3132" s="3278">
        <v>0</v>
      </c>
    </row>
    <row r="3133" ht="12.75" customHeight="1" spans="2:9">
      <c r="B3133" s="3274">
        <v>2067</v>
      </c>
      <c r="D3133" s="3297" t="s">
        <v>8560</v>
      </c>
      <c r="E3133" s="3298" t="s">
        <v>8561</v>
      </c>
      <c r="F3133" s="3298" t="s">
        <v>2321</v>
      </c>
      <c r="G3133" s="3278">
        <v>247500</v>
      </c>
      <c r="H3133" s="3299">
        <v>0</v>
      </c>
      <c r="I3133" s="3278">
        <v>0</v>
      </c>
    </row>
    <row r="3134" ht="12.75" customHeight="1" spans="2:9">
      <c r="B3134" s="3274">
        <v>2068</v>
      </c>
      <c r="D3134" s="3297" t="s">
        <v>8562</v>
      </c>
      <c r="E3134" s="3298" t="s">
        <v>8563</v>
      </c>
      <c r="F3134" s="3298" t="s">
        <v>3056</v>
      </c>
      <c r="G3134" s="3278">
        <v>0</v>
      </c>
      <c r="H3134" s="3299">
        <v>0</v>
      </c>
      <c r="I3134" s="3278">
        <v>0</v>
      </c>
    </row>
    <row r="3135" ht="12.75" customHeight="1" spans="2:9">
      <c r="B3135" s="3274">
        <v>2069</v>
      </c>
      <c r="D3135" s="3297" t="s">
        <v>8564</v>
      </c>
      <c r="E3135" s="3298" t="s">
        <v>8565</v>
      </c>
      <c r="F3135" s="3298" t="s">
        <v>3056</v>
      </c>
      <c r="G3135" s="3278">
        <v>22418</v>
      </c>
      <c r="H3135" s="3299">
        <v>0</v>
      </c>
      <c r="I3135" s="3278">
        <v>0</v>
      </c>
    </row>
    <row r="3136" ht="12.75" customHeight="1" spans="2:9">
      <c r="B3136" s="3274">
        <v>2070</v>
      </c>
      <c r="D3136" s="3297" t="s">
        <v>8566</v>
      </c>
      <c r="E3136" s="3298" t="s">
        <v>8567</v>
      </c>
      <c r="F3136" s="3298" t="s">
        <v>3056</v>
      </c>
      <c r="G3136" s="3278">
        <v>880</v>
      </c>
      <c r="H3136" s="3299">
        <v>0</v>
      </c>
      <c r="I3136" s="3278">
        <v>0</v>
      </c>
    </row>
    <row r="3137" ht="12.75" customHeight="1" spans="2:9">
      <c r="B3137" s="3274">
        <v>2071</v>
      </c>
      <c r="D3137" s="3297" t="s">
        <v>8568</v>
      </c>
      <c r="E3137" s="3298" t="s">
        <v>8569</v>
      </c>
      <c r="F3137" s="3298" t="s">
        <v>2367</v>
      </c>
      <c r="G3137" s="3278">
        <v>2200000</v>
      </c>
      <c r="H3137" s="3299">
        <v>0</v>
      </c>
      <c r="I3137" s="3278">
        <v>0</v>
      </c>
    </row>
    <row r="3138" ht="12.75" customHeight="1" spans="2:9">
      <c r="B3138" s="3274">
        <v>2072</v>
      </c>
      <c r="D3138" s="3297" t="s">
        <v>8570</v>
      </c>
      <c r="E3138" s="3298" t="s">
        <v>8571</v>
      </c>
      <c r="F3138" s="3298" t="s">
        <v>2321</v>
      </c>
      <c r="G3138" s="3278">
        <v>12994</v>
      </c>
      <c r="H3138" s="3299">
        <v>0</v>
      </c>
      <c r="I3138" s="3278">
        <v>0</v>
      </c>
    </row>
    <row r="3139" ht="12.75" customHeight="1" spans="2:9">
      <c r="B3139" s="3274">
        <v>2073</v>
      </c>
      <c r="D3139" s="3297" t="s">
        <v>8572</v>
      </c>
      <c r="E3139" s="3298" t="s">
        <v>8573</v>
      </c>
      <c r="F3139" s="3298" t="s">
        <v>2321</v>
      </c>
      <c r="G3139" s="3278">
        <v>20623</v>
      </c>
      <c r="H3139" s="3299">
        <v>0</v>
      </c>
      <c r="I3139" s="3278">
        <v>0</v>
      </c>
    </row>
    <row r="3140" ht="12.75" customHeight="1" spans="2:9">
      <c r="B3140" s="3274">
        <v>2074</v>
      </c>
      <c r="D3140" s="3297" t="s">
        <v>8574</v>
      </c>
      <c r="E3140" s="3298" t="s">
        <v>8575</v>
      </c>
      <c r="F3140" s="3298" t="s">
        <v>3042</v>
      </c>
      <c r="G3140" s="3278">
        <v>936500</v>
      </c>
      <c r="H3140" s="3299">
        <v>0</v>
      </c>
      <c r="I3140" s="3278">
        <v>0</v>
      </c>
    </row>
    <row r="3141" ht="12.75" customHeight="1" spans="2:9">
      <c r="B3141" s="3274">
        <v>2075</v>
      </c>
      <c r="D3141" s="3297" t="s">
        <v>8576</v>
      </c>
      <c r="E3141" s="3298" t="s">
        <v>8577</v>
      </c>
      <c r="F3141" s="3298" t="s">
        <v>3056</v>
      </c>
      <c r="G3141" s="3278">
        <v>2992</v>
      </c>
      <c r="H3141" s="3299">
        <v>0</v>
      </c>
      <c r="I3141" s="3278">
        <v>0</v>
      </c>
    </row>
    <row r="3142" ht="12.75" customHeight="1" spans="2:9">
      <c r="B3142" s="3274">
        <v>2076</v>
      </c>
      <c r="D3142" s="3297" t="s">
        <v>8578</v>
      </c>
      <c r="E3142" s="3298" t="s">
        <v>8579</v>
      </c>
      <c r="F3142" s="3298" t="s">
        <v>3042</v>
      </c>
      <c r="G3142" s="3278">
        <v>24750</v>
      </c>
      <c r="H3142" s="3299">
        <v>0</v>
      </c>
      <c r="I3142" s="3278">
        <v>0</v>
      </c>
    </row>
    <row r="3143" ht="12.75" customHeight="1" spans="2:9">
      <c r="B3143" s="3274">
        <v>2077</v>
      </c>
      <c r="D3143" s="3297" t="s">
        <v>8580</v>
      </c>
      <c r="E3143" s="3298" t="s">
        <v>8581</v>
      </c>
      <c r="F3143" s="3298" t="s">
        <v>2321</v>
      </c>
      <c r="G3143" s="3278">
        <v>0</v>
      </c>
      <c r="H3143" s="3299">
        <v>0</v>
      </c>
      <c r="I3143" s="3278">
        <v>0</v>
      </c>
    </row>
    <row r="3144" ht="12.75" customHeight="1" spans="2:9">
      <c r="B3144" s="3274">
        <v>2078</v>
      </c>
      <c r="D3144" s="3297" t="s">
        <v>8582</v>
      </c>
      <c r="E3144" s="3298" t="s">
        <v>8583</v>
      </c>
      <c r="F3144" s="3298" t="s">
        <v>2321</v>
      </c>
      <c r="G3144" s="3278">
        <v>0</v>
      </c>
      <c r="H3144" s="3299">
        <v>0</v>
      </c>
      <c r="I3144" s="3278">
        <v>0</v>
      </c>
    </row>
    <row r="3145" ht="12.75" customHeight="1" spans="2:9">
      <c r="B3145" s="3274">
        <v>2079</v>
      </c>
      <c r="D3145" s="3297" t="s">
        <v>8584</v>
      </c>
      <c r="E3145" s="3298" t="s">
        <v>8585</v>
      </c>
      <c r="F3145" s="3298" t="s">
        <v>3620</v>
      </c>
      <c r="G3145" s="3278">
        <v>18700</v>
      </c>
      <c r="H3145" s="3299">
        <v>540</v>
      </c>
      <c r="I3145" s="3278">
        <v>10098000</v>
      </c>
    </row>
    <row r="3146" ht="12.75" customHeight="1" spans="2:9">
      <c r="B3146" s="3274">
        <v>2080</v>
      </c>
      <c r="D3146" s="3297" t="s">
        <v>8586</v>
      </c>
      <c r="E3146" s="3298" t="s">
        <v>8587</v>
      </c>
      <c r="F3146" s="3298" t="s">
        <v>3042</v>
      </c>
      <c r="G3146" s="3278">
        <v>158400</v>
      </c>
      <c r="H3146" s="3299">
        <v>0</v>
      </c>
      <c r="I3146" s="3278">
        <v>0</v>
      </c>
    </row>
    <row r="3147" ht="12.75" customHeight="1" spans="2:9">
      <c r="B3147" s="3274">
        <v>2081</v>
      </c>
      <c r="D3147" s="3297" t="s">
        <v>8588</v>
      </c>
      <c r="E3147" s="3298" t="s">
        <v>8589</v>
      </c>
      <c r="F3147" s="3298" t="s">
        <v>3042</v>
      </c>
      <c r="G3147" s="3278">
        <v>0</v>
      </c>
      <c r="H3147" s="3299">
        <v>0</v>
      </c>
      <c r="I3147" s="3278">
        <v>0</v>
      </c>
    </row>
    <row r="3148" ht="12.75" customHeight="1" spans="2:9">
      <c r="B3148" s="3274">
        <v>2082</v>
      </c>
      <c r="D3148" s="3297" t="s">
        <v>8590</v>
      </c>
      <c r="E3148" s="3298" t="s">
        <v>8591</v>
      </c>
      <c r="F3148" s="3298" t="s">
        <v>3423</v>
      </c>
      <c r="G3148" s="3278">
        <v>153025</v>
      </c>
      <c r="H3148" s="3299">
        <v>0</v>
      </c>
      <c r="I3148" s="3278">
        <v>0</v>
      </c>
    </row>
    <row r="3149" ht="12.75" customHeight="1" spans="2:9">
      <c r="B3149" s="3274">
        <v>2083</v>
      </c>
      <c r="D3149" s="3297" t="s">
        <v>8592</v>
      </c>
      <c r="E3149" s="3298" t="s">
        <v>8593</v>
      </c>
      <c r="F3149" s="3298" t="s">
        <v>2293</v>
      </c>
      <c r="G3149" s="3278">
        <v>0</v>
      </c>
      <c r="H3149" s="3299">
        <v>0</v>
      </c>
      <c r="I3149" s="3278">
        <v>0</v>
      </c>
    </row>
    <row r="3150" ht="12.75" customHeight="1" spans="2:9">
      <c r="B3150" s="3274">
        <v>2084</v>
      </c>
      <c r="D3150" s="3297" t="s">
        <v>8594</v>
      </c>
      <c r="E3150" s="3298" t="s">
        <v>8595</v>
      </c>
      <c r="F3150" s="3298" t="s">
        <v>2321</v>
      </c>
      <c r="G3150" s="3278">
        <v>189420</v>
      </c>
      <c r="H3150" s="3299">
        <v>0</v>
      </c>
      <c r="I3150" s="3278">
        <v>0</v>
      </c>
    </row>
    <row r="3151" ht="12.75" customHeight="1" spans="2:9">
      <c r="B3151" s="3274">
        <v>2085</v>
      </c>
      <c r="D3151" s="3297" t="s">
        <v>8596</v>
      </c>
      <c r="E3151" s="3298" t="s">
        <v>8597</v>
      </c>
      <c r="F3151" s="3298" t="s">
        <v>2299</v>
      </c>
      <c r="G3151" s="3278">
        <v>92499.9882</v>
      </c>
      <c r="H3151" s="3299">
        <v>0</v>
      </c>
      <c r="I3151" s="3278">
        <v>0</v>
      </c>
    </row>
    <row r="3152" ht="12.75" customHeight="1" spans="2:9">
      <c r="B3152" s="3274">
        <v>2086</v>
      </c>
      <c r="D3152" s="3297" t="s">
        <v>8598</v>
      </c>
      <c r="E3152" s="3298" t="s">
        <v>8599</v>
      </c>
      <c r="F3152" s="3298" t="s">
        <v>2293</v>
      </c>
      <c r="G3152" s="3278">
        <v>232705</v>
      </c>
      <c r="H3152" s="3299">
        <v>0</v>
      </c>
      <c r="I3152" s="3278">
        <v>0</v>
      </c>
    </row>
    <row r="3153" ht="12.75" customHeight="1" spans="2:9">
      <c r="B3153" s="3274">
        <v>2087</v>
      </c>
      <c r="D3153" s="3297" t="s">
        <v>8600</v>
      </c>
      <c r="E3153" s="3298" t="s">
        <v>8601</v>
      </c>
      <c r="F3153" s="3298" t="s">
        <v>2293</v>
      </c>
      <c r="G3153" s="3278">
        <v>0</v>
      </c>
      <c r="H3153" s="3299">
        <v>0</v>
      </c>
      <c r="I3153" s="3278">
        <v>0</v>
      </c>
    </row>
    <row r="3154" ht="12.75" customHeight="1" spans="2:9">
      <c r="B3154" s="3274">
        <v>2088</v>
      </c>
      <c r="D3154" s="3297" t="s">
        <v>8602</v>
      </c>
      <c r="E3154" s="3298" t="s">
        <v>8603</v>
      </c>
      <c r="F3154" s="3298" t="s">
        <v>4351</v>
      </c>
      <c r="G3154" s="3278">
        <v>3664.837</v>
      </c>
      <c r="H3154" s="3299">
        <v>0</v>
      </c>
      <c r="I3154" s="3278">
        <v>0</v>
      </c>
    </row>
    <row r="3155" ht="12.75" customHeight="1" spans="2:9">
      <c r="B3155" s="3274">
        <v>2089</v>
      </c>
      <c r="D3155" s="3297" t="s">
        <v>8604</v>
      </c>
      <c r="E3155" s="3298" t="s">
        <v>8605</v>
      </c>
      <c r="F3155" s="3298" t="s">
        <v>4351</v>
      </c>
      <c r="G3155" s="3278">
        <v>219780</v>
      </c>
      <c r="H3155" s="3299">
        <v>0</v>
      </c>
      <c r="I3155" s="3278">
        <v>0</v>
      </c>
    </row>
    <row r="3156" ht="12.75" customHeight="1" spans="2:9">
      <c r="B3156" s="3274">
        <v>2090</v>
      </c>
      <c r="D3156" s="3297" t="s">
        <v>8606</v>
      </c>
      <c r="E3156" s="3298" t="s">
        <v>8607</v>
      </c>
      <c r="F3156" s="3298" t="s">
        <v>5233</v>
      </c>
      <c r="G3156" s="3278">
        <v>16335</v>
      </c>
      <c r="H3156" s="3299">
        <v>190</v>
      </c>
      <c r="I3156" s="3278">
        <v>3103650</v>
      </c>
    </row>
    <row r="3157" ht="12.75" customHeight="1" spans="2:9">
      <c r="B3157" s="3274">
        <v>2091</v>
      </c>
      <c r="D3157" s="3297" t="s">
        <v>8608</v>
      </c>
      <c r="E3157" s="3298" t="s">
        <v>8609</v>
      </c>
      <c r="F3157" s="3298" t="s">
        <v>3056</v>
      </c>
      <c r="G3157" s="3278">
        <v>783.123</v>
      </c>
      <c r="H3157" s="3299">
        <v>0</v>
      </c>
      <c r="I3157" s="3278">
        <v>0</v>
      </c>
    </row>
    <row r="3158" ht="12.75" customHeight="1" spans="2:9">
      <c r="B3158" s="3274">
        <v>2092</v>
      </c>
      <c r="D3158" s="3297" t="s">
        <v>8610</v>
      </c>
      <c r="E3158" s="3298" t="s">
        <v>8611</v>
      </c>
      <c r="F3158" s="3298" t="s">
        <v>5233</v>
      </c>
      <c r="G3158" s="3278">
        <v>13277</v>
      </c>
      <c r="H3158" s="3299">
        <v>30</v>
      </c>
      <c r="I3158" s="3278">
        <v>398310</v>
      </c>
    </row>
    <row r="3159" ht="12.75" customHeight="1" spans="2:9">
      <c r="B3159" s="3274">
        <v>2093</v>
      </c>
      <c r="D3159" s="3297" t="s">
        <v>8612</v>
      </c>
      <c r="E3159" s="3298" t="s">
        <v>8613</v>
      </c>
      <c r="F3159" s="3298" t="s">
        <v>3056</v>
      </c>
      <c r="G3159" s="3278">
        <v>6871.7</v>
      </c>
      <c r="H3159" s="3299">
        <v>0</v>
      </c>
      <c r="I3159" s="3278">
        <v>0</v>
      </c>
    </row>
    <row r="3160" ht="12.75" customHeight="1" spans="2:9">
      <c r="B3160" s="3274">
        <v>2094</v>
      </c>
      <c r="D3160" s="3297" t="s">
        <v>8614</v>
      </c>
      <c r="E3160" s="3298" t="s">
        <v>8615</v>
      </c>
      <c r="F3160" s="3298" t="s">
        <v>2321</v>
      </c>
      <c r="G3160" s="3278">
        <v>253000</v>
      </c>
      <c r="H3160" s="3299">
        <v>0</v>
      </c>
      <c r="I3160" s="3278">
        <v>0</v>
      </c>
    </row>
    <row r="3161" ht="12.75" customHeight="1" spans="2:9">
      <c r="B3161" s="3274">
        <v>2095</v>
      </c>
      <c r="D3161" s="3297" t="s">
        <v>8616</v>
      </c>
      <c r="E3161" s="3298" t="s">
        <v>8617</v>
      </c>
      <c r="F3161" s="3298" t="s">
        <v>2637</v>
      </c>
      <c r="G3161" s="3278">
        <v>102450.7</v>
      </c>
      <c r="H3161" s="3299">
        <v>0</v>
      </c>
      <c r="I3161" s="3278">
        <v>0</v>
      </c>
    </row>
    <row r="3162" ht="12.75" customHeight="1" spans="2:9">
      <c r="B3162" s="3274">
        <v>2096</v>
      </c>
      <c r="D3162" s="3297" t="s">
        <v>8618</v>
      </c>
      <c r="E3162" s="3298" t="s">
        <v>8619</v>
      </c>
      <c r="F3162" s="3298" t="s">
        <v>3056</v>
      </c>
      <c r="G3162" s="3278">
        <v>2898.005</v>
      </c>
      <c r="H3162" s="3299">
        <v>0</v>
      </c>
      <c r="I3162" s="3278">
        <v>0</v>
      </c>
    </row>
    <row r="3163" ht="12.75" customHeight="1" spans="2:9">
      <c r="B3163" s="3274">
        <v>2097</v>
      </c>
      <c r="D3163" s="3297" t="s">
        <v>8620</v>
      </c>
      <c r="E3163" s="3298" t="s">
        <v>8621</v>
      </c>
      <c r="F3163" s="3298" t="s">
        <v>2321</v>
      </c>
      <c r="G3163" s="3278">
        <v>0</v>
      </c>
      <c r="H3163" s="3299">
        <v>0</v>
      </c>
      <c r="I3163" s="3278">
        <v>0</v>
      </c>
    </row>
    <row r="3164" ht="12.75" customHeight="1" spans="2:9">
      <c r="B3164" s="3274">
        <v>2098</v>
      </c>
      <c r="D3164" s="3297" t="s">
        <v>8622</v>
      </c>
      <c r="E3164" s="3298" t="s">
        <v>8623</v>
      </c>
      <c r="F3164" s="3298" t="s">
        <v>2321</v>
      </c>
      <c r="G3164" s="3278">
        <v>0</v>
      </c>
      <c r="H3164" s="3299">
        <v>0</v>
      </c>
      <c r="I3164" s="3278">
        <v>0</v>
      </c>
    </row>
    <row r="3165" ht="12.75" customHeight="1" spans="2:9">
      <c r="B3165" s="3274">
        <v>2099</v>
      </c>
      <c r="D3165" s="3297" t="s">
        <v>8624</v>
      </c>
      <c r="E3165" s="3298" t="s">
        <v>8625</v>
      </c>
      <c r="F3165" s="3298" t="s">
        <v>3423</v>
      </c>
      <c r="G3165" s="3278">
        <v>275662</v>
      </c>
      <c r="H3165" s="3299">
        <v>0</v>
      </c>
      <c r="I3165" s="3278">
        <v>0</v>
      </c>
    </row>
    <row r="3166" ht="12.75" customHeight="1" spans="2:9">
      <c r="B3166" s="3274">
        <v>2100</v>
      </c>
      <c r="D3166" s="3297" t="s">
        <v>8626</v>
      </c>
      <c r="E3166" s="3298" t="s">
        <v>8627</v>
      </c>
      <c r="F3166" s="3298" t="s">
        <v>3056</v>
      </c>
      <c r="G3166" s="3278">
        <v>2750</v>
      </c>
      <c r="H3166" s="3299">
        <v>0</v>
      </c>
      <c r="I3166" s="3278">
        <v>0</v>
      </c>
    </row>
    <row r="3167" ht="12.75" customHeight="1" spans="2:9">
      <c r="B3167" s="3274">
        <v>2101</v>
      </c>
      <c r="D3167" s="3297" t="s">
        <v>8628</v>
      </c>
      <c r="E3167" s="3298" t="s">
        <v>8629</v>
      </c>
      <c r="F3167" s="3298" t="s">
        <v>2637</v>
      </c>
      <c r="G3167" s="3278">
        <v>9551.6631</v>
      </c>
      <c r="H3167" s="3299">
        <v>0</v>
      </c>
      <c r="I3167" s="3278">
        <v>0</v>
      </c>
    </row>
    <row r="3168" ht="12.75" customHeight="1" spans="2:9">
      <c r="B3168" s="3274">
        <v>2102</v>
      </c>
      <c r="D3168" s="3297" t="s">
        <v>8630</v>
      </c>
      <c r="E3168" s="3298" t="s">
        <v>8631</v>
      </c>
      <c r="F3168" s="3298" t="s">
        <v>3056</v>
      </c>
      <c r="G3168" s="3278">
        <v>31900</v>
      </c>
      <c r="H3168" s="3299">
        <v>0</v>
      </c>
      <c r="I3168" s="3278">
        <v>0</v>
      </c>
    </row>
    <row r="3169" ht="12.75" customHeight="1" spans="2:9">
      <c r="B3169" s="3274">
        <v>2103</v>
      </c>
      <c r="D3169" s="3297" t="s">
        <v>8632</v>
      </c>
      <c r="E3169" s="3298" t="s">
        <v>8633</v>
      </c>
      <c r="F3169" s="3298" t="s">
        <v>3045</v>
      </c>
      <c r="G3169" s="3278">
        <v>18920</v>
      </c>
      <c r="H3169" s="3299">
        <v>0</v>
      </c>
      <c r="I3169" s="3278">
        <v>0</v>
      </c>
    </row>
    <row r="3170" ht="12.75" customHeight="1" spans="2:9">
      <c r="B3170" s="3274">
        <v>2104</v>
      </c>
      <c r="D3170" s="3297" t="s">
        <v>8634</v>
      </c>
      <c r="E3170" s="3298" t="s">
        <v>8635</v>
      </c>
      <c r="F3170" s="3298" t="s">
        <v>3042</v>
      </c>
      <c r="G3170" s="3278">
        <v>165000</v>
      </c>
      <c r="H3170" s="3299">
        <v>20</v>
      </c>
      <c r="I3170" s="3278">
        <v>3300000</v>
      </c>
    </row>
    <row r="3171" ht="12.75" customHeight="1" spans="2:9">
      <c r="B3171" s="3274">
        <v>2105</v>
      </c>
      <c r="D3171" s="3297" t="s">
        <v>8636</v>
      </c>
      <c r="E3171" s="3298" t="s">
        <v>8637</v>
      </c>
      <c r="F3171" s="3298" t="s">
        <v>4351</v>
      </c>
      <c r="G3171" s="3278">
        <v>1559.9981</v>
      </c>
      <c r="H3171" s="3299">
        <v>0</v>
      </c>
      <c r="I3171" s="3278">
        <v>0</v>
      </c>
    </row>
    <row r="3172" ht="12.75" customHeight="1" spans="2:9">
      <c r="B3172" s="3274">
        <v>2106</v>
      </c>
      <c r="D3172" s="3297" t="s">
        <v>8638</v>
      </c>
      <c r="E3172" s="3298" t="s">
        <v>8639</v>
      </c>
      <c r="F3172" s="3298" t="s">
        <v>4351</v>
      </c>
      <c r="G3172" s="3278">
        <v>2401.9929</v>
      </c>
      <c r="H3172" s="3299">
        <v>2300</v>
      </c>
      <c r="I3172" s="3278">
        <v>5524583.67</v>
      </c>
    </row>
    <row r="3173" ht="12.75" customHeight="1" spans="2:9">
      <c r="B3173" s="3274">
        <v>2107</v>
      </c>
      <c r="D3173" s="3297" t="s">
        <v>8640</v>
      </c>
      <c r="E3173" s="3298" t="s">
        <v>8641</v>
      </c>
      <c r="F3173" s="3298" t="s">
        <v>3042</v>
      </c>
      <c r="G3173" s="3278">
        <v>71500</v>
      </c>
      <c r="H3173" s="3299">
        <v>0</v>
      </c>
      <c r="I3173" s="3278">
        <v>0</v>
      </c>
    </row>
    <row r="3174" ht="12.75" customHeight="1" spans="2:9">
      <c r="B3174" s="3274">
        <v>2108</v>
      </c>
      <c r="D3174" s="3297" t="s">
        <v>8642</v>
      </c>
      <c r="E3174" s="3298" t="s">
        <v>8643</v>
      </c>
      <c r="F3174" s="3298" t="s">
        <v>2321</v>
      </c>
      <c r="G3174" s="3278">
        <v>71300</v>
      </c>
      <c r="H3174" s="3299">
        <v>0</v>
      </c>
      <c r="I3174" s="3278">
        <v>0</v>
      </c>
    </row>
    <row r="3175" ht="12.75" customHeight="1" spans="2:9">
      <c r="B3175" s="3274">
        <v>2109</v>
      </c>
      <c r="D3175" s="3297" t="s">
        <v>8644</v>
      </c>
      <c r="E3175" s="3298" t="s">
        <v>8645</v>
      </c>
      <c r="F3175" s="3298" t="s">
        <v>3423</v>
      </c>
      <c r="G3175" s="3278">
        <v>122980</v>
      </c>
      <c r="H3175" s="3299">
        <v>0</v>
      </c>
      <c r="I3175" s="3278">
        <v>0</v>
      </c>
    </row>
    <row r="3176" ht="12.75" customHeight="1" spans="2:9">
      <c r="B3176" s="3274">
        <v>2110</v>
      </c>
      <c r="D3176" s="3297" t="s">
        <v>8646</v>
      </c>
      <c r="E3176" s="3298" t="s">
        <v>8647</v>
      </c>
      <c r="F3176" s="3298" t="s">
        <v>3056</v>
      </c>
      <c r="G3176" s="3278">
        <v>4972</v>
      </c>
      <c r="H3176" s="3299">
        <v>1000</v>
      </c>
      <c r="I3176" s="3278">
        <v>4972000</v>
      </c>
    </row>
    <row r="3177" ht="12.75" customHeight="1" spans="2:9">
      <c r="B3177" s="3274">
        <v>2111</v>
      </c>
      <c r="D3177" s="3297" t="s">
        <v>8648</v>
      </c>
      <c r="E3177" s="3298" t="s">
        <v>8649</v>
      </c>
      <c r="F3177" s="3298" t="s">
        <v>3056</v>
      </c>
      <c r="G3177" s="3278">
        <v>5170</v>
      </c>
      <c r="H3177" s="3299">
        <v>0</v>
      </c>
      <c r="I3177" s="3278">
        <v>0</v>
      </c>
    </row>
    <row r="3178" ht="12.75" customHeight="1" spans="2:9">
      <c r="B3178" s="3274">
        <v>2112</v>
      </c>
      <c r="D3178" s="3297" t="s">
        <v>8650</v>
      </c>
      <c r="E3178" s="3298" t="s">
        <v>8651</v>
      </c>
      <c r="F3178" s="3298" t="s">
        <v>3056</v>
      </c>
      <c r="G3178" s="3278">
        <v>7480</v>
      </c>
      <c r="H3178" s="3299">
        <v>0</v>
      </c>
      <c r="I3178" s="3278">
        <v>0</v>
      </c>
    </row>
    <row r="3179" ht="12.75" customHeight="1" spans="2:9">
      <c r="B3179" s="3274">
        <v>2113</v>
      </c>
      <c r="D3179" s="3297" t="s">
        <v>8652</v>
      </c>
      <c r="E3179" s="3298" t="s">
        <v>8653</v>
      </c>
      <c r="F3179" s="3298" t="s">
        <v>3056</v>
      </c>
      <c r="G3179" s="3278">
        <v>13200</v>
      </c>
      <c r="H3179" s="3299">
        <v>0</v>
      </c>
      <c r="I3179" s="3278">
        <v>0</v>
      </c>
    </row>
    <row r="3180" ht="12.75" customHeight="1" spans="2:9">
      <c r="B3180" s="3274">
        <v>2114</v>
      </c>
      <c r="D3180" s="3297" t="s">
        <v>8654</v>
      </c>
      <c r="E3180" s="3298" t="s">
        <v>8655</v>
      </c>
      <c r="F3180" s="3298" t="s">
        <v>3042</v>
      </c>
      <c r="G3180" s="3278">
        <v>8800</v>
      </c>
      <c r="H3180" s="3299">
        <v>0</v>
      </c>
      <c r="I3180" s="3278">
        <v>0</v>
      </c>
    </row>
    <row r="3181" ht="12.75" customHeight="1" spans="2:9">
      <c r="B3181" s="3274">
        <v>2115</v>
      </c>
      <c r="D3181" s="3297" t="s">
        <v>8656</v>
      </c>
      <c r="E3181" s="3298" t="s">
        <v>8657</v>
      </c>
      <c r="F3181" s="3298" t="s">
        <v>2321</v>
      </c>
      <c r="G3181" s="3278">
        <v>31900</v>
      </c>
      <c r="H3181" s="3299">
        <v>0</v>
      </c>
      <c r="I3181" s="3278">
        <v>0</v>
      </c>
    </row>
    <row r="3182" ht="12.75" customHeight="1" spans="2:9">
      <c r="B3182" s="3274">
        <v>2116</v>
      </c>
      <c r="D3182" s="3297" t="s">
        <v>8658</v>
      </c>
      <c r="E3182" s="3298" t="s">
        <v>8659</v>
      </c>
      <c r="F3182" s="3298" t="s">
        <v>3056</v>
      </c>
      <c r="G3182" s="3278">
        <v>6138</v>
      </c>
      <c r="H3182" s="3299">
        <v>0</v>
      </c>
      <c r="I3182" s="3278">
        <v>0</v>
      </c>
    </row>
    <row r="3183" ht="12.75" customHeight="1" spans="2:9">
      <c r="B3183" s="3274">
        <v>2117</v>
      </c>
      <c r="D3183" s="3297" t="s">
        <v>8660</v>
      </c>
      <c r="E3183" s="3298" t="s">
        <v>8661</v>
      </c>
      <c r="F3183" s="3298" t="s">
        <v>2637</v>
      </c>
      <c r="G3183" s="3278">
        <v>0</v>
      </c>
      <c r="H3183" s="3299">
        <v>0</v>
      </c>
      <c r="I3183" s="3278">
        <v>0</v>
      </c>
    </row>
    <row r="3184" ht="12.75" customHeight="1" spans="2:9">
      <c r="B3184" s="3274">
        <v>2118</v>
      </c>
      <c r="D3184" s="3297" t="s">
        <v>8662</v>
      </c>
      <c r="E3184" s="3298" t="s">
        <v>8663</v>
      </c>
      <c r="F3184" s="3298" t="s">
        <v>3042</v>
      </c>
      <c r="G3184" s="3278">
        <v>79500</v>
      </c>
      <c r="H3184" s="3299">
        <v>0</v>
      </c>
      <c r="I3184" s="3278">
        <v>0</v>
      </c>
    </row>
    <row r="3185" ht="12.75" customHeight="1" spans="2:9">
      <c r="B3185" s="3274">
        <v>2119</v>
      </c>
      <c r="D3185" s="3297" t="s">
        <v>8664</v>
      </c>
      <c r="E3185" s="3298" t="s">
        <v>8665</v>
      </c>
      <c r="F3185" s="3298" t="s">
        <v>2457</v>
      </c>
      <c r="G3185" s="3278">
        <v>138600</v>
      </c>
      <c r="H3185" s="3299">
        <v>0</v>
      </c>
      <c r="I3185" s="3278">
        <v>0</v>
      </c>
    </row>
    <row r="3186" ht="12.75" customHeight="1" spans="2:9">
      <c r="B3186" s="3274">
        <v>2120</v>
      </c>
      <c r="D3186" s="3297" t="s">
        <v>8666</v>
      </c>
      <c r="E3186" s="3298" t="s">
        <v>8667</v>
      </c>
      <c r="F3186" s="3298" t="s">
        <v>3056</v>
      </c>
      <c r="G3186" s="3278">
        <v>1258</v>
      </c>
      <c r="H3186" s="3299">
        <v>0</v>
      </c>
      <c r="I3186" s="3278">
        <v>0</v>
      </c>
    </row>
    <row r="3187" ht="12.75" customHeight="1" spans="2:9">
      <c r="B3187" s="3274">
        <v>2121</v>
      </c>
      <c r="D3187" s="3297" t="s">
        <v>8668</v>
      </c>
      <c r="E3187" s="3298" t="s">
        <v>8669</v>
      </c>
      <c r="F3187" s="3298" t="s">
        <v>3056</v>
      </c>
      <c r="G3187" s="3278">
        <v>3080</v>
      </c>
      <c r="H3187" s="3299">
        <v>0</v>
      </c>
      <c r="I3187" s="3278">
        <v>0</v>
      </c>
    </row>
    <row r="3188" ht="12.75" customHeight="1" spans="2:9">
      <c r="B3188" s="3274">
        <v>2122</v>
      </c>
      <c r="D3188" s="3297" t="s">
        <v>8670</v>
      </c>
      <c r="E3188" s="3298" t="s">
        <v>8671</v>
      </c>
      <c r="F3188" s="3298" t="s">
        <v>3056</v>
      </c>
      <c r="G3188" s="3278">
        <v>6820</v>
      </c>
      <c r="H3188" s="3299">
        <v>0</v>
      </c>
      <c r="I3188" s="3278">
        <v>0</v>
      </c>
    </row>
    <row r="3189" ht="12.75" customHeight="1" spans="2:9">
      <c r="B3189" s="3274">
        <v>2123</v>
      </c>
      <c r="D3189" s="3297" t="s">
        <v>8672</v>
      </c>
      <c r="E3189" s="3298" t="s">
        <v>8673</v>
      </c>
      <c r="F3189" s="3298" t="s">
        <v>2321</v>
      </c>
      <c r="G3189" s="3278">
        <v>73700</v>
      </c>
      <c r="H3189" s="3299">
        <v>0</v>
      </c>
      <c r="I3189" s="3278">
        <v>0</v>
      </c>
    </row>
    <row r="3190" ht="12.75" customHeight="1" spans="2:9">
      <c r="B3190" s="3274">
        <v>2124</v>
      </c>
      <c r="D3190" s="3297" t="s">
        <v>8674</v>
      </c>
      <c r="E3190" s="3298" t="s">
        <v>8675</v>
      </c>
      <c r="F3190" s="3298" t="s">
        <v>2457</v>
      </c>
      <c r="G3190" s="3278">
        <v>10972.5</v>
      </c>
      <c r="H3190" s="3299">
        <v>0</v>
      </c>
      <c r="I3190" s="3278">
        <v>0</v>
      </c>
    </row>
    <row r="3191" ht="12.75" customHeight="1" spans="2:9">
      <c r="B3191" s="3274">
        <v>2125</v>
      </c>
      <c r="D3191" s="3297" t="s">
        <v>8676</v>
      </c>
      <c r="E3191" s="3298" t="s">
        <v>8677</v>
      </c>
      <c r="F3191" s="3298" t="s">
        <v>2457</v>
      </c>
      <c r="G3191" s="3278">
        <v>31245.5</v>
      </c>
      <c r="H3191" s="3299">
        <v>0</v>
      </c>
      <c r="I3191" s="3278">
        <v>0</v>
      </c>
    </row>
    <row r="3192" ht="12.75" customHeight="1" spans="2:9">
      <c r="B3192" s="3274">
        <v>2126</v>
      </c>
      <c r="D3192" s="3297" t="s">
        <v>8678</v>
      </c>
      <c r="E3192" s="3298" t="s">
        <v>8679</v>
      </c>
      <c r="F3192" s="3298" t="s">
        <v>2457</v>
      </c>
      <c r="G3192" s="3278">
        <v>31245.5</v>
      </c>
      <c r="H3192" s="3299">
        <v>0</v>
      </c>
      <c r="I3192" s="3278">
        <v>0</v>
      </c>
    </row>
    <row r="3193" ht="12.75" customHeight="1" spans="2:9">
      <c r="B3193" s="3274">
        <v>2127</v>
      </c>
      <c r="D3193" s="3297" t="s">
        <v>8680</v>
      </c>
      <c r="E3193" s="3298" t="s">
        <v>8681</v>
      </c>
      <c r="F3193" s="3298" t="s">
        <v>2299</v>
      </c>
      <c r="G3193" s="3278">
        <v>12100</v>
      </c>
      <c r="H3193" s="3299">
        <v>0</v>
      </c>
      <c r="I3193" s="3278">
        <v>0</v>
      </c>
    </row>
    <row r="3194" ht="12.75" customHeight="1" spans="2:9">
      <c r="B3194" s="3274">
        <v>2128</v>
      </c>
      <c r="D3194" s="3297" t="s">
        <v>8682</v>
      </c>
      <c r="E3194" s="3298" t="s">
        <v>8683</v>
      </c>
      <c r="F3194" s="3298" t="s">
        <v>2288</v>
      </c>
      <c r="G3194" s="3278">
        <v>305800</v>
      </c>
      <c r="H3194" s="3299">
        <v>0</v>
      </c>
      <c r="I3194" s="3278">
        <v>0</v>
      </c>
    </row>
    <row r="3195" ht="12.75" customHeight="1" spans="2:9">
      <c r="B3195" s="3274">
        <v>2129</v>
      </c>
      <c r="D3195" s="3297" t="s">
        <v>8684</v>
      </c>
      <c r="E3195" s="3298" t="s">
        <v>8685</v>
      </c>
      <c r="F3195" s="3298" t="s">
        <v>2288</v>
      </c>
      <c r="G3195" s="3278">
        <v>151000</v>
      </c>
      <c r="H3195" s="3299">
        <v>0</v>
      </c>
      <c r="I3195" s="3278">
        <v>0</v>
      </c>
    </row>
    <row r="3196" ht="12.75" customHeight="1" spans="2:9">
      <c r="B3196" s="3274">
        <v>2130</v>
      </c>
      <c r="D3196" s="3297" t="s">
        <v>8686</v>
      </c>
      <c r="E3196" s="3298" t="s">
        <v>8687</v>
      </c>
      <c r="F3196" s="3298" t="s">
        <v>3045</v>
      </c>
      <c r="G3196" s="3278">
        <v>0</v>
      </c>
      <c r="H3196" s="3299">
        <v>0</v>
      </c>
      <c r="I3196" s="3278">
        <v>0</v>
      </c>
    </row>
    <row r="3197" ht="12.75" customHeight="1" spans="2:9">
      <c r="B3197" s="3274">
        <v>2131</v>
      </c>
      <c r="D3197" s="3297" t="s">
        <v>8688</v>
      </c>
      <c r="E3197" s="3298" t="s">
        <v>8689</v>
      </c>
      <c r="F3197" s="3298" t="s">
        <v>2299</v>
      </c>
      <c r="G3197" s="3278">
        <v>24200</v>
      </c>
      <c r="H3197" s="3299">
        <v>0</v>
      </c>
      <c r="I3197" s="3278">
        <v>0</v>
      </c>
    </row>
    <row r="3198" ht="12.75" customHeight="1" spans="2:9">
      <c r="B3198" s="3274">
        <v>2132</v>
      </c>
      <c r="D3198" s="3297" t="s">
        <v>8690</v>
      </c>
      <c r="E3198" s="3298" t="s">
        <v>8691</v>
      </c>
      <c r="F3198" s="3298" t="s">
        <v>2321</v>
      </c>
      <c r="G3198" s="3278">
        <v>44350.02</v>
      </c>
      <c r="H3198" s="3299">
        <v>0</v>
      </c>
      <c r="I3198" s="3278">
        <v>0</v>
      </c>
    </row>
    <row r="3199" ht="12.75" customHeight="1" spans="2:9">
      <c r="B3199" s="3274">
        <v>2133</v>
      </c>
      <c r="D3199" s="3297" t="s">
        <v>8692</v>
      </c>
      <c r="E3199" s="3298" t="s">
        <v>8693</v>
      </c>
      <c r="F3199" s="3298" t="s">
        <v>2321</v>
      </c>
      <c r="G3199" s="3278">
        <v>17670.4</v>
      </c>
      <c r="H3199" s="3299">
        <v>0</v>
      </c>
      <c r="I3199" s="3278">
        <v>0</v>
      </c>
    </row>
    <row r="3200" ht="12.75" customHeight="1" spans="2:9">
      <c r="B3200" s="3274">
        <v>2134</v>
      </c>
      <c r="D3200" s="3297" t="s">
        <v>8694</v>
      </c>
      <c r="E3200" s="3298" t="s">
        <v>8695</v>
      </c>
      <c r="F3200" s="3298" t="s">
        <v>2321</v>
      </c>
      <c r="G3200" s="3278">
        <v>77000</v>
      </c>
      <c r="H3200" s="3299">
        <v>0</v>
      </c>
      <c r="I3200" s="3278">
        <v>0</v>
      </c>
    </row>
    <row r="3201" ht="12.75" customHeight="1" spans="2:9">
      <c r="B3201" s="3274">
        <v>2135</v>
      </c>
      <c r="D3201" s="3297" t="s">
        <v>8696</v>
      </c>
      <c r="E3201" s="3298" t="s">
        <v>8697</v>
      </c>
      <c r="F3201" s="3298" t="s">
        <v>2321</v>
      </c>
      <c r="G3201" s="3278">
        <v>2359830</v>
      </c>
      <c r="H3201" s="3299">
        <v>0</v>
      </c>
      <c r="I3201" s="3278">
        <v>0</v>
      </c>
    </row>
    <row r="3202" ht="12.75" customHeight="1" spans="2:9">
      <c r="B3202" s="3274">
        <v>2136</v>
      </c>
      <c r="D3202" s="3297" t="s">
        <v>8698</v>
      </c>
      <c r="E3202" s="3298" t="s">
        <v>8699</v>
      </c>
      <c r="F3202" s="3298" t="s">
        <v>2321</v>
      </c>
      <c r="G3202" s="3278">
        <v>2145000</v>
      </c>
      <c r="H3202" s="3299">
        <v>0</v>
      </c>
      <c r="I3202" s="3278">
        <v>0</v>
      </c>
    </row>
    <row r="3203" ht="12.75" customHeight="1" spans="2:9">
      <c r="B3203" s="3274">
        <v>2137</v>
      </c>
      <c r="D3203" s="3297" t="s">
        <v>8700</v>
      </c>
      <c r="E3203" s="3298" t="s">
        <v>8701</v>
      </c>
      <c r="F3203" s="3298" t="s">
        <v>2637</v>
      </c>
      <c r="G3203" s="3278">
        <v>51425</v>
      </c>
      <c r="H3203" s="3299">
        <v>76</v>
      </c>
      <c r="I3203" s="3278">
        <v>3908300</v>
      </c>
    </row>
    <row r="3204" ht="12.75" customHeight="1" spans="2:9">
      <c r="B3204" s="3274">
        <v>2138</v>
      </c>
      <c r="D3204" s="3297" t="s">
        <v>8702</v>
      </c>
      <c r="E3204" s="3298" t="s">
        <v>8703</v>
      </c>
      <c r="F3204" s="3298" t="s">
        <v>2321</v>
      </c>
      <c r="G3204" s="3278">
        <v>53542.5</v>
      </c>
      <c r="H3204" s="3299">
        <v>36</v>
      </c>
      <c r="I3204" s="3278">
        <v>1927530</v>
      </c>
    </row>
    <row r="3205" ht="12.75" customHeight="1" spans="2:9">
      <c r="B3205" s="3274">
        <v>2139</v>
      </c>
      <c r="D3205" s="3297" t="s">
        <v>8704</v>
      </c>
      <c r="E3205" s="3298" t="s">
        <v>8705</v>
      </c>
      <c r="F3205" s="3298" t="s">
        <v>2321</v>
      </c>
      <c r="G3205" s="3278">
        <v>60500</v>
      </c>
      <c r="H3205" s="3299">
        <v>0</v>
      </c>
      <c r="I3205" s="3278">
        <v>0</v>
      </c>
    </row>
    <row r="3206" ht="12.75" customHeight="1" spans="2:9">
      <c r="B3206" s="3274">
        <v>2140</v>
      </c>
      <c r="D3206" s="3297" t="s">
        <v>8706</v>
      </c>
      <c r="E3206" s="3298" t="s">
        <v>8707</v>
      </c>
      <c r="F3206" s="3298" t="s">
        <v>2342</v>
      </c>
      <c r="G3206" s="3278">
        <v>15180</v>
      </c>
      <c r="H3206" s="3299">
        <v>0</v>
      </c>
      <c r="I3206" s="3278">
        <v>0</v>
      </c>
    </row>
    <row r="3207" ht="12.75" customHeight="1" spans="2:9">
      <c r="B3207" s="3274">
        <v>2141</v>
      </c>
      <c r="D3207" s="3297" t="s">
        <v>8708</v>
      </c>
      <c r="E3207" s="3298" t="s">
        <v>8709</v>
      </c>
      <c r="F3207" s="3298" t="s">
        <v>2342</v>
      </c>
      <c r="G3207" s="3278">
        <v>14850</v>
      </c>
      <c r="H3207" s="3299">
        <v>0</v>
      </c>
      <c r="I3207" s="3278">
        <v>0</v>
      </c>
    </row>
    <row r="3208" ht="12.75" customHeight="1" spans="2:9">
      <c r="B3208" s="3274">
        <v>2142</v>
      </c>
      <c r="D3208" s="3297" t="s">
        <v>8710</v>
      </c>
      <c r="E3208" s="3298" t="s">
        <v>8711</v>
      </c>
      <c r="F3208" s="3298" t="s">
        <v>4351</v>
      </c>
      <c r="G3208" s="3278">
        <v>5241.5</v>
      </c>
      <c r="H3208" s="3299">
        <v>0</v>
      </c>
      <c r="I3208" s="3278">
        <v>0</v>
      </c>
    </row>
    <row r="3209" ht="12.75" customHeight="1" spans="2:9">
      <c r="B3209" s="3274">
        <v>2143</v>
      </c>
      <c r="D3209" s="3297" t="s">
        <v>8712</v>
      </c>
      <c r="E3209" s="3298" t="s">
        <v>8713</v>
      </c>
      <c r="F3209" s="3298" t="s">
        <v>3056</v>
      </c>
      <c r="G3209" s="3278">
        <v>0</v>
      </c>
      <c r="H3209" s="3299">
        <v>0</v>
      </c>
      <c r="I3209" s="3278">
        <v>0</v>
      </c>
    </row>
    <row r="3210" ht="12.75" customHeight="1" spans="2:9">
      <c r="B3210" s="3274">
        <v>2144</v>
      </c>
      <c r="D3210" s="3297" t="s">
        <v>8714</v>
      </c>
      <c r="E3210" s="3298" t="s">
        <v>8715</v>
      </c>
      <c r="F3210" s="3298" t="s">
        <v>3056</v>
      </c>
      <c r="G3210" s="3278">
        <v>23100</v>
      </c>
      <c r="H3210" s="3299">
        <v>0</v>
      </c>
      <c r="I3210" s="3278">
        <v>0</v>
      </c>
    </row>
    <row r="3211" ht="12.75" customHeight="1" spans="2:9">
      <c r="B3211" s="3274">
        <v>2145</v>
      </c>
      <c r="D3211" s="3297" t="s">
        <v>8716</v>
      </c>
      <c r="E3211" s="3298" t="s">
        <v>8717</v>
      </c>
      <c r="F3211" s="3298" t="s">
        <v>3042</v>
      </c>
      <c r="G3211" s="3278">
        <v>48400</v>
      </c>
      <c r="H3211" s="3299">
        <v>0</v>
      </c>
      <c r="I3211" s="3278">
        <v>0</v>
      </c>
    </row>
    <row r="3212" ht="12.75" customHeight="1" spans="2:9">
      <c r="B3212" s="3274">
        <v>2146</v>
      </c>
      <c r="D3212" s="3297" t="s">
        <v>8718</v>
      </c>
      <c r="E3212" s="3298" t="s">
        <v>8719</v>
      </c>
      <c r="F3212" s="3298" t="s">
        <v>3423</v>
      </c>
      <c r="G3212" s="3278">
        <v>0</v>
      </c>
      <c r="H3212" s="3299">
        <v>0</v>
      </c>
      <c r="I3212" s="3278">
        <v>0</v>
      </c>
    </row>
    <row r="3213" ht="12.75" customHeight="1" spans="2:9">
      <c r="B3213" s="3274">
        <v>2147</v>
      </c>
      <c r="D3213" s="3297" t="s">
        <v>8720</v>
      </c>
      <c r="E3213" s="3298" t="s">
        <v>8721</v>
      </c>
      <c r="F3213" s="3298" t="s">
        <v>3056</v>
      </c>
      <c r="G3213" s="3278">
        <v>2291.6631</v>
      </c>
      <c r="H3213" s="3299">
        <v>180</v>
      </c>
      <c r="I3213" s="3278">
        <v>412499.358</v>
      </c>
    </row>
    <row r="3214" ht="12.75" customHeight="1" spans="2:9">
      <c r="B3214" s="3274">
        <v>2148</v>
      </c>
      <c r="D3214" s="3297" t="s">
        <v>8722</v>
      </c>
      <c r="E3214" s="3298" t="s">
        <v>8723</v>
      </c>
      <c r="F3214" s="3298" t="s">
        <v>3056</v>
      </c>
      <c r="G3214" s="3278">
        <v>3850</v>
      </c>
      <c r="H3214" s="3299">
        <v>0</v>
      </c>
      <c r="I3214" s="3278">
        <v>0</v>
      </c>
    </row>
    <row r="3215" ht="12.75" customHeight="1" spans="2:9">
      <c r="B3215" s="3274">
        <v>2149</v>
      </c>
      <c r="D3215" s="3297" t="s">
        <v>8724</v>
      </c>
      <c r="E3215" s="3298" t="s">
        <v>8725</v>
      </c>
      <c r="F3215" s="3298" t="s">
        <v>5070</v>
      </c>
      <c r="G3215" s="3278">
        <v>3300</v>
      </c>
      <c r="H3215" s="3299">
        <v>0</v>
      </c>
      <c r="I3215" s="3278">
        <v>0</v>
      </c>
    </row>
    <row r="3216" ht="12.75" customHeight="1" spans="2:9">
      <c r="B3216" s="3274">
        <v>2150</v>
      </c>
      <c r="D3216" s="3297" t="s">
        <v>8726</v>
      </c>
      <c r="E3216" s="3298" t="s">
        <v>8727</v>
      </c>
      <c r="F3216" s="3298" t="s">
        <v>2321</v>
      </c>
      <c r="G3216" s="3278">
        <v>35433.2</v>
      </c>
      <c r="H3216" s="3299">
        <v>1</v>
      </c>
      <c r="I3216" s="3278">
        <v>35433.2</v>
      </c>
    </row>
    <row r="3217" ht="12.75" customHeight="1" spans="2:9">
      <c r="B3217" s="3274">
        <v>2151</v>
      </c>
      <c r="D3217" s="3297" t="s">
        <v>8728</v>
      </c>
      <c r="E3217" s="3298" t="s">
        <v>8729</v>
      </c>
      <c r="F3217" s="3298" t="s">
        <v>3056</v>
      </c>
      <c r="G3217" s="3278">
        <v>9568.1636</v>
      </c>
      <c r="H3217" s="3299">
        <v>60</v>
      </c>
      <c r="I3217" s="3278">
        <v>574089.816</v>
      </c>
    </row>
    <row r="3218" ht="12.75" customHeight="1" spans="2:9">
      <c r="B3218" s="3274">
        <v>2152</v>
      </c>
      <c r="D3218" s="3297" t="s">
        <v>8730</v>
      </c>
      <c r="E3218" s="3298" t="s">
        <v>8731</v>
      </c>
      <c r="F3218" s="3298" t="s">
        <v>3056</v>
      </c>
      <c r="G3218" s="3278">
        <v>8000</v>
      </c>
      <c r="H3218" s="3299">
        <v>0</v>
      </c>
      <c r="I3218" s="3278">
        <v>0</v>
      </c>
    </row>
    <row r="3219" ht="12.75" customHeight="1" spans="2:9">
      <c r="B3219" s="3274">
        <v>2153</v>
      </c>
      <c r="D3219" s="3297" t="s">
        <v>8732</v>
      </c>
      <c r="E3219" s="3298" t="s">
        <v>8733</v>
      </c>
      <c r="F3219" s="3298" t="s">
        <v>3056</v>
      </c>
      <c r="G3219" s="3278">
        <v>4900</v>
      </c>
      <c r="H3219" s="3299">
        <v>0</v>
      </c>
      <c r="I3219" s="3278">
        <v>0</v>
      </c>
    </row>
    <row r="3220" ht="12.75" customHeight="1" spans="2:9">
      <c r="B3220" s="3274">
        <v>2154</v>
      </c>
      <c r="D3220" s="3297" t="s">
        <v>8734</v>
      </c>
      <c r="E3220" s="3298" t="s">
        <v>8735</v>
      </c>
      <c r="F3220" s="3298" t="s">
        <v>3056</v>
      </c>
      <c r="G3220" s="3278">
        <v>1833.337</v>
      </c>
      <c r="H3220" s="3299">
        <v>180</v>
      </c>
      <c r="I3220" s="3278">
        <v>330000.66</v>
      </c>
    </row>
    <row r="3221" ht="12.75" customHeight="1" spans="2:9">
      <c r="B3221" s="3274">
        <v>2155</v>
      </c>
      <c r="D3221" s="3297" t="s">
        <v>8736</v>
      </c>
      <c r="E3221" s="3298" t="s">
        <v>8737</v>
      </c>
      <c r="F3221" s="3298" t="s">
        <v>3056</v>
      </c>
      <c r="G3221" s="3278">
        <v>5133.326</v>
      </c>
      <c r="H3221" s="3299">
        <v>0</v>
      </c>
      <c r="I3221" s="3278">
        <v>0</v>
      </c>
    </row>
    <row r="3222" ht="12.75" customHeight="1" spans="2:9">
      <c r="B3222" s="3274">
        <v>2156</v>
      </c>
      <c r="D3222" s="3297" t="s">
        <v>8738</v>
      </c>
      <c r="E3222" s="3298" t="s">
        <v>8739</v>
      </c>
      <c r="F3222" s="3298" t="s">
        <v>3056</v>
      </c>
      <c r="G3222" s="3278">
        <v>82500</v>
      </c>
      <c r="H3222" s="3299">
        <v>0</v>
      </c>
      <c r="I3222" s="3278">
        <v>0</v>
      </c>
    </row>
    <row r="3223" ht="12.75" customHeight="1" spans="2:9">
      <c r="B3223" s="3274">
        <v>2157</v>
      </c>
      <c r="D3223" s="3297" t="s">
        <v>8740</v>
      </c>
      <c r="E3223" s="3298" t="s">
        <v>8741</v>
      </c>
      <c r="F3223" s="3298" t="s">
        <v>2321</v>
      </c>
      <c r="G3223" s="3278">
        <v>78300.5</v>
      </c>
      <c r="H3223" s="3299">
        <v>0</v>
      </c>
      <c r="I3223" s="3278">
        <v>0</v>
      </c>
    </row>
    <row r="3224" ht="12.75" customHeight="1" spans="2:9">
      <c r="B3224" s="3274">
        <v>2158</v>
      </c>
      <c r="D3224" s="3297" t="s">
        <v>8742</v>
      </c>
      <c r="E3224" s="3298" t="s">
        <v>8743</v>
      </c>
      <c r="F3224" s="3298" t="s">
        <v>2293</v>
      </c>
      <c r="G3224" s="3278">
        <v>11518.1</v>
      </c>
      <c r="H3224" s="3299">
        <v>0</v>
      </c>
      <c r="I3224" s="3278">
        <v>0</v>
      </c>
    </row>
    <row r="3225" ht="12.75" customHeight="1" spans="2:9">
      <c r="B3225" s="3274">
        <v>2159</v>
      </c>
      <c r="D3225" s="3297" t="s">
        <v>8744</v>
      </c>
      <c r="E3225" s="3298" t="s">
        <v>8745</v>
      </c>
      <c r="F3225" s="3298" t="s">
        <v>2321</v>
      </c>
      <c r="G3225" s="3278">
        <v>9350</v>
      </c>
      <c r="H3225" s="3299">
        <v>0</v>
      </c>
      <c r="I3225" s="3278">
        <v>0</v>
      </c>
    </row>
    <row r="3226" ht="12.75" customHeight="1" spans="2:9">
      <c r="B3226" s="3274">
        <v>2160</v>
      </c>
      <c r="D3226" s="3297" t="s">
        <v>8746</v>
      </c>
      <c r="E3226" s="3298" t="s">
        <v>8747</v>
      </c>
      <c r="F3226" s="3298" t="s">
        <v>2321</v>
      </c>
      <c r="G3226" s="3278">
        <v>0</v>
      </c>
      <c r="H3226" s="3299">
        <v>0</v>
      </c>
      <c r="I3226" s="3278">
        <v>0</v>
      </c>
    </row>
    <row r="3227" ht="12.75" customHeight="1" spans="2:9">
      <c r="B3227" s="3274">
        <v>2161</v>
      </c>
      <c r="D3227" s="3297" t="s">
        <v>8748</v>
      </c>
      <c r="E3227" s="3298" t="s">
        <v>8749</v>
      </c>
      <c r="F3227" s="3298" t="s">
        <v>2321</v>
      </c>
      <c r="G3227" s="3278">
        <v>7499.8</v>
      </c>
      <c r="H3227" s="3299">
        <v>0</v>
      </c>
      <c r="I3227" s="3278">
        <v>0</v>
      </c>
    </row>
    <row r="3228" ht="12.75" customHeight="1" spans="2:9">
      <c r="B3228" s="3274">
        <v>2162</v>
      </c>
      <c r="D3228" s="3297" t="s">
        <v>8750</v>
      </c>
      <c r="E3228" s="3298" t="s">
        <v>8751</v>
      </c>
      <c r="F3228" s="3298" t="s">
        <v>2637</v>
      </c>
      <c r="G3228" s="3278">
        <v>0</v>
      </c>
      <c r="H3228" s="3299">
        <v>0</v>
      </c>
      <c r="I3228" s="3278">
        <v>0</v>
      </c>
    </row>
    <row r="3229" ht="12.75" customHeight="1" spans="2:9">
      <c r="B3229" s="3274">
        <v>2163</v>
      </c>
      <c r="D3229" s="3297" t="s">
        <v>8752</v>
      </c>
      <c r="E3229" s="3298" t="s">
        <v>8753</v>
      </c>
      <c r="F3229" s="3298" t="s">
        <v>3423</v>
      </c>
      <c r="G3229" s="3278">
        <v>96525</v>
      </c>
      <c r="H3229" s="3299">
        <v>0</v>
      </c>
      <c r="I3229" s="3278">
        <v>0</v>
      </c>
    </row>
    <row r="3230" ht="12.75" customHeight="1" spans="2:9">
      <c r="B3230" s="3274">
        <v>2164</v>
      </c>
      <c r="D3230" s="3297" t="s">
        <v>8754</v>
      </c>
      <c r="E3230" s="3298" t="s">
        <v>8755</v>
      </c>
      <c r="F3230" s="3298" t="s">
        <v>2321</v>
      </c>
      <c r="G3230" s="3278">
        <v>36300</v>
      </c>
      <c r="H3230" s="3299">
        <v>0</v>
      </c>
      <c r="I3230" s="3278">
        <v>0</v>
      </c>
    </row>
    <row r="3231" ht="12.75" customHeight="1" spans="2:9">
      <c r="B3231" s="3274">
        <v>2165</v>
      </c>
      <c r="D3231" s="3297" t="s">
        <v>8756</v>
      </c>
      <c r="E3231" s="3298" t="s">
        <v>8757</v>
      </c>
      <c r="F3231" s="3298" t="s">
        <v>2321</v>
      </c>
      <c r="G3231" s="3278">
        <v>51480</v>
      </c>
      <c r="H3231" s="3299">
        <v>0</v>
      </c>
      <c r="I3231" s="3278">
        <v>0</v>
      </c>
    </row>
    <row r="3232" ht="12.75" customHeight="1" spans="2:9">
      <c r="B3232" s="3274">
        <v>2166</v>
      </c>
      <c r="D3232" s="3297" t="s">
        <v>8758</v>
      </c>
      <c r="E3232" s="3298" t="s">
        <v>8759</v>
      </c>
      <c r="F3232" s="3298" t="s">
        <v>2321</v>
      </c>
      <c r="G3232" s="3278">
        <v>88000</v>
      </c>
      <c r="H3232" s="3299">
        <v>0</v>
      </c>
      <c r="I3232" s="3278">
        <v>0</v>
      </c>
    </row>
    <row r="3233" ht="12.75" customHeight="1" spans="2:9">
      <c r="B3233" s="3274">
        <v>2167</v>
      </c>
      <c r="D3233" s="3297" t="s">
        <v>8760</v>
      </c>
      <c r="E3233" s="3298" t="s">
        <v>8761</v>
      </c>
      <c r="F3233" s="3298" t="s">
        <v>3042</v>
      </c>
      <c r="G3233" s="3278">
        <v>12650</v>
      </c>
      <c r="H3233" s="3299">
        <v>0</v>
      </c>
      <c r="I3233" s="3278">
        <v>0</v>
      </c>
    </row>
    <row r="3234" ht="12.75" customHeight="1" spans="2:9">
      <c r="B3234" s="3274">
        <v>2168</v>
      </c>
      <c r="D3234" s="3297" t="s">
        <v>8762</v>
      </c>
      <c r="E3234" s="3298" t="s">
        <v>8763</v>
      </c>
      <c r="F3234" s="3298" t="s">
        <v>2367</v>
      </c>
      <c r="G3234" s="3278">
        <v>748000.22</v>
      </c>
      <c r="H3234" s="3299">
        <v>0</v>
      </c>
      <c r="I3234" s="3278">
        <v>0</v>
      </c>
    </row>
    <row r="3235" ht="12.75" customHeight="1" spans="2:9">
      <c r="B3235" s="3274">
        <v>2169</v>
      </c>
      <c r="D3235" s="3297" t="s">
        <v>8764</v>
      </c>
      <c r="E3235" s="3298" t="s">
        <v>8765</v>
      </c>
      <c r="F3235" s="3298" t="s">
        <v>2314</v>
      </c>
      <c r="G3235" s="3278">
        <v>150000</v>
      </c>
      <c r="H3235" s="3299">
        <v>0</v>
      </c>
      <c r="I3235" s="3278">
        <v>0</v>
      </c>
    </row>
    <row r="3236" ht="12.75" customHeight="1" spans="2:9">
      <c r="B3236" s="3274">
        <v>2170</v>
      </c>
      <c r="D3236" s="3297" t="s">
        <v>8766</v>
      </c>
      <c r="E3236" s="3298" t="s">
        <v>8767</v>
      </c>
      <c r="F3236" s="3298" t="s">
        <v>2637</v>
      </c>
      <c r="G3236" s="3278">
        <v>18774.47</v>
      </c>
      <c r="H3236" s="3299">
        <v>0</v>
      </c>
      <c r="I3236" s="3278">
        <v>0</v>
      </c>
    </row>
    <row r="3237" ht="12.75" customHeight="1" spans="2:9">
      <c r="B3237" s="3274">
        <v>2171</v>
      </c>
      <c r="D3237" s="3297" t="s">
        <v>8768</v>
      </c>
      <c r="E3237" s="3298" t="s">
        <v>8769</v>
      </c>
      <c r="F3237" s="3298" t="s">
        <v>5233</v>
      </c>
      <c r="G3237" s="3278">
        <v>0</v>
      </c>
      <c r="H3237" s="3299">
        <v>0</v>
      </c>
      <c r="I3237" s="3278">
        <v>0</v>
      </c>
    </row>
    <row r="3238" ht="12.75" customHeight="1" spans="2:9">
      <c r="B3238" s="3274">
        <v>2172</v>
      </c>
      <c r="D3238" s="3297" t="s">
        <v>8770</v>
      </c>
      <c r="E3238" s="3298" t="s">
        <v>8771</v>
      </c>
      <c r="F3238" s="3298" t="s">
        <v>5233</v>
      </c>
      <c r="G3238" s="3278">
        <v>0</v>
      </c>
      <c r="H3238" s="3299">
        <v>0</v>
      </c>
      <c r="I3238" s="3278">
        <v>0</v>
      </c>
    </row>
    <row r="3239" ht="12.75" customHeight="1" spans="2:9">
      <c r="B3239" s="3274">
        <v>2173</v>
      </c>
      <c r="D3239" s="3297" t="s">
        <v>8772</v>
      </c>
      <c r="E3239" s="3298" t="s">
        <v>8773</v>
      </c>
      <c r="F3239" s="3298" t="s">
        <v>3056</v>
      </c>
      <c r="G3239" s="3278">
        <v>7920</v>
      </c>
      <c r="H3239" s="3299">
        <v>110</v>
      </c>
      <c r="I3239" s="3278">
        <v>871200</v>
      </c>
    </row>
    <row r="3240" ht="12.75" customHeight="1" spans="2:9">
      <c r="B3240" s="3274">
        <v>2174</v>
      </c>
      <c r="D3240" s="3297" t="s">
        <v>8774</v>
      </c>
      <c r="E3240" s="3298" t="s">
        <v>8775</v>
      </c>
      <c r="F3240" s="3298" t="s">
        <v>3056</v>
      </c>
      <c r="G3240" s="3278">
        <v>9900</v>
      </c>
      <c r="H3240" s="3299">
        <v>270</v>
      </c>
      <c r="I3240" s="3278">
        <v>2673000</v>
      </c>
    </row>
    <row r="3241" ht="12.75" customHeight="1" spans="2:9">
      <c r="B3241" s="3274">
        <v>2175</v>
      </c>
      <c r="D3241" s="3297" t="s">
        <v>8776</v>
      </c>
      <c r="E3241" s="3298" t="s">
        <v>8777</v>
      </c>
      <c r="F3241" s="3298" t="s">
        <v>3423</v>
      </c>
      <c r="G3241" s="3278">
        <v>132000</v>
      </c>
      <c r="H3241" s="3299">
        <v>0</v>
      </c>
      <c r="I3241" s="3278">
        <v>0</v>
      </c>
    </row>
    <row r="3242" ht="12.75" customHeight="1" spans="2:9">
      <c r="B3242" s="3274">
        <v>2176</v>
      </c>
      <c r="D3242" s="3297" t="s">
        <v>8778</v>
      </c>
      <c r="E3242" s="3298" t="s">
        <v>8779</v>
      </c>
      <c r="F3242" s="3298" t="s">
        <v>3056</v>
      </c>
      <c r="G3242" s="3278">
        <v>132</v>
      </c>
      <c r="H3242" s="3299">
        <v>0</v>
      </c>
      <c r="I3242" s="3278">
        <v>0</v>
      </c>
    </row>
    <row r="3243" ht="12.75" customHeight="1" spans="2:9">
      <c r="B3243" s="3274">
        <v>2177</v>
      </c>
      <c r="D3243" s="3297" t="s">
        <v>8780</v>
      </c>
      <c r="E3243" s="3298" t="s">
        <v>8781</v>
      </c>
      <c r="F3243" s="3298" t="s">
        <v>2321</v>
      </c>
      <c r="G3243" s="3278">
        <v>33550</v>
      </c>
      <c r="H3243" s="3299">
        <v>0</v>
      </c>
      <c r="I3243" s="3278">
        <v>0</v>
      </c>
    </row>
    <row r="3244" ht="12.75" customHeight="1" spans="2:9">
      <c r="B3244" s="3274">
        <v>2178</v>
      </c>
      <c r="D3244" s="3297" t="s">
        <v>8782</v>
      </c>
      <c r="E3244" s="3298" t="s">
        <v>8783</v>
      </c>
      <c r="F3244" s="3298" t="s">
        <v>3056</v>
      </c>
      <c r="G3244" s="3278">
        <v>1003.75</v>
      </c>
      <c r="H3244" s="3299">
        <v>0</v>
      </c>
      <c r="I3244" s="3278">
        <v>0</v>
      </c>
    </row>
    <row r="3245" ht="12.75" customHeight="1" spans="2:9">
      <c r="B3245" s="3274">
        <v>2179</v>
      </c>
      <c r="D3245" s="3297" t="s">
        <v>8784</v>
      </c>
      <c r="E3245" s="3298" t="s">
        <v>8785</v>
      </c>
      <c r="F3245" s="3298" t="s">
        <v>3056</v>
      </c>
      <c r="G3245" s="3278">
        <v>27500</v>
      </c>
      <c r="H3245" s="3299">
        <v>0</v>
      </c>
      <c r="I3245" s="3278">
        <v>0</v>
      </c>
    </row>
    <row r="3246" ht="12.75" customHeight="1" spans="2:9">
      <c r="B3246" s="3274">
        <v>2180</v>
      </c>
      <c r="D3246" s="3297" t="s">
        <v>8786</v>
      </c>
      <c r="E3246" s="3298" t="s">
        <v>8787</v>
      </c>
      <c r="F3246" s="3298" t="s">
        <v>3042</v>
      </c>
      <c r="G3246" s="3278">
        <v>354495.966</v>
      </c>
      <c r="H3246" s="3299">
        <v>0</v>
      </c>
      <c r="I3246" s="3278">
        <v>0</v>
      </c>
    </row>
    <row r="3247" ht="12.75" customHeight="1" spans="2:9">
      <c r="B3247" s="3274">
        <v>2181</v>
      </c>
      <c r="D3247" s="3297" t="s">
        <v>8788</v>
      </c>
      <c r="E3247" s="3298" t="s">
        <v>8789</v>
      </c>
      <c r="F3247" s="3298" t="s">
        <v>2457</v>
      </c>
      <c r="G3247" s="3278">
        <v>3000</v>
      </c>
      <c r="H3247" s="3299">
        <v>0</v>
      </c>
      <c r="I3247" s="3278">
        <v>0</v>
      </c>
    </row>
    <row r="3248" ht="12.75" customHeight="1" spans="2:9">
      <c r="B3248" s="3274">
        <v>2182</v>
      </c>
      <c r="D3248" s="3297" t="s">
        <v>8790</v>
      </c>
      <c r="E3248" s="3298" t="s">
        <v>8791</v>
      </c>
      <c r="F3248" s="3298" t="s">
        <v>3056</v>
      </c>
      <c r="G3248" s="3278">
        <v>6490</v>
      </c>
      <c r="H3248" s="3299">
        <v>0</v>
      </c>
      <c r="I3248" s="3278">
        <v>0</v>
      </c>
    </row>
    <row r="3249" ht="12.75" customHeight="1" spans="2:9">
      <c r="B3249" s="3274">
        <v>2183</v>
      </c>
      <c r="D3249" s="3297" t="s">
        <v>8792</v>
      </c>
      <c r="E3249" s="3298" t="s">
        <v>8793</v>
      </c>
      <c r="F3249" s="3298" t="s">
        <v>2321</v>
      </c>
      <c r="G3249" s="3278">
        <v>147000</v>
      </c>
      <c r="H3249" s="3299">
        <v>0</v>
      </c>
      <c r="I3249" s="3278">
        <v>0</v>
      </c>
    </row>
    <row r="3250" ht="12.75" customHeight="1" spans="2:9">
      <c r="B3250" s="3274">
        <v>2184</v>
      </c>
      <c r="D3250" s="3297" t="s">
        <v>8794</v>
      </c>
      <c r="E3250" s="3298" t="s">
        <v>8795</v>
      </c>
      <c r="F3250" s="3298" t="s">
        <v>3056</v>
      </c>
      <c r="G3250" s="3278">
        <v>541.2</v>
      </c>
      <c r="H3250" s="3299">
        <v>0</v>
      </c>
      <c r="I3250" s="3278">
        <v>0</v>
      </c>
    </row>
    <row r="3251" ht="12.75" customHeight="1" spans="2:9">
      <c r="B3251" s="3274">
        <v>2185</v>
      </c>
      <c r="D3251" s="3297" t="s">
        <v>8796</v>
      </c>
      <c r="E3251" s="3298" t="s">
        <v>8797</v>
      </c>
      <c r="F3251" s="3298" t="s">
        <v>2321</v>
      </c>
      <c r="G3251" s="3278">
        <v>9900</v>
      </c>
      <c r="H3251" s="3299">
        <v>0</v>
      </c>
      <c r="I3251" s="3278">
        <v>0</v>
      </c>
    </row>
    <row r="3252" ht="12.75" customHeight="1" spans="2:9">
      <c r="B3252" s="3274">
        <v>2186</v>
      </c>
      <c r="D3252" s="3297" t="s">
        <v>8798</v>
      </c>
      <c r="E3252" s="3298" t="s">
        <v>8799</v>
      </c>
      <c r="F3252" s="3298" t="s">
        <v>3042</v>
      </c>
      <c r="G3252" s="3278">
        <v>8800</v>
      </c>
      <c r="H3252" s="3299">
        <v>35</v>
      </c>
      <c r="I3252" s="3278">
        <v>308000</v>
      </c>
    </row>
    <row r="3253" ht="12.75" customHeight="1" spans="2:9">
      <c r="B3253" s="3274">
        <v>2187</v>
      </c>
      <c r="D3253" s="3297" t="s">
        <v>8800</v>
      </c>
      <c r="E3253" s="3298" t="s">
        <v>8801</v>
      </c>
      <c r="F3253" s="3298" t="s">
        <v>3056</v>
      </c>
      <c r="G3253" s="3278">
        <v>6600</v>
      </c>
      <c r="H3253" s="3299">
        <v>0</v>
      </c>
      <c r="I3253" s="3278">
        <v>0</v>
      </c>
    </row>
    <row r="3254" ht="12.75" customHeight="1" spans="2:9">
      <c r="B3254" s="3274">
        <v>2188</v>
      </c>
      <c r="D3254" s="3297" t="s">
        <v>8802</v>
      </c>
      <c r="E3254" s="3298" t="s">
        <v>8803</v>
      </c>
      <c r="F3254" s="3298" t="s">
        <v>2637</v>
      </c>
      <c r="G3254" s="3278">
        <v>32780</v>
      </c>
      <c r="H3254" s="3299">
        <v>18</v>
      </c>
      <c r="I3254" s="3278">
        <v>590040</v>
      </c>
    </row>
    <row r="3255" ht="12.75" customHeight="1" spans="2:9">
      <c r="B3255" s="3274">
        <v>2189</v>
      </c>
      <c r="D3255" s="3297" t="s">
        <v>8804</v>
      </c>
      <c r="E3255" s="3298" t="s">
        <v>8805</v>
      </c>
      <c r="F3255" s="3298" t="s">
        <v>4354</v>
      </c>
      <c r="G3255" s="3278">
        <v>36080</v>
      </c>
      <c r="H3255" s="3299">
        <v>0</v>
      </c>
      <c r="I3255" s="3278">
        <v>0</v>
      </c>
    </row>
    <row r="3256" ht="12.75" customHeight="1" spans="2:9">
      <c r="B3256" s="3274">
        <v>2190</v>
      </c>
      <c r="D3256" s="3297" t="s">
        <v>8806</v>
      </c>
      <c r="E3256" s="3298" t="s">
        <v>8807</v>
      </c>
      <c r="F3256" s="3298" t="s">
        <v>4351</v>
      </c>
      <c r="G3256" s="3278">
        <v>0</v>
      </c>
      <c r="H3256" s="3299">
        <v>0</v>
      </c>
      <c r="I3256" s="3278">
        <v>0</v>
      </c>
    </row>
    <row r="3257" ht="12.75" customHeight="1" spans="2:9">
      <c r="B3257" s="3274">
        <v>2191</v>
      </c>
      <c r="D3257" s="3297" t="s">
        <v>8808</v>
      </c>
      <c r="E3257" s="3298" t="s">
        <v>8809</v>
      </c>
      <c r="F3257" s="3298" t="s">
        <v>2321</v>
      </c>
      <c r="G3257" s="3278">
        <v>1650000</v>
      </c>
      <c r="H3257" s="3299">
        <v>0</v>
      </c>
      <c r="I3257" s="3278">
        <v>0</v>
      </c>
    </row>
    <row r="3258" ht="12.75" customHeight="1" spans="2:9">
      <c r="B3258" s="3274">
        <v>2192</v>
      </c>
      <c r="D3258" s="3297" t="s">
        <v>8810</v>
      </c>
      <c r="E3258" s="3298" t="s">
        <v>8811</v>
      </c>
      <c r="F3258" s="3298" t="s">
        <v>2321</v>
      </c>
      <c r="G3258" s="3278">
        <v>2310000</v>
      </c>
      <c r="H3258" s="3299">
        <v>0</v>
      </c>
      <c r="I3258" s="3278">
        <v>0</v>
      </c>
    </row>
    <row r="3259" ht="12.75" customHeight="1" spans="2:9">
      <c r="B3259" s="3274">
        <v>2193</v>
      </c>
      <c r="D3259" s="3297" t="s">
        <v>8812</v>
      </c>
      <c r="E3259" s="3298" t="s">
        <v>8813</v>
      </c>
      <c r="F3259" s="3298" t="s">
        <v>3056</v>
      </c>
      <c r="G3259" s="3278">
        <v>13200</v>
      </c>
      <c r="H3259" s="3299">
        <v>0</v>
      </c>
      <c r="I3259" s="3278">
        <v>0</v>
      </c>
    </row>
    <row r="3260" ht="12.75" customHeight="1" spans="2:9">
      <c r="B3260" s="3274">
        <v>2194</v>
      </c>
      <c r="D3260" s="3297" t="s">
        <v>8814</v>
      </c>
      <c r="E3260" s="3298" t="s">
        <v>8815</v>
      </c>
      <c r="F3260" s="3298" t="s">
        <v>3056</v>
      </c>
      <c r="G3260" s="3278">
        <v>12813.317</v>
      </c>
      <c r="H3260" s="3299">
        <v>0</v>
      </c>
      <c r="I3260" s="3278">
        <v>0</v>
      </c>
    </row>
    <row r="3261" ht="12.75" customHeight="1" spans="2:9">
      <c r="B3261" s="3274">
        <v>2195</v>
      </c>
      <c r="D3261" s="3297" t="s">
        <v>8816</v>
      </c>
      <c r="E3261" s="3298" t="s">
        <v>8817</v>
      </c>
      <c r="F3261" s="3298" t="s">
        <v>3056</v>
      </c>
      <c r="G3261" s="3278">
        <v>7681.003</v>
      </c>
      <c r="H3261" s="3299">
        <v>0</v>
      </c>
      <c r="I3261" s="3278">
        <v>0</v>
      </c>
    </row>
    <row r="3262" ht="12.75" customHeight="1" spans="2:9">
      <c r="B3262" s="3274">
        <v>2196</v>
      </c>
      <c r="D3262" s="3297" t="s">
        <v>8818</v>
      </c>
      <c r="E3262" s="3298" t="s">
        <v>8819</v>
      </c>
      <c r="F3262" s="3298" t="s">
        <v>2321</v>
      </c>
      <c r="G3262" s="3278">
        <v>22275</v>
      </c>
      <c r="H3262" s="3299">
        <v>0</v>
      </c>
      <c r="I3262" s="3278">
        <v>0</v>
      </c>
    </row>
    <row r="3263" ht="12.75" customHeight="1" spans="2:9">
      <c r="B3263" s="3274">
        <v>2197</v>
      </c>
      <c r="D3263" s="3297" t="s">
        <v>8820</v>
      </c>
      <c r="E3263" s="3298" t="s">
        <v>8821</v>
      </c>
      <c r="F3263" s="3298" t="s">
        <v>2321</v>
      </c>
      <c r="G3263" s="3278">
        <v>22275</v>
      </c>
      <c r="H3263" s="3299">
        <v>0</v>
      </c>
      <c r="I3263" s="3278">
        <v>0</v>
      </c>
    </row>
    <row r="3264" ht="12.75" customHeight="1" spans="2:9">
      <c r="B3264" s="3274">
        <v>2198</v>
      </c>
      <c r="D3264" s="3297" t="s">
        <v>8822</v>
      </c>
      <c r="E3264" s="3298" t="s">
        <v>8823</v>
      </c>
      <c r="F3264" s="3298" t="s">
        <v>2299</v>
      </c>
      <c r="G3264" s="3278">
        <v>32120</v>
      </c>
      <c r="H3264" s="3299">
        <v>0</v>
      </c>
      <c r="I3264" s="3278">
        <v>0</v>
      </c>
    </row>
    <row r="3265" ht="12.75" customHeight="1" spans="2:9">
      <c r="B3265" s="3274">
        <v>2199</v>
      </c>
      <c r="D3265" s="3297" t="s">
        <v>8824</v>
      </c>
      <c r="E3265" s="3298" t="s">
        <v>8825</v>
      </c>
      <c r="F3265" s="3298" t="s">
        <v>5233</v>
      </c>
      <c r="G3265" s="3278">
        <v>7370</v>
      </c>
      <c r="H3265" s="3299">
        <v>0</v>
      </c>
      <c r="I3265" s="3278">
        <v>0</v>
      </c>
    </row>
    <row r="3266" ht="12.75" customHeight="1" spans="2:9">
      <c r="B3266" s="3274">
        <v>2200</v>
      </c>
      <c r="D3266" s="3297" t="s">
        <v>8826</v>
      </c>
      <c r="E3266" s="3298" t="s">
        <v>8827</v>
      </c>
      <c r="F3266" s="3298" t="s">
        <v>5233</v>
      </c>
      <c r="G3266" s="3278">
        <v>11000</v>
      </c>
      <c r="H3266" s="3299">
        <v>0</v>
      </c>
      <c r="I3266" s="3278">
        <v>0</v>
      </c>
    </row>
    <row r="3267" ht="12.75" customHeight="1" spans="2:9">
      <c r="B3267" s="3274">
        <v>2201</v>
      </c>
      <c r="D3267" s="3297" t="s">
        <v>8828</v>
      </c>
      <c r="E3267" s="3298" t="s">
        <v>8829</v>
      </c>
      <c r="F3267" s="3298" t="s">
        <v>3056</v>
      </c>
      <c r="G3267" s="3278">
        <v>6600</v>
      </c>
      <c r="H3267" s="3299">
        <v>0</v>
      </c>
      <c r="I3267" s="3278">
        <v>0</v>
      </c>
    </row>
    <row r="3268" ht="12.75" customHeight="1" spans="2:9">
      <c r="B3268" s="3274">
        <v>2202</v>
      </c>
      <c r="D3268" s="3297" t="s">
        <v>8830</v>
      </c>
      <c r="E3268" s="3298" t="s">
        <v>8831</v>
      </c>
      <c r="F3268" s="3298" t="s">
        <v>2299</v>
      </c>
      <c r="G3268" s="3278">
        <v>18755</v>
      </c>
      <c r="H3268" s="3299">
        <v>0</v>
      </c>
      <c r="I3268" s="3278">
        <v>0</v>
      </c>
    </row>
    <row r="3269" ht="12.75" customHeight="1" spans="2:9">
      <c r="B3269" s="3274">
        <v>2203</v>
      </c>
      <c r="D3269" s="3297" t="s">
        <v>8832</v>
      </c>
      <c r="E3269" s="3298" t="s">
        <v>8833</v>
      </c>
      <c r="F3269" s="3298" t="s">
        <v>2288</v>
      </c>
      <c r="G3269" s="3278">
        <v>202423.1</v>
      </c>
      <c r="H3269" s="3299">
        <v>0</v>
      </c>
      <c r="I3269" s="3278">
        <v>0</v>
      </c>
    </row>
    <row r="3270" ht="12.75" customHeight="1" spans="2:9">
      <c r="B3270" s="3274">
        <v>2204</v>
      </c>
      <c r="D3270" s="3297" t="s">
        <v>8834</v>
      </c>
      <c r="E3270" s="3298" t="s">
        <v>8835</v>
      </c>
      <c r="F3270" s="3298" t="s">
        <v>4351</v>
      </c>
      <c r="G3270" s="3278">
        <v>6187.5</v>
      </c>
      <c r="H3270" s="3299">
        <v>672</v>
      </c>
      <c r="I3270" s="3278">
        <v>4158000</v>
      </c>
    </row>
    <row r="3271" ht="12.75" customHeight="1" spans="2:9">
      <c r="B3271" s="3274">
        <v>2205</v>
      </c>
      <c r="D3271" s="3297" t="s">
        <v>8836</v>
      </c>
      <c r="E3271" s="3298" t="s">
        <v>8837</v>
      </c>
      <c r="F3271" s="3298" t="s">
        <v>2299</v>
      </c>
      <c r="G3271" s="3278">
        <v>126500</v>
      </c>
      <c r="H3271" s="3299">
        <v>0</v>
      </c>
      <c r="I3271" s="3278">
        <v>0</v>
      </c>
    </row>
    <row r="3272" ht="12.75" customHeight="1" spans="2:9">
      <c r="B3272" s="3274">
        <v>2206</v>
      </c>
      <c r="D3272" s="3297" t="s">
        <v>8838</v>
      </c>
      <c r="E3272" s="3298" t="s">
        <v>8839</v>
      </c>
      <c r="F3272" s="3298" t="s">
        <v>2457</v>
      </c>
      <c r="G3272" s="3278">
        <v>56115.4</v>
      </c>
      <c r="H3272" s="3299">
        <v>0</v>
      </c>
      <c r="I3272" s="3278">
        <v>0</v>
      </c>
    </row>
    <row r="3273" ht="12.75" customHeight="1" spans="2:9">
      <c r="B3273" s="3274">
        <v>2207</v>
      </c>
      <c r="D3273" s="3297" t="s">
        <v>8840</v>
      </c>
      <c r="E3273" s="3298" t="s">
        <v>8841</v>
      </c>
      <c r="F3273" s="3298" t="s">
        <v>2457</v>
      </c>
      <c r="G3273" s="3278">
        <v>56115.4</v>
      </c>
      <c r="H3273" s="3299">
        <v>0</v>
      </c>
      <c r="I3273" s="3278">
        <v>0</v>
      </c>
    </row>
    <row r="3274" ht="12.75" customHeight="1" spans="2:9">
      <c r="B3274" s="3274">
        <v>2208</v>
      </c>
      <c r="D3274" s="3297" t="s">
        <v>8842</v>
      </c>
      <c r="E3274" s="3298" t="s">
        <v>8843</v>
      </c>
      <c r="F3274" s="3298" t="s">
        <v>2457</v>
      </c>
      <c r="G3274" s="3278">
        <v>38562.7</v>
      </c>
      <c r="H3274" s="3299">
        <v>0</v>
      </c>
      <c r="I3274" s="3278">
        <v>0</v>
      </c>
    </row>
    <row r="3275" ht="12.75" customHeight="1" spans="2:9">
      <c r="B3275" s="3274">
        <v>2209</v>
      </c>
      <c r="D3275" s="3297" t="s">
        <v>8844</v>
      </c>
      <c r="E3275" s="3298" t="s">
        <v>8845</v>
      </c>
      <c r="F3275" s="3298" t="s">
        <v>2457</v>
      </c>
      <c r="G3275" s="3278">
        <v>69327.5</v>
      </c>
      <c r="H3275" s="3299">
        <v>0</v>
      </c>
      <c r="I3275" s="3278">
        <v>0</v>
      </c>
    </row>
    <row r="3276" ht="12.75" customHeight="1" spans="2:9">
      <c r="B3276" s="3274">
        <v>2210</v>
      </c>
      <c r="D3276" s="3297" t="s">
        <v>8846</v>
      </c>
      <c r="E3276" s="3298" t="s">
        <v>8847</v>
      </c>
      <c r="F3276" s="3298" t="s">
        <v>2457</v>
      </c>
      <c r="G3276" s="3278">
        <v>36647.6</v>
      </c>
      <c r="H3276" s="3299">
        <v>0</v>
      </c>
      <c r="I3276" s="3278">
        <v>0</v>
      </c>
    </row>
    <row r="3277" ht="12.75" customHeight="1" spans="2:9">
      <c r="B3277" s="3274">
        <v>2211</v>
      </c>
      <c r="D3277" s="3297" t="s">
        <v>8848</v>
      </c>
      <c r="E3277" s="3298" t="s">
        <v>8849</v>
      </c>
      <c r="F3277" s="3298" t="s">
        <v>2457</v>
      </c>
      <c r="G3277" s="3278">
        <v>36647.6</v>
      </c>
      <c r="H3277" s="3299">
        <v>0</v>
      </c>
      <c r="I3277" s="3278">
        <v>0</v>
      </c>
    </row>
    <row r="3278" ht="12.75" customHeight="1" spans="2:9">
      <c r="B3278" s="3274">
        <v>2212</v>
      </c>
      <c r="D3278" s="3297" t="s">
        <v>8850</v>
      </c>
      <c r="E3278" s="3298" t="s">
        <v>8851</v>
      </c>
      <c r="F3278" s="3298" t="s">
        <v>2457</v>
      </c>
      <c r="G3278" s="3278">
        <v>67833.7</v>
      </c>
      <c r="H3278" s="3299">
        <v>0</v>
      </c>
      <c r="I3278" s="3278">
        <v>0</v>
      </c>
    </row>
    <row r="3279" ht="12.75" customHeight="1" spans="2:9">
      <c r="B3279" s="3274">
        <v>2213</v>
      </c>
      <c r="D3279" s="3297" t="s">
        <v>8852</v>
      </c>
      <c r="E3279" s="3298" t="s">
        <v>8853</v>
      </c>
      <c r="F3279" s="3298" t="s">
        <v>2457</v>
      </c>
      <c r="G3279" s="3278">
        <v>67833.7</v>
      </c>
      <c r="H3279" s="3299">
        <v>0</v>
      </c>
      <c r="I3279" s="3278">
        <v>0</v>
      </c>
    </row>
    <row r="3280" ht="12.75" customHeight="1" spans="2:9">
      <c r="B3280" s="3274">
        <v>2214</v>
      </c>
      <c r="D3280" s="3297" t="s">
        <v>8854</v>
      </c>
      <c r="E3280" s="3298" t="s">
        <v>8855</v>
      </c>
      <c r="F3280" s="3298" t="s">
        <v>2457</v>
      </c>
      <c r="G3280" s="3278">
        <v>67833.7</v>
      </c>
      <c r="H3280" s="3299">
        <v>0</v>
      </c>
      <c r="I3280" s="3278">
        <v>0</v>
      </c>
    </row>
    <row r="3281" ht="12.75" customHeight="1" spans="2:9">
      <c r="B3281" s="3274">
        <v>2215</v>
      </c>
      <c r="D3281" s="3297" t="s">
        <v>8856</v>
      </c>
      <c r="E3281" s="3298" t="s">
        <v>8857</v>
      </c>
      <c r="F3281" s="3298" t="s">
        <v>2457</v>
      </c>
      <c r="G3281" s="3278">
        <v>67833.7</v>
      </c>
      <c r="H3281" s="3299">
        <v>0</v>
      </c>
      <c r="I3281" s="3278">
        <v>0</v>
      </c>
    </row>
    <row r="3282" ht="12.75" customHeight="1" spans="2:9">
      <c r="B3282" s="3274">
        <v>2216</v>
      </c>
      <c r="D3282" s="3297" t="s">
        <v>8858</v>
      </c>
      <c r="E3282" s="3298" t="s">
        <v>8859</v>
      </c>
      <c r="F3282" s="3298" t="s">
        <v>2457</v>
      </c>
      <c r="G3282" s="3278">
        <v>35900.7</v>
      </c>
      <c r="H3282" s="3299">
        <v>0</v>
      </c>
      <c r="I3282" s="3278">
        <v>0</v>
      </c>
    </row>
    <row r="3283" ht="12.75" customHeight="1" spans="2:9">
      <c r="B3283" s="3274">
        <v>2217</v>
      </c>
      <c r="D3283" s="3297" t="s">
        <v>8860</v>
      </c>
      <c r="E3283" s="3298" t="s">
        <v>8861</v>
      </c>
      <c r="F3283" s="3298" t="s">
        <v>2457</v>
      </c>
      <c r="G3283" s="3278">
        <v>67833.7</v>
      </c>
      <c r="H3283" s="3299">
        <v>0</v>
      </c>
      <c r="I3283" s="3278">
        <v>0</v>
      </c>
    </row>
    <row r="3284" ht="12.75" customHeight="1" spans="2:9">
      <c r="B3284" s="3274">
        <v>2218</v>
      </c>
      <c r="D3284" s="3297" t="s">
        <v>8862</v>
      </c>
      <c r="E3284" s="3298" t="s">
        <v>8863</v>
      </c>
      <c r="F3284" s="3298" t="s">
        <v>2457</v>
      </c>
      <c r="G3284" s="3278">
        <v>67833.7</v>
      </c>
      <c r="H3284" s="3299">
        <v>0</v>
      </c>
      <c r="I3284" s="3278">
        <v>0</v>
      </c>
    </row>
    <row r="3285" ht="12.75" customHeight="1" spans="2:9">
      <c r="B3285" s="3274">
        <v>2219</v>
      </c>
      <c r="D3285" s="3297" t="s">
        <v>8864</v>
      </c>
      <c r="E3285" s="3298" t="s">
        <v>8865</v>
      </c>
      <c r="F3285" s="3298" t="s">
        <v>2457</v>
      </c>
      <c r="G3285" s="3278">
        <v>7904.6</v>
      </c>
      <c r="H3285" s="3299">
        <v>0</v>
      </c>
      <c r="I3285" s="3278">
        <v>0</v>
      </c>
    </row>
    <row r="3286" ht="12.75" customHeight="1" spans="2:9">
      <c r="B3286" s="3274">
        <v>2220</v>
      </c>
      <c r="D3286" s="3297" t="s">
        <v>8866</v>
      </c>
      <c r="E3286" s="3298" t="s">
        <v>8867</v>
      </c>
      <c r="F3286" s="3298" t="s">
        <v>2457</v>
      </c>
      <c r="G3286" s="3278">
        <v>8356.7</v>
      </c>
      <c r="H3286" s="3299">
        <v>0</v>
      </c>
      <c r="I3286" s="3278">
        <v>0</v>
      </c>
    </row>
    <row r="3287" ht="12.75" customHeight="1" spans="2:9">
      <c r="B3287" s="3274">
        <v>2221</v>
      </c>
      <c r="D3287" s="3297" t="s">
        <v>8868</v>
      </c>
      <c r="E3287" s="3298" t="s">
        <v>8869</v>
      </c>
      <c r="F3287" s="3298" t="s">
        <v>3056</v>
      </c>
      <c r="G3287" s="3278">
        <v>550</v>
      </c>
      <c r="H3287" s="3299">
        <v>0</v>
      </c>
      <c r="I3287" s="3278">
        <v>0</v>
      </c>
    </row>
    <row r="3288" ht="12.75" customHeight="1" spans="2:9">
      <c r="B3288" s="3274">
        <v>2222</v>
      </c>
      <c r="D3288" s="3297" t="s">
        <v>8870</v>
      </c>
      <c r="E3288" s="3298" t="s">
        <v>8871</v>
      </c>
      <c r="F3288" s="3298" t="s">
        <v>2321</v>
      </c>
      <c r="G3288" s="3278">
        <v>20500</v>
      </c>
      <c r="H3288" s="3299">
        <v>0</v>
      </c>
      <c r="I3288" s="3278">
        <v>0</v>
      </c>
    </row>
    <row r="3289" ht="12.75" customHeight="1" spans="2:9">
      <c r="B3289" s="3274">
        <v>2223</v>
      </c>
      <c r="D3289" s="3297" t="s">
        <v>8872</v>
      </c>
      <c r="E3289" s="3298" t="s">
        <v>8873</v>
      </c>
      <c r="F3289" s="3298" t="s">
        <v>3056</v>
      </c>
      <c r="G3289" s="3278">
        <v>2748.163</v>
      </c>
      <c r="H3289" s="3299">
        <v>0</v>
      </c>
      <c r="I3289" s="3278">
        <v>0</v>
      </c>
    </row>
    <row r="3290" ht="12.75" customHeight="1" spans="2:9">
      <c r="B3290" s="3274">
        <v>2224</v>
      </c>
      <c r="D3290" s="3297" t="s">
        <v>8874</v>
      </c>
      <c r="E3290" s="3298" t="s">
        <v>8875</v>
      </c>
      <c r="F3290" s="3298" t="s">
        <v>3056</v>
      </c>
      <c r="G3290" s="3278">
        <v>0</v>
      </c>
      <c r="H3290" s="3299">
        <v>0</v>
      </c>
      <c r="I3290" s="3278">
        <v>0</v>
      </c>
    </row>
    <row r="3291" ht="12.75" customHeight="1" spans="2:9">
      <c r="B3291" s="3274">
        <v>2225</v>
      </c>
      <c r="D3291" s="3297" t="s">
        <v>8876</v>
      </c>
      <c r="E3291" s="3298" t="s">
        <v>8877</v>
      </c>
      <c r="F3291" s="3298" t="s">
        <v>3056</v>
      </c>
      <c r="G3291" s="3278">
        <v>3850</v>
      </c>
      <c r="H3291" s="3299">
        <v>0</v>
      </c>
      <c r="I3291" s="3278">
        <v>0</v>
      </c>
    </row>
    <row r="3292" ht="12.75" customHeight="1" spans="2:9">
      <c r="B3292" s="3274">
        <v>2226</v>
      </c>
      <c r="D3292" s="3297" t="s">
        <v>8878</v>
      </c>
      <c r="E3292" s="3298" t="s">
        <v>8879</v>
      </c>
      <c r="F3292" s="3298" t="s">
        <v>3056</v>
      </c>
      <c r="G3292" s="3278">
        <v>5336.1</v>
      </c>
      <c r="H3292" s="3299">
        <v>0</v>
      </c>
      <c r="I3292" s="3278">
        <v>0</v>
      </c>
    </row>
    <row r="3293" ht="12.75" customHeight="1" spans="2:9">
      <c r="B3293" s="3274">
        <v>2227</v>
      </c>
      <c r="D3293" s="3297" t="s">
        <v>8880</v>
      </c>
      <c r="E3293" s="3298" t="s">
        <v>8881</v>
      </c>
      <c r="F3293" s="3298" t="s">
        <v>5070</v>
      </c>
      <c r="G3293" s="3278">
        <v>13695</v>
      </c>
      <c r="H3293" s="3299">
        <v>0</v>
      </c>
      <c r="I3293" s="3278">
        <v>0</v>
      </c>
    </row>
    <row r="3294" ht="12.75" customHeight="1" spans="2:9">
      <c r="B3294" s="3274">
        <v>2228</v>
      </c>
      <c r="D3294" s="3297" t="s">
        <v>8882</v>
      </c>
      <c r="E3294" s="3298" t="s">
        <v>8883</v>
      </c>
      <c r="F3294" s="3298" t="s">
        <v>3042</v>
      </c>
      <c r="G3294" s="3278">
        <v>18986</v>
      </c>
      <c r="H3294" s="3299">
        <v>0</v>
      </c>
      <c r="I3294" s="3278">
        <v>0</v>
      </c>
    </row>
    <row r="3295" ht="12.75" customHeight="1" spans="2:9">
      <c r="B3295" s="3274">
        <v>2229</v>
      </c>
      <c r="D3295" s="3297" t="s">
        <v>8884</v>
      </c>
      <c r="E3295" s="3298" t="s">
        <v>8885</v>
      </c>
      <c r="F3295" s="3298" t="s">
        <v>2321</v>
      </c>
      <c r="G3295" s="3278">
        <v>21175</v>
      </c>
      <c r="H3295" s="3299">
        <v>0</v>
      </c>
      <c r="I3295" s="3278">
        <v>0</v>
      </c>
    </row>
    <row r="3296" ht="12.75" customHeight="1" spans="2:9">
      <c r="B3296" s="3274">
        <v>2230</v>
      </c>
      <c r="D3296" s="3297" t="s">
        <v>8886</v>
      </c>
      <c r="E3296" s="3298" t="s">
        <v>8887</v>
      </c>
      <c r="F3296" s="3298" t="s">
        <v>2321</v>
      </c>
      <c r="G3296" s="3278">
        <v>94380</v>
      </c>
      <c r="H3296" s="3299">
        <v>0</v>
      </c>
      <c r="I3296" s="3278">
        <v>0</v>
      </c>
    </row>
    <row r="3297" ht="12.75" customHeight="1" spans="2:9">
      <c r="B3297" s="3274">
        <v>2231</v>
      </c>
      <c r="D3297" s="3297" t="s">
        <v>8888</v>
      </c>
      <c r="E3297" s="3298" t="s">
        <v>8889</v>
      </c>
      <c r="F3297" s="3298" t="s">
        <v>3056</v>
      </c>
      <c r="G3297" s="3278">
        <v>22745.8</v>
      </c>
      <c r="H3297" s="3299">
        <v>0</v>
      </c>
      <c r="I3297" s="3278">
        <v>0</v>
      </c>
    </row>
    <row r="3298" ht="12.75" customHeight="1" spans="2:9">
      <c r="B3298" s="3274">
        <v>2232</v>
      </c>
      <c r="D3298" s="3297" t="s">
        <v>8890</v>
      </c>
      <c r="E3298" s="3298" t="s">
        <v>8891</v>
      </c>
      <c r="F3298" s="3298" t="s">
        <v>3056</v>
      </c>
      <c r="G3298" s="3278">
        <v>14000</v>
      </c>
      <c r="H3298" s="3299">
        <v>0</v>
      </c>
      <c r="I3298" s="3278">
        <v>0</v>
      </c>
    </row>
    <row r="3299" ht="12.75" customHeight="1" spans="2:9">
      <c r="B3299" s="3274">
        <v>2233</v>
      </c>
      <c r="D3299" s="3297" t="s">
        <v>8892</v>
      </c>
      <c r="E3299" s="3298" t="s">
        <v>8893</v>
      </c>
      <c r="F3299" s="3298" t="s">
        <v>3056</v>
      </c>
      <c r="G3299" s="3278">
        <v>12980</v>
      </c>
      <c r="H3299" s="3299">
        <v>1200</v>
      </c>
      <c r="I3299" s="3278">
        <v>15576000</v>
      </c>
    </row>
    <row r="3300" ht="12.75" customHeight="1" spans="2:9">
      <c r="B3300" s="3274">
        <v>2234</v>
      </c>
      <c r="D3300" s="3297" t="s">
        <v>8894</v>
      </c>
      <c r="E3300" s="3298" t="s">
        <v>8895</v>
      </c>
      <c r="F3300" s="3298" t="s">
        <v>3056</v>
      </c>
      <c r="G3300" s="3278">
        <v>6655</v>
      </c>
      <c r="H3300" s="3299">
        <v>0</v>
      </c>
      <c r="I3300" s="3278">
        <v>0</v>
      </c>
    </row>
    <row r="3301" ht="12.75" customHeight="1" spans="2:9">
      <c r="B3301" s="3274">
        <v>2235</v>
      </c>
      <c r="D3301" s="3297" t="s">
        <v>8896</v>
      </c>
      <c r="E3301" s="3298" t="s">
        <v>8897</v>
      </c>
      <c r="F3301" s="3298" t="s">
        <v>3056</v>
      </c>
      <c r="G3301" s="3278">
        <v>4950</v>
      </c>
      <c r="H3301" s="3299">
        <v>420</v>
      </c>
      <c r="I3301" s="3278">
        <v>2079000</v>
      </c>
    </row>
    <row r="3302" ht="12.75" customHeight="1" spans="2:9">
      <c r="B3302" s="3274">
        <v>2236</v>
      </c>
      <c r="D3302" s="3297" t="s">
        <v>8898</v>
      </c>
      <c r="E3302" s="3298" t="s">
        <v>8899</v>
      </c>
      <c r="F3302" s="3298" t="s">
        <v>3042</v>
      </c>
      <c r="G3302" s="3278">
        <v>27200</v>
      </c>
      <c r="H3302" s="3299">
        <v>0</v>
      </c>
      <c r="I3302" s="3278">
        <v>0</v>
      </c>
    </row>
    <row r="3303" ht="12.75" customHeight="1" spans="2:9">
      <c r="B3303" s="3274">
        <v>2237</v>
      </c>
      <c r="D3303" s="3297" t="s">
        <v>8900</v>
      </c>
      <c r="E3303" s="3298" t="s">
        <v>8901</v>
      </c>
      <c r="F3303" s="3298" t="s">
        <v>3042</v>
      </c>
      <c r="G3303" s="3278">
        <v>20900</v>
      </c>
      <c r="H3303" s="3299">
        <v>0</v>
      </c>
      <c r="I3303" s="3278">
        <v>0</v>
      </c>
    </row>
    <row r="3304" ht="12.75" customHeight="1" spans="2:9">
      <c r="B3304" s="3274">
        <v>2238</v>
      </c>
      <c r="D3304" s="3297" t="s">
        <v>8902</v>
      </c>
      <c r="E3304" s="3298" t="s">
        <v>8903</v>
      </c>
      <c r="F3304" s="3298" t="s">
        <v>3056</v>
      </c>
      <c r="G3304" s="3278">
        <v>3270.3</v>
      </c>
      <c r="H3304" s="3299">
        <v>0</v>
      </c>
      <c r="I3304" s="3278">
        <v>0</v>
      </c>
    </row>
    <row r="3305" ht="12.75" customHeight="1" spans="2:9">
      <c r="B3305" s="3274">
        <v>2239</v>
      </c>
      <c r="D3305" s="3297" t="s">
        <v>8904</v>
      </c>
      <c r="E3305" s="3298" t="s">
        <v>8905</v>
      </c>
      <c r="F3305" s="3298" t="s">
        <v>4351</v>
      </c>
      <c r="G3305" s="3278">
        <v>6985</v>
      </c>
      <c r="H3305" s="3299">
        <v>0</v>
      </c>
      <c r="I3305" s="3278">
        <v>0</v>
      </c>
    </row>
    <row r="3306" ht="12.75" customHeight="1" spans="2:9">
      <c r="B3306" s="3274">
        <v>2240</v>
      </c>
      <c r="D3306" s="3297" t="s">
        <v>8906</v>
      </c>
      <c r="E3306" s="3298" t="s">
        <v>8907</v>
      </c>
      <c r="F3306" s="3298" t="s">
        <v>2321</v>
      </c>
      <c r="G3306" s="3278">
        <v>41019</v>
      </c>
      <c r="H3306" s="3299">
        <v>0</v>
      </c>
      <c r="I3306" s="3278">
        <v>0</v>
      </c>
    </row>
    <row r="3307" ht="12.75" customHeight="1" spans="2:9">
      <c r="B3307" s="3274">
        <v>2241</v>
      </c>
      <c r="D3307" s="3297" t="s">
        <v>8908</v>
      </c>
      <c r="E3307" s="3298" t="s">
        <v>8909</v>
      </c>
      <c r="F3307" s="3298" t="s">
        <v>4351</v>
      </c>
      <c r="G3307" s="3278">
        <v>6891.5</v>
      </c>
      <c r="H3307" s="3299">
        <v>0</v>
      </c>
      <c r="I3307" s="3278">
        <v>0</v>
      </c>
    </row>
    <row r="3308" ht="12.75" customHeight="1" spans="2:9">
      <c r="B3308" s="3274">
        <v>2242</v>
      </c>
      <c r="D3308" s="3297" t="s">
        <v>8910</v>
      </c>
      <c r="E3308" s="3298" t="s">
        <v>8911</v>
      </c>
      <c r="F3308" s="3298" t="s">
        <v>3042</v>
      </c>
      <c r="G3308" s="3278">
        <v>18739.3809</v>
      </c>
      <c r="H3308" s="3299">
        <v>200</v>
      </c>
      <c r="I3308" s="3278">
        <v>3747876.18</v>
      </c>
    </row>
    <row r="3309" ht="12.75" customHeight="1" spans="2:9">
      <c r="B3309" s="3274">
        <v>2243</v>
      </c>
      <c r="D3309" s="3297" t="s">
        <v>8912</v>
      </c>
      <c r="E3309" s="3298" t="s">
        <v>8913</v>
      </c>
      <c r="F3309" s="3298" t="s">
        <v>4351</v>
      </c>
      <c r="G3309" s="3278">
        <v>0</v>
      </c>
      <c r="H3309" s="3299">
        <v>0</v>
      </c>
      <c r="I3309" s="3278">
        <v>0</v>
      </c>
    </row>
    <row r="3310" ht="12.75" customHeight="1" spans="2:9">
      <c r="B3310" s="3274">
        <v>2244</v>
      </c>
      <c r="D3310" s="3297" t="s">
        <v>8914</v>
      </c>
      <c r="E3310" s="3298" t="s">
        <v>8915</v>
      </c>
      <c r="F3310" s="3298" t="s">
        <v>2321</v>
      </c>
      <c r="G3310" s="3278">
        <v>84150</v>
      </c>
      <c r="H3310" s="3299">
        <v>0</v>
      </c>
      <c r="I3310" s="3278">
        <v>0</v>
      </c>
    </row>
    <row r="3311" ht="12.75" customHeight="1" spans="2:9">
      <c r="B3311" s="3274">
        <v>2245</v>
      </c>
      <c r="D3311" s="3297" t="s">
        <v>8916</v>
      </c>
      <c r="E3311" s="3298" t="s">
        <v>8917</v>
      </c>
      <c r="F3311" s="3298" t="s">
        <v>2388</v>
      </c>
      <c r="G3311" s="3278">
        <v>30250</v>
      </c>
      <c r="H3311" s="3299">
        <v>0</v>
      </c>
      <c r="I3311" s="3278">
        <v>0</v>
      </c>
    </row>
    <row r="3312" ht="12.75" customHeight="1" spans="2:9">
      <c r="B3312" s="3274">
        <v>2246</v>
      </c>
      <c r="D3312" s="3297" t="s">
        <v>8918</v>
      </c>
      <c r="E3312" s="3298" t="s">
        <v>8919</v>
      </c>
      <c r="F3312" s="3298" t="s">
        <v>2321</v>
      </c>
      <c r="G3312" s="3278">
        <v>98450</v>
      </c>
      <c r="H3312" s="3299">
        <v>0</v>
      </c>
      <c r="I3312" s="3278">
        <v>0</v>
      </c>
    </row>
    <row r="3313" ht="12.75" customHeight="1" spans="2:9">
      <c r="B3313" s="3274">
        <v>2247</v>
      </c>
      <c r="D3313" s="3297" t="s">
        <v>8920</v>
      </c>
      <c r="E3313" s="3298" t="s">
        <v>8921</v>
      </c>
      <c r="F3313" s="3298" t="s">
        <v>2637</v>
      </c>
      <c r="G3313" s="3278">
        <v>48400</v>
      </c>
      <c r="H3313" s="3299">
        <v>0</v>
      </c>
      <c r="I3313" s="3278">
        <v>0</v>
      </c>
    </row>
    <row r="3314" ht="12.75" customHeight="1" spans="2:9">
      <c r="B3314" s="3274">
        <v>2248</v>
      </c>
      <c r="D3314" s="3297" t="s">
        <v>8922</v>
      </c>
      <c r="E3314" s="3298" t="s">
        <v>8923</v>
      </c>
      <c r="F3314" s="3298" t="s">
        <v>2321</v>
      </c>
      <c r="G3314" s="3278">
        <v>36300</v>
      </c>
      <c r="H3314" s="3299">
        <v>0</v>
      </c>
      <c r="I3314" s="3278">
        <v>0</v>
      </c>
    </row>
    <row r="3315" ht="12.75" customHeight="1" spans="2:9">
      <c r="B3315" s="3274">
        <v>2249</v>
      </c>
      <c r="D3315" s="3297" t="s">
        <v>8924</v>
      </c>
      <c r="E3315" s="3298" t="s">
        <v>8925</v>
      </c>
      <c r="F3315" s="3298" t="s">
        <v>3412</v>
      </c>
      <c r="G3315" s="3278">
        <v>57750</v>
      </c>
      <c r="H3315" s="3299">
        <v>0</v>
      </c>
      <c r="I3315" s="3278">
        <v>0</v>
      </c>
    </row>
    <row r="3316" ht="12.75" customHeight="1" spans="2:9">
      <c r="B3316" s="3274">
        <v>2250</v>
      </c>
      <c r="D3316" s="3297" t="s">
        <v>8926</v>
      </c>
      <c r="E3316" s="3298" t="s">
        <v>8927</v>
      </c>
      <c r="F3316" s="3298" t="s">
        <v>2321</v>
      </c>
      <c r="G3316" s="3278">
        <v>38500</v>
      </c>
      <c r="H3316" s="3299">
        <v>0</v>
      </c>
      <c r="I3316" s="3278">
        <v>0</v>
      </c>
    </row>
    <row r="3317" ht="12.75" customHeight="1" spans="2:9">
      <c r="B3317" s="3274">
        <v>2251</v>
      </c>
      <c r="D3317" s="3297" t="s">
        <v>8928</v>
      </c>
      <c r="E3317" s="3298" t="s">
        <v>8929</v>
      </c>
      <c r="F3317" s="3298" t="s">
        <v>2810</v>
      </c>
      <c r="G3317" s="3278">
        <v>0</v>
      </c>
      <c r="H3317" s="3299">
        <v>0</v>
      </c>
      <c r="I3317" s="3278">
        <v>0</v>
      </c>
    </row>
    <row r="3318" ht="12.75" customHeight="1" spans="2:9">
      <c r="B3318" s="3274">
        <v>2252</v>
      </c>
      <c r="D3318" s="3297" t="s">
        <v>8930</v>
      </c>
      <c r="E3318" s="3298" t="s">
        <v>8931</v>
      </c>
      <c r="F3318" s="3298" t="s">
        <v>2810</v>
      </c>
      <c r="G3318" s="3278">
        <v>0</v>
      </c>
      <c r="H3318" s="3299">
        <v>0</v>
      </c>
      <c r="I3318" s="3278">
        <v>0</v>
      </c>
    </row>
    <row r="3319" ht="12.75" customHeight="1" spans="2:9">
      <c r="B3319" s="3274">
        <v>2253</v>
      </c>
      <c r="D3319" s="3297" t="s">
        <v>8932</v>
      </c>
      <c r="E3319" s="3298" t="s">
        <v>8933</v>
      </c>
      <c r="F3319" s="3298" t="s">
        <v>3056</v>
      </c>
      <c r="G3319" s="3278">
        <v>6214.285</v>
      </c>
      <c r="H3319" s="3299">
        <v>0</v>
      </c>
      <c r="I3319" s="3278">
        <v>0</v>
      </c>
    </row>
    <row r="3320" ht="12.75" customHeight="1" spans="2:9">
      <c r="B3320" s="3274">
        <v>2254</v>
      </c>
      <c r="D3320" s="3297" t="s">
        <v>8934</v>
      </c>
      <c r="E3320" s="3298" t="s">
        <v>8935</v>
      </c>
      <c r="F3320" s="3298" t="s">
        <v>2637</v>
      </c>
      <c r="G3320" s="3278">
        <v>40000</v>
      </c>
      <c r="H3320" s="3299">
        <v>0</v>
      </c>
      <c r="I3320" s="3278">
        <v>0</v>
      </c>
    </row>
    <row r="3321" ht="12.75" customHeight="1" spans="2:9">
      <c r="B3321" s="3274">
        <v>2255</v>
      </c>
      <c r="D3321" s="3297" t="s">
        <v>8936</v>
      </c>
      <c r="E3321" s="3298" t="s">
        <v>8937</v>
      </c>
      <c r="F3321" s="3298" t="s">
        <v>3056</v>
      </c>
      <c r="G3321" s="3278">
        <v>0</v>
      </c>
      <c r="H3321" s="3299">
        <v>0</v>
      </c>
      <c r="I3321" s="3278">
        <v>0</v>
      </c>
    </row>
    <row r="3322" ht="12.75" customHeight="1" spans="2:9">
      <c r="B3322" s="3274">
        <v>2256</v>
      </c>
      <c r="D3322" s="3297" t="s">
        <v>8938</v>
      </c>
      <c r="E3322" s="3298" t="s">
        <v>8939</v>
      </c>
      <c r="F3322" s="3298" t="s">
        <v>3056</v>
      </c>
      <c r="G3322" s="3278">
        <v>330</v>
      </c>
      <c r="H3322" s="3299">
        <v>0</v>
      </c>
      <c r="I3322" s="3278">
        <v>0</v>
      </c>
    </row>
    <row r="3323" ht="12.75" customHeight="1" spans="2:9">
      <c r="B3323" s="3274">
        <v>2257</v>
      </c>
      <c r="D3323" s="3297" t="s">
        <v>8940</v>
      </c>
      <c r="E3323" s="3298" t="s">
        <v>8941</v>
      </c>
      <c r="F3323" s="3298" t="s">
        <v>2321</v>
      </c>
      <c r="G3323" s="3278">
        <v>9900</v>
      </c>
      <c r="H3323" s="3299">
        <v>0</v>
      </c>
      <c r="I3323" s="3278">
        <v>0</v>
      </c>
    </row>
    <row r="3324" ht="12.75" customHeight="1" spans="2:9">
      <c r="B3324" s="3274">
        <v>2258</v>
      </c>
      <c r="D3324" s="3297" t="s">
        <v>8942</v>
      </c>
      <c r="E3324" s="3298" t="s">
        <v>8943</v>
      </c>
      <c r="F3324" s="3298" t="s">
        <v>5233</v>
      </c>
      <c r="G3324" s="3278">
        <v>4400</v>
      </c>
      <c r="H3324" s="3299">
        <v>0</v>
      </c>
      <c r="I3324" s="3278">
        <v>0</v>
      </c>
    </row>
    <row r="3325" ht="12.75" customHeight="1" spans="2:9">
      <c r="B3325" s="3274">
        <v>2259</v>
      </c>
      <c r="D3325" s="3297" t="s">
        <v>8944</v>
      </c>
      <c r="E3325" s="3298" t="s">
        <v>8945</v>
      </c>
      <c r="F3325" s="3298" t="s">
        <v>5233</v>
      </c>
      <c r="G3325" s="3278">
        <v>5280</v>
      </c>
      <c r="H3325" s="3299">
        <v>0</v>
      </c>
      <c r="I3325" s="3278">
        <v>0</v>
      </c>
    </row>
    <row r="3326" ht="12.75" customHeight="1" spans="2:9">
      <c r="B3326" s="3274">
        <v>2260</v>
      </c>
      <c r="D3326" s="3297" t="s">
        <v>8946</v>
      </c>
      <c r="E3326" s="3298" t="s">
        <v>8947</v>
      </c>
      <c r="F3326" s="3298" t="s">
        <v>3042</v>
      </c>
      <c r="G3326" s="3278">
        <v>9350</v>
      </c>
      <c r="H3326" s="3299">
        <v>0</v>
      </c>
      <c r="I3326" s="3278">
        <v>0</v>
      </c>
    </row>
    <row r="3327" ht="12.75" customHeight="1" spans="2:9">
      <c r="B3327" s="3274">
        <v>2261</v>
      </c>
      <c r="D3327" s="3297" t="s">
        <v>8948</v>
      </c>
      <c r="E3327" s="3298" t="s">
        <v>8949</v>
      </c>
      <c r="F3327" s="3298" t="s">
        <v>2299</v>
      </c>
      <c r="G3327" s="3278">
        <v>77000</v>
      </c>
      <c r="H3327" s="3299">
        <v>0</v>
      </c>
      <c r="I3327" s="3278">
        <v>0</v>
      </c>
    </row>
    <row r="3328" ht="12.75" customHeight="1" spans="2:9">
      <c r="B3328" s="3274">
        <v>2262</v>
      </c>
      <c r="D3328" s="3297" t="s">
        <v>8950</v>
      </c>
      <c r="E3328" s="3298" t="s">
        <v>8951</v>
      </c>
      <c r="F3328" s="3298" t="s">
        <v>3056</v>
      </c>
      <c r="G3328" s="3278">
        <v>2783</v>
      </c>
      <c r="H3328" s="3299">
        <v>0</v>
      </c>
      <c r="I3328" s="3278">
        <v>0</v>
      </c>
    </row>
    <row r="3329" ht="12.75" customHeight="1" spans="2:9">
      <c r="B3329" s="3274">
        <v>2263</v>
      </c>
      <c r="D3329" s="3297" t="s">
        <v>8952</v>
      </c>
      <c r="E3329" s="3298" t="s">
        <v>8953</v>
      </c>
      <c r="F3329" s="3298" t="s">
        <v>3056</v>
      </c>
      <c r="G3329" s="3278">
        <v>0</v>
      </c>
      <c r="H3329" s="3299">
        <v>0</v>
      </c>
      <c r="I3329" s="3278">
        <v>0</v>
      </c>
    </row>
    <row r="3330" ht="12.75" customHeight="1" spans="2:9">
      <c r="B3330" s="3274">
        <v>2264</v>
      </c>
      <c r="D3330" s="3297" t="s">
        <v>8954</v>
      </c>
      <c r="E3330" s="3298" t="s">
        <v>8955</v>
      </c>
      <c r="F3330" s="3298" t="s">
        <v>3042</v>
      </c>
      <c r="G3330" s="3278">
        <v>2312.9965</v>
      </c>
      <c r="H3330" s="3299">
        <v>345</v>
      </c>
      <c r="I3330" s="3278">
        <v>797983.7925</v>
      </c>
    </row>
    <row r="3331" ht="12.75" customHeight="1" spans="2:9">
      <c r="B3331" s="3274">
        <v>2265</v>
      </c>
      <c r="D3331" s="3297" t="s">
        <v>8956</v>
      </c>
      <c r="E3331" s="3298" t="s">
        <v>8957</v>
      </c>
      <c r="F3331" s="3298" t="s">
        <v>2321</v>
      </c>
      <c r="G3331" s="3278">
        <v>13821.5</v>
      </c>
      <c r="H3331" s="3299">
        <v>48</v>
      </c>
      <c r="I3331" s="3278">
        <v>663432</v>
      </c>
    </row>
    <row r="3332" ht="12.75" customHeight="1" spans="2:9">
      <c r="B3332" s="3274">
        <v>2266</v>
      </c>
      <c r="D3332" s="3297" t="s">
        <v>8958</v>
      </c>
      <c r="E3332" s="3298" t="s">
        <v>8959</v>
      </c>
      <c r="F3332" s="3298" t="s">
        <v>2457</v>
      </c>
      <c r="G3332" s="3278">
        <v>2420000</v>
      </c>
      <c r="H3332" s="3299">
        <v>0</v>
      </c>
      <c r="I3332" s="3278">
        <v>0</v>
      </c>
    </row>
    <row r="3333" ht="12.75" customHeight="1" spans="2:9">
      <c r="B3333" s="3274">
        <v>2267</v>
      </c>
      <c r="D3333" s="3297" t="s">
        <v>8960</v>
      </c>
      <c r="E3333" s="3298" t="s">
        <v>8961</v>
      </c>
      <c r="F3333" s="3298" t="s">
        <v>3056</v>
      </c>
      <c r="G3333" s="3278">
        <v>2310</v>
      </c>
      <c r="H3333" s="3299">
        <v>0</v>
      </c>
      <c r="I3333" s="3278">
        <v>0</v>
      </c>
    </row>
    <row r="3334" ht="12.75" customHeight="1" spans="2:9">
      <c r="B3334" s="3274">
        <v>2268</v>
      </c>
      <c r="D3334" s="3297" t="s">
        <v>8962</v>
      </c>
      <c r="E3334" s="3298" t="s">
        <v>8963</v>
      </c>
      <c r="F3334" s="3298" t="s">
        <v>3423</v>
      </c>
      <c r="G3334" s="3278">
        <v>0</v>
      </c>
      <c r="H3334" s="3299">
        <v>0</v>
      </c>
      <c r="I3334" s="3278">
        <v>0</v>
      </c>
    </row>
    <row r="3335" ht="12.75" customHeight="1" spans="2:9">
      <c r="B3335" s="3274">
        <v>2269</v>
      </c>
      <c r="D3335" s="3297" t="s">
        <v>8964</v>
      </c>
      <c r="E3335" s="3298" t="s">
        <v>8965</v>
      </c>
      <c r="F3335" s="3298" t="s">
        <v>3042</v>
      </c>
      <c r="G3335" s="3278">
        <v>77000</v>
      </c>
      <c r="H3335" s="3299">
        <v>40</v>
      </c>
      <c r="I3335" s="3278">
        <v>3080000</v>
      </c>
    </row>
    <row r="3336" ht="12.75" customHeight="1" spans="2:9">
      <c r="B3336" s="3274">
        <v>2270</v>
      </c>
      <c r="D3336" s="3297" t="s">
        <v>8966</v>
      </c>
      <c r="E3336" s="3298" t="s">
        <v>8967</v>
      </c>
      <c r="F3336" s="3298" t="s">
        <v>2321</v>
      </c>
      <c r="G3336" s="3278">
        <v>98835</v>
      </c>
      <c r="H3336" s="3299">
        <v>0</v>
      </c>
      <c r="I3336" s="3278">
        <v>0</v>
      </c>
    </row>
    <row r="3337" ht="12.75" customHeight="1" spans="2:9">
      <c r="B3337" s="3274">
        <v>2271</v>
      </c>
      <c r="D3337" s="3297" t="s">
        <v>8968</v>
      </c>
      <c r="E3337" s="3298" t="s">
        <v>8969</v>
      </c>
      <c r="F3337" s="3298" t="s">
        <v>2321</v>
      </c>
      <c r="G3337" s="3278">
        <v>0</v>
      </c>
      <c r="H3337" s="3299">
        <v>0</v>
      </c>
      <c r="I3337" s="3278">
        <v>0</v>
      </c>
    </row>
    <row r="3338" ht="12.75" customHeight="1" spans="2:9">
      <c r="B3338" s="3274">
        <v>2272</v>
      </c>
      <c r="D3338" s="3297" t="s">
        <v>8970</v>
      </c>
      <c r="E3338" s="3298" t="s">
        <v>8971</v>
      </c>
      <c r="F3338" s="3298" t="s">
        <v>3056</v>
      </c>
      <c r="G3338" s="3278">
        <v>3055.56</v>
      </c>
      <c r="H3338" s="3299">
        <v>0</v>
      </c>
      <c r="I3338" s="3278">
        <v>0</v>
      </c>
    </row>
    <row r="3339" ht="12.75" customHeight="1" spans="2:9">
      <c r="B3339" s="3274">
        <v>2273</v>
      </c>
      <c r="D3339" s="3297" t="s">
        <v>8972</v>
      </c>
      <c r="E3339" s="3298" t="s">
        <v>8973</v>
      </c>
      <c r="F3339" s="3298" t="s">
        <v>3056</v>
      </c>
      <c r="G3339" s="3278">
        <v>17600</v>
      </c>
      <c r="H3339" s="3299">
        <v>0</v>
      </c>
      <c r="I3339" s="3278">
        <v>0</v>
      </c>
    </row>
    <row r="3340" ht="12.75" customHeight="1" spans="2:9">
      <c r="B3340" s="3274">
        <v>2274</v>
      </c>
      <c r="D3340" s="3297" t="s">
        <v>8974</v>
      </c>
      <c r="E3340" s="3298" t="s">
        <v>8975</v>
      </c>
      <c r="F3340" s="3298" t="s">
        <v>3056</v>
      </c>
      <c r="G3340" s="3278">
        <v>27500</v>
      </c>
      <c r="H3340" s="3299">
        <v>0</v>
      </c>
      <c r="I3340" s="3278">
        <v>0</v>
      </c>
    </row>
    <row r="3341" ht="12.75" customHeight="1" spans="2:9">
      <c r="B3341" s="3274">
        <v>2275</v>
      </c>
      <c r="D3341" s="3297" t="s">
        <v>8976</v>
      </c>
      <c r="E3341" s="3298" t="s">
        <v>8977</v>
      </c>
      <c r="F3341" s="3298" t="s">
        <v>4351</v>
      </c>
      <c r="G3341" s="3278">
        <v>14098</v>
      </c>
      <c r="H3341" s="3299">
        <v>0</v>
      </c>
      <c r="I3341" s="3278">
        <v>0</v>
      </c>
    </row>
    <row r="3342" ht="12.75" customHeight="1" spans="2:9">
      <c r="B3342" s="3274">
        <v>2276</v>
      </c>
      <c r="D3342" s="3297" t="s">
        <v>8978</v>
      </c>
      <c r="E3342" s="3298" t="s">
        <v>8979</v>
      </c>
      <c r="F3342" s="3298" t="s">
        <v>3056</v>
      </c>
      <c r="G3342" s="3278">
        <v>0</v>
      </c>
      <c r="H3342" s="3299">
        <v>0</v>
      </c>
      <c r="I3342" s="3278">
        <v>0</v>
      </c>
    </row>
    <row r="3343" ht="12.75" customHeight="1" spans="2:9">
      <c r="B3343" s="3274">
        <v>2277</v>
      </c>
      <c r="D3343" s="3297" t="s">
        <v>8980</v>
      </c>
      <c r="E3343" s="3298" t="s">
        <v>8981</v>
      </c>
      <c r="F3343" s="3298" t="s">
        <v>3056</v>
      </c>
      <c r="G3343" s="3278">
        <v>2310</v>
      </c>
      <c r="H3343" s="3299">
        <v>0</v>
      </c>
      <c r="I3343" s="3278">
        <v>0</v>
      </c>
    </row>
    <row r="3344" ht="12.75" customHeight="1" spans="2:9">
      <c r="B3344" s="3274">
        <v>2278</v>
      </c>
      <c r="D3344" s="3297" t="s">
        <v>8982</v>
      </c>
      <c r="E3344" s="3298" t="s">
        <v>8983</v>
      </c>
      <c r="F3344" s="3298" t="s">
        <v>3045</v>
      </c>
      <c r="G3344" s="3278">
        <v>213125</v>
      </c>
      <c r="H3344" s="3299">
        <v>0</v>
      </c>
      <c r="I3344" s="3278">
        <v>0</v>
      </c>
    </row>
    <row r="3345" ht="12.75" customHeight="1" spans="2:9">
      <c r="B3345" s="3274">
        <v>2279</v>
      </c>
      <c r="D3345" s="3297" t="s">
        <v>8984</v>
      </c>
      <c r="E3345" s="3298" t="s">
        <v>8985</v>
      </c>
      <c r="F3345" s="3298" t="s">
        <v>3056</v>
      </c>
      <c r="G3345" s="3278">
        <v>33000</v>
      </c>
      <c r="H3345" s="3299">
        <v>0</v>
      </c>
      <c r="I3345" s="3278">
        <v>0</v>
      </c>
    </row>
    <row r="3346" ht="12.75" customHeight="1" spans="2:9">
      <c r="B3346" s="3274">
        <v>2280</v>
      </c>
      <c r="D3346" s="3297" t="s">
        <v>8986</v>
      </c>
      <c r="E3346" s="3298" t="s">
        <v>8987</v>
      </c>
      <c r="F3346" s="3298" t="s">
        <v>4757</v>
      </c>
      <c r="G3346" s="3278">
        <v>2142.8</v>
      </c>
      <c r="H3346" s="3299">
        <v>0</v>
      </c>
      <c r="I3346" s="3278">
        <v>0</v>
      </c>
    </row>
    <row r="3347" ht="12.75" customHeight="1" spans="2:9">
      <c r="B3347" s="3274">
        <v>2281</v>
      </c>
      <c r="D3347" s="3297" t="s">
        <v>8988</v>
      </c>
      <c r="E3347" s="3298" t="s">
        <v>8989</v>
      </c>
      <c r="F3347" s="3298" t="s">
        <v>3056</v>
      </c>
      <c r="G3347" s="3278">
        <v>8208.343</v>
      </c>
      <c r="H3347" s="3299">
        <v>0</v>
      </c>
      <c r="I3347" s="3278">
        <v>0</v>
      </c>
    </row>
    <row r="3348" ht="12.75" customHeight="1" spans="2:9">
      <c r="B3348" s="3274">
        <v>2282</v>
      </c>
      <c r="D3348" s="3297" t="s">
        <v>8990</v>
      </c>
      <c r="E3348" s="3298" t="s">
        <v>8991</v>
      </c>
      <c r="F3348" s="3298" t="s">
        <v>4757</v>
      </c>
      <c r="G3348" s="3278">
        <v>5605.875</v>
      </c>
      <c r="H3348" s="3299">
        <v>600</v>
      </c>
      <c r="I3348" s="3278">
        <v>3363525</v>
      </c>
    </row>
    <row r="3349" ht="12.75" customHeight="1" spans="2:9">
      <c r="B3349" s="3274">
        <v>2283</v>
      </c>
      <c r="D3349" s="3297" t="s">
        <v>8992</v>
      </c>
      <c r="E3349" s="3298" t="s">
        <v>8993</v>
      </c>
      <c r="F3349" s="3298" t="s">
        <v>4757</v>
      </c>
      <c r="G3349" s="3278">
        <v>3073.125</v>
      </c>
      <c r="H3349" s="3299">
        <v>300</v>
      </c>
      <c r="I3349" s="3278">
        <v>921937.5</v>
      </c>
    </row>
    <row r="3350" ht="12.75" customHeight="1" spans="2:9">
      <c r="B3350" s="3274">
        <v>2284</v>
      </c>
      <c r="D3350" s="3297" t="s">
        <v>8994</v>
      </c>
      <c r="E3350" s="3298" t="s">
        <v>8995</v>
      </c>
      <c r="F3350" s="3298" t="s">
        <v>2321</v>
      </c>
      <c r="G3350" s="3278">
        <v>19250</v>
      </c>
      <c r="H3350" s="3299">
        <v>0</v>
      </c>
      <c r="I3350" s="3278">
        <v>0</v>
      </c>
    </row>
    <row r="3351" ht="12.75" customHeight="1" spans="2:9">
      <c r="B3351" s="3274">
        <v>2285</v>
      </c>
      <c r="D3351" s="3297" t="s">
        <v>8996</v>
      </c>
      <c r="E3351" s="3298" t="s">
        <v>8997</v>
      </c>
      <c r="F3351" s="3298" t="s">
        <v>2321</v>
      </c>
      <c r="G3351" s="3278">
        <v>22000</v>
      </c>
      <c r="H3351" s="3299">
        <v>0</v>
      </c>
      <c r="I3351" s="3278">
        <v>0</v>
      </c>
    </row>
    <row r="3352" ht="12.75" customHeight="1" spans="2:9">
      <c r="B3352" s="3274">
        <v>2286</v>
      </c>
      <c r="D3352" s="3297" t="s">
        <v>8998</v>
      </c>
      <c r="E3352" s="3298" t="s">
        <v>8999</v>
      </c>
      <c r="F3352" s="3298" t="s">
        <v>2321</v>
      </c>
      <c r="G3352" s="3278">
        <v>67529</v>
      </c>
      <c r="H3352" s="3299">
        <v>0</v>
      </c>
      <c r="I3352" s="3278">
        <v>0</v>
      </c>
    </row>
    <row r="3353" ht="12.75" customHeight="1" spans="2:9">
      <c r="B3353" s="3274">
        <v>2287</v>
      </c>
      <c r="D3353" s="3297" t="s">
        <v>9000</v>
      </c>
      <c r="E3353" s="3298" t="s">
        <v>9001</v>
      </c>
      <c r="F3353" s="3298" t="s">
        <v>3056</v>
      </c>
      <c r="G3353" s="3278">
        <v>5115</v>
      </c>
      <c r="H3353" s="3299">
        <v>390</v>
      </c>
      <c r="I3353" s="3278">
        <v>1994850</v>
      </c>
    </row>
    <row r="3354" ht="12.75" customHeight="1" spans="2:9">
      <c r="B3354" s="3274">
        <v>2288</v>
      </c>
      <c r="D3354" s="3297" t="s">
        <v>9002</v>
      </c>
      <c r="E3354" s="3298" t="s">
        <v>9003</v>
      </c>
      <c r="F3354" s="3298" t="s">
        <v>3056</v>
      </c>
      <c r="G3354" s="3278">
        <v>6165.5</v>
      </c>
      <c r="H3354" s="3299">
        <v>3900</v>
      </c>
      <c r="I3354" s="3278">
        <v>24045450</v>
      </c>
    </row>
    <row r="3355" ht="12.75" customHeight="1" spans="2:9">
      <c r="B3355" s="3274">
        <v>2289</v>
      </c>
      <c r="D3355" s="3297" t="s">
        <v>9004</v>
      </c>
      <c r="E3355" s="3298" t="s">
        <v>9005</v>
      </c>
      <c r="F3355" s="3298" t="s">
        <v>3056</v>
      </c>
      <c r="G3355" s="3278">
        <v>2310</v>
      </c>
      <c r="H3355" s="3299">
        <v>0</v>
      </c>
      <c r="I3355" s="3278">
        <v>0</v>
      </c>
    </row>
    <row r="3356" ht="12.75" customHeight="1" spans="2:9">
      <c r="B3356" s="3274">
        <v>2290</v>
      </c>
      <c r="D3356" s="3297" t="s">
        <v>9006</v>
      </c>
      <c r="E3356" s="3298" t="s">
        <v>9007</v>
      </c>
      <c r="F3356" s="3298" t="s">
        <v>3056</v>
      </c>
      <c r="G3356" s="3278">
        <v>9680</v>
      </c>
      <c r="H3356" s="3299">
        <v>0</v>
      </c>
      <c r="I3356" s="3278">
        <v>0</v>
      </c>
    </row>
    <row r="3357" ht="12.75" customHeight="1" spans="2:9">
      <c r="B3357" s="3274">
        <v>2291</v>
      </c>
      <c r="D3357" s="3297" t="s">
        <v>9008</v>
      </c>
      <c r="E3357" s="3298" t="s">
        <v>9009</v>
      </c>
      <c r="F3357" s="3298" t="s">
        <v>3056</v>
      </c>
      <c r="G3357" s="3278">
        <v>5280</v>
      </c>
      <c r="H3357" s="3299">
        <v>0</v>
      </c>
      <c r="I3357" s="3278">
        <v>0</v>
      </c>
    </row>
    <row r="3358" ht="12.75" customHeight="1" spans="2:9">
      <c r="B3358" s="3274">
        <v>2292</v>
      </c>
      <c r="D3358" s="3297" t="s">
        <v>9010</v>
      </c>
      <c r="E3358" s="3298" t="s">
        <v>9011</v>
      </c>
      <c r="F3358" s="3298" t="s">
        <v>2321</v>
      </c>
      <c r="G3358" s="3278">
        <v>0</v>
      </c>
      <c r="H3358" s="3299">
        <v>0</v>
      </c>
      <c r="I3358" s="3278">
        <v>0</v>
      </c>
    </row>
    <row r="3359" ht="12.75" customHeight="1" spans="2:9">
      <c r="B3359" s="3274">
        <v>2293</v>
      </c>
      <c r="D3359" s="3297" t="s">
        <v>9012</v>
      </c>
      <c r="E3359" s="3298" t="s">
        <v>9013</v>
      </c>
      <c r="F3359" s="3298" t="s">
        <v>4351</v>
      </c>
      <c r="G3359" s="3278">
        <v>0</v>
      </c>
      <c r="H3359" s="3299">
        <v>0</v>
      </c>
      <c r="I3359" s="3278">
        <v>0</v>
      </c>
    </row>
    <row r="3360" ht="12.75" customHeight="1" spans="2:9">
      <c r="B3360" s="3274">
        <v>2294</v>
      </c>
      <c r="D3360" s="3297" t="s">
        <v>9014</v>
      </c>
      <c r="E3360" s="3298" t="s">
        <v>9015</v>
      </c>
      <c r="F3360" s="3298" t="s">
        <v>3042</v>
      </c>
      <c r="G3360" s="3278">
        <v>88000</v>
      </c>
      <c r="H3360" s="3299">
        <v>0</v>
      </c>
      <c r="I3360" s="3278">
        <v>0</v>
      </c>
    </row>
    <row r="3361" ht="12.75" customHeight="1" spans="2:9">
      <c r="B3361" s="3274">
        <v>2295</v>
      </c>
      <c r="D3361" s="3297" t="s">
        <v>9016</v>
      </c>
      <c r="E3361" s="3298" t="s">
        <v>9017</v>
      </c>
      <c r="F3361" s="3298" t="s">
        <v>3056</v>
      </c>
      <c r="G3361" s="3278">
        <v>4400</v>
      </c>
      <c r="H3361" s="3299">
        <v>0</v>
      </c>
      <c r="I3361" s="3278">
        <v>0</v>
      </c>
    </row>
    <row r="3362" ht="12.75" customHeight="1" spans="2:9">
      <c r="B3362" s="3274">
        <v>2296</v>
      </c>
      <c r="D3362" s="3297" t="s">
        <v>9018</v>
      </c>
      <c r="E3362" s="3298" t="s">
        <v>9019</v>
      </c>
      <c r="F3362" s="3298" t="s">
        <v>2637</v>
      </c>
      <c r="G3362" s="3278">
        <v>66000</v>
      </c>
      <c r="H3362" s="3299">
        <v>0</v>
      </c>
      <c r="I3362" s="3278">
        <v>0</v>
      </c>
    </row>
    <row r="3363" ht="12.75" customHeight="1" spans="2:9">
      <c r="B3363" s="3274">
        <v>2297</v>
      </c>
      <c r="D3363" s="3297" t="s">
        <v>9020</v>
      </c>
      <c r="E3363" s="3298" t="s">
        <v>9021</v>
      </c>
      <c r="F3363" s="3298" t="s">
        <v>2637</v>
      </c>
      <c r="G3363" s="3278">
        <v>77000</v>
      </c>
      <c r="H3363" s="3299">
        <v>0</v>
      </c>
      <c r="I3363" s="3278">
        <v>0</v>
      </c>
    </row>
    <row r="3364" ht="12.75" customHeight="1" spans="2:9">
      <c r="B3364" s="3274">
        <v>2298</v>
      </c>
      <c r="D3364" s="3297" t="s">
        <v>9022</v>
      </c>
      <c r="E3364" s="3298" t="s">
        <v>9023</v>
      </c>
      <c r="F3364" s="3298" t="s">
        <v>3620</v>
      </c>
      <c r="G3364" s="3278">
        <v>18700</v>
      </c>
      <c r="H3364" s="3299">
        <v>0</v>
      </c>
      <c r="I3364" s="3278">
        <v>0</v>
      </c>
    </row>
    <row r="3365" ht="12.75" customHeight="1" spans="2:9">
      <c r="B3365" s="3274">
        <v>2299</v>
      </c>
      <c r="D3365" s="3297" t="s">
        <v>9024</v>
      </c>
      <c r="E3365" s="3298" t="s">
        <v>9025</v>
      </c>
      <c r="F3365" s="3298" t="s">
        <v>5233</v>
      </c>
      <c r="G3365" s="3278">
        <v>12100</v>
      </c>
      <c r="H3365" s="3299">
        <v>0</v>
      </c>
      <c r="I3365" s="3278">
        <v>0</v>
      </c>
    </row>
    <row r="3366" ht="12.75" customHeight="1" spans="2:9">
      <c r="B3366" s="3274">
        <v>2300</v>
      </c>
      <c r="D3366" s="3297" t="s">
        <v>9026</v>
      </c>
      <c r="E3366" s="3298" t="s">
        <v>9027</v>
      </c>
      <c r="F3366" s="3298" t="s">
        <v>3056</v>
      </c>
      <c r="G3366" s="3278">
        <v>22000</v>
      </c>
      <c r="H3366" s="3299">
        <v>0</v>
      </c>
      <c r="I3366" s="3278">
        <v>0</v>
      </c>
    </row>
    <row r="3367" ht="12.75" customHeight="1" spans="2:9">
      <c r="B3367" s="3274">
        <v>2301</v>
      </c>
      <c r="D3367" s="3297" t="s">
        <v>9028</v>
      </c>
      <c r="E3367" s="3298" t="s">
        <v>9027</v>
      </c>
      <c r="F3367" s="3298" t="s">
        <v>3056</v>
      </c>
      <c r="G3367" s="3278">
        <v>2200</v>
      </c>
      <c r="H3367" s="3299">
        <v>0</v>
      </c>
      <c r="I3367" s="3278">
        <v>0</v>
      </c>
    </row>
    <row r="3368" ht="12.75" customHeight="1" spans="2:9">
      <c r="B3368" s="3274">
        <v>2302</v>
      </c>
      <c r="D3368" s="3297" t="s">
        <v>9029</v>
      </c>
      <c r="E3368" s="3298" t="s">
        <v>9030</v>
      </c>
      <c r="F3368" s="3298" t="s">
        <v>2321</v>
      </c>
      <c r="G3368" s="3278">
        <v>60000.007</v>
      </c>
      <c r="H3368" s="3299">
        <v>0</v>
      </c>
      <c r="I3368" s="3278">
        <v>0</v>
      </c>
    </row>
    <row r="3369" ht="12.75" customHeight="1" spans="2:9">
      <c r="B3369" s="3274">
        <v>2303</v>
      </c>
      <c r="D3369" s="3297" t="s">
        <v>9031</v>
      </c>
      <c r="E3369" s="3298" t="s">
        <v>9032</v>
      </c>
      <c r="F3369" s="3298" t="s">
        <v>2293</v>
      </c>
      <c r="G3369" s="3278">
        <v>59999.9941</v>
      </c>
      <c r="H3369" s="3299">
        <v>0</v>
      </c>
      <c r="I3369" s="3278">
        <v>0</v>
      </c>
    </row>
    <row r="3370" ht="12.75" customHeight="1" spans="2:9">
      <c r="B3370" s="3274">
        <v>2304</v>
      </c>
      <c r="D3370" s="3297" t="s">
        <v>9033</v>
      </c>
      <c r="E3370" s="3298" t="s">
        <v>9034</v>
      </c>
      <c r="F3370" s="3298" t="s">
        <v>2637</v>
      </c>
      <c r="G3370" s="3278">
        <v>33275</v>
      </c>
      <c r="H3370" s="3299">
        <v>0</v>
      </c>
      <c r="I3370" s="3278">
        <v>0</v>
      </c>
    </row>
    <row r="3371" ht="12.75" customHeight="1" spans="2:9">
      <c r="B3371" s="3274">
        <v>2305</v>
      </c>
      <c r="D3371" s="3297" t="s">
        <v>9035</v>
      </c>
      <c r="E3371" s="3298" t="s">
        <v>9036</v>
      </c>
      <c r="F3371" s="3298" t="s">
        <v>2321</v>
      </c>
      <c r="G3371" s="3278">
        <v>23182.5</v>
      </c>
      <c r="H3371" s="3299">
        <v>0</v>
      </c>
      <c r="I3371" s="3278">
        <v>0</v>
      </c>
    </row>
    <row r="3372" ht="12.75" customHeight="1" spans="2:9">
      <c r="B3372" s="3274">
        <v>2306</v>
      </c>
      <c r="D3372" s="3297" t="s">
        <v>9037</v>
      </c>
      <c r="E3372" s="3298" t="s">
        <v>9038</v>
      </c>
      <c r="F3372" s="3298" t="s">
        <v>2637</v>
      </c>
      <c r="G3372" s="3278">
        <v>16544</v>
      </c>
      <c r="H3372" s="3299">
        <v>3</v>
      </c>
      <c r="I3372" s="3278">
        <v>49632</v>
      </c>
    </row>
    <row r="3373" ht="12.75" customHeight="1" spans="2:9">
      <c r="B3373" s="3274">
        <v>2307</v>
      </c>
      <c r="D3373" s="3297" t="s">
        <v>9039</v>
      </c>
      <c r="E3373" s="3298" t="s">
        <v>9040</v>
      </c>
      <c r="F3373" s="3298" t="s">
        <v>2457</v>
      </c>
      <c r="G3373" s="3278">
        <v>6739.7</v>
      </c>
      <c r="H3373" s="3299">
        <v>0</v>
      </c>
      <c r="I3373" s="3278">
        <v>0</v>
      </c>
    </row>
    <row r="3374" ht="12.75" customHeight="1" spans="2:9">
      <c r="B3374" s="3274">
        <v>2308</v>
      </c>
      <c r="D3374" s="3297" t="s">
        <v>9041</v>
      </c>
      <c r="E3374" s="3298" t="s">
        <v>9042</v>
      </c>
      <c r="F3374" s="3298" t="s">
        <v>3056</v>
      </c>
      <c r="G3374" s="3278">
        <v>8828</v>
      </c>
      <c r="H3374" s="3299">
        <v>0</v>
      </c>
      <c r="I3374" s="3278">
        <v>0</v>
      </c>
    </row>
    <row r="3375" ht="12.75" customHeight="1" spans="2:9">
      <c r="B3375" s="3274">
        <v>2309</v>
      </c>
      <c r="D3375" s="3297" t="s">
        <v>9043</v>
      </c>
      <c r="E3375" s="3298" t="s">
        <v>9044</v>
      </c>
      <c r="F3375" s="3298" t="s">
        <v>3056</v>
      </c>
      <c r="G3375" s="3278">
        <v>14129.5</v>
      </c>
      <c r="H3375" s="3299">
        <v>0</v>
      </c>
      <c r="I3375" s="3278">
        <v>0</v>
      </c>
    </row>
    <row r="3376" ht="12.75" customHeight="1" spans="2:9">
      <c r="B3376" s="3274">
        <v>2310</v>
      </c>
      <c r="D3376" s="3297" t="s">
        <v>9045</v>
      </c>
      <c r="E3376" s="3298" t="s">
        <v>9046</v>
      </c>
      <c r="F3376" s="3298" t="s">
        <v>2321</v>
      </c>
      <c r="G3376" s="3278">
        <v>18191.25</v>
      </c>
      <c r="H3376" s="3299">
        <v>16</v>
      </c>
      <c r="I3376" s="3278">
        <v>291060</v>
      </c>
    </row>
    <row r="3377" ht="12.75" customHeight="1" spans="2:9">
      <c r="B3377" s="3274">
        <v>2311</v>
      </c>
      <c r="D3377" s="3297" t="s">
        <v>9047</v>
      </c>
      <c r="E3377" s="3298" t="s">
        <v>9048</v>
      </c>
      <c r="F3377" s="3298" t="s">
        <v>3423</v>
      </c>
      <c r="G3377" s="3278">
        <v>414612</v>
      </c>
      <c r="H3377" s="3299">
        <v>0</v>
      </c>
      <c r="I3377" s="3278">
        <v>0</v>
      </c>
    </row>
    <row r="3378" ht="12.75" customHeight="1" spans="2:9">
      <c r="B3378" s="3274">
        <v>2312</v>
      </c>
      <c r="D3378" s="3297" t="s">
        <v>9049</v>
      </c>
      <c r="E3378" s="3298" t="s">
        <v>9050</v>
      </c>
      <c r="F3378" s="3298" t="s">
        <v>3042</v>
      </c>
      <c r="G3378" s="3278">
        <v>23073.6</v>
      </c>
      <c r="H3378" s="3299">
        <v>0</v>
      </c>
      <c r="I3378" s="3278">
        <v>0</v>
      </c>
    </row>
    <row r="3379" ht="12.75" customHeight="1" spans="2:9">
      <c r="B3379" s="3274">
        <v>2313</v>
      </c>
      <c r="D3379" s="3297" t="s">
        <v>9051</v>
      </c>
      <c r="E3379" s="3298" t="s">
        <v>9052</v>
      </c>
      <c r="F3379" s="3298" t="s">
        <v>2321</v>
      </c>
      <c r="G3379" s="3278">
        <v>21472</v>
      </c>
      <c r="H3379" s="3299">
        <v>0</v>
      </c>
      <c r="I3379" s="3278">
        <v>0</v>
      </c>
    </row>
    <row r="3380" ht="12.75" customHeight="1" spans="2:9">
      <c r="B3380" s="3274">
        <v>2314</v>
      </c>
      <c r="D3380" s="3297" t="s">
        <v>9053</v>
      </c>
      <c r="E3380" s="3298" t="s">
        <v>9054</v>
      </c>
      <c r="F3380" s="3298" t="s">
        <v>2321</v>
      </c>
      <c r="G3380" s="3278">
        <v>22000</v>
      </c>
      <c r="H3380" s="3299">
        <v>0</v>
      </c>
      <c r="I3380" s="3278">
        <v>0</v>
      </c>
    </row>
    <row r="3381" ht="12.75" customHeight="1" spans="2:9">
      <c r="B3381" s="3274">
        <v>2315</v>
      </c>
      <c r="D3381" s="3297" t="s">
        <v>9055</v>
      </c>
      <c r="E3381" s="3298" t="s">
        <v>9056</v>
      </c>
      <c r="F3381" s="3298" t="s">
        <v>2637</v>
      </c>
      <c r="G3381" s="3278">
        <v>226875</v>
      </c>
      <c r="H3381" s="3299">
        <v>0</v>
      </c>
      <c r="I3381" s="3278">
        <v>0</v>
      </c>
    </row>
    <row r="3382" ht="12.75" customHeight="1" spans="2:9">
      <c r="B3382" s="3274">
        <v>2316</v>
      </c>
      <c r="D3382" s="3297" t="s">
        <v>9057</v>
      </c>
      <c r="E3382" s="3298" t="s">
        <v>9058</v>
      </c>
      <c r="F3382" s="3298" t="s">
        <v>3423</v>
      </c>
      <c r="G3382" s="3278">
        <v>16764</v>
      </c>
      <c r="H3382" s="3299">
        <v>0</v>
      </c>
      <c r="I3382" s="3278">
        <v>0</v>
      </c>
    </row>
    <row r="3383" ht="12.75" customHeight="1" spans="2:9">
      <c r="B3383" s="3274">
        <v>2317</v>
      </c>
      <c r="D3383" s="3297" t="s">
        <v>9059</v>
      </c>
      <c r="E3383" s="3298" t="s">
        <v>9060</v>
      </c>
      <c r="F3383" s="3298" t="s">
        <v>3412</v>
      </c>
      <c r="G3383" s="3278">
        <v>90994.2086</v>
      </c>
      <c r="H3383" s="3299">
        <v>335</v>
      </c>
      <c r="I3383" s="3278">
        <v>30483059.881</v>
      </c>
    </row>
    <row r="3384" ht="12.75" customHeight="1" spans="2:9">
      <c r="B3384" s="3274">
        <v>2318</v>
      </c>
      <c r="D3384" s="3297" t="s">
        <v>9061</v>
      </c>
      <c r="E3384" s="3298" t="s">
        <v>9062</v>
      </c>
      <c r="F3384" s="3298" t="s">
        <v>2304</v>
      </c>
      <c r="G3384" s="3278">
        <v>158400</v>
      </c>
      <c r="H3384" s="3299">
        <v>110</v>
      </c>
      <c r="I3384" s="3278">
        <v>17424000</v>
      </c>
    </row>
    <row r="3385" ht="12.75" customHeight="1" spans="2:9">
      <c r="B3385" s="3274">
        <v>2319</v>
      </c>
      <c r="D3385" s="3297" t="s">
        <v>9063</v>
      </c>
      <c r="E3385" s="3298" t="s">
        <v>9064</v>
      </c>
      <c r="F3385" s="3298" t="s">
        <v>2637</v>
      </c>
      <c r="G3385" s="3278">
        <v>45000</v>
      </c>
      <c r="H3385" s="3299">
        <v>0</v>
      </c>
      <c r="I3385" s="3278">
        <v>0</v>
      </c>
    </row>
    <row r="3386" ht="12.75" customHeight="1" spans="2:9">
      <c r="B3386" s="3274">
        <v>2320</v>
      </c>
      <c r="D3386" s="3297" t="s">
        <v>9065</v>
      </c>
      <c r="E3386" s="3298" t="s">
        <v>9066</v>
      </c>
      <c r="F3386" s="3298" t="s">
        <v>2637</v>
      </c>
      <c r="G3386" s="3278">
        <v>40000</v>
      </c>
      <c r="H3386" s="3299">
        <v>0</v>
      </c>
      <c r="I3386" s="3278">
        <v>0</v>
      </c>
    </row>
    <row r="3387" ht="12.75" customHeight="1" spans="2:9">
      <c r="B3387" s="3274">
        <v>2321</v>
      </c>
      <c r="D3387" s="3297" t="s">
        <v>9067</v>
      </c>
      <c r="E3387" s="3298" t="s">
        <v>9068</v>
      </c>
      <c r="F3387" s="3298" t="s">
        <v>2637</v>
      </c>
      <c r="G3387" s="3278">
        <v>55000</v>
      </c>
      <c r="H3387" s="3299">
        <v>0</v>
      </c>
      <c r="I3387" s="3278">
        <v>0</v>
      </c>
    </row>
    <row r="3388" ht="12.75" customHeight="1" spans="2:9">
      <c r="B3388" s="3274">
        <v>2322</v>
      </c>
      <c r="D3388" s="3297" t="s">
        <v>9069</v>
      </c>
      <c r="E3388" s="3298" t="s">
        <v>9070</v>
      </c>
      <c r="F3388" s="3298" t="s">
        <v>2637</v>
      </c>
      <c r="G3388" s="3278">
        <v>77550</v>
      </c>
      <c r="H3388" s="3299">
        <v>0</v>
      </c>
      <c r="I3388" s="3278">
        <v>0</v>
      </c>
    </row>
    <row r="3389" ht="12.75" customHeight="1" spans="2:9">
      <c r="B3389" s="3274">
        <v>2323</v>
      </c>
      <c r="D3389" s="3297" t="s">
        <v>9071</v>
      </c>
      <c r="E3389" s="3298" t="s">
        <v>9072</v>
      </c>
      <c r="F3389" s="3298" t="s">
        <v>3042</v>
      </c>
      <c r="G3389" s="3278">
        <v>18876</v>
      </c>
      <c r="H3389" s="3299">
        <v>0</v>
      </c>
      <c r="I3389" s="3278">
        <v>0</v>
      </c>
    </row>
    <row r="3390" ht="12.75" customHeight="1" spans="2:9">
      <c r="B3390" s="3274">
        <v>2324</v>
      </c>
      <c r="D3390" s="3297" t="s">
        <v>9073</v>
      </c>
      <c r="E3390" s="3298" t="s">
        <v>9074</v>
      </c>
      <c r="F3390" s="3298" t="s">
        <v>3042</v>
      </c>
      <c r="G3390" s="3278">
        <v>36256</v>
      </c>
      <c r="H3390" s="3299">
        <v>0</v>
      </c>
      <c r="I3390" s="3278">
        <v>0</v>
      </c>
    </row>
    <row r="3391" ht="12.75" customHeight="1" spans="2:9">
      <c r="B3391" s="3274">
        <v>2325</v>
      </c>
      <c r="D3391" s="3297" t="s">
        <v>9075</v>
      </c>
      <c r="E3391" s="3298" t="s">
        <v>9076</v>
      </c>
      <c r="F3391" s="3298" t="s">
        <v>3056</v>
      </c>
      <c r="G3391" s="3278">
        <v>2933.326</v>
      </c>
      <c r="H3391" s="3299">
        <v>0</v>
      </c>
      <c r="I3391" s="3278">
        <v>0</v>
      </c>
    </row>
    <row r="3392" ht="12.75" customHeight="1" spans="2:9">
      <c r="B3392" s="3274">
        <v>2326</v>
      </c>
      <c r="D3392" s="3297" t="s">
        <v>9077</v>
      </c>
      <c r="E3392" s="3298" t="s">
        <v>9078</v>
      </c>
      <c r="F3392" s="3298" t="s">
        <v>3056</v>
      </c>
      <c r="G3392" s="3278">
        <v>6966.6631</v>
      </c>
      <c r="H3392" s="3299">
        <v>300</v>
      </c>
      <c r="I3392" s="3278">
        <v>2089998.93</v>
      </c>
    </row>
    <row r="3393" ht="12.75" customHeight="1" spans="2:9">
      <c r="B3393" s="3274">
        <v>2327</v>
      </c>
      <c r="D3393" s="3297" t="s">
        <v>9079</v>
      </c>
      <c r="E3393" s="3298" t="s">
        <v>9080</v>
      </c>
      <c r="F3393" s="3298" t="s">
        <v>3056</v>
      </c>
      <c r="G3393" s="3278">
        <v>3630</v>
      </c>
      <c r="H3393" s="3299">
        <v>0</v>
      </c>
      <c r="I3393" s="3278">
        <v>0</v>
      </c>
    </row>
    <row r="3394" ht="12.75" customHeight="1" spans="2:9">
      <c r="B3394" s="3274">
        <v>2328</v>
      </c>
      <c r="D3394" s="3297" t="s">
        <v>9081</v>
      </c>
      <c r="E3394" s="3298" t="s">
        <v>9082</v>
      </c>
      <c r="F3394" s="3298" t="s">
        <v>3412</v>
      </c>
      <c r="G3394" s="3278">
        <v>228786.8</v>
      </c>
      <c r="H3394" s="3299">
        <v>0</v>
      </c>
      <c r="I3394" s="3278">
        <v>0</v>
      </c>
    </row>
    <row r="3395" ht="12.75" customHeight="1" spans="2:9">
      <c r="B3395" s="3274">
        <v>2329</v>
      </c>
      <c r="D3395" s="3297" t="s">
        <v>9083</v>
      </c>
      <c r="E3395" s="3298" t="s">
        <v>9084</v>
      </c>
      <c r="F3395" s="3298" t="s">
        <v>3412</v>
      </c>
      <c r="G3395" s="3278">
        <v>57750</v>
      </c>
      <c r="H3395" s="3299">
        <v>8</v>
      </c>
      <c r="I3395" s="3278">
        <v>462000</v>
      </c>
    </row>
    <row r="3396" ht="12.75" customHeight="1" spans="2:9">
      <c r="B3396" s="3274">
        <v>2330</v>
      </c>
      <c r="D3396" s="3297" t="s">
        <v>9085</v>
      </c>
      <c r="E3396" s="3298" t="s">
        <v>9086</v>
      </c>
      <c r="F3396" s="3298" t="s">
        <v>3056</v>
      </c>
      <c r="G3396" s="3278">
        <v>13200</v>
      </c>
      <c r="H3396" s="3299">
        <v>0</v>
      </c>
      <c r="I3396" s="3278">
        <v>0</v>
      </c>
    </row>
    <row r="3397" ht="12.75" customHeight="1" spans="2:9">
      <c r="B3397" s="3274">
        <v>2331</v>
      </c>
      <c r="D3397" s="3297" t="s">
        <v>9087</v>
      </c>
      <c r="E3397" s="3298" t="s">
        <v>9088</v>
      </c>
      <c r="F3397" s="3298" t="s">
        <v>3056</v>
      </c>
      <c r="G3397" s="3278">
        <v>9650</v>
      </c>
      <c r="H3397" s="3299">
        <v>0</v>
      </c>
      <c r="I3397" s="3278">
        <v>0</v>
      </c>
    </row>
    <row r="3398" ht="12.75" customHeight="1" spans="2:9">
      <c r="B3398" s="3274">
        <v>2332</v>
      </c>
      <c r="D3398" s="3297" t="s">
        <v>9089</v>
      </c>
      <c r="E3398" s="3298" t="s">
        <v>9090</v>
      </c>
      <c r="F3398" s="3298" t="s">
        <v>2299</v>
      </c>
      <c r="G3398" s="3278">
        <v>66000</v>
      </c>
      <c r="H3398" s="3299">
        <v>0</v>
      </c>
      <c r="I3398" s="3278">
        <v>0</v>
      </c>
    </row>
    <row r="3399" ht="12.75" customHeight="1" spans="2:9">
      <c r="B3399" s="3274">
        <v>2333</v>
      </c>
      <c r="D3399" s="3297" t="s">
        <v>9091</v>
      </c>
      <c r="E3399" s="3298" t="s">
        <v>9092</v>
      </c>
      <c r="F3399" s="3298" t="s">
        <v>3257</v>
      </c>
      <c r="G3399" s="3278">
        <v>11880</v>
      </c>
      <c r="H3399" s="3299">
        <v>0</v>
      </c>
      <c r="I3399" s="3278">
        <v>0</v>
      </c>
    </row>
    <row r="3400" ht="12.75" customHeight="1" spans="2:9">
      <c r="B3400" s="3274">
        <v>2334</v>
      </c>
      <c r="D3400" s="3297" t="s">
        <v>9093</v>
      </c>
      <c r="E3400" s="3298" t="s">
        <v>9094</v>
      </c>
      <c r="F3400" s="3298" t="s">
        <v>3257</v>
      </c>
      <c r="G3400" s="3278">
        <v>11880</v>
      </c>
      <c r="H3400" s="3299">
        <v>0</v>
      </c>
      <c r="I3400" s="3278">
        <v>0</v>
      </c>
    </row>
    <row r="3401" ht="12.75" customHeight="1" spans="2:9">
      <c r="B3401" s="3274">
        <v>2335</v>
      </c>
      <c r="D3401" s="3297" t="s">
        <v>9095</v>
      </c>
      <c r="E3401" s="3298" t="s">
        <v>9096</v>
      </c>
      <c r="F3401" s="3298" t="s">
        <v>2457</v>
      </c>
      <c r="G3401" s="3278">
        <v>0</v>
      </c>
      <c r="H3401" s="3299">
        <v>0</v>
      </c>
      <c r="I3401" s="3278">
        <v>0</v>
      </c>
    </row>
    <row r="3402" ht="12.75" customHeight="1" spans="2:9">
      <c r="B3402" s="3274">
        <v>2336</v>
      </c>
      <c r="D3402" s="3297" t="s">
        <v>9097</v>
      </c>
      <c r="E3402" s="3298" t="s">
        <v>9098</v>
      </c>
      <c r="F3402" s="3298" t="s">
        <v>2457</v>
      </c>
      <c r="G3402" s="3278">
        <v>39246.9</v>
      </c>
      <c r="H3402" s="3299">
        <v>0</v>
      </c>
      <c r="I3402" s="3278">
        <v>0</v>
      </c>
    </row>
    <row r="3403" ht="12.75" customHeight="1" spans="2:9">
      <c r="B3403" s="3274">
        <v>2337</v>
      </c>
      <c r="D3403" s="3297" t="s">
        <v>9099</v>
      </c>
      <c r="E3403" s="3298" t="s">
        <v>9100</v>
      </c>
      <c r="F3403" s="3298" t="s">
        <v>2457</v>
      </c>
      <c r="G3403" s="3278">
        <v>34304.6</v>
      </c>
      <c r="H3403" s="3299">
        <v>0</v>
      </c>
      <c r="I3403" s="3278">
        <v>0</v>
      </c>
    </row>
    <row r="3404" ht="12.75" customHeight="1" spans="2:9">
      <c r="B3404" s="3274">
        <v>2338</v>
      </c>
      <c r="D3404" s="3297" t="s">
        <v>9101</v>
      </c>
      <c r="E3404" s="3298" t="s">
        <v>9102</v>
      </c>
      <c r="F3404" s="3298" t="s">
        <v>2457</v>
      </c>
      <c r="G3404" s="3278">
        <v>0</v>
      </c>
      <c r="H3404" s="3299">
        <v>0</v>
      </c>
      <c r="I3404" s="3278">
        <v>0</v>
      </c>
    </row>
    <row r="3405" ht="12.75" customHeight="1" spans="2:9">
      <c r="B3405" s="3274">
        <v>2339</v>
      </c>
      <c r="D3405" s="3297" t="s">
        <v>9103</v>
      </c>
      <c r="E3405" s="3298" t="s">
        <v>9104</v>
      </c>
      <c r="F3405" s="3298" t="s">
        <v>2457</v>
      </c>
      <c r="G3405" s="3278">
        <v>0</v>
      </c>
      <c r="H3405" s="3299">
        <v>0</v>
      </c>
      <c r="I3405" s="3278">
        <v>0</v>
      </c>
    </row>
    <row r="3406" ht="12.75" customHeight="1" spans="2:9">
      <c r="B3406" s="3274">
        <v>2340</v>
      </c>
      <c r="D3406" s="3297" t="s">
        <v>9105</v>
      </c>
      <c r="E3406" s="3298" t="s">
        <v>9106</v>
      </c>
      <c r="F3406" s="3298" t="s">
        <v>2288</v>
      </c>
      <c r="G3406" s="3278">
        <v>0</v>
      </c>
      <c r="H3406" s="3299">
        <v>0</v>
      </c>
      <c r="I3406" s="3278">
        <v>0</v>
      </c>
    </row>
    <row r="3407" ht="12.75" customHeight="1" spans="2:9">
      <c r="B3407" s="3274">
        <v>2341</v>
      </c>
      <c r="D3407" s="3297" t="s">
        <v>9107</v>
      </c>
      <c r="E3407" s="3298" t="s">
        <v>9108</v>
      </c>
      <c r="F3407" s="3298" t="s">
        <v>3042</v>
      </c>
      <c r="G3407" s="3278">
        <v>9900</v>
      </c>
      <c r="H3407" s="3299">
        <v>30</v>
      </c>
      <c r="I3407" s="3278">
        <v>297000</v>
      </c>
    </row>
    <row r="3408" ht="12.75" customHeight="1" spans="2:9">
      <c r="B3408" s="3274">
        <v>2342</v>
      </c>
      <c r="D3408" s="3297" t="s">
        <v>9109</v>
      </c>
      <c r="E3408" s="3298" t="s">
        <v>9110</v>
      </c>
      <c r="F3408" s="3298" t="s">
        <v>2637</v>
      </c>
      <c r="G3408" s="3278">
        <v>88000</v>
      </c>
      <c r="H3408" s="3299">
        <v>0</v>
      </c>
      <c r="I3408" s="3278">
        <v>0</v>
      </c>
    </row>
    <row r="3409" ht="12.75" customHeight="1" spans="2:9">
      <c r="B3409" s="3274">
        <v>2343</v>
      </c>
      <c r="D3409" s="3297" t="s">
        <v>9111</v>
      </c>
      <c r="E3409" s="3298" t="s">
        <v>9112</v>
      </c>
      <c r="F3409" s="3298" t="s">
        <v>3042</v>
      </c>
      <c r="G3409" s="3278">
        <v>21345.5</v>
      </c>
      <c r="H3409" s="3299">
        <v>0</v>
      </c>
      <c r="I3409" s="3278">
        <v>0</v>
      </c>
    </row>
    <row r="3410" ht="12.75" customHeight="1" spans="2:9">
      <c r="B3410" s="3274">
        <v>2344</v>
      </c>
      <c r="D3410" s="3297" t="s">
        <v>9113</v>
      </c>
      <c r="E3410" s="3298" t="s">
        <v>9114</v>
      </c>
      <c r="F3410" s="3298" t="s">
        <v>3056</v>
      </c>
      <c r="G3410" s="3278">
        <v>10369.3369</v>
      </c>
      <c r="H3410" s="3299">
        <v>0</v>
      </c>
      <c r="I3410" s="3278">
        <v>0</v>
      </c>
    </row>
    <row r="3411" ht="12.75" customHeight="1" spans="2:9">
      <c r="B3411" s="3274">
        <v>2345</v>
      </c>
      <c r="D3411" s="3297" t="s">
        <v>9115</v>
      </c>
      <c r="E3411" s="3298" t="s">
        <v>9116</v>
      </c>
      <c r="F3411" s="3298" t="s">
        <v>2321</v>
      </c>
      <c r="G3411" s="3278">
        <v>59180</v>
      </c>
      <c r="H3411" s="3299">
        <v>0</v>
      </c>
      <c r="I3411" s="3278">
        <v>0</v>
      </c>
    </row>
    <row r="3412" ht="12.75" customHeight="1" spans="2:9">
      <c r="B3412" s="3274">
        <v>2346</v>
      </c>
      <c r="D3412" s="3297" t="s">
        <v>9117</v>
      </c>
      <c r="E3412" s="3298" t="s">
        <v>9118</v>
      </c>
      <c r="F3412" s="3298" t="s">
        <v>2299</v>
      </c>
      <c r="G3412" s="3278">
        <v>300000</v>
      </c>
      <c r="H3412" s="3299">
        <v>0</v>
      </c>
      <c r="I3412" s="3278">
        <v>0</v>
      </c>
    </row>
    <row r="3413" ht="12.75" customHeight="1" spans="2:9">
      <c r="B3413" s="3274">
        <v>2347</v>
      </c>
      <c r="D3413" s="3297" t="s">
        <v>9119</v>
      </c>
      <c r="E3413" s="3298" t="s">
        <v>9120</v>
      </c>
      <c r="F3413" s="3298" t="s">
        <v>3056</v>
      </c>
      <c r="G3413" s="3278">
        <v>0</v>
      </c>
      <c r="H3413" s="3299">
        <v>0</v>
      </c>
      <c r="I3413" s="3278">
        <v>0</v>
      </c>
    </row>
    <row r="3414" ht="12.75" customHeight="1" spans="2:9">
      <c r="B3414" s="3274">
        <v>2348</v>
      </c>
      <c r="D3414" s="3297" t="s">
        <v>9121</v>
      </c>
      <c r="E3414" s="3298" t="s">
        <v>9122</v>
      </c>
      <c r="F3414" s="3298" t="s">
        <v>3056</v>
      </c>
      <c r="G3414" s="3278">
        <v>0</v>
      </c>
      <c r="H3414" s="3299">
        <v>0</v>
      </c>
      <c r="I3414" s="3278">
        <v>0</v>
      </c>
    </row>
    <row r="3415" ht="12.75" customHeight="1" spans="2:9">
      <c r="B3415" s="3274">
        <v>2349</v>
      </c>
      <c r="D3415" s="3297" t="s">
        <v>9123</v>
      </c>
      <c r="E3415" s="3298" t="s">
        <v>9124</v>
      </c>
      <c r="F3415" s="3298" t="s">
        <v>4351</v>
      </c>
      <c r="G3415" s="3278">
        <v>1787</v>
      </c>
      <c r="H3415" s="3299">
        <v>0</v>
      </c>
      <c r="I3415" s="3278">
        <v>0</v>
      </c>
    </row>
    <row r="3416" ht="12.75" customHeight="1" spans="2:9">
      <c r="B3416" s="3274">
        <v>2350</v>
      </c>
      <c r="D3416" s="3297" t="s">
        <v>9125</v>
      </c>
      <c r="E3416" s="3298" t="s">
        <v>9126</v>
      </c>
      <c r="F3416" s="3298" t="s">
        <v>3056</v>
      </c>
      <c r="G3416" s="3278">
        <v>12118.337</v>
      </c>
      <c r="H3416" s="3299">
        <v>0</v>
      </c>
      <c r="I3416" s="3278">
        <v>0</v>
      </c>
    </row>
    <row r="3417" ht="12.75" customHeight="1" spans="2:9">
      <c r="B3417" s="3274">
        <v>2351</v>
      </c>
      <c r="D3417" s="3297" t="s">
        <v>9127</v>
      </c>
      <c r="E3417" s="3298" t="s">
        <v>9128</v>
      </c>
      <c r="F3417" s="3298" t="s">
        <v>3056</v>
      </c>
      <c r="G3417" s="3278">
        <v>11897</v>
      </c>
      <c r="H3417" s="3299">
        <v>0</v>
      </c>
      <c r="I3417" s="3278">
        <v>0</v>
      </c>
    </row>
    <row r="3418" ht="12.75" customHeight="1" spans="2:9">
      <c r="B3418" s="3274">
        <v>2352</v>
      </c>
      <c r="D3418" s="3297" t="s">
        <v>9129</v>
      </c>
      <c r="E3418" s="3298" t="s">
        <v>9130</v>
      </c>
      <c r="F3418" s="3298" t="s">
        <v>2457</v>
      </c>
      <c r="G3418" s="3278">
        <v>70400</v>
      </c>
      <c r="H3418" s="3299">
        <v>0</v>
      </c>
      <c r="I3418" s="3278">
        <v>0</v>
      </c>
    </row>
    <row r="3419" ht="12.75" customHeight="1" spans="2:9">
      <c r="B3419" s="3274">
        <v>2353</v>
      </c>
      <c r="D3419" s="3297" t="s">
        <v>9131</v>
      </c>
      <c r="E3419" s="3298" t="s">
        <v>9132</v>
      </c>
      <c r="F3419" s="3298" t="s">
        <v>2457</v>
      </c>
      <c r="G3419" s="3278">
        <v>70400</v>
      </c>
      <c r="H3419" s="3299">
        <v>0</v>
      </c>
      <c r="I3419" s="3278">
        <v>0</v>
      </c>
    </row>
    <row r="3420" ht="12.75" customHeight="1" spans="2:9">
      <c r="B3420" s="3274">
        <v>2354</v>
      </c>
      <c r="D3420" s="3297" t="s">
        <v>9133</v>
      </c>
      <c r="E3420" s="3298" t="s">
        <v>9134</v>
      </c>
      <c r="F3420" s="3298" t="s">
        <v>2293</v>
      </c>
      <c r="G3420" s="3278">
        <v>0</v>
      </c>
      <c r="H3420" s="3299">
        <v>0</v>
      </c>
      <c r="I3420" s="3278">
        <v>0</v>
      </c>
    </row>
    <row r="3421" ht="12.75" customHeight="1" spans="2:9">
      <c r="B3421" s="3274">
        <v>2355</v>
      </c>
      <c r="D3421" s="3297" t="s">
        <v>9135</v>
      </c>
      <c r="E3421" s="3298" t="s">
        <v>9136</v>
      </c>
      <c r="F3421" s="3298" t="s">
        <v>2293</v>
      </c>
      <c r="G3421" s="3278">
        <v>51052.1</v>
      </c>
      <c r="H3421" s="3299">
        <v>0</v>
      </c>
      <c r="I3421" s="3278">
        <v>0</v>
      </c>
    </row>
    <row r="3422" ht="12.75" customHeight="1" spans="2:9">
      <c r="B3422" s="3274">
        <v>2356</v>
      </c>
      <c r="D3422" s="3297" t="s">
        <v>9137</v>
      </c>
      <c r="E3422" s="3298" t="s">
        <v>9138</v>
      </c>
      <c r="F3422" s="3298" t="s">
        <v>3056</v>
      </c>
      <c r="G3422" s="3278">
        <v>30250</v>
      </c>
      <c r="H3422" s="3299">
        <v>0</v>
      </c>
      <c r="I3422" s="3278">
        <v>0</v>
      </c>
    </row>
    <row r="3423" ht="12.75" customHeight="1" spans="2:9">
      <c r="B3423" s="3274">
        <v>2357</v>
      </c>
      <c r="D3423" s="3297" t="s">
        <v>9139</v>
      </c>
      <c r="E3423" s="3298" t="s">
        <v>9140</v>
      </c>
      <c r="F3423" s="3298" t="s">
        <v>2321</v>
      </c>
      <c r="G3423" s="3278">
        <v>88000</v>
      </c>
      <c r="H3423" s="3299">
        <v>0</v>
      </c>
      <c r="I3423" s="3278">
        <v>0</v>
      </c>
    </row>
    <row r="3424" ht="12.75" customHeight="1" spans="2:9">
      <c r="B3424" s="3274">
        <v>2358</v>
      </c>
      <c r="D3424" s="3297" t="s">
        <v>9141</v>
      </c>
      <c r="E3424" s="3298" t="s">
        <v>9142</v>
      </c>
      <c r="F3424" s="3298" t="s">
        <v>3423</v>
      </c>
      <c r="G3424" s="3278">
        <v>755542.997</v>
      </c>
      <c r="H3424" s="3299">
        <v>0</v>
      </c>
      <c r="I3424" s="3278">
        <v>0</v>
      </c>
    </row>
    <row r="3425" ht="12.75" customHeight="1" spans="2:9">
      <c r="B3425" s="3274">
        <v>2359</v>
      </c>
      <c r="D3425" s="3297" t="s">
        <v>9143</v>
      </c>
      <c r="E3425" s="3298" t="s">
        <v>9144</v>
      </c>
      <c r="F3425" s="3298" t="s">
        <v>4351</v>
      </c>
      <c r="G3425" s="3278">
        <v>16225</v>
      </c>
      <c r="H3425" s="3299">
        <v>0</v>
      </c>
      <c r="I3425" s="3278">
        <v>0</v>
      </c>
    </row>
    <row r="3426" ht="12.75" customHeight="1" spans="2:9">
      <c r="B3426" s="3274">
        <v>2360</v>
      </c>
      <c r="D3426" s="3297" t="s">
        <v>9145</v>
      </c>
      <c r="E3426" s="3298" t="s">
        <v>9146</v>
      </c>
      <c r="F3426" s="3298" t="s">
        <v>2367</v>
      </c>
      <c r="G3426" s="3278">
        <v>178200</v>
      </c>
      <c r="H3426" s="3299">
        <v>0</v>
      </c>
      <c r="I3426" s="3278">
        <v>0</v>
      </c>
    </row>
    <row r="3427" ht="12.75" customHeight="1" spans="2:9">
      <c r="B3427" s="3274">
        <v>2361</v>
      </c>
      <c r="D3427" s="3297" t="s">
        <v>9147</v>
      </c>
      <c r="E3427" s="3298" t="s">
        <v>9148</v>
      </c>
      <c r="F3427" s="3298" t="s">
        <v>3056</v>
      </c>
      <c r="G3427" s="3278">
        <v>1500</v>
      </c>
      <c r="H3427" s="3299">
        <v>0</v>
      </c>
      <c r="I3427" s="3278">
        <v>0</v>
      </c>
    </row>
    <row r="3428" ht="12.75" customHeight="1" spans="2:9">
      <c r="B3428" s="3274">
        <v>2362</v>
      </c>
      <c r="D3428" s="3297" t="s">
        <v>9149</v>
      </c>
      <c r="E3428" s="3298" t="s">
        <v>9150</v>
      </c>
      <c r="F3428" s="3298" t="s">
        <v>3056</v>
      </c>
      <c r="G3428" s="3278">
        <v>30635</v>
      </c>
      <c r="H3428" s="3299">
        <v>0</v>
      </c>
      <c r="I3428" s="3278">
        <v>0</v>
      </c>
    </row>
    <row r="3429" ht="12.75" customHeight="1" spans="2:9">
      <c r="B3429" s="3274">
        <v>2363</v>
      </c>
      <c r="D3429" s="3297" t="s">
        <v>9151</v>
      </c>
      <c r="E3429" s="3298" t="s">
        <v>9152</v>
      </c>
      <c r="F3429" s="3298" t="s">
        <v>3056</v>
      </c>
      <c r="G3429" s="3278">
        <v>21670</v>
      </c>
      <c r="H3429" s="3299">
        <v>0</v>
      </c>
      <c r="I3429" s="3278">
        <v>0</v>
      </c>
    </row>
    <row r="3430" ht="12.75" customHeight="1" spans="2:9">
      <c r="B3430" s="3274">
        <v>2364</v>
      </c>
      <c r="D3430" s="3297" t="s">
        <v>9153</v>
      </c>
      <c r="E3430" s="3298" t="s">
        <v>9154</v>
      </c>
      <c r="F3430" s="3298" t="s">
        <v>3056</v>
      </c>
      <c r="G3430" s="3278">
        <v>27209.6</v>
      </c>
      <c r="H3430" s="3299">
        <v>0</v>
      </c>
      <c r="I3430" s="3278">
        <v>0</v>
      </c>
    </row>
    <row r="3431" ht="12.75" customHeight="1" spans="2:9">
      <c r="B3431" s="3274">
        <v>2365</v>
      </c>
      <c r="D3431" s="3297" t="s">
        <v>9155</v>
      </c>
      <c r="E3431" s="3298" t="s">
        <v>9156</v>
      </c>
      <c r="F3431" s="3298" t="s">
        <v>2321</v>
      </c>
      <c r="G3431" s="3278">
        <v>5500</v>
      </c>
      <c r="H3431" s="3299">
        <v>0</v>
      </c>
      <c r="I3431" s="3278">
        <v>0</v>
      </c>
    </row>
    <row r="3432" ht="12.75" customHeight="1" spans="2:9">
      <c r="B3432" s="3274">
        <v>2366</v>
      </c>
      <c r="D3432" s="3297" t="s">
        <v>9157</v>
      </c>
      <c r="E3432" s="3298" t="s">
        <v>9158</v>
      </c>
      <c r="F3432" s="3298" t="s">
        <v>2321</v>
      </c>
      <c r="G3432" s="3278">
        <v>11000</v>
      </c>
      <c r="H3432" s="3299">
        <v>0</v>
      </c>
      <c r="I3432" s="3278">
        <v>0</v>
      </c>
    </row>
    <row r="3433" ht="12.75" customHeight="1" spans="2:9">
      <c r="B3433" s="3274">
        <v>2367</v>
      </c>
      <c r="D3433" s="3297" t="s">
        <v>9159</v>
      </c>
      <c r="E3433" s="3298" t="s">
        <v>9160</v>
      </c>
      <c r="F3433" s="3298" t="s">
        <v>2321</v>
      </c>
      <c r="G3433" s="3278">
        <v>146144</v>
      </c>
      <c r="H3433" s="3299">
        <v>0</v>
      </c>
      <c r="I3433" s="3278">
        <v>0</v>
      </c>
    </row>
    <row r="3434" ht="12.75" customHeight="1" spans="2:9">
      <c r="B3434" s="3274">
        <v>2368</v>
      </c>
      <c r="D3434" s="3297" t="s">
        <v>9161</v>
      </c>
      <c r="E3434" s="3298" t="s">
        <v>9162</v>
      </c>
      <c r="F3434" s="3298" t="s">
        <v>2299</v>
      </c>
      <c r="G3434" s="3278">
        <v>11283</v>
      </c>
      <c r="H3434" s="3299">
        <v>0</v>
      </c>
      <c r="I3434" s="3278">
        <v>0</v>
      </c>
    </row>
    <row r="3435" ht="12.75" customHeight="1" spans="2:9">
      <c r="B3435" s="3274">
        <v>2369</v>
      </c>
      <c r="D3435" s="3297" t="s">
        <v>9163</v>
      </c>
      <c r="E3435" s="3298" t="s">
        <v>9164</v>
      </c>
      <c r="F3435" s="3298" t="s">
        <v>3056</v>
      </c>
      <c r="G3435" s="3278">
        <v>10065</v>
      </c>
      <c r="H3435" s="3299">
        <v>0</v>
      </c>
      <c r="I3435" s="3278">
        <v>0</v>
      </c>
    </row>
    <row r="3436" ht="12.75" customHeight="1" spans="2:9">
      <c r="B3436" s="3274">
        <v>2370</v>
      </c>
      <c r="D3436" s="3297" t="s">
        <v>9165</v>
      </c>
      <c r="E3436" s="3298" t="s">
        <v>9166</v>
      </c>
      <c r="F3436" s="3298" t="s">
        <v>2321</v>
      </c>
      <c r="G3436" s="3278">
        <v>99850</v>
      </c>
      <c r="H3436" s="3299">
        <v>0</v>
      </c>
      <c r="I3436" s="3278">
        <v>0</v>
      </c>
    </row>
    <row r="3437" ht="12.75" customHeight="1" spans="2:9">
      <c r="B3437" s="3274">
        <v>2371</v>
      </c>
      <c r="D3437" s="3297" t="s">
        <v>9167</v>
      </c>
      <c r="E3437" s="3298" t="s">
        <v>9168</v>
      </c>
      <c r="F3437" s="3298" t="s">
        <v>2321</v>
      </c>
      <c r="G3437" s="3278">
        <v>15000</v>
      </c>
      <c r="H3437" s="3299">
        <v>0</v>
      </c>
      <c r="I3437" s="3278">
        <v>0</v>
      </c>
    </row>
    <row r="3438" ht="12.75" customHeight="1" spans="2:9">
      <c r="B3438" s="3274">
        <v>2372</v>
      </c>
      <c r="D3438" s="3297" t="s">
        <v>9169</v>
      </c>
      <c r="E3438" s="3298" t="s">
        <v>9170</v>
      </c>
      <c r="F3438" s="3298" t="s">
        <v>2637</v>
      </c>
      <c r="G3438" s="3278">
        <v>71500</v>
      </c>
      <c r="H3438" s="3299">
        <v>0</v>
      </c>
      <c r="I3438" s="3278">
        <v>0</v>
      </c>
    </row>
    <row r="3439" ht="12.75" customHeight="1" spans="2:9">
      <c r="B3439" s="3274">
        <v>2373</v>
      </c>
      <c r="D3439" s="3297" t="s">
        <v>9171</v>
      </c>
      <c r="E3439" s="3298" t="s">
        <v>4111</v>
      </c>
      <c r="F3439" s="3298" t="s">
        <v>2299</v>
      </c>
      <c r="G3439" s="3278">
        <v>44000</v>
      </c>
      <c r="H3439" s="3299">
        <v>0</v>
      </c>
      <c r="I3439" s="3278">
        <v>0</v>
      </c>
    </row>
    <row r="3440" ht="12.75" customHeight="1" spans="2:9">
      <c r="B3440" s="3274">
        <v>2374</v>
      </c>
      <c r="D3440" s="3297" t="s">
        <v>9172</v>
      </c>
      <c r="E3440" s="3298" t="s">
        <v>4111</v>
      </c>
      <c r="F3440" s="3298" t="s">
        <v>2299</v>
      </c>
      <c r="G3440" s="3278">
        <v>44000</v>
      </c>
      <c r="H3440" s="3299">
        <v>0</v>
      </c>
      <c r="I3440" s="3278">
        <v>0</v>
      </c>
    </row>
    <row r="3441" ht="12.75" customHeight="1" spans="2:9">
      <c r="B3441" s="3274">
        <v>2375</v>
      </c>
      <c r="D3441" s="3297" t="s">
        <v>9173</v>
      </c>
      <c r="E3441" s="3298" t="s">
        <v>9174</v>
      </c>
      <c r="F3441" s="3298" t="s">
        <v>2637</v>
      </c>
      <c r="G3441" s="3278">
        <v>60500</v>
      </c>
      <c r="H3441" s="3299">
        <v>0</v>
      </c>
      <c r="I3441" s="3278">
        <v>0</v>
      </c>
    </row>
    <row r="3442" ht="12.75" customHeight="1" spans="2:9">
      <c r="B3442" s="3274">
        <v>2376</v>
      </c>
      <c r="D3442" s="3297" t="s">
        <v>9175</v>
      </c>
      <c r="E3442" s="3298" t="s">
        <v>9176</v>
      </c>
      <c r="F3442" s="3298" t="s">
        <v>2321</v>
      </c>
      <c r="G3442" s="3278">
        <v>71500</v>
      </c>
      <c r="H3442" s="3299">
        <v>0</v>
      </c>
      <c r="I3442" s="3278">
        <v>0</v>
      </c>
    </row>
    <row r="3443" ht="12.75" customHeight="1" spans="2:9">
      <c r="B3443" s="3274">
        <v>2377</v>
      </c>
      <c r="D3443" s="3297" t="s">
        <v>9177</v>
      </c>
      <c r="E3443" s="3298" t="s">
        <v>9178</v>
      </c>
      <c r="F3443" s="3298" t="s">
        <v>2299</v>
      </c>
      <c r="G3443" s="3278">
        <v>50000</v>
      </c>
      <c r="H3443" s="3299">
        <v>0</v>
      </c>
      <c r="I3443" s="3278">
        <v>0</v>
      </c>
    </row>
    <row r="3444" ht="12.75" customHeight="1" spans="2:9">
      <c r="B3444" s="3274">
        <v>2378</v>
      </c>
      <c r="D3444" s="3297" t="s">
        <v>9179</v>
      </c>
      <c r="E3444" s="3298" t="s">
        <v>9180</v>
      </c>
      <c r="F3444" s="3298" t="s">
        <v>3423</v>
      </c>
      <c r="G3444" s="3278">
        <v>650000</v>
      </c>
      <c r="H3444" s="3299">
        <v>0</v>
      </c>
      <c r="I3444" s="3278">
        <v>0</v>
      </c>
    </row>
    <row r="3445" ht="12.75" customHeight="1" spans="2:9">
      <c r="B3445" s="3274">
        <v>2379</v>
      </c>
      <c r="D3445" s="3297" t="s">
        <v>9181</v>
      </c>
      <c r="E3445" s="3298" t="s">
        <v>9182</v>
      </c>
      <c r="F3445" s="3298" t="s">
        <v>2321</v>
      </c>
      <c r="G3445" s="3278">
        <v>9790</v>
      </c>
      <c r="H3445" s="3299">
        <v>0</v>
      </c>
      <c r="I3445" s="3278">
        <v>0</v>
      </c>
    </row>
    <row r="3446" ht="12.75" customHeight="1" spans="2:9">
      <c r="B3446" s="3274">
        <v>2380</v>
      </c>
      <c r="D3446" s="3297" t="s">
        <v>9183</v>
      </c>
      <c r="E3446" s="3298" t="s">
        <v>9184</v>
      </c>
      <c r="F3446" s="3298" t="s">
        <v>3056</v>
      </c>
      <c r="G3446" s="3278">
        <v>3403.4</v>
      </c>
      <c r="H3446" s="3299">
        <v>0</v>
      </c>
      <c r="I3446" s="3278">
        <v>0</v>
      </c>
    </row>
    <row r="3447" ht="12.75" customHeight="1" spans="2:9">
      <c r="B3447" s="3274">
        <v>2381</v>
      </c>
      <c r="D3447" s="3297" t="s">
        <v>9185</v>
      </c>
      <c r="E3447" s="3298" t="s">
        <v>9186</v>
      </c>
      <c r="F3447" s="3298" t="s">
        <v>3056</v>
      </c>
      <c r="G3447" s="3278">
        <v>1875.06</v>
      </c>
      <c r="H3447" s="3299">
        <v>0</v>
      </c>
      <c r="I3447" s="3278">
        <v>0</v>
      </c>
    </row>
    <row r="3448" ht="12.75" customHeight="1" spans="2:9">
      <c r="B3448" s="3274">
        <v>2382</v>
      </c>
      <c r="D3448" s="3297" t="s">
        <v>9187</v>
      </c>
      <c r="E3448" s="3298" t="s">
        <v>9188</v>
      </c>
      <c r="F3448" s="3298" t="s">
        <v>2299</v>
      </c>
      <c r="G3448" s="3278">
        <v>4253.337</v>
      </c>
      <c r="H3448" s="3299">
        <v>0</v>
      </c>
      <c r="I3448" s="3278">
        <v>0</v>
      </c>
    </row>
    <row r="3449" ht="12.75" customHeight="1" spans="2:9">
      <c r="B3449" s="3274">
        <v>2383</v>
      </c>
      <c r="D3449" s="3297" t="s">
        <v>9189</v>
      </c>
      <c r="E3449" s="3298" t="s">
        <v>9190</v>
      </c>
      <c r="F3449" s="3298" t="s">
        <v>2288</v>
      </c>
      <c r="G3449" s="3278">
        <v>790000.2</v>
      </c>
      <c r="H3449" s="3299">
        <v>0</v>
      </c>
      <c r="I3449" s="3278">
        <v>0</v>
      </c>
    </row>
    <row r="3450" ht="12.75" customHeight="1" spans="2:9">
      <c r="B3450" s="3274">
        <v>2384</v>
      </c>
      <c r="D3450" s="3297" t="s">
        <v>9191</v>
      </c>
      <c r="E3450" s="3298" t="s">
        <v>9192</v>
      </c>
      <c r="F3450" s="3298" t="s">
        <v>2288</v>
      </c>
      <c r="G3450" s="3278">
        <v>85470</v>
      </c>
      <c r="H3450" s="3299">
        <v>0</v>
      </c>
      <c r="I3450" s="3278">
        <v>0</v>
      </c>
    </row>
    <row r="3451" ht="12.75" customHeight="1" spans="2:9">
      <c r="B3451" s="3274">
        <v>2385</v>
      </c>
      <c r="D3451" s="3297" t="s">
        <v>9193</v>
      </c>
      <c r="E3451" s="3298" t="s">
        <v>9194</v>
      </c>
      <c r="F3451" s="3298" t="s">
        <v>2288</v>
      </c>
      <c r="G3451" s="3278">
        <v>137093</v>
      </c>
      <c r="H3451" s="3299">
        <v>0</v>
      </c>
      <c r="I3451" s="3278">
        <v>0</v>
      </c>
    </row>
    <row r="3452" ht="12.75" customHeight="1" spans="2:9">
      <c r="B3452" s="3274">
        <v>2386</v>
      </c>
      <c r="D3452" s="3297" t="s">
        <v>9195</v>
      </c>
      <c r="E3452" s="3298" t="s">
        <v>9196</v>
      </c>
      <c r="F3452" s="3298" t="s">
        <v>5960</v>
      </c>
      <c r="G3452" s="3278">
        <v>78375</v>
      </c>
      <c r="H3452" s="3299">
        <v>0</v>
      </c>
      <c r="I3452" s="3278">
        <v>0</v>
      </c>
    </row>
    <row r="3453" ht="12.75" customHeight="1" spans="2:9">
      <c r="B3453" s="3274">
        <v>2387</v>
      </c>
      <c r="D3453" s="3297" t="s">
        <v>9197</v>
      </c>
      <c r="E3453" s="3298" t="s">
        <v>9198</v>
      </c>
      <c r="F3453" s="3298" t="s">
        <v>2309</v>
      </c>
      <c r="G3453" s="3278">
        <v>72050</v>
      </c>
      <c r="H3453" s="3299">
        <v>0</v>
      </c>
      <c r="I3453" s="3278">
        <v>0</v>
      </c>
    </row>
    <row r="3454" ht="12.75" customHeight="1" spans="2:9">
      <c r="B3454" s="3274">
        <v>2388</v>
      </c>
      <c r="D3454" s="3297" t="s">
        <v>9199</v>
      </c>
      <c r="E3454" s="3298" t="s">
        <v>9200</v>
      </c>
      <c r="F3454" s="3298" t="s">
        <v>2367</v>
      </c>
      <c r="G3454" s="3278">
        <v>278655.3</v>
      </c>
      <c r="H3454" s="3299">
        <v>0</v>
      </c>
      <c r="I3454" s="3278">
        <v>0</v>
      </c>
    </row>
    <row r="3455" ht="12.75" customHeight="1" spans="2:9">
      <c r="B3455" s="3274">
        <v>2389</v>
      </c>
      <c r="D3455" s="3297" t="s">
        <v>9201</v>
      </c>
      <c r="E3455" s="3298" t="s">
        <v>9202</v>
      </c>
      <c r="F3455" s="3298" t="s">
        <v>2299</v>
      </c>
      <c r="G3455" s="3278">
        <v>138424</v>
      </c>
      <c r="H3455" s="3299">
        <v>0</v>
      </c>
      <c r="I3455" s="3278">
        <v>0</v>
      </c>
    </row>
    <row r="3456" ht="12.75" customHeight="1" spans="2:9">
      <c r="B3456" s="3274">
        <v>2390</v>
      </c>
      <c r="D3456" s="3297" t="s">
        <v>9203</v>
      </c>
      <c r="E3456" s="3298" t="s">
        <v>9204</v>
      </c>
      <c r="F3456" s="3298" t="s">
        <v>2299</v>
      </c>
      <c r="G3456" s="3278">
        <v>209357.5</v>
      </c>
      <c r="H3456" s="3299">
        <v>0</v>
      </c>
      <c r="I3456" s="3278">
        <v>0</v>
      </c>
    </row>
    <row r="3457" ht="12.75" customHeight="1" spans="2:9">
      <c r="B3457" s="3274">
        <v>2391</v>
      </c>
      <c r="D3457" s="3297" t="s">
        <v>9205</v>
      </c>
      <c r="E3457" s="3298" t="s">
        <v>9206</v>
      </c>
      <c r="F3457" s="3298" t="s">
        <v>3056</v>
      </c>
      <c r="G3457" s="3278">
        <v>2979.999</v>
      </c>
      <c r="H3457" s="3299">
        <v>0</v>
      </c>
      <c r="I3457" s="3278">
        <v>0</v>
      </c>
    </row>
    <row r="3458" ht="12.75" customHeight="1" spans="2:9">
      <c r="B3458" s="3274">
        <v>2392</v>
      </c>
      <c r="D3458" s="3297" t="s">
        <v>9207</v>
      </c>
      <c r="E3458" s="3298" t="s">
        <v>9208</v>
      </c>
      <c r="F3458" s="3298" t="s">
        <v>3056</v>
      </c>
      <c r="G3458" s="3278">
        <v>10298.2</v>
      </c>
      <c r="H3458" s="3299">
        <v>0</v>
      </c>
      <c r="I3458" s="3278">
        <v>0</v>
      </c>
    </row>
    <row r="3459" ht="12.75" customHeight="1" spans="2:9">
      <c r="B3459" s="3274">
        <v>2393</v>
      </c>
      <c r="D3459" s="3297" t="s">
        <v>9209</v>
      </c>
      <c r="E3459" s="3298" t="s">
        <v>9210</v>
      </c>
      <c r="F3459" s="3298" t="s">
        <v>3423</v>
      </c>
      <c r="G3459" s="3278">
        <v>3950001</v>
      </c>
      <c r="H3459" s="3299">
        <v>0</v>
      </c>
      <c r="I3459" s="3278">
        <v>0</v>
      </c>
    </row>
    <row r="3460" ht="12.75" customHeight="1" spans="2:9">
      <c r="B3460" s="3274">
        <v>2394</v>
      </c>
      <c r="D3460" s="3297" t="s">
        <v>9211</v>
      </c>
      <c r="E3460" s="3298" t="s">
        <v>9212</v>
      </c>
      <c r="F3460" s="3298" t="s">
        <v>2321</v>
      </c>
      <c r="G3460" s="3278">
        <v>61050</v>
      </c>
      <c r="H3460" s="3299">
        <v>0</v>
      </c>
      <c r="I3460" s="3278">
        <v>0</v>
      </c>
    </row>
    <row r="3461" ht="12.75" customHeight="1" spans="2:9">
      <c r="B3461" s="3274">
        <v>2395</v>
      </c>
      <c r="D3461" s="3297" t="s">
        <v>9213</v>
      </c>
      <c r="E3461" s="3298" t="s">
        <v>9214</v>
      </c>
      <c r="F3461" s="3298" t="s">
        <v>3056</v>
      </c>
      <c r="G3461" s="3278">
        <v>5610</v>
      </c>
      <c r="H3461" s="3299">
        <v>0</v>
      </c>
      <c r="I3461" s="3278">
        <v>0</v>
      </c>
    </row>
    <row r="3462" ht="12.75" customHeight="1" spans="2:9">
      <c r="B3462" s="3274">
        <v>2396</v>
      </c>
      <c r="D3462" s="3297" t="s">
        <v>9215</v>
      </c>
      <c r="E3462" s="3298" t="s">
        <v>9216</v>
      </c>
      <c r="F3462" s="3298" t="s">
        <v>2637</v>
      </c>
      <c r="G3462" s="3278">
        <v>38115</v>
      </c>
      <c r="H3462" s="3299">
        <v>0</v>
      </c>
      <c r="I3462" s="3278">
        <v>0</v>
      </c>
    </row>
    <row r="3463" ht="12.75" customHeight="1" spans="2:9">
      <c r="B3463" s="3274">
        <v>2397</v>
      </c>
      <c r="D3463" s="3297" t="s">
        <v>9217</v>
      </c>
      <c r="E3463" s="3298" t="s">
        <v>9218</v>
      </c>
      <c r="F3463" s="3298" t="s">
        <v>3056</v>
      </c>
      <c r="G3463" s="3278">
        <v>5100.007</v>
      </c>
      <c r="H3463" s="3299">
        <v>0</v>
      </c>
      <c r="I3463" s="3278">
        <v>0</v>
      </c>
    </row>
    <row r="3464" ht="12.75" customHeight="1" spans="2:9">
      <c r="B3464" s="3274">
        <v>2398</v>
      </c>
      <c r="D3464" s="3297" t="s">
        <v>9219</v>
      </c>
      <c r="E3464" s="3298" t="s">
        <v>9220</v>
      </c>
      <c r="F3464" s="3298" t="s">
        <v>3056</v>
      </c>
      <c r="G3464" s="3278">
        <v>12540</v>
      </c>
      <c r="H3464" s="3299">
        <v>0</v>
      </c>
      <c r="I3464" s="3278">
        <v>0</v>
      </c>
    </row>
    <row r="3465" ht="12.75" customHeight="1" spans="2:9">
      <c r="B3465" s="3274">
        <v>2399</v>
      </c>
      <c r="D3465" s="3297" t="s">
        <v>9221</v>
      </c>
      <c r="E3465" s="3298" t="s">
        <v>9222</v>
      </c>
      <c r="F3465" s="3298" t="s">
        <v>3056</v>
      </c>
      <c r="G3465" s="3278">
        <v>0</v>
      </c>
      <c r="H3465" s="3299">
        <v>0</v>
      </c>
      <c r="I3465" s="3278">
        <v>0</v>
      </c>
    </row>
    <row r="3466" ht="12.75" customHeight="1" spans="2:9">
      <c r="B3466" s="3274">
        <v>2400</v>
      </c>
      <c r="D3466" s="3297" t="s">
        <v>9223</v>
      </c>
      <c r="E3466" s="3298" t="s">
        <v>9224</v>
      </c>
      <c r="F3466" s="3298" t="s">
        <v>3056</v>
      </c>
      <c r="G3466" s="3278">
        <v>3080</v>
      </c>
      <c r="H3466" s="3299">
        <v>540</v>
      </c>
      <c r="I3466" s="3278">
        <v>1663200</v>
      </c>
    </row>
    <row r="3467" ht="12.75" customHeight="1" spans="2:9">
      <c r="B3467" s="3274">
        <v>2401</v>
      </c>
      <c r="D3467" s="3297" t="s">
        <v>9225</v>
      </c>
      <c r="E3467" s="3298" t="s">
        <v>9226</v>
      </c>
      <c r="F3467" s="3298" t="s">
        <v>3056</v>
      </c>
      <c r="G3467" s="3278">
        <v>0</v>
      </c>
      <c r="H3467" s="3299">
        <v>0</v>
      </c>
      <c r="I3467" s="3278">
        <v>0</v>
      </c>
    </row>
    <row r="3468" ht="12.75" customHeight="1" spans="2:9">
      <c r="B3468" s="3274">
        <v>2402</v>
      </c>
      <c r="D3468" s="3297" t="s">
        <v>9227</v>
      </c>
      <c r="E3468" s="3298" t="s">
        <v>9228</v>
      </c>
      <c r="F3468" s="3298" t="s">
        <v>3056</v>
      </c>
      <c r="G3468" s="3278">
        <v>4620</v>
      </c>
      <c r="H3468" s="3299">
        <v>480</v>
      </c>
      <c r="I3468" s="3278">
        <v>2217600</v>
      </c>
    </row>
    <row r="3469" ht="12.75" customHeight="1" spans="2:9">
      <c r="B3469" s="3274">
        <v>2403</v>
      </c>
      <c r="D3469" s="3297" t="s">
        <v>9229</v>
      </c>
      <c r="E3469" s="3298" t="s">
        <v>9230</v>
      </c>
      <c r="F3469" s="3298" t="s">
        <v>2321</v>
      </c>
      <c r="G3469" s="3278">
        <v>35640</v>
      </c>
      <c r="H3469" s="3299">
        <v>0</v>
      </c>
      <c r="I3469" s="3278">
        <v>0</v>
      </c>
    </row>
    <row r="3470" ht="12.75" customHeight="1" spans="2:9">
      <c r="B3470" s="3274">
        <v>2404</v>
      </c>
      <c r="D3470" s="3297" t="s">
        <v>9231</v>
      </c>
      <c r="E3470" s="3298" t="s">
        <v>9232</v>
      </c>
      <c r="F3470" s="3298" t="s">
        <v>2321</v>
      </c>
      <c r="G3470" s="3278">
        <v>71500</v>
      </c>
      <c r="H3470" s="3299">
        <v>0</v>
      </c>
      <c r="I3470" s="3278">
        <v>0</v>
      </c>
    </row>
    <row r="3471" ht="12.75" customHeight="1" spans="2:9">
      <c r="B3471" s="3274">
        <v>2405</v>
      </c>
      <c r="D3471" s="3297" t="s">
        <v>9233</v>
      </c>
      <c r="E3471" s="3298" t="s">
        <v>9234</v>
      </c>
      <c r="F3471" s="3298" t="s">
        <v>2637</v>
      </c>
      <c r="G3471" s="3278">
        <v>53130</v>
      </c>
      <c r="H3471" s="3299">
        <v>0</v>
      </c>
      <c r="I3471" s="3278">
        <v>0</v>
      </c>
    </row>
    <row r="3472" ht="12.75" customHeight="1" spans="2:9">
      <c r="B3472" s="3274">
        <v>2406</v>
      </c>
      <c r="D3472" s="3297" t="s">
        <v>9235</v>
      </c>
      <c r="E3472" s="3298" t="s">
        <v>9236</v>
      </c>
      <c r="F3472" s="3298" t="s">
        <v>2637</v>
      </c>
      <c r="G3472" s="3278">
        <v>15299.9</v>
      </c>
      <c r="H3472" s="3299">
        <v>0</v>
      </c>
      <c r="I3472" s="3278">
        <v>0</v>
      </c>
    </row>
    <row r="3473" ht="12.75" customHeight="1" spans="2:9">
      <c r="B3473" s="3274">
        <v>2407</v>
      </c>
      <c r="D3473" s="3297" t="s">
        <v>9237</v>
      </c>
      <c r="E3473" s="3298" t="s">
        <v>9238</v>
      </c>
      <c r="F3473" s="3298" t="s">
        <v>2321</v>
      </c>
      <c r="G3473" s="3278">
        <v>21890</v>
      </c>
      <c r="H3473" s="3299">
        <v>0</v>
      </c>
      <c r="I3473" s="3278">
        <v>0</v>
      </c>
    </row>
    <row r="3474" ht="12.75" customHeight="1" spans="2:9">
      <c r="B3474" s="3274">
        <v>2408</v>
      </c>
      <c r="D3474" s="3297" t="s">
        <v>9239</v>
      </c>
      <c r="E3474" s="3298" t="s">
        <v>9240</v>
      </c>
      <c r="F3474" s="3298" t="s">
        <v>2299</v>
      </c>
      <c r="G3474" s="3278">
        <v>5500</v>
      </c>
      <c r="H3474" s="3299">
        <v>0</v>
      </c>
      <c r="I3474" s="3278">
        <v>0</v>
      </c>
    </row>
    <row r="3475" ht="12.75" customHeight="1" spans="2:9">
      <c r="B3475" s="3274">
        <v>2409</v>
      </c>
      <c r="D3475" s="3297" t="s">
        <v>9241</v>
      </c>
      <c r="E3475" s="3298" t="s">
        <v>9242</v>
      </c>
      <c r="F3475" s="3298" t="s">
        <v>3056</v>
      </c>
      <c r="G3475" s="3278">
        <v>7700</v>
      </c>
      <c r="H3475" s="3299">
        <v>0</v>
      </c>
      <c r="I3475" s="3278">
        <v>0</v>
      </c>
    </row>
    <row r="3476" ht="12.75" customHeight="1" spans="2:9">
      <c r="B3476" s="3274">
        <v>2410</v>
      </c>
      <c r="D3476" s="3297" t="s">
        <v>9243</v>
      </c>
      <c r="E3476" s="3298" t="s">
        <v>9244</v>
      </c>
      <c r="F3476" s="3298" t="s">
        <v>3423</v>
      </c>
      <c r="G3476" s="3278">
        <v>60000.105</v>
      </c>
      <c r="H3476" s="3299">
        <v>0</v>
      </c>
      <c r="I3476" s="3278">
        <v>0</v>
      </c>
    </row>
    <row r="3477" ht="12.75" customHeight="1" spans="2:9">
      <c r="B3477" s="3274">
        <v>2411</v>
      </c>
      <c r="D3477" s="3297" t="s">
        <v>9245</v>
      </c>
      <c r="E3477" s="3298" t="s">
        <v>9246</v>
      </c>
      <c r="F3477" s="3298" t="s">
        <v>3056</v>
      </c>
      <c r="G3477" s="3278">
        <v>2900</v>
      </c>
      <c r="H3477" s="3299">
        <v>0</v>
      </c>
      <c r="I3477" s="3278">
        <v>0</v>
      </c>
    </row>
    <row r="3478" ht="12.75" customHeight="1" spans="2:9">
      <c r="B3478" s="3274">
        <v>2412</v>
      </c>
      <c r="D3478" s="3297" t="s">
        <v>9247</v>
      </c>
      <c r="E3478" s="3298" t="s">
        <v>9248</v>
      </c>
      <c r="F3478" s="3298" t="s">
        <v>3056</v>
      </c>
      <c r="G3478" s="3278">
        <v>12929</v>
      </c>
      <c r="H3478" s="3299">
        <v>0</v>
      </c>
      <c r="I3478" s="3278">
        <v>0</v>
      </c>
    </row>
    <row r="3479" ht="12.75" customHeight="1" spans="2:9">
      <c r="B3479" s="3274">
        <v>2413</v>
      </c>
      <c r="D3479" s="3297" t="s">
        <v>9249</v>
      </c>
      <c r="E3479" s="3298" t="s">
        <v>9250</v>
      </c>
      <c r="F3479" s="3298" t="s">
        <v>2321</v>
      </c>
      <c r="G3479" s="3278">
        <v>51150</v>
      </c>
      <c r="H3479" s="3299">
        <v>41</v>
      </c>
      <c r="I3479" s="3278">
        <v>2097150</v>
      </c>
    </row>
    <row r="3480" ht="12.75" customHeight="1" spans="2:9">
      <c r="B3480" s="3274">
        <v>2414</v>
      </c>
      <c r="D3480" s="3297" t="s">
        <v>9251</v>
      </c>
      <c r="E3480" s="3298" t="s">
        <v>9252</v>
      </c>
      <c r="F3480" s="3298" t="s">
        <v>2321</v>
      </c>
      <c r="G3480" s="3278">
        <v>0</v>
      </c>
      <c r="H3480" s="3299">
        <v>0</v>
      </c>
      <c r="I3480" s="3278">
        <v>0</v>
      </c>
    </row>
    <row r="3481" ht="12.75" customHeight="1" spans="2:9">
      <c r="B3481" s="3274">
        <v>2415</v>
      </c>
      <c r="D3481" s="3297" t="s">
        <v>9253</v>
      </c>
      <c r="E3481" s="3298" t="s">
        <v>9254</v>
      </c>
      <c r="F3481" s="3298" t="s">
        <v>2637</v>
      </c>
      <c r="G3481" s="3278">
        <v>52525</v>
      </c>
      <c r="H3481" s="3299">
        <v>0</v>
      </c>
      <c r="I3481" s="3278">
        <v>0</v>
      </c>
    </row>
    <row r="3482" ht="12.75" customHeight="1" spans="2:9">
      <c r="B3482" s="3274">
        <v>2416</v>
      </c>
      <c r="D3482" s="3297" t="s">
        <v>9255</v>
      </c>
      <c r="E3482" s="3298" t="s">
        <v>9256</v>
      </c>
      <c r="F3482" s="3298" t="s">
        <v>2637</v>
      </c>
      <c r="G3482" s="3278">
        <v>33550</v>
      </c>
      <c r="H3482" s="3299">
        <v>0</v>
      </c>
      <c r="I3482" s="3278">
        <v>0</v>
      </c>
    </row>
    <row r="3483" ht="12.75" customHeight="1" spans="2:9">
      <c r="B3483" s="3274">
        <v>2417</v>
      </c>
      <c r="D3483" s="3297" t="s">
        <v>9257</v>
      </c>
      <c r="E3483" s="3298" t="s">
        <v>9258</v>
      </c>
      <c r="F3483" s="3298" t="s">
        <v>2299</v>
      </c>
      <c r="G3483" s="3278">
        <v>50000</v>
      </c>
      <c r="H3483" s="3299">
        <v>0</v>
      </c>
      <c r="I3483" s="3278">
        <v>0</v>
      </c>
    </row>
    <row r="3484" ht="12.75" customHeight="1" spans="2:9">
      <c r="B3484" s="3274">
        <v>2418</v>
      </c>
      <c r="D3484" s="3297" t="s">
        <v>9259</v>
      </c>
      <c r="E3484" s="3298" t="s">
        <v>9260</v>
      </c>
      <c r="F3484" s="3298" t="s">
        <v>4757</v>
      </c>
      <c r="G3484" s="3278">
        <v>0</v>
      </c>
      <c r="H3484" s="3299">
        <v>0</v>
      </c>
      <c r="I3484" s="3278">
        <v>0</v>
      </c>
    </row>
    <row r="3485" ht="12.75" customHeight="1" spans="2:9">
      <c r="B3485" s="3274">
        <v>2419</v>
      </c>
      <c r="D3485" s="3297" t="s">
        <v>9261</v>
      </c>
      <c r="E3485" s="3298" t="s">
        <v>9262</v>
      </c>
      <c r="F3485" s="3298" t="s">
        <v>2299</v>
      </c>
      <c r="G3485" s="3278">
        <v>0</v>
      </c>
      <c r="H3485" s="3299">
        <v>0</v>
      </c>
      <c r="I3485" s="3278">
        <v>0</v>
      </c>
    </row>
    <row r="3486" ht="12.75" customHeight="1" spans="2:9">
      <c r="B3486" s="3274">
        <v>2420</v>
      </c>
      <c r="D3486" s="3297" t="s">
        <v>9263</v>
      </c>
      <c r="E3486" s="3298" t="s">
        <v>9264</v>
      </c>
      <c r="F3486" s="3298" t="s">
        <v>2321</v>
      </c>
      <c r="G3486" s="3278">
        <v>0</v>
      </c>
      <c r="H3486" s="3299">
        <v>0</v>
      </c>
      <c r="I3486" s="3278">
        <v>0</v>
      </c>
    </row>
    <row r="3487" ht="12.75" customHeight="1" spans="2:9">
      <c r="B3487" s="3274">
        <v>2421</v>
      </c>
      <c r="D3487" s="3297" t="s">
        <v>9265</v>
      </c>
      <c r="E3487" s="3298" t="s">
        <v>9266</v>
      </c>
      <c r="F3487" s="3298" t="s">
        <v>3056</v>
      </c>
      <c r="G3487" s="3278">
        <v>0</v>
      </c>
      <c r="H3487" s="3299">
        <v>0</v>
      </c>
      <c r="I3487" s="3278">
        <v>0</v>
      </c>
    </row>
    <row r="3488" ht="12.75" customHeight="1" spans="2:9">
      <c r="B3488" s="3274">
        <v>2422</v>
      </c>
      <c r="D3488" s="3297" t="s">
        <v>9267</v>
      </c>
      <c r="E3488" s="3298" t="s">
        <v>9268</v>
      </c>
      <c r="F3488" s="3298" t="s">
        <v>2457</v>
      </c>
      <c r="G3488" s="3278">
        <v>13400</v>
      </c>
      <c r="H3488" s="3299">
        <v>0</v>
      </c>
      <c r="I3488" s="3278">
        <v>0</v>
      </c>
    </row>
    <row r="3489" ht="12.75" customHeight="1" spans="2:9">
      <c r="B3489" s="3274">
        <v>2423</v>
      </c>
      <c r="D3489" s="3297" t="s">
        <v>9269</v>
      </c>
      <c r="E3489" s="3298" t="s">
        <v>9270</v>
      </c>
      <c r="F3489" s="3298" t="s">
        <v>2637</v>
      </c>
      <c r="G3489" s="3278">
        <v>60500</v>
      </c>
      <c r="H3489" s="3299">
        <v>0</v>
      </c>
      <c r="I3489" s="3278">
        <v>0</v>
      </c>
    </row>
    <row r="3490" ht="12.75" customHeight="1" spans="2:9">
      <c r="B3490" s="3274">
        <v>2424</v>
      </c>
      <c r="D3490" s="3297" t="s">
        <v>9271</v>
      </c>
      <c r="E3490" s="3298" t="s">
        <v>9272</v>
      </c>
      <c r="F3490" s="3298" t="s">
        <v>2457</v>
      </c>
      <c r="G3490" s="3278">
        <v>2876.5</v>
      </c>
      <c r="H3490" s="3299">
        <v>0</v>
      </c>
      <c r="I3490" s="3278">
        <v>0</v>
      </c>
    </row>
    <row r="3491" ht="12.75" customHeight="1" spans="2:9">
      <c r="B3491" s="3274">
        <v>2425</v>
      </c>
      <c r="D3491" s="3297" t="s">
        <v>9273</v>
      </c>
      <c r="E3491" s="3298" t="s">
        <v>9274</v>
      </c>
      <c r="F3491" s="3298" t="s">
        <v>3042</v>
      </c>
      <c r="G3491" s="3278">
        <v>11165</v>
      </c>
      <c r="H3491" s="3299">
        <v>0</v>
      </c>
      <c r="I3491" s="3278">
        <v>0</v>
      </c>
    </row>
    <row r="3492" ht="12.75" customHeight="1" spans="2:9">
      <c r="B3492" s="3274">
        <v>2426</v>
      </c>
      <c r="D3492" s="3297" t="s">
        <v>9275</v>
      </c>
      <c r="E3492" s="3298" t="s">
        <v>9276</v>
      </c>
      <c r="F3492" s="3298" t="s">
        <v>2299</v>
      </c>
      <c r="G3492" s="3278">
        <v>44000</v>
      </c>
      <c r="H3492" s="3299">
        <v>0</v>
      </c>
      <c r="I3492" s="3278">
        <v>0</v>
      </c>
    </row>
    <row r="3493" ht="12.75" customHeight="1" spans="2:9">
      <c r="B3493" s="3274">
        <v>2427</v>
      </c>
      <c r="D3493" s="3297" t="s">
        <v>9277</v>
      </c>
      <c r="E3493" s="3298" t="s">
        <v>9278</v>
      </c>
      <c r="F3493" s="3298" t="s">
        <v>2299</v>
      </c>
      <c r="G3493" s="3278">
        <v>12100</v>
      </c>
      <c r="H3493" s="3299">
        <v>0</v>
      </c>
      <c r="I3493" s="3278">
        <v>0</v>
      </c>
    </row>
    <row r="3494" ht="12.75" customHeight="1" spans="2:9">
      <c r="B3494" s="3274">
        <v>2428</v>
      </c>
      <c r="D3494" s="3297" t="s">
        <v>9279</v>
      </c>
      <c r="E3494" s="3298" t="s">
        <v>9280</v>
      </c>
      <c r="F3494" s="3298" t="s">
        <v>2299</v>
      </c>
      <c r="G3494" s="3278">
        <v>13310</v>
      </c>
      <c r="H3494" s="3299">
        <v>0</v>
      </c>
      <c r="I3494" s="3278">
        <v>0</v>
      </c>
    </row>
    <row r="3495" ht="12.75" customHeight="1" spans="2:9">
      <c r="B3495" s="3274">
        <v>2429</v>
      </c>
      <c r="D3495" s="3297" t="s">
        <v>9281</v>
      </c>
      <c r="E3495" s="3298" t="s">
        <v>9282</v>
      </c>
      <c r="F3495" s="3298" t="s">
        <v>2321</v>
      </c>
      <c r="G3495" s="3278">
        <v>40000</v>
      </c>
      <c r="H3495" s="3299">
        <v>0</v>
      </c>
      <c r="I3495" s="3278">
        <v>0</v>
      </c>
    </row>
    <row r="3496" ht="12.75" customHeight="1" spans="2:9">
      <c r="B3496" s="3274">
        <v>2430</v>
      </c>
      <c r="D3496" s="3297" t="s">
        <v>9283</v>
      </c>
      <c r="E3496" s="3298" t="s">
        <v>9284</v>
      </c>
      <c r="F3496" s="3298" t="s">
        <v>2299</v>
      </c>
      <c r="G3496" s="3278">
        <v>44440</v>
      </c>
      <c r="H3496" s="3299">
        <v>0</v>
      </c>
      <c r="I3496" s="3278">
        <v>0</v>
      </c>
    </row>
    <row r="3497" ht="12.75" customHeight="1" spans="2:9">
      <c r="B3497" s="3274">
        <v>2431</v>
      </c>
      <c r="D3497" s="3297" t="s">
        <v>9285</v>
      </c>
      <c r="E3497" s="3298" t="s">
        <v>9286</v>
      </c>
      <c r="F3497" s="3298" t="s">
        <v>2321</v>
      </c>
      <c r="G3497" s="3278">
        <v>557333</v>
      </c>
      <c r="H3497" s="3299">
        <v>0</v>
      </c>
      <c r="I3497" s="3278">
        <v>0</v>
      </c>
    </row>
    <row r="3498" ht="12.75" customHeight="1" spans="2:9">
      <c r="B3498" s="3274">
        <v>2432</v>
      </c>
      <c r="D3498" s="3297" t="s">
        <v>9287</v>
      </c>
      <c r="E3498" s="3298" t="s">
        <v>9288</v>
      </c>
      <c r="F3498" s="3298" t="s">
        <v>3056</v>
      </c>
      <c r="G3498" s="3278">
        <v>17348.1</v>
      </c>
      <c r="H3498" s="3299">
        <v>0</v>
      </c>
      <c r="I3498" s="3278">
        <v>0</v>
      </c>
    </row>
    <row r="3499" ht="12.75" customHeight="1" spans="2:9">
      <c r="B3499" s="3274">
        <v>2433</v>
      </c>
      <c r="D3499" s="3297" t="s">
        <v>9289</v>
      </c>
      <c r="E3499" s="3298" t="s">
        <v>9290</v>
      </c>
      <c r="F3499" s="3298" t="s">
        <v>3042</v>
      </c>
      <c r="G3499" s="3278">
        <v>5500</v>
      </c>
      <c r="H3499" s="3299">
        <v>0</v>
      </c>
      <c r="I3499" s="3278">
        <v>0</v>
      </c>
    </row>
    <row r="3500" ht="12.75" customHeight="1" spans="2:9">
      <c r="B3500" s="3274">
        <v>2434</v>
      </c>
      <c r="D3500" s="3297" t="s">
        <v>9291</v>
      </c>
      <c r="E3500" s="3298" t="s">
        <v>9292</v>
      </c>
      <c r="F3500" s="3298" t="s">
        <v>3056</v>
      </c>
      <c r="G3500" s="3278">
        <v>7700</v>
      </c>
      <c r="H3500" s="3299">
        <v>0</v>
      </c>
      <c r="I3500" s="3278">
        <v>0</v>
      </c>
    </row>
    <row r="3501" ht="12.75" customHeight="1" spans="2:9">
      <c r="B3501" s="3274">
        <v>2435</v>
      </c>
      <c r="D3501" s="3297" t="s">
        <v>9293</v>
      </c>
      <c r="E3501" s="3298" t="s">
        <v>9294</v>
      </c>
      <c r="F3501" s="3298" t="s">
        <v>3423</v>
      </c>
      <c r="G3501" s="3278">
        <v>111700</v>
      </c>
      <c r="H3501" s="3299">
        <v>0</v>
      </c>
      <c r="I3501" s="3278">
        <v>0</v>
      </c>
    </row>
    <row r="3502" ht="12.75" customHeight="1" spans="2:9">
      <c r="B3502" s="3274">
        <v>2436</v>
      </c>
      <c r="D3502" s="3297" t="s">
        <v>9295</v>
      </c>
      <c r="E3502" s="3298" t="s">
        <v>9296</v>
      </c>
      <c r="F3502" s="3298" t="s">
        <v>2299</v>
      </c>
      <c r="G3502" s="3278">
        <v>23595</v>
      </c>
      <c r="H3502" s="3299">
        <v>1</v>
      </c>
      <c r="I3502" s="3278">
        <v>23595</v>
      </c>
    </row>
    <row r="3503" ht="12.75" customHeight="1" spans="2:9">
      <c r="B3503" s="3274">
        <v>2437</v>
      </c>
      <c r="D3503" s="3297" t="s">
        <v>9297</v>
      </c>
      <c r="E3503" s="3298" t="s">
        <v>9298</v>
      </c>
      <c r="F3503" s="3298" t="s">
        <v>3056</v>
      </c>
      <c r="G3503" s="3278">
        <v>14657.5</v>
      </c>
      <c r="H3503" s="3299">
        <v>0</v>
      </c>
      <c r="I3503" s="3278">
        <v>0</v>
      </c>
    </row>
    <row r="3504" ht="12.75" customHeight="1" spans="2:9">
      <c r="B3504" s="3274">
        <v>2438</v>
      </c>
      <c r="D3504" s="3297" t="s">
        <v>9299</v>
      </c>
      <c r="E3504" s="3298" t="s">
        <v>9300</v>
      </c>
      <c r="F3504" s="3298" t="s">
        <v>2321</v>
      </c>
      <c r="G3504" s="3278">
        <v>18491</v>
      </c>
      <c r="H3504" s="3299">
        <v>0</v>
      </c>
      <c r="I3504" s="3278">
        <v>0</v>
      </c>
    </row>
    <row r="3505" ht="12.75" customHeight="1" spans="2:9">
      <c r="B3505" s="3274">
        <v>2439</v>
      </c>
      <c r="D3505" s="3297" t="s">
        <v>9301</v>
      </c>
      <c r="E3505" s="3298" t="s">
        <v>9302</v>
      </c>
      <c r="F3505" s="3298" t="s">
        <v>2321</v>
      </c>
      <c r="G3505" s="3278">
        <v>18841</v>
      </c>
      <c r="H3505" s="3299">
        <v>0</v>
      </c>
      <c r="I3505" s="3278">
        <v>0</v>
      </c>
    </row>
    <row r="3506" ht="12.75" customHeight="1" spans="2:9">
      <c r="B3506" s="3274">
        <v>2440</v>
      </c>
      <c r="D3506" s="3297" t="s">
        <v>9303</v>
      </c>
      <c r="E3506" s="3298" t="s">
        <v>9304</v>
      </c>
      <c r="F3506" s="3298" t="s">
        <v>2321</v>
      </c>
      <c r="G3506" s="3278">
        <v>18841</v>
      </c>
      <c r="H3506" s="3299">
        <v>0</v>
      </c>
      <c r="I3506" s="3278">
        <v>0</v>
      </c>
    </row>
    <row r="3507" ht="12.75" customHeight="1" spans="2:9">
      <c r="B3507" s="3274">
        <v>2441</v>
      </c>
      <c r="D3507" s="3297" t="s">
        <v>9305</v>
      </c>
      <c r="E3507" s="3298" t="s">
        <v>9306</v>
      </c>
      <c r="F3507" s="3298" t="s">
        <v>3056</v>
      </c>
      <c r="G3507" s="3278">
        <v>1650</v>
      </c>
      <c r="H3507" s="3299">
        <v>0</v>
      </c>
      <c r="I3507" s="3278">
        <v>0</v>
      </c>
    </row>
    <row r="3508" ht="12.75" customHeight="1" spans="2:9">
      <c r="B3508" s="3274">
        <v>2442</v>
      </c>
      <c r="D3508" s="3297" t="s">
        <v>9307</v>
      </c>
      <c r="E3508" s="3298" t="s">
        <v>9308</v>
      </c>
      <c r="F3508" s="3298" t="s">
        <v>2293</v>
      </c>
      <c r="G3508" s="3278">
        <v>3245000</v>
      </c>
      <c r="H3508" s="3299">
        <v>0</v>
      </c>
      <c r="I3508" s="3278">
        <v>0</v>
      </c>
    </row>
    <row r="3509" ht="12.75" customHeight="1" spans="2:9">
      <c r="B3509" s="3274">
        <v>2443</v>
      </c>
      <c r="D3509" s="3297" t="s">
        <v>9309</v>
      </c>
      <c r="E3509" s="3298" t="s">
        <v>9310</v>
      </c>
      <c r="F3509" s="3298" t="s">
        <v>5233</v>
      </c>
      <c r="G3509" s="3278">
        <v>16500</v>
      </c>
      <c r="H3509" s="3299">
        <v>0</v>
      </c>
      <c r="I3509" s="3278">
        <v>0</v>
      </c>
    </row>
    <row r="3510" ht="12.75" customHeight="1" spans="2:9">
      <c r="B3510" s="3274">
        <v>2444</v>
      </c>
      <c r="D3510" s="3297" t="s">
        <v>9311</v>
      </c>
      <c r="E3510" s="3298" t="s">
        <v>9312</v>
      </c>
      <c r="F3510" s="3298" t="s">
        <v>3056</v>
      </c>
      <c r="G3510" s="3278">
        <v>3588.013</v>
      </c>
      <c r="H3510" s="3299">
        <v>0</v>
      </c>
      <c r="I3510" s="3278">
        <v>0</v>
      </c>
    </row>
    <row r="3511" ht="12.75" customHeight="1" spans="2:9">
      <c r="B3511" s="3274">
        <v>2445</v>
      </c>
      <c r="D3511" s="3297" t="s">
        <v>9313</v>
      </c>
      <c r="E3511" s="3298" t="s">
        <v>9314</v>
      </c>
      <c r="F3511" s="3298" t="s">
        <v>3042</v>
      </c>
      <c r="G3511" s="3278">
        <v>59012.8</v>
      </c>
      <c r="H3511" s="3299">
        <v>205</v>
      </c>
      <c r="I3511" s="3278">
        <v>12097624</v>
      </c>
    </row>
    <row r="3512" ht="12.75" customHeight="1" spans="2:9">
      <c r="B3512" s="3274">
        <v>2446</v>
      </c>
      <c r="D3512" s="3297" t="s">
        <v>9315</v>
      </c>
      <c r="E3512" s="3298" t="s">
        <v>9316</v>
      </c>
      <c r="F3512" s="3298" t="s">
        <v>4351</v>
      </c>
      <c r="G3512" s="3278">
        <v>10890</v>
      </c>
      <c r="H3512" s="3299">
        <v>0</v>
      </c>
      <c r="I3512" s="3278">
        <v>0</v>
      </c>
    </row>
    <row r="3513" ht="12.75" customHeight="1" spans="2:9">
      <c r="B3513" s="3274">
        <v>2447</v>
      </c>
      <c r="D3513" s="3297" t="s">
        <v>9317</v>
      </c>
      <c r="E3513" s="3298" t="s">
        <v>9318</v>
      </c>
      <c r="F3513" s="3298" t="s">
        <v>3056</v>
      </c>
      <c r="G3513" s="3278">
        <v>9900</v>
      </c>
      <c r="H3513" s="3299">
        <v>0</v>
      </c>
      <c r="I3513" s="3278">
        <v>0</v>
      </c>
    </row>
    <row r="3514" ht="12.75" customHeight="1" spans="2:9">
      <c r="B3514" s="3274">
        <v>2448</v>
      </c>
      <c r="D3514" s="3297" t="s">
        <v>9319</v>
      </c>
      <c r="E3514" s="3298" t="s">
        <v>9320</v>
      </c>
      <c r="F3514" s="3298" t="s">
        <v>4351</v>
      </c>
      <c r="G3514" s="3278">
        <v>19690</v>
      </c>
      <c r="H3514" s="3299">
        <v>0</v>
      </c>
      <c r="I3514" s="3278">
        <v>0</v>
      </c>
    </row>
    <row r="3515" ht="12.75" customHeight="1" spans="2:9">
      <c r="B3515" s="3274">
        <v>2449</v>
      </c>
      <c r="D3515" s="3297" t="s">
        <v>9321</v>
      </c>
      <c r="E3515" s="3298" t="s">
        <v>9322</v>
      </c>
      <c r="F3515" s="3298" t="s">
        <v>3423</v>
      </c>
      <c r="G3515" s="3278">
        <v>93555</v>
      </c>
      <c r="H3515" s="3299">
        <v>0</v>
      </c>
      <c r="I3515" s="3278">
        <v>0</v>
      </c>
    </row>
    <row r="3516" ht="12.75" customHeight="1" spans="2:9">
      <c r="B3516" s="3274">
        <v>2450</v>
      </c>
      <c r="D3516" s="3297" t="s">
        <v>9323</v>
      </c>
      <c r="E3516" s="3298" t="s">
        <v>9324</v>
      </c>
      <c r="F3516" s="3298" t="s">
        <v>3042</v>
      </c>
      <c r="G3516" s="3278">
        <v>6160</v>
      </c>
      <c r="H3516" s="3299">
        <v>0</v>
      </c>
      <c r="I3516" s="3278">
        <v>0</v>
      </c>
    </row>
    <row r="3517" ht="12.75" customHeight="1" spans="2:9">
      <c r="B3517" s="3274">
        <v>2451</v>
      </c>
      <c r="D3517" s="3297" t="s">
        <v>9325</v>
      </c>
      <c r="E3517" s="3298" t="s">
        <v>9326</v>
      </c>
      <c r="F3517" s="3298" t="s">
        <v>3056</v>
      </c>
      <c r="G3517" s="3278">
        <v>1496</v>
      </c>
      <c r="H3517" s="3299">
        <v>0</v>
      </c>
      <c r="I3517" s="3278">
        <v>0</v>
      </c>
    </row>
    <row r="3518" ht="12.75" customHeight="1" spans="2:9">
      <c r="B3518" s="3274">
        <v>2452</v>
      </c>
      <c r="D3518" s="3297" t="s">
        <v>9327</v>
      </c>
      <c r="E3518" s="3298" t="s">
        <v>9328</v>
      </c>
      <c r="F3518" s="3298" t="s">
        <v>4351</v>
      </c>
      <c r="G3518" s="3278">
        <v>627000</v>
      </c>
      <c r="H3518" s="3299">
        <v>0</v>
      </c>
      <c r="I3518" s="3278">
        <v>0</v>
      </c>
    </row>
    <row r="3519" ht="12.75" customHeight="1" spans="2:9">
      <c r="B3519" s="3274">
        <v>2453</v>
      </c>
      <c r="D3519" s="3297" t="s">
        <v>9329</v>
      </c>
      <c r="E3519" s="3298" t="s">
        <v>9330</v>
      </c>
      <c r="F3519" s="3298" t="s">
        <v>3056</v>
      </c>
      <c r="G3519" s="3278">
        <v>10486.67</v>
      </c>
      <c r="H3519" s="3299">
        <v>0</v>
      </c>
      <c r="I3519" s="3278">
        <v>0</v>
      </c>
    </row>
    <row r="3520" ht="12.75" customHeight="1" spans="2:9">
      <c r="B3520" s="3274">
        <v>2454</v>
      </c>
      <c r="D3520" s="3297" t="s">
        <v>9331</v>
      </c>
      <c r="E3520" s="3298" t="s">
        <v>9332</v>
      </c>
      <c r="F3520" s="3298" t="s">
        <v>3423</v>
      </c>
      <c r="G3520" s="3278">
        <v>0</v>
      </c>
      <c r="H3520" s="3299">
        <v>0</v>
      </c>
      <c r="I3520" s="3278">
        <v>0</v>
      </c>
    </row>
    <row r="3521" ht="12.75" customHeight="1" spans="2:9">
      <c r="B3521" s="3274">
        <v>2455</v>
      </c>
      <c r="D3521" s="3297" t="s">
        <v>9333</v>
      </c>
      <c r="E3521" s="3298" t="s">
        <v>9334</v>
      </c>
      <c r="F3521" s="3298" t="s">
        <v>3056</v>
      </c>
      <c r="G3521" s="3278">
        <v>7260</v>
      </c>
      <c r="H3521" s="3299">
        <v>0</v>
      </c>
      <c r="I3521" s="3278">
        <v>0</v>
      </c>
    </row>
    <row r="3522" ht="12.75" customHeight="1" spans="2:9">
      <c r="B3522" s="3274">
        <v>2456</v>
      </c>
      <c r="D3522" s="3297" t="s">
        <v>9335</v>
      </c>
      <c r="E3522" s="3298" t="s">
        <v>9336</v>
      </c>
      <c r="F3522" s="3298" t="s">
        <v>2367</v>
      </c>
      <c r="G3522" s="3278">
        <v>715000</v>
      </c>
      <c r="H3522" s="3299">
        <v>0</v>
      </c>
      <c r="I3522" s="3278">
        <v>0</v>
      </c>
    </row>
    <row r="3523" ht="12.75" customHeight="1" spans="2:9">
      <c r="B3523" s="3274">
        <v>2457</v>
      </c>
      <c r="D3523" s="3297" t="s">
        <v>9337</v>
      </c>
      <c r="E3523" s="3298" t="s">
        <v>9338</v>
      </c>
      <c r="F3523" s="3298" t="s">
        <v>2299</v>
      </c>
      <c r="G3523" s="3278">
        <v>25850</v>
      </c>
      <c r="H3523" s="3299">
        <v>40</v>
      </c>
      <c r="I3523" s="3278">
        <v>1034000</v>
      </c>
    </row>
    <row r="3524" ht="12.75" customHeight="1" spans="2:9">
      <c r="B3524" s="3274">
        <v>2458</v>
      </c>
      <c r="D3524" s="3297" t="s">
        <v>9339</v>
      </c>
      <c r="E3524" s="3298" t="s">
        <v>9340</v>
      </c>
      <c r="F3524" s="3298" t="s">
        <v>3056</v>
      </c>
      <c r="G3524" s="3278">
        <v>9157.5</v>
      </c>
      <c r="H3524" s="3299">
        <v>0</v>
      </c>
      <c r="I3524" s="3278">
        <v>0</v>
      </c>
    </row>
    <row r="3525" ht="12.75" customHeight="1" spans="2:9">
      <c r="B3525" s="3274">
        <v>2459</v>
      </c>
      <c r="D3525" s="3297" t="s">
        <v>9341</v>
      </c>
      <c r="E3525" s="3298" t="s">
        <v>9342</v>
      </c>
      <c r="F3525" s="3298" t="s">
        <v>4351</v>
      </c>
      <c r="G3525" s="3278">
        <v>5865</v>
      </c>
      <c r="H3525" s="3299">
        <v>0</v>
      </c>
      <c r="I3525" s="3278">
        <v>0</v>
      </c>
    </row>
    <row r="3526" ht="12.75" customHeight="1" spans="2:9">
      <c r="B3526" s="3274">
        <v>2460</v>
      </c>
      <c r="D3526" s="3297" t="s">
        <v>9343</v>
      </c>
      <c r="E3526" s="3298" t="s">
        <v>9344</v>
      </c>
      <c r="F3526" s="3298" t="s">
        <v>3056</v>
      </c>
      <c r="G3526" s="3278">
        <v>3811.5</v>
      </c>
      <c r="H3526" s="3299">
        <v>0</v>
      </c>
      <c r="I3526" s="3278">
        <v>0</v>
      </c>
    </row>
    <row r="3527" ht="12.75" customHeight="1" spans="2:9">
      <c r="B3527" s="3274">
        <v>2461</v>
      </c>
      <c r="D3527" s="3297" t="s">
        <v>9345</v>
      </c>
      <c r="E3527" s="3298" t="s">
        <v>9346</v>
      </c>
      <c r="F3527" s="3298" t="s">
        <v>3423</v>
      </c>
      <c r="G3527" s="3278">
        <v>148500</v>
      </c>
      <c r="H3527" s="3299">
        <v>0</v>
      </c>
      <c r="I3527" s="3278">
        <v>0</v>
      </c>
    </row>
    <row r="3528" ht="12.75" customHeight="1" spans="2:9">
      <c r="B3528" s="3274">
        <v>2462</v>
      </c>
      <c r="D3528" s="3297" t="s">
        <v>9347</v>
      </c>
      <c r="E3528" s="3298" t="s">
        <v>9348</v>
      </c>
      <c r="F3528" s="3298" t="s">
        <v>3423</v>
      </c>
      <c r="G3528" s="3278">
        <v>646866</v>
      </c>
      <c r="H3528" s="3299">
        <v>0</v>
      </c>
      <c r="I3528" s="3278">
        <v>0</v>
      </c>
    </row>
    <row r="3529" ht="12.75" customHeight="1" spans="2:9">
      <c r="B3529" s="3274">
        <v>2463</v>
      </c>
      <c r="D3529" s="3297" t="s">
        <v>9349</v>
      </c>
      <c r="E3529" s="3298" t="s">
        <v>9350</v>
      </c>
      <c r="F3529" s="3298" t="s">
        <v>3423</v>
      </c>
      <c r="G3529" s="3278">
        <v>495000</v>
      </c>
      <c r="H3529" s="3299">
        <v>0</v>
      </c>
      <c r="I3529" s="3278">
        <v>0</v>
      </c>
    </row>
    <row r="3530" ht="12.75" customHeight="1" spans="2:9">
      <c r="B3530" s="3274">
        <v>2464</v>
      </c>
      <c r="D3530" s="3297" t="s">
        <v>9351</v>
      </c>
      <c r="E3530" s="3298" t="s">
        <v>9352</v>
      </c>
      <c r="F3530" s="3298" t="s">
        <v>3423</v>
      </c>
      <c r="G3530" s="3278">
        <v>151470</v>
      </c>
      <c r="H3530" s="3299">
        <v>0</v>
      </c>
      <c r="I3530" s="3278">
        <v>0</v>
      </c>
    </row>
    <row r="3531" ht="12.75" customHeight="1" spans="2:9">
      <c r="B3531" s="3274">
        <v>2465</v>
      </c>
      <c r="D3531" s="3297" t="s">
        <v>9353</v>
      </c>
      <c r="E3531" s="3298" t="s">
        <v>9354</v>
      </c>
      <c r="F3531" s="3298" t="s">
        <v>3423</v>
      </c>
      <c r="G3531" s="3278">
        <v>149370.1</v>
      </c>
      <c r="H3531" s="3299">
        <v>0</v>
      </c>
      <c r="I3531" s="3278">
        <v>0</v>
      </c>
    </row>
    <row r="3532" ht="12.75" customHeight="1" spans="2:9">
      <c r="B3532" s="3274">
        <v>2466</v>
      </c>
      <c r="D3532" s="3297" t="s">
        <v>9355</v>
      </c>
      <c r="E3532" s="3298" t="s">
        <v>9356</v>
      </c>
      <c r="F3532" s="3298" t="s">
        <v>3423</v>
      </c>
      <c r="G3532" s="3278">
        <v>3817000</v>
      </c>
      <c r="H3532" s="3299">
        <v>0</v>
      </c>
      <c r="I3532" s="3278">
        <v>0</v>
      </c>
    </row>
    <row r="3533" ht="12.75" customHeight="1" spans="2:9">
      <c r="B3533" s="3274">
        <v>2467</v>
      </c>
      <c r="D3533" s="3297" t="s">
        <v>9357</v>
      </c>
      <c r="E3533" s="3298" t="s">
        <v>9358</v>
      </c>
      <c r="F3533" s="3298" t="s">
        <v>3423</v>
      </c>
      <c r="G3533" s="3278">
        <v>816750</v>
      </c>
      <c r="H3533" s="3299">
        <v>0</v>
      </c>
      <c r="I3533" s="3278">
        <v>0</v>
      </c>
    </row>
    <row r="3534" ht="12.75" customHeight="1" spans="2:9">
      <c r="B3534" s="3274">
        <v>2468</v>
      </c>
      <c r="D3534" s="3297" t="s">
        <v>9359</v>
      </c>
      <c r="E3534" s="3298" t="s">
        <v>9360</v>
      </c>
      <c r="F3534" s="3298" t="s">
        <v>2299</v>
      </c>
      <c r="G3534" s="3278">
        <v>58443</v>
      </c>
      <c r="H3534" s="3299">
        <v>0</v>
      </c>
      <c r="I3534" s="3278">
        <v>0</v>
      </c>
    </row>
    <row r="3535" ht="12.75" customHeight="1" spans="2:9">
      <c r="B3535" s="3274">
        <v>2469</v>
      </c>
      <c r="D3535" s="3297" t="s">
        <v>9361</v>
      </c>
      <c r="E3535" s="3298" t="s">
        <v>9362</v>
      </c>
      <c r="F3535" s="3298" t="s">
        <v>3257</v>
      </c>
      <c r="G3535" s="3278">
        <v>27000</v>
      </c>
      <c r="H3535" s="3299">
        <v>0</v>
      </c>
      <c r="I3535" s="3278">
        <v>0</v>
      </c>
    </row>
    <row r="3536" ht="12.75" customHeight="1" spans="2:9">
      <c r="B3536" s="3274">
        <v>2470</v>
      </c>
      <c r="D3536" s="3297" t="s">
        <v>9363</v>
      </c>
      <c r="E3536" s="3298" t="s">
        <v>9364</v>
      </c>
      <c r="F3536" s="3298" t="s">
        <v>3423</v>
      </c>
      <c r="G3536" s="3278">
        <v>79200</v>
      </c>
      <c r="H3536" s="3299">
        <v>0</v>
      </c>
      <c r="I3536" s="3278">
        <v>0</v>
      </c>
    </row>
    <row r="3537" ht="12.75" customHeight="1" spans="2:9">
      <c r="B3537" s="3274">
        <v>2471</v>
      </c>
      <c r="D3537" s="3297" t="s">
        <v>9365</v>
      </c>
      <c r="E3537" s="3298" t="s">
        <v>9366</v>
      </c>
      <c r="F3537" s="3298" t="s">
        <v>3423</v>
      </c>
      <c r="G3537" s="3278">
        <v>293485.5</v>
      </c>
      <c r="H3537" s="3299">
        <v>0</v>
      </c>
      <c r="I3537" s="3278">
        <v>0</v>
      </c>
    </row>
    <row r="3538" ht="12.75" customHeight="1" spans="2:9">
      <c r="B3538" s="3274">
        <v>2472</v>
      </c>
      <c r="D3538" s="3297" t="s">
        <v>9367</v>
      </c>
      <c r="E3538" s="3298" t="s">
        <v>9368</v>
      </c>
      <c r="F3538" s="3298" t="s">
        <v>3423</v>
      </c>
      <c r="G3538" s="3278">
        <v>843975</v>
      </c>
      <c r="H3538" s="3299">
        <v>0</v>
      </c>
      <c r="I3538" s="3278">
        <v>0</v>
      </c>
    </row>
    <row r="3539" ht="12.75" customHeight="1" spans="2:9">
      <c r="B3539" s="3274">
        <v>2473</v>
      </c>
      <c r="D3539" s="3297" t="s">
        <v>9369</v>
      </c>
      <c r="E3539" s="3298" t="s">
        <v>9370</v>
      </c>
      <c r="F3539" s="3298" t="s">
        <v>2457</v>
      </c>
      <c r="G3539" s="3278">
        <v>534967.4</v>
      </c>
      <c r="H3539" s="3299">
        <v>0</v>
      </c>
      <c r="I3539" s="3278">
        <v>0</v>
      </c>
    </row>
    <row r="3540" ht="12.75" customHeight="1" spans="2:9">
      <c r="B3540" s="3274">
        <v>2474</v>
      </c>
      <c r="D3540" s="3297" t="s">
        <v>9371</v>
      </c>
      <c r="E3540" s="3298" t="s">
        <v>9372</v>
      </c>
      <c r="F3540" s="3298" t="s">
        <v>3423</v>
      </c>
      <c r="G3540" s="3278">
        <v>1018050</v>
      </c>
      <c r="H3540" s="3299">
        <v>0</v>
      </c>
      <c r="I3540" s="3278">
        <v>0</v>
      </c>
    </row>
    <row r="3541" ht="12.75" customHeight="1" spans="2:9">
      <c r="B3541" s="3274">
        <v>2475</v>
      </c>
      <c r="D3541" s="3297" t="s">
        <v>9373</v>
      </c>
      <c r="E3541" s="3298" t="s">
        <v>9374</v>
      </c>
      <c r="F3541" s="3298" t="s">
        <v>3423</v>
      </c>
      <c r="G3541" s="3278">
        <v>220000</v>
      </c>
      <c r="H3541" s="3299">
        <v>0</v>
      </c>
      <c r="I3541" s="3278">
        <v>0</v>
      </c>
    </row>
    <row r="3542" ht="12.75" customHeight="1" spans="2:9">
      <c r="B3542" s="3274">
        <v>2476</v>
      </c>
      <c r="D3542" s="3297" t="s">
        <v>9375</v>
      </c>
      <c r="E3542" s="3298" t="s">
        <v>9376</v>
      </c>
      <c r="F3542" s="3298" t="s">
        <v>3423</v>
      </c>
      <c r="G3542" s="3278">
        <v>174900</v>
      </c>
      <c r="H3542" s="3299">
        <v>0</v>
      </c>
      <c r="I3542" s="3278">
        <v>0</v>
      </c>
    </row>
    <row r="3543" ht="12.75" customHeight="1" spans="2:9">
      <c r="B3543" s="3274">
        <v>2477</v>
      </c>
      <c r="D3543" s="3297" t="s">
        <v>9377</v>
      </c>
      <c r="E3543" s="3298" t="s">
        <v>9378</v>
      </c>
      <c r="F3543" s="3298" t="s">
        <v>3423</v>
      </c>
      <c r="G3543" s="3278">
        <v>192390</v>
      </c>
      <c r="H3543" s="3299">
        <v>0</v>
      </c>
      <c r="I3543" s="3278">
        <v>0</v>
      </c>
    </row>
    <row r="3544" ht="12.75" customHeight="1" spans="2:9">
      <c r="B3544" s="3274">
        <v>2478</v>
      </c>
      <c r="D3544" s="3297" t="s">
        <v>9379</v>
      </c>
      <c r="E3544" s="3298" t="s">
        <v>9380</v>
      </c>
      <c r="F3544" s="3298" t="s">
        <v>3423</v>
      </c>
      <c r="G3544" s="3278">
        <v>241395</v>
      </c>
      <c r="H3544" s="3299">
        <v>0</v>
      </c>
      <c r="I3544" s="3278">
        <v>0</v>
      </c>
    </row>
    <row r="3545" ht="12.75" customHeight="1" spans="2:9">
      <c r="B3545" s="3274">
        <v>2479</v>
      </c>
      <c r="D3545" s="3297" t="s">
        <v>9381</v>
      </c>
      <c r="E3545" s="3298" t="s">
        <v>9382</v>
      </c>
      <c r="F3545" s="3298" t="s">
        <v>3423</v>
      </c>
      <c r="G3545" s="3278">
        <v>35200</v>
      </c>
      <c r="H3545" s="3299">
        <v>0</v>
      </c>
      <c r="I3545" s="3278">
        <v>0</v>
      </c>
    </row>
    <row r="3546" ht="12.75" customHeight="1" spans="2:9">
      <c r="B3546" s="3274">
        <v>2480</v>
      </c>
      <c r="D3546" s="3297" t="s">
        <v>9383</v>
      </c>
      <c r="E3546" s="3298" t="s">
        <v>9384</v>
      </c>
      <c r="F3546" s="3298" t="s">
        <v>2304</v>
      </c>
      <c r="G3546" s="3278">
        <v>299475</v>
      </c>
      <c r="H3546" s="3299">
        <v>0</v>
      </c>
      <c r="I3546" s="3278">
        <v>0</v>
      </c>
    </row>
    <row r="3547" ht="12.75" customHeight="1" spans="2:9">
      <c r="B3547" s="3274">
        <v>2481</v>
      </c>
      <c r="D3547" s="3297" t="s">
        <v>9385</v>
      </c>
      <c r="E3547" s="3298" t="s">
        <v>9386</v>
      </c>
      <c r="F3547" s="3298" t="s">
        <v>3423</v>
      </c>
      <c r="G3547" s="3278">
        <v>231482</v>
      </c>
      <c r="H3547" s="3299">
        <v>0</v>
      </c>
      <c r="I3547" s="3278">
        <v>0</v>
      </c>
    </row>
    <row r="3548" ht="12.75" customHeight="1" spans="2:9">
      <c r="B3548" s="3274">
        <v>2482</v>
      </c>
      <c r="D3548" s="3297" t="s">
        <v>9387</v>
      </c>
      <c r="E3548" s="3298" t="s">
        <v>9388</v>
      </c>
      <c r="F3548" s="3298" t="s">
        <v>3042</v>
      </c>
      <c r="G3548" s="3278">
        <v>0</v>
      </c>
      <c r="H3548" s="3299">
        <v>0</v>
      </c>
      <c r="I3548" s="3278">
        <v>0</v>
      </c>
    </row>
    <row r="3549" ht="12.75" customHeight="1" spans="2:9">
      <c r="B3549" s="3274">
        <v>2483</v>
      </c>
      <c r="D3549" s="3297" t="s">
        <v>9389</v>
      </c>
      <c r="E3549" s="3298" t="s">
        <v>9390</v>
      </c>
      <c r="F3549" s="3298" t="s">
        <v>3423</v>
      </c>
      <c r="G3549" s="3278">
        <v>330000</v>
      </c>
      <c r="H3549" s="3299">
        <v>0</v>
      </c>
      <c r="I3549" s="3278">
        <v>0</v>
      </c>
    </row>
    <row r="3550" ht="12.75" customHeight="1" spans="2:9">
      <c r="B3550" s="3274">
        <v>2484</v>
      </c>
      <c r="D3550" s="3297" t="s">
        <v>9391</v>
      </c>
      <c r="E3550" s="3298" t="s">
        <v>9392</v>
      </c>
      <c r="F3550" s="3298" t="s">
        <v>5190</v>
      </c>
      <c r="G3550" s="3278">
        <v>110000</v>
      </c>
      <c r="H3550" s="3299">
        <v>0</v>
      </c>
      <c r="I3550" s="3278">
        <v>0</v>
      </c>
    </row>
    <row r="3551" ht="12.75" customHeight="1" spans="2:9">
      <c r="B3551" s="3274">
        <v>2485</v>
      </c>
      <c r="D3551" s="3297" t="s">
        <v>9393</v>
      </c>
      <c r="E3551" s="3298" t="s">
        <v>9394</v>
      </c>
      <c r="F3551" s="3298" t="s">
        <v>3423</v>
      </c>
      <c r="G3551" s="3278">
        <v>134999.7</v>
      </c>
      <c r="H3551" s="3299">
        <v>0</v>
      </c>
      <c r="I3551" s="3278">
        <v>0</v>
      </c>
    </row>
    <row r="3552" ht="12.75" customHeight="1" spans="2:9">
      <c r="B3552" s="3274">
        <v>2486</v>
      </c>
      <c r="D3552" s="3297" t="s">
        <v>9395</v>
      </c>
      <c r="E3552" s="3298" t="s">
        <v>9396</v>
      </c>
      <c r="F3552" s="3298" t="s">
        <v>3423</v>
      </c>
      <c r="G3552" s="3278">
        <v>0</v>
      </c>
      <c r="H3552" s="3299">
        <v>0</v>
      </c>
      <c r="I3552" s="3278">
        <v>0</v>
      </c>
    </row>
    <row r="3553" ht="12.75" customHeight="1" spans="2:9">
      <c r="B3553" s="3274">
        <v>2487</v>
      </c>
      <c r="D3553" s="3297" t="s">
        <v>9397</v>
      </c>
      <c r="E3553" s="3298" t="s">
        <v>9398</v>
      </c>
      <c r="F3553" s="3298" t="s">
        <v>3042</v>
      </c>
      <c r="G3553" s="3278">
        <v>18843</v>
      </c>
      <c r="H3553" s="3299">
        <v>110</v>
      </c>
      <c r="I3553" s="3278">
        <v>2072730</v>
      </c>
    </row>
    <row r="3554" ht="12.75" customHeight="1" spans="2:9">
      <c r="B3554" s="3274">
        <v>2488</v>
      </c>
      <c r="D3554" s="3297" t="s">
        <v>9399</v>
      </c>
      <c r="E3554" s="3298" t="s">
        <v>9400</v>
      </c>
      <c r="F3554" s="3298" t="s">
        <v>3056</v>
      </c>
      <c r="G3554" s="3278">
        <v>4400</v>
      </c>
      <c r="H3554" s="3299">
        <v>210</v>
      </c>
      <c r="I3554" s="3278">
        <v>924000</v>
      </c>
    </row>
    <row r="3555" ht="12.75" customHeight="1" spans="2:9">
      <c r="B3555" s="3274">
        <v>2489</v>
      </c>
      <c r="D3555" s="3297" t="s">
        <v>9401</v>
      </c>
      <c r="E3555" s="3298" t="s">
        <v>9402</v>
      </c>
      <c r="F3555" s="3298" t="s">
        <v>3056</v>
      </c>
      <c r="G3555" s="3278">
        <v>7150</v>
      </c>
      <c r="H3555" s="3299">
        <v>270</v>
      </c>
      <c r="I3555" s="3278">
        <v>1930500</v>
      </c>
    </row>
    <row r="3556" ht="12.75" customHeight="1" spans="2:9">
      <c r="B3556" s="3274">
        <v>2490</v>
      </c>
      <c r="D3556" s="3297" t="s">
        <v>9403</v>
      </c>
      <c r="E3556" s="3298" t="s">
        <v>9404</v>
      </c>
      <c r="F3556" s="3298" t="s">
        <v>3056</v>
      </c>
      <c r="G3556" s="3278">
        <v>4510</v>
      </c>
      <c r="H3556" s="3299">
        <v>0</v>
      </c>
      <c r="I3556" s="3278">
        <v>0</v>
      </c>
    </row>
    <row r="3557" ht="12.75" customHeight="1" spans="2:9">
      <c r="B3557" s="3274">
        <v>2491</v>
      </c>
      <c r="D3557" s="3297" t="s">
        <v>9405</v>
      </c>
      <c r="E3557" s="3298" t="s">
        <v>9406</v>
      </c>
      <c r="F3557" s="3298" t="s">
        <v>3056</v>
      </c>
      <c r="G3557" s="3278">
        <v>2016.08</v>
      </c>
      <c r="H3557" s="3299">
        <v>0</v>
      </c>
      <c r="I3557" s="3278">
        <v>0</v>
      </c>
    </row>
    <row r="3558" ht="12.75" customHeight="1" spans="2:9">
      <c r="B3558" s="3274">
        <v>2492</v>
      </c>
      <c r="D3558" s="3297" t="s">
        <v>9407</v>
      </c>
      <c r="E3558" s="3298" t="s">
        <v>9408</v>
      </c>
      <c r="F3558" s="3298" t="s">
        <v>3056</v>
      </c>
      <c r="G3558" s="3278">
        <v>3024.175</v>
      </c>
      <c r="H3558" s="3299">
        <v>0</v>
      </c>
      <c r="I3558" s="3278">
        <v>0</v>
      </c>
    </row>
    <row r="3559" ht="12.75" customHeight="1" spans="2:9">
      <c r="B3559" s="3274">
        <v>2493</v>
      </c>
      <c r="D3559" s="3297" t="s">
        <v>9409</v>
      </c>
      <c r="E3559" s="3298" t="s">
        <v>9410</v>
      </c>
      <c r="F3559" s="3298" t="s">
        <v>2293</v>
      </c>
      <c r="G3559" s="3278">
        <v>27599.9904</v>
      </c>
      <c r="H3559" s="3299">
        <v>0</v>
      </c>
      <c r="I3559" s="3278">
        <v>0</v>
      </c>
    </row>
    <row r="3560" ht="12.75" customHeight="1" spans="2:9">
      <c r="B3560" s="3274">
        <v>2494</v>
      </c>
      <c r="D3560" s="3297" t="s">
        <v>9411</v>
      </c>
      <c r="E3560" s="3298" t="s">
        <v>9412</v>
      </c>
      <c r="F3560" s="3298" t="s">
        <v>2321</v>
      </c>
      <c r="G3560" s="3278">
        <v>32500.006</v>
      </c>
      <c r="H3560" s="3299">
        <v>0</v>
      </c>
      <c r="I3560" s="3278">
        <v>0</v>
      </c>
    </row>
    <row r="3561" ht="12.75" customHeight="1" spans="2:9">
      <c r="B3561" s="3274">
        <v>2495</v>
      </c>
      <c r="D3561" s="3297" t="s">
        <v>9413</v>
      </c>
      <c r="E3561" s="3298" t="s">
        <v>9414</v>
      </c>
      <c r="F3561" s="3298" t="s">
        <v>2321</v>
      </c>
      <c r="G3561" s="3278">
        <v>32899.999</v>
      </c>
      <c r="H3561" s="3299">
        <v>0</v>
      </c>
      <c r="I3561" s="3278">
        <v>0</v>
      </c>
    </row>
    <row r="3562" ht="12.75" customHeight="1" spans="2:9">
      <c r="B3562" s="3274">
        <v>2496</v>
      </c>
      <c r="D3562" s="3297" t="s">
        <v>9415</v>
      </c>
      <c r="E3562" s="3298" t="s">
        <v>9416</v>
      </c>
      <c r="F3562" s="3298" t="s">
        <v>2321</v>
      </c>
      <c r="G3562" s="3278">
        <v>94996</v>
      </c>
      <c r="H3562" s="3299">
        <v>0</v>
      </c>
      <c r="I3562" s="3278">
        <v>0</v>
      </c>
    </row>
    <row r="3563" ht="12.75" customHeight="1" spans="2:9">
      <c r="B3563" s="3274">
        <v>2497</v>
      </c>
      <c r="D3563" s="3297" t="s">
        <v>9417</v>
      </c>
      <c r="E3563" s="3298" t="s">
        <v>9418</v>
      </c>
      <c r="F3563" s="3298" t="s">
        <v>3423</v>
      </c>
      <c r="G3563" s="3278">
        <v>12068100</v>
      </c>
      <c r="H3563" s="3299">
        <v>0</v>
      </c>
      <c r="I3563" s="3278">
        <v>0</v>
      </c>
    </row>
    <row r="3564" ht="12.75" customHeight="1" spans="2:9">
      <c r="B3564" s="3274">
        <v>2498</v>
      </c>
      <c r="D3564" s="3297" t="s">
        <v>9419</v>
      </c>
      <c r="E3564" s="3298" t="s">
        <v>9420</v>
      </c>
      <c r="F3564" s="3298" t="s">
        <v>2321</v>
      </c>
      <c r="G3564" s="3278">
        <v>82500</v>
      </c>
      <c r="H3564" s="3299">
        <v>0</v>
      </c>
      <c r="I3564" s="3278">
        <v>0</v>
      </c>
    </row>
    <row r="3565" ht="12.75" customHeight="1" spans="2:9">
      <c r="B3565" s="3274">
        <v>2499</v>
      </c>
      <c r="D3565" s="3297" t="s">
        <v>9421</v>
      </c>
      <c r="E3565" s="3298" t="s">
        <v>9422</v>
      </c>
      <c r="F3565" s="3298" t="s">
        <v>3423</v>
      </c>
      <c r="G3565" s="3278">
        <v>7700</v>
      </c>
      <c r="H3565" s="3299">
        <v>70</v>
      </c>
      <c r="I3565" s="3278">
        <v>539000</v>
      </c>
    </row>
    <row r="3566" ht="12.75" customHeight="1" spans="2:9">
      <c r="B3566" s="3274">
        <v>2500</v>
      </c>
      <c r="D3566" s="3297" t="s">
        <v>9423</v>
      </c>
      <c r="E3566" s="3298" t="s">
        <v>9424</v>
      </c>
      <c r="F3566" s="3298" t="s">
        <v>3042</v>
      </c>
      <c r="G3566" s="3278">
        <v>217618.5</v>
      </c>
      <c r="H3566" s="3299">
        <v>0</v>
      </c>
      <c r="I3566" s="3278">
        <v>0</v>
      </c>
    </row>
    <row r="3567" ht="12.75" customHeight="1" spans="2:9">
      <c r="B3567" s="3274">
        <v>2501</v>
      </c>
      <c r="D3567" s="3297" t="s">
        <v>9425</v>
      </c>
      <c r="E3567" s="3298" t="s">
        <v>9426</v>
      </c>
      <c r="F3567" s="3298" t="s">
        <v>3042</v>
      </c>
      <c r="G3567" s="3278">
        <v>68000</v>
      </c>
      <c r="H3567" s="3299">
        <v>0</v>
      </c>
      <c r="I3567" s="3278">
        <v>0</v>
      </c>
    </row>
    <row r="3568" ht="12.75" customHeight="1" spans="2:9">
      <c r="B3568" s="3274">
        <v>2502</v>
      </c>
      <c r="D3568" s="3297" t="s">
        <v>9427</v>
      </c>
      <c r="E3568" s="3298" t="s">
        <v>9428</v>
      </c>
      <c r="F3568" s="3298" t="s">
        <v>4351</v>
      </c>
      <c r="G3568" s="3278">
        <v>14171.3</v>
      </c>
      <c r="H3568" s="3299">
        <v>0</v>
      </c>
      <c r="I3568" s="3278">
        <v>0</v>
      </c>
    </row>
    <row r="3569" ht="12.75" customHeight="1" spans="2:9">
      <c r="B3569" s="3274">
        <v>2503</v>
      </c>
      <c r="D3569" s="3297" t="s">
        <v>9429</v>
      </c>
      <c r="E3569" s="3298" t="s">
        <v>9430</v>
      </c>
      <c r="F3569" s="3298" t="s">
        <v>2321</v>
      </c>
      <c r="G3569" s="3278">
        <v>49555</v>
      </c>
      <c r="H3569" s="3299">
        <v>0</v>
      </c>
      <c r="I3569" s="3278">
        <v>0</v>
      </c>
    </row>
    <row r="3570" ht="12.75" customHeight="1" spans="2:9">
      <c r="B3570" s="3274">
        <v>2504</v>
      </c>
      <c r="D3570" s="3297" t="s">
        <v>9431</v>
      </c>
      <c r="E3570" s="3298" t="s">
        <v>9432</v>
      </c>
      <c r="F3570" s="3298" t="s">
        <v>3056</v>
      </c>
      <c r="G3570" s="3278">
        <v>600</v>
      </c>
      <c r="H3570" s="3299">
        <v>0</v>
      </c>
      <c r="I3570" s="3278">
        <v>0</v>
      </c>
    </row>
    <row r="3571" ht="12.75" customHeight="1" spans="2:9">
      <c r="B3571" s="3274">
        <v>2505</v>
      </c>
      <c r="D3571" s="3297" t="s">
        <v>9433</v>
      </c>
      <c r="E3571" s="3298" t="s">
        <v>9434</v>
      </c>
      <c r="F3571" s="3298" t="s">
        <v>3056</v>
      </c>
      <c r="G3571" s="3278">
        <v>23306</v>
      </c>
      <c r="H3571" s="3299">
        <v>0</v>
      </c>
      <c r="I3571" s="3278">
        <v>0</v>
      </c>
    </row>
    <row r="3572" ht="12.75" customHeight="1" spans="2:9">
      <c r="B3572" s="3274">
        <v>2506</v>
      </c>
      <c r="D3572" s="3297" t="s">
        <v>9435</v>
      </c>
      <c r="E3572" s="3298" t="s">
        <v>9436</v>
      </c>
      <c r="F3572" s="3298" t="s">
        <v>3056</v>
      </c>
      <c r="G3572" s="3278">
        <v>146910</v>
      </c>
      <c r="H3572" s="3299">
        <v>0</v>
      </c>
      <c r="I3572" s="3278">
        <v>0</v>
      </c>
    </row>
    <row r="3573" ht="12.75" customHeight="1" spans="2:9">
      <c r="B3573" s="3274">
        <v>2507</v>
      </c>
      <c r="D3573" s="3297" t="s">
        <v>9437</v>
      </c>
      <c r="E3573" s="3298" t="s">
        <v>9438</v>
      </c>
      <c r="F3573" s="3298" t="s">
        <v>2321</v>
      </c>
      <c r="G3573" s="3278">
        <v>15099.997</v>
      </c>
      <c r="H3573" s="3299">
        <v>0</v>
      </c>
      <c r="I3573" s="3278">
        <v>0</v>
      </c>
    </row>
    <row r="3574" ht="12.75" customHeight="1" spans="2:9">
      <c r="B3574" s="3274">
        <v>2508</v>
      </c>
      <c r="D3574" s="3297" t="s">
        <v>9439</v>
      </c>
      <c r="E3574" s="3298" t="s">
        <v>9440</v>
      </c>
      <c r="F3574" s="3298" t="s">
        <v>4351</v>
      </c>
      <c r="G3574" s="3278">
        <v>6600</v>
      </c>
      <c r="H3574" s="3299">
        <v>0</v>
      </c>
      <c r="I3574" s="3278">
        <v>0</v>
      </c>
    </row>
    <row r="3575" ht="12.75" customHeight="1" spans="2:9">
      <c r="B3575" s="3274">
        <v>2509</v>
      </c>
      <c r="D3575" s="3297" t="s">
        <v>9441</v>
      </c>
      <c r="E3575" s="3298" t="s">
        <v>9442</v>
      </c>
      <c r="F3575" s="3298" t="s">
        <v>5070</v>
      </c>
      <c r="G3575" s="3278">
        <v>66000</v>
      </c>
      <c r="H3575" s="3299">
        <v>93</v>
      </c>
      <c r="I3575" s="3278">
        <v>6138000</v>
      </c>
    </row>
    <row r="3576" ht="12.75" customHeight="1" spans="2:9">
      <c r="B3576" s="3274">
        <v>2510</v>
      </c>
      <c r="D3576" s="3297" t="s">
        <v>9443</v>
      </c>
      <c r="E3576" s="3298" t="s">
        <v>9444</v>
      </c>
      <c r="F3576" s="3298" t="s">
        <v>2637</v>
      </c>
      <c r="G3576" s="3278">
        <v>11067.991</v>
      </c>
      <c r="H3576" s="3299">
        <v>0</v>
      </c>
      <c r="I3576" s="3278">
        <v>0</v>
      </c>
    </row>
    <row r="3577" ht="12.75" customHeight="1" spans="2:9">
      <c r="B3577" s="3274">
        <v>2511</v>
      </c>
      <c r="D3577" s="3297" t="s">
        <v>9445</v>
      </c>
      <c r="E3577" s="3298" t="s">
        <v>9446</v>
      </c>
      <c r="F3577" s="3298" t="s">
        <v>2637</v>
      </c>
      <c r="G3577" s="3278">
        <v>12226.995</v>
      </c>
      <c r="H3577" s="3299">
        <v>0</v>
      </c>
      <c r="I3577" s="3278">
        <v>0</v>
      </c>
    </row>
    <row r="3578" ht="12.75" customHeight="1" spans="2:9">
      <c r="B3578" s="3274">
        <v>2512</v>
      </c>
      <c r="D3578" s="3297" t="s">
        <v>9447</v>
      </c>
      <c r="E3578" s="3298" t="s">
        <v>9448</v>
      </c>
      <c r="F3578" s="3298" t="s">
        <v>4351</v>
      </c>
      <c r="G3578" s="3278">
        <v>2649.163</v>
      </c>
      <c r="H3578" s="3299">
        <v>0</v>
      </c>
      <c r="I3578" s="3278">
        <v>0</v>
      </c>
    </row>
    <row r="3579" ht="12.75" customHeight="1" spans="2:9">
      <c r="B3579" s="3274">
        <v>2513</v>
      </c>
      <c r="D3579" s="3297" t="s">
        <v>9449</v>
      </c>
      <c r="E3579" s="3298" t="s">
        <v>9450</v>
      </c>
      <c r="F3579" s="3298" t="s">
        <v>3056</v>
      </c>
      <c r="G3579" s="3278">
        <v>105.06</v>
      </c>
      <c r="H3579" s="3299">
        <v>0</v>
      </c>
      <c r="I3579" s="3278">
        <v>0</v>
      </c>
    </row>
    <row r="3580" ht="12.75" customHeight="1" spans="2:9">
      <c r="B3580" s="3274">
        <v>2514</v>
      </c>
      <c r="D3580" s="3297" t="s">
        <v>9451</v>
      </c>
      <c r="E3580" s="3298" t="s">
        <v>9452</v>
      </c>
      <c r="F3580" s="3298" t="s">
        <v>2321</v>
      </c>
      <c r="G3580" s="3278">
        <v>2222.22</v>
      </c>
      <c r="H3580" s="3299">
        <v>0</v>
      </c>
      <c r="I3580" s="3278">
        <v>0</v>
      </c>
    </row>
    <row r="3581" ht="12.75" customHeight="1" spans="2:9">
      <c r="B3581" s="3274">
        <v>2515</v>
      </c>
      <c r="D3581" s="3297" t="s">
        <v>9453</v>
      </c>
      <c r="E3581" s="3298" t="s">
        <v>9454</v>
      </c>
      <c r="F3581" s="3298" t="s">
        <v>3056</v>
      </c>
      <c r="G3581" s="3278">
        <v>2108.337</v>
      </c>
      <c r="H3581" s="3299">
        <v>0</v>
      </c>
      <c r="I3581" s="3278">
        <v>0</v>
      </c>
    </row>
    <row r="3582" ht="12.75" customHeight="1" spans="2:9">
      <c r="B3582" s="3274">
        <v>2516</v>
      </c>
      <c r="D3582" s="3297" t="s">
        <v>9455</v>
      </c>
      <c r="E3582" s="3298" t="s">
        <v>9456</v>
      </c>
      <c r="F3582" s="3298" t="s">
        <v>4351</v>
      </c>
      <c r="G3582" s="3278">
        <v>4435.49</v>
      </c>
      <c r="H3582" s="3299">
        <v>0</v>
      </c>
      <c r="I3582" s="3278">
        <v>0</v>
      </c>
    </row>
    <row r="3583" ht="12.75" customHeight="1" spans="2:9">
      <c r="B3583" s="3274">
        <v>2517</v>
      </c>
      <c r="D3583" s="3297" t="s">
        <v>9457</v>
      </c>
      <c r="E3583" s="3298" t="s">
        <v>9458</v>
      </c>
      <c r="F3583" s="3298" t="s">
        <v>2293</v>
      </c>
      <c r="G3583" s="3278">
        <v>25410</v>
      </c>
      <c r="H3583" s="3299">
        <v>0</v>
      </c>
      <c r="I3583" s="3278">
        <v>0</v>
      </c>
    </row>
    <row r="3584" ht="12.75" customHeight="1" spans="2:9">
      <c r="B3584" s="3274">
        <v>2518</v>
      </c>
      <c r="D3584" s="3297" t="s">
        <v>9459</v>
      </c>
      <c r="E3584" s="3298" t="s">
        <v>9460</v>
      </c>
      <c r="F3584" s="3298" t="s">
        <v>3056</v>
      </c>
      <c r="G3584" s="3278">
        <v>3663</v>
      </c>
      <c r="H3584" s="3299">
        <v>0</v>
      </c>
      <c r="I3584" s="3278">
        <v>0</v>
      </c>
    </row>
    <row r="3585" ht="12.75" customHeight="1" spans="2:9">
      <c r="B3585" s="3274">
        <v>2519</v>
      </c>
      <c r="D3585" s="3297" t="s">
        <v>9461</v>
      </c>
      <c r="E3585" s="3298" t="s">
        <v>9462</v>
      </c>
      <c r="F3585" s="3298" t="s">
        <v>4351</v>
      </c>
      <c r="G3585" s="3278">
        <v>3006</v>
      </c>
      <c r="H3585" s="3299">
        <v>0</v>
      </c>
      <c r="I3585" s="3278">
        <v>0</v>
      </c>
    </row>
    <row r="3586" ht="12.75" customHeight="1" spans="2:9">
      <c r="B3586" s="3274">
        <v>2520</v>
      </c>
      <c r="D3586" s="3297" t="s">
        <v>9463</v>
      </c>
      <c r="E3586" s="3298" t="s">
        <v>9464</v>
      </c>
      <c r="F3586" s="3298" t="s">
        <v>2637</v>
      </c>
      <c r="G3586" s="3278">
        <v>7663.337</v>
      </c>
      <c r="H3586" s="3299">
        <v>0</v>
      </c>
      <c r="I3586" s="3278">
        <v>0</v>
      </c>
    </row>
    <row r="3587" ht="12.75" customHeight="1" spans="2:9">
      <c r="B3587" s="3274">
        <v>2521</v>
      </c>
      <c r="D3587" s="3297" t="s">
        <v>9465</v>
      </c>
      <c r="E3587" s="3298" t="s">
        <v>9466</v>
      </c>
      <c r="F3587" s="3298" t="s">
        <v>2637</v>
      </c>
      <c r="G3587" s="3278">
        <v>8428.75</v>
      </c>
      <c r="H3587" s="3299">
        <v>0</v>
      </c>
      <c r="I3587" s="3278">
        <v>0</v>
      </c>
    </row>
    <row r="3588" ht="12.75" customHeight="1" spans="2:9">
      <c r="B3588" s="3274">
        <v>2522</v>
      </c>
      <c r="D3588" s="3297" t="s">
        <v>9467</v>
      </c>
      <c r="E3588" s="3298" t="s">
        <v>9468</v>
      </c>
      <c r="F3588" s="3298" t="s">
        <v>2637</v>
      </c>
      <c r="G3588" s="3278">
        <v>5747.5</v>
      </c>
      <c r="H3588" s="3299">
        <v>0</v>
      </c>
      <c r="I3588" s="3278">
        <v>0</v>
      </c>
    </row>
    <row r="3589" ht="12.75" customHeight="1" spans="2:9">
      <c r="B3589" s="3274">
        <v>2523</v>
      </c>
      <c r="D3589" s="3297" t="s">
        <v>9469</v>
      </c>
      <c r="E3589" s="3298" t="s">
        <v>9470</v>
      </c>
      <c r="F3589" s="3298" t="s">
        <v>2637</v>
      </c>
      <c r="G3589" s="3278">
        <v>22990</v>
      </c>
      <c r="H3589" s="3299">
        <v>0</v>
      </c>
      <c r="I3589" s="3278">
        <v>0</v>
      </c>
    </row>
    <row r="3590" ht="12.75" customHeight="1" spans="2:9">
      <c r="B3590" s="3274">
        <v>2524</v>
      </c>
      <c r="D3590" s="3297" t="s">
        <v>9471</v>
      </c>
      <c r="E3590" s="3298" t="s">
        <v>9472</v>
      </c>
      <c r="F3590" s="3298" t="s">
        <v>2321</v>
      </c>
      <c r="G3590" s="3278">
        <v>42350</v>
      </c>
      <c r="H3590" s="3299">
        <v>0</v>
      </c>
      <c r="I3590" s="3278">
        <v>0</v>
      </c>
    </row>
    <row r="3591" ht="12.75" customHeight="1" spans="2:9">
      <c r="B3591" s="3274">
        <v>2525</v>
      </c>
      <c r="D3591" s="3297" t="s">
        <v>9473</v>
      </c>
      <c r="E3591" s="3298" t="s">
        <v>9474</v>
      </c>
      <c r="F3591" s="3298" t="s">
        <v>2321</v>
      </c>
      <c r="G3591" s="3278">
        <v>42350</v>
      </c>
      <c r="H3591" s="3299">
        <v>0</v>
      </c>
      <c r="I3591" s="3278">
        <v>0</v>
      </c>
    </row>
    <row r="3592" ht="12.75" customHeight="1" spans="2:9">
      <c r="B3592" s="3274">
        <v>2526</v>
      </c>
      <c r="D3592" s="3297" t="s">
        <v>9475</v>
      </c>
      <c r="E3592" s="3298" t="s">
        <v>9476</v>
      </c>
      <c r="F3592" s="3298" t="s">
        <v>3042</v>
      </c>
      <c r="G3592" s="3278">
        <v>18933.2</v>
      </c>
      <c r="H3592" s="3299">
        <v>0</v>
      </c>
      <c r="I3592" s="3278">
        <v>0</v>
      </c>
    </row>
    <row r="3593" ht="12.75" customHeight="1" spans="2:9">
      <c r="B3593" s="3274">
        <v>2527</v>
      </c>
      <c r="D3593" s="3297" t="s">
        <v>9477</v>
      </c>
      <c r="E3593" s="3298" t="s">
        <v>9478</v>
      </c>
      <c r="F3593" s="3298" t="s">
        <v>3042</v>
      </c>
      <c r="G3593" s="3278">
        <v>11220</v>
      </c>
      <c r="H3593" s="3299">
        <v>105</v>
      </c>
      <c r="I3593" s="3278">
        <v>1178100</v>
      </c>
    </row>
    <row r="3594" ht="12.75" customHeight="1" spans="2:9">
      <c r="B3594" s="3274">
        <v>2528</v>
      </c>
      <c r="D3594" s="3297" t="s">
        <v>9479</v>
      </c>
      <c r="E3594" s="3298" t="s">
        <v>9480</v>
      </c>
      <c r="F3594" s="3298" t="s">
        <v>2321</v>
      </c>
      <c r="G3594" s="3278">
        <v>48500</v>
      </c>
      <c r="H3594" s="3299">
        <v>0</v>
      </c>
      <c r="I3594" s="3278">
        <v>0</v>
      </c>
    </row>
    <row r="3595" ht="12.75" customHeight="1" spans="2:9">
      <c r="B3595" s="3274">
        <v>2529</v>
      </c>
      <c r="D3595" s="3297" t="s">
        <v>9481</v>
      </c>
      <c r="E3595" s="3298" t="s">
        <v>9482</v>
      </c>
      <c r="F3595" s="3298" t="s">
        <v>5070</v>
      </c>
      <c r="G3595" s="3278">
        <v>34523.8072</v>
      </c>
      <c r="H3595" s="3299">
        <v>0</v>
      </c>
      <c r="I3595" s="3278">
        <v>0</v>
      </c>
    </row>
    <row r="3596" ht="12.75" customHeight="1" spans="2:9">
      <c r="B3596" s="3274">
        <v>2530</v>
      </c>
      <c r="D3596" s="3297" t="s">
        <v>9483</v>
      </c>
      <c r="E3596" s="3298" t="s">
        <v>9484</v>
      </c>
      <c r="F3596" s="3298" t="s">
        <v>2637</v>
      </c>
      <c r="G3596" s="3278">
        <v>184053.1</v>
      </c>
      <c r="H3596" s="3299">
        <v>0</v>
      </c>
      <c r="I3596" s="3278">
        <v>0</v>
      </c>
    </row>
    <row r="3597" ht="12.75" customHeight="1" spans="2:9">
      <c r="B3597" s="3274">
        <v>2531</v>
      </c>
      <c r="D3597" s="3297" t="s">
        <v>9485</v>
      </c>
      <c r="E3597" s="3298" t="s">
        <v>9486</v>
      </c>
      <c r="F3597" s="3298" t="s">
        <v>3042</v>
      </c>
      <c r="G3597" s="3278">
        <v>27500</v>
      </c>
      <c r="H3597" s="3299">
        <v>0</v>
      </c>
      <c r="I3597" s="3278">
        <v>0</v>
      </c>
    </row>
    <row r="3598" ht="12.75" customHeight="1" spans="2:9">
      <c r="B3598" s="3274">
        <v>2532</v>
      </c>
      <c r="D3598" s="3297" t="s">
        <v>9487</v>
      </c>
      <c r="E3598" s="3298" t="s">
        <v>9488</v>
      </c>
      <c r="F3598" s="3298" t="s">
        <v>3042</v>
      </c>
      <c r="G3598" s="3278">
        <v>15125</v>
      </c>
      <c r="H3598" s="3299">
        <v>810</v>
      </c>
      <c r="I3598" s="3278">
        <v>12251250</v>
      </c>
    </row>
    <row r="3599" ht="12.75" customHeight="1" spans="2:9">
      <c r="B3599" s="3274">
        <v>2533</v>
      </c>
      <c r="D3599" s="3297" t="s">
        <v>9489</v>
      </c>
      <c r="E3599" s="3298" t="s">
        <v>9490</v>
      </c>
      <c r="F3599" s="3298" t="s">
        <v>3056</v>
      </c>
      <c r="G3599" s="3278">
        <v>4125</v>
      </c>
      <c r="H3599" s="3299">
        <v>0</v>
      </c>
      <c r="I3599" s="3278">
        <v>0</v>
      </c>
    </row>
    <row r="3600" ht="12.75" customHeight="1" spans="2:9">
      <c r="B3600" s="3274">
        <v>2534</v>
      </c>
      <c r="D3600" s="3297" t="s">
        <v>9491</v>
      </c>
      <c r="E3600" s="3298" t="s">
        <v>9492</v>
      </c>
      <c r="F3600" s="3298" t="s">
        <v>3056</v>
      </c>
      <c r="G3600" s="3278">
        <v>4262.5027</v>
      </c>
      <c r="H3600" s="3299">
        <v>0</v>
      </c>
      <c r="I3600" s="3278">
        <v>0</v>
      </c>
    </row>
    <row r="3601" ht="12.75" customHeight="1" spans="2:9">
      <c r="B3601" s="3274">
        <v>2535</v>
      </c>
      <c r="D3601" s="3297" t="s">
        <v>9493</v>
      </c>
      <c r="E3601" s="3298" t="s">
        <v>9494</v>
      </c>
      <c r="F3601" s="3298" t="s">
        <v>3423</v>
      </c>
      <c r="G3601" s="3278">
        <v>28875</v>
      </c>
      <c r="H3601" s="3299">
        <v>0</v>
      </c>
      <c r="I3601" s="3278">
        <v>0</v>
      </c>
    </row>
    <row r="3602" ht="12.75" customHeight="1" spans="2:9">
      <c r="B3602" s="3274">
        <v>2536</v>
      </c>
      <c r="D3602" s="3297" t="s">
        <v>9495</v>
      </c>
      <c r="E3602" s="3298" t="s">
        <v>9496</v>
      </c>
      <c r="F3602" s="3298" t="s">
        <v>3056</v>
      </c>
      <c r="G3602" s="3278">
        <v>21464.6631</v>
      </c>
      <c r="H3602" s="3299">
        <v>0</v>
      </c>
      <c r="I3602" s="3278">
        <v>0</v>
      </c>
    </row>
    <row r="3603" ht="12.75" customHeight="1" spans="2:9">
      <c r="B3603" s="3274">
        <v>2537</v>
      </c>
      <c r="D3603" s="3297" t="s">
        <v>9497</v>
      </c>
      <c r="E3603" s="3298" t="s">
        <v>9498</v>
      </c>
      <c r="F3603" s="3298" t="s">
        <v>3257</v>
      </c>
      <c r="G3603" s="3278">
        <v>17.6</v>
      </c>
      <c r="H3603" s="3299">
        <v>4000</v>
      </c>
      <c r="I3603" s="3278">
        <v>70400</v>
      </c>
    </row>
    <row r="3604" ht="12.75" customHeight="1" spans="2:9">
      <c r="B3604" s="3274">
        <v>2538</v>
      </c>
      <c r="D3604" s="3297" t="s">
        <v>9499</v>
      </c>
      <c r="E3604" s="3298" t="s">
        <v>9500</v>
      </c>
      <c r="F3604" s="3298" t="s">
        <v>2299</v>
      </c>
      <c r="G3604" s="3278">
        <v>25750</v>
      </c>
      <c r="H3604" s="3299">
        <v>0</v>
      </c>
      <c r="I3604" s="3278">
        <v>0</v>
      </c>
    </row>
    <row r="3605" ht="12.75" customHeight="1" spans="2:9">
      <c r="B3605" s="3274">
        <v>2539</v>
      </c>
      <c r="D3605" s="3297" t="s">
        <v>9501</v>
      </c>
      <c r="E3605" s="3298" t="s">
        <v>9502</v>
      </c>
      <c r="F3605" s="3298" t="s">
        <v>2637</v>
      </c>
      <c r="G3605" s="3278">
        <v>459000</v>
      </c>
      <c r="H3605" s="3299">
        <v>0</v>
      </c>
      <c r="I3605" s="3278">
        <v>0</v>
      </c>
    </row>
    <row r="3606" ht="12.75" customHeight="1" spans="2:9">
      <c r="B3606" s="3274">
        <v>2540</v>
      </c>
      <c r="D3606" s="3297" t="s">
        <v>9503</v>
      </c>
      <c r="E3606" s="3298" t="s">
        <v>9504</v>
      </c>
      <c r="F3606" s="3298" t="s">
        <v>2299</v>
      </c>
      <c r="G3606" s="3278">
        <v>77000</v>
      </c>
      <c r="H3606" s="3299">
        <v>0</v>
      </c>
      <c r="I3606" s="3278">
        <v>0</v>
      </c>
    </row>
    <row r="3607" ht="12.75" customHeight="1" spans="2:9">
      <c r="B3607" s="3274">
        <v>2541</v>
      </c>
      <c r="D3607" s="3297" t="s">
        <v>9505</v>
      </c>
      <c r="E3607" s="3298" t="s">
        <v>9506</v>
      </c>
      <c r="F3607" s="3298" t="s">
        <v>2637</v>
      </c>
      <c r="G3607" s="3278">
        <v>0</v>
      </c>
      <c r="H3607" s="3299">
        <v>0</v>
      </c>
      <c r="I3607" s="3278">
        <v>0</v>
      </c>
    </row>
    <row r="3608" ht="12.75" customHeight="1" spans="2:9">
      <c r="B3608" s="3274">
        <v>2542</v>
      </c>
      <c r="D3608" s="3297" t="s">
        <v>9507</v>
      </c>
      <c r="E3608" s="3298" t="s">
        <v>9508</v>
      </c>
      <c r="F3608" s="3298" t="s">
        <v>2321</v>
      </c>
      <c r="G3608" s="3278">
        <v>29700</v>
      </c>
      <c r="H3608" s="3299">
        <v>0</v>
      </c>
      <c r="I3608" s="3278">
        <v>0</v>
      </c>
    </row>
    <row r="3609" ht="12.75" customHeight="1" spans="2:9">
      <c r="B3609" s="3274">
        <v>2543</v>
      </c>
      <c r="D3609" s="3297" t="s">
        <v>9509</v>
      </c>
      <c r="E3609" s="3298" t="s">
        <v>9510</v>
      </c>
      <c r="F3609" s="3298" t="s">
        <v>2299</v>
      </c>
      <c r="G3609" s="3278">
        <v>15308</v>
      </c>
      <c r="H3609" s="3299">
        <v>0</v>
      </c>
      <c r="I3609" s="3278">
        <v>0</v>
      </c>
    </row>
    <row r="3610" ht="12.75" customHeight="1" spans="2:9">
      <c r="B3610" s="3274">
        <v>2544</v>
      </c>
      <c r="D3610" s="3297" t="s">
        <v>9511</v>
      </c>
      <c r="E3610" s="3298" t="s">
        <v>9512</v>
      </c>
      <c r="F3610" s="3298" t="s">
        <v>2321</v>
      </c>
      <c r="G3610" s="3278">
        <v>181912.5</v>
      </c>
      <c r="H3610" s="3299">
        <v>0</v>
      </c>
      <c r="I3610" s="3278">
        <v>0</v>
      </c>
    </row>
    <row r="3611" ht="12.75" customHeight="1" spans="2:9">
      <c r="B3611" s="3274">
        <v>2545</v>
      </c>
      <c r="D3611" s="3297" t="s">
        <v>9513</v>
      </c>
      <c r="E3611" s="3298" t="s">
        <v>9514</v>
      </c>
      <c r="F3611" s="3298" t="s">
        <v>2637</v>
      </c>
      <c r="G3611" s="3278">
        <v>249000</v>
      </c>
      <c r="H3611" s="3299">
        <v>0</v>
      </c>
      <c r="I3611" s="3278">
        <v>0</v>
      </c>
    </row>
    <row r="3612" ht="12.75" customHeight="1" spans="2:9">
      <c r="B3612" s="3274">
        <v>2546</v>
      </c>
      <c r="D3612" s="3297" t="s">
        <v>9515</v>
      </c>
      <c r="E3612" s="3298" t="s">
        <v>9516</v>
      </c>
      <c r="F3612" s="3298" t="s">
        <v>2321</v>
      </c>
      <c r="G3612" s="3278">
        <v>23699.9941</v>
      </c>
      <c r="H3612" s="3299">
        <v>0</v>
      </c>
      <c r="I3612" s="3278">
        <v>0</v>
      </c>
    </row>
    <row r="3613" ht="12.75" customHeight="1" spans="2:9">
      <c r="B3613" s="3274">
        <v>2547</v>
      </c>
      <c r="D3613" s="3297" t="s">
        <v>9517</v>
      </c>
      <c r="E3613" s="3298" t="s">
        <v>9518</v>
      </c>
      <c r="F3613" s="3298" t="s">
        <v>3056</v>
      </c>
      <c r="G3613" s="3278">
        <v>37812.5</v>
      </c>
      <c r="H3613" s="3299">
        <v>0</v>
      </c>
      <c r="I3613" s="3278">
        <v>0</v>
      </c>
    </row>
    <row r="3614" ht="12.75" customHeight="1" spans="2:9">
      <c r="B3614" s="3274">
        <v>2548</v>
      </c>
      <c r="D3614" s="3297" t="s">
        <v>9519</v>
      </c>
      <c r="E3614" s="3298" t="s">
        <v>9520</v>
      </c>
      <c r="F3614" s="3298" t="s">
        <v>3056</v>
      </c>
      <c r="G3614" s="3278">
        <v>2750</v>
      </c>
      <c r="H3614" s="3299">
        <v>0</v>
      </c>
      <c r="I3614" s="3278">
        <v>0</v>
      </c>
    </row>
    <row r="3615" ht="12.75" customHeight="1" spans="2:9">
      <c r="B3615" s="3274">
        <v>2549</v>
      </c>
      <c r="D3615" s="3297" t="s">
        <v>9521</v>
      </c>
      <c r="E3615" s="3298" t="s">
        <v>9522</v>
      </c>
      <c r="F3615" s="3298" t="s">
        <v>3042</v>
      </c>
      <c r="G3615" s="3278">
        <v>36300</v>
      </c>
      <c r="H3615" s="3299">
        <v>30</v>
      </c>
      <c r="I3615" s="3278">
        <v>1089000</v>
      </c>
    </row>
    <row r="3616" ht="12.75" customHeight="1" spans="2:9">
      <c r="B3616" s="3274">
        <v>2550</v>
      </c>
      <c r="D3616" s="3297" t="s">
        <v>9523</v>
      </c>
      <c r="E3616" s="3298" t="s">
        <v>9524</v>
      </c>
      <c r="F3616" s="3298" t="s">
        <v>3056</v>
      </c>
      <c r="G3616" s="3278">
        <v>6600</v>
      </c>
      <c r="H3616" s="3299">
        <v>0</v>
      </c>
      <c r="I3616" s="3278">
        <v>0</v>
      </c>
    </row>
    <row r="3617" ht="12.75" customHeight="1" spans="2:9">
      <c r="B3617" s="3274">
        <v>2551</v>
      </c>
      <c r="D3617" s="3297" t="s">
        <v>9525</v>
      </c>
      <c r="E3617" s="3298" t="s">
        <v>9526</v>
      </c>
      <c r="F3617" s="3298" t="s">
        <v>3056</v>
      </c>
      <c r="G3617" s="3278">
        <v>10700</v>
      </c>
      <c r="H3617" s="3299">
        <v>0</v>
      </c>
      <c r="I3617" s="3278">
        <v>0</v>
      </c>
    </row>
    <row r="3618" ht="12.75" customHeight="1" spans="2:9">
      <c r="B3618" s="3274">
        <v>2552</v>
      </c>
      <c r="D3618" s="3297" t="s">
        <v>9527</v>
      </c>
      <c r="E3618" s="3298" t="s">
        <v>9528</v>
      </c>
      <c r="F3618" s="3298" t="s">
        <v>2321</v>
      </c>
      <c r="G3618" s="3278">
        <v>30360</v>
      </c>
      <c r="H3618" s="3299">
        <v>0</v>
      </c>
      <c r="I3618" s="3278">
        <v>0</v>
      </c>
    </row>
    <row r="3619" ht="12.75" customHeight="1" spans="2:9">
      <c r="B3619" s="3274">
        <v>2553</v>
      </c>
      <c r="D3619" s="3297" t="s">
        <v>9529</v>
      </c>
      <c r="E3619" s="3298" t="s">
        <v>9530</v>
      </c>
      <c r="F3619" s="3298" t="s">
        <v>3423</v>
      </c>
      <c r="G3619" s="3278">
        <v>495721.6</v>
      </c>
      <c r="H3619" s="3299">
        <v>0</v>
      </c>
      <c r="I3619" s="3278">
        <v>0</v>
      </c>
    </row>
    <row r="3620" ht="12.75" customHeight="1" spans="2:9">
      <c r="B3620" s="3274">
        <v>2554</v>
      </c>
      <c r="D3620" s="3297" t="s">
        <v>9531</v>
      </c>
      <c r="E3620" s="3298" t="s">
        <v>9532</v>
      </c>
      <c r="F3620" s="3298" t="s">
        <v>3056</v>
      </c>
      <c r="G3620" s="3278">
        <v>1928.3</v>
      </c>
      <c r="H3620" s="3299">
        <v>0</v>
      </c>
      <c r="I3620" s="3278">
        <v>0</v>
      </c>
    </row>
    <row r="3621" ht="12.75" customHeight="1" spans="2:9">
      <c r="B3621" s="3274">
        <v>2555</v>
      </c>
      <c r="D3621" s="3297" t="s">
        <v>9533</v>
      </c>
      <c r="E3621" s="3298" t="s">
        <v>9534</v>
      </c>
      <c r="F3621" s="3298" t="s">
        <v>2293</v>
      </c>
      <c r="G3621" s="3278">
        <v>110000</v>
      </c>
      <c r="H3621" s="3299">
        <v>0</v>
      </c>
      <c r="I3621" s="3278">
        <v>0</v>
      </c>
    </row>
    <row r="3622" ht="12.75" customHeight="1" spans="2:9">
      <c r="B3622" s="3274">
        <v>2556</v>
      </c>
      <c r="D3622" s="3297" t="s">
        <v>9535</v>
      </c>
      <c r="E3622" s="3298" t="s">
        <v>9536</v>
      </c>
      <c r="F3622" s="3298" t="s">
        <v>2637</v>
      </c>
      <c r="G3622" s="3278">
        <v>39600</v>
      </c>
      <c r="H3622" s="3299">
        <v>0</v>
      </c>
      <c r="I3622" s="3278">
        <v>0</v>
      </c>
    </row>
    <row r="3623" ht="12.75" customHeight="1" spans="2:9">
      <c r="B3623" s="3274">
        <v>2557</v>
      </c>
      <c r="D3623" s="3297" t="s">
        <v>9537</v>
      </c>
      <c r="E3623" s="3298" t="s">
        <v>9538</v>
      </c>
      <c r="F3623" s="3298" t="s">
        <v>4351</v>
      </c>
      <c r="G3623" s="3278">
        <v>57200</v>
      </c>
      <c r="H3623" s="3299">
        <v>0</v>
      </c>
      <c r="I3623" s="3278">
        <v>0</v>
      </c>
    </row>
    <row r="3624" ht="12.75" customHeight="1" spans="2:9">
      <c r="B3624" s="3274">
        <v>2558</v>
      </c>
      <c r="D3624" s="3297" t="s">
        <v>9539</v>
      </c>
      <c r="E3624" s="3298" t="s">
        <v>9540</v>
      </c>
      <c r="F3624" s="3298" t="s">
        <v>2321</v>
      </c>
      <c r="G3624" s="3278">
        <v>311575</v>
      </c>
      <c r="H3624" s="3299">
        <v>0</v>
      </c>
      <c r="I3624" s="3278">
        <v>0</v>
      </c>
    </row>
    <row r="3625" ht="12.75" customHeight="1" spans="2:9">
      <c r="B3625" s="3274">
        <v>2559</v>
      </c>
      <c r="D3625" s="3297" t="s">
        <v>9541</v>
      </c>
      <c r="E3625" s="3298" t="s">
        <v>9542</v>
      </c>
      <c r="F3625" s="3298" t="s">
        <v>2321</v>
      </c>
      <c r="G3625" s="3278">
        <v>26565</v>
      </c>
      <c r="H3625" s="3299">
        <v>0</v>
      </c>
      <c r="I3625" s="3278">
        <v>0</v>
      </c>
    </row>
    <row r="3626" ht="12.75" customHeight="1" spans="2:9">
      <c r="B3626" s="3274">
        <v>2560</v>
      </c>
      <c r="D3626" s="3297" t="s">
        <v>9543</v>
      </c>
      <c r="E3626" s="3298" t="s">
        <v>9544</v>
      </c>
      <c r="F3626" s="3298" t="s">
        <v>2321</v>
      </c>
      <c r="G3626" s="3278">
        <v>36234</v>
      </c>
      <c r="H3626" s="3299">
        <v>0</v>
      </c>
      <c r="I3626" s="3278">
        <v>0</v>
      </c>
    </row>
    <row r="3627" ht="12.75" customHeight="1" spans="2:9">
      <c r="B3627" s="3274">
        <v>2561</v>
      </c>
      <c r="D3627" s="3297" t="s">
        <v>9545</v>
      </c>
      <c r="E3627" s="3298" t="s">
        <v>9546</v>
      </c>
      <c r="F3627" s="3298" t="s">
        <v>3056</v>
      </c>
      <c r="G3627" s="3278">
        <v>26400</v>
      </c>
      <c r="H3627" s="3299">
        <v>0</v>
      </c>
      <c r="I3627" s="3278">
        <v>0</v>
      </c>
    </row>
    <row r="3628" ht="12.75" customHeight="1" spans="2:9">
      <c r="B3628" s="3274">
        <v>2562</v>
      </c>
      <c r="D3628" s="3297" t="s">
        <v>9547</v>
      </c>
      <c r="E3628" s="3298" t="s">
        <v>9548</v>
      </c>
      <c r="F3628" s="3298" t="s">
        <v>3056</v>
      </c>
      <c r="G3628" s="3278">
        <v>715</v>
      </c>
      <c r="H3628" s="3299">
        <v>100</v>
      </c>
      <c r="I3628" s="3278">
        <v>71500</v>
      </c>
    </row>
    <row r="3629" ht="12.75" customHeight="1" spans="2:9">
      <c r="B3629" s="3274">
        <v>2563</v>
      </c>
      <c r="D3629" s="3297" t="s">
        <v>9549</v>
      </c>
      <c r="E3629" s="3298" t="s">
        <v>9550</v>
      </c>
      <c r="F3629" s="3298" t="s">
        <v>3423</v>
      </c>
      <c r="G3629" s="3278">
        <v>218429.9907</v>
      </c>
      <c r="H3629" s="3299">
        <v>0</v>
      </c>
      <c r="I3629" s="3278">
        <v>0</v>
      </c>
    </row>
    <row r="3630" ht="12.75" customHeight="1" spans="2:9">
      <c r="B3630" s="3274">
        <v>2564</v>
      </c>
      <c r="D3630" s="3297" t="s">
        <v>9551</v>
      </c>
      <c r="E3630" s="3298" t="s">
        <v>9552</v>
      </c>
      <c r="F3630" s="3298" t="s">
        <v>2321</v>
      </c>
      <c r="G3630" s="3278">
        <v>140410.6</v>
      </c>
      <c r="H3630" s="3299">
        <v>12</v>
      </c>
      <c r="I3630" s="3278">
        <v>1684927.2</v>
      </c>
    </row>
    <row r="3631" ht="12.75" customHeight="1" spans="2:9">
      <c r="B3631" s="3274">
        <v>2565</v>
      </c>
      <c r="D3631" s="3297" t="s">
        <v>9553</v>
      </c>
      <c r="E3631" s="3298" t="s">
        <v>9554</v>
      </c>
      <c r="F3631" s="3298" t="s">
        <v>3056</v>
      </c>
      <c r="G3631" s="3278">
        <v>85431.5</v>
      </c>
      <c r="H3631" s="3299">
        <v>0</v>
      </c>
      <c r="I3631" s="3278">
        <v>0</v>
      </c>
    </row>
    <row r="3632" ht="12.75" customHeight="1" spans="2:9">
      <c r="B3632" s="3274">
        <v>2566</v>
      </c>
      <c r="D3632" s="3297" t="s">
        <v>9555</v>
      </c>
      <c r="E3632" s="3298" t="s">
        <v>9556</v>
      </c>
      <c r="F3632" s="3298" t="s">
        <v>4351</v>
      </c>
      <c r="G3632" s="3278">
        <v>32689.8</v>
      </c>
      <c r="H3632" s="3299">
        <v>0</v>
      </c>
      <c r="I3632" s="3278">
        <v>0</v>
      </c>
    </row>
    <row r="3633" ht="12.75" customHeight="1" spans="2:9">
      <c r="B3633" s="3274">
        <v>2567</v>
      </c>
      <c r="D3633" s="3297" t="s">
        <v>9557</v>
      </c>
      <c r="E3633" s="3298" t="s">
        <v>9558</v>
      </c>
      <c r="F3633" s="3298" t="s">
        <v>3056</v>
      </c>
      <c r="G3633" s="3278">
        <v>0</v>
      </c>
      <c r="H3633" s="3299">
        <v>0</v>
      </c>
      <c r="I3633" s="3278">
        <v>0</v>
      </c>
    </row>
    <row r="3634" ht="12.75" customHeight="1" spans="2:9">
      <c r="B3634" s="3274">
        <v>2568</v>
      </c>
      <c r="D3634" s="3297" t="s">
        <v>9559</v>
      </c>
      <c r="E3634" s="3298" t="s">
        <v>9560</v>
      </c>
      <c r="F3634" s="3298" t="s">
        <v>3056</v>
      </c>
      <c r="G3634" s="3278">
        <v>873066.67</v>
      </c>
      <c r="H3634" s="3299">
        <v>0</v>
      </c>
      <c r="I3634" s="3278">
        <v>0</v>
      </c>
    </row>
    <row r="3635" ht="13.35" customHeight="1" spans="3:9">
      <c r="C3635" s="3281" t="s">
        <v>9561</v>
      </c>
      <c r="D3635" s="3281"/>
      <c r="E3635" s="3281"/>
      <c r="I3635" s="3279">
        <v>1109345695.2702</v>
      </c>
    </row>
    <row r="3636" ht="13.35" customHeight="1" spans="2:5">
      <c r="B3636" s="3296" t="s">
        <v>9562</v>
      </c>
      <c r="C3636" s="3296"/>
      <c r="D3636" s="3296"/>
      <c r="E3636" s="3296"/>
    </row>
    <row r="3637" ht="12.75" customHeight="1" spans="2:9">
      <c r="B3637" s="3274">
        <v>1</v>
      </c>
      <c r="D3637" s="3297" t="s">
        <v>9563</v>
      </c>
      <c r="E3637" s="3298" t="s">
        <v>9564</v>
      </c>
      <c r="F3637" s="3298" t="s">
        <v>4403</v>
      </c>
      <c r="G3637" s="3278">
        <v>40.997</v>
      </c>
      <c r="H3637" s="3299">
        <v>3000</v>
      </c>
      <c r="I3637" s="3278">
        <v>122991</v>
      </c>
    </row>
    <row r="3638" ht="13.35" customHeight="1" spans="3:9">
      <c r="C3638" s="3281" t="s">
        <v>9565</v>
      </c>
      <c r="D3638" s="3281"/>
      <c r="E3638" s="3281"/>
      <c r="I3638" s="3279">
        <v>122991</v>
      </c>
    </row>
    <row r="3639" ht="13.35" customHeight="1" spans="2:5">
      <c r="B3639" s="3296" t="s">
        <v>9566</v>
      </c>
      <c r="C3639" s="3296"/>
      <c r="D3639" s="3296"/>
      <c r="E3639" s="3296"/>
    </row>
    <row r="3640" ht="12.75" customHeight="1" spans="2:9">
      <c r="B3640" s="3274">
        <v>1</v>
      </c>
      <c r="D3640" s="3297" t="s">
        <v>9567</v>
      </c>
      <c r="E3640" s="3298" t="s">
        <v>9568</v>
      </c>
      <c r="F3640" s="3298" t="s">
        <v>2299</v>
      </c>
      <c r="G3640" s="3278">
        <v>13750</v>
      </c>
      <c r="H3640" s="3299">
        <v>0</v>
      </c>
      <c r="I3640" s="3278">
        <v>0</v>
      </c>
    </row>
    <row r="3641" ht="12.75" customHeight="1" spans="2:9">
      <c r="B3641" s="3274">
        <v>2</v>
      </c>
      <c r="D3641" s="3297" t="s">
        <v>9569</v>
      </c>
      <c r="E3641" s="3298" t="s">
        <v>9570</v>
      </c>
      <c r="F3641" s="3298" t="s">
        <v>2299</v>
      </c>
      <c r="G3641" s="3278">
        <v>15048</v>
      </c>
      <c r="H3641" s="3299">
        <v>0</v>
      </c>
      <c r="I3641" s="3278">
        <v>0</v>
      </c>
    </row>
    <row r="3642" ht="12.75" customHeight="1" spans="2:9">
      <c r="B3642" s="3274">
        <v>3</v>
      </c>
      <c r="D3642" s="3297" t="s">
        <v>9571</v>
      </c>
      <c r="E3642" s="3298" t="s">
        <v>9572</v>
      </c>
      <c r="F3642" s="3298" t="s">
        <v>2299</v>
      </c>
      <c r="G3642" s="3278">
        <v>40227</v>
      </c>
      <c r="H3642" s="3299">
        <v>0</v>
      </c>
      <c r="I3642" s="3278">
        <v>0</v>
      </c>
    </row>
    <row r="3643" ht="12.75" customHeight="1" spans="2:9">
      <c r="B3643" s="3274">
        <v>4</v>
      </c>
      <c r="D3643" s="3297" t="s">
        <v>9573</v>
      </c>
      <c r="E3643" s="3298" t="s">
        <v>9574</v>
      </c>
      <c r="F3643" s="3298" t="s">
        <v>2299</v>
      </c>
      <c r="G3643" s="3278">
        <v>18780.663</v>
      </c>
      <c r="H3643" s="3299">
        <v>0</v>
      </c>
      <c r="I3643" s="3278">
        <v>0</v>
      </c>
    </row>
    <row r="3644" ht="12.75" customHeight="1" spans="2:9">
      <c r="B3644" s="3274">
        <v>5</v>
      </c>
      <c r="D3644" s="3297" t="s">
        <v>9575</v>
      </c>
      <c r="E3644" s="3298" t="s">
        <v>9576</v>
      </c>
      <c r="F3644" s="3298" t="s">
        <v>2565</v>
      </c>
      <c r="G3644" s="3278">
        <v>55000</v>
      </c>
      <c r="H3644" s="3299">
        <v>0</v>
      </c>
      <c r="I3644" s="3278">
        <v>0</v>
      </c>
    </row>
    <row r="3645" ht="12.75" customHeight="1" spans="2:9">
      <c r="B3645" s="3274">
        <v>6</v>
      </c>
      <c r="D3645" s="3297" t="s">
        <v>9577</v>
      </c>
      <c r="E3645" s="3298" t="s">
        <v>9578</v>
      </c>
      <c r="F3645" s="3298" t="s">
        <v>2565</v>
      </c>
      <c r="G3645" s="3278">
        <v>43670</v>
      </c>
      <c r="H3645" s="3299">
        <v>0</v>
      </c>
      <c r="I3645" s="3278">
        <v>0</v>
      </c>
    </row>
    <row r="3646" ht="12.75" customHeight="1" spans="2:9">
      <c r="B3646" s="3274">
        <v>7</v>
      </c>
      <c r="D3646" s="3297" t="s">
        <v>9579</v>
      </c>
      <c r="E3646" s="3298" t="s">
        <v>9580</v>
      </c>
      <c r="F3646" s="3298" t="s">
        <v>2388</v>
      </c>
      <c r="G3646" s="3278">
        <v>7700</v>
      </c>
      <c r="H3646" s="3299">
        <v>0</v>
      </c>
      <c r="I3646" s="3278">
        <v>0</v>
      </c>
    </row>
    <row r="3647" ht="12.75" customHeight="1" spans="2:9">
      <c r="B3647" s="3274">
        <v>8</v>
      </c>
      <c r="D3647" s="3297" t="s">
        <v>9581</v>
      </c>
      <c r="E3647" s="3298" t="s">
        <v>9582</v>
      </c>
      <c r="F3647" s="3298" t="s">
        <v>2299</v>
      </c>
      <c r="G3647" s="3278">
        <v>62700</v>
      </c>
      <c r="H3647" s="3299">
        <v>120</v>
      </c>
      <c r="I3647" s="3278">
        <v>7524000</v>
      </c>
    </row>
    <row r="3648" ht="12.75" customHeight="1" spans="2:9">
      <c r="B3648" s="3274">
        <v>9</v>
      </c>
      <c r="D3648" s="3297" t="s">
        <v>9583</v>
      </c>
      <c r="E3648" s="3298" t="s">
        <v>9584</v>
      </c>
      <c r="F3648" s="3298" t="s">
        <v>2299</v>
      </c>
      <c r="G3648" s="3278">
        <v>23100</v>
      </c>
      <c r="H3648" s="3299">
        <v>360</v>
      </c>
      <c r="I3648" s="3278">
        <v>8316000</v>
      </c>
    </row>
    <row r="3649" ht="13.35" customHeight="1" spans="3:9">
      <c r="C3649" s="3281" t="s">
        <v>9585</v>
      </c>
      <c r="D3649" s="3281"/>
      <c r="E3649" s="3281"/>
      <c r="I3649" s="3279">
        <v>15840000</v>
      </c>
    </row>
    <row r="3650" ht="13.35" customHeight="1" spans="2:5">
      <c r="B3650" s="3296" t="s">
        <v>9586</v>
      </c>
      <c r="C3650" s="3296"/>
      <c r="D3650" s="3296"/>
      <c r="E3650" s="3296"/>
    </row>
    <row r="3651" ht="12.75" customHeight="1" spans="2:9">
      <c r="B3651" s="3274">
        <v>1</v>
      </c>
      <c r="D3651" s="3297" t="s">
        <v>9587</v>
      </c>
      <c r="E3651" s="3298" t="s">
        <v>9588</v>
      </c>
      <c r="F3651" s="3298" t="s">
        <v>2321</v>
      </c>
      <c r="G3651" s="3278">
        <v>4195.4</v>
      </c>
      <c r="H3651" s="3299">
        <v>0</v>
      </c>
      <c r="I3651" s="3278">
        <v>0</v>
      </c>
    </row>
    <row r="3652" ht="12.75" customHeight="1" spans="2:9">
      <c r="B3652" s="3274">
        <v>2</v>
      </c>
      <c r="D3652" s="3297" t="s">
        <v>9589</v>
      </c>
      <c r="E3652" s="3298" t="s">
        <v>9590</v>
      </c>
      <c r="F3652" s="3298" t="s">
        <v>3056</v>
      </c>
      <c r="G3652" s="3278">
        <v>656.018</v>
      </c>
      <c r="H3652" s="3299">
        <v>0</v>
      </c>
      <c r="I3652" s="3278">
        <v>0</v>
      </c>
    </row>
    <row r="3653" ht="12.75" customHeight="1" spans="2:9">
      <c r="B3653" s="3274">
        <v>3</v>
      </c>
      <c r="D3653" s="3297" t="s">
        <v>9591</v>
      </c>
      <c r="E3653" s="3298" t="s">
        <v>9592</v>
      </c>
      <c r="F3653" s="3298" t="s">
        <v>2321</v>
      </c>
      <c r="G3653" s="3278">
        <v>3296.7</v>
      </c>
      <c r="H3653" s="3299">
        <v>0</v>
      </c>
      <c r="I3653" s="3278">
        <v>0</v>
      </c>
    </row>
    <row r="3654" ht="12.75" customHeight="1" spans="2:9">
      <c r="B3654" s="3274">
        <v>4</v>
      </c>
      <c r="D3654" s="3297" t="s">
        <v>9593</v>
      </c>
      <c r="E3654" s="3298" t="s">
        <v>9594</v>
      </c>
      <c r="F3654" s="3298" t="s">
        <v>3056</v>
      </c>
      <c r="G3654" s="3278">
        <v>155.331</v>
      </c>
      <c r="H3654" s="3299">
        <v>1900</v>
      </c>
      <c r="I3654" s="3278">
        <v>295128.9</v>
      </c>
    </row>
    <row r="3655" ht="12.75" customHeight="1" spans="2:9">
      <c r="B3655" s="3274">
        <v>5</v>
      </c>
      <c r="D3655" s="3297" t="s">
        <v>9595</v>
      </c>
      <c r="E3655" s="3298" t="s">
        <v>9596</v>
      </c>
      <c r="F3655" s="3298" t="s">
        <v>3056</v>
      </c>
      <c r="G3655" s="3278">
        <v>337</v>
      </c>
      <c r="H3655" s="3299">
        <v>0</v>
      </c>
      <c r="I3655" s="3278">
        <v>0</v>
      </c>
    </row>
    <row r="3656" ht="12.75" customHeight="1" spans="2:9">
      <c r="B3656" s="3274">
        <v>6</v>
      </c>
      <c r="D3656" s="3297" t="s">
        <v>9597</v>
      </c>
      <c r="E3656" s="3298" t="s">
        <v>9598</v>
      </c>
      <c r="F3656" s="3298" t="s">
        <v>3056</v>
      </c>
      <c r="G3656" s="3278">
        <v>220</v>
      </c>
      <c r="H3656" s="3299">
        <v>0</v>
      </c>
      <c r="I3656" s="3278">
        <v>0</v>
      </c>
    </row>
    <row r="3657" ht="12.75" customHeight="1" spans="2:9">
      <c r="B3657" s="3274">
        <v>7</v>
      </c>
      <c r="D3657" s="3297" t="s">
        <v>9599</v>
      </c>
      <c r="E3657" s="3298" t="s">
        <v>9600</v>
      </c>
      <c r="F3657" s="3298" t="s">
        <v>3056</v>
      </c>
      <c r="G3657" s="3278">
        <v>309.831</v>
      </c>
      <c r="H3657" s="3299">
        <v>2790</v>
      </c>
      <c r="I3657" s="3278">
        <v>864428.49</v>
      </c>
    </row>
    <row r="3658" ht="12.75" customHeight="1" spans="2:9">
      <c r="B3658" s="3274">
        <v>8</v>
      </c>
      <c r="D3658" s="3297" t="s">
        <v>9601</v>
      </c>
      <c r="E3658" s="3298" t="s">
        <v>9602</v>
      </c>
      <c r="F3658" s="3298" t="s">
        <v>3056</v>
      </c>
      <c r="G3658" s="3278">
        <v>238.1669</v>
      </c>
      <c r="H3658" s="3299">
        <v>0</v>
      </c>
      <c r="I3658" s="3278">
        <v>0</v>
      </c>
    </row>
    <row r="3659" ht="12.75" customHeight="1" spans="2:9">
      <c r="B3659" s="3274">
        <v>9</v>
      </c>
      <c r="D3659" s="3297" t="s">
        <v>9603</v>
      </c>
      <c r="E3659" s="3298" t="s">
        <v>9604</v>
      </c>
      <c r="F3659" s="3298" t="s">
        <v>2321</v>
      </c>
      <c r="G3659" s="3278">
        <v>7150</v>
      </c>
      <c r="H3659" s="3299">
        <v>0</v>
      </c>
      <c r="I3659" s="3278">
        <v>0</v>
      </c>
    </row>
    <row r="3660" ht="12.75" customHeight="1" spans="2:9">
      <c r="B3660" s="3274">
        <v>10</v>
      </c>
      <c r="D3660" s="3297" t="s">
        <v>9605</v>
      </c>
      <c r="E3660" s="3298" t="s">
        <v>9606</v>
      </c>
      <c r="F3660" s="3298" t="s">
        <v>2367</v>
      </c>
      <c r="G3660" s="3278">
        <v>825</v>
      </c>
      <c r="H3660" s="3299">
        <v>6900</v>
      </c>
      <c r="I3660" s="3278">
        <v>5692500</v>
      </c>
    </row>
    <row r="3661" ht="12.75" customHeight="1" spans="2:9">
      <c r="B3661" s="3274">
        <v>11</v>
      </c>
      <c r="D3661" s="3297" t="s">
        <v>9607</v>
      </c>
      <c r="E3661" s="3298" t="s">
        <v>9608</v>
      </c>
      <c r="F3661" s="3298" t="s">
        <v>3042</v>
      </c>
      <c r="G3661" s="3278">
        <v>5500</v>
      </c>
      <c r="H3661" s="3299">
        <v>0</v>
      </c>
      <c r="I3661" s="3278">
        <v>0</v>
      </c>
    </row>
    <row r="3662" ht="12.75" customHeight="1" spans="2:9">
      <c r="B3662" s="3274">
        <v>12</v>
      </c>
      <c r="D3662" s="3297" t="s">
        <v>9609</v>
      </c>
      <c r="E3662" s="3298" t="s">
        <v>9610</v>
      </c>
      <c r="F3662" s="3298" t="s">
        <v>3056</v>
      </c>
      <c r="G3662" s="3278">
        <v>371.0208</v>
      </c>
      <c r="H3662" s="3299">
        <v>0</v>
      </c>
      <c r="I3662" s="3278">
        <v>0</v>
      </c>
    </row>
    <row r="3663" ht="12.75" customHeight="1" spans="2:9">
      <c r="B3663" s="3274">
        <v>13</v>
      </c>
      <c r="D3663" s="3297" t="s">
        <v>9611</v>
      </c>
      <c r="E3663" s="3298" t="s">
        <v>9612</v>
      </c>
      <c r="F3663" s="3298" t="s">
        <v>2367</v>
      </c>
      <c r="G3663" s="3278">
        <v>220</v>
      </c>
      <c r="H3663" s="3299">
        <v>0</v>
      </c>
      <c r="I3663" s="3278">
        <v>0</v>
      </c>
    </row>
    <row r="3664" ht="12.75" customHeight="1" spans="2:9">
      <c r="B3664" s="3274">
        <v>14</v>
      </c>
      <c r="D3664" s="3297" t="s">
        <v>9613</v>
      </c>
      <c r="E3664" s="3298" t="s">
        <v>9614</v>
      </c>
      <c r="F3664" s="3298" t="s">
        <v>2321</v>
      </c>
      <c r="G3664" s="3278">
        <v>3989.7</v>
      </c>
      <c r="H3664" s="3299">
        <v>0</v>
      </c>
      <c r="I3664" s="3278">
        <v>0</v>
      </c>
    </row>
    <row r="3665" ht="12.75" customHeight="1" spans="2:9">
      <c r="B3665" s="3274">
        <v>15</v>
      </c>
      <c r="D3665" s="3297" t="s">
        <v>9615</v>
      </c>
      <c r="E3665" s="3298" t="s">
        <v>9616</v>
      </c>
      <c r="F3665" s="3298" t="s">
        <v>2367</v>
      </c>
      <c r="G3665" s="3278">
        <v>85.8</v>
      </c>
      <c r="H3665" s="3299">
        <v>0</v>
      </c>
      <c r="I3665" s="3278">
        <v>0</v>
      </c>
    </row>
    <row r="3666" ht="12.75" customHeight="1" spans="2:9">
      <c r="B3666" s="3274">
        <v>16</v>
      </c>
      <c r="D3666" s="3297" t="s">
        <v>9617</v>
      </c>
      <c r="E3666" s="3298" t="s">
        <v>9618</v>
      </c>
      <c r="F3666" s="3298" t="s">
        <v>3056</v>
      </c>
      <c r="G3666" s="3278">
        <v>455.4</v>
      </c>
      <c r="H3666" s="3299">
        <v>0</v>
      </c>
      <c r="I3666" s="3278">
        <v>0</v>
      </c>
    </row>
    <row r="3667" ht="12.75" customHeight="1" spans="2:9">
      <c r="B3667" s="3274">
        <v>17</v>
      </c>
      <c r="D3667" s="3297" t="s">
        <v>9619</v>
      </c>
      <c r="E3667" s="3298" t="s">
        <v>9620</v>
      </c>
      <c r="F3667" s="3298" t="s">
        <v>3042</v>
      </c>
      <c r="G3667" s="3278">
        <v>5060</v>
      </c>
      <c r="H3667" s="3299">
        <v>0</v>
      </c>
      <c r="I3667" s="3278">
        <v>0</v>
      </c>
    </row>
    <row r="3668" ht="12.75" customHeight="1" spans="2:9">
      <c r="B3668" s="3274">
        <v>18</v>
      </c>
      <c r="D3668" s="3297" t="s">
        <v>9621</v>
      </c>
      <c r="E3668" s="3298" t="s">
        <v>9622</v>
      </c>
      <c r="F3668" s="3298" t="s">
        <v>3423</v>
      </c>
      <c r="G3668" s="3278">
        <v>6930</v>
      </c>
      <c r="H3668" s="3299">
        <v>20</v>
      </c>
      <c r="I3668" s="3278">
        <v>138600</v>
      </c>
    </row>
    <row r="3669" ht="12.75" customHeight="1" spans="2:9">
      <c r="B3669" s="3274">
        <v>19</v>
      </c>
      <c r="D3669" s="3297" t="s">
        <v>9623</v>
      </c>
      <c r="E3669" s="3298" t="s">
        <v>9624</v>
      </c>
      <c r="F3669" s="3298" t="s">
        <v>3056</v>
      </c>
      <c r="G3669" s="3278">
        <v>544.5</v>
      </c>
      <c r="H3669" s="3299">
        <v>0</v>
      </c>
      <c r="I3669" s="3278">
        <v>0</v>
      </c>
    </row>
    <row r="3670" ht="12.75" customHeight="1" spans="2:9">
      <c r="B3670" s="3274">
        <v>20</v>
      </c>
      <c r="D3670" s="3297" t="s">
        <v>9625</v>
      </c>
      <c r="E3670" s="3298" t="s">
        <v>9626</v>
      </c>
      <c r="F3670" s="3298" t="s">
        <v>3423</v>
      </c>
      <c r="G3670" s="3278">
        <v>50820</v>
      </c>
      <c r="H3670" s="3299">
        <v>0</v>
      </c>
      <c r="I3670" s="3278">
        <v>0</v>
      </c>
    </row>
    <row r="3671" ht="12.75" customHeight="1" spans="2:9">
      <c r="B3671" s="3274">
        <v>21</v>
      </c>
      <c r="D3671" s="3297" t="s">
        <v>9627</v>
      </c>
      <c r="E3671" s="3298" t="s">
        <v>9628</v>
      </c>
      <c r="F3671" s="3298" t="s">
        <v>3056</v>
      </c>
      <c r="G3671" s="3278">
        <v>223.982</v>
      </c>
      <c r="H3671" s="3299">
        <v>0</v>
      </c>
      <c r="I3671" s="3278">
        <v>0</v>
      </c>
    </row>
    <row r="3672" ht="12.75" customHeight="1" spans="2:9">
      <c r="B3672" s="3274">
        <v>22</v>
      </c>
      <c r="D3672" s="3297" t="s">
        <v>9629</v>
      </c>
      <c r="E3672" s="3298" t="s">
        <v>9630</v>
      </c>
      <c r="F3672" s="3298" t="s">
        <v>3056</v>
      </c>
      <c r="G3672" s="3278">
        <v>90.002</v>
      </c>
      <c r="H3672" s="3299">
        <v>4700</v>
      </c>
      <c r="I3672" s="3278">
        <v>423009.4</v>
      </c>
    </row>
    <row r="3673" ht="12.75" customHeight="1" spans="2:9">
      <c r="B3673" s="3274">
        <v>23</v>
      </c>
      <c r="D3673" s="3297" t="s">
        <v>9631</v>
      </c>
      <c r="E3673" s="3298" t="s">
        <v>9632</v>
      </c>
      <c r="F3673" s="3298" t="s">
        <v>2367</v>
      </c>
      <c r="G3673" s="3278">
        <v>137.4071</v>
      </c>
      <c r="H3673" s="3299">
        <v>0</v>
      </c>
      <c r="I3673" s="3278">
        <v>0</v>
      </c>
    </row>
    <row r="3674" ht="12.75" customHeight="1" spans="2:9">
      <c r="B3674" s="3274">
        <v>24</v>
      </c>
      <c r="D3674" s="3297" t="s">
        <v>9633</v>
      </c>
      <c r="E3674" s="3298" t="s">
        <v>9634</v>
      </c>
      <c r="F3674" s="3298" t="s">
        <v>3056</v>
      </c>
      <c r="G3674" s="3278">
        <v>224.378</v>
      </c>
      <c r="H3674" s="3299">
        <v>0</v>
      </c>
      <c r="I3674" s="3278">
        <v>0</v>
      </c>
    </row>
    <row r="3675" ht="12.75" customHeight="1" spans="2:9">
      <c r="B3675" s="3274">
        <v>25</v>
      </c>
      <c r="D3675" s="3297" t="s">
        <v>9635</v>
      </c>
      <c r="E3675" s="3298" t="s">
        <v>9636</v>
      </c>
      <c r="F3675" s="3298" t="s">
        <v>3056</v>
      </c>
      <c r="G3675" s="3278">
        <v>246.202</v>
      </c>
      <c r="H3675" s="3299">
        <v>0</v>
      </c>
      <c r="I3675" s="3278">
        <v>0</v>
      </c>
    </row>
    <row r="3676" ht="12.75" customHeight="1" spans="2:9">
      <c r="B3676" s="3274">
        <v>26</v>
      </c>
      <c r="D3676" s="3297" t="s">
        <v>9637</v>
      </c>
      <c r="E3676" s="3298" t="s">
        <v>9638</v>
      </c>
      <c r="F3676" s="3298" t="s">
        <v>4351</v>
      </c>
      <c r="G3676" s="3278">
        <v>1210</v>
      </c>
      <c r="H3676" s="3299">
        <v>0</v>
      </c>
      <c r="I3676" s="3278">
        <v>0</v>
      </c>
    </row>
    <row r="3677" ht="12.75" customHeight="1" spans="2:9">
      <c r="B3677" s="3274">
        <v>27</v>
      </c>
      <c r="D3677" s="3297" t="s">
        <v>9639</v>
      </c>
      <c r="E3677" s="3298" t="s">
        <v>9640</v>
      </c>
      <c r="F3677" s="3298" t="s">
        <v>2321</v>
      </c>
      <c r="G3677" s="3278">
        <v>9839.5</v>
      </c>
      <c r="H3677" s="3299">
        <v>0</v>
      </c>
      <c r="I3677" s="3278">
        <v>0</v>
      </c>
    </row>
    <row r="3678" ht="12.75" customHeight="1" spans="2:9">
      <c r="B3678" s="3274">
        <v>28</v>
      </c>
      <c r="D3678" s="3297" t="s">
        <v>9641</v>
      </c>
      <c r="E3678" s="3298" t="s">
        <v>9642</v>
      </c>
      <c r="F3678" s="3298" t="s">
        <v>4351</v>
      </c>
      <c r="G3678" s="3278">
        <v>2394.5899</v>
      </c>
      <c r="H3678" s="3299">
        <v>0</v>
      </c>
      <c r="I3678" s="3278">
        <v>0</v>
      </c>
    </row>
    <row r="3679" ht="12.75" customHeight="1" spans="2:9">
      <c r="B3679" s="3274">
        <v>29</v>
      </c>
      <c r="D3679" s="3297" t="s">
        <v>9643</v>
      </c>
      <c r="E3679" s="3298" t="s">
        <v>9644</v>
      </c>
      <c r="F3679" s="3298" t="s">
        <v>4351</v>
      </c>
      <c r="G3679" s="3278">
        <v>5526</v>
      </c>
      <c r="H3679" s="3299">
        <v>0</v>
      </c>
      <c r="I3679" s="3278">
        <v>0</v>
      </c>
    </row>
    <row r="3680" ht="12.75" customHeight="1" spans="2:9">
      <c r="B3680" s="3274">
        <v>30</v>
      </c>
      <c r="D3680" s="3297" t="s">
        <v>9645</v>
      </c>
      <c r="E3680" s="3298" t="s">
        <v>9646</v>
      </c>
      <c r="F3680" s="3298" t="s">
        <v>2321</v>
      </c>
      <c r="G3680" s="3278">
        <v>37400</v>
      </c>
      <c r="H3680" s="3299">
        <v>0</v>
      </c>
      <c r="I3680" s="3278">
        <v>0</v>
      </c>
    </row>
    <row r="3681" ht="12.75" customHeight="1" spans="2:9">
      <c r="B3681" s="3274">
        <v>31</v>
      </c>
      <c r="D3681" s="3297" t="s">
        <v>9647</v>
      </c>
      <c r="E3681" s="3298" t="s">
        <v>9648</v>
      </c>
      <c r="F3681" s="3298" t="s">
        <v>3423</v>
      </c>
      <c r="G3681" s="3278">
        <v>29700</v>
      </c>
      <c r="H3681" s="3299">
        <v>200</v>
      </c>
      <c r="I3681" s="3278">
        <v>5940000</v>
      </c>
    </row>
    <row r="3682" ht="12.75" customHeight="1" spans="2:9">
      <c r="B3682" s="3274">
        <v>32</v>
      </c>
      <c r="D3682" s="3297" t="s">
        <v>9649</v>
      </c>
      <c r="E3682" s="3298" t="s">
        <v>9650</v>
      </c>
      <c r="F3682" s="3298" t="s">
        <v>3423</v>
      </c>
      <c r="G3682" s="3278">
        <v>17820</v>
      </c>
      <c r="H3682" s="3299">
        <v>1760</v>
      </c>
      <c r="I3682" s="3278">
        <v>31363200</v>
      </c>
    </row>
    <row r="3683" ht="12.75" customHeight="1" spans="2:9">
      <c r="B3683" s="3274">
        <v>33</v>
      </c>
      <c r="D3683" s="3297" t="s">
        <v>9651</v>
      </c>
      <c r="E3683" s="3298" t="s">
        <v>9652</v>
      </c>
      <c r="F3683" s="3298" t="s">
        <v>2321</v>
      </c>
      <c r="G3683" s="3278">
        <v>10179.0975</v>
      </c>
      <c r="H3683" s="3299">
        <v>4</v>
      </c>
      <c r="I3683" s="3278">
        <v>40716.39</v>
      </c>
    </row>
    <row r="3684" ht="12.75" customHeight="1" spans="2:9">
      <c r="B3684" s="3274">
        <v>34</v>
      </c>
      <c r="D3684" s="3297" t="s">
        <v>9653</v>
      </c>
      <c r="E3684" s="3298" t="s">
        <v>9654</v>
      </c>
      <c r="F3684" s="3298" t="s">
        <v>3056</v>
      </c>
      <c r="G3684" s="3278">
        <v>305.3622</v>
      </c>
      <c r="H3684" s="3299">
        <v>0</v>
      </c>
      <c r="I3684" s="3278">
        <v>0</v>
      </c>
    </row>
    <row r="3685" ht="12.75" customHeight="1" spans="2:9">
      <c r="B3685" s="3274">
        <v>35</v>
      </c>
      <c r="D3685" s="3297" t="s">
        <v>9655</v>
      </c>
      <c r="E3685" s="3298" t="s">
        <v>9656</v>
      </c>
      <c r="F3685" s="3298" t="s">
        <v>2321</v>
      </c>
      <c r="G3685" s="3278">
        <v>26812.5</v>
      </c>
      <c r="H3685" s="3299">
        <v>12</v>
      </c>
      <c r="I3685" s="3278">
        <v>321750</v>
      </c>
    </row>
    <row r="3686" ht="12.75" customHeight="1" spans="2:9">
      <c r="B3686" s="3274">
        <v>36</v>
      </c>
      <c r="D3686" s="3297" t="s">
        <v>9657</v>
      </c>
      <c r="E3686" s="3298" t="s">
        <v>9658</v>
      </c>
      <c r="F3686" s="3298" t="s">
        <v>2637</v>
      </c>
      <c r="G3686" s="3278">
        <v>1563.1</v>
      </c>
      <c r="H3686" s="3299">
        <v>0</v>
      </c>
      <c r="I3686" s="3278">
        <v>0</v>
      </c>
    </row>
    <row r="3687" ht="12.75" customHeight="1" spans="2:9">
      <c r="B3687" s="3274">
        <v>37</v>
      </c>
      <c r="D3687" s="3297" t="s">
        <v>9659</v>
      </c>
      <c r="E3687" s="3298" t="s">
        <v>9660</v>
      </c>
      <c r="F3687" s="3298" t="s">
        <v>2367</v>
      </c>
      <c r="G3687" s="3278">
        <v>220</v>
      </c>
      <c r="H3687" s="3299">
        <v>0</v>
      </c>
      <c r="I3687" s="3278">
        <v>0</v>
      </c>
    </row>
    <row r="3688" ht="12.75" customHeight="1" spans="2:9">
      <c r="B3688" s="3274">
        <v>38</v>
      </c>
      <c r="D3688" s="3297" t="s">
        <v>9661</v>
      </c>
      <c r="E3688" s="3298" t="s">
        <v>9662</v>
      </c>
      <c r="F3688" s="3298" t="s">
        <v>2321</v>
      </c>
      <c r="G3688" s="3278">
        <v>68400.2</v>
      </c>
      <c r="H3688" s="3299">
        <v>0</v>
      </c>
      <c r="I3688" s="3278">
        <v>0</v>
      </c>
    </row>
    <row r="3689" ht="12.75" customHeight="1" spans="2:9">
      <c r="B3689" s="3274">
        <v>39</v>
      </c>
      <c r="D3689" s="3297" t="s">
        <v>9663</v>
      </c>
      <c r="E3689" s="3298" t="s">
        <v>9664</v>
      </c>
      <c r="F3689" s="3298" t="s">
        <v>4351</v>
      </c>
      <c r="G3689" s="3278">
        <v>915</v>
      </c>
      <c r="H3689" s="3299">
        <v>0</v>
      </c>
      <c r="I3689" s="3278">
        <v>0</v>
      </c>
    </row>
    <row r="3690" ht="12.75" customHeight="1" spans="2:9">
      <c r="B3690" s="3274">
        <v>40</v>
      </c>
      <c r="D3690" s="3297" t="s">
        <v>9665</v>
      </c>
      <c r="E3690" s="3298" t="s">
        <v>9666</v>
      </c>
      <c r="F3690" s="3298" t="s">
        <v>3042</v>
      </c>
      <c r="G3690" s="3278">
        <v>15000.0404</v>
      </c>
      <c r="H3690" s="3299">
        <v>0</v>
      </c>
      <c r="I3690" s="3278">
        <v>0</v>
      </c>
    </row>
    <row r="3691" ht="12.75" customHeight="1" spans="2:9">
      <c r="B3691" s="3274">
        <v>41</v>
      </c>
      <c r="D3691" s="3297" t="s">
        <v>9667</v>
      </c>
      <c r="E3691" s="3298" t="s">
        <v>9668</v>
      </c>
      <c r="F3691" s="3298" t="s">
        <v>4757</v>
      </c>
      <c r="G3691" s="3278">
        <v>510.004</v>
      </c>
      <c r="H3691" s="3299">
        <v>0</v>
      </c>
      <c r="I3691" s="3278">
        <v>0</v>
      </c>
    </row>
    <row r="3692" ht="12.75" customHeight="1" spans="2:9">
      <c r="B3692" s="3274">
        <v>42</v>
      </c>
      <c r="D3692" s="3297" t="s">
        <v>9669</v>
      </c>
      <c r="E3692" s="3298" t="s">
        <v>9670</v>
      </c>
      <c r="F3692" s="3298" t="s">
        <v>4351</v>
      </c>
      <c r="G3692" s="3278">
        <v>1270.962</v>
      </c>
      <c r="H3692" s="3299">
        <v>100</v>
      </c>
      <c r="I3692" s="3278">
        <v>127096.2</v>
      </c>
    </row>
    <row r="3693" ht="12.75" customHeight="1" spans="2:9">
      <c r="B3693" s="3274">
        <v>43</v>
      </c>
      <c r="D3693" s="3297" t="s">
        <v>9671</v>
      </c>
      <c r="E3693" s="3298" t="s">
        <v>9672</v>
      </c>
      <c r="F3693" s="3298" t="s">
        <v>3056</v>
      </c>
      <c r="G3693" s="3278">
        <v>204.996</v>
      </c>
      <c r="H3693" s="3299">
        <v>0</v>
      </c>
      <c r="I3693" s="3278">
        <v>0</v>
      </c>
    </row>
    <row r="3694" ht="12.75" customHeight="1" spans="2:9">
      <c r="B3694" s="3274">
        <v>44</v>
      </c>
      <c r="D3694" s="3297" t="s">
        <v>9673</v>
      </c>
      <c r="E3694" s="3298" t="s">
        <v>9674</v>
      </c>
      <c r="F3694" s="3298" t="s">
        <v>3056</v>
      </c>
      <c r="G3694" s="3278">
        <v>3226.6695</v>
      </c>
      <c r="H3694" s="3299">
        <v>540</v>
      </c>
      <c r="I3694" s="3278">
        <v>1742401.53</v>
      </c>
    </row>
    <row r="3695" ht="12.75" customHeight="1" spans="2:9">
      <c r="B3695" s="3274">
        <v>45</v>
      </c>
      <c r="D3695" s="3297" t="s">
        <v>9675</v>
      </c>
      <c r="E3695" s="3298" t="s">
        <v>9676</v>
      </c>
      <c r="F3695" s="3298" t="s">
        <v>4351</v>
      </c>
      <c r="G3695" s="3278">
        <v>5662.9393</v>
      </c>
      <c r="H3695" s="3299">
        <v>180</v>
      </c>
      <c r="I3695" s="3278">
        <v>1019329.074</v>
      </c>
    </row>
    <row r="3696" ht="12.75" customHeight="1" spans="2:9">
      <c r="B3696" s="3274">
        <v>46</v>
      </c>
      <c r="D3696" s="3297" t="s">
        <v>9677</v>
      </c>
      <c r="E3696" s="3298" t="s">
        <v>9678</v>
      </c>
      <c r="F3696" s="3298" t="s">
        <v>3056</v>
      </c>
      <c r="G3696" s="3278">
        <v>275</v>
      </c>
      <c r="H3696" s="3299">
        <v>0</v>
      </c>
      <c r="I3696" s="3278">
        <v>0</v>
      </c>
    </row>
    <row r="3697" ht="12.75" customHeight="1" spans="2:9">
      <c r="B3697" s="3274">
        <v>47</v>
      </c>
      <c r="D3697" s="3297" t="s">
        <v>9679</v>
      </c>
      <c r="E3697" s="3298" t="s">
        <v>9680</v>
      </c>
      <c r="F3697" s="3298" t="s">
        <v>3056</v>
      </c>
      <c r="G3697" s="3278">
        <v>154</v>
      </c>
      <c r="H3697" s="3299">
        <v>1100</v>
      </c>
      <c r="I3697" s="3278">
        <v>169400</v>
      </c>
    </row>
    <row r="3698" ht="12.75" customHeight="1" spans="2:9">
      <c r="B3698" s="3274">
        <v>48</v>
      </c>
      <c r="D3698" s="3297" t="s">
        <v>9681</v>
      </c>
      <c r="E3698" s="3298" t="s">
        <v>9682</v>
      </c>
      <c r="F3698" s="3298" t="s">
        <v>3423</v>
      </c>
      <c r="G3698" s="3278">
        <v>2402.4</v>
      </c>
      <c r="H3698" s="3299">
        <v>1800</v>
      </c>
      <c r="I3698" s="3278">
        <v>4324320</v>
      </c>
    </row>
    <row r="3699" ht="12.75" customHeight="1" spans="2:9">
      <c r="B3699" s="3274">
        <v>49</v>
      </c>
      <c r="D3699" s="3297" t="s">
        <v>9683</v>
      </c>
      <c r="E3699" s="3298" t="s">
        <v>9684</v>
      </c>
      <c r="F3699" s="3298" t="s">
        <v>2637</v>
      </c>
      <c r="G3699" s="3278">
        <v>4400</v>
      </c>
      <c r="H3699" s="3299">
        <v>52</v>
      </c>
      <c r="I3699" s="3278">
        <v>228800</v>
      </c>
    </row>
    <row r="3700" ht="12.75" customHeight="1" spans="2:9">
      <c r="B3700" s="3274">
        <v>50</v>
      </c>
      <c r="D3700" s="3297" t="s">
        <v>9685</v>
      </c>
      <c r="E3700" s="3298" t="s">
        <v>9686</v>
      </c>
      <c r="F3700" s="3298" t="s">
        <v>3056</v>
      </c>
      <c r="G3700" s="3278">
        <v>165.6639</v>
      </c>
      <c r="H3700" s="3299">
        <v>1600</v>
      </c>
      <c r="I3700" s="3278">
        <v>265062.24</v>
      </c>
    </row>
    <row r="3701" ht="12.75" customHeight="1" spans="2:9">
      <c r="B3701" s="3274">
        <v>51</v>
      </c>
      <c r="D3701" s="3297" t="s">
        <v>9687</v>
      </c>
      <c r="E3701" s="3298" t="s">
        <v>9688</v>
      </c>
      <c r="F3701" s="3298" t="s">
        <v>2367</v>
      </c>
      <c r="G3701" s="3278">
        <v>84.502</v>
      </c>
      <c r="H3701" s="3299">
        <v>0</v>
      </c>
      <c r="I3701" s="3278">
        <v>0</v>
      </c>
    </row>
    <row r="3702" ht="12.75" customHeight="1" spans="2:9">
      <c r="B3702" s="3274">
        <v>52</v>
      </c>
      <c r="D3702" s="3297" t="s">
        <v>9689</v>
      </c>
      <c r="E3702" s="3298" t="s">
        <v>9690</v>
      </c>
      <c r="F3702" s="3298" t="s">
        <v>2321</v>
      </c>
      <c r="G3702" s="3278">
        <v>3556.685</v>
      </c>
      <c r="H3702" s="3299">
        <v>0</v>
      </c>
      <c r="I3702" s="3278">
        <v>0</v>
      </c>
    </row>
    <row r="3703" ht="12.75" customHeight="1" spans="2:9">
      <c r="B3703" s="3274">
        <v>53</v>
      </c>
      <c r="D3703" s="3297" t="s">
        <v>9691</v>
      </c>
      <c r="E3703" s="3298" t="s">
        <v>9692</v>
      </c>
      <c r="F3703" s="3298" t="s">
        <v>3056</v>
      </c>
      <c r="G3703" s="3278">
        <v>965.536</v>
      </c>
      <c r="H3703" s="3299">
        <v>6100</v>
      </c>
      <c r="I3703" s="3278">
        <v>5889769.6</v>
      </c>
    </row>
    <row r="3704" ht="12.75" customHeight="1" spans="2:9">
      <c r="B3704" s="3274">
        <v>54</v>
      </c>
      <c r="D3704" s="3297" t="s">
        <v>9693</v>
      </c>
      <c r="E3704" s="3298" t="s">
        <v>9694</v>
      </c>
      <c r="F3704" s="3298" t="s">
        <v>3056</v>
      </c>
      <c r="G3704" s="3278">
        <v>112.9882</v>
      </c>
      <c r="H3704" s="3299">
        <v>0</v>
      </c>
      <c r="I3704" s="3278">
        <v>0</v>
      </c>
    </row>
    <row r="3705" ht="12.75" customHeight="1" spans="2:9">
      <c r="B3705" s="3274">
        <v>55</v>
      </c>
      <c r="D3705" s="3297" t="s">
        <v>9695</v>
      </c>
      <c r="E3705" s="3298" t="s">
        <v>9696</v>
      </c>
      <c r="F3705" s="3298" t="s">
        <v>3056</v>
      </c>
      <c r="G3705" s="3278">
        <v>91.003</v>
      </c>
      <c r="H3705" s="3299">
        <v>5700</v>
      </c>
      <c r="I3705" s="3278">
        <v>518717.1</v>
      </c>
    </row>
    <row r="3706" ht="12.75" customHeight="1" spans="2:9">
      <c r="B3706" s="3274">
        <v>56</v>
      </c>
      <c r="D3706" s="3297" t="s">
        <v>9697</v>
      </c>
      <c r="E3706" s="3298" t="s">
        <v>9698</v>
      </c>
      <c r="F3706" s="3298" t="s">
        <v>4351</v>
      </c>
      <c r="G3706" s="3278">
        <v>660.198</v>
      </c>
      <c r="H3706" s="3299">
        <v>800</v>
      </c>
      <c r="I3706" s="3278">
        <v>528158.4</v>
      </c>
    </row>
    <row r="3707" ht="12.75" customHeight="1" spans="2:9">
      <c r="B3707" s="3274">
        <v>57</v>
      </c>
      <c r="D3707" s="3297" t="s">
        <v>9699</v>
      </c>
      <c r="E3707" s="3298" t="s">
        <v>9700</v>
      </c>
      <c r="F3707" s="3298" t="s">
        <v>3042</v>
      </c>
      <c r="G3707" s="3278">
        <v>27500</v>
      </c>
      <c r="H3707" s="3299">
        <v>30</v>
      </c>
      <c r="I3707" s="3278">
        <v>825000</v>
      </c>
    </row>
    <row r="3708" ht="12.75" customHeight="1" spans="2:9">
      <c r="B3708" s="3274">
        <v>58</v>
      </c>
      <c r="D3708" s="3297" t="s">
        <v>9701</v>
      </c>
      <c r="E3708" s="3298" t="s">
        <v>9702</v>
      </c>
      <c r="F3708" s="3298" t="s">
        <v>3056</v>
      </c>
      <c r="G3708" s="3278">
        <v>157.597</v>
      </c>
      <c r="H3708" s="3299">
        <v>0</v>
      </c>
      <c r="I3708" s="3278">
        <v>0</v>
      </c>
    </row>
    <row r="3709" ht="12.75" customHeight="1" spans="2:9">
      <c r="B3709" s="3274">
        <v>59</v>
      </c>
      <c r="D3709" s="3297" t="s">
        <v>9703</v>
      </c>
      <c r="E3709" s="3298" t="s">
        <v>9704</v>
      </c>
      <c r="F3709" s="3298" t="s">
        <v>2367</v>
      </c>
      <c r="G3709" s="3278">
        <v>9452.102</v>
      </c>
      <c r="H3709" s="3299">
        <v>0</v>
      </c>
      <c r="I3709" s="3278">
        <v>0</v>
      </c>
    </row>
    <row r="3710" ht="12.75" customHeight="1" spans="2:9">
      <c r="B3710" s="3274">
        <v>60</v>
      </c>
      <c r="D3710" s="3297" t="s">
        <v>9705</v>
      </c>
      <c r="E3710" s="3298" t="s">
        <v>9706</v>
      </c>
      <c r="F3710" s="3298" t="s">
        <v>4351</v>
      </c>
      <c r="G3710" s="3278">
        <v>929.104</v>
      </c>
      <c r="H3710" s="3299">
        <v>0</v>
      </c>
      <c r="I3710" s="3278">
        <v>0</v>
      </c>
    </row>
    <row r="3711" ht="12.75" customHeight="1" spans="2:9">
      <c r="B3711" s="3274">
        <v>61</v>
      </c>
      <c r="D3711" s="3297" t="s">
        <v>9707</v>
      </c>
      <c r="E3711" s="3298" t="s">
        <v>9708</v>
      </c>
      <c r="F3711" s="3298" t="s">
        <v>4351</v>
      </c>
      <c r="G3711" s="3278">
        <v>809.38</v>
      </c>
      <c r="H3711" s="3299">
        <v>0</v>
      </c>
      <c r="I3711" s="3278">
        <v>0</v>
      </c>
    </row>
    <row r="3712" ht="12.75" customHeight="1" spans="2:9">
      <c r="B3712" s="3274">
        <v>62</v>
      </c>
      <c r="D3712" s="3297" t="s">
        <v>9709</v>
      </c>
      <c r="E3712" s="3298" t="s">
        <v>9710</v>
      </c>
      <c r="F3712" s="3298" t="s">
        <v>3056</v>
      </c>
      <c r="G3712" s="3278">
        <v>521.45</v>
      </c>
      <c r="H3712" s="3299">
        <v>0</v>
      </c>
      <c r="I3712" s="3278">
        <v>0</v>
      </c>
    </row>
    <row r="3713" ht="12.75" customHeight="1" spans="2:9">
      <c r="B3713" s="3274">
        <v>63</v>
      </c>
      <c r="D3713" s="3297" t="s">
        <v>9711</v>
      </c>
      <c r="E3713" s="3298" t="s">
        <v>9712</v>
      </c>
      <c r="F3713" s="3298" t="s">
        <v>3056</v>
      </c>
      <c r="G3713" s="3278">
        <v>816.5801</v>
      </c>
      <c r="H3713" s="3299">
        <v>0</v>
      </c>
      <c r="I3713" s="3278">
        <v>0</v>
      </c>
    </row>
    <row r="3714" ht="12.75" customHeight="1" spans="2:9">
      <c r="B3714" s="3274">
        <v>64</v>
      </c>
      <c r="D3714" s="3297" t="s">
        <v>9713</v>
      </c>
      <c r="E3714" s="3298" t="s">
        <v>9714</v>
      </c>
      <c r="F3714" s="3298" t="s">
        <v>3042</v>
      </c>
      <c r="G3714" s="3278">
        <v>37400</v>
      </c>
      <c r="H3714" s="3299">
        <v>60</v>
      </c>
      <c r="I3714" s="3278">
        <v>2244000</v>
      </c>
    </row>
    <row r="3715" ht="12.75" customHeight="1" spans="2:9">
      <c r="B3715" s="3274">
        <v>65</v>
      </c>
      <c r="D3715" s="3297" t="s">
        <v>9715</v>
      </c>
      <c r="E3715" s="3298" t="s">
        <v>9716</v>
      </c>
      <c r="F3715" s="3298" t="s">
        <v>2367</v>
      </c>
      <c r="G3715" s="3278">
        <v>18720.0191</v>
      </c>
      <c r="H3715" s="3299">
        <v>0</v>
      </c>
      <c r="I3715" s="3278">
        <v>0</v>
      </c>
    </row>
    <row r="3716" ht="12.75" customHeight="1" spans="2:9">
      <c r="B3716" s="3274">
        <v>66</v>
      </c>
      <c r="D3716" s="3297" t="s">
        <v>9717</v>
      </c>
      <c r="E3716" s="3298" t="s">
        <v>9718</v>
      </c>
      <c r="F3716" s="3298" t="s">
        <v>3423</v>
      </c>
      <c r="G3716" s="3278">
        <v>155925</v>
      </c>
      <c r="H3716" s="3299">
        <v>0</v>
      </c>
      <c r="I3716" s="3278">
        <v>0</v>
      </c>
    </row>
    <row r="3717" ht="12.75" customHeight="1" spans="2:9">
      <c r="B3717" s="3274">
        <v>67</v>
      </c>
      <c r="D3717" s="3297" t="s">
        <v>9719</v>
      </c>
      <c r="E3717" s="3298" t="s">
        <v>9720</v>
      </c>
      <c r="F3717" s="3298" t="s">
        <v>3056</v>
      </c>
      <c r="G3717" s="3278">
        <v>2072.4</v>
      </c>
      <c r="H3717" s="3299">
        <v>0</v>
      </c>
      <c r="I3717" s="3278">
        <v>0</v>
      </c>
    </row>
    <row r="3718" ht="12.75" customHeight="1" spans="2:9">
      <c r="B3718" s="3274">
        <v>68</v>
      </c>
      <c r="D3718" s="3297" t="s">
        <v>9721</v>
      </c>
      <c r="E3718" s="3298" t="s">
        <v>9722</v>
      </c>
      <c r="F3718" s="3298" t="s">
        <v>3056</v>
      </c>
      <c r="G3718" s="3278">
        <v>144.991</v>
      </c>
      <c r="H3718" s="3299">
        <v>0</v>
      </c>
      <c r="I3718" s="3278">
        <v>0</v>
      </c>
    </row>
    <row r="3719" ht="12.75" customHeight="1" spans="2:9">
      <c r="B3719" s="3274">
        <v>69</v>
      </c>
      <c r="D3719" s="3297" t="s">
        <v>9723</v>
      </c>
      <c r="E3719" s="3298" t="s">
        <v>9724</v>
      </c>
      <c r="F3719" s="3298" t="s">
        <v>3056</v>
      </c>
      <c r="G3719" s="3278">
        <v>133.32</v>
      </c>
      <c r="H3719" s="3299">
        <v>2200</v>
      </c>
      <c r="I3719" s="3278">
        <v>293304</v>
      </c>
    </row>
    <row r="3720" ht="12.75" customHeight="1" spans="2:9">
      <c r="B3720" s="3274">
        <v>70</v>
      </c>
      <c r="D3720" s="3297" t="s">
        <v>9725</v>
      </c>
      <c r="E3720" s="3298" t="s">
        <v>9726</v>
      </c>
      <c r="F3720" s="3298" t="s">
        <v>4351</v>
      </c>
      <c r="G3720" s="3278">
        <v>404.8</v>
      </c>
      <c r="H3720" s="3299">
        <v>2400</v>
      </c>
      <c r="I3720" s="3278">
        <v>971520</v>
      </c>
    </row>
    <row r="3721" ht="12.75" customHeight="1" spans="2:9">
      <c r="B3721" s="3274">
        <v>71</v>
      </c>
      <c r="D3721" s="3297" t="s">
        <v>9727</v>
      </c>
      <c r="E3721" s="3298" t="s">
        <v>9728</v>
      </c>
      <c r="F3721" s="3298" t="s">
        <v>2367</v>
      </c>
      <c r="G3721" s="3278">
        <v>5060</v>
      </c>
      <c r="H3721" s="3299">
        <v>0</v>
      </c>
      <c r="I3721" s="3278">
        <v>0</v>
      </c>
    </row>
    <row r="3722" ht="12.75" customHeight="1" spans="2:9">
      <c r="B3722" s="3274">
        <v>72</v>
      </c>
      <c r="D3722" s="3297" t="s">
        <v>9729</v>
      </c>
      <c r="E3722" s="3298" t="s">
        <v>9730</v>
      </c>
      <c r="F3722" s="3298" t="s">
        <v>2637</v>
      </c>
      <c r="G3722" s="3278">
        <v>3468.355</v>
      </c>
      <c r="H3722" s="3299">
        <v>348</v>
      </c>
      <c r="I3722" s="3278">
        <v>1206987.54</v>
      </c>
    </row>
    <row r="3723" ht="12.75" customHeight="1" spans="2:9">
      <c r="B3723" s="3274">
        <v>73</v>
      </c>
      <c r="D3723" s="3297" t="s">
        <v>9731</v>
      </c>
      <c r="E3723" s="3298" t="s">
        <v>9732</v>
      </c>
      <c r="F3723" s="3298" t="s">
        <v>2367</v>
      </c>
      <c r="G3723" s="3278">
        <v>152.735</v>
      </c>
      <c r="H3723" s="3299">
        <v>4300</v>
      </c>
      <c r="I3723" s="3278">
        <v>656760.5</v>
      </c>
    </row>
    <row r="3724" ht="12.75" customHeight="1" spans="2:9">
      <c r="B3724" s="3274">
        <v>74</v>
      </c>
      <c r="D3724" s="3297" t="s">
        <v>9733</v>
      </c>
      <c r="E3724" s="3298" t="s">
        <v>9734</v>
      </c>
      <c r="F3724" s="3298" t="s">
        <v>3056</v>
      </c>
      <c r="G3724" s="3278">
        <v>760.078</v>
      </c>
      <c r="H3724" s="3299">
        <v>5100</v>
      </c>
      <c r="I3724" s="3278">
        <v>3876397.8</v>
      </c>
    </row>
    <row r="3725" ht="12.75" customHeight="1" spans="2:9">
      <c r="B3725" s="3274">
        <v>75</v>
      </c>
      <c r="D3725" s="3297" t="s">
        <v>9735</v>
      </c>
      <c r="E3725" s="3298" t="s">
        <v>9736</v>
      </c>
      <c r="F3725" s="3298" t="s">
        <v>2321</v>
      </c>
      <c r="G3725" s="3278">
        <v>49999.994</v>
      </c>
      <c r="H3725" s="3299">
        <v>0</v>
      </c>
      <c r="I3725" s="3278">
        <v>0</v>
      </c>
    </row>
    <row r="3726" ht="12.75" customHeight="1" spans="2:9">
      <c r="B3726" s="3274">
        <v>76</v>
      </c>
      <c r="D3726" s="3297" t="s">
        <v>9737</v>
      </c>
      <c r="E3726" s="3298" t="s">
        <v>9738</v>
      </c>
      <c r="F3726" s="3298" t="s">
        <v>3056</v>
      </c>
      <c r="G3726" s="3278">
        <v>1155</v>
      </c>
      <c r="H3726" s="3299">
        <v>0</v>
      </c>
      <c r="I3726" s="3278">
        <v>0</v>
      </c>
    </row>
    <row r="3727" ht="12.75" customHeight="1" spans="2:9">
      <c r="B3727" s="3274">
        <v>77</v>
      </c>
      <c r="D3727" s="3297" t="s">
        <v>9739</v>
      </c>
      <c r="E3727" s="3298" t="s">
        <v>9740</v>
      </c>
      <c r="F3727" s="3298" t="s">
        <v>3056</v>
      </c>
      <c r="G3727" s="3278">
        <v>127.996</v>
      </c>
      <c r="H3727" s="3299">
        <v>0</v>
      </c>
      <c r="I3727" s="3278">
        <v>0</v>
      </c>
    </row>
    <row r="3728" ht="12.75" customHeight="1" spans="2:9">
      <c r="B3728" s="3274">
        <v>78</v>
      </c>
      <c r="D3728" s="3297" t="s">
        <v>9741</v>
      </c>
      <c r="E3728" s="3298" t="s">
        <v>9742</v>
      </c>
      <c r="F3728" s="3298" t="s">
        <v>2637</v>
      </c>
      <c r="G3728" s="3278">
        <v>4891.084</v>
      </c>
      <c r="H3728" s="3299">
        <v>0</v>
      </c>
      <c r="I3728" s="3278">
        <v>0</v>
      </c>
    </row>
    <row r="3729" ht="12.75" customHeight="1" spans="2:9">
      <c r="B3729" s="3274">
        <v>79</v>
      </c>
      <c r="D3729" s="3297" t="s">
        <v>9743</v>
      </c>
      <c r="E3729" s="3298" t="s">
        <v>9744</v>
      </c>
      <c r="F3729" s="3298" t="s">
        <v>2367</v>
      </c>
      <c r="G3729" s="3278">
        <v>207.9</v>
      </c>
      <c r="H3729" s="3299">
        <v>0</v>
      </c>
      <c r="I3729" s="3278">
        <v>0</v>
      </c>
    </row>
    <row r="3730" ht="12.75" customHeight="1" spans="2:9">
      <c r="B3730" s="3274">
        <v>80</v>
      </c>
      <c r="D3730" s="3297" t="s">
        <v>9745</v>
      </c>
      <c r="E3730" s="3298" t="s">
        <v>9746</v>
      </c>
      <c r="F3730" s="3298" t="s">
        <v>3056</v>
      </c>
      <c r="G3730" s="3278">
        <v>142.56</v>
      </c>
      <c r="H3730" s="3299">
        <v>3100</v>
      </c>
      <c r="I3730" s="3278">
        <v>441936</v>
      </c>
    </row>
    <row r="3731" ht="12.75" customHeight="1" spans="2:9">
      <c r="B3731" s="3274">
        <v>81</v>
      </c>
      <c r="D3731" s="3297" t="s">
        <v>9747</v>
      </c>
      <c r="E3731" s="3298" t="s">
        <v>9748</v>
      </c>
      <c r="F3731" s="3298" t="s">
        <v>3056</v>
      </c>
      <c r="G3731" s="3278">
        <v>190.3</v>
      </c>
      <c r="H3731" s="3299">
        <v>1700</v>
      </c>
      <c r="I3731" s="3278">
        <v>323510</v>
      </c>
    </row>
    <row r="3732" ht="12.75" customHeight="1" spans="2:9">
      <c r="B3732" s="3274">
        <v>82</v>
      </c>
      <c r="D3732" s="3297" t="s">
        <v>9749</v>
      </c>
      <c r="E3732" s="3298" t="s">
        <v>9750</v>
      </c>
      <c r="F3732" s="3298" t="s">
        <v>3056</v>
      </c>
      <c r="G3732" s="3278">
        <v>165</v>
      </c>
      <c r="H3732" s="3299">
        <v>2800</v>
      </c>
      <c r="I3732" s="3278">
        <v>462000</v>
      </c>
    </row>
    <row r="3733" ht="12.75" customHeight="1" spans="2:9">
      <c r="B3733" s="3274">
        <v>83</v>
      </c>
      <c r="D3733" s="3297" t="s">
        <v>9751</v>
      </c>
      <c r="E3733" s="3298" t="s">
        <v>9752</v>
      </c>
      <c r="F3733" s="3298" t="s">
        <v>4351</v>
      </c>
      <c r="G3733" s="3278">
        <v>4400</v>
      </c>
      <c r="H3733" s="3299">
        <v>630</v>
      </c>
      <c r="I3733" s="3278">
        <v>2772000</v>
      </c>
    </row>
    <row r="3734" ht="12.75" customHeight="1" spans="2:9">
      <c r="B3734" s="3274">
        <v>84</v>
      </c>
      <c r="D3734" s="3297" t="s">
        <v>9753</v>
      </c>
      <c r="E3734" s="3298" t="s">
        <v>9754</v>
      </c>
      <c r="F3734" s="3298" t="s">
        <v>3056</v>
      </c>
      <c r="G3734" s="3278">
        <v>390.83</v>
      </c>
      <c r="H3734" s="3299">
        <v>0</v>
      </c>
      <c r="I3734" s="3278">
        <v>0</v>
      </c>
    </row>
    <row r="3735" ht="12.75" customHeight="1" spans="2:9">
      <c r="B3735" s="3274">
        <v>85</v>
      </c>
      <c r="D3735" s="3297" t="s">
        <v>9755</v>
      </c>
      <c r="E3735" s="3298" t="s">
        <v>9756</v>
      </c>
      <c r="F3735" s="3298" t="s">
        <v>2637</v>
      </c>
      <c r="G3735" s="3278">
        <v>13200</v>
      </c>
      <c r="H3735" s="3299">
        <v>0</v>
      </c>
      <c r="I3735" s="3278">
        <v>0</v>
      </c>
    </row>
    <row r="3736" ht="12.75" customHeight="1" spans="2:9">
      <c r="B3736" s="3274">
        <v>86</v>
      </c>
      <c r="D3736" s="3297" t="s">
        <v>9757</v>
      </c>
      <c r="E3736" s="3298" t="s">
        <v>9758</v>
      </c>
      <c r="F3736" s="3298" t="s">
        <v>3056</v>
      </c>
      <c r="G3736" s="3278">
        <v>389.4924</v>
      </c>
      <c r="H3736" s="3299">
        <v>0</v>
      </c>
      <c r="I3736" s="3278">
        <v>0</v>
      </c>
    </row>
    <row r="3737" ht="12.75" customHeight="1" spans="2:9">
      <c r="B3737" s="3274">
        <v>87</v>
      </c>
      <c r="D3737" s="3297" t="s">
        <v>9759</v>
      </c>
      <c r="E3737" s="3298" t="s">
        <v>9760</v>
      </c>
      <c r="F3737" s="3298" t="s">
        <v>2367</v>
      </c>
      <c r="G3737" s="3278">
        <v>7700</v>
      </c>
      <c r="H3737" s="3299">
        <v>0</v>
      </c>
      <c r="I3737" s="3278">
        <v>0</v>
      </c>
    </row>
    <row r="3738" ht="12.75" customHeight="1" spans="2:9">
      <c r="B3738" s="3274">
        <v>88</v>
      </c>
      <c r="D3738" s="3297" t="s">
        <v>9761</v>
      </c>
      <c r="E3738" s="3298" t="s">
        <v>9762</v>
      </c>
      <c r="F3738" s="3298" t="s">
        <v>3056</v>
      </c>
      <c r="G3738" s="3278">
        <v>1349.997</v>
      </c>
      <c r="H3738" s="3299">
        <v>0</v>
      </c>
      <c r="I3738" s="3278">
        <v>0</v>
      </c>
    </row>
    <row r="3739" ht="12.75" customHeight="1" spans="2:9">
      <c r="B3739" s="3274">
        <v>89</v>
      </c>
      <c r="D3739" s="3297" t="s">
        <v>9763</v>
      </c>
      <c r="E3739" s="3298" t="s">
        <v>9764</v>
      </c>
      <c r="F3739" s="3298" t="s">
        <v>3056</v>
      </c>
      <c r="G3739" s="3278">
        <v>5170</v>
      </c>
      <c r="H3739" s="3299">
        <v>0</v>
      </c>
      <c r="I3739" s="3278">
        <v>0</v>
      </c>
    </row>
    <row r="3740" ht="12.75" customHeight="1" spans="2:9">
      <c r="B3740" s="3274">
        <v>90</v>
      </c>
      <c r="D3740" s="3297" t="s">
        <v>9765</v>
      </c>
      <c r="E3740" s="3298" t="s">
        <v>9766</v>
      </c>
      <c r="F3740" s="3298" t="s">
        <v>3042</v>
      </c>
      <c r="G3740" s="3278">
        <v>8999.9798</v>
      </c>
      <c r="H3740" s="3299">
        <v>0</v>
      </c>
      <c r="I3740" s="3278">
        <v>0</v>
      </c>
    </row>
    <row r="3741" ht="12.75" customHeight="1" spans="2:9">
      <c r="B3741" s="3274">
        <v>91</v>
      </c>
      <c r="D3741" s="3297" t="s">
        <v>9767</v>
      </c>
      <c r="E3741" s="3298" t="s">
        <v>9768</v>
      </c>
      <c r="F3741" s="3298" t="s">
        <v>3042</v>
      </c>
      <c r="G3741" s="3278">
        <v>14025</v>
      </c>
      <c r="H3741" s="3299">
        <v>1030</v>
      </c>
      <c r="I3741" s="3278">
        <v>14445750</v>
      </c>
    </row>
    <row r="3742" ht="12.75" customHeight="1" spans="2:9">
      <c r="B3742" s="3274">
        <v>92</v>
      </c>
      <c r="D3742" s="3297" t="s">
        <v>9769</v>
      </c>
      <c r="E3742" s="3298" t="s">
        <v>9770</v>
      </c>
      <c r="F3742" s="3298" t="s">
        <v>4351</v>
      </c>
      <c r="G3742" s="3278">
        <v>1349.975</v>
      </c>
      <c r="H3742" s="3299">
        <v>0</v>
      </c>
      <c r="I3742" s="3278">
        <v>0</v>
      </c>
    </row>
    <row r="3743" ht="12.75" customHeight="1" spans="2:9">
      <c r="B3743" s="3274">
        <v>93</v>
      </c>
      <c r="D3743" s="3297" t="s">
        <v>9771</v>
      </c>
      <c r="E3743" s="3298" t="s">
        <v>9772</v>
      </c>
      <c r="F3743" s="3298" t="s">
        <v>2321</v>
      </c>
      <c r="G3743" s="3278">
        <v>52250</v>
      </c>
      <c r="H3743" s="3299">
        <v>204</v>
      </c>
      <c r="I3743" s="3278">
        <v>10659000</v>
      </c>
    </row>
    <row r="3744" ht="12.75" customHeight="1" spans="2:9">
      <c r="B3744" s="3274">
        <v>94</v>
      </c>
      <c r="D3744" s="3297" t="s">
        <v>9773</v>
      </c>
      <c r="E3744" s="3298" t="s">
        <v>9774</v>
      </c>
      <c r="F3744" s="3298" t="s">
        <v>3056</v>
      </c>
      <c r="G3744" s="3278">
        <v>1581</v>
      </c>
      <c r="H3744" s="3299">
        <v>0</v>
      </c>
      <c r="I3744" s="3278">
        <v>0</v>
      </c>
    </row>
    <row r="3745" ht="12.75" customHeight="1" spans="2:9">
      <c r="B3745" s="3274">
        <v>95</v>
      </c>
      <c r="D3745" s="3297" t="s">
        <v>9775</v>
      </c>
      <c r="E3745" s="3298" t="s">
        <v>9776</v>
      </c>
      <c r="F3745" s="3298" t="s">
        <v>3042</v>
      </c>
      <c r="G3745" s="3278">
        <v>1144</v>
      </c>
      <c r="H3745" s="3299">
        <v>200</v>
      </c>
      <c r="I3745" s="3278">
        <v>228800</v>
      </c>
    </row>
    <row r="3746" ht="12.75" customHeight="1" spans="2:9">
      <c r="B3746" s="3274">
        <v>96</v>
      </c>
      <c r="D3746" s="3297" t="s">
        <v>9777</v>
      </c>
      <c r="E3746" s="3298" t="s">
        <v>9778</v>
      </c>
      <c r="F3746" s="3298" t="s">
        <v>4351</v>
      </c>
      <c r="G3746" s="3278">
        <v>2398</v>
      </c>
      <c r="H3746" s="3299">
        <v>0</v>
      </c>
      <c r="I3746" s="3278">
        <v>0</v>
      </c>
    </row>
    <row r="3747" ht="12.75" customHeight="1" spans="2:9">
      <c r="B3747" s="3274">
        <v>97</v>
      </c>
      <c r="D3747" s="3297" t="s">
        <v>9779</v>
      </c>
      <c r="E3747" s="3298" t="s">
        <v>9780</v>
      </c>
      <c r="F3747" s="3298" t="s">
        <v>3056</v>
      </c>
      <c r="G3747" s="3278">
        <v>324.4313</v>
      </c>
      <c r="H3747" s="3299">
        <v>0</v>
      </c>
      <c r="I3747" s="3278">
        <v>0</v>
      </c>
    </row>
    <row r="3748" ht="12.75" customHeight="1" spans="2:9">
      <c r="B3748" s="3274">
        <v>98</v>
      </c>
      <c r="D3748" s="3297" t="s">
        <v>9781</v>
      </c>
      <c r="E3748" s="3298" t="s">
        <v>9782</v>
      </c>
      <c r="F3748" s="3298" t="s">
        <v>4351</v>
      </c>
      <c r="G3748" s="3278">
        <v>880</v>
      </c>
      <c r="H3748" s="3299">
        <v>1200</v>
      </c>
      <c r="I3748" s="3278">
        <v>1056000</v>
      </c>
    </row>
    <row r="3749" ht="12.75" customHeight="1" spans="2:9">
      <c r="B3749" s="3274">
        <v>99</v>
      </c>
      <c r="D3749" s="3297" t="s">
        <v>9783</v>
      </c>
      <c r="E3749" s="3298" t="s">
        <v>9784</v>
      </c>
      <c r="F3749" s="3298" t="s">
        <v>3056</v>
      </c>
      <c r="G3749" s="3278">
        <v>354.42</v>
      </c>
      <c r="H3749" s="3299">
        <v>3000</v>
      </c>
      <c r="I3749" s="3278">
        <v>1063260</v>
      </c>
    </row>
    <row r="3750" ht="12.75" customHeight="1" spans="2:9">
      <c r="B3750" s="3274">
        <v>100</v>
      </c>
      <c r="D3750" s="3297" t="s">
        <v>9785</v>
      </c>
      <c r="E3750" s="3298" t="s">
        <v>9786</v>
      </c>
      <c r="F3750" s="3298" t="s">
        <v>3042</v>
      </c>
      <c r="G3750" s="3278">
        <v>132000</v>
      </c>
      <c r="H3750" s="3299">
        <v>0</v>
      </c>
      <c r="I3750" s="3278">
        <v>0</v>
      </c>
    </row>
    <row r="3751" ht="12.75" customHeight="1" spans="2:9">
      <c r="B3751" s="3274">
        <v>101</v>
      </c>
      <c r="D3751" s="3297" t="s">
        <v>9787</v>
      </c>
      <c r="E3751" s="3298" t="s">
        <v>9788</v>
      </c>
      <c r="F3751" s="3298" t="s">
        <v>2321</v>
      </c>
      <c r="G3751" s="3278">
        <v>2310</v>
      </c>
      <c r="H3751" s="3299">
        <v>0</v>
      </c>
      <c r="I3751" s="3278">
        <v>0</v>
      </c>
    </row>
    <row r="3752" ht="12.75" customHeight="1" spans="2:9">
      <c r="B3752" s="3274">
        <v>102</v>
      </c>
      <c r="D3752" s="3297" t="s">
        <v>9789</v>
      </c>
      <c r="E3752" s="3298" t="s">
        <v>9790</v>
      </c>
      <c r="F3752" s="3298" t="s">
        <v>3056</v>
      </c>
      <c r="G3752" s="3278">
        <v>607.75</v>
      </c>
      <c r="H3752" s="3299">
        <v>7200</v>
      </c>
      <c r="I3752" s="3278">
        <v>4375800</v>
      </c>
    </row>
    <row r="3753" ht="12.75" customHeight="1" spans="2:9">
      <c r="B3753" s="3274">
        <v>103</v>
      </c>
      <c r="D3753" s="3297" t="s">
        <v>9791</v>
      </c>
      <c r="E3753" s="3298" t="s">
        <v>9792</v>
      </c>
      <c r="F3753" s="3298" t="s">
        <v>3042</v>
      </c>
      <c r="G3753" s="3278">
        <v>33605</v>
      </c>
      <c r="H3753" s="3299">
        <v>383</v>
      </c>
      <c r="I3753" s="3278">
        <v>12870715</v>
      </c>
    </row>
    <row r="3754" ht="12.75" customHeight="1" spans="2:9">
      <c r="B3754" s="3274">
        <v>104</v>
      </c>
      <c r="D3754" s="3297" t="s">
        <v>9793</v>
      </c>
      <c r="E3754" s="3298" t="s">
        <v>9794</v>
      </c>
      <c r="F3754" s="3298" t="s">
        <v>2367</v>
      </c>
      <c r="G3754" s="3278">
        <v>538.45</v>
      </c>
      <c r="H3754" s="3299">
        <v>0</v>
      </c>
      <c r="I3754" s="3278">
        <v>0</v>
      </c>
    </row>
    <row r="3755" ht="12.75" customHeight="1" spans="2:9">
      <c r="B3755" s="3274">
        <v>105</v>
      </c>
      <c r="D3755" s="3297" t="s">
        <v>9795</v>
      </c>
      <c r="E3755" s="3298" t="s">
        <v>9796</v>
      </c>
      <c r="F3755" s="3298" t="s">
        <v>2321</v>
      </c>
      <c r="G3755" s="3278">
        <v>44000</v>
      </c>
      <c r="H3755" s="3299">
        <v>813</v>
      </c>
      <c r="I3755" s="3278">
        <v>35772000</v>
      </c>
    </row>
    <row r="3756" ht="12.75" customHeight="1" spans="2:9">
      <c r="B3756" s="3274">
        <v>106</v>
      </c>
      <c r="D3756" s="3297" t="s">
        <v>9797</v>
      </c>
      <c r="E3756" s="3298" t="s">
        <v>9798</v>
      </c>
      <c r="F3756" s="3298" t="s">
        <v>2367</v>
      </c>
      <c r="G3756" s="3278">
        <v>447.7</v>
      </c>
      <c r="H3756" s="3299">
        <v>0</v>
      </c>
      <c r="I3756" s="3278">
        <v>0</v>
      </c>
    </row>
    <row r="3757" ht="12.75" customHeight="1" spans="2:9">
      <c r="B3757" s="3274">
        <v>107</v>
      </c>
      <c r="D3757" s="3297" t="s">
        <v>9799</v>
      </c>
      <c r="E3757" s="3298" t="s">
        <v>9800</v>
      </c>
      <c r="F3757" s="3298" t="s">
        <v>2637</v>
      </c>
      <c r="G3757" s="3278">
        <v>2999.7</v>
      </c>
      <c r="H3757" s="3299">
        <v>0</v>
      </c>
      <c r="I3757" s="3278">
        <v>0</v>
      </c>
    </row>
    <row r="3758" ht="12.75" customHeight="1" spans="2:9">
      <c r="B3758" s="3274">
        <v>108</v>
      </c>
      <c r="D3758" s="3297" t="s">
        <v>9801</v>
      </c>
      <c r="E3758" s="3298" t="s">
        <v>9802</v>
      </c>
      <c r="F3758" s="3298" t="s">
        <v>3056</v>
      </c>
      <c r="G3758" s="3278">
        <v>201.212</v>
      </c>
      <c r="H3758" s="3299">
        <v>0</v>
      </c>
      <c r="I3758" s="3278">
        <v>0</v>
      </c>
    </row>
    <row r="3759" ht="12.75" customHeight="1" spans="2:9">
      <c r="B3759" s="3274">
        <v>109</v>
      </c>
      <c r="D3759" s="3297" t="s">
        <v>9803</v>
      </c>
      <c r="E3759" s="3298" t="s">
        <v>9804</v>
      </c>
      <c r="F3759" s="3298" t="s">
        <v>2367</v>
      </c>
      <c r="G3759" s="3278">
        <v>128.997</v>
      </c>
      <c r="H3759" s="3299">
        <v>2000</v>
      </c>
      <c r="I3759" s="3278">
        <v>257994</v>
      </c>
    </row>
    <row r="3760" ht="12.75" customHeight="1" spans="2:9">
      <c r="B3760" s="3274">
        <v>110</v>
      </c>
      <c r="D3760" s="3297" t="s">
        <v>9805</v>
      </c>
      <c r="E3760" s="3298" t="s">
        <v>9806</v>
      </c>
      <c r="F3760" s="3298" t="s">
        <v>3056</v>
      </c>
      <c r="G3760" s="3278">
        <v>750</v>
      </c>
      <c r="H3760" s="3299">
        <v>0</v>
      </c>
      <c r="I3760" s="3278">
        <v>0</v>
      </c>
    </row>
    <row r="3761" ht="12.75" customHeight="1" spans="2:9">
      <c r="B3761" s="3274">
        <v>111</v>
      </c>
      <c r="D3761" s="3297" t="s">
        <v>9807</v>
      </c>
      <c r="E3761" s="3298" t="s">
        <v>9808</v>
      </c>
      <c r="F3761" s="3298" t="s">
        <v>3056</v>
      </c>
      <c r="G3761" s="3278">
        <v>1196</v>
      </c>
      <c r="H3761" s="3299">
        <v>0</v>
      </c>
      <c r="I3761" s="3278">
        <v>0</v>
      </c>
    </row>
    <row r="3762" ht="12.75" customHeight="1" spans="2:9">
      <c r="B3762" s="3274">
        <v>112</v>
      </c>
      <c r="D3762" s="3297" t="s">
        <v>9809</v>
      </c>
      <c r="E3762" s="3298" t="s">
        <v>9810</v>
      </c>
      <c r="F3762" s="3298" t="s">
        <v>4351</v>
      </c>
      <c r="G3762" s="3278">
        <v>555.6</v>
      </c>
      <c r="H3762" s="3299">
        <v>0</v>
      </c>
      <c r="I3762" s="3278">
        <v>0</v>
      </c>
    </row>
    <row r="3763" ht="12.75" customHeight="1" spans="2:9">
      <c r="B3763" s="3274">
        <v>113</v>
      </c>
      <c r="D3763" s="3297" t="s">
        <v>9811</v>
      </c>
      <c r="E3763" s="3298" t="s">
        <v>9812</v>
      </c>
      <c r="F3763" s="3298" t="s">
        <v>3056</v>
      </c>
      <c r="G3763" s="3278">
        <v>1590.6033</v>
      </c>
      <c r="H3763" s="3299">
        <v>1140</v>
      </c>
      <c r="I3763" s="3278">
        <v>1813287.762</v>
      </c>
    </row>
    <row r="3764" ht="12.75" customHeight="1" spans="2:9">
      <c r="B3764" s="3274">
        <v>114</v>
      </c>
      <c r="D3764" s="3297" t="s">
        <v>9813</v>
      </c>
      <c r="E3764" s="3298" t="s">
        <v>9814</v>
      </c>
      <c r="F3764" s="3298" t="s">
        <v>3056</v>
      </c>
      <c r="G3764" s="3278">
        <v>2530</v>
      </c>
      <c r="H3764" s="3299">
        <v>0</v>
      </c>
      <c r="I3764" s="3278">
        <v>0</v>
      </c>
    </row>
    <row r="3765" ht="12.75" customHeight="1" spans="2:9">
      <c r="B3765" s="3274">
        <v>115</v>
      </c>
      <c r="D3765" s="3297" t="s">
        <v>9815</v>
      </c>
      <c r="E3765" s="3298" t="s">
        <v>9816</v>
      </c>
      <c r="F3765" s="3298" t="s">
        <v>3042</v>
      </c>
      <c r="G3765" s="3278">
        <v>8800</v>
      </c>
      <c r="H3765" s="3299">
        <v>0</v>
      </c>
      <c r="I3765" s="3278">
        <v>0</v>
      </c>
    </row>
    <row r="3766" ht="12.75" customHeight="1" spans="2:9">
      <c r="B3766" s="3274">
        <v>116</v>
      </c>
      <c r="D3766" s="3297" t="s">
        <v>9817</v>
      </c>
      <c r="E3766" s="3298" t="s">
        <v>9818</v>
      </c>
      <c r="F3766" s="3298" t="s">
        <v>3042</v>
      </c>
      <c r="G3766" s="3278">
        <v>5500</v>
      </c>
      <c r="H3766" s="3299">
        <v>4080</v>
      </c>
      <c r="I3766" s="3278">
        <v>22440000</v>
      </c>
    </row>
    <row r="3767" ht="12.75" customHeight="1" spans="2:9">
      <c r="B3767" s="3274">
        <v>117</v>
      </c>
      <c r="D3767" s="3297" t="s">
        <v>9819</v>
      </c>
      <c r="E3767" s="3298" t="s">
        <v>9820</v>
      </c>
      <c r="F3767" s="3298" t="s">
        <v>5070</v>
      </c>
      <c r="G3767" s="3278">
        <v>916.3</v>
      </c>
      <c r="H3767" s="3299">
        <v>0</v>
      </c>
      <c r="I3767" s="3278">
        <v>0</v>
      </c>
    </row>
    <row r="3768" ht="12.75" customHeight="1" spans="2:9">
      <c r="B3768" s="3274">
        <v>118</v>
      </c>
      <c r="D3768" s="3297" t="s">
        <v>9821</v>
      </c>
      <c r="E3768" s="3298" t="s">
        <v>9822</v>
      </c>
      <c r="F3768" s="3298" t="s">
        <v>2321</v>
      </c>
      <c r="G3768" s="3278">
        <v>3159.2</v>
      </c>
      <c r="H3768" s="3299">
        <v>18</v>
      </c>
      <c r="I3768" s="3278">
        <v>56865.6</v>
      </c>
    </row>
    <row r="3769" ht="12.75" customHeight="1" spans="2:9">
      <c r="B3769" s="3274">
        <v>119</v>
      </c>
      <c r="D3769" s="3297" t="s">
        <v>9823</v>
      </c>
      <c r="E3769" s="3298" t="s">
        <v>9824</v>
      </c>
      <c r="F3769" s="3298" t="s">
        <v>3056</v>
      </c>
      <c r="G3769" s="3278">
        <v>279.7616</v>
      </c>
      <c r="H3769" s="3299">
        <v>0</v>
      </c>
      <c r="I3769" s="3278">
        <v>0</v>
      </c>
    </row>
    <row r="3770" ht="12.75" customHeight="1" spans="2:9">
      <c r="B3770" s="3274">
        <v>120</v>
      </c>
      <c r="D3770" s="3297" t="s">
        <v>9825</v>
      </c>
      <c r="E3770" s="3298" t="s">
        <v>9826</v>
      </c>
      <c r="F3770" s="3298" t="s">
        <v>4370</v>
      </c>
      <c r="G3770" s="3278">
        <v>49.5</v>
      </c>
      <c r="H3770" s="3299">
        <v>0</v>
      </c>
      <c r="I3770" s="3278">
        <v>0</v>
      </c>
    </row>
    <row r="3771" ht="12.75" customHeight="1" spans="2:9">
      <c r="B3771" s="3274">
        <v>121</v>
      </c>
      <c r="D3771" s="3297" t="s">
        <v>9827</v>
      </c>
      <c r="E3771" s="3298" t="s">
        <v>9828</v>
      </c>
      <c r="F3771" s="3298" t="s">
        <v>3056</v>
      </c>
      <c r="G3771" s="3278">
        <v>1292.302</v>
      </c>
      <c r="H3771" s="3299">
        <v>0</v>
      </c>
      <c r="I3771" s="3278">
        <v>0</v>
      </c>
    </row>
    <row r="3772" ht="12.75" customHeight="1" spans="2:9">
      <c r="B3772" s="3274">
        <v>122</v>
      </c>
      <c r="D3772" s="3297" t="s">
        <v>9829</v>
      </c>
      <c r="E3772" s="3298" t="s">
        <v>9830</v>
      </c>
      <c r="F3772" s="3298" t="s">
        <v>2321</v>
      </c>
      <c r="G3772" s="3278">
        <v>77000</v>
      </c>
      <c r="H3772" s="3299">
        <v>0</v>
      </c>
      <c r="I3772" s="3278">
        <v>0</v>
      </c>
    </row>
    <row r="3773" ht="12.75" customHeight="1" spans="2:9">
      <c r="B3773" s="3274">
        <v>123</v>
      </c>
      <c r="D3773" s="3297" t="s">
        <v>9831</v>
      </c>
      <c r="E3773" s="3298" t="s">
        <v>9832</v>
      </c>
      <c r="F3773" s="3298" t="s">
        <v>3056</v>
      </c>
      <c r="G3773" s="3278">
        <v>897.6</v>
      </c>
      <c r="H3773" s="3299">
        <v>200</v>
      </c>
      <c r="I3773" s="3278">
        <v>179520</v>
      </c>
    </row>
    <row r="3774" ht="12.75" customHeight="1" spans="2:9">
      <c r="B3774" s="3274">
        <v>124</v>
      </c>
      <c r="D3774" s="3297" t="s">
        <v>9833</v>
      </c>
      <c r="E3774" s="3298" t="s">
        <v>9834</v>
      </c>
      <c r="F3774" s="3298" t="s">
        <v>2367</v>
      </c>
      <c r="G3774" s="3278">
        <v>104.995</v>
      </c>
      <c r="H3774" s="3299">
        <v>0</v>
      </c>
      <c r="I3774" s="3278">
        <v>0</v>
      </c>
    </row>
    <row r="3775" ht="12.75" customHeight="1" spans="2:9">
      <c r="B3775" s="3274">
        <v>125</v>
      </c>
      <c r="D3775" s="3297" t="s">
        <v>9835</v>
      </c>
      <c r="E3775" s="3298" t="s">
        <v>9836</v>
      </c>
      <c r="F3775" s="3298" t="s">
        <v>4351</v>
      </c>
      <c r="G3775" s="3278">
        <v>97.02</v>
      </c>
      <c r="H3775" s="3299">
        <v>0</v>
      </c>
      <c r="I3775" s="3278">
        <v>0</v>
      </c>
    </row>
    <row r="3776" ht="12.75" customHeight="1" spans="2:9">
      <c r="B3776" s="3274">
        <v>126</v>
      </c>
      <c r="D3776" s="3297" t="s">
        <v>9837</v>
      </c>
      <c r="E3776" s="3298" t="s">
        <v>9838</v>
      </c>
      <c r="F3776" s="3298" t="s">
        <v>3056</v>
      </c>
      <c r="G3776" s="3278">
        <v>226</v>
      </c>
      <c r="H3776" s="3299">
        <v>0</v>
      </c>
      <c r="I3776" s="3278">
        <v>0</v>
      </c>
    </row>
    <row r="3777" ht="12.75" customHeight="1" spans="2:9">
      <c r="B3777" s="3274">
        <v>127</v>
      </c>
      <c r="D3777" s="3297" t="s">
        <v>9839</v>
      </c>
      <c r="E3777" s="3298" t="s">
        <v>9840</v>
      </c>
      <c r="F3777" s="3298" t="s">
        <v>3056</v>
      </c>
      <c r="G3777" s="3278">
        <v>121</v>
      </c>
      <c r="H3777" s="3299">
        <v>0</v>
      </c>
      <c r="I3777" s="3278">
        <v>0</v>
      </c>
    </row>
    <row r="3778" ht="12.75" customHeight="1" spans="2:9">
      <c r="B3778" s="3274">
        <v>128</v>
      </c>
      <c r="D3778" s="3297" t="s">
        <v>9841</v>
      </c>
      <c r="E3778" s="3298" t="s">
        <v>9842</v>
      </c>
      <c r="F3778" s="3298" t="s">
        <v>3056</v>
      </c>
      <c r="G3778" s="3278">
        <v>84.1225</v>
      </c>
      <c r="H3778" s="3299">
        <v>6600</v>
      </c>
      <c r="I3778" s="3278">
        <v>555208.5</v>
      </c>
    </row>
    <row r="3779" ht="12.75" customHeight="1" spans="2:9">
      <c r="B3779" s="3274">
        <v>129</v>
      </c>
      <c r="D3779" s="3297" t="s">
        <v>9843</v>
      </c>
      <c r="E3779" s="3298" t="s">
        <v>9844</v>
      </c>
      <c r="F3779" s="3298" t="s">
        <v>3042</v>
      </c>
      <c r="G3779" s="3278">
        <v>825</v>
      </c>
      <c r="H3779" s="3299">
        <v>0</v>
      </c>
      <c r="I3779" s="3278">
        <v>0</v>
      </c>
    </row>
    <row r="3780" ht="12.75" customHeight="1" spans="2:9">
      <c r="B3780" s="3274">
        <v>130</v>
      </c>
      <c r="D3780" s="3297" t="s">
        <v>9845</v>
      </c>
      <c r="E3780" s="3298" t="s">
        <v>9846</v>
      </c>
      <c r="F3780" s="3298" t="s">
        <v>3056</v>
      </c>
      <c r="G3780" s="3278">
        <v>496.386</v>
      </c>
      <c r="H3780" s="3299">
        <v>1900</v>
      </c>
      <c r="I3780" s="3278">
        <v>943133.4</v>
      </c>
    </row>
    <row r="3781" ht="12.75" customHeight="1" spans="2:9">
      <c r="B3781" s="3274">
        <v>131</v>
      </c>
      <c r="D3781" s="3297" t="s">
        <v>9847</v>
      </c>
      <c r="E3781" s="3298" t="s">
        <v>9848</v>
      </c>
      <c r="F3781" s="3298" t="s">
        <v>2367</v>
      </c>
      <c r="G3781" s="3278">
        <v>322.575</v>
      </c>
      <c r="H3781" s="3299">
        <v>2800</v>
      </c>
      <c r="I3781" s="3278">
        <v>903210</v>
      </c>
    </row>
    <row r="3782" ht="12.75" customHeight="1" spans="2:9">
      <c r="B3782" s="3274">
        <v>132</v>
      </c>
      <c r="D3782" s="3297" t="s">
        <v>9849</v>
      </c>
      <c r="E3782" s="3298" t="s">
        <v>9850</v>
      </c>
      <c r="F3782" s="3298" t="s">
        <v>2367</v>
      </c>
      <c r="G3782" s="3278">
        <v>550</v>
      </c>
      <c r="H3782" s="3299">
        <v>0</v>
      </c>
      <c r="I3782" s="3278">
        <v>0</v>
      </c>
    </row>
    <row r="3783" ht="12.75" customHeight="1" spans="2:9">
      <c r="B3783" s="3274">
        <v>133</v>
      </c>
      <c r="D3783" s="3297" t="s">
        <v>9851</v>
      </c>
      <c r="E3783" s="3298" t="s">
        <v>9852</v>
      </c>
      <c r="F3783" s="3298" t="s">
        <v>3056</v>
      </c>
      <c r="G3783" s="3278">
        <v>884.4</v>
      </c>
      <c r="H3783" s="3299">
        <v>0</v>
      </c>
      <c r="I3783" s="3278">
        <v>0</v>
      </c>
    </row>
    <row r="3784" ht="12.75" customHeight="1" spans="2:9">
      <c r="B3784" s="3274">
        <v>134</v>
      </c>
      <c r="D3784" s="3297" t="s">
        <v>9853</v>
      </c>
      <c r="E3784" s="3298" t="s">
        <v>9854</v>
      </c>
      <c r="F3784" s="3298" t="s">
        <v>2367</v>
      </c>
      <c r="G3784" s="3278">
        <v>1815.528</v>
      </c>
      <c r="H3784" s="3299">
        <v>4400</v>
      </c>
      <c r="I3784" s="3278">
        <v>7988323.2</v>
      </c>
    </row>
    <row r="3785" ht="12.75" customHeight="1" spans="2:9">
      <c r="B3785" s="3274">
        <v>135</v>
      </c>
      <c r="D3785" s="3297" t="s">
        <v>9855</v>
      </c>
      <c r="E3785" s="3298" t="s">
        <v>9856</v>
      </c>
      <c r="F3785" s="3298" t="s">
        <v>2367</v>
      </c>
      <c r="G3785" s="3278">
        <v>1106.996</v>
      </c>
      <c r="H3785" s="3299">
        <v>0</v>
      </c>
      <c r="I3785" s="3278">
        <v>0</v>
      </c>
    </row>
    <row r="3786" ht="12.75" customHeight="1" spans="2:9">
      <c r="B3786" s="3274">
        <v>136</v>
      </c>
      <c r="D3786" s="3297" t="s">
        <v>9857</v>
      </c>
      <c r="E3786" s="3298" t="s">
        <v>9858</v>
      </c>
      <c r="F3786" s="3298" t="s">
        <v>3056</v>
      </c>
      <c r="G3786" s="3278">
        <v>84.029</v>
      </c>
      <c r="H3786" s="3299">
        <v>0</v>
      </c>
      <c r="I3786" s="3278">
        <v>0</v>
      </c>
    </row>
    <row r="3787" ht="12.75" customHeight="1" spans="2:9">
      <c r="B3787" s="3274">
        <v>137</v>
      </c>
      <c r="D3787" s="3297" t="s">
        <v>9859</v>
      </c>
      <c r="E3787" s="3298" t="s">
        <v>9860</v>
      </c>
      <c r="F3787" s="3298" t="s">
        <v>2367</v>
      </c>
      <c r="G3787" s="3278">
        <v>92.8978</v>
      </c>
      <c r="H3787" s="3299">
        <v>2000</v>
      </c>
      <c r="I3787" s="3278">
        <v>185795.6</v>
      </c>
    </row>
    <row r="3788" ht="12.75" customHeight="1" spans="2:9">
      <c r="B3788" s="3274">
        <v>138</v>
      </c>
      <c r="D3788" s="3297" t="s">
        <v>9861</v>
      </c>
      <c r="E3788" s="3298" t="s">
        <v>9862</v>
      </c>
      <c r="F3788" s="3298" t="s">
        <v>3056</v>
      </c>
      <c r="G3788" s="3278">
        <v>429</v>
      </c>
      <c r="H3788" s="3299">
        <v>28600</v>
      </c>
      <c r="I3788" s="3278">
        <v>12269400</v>
      </c>
    </row>
    <row r="3789" ht="12.75" customHeight="1" spans="2:9">
      <c r="B3789" s="3274">
        <v>139</v>
      </c>
      <c r="D3789" s="3297" t="s">
        <v>9863</v>
      </c>
      <c r="E3789" s="3298" t="s">
        <v>9864</v>
      </c>
      <c r="F3789" s="3298" t="s">
        <v>3056</v>
      </c>
      <c r="G3789" s="3278">
        <v>858</v>
      </c>
      <c r="H3789" s="3299">
        <v>18300</v>
      </c>
      <c r="I3789" s="3278">
        <v>15701400</v>
      </c>
    </row>
    <row r="3790" ht="12.75" customHeight="1" spans="2:9">
      <c r="B3790" s="3274">
        <v>140</v>
      </c>
      <c r="D3790" s="3297" t="s">
        <v>9865</v>
      </c>
      <c r="E3790" s="3298" t="s">
        <v>9866</v>
      </c>
      <c r="F3790" s="3298" t="s">
        <v>3056</v>
      </c>
      <c r="G3790" s="3278">
        <v>3630</v>
      </c>
      <c r="H3790" s="3299">
        <v>0</v>
      </c>
      <c r="I3790" s="3278">
        <v>0</v>
      </c>
    </row>
    <row r="3791" ht="12.75" customHeight="1" spans="2:9">
      <c r="B3791" s="3274">
        <v>141</v>
      </c>
      <c r="D3791" s="3297" t="s">
        <v>9867</v>
      </c>
      <c r="E3791" s="3298" t="s">
        <v>9868</v>
      </c>
      <c r="F3791" s="3298" t="s">
        <v>3056</v>
      </c>
      <c r="G3791" s="3278">
        <v>330</v>
      </c>
      <c r="H3791" s="3299">
        <v>0</v>
      </c>
      <c r="I3791" s="3278">
        <v>0</v>
      </c>
    </row>
    <row r="3792" ht="12.75" customHeight="1" spans="2:9">
      <c r="B3792" s="3274">
        <v>142</v>
      </c>
      <c r="D3792" s="3297" t="s">
        <v>9869</v>
      </c>
      <c r="E3792" s="3298" t="s">
        <v>9870</v>
      </c>
      <c r="F3792" s="3298" t="s">
        <v>2367</v>
      </c>
      <c r="G3792" s="3278">
        <v>1320</v>
      </c>
      <c r="H3792" s="3299">
        <v>0</v>
      </c>
      <c r="I3792" s="3278">
        <v>0</v>
      </c>
    </row>
    <row r="3793" ht="12.75" customHeight="1" spans="2:9">
      <c r="B3793" s="3274">
        <v>143</v>
      </c>
      <c r="D3793" s="3297" t="s">
        <v>9871</v>
      </c>
      <c r="E3793" s="3298" t="s">
        <v>9872</v>
      </c>
      <c r="F3793" s="3298" t="s">
        <v>3042</v>
      </c>
      <c r="G3793" s="3278">
        <v>5500</v>
      </c>
      <c r="H3793" s="3299">
        <v>340</v>
      </c>
      <c r="I3793" s="3278">
        <v>1870000</v>
      </c>
    </row>
    <row r="3794" ht="12.75" customHeight="1" spans="2:9">
      <c r="B3794" s="3274">
        <v>144</v>
      </c>
      <c r="D3794" s="3297" t="s">
        <v>9873</v>
      </c>
      <c r="E3794" s="3298" t="s">
        <v>9874</v>
      </c>
      <c r="F3794" s="3298" t="s">
        <v>3056</v>
      </c>
      <c r="G3794" s="3278">
        <v>566.06</v>
      </c>
      <c r="H3794" s="3299">
        <v>750</v>
      </c>
      <c r="I3794" s="3278">
        <v>424545</v>
      </c>
    </row>
    <row r="3795" ht="12.75" customHeight="1" spans="2:9">
      <c r="B3795" s="3274">
        <v>145</v>
      </c>
      <c r="D3795" s="3297" t="s">
        <v>9875</v>
      </c>
      <c r="E3795" s="3298" t="s">
        <v>9876</v>
      </c>
      <c r="F3795" s="3298" t="s">
        <v>2367</v>
      </c>
      <c r="G3795" s="3278">
        <v>41.206</v>
      </c>
      <c r="H3795" s="3299">
        <v>0</v>
      </c>
      <c r="I3795" s="3278">
        <v>0</v>
      </c>
    </row>
    <row r="3796" ht="12.75" customHeight="1" spans="2:9">
      <c r="B3796" s="3274">
        <v>146</v>
      </c>
      <c r="D3796" s="3297" t="s">
        <v>9877</v>
      </c>
      <c r="E3796" s="3298" t="s">
        <v>9878</v>
      </c>
      <c r="F3796" s="3298" t="s">
        <v>2367</v>
      </c>
      <c r="G3796" s="3278">
        <v>566.665</v>
      </c>
      <c r="H3796" s="3299">
        <v>0</v>
      </c>
      <c r="I3796" s="3278">
        <v>0</v>
      </c>
    </row>
    <row r="3797" ht="12.75" customHeight="1" spans="2:9">
      <c r="B3797" s="3274">
        <v>147</v>
      </c>
      <c r="D3797" s="3297" t="s">
        <v>9879</v>
      </c>
      <c r="E3797" s="3298" t="s">
        <v>9880</v>
      </c>
      <c r="F3797" s="3298" t="s">
        <v>2321</v>
      </c>
      <c r="G3797" s="3278">
        <v>270.908</v>
      </c>
      <c r="H3797" s="3299">
        <v>0</v>
      </c>
      <c r="I3797" s="3278">
        <v>0</v>
      </c>
    </row>
    <row r="3798" ht="12.75" customHeight="1" spans="2:9">
      <c r="B3798" s="3274">
        <v>148</v>
      </c>
      <c r="D3798" s="3297" t="s">
        <v>9881</v>
      </c>
      <c r="E3798" s="3298" t="s">
        <v>9882</v>
      </c>
      <c r="F3798" s="3298" t="s">
        <v>3056</v>
      </c>
      <c r="G3798" s="3278">
        <v>473</v>
      </c>
      <c r="H3798" s="3299">
        <v>0</v>
      </c>
      <c r="I3798" s="3278">
        <v>0</v>
      </c>
    </row>
    <row r="3799" ht="12.75" customHeight="1" spans="2:9">
      <c r="B3799" s="3274">
        <v>149</v>
      </c>
      <c r="D3799" s="3297" t="s">
        <v>9883</v>
      </c>
      <c r="E3799" s="3298" t="s">
        <v>9884</v>
      </c>
      <c r="F3799" s="3298" t="s">
        <v>3056</v>
      </c>
      <c r="G3799" s="3278">
        <v>209</v>
      </c>
      <c r="H3799" s="3299">
        <v>1600</v>
      </c>
      <c r="I3799" s="3278">
        <v>334400</v>
      </c>
    </row>
    <row r="3800" ht="12.75" customHeight="1" spans="2:9">
      <c r="B3800" s="3274">
        <v>150</v>
      </c>
      <c r="D3800" s="3297" t="s">
        <v>9885</v>
      </c>
      <c r="E3800" s="3298" t="s">
        <v>9886</v>
      </c>
      <c r="F3800" s="3298" t="s">
        <v>2321</v>
      </c>
      <c r="G3800" s="3278">
        <v>49.401</v>
      </c>
      <c r="H3800" s="3299">
        <v>0</v>
      </c>
      <c r="I3800" s="3278">
        <v>0</v>
      </c>
    </row>
    <row r="3801" ht="12.75" customHeight="1" spans="2:9">
      <c r="B3801" s="3274">
        <v>151</v>
      </c>
      <c r="D3801" s="3297" t="s">
        <v>9887</v>
      </c>
      <c r="E3801" s="3298" t="s">
        <v>9888</v>
      </c>
      <c r="F3801" s="3298" t="s">
        <v>3056</v>
      </c>
      <c r="G3801" s="3278">
        <v>78.155</v>
      </c>
      <c r="H3801" s="3299">
        <v>0</v>
      </c>
      <c r="I3801" s="3278">
        <v>0</v>
      </c>
    </row>
    <row r="3802" ht="12.75" customHeight="1" spans="2:9">
      <c r="B3802" s="3274">
        <v>152</v>
      </c>
      <c r="D3802" s="3297" t="s">
        <v>9889</v>
      </c>
      <c r="E3802" s="3298" t="s">
        <v>9890</v>
      </c>
      <c r="F3802" s="3298" t="s">
        <v>3056</v>
      </c>
      <c r="G3802" s="3278">
        <v>143.99</v>
      </c>
      <c r="H3802" s="3299">
        <v>3200</v>
      </c>
      <c r="I3802" s="3278">
        <v>460768</v>
      </c>
    </row>
    <row r="3803" ht="12.75" customHeight="1" spans="2:9">
      <c r="B3803" s="3274">
        <v>153</v>
      </c>
      <c r="D3803" s="3297" t="s">
        <v>9891</v>
      </c>
      <c r="E3803" s="3298" t="s">
        <v>9892</v>
      </c>
      <c r="F3803" s="3298" t="s">
        <v>3056</v>
      </c>
      <c r="G3803" s="3278">
        <v>148.005</v>
      </c>
      <c r="H3803" s="3299">
        <v>1400</v>
      </c>
      <c r="I3803" s="3278">
        <v>207207</v>
      </c>
    </row>
    <row r="3804" ht="12.75" customHeight="1" spans="2:9">
      <c r="B3804" s="3274">
        <v>154</v>
      </c>
      <c r="D3804" s="3297" t="s">
        <v>9893</v>
      </c>
      <c r="E3804" s="3298" t="s">
        <v>9894</v>
      </c>
      <c r="F3804" s="3298" t="s">
        <v>2367</v>
      </c>
      <c r="G3804" s="3278">
        <v>6413</v>
      </c>
      <c r="H3804" s="3299">
        <v>0</v>
      </c>
      <c r="I3804" s="3278">
        <v>0</v>
      </c>
    </row>
    <row r="3805" ht="12.75" customHeight="1" spans="2:9">
      <c r="B3805" s="3274">
        <v>155</v>
      </c>
      <c r="D3805" s="3297" t="s">
        <v>9895</v>
      </c>
      <c r="E3805" s="3298" t="s">
        <v>9896</v>
      </c>
      <c r="F3805" s="3298" t="s">
        <v>2321</v>
      </c>
      <c r="G3805" s="3278">
        <v>52.866</v>
      </c>
      <c r="H3805" s="3299">
        <v>0</v>
      </c>
      <c r="I3805" s="3278">
        <v>0</v>
      </c>
    </row>
    <row r="3806" ht="12.75" customHeight="1" spans="2:9">
      <c r="B3806" s="3274">
        <v>156</v>
      </c>
      <c r="D3806" s="3297" t="s">
        <v>9897</v>
      </c>
      <c r="E3806" s="3298" t="s">
        <v>9898</v>
      </c>
      <c r="F3806" s="3298" t="s">
        <v>3056</v>
      </c>
      <c r="G3806" s="3278">
        <v>125.84</v>
      </c>
      <c r="H3806" s="3299">
        <v>3000</v>
      </c>
      <c r="I3806" s="3278">
        <v>377520</v>
      </c>
    </row>
    <row r="3807" ht="12.75" customHeight="1" spans="2:9">
      <c r="B3807" s="3274">
        <v>157</v>
      </c>
      <c r="D3807" s="3297" t="s">
        <v>9899</v>
      </c>
      <c r="E3807" s="3298" t="s">
        <v>9900</v>
      </c>
      <c r="F3807" s="3298" t="s">
        <v>3042</v>
      </c>
      <c r="G3807" s="3278">
        <v>7012.5</v>
      </c>
      <c r="H3807" s="3299">
        <v>100</v>
      </c>
      <c r="I3807" s="3278">
        <v>701250</v>
      </c>
    </row>
    <row r="3808" ht="12.75" customHeight="1" spans="2:9">
      <c r="B3808" s="3274">
        <v>158</v>
      </c>
      <c r="D3808" s="3297" t="s">
        <v>9901</v>
      </c>
      <c r="E3808" s="3298" t="s">
        <v>9902</v>
      </c>
      <c r="F3808" s="3298" t="s">
        <v>3042</v>
      </c>
      <c r="G3808" s="3278">
        <v>10574</v>
      </c>
      <c r="H3808" s="3299">
        <v>0</v>
      </c>
      <c r="I3808" s="3278">
        <v>0</v>
      </c>
    </row>
    <row r="3809" ht="12.75" customHeight="1" spans="2:9">
      <c r="B3809" s="3274">
        <v>159</v>
      </c>
      <c r="D3809" s="3297" t="s">
        <v>9903</v>
      </c>
      <c r="E3809" s="3298" t="s">
        <v>9904</v>
      </c>
      <c r="F3809" s="3298" t="s">
        <v>3056</v>
      </c>
      <c r="G3809" s="3278">
        <v>2750</v>
      </c>
      <c r="H3809" s="3299">
        <v>0</v>
      </c>
      <c r="I3809" s="3278">
        <v>0</v>
      </c>
    </row>
    <row r="3810" ht="12.75" customHeight="1" spans="2:9">
      <c r="B3810" s="3274">
        <v>160</v>
      </c>
      <c r="D3810" s="3297" t="s">
        <v>9905</v>
      </c>
      <c r="E3810" s="3298" t="s">
        <v>9906</v>
      </c>
      <c r="F3810" s="3298" t="s">
        <v>3056</v>
      </c>
      <c r="G3810" s="3278">
        <v>825</v>
      </c>
      <c r="H3810" s="3299">
        <v>3100</v>
      </c>
      <c r="I3810" s="3278">
        <v>2557500</v>
      </c>
    </row>
    <row r="3811" ht="12.75" customHeight="1" spans="2:9">
      <c r="B3811" s="3274">
        <v>161</v>
      </c>
      <c r="D3811" s="3297" t="s">
        <v>9907</v>
      </c>
      <c r="E3811" s="3298" t="s">
        <v>9908</v>
      </c>
      <c r="F3811" s="3298" t="s">
        <v>3056</v>
      </c>
      <c r="G3811" s="3278">
        <v>4862</v>
      </c>
      <c r="H3811" s="3299">
        <v>120</v>
      </c>
      <c r="I3811" s="3278">
        <v>583440</v>
      </c>
    </row>
    <row r="3812" ht="12.75" customHeight="1" spans="2:9">
      <c r="B3812" s="3274">
        <v>162</v>
      </c>
      <c r="D3812" s="3297" t="s">
        <v>9909</v>
      </c>
      <c r="E3812" s="3298" t="s">
        <v>9910</v>
      </c>
      <c r="F3812" s="3298" t="s">
        <v>2321</v>
      </c>
      <c r="G3812" s="3278">
        <v>6600</v>
      </c>
      <c r="H3812" s="3299">
        <v>0</v>
      </c>
      <c r="I3812" s="3278">
        <v>0</v>
      </c>
    </row>
    <row r="3813" ht="12.75" customHeight="1" spans="2:9">
      <c r="B3813" s="3274">
        <v>163</v>
      </c>
      <c r="D3813" s="3297" t="s">
        <v>9911</v>
      </c>
      <c r="E3813" s="3298" t="s">
        <v>9912</v>
      </c>
      <c r="F3813" s="3298" t="s">
        <v>3056</v>
      </c>
      <c r="G3813" s="3278">
        <v>1727</v>
      </c>
      <c r="H3813" s="3299">
        <v>0</v>
      </c>
      <c r="I3813" s="3278">
        <v>0</v>
      </c>
    </row>
    <row r="3814" ht="12.75" customHeight="1" spans="2:9">
      <c r="B3814" s="3274">
        <v>164</v>
      </c>
      <c r="D3814" s="3297" t="s">
        <v>9913</v>
      </c>
      <c r="E3814" s="3298" t="s">
        <v>9914</v>
      </c>
      <c r="F3814" s="3298" t="s">
        <v>3056</v>
      </c>
      <c r="G3814" s="3278">
        <v>1980</v>
      </c>
      <c r="H3814" s="3299">
        <v>0</v>
      </c>
      <c r="I3814" s="3278">
        <v>0</v>
      </c>
    </row>
    <row r="3815" ht="12.75" customHeight="1" spans="2:9">
      <c r="B3815" s="3274">
        <v>165</v>
      </c>
      <c r="D3815" s="3297" t="s">
        <v>9915</v>
      </c>
      <c r="E3815" s="3298" t="s">
        <v>9916</v>
      </c>
      <c r="F3815" s="3298" t="s">
        <v>2321</v>
      </c>
      <c r="G3815" s="3278">
        <v>9710.8</v>
      </c>
      <c r="H3815" s="3299">
        <v>0</v>
      </c>
      <c r="I3815" s="3278">
        <v>0</v>
      </c>
    </row>
    <row r="3816" ht="12.75" customHeight="1" spans="2:9">
      <c r="B3816" s="3274">
        <v>166</v>
      </c>
      <c r="D3816" s="3297" t="s">
        <v>9917</v>
      </c>
      <c r="E3816" s="3298" t="s">
        <v>9918</v>
      </c>
      <c r="F3816" s="3298" t="s">
        <v>3056</v>
      </c>
      <c r="G3816" s="3278">
        <v>781.792</v>
      </c>
      <c r="H3816" s="3299">
        <v>3900</v>
      </c>
      <c r="I3816" s="3278">
        <v>3048988.8</v>
      </c>
    </row>
    <row r="3817" ht="12.75" customHeight="1" spans="2:9">
      <c r="B3817" s="3274">
        <v>167</v>
      </c>
      <c r="D3817" s="3297" t="s">
        <v>9919</v>
      </c>
      <c r="E3817" s="3298" t="s">
        <v>9920</v>
      </c>
      <c r="F3817" s="3298" t="s">
        <v>3056</v>
      </c>
      <c r="G3817" s="3278">
        <v>357.5</v>
      </c>
      <c r="H3817" s="3299">
        <v>8400</v>
      </c>
      <c r="I3817" s="3278">
        <v>3003000</v>
      </c>
    </row>
    <row r="3818" ht="12.75" customHeight="1" spans="2:9">
      <c r="B3818" s="3274">
        <v>168</v>
      </c>
      <c r="D3818" s="3297" t="s">
        <v>9921</v>
      </c>
      <c r="E3818" s="3298" t="s">
        <v>9922</v>
      </c>
      <c r="F3818" s="3298" t="s">
        <v>3056</v>
      </c>
      <c r="G3818" s="3278">
        <v>794.75</v>
      </c>
      <c r="H3818" s="3299">
        <v>0</v>
      </c>
      <c r="I3818" s="3278">
        <v>0</v>
      </c>
    </row>
    <row r="3819" ht="12.75" customHeight="1" spans="2:9">
      <c r="B3819" s="3274">
        <v>169</v>
      </c>
      <c r="D3819" s="3297" t="s">
        <v>9923</v>
      </c>
      <c r="E3819" s="3298" t="s">
        <v>9924</v>
      </c>
      <c r="F3819" s="3298" t="s">
        <v>776</v>
      </c>
      <c r="G3819" s="3278">
        <v>183.326</v>
      </c>
      <c r="H3819" s="3299">
        <v>0</v>
      </c>
      <c r="I3819" s="3278">
        <v>0</v>
      </c>
    </row>
    <row r="3820" ht="12.75" customHeight="1" spans="2:9">
      <c r="B3820" s="3274">
        <v>170</v>
      </c>
      <c r="D3820" s="3297" t="s">
        <v>9925</v>
      </c>
      <c r="E3820" s="3298" t="s">
        <v>9926</v>
      </c>
      <c r="F3820" s="3298" t="s">
        <v>3056</v>
      </c>
      <c r="G3820" s="3278">
        <v>889.35</v>
      </c>
      <c r="H3820" s="3299">
        <v>0</v>
      </c>
      <c r="I3820" s="3278">
        <v>0</v>
      </c>
    </row>
    <row r="3821" ht="12.75" customHeight="1" spans="2:9">
      <c r="B3821" s="3274">
        <v>171</v>
      </c>
      <c r="D3821" s="3297" t="s">
        <v>9927</v>
      </c>
      <c r="E3821" s="3298" t="s">
        <v>9928</v>
      </c>
      <c r="F3821" s="3298" t="s">
        <v>3056</v>
      </c>
      <c r="G3821" s="3278">
        <v>1433.85</v>
      </c>
      <c r="H3821" s="3299">
        <v>0</v>
      </c>
      <c r="I3821" s="3278">
        <v>0</v>
      </c>
    </row>
    <row r="3822" ht="12.75" customHeight="1" spans="2:9">
      <c r="B3822" s="3274">
        <v>172</v>
      </c>
      <c r="D3822" s="3297" t="s">
        <v>9929</v>
      </c>
      <c r="E3822" s="3298" t="s">
        <v>9930</v>
      </c>
      <c r="F3822" s="3298" t="s">
        <v>3423</v>
      </c>
      <c r="G3822" s="3278">
        <v>38500</v>
      </c>
      <c r="H3822" s="3299">
        <v>0</v>
      </c>
      <c r="I3822" s="3278">
        <v>0</v>
      </c>
    </row>
    <row r="3823" ht="12.75" customHeight="1" spans="2:9">
      <c r="B3823" s="3274">
        <v>173</v>
      </c>
      <c r="D3823" s="3297" t="s">
        <v>9931</v>
      </c>
      <c r="E3823" s="3298" t="s">
        <v>9932</v>
      </c>
      <c r="F3823" s="3298" t="s">
        <v>2321</v>
      </c>
      <c r="G3823" s="3278">
        <v>46200</v>
      </c>
      <c r="H3823" s="3299">
        <v>0</v>
      </c>
      <c r="I3823" s="3278">
        <v>0</v>
      </c>
    </row>
    <row r="3824" ht="12.75" customHeight="1" spans="2:9">
      <c r="B3824" s="3274">
        <v>174</v>
      </c>
      <c r="D3824" s="3297" t="s">
        <v>9933</v>
      </c>
      <c r="E3824" s="3298" t="s">
        <v>9934</v>
      </c>
      <c r="F3824" s="3298" t="s">
        <v>2321</v>
      </c>
      <c r="G3824" s="3278">
        <v>115500</v>
      </c>
      <c r="H3824" s="3299">
        <v>0</v>
      </c>
      <c r="I3824" s="3278">
        <v>0</v>
      </c>
    </row>
    <row r="3825" ht="12.75" customHeight="1" spans="2:9">
      <c r="B3825" s="3274">
        <v>175</v>
      </c>
      <c r="D3825" s="3297" t="s">
        <v>9935</v>
      </c>
      <c r="E3825" s="3298" t="s">
        <v>9936</v>
      </c>
      <c r="F3825" s="3298" t="s">
        <v>3056</v>
      </c>
      <c r="G3825" s="3278">
        <v>4950</v>
      </c>
      <c r="H3825" s="3299">
        <v>0</v>
      </c>
      <c r="I3825" s="3278">
        <v>0</v>
      </c>
    </row>
    <row r="3826" ht="12.75" customHeight="1" spans="2:9">
      <c r="B3826" s="3274">
        <v>176</v>
      </c>
      <c r="D3826" s="3297" t="s">
        <v>9937</v>
      </c>
      <c r="E3826" s="3298" t="s">
        <v>9938</v>
      </c>
      <c r="F3826" s="3298" t="s">
        <v>3056</v>
      </c>
      <c r="G3826" s="3278">
        <v>613.2473</v>
      </c>
      <c r="H3826" s="3299">
        <v>6480</v>
      </c>
      <c r="I3826" s="3278">
        <v>3973842.504</v>
      </c>
    </row>
    <row r="3827" ht="12.75" customHeight="1" spans="2:9">
      <c r="B3827" s="3274">
        <v>177</v>
      </c>
      <c r="D3827" s="3297" t="s">
        <v>9939</v>
      </c>
      <c r="E3827" s="3298" t="s">
        <v>9940</v>
      </c>
      <c r="F3827" s="3298" t="s">
        <v>3056</v>
      </c>
      <c r="G3827" s="3278">
        <v>1122</v>
      </c>
      <c r="H3827" s="3299">
        <v>0</v>
      </c>
      <c r="I3827" s="3278">
        <v>0</v>
      </c>
    </row>
    <row r="3828" ht="12.75" customHeight="1" spans="2:9">
      <c r="B3828" s="3274">
        <v>178</v>
      </c>
      <c r="D3828" s="3297" t="s">
        <v>9941</v>
      </c>
      <c r="E3828" s="3298" t="s">
        <v>9942</v>
      </c>
      <c r="F3828" s="3298" t="s">
        <v>3056</v>
      </c>
      <c r="G3828" s="3278">
        <v>5076.5</v>
      </c>
      <c r="H3828" s="3299">
        <v>0</v>
      </c>
      <c r="I3828" s="3278">
        <v>0</v>
      </c>
    </row>
    <row r="3829" ht="12.75" customHeight="1" spans="2:9">
      <c r="B3829" s="3274">
        <v>179</v>
      </c>
      <c r="D3829" s="3297" t="s">
        <v>9943</v>
      </c>
      <c r="E3829" s="3298" t="s">
        <v>9944</v>
      </c>
      <c r="F3829" s="3298" t="s">
        <v>3056</v>
      </c>
      <c r="G3829" s="3278">
        <v>5526</v>
      </c>
      <c r="H3829" s="3299">
        <v>0</v>
      </c>
      <c r="I3829" s="3278">
        <v>0</v>
      </c>
    </row>
    <row r="3830" ht="12.75" customHeight="1" spans="2:9">
      <c r="B3830" s="3274">
        <v>180</v>
      </c>
      <c r="D3830" s="3297" t="s">
        <v>9945</v>
      </c>
      <c r="E3830" s="3298" t="s">
        <v>9946</v>
      </c>
      <c r="F3830" s="3298" t="s">
        <v>3056</v>
      </c>
      <c r="G3830" s="3278">
        <v>2394.5899</v>
      </c>
      <c r="H3830" s="3299">
        <v>0</v>
      </c>
      <c r="I3830" s="3278">
        <v>0</v>
      </c>
    </row>
    <row r="3831" ht="12.75" customHeight="1" spans="2:9">
      <c r="B3831" s="3274">
        <v>181</v>
      </c>
      <c r="D3831" s="3297" t="s">
        <v>9947</v>
      </c>
      <c r="E3831" s="3298" t="s">
        <v>9948</v>
      </c>
      <c r="F3831" s="3298" t="s">
        <v>3056</v>
      </c>
      <c r="G3831" s="3278">
        <v>4125</v>
      </c>
      <c r="H3831" s="3299">
        <v>1900</v>
      </c>
      <c r="I3831" s="3278">
        <v>7837500</v>
      </c>
    </row>
    <row r="3832" ht="12.75" customHeight="1" spans="2:9">
      <c r="B3832" s="3274">
        <v>182</v>
      </c>
      <c r="D3832" s="3297" t="s">
        <v>9949</v>
      </c>
      <c r="E3832" s="3298" t="s">
        <v>9950</v>
      </c>
      <c r="F3832" s="3298" t="s">
        <v>3056</v>
      </c>
      <c r="G3832" s="3278">
        <v>3281</v>
      </c>
      <c r="H3832" s="3299">
        <v>0</v>
      </c>
      <c r="I3832" s="3278">
        <v>0</v>
      </c>
    </row>
    <row r="3833" ht="12.75" customHeight="1" spans="2:9">
      <c r="B3833" s="3274">
        <v>183</v>
      </c>
      <c r="D3833" s="3297" t="s">
        <v>9951</v>
      </c>
      <c r="E3833" s="3298" t="s">
        <v>9952</v>
      </c>
      <c r="F3833" s="3298" t="s">
        <v>2321</v>
      </c>
      <c r="G3833" s="3278">
        <v>45587.3</v>
      </c>
      <c r="H3833" s="3299">
        <v>0</v>
      </c>
      <c r="I3833" s="3278">
        <v>0</v>
      </c>
    </row>
    <row r="3834" ht="12.75" customHeight="1" spans="2:9">
      <c r="B3834" s="3274">
        <v>184</v>
      </c>
      <c r="D3834" s="3297" t="s">
        <v>9953</v>
      </c>
      <c r="E3834" s="3298" t="s">
        <v>9954</v>
      </c>
      <c r="F3834" s="3298" t="s">
        <v>3423</v>
      </c>
      <c r="G3834" s="3278">
        <v>39600</v>
      </c>
      <c r="H3834" s="3299">
        <v>24</v>
      </c>
      <c r="I3834" s="3278">
        <v>950400</v>
      </c>
    </row>
    <row r="3835" ht="12.75" customHeight="1" spans="2:9">
      <c r="B3835" s="3274">
        <v>185</v>
      </c>
      <c r="D3835" s="3297" t="s">
        <v>9955</v>
      </c>
      <c r="E3835" s="3298" t="s">
        <v>9956</v>
      </c>
      <c r="F3835" s="3298" t="s">
        <v>3423</v>
      </c>
      <c r="G3835" s="3278">
        <v>144100</v>
      </c>
      <c r="H3835" s="3299">
        <v>134</v>
      </c>
      <c r="I3835" s="3278">
        <v>19309400</v>
      </c>
    </row>
    <row r="3836" ht="12.75" customHeight="1" spans="2:9">
      <c r="B3836" s="3274">
        <v>186</v>
      </c>
      <c r="D3836" s="3297" t="s">
        <v>9957</v>
      </c>
      <c r="E3836" s="3298" t="s">
        <v>9958</v>
      </c>
      <c r="F3836" s="3298" t="s">
        <v>2321</v>
      </c>
      <c r="G3836" s="3278">
        <v>6050</v>
      </c>
      <c r="H3836" s="3299">
        <v>0</v>
      </c>
      <c r="I3836" s="3278">
        <v>0</v>
      </c>
    </row>
    <row r="3837" ht="12.75" customHeight="1" spans="2:9">
      <c r="B3837" s="3274">
        <v>187</v>
      </c>
      <c r="D3837" s="3297" t="s">
        <v>9959</v>
      </c>
      <c r="E3837" s="3298" t="s">
        <v>9960</v>
      </c>
      <c r="F3837" s="3298" t="s">
        <v>4351</v>
      </c>
      <c r="G3837" s="3278">
        <v>425</v>
      </c>
      <c r="H3837" s="3299">
        <v>0</v>
      </c>
      <c r="I3837" s="3278">
        <v>0</v>
      </c>
    </row>
    <row r="3838" ht="12.75" customHeight="1" spans="2:9">
      <c r="B3838" s="3274">
        <v>188</v>
      </c>
      <c r="D3838" s="3297" t="s">
        <v>9961</v>
      </c>
      <c r="E3838" s="3298" t="s">
        <v>9962</v>
      </c>
      <c r="F3838" s="3298" t="s">
        <v>3042</v>
      </c>
      <c r="G3838" s="3278">
        <v>19250</v>
      </c>
      <c r="H3838" s="3299">
        <v>520</v>
      </c>
      <c r="I3838" s="3278">
        <v>10010000</v>
      </c>
    </row>
    <row r="3839" ht="12.75" customHeight="1" spans="2:9">
      <c r="B3839" s="3274">
        <v>189</v>
      </c>
      <c r="D3839" s="3297" t="s">
        <v>9963</v>
      </c>
      <c r="E3839" s="3298" t="s">
        <v>9964</v>
      </c>
      <c r="F3839" s="3298" t="s">
        <v>3056</v>
      </c>
      <c r="G3839" s="3278">
        <v>13200</v>
      </c>
      <c r="H3839" s="3299">
        <v>0</v>
      </c>
      <c r="I3839" s="3278">
        <v>0</v>
      </c>
    </row>
    <row r="3840" ht="12.75" customHeight="1" spans="2:9">
      <c r="B3840" s="3274">
        <v>190</v>
      </c>
      <c r="D3840" s="3297" t="s">
        <v>9965</v>
      </c>
      <c r="E3840" s="3298" t="s">
        <v>9966</v>
      </c>
      <c r="F3840" s="3298" t="s">
        <v>2637</v>
      </c>
      <c r="G3840" s="3278">
        <v>13200</v>
      </c>
      <c r="H3840" s="3299">
        <v>0</v>
      </c>
      <c r="I3840" s="3278">
        <v>0</v>
      </c>
    </row>
    <row r="3841" ht="12.75" customHeight="1" spans="2:9">
      <c r="B3841" s="3274">
        <v>191</v>
      </c>
      <c r="D3841" s="3297" t="s">
        <v>9967</v>
      </c>
      <c r="E3841" s="3298" t="s">
        <v>9968</v>
      </c>
      <c r="F3841" s="3298" t="s">
        <v>2637</v>
      </c>
      <c r="G3841" s="3278">
        <v>13200</v>
      </c>
      <c r="H3841" s="3299">
        <v>0</v>
      </c>
      <c r="I3841" s="3278">
        <v>0</v>
      </c>
    </row>
    <row r="3842" ht="12.75" customHeight="1" spans="2:9">
      <c r="B3842" s="3274">
        <v>192</v>
      </c>
      <c r="D3842" s="3297" t="s">
        <v>9969</v>
      </c>
      <c r="E3842" s="3298" t="s">
        <v>9970</v>
      </c>
      <c r="F3842" s="3298" t="s">
        <v>3056</v>
      </c>
      <c r="G3842" s="3278">
        <v>75.823</v>
      </c>
      <c r="H3842" s="3299">
        <v>0</v>
      </c>
      <c r="I3842" s="3278">
        <v>0</v>
      </c>
    </row>
    <row r="3843" ht="12.75" customHeight="1" spans="2:9">
      <c r="B3843" s="3274">
        <v>193</v>
      </c>
      <c r="D3843" s="3297" t="s">
        <v>9971</v>
      </c>
      <c r="E3843" s="3298" t="s">
        <v>9972</v>
      </c>
      <c r="F3843" s="3298" t="s">
        <v>2637</v>
      </c>
      <c r="G3843" s="3278">
        <v>11979</v>
      </c>
      <c r="H3843" s="3299">
        <v>37</v>
      </c>
      <c r="I3843" s="3278">
        <v>443223</v>
      </c>
    </row>
    <row r="3844" ht="12.75" customHeight="1" spans="2:9">
      <c r="B3844" s="3274">
        <v>194</v>
      </c>
      <c r="D3844" s="3297" t="s">
        <v>9973</v>
      </c>
      <c r="E3844" s="3298" t="s">
        <v>9974</v>
      </c>
      <c r="F3844" s="3298" t="s">
        <v>3042</v>
      </c>
      <c r="G3844" s="3278">
        <v>39600</v>
      </c>
      <c r="H3844" s="3299">
        <v>0</v>
      </c>
      <c r="I3844" s="3278">
        <v>0</v>
      </c>
    </row>
    <row r="3845" ht="12.75" customHeight="1" spans="2:9">
      <c r="B3845" s="3274">
        <v>195</v>
      </c>
      <c r="D3845" s="3297" t="s">
        <v>9975</v>
      </c>
      <c r="E3845" s="3298" t="s">
        <v>9976</v>
      </c>
      <c r="F3845" s="3298" t="s">
        <v>3042</v>
      </c>
      <c r="G3845" s="3278">
        <v>30607.5</v>
      </c>
      <c r="H3845" s="3299">
        <v>8</v>
      </c>
      <c r="I3845" s="3278">
        <v>244860</v>
      </c>
    </row>
    <row r="3846" ht="12.75" customHeight="1" spans="2:9">
      <c r="B3846" s="3274">
        <v>196</v>
      </c>
      <c r="D3846" s="3297" t="s">
        <v>9977</v>
      </c>
      <c r="E3846" s="3298" t="s">
        <v>9978</v>
      </c>
      <c r="F3846" s="3298" t="s">
        <v>2321</v>
      </c>
      <c r="G3846" s="3278">
        <v>33000</v>
      </c>
      <c r="H3846" s="3299">
        <v>0</v>
      </c>
      <c r="I3846" s="3278">
        <v>0</v>
      </c>
    </row>
    <row r="3847" ht="12.75" customHeight="1" spans="2:9">
      <c r="B3847" s="3274">
        <v>197</v>
      </c>
      <c r="D3847" s="3297" t="s">
        <v>9979</v>
      </c>
      <c r="E3847" s="3298" t="s">
        <v>9980</v>
      </c>
      <c r="F3847" s="3298" t="s">
        <v>3056</v>
      </c>
      <c r="G3847" s="3278">
        <v>1560.9</v>
      </c>
      <c r="H3847" s="3299">
        <v>3300</v>
      </c>
      <c r="I3847" s="3278">
        <v>5150970</v>
      </c>
    </row>
    <row r="3848" ht="12.75" customHeight="1" spans="2:9">
      <c r="B3848" s="3274">
        <v>198</v>
      </c>
      <c r="D3848" s="3297" t="s">
        <v>9981</v>
      </c>
      <c r="E3848" s="3298" t="s">
        <v>9982</v>
      </c>
      <c r="F3848" s="3298" t="s">
        <v>3423</v>
      </c>
      <c r="G3848" s="3278">
        <v>66000</v>
      </c>
      <c r="H3848" s="3299">
        <v>0</v>
      </c>
      <c r="I3848" s="3278">
        <v>0</v>
      </c>
    </row>
    <row r="3849" ht="12.75" customHeight="1" spans="2:9">
      <c r="B3849" s="3274">
        <v>199</v>
      </c>
      <c r="D3849" s="3297" t="s">
        <v>9983</v>
      </c>
      <c r="E3849" s="3298" t="s">
        <v>9984</v>
      </c>
      <c r="F3849" s="3298" t="s">
        <v>3056</v>
      </c>
      <c r="G3849" s="3278">
        <v>0</v>
      </c>
      <c r="H3849" s="3299">
        <v>0</v>
      </c>
      <c r="I3849" s="3278">
        <v>0</v>
      </c>
    </row>
    <row r="3850" ht="12.75" customHeight="1" spans="2:9">
      <c r="B3850" s="3274">
        <v>200</v>
      </c>
      <c r="D3850" s="3297" t="s">
        <v>9985</v>
      </c>
      <c r="E3850" s="3298" t="s">
        <v>9986</v>
      </c>
      <c r="F3850" s="3298" t="s">
        <v>3056</v>
      </c>
      <c r="G3850" s="3278">
        <v>4730</v>
      </c>
      <c r="H3850" s="3299">
        <v>1640</v>
      </c>
      <c r="I3850" s="3278">
        <v>7757200</v>
      </c>
    </row>
    <row r="3851" ht="12.75" customHeight="1" spans="2:9">
      <c r="B3851" s="3274">
        <v>201</v>
      </c>
      <c r="D3851" s="3297" t="s">
        <v>9987</v>
      </c>
      <c r="E3851" s="3298" t="s">
        <v>9988</v>
      </c>
      <c r="F3851" s="3298" t="s">
        <v>3056</v>
      </c>
      <c r="G3851" s="3278">
        <v>3300</v>
      </c>
      <c r="H3851" s="3299">
        <v>0</v>
      </c>
      <c r="I3851" s="3278">
        <v>0</v>
      </c>
    </row>
    <row r="3852" ht="12.75" customHeight="1" spans="2:9">
      <c r="B3852" s="3274">
        <v>202</v>
      </c>
      <c r="D3852" s="3297" t="s">
        <v>9989</v>
      </c>
      <c r="E3852" s="3298" t="s">
        <v>9990</v>
      </c>
      <c r="F3852" s="3298" t="s">
        <v>3042</v>
      </c>
      <c r="G3852" s="3278">
        <v>3500.002</v>
      </c>
      <c r="H3852" s="3299">
        <v>0</v>
      </c>
      <c r="I3852" s="3278">
        <v>0</v>
      </c>
    </row>
    <row r="3853" ht="12.75" customHeight="1" spans="2:9">
      <c r="B3853" s="3274">
        <v>203</v>
      </c>
      <c r="D3853" s="3297" t="s">
        <v>9991</v>
      </c>
      <c r="E3853" s="3298" t="s">
        <v>9992</v>
      </c>
      <c r="F3853" s="3298" t="s">
        <v>3056</v>
      </c>
      <c r="G3853" s="3278">
        <v>1324.895</v>
      </c>
      <c r="H3853" s="3299">
        <v>0</v>
      </c>
      <c r="I3853" s="3278">
        <v>0</v>
      </c>
    </row>
    <row r="3854" ht="12.75" customHeight="1" spans="2:9">
      <c r="B3854" s="3274">
        <v>204</v>
      </c>
      <c r="D3854" s="3297" t="s">
        <v>9993</v>
      </c>
      <c r="E3854" s="3298" t="s">
        <v>9994</v>
      </c>
      <c r="F3854" s="3298" t="s">
        <v>3042</v>
      </c>
      <c r="G3854" s="3278">
        <v>55000</v>
      </c>
      <c r="H3854" s="3299">
        <v>0</v>
      </c>
      <c r="I3854" s="3278">
        <v>0</v>
      </c>
    </row>
    <row r="3855" ht="12.75" customHeight="1" spans="2:9">
      <c r="B3855" s="3274">
        <v>205</v>
      </c>
      <c r="D3855" s="3297" t="s">
        <v>9995</v>
      </c>
      <c r="E3855" s="3298" t="s">
        <v>9996</v>
      </c>
      <c r="F3855" s="3298" t="s">
        <v>3056</v>
      </c>
      <c r="G3855" s="3278">
        <v>110</v>
      </c>
      <c r="H3855" s="3299">
        <v>0</v>
      </c>
      <c r="I3855" s="3278">
        <v>0</v>
      </c>
    </row>
    <row r="3856" ht="12.75" customHeight="1" spans="2:9">
      <c r="B3856" s="3274">
        <v>206</v>
      </c>
      <c r="D3856" s="3297" t="s">
        <v>9997</v>
      </c>
      <c r="E3856" s="3298" t="s">
        <v>9998</v>
      </c>
      <c r="F3856" s="3298" t="s">
        <v>3042</v>
      </c>
      <c r="G3856" s="3278">
        <v>12100</v>
      </c>
      <c r="H3856" s="3299">
        <v>0</v>
      </c>
      <c r="I3856" s="3278">
        <v>0</v>
      </c>
    </row>
    <row r="3857" ht="12.75" customHeight="1" spans="2:9">
      <c r="B3857" s="3274">
        <v>207</v>
      </c>
      <c r="D3857" s="3297" t="s">
        <v>9999</v>
      </c>
      <c r="E3857" s="3298" t="s">
        <v>10000</v>
      </c>
      <c r="F3857" s="3298" t="s">
        <v>2299</v>
      </c>
      <c r="G3857" s="3278">
        <v>6600</v>
      </c>
      <c r="H3857" s="3299">
        <v>0</v>
      </c>
      <c r="I3857" s="3278">
        <v>0</v>
      </c>
    </row>
    <row r="3858" ht="12.75" customHeight="1" spans="2:9">
      <c r="B3858" s="3274">
        <v>208</v>
      </c>
      <c r="D3858" s="3297" t="s">
        <v>10001</v>
      </c>
      <c r="E3858" s="3298" t="s">
        <v>10002</v>
      </c>
      <c r="F3858" s="3298" t="s">
        <v>2321</v>
      </c>
      <c r="G3858" s="3278">
        <v>6294.2</v>
      </c>
      <c r="H3858" s="3299">
        <v>0</v>
      </c>
      <c r="I3858" s="3278">
        <v>0</v>
      </c>
    </row>
    <row r="3859" ht="12.75" customHeight="1" spans="2:9">
      <c r="B3859" s="3274">
        <v>209</v>
      </c>
      <c r="D3859" s="3297" t="s">
        <v>10003</v>
      </c>
      <c r="E3859" s="3298" t="s">
        <v>10004</v>
      </c>
      <c r="F3859" s="3298" t="s">
        <v>2321</v>
      </c>
      <c r="G3859" s="3278">
        <v>176880</v>
      </c>
      <c r="H3859" s="3299">
        <v>0</v>
      </c>
      <c r="I3859" s="3278">
        <v>0</v>
      </c>
    </row>
    <row r="3860" ht="12.75" customHeight="1" spans="2:9">
      <c r="B3860" s="3274">
        <v>210</v>
      </c>
      <c r="D3860" s="3297" t="s">
        <v>10005</v>
      </c>
      <c r="E3860" s="3298" t="s">
        <v>10006</v>
      </c>
      <c r="F3860" s="3298" t="s">
        <v>3056</v>
      </c>
      <c r="G3860" s="3278">
        <v>2440.9</v>
      </c>
      <c r="H3860" s="3299">
        <v>0</v>
      </c>
      <c r="I3860" s="3278">
        <v>0</v>
      </c>
    </row>
    <row r="3861" ht="12.75" customHeight="1" spans="2:9">
      <c r="B3861" s="3274">
        <v>211</v>
      </c>
      <c r="D3861" s="3297" t="s">
        <v>10007</v>
      </c>
      <c r="E3861" s="3298" t="s">
        <v>10008</v>
      </c>
      <c r="F3861" s="3298" t="s">
        <v>3056</v>
      </c>
      <c r="G3861" s="3278">
        <v>5309.7</v>
      </c>
      <c r="H3861" s="3299">
        <v>0</v>
      </c>
      <c r="I3861" s="3278">
        <v>0</v>
      </c>
    </row>
    <row r="3862" ht="12.75" customHeight="1" spans="2:9">
      <c r="B3862" s="3274">
        <v>212</v>
      </c>
      <c r="D3862" s="3297" t="s">
        <v>10009</v>
      </c>
      <c r="E3862" s="3298" t="s">
        <v>10010</v>
      </c>
      <c r="F3862" s="3298" t="s">
        <v>3056</v>
      </c>
      <c r="G3862" s="3278">
        <v>708.026</v>
      </c>
      <c r="H3862" s="3299">
        <v>0</v>
      </c>
      <c r="I3862" s="3278">
        <v>0</v>
      </c>
    </row>
    <row r="3863" ht="12.75" customHeight="1" spans="2:9">
      <c r="B3863" s="3274">
        <v>213</v>
      </c>
      <c r="D3863" s="3297" t="s">
        <v>10011</v>
      </c>
      <c r="E3863" s="3298" t="s">
        <v>10012</v>
      </c>
      <c r="F3863" s="3298" t="s">
        <v>2321</v>
      </c>
      <c r="G3863" s="3278">
        <v>225500</v>
      </c>
      <c r="H3863" s="3299">
        <v>0</v>
      </c>
      <c r="I3863" s="3278">
        <v>0</v>
      </c>
    </row>
    <row r="3864" ht="12.75" customHeight="1" spans="2:9">
      <c r="B3864" s="3274">
        <v>214</v>
      </c>
      <c r="D3864" s="3297" t="s">
        <v>10013</v>
      </c>
      <c r="E3864" s="3298" t="s">
        <v>10014</v>
      </c>
      <c r="F3864" s="3298" t="s">
        <v>3056</v>
      </c>
      <c r="G3864" s="3278">
        <v>0</v>
      </c>
      <c r="H3864" s="3299">
        <v>0</v>
      </c>
      <c r="I3864" s="3278">
        <v>0</v>
      </c>
    </row>
    <row r="3865" ht="12.75" customHeight="1" spans="2:9">
      <c r="B3865" s="3274">
        <v>215</v>
      </c>
      <c r="D3865" s="3297" t="s">
        <v>10015</v>
      </c>
      <c r="E3865" s="3298" t="s">
        <v>10016</v>
      </c>
      <c r="F3865" s="3298" t="s">
        <v>3056</v>
      </c>
      <c r="G3865" s="3278">
        <v>484</v>
      </c>
      <c r="H3865" s="3299">
        <v>1900</v>
      </c>
      <c r="I3865" s="3278">
        <v>919600</v>
      </c>
    </row>
    <row r="3866" ht="12.75" customHeight="1" spans="2:9">
      <c r="B3866" s="3274">
        <v>216</v>
      </c>
      <c r="D3866" s="3297" t="s">
        <v>10017</v>
      </c>
      <c r="E3866" s="3298" t="s">
        <v>10018</v>
      </c>
      <c r="F3866" s="3298" t="s">
        <v>3056</v>
      </c>
      <c r="G3866" s="3278">
        <v>748</v>
      </c>
      <c r="H3866" s="3299">
        <v>0</v>
      </c>
      <c r="I3866" s="3278">
        <v>0</v>
      </c>
    </row>
    <row r="3867" ht="12.75" customHeight="1" spans="2:9">
      <c r="B3867" s="3274">
        <v>217</v>
      </c>
      <c r="D3867" s="3297" t="s">
        <v>10019</v>
      </c>
      <c r="E3867" s="3298" t="s">
        <v>10020</v>
      </c>
      <c r="F3867" s="3298" t="s">
        <v>3042</v>
      </c>
      <c r="G3867" s="3278">
        <v>72600</v>
      </c>
      <c r="H3867" s="3299">
        <v>0</v>
      </c>
      <c r="I3867" s="3278">
        <v>0</v>
      </c>
    </row>
    <row r="3868" ht="12.75" customHeight="1" spans="2:9">
      <c r="B3868" s="3274">
        <v>218</v>
      </c>
      <c r="D3868" s="3297" t="s">
        <v>10021</v>
      </c>
      <c r="E3868" s="3298" t="s">
        <v>10022</v>
      </c>
      <c r="F3868" s="3298" t="s">
        <v>3056</v>
      </c>
      <c r="G3868" s="3278">
        <v>52.8</v>
      </c>
      <c r="H3868" s="3299">
        <v>0</v>
      </c>
      <c r="I3868" s="3278">
        <v>0</v>
      </c>
    </row>
    <row r="3869" ht="12.75" customHeight="1" spans="2:9">
      <c r="B3869" s="3274">
        <v>219</v>
      </c>
      <c r="D3869" s="3297" t="s">
        <v>10023</v>
      </c>
      <c r="E3869" s="3298" t="s">
        <v>10024</v>
      </c>
      <c r="F3869" s="3298" t="s">
        <v>3056</v>
      </c>
      <c r="G3869" s="3278">
        <v>880</v>
      </c>
      <c r="H3869" s="3299">
        <v>0</v>
      </c>
      <c r="I3869" s="3278">
        <v>0</v>
      </c>
    </row>
    <row r="3870" ht="12.75" customHeight="1" spans="2:9">
      <c r="B3870" s="3274">
        <v>220</v>
      </c>
      <c r="D3870" s="3297" t="s">
        <v>10025</v>
      </c>
      <c r="E3870" s="3298" t="s">
        <v>10026</v>
      </c>
      <c r="F3870" s="3298" t="s">
        <v>3056</v>
      </c>
      <c r="G3870" s="3278">
        <v>3300</v>
      </c>
      <c r="H3870" s="3299">
        <v>0</v>
      </c>
      <c r="I3870" s="3278">
        <v>0</v>
      </c>
    </row>
    <row r="3871" ht="12.75" customHeight="1" spans="2:9">
      <c r="B3871" s="3274">
        <v>221</v>
      </c>
      <c r="D3871" s="3297" t="s">
        <v>10027</v>
      </c>
      <c r="E3871" s="3298" t="s">
        <v>10028</v>
      </c>
      <c r="F3871" s="3298" t="s">
        <v>3056</v>
      </c>
      <c r="G3871" s="3278">
        <v>366.67</v>
      </c>
      <c r="H3871" s="3299">
        <v>30</v>
      </c>
      <c r="I3871" s="3278">
        <v>11000.1</v>
      </c>
    </row>
    <row r="3872" ht="12.75" customHeight="1" spans="2:9">
      <c r="B3872" s="3274">
        <v>222</v>
      </c>
      <c r="D3872" s="3297" t="s">
        <v>10029</v>
      </c>
      <c r="E3872" s="3298" t="s">
        <v>10030</v>
      </c>
      <c r="F3872" s="3298" t="s">
        <v>3042</v>
      </c>
      <c r="G3872" s="3278">
        <v>3465</v>
      </c>
      <c r="H3872" s="3299">
        <v>390</v>
      </c>
      <c r="I3872" s="3278">
        <v>1351350</v>
      </c>
    </row>
    <row r="3873" ht="12.75" customHeight="1" spans="2:9">
      <c r="B3873" s="3274">
        <v>223</v>
      </c>
      <c r="D3873" s="3297" t="s">
        <v>10031</v>
      </c>
      <c r="E3873" s="3298" t="s">
        <v>10032</v>
      </c>
      <c r="F3873" s="3298" t="s">
        <v>3056</v>
      </c>
      <c r="G3873" s="3278">
        <v>0</v>
      </c>
      <c r="H3873" s="3299">
        <v>0</v>
      </c>
      <c r="I3873" s="3278">
        <v>0</v>
      </c>
    </row>
    <row r="3874" ht="12.75" customHeight="1" spans="2:9">
      <c r="B3874" s="3274">
        <v>224</v>
      </c>
      <c r="D3874" s="3297" t="s">
        <v>10033</v>
      </c>
      <c r="E3874" s="3298" t="s">
        <v>10034</v>
      </c>
      <c r="F3874" s="3298" t="s">
        <v>3042</v>
      </c>
      <c r="G3874" s="3278">
        <v>8140</v>
      </c>
      <c r="H3874" s="3299">
        <v>0</v>
      </c>
      <c r="I3874" s="3278">
        <v>0</v>
      </c>
    </row>
    <row r="3875" ht="12.75" customHeight="1" spans="2:9">
      <c r="B3875" s="3274">
        <v>225</v>
      </c>
      <c r="D3875" s="3297" t="s">
        <v>10035</v>
      </c>
      <c r="E3875" s="3298" t="s">
        <v>10036</v>
      </c>
      <c r="F3875" s="3298" t="s">
        <v>3056</v>
      </c>
      <c r="G3875" s="3278">
        <v>4400</v>
      </c>
      <c r="H3875" s="3299">
        <v>300</v>
      </c>
      <c r="I3875" s="3278">
        <v>1320000</v>
      </c>
    </row>
    <row r="3876" ht="12.75" customHeight="1" spans="2:9">
      <c r="B3876" s="3274">
        <v>226</v>
      </c>
      <c r="D3876" s="3297" t="s">
        <v>10037</v>
      </c>
      <c r="E3876" s="3298" t="s">
        <v>10038</v>
      </c>
      <c r="F3876" s="3298" t="s">
        <v>3042</v>
      </c>
      <c r="G3876" s="3278">
        <v>88000</v>
      </c>
      <c r="H3876" s="3299">
        <v>40</v>
      </c>
      <c r="I3876" s="3278">
        <v>3520000</v>
      </c>
    </row>
    <row r="3877" ht="12.75" customHeight="1" spans="2:9">
      <c r="B3877" s="3274">
        <v>227</v>
      </c>
      <c r="D3877" s="3297" t="s">
        <v>10039</v>
      </c>
      <c r="E3877" s="3298" t="s">
        <v>10040</v>
      </c>
      <c r="F3877" s="3298" t="s">
        <v>3423</v>
      </c>
      <c r="G3877" s="3278">
        <v>17600</v>
      </c>
      <c r="H3877" s="3299">
        <v>248</v>
      </c>
      <c r="I3877" s="3278">
        <v>4364800</v>
      </c>
    </row>
    <row r="3878" ht="12.75" customHeight="1" spans="2:9">
      <c r="B3878" s="3274">
        <v>228</v>
      </c>
      <c r="D3878" s="3297" t="s">
        <v>10041</v>
      </c>
      <c r="E3878" s="3298" t="s">
        <v>10042</v>
      </c>
      <c r="F3878" s="3298" t="s">
        <v>3042</v>
      </c>
      <c r="G3878" s="3278">
        <v>2750</v>
      </c>
      <c r="H3878" s="3299">
        <v>0</v>
      </c>
      <c r="I3878" s="3278">
        <v>0</v>
      </c>
    </row>
    <row r="3879" ht="12.75" customHeight="1" spans="2:9">
      <c r="B3879" s="3274">
        <v>229</v>
      </c>
      <c r="D3879" s="3297" t="s">
        <v>10043</v>
      </c>
      <c r="E3879" s="3298" t="s">
        <v>10044</v>
      </c>
      <c r="F3879" s="3298" t="s">
        <v>2321</v>
      </c>
      <c r="G3879" s="3278">
        <v>8250</v>
      </c>
      <c r="H3879" s="3299">
        <v>0</v>
      </c>
      <c r="I3879" s="3278">
        <v>0</v>
      </c>
    </row>
    <row r="3880" ht="12.75" customHeight="1" spans="2:9">
      <c r="B3880" s="3274">
        <v>230</v>
      </c>
      <c r="D3880" s="3297" t="s">
        <v>10045</v>
      </c>
      <c r="E3880" s="3298" t="s">
        <v>10046</v>
      </c>
      <c r="F3880" s="3298" t="s">
        <v>3423</v>
      </c>
      <c r="G3880" s="3278">
        <v>27166.7</v>
      </c>
      <c r="H3880" s="3299">
        <v>0</v>
      </c>
      <c r="I3880" s="3278">
        <v>0</v>
      </c>
    </row>
    <row r="3881" ht="12.75" customHeight="1" spans="2:9">
      <c r="B3881" s="3274">
        <v>231</v>
      </c>
      <c r="D3881" s="3297" t="s">
        <v>10047</v>
      </c>
      <c r="E3881" s="3298" t="s">
        <v>10048</v>
      </c>
      <c r="F3881" s="3298" t="s">
        <v>3042</v>
      </c>
      <c r="G3881" s="3278">
        <v>6600</v>
      </c>
      <c r="H3881" s="3299">
        <v>60</v>
      </c>
      <c r="I3881" s="3278">
        <v>396000</v>
      </c>
    </row>
    <row r="3882" ht="12.75" customHeight="1" spans="2:9">
      <c r="B3882" s="3274">
        <v>232</v>
      </c>
      <c r="D3882" s="3297" t="s">
        <v>10049</v>
      </c>
      <c r="E3882" s="3298" t="s">
        <v>10050</v>
      </c>
      <c r="F3882" s="3298" t="s">
        <v>2321</v>
      </c>
      <c r="G3882" s="3278">
        <v>71500</v>
      </c>
      <c r="H3882" s="3299">
        <v>0</v>
      </c>
      <c r="I3882" s="3278">
        <v>0</v>
      </c>
    </row>
    <row r="3883" ht="12.75" customHeight="1" spans="2:9">
      <c r="B3883" s="3274">
        <v>233</v>
      </c>
      <c r="D3883" s="3297" t="s">
        <v>10051</v>
      </c>
      <c r="E3883" s="3298" t="s">
        <v>10052</v>
      </c>
      <c r="F3883" s="3298" t="s">
        <v>3056</v>
      </c>
      <c r="G3883" s="3278">
        <v>447.216</v>
      </c>
      <c r="H3883" s="3299">
        <v>0</v>
      </c>
      <c r="I3883" s="3278">
        <v>0</v>
      </c>
    </row>
    <row r="3884" ht="12.75" customHeight="1" spans="2:9">
      <c r="B3884" s="3274">
        <v>234</v>
      </c>
      <c r="D3884" s="3297" t="s">
        <v>10053</v>
      </c>
      <c r="E3884" s="3298" t="s">
        <v>10054</v>
      </c>
      <c r="F3884" s="3298" t="s">
        <v>3056</v>
      </c>
      <c r="G3884" s="3278">
        <v>0</v>
      </c>
      <c r="H3884" s="3299">
        <v>0</v>
      </c>
      <c r="I3884" s="3278">
        <v>0</v>
      </c>
    </row>
    <row r="3885" ht="12.75" customHeight="1" spans="2:9">
      <c r="B3885" s="3274">
        <v>235</v>
      </c>
      <c r="D3885" s="3297" t="s">
        <v>10055</v>
      </c>
      <c r="E3885" s="3298" t="s">
        <v>10056</v>
      </c>
      <c r="F3885" s="3298" t="s">
        <v>3056</v>
      </c>
      <c r="G3885" s="3278">
        <v>3250</v>
      </c>
      <c r="H3885" s="3299">
        <v>0</v>
      </c>
      <c r="I3885" s="3278">
        <v>0</v>
      </c>
    </row>
    <row r="3886" ht="12.75" customHeight="1" spans="2:9">
      <c r="B3886" s="3274">
        <v>236</v>
      </c>
      <c r="D3886" s="3297" t="s">
        <v>10057</v>
      </c>
      <c r="E3886" s="3298" t="s">
        <v>10058</v>
      </c>
      <c r="F3886" s="3298" t="s">
        <v>3056</v>
      </c>
      <c r="G3886" s="3278">
        <v>294.4128</v>
      </c>
      <c r="H3886" s="3299">
        <v>0</v>
      </c>
      <c r="I3886" s="3278">
        <v>0</v>
      </c>
    </row>
    <row r="3887" ht="12.75" customHeight="1" spans="2:9">
      <c r="B3887" s="3274">
        <v>237</v>
      </c>
      <c r="D3887" s="3297" t="s">
        <v>10059</v>
      </c>
      <c r="E3887" s="3298" t="s">
        <v>10060</v>
      </c>
      <c r="F3887" s="3298" t="s">
        <v>3056</v>
      </c>
      <c r="G3887" s="3278">
        <v>1100</v>
      </c>
      <c r="H3887" s="3299">
        <v>0</v>
      </c>
      <c r="I3887" s="3278">
        <v>0</v>
      </c>
    </row>
    <row r="3888" ht="12.75" customHeight="1" spans="2:9">
      <c r="B3888" s="3274">
        <v>238</v>
      </c>
      <c r="D3888" s="3297" t="s">
        <v>10061</v>
      </c>
      <c r="E3888" s="3298" t="s">
        <v>10062</v>
      </c>
      <c r="F3888" s="3298" t="s">
        <v>3056</v>
      </c>
      <c r="G3888" s="3278">
        <v>119.999</v>
      </c>
      <c r="H3888" s="3299">
        <v>0</v>
      </c>
      <c r="I3888" s="3278">
        <v>0</v>
      </c>
    </row>
    <row r="3889" ht="12.75" customHeight="1" spans="2:9">
      <c r="B3889" s="3274">
        <v>239</v>
      </c>
      <c r="D3889" s="3297" t="s">
        <v>10063</v>
      </c>
      <c r="E3889" s="3298" t="s">
        <v>10064</v>
      </c>
      <c r="F3889" s="3298" t="s">
        <v>3056</v>
      </c>
      <c r="G3889" s="3278">
        <v>0</v>
      </c>
      <c r="H3889" s="3299">
        <v>0</v>
      </c>
      <c r="I3889" s="3278">
        <v>0</v>
      </c>
    </row>
    <row r="3890" ht="12.75" customHeight="1" spans="2:9">
      <c r="B3890" s="3274">
        <v>240</v>
      </c>
      <c r="D3890" s="3297" t="s">
        <v>10065</v>
      </c>
      <c r="E3890" s="3298" t="s">
        <v>10066</v>
      </c>
      <c r="F3890" s="3298" t="s">
        <v>2321</v>
      </c>
      <c r="G3890" s="3278">
        <v>9900</v>
      </c>
      <c r="H3890" s="3299">
        <v>0</v>
      </c>
      <c r="I3890" s="3278">
        <v>0</v>
      </c>
    </row>
    <row r="3891" ht="12.75" customHeight="1" spans="2:9">
      <c r="B3891" s="3274">
        <v>241</v>
      </c>
      <c r="D3891" s="3297" t="s">
        <v>10067</v>
      </c>
      <c r="E3891" s="3298" t="s">
        <v>10068</v>
      </c>
      <c r="F3891" s="3298" t="s">
        <v>2637</v>
      </c>
      <c r="G3891" s="3278">
        <v>23361.8</v>
      </c>
      <c r="H3891" s="3299">
        <v>0</v>
      </c>
      <c r="I3891" s="3278">
        <v>0</v>
      </c>
    </row>
    <row r="3892" ht="12.75" customHeight="1" spans="2:9">
      <c r="B3892" s="3274">
        <v>242</v>
      </c>
      <c r="D3892" s="3297" t="s">
        <v>10069</v>
      </c>
      <c r="E3892" s="3298" t="s">
        <v>10070</v>
      </c>
      <c r="F3892" s="3298" t="s">
        <v>3056</v>
      </c>
      <c r="G3892" s="3278">
        <v>11000</v>
      </c>
      <c r="H3892" s="3299">
        <v>0</v>
      </c>
      <c r="I3892" s="3278">
        <v>0</v>
      </c>
    </row>
    <row r="3893" ht="12.75" customHeight="1" spans="2:9">
      <c r="B3893" s="3274">
        <v>243</v>
      </c>
      <c r="D3893" s="3297" t="s">
        <v>10071</v>
      </c>
      <c r="E3893" s="3298" t="s">
        <v>10072</v>
      </c>
      <c r="F3893" s="3298" t="s">
        <v>3056</v>
      </c>
      <c r="G3893" s="3278">
        <v>73.755</v>
      </c>
      <c r="H3893" s="3299">
        <v>0</v>
      </c>
      <c r="I3893" s="3278">
        <v>0</v>
      </c>
    </row>
    <row r="3894" ht="12.75" customHeight="1" spans="2:9">
      <c r="B3894" s="3274">
        <v>244</v>
      </c>
      <c r="D3894" s="3297" t="s">
        <v>10073</v>
      </c>
      <c r="E3894" s="3298" t="s">
        <v>10072</v>
      </c>
      <c r="F3894" s="3298" t="s">
        <v>3056</v>
      </c>
      <c r="G3894" s="3278">
        <v>0</v>
      </c>
      <c r="H3894" s="3299">
        <v>0</v>
      </c>
      <c r="I3894" s="3278">
        <v>0</v>
      </c>
    </row>
    <row r="3895" ht="13.35" customHeight="1" spans="3:9">
      <c r="C3895" s="3281" t="s">
        <v>10074</v>
      </c>
      <c r="D3895" s="3281"/>
      <c r="E3895" s="3281"/>
      <c r="I3895" s="3279">
        <v>298860030.63</v>
      </c>
    </row>
    <row r="3896" ht="13.35" customHeight="1" spans="2:5">
      <c r="B3896" s="3296" t="s">
        <v>10075</v>
      </c>
      <c r="C3896" s="3296"/>
      <c r="D3896" s="3296"/>
      <c r="E3896" s="3296"/>
    </row>
    <row r="3897" ht="12.75" customHeight="1" spans="2:9">
      <c r="B3897" s="3274">
        <v>1</v>
      </c>
      <c r="D3897" s="3297" t="s">
        <v>10076</v>
      </c>
      <c r="E3897" s="3298" t="s">
        <v>10077</v>
      </c>
      <c r="F3897" s="3298" t="s">
        <v>2293</v>
      </c>
      <c r="G3897" s="3278">
        <v>832590</v>
      </c>
      <c r="H3897" s="3299">
        <v>0</v>
      </c>
      <c r="I3897" s="3278">
        <v>0</v>
      </c>
    </row>
    <row r="3898" ht="12.75" customHeight="1" spans="2:9">
      <c r="B3898" s="3274">
        <v>2</v>
      </c>
      <c r="D3898" s="3297" t="s">
        <v>10078</v>
      </c>
      <c r="E3898" s="3298" t="s">
        <v>10079</v>
      </c>
      <c r="F3898" s="3298" t="s">
        <v>3257</v>
      </c>
      <c r="G3898" s="3278">
        <v>440.66</v>
      </c>
      <c r="H3898" s="3299">
        <v>0</v>
      </c>
      <c r="I3898" s="3278">
        <v>0</v>
      </c>
    </row>
    <row r="3899" ht="12.75" customHeight="1" spans="2:9">
      <c r="B3899" s="3274">
        <v>3</v>
      </c>
      <c r="D3899" s="3297" t="s">
        <v>10080</v>
      </c>
      <c r="E3899" s="3298" t="s">
        <v>10081</v>
      </c>
      <c r="F3899" s="3298" t="s">
        <v>2367</v>
      </c>
      <c r="G3899" s="3278">
        <v>1485000</v>
      </c>
      <c r="H3899" s="3299">
        <v>1</v>
      </c>
      <c r="I3899" s="3278">
        <v>1485000</v>
      </c>
    </row>
    <row r="3900" ht="13.35" customHeight="1" spans="3:9">
      <c r="C3900" s="3281" t="s">
        <v>10082</v>
      </c>
      <c r="D3900" s="3281"/>
      <c r="E3900" s="3281"/>
      <c r="I3900" s="3279">
        <v>1485000</v>
      </c>
    </row>
    <row r="3901" ht="13.35" customHeight="1" spans="2:5">
      <c r="B3901" s="3296" t="s">
        <v>10083</v>
      </c>
      <c r="C3901" s="3296"/>
      <c r="D3901" s="3296"/>
      <c r="E3901" s="3296"/>
    </row>
    <row r="3902" ht="12.75" customHeight="1" spans="2:9">
      <c r="B3902" s="3274">
        <v>1</v>
      </c>
      <c r="D3902" s="3297" t="s">
        <v>10084</v>
      </c>
      <c r="E3902" s="3298" t="s">
        <v>10085</v>
      </c>
      <c r="F3902" s="3298" t="s">
        <v>2637</v>
      </c>
      <c r="G3902" s="3278">
        <v>5610</v>
      </c>
      <c r="H3902" s="3299">
        <v>25</v>
      </c>
      <c r="I3902" s="3278">
        <v>140250</v>
      </c>
    </row>
    <row r="3903" ht="13.35" customHeight="1" spans="3:9">
      <c r="C3903" s="3281" t="s">
        <v>10086</v>
      </c>
      <c r="D3903" s="3281"/>
      <c r="E3903" s="3281"/>
      <c r="I3903" s="3279">
        <v>140250</v>
      </c>
    </row>
    <row r="3904" ht="15" customHeight="1" spans="3:9">
      <c r="C3904" s="3281" t="s">
        <v>10087</v>
      </c>
      <c r="D3904" s="3281"/>
      <c r="E3904" s="3281"/>
      <c r="I3904" s="3282">
        <v>1761081220.6452</v>
      </c>
    </row>
    <row r="3905" ht="13.35" customHeight="1" spans="3:10">
      <c r="C3905" s="3281" t="s">
        <v>10088</v>
      </c>
      <c r="D3905" s="3281"/>
      <c r="E3905" s="3281"/>
      <c r="F3905" s="784" t="s">
        <v>10089</v>
      </c>
      <c r="I3905" s="3282">
        <f>'C'!L14</f>
        <v>0</v>
      </c>
      <c r="J3905" s="3300"/>
    </row>
    <row r="3906" spans="6:11">
      <c r="F3906" s="784" t="s">
        <v>10090</v>
      </c>
      <c r="I3906" s="3282">
        <f>I3904-I3905</f>
        <v>1761081220.6452</v>
      </c>
      <c r="J3906" s="3300" t="e">
        <f>I3906/I3905</f>
        <v>#DIV/0!</v>
      </c>
      <c r="K3906" s="3301" t="s">
        <v>10091</v>
      </c>
    </row>
    <row r="3907" spans="10:10">
      <c r="J3907" s="3300"/>
    </row>
  </sheetData>
  <printOptions gridLines="1"/>
  <pageMargins left="0.75" right="0.75" top="1" bottom="0.75" header="0.5" footer="0.5"/>
  <pageSetup paperSize="1" fitToWidth="0" fitToHeight="0" orientation="portrait"/>
  <headerFooter alignWithMargins="0"/>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7"/>
  <dimension ref="C2:J27"/>
  <sheetViews>
    <sheetView zoomScale="160" zoomScaleNormal="160" topLeftCell="A4" workbookViewId="0">
      <pane xSplit="3" ySplit="3" topLeftCell="D7" activePane="bottomRight" state="frozen"/>
      <selection/>
      <selection pane="topRight"/>
      <selection pane="bottomLeft"/>
      <selection pane="bottomRight" activeCell="Q24" sqref="Q24"/>
    </sheetView>
  </sheetViews>
  <sheetFormatPr defaultColWidth="9.58333333333333" defaultRowHeight="11.4"/>
  <cols>
    <col min="1" max="1" width="3.73958333333333" customWidth="1"/>
    <col min="2" max="2" width="2.25" customWidth="1"/>
    <col min="3" max="3" width="15.4270833333333" style="2921" customWidth="1"/>
    <col min="4" max="4" width="2.39583333333333" customWidth="1"/>
    <col min="5" max="5" width="36.2604166666667" customWidth="1"/>
    <col min="6" max="6" width="12.5833333333333" customWidth="1"/>
    <col min="7" max="7" width="11.6875" customWidth="1"/>
    <col min="8" max="8" width="14.3854166666667" customWidth="1"/>
    <col min="9" max="9" width="24.125" customWidth="1"/>
    <col min="10" max="10" width="13.3333333333333" customWidth="1"/>
  </cols>
  <sheetData>
    <row r="2" ht="14.85" customHeight="1" spans="3:3">
      <c r="C2" t="s">
        <v>1510</v>
      </c>
    </row>
    <row r="3" spans="3:3">
      <c r="C3" s="2921" t="s">
        <v>10092</v>
      </c>
    </row>
    <row r="4" ht="13.35" customHeight="1" spans="3:3">
      <c r="C4" s="2921" t="s">
        <v>10093</v>
      </c>
    </row>
    <row r="5" ht="13.35" customHeight="1"/>
    <row r="6" s="3283" customFormat="1" ht="27.2" customHeight="1" spans="3:10">
      <c r="C6" s="3284" t="s">
        <v>10094</v>
      </c>
      <c r="D6" s="3285"/>
      <c r="E6" s="3285" t="s">
        <v>10095</v>
      </c>
      <c r="F6" s="3285" t="s">
        <v>10096</v>
      </c>
      <c r="G6" s="3286" t="s">
        <v>10097</v>
      </c>
      <c r="H6" s="3285" t="s">
        <v>10098</v>
      </c>
      <c r="I6" s="3285" t="s">
        <v>10099</v>
      </c>
      <c r="J6" s="3287" t="s">
        <v>10100</v>
      </c>
    </row>
    <row r="7" spans="3:10">
      <c r="C7" s="1081"/>
      <c r="D7" s="159"/>
      <c r="E7" s="159"/>
      <c r="F7" s="159"/>
      <c r="G7" s="191"/>
      <c r="H7" s="159"/>
      <c r="I7" s="159"/>
      <c r="J7" s="191"/>
    </row>
    <row r="8" ht="11.85" customHeight="1" spans="3:10">
      <c r="C8" s="204" t="s">
        <v>10101</v>
      </c>
      <c r="D8" s="159"/>
      <c r="E8" s="159"/>
      <c r="F8" s="159"/>
      <c r="G8" s="191"/>
      <c r="H8" s="159"/>
      <c r="I8" s="159"/>
      <c r="J8" s="191"/>
    </row>
    <row r="9" ht="11.85" customHeight="1" spans="3:10">
      <c r="C9" s="1081" t="s">
        <v>10102</v>
      </c>
      <c r="D9" s="159"/>
      <c r="E9" s="159"/>
      <c r="F9" s="159">
        <v>0</v>
      </c>
      <c r="G9" s="191">
        <v>0</v>
      </c>
      <c r="H9" s="159">
        <f>+F9*G9</f>
        <v>0</v>
      </c>
      <c r="I9" s="159"/>
      <c r="J9" s="191">
        <v>0</v>
      </c>
    </row>
    <row r="10" ht="11.85" customHeight="1" spans="3:10">
      <c r="C10" s="1081" t="s">
        <v>10103</v>
      </c>
      <c r="D10" s="159"/>
      <c r="E10" s="159"/>
      <c r="F10" s="159">
        <v>0</v>
      </c>
      <c r="G10" s="191">
        <v>0</v>
      </c>
      <c r="H10" s="159">
        <f>+F10*G10</f>
        <v>0</v>
      </c>
      <c r="I10" s="159"/>
      <c r="J10" s="191">
        <v>0</v>
      </c>
    </row>
    <row r="11" ht="11.85" customHeight="1" spans="3:10">
      <c r="C11" s="1081" t="s">
        <v>10104</v>
      </c>
      <c r="D11" s="159"/>
      <c r="E11" s="159"/>
      <c r="F11" s="159">
        <v>0</v>
      </c>
      <c r="G11" s="191">
        <v>0</v>
      </c>
      <c r="H11" s="159">
        <f>+F11*G11</f>
        <v>0</v>
      </c>
      <c r="I11" s="159"/>
      <c r="J11" s="191">
        <v>0</v>
      </c>
    </row>
    <row r="12" ht="11.85" customHeight="1" spans="3:10">
      <c r="C12" s="1081"/>
      <c r="D12" s="159"/>
      <c r="E12" s="159"/>
      <c r="F12" s="159"/>
      <c r="G12" s="191"/>
      <c r="H12" s="159"/>
      <c r="I12" s="159"/>
      <c r="J12" s="191"/>
    </row>
    <row r="13" ht="11.85" customHeight="1" spans="3:10">
      <c r="C13" s="1081"/>
      <c r="D13" s="159"/>
      <c r="E13" s="159"/>
      <c r="F13" s="159"/>
      <c r="G13" s="191"/>
      <c r="H13" s="159"/>
      <c r="I13" s="159"/>
      <c r="J13" s="191"/>
    </row>
    <row r="14" ht="11.85" customHeight="1" spans="3:10">
      <c r="C14" s="1081"/>
      <c r="D14" s="159"/>
      <c r="E14" s="159"/>
      <c r="F14" s="159"/>
      <c r="G14" s="191"/>
      <c r="H14" s="159"/>
      <c r="I14" s="159"/>
      <c r="J14" s="191"/>
    </row>
    <row r="15" ht="11.85" customHeight="1" spans="3:10">
      <c r="C15" s="1081"/>
      <c r="D15" s="159"/>
      <c r="E15" s="159"/>
      <c r="F15" s="159"/>
      <c r="G15" s="191"/>
      <c r="H15" s="159"/>
      <c r="I15" s="159"/>
      <c r="J15" s="191"/>
    </row>
    <row r="16" ht="11.85" customHeight="1" spans="3:10">
      <c r="C16" s="1081"/>
      <c r="D16" s="164"/>
      <c r="E16" s="164"/>
      <c r="F16" s="164"/>
      <c r="G16" s="142"/>
      <c r="H16" s="164"/>
      <c r="I16" s="164"/>
      <c r="J16" s="191"/>
    </row>
    <row r="17" ht="11.85" customHeight="1" spans="3:10">
      <c r="C17" s="1086"/>
      <c r="D17" s="756"/>
      <c r="E17" s="756" t="s">
        <v>947</v>
      </c>
      <c r="F17" s="756"/>
      <c r="G17" s="756"/>
      <c r="H17" s="756">
        <f>SUM(H9:H16)</f>
        <v>0</v>
      </c>
      <c r="I17" s="756"/>
      <c r="J17" s="29"/>
    </row>
    <row r="18" ht="11.85" customHeight="1" spans="10:10">
      <c r="J18" s="191"/>
    </row>
    <row r="19" ht="11.85" customHeight="1" spans="3:10">
      <c r="C19" s="1076" t="s">
        <v>10105</v>
      </c>
      <c r="D19" s="1093"/>
      <c r="E19" s="1093"/>
      <c r="F19" s="173"/>
      <c r="G19" s="1093"/>
      <c r="H19" s="173"/>
      <c r="I19" s="1093"/>
      <c r="J19" s="173"/>
    </row>
    <row r="20" ht="11.85" customHeight="1" spans="3:10">
      <c r="C20" s="1081"/>
      <c r="D20" s="159"/>
      <c r="E20" s="159"/>
      <c r="F20" s="191"/>
      <c r="G20" s="159"/>
      <c r="H20" s="191"/>
      <c r="I20" s="356"/>
      <c r="J20" s="191"/>
    </row>
    <row r="21" ht="11.85" customHeight="1" spans="3:10">
      <c r="C21" s="1081"/>
      <c r="D21" s="159"/>
      <c r="E21" s="159"/>
      <c r="F21" s="191"/>
      <c r="G21" s="159"/>
      <c r="H21" s="191"/>
      <c r="I21" s="356"/>
      <c r="J21" s="191"/>
    </row>
    <row r="22" ht="11.85" customHeight="1" spans="3:10">
      <c r="C22" s="1081"/>
      <c r="D22" s="159"/>
      <c r="E22" s="159"/>
      <c r="F22" s="191"/>
      <c r="G22" s="159"/>
      <c r="H22" s="191"/>
      <c r="I22" s="356"/>
      <c r="J22" s="191"/>
    </row>
    <row r="23" ht="11.85" customHeight="1" spans="3:10">
      <c r="C23" s="1081"/>
      <c r="D23" s="159"/>
      <c r="E23" s="159"/>
      <c r="F23" s="142"/>
      <c r="G23" s="159"/>
      <c r="H23" s="142"/>
      <c r="I23" s="356"/>
      <c r="J23" s="191"/>
    </row>
    <row r="24" ht="11.85" customHeight="1" spans="3:10">
      <c r="C24" s="597"/>
      <c r="D24" s="762"/>
      <c r="E24" s="756" t="s">
        <v>947</v>
      </c>
      <c r="F24" s="29"/>
      <c r="G24" s="762"/>
      <c r="H24" s="29">
        <f>SUM(H20:H23)</f>
        <v>0</v>
      </c>
      <c r="I24" s="29">
        <v>0</v>
      </c>
      <c r="J24" s="29"/>
    </row>
    <row r="25" ht="11.85" customHeight="1" spans="3:10">
      <c r="C25" s="1086"/>
      <c r="D25" s="164"/>
      <c r="E25" s="756" t="s">
        <v>947</v>
      </c>
      <c r="F25" s="142"/>
      <c r="G25" s="164"/>
      <c r="H25" s="2696">
        <f>H24+H17</f>
        <v>0</v>
      </c>
      <c r="I25" s="142">
        <v>0</v>
      </c>
      <c r="J25" s="142" t="s">
        <v>171</v>
      </c>
    </row>
    <row r="26" ht="11.85" customHeight="1"/>
    <row r="27" spans="3:5">
      <c r="C27" t="s">
        <v>10106</v>
      </c>
      <c r="D27" t="s">
        <v>225</v>
      </c>
      <c r="E27" t="s">
        <v>10107</v>
      </c>
    </row>
  </sheetData>
  <pageMargins left="0.361111111111111" right="0.361111111111111" top="0.361111111111111" bottom="0.361111111111111" header="0.3" footer="0.3"/>
  <pageSetup paperSize="9" orientation="landscape"/>
  <headerFooter/>
  <rowBreaks count="1" manualBreakCount="1">
    <brk id="26" max="16383" man="1"/>
  </rowBreaks>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5"/>
  <dimension ref="A1:R664"/>
  <sheetViews>
    <sheetView zoomScale="115" zoomScaleNormal="115" workbookViewId="0">
      <pane xSplit="8" ySplit="9" topLeftCell="I55" activePane="bottomRight" state="frozen"/>
      <selection/>
      <selection pane="topRight"/>
      <selection pane="bottomLeft"/>
      <selection pane="bottomRight" activeCell="F12" sqref="F12:G12"/>
    </sheetView>
  </sheetViews>
  <sheetFormatPr defaultColWidth="8.84375" defaultRowHeight="13.2"/>
  <cols>
    <col min="1" max="1" width="1.19791666666667" style="784" customWidth="1"/>
    <col min="2" max="2" width="4.9375" style="784" customWidth="1"/>
    <col min="3" max="3" width="1.19791666666667" style="784" customWidth="1"/>
    <col min="4" max="4" width="13.3333333333333" style="784" customWidth="1"/>
    <col min="5" max="5" width="1.19791666666667" style="784" customWidth="1"/>
    <col min="6" max="6" width="38.2083333333333" style="784" customWidth="1"/>
    <col min="7" max="7" width="1.64583333333333" style="784" customWidth="1"/>
    <col min="8" max="8" width="1.19791666666667" style="784" customWidth="1"/>
    <col min="9" max="9" width="2.25" style="784" customWidth="1"/>
    <col min="10" max="10" width="8.39583333333333" style="784" customWidth="1"/>
    <col min="11" max="11" width="3.14583333333333" style="784" customWidth="1"/>
    <col min="12" max="12" width="1.19791666666667" style="784" customWidth="1"/>
    <col min="13" max="13" width="10.6354166666667" style="784" customWidth="1"/>
    <col min="14" max="14" width="1.34375" style="784" customWidth="1"/>
    <col min="15" max="15" width="5.98958333333333" style="784" customWidth="1"/>
    <col min="16" max="16" width="4.34375" style="784" customWidth="1"/>
    <col min="17" max="17" width="1.19791666666667" style="784" customWidth="1"/>
    <col min="18" max="18" width="15.1354166666667" style="784" customWidth="1"/>
    <col min="19" max="16384" width="8.84375" style="784"/>
  </cols>
  <sheetData>
    <row r="1" ht="11.1" customHeight="1" spans="1:18">
      <c r="A1" s="3265" t="s">
        <v>10108</v>
      </c>
      <c r="B1" s="3265"/>
      <c r="C1" s="3265"/>
      <c r="D1" s="3265"/>
      <c r="E1" s="3265"/>
      <c r="F1" s="3265"/>
      <c r="G1" s="3265"/>
      <c r="H1" s="3265"/>
      <c r="I1" s="3265"/>
      <c r="J1" s="3265"/>
      <c r="P1" s="3277" t="s">
        <v>10109</v>
      </c>
      <c r="Q1" s="3277"/>
      <c r="R1" s="3277"/>
    </row>
    <row r="2" ht="17.25" customHeight="1" spans="1:18">
      <c r="A2" s="3266" t="s">
        <v>2273</v>
      </c>
      <c r="B2" s="3266"/>
      <c r="C2" s="3266"/>
      <c r="D2" s="3266"/>
      <c r="E2" s="3266"/>
      <c r="F2" s="3266"/>
      <c r="G2" s="3266"/>
      <c r="H2" s="3266"/>
      <c r="I2" s="3266"/>
      <c r="J2" s="3266"/>
      <c r="K2" s="3266"/>
      <c r="L2" s="3266"/>
      <c r="M2" s="3266"/>
      <c r="N2" s="3266"/>
      <c r="O2" s="3266"/>
      <c r="P2" s="3266"/>
      <c r="Q2" s="3266"/>
      <c r="R2" s="3266"/>
    </row>
    <row r="3" ht="19.5" customHeight="1" spans="1:18">
      <c r="A3" s="3267" t="s">
        <v>2274</v>
      </c>
      <c r="B3" s="3267"/>
      <c r="C3" s="3267"/>
      <c r="D3" s="3267"/>
      <c r="E3" s="3267"/>
      <c r="F3" s="3267"/>
      <c r="G3" s="3267"/>
      <c r="H3" s="3267"/>
      <c r="I3" s="3267"/>
      <c r="J3" s="3267"/>
      <c r="K3" s="3267"/>
      <c r="L3" s="3267"/>
      <c r="M3" s="3267"/>
      <c r="N3" s="3267"/>
      <c r="O3" s="3267"/>
      <c r="P3" s="3267"/>
      <c r="Q3" s="3267"/>
      <c r="R3" s="3267"/>
    </row>
    <row r="4" ht="21.4" customHeight="1" spans="2:18">
      <c r="B4" s="3268" t="s">
        <v>10110</v>
      </c>
      <c r="C4" s="3268"/>
      <c r="D4" s="3268"/>
      <c r="E4" s="3268"/>
      <c r="F4" s="3268"/>
      <c r="G4" s="3268"/>
      <c r="H4" s="3268"/>
      <c r="I4" s="3268"/>
      <c r="J4" s="3268"/>
      <c r="K4" s="3268"/>
      <c r="L4" s="3268"/>
      <c r="M4" s="3268"/>
      <c r="N4" s="3268"/>
      <c r="O4" s="3268"/>
      <c r="P4" s="3268"/>
      <c r="Q4" s="3268"/>
      <c r="R4" s="3268"/>
    </row>
    <row r="5" ht="20.45" customHeight="1" spans="2:18">
      <c r="B5" s="3269" t="s">
        <v>10111</v>
      </c>
      <c r="C5" s="3269"/>
      <c r="D5" s="3269"/>
      <c r="E5" s="3269"/>
      <c r="F5" s="3269"/>
      <c r="G5" s="3269"/>
      <c r="H5" s="3269"/>
      <c r="I5" s="3269"/>
      <c r="J5" s="3269"/>
      <c r="K5" s="3269"/>
      <c r="L5" s="3269"/>
      <c r="M5" s="3269"/>
      <c r="N5" s="3269"/>
      <c r="O5" s="3269"/>
      <c r="P5" s="3269"/>
      <c r="Q5" s="3269"/>
      <c r="R5" s="3269"/>
    </row>
    <row r="6" ht="12.75" customHeight="1"/>
    <row r="7" ht="11.1" customHeight="1" spans="2:9">
      <c r="B7" s="3270" t="s">
        <v>2277</v>
      </c>
      <c r="C7" s="3270"/>
      <c r="D7" s="3270" t="s">
        <v>10112</v>
      </c>
      <c r="E7" s="3270"/>
      <c r="F7" s="3270"/>
      <c r="G7" s="3270"/>
      <c r="H7" s="3270"/>
      <c r="I7" s="3270"/>
    </row>
    <row r="8" ht="9" customHeight="1"/>
    <row r="9" ht="13.35" customHeight="1" spans="2:18">
      <c r="B9" s="3271" t="s">
        <v>26</v>
      </c>
      <c r="D9" s="3272" t="s">
        <v>2279</v>
      </c>
      <c r="F9" s="3272" t="s">
        <v>2280</v>
      </c>
      <c r="G9" s="3272"/>
      <c r="I9" s="3272" t="s">
        <v>2281</v>
      </c>
      <c r="J9" s="3272"/>
      <c r="K9" s="3272"/>
      <c r="M9" s="3272" t="s">
        <v>2282</v>
      </c>
      <c r="O9" s="3272" t="s">
        <v>2283</v>
      </c>
      <c r="P9" s="3272"/>
      <c r="R9" s="3272" t="s">
        <v>2284</v>
      </c>
    </row>
    <row r="10" ht="13.35" customHeight="1" spans="2:7">
      <c r="B10" s="3273" t="s">
        <v>2285</v>
      </c>
      <c r="C10" s="3273"/>
      <c r="D10" s="3273"/>
      <c r="E10" s="3273"/>
      <c r="F10" s="3273"/>
      <c r="G10" s="3273"/>
    </row>
    <row r="11" ht="12.75" customHeight="1" spans="2:18">
      <c r="B11" s="3274">
        <v>1</v>
      </c>
      <c r="D11" s="3275" t="s">
        <v>10113</v>
      </c>
      <c r="F11" s="3275" t="s">
        <v>10114</v>
      </c>
      <c r="G11" s="3275"/>
      <c r="I11" s="3275" t="s">
        <v>2299</v>
      </c>
      <c r="J11" s="3275"/>
      <c r="K11" s="3275"/>
      <c r="M11" s="3278">
        <v>66330</v>
      </c>
      <c r="O11" s="3278">
        <v>0</v>
      </c>
      <c r="P11" s="3278"/>
      <c r="R11" s="3278">
        <v>0</v>
      </c>
    </row>
    <row r="12" ht="12.75" customHeight="1" spans="2:18">
      <c r="B12" s="3274">
        <v>2</v>
      </c>
      <c r="D12" s="3275" t="s">
        <v>10115</v>
      </c>
      <c r="F12" s="3275" t="s">
        <v>10116</v>
      </c>
      <c r="G12" s="3275"/>
      <c r="I12" s="3275" t="s">
        <v>2388</v>
      </c>
      <c r="J12" s="3275"/>
      <c r="K12" s="3275"/>
      <c r="M12" s="3278">
        <v>750</v>
      </c>
      <c r="O12" s="3278">
        <v>0</v>
      </c>
      <c r="P12" s="3278"/>
      <c r="R12" s="3278">
        <v>0</v>
      </c>
    </row>
    <row r="13" ht="12.75" customHeight="1" spans="2:18">
      <c r="B13" s="3274">
        <v>3</v>
      </c>
      <c r="D13" s="3275" t="s">
        <v>10117</v>
      </c>
      <c r="F13" s="3275" t="s">
        <v>10118</v>
      </c>
      <c r="G13" s="3275"/>
      <c r="I13" s="3275" t="s">
        <v>2388</v>
      </c>
      <c r="J13" s="3275"/>
      <c r="K13" s="3275"/>
      <c r="M13" s="3278">
        <v>500</v>
      </c>
      <c r="O13" s="3278">
        <v>0</v>
      </c>
      <c r="P13" s="3278"/>
      <c r="R13" s="3278">
        <v>0</v>
      </c>
    </row>
    <row r="14" ht="12.75" customHeight="1" spans="2:18">
      <c r="B14" s="3274">
        <v>4</v>
      </c>
      <c r="D14" s="3275" t="s">
        <v>10119</v>
      </c>
      <c r="F14" s="3275" t="s">
        <v>10120</v>
      </c>
      <c r="G14" s="3275"/>
      <c r="I14" s="3275" t="s">
        <v>2299</v>
      </c>
      <c r="J14" s="3275"/>
      <c r="K14" s="3275"/>
      <c r="M14" s="3278">
        <v>1000</v>
      </c>
      <c r="O14" s="3278">
        <v>0</v>
      </c>
      <c r="P14" s="3278"/>
      <c r="R14" s="3278">
        <v>0</v>
      </c>
    </row>
    <row r="15" ht="12.75" customHeight="1" spans="2:18">
      <c r="B15" s="3274">
        <v>5</v>
      </c>
      <c r="D15" s="3275" t="s">
        <v>10121</v>
      </c>
      <c r="F15" s="3275" t="s">
        <v>10122</v>
      </c>
      <c r="G15" s="3275"/>
      <c r="I15" s="3275" t="s">
        <v>2299</v>
      </c>
      <c r="J15" s="3275"/>
      <c r="K15" s="3275"/>
      <c r="M15" s="3278">
        <v>1000</v>
      </c>
      <c r="O15" s="3278">
        <v>0</v>
      </c>
      <c r="P15" s="3278"/>
      <c r="R15" s="3278">
        <v>0</v>
      </c>
    </row>
    <row r="16" ht="12.75" customHeight="1" spans="2:18">
      <c r="B16" s="3274">
        <v>6</v>
      </c>
      <c r="D16" s="3275" t="s">
        <v>10123</v>
      </c>
      <c r="F16" s="3275" t="s">
        <v>10124</v>
      </c>
      <c r="G16" s="3275"/>
      <c r="I16" s="3275" t="s">
        <v>2388</v>
      </c>
      <c r="J16" s="3275"/>
      <c r="K16" s="3275"/>
      <c r="M16" s="3278">
        <v>500</v>
      </c>
      <c r="O16" s="3278">
        <v>0</v>
      </c>
      <c r="P16" s="3278"/>
      <c r="R16" s="3278">
        <v>0</v>
      </c>
    </row>
    <row r="17" ht="12.75" customHeight="1" spans="2:18">
      <c r="B17" s="3274">
        <v>7</v>
      </c>
      <c r="D17" s="3275" t="s">
        <v>10125</v>
      </c>
      <c r="F17" s="3275" t="s">
        <v>10126</v>
      </c>
      <c r="G17" s="3275"/>
      <c r="I17" s="3275" t="s">
        <v>2293</v>
      </c>
      <c r="J17" s="3275"/>
      <c r="K17" s="3275"/>
      <c r="M17" s="3278">
        <v>2000</v>
      </c>
      <c r="O17" s="3278">
        <v>0</v>
      </c>
      <c r="P17" s="3278"/>
      <c r="R17" s="3278">
        <v>0</v>
      </c>
    </row>
    <row r="18" ht="13.35" customHeight="1" spans="3:18">
      <c r="C18" s="3276" t="s">
        <v>2289</v>
      </c>
      <c r="D18" s="3276"/>
      <c r="E18" s="3276"/>
      <c r="F18" s="3276"/>
      <c r="R18" s="3279">
        <v>0</v>
      </c>
    </row>
    <row r="19" ht="13.35" customHeight="1" spans="2:7">
      <c r="B19" s="3273" t="s">
        <v>10127</v>
      </c>
      <c r="C19" s="3273"/>
      <c r="D19" s="3273"/>
      <c r="E19" s="3273"/>
      <c r="F19" s="3273"/>
      <c r="G19" s="3273"/>
    </row>
    <row r="20" ht="12.75" customHeight="1" spans="2:18">
      <c r="B20" s="3274">
        <v>1</v>
      </c>
      <c r="D20" s="3275" t="s">
        <v>10128</v>
      </c>
      <c r="F20" s="3275" t="s">
        <v>10129</v>
      </c>
      <c r="G20" s="3275"/>
      <c r="I20" s="3275" t="s">
        <v>10130</v>
      </c>
      <c r="J20" s="3275"/>
      <c r="K20" s="3275"/>
      <c r="M20" s="3278">
        <v>60000</v>
      </c>
      <c r="O20" s="3278">
        <v>0</v>
      </c>
      <c r="P20" s="3278"/>
      <c r="R20" s="3278">
        <v>0</v>
      </c>
    </row>
    <row r="21" ht="12.75" customHeight="1" spans="2:18">
      <c r="B21" s="3274">
        <v>2</v>
      </c>
      <c r="D21" s="3275" t="s">
        <v>10131</v>
      </c>
      <c r="F21" s="3275" t="s">
        <v>10132</v>
      </c>
      <c r="G21" s="3275"/>
      <c r="I21" s="3275" t="s">
        <v>10130</v>
      </c>
      <c r="J21" s="3275"/>
      <c r="K21" s="3275"/>
      <c r="M21" s="3278">
        <v>38500</v>
      </c>
      <c r="O21" s="3278">
        <v>0</v>
      </c>
      <c r="P21" s="3278"/>
      <c r="R21" s="3278">
        <v>0</v>
      </c>
    </row>
    <row r="22" ht="12.75" customHeight="1" spans="2:18">
      <c r="B22" s="3274">
        <v>3</v>
      </c>
      <c r="D22" s="3275" t="s">
        <v>10133</v>
      </c>
      <c r="F22" s="3275" t="s">
        <v>10134</v>
      </c>
      <c r="G22" s="3275"/>
      <c r="I22" s="3275" t="s">
        <v>10130</v>
      </c>
      <c r="J22" s="3275"/>
      <c r="K22" s="3275"/>
      <c r="M22" s="3278">
        <v>3100000</v>
      </c>
      <c r="O22" s="3278">
        <v>0</v>
      </c>
      <c r="P22" s="3278"/>
      <c r="R22" s="3278">
        <v>0</v>
      </c>
    </row>
    <row r="23" ht="13.35" customHeight="1" spans="3:18">
      <c r="C23" s="3276" t="s">
        <v>10135</v>
      </c>
      <c r="D23" s="3276"/>
      <c r="E23" s="3276"/>
      <c r="F23" s="3276"/>
      <c r="R23" s="3279">
        <v>0</v>
      </c>
    </row>
    <row r="24" ht="13.35" customHeight="1" spans="2:7">
      <c r="B24" s="3273" t="s">
        <v>10136</v>
      </c>
      <c r="C24" s="3273"/>
      <c r="D24" s="3273"/>
      <c r="E24" s="3273"/>
      <c r="F24" s="3273"/>
      <c r="G24" s="3273"/>
    </row>
    <row r="25" ht="12.75" customHeight="1" spans="2:18">
      <c r="B25" s="3274">
        <v>1</v>
      </c>
      <c r="D25" s="3275" t="s">
        <v>10137</v>
      </c>
      <c r="F25" s="3275" t="s">
        <v>10138</v>
      </c>
      <c r="G25" s="3275"/>
      <c r="I25" s="3275" t="s">
        <v>2388</v>
      </c>
      <c r="J25" s="3275"/>
      <c r="K25" s="3275"/>
      <c r="M25" s="3278">
        <v>128.7</v>
      </c>
      <c r="O25" s="3278">
        <v>35200</v>
      </c>
      <c r="P25" s="3278"/>
      <c r="R25" s="3278">
        <v>4530240</v>
      </c>
    </row>
    <row r="26" ht="12.75" customHeight="1" spans="2:18">
      <c r="B26" s="3274">
        <v>2</v>
      </c>
      <c r="D26" s="3275" t="s">
        <v>10139</v>
      </c>
      <c r="F26" s="3275" t="s">
        <v>10140</v>
      </c>
      <c r="G26" s="3275"/>
      <c r="I26" s="3275" t="s">
        <v>2388</v>
      </c>
      <c r="J26" s="3275"/>
      <c r="K26" s="3275"/>
      <c r="M26" s="3278">
        <v>86.35</v>
      </c>
      <c r="O26" s="3278">
        <v>41500</v>
      </c>
      <c r="P26" s="3278"/>
      <c r="R26" s="3278">
        <v>3583525</v>
      </c>
    </row>
    <row r="27" ht="12.75" customHeight="1" spans="2:18">
      <c r="B27" s="3274">
        <v>3</v>
      </c>
      <c r="D27" s="3275" t="s">
        <v>10141</v>
      </c>
      <c r="F27" s="3275" t="s">
        <v>10142</v>
      </c>
      <c r="G27" s="3275"/>
      <c r="I27" s="3275" t="s">
        <v>2388</v>
      </c>
      <c r="J27" s="3275"/>
      <c r="K27" s="3275"/>
      <c r="M27" s="3278">
        <v>105.05</v>
      </c>
      <c r="O27" s="3278">
        <v>64500</v>
      </c>
      <c r="P27" s="3278"/>
      <c r="R27" s="3278">
        <v>6775725</v>
      </c>
    </row>
    <row r="28" ht="12.75" customHeight="1" spans="2:18">
      <c r="B28" s="3274">
        <v>4</v>
      </c>
      <c r="D28" s="3275" t="s">
        <v>10143</v>
      </c>
      <c r="F28" s="3275" t="s">
        <v>10144</v>
      </c>
      <c r="G28" s="3275"/>
      <c r="I28" s="3275" t="s">
        <v>2388</v>
      </c>
      <c r="J28" s="3275"/>
      <c r="K28" s="3275"/>
      <c r="M28" s="3278">
        <v>426.8</v>
      </c>
      <c r="O28" s="3278">
        <v>33300</v>
      </c>
      <c r="P28" s="3278"/>
      <c r="R28" s="3278">
        <v>14212440</v>
      </c>
    </row>
    <row r="29" ht="12.75" customHeight="1" spans="2:18">
      <c r="B29" s="3274">
        <v>5</v>
      </c>
      <c r="D29" s="3275" t="s">
        <v>10145</v>
      </c>
      <c r="F29" s="3275" t="s">
        <v>10146</v>
      </c>
      <c r="G29" s="3275"/>
      <c r="I29" s="3275" t="s">
        <v>2388</v>
      </c>
      <c r="J29" s="3275"/>
      <c r="K29" s="3275"/>
      <c r="M29" s="3278">
        <v>3750</v>
      </c>
      <c r="O29" s="3278">
        <v>700</v>
      </c>
      <c r="P29" s="3278"/>
      <c r="R29" s="3278">
        <v>2625000</v>
      </c>
    </row>
    <row r="30" ht="12.75" customHeight="1" spans="2:18">
      <c r="B30" s="3274">
        <v>6</v>
      </c>
      <c r="D30" s="3275" t="s">
        <v>10147</v>
      </c>
      <c r="F30" s="3275" t="s">
        <v>10148</v>
      </c>
      <c r="G30" s="3275"/>
      <c r="I30" s="3275" t="s">
        <v>10149</v>
      </c>
      <c r="J30" s="3275"/>
      <c r="K30" s="3275"/>
      <c r="M30" s="3278">
        <v>24750</v>
      </c>
      <c r="O30" s="3278">
        <v>16</v>
      </c>
      <c r="P30" s="3278"/>
      <c r="R30" s="3278">
        <v>396000</v>
      </c>
    </row>
    <row r="31" ht="12.75" customHeight="1" spans="2:18">
      <c r="B31" s="3274">
        <v>7</v>
      </c>
      <c r="D31" s="3275" t="s">
        <v>10150</v>
      </c>
      <c r="F31" s="3275" t="s">
        <v>10151</v>
      </c>
      <c r="G31" s="3275"/>
      <c r="I31" s="3275" t="s">
        <v>10152</v>
      </c>
      <c r="J31" s="3275"/>
      <c r="K31" s="3275"/>
      <c r="M31" s="3278">
        <v>121000</v>
      </c>
      <c r="O31" s="3278">
        <v>1</v>
      </c>
      <c r="P31" s="3278"/>
      <c r="R31" s="3278">
        <v>121000</v>
      </c>
    </row>
    <row r="32" ht="12.75" customHeight="1" spans="2:18">
      <c r="B32" s="3274">
        <v>8</v>
      </c>
      <c r="D32" s="3275" t="s">
        <v>10153</v>
      </c>
      <c r="F32" s="3275" t="s">
        <v>10154</v>
      </c>
      <c r="G32" s="3275"/>
      <c r="I32" s="3275" t="s">
        <v>10152</v>
      </c>
      <c r="J32" s="3275"/>
      <c r="K32" s="3275"/>
      <c r="M32" s="3278">
        <v>121000</v>
      </c>
      <c r="O32" s="3278">
        <v>8</v>
      </c>
      <c r="P32" s="3278"/>
      <c r="R32" s="3278">
        <v>968000</v>
      </c>
    </row>
    <row r="33" ht="12.75" customHeight="1" spans="2:18">
      <c r="B33" s="3274">
        <v>9</v>
      </c>
      <c r="D33" s="3275" t="s">
        <v>10155</v>
      </c>
      <c r="F33" s="3275" t="s">
        <v>10156</v>
      </c>
      <c r="G33" s="3275"/>
      <c r="I33" s="3275" t="s">
        <v>2299</v>
      </c>
      <c r="J33" s="3275"/>
      <c r="K33" s="3275"/>
      <c r="M33" s="3278">
        <v>2600</v>
      </c>
      <c r="O33" s="3278">
        <v>700</v>
      </c>
      <c r="P33" s="3278"/>
      <c r="R33" s="3278">
        <v>1820000</v>
      </c>
    </row>
    <row r="34" ht="12.75" customHeight="1" spans="2:18">
      <c r="B34" s="3274">
        <v>10</v>
      </c>
      <c r="D34" s="3275" t="s">
        <v>10157</v>
      </c>
      <c r="F34" s="3275" t="s">
        <v>10158</v>
      </c>
      <c r="G34" s="3275"/>
      <c r="I34" s="3275" t="s">
        <v>10152</v>
      </c>
      <c r="J34" s="3275"/>
      <c r="K34" s="3275"/>
      <c r="M34" s="3278">
        <v>121000</v>
      </c>
      <c r="O34" s="3278">
        <v>9</v>
      </c>
      <c r="P34" s="3278"/>
      <c r="R34" s="3278">
        <v>1089000</v>
      </c>
    </row>
    <row r="35" ht="12.75" customHeight="1" spans="2:18">
      <c r="B35" s="3274">
        <v>11</v>
      </c>
      <c r="D35" s="3275" t="s">
        <v>10159</v>
      </c>
      <c r="F35" s="3275" t="s">
        <v>10160</v>
      </c>
      <c r="G35" s="3275"/>
      <c r="I35" s="3275" t="s">
        <v>10152</v>
      </c>
      <c r="J35" s="3275"/>
      <c r="K35" s="3275"/>
      <c r="M35" s="3278">
        <v>121000</v>
      </c>
      <c r="O35" s="3278">
        <v>4</v>
      </c>
      <c r="P35" s="3278"/>
      <c r="R35" s="3278">
        <v>484000</v>
      </c>
    </row>
    <row r="36" ht="12.75" customHeight="1" spans="2:18">
      <c r="B36" s="3274">
        <v>12</v>
      </c>
      <c r="D36" s="3275" t="s">
        <v>10161</v>
      </c>
      <c r="F36" s="3275" t="s">
        <v>10162</v>
      </c>
      <c r="G36" s="3275"/>
      <c r="I36" s="3275" t="s">
        <v>10152</v>
      </c>
      <c r="J36" s="3275"/>
      <c r="K36" s="3275"/>
      <c r="M36" s="3278">
        <v>121000</v>
      </c>
      <c r="O36" s="3278">
        <v>4</v>
      </c>
      <c r="P36" s="3278"/>
      <c r="R36" s="3278">
        <v>484000</v>
      </c>
    </row>
    <row r="37" ht="12.75" customHeight="1" spans="2:18">
      <c r="B37" s="3274">
        <v>13</v>
      </c>
      <c r="D37" s="3275" t="s">
        <v>10163</v>
      </c>
      <c r="F37" s="3275" t="s">
        <v>10164</v>
      </c>
      <c r="G37" s="3275"/>
      <c r="I37" s="3275" t="s">
        <v>10152</v>
      </c>
      <c r="J37" s="3275"/>
      <c r="K37" s="3275"/>
      <c r="M37" s="3278">
        <v>121000</v>
      </c>
      <c r="O37" s="3278">
        <v>5</v>
      </c>
      <c r="P37" s="3278"/>
      <c r="R37" s="3278">
        <v>605000</v>
      </c>
    </row>
    <row r="38" ht="12.75" customHeight="1" spans="2:18">
      <c r="B38" s="3274">
        <v>14</v>
      </c>
      <c r="D38" s="3275" t="s">
        <v>10165</v>
      </c>
      <c r="F38" s="3275" t="s">
        <v>10166</v>
      </c>
      <c r="G38" s="3275"/>
      <c r="I38" s="3275" t="s">
        <v>10152</v>
      </c>
      <c r="J38" s="3275"/>
      <c r="K38" s="3275"/>
      <c r="M38" s="3278">
        <v>121000</v>
      </c>
      <c r="O38" s="3278">
        <v>2</v>
      </c>
      <c r="P38" s="3278"/>
      <c r="R38" s="3278">
        <v>242000</v>
      </c>
    </row>
    <row r="39" ht="12.75" customHeight="1" spans="2:18">
      <c r="B39" s="3274">
        <v>15</v>
      </c>
      <c r="D39" s="3275" t="s">
        <v>10167</v>
      </c>
      <c r="F39" s="3275" t="s">
        <v>10168</v>
      </c>
      <c r="G39" s="3275"/>
      <c r="I39" s="3275" t="s">
        <v>10149</v>
      </c>
      <c r="J39" s="3275"/>
      <c r="K39" s="3275"/>
      <c r="M39" s="3278">
        <v>9500</v>
      </c>
      <c r="O39" s="3278">
        <v>46</v>
      </c>
      <c r="P39" s="3278"/>
      <c r="R39" s="3278">
        <v>437000</v>
      </c>
    </row>
    <row r="40" ht="12.75" customHeight="1" spans="2:18">
      <c r="B40" s="3274">
        <v>16</v>
      </c>
      <c r="D40" s="3275" t="s">
        <v>10169</v>
      </c>
      <c r="F40" s="3275" t="s">
        <v>10170</v>
      </c>
      <c r="G40" s="3275"/>
      <c r="I40" s="3275" t="s">
        <v>10152</v>
      </c>
      <c r="J40" s="3275"/>
      <c r="K40" s="3275"/>
      <c r="M40" s="3278">
        <v>121000</v>
      </c>
      <c r="O40" s="3278">
        <v>0</v>
      </c>
      <c r="P40" s="3278"/>
      <c r="R40" s="3278">
        <v>0</v>
      </c>
    </row>
    <row r="41" ht="12.75" customHeight="1" spans="2:18">
      <c r="B41" s="3274">
        <v>17</v>
      </c>
      <c r="D41" s="3275" t="s">
        <v>10171</v>
      </c>
      <c r="F41" s="3275" t="s">
        <v>10172</v>
      </c>
      <c r="G41" s="3275"/>
      <c r="I41" s="3275" t="s">
        <v>10152</v>
      </c>
      <c r="J41" s="3275"/>
      <c r="K41" s="3275"/>
      <c r="M41" s="3278">
        <v>110000</v>
      </c>
      <c r="O41" s="3278">
        <v>0</v>
      </c>
      <c r="P41" s="3278"/>
      <c r="R41" s="3278">
        <v>0</v>
      </c>
    </row>
    <row r="42" ht="12.75" customHeight="1" spans="2:18">
      <c r="B42" s="3274">
        <v>18</v>
      </c>
      <c r="D42" s="3275" t="s">
        <v>10173</v>
      </c>
      <c r="F42" s="3275" t="s">
        <v>10174</v>
      </c>
      <c r="G42" s="3275"/>
      <c r="I42" s="3275" t="s">
        <v>10149</v>
      </c>
      <c r="J42" s="3275"/>
      <c r="K42" s="3275"/>
      <c r="M42" s="3278">
        <v>22000</v>
      </c>
      <c r="O42" s="3278">
        <v>260</v>
      </c>
      <c r="P42" s="3278"/>
      <c r="R42" s="3278">
        <v>5720000</v>
      </c>
    </row>
    <row r="43" ht="12.75" customHeight="1" spans="2:18">
      <c r="B43" s="3274">
        <v>19</v>
      </c>
      <c r="D43" s="3275" t="s">
        <v>10175</v>
      </c>
      <c r="F43" s="3275" t="s">
        <v>10176</v>
      </c>
      <c r="G43" s="3275"/>
      <c r="I43" s="3275" t="s">
        <v>10149</v>
      </c>
      <c r="J43" s="3275"/>
      <c r="K43" s="3275"/>
      <c r="M43" s="3278">
        <v>18000</v>
      </c>
      <c r="O43" s="3278">
        <v>111</v>
      </c>
      <c r="P43" s="3278"/>
      <c r="R43" s="3278">
        <v>1998000</v>
      </c>
    </row>
    <row r="44" ht="12.75" customHeight="1" spans="2:18">
      <c r="B44" s="3274">
        <v>20</v>
      </c>
      <c r="D44" s="3275" t="s">
        <v>10177</v>
      </c>
      <c r="F44" s="3275" t="s">
        <v>10178</v>
      </c>
      <c r="G44" s="3275"/>
      <c r="I44" s="3275" t="s">
        <v>10152</v>
      </c>
      <c r="J44" s="3275"/>
      <c r="K44" s="3275"/>
      <c r="M44" s="3278">
        <v>85000</v>
      </c>
      <c r="O44" s="3278">
        <v>20</v>
      </c>
      <c r="P44" s="3278"/>
      <c r="R44" s="3278">
        <v>1700000</v>
      </c>
    </row>
    <row r="45" ht="12.75" customHeight="1" spans="2:18">
      <c r="B45" s="3274">
        <v>21</v>
      </c>
      <c r="D45" s="3275" t="s">
        <v>10179</v>
      </c>
      <c r="F45" s="3275" t="s">
        <v>10180</v>
      </c>
      <c r="G45" s="3275"/>
      <c r="I45" s="3275" t="s">
        <v>10149</v>
      </c>
      <c r="J45" s="3275"/>
      <c r="K45" s="3275"/>
      <c r="M45" s="3278">
        <v>22000</v>
      </c>
      <c r="O45" s="3278">
        <v>71</v>
      </c>
      <c r="P45" s="3278"/>
      <c r="R45" s="3278">
        <v>1562000</v>
      </c>
    </row>
    <row r="46" ht="12.75" customHeight="1" spans="2:18">
      <c r="B46" s="3274">
        <v>22</v>
      </c>
      <c r="D46" s="3275" t="s">
        <v>10181</v>
      </c>
      <c r="F46" s="3275" t="s">
        <v>10182</v>
      </c>
      <c r="G46" s="3275"/>
      <c r="I46" s="3275" t="s">
        <v>10152</v>
      </c>
      <c r="J46" s="3275"/>
      <c r="K46" s="3275"/>
      <c r="M46" s="3278">
        <v>121000</v>
      </c>
      <c r="O46" s="3278">
        <v>0</v>
      </c>
      <c r="P46" s="3278"/>
      <c r="R46" s="3278">
        <v>0</v>
      </c>
    </row>
    <row r="47" ht="12.75" customHeight="1" spans="2:18">
      <c r="B47" s="3274">
        <v>23</v>
      </c>
      <c r="D47" s="3275" t="s">
        <v>10183</v>
      </c>
      <c r="F47" s="3275" t="s">
        <v>10184</v>
      </c>
      <c r="G47" s="3275"/>
      <c r="I47" s="3275" t="s">
        <v>10152</v>
      </c>
      <c r="J47" s="3275"/>
      <c r="K47" s="3275"/>
      <c r="M47" s="3278">
        <v>110000</v>
      </c>
      <c r="O47" s="3278">
        <v>5</v>
      </c>
      <c r="P47" s="3278"/>
      <c r="R47" s="3278">
        <v>550000</v>
      </c>
    </row>
    <row r="48" ht="12.75" customHeight="1" spans="2:18">
      <c r="B48" s="3274">
        <v>24</v>
      </c>
      <c r="D48" s="3275" t="s">
        <v>10185</v>
      </c>
      <c r="F48" s="3275" t="s">
        <v>10186</v>
      </c>
      <c r="G48" s="3275"/>
      <c r="I48" s="3275" t="s">
        <v>10152</v>
      </c>
      <c r="J48" s="3275"/>
      <c r="K48" s="3275"/>
      <c r="M48" s="3278">
        <v>121000</v>
      </c>
      <c r="O48" s="3278">
        <v>8</v>
      </c>
      <c r="P48" s="3278"/>
      <c r="R48" s="3278">
        <v>968000</v>
      </c>
    </row>
    <row r="49" ht="12.75" customHeight="1" spans="2:18">
      <c r="B49" s="3274">
        <v>25</v>
      </c>
      <c r="D49" s="3275" t="s">
        <v>10187</v>
      </c>
      <c r="F49" s="3275" t="s">
        <v>10188</v>
      </c>
      <c r="G49" s="3275"/>
      <c r="I49" s="3275" t="s">
        <v>10152</v>
      </c>
      <c r="J49" s="3275"/>
      <c r="K49" s="3275"/>
      <c r="M49" s="3278">
        <v>121000</v>
      </c>
      <c r="O49" s="3278">
        <v>4</v>
      </c>
      <c r="P49" s="3278"/>
      <c r="R49" s="3278">
        <v>484000</v>
      </c>
    </row>
    <row r="50" ht="12.75" customHeight="1" spans="2:18">
      <c r="B50" s="3274">
        <v>26</v>
      </c>
      <c r="D50" s="3275" t="s">
        <v>10189</v>
      </c>
      <c r="F50" s="3275" t="s">
        <v>10190</v>
      </c>
      <c r="G50" s="3275"/>
      <c r="I50" s="3275" t="s">
        <v>2388</v>
      </c>
      <c r="J50" s="3275"/>
      <c r="K50" s="3275"/>
      <c r="M50" s="3278">
        <v>1800</v>
      </c>
      <c r="O50" s="3278">
        <v>1000</v>
      </c>
      <c r="P50" s="3278"/>
      <c r="R50" s="3278">
        <v>1800000</v>
      </c>
    </row>
    <row r="51" ht="12.75" customHeight="1" spans="2:18">
      <c r="B51" s="3274">
        <v>27</v>
      </c>
      <c r="D51" s="3275" t="s">
        <v>10191</v>
      </c>
      <c r="F51" s="3275" t="s">
        <v>10192</v>
      </c>
      <c r="G51" s="3275"/>
      <c r="I51" s="3275" t="s">
        <v>2388</v>
      </c>
      <c r="J51" s="3275"/>
      <c r="K51" s="3275"/>
      <c r="M51" s="3278">
        <v>1430</v>
      </c>
      <c r="O51" s="3278">
        <v>1000</v>
      </c>
      <c r="P51" s="3278"/>
      <c r="R51" s="3278">
        <v>1430000</v>
      </c>
    </row>
    <row r="52" ht="12.75" customHeight="1" spans="2:18">
      <c r="B52" s="3274">
        <v>28</v>
      </c>
      <c r="D52" s="3275" t="s">
        <v>10193</v>
      </c>
      <c r="F52" s="3275" t="s">
        <v>10194</v>
      </c>
      <c r="G52" s="3275"/>
      <c r="I52" s="3275" t="s">
        <v>10149</v>
      </c>
      <c r="J52" s="3275"/>
      <c r="K52" s="3275"/>
      <c r="M52" s="3278">
        <v>15000</v>
      </c>
      <c r="O52" s="3278">
        <v>92</v>
      </c>
      <c r="P52" s="3278"/>
      <c r="R52" s="3278">
        <v>1380000</v>
      </c>
    </row>
    <row r="53" ht="12.75" customHeight="1" spans="2:18">
      <c r="B53" s="3274">
        <v>29</v>
      </c>
      <c r="D53" s="3275" t="s">
        <v>10195</v>
      </c>
      <c r="F53" s="3275" t="s">
        <v>10196</v>
      </c>
      <c r="G53" s="3275"/>
      <c r="I53" s="3275" t="s">
        <v>2299</v>
      </c>
      <c r="J53" s="3275"/>
      <c r="K53" s="3275"/>
      <c r="M53" s="3278">
        <v>423500</v>
      </c>
      <c r="O53" s="3278">
        <v>1</v>
      </c>
      <c r="P53" s="3278"/>
      <c r="R53" s="3278">
        <v>423500</v>
      </c>
    </row>
    <row r="54" ht="12.75" customHeight="1" spans="2:18">
      <c r="B54" s="3274">
        <v>30</v>
      </c>
      <c r="D54" s="3275" t="s">
        <v>10197</v>
      </c>
      <c r="F54" s="3275" t="s">
        <v>10198</v>
      </c>
      <c r="G54" s="3275"/>
      <c r="I54" s="3275" t="s">
        <v>2457</v>
      </c>
      <c r="J54" s="3275"/>
      <c r="K54" s="3275"/>
      <c r="M54" s="3278">
        <v>110000</v>
      </c>
      <c r="O54" s="3278">
        <v>22</v>
      </c>
      <c r="P54" s="3278"/>
      <c r="R54" s="3278">
        <v>2420000</v>
      </c>
    </row>
    <row r="55" ht="12.75" customHeight="1" spans="2:18">
      <c r="B55" s="3274">
        <v>31</v>
      </c>
      <c r="D55" s="3275" t="s">
        <v>10199</v>
      </c>
      <c r="F55" s="3275" t="s">
        <v>10200</v>
      </c>
      <c r="G55" s="3275"/>
      <c r="I55" s="3275" t="s">
        <v>2388</v>
      </c>
      <c r="J55" s="3275"/>
      <c r="K55" s="3275"/>
      <c r="M55" s="3278">
        <v>250</v>
      </c>
      <c r="O55" s="3278">
        <v>2800</v>
      </c>
      <c r="P55" s="3278"/>
      <c r="R55" s="3278">
        <v>700000</v>
      </c>
    </row>
    <row r="56" ht="12.75" customHeight="1" spans="2:18">
      <c r="B56" s="3274">
        <v>32</v>
      </c>
      <c r="D56" s="3275" t="s">
        <v>10201</v>
      </c>
      <c r="F56" s="3275" t="s">
        <v>10202</v>
      </c>
      <c r="G56" s="3275"/>
      <c r="I56" s="3275" t="s">
        <v>2388</v>
      </c>
      <c r="J56" s="3275"/>
      <c r="K56" s="3275"/>
      <c r="M56" s="3278">
        <v>250</v>
      </c>
      <c r="O56" s="3278">
        <v>1800</v>
      </c>
      <c r="P56" s="3278"/>
      <c r="R56" s="3278">
        <v>450000</v>
      </c>
    </row>
    <row r="57" ht="12.75" customHeight="1" spans="2:18">
      <c r="B57" s="3274">
        <v>33</v>
      </c>
      <c r="D57" s="3275" t="s">
        <v>10203</v>
      </c>
      <c r="F57" s="3275" t="s">
        <v>10204</v>
      </c>
      <c r="G57" s="3275"/>
      <c r="I57" s="3275" t="s">
        <v>2388</v>
      </c>
      <c r="J57" s="3275"/>
      <c r="K57" s="3275"/>
      <c r="M57" s="3278">
        <v>250</v>
      </c>
      <c r="O57" s="3278">
        <v>2600</v>
      </c>
      <c r="P57" s="3278"/>
      <c r="R57" s="3278">
        <v>650000</v>
      </c>
    </row>
    <row r="58" ht="12.75" customHeight="1" spans="2:18">
      <c r="B58" s="3274">
        <v>34</v>
      </c>
      <c r="D58" s="3275" t="s">
        <v>10205</v>
      </c>
      <c r="F58" s="3275" t="s">
        <v>10206</v>
      </c>
      <c r="G58" s="3275"/>
      <c r="I58" s="3275" t="s">
        <v>2388</v>
      </c>
      <c r="J58" s="3275"/>
      <c r="K58" s="3275"/>
      <c r="M58" s="3278">
        <v>275</v>
      </c>
      <c r="O58" s="3278">
        <v>1200</v>
      </c>
      <c r="P58" s="3278"/>
      <c r="R58" s="3278">
        <v>330000</v>
      </c>
    </row>
    <row r="59" ht="12.75" customHeight="1" spans="2:18">
      <c r="B59" s="3274">
        <v>35</v>
      </c>
      <c r="D59" s="3275" t="s">
        <v>10207</v>
      </c>
      <c r="F59" s="3275" t="s">
        <v>10208</v>
      </c>
      <c r="G59" s="3275"/>
      <c r="I59" s="3275" t="s">
        <v>10152</v>
      </c>
      <c r="J59" s="3275"/>
      <c r="K59" s="3275"/>
      <c r="M59" s="3278">
        <v>121000</v>
      </c>
      <c r="O59" s="3278">
        <v>0</v>
      </c>
      <c r="P59" s="3278"/>
      <c r="R59" s="3278">
        <v>0</v>
      </c>
    </row>
    <row r="60" ht="12.75" customHeight="1" spans="2:18">
      <c r="B60" s="3274">
        <v>36</v>
      </c>
      <c r="D60" s="3275" t="s">
        <v>10209</v>
      </c>
      <c r="F60" s="3275" t="s">
        <v>10210</v>
      </c>
      <c r="G60" s="3275"/>
      <c r="I60" s="3275" t="s">
        <v>10152</v>
      </c>
      <c r="J60" s="3275"/>
      <c r="K60" s="3275"/>
      <c r="M60" s="3278">
        <v>110000</v>
      </c>
      <c r="O60" s="3278">
        <v>5</v>
      </c>
      <c r="P60" s="3278"/>
      <c r="R60" s="3278">
        <v>550000</v>
      </c>
    </row>
    <row r="61" ht="12.75" customHeight="1" spans="2:18">
      <c r="B61" s="3274">
        <v>37</v>
      </c>
      <c r="D61" s="3275" t="s">
        <v>10211</v>
      </c>
      <c r="F61" s="3275" t="s">
        <v>10212</v>
      </c>
      <c r="G61" s="3275"/>
      <c r="I61" s="3275" t="s">
        <v>10152</v>
      </c>
      <c r="J61" s="3275"/>
      <c r="K61" s="3275"/>
      <c r="M61" s="3278">
        <v>121000</v>
      </c>
      <c r="O61" s="3278">
        <v>0</v>
      </c>
      <c r="P61" s="3278"/>
      <c r="R61" s="3278">
        <v>0</v>
      </c>
    </row>
    <row r="62" ht="12.75" customHeight="1" spans="2:18">
      <c r="B62" s="3274">
        <v>38</v>
      </c>
      <c r="D62" s="3275" t="s">
        <v>10213</v>
      </c>
      <c r="F62" s="3275" t="s">
        <v>10214</v>
      </c>
      <c r="G62" s="3275"/>
      <c r="I62" s="3275" t="s">
        <v>10152</v>
      </c>
      <c r="J62" s="3275"/>
      <c r="K62" s="3275"/>
      <c r="M62" s="3278">
        <v>121000</v>
      </c>
      <c r="O62" s="3278">
        <v>5</v>
      </c>
      <c r="P62" s="3278"/>
      <c r="R62" s="3278">
        <v>605000</v>
      </c>
    </row>
    <row r="63" ht="12.75" customHeight="1" spans="2:18">
      <c r="B63" s="3274">
        <v>39</v>
      </c>
      <c r="D63" s="3275" t="s">
        <v>10215</v>
      </c>
      <c r="F63" s="3275" t="s">
        <v>10216</v>
      </c>
      <c r="G63" s="3275"/>
      <c r="I63" s="3275" t="s">
        <v>10152</v>
      </c>
      <c r="J63" s="3275"/>
      <c r="K63" s="3275"/>
      <c r="M63" s="3278">
        <v>93500</v>
      </c>
      <c r="O63" s="3278">
        <v>0</v>
      </c>
      <c r="P63" s="3278"/>
      <c r="R63" s="3278">
        <v>0</v>
      </c>
    </row>
    <row r="64" ht="12.75" customHeight="1" spans="2:18">
      <c r="B64" s="3274">
        <v>40</v>
      </c>
      <c r="D64" s="3275" t="s">
        <v>10217</v>
      </c>
      <c r="F64" s="3275" t="s">
        <v>10218</v>
      </c>
      <c r="G64" s="3275"/>
      <c r="I64" s="3275" t="s">
        <v>10152</v>
      </c>
      <c r="J64" s="3275"/>
      <c r="K64" s="3275"/>
      <c r="M64" s="3278">
        <v>110000</v>
      </c>
      <c r="O64" s="3278">
        <v>3</v>
      </c>
      <c r="P64" s="3278"/>
      <c r="R64" s="3278">
        <v>330000</v>
      </c>
    </row>
    <row r="65" ht="12.75" customHeight="1" spans="2:18">
      <c r="B65" s="3274">
        <v>41</v>
      </c>
      <c r="D65" s="3275" t="s">
        <v>10219</v>
      </c>
      <c r="F65" s="3275" t="s">
        <v>10220</v>
      </c>
      <c r="G65" s="3275"/>
      <c r="I65" s="3275" t="s">
        <v>10149</v>
      </c>
      <c r="J65" s="3275"/>
      <c r="K65" s="3275"/>
      <c r="M65" s="3278">
        <v>22500</v>
      </c>
      <c r="O65" s="3278">
        <v>279</v>
      </c>
      <c r="P65" s="3278"/>
      <c r="R65" s="3278">
        <v>6277500</v>
      </c>
    </row>
    <row r="66" ht="12.75" customHeight="1" spans="2:18">
      <c r="B66" s="3274">
        <v>42</v>
      </c>
      <c r="D66" s="3275" t="s">
        <v>10221</v>
      </c>
      <c r="F66" s="3275" t="s">
        <v>10222</v>
      </c>
      <c r="G66" s="3275"/>
      <c r="I66" s="3275" t="s">
        <v>10149</v>
      </c>
      <c r="J66" s="3275"/>
      <c r="K66" s="3275"/>
      <c r="M66" s="3278">
        <v>24750</v>
      </c>
      <c r="O66" s="3278">
        <v>15</v>
      </c>
      <c r="P66" s="3278"/>
      <c r="R66" s="3278">
        <v>371250</v>
      </c>
    </row>
    <row r="67" ht="12.75" customHeight="1" spans="2:18">
      <c r="B67" s="3274">
        <v>43</v>
      </c>
      <c r="D67" s="3275" t="s">
        <v>10223</v>
      </c>
      <c r="F67" s="3275" t="s">
        <v>10224</v>
      </c>
      <c r="G67" s="3275"/>
      <c r="I67" s="3275" t="s">
        <v>10149</v>
      </c>
      <c r="J67" s="3275"/>
      <c r="K67" s="3275"/>
      <c r="M67" s="3278">
        <v>420750</v>
      </c>
      <c r="O67" s="3278">
        <v>29</v>
      </c>
      <c r="P67" s="3278"/>
      <c r="R67" s="3278">
        <v>12201750</v>
      </c>
    </row>
    <row r="68" ht="12.75" customHeight="1" spans="2:18">
      <c r="B68" s="3274">
        <v>44</v>
      </c>
      <c r="D68" s="3275" t="s">
        <v>10225</v>
      </c>
      <c r="F68" s="3275" t="s">
        <v>10226</v>
      </c>
      <c r="G68" s="3275"/>
      <c r="I68" s="3275" t="s">
        <v>10149</v>
      </c>
      <c r="J68" s="3275"/>
      <c r="K68" s="3275"/>
      <c r="M68" s="3278">
        <v>24750</v>
      </c>
      <c r="O68" s="3278">
        <v>156</v>
      </c>
      <c r="P68" s="3278"/>
      <c r="R68" s="3278">
        <v>3861000</v>
      </c>
    </row>
    <row r="69" ht="12.75" customHeight="1" spans="2:18">
      <c r="B69" s="3274">
        <v>45</v>
      </c>
      <c r="D69" s="3275" t="s">
        <v>10227</v>
      </c>
      <c r="F69" s="3275" t="s">
        <v>10228</v>
      </c>
      <c r="G69" s="3275"/>
      <c r="I69" s="3275" t="s">
        <v>10152</v>
      </c>
      <c r="J69" s="3275"/>
      <c r="K69" s="3275"/>
      <c r="M69" s="3278">
        <v>100000</v>
      </c>
      <c r="O69" s="3278">
        <v>3</v>
      </c>
      <c r="P69" s="3278"/>
      <c r="R69" s="3278">
        <v>300000</v>
      </c>
    </row>
    <row r="70" ht="12.75" customHeight="1" spans="2:18">
      <c r="B70" s="3274">
        <v>46</v>
      </c>
      <c r="D70" s="3275" t="s">
        <v>10229</v>
      </c>
      <c r="F70" s="3275" t="s">
        <v>10230</v>
      </c>
      <c r="G70" s="3275"/>
      <c r="I70" s="3275" t="s">
        <v>10152</v>
      </c>
      <c r="J70" s="3275"/>
      <c r="K70" s="3275"/>
      <c r="M70" s="3278">
        <v>100000</v>
      </c>
      <c r="O70" s="3278">
        <v>4</v>
      </c>
      <c r="P70" s="3278"/>
      <c r="R70" s="3278">
        <v>400000</v>
      </c>
    </row>
    <row r="71" ht="12.75" customHeight="1" spans="2:18">
      <c r="B71" s="3274">
        <v>47</v>
      </c>
      <c r="D71" s="3275" t="s">
        <v>10231</v>
      </c>
      <c r="F71" s="3275" t="s">
        <v>10232</v>
      </c>
      <c r="G71" s="3275"/>
      <c r="I71" s="3275" t="s">
        <v>10152</v>
      </c>
      <c r="J71" s="3275"/>
      <c r="K71" s="3275"/>
      <c r="M71" s="3278">
        <v>100000</v>
      </c>
      <c r="O71" s="3278">
        <v>1</v>
      </c>
      <c r="P71" s="3278"/>
      <c r="R71" s="3278">
        <v>100000</v>
      </c>
    </row>
    <row r="72" ht="12.75" customHeight="1" spans="2:18">
      <c r="B72" s="3274">
        <v>48</v>
      </c>
      <c r="D72" s="3275" t="s">
        <v>10233</v>
      </c>
      <c r="F72" s="3275" t="s">
        <v>10234</v>
      </c>
      <c r="G72" s="3275"/>
      <c r="I72" s="3275" t="s">
        <v>10152</v>
      </c>
      <c r="J72" s="3275"/>
      <c r="K72" s="3275"/>
      <c r="M72" s="3278">
        <v>136363.6406</v>
      </c>
      <c r="O72" s="3278">
        <v>0</v>
      </c>
      <c r="P72" s="3278"/>
      <c r="R72" s="3278">
        <v>0</v>
      </c>
    </row>
    <row r="73" ht="12.75" customHeight="1" spans="2:18">
      <c r="B73" s="3274">
        <v>49</v>
      </c>
      <c r="D73" s="3275" t="s">
        <v>10235</v>
      </c>
      <c r="F73" s="3275" t="s">
        <v>10236</v>
      </c>
      <c r="G73" s="3275"/>
      <c r="I73" s="3275" t="s">
        <v>10152</v>
      </c>
      <c r="J73" s="3275"/>
      <c r="K73" s="3275"/>
      <c r="M73" s="3278">
        <v>100000</v>
      </c>
      <c r="O73" s="3278">
        <v>4</v>
      </c>
      <c r="P73" s="3278"/>
      <c r="R73" s="3278">
        <v>400000</v>
      </c>
    </row>
    <row r="74" ht="12.75" customHeight="1" spans="2:18">
      <c r="B74" s="3274">
        <v>50</v>
      </c>
      <c r="D74" s="3275" t="s">
        <v>10237</v>
      </c>
      <c r="F74" s="3275" t="s">
        <v>10238</v>
      </c>
      <c r="G74" s="3275"/>
      <c r="I74" s="3275" t="s">
        <v>10152</v>
      </c>
      <c r="J74" s="3275"/>
      <c r="K74" s="3275"/>
      <c r="M74" s="3278">
        <v>110000</v>
      </c>
      <c r="O74" s="3278">
        <v>5</v>
      </c>
      <c r="P74" s="3278"/>
      <c r="R74" s="3278">
        <v>550000</v>
      </c>
    </row>
    <row r="75" ht="12.75" customHeight="1" spans="2:18">
      <c r="B75" s="3274">
        <v>51</v>
      </c>
      <c r="D75" s="3275" t="s">
        <v>10239</v>
      </c>
      <c r="F75" s="3275" t="s">
        <v>10240</v>
      </c>
      <c r="G75" s="3275"/>
      <c r="I75" s="3275" t="s">
        <v>10152</v>
      </c>
      <c r="J75" s="3275"/>
      <c r="K75" s="3275"/>
      <c r="M75" s="3278">
        <v>100000</v>
      </c>
      <c r="O75" s="3278">
        <v>4</v>
      </c>
      <c r="P75" s="3278"/>
      <c r="R75" s="3278">
        <v>400000</v>
      </c>
    </row>
    <row r="76" ht="12.75" customHeight="1" spans="2:18">
      <c r="B76" s="3274">
        <v>52</v>
      </c>
      <c r="D76" s="3275" t="s">
        <v>10241</v>
      </c>
      <c r="F76" s="3275" t="s">
        <v>10242</v>
      </c>
      <c r="G76" s="3275"/>
      <c r="I76" s="3275" t="s">
        <v>10152</v>
      </c>
      <c r="J76" s="3275"/>
      <c r="K76" s="3275"/>
      <c r="M76" s="3278">
        <v>121000</v>
      </c>
      <c r="O76" s="3278">
        <v>6</v>
      </c>
      <c r="P76" s="3278"/>
      <c r="R76" s="3278">
        <v>726000</v>
      </c>
    </row>
    <row r="77" ht="12.75" customHeight="1" spans="2:18">
      <c r="B77" s="3274">
        <v>53</v>
      </c>
      <c r="D77" s="3275" t="s">
        <v>10243</v>
      </c>
      <c r="F77" s="3275" t="s">
        <v>10244</v>
      </c>
      <c r="G77" s="3275"/>
      <c r="I77" s="3275" t="s">
        <v>10152</v>
      </c>
      <c r="J77" s="3275"/>
      <c r="K77" s="3275"/>
      <c r="M77" s="3278">
        <v>209000</v>
      </c>
      <c r="O77" s="3278">
        <v>1</v>
      </c>
      <c r="P77" s="3278"/>
      <c r="R77" s="3278">
        <v>209000</v>
      </c>
    </row>
    <row r="78" ht="12.75" customHeight="1" spans="2:18">
      <c r="B78" s="3274">
        <v>54</v>
      </c>
      <c r="D78" s="3275" t="s">
        <v>10245</v>
      </c>
      <c r="F78" s="3275" t="s">
        <v>10246</v>
      </c>
      <c r="G78" s="3275"/>
      <c r="I78" s="3275" t="s">
        <v>10152</v>
      </c>
      <c r="J78" s="3275"/>
      <c r="K78" s="3275"/>
      <c r="M78" s="3278">
        <v>150000</v>
      </c>
      <c r="O78" s="3278">
        <v>9</v>
      </c>
      <c r="P78" s="3278"/>
      <c r="R78" s="3278">
        <v>1350000</v>
      </c>
    </row>
    <row r="79" ht="12.75" customHeight="1" spans="2:18">
      <c r="B79" s="3274">
        <v>55</v>
      </c>
      <c r="D79" s="3275" t="s">
        <v>10247</v>
      </c>
      <c r="F79" s="3275" t="s">
        <v>10248</v>
      </c>
      <c r="G79" s="3275"/>
      <c r="I79" s="3275" t="s">
        <v>10152</v>
      </c>
      <c r="J79" s="3275"/>
      <c r="K79" s="3275"/>
      <c r="M79" s="3278">
        <v>121000</v>
      </c>
      <c r="O79" s="3278">
        <v>3</v>
      </c>
      <c r="P79" s="3278"/>
      <c r="R79" s="3278">
        <v>363000</v>
      </c>
    </row>
    <row r="80" ht="12.75" customHeight="1" spans="2:18">
      <c r="B80" s="3274">
        <v>56</v>
      </c>
      <c r="D80" s="3275" t="s">
        <v>10249</v>
      </c>
      <c r="F80" s="3275" t="s">
        <v>10250</v>
      </c>
      <c r="G80" s="3275"/>
      <c r="I80" s="3275" t="s">
        <v>10152</v>
      </c>
      <c r="J80" s="3275"/>
      <c r="K80" s="3275"/>
      <c r="M80" s="3278">
        <v>150000</v>
      </c>
      <c r="O80" s="3278">
        <v>9</v>
      </c>
      <c r="P80" s="3278"/>
      <c r="R80" s="3278">
        <v>1350000</v>
      </c>
    </row>
    <row r="81" ht="12.75" customHeight="1" spans="2:18">
      <c r="B81" s="3274">
        <v>57</v>
      </c>
      <c r="D81" s="3275" t="s">
        <v>10251</v>
      </c>
      <c r="F81" s="3275" t="s">
        <v>10252</v>
      </c>
      <c r="G81" s="3275"/>
      <c r="I81" s="3275" t="s">
        <v>10152</v>
      </c>
      <c r="J81" s="3275"/>
      <c r="K81" s="3275"/>
      <c r="M81" s="3278">
        <v>100000</v>
      </c>
      <c r="O81" s="3278">
        <v>3</v>
      </c>
      <c r="P81" s="3278"/>
      <c r="R81" s="3278">
        <v>300000</v>
      </c>
    </row>
    <row r="82" ht="12.75" customHeight="1" spans="2:18">
      <c r="B82" s="3274">
        <v>58</v>
      </c>
      <c r="D82" s="3275" t="s">
        <v>10253</v>
      </c>
      <c r="F82" s="3275" t="s">
        <v>10254</v>
      </c>
      <c r="G82" s="3275"/>
      <c r="I82" s="3275" t="s">
        <v>10152</v>
      </c>
      <c r="J82" s="3275"/>
      <c r="K82" s="3275"/>
      <c r="M82" s="3278">
        <v>100000</v>
      </c>
      <c r="O82" s="3278">
        <v>8</v>
      </c>
      <c r="P82" s="3278"/>
      <c r="R82" s="3278">
        <v>800000</v>
      </c>
    </row>
    <row r="83" ht="12.75" customHeight="1" spans="2:18">
      <c r="B83" s="3274">
        <v>59</v>
      </c>
      <c r="D83" s="3275" t="s">
        <v>10255</v>
      </c>
      <c r="F83" s="3275" t="s">
        <v>10256</v>
      </c>
      <c r="G83" s="3275"/>
      <c r="I83" s="3275" t="s">
        <v>10152</v>
      </c>
      <c r="J83" s="3275"/>
      <c r="K83" s="3275"/>
      <c r="M83" s="3278">
        <v>100000</v>
      </c>
      <c r="O83" s="3278">
        <v>1</v>
      </c>
      <c r="P83" s="3278"/>
      <c r="R83" s="3278">
        <v>100000</v>
      </c>
    </row>
    <row r="84" ht="12.75" customHeight="1" spans="2:18">
      <c r="B84" s="3274">
        <v>60</v>
      </c>
      <c r="D84" s="3275" t="s">
        <v>10257</v>
      </c>
      <c r="F84" s="3275" t="s">
        <v>10258</v>
      </c>
      <c r="G84" s="3275"/>
      <c r="I84" s="3275" t="s">
        <v>10152</v>
      </c>
      <c r="J84" s="3275"/>
      <c r="K84" s="3275"/>
      <c r="M84" s="3278">
        <v>121000</v>
      </c>
      <c r="O84" s="3278">
        <v>5</v>
      </c>
      <c r="P84" s="3278"/>
      <c r="R84" s="3278">
        <v>605000</v>
      </c>
    </row>
    <row r="85" ht="12.75" customHeight="1" spans="2:18">
      <c r="B85" s="3274">
        <v>61</v>
      </c>
      <c r="D85" s="3275" t="s">
        <v>10259</v>
      </c>
      <c r="F85" s="3275" t="s">
        <v>10260</v>
      </c>
      <c r="G85" s="3275"/>
      <c r="I85" s="3275" t="s">
        <v>10152</v>
      </c>
      <c r="J85" s="3275"/>
      <c r="K85" s="3275"/>
      <c r="M85" s="3278">
        <v>95000</v>
      </c>
      <c r="O85" s="3278">
        <v>2</v>
      </c>
      <c r="P85" s="3278"/>
      <c r="R85" s="3278">
        <v>190000</v>
      </c>
    </row>
    <row r="86" ht="12.75" customHeight="1" spans="2:18">
      <c r="B86" s="3274">
        <v>62</v>
      </c>
      <c r="D86" s="3275" t="s">
        <v>10261</v>
      </c>
      <c r="F86" s="3275" t="s">
        <v>10262</v>
      </c>
      <c r="G86" s="3275"/>
      <c r="I86" s="3275" t="s">
        <v>10152</v>
      </c>
      <c r="J86" s="3275"/>
      <c r="K86" s="3275"/>
      <c r="M86" s="3278">
        <v>95000</v>
      </c>
      <c r="O86" s="3278">
        <v>0</v>
      </c>
      <c r="P86" s="3278"/>
      <c r="R86" s="3278">
        <v>0</v>
      </c>
    </row>
    <row r="87" ht="12.75" customHeight="1" spans="2:18">
      <c r="B87" s="3274">
        <v>63</v>
      </c>
      <c r="D87" s="3275" t="s">
        <v>10263</v>
      </c>
      <c r="F87" s="3275" t="s">
        <v>10264</v>
      </c>
      <c r="G87" s="3275"/>
      <c r="I87" s="3275" t="s">
        <v>10152</v>
      </c>
      <c r="J87" s="3275"/>
      <c r="K87" s="3275"/>
      <c r="M87" s="3278">
        <v>95000</v>
      </c>
      <c r="O87" s="3278">
        <v>1</v>
      </c>
      <c r="P87" s="3278"/>
      <c r="R87" s="3278">
        <v>95000</v>
      </c>
    </row>
    <row r="88" ht="12.75" customHeight="1" spans="2:18">
      <c r="B88" s="3274">
        <v>64</v>
      </c>
      <c r="D88" s="3275" t="s">
        <v>10265</v>
      </c>
      <c r="F88" s="3275" t="s">
        <v>10266</v>
      </c>
      <c r="G88" s="3275"/>
      <c r="I88" s="3275" t="s">
        <v>10152</v>
      </c>
      <c r="J88" s="3275"/>
      <c r="K88" s="3275"/>
      <c r="M88" s="3278">
        <v>121000</v>
      </c>
      <c r="O88" s="3278">
        <v>5</v>
      </c>
      <c r="P88" s="3278"/>
      <c r="R88" s="3278">
        <v>605000</v>
      </c>
    </row>
    <row r="89" ht="12.75" customHeight="1" spans="2:18">
      <c r="B89" s="3274">
        <v>65</v>
      </c>
      <c r="D89" s="3275" t="s">
        <v>10267</v>
      </c>
      <c r="F89" s="3275" t="s">
        <v>10268</v>
      </c>
      <c r="G89" s="3275"/>
      <c r="I89" s="3275" t="s">
        <v>2457</v>
      </c>
      <c r="J89" s="3275"/>
      <c r="K89" s="3275"/>
      <c r="M89" s="3278">
        <v>14300</v>
      </c>
      <c r="O89" s="3278">
        <v>27</v>
      </c>
      <c r="P89" s="3278"/>
      <c r="R89" s="3278">
        <v>386100</v>
      </c>
    </row>
    <row r="90" ht="12.75" customHeight="1" spans="2:18">
      <c r="B90" s="3274">
        <v>66</v>
      </c>
      <c r="D90" s="3275" t="s">
        <v>10269</v>
      </c>
      <c r="F90" s="3275" t="s">
        <v>10270</v>
      </c>
      <c r="G90" s="3275"/>
      <c r="I90" s="3275" t="s">
        <v>10152</v>
      </c>
      <c r="J90" s="3275"/>
      <c r="K90" s="3275"/>
      <c r="M90" s="3278">
        <v>85000</v>
      </c>
      <c r="O90" s="3278">
        <v>1</v>
      </c>
      <c r="P90" s="3278"/>
      <c r="R90" s="3278">
        <v>85000</v>
      </c>
    </row>
    <row r="91" ht="12.75" customHeight="1" spans="2:18">
      <c r="B91" s="3274">
        <v>67</v>
      </c>
      <c r="D91" s="3275" t="s">
        <v>10271</v>
      </c>
      <c r="F91" s="3275" t="s">
        <v>10272</v>
      </c>
      <c r="G91" s="3275"/>
      <c r="I91" s="3275" t="s">
        <v>10152</v>
      </c>
      <c r="J91" s="3275"/>
      <c r="K91" s="3275"/>
      <c r="M91" s="3278">
        <v>121000</v>
      </c>
      <c r="O91" s="3278">
        <v>13</v>
      </c>
      <c r="P91" s="3278"/>
      <c r="R91" s="3278">
        <v>1573000</v>
      </c>
    </row>
    <row r="92" ht="12.75" customHeight="1" spans="2:18">
      <c r="B92" s="3274">
        <v>68</v>
      </c>
      <c r="D92" s="3275" t="s">
        <v>10273</v>
      </c>
      <c r="F92" s="3275" t="s">
        <v>10274</v>
      </c>
      <c r="G92" s="3275"/>
      <c r="I92" s="3275" t="s">
        <v>10152</v>
      </c>
      <c r="J92" s="3275"/>
      <c r="K92" s="3275"/>
      <c r="M92" s="3278">
        <v>136363.6406</v>
      </c>
      <c r="O92" s="3278">
        <v>9</v>
      </c>
      <c r="P92" s="3278"/>
      <c r="R92" s="3278">
        <v>1227272.7654</v>
      </c>
    </row>
    <row r="93" ht="12.75" customHeight="1" spans="2:18">
      <c r="B93" s="3274">
        <v>69</v>
      </c>
      <c r="D93" s="3275" t="s">
        <v>10275</v>
      </c>
      <c r="F93" s="3275" t="s">
        <v>10276</v>
      </c>
      <c r="G93" s="3275"/>
      <c r="I93" s="3275" t="s">
        <v>10152</v>
      </c>
      <c r="J93" s="3275"/>
      <c r="K93" s="3275"/>
      <c r="M93" s="3278">
        <v>136363.6406</v>
      </c>
      <c r="O93" s="3278">
        <v>8</v>
      </c>
      <c r="P93" s="3278"/>
      <c r="R93" s="3278">
        <v>1090909.1248</v>
      </c>
    </row>
    <row r="94" ht="12.75" customHeight="1" spans="2:18">
      <c r="B94" s="3274">
        <v>70</v>
      </c>
      <c r="D94" s="3275" t="s">
        <v>10277</v>
      </c>
      <c r="F94" s="3275" t="s">
        <v>10278</v>
      </c>
      <c r="G94" s="3275"/>
      <c r="I94" s="3275" t="s">
        <v>10152</v>
      </c>
      <c r="J94" s="3275"/>
      <c r="K94" s="3275"/>
      <c r="M94" s="3278">
        <v>136363.6406</v>
      </c>
      <c r="O94" s="3278">
        <v>0</v>
      </c>
      <c r="P94" s="3278"/>
      <c r="R94" s="3278">
        <v>0</v>
      </c>
    </row>
    <row r="95" ht="12.75" customHeight="1" spans="2:18">
      <c r="B95" s="3274">
        <v>71</v>
      </c>
      <c r="D95" s="3275" t="s">
        <v>10279</v>
      </c>
      <c r="F95" s="3275" t="s">
        <v>10280</v>
      </c>
      <c r="G95" s="3275"/>
      <c r="I95" s="3275" t="s">
        <v>10152</v>
      </c>
      <c r="J95" s="3275"/>
      <c r="K95" s="3275"/>
      <c r="M95" s="3278">
        <v>150000</v>
      </c>
      <c r="O95" s="3278">
        <v>0</v>
      </c>
      <c r="P95" s="3278"/>
      <c r="R95" s="3278">
        <v>0</v>
      </c>
    </row>
    <row r="96" ht="12.75" customHeight="1" spans="2:18">
      <c r="B96" s="3274">
        <v>72</v>
      </c>
      <c r="D96" s="3275" t="s">
        <v>10281</v>
      </c>
      <c r="F96" s="3275" t="s">
        <v>10282</v>
      </c>
      <c r="G96" s="3275"/>
      <c r="I96" s="3275" t="s">
        <v>10152</v>
      </c>
      <c r="J96" s="3275"/>
      <c r="K96" s="3275"/>
      <c r="M96" s="3278">
        <v>136363.6406</v>
      </c>
      <c r="O96" s="3278">
        <v>9</v>
      </c>
      <c r="P96" s="3278"/>
      <c r="R96" s="3278">
        <v>1227272.7654</v>
      </c>
    </row>
    <row r="97" ht="12.75" customHeight="1" spans="2:18">
      <c r="B97" s="3274">
        <v>73</v>
      </c>
      <c r="D97" s="3275" t="s">
        <v>10283</v>
      </c>
      <c r="F97" s="3275" t="s">
        <v>10284</v>
      </c>
      <c r="G97" s="3275"/>
      <c r="I97" s="3275" t="s">
        <v>10152</v>
      </c>
      <c r="J97" s="3275"/>
      <c r="K97" s="3275"/>
      <c r="M97" s="3278">
        <v>121000</v>
      </c>
      <c r="O97" s="3278">
        <v>6</v>
      </c>
      <c r="P97" s="3278"/>
      <c r="R97" s="3278">
        <v>726000</v>
      </c>
    </row>
    <row r="98" ht="12.75" customHeight="1" spans="2:18">
      <c r="B98" s="3274">
        <v>74</v>
      </c>
      <c r="D98" s="3275" t="s">
        <v>10285</v>
      </c>
      <c r="F98" s="3275" t="s">
        <v>10286</v>
      </c>
      <c r="G98" s="3275"/>
      <c r="I98" s="3275" t="s">
        <v>10152</v>
      </c>
      <c r="J98" s="3275"/>
      <c r="K98" s="3275"/>
      <c r="M98" s="3278">
        <v>110000</v>
      </c>
      <c r="O98" s="3278">
        <v>8</v>
      </c>
      <c r="P98" s="3278"/>
      <c r="R98" s="3278">
        <v>880000</v>
      </c>
    </row>
    <row r="99" ht="12.75" customHeight="1" spans="2:18">
      <c r="B99" s="3274">
        <v>75</v>
      </c>
      <c r="D99" s="3275" t="s">
        <v>10287</v>
      </c>
      <c r="F99" s="3275" t="s">
        <v>10288</v>
      </c>
      <c r="G99" s="3275"/>
      <c r="I99" s="3275" t="s">
        <v>10152</v>
      </c>
      <c r="J99" s="3275"/>
      <c r="K99" s="3275"/>
      <c r="M99" s="3278">
        <v>136363.6406</v>
      </c>
      <c r="O99" s="3278">
        <v>3</v>
      </c>
      <c r="P99" s="3278"/>
      <c r="R99" s="3278">
        <v>409090.9218</v>
      </c>
    </row>
    <row r="100" ht="12.75" customHeight="1" spans="2:18">
      <c r="B100" s="3274">
        <v>76</v>
      </c>
      <c r="D100" s="3275" t="s">
        <v>10289</v>
      </c>
      <c r="F100" s="3275" t="s">
        <v>10290</v>
      </c>
      <c r="G100" s="3275"/>
      <c r="I100" s="3275" t="s">
        <v>2457</v>
      </c>
      <c r="J100" s="3275"/>
      <c r="K100" s="3275"/>
      <c r="M100" s="3278">
        <v>14300</v>
      </c>
      <c r="O100" s="3278">
        <v>27</v>
      </c>
      <c r="P100" s="3278"/>
      <c r="R100" s="3278">
        <v>386100</v>
      </c>
    </row>
    <row r="101" ht="12.75" customHeight="1" spans="2:18">
      <c r="B101" s="3274">
        <v>77</v>
      </c>
      <c r="D101" s="3275" t="s">
        <v>10291</v>
      </c>
      <c r="F101" s="3275" t="s">
        <v>10292</v>
      </c>
      <c r="G101" s="3275"/>
      <c r="I101" s="3275" t="s">
        <v>10152</v>
      </c>
      <c r="J101" s="3275"/>
      <c r="K101" s="3275"/>
      <c r="M101" s="3278">
        <v>136363.6406</v>
      </c>
      <c r="O101" s="3278">
        <v>5</v>
      </c>
      <c r="P101" s="3278"/>
      <c r="R101" s="3278">
        <v>681818.203</v>
      </c>
    </row>
    <row r="102" ht="12.75" customHeight="1" spans="2:18">
      <c r="B102" s="3274">
        <v>78</v>
      </c>
      <c r="D102" s="3275" t="s">
        <v>10293</v>
      </c>
      <c r="F102" s="3275" t="s">
        <v>10294</v>
      </c>
      <c r="G102" s="3275"/>
      <c r="I102" s="3275" t="s">
        <v>10152</v>
      </c>
      <c r="J102" s="3275"/>
      <c r="K102" s="3275"/>
      <c r="M102" s="3278">
        <v>136363.6406</v>
      </c>
      <c r="O102" s="3278">
        <v>8</v>
      </c>
      <c r="P102" s="3278"/>
      <c r="R102" s="3278">
        <v>1090909.1248</v>
      </c>
    </row>
    <row r="103" ht="12.75" customHeight="1" spans="2:18">
      <c r="B103" s="3274">
        <v>79</v>
      </c>
      <c r="D103" s="3275" t="s">
        <v>10295</v>
      </c>
      <c r="F103" s="3275" t="s">
        <v>10296</v>
      </c>
      <c r="G103" s="3275"/>
      <c r="I103" s="3275" t="s">
        <v>10152</v>
      </c>
      <c r="J103" s="3275"/>
      <c r="K103" s="3275"/>
      <c r="M103" s="3278">
        <v>136363.6406</v>
      </c>
      <c r="O103" s="3278">
        <v>8</v>
      </c>
      <c r="P103" s="3278"/>
      <c r="R103" s="3278">
        <v>1090909.1248</v>
      </c>
    </row>
    <row r="104" ht="12.75" customHeight="1" spans="2:18">
      <c r="B104" s="3274">
        <v>80</v>
      </c>
      <c r="D104" s="3275" t="s">
        <v>10297</v>
      </c>
      <c r="F104" s="3275" t="s">
        <v>10298</v>
      </c>
      <c r="G104" s="3275"/>
      <c r="I104" s="3275" t="s">
        <v>10152</v>
      </c>
      <c r="J104" s="3275"/>
      <c r="K104" s="3275"/>
      <c r="M104" s="3278">
        <v>136363.6406</v>
      </c>
      <c r="O104" s="3278">
        <v>9</v>
      </c>
      <c r="P104" s="3278"/>
      <c r="R104" s="3278">
        <v>1227272.7654</v>
      </c>
    </row>
    <row r="105" ht="12.75" customHeight="1" spans="2:18">
      <c r="B105" s="3274">
        <v>81</v>
      </c>
      <c r="D105" s="3275" t="s">
        <v>10299</v>
      </c>
      <c r="F105" s="3275" t="s">
        <v>10300</v>
      </c>
      <c r="G105" s="3275"/>
      <c r="I105" s="3275" t="s">
        <v>10152</v>
      </c>
      <c r="J105" s="3275"/>
      <c r="K105" s="3275"/>
      <c r="M105" s="3278">
        <v>136363.6406</v>
      </c>
      <c r="O105" s="3278">
        <v>1</v>
      </c>
      <c r="P105" s="3278"/>
      <c r="R105" s="3278">
        <v>136363.6406</v>
      </c>
    </row>
    <row r="106" ht="12.75" customHeight="1" spans="2:18">
      <c r="B106" s="3274">
        <v>82</v>
      </c>
      <c r="D106" s="3275" t="s">
        <v>10301</v>
      </c>
      <c r="F106" s="3275" t="s">
        <v>10302</v>
      </c>
      <c r="G106" s="3275"/>
      <c r="I106" s="3275" t="s">
        <v>10152</v>
      </c>
      <c r="J106" s="3275"/>
      <c r="K106" s="3275"/>
      <c r="M106" s="3278">
        <v>136363.6406</v>
      </c>
      <c r="O106" s="3278">
        <v>6</v>
      </c>
      <c r="P106" s="3278"/>
      <c r="R106" s="3278">
        <v>818181.8436</v>
      </c>
    </row>
    <row r="107" ht="12.75" customHeight="1" spans="2:18">
      <c r="B107" s="3274">
        <v>83</v>
      </c>
      <c r="D107" s="3275" t="s">
        <v>10303</v>
      </c>
      <c r="F107" s="3275" t="s">
        <v>10304</v>
      </c>
      <c r="G107" s="3275"/>
      <c r="I107" s="3275" t="s">
        <v>10152</v>
      </c>
      <c r="J107" s="3275"/>
      <c r="K107" s="3275"/>
      <c r="M107" s="3278">
        <v>150000</v>
      </c>
      <c r="O107" s="3278">
        <v>3</v>
      </c>
      <c r="P107" s="3278"/>
      <c r="R107" s="3278">
        <v>450000</v>
      </c>
    </row>
    <row r="108" ht="12.75" customHeight="1" spans="2:18">
      <c r="B108" s="3274">
        <v>84</v>
      </c>
      <c r="D108" s="3275" t="s">
        <v>10305</v>
      </c>
      <c r="F108" s="3275" t="s">
        <v>10306</v>
      </c>
      <c r="G108" s="3275"/>
      <c r="I108" s="3275" t="s">
        <v>10152</v>
      </c>
      <c r="J108" s="3275"/>
      <c r="K108" s="3275"/>
      <c r="M108" s="3278">
        <v>136363.6406</v>
      </c>
      <c r="O108" s="3278">
        <v>3</v>
      </c>
      <c r="P108" s="3278"/>
      <c r="R108" s="3278">
        <v>409090.9218</v>
      </c>
    </row>
    <row r="109" ht="12.75" customHeight="1" spans="2:18">
      <c r="B109" s="3274">
        <v>85</v>
      </c>
      <c r="D109" s="3275" t="s">
        <v>10307</v>
      </c>
      <c r="F109" s="3275" t="s">
        <v>10308</v>
      </c>
      <c r="G109" s="3275"/>
      <c r="I109" s="3275" t="s">
        <v>10152</v>
      </c>
      <c r="J109" s="3275"/>
      <c r="K109" s="3275"/>
      <c r="M109" s="3278">
        <v>85000</v>
      </c>
      <c r="O109" s="3278">
        <v>0</v>
      </c>
      <c r="P109" s="3278"/>
      <c r="R109" s="3278">
        <v>0</v>
      </c>
    </row>
    <row r="110" ht="12.75" customHeight="1" spans="2:18">
      <c r="B110" s="3274">
        <v>86</v>
      </c>
      <c r="D110" s="3275" t="s">
        <v>10309</v>
      </c>
      <c r="F110" s="3275" t="s">
        <v>10310</v>
      </c>
      <c r="G110" s="3275"/>
      <c r="I110" s="3275" t="s">
        <v>10152</v>
      </c>
      <c r="J110" s="3275"/>
      <c r="K110" s="3275"/>
      <c r="M110" s="3278">
        <v>136363.6406</v>
      </c>
      <c r="O110" s="3278">
        <v>4</v>
      </c>
      <c r="P110" s="3278"/>
      <c r="R110" s="3278">
        <v>545454.5624</v>
      </c>
    </row>
    <row r="111" ht="12.75" customHeight="1" spans="2:18">
      <c r="B111" s="3274">
        <v>87</v>
      </c>
      <c r="D111" s="3275" t="s">
        <v>10311</v>
      </c>
      <c r="F111" s="3275" t="s">
        <v>10312</v>
      </c>
      <c r="G111" s="3275"/>
      <c r="I111" s="3275" t="s">
        <v>10152</v>
      </c>
      <c r="J111" s="3275"/>
      <c r="K111" s="3275"/>
      <c r="M111" s="3278">
        <v>136363.6406</v>
      </c>
      <c r="O111" s="3278">
        <v>3</v>
      </c>
      <c r="P111" s="3278"/>
      <c r="R111" s="3278">
        <v>409090.9218</v>
      </c>
    </row>
    <row r="112" ht="12.75" customHeight="1" spans="2:18">
      <c r="B112" s="3274">
        <v>88</v>
      </c>
      <c r="D112" s="3275" t="s">
        <v>10313</v>
      </c>
      <c r="F112" s="3275" t="s">
        <v>10314</v>
      </c>
      <c r="G112" s="3275"/>
      <c r="I112" s="3275" t="s">
        <v>10152</v>
      </c>
      <c r="J112" s="3275"/>
      <c r="K112" s="3275"/>
      <c r="M112" s="3278">
        <v>136363.6406</v>
      </c>
      <c r="O112" s="3278">
        <v>6</v>
      </c>
      <c r="P112" s="3278"/>
      <c r="R112" s="3278">
        <v>818181.8436</v>
      </c>
    </row>
    <row r="113" ht="12.75" customHeight="1" spans="2:18">
      <c r="B113" s="3274">
        <v>89</v>
      </c>
      <c r="D113" s="3275" t="s">
        <v>10315</v>
      </c>
      <c r="F113" s="3275" t="s">
        <v>10316</v>
      </c>
      <c r="G113" s="3275"/>
      <c r="I113" s="3275" t="s">
        <v>10152</v>
      </c>
      <c r="J113" s="3275"/>
      <c r="K113" s="3275"/>
      <c r="M113" s="3278">
        <v>136363.6406</v>
      </c>
      <c r="O113" s="3278">
        <v>4</v>
      </c>
      <c r="P113" s="3278"/>
      <c r="R113" s="3278">
        <v>545454.5624</v>
      </c>
    </row>
    <row r="114" ht="12.75" customHeight="1" spans="2:18">
      <c r="B114" s="3274">
        <v>90</v>
      </c>
      <c r="D114" s="3275" t="s">
        <v>10317</v>
      </c>
      <c r="F114" s="3275" t="s">
        <v>10318</v>
      </c>
      <c r="G114" s="3275"/>
      <c r="I114" s="3275" t="s">
        <v>10152</v>
      </c>
      <c r="J114" s="3275"/>
      <c r="K114" s="3275"/>
      <c r="M114" s="3278">
        <v>136363.6406</v>
      </c>
      <c r="O114" s="3278">
        <v>4</v>
      </c>
      <c r="P114" s="3278"/>
      <c r="R114" s="3278">
        <v>545454.5624</v>
      </c>
    </row>
    <row r="115" ht="12.75" customHeight="1" spans="2:18">
      <c r="B115" s="3274">
        <v>91</v>
      </c>
      <c r="D115" s="3275" t="s">
        <v>10319</v>
      </c>
      <c r="F115" s="3275" t="s">
        <v>10320</v>
      </c>
      <c r="G115" s="3275"/>
      <c r="I115" s="3275" t="s">
        <v>10152</v>
      </c>
      <c r="J115" s="3275"/>
      <c r="K115" s="3275"/>
      <c r="M115" s="3278">
        <v>150000</v>
      </c>
      <c r="O115" s="3278">
        <v>0</v>
      </c>
      <c r="P115" s="3278"/>
      <c r="R115" s="3278">
        <v>0</v>
      </c>
    </row>
    <row r="116" ht="12.75" customHeight="1" spans="2:18">
      <c r="B116" s="3274">
        <v>92</v>
      </c>
      <c r="D116" s="3275" t="s">
        <v>10321</v>
      </c>
      <c r="F116" s="3275" t="s">
        <v>10322</v>
      </c>
      <c r="G116" s="3275"/>
      <c r="I116" s="3275" t="s">
        <v>10152</v>
      </c>
      <c r="J116" s="3275"/>
      <c r="K116" s="3275"/>
      <c r="M116" s="3278">
        <v>150000</v>
      </c>
      <c r="O116" s="3278">
        <v>1</v>
      </c>
      <c r="P116" s="3278"/>
      <c r="R116" s="3278">
        <v>150000</v>
      </c>
    </row>
    <row r="117" ht="12.75" customHeight="1" spans="2:18">
      <c r="B117" s="3274">
        <v>93</v>
      </c>
      <c r="D117" s="3275" t="s">
        <v>10323</v>
      </c>
      <c r="F117" s="3275" t="s">
        <v>10324</v>
      </c>
      <c r="G117" s="3275"/>
      <c r="I117" s="3275" t="s">
        <v>10152</v>
      </c>
      <c r="J117" s="3275"/>
      <c r="K117" s="3275"/>
      <c r="M117" s="3278">
        <v>136363.6406</v>
      </c>
      <c r="O117" s="3278">
        <v>9</v>
      </c>
      <c r="P117" s="3278"/>
      <c r="R117" s="3278">
        <v>1227272.7654</v>
      </c>
    </row>
    <row r="118" ht="12.75" customHeight="1" spans="2:18">
      <c r="B118" s="3274">
        <v>94</v>
      </c>
      <c r="D118" s="3275" t="s">
        <v>10325</v>
      </c>
      <c r="F118" s="3275" t="s">
        <v>10326</v>
      </c>
      <c r="G118" s="3275"/>
      <c r="I118" s="3275" t="s">
        <v>10149</v>
      </c>
      <c r="J118" s="3275"/>
      <c r="K118" s="3275"/>
      <c r="M118" s="3278">
        <v>24750</v>
      </c>
      <c r="O118" s="3278">
        <v>0</v>
      </c>
      <c r="P118" s="3278"/>
      <c r="R118" s="3278">
        <v>0</v>
      </c>
    </row>
    <row r="119" ht="12.75" customHeight="1" spans="2:18">
      <c r="B119" s="3274">
        <v>95</v>
      </c>
      <c r="D119" s="3275" t="s">
        <v>10327</v>
      </c>
      <c r="F119" s="3275" t="s">
        <v>10328</v>
      </c>
      <c r="G119" s="3275"/>
      <c r="I119" s="3275" t="s">
        <v>10152</v>
      </c>
      <c r="J119" s="3275"/>
      <c r="K119" s="3275"/>
      <c r="M119" s="3278">
        <v>136363.6406</v>
      </c>
      <c r="O119" s="3278">
        <v>4</v>
      </c>
      <c r="P119" s="3278"/>
      <c r="R119" s="3278">
        <v>545454.5624</v>
      </c>
    </row>
    <row r="120" ht="12.75" customHeight="1" spans="2:18">
      <c r="B120" s="3274">
        <v>96</v>
      </c>
      <c r="D120" s="3275" t="s">
        <v>10329</v>
      </c>
      <c r="F120" s="3275" t="s">
        <v>10330</v>
      </c>
      <c r="G120" s="3275"/>
      <c r="I120" s="3275" t="s">
        <v>10152</v>
      </c>
      <c r="J120" s="3275"/>
      <c r="K120" s="3275"/>
      <c r="M120" s="3278">
        <v>85000</v>
      </c>
      <c r="O120" s="3278">
        <v>1</v>
      </c>
      <c r="P120" s="3278"/>
      <c r="R120" s="3278">
        <v>85000</v>
      </c>
    </row>
    <row r="121" ht="12.75" customHeight="1" spans="2:18">
      <c r="B121" s="3274">
        <v>97</v>
      </c>
      <c r="D121" s="3275" t="s">
        <v>10331</v>
      </c>
      <c r="F121" s="3275" t="s">
        <v>10332</v>
      </c>
      <c r="G121" s="3275"/>
      <c r="I121" s="3275" t="s">
        <v>10149</v>
      </c>
      <c r="J121" s="3275"/>
      <c r="K121" s="3275"/>
      <c r="M121" s="3278">
        <v>24750</v>
      </c>
      <c r="O121" s="3278">
        <v>77</v>
      </c>
      <c r="P121" s="3278"/>
      <c r="R121" s="3278">
        <v>1905750</v>
      </c>
    </row>
    <row r="122" ht="12.75" customHeight="1" spans="2:18">
      <c r="B122" s="3274">
        <v>98</v>
      </c>
      <c r="D122" s="3275" t="s">
        <v>10333</v>
      </c>
      <c r="F122" s="3275" t="s">
        <v>10334</v>
      </c>
      <c r="G122" s="3275"/>
      <c r="I122" s="3275" t="s">
        <v>10152</v>
      </c>
      <c r="J122" s="3275"/>
      <c r="K122" s="3275"/>
      <c r="M122" s="3278">
        <v>104500</v>
      </c>
      <c r="O122" s="3278">
        <v>0</v>
      </c>
      <c r="P122" s="3278"/>
      <c r="R122" s="3278">
        <v>0</v>
      </c>
    </row>
    <row r="123" ht="12.75" customHeight="1" spans="2:18">
      <c r="B123" s="3274">
        <v>99</v>
      </c>
      <c r="D123" s="3275" t="s">
        <v>10335</v>
      </c>
      <c r="F123" s="3275" t="s">
        <v>10336</v>
      </c>
      <c r="G123" s="3275"/>
      <c r="I123" s="3275" t="s">
        <v>2299</v>
      </c>
      <c r="J123" s="3275"/>
      <c r="K123" s="3275"/>
      <c r="M123" s="3278">
        <v>550</v>
      </c>
      <c r="O123" s="3278">
        <v>0</v>
      </c>
      <c r="P123" s="3278"/>
      <c r="R123" s="3278">
        <v>0</v>
      </c>
    </row>
    <row r="124" ht="12.75" customHeight="1" spans="2:18">
      <c r="B124" s="3274">
        <v>100</v>
      </c>
      <c r="D124" s="3275" t="s">
        <v>10337</v>
      </c>
      <c r="F124" s="3275" t="s">
        <v>10338</v>
      </c>
      <c r="G124" s="3275"/>
      <c r="I124" s="3275" t="s">
        <v>2299</v>
      </c>
      <c r="J124" s="3275"/>
      <c r="K124" s="3275"/>
      <c r="M124" s="3278">
        <v>385000</v>
      </c>
      <c r="O124" s="3278">
        <v>0</v>
      </c>
      <c r="P124" s="3278"/>
      <c r="R124" s="3278">
        <v>0</v>
      </c>
    </row>
    <row r="125" ht="12.75" customHeight="1" spans="2:18">
      <c r="B125" s="3274">
        <v>101</v>
      </c>
      <c r="D125" s="3275" t="s">
        <v>10339</v>
      </c>
      <c r="F125" s="3275" t="s">
        <v>10340</v>
      </c>
      <c r="G125" s="3275"/>
      <c r="I125" s="3275" t="s">
        <v>10152</v>
      </c>
      <c r="J125" s="3275"/>
      <c r="K125" s="3275"/>
      <c r="M125" s="3278">
        <v>121000</v>
      </c>
      <c r="O125" s="3278">
        <v>0</v>
      </c>
      <c r="P125" s="3278"/>
      <c r="R125" s="3278">
        <v>0</v>
      </c>
    </row>
    <row r="126" ht="12.75" customHeight="1" spans="2:18">
      <c r="B126" s="3274">
        <v>102</v>
      </c>
      <c r="D126" s="3275" t="s">
        <v>10341</v>
      </c>
      <c r="F126" s="3275" t="s">
        <v>10342</v>
      </c>
      <c r="G126" s="3275"/>
      <c r="I126" s="3275" t="s">
        <v>10152</v>
      </c>
      <c r="J126" s="3275"/>
      <c r="K126" s="3275"/>
      <c r="M126" s="3278">
        <v>93500</v>
      </c>
      <c r="O126" s="3278">
        <v>1</v>
      </c>
      <c r="P126" s="3278"/>
      <c r="R126" s="3278">
        <v>93500</v>
      </c>
    </row>
    <row r="127" ht="12.75" customHeight="1" spans="2:18">
      <c r="B127" s="3274">
        <v>103</v>
      </c>
      <c r="D127" s="3275" t="s">
        <v>10343</v>
      </c>
      <c r="F127" s="3275" t="s">
        <v>10344</v>
      </c>
      <c r="G127" s="3275"/>
      <c r="I127" s="3275" t="s">
        <v>10152</v>
      </c>
      <c r="J127" s="3275"/>
      <c r="K127" s="3275"/>
      <c r="M127" s="3278">
        <v>104500</v>
      </c>
      <c r="O127" s="3278">
        <v>3</v>
      </c>
      <c r="P127" s="3278"/>
      <c r="R127" s="3278">
        <v>313500</v>
      </c>
    </row>
    <row r="128" ht="12.75" customHeight="1" spans="2:18">
      <c r="B128" s="3274">
        <v>104</v>
      </c>
      <c r="D128" s="3275" t="s">
        <v>10345</v>
      </c>
      <c r="F128" s="3275" t="s">
        <v>10346</v>
      </c>
      <c r="G128" s="3275"/>
      <c r="I128" s="3275" t="s">
        <v>10149</v>
      </c>
      <c r="J128" s="3275"/>
      <c r="K128" s="3275"/>
      <c r="M128" s="3278">
        <v>22500</v>
      </c>
      <c r="O128" s="3278">
        <v>28</v>
      </c>
      <c r="P128" s="3278"/>
      <c r="R128" s="3278">
        <v>630000</v>
      </c>
    </row>
    <row r="129" ht="12.75" customHeight="1" spans="2:18">
      <c r="B129" s="3274">
        <v>105</v>
      </c>
      <c r="D129" s="3275" t="s">
        <v>10347</v>
      </c>
      <c r="F129" s="3275" t="s">
        <v>10348</v>
      </c>
      <c r="G129" s="3275"/>
      <c r="I129" s="3275" t="s">
        <v>10149</v>
      </c>
      <c r="J129" s="3275"/>
      <c r="K129" s="3275"/>
      <c r="M129" s="3278">
        <v>24750</v>
      </c>
      <c r="O129" s="3278">
        <v>90</v>
      </c>
      <c r="P129" s="3278"/>
      <c r="R129" s="3278">
        <v>2227500</v>
      </c>
    </row>
    <row r="130" ht="12.75" customHeight="1" spans="2:18">
      <c r="B130" s="3274">
        <v>106</v>
      </c>
      <c r="D130" s="3275" t="s">
        <v>10349</v>
      </c>
      <c r="F130" s="3275" t="s">
        <v>10350</v>
      </c>
      <c r="G130" s="3275"/>
      <c r="I130" s="3275" t="s">
        <v>10152</v>
      </c>
      <c r="J130" s="3275"/>
      <c r="K130" s="3275"/>
      <c r="M130" s="3278">
        <v>93500</v>
      </c>
      <c r="O130" s="3278">
        <v>0</v>
      </c>
      <c r="P130" s="3278"/>
      <c r="R130" s="3278">
        <v>0</v>
      </c>
    </row>
    <row r="131" ht="12.75" customHeight="1" spans="2:18">
      <c r="B131" s="3274">
        <v>107</v>
      </c>
      <c r="D131" s="3275" t="s">
        <v>10351</v>
      </c>
      <c r="F131" s="3275" t="s">
        <v>10352</v>
      </c>
      <c r="G131" s="3275"/>
      <c r="I131" s="3275" t="s">
        <v>10149</v>
      </c>
      <c r="J131" s="3275"/>
      <c r="K131" s="3275"/>
      <c r="M131" s="3278">
        <v>25000</v>
      </c>
      <c r="O131" s="3278">
        <v>75</v>
      </c>
      <c r="P131" s="3278"/>
      <c r="R131" s="3278">
        <v>1875000</v>
      </c>
    </row>
    <row r="132" ht="12.75" customHeight="1" spans="2:18">
      <c r="B132" s="3274">
        <v>108</v>
      </c>
      <c r="D132" s="3275" t="s">
        <v>10353</v>
      </c>
      <c r="F132" s="3275" t="s">
        <v>10354</v>
      </c>
      <c r="G132" s="3275"/>
      <c r="I132" s="3275" t="s">
        <v>10152</v>
      </c>
      <c r="J132" s="3275"/>
      <c r="K132" s="3275"/>
      <c r="M132" s="3278">
        <v>100000</v>
      </c>
      <c r="O132" s="3278">
        <v>1</v>
      </c>
      <c r="P132" s="3278"/>
      <c r="R132" s="3278">
        <v>100000</v>
      </c>
    </row>
    <row r="133" ht="12.75" customHeight="1" spans="2:18">
      <c r="B133" s="3274">
        <v>109</v>
      </c>
      <c r="D133" s="3275" t="s">
        <v>10355</v>
      </c>
      <c r="F133" s="3275" t="s">
        <v>10356</v>
      </c>
      <c r="G133" s="3275"/>
      <c r="I133" s="3275" t="s">
        <v>10152</v>
      </c>
      <c r="J133" s="3275"/>
      <c r="K133" s="3275"/>
      <c r="M133" s="3278">
        <v>95000</v>
      </c>
      <c r="O133" s="3278">
        <v>1</v>
      </c>
      <c r="P133" s="3278"/>
      <c r="R133" s="3278">
        <v>95000</v>
      </c>
    </row>
    <row r="134" ht="12.75" customHeight="1" spans="2:18">
      <c r="B134" s="3274">
        <v>110</v>
      </c>
      <c r="D134" s="3275" t="s">
        <v>10357</v>
      </c>
      <c r="F134" s="3275" t="s">
        <v>10358</v>
      </c>
      <c r="G134" s="3275"/>
      <c r="I134" s="3275" t="s">
        <v>10149</v>
      </c>
      <c r="J134" s="3275"/>
      <c r="K134" s="3275"/>
      <c r="M134" s="3278">
        <v>13750</v>
      </c>
      <c r="O134" s="3278">
        <v>86</v>
      </c>
      <c r="P134" s="3278"/>
      <c r="R134" s="3278">
        <v>1182500</v>
      </c>
    </row>
    <row r="135" ht="12.75" customHeight="1" spans="2:18">
      <c r="B135" s="3274">
        <v>111</v>
      </c>
      <c r="D135" s="3275" t="s">
        <v>10359</v>
      </c>
      <c r="F135" s="3275" t="s">
        <v>10360</v>
      </c>
      <c r="G135" s="3275"/>
      <c r="I135" s="3275" t="s">
        <v>10152</v>
      </c>
      <c r="J135" s="3275"/>
      <c r="K135" s="3275"/>
      <c r="M135" s="3278">
        <v>95000</v>
      </c>
      <c r="O135" s="3278">
        <v>1</v>
      </c>
      <c r="P135" s="3278"/>
      <c r="R135" s="3278">
        <v>95000</v>
      </c>
    </row>
    <row r="136" ht="12.75" customHeight="1" spans="2:18">
      <c r="B136" s="3274">
        <v>112</v>
      </c>
      <c r="D136" s="3275" t="s">
        <v>10361</v>
      </c>
      <c r="F136" s="3275" t="s">
        <v>10362</v>
      </c>
      <c r="G136" s="3275"/>
      <c r="I136" s="3275" t="s">
        <v>10152</v>
      </c>
      <c r="J136" s="3275"/>
      <c r="K136" s="3275"/>
      <c r="M136" s="3278">
        <v>121000</v>
      </c>
      <c r="O136" s="3278">
        <v>0</v>
      </c>
      <c r="P136" s="3278"/>
      <c r="R136" s="3278">
        <v>0</v>
      </c>
    </row>
    <row r="137" ht="12.75" customHeight="1" spans="2:18">
      <c r="B137" s="3274">
        <v>113</v>
      </c>
      <c r="D137" s="3275" t="s">
        <v>10363</v>
      </c>
      <c r="F137" s="3275" t="s">
        <v>10364</v>
      </c>
      <c r="G137" s="3275"/>
      <c r="I137" s="3275" t="s">
        <v>10149</v>
      </c>
      <c r="J137" s="3275"/>
      <c r="K137" s="3275"/>
      <c r="M137" s="3278">
        <v>38500</v>
      </c>
      <c r="O137" s="3278">
        <v>25</v>
      </c>
      <c r="P137" s="3278"/>
      <c r="R137" s="3278">
        <v>962500</v>
      </c>
    </row>
    <row r="138" ht="12.75" customHeight="1" spans="2:18">
      <c r="B138" s="3274">
        <v>114</v>
      </c>
      <c r="D138" s="3275" t="s">
        <v>10365</v>
      </c>
      <c r="F138" s="3275" t="s">
        <v>10366</v>
      </c>
      <c r="G138" s="3275"/>
      <c r="I138" s="3275" t="s">
        <v>10152</v>
      </c>
      <c r="J138" s="3275"/>
      <c r="K138" s="3275"/>
      <c r="M138" s="3278">
        <v>121000</v>
      </c>
      <c r="O138" s="3278">
        <v>3</v>
      </c>
      <c r="P138" s="3278"/>
      <c r="R138" s="3278">
        <v>363000</v>
      </c>
    </row>
    <row r="139" ht="12.75" customHeight="1" spans="2:18">
      <c r="B139" s="3274">
        <v>115</v>
      </c>
      <c r="D139" s="3275" t="s">
        <v>10367</v>
      </c>
      <c r="F139" s="3275" t="s">
        <v>10368</v>
      </c>
      <c r="G139" s="3275"/>
      <c r="I139" s="3275" t="s">
        <v>10152</v>
      </c>
      <c r="J139" s="3275"/>
      <c r="K139" s="3275"/>
      <c r="M139" s="3278">
        <v>93500</v>
      </c>
      <c r="O139" s="3278">
        <v>0</v>
      </c>
      <c r="P139" s="3278"/>
      <c r="R139" s="3278">
        <v>0</v>
      </c>
    </row>
    <row r="140" ht="12.75" customHeight="1" spans="2:18">
      <c r="B140" s="3274">
        <v>116</v>
      </c>
      <c r="D140" s="3275" t="s">
        <v>10369</v>
      </c>
      <c r="F140" s="3275" t="s">
        <v>10370</v>
      </c>
      <c r="G140" s="3275"/>
      <c r="I140" s="3275" t="s">
        <v>10152</v>
      </c>
      <c r="J140" s="3275"/>
      <c r="K140" s="3275"/>
      <c r="M140" s="3278">
        <v>99000</v>
      </c>
      <c r="O140" s="3278">
        <v>8</v>
      </c>
      <c r="P140" s="3278"/>
      <c r="R140" s="3278">
        <v>792000</v>
      </c>
    </row>
    <row r="141" ht="12.75" customHeight="1" spans="2:18">
      <c r="B141" s="3274">
        <v>117</v>
      </c>
      <c r="D141" s="3275" t="s">
        <v>10371</v>
      </c>
      <c r="F141" s="3275" t="s">
        <v>10372</v>
      </c>
      <c r="G141" s="3275"/>
      <c r="I141" s="3275" t="s">
        <v>10152</v>
      </c>
      <c r="J141" s="3275"/>
      <c r="K141" s="3275"/>
      <c r="M141" s="3278">
        <v>220000</v>
      </c>
      <c r="O141" s="3278">
        <v>4</v>
      </c>
      <c r="P141" s="3278"/>
      <c r="R141" s="3278">
        <v>880000</v>
      </c>
    </row>
    <row r="142" ht="12.75" customHeight="1" spans="2:18">
      <c r="B142" s="3274">
        <v>118</v>
      </c>
      <c r="D142" s="3275" t="s">
        <v>10373</v>
      </c>
      <c r="F142" s="3275" t="s">
        <v>10374</v>
      </c>
      <c r="G142" s="3275"/>
      <c r="I142" s="3275" t="s">
        <v>10152</v>
      </c>
      <c r="J142" s="3275"/>
      <c r="K142" s="3275"/>
      <c r="M142" s="3278">
        <v>115500</v>
      </c>
      <c r="O142" s="3278">
        <v>2</v>
      </c>
      <c r="P142" s="3278"/>
      <c r="R142" s="3278">
        <v>231000</v>
      </c>
    </row>
    <row r="143" ht="12.75" customHeight="1" spans="2:18">
      <c r="B143" s="3274">
        <v>119</v>
      </c>
      <c r="D143" s="3275" t="s">
        <v>10375</v>
      </c>
      <c r="F143" s="3275" t="s">
        <v>10376</v>
      </c>
      <c r="G143" s="3275"/>
      <c r="I143" s="3275" t="s">
        <v>10152</v>
      </c>
      <c r="J143" s="3275"/>
      <c r="K143" s="3275"/>
      <c r="M143" s="3278">
        <v>121000</v>
      </c>
      <c r="O143" s="3278">
        <v>0</v>
      </c>
      <c r="P143" s="3278"/>
      <c r="R143" s="3278">
        <v>0</v>
      </c>
    </row>
    <row r="144" ht="12.75" customHeight="1" spans="2:18">
      <c r="B144" s="3274">
        <v>120</v>
      </c>
      <c r="D144" s="3275" t="s">
        <v>10377</v>
      </c>
      <c r="F144" s="3275" t="s">
        <v>10378</v>
      </c>
      <c r="G144" s="3275"/>
      <c r="I144" s="3275" t="s">
        <v>2299</v>
      </c>
      <c r="J144" s="3275"/>
      <c r="K144" s="3275"/>
      <c r="M144" s="3278">
        <v>4125</v>
      </c>
      <c r="O144" s="3278">
        <v>1400</v>
      </c>
      <c r="P144" s="3278"/>
      <c r="R144" s="3278">
        <v>5775000</v>
      </c>
    </row>
    <row r="145" ht="12.75" customHeight="1" spans="2:18">
      <c r="B145" s="3274">
        <v>121</v>
      </c>
      <c r="D145" s="3275" t="s">
        <v>10379</v>
      </c>
      <c r="F145" s="3275" t="s">
        <v>10380</v>
      </c>
      <c r="G145" s="3275"/>
      <c r="I145" s="3275" t="s">
        <v>10152</v>
      </c>
      <c r="J145" s="3275"/>
      <c r="K145" s="3275"/>
      <c r="M145" s="3278">
        <v>110000</v>
      </c>
      <c r="O145" s="3278">
        <v>0</v>
      </c>
      <c r="P145" s="3278"/>
      <c r="R145" s="3278">
        <v>0</v>
      </c>
    </row>
    <row r="146" ht="12.75" customHeight="1" spans="2:18">
      <c r="B146" s="3274">
        <v>122</v>
      </c>
      <c r="D146" s="3275" t="s">
        <v>10381</v>
      </c>
      <c r="F146" s="3275" t="s">
        <v>10382</v>
      </c>
      <c r="G146" s="3275"/>
      <c r="I146" s="3275" t="s">
        <v>10152</v>
      </c>
      <c r="J146" s="3275"/>
      <c r="K146" s="3275"/>
      <c r="M146" s="3278">
        <v>169400</v>
      </c>
      <c r="O146" s="3278">
        <v>0</v>
      </c>
      <c r="P146" s="3278"/>
      <c r="R146" s="3278">
        <v>0</v>
      </c>
    </row>
    <row r="147" ht="12.75" customHeight="1" spans="2:18">
      <c r="B147" s="3274">
        <v>123</v>
      </c>
      <c r="D147" s="3275" t="s">
        <v>10383</v>
      </c>
      <c r="F147" s="3275" t="s">
        <v>10384</v>
      </c>
      <c r="G147" s="3275"/>
      <c r="I147" s="3275" t="s">
        <v>10152</v>
      </c>
      <c r="J147" s="3275"/>
      <c r="K147" s="3275"/>
      <c r="M147" s="3278">
        <v>110000</v>
      </c>
      <c r="O147" s="3278">
        <v>0</v>
      </c>
      <c r="P147" s="3278"/>
      <c r="R147" s="3278">
        <v>0</v>
      </c>
    </row>
    <row r="148" ht="12.75" customHeight="1" spans="2:18">
      <c r="B148" s="3274">
        <v>124</v>
      </c>
      <c r="D148" s="3275" t="s">
        <v>10385</v>
      </c>
      <c r="F148" s="3275" t="s">
        <v>10386</v>
      </c>
      <c r="G148" s="3275"/>
      <c r="I148" s="3275" t="s">
        <v>10152</v>
      </c>
      <c r="J148" s="3275"/>
      <c r="K148" s="3275"/>
      <c r="M148" s="3278">
        <v>85000</v>
      </c>
      <c r="O148" s="3278">
        <v>1</v>
      </c>
      <c r="P148" s="3278"/>
      <c r="R148" s="3278">
        <v>85000</v>
      </c>
    </row>
    <row r="149" ht="12.75" customHeight="1" spans="2:18">
      <c r="B149" s="3274">
        <v>125</v>
      </c>
      <c r="D149" s="3275" t="s">
        <v>10387</v>
      </c>
      <c r="F149" s="3275" t="s">
        <v>10388</v>
      </c>
      <c r="G149" s="3275"/>
      <c r="I149" s="3275" t="s">
        <v>10152</v>
      </c>
      <c r="J149" s="3275"/>
      <c r="K149" s="3275"/>
      <c r="M149" s="3278">
        <v>121000</v>
      </c>
      <c r="O149" s="3278">
        <v>0</v>
      </c>
      <c r="P149" s="3278"/>
      <c r="R149" s="3278">
        <v>0</v>
      </c>
    </row>
    <row r="150" ht="12.75" customHeight="1" spans="2:18">
      <c r="B150" s="3274">
        <v>126</v>
      </c>
      <c r="D150" s="3275" t="s">
        <v>10389</v>
      </c>
      <c r="F150" s="3275" t="s">
        <v>10390</v>
      </c>
      <c r="G150" s="3275"/>
      <c r="I150" s="3275" t="s">
        <v>10152</v>
      </c>
      <c r="J150" s="3275"/>
      <c r="K150" s="3275"/>
      <c r="M150" s="3278">
        <v>104500</v>
      </c>
      <c r="O150" s="3278">
        <v>5</v>
      </c>
      <c r="P150" s="3278"/>
      <c r="R150" s="3278">
        <v>522500</v>
      </c>
    </row>
    <row r="151" ht="12.75" customHeight="1" spans="2:18">
      <c r="B151" s="3274">
        <v>127</v>
      </c>
      <c r="D151" s="3275" t="s">
        <v>10391</v>
      </c>
      <c r="F151" s="3275" t="s">
        <v>10392</v>
      </c>
      <c r="G151" s="3275"/>
      <c r="I151" s="3275" t="s">
        <v>2367</v>
      </c>
      <c r="J151" s="3275"/>
      <c r="K151" s="3275"/>
      <c r="M151" s="3278">
        <v>82500</v>
      </c>
      <c r="O151" s="3278">
        <v>7</v>
      </c>
      <c r="P151" s="3278"/>
      <c r="R151" s="3278">
        <v>577500</v>
      </c>
    </row>
    <row r="152" ht="12.75" customHeight="1" spans="2:18">
      <c r="B152" s="3274">
        <v>128</v>
      </c>
      <c r="D152" s="3275" t="s">
        <v>10393</v>
      </c>
      <c r="F152" s="3275" t="s">
        <v>10394</v>
      </c>
      <c r="G152" s="3275"/>
      <c r="I152" s="3275" t="s">
        <v>10152</v>
      </c>
      <c r="J152" s="3275"/>
      <c r="K152" s="3275"/>
      <c r="M152" s="3278">
        <v>121000</v>
      </c>
      <c r="O152" s="3278">
        <v>1</v>
      </c>
      <c r="P152" s="3278"/>
      <c r="R152" s="3278">
        <v>121000</v>
      </c>
    </row>
    <row r="153" ht="12.75" customHeight="1" spans="2:18">
      <c r="B153" s="3274">
        <v>129</v>
      </c>
      <c r="D153" s="3275" t="s">
        <v>10395</v>
      </c>
      <c r="F153" s="3275" t="s">
        <v>10396</v>
      </c>
      <c r="G153" s="3275"/>
      <c r="I153" s="3275" t="s">
        <v>10152</v>
      </c>
      <c r="J153" s="3275"/>
      <c r="K153" s="3275"/>
      <c r="M153" s="3278">
        <v>121000</v>
      </c>
      <c r="O153" s="3278">
        <v>0</v>
      </c>
      <c r="P153" s="3278"/>
      <c r="R153" s="3278">
        <v>0</v>
      </c>
    </row>
    <row r="154" ht="12.75" customHeight="1" spans="2:18">
      <c r="B154" s="3274">
        <v>130</v>
      </c>
      <c r="D154" s="3275" t="s">
        <v>10397</v>
      </c>
      <c r="F154" s="3275" t="s">
        <v>10398</v>
      </c>
      <c r="G154" s="3275"/>
      <c r="I154" s="3275" t="s">
        <v>10152</v>
      </c>
      <c r="J154" s="3275"/>
      <c r="K154" s="3275"/>
      <c r="M154" s="3278">
        <v>132000</v>
      </c>
      <c r="O154" s="3278">
        <v>6</v>
      </c>
      <c r="P154" s="3278"/>
      <c r="R154" s="3278">
        <v>792000</v>
      </c>
    </row>
    <row r="155" ht="12.75" customHeight="1" spans="2:18">
      <c r="B155" s="3274">
        <v>131</v>
      </c>
      <c r="D155" s="3275" t="s">
        <v>10399</v>
      </c>
      <c r="F155" s="3275" t="s">
        <v>10400</v>
      </c>
      <c r="G155" s="3275"/>
      <c r="I155" s="3275" t="s">
        <v>10152</v>
      </c>
      <c r="J155" s="3275"/>
      <c r="K155" s="3275"/>
      <c r="M155" s="3278">
        <v>121000</v>
      </c>
      <c r="O155" s="3278">
        <v>1</v>
      </c>
      <c r="P155" s="3278"/>
      <c r="R155" s="3278">
        <v>121000</v>
      </c>
    </row>
    <row r="156" ht="12.75" customHeight="1" spans="2:18">
      <c r="B156" s="3274">
        <v>132</v>
      </c>
      <c r="D156" s="3275" t="s">
        <v>10401</v>
      </c>
      <c r="F156" s="3275" t="s">
        <v>10402</v>
      </c>
      <c r="G156" s="3275"/>
      <c r="I156" s="3275" t="s">
        <v>10152</v>
      </c>
      <c r="J156" s="3275"/>
      <c r="K156" s="3275"/>
      <c r="M156" s="3278">
        <v>165000</v>
      </c>
      <c r="O156" s="3278">
        <v>6</v>
      </c>
      <c r="P156" s="3278"/>
      <c r="R156" s="3278">
        <v>990000</v>
      </c>
    </row>
    <row r="157" ht="12.75" customHeight="1" spans="2:18">
      <c r="B157" s="3274">
        <v>133</v>
      </c>
      <c r="D157" s="3275" t="s">
        <v>10403</v>
      </c>
      <c r="F157" s="3275" t="s">
        <v>10404</v>
      </c>
      <c r="G157" s="3275"/>
      <c r="I157" s="3275" t="s">
        <v>10149</v>
      </c>
      <c r="J157" s="3275"/>
      <c r="K157" s="3275"/>
      <c r="M157" s="3278">
        <v>38500</v>
      </c>
      <c r="O157" s="3278">
        <v>0</v>
      </c>
      <c r="P157" s="3278"/>
      <c r="R157" s="3278">
        <v>0</v>
      </c>
    </row>
    <row r="158" ht="12.75" customHeight="1" spans="2:18">
      <c r="B158" s="3274">
        <v>134</v>
      </c>
      <c r="D158" s="3275" t="s">
        <v>10405</v>
      </c>
      <c r="F158" s="3275" t="s">
        <v>10406</v>
      </c>
      <c r="G158" s="3275"/>
      <c r="I158" s="3275" t="s">
        <v>10152</v>
      </c>
      <c r="J158" s="3275"/>
      <c r="K158" s="3275"/>
      <c r="M158" s="3278">
        <v>100000</v>
      </c>
      <c r="O158" s="3278">
        <v>0</v>
      </c>
      <c r="P158" s="3278"/>
      <c r="R158" s="3278">
        <v>0</v>
      </c>
    </row>
    <row r="159" ht="12.75" customHeight="1" spans="2:18">
      <c r="B159" s="3274">
        <v>135</v>
      </c>
      <c r="D159" s="3275" t="s">
        <v>10407</v>
      </c>
      <c r="F159" s="3275" t="s">
        <v>10408</v>
      </c>
      <c r="G159" s="3275"/>
      <c r="I159" s="3275" t="s">
        <v>10152</v>
      </c>
      <c r="J159" s="3275"/>
      <c r="K159" s="3275"/>
      <c r="M159" s="3278">
        <v>110000</v>
      </c>
      <c r="O159" s="3278">
        <v>0</v>
      </c>
      <c r="P159" s="3278"/>
      <c r="R159" s="3278">
        <v>0</v>
      </c>
    </row>
    <row r="160" ht="12.75" customHeight="1" spans="2:18">
      <c r="B160" s="3274">
        <v>136</v>
      </c>
      <c r="D160" s="3275" t="s">
        <v>10409</v>
      </c>
      <c r="F160" s="3275" t="s">
        <v>10410</v>
      </c>
      <c r="G160" s="3275"/>
      <c r="I160" s="3275" t="s">
        <v>10152</v>
      </c>
      <c r="J160" s="3275"/>
      <c r="K160" s="3275"/>
      <c r="M160" s="3278">
        <v>95000</v>
      </c>
      <c r="O160" s="3278">
        <v>0</v>
      </c>
      <c r="P160" s="3278"/>
      <c r="R160" s="3278">
        <v>0</v>
      </c>
    </row>
    <row r="161" ht="12.75" customHeight="1" spans="2:18">
      <c r="B161" s="3274">
        <v>137</v>
      </c>
      <c r="D161" s="3275" t="s">
        <v>10411</v>
      </c>
      <c r="F161" s="3275" t="s">
        <v>10412</v>
      </c>
      <c r="G161" s="3275"/>
      <c r="I161" s="3275" t="s">
        <v>10152</v>
      </c>
      <c r="J161" s="3275"/>
      <c r="K161" s="3275"/>
      <c r="M161" s="3278">
        <v>121000</v>
      </c>
      <c r="O161" s="3278">
        <v>2</v>
      </c>
      <c r="P161" s="3278"/>
      <c r="R161" s="3278">
        <v>242000</v>
      </c>
    </row>
    <row r="162" ht="12.75" customHeight="1" spans="2:18">
      <c r="B162" s="3274">
        <v>138</v>
      </c>
      <c r="D162" s="3275" t="s">
        <v>10413</v>
      </c>
      <c r="F162" s="3275" t="s">
        <v>10414</v>
      </c>
      <c r="G162" s="3275"/>
      <c r="I162" s="3275" t="s">
        <v>10152</v>
      </c>
      <c r="J162" s="3275"/>
      <c r="K162" s="3275"/>
      <c r="M162" s="3278">
        <v>121000</v>
      </c>
      <c r="O162" s="3278">
        <v>0</v>
      </c>
      <c r="P162" s="3278"/>
      <c r="R162" s="3278">
        <v>0</v>
      </c>
    </row>
    <row r="163" ht="12.75" customHeight="1" spans="2:18">
      <c r="B163" s="3274">
        <v>139</v>
      </c>
      <c r="D163" s="3275" t="s">
        <v>10415</v>
      </c>
      <c r="F163" s="3275" t="s">
        <v>10416</v>
      </c>
      <c r="G163" s="3275"/>
      <c r="I163" s="3275" t="s">
        <v>10152</v>
      </c>
      <c r="J163" s="3275"/>
      <c r="K163" s="3275"/>
      <c r="M163" s="3278">
        <v>121000</v>
      </c>
      <c r="O163" s="3278">
        <v>0</v>
      </c>
      <c r="P163" s="3278"/>
      <c r="R163" s="3278">
        <v>0</v>
      </c>
    </row>
    <row r="164" ht="12.75" customHeight="1" spans="2:18">
      <c r="B164" s="3274">
        <v>140</v>
      </c>
      <c r="D164" s="3275" t="s">
        <v>10417</v>
      </c>
      <c r="F164" s="3275" t="s">
        <v>10418</v>
      </c>
      <c r="G164" s="3275"/>
      <c r="I164" s="3275" t="s">
        <v>10149</v>
      </c>
      <c r="J164" s="3275"/>
      <c r="K164" s="3275"/>
      <c r="M164" s="3278">
        <v>9500</v>
      </c>
      <c r="O164" s="3278">
        <v>316</v>
      </c>
      <c r="P164" s="3278"/>
      <c r="R164" s="3278">
        <v>3002000</v>
      </c>
    </row>
    <row r="165" ht="12.75" customHeight="1" spans="2:18">
      <c r="B165" s="3274">
        <v>141</v>
      </c>
      <c r="D165" s="3275" t="s">
        <v>10419</v>
      </c>
      <c r="F165" s="3275" t="s">
        <v>10420</v>
      </c>
      <c r="G165" s="3275"/>
      <c r="I165" s="3275" t="s">
        <v>10152</v>
      </c>
      <c r="J165" s="3275"/>
      <c r="K165" s="3275"/>
      <c r="M165" s="3278">
        <v>121000</v>
      </c>
      <c r="O165" s="3278">
        <v>4</v>
      </c>
      <c r="P165" s="3278"/>
      <c r="R165" s="3278">
        <v>484000</v>
      </c>
    </row>
    <row r="166" ht="12.75" customHeight="1" spans="2:18">
      <c r="B166" s="3274">
        <v>142</v>
      </c>
      <c r="D166" s="3275" t="s">
        <v>10421</v>
      </c>
      <c r="F166" s="3275" t="s">
        <v>10422</v>
      </c>
      <c r="G166" s="3275"/>
      <c r="I166" s="3275" t="s">
        <v>10152</v>
      </c>
      <c r="J166" s="3275"/>
      <c r="K166" s="3275"/>
      <c r="M166" s="3278">
        <v>522500</v>
      </c>
      <c r="O166" s="3278">
        <v>0</v>
      </c>
      <c r="P166" s="3278"/>
      <c r="R166" s="3278">
        <v>0</v>
      </c>
    </row>
    <row r="167" ht="12.75" customHeight="1" spans="2:18">
      <c r="B167" s="3274">
        <v>143</v>
      </c>
      <c r="D167" s="3275" t="s">
        <v>10423</v>
      </c>
      <c r="F167" s="3275" t="s">
        <v>10424</v>
      </c>
      <c r="G167" s="3275"/>
      <c r="I167" s="3275" t="s">
        <v>10149</v>
      </c>
      <c r="J167" s="3275"/>
      <c r="K167" s="3275"/>
      <c r="M167" s="3278">
        <v>24750</v>
      </c>
      <c r="O167" s="3278">
        <v>20</v>
      </c>
      <c r="P167" s="3278"/>
      <c r="R167" s="3278">
        <v>495000</v>
      </c>
    </row>
    <row r="168" ht="12.75" customHeight="1" spans="2:18">
      <c r="B168" s="3274">
        <v>144</v>
      </c>
      <c r="D168" s="3275" t="s">
        <v>10425</v>
      </c>
      <c r="F168" s="3275" t="s">
        <v>10426</v>
      </c>
      <c r="G168" s="3275"/>
      <c r="I168" s="3275" t="s">
        <v>10149</v>
      </c>
      <c r="J168" s="3275"/>
      <c r="K168" s="3275"/>
      <c r="M168" s="3278">
        <v>8500</v>
      </c>
      <c r="O168" s="3278">
        <v>26</v>
      </c>
      <c r="P168" s="3278"/>
      <c r="R168" s="3278">
        <v>221000</v>
      </c>
    </row>
    <row r="169" ht="12.75" customHeight="1" spans="2:18">
      <c r="B169" s="3274">
        <v>145</v>
      </c>
      <c r="D169" s="3275" t="s">
        <v>10427</v>
      </c>
      <c r="F169" s="3275" t="s">
        <v>10428</v>
      </c>
      <c r="G169" s="3275"/>
      <c r="I169" s="3275" t="s">
        <v>10149</v>
      </c>
      <c r="J169" s="3275"/>
      <c r="K169" s="3275"/>
      <c r="M169" s="3278">
        <v>30000</v>
      </c>
      <c r="O169" s="3278">
        <v>0</v>
      </c>
      <c r="P169" s="3278"/>
      <c r="R169" s="3278">
        <v>0</v>
      </c>
    </row>
    <row r="170" ht="12.75" customHeight="1" spans="2:18">
      <c r="B170" s="3274">
        <v>146</v>
      </c>
      <c r="D170" s="3275" t="s">
        <v>10429</v>
      </c>
      <c r="F170" s="3275" t="s">
        <v>10430</v>
      </c>
      <c r="G170" s="3275"/>
      <c r="I170" s="3275" t="s">
        <v>10149</v>
      </c>
      <c r="J170" s="3275"/>
      <c r="K170" s="3275"/>
      <c r="M170" s="3278">
        <v>11000</v>
      </c>
      <c r="O170" s="3278">
        <v>6</v>
      </c>
      <c r="P170" s="3278"/>
      <c r="R170" s="3278">
        <v>66000</v>
      </c>
    </row>
    <row r="171" ht="12.75" customHeight="1" spans="2:18">
      <c r="B171" s="3274">
        <v>147</v>
      </c>
      <c r="D171" s="3275" t="s">
        <v>10431</v>
      </c>
      <c r="F171" s="3275" t="s">
        <v>10432</v>
      </c>
      <c r="G171" s="3275"/>
      <c r="I171" s="3275" t="s">
        <v>10152</v>
      </c>
      <c r="J171" s="3275"/>
      <c r="K171" s="3275"/>
      <c r="M171" s="3278">
        <v>125000</v>
      </c>
      <c r="O171" s="3278">
        <v>0</v>
      </c>
      <c r="P171" s="3278"/>
      <c r="R171" s="3278">
        <v>0</v>
      </c>
    </row>
    <row r="172" ht="12.75" customHeight="1" spans="2:18">
      <c r="B172" s="3274">
        <v>148</v>
      </c>
      <c r="D172" s="3275" t="s">
        <v>10433</v>
      </c>
      <c r="F172" s="3275" t="s">
        <v>10434</v>
      </c>
      <c r="G172" s="3275"/>
      <c r="I172" s="3275" t="s">
        <v>10152</v>
      </c>
      <c r="J172" s="3275"/>
      <c r="K172" s="3275"/>
      <c r="M172" s="3278">
        <v>110000</v>
      </c>
      <c r="O172" s="3278">
        <v>6</v>
      </c>
      <c r="P172" s="3278"/>
      <c r="R172" s="3278">
        <v>660000</v>
      </c>
    </row>
    <row r="173" ht="12.75" customHeight="1" spans="2:18">
      <c r="B173" s="3274">
        <v>149</v>
      </c>
      <c r="D173" s="3275" t="s">
        <v>10435</v>
      </c>
      <c r="F173" s="3275" t="s">
        <v>10436</v>
      </c>
      <c r="G173" s="3275"/>
      <c r="I173" s="3275" t="s">
        <v>10152</v>
      </c>
      <c r="J173" s="3275"/>
      <c r="K173" s="3275"/>
      <c r="M173" s="3278">
        <v>90000</v>
      </c>
      <c r="O173" s="3278">
        <v>0</v>
      </c>
      <c r="P173" s="3278"/>
      <c r="R173" s="3278">
        <v>0</v>
      </c>
    </row>
    <row r="174" ht="12.75" customHeight="1" spans="2:18">
      <c r="B174" s="3274">
        <v>150</v>
      </c>
      <c r="D174" s="3275" t="s">
        <v>10437</v>
      </c>
      <c r="F174" s="3275" t="s">
        <v>10438</v>
      </c>
      <c r="G174" s="3275"/>
      <c r="I174" s="3275" t="s">
        <v>10152</v>
      </c>
      <c r="J174" s="3275"/>
      <c r="K174" s="3275"/>
      <c r="M174" s="3278">
        <v>121000</v>
      </c>
      <c r="O174" s="3278">
        <v>4</v>
      </c>
      <c r="P174" s="3278"/>
      <c r="R174" s="3278">
        <v>484000</v>
      </c>
    </row>
    <row r="175" ht="12.75" customHeight="1" spans="2:18">
      <c r="B175" s="3274">
        <v>151</v>
      </c>
      <c r="D175" s="3275" t="s">
        <v>10439</v>
      </c>
      <c r="F175" s="3275" t="s">
        <v>10440</v>
      </c>
      <c r="G175" s="3275"/>
      <c r="I175" s="3275" t="s">
        <v>10152</v>
      </c>
      <c r="J175" s="3275"/>
      <c r="K175" s="3275"/>
      <c r="M175" s="3278">
        <v>121000</v>
      </c>
      <c r="O175" s="3278">
        <v>6</v>
      </c>
      <c r="P175" s="3278"/>
      <c r="R175" s="3278">
        <v>726000</v>
      </c>
    </row>
    <row r="176" ht="12.75" customHeight="1" spans="2:18">
      <c r="B176" s="3274">
        <v>152</v>
      </c>
      <c r="D176" s="3275" t="s">
        <v>10441</v>
      </c>
      <c r="F176" s="3275" t="s">
        <v>10442</v>
      </c>
      <c r="G176" s="3275"/>
      <c r="I176" s="3275" t="s">
        <v>10152</v>
      </c>
      <c r="J176" s="3275"/>
      <c r="K176" s="3275"/>
      <c r="M176" s="3278">
        <v>121000</v>
      </c>
      <c r="O176" s="3278">
        <v>0</v>
      </c>
      <c r="P176" s="3278"/>
      <c r="R176" s="3278">
        <v>0</v>
      </c>
    </row>
    <row r="177" ht="12.75" customHeight="1" spans="2:18">
      <c r="B177" s="3274">
        <v>153</v>
      </c>
      <c r="D177" s="3275" t="s">
        <v>10443</v>
      </c>
      <c r="F177" s="3275" t="s">
        <v>10444</v>
      </c>
      <c r="G177" s="3275"/>
      <c r="I177" s="3275" t="s">
        <v>10152</v>
      </c>
      <c r="J177" s="3275"/>
      <c r="K177" s="3275"/>
      <c r="M177" s="3278">
        <v>121000</v>
      </c>
      <c r="O177" s="3278">
        <v>0</v>
      </c>
      <c r="P177" s="3278"/>
      <c r="R177" s="3278">
        <v>0</v>
      </c>
    </row>
    <row r="178" ht="12.75" customHeight="1" spans="2:18">
      <c r="B178" s="3274">
        <v>154</v>
      </c>
      <c r="D178" s="3275" t="s">
        <v>10445</v>
      </c>
      <c r="F178" s="3275" t="s">
        <v>10446</v>
      </c>
      <c r="G178" s="3275"/>
      <c r="I178" s="3275" t="s">
        <v>10152</v>
      </c>
      <c r="J178" s="3275"/>
      <c r="K178" s="3275"/>
      <c r="M178" s="3278">
        <v>100000</v>
      </c>
      <c r="O178" s="3278">
        <v>1</v>
      </c>
      <c r="P178" s="3278"/>
      <c r="R178" s="3278">
        <v>100000</v>
      </c>
    </row>
    <row r="179" ht="12.75" customHeight="1" spans="2:18">
      <c r="B179" s="3274">
        <v>155</v>
      </c>
      <c r="D179" s="3275" t="s">
        <v>10447</v>
      </c>
      <c r="F179" s="3275" t="s">
        <v>10448</v>
      </c>
      <c r="G179" s="3275"/>
      <c r="I179" s="3275" t="s">
        <v>10152</v>
      </c>
      <c r="J179" s="3275"/>
      <c r="K179" s="3275"/>
      <c r="M179" s="3278">
        <v>110000</v>
      </c>
      <c r="O179" s="3278">
        <v>0</v>
      </c>
      <c r="P179" s="3278"/>
      <c r="R179" s="3278">
        <v>0</v>
      </c>
    </row>
    <row r="180" ht="12.75" customHeight="1" spans="2:18">
      <c r="B180" s="3274">
        <v>156</v>
      </c>
      <c r="D180" s="3275" t="s">
        <v>10449</v>
      </c>
      <c r="F180" s="3275" t="s">
        <v>10450</v>
      </c>
      <c r="G180" s="3275"/>
      <c r="I180" s="3275" t="s">
        <v>10152</v>
      </c>
      <c r="J180" s="3275"/>
      <c r="K180" s="3275"/>
      <c r="M180" s="3278">
        <v>420000</v>
      </c>
      <c r="O180" s="3278">
        <v>5</v>
      </c>
      <c r="P180" s="3278"/>
      <c r="R180" s="3278">
        <v>2100000</v>
      </c>
    </row>
    <row r="181" ht="12.75" customHeight="1" spans="2:18">
      <c r="B181" s="3274">
        <v>157</v>
      </c>
      <c r="D181" s="3275" t="s">
        <v>10451</v>
      </c>
      <c r="F181" s="3275" t="s">
        <v>10452</v>
      </c>
      <c r="G181" s="3275"/>
      <c r="I181" s="3275" t="s">
        <v>10152</v>
      </c>
      <c r="J181" s="3275"/>
      <c r="K181" s="3275"/>
      <c r="M181" s="3278">
        <v>360000</v>
      </c>
      <c r="O181" s="3278">
        <v>0</v>
      </c>
      <c r="P181" s="3278"/>
      <c r="R181" s="3278">
        <v>0</v>
      </c>
    </row>
    <row r="182" ht="12.75" customHeight="1" spans="2:18">
      <c r="B182" s="3274">
        <v>158</v>
      </c>
      <c r="D182" s="3275" t="s">
        <v>10453</v>
      </c>
      <c r="F182" s="3275" t="s">
        <v>10454</v>
      </c>
      <c r="G182" s="3275"/>
      <c r="I182" s="3275" t="s">
        <v>10152</v>
      </c>
      <c r="J182" s="3275"/>
      <c r="K182" s="3275"/>
      <c r="M182" s="3278">
        <v>522500</v>
      </c>
      <c r="O182" s="3278">
        <v>2</v>
      </c>
      <c r="P182" s="3278"/>
      <c r="R182" s="3278">
        <v>1045000</v>
      </c>
    </row>
    <row r="183" ht="12.75" customHeight="1" spans="2:18">
      <c r="B183" s="3274">
        <v>159</v>
      </c>
      <c r="D183" s="3275" t="s">
        <v>10455</v>
      </c>
      <c r="F183" s="3275" t="s">
        <v>10456</v>
      </c>
      <c r="G183" s="3275"/>
      <c r="I183" s="3275" t="s">
        <v>10152</v>
      </c>
      <c r="J183" s="3275"/>
      <c r="K183" s="3275"/>
      <c r="M183" s="3278">
        <v>300000</v>
      </c>
      <c r="O183" s="3278">
        <v>0</v>
      </c>
      <c r="P183" s="3278"/>
      <c r="R183" s="3278">
        <v>0</v>
      </c>
    </row>
    <row r="184" ht="12.75" customHeight="1" spans="2:18">
      <c r="B184" s="3274">
        <v>160</v>
      </c>
      <c r="D184" s="3275" t="s">
        <v>10457</v>
      </c>
      <c r="F184" s="3275" t="s">
        <v>10458</v>
      </c>
      <c r="G184" s="3275"/>
      <c r="I184" s="3275" t="s">
        <v>10152</v>
      </c>
      <c r="J184" s="3275"/>
      <c r="K184" s="3275"/>
      <c r="M184" s="3278">
        <v>110000</v>
      </c>
      <c r="O184" s="3278">
        <v>12</v>
      </c>
      <c r="P184" s="3278"/>
      <c r="R184" s="3278">
        <v>1320000</v>
      </c>
    </row>
    <row r="185" ht="12.75" customHeight="1" spans="2:18">
      <c r="B185" s="3274">
        <v>161</v>
      </c>
      <c r="D185" s="3275" t="s">
        <v>10459</v>
      </c>
      <c r="F185" s="3275" t="s">
        <v>10460</v>
      </c>
      <c r="G185" s="3275"/>
      <c r="I185" s="3275" t="s">
        <v>10152</v>
      </c>
      <c r="J185" s="3275"/>
      <c r="K185" s="3275"/>
      <c r="M185" s="3278">
        <v>110000</v>
      </c>
      <c r="O185" s="3278">
        <v>0</v>
      </c>
      <c r="P185" s="3278"/>
      <c r="R185" s="3278">
        <v>0</v>
      </c>
    </row>
    <row r="186" ht="12.75" customHeight="1" spans="2:18">
      <c r="B186" s="3274">
        <v>162</v>
      </c>
      <c r="D186" s="3275" t="s">
        <v>10461</v>
      </c>
      <c r="F186" s="3275" t="s">
        <v>10462</v>
      </c>
      <c r="G186" s="3275"/>
      <c r="I186" s="3275" t="s">
        <v>10152</v>
      </c>
      <c r="J186" s="3275"/>
      <c r="K186" s="3275"/>
      <c r="M186" s="3278">
        <v>121000</v>
      </c>
      <c r="O186" s="3278">
        <v>0</v>
      </c>
      <c r="P186" s="3278"/>
      <c r="R186" s="3278">
        <v>0</v>
      </c>
    </row>
    <row r="187" ht="12.75" customHeight="1" spans="2:18">
      <c r="B187" s="3274">
        <v>163</v>
      </c>
      <c r="D187" s="3275" t="s">
        <v>10463</v>
      </c>
      <c r="F187" s="3275" t="s">
        <v>10464</v>
      </c>
      <c r="G187" s="3275"/>
      <c r="I187" s="3275" t="s">
        <v>10152</v>
      </c>
      <c r="J187" s="3275"/>
      <c r="K187" s="3275"/>
      <c r="M187" s="3278">
        <v>121000</v>
      </c>
      <c r="O187" s="3278">
        <v>5</v>
      </c>
      <c r="P187" s="3278"/>
      <c r="R187" s="3278">
        <v>605000</v>
      </c>
    </row>
    <row r="188" ht="12.75" customHeight="1" spans="2:18">
      <c r="B188" s="3274">
        <v>164</v>
      </c>
      <c r="D188" s="3275" t="s">
        <v>10465</v>
      </c>
      <c r="F188" s="3275" t="s">
        <v>10466</v>
      </c>
      <c r="G188" s="3275"/>
      <c r="I188" s="3275" t="s">
        <v>10152</v>
      </c>
      <c r="J188" s="3275"/>
      <c r="K188" s="3275"/>
      <c r="M188" s="3278">
        <v>150000</v>
      </c>
      <c r="O188" s="3278">
        <v>4</v>
      </c>
      <c r="P188" s="3278"/>
      <c r="R188" s="3278">
        <v>600000</v>
      </c>
    </row>
    <row r="189" ht="12.75" customHeight="1" spans="2:18">
      <c r="B189" s="3274">
        <v>165</v>
      </c>
      <c r="D189" s="3275" t="s">
        <v>10467</v>
      </c>
      <c r="F189" s="3275" t="s">
        <v>10468</v>
      </c>
      <c r="G189" s="3275"/>
      <c r="I189" s="3275" t="s">
        <v>10152</v>
      </c>
      <c r="J189" s="3275"/>
      <c r="K189" s="3275"/>
      <c r="M189" s="3278">
        <v>125000</v>
      </c>
      <c r="O189" s="3278">
        <v>6</v>
      </c>
      <c r="P189" s="3278"/>
      <c r="R189" s="3278">
        <v>750000</v>
      </c>
    </row>
    <row r="190" ht="12.75" customHeight="1" spans="2:18">
      <c r="B190" s="3274">
        <v>166</v>
      </c>
      <c r="D190" s="3275" t="s">
        <v>10469</v>
      </c>
      <c r="F190" s="3275" t="s">
        <v>10470</v>
      </c>
      <c r="G190" s="3275"/>
      <c r="I190" s="3275" t="s">
        <v>10149</v>
      </c>
      <c r="J190" s="3275"/>
      <c r="K190" s="3275"/>
      <c r="M190" s="3278">
        <v>24750</v>
      </c>
      <c r="O190" s="3278">
        <v>80</v>
      </c>
      <c r="P190" s="3278"/>
      <c r="R190" s="3278">
        <v>1980000</v>
      </c>
    </row>
    <row r="191" ht="12.75" customHeight="1" spans="2:18">
      <c r="B191" s="3274">
        <v>167</v>
      </c>
      <c r="D191" s="3275" t="s">
        <v>10471</v>
      </c>
      <c r="F191" s="3275" t="s">
        <v>10472</v>
      </c>
      <c r="G191" s="3275"/>
      <c r="I191" s="3275" t="s">
        <v>10152</v>
      </c>
      <c r="J191" s="3275"/>
      <c r="K191" s="3275"/>
      <c r="M191" s="3278">
        <v>121000</v>
      </c>
      <c r="O191" s="3278">
        <v>0</v>
      </c>
      <c r="P191" s="3278"/>
      <c r="R191" s="3278">
        <v>0</v>
      </c>
    </row>
    <row r="192" ht="12.75" customHeight="1" spans="2:18">
      <c r="B192" s="3274">
        <v>168</v>
      </c>
      <c r="D192" s="3275" t="s">
        <v>10473</v>
      </c>
      <c r="F192" s="3275" t="s">
        <v>10474</v>
      </c>
      <c r="G192" s="3275"/>
      <c r="I192" s="3275" t="s">
        <v>10152</v>
      </c>
      <c r="J192" s="3275"/>
      <c r="K192" s="3275"/>
      <c r="M192" s="3278">
        <v>95000</v>
      </c>
      <c r="O192" s="3278">
        <v>0</v>
      </c>
      <c r="P192" s="3278"/>
      <c r="R192" s="3278">
        <v>0</v>
      </c>
    </row>
    <row r="193" ht="12.75" customHeight="1" spans="2:18">
      <c r="B193" s="3274">
        <v>169</v>
      </c>
      <c r="D193" s="3275" t="s">
        <v>10475</v>
      </c>
      <c r="F193" s="3275" t="s">
        <v>10476</v>
      </c>
      <c r="G193" s="3275"/>
      <c r="I193" s="3275" t="s">
        <v>10149</v>
      </c>
      <c r="J193" s="3275"/>
      <c r="K193" s="3275"/>
      <c r="M193" s="3278">
        <v>27500</v>
      </c>
      <c r="O193" s="3278">
        <v>101</v>
      </c>
      <c r="P193" s="3278"/>
      <c r="R193" s="3278">
        <v>2777500</v>
      </c>
    </row>
    <row r="194" ht="12.75" customHeight="1" spans="2:18">
      <c r="B194" s="3274">
        <v>170</v>
      </c>
      <c r="D194" s="3275" t="s">
        <v>10477</v>
      </c>
      <c r="F194" s="3275" t="s">
        <v>10478</v>
      </c>
      <c r="G194" s="3275"/>
      <c r="I194" s="3275" t="s">
        <v>10152</v>
      </c>
      <c r="J194" s="3275"/>
      <c r="K194" s="3275"/>
      <c r="M194" s="3278">
        <v>100000</v>
      </c>
      <c r="O194" s="3278">
        <v>5</v>
      </c>
      <c r="P194" s="3278"/>
      <c r="R194" s="3278">
        <v>500000</v>
      </c>
    </row>
    <row r="195" ht="12.75" customHeight="1" spans="2:18">
      <c r="B195" s="3274">
        <v>171</v>
      </c>
      <c r="D195" s="3275" t="s">
        <v>10479</v>
      </c>
      <c r="F195" s="3275" t="s">
        <v>10480</v>
      </c>
      <c r="G195" s="3275"/>
      <c r="I195" s="3275" t="s">
        <v>10149</v>
      </c>
      <c r="J195" s="3275"/>
      <c r="K195" s="3275"/>
      <c r="M195" s="3278">
        <v>8250</v>
      </c>
      <c r="O195" s="3278">
        <v>0</v>
      </c>
      <c r="P195" s="3278"/>
      <c r="R195" s="3278">
        <v>0</v>
      </c>
    </row>
    <row r="196" ht="12.75" customHeight="1" spans="2:18">
      <c r="B196" s="3274">
        <v>172</v>
      </c>
      <c r="D196" s="3275" t="s">
        <v>10481</v>
      </c>
      <c r="F196" s="3275" t="s">
        <v>10482</v>
      </c>
      <c r="G196" s="3275"/>
      <c r="I196" s="3275" t="s">
        <v>10149</v>
      </c>
      <c r="J196" s="3275"/>
      <c r="K196" s="3275"/>
      <c r="M196" s="3278">
        <v>22500</v>
      </c>
      <c r="O196" s="3278">
        <v>0</v>
      </c>
      <c r="P196" s="3278"/>
      <c r="R196" s="3278">
        <v>0</v>
      </c>
    </row>
    <row r="197" ht="12.75" customHeight="1" spans="2:18">
      <c r="B197" s="3274">
        <v>173</v>
      </c>
      <c r="D197" s="3275" t="s">
        <v>10483</v>
      </c>
      <c r="F197" s="3275" t="s">
        <v>10484</v>
      </c>
      <c r="G197" s="3275"/>
      <c r="I197" s="3275" t="s">
        <v>10152</v>
      </c>
      <c r="J197" s="3275"/>
      <c r="K197" s="3275"/>
      <c r="M197" s="3278">
        <v>121000</v>
      </c>
      <c r="O197" s="3278">
        <v>8</v>
      </c>
      <c r="P197" s="3278"/>
      <c r="R197" s="3278">
        <v>968000</v>
      </c>
    </row>
    <row r="198" ht="12.75" customHeight="1" spans="2:18">
      <c r="B198" s="3274">
        <v>174</v>
      </c>
      <c r="D198" s="3275" t="s">
        <v>10485</v>
      </c>
      <c r="F198" s="3275" t="s">
        <v>10486</v>
      </c>
      <c r="G198" s="3275"/>
      <c r="I198" s="3275" t="s">
        <v>10149</v>
      </c>
      <c r="J198" s="3275"/>
      <c r="K198" s="3275"/>
      <c r="M198" s="3278">
        <v>23100</v>
      </c>
      <c r="O198" s="3278">
        <v>90</v>
      </c>
      <c r="P198" s="3278"/>
      <c r="R198" s="3278">
        <v>2079000</v>
      </c>
    </row>
    <row r="199" ht="12.75" customHeight="1" spans="2:18">
      <c r="B199" s="3274">
        <v>175</v>
      </c>
      <c r="D199" s="3275" t="s">
        <v>10487</v>
      </c>
      <c r="F199" s="3275" t="s">
        <v>10488</v>
      </c>
      <c r="G199" s="3275"/>
      <c r="I199" s="3275" t="s">
        <v>10152</v>
      </c>
      <c r="J199" s="3275"/>
      <c r="K199" s="3275"/>
      <c r="M199" s="3278">
        <v>104500</v>
      </c>
      <c r="O199" s="3278">
        <v>3</v>
      </c>
      <c r="P199" s="3278"/>
      <c r="R199" s="3278">
        <v>313500</v>
      </c>
    </row>
    <row r="200" ht="12.75" customHeight="1" spans="2:18">
      <c r="B200" s="3274">
        <v>176</v>
      </c>
      <c r="D200" s="3275" t="s">
        <v>10489</v>
      </c>
      <c r="F200" s="3275" t="s">
        <v>10490</v>
      </c>
      <c r="G200" s="3275"/>
      <c r="I200" s="3275" t="s">
        <v>10152</v>
      </c>
      <c r="J200" s="3275"/>
      <c r="K200" s="3275"/>
      <c r="M200" s="3278">
        <v>140000</v>
      </c>
      <c r="O200" s="3278">
        <v>2</v>
      </c>
      <c r="P200" s="3278"/>
      <c r="R200" s="3278">
        <v>280000</v>
      </c>
    </row>
    <row r="201" ht="12.75" customHeight="1" spans="2:18">
      <c r="B201" s="3274">
        <v>177</v>
      </c>
      <c r="D201" s="3275" t="s">
        <v>10491</v>
      </c>
      <c r="F201" s="3275" t="s">
        <v>10492</v>
      </c>
      <c r="G201" s="3275"/>
      <c r="I201" s="3275" t="s">
        <v>10152</v>
      </c>
      <c r="J201" s="3275"/>
      <c r="K201" s="3275"/>
      <c r="M201" s="3278">
        <v>104500</v>
      </c>
      <c r="O201" s="3278">
        <v>0</v>
      </c>
      <c r="P201" s="3278"/>
      <c r="R201" s="3278">
        <v>0</v>
      </c>
    </row>
    <row r="202" ht="12.75" customHeight="1" spans="2:18">
      <c r="B202" s="3274">
        <v>178</v>
      </c>
      <c r="D202" s="3275" t="s">
        <v>10493</v>
      </c>
      <c r="F202" s="3275" t="s">
        <v>10494</v>
      </c>
      <c r="G202" s="3275"/>
      <c r="I202" s="3275" t="s">
        <v>10152</v>
      </c>
      <c r="J202" s="3275"/>
      <c r="K202" s="3275"/>
      <c r="M202" s="3278">
        <v>100000</v>
      </c>
      <c r="O202" s="3278">
        <v>3</v>
      </c>
      <c r="P202" s="3278"/>
      <c r="R202" s="3278">
        <v>300000</v>
      </c>
    </row>
    <row r="203" ht="12.75" customHeight="1" spans="2:18">
      <c r="B203" s="3274">
        <v>179</v>
      </c>
      <c r="D203" s="3275" t="s">
        <v>10495</v>
      </c>
      <c r="F203" s="3275" t="s">
        <v>10496</v>
      </c>
      <c r="G203" s="3275"/>
      <c r="I203" s="3275" t="s">
        <v>10152</v>
      </c>
      <c r="J203" s="3275"/>
      <c r="K203" s="3275"/>
      <c r="M203" s="3278">
        <v>115500</v>
      </c>
      <c r="O203" s="3278">
        <v>0</v>
      </c>
      <c r="P203" s="3278"/>
      <c r="R203" s="3278">
        <v>0</v>
      </c>
    </row>
    <row r="204" ht="12.75" customHeight="1" spans="2:18">
      <c r="B204" s="3274">
        <v>180</v>
      </c>
      <c r="D204" s="3275" t="s">
        <v>10497</v>
      </c>
      <c r="F204" s="3275" t="s">
        <v>10498</v>
      </c>
      <c r="G204" s="3275"/>
      <c r="I204" s="3275" t="s">
        <v>10152</v>
      </c>
      <c r="J204" s="3275"/>
      <c r="K204" s="3275"/>
      <c r="M204" s="3278">
        <v>100000</v>
      </c>
      <c r="O204" s="3278">
        <v>0</v>
      </c>
      <c r="P204" s="3278"/>
      <c r="R204" s="3278">
        <v>0</v>
      </c>
    </row>
    <row r="205" ht="12.75" customHeight="1" spans="2:18">
      <c r="B205" s="3274">
        <v>181</v>
      </c>
      <c r="D205" s="3275" t="s">
        <v>10499</v>
      </c>
      <c r="F205" s="3275" t="s">
        <v>10500</v>
      </c>
      <c r="G205" s="3275"/>
      <c r="I205" s="3275" t="s">
        <v>10152</v>
      </c>
      <c r="J205" s="3275"/>
      <c r="K205" s="3275"/>
      <c r="M205" s="3278">
        <v>100000</v>
      </c>
      <c r="O205" s="3278">
        <v>1</v>
      </c>
      <c r="P205" s="3278"/>
      <c r="R205" s="3278">
        <v>100000</v>
      </c>
    </row>
    <row r="206" ht="12.75" customHeight="1" spans="2:18">
      <c r="B206" s="3274">
        <v>182</v>
      </c>
      <c r="D206" s="3275" t="s">
        <v>10501</v>
      </c>
      <c r="F206" s="3275" t="s">
        <v>10502</v>
      </c>
      <c r="G206" s="3275"/>
      <c r="I206" s="3275" t="s">
        <v>10152</v>
      </c>
      <c r="J206" s="3275"/>
      <c r="K206" s="3275"/>
      <c r="M206" s="3278">
        <v>225000</v>
      </c>
      <c r="O206" s="3278">
        <v>0</v>
      </c>
      <c r="P206" s="3278"/>
      <c r="R206" s="3278">
        <v>0</v>
      </c>
    </row>
    <row r="207" ht="12.75" customHeight="1" spans="2:18">
      <c r="B207" s="3274">
        <v>183</v>
      </c>
      <c r="D207" s="3275" t="s">
        <v>10503</v>
      </c>
      <c r="F207" s="3275" t="s">
        <v>10504</v>
      </c>
      <c r="G207" s="3275"/>
      <c r="I207" s="3275" t="s">
        <v>2388</v>
      </c>
      <c r="J207" s="3275"/>
      <c r="K207" s="3275"/>
      <c r="M207" s="3278">
        <v>3850</v>
      </c>
      <c r="O207" s="3278">
        <v>400</v>
      </c>
      <c r="P207" s="3278"/>
      <c r="R207" s="3278">
        <v>1540000</v>
      </c>
    </row>
    <row r="208" ht="12.75" customHeight="1" spans="2:18">
      <c r="B208" s="3274">
        <v>184</v>
      </c>
      <c r="D208" s="3275" t="s">
        <v>10505</v>
      </c>
      <c r="F208" s="3275" t="s">
        <v>10506</v>
      </c>
      <c r="G208" s="3275"/>
      <c r="I208" s="3275" t="s">
        <v>10149</v>
      </c>
      <c r="J208" s="3275"/>
      <c r="K208" s="3275"/>
      <c r="M208" s="3278">
        <v>36850</v>
      </c>
      <c r="O208" s="3278">
        <v>97</v>
      </c>
      <c r="P208" s="3278"/>
      <c r="R208" s="3278">
        <v>3574450</v>
      </c>
    </row>
    <row r="209" ht="12.75" customHeight="1" spans="2:18">
      <c r="B209" s="3274">
        <v>185</v>
      </c>
      <c r="D209" s="3275" t="s">
        <v>10507</v>
      </c>
      <c r="F209" s="3275" t="s">
        <v>10508</v>
      </c>
      <c r="G209" s="3275"/>
      <c r="I209" s="3275" t="s">
        <v>10149</v>
      </c>
      <c r="J209" s="3275"/>
      <c r="K209" s="3275"/>
      <c r="M209" s="3278">
        <v>30250</v>
      </c>
      <c r="O209" s="3278">
        <v>6</v>
      </c>
      <c r="P209" s="3278"/>
      <c r="R209" s="3278">
        <v>181500</v>
      </c>
    </row>
    <row r="210" ht="12.75" customHeight="1" spans="2:18">
      <c r="B210" s="3274">
        <v>186</v>
      </c>
      <c r="D210" s="3275" t="s">
        <v>10509</v>
      </c>
      <c r="F210" s="3275" t="s">
        <v>10510</v>
      </c>
      <c r="G210" s="3275"/>
      <c r="I210" s="3275" t="s">
        <v>10149</v>
      </c>
      <c r="J210" s="3275"/>
      <c r="K210" s="3275"/>
      <c r="M210" s="3278">
        <v>35750</v>
      </c>
      <c r="O210" s="3278">
        <v>333</v>
      </c>
      <c r="P210" s="3278"/>
      <c r="R210" s="3278">
        <v>11904750</v>
      </c>
    </row>
    <row r="211" ht="12.75" customHeight="1" spans="2:18">
      <c r="B211" s="3274">
        <v>187</v>
      </c>
      <c r="D211" s="3275" t="s">
        <v>10511</v>
      </c>
      <c r="F211" s="3275" t="s">
        <v>10512</v>
      </c>
      <c r="G211" s="3275"/>
      <c r="I211" s="3275" t="s">
        <v>10152</v>
      </c>
      <c r="J211" s="3275"/>
      <c r="K211" s="3275"/>
      <c r="M211" s="3278">
        <v>93500</v>
      </c>
      <c r="O211" s="3278">
        <v>0</v>
      </c>
      <c r="P211" s="3278"/>
      <c r="R211" s="3278">
        <v>0</v>
      </c>
    </row>
    <row r="212" ht="12.75" customHeight="1" spans="2:18">
      <c r="B212" s="3274">
        <v>188</v>
      </c>
      <c r="D212" s="3275" t="s">
        <v>10513</v>
      </c>
      <c r="F212" s="3275" t="s">
        <v>10514</v>
      </c>
      <c r="G212" s="3275"/>
      <c r="I212" s="3275" t="s">
        <v>10149</v>
      </c>
      <c r="J212" s="3275"/>
      <c r="K212" s="3275"/>
      <c r="M212" s="3278">
        <v>99000</v>
      </c>
      <c r="O212" s="3278">
        <v>9</v>
      </c>
      <c r="P212" s="3278"/>
      <c r="R212" s="3278">
        <v>891000</v>
      </c>
    </row>
    <row r="213" ht="12.75" customHeight="1" spans="2:18">
      <c r="B213" s="3274">
        <v>189</v>
      </c>
      <c r="D213" s="3275" t="s">
        <v>10515</v>
      </c>
      <c r="F213" s="3275" t="s">
        <v>10516</v>
      </c>
      <c r="G213" s="3275"/>
      <c r="I213" s="3275" t="s">
        <v>10152</v>
      </c>
      <c r="J213" s="3275"/>
      <c r="K213" s="3275"/>
      <c r="M213" s="3278">
        <v>121000</v>
      </c>
      <c r="O213" s="3278">
        <v>3</v>
      </c>
      <c r="P213" s="3278"/>
      <c r="R213" s="3278">
        <v>363000</v>
      </c>
    </row>
    <row r="214" ht="12.75" customHeight="1" spans="2:18">
      <c r="B214" s="3274">
        <v>190</v>
      </c>
      <c r="D214" s="3275" t="s">
        <v>10517</v>
      </c>
      <c r="F214" s="3275" t="s">
        <v>10518</v>
      </c>
      <c r="G214" s="3275"/>
      <c r="I214" s="3275" t="s">
        <v>10152</v>
      </c>
      <c r="J214" s="3275"/>
      <c r="K214" s="3275"/>
      <c r="M214" s="3278">
        <v>93500</v>
      </c>
      <c r="O214" s="3278">
        <v>0</v>
      </c>
      <c r="P214" s="3278"/>
      <c r="R214" s="3278">
        <v>0</v>
      </c>
    </row>
    <row r="215" ht="12.75" customHeight="1" spans="2:18">
      <c r="B215" s="3274">
        <v>191</v>
      </c>
      <c r="D215" s="3275" t="s">
        <v>10519</v>
      </c>
      <c r="F215" s="3275" t="s">
        <v>10520</v>
      </c>
      <c r="G215" s="3275"/>
      <c r="I215" s="3275" t="s">
        <v>10149</v>
      </c>
      <c r="J215" s="3275"/>
      <c r="K215" s="3275"/>
      <c r="M215" s="3278">
        <v>22500</v>
      </c>
      <c r="O215" s="3278">
        <v>41</v>
      </c>
      <c r="P215" s="3278"/>
      <c r="R215" s="3278">
        <v>922500</v>
      </c>
    </row>
    <row r="216" ht="12.75" customHeight="1" spans="2:18">
      <c r="B216" s="3274">
        <v>192</v>
      </c>
      <c r="D216" s="3275" t="s">
        <v>10521</v>
      </c>
      <c r="F216" s="3275" t="s">
        <v>10522</v>
      </c>
      <c r="G216" s="3275"/>
      <c r="I216" s="3275" t="s">
        <v>10152</v>
      </c>
      <c r="J216" s="3275"/>
      <c r="K216" s="3275"/>
      <c r="M216" s="3278">
        <v>121000</v>
      </c>
      <c r="O216" s="3278">
        <v>0</v>
      </c>
      <c r="P216" s="3278"/>
      <c r="R216" s="3278">
        <v>0</v>
      </c>
    </row>
    <row r="217" ht="12.75" customHeight="1" spans="2:18">
      <c r="B217" s="3274">
        <v>193</v>
      </c>
      <c r="D217" s="3275" t="s">
        <v>10523</v>
      </c>
      <c r="F217" s="3275" t="s">
        <v>10524</v>
      </c>
      <c r="G217" s="3275"/>
      <c r="I217" s="3275" t="s">
        <v>10152</v>
      </c>
      <c r="J217" s="3275"/>
      <c r="K217" s="3275"/>
      <c r="M217" s="3278">
        <v>121000</v>
      </c>
      <c r="O217" s="3278">
        <v>0</v>
      </c>
      <c r="P217" s="3278"/>
      <c r="R217" s="3278">
        <v>0</v>
      </c>
    </row>
    <row r="218" ht="12.75" customHeight="1" spans="2:18">
      <c r="B218" s="3274">
        <v>194</v>
      </c>
      <c r="D218" s="3275" t="s">
        <v>10525</v>
      </c>
      <c r="F218" s="3275" t="s">
        <v>10526</v>
      </c>
      <c r="G218" s="3275"/>
      <c r="I218" s="3275" t="s">
        <v>10152</v>
      </c>
      <c r="J218" s="3275"/>
      <c r="K218" s="3275"/>
      <c r="M218" s="3278">
        <v>110000</v>
      </c>
      <c r="O218" s="3278">
        <v>0</v>
      </c>
      <c r="P218" s="3278"/>
      <c r="R218" s="3278">
        <v>0</v>
      </c>
    </row>
    <row r="219" ht="12.75" customHeight="1" spans="2:18">
      <c r="B219" s="3274">
        <v>195</v>
      </c>
      <c r="D219" s="3275" t="s">
        <v>10527</v>
      </c>
      <c r="F219" s="3275" t="s">
        <v>10528</v>
      </c>
      <c r="G219" s="3275"/>
      <c r="I219" s="3275" t="s">
        <v>10152</v>
      </c>
      <c r="J219" s="3275"/>
      <c r="K219" s="3275"/>
      <c r="M219" s="3278">
        <v>522500</v>
      </c>
      <c r="O219" s="3278">
        <v>0</v>
      </c>
      <c r="P219" s="3278"/>
      <c r="R219" s="3278">
        <v>0</v>
      </c>
    </row>
    <row r="220" ht="12.75" customHeight="1" spans="2:18">
      <c r="B220" s="3274">
        <v>196</v>
      </c>
      <c r="D220" s="3275" t="s">
        <v>10529</v>
      </c>
      <c r="F220" s="3275" t="s">
        <v>10530</v>
      </c>
      <c r="G220" s="3275"/>
      <c r="I220" s="3275" t="s">
        <v>10152</v>
      </c>
      <c r="J220" s="3275"/>
      <c r="K220" s="3275"/>
      <c r="M220" s="3278">
        <v>110000</v>
      </c>
      <c r="O220" s="3278">
        <v>0</v>
      </c>
      <c r="P220" s="3278"/>
      <c r="R220" s="3278">
        <v>0</v>
      </c>
    </row>
    <row r="221" ht="12.75" customHeight="1" spans="2:18">
      <c r="B221" s="3274">
        <v>197</v>
      </c>
      <c r="D221" s="3275" t="s">
        <v>10531</v>
      </c>
      <c r="F221" s="3275" t="s">
        <v>10532</v>
      </c>
      <c r="G221" s="3275"/>
      <c r="I221" s="3275" t="s">
        <v>10152</v>
      </c>
      <c r="J221" s="3275"/>
      <c r="K221" s="3275"/>
      <c r="M221" s="3278">
        <v>110000</v>
      </c>
      <c r="O221" s="3278">
        <v>5</v>
      </c>
      <c r="P221" s="3278"/>
      <c r="R221" s="3278">
        <v>550000</v>
      </c>
    </row>
    <row r="222" ht="12.75" customHeight="1" spans="2:18">
      <c r="B222" s="3274">
        <v>198</v>
      </c>
      <c r="D222" s="3275" t="s">
        <v>10533</v>
      </c>
      <c r="F222" s="3275" t="s">
        <v>10534</v>
      </c>
      <c r="G222" s="3275"/>
      <c r="I222" s="3275" t="s">
        <v>10152</v>
      </c>
      <c r="J222" s="3275"/>
      <c r="K222" s="3275"/>
      <c r="M222" s="3278">
        <v>110000</v>
      </c>
      <c r="O222" s="3278">
        <v>5</v>
      </c>
      <c r="P222" s="3278"/>
      <c r="R222" s="3278">
        <v>550000</v>
      </c>
    </row>
    <row r="223" ht="12.75" customHeight="1" spans="2:18">
      <c r="B223" s="3274">
        <v>199</v>
      </c>
      <c r="D223" s="3275" t="s">
        <v>10535</v>
      </c>
      <c r="F223" s="3275" t="s">
        <v>10536</v>
      </c>
      <c r="G223" s="3275"/>
      <c r="I223" s="3275" t="s">
        <v>10152</v>
      </c>
      <c r="J223" s="3275"/>
      <c r="K223" s="3275"/>
      <c r="M223" s="3278">
        <v>110000</v>
      </c>
      <c r="O223" s="3278">
        <v>4</v>
      </c>
      <c r="P223" s="3278"/>
      <c r="R223" s="3278">
        <v>440000</v>
      </c>
    </row>
    <row r="224" ht="12.75" customHeight="1" spans="2:18">
      <c r="B224" s="3274">
        <v>200</v>
      </c>
      <c r="D224" s="3275" t="s">
        <v>10537</v>
      </c>
      <c r="F224" s="3275" t="s">
        <v>10538</v>
      </c>
      <c r="G224" s="3275"/>
      <c r="I224" s="3275" t="s">
        <v>2299</v>
      </c>
      <c r="J224" s="3275"/>
      <c r="K224" s="3275"/>
      <c r="M224" s="3278">
        <v>1006.5</v>
      </c>
      <c r="O224" s="3278">
        <v>0</v>
      </c>
      <c r="P224" s="3278"/>
      <c r="R224" s="3278">
        <v>0</v>
      </c>
    </row>
    <row r="225" ht="12.75" customHeight="1" spans="2:18">
      <c r="B225" s="3274">
        <v>201</v>
      </c>
      <c r="D225" s="3275" t="s">
        <v>10539</v>
      </c>
      <c r="F225" s="3275" t="s">
        <v>10540</v>
      </c>
      <c r="G225" s="3275"/>
      <c r="I225" s="3275" t="s">
        <v>10152</v>
      </c>
      <c r="J225" s="3275"/>
      <c r="K225" s="3275"/>
      <c r="M225" s="3278">
        <v>85000</v>
      </c>
      <c r="O225" s="3278">
        <v>3</v>
      </c>
      <c r="P225" s="3278"/>
      <c r="R225" s="3278">
        <v>255000</v>
      </c>
    </row>
    <row r="226" ht="12.75" customHeight="1" spans="2:18">
      <c r="B226" s="3274">
        <v>202</v>
      </c>
      <c r="D226" s="3275" t="s">
        <v>10541</v>
      </c>
      <c r="F226" s="3275" t="s">
        <v>10542</v>
      </c>
      <c r="G226" s="3275"/>
      <c r="I226" s="3275" t="s">
        <v>10152</v>
      </c>
      <c r="J226" s="3275"/>
      <c r="K226" s="3275"/>
      <c r="M226" s="3278">
        <v>220000</v>
      </c>
      <c r="O226" s="3278">
        <v>4</v>
      </c>
      <c r="P226" s="3278"/>
      <c r="R226" s="3278">
        <v>880000</v>
      </c>
    </row>
    <row r="227" ht="12.75" customHeight="1" spans="2:18">
      <c r="B227" s="3274">
        <v>203</v>
      </c>
      <c r="D227" s="3275" t="s">
        <v>10543</v>
      </c>
      <c r="F227" s="3275" t="s">
        <v>10544</v>
      </c>
      <c r="G227" s="3275"/>
      <c r="I227" s="3275" t="s">
        <v>10152</v>
      </c>
      <c r="J227" s="3275"/>
      <c r="K227" s="3275"/>
      <c r="M227" s="3278">
        <v>137500</v>
      </c>
      <c r="O227" s="3278">
        <v>2</v>
      </c>
      <c r="P227" s="3278"/>
      <c r="R227" s="3278">
        <v>275000</v>
      </c>
    </row>
    <row r="228" ht="12.75" customHeight="1" spans="2:18">
      <c r="B228" s="3274">
        <v>204</v>
      </c>
      <c r="D228" s="3275" t="s">
        <v>10545</v>
      </c>
      <c r="F228" s="3275" t="s">
        <v>10546</v>
      </c>
      <c r="G228" s="3275"/>
      <c r="I228" s="3275" t="s">
        <v>2457</v>
      </c>
      <c r="J228" s="3275"/>
      <c r="K228" s="3275"/>
      <c r="M228" s="3278">
        <v>121000</v>
      </c>
      <c r="O228" s="3278">
        <v>0</v>
      </c>
      <c r="P228" s="3278"/>
      <c r="R228" s="3278">
        <v>0</v>
      </c>
    </row>
    <row r="229" ht="12.75" customHeight="1" spans="2:18">
      <c r="B229" s="3274">
        <v>205</v>
      </c>
      <c r="D229" s="3275" t="s">
        <v>10547</v>
      </c>
      <c r="F229" s="3275" t="s">
        <v>10548</v>
      </c>
      <c r="G229" s="3275"/>
      <c r="I229" s="3275" t="s">
        <v>10152</v>
      </c>
      <c r="J229" s="3275"/>
      <c r="K229" s="3275"/>
      <c r="M229" s="3278">
        <v>121000</v>
      </c>
      <c r="O229" s="3278">
        <v>7</v>
      </c>
      <c r="P229" s="3278"/>
      <c r="R229" s="3278">
        <v>847000</v>
      </c>
    </row>
    <row r="230" ht="12.75" customHeight="1" spans="2:18">
      <c r="B230" s="3274">
        <v>206</v>
      </c>
      <c r="D230" s="3275" t="s">
        <v>10549</v>
      </c>
      <c r="F230" s="3275" t="s">
        <v>10550</v>
      </c>
      <c r="G230" s="3275"/>
      <c r="I230" s="3275" t="s">
        <v>10149</v>
      </c>
      <c r="J230" s="3275"/>
      <c r="K230" s="3275"/>
      <c r="M230" s="3278">
        <v>24750</v>
      </c>
      <c r="O230" s="3278">
        <v>64</v>
      </c>
      <c r="P230" s="3278"/>
      <c r="R230" s="3278">
        <v>1584000</v>
      </c>
    </row>
    <row r="231" ht="12.75" customHeight="1" spans="2:18">
      <c r="B231" s="3274">
        <v>207</v>
      </c>
      <c r="D231" s="3275" t="s">
        <v>10551</v>
      </c>
      <c r="F231" s="3275" t="s">
        <v>10552</v>
      </c>
      <c r="G231" s="3275"/>
      <c r="I231" s="3275" t="s">
        <v>10149</v>
      </c>
      <c r="J231" s="3275"/>
      <c r="K231" s="3275"/>
      <c r="M231" s="3278">
        <v>11500</v>
      </c>
      <c r="O231" s="3278">
        <v>158</v>
      </c>
      <c r="P231" s="3278"/>
      <c r="R231" s="3278">
        <v>1817000</v>
      </c>
    </row>
    <row r="232" ht="12.75" customHeight="1" spans="2:18">
      <c r="B232" s="3274">
        <v>208</v>
      </c>
      <c r="D232" s="3275" t="s">
        <v>10553</v>
      </c>
      <c r="F232" s="3275" t="s">
        <v>10554</v>
      </c>
      <c r="G232" s="3275"/>
      <c r="I232" s="3275" t="s">
        <v>10149</v>
      </c>
      <c r="J232" s="3275"/>
      <c r="K232" s="3275"/>
      <c r="M232" s="3278">
        <v>24750</v>
      </c>
      <c r="O232" s="3278">
        <v>24</v>
      </c>
      <c r="P232" s="3278"/>
      <c r="R232" s="3278">
        <v>594000</v>
      </c>
    </row>
    <row r="233" ht="12.75" customHeight="1" spans="2:18">
      <c r="B233" s="3274">
        <v>209</v>
      </c>
      <c r="D233" s="3275" t="s">
        <v>10555</v>
      </c>
      <c r="F233" s="3275" t="s">
        <v>10556</v>
      </c>
      <c r="G233" s="3275"/>
      <c r="I233" s="3275" t="s">
        <v>10152</v>
      </c>
      <c r="J233" s="3275"/>
      <c r="K233" s="3275"/>
      <c r="M233" s="3278">
        <v>110000</v>
      </c>
      <c r="O233" s="3278">
        <v>5</v>
      </c>
      <c r="P233" s="3278"/>
      <c r="R233" s="3278">
        <v>550000</v>
      </c>
    </row>
    <row r="234" ht="12.75" customHeight="1" spans="2:18">
      <c r="B234" s="3274">
        <v>210</v>
      </c>
      <c r="D234" s="3275" t="s">
        <v>10557</v>
      </c>
      <c r="F234" s="3275" t="s">
        <v>10558</v>
      </c>
      <c r="G234" s="3275"/>
      <c r="I234" s="3275" t="s">
        <v>10152</v>
      </c>
      <c r="J234" s="3275"/>
      <c r="K234" s="3275"/>
      <c r="M234" s="3278">
        <v>121000</v>
      </c>
      <c r="O234" s="3278">
        <v>10</v>
      </c>
      <c r="P234" s="3278"/>
      <c r="R234" s="3278">
        <v>1210000</v>
      </c>
    </row>
    <row r="235" ht="12.75" customHeight="1" spans="2:18">
      <c r="B235" s="3274">
        <v>211</v>
      </c>
      <c r="D235" s="3275" t="s">
        <v>10559</v>
      </c>
      <c r="F235" s="3275" t="s">
        <v>10560</v>
      </c>
      <c r="G235" s="3275"/>
      <c r="I235" s="3275" t="s">
        <v>10152</v>
      </c>
      <c r="J235" s="3275"/>
      <c r="K235" s="3275"/>
      <c r="M235" s="3278">
        <v>93500</v>
      </c>
      <c r="O235" s="3278">
        <v>1</v>
      </c>
      <c r="P235" s="3278"/>
      <c r="R235" s="3278">
        <v>93500</v>
      </c>
    </row>
    <row r="236" ht="12.75" customHeight="1" spans="2:18">
      <c r="B236" s="3274">
        <v>212</v>
      </c>
      <c r="D236" s="3275" t="s">
        <v>10561</v>
      </c>
      <c r="F236" s="3275" t="s">
        <v>10562</v>
      </c>
      <c r="G236" s="3275"/>
      <c r="I236" s="3275" t="s">
        <v>2388</v>
      </c>
      <c r="J236" s="3275"/>
      <c r="K236" s="3275"/>
      <c r="M236" s="3278">
        <v>275</v>
      </c>
      <c r="O236" s="3278">
        <v>195</v>
      </c>
      <c r="P236" s="3278"/>
      <c r="R236" s="3278">
        <v>53625</v>
      </c>
    </row>
    <row r="237" ht="12.75" customHeight="1" spans="2:18">
      <c r="B237" s="3274">
        <v>213</v>
      </c>
      <c r="D237" s="3275" t="s">
        <v>10563</v>
      </c>
      <c r="F237" s="3275" t="s">
        <v>10564</v>
      </c>
      <c r="G237" s="3275"/>
      <c r="I237" s="3275" t="s">
        <v>10152</v>
      </c>
      <c r="J237" s="3275"/>
      <c r="K237" s="3275"/>
      <c r="M237" s="3278">
        <v>220000</v>
      </c>
      <c r="O237" s="3278">
        <v>6</v>
      </c>
      <c r="P237" s="3278"/>
      <c r="R237" s="3278">
        <v>1320000</v>
      </c>
    </row>
    <row r="238" ht="12.75" customHeight="1" spans="2:18">
      <c r="B238" s="3274">
        <v>214</v>
      </c>
      <c r="D238" s="3275" t="s">
        <v>10565</v>
      </c>
      <c r="F238" s="3275" t="s">
        <v>10566</v>
      </c>
      <c r="G238" s="3275"/>
      <c r="I238" s="3275" t="s">
        <v>10149</v>
      </c>
      <c r="J238" s="3275"/>
      <c r="K238" s="3275"/>
      <c r="M238" s="3278">
        <v>24750</v>
      </c>
      <c r="O238" s="3278">
        <v>94</v>
      </c>
      <c r="P238" s="3278"/>
      <c r="R238" s="3278">
        <v>2326500</v>
      </c>
    </row>
    <row r="239" ht="12.75" customHeight="1" spans="2:18">
      <c r="B239" s="3274">
        <v>215</v>
      </c>
      <c r="D239" s="3275" t="s">
        <v>10567</v>
      </c>
      <c r="F239" s="3275" t="s">
        <v>10568</v>
      </c>
      <c r="G239" s="3275"/>
      <c r="I239" s="3275" t="s">
        <v>10149</v>
      </c>
      <c r="J239" s="3275"/>
      <c r="K239" s="3275"/>
      <c r="M239" s="3278">
        <v>27500</v>
      </c>
      <c r="O239" s="3278">
        <v>0</v>
      </c>
      <c r="P239" s="3278"/>
      <c r="R239" s="3278">
        <v>0</v>
      </c>
    </row>
    <row r="240" ht="12.75" customHeight="1" spans="2:18">
      <c r="B240" s="3274">
        <v>216</v>
      </c>
      <c r="D240" s="3275" t="s">
        <v>10569</v>
      </c>
      <c r="F240" s="3275" t="s">
        <v>10570</v>
      </c>
      <c r="G240" s="3275"/>
      <c r="I240" s="3275" t="s">
        <v>10149</v>
      </c>
      <c r="J240" s="3275"/>
      <c r="K240" s="3275"/>
      <c r="M240" s="3278">
        <v>25000</v>
      </c>
      <c r="O240" s="3278">
        <v>66</v>
      </c>
      <c r="P240" s="3278"/>
      <c r="R240" s="3278">
        <v>1650000</v>
      </c>
    </row>
    <row r="241" ht="12.75" customHeight="1" spans="2:18">
      <c r="B241" s="3274">
        <v>217</v>
      </c>
      <c r="D241" s="3275" t="s">
        <v>10571</v>
      </c>
      <c r="F241" s="3275" t="s">
        <v>10572</v>
      </c>
      <c r="G241" s="3275"/>
      <c r="I241" s="3275" t="s">
        <v>10149</v>
      </c>
      <c r="J241" s="3275"/>
      <c r="K241" s="3275"/>
      <c r="M241" s="3278">
        <v>25000</v>
      </c>
      <c r="O241" s="3278">
        <v>48</v>
      </c>
      <c r="P241" s="3278"/>
      <c r="R241" s="3278">
        <v>1200000</v>
      </c>
    </row>
    <row r="242" ht="12.75" customHeight="1" spans="2:18">
      <c r="B242" s="3274">
        <v>218</v>
      </c>
      <c r="D242" s="3275" t="s">
        <v>10573</v>
      </c>
      <c r="F242" s="3275" t="s">
        <v>10574</v>
      </c>
      <c r="G242" s="3275"/>
      <c r="I242" s="3275" t="s">
        <v>10149</v>
      </c>
      <c r="J242" s="3275"/>
      <c r="K242" s="3275"/>
      <c r="M242" s="3278">
        <v>22500</v>
      </c>
      <c r="O242" s="3278">
        <v>5</v>
      </c>
      <c r="P242" s="3278"/>
      <c r="R242" s="3278">
        <v>112500</v>
      </c>
    </row>
    <row r="243" ht="12.75" customHeight="1" spans="2:18">
      <c r="B243" s="3274">
        <v>219</v>
      </c>
      <c r="D243" s="3275" t="s">
        <v>10575</v>
      </c>
      <c r="F243" s="3275" t="s">
        <v>10576</v>
      </c>
      <c r="G243" s="3275"/>
      <c r="I243" s="3275" t="s">
        <v>2299</v>
      </c>
      <c r="J243" s="3275"/>
      <c r="K243" s="3275"/>
      <c r="M243" s="3278">
        <v>16500</v>
      </c>
      <c r="O243" s="3278">
        <v>33</v>
      </c>
      <c r="P243" s="3278"/>
      <c r="R243" s="3278">
        <v>544500</v>
      </c>
    </row>
    <row r="244" ht="12.75" customHeight="1" spans="2:18">
      <c r="B244" s="3274">
        <v>220</v>
      </c>
      <c r="D244" s="3275" t="s">
        <v>10577</v>
      </c>
      <c r="F244" s="3275" t="s">
        <v>10578</v>
      </c>
      <c r="G244" s="3275"/>
      <c r="I244" s="3275" t="s">
        <v>10152</v>
      </c>
      <c r="J244" s="3275"/>
      <c r="K244" s="3275"/>
      <c r="M244" s="3278">
        <v>99000</v>
      </c>
      <c r="O244" s="3278">
        <v>4</v>
      </c>
      <c r="P244" s="3278"/>
      <c r="R244" s="3278">
        <v>396000</v>
      </c>
    </row>
    <row r="245" ht="12.75" customHeight="1" spans="2:18">
      <c r="B245" s="3274">
        <v>221</v>
      </c>
      <c r="D245" s="3275" t="s">
        <v>10579</v>
      </c>
      <c r="F245" s="3275" t="s">
        <v>10580</v>
      </c>
      <c r="G245" s="3275"/>
      <c r="I245" s="3275" t="s">
        <v>10152</v>
      </c>
      <c r="J245" s="3275"/>
      <c r="K245" s="3275"/>
      <c r="M245" s="3278">
        <v>99000</v>
      </c>
      <c r="O245" s="3278">
        <v>5</v>
      </c>
      <c r="P245" s="3278"/>
      <c r="R245" s="3278">
        <v>495000</v>
      </c>
    </row>
    <row r="246" ht="12.75" customHeight="1" spans="2:18">
      <c r="B246" s="3274">
        <v>222</v>
      </c>
      <c r="D246" s="3275" t="s">
        <v>10581</v>
      </c>
      <c r="F246" s="3275" t="s">
        <v>10582</v>
      </c>
      <c r="G246" s="3275"/>
      <c r="I246" s="3275" t="s">
        <v>10152</v>
      </c>
      <c r="J246" s="3275"/>
      <c r="K246" s="3275"/>
      <c r="M246" s="3278">
        <v>99000</v>
      </c>
      <c r="O246" s="3278">
        <v>0</v>
      </c>
      <c r="P246" s="3278"/>
      <c r="R246" s="3278">
        <v>0</v>
      </c>
    </row>
    <row r="247" ht="12.75" customHeight="1" spans="2:18">
      <c r="B247" s="3274">
        <v>223</v>
      </c>
      <c r="D247" s="3275" t="s">
        <v>10583</v>
      </c>
      <c r="F247" s="3275" t="s">
        <v>10584</v>
      </c>
      <c r="G247" s="3275"/>
      <c r="I247" s="3275" t="s">
        <v>10152</v>
      </c>
      <c r="J247" s="3275"/>
      <c r="K247" s="3275"/>
      <c r="M247" s="3278">
        <v>110000</v>
      </c>
      <c r="O247" s="3278">
        <v>0</v>
      </c>
      <c r="P247" s="3278"/>
      <c r="R247" s="3278">
        <v>0</v>
      </c>
    </row>
    <row r="248" ht="12.75" customHeight="1" spans="2:18">
      <c r="B248" s="3274">
        <v>224</v>
      </c>
      <c r="D248" s="3275" t="s">
        <v>10585</v>
      </c>
      <c r="F248" s="3275" t="s">
        <v>10586</v>
      </c>
      <c r="G248" s="3275"/>
      <c r="I248" s="3275" t="s">
        <v>10152</v>
      </c>
      <c r="J248" s="3275"/>
      <c r="K248" s="3275"/>
      <c r="M248" s="3278">
        <v>110000</v>
      </c>
      <c r="O248" s="3278">
        <v>0</v>
      </c>
      <c r="P248" s="3278"/>
      <c r="R248" s="3278">
        <v>0</v>
      </c>
    </row>
    <row r="249" ht="12.75" customHeight="1" spans="2:18">
      <c r="B249" s="3274">
        <v>225</v>
      </c>
      <c r="D249" s="3275" t="s">
        <v>10587</v>
      </c>
      <c r="F249" s="3275" t="s">
        <v>10588</v>
      </c>
      <c r="G249" s="3275"/>
      <c r="I249" s="3275" t="s">
        <v>10152</v>
      </c>
      <c r="J249" s="3275"/>
      <c r="K249" s="3275"/>
      <c r="M249" s="3278">
        <v>110000</v>
      </c>
      <c r="O249" s="3278">
        <v>0</v>
      </c>
      <c r="P249" s="3278"/>
      <c r="R249" s="3278">
        <v>0</v>
      </c>
    </row>
    <row r="250" ht="12.75" customHeight="1" spans="2:18">
      <c r="B250" s="3274">
        <v>226</v>
      </c>
      <c r="D250" s="3275" t="s">
        <v>10589</v>
      </c>
      <c r="F250" s="3275" t="s">
        <v>10590</v>
      </c>
      <c r="G250" s="3275"/>
      <c r="I250" s="3275" t="s">
        <v>10152</v>
      </c>
      <c r="J250" s="3275"/>
      <c r="K250" s="3275"/>
      <c r="M250" s="3278">
        <v>121000</v>
      </c>
      <c r="O250" s="3278">
        <v>0</v>
      </c>
      <c r="P250" s="3278"/>
      <c r="R250" s="3278">
        <v>0</v>
      </c>
    </row>
    <row r="251" ht="12.75" customHeight="1" spans="2:18">
      <c r="B251" s="3274">
        <v>227</v>
      </c>
      <c r="D251" s="3275" t="s">
        <v>10591</v>
      </c>
      <c r="F251" s="3275" t="s">
        <v>10592</v>
      </c>
      <c r="G251" s="3275"/>
      <c r="I251" s="3275" t="s">
        <v>10152</v>
      </c>
      <c r="J251" s="3275"/>
      <c r="K251" s="3275"/>
      <c r="M251" s="3278">
        <v>110000</v>
      </c>
      <c r="O251" s="3278">
        <v>0</v>
      </c>
      <c r="P251" s="3278"/>
      <c r="R251" s="3278">
        <v>0</v>
      </c>
    </row>
    <row r="252" ht="12.75" customHeight="1" spans="2:18">
      <c r="B252" s="3274">
        <v>228</v>
      </c>
      <c r="D252" s="3275" t="s">
        <v>10593</v>
      </c>
      <c r="F252" s="3275" t="s">
        <v>10594</v>
      </c>
      <c r="G252" s="3275"/>
      <c r="I252" s="3275" t="s">
        <v>10152</v>
      </c>
      <c r="J252" s="3275"/>
      <c r="K252" s="3275"/>
      <c r="M252" s="3278">
        <v>121000</v>
      </c>
      <c r="O252" s="3278">
        <v>3</v>
      </c>
      <c r="P252" s="3278"/>
      <c r="R252" s="3278">
        <v>363000</v>
      </c>
    </row>
    <row r="253" ht="12.75" customHeight="1" spans="2:18">
      <c r="B253" s="3274">
        <v>229</v>
      </c>
      <c r="D253" s="3275" t="s">
        <v>10595</v>
      </c>
      <c r="F253" s="3275" t="s">
        <v>10596</v>
      </c>
      <c r="G253" s="3275"/>
      <c r="I253" s="3275" t="s">
        <v>10149</v>
      </c>
      <c r="J253" s="3275"/>
      <c r="K253" s="3275"/>
      <c r="M253" s="3278">
        <v>24750</v>
      </c>
      <c r="O253" s="3278">
        <v>94</v>
      </c>
      <c r="P253" s="3278"/>
      <c r="R253" s="3278">
        <v>2326500</v>
      </c>
    </row>
    <row r="254" ht="12.75" customHeight="1" spans="2:18">
      <c r="B254" s="3274">
        <v>230</v>
      </c>
      <c r="D254" s="3275" t="s">
        <v>10597</v>
      </c>
      <c r="F254" s="3275" t="s">
        <v>10598</v>
      </c>
      <c r="G254" s="3275"/>
      <c r="I254" s="3275" t="s">
        <v>2457</v>
      </c>
      <c r="J254" s="3275"/>
      <c r="K254" s="3275"/>
      <c r="M254" s="3278">
        <v>60000</v>
      </c>
      <c r="O254" s="3278">
        <v>136</v>
      </c>
      <c r="P254" s="3278"/>
      <c r="R254" s="3278">
        <v>8160000</v>
      </c>
    </row>
    <row r="255" ht="12.75" customHeight="1" spans="2:18">
      <c r="B255" s="3274">
        <v>231</v>
      </c>
      <c r="D255" s="3275" t="s">
        <v>10599</v>
      </c>
      <c r="F255" s="3275" t="s">
        <v>10600</v>
      </c>
      <c r="G255" s="3275"/>
      <c r="I255" s="3275" t="s">
        <v>10152</v>
      </c>
      <c r="J255" s="3275"/>
      <c r="K255" s="3275"/>
      <c r="M255" s="3278">
        <v>99000</v>
      </c>
      <c r="O255" s="3278">
        <v>2</v>
      </c>
      <c r="P255" s="3278"/>
      <c r="R255" s="3278">
        <v>198000</v>
      </c>
    </row>
    <row r="256" ht="12.75" customHeight="1" spans="2:18">
      <c r="B256" s="3274">
        <v>232</v>
      </c>
      <c r="D256" s="3275" t="s">
        <v>10601</v>
      </c>
      <c r="F256" s="3275" t="s">
        <v>10602</v>
      </c>
      <c r="G256" s="3275"/>
      <c r="I256" s="3275" t="s">
        <v>10152</v>
      </c>
      <c r="J256" s="3275"/>
      <c r="K256" s="3275"/>
      <c r="M256" s="3278">
        <v>110000</v>
      </c>
      <c r="O256" s="3278">
        <v>7</v>
      </c>
      <c r="P256" s="3278"/>
      <c r="R256" s="3278">
        <v>770000</v>
      </c>
    </row>
    <row r="257" ht="12.75" customHeight="1" spans="2:18">
      <c r="B257" s="3274">
        <v>233</v>
      </c>
      <c r="D257" s="3275" t="s">
        <v>10603</v>
      </c>
      <c r="F257" s="3275" t="s">
        <v>10604</v>
      </c>
      <c r="G257" s="3275"/>
      <c r="I257" s="3275" t="s">
        <v>10152</v>
      </c>
      <c r="J257" s="3275"/>
      <c r="K257" s="3275"/>
      <c r="M257" s="3278">
        <v>121000</v>
      </c>
      <c r="O257" s="3278">
        <v>0</v>
      </c>
      <c r="P257" s="3278"/>
      <c r="R257" s="3278">
        <v>0</v>
      </c>
    </row>
    <row r="258" ht="12.75" customHeight="1" spans="2:18">
      <c r="B258" s="3274">
        <v>234</v>
      </c>
      <c r="D258" s="3275" t="s">
        <v>10605</v>
      </c>
      <c r="F258" s="3275" t="s">
        <v>10606</v>
      </c>
      <c r="G258" s="3275"/>
      <c r="I258" s="3275" t="s">
        <v>10152</v>
      </c>
      <c r="J258" s="3275"/>
      <c r="K258" s="3275"/>
      <c r="M258" s="3278">
        <v>209000</v>
      </c>
      <c r="O258" s="3278">
        <v>0</v>
      </c>
      <c r="P258" s="3278"/>
      <c r="R258" s="3278">
        <v>0</v>
      </c>
    </row>
    <row r="259" ht="12.75" customHeight="1" spans="2:18">
      <c r="B259" s="3274">
        <v>235</v>
      </c>
      <c r="D259" s="3275" t="s">
        <v>10607</v>
      </c>
      <c r="F259" s="3275" t="s">
        <v>10608</v>
      </c>
      <c r="G259" s="3275"/>
      <c r="I259" s="3275" t="s">
        <v>10152</v>
      </c>
      <c r="J259" s="3275"/>
      <c r="K259" s="3275"/>
      <c r="M259" s="3278">
        <v>121000</v>
      </c>
      <c r="O259" s="3278">
        <v>6</v>
      </c>
      <c r="P259" s="3278"/>
      <c r="R259" s="3278">
        <v>726000</v>
      </c>
    </row>
    <row r="260" ht="12.75" customHeight="1" spans="2:18">
      <c r="B260" s="3274">
        <v>236</v>
      </c>
      <c r="D260" s="3275" t="s">
        <v>10609</v>
      </c>
      <c r="F260" s="3275" t="s">
        <v>10610</v>
      </c>
      <c r="G260" s="3275"/>
      <c r="I260" s="3275" t="s">
        <v>10149</v>
      </c>
      <c r="J260" s="3275"/>
      <c r="K260" s="3275"/>
      <c r="M260" s="3278">
        <v>24750</v>
      </c>
      <c r="O260" s="3278">
        <v>79</v>
      </c>
      <c r="P260" s="3278"/>
      <c r="R260" s="3278">
        <v>1955250</v>
      </c>
    </row>
    <row r="261" ht="12.75" customHeight="1" spans="2:18">
      <c r="B261" s="3274">
        <v>237</v>
      </c>
      <c r="D261" s="3275" t="s">
        <v>10611</v>
      </c>
      <c r="F261" s="3275" t="s">
        <v>10612</v>
      </c>
      <c r="G261" s="3275"/>
      <c r="I261" s="3275" t="s">
        <v>10149</v>
      </c>
      <c r="J261" s="3275"/>
      <c r="K261" s="3275"/>
      <c r="M261" s="3278">
        <v>24750</v>
      </c>
      <c r="O261" s="3278">
        <v>37</v>
      </c>
      <c r="P261" s="3278"/>
      <c r="R261" s="3278">
        <v>915750</v>
      </c>
    </row>
    <row r="262" ht="12.75" customHeight="1" spans="2:18">
      <c r="B262" s="3274">
        <v>238</v>
      </c>
      <c r="D262" s="3275" t="s">
        <v>10613</v>
      </c>
      <c r="F262" s="3275" t="s">
        <v>10614</v>
      </c>
      <c r="G262" s="3275"/>
      <c r="I262" s="3275" t="s">
        <v>10152</v>
      </c>
      <c r="J262" s="3275"/>
      <c r="K262" s="3275"/>
      <c r="M262" s="3278">
        <v>104500</v>
      </c>
      <c r="O262" s="3278">
        <v>7</v>
      </c>
      <c r="P262" s="3278"/>
      <c r="R262" s="3278">
        <v>731500</v>
      </c>
    </row>
    <row r="263" ht="12.75" customHeight="1" spans="2:18">
      <c r="B263" s="3274">
        <v>239</v>
      </c>
      <c r="D263" s="3275" t="s">
        <v>10615</v>
      </c>
      <c r="F263" s="3275" t="s">
        <v>10616</v>
      </c>
      <c r="G263" s="3275"/>
      <c r="I263" s="3275" t="s">
        <v>10152</v>
      </c>
      <c r="J263" s="3275"/>
      <c r="K263" s="3275"/>
      <c r="M263" s="3278">
        <v>110000</v>
      </c>
      <c r="O263" s="3278">
        <v>2</v>
      </c>
      <c r="P263" s="3278"/>
      <c r="R263" s="3278">
        <v>220000</v>
      </c>
    </row>
    <row r="264" ht="12.75" customHeight="1" spans="2:18">
      <c r="B264" s="3274">
        <v>240</v>
      </c>
      <c r="D264" s="3275" t="s">
        <v>10617</v>
      </c>
      <c r="F264" s="3275" t="s">
        <v>10618</v>
      </c>
      <c r="G264" s="3275"/>
      <c r="I264" s="3275" t="s">
        <v>10152</v>
      </c>
      <c r="J264" s="3275"/>
      <c r="K264" s="3275"/>
      <c r="M264" s="3278">
        <v>85000</v>
      </c>
      <c r="O264" s="3278">
        <v>2</v>
      </c>
      <c r="P264" s="3278"/>
      <c r="R264" s="3278">
        <v>170000</v>
      </c>
    </row>
    <row r="265" ht="12.75" customHeight="1" spans="2:18">
      <c r="B265" s="3274">
        <v>241</v>
      </c>
      <c r="D265" s="3275" t="s">
        <v>10619</v>
      </c>
      <c r="F265" s="3275" t="s">
        <v>10620</v>
      </c>
      <c r="G265" s="3275"/>
      <c r="I265" s="3275" t="s">
        <v>10152</v>
      </c>
      <c r="J265" s="3275"/>
      <c r="K265" s="3275"/>
      <c r="M265" s="3278">
        <v>121000</v>
      </c>
      <c r="O265" s="3278">
        <v>0</v>
      </c>
      <c r="P265" s="3278"/>
      <c r="R265" s="3278">
        <v>0</v>
      </c>
    </row>
    <row r="266" ht="12.75" customHeight="1" spans="2:18">
      <c r="B266" s="3274">
        <v>242</v>
      </c>
      <c r="D266" s="3275" t="s">
        <v>10621</v>
      </c>
      <c r="F266" s="3275" t="s">
        <v>10622</v>
      </c>
      <c r="G266" s="3275"/>
      <c r="I266" s="3275" t="s">
        <v>10152</v>
      </c>
      <c r="J266" s="3275"/>
      <c r="K266" s="3275"/>
      <c r="M266" s="3278">
        <v>93500</v>
      </c>
      <c r="O266" s="3278">
        <v>0</v>
      </c>
      <c r="P266" s="3278"/>
      <c r="R266" s="3278">
        <v>0</v>
      </c>
    </row>
    <row r="267" ht="12.75" customHeight="1" spans="2:18">
      <c r="B267" s="3274">
        <v>243</v>
      </c>
      <c r="D267" s="3275" t="s">
        <v>10623</v>
      </c>
      <c r="F267" s="3275" t="s">
        <v>10624</v>
      </c>
      <c r="G267" s="3275"/>
      <c r="I267" s="3275" t="s">
        <v>10149</v>
      </c>
      <c r="J267" s="3275"/>
      <c r="K267" s="3275"/>
      <c r="M267" s="3278">
        <v>24750</v>
      </c>
      <c r="O267" s="3278">
        <v>0</v>
      </c>
      <c r="P267" s="3278"/>
      <c r="R267" s="3278">
        <v>0</v>
      </c>
    </row>
    <row r="268" ht="12.75" customHeight="1" spans="2:18">
      <c r="B268" s="3274">
        <v>244</v>
      </c>
      <c r="D268" s="3275" t="s">
        <v>10625</v>
      </c>
      <c r="F268" s="3275" t="s">
        <v>10626</v>
      </c>
      <c r="G268" s="3275"/>
      <c r="I268" s="3275" t="s">
        <v>10152</v>
      </c>
      <c r="J268" s="3275"/>
      <c r="K268" s="3275"/>
      <c r="M268" s="3278">
        <v>85000</v>
      </c>
      <c r="O268" s="3278">
        <v>0</v>
      </c>
      <c r="P268" s="3278"/>
      <c r="R268" s="3278">
        <v>0</v>
      </c>
    </row>
    <row r="269" ht="12.75" customHeight="1" spans="2:18">
      <c r="B269" s="3274">
        <v>245</v>
      </c>
      <c r="D269" s="3275" t="s">
        <v>10627</v>
      </c>
      <c r="F269" s="3275" t="s">
        <v>10628</v>
      </c>
      <c r="G269" s="3275"/>
      <c r="I269" s="3275" t="s">
        <v>10152</v>
      </c>
      <c r="J269" s="3275"/>
      <c r="K269" s="3275"/>
      <c r="M269" s="3278">
        <v>165000</v>
      </c>
      <c r="O269" s="3278">
        <v>2</v>
      </c>
      <c r="P269" s="3278"/>
      <c r="R269" s="3278">
        <v>330000</v>
      </c>
    </row>
    <row r="270" ht="12.75" customHeight="1" spans="2:18">
      <c r="B270" s="3274">
        <v>246</v>
      </c>
      <c r="D270" s="3275" t="s">
        <v>10629</v>
      </c>
      <c r="F270" s="3275" t="s">
        <v>10630</v>
      </c>
      <c r="G270" s="3275"/>
      <c r="I270" s="3275" t="s">
        <v>10152</v>
      </c>
      <c r="J270" s="3275"/>
      <c r="K270" s="3275"/>
      <c r="M270" s="3278">
        <v>110000</v>
      </c>
      <c r="O270" s="3278">
        <v>0</v>
      </c>
      <c r="P270" s="3278"/>
      <c r="R270" s="3278">
        <v>0</v>
      </c>
    </row>
    <row r="271" ht="12.75" customHeight="1" spans="2:18">
      <c r="B271" s="3274">
        <v>247</v>
      </c>
      <c r="D271" s="3275" t="s">
        <v>10631</v>
      </c>
      <c r="F271" s="3275" t="s">
        <v>10632</v>
      </c>
      <c r="G271" s="3275"/>
      <c r="I271" s="3275" t="s">
        <v>10152</v>
      </c>
      <c r="J271" s="3275"/>
      <c r="K271" s="3275"/>
      <c r="M271" s="3278">
        <v>93500</v>
      </c>
      <c r="O271" s="3278">
        <v>2</v>
      </c>
      <c r="P271" s="3278"/>
      <c r="R271" s="3278">
        <v>187000</v>
      </c>
    </row>
    <row r="272" ht="12.75" customHeight="1" spans="2:18">
      <c r="B272" s="3274">
        <v>248</v>
      </c>
      <c r="D272" s="3275" t="s">
        <v>10633</v>
      </c>
      <c r="F272" s="3275" t="s">
        <v>10634</v>
      </c>
      <c r="G272" s="3275"/>
      <c r="I272" s="3275" t="s">
        <v>10152</v>
      </c>
      <c r="J272" s="3275"/>
      <c r="K272" s="3275"/>
      <c r="M272" s="3278">
        <v>110000</v>
      </c>
      <c r="O272" s="3278">
        <v>0</v>
      </c>
      <c r="P272" s="3278"/>
      <c r="R272" s="3278">
        <v>0</v>
      </c>
    </row>
    <row r="273" ht="12.75" customHeight="1" spans="2:18">
      <c r="B273" s="3274">
        <v>249</v>
      </c>
      <c r="D273" s="3275" t="s">
        <v>10635</v>
      </c>
      <c r="F273" s="3275" t="s">
        <v>10636</v>
      </c>
      <c r="G273" s="3275"/>
      <c r="I273" s="3275" t="s">
        <v>2457</v>
      </c>
      <c r="J273" s="3275"/>
      <c r="K273" s="3275"/>
      <c r="M273" s="3278">
        <v>11000</v>
      </c>
      <c r="O273" s="3278">
        <v>8</v>
      </c>
      <c r="P273" s="3278"/>
      <c r="R273" s="3278">
        <v>88000</v>
      </c>
    </row>
    <row r="274" ht="12.75" customHeight="1" spans="2:18">
      <c r="B274" s="3274">
        <v>250</v>
      </c>
      <c r="D274" s="3275" t="s">
        <v>10637</v>
      </c>
      <c r="F274" s="3275" t="s">
        <v>10638</v>
      </c>
      <c r="G274" s="3275"/>
      <c r="I274" s="3275" t="s">
        <v>2299</v>
      </c>
      <c r="J274" s="3275"/>
      <c r="K274" s="3275"/>
      <c r="M274" s="3278">
        <v>51.337</v>
      </c>
      <c r="O274" s="3278">
        <v>36000</v>
      </c>
      <c r="P274" s="3278"/>
      <c r="R274" s="3278">
        <v>1848132</v>
      </c>
    </row>
    <row r="275" ht="12.75" customHeight="1" spans="2:18">
      <c r="B275" s="3274">
        <v>251</v>
      </c>
      <c r="D275" s="3275" t="s">
        <v>10639</v>
      </c>
      <c r="F275" s="3275" t="s">
        <v>10640</v>
      </c>
      <c r="G275" s="3275"/>
      <c r="I275" s="3275" t="s">
        <v>2299</v>
      </c>
      <c r="J275" s="3275"/>
      <c r="K275" s="3275"/>
      <c r="M275" s="3278">
        <v>440</v>
      </c>
      <c r="O275" s="3278">
        <v>1000</v>
      </c>
      <c r="P275" s="3278"/>
      <c r="R275" s="3278">
        <v>440000</v>
      </c>
    </row>
    <row r="276" ht="13.35" customHeight="1" spans="3:18">
      <c r="C276" s="3276" t="s">
        <v>10641</v>
      </c>
      <c r="D276" s="3276"/>
      <c r="E276" s="3276"/>
      <c r="F276" s="3276"/>
      <c r="R276" s="3279">
        <v>212222791.9818</v>
      </c>
    </row>
    <row r="277" ht="13.35" customHeight="1" spans="2:7">
      <c r="B277" s="3273" t="s">
        <v>10642</v>
      </c>
      <c r="C277" s="3273"/>
      <c r="D277" s="3273"/>
      <c r="E277" s="3273"/>
      <c r="F277" s="3273"/>
      <c r="G277" s="3273"/>
    </row>
    <row r="278" ht="12.75" customHeight="1" spans="2:18">
      <c r="B278" s="3274">
        <v>1</v>
      </c>
      <c r="D278" s="3275" t="s">
        <v>10643</v>
      </c>
      <c r="F278" s="3275" t="s">
        <v>10644</v>
      </c>
      <c r="G278" s="3275"/>
      <c r="I278" s="3275" t="s">
        <v>2293</v>
      </c>
      <c r="J278" s="3275"/>
      <c r="K278" s="3275"/>
      <c r="M278" s="3278">
        <v>192500</v>
      </c>
      <c r="O278" s="3278">
        <v>0</v>
      </c>
      <c r="P278" s="3278"/>
      <c r="R278" s="3278">
        <v>0</v>
      </c>
    </row>
    <row r="279" ht="12.75" customHeight="1" spans="2:18">
      <c r="B279" s="3274">
        <v>2</v>
      </c>
      <c r="D279" s="3275" t="s">
        <v>10645</v>
      </c>
      <c r="F279" s="3275" t="s">
        <v>10646</v>
      </c>
      <c r="G279" s="3275"/>
      <c r="I279" s="3275" t="s">
        <v>2293</v>
      </c>
      <c r="J279" s="3275"/>
      <c r="K279" s="3275"/>
      <c r="M279" s="3278">
        <v>192500</v>
      </c>
      <c r="O279" s="3278">
        <v>0</v>
      </c>
      <c r="P279" s="3278"/>
      <c r="R279" s="3278">
        <v>0</v>
      </c>
    </row>
    <row r="280" ht="12.75" customHeight="1" spans="2:18">
      <c r="B280" s="3274">
        <v>3</v>
      </c>
      <c r="D280" s="3275" t="s">
        <v>10647</v>
      </c>
      <c r="F280" s="3275" t="s">
        <v>10648</v>
      </c>
      <c r="G280" s="3275"/>
      <c r="I280" s="3275" t="s">
        <v>2293</v>
      </c>
      <c r="J280" s="3275"/>
      <c r="K280" s="3275"/>
      <c r="M280" s="3278">
        <v>192500</v>
      </c>
      <c r="O280" s="3278">
        <v>0</v>
      </c>
      <c r="P280" s="3278"/>
      <c r="R280" s="3278">
        <v>0</v>
      </c>
    </row>
    <row r="281" ht="12.75" customHeight="1" spans="2:18">
      <c r="B281" s="3274">
        <v>4</v>
      </c>
      <c r="D281" s="3275" t="s">
        <v>10649</v>
      </c>
      <c r="F281" s="3275" t="s">
        <v>10650</v>
      </c>
      <c r="G281" s="3275"/>
      <c r="I281" s="3275" t="s">
        <v>2299</v>
      </c>
      <c r="J281" s="3275"/>
      <c r="K281" s="3275"/>
      <c r="M281" s="3278">
        <v>25000</v>
      </c>
      <c r="O281" s="3278">
        <v>0</v>
      </c>
      <c r="P281" s="3278"/>
      <c r="R281" s="3278">
        <v>0</v>
      </c>
    </row>
    <row r="282" ht="13.35" customHeight="1" spans="3:18">
      <c r="C282" s="3276" t="s">
        <v>10651</v>
      </c>
      <c r="D282" s="3276"/>
      <c r="E282" s="3276"/>
      <c r="F282" s="3276"/>
      <c r="R282" s="3279">
        <v>0</v>
      </c>
    </row>
    <row r="283" ht="13.35" customHeight="1" spans="2:7">
      <c r="B283" s="3273" t="s">
        <v>2290</v>
      </c>
      <c r="C283" s="3273"/>
      <c r="D283" s="3273"/>
      <c r="E283" s="3273"/>
      <c r="F283" s="3273"/>
      <c r="G283" s="3273"/>
    </row>
    <row r="284" ht="12.75" customHeight="1" spans="2:18">
      <c r="B284" s="3274">
        <v>1</v>
      </c>
      <c r="D284" s="3275" t="s">
        <v>10652</v>
      </c>
      <c r="F284" s="3275" t="s">
        <v>10653</v>
      </c>
      <c r="G284" s="3275"/>
      <c r="I284" s="3275" t="s">
        <v>2457</v>
      </c>
      <c r="J284" s="3275"/>
      <c r="K284" s="3275"/>
      <c r="M284" s="3278">
        <v>66000</v>
      </c>
      <c r="O284" s="3278">
        <v>3</v>
      </c>
      <c r="P284" s="3278"/>
      <c r="R284" s="3278">
        <v>198000</v>
      </c>
    </row>
    <row r="285" ht="12.75" customHeight="1" spans="2:18">
      <c r="B285" s="3274">
        <v>2</v>
      </c>
      <c r="D285" s="3275" t="s">
        <v>10654</v>
      </c>
      <c r="F285" s="3275" t="s">
        <v>10655</v>
      </c>
      <c r="G285" s="3275"/>
      <c r="I285" s="3275" t="s">
        <v>2418</v>
      </c>
      <c r="J285" s="3275"/>
      <c r="K285" s="3275"/>
      <c r="M285" s="3278">
        <v>225500</v>
      </c>
      <c r="O285" s="3278">
        <v>0</v>
      </c>
      <c r="P285" s="3278"/>
      <c r="R285" s="3278">
        <v>0</v>
      </c>
    </row>
    <row r="286" ht="12.75" customHeight="1" spans="2:18">
      <c r="B286" s="3274">
        <v>3</v>
      </c>
      <c r="D286" s="3275" t="s">
        <v>10656</v>
      </c>
      <c r="F286" s="3275" t="s">
        <v>10657</v>
      </c>
      <c r="G286" s="3275"/>
      <c r="I286" s="3275" t="s">
        <v>2299</v>
      </c>
      <c r="J286" s="3275"/>
      <c r="K286" s="3275"/>
      <c r="M286" s="3278">
        <v>137.5</v>
      </c>
      <c r="O286" s="3278">
        <v>0</v>
      </c>
      <c r="P286" s="3278"/>
      <c r="R286" s="3278">
        <v>0</v>
      </c>
    </row>
    <row r="287" ht="13.35" customHeight="1" spans="3:18">
      <c r="C287" s="3276" t="s">
        <v>4345</v>
      </c>
      <c r="D287" s="3276"/>
      <c r="E287" s="3276"/>
      <c r="F287" s="3276"/>
      <c r="R287" s="3279">
        <v>198000</v>
      </c>
    </row>
    <row r="288" ht="13.35" customHeight="1" spans="2:7">
      <c r="B288" s="3273" t="s">
        <v>4346</v>
      </c>
      <c r="C288" s="3273"/>
      <c r="D288" s="3273"/>
      <c r="E288" s="3273"/>
      <c r="F288" s="3273"/>
      <c r="G288" s="3273"/>
    </row>
    <row r="289" ht="12.75" customHeight="1" spans="2:18">
      <c r="B289" s="3274">
        <v>1</v>
      </c>
      <c r="D289" s="3275" t="s">
        <v>10658</v>
      </c>
      <c r="F289" s="3275" t="s">
        <v>10659</v>
      </c>
      <c r="G289" s="3275"/>
      <c r="I289" s="3275" t="s">
        <v>2293</v>
      </c>
      <c r="J289" s="3275"/>
      <c r="K289" s="3275"/>
      <c r="M289" s="3278">
        <v>22000</v>
      </c>
      <c r="O289" s="3278">
        <v>0</v>
      </c>
      <c r="P289" s="3278"/>
      <c r="R289" s="3278">
        <v>0</v>
      </c>
    </row>
    <row r="290" ht="12.75" customHeight="1" spans="2:18">
      <c r="B290" s="3274">
        <v>2</v>
      </c>
      <c r="D290" s="3275" t="s">
        <v>10660</v>
      </c>
      <c r="F290" s="3275" t="s">
        <v>10661</v>
      </c>
      <c r="G290" s="3275"/>
      <c r="I290" s="3275" t="s">
        <v>2309</v>
      </c>
      <c r="J290" s="3275"/>
      <c r="K290" s="3275"/>
      <c r="M290" s="3278">
        <v>30800</v>
      </c>
      <c r="O290" s="3278">
        <v>0</v>
      </c>
      <c r="P290" s="3278"/>
      <c r="R290" s="3278">
        <v>0</v>
      </c>
    </row>
    <row r="291" ht="12.75" customHeight="1" spans="2:18">
      <c r="B291" s="3274">
        <v>3</v>
      </c>
      <c r="D291" s="3275" t="s">
        <v>10662</v>
      </c>
      <c r="F291" s="3275" t="s">
        <v>10663</v>
      </c>
      <c r="G291" s="3275"/>
      <c r="I291" s="3275" t="s">
        <v>2321</v>
      </c>
      <c r="J291" s="3275"/>
      <c r="K291" s="3275"/>
      <c r="M291" s="3278">
        <v>42350</v>
      </c>
      <c r="O291" s="3278">
        <v>0</v>
      </c>
      <c r="P291" s="3278"/>
      <c r="R291" s="3278">
        <v>0</v>
      </c>
    </row>
    <row r="292" ht="13.35" customHeight="1" spans="3:18">
      <c r="C292" s="3276" t="s">
        <v>4428</v>
      </c>
      <c r="D292" s="3276"/>
      <c r="E292" s="3276"/>
      <c r="F292" s="3276"/>
      <c r="R292" s="3279">
        <v>0</v>
      </c>
    </row>
    <row r="293" ht="13.35" customHeight="1" spans="2:7">
      <c r="B293" s="3273" t="s">
        <v>4429</v>
      </c>
      <c r="C293" s="3273"/>
      <c r="D293" s="3273"/>
      <c r="E293" s="3273"/>
      <c r="F293" s="3273"/>
      <c r="G293" s="3273"/>
    </row>
    <row r="294" ht="12.75" customHeight="1" spans="2:18">
      <c r="B294" s="3274">
        <v>1</v>
      </c>
      <c r="D294" s="3275" t="s">
        <v>10664</v>
      </c>
      <c r="F294" s="3275" t="s">
        <v>10665</v>
      </c>
      <c r="G294" s="3275"/>
      <c r="I294" s="3275" t="s">
        <v>2321</v>
      </c>
      <c r="J294" s="3275"/>
      <c r="K294" s="3275"/>
      <c r="M294" s="3278">
        <v>40150</v>
      </c>
      <c r="O294" s="3278">
        <v>0</v>
      </c>
      <c r="P294" s="3278"/>
      <c r="R294" s="3278">
        <v>0</v>
      </c>
    </row>
    <row r="295" ht="13.35" customHeight="1" spans="3:18">
      <c r="C295" s="3276" t="s">
        <v>9561</v>
      </c>
      <c r="D295" s="3276"/>
      <c r="E295" s="3276"/>
      <c r="F295" s="3276"/>
      <c r="R295" s="3279">
        <v>0</v>
      </c>
    </row>
    <row r="296" ht="13.35" customHeight="1" spans="2:7">
      <c r="B296" s="3273" t="s">
        <v>10666</v>
      </c>
      <c r="C296" s="3273"/>
      <c r="D296" s="3273"/>
      <c r="E296" s="3273"/>
      <c r="F296" s="3273"/>
      <c r="G296" s="3273"/>
    </row>
    <row r="297" ht="12.75" customHeight="1" spans="2:18">
      <c r="B297" s="3274">
        <v>1</v>
      </c>
      <c r="D297" s="3275" t="s">
        <v>10667</v>
      </c>
      <c r="F297" s="3275" t="s">
        <v>3638</v>
      </c>
      <c r="G297" s="3275"/>
      <c r="I297" s="3275" t="s">
        <v>2457</v>
      </c>
      <c r="J297" s="3275"/>
      <c r="K297" s="3275"/>
      <c r="M297" s="3278">
        <v>144100</v>
      </c>
      <c r="O297" s="3278">
        <v>6</v>
      </c>
      <c r="P297" s="3278"/>
      <c r="R297" s="3278">
        <v>864600</v>
      </c>
    </row>
    <row r="298" ht="12.75" customHeight="1" spans="2:18">
      <c r="B298" s="3274">
        <v>2</v>
      </c>
      <c r="D298" s="3275" t="s">
        <v>10668</v>
      </c>
      <c r="F298" s="3275" t="s">
        <v>10669</v>
      </c>
      <c r="G298" s="3275"/>
      <c r="I298" s="3275" t="s">
        <v>2299</v>
      </c>
      <c r="J298" s="3275"/>
      <c r="K298" s="3275"/>
      <c r="M298" s="3278">
        <v>18700</v>
      </c>
      <c r="O298" s="3278">
        <v>5</v>
      </c>
      <c r="P298" s="3278"/>
      <c r="R298" s="3278">
        <v>93500</v>
      </c>
    </row>
    <row r="299" ht="12.75" customHeight="1" spans="2:18">
      <c r="B299" s="3274">
        <v>3</v>
      </c>
      <c r="D299" s="3275" t="s">
        <v>10670</v>
      </c>
      <c r="F299" s="3275" t="s">
        <v>10671</v>
      </c>
      <c r="G299" s="3275"/>
      <c r="I299" s="3275" t="s">
        <v>2388</v>
      </c>
      <c r="J299" s="3275"/>
      <c r="K299" s="3275"/>
      <c r="M299" s="3278">
        <v>82500</v>
      </c>
      <c r="O299" s="3278">
        <v>0</v>
      </c>
      <c r="P299" s="3278"/>
      <c r="R299" s="3278">
        <v>0</v>
      </c>
    </row>
    <row r="300" ht="12.75" customHeight="1" spans="2:18">
      <c r="B300" s="3274">
        <v>4</v>
      </c>
      <c r="D300" s="3275" t="s">
        <v>10672</v>
      </c>
      <c r="F300" s="3275" t="s">
        <v>10673</v>
      </c>
      <c r="G300" s="3275"/>
      <c r="I300" s="3275" t="s">
        <v>2388</v>
      </c>
      <c r="J300" s="3275"/>
      <c r="K300" s="3275"/>
      <c r="M300" s="3278">
        <v>60500</v>
      </c>
      <c r="O300" s="3278">
        <v>0</v>
      </c>
      <c r="P300" s="3278"/>
      <c r="R300" s="3278">
        <v>0</v>
      </c>
    </row>
    <row r="301" ht="13.35" customHeight="1" spans="3:18">
      <c r="C301" s="3276" t="s">
        <v>10674</v>
      </c>
      <c r="D301" s="3276"/>
      <c r="E301" s="3276"/>
      <c r="F301" s="3276"/>
      <c r="R301" s="3279">
        <v>958100</v>
      </c>
    </row>
    <row r="302" ht="13.35" customHeight="1" spans="2:7">
      <c r="B302" s="3273" t="s">
        <v>10675</v>
      </c>
      <c r="C302" s="3273"/>
      <c r="D302" s="3273"/>
      <c r="E302" s="3273"/>
      <c r="F302" s="3273"/>
      <c r="G302" s="3273"/>
    </row>
    <row r="303" ht="12.75" customHeight="1" spans="2:18">
      <c r="B303" s="3274">
        <v>1</v>
      </c>
      <c r="D303" s="3275" t="s">
        <v>10676</v>
      </c>
      <c r="F303" s="3275" t="s">
        <v>10677</v>
      </c>
      <c r="G303" s="3275"/>
      <c r="I303" s="3275" t="s">
        <v>2314</v>
      </c>
      <c r="J303" s="3275"/>
      <c r="K303" s="3275"/>
      <c r="M303" s="3278">
        <v>3245</v>
      </c>
      <c r="O303" s="3278">
        <v>0</v>
      </c>
      <c r="P303" s="3278"/>
      <c r="R303" s="3278">
        <v>0</v>
      </c>
    </row>
    <row r="304" ht="12.75" customHeight="1" spans="2:18">
      <c r="B304" s="3274">
        <v>2</v>
      </c>
      <c r="D304" s="3275" t="s">
        <v>10678</v>
      </c>
      <c r="F304" s="3275" t="s">
        <v>10679</v>
      </c>
      <c r="G304" s="3275"/>
      <c r="I304" s="3275" t="s">
        <v>2342</v>
      </c>
      <c r="J304" s="3275"/>
      <c r="K304" s="3275"/>
      <c r="M304" s="3278">
        <v>715</v>
      </c>
      <c r="O304" s="3278">
        <v>8</v>
      </c>
      <c r="P304" s="3278"/>
      <c r="R304" s="3278">
        <v>5720</v>
      </c>
    </row>
    <row r="305" ht="12.75" customHeight="1" spans="2:18">
      <c r="B305" s="3274">
        <v>3</v>
      </c>
      <c r="D305" s="3275" t="s">
        <v>10680</v>
      </c>
      <c r="F305" s="3275" t="s">
        <v>10681</v>
      </c>
      <c r="G305" s="3275"/>
      <c r="I305" s="3275" t="s">
        <v>4274</v>
      </c>
      <c r="J305" s="3275"/>
      <c r="K305" s="3275"/>
      <c r="M305" s="3278">
        <v>2200</v>
      </c>
      <c r="O305" s="3278">
        <v>0</v>
      </c>
      <c r="P305" s="3278"/>
      <c r="R305" s="3278">
        <v>0</v>
      </c>
    </row>
    <row r="306" ht="12.75" customHeight="1" spans="2:18">
      <c r="B306" s="3274">
        <v>4</v>
      </c>
      <c r="D306" s="3275" t="s">
        <v>10682</v>
      </c>
      <c r="F306" s="3275" t="s">
        <v>10683</v>
      </c>
      <c r="G306" s="3275"/>
      <c r="I306" s="3275" t="s">
        <v>2472</v>
      </c>
      <c r="J306" s="3275"/>
      <c r="K306" s="3275"/>
      <c r="M306" s="3278">
        <v>3630</v>
      </c>
      <c r="O306" s="3278">
        <v>264</v>
      </c>
      <c r="P306" s="3278"/>
      <c r="R306" s="3278">
        <v>958320</v>
      </c>
    </row>
    <row r="307" ht="12.75" customHeight="1" spans="2:18">
      <c r="B307" s="3274">
        <v>5</v>
      </c>
      <c r="D307" s="3275" t="s">
        <v>10684</v>
      </c>
      <c r="F307" s="3275" t="s">
        <v>10685</v>
      </c>
      <c r="G307" s="3275"/>
      <c r="I307" s="3275" t="s">
        <v>2457</v>
      </c>
      <c r="J307" s="3275"/>
      <c r="K307" s="3275"/>
      <c r="M307" s="3278">
        <v>1980</v>
      </c>
      <c r="O307" s="3278">
        <v>0</v>
      </c>
      <c r="P307" s="3278"/>
      <c r="R307" s="3278">
        <v>0</v>
      </c>
    </row>
    <row r="308" ht="12.75" customHeight="1" spans="2:18">
      <c r="B308" s="3274">
        <v>6</v>
      </c>
      <c r="D308" s="3275" t="s">
        <v>10686</v>
      </c>
      <c r="F308" s="3275" t="s">
        <v>10687</v>
      </c>
      <c r="G308" s="3275"/>
      <c r="I308" s="3275" t="s">
        <v>2388</v>
      </c>
      <c r="J308" s="3275"/>
      <c r="K308" s="3275"/>
      <c r="M308" s="3278">
        <v>660</v>
      </c>
      <c r="O308" s="3278">
        <v>0</v>
      </c>
      <c r="P308" s="3278"/>
      <c r="R308" s="3278">
        <v>0</v>
      </c>
    </row>
    <row r="309" ht="12.75" customHeight="1" spans="2:18">
      <c r="B309" s="3274">
        <v>7</v>
      </c>
      <c r="D309" s="3275" t="s">
        <v>10688</v>
      </c>
      <c r="F309" s="3275" t="s">
        <v>10689</v>
      </c>
      <c r="G309" s="3275"/>
      <c r="I309" s="3275" t="s">
        <v>2388</v>
      </c>
      <c r="J309" s="3275"/>
      <c r="K309" s="3275"/>
      <c r="M309" s="3278">
        <v>3190</v>
      </c>
      <c r="O309" s="3278">
        <v>0</v>
      </c>
      <c r="P309" s="3278"/>
      <c r="R309" s="3278">
        <v>0</v>
      </c>
    </row>
    <row r="310" ht="12.75" customHeight="1" spans="2:18">
      <c r="B310" s="3274">
        <v>8</v>
      </c>
      <c r="D310" s="3275" t="s">
        <v>10690</v>
      </c>
      <c r="F310" s="3275" t="s">
        <v>10691</v>
      </c>
      <c r="G310" s="3275"/>
      <c r="I310" s="3275" t="s">
        <v>2388</v>
      </c>
      <c r="J310" s="3275"/>
      <c r="K310" s="3275"/>
      <c r="M310" s="3278">
        <v>4400</v>
      </c>
      <c r="O310" s="3278">
        <v>0</v>
      </c>
      <c r="P310" s="3278"/>
      <c r="R310" s="3278">
        <v>0</v>
      </c>
    </row>
    <row r="311" ht="12.75" customHeight="1" spans="2:18">
      <c r="B311" s="3274">
        <v>9</v>
      </c>
      <c r="D311" s="3275" t="s">
        <v>10692</v>
      </c>
      <c r="F311" s="3275" t="s">
        <v>10693</v>
      </c>
      <c r="G311" s="3275"/>
      <c r="I311" s="3275" t="s">
        <v>2321</v>
      </c>
      <c r="J311" s="3275"/>
      <c r="K311" s="3275"/>
      <c r="M311" s="3278">
        <v>825</v>
      </c>
      <c r="O311" s="3278">
        <v>0</v>
      </c>
      <c r="P311" s="3278"/>
      <c r="R311" s="3278">
        <v>0</v>
      </c>
    </row>
    <row r="312" ht="12.75" customHeight="1" spans="2:18">
      <c r="B312" s="3274">
        <v>10</v>
      </c>
      <c r="D312" s="3275" t="s">
        <v>10694</v>
      </c>
      <c r="F312" s="3275" t="s">
        <v>10695</v>
      </c>
      <c r="G312" s="3275"/>
      <c r="I312" s="3275" t="s">
        <v>2293</v>
      </c>
      <c r="J312" s="3275"/>
      <c r="K312" s="3275"/>
      <c r="M312" s="3278">
        <v>247.5</v>
      </c>
      <c r="O312" s="3278">
        <v>0</v>
      </c>
      <c r="P312" s="3278"/>
      <c r="R312" s="3278">
        <v>0</v>
      </c>
    </row>
    <row r="313" ht="12.75" customHeight="1" spans="2:18">
      <c r="B313" s="3274">
        <v>11</v>
      </c>
      <c r="D313" s="3275" t="s">
        <v>10696</v>
      </c>
      <c r="F313" s="3275" t="s">
        <v>10697</v>
      </c>
      <c r="G313" s="3275"/>
      <c r="I313" s="3275" t="s">
        <v>2299</v>
      </c>
      <c r="J313" s="3275"/>
      <c r="K313" s="3275"/>
      <c r="M313" s="3278">
        <v>1210</v>
      </c>
      <c r="O313" s="3278">
        <v>0</v>
      </c>
      <c r="P313" s="3278"/>
      <c r="R313" s="3278">
        <v>0</v>
      </c>
    </row>
    <row r="314" ht="12.75" customHeight="1" spans="2:18">
      <c r="B314" s="3274">
        <v>12</v>
      </c>
      <c r="D314" s="3275" t="s">
        <v>10102</v>
      </c>
      <c r="F314" s="3275" t="s">
        <v>10698</v>
      </c>
      <c r="G314" s="3275"/>
      <c r="I314" s="3275" t="s">
        <v>2309</v>
      </c>
      <c r="J314" s="3275"/>
      <c r="K314" s="3275"/>
      <c r="M314" s="3278">
        <v>550</v>
      </c>
      <c r="O314" s="3278">
        <v>1</v>
      </c>
      <c r="P314" s="3278"/>
      <c r="R314" s="3278">
        <v>550</v>
      </c>
    </row>
    <row r="315" ht="12.75" customHeight="1" spans="2:18">
      <c r="B315" s="3274">
        <v>13</v>
      </c>
      <c r="D315" s="3275" t="s">
        <v>10699</v>
      </c>
      <c r="F315" s="3275" t="s">
        <v>10700</v>
      </c>
      <c r="G315" s="3275"/>
      <c r="I315" s="3275" t="s">
        <v>2309</v>
      </c>
      <c r="J315" s="3275"/>
      <c r="K315" s="3275"/>
      <c r="M315" s="3278">
        <v>440</v>
      </c>
      <c r="O315" s="3278">
        <v>0</v>
      </c>
      <c r="P315" s="3278"/>
      <c r="R315" s="3278">
        <v>0</v>
      </c>
    </row>
    <row r="316" ht="12.75" customHeight="1" spans="2:18">
      <c r="B316" s="3274">
        <v>14</v>
      </c>
      <c r="D316" s="3275" t="s">
        <v>10701</v>
      </c>
      <c r="F316" s="3275" t="s">
        <v>10702</v>
      </c>
      <c r="G316" s="3275"/>
      <c r="I316" s="3275" t="s">
        <v>2293</v>
      </c>
      <c r="J316" s="3275"/>
      <c r="K316" s="3275"/>
      <c r="M316" s="3278">
        <v>1.1</v>
      </c>
      <c r="O316" s="3278">
        <v>0</v>
      </c>
      <c r="P316" s="3278"/>
      <c r="R316" s="3278">
        <v>0</v>
      </c>
    </row>
    <row r="317" ht="12.75" customHeight="1" spans="2:18">
      <c r="B317" s="3274">
        <v>15</v>
      </c>
      <c r="D317" s="3275" t="s">
        <v>10703</v>
      </c>
      <c r="F317" s="3275" t="s">
        <v>10704</v>
      </c>
      <c r="G317" s="3275"/>
      <c r="I317" s="3275" t="s">
        <v>2314</v>
      </c>
      <c r="J317" s="3275"/>
      <c r="K317" s="3275"/>
      <c r="M317" s="3278">
        <v>13090</v>
      </c>
      <c r="O317" s="3278">
        <v>36</v>
      </c>
      <c r="P317" s="3278"/>
      <c r="R317" s="3278">
        <v>471240</v>
      </c>
    </row>
    <row r="318" ht="12.75" customHeight="1" spans="2:18">
      <c r="B318" s="3274">
        <v>16</v>
      </c>
      <c r="D318" s="3275" t="s">
        <v>10705</v>
      </c>
      <c r="F318" s="3275" t="s">
        <v>10706</v>
      </c>
      <c r="G318" s="3275"/>
      <c r="I318" s="3275" t="s">
        <v>2314</v>
      </c>
      <c r="J318" s="3275"/>
      <c r="K318" s="3275"/>
      <c r="M318" s="3278">
        <v>14600</v>
      </c>
      <c r="O318" s="3278">
        <v>10</v>
      </c>
      <c r="P318" s="3278"/>
      <c r="R318" s="3278">
        <v>146000</v>
      </c>
    </row>
    <row r="319" ht="12.75" customHeight="1" spans="2:18">
      <c r="B319" s="3274">
        <v>17</v>
      </c>
      <c r="D319" s="3275" t="s">
        <v>10707</v>
      </c>
      <c r="F319" s="3275" t="s">
        <v>10708</v>
      </c>
      <c r="G319" s="3275"/>
      <c r="I319" s="3275" t="s">
        <v>2314</v>
      </c>
      <c r="J319" s="3275"/>
      <c r="K319" s="3275"/>
      <c r="M319" s="3278">
        <v>7300</v>
      </c>
      <c r="O319" s="3278">
        <v>0</v>
      </c>
      <c r="P319" s="3278"/>
      <c r="R319" s="3278">
        <v>0</v>
      </c>
    </row>
    <row r="320" ht="12.75" customHeight="1" spans="2:18">
      <c r="B320" s="3274">
        <v>18</v>
      </c>
      <c r="D320" s="3275" t="s">
        <v>10709</v>
      </c>
      <c r="F320" s="3275" t="s">
        <v>10710</v>
      </c>
      <c r="G320" s="3275"/>
      <c r="I320" s="3275" t="s">
        <v>2314</v>
      </c>
      <c r="J320" s="3275"/>
      <c r="K320" s="3275"/>
      <c r="M320" s="3278">
        <v>6200</v>
      </c>
      <c r="O320" s="3278">
        <v>0</v>
      </c>
      <c r="P320" s="3278"/>
      <c r="R320" s="3278">
        <v>0</v>
      </c>
    </row>
    <row r="321" ht="12.75" customHeight="1" spans="2:18">
      <c r="B321" s="3274">
        <v>19</v>
      </c>
      <c r="D321" s="3275" t="s">
        <v>10711</v>
      </c>
      <c r="F321" s="3275" t="s">
        <v>10712</v>
      </c>
      <c r="G321" s="3275"/>
      <c r="I321" s="3275" t="s">
        <v>2314</v>
      </c>
      <c r="J321" s="3275"/>
      <c r="K321" s="3275"/>
      <c r="M321" s="3278">
        <v>54600</v>
      </c>
      <c r="O321" s="3278">
        <v>39</v>
      </c>
      <c r="P321" s="3278"/>
      <c r="R321" s="3278">
        <v>2129400</v>
      </c>
    </row>
    <row r="322" ht="12.75" customHeight="1" spans="2:18">
      <c r="B322" s="3274">
        <v>20</v>
      </c>
      <c r="D322" s="3275" t="s">
        <v>10713</v>
      </c>
      <c r="F322" s="3275" t="s">
        <v>10714</v>
      </c>
      <c r="G322" s="3275"/>
      <c r="I322" s="3275" t="s">
        <v>2314</v>
      </c>
      <c r="J322" s="3275"/>
      <c r="K322" s="3275"/>
      <c r="M322" s="3278">
        <v>5500</v>
      </c>
      <c r="O322" s="3278">
        <v>0</v>
      </c>
      <c r="P322" s="3278"/>
      <c r="R322" s="3278">
        <v>0</v>
      </c>
    </row>
    <row r="323" ht="13.35" customHeight="1" spans="3:18">
      <c r="C323" s="3276" t="s">
        <v>10715</v>
      </c>
      <c r="D323" s="3276"/>
      <c r="E323" s="3276"/>
      <c r="F323" s="3276"/>
      <c r="R323" s="3279">
        <v>3711230</v>
      </c>
    </row>
    <row r="324" ht="13.35" customHeight="1" spans="2:7">
      <c r="B324" s="3273" t="s">
        <v>10716</v>
      </c>
      <c r="C324" s="3273"/>
      <c r="D324" s="3273"/>
      <c r="E324" s="3273"/>
      <c r="F324" s="3273"/>
      <c r="G324" s="3273"/>
    </row>
    <row r="325" ht="12.75" customHeight="1" spans="2:18">
      <c r="B325" s="3274">
        <v>1</v>
      </c>
      <c r="D325" s="3275" t="s">
        <v>10717</v>
      </c>
      <c r="F325" s="3275" t="s">
        <v>10718</v>
      </c>
      <c r="G325" s="3275"/>
      <c r="I325" s="3275" t="s">
        <v>2293</v>
      </c>
      <c r="J325" s="3275"/>
      <c r="K325" s="3275"/>
      <c r="M325" s="3278">
        <v>26400</v>
      </c>
      <c r="O325" s="3278">
        <v>0</v>
      </c>
      <c r="P325" s="3278"/>
      <c r="R325" s="3278">
        <v>0</v>
      </c>
    </row>
    <row r="326" ht="12.75" customHeight="1" spans="2:18">
      <c r="B326" s="3274">
        <v>2</v>
      </c>
      <c r="D326" s="3275" t="s">
        <v>10719</v>
      </c>
      <c r="F326" s="3275" t="s">
        <v>10720</v>
      </c>
      <c r="G326" s="3275"/>
      <c r="I326" s="3275" t="s">
        <v>2388</v>
      </c>
      <c r="J326" s="3275"/>
      <c r="K326" s="3275"/>
      <c r="M326" s="3278">
        <v>58300</v>
      </c>
      <c r="O326" s="3278">
        <v>0</v>
      </c>
      <c r="P326" s="3278"/>
      <c r="R326" s="3278">
        <v>0</v>
      </c>
    </row>
    <row r="327" ht="12.75" customHeight="1" spans="2:18">
      <c r="B327" s="3274">
        <v>3</v>
      </c>
      <c r="D327" s="3275" t="s">
        <v>10721</v>
      </c>
      <c r="F327" s="3275" t="s">
        <v>10722</v>
      </c>
      <c r="G327" s="3275"/>
      <c r="I327" s="3275" t="s">
        <v>2293</v>
      </c>
      <c r="J327" s="3275"/>
      <c r="K327" s="3275"/>
      <c r="M327" s="3278">
        <v>148500</v>
      </c>
      <c r="O327" s="3278">
        <v>0</v>
      </c>
      <c r="P327" s="3278"/>
      <c r="R327" s="3278">
        <v>0</v>
      </c>
    </row>
    <row r="328" ht="12.75" customHeight="1" spans="2:18">
      <c r="B328" s="3274">
        <v>4</v>
      </c>
      <c r="D328" s="3275" t="s">
        <v>10723</v>
      </c>
      <c r="F328" s="3275" t="s">
        <v>10724</v>
      </c>
      <c r="G328" s="3275"/>
      <c r="I328" s="3275" t="s">
        <v>2293</v>
      </c>
      <c r="J328" s="3275"/>
      <c r="K328" s="3275"/>
      <c r="M328" s="3278">
        <v>148500</v>
      </c>
      <c r="O328" s="3278">
        <v>0</v>
      </c>
      <c r="P328" s="3278"/>
      <c r="R328" s="3278">
        <v>0</v>
      </c>
    </row>
    <row r="329" ht="12.75" customHeight="1" spans="2:18">
      <c r="B329" s="3274">
        <v>5</v>
      </c>
      <c r="D329" s="3275" t="s">
        <v>10725</v>
      </c>
      <c r="F329" s="3275" t="s">
        <v>10726</v>
      </c>
      <c r="G329" s="3275"/>
      <c r="I329" s="3275" t="s">
        <v>2388</v>
      </c>
      <c r="J329" s="3275"/>
      <c r="K329" s="3275"/>
      <c r="M329" s="3278">
        <v>192500</v>
      </c>
      <c r="O329" s="3278">
        <v>0</v>
      </c>
      <c r="P329" s="3278"/>
      <c r="R329" s="3278">
        <v>0</v>
      </c>
    </row>
    <row r="330" ht="12.75" customHeight="1" spans="2:18">
      <c r="B330" s="3274">
        <v>6</v>
      </c>
      <c r="D330" s="3275" t="s">
        <v>10727</v>
      </c>
      <c r="F330" s="3275" t="s">
        <v>10728</v>
      </c>
      <c r="G330" s="3275"/>
      <c r="I330" s="3275" t="s">
        <v>2299</v>
      </c>
      <c r="J330" s="3275"/>
      <c r="K330" s="3275"/>
      <c r="M330" s="3278">
        <v>85000</v>
      </c>
      <c r="O330" s="3278">
        <v>0</v>
      </c>
      <c r="P330" s="3278"/>
      <c r="R330" s="3278">
        <v>0</v>
      </c>
    </row>
    <row r="331" ht="12.75" customHeight="1" spans="2:18">
      <c r="B331" s="3274">
        <v>7</v>
      </c>
      <c r="D331" s="3275" t="s">
        <v>10729</v>
      </c>
      <c r="F331" s="3275" t="s">
        <v>10730</v>
      </c>
      <c r="G331" s="3275"/>
      <c r="I331" s="3275" t="s">
        <v>2388</v>
      </c>
      <c r="J331" s="3275"/>
      <c r="K331" s="3275"/>
      <c r="M331" s="3278">
        <v>165000</v>
      </c>
      <c r="O331" s="3278">
        <v>0</v>
      </c>
      <c r="P331" s="3278"/>
      <c r="R331" s="3278">
        <v>0</v>
      </c>
    </row>
    <row r="332" ht="12.75" customHeight="1" spans="2:18">
      <c r="B332" s="3274">
        <v>8</v>
      </c>
      <c r="D332" s="3275" t="s">
        <v>10731</v>
      </c>
      <c r="F332" s="3275" t="s">
        <v>10732</v>
      </c>
      <c r="G332" s="3275"/>
      <c r="I332" s="3275" t="s">
        <v>2293</v>
      </c>
      <c r="J332" s="3275"/>
      <c r="K332" s="3275"/>
      <c r="M332" s="3278">
        <v>32998.9</v>
      </c>
      <c r="O332" s="3278">
        <v>0</v>
      </c>
      <c r="P332" s="3278"/>
      <c r="R332" s="3278">
        <v>0</v>
      </c>
    </row>
    <row r="333" ht="12.75" customHeight="1" spans="2:18">
      <c r="B333" s="3274">
        <v>9</v>
      </c>
      <c r="D333" s="3275" t="s">
        <v>10733</v>
      </c>
      <c r="F333" s="3275" t="s">
        <v>10734</v>
      </c>
      <c r="G333" s="3275"/>
      <c r="I333" s="3275" t="s">
        <v>2388</v>
      </c>
      <c r="J333" s="3275"/>
      <c r="K333" s="3275"/>
      <c r="M333" s="3278">
        <v>82500</v>
      </c>
      <c r="O333" s="3278">
        <v>0</v>
      </c>
      <c r="P333" s="3278"/>
      <c r="R333" s="3278">
        <v>0</v>
      </c>
    </row>
    <row r="334" ht="13.35" customHeight="1" spans="3:18">
      <c r="C334" s="3276" t="s">
        <v>10735</v>
      </c>
      <c r="D334" s="3276"/>
      <c r="E334" s="3276"/>
      <c r="F334" s="3276"/>
      <c r="R334" s="3279">
        <v>0</v>
      </c>
    </row>
    <row r="335" ht="13.35" customHeight="1" spans="2:7">
      <c r="B335" s="3273" t="s">
        <v>10736</v>
      </c>
      <c r="C335" s="3273"/>
      <c r="D335" s="3273"/>
      <c r="E335" s="3273"/>
      <c r="F335" s="3273"/>
      <c r="G335" s="3273"/>
    </row>
    <row r="336" ht="12.75" customHeight="1" spans="2:18">
      <c r="B336" s="3274">
        <v>1</v>
      </c>
      <c r="D336" s="3275" t="s">
        <v>10737</v>
      </c>
      <c r="F336" s="3275" t="s">
        <v>10738</v>
      </c>
      <c r="G336" s="3275"/>
      <c r="I336" s="3275" t="s">
        <v>2457</v>
      </c>
      <c r="J336" s="3275"/>
      <c r="K336" s="3275"/>
      <c r="M336" s="3278">
        <v>31000</v>
      </c>
      <c r="O336" s="3278">
        <v>38</v>
      </c>
      <c r="P336" s="3278"/>
      <c r="R336" s="3278">
        <v>1178000</v>
      </c>
    </row>
    <row r="337" ht="13.35" customHeight="1" spans="3:18">
      <c r="C337" s="3276" t="s">
        <v>10739</v>
      </c>
      <c r="D337" s="3276"/>
      <c r="E337" s="3276"/>
      <c r="F337" s="3276"/>
      <c r="R337" s="3279">
        <v>1178000</v>
      </c>
    </row>
    <row r="338" ht="13.35" customHeight="1" spans="2:7">
      <c r="B338" s="3273" t="s">
        <v>10740</v>
      </c>
      <c r="C338" s="3273"/>
      <c r="D338" s="3273"/>
      <c r="E338" s="3273"/>
      <c r="F338" s="3273"/>
      <c r="G338" s="3273"/>
    </row>
    <row r="339" ht="12.75" customHeight="1" spans="2:18">
      <c r="B339" s="3274">
        <v>1</v>
      </c>
      <c r="D339" s="3275" t="s">
        <v>10741</v>
      </c>
      <c r="F339" s="3275" t="s">
        <v>10742</v>
      </c>
      <c r="G339" s="3275"/>
      <c r="I339" s="3275" t="s">
        <v>2299</v>
      </c>
      <c r="J339" s="3275"/>
      <c r="K339" s="3275"/>
      <c r="M339" s="3278">
        <v>50000</v>
      </c>
      <c r="O339" s="3278">
        <v>0</v>
      </c>
      <c r="P339" s="3278"/>
      <c r="R339" s="3278">
        <v>0</v>
      </c>
    </row>
    <row r="340" ht="13.35" customHeight="1" spans="3:18">
      <c r="C340" s="3276" t="s">
        <v>10743</v>
      </c>
      <c r="D340" s="3276"/>
      <c r="E340" s="3276"/>
      <c r="F340" s="3276"/>
      <c r="R340" s="3279">
        <v>0</v>
      </c>
    </row>
    <row r="341" ht="13.35" customHeight="1" spans="2:7">
      <c r="B341" s="3273" t="s">
        <v>10744</v>
      </c>
      <c r="C341" s="3273"/>
      <c r="D341" s="3273"/>
      <c r="E341" s="3273"/>
      <c r="F341" s="3273"/>
      <c r="G341" s="3273"/>
    </row>
    <row r="342" ht="12.75" customHeight="1" spans="2:18">
      <c r="B342" s="3274">
        <v>1</v>
      </c>
      <c r="D342" s="3275" t="s">
        <v>10745</v>
      </c>
      <c r="F342" s="3275" t="s">
        <v>10746</v>
      </c>
      <c r="G342" s="3275"/>
      <c r="I342" s="3275" t="s">
        <v>2293</v>
      </c>
      <c r="J342" s="3275"/>
      <c r="K342" s="3275"/>
      <c r="M342" s="3278">
        <v>8800</v>
      </c>
      <c r="O342" s="3278">
        <v>0</v>
      </c>
      <c r="P342" s="3278"/>
      <c r="R342" s="3278">
        <v>0</v>
      </c>
    </row>
    <row r="343" ht="12.75" customHeight="1" spans="2:18">
      <c r="B343" s="3274">
        <v>2</v>
      </c>
      <c r="D343" s="3275" t="s">
        <v>10747</v>
      </c>
      <c r="F343" s="3275" t="s">
        <v>10748</v>
      </c>
      <c r="G343" s="3275"/>
      <c r="I343" s="3275" t="s">
        <v>2293</v>
      </c>
      <c r="J343" s="3275"/>
      <c r="K343" s="3275"/>
      <c r="M343" s="3278">
        <v>46200</v>
      </c>
      <c r="O343" s="3278">
        <v>9</v>
      </c>
      <c r="P343" s="3278"/>
      <c r="R343" s="3278">
        <v>415800</v>
      </c>
    </row>
    <row r="344" ht="12.75" customHeight="1" spans="2:18">
      <c r="B344" s="3274">
        <v>3</v>
      </c>
      <c r="D344" s="3275" t="s">
        <v>10749</v>
      </c>
      <c r="F344" s="3275" t="s">
        <v>10750</v>
      </c>
      <c r="G344" s="3275"/>
      <c r="I344" s="3275" t="s">
        <v>2299</v>
      </c>
      <c r="J344" s="3275"/>
      <c r="K344" s="3275"/>
      <c r="M344" s="3278">
        <v>14000</v>
      </c>
      <c r="O344" s="3278">
        <v>22</v>
      </c>
      <c r="P344" s="3278"/>
      <c r="R344" s="3278">
        <v>308000</v>
      </c>
    </row>
    <row r="345" ht="12.75" customHeight="1" spans="2:18">
      <c r="B345" s="3274">
        <v>4</v>
      </c>
      <c r="D345" s="3275" t="s">
        <v>10751</v>
      </c>
      <c r="F345" s="3275" t="s">
        <v>10752</v>
      </c>
      <c r="G345" s="3275"/>
      <c r="I345" s="3275" t="s">
        <v>2299</v>
      </c>
      <c r="J345" s="3275"/>
      <c r="K345" s="3275"/>
      <c r="M345" s="3278">
        <v>16500</v>
      </c>
      <c r="O345" s="3278">
        <v>12</v>
      </c>
      <c r="P345" s="3278"/>
      <c r="R345" s="3278">
        <v>198000</v>
      </c>
    </row>
    <row r="346" ht="12.75" customHeight="1" spans="2:18">
      <c r="B346" s="3274">
        <v>5</v>
      </c>
      <c r="D346" s="3275" t="s">
        <v>10753</v>
      </c>
      <c r="F346" s="3275" t="s">
        <v>10754</v>
      </c>
      <c r="G346" s="3275"/>
      <c r="I346" s="3275" t="s">
        <v>2293</v>
      </c>
      <c r="J346" s="3275"/>
      <c r="K346" s="3275"/>
      <c r="M346" s="3278">
        <v>26250</v>
      </c>
      <c r="O346" s="3278">
        <v>2</v>
      </c>
      <c r="P346" s="3278"/>
      <c r="R346" s="3278">
        <v>52500</v>
      </c>
    </row>
    <row r="347" ht="12.75" customHeight="1" spans="2:18">
      <c r="B347" s="3274">
        <v>6</v>
      </c>
      <c r="D347" s="3275" t="s">
        <v>10755</v>
      </c>
      <c r="F347" s="3275" t="s">
        <v>10756</v>
      </c>
      <c r="G347" s="3275"/>
      <c r="I347" s="3275" t="s">
        <v>2293</v>
      </c>
      <c r="J347" s="3275"/>
      <c r="K347" s="3275"/>
      <c r="M347" s="3278">
        <v>16500</v>
      </c>
      <c r="O347" s="3278">
        <v>0</v>
      </c>
      <c r="P347" s="3278"/>
      <c r="R347" s="3278">
        <v>0</v>
      </c>
    </row>
    <row r="348" ht="12.75" customHeight="1" spans="2:18">
      <c r="B348" s="3274">
        <v>7</v>
      </c>
      <c r="D348" s="3275" t="s">
        <v>10757</v>
      </c>
      <c r="F348" s="3275" t="s">
        <v>10758</v>
      </c>
      <c r="G348" s="3275"/>
      <c r="I348" s="3275" t="s">
        <v>2293</v>
      </c>
      <c r="J348" s="3275"/>
      <c r="K348" s="3275"/>
      <c r="M348" s="3278">
        <v>6050</v>
      </c>
      <c r="O348" s="3278">
        <v>0</v>
      </c>
      <c r="P348" s="3278"/>
      <c r="R348" s="3278">
        <v>0</v>
      </c>
    </row>
    <row r="349" ht="12.75" customHeight="1" spans="2:18">
      <c r="B349" s="3274">
        <v>8</v>
      </c>
      <c r="D349" s="3275" t="s">
        <v>10759</v>
      </c>
      <c r="F349" s="3275" t="s">
        <v>10760</v>
      </c>
      <c r="G349" s="3275"/>
      <c r="I349" s="3275" t="s">
        <v>2299</v>
      </c>
      <c r="J349" s="3275"/>
      <c r="K349" s="3275"/>
      <c r="M349" s="3278">
        <v>12000</v>
      </c>
      <c r="O349" s="3278">
        <v>15</v>
      </c>
      <c r="P349" s="3278"/>
      <c r="R349" s="3278">
        <v>180000</v>
      </c>
    </row>
    <row r="350" ht="12.75" customHeight="1" spans="2:18">
      <c r="B350" s="3274">
        <v>9</v>
      </c>
      <c r="D350" s="3275" t="s">
        <v>10761</v>
      </c>
      <c r="F350" s="3275" t="s">
        <v>10762</v>
      </c>
      <c r="G350" s="3275"/>
      <c r="I350" s="3275" t="s">
        <v>2299</v>
      </c>
      <c r="J350" s="3275"/>
      <c r="K350" s="3275"/>
      <c r="M350" s="3278">
        <v>320000</v>
      </c>
      <c r="O350" s="3278">
        <v>1</v>
      </c>
      <c r="P350" s="3278"/>
      <c r="R350" s="3278">
        <v>320000</v>
      </c>
    </row>
    <row r="351" ht="12.75" customHeight="1" spans="2:18">
      <c r="B351" s="3274">
        <v>10</v>
      </c>
      <c r="D351" s="3275" t="s">
        <v>10763</v>
      </c>
      <c r="F351" s="3275" t="s">
        <v>10764</v>
      </c>
      <c r="G351" s="3275"/>
      <c r="I351" s="3275" t="s">
        <v>2299</v>
      </c>
      <c r="J351" s="3275"/>
      <c r="K351" s="3275"/>
      <c r="M351" s="3278">
        <v>220000</v>
      </c>
      <c r="O351" s="3278">
        <v>8</v>
      </c>
      <c r="P351" s="3278"/>
      <c r="R351" s="3278">
        <v>1760000</v>
      </c>
    </row>
    <row r="352" ht="13.35" customHeight="1" spans="3:18">
      <c r="C352" s="3276" t="s">
        <v>10765</v>
      </c>
      <c r="D352" s="3276"/>
      <c r="E352" s="3276"/>
      <c r="F352" s="3276"/>
      <c r="R352" s="3279">
        <v>3234300</v>
      </c>
    </row>
    <row r="353" ht="13.35" customHeight="1" spans="2:7">
      <c r="B353" s="3273" t="s">
        <v>10766</v>
      </c>
      <c r="C353" s="3273"/>
      <c r="D353" s="3273"/>
      <c r="E353" s="3273"/>
      <c r="F353" s="3273"/>
      <c r="G353" s="3273"/>
    </row>
    <row r="354" ht="12.75" customHeight="1" spans="2:18">
      <c r="B354" s="3274">
        <v>1</v>
      </c>
      <c r="D354" s="3275" t="s">
        <v>10767</v>
      </c>
      <c r="F354" s="3275" t="s">
        <v>10768</v>
      </c>
      <c r="G354" s="3275"/>
      <c r="I354" s="3275" t="s">
        <v>5960</v>
      </c>
      <c r="J354" s="3275"/>
      <c r="K354" s="3275"/>
      <c r="M354" s="3278">
        <v>17400</v>
      </c>
      <c r="O354" s="3278">
        <v>5</v>
      </c>
      <c r="P354" s="3278"/>
      <c r="R354" s="3278">
        <v>87000</v>
      </c>
    </row>
    <row r="355" ht="12.75" customHeight="1" spans="2:18">
      <c r="B355" s="3274">
        <v>2</v>
      </c>
      <c r="D355" s="3275" t="s">
        <v>10769</v>
      </c>
      <c r="F355" s="3275" t="s">
        <v>10770</v>
      </c>
      <c r="G355" s="3275"/>
      <c r="I355" s="3275" t="s">
        <v>5960</v>
      </c>
      <c r="J355" s="3275"/>
      <c r="K355" s="3275"/>
      <c r="M355" s="3278">
        <v>24700</v>
      </c>
      <c r="O355" s="3278">
        <v>45</v>
      </c>
      <c r="P355" s="3278"/>
      <c r="R355" s="3278">
        <v>1111500</v>
      </c>
    </row>
    <row r="356" ht="12.75" customHeight="1" spans="2:18">
      <c r="B356" s="3274">
        <v>3</v>
      </c>
      <c r="D356" s="3275" t="s">
        <v>10771</v>
      </c>
      <c r="F356" s="3275" t="s">
        <v>10772</v>
      </c>
      <c r="G356" s="3275"/>
      <c r="I356" s="3275" t="s">
        <v>5960</v>
      </c>
      <c r="J356" s="3275"/>
      <c r="K356" s="3275"/>
      <c r="M356" s="3278">
        <v>28250</v>
      </c>
      <c r="O356" s="3278">
        <v>15</v>
      </c>
      <c r="P356" s="3278"/>
      <c r="R356" s="3278">
        <v>423750</v>
      </c>
    </row>
    <row r="357" ht="12.75" customHeight="1" spans="2:18">
      <c r="B357" s="3274">
        <v>4</v>
      </c>
      <c r="D357" s="3275" t="s">
        <v>10773</v>
      </c>
      <c r="F357" s="3275" t="s">
        <v>10774</v>
      </c>
      <c r="G357" s="3275"/>
      <c r="I357" s="3275" t="s">
        <v>2843</v>
      </c>
      <c r="J357" s="3275"/>
      <c r="K357" s="3275"/>
      <c r="M357" s="3278">
        <v>15000</v>
      </c>
      <c r="O357" s="3278">
        <v>19</v>
      </c>
      <c r="P357" s="3278"/>
      <c r="R357" s="3278">
        <v>285000</v>
      </c>
    </row>
    <row r="358" ht="13.35" customHeight="1" spans="3:18">
      <c r="C358" s="3276" t="s">
        <v>10775</v>
      </c>
      <c r="D358" s="3276"/>
      <c r="E358" s="3276"/>
      <c r="F358" s="3276"/>
      <c r="R358" s="3279">
        <v>1907250</v>
      </c>
    </row>
    <row r="359" ht="13.35" customHeight="1" spans="2:7">
      <c r="B359" s="3273" t="s">
        <v>10776</v>
      </c>
      <c r="C359" s="3273"/>
      <c r="D359" s="3273"/>
      <c r="E359" s="3273"/>
      <c r="F359" s="3273"/>
      <c r="G359" s="3273"/>
    </row>
    <row r="360" ht="12.75" customHeight="1" spans="2:18">
      <c r="B360" s="3274">
        <v>1</v>
      </c>
      <c r="D360" s="3275" t="s">
        <v>10777</v>
      </c>
      <c r="F360" s="3275" t="s">
        <v>10778</v>
      </c>
      <c r="G360" s="3275"/>
      <c r="I360" s="3275" t="s">
        <v>2288</v>
      </c>
      <c r="J360" s="3275"/>
      <c r="K360" s="3275"/>
      <c r="M360" s="3278">
        <v>31295</v>
      </c>
      <c r="O360" s="3278">
        <v>0</v>
      </c>
      <c r="P360" s="3278"/>
      <c r="R360" s="3278">
        <v>0</v>
      </c>
    </row>
    <row r="361" ht="12.75" customHeight="1" spans="2:18">
      <c r="B361" s="3274">
        <v>2</v>
      </c>
      <c r="D361" s="3275" t="s">
        <v>10779</v>
      </c>
      <c r="F361" s="3275" t="s">
        <v>10780</v>
      </c>
      <c r="G361" s="3275"/>
      <c r="I361" s="3275" t="s">
        <v>2293</v>
      </c>
      <c r="J361" s="3275"/>
      <c r="K361" s="3275"/>
      <c r="M361" s="3278">
        <v>9900</v>
      </c>
      <c r="O361" s="3278">
        <v>25</v>
      </c>
      <c r="P361" s="3278"/>
      <c r="R361" s="3278">
        <v>247500</v>
      </c>
    </row>
    <row r="362" ht="12.75" customHeight="1" spans="2:18">
      <c r="B362" s="3274">
        <v>3</v>
      </c>
      <c r="D362" s="3275" t="s">
        <v>10781</v>
      </c>
      <c r="F362" s="3275" t="s">
        <v>10782</v>
      </c>
      <c r="G362" s="3275"/>
      <c r="I362" s="3275" t="s">
        <v>2293</v>
      </c>
      <c r="J362" s="3275"/>
      <c r="K362" s="3275"/>
      <c r="M362" s="3278">
        <v>27000</v>
      </c>
      <c r="O362" s="3278">
        <v>0</v>
      </c>
      <c r="P362" s="3278"/>
      <c r="R362" s="3278">
        <v>0</v>
      </c>
    </row>
    <row r="363" ht="12.75" customHeight="1" spans="2:18">
      <c r="B363" s="3274">
        <v>4</v>
      </c>
      <c r="D363" s="3275" t="s">
        <v>10783</v>
      </c>
      <c r="F363" s="3275" t="s">
        <v>10784</v>
      </c>
      <c r="G363" s="3275"/>
      <c r="I363" s="3275" t="s">
        <v>2293</v>
      </c>
      <c r="J363" s="3275"/>
      <c r="K363" s="3275"/>
      <c r="M363" s="3278">
        <v>8154.17</v>
      </c>
      <c r="O363" s="3278">
        <v>0</v>
      </c>
      <c r="P363" s="3278"/>
      <c r="R363" s="3278">
        <v>0</v>
      </c>
    </row>
    <row r="364" ht="12.75" customHeight="1" spans="2:18">
      <c r="B364" s="3274">
        <v>5</v>
      </c>
      <c r="D364" s="3275" t="s">
        <v>10785</v>
      </c>
      <c r="F364" s="3275" t="s">
        <v>10786</v>
      </c>
      <c r="G364" s="3275"/>
      <c r="I364" s="3275" t="s">
        <v>2293</v>
      </c>
      <c r="J364" s="3275"/>
      <c r="K364" s="3275"/>
      <c r="M364" s="3278">
        <v>21890</v>
      </c>
      <c r="O364" s="3278">
        <v>5</v>
      </c>
      <c r="P364" s="3278"/>
      <c r="R364" s="3278">
        <v>109450</v>
      </c>
    </row>
    <row r="365" ht="12.75" customHeight="1" spans="2:18">
      <c r="B365" s="3274">
        <v>6</v>
      </c>
      <c r="D365" s="3275" t="s">
        <v>10787</v>
      </c>
      <c r="F365" s="3275" t="s">
        <v>10788</v>
      </c>
      <c r="G365" s="3275"/>
      <c r="I365" s="3275" t="s">
        <v>2321</v>
      </c>
      <c r="J365" s="3275"/>
      <c r="K365" s="3275"/>
      <c r="M365" s="3278">
        <v>83545</v>
      </c>
      <c r="O365" s="3278">
        <v>0</v>
      </c>
      <c r="P365" s="3278"/>
      <c r="R365" s="3278">
        <v>0</v>
      </c>
    </row>
    <row r="366" ht="12.75" customHeight="1" spans="2:18">
      <c r="B366" s="3274">
        <v>7</v>
      </c>
      <c r="D366" s="3275" t="s">
        <v>10789</v>
      </c>
      <c r="F366" s="3275" t="s">
        <v>10790</v>
      </c>
      <c r="G366" s="3275"/>
      <c r="I366" s="3275" t="s">
        <v>2457</v>
      </c>
      <c r="J366" s="3275"/>
      <c r="K366" s="3275"/>
      <c r="M366" s="3278">
        <v>37400</v>
      </c>
      <c r="O366" s="3278">
        <v>0</v>
      </c>
      <c r="P366" s="3278"/>
      <c r="R366" s="3278">
        <v>0</v>
      </c>
    </row>
    <row r="367" ht="12.75" customHeight="1" spans="2:18">
      <c r="B367" s="3274">
        <v>8</v>
      </c>
      <c r="D367" s="3275" t="s">
        <v>10791</v>
      </c>
      <c r="F367" s="3275" t="s">
        <v>10792</v>
      </c>
      <c r="G367" s="3275"/>
      <c r="I367" s="3275" t="s">
        <v>2293</v>
      </c>
      <c r="J367" s="3275"/>
      <c r="K367" s="3275"/>
      <c r="M367" s="3278">
        <v>14190</v>
      </c>
      <c r="O367" s="3278">
        <v>0</v>
      </c>
      <c r="P367" s="3278"/>
      <c r="R367" s="3278">
        <v>0</v>
      </c>
    </row>
    <row r="368" ht="12.75" customHeight="1" spans="2:18">
      <c r="B368" s="3274">
        <v>9</v>
      </c>
      <c r="D368" s="3275" t="s">
        <v>10793</v>
      </c>
      <c r="F368" s="3275" t="s">
        <v>10794</v>
      </c>
      <c r="G368" s="3275"/>
      <c r="I368" s="3275" t="s">
        <v>2293</v>
      </c>
      <c r="J368" s="3275"/>
      <c r="K368" s="3275"/>
      <c r="M368" s="3278">
        <v>25100</v>
      </c>
      <c r="O368" s="3278">
        <v>0</v>
      </c>
      <c r="P368" s="3278"/>
      <c r="R368" s="3278">
        <v>0</v>
      </c>
    </row>
    <row r="369" ht="12.75" customHeight="1" spans="2:18">
      <c r="B369" s="3274">
        <v>10</v>
      </c>
      <c r="D369" s="3275" t="s">
        <v>10795</v>
      </c>
      <c r="F369" s="3275" t="s">
        <v>10796</v>
      </c>
      <c r="G369" s="3275"/>
      <c r="I369" s="3275" t="s">
        <v>2457</v>
      </c>
      <c r="J369" s="3275"/>
      <c r="K369" s="3275"/>
      <c r="M369" s="3278">
        <v>9500</v>
      </c>
      <c r="O369" s="3278">
        <v>111</v>
      </c>
      <c r="P369" s="3278"/>
      <c r="R369" s="3278">
        <v>1054500</v>
      </c>
    </row>
    <row r="370" ht="12.75" customHeight="1" spans="2:18">
      <c r="B370" s="3274">
        <v>11</v>
      </c>
      <c r="D370" s="3275" t="s">
        <v>10797</v>
      </c>
      <c r="F370" s="3275" t="s">
        <v>10798</v>
      </c>
      <c r="G370" s="3275"/>
      <c r="I370" s="3275" t="s">
        <v>2299</v>
      </c>
      <c r="J370" s="3275"/>
      <c r="K370" s="3275"/>
      <c r="M370" s="3278">
        <v>3520</v>
      </c>
      <c r="O370" s="3278">
        <v>0</v>
      </c>
      <c r="P370" s="3278"/>
      <c r="R370" s="3278">
        <v>0</v>
      </c>
    </row>
    <row r="371" ht="12.75" customHeight="1" spans="2:18">
      <c r="B371" s="3274">
        <v>12</v>
      </c>
      <c r="D371" s="3275" t="s">
        <v>10799</v>
      </c>
      <c r="F371" s="3275" t="s">
        <v>10800</v>
      </c>
      <c r="G371" s="3275"/>
      <c r="I371" s="3275" t="s">
        <v>2457</v>
      </c>
      <c r="J371" s="3275"/>
      <c r="K371" s="3275"/>
      <c r="M371" s="3278">
        <v>25300</v>
      </c>
      <c r="O371" s="3278">
        <v>5</v>
      </c>
      <c r="P371" s="3278"/>
      <c r="R371" s="3278">
        <v>126500</v>
      </c>
    </row>
    <row r="372" ht="12.75" customHeight="1" spans="2:18">
      <c r="B372" s="3274">
        <v>13</v>
      </c>
      <c r="D372" s="3275" t="s">
        <v>10801</v>
      </c>
      <c r="F372" s="3275" t="s">
        <v>10802</v>
      </c>
      <c r="G372" s="3275"/>
      <c r="I372" s="3275" t="s">
        <v>2388</v>
      </c>
      <c r="J372" s="3275"/>
      <c r="K372" s="3275"/>
      <c r="M372" s="3278">
        <v>214.5</v>
      </c>
      <c r="O372" s="3278">
        <v>0</v>
      </c>
      <c r="P372" s="3278"/>
      <c r="R372" s="3278">
        <v>0</v>
      </c>
    </row>
    <row r="373" ht="12.75" customHeight="1" spans="2:18">
      <c r="B373" s="3274">
        <v>14</v>
      </c>
      <c r="D373" s="3275" t="s">
        <v>10803</v>
      </c>
      <c r="F373" s="3275" t="s">
        <v>10804</v>
      </c>
      <c r="G373" s="3275"/>
      <c r="I373" s="3275" t="s">
        <v>2388</v>
      </c>
      <c r="J373" s="3275"/>
      <c r="K373" s="3275"/>
      <c r="M373" s="3278">
        <v>605</v>
      </c>
      <c r="O373" s="3278">
        <v>0</v>
      </c>
      <c r="P373" s="3278"/>
      <c r="R373" s="3278">
        <v>0</v>
      </c>
    </row>
    <row r="374" ht="12.75" customHeight="1" spans="2:18">
      <c r="B374" s="3274">
        <v>15</v>
      </c>
      <c r="D374" s="3275" t="s">
        <v>10805</v>
      </c>
      <c r="F374" s="3275" t="s">
        <v>10806</v>
      </c>
      <c r="G374" s="3275"/>
      <c r="I374" s="3275" t="s">
        <v>2299</v>
      </c>
      <c r="J374" s="3275"/>
      <c r="K374" s="3275"/>
      <c r="M374" s="3278">
        <v>7000</v>
      </c>
      <c r="O374" s="3278">
        <v>0</v>
      </c>
      <c r="P374" s="3278"/>
      <c r="R374" s="3278">
        <v>0</v>
      </c>
    </row>
    <row r="375" ht="12.75" customHeight="1" spans="2:18">
      <c r="B375" s="3274">
        <v>16</v>
      </c>
      <c r="D375" s="3275" t="s">
        <v>10807</v>
      </c>
      <c r="F375" s="3275" t="s">
        <v>10808</v>
      </c>
      <c r="G375" s="3275"/>
      <c r="I375" s="3275" t="s">
        <v>2457</v>
      </c>
      <c r="J375" s="3275"/>
      <c r="K375" s="3275"/>
      <c r="M375" s="3278">
        <v>27500</v>
      </c>
      <c r="O375" s="3278">
        <v>128</v>
      </c>
      <c r="P375" s="3278"/>
      <c r="R375" s="3278">
        <v>3520000</v>
      </c>
    </row>
    <row r="376" ht="12.75" customHeight="1" spans="2:18">
      <c r="B376" s="3274">
        <v>17</v>
      </c>
      <c r="D376" s="3275" t="s">
        <v>10809</v>
      </c>
      <c r="F376" s="3275" t="s">
        <v>10810</v>
      </c>
      <c r="G376" s="3275"/>
      <c r="I376" s="3275" t="s">
        <v>2299</v>
      </c>
      <c r="J376" s="3275"/>
      <c r="K376" s="3275"/>
      <c r="M376" s="3278">
        <v>7700</v>
      </c>
      <c r="O376" s="3278">
        <v>0</v>
      </c>
      <c r="P376" s="3278"/>
      <c r="R376" s="3278">
        <v>0</v>
      </c>
    </row>
    <row r="377" ht="12.75" customHeight="1" spans="2:18">
      <c r="B377" s="3274">
        <v>18</v>
      </c>
      <c r="D377" s="3275" t="s">
        <v>10811</v>
      </c>
      <c r="F377" s="3275" t="s">
        <v>10812</v>
      </c>
      <c r="G377" s="3275"/>
      <c r="I377" s="3275" t="s">
        <v>2293</v>
      </c>
      <c r="J377" s="3275"/>
      <c r="K377" s="3275"/>
      <c r="M377" s="3278">
        <v>13750</v>
      </c>
      <c r="O377" s="3278">
        <v>0</v>
      </c>
      <c r="P377" s="3278"/>
      <c r="R377" s="3278">
        <v>0</v>
      </c>
    </row>
    <row r="378" ht="12.75" customHeight="1" spans="2:18">
      <c r="B378" s="3274">
        <v>19</v>
      </c>
      <c r="D378" s="3275" t="s">
        <v>10813</v>
      </c>
      <c r="F378" s="3275" t="s">
        <v>10814</v>
      </c>
      <c r="G378" s="3275"/>
      <c r="I378" s="3275" t="s">
        <v>2299</v>
      </c>
      <c r="J378" s="3275"/>
      <c r="K378" s="3275"/>
      <c r="M378" s="3278">
        <v>19250</v>
      </c>
      <c r="O378" s="3278">
        <v>0</v>
      </c>
      <c r="P378" s="3278"/>
      <c r="R378" s="3278">
        <v>0</v>
      </c>
    </row>
    <row r="379" ht="12.75" customHeight="1" spans="2:18">
      <c r="B379" s="3274">
        <v>20</v>
      </c>
      <c r="D379" s="3275" t="s">
        <v>10815</v>
      </c>
      <c r="F379" s="3275" t="s">
        <v>10816</v>
      </c>
      <c r="G379" s="3275"/>
      <c r="I379" s="3275" t="s">
        <v>2457</v>
      </c>
      <c r="J379" s="3275"/>
      <c r="K379" s="3275"/>
      <c r="M379" s="3278">
        <v>20000</v>
      </c>
      <c r="O379" s="3278">
        <v>88</v>
      </c>
      <c r="P379" s="3278"/>
      <c r="R379" s="3278">
        <v>1760000</v>
      </c>
    </row>
    <row r="380" ht="12.75" customHeight="1" spans="2:18">
      <c r="B380" s="3274">
        <v>21</v>
      </c>
      <c r="D380" s="3275" t="s">
        <v>10817</v>
      </c>
      <c r="F380" s="3275" t="s">
        <v>10818</v>
      </c>
      <c r="G380" s="3275"/>
      <c r="I380" s="3275" t="s">
        <v>2299</v>
      </c>
      <c r="J380" s="3275"/>
      <c r="K380" s="3275"/>
      <c r="M380" s="3278">
        <v>11000</v>
      </c>
      <c r="O380" s="3278">
        <v>0</v>
      </c>
      <c r="P380" s="3278"/>
      <c r="R380" s="3278">
        <v>0</v>
      </c>
    </row>
    <row r="381" ht="12.75" customHeight="1" spans="2:18">
      <c r="B381" s="3274">
        <v>22</v>
      </c>
      <c r="D381" s="3275" t="s">
        <v>10819</v>
      </c>
      <c r="F381" s="3275" t="s">
        <v>10820</v>
      </c>
      <c r="G381" s="3275"/>
      <c r="I381" s="3275" t="s">
        <v>2309</v>
      </c>
      <c r="J381" s="3275"/>
      <c r="K381" s="3275"/>
      <c r="M381" s="3278">
        <v>5500</v>
      </c>
      <c r="O381" s="3278">
        <v>0</v>
      </c>
      <c r="P381" s="3278"/>
      <c r="R381" s="3278">
        <v>0</v>
      </c>
    </row>
    <row r="382" ht="12.75" customHeight="1" spans="2:18">
      <c r="B382" s="3274">
        <v>23</v>
      </c>
      <c r="D382" s="3275" t="s">
        <v>10821</v>
      </c>
      <c r="F382" s="3275" t="s">
        <v>10822</v>
      </c>
      <c r="G382" s="3275"/>
      <c r="I382" s="3275" t="s">
        <v>2321</v>
      </c>
      <c r="J382" s="3275"/>
      <c r="K382" s="3275"/>
      <c r="M382" s="3278">
        <v>33440</v>
      </c>
      <c r="O382" s="3278">
        <v>0</v>
      </c>
      <c r="P382" s="3278"/>
      <c r="R382" s="3278">
        <v>0</v>
      </c>
    </row>
    <row r="383" ht="12.75" customHeight="1" spans="2:18">
      <c r="B383" s="3274">
        <v>24</v>
      </c>
      <c r="D383" s="3275" t="s">
        <v>10823</v>
      </c>
      <c r="F383" s="3275" t="s">
        <v>10824</v>
      </c>
      <c r="G383" s="3275"/>
      <c r="I383" s="3275" t="s">
        <v>2293</v>
      </c>
      <c r="J383" s="3275"/>
      <c r="K383" s="3275"/>
      <c r="M383" s="3278">
        <v>38500</v>
      </c>
      <c r="O383" s="3278">
        <v>0</v>
      </c>
      <c r="P383" s="3278"/>
      <c r="R383" s="3278">
        <v>0</v>
      </c>
    </row>
    <row r="384" ht="12.75" customHeight="1" spans="2:18">
      <c r="B384" s="3274">
        <v>25</v>
      </c>
      <c r="D384" s="3275" t="s">
        <v>10825</v>
      </c>
      <c r="F384" s="3275" t="s">
        <v>10826</v>
      </c>
      <c r="G384" s="3275"/>
      <c r="I384" s="3275" t="s">
        <v>2457</v>
      </c>
      <c r="J384" s="3275"/>
      <c r="K384" s="3275"/>
      <c r="M384" s="3278">
        <v>9350</v>
      </c>
      <c r="O384" s="3278">
        <v>0</v>
      </c>
      <c r="P384" s="3278"/>
      <c r="R384" s="3278">
        <v>0</v>
      </c>
    </row>
    <row r="385" ht="12.75" customHeight="1" spans="2:18">
      <c r="B385" s="3274">
        <v>26</v>
      </c>
      <c r="D385" s="3275" t="s">
        <v>10827</v>
      </c>
      <c r="F385" s="3275" t="s">
        <v>10828</v>
      </c>
      <c r="G385" s="3275"/>
      <c r="I385" s="3275" t="s">
        <v>2299</v>
      </c>
      <c r="J385" s="3275"/>
      <c r="K385" s="3275"/>
      <c r="M385" s="3278">
        <v>9400</v>
      </c>
      <c r="O385" s="3278">
        <v>0</v>
      </c>
      <c r="P385" s="3278"/>
      <c r="R385" s="3278">
        <v>0</v>
      </c>
    </row>
    <row r="386" ht="12.75" customHeight="1" spans="2:18">
      <c r="B386" s="3274">
        <v>27</v>
      </c>
      <c r="D386" s="3275" t="s">
        <v>10829</v>
      </c>
      <c r="F386" s="3275" t="s">
        <v>10830</v>
      </c>
      <c r="G386" s="3275"/>
      <c r="I386" s="3275" t="s">
        <v>2293</v>
      </c>
      <c r="J386" s="3275"/>
      <c r="K386" s="3275"/>
      <c r="M386" s="3278">
        <v>4580</v>
      </c>
      <c r="O386" s="3278">
        <v>12</v>
      </c>
      <c r="P386" s="3278"/>
      <c r="R386" s="3278">
        <v>54960</v>
      </c>
    </row>
    <row r="387" ht="12.75" customHeight="1" spans="2:18">
      <c r="B387" s="3274">
        <v>28</v>
      </c>
      <c r="D387" s="3275" t="s">
        <v>10831</v>
      </c>
      <c r="F387" s="3275" t="s">
        <v>10832</v>
      </c>
      <c r="G387" s="3275"/>
      <c r="I387" s="3275" t="s">
        <v>2299</v>
      </c>
      <c r="J387" s="3275"/>
      <c r="K387" s="3275"/>
      <c r="M387" s="3278">
        <v>7200</v>
      </c>
      <c r="O387" s="3278">
        <v>0</v>
      </c>
      <c r="P387" s="3278"/>
      <c r="R387" s="3278">
        <v>0</v>
      </c>
    </row>
    <row r="388" ht="12.75" customHeight="1" spans="2:18">
      <c r="B388" s="3274">
        <v>29</v>
      </c>
      <c r="D388" s="3275" t="s">
        <v>10833</v>
      </c>
      <c r="F388" s="3275" t="s">
        <v>10834</v>
      </c>
      <c r="G388" s="3275"/>
      <c r="I388" s="3275" t="s">
        <v>2321</v>
      </c>
      <c r="J388" s="3275"/>
      <c r="K388" s="3275"/>
      <c r="M388" s="3278">
        <v>9900</v>
      </c>
      <c r="O388" s="3278">
        <v>0</v>
      </c>
      <c r="P388" s="3278"/>
      <c r="R388" s="3278">
        <v>0</v>
      </c>
    </row>
    <row r="389" ht="12.75" customHeight="1" spans="2:18">
      <c r="B389" s="3274">
        <v>30</v>
      </c>
      <c r="D389" s="3275" t="s">
        <v>10835</v>
      </c>
      <c r="F389" s="3275" t="s">
        <v>10836</v>
      </c>
      <c r="G389" s="3275"/>
      <c r="I389" s="3275" t="s">
        <v>2418</v>
      </c>
      <c r="J389" s="3275"/>
      <c r="K389" s="3275"/>
      <c r="M389" s="3278">
        <v>14750</v>
      </c>
      <c r="O389" s="3278">
        <v>38</v>
      </c>
      <c r="P389" s="3278"/>
      <c r="R389" s="3278">
        <v>560500</v>
      </c>
    </row>
    <row r="390" ht="12.75" customHeight="1" spans="2:18">
      <c r="B390" s="3274">
        <v>31</v>
      </c>
      <c r="D390" s="3275" t="s">
        <v>10837</v>
      </c>
      <c r="F390" s="3275" t="s">
        <v>10838</v>
      </c>
      <c r="G390" s="3275"/>
      <c r="I390" s="3275" t="s">
        <v>2293</v>
      </c>
      <c r="J390" s="3275"/>
      <c r="K390" s="3275"/>
      <c r="M390" s="3278">
        <v>25000</v>
      </c>
      <c r="O390" s="3278">
        <v>0</v>
      </c>
      <c r="P390" s="3278"/>
      <c r="R390" s="3278">
        <v>0</v>
      </c>
    </row>
    <row r="391" ht="12.75" customHeight="1" spans="2:18">
      <c r="B391" s="3274">
        <v>32</v>
      </c>
      <c r="D391" s="3275" t="s">
        <v>10839</v>
      </c>
      <c r="F391" s="3275" t="s">
        <v>10840</v>
      </c>
      <c r="G391" s="3275"/>
      <c r="I391" s="3275" t="s">
        <v>2288</v>
      </c>
      <c r="J391" s="3275"/>
      <c r="K391" s="3275"/>
      <c r="M391" s="3278">
        <v>24900</v>
      </c>
      <c r="O391" s="3278">
        <v>0</v>
      </c>
      <c r="P391" s="3278"/>
      <c r="R391" s="3278">
        <v>0</v>
      </c>
    </row>
    <row r="392" ht="12.75" customHeight="1" spans="2:18">
      <c r="B392" s="3274">
        <v>33</v>
      </c>
      <c r="D392" s="3275" t="s">
        <v>10841</v>
      </c>
      <c r="F392" s="3275" t="s">
        <v>10842</v>
      </c>
      <c r="G392" s="3275"/>
      <c r="I392" s="3275" t="s">
        <v>2293</v>
      </c>
      <c r="J392" s="3275"/>
      <c r="K392" s="3275"/>
      <c r="M392" s="3278">
        <v>29700</v>
      </c>
      <c r="O392" s="3278">
        <v>0</v>
      </c>
      <c r="P392" s="3278"/>
      <c r="R392" s="3278">
        <v>0</v>
      </c>
    </row>
    <row r="393" ht="12.75" customHeight="1" spans="2:18">
      <c r="B393" s="3274">
        <v>34</v>
      </c>
      <c r="D393" s="3275" t="s">
        <v>10843</v>
      </c>
      <c r="F393" s="3275" t="s">
        <v>10844</v>
      </c>
      <c r="G393" s="3275"/>
      <c r="I393" s="3275" t="s">
        <v>2299</v>
      </c>
      <c r="J393" s="3275"/>
      <c r="K393" s="3275"/>
      <c r="M393" s="3278">
        <v>8066.674</v>
      </c>
      <c r="O393" s="3278">
        <v>363</v>
      </c>
      <c r="P393" s="3278"/>
      <c r="R393" s="3278">
        <v>2928202.662</v>
      </c>
    </row>
    <row r="394" ht="12.75" customHeight="1" spans="2:18">
      <c r="B394" s="3274">
        <v>35</v>
      </c>
      <c r="D394" s="3275" t="s">
        <v>10845</v>
      </c>
      <c r="F394" s="3275" t="s">
        <v>10846</v>
      </c>
      <c r="G394" s="3275"/>
      <c r="I394" s="3275" t="s">
        <v>10847</v>
      </c>
      <c r="J394" s="3275"/>
      <c r="K394" s="3275"/>
      <c r="M394" s="3278">
        <v>12650</v>
      </c>
      <c r="O394" s="3278">
        <v>0</v>
      </c>
      <c r="P394" s="3278"/>
      <c r="R394" s="3278">
        <v>0</v>
      </c>
    </row>
    <row r="395" ht="12.75" customHeight="1" spans="2:18">
      <c r="B395" s="3274">
        <v>36</v>
      </c>
      <c r="D395" s="3275" t="s">
        <v>10848</v>
      </c>
      <c r="F395" s="3275" t="s">
        <v>10849</v>
      </c>
      <c r="G395" s="3275"/>
      <c r="I395" s="3275" t="s">
        <v>4357</v>
      </c>
      <c r="J395" s="3275"/>
      <c r="K395" s="3275"/>
      <c r="M395" s="3278">
        <v>32450</v>
      </c>
      <c r="O395" s="3278">
        <v>121</v>
      </c>
      <c r="P395" s="3278"/>
      <c r="R395" s="3278">
        <v>3926450</v>
      </c>
    </row>
    <row r="396" ht="12.75" customHeight="1" spans="2:18">
      <c r="B396" s="3274">
        <v>37</v>
      </c>
      <c r="D396" s="3275" t="s">
        <v>10850</v>
      </c>
      <c r="F396" s="3275" t="s">
        <v>10851</v>
      </c>
      <c r="G396" s="3275"/>
      <c r="I396" s="3275" t="s">
        <v>2457</v>
      </c>
      <c r="J396" s="3275"/>
      <c r="K396" s="3275"/>
      <c r="M396" s="3278">
        <v>32450</v>
      </c>
      <c r="O396" s="3278">
        <v>87</v>
      </c>
      <c r="P396" s="3278"/>
      <c r="R396" s="3278">
        <v>2823150</v>
      </c>
    </row>
    <row r="397" ht="12.75" customHeight="1" spans="2:18">
      <c r="B397" s="3274">
        <v>38</v>
      </c>
      <c r="D397" s="3275" t="s">
        <v>10852</v>
      </c>
      <c r="F397" s="3275" t="s">
        <v>10853</v>
      </c>
      <c r="G397" s="3275"/>
      <c r="I397" s="3275" t="s">
        <v>2293</v>
      </c>
      <c r="J397" s="3275"/>
      <c r="K397" s="3275"/>
      <c r="M397" s="3278">
        <v>71500</v>
      </c>
      <c r="O397" s="3278">
        <v>0</v>
      </c>
      <c r="P397" s="3278"/>
      <c r="R397" s="3278">
        <v>0</v>
      </c>
    </row>
    <row r="398" ht="13.35" customHeight="1" spans="3:18">
      <c r="C398" s="3276" t="s">
        <v>10854</v>
      </c>
      <c r="D398" s="3276"/>
      <c r="E398" s="3276"/>
      <c r="F398" s="3276"/>
      <c r="R398" s="3279">
        <v>17111212.662</v>
      </c>
    </row>
    <row r="399" ht="13.35" customHeight="1" spans="2:7">
      <c r="B399" s="3273" t="s">
        <v>10855</v>
      </c>
      <c r="C399" s="3273"/>
      <c r="D399" s="3273"/>
      <c r="E399" s="3273"/>
      <c r="F399" s="3273"/>
      <c r="G399" s="3273"/>
    </row>
    <row r="400" ht="12.75" customHeight="1" spans="2:18">
      <c r="B400" s="3274">
        <v>1</v>
      </c>
      <c r="D400" s="3275" t="s">
        <v>10856</v>
      </c>
      <c r="F400" s="3275" t="s">
        <v>10857</v>
      </c>
      <c r="G400" s="3275"/>
      <c r="I400" s="3275" t="s">
        <v>2299</v>
      </c>
      <c r="J400" s="3275"/>
      <c r="K400" s="3275"/>
      <c r="M400" s="3278">
        <v>2200</v>
      </c>
      <c r="O400" s="3278">
        <v>0</v>
      </c>
      <c r="P400" s="3278"/>
      <c r="R400" s="3278">
        <v>0</v>
      </c>
    </row>
    <row r="401" ht="12.75" customHeight="1" spans="2:18">
      <c r="B401" s="3274">
        <v>2</v>
      </c>
      <c r="D401" s="3275" t="s">
        <v>10858</v>
      </c>
      <c r="F401" s="3275" t="s">
        <v>10859</v>
      </c>
      <c r="G401" s="3275"/>
      <c r="I401" s="3275" t="s">
        <v>2299</v>
      </c>
      <c r="J401" s="3275"/>
      <c r="K401" s="3275"/>
      <c r="M401" s="3278">
        <v>2200</v>
      </c>
      <c r="O401" s="3278">
        <v>0</v>
      </c>
      <c r="P401" s="3278"/>
      <c r="R401" s="3278">
        <v>0</v>
      </c>
    </row>
    <row r="402" ht="12.75" customHeight="1" spans="2:18">
      <c r="B402" s="3274">
        <v>3</v>
      </c>
      <c r="D402" s="3275" t="s">
        <v>10860</v>
      </c>
      <c r="F402" s="3275" t="s">
        <v>10861</v>
      </c>
      <c r="G402" s="3275"/>
      <c r="I402" s="3275" t="s">
        <v>2299</v>
      </c>
      <c r="J402" s="3275"/>
      <c r="K402" s="3275"/>
      <c r="M402" s="3278">
        <v>3630</v>
      </c>
      <c r="O402" s="3278">
        <v>0</v>
      </c>
      <c r="P402" s="3278"/>
      <c r="R402" s="3278">
        <v>0</v>
      </c>
    </row>
    <row r="403" ht="13.35" customHeight="1" spans="3:18">
      <c r="C403" s="3276" t="s">
        <v>10862</v>
      </c>
      <c r="D403" s="3276"/>
      <c r="E403" s="3276"/>
      <c r="F403" s="3276"/>
      <c r="R403" s="3279">
        <v>0</v>
      </c>
    </row>
    <row r="404" ht="13.35" customHeight="1" spans="2:7">
      <c r="B404" s="3273" t="s">
        <v>10863</v>
      </c>
      <c r="C404" s="3273"/>
      <c r="D404" s="3273"/>
      <c r="E404" s="3273"/>
      <c r="F404" s="3273"/>
      <c r="G404" s="3273"/>
    </row>
    <row r="405" ht="12.75" customHeight="1" spans="2:18">
      <c r="B405" s="3274">
        <v>1</v>
      </c>
      <c r="D405" s="3275" t="s">
        <v>10864</v>
      </c>
      <c r="F405" s="3275" t="s">
        <v>10865</v>
      </c>
      <c r="G405" s="3275"/>
      <c r="I405" s="3275" t="s">
        <v>2293</v>
      </c>
      <c r="J405" s="3275"/>
      <c r="K405" s="3275"/>
      <c r="M405" s="3278">
        <v>0</v>
      </c>
      <c r="O405" s="3278">
        <v>0</v>
      </c>
      <c r="P405" s="3278"/>
      <c r="R405" s="3278">
        <v>0</v>
      </c>
    </row>
    <row r="406" ht="12.75" customHeight="1" spans="2:18">
      <c r="B406" s="3274">
        <v>2</v>
      </c>
      <c r="D406" s="3275" t="s">
        <v>10866</v>
      </c>
      <c r="F406" s="3275" t="s">
        <v>10867</v>
      </c>
      <c r="G406" s="3275"/>
      <c r="I406" s="3275" t="s">
        <v>2293</v>
      </c>
      <c r="J406" s="3275"/>
      <c r="K406" s="3275"/>
      <c r="M406" s="3278">
        <v>0</v>
      </c>
      <c r="O406" s="3278">
        <v>0</v>
      </c>
      <c r="P406" s="3278"/>
      <c r="R406" s="3278">
        <v>0</v>
      </c>
    </row>
    <row r="407" ht="12.75" customHeight="1" spans="2:18">
      <c r="B407" s="3274">
        <v>3</v>
      </c>
      <c r="D407" s="3275" t="s">
        <v>10868</v>
      </c>
      <c r="F407" s="3275" t="s">
        <v>10869</v>
      </c>
      <c r="G407" s="3275"/>
      <c r="I407" s="3275" t="s">
        <v>2299</v>
      </c>
      <c r="J407" s="3275"/>
      <c r="K407" s="3275"/>
      <c r="M407" s="3278">
        <v>0</v>
      </c>
      <c r="O407" s="3278">
        <v>0</v>
      </c>
      <c r="P407" s="3278"/>
      <c r="R407" s="3278">
        <v>0</v>
      </c>
    </row>
    <row r="408" ht="12.75" customHeight="1" spans="2:18">
      <c r="B408" s="3274">
        <v>4</v>
      </c>
      <c r="D408" s="3275" t="s">
        <v>10870</v>
      </c>
      <c r="F408" s="3275" t="s">
        <v>10871</v>
      </c>
      <c r="G408" s="3275"/>
      <c r="I408" s="3275" t="s">
        <v>2299</v>
      </c>
      <c r="J408" s="3275"/>
      <c r="K408" s="3275"/>
      <c r="M408" s="3278">
        <v>1.1</v>
      </c>
      <c r="O408" s="3278">
        <v>0</v>
      </c>
      <c r="P408" s="3278"/>
      <c r="R408" s="3278">
        <v>0</v>
      </c>
    </row>
    <row r="409" ht="12.75" customHeight="1" spans="2:18">
      <c r="B409" s="3274">
        <v>5</v>
      </c>
      <c r="D409" s="3275" t="s">
        <v>10872</v>
      </c>
      <c r="F409" s="3275" t="s">
        <v>10873</v>
      </c>
      <c r="G409" s="3275"/>
      <c r="I409" s="3275" t="s">
        <v>2299</v>
      </c>
      <c r="J409" s="3275"/>
      <c r="K409" s="3275"/>
      <c r="M409" s="3278">
        <v>0</v>
      </c>
      <c r="O409" s="3278">
        <v>0</v>
      </c>
      <c r="P409" s="3278"/>
      <c r="R409" s="3278">
        <v>0</v>
      </c>
    </row>
    <row r="410" ht="12.75" customHeight="1" spans="2:18">
      <c r="B410" s="3274">
        <v>6</v>
      </c>
      <c r="D410" s="3275" t="s">
        <v>10874</v>
      </c>
      <c r="F410" s="3275" t="s">
        <v>10875</v>
      </c>
      <c r="G410" s="3275"/>
      <c r="I410" s="3275" t="s">
        <v>2314</v>
      </c>
      <c r="J410" s="3275"/>
      <c r="K410" s="3275"/>
      <c r="M410" s="3278">
        <v>0</v>
      </c>
      <c r="O410" s="3278">
        <v>0</v>
      </c>
      <c r="P410" s="3278"/>
      <c r="R410" s="3278">
        <v>0</v>
      </c>
    </row>
    <row r="411" ht="12.75" customHeight="1" spans="2:18">
      <c r="B411" s="3274">
        <v>7</v>
      </c>
      <c r="D411" s="3275" t="s">
        <v>10876</v>
      </c>
      <c r="F411" s="3275" t="s">
        <v>10877</v>
      </c>
      <c r="G411" s="3275"/>
      <c r="I411" s="3275" t="s">
        <v>2293</v>
      </c>
      <c r="J411" s="3275"/>
      <c r="K411" s="3275"/>
      <c r="M411" s="3278">
        <v>1.1</v>
      </c>
      <c r="O411" s="3278">
        <v>0</v>
      </c>
      <c r="P411" s="3278"/>
      <c r="R411" s="3278">
        <v>0</v>
      </c>
    </row>
    <row r="412" ht="12.75" customHeight="1" spans="2:18">
      <c r="B412" s="3274">
        <v>8</v>
      </c>
      <c r="D412" s="3275" t="s">
        <v>10878</v>
      </c>
      <c r="F412" s="3275" t="s">
        <v>10879</v>
      </c>
      <c r="G412" s="3275"/>
      <c r="I412" s="3275" t="s">
        <v>2293</v>
      </c>
      <c r="J412" s="3275"/>
      <c r="K412" s="3275"/>
      <c r="M412" s="3278">
        <v>1.1</v>
      </c>
      <c r="O412" s="3278">
        <v>0</v>
      </c>
      <c r="P412" s="3278"/>
      <c r="R412" s="3278">
        <v>0</v>
      </c>
    </row>
    <row r="413" ht="12.75" customHeight="1" spans="2:18">
      <c r="B413" s="3274">
        <v>9</v>
      </c>
      <c r="D413" s="3275" t="s">
        <v>10880</v>
      </c>
      <c r="F413" s="3275" t="s">
        <v>10881</v>
      </c>
      <c r="G413" s="3275"/>
      <c r="I413" s="3275" t="s">
        <v>2293</v>
      </c>
      <c r="J413" s="3275"/>
      <c r="K413" s="3275"/>
      <c r="M413" s="3278">
        <v>0</v>
      </c>
      <c r="O413" s="3278">
        <v>0</v>
      </c>
      <c r="P413" s="3278"/>
      <c r="R413" s="3278">
        <v>0</v>
      </c>
    </row>
    <row r="414" ht="12.75" customHeight="1" spans="2:18">
      <c r="B414" s="3274">
        <v>10</v>
      </c>
      <c r="D414" s="3275" t="s">
        <v>10882</v>
      </c>
      <c r="F414" s="3275" t="s">
        <v>10883</v>
      </c>
      <c r="G414" s="3275"/>
      <c r="I414" s="3275" t="s">
        <v>2293</v>
      </c>
      <c r="J414" s="3275"/>
      <c r="K414" s="3275"/>
      <c r="M414" s="3278">
        <v>1</v>
      </c>
      <c r="O414" s="3278">
        <v>0</v>
      </c>
      <c r="P414" s="3278"/>
      <c r="R414" s="3278">
        <v>0</v>
      </c>
    </row>
    <row r="415" ht="12.75" customHeight="1" spans="2:18">
      <c r="B415" s="3274">
        <v>11</v>
      </c>
      <c r="D415" s="3275" t="s">
        <v>10884</v>
      </c>
      <c r="F415" s="3275" t="s">
        <v>10885</v>
      </c>
      <c r="G415" s="3275"/>
      <c r="I415" s="3275" t="s">
        <v>2293</v>
      </c>
      <c r="J415" s="3275"/>
      <c r="K415" s="3275"/>
      <c r="M415" s="3278">
        <v>1</v>
      </c>
      <c r="O415" s="3278">
        <v>0</v>
      </c>
      <c r="P415" s="3278"/>
      <c r="R415" s="3278">
        <v>0</v>
      </c>
    </row>
    <row r="416" ht="12.75" customHeight="1" spans="2:18">
      <c r="B416" s="3274">
        <v>12</v>
      </c>
      <c r="D416" s="3275" t="s">
        <v>10886</v>
      </c>
      <c r="F416" s="3275" t="s">
        <v>10887</v>
      </c>
      <c r="G416" s="3275"/>
      <c r="I416" s="3275" t="s">
        <v>2293</v>
      </c>
      <c r="J416" s="3275"/>
      <c r="K416" s="3275"/>
      <c r="M416" s="3278">
        <v>1</v>
      </c>
      <c r="O416" s="3278">
        <v>0</v>
      </c>
      <c r="P416" s="3278"/>
      <c r="R416" s="3278">
        <v>0</v>
      </c>
    </row>
    <row r="417" ht="12.75" customHeight="1" spans="2:18">
      <c r="B417" s="3274">
        <v>13</v>
      </c>
      <c r="D417" s="3275" t="s">
        <v>10888</v>
      </c>
      <c r="F417" s="3275" t="s">
        <v>10889</v>
      </c>
      <c r="G417" s="3275"/>
      <c r="I417" s="3275" t="s">
        <v>2367</v>
      </c>
      <c r="J417" s="3275"/>
      <c r="K417" s="3275"/>
      <c r="M417" s="3278">
        <v>1.1</v>
      </c>
      <c r="O417" s="3278">
        <v>0</v>
      </c>
      <c r="P417" s="3278"/>
      <c r="R417" s="3278">
        <v>0</v>
      </c>
    </row>
    <row r="418" ht="12.75" customHeight="1" spans="2:18">
      <c r="B418" s="3274">
        <v>14</v>
      </c>
      <c r="D418" s="3275" t="s">
        <v>10890</v>
      </c>
      <c r="F418" s="3275" t="s">
        <v>10891</v>
      </c>
      <c r="G418" s="3275"/>
      <c r="I418" s="3275" t="s">
        <v>2299</v>
      </c>
      <c r="J418" s="3275"/>
      <c r="K418" s="3275"/>
      <c r="M418" s="3278">
        <v>0</v>
      </c>
      <c r="O418" s="3278">
        <v>0</v>
      </c>
      <c r="P418" s="3278"/>
      <c r="R418" s="3278">
        <v>0</v>
      </c>
    </row>
    <row r="419" ht="12.75" customHeight="1" spans="2:18">
      <c r="B419" s="3274">
        <v>15</v>
      </c>
      <c r="D419" s="3275" t="s">
        <v>10892</v>
      </c>
      <c r="F419" s="3275" t="s">
        <v>10893</v>
      </c>
      <c r="G419" s="3275"/>
      <c r="I419" s="3275" t="s">
        <v>2314</v>
      </c>
      <c r="J419" s="3275"/>
      <c r="K419" s="3275"/>
      <c r="M419" s="3278">
        <v>0</v>
      </c>
      <c r="O419" s="3278">
        <v>0</v>
      </c>
      <c r="P419" s="3278"/>
      <c r="R419" s="3278">
        <v>0</v>
      </c>
    </row>
    <row r="420" ht="13.35" customHeight="1" spans="3:18">
      <c r="C420" s="3276" t="s">
        <v>10894</v>
      </c>
      <c r="D420" s="3276"/>
      <c r="E420" s="3276"/>
      <c r="F420" s="3276"/>
      <c r="R420" s="3279">
        <v>0</v>
      </c>
    </row>
    <row r="421" ht="13.35" customHeight="1" spans="2:7">
      <c r="B421" s="3273" t="s">
        <v>1331</v>
      </c>
      <c r="C421" s="3273"/>
      <c r="D421" s="3273"/>
      <c r="E421" s="3273"/>
      <c r="F421" s="3273"/>
      <c r="G421" s="3273"/>
    </row>
    <row r="422" ht="12.75" customHeight="1" spans="2:18">
      <c r="B422" s="3274">
        <v>1</v>
      </c>
      <c r="D422" s="3275" t="s">
        <v>10895</v>
      </c>
      <c r="F422" s="3275" t="s">
        <v>10896</v>
      </c>
      <c r="G422" s="3275"/>
      <c r="I422" s="3275" t="s">
        <v>2299</v>
      </c>
      <c r="J422" s="3275"/>
      <c r="K422" s="3275"/>
      <c r="M422" s="3278">
        <v>11000</v>
      </c>
      <c r="O422" s="3278">
        <v>0</v>
      </c>
      <c r="P422" s="3278"/>
      <c r="R422" s="3278">
        <v>0</v>
      </c>
    </row>
    <row r="423" ht="12.75" customHeight="1" spans="2:18">
      <c r="B423" s="3274">
        <v>2</v>
      </c>
      <c r="D423" s="3275" t="s">
        <v>10897</v>
      </c>
      <c r="F423" s="3275" t="s">
        <v>10898</v>
      </c>
      <c r="G423" s="3275"/>
      <c r="I423" s="3275" t="s">
        <v>2418</v>
      </c>
      <c r="J423" s="3275"/>
      <c r="K423" s="3275"/>
      <c r="M423" s="3278">
        <v>1870</v>
      </c>
      <c r="O423" s="3278">
        <v>0</v>
      </c>
      <c r="P423" s="3278"/>
      <c r="R423" s="3278">
        <v>0</v>
      </c>
    </row>
    <row r="424" ht="12.75" customHeight="1" spans="2:18">
      <c r="B424" s="3274">
        <v>3</v>
      </c>
      <c r="D424" s="3275" t="s">
        <v>10899</v>
      </c>
      <c r="F424" s="3275" t="s">
        <v>10900</v>
      </c>
      <c r="G424" s="3275"/>
      <c r="I424" s="3275" t="s">
        <v>2309</v>
      </c>
      <c r="J424" s="3275"/>
      <c r="K424" s="3275"/>
      <c r="M424" s="3278">
        <v>2530</v>
      </c>
      <c r="O424" s="3278">
        <v>0</v>
      </c>
      <c r="P424" s="3278"/>
      <c r="R424" s="3278">
        <v>0</v>
      </c>
    </row>
    <row r="425" ht="12.75" customHeight="1" spans="2:18">
      <c r="B425" s="3274">
        <v>4</v>
      </c>
      <c r="D425" s="3275" t="s">
        <v>10901</v>
      </c>
      <c r="F425" s="3275" t="s">
        <v>10902</v>
      </c>
      <c r="G425" s="3275"/>
      <c r="I425" s="3275" t="s">
        <v>2293</v>
      </c>
      <c r="J425" s="3275"/>
      <c r="K425" s="3275"/>
      <c r="M425" s="3278">
        <v>220000</v>
      </c>
      <c r="O425" s="3278">
        <v>1</v>
      </c>
      <c r="P425" s="3278"/>
      <c r="R425" s="3278">
        <v>220000</v>
      </c>
    </row>
    <row r="426" ht="12.75" customHeight="1" spans="2:18">
      <c r="B426" s="3274">
        <v>5</v>
      </c>
      <c r="D426" s="3275" t="s">
        <v>10903</v>
      </c>
      <c r="F426" s="3275" t="s">
        <v>10904</v>
      </c>
      <c r="G426" s="3275"/>
      <c r="I426" s="3275" t="s">
        <v>2457</v>
      </c>
      <c r="J426" s="3275"/>
      <c r="K426" s="3275"/>
      <c r="M426" s="3278">
        <v>12650</v>
      </c>
      <c r="O426" s="3278">
        <v>0</v>
      </c>
      <c r="P426" s="3278"/>
      <c r="R426" s="3278">
        <v>0</v>
      </c>
    </row>
    <row r="427" ht="13.35" customHeight="1" spans="3:18">
      <c r="C427" s="3276" t="s">
        <v>10905</v>
      </c>
      <c r="D427" s="3276"/>
      <c r="E427" s="3276"/>
      <c r="F427" s="3276"/>
      <c r="R427" s="3279">
        <v>220000</v>
      </c>
    </row>
    <row r="428" ht="13.35" customHeight="1" spans="2:7">
      <c r="B428" s="3273" t="s">
        <v>10906</v>
      </c>
      <c r="C428" s="3273"/>
      <c r="D428" s="3273"/>
      <c r="E428" s="3273"/>
      <c r="F428" s="3273"/>
      <c r="G428" s="3273"/>
    </row>
    <row r="429" ht="12.75" customHeight="1" spans="2:18">
      <c r="B429" s="3274">
        <v>1</v>
      </c>
      <c r="D429" s="3275" t="s">
        <v>10907</v>
      </c>
      <c r="F429" s="3275" t="s">
        <v>10908</v>
      </c>
      <c r="G429" s="3275"/>
      <c r="I429" s="3275" t="s">
        <v>10152</v>
      </c>
      <c r="J429" s="3275"/>
      <c r="K429" s="3275"/>
      <c r="M429" s="3278">
        <v>33495</v>
      </c>
      <c r="O429" s="3278">
        <v>0</v>
      </c>
      <c r="P429" s="3278"/>
      <c r="R429" s="3278">
        <v>0</v>
      </c>
    </row>
    <row r="430" ht="12.75" customHeight="1" spans="2:18">
      <c r="B430" s="3274">
        <v>2</v>
      </c>
      <c r="D430" s="3275" t="s">
        <v>10909</v>
      </c>
      <c r="F430" s="3275" t="s">
        <v>10910</v>
      </c>
      <c r="G430" s="3275"/>
      <c r="I430" s="3275" t="s">
        <v>2293</v>
      </c>
      <c r="J430" s="3275"/>
      <c r="K430" s="3275"/>
      <c r="M430" s="3278">
        <v>137500</v>
      </c>
      <c r="O430" s="3278">
        <v>0</v>
      </c>
      <c r="P430" s="3278"/>
      <c r="R430" s="3278">
        <v>0</v>
      </c>
    </row>
    <row r="431" ht="12.75" customHeight="1" spans="2:18">
      <c r="B431" s="3274">
        <v>3</v>
      </c>
      <c r="D431" s="3275" t="s">
        <v>10911</v>
      </c>
      <c r="F431" s="3275" t="s">
        <v>10912</v>
      </c>
      <c r="G431" s="3275"/>
      <c r="I431" s="3275" t="s">
        <v>2293</v>
      </c>
      <c r="J431" s="3275"/>
      <c r="K431" s="3275"/>
      <c r="M431" s="3278">
        <v>137500</v>
      </c>
      <c r="O431" s="3278">
        <v>3</v>
      </c>
      <c r="P431" s="3278"/>
      <c r="R431" s="3278">
        <v>412500</v>
      </c>
    </row>
    <row r="432" ht="12.75" customHeight="1" spans="2:18">
      <c r="B432" s="3274">
        <v>4</v>
      </c>
      <c r="D432" s="3275" t="s">
        <v>10913</v>
      </c>
      <c r="F432" s="3275" t="s">
        <v>10914</v>
      </c>
      <c r="G432" s="3275"/>
      <c r="I432" s="3275" t="s">
        <v>2299</v>
      </c>
      <c r="J432" s="3275"/>
      <c r="K432" s="3275"/>
      <c r="M432" s="3278">
        <v>2200</v>
      </c>
      <c r="O432" s="3278">
        <v>0</v>
      </c>
      <c r="P432" s="3278"/>
      <c r="R432" s="3278">
        <v>0</v>
      </c>
    </row>
    <row r="433" ht="12.75" customHeight="1" spans="2:18">
      <c r="B433" s="3274">
        <v>5</v>
      </c>
      <c r="D433" s="3275" t="s">
        <v>10915</v>
      </c>
      <c r="F433" s="3275" t="s">
        <v>10916</v>
      </c>
      <c r="G433" s="3275"/>
      <c r="I433" s="3275" t="s">
        <v>2388</v>
      </c>
      <c r="J433" s="3275"/>
      <c r="K433" s="3275"/>
      <c r="M433" s="3278">
        <v>550</v>
      </c>
      <c r="O433" s="3278">
        <v>25</v>
      </c>
      <c r="P433" s="3278"/>
      <c r="R433" s="3278">
        <v>13750</v>
      </c>
    </row>
    <row r="434" ht="12.75" customHeight="1" spans="2:18">
      <c r="B434" s="3274">
        <v>6</v>
      </c>
      <c r="D434" s="3275" t="s">
        <v>10917</v>
      </c>
      <c r="F434" s="3275" t="s">
        <v>10918</v>
      </c>
      <c r="G434" s="3275"/>
      <c r="I434" s="3275" t="s">
        <v>2299</v>
      </c>
      <c r="J434" s="3275"/>
      <c r="K434" s="3275"/>
      <c r="M434" s="3278">
        <v>7500</v>
      </c>
      <c r="O434" s="3278">
        <v>0</v>
      </c>
      <c r="P434" s="3278"/>
      <c r="R434" s="3278">
        <v>0</v>
      </c>
    </row>
    <row r="435" ht="12.75" customHeight="1" spans="2:18">
      <c r="B435" s="3274">
        <v>7</v>
      </c>
      <c r="D435" s="3275" t="s">
        <v>10919</v>
      </c>
      <c r="F435" s="3275" t="s">
        <v>10920</v>
      </c>
      <c r="G435" s="3275"/>
      <c r="I435" s="3275" t="s">
        <v>2293</v>
      </c>
      <c r="J435" s="3275"/>
      <c r="K435" s="3275"/>
      <c r="M435" s="3278">
        <v>412500</v>
      </c>
      <c r="O435" s="3278">
        <v>0</v>
      </c>
      <c r="P435" s="3278"/>
      <c r="R435" s="3278">
        <v>0</v>
      </c>
    </row>
    <row r="436" ht="12.75" customHeight="1" spans="2:18">
      <c r="B436" s="3274">
        <v>8</v>
      </c>
      <c r="D436" s="3275" t="s">
        <v>10921</v>
      </c>
      <c r="F436" s="3275" t="s">
        <v>10922</v>
      </c>
      <c r="G436" s="3275"/>
      <c r="I436" s="3275" t="s">
        <v>2321</v>
      </c>
      <c r="J436" s="3275"/>
      <c r="K436" s="3275"/>
      <c r="M436" s="3278">
        <v>13200</v>
      </c>
      <c r="O436" s="3278">
        <v>9</v>
      </c>
      <c r="P436" s="3278"/>
      <c r="R436" s="3278">
        <v>118800</v>
      </c>
    </row>
    <row r="437" ht="12.75" customHeight="1" spans="2:18">
      <c r="B437" s="3274">
        <v>9</v>
      </c>
      <c r="D437" s="3275" t="s">
        <v>10923</v>
      </c>
      <c r="F437" s="3275" t="s">
        <v>10924</v>
      </c>
      <c r="G437" s="3275"/>
      <c r="I437" s="3275" t="s">
        <v>2321</v>
      </c>
      <c r="J437" s="3275"/>
      <c r="K437" s="3275"/>
      <c r="M437" s="3278">
        <v>16000</v>
      </c>
      <c r="O437" s="3278">
        <v>0</v>
      </c>
      <c r="P437" s="3278"/>
      <c r="R437" s="3278">
        <v>0</v>
      </c>
    </row>
    <row r="438" ht="12.75" customHeight="1" spans="2:18">
      <c r="B438" s="3274">
        <v>10</v>
      </c>
      <c r="D438" s="3275" t="s">
        <v>10925</v>
      </c>
      <c r="F438" s="3275" t="s">
        <v>10926</v>
      </c>
      <c r="G438" s="3275"/>
      <c r="I438" s="3275" t="s">
        <v>2321</v>
      </c>
      <c r="J438" s="3275"/>
      <c r="K438" s="3275"/>
      <c r="M438" s="3278">
        <v>16000</v>
      </c>
      <c r="O438" s="3278">
        <v>0</v>
      </c>
      <c r="P438" s="3278"/>
      <c r="R438" s="3278">
        <v>0</v>
      </c>
    </row>
    <row r="439" ht="12.75" customHeight="1" spans="2:18">
      <c r="B439" s="3274">
        <v>11</v>
      </c>
      <c r="D439" s="3275" t="s">
        <v>10927</v>
      </c>
      <c r="F439" s="3275" t="s">
        <v>10928</v>
      </c>
      <c r="G439" s="3275"/>
      <c r="I439" s="3275" t="s">
        <v>2293</v>
      </c>
      <c r="J439" s="3275"/>
      <c r="K439" s="3275"/>
      <c r="M439" s="3278">
        <v>49000</v>
      </c>
      <c r="O439" s="3278">
        <v>0</v>
      </c>
      <c r="P439" s="3278"/>
      <c r="R439" s="3278">
        <v>0</v>
      </c>
    </row>
    <row r="440" ht="12.75" customHeight="1" spans="2:18">
      <c r="B440" s="3274">
        <v>12</v>
      </c>
      <c r="D440" s="3275" t="s">
        <v>10929</v>
      </c>
      <c r="F440" s="3275" t="s">
        <v>10930</v>
      </c>
      <c r="G440" s="3275"/>
      <c r="I440" s="3275" t="s">
        <v>2321</v>
      </c>
      <c r="J440" s="3275"/>
      <c r="K440" s="3275"/>
      <c r="M440" s="3278">
        <v>16000</v>
      </c>
      <c r="O440" s="3278">
        <v>0</v>
      </c>
      <c r="P440" s="3278"/>
      <c r="R440" s="3278">
        <v>0</v>
      </c>
    </row>
    <row r="441" ht="12.75" customHeight="1" spans="2:18">
      <c r="B441" s="3274">
        <v>13</v>
      </c>
      <c r="D441" s="3275" t="s">
        <v>10931</v>
      </c>
      <c r="F441" s="3275" t="s">
        <v>10932</v>
      </c>
      <c r="G441" s="3275"/>
      <c r="I441" s="3275" t="s">
        <v>2321</v>
      </c>
      <c r="J441" s="3275"/>
      <c r="K441" s="3275"/>
      <c r="M441" s="3278">
        <v>16000</v>
      </c>
      <c r="O441" s="3278">
        <v>1</v>
      </c>
      <c r="P441" s="3278"/>
      <c r="R441" s="3278">
        <v>16000</v>
      </c>
    </row>
    <row r="442" ht="12.75" customHeight="1" spans="2:18">
      <c r="B442" s="3274">
        <v>14</v>
      </c>
      <c r="D442" s="3275" t="s">
        <v>10933</v>
      </c>
      <c r="F442" s="3275" t="s">
        <v>10934</v>
      </c>
      <c r="G442" s="3275"/>
      <c r="I442" s="3275" t="s">
        <v>2299</v>
      </c>
      <c r="J442" s="3275"/>
      <c r="K442" s="3275"/>
      <c r="M442" s="3278">
        <v>632500</v>
      </c>
      <c r="O442" s="3278">
        <v>0</v>
      </c>
      <c r="P442" s="3278"/>
      <c r="R442" s="3278">
        <v>0</v>
      </c>
    </row>
    <row r="443" ht="12.75" customHeight="1" spans="2:18">
      <c r="B443" s="3274">
        <v>15</v>
      </c>
      <c r="D443" s="3275" t="s">
        <v>10935</v>
      </c>
      <c r="F443" s="3275" t="s">
        <v>10936</v>
      </c>
      <c r="G443" s="3275"/>
      <c r="I443" s="3275" t="s">
        <v>2299</v>
      </c>
      <c r="J443" s="3275"/>
      <c r="K443" s="3275"/>
      <c r="M443" s="3278">
        <v>4960.32</v>
      </c>
      <c r="O443" s="3278">
        <v>57</v>
      </c>
      <c r="P443" s="3278"/>
      <c r="R443" s="3278">
        <v>282738.24</v>
      </c>
    </row>
    <row r="444" ht="12.75" customHeight="1" spans="2:18">
      <c r="B444" s="3274">
        <v>16</v>
      </c>
      <c r="D444" s="3275" t="s">
        <v>10937</v>
      </c>
      <c r="F444" s="3275" t="s">
        <v>10938</v>
      </c>
      <c r="G444" s="3275"/>
      <c r="I444" s="3275" t="s">
        <v>2299</v>
      </c>
      <c r="J444" s="3275"/>
      <c r="K444" s="3275"/>
      <c r="M444" s="3278">
        <v>72000</v>
      </c>
      <c r="O444" s="3278">
        <v>8</v>
      </c>
      <c r="P444" s="3278"/>
      <c r="R444" s="3278">
        <v>576000</v>
      </c>
    </row>
    <row r="445" ht="12.75" customHeight="1" spans="2:18">
      <c r="B445" s="3274">
        <v>17</v>
      </c>
      <c r="D445" s="3275" t="s">
        <v>10939</v>
      </c>
      <c r="F445" s="3275" t="s">
        <v>10940</v>
      </c>
      <c r="G445" s="3275"/>
      <c r="I445" s="3275" t="s">
        <v>2299</v>
      </c>
      <c r="J445" s="3275"/>
      <c r="K445" s="3275"/>
      <c r="M445" s="3278">
        <v>3500</v>
      </c>
      <c r="O445" s="3278">
        <v>0</v>
      </c>
      <c r="P445" s="3278"/>
      <c r="R445" s="3278">
        <v>0</v>
      </c>
    </row>
    <row r="446" ht="12.75" customHeight="1" spans="2:18">
      <c r="B446" s="3274">
        <v>18</v>
      </c>
      <c r="D446" s="3275" t="s">
        <v>10941</v>
      </c>
      <c r="F446" s="3275" t="s">
        <v>10942</v>
      </c>
      <c r="G446" s="3275"/>
      <c r="I446" s="3275" t="s">
        <v>2299</v>
      </c>
      <c r="J446" s="3275"/>
      <c r="K446" s="3275"/>
      <c r="M446" s="3278">
        <v>2200</v>
      </c>
      <c r="O446" s="3278">
        <v>0</v>
      </c>
      <c r="P446" s="3278"/>
      <c r="R446" s="3278">
        <v>0</v>
      </c>
    </row>
    <row r="447" ht="12.75" customHeight="1" spans="2:18">
      <c r="B447" s="3274">
        <v>19</v>
      </c>
      <c r="D447" s="3275" t="s">
        <v>10943</v>
      </c>
      <c r="F447" s="3275" t="s">
        <v>10944</v>
      </c>
      <c r="G447" s="3275"/>
      <c r="I447" s="3275" t="s">
        <v>2321</v>
      </c>
      <c r="J447" s="3275"/>
      <c r="K447" s="3275"/>
      <c r="M447" s="3278">
        <v>121000</v>
      </c>
      <c r="O447" s="3278">
        <v>3</v>
      </c>
      <c r="P447" s="3278"/>
      <c r="R447" s="3278">
        <v>363000</v>
      </c>
    </row>
    <row r="448" ht="12.75" customHeight="1" spans="2:18">
      <c r="B448" s="3274">
        <v>20</v>
      </c>
      <c r="D448" s="3275" t="s">
        <v>10945</v>
      </c>
      <c r="F448" s="3275" t="s">
        <v>10946</v>
      </c>
      <c r="G448" s="3275"/>
      <c r="I448" s="3275" t="s">
        <v>2299</v>
      </c>
      <c r="J448" s="3275"/>
      <c r="K448" s="3275"/>
      <c r="M448" s="3278">
        <v>6500</v>
      </c>
      <c r="O448" s="3278">
        <v>0</v>
      </c>
      <c r="P448" s="3278"/>
      <c r="R448" s="3278">
        <v>0</v>
      </c>
    </row>
    <row r="449" ht="12.75" customHeight="1" spans="2:18">
      <c r="B449" s="3274">
        <v>21</v>
      </c>
      <c r="D449" s="3275" t="s">
        <v>10947</v>
      </c>
      <c r="F449" s="3275" t="s">
        <v>10948</v>
      </c>
      <c r="G449" s="3275"/>
      <c r="I449" s="3275" t="s">
        <v>2388</v>
      </c>
      <c r="J449" s="3275"/>
      <c r="K449" s="3275"/>
      <c r="M449" s="3278">
        <v>3500</v>
      </c>
      <c r="O449" s="3278">
        <v>0</v>
      </c>
      <c r="P449" s="3278"/>
      <c r="R449" s="3278">
        <v>0</v>
      </c>
    </row>
    <row r="450" ht="12.75" customHeight="1" spans="2:18">
      <c r="B450" s="3274">
        <v>22</v>
      </c>
      <c r="D450" s="3275" t="s">
        <v>10949</v>
      </c>
      <c r="F450" s="3275" t="s">
        <v>10950</v>
      </c>
      <c r="G450" s="3275"/>
      <c r="I450" s="3275" t="s">
        <v>2418</v>
      </c>
      <c r="J450" s="3275"/>
      <c r="K450" s="3275"/>
      <c r="M450" s="3278">
        <v>24750</v>
      </c>
      <c r="O450" s="3278">
        <v>130</v>
      </c>
      <c r="P450" s="3278"/>
      <c r="R450" s="3278">
        <v>3217500</v>
      </c>
    </row>
    <row r="451" ht="12.75" customHeight="1" spans="2:18">
      <c r="B451" s="3274">
        <v>23</v>
      </c>
      <c r="D451" s="3275" t="s">
        <v>10951</v>
      </c>
      <c r="F451" s="3275" t="s">
        <v>10952</v>
      </c>
      <c r="G451" s="3275"/>
      <c r="I451" s="3275" t="s">
        <v>2299</v>
      </c>
      <c r="J451" s="3275"/>
      <c r="K451" s="3275"/>
      <c r="M451" s="3278">
        <v>126500</v>
      </c>
      <c r="O451" s="3278">
        <v>0</v>
      </c>
      <c r="P451" s="3278"/>
      <c r="R451" s="3278">
        <v>0</v>
      </c>
    </row>
    <row r="452" ht="12.75" customHeight="1" spans="2:18">
      <c r="B452" s="3274">
        <v>24</v>
      </c>
      <c r="D452" s="3275" t="s">
        <v>10953</v>
      </c>
      <c r="F452" s="3275" t="s">
        <v>10954</v>
      </c>
      <c r="G452" s="3275"/>
      <c r="I452" s="3275" t="s">
        <v>2299</v>
      </c>
      <c r="J452" s="3275"/>
      <c r="K452" s="3275"/>
      <c r="M452" s="3278">
        <v>137500</v>
      </c>
      <c r="O452" s="3278">
        <v>0</v>
      </c>
      <c r="P452" s="3278"/>
      <c r="R452" s="3278">
        <v>0</v>
      </c>
    </row>
    <row r="453" ht="12.75" customHeight="1" spans="2:18">
      <c r="B453" s="3274">
        <v>25</v>
      </c>
      <c r="D453" s="3275" t="s">
        <v>10955</v>
      </c>
      <c r="F453" s="3275" t="s">
        <v>10956</v>
      </c>
      <c r="G453" s="3275"/>
      <c r="I453" s="3275" t="s">
        <v>2299</v>
      </c>
      <c r="J453" s="3275"/>
      <c r="K453" s="3275"/>
      <c r="M453" s="3278">
        <v>3850</v>
      </c>
      <c r="O453" s="3278">
        <v>6</v>
      </c>
      <c r="P453" s="3278"/>
      <c r="R453" s="3278">
        <v>23100</v>
      </c>
    </row>
    <row r="454" ht="12.75" customHeight="1" spans="2:18">
      <c r="B454" s="3274">
        <v>26</v>
      </c>
      <c r="D454" s="3275" t="s">
        <v>10957</v>
      </c>
      <c r="F454" s="3275" t="s">
        <v>10958</v>
      </c>
      <c r="G454" s="3275"/>
      <c r="I454" s="3275" t="s">
        <v>2457</v>
      </c>
      <c r="J454" s="3275"/>
      <c r="K454" s="3275"/>
      <c r="M454" s="3278">
        <v>8800</v>
      </c>
      <c r="O454" s="3278">
        <v>4</v>
      </c>
      <c r="P454" s="3278"/>
      <c r="R454" s="3278">
        <v>35200</v>
      </c>
    </row>
    <row r="455" ht="12.75" customHeight="1" spans="2:18">
      <c r="B455" s="3274">
        <v>27</v>
      </c>
      <c r="D455" s="3275" t="s">
        <v>10959</v>
      </c>
      <c r="F455" s="3275" t="s">
        <v>10960</v>
      </c>
      <c r="G455" s="3275"/>
      <c r="I455" s="3275" t="s">
        <v>2457</v>
      </c>
      <c r="J455" s="3275"/>
      <c r="K455" s="3275"/>
      <c r="M455" s="3278">
        <v>11000</v>
      </c>
      <c r="O455" s="3278">
        <v>4</v>
      </c>
      <c r="P455" s="3278"/>
      <c r="R455" s="3278">
        <v>44000</v>
      </c>
    </row>
    <row r="456" ht="12.75" customHeight="1" spans="2:18">
      <c r="B456" s="3274">
        <v>28</v>
      </c>
      <c r="D456" s="3275" t="s">
        <v>10961</v>
      </c>
      <c r="F456" s="3275" t="s">
        <v>10962</v>
      </c>
      <c r="G456" s="3275"/>
      <c r="I456" s="3275" t="s">
        <v>2299</v>
      </c>
      <c r="J456" s="3275"/>
      <c r="K456" s="3275"/>
      <c r="M456" s="3278">
        <v>6500</v>
      </c>
      <c r="O456" s="3278">
        <v>0</v>
      </c>
      <c r="P456" s="3278"/>
      <c r="R456" s="3278">
        <v>0</v>
      </c>
    </row>
    <row r="457" ht="12.75" customHeight="1" spans="2:18">
      <c r="B457" s="3274">
        <v>29</v>
      </c>
      <c r="D457" s="3275" t="s">
        <v>10963</v>
      </c>
      <c r="F457" s="3275" t="s">
        <v>10964</v>
      </c>
      <c r="G457" s="3275"/>
      <c r="I457" s="3275" t="s">
        <v>2299</v>
      </c>
      <c r="J457" s="3275"/>
      <c r="K457" s="3275"/>
      <c r="M457" s="3278">
        <v>6600</v>
      </c>
      <c r="O457" s="3278">
        <v>8</v>
      </c>
      <c r="P457" s="3278"/>
      <c r="R457" s="3278">
        <v>52800</v>
      </c>
    </row>
    <row r="458" ht="12.75" customHeight="1" spans="2:18">
      <c r="B458" s="3274">
        <v>30</v>
      </c>
      <c r="D458" s="3275" t="s">
        <v>10965</v>
      </c>
      <c r="F458" s="3275" t="s">
        <v>10966</v>
      </c>
      <c r="G458" s="3275"/>
      <c r="I458" s="3275" t="s">
        <v>2299</v>
      </c>
      <c r="J458" s="3275"/>
      <c r="K458" s="3275"/>
      <c r="M458" s="3278">
        <v>12000</v>
      </c>
      <c r="O458" s="3278">
        <v>0</v>
      </c>
      <c r="P458" s="3278"/>
      <c r="R458" s="3278">
        <v>0</v>
      </c>
    </row>
    <row r="459" ht="12.75" customHeight="1" spans="2:18">
      <c r="B459" s="3274">
        <v>31</v>
      </c>
      <c r="D459" s="3275" t="s">
        <v>10967</v>
      </c>
      <c r="F459" s="3275" t="s">
        <v>10968</v>
      </c>
      <c r="G459" s="3275"/>
      <c r="I459" s="3275" t="s">
        <v>2299</v>
      </c>
      <c r="J459" s="3275"/>
      <c r="K459" s="3275"/>
      <c r="M459" s="3278">
        <v>5500</v>
      </c>
      <c r="O459" s="3278">
        <v>12</v>
      </c>
      <c r="P459" s="3278"/>
      <c r="R459" s="3278">
        <v>66000</v>
      </c>
    </row>
    <row r="460" ht="12.75" customHeight="1" spans="2:18">
      <c r="B460" s="3274">
        <v>32</v>
      </c>
      <c r="D460" s="3275" t="s">
        <v>10969</v>
      </c>
      <c r="F460" s="3275" t="s">
        <v>10970</v>
      </c>
      <c r="G460" s="3275"/>
      <c r="I460" s="3275" t="s">
        <v>2418</v>
      </c>
      <c r="J460" s="3275"/>
      <c r="K460" s="3275"/>
      <c r="M460" s="3278">
        <v>5000</v>
      </c>
      <c r="O460" s="3278">
        <v>140</v>
      </c>
      <c r="P460" s="3278"/>
      <c r="R460" s="3278">
        <v>700000</v>
      </c>
    </row>
    <row r="461" ht="12.75" customHeight="1" spans="2:18">
      <c r="B461" s="3274">
        <v>33</v>
      </c>
      <c r="D461" s="3275" t="s">
        <v>10103</v>
      </c>
      <c r="F461" s="3275" t="s">
        <v>10971</v>
      </c>
      <c r="G461" s="3275"/>
      <c r="I461" s="3275" t="s">
        <v>5960</v>
      </c>
      <c r="J461" s="3275"/>
      <c r="K461" s="3275"/>
      <c r="M461" s="3278">
        <v>4950</v>
      </c>
      <c r="O461" s="3278">
        <v>1</v>
      </c>
      <c r="P461" s="3278"/>
      <c r="R461" s="3278">
        <v>4950</v>
      </c>
    </row>
    <row r="462" ht="12.75" customHeight="1" spans="2:18">
      <c r="B462" s="3274">
        <v>34</v>
      </c>
      <c r="D462" s="3275" t="s">
        <v>10972</v>
      </c>
      <c r="F462" s="3275" t="s">
        <v>10973</v>
      </c>
      <c r="G462" s="3275"/>
      <c r="I462" s="3275" t="s">
        <v>2299</v>
      </c>
      <c r="J462" s="3275"/>
      <c r="K462" s="3275"/>
      <c r="M462" s="3278">
        <v>4500</v>
      </c>
      <c r="O462" s="3278">
        <v>17</v>
      </c>
      <c r="P462" s="3278"/>
      <c r="R462" s="3278">
        <v>76500</v>
      </c>
    </row>
    <row r="463" ht="12.75" customHeight="1" spans="2:18">
      <c r="B463" s="3274">
        <v>35</v>
      </c>
      <c r="D463" s="3275" t="s">
        <v>10104</v>
      </c>
      <c r="F463" s="3275" t="s">
        <v>10974</v>
      </c>
      <c r="G463" s="3275"/>
      <c r="I463" s="3275" t="s">
        <v>2388</v>
      </c>
      <c r="J463" s="3275"/>
      <c r="K463" s="3275"/>
      <c r="M463" s="3278">
        <v>1078</v>
      </c>
      <c r="O463" s="3278">
        <v>5</v>
      </c>
      <c r="P463" s="3278"/>
      <c r="R463" s="3278">
        <v>5390</v>
      </c>
    </row>
    <row r="464" ht="12.75" customHeight="1" spans="2:18">
      <c r="B464" s="3274">
        <v>36</v>
      </c>
      <c r="D464" s="3275" t="s">
        <v>10975</v>
      </c>
      <c r="F464" s="3275" t="s">
        <v>10976</v>
      </c>
      <c r="G464" s="3275"/>
      <c r="I464" s="3275" t="s">
        <v>2457</v>
      </c>
      <c r="J464" s="3275"/>
      <c r="K464" s="3275"/>
      <c r="M464" s="3278">
        <v>10175</v>
      </c>
      <c r="O464" s="3278">
        <v>22</v>
      </c>
      <c r="P464" s="3278"/>
      <c r="R464" s="3278">
        <v>223850</v>
      </c>
    </row>
    <row r="465" ht="12.75" customHeight="1" spans="2:18">
      <c r="B465" s="3274">
        <v>37</v>
      </c>
      <c r="D465" s="3275" t="s">
        <v>10977</v>
      </c>
      <c r="F465" s="3275" t="s">
        <v>10978</v>
      </c>
      <c r="G465" s="3275"/>
      <c r="I465" s="3275" t="s">
        <v>2457</v>
      </c>
      <c r="J465" s="3275"/>
      <c r="K465" s="3275"/>
      <c r="M465" s="3278">
        <v>10450</v>
      </c>
      <c r="O465" s="3278">
        <v>10</v>
      </c>
      <c r="P465" s="3278"/>
      <c r="R465" s="3278">
        <v>104500</v>
      </c>
    </row>
    <row r="466" ht="12.75" customHeight="1" spans="2:18">
      <c r="B466" s="3274">
        <v>38</v>
      </c>
      <c r="D466" s="3275" t="s">
        <v>10979</v>
      </c>
      <c r="F466" s="3275" t="s">
        <v>10980</v>
      </c>
      <c r="G466" s="3275"/>
      <c r="I466" s="3275" t="s">
        <v>2299</v>
      </c>
      <c r="J466" s="3275"/>
      <c r="K466" s="3275"/>
      <c r="M466" s="3278">
        <v>165000</v>
      </c>
      <c r="O466" s="3278">
        <v>1</v>
      </c>
      <c r="P466" s="3278"/>
      <c r="R466" s="3278">
        <v>165000</v>
      </c>
    </row>
    <row r="467" ht="12.75" customHeight="1" spans="2:18">
      <c r="B467" s="3274">
        <v>39</v>
      </c>
      <c r="D467" s="3275" t="s">
        <v>10981</v>
      </c>
      <c r="F467" s="3275" t="s">
        <v>10982</v>
      </c>
      <c r="G467" s="3275"/>
      <c r="I467" s="3275" t="s">
        <v>2299</v>
      </c>
      <c r="J467" s="3275"/>
      <c r="K467" s="3275"/>
      <c r="M467" s="3278">
        <v>42500</v>
      </c>
      <c r="O467" s="3278">
        <v>16</v>
      </c>
      <c r="P467" s="3278"/>
      <c r="R467" s="3278">
        <v>680000</v>
      </c>
    </row>
    <row r="468" ht="12.75" customHeight="1" spans="2:18">
      <c r="B468" s="3274">
        <v>40</v>
      </c>
      <c r="D468" s="3275" t="s">
        <v>10983</v>
      </c>
      <c r="F468" s="3275" t="s">
        <v>10984</v>
      </c>
      <c r="G468" s="3275"/>
      <c r="I468" s="3275" t="s">
        <v>2367</v>
      </c>
      <c r="J468" s="3275"/>
      <c r="K468" s="3275"/>
      <c r="M468" s="3278">
        <v>36300</v>
      </c>
      <c r="O468" s="3278">
        <v>0</v>
      </c>
      <c r="P468" s="3278"/>
      <c r="R468" s="3278">
        <v>0</v>
      </c>
    </row>
    <row r="469" ht="12.75" customHeight="1" spans="2:18">
      <c r="B469" s="3274">
        <v>41</v>
      </c>
      <c r="D469" s="3275" t="s">
        <v>10985</v>
      </c>
      <c r="F469" s="3275" t="s">
        <v>10986</v>
      </c>
      <c r="G469" s="3275"/>
      <c r="I469" s="3275" t="s">
        <v>2342</v>
      </c>
      <c r="J469" s="3275"/>
      <c r="K469" s="3275"/>
      <c r="M469" s="3278">
        <v>11000</v>
      </c>
      <c r="O469" s="3278">
        <v>0</v>
      </c>
      <c r="P469" s="3278"/>
      <c r="R469" s="3278">
        <v>0</v>
      </c>
    </row>
    <row r="470" ht="12.75" customHeight="1" spans="2:18">
      <c r="B470" s="3274">
        <v>42</v>
      </c>
      <c r="D470" s="3275" t="s">
        <v>10987</v>
      </c>
      <c r="F470" s="3275" t="s">
        <v>10988</v>
      </c>
      <c r="G470" s="3275"/>
      <c r="I470" s="3275" t="s">
        <v>2299</v>
      </c>
      <c r="J470" s="3275"/>
      <c r="K470" s="3275"/>
      <c r="M470" s="3278">
        <v>12650</v>
      </c>
      <c r="O470" s="3278">
        <v>2</v>
      </c>
      <c r="P470" s="3278"/>
      <c r="R470" s="3278">
        <v>25300</v>
      </c>
    </row>
    <row r="471" ht="12.75" customHeight="1" spans="2:18">
      <c r="B471" s="3274">
        <v>43</v>
      </c>
      <c r="D471" s="3275" t="s">
        <v>10989</v>
      </c>
      <c r="F471" s="3275" t="s">
        <v>10990</v>
      </c>
      <c r="G471" s="3275"/>
      <c r="I471" s="3275" t="s">
        <v>2299</v>
      </c>
      <c r="J471" s="3275"/>
      <c r="K471" s="3275"/>
      <c r="M471" s="3278">
        <v>7000</v>
      </c>
      <c r="O471" s="3278">
        <v>3</v>
      </c>
      <c r="P471" s="3278"/>
      <c r="R471" s="3278">
        <v>21000</v>
      </c>
    </row>
    <row r="472" ht="12.75" customHeight="1" spans="2:18">
      <c r="B472" s="3274">
        <v>44</v>
      </c>
      <c r="D472" s="3275" t="s">
        <v>10991</v>
      </c>
      <c r="F472" s="3275" t="s">
        <v>10992</v>
      </c>
      <c r="G472" s="3275"/>
      <c r="I472" s="3275" t="s">
        <v>2299</v>
      </c>
      <c r="J472" s="3275"/>
      <c r="K472" s="3275"/>
      <c r="M472" s="3278">
        <v>6600</v>
      </c>
      <c r="O472" s="3278">
        <v>0</v>
      </c>
      <c r="P472" s="3278"/>
      <c r="R472" s="3278">
        <v>0</v>
      </c>
    </row>
    <row r="473" ht="12.75" customHeight="1" spans="2:18">
      <c r="B473" s="3274">
        <v>45</v>
      </c>
      <c r="D473" s="3275" t="s">
        <v>10993</v>
      </c>
      <c r="F473" s="3275" t="s">
        <v>10994</v>
      </c>
      <c r="G473" s="3275"/>
      <c r="I473" s="3275" t="s">
        <v>2418</v>
      </c>
      <c r="J473" s="3275"/>
      <c r="K473" s="3275"/>
      <c r="M473" s="3278">
        <v>35200</v>
      </c>
      <c r="O473" s="3278">
        <v>10</v>
      </c>
      <c r="P473" s="3278"/>
      <c r="R473" s="3278">
        <v>352000</v>
      </c>
    </row>
    <row r="474" ht="12.75" customHeight="1" spans="2:18">
      <c r="B474" s="3274">
        <v>46</v>
      </c>
      <c r="D474" s="3275" t="s">
        <v>10995</v>
      </c>
      <c r="F474" s="3275" t="s">
        <v>10996</v>
      </c>
      <c r="G474" s="3275"/>
      <c r="I474" s="3275" t="s">
        <v>2299</v>
      </c>
      <c r="J474" s="3275"/>
      <c r="K474" s="3275"/>
      <c r="M474" s="3278">
        <v>14080</v>
      </c>
      <c r="O474" s="3278">
        <v>2</v>
      </c>
      <c r="P474" s="3278"/>
      <c r="R474" s="3278">
        <v>28160</v>
      </c>
    </row>
    <row r="475" ht="12.75" customHeight="1" spans="2:18">
      <c r="B475" s="3274">
        <v>47</v>
      </c>
      <c r="D475" s="3275" t="s">
        <v>10997</v>
      </c>
      <c r="F475" s="3275" t="s">
        <v>10998</v>
      </c>
      <c r="G475" s="3275"/>
      <c r="I475" s="3275" t="s">
        <v>2299</v>
      </c>
      <c r="J475" s="3275"/>
      <c r="K475" s="3275"/>
      <c r="M475" s="3278">
        <v>550</v>
      </c>
      <c r="O475" s="3278">
        <v>0</v>
      </c>
      <c r="P475" s="3278"/>
      <c r="R475" s="3278">
        <v>0</v>
      </c>
    </row>
    <row r="476" ht="12.75" customHeight="1" spans="2:18">
      <c r="B476" s="3274">
        <v>48</v>
      </c>
      <c r="D476" s="3275" t="s">
        <v>10999</v>
      </c>
      <c r="F476" s="3275" t="s">
        <v>11000</v>
      </c>
      <c r="G476" s="3275"/>
      <c r="I476" s="3275" t="s">
        <v>2299</v>
      </c>
      <c r="J476" s="3275"/>
      <c r="K476" s="3275"/>
      <c r="M476" s="3278">
        <v>31900</v>
      </c>
      <c r="O476" s="3278">
        <v>4</v>
      </c>
      <c r="P476" s="3278"/>
      <c r="R476" s="3278">
        <v>127600</v>
      </c>
    </row>
    <row r="477" ht="12.75" customHeight="1" spans="2:18">
      <c r="B477" s="3274">
        <v>49</v>
      </c>
      <c r="D477" s="3275" t="s">
        <v>11001</v>
      </c>
      <c r="F477" s="3275" t="s">
        <v>11002</v>
      </c>
      <c r="G477" s="3275"/>
      <c r="I477" s="3275" t="s">
        <v>2299</v>
      </c>
      <c r="J477" s="3275"/>
      <c r="K477" s="3275"/>
      <c r="M477" s="3278">
        <v>9900</v>
      </c>
      <c r="O477" s="3278">
        <v>0</v>
      </c>
      <c r="P477" s="3278"/>
      <c r="R477" s="3278">
        <v>0</v>
      </c>
    </row>
    <row r="478" ht="12.75" customHeight="1" spans="2:18">
      <c r="B478" s="3274">
        <v>50</v>
      </c>
      <c r="D478" s="3275" t="s">
        <v>11003</v>
      </c>
      <c r="F478" s="3275" t="s">
        <v>11004</v>
      </c>
      <c r="G478" s="3275"/>
      <c r="I478" s="3275" t="s">
        <v>2321</v>
      </c>
      <c r="J478" s="3275"/>
      <c r="K478" s="3275"/>
      <c r="M478" s="3278">
        <v>121000</v>
      </c>
      <c r="O478" s="3278">
        <v>0</v>
      </c>
      <c r="P478" s="3278"/>
      <c r="R478" s="3278">
        <v>0</v>
      </c>
    </row>
    <row r="479" ht="12.75" customHeight="1" spans="2:18">
      <c r="B479" s="3274">
        <v>51</v>
      </c>
      <c r="D479" s="3275" t="s">
        <v>11005</v>
      </c>
      <c r="F479" s="3275" t="s">
        <v>11006</v>
      </c>
      <c r="G479" s="3275"/>
      <c r="I479" s="3275" t="s">
        <v>2321</v>
      </c>
      <c r="J479" s="3275"/>
      <c r="K479" s="3275"/>
      <c r="M479" s="3278">
        <v>121000</v>
      </c>
      <c r="O479" s="3278">
        <v>0</v>
      </c>
      <c r="P479" s="3278"/>
      <c r="R479" s="3278">
        <v>0</v>
      </c>
    </row>
    <row r="480" ht="12.75" customHeight="1" spans="2:18">
      <c r="B480" s="3274">
        <v>52</v>
      </c>
      <c r="D480" s="3275" t="s">
        <v>11007</v>
      </c>
      <c r="F480" s="3275" t="s">
        <v>11008</v>
      </c>
      <c r="G480" s="3275"/>
      <c r="I480" s="3275" t="s">
        <v>2299</v>
      </c>
      <c r="J480" s="3275"/>
      <c r="K480" s="3275"/>
      <c r="M480" s="3278">
        <v>1485</v>
      </c>
      <c r="O480" s="3278">
        <v>4</v>
      </c>
      <c r="P480" s="3278"/>
      <c r="R480" s="3278">
        <v>5940</v>
      </c>
    </row>
    <row r="481" ht="12.75" customHeight="1" spans="2:18">
      <c r="B481" s="3274">
        <v>53</v>
      </c>
      <c r="D481" s="3275" t="s">
        <v>11009</v>
      </c>
      <c r="F481" s="3275" t="s">
        <v>11010</v>
      </c>
      <c r="G481" s="3275"/>
      <c r="I481" s="3275" t="s">
        <v>2293</v>
      </c>
      <c r="J481" s="3275"/>
      <c r="K481" s="3275"/>
      <c r="M481" s="3278">
        <v>196900</v>
      </c>
      <c r="O481" s="3278">
        <v>0</v>
      </c>
      <c r="P481" s="3278"/>
      <c r="R481" s="3278">
        <v>0</v>
      </c>
    </row>
    <row r="482" ht="12.75" customHeight="1" spans="2:18">
      <c r="B482" s="3274">
        <v>54</v>
      </c>
      <c r="D482" s="3275" t="s">
        <v>11011</v>
      </c>
      <c r="F482" s="3275" t="s">
        <v>11012</v>
      </c>
      <c r="G482" s="3275"/>
      <c r="I482" s="3275" t="s">
        <v>2293</v>
      </c>
      <c r="J482" s="3275"/>
      <c r="K482" s="3275"/>
      <c r="M482" s="3278">
        <v>7150</v>
      </c>
      <c r="O482" s="3278">
        <v>0</v>
      </c>
      <c r="P482" s="3278"/>
      <c r="R482" s="3278">
        <v>0</v>
      </c>
    </row>
    <row r="483" ht="12.75" customHeight="1" spans="2:18">
      <c r="B483" s="3274">
        <v>55</v>
      </c>
      <c r="D483" s="3275" t="s">
        <v>11013</v>
      </c>
      <c r="F483" s="3275" t="s">
        <v>11014</v>
      </c>
      <c r="G483" s="3275"/>
      <c r="I483" s="3275" t="s">
        <v>2293</v>
      </c>
      <c r="J483" s="3275"/>
      <c r="K483" s="3275"/>
      <c r="M483" s="3278">
        <v>3500</v>
      </c>
      <c r="O483" s="3278">
        <v>0</v>
      </c>
      <c r="P483" s="3278"/>
      <c r="R483" s="3278">
        <v>0</v>
      </c>
    </row>
    <row r="484" ht="12.75" customHeight="1" spans="2:18">
      <c r="B484" s="3274">
        <v>56</v>
      </c>
      <c r="D484" s="3275" t="s">
        <v>11015</v>
      </c>
      <c r="F484" s="3275" t="s">
        <v>11016</v>
      </c>
      <c r="G484" s="3275"/>
      <c r="I484" s="3275" t="s">
        <v>2457</v>
      </c>
      <c r="J484" s="3275"/>
      <c r="K484" s="3275"/>
      <c r="M484" s="3278">
        <v>7500</v>
      </c>
      <c r="O484" s="3278">
        <v>9</v>
      </c>
      <c r="P484" s="3278"/>
      <c r="R484" s="3278">
        <v>67500</v>
      </c>
    </row>
    <row r="485" ht="12.75" customHeight="1" spans="2:18">
      <c r="B485" s="3274">
        <v>57</v>
      </c>
      <c r="D485" s="3275" t="s">
        <v>11017</v>
      </c>
      <c r="F485" s="3275" t="s">
        <v>11018</v>
      </c>
      <c r="G485" s="3275"/>
      <c r="I485" s="3275" t="s">
        <v>2293</v>
      </c>
      <c r="J485" s="3275"/>
      <c r="K485" s="3275"/>
      <c r="M485" s="3278">
        <v>1741.674</v>
      </c>
      <c r="O485" s="3278">
        <v>144</v>
      </c>
      <c r="P485" s="3278"/>
      <c r="R485" s="3278">
        <v>250801.056</v>
      </c>
    </row>
    <row r="486" ht="12.75" customHeight="1" spans="2:18">
      <c r="B486" s="3274">
        <v>58</v>
      </c>
      <c r="D486" s="3275" t="s">
        <v>11019</v>
      </c>
      <c r="F486" s="3275" t="s">
        <v>11020</v>
      </c>
      <c r="G486" s="3275"/>
      <c r="I486" s="3275" t="s">
        <v>2293</v>
      </c>
      <c r="J486" s="3275"/>
      <c r="K486" s="3275"/>
      <c r="M486" s="3278">
        <v>18150</v>
      </c>
      <c r="O486" s="3278">
        <v>0</v>
      </c>
      <c r="P486" s="3278"/>
      <c r="R486" s="3278">
        <v>0</v>
      </c>
    </row>
    <row r="487" ht="12.75" customHeight="1" spans="2:18">
      <c r="B487" s="3274">
        <v>59</v>
      </c>
      <c r="D487" s="3275" t="s">
        <v>11021</v>
      </c>
      <c r="F487" s="3275" t="s">
        <v>11022</v>
      </c>
      <c r="G487" s="3275"/>
      <c r="I487" s="3275" t="s">
        <v>2457</v>
      </c>
      <c r="J487" s="3275"/>
      <c r="K487" s="3275"/>
      <c r="M487" s="3278">
        <v>1347.5</v>
      </c>
      <c r="O487" s="3278">
        <v>35</v>
      </c>
      <c r="P487" s="3278"/>
      <c r="R487" s="3278">
        <v>47162.5</v>
      </c>
    </row>
    <row r="488" ht="12.75" customHeight="1" spans="2:18">
      <c r="B488" s="3274">
        <v>60</v>
      </c>
      <c r="D488" s="3275" t="s">
        <v>11023</v>
      </c>
      <c r="F488" s="3275" t="s">
        <v>11024</v>
      </c>
      <c r="G488" s="3275"/>
      <c r="I488" s="3275" t="s">
        <v>2293</v>
      </c>
      <c r="J488" s="3275"/>
      <c r="K488" s="3275"/>
      <c r="M488" s="3278">
        <v>24200</v>
      </c>
      <c r="O488" s="3278">
        <v>0</v>
      </c>
      <c r="P488" s="3278"/>
      <c r="R488" s="3278">
        <v>0</v>
      </c>
    </row>
    <row r="489" ht="12.75" customHeight="1" spans="2:18">
      <c r="B489" s="3274">
        <v>61</v>
      </c>
      <c r="D489" s="3275" t="s">
        <v>11025</v>
      </c>
      <c r="F489" s="3275" t="s">
        <v>11026</v>
      </c>
      <c r="G489" s="3275"/>
      <c r="I489" s="3275" t="s">
        <v>2299</v>
      </c>
      <c r="J489" s="3275"/>
      <c r="K489" s="3275"/>
      <c r="M489" s="3278">
        <v>33000</v>
      </c>
      <c r="O489" s="3278">
        <v>0</v>
      </c>
      <c r="P489" s="3278"/>
      <c r="R489" s="3278">
        <v>0</v>
      </c>
    </row>
    <row r="490" ht="12.75" customHeight="1" spans="2:18">
      <c r="B490" s="3274">
        <v>62</v>
      </c>
      <c r="D490" s="3275" t="s">
        <v>11027</v>
      </c>
      <c r="F490" s="3275" t="s">
        <v>11028</v>
      </c>
      <c r="G490" s="3275"/>
      <c r="I490" s="3275" t="s">
        <v>2457</v>
      </c>
      <c r="J490" s="3275"/>
      <c r="K490" s="3275"/>
      <c r="M490" s="3278">
        <v>74250</v>
      </c>
      <c r="O490" s="3278">
        <v>6</v>
      </c>
      <c r="P490" s="3278"/>
      <c r="R490" s="3278">
        <v>445500</v>
      </c>
    </row>
    <row r="491" ht="12.75" customHeight="1" spans="2:18">
      <c r="B491" s="3274">
        <v>63</v>
      </c>
      <c r="D491" s="3275" t="s">
        <v>11029</v>
      </c>
      <c r="F491" s="3275" t="s">
        <v>11030</v>
      </c>
      <c r="G491" s="3275"/>
      <c r="I491" s="3275" t="s">
        <v>2457</v>
      </c>
      <c r="J491" s="3275"/>
      <c r="K491" s="3275"/>
      <c r="M491" s="3278">
        <v>1800</v>
      </c>
      <c r="O491" s="3278">
        <v>0</v>
      </c>
      <c r="P491" s="3278"/>
      <c r="R491" s="3278">
        <v>0</v>
      </c>
    </row>
    <row r="492" ht="12.75" customHeight="1" spans="2:18">
      <c r="B492" s="3274">
        <v>64</v>
      </c>
      <c r="D492" s="3275" t="s">
        <v>11031</v>
      </c>
      <c r="F492" s="3275" t="s">
        <v>11032</v>
      </c>
      <c r="G492" s="3275"/>
      <c r="I492" s="3275" t="s">
        <v>2457</v>
      </c>
      <c r="J492" s="3275"/>
      <c r="K492" s="3275"/>
      <c r="M492" s="3278">
        <v>18000</v>
      </c>
      <c r="O492" s="3278">
        <v>0</v>
      </c>
      <c r="P492" s="3278"/>
      <c r="R492" s="3278">
        <v>0</v>
      </c>
    </row>
    <row r="493" ht="12.75" customHeight="1" spans="2:18">
      <c r="B493" s="3274">
        <v>65</v>
      </c>
      <c r="D493" s="3275" t="s">
        <v>11033</v>
      </c>
      <c r="F493" s="3275" t="s">
        <v>11034</v>
      </c>
      <c r="G493" s="3275"/>
      <c r="I493" s="3275" t="s">
        <v>2457</v>
      </c>
      <c r="J493" s="3275"/>
      <c r="K493" s="3275"/>
      <c r="M493" s="3278">
        <v>15000</v>
      </c>
      <c r="O493" s="3278">
        <v>4</v>
      </c>
      <c r="P493" s="3278"/>
      <c r="R493" s="3278">
        <v>60000</v>
      </c>
    </row>
    <row r="494" ht="12.75" customHeight="1" spans="2:18">
      <c r="B494" s="3274">
        <v>66</v>
      </c>
      <c r="D494" s="3275" t="s">
        <v>11035</v>
      </c>
      <c r="F494" s="3275" t="s">
        <v>11036</v>
      </c>
      <c r="G494" s="3275"/>
      <c r="I494" s="3275" t="s">
        <v>10149</v>
      </c>
      <c r="J494" s="3275"/>
      <c r="K494" s="3275"/>
      <c r="M494" s="3278">
        <v>17000</v>
      </c>
      <c r="O494" s="3278">
        <v>3</v>
      </c>
      <c r="P494" s="3278"/>
      <c r="R494" s="3278">
        <v>51000</v>
      </c>
    </row>
    <row r="495" ht="12.75" customHeight="1" spans="2:18">
      <c r="B495" s="3274">
        <v>67</v>
      </c>
      <c r="D495" s="3275" t="s">
        <v>11037</v>
      </c>
      <c r="F495" s="3275" t="s">
        <v>11038</v>
      </c>
      <c r="G495" s="3275"/>
      <c r="I495" s="3275" t="s">
        <v>2293</v>
      </c>
      <c r="J495" s="3275"/>
      <c r="K495" s="3275"/>
      <c r="M495" s="3278">
        <v>11000</v>
      </c>
      <c r="O495" s="3278">
        <v>21</v>
      </c>
      <c r="P495" s="3278"/>
      <c r="R495" s="3278">
        <v>231000</v>
      </c>
    </row>
    <row r="496" ht="12.75" customHeight="1" spans="2:18">
      <c r="B496" s="3274">
        <v>68</v>
      </c>
      <c r="D496" s="3275" t="s">
        <v>11039</v>
      </c>
      <c r="F496" s="3275" t="s">
        <v>11040</v>
      </c>
      <c r="G496" s="3275"/>
      <c r="I496" s="3275" t="s">
        <v>2299</v>
      </c>
      <c r="J496" s="3275"/>
      <c r="K496" s="3275"/>
      <c r="M496" s="3278">
        <v>12100</v>
      </c>
      <c r="O496" s="3278">
        <v>12</v>
      </c>
      <c r="P496" s="3278"/>
      <c r="R496" s="3278">
        <v>145200</v>
      </c>
    </row>
    <row r="497" ht="12.75" customHeight="1" spans="2:18">
      <c r="B497" s="3274">
        <v>69</v>
      </c>
      <c r="D497" s="3275" t="s">
        <v>11041</v>
      </c>
      <c r="F497" s="3275" t="s">
        <v>11042</v>
      </c>
      <c r="G497" s="3275"/>
      <c r="I497" s="3275" t="s">
        <v>2418</v>
      </c>
      <c r="J497" s="3275"/>
      <c r="K497" s="3275"/>
      <c r="M497" s="3278">
        <v>11000</v>
      </c>
      <c r="O497" s="3278">
        <v>0</v>
      </c>
      <c r="P497" s="3278"/>
      <c r="R497" s="3278">
        <v>0</v>
      </c>
    </row>
    <row r="498" ht="12.75" customHeight="1" spans="2:18">
      <c r="B498" s="3274">
        <v>70</v>
      </c>
      <c r="D498" s="3275" t="s">
        <v>11043</v>
      </c>
      <c r="F498" s="3275" t="s">
        <v>11044</v>
      </c>
      <c r="G498" s="3275"/>
      <c r="I498" s="3275" t="s">
        <v>2299</v>
      </c>
      <c r="J498" s="3275"/>
      <c r="K498" s="3275"/>
      <c r="M498" s="3278">
        <v>13200</v>
      </c>
      <c r="O498" s="3278">
        <v>0</v>
      </c>
      <c r="P498" s="3278"/>
      <c r="R498" s="3278">
        <v>0</v>
      </c>
    </row>
    <row r="499" ht="12.75" customHeight="1" spans="2:18">
      <c r="B499" s="3274">
        <v>71</v>
      </c>
      <c r="D499" s="3275" t="s">
        <v>11045</v>
      </c>
      <c r="F499" s="3275" t="s">
        <v>11046</v>
      </c>
      <c r="G499" s="3275"/>
      <c r="I499" s="3275" t="s">
        <v>10149</v>
      </c>
      <c r="J499" s="3275"/>
      <c r="K499" s="3275"/>
      <c r="M499" s="3278">
        <v>24750</v>
      </c>
      <c r="O499" s="3278">
        <v>0</v>
      </c>
      <c r="P499" s="3278"/>
      <c r="R499" s="3278">
        <v>0</v>
      </c>
    </row>
    <row r="500" ht="12.75" customHeight="1" spans="2:18">
      <c r="B500" s="3274">
        <v>72</v>
      </c>
      <c r="D500" s="3275" t="s">
        <v>11047</v>
      </c>
      <c r="F500" s="3275" t="s">
        <v>11048</v>
      </c>
      <c r="G500" s="3275"/>
      <c r="I500" s="3275" t="s">
        <v>10149</v>
      </c>
      <c r="J500" s="3275"/>
      <c r="K500" s="3275"/>
      <c r="M500" s="3278">
        <v>72600</v>
      </c>
      <c r="O500" s="3278">
        <v>0</v>
      </c>
      <c r="P500" s="3278"/>
      <c r="R500" s="3278">
        <v>0</v>
      </c>
    </row>
    <row r="501" ht="12.75" customHeight="1" spans="2:18">
      <c r="B501" s="3274">
        <v>73</v>
      </c>
      <c r="D501" s="3275" t="s">
        <v>11049</v>
      </c>
      <c r="F501" s="3275" t="s">
        <v>11050</v>
      </c>
      <c r="G501" s="3275"/>
      <c r="I501" s="3275" t="s">
        <v>2299</v>
      </c>
      <c r="J501" s="3275"/>
      <c r="K501" s="3275"/>
      <c r="M501" s="3278">
        <v>6050</v>
      </c>
      <c r="O501" s="3278">
        <v>10</v>
      </c>
      <c r="P501" s="3278"/>
      <c r="R501" s="3278">
        <v>60500</v>
      </c>
    </row>
    <row r="502" ht="12.75" customHeight="1" spans="2:18">
      <c r="B502" s="3274">
        <v>74</v>
      </c>
      <c r="D502" s="3275" t="s">
        <v>11051</v>
      </c>
      <c r="F502" s="3275" t="s">
        <v>11052</v>
      </c>
      <c r="G502" s="3275"/>
      <c r="I502" s="3275" t="s">
        <v>10149</v>
      </c>
      <c r="J502" s="3275"/>
      <c r="K502" s="3275"/>
      <c r="M502" s="3278">
        <v>7500</v>
      </c>
      <c r="O502" s="3278">
        <v>0</v>
      </c>
      <c r="P502" s="3278"/>
      <c r="R502" s="3278">
        <v>0</v>
      </c>
    </row>
    <row r="503" ht="12.75" customHeight="1" spans="2:18">
      <c r="B503" s="3274">
        <v>75</v>
      </c>
      <c r="D503" s="3275" t="s">
        <v>11053</v>
      </c>
      <c r="F503" s="3275" t="s">
        <v>11054</v>
      </c>
      <c r="G503" s="3275"/>
      <c r="I503" s="3275" t="s">
        <v>10149</v>
      </c>
      <c r="J503" s="3275"/>
      <c r="K503" s="3275"/>
      <c r="M503" s="3278">
        <v>9900</v>
      </c>
      <c r="O503" s="3278">
        <v>0</v>
      </c>
      <c r="P503" s="3278"/>
      <c r="R503" s="3278">
        <v>0</v>
      </c>
    </row>
    <row r="504" ht="12.75" customHeight="1" spans="2:18">
      <c r="B504" s="3274">
        <v>76</v>
      </c>
      <c r="D504" s="3275" t="s">
        <v>11055</v>
      </c>
      <c r="F504" s="3275" t="s">
        <v>11056</v>
      </c>
      <c r="G504" s="3275"/>
      <c r="I504" s="3275" t="s">
        <v>10152</v>
      </c>
      <c r="J504" s="3275"/>
      <c r="K504" s="3275"/>
      <c r="M504" s="3278">
        <v>36300</v>
      </c>
      <c r="O504" s="3278">
        <v>13</v>
      </c>
      <c r="P504" s="3278"/>
      <c r="R504" s="3278">
        <v>471900</v>
      </c>
    </row>
    <row r="505" ht="12.75" customHeight="1" spans="2:18">
      <c r="B505" s="3274">
        <v>77</v>
      </c>
      <c r="D505" s="3275" t="s">
        <v>11057</v>
      </c>
      <c r="F505" s="3275" t="s">
        <v>11058</v>
      </c>
      <c r="G505" s="3275"/>
      <c r="I505" s="3275" t="s">
        <v>2457</v>
      </c>
      <c r="J505" s="3275"/>
      <c r="K505" s="3275"/>
      <c r="M505" s="3278">
        <v>2704.1741</v>
      </c>
      <c r="O505" s="3278">
        <v>26</v>
      </c>
      <c r="P505" s="3278"/>
      <c r="R505" s="3278">
        <v>70308.5266</v>
      </c>
    </row>
    <row r="506" ht="12.75" customHeight="1" spans="2:18">
      <c r="B506" s="3274">
        <v>78</v>
      </c>
      <c r="D506" s="3275" t="s">
        <v>11059</v>
      </c>
      <c r="F506" s="3275" t="s">
        <v>11060</v>
      </c>
      <c r="G506" s="3275"/>
      <c r="I506" s="3275" t="s">
        <v>2299</v>
      </c>
      <c r="J506" s="3275"/>
      <c r="K506" s="3275"/>
      <c r="M506" s="3278">
        <v>2181.674</v>
      </c>
      <c r="O506" s="3278">
        <v>0</v>
      </c>
      <c r="P506" s="3278"/>
      <c r="R506" s="3278">
        <v>0</v>
      </c>
    </row>
    <row r="507" ht="12.75" customHeight="1" spans="2:18">
      <c r="B507" s="3274">
        <v>79</v>
      </c>
      <c r="D507" s="3275" t="s">
        <v>11061</v>
      </c>
      <c r="F507" s="3275" t="s">
        <v>11062</v>
      </c>
      <c r="G507" s="3275"/>
      <c r="I507" s="3275" t="s">
        <v>2299</v>
      </c>
      <c r="J507" s="3275"/>
      <c r="K507" s="3275"/>
      <c r="M507" s="3278">
        <v>1100</v>
      </c>
      <c r="O507" s="3278">
        <v>0</v>
      </c>
      <c r="P507" s="3278"/>
      <c r="R507" s="3278">
        <v>0</v>
      </c>
    </row>
    <row r="508" ht="12.75" customHeight="1" spans="2:18">
      <c r="B508" s="3274">
        <v>80</v>
      </c>
      <c r="D508" s="3275" t="s">
        <v>11063</v>
      </c>
      <c r="F508" s="3275" t="s">
        <v>11064</v>
      </c>
      <c r="G508" s="3275"/>
      <c r="I508" s="3275" t="s">
        <v>2299</v>
      </c>
      <c r="J508" s="3275"/>
      <c r="K508" s="3275"/>
      <c r="M508" s="3278">
        <v>73700</v>
      </c>
      <c r="O508" s="3278">
        <v>0</v>
      </c>
      <c r="P508" s="3278"/>
      <c r="R508" s="3278">
        <v>0</v>
      </c>
    </row>
    <row r="509" ht="12.75" customHeight="1" spans="2:18">
      <c r="B509" s="3274">
        <v>81</v>
      </c>
      <c r="D509" s="3275" t="s">
        <v>11065</v>
      </c>
      <c r="F509" s="3275" t="s">
        <v>11066</v>
      </c>
      <c r="G509" s="3275"/>
      <c r="I509" s="3275" t="s">
        <v>2299</v>
      </c>
      <c r="J509" s="3275"/>
      <c r="K509" s="3275"/>
      <c r="M509" s="3278">
        <v>4950</v>
      </c>
      <c r="O509" s="3278">
        <v>0</v>
      </c>
      <c r="P509" s="3278"/>
      <c r="R509" s="3278">
        <v>0</v>
      </c>
    </row>
    <row r="510" ht="12.75" customHeight="1" spans="2:18">
      <c r="B510" s="3274">
        <v>82</v>
      </c>
      <c r="D510" s="3275" t="s">
        <v>11067</v>
      </c>
      <c r="F510" s="3275" t="s">
        <v>11068</v>
      </c>
      <c r="G510" s="3275"/>
      <c r="I510" s="3275" t="s">
        <v>2299</v>
      </c>
      <c r="J510" s="3275"/>
      <c r="K510" s="3275"/>
      <c r="M510" s="3278">
        <v>14300</v>
      </c>
      <c r="O510" s="3278">
        <v>0</v>
      </c>
      <c r="P510" s="3278"/>
      <c r="R510" s="3278">
        <v>0</v>
      </c>
    </row>
    <row r="511" ht="12.75" customHeight="1" spans="2:18">
      <c r="B511" s="3274">
        <v>83</v>
      </c>
      <c r="D511" s="3275" t="s">
        <v>11069</v>
      </c>
      <c r="F511" s="3275" t="s">
        <v>11070</v>
      </c>
      <c r="G511" s="3275"/>
      <c r="I511" s="3275" t="s">
        <v>2299</v>
      </c>
      <c r="J511" s="3275"/>
      <c r="K511" s="3275"/>
      <c r="M511" s="3278">
        <v>14300</v>
      </c>
      <c r="O511" s="3278">
        <v>0</v>
      </c>
      <c r="P511" s="3278"/>
      <c r="R511" s="3278">
        <v>0</v>
      </c>
    </row>
    <row r="512" ht="12.75" customHeight="1" spans="2:18">
      <c r="B512" s="3274">
        <v>84</v>
      </c>
      <c r="D512" s="3275" t="s">
        <v>11071</v>
      </c>
      <c r="F512" s="3275" t="s">
        <v>11072</v>
      </c>
      <c r="G512" s="3275"/>
      <c r="I512" s="3275" t="s">
        <v>2293</v>
      </c>
      <c r="J512" s="3275"/>
      <c r="K512" s="3275"/>
      <c r="M512" s="3278">
        <v>21000</v>
      </c>
      <c r="O512" s="3278">
        <v>1</v>
      </c>
      <c r="P512" s="3278"/>
      <c r="R512" s="3278">
        <v>21000</v>
      </c>
    </row>
    <row r="513" ht="12.75" customHeight="1" spans="2:18">
      <c r="B513" s="3274">
        <v>85</v>
      </c>
      <c r="D513" s="3275" t="s">
        <v>11073</v>
      </c>
      <c r="F513" s="3275" t="s">
        <v>11074</v>
      </c>
      <c r="G513" s="3275"/>
      <c r="I513" s="3275" t="s">
        <v>2299</v>
      </c>
      <c r="J513" s="3275"/>
      <c r="K513" s="3275"/>
      <c r="M513" s="3278">
        <v>6050</v>
      </c>
      <c r="O513" s="3278">
        <v>0</v>
      </c>
      <c r="P513" s="3278"/>
      <c r="R513" s="3278">
        <v>0</v>
      </c>
    </row>
    <row r="514" ht="12.75" customHeight="1" spans="2:18">
      <c r="B514" s="3274">
        <v>86</v>
      </c>
      <c r="D514" s="3275" t="s">
        <v>11075</v>
      </c>
      <c r="F514" s="3275" t="s">
        <v>11076</v>
      </c>
      <c r="G514" s="3275"/>
      <c r="I514" s="3275" t="s">
        <v>2299</v>
      </c>
      <c r="J514" s="3275"/>
      <c r="K514" s="3275"/>
      <c r="M514" s="3278">
        <v>10000</v>
      </c>
      <c r="O514" s="3278">
        <v>0</v>
      </c>
      <c r="P514" s="3278"/>
      <c r="R514" s="3278">
        <v>0</v>
      </c>
    </row>
    <row r="515" ht="12.75" customHeight="1" spans="2:18">
      <c r="B515" s="3274">
        <v>87</v>
      </c>
      <c r="D515" s="3275" t="s">
        <v>11077</v>
      </c>
      <c r="F515" s="3275" t="s">
        <v>11078</v>
      </c>
      <c r="G515" s="3275"/>
      <c r="I515" s="3275" t="s">
        <v>2299</v>
      </c>
      <c r="J515" s="3275"/>
      <c r="K515" s="3275"/>
      <c r="M515" s="3278">
        <v>3850</v>
      </c>
      <c r="O515" s="3278">
        <v>5</v>
      </c>
      <c r="P515" s="3278"/>
      <c r="R515" s="3278">
        <v>19250</v>
      </c>
    </row>
    <row r="516" ht="12.75" customHeight="1" spans="2:18">
      <c r="B516" s="3274">
        <v>88</v>
      </c>
      <c r="D516" s="3275" t="s">
        <v>11079</v>
      </c>
      <c r="F516" s="3275" t="s">
        <v>11080</v>
      </c>
      <c r="G516" s="3275"/>
      <c r="I516" s="3275" t="s">
        <v>2299</v>
      </c>
      <c r="J516" s="3275"/>
      <c r="K516" s="3275"/>
      <c r="M516" s="3278">
        <v>3291.67</v>
      </c>
      <c r="O516" s="3278">
        <v>0</v>
      </c>
      <c r="P516" s="3278"/>
      <c r="R516" s="3278">
        <v>0</v>
      </c>
    </row>
    <row r="517" ht="12.75" customHeight="1" spans="2:18">
      <c r="B517" s="3274">
        <v>89</v>
      </c>
      <c r="D517" s="3275" t="s">
        <v>11081</v>
      </c>
      <c r="F517" s="3275" t="s">
        <v>11082</v>
      </c>
      <c r="G517" s="3275"/>
      <c r="I517" s="3275" t="s">
        <v>2457</v>
      </c>
      <c r="J517" s="3275"/>
      <c r="K517" s="3275"/>
      <c r="M517" s="3278">
        <v>2800</v>
      </c>
      <c r="O517" s="3278">
        <v>0</v>
      </c>
      <c r="P517" s="3278"/>
      <c r="R517" s="3278">
        <v>0</v>
      </c>
    </row>
    <row r="518" ht="12.75" customHeight="1" spans="2:18">
      <c r="B518" s="3274">
        <v>90</v>
      </c>
      <c r="D518" s="3275" t="s">
        <v>11083</v>
      </c>
      <c r="F518" s="3275" t="s">
        <v>11084</v>
      </c>
      <c r="G518" s="3275"/>
      <c r="I518" s="3275" t="s">
        <v>2457</v>
      </c>
      <c r="J518" s="3275"/>
      <c r="K518" s="3275"/>
      <c r="M518" s="3278">
        <v>6500</v>
      </c>
      <c r="O518" s="3278">
        <v>0</v>
      </c>
      <c r="P518" s="3278"/>
      <c r="R518" s="3278">
        <v>0</v>
      </c>
    </row>
    <row r="519" ht="12.75" customHeight="1" spans="2:18">
      <c r="B519" s="3274">
        <v>91</v>
      </c>
      <c r="D519" s="3275" t="s">
        <v>11085</v>
      </c>
      <c r="F519" s="3275" t="s">
        <v>11086</v>
      </c>
      <c r="G519" s="3275"/>
      <c r="I519" s="3275" t="s">
        <v>2293</v>
      </c>
      <c r="J519" s="3275"/>
      <c r="K519" s="3275"/>
      <c r="M519" s="3278">
        <v>55000</v>
      </c>
      <c r="O519" s="3278">
        <v>0</v>
      </c>
      <c r="P519" s="3278"/>
      <c r="R519" s="3278">
        <v>0</v>
      </c>
    </row>
    <row r="520" ht="12.75" customHeight="1" spans="2:18">
      <c r="B520" s="3274">
        <v>92</v>
      </c>
      <c r="D520" s="3275" t="s">
        <v>11087</v>
      </c>
      <c r="F520" s="3275" t="s">
        <v>11088</v>
      </c>
      <c r="G520" s="3275"/>
      <c r="I520" s="3275" t="s">
        <v>2321</v>
      </c>
      <c r="J520" s="3275"/>
      <c r="K520" s="3275"/>
      <c r="M520" s="3278">
        <v>121000</v>
      </c>
      <c r="O520" s="3278">
        <v>10</v>
      </c>
      <c r="P520" s="3278"/>
      <c r="R520" s="3278">
        <v>1210000</v>
      </c>
    </row>
    <row r="521" ht="12.75" customHeight="1" spans="2:18">
      <c r="B521" s="3274">
        <v>93</v>
      </c>
      <c r="D521" s="3275" t="s">
        <v>11089</v>
      </c>
      <c r="F521" s="3275" t="s">
        <v>11090</v>
      </c>
      <c r="G521" s="3275"/>
      <c r="I521" s="3275" t="s">
        <v>2321</v>
      </c>
      <c r="J521" s="3275"/>
      <c r="K521" s="3275"/>
      <c r="M521" s="3278">
        <v>115000</v>
      </c>
      <c r="O521" s="3278">
        <v>0</v>
      </c>
      <c r="P521" s="3278"/>
      <c r="R521" s="3278">
        <v>0</v>
      </c>
    </row>
    <row r="522" ht="12.75" customHeight="1" spans="2:18">
      <c r="B522" s="3274">
        <v>94</v>
      </c>
      <c r="D522" s="3275" t="s">
        <v>11091</v>
      </c>
      <c r="F522" s="3275" t="s">
        <v>11092</v>
      </c>
      <c r="G522" s="3275"/>
      <c r="I522" s="3275" t="s">
        <v>2321</v>
      </c>
      <c r="J522" s="3275"/>
      <c r="K522" s="3275"/>
      <c r="M522" s="3278">
        <v>121000</v>
      </c>
      <c r="O522" s="3278">
        <v>8</v>
      </c>
      <c r="P522" s="3278"/>
      <c r="R522" s="3278">
        <v>968000</v>
      </c>
    </row>
    <row r="523" ht="12.75" customHeight="1" spans="2:18">
      <c r="B523" s="3274">
        <v>95</v>
      </c>
      <c r="D523" s="3275" t="s">
        <v>11093</v>
      </c>
      <c r="F523" s="3275" t="s">
        <v>11094</v>
      </c>
      <c r="G523" s="3275"/>
      <c r="I523" s="3275" t="s">
        <v>2321</v>
      </c>
      <c r="J523" s="3275"/>
      <c r="K523" s="3275"/>
      <c r="M523" s="3278">
        <v>110000</v>
      </c>
      <c r="O523" s="3278">
        <v>0</v>
      </c>
      <c r="P523" s="3278"/>
      <c r="R523" s="3278">
        <v>0</v>
      </c>
    </row>
    <row r="524" ht="12.75" customHeight="1" spans="2:18">
      <c r="B524" s="3274">
        <v>96</v>
      </c>
      <c r="D524" s="3275" t="s">
        <v>11095</v>
      </c>
      <c r="F524" s="3275" t="s">
        <v>11096</v>
      </c>
      <c r="G524" s="3275"/>
      <c r="I524" s="3275" t="s">
        <v>2293</v>
      </c>
      <c r="J524" s="3275"/>
      <c r="K524" s="3275"/>
      <c r="M524" s="3278">
        <v>120000</v>
      </c>
      <c r="O524" s="3278">
        <v>8</v>
      </c>
      <c r="P524" s="3278"/>
      <c r="R524" s="3278">
        <v>960000</v>
      </c>
    </row>
    <row r="525" ht="12.75" customHeight="1" spans="2:18">
      <c r="B525" s="3274">
        <v>97</v>
      </c>
      <c r="D525" s="3275" t="s">
        <v>11097</v>
      </c>
      <c r="F525" s="3275" t="s">
        <v>11098</v>
      </c>
      <c r="G525" s="3275"/>
      <c r="I525" s="3275" t="s">
        <v>2293</v>
      </c>
      <c r="J525" s="3275"/>
      <c r="K525" s="3275"/>
      <c r="M525" s="3278">
        <v>165000</v>
      </c>
      <c r="O525" s="3278">
        <v>7</v>
      </c>
      <c r="P525" s="3278"/>
      <c r="R525" s="3278">
        <v>1155000</v>
      </c>
    </row>
    <row r="526" ht="12.75" customHeight="1" spans="2:18">
      <c r="B526" s="3274">
        <v>98</v>
      </c>
      <c r="D526" s="3275" t="s">
        <v>11099</v>
      </c>
      <c r="F526" s="3275" t="s">
        <v>11100</v>
      </c>
      <c r="G526" s="3275"/>
      <c r="I526" s="3275" t="s">
        <v>2309</v>
      </c>
      <c r="J526" s="3275"/>
      <c r="K526" s="3275"/>
      <c r="M526" s="3278">
        <v>165000</v>
      </c>
      <c r="O526" s="3278">
        <v>0</v>
      </c>
      <c r="P526" s="3278"/>
      <c r="R526" s="3278">
        <v>0</v>
      </c>
    </row>
    <row r="527" ht="12.75" customHeight="1" spans="2:18">
      <c r="B527" s="3274">
        <v>99</v>
      </c>
      <c r="D527" s="3275" t="s">
        <v>11101</v>
      </c>
      <c r="F527" s="3275" t="s">
        <v>11102</v>
      </c>
      <c r="G527" s="3275"/>
      <c r="I527" s="3275" t="s">
        <v>2457</v>
      </c>
      <c r="J527" s="3275"/>
      <c r="K527" s="3275"/>
      <c r="M527" s="3278">
        <v>46200</v>
      </c>
      <c r="O527" s="3278">
        <v>4</v>
      </c>
      <c r="P527" s="3278"/>
      <c r="R527" s="3278">
        <v>184800</v>
      </c>
    </row>
    <row r="528" ht="12.75" customHeight="1" spans="2:18">
      <c r="B528" s="3274">
        <v>100</v>
      </c>
      <c r="D528" s="3275" t="s">
        <v>11103</v>
      </c>
      <c r="F528" s="3275" t="s">
        <v>11104</v>
      </c>
      <c r="G528" s="3275"/>
      <c r="I528" s="3275" t="s">
        <v>2457</v>
      </c>
      <c r="J528" s="3275"/>
      <c r="K528" s="3275"/>
      <c r="M528" s="3278">
        <v>44000</v>
      </c>
      <c r="O528" s="3278">
        <v>4</v>
      </c>
      <c r="P528" s="3278"/>
      <c r="R528" s="3278">
        <v>176000</v>
      </c>
    </row>
    <row r="529" ht="12.75" customHeight="1" spans="2:18">
      <c r="B529" s="3274">
        <v>101</v>
      </c>
      <c r="D529" s="3275" t="s">
        <v>11105</v>
      </c>
      <c r="F529" s="3275" t="s">
        <v>11106</v>
      </c>
      <c r="G529" s="3275"/>
      <c r="I529" s="3275" t="s">
        <v>2367</v>
      </c>
      <c r="J529" s="3275"/>
      <c r="K529" s="3275"/>
      <c r="M529" s="3278">
        <v>215000</v>
      </c>
      <c r="O529" s="3278">
        <v>1</v>
      </c>
      <c r="P529" s="3278"/>
      <c r="R529" s="3278">
        <v>215000</v>
      </c>
    </row>
    <row r="530" ht="12.75" customHeight="1" spans="2:18">
      <c r="B530" s="3274">
        <v>102</v>
      </c>
      <c r="D530" s="3275" t="s">
        <v>11107</v>
      </c>
      <c r="F530" s="3275" t="s">
        <v>11108</v>
      </c>
      <c r="G530" s="3275"/>
      <c r="I530" s="3275" t="s">
        <v>10149</v>
      </c>
      <c r="J530" s="3275"/>
      <c r="K530" s="3275"/>
      <c r="M530" s="3278">
        <v>12100</v>
      </c>
      <c r="O530" s="3278">
        <v>0</v>
      </c>
      <c r="P530" s="3278"/>
      <c r="R530" s="3278">
        <v>0</v>
      </c>
    </row>
    <row r="531" ht="12.75" customHeight="1" spans="2:18">
      <c r="B531" s="3274">
        <v>103</v>
      </c>
      <c r="D531" s="3275" t="s">
        <v>11109</v>
      </c>
      <c r="F531" s="3275" t="s">
        <v>11110</v>
      </c>
      <c r="G531" s="3275"/>
      <c r="I531" s="3275" t="s">
        <v>2367</v>
      </c>
      <c r="J531" s="3275"/>
      <c r="K531" s="3275"/>
      <c r="M531" s="3278">
        <v>150000</v>
      </c>
      <c r="O531" s="3278">
        <v>6</v>
      </c>
      <c r="P531" s="3278"/>
      <c r="R531" s="3278">
        <v>900000</v>
      </c>
    </row>
    <row r="532" ht="12.75" customHeight="1" spans="2:18">
      <c r="B532" s="3274">
        <v>104</v>
      </c>
      <c r="D532" s="3275" t="s">
        <v>11111</v>
      </c>
      <c r="F532" s="3275" t="s">
        <v>11112</v>
      </c>
      <c r="G532" s="3275"/>
      <c r="I532" s="3275" t="s">
        <v>2367</v>
      </c>
      <c r="J532" s="3275"/>
      <c r="K532" s="3275"/>
      <c r="M532" s="3278">
        <v>215000</v>
      </c>
      <c r="O532" s="3278">
        <v>0</v>
      </c>
      <c r="P532" s="3278"/>
      <c r="R532" s="3278">
        <v>0</v>
      </c>
    </row>
    <row r="533" ht="12.75" customHeight="1" spans="2:18">
      <c r="B533" s="3274">
        <v>105</v>
      </c>
      <c r="D533" s="3275" t="s">
        <v>11113</v>
      </c>
      <c r="F533" s="3275" t="s">
        <v>11114</v>
      </c>
      <c r="G533" s="3275"/>
      <c r="I533" s="3275" t="s">
        <v>2457</v>
      </c>
      <c r="J533" s="3275"/>
      <c r="K533" s="3275"/>
      <c r="M533" s="3278">
        <v>30000</v>
      </c>
      <c r="O533" s="3278">
        <v>0</v>
      </c>
      <c r="P533" s="3278"/>
      <c r="R533" s="3278">
        <v>0</v>
      </c>
    </row>
    <row r="534" ht="12.75" customHeight="1" spans="2:18">
      <c r="B534" s="3274">
        <v>106</v>
      </c>
      <c r="D534" s="3275" t="s">
        <v>11115</v>
      </c>
      <c r="F534" s="3275" t="s">
        <v>11116</v>
      </c>
      <c r="G534" s="3275"/>
      <c r="I534" s="3275" t="s">
        <v>2367</v>
      </c>
      <c r="J534" s="3275"/>
      <c r="K534" s="3275"/>
      <c r="M534" s="3278">
        <v>140000</v>
      </c>
      <c r="O534" s="3278">
        <v>0</v>
      </c>
      <c r="P534" s="3278"/>
      <c r="R534" s="3278">
        <v>0</v>
      </c>
    </row>
    <row r="535" ht="12.75" customHeight="1" spans="2:18">
      <c r="B535" s="3274">
        <v>107</v>
      </c>
      <c r="D535" s="3275" t="s">
        <v>11117</v>
      </c>
      <c r="F535" s="3275" t="s">
        <v>11118</v>
      </c>
      <c r="G535" s="3275"/>
      <c r="I535" s="3275" t="s">
        <v>2367</v>
      </c>
      <c r="J535" s="3275"/>
      <c r="K535" s="3275"/>
      <c r="M535" s="3278">
        <v>140000</v>
      </c>
      <c r="O535" s="3278">
        <v>0</v>
      </c>
      <c r="P535" s="3278"/>
      <c r="R535" s="3278">
        <v>0</v>
      </c>
    </row>
    <row r="536" ht="12.75" customHeight="1" spans="2:18">
      <c r="B536" s="3274">
        <v>108</v>
      </c>
      <c r="D536" s="3275" t="s">
        <v>11119</v>
      </c>
      <c r="F536" s="3275" t="s">
        <v>11120</v>
      </c>
      <c r="G536" s="3275"/>
      <c r="I536" s="3275" t="s">
        <v>2367</v>
      </c>
      <c r="J536" s="3275"/>
      <c r="K536" s="3275"/>
      <c r="M536" s="3278">
        <v>150000</v>
      </c>
      <c r="O536" s="3278">
        <v>4</v>
      </c>
      <c r="P536" s="3278"/>
      <c r="R536" s="3278">
        <v>600000</v>
      </c>
    </row>
    <row r="537" ht="12.75" customHeight="1" spans="2:18">
      <c r="B537" s="3274">
        <v>109</v>
      </c>
      <c r="D537" s="3275" t="s">
        <v>11121</v>
      </c>
      <c r="F537" s="3275" t="s">
        <v>11122</v>
      </c>
      <c r="G537" s="3275"/>
      <c r="I537" s="3275" t="s">
        <v>2299</v>
      </c>
      <c r="J537" s="3275"/>
      <c r="K537" s="3275"/>
      <c r="M537" s="3278">
        <v>7040</v>
      </c>
      <c r="O537" s="3278">
        <v>0</v>
      </c>
      <c r="P537" s="3278"/>
      <c r="R537" s="3278">
        <v>0</v>
      </c>
    </row>
    <row r="538" ht="12.75" customHeight="1" spans="2:18">
      <c r="B538" s="3274">
        <v>110</v>
      </c>
      <c r="D538" s="3275" t="s">
        <v>11123</v>
      </c>
      <c r="F538" s="3275" t="s">
        <v>11124</v>
      </c>
      <c r="G538" s="3275"/>
      <c r="I538" s="3275" t="s">
        <v>2299</v>
      </c>
      <c r="J538" s="3275"/>
      <c r="K538" s="3275"/>
      <c r="M538" s="3278">
        <v>6000</v>
      </c>
      <c r="O538" s="3278">
        <v>19</v>
      </c>
      <c r="P538" s="3278"/>
      <c r="R538" s="3278">
        <v>114000</v>
      </c>
    </row>
    <row r="539" ht="12.75" customHeight="1" spans="2:18">
      <c r="B539" s="3274">
        <v>111</v>
      </c>
      <c r="D539" s="3275" t="s">
        <v>11125</v>
      </c>
      <c r="F539" s="3275" t="s">
        <v>11126</v>
      </c>
      <c r="G539" s="3275"/>
      <c r="I539" s="3275" t="s">
        <v>2299</v>
      </c>
      <c r="J539" s="3275"/>
      <c r="K539" s="3275"/>
      <c r="M539" s="3278">
        <v>7700</v>
      </c>
      <c r="O539" s="3278">
        <v>0</v>
      </c>
      <c r="P539" s="3278"/>
      <c r="R539" s="3278">
        <v>0</v>
      </c>
    </row>
    <row r="540" ht="12.75" customHeight="1" spans="2:18">
      <c r="B540" s="3274">
        <v>112</v>
      </c>
      <c r="D540" s="3275" t="s">
        <v>11127</v>
      </c>
      <c r="F540" s="3275" t="s">
        <v>11128</v>
      </c>
      <c r="G540" s="3275"/>
      <c r="I540" s="3275" t="s">
        <v>2321</v>
      </c>
      <c r="J540" s="3275"/>
      <c r="K540" s="3275"/>
      <c r="M540" s="3278">
        <v>163000</v>
      </c>
      <c r="O540" s="3278">
        <v>6</v>
      </c>
      <c r="P540" s="3278"/>
      <c r="R540" s="3278">
        <v>978000</v>
      </c>
    </row>
    <row r="541" ht="12.75" customHeight="1" spans="2:18">
      <c r="B541" s="3274">
        <v>113</v>
      </c>
      <c r="D541" s="3275" t="s">
        <v>11129</v>
      </c>
      <c r="F541" s="3275" t="s">
        <v>11130</v>
      </c>
      <c r="G541" s="3275"/>
      <c r="I541" s="3275" t="s">
        <v>2299</v>
      </c>
      <c r="J541" s="3275"/>
      <c r="K541" s="3275"/>
      <c r="M541" s="3278">
        <v>23833.326</v>
      </c>
      <c r="O541" s="3278">
        <v>21</v>
      </c>
      <c r="P541" s="3278"/>
      <c r="R541" s="3278">
        <v>500499.846</v>
      </c>
    </row>
    <row r="542" ht="12.75" customHeight="1" spans="2:18">
      <c r="B542" s="3274">
        <v>114</v>
      </c>
      <c r="D542" s="3275" t="s">
        <v>11131</v>
      </c>
      <c r="F542" s="3275" t="s">
        <v>11132</v>
      </c>
      <c r="G542" s="3275"/>
      <c r="I542" s="3275" t="s">
        <v>2299</v>
      </c>
      <c r="J542" s="3275"/>
      <c r="K542" s="3275"/>
      <c r="M542" s="3278">
        <v>35200</v>
      </c>
      <c r="O542" s="3278">
        <v>0</v>
      </c>
      <c r="P542" s="3278"/>
      <c r="R542" s="3278">
        <v>0</v>
      </c>
    </row>
    <row r="543" ht="12.75" customHeight="1" spans="2:18">
      <c r="B543" s="3274">
        <v>115</v>
      </c>
      <c r="D543" s="3275" t="s">
        <v>11133</v>
      </c>
      <c r="F543" s="3275" t="s">
        <v>11134</v>
      </c>
      <c r="G543" s="3275"/>
      <c r="I543" s="3275" t="s">
        <v>2299</v>
      </c>
      <c r="J543" s="3275"/>
      <c r="K543" s="3275"/>
      <c r="M543" s="3278">
        <v>3850</v>
      </c>
      <c r="O543" s="3278">
        <v>0</v>
      </c>
      <c r="P543" s="3278"/>
      <c r="R543" s="3278">
        <v>0</v>
      </c>
    </row>
    <row r="544" ht="12.75" customHeight="1" spans="2:18">
      <c r="B544" s="3274">
        <v>116</v>
      </c>
      <c r="D544" s="3275" t="s">
        <v>11135</v>
      </c>
      <c r="F544" s="3275" t="s">
        <v>11136</v>
      </c>
      <c r="G544" s="3275"/>
      <c r="I544" s="3275" t="s">
        <v>2299</v>
      </c>
      <c r="J544" s="3275"/>
      <c r="K544" s="3275"/>
      <c r="M544" s="3278">
        <v>13200</v>
      </c>
      <c r="O544" s="3278">
        <v>0</v>
      </c>
      <c r="P544" s="3278"/>
      <c r="R544" s="3278">
        <v>0</v>
      </c>
    </row>
    <row r="545" ht="12.75" customHeight="1" spans="2:18">
      <c r="B545" s="3274">
        <v>117</v>
      </c>
      <c r="D545" s="3275" t="s">
        <v>11137</v>
      </c>
      <c r="F545" s="3275" t="s">
        <v>11138</v>
      </c>
      <c r="G545" s="3275"/>
      <c r="I545" s="3275" t="s">
        <v>2299</v>
      </c>
      <c r="J545" s="3275"/>
      <c r="K545" s="3275"/>
      <c r="M545" s="3278">
        <v>9900</v>
      </c>
      <c r="O545" s="3278">
        <v>0</v>
      </c>
      <c r="P545" s="3278"/>
      <c r="R545" s="3278">
        <v>0</v>
      </c>
    </row>
    <row r="546" ht="12.75" customHeight="1" spans="2:18">
      <c r="B546" s="3274">
        <v>118</v>
      </c>
      <c r="D546" s="3275" t="s">
        <v>11139</v>
      </c>
      <c r="F546" s="3275" t="s">
        <v>11140</v>
      </c>
      <c r="G546" s="3275"/>
      <c r="I546" s="3275" t="s">
        <v>2342</v>
      </c>
      <c r="J546" s="3275"/>
      <c r="K546" s="3275"/>
      <c r="M546" s="3278">
        <v>1320</v>
      </c>
      <c r="O546" s="3278">
        <v>10</v>
      </c>
      <c r="P546" s="3278"/>
      <c r="R546" s="3278">
        <v>13200</v>
      </c>
    </row>
    <row r="547" ht="12.75" customHeight="1" spans="2:18">
      <c r="B547" s="3274">
        <v>119</v>
      </c>
      <c r="D547" s="3275" t="s">
        <v>11141</v>
      </c>
      <c r="F547" s="3275" t="s">
        <v>11142</v>
      </c>
      <c r="G547" s="3275"/>
      <c r="I547" s="3275" t="s">
        <v>2299</v>
      </c>
      <c r="J547" s="3275"/>
      <c r="K547" s="3275"/>
      <c r="M547" s="3278">
        <v>1500</v>
      </c>
      <c r="O547" s="3278">
        <v>65</v>
      </c>
      <c r="P547" s="3278"/>
      <c r="R547" s="3278">
        <v>97500</v>
      </c>
    </row>
    <row r="548" ht="12.75" customHeight="1" spans="2:18">
      <c r="B548" s="3274">
        <v>120</v>
      </c>
      <c r="D548" s="3275" t="s">
        <v>11143</v>
      </c>
      <c r="F548" s="3275" t="s">
        <v>11144</v>
      </c>
      <c r="G548" s="3275"/>
      <c r="I548" s="3275" t="s">
        <v>2299</v>
      </c>
      <c r="J548" s="3275"/>
      <c r="K548" s="3275"/>
      <c r="M548" s="3278">
        <v>7700</v>
      </c>
      <c r="O548" s="3278">
        <v>22</v>
      </c>
      <c r="P548" s="3278"/>
      <c r="R548" s="3278">
        <v>169400</v>
      </c>
    </row>
    <row r="549" ht="12.75" customHeight="1" spans="2:18">
      <c r="B549" s="3274">
        <v>121</v>
      </c>
      <c r="D549" s="3275" t="s">
        <v>11145</v>
      </c>
      <c r="F549" s="3275" t="s">
        <v>11146</v>
      </c>
      <c r="G549" s="3275"/>
      <c r="I549" s="3275" t="s">
        <v>2299</v>
      </c>
      <c r="J549" s="3275"/>
      <c r="K549" s="3275"/>
      <c r="M549" s="3278">
        <v>1925</v>
      </c>
      <c r="O549" s="3278">
        <v>0</v>
      </c>
      <c r="P549" s="3278"/>
      <c r="R549" s="3278">
        <v>0</v>
      </c>
    </row>
    <row r="550" ht="12.75" customHeight="1" spans="2:18">
      <c r="B550" s="3274">
        <v>122</v>
      </c>
      <c r="D550" s="3275" t="s">
        <v>11147</v>
      </c>
      <c r="F550" s="3275" t="s">
        <v>11148</v>
      </c>
      <c r="G550" s="3275"/>
      <c r="I550" s="3275" t="s">
        <v>2293</v>
      </c>
      <c r="J550" s="3275"/>
      <c r="K550" s="3275"/>
      <c r="M550" s="3278">
        <v>55000</v>
      </c>
      <c r="O550" s="3278">
        <v>0</v>
      </c>
      <c r="P550" s="3278"/>
      <c r="R550" s="3278">
        <v>0</v>
      </c>
    </row>
    <row r="551" ht="12.75" customHeight="1" spans="2:18">
      <c r="B551" s="3274">
        <v>123</v>
      </c>
      <c r="D551" s="3275" t="s">
        <v>11149</v>
      </c>
      <c r="F551" s="3275" t="s">
        <v>11150</v>
      </c>
      <c r="G551" s="3275"/>
      <c r="I551" s="3275" t="s">
        <v>2321</v>
      </c>
      <c r="J551" s="3275"/>
      <c r="K551" s="3275"/>
      <c r="M551" s="3278">
        <v>179300</v>
      </c>
      <c r="O551" s="3278">
        <v>0</v>
      </c>
      <c r="P551" s="3278"/>
      <c r="R551" s="3278">
        <v>0</v>
      </c>
    </row>
    <row r="552" ht="12.75" customHeight="1" spans="2:18">
      <c r="B552" s="3274">
        <v>124</v>
      </c>
      <c r="D552" s="3275" t="s">
        <v>11151</v>
      </c>
      <c r="F552" s="3275" t="s">
        <v>11152</v>
      </c>
      <c r="G552" s="3275"/>
      <c r="I552" s="3275" t="s">
        <v>2293</v>
      </c>
      <c r="J552" s="3275"/>
      <c r="K552" s="3275"/>
      <c r="M552" s="3278">
        <v>73700</v>
      </c>
      <c r="O552" s="3278">
        <v>11</v>
      </c>
      <c r="P552" s="3278"/>
      <c r="R552" s="3278">
        <v>810700</v>
      </c>
    </row>
    <row r="553" ht="12.75" customHeight="1" spans="2:18">
      <c r="B553" s="3274">
        <v>125</v>
      </c>
      <c r="D553" s="3275" t="s">
        <v>11153</v>
      </c>
      <c r="F553" s="3275" t="s">
        <v>11154</v>
      </c>
      <c r="G553" s="3275"/>
      <c r="I553" s="3275" t="s">
        <v>2321</v>
      </c>
      <c r="J553" s="3275"/>
      <c r="K553" s="3275"/>
      <c r="M553" s="3278">
        <v>179300</v>
      </c>
      <c r="O553" s="3278">
        <v>0</v>
      </c>
      <c r="P553" s="3278"/>
      <c r="R553" s="3278">
        <v>0</v>
      </c>
    </row>
    <row r="554" ht="12.75" customHeight="1" spans="2:18">
      <c r="B554" s="3274">
        <v>126</v>
      </c>
      <c r="D554" s="3275" t="s">
        <v>11155</v>
      </c>
      <c r="F554" s="3275" t="s">
        <v>11156</v>
      </c>
      <c r="G554" s="3275"/>
      <c r="I554" s="3275" t="s">
        <v>2321</v>
      </c>
      <c r="J554" s="3275"/>
      <c r="K554" s="3275"/>
      <c r="M554" s="3278">
        <v>179300</v>
      </c>
      <c r="O554" s="3278">
        <v>0</v>
      </c>
      <c r="P554" s="3278"/>
      <c r="R554" s="3278">
        <v>0</v>
      </c>
    </row>
    <row r="555" ht="12.75" customHeight="1" spans="2:18">
      <c r="B555" s="3274">
        <v>127</v>
      </c>
      <c r="D555" s="3275" t="s">
        <v>11157</v>
      </c>
      <c r="F555" s="3275" t="s">
        <v>11158</v>
      </c>
      <c r="G555" s="3275"/>
      <c r="I555" s="3275" t="s">
        <v>2457</v>
      </c>
      <c r="J555" s="3275"/>
      <c r="K555" s="3275"/>
      <c r="M555" s="3278">
        <v>5280</v>
      </c>
      <c r="O555" s="3278">
        <v>47</v>
      </c>
      <c r="P555" s="3278"/>
      <c r="R555" s="3278">
        <v>248160</v>
      </c>
    </row>
    <row r="556" ht="12.75" customHeight="1" spans="2:18">
      <c r="B556" s="3274">
        <v>128</v>
      </c>
      <c r="D556" s="3275" t="s">
        <v>11159</v>
      </c>
      <c r="F556" s="3275" t="s">
        <v>11160</v>
      </c>
      <c r="G556" s="3275"/>
      <c r="I556" s="3275" t="s">
        <v>2321</v>
      </c>
      <c r="J556" s="3275"/>
      <c r="K556" s="3275"/>
      <c r="M556" s="3278">
        <v>179300</v>
      </c>
      <c r="O556" s="3278">
        <v>0</v>
      </c>
      <c r="P556" s="3278"/>
      <c r="R556" s="3278">
        <v>0</v>
      </c>
    </row>
    <row r="557" ht="12.75" customHeight="1" spans="2:18">
      <c r="B557" s="3274">
        <v>129</v>
      </c>
      <c r="D557" s="3275" t="s">
        <v>11161</v>
      </c>
      <c r="F557" s="3275" t="s">
        <v>11162</v>
      </c>
      <c r="G557" s="3275"/>
      <c r="I557" s="3275" t="s">
        <v>2299</v>
      </c>
      <c r="J557" s="3275"/>
      <c r="K557" s="3275"/>
      <c r="M557" s="3278">
        <v>6050</v>
      </c>
      <c r="O557" s="3278">
        <v>4</v>
      </c>
      <c r="P557" s="3278"/>
      <c r="R557" s="3278">
        <v>24200</v>
      </c>
    </row>
    <row r="558" ht="12.75" customHeight="1" spans="2:18">
      <c r="B558" s="3274">
        <v>130</v>
      </c>
      <c r="D558" s="3275" t="s">
        <v>11163</v>
      </c>
      <c r="F558" s="3275" t="s">
        <v>11030</v>
      </c>
      <c r="G558" s="3275"/>
      <c r="I558" s="3275" t="s">
        <v>2388</v>
      </c>
      <c r="J558" s="3275"/>
      <c r="K558" s="3275"/>
      <c r="M558" s="3278">
        <v>2007.5</v>
      </c>
      <c r="O558" s="3278">
        <v>0</v>
      </c>
      <c r="P558" s="3278"/>
      <c r="R558" s="3278">
        <v>0</v>
      </c>
    </row>
    <row r="559" ht="12.75" customHeight="1" spans="2:18">
      <c r="B559" s="3274">
        <v>131</v>
      </c>
      <c r="D559" s="3275" t="s">
        <v>11164</v>
      </c>
      <c r="F559" s="3275" t="s">
        <v>11165</v>
      </c>
      <c r="G559" s="3275"/>
      <c r="I559" s="3275" t="s">
        <v>10152</v>
      </c>
      <c r="J559" s="3275"/>
      <c r="K559" s="3275"/>
      <c r="M559" s="3278">
        <v>37000</v>
      </c>
      <c r="O559" s="3278">
        <v>0</v>
      </c>
      <c r="P559" s="3278"/>
      <c r="R559" s="3278">
        <v>0</v>
      </c>
    </row>
    <row r="560" ht="12.75" customHeight="1" spans="2:18">
      <c r="B560" s="3274">
        <v>132</v>
      </c>
      <c r="D560" s="3275" t="s">
        <v>11166</v>
      </c>
      <c r="F560" s="3275" t="s">
        <v>11167</v>
      </c>
      <c r="G560" s="3275"/>
      <c r="I560" s="3275" t="s">
        <v>2293</v>
      </c>
      <c r="J560" s="3275"/>
      <c r="K560" s="3275"/>
      <c r="M560" s="3278">
        <v>6416.674</v>
      </c>
      <c r="O560" s="3278">
        <v>9</v>
      </c>
      <c r="P560" s="3278"/>
      <c r="R560" s="3278">
        <v>57750.066</v>
      </c>
    </row>
    <row r="561" ht="12.75" customHeight="1" spans="2:18">
      <c r="B561" s="3274">
        <v>133</v>
      </c>
      <c r="D561" s="3275" t="s">
        <v>11168</v>
      </c>
      <c r="F561" s="3275" t="s">
        <v>11169</v>
      </c>
      <c r="G561" s="3275"/>
      <c r="I561" s="3275" t="s">
        <v>2299</v>
      </c>
      <c r="J561" s="3275"/>
      <c r="K561" s="3275"/>
      <c r="M561" s="3278">
        <v>55000</v>
      </c>
      <c r="O561" s="3278">
        <v>0</v>
      </c>
      <c r="P561" s="3278"/>
      <c r="R561" s="3278">
        <v>0</v>
      </c>
    </row>
    <row r="562" ht="12.75" customHeight="1" spans="2:18">
      <c r="B562" s="3274">
        <v>134</v>
      </c>
      <c r="D562" s="3275" t="s">
        <v>11170</v>
      </c>
      <c r="F562" s="3275" t="s">
        <v>11171</v>
      </c>
      <c r="G562" s="3275"/>
      <c r="I562" s="3275" t="s">
        <v>2299</v>
      </c>
      <c r="J562" s="3275"/>
      <c r="K562" s="3275"/>
      <c r="M562" s="3278">
        <v>1500</v>
      </c>
      <c r="O562" s="3278">
        <v>10</v>
      </c>
      <c r="P562" s="3278"/>
      <c r="R562" s="3278">
        <v>15000</v>
      </c>
    </row>
    <row r="563" ht="12.75" customHeight="1" spans="2:18">
      <c r="B563" s="3274">
        <v>135</v>
      </c>
      <c r="D563" s="3275" t="s">
        <v>11172</v>
      </c>
      <c r="F563" s="3275" t="s">
        <v>11173</v>
      </c>
      <c r="G563" s="3275"/>
      <c r="I563" s="3275" t="s">
        <v>2388</v>
      </c>
      <c r="J563" s="3275"/>
      <c r="K563" s="3275"/>
      <c r="M563" s="3278">
        <v>825</v>
      </c>
      <c r="O563" s="3278">
        <v>30</v>
      </c>
      <c r="P563" s="3278"/>
      <c r="R563" s="3278">
        <v>24750</v>
      </c>
    </row>
    <row r="564" ht="12.75" customHeight="1" spans="2:18">
      <c r="B564" s="3274">
        <v>136</v>
      </c>
      <c r="D564" s="3275" t="s">
        <v>11174</v>
      </c>
      <c r="F564" s="3275" t="s">
        <v>11175</v>
      </c>
      <c r="G564" s="3275"/>
      <c r="I564" s="3275" t="s">
        <v>2457</v>
      </c>
      <c r="J564" s="3275"/>
      <c r="K564" s="3275"/>
      <c r="M564" s="3278">
        <v>18150</v>
      </c>
      <c r="O564" s="3278">
        <v>5</v>
      </c>
      <c r="P564" s="3278"/>
      <c r="R564" s="3278">
        <v>90750</v>
      </c>
    </row>
    <row r="565" ht="12.75" customHeight="1" spans="2:18">
      <c r="B565" s="3274">
        <v>137</v>
      </c>
      <c r="D565" s="3275" t="s">
        <v>11176</v>
      </c>
      <c r="F565" s="3275" t="s">
        <v>11177</v>
      </c>
      <c r="G565" s="3275"/>
      <c r="I565" s="3275" t="s">
        <v>10149</v>
      </c>
      <c r="J565" s="3275"/>
      <c r="K565" s="3275"/>
      <c r="M565" s="3278">
        <v>97900</v>
      </c>
      <c r="O565" s="3278">
        <v>0</v>
      </c>
      <c r="P565" s="3278"/>
      <c r="R565" s="3278">
        <v>0</v>
      </c>
    </row>
    <row r="566" ht="12.75" customHeight="1" spans="2:18">
      <c r="B566" s="3274">
        <v>138</v>
      </c>
      <c r="D566" s="3275" t="s">
        <v>11178</v>
      </c>
      <c r="F566" s="3275" t="s">
        <v>11179</v>
      </c>
      <c r="G566" s="3275"/>
      <c r="I566" s="3275" t="s">
        <v>10149</v>
      </c>
      <c r="J566" s="3275"/>
      <c r="K566" s="3275"/>
      <c r="M566" s="3278">
        <v>13750</v>
      </c>
      <c r="O566" s="3278">
        <v>1</v>
      </c>
      <c r="P566" s="3278"/>
      <c r="R566" s="3278">
        <v>13750</v>
      </c>
    </row>
    <row r="567" ht="12.75" customHeight="1" spans="2:18">
      <c r="B567" s="3274">
        <v>139</v>
      </c>
      <c r="D567" s="3275" t="s">
        <v>11180</v>
      </c>
      <c r="F567" s="3275" t="s">
        <v>11181</v>
      </c>
      <c r="G567" s="3275"/>
      <c r="I567" s="3275" t="s">
        <v>10149</v>
      </c>
      <c r="J567" s="3275"/>
      <c r="K567" s="3275"/>
      <c r="M567" s="3278">
        <v>12500</v>
      </c>
      <c r="O567" s="3278">
        <v>0</v>
      </c>
      <c r="P567" s="3278"/>
      <c r="R567" s="3278">
        <v>0</v>
      </c>
    </row>
    <row r="568" ht="12.75" customHeight="1" spans="2:18">
      <c r="B568" s="3274">
        <v>140</v>
      </c>
      <c r="D568" s="3275" t="s">
        <v>11182</v>
      </c>
      <c r="F568" s="3275" t="s">
        <v>11183</v>
      </c>
      <c r="G568" s="3275"/>
      <c r="I568" s="3275" t="s">
        <v>10152</v>
      </c>
      <c r="J568" s="3275"/>
      <c r="K568" s="3275"/>
      <c r="M568" s="3278">
        <v>41800</v>
      </c>
      <c r="O568" s="3278">
        <v>10</v>
      </c>
      <c r="P568" s="3278"/>
      <c r="R568" s="3278">
        <v>418000</v>
      </c>
    </row>
    <row r="569" ht="12.75" customHeight="1" spans="2:18">
      <c r="B569" s="3274">
        <v>141</v>
      </c>
      <c r="D569" s="3275" t="s">
        <v>11184</v>
      </c>
      <c r="F569" s="3275" t="s">
        <v>11185</v>
      </c>
      <c r="G569" s="3275"/>
      <c r="I569" s="3275" t="s">
        <v>2299</v>
      </c>
      <c r="J569" s="3275"/>
      <c r="K569" s="3275"/>
      <c r="M569" s="3278">
        <v>1336.808</v>
      </c>
      <c r="O569" s="3278">
        <v>123</v>
      </c>
      <c r="P569" s="3278"/>
      <c r="R569" s="3278">
        <v>164427.384</v>
      </c>
    </row>
    <row r="570" ht="12.75" customHeight="1" spans="2:18">
      <c r="B570" s="3274">
        <v>142</v>
      </c>
      <c r="D570" s="3275" t="s">
        <v>11186</v>
      </c>
      <c r="F570" s="3275" t="s">
        <v>11187</v>
      </c>
      <c r="G570" s="3275"/>
      <c r="I570" s="3275" t="s">
        <v>2299</v>
      </c>
      <c r="J570" s="3275"/>
      <c r="K570" s="3275"/>
      <c r="M570" s="3278">
        <v>15400</v>
      </c>
      <c r="O570" s="3278">
        <v>6</v>
      </c>
      <c r="P570" s="3278"/>
      <c r="R570" s="3278">
        <v>92400</v>
      </c>
    </row>
    <row r="571" ht="12.75" customHeight="1" spans="2:18">
      <c r="B571" s="3274">
        <v>143</v>
      </c>
      <c r="D571" s="3275" t="s">
        <v>11188</v>
      </c>
      <c r="F571" s="3275" t="s">
        <v>11189</v>
      </c>
      <c r="G571" s="3275"/>
      <c r="I571" s="3275" t="s">
        <v>2457</v>
      </c>
      <c r="J571" s="3275"/>
      <c r="K571" s="3275"/>
      <c r="M571" s="3278">
        <v>5500</v>
      </c>
      <c r="O571" s="3278">
        <v>15</v>
      </c>
      <c r="P571" s="3278"/>
      <c r="R571" s="3278">
        <v>82500</v>
      </c>
    </row>
    <row r="572" ht="12.75" customHeight="1" spans="2:18">
      <c r="B572" s="3274">
        <v>144</v>
      </c>
      <c r="D572" s="3275" t="s">
        <v>11190</v>
      </c>
      <c r="F572" s="3275" t="s">
        <v>11191</v>
      </c>
      <c r="G572" s="3275"/>
      <c r="I572" s="3275" t="s">
        <v>2293</v>
      </c>
      <c r="J572" s="3275"/>
      <c r="K572" s="3275"/>
      <c r="M572" s="3278">
        <v>3750</v>
      </c>
      <c r="O572" s="3278">
        <v>0</v>
      </c>
      <c r="P572" s="3278"/>
      <c r="R572" s="3278">
        <v>0</v>
      </c>
    </row>
    <row r="573" ht="12.75" customHeight="1" spans="2:18">
      <c r="B573" s="3274">
        <v>145</v>
      </c>
      <c r="D573" s="3275" t="s">
        <v>11192</v>
      </c>
      <c r="F573" s="3275" t="s">
        <v>11193</v>
      </c>
      <c r="G573" s="3275"/>
      <c r="I573" s="3275" t="s">
        <v>2299</v>
      </c>
      <c r="J573" s="3275"/>
      <c r="K573" s="3275"/>
      <c r="M573" s="3278">
        <v>2383.337</v>
      </c>
      <c r="O573" s="3278">
        <v>9</v>
      </c>
      <c r="P573" s="3278"/>
      <c r="R573" s="3278">
        <v>21450.033</v>
      </c>
    </row>
    <row r="574" ht="12.75" customHeight="1" spans="2:18">
      <c r="B574" s="3274">
        <v>146</v>
      </c>
      <c r="D574" s="3275" t="s">
        <v>11194</v>
      </c>
      <c r="F574" s="3275" t="s">
        <v>11195</v>
      </c>
      <c r="G574" s="3275"/>
      <c r="I574" s="3275" t="s">
        <v>2299</v>
      </c>
      <c r="J574" s="3275"/>
      <c r="K574" s="3275"/>
      <c r="M574" s="3278">
        <v>27500</v>
      </c>
      <c r="O574" s="3278">
        <v>13</v>
      </c>
      <c r="P574" s="3278"/>
      <c r="R574" s="3278">
        <v>357500</v>
      </c>
    </row>
    <row r="575" ht="12.75" customHeight="1" spans="2:18">
      <c r="B575" s="3274">
        <v>147</v>
      </c>
      <c r="D575" s="3275" t="s">
        <v>11196</v>
      </c>
      <c r="F575" s="3275" t="s">
        <v>11197</v>
      </c>
      <c r="G575" s="3275"/>
      <c r="I575" s="3275" t="s">
        <v>2299</v>
      </c>
      <c r="J575" s="3275"/>
      <c r="K575" s="3275"/>
      <c r="M575" s="3278">
        <v>82500</v>
      </c>
      <c r="O575" s="3278">
        <v>0</v>
      </c>
      <c r="P575" s="3278"/>
      <c r="R575" s="3278">
        <v>0</v>
      </c>
    </row>
    <row r="576" ht="12.75" customHeight="1" spans="2:18">
      <c r="B576" s="3274">
        <v>148</v>
      </c>
      <c r="D576" s="3275" t="s">
        <v>11198</v>
      </c>
      <c r="F576" s="3275" t="s">
        <v>11199</v>
      </c>
      <c r="G576" s="3275"/>
      <c r="I576" s="3275" t="s">
        <v>2418</v>
      </c>
      <c r="J576" s="3275"/>
      <c r="K576" s="3275"/>
      <c r="M576" s="3278">
        <v>13200</v>
      </c>
      <c r="O576" s="3278">
        <v>0</v>
      </c>
      <c r="P576" s="3278"/>
      <c r="R576" s="3278">
        <v>0</v>
      </c>
    </row>
    <row r="577" ht="12.75" customHeight="1" spans="2:18">
      <c r="B577" s="3274">
        <v>149</v>
      </c>
      <c r="D577" s="3275" t="s">
        <v>11200</v>
      </c>
      <c r="F577" s="3275" t="s">
        <v>11201</v>
      </c>
      <c r="G577" s="3275"/>
      <c r="I577" s="3275" t="s">
        <v>2293</v>
      </c>
      <c r="J577" s="3275"/>
      <c r="K577" s="3275"/>
      <c r="M577" s="3278">
        <v>33000</v>
      </c>
      <c r="O577" s="3278">
        <v>0</v>
      </c>
      <c r="P577" s="3278"/>
      <c r="R577" s="3278">
        <v>0</v>
      </c>
    </row>
    <row r="578" ht="12.75" customHeight="1" spans="2:18">
      <c r="B578" s="3274">
        <v>150</v>
      </c>
      <c r="D578" s="3275" t="s">
        <v>11202</v>
      </c>
      <c r="F578" s="3275" t="s">
        <v>11203</v>
      </c>
      <c r="G578" s="3275"/>
      <c r="I578" s="3275" t="s">
        <v>2293</v>
      </c>
      <c r="J578" s="3275"/>
      <c r="K578" s="3275"/>
      <c r="M578" s="3278">
        <v>165000</v>
      </c>
      <c r="O578" s="3278">
        <v>2</v>
      </c>
      <c r="P578" s="3278"/>
      <c r="R578" s="3278">
        <v>330000</v>
      </c>
    </row>
    <row r="579" ht="12.75" customHeight="1" spans="2:18">
      <c r="B579" s="3274">
        <v>151</v>
      </c>
      <c r="D579" s="3275" t="s">
        <v>11204</v>
      </c>
      <c r="F579" s="3275" t="s">
        <v>11205</v>
      </c>
      <c r="G579" s="3275"/>
      <c r="I579" s="3275" t="s">
        <v>2457</v>
      </c>
      <c r="J579" s="3275"/>
      <c r="K579" s="3275"/>
      <c r="M579" s="3278">
        <v>5500</v>
      </c>
      <c r="O579" s="3278">
        <v>0</v>
      </c>
      <c r="P579" s="3278"/>
      <c r="R579" s="3278">
        <v>0</v>
      </c>
    </row>
    <row r="580" ht="12.75" customHeight="1" spans="2:18">
      <c r="B580" s="3274">
        <v>152</v>
      </c>
      <c r="D580" s="3275" t="s">
        <v>11206</v>
      </c>
      <c r="F580" s="3275" t="s">
        <v>11207</v>
      </c>
      <c r="G580" s="3275"/>
      <c r="I580" s="3275" t="s">
        <v>2299</v>
      </c>
      <c r="J580" s="3275"/>
      <c r="K580" s="3275"/>
      <c r="M580" s="3278">
        <v>82500</v>
      </c>
      <c r="O580" s="3278">
        <v>1</v>
      </c>
      <c r="P580" s="3278"/>
      <c r="R580" s="3278">
        <v>82500</v>
      </c>
    </row>
    <row r="581" ht="12.75" customHeight="1" spans="2:18">
      <c r="B581" s="3274">
        <v>153</v>
      </c>
      <c r="D581" s="3275" t="s">
        <v>11208</v>
      </c>
      <c r="F581" s="3275" t="s">
        <v>11209</v>
      </c>
      <c r="G581" s="3275"/>
      <c r="I581" s="3275" t="s">
        <v>2293</v>
      </c>
      <c r="J581" s="3275"/>
      <c r="K581" s="3275"/>
      <c r="M581" s="3278">
        <v>20900</v>
      </c>
      <c r="O581" s="3278">
        <v>0</v>
      </c>
      <c r="P581" s="3278"/>
      <c r="R581" s="3278">
        <v>0</v>
      </c>
    </row>
    <row r="582" ht="12.75" customHeight="1" spans="2:18">
      <c r="B582" s="3274">
        <v>154</v>
      </c>
      <c r="D582" s="3275" t="s">
        <v>11210</v>
      </c>
      <c r="F582" s="3275" t="s">
        <v>11211</v>
      </c>
      <c r="G582" s="3275"/>
      <c r="I582" s="3275" t="s">
        <v>2293</v>
      </c>
      <c r="J582" s="3275"/>
      <c r="K582" s="3275"/>
      <c r="M582" s="3278">
        <v>5500</v>
      </c>
      <c r="O582" s="3278">
        <v>0</v>
      </c>
      <c r="P582" s="3278"/>
      <c r="R582" s="3278">
        <v>0</v>
      </c>
    </row>
    <row r="583" ht="12.75" customHeight="1" spans="2:18">
      <c r="B583" s="3274">
        <v>155</v>
      </c>
      <c r="D583" s="3275" t="s">
        <v>11212</v>
      </c>
      <c r="F583" s="3275" t="s">
        <v>11213</v>
      </c>
      <c r="G583" s="3275"/>
      <c r="I583" s="3275" t="s">
        <v>2418</v>
      </c>
      <c r="J583" s="3275"/>
      <c r="K583" s="3275"/>
      <c r="M583" s="3278">
        <v>7000</v>
      </c>
      <c r="O583" s="3278">
        <v>2</v>
      </c>
      <c r="P583" s="3278"/>
      <c r="R583" s="3278">
        <v>14000</v>
      </c>
    </row>
    <row r="584" ht="12.75" customHeight="1" spans="2:18">
      <c r="B584" s="3274">
        <v>156</v>
      </c>
      <c r="D584" s="3275" t="s">
        <v>11214</v>
      </c>
      <c r="F584" s="3275" t="s">
        <v>11215</v>
      </c>
      <c r="G584" s="3275"/>
      <c r="I584" s="3275" t="s">
        <v>2293</v>
      </c>
      <c r="J584" s="3275"/>
      <c r="K584" s="3275"/>
      <c r="M584" s="3278">
        <v>33000</v>
      </c>
      <c r="O584" s="3278">
        <v>0</v>
      </c>
      <c r="P584" s="3278"/>
      <c r="R584" s="3278">
        <v>0</v>
      </c>
    </row>
    <row r="585" ht="12.75" customHeight="1" spans="2:18">
      <c r="B585" s="3274">
        <v>157</v>
      </c>
      <c r="D585" s="3275" t="s">
        <v>11216</v>
      </c>
      <c r="F585" s="3275" t="s">
        <v>11217</v>
      </c>
      <c r="G585" s="3275"/>
      <c r="I585" s="3275" t="s">
        <v>2293</v>
      </c>
      <c r="J585" s="3275"/>
      <c r="K585" s="3275"/>
      <c r="M585" s="3278">
        <v>41800</v>
      </c>
      <c r="O585" s="3278">
        <v>0</v>
      </c>
      <c r="P585" s="3278"/>
      <c r="R585" s="3278">
        <v>0</v>
      </c>
    </row>
    <row r="586" ht="12.75" customHeight="1" spans="2:18">
      <c r="B586" s="3274">
        <v>158</v>
      </c>
      <c r="D586" s="3275" t="s">
        <v>11218</v>
      </c>
      <c r="F586" s="3275" t="s">
        <v>11219</v>
      </c>
      <c r="G586" s="3275"/>
      <c r="I586" s="3275" t="s">
        <v>2293</v>
      </c>
      <c r="J586" s="3275"/>
      <c r="K586" s="3275"/>
      <c r="M586" s="3278">
        <v>33000</v>
      </c>
      <c r="O586" s="3278">
        <v>0</v>
      </c>
      <c r="P586" s="3278"/>
      <c r="R586" s="3278">
        <v>0</v>
      </c>
    </row>
    <row r="587" ht="12.75" customHeight="1" spans="2:18">
      <c r="B587" s="3274">
        <v>159</v>
      </c>
      <c r="D587" s="3275" t="s">
        <v>11220</v>
      </c>
      <c r="F587" s="3275" t="s">
        <v>11221</v>
      </c>
      <c r="G587" s="3275"/>
      <c r="I587" s="3275" t="s">
        <v>2293</v>
      </c>
      <c r="J587" s="3275"/>
      <c r="K587" s="3275"/>
      <c r="M587" s="3278">
        <v>26400</v>
      </c>
      <c r="O587" s="3278">
        <v>0</v>
      </c>
      <c r="P587" s="3278"/>
      <c r="R587" s="3278">
        <v>0</v>
      </c>
    </row>
    <row r="588" ht="12.75" customHeight="1" spans="2:18">
      <c r="B588" s="3274">
        <v>160</v>
      </c>
      <c r="D588" s="3275" t="s">
        <v>11222</v>
      </c>
      <c r="F588" s="3275" t="s">
        <v>11223</v>
      </c>
      <c r="G588" s="3275"/>
      <c r="I588" s="3275" t="s">
        <v>2293</v>
      </c>
      <c r="J588" s="3275"/>
      <c r="K588" s="3275"/>
      <c r="M588" s="3278">
        <v>23100</v>
      </c>
      <c r="O588" s="3278">
        <v>0</v>
      </c>
      <c r="P588" s="3278"/>
      <c r="R588" s="3278">
        <v>0</v>
      </c>
    </row>
    <row r="589" ht="12.75" customHeight="1" spans="2:18">
      <c r="B589" s="3274">
        <v>161</v>
      </c>
      <c r="D589" s="3275" t="s">
        <v>11224</v>
      </c>
      <c r="F589" s="3275" t="s">
        <v>11225</v>
      </c>
      <c r="G589" s="3275"/>
      <c r="I589" s="3275" t="s">
        <v>2293</v>
      </c>
      <c r="J589" s="3275"/>
      <c r="K589" s="3275"/>
      <c r="M589" s="3278">
        <v>18150</v>
      </c>
      <c r="O589" s="3278">
        <v>0</v>
      </c>
      <c r="P589" s="3278"/>
      <c r="R589" s="3278">
        <v>0</v>
      </c>
    </row>
    <row r="590" ht="12.75" customHeight="1" spans="2:18">
      <c r="B590" s="3274">
        <v>162</v>
      </c>
      <c r="D590" s="3275" t="s">
        <v>11226</v>
      </c>
      <c r="F590" s="3275" t="s">
        <v>11227</v>
      </c>
      <c r="G590" s="3275"/>
      <c r="I590" s="3275" t="s">
        <v>2293</v>
      </c>
      <c r="J590" s="3275"/>
      <c r="K590" s="3275"/>
      <c r="M590" s="3278">
        <v>23100</v>
      </c>
      <c r="O590" s="3278">
        <v>0</v>
      </c>
      <c r="P590" s="3278"/>
      <c r="R590" s="3278">
        <v>0</v>
      </c>
    </row>
    <row r="591" ht="12.75" customHeight="1" spans="2:18">
      <c r="B591" s="3274">
        <v>163</v>
      </c>
      <c r="D591" s="3275" t="s">
        <v>11228</v>
      </c>
      <c r="F591" s="3275" t="s">
        <v>11229</v>
      </c>
      <c r="G591" s="3275"/>
      <c r="I591" s="3275" t="s">
        <v>2293</v>
      </c>
      <c r="J591" s="3275"/>
      <c r="K591" s="3275"/>
      <c r="M591" s="3278">
        <v>4400</v>
      </c>
      <c r="O591" s="3278">
        <v>0</v>
      </c>
      <c r="P591" s="3278"/>
      <c r="R591" s="3278">
        <v>0</v>
      </c>
    </row>
    <row r="592" ht="12.75" customHeight="1" spans="2:18">
      <c r="B592" s="3274">
        <v>164</v>
      </c>
      <c r="D592" s="3275" t="s">
        <v>11230</v>
      </c>
      <c r="F592" s="3275" t="s">
        <v>11231</v>
      </c>
      <c r="G592" s="3275"/>
      <c r="I592" s="3275" t="s">
        <v>10149</v>
      </c>
      <c r="J592" s="3275"/>
      <c r="K592" s="3275"/>
      <c r="M592" s="3278">
        <v>8800</v>
      </c>
      <c r="O592" s="3278">
        <v>0</v>
      </c>
      <c r="P592" s="3278"/>
      <c r="R592" s="3278">
        <v>0</v>
      </c>
    </row>
    <row r="593" ht="12.75" customHeight="1" spans="2:18">
      <c r="B593" s="3274">
        <v>165</v>
      </c>
      <c r="D593" s="3275" t="s">
        <v>11232</v>
      </c>
      <c r="F593" s="3275" t="s">
        <v>11233</v>
      </c>
      <c r="G593" s="3275"/>
      <c r="I593" s="3275" t="s">
        <v>2293</v>
      </c>
      <c r="J593" s="3275"/>
      <c r="K593" s="3275"/>
      <c r="M593" s="3278">
        <v>15950</v>
      </c>
      <c r="O593" s="3278">
        <v>10</v>
      </c>
      <c r="P593" s="3278"/>
      <c r="R593" s="3278">
        <v>159500</v>
      </c>
    </row>
    <row r="594" ht="12.75" customHeight="1" spans="2:18">
      <c r="B594" s="3274">
        <v>166</v>
      </c>
      <c r="D594" s="3275" t="s">
        <v>11234</v>
      </c>
      <c r="F594" s="3275" t="s">
        <v>11235</v>
      </c>
      <c r="G594" s="3275"/>
      <c r="I594" s="3275" t="s">
        <v>2293</v>
      </c>
      <c r="J594" s="3275"/>
      <c r="K594" s="3275"/>
      <c r="M594" s="3278">
        <v>26400</v>
      </c>
      <c r="O594" s="3278">
        <v>0</v>
      </c>
      <c r="P594" s="3278"/>
      <c r="R594" s="3278">
        <v>0</v>
      </c>
    </row>
    <row r="595" ht="12.75" customHeight="1" spans="2:18">
      <c r="B595" s="3274">
        <v>167</v>
      </c>
      <c r="D595" s="3275" t="s">
        <v>11236</v>
      </c>
      <c r="F595" s="3275" t="s">
        <v>11237</v>
      </c>
      <c r="G595" s="3275"/>
      <c r="I595" s="3275" t="s">
        <v>2299</v>
      </c>
      <c r="J595" s="3275"/>
      <c r="K595" s="3275"/>
      <c r="M595" s="3278">
        <v>2200</v>
      </c>
      <c r="O595" s="3278">
        <v>0</v>
      </c>
      <c r="P595" s="3278"/>
      <c r="R595" s="3278">
        <v>0</v>
      </c>
    </row>
    <row r="596" ht="12.75" customHeight="1" spans="2:18">
      <c r="B596" s="3274">
        <v>168</v>
      </c>
      <c r="D596" s="3275" t="s">
        <v>11238</v>
      </c>
      <c r="F596" s="3275" t="s">
        <v>11239</v>
      </c>
      <c r="G596" s="3275"/>
      <c r="I596" s="3275" t="s">
        <v>2293</v>
      </c>
      <c r="J596" s="3275"/>
      <c r="K596" s="3275"/>
      <c r="M596" s="3278">
        <v>1100</v>
      </c>
      <c r="O596" s="3278">
        <v>0</v>
      </c>
      <c r="P596" s="3278"/>
      <c r="R596" s="3278">
        <v>0</v>
      </c>
    </row>
    <row r="597" ht="12.75" customHeight="1" spans="2:18">
      <c r="B597" s="3274">
        <v>169</v>
      </c>
      <c r="D597" s="3275" t="s">
        <v>11240</v>
      </c>
      <c r="F597" s="3275" t="s">
        <v>11241</v>
      </c>
      <c r="G597" s="3275"/>
      <c r="I597" s="3275" t="s">
        <v>2293</v>
      </c>
      <c r="J597" s="3275"/>
      <c r="K597" s="3275"/>
      <c r="M597" s="3278">
        <v>2200</v>
      </c>
      <c r="O597" s="3278">
        <v>0</v>
      </c>
      <c r="P597" s="3278"/>
      <c r="R597" s="3278">
        <v>0</v>
      </c>
    </row>
    <row r="598" ht="12.75" customHeight="1" spans="2:18">
      <c r="B598" s="3274">
        <v>170</v>
      </c>
      <c r="D598" s="3275" t="s">
        <v>11242</v>
      </c>
      <c r="F598" s="3275" t="s">
        <v>11243</v>
      </c>
      <c r="G598" s="3275"/>
      <c r="I598" s="3275" t="s">
        <v>2293</v>
      </c>
      <c r="J598" s="3275"/>
      <c r="K598" s="3275"/>
      <c r="M598" s="3278">
        <v>3300</v>
      </c>
      <c r="O598" s="3278">
        <v>0</v>
      </c>
      <c r="P598" s="3278"/>
      <c r="R598" s="3278">
        <v>0</v>
      </c>
    </row>
    <row r="599" ht="12.75" customHeight="1" spans="2:18">
      <c r="B599" s="3274">
        <v>171</v>
      </c>
      <c r="D599" s="3275" t="s">
        <v>11244</v>
      </c>
      <c r="F599" s="3275" t="s">
        <v>11245</v>
      </c>
      <c r="G599" s="3275"/>
      <c r="I599" s="3275" t="s">
        <v>2293</v>
      </c>
      <c r="J599" s="3275"/>
      <c r="K599" s="3275"/>
      <c r="M599" s="3278">
        <v>6050</v>
      </c>
      <c r="O599" s="3278">
        <v>0</v>
      </c>
      <c r="P599" s="3278"/>
      <c r="R599" s="3278">
        <v>0</v>
      </c>
    </row>
    <row r="600" ht="12.75" customHeight="1" spans="2:18">
      <c r="B600" s="3274">
        <v>172</v>
      </c>
      <c r="D600" s="3275" t="s">
        <v>11246</v>
      </c>
      <c r="F600" s="3275" t="s">
        <v>11247</v>
      </c>
      <c r="G600" s="3275"/>
      <c r="I600" s="3275" t="s">
        <v>2293</v>
      </c>
      <c r="J600" s="3275"/>
      <c r="K600" s="3275"/>
      <c r="M600" s="3278">
        <v>20900</v>
      </c>
      <c r="O600" s="3278">
        <v>0</v>
      </c>
      <c r="P600" s="3278"/>
      <c r="R600" s="3278">
        <v>0</v>
      </c>
    </row>
    <row r="601" ht="12.75" customHeight="1" spans="2:18">
      <c r="B601" s="3274">
        <v>173</v>
      </c>
      <c r="D601" s="3275" t="s">
        <v>11248</v>
      </c>
      <c r="F601" s="3275" t="s">
        <v>11249</v>
      </c>
      <c r="G601" s="3275"/>
      <c r="I601" s="3275" t="s">
        <v>2293</v>
      </c>
      <c r="J601" s="3275"/>
      <c r="K601" s="3275"/>
      <c r="M601" s="3278">
        <v>9350</v>
      </c>
      <c r="O601" s="3278">
        <v>0</v>
      </c>
      <c r="P601" s="3278"/>
      <c r="R601" s="3278">
        <v>0</v>
      </c>
    </row>
    <row r="602" ht="12.75" customHeight="1" spans="2:18">
      <c r="B602" s="3274">
        <v>174</v>
      </c>
      <c r="D602" s="3275" t="s">
        <v>11250</v>
      </c>
      <c r="F602" s="3275" t="s">
        <v>11251</v>
      </c>
      <c r="G602" s="3275"/>
      <c r="I602" s="3275" t="s">
        <v>2293</v>
      </c>
      <c r="J602" s="3275"/>
      <c r="K602" s="3275"/>
      <c r="M602" s="3278">
        <v>8250</v>
      </c>
      <c r="O602" s="3278">
        <v>0</v>
      </c>
      <c r="P602" s="3278"/>
      <c r="R602" s="3278">
        <v>0</v>
      </c>
    </row>
    <row r="603" ht="12.75" customHeight="1" spans="2:18">
      <c r="B603" s="3274">
        <v>175</v>
      </c>
      <c r="D603" s="3275" t="s">
        <v>11252</v>
      </c>
      <c r="F603" s="3275" t="s">
        <v>11253</v>
      </c>
      <c r="G603" s="3275"/>
      <c r="I603" s="3275" t="s">
        <v>2293</v>
      </c>
      <c r="J603" s="3275"/>
      <c r="K603" s="3275"/>
      <c r="M603" s="3278">
        <v>7150</v>
      </c>
      <c r="O603" s="3278">
        <v>0</v>
      </c>
      <c r="P603" s="3278"/>
      <c r="R603" s="3278">
        <v>0</v>
      </c>
    </row>
    <row r="604" ht="12.75" customHeight="1" spans="2:18">
      <c r="B604" s="3274">
        <v>176</v>
      </c>
      <c r="D604" s="3275" t="s">
        <v>11254</v>
      </c>
      <c r="F604" s="3275" t="s">
        <v>11255</v>
      </c>
      <c r="G604" s="3275"/>
      <c r="I604" s="3275" t="s">
        <v>2309</v>
      </c>
      <c r="J604" s="3275"/>
      <c r="K604" s="3275"/>
      <c r="M604" s="3278">
        <v>31240</v>
      </c>
      <c r="O604" s="3278">
        <v>63</v>
      </c>
      <c r="P604" s="3278"/>
      <c r="R604" s="3278">
        <v>1968120</v>
      </c>
    </row>
    <row r="605" ht="12.75" customHeight="1" spans="2:18">
      <c r="B605" s="3274">
        <v>177</v>
      </c>
      <c r="D605" s="3275" t="s">
        <v>11256</v>
      </c>
      <c r="F605" s="3275" t="s">
        <v>11257</v>
      </c>
      <c r="G605" s="3275"/>
      <c r="I605" s="3275" t="s">
        <v>2293</v>
      </c>
      <c r="J605" s="3275"/>
      <c r="K605" s="3275"/>
      <c r="M605" s="3278">
        <v>18700</v>
      </c>
      <c r="O605" s="3278">
        <v>0</v>
      </c>
      <c r="P605" s="3278"/>
      <c r="R605" s="3278">
        <v>0</v>
      </c>
    </row>
    <row r="606" ht="12.75" customHeight="1" spans="2:18">
      <c r="B606" s="3274">
        <v>178</v>
      </c>
      <c r="D606" s="3275" t="s">
        <v>11258</v>
      </c>
      <c r="F606" s="3275" t="s">
        <v>11259</v>
      </c>
      <c r="G606" s="3275"/>
      <c r="I606" s="3275" t="s">
        <v>2293</v>
      </c>
      <c r="J606" s="3275"/>
      <c r="K606" s="3275"/>
      <c r="M606" s="3278">
        <v>17600</v>
      </c>
      <c r="O606" s="3278">
        <v>0</v>
      </c>
      <c r="P606" s="3278"/>
      <c r="R606" s="3278">
        <v>0</v>
      </c>
    </row>
    <row r="607" ht="12.75" customHeight="1" spans="2:18">
      <c r="B607" s="3274">
        <v>179</v>
      </c>
      <c r="D607" s="3275" t="s">
        <v>11260</v>
      </c>
      <c r="F607" s="3275" t="s">
        <v>11261</v>
      </c>
      <c r="G607" s="3275"/>
      <c r="I607" s="3275" t="s">
        <v>2293</v>
      </c>
      <c r="J607" s="3275"/>
      <c r="K607" s="3275"/>
      <c r="M607" s="3278">
        <v>31900</v>
      </c>
      <c r="O607" s="3278">
        <v>0</v>
      </c>
      <c r="P607" s="3278"/>
      <c r="R607" s="3278">
        <v>0</v>
      </c>
    </row>
    <row r="608" ht="12.75" customHeight="1" spans="2:18">
      <c r="B608" s="3274">
        <v>180</v>
      </c>
      <c r="D608" s="3275" t="s">
        <v>11262</v>
      </c>
      <c r="F608" s="3275" t="s">
        <v>11263</v>
      </c>
      <c r="G608" s="3275"/>
      <c r="I608" s="3275" t="s">
        <v>2293</v>
      </c>
      <c r="J608" s="3275"/>
      <c r="K608" s="3275"/>
      <c r="M608" s="3278">
        <v>8800</v>
      </c>
      <c r="O608" s="3278">
        <v>0</v>
      </c>
      <c r="P608" s="3278"/>
      <c r="R608" s="3278">
        <v>0</v>
      </c>
    </row>
    <row r="609" ht="12.75" customHeight="1" spans="2:18">
      <c r="B609" s="3274">
        <v>181</v>
      </c>
      <c r="D609" s="3275" t="s">
        <v>11264</v>
      </c>
      <c r="F609" s="3275" t="s">
        <v>11265</v>
      </c>
      <c r="G609" s="3275"/>
      <c r="I609" s="3275" t="s">
        <v>2293</v>
      </c>
      <c r="J609" s="3275"/>
      <c r="K609" s="3275"/>
      <c r="M609" s="3278">
        <v>9900</v>
      </c>
      <c r="O609" s="3278">
        <v>0</v>
      </c>
      <c r="P609" s="3278"/>
      <c r="R609" s="3278">
        <v>0</v>
      </c>
    </row>
    <row r="610" ht="12.75" customHeight="1" spans="2:18">
      <c r="B610" s="3274">
        <v>182</v>
      </c>
      <c r="D610" s="3275" t="s">
        <v>11266</v>
      </c>
      <c r="F610" s="3275" t="s">
        <v>11267</v>
      </c>
      <c r="G610" s="3275"/>
      <c r="I610" s="3275" t="s">
        <v>2293</v>
      </c>
      <c r="J610" s="3275"/>
      <c r="K610" s="3275"/>
      <c r="M610" s="3278">
        <v>99000</v>
      </c>
      <c r="O610" s="3278">
        <v>0</v>
      </c>
      <c r="P610" s="3278"/>
      <c r="R610" s="3278">
        <v>0</v>
      </c>
    </row>
    <row r="611" ht="12.75" customHeight="1" spans="2:18">
      <c r="B611" s="3274">
        <v>183</v>
      </c>
      <c r="D611" s="3275" t="s">
        <v>11268</v>
      </c>
      <c r="F611" s="3275" t="s">
        <v>11269</v>
      </c>
      <c r="G611" s="3275"/>
      <c r="I611" s="3275" t="s">
        <v>2293</v>
      </c>
      <c r="J611" s="3275"/>
      <c r="K611" s="3275"/>
      <c r="M611" s="3278">
        <v>38500</v>
      </c>
      <c r="O611" s="3278">
        <v>0</v>
      </c>
      <c r="P611" s="3278"/>
      <c r="R611" s="3278">
        <v>0</v>
      </c>
    </row>
    <row r="612" ht="12.75" customHeight="1" spans="2:18">
      <c r="B612" s="3274">
        <v>184</v>
      </c>
      <c r="D612" s="3275" t="s">
        <v>11270</v>
      </c>
      <c r="F612" s="3275" t="s">
        <v>11271</v>
      </c>
      <c r="G612" s="3275"/>
      <c r="I612" s="3275" t="s">
        <v>2293</v>
      </c>
      <c r="J612" s="3275"/>
      <c r="K612" s="3275"/>
      <c r="M612" s="3278">
        <v>8800</v>
      </c>
      <c r="O612" s="3278">
        <v>0</v>
      </c>
      <c r="P612" s="3278"/>
      <c r="R612" s="3278">
        <v>0</v>
      </c>
    </row>
    <row r="613" ht="12.75" customHeight="1" spans="2:18">
      <c r="B613" s="3274">
        <v>185</v>
      </c>
      <c r="D613" s="3275" t="s">
        <v>11272</v>
      </c>
      <c r="F613" s="3275" t="s">
        <v>11273</v>
      </c>
      <c r="G613" s="3275"/>
      <c r="I613" s="3275" t="s">
        <v>2457</v>
      </c>
      <c r="J613" s="3275"/>
      <c r="K613" s="3275"/>
      <c r="M613" s="3278">
        <v>30800</v>
      </c>
      <c r="O613" s="3278">
        <v>0</v>
      </c>
      <c r="P613" s="3278"/>
      <c r="R613" s="3278">
        <v>0</v>
      </c>
    </row>
    <row r="614" ht="12.75" customHeight="1" spans="2:18">
      <c r="B614" s="3274">
        <v>186</v>
      </c>
      <c r="D614" s="3275" t="s">
        <v>11274</v>
      </c>
      <c r="F614" s="3275" t="s">
        <v>11275</v>
      </c>
      <c r="G614" s="3275"/>
      <c r="I614" s="3275" t="s">
        <v>2293</v>
      </c>
      <c r="J614" s="3275"/>
      <c r="K614" s="3275"/>
      <c r="M614" s="3278">
        <v>2166.6699</v>
      </c>
      <c r="O614" s="3278">
        <v>10</v>
      </c>
      <c r="P614" s="3278"/>
      <c r="R614" s="3278">
        <v>21666.699</v>
      </c>
    </row>
    <row r="615" ht="12.75" customHeight="1" spans="2:18">
      <c r="B615" s="3274">
        <v>187</v>
      </c>
      <c r="D615" s="3275" t="s">
        <v>11276</v>
      </c>
      <c r="F615" s="3275" t="s">
        <v>11277</v>
      </c>
      <c r="G615" s="3275"/>
      <c r="I615" s="3275" t="s">
        <v>2293</v>
      </c>
      <c r="J615" s="3275"/>
      <c r="K615" s="3275"/>
      <c r="M615" s="3278">
        <v>500</v>
      </c>
      <c r="O615" s="3278">
        <v>0</v>
      </c>
      <c r="P615" s="3278"/>
      <c r="R615" s="3278">
        <v>0</v>
      </c>
    </row>
    <row r="616" ht="12.75" customHeight="1" spans="2:18">
      <c r="B616" s="3274">
        <v>188</v>
      </c>
      <c r="D616" s="3275" t="s">
        <v>11278</v>
      </c>
      <c r="F616" s="3275" t="s">
        <v>11279</v>
      </c>
      <c r="G616" s="3275"/>
      <c r="I616" s="3275" t="s">
        <v>2388</v>
      </c>
      <c r="J616" s="3275"/>
      <c r="K616" s="3275"/>
      <c r="M616" s="3278">
        <v>53350</v>
      </c>
      <c r="O616" s="3278">
        <v>0</v>
      </c>
      <c r="P616" s="3278"/>
      <c r="R616" s="3278">
        <v>0</v>
      </c>
    </row>
    <row r="617" ht="12.75" customHeight="1" spans="2:18">
      <c r="B617" s="3274">
        <v>189</v>
      </c>
      <c r="D617" s="3275" t="s">
        <v>11280</v>
      </c>
      <c r="F617" s="3275" t="s">
        <v>11281</v>
      </c>
      <c r="G617" s="3275"/>
      <c r="I617" s="3275" t="s">
        <v>2388</v>
      </c>
      <c r="J617" s="3275"/>
      <c r="K617" s="3275"/>
      <c r="M617" s="3278">
        <v>33550</v>
      </c>
      <c r="O617" s="3278">
        <v>0</v>
      </c>
      <c r="P617" s="3278"/>
      <c r="R617" s="3278">
        <v>0</v>
      </c>
    </row>
    <row r="618" ht="12.75" customHeight="1" spans="2:18">
      <c r="B618" s="3274">
        <v>190</v>
      </c>
      <c r="D618" s="3275" t="s">
        <v>11282</v>
      </c>
      <c r="F618" s="3275" t="s">
        <v>11283</v>
      </c>
      <c r="G618" s="3275"/>
      <c r="I618" s="3275" t="s">
        <v>2388</v>
      </c>
      <c r="J618" s="3275"/>
      <c r="K618" s="3275"/>
      <c r="M618" s="3278">
        <v>86350</v>
      </c>
      <c r="O618" s="3278">
        <v>0</v>
      </c>
      <c r="P618" s="3278"/>
      <c r="R618" s="3278">
        <v>0</v>
      </c>
    </row>
    <row r="619" ht="12.75" customHeight="1" spans="2:18">
      <c r="B619" s="3274">
        <v>191</v>
      </c>
      <c r="D619" s="3275" t="s">
        <v>11284</v>
      </c>
      <c r="F619" s="3275" t="s">
        <v>11285</v>
      </c>
      <c r="G619" s="3275"/>
      <c r="I619" s="3275" t="s">
        <v>2388</v>
      </c>
      <c r="J619" s="3275"/>
      <c r="K619" s="3275"/>
      <c r="M619" s="3278">
        <v>2200</v>
      </c>
      <c r="O619" s="3278">
        <v>0</v>
      </c>
      <c r="P619" s="3278"/>
      <c r="R619" s="3278">
        <v>0</v>
      </c>
    </row>
    <row r="620" ht="12.75" customHeight="1" spans="2:18">
      <c r="B620" s="3274">
        <v>192</v>
      </c>
      <c r="D620" s="3275" t="s">
        <v>11286</v>
      </c>
      <c r="F620" s="3275" t="s">
        <v>11287</v>
      </c>
      <c r="G620" s="3275"/>
      <c r="I620" s="3275" t="s">
        <v>2388</v>
      </c>
      <c r="J620" s="3275"/>
      <c r="K620" s="3275"/>
      <c r="M620" s="3278">
        <v>2200</v>
      </c>
      <c r="O620" s="3278">
        <v>0</v>
      </c>
      <c r="P620" s="3278"/>
      <c r="R620" s="3278">
        <v>0</v>
      </c>
    </row>
    <row r="621" ht="12.75" customHeight="1" spans="2:18">
      <c r="B621" s="3274">
        <v>193</v>
      </c>
      <c r="D621" s="3275" t="s">
        <v>11288</v>
      </c>
      <c r="F621" s="3275" t="s">
        <v>11289</v>
      </c>
      <c r="G621" s="3275"/>
      <c r="I621" s="3275" t="s">
        <v>2309</v>
      </c>
      <c r="J621" s="3275"/>
      <c r="K621" s="3275"/>
      <c r="M621" s="3278">
        <v>27500</v>
      </c>
      <c r="O621" s="3278">
        <v>19</v>
      </c>
      <c r="P621" s="3278"/>
      <c r="R621" s="3278">
        <v>522500</v>
      </c>
    </row>
    <row r="622" ht="12.75" customHeight="1" spans="2:18">
      <c r="B622" s="3274">
        <v>194</v>
      </c>
      <c r="D622" s="3275" t="s">
        <v>11290</v>
      </c>
      <c r="F622" s="3275" t="s">
        <v>11291</v>
      </c>
      <c r="G622" s="3275"/>
      <c r="I622" s="3275" t="s">
        <v>2388</v>
      </c>
      <c r="J622" s="3275"/>
      <c r="K622" s="3275"/>
      <c r="M622" s="3278">
        <v>7700</v>
      </c>
      <c r="O622" s="3278">
        <v>0</v>
      </c>
      <c r="P622" s="3278"/>
      <c r="R622" s="3278">
        <v>0</v>
      </c>
    </row>
    <row r="623" ht="12.75" customHeight="1" spans="2:18">
      <c r="B623" s="3274">
        <v>195</v>
      </c>
      <c r="D623" s="3275" t="s">
        <v>11292</v>
      </c>
      <c r="F623" s="3275" t="s">
        <v>11293</v>
      </c>
      <c r="G623" s="3275"/>
      <c r="I623" s="3275" t="s">
        <v>2299</v>
      </c>
      <c r="J623" s="3275"/>
      <c r="K623" s="3275"/>
      <c r="M623" s="3278">
        <v>550</v>
      </c>
      <c r="O623" s="3278">
        <v>37</v>
      </c>
      <c r="P623" s="3278"/>
      <c r="R623" s="3278">
        <v>20350</v>
      </c>
    </row>
    <row r="624" ht="12.75" customHeight="1" spans="2:18">
      <c r="B624" s="3274">
        <v>196</v>
      </c>
      <c r="D624" s="3275" t="s">
        <v>11294</v>
      </c>
      <c r="F624" s="3275" t="s">
        <v>11295</v>
      </c>
      <c r="G624" s="3275"/>
      <c r="I624" s="3275" t="s">
        <v>2299</v>
      </c>
      <c r="J624" s="3275"/>
      <c r="K624" s="3275"/>
      <c r="M624" s="3278">
        <v>8250</v>
      </c>
      <c r="O624" s="3278">
        <v>0</v>
      </c>
      <c r="P624" s="3278"/>
      <c r="R624" s="3278">
        <v>0</v>
      </c>
    </row>
    <row r="625" ht="12.75" customHeight="1" spans="2:18">
      <c r="B625" s="3274">
        <v>197</v>
      </c>
      <c r="D625" s="3275" t="s">
        <v>11296</v>
      </c>
      <c r="F625" s="3275" t="s">
        <v>11297</v>
      </c>
      <c r="G625" s="3275"/>
      <c r="I625" s="3275" t="s">
        <v>2299</v>
      </c>
      <c r="J625" s="3275"/>
      <c r="K625" s="3275"/>
      <c r="M625" s="3278">
        <v>5500</v>
      </c>
      <c r="O625" s="3278">
        <v>0</v>
      </c>
      <c r="P625" s="3278"/>
      <c r="R625" s="3278">
        <v>0</v>
      </c>
    </row>
    <row r="626" ht="12.75" customHeight="1" spans="2:18">
      <c r="B626" s="3274">
        <v>198</v>
      </c>
      <c r="D626" s="3275" t="s">
        <v>11298</v>
      </c>
      <c r="F626" s="3275" t="s">
        <v>11299</v>
      </c>
      <c r="G626" s="3275"/>
      <c r="I626" s="3275" t="s">
        <v>2367</v>
      </c>
      <c r="J626" s="3275"/>
      <c r="K626" s="3275"/>
      <c r="M626" s="3278">
        <v>18700</v>
      </c>
      <c r="O626" s="3278">
        <v>0</v>
      </c>
      <c r="P626" s="3278"/>
      <c r="R626" s="3278">
        <v>0</v>
      </c>
    </row>
    <row r="627" ht="12.75" customHeight="1" spans="2:18">
      <c r="B627" s="3274">
        <v>199</v>
      </c>
      <c r="D627" s="3275" t="s">
        <v>11300</v>
      </c>
      <c r="F627" s="3275" t="s">
        <v>11301</v>
      </c>
      <c r="G627" s="3275"/>
      <c r="I627" s="3275" t="s">
        <v>2367</v>
      </c>
      <c r="J627" s="3275"/>
      <c r="K627" s="3275"/>
      <c r="M627" s="3278">
        <v>13750</v>
      </c>
      <c r="O627" s="3278">
        <v>0</v>
      </c>
      <c r="P627" s="3278"/>
      <c r="R627" s="3278">
        <v>0</v>
      </c>
    </row>
    <row r="628" ht="12.75" customHeight="1" spans="2:18">
      <c r="B628" s="3274">
        <v>200</v>
      </c>
      <c r="D628" s="3275" t="s">
        <v>11302</v>
      </c>
      <c r="F628" s="3275" t="s">
        <v>11303</v>
      </c>
      <c r="G628" s="3275"/>
      <c r="I628" s="3275" t="s">
        <v>10152</v>
      </c>
      <c r="J628" s="3275"/>
      <c r="K628" s="3275"/>
      <c r="M628" s="3278">
        <v>27000</v>
      </c>
      <c r="O628" s="3278">
        <v>0</v>
      </c>
      <c r="P628" s="3278"/>
      <c r="R628" s="3278">
        <v>0</v>
      </c>
    </row>
    <row r="629" ht="12.75" customHeight="1" spans="2:18">
      <c r="B629" s="3274">
        <v>201</v>
      </c>
      <c r="D629" s="3275" t="s">
        <v>11304</v>
      </c>
      <c r="F629" s="3275" t="s">
        <v>11305</v>
      </c>
      <c r="G629" s="3275"/>
      <c r="I629" s="3275" t="s">
        <v>2293</v>
      </c>
      <c r="J629" s="3275"/>
      <c r="K629" s="3275"/>
      <c r="M629" s="3278">
        <v>3300</v>
      </c>
      <c r="O629" s="3278">
        <v>0</v>
      </c>
      <c r="P629" s="3278"/>
      <c r="R629" s="3278">
        <v>0</v>
      </c>
    </row>
    <row r="630" ht="12.75" customHeight="1" spans="2:18">
      <c r="B630" s="3274">
        <v>202</v>
      </c>
      <c r="D630" s="3275" t="s">
        <v>11306</v>
      </c>
      <c r="F630" s="3275" t="s">
        <v>11307</v>
      </c>
      <c r="G630" s="3275"/>
      <c r="I630" s="3275" t="s">
        <v>2299</v>
      </c>
      <c r="J630" s="3275"/>
      <c r="K630" s="3275"/>
      <c r="M630" s="3278">
        <v>5500</v>
      </c>
      <c r="O630" s="3278">
        <v>0</v>
      </c>
      <c r="P630" s="3278"/>
      <c r="R630" s="3278">
        <v>0</v>
      </c>
    </row>
    <row r="631" ht="12.75" customHeight="1" spans="2:18">
      <c r="B631" s="3274">
        <v>203</v>
      </c>
      <c r="D631" s="3275" t="s">
        <v>11308</v>
      </c>
      <c r="F631" s="3275" t="s">
        <v>11309</v>
      </c>
      <c r="G631" s="3275"/>
      <c r="I631" s="3275" t="s">
        <v>2293</v>
      </c>
      <c r="J631" s="3275"/>
      <c r="K631" s="3275"/>
      <c r="M631" s="3278">
        <v>3300</v>
      </c>
      <c r="O631" s="3278">
        <v>0</v>
      </c>
      <c r="P631" s="3278"/>
      <c r="R631" s="3278">
        <v>0</v>
      </c>
    </row>
    <row r="632" ht="12.75" customHeight="1" spans="2:18">
      <c r="B632" s="3274">
        <v>204</v>
      </c>
      <c r="D632" s="3275" t="s">
        <v>11310</v>
      </c>
      <c r="F632" s="3275" t="s">
        <v>11311</v>
      </c>
      <c r="G632" s="3275"/>
      <c r="I632" s="3275" t="s">
        <v>2293</v>
      </c>
      <c r="J632" s="3275"/>
      <c r="K632" s="3275"/>
      <c r="M632" s="3278">
        <v>5000</v>
      </c>
      <c r="O632" s="3278">
        <v>0</v>
      </c>
      <c r="P632" s="3278"/>
      <c r="R632" s="3278">
        <v>0</v>
      </c>
    </row>
    <row r="633" ht="12.75" customHeight="1" spans="2:18">
      <c r="B633" s="3274">
        <v>205</v>
      </c>
      <c r="D633" s="3275" t="s">
        <v>11312</v>
      </c>
      <c r="F633" s="3275" t="s">
        <v>11313</v>
      </c>
      <c r="G633" s="3275"/>
      <c r="I633" s="3275" t="s">
        <v>5960</v>
      </c>
      <c r="J633" s="3275"/>
      <c r="K633" s="3275"/>
      <c r="M633" s="3278">
        <v>19800</v>
      </c>
      <c r="O633" s="3278">
        <v>0</v>
      </c>
      <c r="P633" s="3278"/>
      <c r="R633" s="3278">
        <v>0</v>
      </c>
    </row>
    <row r="634" ht="12.75" customHeight="1" spans="2:18">
      <c r="B634" s="3274">
        <v>206</v>
      </c>
      <c r="D634" s="3275" t="s">
        <v>11314</v>
      </c>
      <c r="F634" s="3275" t="s">
        <v>11315</v>
      </c>
      <c r="G634" s="3275"/>
      <c r="I634" s="3275" t="s">
        <v>2299</v>
      </c>
      <c r="J634" s="3275"/>
      <c r="K634" s="3275"/>
      <c r="M634" s="3278">
        <v>7700</v>
      </c>
      <c r="O634" s="3278">
        <v>30</v>
      </c>
      <c r="P634" s="3278"/>
      <c r="R634" s="3278">
        <v>231000</v>
      </c>
    </row>
    <row r="635" ht="12.75" customHeight="1" spans="2:18">
      <c r="B635" s="3274">
        <v>207</v>
      </c>
      <c r="D635" s="3275" t="s">
        <v>11316</v>
      </c>
      <c r="F635" s="3275" t="s">
        <v>11317</v>
      </c>
      <c r="G635" s="3275"/>
      <c r="I635" s="3275" t="s">
        <v>2293</v>
      </c>
      <c r="J635" s="3275"/>
      <c r="K635" s="3275"/>
      <c r="M635" s="3278">
        <v>7700</v>
      </c>
      <c r="O635" s="3278">
        <v>9</v>
      </c>
      <c r="P635" s="3278"/>
      <c r="R635" s="3278">
        <v>69300</v>
      </c>
    </row>
    <row r="636" ht="12.75" customHeight="1" spans="2:18">
      <c r="B636" s="3274">
        <v>208</v>
      </c>
      <c r="D636" s="3275" t="s">
        <v>11318</v>
      </c>
      <c r="F636" s="3275" t="s">
        <v>11319</v>
      </c>
      <c r="G636" s="3275"/>
      <c r="I636" s="3275" t="s">
        <v>2457</v>
      </c>
      <c r="J636" s="3275"/>
      <c r="K636" s="3275"/>
      <c r="M636" s="3278">
        <v>5280</v>
      </c>
      <c r="O636" s="3278">
        <v>67</v>
      </c>
      <c r="P636" s="3278"/>
      <c r="R636" s="3278">
        <v>353760</v>
      </c>
    </row>
    <row r="637" ht="12.75" customHeight="1" spans="2:18">
      <c r="B637" s="3274">
        <v>209</v>
      </c>
      <c r="D637" s="3275" t="s">
        <v>11320</v>
      </c>
      <c r="F637" s="3275" t="s">
        <v>11321</v>
      </c>
      <c r="G637" s="3275"/>
      <c r="I637" s="3275" t="s">
        <v>2299</v>
      </c>
      <c r="J637" s="3275"/>
      <c r="K637" s="3275"/>
      <c r="M637" s="3278">
        <v>6050</v>
      </c>
      <c r="O637" s="3278">
        <v>84</v>
      </c>
      <c r="P637" s="3278"/>
      <c r="R637" s="3278">
        <v>508200</v>
      </c>
    </row>
    <row r="638" ht="12.75" customHeight="1" spans="2:18">
      <c r="B638" s="3274">
        <v>210</v>
      </c>
      <c r="D638" s="3275" t="s">
        <v>11322</v>
      </c>
      <c r="F638" s="3275" t="s">
        <v>11323</v>
      </c>
      <c r="G638" s="3275"/>
      <c r="I638" s="3275" t="s">
        <v>10149</v>
      </c>
      <c r="J638" s="3275"/>
      <c r="K638" s="3275"/>
      <c r="M638" s="3278">
        <v>8000</v>
      </c>
      <c r="O638" s="3278">
        <v>0</v>
      </c>
      <c r="P638" s="3278"/>
      <c r="R638" s="3278">
        <v>0</v>
      </c>
    </row>
    <row r="639" ht="12.75" customHeight="1" spans="2:18">
      <c r="B639" s="3274">
        <v>211</v>
      </c>
      <c r="D639" s="3275" t="s">
        <v>11324</v>
      </c>
      <c r="F639" s="3275" t="s">
        <v>11325</v>
      </c>
      <c r="G639" s="3275"/>
      <c r="I639" s="3275" t="s">
        <v>10149</v>
      </c>
      <c r="J639" s="3275"/>
      <c r="K639" s="3275"/>
      <c r="M639" s="3278">
        <v>20000</v>
      </c>
      <c r="O639" s="3278">
        <v>0</v>
      </c>
      <c r="P639" s="3278"/>
      <c r="R639" s="3278">
        <v>0</v>
      </c>
    </row>
    <row r="640" ht="12.75" customHeight="1" spans="2:18">
      <c r="B640" s="3274">
        <v>212</v>
      </c>
      <c r="D640" s="3275" t="s">
        <v>11326</v>
      </c>
      <c r="F640" s="3275" t="s">
        <v>11327</v>
      </c>
      <c r="G640" s="3275"/>
      <c r="I640" s="3275" t="s">
        <v>2299</v>
      </c>
      <c r="J640" s="3275"/>
      <c r="K640" s="3275"/>
      <c r="M640" s="3278">
        <v>14000</v>
      </c>
      <c r="O640" s="3278">
        <v>0</v>
      </c>
      <c r="P640" s="3278"/>
      <c r="R640" s="3278">
        <v>0</v>
      </c>
    </row>
    <row r="641" ht="12.75" customHeight="1" spans="2:18">
      <c r="B641" s="3274">
        <v>213</v>
      </c>
      <c r="D641" s="3275" t="s">
        <v>11328</v>
      </c>
      <c r="F641" s="3275" t="s">
        <v>11329</v>
      </c>
      <c r="G641" s="3275"/>
      <c r="I641" s="3275" t="s">
        <v>2299</v>
      </c>
      <c r="J641" s="3275"/>
      <c r="K641" s="3275"/>
      <c r="M641" s="3278">
        <v>4400</v>
      </c>
      <c r="O641" s="3278">
        <v>0</v>
      </c>
      <c r="P641" s="3278"/>
      <c r="R641" s="3278">
        <v>0</v>
      </c>
    </row>
    <row r="642" ht="12.75" customHeight="1" spans="2:18">
      <c r="B642" s="3274">
        <v>214</v>
      </c>
      <c r="D642" s="3275" t="s">
        <v>11330</v>
      </c>
      <c r="F642" s="3275" t="s">
        <v>11331</v>
      </c>
      <c r="G642" s="3275"/>
      <c r="I642" s="3275" t="s">
        <v>2299</v>
      </c>
      <c r="J642" s="3275"/>
      <c r="K642" s="3275"/>
      <c r="M642" s="3278">
        <v>1650</v>
      </c>
      <c r="O642" s="3278">
        <v>0</v>
      </c>
      <c r="P642" s="3278"/>
      <c r="R642" s="3278">
        <v>0</v>
      </c>
    </row>
    <row r="643" ht="12.75" customHeight="1" spans="2:18">
      <c r="B643" s="3274">
        <v>215</v>
      </c>
      <c r="D643" s="3275" t="s">
        <v>11332</v>
      </c>
      <c r="F643" s="3275" t="s">
        <v>11333</v>
      </c>
      <c r="G643" s="3275"/>
      <c r="I643" s="3275" t="s">
        <v>2299</v>
      </c>
      <c r="J643" s="3275"/>
      <c r="K643" s="3275"/>
      <c r="M643" s="3278">
        <v>16500</v>
      </c>
      <c r="O643" s="3278">
        <v>0</v>
      </c>
      <c r="P643" s="3278"/>
      <c r="R643" s="3278">
        <v>0</v>
      </c>
    </row>
    <row r="644" ht="12.75" customHeight="1" spans="2:18">
      <c r="B644" s="3274">
        <v>216</v>
      </c>
      <c r="D644" s="3275" t="s">
        <v>11334</v>
      </c>
      <c r="F644" s="3275" t="s">
        <v>11335</v>
      </c>
      <c r="G644" s="3275"/>
      <c r="I644" s="3275" t="s">
        <v>2293</v>
      </c>
      <c r="J644" s="3275"/>
      <c r="K644" s="3275"/>
      <c r="M644" s="3278">
        <v>64900</v>
      </c>
      <c r="O644" s="3278">
        <v>1</v>
      </c>
      <c r="P644" s="3278"/>
      <c r="R644" s="3278">
        <v>64900</v>
      </c>
    </row>
    <row r="645" ht="12.75" customHeight="1" spans="2:18">
      <c r="B645" s="3274">
        <v>217</v>
      </c>
      <c r="D645" s="3275" t="s">
        <v>11336</v>
      </c>
      <c r="F645" s="3275" t="s">
        <v>11337</v>
      </c>
      <c r="G645" s="3275"/>
      <c r="I645" s="3275" t="s">
        <v>2299</v>
      </c>
      <c r="J645" s="3275"/>
      <c r="K645" s="3275"/>
      <c r="M645" s="3278">
        <v>2750</v>
      </c>
      <c r="O645" s="3278">
        <v>0</v>
      </c>
      <c r="P645" s="3278"/>
      <c r="R645" s="3278">
        <v>0</v>
      </c>
    </row>
    <row r="646" ht="12.75" customHeight="1" spans="2:18">
      <c r="B646" s="3274">
        <v>218</v>
      </c>
      <c r="D646" s="3275" t="s">
        <v>11338</v>
      </c>
      <c r="F646" s="3275" t="s">
        <v>11339</v>
      </c>
      <c r="G646" s="3275"/>
      <c r="I646" s="3275" t="s">
        <v>2293</v>
      </c>
      <c r="J646" s="3275"/>
      <c r="K646" s="3275"/>
      <c r="M646" s="3278">
        <v>14300</v>
      </c>
      <c r="O646" s="3278">
        <v>2</v>
      </c>
      <c r="P646" s="3278"/>
      <c r="R646" s="3278">
        <v>28600</v>
      </c>
    </row>
    <row r="647" ht="12.75" customHeight="1" spans="2:18">
      <c r="B647" s="3274">
        <v>219</v>
      </c>
      <c r="D647" s="3275" t="s">
        <v>11340</v>
      </c>
      <c r="F647" s="3275" t="s">
        <v>11341</v>
      </c>
      <c r="G647" s="3275"/>
      <c r="I647" s="3275" t="s">
        <v>2299</v>
      </c>
      <c r="J647" s="3275"/>
      <c r="K647" s="3275"/>
      <c r="M647" s="3278">
        <v>13000</v>
      </c>
      <c r="O647" s="3278">
        <v>13</v>
      </c>
      <c r="P647" s="3278"/>
      <c r="R647" s="3278">
        <v>169000</v>
      </c>
    </row>
    <row r="648" ht="12.75" customHeight="1" spans="2:18">
      <c r="B648" s="3274">
        <v>220</v>
      </c>
      <c r="D648" s="3275" t="s">
        <v>11342</v>
      </c>
      <c r="F648" s="3275" t="s">
        <v>11343</v>
      </c>
      <c r="G648" s="3275"/>
      <c r="I648" s="3275" t="s">
        <v>2299</v>
      </c>
      <c r="J648" s="3275"/>
      <c r="K648" s="3275"/>
      <c r="M648" s="3278">
        <v>12375</v>
      </c>
      <c r="O648" s="3278">
        <v>9</v>
      </c>
      <c r="P648" s="3278"/>
      <c r="R648" s="3278">
        <v>111375</v>
      </c>
    </row>
    <row r="649" ht="12.75" customHeight="1" spans="2:18">
      <c r="B649" s="3274">
        <v>221</v>
      </c>
      <c r="D649" s="3275" t="s">
        <v>11344</v>
      </c>
      <c r="F649" s="3275" t="s">
        <v>11345</v>
      </c>
      <c r="G649" s="3275"/>
      <c r="I649" s="3275" t="s">
        <v>2299</v>
      </c>
      <c r="J649" s="3275"/>
      <c r="K649" s="3275"/>
      <c r="M649" s="3278">
        <v>34100</v>
      </c>
      <c r="O649" s="3278">
        <v>0</v>
      </c>
      <c r="P649" s="3278"/>
      <c r="R649" s="3278">
        <v>0</v>
      </c>
    </row>
    <row r="650" ht="12.75" customHeight="1" spans="2:18">
      <c r="B650" s="3274">
        <v>222</v>
      </c>
      <c r="D650" s="3275" t="s">
        <v>11346</v>
      </c>
      <c r="F650" s="3275" t="s">
        <v>11347</v>
      </c>
      <c r="G650" s="3275"/>
      <c r="I650" s="3275" t="s">
        <v>2299</v>
      </c>
      <c r="J650" s="3275"/>
      <c r="K650" s="3275"/>
      <c r="M650" s="3278">
        <v>41250</v>
      </c>
      <c r="O650" s="3278">
        <v>0</v>
      </c>
      <c r="P650" s="3278"/>
      <c r="R650" s="3278">
        <v>0</v>
      </c>
    </row>
    <row r="651" ht="12.75" customHeight="1" spans="2:18">
      <c r="B651" s="3274">
        <v>223</v>
      </c>
      <c r="D651" s="3275" t="s">
        <v>11348</v>
      </c>
      <c r="F651" s="3275" t="s">
        <v>11349</v>
      </c>
      <c r="G651" s="3275"/>
      <c r="I651" s="3275" t="s">
        <v>2299</v>
      </c>
      <c r="J651" s="3275"/>
      <c r="K651" s="3275"/>
      <c r="M651" s="3278">
        <v>66000</v>
      </c>
      <c r="O651" s="3278">
        <v>0</v>
      </c>
      <c r="P651" s="3278"/>
      <c r="R651" s="3278">
        <v>0</v>
      </c>
    </row>
    <row r="652" ht="12.75" customHeight="1" spans="2:18">
      <c r="B652" s="3274">
        <v>224</v>
      </c>
      <c r="D652" s="3275" t="s">
        <v>11350</v>
      </c>
      <c r="F652" s="3275" t="s">
        <v>11351</v>
      </c>
      <c r="G652" s="3275"/>
      <c r="I652" s="3275" t="s">
        <v>2457</v>
      </c>
      <c r="J652" s="3275"/>
      <c r="K652" s="3275"/>
      <c r="M652" s="3278">
        <v>2704.163</v>
      </c>
      <c r="O652" s="3278">
        <v>14</v>
      </c>
      <c r="P652" s="3278"/>
      <c r="R652" s="3278">
        <v>37858.282</v>
      </c>
    </row>
    <row r="653" ht="12.75" customHeight="1" spans="2:18">
      <c r="B653" s="3274">
        <v>225</v>
      </c>
      <c r="D653" s="3275" t="s">
        <v>11352</v>
      </c>
      <c r="F653" s="3275" t="s">
        <v>11353</v>
      </c>
      <c r="G653" s="3275"/>
      <c r="I653" s="3275" t="s">
        <v>2293</v>
      </c>
      <c r="J653" s="3275"/>
      <c r="K653" s="3275"/>
      <c r="M653" s="3278">
        <v>33000</v>
      </c>
      <c r="O653" s="3278">
        <v>1</v>
      </c>
      <c r="P653" s="3278"/>
      <c r="R653" s="3278">
        <v>33000</v>
      </c>
    </row>
    <row r="654" ht="12.75" customHeight="1" spans="2:18">
      <c r="B654" s="3274">
        <v>226</v>
      </c>
      <c r="D654" s="3275" t="s">
        <v>11354</v>
      </c>
      <c r="F654" s="3275" t="s">
        <v>11355</v>
      </c>
      <c r="G654" s="3275"/>
      <c r="I654" s="3275" t="s">
        <v>2299</v>
      </c>
      <c r="J654" s="3275"/>
      <c r="K654" s="3275"/>
      <c r="M654" s="3278">
        <v>5000</v>
      </c>
      <c r="O654" s="3278">
        <v>0</v>
      </c>
      <c r="P654" s="3278"/>
      <c r="R654" s="3278">
        <v>0</v>
      </c>
    </row>
    <row r="655" ht="12.75" customHeight="1" spans="2:18">
      <c r="B655" s="3274">
        <v>227</v>
      </c>
      <c r="D655" s="3275" t="s">
        <v>11356</v>
      </c>
      <c r="F655" s="3275" t="s">
        <v>11357</v>
      </c>
      <c r="G655" s="3275"/>
      <c r="I655" s="3275" t="s">
        <v>2457</v>
      </c>
      <c r="J655" s="3275"/>
      <c r="K655" s="3275"/>
      <c r="M655" s="3278">
        <v>9900</v>
      </c>
      <c r="O655" s="3278">
        <v>3</v>
      </c>
      <c r="P655" s="3278"/>
      <c r="R655" s="3278">
        <v>29700</v>
      </c>
    </row>
    <row r="656" ht="12.75" customHeight="1" spans="2:18">
      <c r="B656" s="3274">
        <v>228</v>
      </c>
      <c r="D656" s="3275" t="s">
        <v>11358</v>
      </c>
      <c r="F656" s="3275" t="s">
        <v>11359</v>
      </c>
      <c r="G656" s="3275"/>
      <c r="I656" s="3275" t="s">
        <v>2293</v>
      </c>
      <c r="J656" s="3275"/>
      <c r="K656" s="3275"/>
      <c r="M656" s="3278">
        <v>60000</v>
      </c>
      <c r="O656" s="3278">
        <v>1</v>
      </c>
      <c r="P656" s="3278"/>
      <c r="R656" s="3278">
        <v>60000</v>
      </c>
    </row>
    <row r="657" ht="12.75" customHeight="1" spans="2:18">
      <c r="B657" s="3274">
        <v>229</v>
      </c>
      <c r="D657" s="3275" t="s">
        <v>11360</v>
      </c>
      <c r="F657" s="3275" t="s">
        <v>11361</v>
      </c>
      <c r="G657" s="3275"/>
      <c r="I657" s="3275" t="s">
        <v>10152</v>
      </c>
      <c r="J657" s="3275"/>
      <c r="K657" s="3275"/>
      <c r="M657" s="3278">
        <v>140000</v>
      </c>
      <c r="O657" s="3278">
        <v>3</v>
      </c>
      <c r="P657" s="3278"/>
      <c r="R657" s="3278">
        <v>420000</v>
      </c>
    </row>
    <row r="658" ht="12.75" customHeight="1" spans="2:18">
      <c r="B658" s="3274">
        <v>230</v>
      </c>
      <c r="D658" s="3275" t="s">
        <v>11362</v>
      </c>
      <c r="F658" s="3275" t="s">
        <v>11363</v>
      </c>
      <c r="G658" s="3275"/>
      <c r="I658" s="3275" t="s">
        <v>2299</v>
      </c>
      <c r="J658" s="3275"/>
      <c r="K658" s="3275"/>
      <c r="M658" s="3278">
        <v>8983.337</v>
      </c>
      <c r="O658" s="3278">
        <v>6</v>
      </c>
      <c r="P658" s="3278"/>
      <c r="R658" s="3278">
        <v>53900.022</v>
      </c>
    </row>
    <row r="659" ht="12.75" customHeight="1" spans="2:18">
      <c r="B659" s="3274">
        <v>231</v>
      </c>
      <c r="D659" s="3275" t="s">
        <v>11364</v>
      </c>
      <c r="F659" s="3275" t="s">
        <v>11365</v>
      </c>
      <c r="G659" s="3275"/>
      <c r="I659" s="3275" t="s">
        <v>2293</v>
      </c>
      <c r="J659" s="3275"/>
      <c r="K659" s="3275"/>
      <c r="M659" s="3278">
        <v>0</v>
      </c>
      <c r="O659" s="3278">
        <v>0</v>
      </c>
      <c r="P659" s="3278"/>
      <c r="R659" s="3278">
        <v>0</v>
      </c>
    </row>
    <row r="660" ht="13.35" customHeight="1" spans="3:18">
      <c r="C660" s="3276" t="s">
        <v>11366</v>
      </c>
      <c r="D660" s="3276"/>
      <c r="E660" s="3276"/>
      <c r="F660" s="3276"/>
      <c r="R660" s="3279">
        <v>25634667.6546</v>
      </c>
    </row>
    <row r="661" ht="15" customHeight="1" spans="3:18">
      <c r="C661" s="3276" t="s">
        <v>11367</v>
      </c>
      <c r="D661" s="3276"/>
      <c r="E661" s="3276"/>
      <c r="F661" s="3276"/>
      <c r="R661" s="3282">
        <v>266375552.2984</v>
      </c>
    </row>
    <row r="662" ht="13.35" customHeight="1" spans="3:18">
      <c r="C662" s="3276" t="s">
        <v>10088</v>
      </c>
      <c r="D662" s="3276"/>
      <c r="E662" s="3276"/>
      <c r="F662" s="3276"/>
      <c r="R662" s="3282">
        <v>266375552.2984</v>
      </c>
    </row>
    <row r="663" spans="5:18">
      <c r="E663" s="3280"/>
      <c r="F663" s="3280"/>
      <c r="G663" s="3280"/>
      <c r="M663" s="3281" t="s">
        <v>11368</v>
      </c>
      <c r="R663" s="3282">
        <f>'C'!L15</f>
        <v>0</v>
      </c>
    </row>
    <row r="664" spans="13:18">
      <c r="M664" s="784" t="s">
        <v>10090</v>
      </c>
      <c r="R664" s="3282">
        <f>R662-R663</f>
        <v>266375552.2984</v>
      </c>
    </row>
  </sheetData>
  <mergeCells count="1888">
    <mergeCell ref="A1:J1"/>
    <mergeCell ref="P1:R1"/>
    <mergeCell ref="A2:R2"/>
    <mergeCell ref="A3:R3"/>
    <mergeCell ref="B7:C7"/>
    <mergeCell ref="D7:I7"/>
    <mergeCell ref="F9:G9"/>
    <mergeCell ref="I9:K9"/>
    <mergeCell ref="O9:P9"/>
    <mergeCell ref="B10:G10"/>
    <mergeCell ref="F11:G11"/>
    <mergeCell ref="I11:K11"/>
    <mergeCell ref="O11:P11"/>
    <mergeCell ref="F12:G12"/>
    <mergeCell ref="I12:K12"/>
    <mergeCell ref="O12:P12"/>
    <mergeCell ref="F13:G13"/>
    <mergeCell ref="I13:K13"/>
    <mergeCell ref="O13:P13"/>
    <mergeCell ref="F14:G14"/>
    <mergeCell ref="I14:K14"/>
    <mergeCell ref="O14:P14"/>
    <mergeCell ref="F15:G15"/>
    <mergeCell ref="I15:K15"/>
    <mergeCell ref="O15:P15"/>
    <mergeCell ref="F16:G16"/>
    <mergeCell ref="I16:K16"/>
    <mergeCell ref="O16:P16"/>
    <mergeCell ref="F17:G17"/>
    <mergeCell ref="I17:K17"/>
    <mergeCell ref="O17:P17"/>
    <mergeCell ref="C18:F18"/>
    <mergeCell ref="B19:G19"/>
    <mergeCell ref="F20:G20"/>
    <mergeCell ref="I20:K20"/>
    <mergeCell ref="O20:P20"/>
    <mergeCell ref="F21:G21"/>
    <mergeCell ref="I21:K21"/>
    <mergeCell ref="O21:P21"/>
    <mergeCell ref="F22:G22"/>
    <mergeCell ref="I22:K22"/>
    <mergeCell ref="O22:P22"/>
    <mergeCell ref="C23:F23"/>
    <mergeCell ref="B24:G24"/>
    <mergeCell ref="F25:G25"/>
    <mergeCell ref="I25:K25"/>
    <mergeCell ref="O25:P25"/>
    <mergeCell ref="F26:G26"/>
    <mergeCell ref="I26:K26"/>
    <mergeCell ref="O26:P26"/>
    <mergeCell ref="F27:G27"/>
    <mergeCell ref="I27:K27"/>
    <mergeCell ref="O27:P27"/>
    <mergeCell ref="F28:G28"/>
    <mergeCell ref="I28:K28"/>
    <mergeCell ref="O28:P28"/>
    <mergeCell ref="F29:G29"/>
    <mergeCell ref="I29:K29"/>
    <mergeCell ref="O29:P29"/>
    <mergeCell ref="F30:G30"/>
    <mergeCell ref="I30:K30"/>
    <mergeCell ref="O30:P30"/>
    <mergeCell ref="F31:G31"/>
    <mergeCell ref="I31:K31"/>
    <mergeCell ref="O31:P31"/>
    <mergeCell ref="F32:G32"/>
    <mergeCell ref="I32:K32"/>
    <mergeCell ref="O32:P32"/>
    <mergeCell ref="F33:G33"/>
    <mergeCell ref="I33:K33"/>
    <mergeCell ref="O33:P33"/>
    <mergeCell ref="F34:G34"/>
    <mergeCell ref="I34:K34"/>
    <mergeCell ref="O34:P34"/>
    <mergeCell ref="F35:G35"/>
    <mergeCell ref="I35:K35"/>
    <mergeCell ref="O35:P35"/>
    <mergeCell ref="F36:G36"/>
    <mergeCell ref="I36:K36"/>
    <mergeCell ref="O36:P36"/>
    <mergeCell ref="F37:G37"/>
    <mergeCell ref="I37:K37"/>
    <mergeCell ref="O37:P37"/>
    <mergeCell ref="F38:G38"/>
    <mergeCell ref="I38:K38"/>
    <mergeCell ref="O38:P38"/>
    <mergeCell ref="F39:G39"/>
    <mergeCell ref="I39:K39"/>
    <mergeCell ref="O39:P39"/>
    <mergeCell ref="F40:G40"/>
    <mergeCell ref="I40:K40"/>
    <mergeCell ref="O40:P40"/>
    <mergeCell ref="F41:G41"/>
    <mergeCell ref="I41:K41"/>
    <mergeCell ref="O41:P41"/>
    <mergeCell ref="F42:G42"/>
    <mergeCell ref="I42:K42"/>
    <mergeCell ref="O42:P42"/>
    <mergeCell ref="F43:G43"/>
    <mergeCell ref="I43:K43"/>
    <mergeCell ref="O43:P43"/>
    <mergeCell ref="F44:G44"/>
    <mergeCell ref="I44:K44"/>
    <mergeCell ref="O44:P44"/>
    <mergeCell ref="F45:G45"/>
    <mergeCell ref="I45:K45"/>
    <mergeCell ref="O45:P45"/>
    <mergeCell ref="F46:G46"/>
    <mergeCell ref="I46:K46"/>
    <mergeCell ref="O46:P46"/>
    <mergeCell ref="F47:G47"/>
    <mergeCell ref="I47:K47"/>
    <mergeCell ref="O47:P47"/>
    <mergeCell ref="F48:G48"/>
    <mergeCell ref="I48:K48"/>
    <mergeCell ref="O48:P48"/>
    <mergeCell ref="F49:G49"/>
    <mergeCell ref="I49:K49"/>
    <mergeCell ref="O49:P49"/>
    <mergeCell ref="F50:G50"/>
    <mergeCell ref="I50:K50"/>
    <mergeCell ref="O50:P50"/>
    <mergeCell ref="F51:G51"/>
    <mergeCell ref="I51:K51"/>
    <mergeCell ref="O51:P51"/>
    <mergeCell ref="F52:G52"/>
    <mergeCell ref="I52:K52"/>
    <mergeCell ref="O52:P52"/>
    <mergeCell ref="F53:G53"/>
    <mergeCell ref="I53:K53"/>
    <mergeCell ref="O53:P53"/>
    <mergeCell ref="F54:G54"/>
    <mergeCell ref="I54:K54"/>
    <mergeCell ref="O54:P54"/>
    <mergeCell ref="F55:G55"/>
    <mergeCell ref="I55:K55"/>
    <mergeCell ref="O55:P55"/>
    <mergeCell ref="F56:G56"/>
    <mergeCell ref="I56:K56"/>
    <mergeCell ref="O56:P56"/>
    <mergeCell ref="F57:G57"/>
    <mergeCell ref="I57:K57"/>
    <mergeCell ref="O57:P57"/>
    <mergeCell ref="F58:G58"/>
    <mergeCell ref="I58:K58"/>
    <mergeCell ref="O58:P58"/>
    <mergeCell ref="F59:G59"/>
    <mergeCell ref="I59:K59"/>
    <mergeCell ref="O59:P59"/>
    <mergeCell ref="F60:G60"/>
    <mergeCell ref="I60:K60"/>
    <mergeCell ref="O60:P60"/>
    <mergeCell ref="F61:G61"/>
    <mergeCell ref="I61:K61"/>
    <mergeCell ref="O61:P61"/>
    <mergeCell ref="F62:G62"/>
    <mergeCell ref="I62:K62"/>
    <mergeCell ref="O62:P62"/>
    <mergeCell ref="F63:G63"/>
    <mergeCell ref="I63:K63"/>
    <mergeCell ref="O63:P63"/>
    <mergeCell ref="F64:G64"/>
    <mergeCell ref="I64:K64"/>
    <mergeCell ref="O64:P64"/>
    <mergeCell ref="F65:G65"/>
    <mergeCell ref="I65:K65"/>
    <mergeCell ref="O65:P65"/>
    <mergeCell ref="F66:G66"/>
    <mergeCell ref="I66:K66"/>
    <mergeCell ref="O66:P66"/>
    <mergeCell ref="F67:G67"/>
    <mergeCell ref="I67:K67"/>
    <mergeCell ref="O67:P67"/>
    <mergeCell ref="F68:G68"/>
    <mergeCell ref="I68:K68"/>
    <mergeCell ref="O68:P68"/>
    <mergeCell ref="F69:G69"/>
    <mergeCell ref="I69:K69"/>
    <mergeCell ref="O69:P69"/>
    <mergeCell ref="F70:G70"/>
    <mergeCell ref="I70:K70"/>
    <mergeCell ref="O70:P70"/>
    <mergeCell ref="F71:G71"/>
    <mergeCell ref="I71:K71"/>
    <mergeCell ref="O71:P71"/>
    <mergeCell ref="F72:G72"/>
    <mergeCell ref="I72:K72"/>
    <mergeCell ref="O72:P72"/>
    <mergeCell ref="F73:G73"/>
    <mergeCell ref="I73:K73"/>
    <mergeCell ref="O73:P73"/>
    <mergeCell ref="F74:G74"/>
    <mergeCell ref="I74:K74"/>
    <mergeCell ref="O74:P74"/>
    <mergeCell ref="F75:G75"/>
    <mergeCell ref="I75:K75"/>
    <mergeCell ref="O75:P75"/>
    <mergeCell ref="F76:G76"/>
    <mergeCell ref="I76:K76"/>
    <mergeCell ref="O76:P76"/>
    <mergeCell ref="F77:G77"/>
    <mergeCell ref="I77:K77"/>
    <mergeCell ref="O77:P77"/>
    <mergeCell ref="F78:G78"/>
    <mergeCell ref="I78:K78"/>
    <mergeCell ref="O78:P78"/>
    <mergeCell ref="F79:G79"/>
    <mergeCell ref="I79:K79"/>
    <mergeCell ref="O79:P79"/>
    <mergeCell ref="F80:G80"/>
    <mergeCell ref="I80:K80"/>
    <mergeCell ref="O80:P80"/>
    <mergeCell ref="F81:G81"/>
    <mergeCell ref="I81:K81"/>
    <mergeCell ref="O81:P81"/>
    <mergeCell ref="F82:G82"/>
    <mergeCell ref="I82:K82"/>
    <mergeCell ref="O82:P82"/>
    <mergeCell ref="F83:G83"/>
    <mergeCell ref="I83:K83"/>
    <mergeCell ref="O83:P83"/>
    <mergeCell ref="F84:G84"/>
    <mergeCell ref="I84:K84"/>
    <mergeCell ref="O84:P84"/>
    <mergeCell ref="F85:G85"/>
    <mergeCell ref="I85:K85"/>
    <mergeCell ref="O85:P85"/>
    <mergeCell ref="F86:G86"/>
    <mergeCell ref="I86:K86"/>
    <mergeCell ref="O86:P86"/>
    <mergeCell ref="F87:G87"/>
    <mergeCell ref="I87:K87"/>
    <mergeCell ref="O87:P87"/>
    <mergeCell ref="F88:G88"/>
    <mergeCell ref="I88:K88"/>
    <mergeCell ref="O88:P88"/>
    <mergeCell ref="F89:G89"/>
    <mergeCell ref="I89:K89"/>
    <mergeCell ref="O89:P89"/>
    <mergeCell ref="F90:G90"/>
    <mergeCell ref="I90:K90"/>
    <mergeCell ref="O90:P90"/>
    <mergeCell ref="F91:G91"/>
    <mergeCell ref="I91:K91"/>
    <mergeCell ref="O91:P91"/>
    <mergeCell ref="F92:G92"/>
    <mergeCell ref="I92:K92"/>
    <mergeCell ref="O92:P92"/>
    <mergeCell ref="F93:G93"/>
    <mergeCell ref="I93:K93"/>
    <mergeCell ref="O93:P93"/>
    <mergeCell ref="F94:G94"/>
    <mergeCell ref="I94:K94"/>
    <mergeCell ref="O94:P94"/>
    <mergeCell ref="F95:G95"/>
    <mergeCell ref="I95:K95"/>
    <mergeCell ref="O95:P95"/>
    <mergeCell ref="F96:G96"/>
    <mergeCell ref="I96:K96"/>
    <mergeCell ref="O96:P96"/>
    <mergeCell ref="F97:G97"/>
    <mergeCell ref="I97:K97"/>
    <mergeCell ref="O97:P97"/>
    <mergeCell ref="F98:G98"/>
    <mergeCell ref="I98:K98"/>
    <mergeCell ref="O98:P98"/>
    <mergeCell ref="F99:G99"/>
    <mergeCell ref="I99:K99"/>
    <mergeCell ref="O99:P99"/>
    <mergeCell ref="F100:G100"/>
    <mergeCell ref="I100:K100"/>
    <mergeCell ref="O100:P100"/>
    <mergeCell ref="F101:G101"/>
    <mergeCell ref="I101:K101"/>
    <mergeCell ref="O101:P101"/>
    <mergeCell ref="F102:G102"/>
    <mergeCell ref="I102:K102"/>
    <mergeCell ref="O102:P102"/>
    <mergeCell ref="F103:G103"/>
    <mergeCell ref="I103:K103"/>
    <mergeCell ref="O103:P103"/>
    <mergeCell ref="F104:G104"/>
    <mergeCell ref="I104:K104"/>
    <mergeCell ref="O104:P104"/>
    <mergeCell ref="F105:G105"/>
    <mergeCell ref="I105:K105"/>
    <mergeCell ref="O105:P105"/>
    <mergeCell ref="F106:G106"/>
    <mergeCell ref="I106:K106"/>
    <mergeCell ref="O106:P106"/>
    <mergeCell ref="F107:G107"/>
    <mergeCell ref="I107:K107"/>
    <mergeCell ref="O107:P107"/>
    <mergeCell ref="F108:G108"/>
    <mergeCell ref="I108:K108"/>
    <mergeCell ref="O108:P108"/>
    <mergeCell ref="F109:G109"/>
    <mergeCell ref="I109:K109"/>
    <mergeCell ref="O109:P109"/>
    <mergeCell ref="F110:G110"/>
    <mergeCell ref="I110:K110"/>
    <mergeCell ref="O110:P110"/>
    <mergeCell ref="F111:G111"/>
    <mergeCell ref="I111:K111"/>
    <mergeCell ref="O111:P111"/>
    <mergeCell ref="F112:G112"/>
    <mergeCell ref="I112:K112"/>
    <mergeCell ref="O112:P112"/>
    <mergeCell ref="F113:G113"/>
    <mergeCell ref="I113:K113"/>
    <mergeCell ref="O113:P113"/>
    <mergeCell ref="F114:G114"/>
    <mergeCell ref="I114:K114"/>
    <mergeCell ref="O114:P114"/>
    <mergeCell ref="F115:G115"/>
    <mergeCell ref="I115:K115"/>
    <mergeCell ref="O115:P115"/>
    <mergeCell ref="F116:G116"/>
    <mergeCell ref="I116:K116"/>
    <mergeCell ref="O116:P116"/>
    <mergeCell ref="F117:G117"/>
    <mergeCell ref="I117:K117"/>
    <mergeCell ref="O117:P117"/>
    <mergeCell ref="F118:G118"/>
    <mergeCell ref="I118:K118"/>
    <mergeCell ref="O118:P118"/>
    <mergeCell ref="F119:G119"/>
    <mergeCell ref="I119:K119"/>
    <mergeCell ref="O119:P119"/>
    <mergeCell ref="F120:G120"/>
    <mergeCell ref="I120:K120"/>
    <mergeCell ref="O120:P120"/>
    <mergeCell ref="F121:G121"/>
    <mergeCell ref="I121:K121"/>
    <mergeCell ref="O121:P121"/>
    <mergeCell ref="F122:G122"/>
    <mergeCell ref="I122:K122"/>
    <mergeCell ref="O122:P122"/>
    <mergeCell ref="F123:G123"/>
    <mergeCell ref="I123:K123"/>
    <mergeCell ref="O123:P123"/>
    <mergeCell ref="F124:G124"/>
    <mergeCell ref="I124:K124"/>
    <mergeCell ref="O124:P124"/>
    <mergeCell ref="F125:G125"/>
    <mergeCell ref="I125:K125"/>
    <mergeCell ref="O125:P125"/>
    <mergeCell ref="F126:G126"/>
    <mergeCell ref="I126:K126"/>
    <mergeCell ref="O126:P126"/>
    <mergeCell ref="F127:G127"/>
    <mergeCell ref="I127:K127"/>
    <mergeCell ref="O127:P127"/>
    <mergeCell ref="F128:G128"/>
    <mergeCell ref="I128:K128"/>
    <mergeCell ref="O128:P128"/>
    <mergeCell ref="F129:G129"/>
    <mergeCell ref="I129:K129"/>
    <mergeCell ref="O129:P129"/>
    <mergeCell ref="F130:G130"/>
    <mergeCell ref="I130:K130"/>
    <mergeCell ref="O130:P130"/>
    <mergeCell ref="F131:G131"/>
    <mergeCell ref="I131:K131"/>
    <mergeCell ref="O131:P131"/>
    <mergeCell ref="F132:G132"/>
    <mergeCell ref="I132:K132"/>
    <mergeCell ref="O132:P132"/>
    <mergeCell ref="F133:G133"/>
    <mergeCell ref="I133:K133"/>
    <mergeCell ref="O133:P133"/>
    <mergeCell ref="F134:G134"/>
    <mergeCell ref="I134:K134"/>
    <mergeCell ref="O134:P134"/>
    <mergeCell ref="F135:G135"/>
    <mergeCell ref="I135:K135"/>
    <mergeCell ref="O135:P135"/>
    <mergeCell ref="F136:G136"/>
    <mergeCell ref="I136:K136"/>
    <mergeCell ref="O136:P136"/>
    <mergeCell ref="F137:G137"/>
    <mergeCell ref="I137:K137"/>
    <mergeCell ref="O137:P137"/>
    <mergeCell ref="F138:G138"/>
    <mergeCell ref="I138:K138"/>
    <mergeCell ref="O138:P138"/>
    <mergeCell ref="F139:G139"/>
    <mergeCell ref="I139:K139"/>
    <mergeCell ref="O139:P139"/>
    <mergeCell ref="F140:G140"/>
    <mergeCell ref="I140:K140"/>
    <mergeCell ref="O140:P140"/>
    <mergeCell ref="F141:G141"/>
    <mergeCell ref="I141:K141"/>
    <mergeCell ref="O141:P141"/>
    <mergeCell ref="F142:G142"/>
    <mergeCell ref="I142:K142"/>
    <mergeCell ref="O142:P142"/>
    <mergeCell ref="F143:G143"/>
    <mergeCell ref="I143:K143"/>
    <mergeCell ref="O143:P143"/>
    <mergeCell ref="F144:G144"/>
    <mergeCell ref="I144:K144"/>
    <mergeCell ref="O144:P144"/>
    <mergeCell ref="F145:G145"/>
    <mergeCell ref="I145:K145"/>
    <mergeCell ref="O145:P145"/>
    <mergeCell ref="F146:G146"/>
    <mergeCell ref="I146:K146"/>
    <mergeCell ref="O146:P146"/>
    <mergeCell ref="F147:G147"/>
    <mergeCell ref="I147:K147"/>
    <mergeCell ref="O147:P147"/>
    <mergeCell ref="F148:G148"/>
    <mergeCell ref="I148:K148"/>
    <mergeCell ref="O148:P148"/>
    <mergeCell ref="F149:G149"/>
    <mergeCell ref="I149:K149"/>
    <mergeCell ref="O149:P149"/>
    <mergeCell ref="F150:G150"/>
    <mergeCell ref="I150:K150"/>
    <mergeCell ref="O150:P150"/>
    <mergeCell ref="F151:G151"/>
    <mergeCell ref="I151:K151"/>
    <mergeCell ref="O151:P151"/>
    <mergeCell ref="F152:G152"/>
    <mergeCell ref="I152:K152"/>
    <mergeCell ref="O152:P152"/>
    <mergeCell ref="F153:G153"/>
    <mergeCell ref="I153:K153"/>
    <mergeCell ref="O153:P153"/>
    <mergeCell ref="F154:G154"/>
    <mergeCell ref="I154:K154"/>
    <mergeCell ref="O154:P154"/>
    <mergeCell ref="F155:G155"/>
    <mergeCell ref="I155:K155"/>
    <mergeCell ref="O155:P155"/>
    <mergeCell ref="F156:G156"/>
    <mergeCell ref="I156:K156"/>
    <mergeCell ref="O156:P156"/>
    <mergeCell ref="F157:G157"/>
    <mergeCell ref="I157:K157"/>
    <mergeCell ref="O157:P157"/>
    <mergeCell ref="F158:G158"/>
    <mergeCell ref="I158:K158"/>
    <mergeCell ref="O158:P158"/>
    <mergeCell ref="F159:G159"/>
    <mergeCell ref="I159:K159"/>
    <mergeCell ref="O159:P159"/>
    <mergeCell ref="F160:G160"/>
    <mergeCell ref="I160:K160"/>
    <mergeCell ref="O160:P160"/>
    <mergeCell ref="F161:G161"/>
    <mergeCell ref="I161:K161"/>
    <mergeCell ref="O161:P161"/>
    <mergeCell ref="F162:G162"/>
    <mergeCell ref="I162:K162"/>
    <mergeCell ref="O162:P162"/>
    <mergeCell ref="F163:G163"/>
    <mergeCell ref="I163:K163"/>
    <mergeCell ref="O163:P163"/>
    <mergeCell ref="F164:G164"/>
    <mergeCell ref="I164:K164"/>
    <mergeCell ref="O164:P164"/>
    <mergeCell ref="F165:G165"/>
    <mergeCell ref="I165:K165"/>
    <mergeCell ref="O165:P165"/>
    <mergeCell ref="F166:G166"/>
    <mergeCell ref="I166:K166"/>
    <mergeCell ref="O166:P166"/>
    <mergeCell ref="F167:G167"/>
    <mergeCell ref="I167:K167"/>
    <mergeCell ref="O167:P167"/>
    <mergeCell ref="F168:G168"/>
    <mergeCell ref="I168:K168"/>
    <mergeCell ref="O168:P168"/>
    <mergeCell ref="F169:G169"/>
    <mergeCell ref="I169:K169"/>
    <mergeCell ref="O169:P169"/>
    <mergeCell ref="F170:G170"/>
    <mergeCell ref="I170:K170"/>
    <mergeCell ref="O170:P170"/>
    <mergeCell ref="F171:G171"/>
    <mergeCell ref="I171:K171"/>
    <mergeCell ref="O171:P171"/>
    <mergeCell ref="F172:G172"/>
    <mergeCell ref="I172:K172"/>
    <mergeCell ref="O172:P172"/>
    <mergeCell ref="F173:G173"/>
    <mergeCell ref="I173:K173"/>
    <mergeCell ref="O173:P173"/>
    <mergeCell ref="F174:G174"/>
    <mergeCell ref="I174:K174"/>
    <mergeCell ref="O174:P174"/>
    <mergeCell ref="F175:G175"/>
    <mergeCell ref="I175:K175"/>
    <mergeCell ref="O175:P175"/>
    <mergeCell ref="F176:G176"/>
    <mergeCell ref="I176:K176"/>
    <mergeCell ref="O176:P176"/>
    <mergeCell ref="F177:G177"/>
    <mergeCell ref="I177:K177"/>
    <mergeCell ref="O177:P177"/>
    <mergeCell ref="F178:G178"/>
    <mergeCell ref="I178:K178"/>
    <mergeCell ref="O178:P178"/>
    <mergeCell ref="F179:G179"/>
    <mergeCell ref="I179:K179"/>
    <mergeCell ref="O179:P179"/>
    <mergeCell ref="F180:G180"/>
    <mergeCell ref="I180:K180"/>
    <mergeCell ref="O180:P180"/>
    <mergeCell ref="F181:G181"/>
    <mergeCell ref="I181:K181"/>
    <mergeCell ref="O181:P181"/>
    <mergeCell ref="F182:G182"/>
    <mergeCell ref="I182:K182"/>
    <mergeCell ref="O182:P182"/>
    <mergeCell ref="F183:G183"/>
    <mergeCell ref="I183:K183"/>
    <mergeCell ref="O183:P183"/>
    <mergeCell ref="F184:G184"/>
    <mergeCell ref="I184:K184"/>
    <mergeCell ref="O184:P184"/>
    <mergeCell ref="F185:G185"/>
    <mergeCell ref="I185:K185"/>
    <mergeCell ref="O185:P185"/>
    <mergeCell ref="F186:G186"/>
    <mergeCell ref="I186:K186"/>
    <mergeCell ref="O186:P186"/>
    <mergeCell ref="F187:G187"/>
    <mergeCell ref="I187:K187"/>
    <mergeCell ref="O187:P187"/>
    <mergeCell ref="F188:G188"/>
    <mergeCell ref="I188:K188"/>
    <mergeCell ref="O188:P188"/>
    <mergeCell ref="F189:G189"/>
    <mergeCell ref="I189:K189"/>
    <mergeCell ref="O189:P189"/>
    <mergeCell ref="F190:G190"/>
    <mergeCell ref="I190:K190"/>
    <mergeCell ref="O190:P190"/>
    <mergeCell ref="F191:G191"/>
    <mergeCell ref="I191:K191"/>
    <mergeCell ref="O191:P191"/>
    <mergeCell ref="F192:G192"/>
    <mergeCell ref="I192:K192"/>
    <mergeCell ref="O192:P192"/>
    <mergeCell ref="F193:G193"/>
    <mergeCell ref="I193:K193"/>
    <mergeCell ref="O193:P193"/>
    <mergeCell ref="F194:G194"/>
    <mergeCell ref="I194:K194"/>
    <mergeCell ref="O194:P194"/>
    <mergeCell ref="F195:G195"/>
    <mergeCell ref="I195:K195"/>
    <mergeCell ref="O195:P195"/>
    <mergeCell ref="F196:G196"/>
    <mergeCell ref="I196:K196"/>
    <mergeCell ref="O196:P196"/>
    <mergeCell ref="F197:G197"/>
    <mergeCell ref="I197:K197"/>
    <mergeCell ref="O197:P197"/>
    <mergeCell ref="F198:G198"/>
    <mergeCell ref="I198:K198"/>
    <mergeCell ref="O198:P198"/>
    <mergeCell ref="F199:G199"/>
    <mergeCell ref="I199:K199"/>
    <mergeCell ref="O199:P199"/>
    <mergeCell ref="F200:G200"/>
    <mergeCell ref="I200:K200"/>
    <mergeCell ref="O200:P200"/>
    <mergeCell ref="F201:G201"/>
    <mergeCell ref="I201:K201"/>
    <mergeCell ref="O201:P201"/>
    <mergeCell ref="F202:G202"/>
    <mergeCell ref="I202:K202"/>
    <mergeCell ref="O202:P202"/>
    <mergeCell ref="F203:G203"/>
    <mergeCell ref="I203:K203"/>
    <mergeCell ref="O203:P203"/>
    <mergeCell ref="F204:G204"/>
    <mergeCell ref="I204:K204"/>
    <mergeCell ref="O204:P204"/>
    <mergeCell ref="F205:G205"/>
    <mergeCell ref="I205:K205"/>
    <mergeCell ref="O205:P205"/>
    <mergeCell ref="F206:G206"/>
    <mergeCell ref="I206:K206"/>
    <mergeCell ref="O206:P206"/>
    <mergeCell ref="F207:G207"/>
    <mergeCell ref="I207:K207"/>
    <mergeCell ref="O207:P207"/>
    <mergeCell ref="F208:G208"/>
    <mergeCell ref="I208:K208"/>
    <mergeCell ref="O208:P208"/>
    <mergeCell ref="F209:G209"/>
    <mergeCell ref="I209:K209"/>
    <mergeCell ref="O209:P209"/>
    <mergeCell ref="F210:G210"/>
    <mergeCell ref="I210:K210"/>
    <mergeCell ref="O210:P210"/>
    <mergeCell ref="F211:G211"/>
    <mergeCell ref="I211:K211"/>
    <mergeCell ref="O211:P211"/>
    <mergeCell ref="F212:G212"/>
    <mergeCell ref="I212:K212"/>
    <mergeCell ref="O212:P212"/>
    <mergeCell ref="F213:G213"/>
    <mergeCell ref="I213:K213"/>
    <mergeCell ref="O213:P213"/>
    <mergeCell ref="F214:G214"/>
    <mergeCell ref="I214:K214"/>
    <mergeCell ref="O214:P214"/>
    <mergeCell ref="F215:G215"/>
    <mergeCell ref="I215:K215"/>
    <mergeCell ref="O215:P215"/>
    <mergeCell ref="F216:G216"/>
    <mergeCell ref="I216:K216"/>
    <mergeCell ref="O216:P216"/>
    <mergeCell ref="F217:G217"/>
    <mergeCell ref="I217:K217"/>
    <mergeCell ref="O217:P217"/>
    <mergeCell ref="F218:G218"/>
    <mergeCell ref="I218:K218"/>
    <mergeCell ref="O218:P218"/>
    <mergeCell ref="F219:G219"/>
    <mergeCell ref="I219:K219"/>
    <mergeCell ref="O219:P219"/>
    <mergeCell ref="F220:G220"/>
    <mergeCell ref="I220:K220"/>
    <mergeCell ref="O220:P220"/>
    <mergeCell ref="F221:G221"/>
    <mergeCell ref="I221:K221"/>
    <mergeCell ref="O221:P221"/>
    <mergeCell ref="F222:G222"/>
    <mergeCell ref="I222:K222"/>
    <mergeCell ref="O222:P222"/>
    <mergeCell ref="F223:G223"/>
    <mergeCell ref="I223:K223"/>
    <mergeCell ref="O223:P223"/>
    <mergeCell ref="F224:G224"/>
    <mergeCell ref="I224:K224"/>
    <mergeCell ref="O224:P224"/>
    <mergeCell ref="F225:G225"/>
    <mergeCell ref="I225:K225"/>
    <mergeCell ref="O225:P225"/>
    <mergeCell ref="F226:G226"/>
    <mergeCell ref="I226:K226"/>
    <mergeCell ref="O226:P226"/>
    <mergeCell ref="F227:G227"/>
    <mergeCell ref="I227:K227"/>
    <mergeCell ref="O227:P227"/>
    <mergeCell ref="F228:G228"/>
    <mergeCell ref="I228:K228"/>
    <mergeCell ref="O228:P228"/>
    <mergeCell ref="F229:G229"/>
    <mergeCell ref="I229:K229"/>
    <mergeCell ref="O229:P229"/>
    <mergeCell ref="F230:G230"/>
    <mergeCell ref="I230:K230"/>
    <mergeCell ref="O230:P230"/>
    <mergeCell ref="F231:G231"/>
    <mergeCell ref="I231:K231"/>
    <mergeCell ref="O231:P231"/>
    <mergeCell ref="F232:G232"/>
    <mergeCell ref="I232:K232"/>
    <mergeCell ref="O232:P232"/>
    <mergeCell ref="F233:G233"/>
    <mergeCell ref="I233:K233"/>
    <mergeCell ref="O233:P233"/>
    <mergeCell ref="F234:G234"/>
    <mergeCell ref="I234:K234"/>
    <mergeCell ref="O234:P234"/>
    <mergeCell ref="F235:G235"/>
    <mergeCell ref="I235:K235"/>
    <mergeCell ref="O235:P235"/>
    <mergeCell ref="F236:G236"/>
    <mergeCell ref="I236:K236"/>
    <mergeCell ref="O236:P236"/>
    <mergeCell ref="F237:G237"/>
    <mergeCell ref="I237:K237"/>
    <mergeCell ref="O237:P237"/>
    <mergeCell ref="F238:G238"/>
    <mergeCell ref="I238:K238"/>
    <mergeCell ref="O238:P238"/>
    <mergeCell ref="F239:G239"/>
    <mergeCell ref="I239:K239"/>
    <mergeCell ref="O239:P239"/>
    <mergeCell ref="F240:G240"/>
    <mergeCell ref="I240:K240"/>
    <mergeCell ref="O240:P240"/>
    <mergeCell ref="F241:G241"/>
    <mergeCell ref="I241:K241"/>
    <mergeCell ref="O241:P241"/>
    <mergeCell ref="F242:G242"/>
    <mergeCell ref="I242:K242"/>
    <mergeCell ref="O242:P242"/>
    <mergeCell ref="F243:G243"/>
    <mergeCell ref="I243:K243"/>
    <mergeCell ref="O243:P243"/>
    <mergeCell ref="F244:G244"/>
    <mergeCell ref="I244:K244"/>
    <mergeCell ref="O244:P244"/>
    <mergeCell ref="F245:G245"/>
    <mergeCell ref="I245:K245"/>
    <mergeCell ref="O245:P245"/>
    <mergeCell ref="F246:G246"/>
    <mergeCell ref="I246:K246"/>
    <mergeCell ref="O246:P246"/>
    <mergeCell ref="F247:G247"/>
    <mergeCell ref="I247:K247"/>
    <mergeCell ref="O247:P247"/>
    <mergeCell ref="F248:G248"/>
    <mergeCell ref="I248:K248"/>
    <mergeCell ref="O248:P248"/>
    <mergeCell ref="F249:G249"/>
    <mergeCell ref="I249:K249"/>
    <mergeCell ref="O249:P249"/>
    <mergeCell ref="F250:G250"/>
    <mergeCell ref="I250:K250"/>
    <mergeCell ref="O250:P250"/>
    <mergeCell ref="F251:G251"/>
    <mergeCell ref="I251:K251"/>
    <mergeCell ref="O251:P251"/>
    <mergeCell ref="F252:G252"/>
    <mergeCell ref="I252:K252"/>
    <mergeCell ref="O252:P252"/>
    <mergeCell ref="F253:G253"/>
    <mergeCell ref="I253:K253"/>
    <mergeCell ref="O253:P253"/>
    <mergeCell ref="F254:G254"/>
    <mergeCell ref="I254:K254"/>
    <mergeCell ref="O254:P254"/>
    <mergeCell ref="F255:G255"/>
    <mergeCell ref="I255:K255"/>
    <mergeCell ref="O255:P255"/>
    <mergeCell ref="F256:G256"/>
    <mergeCell ref="I256:K256"/>
    <mergeCell ref="O256:P256"/>
    <mergeCell ref="F257:G257"/>
    <mergeCell ref="I257:K257"/>
    <mergeCell ref="O257:P257"/>
    <mergeCell ref="F258:G258"/>
    <mergeCell ref="I258:K258"/>
    <mergeCell ref="O258:P258"/>
    <mergeCell ref="F259:G259"/>
    <mergeCell ref="I259:K259"/>
    <mergeCell ref="O259:P259"/>
    <mergeCell ref="F260:G260"/>
    <mergeCell ref="I260:K260"/>
    <mergeCell ref="O260:P260"/>
    <mergeCell ref="F261:G261"/>
    <mergeCell ref="I261:K261"/>
    <mergeCell ref="O261:P261"/>
    <mergeCell ref="F262:G262"/>
    <mergeCell ref="I262:K262"/>
    <mergeCell ref="O262:P262"/>
    <mergeCell ref="F263:G263"/>
    <mergeCell ref="I263:K263"/>
    <mergeCell ref="O263:P263"/>
    <mergeCell ref="F264:G264"/>
    <mergeCell ref="I264:K264"/>
    <mergeCell ref="O264:P264"/>
    <mergeCell ref="F265:G265"/>
    <mergeCell ref="I265:K265"/>
    <mergeCell ref="O265:P265"/>
    <mergeCell ref="F266:G266"/>
    <mergeCell ref="I266:K266"/>
    <mergeCell ref="O266:P266"/>
    <mergeCell ref="F267:G267"/>
    <mergeCell ref="I267:K267"/>
    <mergeCell ref="O267:P267"/>
    <mergeCell ref="F268:G268"/>
    <mergeCell ref="I268:K268"/>
    <mergeCell ref="O268:P268"/>
    <mergeCell ref="F269:G269"/>
    <mergeCell ref="I269:K269"/>
    <mergeCell ref="O269:P269"/>
    <mergeCell ref="F270:G270"/>
    <mergeCell ref="I270:K270"/>
    <mergeCell ref="O270:P270"/>
    <mergeCell ref="F271:G271"/>
    <mergeCell ref="I271:K271"/>
    <mergeCell ref="O271:P271"/>
    <mergeCell ref="F272:G272"/>
    <mergeCell ref="I272:K272"/>
    <mergeCell ref="O272:P272"/>
    <mergeCell ref="F273:G273"/>
    <mergeCell ref="I273:K273"/>
    <mergeCell ref="O273:P273"/>
    <mergeCell ref="F274:G274"/>
    <mergeCell ref="I274:K274"/>
    <mergeCell ref="O274:P274"/>
    <mergeCell ref="F275:G275"/>
    <mergeCell ref="I275:K275"/>
    <mergeCell ref="O275:P275"/>
    <mergeCell ref="C276:F276"/>
    <mergeCell ref="B277:G277"/>
    <mergeCell ref="F278:G278"/>
    <mergeCell ref="I278:K278"/>
    <mergeCell ref="O278:P278"/>
    <mergeCell ref="F279:G279"/>
    <mergeCell ref="I279:K279"/>
    <mergeCell ref="O279:P279"/>
    <mergeCell ref="F280:G280"/>
    <mergeCell ref="I280:K280"/>
    <mergeCell ref="O280:P280"/>
    <mergeCell ref="F281:G281"/>
    <mergeCell ref="I281:K281"/>
    <mergeCell ref="O281:P281"/>
    <mergeCell ref="C282:F282"/>
    <mergeCell ref="B283:G283"/>
    <mergeCell ref="F284:G284"/>
    <mergeCell ref="I284:K284"/>
    <mergeCell ref="O284:P284"/>
    <mergeCell ref="F285:G285"/>
    <mergeCell ref="I285:K285"/>
    <mergeCell ref="O285:P285"/>
    <mergeCell ref="F286:G286"/>
    <mergeCell ref="I286:K286"/>
    <mergeCell ref="O286:P286"/>
    <mergeCell ref="C287:F287"/>
    <mergeCell ref="B288:G288"/>
    <mergeCell ref="F289:G289"/>
    <mergeCell ref="I289:K289"/>
    <mergeCell ref="O289:P289"/>
    <mergeCell ref="F290:G290"/>
    <mergeCell ref="I290:K290"/>
    <mergeCell ref="O290:P290"/>
    <mergeCell ref="F291:G291"/>
    <mergeCell ref="I291:K291"/>
    <mergeCell ref="O291:P291"/>
    <mergeCell ref="C292:F292"/>
    <mergeCell ref="B293:G293"/>
    <mergeCell ref="F294:G294"/>
    <mergeCell ref="I294:K294"/>
    <mergeCell ref="O294:P294"/>
    <mergeCell ref="C295:F295"/>
    <mergeCell ref="B296:G296"/>
    <mergeCell ref="F297:G297"/>
    <mergeCell ref="I297:K297"/>
    <mergeCell ref="O297:P297"/>
    <mergeCell ref="F298:G298"/>
    <mergeCell ref="I298:K298"/>
    <mergeCell ref="O298:P298"/>
    <mergeCell ref="F299:G299"/>
    <mergeCell ref="I299:K299"/>
    <mergeCell ref="O299:P299"/>
    <mergeCell ref="F300:G300"/>
    <mergeCell ref="I300:K300"/>
    <mergeCell ref="O300:P300"/>
    <mergeCell ref="C301:F301"/>
    <mergeCell ref="B302:G302"/>
    <mergeCell ref="F303:G303"/>
    <mergeCell ref="I303:K303"/>
    <mergeCell ref="O303:P303"/>
    <mergeCell ref="F304:G304"/>
    <mergeCell ref="I304:K304"/>
    <mergeCell ref="O304:P304"/>
    <mergeCell ref="F305:G305"/>
    <mergeCell ref="I305:K305"/>
    <mergeCell ref="O305:P305"/>
    <mergeCell ref="F306:G306"/>
    <mergeCell ref="I306:K306"/>
    <mergeCell ref="O306:P306"/>
    <mergeCell ref="F307:G307"/>
    <mergeCell ref="I307:K307"/>
    <mergeCell ref="O307:P307"/>
    <mergeCell ref="F308:G308"/>
    <mergeCell ref="I308:K308"/>
    <mergeCell ref="O308:P308"/>
    <mergeCell ref="F309:G309"/>
    <mergeCell ref="I309:K309"/>
    <mergeCell ref="O309:P309"/>
    <mergeCell ref="F310:G310"/>
    <mergeCell ref="I310:K310"/>
    <mergeCell ref="O310:P310"/>
    <mergeCell ref="F311:G311"/>
    <mergeCell ref="I311:K311"/>
    <mergeCell ref="O311:P311"/>
    <mergeCell ref="F312:G312"/>
    <mergeCell ref="I312:K312"/>
    <mergeCell ref="O312:P312"/>
    <mergeCell ref="F313:G313"/>
    <mergeCell ref="I313:K313"/>
    <mergeCell ref="O313:P313"/>
    <mergeCell ref="F314:G314"/>
    <mergeCell ref="I314:K314"/>
    <mergeCell ref="O314:P314"/>
    <mergeCell ref="F315:G315"/>
    <mergeCell ref="I315:K315"/>
    <mergeCell ref="O315:P315"/>
    <mergeCell ref="F316:G316"/>
    <mergeCell ref="I316:K316"/>
    <mergeCell ref="O316:P316"/>
    <mergeCell ref="F317:G317"/>
    <mergeCell ref="I317:K317"/>
    <mergeCell ref="O317:P317"/>
    <mergeCell ref="F318:G318"/>
    <mergeCell ref="I318:K318"/>
    <mergeCell ref="O318:P318"/>
    <mergeCell ref="F319:G319"/>
    <mergeCell ref="I319:K319"/>
    <mergeCell ref="O319:P319"/>
    <mergeCell ref="F320:G320"/>
    <mergeCell ref="I320:K320"/>
    <mergeCell ref="O320:P320"/>
    <mergeCell ref="F321:G321"/>
    <mergeCell ref="I321:K321"/>
    <mergeCell ref="O321:P321"/>
    <mergeCell ref="F322:G322"/>
    <mergeCell ref="I322:K322"/>
    <mergeCell ref="O322:P322"/>
    <mergeCell ref="C323:F323"/>
    <mergeCell ref="B324:G324"/>
    <mergeCell ref="F325:G325"/>
    <mergeCell ref="I325:K325"/>
    <mergeCell ref="O325:P325"/>
    <mergeCell ref="F326:G326"/>
    <mergeCell ref="I326:K326"/>
    <mergeCell ref="O326:P326"/>
    <mergeCell ref="F327:G327"/>
    <mergeCell ref="I327:K327"/>
    <mergeCell ref="O327:P327"/>
    <mergeCell ref="F328:G328"/>
    <mergeCell ref="I328:K328"/>
    <mergeCell ref="O328:P328"/>
    <mergeCell ref="F329:G329"/>
    <mergeCell ref="I329:K329"/>
    <mergeCell ref="O329:P329"/>
    <mergeCell ref="F330:G330"/>
    <mergeCell ref="I330:K330"/>
    <mergeCell ref="O330:P330"/>
    <mergeCell ref="F331:G331"/>
    <mergeCell ref="I331:K331"/>
    <mergeCell ref="O331:P331"/>
    <mergeCell ref="F332:G332"/>
    <mergeCell ref="I332:K332"/>
    <mergeCell ref="O332:P332"/>
    <mergeCell ref="F333:G333"/>
    <mergeCell ref="I333:K333"/>
    <mergeCell ref="O333:P333"/>
    <mergeCell ref="C334:F334"/>
    <mergeCell ref="B335:G335"/>
    <mergeCell ref="F336:G336"/>
    <mergeCell ref="I336:K336"/>
    <mergeCell ref="O336:P336"/>
    <mergeCell ref="C337:F337"/>
    <mergeCell ref="B338:G338"/>
    <mergeCell ref="F339:G339"/>
    <mergeCell ref="I339:K339"/>
    <mergeCell ref="O339:P339"/>
    <mergeCell ref="C340:F340"/>
    <mergeCell ref="B341:G341"/>
    <mergeCell ref="F342:G342"/>
    <mergeCell ref="I342:K342"/>
    <mergeCell ref="O342:P342"/>
    <mergeCell ref="F343:G343"/>
    <mergeCell ref="I343:K343"/>
    <mergeCell ref="O343:P343"/>
    <mergeCell ref="F344:G344"/>
    <mergeCell ref="I344:K344"/>
    <mergeCell ref="O344:P344"/>
    <mergeCell ref="F345:G345"/>
    <mergeCell ref="I345:K345"/>
    <mergeCell ref="O345:P345"/>
    <mergeCell ref="F346:G346"/>
    <mergeCell ref="I346:K346"/>
    <mergeCell ref="O346:P346"/>
    <mergeCell ref="F347:G347"/>
    <mergeCell ref="I347:K347"/>
    <mergeCell ref="O347:P347"/>
    <mergeCell ref="F348:G348"/>
    <mergeCell ref="I348:K348"/>
    <mergeCell ref="O348:P348"/>
    <mergeCell ref="F349:G349"/>
    <mergeCell ref="I349:K349"/>
    <mergeCell ref="O349:P349"/>
    <mergeCell ref="F350:G350"/>
    <mergeCell ref="I350:K350"/>
    <mergeCell ref="O350:P350"/>
    <mergeCell ref="F351:G351"/>
    <mergeCell ref="I351:K351"/>
    <mergeCell ref="O351:P351"/>
    <mergeCell ref="C352:F352"/>
    <mergeCell ref="B353:G353"/>
    <mergeCell ref="F354:G354"/>
    <mergeCell ref="I354:K354"/>
    <mergeCell ref="O354:P354"/>
    <mergeCell ref="F355:G355"/>
    <mergeCell ref="I355:K355"/>
    <mergeCell ref="O355:P355"/>
    <mergeCell ref="F356:G356"/>
    <mergeCell ref="I356:K356"/>
    <mergeCell ref="O356:P356"/>
    <mergeCell ref="F357:G357"/>
    <mergeCell ref="I357:K357"/>
    <mergeCell ref="O357:P357"/>
    <mergeCell ref="C358:F358"/>
    <mergeCell ref="B359:G359"/>
    <mergeCell ref="F360:G360"/>
    <mergeCell ref="I360:K360"/>
    <mergeCell ref="O360:P360"/>
    <mergeCell ref="F361:G361"/>
    <mergeCell ref="I361:K361"/>
    <mergeCell ref="O361:P361"/>
    <mergeCell ref="F362:G362"/>
    <mergeCell ref="I362:K362"/>
    <mergeCell ref="O362:P362"/>
    <mergeCell ref="F363:G363"/>
    <mergeCell ref="I363:K363"/>
    <mergeCell ref="O363:P363"/>
    <mergeCell ref="F364:G364"/>
    <mergeCell ref="I364:K364"/>
    <mergeCell ref="O364:P364"/>
    <mergeCell ref="F365:G365"/>
    <mergeCell ref="I365:K365"/>
    <mergeCell ref="O365:P365"/>
    <mergeCell ref="F366:G366"/>
    <mergeCell ref="I366:K366"/>
    <mergeCell ref="O366:P366"/>
    <mergeCell ref="F367:G367"/>
    <mergeCell ref="I367:K367"/>
    <mergeCell ref="O367:P367"/>
    <mergeCell ref="F368:G368"/>
    <mergeCell ref="I368:K368"/>
    <mergeCell ref="O368:P368"/>
    <mergeCell ref="F369:G369"/>
    <mergeCell ref="I369:K369"/>
    <mergeCell ref="O369:P369"/>
    <mergeCell ref="F370:G370"/>
    <mergeCell ref="I370:K370"/>
    <mergeCell ref="O370:P370"/>
    <mergeCell ref="F371:G371"/>
    <mergeCell ref="I371:K371"/>
    <mergeCell ref="O371:P371"/>
    <mergeCell ref="F372:G372"/>
    <mergeCell ref="I372:K372"/>
    <mergeCell ref="O372:P372"/>
    <mergeCell ref="F373:G373"/>
    <mergeCell ref="I373:K373"/>
    <mergeCell ref="O373:P373"/>
    <mergeCell ref="F374:G374"/>
    <mergeCell ref="I374:K374"/>
    <mergeCell ref="O374:P374"/>
    <mergeCell ref="F375:G375"/>
    <mergeCell ref="I375:K375"/>
    <mergeCell ref="O375:P375"/>
    <mergeCell ref="F376:G376"/>
    <mergeCell ref="I376:K376"/>
    <mergeCell ref="O376:P376"/>
    <mergeCell ref="F377:G377"/>
    <mergeCell ref="I377:K377"/>
    <mergeCell ref="O377:P377"/>
    <mergeCell ref="F378:G378"/>
    <mergeCell ref="I378:K378"/>
    <mergeCell ref="O378:P378"/>
    <mergeCell ref="F379:G379"/>
    <mergeCell ref="I379:K379"/>
    <mergeCell ref="O379:P379"/>
    <mergeCell ref="F380:G380"/>
    <mergeCell ref="I380:K380"/>
    <mergeCell ref="O380:P380"/>
    <mergeCell ref="F381:G381"/>
    <mergeCell ref="I381:K381"/>
    <mergeCell ref="O381:P381"/>
    <mergeCell ref="F382:G382"/>
    <mergeCell ref="I382:K382"/>
    <mergeCell ref="O382:P382"/>
    <mergeCell ref="F383:G383"/>
    <mergeCell ref="I383:K383"/>
    <mergeCell ref="O383:P383"/>
    <mergeCell ref="F384:G384"/>
    <mergeCell ref="I384:K384"/>
    <mergeCell ref="O384:P384"/>
    <mergeCell ref="F385:G385"/>
    <mergeCell ref="I385:K385"/>
    <mergeCell ref="O385:P385"/>
    <mergeCell ref="F386:G386"/>
    <mergeCell ref="I386:K386"/>
    <mergeCell ref="O386:P386"/>
    <mergeCell ref="F387:G387"/>
    <mergeCell ref="I387:K387"/>
    <mergeCell ref="O387:P387"/>
    <mergeCell ref="F388:G388"/>
    <mergeCell ref="I388:K388"/>
    <mergeCell ref="O388:P388"/>
    <mergeCell ref="F389:G389"/>
    <mergeCell ref="I389:K389"/>
    <mergeCell ref="O389:P389"/>
    <mergeCell ref="F390:G390"/>
    <mergeCell ref="I390:K390"/>
    <mergeCell ref="O390:P390"/>
    <mergeCell ref="F391:G391"/>
    <mergeCell ref="I391:K391"/>
    <mergeCell ref="O391:P391"/>
    <mergeCell ref="F392:G392"/>
    <mergeCell ref="I392:K392"/>
    <mergeCell ref="O392:P392"/>
    <mergeCell ref="F393:G393"/>
    <mergeCell ref="I393:K393"/>
    <mergeCell ref="O393:P393"/>
    <mergeCell ref="F394:G394"/>
    <mergeCell ref="I394:K394"/>
    <mergeCell ref="O394:P394"/>
    <mergeCell ref="F395:G395"/>
    <mergeCell ref="I395:K395"/>
    <mergeCell ref="O395:P395"/>
    <mergeCell ref="F396:G396"/>
    <mergeCell ref="I396:K396"/>
    <mergeCell ref="O396:P396"/>
    <mergeCell ref="F397:G397"/>
    <mergeCell ref="I397:K397"/>
    <mergeCell ref="O397:P397"/>
    <mergeCell ref="C398:F398"/>
    <mergeCell ref="B399:G399"/>
    <mergeCell ref="F400:G400"/>
    <mergeCell ref="I400:K400"/>
    <mergeCell ref="O400:P400"/>
    <mergeCell ref="F401:G401"/>
    <mergeCell ref="I401:K401"/>
    <mergeCell ref="O401:P401"/>
    <mergeCell ref="F402:G402"/>
    <mergeCell ref="I402:K402"/>
    <mergeCell ref="O402:P402"/>
    <mergeCell ref="C403:F403"/>
    <mergeCell ref="B404:G404"/>
    <mergeCell ref="F405:G405"/>
    <mergeCell ref="I405:K405"/>
    <mergeCell ref="O405:P405"/>
    <mergeCell ref="F406:G406"/>
    <mergeCell ref="I406:K406"/>
    <mergeCell ref="O406:P406"/>
    <mergeCell ref="F407:G407"/>
    <mergeCell ref="I407:K407"/>
    <mergeCell ref="O407:P407"/>
    <mergeCell ref="F408:G408"/>
    <mergeCell ref="I408:K408"/>
    <mergeCell ref="O408:P408"/>
    <mergeCell ref="F409:G409"/>
    <mergeCell ref="I409:K409"/>
    <mergeCell ref="O409:P409"/>
    <mergeCell ref="F410:G410"/>
    <mergeCell ref="I410:K410"/>
    <mergeCell ref="O410:P410"/>
    <mergeCell ref="F411:G411"/>
    <mergeCell ref="I411:K411"/>
    <mergeCell ref="O411:P411"/>
    <mergeCell ref="F412:G412"/>
    <mergeCell ref="I412:K412"/>
    <mergeCell ref="O412:P412"/>
    <mergeCell ref="F413:G413"/>
    <mergeCell ref="I413:K413"/>
    <mergeCell ref="O413:P413"/>
    <mergeCell ref="F414:G414"/>
    <mergeCell ref="I414:K414"/>
    <mergeCell ref="O414:P414"/>
    <mergeCell ref="F415:G415"/>
    <mergeCell ref="I415:K415"/>
    <mergeCell ref="O415:P415"/>
    <mergeCell ref="F416:G416"/>
    <mergeCell ref="I416:K416"/>
    <mergeCell ref="O416:P416"/>
    <mergeCell ref="F417:G417"/>
    <mergeCell ref="I417:K417"/>
    <mergeCell ref="O417:P417"/>
    <mergeCell ref="F418:G418"/>
    <mergeCell ref="I418:K418"/>
    <mergeCell ref="O418:P418"/>
    <mergeCell ref="F419:G419"/>
    <mergeCell ref="I419:K419"/>
    <mergeCell ref="O419:P419"/>
    <mergeCell ref="C420:F420"/>
    <mergeCell ref="B421:G421"/>
    <mergeCell ref="F422:G422"/>
    <mergeCell ref="I422:K422"/>
    <mergeCell ref="O422:P422"/>
    <mergeCell ref="F423:G423"/>
    <mergeCell ref="I423:K423"/>
    <mergeCell ref="O423:P423"/>
    <mergeCell ref="F424:G424"/>
    <mergeCell ref="I424:K424"/>
    <mergeCell ref="O424:P424"/>
    <mergeCell ref="F425:G425"/>
    <mergeCell ref="I425:K425"/>
    <mergeCell ref="O425:P425"/>
    <mergeCell ref="F426:G426"/>
    <mergeCell ref="I426:K426"/>
    <mergeCell ref="O426:P426"/>
    <mergeCell ref="C427:F427"/>
    <mergeCell ref="B428:G428"/>
    <mergeCell ref="F429:G429"/>
    <mergeCell ref="I429:K429"/>
    <mergeCell ref="O429:P429"/>
    <mergeCell ref="F430:G430"/>
    <mergeCell ref="I430:K430"/>
    <mergeCell ref="O430:P430"/>
    <mergeCell ref="F431:G431"/>
    <mergeCell ref="I431:K431"/>
    <mergeCell ref="O431:P431"/>
    <mergeCell ref="F432:G432"/>
    <mergeCell ref="I432:K432"/>
    <mergeCell ref="O432:P432"/>
    <mergeCell ref="F433:G433"/>
    <mergeCell ref="I433:K433"/>
    <mergeCell ref="O433:P433"/>
    <mergeCell ref="F434:G434"/>
    <mergeCell ref="I434:K434"/>
    <mergeCell ref="O434:P434"/>
    <mergeCell ref="F435:G435"/>
    <mergeCell ref="I435:K435"/>
    <mergeCell ref="O435:P435"/>
    <mergeCell ref="F436:G436"/>
    <mergeCell ref="I436:K436"/>
    <mergeCell ref="O436:P436"/>
    <mergeCell ref="F437:G437"/>
    <mergeCell ref="I437:K437"/>
    <mergeCell ref="O437:P437"/>
    <mergeCell ref="F438:G438"/>
    <mergeCell ref="I438:K438"/>
    <mergeCell ref="O438:P438"/>
    <mergeCell ref="F439:G439"/>
    <mergeCell ref="I439:K439"/>
    <mergeCell ref="O439:P439"/>
    <mergeCell ref="F440:G440"/>
    <mergeCell ref="I440:K440"/>
    <mergeCell ref="O440:P440"/>
    <mergeCell ref="F441:G441"/>
    <mergeCell ref="I441:K441"/>
    <mergeCell ref="O441:P441"/>
    <mergeCell ref="F442:G442"/>
    <mergeCell ref="I442:K442"/>
    <mergeCell ref="O442:P442"/>
    <mergeCell ref="F443:G443"/>
    <mergeCell ref="I443:K443"/>
    <mergeCell ref="O443:P443"/>
    <mergeCell ref="F444:G444"/>
    <mergeCell ref="I444:K444"/>
    <mergeCell ref="O444:P444"/>
    <mergeCell ref="F445:G445"/>
    <mergeCell ref="I445:K445"/>
    <mergeCell ref="O445:P445"/>
    <mergeCell ref="F446:G446"/>
    <mergeCell ref="I446:K446"/>
    <mergeCell ref="O446:P446"/>
    <mergeCell ref="F447:G447"/>
    <mergeCell ref="I447:K447"/>
    <mergeCell ref="O447:P447"/>
    <mergeCell ref="F448:G448"/>
    <mergeCell ref="I448:K448"/>
    <mergeCell ref="O448:P448"/>
    <mergeCell ref="F449:G449"/>
    <mergeCell ref="I449:K449"/>
    <mergeCell ref="O449:P449"/>
    <mergeCell ref="F450:G450"/>
    <mergeCell ref="I450:K450"/>
    <mergeCell ref="O450:P450"/>
    <mergeCell ref="F451:G451"/>
    <mergeCell ref="I451:K451"/>
    <mergeCell ref="O451:P451"/>
    <mergeCell ref="F452:G452"/>
    <mergeCell ref="I452:K452"/>
    <mergeCell ref="O452:P452"/>
    <mergeCell ref="F453:G453"/>
    <mergeCell ref="I453:K453"/>
    <mergeCell ref="O453:P453"/>
    <mergeCell ref="F454:G454"/>
    <mergeCell ref="I454:K454"/>
    <mergeCell ref="O454:P454"/>
    <mergeCell ref="F455:G455"/>
    <mergeCell ref="I455:K455"/>
    <mergeCell ref="O455:P455"/>
    <mergeCell ref="F456:G456"/>
    <mergeCell ref="I456:K456"/>
    <mergeCell ref="O456:P456"/>
    <mergeCell ref="F457:G457"/>
    <mergeCell ref="I457:K457"/>
    <mergeCell ref="O457:P457"/>
    <mergeCell ref="F458:G458"/>
    <mergeCell ref="I458:K458"/>
    <mergeCell ref="O458:P458"/>
    <mergeCell ref="F459:G459"/>
    <mergeCell ref="I459:K459"/>
    <mergeCell ref="O459:P459"/>
    <mergeCell ref="F460:G460"/>
    <mergeCell ref="I460:K460"/>
    <mergeCell ref="O460:P460"/>
    <mergeCell ref="F461:G461"/>
    <mergeCell ref="I461:K461"/>
    <mergeCell ref="O461:P461"/>
    <mergeCell ref="F462:G462"/>
    <mergeCell ref="I462:K462"/>
    <mergeCell ref="O462:P462"/>
    <mergeCell ref="F463:G463"/>
    <mergeCell ref="I463:K463"/>
    <mergeCell ref="O463:P463"/>
    <mergeCell ref="F464:G464"/>
    <mergeCell ref="I464:K464"/>
    <mergeCell ref="O464:P464"/>
    <mergeCell ref="F465:G465"/>
    <mergeCell ref="I465:K465"/>
    <mergeCell ref="O465:P465"/>
    <mergeCell ref="F466:G466"/>
    <mergeCell ref="I466:K466"/>
    <mergeCell ref="O466:P466"/>
    <mergeCell ref="F467:G467"/>
    <mergeCell ref="I467:K467"/>
    <mergeCell ref="O467:P467"/>
    <mergeCell ref="F468:G468"/>
    <mergeCell ref="I468:K468"/>
    <mergeCell ref="O468:P468"/>
    <mergeCell ref="F469:G469"/>
    <mergeCell ref="I469:K469"/>
    <mergeCell ref="O469:P469"/>
    <mergeCell ref="F470:G470"/>
    <mergeCell ref="I470:K470"/>
    <mergeCell ref="O470:P470"/>
    <mergeCell ref="F471:G471"/>
    <mergeCell ref="I471:K471"/>
    <mergeCell ref="O471:P471"/>
    <mergeCell ref="F472:G472"/>
    <mergeCell ref="I472:K472"/>
    <mergeCell ref="O472:P472"/>
    <mergeCell ref="F473:G473"/>
    <mergeCell ref="I473:K473"/>
    <mergeCell ref="O473:P473"/>
    <mergeCell ref="F474:G474"/>
    <mergeCell ref="I474:K474"/>
    <mergeCell ref="O474:P474"/>
    <mergeCell ref="F475:G475"/>
    <mergeCell ref="I475:K475"/>
    <mergeCell ref="O475:P475"/>
    <mergeCell ref="F476:G476"/>
    <mergeCell ref="I476:K476"/>
    <mergeCell ref="O476:P476"/>
    <mergeCell ref="F477:G477"/>
    <mergeCell ref="I477:K477"/>
    <mergeCell ref="O477:P477"/>
    <mergeCell ref="F478:G478"/>
    <mergeCell ref="I478:K478"/>
    <mergeCell ref="O478:P478"/>
    <mergeCell ref="F479:G479"/>
    <mergeCell ref="I479:K479"/>
    <mergeCell ref="O479:P479"/>
    <mergeCell ref="F480:G480"/>
    <mergeCell ref="I480:K480"/>
    <mergeCell ref="O480:P480"/>
    <mergeCell ref="F481:G481"/>
    <mergeCell ref="I481:K481"/>
    <mergeCell ref="O481:P481"/>
    <mergeCell ref="F482:G482"/>
    <mergeCell ref="I482:K482"/>
    <mergeCell ref="O482:P482"/>
    <mergeCell ref="F483:G483"/>
    <mergeCell ref="I483:K483"/>
    <mergeCell ref="O483:P483"/>
    <mergeCell ref="F484:G484"/>
    <mergeCell ref="I484:K484"/>
    <mergeCell ref="O484:P484"/>
    <mergeCell ref="F485:G485"/>
    <mergeCell ref="I485:K485"/>
    <mergeCell ref="O485:P485"/>
    <mergeCell ref="F486:G486"/>
    <mergeCell ref="I486:K486"/>
    <mergeCell ref="O486:P486"/>
    <mergeCell ref="F487:G487"/>
    <mergeCell ref="I487:K487"/>
    <mergeCell ref="O487:P487"/>
    <mergeCell ref="F488:G488"/>
    <mergeCell ref="I488:K488"/>
    <mergeCell ref="O488:P488"/>
    <mergeCell ref="F489:G489"/>
    <mergeCell ref="I489:K489"/>
    <mergeCell ref="O489:P489"/>
    <mergeCell ref="F490:G490"/>
    <mergeCell ref="I490:K490"/>
    <mergeCell ref="O490:P490"/>
    <mergeCell ref="F491:G491"/>
    <mergeCell ref="I491:K491"/>
    <mergeCell ref="O491:P491"/>
    <mergeCell ref="F492:G492"/>
    <mergeCell ref="I492:K492"/>
    <mergeCell ref="O492:P492"/>
    <mergeCell ref="F493:G493"/>
    <mergeCell ref="I493:K493"/>
    <mergeCell ref="O493:P493"/>
    <mergeCell ref="F494:G494"/>
    <mergeCell ref="I494:K494"/>
    <mergeCell ref="O494:P494"/>
    <mergeCell ref="F495:G495"/>
    <mergeCell ref="I495:K495"/>
    <mergeCell ref="O495:P495"/>
    <mergeCell ref="F496:G496"/>
    <mergeCell ref="I496:K496"/>
    <mergeCell ref="O496:P496"/>
    <mergeCell ref="F497:G497"/>
    <mergeCell ref="I497:K497"/>
    <mergeCell ref="O497:P497"/>
    <mergeCell ref="F498:G498"/>
    <mergeCell ref="I498:K498"/>
    <mergeCell ref="O498:P498"/>
    <mergeCell ref="F499:G499"/>
    <mergeCell ref="I499:K499"/>
    <mergeCell ref="O499:P499"/>
    <mergeCell ref="F500:G500"/>
    <mergeCell ref="I500:K500"/>
    <mergeCell ref="O500:P500"/>
    <mergeCell ref="F501:G501"/>
    <mergeCell ref="I501:K501"/>
    <mergeCell ref="O501:P501"/>
    <mergeCell ref="F502:G502"/>
    <mergeCell ref="I502:K502"/>
    <mergeCell ref="O502:P502"/>
    <mergeCell ref="F503:G503"/>
    <mergeCell ref="I503:K503"/>
    <mergeCell ref="O503:P503"/>
    <mergeCell ref="F504:G504"/>
    <mergeCell ref="I504:K504"/>
    <mergeCell ref="O504:P504"/>
    <mergeCell ref="F505:G505"/>
    <mergeCell ref="I505:K505"/>
    <mergeCell ref="O505:P505"/>
    <mergeCell ref="F506:G506"/>
    <mergeCell ref="I506:K506"/>
    <mergeCell ref="O506:P506"/>
    <mergeCell ref="F507:G507"/>
    <mergeCell ref="I507:K507"/>
    <mergeCell ref="O507:P507"/>
    <mergeCell ref="F508:G508"/>
    <mergeCell ref="I508:K508"/>
    <mergeCell ref="O508:P508"/>
    <mergeCell ref="F509:G509"/>
    <mergeCell ref="I509:K509"/>
    <mergeCell ref="O509:P509"/>
    <mergeCell ref="F510:G510"/>
    <mergeCell ref="I510:K510"/>
    <mergeCell ref="O510:P510"/>
    <mergeCell ref="F511:G511"/>
    <mergeCell ref="I511:K511"/>
    <mergeCell ref="O511:P511"/>
    <mergeCell ref="F512:G512"/>
    <mergeCell ref="I512:K512"/>
    <mergeCell ref="O512:P512"/>
    <mergeCell ref="F513:G513"/>
    <mergeCell ref="I513:K513"/>
    <mergeCell ref="O513:P513"/>
    <mergeCell ref="F514:G514"/>
    <mergeCell ref="I514:K514"/>
    <mergeCell ref="O514:P514"/>
    <mergeCell ref="F515:G515"/>
    <mergeCell ref="I515:K515"/>
    <mergeCell ref="O515:P515"/>
    <mergeCell ref="F516:G516"/>
    <mergeCell ref="I516:K516"/>
    <mergeCell ref="O516:P516"/>
    <mergeCell ref="F517:G517"/>
    <mergeCell ref="I517:K517"/>
    <mergeCell ref="O517:P517"/>
    <mergeCell ref="F518:G518"/>
    <mergeCell ref="I518:K518"/>
    <mergeCell ref="O518:P518"/>
    <mergeCell ref="F519:G519"/>
    <mergeCell ref="I519:K519"/>
    <mergeCell ref="O519:P519"/>
    <mergeCell ref="F520:G520"/>
    <mergeCell ref="I520:K520"/>
    <mergeCell ref="O520:P520"/>
    <mergeCell ref="F521:G521"/>
    <mergeCell ref="I521:K521"/>
    <mergeCell ref="O521:P521"/>
    <mergeCell ref="F522:G522"/>
    <mergeCell ref="I522:K522"/>
    <mergeCell ref="O522:P522"/>
    <mergeCell ref="F523:G523"/>
    <mergeCell ref="I523:K523"/>
    <mergeCell ref="O523:P523"/>
    <mergeCell ref="F524:G524"/>
    <mergeCell ref="I524:K524"/>
    <mergeCell ref="O524:P524"/>
    <mergeCell ref="F525:G525"/>
    <mergeCell ref="I525:K525"/>
    <mergeCell ref="O525:P525"/>
    <mergeCell ref="F526:G526"/>
    <mergeCell ref="I526:K526"/>
    <mergeCell ref="O526:P526"/>
    <mergeCell ref="F527:G527"/>
    <mergeCell ref="I527:K527"/>
    <mergeCell ref="O527:P527"/>
    <mergeCell ref="F528:G528"/>
    <mergeCell ref="I528:K528"/>
    <mergeCell ref="O528:P528"/>
    <mergeCell ref="F529:G529"/>
    <mergeCell ref="I529:K529"/>
    <mergeCell ref="O529:P529"/>
    <mergeCell ref="F530:G530"/>
    <mergeCell ref="I530:K530"/>
    <mergeCell ref="O530:P530"/>
    <mergeCell ref="F531:G531"/>
    <mergeCell ref="I531:K531"/>
    <mergeCell ref="O531:P531"/>
    <mergeCell ref="F532:G532"/>
    <mergeCell ref="I532:K532"/>
    <mergeCell ref="O532:P532"/>
    <mergeCell ref="F533:G533"/>
    <mergeCell ref="I533:K533"/>
    <mergeCell ref="O533:P533"/>
    <mergeCell ref="F534:G534"/>
    <mergeCell ref="I534:K534"/>
    <mergeCell ref="O534:P534"/>
    <mergeCell ref="F535:G535"/>
    <mergeCell ref="I535:K535"/>
    <mergeCell ref="O535:P535"/>
    <mergeCell ref="F536:G536"/>
    <mergeCell ref="I536:K536"/>
    <mergeCell ref="O536:P536"/>
    <mergeCell ref="F537:G537"/>
    <mergeCell ref="I537:K537"/>
    <mergeCell ref="O537:P537"/>
    <mergeCell ref="F538:G538"/>
    <mergeCell ref="I538:K538"/>
    <mergeCell ref="O538:P538"/>
    <mergeCell ref="F539:G539"/>
    <mergeCell ref="I539:K539"/>
    <mergeCell ref="O539:P539"/>
    <mergeCell ref="F540:G540"/>
    <mergeCell ref="I540:K540"/>
    <mergeCell ref="O540:P540"/>
    <mergeCell ref="F541:G541"/>
    <mergeCell ref="I541:K541"/>
    <mergeCell ref="O541:P541"/>
    <mergeCell ref="F542:G542"/>
    <mergeCell ref="I542:K542"/>
    <mergeCell ref="O542:P542"/>
    <mergeCell ref="F543:G543"/>
    <mergeCell ref="I543:K543"/>
    <mergeCell ref="O543:P543"/>
    <mergeCell ref="F544:G544"/>
    <mergeCell ref="I544:K544"/>
    <mergeCell ref="O544:P544"/>
    <mergeCell ref="F545:G545"/>
    <mergeCell ref="I545:K545"/>
    <mergeCell ref="O545:P545"/>
    <mergeCell ref="F546:G546"/>
    <mergeCell ref="I546:K546"/>
    <mergeCell ref="O546:P546"/>
    <mergeCell ref="F547:G547"/>
    <mergeCell ref="I547:K547"/>
    <mergeCell ref="O547:P547"/>
    <mergeCell ref="F548:G548"/>
    <mergeCell ref="I548:K548"/>
    <mergeCell ref="O548:P548"/>
    <mergeCell ref="F549:G549"/>
    <mergeCell ref="I549:K549"/>
    <mergeCell ref="O549:P549"/>
    <mergeCell ref="F550:G550"/>
    <mergeCell ref="I550:K550"/>
    <mergeCell ref="O550:P550"/>
    <mergeCell ref="F551:G551"/>
    <mergeCell ref="I551:K551"/>
    <mergeCell ref="O551:P551"/>
    <mergeCell ref="F552:G552"/>
    <mergeCell ref="I552:K552"/>
    <mergeCell ref="O552:P552"/>
    <mergeCell ref="F553:G553"/>
    <mergeCell ref="I553:K553"/>
    <mergeCell ref="O553:P553"/>
    <mergeCell ref="F554:G554"/>
    <mergeCell ref="I554:K554"/>
    <mergeCell ref="O554:P554"/>
    <mergeCell ref="F555:G555"/>
    <mergeCell ref="I555:K555"/>
    <mergeCell ref="O555:P555"/>
    <mergeCell ref="F556:G556"/>
    <mergeCell ref="I556:K556"/>
    <mergeCell ref="O556:P556"/>
    <mergeCell ref="F557:G557"/>
    <mergeCell ref="I557:K557"/>
    <mergeCell ref="O557:P557"/>
    <mergeCell ref="F558:G558"/>
    <mergeCell ref="I558:K558"/>
    <mergeCell ref="O558:P558"/>
    <mergeCell ref="F559:G559"/>
    <mergeCell ref="I559:K559"/>
    <mergeCell ref="O559:P559"/>
    <mergeCell ref="F560:G560"/>
    <mergeCell ref="I560:K560"/>
    <mergeCell ref="O560:P560"/>
    <mergeCell ref="F561:G561"/>
    <mergeCell ref="I561:K561"/>
    <mergeCell ref="O561:P561"/>
    <mergeCell ref="F562:G562"/>
    <mergeCell ref="I562:K562"/>
    <mergeCell ref="O562:P562"/>
    <mergeCell ref="F563:G563"/>
    <mergeCell ref="I563:K563"/>
    <mergeCell ref="O563:P563"/>
    <mergeCell ref="F564:G564"/>
    <mergeCell ref="I564:K564"/>
    <mergeCell ref="O564:P564"/>
    <mergeCell ref="F565:G565"/>
    <mergeCell ref="I565:K565"/>
    <mergeCell ref="O565:P565"/>
    <mergeCell ref="F566:G566"/>
    <mergeCell ref="I566:K566"/>
    <mergeCell ref="O566:P566"/>
    <mergeCell ref="F567:G567"/>
    <mergeCell ref="I567:K567"/>
    <mergeCell ref="O567:P567"/>
    <mergeCell ref="F568:G568"/>
    <mergeCell ref="I568:K568"/>
    <mergeCell ref="O568:P568"/>
    <mergeCell ref="F569:G569"/>
    <mergeCell ref="I569:K569"/>
    <mergeCell ref="O569:P569"/>
    <mergeCell ref="F570:G570"/>
    <mergeCell ref="I570:K570"/>
    <mergeCell ref="O570:P570"/>
    <mergeCell ref="F571:G571"/>
    <mergeCell ref="I571:K571"/>
    <mergeCell ref="O571:P571"/>
    <mergeCell ref="F572:G572"/>
    <mergeCell ref="I572:K572"/>
    <mergeCell ref="O572:P572"/>
    <mergeCell ref="F573:G573"/>
    <mergeCell ref="I573:K573"/>
    <mergeCell ref="O573:P573"/>
    <mergeCell ref="F574:G574"/>
    <mergeCell ref="I574:K574"/>
    <mergeCell ref="O574:P574"/>
    <mergeCell ref="F575:G575"/>
    <mergeCell ref="I575:K575"/>
    <mergeCell ref="O575:P575"/>
    <mergeCell ref="F576:G576"/>
    <mergeCell ref="I576:K576"/>
    <mergeCell ref="O576:P576"/>
    <mergeCell ref="F577:G577"/>
    <mergeCell ref="I577:K577"/>
    <mergeCell ref="O577:P577"/>
    <mergeCell ref="F578:G578"/>
    <mergeCell ref="I578:K578"/>
    <mergeCell ref="O578:P578"/>
    <mergeCell ref="F579:G579"/>
    <mergeCell ref="I579:K579"/>
    <mergeCell ref="O579:P579"/>
    <mergeCell ref="F580:G580"/>
    <mergeCell ref="I580:K580"/>
    <mergeCell ref="O580:P580"/>
    <mergeCell ref="F581:G581"/>
    <mergeCell ref="I581:K581"/>
    <mergeCell ref="O581:P581"/>
    <mergeCell ref="F582:G582"/>
    <mergeCell ref="I582:K582"/>
    <mergeCell ref="O582:P582"/>
    <mergeCell ref="F583:G583"/>
    <mergeCell ref="I583:K583"/>
    <mergeCell ref="O583:P583"/>
    <mergeCell ref="F584:G584"/>
    <mergeCell ref="I584:K584"/>
    <mergeCell ref="O584:P584"/>
    <mergeCell ref="F585:G585"/>
    <mergeCell ref="I585:K585"/>
    <mergeCell ref="O585:P585"/>
    <mergeCell ref="F586:G586"/>
    <mergeCell ref="I586:K586"/>
    <mergeCell ref="O586:P586"/>
    <mergeCell ref="F587:G587"/>
    <mergeCell ref="I587:K587"/>
    <mergeCell ref="O587:P587"/>
    <mergeCell ref="F588:G588"/>
    <mergeCell ref="I588:K588"/>
    <mergeCell ref="O588:P588"/>
    <mergeCell ref="F589:G589"/>
    <mergeCell ref="I589:K589"/>
    <mergeCell ref="O589:P589"/>
    <mergeCell ref="F590:G590"/>
    <mergeCell ref="I590:K590"/>
    <mergeCell ref="O590:P590"/>
    <mergeCell ref="F591:G591"/>
    <mergeCell ref="I591:K591"/>
    <mergeCell ref="O591:P591"/>
    <mergeCell ref="F592:G592"/>
    <mergeCell ref="I592:K592"/>
    <mergeCell ref="O592:P592"/>
    <mergeCell ref="F593:G593"/>
    <mergeCell ref="I593:K593"/>
    <mergeCell ref="O593:P593"/>
    <mergeCell ref="F594:G594"/>
    <mergeCell ref="I594:K594"/>
    <mergeCell ref="O594:P594"/>
    <mergeCell ref="F595:G595"/>
    <mergeCell ref="I595:K595"/>
    <mergeCell ref="O595:P595"/>
    <mergeCell ref="F596:G596"/>
    <mergeCell ref="I596:K596"/>
    <mergeCell ref="O596:P596"/>
    <mergeCell ref="F597:G597"/>
    <mergeCell ref="I597:K597"/>
    <mergeCell ref="O597:P597"/>
    <mergeCell ref="F598:G598"/>
    <mergeCell ref="I598:K598"/>
    <mergeCell ref="O598:P598"/>
    <mergeCell ref="F599:G599"/>
    <mergeCell ref="I599:K599"/>
    <mergeCell ref="O599:P599"/>
    <mergeCell ref="F600:G600"/>
    <mergeCell ref="I600:K600"/>
    <mergeCell ref="O600:P600"/>
    <mergeCell ref="F601:G601"/>
    <mergeCell ref="I601:K601"/>
    <mergeCell ref="O601:P601"/>
    <mergeCell ref="F602:G602"/>
    <mergeCell ref="I602:K602"/>
    <mergeCell ref="O602:P602"/>
    <mergeCell ref="F603:G603"/>
    <mergeCell ref="I603:K603"/>
    <mergeCell ref="O603:P603"/>
    <mergeCell ref="F604:G604"/>
    <mergeCell ref="I604:K604"/>
    <mergeCell ref="O604:P604"/>
    <mergeCell ref="F605:G605"/>
    <mergeCell ref="I605:K605"/>
    <mergeCell ref="O605:P605"/>
    <mergeCell ref="F606:G606"/>
    <mergeCell ref="I606:K606"/>
    <mergeCell ref="O606:P606"/>
    <mergeCell ref="F607:G607"/>
    <mergeCell ref="I607:K607"/>
    <mergeCell ref="O607:P607"/>
    <mergeCell ref="F608:G608"/>
    <mergeCell ref="I608:K608"/>
    <mergeCell ref="O608:P608"/>
    <mergeCell ref="F609:G609"/>
    <mergeCell ref="I609:K609"/>
    <mergeCell ref="O609:P609"/>
    <mergeCell ref="F610:G610"/>
    <mergeCell ref="I610:K610"/>
    <mergeCell ref="O610:P610"/>
    <mergeCell ref="F611:G611"/>
    <mergeCell ref="I611:K611"/>
    <mergeCell ref="O611:P611"/>
    <mergeCell ref="F612:G612"/>
    <mergeCell ref="I612:K612"/>
    <mergeCell ref="O612:P612"/>
    <mergeCell ref="F613:G613"/>
    <mergeCell ref="I613:K613"/>
    <mergeCell ref="O613:P613"/>
    <mergeCell ref="F614:G614"/>
    <mergeCell ref="I614:K614"/>
    <mergeCell ref="O614:P614"/>
    <mergeCell ref="F615:G615"/>
    <mergeCell ref="I615:K615"/>
    <mergeCell ref="O615:P615"/>
    <mergeCell ref="F616:G616"/>
    <mergeCell ref="I616:K616"/>
    <mergeCell ref="O616:P616"/>
    <mergeCell ref="F617:G617"/>
    <mergeCell ref="I617:K617"/>
    <mergeCell ref="O617:P617"/>
    <mergeCell ref="F618:G618"/>
    <mergeCell ref="I618:K618"/>
    <mergeCell ref="O618:P618"/>
    <mergeCell ref="F619:G619"/>
    <mergeCell ref="I619:K619"/>
    <mergeCell ref="O619:P619"/>
    <mergeCell ref="F620:G620"/>
    <mergeCell ref="I620:K620"/>
    <mergeCell ref="O620:P620"/>
    <mergeCell ref="F621:G621"/>
    <mergeCell ref="I621:K621"/>
    <mergeCell ref="O621:P621"/>
    <mergeCell ref="F622:G622"/>
    <mergeCell ref="I622:K622"/>
    <mergeCell ref="O622:P622"/>
    <mergeCell ref="F623:G623"/>
    <mergeCell ref="I623:K623"/>
    <mergeCell ref="O623:P623"/>
    <mergeCell ref="F624:G624"/>
    <mergeCell ref="I624:K624"/>
    <mergeCell ref="O624:P624"/>
    <mergeCell ref="F625:G625"/>
    <mergeCell ref="I625:K625"/>
    <mergeCell ref="O625:P625"/>
    <mergeCell ref="F626:G626"/>
    <mergeCell ref="I626:K626"/>
    <mergeCell ref="O626:P626"/>
    <mergeCell ref="F627:G627"/>
    <mergeCell ref="I627:K627"/>
    <mergeCell ref="O627:P627"/>
    <mergeCell ref="F628:G628"/>
    <mergeCell ref="I628:K628"/>
    <mergeCell ref="O628:P628"/>
    <mergeCell ref="F629:G629"/>
    <mergeCell ref="I629:K629"/>
    <mergeCell ref="O629:P629"/>
    <mergeCell ref="F630:G630"/>
    <mergeCell ref="I630:K630"/>
    <mergeCell ref="O630:P630"/>
    <mergeCell ref="F631:G631"/>
    <mergeCell ref="I631:K631"/>
    <mergeCell ref="O631:P631"/>
    <mergeCell ref="F632:G632"/>
    <mergeCell ref="I632:K632"/>
    <mergeCell ref="O632:P632"/>
    <mergeCell ref="F633:G633"/>
    <mergeCell ref="I633:K633"/>
    <mergeCell ref="O633:P633"/>
    <mergeCell ref="F634:G634"/>
    <mergeCell ref="I634:K634"/>
    <mergeCell ref="O634:P634"/>
    <mergeCell ref="F635:G635"/>
    <mergeCell ref="I635:K635"/>
    <mergeCell ref="O635:P635"/>
    <mergeCell ref="F636:G636"/>
    <mergeCell ref="I636:K636"/>
    <mergeCell ref="O636:P636"/>
    <mergeCell ref="F637:G637"/>
    <mergeCell ref="I637:K637"/>
    <mergeCell ref="O637:P637"/>
    <mergeCell ref="F638:G638"/>
    <mergeCell ref="I638:K638"/>
    <mergeCell ref="O638:P638"/>
    <mergeCell ref="F639:G639"/>
    <mergeCell ref="I639:K639"/>
    <mergeCell ref="O639:P639"/>
    <mergeCell ref="F640:G640"/>
    <mergeCell ref="I640:K640"/>
    <mergeCell ref="O640:P640"/>
    <mergeCell ref="F641:G641"/>
    <mergeCell ref="I641:K641"/>
    <mergeCell ref="O641:P641"/>
    <mergeCell ref="F642:G642"/>
    <mergeCell ref="I642:K642"/>
    <mergeCell ref="O642:P642"/>
    <mergeCell ref="F643:G643"/>
    <mergeCell ref="I643:K643"/>
    <mergeCell ref="O643:P643"/>
    <mergeCell ref="F644:G644"/>
    <mergeCell ref="I644:K644"/>
    <mergeCell ref="O644:P644"/>
    <mergeCell ref="F645:G645"/>
    <mergeCell ref="I645:K645"/>
    <mergeCell ref="O645:P645"/>
    <mergeCell ref="F646:G646"/>
    <mergeCell ref="I646:K646"/>
    <mergeCell ref="O646:P646"/>
    <mergeCell ref="F647:G647"/>
    <mergeCell ref="I647:K647"/>
    <mergeCell ref="O647:P647"/>
    <mergeCell ref="F648:G648"/>
    <mergeCell ref="I648:K648"/>
    <mergeCell ref="O648:P648"/>
    <mergeCell ref="F649:G649"/>
    <mergeCell ref="I649:K649"/>
    <mergeCell ref="O649:P649"/>
    <mergeCell ref="F650:G650"/>
    <mergeCell ref="I650:K650"/>
    <mergeCell ref="O650:P650"/>
    <mergeCell ref="F651:G651"/>
    <mergeCell ref="I651:K651"/>
    <mergeCell ref="O651:P651"/>
    <mergeCell ref="F652:G652"/>
    <mergeCell ref="I652:K652"/>
    <mergeCell ref="O652:P652"/>
    <mergeCell ref="F653:G653"/>
    <mergeCell ref="I653:K653"/>
    <mergeCell ref="O653:P653"/>
    <mergeCell ref="F654:G654"/>
    <mergeCell ref="I654:K654"/>
    <mergeCell ref="O654:P654"/>
    <mergeCell ref="F655:G655"/>
    <mergeCell ref="I655:K655"/>
    <mergeCell ref="O655:P655"/>
    <mergeCell ref="F656:G656"/>
    <mergeCell ref="I656:K656"/>
    <mergeCell ref="O656:P656"/>
    <mergeCell ref="F657:G657"/>
    <mergeCell ref="I657:K657"/>
    <mergeCell ref="O657:P657"/>
    <mergeCell ref="F658:G658"/>
    <mergeCell ref="I658:K658"/>
    <mergeCell ref="O658:P658"/>
    <mergeCell ref="F659:G659"/>
    <mergeCell ref="I659:K659"/>
    <mergeCell ref="O659:P659"/>
    <mergeCell ref="C660:F660"/>
    <mergeCell ref="C661:F661"/>
    <mergeCell ref="C662:F662"/>
  </mergeCells>
  <printOptions gridLines="1"/>
  <pageMargins left="0.75" right="0.75" top="1" bottom="0.75" header="0.5" footer="0.5"/>
  <pageSetup paperSize="1" fitToWidth="0" fitToHeight="0" orientation="portrait"/>
  <headerFooter alignWithMargins="0"/>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7">
    <tabColor theme="6" tint="0.399975585192419"/>
  </sheetPr>
  <dimension ref="B1:T346"/>
  <sheetViews>
    <sheetView showGridLines="0" zoomScale="115" zoomScaleNormal="115" workbookViewId="0">
      <pane xSplit="4" ySplit="11" topLeftCell="E15" activePane="bottomRight" state="frozen"/>
      <selection/>
      <selection pane="topRight"/>
      <selection pane="bottomLeft"/>
      <selection pane="bottomRight" activeCell="L20" sqref="L20"/>
    </sheetView>
  </sheetViews>
  <sheetFormatPr defaultColWidth="9.13541666666667" defaultRowHeight="13.2"/>
  <cols>
    <col min="1" max="1" width="2.39583333333333" style="186" customWidth="1"/>
    <col min="2" max="2" width="5.23958333333333" style="186" customWidth="1"/>
    <col min="3" max="3" width="39.8541666666667" style="186" customWidth="1"/>
    <col min="4" max="4" width="14.6875" style="186" customWidth="1"/>
    <col min="5" max="5" width="5.39583333333333" style="186" customWidth="1"/>
    <col min="6" max="6" width="16.3333333333333" style="186" customWidth="1" outlineLevel="1"/>
    <col min="7" max="7" width="5.84375" style="186" customWidth="1" outlineLevel="1"/>
    <col min="8" max="8" width="16.3333333333333" style="186" customWidth="1" outlineLevel="1"/>
    <col min="9" max="9" width="18.125" style="186" customWidth="1" outlineLevel="1"/>
    <col min="10" max="10" width="6.73958333333333" style="186" customWidth="1" outlineLevel="1"/>
    <col min="11" max="11" width="16.3333333333333" style="186" customWidth="1"/>
    <col min="12" max="12" width="17.2291666666667" style="186" customWidth="1" outlineLevel="1"/>
    <col min="13" max="13" width="4.79166666666667" style="186" customWidth="1" outlineLevel="1"/>
    <col min="14" max="14" width="15.4270833333333" style="186" customWidth="1" outlineLevel="1"/>
    <col min="15" max="15" width="17.2291666666667" style="186" customWidth="1" outlineLevel="1"/>
    <col min="16" max="16" width="4.79166666666667" style="186" customWidth="1"/>
    <col min="17" max="17" width="16.9270833333333" style="186" customWidth="1"/>
    <col min="18" max="18" width="16.78125" style="186" customWidth="1"/>
    <col min="19" max="19" width="16.3333333333333" style="186" customWidth="1"/>
    <col min="20" max="20" width="7.1875" style="186" customWidth="1"/>
    <col min="21" max="16384" width="9.13541666666667" style="186"/>
  </cols>
  <sheetData>
    <row r="1" spans="16:16">
      <c r="P1" s="134"/>
    </row>
    <row r="2" spans="3:20">
      <c r="C2" s="2437" t="str">
        <f>+'F2'!B2</f>
        <v>KAP LIASTA NIRWAN SYAFRUDIN &amp; REKAN</v>
      </c>
      <c r="D2" s="1198"/>
      <c r="E2" s="1198"/>
      <c r="F2" s="1198"/>
      <c r="G2" s="1198"/>
      <c r="H2" s="1198"/>
      <c r="I2" s="1198"/>
      <c r="J2" s="1198"/>
      <c r="K2" s="1198"/>
      <c r="L2" s="1198"/>
      <c r="M2" s="1198"/>
      <c r="N2" s="1198"/>
      <c r="O2" s="1198"/>
      <c r="P2" s="1198"/>
      <c r="Q2" s="1198" t="s">
        <v>481</v>
      </c>
      <c r="R2" s="1198" t="s">
        <v>482</v>
      </c>
      <c r="S2" s="1198" t="s">
        <v>483</v>
      </c>
      <c r="T2" s="3019"/>
    </row>
    <row r="3" spans="3:20">
      <c r="C3" s="2334"/>
      <c r="D3" s="1200"/>
      <c r="E3" s="1200"/>
      <c r="F3" s="1200"/>
      <c r="G3" s="1200"/>
      <c r="H3" s="1200"/>
      <c r="I3" s="1200"/>
      <c r="J3" s="1200"/>
      <c r="K3" s="1200"/>
      <c r="L3" s="1200"/>
      <c r="M3" s="1200"/>
      <c r="N3" s="1200"/>
      <c r="O3" s="1200"/>
      <c r="P3" s="1200"/>
      <c r="Q3" s="1200"/>
      <c r="R3" s="2367">
        <f>'C'!R3</f>
        <v>45173</v>
      </c>
      <c r="S3" s="1200" t="s">
        <v>625</v>
      </c>
      <c r="T3" s="3020"/>
    </row>
    <row r="4" spans="3:20">
      <c r="C4" s="2334" t="str">
        <f>+'F1'!C4</f>
        <v>PT INTAN GIRI ABADI</v>
      </c>
      <c r="D4" s="1200"/>
      <c r="E4" s="1200"/>
      <c r="F4" s="1200"/>
      <c r="G4" s="1200"/>
      <c r="H4" s="1200"/>
      <c r="I4" s="1200"/>
      <c r="J4" s="1200"/>
      <c r="K4" s="1200"/>
      <c r="L4" s="1200"/>
      <c r="M4" s="1200"/>
      <c r="N4" s="1200"/>
      <c r="O4" s="1200"/>
      <c r="P4" s="1200"/>
      <c r="Q4" s="1200" t="s">
        <v>487</v>
      </c>
      <c r="R4" s="1200" t="s">
        <v>482</v>
      </c>
      <c r="S4" s="1200" t="s">
        <v>488</v>
      </c>
      <c r="T4" s="3020"/>
    </row>
    <row r="5" spans="2:20">
      <c r="B5" s="248"/>
      <c r="C5" s="1199"/>
      <c r="D5" s="1200"/>
      <c r="E5" s="1200"/>
      <c r="F5" s="1200"/>
      <c r="G5" s="1200"/>
      <c r="H5" s="1200"/>
      <c r="I5" s="1200"/>
      <c r="J5" s="1200"/>
      <c r="K5" s="1200"/>
      <c r="L5" s="1200"/>
      <c r="M5" s="1200"/>
      <c r="N5" s="1200"/>
      <c r="O5" s="1200"/>
      <c r="P5" s="1200"/>
      <c r="Q5" s="1200"/>
      <c r="R5" s="1200"/>
      <c r="S5" s="1200"/>
      <c r="T5" s="3020"/>
    </row>
    <row r="6" spans="2:20">
      <c r="B6" s="248"/>
      <c r="C6" s="1199"/>
      <c r="D6" s="1200"/>
      <c r="E6" s="1200"/>
      <c r="F6" s="1200"/>
      <c r="G6" s="1200"/>
      <c r="H6" s="1200"/>
      <c r="I6" s="1200"/>
      <c r="J6" s="1200"/>
      <c r="K6" s="1200"/>
      <c r="L6" s="1200"/>
      <c r="M6" s="1200"/>
      <c r="N6" s="1200"/>
      <c r="O6" s="1200"/>
      <c r="P6" s="1200"/>
      <c r="Q6" s="1200"/>
      <c r="R6" s="1200"/>
      <c r="S6" s="1200" t="s">
        <v>491</v>
      </c>
      <c r="T6" s="3020"/>
    </row>
    <row r="7" spans="2:20">
      <c r="B7" s="2335"/>
      <c r="C7" s="2993" t="str">
        <f>+'F1'!C20</f>
        <v>Piutang lain-lain</v>
      </c>
      <c r="D7" s="1202"/>
      <c r="E7" s="1202"/>
      <c r="F7" s="1202"/>
      <c r="G7" s="1202"/>
      <c r="H7" s="1202"/>
      <c r="I7" s="1202"/>
      <c r="J7" s="1202"/>
      <c r="K7" s="1202"/>
      <c r="L7" s="1202"/>
      <c r="M7" s="1202"/>
      <c r="N7" s="1202"/>
      <c r="O7" s="1202"/>
      <c r="P7" s="1202"/>
      <c r="Q7" s="1202"/>
      <c r="R7" s="1202"/>
      <c r="S7" s="3021">
        <f>'C'!S7</f>
        <v>44926</v>
      </c>
      <c r="T7" s="3022"/>
    </row>
    <row r="8" ht="13.95" spans="2:15">
      <c r="B8" s="2335"/>
      <c r="N8" s="1388"/>
      <c r="O8" s="1388"/>
    </row>
    <row r="9" spans="2:20">
      <c r="B9" s="2335"/>
      <c r="C9" s="1330"/>
      <c r="D9" s="1330"/>
      <c r="E9" s="1330"/>
      <c r="F9" s="1329" t="s">
        <v>2248</v>
      </c>
      <c r="G9" s="3218"/>
      <c r="H9" s="3219" t="s">
        <v>1228</v>
      </c>
      <c r="I9" s="3219"/>
      <c r="J9" s="3218"/>
      <c r="K9" s="1327" t="s">
        <v>2248</v>
      </c>
      <c r="L9" s="1329" t="s">
        <v>2248</v>
      </c>
      <c r="M9" s="3218"/>
      <c r="N9" s="3219" t="s">
        <v>1228</v>
      </c>
      <c r="O9" s="3219"/>
      <c r="P9" s="3218"/>
      <c r="Q9" s="1327" t="s">
        <v>2248</v>
      </c>
      <c r="R9" s="1327" t="s">
        <v>2248</v>
      </c>
      <c r="S9" s="1403">
        <f>+K11</f>
        <v>44926</v>
      </c>
      <c r="T9" s="1404"/>
    </row>
    <row r="10" spans="2:20">
      <c r="B10" s="2335"/>
      <c r="C10" s="2282" t="s">
        <v>492</v>
      </c>
      <c r="D10" s="1336" t="s">
        <v>654</v>
      </c>
      <c r="E10" s="1389"/>
      <c r="F10" s="1335" t="s">
        <v>2249</v>
      </c>
      <c r="G10" s="3220" t="s">
        <v>1230</v>
      </c>
      <c r="H10" s="3221"/>
      <c r="I10" s="3221"/>
      <c r="J10" s="3220" t="s">
        <v>1230</v>
      </c>
      <c r="K10" s="1389" t="s">
        <v>2250</v>
      </c>
      <c r="L10" s="1335" t="s">
        <v>2249</v>
      </c>
      <c r="M10" s="3220" t="s">
        <v>1230</v>
      </c>
      <c r="N10" s="3221"/>
      <c r="O10" s="3221"/>
      <c r="P10" s="3220" t="s">
        <v>1230</v>
      </c>
      <c r="Q10" s="1389" t="s">
        <v>2250</v>
      </c>
      <c r="R10" s="1389" t="s">
        <v>2249</v>
      </c>
      <c r="S10" s="1405" t="s">
        <v>2251</v>
      </c>
      <c r="T10" s="1406"/>
    </row>
    <row r="11" ht="13.95" spans="2:20">
      <c r="B11" s="2335"/>
      <c r="C11" s="1342"/>
      <c r="D11" s="5111" t="s">
        <v>2252</v>
      </c>
      <c r="E11" s="1341"/>
      <c r="F11" s="1341">
        <f>+'F1'!E10</f>
        <v>44926</v>
      </c>
      <c r="G11" s="3222" t="s">
        <v>2253</v>
      </c>
      <c r="H11" s="3222" t="s">
        <v>1231</v>
      </c>
      <c r="I11" s="3222" t="s">
        <v>1232</v>
      </c>
      <c r="J11" s="3222" t="s">
        <v>2253</v>
      </c>
      <c r="K11" s="1390">
        <f>F11</f>
        <v>44926</v>
      </c>
      <c r="L11" s="1341">
        <f>+'F1'!P10</f>
        <v>44561</v>
      </c>
      <c r="M11" s="3222" t="s">
        <v>2253</v>
      </c>
      <c r="N11" s="3222" t="s">
        <v>1231</v>
      </c>
      <c r="O11" s="3222" t="s">
        <v>1232</v>
      </c>
      <c r="P11" s="3222" t="s">
        <v>2253</v>
      </c>
      <c r="Q11" s="1390">
        <f>L11</f>
        <v>44561</v>
      </c>
      <c r="R11" s="1390">
        <f>+'F1'!Q10</f>
        <v>44196</v>
      </c>
      <c r="S11" s="1336" t="s">
        <v>151</v>
      </c>
      <c r="T11" s="5112" t="s">
        <v>2254</v>
      </c>
    </row>
    <row r="12" spans="2:20">
      <c r="B12" s="2335"/>
      <c r="C12" s="296"/>
      <c r="D12" s="135"/>
      <c r="E12" s="296"/>
      <c r="F12" s="296"/>
      <c r="G12" s="135"/>
      <c r="H12" s="296"/>
      <c r="I12" s="296"/>
      <c r="J12" s="135"/>
      <c r="K12" s="1391"/>
      <c r="L12" s="296"/>
      <c r="M12" s="135"/>
      <c r="N12" s="296"/>
      <c r="O12" s="296"/>
      <c r="P12" s="135"/>
      <c r="Q12" s="1391"/>
      <c r="S12" s="3013"/>
      <c r="T12" s="1409"/>
    </row>
    <row r="13" spans="2:20">
      <c r="B13" s="2335"/>
      <c r="C13" s="150" t="s">
        <v>11369</v>
      </c>
      <c r="D13" s="136"/>
      <c r="E13" s="296"/>
      <c r="F13" s="296"/>
      <c r="G13" s="135"/>
      <c r="H13" s="296"/>
      <c r="I13" s="296"/>
      <c r="J13" s="135"/>
      <c r="K13" s="296"/>
      <c r="L13" s="296"/>
      <c r="M13" s="135"/>
      <c r="N13" s="296"/>
      <c r="O13" s="296"/>
      <c r="P13" s="135"/>
      <c r="Q13" s="296"/>
      <c r="S13" s="296"/>
      <c r="T13" s="1409"/>
    </row>
    <row r="14" spans="2:20">
      <c r="B14" s="2335"/>
      <c r="C14" s="296" t="s">
        <v>695</v>
      </c>
      <c r="D14" s="2542" t="s">
        <v>11370</v>
      </c>
      <c r="E14" s="296"/>
      <c r="F14" s="174">
        <v>2800000000</v>
      </c>
      <c r="G14" s="135"/>
      <c r="H14" s="161">
        <f>SUMIF('F4'!$E$12:$E$158,C14,'F4'!$G$12:$G$158)</f>
        <v>0</v>
      </c>
      <c r="I14" s="161">
        <f>SUMIF('F4'!$E$12:$E$158,C14,'F4'!$H$12:$H$158)</f>
        <v>0</v>
      </c>
      <c r="J14" s="135"/>
      <c r="K14" s="174">
        <f>F14+H14-I14</f>
        <v>2800000000</v>
      </c>
      <c r="L14" s="334">
        <v>0</v>
      </c>
      <c r="M14" s="135"/>
      <c r="N14" s="161">
        <f>SUMIF('F4'!$E$12:$E$158,C14,'F4'!$I$12:$I$158)</f>
        <v>0</v>
      </c>
      <c r="O14" s="161">
        <f>SUMIF('F4'!$E$12:$E$158,C14,'F4'!$J$12:$J$158)</f>
        <v>0</v>
      </c>
      <c r="P14" s="135"/>
      <c r="Q14" s="174">
        <f t="shared" ref="Q14:Q23" si="0">L14+N14-O14</f>
        <v>0</v>
      </c>
      <c r="R14" s="101">
        <v>0</v>
      </c>
      <c r="S14" s="191">
        <f>F14-L14</f>
        <v>2800000000</v>
      </c>
      <c r="T14" s="1409">
        <f>IF(Q14=0,IF(S14=0,0,S14/S14),S14/Q14)</f>
        <v>1</v>
      </c>
    </row>
    <row r="15" spans="2:20">
      <c r="B15" s="2335"/>
      <c r="C15" s="296" t="s">
        <v>11371</v>
      </c>
      <c r="D15" s="2542" t="s">
        <v>11372</v>
      </c>
      <c r="E15" s="296"/>
      <c r="F15" s="174">
        <v>0</v>
      </c>
      <c r="G15" s="135"/>
      <c r="H15" s="161">
        <f>SUMIF('F4'!$E$12:$E$158,C15,'F4'!$G$12:$G$158)</f>
        <v>0</v>
      </c>
      <c r="I15" s="161">
        <f>SUMIF('F4'!$E$12:$E$158,C15,'F4'!$H$12:$H$158)</f>
        <v>0</v>
      </c>
      <c r="J15" s="135"/>
      <c r="K15" s="174">
        <f>F15+H15-I15</f>
        <v>0</v>
      </c>
      <c r="L15" s="334">
        <f>8876000000-7793760000</f>
        <v>1082240000</v>
      </c>
      <c r="M15" s="135"/>
      <c r="N15" s="161">
        <f>SUMIF('F4'!$E$12:$E$158,C15,'F4'!$I$12:$I$158)</f>
        <v>0</v>
      </c>
      <c r="O15" s="161">
        <f>SUMIF('F4'!$E$12:$E$158,C15,'F4'!$J$12:$J$158)</f>
        <v>0</v>
      </c>
      <c r="P15" s="135"/>
      <c r="Q15" s="174">
        <f t="shared" si="0"/>
        <v>1082240000</v>
      </c>
      <c r="R15" s="3241">
        <v>0</v>
      </c>
      <c r="S15" s="191">
        <f t="shared" ref="S15:S23" si="1">F15-L15</f>
        <v>-1082240000</v>
      </c>
      <c r="T15" s="1409">
        <f t="shared" ref="T15:T23" si="2">IF(Q15=0,IF(S15=0,0,S15/S15),S15/Q15)</f>
        <v>-1</v>
      </c>
    </row>
    <row r="16" spans="2:20">
      <c r="B16" s="2335"/>
      <c r="C16" s="296" t="s">
        <v>11373</v>
      </c>
      <c r="D16" s="2542" t="s">
        <v>11374</v>
      </c>
      <c r="E16" s="296"/>
      <c r="F16" s="174">
        <v>0</v>
      </c>
      <c r="G16" s="135"/>
      <c r="H16" s="161">
        <f>SUMIF('F4'!$E$12:$E$158,C16,'F4'!$G$12:$G$158)</f>
        <v>0</v>
      </c>
      <c r="I16" s="161">
        <f>SUMIF('F4'!$E$12:$E$158,C16,'F4'!$H$12:$H$158)</f>
        <v>0</v>
      </c>
      <c r="J16" s="135"/>
      <c r="K16" s="174">
        <f>F16+H16-I16</f>
        <v>0</v>
      </c>
      <c r="L16" s="334">
        <v>2000000000</v>
      </c>
      <c r="M16" s="135"/>
      <c r="N16" s="161">
        <f>SUMIF('F4'!$E$12:$E$158,C16,'F4'!$I$12:$I$158)</f>
        <v>0</v>
      </c>
      <c r="O16" s="161">
        <f>SUMIF('F4'!$E$12:$E$158,C16,'F4'!$J$12:$J$158)</f>
        <v>0</v>
      </c>
      <c r="P16" s="135"/>
      <c r="Q16" s="174">
        <f t="shared" si="0"/>
        <v>2000000000</v>
      </c>
      <c r="R16" s="3241">
        <v>2000000000</v>
      </c>
      <c r="S16" s="191">
        <f t="shared" si="1"/>
        <v>-2000000000</v>
      </c>
      <c r="T16" s="1409">
        <f t="shared" si="2"/>
        <v>-1</v>
      </c>
    </row>
    <row r="17" spans="2:20">
      <c r="B17" s="2335"/>
      <c r="C17" s="296" t="s">
        <v>11375</v>
      </c>
      <c r="D17" s="2542" t="s">
        <v>11376</v>
      </c>
      <c r="E17" s="296"/>
      <c r="F17" s="174">
        <v>0</v>
      </c>
      <c r="G17" s="135"/>
      <c r="H17" s="161">
        <f>SUMIF('F4'!$E$12:$E$158,C17,'F4'!$G$12:$G$158)</f>
        <v>0</v>
      </c>
      <c r="I17" s="161">
        <f>SUMIF('F4'!$E$12:$E$158,C17,'F4'!$H$12:$H$158)</f>
        <v>0</v>
      </c>
      <c r="J17" s="135"/>
      <c r="K17" s="174">
        <f>F17+H17-I17</f>
        <v>0</v>
      </c>
      <c r="L17" s="3239">
        <v>1000000000</v>
      </c>
      <c r="M17" s="135"/>
      <c r="N17" s="161">
        <f>SUMIF('F4'!$E$12:$E$158,C17,'F4'!$I$12:$I$158)</f>
        <v>0</v>
      </c>
      <c r="O17" s="161">
        <f>SUMIF('F4'!$E$12:$E$158,C17,'F4'!$J$12:$J$158)</f>
        <v>0</v>
      </c>
      <c r="P17" s="135"/>
      <c r="Q17" s="174">
        <f t="shared" si="0"/>
        <v>1000000000</v>
      </c>
      <c r="R17" s="3241">
        <v>1000000000</v>
      </c>
      <c r="S17" s="191">
        <f t="shared" si="1"/>
        <v>-1000000000</v>
      </c>
      <c r="T17" s="1409">
        <f t="shared" si="2"/>
        <v>-1</v>
      </c>
    </row>
    <row r="18" spans="2:20">
      <c r="B18" s="2335"/>
      <c r="C18" s="296" t="s">
        <v>11377</v>
      </c>
      <c r="D18" s="2542" t="s">
        <v>11378</v>
      </c>
      <c r="E18" s="296"/>
      <c r="F18" s="174">
        <v>0</v>
      </c>
      <c r="G18" s="135"/>
      <c r="H18" s="161">
        <f>SUMIF('F4'!$E$12:$E$158,C18,'F4'!$G$12:$G$158)</f>
        <v>0</v>
      </c>
      <c r="I18" s="161">
        <f>SUMIF('F4'!$E$12:$E$158,C18,'F4'!$H$12:$H$158)</f>
        <v>0</v>
      </c>
      <c r="J18" s="135"/>
      <c r="K18" s="174">
        <f>F18+H18-I18</f>
        <v>0</v>
      </c>
      <c r="L18" s="334">
        <v>114400000</v>
      </c>
      <c r="M18" s="135"/>
      <c r="N18" s="161">
        <f>SUMIF('F4'!$E$12:$E$158,C18,'F4'!$I$12:$I$158)</f>
        <v>0</v>
      </c>
      <c r="O18" s="161">
        <f>SUMIF('F4'!$E$12:$E$158,C18,'F4'!$J$12:$J$158)</f>
        <v>0</v>
      </c>
      <c r="P18" s="135"/>
      <c r="Q18" s="174">
        <f t="shared" si="0"/>
        <v>114400000</v>
      </c>
      <c r="R18" s="3241">
        <v>114400000</v>
      </c>
      <c r="S18" s="191">
        <f t="shared" si="1"/>
        <v>-114400000</v>
      </c>
      <c r="T18" s="1409">
        <f t="shared" si="2"/>
        <v>-1</v>
      </c>
    </row>
    <row r="19" spans="2:20">
      <c r="B19" s="2335"/>
      <c r="C19" s="296" t="s">
        <v>11379</v>
      </c>
      <c r="D19" s="2542" t="s">
        <v>11380</v>
      </c>
      <c r="E19" s="296"/>
      <c r="F19" s="174">
        <v>0</v>
      </c>
      <c r="G19" s="135"/>
      <c r="H19" s="161">
        <f>SUMIF('F4'!$E$12:$E$158,C19,'F4'!$G$12:$G$158)</f>
        <v>0</v>
      </c>
      <c r="I19" s="161">
        <f>SUMIF('F4'!$E$12:$E$158,C19,'F4'!$H$12:$H$158)</f>
        <v>0</v>
      </c>
      <c r="J19" s="135"/>
      <c r="K19" s="174">
        <f t="shared" ref="K19:K23" si="3">F19+H19-I19</f>
        <v>0</v>
      </c>
      <c r="L19" s="334">
        <v>0</v>
      </c>
      <c r="M19" s="135"/>
      <c r="N19" s="161">
        <f>SUMIF('F4'!$E$12:$E$158,C19,'F4'!$I$12:$I$158)</f>
        <v>0</v>
      </c>
      <c r="O19" s="161">
        <f>SUMIF('F4'!$E$12:$E$158,C19,'F4'!$J$12:$J$158)</f>
        <v>0</v>
      </c>
      <c r="P19" s="135"/>
      <c r="Q19" s="174">
        <f t="shared" si="0"/>
        <v>0</v>
      </c>
      <c r="R19" s="3241">
        <v>394558185.33</v>
      </c>
      <c r="S19" s="191">
        <f t="shared" si="1"/>
        <v>0</v>
      </c>
      <c r="T19" s="1409">
        <f t="shared" si="2"/>
        <v>0</v>
      </c>
    </row>
    <row r="20" spans="2:20">
      <c r="B20" s="2335"/>
      <c r="C20" s="296"/>
      <c r="D20" s="2542"/>
      <c r="E20" s="296"/>
      <c r="F20" s="230"/>
      <c r="G20" s="135"/>
      <c r="H20" s="161"/>
      <c r="I20" s="161"/>
      <c r="J20" s="329"/>
      <c r="K20" s="174">
        <f t="shared" si="3"/>
        <v>0</v>
      </c>
      <c r="L20" s="3239"/>
      <c r="M20" s="135"/>
      <c r="N20" s="161"/>
      <c r="O20" s="161"/>
      <c r="P20" s="135"/>
      <c r="Q20" s="174">
        <f t="shared" si="0"/>
        <v>0</v>
      </c>
      <c r="R20" s="3241">
        <v>0</v>
      </c>
      <c r="S20" s="191">
        <f t="shared" si="1"/>
        <v>0</v>
      </c>
      <c r="T20" s="1409"/>
    </row>
    <row r="21" spans="2:20">
      <c r="B21" s="2335"/>
      <c r="C21" s="150" t="s">
        <v>11381</v>
      </c>
      <c r="D21" s="2542"/>
      <c r="E21" s="296"/>
      <c r="F21" s="230"/>
      <c r="G21" s="135"/>
      <c r="H21" s="161">
        <f>SUMIF('F4'!$E$12:$E$158,C21,'F4'!$G$12:$G$158)</f>
        <v>0</v>
      </c>
      <c r="I21" s="3240">
        <f>SUMIF('F4'!$E$12:$E$158,C21,'F4'!$H$12:$H$158)</f>
        <v>0</v>
      </c>
      <c r="J21" s="329"/>
      <c r="K21" s="174">
        <f t="shared" si="3"/>
        <v>0</v>
      </c>
      <c r="L21" s="3239"/>
      <c r="M21" s="135"/>
      <c r="N21" s="161">
        <f>SUMIF('F4'!$E$12:$E$158,C21,'F4'!$I$12:$I$158)</f>
        <v>0</v>
      </c>
      <c r="O21" s="161">
        <f>SUMIF('F4'!$E$12:$E$158,C21,'F4'!$J$12:$J$158)</f>
        <v>0</v>
      </c>
      <c r="P21" s="135"/>
      <c r="Q21" s="174">
        <f t="shared" si="0"/>
        <v>0</v>
      </c>
      <c r="R21" s="3241">
        <v>0</v>
      </c>
      <c r="S21" s="191">
        <f t="shared" si="1"/>
        <v>0</v>
      </c>
      <c r="T21" s="1409">
        <f t="shared" si="2"/>
        <v>0</v>
      </c>
    </row>
    <row r="22" customFormat="1" spans="3:20">
      <c r="C22" s="296" t="s">
        <v>11382</v>
      </c>
      <c r="D22" s="2542" t="s">
        <v>11378</v>
      </c>
      <c r="E22" s="161"/>
      <c r="F22" s="101">
        <v>5200000000</v>
      </c>
      <c r="G22" s="161"/>
      <c r="H22" s="161">
        <f>SUMIF('F4'!$E$12:$E$158,C22,'F4'!$G$12:$G$158)</f>
        <v>0</v>
      </c>
      <c r="I22" s="3240">
        <f>SUMIF('F4'!$E$12:$E$158,C22,'F4'!$H$12:$H$158)</f>
        <v>0</v>
      </c>
      <c r="J22" s="101"/>
      <c r="K22" s="174">
        <f t="shared" si="3"/>
        <v>5200000000</v>
      </c>
      <c r="L22" s="3241">
        <v>0</v>
      </c>
      <c r="M22" s="135"/>
      <c r="N22" s="161">
        <f>SUMIF('F4'!$E$12:$E$158,C22,'F4'!$I$12:$I$158)</f>
        <v>0</v>
      </c>
      <c r="O22" s="161">
        <f>SUMIF('F4'!$E$12:$E$158,C22,'F4'!$J$12:$J$158)</f>
        <v>0</v>
      </c>
      <c r="P22" s="135"/>
      <c r="Q22" s="161">
        <f t="shared" si="0"/>
        <v>0</v>
      </c>
      <c r="R22" s="3241">
        <v>0</v>
      </c>
      <c r="S22" s="191">
        <f t="shared" si="1"/>
        <v>5200000000</v>
      </c>
      <c r="T22" s="1409">
        <f t="shared" si="2"/>
        <v>1</v>
      </c>
    </row>
    <row r="23" spans="2:20">
      <c r="B23" s="2335"/>
      <c r="C23" s="296" t="s">
        <v>11383</v>
      </c>
      <c r="D23" s="2542" t="s">
        <v>11384</v>
      </c>
      <c r="E23" s="296"/>
      <c r="F23" s="174"/>
      <c r="G23" s="135"/>
      <c r="H23" s="230"/>
      <c r="I23" s="3240"/>
      <c r="J23" s="329"/>
      <c r="K23" s="174">
        <f t="shared" si="3"/>
        <v>0</v>
      </c>
      <c r="L23" s="3241">
        <v>7793760000</v>
      </c>
      <c r="M23" s="135"/>
      <c r="N23" s="174"/>
      <c r="O23" s="174"/>
      <c r="P23" s="135"/>
      <c r="Q23" s="161">
        <f t="shared" si="0"/>
        <v>7793760000</v>
      </c>
      <c r="R23" s="3241">
        <v>0</v>
      </c>
      <c r="S23" s="191">
        <f t="shared" si="1"/>
        <v>-7793760000</v>
      </c>
      <c r="T23" s="1409">
        <f t="shared" si="2"/>
        <v>-1</v>
      </c>
    </row>
    <row r="24" spans="2:20">
      <c r="B24" s="2335"/>
      <c r="C24" s="296"/>
      <c r="D24" s="135"/>
      <c r="E24" s="296"/>
      <c r="F24" s="296"/>
      <c r="G24" s="135"/>
      <c r="H24" s="156"/>
      <c r="I24" s="3240"/>
      <c r="J24" s="3242"/>
      <c r="K24" s="296"/>
      <c r="L24" s="289"/>
      <c r="M24" s="135"/>
      <c r="N24" s="156"/>
      <c r="O24" s="156"/>
      <c r="P24" s="135"/>
      <c r="Q24" s="174"/>
      <c r="S24" s="236"/>
      <c r="T24" s="1409"/>
    </row>
    <row r="25" spans="2:20">
      <c r="B25" s="2335"/>
      <c r="C25" s="5114" t="s">
        <v>11385</v>
      </c>
      <c r="D25" s="336"/>
      <c r="E25" s="336"/>
      <c r="F25" s="2772">
        <f>SUM(F14:F24)</f>
        <v>8000000000</v>
      </c>
      <c r="G25" s="135"/>
      <c r="H25" s="3223">
        <f>SUM(H14:H24)</f>
        <v>0</v>
      </c>
      <c r="I25" s="3243">
        <f>SUM(I14:I24)</f>
        <v>0</v>
      </c>
      <c r="J25" s="3223"/>
      <c r="K25" s="3243">
        <f>SUM(K14:K24)</f>
        <v>8000000000</v>
      </c>
      <c r="L25" s="3243">
        <f>SUM(L14:L24)</f>
        <v>11990400000</v>
      </c>
      <c r="M25" s="200"/>
      <c r="N25" s="3223">
        <f>SUM(N14:N24)</f>
        <v>0</v>
      </c>
      <c r="O25" s="3223">
        <f>SUM(O14:O24)</f>
        <v>0</v>
      </c>
      <c r="P25" s="135"/>
      <c r="Q25" s="2772">
        <f>SUM(Q14:Q24)</f>
        <v>11990400000</v>
      </c>
      <c r="R25" s="2772">
        <f>SUM(R14:R24)</f>
        <v>3508958185.33</v>
      </c>
      <c r="S25" s="2772">
        <f>SUM(S14:S24)</f>
        <v>-3990400000</v>
      </c>
      <c r="T25" s="1409">
        <f t="shared" ref="T25" si="4">IF(Q25=0,IF(S25=0,0,S25/S25),S25/Q25)</f>
        <v>-0.332799572991727</v>
      </c>
    </row>
    <row r="26" ht="13.95" spans="2:20">
      <c r="B26" s="2335"/>
      <c r="C26" s="1348"/>
      <c r="D26" s="2286"/>
      <c r="E26" s="1348"/>
      <c r="F26" s="1348">
        <f>+F25-'F1'!E20-'F1'!E29</f>
        <v>0</v>
      </c>
      <c r="G26" s="2286"/>
      <c r="H26" s="3224"/>
      <c r="I26" s="3244"/>
      <c r="J26" s="3224"/>
      <c r="K26" s="3244">
        <f>+K25-'F1'!J20-'F1'!J29</f>
        <v>0</v>
      </c>
      <c r="L26" s="3244">
        <f>+L25-'F1'!K20-'F1'!K29</f>
        <v>0</v>
      </c>
      <c r="M26" s="1394"/>
      <c r="N26" s="1393"/>
      <c r="O26" s="1348"/>
      <c r="P26" s="1348"/>
      <c r="Q26" s="3224">
        <f>+Q25-'F1'!P20-'F1'!P29</f>
        <v>0</v>
      </c>
      <c r="R26" s="3224">
        <f>+R25-'F1'!Q20-'F1'!Q29</f>
        <v>0</v>
      </c>
      <c r="S26" s="1348"/>
      <c r="T26" s="2317"/>
    </row>
    <row r="27" spans="2:20">
      <c r="B27" s="2335"/>
      <c r="F27" s="3225" t="s">
        <v>649</v>
      </c>
      <c r="L27" s="3225" t="s">
        <v>649</v>
      </c>
      <c r="R27" s="3225" t="s">
        <v>650</v>
      </c>
      <c r="T27" s="2318"/>
    </row>
    <row r="28" spans="2:20">
      <c r="B28" s="2335"/>
      <c r="T28" s="2318"/>
    </row>
    <row r="31" spans="3:3">
      <c r="C31" s="186" t="str">
        <f>'F1'!C46</f>
        <v>Sesuai dengan Saldo Buku Besar Periode 31 Desember 2022 &amp; 2021</v>
      </c>
    </row>
    <row r="32" spans="3:3">
      <c r="C32" s="5113" t="str">
        <f>'F1'!C47</f>
        <v>Sesuai dengan Saldo Audit Periode Sebelumnya</v>
      </c>
    </row>
    <row r="33" spans="3:3">
      <c r="C33" s="5113" t="str">
        <f>'F1'!C48</f>
        <v>Rumus dan Formula Perhitungan telah Diperiksa</v>
      </c>
    </row>
    <row r="34" spans="3:3">
      <c r="C34" s="313"/>
    </row>
    <row r="35" spans="3:3">
      <c r="C35" s="313"/>
    </row>
    <row r="36" spans="3:20">
      <c r="C36" s="3226"/>
      <c r="D36" s="3163"/>
      <c r="E36" s="3163"/>
      <c r="F36" s="3227"/>
      <c r="G36" s="3227"/>
      <c r="H36" s="3227"/>
      <c r="I36" s="3227"/>
      <c r="J36" s="3227"/>
      <c r="K36" s="3227"/>
      <c r="L36" s="3227"/>
      <c r="M36" s="3163"/>
      <c r="N36" s="3163"/>
      <c r="O36" s="3163"/>
      <c r="P36" s="3163"/>
      <c r="Q36" s="3163"/>
      <c r="R36" s="3163"/>
      <c r="S36" s="3163"/>
      <c r="T36" s="3183"/>
    </row>
    <row r="37" ht="15.6" spans="3:20">
      <c r="C37" s="3228" t="s">
        <v>11386</v>
      </c>
      <c r="D37" s="3229"/>
      <c r="E37" s="3229"/>
      <c r="F37" s="3230">
        <v>2022</v>
      </c>
      <c r="G37" s="3230"/>
      <c r="H37" s="3230">
        <v>2021</v>
      </c>
      <c r="I37" s="3230">
        <v>2020</v>
      </c>
      <c r="J37" s="3230"/>
      <c r="K37" s="3230">
        <v>2019</v>
      </c>
      <c r="L37" s="3230">
        <v>2018</v>
      </c>
      <c r="M37" s="3230"/>
      <c r="N37" s="3230">
        <v>2017</v>
      </c>
      <c r="O37" s="3167"/>
      <c r="P37" s="3167"/>
      <c r="Q37" s="3167"/>
      <c r="R37" s="3167"/>
      <c r="S37" s="3167"/>
      <c r="T37" s="3245"/>
    </row>
    <row r="38" spans="2:20">
      <c r="B38" s="3231" t="s">
        <v>11370</v>
      </c>
      <c r="C38" s="3173" t="s">
        <v>11387</v>
      </c>
      <c r="D38" s="3174"/>
      <c r="E38" s="3174"/>
      <c r="F38" s="3174">
        <v>8000000000</v>
      </c>
      <c r="G38" s="3167"/>
      <c r="H38" s="3174">
        <v>0</v>
      </c>
      <c r="I38" s="3174">
        <v>0</v>
      </c>
      <c r="J38" s="3167"/>
      <c r="K38" s="3174">
        <v>0</v>
      </c>
      <c r="L38" s="3174">
        <v>0</v>
      </c>
      <c r="M38" s="3167"/>
      <c r="N38" s="3174">
        <v>0</v>
      </c>
      <c r="O38" s="3167"/>
      <c r="P38" s="3167"/>
      <c r="Q38" s="3167"/>
      <c r="R38" s="3167"/>
      <c r="S38" s="3167"/>
      <c r="T38" s="3245"/>
    </row>
    <row r="39" spans="2:20">
      <c r="B39" s="3231" t="s">
        <v>11372</v>
      </c>
      <c r="C39" s="5115" t="s">
        <v>11388</v>
      </c>
      <c r="D39" s="3174"/>
      <c r="E39" s="3174"/>
      <c r="F39" s="3174">
        <v>0</v>
      </c>
      <c r="G39" s="3167"/>
      <c r="H39" s="3174">
        <v>8876000000</v>
      </c>
      <c r="I39" s="3174">
        <v>8876000000</v>
      </c>
      <c r="J39" s="3167"/>
      <c r="K39" s="3174">
        <v>9201000000</v>
      </c>
      <c r="L39" s="3174">
        <v>8876000000</v>
      </c>
      <c r="M39" s="3167"/>
      <c r="N39" s="3174">
        <v>0</v>
      </c>
      <c r="O39" s="3167"/>
      <c r="P39" s="3167"/>
      <c r="Q39" s="3167"/>
      <c r="R39" s="3167"/>
      <c r="S39" s="3167"/>
      <c r="T39" s="3245"/>
    </row>
    <row r="40" spans="2:20">
      <c r="B40" s="3231" t="s">
        <v>11374</v>
      </c>
      <c r="C40" s="5115" t="s">
        <v>11389</v>
      </c>
      <c r="D40" s="3174"/>
      <c r="E40" s="3174"/>
      <c r="F40" s="3174">
        <v>0</v>
      </c>
      <c r="G40" s="3167"/>
      <c r="H40" s="3174">
        <v>2000000000</v>
      </c>
      <c r="I40" s="3174">
        <v>2000000000</v>
      </c>
      <c r="J40" s="3167"/>
      <c r="K40" s="3174">
        <v>3000000000</v>
      </c>
      <c r="L40" s="3174">
        <v>0</v>
      </c>
      <c r="M40" s="3167"/>
      <c r="N40" s="3174">
        <v>0</v>
      </c>
      <c r="O40" s="3167"/>
      <c r="P40" s="3167"/>
      <c r="Q40" s="3167"/>
      <c r="R40" s="3167"/>
      <c r="S40" s="3167"/>
      <c r="T40" s="3245"/>
    </row>
    <row r="41" spans="2:20">
      <c r="B41" s="3231" t="s">
        <v>11376</v>
      </c>
      <c r="C41" s="5115" t="s">
        <v>11390</v>
      </c>
      <c r="D41" s="3174"/>
      <c r="E41" s="3174"/>
      <c r="F41" s="3174">
        <v>0</v>
      </c>
      <c r="G41" s="3167"/>
      <c r="H41" s="3174">
        <v>1000000000</v>
      </c>
      <c r="I41" s="3174">
        <v>1000000000</v>
      </c>
      <c r="J41" s="3167"/>
      <c r="K41" s="3174">
        <v>1000000000</v>
      </c>
      <c r="L41" s="3174">
        <v>2000000000</v>
      </c>
      <c r="M41" s="3167"/>
      <c r="N41" s="3174">
        <v>0</v>
      </c>
      <c r="O41" s="3167"/>
      <c r="P41" s="3167"/>
      <c r="Q41" s="3167"/>
      <c r="R41" s="3167"/>
      <c r="S41" s="3167"/>
      <c r="T41" s="3245"/>
    </row>
    <row r="42" spans="2:20">
      <c r="B42" s="3231" t="s">
        <v>11380</v>
      </c>
      <c r="C42" s="5115" t="s">
        <v>11391</v>
      </c>
      <c r="D42" s="3174"/>
      <c r="E42" s="3174"/>
      <c r="F42" s="3174">
        <v>0</v>
      </c>
      <c r="G42" s="3167"/>
      <c r="H42" s="3174">
        <v>114400000</v>
      </c>
      <c r="I42" s="3174">
        <v>114400000</v>
      </c>
      <c r="J42" s="3167"/>
      <c r="K42" s="3174">
        <v>0</v>
      </c>
      <c r="L42" s="3174">
        <v>0</v>
      </c>
      <c r="M42" s="3167"/>
      <c r="N42" s="3174">
        <v>0</v>
      </c>
      <c r="O42" s="3167"/>
      <c r="P42" s="3167"/>
      <c r="Q42" s="3167"/>
      <c r="R42" s="3167"/>
      <c r="S42" s="3167"/>
      <c r="T42" s="3245"/>
    </row>
    <row r="43" spans="2:20">
      <c r="B43" s="3231" t="s">
        <v>11378</v>
      </c>
      <c r="C43" s="5115" t="s">
        <v>11392</v>
      </c>
      <c r="D43" s="3174"/>
      <c r="E43" s="3174"/>
      <c r="F43" s="3174">
        <v>0</v>
      </c>
      <c r="G43" s="3167"/>
      <c r="H43" s="3174">
        <v>0</v>
      </c>
      <c r="I43" s="3174">
        <v>394558185.33</v>
      </c>
      <c r="J43" s="3167"/>
      <c r="K43" s="3174">
        <v>176098185.33</v>
      </c>
      <c r="L43" s="3174">
        <v>156098185.33</v>
      </c>
      <c r="M43" s="3167"/>
      <c r="N43" s="3174">
        <v>0</v>
      </c>
      <c r="O43" s="3167"/>
      <c r="P43" s="3167"/>
      <c r="Q43" s="3167"/>
      <c r="R43" s="3167"/>
      <c r="S43" s="3167"/>
      <c r="T43" s="3245"/>
    </row>
    <row r="44" spans="2:20">
      <c r="B44" s="3231" t="s">
        <v>11384</v>
      </c>
      <c r="C44" s="3173" t="s">
        <v>11393</v>
      </c>
      <c r="D44" s="3174"/>
      <c r="E44" s="3174"/>
      <c r="F44" s="3174">
        <v>0</v>
      </c>
      <c r="G44" s="3167"/>
      <c r="H44" s="3174">
        <v>0</v>
      </c>
      <c r="I44" s="3174">
        <v>0</v>
      </c>
      <c r="J44" s="3167"/>
      <c r="K44" s="3174">
        <v>107360000</v>
      </c>
      <c r="L44" s="3174">
        <v>1048360000</v>
      </c>
      <c r="M44" s="3167"/>
      <c r="N44" s="3174">
        <v>123000000</v>
      </c>
      <c r="O44" s="3167"/>
      <c r="P44" s="3167"/>
      <c r="Q44" s="3167"/>
      <c r="R44" s="3167"/>
      <c r="S44" s="3167"/>
      <c r="T44" s="3245"/>
    </row>
    <row r="45" spans="2:20">
      <c r="B45" s="3231" t="s">
        <v>11394</v>
      </c>
      <c r="C45" s="3173" t="s">
        <v>11395</v>
      </c>
      <c r="D45" s="3174"/>
      <c r="E45" s="3174"/>
      <c r="F45" s="3174">
        <v>0</v>
      </c>
      <c r="G45" s="3167"/>
      <c r="H45" s="3174">
        <v>0</v>
      </c>
      <c r="I45" s="3174">
        <v>0</v>
      </c>
      <c r="J45" s="3167"/>
      <c r="K45" s="3174">
        <v>89430000</v>
      </c>
      <c r="L45" s="3174">
        <v>89430000</v>
      </c>
      <c r="M45" s="3167"/>
      <c r="N45" s="3174">
        <v>89430000</v>
      </c>
      <c r="O45" s="3167"/>
      <c r="P45" s="3167"/>
      <c r="Q45" s="3167"/>
      <c r="R45" s="3167"/>
      <c r="S45" s="3167"/>
      <c r="T45" s="3245"/>
    </row>
    <row r="46" spans="2:20">
      <c r="B46" s="3231" t="s">
        <v>11396</v>
      </c>
      <c r="C46" s="3173" t="s">
        <v>11397</v>
      </c>
      <c r="D46" s="3174"/>
      <c r="E46" s="3174"/>
      <c r="F46" s="3174">
        <v>0</v>
      </c>
      <c r="G46" s="3167"/>
      <c r="H46" s="3174">
        <v>0</v>
      </c>
      <c r="I46" s="3174">
        <v>0</v>
      </c>
      <c r="J46" s="3167"/>
      <c r="K46" s="3174">
        <v>7500000</v>
      </c>
      <c r="L46" s="3174">
        <v>32500000</v>
      </c>
      <c r="M46" s="3167"/>
      <c r="N46" s="3174">
        <v>208600000</v>
      </c>
      <c r="O46" s="3167"/>
      <c r="P46" s="3167"/>
      <c r="Q46" s="3167"/>
      <c r="R46" s="3167"/>
      <c r="S46" s="3167"/>
      <c r="T46" s="3245"/>
    </row>
    <row r="47" spans="2:20">
      <c r="B47" s="3231" t="s">
        <v>11398</v>
      </c>
      <c r="C47" s="3173" t="s">
        <v>11399</v>
      </c>
      <c r="D47" s="3174"/>
      <c r="E47" s="3174"/>
      <c r="F47" s="3174">
        <v>0</v>
      </c>
      <c r="G47" s="3167"/>
      <c r="H47" s="3174">
        <v>0</v>
      </c>
      <c r="I47" s="3174">
        <v>0</v>
      </c>
      <c r="J47" s="3167"/>
      <c r="K47" s="3174">
        <v>0</v>
      </c>
      <c r="L47" s="3174">
        <v>0</v>
      </c>
      <c r="M47" s="3167"/>
      <c r="N47" s="3174">
        <v>80000000</v>
      </c>
      <c r="O47" s="3167"/>
      <c r="P47" s="3167"/>
      <c r="Q47" s="3167"/>
      <c r="R47" s="3167"/>
      <c r="S47" s="3167"/>
      <c r="T47" s="3245"/>
    </row>
    <row r="48" spans="2:20">
      <c r="B48" s="3231" t="s">
        <v>11400</v>
      </c>
      <c r="C48" s="3173" t="s">
        <v>11401</v>
      </c>
      <c r="D48" s="3174"/>
      <c r="E48" s="3174"/>
      <c r="F48" s="3174">
        <v>0</v>
      </c>
      <c r="G48" s="3167"/>
      <c r="H48" s="3174">
        <v>0</v>
      </c>
      <c r="I48" s="3174">
        <v>0</v>
      </c>
      <c r="J48" s="3167"/>
      <c r="K48" s="3174">
        <v>0</v>
      </c>
      <c r="L48" s="3174">
        <v>0</v>
      </c>
      <c r="M48" s="3167"/>
      <c r="N48" s="3174">
        <v>0</v>
      </c>
      <c r="O48" s="3167"/>
      <c r="P48" s="3167"/>
      <c r="Q48" s="3167"/>
      <c r="R48" s="3167"/>
      <c r="S48" s="3167"/>
      <c r="T48" s="3245"/>
    </row>
    <row r="49" spans="3:20">
      <c r="C49" s="3175"/>
      <c r="D49" s="3176"/>
      <c r="E49" s="3176"/>
      <c r="F49" s="3176"/>
      <c r="G49" s="3176"/>
      <c r="H49" s="3176"/>
      <c r="I49" s="3176"/>
      <c r="J49" s="3176"/>
      <c r="K49" s="3176"/>
      <c r="L49" s="3176"/>
      <c r="M49" s="3176"/>
      <c r="N49" s="3176"/>
      <c r="O49" s="3167"/>
      <c r="P49" s="3167"/>
      <c r="Q49" s="3167"/>
      <c r="R49" s="3167"/>
      <c r="S49" s="3167"/>
      <c r="T49" s="3245"/>
    </row>
    <row r="50" spans="2:20">
      <c r="B50" s="248"/>
      <c r="C50" s="3233" t="s">
        <v>151</v>
      </c>
      <c r="D50" s="3234"/>
      <c r="E50" s="3234"/>
      <c r="F50" s="3234">
        <f>SUM(F38:F48)</f>
        <v>8000000000</v>
      </c>
      <c r="G50" s="3234"/>
      <c r="H50" s="3234">
        <f>SUM(H38:H48)</f>
        <v>11990400000</v>
      </c>
      <c r="I50" s="3234">
        <f>SUM(I38:I48)</f>
        <v>12384958185.33</v>
      </c>
      <c r="J50" s="3234"/>
      <c r="K50" s="3234">
        <f>SUM(K38:K48)</f>
        <v>13581388185.33</v>
      </c>
      <c r="L50" s="3234">
        <f>SUM(L38:L48)</f>
        <v>12202388185.33</v>
      </c>
      <c r="M50" s="3234"/>
      <c r="N50" s="3234">
        <f>SUM(N38:N48)</f>
        <v>501030000</v>
      </c>
      <c r="O50" s="3167"/>
      <c r="P50" s="3167"/>
      <c r="Q50" s="3167"/>
      <c r="R50" s="3167"/>
      <c r="S50" s="3167"/>
      <c r="T50" s="3245"/>
    </row>
    <row r="51" spans="2:20">
      <c r="B51" s="248"/>
      <c r="C51" s="3233"/>
      <c r="D51" s="3234"/>
      <c r="E51" s="3234"/>
      <c r="F51" s="3234"/>
      <c r="G51" s="3234"/>
      <c r="H51" s="3234"/>
      <c r="I51" s="3234"/>
      <c r="J51" s="3234"/>
      <c r="K51" s="3234"/>
      <c r="L51" s="3234"/>
      <c r="M51" s="3234"/>
      <c r="N51" s="3234"/>
      <c r="O51" s="3167"/>
      <c r="P51" s="3167"/>
      <c r="Q51" s="3167"/>
      <c r="R51" s="3167"/>
      <c r="S51" s="3167"/>
      <c r="T51" s="3245"/>
    </row>
    <row r="52" spans="3:20">
      <c r="C52" s="3235" t="s">
        <v>11402</v>
      </c>
      <c r="D52" s="3174"/>
      <c r="E52" s="3174"/>
      <c r="F52" s="3174"/>
      <c r="G52" s="3174"/>
      <c r="H52" s="3174"/>
      <c r="I52" s="3174"/>
      <c r="J52" s="3174"/>
      <c r="K52" s="3174"/>
      <c r="L52" s="3174"/>
      <c r="M52" s="3174"/>
      <c r="N52" s="3174"/>
      <c r="O52" s="3167"/>
      <c r="P52" s="3167"/>
      <c r="Q52" s="3167"/>
      <c r="R52" s="3167"/>
      <c r="S52" s="3167"/>
      <c r="T52" s="3245"/>
    </row>
    <row r="53" spans="3:20">
      <c r="C53" s="3173" t="s">
        <v>11403</v>
      </c>
      <c r="D53" s="3174"/>
      <c r="E53" s="3174"/>
      <c r="F53" s="3174">
        <f>+[75]Loan!E29</f>
        <v>2800000000</v>
      </c>
      <c r="G53" s="3167"/>
      <c r="H53" s="3174">
        <f>+[75]Loan!F29</f>
        <v>4196640000</v>
      </c>
      <c r="I53" s="3174">
        <f>+[75]Loan!G29</f>
        <v>4334735364.8655</v>
      </c>
      <c r="J53" s="3167"/>
      <c r="K53" s="3174">
        <f>+[75]Loan!H29</f>
        <v>4753485864.8655</v>
      </c>
      <c r="L53" s="3174">
        <f>+[75]Loan!I29</f>
        <v>4270835864.8655</v>
      </c>
      <c r="M53" s="3167"/>
      <c r="N53" s="3174">
        <f>+[75]Loan!J29</f>
        <v>175360500</v>
      </c>
      <c r="O53" s="3167"/>
      <c r="P53" s="3167"/>
      <c r="Q53" s="3167"/>
      <c r="R53" s="3167"/>
      <c r="S53" s="3167"/>
      <c r="T53" s="3245"/>
    </row>
    <row r="54" spans="3:20">
      <c r="C54" s="3173" t="s">
        <v>11404</v>
      </c>
      <c r="D54" s="3174"/>
      <c r="E54" s="3174"/>
      <c r="F54" s="3174">
        <f>+[75]Loan!E30</f>
        <v>5200000000</v>
      </c>
      <c r="G54" s="3167"/>
      <c r="H54" s="3174">
        <f>+[75]Loan!F30</f>
        <v>7793760000</v>
      </c>
      <c r="I54" s="3174">
        <f>+[75]Loan!G30</f>
        <v>8050222820.4645</v>
      </c>
      <c r="J54" s="3167"/>
      <c r="K54" s="3174">
        <f>+[75]Loan!H30</f>
        <v>8827902320.4645</v>
      </c>
      <c r="L54" s="3174">
        <f>+[75]Loan!I30</f>
        <v>7931552320.4645</v>
      </c>
      <c r="M54" s="3167"/>
      <c r="N54" s="3174">
        <f>+[75]Loan!J30</f>
        <v>325669500</v>
      </c>
      <c r="O54" s="3167"/>
      <c r="P54" s="3167"/>
      <c r="Q54" s="3167"/>
      <c r="R54" s="3167"/>
      <c r="S54" s="3167"/>
      <c r="T54" s="3245"/>
    </row>
    <row r="55" spans="3:20">
      <c r="C55" s="3175"/>
      <c r="D55" s="3176"/>
      <c r="E55" s="3176"/>
      <c r="F55" s="3176"/>
      <c r="G55" s="3176"/>
      <c r="H55" s="3176"/>
      <c r="I55" s="3176"/>
      <c r="J55" s="3176"/>
      <c r="K55" s="3176"/>
      <c r="L55" s="3176"/>
      <c r="M55" s="3176"/>
      <c r="N55" s="3176"/>
      <c r="O55" s="3167"/>
      <c r="P55" s="3167"/>
      <c r="Q55" s="3167"/>
      <c r="R55" s="3167"/>
      <c r="S55" s="3167"/>
      <c r="T55" s="3245"/>
    </row>
    <row r="56" spans="3:20">
      <c r="C56" s="3233" t="s">
        <v>151</v>
      </c>
      <c r="D56" s="3174"/>
      <c r="E56" s="3174"/>
      <c r="F56" s="3234">
        <f>SUM(F53:F55)</f>
        <v>8000000000</v>
      </c>
      <c r="G56" s="3234"/>
      <c r="H56" s="3234">
        <f t="shared" ref="H56:N56" si="5">SUM(H53:H55)</f>
        <v>11990400000</v>
      </c>
      <c r="I56" s="3234">
        <f t="shared" si="5"/>
        <v>12384958185.33</v>
      </c>
      <c r="J56" s="3234"/>
      <c r="K56" s="3234">
        <f t="shared" si="5"/>
        <v>13581388185.33</v>
      </c>
      <c r="L56" s="3234">
        <f t="shared" si="5"/>
        <v>12202388185.33</v>
      </c>
      <c r="M56" s="3234"/>
      <c r="N56" s="3234">
        <f t="shared" si="5"/>
        <v>501030000</v>
      </c>
      <c r="O56" s="3167"/>
      <c r="P56" s="3167"/>
      <c r="Q56" s="3167"/>
      <c r="R56" s="3167"/>
      <c r="S56" s="3167"/>
      <c r="T56" s="3245"/>
    </row>
    <row r="57" spans="3:20">
      <c r="C57" s="3173"/>
      <c r="D57" s="3174"/>
      <c r="E57" s="3174"/>
      <c r="F57" s="3174"/>
      <c r="G57" s="3174"/>
      <c r="H57" s="3174"/>
      <c r="I57" s="3174"/>
      <c r="J57" s="3174"/>
      <c r="K57" s="3174"/>
      <c r="L57" s="3174"/>
      <c r="M57" s="3174"/>
      <c r="N57" s="3174"/>
      <c r="O57" s="3167"/>
      <c r="P57" s="3167"/>
      <c r="Q57" s="3167"/>
      <c r="R57" s="3167"/>
      <c r="S57" s="3167"/>
      <c r="T57" s="3245"/>
    </row>
    <row r="58" spans="3:20">
      <c r="C58" s="3173" t="s">
        <v>11405</v>
      </c>
      <c r="D58" s="3174"/>
      <c r="E58" s="3174"/>
      <c r="F58" s="3236">
        <f>+F54/F56</f>
        <v>0.65</v>
      </c>
      <c r="G58" s="3236"/>
      <c r="H58" s="3236">
        <f t="shared" ref="H58:N58" si="6">+H54/H56</f>
        <v>0.65</v>
      </c>
      <c r="I58" s="3236">
        <f t="shared" si="6"/>
        <v>0.65</v>
      </c>
      <c r="J58" s="3174"/>
      <c r="K58" s="3236">
        <f t="shared" si="6"/>
        <v>0.65</v>
      </c>
      <c r="L58" s="3236">
        <f t="shared" si="6"/>
        <v>0.65</v>
      </c>
      <c r="M58" s="3236"/>
      <c r="N58" s="3236">
        <f t="shared" si="6"/>
        <v>0.65</v>
      </c>
      <c r="O58" s="3167"/>
      <c r="P58" s="3167"/>
      <c r="Q58" s="3167"/>
      <c r="R58" s="3167"/>
      <c r="S58" s="3167"/>
      <c r="T58" s="3245"/>
    </row>
    <row r="59" spans="3:20">
      <c r="C59" s="3166"/>
      <c r="D59" s="3174"/>
      <c r="E59" s="3174"/>
      <c r="F59" s="3174"/>
      <c r="G59" s="3174"/>
      <c r="H59" s="3174"/>
      <c r="I59" s="3174"/>
      <c r="J59" s="3174"/>
      <c r="K59" s="3174"/>
      <c r="L59" s="3174"/>
      <c r="M59" s="3174"/>
      <c r="N59" s="3174"/>
      <c r="O59" s="3167"/>
      <c r="P59" s="3167"/>
      <c r="Q59" s="3167"/>
      <c r="R59" s="3167"/>
      <c r="S59" s="3167"/>
      <c r="T59" s="3245"/>
    </row>
    <row r="60" spans="3:20">
      <c r="C60" s="3232"/>
      <c r="D60" s="3167"/>
      <c r="E60" s="3167"/>
      <c r="F60" s="3237"/>
      <c r="G60" s="3237"/>
      <c r="H60" s="3237"/>
      <c r="I60" s="3237"/>
      <c r="J60" s="3237"/>
      <c r="K60" s="3237"/>
      <c r="L60" s="3237"/>
      <c r="M60" s="3167"/>
      <c r="N60" s="3167"/>
      <c r="O60" s="3167"/>
      <c r="P60" s="3167"/>
      <c r="Q60" s="3167"/>
      <c r="R60" s="3167"/>
      <c r="S60" s="3167"/>
      <c r="T60" s="3245"/>
    </row>
    <row r="61" spans="3:20">
      <c r="C61" s="3232"/>
      <c r="D61" s="3167"/>
      <c r="E61" s="3167"/>
      <c r="F61" s="3237"/>
      <c r="G61" s="3237"/>
      <c r="H61" s="3237"/>
      <c r="I61" s="3237"/>
      <c r="J61" s="3237"/>
      <c r="K61" s="3237"/>
      <c r="L61" s="3237"/>
      <c r="M61" s="3167"/>
      <c r="N61" s="3167"/>
      <c r="O61" s="3167"/>
      <c r="P61" s="3167"/>
      <c r="Q61" s="3167"/>
      <c r="R61" s="3167"/>
      <c r="S61" s="3167"/>
      <c r="T61" s="3245"/>
    </row>
    <row r="62" spans="3:20">
      <c r="C62" s="5115" t="s">
        <v>11406</v>
      </c>
      <c r="D62" s="3167"/>
      <c r="E62" s="3167"/>
      <c r="F62" s="3237"/>
      <c r="G62" s="3237"/>
      <c r="H62" s="3237"/>
      <c r="I62" s="3237"/>
      <c r="J62" s="3237"/>
      <c r="K62" s="3237"/>
      <c r="L62" s="3237"/>
      <c r="M62" s="3167"/>
      <c r="N62" s="3167"/>
      <c r="O62" s="3167"/>
      <c r="P62" s="3167"/>
      <c r="Q62" s="3167"/>
      <c r="R62" s="3167"/>
      <c r="S62" s="3167"/>
      <c r="T62" s="3245"/>
    </row>
    <row r="63" spans="3:20">
      <c r="C63" s="3232"/>
      <c r="D63" s="3167"/>
      <c r="E63" s="3167"/>
      <c r="F63" s="3167"/>
      <c r="G63" s="3167"/>
      <c r="H63" s="3167"/>
      <c r="I63" s="3167"/>
      <c r="J63" s="3167"/>
      <c r="K63" s="3167"/>
      <c r="L63" s="3167"/>
      <c r="M63" s="3167"/>
      <c r="N63" s="3167"/>
      <c r="O63" s="3167"/>
      <c r="P63" s="3167"/>
      <c r="Q63" s="3167"/>
      <c r="R63" s="3167"/>
      <c r="S63" s="3167"/>
      <c r="T63" s="3245"/>
    </row>
    <row r="64" spans="2:20">
      <c r="B64" s="186" t="s">
        <v>11370</v>
      </c>
      <c r="C64" s="5116" t="s">
        <v>11407</v>
      </c>
      <c r="D64" s="3167"/>
      <c r="E64" s="3167"/>
      <c r="F64" s="3167"/>
      <c r="G64" s="3167"/>
      <c r="H64" s="3167"/>
      <c r="I64" s="3167"/>
      <c r="J64" s="3167"/>
      <c r="K64" s="3167"/>
      <c r="L64" s="3167"/>
      <c r="M64" s="3167"/>
      <c r="N64" s="3167"/>
      <c r="O64" s="3167"/>
      <c r="P64" s="3167"/>
      <c r="Q64" s="3167"/>
      <c r="R64" s="3167"/>
      <c r="S64" s="3167"/>
      <c r="T64" s="3245"/>
    </row>
    <row r="65" spans="3:20">
      <c r="C65" s="5115" t="s">
        <v>11408</v>
      </c>
      <c r="D65" s="3167"/>
      <c r="E65" s="3167"/>
      <c r="F65" s="3167"/>
      <c r="G65" s="3167"/>
      <c r="H65" s="3167"/>
      <c r="I65" s="3167"/>
      <c r="J65" s="3167"/>
      <c r="K65" s="3167"/>
      <c r="L65" s="3167"/>
      <c r="M65" s="3167"/>
      <c r="N65" s="3167"/>
      <c r="O65" s="3167"/>
      <c r="P65" s="3167"/>
      <c r="Q65" s="3167"/>
      <c r="R65" s="3167"/>
      <c r="S65" s="3167"/>
      <c r="T65" s="3245"/>
    </row>
    <row r="66" spans="3:20">
      <c r="C66" s="5115" t="s">
        <v>11409</v>
      </c>
      <c r="D66" s="3167"/>
      <c r="E66" s="3167"/>
      <c r="F66" s="3167"/>
      <c r="G66" s="3167"/>
      <c r="H66" s="3167"/>
      <c r="I66" s="3167"/>
      <c r="J66" s="3167"/>
      <c r="K66" s="3167"/>
      <c r="L66" s="3167"/>
      <c r="M66" s="3167"/>
      <c r="N66" s="3167"/>
      <c r="O66" s="3167"/>
      <c r="P66" s="3167"/>
      <c r="Q66" s="3167"/>
      <c r="R66" s="3167"/>
      <c r="S66" s="3167"/>
      <c r="T66" s="3245"/>
    </row>
    <row r="67" spans="3:20">
      <c r="C67" s="5115" t="s">
        <v>11410</v>
      </c>
      <c r="D67" s="3167"/>
      <c r="E67" s="3167"/>
      <c r="F67" s="3167"/>
      <c r="G67" s="3167"/>
      <c r="H67" s="3167"/>
      <c r="I67" s="3167"/>
      <c r="J67" s="3167"/>
      <c r="K67" s="3167"/>
      <c r="L67" s="3167"/>
      <c r="M67" s="3167"/>
      <c r="N67" s="3167"/>
      <c r="O67" s="3167"/>
      <c r="P67" s="3167"/>
      <c r="Q67" s="3167"/>
      <c r="R67" s="3167"/>
      <c r="S67" s="3167"/>
      <c r="T67" s="3245"/>
    </row>
    <row r="68" spans="3:20">
      <c r="C68" s="5115" t="s">
        <v>11411</v>
      </c>
      <c r="D68" s="3167"/>
      <c r="E68" s="3167"/>
      <c r="F68" s="3167"/>
      <c r="G68" s="3167"/>
      <c r="H68" s="3167"/>
      <c r="I68" s="3167"/>
      <c r="J68" s="3167"/>
      <c r="K68" s="3167"/>
      <c r="L68" s="3167"/>
      <c r="M68" s="3167"/>
      <c r="N68" s="3167"/>
      <c r="O68" s="3167"/>
      <c r="P68" s="3167"/>
      <c r="Q68" s="3167"/>
      <c r="R68" s="3167"/>
      <c r="S68" s="3167"/>
      <c r="T68" s="3245"/>
    </row>
    <row r="69" spans="3:20">
      <c r="C69" s="5115" t="s">
        <v>11412</v>
      </c>
      <c r="D69" s="3167"/>
      <c r="E69" s="3167"/>
      <c r="F69" s="3167"/>
      <c r="G69" s="3167"/>
      <c r="H69" s="3167"/>
      <c r="I69" s="3167"/>
      <c r="J69" s="3167"/>
      <c r="K69" s="3167"/>
      <c r="L69" s="3167"/>
      <c r="M69" s="3167"/>
      <c r="N69" s="3167"/>
      <c r="O69" s="3167"/>
      <c r="P69" s="3167"/>
      <c r="Q69" s="3167"/>
      <c r="R69" s="3167"/>
      <c r="S69" s="3167"/>
      <c r="T69" s="3245"/>
    </row>
    <row r="70" spans="3:20">
      <c r="C70" s="5115" t="s">
        <v>11413</v>
      </c>
      <c r="D70" s="3246">
        <v>35000000000</v>
      </c>
      <c r="E70" s="3170">
        <v>0.3</v>
      </c>
      <c r="F70" s="3167">
        <f>+D70*E70</f>
        <v>10500000000</v>
      </c>
      <c r="G70" s="3167"/>
      <c r="H70" s="3167"/>
      <c r="I70" s="3167"/>
      <c r="J70" s="3167"/>
      <c r="K70" s="3167" t="s">
        <v>11414</v>
      </c>
      <c r="L70" s="3167" t="s">
        <v>11415</v>
      </c>
      <c r="M70" s="3167"/>
      <c r="N70" s="3167"/>
      <c r="O70" s="3167"/>
      <c r="P70" s="3167"/>
      <c r="Q70" s="3167"/>
      <c r="R70" s="3167"/>
      <c r="S70" s="3167"/>
      <c r="T70" s="3245"/>
    </row>
    <row r="71" spans="3:20">
      <c r="C71" s="5115" t="s">
        <v>11416</v>
      </c>
      <c r="D71" s="3246"/>
      <c r="E71" s="3170">
        <v>0.7</v>
      </c>
      <c r="F71" s="3167">
        <f>+D70*E71</f>
        <v>24500000000</v>
      </c>
      <c r="G71" s="3167"/>
      <c r="H71" s="3167"/>
      <c r="I71" s="3167"/>
      <c r="J71" s="3167"/>
      <c r="K71" s="3167" t="s">
        <v>11417</v>
      </c>
      <c r="L71" s="3167"/>
      <c r="M71" s="3167"/>
      <c r="N71" s="3167"/>
      <c r="O71" s="3167"/>
      <c r="P71" s="3167"/>
      <c r="Q71" s="3167"/>
      <c r="R71" s="3167"/>
      <c r="S71" s="3167"/>
      <c r="T71" s="3245"/>
    </row>
    <row r="72" spans="3:20">
      <c r="C72" s="3232"/>
      <c r="D72" s="3167"/>
      <c r="E72" s="3167"/>
      <c r="F72" s="3167"/>
      <c r="G72" s="3167"/>
      <c r="H72" s="3167"/>
      <c r="I72" s="3167"/>
      <c r="J72" s="3167"/>
      <c r="K72" s="3167" t="s">
        <v>11418</v>
      </c>
      <c r="L72" s="3167"/>
      <c r="M72" s="3167"/>
      <c r="N72" s="3167"/>
      <c r="O72" s="3167"/>
      <c r="P72" s="3167"/>
      <c r="Q72" s="3167"/>
      <c r="R72" s="3167"/>
      <c r="S72" s="3167"/>
      <c r="T72" s="3245"/>
    </row>
    <row r="73" spans="3:20">
      <c r="C73" s="3232" t="s">
        <v>11419</v>
      </c>
      <c r="D73" s="3174"/>
      <c r="E73" s="3174"/>
      <c r="F73" s="3174"/>
      <c r="G73" s="3247"/>
      <c r="H73" s="3167"/>
      <c r="I73" s="3167"/>
      <c r="J73" s="3167"/>
      <c r="K73" s="3167"/>
      <c r="L73" s="3167"/>
      <c r="M73" s="3167"/>
      <c r="N73" s="3167"/>
      <c r="O73" s="3167"/>
      <c r="P73" s="3167"/>
      <c r="Q73" s="3167"/>
      <c r="R73" s="3167"/>
      <c r="S73" s="3167"/>
      <c r="T73" s="3245"/>
    </row>
    <row r="74" s="248" customFormat="1" spans="3:20">
      <c r="C74" s="3248" t="s">
        <v>11420</v>
      </c>
      <c r="D74" s="3249" t="s">
        <v>11420</v>
      </c>
      <c r="E74" s="3249" t="s">
        <v>1003</v>
      </c>
      <c r="F74" s="3249" t="s">
        <v>11421</v>
      </c>
      <c r="G74" s="3249"/>
      <c r="H74" s="3250" t="s">
        <v>11422</v>
      </c>
      <c r="I74" s="3259"/>
      <c r="J74" s="3259"/>
      <c r="K74" s="3259"/>
      <c r="L74" s="3259"/>
      <c r="M74" s="3259"/>
      <c r="N74" s="3259"/>
      <c r="O74" s="3259"/>
      <c r="P74" s="3259"/>
      <c r="Q74" s="3259"/>
      <c r="R74" s="3259"/>
      <c r="S74" s="3259"/>
      <c r="T74" s="3260"/>
    </row>
    <row r="75" spans="3:20">
      <c r="C75" s="3173" t="s">
        <v>11423</v>
      </c>
      <c r="D75" s="3251">
        <v>44917</v>
      </c>
      <c r="E75" s="3174" t="s">
        <v>1117</v>
      </c>
      <c r="F75" s="3174">
        <v>1500000000</v>
      </c>
      <c r="G75" s="3174"/>
      <c r="H75" s="3184">
        <f>F75</f>
        <v>1500000000</v>
      </c>
      <c r="I75" s="3167"/>
      <c r="J75" s="3167"/>
      <c r="K75" s="3167"/>
      <c r="L75" s="3167"/>
      <c r="M75" s="3167"/>
      <c r="N75" s="3167"/>
      <c r="O75" s="3167"/>
      <c r="P75" s="3167"/>
      <c r="Q75" s="3167"/>
      <c r="R75" s="3167"/>
      <c r="S75" s="3167"/>
      <c r="T75" s="3245"/>
    </row>
    <row r="76" spans="3:20">
      <c r="C76" s="3173" t="s">
        <v>11423</v>
      </c>
      <c r="D76" s="3251">
        <v>44917</v>
      </c>
      <c r="E76" s="3174" t="s">
        <v>11424</v>
      </c>
      <c r="F76" s="3174">
        <v>1500000000</v>
      </c>
      <c r="G76" s="3174"/>
      <c r="H76" s="3184">
        <f>H75+F76</f>
        <v>3000000000</v>
      </c>
      <c r="I76" s="3167"/>
      <c r="J76" s="3167"/>
      <c r="K76" s="3167"/>
      <c r="L76" s="3167"/>
      <c r="M76" s="3167"/>
      <c r="N76" s="3167"/>
      <c r="O76" s="3167"/>
      <c r="P76" s="3167"/>
      <c r="Q76" s="3167"/>
      <c r="R76" s="3167"/>
      <c r="S76" s="3167"/>
      <c r="T76" s="3245"/>
    </row>
    <row r="77" spans="3:20">
      <c r="C77" s="3173" t="s">
        <v>11423</v>
      </c>
      <c r="D77" s="3251">
        <v>44918</v>
      </c>
      <c r="E77" s="3174" t="s">
        <v>11424</v>
      </c>
      <c r="F77" s="3174">
        <v>1500000000</v>
      </c>
      <c r="G77" s="3174"/>
      <c r="H77" s="3184">
        <f>H76+F77</f>
        <v>4500000000</v>
      </c>
      <c r="I77" s="3167"/>
      <c r="J77" s="3167"/>
      <c r="K77" s="3167"/>
      <c r="L77" s="3167"/>
      <c r="M77" s="3167"/>
      <c r="N77" s="3167"/>
      <c r="O77" s="3167"/>
      <c r="P77" s="3167"/>
      <c r="Q77" s="3167"/>
      <c r="R77" s="3167"/>
      <c r="S77" s="3167"/>
      <c r="T77" s="3245"/>
    </row>
    <row r="78" spans="3:20">
      <c r="C78" s="3173" t="s">
        <v>11423</v>
      </c>
      <c r="D78" s="3251">
        <v>44918</v>
      </c>
      <c r="E78" s="3174" t="s">
        <v>1117</v>
      </c>
      <c r="F78" s="3174">
        <v>1500000000</v>
      </c>
      <c r="G78" s="3174"/>
      <c r="H78" s="3184">
        <f>H77+F78</f>
        <v>6000000000</v>
      </c>
      <c r="I78" s="3167"/>
      <c r="J78" s="3167"/>
      <c r="K78" s="3167"/>
      <c r="L78" s="3167"/>
      <c r="M78" s="3167"/>
      <c r="N78" s="3167"/>
      <c r="O78" s="3167"/>
      <c r="P78" s="3167"/>
      <c r="Q78" s="3167"/>
      <c r="R78" s="3167"/>
      <c r="S78" s="3167"/>
      <c r="T78" s="3245"/>
    </row>
    <row r="79" spans="3:20">
      <c r="C79" s="3173" t="s">
        <v>11423</v>
      </c>
      <c r="D79" s="3251">
        <v>44921</v>
      </c>
      <c r="E79" s="3174" t="s">
        <v>1117</v>
      </c>
      <c r="F79" s="3174">
        <v>1200000000</v>
      </c>
      <c r="G79" s="3174"/>
      <c r="H79" s="3184">
        <f>H78+F79</f>
        <v>7200000000</v>
      </c>
      <c r="I79" s="3167"/>
      <c r="J79" s="3167"/>
      <c r="K79" s="3167"/>
      <c r="L79" s="3167"/>
      <c r="M79" s="3167"/>
      <c r="N79" s="3167"/>
      <c r="O79" s="3167"/>
      <c r="P79" s="3167"/>
      <c r="Q79" s="3167"/>
      <c r="R79" s="3167"/>
      <c r="S79" s="3167"/>
      <c r="T79" s="3245"/>
    </row>
    <row r="80" spans="3:20">
      <c r="C80" s="3173" t="s">
        <v>11423</v>
      </c>
      <c r="D80" s="3251">
        <v>44921</v>
      </c>
      <c r="E80" s="3174" t="s">
        <v>11424</v>
      </c>
      <c r="F80" s="3174">
        <v>800000000</v>
      </c>
      <c r="G80" s="3174"/>
      <c r="H80" s="1090">
        <f>H79+F80</f>
        <v>8000000000</v>
      </c>
      <c r="I80" s="3167"/>
      <c r="J80" s="3167"/>
      <c r="K80" s="3167"/>
      <c r="L80" s="3167"/>
      <c r="M80" s="3167"/>
      <c r="N80" s="3167"/>
      <c r="O80" s="3167"/>
      <c r="P80" s="3167"/>
      <c r="Q80" s="3167"/>
      <c r="R80" s="3167"/>
      <c r="S80" s="3167"/>
      <c r="T80" s="3245"/>
    </row>
    <row r="81" spans="3:20">
      <c r="C81" s="3173" t="s">
        <v>11423</v>
      </c>
      <c r="D81" s="3252">
        <v>44930</v>
      </c>
      <c r="E81" s="3253" t="s">
        <v>11424</v>
      </c>
      <c r="F81" s="3253">
        <v>200000000</v>
      </c>
      <c r="G81" s="3174"/>
      <c r="H81" s="3184">
        <f t="shared" ref="H81:H88" si="7">H80+F81</f>
        <v>8200000000</v>
      </c>
      <c r="I81" s="3167"/>
      <c r="J81" s="3167"/>
      <c r="K81" s="3167"/>
      <c r="L81" s="3167"/>
      <c r="M81" s="3167"/>
      <c r="N81" s="3167"/>
      <c r="O81" s="3167"/>
      <c r="P81" s="3167"/>
      <c r="Q81" s="3167"/>
      <c r="R81" s="3167"/>
      <c r="S81" s="3167"/>
      <c r="T81" s="3245"/>
    </row>
    <row r="82" spans="3:20">
      <c r="C82" s="3173" t="s">
        <v>11423</v>
      </c>
      <c r="D82" s="3252">
        <v>44938</v>
      </c>
      <c r="E82" s="3253" t="s">
        <v>1117</v>
      </c>
      <c r="F82" s="3253">
        <v>1500000000</v>
      </c>
      <c r="G82" s="3174"/>
      <c r="H82" s="3184">
        <f t="shared" si="7"/>
        <v>9700000000</v>
      </c>
      <c r="I82" s="3167"/>
      <c r="J82" s="3167"/>
      <c r="K82" s="3167"/>
      <c r="L82" s="3167"/>
      <c r="M82" s="3167"/>
      <c r="N82" s="3167"/>
      <c r="O82" s="3167"/>
      <c r="P82" s="3167"/>
      <c r="Q82" s="3167"/>
      <c r="R82" s="3167"/>
      <c r="S82" s="3167"/>
      <c r="T82" s="3245"/>
    </row>
    <row r="83" spans="3:20">
      <c r="C83" s="3173" t="s">
        <v>11423</v>
      </c>
      <c r="D83" s="3252">
        <v>44938</v>
      </c>
      <c r="E83" s="3253" t="s">
        <v>11424</v>
      </c>
      <c r="F83" s="3253">
        <v>3500000000</v>
      </c>
      <c r="G83" s="3174"/>
      <c r="H83" s="3184">
        <f t="shared" si="7"/>
        <v>13200000000</v>
      </c>
      <c r="I83" s="3167"/>
      <c r="J83" s="3167"/>
      <c r="K83" s="3167"/>
      <c r="L83" s="3167"/>
      <c r="M83" s="3167"/>
      <c r="N83" s="3167"/>
      <c r="O83" s="3167"/>
      <c r="P83" s="3167"/>
      <c r="Q83" s="3167"/>
      <c r="R83" s="3167"/>
      <c r="S83" s="3167"/>
      <c r="T83" s="3245"/>
    </row>
    <row r="84" spans="3:20">
      <c r="C84" s="3173" t="s">
        <v>11423</v>
      </c>
      <c r="D84" s="3251">
        <v>44938</v>
      </c>
      <c r="E84" s="3174" t="s">
        <v>11424</v>
      </c>
      <c r="F84" s="3174">
        <v>3000000000</v>
      </c>
      <c r="G84" s="3174"/>
      <c r="H84" s="3184">
        <f t="shared" si="7"/>
        <v>16200000000</v>
      </c>
      <c r="I84" s="3167"/>
      <c r="J84" s="3167"/>
      <c r="K84" s="3167"/>
      <c r="L84" s="3167"/>
      <c r="M84" s="3167"/>
      <c r="N84" s="3167"/>
      <c r="O84" s="3167"/>
      <c r="P84" s="3167"/>
      <c r="Q84" s="3167"/>
      <c r="R84" s="3167"/>
      <c r="S84" s="3167"/>
      <c r="T84" s="3245"/>
    </row>
    <row r="85" spans="3:20">
      <c r="C85" s="3173" t="s">
        <v>11423</v>
      </c>
      <c r="D85" s="3251">
        <v>44939</v>
      </c>
      <c r="E85" s="3174" t="s">
        <v>1117</v>
      </c>
      <c r="F85" s="3174">
        <v>2488312389</v>
      </c>
      <c r="G85" s="3174"/>
      <c r="H85" s="3184">
        <f t="shared" si="7"/>
        <v>18688312389</v>
      </c>
      <c r="I85" s="3167"/>
      <c r="J85" s="3167"/>
      <c r="K85" s="3167"/>
      <c r="L85" s="3167"/>
      <c r="M85" s="3167"/>
      <c r="N85" s="3167"/>
      <c r="O85" s="3167"/>
      <c r="P85" s="3167"/>
      <c r="Q85" s="3167"/>
      <c r="R85" s="3167"/>
      <c r="S85" s="3167"/>
      <c r="T85" s="3245"/>
    </row>
    <row r="86" spans="3:20">
      <c r="C86" s="3173" t="s">
        <v>11423</v>
      </c>
      <c r="D86" s="3251">
        <v>44939</v>
      </c>
      <c r="E86" s="3174" t="s">
        <v>11424</v>
      </c>
      <c r="F86" s="3174">
        <v>1500000000</v>
      </c>
      <c r="G86" s="3174"/>
      <c r="H86" s="3184">
        <f t="shared" si="7"/>
        <v>20188312389</v>
      </c>
      <c r="I86" s="3167"/>
      <c r="J86" s="3167"/>
      <c r="K86" s="3167"/>
      <c r="L86" s="3167"/>
      <c r="M86" s="3167"/>
      <c r="N86" s="3167"/>
      <c r="O86" s="3167"/>
      <c r="P86" s="3167"/>
      <c r="Q86" s="3167"/>
      <c r="R86" s="3167"/>
      <c r="S86" s="3167"/>
      <c r="T86" s="3245"/>
    </row>
    <row r="87" spans="3:20">
      <c r="C87" s="3173" t="s">
        <v>11423</v>
      </c>
      <c r="D87" s="3251">
        <v>44965</v>
      </c>
      <c r="E87" s="3174" t="s">
        <v>1117</v>
      </c>
      <c r="F87" s="3174">
        <v>3000000000</v>
      </c>
      <c r="G87" s="3174"/>
      <c r="H87" s="3184">
        <f t="shared" si="7"/>
        <v>23188312389</v>
      </c>
      <c r="I87" s="3167"/>
      <c r="J87" s="3167"/>
      <c r="K87" s="3167"/>
      <c r="L87" s="3167" t="s">
        <v>11425</v>
      </c>
      <c r="M87" s="3167"/>
      <c r="N87" s="3167"/>
      <c r="O87" s="3167"/>
      <c r="P87" s="3167"/>
      <c r="Q87" s="3167"/>
      <c r="R87" s="3167"/>
      <c r="S87" s="3167"/>
      <c r="T87" s="3245"/>
    </row>
    <row r="88" spans="3:20">
      <c r="C88" s="3173" t="s">
        <v>11426</v>
      </c>
      <c r="D88" s="3251">
        <v>45033</v>
      </c>
      <c r="E88" s="3174" t="s">
        <v>11427</v>
      </c>
      <c r="F88" s="3174">
        <f>1998006287+30000</f>
        <v>1998036287</v>
      </c>
      <c r="G88" s="3167"/>
      <c r="H88" s="3184">
        <f t="shared" si="7"/>
        <v>25186348676</v>
      </c>
      <c r="I88" s="3167"/>
      <c r="J88" s="3167"/>
      <c r="K88" s="3167"/>
      <c r="L88" s="3167"/>
      <c r="M88" s="3167"/>
      <c r="N88" s="3167"/>
      <c r="O88" s="3167"/>
      <c r="P88" s="3167"/>
      <c r="Q88" s="3167"/>
      <c r="R88" s="3167"/>
      <c r="S88" s="3167"/>
      <c r="T88" s="3245"/>
    </row>
    <row r="89" ht="5.85" customHeight="1" spans="3:20">
      <c r="C89" s="3254"/>
      <c r="D89" s="3255"/>
      <c r="E89" s="3255"/>
      <c r="F89" s="3255"/>
      <c r="G89" s="3255"/>
      <c r="H89" s="3256"/>
      <c r="I89" s="3167"/>
      <c r="J89" s="3167"/>
      <c r="K89" s="3167"/>
      <c r="L89" s="3167"/>
      <c r="M89" s="3167"/>
      <c r="N89" s="3167"/>
      <c r="O89" s="3167"/>
      <c r="P89" s="3167"/>
      <c r="Q89" s="3167"/>
      <c r="R89" s="3167"/>
      <c r="S89" s="3167"/>
      <c r="T89" s="3245"/>
    </row>
    <row r="90" spans="3:20">
      <c r="C90" s="5115" t="s">
        <v>11428</v>
      </c>
      <c r="D90" s="3167"/>
      <c r="E90" s="3167"/>
      <c r="F90" s="3167"/>
      <c r="G90" s="3167"/>
      <c r="H90" s="3167">
        <f>+F71</f>
        <v>24500000000</v>
      </c>
      <c r="I90" s="3167"/>
      <c r="J90" s="3167"/>
      <c r="K90" s="3167"/>
      <c r="L90" s="3167"/>
      <c r="M90" s="3167"/>
      <c r="N90" s="3167"/>
      <c r="O90" s="3167"/>
      <c r="P90" s="3167"/>
      <c r="Q90" s="3167"/>
      <c r="R90" s="3167"/>
      <c r="S90" s="3167"/>
      <c r="T90" s="3245"/>
    </row>
    <row r="91" spans="3:20">
      <c r="C91" s="5115" t="s">
        <v>11429</v>
      </c>
      <c r="D91" s="3167"/>
      <c r="E91" s="3167"/>
      <c r="F91" s="3167"/>
      <c r="G91" s="3167"/>
      <c r="H91" s="3257">
        <f>+H88-H90</f>
        <v>686348676</v>
      </c>
      <c r="I91" s="3167"/>
      <c r="J91" s="3167"/>
      <c r="K91" s="3167"/>
      <c r="L91" s="3167"/>
      <c r="M91" s="3167"/>
      <c r="N91" s="3167"/>
      <c r="O91" s="3167"/>
      <c r="P91" s="3167"/>
      <c r="Q91" s="3167"/>
      <c r="R91" s="3167"/>
      <c r="S91" s="3167"/>
      <c r="T91" s="3245"/>
    </row>
    <row r="92" spans="3:20">
      <c r="C92" s="3232"/>
      <c r="D92" s="3167"/>
      <c r="E92" s="3167"/>
      <c r="F92" s="3167"/>
      <c r="G92" s="3167"/>
      <c r="H92" s="3167"/>
      <c r="I92" s="3167"/>
      <c r="J92" s="3167"/>
      <c r="K92" s="3167"/>
      <c r="L92" s="3167"/>
      <c r="M92" s="3167"/>
      <c r="N92" s="3167"/>
      <c r="O92" s="3167"/>
      <c r="P92" s="3167"/>
      <c r="Q92" s="3167"/>
      <c r="R92" s="3167"/>
      <c r="S92" s="3167"/>
      <c r="T92" s="3245"/>
    </row>
    <row r="93" spans="3:20">
      <c r="C93" s="3166"/>
      <c r="D93" s="3167"/>
      <c r="E93" s="3167"/>
      <c r="F93" s="3167"/>
      <c r="G93" s="3167"/>
      <c r="H93" s="3167"/>
      <c r="I93" s="3167"/>
      <c r="J93" s="3167"/>
      <c r="K93" s="3167"/>
      <c r="L93" s="3167"/>
      <c r="M93" s="3167"/>
      <c r="N93" s="3167"/>
      <c r="O93" s="3167"/>
      <c r="P93" s="3167"/>
      <c r="Q93" s="3167"/>
      <c r="R93" s="3167"/>
      <c r="S93" s="3167"/>
      <c r="T93" s="3245"/>
    </row>
    <row r="94" spans="3:20">
      <c r="C94" s="3166" t="s">
        <v>11430</v>
      </c>
      <c r="D94" s="3167"/>
      <c r="E94" s="3167"/>
      <c r="F94" s="3167"/>
      <c r="G94" s="3167"/>
      <c r="H94" s="3167"/>
      <c r="I94" s="3167"/>
      <c r="J94" s="3167"/>
      <c r="K94" s="3167"/>
      <c r="L94" s="3167"/>
      <c r="M94" s="3167"/>
      <c r="N94" s="3167"/>
      <c r="O94" s="3167"/>
      <c r="P94" s="3167"/>
      <c r="Q94" s="3167"/>
      <c r="R94" s="3167"/>
      <c r="S94" s="3167"/>
      <c r="T94" s="3245"/>
    </row>
    <row r="95" spans="3:20">
      <c r="C95" s="3166" t="s">
        <v>11431</v>
      </c>
      <c r="D95" s="3167"/>
      <c r="E95" s="3167"/>
      <c r="F95" s="3167"/>
      <c r="G95" s="3167"/>
      <c r="H95" s="3167"/>
      <c r="I95" s="3167"/>
      <c r="J95" s="3167"/>
      <c r="K95" s="3167"/>
      <c r="L95" s="3167"/>
      <c r="M95" s="3167"/>
      <c r="N95" s="3167"/>
      <c r="O95" s="3167"/>
      <c r="P95" s="3167"/>
      <c r="Q95" s="3167"/>
      <c r="R95" s="3167"/>
      <c r="S95" s="3167"/>
      <c r="T95" s="3245"/>
    </row>
    <row r="96" spans="3:20">
      <c r="C96" s="3166" t="s">
        <v>11432</v>
      </c>
      <c r="D96" s="3167"/>
      <c r="E96" s="3167"/>
      <c r="F96" s="3167"/>
      <c r="G96" s="3167"/>
      <c r="H96" s="3167"/>
      <c r="I96" s="3167"/>
      <c r="J96" s="3167"/>
      <c r="K96" s="3167"/>
      <c r="L96" s="3167"/>
      <c r="M96" s="3167"/>
      <c r="N96" s="3167"/>
      <c r="O96" s="3167"/>
      <c r="P96" s="3167"/>
      <c r="Q96" s="3167"/>
      <c r="R96" s="3167"/>
      <c r="S96" s="3167"/>
      <c r="T96" s="3245"/>
    </row>
    <row r="97" spans="3:20">
      <c r="C97" s="3166"/>
      <c r="D97" s="3167"/>
      <c r="E97" s="3167"/>
      <c r="F97" s="3167"/>
      <c r="G97" s="3167"/>
      <c r="H97" s="3167"/>
      <c r="I97" s="3167"/>
      <c r="J97" s="3167"/>
      <c r="K97" s="3167"/>
      <c r="L97" s="3167"/>
      <c r="M97" s="3167"/>
      <c r="N97" s="3167"/>
      <c r="O97" s="3167"/>
      <c r="P97" s="3167"/>
      <c r="Q97" s="3167"/>
      <c r="R97" s="3167"/>
      <c r="S97" s="3167"/>
      <c r="T97" s="3245"/>
    </row>
    <row r="98" spans="3:20">
      <c r="C98" s="3258" t="s">
        <v>11433</v>
      </c>
      <c r="D98" s="3257"/>
      <c r="E98" s="3257"/>
      <c r="F98" s="3257">
        <f>+H80</f>
        <v>8000000000</v>
      </c>
      <c r="G98" s="3257"/>
      <c r="H98" s="3167"/>
      <c r="I98" s="3167"/>
      <c r="J98" s="3167"/>
      <c r="K98" s="3167"/>
      <c r="L98" s="3167"/>
      <c r="M98" s="3167"/>
      <c r="N98" s="3167"/>
      <c r="O98" s="3167"/>
      <c r="P98" s="3167"/>
      <c r="Q98" s="3167"/>
      <c r="R98" s="3167"/>
      <c r="S98" s="3167"/>
      <c r="T98" s="3245"/>
    </row>
    <row r="99" spans="3:20">
      <c r="C99" s="3258" t="s">
        <v>11434</v>
      </c>
      <c r="D99" s="3257"/>
      <c r="E99" s="3257"/>
      <c r="F99" s="3257"/>
      <c r="G99" s="3257"/>
      <c r="H99" s="3167"/>
      <c r="I99" s="3167"/>
      <c r="J99" s="3167"/>
      <c r="K99" s="3167"/>
      <c r="L99" s="3167"/>
      <c r="M99" s="3167"/>
      <c r="N99" s="3167"/>
      <c r="O99" s="3167"/>
      <c r="P99" s="3167"/>
      <c r="Q99" s="3167"/>
      <c r="R99" s="3167"/>
      <c r="S99" s="3167"/>
      <c r="T99" s="3245"/>
    </row>
    <row r="100" spans="3:20">
      <c r="C100" s="3166"/>
      <c r="D100" s="3167"/>
      <c r="E100" s="3167"/>
      <c r="F100" s="3167"/>
      <c r="G100" s="3167"/>
      <c r="H100" s="3167"/>
      <c r="I100" s="3167"/>
      <c r="J100" s="3167"/>
      <c r="K100" s="3167"/>
      <c r="L100" s="3167"/>
      <c r="M100" s="3167"/>
      <c r="N100" s="3167"/>
      <c r="O100" s="3167"/>
      <c r="P100" s="3167"/>
      <c r="Q100" s="3167"/>
      <c r="R100" s="3167"/>
      <c r="S100" s="3167"/>
      <c r="T100" s="3245"/>
    </row>
    <row r="101" spans="3:20">
      <c r="C101" s="3166"/>
      <c r="D101" s="3167"/>
      <c r="E101" s="3167"/>
      <c r="F101" s="3167"/>
      <c r="G101" s="3167"/>
      <c r="H101" s="3167"/>
      <c r="I101" s="3167"/>
      <c r="J101" s="3167"/>
      <c r="K101" s="3167"/>
      <c r="L101" s="3167"/>
      <c r="M101" s="3167"/>
      <c r="N101" s="3167"/>
      <c r="O101" s="3167"/>
      <c r="P101" s="3167"/>
      <c r="Q101" s="3167"/>
      <c r="R101" s="3167"/>
      <c r="S101" s="3167"/>
      <c r="T101" s="3245"/>
    </row>
    <row r="102" spans="3:20">
      <c r="C102" s="3166"/>
      <c r="D102" s="3167"/>
      <c r="E102" s="3167"/>
      <c r="F102" s="3167"/>
      <c r="G102" s="3167"/>
      <c r="H102" s="3167"/>
      <c r="I102" s="3167"/>
      <c r="J102" s="3167"/>
      <c r="K102" s="3167"/>
      <c r="L102" s="3167"/>
      <c r="M102" s="3167"/>
      <c r="N102" s="3167"/>
      <c r="O102" s="3167"/>
      <c r="P102" s="3167"/>
      <c r="Q102" s="3167"/>
      <c r="R102" s="3167"/>
      <c r="S102" s="3167"/>
      <c r="T102" s="3245"/>
    </row>
    <row r="103" spans="3:20">
      <c r="C103" s="3166"/>
      <c r="D103" s="3167"/>
      <c r="E103" s="3167"/>
      <c r="F103" s="3167"/>
      <c r="G103" s="3167"/>
      <c r="H103" s="3167"/>
      <c r="I103" s="3167"/>
      <c r="J103" s="3167"/>
      <c r="K103" s="3167"/>
      <c r="L103" s="3167"/>
      <c r="M103" s="3167"/>
      <c r="N103" s="3167"/>
      <c r="O103" s="3167"/>
      <c r="P103" s="3167"/>
      <c r="Q103" s="3167"/>
      <c r="R103" s="3167"/>
      <c r="S103" s="3167"/>
      <c r="T103" s="3245"/>
    </row>
    <row r="104" spans="3:20">
      <c r="C104" s="3166"/>
      <c r="D104" s="3167"/>
      <c r="E104" s="3167"/>
      <c r="F104" s="3167"/>
      <c r="G104" s="3167"/>
      <c r="H104" s="3167"/>
      <c r="I104" s="3167"/>
      <c r="J104" s="3167"/>
      <c r="K104" s="3167"/>
      <c r="L104" s="3167"/>
      <c r="M104" s="3167"/>
      <c r="N104" s="3167"/>
      <c r="O104" s="3167"/>
      <c r="P104" s="3167"/>
      <c r="Q104" s="3167"/>
      <c r="R104" s="3167"/>
      <c r="S104" s="3167"/>
      <c r="T104" s="3245"/>
    </row>
    <row r="105" spans="3:20">
      <c r="C105" s="3166"/>
      <c r="D105" s="3167"/>
      <c r="E105" s="3167"/>
      <c r="F105" s="3167"/>
      <c r="G105" s="3167"/>
      <c r="H105" s="3167"/>
      <c r="I105" s="3167"/>
      <c r="J105" s="3167"/>
      <c r="K105" s="3167"/>
      <c r="L105" s="3167"/>
      <c r="M105" s="3167"/>
      <c r="N105" s="3167"/>
      <c r="O105" s="3167"/>
      <c r="P105" s="3167"/>
      <c r="Q105" s="3167"/>
      <c r="R105" s="3167"/>
      <c r="S105" s="3167"/>
      <c r="T105" s="3245"/>
    </row>
    <row r="106" spans="3:20">
      <c r="C106" s="3166"/>
      <c r="D106" s="3167"/>
      <c r="E106" s="3167"/>
      <c r="F106" s="3167"/>
      <c r="G106" s="3167"/>
      <c r="H106" s="3167"/>
      <c r="I106" s="3167"/>
      <c r="J106" s="3167"/>
      <c r="K106" s="3167"/>
      <c r="L106" s="3167"/>
      <c r="M106" s="3167"/>
      <c r="N106" s="3167"/>
      <c r="O106" s="3167"/>
      <c r="P106" s="3167"/>
      <c r="Q106" s="3167"/>
      <c r="R106" s="3167"/>
      <c r="S106" s="3167"/>
      <c r="T106" s="3245"/>
    </row>
    <row r="107" spans="2:20">
      <c r="B107" s="186" t="s">
        <v>11372</v>
      </c>
      <c r="C107" s="5115" t="s">
        <v>11435</v>
      </c>
      <c r="D107" s="3167"/>
      <c r="E107" s="3167"/>
      <c r="F107" s="3167"/>
      <c r="G107" s="3167"/>
      <c r="H107" s="3167"/>
      <c r="I107" s="3167"/>
      <c r="J107" s="3167"/>
      <c r="K107" s="3167"/>
      <c r="L107" s="3167"/>
      <c r="M107" s="3167"/>
      <c r="N107" s="3167"/>
      <c r="O107" s="3167"/>
      <c r="P107" s="3167"/>
      <c r="Q107" s="3167"/>
      <c r="R107" s="3167"/>
      <c r="S107" s="3167"/>
      <c r="T107" s="3245"/>
    </row>
    <row r="108" spans="3:20">
      <c r="C108" s="5115" t="s">
        <v>11436</v>
      </c>
      <c r="D108" s="3167"/>
      <c r="E108" s="3167"/>
      <c r="F108" s="3167"/>
      <c r="G108" s="3167"/>
      <c r="H108" s="3167"/>
      <c r="I108" s="3167"/>
      <c r="J108" s="3167"/>
      <c r="K108" s="3167"/>
      <c r="L108" s="3167"/>
      <c r="M108" s="3167"/>
      <c r="N108" s="3167"/>
      <c r="O108" s="3167"/>
      <c r="P108" s="3167"/>
      <c r="Q108" s="3167"/>
      <c r="R108" s="3167"/>
      <c r="S108" s="3167"/>
      <c r="T108" s="3245"/>
    </row>
    <row r="109" spans="3:20">
      <c r="C109" s="5115" t="s">
        <v>11437</v>
      </c>
      <c r="D109" s="3167"/>
      <c r="E109" s="3167"/>
      <c r="F109" s="3167"/>
      <c r="G109" s="3167"/>
      <c r="H109" s="3167"/>
      <c r="I109" s="3167"/>
      <c r="J109" s="3167"/>
      <c r="K109" s="3167"/>
      <c r="L109" s="3167"/>
      <c r="M109" s="3167"/>
      <c r="N109" s="3167"/>
      <c r="O109" s="3167"/>
      <c r="P109" s="3167"/>
      <c r="Q109" s="3167"/>
      <c r="R109" s="3167"/>
      <c r="S109" s="3167"/>
      <c r="T109" s="3245"/>
    </row>
    <row r="110" spans="3:20">
      <c r="C110" s="5115" t="s">
        <v>11438</v>
      </c>
      <c r="D110" s="3167"/>
      <c r="E110" s="3167"/>
      <c r="F110" s="3167"/>
      <c r="G110" s="3167"/>
      <c r="H110" s="3167"/>
      <c r="I110" s="3167"/>
      <c r="J110" s="3167"/>
      <c r="K110" s="3167"/>
      <c r="L110" s="3167"/>
      <c r="M110" s="3167"/>
      <c r="N110" s="3167"/>
      <c r="O110" s="3167"/>
      <c r="P110" s="3167"/>
      <c r="Q110" s="3167"/>
      <c r="R110" s="3167"/>
      <c r="S110" s="3167"/>
      <c r="T110" s="3245"/>
    </row>
    <row r="111" spans="3:20">
      <c r="C111" s="5115" t="s">
        <v>11439</v>
      </c>
      <c r="D111" s="3167"/>
      <c r="E111" s="3167"/>
      <c r="F111" s="3167"/>
      <c r="G111" s="3167"/>
      <c r="H111" s="3167"/>
      <c r="I111" s="3167"/>
      <c r="J111" s="3167"/>
      <c r="K111" s="3167"/>
      <c r="L111" s="3167"/>
      <c r="M111" s="3167"/>
      <c r="N111" s="3167"/>
      <c r="O111" s="3167"/>
      <c r="P111" s="3167"/>
      <c r="Q111" s="3167"/>
      <c r="R111" s="3167"/>
      <c r="S111" s="3167"/>
      <c r="T111" s="3245"/>
    </row>
    <row r="112" spans="3:20">
      <c r="C112" s="5115" t="s">
        <v>11440</v>
      </c>
      <c r="D112" s="3167"/>
      <c r="E112" s="3167"/>
      <c r="F112" s="3167"/>
      <c r="G112" s="3167"/>
      <c r="H112" s="3167"/>
      <c r="I112" s="3167"/>
      <c r="J112" s="3167"/>
      <c r="K112" s="3167"/>
      <c r="L112" s="3167"/>
      <c r="M112" s="3167"/>
      <c r="N112" s="3167"/>
      <c r="O112" s="3167"/>
      <c r="P112" s="3167"/>
      <c r="Q112" s="3167"/>
      <c r="R112" s="3167"/>
      <c r="S112" s="3167"/>
      <c r="T112" s="3245"/>
    </row>
    <row r="113" spans="3:20">
      <c r="C113" s="5115" t="s">
        <v>11441</v>
      </c>
      <c r="D113" s="3167"/>
      <c r="E113" s="3167"/>
      <c r="F113" s="3167"/>
      <c r="G113" s="3167"/>
      <c r="H113" s="3167"/>
      <c r="I113" s="3167"/>
      <c r="J113" s="3167"/>
      <c r="K113" s="3167"/>
      <c r="L113" s="3167"/>
      <c r="M113" s="3167"/>
      <c r="N113" s="3167"/>
      <c r="O113" s="3174"/>
      <c r="P113" s="3174"/>
      <c r="Q113" s="3167"/>
      <c r="R113" s="3167"/>
      <c r="S113" s="3174"/>
      <c r="T113" s="3184"/>
    </row>
    <row r="114" spans="3:20">
      <c r="C114" s="5115" t="s">
        <v>11442</v>
      </c>
      <c r="D114" s="3167"/>
      <c r="E114" s="3167"/>
      <c r="F114" s="3167"/>
      <c r="G114" s="3167"/>
      <c r="H114" s="3167"/>
      <c r="I114" s="3167"/>
      <c r="J114" s="3167"/>
      <c r="K114" s="3167"/>
      <c r="L114" s="3167"/>
      <c r="M114" s="3167"/>
      <c r="N114" s="3167"/>
      <c r="O114" s="3174"/>
      <c r="P114" s="3174"/>
      <c r="Q114" s="3167"/>
      <c r="R114" s="3167"/>
      <c r="S114" s="3174"/>
      <c r="T114" s="3184"/>
    </row>
    <row r="115" spans="3:20">
      <c r="C115" s="5115" t="s">
        <v>11443</v>
      </c>
      <c r="D115" s="3167"/>
      <c r="E115" s="3167"/>
      <c r="F115" s="3167"/>
      <c r="G115" s="3167"/>
      <c r="H115" s="3167"/>
      <c r="I115" s="3167"/>
      <c r="J115" s="3167"/>
      <c r="K115" s="3167"/>
      <c r="L115" s="3167"/>
      <c r="M115" s="3167"/>
      <c r="N115" s="3167"/>
      <c r="O115" s="3174"/>
      <c r="P115" s="3174"/>
      <c r="Q115" s="3167"/>
      <c r="R115" s="3167"/>
      <c r="S115" s="3174"/>
      <c r="T115" s="3184"/>
    </row>
    <row r="116" spans="3:20">
      <c r="C116" s="3232"/>
      <c r="D116" s="3167"/>
      <c r="E116" s="3167"/>
      <c r="F116" s="3167"/>
      <c r="G116" s="3167"/>
      <c r="H116" s="3167"/>
      <c r="I116" s="3167"/>
      <c r="J116" s="3167"/>
      <c r="K116" s="3167"/>
      <c r="L116" s="3167"/>
      <c r="M116" s="3167"/>
      <c r="N116" s="3167"/>
      <c r="O116" s="3174"/>
      <c r="P116" s="3174"/>
      <c r="Q116" s="3167"/>
      <c r="R116" s="3167"/>
      <c r="S116" s="3174"/>
      <c r="T116" s="3184"/>
    </row>
    <row r="117" spans="3:20">
      <c r="C117" s="3232"/>
      <c r="D117" s="3167"/>
      <c r="E117" s="3167"/>
      <c r="F117" s="3167"/>
      <c r="G117" s="3167"/>
      <c r="H117" s="3167"/>
      <c r="I117" s="3167"/>
      <c r="J117" s="3167"/>
      <c r="K117" s="3167"/>
      <c r="L117" s="3167"/>
      <c r="M117" s="3167"/>
      <c r="N117" s="3167"/>
      <c r="O117" s="3174"/>
      <c r="P117" s="3174"/>
      <c r="Q117" s="3167"/>
      <c r="R117" s="3167"/>
      <c r="S117" s="3174"/>
      <c r="T117" s="3184"/>
    </row>
    <row r="118" spans="3:20">
      <c r="C118" s="3232"/>
      <c r="D118" s="3167"/>
      <c r="E118" s="3167"/>
      <c r="F118" s="3167"/>
      <c r="G118" s="3167"/>
      <c r="H118" s="3167"/>
      <c r="I118" s="3167"/>
      <c r="J118" s="3167"/>
      <c r="K118" s="3167"/>
      <c r="L118" s="3167"/>
      <c r="M118" s="3167"/>
      <c r="N118" s="3167"/>
      <c r="O118" s="3174"/>
      <c r="P118" s="3174"/>
      <c r="Q118" s="3167"/>
      <c r="R118" s="3167"/>
      <c r="S118" s="3174"/>
      <c r="T118" s="3184"/>
    </row>
    <row r="119" spans="2:20">
      <c r="B119" s="186" t="s">
        <v>11374</v>
      </c>
      <c r="C119" s="5115" t="s">
        <v>11444</v>
      </c>
      <c r="D119" s="3167"/>
      <c r="E119" s="3167"/>
      <c r="F119" s="3167"/>
      <c r="G119" s="3167"/>
      <c r="H119" s="3167"/>
      <c r="I119" s="3167"/>
      <c r="J119" s="3167"/>
      <c r="K119" s="3167"/>
      <c r="L119" s="3167"/>
      <c r="M119" s="3167"/>
      <c r="N119" s="3167"/>
      <c r="O119" s="3174"/>
      <c r="P119" s="3174"/>
      <c r="Q119" s="3167"/>
      <c r="R119" s="3167"/>
      <c r="S119" s="3174"/>
      <c r="T119" s="3184"/>
    </row>
    <row r="120" spans="3:20">
      <c r="C120" s="5115" t="s">
        <v>11445</v>
      </c>
      <c r="D120" s="3167"/>
      <c r="E120" s="3167"/>
      <c r="F120" s="3167"/>
      <c r="G120" s="3167"/>
      <c r="H120" s="3167"/>
      <c r="I120" s="3167"/>
      <c r="J120" s="3167"/>
      <c r="K120" s="3167"/>
      <c r="L120" s="3167"/>
      <c r="M120" s="3167"/>
      <c r="N120" s="3167"/>
      <c r="O120" s="3174"/>
      <c r="P120" s="3174"/>
      <c r="Q120" s="3174"/>
      <c r="R120" s="3174"/>
      <c r="S120" s="3174"/>
      <c r="T120" s="3184"/>
    </row>
    <row r="121" spans="3:20">
      <c r="C121" s="5115" t="s">
        <v>11446</v>
      </c>
      <c r="D121" s="3167"/>
      <c r="E121" s="3167"/>
      <c r="F121" s="3167"/>
      <c r="G121" s="3167"/>
      <c r="H121" s="3167"/>
      <c r="I121" s="3167"/>
      <c r="J121" s="3167"/>
      <c r="K121" s="3167"/>
      <c r="L121" s="3167"/>
      <c r="M121" s="3167"/>
      <c r="N121" s="3167"/>
      <c r="O121" s="3174"/>
      <c r="P121" s="3174"/>
      <c r="Q121" s="3174"/>
      <c r="R121" s="3174"/>
      <c r="S121" s="3174"/>
      <c r="T121" s="3184"/>
    </row>
    <row r="122" spans="3:20">
      <c r="C122" s="5115" t="s">
        <v>11447</v>
      </c>
      <c r="D122" s="3167"/>
      <c r="E122" s="3167"/>
      <c r="F122" s="3167"/>
      <c r="G122" s="3167"/>
      <c r="H122" s="3167"/>
      <c r="I122" s="3167"/>
      <c r="J122" s="3167"/>
      <c r="K122" s="3167"/>
      <c r="L122" s="3167"/>
      <c r="M122" s="3167"/>
      <c r="N122" s="3167"/>
      <c r="O122" s="3174"/>
      <c r="P122" s="3174"/>
      <c r="Q122" s="3174"/>
      <c r="R122" s="3174"/>
      <c r="S122" s="3174"/>
      <c r="T122" s="3184"/>
    </row>
    <row r="123" spans="3:20">
      <c r="C123" s="5115" t="s">
        <v>11448</v>
      </c>
      <c r="D123" s="3167"/>
      <c r="E123" s="3167"/>
      <c r="F123" s="3167"/>
      <c r="G123" s="3167"/>
      <c r="H123" s="3167"/>
      <c r="I123" s="3167"/>
      <c r="J123" s="3167"/>
      <c r="K123" s="3167"/>
      <c r="L123" s="3167"/>
      <c r="M123" s="3167"/>
      <c r="N123" s="3167"/>
      <c r="O123" s="3174"/>
      <c r="P123" s="3174"/>
      <c r="Q123" s="3174"/>
      <c r="R123" s="3174"/>
      <c r="S123" s="3174"/>
      <c r="T123" s="3184"/>
    </row>
    <row r="124" spans="3:20">
      <c r="C124" s="3232"/>
      <c r="D124" s="3167"/>
      <c r="E124" s="3167"/>
      <c r="F124" s="3167"/>
      <c r="G124" s="3167"/>
      <c r="H124" s="3167"/>
      <c r="I124" s="3167"/>
      <c r="J124" s="3167"/>
      <c r="K124" s="3167"/>
      <c r="L124" s="3167"/>
      <c r="M124" s="3167"/>
      <c r="N124" s="3167"/>
      <c r="O124" s="3174"/>
      <c r="P124" s="3174"/>
      <c r="Q124" s="3174"/>
      <c r="R124" s="3174"/>
      <c r="S124" s="3174"/>
      <c r="T124" s="3184"/>
    </row>
    <row r="125" spans="3:20">
      <c r="C125" s="3232"/>
      <c r="D125" s="3167"/>
      <c r="E125" s="3167"/>
      <c r="F125" s="3167"/>
      <c r="G125" s="3167"/>
      <c r="H125" s="3167"/>
      <c r="I125" s="3167"/>
      <c r="J125" s="3167"/>
      <c r="K125" s="3167"/>
      <c r="L125" s="3167"/>
      <c r="M125" s="3167"/>
      <c r="N125" s="3167"/>
      <c r="O125" s="3174"/>
      <c r="P125" s="3174"/>
      <c r="Q125" s="3174"/>
      <c r="R125" s="3174"/>
      <c r="S125" s="3174"/>
      <c r="T125" s="3184"/>
    </row>
    <row r="126" spans="2:20">
      <c r="B126" s="186" t="s">
        <v>11376</v>
      </c>
      <c r="C126" s="5115" t="s">
        <v>11449</v>
      </c>
      <c r="D126" s="3167"/>
      <c r="E126" s="3167"/>
      <c r="F126" s="3167"/>
      <c r="G126" s="3167"/>
      <c r="H126" s="3167"/>
      <c r="I126" s="3167"/>
      <c r="J126" s="3167"/>
      <c r="K126" s="3167"/>
      <c r="L126" s="3167"/>
      <c r="M126" s="3167"/>
      <c r="N126" s="3167"/>
      <c r="O126" s="3174"/>
      <c r="P126" s="3174"/>
      <c r="Q126" s="3174"/>
      <c r="R126" s="3174"/>
      <c r="S126" s="3174"/>
      <c r="T126" s="3184"/>
    </row>
    <row r="127" spans="3:20">
      <c r="C127" s="5115" t="s">
        <v>11450</v>
      </c>
      <c r="D127" s="3167"/>
      <c r="E127" s="3167"/>
      <c r="F127" s="3167"/>
      <c r="G127" s="3167"/>
      <c r="H127" s="3167"/>
      <c r="I127" s="3167"/>
      <c r="J127" s="3167"/>
      <c r="K127" s="3167"/>
      <c r="L127" s="3167"/>
      <c r="M127" s="3167"/>
      <c r="N127" s="3167"/>
      <c r="O127" s="3174"/>
      <c r="P127" s="3174"/>
      <c r="Q127" s="3174"/>
      <c r="R127" s="3174"/>
      <c r="S127" s="3174"/>
      <c r="T127" s="3184"/>
    </row>
    <row r="128" spans="3:20">
      <c r="C128" s="5115" t="s">
        <v>11451</v>
      </c>
      <c r="D128" s="3167"/>
      <c r="E128" s="3167"/>
      <c r="F128" s="3167"/>
      <c r="G128" s="3167"/>
      <c r="H128" s="3167"/>
      <c r="I128" s="3167"/>
      <c r="J128" s="3167"/>
      <c r="K128" s="3167"/>
      <c r="L128" s="3167"/>
      <c r="M128" s="3167"/>
      <c r="N128" s="3167"/>
      <c r="O128" s="3174"/>
      <c r="P128" s="3174"/>
      <c r="Q128" s="3174"/>
      <c r="R128" s="3174"/>
      <c r="S128" s="3174"/>
      <c r="T128" s="3184"/>
    </row>
    <row r="129" spans="3:20">
      <c r="C129" s="5115" t="s">
        <v>11452</v>
      </c>
      <c r="D129" s="3167"/>
      <c r="E129" s="3167"/>
      <c r="F129" s="3167"/>
      <c r="G129" s="3167"/>
      <c r="H129" s="3167"/>
      <c r="I129" s="3167"/>
      <c r="J129" s="3167"/>
      <c r="K129" s="3167"/>
      <c r="L129" s="3167"/>
      <c r="M129" s="3167"/>
      <c r="N129" s="3167"/>
      <c r="O129" s="3174"/>
      <c r="P129" s="3174"/>
      <c r="Q129" s="3174"/>
      <c r="R129" s="3174"/>
      <c r="S129" s="3174"/>
      <c r="T129" s="3184"/>
    </row>
    <row r="130" spans="3:20">
      <c r="C130" s="3232"/>
      <c r="D130" s="3167"/>
      <c r="E130" s="3167"/>
      <c r="F130" s="3167"/>
      <c r="G130" s="3167"/>
      <c r="H130" s="3167"/>
      <c r="I130" s="3167"/>
      <c r="J130" s="3167"/>
      <c r="K130" s="3167"/>
      <c r="L130" s="3167"/>
      <c r="M130" s="3167"/>
      <c r="N130" s="3167"/>
      <c r="O130" s="3174"/>
      <c r="P130" s="3174"/>
      <c r="Q130" s="3174"/>
      <c r="R130" s="3174"/>
      <c r="S130" s="3174"/>
      <c r="T130" s="3184"/>
    </row>
    <row r="131" spans="3:20">
      <c r="C131" s="3232"/>
      <c r="D131" s="3167"/>
      <c r="E131" s="3167"/>
      <c r="F131" s="3167"/>
      <c r="G131" s="3167"/>
      <c r="H131" s="3167"/>
      <c r="I131" s="3167"/>
      <c r="J131" s="3167"/>
      <c r="K131" s="3167"/>
      <c r="L131" s="3167"/>
      <c r="M131" s="3167"/>
      <c r="N131" s="3167"/>
      <c r="O131" s="3174"/>
      <c r="P131" s="3174"/>
      <c r="Q131" s="3174"/>
      <c r="R131" s="3174"/>
      <c r="S131" s="3174"/>
      <c r="T131" s="3184"/>
    </row>
    <row r="132" spans="2:20">
      <c r="B132" s="186" t="s">
        <v>11380</v>
      </c>
      <c r="C132" s="5115" t="s">
        <v>11453</v>
      </c>
      <c r="D132" s="3167"/>
      <c r="E132" s="3167"/>
      <c r="F132" s="3167"/>
      <c r="G132" s="3167"/>
      <c r="H132" s="3167"/>
      <c r="I132" s="3167"/>
      <c r="J132" s="3167"/>
      <c r="K132" s="3167"/>
      <c r="L132" s="3167"/>
      <c r="M132" s="3167"/>
      <c r="N132" s="3167"/>
      <c r="O132" s="3174"/>
      <c r="P132" s="3174"/>
      <c r="Q132" s="3174"/>
      <c r="R132" s="3174"/>
      <c r="S132" s="3174"/>
      <c r="T132" s="3184"/>
    </row>
    <row r="133" spans="3:20">
      <c r="C133" s="3166"/>
      <c r="D133" s="3167"/>
      <c r="E133" s="3167"/>
      <c r="F133" s="3167"/>
      <c r="G133" s="3167"/>
      <c r="H133" s="3167"/>
      <c r="I133" s="3167"/>
      <c r="J133" s="3167"/>
      <c r="K133" s="3167"/>
      <c r="L133" s="3167"/>
      <c r="M133" s="3167"/>
      <c r="N133" s="3167"/>
      <c r="O133" s="3174"/>
      <c r="P133" s="3174"/>
      <c r="Q133" s="3174"/>
      <c r="R133" s="3174"/>
      <c r="S133" s="3174"/>
      <c r="T133" s="3184"/>
    </row>
    <row r="134" spans="3:20">
      <c r="C134" s="3166"/>
      <c r="D134" s="3167"/>
      <c r="E134" s="3167"/>
      <c r="F134" s="3167"/>
      <c r="G134" s="3167"/>
      <c r="H134" s="3167"/>
      <c r="I134" s="3167"/>
      <c r="J134" s="3167"/>
      <c r="K134" s="3167"/>
      <c r="L134" s="3167"/>
      <c r="M134" s="3167"/>
      <c r="N134" s="3167"/>
      <c r="O134" s="3174"/>
      <c r="P134" s="3174"/>
      <c r="Q134" s="3174"/>
      <c r="R134" s="3174"/>
      <c r="S134" s="3174"/>
      <c r="T134" s="3184"/>
    </row>
    <row r="135" hidden="1" spans="3:20">
      <c r="C135" s="3232"/>
      <c r="D135" s="3167"/>
      <c r="E135" s="3167"/>
      <c r="F135" s="3167"/>
      <c r="G135" s="3167"/>
      <c r="H135" s="3167"/>
      <c r="I135" s="3167"/>
      <c r="J135" s="3167"/>
      <c r="K135" s="3167"/>
      <c r="L135" s="3167"/>
      <c r="M135" s="3167"/>
      <c r="N135" s="3167"/>
      <c r="O135" s="3174"/>
      <c r="P135" s="3174"/>
      <c r="Q135" s="3174"/>
      <c r="R135" s="3174"/>
      <c r="S135" s="3174"/>
      <c r="T135" s="3184"/>
    </row>
    <row r="136" spans="2:20">
      <c r="B136" s="186" t="s">
        <v>11378</v>
      </c>
      <c r="C136" s="5115" t="s">
        <v>11454</v>
      </c>
      <c r="D136" s="3167"/>
      <c r="E136" s="3167"/>
      <c r="F136" s="3167"/>
      <c r="G136" s="3167"/>
      <c r="H136" s="3167"/>
      <c r="I136" s="3167"/>
      <c r="J136" s="3167"/>
      <c r="K136" s="3167"/>
      <c r="L136" s="3167"/>
      <c r="M136" s="3167"/>
      <c r="N136" s="3167"/>
      <c r="O136" s="3174"/>
      <c r="P136" s="3174"/>
      <c r="Q136" s="3174"/>
      <c r="R136" s="3174"/>
      <c r="S136" s="3174"/>
      <c r="T136" s="3184"/>
    </row>
    <row r="137" s="248" customFormat="1" spans="2:20">
      <c r="B137" s="186"/>
      <c r="C137" s="5115" t="s">
        <v>11455</v>
      </c>
      <c r="D137" s="3167"/>
      <c r="E137" s="3167"/>
      <c r="F137" s="3167"/>
      <c r="G137" s="3259"/>
      <c r="H137" s="3259"/>
      <c r="I137" s="3259"/>
      <c r="J137" s="3259"/>
      <c r="K137" s="3259"/>
      <c r="L137" s="3259"/>
      <c r="M137" s="3259"/>
      <c r="N137" s="3259"/>
      <c r="O137" s="3234"/>
      <c r="P137" s="3234"/>
      <c r="Q137" s="3234"/>
      <c r="R137" s="3234"/>
      <c r="S137" s="3234"/>
      <c r="T137" s="3264"/>
    </row>
    <row r="138" s="248" customFormat="1" spans="2:20">
      <c r="B138" s="186"/>
      <c r="C138" s="3232"/>
      <c r="D138" s="3167"/>
      <c r="E138" s="3167"/>
      <c r="F138" s="3167"/>
      <c r="G138" s="3259"/>
      <c r="H138" s="3259"/>
      <c r="I138" s="3259"/>
      <c r="J138" s="3259"/>
      <c r="K138" s="3259"/>
      <c r="L138" s="3259"/>
      <c r="M138" s="3259"/>
      <c r="N138" s="3259"/>
      <c r="O138" s="3234"/>
      <c r="P138" s="3234"/>
      <c r="Q138" s="3234"/>
      <c r="R138" s="3234"/>
      <c r="S138" s="3234"/>
      <c r="T138" s="3264"/>
    </row>
    <row r="139" spans="3:20">
      <c r="C139" s="3166"/>
      <c r="D139" s="3167"/>
      <c r="E139" s="3167"/>
      <c r="F139" s="3167"/>
      <c r="G139" s="3167"/>
      <c r="H139" s="3167"/>
      <c r="I139" s="3167"/>
      <c r="J139" s="3167"/>
      <c r="K139" s="3167"/>
      <c r="L139" s="3167"/>
      <c r="M139" s="3167"/>
      <c r="N139" s="3167"/>
      <c r="O139" s="3174"/>
      <c r="P139" s="3174"/>
      <c r="Q139" s="3174"/>
      <c r="R139" s="3174"/>
      <c r="S139" s="3174"/>
      <c r="T139" s="3184"/>
    </row>
    <row r="140" spans="3:20">
      <c r="C140" s="3166"/>
      <c r="D140" s="3167"/>
      <c r="E140" s="3167"/>
      <c r="F140" s="3167"/>
      <c r="G140" s="3167"/>
      <c r="H140" s="3167"/>
      <c r="I140" s="3167"/>
      <c r="J140" s="3167"/>
      <c r="K140" s="3167"/>
      <c r="L140" s="3167"/>
      <c r="M140" s="3167"/>
      <c r="N140" s="3167"/>
      <c r="O140" s="3174"/>
      <c r="P140" s="3174"/>
      <c r="Q140" s="3174"/>
      <c r="R140" s="3174"/>
      <c r="S140" s="3174"/>
      <c r="T140" s="3184"/>
    </row>
    <row r="141" spans="3:20">
      <c r="C141" s="3166"/>
      <c r="D141" s="3167"/>
      <c r="E141" s="3167"/>
      <c r="F141" s="3167"/>
      <c r="G141" s="3167"/>
      <c r="H141" s="3167"/>
      <c r="I141" s="3167"/>
      <c r="J141" s="3167"/>
      <c r="K141" s="3167"/>
      <c r="L141" s="3167"/>
      <c r="M141" s="3167"/>
      <c r="N141" s="3167"/>
      <c r="O141" s="3174"/>
      <c r="P141" s="3174"/>
      <c r="Q141" s="3174"/>
      <c r="R141" s="3174"/>
      <c r="S141" s="3174"/>
      <c r="T141" s="3184"/>
    </row>
    <row r="142" spans="3:20">
      <c r="C142" s="3166"/>
      <c r="D142" s="3167"/>
      <c r="E142" s="3167"/>
      <c r="F142" s="3167"/>
      <c r="G142" s="3167"/>
      <c r="H142" s="3167"/>
      <c r="I142" s="3167"/>
      <c r="J142" s="3167"/>
      <c r="K142" s="3167"/>
      <c r="L142" s="3167"/>
      <c r="M142" s="3167"/>
      <c r="N142" s="3167"/>
      <c r="O142" s="3174"/>
      <c r="P142" s="3174"/>
      <c r="Q142" s="3174"/>
      <c r="R142" s="3174"/>
      <c r="S142" s="3174"/>
      <c r="T142" s="3184"/>
    </row>
    <row r="143" spans="3:20">
      <c r="C143" s="3166"/>
      <c r="D143" s="3167"/>
      <c r="E143" s="3167"/>
      <c r="F143" s="3167"/>
      <c r="G143" s="3167"/>
      <c r="H143" s="3167"/>
      <c r="I143" s="3167"/>
      <c r="J143" s="3167"/>
      <c r="K143" s="3167"/>
      <c r="L143" s="3167"/>
      <c r="M143" s="3167"/>
      <c r="N143" s="3167"/>
      <c r="O143" s="3174"/>
      <c r="P143" s="3174"/>
      <c r="Q143" s="3174"/>
      <c r="R143" s="3174"/>
      <c r="S143" s="3174"/>
      <c r="T143" s="3184"/>
    </row>
    <row r="144" spans="3:20">
      <c r="C144" s="3166"/>
      <c r="D144" s="3167"/>
      <c r="E144" s="3167"/>
      <c r="F144" s="3167"/>
      <c r="G144" s="3167"/>
      <c r="H144" s="3167"/>
      <c r="I144" s="3167"/>
      <c r="J144" s="3167"/>
      <c r="K144" s="3167"/>
      <c r="L144" s="3167"/>
      <c r="M144" s="3167"/>
      <c r="N144" s="3167"/>
      <c r="O144" s="3174"/>
      <c r="P144" s="3174"/>
      <c r="Q144" s="3174"/>
      <c r="R144" s="3174"/>
      <c r="S144" s="3174"/>
      <c r="T144" s="3184"/>
    </row>
    <row r="145" spans="3:20">
      <c r="C145" s="3173"/>
      <c r="D145" s="3174"/>
      <c r="E145" s="3174"/>
      <c r="F145" s="3174"/>
      <c r="G145" s="3174"/>
      <c r="H145" s="3174"/>
      <c r="I145" s="3174"/>
      <c r="J145" s="3174"/>
      <c r="K145" s="3174"/>
      <c r="L145" s="3174"/>
      <c r="M145" s="3174"/>
      <c r="N145" s="3174"/>
      <c r="O145" s="3174"/>
      <c r="P145" s="3174"/>
      <c r="Q145" s="3174"/>
      <c r="R145" s="3174"/>
      <c r="S145" s="3174"/>
      <c r="T145" s="3184"/>
    </row>
    <row r="146" spans="3:20">
      <c r="C146" s="3173"/>
      <c r="D146" s="3174"/>
      <c r="E146" s="3174"/>
      <c r="F146" s="3174"/>
      <c r="G146" s="3174"/>
      <c r="H146" s="3174"/>
      <c r="I146" s="3174"/>
      <c r="J146" s="3174"/>
      <c r="K146" s="3174"/>
      <c r="L146" s="3174"/>
      <c r="M146" s="3174"/>
      <c r="N146" s="3174"/>
      <c r="O146" s="3174"/>
      <c r="P146" s="3174"/>
      <c r="Q146" s="3174"/>
      <c r="R146" s="3174"/>
      <c r="S146" s="3174"/>
      <c r="T146" s="3184"/>
    </row>
    <row r="147" spans="3:20">
      <c r="C147" s="3173"/>
      <c r="D147" s="3174"/>
      <c r="E147" s="3174"/>
      <c r="F147" s="3174"/>
      <c r="G147" s="3174"/>
      <c r="H147" s="3174"/>
      <c r="I147" s="3174"/>
      <c r="J147" s="3174"/>
      <c r="K147" s="3174"/>
      <c r="L147" s="3174"/>
      <c r="M147" s="3174"/>
      <c r="N147" s="3174"/>
      <c r="O147" s="3174"/>
      <c r="P147" s="3174"/>
      <c r="Q147" s="3174"/>
      <c r="R147" s="3174"/>
      <c r="S147" s="3174"/>
      <c r="T147" s="3184"/>
    </row>
    <row r="148" spans="3:20">
      <c r="C148" s="3173"/>
      <c r="D148" s="3174"/>
      <c r="E148" s="3174"/>
      <c r="F148" s="3174"/>
      <c r="G148" s="3174"/>
      <c r="H148" s="3174"/>
      <c r="I148" s="3174"/>
      <c r="J148" s="3174"/>
      <c r="K148" s="3174"/>
      <c r="L148" s="3174"/>
      <c r="M148" s="3174"/>
      <c r="N148" s="3174"/>
      <c r="O148" s="3174"/>
      <c r="P148" s="3174"/>
      <c r="Q148" s="3174"/>
      <c r="R148" s="3174"/>
      <c r="S148" s="3174"/>
      <c r="T148" s="3184"/>
    </row>
    <row r="149" spans="3:20">
      <c r="C149" s="3173"/>
      <c r="D149" s="3174"/>
      <c r="E149" s="3174"/>
      <c r="F149" s="3174"/>
      <c r="G149" s="3174"/>
      <c r="H149" s="3174"/>
      <c r="I149" s="3174"/>
      <c r="J149" s="3174"/>
      <c r="K149" s="3174"/>
      <c r="L149" s="3174"/>
      <c r="M149" s="3174"/>
      <c r="N149" s="3174"/>
      <c r="O149" s="3174"/>
      <c r="P149" s="3174"/>
      <c r="Q149" s="3174"/>
      <c r="R149" s="3174"/>
      <c r="S149" s="3174"/>
      <c r="T149" s="3184"/>
    </row>
    <row r="150" spans="3:20">
      <c r="C150" s="3173" t="s">
        <v>952</v>
      </c>
      <c r="D150" s="3174"/>
      <c r="E150" s="3261" t="s">
        <v>953</v>
      </c>
      <c r="F150" s="3262" t="s">
        <v>954</v>
      </c>
      <c r="G150" s="3261"/>
      <c r="H150" s="3262" t="s">
        <v>955</v>
      </c>
      <c r="I150" s="3174"/>
      <c r="J150" s="3174"/>
      <c r="K150" s="3174"/>
      <c r="L150" s="3174"/>
      <c r="M150" s="3174"/>
      <c r="N150" s="3174"/>
      <c r="O150" s="3174"/>
      <c r="P150" s="3174"/>
      <c r="Q150" s="3174"/>
      <c r="R150" s="3174"/>
      <c r="S150" s="3174"/>
      <c r="T150" s="3184"/>
    </row>
    <row r="151" spans="3:20">
      <c r="C151" s="3173"/>
      <c r="D151" s="3174"/>
      <c r="E151" s="3174"/>
      <c r="F151" s="3174"/>
      <c r="G151" s="3174"/>
      <c r="H151" s="3174"/>
      <c r="I151" s="3174"/>
      <c r="J151" s="3174"/>
      <c r="K151" s="3174"/>
      <c r="L151" s="3174"/>
      <c r="M151" s="3174"/>
      <c r="N151" s="3174"/>
      <c r="O151" s="3174"/>
      <c r="P151" s="3174"/>
      <c r="Q151" s="3174"/>
      <c r="R151" s="3174"/>
      <c r="S151" s="3174"/>
      <c r="T151" s="3184"/>
    </row>
    <row r="152" spans="3:20">
      <c r="C152" s="3173"/>
      <c r="D152" s="3174"/>
      <c r="E152" s="3174" t="s">
        <v>11456</v>
      </c>
      <c r="F152" s="3174"/>
      <c r="G152" s="3174"/>
      <c r="H152" s="3174"/>
      <c r="I152" s="3174"/>
      <c r="J152" s="3174"/>
      <c r="K152" s="3174"/>
      <c r="L152" s="3174"/>
      <c r="M152" s="3174"/>
      <c r="N152" s="3174"/>
      <c r="O152" s="3174"/>
      <c r="P152" s="3174"/>
      <c r="Q152" s="3174"/>
      <c r="R152" s="3174"/>
      <c r="S152" s="3174"/>
      <c r="T152" s="3184"/>
    </row>
    <row r="153" spans="3:20">
      <c r="C153" s="3173"/>
      <c r="D153" s="3174"/>
      <c r="E153" s="3174"/>
      <c r="F153" s="3174"/>
      <c r="G153" s="3174"/>
      <c r="H153" s="3174"/>
      <c r="I153" s="3174"/>
      <c r="J153" s="3174"/>
      <c r="K153" s="3174"/>
      <c r="L153" s="3174"/>
      <c r="M153" s="3174"/>
      <c r="N153" s="3174"/>
      <c r="O153" s="3174"/>
      <c r="P153" s="3174"/>
      <c r="Q153" s="3174"/>
      <c r="R153" s="3174"/>
      <c r="S153" s="3174"/>
      <c r="T153" s="3184"/>
    </row>
    <row r="154" spans="3:20">
      <c r="C154" s="3173" t="s">
        <v>11457</v>
      </c>
      <c r="D154" s="3174"/>
      <c r="E154" s="3174"/>
      <c r="F154" s="3174"/>
      <c r="G154" s="3174"/>
      <c r="H154" s="3174"/>
      <c r="I154" s="3174"/>
      <c r="J154" s="3174"/>
      <c r="K154" s="3174"/>
      <c r="L154" s="3174"/>
      <c r="M154" s="3174"/>
      <c r="N154" s="3174"/>
      <c r="O154" s="3174"/>
      <c r="P154" s="3174"/>
      <c r="Q154" s="3174"/>
      <c r="R154" s="3174"/>
      <c r="S154" s="3174"/>
      <c r="T154" s="3184"/>
    </row>
    <row r="155" spans="3:20">
      <c r="C155" s="3173"/>
      <c r="D155" s="3174"/>
      <c r="E155" s="3174"/>
      <c r="F155" s="3174"/>
      <c r="G155" s="3174"/>
      <c r="H155" s="3174"/>
      <c r="I155" s="3174"/>
      <c r="J155" s="3174"/>
      <c r="K155" s="3174"/>
      <c r="L155" s="3174"/>
      <c r="M155" s="3174"/>
      <c r="N155" s="3174"/>
      <c r="O155" s="3174"/>
      <c r="P155" s="3174"/>
      <c r="Q155" s="3174"/>
      <c r="R155" s="3174"/>
      <c r="S155" s="3174"/>
      <c r="T155" s="3184"/>
    </row>
    <row r="156" spans="3:20">
      <c r="C156" s="3263"/>
      <c r="D156" s="3255"/>
      <c r="E156" s="3255"/>
      <c r="F156" s="3255"/>
      <c r="G156" s="3255"/>
      <c r="H156" s="3255"/>
      <c r="I156" s="3255"/>
      <c r="J156" s="3255"/>
      <c r="K156" s="3255"/>
      <c r="L156" s="3255"/>
      <c r="M156" s="3255"/>
      <c r="N156" s="3255"/>
      <c r="O156" s="3255"/>
      <c r="P156" s="3255"/>
      <c r="Q156" s="3255"/>
      <c r="R156" s="3255"/>
      <c r="S156" s="3255"/>
      <c r="T156" s="3256"/>
    </row>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sheetData>
  <mergeCells count="5">
    <mergeCell ref="S9:T9"/>
    <mergeCell ref="S10:T10"/>
    <mergeCell ref="D70:D71"/>
    <mergeCell ref="H9:I10"/>
    <mergeCell ref="N9:O10"/>
  </mergeCells>
  <printOptions horizontalCentered="1"/>
  <pageMargins left="0.31496062992126" right="0.118110236220472" top="0.31496062992126" bottom="0.31496062992126" header="0.511811023622047" footer="0.511811023622047"/>
  <pageSetup paperSize="9" scale="70" orientation="landscape"/>
  <headerFooter alignWithMargins="0">
    <oddFooter>&amp;R&amp;"Arial,Bold"&amp;28L</oddFooter>
  </headerFooter>
  <drawing r:id="rId2"/>
  <legacyDrawing r:id="rId3"/>
  <oleObjects>
    <mc:AlternateContent xmlns:mc="http://schemas.openxmlformats.org/markup-compatibility/2006">
      <mc:Choice Requires="x14">
        <oleObject shapeId="1050625" progId="Paint.Picture" r:id="rId4">
          <objectPr defaultSize="0" r:id="rId5">
            <anchor moveWithCells="1">
              <from>
                <xdr:col>1</xdr:col>
                <xdr:colOff>76200</xdr:colOff>
                <xdr:row>32</xdr:row>
                <xdr:rowOff>6350</xdr:rowOff>
              </from>
              <to>
                <xdr:col>1</xdr:col>
                <xdr:colOff>228600</xdr:colOff>
                <xdr:row>32</xdr:row>
                <xdr:rowOff>152400</xdr:rowOff>
              </to>
            </anchor>
          </objectPr>
        </oleObject>
      </mc:Choice>
      <mc:Fallback>
        <oleObject shapeId="1050625" progId="Paint.Picture" r:id="rId4"/>
      </mc:Fallback>
    </mc:AlternateContent>
    <mc:AlternateContent xmlns:mc="http://schemas.openxmlformats.org/markup-compatibility/2006">
      <mc:Choice Requires="x14">
        <oleObject shapeId="1050626" progId="Paint.Picture" r:id="rId6">
          <objectPr defaultSize="0" r:id="rId7">
            <anchor moveWithCells="1">
              <from>
                <xdr:col>1</xdr:col>
                <xdr:colOff>76200</xdr:colOff>
                <xdr:row>31</xdr:row>
                <xdr:rowOff>6350</xdr:rowOff>
              </from>
              <to>
                <xdr:col>1</xdr:col>
                <xdr:colOff>228600</xdr:colOff>
                <xdr:row>31</xdr:row>
                <xdr:rowOff>152400</xdr:rowOff>
              </to>
            </anchor>
          </objectPr>
        </oleObject>
      </mc:Choice>
      <mc:Fallback>
        <oleObject shapeId="1050626" progId="Paint.Picture" r:id="rId6"/>
      </mc:Fallback>
    </mc:AlternateContent>
    <mc:AlternateContent xmlns:mc="http://schemas.openxmlformats.org/markup-compatibility/2006">
      <mc:Choice Requires="x14">
        <oleObject shapeId="1050627" progId="Paint.Picture" r:id="rId8">
          <objectPr defaultSize="0" r:id="rId7">
            <anchor moveWithCells="1">
              <from>
                <xdr:col>17</xdr:col>
                <xdr:colOff>469900</xdr:colOff>
                <xdr:row>6</xdr:row>
                <xdr:rowOff>101600</xdr:rowOff>
              </from>
              <to>
                <xdr:col>17</xdr:col>
                <xdr:colOff>635000</xdr:colOff>
                <xdr:row>7</xdr:row>
                <xdr:rowOff>95250</xdr:rowOff>
              </to>
            </anchor>
          </objectPr>
        </oleObject>
      </mc:Choice>
      <mc:Fallback>
        <oleObject shapeId="1050627" progId="Paint.Picture" r:id="rId8"/>
      </mc:Fallback>
    </mc:AlternateContent>
    <mc:AlternateContent xmlns:mc="http://schemas.openxmlformats.org/markup-compatibility/2006">
      <mc:Choice Requires="x14">
        <oleObject shapeId="1050628" progId="Paint.Picture" r:id="rId9">
          <objectPr defaultSize="0" r:id="rId5">
            <anchor moveWithCells="1">
              <from>
                <xdr:col>12</xdr:col>
                <xdr:colOff>101600</xdr:colOff>
                <xdr:row>26</xdr:row>
                <xdr:rowOff>139700</xdr:rowOff>
              </from>
              <to>
                <xdr:col>12</xdr:col>
                <xdr:colOff>273050</xdr:colOff>
                <xdr:row>27</xdr:row>
                <xdr:rowOff>146050</xdr:rowOff>
              </to>
            </anchor>
          </objectPr>
        </oleObject>
      </mc:Choice>
      <mc:Fallback>
        <oleObject shapeId="1050628" progId="Paint.Picture" r:id="rId9"/>
      </mc:Fallback>
    </mc:AlternateContent>
    <mc:AlternateContent xmlns:mc="http://schemas.openxmlformats.org/markup-compatibility/2006">
      <mc:Choice Requires="x14">
        <oleObject shapeId="4033997" progId="Paint.Picture" r:id="rId10">
          <objectPr defaultSize="0" r:id="rId5">
            <anchor moveWithCells="1">
              <from>
                <xdr:col>6</xdr:col>
                <xdr:colOff>234950</xdr:colOff>
                <xdr:row>27</xdr:row>
                <xdr:rowOff>57150</xdr:rowOff>
              </from>
              <to>
                <xdr:col>7</xdr:col>
                <xdr:colOff>31750</xdr:colOff>
                <xdr:row>28</xdr:row>
                <xdr:rowOff>63500</xdr:rowOff>
              </to>
            </anchor>
          </objectPr>
        </oleObject>
      </mc:Choice>
      <mc:Fallback>
        <oleObject shapeId="4033997" progId="Paint.Picture" r:id="rId10"/>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7"/>
  <dimension ref="B2:F262"/>
  <sheetViews>
    <sheetView zoomScale="160" zoomScaleNormal="160" workbookViewId="0">
      <selection activeCell="E25" sqref="E25"/>
    </sheetView>
  </sheetViews>
  <sheetFormatPr defaultColWidth="8.84375" defaultRowHeight="11.4" outlineLevelCol="5"/>
  <cols>
    <col min="1" max="1" width="8.84375" style="1"/>
    <col min="2" max="2" width="6.4375" style="1" customWidth="1"/>
    <col min="3" max="3" width="16.03125" style="1" customWidth="1"/>
    <col min="4" max="5" width="12.7395833333333" style="1" customWidth="1"/>
    <col min="6" max="6" width="15.1354166666667" style="1" customWidth="1"/>
    <col min="7" max="7" width="9.13541666666667" style="1" customWidth="1"/>
    <col min="8" max="9" width="8.84375" style="1"/>
    <col min="10" max="10" width="10.1875" style="1" customWidth="1"/>
    <col min="11" max="16384" width="8.84375" style="1"/>
  </cols>
  <sheetData>
    <row r="2" ht="12" spans="2:2">
      <c r="B2" s="22" t="str">
        <f>D!C4</f>
        <v>PT INTAN GIRI ABADI</v>
      </c>
    </row>
    <row r="3" spans="2:2">
      <c r="B3" s="1" t="s">
        <v>11458</v>
      </c>
    </row>
    <row r="5" ht="13.2" spans="2:6">
      <c r="B5" s="3214" t="s">
        <v>1021</v>
      </c>
      <c r="C5" s="3214" t="s">
        <v>11459</v>
      </c>
      <c r="D5" s="3215" t="s">
        <v>1204</v>
      </c>
      <c r="E5" s="3215" t="s">
        <v>11460</v>
      </c>
      <c r="F5" s="3215" t="s">
        <v>11461</v>
      </c>
    </row>
    <row r="6" spans="2:6">
      <c r="B6" s="1">
        <v>1</v>
      </c>
      <c r="C6" s="1" t="s">
        <v>11462</v>
      </c>
      <c r="D6" s="3216">
        <v>0</v>
      </c>
      <c r="E6" s="3216">
        <v>1</v>
      </c>
      <c r="F6" s="3216">
        <f>+D6*E6</f>
        <v>0</v>
      </c>
    </row>
    <row r="7" spans="2:6">
      <c r="B7" s="1">
        <f>B6+1</f>
        <v>2</v>
      </c>
      <c r="C7" s="1" t="s">
        <v>11463</v>
      </c>
      <c r="D7" s="3216">
        <v>0</v>
      </c>
      <c r="E7" s="3216">
        <v>1</v>
      </c>
      <c r="F7" s="3216">
        <f>+D7*E7</f>
        <v>0</v>
      </c>
    </row>
    <row r="8" spans="2:6">
      <c r="B8" s="1">
        <f>B7+1</f>
        <v>3</v>
      </c>
      <c r="C8" s="1">
        <v>0</v>
      </c>
      <c r="D8" s="3216">
        <v>0</v>
      </c>
      <c r="E8" s="3216">
        <v>1</v>
      </c>
      <c r="F8" s="3216">
        <f>+D8*E8</f>
        <v>0</v>
      </c>
    </row>
    <row r="9" spans="2:6">
      <c r="B9" s="1">
        <f>B8+1</f>
        <v>4</v>
      </c>
      <c r="C9" s="1" t="s">
        <v>11464</v>
      </c>
      <c r="D9" s="3216">
        <v>0</v>
      </c>
      <c r="E9" s="3216">
        <v>1</v>
      </c>
      <c r="F9" s="3216">
        <f>+D9*E9</f>
        <v>0</v>
      </c>
    </row>
    <row r="10" spans="2:6">
      <c r="B10" s="1">
        <f>B9+1</f>
        <v>5</v>
      </c>
      <c r="C10" s="1">
        <f>D!C24</f>
        <v>0</v>
      </c>
      <c r="D10" s="3216">
        <v>0</v>
      </c>
      <c r="E10" s="3216">
        <v>1</v>
      </c>
      <c r="F10" s="3216">
        <f>+D10*E10</f>
        <v>0</v>
      </c>
    </row>
    <row r="11" spans="4:6">
      <c r="D11" s="3216"/>
      <c r="E11" s="3216"/>
      <c r="F11" s="3216"/>
    </row>
    <row r="12" ht="14.4" spans="3:6">
      <c r="C12" s="1" t="s">
        <v>151</v>
      </c>
      <c r="D12" s="3216"/>
      <c r="E12" s="3216"/>
      <c r="F12" s="3217">
        <f>SUM(F6:F10)</f>
        <v>0</v>
      </c>
    </row>
    <row r="14" spans="6:6">
      <c r="F14" s="1062"/>
    </row>
    <row r="42" spans="2:2">
      <c r="B42" s="1" t="str">
        <f>'F2'!C17</f>
        <v>Utang lain-lain</v>
      </c>
    </row>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sheetData>
  <pageMargins left="0.7" right="0.7" top="0.75" bottom="0.75" header="0.3" footer="0.3"/>
  <pageSetup paperSize="9" orientation="portrait"/>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W246"/>
  <sheetViews>
    <sheetView showGridLines="0" zoomScale="130" zoomScaleNormal="130" workbookViewId="0">
      <pane xSplit="4" ySplit="10" topLeftCell="E62" activePane="bottomRight" state="frozen"/>
      <selection/>
      <selection pane="topRight"/>
      <selection pane="bottomLeft"/>
      <selection pane="bottomRight" activeCell="J20" sqref="J20"/>
    </sheetView>
  </sheetViews>
  <sheetFormatPr defaultColWidth="10.0416666666667" defaultRowHeight="13.2"/>
  <cols>
    <col min="1" max="1" width="2.39583333333333" style="1117" customWidth="1"/>
    <col min="2" max="2" width="9.58333333333333" style="1117" customWidth="1"/>
    <col min="3" max="3" width="20.8229166666667" style="1117" customWidth="1"/>
    <col min="4" max="4" width="20.375" style="1117" customWidth="1"/>
    <col min="5" max="5" width="21.7291666666667" style="1117" customWidth="1"/>
    <col min="6" max="6" width="17.2291666666667" style="1117" customWidth="1"/>
    <col min="7" max="7" width="16.625" style="1117" customWidth="1"/>
    <col min="8" max="8" width="5.84375" style="1117" customWidth="1"/>
    <col min="9" max="9" width="11.53125" style="1117" customWidth="1"/>
    <col min="10" max="10" width="13.3333333333333" style="1117" customWidth="1"/>
    <col min="11" max="11" width="10.3333333333333" style="1117" customWidth="1"/>
    <col min="12" max="12" width="14.8333333333333" style="3052" customWidth="1"/>
    <col min="13" max="13" width="13.78125" style="1117" customWidth="1"/>
    <col min="14" max="15" width="16.3333333333333" style="1117" customWidth="1"/>
    <col min="16" max="16" width="12.1354166666667" style="1117" customWidth="1"/>
    <col min="17" max="17" width="16.9270833333333" style="1117" customWidth="1"/>
    <col min="18" max="18" width="1.64583333333333" style="1117" customWidth="1"/>
    <col min="19" max="19" width="15.4270833333333" style="3051" customWidth="1"/>
    <col min="20" max="20" width="14.8333333333333" style="1117" customWidth="1"/>
    <col min="21" max="16384" width="10.0416666666667" style="1117"/>
  </cols>
  <sheetData>
    <row r="2" spans="2:3">
      <c r="B2" s="3053" t="s">
        <v>11465</v>
      </c>
      <c r="C2" s="3200" t="str">
        <f>D!C4</f>
        <v>PT INTAN GIRI ABADI</v>
      </c>
    </row>
    <row r="3" spans="2:3">
      <c r="B3" s="3053" t="s">
        <v>11466</v>
      </c>
      <c r="C3" s="3201" t="s">
        <v>11467</v>
      </c>
    </row>
    <row r="4" spans="2:3">
      <c r="B4" s="1" t="s">
        <v>11468</v>
      </c>
      <c r="C4" s="3202">
        <f>D!S7</f>
        <v>44926</v>
      </c>
    </row>
    <row r="5" spans="2:3">
      <c r="B5" s="1806" t="s">
        <v>11469</v>
      </c>
      <c r="C5" s="3203" t="s">
        <v>11370</v>
      </c>
    </row>
    <row r="6" spans="2:3">
      <c r="B6" s="1118" t="s">
        <v>11470</v>
      </c>
      <c r="C6" s="3204" t="s">
        <v>11471</v>
      </c>
    </row>
    <row r="7" spans="2:3">
      <c r="B7" s="5117" t="s">
        <v>11472</v>
      </c>
      <c r="C7" s="3205" t="s">
        <v>11473</v>
      </c>
    </row>
    <row r="9" spans="2:8">
      <c r="B9" s="5118" t="s">
        <v>11407</v>
      </c>
      <c r="C9" s="186"/>
      <c r="D9" s="186"/>
      <c r="E9" s="186"/>
      <c r="F9" s="186"/>
      <c r="G9" s="186"/>
      <c r="H9" s="186"/>
    </row>
    <row r="10" spans="2:8">
      <c r="B10" s="5113" t="s">
        <v>11408</v>
      </c>
      <c r="C10" s="186"/>
      <c r="D10" s="186"/>
      <c r="E10" s="186"/>
      <c r="F10" s="186"/>
      <c r="G10" s="186"/>
      <c r="H10" s="186"/>
    </row>
    <row r="11" spans="2:8">
      <c r="B11" s="5113" t="s">
        <v>11409</v>
      </c>
      <c r="C11" s="186"/>
      <c r="D11" s="186"/>
      <c r="E11" s="186"/>
      <c r="F11" s="186"/>
      <c r="G11" s="186"/>
      <c r="H11" s="186"/>
    </row>
    <row r="12" s="3049" customFormat="1" spans="2:23">
      <c r="B12" s="5113" t="s">
        <v>11410</v>
      </c>
      <c r="C12" s="186"/>
      <c r="D12" s="186"/>
      <c r="E12" s="186"/>
      <c r="F12" s="186"/>
      <c r="G12" s="186"/>
      <c r="H12" s="186"/>
      <c r="I12" s="1117"/>
      <c r="J12" s="1117"/>
      <c r="K12" s="1117"/>
      <c r="L12" s="3052"/>
      <c r="M12" s="1117"/>
      <c r="N12" s="1117"/>
      <c r="O12" s="1117"/>
      <c r="P12" s="1117"/>
      <c r="Q12" s="1117"/>
      <c r="R12" s="1117"/>
      <c r="S12" s="3051"/>
      <c r="T12" s="1117"/>
      <c r="U12" s="1117"/>
      <c r="V12" s="1117"/>
      <c r="W12" s="1117"/>
    </row>
    <row r="13" s="3049" customFormat="1" spans="2:23">
      <c r="B13" s="5113" t="s">
        <v>11411</v>
      </c>
      <c r="C13" s="186"/>
      <c r="D13" s="186"/>
      <c r="E13" s="186"/>
      <c r="F13" s="186"/>
      <c r="G13" s="186"/>
      <c r="H13" s="186"/>
      <c r="I13" s="1117"/>
      <c r="J13" s="1117"/>
      <c r="K13" s="1117"/>
      <c r="L13" s="3052"/>
      <c r="M13" s="1117"/>
      <c r="N13" s="1117"/>
      <c r="O13" s="1117"/>
      <c r="P13" s="1117"/>
      <c r="Q13" s="1117"/>
      <c r="R13" s="1117"/>
      <c r="S13" s="3051"/>
      <c r="T13" s="1117"/>
      <c r="U13" s="1117"/>
      <c r="V13" s="1117"/>
      <c r="W13" s="1117"/>
    </row>
    <row r="14" s="3049" customFormat="1" spans="2:23">
      <c r="B14" s="5113" t="s">
        <v>11474</v>
      </c>
      <c r="C14" s="186"/>
      <c r="D14" s="186"/>
      <c r="E14" s="186"/>
      <c r="F14" s="186"/>
      <c r="G14" s="186"/>
      <c r="H14" s="186"/>
      <c r="I14" s="1117"/>
      <c r="J14" s="1117"/>
      <c r="K14" s="1117"/>
      <c r="L14" s="3052"/>
      <c r="M14" s="1117"/>
      <c r="N14" s="1117"/>
      <c r="O14" s="1117"/>
      <c r="P14" s="1117"/>
      <c r="Q14" s="1117"/>
      <c r="R14" s="1117"/>
      <c r="S14" s="3051"/>
      <c r="T14" s="1117"/>
      <c r="U14" s="1117"/>
      <c r="V14" s="1117"/>
      <c r="W14" s="1117"/>
    </row>
    <row r="15" s="3049" customFormat="1" spans="2:23">
      <c r="B15" s="5113" t="s">
        <v>11475</v>
      </c>
      <c r="C15" s="186"/>
      <c r="D15" s="186"/>
      <c r="E15" s="186"/>
      <c r="F15" s="186"/>
      <c r="G15" s="186"/>
      <c r="H15" s="186"/>
      <c r="I15" s="1117"/>
      <c r="J15" s="1117"/>
      <c r="K15" s="1117"/>
      <c r="L15" s="3052"/>
      <c r="M15" s="1117"/>
      <c r="N15" s="1117"/>
      <c r="O15" s="1117"/>
      <c r="P15" s="1117"/>
      <c r="Q15" s="1117"/>
      <c r="R15" s="1117"/>
      <c r="S15" s="3051"/>
      <c r="T15" s="1117"/>
      <c r="U15" s="1117"/>
      <c r="V15" s="1117"/>
      <c r="W15" s="1117"/>
    </row>
    <row r="16" s="3049" customFormat="1" spans="2:23">
      <c r="B16" s="5113" t="s">
        <v>11413</v>
      </c>
      <c r="E16" s="3206">
        <v>35000000000</v>
      </c>
      <c r="F16" s="364">
        <v>0.3</v>
      </c>
      <c r="G16" s="186">
        <f>+E16*F16</f>
        <v>10500000000</v>
      </c>
      <c r="H16" s="186"/>
      <c r="I16" s="1117"/>
      <c r="J16" s="1117"/>
      <c r="K16" s="1117"/>
      <c r="L16" s="3052"/>
      <c r="M16" s="1117"/>
      <c r="N16" s="1117"/>
      <c r="O16" s="1117"/>
      <c r="P16" s="1117"/>
      <c r="Q16" s="1117"/>
      <c r="R16" s="1117"/>
      <c r="S16" s="3051"/>
      <c r="T16" s="1117"/>
      <c r="U16" s="1117"/>
      <c r="V16" s="1117"/>
      <c r="W16" s="1117"/>
    </row>
    <row r="17" s="3049" customFormat="1" spans="2:23">
      <c r="B17" s="5113" t="s">
        <v>11416</v>
      </c>
      <c r="E17" s="3206"/>
      <c r="F17" s="364">
        <v>0.7</v>
      </c>
      <c r="G17" s="3207">
        <f>+E16*F17</f>
        <v>24500000000</v>
      </c>
      <c r="H17" s="186"/>
      <c r="I17" s="1117"/>
      <c r="J17" s="1117"/>
      <c r="K17" s="1117"/>
      <c r="L17" s="3052"/>
      <c r="M17" s="1117"/>
      <c r="N17" s="1117"/>
      <c r="O17" s="1117"/>
      <c r="P17" s="1117"/>
      <c r="Q17" s="1117"/>
      <c r="R17" s="1117"/>
      <c r="S17" s="3051"/>
      <c r="T17" s="1117"/>
      <c r="U17" s="1117"/>
      <c r="V17" s="1117"/>
      <c r="W17" s="1117"/>
    </row>
    <row r="18" s="3049" customFormat="1" spans="2:23">
      <c r="B18" s="313"/>
      <c r="C18" s="186"/>
      <c r="D18" s="186"/>
      <c r="E18" s="186"/>
      <c r="F18" s="186"/>
      <c r="G18" s="186"/>
      <c r="H18" s="186"/>
      <c r="I18" s="1117"/>
      <c r="J18" s="1117"/>
      <c r="K18" s="1117"/>
      <c r="L18" s="3052"/>
      <c r="M18" s="1117"/>
      <c r="N18" s="1117"/>
      <c r="O18" s="1117"/>
      <c r="P18" s="1117"/>
      <c r="Q18" s="1117"/>
      <c r="R18" s="1117"/>
      <c r="S18" s="3051"/>
      <c r="T18" s="1117"/>
      <c r="U18" s="1117"/>
      <c r="V18" s="1117"/>
      <c r="W18" s="1117"/>
    </row>
    <row r="19" s="3049" customFormat="1" spans="2:23">
      <c r="B19"/>
      <c r="C19"/>
      <c r="D19"/>
      <c r="E19"/>
      <c r="F19" s="1"/>
      <c r="G19" s="186"/>
      <c r="H19" s="186"/>
      <c r="I19" s="1117"/>
      <c r="J19" s="1117"/>
      <c r="K19" s="1117"/>
      <c r="L19" s="3052"/>
      <c r="M19" s="1117"/>
      <c r="N19" s="1117"/>
      <c r="O19" s="1117"/>
      <c r="P19" s="1117"/>
      <c r="Q19" s="1117"/>
      <c r="R19" s="1117"/>
      <c r="S19" s="3051"/>
      <c r="T19" s="1117"/>
      <c r="U19" s="1117"/>
      <c r="V19" s="1117"/>
      <c r="W19" s="1117"/>
    </row>
    <row r="20" s="3049" customFormat="1" spans="2:23">
      <c r="B20" s="1076" t="s">
        <v>11476</v>
      </c>
      <c r="C20" s="1077" t="s">
        <v>11420</v>
      </c>
      <c r="D20" s="1077" t="s">
        <v>1003</v>
      </c>
      <c r="E20" s="1077" t="s">
        <v>11421</v>
      </c>
      <c r="F20" s="1077"/>
      <c r="G20" s="1078" t="s">
        <v>11422</v>
      </c>
      <c r="H20" s="248"/>
      <c r="I20" s="1117"/>
      <c r="J20" s="1117"/>
      <c r="K20" s="1117"/>
      <c r="L20" s="3052"/>
      <c r="M20" s="1117"/>
      <c r="N20" s="1117"/>
      <c r="O20" s="1117"/>
      <c r="P20" s="1117"/>
      <c r="Q20" s="1117"/>
      <c r="R20" s="1117"/>
      <c r="S20" s="3051"/>
      <c r="T20" s="1117"/>
      <c r="U20" s="1117"/>
      <c r="V20" s="1117"/>
      <c r="W20" s="1117"/>
    </row>
    <row r="21" s="3049" customFormat="1" ht="11.45" customHeight="1" spans="2:23">
      <c r="B21" s="2132">
        <v>1</v>
      </c>
      <c r="C21" s="1371">
        <v>44917</v>
      </c>
      <c r="D21" s="159" t="s">
        <v>1117</v>
      </c>
      <c r="E21" s="159">
        <v>1500000000</v>
      </c>
      <c r="F21" s="159"/>
      <c r="G21" s="356">
        <f>E21</f>
        <v>1500000000</v>
      </c>
      <c r="H21" s="186"/>
      <c r="I21" s="1117"/>
      <c r="J21" s="1117"/>
      <c r="K21" s="1117"/>
      <c r="L21" s="3052"/>
      <c r="M21" s="1117"/>
      <c r="N21" s="1117"/>
      <c r="O21" s="1117"/>
      <c r="P21" s="1117"/>
      <c r="Q21" s="1117"/>
      <c r="R21" s="1117"/>
      <c r="S21" s="3051"/>
      <c r="T21" s="1117"/>
      <c r="U21" s="1117"/>
      <c r="V21" s="1117"/>
      <c r="W21" s="1117"/>
    </row>
    <row r="22" s="3049" customFormat="1" spans="2:23">
      <c r="B22" s="2132">
        <v>2</v>
      </c>
      <c r="C22" s="1371">
        <v>44917</v>
      </c>
      <c r="D22" s="159" t="s">
        <v>11424</v>
      </c>
      <c r="E22" s="159">
        <v>1500000000</v>
      </c>
      <c r="F22" s="159"/>
      <c r="G22" s="356">
        <f>G21+E22</f>
        <v>3000000000</v>
      </c>
      <c r="H22" s="186"/>
      <c r="I22" s="1117"/>
      <c r="J22" s="1117"/>
      <c r="K22" s="1117"/>
      <c r="L22" s="3052"/>
      <c r="M22" s="1117"/>
      <c r="N22" s="1117"/>
      <c r="O22" s="1117"/>
      <c r="P22" s="1117"/>
      <c r="Q22" s="1117"/>
      <c r="R22" s="1117"/>
      <c r="S22" s="3051"/>
      <c r="T22" s="1117"/>
      <c r="U22" s="1117"/>
      <c r="V22" s="1117"/>
      <c r="W22" s="1117"/>
    </row>
    <row r="23" s="3049" customFormat="1" spans="2:23">
      <c r="B23" s="2132">
        <v>3</v>
      </c>
      <c r="C23" s="1371">
        <v>44918</v>
      </c>
      <c r="D23" s="159" t="s">
        <v>11424</v>
      </c>
      <c r="E23" s="159">
        <v>1500000000</v>
      </c>
      <c r="F23" s="159"/>
      <c r="G23" s="356">
        <f>G22+E23</f>
        <v>4500000000</v>
      </c>
      <c r="H23" s="186"/>
      <c r="I23" s="1117"/>
      <c r="J23" s="1117"/>
      <c r="K23" s="1117"/>
      <c r="L23" s="3052"/>
      <c r="M23" s="1117"/>
      <c r="N23" s="1117"/>
      <c r="O23" s="1117"/>
      <c r="P23" s="1117"/>
      <c r="Q23" s="1117"/>
      <c r="R23" s="1117"/>
      <c r="S23" s="3051"/>
      <c r="T23" s="1117"/>
      <c r="U23" s="1117"/>
      <c r="V23" s="1117"/>
      <c r="W23" s="1117"/>
    </row>
    <row r="24" s="3049" customFormat="1" spans="2:23">
      <c r="B24" s="2132">
        <v>4</v>
      </c>
      <c r="C24" s="1371">
        <v>44918</v>
      </c>
      <c r="D24" s="159" t="s">
        <v>1117</v>
      </c>
      <c r="E24" s="159">
        <v>1500000000</v>
      </c>
      <c r="F24" s="159"/>
      <c r="G24" s="356">
        <f>G23+E24</f>
        <v>6000000000</v>
      </c>
      <c r="H24" s="186"/>
      <c r="I24" s="1117"/>
      <c r="J24" s="1117"/>
      <c r="K24" s="1117"/>
      <c r="L24" s="3052"/>
      <c r="M24" s="1117"/>
      <c r="N24" s="1117"/>
      <c r="O24" s="1117"/>
      <c r="P24" s="1117"/>
      <c r="Q24" s="1117"/>
      <c r="R24" s="1117"/>
      <c r="S24" s="3051"/>
      <c r="T24" s="1117"/>
      <c r="U24" s="1117"/>
      <c r="V24" s="1117"/>
      <c r="W24" s="1117"/>
    </row>
    <row r="25" s="3049" customFormat="1" spans="2:23">
      <c r="B25" s="2132">
        <v>5</v>
      </c>
      <c r="C25" s="1371">
        <v>44921</v>
      </c>
      <c r="D25" s="159" t="s">
        <v>1117</v>
      </c>
      <c r="E25" s="159">
        <v>1200000000</v>
      </c>
      <c r="F25" s="159"/>
      <c r="G25" s="356">
        <f>G24+E25</f>
        <v>7200000000</v>
      </c>
      <c r="H25" s="186"/>
      <c r="I25" s="1117"/>
      <c r="J25" s="1117"/>
      <c r="K25" s="1117"/>
      <c r="L25" s="3052"/>
      <c r="M25" s="1117"/>
      <c r="N25" s="1117"/>
      <c r="O25" s="1117"/>
      <c r="P25" s="1117"/>
      <c r="Q25" s="1117"/>
      <c r="R25" s="1117"/>
      <c r="S25" s="3051"/>
      <c r="T25" s="1117"/>
      <c r="U25" s="1117"/>
      <c r="V25" s="1117"/>
      <c r="W25" s="1117"/>
    </row>
    <row r="26" s="3049" customFormat="1" spans="2:23">
      <c r="B26" s="3208">
        <v>6</v>
      </c>
      <c r="C26" s="1371">
        <v>44921</v>
      </c>
      <c r="D26" s="159" t="s">
        <v>11424</v>
      </c>
      <c r="E26" s="159">
        <v>800000000</v>
      </c>
      <c r="F26" s="159"/>
      <c r="G26" s="3209">
        <f>G25+E26</f>
        <v>8000000000</v>
      </c>
      <c r="H26" s="186"/>
      <c r="I26" s="1117"/>
      <c r="J26" s="1117"/>
      <c r="K26" s="1117"/>
      <c r="L26" s="3052"/>
      <c r="M26" s="1117"/>
      <c r="N26" s="1117"/>
      <c r="O26" s="1117"/>
      <c r="P26" s="1117"/>
      <c r="Q26" s="1117"/>
      <c r="R26" s="1117"/>
      <c r="S26" s="3051"/>
      <c r="T26" s="1117"/>
      <c r="U26" s="1117"/>
      <c r="V26" s="1117"/>
      <c r="W26" s="1117"/>
    </row>
    <row r="27" s="3049" customFormat="1" spans="2:23">
      <c r="B27" s="2132">
        <v>7</v>
      </c>
      <c r="C27" s="1371">
        <v>44930</v>
      </c>
      <c r="D27" s="159" t="s">
        <v>11424</v>
      </c>
      <c r="E27" s="159">
        <v>200000000</v>
      </c>
      <c r="F27" s="159"/>
      <c r="G27" s="356">
        <f t="shared" ref="G27:G34" si="0">G26+E27</f>
        <v>8200000000</v>
      </c>
      <c r="H27" s="186"/>
      <c r="I27" s="1117"/>
      <c r="J27" s="1117"/>
      <c r="K27" s="1117"/>
      <c r="L27" s="3052"/>
      <c r="M27" s="1117"/>
      <c r="N27" s="1117"/>
      <c r="O27" s="1117"/>
      <c r="P27" s="1117"/>
      <c r="Q27" s="1117"/>
      <c r="R27" s="1117"/>
      <c r="S27" s="3051"/>
      <c r="T27" s="1117"/>
      <c r="U27" s="1117"/>
      <c r="V27" s="1117"/>
      <c r="W27" s="1117"/>
    </row>
    <row r="28" s="3049" customFormat="1" spans="2:23">
      <c r="B28" s="2132">
        <v>8</v>
      </c>
      <c r="C28" s="1371">
        <v>44938</v>
      </c>
      <c r="D28" s="159" t="s">
        <v>1117</v>
      </c>
      <c r="E28" s="159">
        <v>1500000000</v>
      </c>
      <c r="F28" s="159"/>
      <c r="G28" s="356">
        <f t="shared" si="0"/>
        <v>9700000000</v>
      </c>
      <c r="H28" s="186"/>
      <c r="I28" s="1117"/>
      <c r="J28" s="1117"/>
      <c r="K28" s="1117"/>
      <c r="L28" s="3052"/>
      <c r="M28" s="1117"/>
      <c r="N28" s="1117"/>
      <c r="O28" s="1117"/>
      <c r="P28" s="1117"/>
      <c r="Q28" s="1117"/>
      <c r="R28" s="1117"/>
      <c r="S28" s="3051"/>
      <c r="T28" s="1117"/>
      <c r="U28" s="1117"/>
      <c r="V28" s="1117"/>
      <c r="W28" s="1117"/>
    </row>
    <row r="29" s="3049" customFormat="1" spans="2:23">
      <c r="B29" s="2132">
        <v>9</v>
      </c>
      <c r="C29" s="1371">
        <v>44938</v>
      </c>
      <c r="D29" s="159" t="s">
        <v>11424</v>
      </c>
      <c r="E29" s="159">
        <v>3500000000</v>
      </c>
      <c r="F29" s="159"/>
      <c r="G29" s="356">
        <f t="shared" si="0"/>
        <v>13200000000</v>
      </c>
      <c r="H29" s="186"/>
      <c r="I29" s="1117"/>
      <c r="J29" s="1117"/>
      <c r="K29" s="1117"/>
      <c r="L29" s="3052"/>
      <c r="M29" s="1117"/>
      <c r="N29" s="1117"/>
      <c r="O29" s="1117"/>
      <c r="P29" s="1117"/>
      <c r="Q29" s="1117"/>
      <c r="R29" s="1117"/>
      <c r="S29" s="3051"/>
      <c r="T29" s="1117"/>
      <c r="U29" s="1117"/>
      <c r="V29" s="1117"/>
      <c r="W29" s="1117"/>
    </row>
    <row r="30" s="3049" customFormat="1" spans="2:23">
      <c r="B30" s="2132">
        <f>+B29+1</f>
        <v>10</v>
      </c>
      <c r="C30" s="1371">
        <v>44938</v>
      </c>
      <c r="D30" s="159" t="s">
        <v>11424</v>
      </c>
      <c r="E30" s="159">
        <v>3000000000</v>
      </c>
      <c r="F30" s="159"/>
      <c r="G30" s="356">
        <f t="shared" si="0"/>
        <v>16200000000</v>
      </c>
      <c r="H30" s="186"/>
      <c r="I30" s="1117"/>
      <c r="J30" s="1117"/>
      <c r="K30" s="1117"/>
      <c r="L30" s="3052"/>
      <c r="M30" s="1117"/>
      <c r="N30" s="1117"/>
      <c r="O30" s="1117"/>
      <c r="P30" s="1117"/>
      <c r="Q30" s="1117"/>
      <c r="R30" s="1117"/>
      <c r="S30" s="3051"/>
      <c r="T30" s="1117"/>
      <c r="U30" s="1117"/>
      <c r="V30" s="1117"/>
      <c r="W30" s="1117"/>
    </row>
    <row r="31" s="3049" customFormat="1" spans="2:23">
      <c r="B31" s="2132">
        <f>+B30+1</f>
        <v>11</v>
      </c>
      <c r="C31" s="1371">
        <v>44939</v>
      </c>
      <c r="D31" s="159" t="s">
        <v>1117</v>
      </c>
      <c r="E31" s="159">
        <v>2488312389</v>
      </c>
      <c r="F31" s="159"/>
      <c r="G31" s="356">
        <f t="shared" si="0"/>
        <v>18688312389</v>
      </c>
      <c r="H31" s="186"/>
      <c r="I31" s="1117"/>
      <c r="J31" s="1117"/>
      <c r="K31" s="1117"/>
      <c r="L31" s="3052"/>
      <c r="M31" s="1117"/>
      <c r="N31" s="1117"/>
      <c r="O31" s="1117"/>
      <c r="P31" s="1117"/>
      <c r="Q31" s="1117"/>
      <c r="R31" s="1117"/>
      <c r="S31" s="3051"/>
      <c r="T31" s="1117"/>
      <c r="U31" s="1117"/>
      <c r="V31" s="1117"/>
      <c r="W31" s="1117"/>
    </row>
    <row r="32" s="3049" customFormat="1" spans="2:23">
      <c r="B32" s="2132">
        <f>+B31+1</f>
        <v>12</v>
      </c>
      <c r="C32" s="1371">
        <v>44939</v>
      </c>
      <c r="D32" s="159" t="s">
        <v>11424</v>
      </c>
      <c r="E32" s="159">
        <v>1500000000</v>
      </c>
      <c r="F32" s="159"/>
      <c r="G32" s="356">
        <f t="shared" si="0"/>
        <v>20188312389</v>
      </c>
      <c r="H32" s="186"/>
      <c r="I32" s="1117"/>
      <c r="J32" s="1117"/>
      <c r="K32" s="1117"/>
      <c r="L32" s="3052"/>
      <c r="M32" s="1117"/>
      <c r="N32" s="1117"/>
      <c r="O32" s="1117"/>
      <c r="P32" s="1117"/>
      <c r="Q32" s="1117"/>
      <c r="R32" s="1117"/>
      <c r="S32" s="3051"/>
      <c r="T32" s="1117"/>
      <c r="U32" s="1117"/>
      <c r="V32" s="1117"/>
      <c r="W32" s="1117"/>
    </row>
    <row r="33" s="3050" customFormat="1" spans="2:23">
      <c r="B33" s="2132">
        <f>+B32+1</f>
        <v>13</v>
      </c>
      <c r="C33" s="1371">
        <v>44965</v>
      </c>
      <c r="D33" s="159" t="s">
        <v>1117</v>
      </c>
      <c r="E33" s="159">
        <v>3000000000</v>
      </c>
      <c r="F33" s="159"/>
      <c r="G33" s="356">
        <f t="shared" si="0"/>
        <v>23188312389</v>
      </c>
      <c r="H33" s="186"/>
      <c r="I33" s="1117"/>
      <c r="J33" s="1117"/>
      <c r="K33" s="1117"/>
      <c r="L33" s="3052"/>
      <c r="M33" s="1117"/>
      <c r="N33" s="1117"/>
      <c r="O33" s="1117"/>
      <c r="P33" s="1117"/>
      <c r="Q33" s="1117"/>
      <c r="R33" s="1117"/>
      <c r="S33" s="3051"/>
      <c r="T33" s="1117"/>
      <c r="U33" s="1117"/>
      <c r="V33" s="1117"/>
      <c r="W33" s="1117"/>
    </row>
    <row r="34" s="3050" customFormat="1" spans="2:23">
      <c r="B34" s="2132">
        <f>+B33+1</f>
        <v>14</v>
      </c>
      <c r="C34" s="1371">
        <v>45033</v>
      </c>
      <c r="D34" s="159" t="s">
        <v>11427</v>
      </c>
      <c r="E34" s="159">
        <f>1998006287+30000</f>
        <v>1998036287</v>
      </c>
      <c r="F34" s="134"/>
      <c r="G34" s="356">
        <f t="shared" si="0"/>
        <v>25186348676</v>
      </c>
      <c r="H34" s="186"/>
      <c r="I34" s="1117"/>
      <c r="J34" s="1117"/>
      <c r="K34" s="1117"/>
      <c r="L34" s="3052"/>
      <c r="M34" s="1117"/>
      <c r="N34" s="1117"/>
      <c r="O34" s="1117"/>
      <c r="P34" s="1117"/>
      <c r="Q34" s="1117"/>
      <c r="R34" s="1117"/>
      <c r="S34" s="3051"/>
      <c r="T34" s="1117"/>
      <c r="U34" s="1117"/>
      <c r="V34" s="1117"/>
      <c r="W34" s="1117"/>
    </row>
    <row r="35" s="3050" customFormat="1" spans="2:23">
      <c r="B35" s="3210"/>
      <c r="C35" s="146"/>
      <c r="D35" s="146"/>
      <c r="E35" s="146"/>
      <c r="F35" s="146"/>
      <c r="G35" s="201"/>
      <c r="H35" s="186"/>
      <c r="I35" s="1117"/>
      <c r="J35" s="1117"/>
      <c r="K35" s="1117"/>
      <c r="L35" s="3052"/>
      <c r="M35" s="1117"/>
      <c r="N35" s="1117"/>
      <c r="O35" s="1117"/>
      <c r="P35" s="1117"/>
      <c r="Q35" s="1117"/>
      <c r="R35" s="1117"/>
      <c r="S35" s="3051"/>
      <c r="T35" s="1117"/>
      <c r="U35" s="1117"/>
      <c r="V35" s="1117"/>
      <c r="W35" s="1117"/>
    </row>
    <row r="36" s="3051" customFormat="1" spans="2:23">
      <c r="B36" s="5033" t="s">
        <v>11428</v>
      </c>
      <c r="C36" s="134"/>
      <c r="D36" s="134"/>
      <c r="E36" s="134"/>
      <c r="F36" s="134"/>
      <c r="G36" s="134">
        <f>+G17</f>
        <v>24500000000</v>
      </c>
      <c r="H36" s="186"/>
      <c r="I36" s="1117"/>
      <c r="J36" s="1117"/>
      <c r="K36" s="1117"/>
      <c r="L36" s="3052"/>
      <c r="M36" s="1117"/>
      <c r="N36" s="1117"/>
      <c r="O36" s="1117"/>
      <c r="P36" s="1117"/>
      <c r="Q36" s="1117"/>
      <c r="R36" s="1117"/>
      <c r="T36" s="1117"/>
      <c r="U36" s="1117"/>
      <c r="V36" s="1117"/>
      <c r="W36" s="1117"/>
    </row>
    <row r="37" s="3051" customFormat="1" spans="2:23">
      <c r="B37" s="5033" t="s">
        <v>11429</v>
      </c>
      <c r="C37" s="134"/>
      <c r="D37" s="134"/>
      <c r="E37" s="134"/>
      <c r="F37" s="134"/>
      <c r="G37" s="3211">
        <f>+G34-G36</f>
        <v>686348676</v>
      </c>
      <c r="H37" s="186"/>
      <c r="I37" s="1117"/>
      <c r="J37" s="1117"/>
      <c r="K37" s="1117"/>
      <c r="L37" s="3052"/>
      <c r="M37" s="1117"/>
      <c r="N37" s="1117"/>
      <c r="O37" s="1117"/>
      <c r="P37" s="1117"/>
      <c r="Q37" s="1117"/>
      <c r="R37" s="1117"/>
      <c r="T37" s="1117"/>
      <c r="U37" s="1117"/>
      <c r="V37" s="1117"/>
      <c r="W37" s="1117"/>
    </row>
    <row r="38" s="3051" customFormat="1" spans="2:23">
      <c r="B38" s="298"/>
      <c r="C38" s="134"/>
      <c r="D38" s="134"/>
      <c r="E38" s="134"/>
      <c r="F38" s="134"/>
      <c r="G38" s="134"/>
      <c r="H38" s="186"/>
      <c r="I38" s="1117"/>
      <c r="J38" s="1117"/>
      <c r="K38" s="1117"/>
      <c r="L38" s="3052"/>
      <c r="M38" s="1117"/>
      <c r="N38" s="1117"/>
      <c r="O38" s="1117"/>
      <c r="P38" s="1117"/>
      <c r="Q38" s="1117"/>
      <c r="R38" s="1117"/>
      <c r="T38" s="1117"/>
      <c r="U38" s="1117"/>
      <c r="V38" s="1117"/>
      <c r="W38" s="1117"/>
    </row>
    <row r="39" s="3051" customFormat="1" spans="6:23">
      <c r="F39" s="3079"/>
      <c r="G39" s="3079"/>
      <c r="H39" s="3079"/>
      <c r="I39" s="1117"/>
      <c r="J39" s="1117"/>
      <c r="K39" s="1117"/>
      <c r="L39" s="3052"/>
      <c r="M39" s="1117"/>
      <c r="N39" s="1117"/>
      <c r="O39" s="1117"/>
      <c r="P39" s="1117"/>
      <c r="Q39" s="1117"/>
      <c r="R39" s="1117"/>
      <c r="T39" s="1117"/>
      <c r="U39" s="1117"/>
      <c r="V39" s="1117"/>
      <c r="W39" s="1117"/>
    </row>
    <row r="40" s="3051" customFormat="1" spans="2:23">
      <c r="B40" s="2962" t="s">
        <v>974</v>
      </c>
      <c r="C40" s="3078" t="s">
        <v>11477</v>
      </c>
      <c r="D40" s="3079"/>
      <c r="E40" s="3079"/>
      <c r="F40" s="3079"/>
      <c r="G40" s="3079"/>
      <c r="H40" s="3079"/>
      <c r="I40" s="3079"/>
      <c r="J40" s="3213"/>
      <c r="K40" s="3213"/>
      <c r="L40" s="3115"/>
      <c r="M40" s="3079"/>
      <c r="N40" s="3079"/>
      <c r="O40" s="3079"/>
      <c r="P40" s="3079"/>
      <c r="Q40" s="3079"/>
      <c r="R40" s="3079"/>
      <c r="S40" s="3079"/>
      <c r="T40" s="1117"/>
      <c r="U40" s="1117"/>
      <c r="V40" s="1117"/>
      <c r="W40" s="1117"/>
    </row>
    <row r="41" s="3051" customFormat="1" spans="2:23">
      <c r="B41" s="3079"/>
      <c r="D41" s="3079"/>
      <c r="E41" s="3079"/>
      <c r="F41" s="3079"/>
      <c r="G41" s="3079"/>
      <c r="H41" s="3079"/>
      <c r="I41" s="3079"/>
      <c r="J41" s="3213"/>
      <c r="K41" s="3213"/>
      <c r="L41" s="3115"/>
      <c r="M41" s="3079"/>
      <c r="N41" s="3079"/>
      <c r="O41" s="3079"/>
      <c r="P41" s="3079"/>
      <c r="Q41" s="3079"/>
      <c r="R41" s="3079"/>
      <c r="S41" s="3079"/>
      <c r="T41" s="1117"/>
      <c r="U41" s="1117"/>
      <c r="V41" s="1117"/>
      <c r="W41" s="1117"/>
    </row>
    <row r="42" s="3051" customFormat="1" spans="2:23">
      <c r="B42" s="3079"/>
      <c r="C42" s="3079"/>
      <c r="D42" s="3079"/>
      <c r="E42" s="3079"/>
      <c r="F42" s="3079"/>
      <c r="G42" s="3079"/>
      <c r="H42" s="3079"/>
      <c r="I42" s="3079"/>
      <c r="J42" s="3213"/>
      <c r="K42" s="3213"/>
      <c r="L42" s="3115"/>
      <c r="M42" s="3079"/>
      <c r="N42" s="3079"/>
      <c r="O42" s="3079"/>
      <c r="P42" s="3079"/>
      <c r="Q42" s="3079"/>
      <c r="R42" s="3079"/>
      <c r="S42" s="3079"/>
      <c r="T42" s="1117"/>
      <c r="U42" s="1117"/>
      <c r="V42" s="1117"/>
      <c r="W42" s="1117"/>
    </row>
    <row r="43" s="3051" customFormat="1" spans="2:23">
      <c r="B43" s="3212" t="s">
        <v>11478</v>
      </c>
      <c r="C43" s="3079"/>
      <c r="D43" s="3079"/>
      <c r="E43" s="3079"/>
      <c r="F43" s="3079"/>
      <c r="G43" s="3079"/>
      <c r="H43" s="3079"/>
      <c r="I43" s="3079"/>
      <c r="J43" s="3213"/>
      <c r="K43" s="3213"/>
      <c r="L43" s="3115"/>
      <c r="M43" s="3079"/>
      <c r="N43" s="3079"/>
      <c r="O43" s="3079"/>
      <c r="P43" s="3079"/>
      <c r="Q43" s="3079"/>
      <c r="R43" s="3079"/>
      <c r="S43" s="3079"/>
      <c r="T43" s="1117"/>
      <c r="U43" s="1117"/>
      <c r="V43" s="1117"/>
      <c r="W43" s="1117"/>
    </row>
    <row r="44" s="3051" customFormat="1" spans="2:23">
      <c r="B44" s="3079"/>
      <c r="C44" s="3079"/>
      <c r="D44" s="3079"/>
      <c r="E44" s="3079"/>
      <c r="F44" s="3079"/>
      <c r="G44" s="3079"/>
      <c r="H44" s="3079"/>
      <c r="I44" s="3079"/>
      <c r="J44" s="3213"/>
      <c r="K44" s="3213"/>
      <c r="L44" s="3115"/>
      <c r="M44" s="3079"/>
      <c r="N44" s="3079"/>
      <c r="O44" s="3079"/>
      <c r="P44" s="3079"/>
      <c r="Q44" s="3079"/>
      <c r="R44" s="3079"/>
      <c r="S44" s="3079"/>
      <c r="T44" s="1117"/>
      <c r="U44" s="1117"/>
      <c r="V44" s="1117"/>
      <c r="W44" s="1117"/>
    </row>
    <row r="45" spans="3:19">
      <c r="C45" s="3079"/>
      <c r="D45" s="3079"/>
      <c r="E45" s="3079"/>
      <c r="F45" s="3079"/>
      <c r="G45" s="3079"/>
      <c r="H45" s="3079"/>
      <c r="I45" s="3079"/>
      <c r="J45" s="3079"/>
      <c r="K45" s="3079"/>
      <c r="L45" s="3115"/>
      <c r="M45" s="3079"/>
      <c r="N45" s="3079"/>
      <c r="O45" s="3079"/>
      <c r="P45" s="3079"/>
      <c r="Q45" s="3079"/>
      <c r="R45" s="3079"/>
      <c r="S45" s="3079"/>
    </row>
    <row r="46" spans="2:19">
      <c r="B46" s="3079"/>
      <c r="C46" s="3079"/>
      <c r="D46" s="3079"/>
      <c r="E46" s="3079"/>
      <c r="F46" s="3079"/>
      <c r="G46" s="3079"/>
      <c r="H46" s="3079"/>
      <c r="I46" s="3079"/>
      <c r="J46" s="3079"/>
      <c r="K46" s="3079"/>
      <c r="L46" s="3115"/>
      <c r="M46" s="3079"/>
      <c r="N46" s="3079"/>
      <c r="O46" s="3079"/>
      <c r="P46" s="3079"/>
      <c r="Q46" s="3079"/>
      <c r="R46" s="3079"/>
      <c r="S46" s="3079"/>
    </row>
    <row r="85" spans="3:6">
      <c r="C85" s="186" t="s">
        <v>11430</v>
      </c>
      <c r="D85" s="186"/>
      <c r="E85" s="186"/>
      <c r="F85" s="186"/>
    </row>
    <row r="86" spans="3:6">
      <c r="C86" s="186" t="s">
        <v>11431</v>
      </c>
      <c r="D86" s="186"/>
      <c r="E86" s="186"/>
      <c r="F86" s="186"/>
    </row>
    <row r="87" spans="3:6">
      <c r="C87" s="186" t="s">
        <v>11432</v>
      </c>
      <c r="D87" s="186"/>
      <c r="E87" s="186"/>
      <c r="F87" s="186"/>
    </row>
    <row r="88" spans="3:6">
      <c r="C88" s="186"/>
      <c r="D88" s="186"/>
      <c r="E88" s="186"/>
      <c r="F88" s="186"/>
    </row>
    <row r="89" spans="3:6">
      <c r="C89" s="2928" t="s">
        <v>11433</v>
      </c>
      <c r="D89" s="2928"/>
      <c r="E89" s="2928"/>
      <c r="F89" s="2928">
        <f>+H71</f>
        <v>0</v>
      </c>
    </row>
    <row r="90" spans="3:6">
      <c r="C90" s="2928" t="s">
        <v>11434</v>
      </c>
      <c r="D90" s="2928"/>
      <c r="E90" s="2928"/>
      <c r="F90" s="2928"/>
    </row>
    <row r="91" spans="3:6">
      <c r="C91" s="186"/>
      <c r="D91" s="186"/>
      <c r="E91" s="186"/>
      <c r="F91" s="186"/>
    </row>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sheetData>
  <mergeCells count="1">
    <mergeCell ref="E16:E17"/>
  </mergeCells>
  <pageMargins left="0.31496062992126" right="0.31496062992126" top="0.354330708661417" bottom="0.354330708661417" header="0.31496062992126" footer="0.31496062992126"/>
  <pageSetup paperSize="9" scale="85" orientation="landscape"/>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V262"/>
  <sheetViews>
    <sheetView showGridLines="0" zoomScale="130" zoomScaleNormal="130" workbookViewId="0">
      <pane xSplit="3" ySplit="10" topLeftCell="D35" activePane="bottomRight" state="frozen"/>
      <selection/>
      <selection pane="topRight"/>
      <selection pane="bottomLeft"/>
      <selection pane="bottomRight" activeCell="D43" sqref="D43"/>
    </sheetView>
  </sheetViews>
  <sheetFormatPr defaultColWidth="10.0416666666667" defaultRowHeight="13.2"/>
  <cols>
    <col min="1" max="1" width="2.39583333333333" style="1118" customWidth="1"/>
    <col min="2" max="2" width="10.9375" style="1118" customWidth="1"/>
    <col min="3" max="3" width="15.28125" style="1118" customWidth="1"/>
    <col min="4" max="4" width="20.375" style="1118" customWidth="1"/>
    <col min="5" max="5" width="24.875" style="1118" customWidth="1"/>
    <col min="6" max="6" width="9.13541666666667" style="1118" customWidth="1"/>
    <col min="7" max="7" width="16.625" style="1118" customWidth="1"/>
    <col min="8" max="8" width="5.84375" style="1118" customWidth="1"/>
    <col min="9" max="9" width="11.53125" style="1118" customWidth="1"/>
    <col min="10" max="10" width="13.3333333333333" style="1118" customWidth="1"/>
    <col min="11" max="11" width="7.34375" style="1118" customWidth="1"/>
    <col min="12" max="12" width="14.8333333333333" style="1187" customWidth="1"/>
    <col min="13" max="14" width="16.3333333333333" style="1118" customWidth="1"/>
    <col min="15" max="15" width="12.1354166666667" style="1118" customWidth="1"/>
    <col min="16" max="16" width="16.9270833333333" style="1118" customWidth="1"/>
    <col min="17" max="17" width="1.64583333333333" style="1118" customWidth="1"/>
    <col min="18" max="18" width="15.4270833333333" style="2936" customWidth="1"/>
    <col min="19" max="19" width="14.8333333333333" style="1118" customWidth="1"/>
    <col min="20" max="16384" width="10.0416666666667" style="1118"/>
  </cols>
  <sheetData>
    <row r="2" spans="2:3">
      <c r="B2" s="209" t="s">
        <v>1227</v>
      </c>
      <c r="C2" s="228" t="str">
        <f>D!C4</f>
        <v>PT INTAN GIRI ABADI</v>
      </c>
    </row>
    <row r="3" spans="2:3">
      <c r="B3" s="209" t="s">
        <v>623</v>
      </c>
      <c r="C3" s="209" t="s">
        <v>11467</v>
      </c>
    </row>
    <row r="4" spans="2:3">
      <c r="B4" s="1806" t="s">
        <v>11479</v>
      </c>
      <c r="C4" s="2937">
        <f>D!S7</f>
        <v>44926</v>
      </c>
    </row>
    <row r="5" spans="2:3">
      <c r="B5" s="1806" t="s">
        <v>999</v>
      </c>
      <c r="C5" s="2937" t="s">
        <v>11372</v>
      </c>
    </row>
    <row r="6" spans="2:3">
      <c r="B6" s="1118" t="s">
        <v>11480</v>
      </c>
      <c r="C6" s="2938" t="s">
        <v>11481</v>
      </c>
    </row>
    <row r="7" spans="2:9">
      <c r="B7" s="5117" t="s">
        <v>11472</v>
      </c>
      <c r="C7" s="2939" t="s">
        <v>11482</v>
      </c>
      <c r="D7" s="2939"/>
      <c r="E7" s="2939"/>
      <c r="F7" s="2939"/>
      <c r="G7" s="2939"/>
      <c r="H7" s="2939"/>
      <c r="I7" s="2961"/>
    </row>
    <row r="8" spans="4:9">
      <c r="D8" s="2939"/>
      <c r="E8" s="2939"/>
      <c r="F8" s="2939"/>
      <c r="G8" s="2939"/>
      <c r="H8" s="2939"/>
      <c r="I8" s="2961"/>
    </row>
    <row r="9" spans="2:9">
      <c r="B9" s="306"/>
      <c r="C9" s="2939"/>
      <c r="D9" s="2939"/>
      <c r="E9" s="2939"/>
      <c r="F9" s="2939"/>
      <c r="G9" s="2939"/>
      <c r="H9" s="2939"/>
      <c r="I9" s="2961"/>
    </row>
    <row r="10" spans="2:12">
      <c r="B10" s="2940" t="s">
        <v>1021</v>
      </c>
      <c r="C10" s="2940" t="s">
        <v>11483</v>
      </c>
      <c r="D10" s="2940" t="s">
        <v>11484</v>
      </c>
      <c r="E10" s="2940" t="s">
        <v>11485</v>
      </c>
      <c r="F10" s="2940"/>
      <c r="G10" s="2940" t="s">
        <v>1202</v>
      </c>
      <c r="H10" s="2940"/>
      <c r="I10" s="2940"/>
      <c r="J10" s="2940"/>
      <c r="K10" s="2940"/>
      <c r="L10" s="2973" t="s">
        <v>151</v>
      </c>
    </row>
    <row r="11" spans="2:13">
      <c r="B11" s="2941">
        <v>1</v>
      </c>
      <c r="C11" s="2942">
        <v>42852</v>
      </c>
      <c r="D11" s="2943" t="s">
        <v>11486</v>
      </c>
      <c r="E11" s="2944" t="s">
        <v>11487</v>
      </c>
      <c r="F11" s="2945"/>
      <c r="G11" s="2946" t="s">
        <v>11488</v>
      </c>
      <c r="H11" s="2945"/>
      <c r="I11" s="2974"/>
      <c r="J11" s="2975"/>
      <c r="K11" s="2945"/>
      <c r="L11" s="2976">
        <v>500000000</v>
      </c>
      <c r="M11" s="2977" t="s">
        <v>11489</v>
      </c>
    </row>
    <row r="12" spans="2:13">
      <c r="B12" s="2941">
        <f>+B11+1</f>
        <v>2</v>
      </c>
      <c r="C12" s="2942">
        <v>42874</v>
      </c>
      <c r="D12" s="2943" t="s">
        <v>11490</v>
      </c>
      <c r="E12" s="2944" t="s">
        <v>11487</v>
      </c>
      <c r="F12" s="2947"/>
      <c r="G12" s="2946" t="s">
        <v>11488</v>
      </c>
      <c r="H12" s="2945"/>
      <c r="I12" s="2974"/>
      <c r="J12" s="2975"/>
      <c r="K12" s="2945"/>
      <c r="L12" s="2981">
        <v>100000000</v>
      </c>
      <c r="M12" s="2977" t="s">
        <v>11491</v>
      </c>
    </row>
    <row r="13" spans="2:13">
      <c r="B13" s="2941">
        <f t="shared" ref="B13:B39" si="0">+B12+1</f>
        <v>3</v>
      </c>
      <c r="C13" s="2942">
        <v>42877</v>
      </c>
      <c r="D13" s="2943" t="s">
        <v>11492</v>
      </c>
      <c r="E13" s="2944" t="s">
        <v>11487</v>
      </c>
      <c r="F13" s="2947"/>
      <c r="G13" s="2946" t="s">
        <v>11488</v>
      </c>
      <c r="H13" s="2945"/>
      <c r="I13" s="2974"/>
      <c r="J13" s="2975"/>
      <c r="K13" s="2945"/>
      <c r="L13" s="2976">
        <v>1000000000</v>
      </c>
      <c r="M13" s="2977" t="s">
        <v>11493</v>
      </c>
    </row>
    <row r="14" spans="2:13">
      <c r="B14" s="2941">
        <f t="shared" si="0"/>
        <v>4</v>
      </c>
      <c r="C14" s="2942">
        <v>42888</v>
      </c>
      <c r="D14" s="2943" t="s">
        <v>11494</v>
      </c>
      <c r="E14" s="2944" t="s">
        <v>11487</v>
      </c>
      <c r="F14" s="2947"/>
      <c r="G14" s="2946" t="s">
        <v>11488</v>
      </c>
      <c r="H14" s="2945"/>
      <c r="I14" s="2974"/>
      <c r="J14" s="2975"/>
      <c r="K14" s="2945"/>
      <c r="L14" s="2981">
        <v>626000000</v>
      </c>
      <c r="M14" s="2977" t="s">
        <v>11491</v>
      </c>
    </row>
    <row r="15" spans="2:13">
      <c r="B15" s="2941">
        <f t="shared" si="0"/>
        <v>5</v>
      </c>
      <c r="C15" s="2942">
        <v>42906</v>
      </c>
      <c r="D15" s="2943" t="s">
        <v>11495</v>
      </c>
      <c r="E15" s="2944" t="s">
        <v>11487</v>
      </c>
      <c r="F15" s="2947"/>
      <c r="G15" s="2946" t="s">
        <v>11488</v>
      </c>
      <c r="H15" s="2945"/>
      <c r="I15" s="2974"/>
      <c r="J15" s="2975"/>
      <c r="K15" s="2945"/>
      <c r="L15" s="2981">
        <v>500000000</v>
      </c>
      <c r="M15" s="2977" t="s">
        <v>11491</v>
      </c>
    </row>
    <row r="16" spans="2:13">
      <c r="B16" s="2941">
        <f t="shared" si="0"/>
        <v>6</v>
      </c>
      <c r="C16" s="2942">
        <v>42932</v>
      </c>
      <c r="D16" s="2943" t="s">
        <v>11496</v>
      </c>
      <c r="E16" s="2944" t="s">
        <v>11487</v>
      </c>
      <c r="F16" s="2947"/>
      <c r="G16" s="3186" t="s">
        <v>11497</v>
      </c>
      <c r="H16" s="2945"/>
      <c r="I16" s="2978"/>
      <c r="J16" s="2948"/>
      <c r="K16" s="2945"/>
      <c r="L16" s="2981">
        <v>35000000</v>
      </c>
      <c r="M16" s="2977" t="s">
        <v>11498</v>
      </c>
    </row>
    <row r="17" ht="11.45" customHeight="1" spans="2:13">
      <c r="B17" s="2941">
        <f t="shared" si="0"/>
        <v>7</v>
      </c>
      <c r="C17" s="2942">
        <v>42936</v>
      </c>
      <c r="D17" s="2943" t="s">
        <v>11499</v>
      </c>
      <c r="E17" s="2944" t="s">
        <v>11487</v>
      </c>
      <c r="F17" s="2947"/>
      <c r="G17" s="2946" t="s">
        <v>11488</v>
      </c>
      <c r="H17" s="2945"/>
      <c r="I17" s="2978"/>
      <c r="J17" s="2948"/>
      <c r="K17" s="2945"/>
      <c r="L17" s="2981">
        <v>250000000</v>
      </c>
      <c r="M17" s="2977" t="s">
        <v>11491</v>
      </c>
    </row>
    <row r="18" spans="2:13">
      <c r="B18" s="2941">
        <f t="shared" si="0"/>
        <v>8</v>
      </c>
      <c r="C18" s="2942">
        <v>42956</v>
      </c>
      <c r="D18" s="2943" t="s">
        <v>11500</v>
      </c>
      <c r="E18" s="2944" t="s">
        <v>11487</v>
      </c>
      <c r="F18" s="2947"/>
      <c r="G18" s="2946"/>
      <c r="H18" s="2948"/>
      <c r="I18" s="2979"/>
      <c r="J18" s="2948"/>
      <c r="K18" s="2945"/>
      <c r="L18" s="2981">
        <v>250000000</v>
      </c>
      <c r="M18" s="2977" t="s">
        <v>11493</v>
      </c>
    </row>
    <row r="19" spans="2:13">
      <c r="B19" s="2941">
        <f t="shared" si="0"/>
        <v>9</v>
      </c>
      <c r="C19" s="2942">
        <v>42983</v>
      </c>
      <c r="D19" s="2943" t="s">
        <v>11501</v>
      </c>
      <c r="E19" s="2944" t="s">
        <v>11487</v>
      </c>
      <c r="F19" s="2947"/>
      <c r="G19" s="2946"/>
      <c r="H19" s="2948"/>
      <c r="I19" s="2979"/>
      <c r="J19" s="2948"/>
      <c r="K19" s="2945"/>
      <c r="L19" s="2976">
        <v>1000000000</v>
      </c>
      <c r="M19" s="2977" t="s">
        <v>11491</v>
      </c>
    </row>
    <row r="20" spans="2:13">
      <c r="B20" s="2941">
        <f t="shared" si="0"/>
        <v>10</v>
      </c>
      <c r="C20" s="2942">
        <v>43018</v>
      </c>
      <c r="D20" s="2943" t="s">
        <v>11502</v>
      </c>
      <c r="E20" s="2944" t="s">
        <v>11487</v>
      </c>
      <c r="F20" s="2947"/>
      <c r="G20" s="2946"/>
      <c r="H20" s="2948"/>
      <c r="I20" s="2979"/>
      <c r="J20" s="2948"/>
      <c r="K20" s="2945"/>
      <c r="L20" s="2981">
        <v>250000000</v>
      </c>
      <c r="M20" s="2977" t="s">
        <v>11491</v>
      </c>
    </row>
    <row r="21" spans="2:13">
      <c r="B21" s="2941">
        <f t="shared" si="0"/>
        <v>11</v>
      </c>
      <c r="C21" s="2942">
        <v>43032</v>
      </c>
      <c r="D21" s="2943" t="s">
        <v>11503</v>
      </c>
      <c r="E21" s="2944" t="s">
        <v>11487</v>
      </c>
      <c r="F21" s="2947"/>
      <c r="G21" s="2946"/>
      <c r="H21" s="2948"/>
      <c r="I21" s="2979"/>
      <c r="J21" s="2948"/>
      <c r="K21" s="2945"/>
      <c r="L21" s="2981">
        <v>250000000</v>
      </c>
      <c r="M21" s="2977" t="s">
        <v>11493</v>
      </c>
    </row>
    <row r="22" spans="2:13">
      <c r="B22" s="2941">
        <f t="shared" si="0"/>
        <v>12</v>
      </c>
      <c r="C22" s="2942">
        <v>43054</v>
      </c>
      <c r="D22" s="2943" t="s">
        <v>11504</v>
      </c>
      <c r="E22" s="2944" t="s">
        <v>11487</v>
      </c>
      <c r="F22" s="2947"/>
      <c r="G22" s="2946"/>
      <c r="H22" s="2948"/>
      <c r="I22" s="2979"/>
      <c r="J22" s="2948"/>
      <c r="K22" s="2945"/>
      <c r="L22" s="2981">
        <v>100000000</v>
      </c>
      <c r="M22" s="2977" t="s">
        <v>11493</v>
      </c>
    </row>
    <row r="23" spans="2:13">
      <c r="B23" s="2941">
        <f t="shared" si="0"/>
        <v>13</v>
      </c>
      <c r="C23" s="2942">
        <v>43059</v>
      </c>
      <c r="D23" s="2943" t="s">
        <v>11505</v>
      </c>
      <c r="E23" s="2944" t="s">
        <v>11487</v>
      </c>
      <c r="F23" s="2947"/>
      <c r="G23" s="2946"/>
      <c r="H23" s="2948"/>
      <c r="I23" s="2979"/>
      <c r="J23" s="2948"/>
      <c r="K23" s="2945"/>
      <c r="L23" s="2981">
        <v>100000000</v>
      </c>
      <c r="M23" s="2977" t="s">
        <v>11493</v>
      </c>
    </row>
    <row r="24" spans="2:13">
      <c r="B24" s="2941">
        <f t="shared" si="0"/>
        <v>14</v>
      </c>
      <c r="C24" s="2942">
        <v>43067</v>
      </c>
      <c r="D24" s="2943" t="s">
        <v>11506</v>
      </c>
      <c r="E24" s="2944" t="s">
        <v>11487</v>
      </c>
      <c r="F24" s="2947"/>
      <c r="G24" s="2946"/>
      <c r="H24" s="2948"/>
      <c r="I24" s="2979"/>
      <c r="J24" s="2948"/>
      <c r="K24" s="2945"/>
      <c r="L24" s="2981">
        <v>250000000</v>
      </c>
      <c r="M24" s="2977" t="s">
        <v>11493</v>
      </c>
    </row>
    <row r="25" spans="2:13">
      <c r="B25" s="2941">
        <f t="shared" si="0"/>
        <v>15</v>
      </c>
      <c r="C25" s="2942">
        <v>43091</v>
      </c>
      <c r="D25" s="2943" t="s">
        <v>11507</v>
      </c>
      <c r="E25" s="2944" t="s">
        <v>11487</v>
      </c>
      <c r="F25" s="2947"/>
      <c r="G25" s="2946"/>
      <c r="H25" s="2948"/>
      <c r="I25" s="2979"/>
      <c r="J25" s="2948"/>
      <c r="K25" s="2945"/>
      <c r="L25" s="2981">
        <v>250000000</v>
      </c>
      <c r="M25" s="2977" t="s">
        <v>11491</v>
      </c>
    </row>
    <row r="26" spans="2:13">
      <c r="B26" s="2941">
        <f t="shared" si="0"/>
        <v>16</v>
      </c>
      <c r="C26" s="3187">
        <v>43154</v>
      </c>
      <c r="D26" s="2943" t="s">
        <v>11508</v>
      </c>
      <c r="E26" s="2944" t="s">
        <v>11487</v>
      </c>
      <c r="F26" s="2949"/>
      <c r="G26" s="2946"/>
      <c r="H26" s="2950"/>
      <c r="I26" s="2979"/>
      <c r="J26" s="2948"/>
      <c r="K26" s="2945"/>
      <c r="L26" s="3194">
        <v>200000000</v>
      </c>
      <c r="M26" s="2982" t="s">
        <v>11509</v>
      </c>
    </row>
    <row r="27" spans="2:13">
      <c r="B27" s="2941">
        <f t="shared" si="0"/>
        <v>17</v>
      </c>
      <c r="C27" s="3187">
        <v>43166</v>
      </c>
      <c r="D27" s="2943" t="s">
        <v>11510</v>
      </c>
      <c r="E27" s="2944" t="s">
        <v>11487</v>
      </c>
      <c r="F27" s="2949"/>
      <c r="G27" s="2946" t="s">
        <v>11511</v>
      </c>
      <c r="H27" s="2950"/>
      <c r="I27" s="2979"/>
      <c r="J27" s="2948"/>
      <c r="K27" s="2945"/>
      <c r="L27" s="3194">
        <v>100000000</v>
      </c>
      <c r="M27" s="2982" t="s">
        <v>11493</v>
      </c>
    </row>
    <row r="28" spans="2:13">
      <c r="B28" s="2941">
        <f t="shared" si="0"/>
        <v>18</v>
      </c>
      <c r="C28" s="3187">
        <v>43179</v>
      </c>
      <c r="D28" s="2943" t="s">
        <v>11512</v>
      </c>
      <c r="E28" s="2944" t="s">
        <v>11487</v>
      </c>
      <c r="F28" s="2949"/>
      <c r="G28" s="2946" t="s">
        <v>11511</v>
      </c>
      <c r="H28" s="2950"/>
      <c r="I28" s="2979"/>
      <c r="J28" s="2948"/>
      <c r="K28" s="2945"/>
      <c r="L28" s="3194">
        <v>50000000</v>
      </c>
      <c r="M28" s="2982" t="s">
        <v>11513</v>
      </c>
    </row>
    <row r="29" spans="2:13">
      <c r="B29" s="2941">
        <f t="shared" si="0"/>
        <v>19</v>
      </c>
      <c r="C29" s="3187">
        <v>43217</v>
      </c>
      <c r="D29" s="2943" t="s">
        <v>11514</v>
      </c>
      <c r="E29" s="2944" t="s">
        <v>11487</v>
      </c>
      <c r="F29" s="2949"/>
      <c r="G29" s="2946" t="s">
        <v>11511</v>
      </c>
      <c r="H29" s="2950"/>
      <c r="I29" s="2979"/>
      <c r="J29" s="2948"/>
      <c r="K29" s="2945"/>
      <c r="L29" s="3194">
        <v>250000000</v>
      </c>
      <c r="M29" s="2982" t="s">
        <v>11513</v>
      </c>
    </row>
    <row r="30" spans="2:13">
      <c r="B30" s="2941">
        <f t="shared" si="0"/>
        <v>20</v>
      </c>
      <c r="C30" s="3187">
        <v>43223</v>
      </c>
      <c r="D30" s="2943" t="s">
        <v>11515</v>
      </c>
      <c r="E30" s="2944" t="s">
        <v>11487</v>
      </c>
      <c r="F30" s="2949"/>
      <c r="G30" s="3186" t="s">
        <v>11511</v>
      </c>
      <c r="H30" s="2950"/>
      <c r="I30" s="2979"/>
      <c r="J30" s="2948"/>
      <c r="K30" s="2945"/>
      <c r="L30" s="3194">
        <v>250000000</v>
      </c>
      <c r="M30" s="2982" t="s">
        <v>11516</v>
      </c>
    </row>
    <row r="31" spans="2:13">
      <c r="B31" s="2941">
        <f t="shared" si="0"/>
        <v>21</v>
      </c>
      <c r="C31" s="3187">
        <v>43255</v>
      </c>
      <c r="D31" s="2943" t="s">
        <v>11517</v>
      </c>
      <c r="E31" s="2944" t="s">
        <v>11487</v>
      </c>
      <c r="F31" s="2949"/>
      <c r="G31" s="2946"/>
      <c r="H31" s="2950"/>
      <c r="I31" s="2979"/>
      <c r="J31" s="2948"/>
      <c r="K31" s="2945"/>
      <c r="L31" s="3194">
        <v>500000000</v>
      </c>
      <c r="M31" s="2982" t="s">
        <v>11513</v>
      </c>
    </row>
    <row r="32" spans="2:13">
      <c r="B32" s="2941">
        <f t="shared" si="0"/>
        <v>22</v>
      </c>
      <c r="C32" s="3187">
        <v>43321</v>
      </c>
      <c r="D32" s="2943" t="s">
        <v>11518</v>
      </c>
      <c r="E32" s="2944" t="s">
        <v>11487</v>
      </c>
      <c r="F32" s="2949"/>
      <c r="G32" s="2946" t="s">
        <v>11511</v>
      </c>
      <c r="H32" s="2950"/>
      <c r="I32" s="2979"/>
      <c r="J32" s="2948"/>
      <c r="K32" s="2945"/>
      <c r="L32" s="3194">
        <v>500000000</v>
      </c>
      <c r="M32" s="2982" t="s">
        <v>11491</v>
      </c>
    </row>
    <row r="33" spans="2:13">
      <c r="B33" s="2941">
        <f t="shared" si="0"/>
        <v>23</v>
      </c>
      <c r="C33" s="3188">
        <v>43453</v>
      </c>
      <c r="D33" s="2943" t="s">
        <v>11519</v>
      </c>
      <c r="E33" s="2944" t="s">
        <v>11487</v>
      </c>
      <c r="F33" s="2949"/>
      <c r="G33" s="2946"/>
      <c r="H33" s="2950"/>
      <c r="I33" s="2979"/>
      <c r="J33" s="2948"/>
      <c r="K33" s="2945"/>
      <c r="L33" s="3195">
        <v>100000000</v>
      </c>
      <c r="M33" s="2983" t="s">
        <v>11520</v>
      </c>
    </row>
    <row r="34" spans="2:13">
      <c r="B34" s="2941">
        <f t="shared" si="0"/>
        <v>24</v>
      </c>
      <c r="C34" s="2942">
        <v>43507</v>
      </c>
      <c r="D34" s="2951"/>
      <c r="E34" s="2944" t="s">
        <v>11487</v>
      </c>
      <c r="F34" s="2949"/>
      <c r="G34" s="2952"/>
      <c r="H34" s="2950"/>
      <c r="I34" s="2979"/>
      <c r="J34" s="2948"/>
      <c r="K34" s="2945"/>
      <c r="L34" s="2981">
        <v>100000000</v>
      </c>
      <c r="M34" s="2977" t="s">
        <v>11521</v>
      </c>
    </row>
    <row r="35" spans="2:13">
      <c r="B35" s="2941">
        <f t="shared" si="0"/>
        <v>25</v>
      </c>
      <c r="C35" s="3189">
        <v>43595</v>
      </c>
      <c r="D35" s="2951"/>
      <c r="E35" s="2944" t="s">
        <v>11487</v>
      </c>
      <c r="F35" s="2949"/>
      <c r="G35" s="2952"/>
      <c r="H35" s="2950"/>
      <c r="I35" s="2979"/>
      <c r="J35" s="2948"/>
      <c r="K35" s="2945"/>
      <c r="L35" s="3196">
        <v>50000000</v>
      </c>
      <c r="M35" s="2984" t="s">
        <v>11522</v>
      </c>
    </row>
    <row r="36" s="2936" customFormat="1" spans="2:22">
      <c r="B36" s="2941">
        <f t="shared" si="0"/>
        <v>26</v>
      </c>
      <c r="C36" s="3189">
        <v>43609</v>
      </c>
      <c r="D36" s="2951"/>
      <c r="E36" s="2944" t="s">
        <v>11487</v>
      </c>
      <c r="F36" s="2949"/>
      <c r="G36" s="2952"/>
      <c r="H36" s="2950"/>
      <c r="I36" s="2979"/>
      <c r="J36" s="2948"/>
      <c r="K36" s="2945"/>
      <c r="L36" s="3196">
        <v>50000000</v>
      </c>
      <c r="M36" s="2984" t="s">
        <v>11523</v>
      </c>
      <c r="N36" s="1118"/>
      <c r="O36" s="1118"/>
      <c r="P36" s="1118"/>
      <c r="Q36" s="1118"/>
      <c r="S36" s="1118"/>
      <c r="T36" s="1118"/>
      <c r="U36" s="1118"/>
      <c r="V36" s="1118"/>
    </row>
    <row r="37" s="2936" customFormat="1" spans="2:22">
      <c r="B37" s="2941">
        <f t="shared" si="0"/>
        <v>27</v>
      </c>
      <c r="C37" s="3189">
        <v>43658</v>
      </c>
      <c r="D37" s="2951"/>
      <c r="E37" s="2944" t="s">
        <v>11487</v>
      </c>
      <c r="F37" s="2953"/>
      <c r="G37" s="2952"/>
      <c r="H37" s="2950"/>
      <c r="I37" s="2979"/>
      <c r="J37" s="2948"/>
      <c r="K37" s="2945"/>
      <c r="L37" s="3196">
        <v>50000000</v>
      </c>
      <c r="M37" s="2984" t="s">
        <v>11524</v>
      </c>
      <c r="N37" s="1118"/>
      <c r="O37" s="1118"/>
      <c r="P37" s="1118"/>
      <c r="Q37" s="1118"/>
      <c r="S37" s="1118"/>
      <c r="T37" s="1118"/>
      <c r="U37" s="1118"/>
      <c r="V37" s="1118"/>
    </row>
    <row r="38" s="2936" customFormat="1" spans="2:22">
      <c r="B38" s="2941">
        <f t="shared" si="0"/>
        <v>28</v>
      </c>
      <c r="C38" s="3189">
        <v>43679</v>
      </c>
      <c r="D38" s="2951"/>
      <c r="E38" s="2944" t="s">
        <v>11487</v>
      </c>
      <c r="F38" s="2953"/>
      <c r="G38" s="2952"/>
      <c r="H38" s="2950"/>
      <c r="I38" s="2979"/>
      <c r="J38" s="2948"/>
      <c r="K38" s="2945"/>
      <c r="L38" s="3196">
        <v>50000000</v>
      </c>
      <c r="M38" s="2984" t="s">
        <v>11524</v>
      </c>
      <c r="N38" s="1118"/>
      <c r="O38" s="1118"/>
      <c r="P38" s="1118"/>
      <c r="Q38" s="1118"/>
      <c r="S38" s="1118"/>
      <c r="T38" s="1118"/>
      <c r="U38" s="1118"/>
      <c r="V38" s="1118"/>
    </row>
    <row r="39" s="2936" customFormat="1" spans="2:22">
      <c r="B39" s="2941">
        <f t="shared" si="0"/>
        <v>29</v>
      </c>
      <c r="C39" s="3189">
        <v>43773</v>
      </c>
      <c r="D39" s="2951"/>
      <c r="E39" s="2944" t="s">
        <v>11487</v>
      </c>
      <c r="F39" s="2953"/>
      <c r="G39" s="2952"/>
      <c r="H39" s="2950"/>
      <c r="I39" s="2979"/>
      <c r="J39" s="2948"/>
      <c r="K39" s="2945"/>
      <c r="L39" s="3196">
        <v>25000000</v>
      </c>
      <c r="M39" s="2984" t="s">
        <v>11525</v>
      </c>
      <c r="N39" s="1118"/>
      <c r="O39" s="1118"/>
      <c r="P39" s="1118"/>
      <c r="Q39" s="1118"/>
      <c r="S39" s="1118"/>
      <c r="T39" s="1118"/>
      <c r="U39" s="1118"/>
      <c r="V39" s="1118"/>
    </row>
    <row r="40" s="2936" customFormat="1" spans="2:22">
      <c r="B40" s="2951"/>
      <c r="C40" s="2954"/>
      <c r="D40" s="2951"/>
      <c r="E40" s="3190"/>
      <c r="F40" s="3191"/>
      <c r="G40" s="3192"/>
      <c r="H40" s="3193"/>
      <c r="I40" s="3197"/>
      <c r="J40" s="3197"/>
      <c r="K40" s="3198"/>
      <c r="L40" s="3199"/>
      <c r="M40" s="2986"/>
      <c r="N40" s="1118"/>
      <c r="O40" s="1118"/>
      <c r="P40" s="1118"/>
      <c r="Q40" s="1118"/>
      <c r="S40" s="1118"/>
      <c r="T40" s="1118"/>
      <c r="U40" s="1118"/>
      <c r="V40" s="1118"/>
    </row>
    <row r="41" s="2936" customFormat="1" spans="2:22">
      <c r="B41" s="2951"/>
      <c r="C41" s="2954"/>
      <c r="D41" s="2951"/>
      <c r="E41" s="3190"/>
      <c r="F41" s="3191"/>
      <c r="G41" s="3192"/>
      <c r="H41" s="3193"/>
      <c r="I41" s="3197"/>
      <c r="J41" s="3197"/>
      <c r="K41" s="3198"/>
      <c r="L41" s="3199"/>
      <c r="M41" s="2986"/>
      <c r="N41" s="1118"/>
      <c r="O41" s="1118"/>
      <c r="P41" s="1118"/>
      <c r="Q41" s="1118"/>
      <c r="S41" s="1118"/>
      <c r="T41" s="1118"/>
      <c r="U41" s="1118"/>
      <c r="V41" s="1118"/>
    </row>
    <row r="42" s="2936" customFormat="1" spans="2:22">
      <c r="B42" s="2951"/>
      <c r="C42" s="2954"/>
      <c r="D42" s="2951"/>
      <c r="E42" s="3190"/>
      <c r="F42" s="3191"/>
      <c r="G42" s="3192"/>
      <c r="H42" s="3193"/>
      <c r="I42" s="3197"/>
      <c r="J42" s="3197"/>
      <c r="K42" s="3198"/>
      <c r="L42" s="3199"/>
      <c r="M42" s="2986"/>
      <c r="N42" s="1118"/>
      <c r="O42" s="1118"/>
      <c r="P42" s="1118"/>
      <c r="Q42" s="1118"/>
      <c r="S42" s="1118"/>
      <c r="T42" s="1118"/>
      <c r="U42" s="1118"/>
      <c r="V42" s="1118"/>
    </row>
    <row r="43" s="2936" customFormat="1" spans="2:22">
      <c r="B43" s="2951"/>
      <c r="C43" s="2954"/>
      <c r="D43" s="2951"/>
      <c r="E43" s="2952"/>
      <c r="F43" s="2953"/>
      <c r="G43" s="2952"/>
      <c r="H43" s="2950"/>
      <c r="I43" s="2979"/>
      <c r="J43" s="2948"/>
      <c r="K43" s="2945"/>
      <c r="L43" s="2985"/>
      <c r="M43" s="2986"/>
      <c r="N43" s="1118"/>
      <c r="O43" s="1118"/>
      <c r="P43" s="1118"/>
      <c r="Q43" s="1118"/>
      <c r="S43" s="1118"/>
      <c r="T43" s="1118"/>
      <c r="U43" s="1118"/>
      <c r="V43" s="1118"/>
    </row>
    <row r="44" s="2936" customFormat="1" spans="2:22">
      <c r="B44" s="2951"/>
      <c r="C44" s="2954"/>
      <c r="D44" s="2951"/>
      <c r="E44" s="2952"/>
      <c r="F44" s="2953"/>
      <c r="G44" s="2952"/>
      <c r="H44" s="2950"/>
      <c r="I44" s="2979"/>
      <c r="J44" s="2948"/>
      <c r="K44" s="2945"/>
      <c r="L44" s="2985"/>
      <c r="M44" s="2986"/>
      <c r="N44" s="1118"/>
      <c r="O44" s="1118"/>
      <c r="P44" s="1118"/>
      <c r="Q44" s="1118"/>
      <c r="S44" s="1118"/>
      <c r="T44" s="1118"/>
      <c r="U44" s="1118"/>
      <c r="V44" s="1118"/>
    </row>
    <row r="45" s="2936" customFormat="1" spans="2:22">
      <c r="B45" s="2951"/>
      <c r="C45" s="2954"/>
      <c r="D45" s="2951"/>
      <c r="E45" s="2952"/>
      <c r="F45" s="2953"/>
      <c r="G45" s="2952"/>
      <c r="H45" s="2950"/>
      <c r="I45" s="2979"/>
      <c r="J45" s="2948"/>
      <c r="K45" s="2945"/>
      <c r="L45" s="2985"/>
      <c r="M45" s="2986"/>
      <c r="N45" s="1118"/>
      <c r="O45" s="1118"/>
      <c r="P45" s="1118"/>
      <c r="Q45" s="1118"/>
      <c r="S45" s="1118"/>
      <c r="T45" s="1118"/>
      <c r="U45" s="1118"/>
      <c r="V45" s="1118"/>
    </row>
    <row r="46" s="2936" customFormat="1" spans="2:22">
      <c r="B46" s="2951"/>
      <c r="C46" s="2954"/>
      <c r="D46" s="2951"/>
      <c r="E46" s="2952"/>
      <c r="F46" s="2953"/>
      <c r="G46" s="2952"/>
      <c r="H46" s="2950"/>
      <c r="I46" s="2979"/>
      <c r="J46" s="2948"/>
      <c r="K46" s="2945"/>
      <c r="L46" s="2985"/>
      <c r="M46" s="2986"/>
      <c r="N46" s="1118"/>
      <c r="O46" s="1118"/>
      <c r="P46" s="1118"/>
      <c r="Q46" s="1118"/>
      <c r="S46" s="1118"/>
      <c r="T46" s="1118"/>
      <c r="U46" s="1118"/>
      <c r="V46" s="1118"/>
    </row>
    <row r="47" s="2936" customFormat="1" spans="2:22">
      <c r="B47" s="2951"/>
      <c r="C47" s="2954"/>
      <c r="D47" s="2951"/>
      <c r="E47" s="2955" t="s">
        <v>151</v>
      </c>
      <c r="F47" s="2956"/>
      <c r="G47" s="2957"/>
      <c r="H47" s="2958"/>
      <c r="I47" s="2987"/>
      <c r="J47" s="2988"/>
      <c r="K47" s="2989"/>
      <c r="L47" s="2990">
        <f>SUM(L11:L45)</f>
        <v>7736000000</v>
      </c>
      <c r="M47" s="1118"/>
      <c r="N47" s="1118"/>
      <c r="O47" s="1118"/>
      <c r="P47" s="1118"/>
      <c r="Q47" s="1118"/>
      <c r="S47" s="1118"/>
      <c r="T47" s="1118"/>
      <c r="U47" s="1118"/>
      <c r="V47" s="1118"/>
    </row>
    <row r="48" s="2936" customFormat="1" spans="2:22">
      <c r="B48" s="2951"/>
      <c r="C48" s="2954"/>
      <c r="D48" s="2951"/>
      <c r="E48" s="2952" t="s">
        <v>11526</v>
      </c>
      <c r="F48" s="2953"/>
      <c r="G48" s="2952"/>
      <c r="H48" s="2950"/>
      <c r="I48" s="2979"/>
      <c r="J48" s="2948"/>
      <c r="K48" s="2945"/>
      <c r="L48" s="2985">
        <f>+D!L15+D!L23</f>
        <v>8876000000</v>
      </c>
      <c r="M48" s="1118"/>
      <c r="N48" s="1118"/>
      <c r="O48" s="1118"/>
      <c r="P48" s="1118"/>
      <c r="Q48" s="1118"/>
      <c r="S48" s="1118"/>
      <c r="T48" s="1118"/>
      <c r="U48" s="1118"/>
      <c r="V48" s="1118"/>
    </row>
    <row r="49" s="2936" customFormat="1" spans="2:22">
      <c r="B49" s="2951"/>
      <c r="C49" s="2954"/>
      <c r="D49" s="2951"/>
      <c r="E49" s="2952" t="s">
        <v>146</v>
      </c>
      <c r="F49" s="2953"/>
      <c r="G49" s="2952"/>
      <c r="H49" s="2950"/>
      <c r="I49" s="2979"/>
      <c r="J49" s="2948"/>
      <c r="K49" s="2945"/>
      <c r="L49" s="2985">
        <f>+L47-L48</f>
        <v>-1140000000</v>
      </c>
      <c r="M49" s="1118"/>
      <c r="N49" s="1118"/>
      <c r="O49" s="1118"/>
      <c r="P49" s="1118"/>
      <c r="Q49" s="1118"/>
      <c r="S49" s="1118"/>
      <c r="T49" s="1118"/>
      <c r="U49" s="1118"/>
      <c r="V49" s="1118"/>
    </row>
    <row r="50" s="2936" customFormat="1" spans="2:22">
      <c r="B50" s="2375"/>
      <c r="C50" s="2959"/>
      <c r="D50" s="2375"/>
      <c r="E50" s="2375"/>
      <c r="F50" s="2939"/>
      <c r="G50" s="2375"/>
      <c r="H50" s="2939"/>
      <c r="I50" s="2961"/>
      <c r="J50" s="1118"/>
      <c r="K50" s="1118"/>
      <c r="L50" s="1187"/>
      <c r="M50" s="1118"/>
      <c r="N50" s="1118"/>
      <c r="O50" s="1118"/>
      <c r="P50" s="1118"/>
      <c r="Q50" s="1118"/>
      <c r="S50" s="1118"/>
      <c r="T50" s="1118"/>
      <c r="U50" s="1118"/>
      <c r="V50" s="1118"/>
    </row>
    <row r="51" s="2936" customFormat="1" spans="2:22">
      <c r="B51" s="2375"/>
      <c r="C51" s="2959"/>
      <c r="D51" s="2375"/>
      <c r="F51" s="2939"/>
      <c r="G51" s="2375"/>
      <c r="H51" s="2939"/>
      <c r="I51" s="2961"/>
      <c r="J51" s="1118"/>
      <c r="K51" s="1118"/>
      <c r="M51" s="1118"/>
      <c r="N51" s="1118"/>
      <c r="O51" s="1118"/>
      <c r="P51" s="1118"/>
      <c r="Q51" s="1118"/>
      <c r="S51" s="1118"/>
      <c r="T51" s="1118"/>
      <c r="U51" s="1118"/>
      <c r="V51" s="1118"/>
    </row>
    <row r="52" s="2936" customFormat="1" spans="2:22">
      <c r="B52" s="2375"/>
      <c r="C52" s="2959"/>
      <c r="D52" s="2375"/>
      <c r="E52" s="2375"/>
      <c r="F52" s="2939"/>
      <c r="G52" s="2375"/>
      <c r="H52" s="2939"/>
      <c r="I52" s="2961"/>
      <c r="J52" s="1118"/>
      <c r="K52" s="1118"/>
      <c r="M52" s="1118"/>
      <c r="N52" s="1118"/>
      <c r="O52" s="1118"/>
      <c r="P52" s="1118"/>
      <c r="Q52" s="1118"/>
      <c r="S52" s="1118"/>
      <c r="T52" s="1118"/>
      <c r="U52" s="1118"/>
      <c r="V52" s="1118"/>
    </row>
    <row r="53" s="2936" customFormat="1" spans="2:22">
      <c r="B53" s="306"/>
      <c r="C53" s="2939"/>
      <c r="D53" s="2939"/>
      <c r="E53" s="2939"/>
      <c r="F53" s="2939"/>
      <c r="G53" s="2939"/>
      <c r="H53" s="2939"/>
      <c r="I53" s="2961"/>
      <c r="J53" s="1118"/>
      <c r="K53" s="1118"/>
      <c r="M53" s="1118"/>
      <c r="N53" s="1118"/>
      <c r="O53" s="1118"/>
      <c r="P53" s="1118"/>
      <c r="Q53" s="1118"/>
      <c r="S53" s="1118"/>
      <c r="T53" s="1118"/>
      <c r="U53" s="1118"/>
      <c r="V53" s="1118"/>
    </row>
    <row r="54" s="2936" customFormat="1" spans="2:22">
      <c r="B54" s="2960" t="s">
        <v>974</v>
      </c>
      <c r="C54" s="2961" t="s">
        <v>11477</v>
      </c>
      <c r="F54" s="2961"/>
      <c r="G54" s="2961"/>
      <c r="H54" s="2961"/>
      <c r="I54" s="1118"/>
      <c r="J54" s="1118"/>
      <c r="K54" s="1118"/>
      <c r="L54" s="1187"/>
      <c r="M54" s="1118"/>
      <c r="N54" s="1118"/>
      <c r="O54" s="1118"/>
      <c r="P54" s="1118"/>
      <c r="Q54" s="1118"/>
      <c r="S54" s="1118"/>
      <c r="T54" s="1118"/>
      <c r="U54" s="1118"/>
      <c r="V54" s="1118"/>
    </row>
    <row r="55" s="2936" customFormat="1" spans="2:22">
      <c r="B55" s="2961"/>
      <c r="C55" s="2961"/>
      <c r="F55" s="2961"/>
      <c r="G55" s="2961"/>
      <c r="H55" s="2961"/>
      <c r="I55" s="1118"/>
      <c r="J55" s="1118"/>
      <c r="K55" s="1118"/>
      <c r="L55" s="1187"/>
      <c r="M55" s="1118"/>
      <c r="N55" s="1118"/>
      <c r="O55" s="1118"/>
      <c r="P55" s="1118"/>
      <c r="Q55" s="1118"/>
      <c r="S55" s="1118"/>
      <c r="T55" s="1118"/>
      <c r="U55" s="1118"/>
      <c r="V55" s="1118"/>
    </row>
    <row r="56" s="2936" customFormat="1" spans="2:22">
      <c r="B56" s="2962" t="s">
        <v>11527</v>
      </c>
      <c r="C56" s="2963" t="s">
        <v>1031</v>
      </c>
      <c r="D56" s="2964" t="s">
        <v>11528</v>
      </c>
      <c r="E56" s="2964" t="s">
        <v>11529</v>
      </c>
      <c r="F56" s="2961"/>
      <c r="G56" s="2961"/>
      <c r="H56" s="2961"/>
      <c r="I56" s="2961"/>
      <c r="J56" s="2991"/>
      <c r="K56" s="2991"/>
      <c r="L56" s="2969"/>
      <c r="M56" s="2961"/>
      <c r="N56" s="2961"/>
      <c r="O56" s="2961"/>
      <c r="P56" s="2961"/>
      <c r="Q56" s="2961"/>
      <c r="R56" s="2961"/>
      <c r="S56" s="1118"/>
      <c r="T56" s="1118"/>
      <c r="U56" s="1118"/>
      <c r="V56" s="1118"/>
    </row>
    <row r="57" s="2936" customFormat="1" spans="2:22">
      <c r="B57" s="2965" t="s">
        <v>732</v>
      </c>
      <c r="C57" s="2966">
        <f>+C11</f>
        <v>42852</v>
      </c>
      <c r="D57" s="1187">
        <f>+L11</f>
        <v>500000000</v>
      </c>
      <c r="E57" s="2961" t="s">
        <v>11530</v>
      </c>
      <c r="F57" s="2961"/>
      <c r="G57" s="2961"/>
      <c r="H57" s="2961"/>
      <c r="I57" s="2961"/>
      <c r="J57" s="2991"/>
      <c r="K57" s="2991"/>
      <c r="L57" s="2969"/>
      <c r="M57" s="2961"/>
      <c r="N57" s="2961"/>
      <c r="O57" s="2961"/>
      <c r="P57" s="2961"/>
      <c r="Q57" s="2961"/>
      <c r="R57" s="2961"/>
      <c r="S57" s="1118"/>
      <c r="T57" s="1118"/>
      <c r="U57" s="1118"/>
      <c r="V57" s="1118"/>
    </row>
    <row r="58" s="2936" customFormat="1" spans="2:22">
      <c r="B58" s="2965" t="s">
        <v>735</v>
      </c>
      <c r="C58" s="2966">
        <f>+C13</f>
        <v>42877</v>
      </c>
      <c r="D58" s="1187">
        <f>+L13</f>
        <v>1000000000</v>
      </c>
      <c r="E58" s="2961" t="s">
        <v>11530</v>
      </c>
      <c r="F58" s="2961"/>
      <c r="G58" s="2961"/>
      <c r="H58" s="2961"/>
      <c r="I58" s="2961"/>
      <c r="J58" s="2991"/>
      <c r="K58" s="2991"/>
      <c r="L58" s="2969"/>
      <c r="M58" s="2961"/>
      <c r="N58" s="2961"/>
      <c r="O58" s="2961"/>
      <c r="P58" s="2961"/>
      <c r="Q58" s="2961"/>
      <c r="R58" s="2961"/>
      <c r="S58" s="1118"/>
      <c r="T58" s="1118"/>
      <c r="U58" s="1118"/>
      <c r="V58" s="1118"/>
    </row>
    <row r="59" s="2936" customFormat="1" spans="2:22">
      <c r="B59" s="2965" t="s">
        <v>737</v>
      </c>
      <c r="C59" s="2967">
        <f>+C19</f>
        <v>42983</v>
      </c>
      <c r="D59" s="1187">
        <f>+L19</f>
        <v>1000000000</v>
      </c>
      <c r="E59" s="2961" t="s">
        <v>11530</v>
      </c>
      <c r="F59" s="2961"/>
      <c r="G59" s="2961"/>
      <c r="H59" s="2961"/>
      <c r="I59" s="2961"/>
      <c r="J59" s="2991"/>
      <c r="K59" s="2991"/>
      <c r="L59" s="2969"/>
      <c r="M59" s="2961"/>
      <c r="N59" s="2961"/>
      <c r="O59" s="2961"/>
      <c r="P59" s="2961"/>
      <c r="Q59" s="2961"/>
      <c r="R59" s="2961"/>
      <c r="S59" s="1118"/>
      <c r="T59" s="1118"/>
      <c r="U59" s="1118"/>
      <c r="V59" s="1118"/>
    </row>
    <row r="60" s="2936" customFormat="1" ht="5.85" customHeight="1" spans="2:22">
      <c r="B60" s="2961"/>
      <c r="C60" s="2961"/>
      <c r="D60" s="2968"/>
      <c r="E60" s="2961"/>
      <c r="F60" s="2961"/>
      <c r="G60" s="2961"/>
      <c r="H60" s="2961"/>
      <c r="I60" s="2961"/>
      <c r="J60" s="2991"/>
      <c r="K60" s="2991"/>
      <c r="L60" s="2969"/>
      <c r="M60" s="2961"/>
      <c r="N60" s="2961"/>
      <c r="O60" s="2961"/>
      <c r="P60" s="2961"/>
      <c r="Q60" s="2961"/>
      <c r="R60" s="2961"/>
      <c r="S60" s="1118"/>
      <c r="T60" s="1118"/>
      <c r="U60" s="1118"/>
      <c r="V60" s="1118"/>
    </row>
    <row r="61" spans="2:18">
      <c r="B61" s="2961"/>
      <c r="C61" s="2961" t="s">
        <v>11531</v>
      </c>
      <c r="D61" s="2969">
        <f>SUM(D57:D60)</f>
        <v>2500000000</v>
      </c>
      <c r="E61" s="2961"/>
      <c r="F61" s="2961"/>
      <c r="G61" s="2961"/>
      <c r="H61" s="2961"/>
      <c r="I61" s="2961"/>
      <c r="J61" s="2961"/>
      <c r="K61" s="2961"/>
      <c r="L61" s="2969"/>
      <c r="M61" s="2961"/>
      <c r="N61" s="2961"/>
      <c r="O61" s="2961"/>
      <c r="P61" s="2961"/>
      <c r="Q61" s="2961"/>
      <c r="R61" s="2961"/>
    </row>
    <row r="62" spans="2:18">
      <c r="B62" s="2961"/>
      <c r="C62" s="2961" t="s">
        <v>11532</v>
      </c>
      <c r="D62" s="2970">
        <f>+L47</f>
        <v>7736000000</v>
      </c>
      <c r="E62" s="2961"/>
      <c r="F62" s="2961"/>
      <c r="G62" s="2961"/>
      <c r="H62" s="2961"/>
      <c r="I62" s="2961"/>
      <c r="J62" s="2961"/>
      <c r="K62" s="2961"/>
      <c r="L62" s="2969"/>
      <c r="M62" s="2961"/>
      <c r="N62" s="2961"/>
      <c r="O62" s="2961"/>
      <c r="P62" s="2961"/>
      <c r="Q62" s="2961"/>
      <c r="R62" s="2961"/>
    </row>
    <row r="63" spans="3:4">
      <c r="C63" s="1118" t="s">
        <v>11533</v>
      </c>
      <c r="D63" s="2971">
        <f>+D61/D62</f>
        <v>0.323164426059979</v>
      </c>
    </row>
    <row r="65" spans="3:14">
      <c r="C65" s="2972" t="s">
        <v>732</v>
      </c>
      <c r="G65" s="2972" t="s">
        <v>735</v>
      </c>
      <c r="N65" s="2972" t="s">
        <v>737</v>
      </c>
    </row>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sheetData>
  <mergeCells count="2">
    <mergeCell ref="E10:F10"/>
    <mergeCell ref="G10:K10"/>
  </mergeCells>
  <pageMargins left="0.31496062992126" right="0.31496062992126" top="0.354330708661417" bottom="0.354330708661417" header="0.31496062992126" footer="0.31496062992126"/>
  <pageSetup paperSize="9" scale="85" orientation="landscape"/>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8">
    <tabColor theme="6"/>
    <pageSetUpPr fitToPage="1"/>
  </sheetPr>
  <dimension ref="B1:T260"/>
  <sheetViews>
    <sheetView showGridLines="0" topLeftCell="B1" workbookViewId="0">
      <pane xSplit="2" ySplit="12" topLeftCell="D16" activePane="bottomRight" state="frozen"/>
      <selection/>
      <selection pane="topRight"/>
      <selection pane="bottomLeft"/>
      <selection pane="bottomRight" activeCell="F14" sqref="F14"/>
    </sheetView>
  </sheetViews>
  <sheetFormatPr defaultColWidth="9.13541666666667" defaultRowHeight="13.2"/>
  <cols>
    <col min="1" max="1" width="2.25" style="186" customWidth="1"/>
    <col min="2" max="2" width="5.23958333333333" style="186" customWidth="1"/>
    <col min="3" max="3" width="31.46875" style="186" customWidth="1"/>
    <col min="4" max="4" width="4.79166666666667" style="186" customWidth="1"/>
    <col min="5" max="5" width="16.3333333333333" style="186" hidden="1" customWidth="1"/>
    <col min="6" max="6" width="16.3333333333333" style="186" customWidth="1"/>
    <col min="7" max="7" width="5.23958333333333" style="186" customWidth="1"/>
    <col min="8" max="9" width="16.3333333333333" style="186" customWidth="1"/>
    <col min="10" max="10" width="6.4375" style="186" customWidth="1"/>
    <col min="11" max="11" width="16.3333333333333" style="186" customWidth="1"/>
    <col min="12" max="12" width="17.2291666666667" style="186" customWidth="1" outlineLevel="1"/>
    <col min="13" max="13" width="4.79166666666667" style="186" customWidth="1" outlineLevel="1"/>
    <col min="14" max="15" width="17.2291666666667" style="186" customWidth="1" outlineLevel="1"/>
    <col min="16" max="16" width="5.84375" style="186" customWidth="1" outlineLevel="1"/>
    <col min="17" max="17" width="16.9270833333333" style="186" customWidth="1"/>
    <col min="18" max="18" width="16.78125" style="186" customWidth="1"/>
    <col min="19" max="19" width="16.3333333333333" style="186" customWidth="1"/>
    <col min="20" max="20" width="16.03125" style="186" customWidth="1"/>
    <col min="21" max="16384" width="9.13541666666667" style="186"/>
  </cols>
  <sheetData>
    <row r="1" spans="16:16">
      <c r="P1" s="134"/>
    </row>
    <row r="2" ht="16.8" spans="3:20">
      <c r="C2" s="2992" t="str">
        <f>D!C2</f>
        <v>KAP LIASTA NIRWAN SYAFRUDIN &amp; REKAN</v>
      </c>
      <c r="D2" s="1198"/>
      <c r="E2" s="1198"/>
      <c r="F2" s="1198"/>
      <c r="G2" s="1198"/>
      <c r="H2" s="1198"/>
      <c r="I2" s="1198"/>
      <c r="J2" s="1198"/>
      <c r="K2" s="1198"/>
      <c r="L2" s="1198"/>
      <c r="M2" s="1198"/>
      <c r="N2" s="1198"/>
      <c r="O2" s="1198"/>
      <c r="P2" s="1198"/>
      <c r="Q2" s="1198"/>
      <c r="R2" s="3179" t="s">
        <v>481</v>
      </c>
      <c r="S2" s="2438" t="s">
        <v>482</v>
      </c>
      <c r="T2" s="3179" t="s">
        <v>483</v>
      </c>
    </row>
    <row r="3" spans="3:20">
      <c r="C3" s="1199"/>
      <c r="D3" s="1200"/>
      <c r="E3" s="1200"/>
      <c r="F3" s="1200"/>
      <c r="G3" s="1200"/>
      <c r="H3" s="1200"/>
      <c r="I3" s="1200"/>
      <c r="J3" s="1200"/>
      <c r="K3" s="1200"/>
      <c r="L3" s="1200"/>
      <c r="M3" s="1200"/>
      <c r="N3" s="1200"/>
      <c r="O3" s="1200"/>
      <c r="P3" s="1200"/>
      <c r="Q3" s="1200"/>
      <c r="R3" s="2368"/>
      <c r="S3" s="1238">
        <v>45173</v>
      </c>
      <c r="T3" s="3180" t="s">
        <v>740</v>
      </c>
    </row>
    <row r="4" spans="3:20">
      <c r="C4" s="2334" t="str">
        <f>+B!D4</f>
        <v>PT INTAN GIRI ABADI</v>
      </c>
      <c r="D4" s="1200"/>
      <c r="E4" s="1200"/>
      <c r="F4" s="1200"/>
      <c r="G4" s="1200"/>
      <c r="H4" s="1200"/>
      <c r="I4" s="1200"/>
      <c r="J4" s="1200"/>
      <c r="K4" s="1200"/>
      <c r="L4" s="1200"/>
      <c r="M4" s="1200"/>
      <c r="N4" s="1200"/>
      <c r="O4" s="1200"/>
      <c r="P4" s="1200"/>
      <c r="Q4" s="1200"/>
      <c r="R4" s="2368" t="s">
        <v>487</v>
      </c>
      <c r="S4" s="2472" t="s">
        <v>482</v>
      </c>
      <c r="T4" s="2368" t="s">
        <v>488</v>
      </c>
    </row>
    <row r="5" spans="2:20">
      <c r="B5" s="248"/>
      <c r="C5" s="1199"/>
      <c r="D5" s="1200"/>
      <c r="E5" s="1200"/>
      <c r="F5" s="1200"/>
      <c r="G5" s="1200"/>
      <c r="H5" s="1200"/>
      <c r="I5" s="1200"/>
      <c r="J5" s="1200"/>
      <c r="K5" s="1200"/>
      <c r="L5" s="1200"/>
      <c r="M5" s="1200"/>
      <c r="N5" s="1200"/>
      <c r="O5" s="1200"/>
      <c r="P5" s="1200"/>
      <c r="Q5" s="1200"/>
      <c r="R5" s="1237"/>
      <c r="S5" s="1200"/>
      <c r="T5" s="3180">
        <v>1</v>
      </c>
    </row>
    <row r="6" spans="2:20">
      <c r="B6" s="248"/>
      <c r="C6" s="1199"/>
      <c r="D6" s="1200"/>
      <c r="E6" s="1200"/>
      <c r="F6" s="1200"/>
      <c r="G6" s="1200"/>
      <c r="H6" s="1200"/>
      <c r="I6" s="1200"/>
      <c r="J6" s="1200"/>
      <c r="K6" s="1200"/>
      <c r="L6" s="1200"/>
      <c r="M6" s="1200"/>
      <c r="N6" s="1200"/>
      <c r="O6" s="1200"/>
      <c r="P6" s="1200"/>
      <c r="Q6" s="1200"/>
      <c r="R6" s="1237"/>
      <c r="S6" s="1200"/>
      <c r="T6" s="2368" t="s">
        <v>491</v>
      </c>
    </row>
    <row r="7" spans="2:20">
      <c r="B7" s="2335"/>
      <c r="C7" s="2334" t="str">
        <f>+'F1'!C21</f>
        <v>Biaya dibayar dimuka</v>
      </c>
      <c r="D7" s="1200"/>
      <c r="E7" s="1200"/>
      <c r="F7" s="1200"/>
      <c r="G7" s="1200"/>
      <c r="H7" s="1200"/>
      <c r="I7" s="1200"/>
      <c r="J7" s="1200"/>
      <c r="K7" s="1200"/>
      <c r="L7" s="1200"/>
      <c r="M7" s="1200"/>
      <c r="N7" s="1200"/>
      <c r="O7" s="1200"/>
      <c r="P7" s="1200"/>
      <c r="Q7" s="1200"/>
      <c r="R7" s="1237"/>
      <c r="S7" s="1200"/>
      <c r="T7" s="3181">
        <f>+'F1'!X7</f>
        <v>44926</v>
      </c>
    </row>
    <row r="8" spans="2:20">
      <c r="B8" s="2335"/>
      <c r="C8" s="1201"/>
      <c r="D8" s="1202"/>
      <c r="E8" s="1202"/>
      <c r="F8" s="1202"/>
      <c r="G8" s="1202"/>
      <c r="H8" s="1202"/>
      <c r="I8" s="1202"/>
      <c r="J8" s="1202"/>
      <c r="K8" s="1202"/>
      <c r="L8" s="1202"/>
      <c r="M8" s="1202"/>
      <c r="N8" s="1202"/>
      <c r="O8" s="1202"/>
      <c r="P8" s="1202"/>
      <c r="Q8" s="1202"/>
      <c r="R8" s="1240"/>
      <c r="S8" s="1202"/>
      <c r="T8" s="1240"/>
    </row>
    <row r="9" ht="13.95" spans="2:20">
      <c r="B9" s="2335"/>
      <c r="N9" s="1388"/>
      <c r="O9" s="1388"/>
      <c r="T9" s="296"/>
    </row>
    <row r="10" spans="2:20">
      <c r="B10" s="2555"/>
      <c r="C10" s="1328"/>
      <c r="D10" s="1330"/>
      <c r="E10" s="1330" t="s">
        <v>2248</v>
      </c>
      <c r="F10" s="1329" t="s">
        <v>2248</v>
      </c>
      <c r="G10" s="1330"/>
      <c r="H10" s="2281" t="s">
        <v>1228</v>
      </c>
      <c r="I10" s="2281"/>
      <c r="J10" s="1330"/>
      <c r="K10" s="1327" t="s">
        <v>2248</v>
      </c>
      <c r="L10" s="1329" t="s">
        <v>2248</v>
      </c>
      <c r="M10" s="1330"/>
      <c r="N10" s="2281" t="s">
        <v>1228</v>
      </c>
      <c r="O10" s="2281"/>
      <c r="P10" s="1330"/>
      <c r="Q10" s="1327" t="s">
        <v>2248</v>
      </c>
      <c r="R10" s="1327" t="s">
        <v>2248</v>
      </c>
      <c r="S10" s="1403">
        <f>K12</f>
        <v>44926</v>
      </c>
      <c r="T10" s="1404"/>
    </row>
    <row r="11" spans="2:20">
      <c r="B11" s="2555"/>
      <c r="C11" s="1334" t="s">
        <v>492</v>
      </c>
      <c r="D11" s="1336" t="s">
        <v>654</v>
      </c>
      <c r="E11" s="1336" t="e">
        <f>'[89]F1'!F6</f>
        <v>#REF!</v>
      </c>
      <c r="F11" s="1335" t="s">
        <v>2249</v>
      </c>
      <c r="G11" s="1336" t="s">
        <v>1230</v>
      </c>
      <c r="H11" s="2283"/>
      <c r="I11" s="2283"/>
      <c r="J11" s="1336" t="s">
        <v>1230</v>
      </c>
      <c r="K11" s="1389" t="s">
        <v>2250</v>
      </c>
      <c r="L11" s="1335" t="s">
        <v>2249</v>
      </c>
      <c r="M11" s="1336" t="s">
        <v>1230</v>
      </c>
      <c r="N11" s="2283"/>
      <c r="O11" s="2283"/>
      <c r="P11" s="1336" t="s">
        <v>1230</v>
      </c>
      <c r="Q11" s="1389" t="s">
        <v>2250</v>
      </c>
      <c r="R11" s="1389" t="s">
        <v>2250</v>
      </c>
      <c r="S11" s="1405" t="s">
        <v>2251</v>
      </c>
      <c r="T11" s="1406"/>
    </row>
    <row r="12" ht="13.95" spans="2:20">
      <c r="B12" s="2555"/>
      <c r="C12" s="1340"/>
      <c r="D12" s="5111" t="s">
        <v>2252</v>
      </c>
      <c r="E12" s="1341" t="e">
        <f>'[89]F1'!F7</f>
        <v>#REF!</v>
      </c>
      <c r="F12" s="1341">
        <f>+'F1'!E10</f>
        <v>44926</v>
      </c>
      <c r="G12" s="1342" t="s">
        <v>2253</v>
      </c>
      <c r="H12" s="1342" t="s">
        <v>1231</v>
      </c>
      <c r="I12" s="1342" t="s">
        <v>1232</v>
      </c>
      <c r="J12" s="1342" t="s">
        <v>2253</v>
      </c>
      <c r="K12" s="1390">
        <f>F12</f>
        <v>44926</v>
      </c>
      <c r="L12" s="1341">
        <f>+'F1'!P10</f>
        <v>44561</v>
      </c>
      <c r="M12" s="1342" t="s">
        <v>2253</v>
      </c>
      <c r="N12" s="1342" t="s">
        <v>1231</v>
      </c>
      <c r="O12" s="1342" t="s">
        <v>1232</v>
      </c>
      <c r="P12" s="1342" t="s">
        <v>2253</v>
      </c>
      <c r="Q12" s="1390">
        <f>L12</f>
        <v>44561</v>
      </c>
      <c r="R12" s="1390">
        <f>+'F1'!Q10</f>
        <v>44196</v>
      </c>
      <c r="S12" s="1342" t="s">
        <v>151</v>
      </c>
      <c r="T12" s="5112" t="s">
        <v>2254</v>
      </c>
    </row>
    <row r="13" spans="2:20">
      <c r="B13" s="2555"/>
      <c r="D13" s="135"/>
      <c r="E13" s="296"/>
      <c r="F13" s="296"/>
      <c r="G13" s="135"/>
      <c r="H13" s="296"/>
      <c r="I13" s="296"/>
      <c r="J13" s="135"/>
      <c r="K13" s="1391"/>
      <c r="L13" s="296"/>
      <c r="M13" s="135"/>
      <c r="N13" s="296"/>
      <c r="O13" s="296"/>
      <c r="P13" s="135"/>
      <c r="Q13" s="1391"/>
      <c r="R13" s="1408"/>
      <c r="S13" s="296"/>
      <c r="T13" s="1409"/>
    </row>
    <row r="14" spans="2:20">
      <c r="B14" s="2555"/>
      <c r="C14" s="186" t="s">
        <v>11534</v>
      </c>
      <c r="D14" s="135" t="s">
        <v>11535</v>
      </c>
      <c r="E14" s="296"/>
      <c r="F14" s="174">
        <v>13500000</v>
      </c>
      <c r="G14" s="200"/>
      <c r="H14" s="161">
        <f>SUMIF('F4'!$E$12:$E$158,C14,'F4'!$G$12:$G$158)</f>
        <v>0</v>
      </c>
      <c r="I14" s="161">
        <f>SUMIF('F4'!$E$12:$E$158,C14,'F4'!$H$12:$H$158)</f>
        <v>0</v>
      </c>
      <c r="J14" s="200"/>
      <c r="K14" s="174">
        <f>F14+H14-I14</f>
        <v>13500000</v>
      </c>
      <c r="L14" s="174">
        <f>+H42</f>
        <v>15000000</v>
      </c>
      <c r="M14" s="200"/>
      <c r="N14" s="161">
        <f>SUMIF('F4'!$E$12:$E$158,C14,'F4'!$I$12:$I$158)</f>
        <v>0</v>
      </c>
      <c r="O14" s="161">
        <f>SUMIF('F4'!$E$12:$E$158,C14,'F4'!$J$12:$J$158)</f>
        <v>0</v>
      </c>
      <c r="P14" s="200"/>
      <c r="Q14" s="231">
        <f>L14+N14-O14</f>
        <v>15000000</v>
      </c>
      <c r="R14" s="161">
        <v>19800000</v>
      </c>
      <c r="S14" s="296">
        <f>F14-L14</f>
        <v>-1499999.99999999</v>
      </c>
      <c r="T14" s="1409">
        <f>IF(L14=0,IF(S14=0,0,S14/S14),S14/L14)</f>
        <v>-0.0999999999999997</v>
      </c>
    </row>
    <row r="15" spans="2:20">
      <c r="B15" s="2555"/>
      <c r="C15" s="186" t="s">
        <v>11462</v>
      </c>
      <c r="D15" s="135"/>
      <c r="E15" s="296"/>
      <c r="F15" s="174">
        <v>0</v>
      </c>
      <c r="G15" s="200"/>
      <c r="H15" s="161">
        <f>SUMIF('F4'!$E$12:$E$158,C15,'F4'!$G$12:$G$158)</f>
        <v>0</v>
      </c>
      <c r="I15" s="161">
        <f>SUMIF('F4'!$E$12:$E$158,C15,'F4'!$H$12:$H$158)</f>
        <v>0</v>
      </c>
      <c r="J15" s="200"/>
      <c r="K15" s="191">
        <f>F15+H15-I15</f>
        <v>0</v>
      </c>
      <c r="L15" s="174">
        <v>8000600</v>
      </c>
      <c r="M15" s="200"/>
      <c r="N15" s="161">
        <f>SUMIF('F4'!$E$12:$E$158,C15,'F4'!$I$12:$I$158)</f>
        <v>0</v>
      </c>
      <c r="O15" s="161">
        <f>SUMIF('F4'!$E$12:$E$158,C15,'F4'!$J$12:$J$158)</f>
        <v>0</v>
      </c>
      <c r="P15" s="200"/>
      <c r="Q15" s="101">
        <f>L15+N15-O15</f>
        <v>8000600</v>
      </c>
      <c r="R15" s="161">
        <f>+N34</f>
        <v>8000000</v>
      </c>
      <c r="S15" s="296">
        <f>F15-L15</f>
        <v>-8000600</v>
      </c>
      <c r="T15" s="1409">
        <f>IF(L15=0,IF(S15=0,0,S15/S15),S15/L15)</f>
        <v>-1</v>
      </c>
    </row>
    <row r="16" spans="2:20">
      <c r="B16" s="2555"/>
      <c r="D16" s="135"/>
      <c r="E16" s="296"/>
      <c r="F16" s="174"/>
      <c r="G16" s="200"/>
      <c r="H16" s="174"/>
      <c r="I16" s="174"/>
      <c r="J16" s="200"/>
      <c r="K16" s="142"/>
      <c r="L16" s="174"/>
      <c r="M16" s="200"/>
      <c r="N16" s="174"/>
      <c r="O16" s="174"/>
      <c r="P16" s="200"/>
      <c r="Q16" s="101"/>
      <c r="R16" s="161"/>
      <c r="S16" s="296"/>
      <c r="T16" s="1410"/>
    </row>
    <row r="17" ht="13.95" spans="2:20">
      <c r="B17" s="2555"/>
      <c r="C17" s="5119" t="s">
        <v>151</v>
      </c>
      <c r="D17" s="135"/>
      <c r="E17" s="1412">
        <f>SUM(E14:E14)</f>
        <v>0</v>
      </c>
      <c r="F17" s="1346">
        <f>SUM(F14:F16)</f>
        <v>13500000</v>
      </c>
      <c r="G17" s="200"/>
      <c r="H17" s="1346">
        <f>SUM(H14:H16)</f>
        <v>0</v>
      </c>
      <c r="I17" s="1346">
        <f>SUM(I14:I16)</f>
        <v>0</v>
      </c>
      <c r="J17" s="200"/>
      <c r="K17" s="1346">
        <f>SUM(K14:K16)</f>
        <v>13500000</v>
      </c>
      <c r="L17" s="1392">
        <f>SUM(L14:L15)</f>
        <v>23000600</v>
      </c>
      <c r="M17" s="200"/>
      <c r="N17" s="1392">
        <f>SUM(N14:N15)</f>
        <v>0</v>
      </c>
      <c r="O17" s="1392">
        <f>SUM(O14:O15)</f>
        <v>0</v>
      </c>
      <c r="P17" s="200"/>
      <c r="Q17" s="1346">
        <f>SUM(Q14:Q15)</f>
        <v>23000600</v>
      </c>
      <c r="R17" s="3182">
        <f>SUM(R14:R15)</f>
        <v>27800000</v>
      </c>
      <c r="S17" s="1412">
        <f>SUM(S14:S15)</f>
        <v>-9500599.99999999</v>
      </c>
      <c r="T17" s="1413">
        <f>IF(R17=0,IF(S17=0,0,S17/S17),S17/R17)</f>
        <v>-0.341748201438849</v>
      </c>
    </row>
    <row r="18" ht="14.7" spans="2:20">
      <c r="B18" s="2555"/>
      <c r="C18" s="1347"/>
      <c r="D18" s="2286"/>
      <c r="E18" s="1348"/>
      <c r="F18" s="1395">
        <f>+F17-'F1'!E21</f>
        <v>0</v>
      </c>
      <c r="G18" s="1348"/>
      <c r="H18" s="1348"/>
      <c r="I18" s="1348"/>
      <c r="J18" s="1348"/>
      <c r="K18" s="1395">
        <f>+K17-'F1'!J21</f>
        <v>0</v>
      </c>
      <c r="L18" s="1393">
        <f>+L17-'F1'!P21</f>
        <v>0</v>
      </c>
      <c r="M18" s="1394"/>
      <c r="N18" s="1393"/>
      <c r="O18" s="1393"/>
      <c r="P18" s="1394"/>
      <c r="Q18" s="1395">
        <f>+Q17-'F1'!P21</f>
        <v>0</v>
      </c>
      <c r="R18" s="1395">
        <f>+R17-'F1'!Q21</f>
        <v>0</v>
      </c>
      <c r="S18" s="1348"/>
      <c r="T18" s="1414"/>
    </row>
    <row r="19" spans="2:20">
      <c r="B19" s="2558"/>
      <c r="C19" s="2559"/>
      <c r="L19" s="2568" t="s">
        <v>649</v>
      </c>
      <c r="M19" s="2423"/>
      <c r="N19" s="2423"/>
      <c r="O19" s="2423"/>
      <c r="P19" s="2423"/>
      <c r="Q19" s="2423"/>
      <c r="R19" s="2568" t="s">
        <v>650</v>
      </c>
      <c r="T19" s="2318"/>
    </row>
    <row r="20" spans="12:20">
      <c r="L20" s="2423"/>
      <c r="M20" s="2423"/>
      <c r="N20" s="2423"/>
      <c r="O20" s="2423"/>
      <c r="P20" s="2423"/>
      <c r="Q20" s="2423"/>
      <c r="R20" s="2423"/>
      <c r="T20" s="2318"/>
    </row>
    <row r="21" spans="12:18">
      <c r="L21" s="2423"/>
      <c r="M21" s="2423"/>
      <c r="N21" s="2423"/>
      <c r="O21" s="2423"/>
      <c r="P21" s="2423"/>
      <c r="Q21" s="2423"/>
      <c r="R21" s="2423"/>
    </row>
    <row r="22" spans="11:18">
      <c r="K22" s="134"/>
      <c r="L22" s="229"/>
      <c r="M22" s="229"/>
      <c r="N22" s="2423"/>
      <c r="O22" s="2423"/>
      <c r="P22" s="2423"/>
      <c r="Q22" s="2423"/>
      <c r="R22" s="2423">
        <v>27800000</v>
      </c>
    </row>
    <row r="23" spans="3:18">
      <c r="C23" s="2560" t="str">
        <f>'F1'!C46</f>
        <v>Sesuai dengan Saldo Buku Besar Periode 31 Desember 2022 &amp; 2021</v>
      </c>
      <c r="K23" s="134"/>
      <c r="L23" s="229"/>
      <c r="M23" s="229"/>
      <c r="N23" s="2423"/>
      <c r="O23" s="2423"/>
      <c r="P23" s="2423"/>
      <c r="Q23" s="2423"/>
      <c r="R23" s="2423"/>
    </row>
    <row r="24" spans="3:18">
      <c r="C24" s="5120" t="str">
        <f>'F1'!C47</f>
        <v>Sesuai dengan Saldo Audit Periode Sebelumnya</v>
      </c>
      <c r="L24" s="2423"/>
      <c r="M24" s="2423"/>
      <c r="N24" s="2423"/>
      <c r="O24" s="2423"/>
      <c r="P24" s="2423"/>
      <c r="Q24" s="2423"/>
      <c r="R24" s="2423"/>
    </row>
    <row r="25" spans="3:18">
      <c r="C25" s="5120" t="str">
        <f>'F1'!C48</f>
        <v>Rumus dan Formula Perhitungan telah Diperiksa</v>
      </c>
      <c r="L25" s="2423"/>
      <c r="M25" s="2423"/>
      <c r="N25" s="2423"/>
      <c r="O25" s="2423"/>
      <c r="P25" s="2423"/>
      <c r="Q25" s="2423"/>
      <c r="R25" s="2423"/>
    </row>
    <row r="26" spans="3:18">
      <c r="C26" s="2562"/>
      <c r="L26" s="2423"/>
      <c r="M26" s="2423"/>
      <c r="N26" s="2423"/>
      <c r="O26" s="2423"/>
      <c r="P26" s="2423"/>
      <c r="Q26" s="2423"/>
      <c r="R26" s="2423"/>
    </row>
    <row r="27" spans="3:20">
      <c r="C27" s="3162"/>
      <c r="D27" s="3163"/>
      <c r="E27" s="3163"/>
      <c r="F27" s="3163"/>
      <c r="G27" s="3163"/>
      <c r="H27" s="3163"/>
      <c r="I27" s="3163"/>
      <c r="J27" s="3163"/>
      <c r="K27" s="3163"/>
      <c r="L27" s="3177"/>
      <c r="M27" s="3177"/>
      <c r="N27" s="3177"/>
      <c r="O27" s="3177"/>
      <c r="P27" s="3177"/>
      <c r="Q27" s="3177"/>
      <c r="R27" s="3177"/>
      <c r="S27" s="3163"/>
      <c r="T27" s="3183"/>
    </row>
    <row r="28" spans="3:20">
      <c r="C28" s="3164" t="s">
        <v>11536</v>
      </c>
      <c r="D28" s="3165"/>
      <c r="E28" s="3165"/>
      <c r="F28" s="3165"/>
      <c r="G28" s="3165"/>
      <c r="H28" s="3165"/>
      <c r="I28" s="3165"/>
      <c r="J28" s="3165"/>
      <c r="K28" s="3165"/>
      <c r="L28" s="3165"/>
      <c r="M28" s="3165"/>
      <c r="N28" s="3165"/>
      <c r="O28" s="3165"/>
      <c r="P28" s="3174"/>
      <c r="Q28" s="3174"/>
      <c r="R28" s="3174"/>
      <c r="S28" s="3174"/>
      <c r="T28" s="3184"/>
    </row>
    <row r="29" outlineLevel="1" spans="3:20">
      <c r="C29" s="3164" t="s">
        <v>11537</v>
      </c>
      <c r="D29" s="3165"/>
      <c r="E29" s="3165"/>
      <c r="F29" s="3165"/>
      <c r="G29" s="3165"/>
      <c r="H29" s="3165"/>
      <c r="I29" s="3165"/>
      <c r="J29" s="3165"/>
      <c r="K29" s="3165"/>
      <c r="L29" s="3165"/>
      <c r="M29" s="3165"/>
      <c r="N29" s="3165"/>
      <c r="O29" s="3165"/>
      <c r="P29" s="3174"/>
      <c r="Q29" s="3174"/>
      <c r="R29" s="3174"/>
      <c r="S29" s="3174"/>
      <c r="T29" s="3184"/>
    </row>
    <row r="30" outlineLevel="1" spans="3:20">
      <c r="C30" s="3166"/>
      <c r="D30" s="3165"/>
      <c r="E30" s="3165"/>
      <c r="F30" s="3167"/>
      <c r="G30" s="3167"/>
      <c r="H30" s="3167"/>
      <c r="I30" s="3165"/>
      <c r="J30" s="3165"/>
      <c r="K30" s="3167"/>
      <c r="L30" s="3168" t="s">
        <v>11538</v>
      </c>
      <c r="M30" s="3165"/>
      <c r="N30" s="3165"/>
      <c r="O30" s="3165"/>
      <c r="P30" s="3174"/>
      <c r="Q30" s="3174"/>
      <c r="R30" s="3174"/>
      <c r="S30" s="3174"/>
      <c r="T30" s="3184"/>
    </row>
    <row r="31" outlineLevel="1" spans="3:20">
      <c r="C31" s="3164" t="s">
        <v>11460</v>
      </c>
      <c r="D31" s="3165"/>
      <c r="E31" s="3165"/>
      <c r="F31" s="3168" t="s">
        <v>11539</v>
      </c>
      <c r="G31" s="3168"/>
      <c r="H31" s="3168" t="s">
        <v>11540</v>
      </c>
      <c r="I31" s="3167"/>
      <c r="J31" s="3167" t="str">
        <f>+C31</f>
        <v>Masa</v>
      </c>
      <c r="K31" s="3167"/>
      <c r="L31" s="3169">
        <v>2021</v>
      </c>
      <c r="M31" s="3169"/>
      <c r="N31" s="3169">
        <v>2020</v>
      </c>
      <c r="O31" s="3165"/>
      <c r="P31" s="3174"/>
      <c r="Q31" s="3174"/>
      <c r="R31" s="3174"/>
      <c r="S31" s="3174"/>
      <c r="T31" s="3184"/>
    </row>
    <row r="32" outlineLevel="1" spans="3:20">
      <c r="C32" s="3164" t="s">
        <v>11541</v>
      </c>
      <c r="D32" s="3165"/>
      <c r="E32" s="3165"/>
      <c r="F32" s="3165">
        <v>18000000</v>
      </c>
      <c r="G32" s="3165"/>
      <c r="H32" s="3165">
        <f>+F32</f>
        <v>18000000</v>
      </c>
      <c r="I32" s="3165">
        <f>+H32</f>
        <v>18000000</v>
      </c>
      <c r="J32" s="3167" t="str">
        <f>+C32</f>
        <v>Biaya Sewa Include PPN</v>
      </c>
      <c r="K32" s="3167"/>
      <c r="L32" s="3165">
        <v>12000000</v>
      </c>
      <c r="M32" s="3165"/>
      <c r="N32" s="3165">
        <v>12000000</v>
      </c>
      <c r="O32" s="3165"/>
      <c r="P32" s="3174"/>
      <c r="Q32" s="3174"/>
      <c r="R32" s="3174"/>
      <c r="S32" s="3174"/>
      <c r="T32" s="3184"/>
    </row>
    <row r="33" outlineLevel="1" spans="3:20">
      <c r="C33" s="3164"/>
      <c r="D33" s="3165"/>
      <c r="E33" s="3165"/>
      <c r="F33" s="3169">
        <v>2022</v>
      </c>
      <c r="G33" s="3169"/>
      <c r="H33" s="3169">
        <v>2021</v>
      </c>
      <c r="I33" s="3169">
        <v>2020</v>
      </c>
      <c r="J33" s="3165" t="s">
        <v>11542</v>
      </c>
      <c r="K33" s="3165"/>
      <c r="L33" s="3165">
        <f>4/12*L32</f>
        <v>4000000</v>
      </c>
      <c r="M33" s="3165"/>
      <c r="N33" s="3165">
        <f>4/12*N32</f>
        <v>4000000</v>
      </c>
      <c r="O33" s="3165"/>
      <c r="P33" s="3174"/>
      <c r="Q33" s="3174"/>
      <c r="R33" s="3174"/>
      <c r="S33" s="3174"/>
      <c r="T33" s="3184"/>
    </row>
    <row r="34" outlineLevel="1" spans="3:20">
      <c r="C34" s="3164" t="s">
        <v>11543</v>
      </c>
      <c r="D34" s="3165"/>
      <c r="E34" s="3165"/>
      <c r="F34" s="3165">
        <f>+F32/1.11</f>
        <v>16216216.2162162</v>
      </c>
      <c r="G34" s="3165"/>
      <c r="H34" s="3165">
        <f>+H32</f>
        <v>18000000</v>
      </c>
      <c r="I34" s="3165">
        <f>+I32</f>
        <v>18000000</v>
      </c>
      <c r="J34" s="3165" t="s">
        <v>11544</v>
      </c>
      <c r="K34" s="3165"/>
      <c r="L34" s="3165">
        <f>+L32-L33</f>
        <v>8000000</v>
      </c>
      <c r="M34" s="3165"/>
      <c r="N34" s="3165">
        <f>+N32-N33</f>
        <v>8000000</v>
      </c>
      <c r="O34" s="3165"/>
      <c r="P34" s="3174"/>
      <c r="Q34" s="3174"/>
      <c r="R34" s="3174"/>
      <c r="S34" s="3174"/>
      <c r="T34" s="3184"/>
    </row>
    <row r="35" outlineLevel="1" spans="3:20">
      <c r="C35" s="3164" t="s">
        <v>11545</v>
      </c>
      <c r="D35" s="3165"/>
      <c r="E35" s="3165"/>
      <c r="F35" s="3165">
        <f>+F34*11%</f>
        <v>1783783.78378378</v>
      </c>
      <c r="G35" s="3165"/>
      <c r="H35" s="3165">
        <f>+H34*10%</f>
        <v>1800000</v>
      </c>
      <c r="I35" s="3165">
        <f>+I34*10%</f>
        <v>1800000</v>
      </c>
      <c r="J35" s="3165" t="s">
        <v>11546</v>
      </c>
      <c r="K35" s="3165"/>
      <c r="L35" s="3165">
        <f>+L15</f>
        <v>8000600</v>
      </c>
      <c r="M35" s="3165"/>
      <c r="N35" s="3165">
        <f>+R15</f>
        <v>8000000</v>
      </c>
      <c r="O35" s="3165"/>
      <c r="P35" s="3174"/>
      <c r="Q35" s="3174"/>
      <c r="R35" s="3174"/>
      <c r="S35" s="3174"/>
      <c r="T35" s="3184"/>
    </row>
    <row r="36" outlineLevel="1" spans="3:20">
      <c r="C36" s="3164" t="s">
        <v>11547</v>
      </c>
      <c r="D36" s="3165"/>
      <c r="E36" s="3165"/>
      <c r="F36" s="3165">
        <f>SUM(F34:F35)</f>
        <v>18000000</v>
      </c>
      <c r="G36" s="3165"/>
      <c r="H36" s="3165">
        <f>SUM(H34:H35)</f>
        <v>19800000</v>
      </c>
      <c r="I36" s="3165">
        <f>SUM(I34:I35)</f>
        <v>19800000</v>
      </c>
      <c r="J36" s="3165" t="s">
        <v>146</v>
      </c>
      <c r="K36" s="3165"/>
      <c r="L36" s="3165">
        <f>+L34-L35</f>
        <v>-600</v>
      </c>
      <c r="M36" s="3165"/>
      <c r="N36" s="3165">
        <f>+N34-N35</f>
        <v>0</v>
      </c>
      <c r="O36" s="3165"/>
      <c r="P36" s="3174"/>
      <c r="Q36" s="3174"/>
      <c r="R36" s="3174"/>
      <c r="S36" s="3174"/>
      <c r="T36" s="3184"/>
    </row>
    <row r="37" outlineLevel="1" spans="3:20">
      <c r="C37" s="3164" t="s">
        <v>11548</v>
      </c>
      <c r="D37" s="3170">
        <v>0.1</v>
      </c>
      <c r="E37" s="3165"/>
      <c r="F37" s="3165">
        <f>+F34*D37</f>
        <v>1621621.62162162</v>
      </c>
      <c r="G37" s="3165"/>
      <c r="H37" s="3165">
        <f>+H34*D37</f>
        <v>1800000</v>
      </c>
      <c r="I37" s="3165">
        <f>+I34*D37</f>
        <v>1800000</v>
      </c>
      <c r="J37" s="3165"/>
      <c r="K37" s="3165"/>
      <c r="L37" s="3165"/>
      <c r="M37" s="3165"/>
      <c r="N37" s="3165"/>
      <c r="O37" s="3165"/>
      <c r="P37" s="3174"/>
      <c r="Q37" s="3174"/>
      <c r="R37" s="3174"/>
      <c r="S37" s="3174"/>
      <c r="T37" s="3184"/>
    </row>
    <row r="38" outlineLevel="1" spans="3:20">
      <c r="C38" s="3164" t="s">
        <v>11549</v>
      </c>
      <c r="D38" s="3165"/>
      <c r="E38" s="3165"/>
      <c r="F38" s="3165">
        <f>+F36-F37</f>
        <v>16378378.3783784</v>
      </c>
      <c r="G38" s="3165"/>
      <c r="H38" s="3165">
        <f>+H36-H37</f>
        <v>18000000</v>
      </c>
      <c r="I38" s="3165">
        <f>+I36-I37</f>
        <v>18000000</v>
      </c>
      <c r="J38" s="3165"/>
      <c r="K38" s="3165"/>
      <c r="L38" s="3165"/>
      <c r="M38" s="3165"/>
      <c r="N38" s="3165"/>
      <c r="O38" s="3165"/>
      <c r="P38" s="3174"/>
      <c r="Q38" s="3174"/>
      <c r="R38" s="3174"/>
      <c r="S38" s="3174"/>
      <c r="T38" s="3184"/>
    </row>
    <row r="39" outlineLevel="1" spans="3:20">
      <c r="C39" s="3164"/>
      <c r="D39" s="3165"/>
      <c r="E39" s="3165"/>
      <c r="F39" s="3165"/>
      <c r="G39" s="3165"/>
      <c r="H39" s="3165"/>
      <c r="I39" s="3165"/>
      <c r="J39" s="3165"/>
      <c r="K39" s="3165"/>
      <c r="L39" s="3165"/>
      <c r="M39" s="3165"/>
      <c r="N39" s="3165"/>
      <c r="O39" s="3165"/>
      <c r="P39" s="3174"/>
      <c r="Q39" s="3174"/>
      <c r="R39" s="3174"/>
      <c r="S39" s="3174"/>
      <c r="T39" s="3184"/>
    </row>
    <row r="40" outlineLevel="1" spans="3:20">
      <c r="C40" s="3164" t="s">
        <v>11550</v>
      </c>
      <c r="D40" s="3165"/>
      <c r="E40" s="3165"/>
      <c r="F40" s="3167">
        <f>+F34</f>
        <v>16216216.2162162</v>
      </c>
      <c r="G40" s="3165"/>
      <c r="H40" s="3167">
        <f>+H34</f>
        <v>18000000</v>
      </c>
      <c r="I40" s="3167">
        <f>+I34</f>
        <v>18000000</v>
      </c>
      <c r="J40" s="3165"/>
      <c r="K40" s="3165"/>
      <c r="L40" s="3165"/>
      <c r="M40" s="3165"/>
      <c r="N40" s="3165"/>
      <c r="O40" s="3165"/>
      <c r="P40" s="3174"/>
      <c r="Q40" s="3174"/>
      <c r="R40" s="3174"/>
      <c r="S40" s="3174"/>
      <c r="T40" s="3184"/>
    </row>
    <row r="41" outlineLevel="1" spans="3:20">
      <c r="C41" s="3164" t="s">
        <v>11551</v>
      </c>
      <c r="D41" s="3165"/>
      <c r="E41" s="3165"/>
      <c r="F41" s="3165">
        <f>0.166666666666667*F34</f>
        <v>2702702.70270271</v>
      </c>
      <c r="G41" s="3165"/>
      <c r="H41" s="3165">
        <f>0.166666666666667*H34</f>
        <v>3000000.00000001</v>
      </c>
      <c r="I41" s="3165">
        <f>0.166666666666667*I34</f>
        <v>3000000.00000001</v>
      </c>
      <c r="J41" s="3165"/>
      <c r="K41" s="3165"/>
      <c r="L41" s="3165"/>
      <c r="M41" s="3165"/>
      <c r="N41" s="3165"/>
      <c r="O41" s="3165"/>
      <c r="P41" s="3174"/>
      <c r="Q41" s="3174"/>
      <c r="R41" s="3174"/>
      <c r="S41" s="3174"/>
      <c r="T41" s="3184"/>
    </row>
    <row r="42" outlineLevel="1" spans="3:20">
      <c r="C42" s="3164" t="s">
        <v>11552</v>
      </c>
      <c r="D42" s="3165"/>
      <c r="E42" s="3165"/>
      <c r="F42" s="3165">
        <f>+F34-F41</f>
        <v>13513513.5135135</v>
      </c>
      <c r="G42" s="3165"/>
      <c r="H42" s="3165">
        <f>+H34-H41</f>
        <v>15000000</v>
      </c>
      <c r="I42" s="3165">
        <f>+I34-I41</f>
        <v>15000000</v>
      </c>
      <c r="J42" s="3165"/>
      <c r="K42" s="3165"/>
      <c r="L42" s="3165"/>
      <c r="M42" s="3165"/>
      <c r="N42" s="3165"/>
      <c r="O42" s="3165"/>
      <c r="P42" s="3174"/>
      <c r="Q42" s="3174"/>
      <c r="R42" s="3174"/>
      <c r="S42" s="3174"/>
      <c r="T42" s="3184"/>
    </row>
    <row r="43" outlineLevel="1" spans="3:20">
      <c r="C43" s="3164" t="s">
        <v>11546</v>
      </c>
      <c r="D43" s="3165"/>
      <c r="E43" s="3165"/>
      <c r="F43" s="3165">
        <f>+F14</f>
        <v>13500000</v>
      </c>
      <c r="G43" s="3171"/>
      <c r="H43" s="3165">
        <f>+Q14</f>
        <v>15000000</v>
      </c>
      <c r="I43" s="3165">
        <f>+R14</f>
        <v>19800000</v>
      </c>
      <c r="J43" s="3165"/>
      <c r="K43" s="3165"/>
      <c r="L43" s="3165"/>
      <c r="M43" s="3165"/>
      <c r="N43" s="3165"/>
      <c r="O43" s="3165"/>
      <c r="P43" s="3174"/>
      <c r="Q43" s="3174"/>
      <c r="R43" s="3174"/>
      <c r="S43" s="3174"/>
      <c r="T43" s="3184"/>
    </row>
    <row r="44" outlineLevel="1" spans="3:20">
      <c r="C44" s="3164" t="s">
        <v>146</v>
      </c>
      <c r="D44" s="3165"/>
      <c r="E44" s="3165"/>
      <c r="F44" s="3172">
        <f>+F42-F43</f>
        <v>13513.5135135055</v>
      </c>
      <c r="G44" s="3171" t="s">
        <v>11553</v>
      </c>
      <c r="H44" s="3165">
        <f>+H42-H43</f>
        <v>0</v>
      </c>
      <c r="I44" s="3178">
        <f>+I42-I43</f>
        <v>-4800000.00000001</v>
      </c>
      <c r="J44" s="3165"/>
      <c r="K44" s="3165"/>
      <c r="L44" s="3165"/>
      <c r="M44" s="3165"/>
      <c r="N44" s="3165"/>
      <c r="O44" s="3165"/>
      <c r="P44" s="3174"/>
      <c r="Q44" s="3174"/>
      <c r="R44" s="3174"/>
      <c r="S44" s="3174"/>
      <c r="T44" s="3184"/>
    </row>
    <row r="45" outlineLevel="1" spans="3:20">
      <c r="C45" s="3164"/>
      <c r="D45" s="3165"/>
      <c r="E45" s="3165"/>
      <c r="F45" s="3165"/>
      <c r="G45" s="3165"/>
      <c r="H45" s="3165"/>
      <c r="I45" s="3165"/>
      <c r="J45" s="3165"/>
      <c r="K45" s="3165"/>
      <c r="L45" s="3165"/>
      <c r="M45" s="3165"/>
      <c r="N45" s="3165"/>
      <c r="O45" s="3165"/>
      <c r="P45" s="3174"/>
      <c r="Q45" s="3174"/>
      <c r="R45" s="3174"/>
      <c r="S45" s="3174"/>
      <c r="T45" s="3184"/>
    </row>
    <row r="46" outlineLevel="1" spans="3:20">
      <c r="C46" s="3164" t="s">
        <v>11554</v>
      </c>
      <c r="D46" s="3165"/>
      <c r="E46" s="3165"/>
      <c r="F46" s="3165"/>
      <c r="G46" s="3165"/>
      <c r="H46" s="3165"/>
      <c r="I46" s="3165"/>
      <c r="J46" s="3165"/>
      <c r="K46" s="3165"/>
      <c r="L46" s="3165"/>
      <c r="M46" s="3165"/>
      <c r="N46" s="3165"/>
      <c r="O46" s="3165"/>
      <c r="P46" s="3174"/>
      <c r="Q46" s="3174"/>
      <c r="R46" s="3174"/>
      <c r="S46" s="3174"/>
      <c r="T46" s="3184"/>
    </row>
    <row r="47" spans="3:20">
      <c r="C47" s="3173"/>
      <c r="D47" s="3174"/>
      <c r="E47" s="3174"/>
      <c r="F47" s="3174"/>
      <c r="G47" s="3174"/>
      <c r="H47" s="3174"/>
      <c r="I47" s="3174"/>
      <c r="J47" s="3174"/>
      <c r="K47" s="3174"/>
      <c r="L47" s="3174"/>
      <c r="M47" s="3174"/>
      <c r="N47" s="3174"/>
      <c r="O47" s="3174"/>
      <c r="P47" s="3174"/>
      <c r="Q47" s="3174"/>
      <c r="R47" s="3174"/>
      <c r="S47" s="3174"/>
      <c r="T47" s="3184"/>
    </row>
    <row r="48" spans="3:20">
      <c r="C48" s="3173"/>
      <c r="D48" s="3174"/>
      <c r="E48" s="3174"/>
      <c r="F48" s="3174"/>
      <c r="G48" s="3174"/>
      <c r="H48" s="3174"/>
      <c r="I48" s="3174"/>
      <c r="J48" s="3174"/>
      <c r="K48" s="3174"/>
      <c r="L48" s="3174"/>
      <c r="M48" s="3174"/>
      <c r="N48" s="3174"/>
      <c r="O48" s="3174"/>
      <c r="P48" s="3174"/>
      <c r="Q48" s="3174"/>
      <c r="R48" s="3174"/>
      <c r="S48" s="3174"/>
      <c r="T48" s="3184"/>
    </row>
    <row r="49" spans="3:20">
      <c r="C49" s="3173"/>
      <c r="D49" s="3174"/>
      <c r="E49" s="3174"/>
      <c r="F49" s="3174"/>
      <c r="G49" s="3174"/>
      <c r="H49" s="3174"/>
      <c r="I49" s="3174"/>
      <c r="J49" s="3174"/>
      <c r="K49" s="3174"/>
      <c r="L49" s="3174"/>
      <c r="M49" s="3174"/>
      <c r="N49" s="3174"/>
      <c r="O49" s="3174"/>
      <c r="P49" s="3174"/>
      <c r="Q49" s="3174"/>
      <c r="R49" s="3174"/>
      <c r="S49" s="3174"/>
      <c r="T49" s="3184"/>
    </row>
    <row r="50" spans="3:20">
      <c r="C50" s="3173"/>
      <c r="D50" s="3174"/>
      <c r="E50" s="3174"/>
      <c r="F50" s="3174"/>
      <c r="G50" s="3174"/>
      <c r="H50" s="3174"/>
      <c r="I50" s="3174"/>
      <c r="J50" s="3174"/>
      <c r="K50" s="3174"/>
      <c r="L50" s="3174"/>
      <c r="M50" s="3174"/>
      <c r="N50" s="3174"/>
      <c r="O50" s="3174"/>
      <c r="P50" s="3174"/>
      <c r="Q50" s="3174"/>
      <c r="R50" s="3174"/>
      <c r="S50" s="3174"/>
      <c r="T50" s="3184"/>
    </row>
    <row r="51" spans="3:20">
      <c r="C51" s="3173"/>
      <c r="D51" s="3174"/>
      <c r="E51" s="3174"/>
      <c r="F51" s="3174"/>
      <c r="G51" s="3174"/>
      <c r="H51" s="3174"/>
      <c r="I51" s="3174"/>
      <c r="J51" s="3174"/>
      <c r="K51" s="3174"/>
      <c r="L51" s="3174"/>
      <c r="M51" s="3174"/>
      <c r="N51" s="3174"/>
      <c r="O51" s="3174"/>
      <c r="P51" s="3174"/>
      <c r="Q51" s="3174"/>
      <c r="R51" s="3174"/>
      <c r="S51" s="3174"/>
      <c r="T51" s="3184"/>
    </row>
    <row r="52" spans="3:20">
      <c r="C52" s="3173" t="s">
        <v>952</v>
      </c>
      <c r="D52" s="3174"/>
      <c r="E52" s="3174"/>
      <c r="F52" s="3174"/>
      <c r="G52" s="3174"/>
      <c r="H52" s="3174"/>
      <c r="I52" s="3174"/>
      <c r="J52" s="3174"/>
      <c r="K52" s="3174"/>
      <c r="L52" s="3174"/>
      <c r="M52" s="3174"/>
      <c r="N52" s="3174"/>
      <c r="O52" s="3174"/>
      <c r="P52" s="3174"/>
      <c r="Q52" s="3174"/>
      <c r="R52" s="3174"/>
      <c r="S52" s="3174"/>
      <c r="T52" s="3184"/>
    </row>
    <row r="53" spans="3:20">
      <c r="C53" s="3173"/>
      <c r="D53" s="3174"/>
      <c r="E53" s="3174"/>
      <c r="F53" s="3174"/>
      <c r="G53" s="3174"/>
      <c r="H53" s="3174"/>
      <c r="I53" s="3174"/>
      <c r="J53" s="3174"/>
      <c r="K53" s="3174"/>
      <c r="L53" s="3174"/>
      <c r="M53" s="3174"/>
      <c r="N53" s="3174"/>
      <c r="O53" s="3174"/>
      <c r="P53" s="3174"/>
      <c r="Q53" s="3174"/>
      <c r="R53" s="3174"/>
      <c r="S53" s="3174"/>
      <c r="T53" s="3184"/>
    </row>
    <row r="54" spans="3:20">
      <c r="C54" s="3173" t="s">
        <v>11555</v>
      </c>
      <c r="D54" s="3174"/>
      <c r="E54" s="3174"/>
      <c r="F54" s="3174"/>
      <c r="G54" s="3174"/>
      <c r="H54" s="3174"/>
      <c r="I54" s="3174"/>
      <c r="J54" s="3174"/>
      <c r="K54" s="3174"/>
      <c r="L54" s="3174"/>
      <c r="M54" s="3174"/>
      <c r="N54" s="3174"/>
      <c r="O54" s="3174"/>
      <c r="P54" s="3174"/>
      <c r="Q54" s="3174"/>
      <c r="R54" s="3174"/>
      <c r="S54" s="3174"/>
      <c r="T54" s="3184"/>
    </row>
    <row r="55" spans="3:20">
      <c r="C55" s="3175"/>
      <c r="D55" s="3176"/>
      <c r="E55" s="3176"/>
      <c r="F55" s="3176"/>
      <c r="G55" s="3176"/>
      <c r="H55" s="3176"/>
      <c r="I55" s="3176"/>
      <c r="J55" s="3176"/>
      <c r="K55" s="3176"/>
      <c r="L55" s="3176"/>
      <c r="M55" s="3176"/>
      <c r="N55" s="3176"/>
      <c r="O55" s="3176"/>
      <c r="P55" s="3176"/>
      <c r="Q55" s="3176"/>
      <c r="R55" s="3176"/>
      <c r="S55" s="3176"/>
      <c r="T55" s="3185"/>
    </row>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sheetData>
  <mergeCells count="4">
    <mergeCell ref="S10:T10"/>
    <mergeCell ref="S11:T11"/>
    <mergeCell ref="H10:I11"/>
    <mergeCell ref="N10:O11"/>
  </mergeCells>
  <printOptions horizontalCentered="1"/>
  <pageMargins left="0.708661417322835" right="0.511811023622047" top="0.708661417322835" bottom="0.31496062992126" header="0.511811023622047" footer="0.511811023622047"/>
  <pageSetup paperSize="9" scale="80" orientation="landscape"/>
  <headerFooter alignWithMargins="0">
    <oddFooter>&amp;R&amp;"Arial,Bold"&amp;28L</oddFooter>
  </headerFooter>
  <drawing r:id="rId1"/>
  <legacyDrawing r:id="rId2"/>
  <oleObjects>
    <mc:AlternateContent xmlns:mc="http://schemas.openxmlformats.org/markup-compatibility/2006">
      <mc:Choice Requires="x14">
        <oleObject shapeId="1055745" progId="Paint.Picture" r:id="rId3">
          <objectPr defaultSize="0" r:id="rId4">
            <anchor moveWithCells="1">
              <from>
                <xdr:col>2</xdr:col>
                <xdr:colOff>12700</xdr:colOff>
                <xdr:row>24</xdr:row>
                <xdr:rowOff>19050</xdr:rowOff>
              </from>
              <to>
                <xdr:col>2</xdr:col>
                <xdr:colOff>158750</xdr:colOff>
                <xdr:row>25</xdr:row>
                <xdr:rowOff>12700</xdr:rowOff>
              </to>
            </anchor>
          </objectPr>
        </oleObject>
      </mc:Choice>
      <mc:Fallback>
        <oleObject shapeId="1055745" progId="Paint.Picture" r:id="rId3"/>
      </mc:Fallback>
    </mc:AlternateContent>
    <mc:AlternateContent xmlns:mc="http://schemas.openxmlformats.org/markup-compatibility/2006">
      <mc:Choice Requires="x14">
        <oleObject shapeId="1055746" progId="Paint.Picture" r:id="rId5">
          <objectPr defaultSize="0" r:id="rId6">
            <anchor moveWithCells="1">
              <from>
                <xdr:col>2</xdr:col>
                <xdr:colOff>12700</xdr:colOff>
                <xdr:row>23</xdr:row>
                <xdr:rowOff>12700</xdr:rowOff>
              </from>
              <to>
                <xdr:col>2</xdr:col>
                <xdr:colOff>158750</xdr:colOff>
                <xdr:row>24</xdr:row>
                <xdr:rowOff>0</xdr:rowOff>
              </to>
            </anchor>
          </objectPr>
        </oleObject>
      </mc:Choice>
      <mc:Fallback>
        <oleObject shapeId="1055746" progId="Paint.Picture" r:id="rId5"/>
      </mc:Fallback>
    </mc:AlternateContent>
    <mc:AlternateContent xmlns:mc="http://schemas.openxmlformats.org/markup-compatibility/2006">
      <mc:Choice Requires="x14">
        <oleObject shapeId="1055747" progId="Paint.Picture" r:id="rId7">
          <objectPr defaultSize="0" r:id="rId6">
            <anchor moveWithCells="1">
              <from>
                <xdr:col>17</xdr:col>
                <xdr:colOff>527050</xdr:colOff>
                <xdr:row>6</xdr:row>
                <xdr:rowOff>139700</xdr:rowOff>
              </from>
              <to>
                <xdr:col>17</xdr:col>
                <xdr:colOff>711200</xdr:colOff>
                <xdr:row>7</xdr:row>
                <xdr:rowOff>146050</xdr:rowOff>
              </to>
            </anchor>
          </objectPr>
        </oleObject>
      </mc:Choice>
      <mc:Fallback>
        <oleObject shapeId="1055747" progId="Paint.Picture" r:id="rId7"/>
      </mc:Fallback>
    </mc:AlternateContent>
    <mc:AlternateContent xmlns:mc="http://schemas.openxmlformats.org/markup-compatibility/2006">
      <mc:Choice Requires="x14">
        <oleObject shapeId="1055748" progId="Paint.Picture" r:id="rId8">
          <objectPr defaultSize="0" r:id="rId4">
            <anchor moveWithCells="1">
              <from>
                <xdr:col>10</xdr:col>
                <xdr:colOff>431800</xdr:colOff>
                <xdr:row>19</xdr:row>
                <xdr:rowOff>6350</xdr:rowOff>
              </from>
              <to>
                <xdr:col>10</xdr:col>
                <xdr:colOff>685800</xdr:colOff>
                <xdr:row>20</xdr:row>
                <xdr:rowOff>127000</xdr:rowOff>
              </to>
            </anchor>
          </objectPr>
        </oleObject>
      </mc:Choice>
      <mc:Fallback>
        <oleObject shapeId="1055748" progId="Paint.Picture" r:id="rId8"/>
      </mc:Fallback>
    </mc:AlternateContent>
    <mc:AlternateContent xmlns:mc="http://schemas.openxmlformats.org/markup-compatibility/2006">
      <mc:Choice Requires="x14">
        <oleObject shapeId="6182908" progId="Paint.Picture" r:id="rId9">
          <objectPr defaultSize="0" r:id="rId6">
            <anchor moveWithCells="1">
              <from>
                <xdr:col>18</xdr:col>
                <xdr:colOff>527050</xdr:colOff>
                <xdr:row>6</xdr:row>
                <xdr:rowOff>139700</xdr:rowOff>
              </from>
              <to>
                <xdr:col>18</xdr:col>
                <xdr:colOff>711200</xdr:colOff>
                <xdr:row>7</xdr:row>
                <xdr:rowOff>146050</xdr:rowOff>
              </to>
            </anchor>
          </objectPr>
        </oleObject>
      </mc:Choice>
      <mc:Fallback>
        <oleObject shapeId="6182908" progId="Paint.Picture" r:id="rId9"/>
      </mc:Fallback>
    </mc:AlternateContent>
  </oleObjects>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6">
    <tabColor theme="6" tint="-0.249977111117893"/>
    <pageSetUpPr fitToPage="1"/>
  </sheetPr>
  <dimension ref="A2:S51"/>
  <sheetViews>
    <sheetView zoomScale="115" zoomScaleNormal="115" workbookViewId="0">
      <pane xSplit="3" ySplit="11" topLeftCell="D12" activePane="bottomRight" state="frozen"/>
      <selection/>
      <selection pane="topRight"/>
      <selection pane="bottomLeft"/>
      <selection pane="bottomRight" activeCell="C33" sqref="C33"/>
    </sheetView>
  </sheetViews>
  <sheetFormatPr defaultColWidth="9.13541666666667" defaultRowHeight="13.2"/>
  <cols>
    <col min="1" max="1" width="2.69791666666667" style="186" customWidth="1"/>
    <col min="2" max="2" width="7.79166666666667" style="186" customWidth="1"/>
    <col min="3" max="3" width="28.6145833333333" style="186" customWidth="1"/>
    <col min="4" max="4" width="5.84375" style="186" customWidth="1"/>
    <col min="5" max="5" width="16.3333333333333" style="186" customWidth="1"/>
    <col min="6" max="6" width="7.79166666666667" style="186" customWidth="1"/>
    <col min="7" max="8" width="16.3333333333333" style="186" customWidth="1"/>
    <col min="9" max="9" width="6.73958333333333" style="186" customWidth="1"/>
    <col min="10" max="10" width="16.3333333333333" style="186" customWidth="1"/>
    <col min="11" max="11" width="17.2291666666667" style="186" customWidth="1" outlineLevel="1"/>
    <col min="12" max="12" width="4.79166666666667" style="186" customWidth="1" outlineLevel="1"/>
    <col min="13" max="13" width="15.4270833333333" style="186" customWidth="1" outlineLevel="1"/>
    <col min="14" max="14" width="14.6875" style="186" customWidth="1" outlineLevel="1"/>
    <col min="15" max="15" width="4.79166666666667" style="186" customWidth="1" outlineLevel="1"/>
    <col min="16" max="16" width="15.7291666666667" style="186" customWidth="1"/>
    <col min="17" max="17" width="16.78125" style="186" customWidth="1"/>
    <col min="18" max="18" width="16.3333333333333" style="186" customWidth="1"/>
    <col min="19" max="19" width="7.1875" style="186" customWidth="1"/>
    <col min="20" max="16384" width="9.13541666666667" style="186"/>
  </cols>
  <sheetData>
    <row r="2" ht="21" spans="2:19">
      <c r="B2" s="1499" t="str">
        <f>B!B2</f>
        <v>KAP LIASTA NIRWAN SYAFRUDIN &amp; REKAN</v>
      </c>
      <c r="C2" s="3142"/>
      <c r="D2" s="731"/>
      <c r="E2" s="731"/>
      <c r="F2" s="731"/>
      <c r="G2" s="731"/>
      <c r="H2" s="731"/>
      <c r="I2" s="731"/>
      <c r="J2" s="731"/>
      <c r="K2" s="731"/>
      <c r="L2" s="731"/>
      <c r="M2" s="731"/>
      <c r="N2" s="731"/>
      <c r="O2" s="2649"/>
      <c r="P2" s="731" t="s">
        <v>481</v>
      </c>
      <c r="Q2" s="765" t="s">
        <v>482</v>
      </c>
      <c r="R2" s="766" t="s">
        <v>483</v>
      </c>
      <c r="S2" s="766"/>
    </row>
    <row r="3" ht="15.6" spans="2:19">
      <c r="B3" s="1500"/>
      <c r="C3" s="3143"/>
      <c r="D3" s="1501"/>
      <c r="E3" s="1954"/>
      <c r="F3" s="1954"/>
      <c r="G3" s="1954"/>
      <c r="H3" s="1954"/>
      <c r="I3" s="1954"/>
      <c r="J3" s="1954"/>
      <c r="K3" s="3149"/>
      <c r="L3" s="3149"/>
      <c r="M3" s="2625"/>
      <c r="N3" s="2625"/>
      <c r="O3" s="1586"/>
      <c r="P3" s="738" t="s">
        <v>484</v>
      </c>
      <c r="Q3" s="767">
        <f>B!S3</f>
        <v>45173</v>
      </c>
      <c r="R3" s="768" t="s">
        <v>741</v>
      </c>
      <c r="S3" s="768"/>
    </row>
    <row r="4" spans="2:19">
      <c r="B4" s="1546" t="str">
        <f>B!B4</f>
        <v>Client </v>
      </c>
      <c r="C4" s="3144" t="str">
        <f>B!D4</f>
        <v>PT INTAN GIRI ABADI</v>
      </c>
      <c r="D4" s="1548"/>
      <c r="E4" s="1548"/>
      <c r="F4" s="1548"/>
      <c r="G4" s="1548"/>
      <c r="H4" s="1548"/>
      <c r="I4" s="1548"/>
      <c r="J4" s="1548"/>
      <c r="K4" s="1548"/>
      <c r="L4" s="1548"/>
      <c r="M4" s="1548"/>
      <c r="N4" s="1548"/>
      <c r="O4" s="746"/>
      <c r="P4" s="742" t="s">
        <v>487</v>
      </c>
      <c r="Q4" s="769" t="s">
        <v>482</v>
      </c>
      <c r="R4" s="770" t="s">
        <v>488</v>
      </c>
      <c r="S4" s="770"/>
    </row>
    <row r="5" spans="2:19">
      <c r="B5" s="775"/>
      <c r="C5" s="3143"/>
      <c r="D5" s="753"/>
      <c r="E5" s="753"/>
      <c r="F5" s="753"/>
      <c r="G5" s="753"/>
      <c r="H5" s="753"/>
      <c r="I5" s="753"/>
      <c r="J5" s="753"/>
      <c r="K5" s="753"/>
      <c r="L5" s="753"/>
      <c r="M5" s="753"/>
      <c r="N5" s="753"/>
      <c r="O5" s="1592"/>
      <c r="P5" s="1592"/>
      <c r="Q5" s="771"/>
      <c r="R5" s="772"/>
      <c r="S5" s="772"/>
    </row>
    <row r="6" spans="2:19">
      <c r="B6" s="773"/>
      <c r="C6" s="3144"/>
      <c r="D6" s="1760"/>
      <c r="E6" s="1760"/>
      <c r="F6" s="1760"/>
      <c r="G6" s="1760"/>
      <c r="H6" s="1760"/>
      <c r="I6" s="1760"/>
      <c r="J6" s="1760"/>
      <c r="K6" s="1760"/>
      <c r="L6" s="1760"/>
      <c r="M6" s="1760"/>
      <c r="N6" s="1760"/>
      <c r="O6" s="770"/>
      <c r="P6" s="742"/>
      <c r="Q6" s="773"/>
      <c r="R6" s="774" t="s">
        <v>491</v>
      </c>
      <c r="S6" s="774"/>
    </row>
    <row r="7" spans="2:19">
      <c r="B7" s="1549" t="s">
        <v>2247</v>
      </c>
      <c r="C7" s="3143" t="str">
        <f>+'F1'!C22</f>
        <v>Pajak dibayar dimuka</v>
      </c>
      <c r="D7" s="1550"/>
      <c r="E7" s="753"/>
      <c r="F7" s="753"/>
      <c r="G7" s="753"/>
      <c r="H7" s="753"/>
      <c r="I7" s="753"/>
      <c r="J7" s="753"/>
      <c r="K7" s="753"/>
      <c r="L7" s="753"/>
      <c r="M7" s="753"/>
      <c r="N7" s="753"/>
      <c r="O7" s="1599"/>
      <c r="P7" s="753"/>
      <c r="Q7" s="775"/>
      <c r="R7" s="776">
        <f>B!T7</f>
        <v>44926</v>
      </c>
      <c r="S7" s="776"/>
    </row>
    <row r="8" ht="13.95" spans="13:14">
      <c r="M8" s="1388"/>
      <c r="N8" s="1388"/>
    </row>
    <row r="9" spans="2:19">
      <c r="B9" s="2443"/>
      <c r="C9" s="1328"/>
      <c r="D9" s="1330"/>
      <c r="E9" s="1329" t="s">
        <v>2248</v>
      </c>
      <c r="F9" s="1330"/>
      <c r="G9" s="2281" t="s">
        <v>1228</v>
      </c>
      <c r="H9" s="2281"/>
      <c r="I9" s="1330"/>
      <c r="J9" s="1327" t="s">
        <v>2248</v>
      </c>
      <c r="K9" s="1329" t="s">
        <v>2248</v>
      </c>
      <c r="L9" s="1330"/>
      <c r="M9" s="2281" t="s">
        <v>1228</v>
      </c>
      <c r="N9" s="2281"/>
      <c r="O9" s="1330"/>
      <c r="P9" s="1327" t="s">
        <v>2248</v>
      </c>
      <c r="Q9" s="1327" t="s">
        <v>2248</v>
      </c>
      <c r="R9" s="1403">
        <f>+J11</f>
        <v>44926</v>
      </c>
      <c r="S9" s="1404"/>
    </row>
    <row r="10" spans="2:19">
      <c r="B10" s="2444" t="s">
        <v>492</v>
      </c>
      <c r="C10" s="2445"/>
      <c r="D10" s="1336" t="s">
        <v>654</v>
      </c>
      <c r="E10" s="1335" t="s">
        <v>2249</v>
      </c>
      <c r="F10" s="1336" t="s">
        <v>1230</v>
      </c>
      <c r="G10" s="2283"/>
      <c r="H10" s="2283"/>
      <c r="I10" s="1336" t="s">
        <v>1230</v>
      </c>
      <c r="J10" s="1389" t="s">
        <v>2250</v>
      </c>
      <c r="K10" s="1335" t="s">
        <v>2249</v>
      </c>
      <c r="L10" s="1336" t="s">
        <v>1230</v>
      </c>
      <c r="M10" s="2283"/>
      <c r="N10" s="2283"/>
      <c r="O10" s="1336" t="s">
        <v>1230</v>
      </c>
      <c r="P10" s="1389" t="s">
        <v>2250</v>
      </c>
      <c r="Q10" s="1389" t="s">
        <v>2250</v>
      </c>
      <c r="R10" s="1405" t="s">
        <v>2251</v>
      </c>
      <c r="S10" s="1406"/>
    </row>
    <row r="11" ht="13.95" spans="2:19">
      <c r="B11" s="2446"/>
      <c r="C11" s="1340"/>
      <c r="D11" s="5111" t="s">
        <v>2252</v>
      </c>
      <c r="E11" s="1341">
        <v>44926</v>
      </c>
      <c r="F11" s="1342" t="s">
        <v>2253</v>
      </c>
      <c r="G11" s="1342" t="s">
        <v>1231</v>
      </c>
      <c r="H11" s="1342" t="s">
        <v>1232</v>
      </c>
      <c r="I11" s="1342" t="s">
        <v>2253</v>
      </c>
      <c r="J11" s="1390">
        <f>E11</f>
        <v>44926</v>
      </c>
      <c r="K11" s="1341">
        <f>+P11</f>
        <v>44561</v>
      </c>
      <c r="L11" s="1342" t="s">
        <v>2253</v>
      </c>
      <c r="M11" s="1342" t="s">
        <v>1231</v>
      </c>
      <c r="N11" s="1342" t="s">
        <v>1232</v>
      </c>
      <c r="O11" s="1342" t="s">
        <v>2253</v>
      </c>
      <c r="P11" s="1390">
        <f>+J11-365</f>
        <v>44561</v>
      </c>
      <c r="Q11" s="1390">
        <f>+P11-365</f>
        <v>44196</v>
      </c>
      <c r="R11" s="1342" t="s">
        <v>151</v>
      </c>
      <c r="S11" s="5112" t="s">
        <v>2254</v>
      </c>
    </row>
    <row r="12" spans="2:19">
      <c r="B12" s="1983"/>
      <c r="D12" s="135"/>
      <c r="E12" s="296"/>
      <c r="F12" s="296"/>
      <c r="G12" s="296"/>
      <c r="H12" s="296"/>
      <c r="I12" s="296"/>
      <c r="J12" s="296"/>
      <c r="K12" s="296"/>
      <c r="L12" s="135"/>
      <c r="M12" s="296"/>
      <c r="N12" s="296"/>
      <c r="O12" s="135"/>
      <c r="P12" s="1391"/>
      <c r="R12" s="296"/>
      <c r="S12" s="1409"/>
    </row>
    <row r="13" spans="2:19">
      <c r="B13" s="1983"/>
      <c r="C13" s="248"/>
      <c r="D13" s="135"/>
      <c r="E13" s="296"/>
      <c r="F13" s="296"/>
      <c r="G13" s="296"/>
      <c r="H13" s="296"/>
      <c r="I13" s="296"/>
      <c r="J13" s="296"/>
      <c r="K13" s="296"/>
      <c r="L13" s="135"/>
      <c r="M13" s="296"/>
      <c r="N13" s="296"/>
      <c r="O13" s="135"/>
      <c r="P13" s="296"/>
      <c r="R13" s="296"/>
      <c r="S13" s="1409"/>
    </row>
    <row r="14" spans="2:19">
      <c r="B14" s="1983"/>
      <c r="C14" s="186" t="s">
        <v>11556</v>
      </c>
      <c r="D14" s="135"/>
      <c r="E14" s="156">
        <v>0</v>
      </c>
      <c r="F14" s="156"/>
      <c r="G14" s="156"/>
      <c r="H14" s="156"/>
      <c r="I14" s="296"/>
      <c r="J14" s="3150">
        <f>E14+G14-H14</f>
        <v>0</v>
      </c>
      <c r="K14" s="3150">
        <v>0</v>
      </c>
      <c r="L14" s="3151"/>
      <c r="M14" s="3150"/>
      <c r="N14" s="3150"/>
      <c r="O14" s="3151"/>
      <c r="P14" s="3150">
        <f>K14+M14-N14</f>
        <v>0</v>
      </c>
      <c r="Q14" s="3160">
        <v>0</v>
      </c>
      <c r="R14" s="3150">
        <f>E14-P14</f>
        <v>0</v>
      </c>
      <c r="S14" s="1409">
        <f>IF(Q14=0,IF(R14=0,0,R14/R14),R14/Q14)</f>
        <v>0</v>
      </c>
    </row>
    <row r="15" spans="2:19">
      <c r="B15" s="1983"/>
      <c r="D15" s="135"/>
      <c r="E15" s="156">
        <v>0</v>
      </c>
      <c r="F15" s="156"/>
      <c r="G15" s="156"/>
      <c r="H15" s="156">
        <f>'F4'!H39</f>
        <v>0</v>
      </c>
      <c r="I15" s="296"/>
      <c r="J15" s="3150">
        <f>E15+G15-H15</f>
        <v>0</v>
      </c>
      <c r="K15" s="3150"/>
      <c r="L15" s="3151"/>
      <c r="M15" s="3150"/>
      <c r="N15" s="3150"/>
      <c r="O15" s="3151"/>
      <c r="P15" s="3150">
        <f>K15+M15-N15</f>
        <v>0</v>
      </c>
      <c r="Q15" s="3160">
        <v>0</v>
      </c>
      <c r="R15" s="3150">
        <f>E15-P15</f>
        <v>0</v>
      </c>
      <c r="S15" s="1409">
        <f>IF(Q15=0,IF(R15=0,0,R15/R15),R15/Q15)</f>
        <v>0</v>
      </c>
    </row>
    <row r="16" spans="2:19">
      <c r="B16" s="1983"/>
      <c r="C16" s="186" t="s">
        <v>402</v>
      </c>
      <c r="D16" s="135"/>
      <c r="E16" s="156">
        <v>0</v>
      </c>
      <c r="F16" s="156"/>
      <c r="G16" s="156"/>
      <c r="H16" s="156"/>
      <c r="I16" s="296"/>
      <c r="J16" s="3150">
        <f>E16+G16-H16</f>
        <v>0</v>
      </c>
      <c r="K16" s="3150"/>
      <c r="L16" s="3151"/>
      <c r="M16" s="3150"/>
      <c r="N16" s="3150"/>
      <c r="O16" s="3151"/>
      <c r="P16" s="3150">
        <f>K16+M16-N16</f>
        <v>0</v>
      </c>
      <c r="Q16" s="3160">
        <v>0</v>
      </c>
      <c r="R16" s="3150">
        <f>E16-P16</f>
        <v>0</v>
      </c>
      <c r="S16" s="1409">
        <f>IF(Q16=0,IF(R16=0,0,R16/R16),R16/Q16)</f>
        <v>0</v>
      </c>
    </row>
    <row r="17" spans="2:19">
      <c r="B17" s="1983"/>
      <c r="D17" s="135"/>
      <c r="E17" s="171"/>
      <c r="F17" s="156"/>
      <c r="G17" s="156"/>
      <c r="H17" s="156"/>
      <c r="I17" s="296"/>
      <c r="J17" s="3152"/>
      <c r="K17" s="3152"/>
      <c r="L17" s="3153"/>
      <c r="M17" s="3152"/>
      <c r="N17" s="3152"/>
      <c r="O17" s="3153"/>
      <c r="P17" s="3152"/>
      <c r="Q17" s="3152"/>
      <c r="R17" s="3152"/>
      <c r="S17" s="3161"/>
    </row>
    <row r="18" spans="2:19">
      <c r="B18" s="1983"/>
      <c r="C18" s="248" t="s">
        <v>11557</v>
      </c>
      <c r="D18" s="135"/>
      <c r="E18" s="156">
        <f>SUM(E14:E17)</f>
        <v>0</v>
      </c>
      <c r="F18" s="156"/>
      <c r="G18" s="156"/>
      <c r="H18" s="156"/>
      <c r="I18" s="296"/>
      <c r="J18" s="3150">
        <f>SUM(J14:J17)</f>
        <v>0</v>
      </c>
      <c r="K18" s="3150">
        <f>SUM(K14:K17)</f>
        <v>0</v>
      </c>
      <c r="L18" s="3151"/>
      <c r="M18" s="3150">
        <f>SUM(M14:M17)</f>
        <v>0</v>
      </c>
      <c r="N18" s="3150">
        <f>SUM(N14:N17)</f>
        <v>0</v>
      </c>
      <c r="O18" s="3151"/>
      <c r="P18" s="3150">
        <f>SUM(P14:P17)</f>
        <v>0</v>
      </c>
      <c r="Q18" s="3150">
        <f>SUM(Q14:Q17)</f>
        <v>0</v>
      </c>
      <c r="R18" s="3150">
        <f>SUM(R14:R17)</f>
        <v>0</v>
      </c>
      <c r="S18" s="1409">
        <f>AVERAGE(S14:S17)</f>
        <v>0</v>
      </c>
    </row>
    <row r="19" spans="2:19">
      <c r="B19" s="1983"/>
      <c r="D19" s="135"/>
      <c r="E19" s="156"/>
      <c r="F19" s="156"/>
      <c r="G19" s="156"/>
      <c r="H19" s="156"/>
      <c r="I19" s="296"/>
      <c r="J19" s="3150"/>
      <c r="K19" s="3150"/>
      <c r="L19" s="3151"/>
      <c r="M19" s="3150"/>
      <c r="N19" s="3150"/>
      <c r="O19" s="3151"/>
      <c r="P19" s="3150"/>
      <c r="Q19" s="3160"/>
      <c r="R19" s="3150"/>
      <c r="S19" s="1409"/>
    </row>
    <row r="20" spans="2:19">
      <c r="B20" s="1983"/>
      <c r="C20" s="248" t="s">
        <v>11558</v>
      </c>
      <c r="D20" s="135"/>
      <c r="E20" s="156"/>
      <c r="F20" s="156"/>
      <c r="G20" s="156"/>
      <c r="H20" s="156"/>
      <c r="I20" s="296"/>
      <c r="J20" s="3150"/>
      <c r="K20" s="3150"/>
      <c r="L20" s="3151"/>
      <c r="M20" s="3150"/>
      <c r="N20" s="3150"/>
      <c r="O20" s="3151"/>
      <c r="P20" s="3150"/>
      <c r="Q20" s="3160"/>
      <c r="R20" s="3150"/>
      <c r="S20" s="1409"/>
    </row>
    <row r="21" spans="2:19">
      <c r="B21" s="1983"/>
      <c r="D21" s="135"/>
      <c r="E21" s="156">
        <v>0</v>
      </c>
      <c r="F21" s="156"/>
      <c r="G21" s="156"/>
      <c r="H21" s="156"/>
      <c r="I21" s="296"/>
      <c r="J21" s="3150">
        <f>E21+G21-H21</f>
        <v>0</v>
      </c>
      <c r="K21" s="3150">
        <v>0</v>
      </c>
      <c r="L21" s="3151"/>
      <c r="M21" s="3150"/>
      <c r="N21" s="3150"/>
      <c r="O21" s="3151"/>
      <c r="P21" s="3150">
        <f>K21+M21-N21</f>
        <v>0</v>
      </c>
      <c r="Q21" s="3160">
        <v>0</v>
      </c>
      <c r="R21" s="3150">
        <f>E21-P21</f>
        <v>0</v>
      </c>
      <c r="S21" s="1409">
        <f>IF(Q21=0,IF(R21=0,0,R21/R21),R21/Q21)</f>
        <v>0</v>
      </c>
    </row>
    <row r="22" spans="2:19">
      <c r="B22" s="1983"/>
      <c r="D22" s="135"/>
      <c r="E22" s="156">
        <v>0</v>
      </c>
      <c r="F22" s="156"/>
      <c r="G22" s="156"/>
      <c r="H22" s="156"/>
      <c r="I22" s="296"/>
      <c r="J22" s="3150">
        <f>E22+G22-H22</f>
        <v>0</v>
      </c>
      <c r="K22" s="3150">
        <v>0</v>
      </c>
      <c r="L22" s="3151"/>
      <c r="M22" s="3150"/>
      <c r="N22" s="3150"/>
      <c r="O22" s="3151"/>
      <c r="P22" s="3150">
        <f>K22+M22-N22</f>
        <v>0</v>
      </c>
      <c r="Q22" s="3160">
        <v>0</v>
      </c>
      <c r="R22" s="3150">
        <f>E22-P22</f>
        <v>0</v>
      </c>
      <c r="S22" s="1409">
        <f>IF(Q22=0,IF(R22=0,0,R22/R22),R22/Q22)</f>
        <v>0</v>
      </c>
    </row>
    <row r="23" spans="1:19">
      <c r="A23" s="296"/>
      <c r="B23" s="134"/>
      <c r="D23" s="135"/>
      <c r="E23" s="156">
        <v>0</v>
      </c>
      <c r="F23" s="156"/>
      <c r="G23" s="156"/>
      <c r="H23" s="156"/>
      <c r="I23" s="296"/>
      <c r="J23" s="3150">
        <f>E23+G23-H23</f>
        <v>0</v>
      </c>
      <c r="K23" s="3150">
        <v>0</v>
      </c>
      <c r="L23" s="3151"/>
      <c r="M23" s="3150"/>
      <c r="N23" s="3150"/>
      <c r="O23" s="3151"/>
      <c r="P23" s="3150">
        <f>K23+M23-N23</f>
        <v>0</v>
      </c>
      <c r="Q23" s="3160">
        <v>0</v>
      </c>
      <c r="R23" s="3150">
        <f>E23-P23</f>
        <v>0</v>
      </c>
      <c r="S23" s="1409">
        <f>IF(Q23=0,IF(R23=0,0,R23/R23),R23/Q23)</f>
        <v>0</v>
      </c>
    </row>
    <row r="24" spans="2:19">
      <c r="B24" s="1983"/>
      <c r="D24" s="135"/>
      <c r="E24" s="156">
        <v>0</v>
      </c>
      <c r="F24" s="156"/>
      <c r="G24" s="156"/>
      <c r="H24" s="156"/>
      <c r="I24" s="296"/>
      <c r="J24" s="3150">
        <f>E24+G24-H24</f>
        <v>0</v>
      </c>
      <c r="K24" s="3150">
        <v>0</v>
      </c>
      <c r="L24" s="3151"/>
      <c r="M24" s="3150"/>
      <c r="N24" s="3150"/>
      <c r="O24" s="3151"/>
      <c r="P24" s="3150">
        <f>K24+M24-N24</f>
        <v>0</v>
      </c>
      <c r="Q24" s="3160">
        <v>0</v>
      </c>
      <c r="R24" s="3150">
        <f>E24-P24</f>
        <v>0</v>
      </c>
      <c r="S24" s="1409">
        <f>IF(Q24=0,IF(R24=0,0,R24/R24),R24/Q24)</f>
        <v>0</v>
      </c>
    </row>
    <row r="25" spans="2:19">
      <c r="B25" s="1983"/>
      <c r="D25" s="135"/>
      <c r="E25" s="171"/>
      <c r="F25" s="156"/>
      <c r="G25" s="156"/>
      <c r="H25" s="156"/>
      <c r="I25" s="296"/>
      <c r="J25" s="3152"/>
      <c r="K25" s="3152"/>
      <c r="L25" s="3153"/>
      <c r="M25" s="3152"/>
      <c r="N25" s="3152"/>
      <c r="O25" s="3153"/>
      <c r="P25" s="3152"/>
      <c r="Q25" s="3152"/>
      <c r="R25" s="3152"/>
      <c r="S25" s="3161"/>
    </row>
    <row r="26" spans="2:19">
      <c r="B26" s="1983"/>
      <c r="C26" s="248" t="s">
        <v>151</v>
      </c>
      <c r="D26" s="135"/>
      <c r="E26" s="156">
        <f>SUM(E21:E25)</f>
        <v>0</v>
      </c>
      <c r="F26" s="156"/>
      <c r="G26" s="156"/>
      <c r="H26" s="156"/>
      <c r="I26" s="296"/>
      <c r="J26" s="3150">
        <f>SUM(J21:J25)</f>
        <v>0</v>
      </c>
      <c r="K26" s="3150">
        <f>SUM(K21:K25)</f>
        <v>0</v>
      </c>
      <c r="L26" s="3151"/>
      <c r="M26" s="3150">
        <f>SUM(M21:M25)</f>
        <v>0</v>
      </c>
      <c r="N26" s="3150">
        <f>SUM(N21:N25)</f>
        <v>0</v>
      </c>
      <c r="O26" s="3151"/>
      <c r="P26" s="3150">
        <f>SUM(P21:P25)</f>
        <v>0</v>
      </c>
      <c r="Q26" s="3150">
        <f>SUM(Q21:Q25)</f>
        <v>0</v>
      </c>
      <c r="R26" s="3150">
        <f>SUM(R21:R25)</f>
        <v>0</v>
      </c>
      <c r="S26" s="1409">
        <f>AVERAGE(S23:S25)</f>
        <v>0</v>
      </c>
    </row>
    <row r="27" spans="2:19">
      <c r="B27" s="1983"/>
      <c r="D27" s="135"/>
      <c r="E27" s="177"/>
      <c r="F27" s="156"/>
      <c r="G27" s="162"/>
      <c r="H27" s="156"/>
      <c r="I27" s="289"/>
      <c r="J27" s="3150"/>
      <c r="K27" s="3150"/>
      <c r="L27" s="3151"/>
      <c r="M27" s="3150"/>
      <c r="N27" s="3150"/>
      <c r="O27" s="3151"/>
      <c r="P27" s="3150"/>
      <c r="Q27" s="3160"/>
      <c r="R27" s="3150"/>
      <c r="S27" s="1409"/>
    </row>
    <row r="28" ht="13.95" spans="2:19">
      <c r="B28" s="1985"/>
      <c r="C28" s="2447" t="s">
        <v>151</v>
      </c>
      <c r="D28" s="135"/>
      <c r="E28" s="1411">
        <f>E18+E26</f>
        <v>0</v>
      </c>
      <c r="F28" s="191"/>
      <c r="G28">
        <f>SUM(G14:G26)</f>
        <v>0</v>
      </c>
      <c r="H28" s="191">
        <f>SUM(H14:H26)</f>
        <v>0</v>
      </c>
      <c r="I28" s="2509"/>
      <c r="J28" s="3154">
        <f>J18+J26</f>
        <v>0</v>
      </c>
      <c r="K28" s="1392">
        <f>K18+K26</f>
        <v>0</v>
      </c>
      <c r="L28"/>
      <c r="M28" s="3154">
        <f>M18+M26</f>
        <v>0</v>
      </c>
      <c r="N28" s="1392">
        <f>N18+N26</f>
        <v>0</v>
      </c>
      <c r="O28"/>
      <c r="P28" s="3154">
        <f>P18+P26</f>
        <v>0</v>
      </c>
      <c r="Q28" s="3154">
        <f>Q18+Q26</f>
        <v>0</v>
      </c>
      <c r="R28" s="3154">
        <f>R18+R26</f>
        <v>0</v>
      </c>
      <c r="S28" s="2316">
        <f>S18+S26/2</f>
        <v>0</v>
      </c>
    </row>
    <row r="29" ht="14.7" spans="2:19">
      <c r="B29" s="2448"/>
      <c r="C29" s="1347"/>
      <c r="D29" s="2286"/>
      <c r="E29" s="1348">
        <f>+E28-'F1'!E22</f>
        <v>0</v>
      </c>
      <c r="F29" s="2287"/>
      <c r="G29" s="1348"/>
      <c r="H29" s="3145"/>
      <c r="I29" s="1348"/>
      <c r="J29" s="1348">
        <f>+J28-'F1'!J22</f>
        <v>0</v>
      </c>
      <c r="K29" s="3155"/>
      <c r="L29" s="2286"/>
      <c r="M29" s="1348"/>
      <c r="N29" s="1348"/>
      <c r="O29" s="2286"/>
      <c r="P29" s="1348">
        <f>+P28-'F1'!P22</f>
        <v>0</v>
      </c>
      <c r="Q29" s="1348">
        <f>+Q28-'F1'!Q22</f>
        <v>0</v>
      </c>
      <c r="R29" s="1348"/>
      <c r="S29" s="2317"/>
    </row>
    <row r="30" spans="11:19">
      <c r="K30" s="3156" t="s">
        <v>649</v>
      </c>
      <c r="L30"/>
      <c r="M30"/>
      <c r="N30"/>
      <c r="O30"/>
      <c r="P30"/>
      <c r="Q30" s="3156" t="s">
        <v>650</v>
      </c>
      <c r="S30" s="2318"/>
    </row>
    <row r="31" spans="19:19">
      <c r="S31" s="2318"/>
    </row>
    <row r="33" spans="3:3">
      <c r="C33" s="248"/>
    </row>
    <row r="34" spans="3:3">
      <c r="C34" s="186" t="str">
        <f>'F1'!C46</f>
        <v>Sesuai dengan Saldo Buku Besar Periode 31 Desember 2022 &amp; 2021</v>
      </c>
    </row>
    <row r="35" spans="3:3">
      <c r="C35" s="5113" t="str">
        <f>'F1'!C47</f>
        <v>Sesuai dengan Saldo Audit Periode Sebelumnya</v>
      </c>
    </row>
    <row r="36" spans="3:3">
      <c r="C36" s="5113" t="str">
        <f>'F1'!C48</f>
        <v>Rumus dan Formula Perhitungan telah Diperiksa</v>
      </c>
    </row>
    <row r="38" spans="2:18">
      <c r="B38" s="3146"/>
      <c r="C38" s="2418"/>
      <c r="D38" s="2418"/>
      <c r="E38" s="2418"/>
      <c r="F38" s="2418"/>
      <c r="G38" s="2418"/>
      <c r="H38" s="2418"/>
      <c r="I38" s="2418"/>
      <c r="J38" s="2418"/>
      <c r="K38" s="2418"/>
      <c r="L38" s="2418"/>
      <c r="M38" s="2418"/>
      <c r="N38" s="2418"/>
      <c r="O38" s="2418"/>
      <c r="P38" s="2418"/>
      <c r="Q38" s="2418"/>
      <c r="R38" s="2427"/>
    </row>
    <row r="39" spans="2:18">
      <c r="B39" s="2011"/>
      <c r="C39" s="621"/>
      <c r="D39" s="621"/>
      <c r="E39" s="621"/>
      <c r="F39" s="621"/>
      <c r="G39" s="621"/>
      <c r="H39" s="621"/>
      <c r="I39" s="621"/>
      <c r="J39" s="621"/>
      <c r="K39" s="621"/>
      <c r="L39" s="621"/>
      <c r="M39" s="621"/>
      <c r="N39" s="621"/>
      <c r="O39" s="621"/>
      <c r="P39" s="621"/>
      <c r="Q39" s="621"/>
      <c r="R39" s="2428"/>
    </row>
    <row r="40" spans="2:18">
      <c r="B40" s="2011"/>
      <c r="C40" s="621"/>
      <c r="D40" s="621"/>
      <c r="E40" s="3147"/>
      <c r="F40" s="3147"/>
      <c r="G40" s="3147"/>
      <c r="H40" s="3147"/>
      <c r="I40" s="3147"/>
      <c r="J40" s="3147"/>
      <c r="K40" s="3147"/>
      <c r="L40" s="3147"/>
      <c r="M40" s="3147"/>
      <c r="N40" s="3147"/>
      <c r="O40" s="3147"/>
      <c r="P40" s="621"/>
      <c r="Q40" s="621"/>
      <c r="R40" s="2428"/>
    </row>
    <row r="41" spans="2:18">
      <c r="B41" s="2011"/>
      <c r="C41" s="621"/>
      <c r="D41" s="621"/>
      <c r="E41" s="3147"/>
      <c r="F41" s="3147"/>
      <c r="G41" s="3147"/>
      <c r="H41" s="3147"/>
      <c r="I41" s="3147"/>
      <c r="J41" s="3147"/>
      <c r="K41" s="3147"/>
      <c r="L41" s="3147"/>
      <c r="M41" s="3147"/>
      <c r="N41" s="3147"/>
      <c r="O41" s="3147"/>
      <c r="P41" s="621"/>
      <c r="Q41" s="621"/>
      <c r="R41" s="2428"/>
    </row>
    <row r="42" spans="2:18">
      <c r="B42" s="2011"/>
      <c r="C42" s="621"/>
      <c r="D42" s="621"/>
      <c r="E42" s="3147"/>
      <c r="F42" s="3147"/>
      <c r="G42" s="3147"/>
      <c r="H42" s="3147"/>
      <c r="I42" s="3147"/>
      <c r="J42" s="3147"/>
      <c r="K42" s="3147"/>
      <c r="L42" s="3147"/>
      <c r="M42" s="3147"/>
      <c r="N42" s="3147"/>
      <c r="O42" s="3147"/>
      <c r="P42" s="621"/>
      <c r="Q42" s="621"/>
      <c r="R42" s="2428"/>
    </row>
    <row r="43" spans="2:18">
      <c r="B43" s="2011"/>
      <c r="C43" s="621"/>
      <c r="D43" s="621"/>
      <c r="E43" s="3147"/>
      <c r="F43" s="3147"/>
      <c r="G43" s="3147"/>
      <c r="H43" s="3147"/>
      <c r="I43" s="3147"/>
      <c r="J43" s="3147"/>
      <c r="K43" s="3147"/>
      <c r="L43" s="3147"/>
      <c r="M43" s="3147"/>
      <c r="N43" s="3147"/>
      <c r="O43" s="3147"/>
      <c r="P43" s="621"/>
      <c r="Q43" s="621"/>
      <c r="R43" s="2428"/>
    </row>
    <row r="44" spans="2:18">
      <c r="B44" s="2011"/>
      <c r="C44" s="621"/>
      <c r="D44" s="621"/>
      <c r="E44" s="3147"/>
      <c r="F44" s="3147"/>
      <c r="G44" s="3147"/>
      <c r="H44" s="3147"/>
      <c r="I44" s="3147"/>
      <c r="J44" s="3147"/>
      <c r="K44" s="3147"/>
      <c r="L44" s="3147"/>
      <c r="M44" s="3147"/>
      <c r="N44" s="3147"/>
      <c r="O44" s="3147"/>
      <c r="P44" s="621"/>
      <c r="Q44" s="621"/>
      <c r="R44" s="2428"/>
    </row>
    <row r="45" spans="2:18">
      <c r="B45" s="2011"/>
      <c r="C45" s="621"/>
      <c r="D45" s="621"/>
      <c r="E45" s="3147"/>
      <c r="F45" s="3147"/>
      <c r="G45" s="3147"/>
      <c r="H45" s="3147"/>
      <c r="I45" s="3147"/>
      <c r="J45" s="3147"/>
      <c r="K45" s="3147"/>
      <c r="L45" s="3147"/>
      <c r="M45" s="3147"/>
      <c r="N45" s="3147"/>
      <c r="O45" s="3147"/>
      <c r="P45" s="621"/>
      <c r="Q45" s="621"/>
      <c r="R45" s="2428"/>
    </row>
    <row r="46" spans="2:18">
      <c r="B46" s="2011"/>
      <c r="C46" s="621"/>
      <c r="D46" s="621"/>
      <c r="E46" s="621"/>
      <c r="F46" s="621"/>
      <c r="G46" s="621"/>
      <c r="H46" s="621"/>
      <c r="I46" s="621"/>
      <c r="J46" s="621"/>
      <c r="K46" s="621"/>
      <c r="L46" s="621"/>
      <c r="M46" s="621"/>
      <c r="N46" s="621"/>
      <c r="O46" s="621"/>
      <c r="P46" s="621"/>
      <c r="Q46" s="621"/>
      <c r="R46" s="2428"/>
    </row>
    <row r="47" ht="13.95" spans="1:18">
      <c r="A47" s="289"/>
      <c r="B47" s="621"/>
      <c r="C47" s="621"/>
      <c r="D47" s="621"/>
      <c r="E47" s="621"/>
      <c r="F47" s="621"/>
      <c r="G47" s="621"/>
      <c r="H47" s="621"/>
      <c r="I47" s="621"/>
      <c r="J47" s="621"/>
      <c r="K47" s="621"/>
      <c r="L47" s="621"/>
      <c r="M47" s="621"/>
      <c r="N47" s="621"/>
      <c r="O47" s="621"/>
      <c r="P47" s="621"/>
      <c r="Q47" s="621"/>
      <c r="R47" s="2428"/>
    </row>
    <row r="48" ht="13.95" spans="1:18">
      <c r="A48" s="289"/>
      <c r="B48" s="608" t="s">
        <v>952</v>
      </c>
      <c r="C48" s="2008"/>
      <c r="D48" s="2009"/>
      <c r="E48" s="2050"/>
      <c r="F48" s="2050"/>
      <c r="G48" s="2050"/>
      <c r="H48" s="2050"/>
      <c r="I48" s="2050"/>
      <c r="J48" s="2050"/>
      <c r="K48" s="2051"/>
      <c r="L48" s="616" t="s">
        <v>953</v>
      </c>
      <c r="M48" s="2050" t="s">
        <v>954</v>
      </c>
      <c r="N48" s="2052"/>
      <c r="O48" s="618"/>
      <c r="P48" s="2050" t="s">
        <v>2264</v>
      </c>
      <c r="Q48" s="621"/>
      <c r="R48" s="2428"/>
    </row>
    <row r="49" spans="1:18">
      <c r="A49" s="289"/>
      <c r="B49" s="608"/>
      <c r="C49" s="2008"/>
      <c r="D49" s="2009"/>
      <c r="E49" s="2050"/>
      <c r="F49" s="2050"/>
      <c r="G49" s="2050"/>
      <c r="H49" s="2050"/>
      <c r="I49" s="2050"/>
      <c r="J49" s="2050"/>
      <c r="K49" s="2053"/>
      <c r="L49" s="2053"/>
      <c r="M49" s="2050"/>
      <c r="N49" s="619"/>
      <c r="O49" s="619"/>
      <c r="P49" s="2050"/>
      <c r="Q49" s="621"/>
      <c r="R49" s="2428"/>
    </row>
    <row r="50" spans="1:18">
      <c r="A50" s="289"/>
      <c r="B50" s="3148" t="s">
        <v>2271</v>
      </c>
      <c r="C50" s="2008"/>
      <c r="D50" s="2009"/>
      <c r="E50" s="2050"/>
      <c r="F50" s="2050"/>
      <c r="G50" s="2050"/>
      <c r="H50" s="2050"/>
      <c r="I50" s="2050"/>
      <c r="J50" s="2050"/>
      <c r="K50" s="3157"/>
      <c r="L50" s="2008"/>
      <c r="M50" s="2008"/>
      <c r="N50" s="2008"/>
      <c r="O50" s="3158"/>
      <c r="P50" s="3159"/>
      <c r="Q50" s="621"/>
      <c r="R50" s="2428"/>
    </row>
    <row r="51" spans="2:18">
      <c r="B51" s="2012"/>
      <c r="C51" s="2013"/>
      <c r="D51" s="2013"/>
      <c r="E51" s="2013"/>
      <c r="F51" s="2013"/>
      <c r="G51" s="2013"/>
      <c r="H51" s="2013"/>
      <c r="I51" s="2013"/>
      <c r="J51" s="2013"/>
      <c r="K51" s="2013"/>
      <c r="L51" s="2013"/>
      <c r="M51" s="2013"/>
      <c r="N51" s="2013"/>
      <c r="O51" s="2013"/>
      <c r="P51" s="2013"/>
      <c r="Q51" s="2013"/>
      <c r="R51" s="2416"/>
    </row>
  </sheetData>
  <mergeCells count="5">
    <mergeCell ref="R9:S9"/>
    <mergeCell ref="B10:C10"/>
    <mergeCell ref="R10:S10"/>
    <mergeCell ref="G9:H10"/>
    <mergeCell ref="M9:N10"/>
  </mergeCells>
  <printOptions horizontalCentered="1"/>
  <pageMargins left="0.708661417322835" right="0.511811023622047" top="0.708661417322835" bottom="0.31496062992126" header="0.511811023622047" footer="0.511811023622047"/>
  <pageSetup paperSize="9" scale="80" orientation="landscape"/>
  <headerFooter alignWithMargins="0">
    <oddFooter>&amp;R&amp;"Arial,Bold"&amp;28L</oddFooter>
  </headerFooter>
  <drawing r:id="rId2"/>
  <legacyDrawing r:id="rId3"/>
  <oleObjects>
    <mc:AlternateContent xmlns:mc="http://schemas.openxmlformats.org/markup-compatibility/2006">
      <mc:Choice Requires="x14">
        <oleObject shapeId="2354177" progId="Paint.Picture" r:id="rId4">
          <objectPr defaultSize="0" r:id="rId5">
            <anchor moveWithCells="1">
              <from>
                <xdr:col>1</xdr:col>
                <xdr:colOff>82550</xdr:colOff>
                <xdr:row>35</xdr:row>
                <xdr:rowOff>12700</xdr:rowOff>
              </from>
              <to>
                <xdr:col>1</xdr:col>
                <xdr:colOff>234950</xdr:colOff>
                <xdr:row>36</xdr:row>
                <xdr:rowOff>0</xdr:rowOff>
              </to>
            </anchor>
          </objectPr>
        </oleObject>
      </mc:Choice>
      <mc:Fallback>
        <oleObject shapeId="2354177" progId="Paint.Picture" r:id="rId4"/>
      </mc:Fallback>
    </mc:AlternateContent>
    <mc:AlternateContent xmlns:mc="http://schemas.openxmlformats.org/markup-compatibility/2006">
      <mc:Choice Requires="x14">
        <oleObject shapeId="2354178" progId="Paint.Picture" r:id="rId6">
          <objectPr defaultSize="0" r:id="rId7">
            <anchor moveWithCells="1">
              <from>
                <xdr:col>1</xdr:col>
                <xdr:colOff>82550</xdr:colOff>
                <xdr:row>34</xdr:row>
                <xdr:rowOff>12700</xdr:rowOff>
              </from>
              <to>
                <xdr:col>1</xdr:col>
                <xdr:colOff>254000</xdr:colOff>
                <xdr:row>35</xdr:row>
                <xdr:rowOff>6350</xdr:rowOff>
              </to>
            </anchor>
          </objectPr>
        </oleObject>
      </mc:Choice>
      <mc:Fallback>
        <oleObject shapeId="2354178" progId="Paint.Picture" r:id="rId6"/>
      </mc:Fallback>
    </mc:AlternateContent>
    <mc:AlternateContent xmlns:mc="http://schemas.openxmlformats.org/markup-compatibility/2006">
      <mc:Choice Requires="x14">
        <oleObject shapeId="2354179" progId="Paint.Picture" r:id="rId8">
          <objectPr defaultSize="0" r:id="rId7">
            <anchor moveWithCells="1">
              <from>
                <xdr:col>16</xdr:col>
                <xdr:colOff>527050</xdr:colOff>
                <xdr:row>6</xdr:row>
                <xdr:rowOff>133350</xdr:rowOff>
              </from>
              <to>
                <xdr:col>16</xdr:col>
                <xdr:colOff>711200</xdr:colOff>
                <xdr:row>7</xdr:row>
                <xdr:rowOff>146050</xdr:rowOff>
              </to>
            </anchor>
          </objectPr>
        </oleObject>
      </mc:Choice>
      <mc:Fallback>
        <oleObject shapeId="2354179" progId="Paint.Picture" r:id="rId8"/>
      </mc:Fallback>
    </mc:AlternateContent>
    <mc:AlternateContent xmlns:mc="http://schemas.openxmlformats.org/markup-compatibility/2006">
      <mc:Choice Requires="x14">
        <oleObject shapeId="2354180" progId="Paint.Picture" r:id="rId9">
          <objectPr defaultSize="0" r:id="rId5">
            <anchor moveWithCells="1">
              <from>
                <xdr:col>12</xdr:col>
                <xdr:colOff>107950</xdr:colOff>
                <xdr:row>29</xdr:row>
                <xdr:rowOff>57150</xdr:rowOff>
              </from>
              <to>
                <xdr:col>12</xdr:col>
                <xdr:colOff>279400</xdr:colOff>
                <xdr:row>30</xdr:row>
                <xdr:rowOff>82550</xdr:rowOff>
              </to>
            </anchor>
          </objectPr>
        </oleObject>
      </mc:Choice>
      <mc:Fallback>
        <oleObject shapeId="2354180" progId="Paint.Picture" r:id="rId9"/>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8"/>
  <dimension ref="B2:W255"/>
  <sheetViews>
    <sheetView workbookViewId="0">
      <pane xSplit="4" ySplit="7" topLeftCell="E8" activePane="bottomRight" state="frozen"/>
      <selection/>
      <selection pane="topRight"/>
      <selection pane="bottomLeft"/>
      <selection pane="bottomRight" activeCell="Q38" sqref="Q38"/>
    </sheetView>
  </sheetViews>
  <sheetFormatPr defaultColWidth="10.0416666666667" defaultRowHeight="13.2"/>
  <cols>
    <col min="1" max="1" width="2.39583333333333" style="1117" customWidth="1"/>
    <col min="2" max="2" width="6.73958333333333" style="1117" customWidth="1"/>
    <col min="3" max="3" width="20.8229166666667" style="1117" customWidth="1"/>
    <col min="4" max="4" width="20.375" style="1117" customWidth="1"/>
    <col min="5" max="5" width="21.7291666666667" style="1117" customWidth="1"/>
    <col min="6" max="6" width="17.2291666666667" style="1117" customWidth="1"/>
    <col min="7" max="7" width="16.625" style="1117" customWidth="1"/>
    <col min="8" max="8" width="5.84375" style="1117" customWidth="1"/>
    <col min="9" max="9" width="11.53125" style="1117" customWidth="1"/>
    <col min="10" max="10" width="13.3333333333333" style="1117" customWidth="1"/>
    <col min="11" max="11" width="10.3333333333333" style="1117" customWidth="1"/>
    <col min="12" max="12" width="14.8333333333333" style="3052" customWidth="1"/>
    <col min="13" max="13" width="13.78125" style="1117" customWidth="1"/>
    <col min="14" max="15" width="16.3333333333333" style="1117" customWidth="1"/>
    <col min="16" max="16" width="12.1354166666667" style="1117" customWidth="1"/>
    <col min="17" max="17" width="16.9270833333333" style="1117" customWidth="1"/>
    <col min="18" max="18" width="1.64583333333333" style="1117" customWidth="1"/>
    <col min="19" max="19" width="15.4270833333333" style="3051" customWidth="1"/>
    <col min="20" max="20" width="14.8333333333333" style="1117" customWidth="1"/>
    <col min="21" max="16384" width="10.0416666666667" style="1117"/>
  </cols>
  <sheetData>
    <row r="2" spans="2:3">
      <c r="B2" s="3053" t="s">
        <v>11559</v>
      </c>
      <c r="C2" s="3053" t="str">
        <f>D!C4</f>
        <v>PT INTAN GIRI ABADI</v>
      </c>
    </row>
    <row r="3" spans="2:3">
      <c r="B3" s="3053" t="s">
        <v>11560</v>
      </c>
      <c r="C3" s="3053" t="s">
        <v>11561</v>
      </c>
    </row>
    <row r="4" spans="2:3">
      <c r="B4" s="1" t="s">
        <v>11562</v>
      </c>
      <c r="C4" s="20">
        <f>D!S7</f>
        <v>44926</v>
      </c>
    </row>
    <row r="6" spans="2:20">
      <c r="B6" s="3054" t="s">
        <v>11476</v>
      </c>
      <c r="C6" s="3055" t="s">
        <v>972</v>
      </c>
      <c r="D6" s="3055" t="s">
        <v>387</v>
      </c>
      <c r="E6" s="3055" t="s">
        <v>11563</v>
      </c>
      <c r="F6" s="3055" t="s">
        <v>11564</v>
      </c>
      <c r="G6" s="3055" t="s">
        <v>1204</v>
      </c>
      <c r="H6" s="3055" t="s">
        <v>1284</v>
      </c>
      <c r="I6" s="3055" t="s">
        <v>11565</v>
      </c>
      <c r="J6" s="3055" t="s">
        <v>11566</v>
      </c>
      <c r="K6" s="3055" t="s">
        <v>11567</v>
      </c>
      <c r="L6" s="3091" t="s">
        <v>11568</v>
      </c>
      <c r="M6" s="3055" t="s">
        <v>11569</v>
      </c>
      <c r="N6" s="3055" t="s">
        <v>11422</v>
      </c>
      <c r="O6" s="3055" t="s">
        <v>11422</v>
      </c>
      <c r="P6" s="3055" t="s">
        <v>11570</v>
      </c>
      <c r="Q6" s="3055" t="s">
        <v>11571</v>
      </c>
      <c r="R6" s="3055"/>
      <c r="S6" s="3130" t="s">
        <v>11572</v>
      </c>
      <c r="T6" s="3055" t="s">
        <v>146</v>
      </c>
    </row>
    <row r="7" spans="2:20">
      <c r="B7" s="3056"/>
      <c r="C7" s="3057"/>
      <c r="D7" s="3057"/>
      <c r="E7" s="3057"/>
      <c r="F7" s="3057"/>
      <c r="G7" s="3058" t="s">
        <v>11573</v>
      </c>
      <c r="H7" s="3059"/>
      <c r="I7" s="3058" t="s">
        <v>11574</v>
      </c>
      <c r="J7" s="3058" t="s">
        <v>11574</v>
      </c>
      <c r="K7" s="3057"/>
      <c r="L7" s="3092" t="s">
        <v>11575</v>
      </c>
      <c r="M7" s="3058" t="s">
        <v>11576</v>
      </c>
      <c r="N7" s="3058">
        <v>2022</v>
      </c>
      <c r="O7" s="3058">
        <v>2022</v>
      </c>
      <c r="P7" s="3058">
        <v>2022</v>
      </c>
      <c r="Q7" s="3058" t="s">
        <v>11577</v>
      </c>
      <c r="R7" s="3058"/>
      <c r="S7" s="3131" t="s">
        <v>11578</v>
      </c>
      <c r="T7" s="3057"/>
    </row>
    <row r="8" ht="26.4" spans="2:17">
      <c r="B8" s="3060"/>
      <c r="C8" s="1173"/>
      <c r="D8" s="3061"/>
      <c r="E8" s="1173"/>
      <c r="F8" s="1173"/>
      <c r="G8" s="1173"/>
      <c r="I8" s="3093"/>
      <c r="J8" s="3093"/>
      <c r="N8" s="3094" t="s">
        <v>11579</v>
      </c>
      <c r="O8" s="3094" t="s">
        <v>11580</v>
      </c>
      <c r="P8" s="3094"/>
      <c r="Q8" s="1117">
        <v>0</v>
      </c>
    </row>
    <row r="9" s="3049" customFormat="1" ht="11.4" spans="2:19">
      <c r="B9" s="3062"/>
      <c r="C9" s="3063"/>
      <c r="D9" s="3063"/>
      <c r="E9" s="3063"/>
      <c r="F9" s="3063"/>
      <c r="G9" s="3063"/>
      <c r="I9" s="3095"/>
      <c r="J9" s="3095"/>
      <c r="L9" s="3096"/>
      <c r="N9" s="3049">
        <v>2</v>
      </c>
      <c r="O9" s="3049">
        <v>2</v>
      </c>
      <c r="S9" s="3050"/>
    </row>
    <row r="10" s="3049" customFormat="1" ht="12" spans="2:19">
      <c r="B10" s="3062"/>
      <c r="C10" s="3063"/>
      <c r="D10" s="3063"/>
      <c r="E10" s="3063"/>
      <c r="F10" s="3063"/>
      <c r="G10" s="3063"/>
      <c r="I10" s="3095"/>
      <c r="J10" s="3095"/>
      <c r="L10" s="3096"/>
      <c r="M10" s="3097" t="s">
        <v>142</v>
      </c>
      <c r="S10" s="3050"/>
    </row>
    <row r="11" s="3049" customFormat="1" ht="12" spans="2:21">
      <c r="B11" s="3064" t="s">
        <v>142</v>
      </c>
      <c r="C11" s="3065" t="s">
        <v>11581</v>
      </c>
      <c r="I11" s="3095"/>
      <c r="J11" s="3095"/>
      <c r="K11" s="3098"/>
      <c r="L11" s="3099"/>
      <c r="N11" s="3100">
        <f>SUM(N12:N15)</f>
        <v>2702702.7027027</v>
      </c>
      <c r="O11" s="3100">
        <f>SUM(O12:O15)</f>
        <v>2702702.7027027</v>
      </c>
      <c r="P11" s="3100"/>
      <c r="Q11" s="3100">
        <f>SUM(Q12:Q15)</f>
        <v>13513513.5135135</v>
      </c>
      <c r="R11" s="3096"/>
      <c r="S11" s="3099">
        <f>+E!F14</f>
        <v>13500000</v>
      </c>
      <c r="T11" s="3096">
        <f>Q11-S11</f>
        <v>13513.513513511</v>
      </c>
      <c r="U11" s="3132" t="s">
        <v>11582</v>
      </c>
    </row>
    <row r="12" s="3049" customFormat="1" ht="11.4" spans="2:22">
      <c r="B12" s="3062">
        <v>1</v>
      </c>
      <c r="C12" s="3066" t="s">
        <v>171</v>
      </c>
      <c r="D12" s="3067" t="s">
        <v>171</v>
      </c>
      <c r="E12" s="3067"/>
      <c r="F12" s="3068">
        <v>0</v>
      </c>
      <c r="G12" s="3068">
        <v>0</v>
      </c>
      <c r="I12" s="3101"/>
      <c r="J12" s="3101"/>
      <c r="K12" s="3102">
        <v>12</v>
      </c>
      <c r="L12" s="3103">
        <v>16216216.2162162</v>
      </c>
      <c r="M12" s="3099">
        <f>L12/K12</f>
        <v>1351351.35135135</v>
      </c>
      <c r="N12" s="3099">
        <f>+M12*2</f>
        <v>2702702.7027027</v>
      </c>
      <c r="O12" s="3099">
        <f>N12</f>
        <v>2702702.7027027</v>
      </c>
      <c r="P12" s="3099"/>
      <c r="Q12" s="3133">
        <f>L12-O12</f>
        <v>13513513.5135135</v>
      </c>
      <c r="R12" s="3096"/>
      <c r="U12" s="3134"/>
      <c r="V12" s="3135"/>
    </row>
    <row r="13" s="3049" customFormat="1" ht="11.4" spans="2:22">
      <c r="B13" s="3062">
        <v>2</v>
      </c>
      <c r="C13" s="3066" t="s">
        <v>171</v>
      </c>
      <c r="D13" s="3069" t="s">
        <v>171</v>
      </c>
      <c r="E13" s="3067" t="s">
        <v>171</v>
      </c>
      <c r="F13" s="3068">
        <v>0</v>
      </c>
      <c r="G13" s="3066"/>
      <c r="I13" s="3101"/>
      <c r="J13" s="3101"/>
      <c r="K13" s="3102">
        <v>12</v>
      </c>
      <c r="L13" s="3103"/>
      <c r="M13" s="3099">
        <f>L13/K13</f>
        <v>0</v>
      </c>
      <c r="N13" s="3099">
        <f>M13*12</f>
        <v>0</v>
      </c>
      <c r="O13" s="3099">
        <f>N13</f>
        <v>0</v>
      </c>
      <c r="P13" s="3099"/>
      <c r="Q13" s="3133">
        <f>L13-O13</f>
        <v>0</v>
      </c>
      <c r="R13" s="3096"/>
      <c r="S13" s="3099"/>
      <c r="T13" s="3096"/>
      <c r="U13" s="3134"/>
      <c r="V13" s="3135"/>
    </row>
    <row r="14" s="3049" customFormat="1" ht="11.4" spans="2:22">
      <c r="B14" s="3062"/>
      <c r="C14" s="3069"/>
      <c r="D14" s="3069"/>
      <c r="E14" s="3069"/>
      <c r="F14" s="3070"/>
      <c r="G14" s="3070"/>
      <c r="I14" s="3101"/>
      <c r="J14" s="3101"/>
      <c r="K14" s="3102">
        <v>12</v>
      </c>
      <c r="L14" s="3103"/>
      <c r="M14" s="3099">
        <f>L14/K14</f>
        <v>0</v>
      </c>
      <c r="N14" s="3099">
        <f>M14*11</f>
        <v>0</v>
      </c>
      <c r="O14" s="3099">
        <f>N14</f>
        <v>0</v>
      </c>
      <c r="P14" s="3099"/>
      <c r="Q14" s="3099">
        <f>L14-O14</f>
        <v>0</v>
      </c>
      <c r="R14" s="3096"/>
      <c r="S14" s="3099"/>
      <c r="T14" s="3096"/>
      <c r="U14" s="3134"/>
      <c r="V14" s="3135"/>
    </row>
    <row r="15" s="3049" customFormat="1" ht="12" spans="2:22">
      <c r="B15" s="3062"/>
      <c r="C15" s="3066"/>
      <c r="D15" s="3069"/>
      <c r="E15" s="3069"/>
      <c r="F15" s="3071"/>
      <c r="G15" s="3071"/>
      <c r="I15" s="3101"/>
      <c r="J15" s="3101"/>
      <c r="K15" s="3102"/>
      <c r="L15" s="3103"/>
      <c r="M15" s="3104" t="s">
        <v>148</v>
      </c>
      <c r="N15" s="3099"/>
      <c r="O15" s="3099"/>
      <c r="P15" s="3099"/>
      <c r="Q15" s="3099"/>
      <c r="R15" s="3096"/>
      <c r="S15" s="3099"/>
      <c r="T15" s="3096"/>
      <c r="U15" s="3134"/>
      <c r="V15" s="3135"/>
    </row>
    <row r="16" s="3049" customFormat="1" ht="12" spans="2:20">
      <c r="B16" s="3064" t="s">
        <v>148</v>
      </c>
      <c r="C16" s="3065" t="s">
        <v>11583</v>
      </c>
      <c r="F16" s="2096"/>
      <c r="G16" s="18"/>
      <c r="I16" s="3095"/>
      <c r="J16" s="3095"/>
      <c r="K16" s="3105"/>
      <c r="L16" s="2554">
        <f t="shared" ref="L16:Q16" si="0">SUM(L17:L23)</f>
        <v>0</v>
      </c>
      <c r="M16" s="2554">
        <f t="shared" si="0"/>
        <v>0</v>
      </c>
      <c r="N16" s="2554">
        <f t="shared" si="0"/>
        <v>0</v>
      </c>
      <c r="O16" s="2554">
        <f t="shared" si="0"/>
        <v>0</v>
      </c>
      <c r="P16" s="2554">
        <f t="shared" si="0"/>
        <v>0</v>
      </c>
      <c r="Q16" s="2554">
        <f t="shared" si="0"/>
        <v>0</v>
      </c>
      <c r="R16" s="18"/>
      <c r="S16" s="2554">
        <f>SUM(S17:S23)</f>
        <v>0</v>
      </c>
      <c r="T16" s="2554">
        <f>SUM(T17:T23)</f>
        <v>0</v>
      </c>
    </row>
    <row r="17" s="3049" customFormat="1" ht="11.4" spans="2:20">
      <c r="B17" s="3072">
        <v>1</v>
      </c>
      <c r="C17" s="3066" t="s">
        <v>11584</v>
      </c>
      <c r="D17" s="3069"/>
      <c r="F17" s="2096"/>
      <c r="G17" s="18"/>
      <c r="I17" s="3095"/>
      <c r="J17" s="3095"/>
      <c r="K17" s="3105" t="s">
        <v>11585</v>
      </c>
      <c r="L17" s="3070">
        <v>0</v>
      </c>
      <c r="M17" s="3096">
        <f>L17/K17</f>
        <v>0</v>
      </c>
      <c r="N17" s="18">
        <f>M17*$N$9</f>
        <v>0</v>
      </c>
      <c r="O17" s="18">
        <f>M17*$O$9</f>
        <v>0</v>
      </c>
      <c r="P17" s="18">
        <f t="shared" ref="P17:P23" si="1">N17+O17</f>
        <v>0</v>
      </c>
      <c r="Q17" s="18">
        <f t="shared" ref="Q17:Q23" si="2">L17-P17</f>
        <v>0</v>
      </c>
      <c r="R17" s="18"/>
      <c r="S17" s="3112"/>
      <c r="T17" s="3096">
        <f t="shared" ref="T17:T24" si="3">Q17-S17</f>
        <v>0</v>
      </c>
    </row>
    <row r="18" s="3049" customFormat="1" ht="11.4" hidden="1" spans="2:20">
      <c r="B18" s="3072">
        <f t="shared" ref="B18:B23" si="4">+B17+1</f>
        <v>2</v>
      </c>
      <c r="C18" s="3066" t="s">
        <v>11584</v>
      </c>
      <c r="D18" s="3069"/>
      <c r="F18" s="2096"/>
      <c r="G18" s="18"/>
      <c r="I18" s="3095"/>
      <c r="J18" s="3095"/>
      <c r="K18" s="3105" t="s">
        <v>11585</v>
      </c>
      <c r="L18" s="18">
        <v>0</v>
      </c>
      <c r="M18" s="3096">
        <f>L18/K18</f>
        <v>0</v>
      </c>
      <c r="N18" s="18">
        <f>M18*$N$9</f>
        <v>0</v>
      </c>
      <c r="O18" s="18">
        <f>M18*$O$9</f>
        <v>0</v>
      </c>
      <c r="P18" s="18">
        <f t="shared" si="1"/>
        <v>0</v>
      </c>
      <c r="Q18" s="18">
        <f t="shared" si="2"/>
        <v>0</v>
      </c>
      <c r="R18" s="18"/>
      <c r="S18" s="3112"/>
      <c r="T18" s="3096">
        <f t="shared" si="3"/>
        <v>0</v>
      </c>
    </row>
    <row r="19" s="3049" customFormat="1" ht="11.4" hidden="1" spans="2:20">
      <c r="B19" s="3072">
        <f t="shared" si="4"/>
        <v>3</v>
      </c>
      <c r="C19" s="3066" t="s">
        <v>11584</v>
      </c>
      <c r="D19" s="3069"/>
      <c r="F19" s="2096"/>
      <c r="G19" s="18"/>
      <c r="I19" s="3095"/>
      <c r="J19" s="3095"/>
      <c r="K19" s="3105" t="s">
        <v>11585</v>
      </c>
      <c r="L19" s="3071">
        <v>0</v>
      </c>
      <c r="M19" s="3096">
        <f>L19/K19</f>
        <v>0</v>
      </c>
      <c r="N19" s="18">
        <f>M19*$N$9</f>
        <v>0</v>
      </c>
      <c r="O19" s="18">
        <f>M19*$O$9</f>
        <v>0</v>
      </c>
      <c r="P19" s="18">
        <f t="shared" si="1"/>
        <v>0</v>
      </c>
      <c r="Q19" s="18">
        <f t="shared" si="2"/>
        <v>0</v>
      </c>
      <c r="R19" s="18"/>
      <c r="S19" s="3112"/>
      <c r="T19" s="3096">
        <f t="shared" si="3"/>
        <v>0</v>
      </c>
    </row>
    <row r="20" s="3049" customFormat="1" ht="11.4" hidden="1" spans="2:20">
      <c r="B20" s="3072">
        <f t="shared" si="4"/>
        <v>4</v>
      </c>
      <c r="C20" s="3066" t="s">
        <v>11584</v>
      </c>
      <c r="D20" s="3069"/>
      <c r="F20" s="2096"/>
      <c r="G20" s="18"/>
      <c r="I20" s="3095"/>
      <c r="J20" s="3095"/>
      <c r="K20" s="3105" t="s">
        <v>11585</v>
      </c>
      <c r="L20" s="3071"/>
      <c r="M20" s="3096"/>
      <c r="N20" s="18"/>
      <c r="O20" s="18"/>
      <c r="P20" s="18">
        <f t="shared" si="1"/>
        <v>0</v>
      </c>
      <c r="Q20" s="18"/>
      <c r="R20" s="18"/>
      <c r="S20" s="3112"/>
      <c r="T20" s="3096"/>
    </row>
    <row r="21" s="3049" customFormat="1" ht="11.4" hidden="1" spans="2:20">
      <c r="B21" s="3072">
        <f t="shared" si="4"/>
        <v>5</v>
      </c>
      <c r="C21" s="3066" t="s">
        <v>11584</v>
      </c>
      <c r="D21" s="3069"/>
      <c r="F21" s="2096"/>
      <c r="G21" s="18"/>
      <c r="I21" s="3095"/>
      <c r="J21" s="3095"/>
      <c r="K21" s="3105" t="s">
        <v>11585</v>
      </c>
      <c r="L21" s="3071">
        <v>0</v>
      </c>
      <c r="M21" s="3096">
        <f>L21/K21</f>
        <v>0</v>
      </c>
      <c r="N21" s="18">
        <f>M21*$N$9</f>
        <v>0</v>
      </c>
      <c r="O21" s="18">
        <f>M21*$O$9</f>
        <v>0</v>
      </c>
      <c r="P21" s="18">
        <f t="shared" si="1"/>
        <v>0</v>
      </c>
      <c r="Q21" s="18">
        <f t="shared" si="2"/>
        <v>0</v>
      </c>
      <c r="R21" s="18"/>
      <c r="S21" s="3112"/>
      <c r="T21" s="3096">
        <f t="shared" si="3"/>
        <v>0</v>
      </c>
    </row>
    <row r="22" s="3049" customFormat="1" ht="11.4" hidden="1" spans="2:20">
      <c r="B22" s="3072">
        <f t="shared" si="4"/>
        <v>6</v>
      </c>
      <c r="C22" s="3066" t="s">
        <v>11584</v>
      </c>
      <c r="D22" s="3069"/>
      <c r="F22" s="2096"/>
      <c r="G22" s="18"/>
      <c r="I22" s="3095"/>
      <c r="J22" s="3095"/>
      <c r="K22" s="3105" t="s">
        <v>11585</v>
      </c>
      <c r="L22" s="3071"/>
      <c r="M22" s="3096"/>
      <c r="N22" s="18">
        <f>M22*$N$9</f>
        <v>0</v>
      </c>
      <c r="O22" s="18"/>
      <c r="P22" s="18">
        <f t="shared" si="1"/>
        <v>0</v>
      </c>
      <c r="Q22" s="18"/>
      <c r="R22" s="18"/>
      <c r="S22" s="3112"/>
      <c r="T22" s="3096">
        <f t="shared" si="3"/>
        <v>0</v>
      </c>
    </row>
    <row r="23" s="3049" customFormat="1" ht="11.4" hidden="1" spans="2:20">
      <c r="B23" s="3072">
        <f t="shared" si="4"/>
        <v>7</v>
      </c>
      <c r="C23" s="3066" t="s">
        <v>11584</v>
      </c>
      <c r="D23" s="3069"/>
      <c r="F23" s="2096"/>
      <c r="G23" s="18"/>
      <c r="I23" s="3095"/>
      <c r="J23" s="3095"/>
      <c r="K23" s="3105" t="s">
        <v>11585</v>
      </c>
      <c r="L23" s="3071">
        <v>0</v>
      </c>
      <c r="M23" s="3096">
        <f>L23/K23</f>
        <v>0</v>
      </c>
      <c r="N23" s="18">
        <f>M23*$N$9</f>
        <v>0</v>
      </c>
      <c r="O23" s="18">
        <f>M23*$O$9</f>
        <v>0</v>
      </c>
      <c r="P23" s="18">
        <f t="shared" si="1"/>
        <v>0</v>
      </c>
      <c r="Q23" s="18">
        <f t="shared" si="2"/>
        <v>0</v>
      </c>
      <c r="R23" s="18"/>
      <c r="S23" s="3112"/>
      <c r="T23" s="3096">
        <f t="shared" si="3"/>
        <v>0</v>
      </c>
    </row>
    <row r="24" s="3049" customFormat="1" ht="11.4" spans="2:20">
      <c r="B24" s="3062"/>
      <c r="C24" s="3063"/>
      <c r="D24" s="3063"/>
      <c r="E24" s="3063"/>
      <c r="F24" s="3063"/>
      <c r="G24" s="3073"/>
      <c r="I24" s="3095"/>
      <c r="J24" s="3095"/>
      <c r="K24" s="3098"/>
      <c r="L24" s="3096"/>
      <c r="M24" s="3096"/>
      <c r="N24" s="3096"/>
      <c r="O24" s="3096"/>
      <c r="P24" s="3096"/>
      <c r="Q24" s="3096"/>
      <c r="R24" s="3096"/>
      <c r="S24" s="3050"/>
      <c r="T24" s="3096">
        <f t="shared" si="3"/>
        <v>0</v>
      </c>
    </row>
    <row r="25" s="3049" customFormat="1" ht="12" spans="2:20">
      <c r="B25" s="3074" t="s">
        <v>675</v>
      </c>
      <c r="C25" s="3075"/>
      <c r="D25" s="3076"/>
      <c r="E25" s="3076"/>
      <c r="F25" s="3076"/>
      <c r="G25" s="3077">
        <f>SUM(G18:G24)</f>
        <v>0</v>
      </c>
      <c r="H25" s="3075"/>
      <c r="I25" s="3106"/>
      <c r="J25" s="3106"/>
      <c r="K25" s="3107" t="s">
        <v>11586</v>
      </c>
      <c r="L25" s="3108">
        <f t="shared" ref="L25:Q25" si="5">L16+L11</f>
        <v>0</v>
      </c>
      <c r="M25" s="3108">
        <f t="shared" si="5"/>
        <v>0</v>
      </c>
      <c r="N25" s="3108">
        <f t="shared" si="5"/>
        <v>2702702.7027027</v>
      </c>
      <c r="O25" s="3108">
        <f t="shared" si="5"/>
        <v>2702702.7027027</v>
      </c>
      <c r="P25" s="3108">
        <f t="shared" si="5"/>
        <v>0</v>
      </c>
      <c r="Q25" s="3108">
        <f t="shared" si="5"/>
        <v>13513513.5135135</v>
      </c>
      <c r="R25" s="3108"/>
      <c r="S25" s="3108">
        <f>S16+S11</f>
        <v>13500000</v>
      </c>
      <c r="T25" s="3136">
        <f>T16+T11</f>
        <v>13513.513513511</v>
      </c>
    </row>
    <row r="26" s="3049" customFormat="1" ht="11.4" spans="9:20">
      <c r="I26" s="3109"/>
      <c r="J26" s="3098" t="s">
        <v>11587</v>
      </c>
      <c r="K26" s="3096"/>
      <c r="M26" s="3096"/>
      <c r="N26" s="3096"/>
      <c r="O26" s="3096"/>
      <c r="P26" s="3096"/>
      <c r="R26" s="3096"/>
      <c r="S26" s="3137">
        <v>0</v>
      </c>
      <c r="T26" s="3138" t="s">
        <v>11588</v>
      </c>
    </row>
    <row r="27" s="3050" customFormat="1" ht="11.4" spans="2:23">
      <c r="B27" s="3049"/>
      <c r="C27" s="3049"/>
      <c r="D27" s="3049"/>
      <c r="E27" s="3049"/>
      <c r="F27" s="3049"/>
      <c r="G27" s="3049"/>
      <c r="H27" s="3049"/>
      <c r="I27" s="3109"/>
      <c r="J27" s="3109"/>
      <c r="M27" s="3096"/>
      <c r="N27" s="3096"/>
      <c r="O27" s="3096"/>
      <c r="P27" s="3096"/>
      <c r="Q27" s="3139"/>
      <c r="R27" s="3096"/>
      <c r="S27" s="3137"/>
      <c r="T27" s="3049"/>
      <c r="U27" s="3049"/>
      <c r="V27" s="3049"/>
      <c r="W27" s="3049"/>
    </row>
    <row r="28" s="3050" customFormat="1" ht="11.4" spans="6:23">
      <c r="F28" s="3078"/>
      <c r="G28" s="3078"/>
      <c r="H28" s="3078"/>
      <c r="I28" s="3110"/>
      <c r="J28" s="3110"/>
      <c r="K28" s="3111" t="s">
        <v>11589</v>
      </c>
      <c r="L28" s="2096">
        <v>0</v>
      </c>
      <c r="M28" s="3096">
        <f>L28/12</f>
        <v>0</v>
      </c>
      <c r="N28" s="3096">
        <f>SUM(N17:N23)</f>
        <v>0</v>
      </c>
      <c r="O28" s="3096">
        <f>SUM(O17:O23)</f>
        <v>0</v>
      </c>
      <c r="P28" s="3096">
        <f>SUM(P17:P23)</f>
        <v>0</v>
      </c>
      <c r="Q28" s="3140">
        <f>+E!F14</f>
        <v>13500000</v>
      </c>
      <c r="R28" s="3096"/>
      <c r="T28" s="3049"/>
      <c r="U28" s="3049"/>
      <c r="V28" s="3049"/>
      <c r="W28" s="3049"/>
    </row>
    <row r="29" s="3050" customFormat="1" ht="11.4" spans="6:23">
      <c r="F29" s="3078"/>
      <c r="G29" s="3078"/>
      <c r="H29" s="3078"/>
      <c r="I29" s="3110"/>
      <c r="J29" s="3110"/>
      <c r="K29" s="5121" t="s">
        <v>10090</v>
      </c>
      <c r="L29" s="3112">
        <f>L25-L28</f>
        <v>0</v>
      </c>
      <c r="M29" s="3096"/>
      <c r="N29" s="3096"/>
      <c r="O29" s="3096"/>
      <c r="P29" s="3096"/>
      <c r="Q29" s="3096">
        <f>Q25-Q28</f>
        <v>13513.513513511</v>
      </c>
      <c r="R29" s="3096"/>
      <c r="T29" s="3096">
        <f>Q29</f>
        <v>13513.513513511</v>
      </c>
      <c r="U29" s="3132" t="s">
        <v>11582</v>
      </c>
      <c r="V29" s="3049"/>
      <c r="W29" s="3049"/>
    </row>
    <row r="30" s="3051" customFormat="1" spans="6:23">
      <c r="F30" s="3079"/>
      <c r="G30" s="3079"/>
      <c r="H30" s="3079"/>
      <c r="I30" s="3113"/>
      <c r="J30" s="3114" t="s">
        <v>11590</v>
      </c>
      <c r="K30" s="3078" t="s">
        <v>11591</v>
      </c>
      <c r="M30" s="3115"/>
      <c r="N30" s="3052">
        <v>0</v>
      </c>
      <c r="O30" s="3052">
        <v>0</v>
      </c>
      <c r="P30" s="3052"/>
      <c r="Q30" s="3052"/>
      <c r="R30" s="3052"/>
      <c r="S30" s="3141"/>
      <c r="T30" s="1117"/>
      <c r="U30" s="1117"/>
      <c r="V30" s="1117"/>
      <c r="W30" s="1117"/>
    </row>
    <row r="31" s="3051" customFormat="1" spans="6:23">
      <c r="F31" s="3079"/>
      <c r="G31" s="3079"/>
      <c r="H31" s="3079"/>
      <c r="I31" s="3113"/>
      <c r="J31" s="3114" t="s">
        <v>11590</v>
      </c>
      <c r="K31" s="3078" t="s">
        <v>11592</v>
      </c>
      <c r="M31" s="3115"/>
      <c r="N31" s="3116">
        <v>0</v>
      </c>
      <c r="O31" s="3116">
        <v>0</v>
      </c>
      <c r="P31" s="3052"/>
      <c r="Q31" s="3052"/>
      <c r="R31" s="3052"/>
      <c r="S31" s="3141"/>
      <c r="T31" s="1117"/>
      <c r="U31" s="1117"/>
      <c r="V31" s="1117"/>
      <c r="W31" s="1117"/>
    </row>
    <row r="32" s="3051" customFormat="1" spans="6:23">
      <c r="F32" s="3079"/>
      <c r="G32" s="3079"/>
      <c r="H32" s="3079"/>
      <c r="I32" s="3113"/>
      <c r="J32" s="3113"/>
      <c r="M32" s="3115"/>
      <c r="N32" s="3116"/>
      <c r="O32" s="3116"/>
      <c r="P32" s="3052"/>
      <c r="Q32" s="3052"/>
      <c r="R32" s="3052"/>
      <c r="S32" s="3141"/>
      <c r="T32" s="1117"/>
      <c r="U32" s="1117"/>
      <c r="V32" s="1117"/>
      <c r="W32" s="1117"/>
    </row>
    <row r="33" s="3051" customFormat="1" spans="6:23">
      <c r="F33" s="3079"/>
      <c r="G33" s="3079"/>
      <c r="H33" s="3079"/>
      <c r="I33" s="3113"/>
      <c r="J33" s="3113"/>
      <c r="K33" s="3078" t="s">
        <v>11593</v>
      </c>
      <c r="L33" s="3117" t="s">
        <v>990</v>
      </c>
      <c r="M33" s="3115"/>
      <c r="O33" s="3052"/>
      <c r="P33" s="3052"/>
      <c r="Q33" s="3052"/>
      <c r="R33" s="3052"/>
      <c r="S33" s="3141"/>
      <c r="T33" s="1117"/>
      <c r="U33" s="1117"/>
      <c r="V33" s="1117"/>
      <c r="W33" s="1117"/>
    </row>
    <row r="34" s="3051" customFormat="1" ht="13.95" spans="6:23">
      <c r="F34" s="3079"/>
      <c r="G34" s="3079"/>
      <c r="H34" s="3079"/>
      <c r="I34" s="3113"/>
      <c r="J34" s="3113"/>
      <c r="K34" s="3078"/>
      <c r="M34" s="3115"/>
      <c r="N34" s="3116"/>
      <c r="O34" s="3052"/>
      <c r="P34" s="3052"/>
      <c r="Q34" s="3052"/>
      <c r="R34" s="3052"/>
      <c r="S34" s="3141"/>
      <c r="T34" s="1117"/>
      <c r="U34" s="1117"/>
      <c r="V34" s="1117"/>
      <c r="W34" s="1117"/>
    </row>
    <row r="35" s="3051" customFormat="1" spans="2:23">
      <c r="B35" s="3080"/>
      <c r="C35" s="3081" t="s">
        <v>11594</v>
      </c>
      <c r="D35" s="3082"/>
      <c r="E35" s="3082"/>
      <c r="F35" s="3083"/>
      <c r="G35" s="3083"/>
      <c r="H35" s="3082"/>
      <c r="I35" s="3118"/>
      <c r="J35" s="3118"/>
      <c r="K35" s="3119"/>
      <c r="L35" s="3120"/>
      <c r="M35" s="3120"/>
      <c r="N35" s="3120"/>
      <c r="O35" s="3121"/>
      <c r="P35" s="3052"/>
      <c r="Q35" s="3052"/>
      <c r="R35" s="3052"/>
      <c r="T35" s="1117"/>
      <c r="U35" s="1117"/>
      <c r="V35" s="1117"/>
      <c r="W35" s="1117"/>
    </row>
    <row r="36" s="3051" customFormat="1" spans="2:23">
      <c r="B36" s="3084"/>
      <c r="C36" s="3085"/>
      <c r="D36" s="3086"/>
      <c r="E36" s="3086"/>
      <c r="F36" s="3086"/>
      <c r="G36" s="3086"/>
      <c r="H36" s="3086"/>
      <c r="I36" s="3122"/>
      <c r="J36" s="3122"/>
      <c r="K36" s="3123"/>
      <c r="L36" s="3124"/>
      <c r="M36" s="3124"/>
      <c r="N36" s="3124"/>
      <c r="O36" s="3125"/>
      <c r="P36" s="3052"/>
      <c r="Q36" s="3052"/>
      <c r="R36" s="3052"/>
      <c r="T36" s="1117"/>
      <c r="U36" s="1117"/>
      <c r="V36" s="1117"/>
      <c r="W36" s="1117"/>
    </row>
    <row r="37" s="3051" customFormat="1" spans="2:23">
      <c r="B37" s="3084"/>
      <c r="C37" s="3085"/>
      <c r="D37" s="3086"/>
      <c r="E37" s="3086"/>
      <c r="F37" s="3086"/>
      <c r="G37" s="3086"/>
      <c r="H37" s="3086"/>
      <c r="I37" s="3122"/>
      <c r="J37" s="3122"/>
      <c r="K37" s="3123"/>
      <c r="L37" s="3124"/>
      <c r="M37" s="3124"/>
      <c r="N37" s="3124"/>
      <c r="O37" s="3125"/>
      <c r="P37" s="3052"/>
      <c r="Q37" s="3052"/>
      <c r="R37" s="3052"/>
      <c r="T37" s="1117"/>
      <c r="U37" s="1117"/>
      <c r="V37" s="1117"/>
      <c r="W37" s="1117"/>
    </row>
    <row r="38" s="3051" customFormat="1" spans="2:23">
      <c r="B38" s="3084" t="s">
        <v>11595</v>
      </c>
      <c r="C38" s="3085"/>
      <c r="D38" s="3086"/>
      <c r="E38" s="3086"/>
      <c r="F38" s="3086"/>
      <c r="G38" s="3086"/>
      <c r="H38" s="3086"/>
      <c r="I38" s="3122"/>
      <c r="J38" s="3122"/>
      <c r="K38" s="3122"/>
      <c r="L38" s="3123"/>
      <c r="M38" s="3124"/>
      <c r="N38" s="3124"/>
      <c r="O38" s="3125"/>
      <c r="P38" s="3052"/>
      <c r="Q38" s="3052"/>
      <c r="R38" s="3052"/>
      <c r="W38" s="1117"/>
    </row>
    <row r="39" s="3051" customFormat="1" spans="2:23">
      <c r="B39" s="3087"/>
      <c r="C39" s="3085" t="s">
        <v>11596</v>
      </c>
      <c r="D39" s="3086"/>
      <c r="E39" s="3086"/>
      <c r="F39" s="3086"/>
      <c r="G39" s="3086"/>
      <c r="H39" s="3086"/>
      <c r="I39" s="3122"/>
      <c r="J39" s="3122"/>
      <c r="K39" s="3123"/>
      <c r="L39" s="3124"/>
      <c r="M39" s="3124"/>
      <c r="N39" s="3124"/>
      <c r="O39" s="3125"/>
      <c r="P39" s="3052"/>
      <c r="Q39" s="3052"/>
      <c r="R39" s="3052"/>
      <c r="T39" s="1117"/>
      <c r="U39" s="1117"/>
      <c r="V39" s="1117"/>
      <c r="W39" s="1117"/>
    </row>
    <row r="40" s="3051" customFormat="1" spans="2:23">
      <c r="B40" s="3087"/>
      <c r="C40" s="3085" t="s">
        <v>11597</v>
      </c>
      <c r="D40" s="3086"/>
      <c r="E40" s="3086"/>
      <c r="F40" s="3086"/>
      <c r="G40" s="3086"/>
      <c r="H40" s="3086"/>
      <c r="I40" s="3122"/>
      <c r="J40" s="3122"/>
      <c r="K40" s="3123"/>
      <c r="L40" s="3124"/>
      <c r="M40" s="3124"/>
      <c r="N40" s="3124"/>
      <c r="O40" s="3125"/>
      <c r="P40" s="3052"/>
      <c r="Q40" s="3052"/>
      <c r="R40" s="3052"/>
      <c r="T40" s="1117"/>
      <c r="U40" s="1117"/>
      <c r="V40" s="1117"/>
      <c r="W40" s="1117"/>
    </row>
    <row r="41" s="3051" customFormat="1" spans="2:23">
      <c r="B41" s="3084"/>
      <c r="C41" s="3085" t="s">
        <v>11598</v>
      </c>
      <c r="D41" s="3086"/>
      <c r="E41" s="3086"/>
      <c r="F41" s="3086"/>
      <c r="G41" s="3086"/>
      <c r="H41" s="3086"/>
      <c r="I41" s="3122"/>
      <c r="J41" s="3122"/>
      <c r="K41" s="3123"/>
      <c r="L41" s="3124"/>
      <c r="M41" s="3124"/>
      <c r="N41" s="3124"/>
      <c r="O41" s="3125"/>
      <c r="P41" s="3052"/>
      <c r="Q41" s="3052"/>
      <c r="R41" s="3052"/>
      <c r="T41" s="1117"/>
      <c r="U41" s="1117"/>
      <c r="V41" s="1117"/>
      <c r="W41" s="1117"/>
    </row>
    <row r="42" s="3051" customFormat="1" spans="2:23">
      <c r="B42" s="3087"/>
      <c r="C42" s="3085" t="s">
        <v>11599</v>
      </c>
      <c r="D42" s="3086"/>
      <c r="E42" s="3086"/>
      <c r="F42" s="3086"/>
      <c r="G42" s="3086"/>
      <c r="H42" s="3086"/>
      <c r="I42" s="3122"/>
      <c r="J42" s="3122"/>
      <c r="K42" s="3123"/>
      <c r="L42" s="3124"/>
      <c r="M42" s="3086"/>
      <c r="N42" s="3086"/>
      <c r="O42" s="3126"/>
      <c r="P42" s="3052"/>
      <c r="Q42" s="1117"/>
      <c r="R42" s="1117"/>
      <c r="T42" s="1117"/>
      <c r="U42" s="1117"/>
      <c r="V42" s="1117"/>
      <c r="W42" s="1117"/>
    </row>
    <row r="43" s="3051" customFormat="1" spans="2:23">
      <c r="B43" s="3087"/>
      <c r="C43" s="3085" t="s">
        <v>11600</v>
      </c>
      <c r="D43" s="3086"/>
      <c r="E43" s="3086"/>
      <c r="F43" s="3086"/>
      <c r="G43" s="3086"/>
      <c r="H43" s="3086"/>
      <c r="I43" s="3086"/>
      <c r="J43" s="3123"/>
      <c r="K43" s="3123"/>
      <c r="L43" s="3124"/>
      <c r="M43" s="3086"/>
      <c r="N43" s="3086"/>
      <c r="O43" s="3126"/>
      <c r="P43" s="3052"/>
      <c r="Q43" s="1117"/>
      <c r="R43" s="1117"/>
      <c r="T43" s="1117"/>
      <c r="U43" s="1117"/>
      <c r="V43" s="1117"/>
      <c r="W43" s="1117"/>
    </row>
    <row r="44" s="3051" customFormat="1" spans="2:23">
      <c r="B44" s="3084"/>
      <c r="C44" s="3085"/>
      <c r="D44" s="3086"/>
      <c r="E44" s="3086"/>
      <c r="F44" s="3086"/>
      <c r="G44" s="3086"/>
      <c r="H44" s="3086"/>
      <c r="I44" s="3086"/>
      <c r="J44" s="3123"/>
      <c r="K44" s="3122"/>
      <c r="L44" s="3123"/>
      <c r="M44" s="3124"/>
      <c r="N44" s="3124"/>
      <c r="O44" s="3125"/>
      <c r="P44" s="3052"/>
      <c r="Q44" s="1117"/>
      <c r="R44" s="1117"/>
      <c r="T44" s="1117"/>
      <c r="U44" s="1117"/>
      <c r="V44" s="1117"/>
      <c r="W44" s="1117"/>
    </row>
    <row r="45" s="3051" customFormat="1" spans="2:23">
      <c r="B45" s="3087"/>
      <c r="C45" s="3085"/>
      <c r="D45" s="3086"/>
      <c r="E45" s="3086"/>
      <c r="F45" s="3086"/>
      <c r="G45" s="3086"/>
      <c r="H45" s="3086"/>
      <c r="I45" s="3086"/>
      <c r="J45" s="3123"/>
      <c r="K45" s="3123"/>
      <c r="L45" s="3124"/>
      <c r="M45" s="3124"/>
      <c r="N45" s="3124"/>
      <c r="O45" s="3125"/>
      <c r="P45" s="3052"/>
      <c r="Q45" s="1117"/>
      <c r="R45" s="1117"/>
      <c r="T45" s="1117"/>
      <c r="U45" s="1117"/>
      <c r="V45" s="1117"/>
      <c r="W45" s="1117"/>
    </row>
    <row r="46" s="3051" customFormat="1" spans="2:23">
      <c r="B46" s="3087"/>
      <c r="C46" s="3085"/>
      <c r="D46" s="3086"/>
      <c r="E46" s="3086"/>
      <c r="F46" s="3086"/>
      <c r="G46" s="3086"/>
      <c r="H46" s="3086"/>
      <c r="I46" s="3086"/>
      <c r="J46" s="3123"/>
      <c r="K46" s="3123"/>
      <c r="L46" s="3124"/>
      <c r="M46" s="3086"/>
      <c r="N46" s="3124"/>
      <c r="O46" s="3126"/>
      <c r="P46" s="3052"/>
      <c r="Q46" s="1117"/>
      <c r="R46" s="1117"/>
      <c r="T46" s="1117"/>
      <c r="U46" s="1117"/>
      <c r="V46" s="1117"/>
      <c r="W46" s="1117"/>
    </row>
    <row r="47" s="3051" customFormat="1" spans="2:23">
      <c r="B47" s="3087"/>
      <c r="C47" s="3085"/>
      <c r="D47" s="3086"/>
      <c r="E47" s="3086"/>
      <c r="F47" s="3086"/>
      <c r="G47" s="3086"/>
      <c r="H47" s="3086"/>
      <c r="I47" s="3086"/>
      <c r="J47" s="3123"/>
      <c r="K47" s="3123"/>
      <c r="L47" s="3124"/>
      <c r="M47" s="3086"/>
      <c r="N47" s="3086"/>
      <c r="O47" s="3126"/>
      <c r="P47" s="3052"/>
      <c r="Q47" s="1117"/>
      <c r="R47" s="1117"/>
      <c r="T47" s="1117"/>
      <c r="U47" s="1117"/>
      <c r="V47" s="1117"/>
      <c r="W47" s="1117"/>
    </row>
    <row r="48" s="3051" customFormat="1" spans="2:23">
      <c r="B48" s="3087"/>
      <c r="C48" s="3086"/>
      <c r="D48" s="3086"/>
      <c r="E48" s="3086"/>
      <c r="F48" s="3086"/>
      <c r="G48" s="3086"/>
      <c r="H48" s="3086"/>
      <c r="I48" s="3086"/>
      <c r="J48" s="3123"/>
      <c r="K48" s="3123"/>
      <c r="L48" s="3124"/>
      <c r="M48" s="3086"/>
      <c r="N48" s="3086"/>
      <c r="O48" s="3126"/>
      <c r="P48" s="3052"/>
      <c r="Q48" s="1117"/>
      <c r="R48" s="1117"/>
      <c r="T48" s="1117"/>
      <c r="U48" s="1117"/>
      <c r="V48" s="1117"/>
      <c r="W48" s="1117"/>
    </row>
    <row r="49" s="3051" customFormat="1" spans="2:23">
      <c r="B49" s="3088" t="s">
        <v>974</v>
      </c>
      <c r="C49" s="3085" t="s">
        <v>11601</v>
      </c>
      <c r="D49" s="3086"/>
      <c r="E49" s="3086"/>
      <c r="F49" s="3086"/>
      <c r="G49" s="3086"/>
      <c r="H49" s="3086"/>
      <c r="I49" s="3086"/>
      <c r="J49" s="3123"/>
      <c r="K49" s="3123"/>
      <c r="L49" s="3124"/>
      <c r="M49" s="3086"/>
      <c r="N49" s="3086"/>
      <c r="O49" s="3126"/>
      <c r="P49" s="3052"/>
      <c r="Q49" s="1117"/>
      <c r="R49" s="1117"/>
      <c r="T49" s="1117"/>
      <c r="U49" s="1117"/>
      <c r="V49" s="1117"/>
      <c r="W49" s="1117"/>
    </row>
    <row r="50" s="3051" customFormat="1" spans="2:23">
      <c r="B50" s="3087"/>
      <c r="C50" s="3086"/>
      <c r="D50" s="3086"/>
      <c r="E50" s="3086"/>
      <c r="F50" s="3086"/>
      <c r="G50" s="3086"/>
      <c r="H50" s="3086"/>
      <c r="I50" s="3086"/>
      <c r="J50" s="3123"/>
      <c r="K50" s="3123"/>
      <c r="L50" s="3124"/>
      <c r="M50" s="3086"/>
      <c r="N50" s="3086"/>
      <c r="O50" s="3126"/>
      <c r="P50" s="3052"/>
      <c r="Q50" s="1117"/>
      <c r="R50" s="1117"/>
      <c r="T50" s="1117"/>
      <c r="U50" s="1117"/>
      <c r="V50" s="1117"/>
      <c r="W50" s="1117"/>
    </row>
    <row r="51" s="3051" customFormat="1" spans="2:23">
      <c r="B51" s="3087"/>
      <c r="C51" s="3086"/>
      <c r="D51" s="3086"/>
      <c r="E51" s="3086"/>
      <c r="F51" s="3086"/>
      <c r="G51" s="3086"/>
      <c r="H51" s="3086"/>
      <c r="I51" s="3086"/>
      <c r="J51" s="3123"/>
      <c r="K51" s="3123"/>
      <c r="L51" s="3124"/>
      <c r="M51" s="3086"/>
      <c r="N51" s="3086"/>
      <c r="O51" s="3126"/>
      <c r="P51" s="3052"/>
      <c r="Q51" s="1117"/>
      <c r="R51" s="1117"/>
      <c r="T51" s="1117"/>
      <c r="U51" s="1117"/>
      <c r="V51" s="1117"/>
      <c r="W51" s="1117"/>
    </row>
    <row r="52" s="3051" customFormat="1" ht="13.95" spans="2:23">
      <c r="B52" s="3089"/>
      <c r="C52" s="3090"/>
      <c r="D52" s="3090"/>
      <c r="E52" s="3090"/>
      <c r="F52" s="3090"/>
      <c r="G52" s="3090"/>
      <c r="H52" s="3090"/>
      <c r="I52" s="3090"/>
      <c r="J52" s="3127"/>
      <c r="K52" s="3127"/>
      <c r="L52" s="3128"/>
      <c r="M52" s="3090"/>
      <c r="N52" s="3090"/>
      <c r="O52" s="3129"/>
      <c r="P52" s="3052"/>
      <c r="Q52" s="1117"/>
      <c r="R52" s="1117"/>
      <c r="T52" s="1117"/>
      <c r="U52" s="1117"/>
      <c r="V52" s="1117"/>
      <c r="W52" s="1117"/>
    </row>
    <row r="53" s="3051" customFormat="1" spans="2:23">
      <c r="B53" s="1117"/>
      <c r="C53" s="1117"/>
      <c r="D53" s="1117"/>
      <c r="E53" s="1117"/>
      <c r="F53" s="1117"/>
      <c r="G53" s="1117"/>
      <c r="H53" s="1117"/>
      <c r="I53" s="1117"/>
      <c r="J53" s="3093"/>
      <c r="K53" s="3093"/>
      <c r="L53" s="3052"/>
      <c r="M53" s="1117"/>
      <c r="N53" s="1117"/>
      <c r="O53" s="1117"/>
      <c r="P53" s="3052"/>
      <c r="Q53" s="1117"/>
      <c r="R53" s="1117"/>
      <c r="T53" s="1117"/>
      <c r="U53" s="1117"/>
      <c r="V53" s="1117"/>
      <c r="W53" s="1117"/>
    </row>
    <row r="54" spans="16:16">
      <c r="P54" s="3052"/>
    </row>
    <row r="55" spans="16:16">
      <c r="P55" s="3052"/>
    </row>
    <row r="56" spans="16:16">
      <c r="P56" s="3052"/>
    </row>
    <row r="57" spans="16:16">
      <c r="P57" s="3052"/>
    </row>
    <row r="58" spans="16:16">
      <c r="P58" s="3052"/>
    </row>
    <row r="59" spans="16:16">
      <c r="P59" s="3052"/>
    </row>
    <row r="60" spans="16:16">
      <c r="P60" s="3052"/>
    </row>
    <row r="61" spans="16:16">
      <c r="P61" s="3052"/>
    </row>
    <row r="62" spans="16:16">
      <c r="P62" s="3052"/>
    </row>
    <row r="63" spans="16:16">
      <c r="P63" s="3052"/>
    </row>
    <row r="64" spans="16:16">
      <c r="P64" s="3052"/>
    </row>
    <row r="65" spans="16:16">
      <c r="P65" s="3052"/>
    </row>
    <row r="66" spans="16:16">
      <c r="P66" s="3052"/>
    </row>
    <row r="67" spans="16:16">
      <c r="P67" s="3052"/>
    </row>
    <row r="68" spans="16:16">
      <c r="P68" s="3052"/>
    </row>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sheetData>
  <pageMargins left="0.31496062992126" right="0.31496062992126" top="0.354330708661417" bottom="0.354330708661417" header="0.31496062992126" footer="0.31496062992126"/>
  <pageSetup paperSize="9" scale="85" orientation="landscape"/>
  <headerFooter/>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9">
    <tabColor theme="6" tint="0.399975585192419"/>
    <pageSetUpPr fitToPage="1"/>
  </sheetPr>
  <dimension ref="B1:Z289"/>
  <sheetViews>
    <sheetView showGridLines="0" zoomScale="115" zoomScaleNormal="115" workbookViewId="0">
      <pane xSplit="5" ySplit="11" topLeftCell="F42" activePane="bottomRight" state="frozen"/>
      <selection/>
      <selection pane="topRight"/>
      <selection pane="bottomLeft"/>
      <selection pane="bottomRight" activeCell="H49" sqref="H49"/>
    </sheetView>
  </sheetViews>
  <sheetFormatPr defaultColWidth="9.13541666666667" defaultRowHeight="13.2"/>
  <cols>
    <col min="1" max="2" width="2.55208333333333" style="186" customWidth="1"/>
    <col min="3" max="3" width="34.7604166666667" style="186" customWidth="1"/>
    <col min="4" max="4" width="4.79166666666667" style="186" customWidth="1"/>
    <col min="5" max="5" width="16.3333333333333" style="186" hidden="1" customWidth="1"/>
    <col min="6" max="6" width="16.3333333333333" style="186" customWidth="1" outlineLevel="1"/>
    <col min="7" max="7" width="5.6875" style="186" customWidth="1" outlineLevel="1"/>
    <col min="8" max="9" width="16.1770833333333" style="186" customWidth="1" outlineLevel="1"/>
    <col min="10" max="10" width="5.23958333333333" style="186" customWidth="1" outlineLevel="1"/>
    <col min="11" max="11" width="18.28125" style="186" customWidth="1"/>
    <col min="12" max="12" width="17.6770833333333" style="186" customWidth="1" outlineLevel="1"/>
    <col min="13" max="13" width="6.73958333333333" style="186" customWidth="1" outlineLevel="1"/>
    <col min="14" max="14" width="16.78125" style="186" customWidth="1" outlineLevel="1"/>
    <col min="15" max="15" width="19.03125" style="186" customWidth="1" outlineLevel="1"/>
    <col min="16" max="16" width="7.9375" style="186" customWidth="1" outlineLevel="1"/>
    <col min="17" max="17" width="16.9270833333333" style="186" customWidth="1"/>
    <col min="18" max="21" width="16.78125" style="186" customWidth="1"/>
    <col min="22" max="22" width="16.3333333333333" style="186" customWidth="1"/>
    <col min="23" max="23" width="7.1875" style="186" customWidth="1"/>
    <col min="24" max="24" width="9.13541666666667" style="186"/>
    <col min="25" max="25" width="17.2291666666667" style="186" customWidth="1"/>
    <col min="26" max="16384" width="9.13541666666667" style="186"/>
  </cols>
  <sheetData>
    <row r="1" spans="16:16">
      <c r="P1" s="134"/>
    </row>
    <row r="2" ht="16.8" spans="3:23">
      <c r="C2" s="2992" t="str">
        <f>D!C2</f>
        <v>KAP LIASTA NIRWAN SYAFRUDIN &amp; REKAN</v>
      </c>
      <c r="D2" s="1198"/>
      <c r="E2" s="1198"/>
      <c r="F2" s="1198"/>
      <c r="G2" s="1198"/>
      <c r="H2" s="1198"/>
      <c r="I2" s="1198"/>
      <c r="J2" s="1198"/>
      <c r="K2" s="1198"/>
      <c r="L2" s="1198"/>
      <c r="M2" s="1198"/>
      <c r="N2" s="1198"/>
      <c r="O2" s="1198"/>
      <c r="P2" s="1198"/>
      <c r="Q2" s="1198"/>
      <c r="R2" s="1198"/>
      <c r="S2" s="1198"/>
      <c r="T2" s="1198" t="s">
        <v>481</v>
      </c>
      <c r="U2" s="1198" t="s">
        <v>482</v>
      </c>
      <c r="V2" s="1198" t="s">
        <v>483</v>
      </c>
      <c r="W2" s="3019"/>
    </row>
    <row r="3" spans="3:23">
      <c r="C3" s="1199"/>
      <c r="D3" s="1200"/>
      <c r="E3" s="1200"/>
      <c r="F3" s="1200"/>
      <c r="G3" s="1200"/>
      <c r="H3" s="1200"/>
      <c r="I3" s="1200"/>
      <c r="J3" s="1200"/>
      <c r="K3" s="1200"/>
      <c r="L3" s="1200"/>
      <c r="M3" s="1200"/>
      <c r="N3" s="1200"/>
      <c r="O3" s="1200"/>
      <c r="P3" s="1200"/>
      <c r="Q3" s="1200"/>
      <c r="R3" s="2367"/>
      <c r="S3" s="2367"/>
      <c r="T3" s="1200" t="s">
        <v>681</v>
      </c>
      <c r="U3" s="2367">
        <v>45193</v>
      </c>
      <c r="V3" s="1200" t="s">
        <v>743</v>
      </c>
      <c r="W3" s="3020"/>
    </row>
    <row r="4" spans="3:23">
      <c r="C4" s="2334" t="str">
        <f>+B!D4</f>
        <v>PT INTAN GIRI ABADI</v>
      </c>
      <c r="D4" s="1200"/>
      <c r="E4" s="1200"/>
      <c r="F4" s="1200"/>
      <c r="G4" s="1200"/>
      <c r="H4" s="1200"/>
      <c r="I4" s="1200"/>
      <c r="J4" s="1200"/>
      <c r="K4" s="1200"/>
      <c r="L4" s="1200"/>
      <c r="M4" s="1200"/>
      <c r="N4" s="1200"/>
      <c r="O4" s="1200"/>
      <c r="P4" s="1200"/>
      <c r="Q4" s="1200"/>
      <c r="R4" s="1200"/>
      <c r="S4" s="1200"/>
      <c r="T4" s="1200" t="s">
        <v>487</v>
      </c>
      <c r="U4" s="1200" t="s">
        <v>482</v>
      </c>
      <c r="V4" s="1200" t="s">
        <v>488</v>
      </c>
      <c r="W4" s="3020"/>
    </row>
    <row r="5" spans="3:23">
      <c r="C5" s="2334"/>
      <c r="D5" s="1200"/>
      <c r="E5" s="1200"/>
      <c r="F5" s="1200"/>
      <c r="G5" s="1200"/>
      <c r="H5" s="1200"/>
      <c r="I5" s="1200"/>
      <c r="J5" s="1200"/>
      <c r="K5" s="1200"/>
      <c r="L5" s="1200"/>
      <c r="M5" s="1200"/>
      <c r="N5" s="1200"/>
      <c r="O5" s="1200"/>
      <c r="P5" s="1200"/>
      <c r="Q5" s="1200"/>
      <c r="R5" s="1200"/>
      <c r="S5" s="1200"/>
      <c r="T5" s="1200"/>
      <c r="U5" s="1200"/>
      <c r="V5" s="1200"/>
      <c r="W5" s="3020"/>
    </row>
    <row r="6" spans="2:23">
      <c r="B6" s="248"/>
      <c r="C6" s="2334"/>
      <c r="D6" s="1200"/>
      <c r="E6" s="1200"/>
      <c r="F6" s="1200"/>
      <c r="G6" s="1200"/>
      <c r="H6" s="1200"/>
      <c r="I6" s="1200"/>
      <c r="J6" s="1200"/>
      <c r="K6" s="1200"/>
      <c r="L6" s="1200"/>
      <c r="M6" s="1200"/>
      <c r="N6" s="1200"/>
      <c r="O6" s="1200"/>
      <c r="P6" s="1200"/>
      <c r="Q6" s="1200"/>
      <c r="R6" s="1200"/>
      <c r="S6" s="1200"/>
      <c r="T6" s="1200"/>
      <c r="U6" s="1200"/>
      <c r="V6" s="1200" t="s">
        <v>491</v>
      </c>
      <c r="W6" s="3020"/>
    </row>
    <row r="7" spans="2:23">
      <c r="B7" s="248"/>
      <c r="C7" s="2993" t="str">
        <f>+'F1'!C23</f>
        <v>Pekerjaan dlm pelaksanaan</v>
      </c>
      <c r="D7" s="1202"/>
      <c r="E7" s="1202"/>
      <c r="F7" s="1202"/>
      <c r="G7" s="1202"/>
      <c r="H7" s="1202"/>
      <c r="I7" s="1202"/>
      <c r="J7" s="1202"/>
      <c r="K7" s="1202"/>
      <c r="L7" s="1202"/>
      <c r="M7" s="1202"/>
      <c r="N7" s="1202"/>
      <c r="O7" s="1202"/>
      <c r="P7" s="1202"/>
      <c r="Q7" s="1202"/>
      <c r="R7" s="1202"/>
      <c r="S7" s="1202"/>
      <c r="T7" s="1202"/>
      <c r="U7" s="1202"/>
      <c r="V7" s="3021">
        <f>+'F1'!X7</f>
        <v>44926</v>
      </c>
      <c r="W7" s="3022"/>
    </row>
    <row r="8" spans="2:23">
      <c r="B8" s="248"/>
      <c r="C8" s="94"/>
      <c r="D8"/>
      <c r="E8"/>
      <c r="F8"/>
      <c r="G8"/>
      <c r="H8"/>
      <c r="I8"/>
      <c r="J8"/>
      <c r="K8"/>
      <c r="L8"/>
      <c r="M8"/>
      <c r="N8"/>
      <c r="O8"/>
      <c r="P8"/>
      <c r="Q8"/>
      <c r="R8">
        <f>+R32</f>
        <v>0</v>
      </c>
      <c r="S8">
        <f t="shared" ref="S8:U8" si="0">+S32</f>
        <v>0</v>
      </c>
      <c r="T8">
        <f t="shared" si="0"/>
        <v>0</v>
      </c>
      <c r="U8">
        <f t="shared" si="0"/>
        <v>0</v>
      </c>
      <c r="V8"/>
      <c r="W8"/>
    </row>
    <row r="9" spans="2:15">
      <c r="B9" s="248"/>
      <c r="F9" s="186">
        <f>20454346411.67-698597000</f>
        <v>19755749411.67</v>
      </c>
      <c r="N9"/>
      <c r="O9"/>
    </row>
    <row r="10" spans="2:23">
      <c r="B10" s="248"/>
      <c r="C10" s="2994" t="s">
        <v>492</v>
      </c>
      <c r="D10" s="2995" t="s">
        <v>654</v>
      </c>
      <c r="E10" s="2995" t="e">
        <f>'[89]F1'!F6</f>
        <v>#REF!</v>
      </c>
      <c r="F10" s="2996" t="s">
        <v>2249</v>
      </c>
      <c r="G10" s="2995" t="s">
        <v>1230</v>
      </c>
      <c r="H10" s="2997"/>
      <c r="I10" s="2997"/>
      <c r="J10" s="2995" t="s">
        <v>1230</v>
      </c>
      <c r="K10" s="3010" t="s">
        <v>2250</v>
      </c>
      <c r="L10" s="2996" t="s">
        <v>2249</v>
      </c>
      <c r="M10" s="2995" t="s">
        <v>1230</v>
      </c>
      <c r="N10" s="2997"/>
      <c r="O10" s="2997"/>
      <c r="P10" s="2995" t="s">
        <v>1230</v>
      </c>
      <c r="Q10" s="3010" t="s">
        <v>2250</v>
      </c>
      <c r="R10" s="3010" t="s">
        <v>2250</v>
      </c>
      <c r="S10" s="3010" t="s">
        <v>2250</v>
      </c>
      <c r="T10" s="3010" t="s">
        <v>2250</v>
      </c>
      <c r="U10" s="3010" t="s">
        <v>2250</v>
      </c>
      <c r="V10" s="3023" t="s">
        <v>2251</v>
      </c>
      <c r="W10" s="3023"/>
    </row>
    <row r="11" ht="13.95" spans="2:23">
      <c r="B11" s="248"/>
      <c r="C11" s="1342"/>
      <c r="D11" s="5111" t="s">
        <v>2252</v>
      </c>
      <c r="E11" s="1341" t="e">
        <f>'[89]F1'!F7</f>
        <v>#REF!</v>
      </c>
      <c r="F11" s="1341">
        <f>+E!$K$12</f>
        <v>44926</v>
      </c>
      <c r="G11" s="1342" t="s">
        <v>2253</v>
      </c>
      <c r="H11" s="1342" t="s">
        <v>1231</v>
      </c>
      <c r="I11" s="1342" t="s">
        <v>1232</v>
      </c>
      <c r="J11" s="1342" t="s">
        <v>2253</v>
      </c>
      <c r="K11" s="1390">
        <f>F11</f>
        <v>44926</v>
      </c>
      <c r="L11" s="3011">
        <f>+E!$L$12</f>
        <v>44561</v>
      </c>
      <c r="M11" s="1342" t="s">
        <v>2253</v>
      </c>
      <c r="N11" s="1336" t="s">
        <v>1231</v>
      </c>
      <c r="O11" s="1342" t="s">
        <v>1232</v>
      </c>
      <c r="P11" s="1336" t="s">
        <v>2253</v>
      </c>
      <c r="Q11" s="1390">
        <f>L11</f>
        <v>44561</v>
      </c>
      <c r="R11" s="1390">
        <f>+'F1'!Q10</f>
        <v>44196</v>
      </c>
      <c r="S11" s="1390">
        <f>+'F1'!R10</f>
        <v>43830</v>
      </c>
      <c r="T11" s="1390">
        <f>+'F1'!S10</f>
        <v>43465</v>
      </c>
      <c r="U11" s="1390">
        <f>+'F1'!T10</f>
        <v>43099</v>
      </c>
      <c r="V11" s="1342" t="s">
        <v>151</v>
      </c>
      <c r="W11" s="5122" t="s">
        <v>2254</v>
      </c>
    </row>
    <row r="12" spans="2:23">
      <c r="B12" s="248"/>
      <c r="C12" s="296"/>
      <c r="D12" s="135"/>
      <c r="E12" s="296"/>
      <c r="F12" s="1391"/>
      <c r="G12" s="135"/>
      <c r="H12" s="138"/>
      <c r="I12" s="1391"/>
      <c r="J12" s="135"/>
      <c r="K12" s="3012"/>
      <c r="L12" s="3013"/>
      <c r="M12" s="136"/>
      <c r="N12" s="3013"/>
      <c r="O12" s="134"/>
      <c r="P12" s="3014"/>
      <c r="Q12" s="1391"/>
      <c r="R12" s="134"/>
      <c r="S12" s="1391"/>
      <c r="T12" s="134"/>
      <c r="U12" s="1391"/>
      <c r="V12" s="229"/>
      <c r="W12" s="3024"/>
    </row>
    <row r="13" spans="3:25">
      <c r="C13" s="296" t="s">
        <v>11602</v>
      </c>
      <c r="D13" s="134"/>
      <c r="E13" s="296"/>
      <c r="F13" s="2998">
        <f>19741252234+33052301.5-109072758.41+110000000</f>
        <v>19775231777.09</v>
      </c>
      <c r="G13" s="2505"/>
      <c r="H13" s="161">
        <f>SUMIF('F4'!$E$12:$E$158,C13,'F4'!$G$12:$G$158)</f>
        <v>0</v>
      </c>
      <c r="I13" s="161">
        <f>SUMIF('F4'!$E$12:$E$158,C13,'F4'!$H$12:$H$158)</f>
        <v>0</v>
      </c>
      <c r="J13" s="2505"/>
      <c r="K13" s="101">
        <f>F13+H13-I13</f>
        <v>19775231777.09</v>
      </c>
      <c r="L13" s="2378">
        <f>25418181818.1818+4017941201+204409386-4017941201-73972732-133614256</f>
        <v>25415004216.1818</v>
      </c>
      <c r="M13" s="3015"/>
      <c r="N13" s="161">
        <f>SUMIF('F4'!$E$12:$E$158,C13,'F4'!$I$12:$I$158)</f>
        <v>0</v>
      </c>
      <c r="O13" s="161">
        <f>SUMIF('F4'!$E$12:$E$158,C13,'F4'!$J$12:$J$158)+'F6'!J21</f>
        <v>33663124</v>
      </c>
      <c r="P13" s="2505"/>
      <c r="Q13" s="161">
        <f>L13+N13-O13</f>
        <v>25381341092.1818</v>
      </c>
      <c r="R13" s="3025">
        <f>(26818181818.1818*78%)+4500000000+(1974346000*0)</f>
        <v>25418181818.1818</v>
      </c>
      <c r="S13" s="2378">
        <f>25418181818.1818</f>
        <v>25418181818.1818</v>
      </c>
      <c r="T13" s="2378">
        <f>25418181818.1818</f>
        <v>25418181818.1818</v>
      </c>
      <c r="U13" s="161">
        <v>3761781296.8474</v>
      </c>
      <c r="V13" s="229">
        <f>F13-Q13</f>
        <v>-5606109315.0918</v>
      </c>
      <c r="W13" s="648">
        <f>IF(F13=0,IF(V13=0,0,V13/V13),V13/F13)</f>
        <v>-0.283491459330787</v>
      </c>
      <c r="Y13" s="101">
        <v>66999900803</v>
      </c>
    </row>
    <row r="14" spans="3:23">
      <c r="C14" s="296" t="s">
        <v>11603</v>
      </c>
      <c r="D14" s="136"/>
      <c r="E14" s="296"/>
      <c r="F14" s="161">
        <v>0</v>
      </c>
      <c r="G14" s="2505"/>
      <c r="H14" s="161">
        <f>SUMIF('F4'!$E$12:$E$158,C14,'F4'!$G$12:$G$158)</f>
        <v>0</v>
      </c>
      <c r="I14" s="161">
        <f>SUMIF('F4'!$E$12:$E$158,C14,'F4'!$H$12:$H$158)</f>
        <v>0</v>
      </c>
      <c r="J14" s="2505"/>
      <c r="K14" s="101">
        <f t="shared" ref="K14:K29" si="1">F14+H14-I14</f>
        <v>0</v>
      </c>
      <c r="L14" s="161">
        <v>103020000</v>
      </c>
      <c r="M14" s="101"/>
      <c r="N14" s="161">
        <f>SUMIF('F4'!$E$12:$E$158,C14,'F4'!$I$12:$I$158)</f>
        <v>0</v>
      </c>
      <c r="O14" s="161">
        <f>SUMIF('F4'!$E$12:$E$158,C14,'F4'!$J$12:$J$158)</f>
        <v>0</v>
      </c>
      <c r="P14" s="161"/>
      <c r="Q14" s="161">
        <f t="shared" ref="Q14:Q29" si="2">L14+N14-O14</f>
        <v>103020000</v>
      </c>
      <c r="R14" s="2202">
        <f>354000000*75%</f>
        <v>265500000</v>
      </c>
      <c r="S14" s="161">
        <v>172780560</v>
      </c>
      <c r="T14" s="161">
        <v>186744150</v>
      </c>
      <c r="U14" s="161">
        <v>0</v>
      </c>
      <c r="V14" s="229">
        <f t="shared" ref="V14:V27" si="3">F14-Q14</f>
        <v>-103020000</v>
      </c>
      <c r="W14" s="648">
        <f t="shared" ref="W14:W23" si="4">IF(R14=0,IF(V14=0,0,V14/V14),V14/R14)</f>
        <v>-0.388022598870057</v>
      </c>
    </row>
    <row r="15" spans="3:23">
      <c r="C15" s="296" t="s">
        <v>11604</v>
      </c>
      <c r="D15" s="134"/>
      <c r="E15" s="296"/>
      <c r="F15" s="161">
        <v>0</v>
      </c>
      <c r="G15" s="2505"/>
      <c r="H15" s="161">
        <f>SUMIF('F4'!$E$12:$E$158,C15,'F4'!$G$12:$G$158)</f>
        <v>0</v>
      </c>
      <c r="I15" s="161">
        <f>SUMIF('F4'!$E$12:$E$158,C15,'F4'!$H$12:$H$158)</f>
        <v>0</v>
      </c>
      <c r="J15" s="2505"/>
      <c r="K15" s="101">
        <f t="shared" si="1"/>
        <v>0</v>
      </c>
      <c r="L15" s="161">
        <v>52275000</v>
      </c>
      <c r="M15" s="3015"/>
      <c r="N15" s="161">
        <f>SUMIF('F4'!$E$12:$E$158,C15,'F4'!$I$12:$I$158)</f>
        <v>0</v>
      </c>
      <c r="O15" s="161">
        <f>SUMIF('F4'!$E$12:$E$158,C15,'F4'!$J$12:$J$158)</f>
        <v>0</v>
      </c>
      <c r="P15" s="2505"/>
      <c r="Q15" s="161">
        <f t="shared" si="2"/>
        <v>52275000</v>
      </c>
      <c r="R15" s="2202">
        <f>87300000*80%</f>
        <v>69840000</v>
      </c>
      <c r="S15" s="161">
        <v>210045014.7</v>
      </c>
      <c r="T15" s="161">
        <v>102281300</v>
      </c>
      <c r="U15" s="161">
        <v>60785993</v>
      </c>
      <c r="V15" s="229">
        <f t="shared" si="3"/>
        <v>-52275000</v>
      </c>
      <c r="W15" s="648">
        <f t="shared" si="4"/>
        <v>-0.748496563573883</v>
      </c>
    </row>
    <row r="16" spans="3:23">
      <c r="C16" s="296" t="s">
        <v>11605</v>
      </c>
      <c r="D16" s="134"/>
      <c r="E16" s="296"/>
      <c r="F16" s="161">
        <v>0</v>
      </c>
      <c r="G16" s="2505"/>
      <c r="H16" s="161">
        <f>SUMIF('F4'!$E$12:$E$158,C16,'F4'!$G$12:$G$158)</f>
        <v>0</v>
      </c>
      <c r="I16" s="161">
        <f>SUMIF('F4'!$E$12:$E$158,C16,'F4'!$H$12:$H$158)</f>
        <v>0</v>
      </c>
      <c r="J16" s="2505"/>
      <c r="K16" s="101">
        <f t="shared" si="1"/>
        <v>0</v>
      </c>
      <c r="L16" s="161">
        <v>37139600</v>
      </c>
      <c r="M16" s="101"/>
      <c r="N16" s="161">
        <f>SUMIF('F4'!$E$12:$E$158,C16,'F4'!$I$12:$I$158)</f>
        <v>0</v>
      </c>
      <c r="O16" s="161">
        <f>SUMIF('F4'!$E$12:$E$158,C16,'F4'!$J$12:$J$158)</f>
        <v>0</v>
      </c>
      <c r="P16" s="2505"/>
      <c r="Q16" s="161">
        <f t="shared" si="2"/>
        <v>37139600</v>
      </c>
      <c r="R16" s="2202">
        <f>126000000*83%</f>
        <v>104580000</v>
      </c>
      <c r="S16" s="161">
        <v>0</v>
      </c>
      <c r="T16" s="161">
        <v>0</v>
      </c>
      <c r="U16" s="161">
        <v>0</v>
      </c>
      <c r="V16" s="229">
        <f t="shared" si="3"/>
        <v>-37139600</v>
      </c>
      <c r="W16" s="648">
        <f t="shared" si="4"/>
        <v>-0.355131000191241</v>
      </c>
    </row>
    <row r="17" spans="3:23">
      <c r="C17" s="296" t="s">
        <v>11606</v>
      </c>
      <c r="D17" s="296"/>
      <c r="E17" s="296"/>
      <c r="F17" s="161">
        <v>0</v>
      </c>
      <c r="G17" s="2505"/>
      <c r="H17" s="161">
        <f>SUMIF('F4'!$E$12:$E$158,C17,'F4'!$G$12:$G$158)</f>
        <v>0</v>
      </c>
      <c r="I17" s="161">
        <f>SUMIF('F4'!$E$12:$E$158,C17,'F4'!$H$12:$H$158)</f>
        <v>0</v>
      </c>
      <c r="J17" s="2505"/>
      <c r="K17" s="101">
        <f t="shared" si="1"/>
        <v>0</v>
      </c>
      <c r="L17" s="161">
        <v>36502612.8</v>
      </c>
      <c r="M17" s="3015"/>
      <c r="N17" s="161">
        <f>SUMIF('F4'!$E$12:$E$158,C17,'F4'!$I$12:$I$158)</f>
        <v>0</v>
      </c>
      <c r="O17" s="161">
        <f>SUMIF('F4'!$E$12:$E$158,C17,'F4'!$J$12:$J$158)</f>
        <v>0</v>
      </c>
      <c r="P17" s="2505"/>
      <c r="Q17" s="161">
        <f t="shared" si="2"/>
        <v>36502612.8</v>
      </c>
      <c r="R17" s="2202">
        <v>0</v>
      </c>
      <c r="S17" s="161">
        <v>74197387.68</v>
      </c>
      <c r="T17" s="161">
        <v>51712631.55</v>
      </c>
      <c r="U17" s="161">
        <v>0</v>
      </c>
      <c r="V17" s="229">
        <f t="shared" si="3"/>
        <v>-36502612.8</v>
      </c>
      <c r="W17" s="648">
        <f t="shared" si="4"/>
        <v>1</v>
      </c>
    </row>
    <row r="18" spans="3:23">
      <c r="C18" s="296" t="s">
        <v>11607</v>
      </c>
      <c r="D18" s="296"/>
      <c r="E18" s="296"/>
      <c r="F18" s="161">
        <v>0</v>
      </c>
      <c r="G18" s="2505"/>
      <c r="H18" s="161">
        <f>SUMIF('F4'!$E$12:$E$158,C18,'F4'!$G$12:$G$158)</f>
        <v>0</v>
      </c>
      <c r="I18" s="161">
        <f>SUMIF('F4'!$E$12:$E$158,C18,'F4'!$H$12:$H$158)</f>
        <v>0</v>
      </c>
      <c r="J18" s="2505"/>
      <c r="K18" s="101">
        <f t="shared" si="1"/>
        <v>0</v>
      </c>
      <c r="L18" s="161">
        <v>0</v>
      </c>
      <c r="M18" s="3015"/>
      <c r="N18" s="161">
        <f>SUMIF('F4'!$E$12:$E$158,C18,'F4'!$I$12:$I$158)</f>
        <v>0</v>
      </c>
      <c r="O18" s="161">
        <f>SUMIF('F4'!$E$12:$E$158,C18,'F4'!$J$12:$J$158)</f>
        <v>0</v>
      </c>
      <c r="P18" s="2505"/>
      <c r="Q18" s="161">
        <f t="shared" si="2"/>
        <v>0</v>
      </c>
      <c r="R18" s="2202">
        <v>0</v>
      </c>
      <c r="S18" s="161">
        <v>195858000</v>
      </c>
      <c r="T18" s="161">
        <v>0</v>
      </c>
      <c r="U18" s="161">
        <v>0</v>
      </c>
      <c r="V18" s="229">
        <f t="shared" si="3"/>
        <v>0</v>
      </c>
      <c r="W18" s="648">
        <f t="shared" si="4"/>
        <v>0</v>
      </c>
    </row>
    <row r="19" spans="3:23">
      <c r="C19" s="296" t="s">
        <v>11608</v>
      </c>
      <c r="D19" s="296"/>
      <c r="E19" s="296"/>
      <c r="F19" s="161">
        <v>0</v>
      </c>
      <c r="G19" s="2505"/>
      <c r="H19" s="161">
        <f>SUMIF('F4'!$E$12:$E$158,C19,'F4'!$G$12:$G$158)</f>
        <v>0</v>
      </c>
      <c r="I19" s="161">
        <f>SUMIF('F4'!$E$12:$E$158,C19,'F4'!$H$12:$H$158)</f>
        <v>0</v>
      </c>
      <c r="J19" s="2499"/>
      <c r="K19" s="101">
        <f t="shared" si="1"/>
        <v>0</v>
      </c>
      <c r="L19" s="161">
        <v>0</v>
      </c>
      <c r="M19" s="3015"/>
      <c r="N19" s="161">
        <f>SUMIF('F4'!$E$12:$E$158,C19,'F4'!$I$12:$I$158)</f>
        <v>0</v>
      </c>
      <c r="O19" s="161">
        <f>SUMIF('F4'!$E$12:$E$158,C19,'F4'!$J$12:$J$158)</f>
        <v>0</v>
      </c>
      <c r="P19" s="2499"/>
      <c r="Q19" s="161">
        <f t="shared" si="2"/>
        <v>0</v>
      </c>
      <c r="R19" s="3026">
        <f>27146880180.8045-15655111006.3925+18626351.65-0.53-73972731</f>
        <v>11436422794.532</v>
      </c>
      <c r="S19" s="161">
        <v>27146880180.8045</v>
      </c>
      <c r="T19" s="161">
        <v>27146880180.8045</v>
      </c>
      <c r="U19" s="161">
        <v>20309915361</v>
      </c>
      <c r="V19" s="229">
        <f t="shared" si="3"/>
        <v>0</v>
      </c>
      <c r="W19" s="648">
        <f t="shared" si="4"/>
        <v>0</v>
      </c>
    </row>
    <row r="20" spans="3:23">
      <c r="C20" s="296" t="s">
        <v>11609</v>
      </c>
      <c r="D20" s="296"/>
      <c r="E20" s="296"/>
      <c r="F20" s="161">
        <v>0</v>
      </c>
      <c r="G20" s="2505"/>
      <c r="H20" s="161">
        <f>SUMIF('F4'!$E$12:$E$158,C20,'F4'!$G$12:$G$158)</f>
        <v>0</v>
      </c>
      <c r="I20" s="161">
        <f>SUMIF('F4'!$E$12:$E$158,C20,'F4'!$H$12:$H$158)</f>
        <v>0</v>
      </c>
      <c r="J20" s="2505"/>
      <c r="K20" s="101">
        <f t="shared" si="1"/>
        <v>0</v>
      </c>
      <c r="L20" s="161">
        <v>0</v>
      </c>
      <c r="M20" s="3015"/>
      <c r="N20" s="161">
        <f>SUMIF('F4'!$E$12:$E$158,C20,'F4'!$I$12:$I$158)</f>
        <v>0</v>
      </c>
      <c r="O20" s="161">
        <f>SUMIF('F4'!$E$12:$E$158,C20,'F4'!$J$12:$J$158)</f>
        <v>0</v>
      </c>
      <c r="P20" s="2505"/>
      <c r="Q20" s="161">
        <f t="shared" si="2"/>
        <v>0</v>
      </c>
      <c r="R20" s="101">
        <v>0</v>
      </c>
      <c r="S20" s="161">
        <v>186030366.48</v>
      </c>
      <c r="T20" s="161">
        <v>234657600</v>
      </c>
      <c r="U20" s="161">
        <v>0</v>
      </c>
      <c r="V20" s="229">
        <f t="shared" si="3"/>
        <v>0</v>
      </c>
      <c r="W20" s="648">
        <f t="shared" si="4"/>
        <v>0</v>
      </c>
    </row>
    <row r="21" spans="3:23">
      <c r="C21" s="296" t="s">
        <v>11610</v>
      </c>
      <c r="D21" s="134"/>
      <c r="E21" s="296"/>
      <c r="F21" s="161">
        <v>0</v>
      </c>
      <c r="G21" s="2505"/>
      <c r="H21" s="161">
        <f>SUMIF('F4'!$E$12:$E$158,C21,'F4'!$G$12:$G$158)</f>
        <v>0</v>
      </c>
      <c r="I21" s="161">
        <f>SUMIF('F4'!$E$12:$E$158,C21,'F4'!$H$12:$H$158)</f>
        <v>0</v>
      </c>
      <c r="J21" s="2505"/>
      <c r="K21" s="101">
        <f t="shared" si="1"/>
        <v>0</v>
      </c>
      <c r="L21" s="161">
        <v>0</v>
      </c>
      <c r="M21" s="101"/>
      <c r="N21" s="161">
        <f>SUMIF('F4'!$E$12:$E$158,C21,'F4'!$I$12:$I$158)</f>
        <v>0</v>
      </c>
      <c r="O21" s="161">
        <f>SUMIF('F4'!$E$12:$E$158,C21,'F4'!$J$12:$J$158)</f>
        <v>0</v>
      </c>
      <c r="P21" s="2505"/>
      <c r="Q21" s="161">
        <f t="shared" si="2"/>
        <v>0</v>
      </c>
      <c r="R21" s="101">
        <v>0</v>
      </c>
      <c r="S21" s="161">
        <v>0</v>
      </c>
      <c r="T21" s="161">
        <v>147256132</v>
      </c>
      <c r="U21" s="161">
        <v>0</v>
      </c>
      <c r="V21" s="229">
        <f t="shared" si="3"/>
        <v>0</v>
      </c>
      <c r="W21" s="648">
        <f t="shared" si="4"/>
        <v>0</v>
      </c>
    </row>
    <row r="22" spans="3:25">
      <c r="C22" s="296" t="s">
        <v>11611</v>
      </c>
      <c r="D22" s="296"/>
      <c r="E22" s="296"/>
      <c r="F22" s="161">
        <v>0</v>
      </c>
      <c r="G22" s="2505"/>
      <c r="H22" s="161">
        <f>SUMIF('F4'!$E$12:$E$158,C22,'F4'!$G$12:$G$158)</f>
        <v>0</v>
      </c>
      <c r="I22" s="161">
        <f>SUMIF('F4'!$E$12:$E$158,C22,'F4'!$H$12:$H$158)</f>
        <v>0</v>
      </c>
      <c r="J22" s="2505"/>
      <c r="K22" s="101">
        <f t="shared" si="1"/>
        <v>0</v>
      </c>
      <c r="L22" s="161">
        <v>0</v>
      </c>
      <c r="M22" s="101"/>
      <c r="N22" s="161">
        <f>SUMIF('F4'!$E$12:$E$158,C22,'F4'!$I$12:$I$158)</f>
        <v>0</v>
      </c>
      <c r="O22" s="161">
        <f>SUMIF('F4'!$E$12:$E$158,C22,'F4'!$J$12:$J$158)</f>
        <v>0</v>
      </c>
      <c r="P22" s="2505"/>
      <c r="Q22" s="161">
        <f t="shared" si="2"/>
        <v>0</v>
      </c>
      <c r="R22" s="184">
        <v>0</v>
      </c>
      <c r="S22" s="161">
        <v>0</v>
      </c>
      <c r="T22" s="161">
        <v>93506400</v>
      </c>
      <c r="U22" s="161">
        <v>75816000</v>
      </c>
      <c r="V22" s="229">
        <f t="shared" si="3"/>
        <v>0</v>
      </c>
      <c r="W22" s="648">
        <f t="shared" si="4"/>
        <v>0</v>
      </c>
      <c r="Y22" s="186">
        <v>17</v>
      </c>
    </row>
    <row r="23" spans="3:23">
      <c r="C23" s="296" t="s">
        <v>11612</v>
      </c>
      <c r="D23" s="310"/>
      <c r="E23" s="296"/>
      <c r="F23" s="161">
        <v>0</v>
      </c>
      <c r="G23" s="2505"/>
      <c r="H23" s="161">
        <f>SUMIF('F4'!$E$12:$E$158,C23,'F4'!$G$12:$G$158)</f>
        <v>0</v>
      </c>
      <c r="I23" s="161">
        <f>SUMIF('F4'!$E$12:$E$158,C23,'F4'!$H$12:$H$158)</f>
        <v>0</v>
      </c>
      <c r="J23" s="2505"/>
      <c r="K23" s="101">
        <f t="shared" si="1"/>
        <v>0</v>
      </c>
      <c r="L23" s="161">
        <v>0</v>
      </c>
      <c r="M23" s="101"/>
      <c r="N23" s="161">
        <f>SUMIF('F4'!$E$12:$E$158,C23,'F4'!$I$12:$I$158)</f>
        <v>0</v>
      </c>
      <c r="O23" s="161">
        <f>SUMIF('F4'!$E$12:$E$158,C23,'F4'!$J$12:$J$158)</f>
        <v>0</v>
      </c>
      <c r="P23" s="161"/>
      <c r="Q23" s="161">
        <f t="shared" si="2"/>
        <v>0</v>
      </c>
      <c r="R23" s="184">
        <v>0</v>
      </c>
      <c r="S23" s="161">
        <v>0</v>
      </c>
      <c r="T23" s="161">
        <v>52531200</v>
      </c>
      <c r="U23" s="161">
        <v>0</v>
      </c>
      <c r="V23" s="229">
        <f t="shared" si="3"/>
        <v>0</v>
      </c>
      <c r="W23" s="648">
        <f t="shared" si="4"/>
        <v>0</v>
      </c>
    </row>
    <row r="24" spans="3:23">
      <c r="C24" s="296" t="s">
        <v>11613</v>
      </c>
      <c r="D24" s="296"/>
      <c r="E24" s="296"/>
      <c r="F24" s="161">
        <v>0</v>
      </c>
      <c r="G24" s="2505"/>
      <c r="H24" s="161">
        <f>SUMIF('F4'!$E$12:$E$158,C24,'F4'!$G$12:$G$158)</f>
        <v>0</v>
      </c>
      <c r="I24" s="161">
        <f>SUMIF('F4'!$E$12:$E$158,C24,'F4'!$H$12:$H$158)</f>
        <v>0</v>
      </c>
      <c r="J24" s="2505"/>
      <c r="K24" s="101">
        <f t="shared" si="1"/>
        <v>0</v>
      </c>
      <c r="L24" s="161">
        <v>0</v>
      </c>
      <c r="M24" s="101"/>
      <c r="N24" s="161">
        <f>SUMIF('F4'!$E$12:$E$158,C24,'F4'!$I$12:$I$158)</f>
        <v>0</v>
      </c>
      <c r="O24" s="161">
        <f>SUMIF('F4'!$E$12:$E$158,C24,'F4'!$J$12:$J$158)</f>
        <v>0</v>
      </c>
      <c r="P24" s="161"/>
      <c r="Q24" s="161">
        <f t="shared" si="2"/>
        <v>0</v>
      </c>
      <c r="R24" s="184">
        <v>0</v>
      </c>
      <c r="S24" s="161">
        <v>0</v>
      </c>
      <c r="T24" s="161">
        <v>44378168</v>
      </c>
      <c r="U24" s="161">
        <v>98841063.2</v>
      </c>
      <c r="V24" s="229">
        <f t="shared" si="3"/>
        <v>0</v>
      </c>
      <c r="W24" s="648">
        <f t="shared" ref="W24:W29" si="5">IF(R24=0,IF(V24=0,0,V24/V24),V24/R24)</f>
        <v>0</v>
      </c>
    </row>
    <row r="25" spans="3:23">
      <c r="C25" s="296" t="s">
        <v>11614</v>
      </c>
      <c r="D25" s="135"/>
      <c r="E25" s="296"/>
      <c r="F25" s="161">
        <v>0</v>
      </c>
      <c r="G25" s="2505"/>
      <c r="H25" s="161">
        <f>SUMIF('F4'!$E$12:$E$158,C25,'F4'!$G$12:$G$158)</f>
        <v>0</v>
      </c>
      <c r="I25" s="161">
        <f>SUMIF('F4'!$E$12:$E$158,C25,'F4'!$H$12:$H$158)</f>
        <v>0</v>
      </c>
      <c r="J25" s="2505"/>
      <c r="K25" s="101">
        <f t="shared" si="1"/>
        <v>0</v>
      </c>
      <c r="L25" s="161">
        <v>0</v>
      </c>
      <c r="M25" s="101"/>
      <c r="N25" s="161">
        <f>SUMIF('F4'!$E$12:$E$158,C25,'F4'!$I$12:$I$158)</f>
        <v>0</v>
      </c>
      <c r="O25" s="161">
        <f>SUMIF('F4'!$E$12:$E$158,C25,'F4'!$J$12:$J$158)</f>
        <v>0</v>
      </c>
      <c r="P25" s="161"/>
      <c r="Q25" s="161">
        <f t="shared" si="2"/>
        <v>0</v>
      </c>
      <c r="R25" s="184">
        <v>0</v>
      </c>
      <c r="S25" s="161">
        <v>0</v>
      </c>
      <c r="T25" s="161">
        <v>38720000</v>
      </c>
      <c r="U25" s="161">
        <v>0</v>
      </c>
      <c r="V25" s="229">
        <f t="shared" si="3"/>
        <v>0</v>
      </c>
      <c r="W25" s="648">
        <f t="shared" si="5"/>
        <v>0</v>
      </c>
    </row>
    <row r="26" spans="3:23">
      <c r="C26" s="296" t="s">
        <v>11615</v>
      </c>
      <c r="D26" s="310"/>
      <c r="E26" s="296"/>
      <c r="F26" s="161">
        <v>0</v>
      </c>
      <c r="G26" s="2505"/>
      <c r="H26" s="161">
        <f>SUMIF('F4'!$E$12:$E$158,C26,'F4'!$G$12:$G$158)</f>
        <v>0</v>
      </c>
      <c r="I26" s="161">
        <f>SUMIF('F4'!$E$12:$E$158,C26,'F4'!$H$12:$H$158)</f>
        <v>0</v>
      </c>
      <c r="J26" s="2505"/>
      <c r="K26" s="101">
        <f t="shared" si="1"/>
        <v>0</v>
      </c>
      <c r="L26" s="161">
        <v>0</v>
      </c>
      <c r="M26" s="101"/>
      <c r="N26" s="161">
        <f>SUMIF('F4'!$E$12:$E$158,C26,'F4'!$I$12:$I$158)</f>
        <v>0</v>
      </c>
      <c r="O26" s="161">
        <f>SUMIF('F4'!$E$12:$E$158,C26,'F4'!$J$12:$J$158)</f>
        <v>0</v>
      </c>
      <c r="P26" s="161"/>
      <c r="Q26" s="161">
        <f t="shared" si="2"/>
        <v>0</v>
      </c>
      <c r="R26" s="184">
        <v>0</v>
      </c>
      <c r="S26" s="161">
        <v>0</v>
      </c>
      <c r="T26" s="161">
        <v>0</v>
      </c>
      <c r="U26" s="161">
        <v>0</v>
      </c>
      <c r="V26" s="229">
        <f t="shared" si="3"/>
        <v>0</v>
      </c>
      <c r="W26" s="648">
        <f t="shared" si="5"/>
        <v>0</v>
      </c>
    </row>
    <row r="27" spans="3:23">
      <c r="C27" s="296" t="s">
        <v>11616</v>
      </c>
      <c r="D27" s="135"/>
      <c r="E27" s="296"/>
      <c r="F27" s="161">
        <v>0</v>
      </c>
      <c r="G27" s="2505"/>
      <c r="H27" s="161">
        <f>SUMIF('F4'!$E$12:$E$158,C27,'F4'!$G$12:$G$158)</f>
        <v>0</v>
      </c>
      <c r="I27" s="161">
        <f>SUMIF('F4'!$E$12:$E$158,C27,'F4'!$H$12:$H$158)</f>
        <v>0</v>
      </c>
      <c r="J27" s="2505"/>
      <c r="K27" s="101">
        <f t="shared" si="1"/>
        <v>0</v>
      </c>
      <c r="L27" s="161">
        <v>0</v>
      </c>
      <c r="M27" s="101"/>
      <c r="N27" s="161">
        <f>SUMIF('F4'!$E$12:$E$158,C27,'F4'!$I$12:$I$158)</f>
        <v>0</v>
      </c>
      <c r="O27" s="161">
        <f>SUMIF('F4'!$E$12:$E$158,C27,'F4'!$J$12:$J$158)</f>
        <v>0</v>
      </c>
      <c r="P27" s="161"/>
      <c r="Q27" s="161">
        <f t="shared" si="2"/>
        <v>0</v>
      </c>
      <c r="R27" s="184">
        <v>0</v>
      </c>
      <c r="S27" s="161">
        <v>0</v>
      </c>
      <c r="T27" s="161">
        <v>0</v>
      </c>
      <c r="U27" s="161">
        <v>0</v>
      </c>
      <c r="V27" s="229">
        <f t="shared" si="3"/>
        <v>0</v>
      </c>
      <c r="W27" s="648">
        <f t="shared" si="5"/>
        <v>0</v>
      </c>
    </row>
    <row r="28" spans="3:23">
      <c r="C28" s="296" t="s">
        <v>11617</v>
      </c>
      <c r="D28" s="135"/>
      <c r="E28" s="296"/>
      <c r="F28" s="161">
        <v>0</v>
      </c>
      <c r="G28" s="2505"/>
      <c r="H28" s="161">
        <f>SUMIF('F4'!$E$12:$E$158,C28,'F4'!$G$12:$G$158)</f>
        <v>0</v>
      </c>
      <c r="I28" s="161">
        <f>SUMIF('F4'!$E$12:$E$158,C28,'F4'!$H$12:$H$158)</f>
        <v>0</v>
      </c>
      <c r="J28" s="2505"/>
      <c r="K28" s="101">
        <f t="shared" si="1"/>
        <v>0</v>
      </c>
      <c r="L28" s="161">
        <v>0</v>
      </c>
      <c r="M28" s="101"/>
      <c r="N28" s="161">
        <f>SUMIF('F4'!$E$12:$E$158,C28,'F4'!$I$12:$I$158)</f>
        <v>0</v>
      </c>
      <c r="O28" s="161">
        <f>SUMIF('F4'!$E$12:$E$158,C28,'F4'!$J$12:$J$158)</f>
        <v>0</v>
      </c>
      <c r="P28" s="161"/>
      <c r="Q28" s="161">
        <f t="shared" si="2"/>
        <v>0</v>
      </c>
      <c r="R28" s="184">
        <v>0</v>
      </c>
      <c r="S28" s="161">
        <v>0</v>
      </c>
      <c r="T28" s="161">
        <v>0</v>
      </c>
      <c r="U28" s="161">
        <v>0</v>
      </c>
      <c r="V28" s="229">
        <f>L28-R28</f>
        <v>0</v>
      </c>
      <c r="W28" s="648">
        <f t="shared" si="5"/>
        <v>0</v>
      </c>
    </row>
    <row r="29" spans="3:23">
      <c r="C29" s="296" t="s">
        <v>11618</v>
      </c>
      <c r="D29" s="329"/>
      <c r="E29" s="296"/>
      <c r="F29" s="161">
        <v>0</v>
      </c>
      <c r="G29" s="2505"/>
      <c r="H29" s="161">
        <f>SUMIF('F4'!$E$12:$E$158,C29,'F4'!$G$12:$G$158)</f>
        <v>0</v>
      </c>
      <c r="I29" s="161">
        <f>SUMIF('F4'!$E$12:$E$158,C29,'F4'!$H$12:$H$158)</f>
        <v>0</v>
      </c>
      <c r="J29" s="2505"/>
      <c r="K29" s="101">
        <f t="shared" si="1"/>
        <v>0</v>
      </c>
      <c r="L29" s="161">
        <v>0</v>
      </c>
      <c r="M29" s="101"/>
      <c r="N29" s="161">
        <f>SUMIF('F4'!$E$12:$E$158,C29,'F4'!$I$12:$I$158)</f>
        <v>0</v>
      </c>
      <c r="O29" s="161">
        <f>SUMIF('F4'!$E$12:$E$158,C29,'F4'!$J$12:$J$158)</f>
        <v>0</v>
      </c>
      <c r="P29" s="161"/>
      <c r="Q29" s="161">
        <f t="shared" si="2"/>
        <v>0</v>
      </c>
      <c r="R29" s="184">
        <v>0</v>
      </c>
      <c r="S29" s="161">
        <v>0</v>
      </c>
      <c r="T29" s="161">
        <v>0</v>
      </c>
      <c r="U29" s="161">
        <v>0</v>
      </c>
      <c r="V29" s="229">
        <f>L29-R29</f>
        <v>0</v>
      </c>
      <c r="W29" s="648">
        <f t="shared" si="5"/>
        <v>0</v>
      </c>
    </row>
    <row r="30" spans="2:26">
      <c r="B30" s="248"/>
      <c r="C30" s="296"/>
      <c r="D30" s="147"/>
      <c r="E30" s="296"/>
      <c r="F30" s="161"/>
      <c r="G30" s="2502"/>
      <c r="H30" s="101"/>
      <c r="I30" s="161"/>
      <c r="J30" s="2502"/>
      <c r="K30" s="101"/>
      <c r="L30" s="161"/>
      <c r="M30" s="2502"/>
      <c r="N30" s="161"/>
      <c r="O30" s="101"/>
      <c r="P30" s="2502"/>
      <c r="Q30" s="143"/>
      <c r="R30" s="3027"/>
      <c r="S30" s="174"/>
      <c r="T30" s="229"/>
      <c r="U30" s="174"/>
      <c r="V30" s="229"/>
      <c r="W30" s="648"/>
      <c r="Y30" s="1408">
        <f>17.2-5.4</f>
        <v>11.8</v>
      </c>
      <c r="Z30" s="186">
        <f>Y30/17.2%</f>
        <v>68.6046511627907</v>
      </c>
    </row>
    <row r="31" spans="2:23">
      <c r="B31" s="248"/>
      <c r="C31" s="5114" t="s">
        <v>151</v>
      </c>
      <c r="D31" s="147"/>
      <c r="E31" s="336">
        <f>SUM(E13:E13)</f>
        <v>0</v>
      </c>
      <c r="F31" s="336">
        <f>SUM(F13:F30)</f>
        <v>19775231777.09</v>
      </c>
      <c r="G31" s="147"/>
      <c r="H31" s="252">
        <f>SUM(H13:H30)</f>
        <v>0</v>
      </c>
      <c r="I31" s="2183">
        <f>SUM(I14:I30)</f>
        <v>0</v>
      </c>
      <c r="J31" s="147"/>
      <c r="K31" s="312">
        <f>SUM(K13:K30)</f>
        <v>19775231777.09</v>
      </c>
      <c r="L31" s="336">
        <f>SUM(L13:L30)</f>
        <v>25643941428.9818</v>
      </c>
      <c r="M31" s="148"/>
      <c r="N31" s="2183">
        <f>SUM(N13:N30)</f>
        <v>0</v>
      </c>
      <c r="O31" s="2183">
        <f>SUM(O13:O30)</f>
        <v>33663124</v>
      </c>
      <c r="P31" s="147"/>
      <c r="Q31" s="336">
        <f>SUM(Q13:Q30)</f>
        <v>25610278304.9818</v>
      </c>
      <c r="R31" s="252">
        <f>SUM(R13:R30)</f>
        <v>37294524612.7138</v>
      </c>
      <c r="S31" s="252">
        <f>SUM(S13:S30)</f>
        <v>53403973327.8463</v>
      </c>
      <c r="T31" s="252">
        <f>SUM(T13:T30)</f>
        <v>53516849580.5363</v>
      </c>
      <c r="U31" s="252">
        <f>SUM(U13:U30)</f>
        <v>24307139714.0474</v>
      </c>
      <c r="V31" s="3028">
        <f>SUM(V13:V14)</f>
        <v>-5709129315.0918</v>
      </c>
      <c r="W31" s="3029">
        <f>IF(R31=0,IF(V31=0,0,V31/V31),V31/R31)</f>
        <v>-0.153082238596106</v>
      </c>
    </row>
    <row r="32" customFormat="1" ht="11.4" spans="3:21">
      <c r="C32" t="s">
        <v>146</v>
      </c>
      <c r="F32">
        <f>+F31-'F1'!E23</f>
        <v>0</v>
      </c>
      <c r="K32">
        <f>+K31-'F1'!J23</f>
        <v>0</v>
      </c>
      <c r="L32">
        <f>+L31-'F1'!K23</f>
        <v>0</v>
      </c>
      <c r="M32" s="1093"/>
      <c r="Q32">
        <f>+Q31-'F1'!P23</f>
        <v>0</v>
      </c>
      <c r="R32">
        <f>+R31-'F1'!Q23</f>
        <v>0</v>
      </c>
      <c r="S32">
        <f>+S31-'F1'!R23</f>
        <v>0</v>
      </c>
      <c r="T32">
        <f>+T31-'F1'!S23</f>
        <v>0</v>
      </c>
      <c r="U32">
        <f>+U31-'F1'!T23</f>
        <v>0</v>
      </c>
    </row>
    <row r="33" spans="2:23">
      <c r="B33" s="248"/>
      <c r="F33" s="2016">
        <f>+'F2'!K50</f>
        <v>0.0782699584960937</v>
      </c>
      <c r="K33" s="186">
        <f>+K31-F31</f>
        <v>0</v>
      </c>
      <c r="L33" t="s">
        <v>649</v>
      </c>
      <c r="Q33" s="1408">
        <f>+'F2'!Q50</f>
        <v>-0.367416381835937</v>
      </c>
      <c r="R33" s="186">
        <f>+'F2'!R50</f>
        <v>0.177474975585937</v>
      </c>
      <c r="S33"/>
      <c r="T33"/>
      <c r="U33"/>
      <c r="W33" s="2318"/>
    </row>
    <row r="34" spans="23:23">
      <c r="W34" s="2318"/>
    </row>
    <row r="37" spans="3:3">
      <c r="C37" s="186" t="str">
        <f>'F1'!C46</f>
        <v>Sesuai dengan Saldo Buku Besar Periode 31 Desember 2022 &amp; 2021</v>
      </c>
    </row>
    <row r="38" spans="3:3">
      <c r="C38" s="5113" t="str">
        <f>'F1'!C47</f>
        <v>Sesuai dengan Saldo Audit Periode Sebelumnya</v>
      </c>
    </row>
    <row r="39" spans="3:3">
      <c r="C39" s="5113" t="str">
        <f>'F1'!C48</f>
        <v>Rumus dan Formula Perhitungan telah Diperiksa</v>
      </c>
    </row>
    <row r="41" spans="3:23">
      <c r="C41" s="2999"/>
      <c r="D41" s="3000"/>
      <c r="E41" s="3000"/>
      <c r="F41" s="3000"/>
      <c r="G41" s="3000"/>
      <c r="H41" s="3000"/>
      <c r="I41" s="3000"/>
      <c r="J41" s="3000"/>
      <c r="K41" s="3000"/>
      <c r="L41" s="3000"/>
      <c r="M41" s="3000"/>
      <c r="N41" s="3000"/>
      <c r="O41" s="3000"/>
      <c r="P41" s="3000"/>
      <c r="Q41" s="3000"/>
      <c r="R41" s="3000"/>
      <c r="S41" s="3000"/>
      <c r="T41" s="3000"/>
      <c r="U41" s="3000"/>
      <c r="V41" s="3000"/>
      <c r="W41" s="3030"/>
    </row>
    <row r="42" spans="3:23">
      <c r="C42" s="223"/>
      <c r="D42" s="224"/>
      <c r="E42" s="224"/>
      <c r="F42" s="224"/>
      <c r="G42" s="224"/>
      <c r="H42" s="224"/>
      <c r="I42" s="224"/>
      <c r="J42" s="224"/>
      <c r="K42" s="224"/>
      <c r="L42" s="224"/>
      <c r="M42" s="224"/>
      <c r="N42" s="224"/>
      <c r="O42" s="224"/>
      <c r="P42" s="224"/>
      <c r="Q42" s="224"/>
      <c r="R42" s="224"/>
      <c r="S42" s="224"/>
      <c r="T42" s="224"/>
      <c r="U42" s="224"/>
      <c r="V42" s="224"/>
      <c r="W42" s="3031"/>
    </row>
    <row r="43" spans="3:23">
      <c r="C43" s="223"/>
      <c r="D43" s="224"/>
      <c r="E43" s="224"/>
      <c r="F43" s="224"/>
      <c r="G43" s="224"/>
      <c r="H43" s="224"/>
      <c r="I43" s="224"/>
      <c r="J43" s="224"/>
      <c r="K43" s="224"/>
      <c r="L43" s="224"/>
      <c r="M43" s="224"/>
      <c r="N43" s="224"/>
      <c r="O43" s="224"/>
      <c r="P43" s="224"/>
      <c r="Q43" s="224"/>
      <c r="R43" s="224"/>
      <c r="S43" s="224"/>
      <c r="T43" s="224"/>
      <c r="U43" s="224"/>
      <c r="V43" s="224"/>
      <c r="W43" s="3031"/>
    </row>
    <row r="44" spans="3:23">
      <c r="C44" s="223" t="s">
        <v>11619</v>
      </c>
      <c r="D44" s="224"/>
      <c r="E44" s="224"/>
      <c r="F44" s="224"/>
      <c r="G44" s="224"/>
      <c r="H44" s="224"/>
      <c r="I44" s="224"/>
      <c r="J44" s="224"/>
      <c r="K44" s="224"/>
      <c r="L44" s="224"/>
      <c r="M44" s="224"/>
      <c r="N44" s="224"/>
      <c r="O44" s="224"/>
      <c r="P44" s="224"/>
      <c r="Q44" s="224"/>
      <c r="R44" s="224"/>
      <c r="S44" s="224"/>
      <c r="T44" s="224"/>
      <c r="U44" s="224"/>
      <c r="V44" s="224"/>
      <c r="W44" s="3031"/>
    </row>
    <row r="45" spans="3:23">
      <c r="C45" s="3001"/>
      <c r="D45" s="224"/>
      <c r="E45" s="224"/>
      <c r="F45" s="224"/>
      <c r="G45" s="224"/>
      <c r="H45" s="224"/>
      <c r="I45" s="224"/>
      <c r="J45" s="224"/>
      <c r="K45" s="224"/>
      <c r="L45" s="3008"/>
      <c r="M45" s="3008"/>
      <c r="N45" s="3008"/>
      <c r="O45" s="3008"/>
      <c r="P45" s="3008"/>
      <c r="Q45" s="3008"/>
      <c r="R45" s="224"/>
      <c r="S45" s="224"/>
      <c r="T45" s="224"/>
      <c r="U45" s="224"/>
      <c r="V45" s="224"/>
      <c r="W45" s="3031"/>
    </row>
    <row r="46" spans="3:23">
      <c r="C46" s="223"/>
      <c r="D46" s="224"/>
      <c r="E46" s="224"/>
      <c r="F46" s="224"/>
      <c r="G46" s="224"/>
      <c r="H46" s="3002">
        <v>2022</v>
      </c>
      <c r="I46" s="3002">
        <v>2021</v>
      </c>
      <c r="J46" s="3008"/>
      <c r="K46" s="3002">
        <v>2020</v>
      </c>
      <c r="L46" s="3002">
        <v>2019</v>
      </c>
      <c r="M46" s="3008"/>
      <c r="N46" s="3002">
        <v>2018</v>
      </c>
      <c r="O46" s="3002">
        <v>2017</v>
      </c>
      <c r="P46" s="224"/>
      <c r="Q46" s="224"/>
      <c r="R46" s="224"/>
      <c r="S46" s="224"/>
      <c r="T46" s="224"/>
      <c r="U46" s="224"/>
      <c r="V46" s="224"/>
      <c r="W46" s="3031"/>
    </row>
    <row r="47" spans="3:23">
      <c r="C47" s="223"/>
      <c r="D47" s="224"/>
      <c r="E47" s="224"/>
      <c r="F47" s="224"/>
      <c r="G47" s="224"/>
      <c r="H47" s="3003"/>
      <c r="I47" s="3003"/>
      <c r="J47" s="224"/>
      <c r="K47" s="224"/>
      <c r="L47" s="3008"/>
      <c r="M47" s="3008"/>
      <c r="N47" s="3008"/>
      <c r="O47" s="224"/>
      <c r="P47" s="224"/>
      <c r="Q47" s="224"/>
      <c r="R47" s="224"/>
      <c r="S47" s="224"/>
      <c r="T47" s="224"/>
      <c r="U47" s="224"/>
      <c r="V47" s="224"/>
      <c r="W47" s="3031"/>
    </row>
    <row r="48" spans="2:23">
      <c r="B48" s="186" t="s">
        <v>11620</v>
      </c>
      <c r="C48" s="223" t="s">
        <v>11621</v>
      </c>
      <c r="D48" s="224"/>
      <c r="E48" s="224"/>
      <c r="F48" s="224"/>
      <c r="G48" s="3004" t="str">
        <f>+B48</f>
        <v>G1</v>
      </c>
      <c r="H48" s="3003">
        <f t="shared" ref="H48:H53" si="6">+K13</f>
        <v>19775231777.09</v>
      </c>
      <c r="I48" s="3003">
        <f>+Q13</f>
        <v>25381341092.1818</v>
      </c>
      <c r="J48" s="224"/>
      <c r="K48" s="3003">
        <f>+R13</f>
        <v>25418181818.1818</v>
      </c>
      <c r="L48" s="3003">
        <f>+[79]ARAPWIP!G45</f>
        <v>25418181818.1818</v>
      </c>
      <c r="M48" s="3016"/>
      <c r="N48" s="3003">
        <f>+[79]ARAPWIP!H45</f>
        <v>25418181818.1818</v>
      </c>
      <c r="O48" s="3003">
        <f>+[79]ARAPWIP!I45</f>
        <v>3761781296.8474</v>
      </c>
      <c r="P48" s="224"/>
      <c r="Q48" s="3032" t="str">
        <f>+[79]ARAPWIP!B45</f>
        <v>DPS Energi Sukses Pratama PT. </v>
      </c>
      <c r="R48" s="224"/>
      <c r="S48" s="224"/>
      <c r="T48" s="224"/>
      <c r="U48" s="224"/>
      <c r="V48" s="224"/>
      <c r="W48" s="3031"/>
    </row>
    <row r="49" spans="2:23">
      <c r="B49" s="186" t="s">
        <v>11622</v>
      </c>
      <c r="C49" s="223" t="s">
        <v>1240</v>
      </c>
      <c r="D49" s="224"/>
      <c r="E49" s="224"/>
      <c r="F49" s="224"/>
      <c r="G49" s="3004" t="str">
        <f t="shared" ref="G49:G60" si="7">+B49</f>
        <v>G2</v>
      </c>
      <c r="H49" s="3003">
        <f t="shared" si="6"/>
        <v>0</v>
      </c>
      <c r="I49" s="3003">
        <f>+Q14</f>
        <v>103020000</v>
      </c>
      <c r="J49" s="224"/>
      <c r="K49" s="3003">
        <f>+R14</f>
        <v>265500000</v>
      </c>
      <c r="L49" s="3003">
        <f>+[79]ARAPWIP!G46</f>
        <v>172780560</v>
      </c>
      <c r="M49" s="3016"/>
      <c r="N49" s="3003">
        <f>+[79]ARAPWIP!H46</f>
        <v>186744150</v>
      </c>
      <c r="O49" s="3003">
        <f>+[79]ARAPWIP!I46</f>
        <v>0</v>
      </c>
      <c r="P49" s="224"/>
      <c r="Q49" s="3032" t="str">
        <f>+[79]ARAPWIP!B46</f>
        <v>Patra Logistic PT. </v>
      </c>
      <c r="R49" s="224"/>
      <c r="S49" s="224"/>
      <c r="T49" s="224"/>
      <c r="U49" s="224"/>
      <c r="V49" s="224"/>
      <c r="W49" s="3031"/>
    </row>
    <row r="50" spans="2:23">
      <c r="B50" s="186" t="s">
        <v>11623</v>
      </c>
      <c r="C50" s="223" t="s">
        <v>1239</v>
      </c>
      <c r="D50" s="224"/>
      <c r="E50" s="224"/>
      <c r="F50" s="224"/>
      <c r="G50" s="3004" t="str">
        <f t="shared" si="7"/>
        <v>G3</v>
      </c>
      <c r="H50" s="3003">
        <f t="shared" si="6"/>
        <v>0</v>
      </c>
      <c r="I50" s="3003">
        <f>+Q15</f>
        <v>52275000</v>
      </c>
      <c r="J50" s="224"/>
      <c r="K50" s="3003">
        <f>+R15</f>
        <v>69840000</v>
      </c>
      <c r="L50" s="3003">
        <f>+[79]ARAPWIP!G47</f>
        <v>210045014.7</v>
      </c>
      <c r="M50" s="3016"/>
      <c r="N50" s="3003">
        <f>+[79]ARAPWIP!H47</f>
        <v>102281300</v>
      </c>
      <c r="O50" s="3003">
        <f>+[79]ARAPWIP!I47</f>
        <v>60785993</v>
      </c>
      <c r="P50" s="224"/>
      <c r="Q50" s="3032" t="str">
        <f>+[79]ARAPWIP!B47</f>
        <v>Central Motor wheel Indonesia PT </v>
      </c>
      <c r="R50" s="224"/>
      <c r="S50" s="224"/>
      <c r="T50" s="224"/>
      <c r="U50" s="224"/>
      <c r="V50" s="224"/>
      <c r="W50" s="3031"/>
    </row>
    <row r="51" spans="2:23">
      <c r="B51" s="186" t="s">
        <v>11624</v>
      </c>
      <c r="C51" s="223" t="s">
        <v>11625</v>
      </c>
      <c r="D51" s="224"/>
      <c r="E51" s="224"/>
      <c r="F51" s="224"/>
      <c r="G51" s="3004" t="str">
        <f t="shared" si="7"/>
        <v>G4</v>
      </c>
      <c r="H51" s="3003">
        <f t="shared" si="6"/>
        <v>0</v>
      </c>
      <c r="I51" s="3003">
        <f>+Q16</f>
        <v>37139600</v>
      </c>
      <c r="J51" s="224"/>
      <c r="K51" s="3003">
        <f>+R16</f>
        <v>104580000</v>
      </c>
      <c r="L51" s="3003">
        <f>+[79]ARAPWIP!G48</f>
        <v>0</v>
      </c>
      <c r="M51" s="3016"/>
      <c r="N51" s="3003">
        <f>+[79]ARAPWIP!H48</f>
        <v>0</v>
      </c>
      <c r="O51" s="3003">
        <f>+[79]ARAPWIP!I48</f>
        <v>0</v>
      </c>
      <c r="P51" s="224"/>
      <c r="Q51" s="3032" t="str">
        <f>+[79]ARAPWIP!B48</f>
        <v>Graha Niaga Tata Utama PT</v>
      </c>
      <c r="R51" s="224"/>
      <c r="S51" s="224"/>
      <c r="T51" s="224"/>
      <c r="U51" s="224"/>
      <c r="V51" s="224"/>
      <c r="W51" s="3031"/>
    </row>
    <row r="52" spans="2:23">
      <c r="B52" s="186" t="s">
        <v>11626</v>
      </c>
      <c r="C52" s="223" t="s">
        <v>1479</v>
      </c>
      <c r="D52" s="224"/>
      <c r="E52" s="224"/>
      <c r="F52" s="224"/>
      <c r="G52" s="3004" t="str">
        <f t="shared" si="7"/>
        <v>G5</v>
      </c>
      <c r="H52" s="3003">
        <f t="shared" si="6"/>
        <v>0</v>
      </c>
      <c r="I52" s="3003">
        <f>+Q17</f>
        <v>36502612.8</v>
      </c>
      <c r="J52" s="224"/>
      <c r="K52" s="3003">
        <f>+R17</f>
        <v>0</v>
      </c>
      <c r="L52" s="3003">
        <f>+[79]ARAPWIP!G49</f>
        <v>74197387.68</v>
      </c>
      <c r="M52" s="3016"/>
      <c r="N52" s="3003">
        <f>+[79]ARAPWIP!H49</f>
        <v>51712631.55</v>
      </c>
      <c r="O52" s="3003">
        <f>+[79]ARAPWIP!I49</f>
        <v>0</v>
      </c>
      <c r="P52" s="224"/>
      <c r="Q52" s="3032" t="str">
        <f>+[79]ARAPWIP!B49</f>
        <v>BASS OIL SUKANANTI LIMITED</v>
      </c>
      <c r="R52" s="224"/>
      <c r="S52" s="224"/>
      <c r="T52" s="224"/>
      <c r="U52" s="224"/>
      <c r="V52" s="224"/>
      <c r="W52" s="3031"/>
    </row>
    <row r="53" spans="2:23">
      <c r="B53" s="186" t="s">
        <v>11627</v>
      </c>
      <c r="C53" s="223" t="s">
        <v>1809</v>
      </c>
      <c r="D53" s="224"/>
      <c r="E53" s="224"/>
      <c r="F53" s="224"/>
      <c r="G53" s="3004" t="str">
        <f t="shared" si="7"/>
        <v>G6</v>
      </c>
      <c r="H53" s="3003">
        <f t="shared" si="6"/>
        <v>0</v>
      </c>
      <c r="I53" s="3003">
        <v>0</v>
      </c>
      <c r="J53" s="224"/>
      <c r="K53" s="3003">
        <v>0</v>
      </c>
      <c r="L53" s="3003">
        <f>+[79]ARAPWIP!G50</f>
        <v>195858000</v>
      </c>
      <c r="M53" s="3016"/>
      <c r="N53" s="3003">
        <f>+[79]ARAPWIP!H50</f>
        <v>0</v>
      </c>
      <c r="O53" s="3003">
        <f>+[79]ARAPWIP!I50</f>
        <v>0</v>
      </c>
      <c r="P53" s="224"/>
      <c r="Q53" s="3032" t="str">
        <f>+[79]ARAPWIP!B50</f>
        <v>CSTS Joint Operation</v>
      </c>
      <c r="R53" s="224"/>
      <c r="S53" s="224"/>
      <c r="T53" s="224"/>
      <c r="U53" s="224"/>
      <c r="V53" s="224"/>
      <c r="W53" s="3031"/>
    </row>
    <row r="54" spans="2:23">
      <c r="B54" s="186" t="s">
        <v>11628</v>
      </c>
      <c r="C54" s="223" t="s">
        <v>1249</v>
      </c>
      <c r="D54" s="224"/>
      <c r="E54" s="224"/>
      <c r="F54" s="224"/>
      <c r="G54" s="3004" t="str">
        <f t="shared" si="7"/>
        <v>G7</v>
      </c>
      <c r="H54" s="3003">
        <f>+K18</f>
        <v>0</v>
      </c>
      <c r="I54" s="3003">
        <f>+Q18</f>
        <v>0</v>
      </c>
      <c r="J54" s="224"/>
      <c r="K54" s="3003">
        <f>+R19</f>
        <v>11436422794.532</v>
      </c>
      <c r="L54" s="3003">
        <f>+[79]ARAPWIP!G51</f>
        <v>27146880180.8045</v>
      </c>
      <c r="M54" s="3016"/>
      <c r="N54" s="3003">
        <f>+[79]ARAPWIP!H51</f>
        <v>27146880180.8045</v>
      </c>
      <c r="O54" s="3003">
        <f>+[79]ARAPWIP!I51</f>
        <v>20309915361</v>
      </c>
      <c r="P54" s="224"/>
      <c r="Q54" s="3032" t="str">
        <f>+[79]ARAPWIP!B51</f>
        <v>Dharma Pratama Sejati PT</v>
      </c>
      <c r="R54" s="224"/>
      <c r="S54" s="224"/>
      <c r="T54" s="224"/>
      <c r="U54" s="224"/>
      <c r="V54" s="224"/>
      <c r="W54" s="3031"/>
    </row>
    <row r="55" spans="2:23">
      <c r="B55" s="186" t="s">
        <v>11629</v>
      </c>
      <c r="C55" s="223" t="s">
        <v>1247</v>
      </c>
      <c r="D55" s="224"/>
      <c r="E55" s="224"/>
      <c r="F55" s="224"/>
      <c r="G55" s="3004" t="str">
        <f t="shared" si="7"/>
        <v>G8</v>
      </c>
      <c r="H55" s="3003">
        <f>+K19</f>
        <v>0</v>
      </c>
      <c r="I55" s="3003">
        <f>+Q19</f>
        <v>0</v>
      </c>
      <c r="J55" s="224"/>
      <c r="K55" s="224"/>
      <c r="L55" s="3003">
        <f>+[79]ARAPWIP!G52</f>
        <v>186030366.48</v>
      </c>
      <c r="M55" s="3016"/>
      <c r="N55" s="3003">
        <f>+[79]ARAPWIP!H52</f>
        <v>234657600</v>
      </c>
      <c r="O55" s="3003">
        <f>+[79]ARAPWIP!I52</f>
        <v>0</v>
      </c>
      <c r="P55" s="224"/>
      <c r="Q55" s="3032" t="str">
        <f>+[79]ARAPWIP!B52</f>
        <v>Mitra Energi Buana PT </v>
      </c>
      <c r="R55" s="224"/>
      <c r="S55" s="224"/>
      <c r="T55" s="224"/>
      <c r="U55" s="224"/>
      <c r="V55" s="224"/>
      <c r="W55" s="3031"/>
    </row>
    <row r="56" spans="2:23">
      <c r="B56" s="186" t="s">
        <v>11630</v>
      </c>
      <c r="C56" s="223" t="s">
        <v>11631</v>
      </c>
      <c r="D56" s="224"/>
      <c r="E56" s="224"/>
      <c r="F56" s="224"/>
      <c r="G56" s="3004" t="str">
        <f t="shared" si="7"/>
        <v>G9</v>
      </c>
      <c r="H56" s="3003">
        <f>+K20</f>
        <v>0</v>
      </c>
      <c r="I56" s="3003">
        <f>+Q20</f>
        <v>0</v>
      </c>
      <c r="J56" s="224"/>
      <c r="K56" s="3003">
        <f t="shared" ref="K56:K59" si="8">+R20</f>
        <v>0</v>
      </c>
      <c r="L56" s="3003">
        <f>+[79]ARAPWIP!G53</f>
        <v>0</v>
      </c>
      <c r="M56" s="3016"/>
      <c r="N56" s="3003">
        <f>+[79]ARAPWIP!H53</f>
        <v>147256132</v>
      </c>
      <c r="O56" s="3003">
        <f>+[79]ARAPWIP!I53</f>
        <v>0</v>
      </c>
      <c r="P56" s="224"/>
      <c r="Q56" s="3032" t="str">
        <f>+[79]ARAPWIP!B53</f>
        <v>Hotel Borobudur Jakarta PT</v>
      </c>
      <c r="R56" s="224"/>
      <c r="S56" s="224"/>
      <c r="T56" s="224"/>
      <c r="U56" s="224"/>
      <c r="V56" s="224"/>
      <c r="W56" s="3031"/>
    </row>
    <row r="57" spans="2:23">
      <c r="B57" s="186" t="s">
        <v>11632</v>
      </c>
      <c r="C57" s="223" t="s">
        <v>11633</v>
      </c>
      <c r="D57" s="224"/>
      <c r="E57" s="224"/>
      <c r="F57" s="224"/>
      <c r="G57" s="3004" t="str">
        <f t="shared" si="7"/>
        <v>G10</v>
      </c>
      <c r="H57" s="3003">
        <f>+K21</f>
        <v>0</v>
      </c>
      <c r="I57" s="3003">
        <f>+Q21</f>
        <v>0</v>
      </c>
      <c r="J57" s="224"/>
      <c r="K57" s="3003">
        <f t="shared" si="8"/>
        <v>0</v>
      </c>
      <c r="L57" s="3003">
        <f>+[79]ARAPWIP!G54</f>
        <v>0</v>
      </c>
      <c r="M57" s="3016"/>
      <c r="N57" s="3003">
        <f>+[79]ARAPWIP!H54</f>
        <v>93506400</v>
      </c>
      <c r="O57" s="3003">
        <f>+[79]ARAPWIP!I54</f>
        <v>75816000</v>
      </c>
      <c r="P57" s="224"/>
      <c r="Q57" s="3032" t="str">
        <f>+[79]ARAPWIP!B54</f>
        <v>Gagas Energi Indonesia PT</v>
      </c>
      <c r="R57" s="224"/>
      <c r="S57" s="224"/>
      <c r="T57" s="224"/>
      <c r="U57" s="224"/>
      <c r="V57" s="224"/>
      <c r="W57" s="3031"/>
    </row>
    <row r="58" spans="2:23">
      <c r="B58" s="186" t="s">
        <v>11634</v>
      </c>
      <c r="C58" s="223" t="s">
        <v>11635</v>
      </c>
      <c r="D58" s="224"/>
      <c r="E58" s="224"/>
      <c r="F58" s="224"/>
      <c r="G58" s="3004" t="str">
        <f t="shared" si="7"/>
        <v>G11</v>
      </c>
      <c r="H58" s="3003">
        <f>+K22</f>
        <v>0</v>
      </c>
      <c r="I58" s="3003">
        <f>+Q22</f>
        <v>0</v>
      </c>
      <c r="J58" s="224"/>
      <c r="K58" s="3003">
        <f t="shared" si="8"/>
        <v>0</v>
      </c>
      <c r="L58" s="3003">
        <f>+[79]ARAPWIP!G55</f>
        <v>0</v>
      </c>
      <c r="M58" s="3016"/>
      <c r="N58" s="3003">
        <f>+[79]ARAPWIP!H55</f>
        <v>52531200</v>
      </c>
      <c r="O58" s="3003">
        <f>+[79]ARAPWIP!I55</f>
        <v>0</v>
      </c>
      <c r="P58" s="224"/>
      <c r="Q58" s="3032" t="str">
        <f>+[79]ARAPWIP!B55</f>
        <v>MCCONNEL DOWELL</v>
      </c>
      <c r="R58" s="224"/>
      <c r="S58" s="224"/>
      <c r="T58" s="224"/>
      <c r="U58" s="224"/>
      <c r="V58" s="224"/>
      <c r="W58" s="3031"/>
    </row>
    <row r="59" spans="2:23">
      <c r="B59" s="186" t="s">
        <v>11636</v>
      </c>
      <c r="C59" s="223" t="s">
        <v>11637</v>
      </c>
      <c r="D59" s="224"/>
      <c r="E59" s="224"/>
      <c r="F59" s="224"/>
      <c r="G59" s="3004" t="str">
        <f t="shared" si="7"/>
        <v>G12</v>
      </c>
      <c r="H59" s="3003"/>
      <c r="I59" s="3003"/>
      <c r="J59" s="224"/>
      <c r="K59" s="3003">
        <f t="shared" si="8"/>
        <v>0</v>
      </c>
      <c r="L59" s="3003"/>
      <c r="M59" s="3016"/>
      <c r="N59" s="3003">
        <f>+[79]ARAPWIP!H56</f>
        <v>44378168</v>
      </c>
      <c r="O59" s="3003">
        <f>+[79]ARAPWIP!I56</f>
        <v>98841063.2</v>
      </c>
      <c r="P59" s="224"/>
      <c r="Q59" s="3032" t="str">
        <f>+[79]ARAPWIP!B56</f>
        <v>Hotel Dharmawangsa PT</v>
      </c>
      <c r="R59" s="224"/>
      <c r="S59" s="224"/>
      <c r="T59" s="224"/>
      <c r="U59" s="224"/>
      <c r="V59" s="224"/>
      <c r="W59" s="3031"/>
    </row>
    <row r="60" spans="2:23">
      <c r="B60" s="186" t="s">
        <v>11638</v>
      </c>
      <c r="C60" s="223" t="s">
        <v>11639</v>
      </c>
      <c r="D60" s="224"/>
      <c r="E60" s="224"/>
      <c r="F60" s="224"/>
      <c r="G60" s="3004" t="str">
        <f t="shared" si="7"/>
        <v>G13</v>
      </c>
      <c r="H60" s="3003"/>
      <c r="I60" s="3003"/>
      <c r="J60" s="224"/>
      <c r="K60" s="3003"/>
      <c r="L60" s="3016"/>
      <c r="M60" s="3016"/>
      <c r="N60" s="3003">
        <f>+[79]ARAPWIP!H57</f>
        <v>38720000</v>
      </c>
      <c r="O60" s="3003">
        <f>+[79]ARAPWIP!I57</f>
        <v>0</v>
      </c>
      <c r="P60" s="224"/>
      <c r="Q60" s="3032" t="str">
        <f>+[79]ARAPWIP!B57</f>
        <v>Baharu Penta Kencana PT. </v>
      </c>
      <c r="R60" s="224"/>
      <c r="S60" s="224"/>
      <c r="T60" s="224"/>
      <c r="U60" s="224"/>
      <c r="V60" s="224"/>
      <c r="W60" s="3031"/>
    </row>
    <row r="61" spans="3:23">
      <c r="C61" s="3005"/>
      <c r="D61" s="224"/>
      <c r="E61" s="224"/>
      <c r="F61" s="224"/>
      <c r="G61" s="224"/>
      <c r="H61" s="3006"/>
      <c r="I61" s="3017"/>
      <c r="J61" s="3006"/>
      <c r="K61" s="3006"/>
      <c r="L61" s="3018"/>
      <c r="M61" s="3018"/>
      <c r="N61" s="3018"/>
      <c r="O61" s="3006"/>
      <c r="P61" s="224"/>
      <c r="Q61" s="224"/>
      <c r="R61" s="224"/>
      <c r="S61" s="224"/>
      <c r="T61" s="224"/>
      <c r="U61" s="224"/>
      <c r="V61" s="224"/>
      <c r="W61" s="3031"/>
    </row>
    <row r="62" s="248" customFormat="1" spans="3:23">
      <c r="C62" s="3007" t="s">
        <v>151</v>
      </c>
      <c r="D62" s="3008"/>
      <c r="E62" s="3008"/>
      <c r="F62" s="3008"/>
      <c r="G62" s="3008"/>
      <c r="H62" s="3008">
        <f>SUM(H48:H61)</f>
        <v>19775231777.09</v>
      </c>
      <c r="I62" s="3008">
        <f>SUM(I48:I61)</f>
        <v>25610278304.9818</v>
      </c>
      <c r="J62" s="3008"/>
      <c r="K62" s="3008">
        <f>SUM(K48:K61)</f>
        <v>37294524612.7138</v>
      </c>
      <c r="L62" s="3008">
        <f>SUM(L48:L61)</f>
        <v>53403973327.8463</v>
      </c>
      <c r="M62" s="3008"/>
      <c r="N62" s="3008">
        <f>SUM(N48:N61)</f>
        <v>53516849580.5363</v>
      </c>
      <c r="O62" s="3008">
        <f>SUM(O48:O61)</f>
        <v>24307139714.0474</v>
      </c>
      <c r="P62" s="3008"/>
      <c r="Q62" s="3008"/>
      <c r="R62" s="3008"/>
      <c r="S62" s="3008"/>
      <c r="T62" s="3008"/>
      <c r="U62" s="3008"/>
      <c r="V62" s="3008"/>
      <c r="W62" s="3033"/>
    </row>
    <row r="63" spans="3:23">
      <c r="C63" s="3009"/>
      <c r="D63" s="224"/>
      <c r="E63" s="224"/>
      <c r="F63" s="224"/>
      <c r="G63" s="224"/>
      <c r="H63" s="224"/>
      <c r="I63" s="3003">
        <f>+Q26</f>
        <v>0</v>
      </c>
      <c r="J63" s="224"/>
      <c r="K63" s="224">
        <f>+R31-K62</f>
        <v>0</v>
      </c>
      <c r="L63" s="224">
        <f>+S31-L62</f>
        <v>0</v>
      </c>
      <c r="M63" s="224"/>
      <c r="N63" s="224">
        <f>+T31-N62</f>
        <v>0</v>
      </c>
      <c r="O63" s="224">
        <f>+U31-O62</f>
        <v>0</v>
      </c>
      <c r="P63" s="224"/>
      <c r="Q63" s="224"/>
      <c r="R63" s="224"/>
      <c r="S63" s="224"/>
      <c r="T63" s="224"/>
      <c r="U63" s="224"/>
      <c r="V63" s="224"/>
      <c r="W63" s="3031"/>
    </row>
    <row r="64" spans="3:23">
      <c r="C64" s="3009"/>
      <c r="D64" s="224"/>
      <c r="E64" s="224"/>
      <c r="F64" s="224"/>
      <c r="G64" s="224"/>
      <c r="H64" s="224"/>
      <c r="I64" s="224"/>
      <c r="J64" s="224"/>
      <c r="K64" s="224"/>
      <c r="L64" s="3003"/>
      <c r="M64" s="224"/>
      <c r="N64" s="224">
        <f>+L63+N63</f>
        <v>0</v>
      </c>
      <c r="O64" s="224"/>
      <c r="P64" s="224"/>
      <c r="Q64" s="224"/>
      <c r="R64" s="224"/>
      <c r="S64" s="224"/>
      <c r="T64" s="224"/>
      <c r="U64" s="224"/>
      <c r="V64" s="224"/>
      <c r="W64" s="3031"/>
    </row>
    <row r="65" spans="3:23">
      <c r="C65" s="3009"/>
      <c r="D65" s="224"/>
      <c r="E65" s="224"/>
      <c r="F65" s="224" t="s">
        <v>11640</v>
      </c>
      <c r="G65" s="224"/>
      <c r="H65" s="224"/>
      <c r="I65" s="224"/>
      <c r="J65" s="224"/>
      <c r="K65" s="224">
        <f>+DD!K42</f>
        <v>0</v>
      </c>
      <c r="L65" s="224"/>
      <c r="M65" s="224"/>
      <c r="N65" s="224"/>
      <c r="O65" s="224"/>
      <c r="P65" s="224"/>
      <c r="Q65" s="224"/>
      <c r="R65" s="224"/>
      <c r="S65" s="224"/>
      <c r="T65" s="224"/>
      <c r="U65" s="224"/>
      <c r="V65" s="224"/>
      <c r="W65" s="3031"/>
    </row>
    <row r="66" spans="2:23">
      <c r="B66" s="186" t="str">
        <f>+B48</f>
        <v>G1</v>
      </c>
      <c r="C66" s="3009" t="s">
        <v>11641</v>
      </c>
      <c r="D66" s="224"/>
      <c r="E66" s="224"/>
      <c r="F66" s="224" t="s">
        <v>11642</v>
      </c>
      <c r="G66" s="224"/>
      <c r="H66" s="224"/>
      <c r="I66" s="224"/>
      <c r="J66" s="224"/>
      <c r="K66" s="224">
        <f>+K54-K65</f>
        <v>11436422794.532</v>
      </c>
      <c r="L66" s="224"/>
      <c r="M66" s="224"/>
      <c r="N66" s="224"/>
      <c r="O66" s="224"/>
      <c r="P66" s="224"/>
      <c r="Q66" s="224"/>
      <c r="R66" s="224"/>
      <c r="S66" s="224"/>
      <c r="T66" s="224"/>
      <c r="U66" s="224"/>
      <c r="V66" s="224"/>
      <c r="W66" s="3031"/>
    </row>
    <row r="67" spans="3:23">
      <c r="C67" s="3009" t="s">
        <v>11643</v>
      </c>
      <c r="D67" s="224"/>
      <c r="E67" s="224"/>
      <c r="F67" s="224"/>
      <c r="G67" s="224"/>
      <c r="H67" s="224"/>
      <c r="I67" s="224"/>
      <c r="J67" s="224"/>
      <c r="K67" s="224"/>
      <c r="L67" s="224"/>
      <c r="M67" s="224"/>
      <c r="N67" s="224"/>
      <c r="O67" s="224"/>
      <c r="P67" s="224"/>
      <c r="Q67" s="224"/>
      <c r="R67" s="224"/>
      <c r="S67" s="224"/>
      <c r="T67" s="224"/>
      <c r="U67" s="224"/>
      <c r="V67" s="224"/>
      <c r="W67" s="3031"/>
    </row>
    <row r="68" spans="3:23">
      <c r="C68" s="3009"/>
      <c r="D68" s="224"/>
      <c r="E68" s="224"/>
      <c r="F68" s="224"/>
      <c r="G68" s="224"/>
      <c r="H68" s="224"/>
      <c r="I68" s="224"/>
      <c r="J68" s="224"/>
      <c r="K68" s="224"/>
      <c r="L68" s="224"/>
      <c r="M68" s="224"/>
      <c r="N68" s="224"/>
      <c r="O68" s="3038"/>
      <c r="P68" s="3039"/>
      <c r="Q68" s="224"/>
      <c r="R68" s="224"/>
      <c r="S68" s="224"/>
      <c r="T68" s="224"/>
      <c r="U68" s="224"/>
      <c r="V68" s="224"/>
      <c r="W68" s="3031"/>
    </row>
    <row r="69" spans="3:23">
      <c r="C69" s="5123" t="s">
        <v>11644</v>
      </c>
      <c r="D69" s="224"/>
      <c r="E69" s="224"/>
      <c r="F69" s="224"/>
      <c r="G69" s="224"/>
      <c r="H69" s="224"/>
      <c r="I69" s="224"/>
      <c r="J69" s="224"/>
      <c r="K69" s="224"/>
      <c r="L69" s="224"/>
      <c r="M69" s="224"/>
      <c r="N69" s="224"/>
      <c r="O69" s="3040"/>
      <c r="P69" s="224"/>
      <c r="Q69" s="3040"/>
      <c r="R69" s="224"/>
      <c r="S69" s="224"/>
      <c r="T69" s="224"/>
      <c r="U69" s="224"/>
      <c r="V69" s="224"/>
      <c r="W69" s="3031"/>
    </row>
    <row r="70" spans="3:23">
      <c r="C70" s="223"/>
      <c r="D70" s="224"/>
      <c r="E70" s="224"/>
      <c r="F70" s="224"/>
      <c r="G70" s="224"/>
      <c r="H70" s="224"/>
      <c r="I70" s="224"/>
      <c r="J70" s="224"/>
      <c r="K70" s="224"/>
      <c r="L70" s="224"/>
      <c r="M70" s="224"/>
      <c r="N70" s="224"/>
      <c r="O70" s="3040"/>
      <c r="P70" s="224"/>
      <c r="Q70" s="3040"/>
      <c r="R70" s="224"/>
      <c r="S70" s="224"/>
      <c r="T70" s="224"/>
      <c r="U70" s="224"/>
      <c r="V70" s="224"/>
      <c r="W70" s="3031"/>
    </row>
    <row r="71" spans="3:23">
      <c r="C71" s="223"/>
      <c r="D71" s="224"/>
      <c r="E71" s="224"/>
      <c r="F71" s="224"/>
      <c r="G71" s="224"/>
      <c r="H71" s="224"/>
      <c r="I71" s="224"/>
      <c r="J71" s="224"/>
      <c r="K71" s="224"/>
      <c r="L71" s="224"/>
      <c r="M71" s="224"/>
      <c r="N71" s="224"/>
      <c r="O71" s="3040"/>
      <c r="P71" s="224"/>
      <c r="Q71" s="3040"/>
      <c r="R71" s="224"/>
      <c r="S71" s="224"/>
      <c r="T71" s="224"/>
      <c r="U71" s="224"/>
      <c r="V71" s="224"/>
      <c r="W71" s="3031"/>
    </row>
    <row r="72" spans="3:23">
      <c r="C72" s="5123" t="s">
        <v>11645</v>
      </c>
      <c r="D72" s="224"/>
      <c r="E72" s="224"/>
      <c r="F72" s="224"/>
      <c r="G72" s="224"/>
      <c r="H72" s="224"/>
      <c r="I72" s="224"/>
      <c r="J72" s="224"/>
      <c r="K72" s="224"/>
      <c r="L72" s="224"/>
      <c r="M72" s="224"/>
      <c r="N72" s="224"/>
      <c r="O72" s="3040"/>
      <c r="P72" s="224"/>
      <c r="Q72" s="3040"/>
      <c r="R72" s="224"/>
      <c r="S72" s="224"/>
      <c r="T72" s="224"/>
      <c r="U72" s="224"/>
      <c r="V72" s="224"/>
      <c r="W72" s="3031"/>
    </row>
    <row r="73" spans="3:23">
      <c r="C73" s="223" t="s">
        <v>11646</v>
      </c>
      <c r="D73" s="224"/>
      <c r="E73" s="224"/>
      <c r="F73" s="224">
        <v>26311728386</v>
      </c>
      <c r="G73" s="224"/>
      <c r="H73" s="224"/>
      <c r="I73" s="224"/>
      <c r="J73" s="224"/>
      <c r="K73" s="224"/>
      <c r="L73" s="224"/>
      <c r="M73" s="224"/>
      <c r="N73" s="224"/>
      <c r="O73" s="3040"/>
      <c r="P73" s="224"/>
      <c r="Q73" s="3040"/>
      <c r="R73" s="224"/>
      <c r="S73" s="224"/>
      <c r="T73" s="224"/>
      <c r="U73" s="224"/>
      <c r="V73" s="224"/>
      <c r="W73" s="3031"/>
    </row>
    <row r="74" spans="3:23">
      <c r="C74" s="3034" t="s">
        <v>1207</v>
      </c>
      <c r="D74" s="224"/>
      <c r="E74" s="224"/>
      <c r="F74" s="224">
        <f>+F73/1.1</f>
        <v>23919753078.1818</v>
      </c>
      <c r="G74" s="224"/>
      <c r="H74" s="224"/>
      <c r="I74" s="224"/>
      <c r="J74" s="224"/>
      <c r="K74" s="224"/>
      <c r="L74" s="224"/>
      <c r="M74" s="224"/>
      <c r="N74" s="224"/>
      <c r="O74" s="3040"/>
      <c r="P74" s="224"/>
      <c r="Q74" s="3040"/>
      <c r="R74" s="224"/>
      <c r="S74" s="224"/>
      <c r="T74" s="224"/>
      <c r="U74" s="224"/>
      <c r="V74" s="224"/>
      <c r="W74" s="3031"/>
    </row>
    <row r="75" spans="3:23">
      <c r="C75" s="3034" t="s">
        <v>11647</v>
      </c>
      <c r="D75" s="224">
        <v>0.1</v>
      </c>
      <c r="E75" s="224"/>
      <c r="F75" s="224">
        <f>+F74*D75</f>
        <v>2391975307.81818</v>
      </c>
      <c r="G75" s="224"/>
      <c r="H75" s="224"/>
      <c r="I75" s="224"/>
      <c r="J75" s="224"/>
      <c r="K75" s="224"/>
      <c r="L75" s="224"/>
      <c r="M75" s="224"/>
      <c r="N75" s="224"/>
      <c r="O75" s="3040"/>
      <c r="P75" s="224"/>
      <c r="Q75" s="3040"/>
      <c r="R75" s="224"/>
      <c r="S75" s="224"/>
      <c r="T75" s="224"/>
      <c r="U75" s="224"/>
      <c r="V75" s="224"/>
      <c r="W75" s="3031"/>
    </row>
    <row r="76" spans="3:23">
      <c r="C76" s="223" t="s">
        <v>11648</v>
      </c>
      <c r="D76" s="224"/>
      <c r="E76" s="224"/>
      <c r="F76" s="224"/>
      <c r="G76" s="224"/>
      <c r="H76" s="224"/>
      <c r="I76" s="224"/>
      <c r="J76" s="224"/>
      <c r="K76" s="224"/>
      <c r="L76" s="224"/>
      <c r="M76" s="224"/>
      <c r="N76" s="224"/>
      <c r="O76" s="3040"/>
      <c r="P76" s="224"/>
      <c r="Q76" s="3040"/>
      <c r="R76" s="224"/>
      <c r="S76" s="224"/>
      <c r="T76" s="224"/>
      <c r="U76" s="224"/>
      <c r="V76" s="224"/>
      <c r="W76" s="3031"/>
    </row>
    <row r="77" spans="3:23">
      <c r="C77" s="223" t="s">
        <v>11649</v>
      </c>
      <c r="D77" s="224"/>
      <c r="E77" s="224"/>
      <c r="F77" s="224"/>
      <c r="G77" s="224"/>
      <c r="H77" s="224"/>
      <c r="I77" s="224"/>
      <c r="J77" s="224"/>
      <c r="K77" s="224"/>
      <c r="L77" s="224"/>
      <c r="M77" s="224"/>
      <c r="N77" s="224"/>
      <c r="O77" s="3040"/>
      <c r="P77" s="224"/>
      <c r="Q77" s="3040"/>
      <c r="R77" s="224"/>
      <c r="S77" s="224"/>
      <c r="T77" s="224"/>
      <c r="U77" s="224"/>
      <c r="V77" s="224"/>
      <c r="W77" s="3031"/>
    </row>
    <row r="78" spans="3:23">
      <c r="C78" s="223" t="s">
        <v>11650</v>
      </c>
      <c r="D78" s="224"/>
      <c r="E78" s="224"/>
      <c r="F78" s="224"/>
      <c r="G78" s="224"/>
      <c r="H78" s="224"/>
      <c r="I78" s="224"/>
      <c r="J78" s="224"/>
      <c r="K78" s="224"/>
      <c r="L78" s="224"/>
      <c r="M78" s="224"/>
      <c r="N78" s="224"/>
      <c r="O78" s="3040"/>
      <c r="P78" s="224"/>
      <c r="Q78" s="3040"/>
      <c r="R78" s="224"/>
      <c r="S78" s="224"/>
      <c r="T78" s="224"/>
      <c r="U78" s="224"/>
      <c r="V78" s="224"/>
      <c r="W78" s="3031"/>
    </row>
    <row r="79" spans="3:23">
      <c r="C79" s="223"/>
      <c r="D79" s="224"/>
      <c r="E79" s="224"/>
      <c r="F79" s="224"/>
      <c r="G79" s="224"/>
      <c r="H79" s="224"/>
      <c r="I79" s="224"/>
      <c r="J79" s="224"/>
      <c r="K79" s="224"/>
      <c r="L79" s="224"/>
      <c r="M79" s="224"/>
      <c r="N79" s="224"/>
      <c r="O79" s="3040"/>
      <c r="P79" s="224"/>
      <c r="Q79" s="3040"/>
      <c r="R79" s="224"/>
      <c r="S79" s="224"/>
      <c r="T79" s="224"/>
      <c r="U79" s="224"/>
      <c r="V79" s="224"/>
      <c r="W79" s="3031"/>
    </row>
    <row r="80" spans="3:23">
      <c r="C80" s="223"/>
      <c r="D80" s="224"/>
      <c r="E80" s="224"/>
      <c r="F80" s="224"/>
      <c r="G80" s="224"/>
      <c r="H80" s="224"/>
      <c r="I80" s="224"/>
      <c r="J80" s="224"/>
      <c r="K80" s="224"/>
      <c r="L80" s="224"/>
      <c r="M80" s="224"/>
      <c r="N80" s="224"/>
      <c r="O80" s="3040"/>
      <c r="P80" s="224"/>
      <c r="Q80" s="3040"/>
      <c r="R80" s="224"/>
      <c r="S80" s="224"/>
      <c r="T80" s="224"/>
      <c r="U80" s="224"/>
      <c r="V80" s="224"/>
      <c r="W80" s="3031"/>
    </row>
    <row r="81" spans="3:23">
      <c r="C81" s="223"/>
      <c r="D81" s="224"/>
      <c r="E81" s="224"/>
      <c r="F81" s="224"/>
      <c r="G81" s="224"/>
      <c r="H81" s="224"/>
      <c r="I81" s="224"/>
      <c r="J81" s="224"/>
      <c r="K81" s="224"/>
      <c r="L81" s="224"/>
      <c r="M81" s="224"/>
      <c r="N81" s="224"/>
      <c r="O81" s="3040"/>
      <c r="P81" s="224"/>
      <c r="Q81" s="3040"/>
      <c r="R81" s="224"/>
      <c r="S81" s="224"/>
      <c r="T81" s="224"/>
      <c r="U81" s="224"/>
      <c r="V81" s="224"/>
      <c r="W81" s="3031"/>
    </row>
    <row r="82" spans="3:23">
      <c r="C82" s="223"/>
      <c r="D82" s="224"/>
      <c r="E82" s="224"/>
      <c r="F82" s="224"/>
      <c r="G82" s="224"/>
      <c r="H82" s="224"/>
      <c r="I82" s="224"/>
      <c r="J82" s="224"/>
      <c r="K82" s="224"/>
      <c r="L82" s="224"/>
      <c r="M82" s="224"/>
      <c r="N82" s="224"/>
      <c r="O82" s="3040"/>
      <c r="P82" s="224"/>
      <c r="Q82" s="3040"/>
      <c r="R82" s="224"/>
      <c r="S82" s="224"/>
      <c r="T82" s="224"/>
      <c r="U82" s="224"/>
      <c r="V82" s="224"/>
      <c r="W82" s="3031"/>
    </row>
    <row r="83" spans="3:23">
      <c r="C83" s="223"/>
      <c r="D83" s="224"/>
      <c r="E83" s="224"/>
      <c r="F83" s="224"/>
      <c r="G83" s="224"/>
      <c r="H83" s="224"/>
      <c r="I83" s="224"/>
      <c r="J83" s="224"/>
      <c r="K83" s="224"/>
      <c r="L83" s="224"/>
      <c r="M83" s="224"/>
      <c r="N83" s="224"/>
      <c r="O83" s="3040"/>
      <c r="P83" s="224"/>
      <c r="Q83" s="3040"/>
      <c r="R83" s="224"/>
      <c r="S83" s="224"/>
      <c r="T83" s="224"/>
      <c r="U83" s="224"/>
      <c r="V83" s="224"/>
      <c r="W83" s="3031"/>
    </row>
    <row r="84" spans="3:23">
      <c r="C84" s="223"/>
      <c r="D84" s="224"/>
      <c r="E84" s="224"/>
      <c r="F84" s="224"/>
      <c r="G84" s="224"/>
      <c r="H84" s="224"/>
      <c r="I84" s="224"/>
      <c r="J84" s="224"/>
      <c r="K84" s="224"/>
      <c r="L84" s="224"/>
      <c r="M84" s="224"/>
      <c r="N84" s="224"/>
      <c r="O84" s="3040"/>
      <c r="P84" s="224"/>
      <c r="Q84" s="3040"/>
      <c r="R84" s="224"/>
      <c r="S84" s="224"/>
      <c r="T84" s="224"/>
      <c r="U84" s="224"/>
      <c r="V84" s="224"/>
      <c r="W84" s="3031"/>
    </row>
    <row r="85" spans="3:23">
      <c r="C85" s="223"/>
      <c r="D85" s="224"/>
      <c r="E85" s="224"/>
      <c r="F85" s="224"/>
      <c r="G85" s="224"/>
      <c r="H85" s="224"/>
      <c r="I85" s="224"/>
      <c r="J85" s="224"/>
      <c r="K85" s="224"/>
      <c r="L85" s="224"/>
      <c r="M85" s="224"/>
      <c r="N85" s="224"/>
      <c r="O85" s="3040"/>
      <c r="P85" s="224"/>
      <c r="Q85" s="3040"/>
      <c r="R85" s="224"/>
      <c r="S85" s="224"/>
      <c r="T85" s="224"/>
      <c r="U85" s="224"/>
      <c r="V85" s="224"/>
      <c r="W85" s="3031"/>
    </row>
    <row r="86" spans="3:23">
      <c r="C86" s="3009" t="s">
        <v>11651</v>
      </c>
      <c r="D86" s="224"/>
      <c r="E86" s="224"/>
      <c r="F86" s="224"/>
      <c r="G86" s="224"/>
      <c r="H86" s="224"/>
      <c r="I86" s="224"/>
      <c r="J86" s="224"/>
      <c r="K86" s="224"/>
      <c r="L86" s="224"/>
      <c r="M86" s="224"/>
      <c r="N86" s="224"/>
      <c r="O86" s="3040"/>
      <c r="P86" s="224"/>
      <c r="Q86" s="3040"/>
      <c r="R86" s="224"/>
      <c r="S86" s="224"/>
      <c r="T86" s="224"/>
      <c r="U86" s="224"/>
      <c r="V86" s="224"/>
      <c r="W86" s="3031"/>
    </row>
    <row r="87" spans="3:23">
      <c r="C87" s="3009" t="s">
        <v>11652</v>
      </c>
      <c r="D87" s="224"/>
      <c r="E87" s="224"/>
      <c r="F87" s="224"/>
      <c r="G87" s="224"/>
      <c r="H87" s="224"/>
      <c r="I87" s="224"/>
      <c r="J87" s="224"/>
      <c r="K87" s="224"/>
      <c r="L87" s="224"/>
      <c r="M87" s="224"/>
      <c r="N87" s="224"/>
      <c r="O87" s="3040"/>
      <c r="P87" s="224"/>
      <c r="Q87" s="3040"/>
      <c r="R87" s="224"/>
      <c r="S87" s="224"/>
      <c r="T87" s="224"/>
      <c r="U87" s="224"/>
      <c r="V87" s="224"/>
      <c r="W87" s="3031"/>
    </row>
    <row r="88" spans="3:23">
      <c r="C88" s="223" t="s">
        <v>11653</v>
      </c>
      <c r="D88" s="224"/>
      <c r="E88" s="224"/>
      <c r="F88" s="224"/>
      <c r="G88" s="224"/>
      <c r="H88" s="224"/>
      <c r="I88" s="224"/>
      <c r="J88" s="224"/>
      <c r="K88" s="224"/>
      <c r="L88" s="224"/>
      <c r="M88" s="224"/>
      <c r="N88" s="224"/>
      <c r="O88" s="3040"/>
      <c r="P88" s="224"/>
      <c r="Q88" s="3040"/>
      <c r="R88" s="224"/>
      <c r="S88" s="224"/>
      <c r="T88" s="224"/>
      <c r="U88" s="224"/>
      <c r="V88" s="224"/>
      <c r="W88" s="3031"/>
    </row>
    <row r="89" spans="3:23">
      <c r="C89" s="223"/>
      <c r="D89" s="224"/>
      <c r="E89" s="224"/>
      <c r="F89" s="224"/>
      <c r="G89" s="224"/>
      <c r="H89" s="224"/>
      <c r="I89" s="224"/>
      <c r="J89" s="224"/>
      <c r="K89" s="224"/>
      <c r="L89" s="224"/>
      <c r="M89" s="224"/>
      <c r="N89" s="224"/>
      <c r="O89" s="3040"/>
      <c r="P89" s="224"/>
      <c r="Q89" s="3040"/>
      <c r="R89" s="224"/>
      <c r="S89" s="224"/>
      <c r="T89" s="224"/>
      <c r="U89" s="224"/>
      <c r="V89" s="224"/>
      <c r="W89" s="3031"/>
    </row>
    <row r="90" spans="3:23">
      <c r="C90" s="223"/>
      <c r="D90" s="224"/>
      <c r="E90" s="224"/>
      <c r="F90" s="224"/>
      <c r="G90" s="224"/>
      <c r="H90" s="224"/>
      <c r="I90" s="224"/>
      <c r="J90" s="224"/>
      <c r="K90" s="224"/>
      <c r="L90" s="224"/>
      <c r="M90" s="224"/>
      <c r="N90" s="224"/>
      <c r="O90" s="3041"/>
      <c r="P90" s="224"/>
      <c r="Q90" s="3040"/>
      <c r="R90" s="224"/>
      <c r="S90" s="224"/>
      <c r="T90" s="224"/>
      <c r="U90" s="224"/>
      <c r="V90" s="224"/>
      <c r="W90" s="3031"/>
    </row>
    <row r="91" spans="3:23">
      <c r="C91" s="223" t="s">
        <v>11654</v>
      </c>
      <c r="D91" s="224"/>
      <c r="E91" s="224"/>
      <c r="F91" s="224"/>
      <c r="G91" s="224"/>
      <c r="H91" s="224"/>
      <c r="I91" s="224"/>
      <c r="J91" s="224"/>
      <c r="K91" s="224"/>
      <c r="L91" s="224"/>
      <c r="M91" s="224"/>
      <c r="N91" s="224"/>
      <c r="O91" s="224"/>
      <c r="P91" s="224"/>
      <c r="Q91" s="224"/>
      <c r="R91" s="224"/>
      <c r="S91" s="224"/>
      <c r="T91" s="224"/>
      <c r="U91" s="224"/>
      <c r="V91" s="224"/>
      <c r="W91" s="3031"/>
    </row>
    <row r="92" spans="3:23">
      <c r="C92" s="223" t="s">
        <v>11655</v>
      </c>
      <c r="D92" s="224"/>
      <c r="E92" s="224"/>
      <c r="F92" s="224"/>
      <c r="G92" s="224"/>
      <c r="H92" s="224"/>
      <c r="I92" s="224"/>
      <c r="J92" s="224"/>
      <c r="K92" s="224"/>
      <c r="L92" s="224"/>
      <c r="M92" s="224"/>
      <c r="N92" s="224"/>
      <c r="O92" s="224"/>
      <c r="P92" s="224"/>
      <c r="Q92" s="224"/>
      <c r="R92" s="224"/>
      <c r="S92" s="224"/>
      <c r="T92" s="224"/>
      <c r="U92" s="224"/>
      <c r="V92" s="224"/>
      <c r="W92" s="3031"/>
    </row>
    <row r="93" spans="3:23">
      <c r="C93" s="223"/>
      <c r="D93" s="224"/>
      <c r="E93" s="224"/>
      <c r="F93" s="224"/>
      <c r="G93" s="224"/>
      <c r="H93" s="224"/>
      <c r="I93" s="224"/>
      <c r="J93" s="224"/>
      <c r="K93" s="224"/>
      <c r="L93" s="224"/>
      <c r="M93" s="224"/>
      <c r="N93" s="224"/>
      <c r="O93" s="224">
        <f>SUM(Q63:Q67)-Q67</f>
        <v>0</v>
      </c>
      <c r="P93" s="224"/>
      <c r="Q93" s="224"/>
      <c r="R93" s="224"/>
      <c r="S93" s="224"/>
      <c r="T93" s="224"/>
      <c r="U93" s="224"/>
      <c r="V93" s="224"/>
      <c r="W93" s="3031"/>
    </row>
    <row r="94" spans="3:23">
      <c r="C94" s="223"/>
      <c r="D94" s="224"/>
      <c r="E94" s="224"/>
      <c r="F94" s="224"/>
      <c r="G94" s="224"/>
      <c r="H94" s="224"/>
      <c r="I94" s="224"/>
      <c r="J94" s="224"/>
      <c r="K94" s="224"/>
      <c r="L94" s="224"/>
      <c r="M94" s="224"/>
      <c r="N94" s="224"/>
      <c r="O94" s="224"/>
      <c r="P94" s="224"/>
      <c r="Q94" s="224"/>
      <c r="R94" s="224"/>
      <c r="S94" s="224"/>
      <c r="T94" s="224"/>
      <c r="U94" s="224"/>
      <c r="V94" s="224"/>
      <c r="W94" s="3031"/>
    </row>
    <row r="95" spans="3:23">
      <c r="C95" s="223"/>
      <c r="D95" s="224"/>
      <c r="E95" s="224"/>
      <c r="F95" s="224"/>
      <c r="G95" s="224"/>
      <c r="H95" s="224"/>
      <c r="I95" s="224"/>
      <c r="J95" s="224"/>
      <c r="K95" s="224"/>
      <c r="L95" s="224"/>
      <c r="M95" s="224"/>
      <c r="N95" s="224"/>
      <c r="O95" s="224"/>
      <c r="P95" s="224"/>
      <c r="Q95" s="224"/>
      <c r="R95" s="224"/>
      <c r="S95" s="224"/>
      <c r="T95" s="224"/>
      <c r="U95" s="224"/>
      <c r="V95" s="224"/>
      <c r="W95" s="3031"/>
    </row>
    <row r="96" spans="3:23">
      <c r="C96" s="223"/>
      <c r="D96" s="224"/>
      <c r="E96" s="224"/>
      <c r="F96" s="224"/>
      <c r="G96" s="224"/>
      <c r="H96" s="224"/>
      <c r="I96" s="224"/>
      <c r="J96" s="224"/>
      <c r="K96" s="224"/>
      <c r="L96" s="224"/>
      <c r="M96" s="224"/>
      <c r="N96" s="224"/>
      <c r="O96" s="224"/>
      <c r="P96" s="224"/>
      <c r="Q96" s="224"/>
      <c r="R96" s="224"/>
      <c r="S96" s="224"/>
      <c r="T96" s="224"/>
      <c r="U96" s="224"/>
      <c r="V96" s="224"/>
      <c r="W96" s="3031"/>
    </row>
    <row r="97" spans="3:23">
      <c r="C97" s="223"/>
      <c r="D97" s="224"/>
      <c r="E97" s="224"/>
      <c r="F97" s="224"/>
      <c r="G97" s="224"/>
      <c r="H97" s="224"/>
      <c r="I97" s="224"/>
      <c r="J97" s="224"/>
      <c r="K97" s="224"/>
      <c r="L97" s="224"/>
      <c r="M97" s="224"/>
      <c r="N97" s="224"/>
      <c r="O97" s="224"/>
      <c r="P97" s="224"/>
      <c r="Q97" s="224"/>
      <c r="R97" s="224"/>
      <c r="S97" s="224"/>
      <c r="T97" s="224"/>
      <c r="U97" s="224"/>
      <c r="V97" s="224"/>
      <c r="W97" s="3031"/>
    </row>
    <row r="98" spans="3:23">
      <c r="C98" s="223"/>
      <c r="D98" s="224"/>
      <c r="E98" s="224"/>
      <c r="F98" s="224"/>
      <c r="G98" s="224"/>
      <c r="H98" s="224"/>
      <c r="I98" s="224"/>
      <c r="J98" s="224"/>
      <c r="K98" s="224"/>
      <c r="L98" s="224"/>
      <c r="M98" s="224"/>
      <c r="N98" s="224"/>
      <c r="O98" s="224"/>
      <c r="P98" s="224"/>
      <c r="Q98" s="224"/>
      <c r="R98" s="224"/>
      <c r="S98" s="224"/>
      <c r="T98" s="224"/>
      <c r="U98" s="224"/>
      <c r="V98" s="224"/>
      <c r="W98" s="3031"/>
    </row>
    <row r="99" spans="3:23">
      <c r="C99" s="223"/>
      <c r="D99" s="224"/>
      <c r="E99" s="224"/>
      <c r="F99" s="224"/>
      <c r="G99" s="224"/>
      <c r="H99" s="224"/>
      <c r="I99" s="224"/>
      <c r="J99" s="224"/>
      <c r="K99" s="224"/>
      <c r="L99" s="224"/>
      <c r="M99" s="224"/>
      <c r="N99" s="224"/>
      <c r="O99" s="224"/>
      <c r="P99" s="224"/>
      <c r="Q99" s="224"/>
      <c r="R99" s="224"/>
      <c r="S99" s="224"/>
      <c r="T99" s="224"/>
      <c r="U99" s="224"/>
      <c r="V99" s="224"/>
      <c r="W99" s="3031"/>
    </row>
    <row r="100" spans="3:23">
      <c r="C100" s="223"/>
      <c r="D100" s="224"/>
      <c r="E100" s="224"/>
      <c r="F100" s="224"/>
      <c r="G100" s="224"/>
      <c r="H100" s="224"/>
      <c r="I100" s="224"/>
      <c r="J100" s="224"/>
      <c r="K100" s="224"/>
      <c r="L100" s="224"/>
      <c r="M100" s="224"/>
      <c r="N100" s="224"/>
      <c r="O100" s="224"/>
      <c r="P100" s="224"/>
      <c r="Q100" s="224"/>
      <c r="R100" s="224"/>
      <c r="S100" s="224"/>
      <c r="T100" s="224"/>
      <c r="U100" s="224"/>
      <c r="V100" s="224"/>
      <c r="W100" s="3031"/>
    </row>
    <row r="101" spans="3:23">
      <c r="C101" s="223"/>
      <c r="D101" s="224"/>
      <c r="E101" s="224"/>
      <c r="F101" s="224"/>
      <c r="G101" s="224"/>
      <c r="H101" s="224"/>
      <c r="I101" s="224"/>
      <c r="J101" s="224"/>
      <c r="K101" s="224"/>
      <c r="L101" s="224"/>
      <c r="M101" s="224"/>
      <c r="N101" s="224"/>
      <c r="O101" s="224"/>
      <c r="P101" s="224"/>
      <c r="Q101" s="224"/>
      <c r="R101" s="224"/>
      <c r="S101" s="224"/>
      <c r="T101" s="224"/>
      <c r="U101" s="224"/>
      <c r="V101" s="224"/>
      <c r="W101" s="3031"/>
    </row>
    <row r="102" spans="3:23">
      <c r="C102" s="223"/>
      <c r="D102" s="224"/>
      <c r="E102" s="224"/>
      <c r="F102" s="224"/>
      <c r="G102" s="224"/>
      <c r="H102" s="224"/>
      <c r="I102" s="224"/>
      <c r="J102" s="224"/>
      <c r="K102" s="224"/>
      <c r="L102" s="224"/>
      <c r="M102" s="224"/>
      <c r="N102" s="224"/>
      <c r="O102" s="224"/>
      <c r="P102" s="224"/>
      <c r="Q102" s="224"/>
      <c r="R102" s="224"/>
      <c r="S102" s="224"/>
      <c r="T102" s="224"/>
      <c r="U102" s="224"/>
      <c r="V102" s="224"/>
      <c r="W102" s="3031"/>
    </row>
    <row r="103" spans="3:23">
      <c r="C103" s="223"/>
      <c r="D103" s="224"/>
      <c r="E103" s="224"/>
      <c r="F103" s="224"/>
      <c r="G103" s="224"/>
      <c r="H103" s="224"/>
      <c r="I103" s="224"/>
      <c r="J103" s="224"/>
      <c r="K103" s="224"/>
      <c r="L103" s="224"/>
      <c r="M103" s="224"/>
      <c r="N103" s="224"/>
      <c r="O103" s="224"/>
      <c r="P103" s="224"/>
      <c r="Q103" s="224"/>
      <c r="R103" s="224"/>
      <c r="S103" s="224"/>
      <c r="T103" s="224"/>
      <c r="U103" s="224"/>
      <c r="V103" s="224"/>
      <c r="W103" s="3031"/>
    </row>
    <row r="104" spans="3:23">
      <c r="C104" s="223"/>
      <c r="D104" s="224"/>
      <c r="E104" s="224"/>
      <c r="F104" s="224"/>
      <c r="G104" s="224"/>
      <c r="H104" s="224"/>
      <c r="I104" s="224"/>
      <c r="J104" s="224"/>
      <c r="K104" s="224"/>
      <c r="L104" s="224"/>
      <c r="M104" s="224"/>
      <c r="N104" s="224"/>
      <c r="O104" s="224"/>
      <c r="P104" s="224"/>
      <c r="Q104" s="224"/>
      <c r="R104" s="224"/>
      <c r="S104" s="224"/>
      <c r="T104" s="224"/>
      <c r="U104" s="224"/>
      <c r="V104" s="224"/>
      <c r="W104" s="3031"/>
    </row>
    <row r="105" ht="13.95" spans="3:23">
      <c r="C105" s="223"/>
      <c r="D105" s="224"/>
      <c r="E105" s="224"/>
      <c r="F105" s="224"/>
      <c r="G105" s="224"/>
      <c r="H105" s="224"/>
      <c r="I105" s="224"/>
      <c r="J105" s="224"/>
      <c r="K105" s="224"/>
      <c r="L105" s="224"/>
      <c r="M105" s="224"/>
      <c r="N105" s="224"/>
      <c r="O105" s="224"/>
      <c r="P105" s="224"/>
      <c r="Q105" s="224"/>
      <c r="R105" s="224"/>
      <c r="S105" s="224"/>
      <c r="T105" s="224"/>
      <c r="U105" s="224"/>
      <c r="V105" s="224"/>
      <c r="W105" s="3031"/>
    </row>
    <row r="106" ht="13.95" spans="3:23">
      <c r="C106" s="217" t="s">
        <v>952</v>
      </c>
      <c r="D106" s="3035"/>
      <c r="E106" s="3036"/>
      <c r="F106" s="3036"/>
      <c r="G106" s="3036"/>
      <c r="H106" s="3036"/>
      <c r="I106" s="3036"/>
      <c r="J106" s="3036"/>
      <c r="K106" s="3036"/>
      <c r="L106" s="3042"/>
      <c r="M106" s="3043"/>
      <c r="N106" s="3044" t="s">
        <v>953</v>
      </c>
      <c r="O106" s="3042" t="s">
        <v>954</v>
      </c>
      <c r="P106" s="3045"/>
      <c r="Q106" s="3046"/>
      <c r="R106" s="3042" t="s">
        <v>2264</v>
      </c>
      <c r="S106" s="3042"/>
      <c r="T106" s="3042"/>
      <c r="U106" s="3042"/>
      <c r="V106" s="224"/>
      <c r="W106" s="3031"/>
    </row>
    <row r="107" spans="3:23">
      <c r="C107" s="217"/>
      <c r="D107" s="3035"/>
      <c r="E107" s="3036"/>
      <c r="F107" s="3036"/>
      <c r="G107" s="3036"/>
      <c r="H107" s="3036"/>
      <c r="I107" s="3036"/>
      <c r="J107" s="3036"/>
      <c r="K107" s="3036"/>
      <c r="L107" s="3042"/>
      <c r="M107" s="219"/>
      <c r="N107" s="219"/>
      <c r="O107" s="3042"/>
      <c r="P107" s="222"/>
      <c r="Q107" s="222"/>
      <c r="R107" s="3042"/>
      <c r="S107" s="3042"/>
      <c r="T107" s="3042"/>
      <c r="U107" s="3042"/>
      <c r="V107" s="224"/>
      <c r="W107" s="3031"/>
    </row>
    <row r="108" spans="3:23">
      <c r="C108" s="221" t="s">
        <v>11656</v>
      </c>
      <c r="D108" s="218"/>
      <c r="E108" s="222"/>
      <c r="F108" s="222"/>
      <c r="G108" s="222"/>
      <c r="H108" s="222"/>
      <c r="I108" s="222"/>
      <c r="J108" s="222"/>
      <c r="K108" s="222"/>
      <c r="L108" s="220"/>
      <c r="M108" s="242"/>
      <c r="N108" s="218"/>
      <c r="O108" s="218"/>
      <c r="P108" s="218"/>
      <c r="Q108" s="215"/>
      <c r="R108" s="3047"/>
      <c r="S108" s="3047"/>
      <c r="T108" s="3047"/>
      <c r="U108" s="3047"/>
      <c r="V108" s="224"/>
      <c r="W108" s="3031"/>
    </row>
    <row r="109" spans="3:23">
      <c r="C109" s="3037"/>
      <c r="D109" s="3006"/>
      <c r="E109" s="3006"/>
      <c r="F109" s="3006"/>
      <c r="G109" s="3006"/>
      <c r="H109" s="3006"/>
      <c r="I109" s="3006"/>
      <c r="J109" s="3006"/>
      <c r="K109" s="3006"/>
      <c r="L109" s="3006"/>
      <c r="M109" s="3006"/>
      <c r="N109" s="3006"/>
      <c r="O109" s="3006"/>
      <c r="P109" s="3006"/>
      <c r="Q109" s="3006"/>
      <c r="R109" s="3006"/>
      <c r="S109" s="3006"/>
      <c r="T109" s="3006"/>
      <c r="U109" s="3006"/>
      <c r="V109" s="3006"/>
      <c r="W109" s="3048"/>
    </row>
    <row r="112" spans="3:22">
      <c r="C112" s="247" t="s">
        <v>11657</v>
      </c>
      <c r="D112" s="247" t="s">
        <v>11658</v>
      </c>
      <c r="E112" s="247" t="str">
        <f t="shared" ref="E112:E121" si="9">C112&amp;D112</f>
        <v>119100-004Prepaid Permitted</v>
      </c>
      <c r="F112" s="247"/>
      <c r="G112" s="247"/>
      <c r="H112" s="247"/>
      <c r="I112" s="247"/>
      <c r="J112" s="247"/>
      <c r="K112" s="247"/>
      <c r="L112" s="247" t="s">
        <v>11659</v>
      </c>
      <c r="M112" s="247" t="str">
        <f t="shared" ref="M112:M121" si="10">C112&amp;D112</f>
        <v>119100-004Prepaid Permitted</v>
      </c>
      <c r="N112" s="5076" t="s">
        <v>11660</v>
      </c>
      <c r="O112" s="5076" t="s">
        <v>11661</v>
      </c>
      <c r="P112" s="5076" t="s">
        <v>11662</v>
      </c>
      <c r="Q112" s="5076" t="s">
        <v>11663</v>
      </c>
      <c r="R112" s="96"/>
      <c r="S112" s="96"/>
      <c r="T112" s="96"/>
      <c r="U112" s="96"/>
      <c r="V112" s="99">
        <v>55000000</v>
      </c>
    </row>
    <row r="113" spans="3:22">
      <c r="C113" s="247" t="s">
        <v>11657</v>
      </c>
      <c r="D113" s="247" t="s">
        <v>11658</v>
      </c>
      <c r="E113" s="247" t="str">
        <f t="shared" si="9"/>
        <v>119100-004Prepaid Permitted</v>
      </c>
      <c r="F113" s="247"/>
      <c r="G113" s="247"/>
      <c r="H113" s="247"/>
      <c r="I113" s="247"/>
      <c r="J113" s="247"/>
      <c r="K113" s="247"/>
      <c r="L113" s="247" t="s">
        <v>11659</v>
      </c>
      <c r="M113" s="247" t="str">
        <f t="shared" si="10"/>
        <v>119100-004Prepaid Permitted</v>
      </c>
      <c r="N113" s="5076" t="s">
        <v>11660</v>
      </c>
      <c r="O113" s="5076" t="s">
        <v>11661</v>
      </c>
      <c r="P113" s="5076" t="s">
        <v>11662</v>
      </c>
      <c r="Q113" s="5076" t="s">
        <v>11664</v>
      </c>
      <c r="R113" s="96"/>
      <c r="S113" s="96"/>
      <c r="T113" s="96"/>
      <c r="U113" s="96"/>
      <c r="V113" s="99">
        <v>10000000</v>
      </c>
    </row>
    <row r="114" spans="3:22">
      <c r="C114" s="247" t="s">
        <v>11657</v>
      </c>
      <c r="D114" s="247" t="s">
        <v>11658</v>
      </c>
      <c r="E114" s="247" t="str">
        <f t="shared" si="9"/>
        <v>119100-004Prepaid Permitted</v>
      </c>
      <c r="F114" s="247"/>
      <c r="G114" s="247"/>
      <c r="H114" s="247"/>
      <c r="I114" s="247"/>
      <c r="J114" s="247"/>
      <c r="K114" s="247"/>
      <c r="L114" s="247" t="s">
        <v>11659</v>
      </c>
      <c r="M114" s="247" t="str">
        <f t="shared" si="10"/>
        <v>119100-004Prepaid Permitted</v>
      </c>
      <c r="N114" s="5076" t="s">
        <v>11660</v>
      </c>
      <c r="O114" s="5076" t="s">
        <v>11661</v>
      </c>
      <c r="P114" s="5076" t="s">
        <v>11662</v>
      </c>
      <c r="Q114" s="5076" t="s">
        <v>11665</v>
      </c>
      <c r="R114" s="96"/>
      <c r="S114" s="96"/>
      <c r="T114" s="96"/>
      <c r="U114" s="96"/>
      <c r="V114" s="99">
        <v>132500000</v>
      </c>
    </row>
    <row r="115" spans="3:22">
      <c r="C115" s="247" t="s">
        <v>11657</v>
      </c>
      <c r="D115" s="247" t="s">
        <v>11658</v>
      </c>
      <c r="E115" s="247" t="str">
        <f t="shared" si="9"/>
        <v>119100-004Prepaid Permitted</v>
      </c>
      <c r="F115" s="247"/>
      <c r="G115" s="247"/>
      <c r="H115" s="247"/>
      <c r="I115" s="247"/>
      <c r="J115" s="247"/>
      <c r="K115" s="247"/>
      <c r="L115" s="247" t="s">
        <v>11659</v>
      </c>
      <c r="M115" s="247" t="str">
        <f t="shared" si="10"/>
        <v>119100-004Prepaid Permitted</v>
      </c>
      <c r="N115" s="5076" t="s">
        <v>11660</v>
      </c>
      <c r="O115" s="5076" t="s">
        <v>11661</v>
      </c>
      <c r="P115" s="5076" t="s">
        <v>11662</v>
      </c>
      <c r="Q115" s="5076" t="s">
        <v>11666</v>
      </c>
      <c r="R115" s="96"/>
      <c r="S115" s="96"/>
      <c r="T115" s="96"/>
      <c r="U115" s="96"/>
      <c r="V115" s="99">
        <v>4600000</v>
      </c>
    </row>
    <row r="116" spans="3:22">
      <c r="C116" s="247" t="s">
        <v>11657</v>
      </c>
      <c r="D116" s="247" t="s">
        <v>11658</v>
      </c>
      <c r="E116" s="247" t="str">
        <f t="shared" si="9"/>
        <v>119100-004Prepaid Permitted</v>
      </c>
      <c r="F116" s="247"/>
      <c r="G116" s="247"/>
      <c r="H116" s="247"/>
      <c r="I116" s="247"/>
      <c r="J116" s="247"/>
      <c r="K116" s="247"/>
      <c r="L116" s="247" t="s">
        <v>11659</v>
      </c>
      <c r="M116" s="247" t="str">
        <f t="shared" si="10"/>
        <v>119100-004Prepaid Permitted</v>
      </c>
      <c r="N116" s="5076" t="s">
        <v>11660</v>
      </c>
      <c r="O116" s="5076" t="s">
        <v>11661</v>
      </c>
      <c r="P116" s="5076" t="s">
        <v>11662</v>
      </c>
      <c r="Q116" s="5076" t="s">
        <v>11667</v>
      </c>
      <c r="R116" s="96"/>
      <c r="S116" s="96"/>
      <c r="T116" s="96"/>
      <c r="U116" s="96"/>
      <c r="V116" s="99">
        <v>11500000</v>
      </c>
    </row>
    <row r="117" spans="3:22">
      <c r="C117" s="247" t="s">
        <v>11657</v>
      </c>
      <c r="D117" s="247" t="s">
        <v>11658</v>
      </c>
      <c r="E117" s="247" t="str">
        <f t="shared" si="9"/>
        <v>119100-004Prepaid Permitted</v>
      </c>
      <c r="F117" s="247"/>
      <c r="G117" s="247"/>
      <c r="H117" s="247"/>
      <c r="I117" s="247"/>
      <c r="J117" s="247"/>
      <c r="K117" s="247"/>
      <c r="L117" s="247" t="s">
        <v>11659</v>
      </c>
      <c r="M117" s="247" t="str">
        <f t="shared" si="10"/>
        <v>119100-004Prepaid Permitted</v>
      </c>
      <c r="N117" s="5076" t="s">
        <v>11660</v>
      </c>
      <c r="O117" s="5076" t="s">
        <v>11661</v>
      </c>
      <c r="P117" s="5076" t="s">
        <v>11662</v>
      </c>
      <c r="Q117" s="5076" t="s">
        <v>11668</v>
      </c>
      <c r="R117" s="96"/>
      <c r="S117" s="96"/>
      <c r="T117" s="96"/>
      <c r="U117" s="96"/>
      <c r="V117" s="99">
        <v>2500000</v>
      </c>
    </row>
    <row r="118" spans="3:22">
      <c r="C118" s="247" t="s">
        <v>11657</v>
      </c>
      <c r="D118" s="247" t="s">
        <v>11658</v>
      </c>
      <c r="E118" s="247" t="str">
        <f t="shared" si="9"/>
        <v>119100-004Prepaid Permitted</v>
      </c>
      <c r="F118" s="247"/>
      <c r="G118" s="247"/>
      <c r="H118" s="247"/>
      <c r="I118" s="247"/>
      <c r="J118" s="247"/>
      <c r="K118" s="247"/>
      <c r="L118" s="247" t="s">
        <v>11659</v>
      </c>
      <c r="M118" s="247" t="str">
        <f t="shared" si="10"/>
        <v>119100-004Prepaid Permitted</v>
      </c>
      <c r="N118" s="5076" t="s">
        <v>11660</v>
      </c>
      <c r="O118" s="5076" t="s">
        <v>11661</v>
      </c>
      <c r="P118" s="5076" t="s">
        <v>11662</v>
      </c>
      <c r="Q118" s="5076" t="s">
        <v>11668</v>
      </c>
      <c r="R118" s="96"/>
      <c r="S118" s="96"/>
      <c r="T118" s="96"/>
      <c r="U118" s="96"/>
      <c r="V118" s="99">
        <v>2500000</v>
      </c>
    </row>
    <row r="119" spans="3:22">
      <c r="C119" s="247" t="s">
        <v>11657</v>
      </c>
      <c r="D119" s="247" t="s">
        <v>11658</v>
      </c>
      <c r="E119" s="247" t="str">
        <f t="shared" si="9"/>
        <v>119100-004Prepaid Permitted</v>
      </c>
      <c r="F119" s="247"/>
      <c r="G119" s="247"/>
      <c r="H119" s="247"/>
      <c r="I119" s="247"/>
      <c r="J119" s="247"/>
      <c r="K119" s="247"/>
      <c r="L119" s="247" t="s">
        <v>11659</v>
      </c>
      <c r="M119" s="247" t="str">
        <f t="shared" si="10"/>
        <v>119100-004Prepaid Permitted</v>
      </c>
      <c r="N119" s="5076" t="s">
        <v>11660</v>
      </c>
      <c r="O119" s="5076" t="s">
        <v>11661</v>
      </c>
      <c r="P119" s="5076" t="s">
        <v>11662</v>
      </c>
      <c r="Q119" s="5076" t="s">
        <v>11668</v>
      </c>
      <c r="R119" s="96"/>
      <c r="S119" s="96"/>
      <c r="T119" s="96"/>
      <c r="U119" s="96"/>
      <c r="V119" s="99">
        <v>2500000</v>
      </c>
    </row>
    <row r="120" spans="3:22">
      <c r="C120" s="247" t="s">
        <v>11657</v>
      </c>
      <c r="D120" s="247" t="s">
        <v>11658</v>
      </c>
      <c r="E120" s="247" t="str">
        <f t="shared" si="9"/>
        <v>119100-004Prepaid Permitted</v>
      </c>
      <c r="F120" s="247"/>
      <c r="G120" s="247"/>
      <c r="H120" s="247"/>
      <c r="I120" s="247"/>
      <c r="J120" s="247"/>
      <c r="K120" s="247"/>
      <c r="L120" s="247" t="s">
        <v>11659</v>
      </c>
      <c r="M120" s="247" t="str">
        <f t="shared" si="10"/>
        <v>119100-004Prepaid Permitted</v>
      </c>
      <c r="N120" s="5076" t="s">
        <v>11660</v>
      </c>
      <c r="O120" s="5076" t="s">
        <v>11661</v>
      </c>
      <c r="P120" s="5076" t="s">
        <v>11662</v>
      </c>
      <c r="Q120" s="5076" t="s">
        <v>11668</v>
      </c>
      <c r="R120" s="96"/>
      <c r="S120" s="96"/>
      <c r="T120" s="96"/>
      <c r="U120" s="96"/>
      <c r="V120" s="99">
        <v>2500000</v>
      </c>
    </row>
    <row r="121" spans="3:22">
      <c r="C121" s="247" t="s">
        <v>11657</v>
      </c>
      <c r="D121" s="247" t="s">
        <v>11658</v>
      </c>
      <c r="E121" s="247" t="str">
        <f t="shared" si="9"/>
        <v>119100-004Prepaid Permitted</v>
      </c>
      <c r="F121" s="247"/>
      <c r="G121" s="247"/>
      <c r="H121" s="247"/>
      <c r="I121" s="247"/>
      <c r="J121" s="247"/>
      <c r="K121" s="247"/>
      <c r="L121" s="247" t="s">
        <v>11659</v>
      </c>
      <c r="M121" s="247" t="str">
        <f t="shared" si="10"/>
        <v>119100-004Prepaid Permitted</v>
      </c>
      <c r="N121" s="5076" t="s">
        <v>11660</v>
      </c>
      <c r="O121" s="5076" t="s">
        <v>11661</v>
      </c>
      <c r="P121" s="5076" t="s">
        <v>11662</v>
      </c>
      <c r="Q121" s="5076" t="s">
        <v>11669</v>
      </c>
      <c r="R121" s="96"/>
      <c r="S121" s="96"/>
      <c r="T121" s="96"/>
      <c r="U121" s="96"/>
      <c r="V121" s="99">
        <v>600000000</v>
      </c>
    </row>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sheetData>
  <mergeCells count="3">
    <mergeCell ref="H10:I10"/>
    <mergeCell ref="N10:O10"/>
    <mergeCell ref="V10:W10"/>
  </mergeCells>
  <printOptions horizontalCentered="1"/>
  <pageMargins left="0.708661417322835" right="0.511811023622047" top="0.708661417322835" bottom="0.31496062992126" header="0.511811023622047" footer="0.511811023622047"/>
  <pageSetup paperSize="9" scale="42" orientation="landscape"/>
  <headerFooter alignWithMargins="0"/>
  <drawing r:id="rId2"/>
  <legacyDrawing r:id="rId3"/>
  <oleObjects>
    <mc:AlternateContent xmlns:mc="http://schemas.openxmlformats.org/markup-compatibility/2006">
      <mc:Choice Requires="x14">
        <oleObject shapeId="1584129" progId="Paint.Picture" r:id="rId4">
          <objectPr defaultSize="0" r:id="rId5">
            <anchor moveWithCells="1">
              <from>
                <xdr:col>1</xdr:col>
                <xdr:colOff>38100</xdr:colOff>
                <xdr:row>38</xdr:row>
                <xdr:rowOff>44450</xdr:rowOff>
              </from>
              <to>
                <xdr:col>2</xdr:col>
                <xdr:colOff>44450</xdr:colOff>
                <xdr:row>39</xdr:row>
                <xdr:rowOff>38100</xdr:rowOff>
              </to>
            </anchor>
          </objectPr>
        </oleObject>
      </mc:Choice>
      <mc:Fallback>
        <oleObject shapeId="1584129" progId="Paint.Picture" r:id="rId4"/>
      </mc:Fallback>
    </mc:AlternateContent>
    <mc:AlternateContent xmlns:mc="http://schemas.openxmlformats.org/markup-compatibility/2006">
      <mc:Choice Requires="x14">
        <oleObject shapeId="1584130" progId="Paint.Picture" r:id="rId6">
          <objectPr defaultSize="0" r:id="rId7">
            <anchor moveWithCells="1">
              <from>
                <xdr:col>1</xdr:col>
                <xdr:colOff>31750</xdr:colOff>
                <xdr:row>37</xdr:row>
                <xdr:rowOff>0</xdr:rowOff>
              </from>
              <to>
                <xdr:col>2</xdr:col>
                <xdr:colOff>50800</xdr:colOff>
                <xdr:row>38</xdr:row>
                <xdr:rowOff>19050</xdr:rowOff>
              </to>
            </anchor>
          </objectPr>
        </oleObject>
      </mc:Choice>
      <mc:Fallback>
        <oleObject shapeId="1584130" progId="Paint.Picture" r:id="rId6"/>
      </mc:Fallback>
    </mc:AlternateContent>
    <mc:AlternateContent xmlns:mc="http://schemas.openxmlformats.org/markup-compatibility/2006">
      <mc:Choice Requires="x14">
        <oleObject shapeId="1584131" progId="Paint.Picture" r:id="rId8">
          <objectPr defaultSize="0" r:id="rId7">
            <anchor moveWithCells="1">
              <from>
                <xdr:col>17</xdr:col>
                <xdr:colOff>527050</xdr:colOff>
                <xdr:row>7</xdr:row>
                <xdr:rowOff>139700</xdr:rowOff>
              </from>
              <to>
                <xdr:col>17</xdr:col>
                <xdr:colOff>711200</xdr:colOff>
                <xdr:row>8</xdr:row>
                <xdr:rowOff>146050</xdr:rowOff>
              </to>
            </anchor>
          </objectPr>
        </oleObject>
      </mc:Choice>
      <mc:Fallback>
        <oleObject shapeId="1584131" progId="Paint.Picture" r:id="rId8"/>
      </mc:Fallback>
    </mc:AlternateContent>
    <mc:AlternateContent xmlns:mc="http://schemas.openxmlformats.org/markup-compatibility/2006">
      <mc:Choice Requires="x14">
        <oleObject shapeId="1584132" progId="Paint.Picture" r:id="rId9">
          <objectPr defaultSize="0" r:id="rId5">
            <anchor moveWithCells="1">
              <from>
                <xdr:col>7</xdr:col>
                <xdr:colOff>546100</xdr:colOff>
                <xdr:row>33</xdr:row>
                <xdr:rowOff>38100</xdr:rowOff>
              </from>
              <to>
                <xdr:col>7</xdr:col>
                <xdr:colOff>730250</xdr:colOff>
                <xdr:row>34</xdr:row>
                <xdr:rowOff>63500</xdr:rowOff>
              </to>
            </anchor>
          </objectPr>
        </oleObject>
      </mc:Choice>
      <mc:Fallback>
        <oleObject shapeId="1584132" progId="Paint.Picture" r:id="rId9"/>
      </mc:Fallback>
    </mc:AlternateContent>
    <mc:AlternateContent xmlns:mc="http://schemas.openxmlformats.org/markup-compatibility/2006">
      <mc:Choice Requires="x14">
        <oleObject shapeId="1584133" progId="Paint.Picture" r:id="rId10">
          <objectPr defaultSize="0" r:id="rId7">
            <anchor moveWithCells="1">
              <from>
                <xdr:col>18</xdr:col>
                <xdr:colOff>527050</xdr:colOff>
                <xdr:row>7</xdr:row>
                <xdr:rowOff>139700</xdr:rowOff>
              </from>
              <to>
                <xdr:col>18</xdr:col>
                <xdr:colOff>711200</xdr:colOff>
                <xdr:row>8</xdr:row>
                <xdr:rowOff>146050</xdr:rowOff>
              </to>
            </anchor>
          </objectPr>
        </oleObject>
      </mc:Choice>
      <mc:Fallback>
        <oleObject shapeId="1584133" progId="Paint.Picture" r:id="rId10"/>
      </mc:Fallback>
    </mc:AlternateContent>
    <mc:AlternateContent xmlns:mc="http://schemas.openxmlformats.org/markup-compatibility/2006">
      <mc:Choice Requires="x14">
        <oleObject shapeId="1584134" progId="Paint.Picture" r:id="rId11">
          <objectPr defaultSize="0" r:id="rId7">
            <anchor moveWithCells="1">
              <from>
                <xdr:col>19</xdr:col>
                <xdr:colOff>527050</xdr:colOff>
                <xdr:row>7</xdr:row>
                <xdr:rowOff>139700</xdr:rowOff>
              </from>
              <to>
                <xdr:col>19</xdr:col>
                <xdr:colOff>711200</xdr:colOff>
                <xdr:row>8</xdr:row>
                <xdr:rowOff>146050</xdr:rowOff>
              </to>
            </anchor>
          </objectPr>
        </oleObject>
      </mc:Choice>
      <mc:Fallback>
        <oleObject shapeId="1584134" progId="Paint.Picture" r:id="rId11"/>
      </mc:Fallback>
    </mc:AlternateContent>
    <mc:AlternateContent xmlns:mc="http://schemas.openxmlformats.org/markup-compatibility/2006">
      <mc:Choice Requires="x14">
        <oleObject shapeId="1584135" progId="Paint.Picture" r:id="rId12">
          <objectPr defaultSize="0" r:id="rId7">
            <anchor moveWithCells="1">
              <from>
                <xdr:col>20</xdr:col>
                <xdr:colOff>527050</xdr:colOff>
                <xdr:row>7</xdr:row>
                <xdr:rowOff>139700</xdr:rowOff>
              </from>
              <to>
                <xdr:col>20</xdr:col>
                <xdr:colOff>711200</xdr:colOff>
                <xdr:row>8</xdr:row>
                <xdr:rowOff>146050</xdr:rowOff>
              </to>
            </anchor>
          </objectPr>
        </oleObject>
      </mc:Choice>
      <mc:Fallback>
        <oleObject shapeId="1584135" progId="Paint.Picture" r:id="rId12"/>
      </mc:Fallback>
    </mc:AlternateContent>
  </oleObjects>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V257"/>
  <sheetViews>
    <sheetView showGridLines="0" zoomScale="130" zoomScaleNormal="130" workbookViewId="0">
      <pane xSplit="3" ySplit="10" topLeftCell="D11" activePane="bottomRight" state="frozen"/>
      <selection/>
      <selection pane="topRight"/>
      <selection pane="bottomLeft"/>
      <selection pane="bottomRight" activeCell="L44" sqref="L44"/>
    </sheetView>
  </sheetViews>
  <sheetFormatPr defaultColWidth="10.0416666666667" defaultRowHeight="13.2"/>
  <cols>
    <col min="1" max="1" width="2.39583333333333" style="1118" customWidth="1"/>
    <col min="2" max="2" width="10.9375" style="1118" customWidth="1"/>
    <col min="3" max="3" width="15.28125" style="1118" customWidth="1"/>
    <col min="4" max="4" width="20.375" style="1118" customWidth="1"/>
    <col min="5" max="5" width="24.875" style="1118" customWidth="1"/>
    <col min="6" max="6" width="9.13541666666667" style="1118" customWidth="1"/>
    <col min="7" max="7" width="16.625" style="1118" customWidth="1"/>
    <col min="8" max="8" width="5.84375" style="1118" customWidth="1"/>
    <col min="9" max="9" width="11.53125" style="1118" customWidth="1"/>
    <col min="10" max="10" width="13.3333333333333" style="1118" customWidth="1"/>
    <col min="11" max="11" width="7.34375" style="1118" customWidth="1"/>
    <col min="12" max="12" width="14.8333333333333" style="1187" customWidth="1"/>
    <col min="13" max="14" width="16.3333333333333" style="1118" customWidth="1"/>
    <col min="15" max="15" width="12.1354166666667" style="1118" customWidth="1"/>
    <col min="16" max="16" width="16.9270833333333" style="1118" customWidth="1"/>
    <col min="17" max="17" width="1.64583333333333" style="1118" customWidth="1"/>
    <col min="18" max="18" width="15.4270833333333" style="2936" customWidth="1"/>
    <col min="19" max="19" width="14.8333333333333" style="1118" customWidth="1"/>
    <col min="20" max="16384" width="10.0416666666667" style="1118"/>
  </cols>
  <sheetData>
    <row r="2" spans="2:3">
      <c r="B2" s="209" t="s">
        <v>1227</v>
      </c>
      <c r="C2" s="228" t="str">
        <f>D!C4</f>
        <v>PT INTAN GIRI ABADI</v>
      </c>
    </row>
    <row r="3" spans="2:3">
      <c r="B3" s="209" t="s">
        <v>623</v>
      </c>
      <c r="C3" s="209" t="s">
        <v>11670</v>
      </c>
    </row>
    <row r="4" spans="2:3">
      <c r="B4" s="1806" t="s">
        <v>11479</v>
      </c>
      <c r="C4" s="2937">
        <f>D!S7</f>
        <v>44926</v>
      </c>
    </row>
    <row r="5" spans="2:3">
      <c r="B5" s="1806" t="s">
        <v>999</v>
      </c>
      <c r="C5" s="2937" t="s">
        <v>11620</v>
      </c>
    </row>
    <row r="6" spans="2:3">
      <c r="B6" s="1118" t="s">
        <v>11480</v>
      </c>
      <c r="C6" s="2938"/>
    </row>
    <row r="7" spans="2:9">
      <c r="B7" s="5117" t="s">
        <v>11472</v>
      </c>
      <c r="C7" s="2939"/>
      <c r="D7" s="2939"/>
      <c r="E7" s="2939"/>
      <c r="F7" s="2939"/>
      <c r="G7" s="2939"/>
      <c r="H7" s="2939"/>
      <c r="I7" s="2961"/>
    </row>
    <row r="8" spans="4:9">
      <c r="D8" s="2939"/>
      <c r="E8" s="2939"/>
      <c r="F8" s="2939"/>
      <c r="G8" s="2939"/>
      <c r="H8" s="2939"/>
      <c r="I8" s="2961"/>
    </row>
    <row r="9" spans="2:9">
      <c r="B9" s="306"/>
      <c r="C9" s="2939"/>
      <c r="D9" s="2939"/>
      <c r="E9" s="2939"/>
      <c r="F9" s="2939"/>
      <c r="G9" s="2939"/>
      <c r="H9" s="2939"/>
      <c r="I9" s="2961"/>
    </row>
    <row r="10" spans="2:12">
      <c r="B10" s="2940" t="s">
        <v>1021</v>
      </c>
      <c r="C10" s="2940" t="s">
        <v>11483</v>
      </c>
      <c r="D10" s="2940" t="s">
        <v>11484</v>
      </c>
      <c r="E10" s="2940" t="s">
        <v>11485</v>
      </c>
      <c r="F10" s="2940"/>
      <c r="G10" s="2940" t="s">
        <v>1202</v>
      </c>
      <c r="H10" s="2940"/>
      <c r="I10" s="2940"/>
      <c r="J10" s="2940"/>
      <c r="K10" s="2940"/>
      <c r="L10" s="2973" t="s">
        <v>151</v>
      </c>
    </row>
    <row r="11" spans="2:13">
      <c r="B11" s="2941">
        <v>1</v>
      </c>
      <c r="C11" s="2942">
        <f>+'[92]2017'!A8</f>
        <v>42853</v>
      </c>
      <c r="D11" s="2943" t="str">
        <f>+'[92]2017'!C8</f>
        <v>MDRI-201704127</v>
      </c>
      <c r="E11" s="2944" t="str">
        <f>+'[92]2017'!D8</f>
        <v>Hutang Pihak III (Company)</v>
      </c>
      <c r="F11" s="2945"/>
      <c r="G11" s="2946" t="s">
        <v>11671</v>
      </c>
      <c r="H11" s="2945"/>
      <c r="I11" s="2974"/>
      <c r="J11" s="2975"/>
      <c r="K11" s="2945"/>
      <c r="L11" s="2976">
        <f>+'[92]2017'!J8</f>
        <v>985000000</v>
      </c>
      <c r="M11" s="2977" t="s">
        <v>11489</v>
      </c>
    </row>
    <row r="12" spans="2:13">
      <c r="B12" s="2941">
        <f>+B11+1</f>
        <v>2</v>
      </c>
      <c r="C12" s="2942">
        <f>+'[92]2017'!A9</f>
        <v>42928</v>
      </c>
      <c r="D12" s="2943" t="str">
        <f>+'[92]2017'!C9</f>
        <v>MDRI-201707089</v>
      </c>
      <c r="E12" s="2944" t="str">
        <f>+'[92]2017'!D9</f>
        <v>Hutang Pihak III (Company)</v>
      </c>
      <c r="F12" s="2947"/>
      <c r="G12" s="2946" t="s">
        <v>11672</v>
      </c>
      <c r="H12" s="2945"/>
      <c r="I12" s="2974"/>
      <c r="J12" s="2975"/>
      <c r="K12" s="2945"/>
      <c r="L12" s="2976">
        <f>+'[92]2017'!J9</f>
        <v>350000000</v>
      </c>
      <c r="M12" s="2977" t="s">
        <v>11491</v>
      </c>
    </row>
    <row r="13" spans="2:13">
      <c r="B13" s="2941">
        <f t="shared" ref="B13:B39" si="0">+B12+1</f>
        <v>3</v>
      </c>
      <c r="C13" s="2942">
        <f>+'[92]2017'!A10</f>
        <v>42930</v>
      </c>
      <c r="D13" s="2943" t="str">
        <f>+'[92]2017'!C10</f>
        <v>MDRI-201707105</v>
      </c>
      <c r="E13" s="2944" t="str">
        <f>+'[92]2017'!D10</f>
        <v>Hutang Pihak III (Company)</v>
      </c>
      <c r="F13" s="2947"/>
      <c r="G13" s="2946" t="s">
        <v>11673</v>
      </c>
      <c r="H13" s="2945"/>
      <c r="I13" s="2974"/>
      <c r="J13" s="2975"/>
      <c r="K13" s="2945"/>
      <c r="L13" s="2976">
        <f>+'[92]2017'!J10</f>
        <v>300000000</v>
      </c>
      <c r="M13" s="2977" t="s">
        <v>11493</v>
      </c>
    </row>
    <row r="14" spans="2:13">
      <c r="B14" s="2941">
        <f t="shared" si="0"/>
        <v>4</v>
      </c>
      <c r="C14" s="2942">
        <f>+'[92]2017'!A11</f>
        <v>42956</v>
      </c>
      <c r="D14" s="2943" t="str">
        <f>+'[92]2017'!C11</f>
        <v>MDRI-201708063</v>
      </c>
      <c r="E14" s="2944" t="str">
        <f>+'[92]2017'!D11</f>
        <v>Hutang Pihak III (Company)</v>
      </c>
      <c r="F14" s="2947"/>
      <c r="G14" s="2946" t="s">
        <v>11672</v>
      </c>
      <c r="H14" s="2945"/>
      <c r="I14" s="2974"/>
      <c r="J14" s="2975"/>
      <c r="K14" s="2945"/>
      <c r="L14" s="2976">
        <f>+'[92]2017'!J11</f>
        <v>420000000</v>
      </c>
      <c r="M14" s="2977" t="s">
        <v>11491</v>
      </c>
    </row>
    <row r="15" spans="2:13">
      <c r="B15" s="2941">
        <f t="shared" si="0"/>
        <v>5</v>
      </c>
      <c r="C15" s="2942">
        <f>+'[92]2017'!A12</f>
        <v>42970</v>
      </c>
      <c r="D15" s="2943" t="str">
        <f>+'[92]2017'!C12</f>
        <v>MDRI-201708109</v>
      </c>
      <c r="E15" s="2944" t="str">
        <f>+'[92]2017'!D12</f>
        <v>Hutang Pihak III (Company)</v>
      </c>
      <c r="F15" s="2947"/>
      <c r="G15" s="2946" t="s">
        <v>11674</v>
      </c>
      <c r="H15" s="2945"/>
      <c r="I15" s="2974"/>
      <c r="J15" s="2975"/>
      <c r="K15" s="2945"/>
      <c r="L15" s="2976">
        <f>+'[92]2017'!J12</f>
        <v>300000000</v>
      </c>
      <c r="M15" s="2977" t="s">
        <v>11491</v>
      </c>
    </row>
    <row r="16" spans="2:13">
      <c r="B16" s="2941">
        <f t="shared" si="0"/>
        <v>6</v>
      </c>
      <c r="C16" s="2942">
        <f>+'[92]2017'!A13</f>
        <v>42996</v>
      </c>
      <c r="D16" s="2943" t="str">
        <f>+'[92]2017'!C13</f>
        <v>MDRI-201709076</v>
      </c>
      <c r="E16" s="2944" t="str">
        <f>+'[92]2017'!D13</f>
        <v>Hutang Pihak III (Company)</v>
      </c>
      <c r="F16" s="2947"/>
      <c r="G16" s="2946" t="s">
        <v>11675</v>
      </c>
      <c r="H16" s="2945"/>
      <c r="I16" s="2978"/>
      <c r="J16" s="2948"/>
      <c r="K16" s="2945"/>
      <c r="L16" s="2976">
        <f>+'[92]2017'!J13</f>
        <v>1200000000</v>
      </c>
      <c r="M16" s="2977" t="s">
        <v>11498</v>
      </c>
    </row>
    <row r="17" ht="11.45" customHeight="1" spans="2:13">
      <c r="B17" s="2941">
        <f t="shared" si="0"/>
        <v>7</v>
      </c>
      <c r="C17" s="2942">
        <f>+'[92]2017'!A14</f>
        <v>43014</v>
      </c>
      <c r="D17" s="2943" t="str">
        <f>+'[92]2017'!C14</f>
        <v>MDRI-201710052</v>
      </c>
      <c r="E17" s="2944" t="str">
        <f>+'[92]2017'!D14</f>
        <v>Hutang Pihak III (Company)</v>
      </c>
      <c r="F17" s="2947"/>
      <c r="G17" s="2946" t="s">
        <v>11672</v>
      </c>
      <c r="H17" s="2945"/>
      <c r="I17" s="2978"/>
      <c r="J17" s="2948"/>
      <c r="K17" s="2945"/>
      <c r="L17" s="2976">
        <f>+'[92]2017'!J14</f>
        <v>100000000</v>
      </c>
      <c r="M17" s="2977" t="s">
        <v>11491</v>
      </c>
    </row>
    <row r="18" spans="2:13">
      <c r="B18" s="2941">
        <f t="shared" si="0"/>
        <v>8</v>
      </c>
      <c r="C18" s="2942">
        <f>+'[92]2017'!A15</f>
        <v>43026</v>
      </c>
      <c r="D18" s="2943" t="str">
        <f>+'[92]2017'!C15</f>
        <v>MDRI-201710111</v>
      </c>
      <c r="E18" s="2944" t="str">
        <f>+'[92]2017'!D15</f>
        <v>Hutang Pihak III (Company)</v>
      </c>
      <c r="F18" s="2947"/>
      <c r="G18" s="2946" t="s">
        <v>11676</v>
      </c>
      <c r="H18" s="2948"/>
      <c r="I18" s="2979"/>
      <c r="J18" s="2948"/>
      <c r="K18" s="2945"/>
      <c r="L18" s="2976">
        <f>+'[92]2017'!J15</f>
        <v>280000000</v>
      </c>
      <c r="M18" s="2977" t="s">
        <v>11493</v>
      </c>
    </row>
    <row r="19" spans="2:13">
      <c r="B19" s="2941">
        <f t="shared" si="0"/>
        <v>9</v>
      </c>
      <c r="C19" s="2942">
        <f>+'[92]2017'!A16</f>
        <v>43045</v>
      </c>
      <c r="D19" s="2943" t="str">
        <f>+'[92]2017'!C16</f>
        <v>MDRI-201711033</v>
      </c>
      <c r="E19" s="2944" t="str">
        <f>+'[92]2017'!D16</f>
        <v>Hutang Pihak III (Company)</v>
      </c>
      <c r="F19" s="2947"/>
      <c r="G19" s="2946" t="s">
        <v>11677</v>
      </c>
      <c r="H19" s="2948"/>
      <c r="I19" s="2979"/>
      <c r="J19" s="2948"/>
      <c r="K19" s="2945"/>
      <c r="L19" s="2976">
        <f>+'[92]2017'!J16</f>
        <v>250000000</v>
      </c>
      <c r="M19" s="2977" t="s">
        <v>11491</v>
      </c>
    </row>
    <row r="20" spans="2:13">
      <c r="B20" s="2941">
        <f t="shared" si="0"/>
        <v>10</v>
      </c>
      <c r="C20" s="2942">
        <f>+'[93]2018'!A8</f>
        <v>43175</v>
      </c>
      <c r="D20" s="2943" t="str">
        <f>+'[93]2018'!C8</f>
        <v>MDRI-201803100</v>
      </c>
      <c r="E20" s="2944">
        <f>+'[92]2017'!D17</f>
        <v>0</v>
      </c>
      <c r="F20" s="2947"/>
      <c r="G20" s="2946" t="str">
        <f>+'[93]2018'!I8</f>
        <v>DPS ENERGI SUKSES Transfer  DARI DPS ENERGI SUKSES PRATAMA</v>
      </c>
      <c r="H20" s="2948"/>
      <c r="I20" s="2979"/>
      <c r="J20" s="2948"/>
      <c r="K20" s="2945"/>
      <c r="L20" s="2980">
        <f>+'[93]2018'!J8</f>
        <v>2055000000</v>
      </c>
      <c r="M20" s="2977" t="s">
        <v>11491</v>
      </c>
    </row>
    <row r="21" spans="2:13">
      <c r="B21" s="2941">
        <f t="shared" si="0"/>
        <v>11</v>
      </c>
      <c r="C21" s="2942">
        <f>+'[93]2018'!A9</f>
        <v>43222</v>
      </c>
      <c r="D21" s="2943" t="str">
        <f>+'[93]2018'!C9</f>
        <v>MDRI-201805026</v>
      </c>
      <c r="E21" s="2944">
        <f>+'[92]2017'!D18</f>
        <v>0</v>
      </c>
      <c r="F21" s="2947"/>
      <c r="G21" s="2946" t="str">
        <f>+'[93]2018'!I9</f>
        <v>Inward RTGS  DPS ENERGI SUKSES PRATAMAPT. BANK CAPITAL INDONESIA</v>
      </c>
      <c r="H21" s="2948"/>
      <c r="I21" s="2979"/>
      <c r="J21" s="2948"/>
      <c r="K21" s="2945"/>
      <c r="L21" s="2980">
        <f>+'[93]2018'!J9</f>
        <v>4234452488</v>
      </c>
      <c r="M21" s="2977" t="s">
        <v>11493</v>
      </c>
    </row>
    <row r="22" spans="2:13">
      <c r="B22" s="2941">
        <f t="shared" si="0"/>
        <v>12</v>
      </c>
      <c r="C22" s="2942">
        <f>+'[93]2018'!A10</f>
        <v>43251</v>
      </c>
      <c r="D22" s="2943" t="str">
        <f>+'[93]2018'!C10</f>
        <v>MDRI-201805193</v>
      </c>
      <c r="E22" s="2944">
        <f>+'[92]2017'!D19</f>
        <v>0</v>
      </c>
      <c r="F22" s="2947"/>
      <c r="G22" s="2946" t="str">
        <f>+'[93]2018'!I10</f>
        <v>Inward RTGS  DPS ENERGI SUKSES PRATAMAPT. BANK CAPITAL INDONESIA</v>
      </c>
      <c r="H22" s="2948"/>
      <c r="I22" s="2979"/>
      <c r="J22" s="2948"/>
      <c r="K22" s="2945"/>
      <c r="L22" s="2980">
        <f>+'[93]2018'!J10</f>
        <v>4063311843</v>
      </c>
      <c r="M22" s="2977" t="s">
        <v>11493</v>
      </c>
    </row>
    <row r="23" spans="2:13">
      <c r="B23" s="2941">
        <f t="shared" si="0"/>
        <v>13</v>
      </c>
      <c r="C23" s="2942">
        <f>+'[93]2018'!A11</f>
        <v>43341</v>
      </c>
      <c r="D23" s="2943" t="str">
        <f>+'[93]2018'!C11</f>
        <v>MDRI-201808174</v>
      </c>
      <c r="E23" s="2944">
        <f>+'[92]2017'!D20</f>
        <v>0</v>
      </c>
      <c r="F23" s="2947"/>
      <c r="G23" s="2946" t="str">
        <f>+'[93]2018'!I11</f>
        <v>Inward RTGS  DPS ENERGI SUKSES PRATAMAPT. BANK CAPITAL INDONESIA</v>
      </c>
      <c r="H23" s="2948"/>
      <c r="I23" s="2979"/>
      <c r="J23" s="2948"/>
      <c r="K23" s="2945"/>
      <c r="L23" s="2980">
        <f>+'[93]2018'!J11</f>
        <v>2180810280</v>
      </c>
      <c r="M23" s="2977" t="s">
        <v>11493</v>
      </c>
    </row>
    <row r="24" spans="2:13">
      <c r="B24" s="2941">
        <f t="shared" si="0"/>
        <v>14</v>
      </c>
      <c r="C24" s="2942">
        <f>+'[93]2018'!A12</f>
        <v>43342</v>
      </c>
      <c r="D24" s="2943" t="str">
        <f>+'[93]2018'!C12</f>
        <v>MDRI-201808181</v>
      </c>
      <c r="E24" s="2944">
        <f>+'[92]2017'!D21</f>
        <v>0</v>
      </c>
      <c r="F24" s="2947"/>
      <c r="G24" s="2946" t="str">
        <f>+'[93]2018'!I12</f>
        <v>Inward RTGS  DPS ENERGI SUKSES PRATAMAPT. BANK CAPITAL INDONESIA</v>
      </c>
      <c r="H24" s="2948"/>
      <c r="I24" s="2979"/>
      <c r="J24" s="2948"/>
      <c r="K24" s="2945"/>
      <c r="L24" s="2980">
        <f>+'[93]2018'!J12</f>
        <v>819189720</v>
      </c>
      <c r="M24" s="2977" t="s">
        <v>11493</v>
      </c>
    </row>
    <row r="25" spans="2:13">
      <c r="B25" s="2941">
        <f t="shared" si="0"/>
        <v>15</v>
      </c>
      <c r="C25" s="2942"/>
      <c r="D25" s="2943">
        <f>+'[92]2017'!C22</f>
        <v>0</v>
      </c>
      <c r="E25" s="2944">
        <f>+'[92]2017'!D22</f>
        <v>0</v>
      </c>
      <c r="F25" s="2947"/>
      <c r="G25" s="2946"/>
      <c r="H25" s="2948"/>
      <c r="I25" s="2979"/>
      <c r="J25" s="2948"/>
      <c r="K25" s="2945"/>
      <c r="L25" s="2980">
        <v>0</v>
      </c>
      <c r="M25" s="2977" t="s">
        <v>11491</v>
      </c>
    </row>
    <row r="26" spans="2:13">
      <c r="B26" s="2941">
        <f t="shared" si="0"/>
        <v>16</v>
      </c>
      <c r="C26" s="2942"/>
      <c r="D26" s="2943">
        <f>+'[92]2017'!C23</f>
        <v>0</v>
      </c>
      <c r="E26" s="2944">
        <f>+'[92]2017'!D23</f>
        <v>0</v>
      </c>
      <c r="F26" s="2949"/>
      <c r="G26" s="2946"/>
      <c r="H26" s="2950"/>
      <c r="I26" s="2979"/>
      <c r="J26" s="2948"/>
      <c r="K26" s="2945"/>
      <c r="L26" s="2981">
        <v>0</v>
      </c>
      <c r="M26" s="2982" t="s">
        <v>11509</v>
      </c>
    </row>
    <row r="27" spans="2:13">
      <c r="B27" s="2941">
        <f t="shared" si="0"/>
        <v>17</v>
      </c>
      <c r="C27" s="2942"/>
      <c r="D27" s="2943">
        <f>+'[92]2017'!C24</f>
        <v>0</v>
      </c>
      <c r="E27" s="2944">
        <f>+'[92]2017'!D24</f>
        <v>0</v>
      </c>
      <c r="F27" s="2949"/>
      <c r="G27" s="2946"/>
      <c r="H27" s="2948"/>
      <c r="I27" s="2979"/>
      <c r="J27" s="2948"/>
      <c r="K27" s="2945"/>
      <c r="L27" s="2981">
        <v>0</v>
      </c>
      <c r="M27" s="2982" t="s">
        <v>11493</v>
      </c>
    </row>
    <row r="28" spans="2:13">
      <c r="B28" s="2941">
        <f t="shared" si="0"/>
        <v>18</v>
      </c>
      <c r="C28" s="2942"/>
      <c r="D28" s="2943">
        <f>+'[92]2017'!C25</f>
        <v>0</v>
      </c>
      <c r="E28" s="2944">
        <f>+'[92]2017'!D25</f>
        <v>0</v>
      </c>
      <c r="F28" s="2949"/>
      <c r="G28" s="2946"/>
      <c r="H28" s="2950"/>
      <c r="I28" s="2979"/>
      <c r="J28" s="2948"/>
      <c r="K28" s="2945"/>
      <c r="L28" s="2981">
        <v>0</v>
      </c>
      <c r="M28" s="2982" t="s">
        <v>11513</v>
      </c>
    </row>
    <row r="29" spans="2:13">
      <c r="B29" s="2941">
        <f t="shared" si="0"/>
        <v>19</v>
      </c>
      <c r="C29" s="2942"/>
      <c r="D29" s="2943">
        <f>+'[92]2017'!C26</f>
        <v>0</v>
      </c>
      <c r="E29" s="2944">
        <f>+'[92]2017'!D26</f>
        <v>0</v>
      </c>
      <c r="F29" s="2949"/>
      <c r="G29" s="2946"/>
      <c r="H29" s="2948"/>
      <c r="I29" s="2979"/>
      <c r="J29" s="2948"/>
      <c r="K29" s="2945"/>
      <c r="L29" s="2981">
        <v>0</v>
      </c>
      <c r="M29" s="2982" t="s">
        <v>11513</v>
      </c>
    </row>
    <row r="30" spans="2:13">
      <c r="B30" s="2941">
        <f t="shared" si="0"/>
        <v>20</v>
      </c>
      <c r="C30" s="2942"/>
      <c r="D30" s="2943">
        <f>+'[92]2017'!C27</f>
        <v>0</v>
      </c>
      <c r="E30" s="2944">
        <f>+'[92]2017'!D27</f>
        <v>0</v>
      </c>
      <c r="F30" s="2949"/>
      <c r="G30" s="2946"/>
      <c r="H30" s="2950"/>
      <c r="I30" s="2979"/>
      <c r="J30" s="2948"/>
      <c r="K30" s="2945"/>
      <c r="L30" s="2981">
        <v>0</v>
      </c>
      <c r="M30" s="2982" t="s">
        <v>11516</v>
      </c>
    </row>
    <row r="31" spans="2:13">
      <c r="B31" s="2941">
        <f t="shared" si="0"/>
        <v>21</v>
      </c>
      <c r="C31" s="2942"/>
      <c r="D31" s="2943">
        <f>+'[92]2017'!C28</f>
        <v>0</v>
      </c>
      <c r="E31" s="2944">
        <f>+'[92]2017'!D28</f>
        <v>0</v>
      </c>
      <c r="F31" s="2949"/>
      <c r="G31" s="2946"/>
      <c r="H31" s="2948"/>
      <c r="I31" s="2979"/>
      <c r="J31" s="2948"/>
      <c r="K31" s="2945"/>
      <c r="L31" s="2981">
        <v>0</v>
      </c>
      <c r="M31" s="2982" t="s">
        <v>11513</v>
      </c>
    </row>
    <row r="32" spans="2:13">
      <c r="B32" s="2941">
        <f t="shared" si="0"/>
        <v>22</v>
      </c>
      <c r="C32" s="2942"/>
      <c r="D32" s="2943">
        <f>+'[92]2017'!C29</f>
        <v>0</v>
      </c>
      <c r="E32" s="2944">
        <f>+'[92]2017'!D29</f>
        <v>0</v>
      </c>
      <c r="F32" s="2949"/>
      <c r="G32" s="2946"/>
      <c r="H32" s="2950"/>
      <c r="I32" s="2979"/>
      <c r="J32" s="2948"/>
      <c r="K32" s="2945"/>
      <c r="L32" s="2981">
        <v>0</v>
      </c>
      <c r="M32" s="2982" t="s">
        <v>11491</v>
      </c>
    </row>
    <row r="33" spans="2:13">
      <c r="B33" s="2941">
        <f t="shared" si="0"/>
        <v>23</v>
      </c>
      <c r="C33" s="2942"/>
      <c r="D33" s="2943">
        <f>+'[92]2017'!C30</f>
        <v>0</v>
      </c>
      <c r="E33" s="2944">
        <f>+'[92]2017'!D30</f>
        <v>0</v>
      </c>
      <c r="F33" s="2949"/>
      <c r="G33" s="2946"/>
      <c r="H33" s="2948"/>
      <c r="I33" s="2979"/>
      <c r="J33" s="2948"/>
      <c r="K33" s="2945"/>
      <c r="L33" s="2981">
        <v>0</v>
      </c>
      <c r="M33" s="2983" t="s">
        <v>11520</v>
      </c>
    </row>
    <row r="34" spans="2:13">
      <c r="B34" s="2941">
        <f t="shared" si="0"/>
        <v>24</v>
      </c>
      <c r="C34" s="2942"/>
      <c r="D34" s="2951"/>
      <c r="E34" s="2944">
        <f>+'[92]2017'!D31</f>
        <v>0</v>
      </c>
      <c r="F34" s="2949"/>
      <c r="G34" s="2946"/>
      <c r="H34" s="2950"/>
      <c r="I34" s="2979"/>
      <c r="J34" s="2948"/>
      <c r="K34" s="2945"/>
      <c r="L34" s="2981">
        <v>0</v>
      </c>
      <c r="M34" s="2977" t="s">
        <v>11521</v>
      </c>
    </row>
    <row r="35" spans="2:13">
      <c r="B35" s="2941">
        <f t="shared" si="0"/>
        <v>25</v>
      </c>
      <c r="C35" s="2942"/>
      <c r="D35" s="2951"/>
      <c r="E35" s="2944">
        <f>+'[92]2017'!D32</f>
        <v>0</v>
      </c>
      <c r="F35" s="2949"/>
      <c r="G35" s="2952"/>
      <c r="H35" s="2950"/>
      <c r="I35" s="2979"/>
      <c r="J35" s="2948"/>
      <c r="K35" s="2945"/>
      <c r="L35" s="2981">
        <v>0</v>
      </c>
      <c r="M35" s="2984" t="s">
        <v>11522</v>
      </c>
    </row>
    <row r="36" s="2936" customFormat="1" spans="2:22">
      <c r="B36" s="2941">
        <f t="shared" si="0"/>
        <v>26</v>
      </c>
      <c r="C36" s="2942"/>
      <c r="D36" s="2951"/>
      <c r="E36" s="2944">
        <f>+'[92]2017'!D33</f>
        <v>0</v>
      </c>
      <c r="F36" s="2949"/>
      <c r="G36" s="2952"/>
      <c r="H36" s="2950"/>
      <c r="I36" s="2979"/>
      <c r="J36" s="2948"/>
      <c r="K36" s="2945"/>
      <c r="L36" s="2981">
        <v>0</v>
      </c>
      <c r="M36" s="2984" t="s">
        <v>11523</v>
      </c>
      <c r="N36" s="1118"/>
      <c r="O36" s="1118"/>
      <c r="P36" s="1118"/>
      <c r="Q36" s="1118"/>
      <c r="S36" s="1118"/>
      <c r="T36" s="1118"/>
      <c r="U36" s="1118"/>
      <c r="V36" s="1118"/>
    </row>
    <row r="37" s="2936" customFormat="1" spans="2:22">
      <c r="B37" s="2941">
        <f t="shared" si="0"/>
        <v>27</v>
      </c>
      <c r="C37" s="2942"/>
      <c r="D37" s="2951"/>
      <c r="E37" s="2944">
        <f>+'[92]2017'!D34</f>
        <v>0</v>
      </c>
      <c r="F37" s="2953"/>
      <c r="G37" s="2952"/>
      <c r="H37" s="2950"/>
      <c r="I37" s="2979"/>
      <c r="J37" s="2948"/>
      <c r="K37" s="2945"/>
      <c r="L37" s="2981">
        <v>0</v>
      </c>
      <c r="M37" s="2984" t="s">
        <v>11524</v>
      </c>
      <c r="N37" s="1118"/>
      <c r="O37" s="1118"/>
      <c r="P37" s="1118"/>
      <c r="Q37" s="1118"/>
      <c r="S37" s="1118"/>
      <c r="T37" s="1118"/>
      <c r="U37" s="1118"/>
      <c r="V37" s="1118"/>
    </row>
    <row r="38" s="2936" customFormat="1" spans="2:22">
      <c r="B38" s="2941">
        <f t="shared" si="0"/>
        <v>28</v>
      </c>
      <c r="C38" s="2942"/>
      <c r="D38" s="2951"/>
      <c r="E38" s="2944">
        <f>+'[92]2017'!D35</f>
        <v>0</v>
      </c>
      <c r="F38" s="2953"/>
      <c r="G38" s="2952"/>
      <c r="H38" s="2950"/>
      <c r="I38" s="2979"/>
      <c r="J38" s="2948"/>
      <c r="K38" s="2945"/>
      <c r="L38" s="2981">
        <v>0</v>
      </c>
      <c r="M38" s="2984" t="s">
        <v>11524</v>
      </c>
      <c r="N38" s="1118"/>
      <c r="O38" s="1118"/>
      <c r="P38" s="1118"/>
      <c r="Q38" s="1118"/>
      <c r="S38" s="1118"/>
      <c r="T38" s="1118"/>
      <c r="U38" s="1118"/>
      <c r="V38" s="1118"/>
    </row>
    <row r="39" s="2936" customFormat="1" spans="2:22">
      <c r="B39" s="2941">
        <f t="shared" si="0"/>
        <v>29</v>
      </c>
      <c r="C39" s="2942"/>
      <c r="D39" s="2951"/>
      <c r="E39" s="2944">
        <f>+'[92]2017'!D36</f>
        <v>0</v>
      </c>
      <c r="F39" s="2953"/>
      <c r="G39" s="2952"/>
      <c r="H39" s="2950"/>
      <c r="I39" s="2979"/>
      <c r="J39" s="2948"/>
      <c r="K39" s="2945"/>
      <c r="L39" s="2981">
        <v>0</v>
      </c>
      <c r="M39" s="2984" t="s">
        <v>11525</v>
      </c>
      <c r="N39" s="1118"/>
      <c r="O39" s="1118"/>
      <c r="P39" s="1118"/>
      <c r="Q39" s="1118"/>
      <c r="S39" s="1118"/>
      <c r="T39" s="1118"/>
      <c r="U39" s="1118"/>
      <c r="V39" s="1118"/>
    </row>
    <row r="40" s="2936" customFormat="1" spans="2:22">
      <c r="B40" s="2951"/>
      <c r="C40" s="2954"/>
      <c r="D40" s="2951"/>
      <c r="E40" s="2952"/>
      <c r="F40" s="2953"/>
      <c r="G40" s="2952"/>
      <c r="H40" s="2950"/>
      <c r="I40" s="2979"/>
      <c r="J40" s="2948"/>
      <c r="K40" s="2945"/>
      <c r="L40" s="2985"/>
      <c r="M40" s="2986"/>
      <c r="N40" s="1118"/>
      <c r="O40" s="1118"/>
      <c r="P40" s="1118"/>
      <c r="Q40" s="1118"/>
      <c r="S40" s="1118"/>
      <c r="T40" s="1118"/>
      <c r="U40" s="1118"/>
      <c r="V40" s="1118"/>
    </row>
    <row r="41" s="2936" customFormat="1" spans="2:22">
      <c r="B41" s="2951"/>
      <c r="C41" s="2954"/>
      <c r="D41" s="2951"/>
      <c r="E41" s="2955" t="s">
        <v>11678</v>
      </c>
      <c r="F41" s="2956"/>
      <c r="G41" s="2957"/>
      <c r="H41" s="2958"/>
      <c r="I41" s="2987"/>
      <c r="J41" s="2988"/>
      <c r="K41" s="2989"/>
      <c r="L41" s="2990">
        <f>SUM(L11:L40)</f>
        <v>17537764331</v>
      </c>
      <c r="M41" s="1118"/>
      <c r="N41" s="1118"/>
      <c r="O41" s="1118"/>
      <c r="P41" s="1118"/>
      <c r="Q41" s="1118"/>
      <c r="S41" s="1118"/>
      <c r="T41" s="1118"/>
      <c r="U41" s="1118"/>
      <c r="V41" s="1118"/>
    </row>
    <row r="42" s="2936" customFormat="1" spans="2:22">
      <c r="B42" s="2951"/>
      <c r="C42" s="2954"/>
      <c r="D42" s="2951"/>
      <c r="E42" s="2952" t="s">
        <v>11679</v>
      </c>
      <c r="F42" s="2953"/>
      <c r="G42" s="2952"/>
      <c r="H42" s="2950"/>
      <c r="I42" s="2979"/>
      <c r="J42" s="2948"/>
      <c r="K42" s="2945"/>
      <c r="L42" s="2985">
        <f>+G!U13</f>
        <v>3761781296.8474</v>
      </c>
      <c r="M42" s="1118"/>
      <c r="N42" s="1118"/>
      <c r="O42" s="1118"/>
      <c r="P42" s="1118"/>
      <c r="Q42" s="1118"/>
      <c r="S42" s="1118"/>
      <c r="T42" s="1118"/>
      <c r="U42" s="1118"/>
      <c r="V42" s="1118"/>
    </row>
    <row r="43" s="2936" customFormat="1" spans="2:22">
      <c r="B43" s="2951"/>
      <c r="C43" s="2954"/>
      <c r="D43" s="2951"/>
      <c r="E43" s="2952" t="s">
        <v>11680</v>
      </c>
      <c r="F43" s="2953"/>
      <c r="G43" s="2952"/>
      <c r="H43" s="2950"/>
      <c r="I43" s="2979"/>
      <c r="J43" s="2948"/>
      <c r="K43" s="2945"/>
      <c r="L43" s="2985">
        <f>+G!T13</f>
        <v>25418181818.1818</v>
      </c>
      <c r="M43" s="1118"/>
      <c r="N43" s="1118"/>
      <c r="O43" s="1118"/>
      <c r="P43" s="1118"/>
      <c r="Q43" s="1118"/>
      <c r="S43" s="1118"/>
      <c r="T43" s="1118"/>
      <c r="U43" s="1118"/>
      <c r="V43" s="1118"/>
    </row>
    <row r="44" s="2936" customFormat="1" spans="2:22">
      <c r="B44" s="2951"/>
      <c r="C44" s="2954"/>
      <c r="D44" s="2951"/>
      <c r="E44" s="2952" t="s">
        <v>146</v>
      </c>
      <c r="F44" s="2953"/>
      <c r="G44" s="2952"/>
      <c r="H44" s="2950"/>
      <c r="I44" s="2979"/>
      <c r="J44" s="2948"/>
      <c r="K44" s="2945"/>
      <c r="L44" s="2985">
        <f>+L41-L43</f>
        <v>-7880417487.1818</v>
      </c>
      <c r="M44" s="1118"/>
      <c r="N44" s="1118"/>
      <c r="O44" s="1118"/>
      <c r="P44" s="1118"/>
      <c r="Q44" s="1118"/>
      <c r="S44" s="1118"/>
      <c r="T44" s="1118"/>
      <c r="U44" s="1118"/>
      <c r="V44" s="1118"/>
    </row>
    <row r="45" s="2936" customFormat="1" spans="2:22">
      <c r="B45" s="2375"/>
      <c r="C45" s="2959"/>
      <c r="D45" s="2375"/>
      <c r="E45" s="2375"/>
      <c r="F45" s="2939"/>
      <c r="G45" s="2375"/>
      <c r="H45" s="2939"/>
      <c r="I45" s="2961"/>
      <c r="J45" s="1118"/>
      <c r="K45" s="1118"/>
      <c r="L45" s="1187"/>
      <c r="M45" s="1118"/>
      <c r="N45" s="1118"/>
      <c r="O45" s="1118"/>
      <c r="P45" s="1118"/>
      <c r="Q45" s="1118"/>
      <c r="S45" s="1118"/>
      <c r="T45" s="1118"/>
      <c r="U45" s="1118"/>
      <c r="V45" s="1118"/>
    </row>
    <row r="46" s="2936" customFormat="1" spans="2:22">
      <c r="B46" s="2375"/>
      <c r="C46" s="2959"/>
      <c r="D46" s="2375"/>
      <c r="F46" s="2939"/>
      <c r="G46" s="2375"/>
      <c r="H46" s="2939"/>
      <c r="I46" s="2961"/>
      <c r="J46" s="1118"/>
      <c r="K46" s="1118"/>
      <c r="M46" s="1118"/>
      <c r="N46" s="1118"/>
      <c r="O46" s="1118"/>
      <c r="P46" s="1118"/>
      <c r="Q46" s="1118"/>
      <c r="S46" s="1118"/>
      <c r="T46" s="1118"/>
      <c r="U46" s="1118"/>
      <c r="V46" s="1118"/>
    </row>
    <row r="47" s="2936" customFormat="1" spans="2:22">
      <c r="B47" s="2375"/>
      <c r="C47" s="2959"/>
      <c r="D47" s="2375"/>
      <c r="E47" s="2375"/>
      <c r="F47" s="2939"/>
      <c r="G47" s="2375"/>
      <c r="H47" s="2939"/>
      <c r="I47" s="2961"/>
      <c r="J47" s="1118"/>
      <c r="K47" s="1118"/>
      <c r="M47" s="1118"/>
      <c r="N47" s="1118"/>
      <c r="O47" s="1118"/>
      <c r="P47" s="1118"/>
      <c r="Q47" s="1118"/>
      <c r="S47" s="1118"/>
      <c r="T47" s="1118"/>
      <c r="U47" s="1118"/>
      <c r="V47" s="1118"/>
    </row>
    <row r="48" s="2936" customFormat="1" spans="2:22">
      <c r="B48" s="306"/>
      <c r="C48" s="2939"/>
      <c r="D48" s="2939"/>
      <c r="E48" s="2939"/>
      <c r="F48" s="2939"/>
      <c r="G48" s="2939"/>
      <c r="H48" s="2939"/>
      <c r="I48" s="2961"/>
      <c r="J48" s="1118"/>
      <c r="K48" s="1118"/>
      <c r="M48" s="1118"/>
      <c r="N48" s="1118"/>
      <c r="O48" s="1118"/>
      <c r="P48" s="1118"/>
      <c r="Q48" s="1118"/>
      <c r="S48" s="1118"/>
      <c r="T48" s="1118"/>
      <c r="U48" s="1118"/>
      <c r="V48" s="1118"/>
    </row>
    <row r="49" s="2936" customFormat="1" spans="2:22">
      <c r="B49" s="2960" t="s">
        <v>974</v>
      </c>
      <c r="C49" s="2961" t="s">
        <v>11477</v>
      </c>
      <c r="F49" s="2961"/>
      <c r="G49" s="2961"/>
      <c r="H49" s="2961"/>
      <c r="I49" s="1118"/>
      <c r="J49" s="1118"/>
      <c r="K49" s="1118"/>
      <c r="L49" s="1187"/>
      <c r="M49" s="1118"/>
      <c r="N49" s="1118"/>
      <c r="O49" s="1118"/>
      <c r="P49" s="1118"/>
      <c r="Q49" s="1118"/>
      <c r="S49" s="1118"/>
      <c r="T49" s="1118"/>
      <c r="U49" s="1118"/>
      <c r="V49" s="1118"/>
    </row>
    <row r="50" s="2936" customFormat="1" spans="2:22">
      <c r="B50" s="2961"/>
      <c r="C50" s="2961"/>
      <c r="F50" s="2961"/>
      <c r="G50" s="2961"/>
      <c r="H50" s="2961"/>
      <c r="I50" s="1118"/>
      <c r="J50" s="1118"/>
      <c r="K50" s="1118"/>
      <c r="L50" s="1187"/>
      <c r="M50" s="1118"/>
      <c r="N50" s="1118"/>
      <c r="O50" s="1118"/>
      <c r="P50" s="1118"/>
      <c r="Q50" s="1118"/>
      <c r="S50" s="1118"/>
      <c r="T50" s="1118"/>
      <c r="U50" s="1118"/>
      <c r="V50" s="1118"/>
    </row>
    <row r="51" s="2936" customFormat="1" spans="2:22">
      <c r="B51" s="2962" t="s">
        <v>11527</v>
      </c>
      <c r="C51" s="2963" t="s">
        <v>1031</v>
      </c>
      <c r="D51" s="2964" t="s">
        <v>11528</v>
      </c>
      <c r="E51" s="2964" t="s">
        <v>11529</v>
      </c>
      <c r="F51" s="2961"/>
      <c r="G51" s="2961"/>
      <c r="H51" s="2961"/>
      <c r="I51" s="2961"/>
      <c r="J51" s="2991"/>
      <c r="K51" s="2991"/>
      <c r="L51" s="2969"/>
      <c r="M51" s="2961"/>
      <c r="N51" s="2961"/>
      <c r="O51" s="2961"/>
      <c r="P51" s="2961"/>
      <c r="Q51" s="2961"/>
      <c r="R51" s="2961"/>
      <c r="S51" s="1118"/>
      <c r="T51" s="1118"/>
      <c r="U51" s="1118"/>
      <c r="V51" s="1118"/>
    </row>
    <row r="52" s="2936" customFormat="1" spans="2:22">
      <c r="B52" s="2965" t="s">
        <v>732</v>
      </c>
      <c r="C52" s="2966">
        <f>+C11</f>
        <v>42853</v>
      </c>
      <c r="D52" s="1187">
        <f>+L11</f>
        <v>985000000</v>
      </c>
      <c r="E52" s="2961" t="s">
        <v>11530</v>
      </c>
      <c r="F52" s="2961"/>
      <c r="G52" s="2961"/>
      <c r="H52" s="2961"/>
      <c r="I52" s="2961"/>
      <c r="J52" s="2991"/>
      <c r="K52" s="2991"/>
      <c r="L52" s="2969"/>
      <c r="M52" s="2961"/>
      <c r="N52" s="2961"/>
      <c r="O52" s="2961"/>
      <c r="P52" s="2961"/>
      <c r="Q52" s="2961"/>
      <c r="R52" s="2961"/>
      <c r="S52" s="1118"/>
      <c r="T52" s="1118"/>
      <c r="U52" s="1118"/>
      <c r="V52" s="1118"/>
    </row>
    <row r="53" s="2936" customFormat="1" spans="2:22">
      <c r="B53" s="2965" t="s">
        <v>735</v>
      </c>
      <c r="C53" s="2966">
        <f>+C13</f>
        <v>42930</v>
      </c>
      <c r="D53" s="1187">
        <f>+L13</f>
        <v>300000000</v>
      </c>
      <c r="E53" s="2961" t="s">
        <v>11530</v>
      </c>
      <c r="F53" s="2961"/>
      <c r="G53" s="2961"/>
      <c r="H53" s="2961"/>
      <c r="I53" s="2961"/>
      <c r="J53" s="2991"/>
      <c r="K53" s="2991"/>
      <c r="L53" s="2969"/>
      <c r="M53" s="2961"/>
      <c r="N53" s="2961"/>
      <c r="O53" s="2961"/>
      <c r="P53" s="2961"/>
      <c r="Q53" s="2961"/>
      <c r="R53" s="2961"/>
      <c r="S53" s="1118"/>
      <c r="T53" s="1118"/>
      <c r="U53" s="1118"/>
      <c r="V53" s="1118"/>
    </row>
    <row r="54" s="2936" customFormat="1" spans="2:22">
      <c r="B54" s="2965" t="s">
        <v>737</v>
      </c>
      <c r="C54" s="2967">
        <f>+C19</f>
        <v>43045</v>
      </c>
      <c r="D54" s="1187">
        <f>+L19</f>
        <v>250000000</v>
      </c>
      <c r="E54" s="2961" t="s">
        <v>11530</v>
      </c>
      <c r="F54" s="2961"/>
      <c r="G54" s="2961"/>
      <c r="H54" s="2961"/>
      <c r="I54" s="2961"/>
      <c r="J54" s="2991"/>
      <c r="K54" s="2991"/>
      <c r="L54" s="2969"/>
      <c r="M54" s="2961"/>
      <c r="N54" s="2961"/>
      <c r="O54" s="2961"/>
      <c r="P54" s="2961"/>
      <c r="Q54" s="2961"/>
      <c r="R54" s="2961"/>
      <c r="S54" s="1118"/>
      <c r="T54" s="1118"/>
      <c r="U54" s="1118"/>
      <c r="V54" s="1118"/>
    </row>
    <row r="55" s="2936" customFormat="1" ht="5.85" customHeight="1" spans="2:22">
      <c r="B55" s="2961"/>
      <c r="C55" s="2961"/>
      <c r="D55" s="2968"/>
      <c r="E55" s="2961"/>
      <c r="F55" s="2961"/>
      <c r="G55" s="2961"/>
      <c r="H55" s="2961"/>
      <c r="I55" s="2961"/>
      <c r="J55" s="2991"/>
      <c r="K55" s="2991"/>
      <c r="L55" s="2969"/>
      <c r="M55" s="2961"/>
      <c r="N55" s="2961"/>
      <c r="O55" s="2961"/>
      <c r="P55" s="2961"/>
      <c r="Q55" s="2961"/>
      <c r="R55" s="2961"/>
      <c r="S55" s="1118"/>
      <c r="T55" s="1118"/>
      <c r="U55" s="1118"/>
      <c r="V55" s="1118"/>
    </row>
    <row r="56" spans="2:18">
      <c r="B56" s="2961"/>
      <c r="C56" s="2961" t="s">
        <v>11531</v>
      </c>
      <c r="D56" s="2969">
        <f>SUM(D52:D55)</f>
        <v>1535000000</v>
      </c>
      <c r="E56" s="2961"/>
      <c r="F56" s="2961"/>
      <c r="G56" s="2961"/>
      <c r="H56" s="2961"/>
      <c r="I56" s="2961"/>
      <c r="J56" s="2961"/>
      <c r="K56" s="2961"/>
      <c r="L56" s="2969"/>
      <c r="M56" s="2961"/>
      <c r="N56" s="2961"/>
      <c r="O56" s="2961"/>
      <c r="P56" s="2961"/>
      <c r="Q56" s="2961"/>
      <c r="R56" s="2961"/>
    </row>
    <row r="57" spans="2:18">
      <c r="B57" s="2961"/>
      <c r="C57" s="2961" t="s">
        <v>11532</v>
      </c>
      <c r="D57" s="2970">
        <f>+L41</f>
        <v>17537764331</v>
      </c>
      <c r="E57" s="2961"/>
      <c r="F57" s="2961"/>
      <c r="G57" s="2961"/>
      <c r="H57" s="2961"/>
      <c r="I57" s="2961"/>
      <c r="J57" s="2961"/>
      <c r="K57" s="2961"/>
      <c r="L57" s="2969"/>
      <c r="M57" s="2961"/>
      <c r="N57" s="2961"/>
      <c r="O57" s="2961"/>
      <c r="P57" s="2961"/>
      <c r="Q57" s="2961"/>
      <c r="R57" s="2961"/>
    </row>
    <row r="58" spans="3:4">
      <c r="C58" s="1118" t="s">
        <v>11533</v>
      </c>
      <c r="D58" s="2971">
        <f>+D56/D57</f>
        <v>0.0875254092271449</v>
      </c>
    </row>
    <row r="60" spans="3:14">
      <c r="C60" s="2972" t="s">
        <v>732</v>
      </c>
      <c r="G60" s="2972" t="s">
        <v>735</v>
      </c>
      <c r="N60" s="2972" t="s">
        <v>737</v>
      </c>
    </row>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sheetData>
  <mergeCells count="2">
    <mergeCell ref="E10:F10"/>
    <mergeCell ref="G10:K10"/>
  </mergeCells>
  <pageMargins left="0.31496062992126" right="0.31496062992126" top="0.354330708661417" bottom="0.354330708661417" header="0.31496062992126" footer="0.31496062992126"/>
  <pageSetup paperSize="9" scale="85" orientation="landscape"/>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8">
    <tabColor theme="4" tint="0.399975585192419"/>
    <pageSetUpPr fitToPage="1"/>
  </sheetPr>
  <dimension ref="B1:T185"/>
  <sheetViews>
    <sheetView showGridLines="0" workbookViewId="0">
      <pane xSplit="2" ySplit="11" topLeftCell="C21" activePane="bottomRight" state="frozen"/>
      <selection/>
      <selection pane="topRight"/>
      <selection pane="bottomLeft"/>
      <selection pane="bottomRight" activeCell="E39" sqref="E39"/>
    </sheetView>
  </sheetViews>
  <sheetFormatPr defaultColWidth="9.13541666666667" defaultRowHeight="13.2"/>
  <cols>
    <col min="1" max="1" width="3.14583333333333" style="186" customWidth="1"/>
    <col min="2" max="2" width="43.90625" style="186" customWidth="1"/>
    <col min="3" max="3" width="4.79166666666667" style="186" customWidth="1"/>
    <col min="4" max="4" width="16.3333333333333" style="186" hidden="1" customWidth="1"/>
    <col min="5" max="5" width="16.3333333333333" style="186" customWidth="1" outlineLevel="1"/>
    <col min="6" max="6" width="7.9375" style="186" customWidth="1" outlineLevel="1"/>
    <col min="7" max="8" width="16.3333333333333" style="186" customWidth="1" outlineLevel="1"/>
    <col min="9" max="9" width="7.1875" style="186" customWidth="1" outlineLevel="1"/>
    <col min="10" max="10" width="16.3333333333333" style="186" customWidth="1"/>
    <col min="11" max="11" width="17.6770833333333" style="186" customWidth="1" outlineLevel="1"/>
    <col min="12" max="12" width="14.8333333333333" style="186" customWidth="1" outlineLevel="1"/>
    <col min="13" max="14" width="17.2291666666667" style="186" customWidth="1" outlineLevel="1"/>
    <col min="15" max="15" width="5.54166666666667" style="186" customWidth="1" outlineLevel="1"/>
    <col min="16" max="16" width="16.3333333333333" style="186" customWidth="1"/>
    <col min="17" max="17" width="16.78125" style="186" customWidth="1"/>
    <col min="18" max="18" width="17.53125" style="186" customWidth="1"/>
    <col min="19" max="19" width="16.3333333333333" style="186" customWidth="1"/>
    <col min="20" max="20" width="7.1875" style="186" customWidth="1"/>
    <col min="21" max="16384" width="9.13541666666667" style="186"/>
  </cols>
  <sheetData>
    <row r="1" spans="15:15">
      <c r="O1" s="146"/>
    </row>
    <row r="2" ht="21" spans="2:20">
      <c r="B2" s="1499" t="str">
        <f>UV!B2</f>
        <v>KAP LIASTA NIRWAN SYAFRUDIN &amp; REKAN</v>
      </c>
      <c r="C2" s="731"/>
      <c r="D2" s="731"/>
      <c r="E2" s="731"/>
      <c r="F2" s="731"/>
      <c r="G2" s="731"/>
      <c r="H2" s="731"/>
      <c r="I2" s="731"/>
      <c r="J2" s="731"/>
      <c r="K2" s="731"/>
      <c r="L2" s="731"/>
      <c r="M2" s="731"/>
      <c r="N2" s="731"/>
      <c r="O2" s="1757"/>
      <c r="P2" s="731"/>
      <c r="Q2" s="766" t="s">
        <v>481</v>
      </c>
      <c r="R2" s="765" t="s">
        <v>482</v>
      </c>
      <c r="S2" s="766" t="s">
        <v>483</v>
      </c>
      <c r="T2" s="766"/>
    </row>
    <row r="3" ht="15.6" spans="2:20">
      <c r="B3" s="1500"/>
      <c r="C3" s="1501"/>
      <c r="D3" s="1502"/>
      <c r="E3" s="1954"/>
      <c r="F3" s="1954"/>
      <c r="G3" s="1954"/>
      <c r="H3" s="1954"/>
      <c r="I3" s="1954"/>
      <c r="J3" s="1954"/>
      <c r="K3" s="1504"/>
      <c r="L3" s="1504"/>
      <c r="M3" s="1505"/>
      <c r="N3" s="1505"/>
      <c r="O3" s="1505"/>
      <c r="P3" s="1759"/>
      <c r="Q3" s="1470"/>
      <c r="R3" s="767">
        <v>45175</v>
      </c>
      <c r="S3" s="768" t="s">
        <v>747</v>
      </c>
      <c r="T3" s="768"/>
    </row>
    <row r="4" spans="2:20">
      <c r="B4" s="1546" t="str">
        <f>+'F1'!C4</f>
        <v>PT INTAN GIRI ABADI</v>
      </c>
      <c r="C4" s="1547"/>
      <c r="D4" s="1548"/>
      <c r="E4" s="1548"/>
      <c r="F4" s="1548"/>
      <c r="G4" s="1548"/>
      <c r="H4" s="1548"/>
      <c r="I4" s="1548"/>
      <c r="J4" s="1548"/>
      <c r="K4" s="1548"/>
      <c r="L4" s="1548"/>
      <c r="M4" s="1548"/>
      <c r="N4" s="1548"/>
      <c r="O4" s="1758"/>
      <c r="P4" s="742"/>
      <c r="Q4" s="1471" t="s">
        <v>487</v>
      </c>
      <c r="R4" s="769" t="s">
        <v>482</v>
      </c>
      <c r="S4" s="770" t="s">
        <v>488</v>
      </c>
      <c r="T4" s="770"/>
    </row>
    <row r="5" spans="2:20">
      <c r="B5" s="775"/>
      <c r="C5" s="753"/>
      <c r="D5" s="753"/>
      <c r="E5" s="753"/>
      <c r="F5" s="753"/>
      <c r="G5" s="753"/>
      <c r="H5" s="753"/>
      <c r="I5" s="753"/>
      <c r="J5" s="753"/>
      <c r="K5" s="753"/>
      <c r="L5" s="753"/>
      <c r="M5" s="753"/>
      <c r="N5" s="753"/>
      <c r="O5" s="1759"/>
      <c r="P5" s="1759"/>
      <c r="Q5" s="2527"/>
      <c r="R5" s="771"/>
      <c r="S5" s="772"/>
      <c r="T5" s="772"/>
    </row>
    <row r="6" spans="2:20">
      <c r="B6" s="773"/>
      <c r="C6" s="742"/>
      <c r="D6" s="742"/>
      <c r="E6" s="742"/>
      <c r="F6" s="742"/>
      <c r="G6" s="742"/>
      <c r="H6" s="742"/>
      <c r="I6" s="742"/>
      <c r="J6" s="742"/>
      <c r="K6" s="742"/>
      <c r="L6" s="742"/>
      <c r="M6" s="742"/>
      <c r="N6" s="742"/>
      <c r="O6" s="1760"/>
      <c r="P6" s="742"/>
      <c r="Q6" s="1471"/>
      <c r="R6" s="773"/>
      <c r="S6" s="774" t="s">
        <v>491</v>
      </c>
      <c r="T6" s="774"/>
    </row>
    <row r="7" spans="2:20">
      <c r="B7" s="1549" t="str">
        <f>+UPPER('F1'!C34)</f>
        <v>INVESTASI </v>
      </c>
      <c r="C7" s="1550"/>
      <c r="D7" s="753"/>
      <c r="E7" s="753"/>
      <c r="F7" s="753"/>
      <c r="G7" s="753"/>
      <c r="H7" s="753"/>
      <c r="I7" s="753"/>
      <c r="J7" s="753"/>
      <c r="K7" s="753"/>
      <c r="L7" s="753"/>
      <c r="M7" s="753"/>
      <c r="N7" s="753"/>
      <c r="O7" s="753"/>
      <c r="P7" s="753"/>
      <c r="Q7" s="1475"/>
      <c r="R7" s="775"/>
      <c r="S7" s="776">
        <f>+'F1'!X7</f>
        <v>44926</v>
      </c>
      <c r="T7" s="776"/>
    </row>
    <row r="8" ht="13.95" spans="13:15">
      <c r="M8" s="1388"/>
      <c r="N8" s="1388"/>
      <c r="O8" s="1347"/>
    </row>
    <row r="9" spans="2:20">
      <c r="B9" s="1330"/>
      <c r="C9" s="1330"/>
      <c r="D9" s="1330" t="s">
        <v>2248</v>
      </c>
      <c r="E9" s="1329" t="s">
        <v>2248</v>
      </c>
      <c r="F9" s="1330"/>
      <c r="G9" s="2281" t="s">
        <v>1228</v>
      </c>
      <c r="H9" s="2281"/>
      <c r="I9" s="1330"/>
      <c r="J9" s="1327" t="s">
        <v>2248</v>
      </c>
      <c r="K9" s="1329" t="s">
        <v>2248</v>
      </c>
      <c r="L9" s="1330"/>
      <c r="M9" s="2281" t="s">
        <v>1228</v>
      </c>
      <c r="N9" s="2281"/>
      <c r="O9" s="1330"/>
      <c r="P9" s="1327" t="s">
        <v>2248</v>
      </c>
      <c r="Q9" s="1327" t="s">
        <v>2248</v>
      </c>
      <c r="R9" s="1327" t="s">
        <v>2248</v>
      </c>
      <c r="S9" s="1403">
        <f>J11</f>
        <v>44926</v>
      </c>
      <c r="T9" s="1404"/>
    </row>
    <row r="10" spans="2:20">
      <c r="B10" s="2282" t="s">
        <v>492</v>
      </c>
      <c r="C10" s="1336" t="s">
        <v>654</v>
      </c>
      <c r="D10" s="1336" t="e">
        <f>'[89]F1'!F6</f>
        <v>#REF!</v>
      </c>
      <c r="E10" s="1335" t="s">
        <v>2249</v>
      </c>
      <c r="F10" s="1336" t="s">
        <v>1230</v>
      </c>
      <c r="G10" s="2283"/>
      <c r="H10" s="2283"/>
      <c r="I10" s="1336" t="s">
        <v>1230</v>
      </c>
      <c r="J10" s="1389" t="s">
        <v>2250</v>
      </c>
      <c r="K10" s="1335" t="s">
        <v>2249</v>
      </c>
      <c r="L10" s="1336" t="s">
        <v>1230</v>
      </c>
      <c r="M10" s="2283"/>
      <c r="N10" s="2283"/>
      <c r="O10" s="1336" t="s">
        <v>1230</v>
      </c>
      <c r="P10" s="1389" t="s">
        <v>2250</v>
      </c>
      <c r="Q10" s="1389" t="s">
        <v>2250</v>
      </c>
      <c r="R10" s="1389" t="s">
        <v>2250</v>
      </c>
      <c r="S10" s="1405" t="s">
        <v>2251</v>
      </c>
      <c r="T10" s="1406"/>
    </row>
    <row r="11" ht="13.95" spans="2:20">
      <c r="B11" s="1342"/>
      <c r="C11" s="5111" t="s">
        <v>2252</v>
      </c>
      <c r="D11" s="1341" t="e">
        <f>'[89]F1'!F7</f>
        <v>#REF!</v>
      </c>
      <c r="E11" s="1341">
        <v>44926</v>
      </c>
      <c r="F11" s="1342" t="s">
        <v>2253</v>
      </c>
      <c r="G11" s="1342" t="s">
        <v>1231</v>
      </c>
      <c r="H11" s="1342" t="s">
        <v>1232</v>
      </c>
      <c r="I11" s="1342" t="s">
        <v>2253</v>
      </c>
      <c r="J11" s="1390">
        <f>E11</f>
        <v>44926</v>
      </c>
      <c r="K11" s="1341">
        <f>+J11-365</f>
        <v>44561</v>
      </c>
      <c r="L11" s="1342" t="s">
        <v>2253</v>
      </c>
      <c r="M11" s="1342" t="s">
        <v>1231</v>
      </c>
      <c r="N11" s="1342" t="s">
        <v>1232</v>
      </c>
      <c r="O11" s="1342" t="s">
        <v>2253</v>
      </c>
      <c r="P11" s="1390">
        <f>K11</f>
        <v>44561</v>
      </c>
      <c r="Q11" s="1390">
        <f>+P11-365</f>
        <v>44196</v>
      </c>
      <c r="R11" s="1390">
        <f>+Q11-366</f>
        <v>43830</v>
      </c>
      <c r="S11" s="1342" t="s">
        <v>151</v>
      </c>
      <c r="T11" s="5112" t="s">
        <v>2254</v>
      </c>
    </row>
    <row r="12" spans="2:20">
      <c r="B12" s="296"/>
      <c r="C12" s="135"/>
      <c r="D12" s="296"/>
      <c r="E12" s="296"/>
      <c r="F12" s="296"/>
      <c r="G12" s="296"/>
      <c r="H12" s="296"/>
      <c r="I12" s="296"/>
      <c r="J12" s="296"/>
      <c r="K12" s="174"/>
      <c r="L12" s="135"/>
      <c r="M12" s="296"/>
      <c r="N12" s="296"/>
      <c r="O12" s="135"/>
      <c r="P12" s="1391"/>
      <c r="R12" s="296"/>
      <c r="S12" s="296"/>
      <c r="T12" s="1409"/>
    </row>
    <row r="13" spans="2:20">
      <c r="B13" s="296" t="s">
        <v>11681</v>
      </c>
      <c r="C13" s="2905" t="s">
        <v>11682</v>
      </c>
      <c r="D13" s="296"/>
      <c r="E13" s="174">
        <f>+'[75]Investasi Proj'!F4</f>
        <v>0</v>
      </c>
      <c r="F13" s="296"/>
      <c r="G13" s="161">
        <f>SUMIF('F4'!$E$12:$E$158,B13,'F4'!$G$12:$G$158)</f>
        <v>0</v>
      </c>
      <c r="H13" s="161">
        <f>SUMIF('F4'!$E$12:$E$158,B13,'F4'!$H$12:$H$158)</f>
        <v>0</v>
      </c>
      <c r="I13" s="296"/>
      <c r="J13" s="174">
        <f>+E13+G13-H13</f>
        <v>0</v>
      </c>
      <c r="K13" s="174">
        <f>+'[75]Investasi Proj'!G4</f>
        <v>0</v>
      </c>
      <c r="L13" s="135"/>
      <c r="M13" s="161">
        <f>SUMIF('F4'!$E$12:$E$158,B13,'F4'!$I$12:$I$158)</f>
        <v>0</v>
      </c>
      <c r="N13" s="161">
        <f>SUMIF('F4'!$E$12:$E$158,B13,'F4'!$J$12:$J$158)</f>
        <v>0</v>
      </c>
      <c r="O13" s="2304"/>
      <c r="P13" s="174">
        <f>+K13+M13-N13</f>
        <v>0</v>
      </c>
      <c r="Q13" s="231">
        <f>+'[75]Investasi Proj'!H4</f>
        <v>0</v>
      </c>
      <c r="R13" s="231">
        <f>+'[75]Investasi Proj'!I4</f>
        <v>0</v>
      </c>
      <c r="S13" s="174">
        <f>E13-K13</f>
        <v>0</v>
      </c>
      <c r="T13" s="1409">
        <f>IF(E13=0,IF(S13=0,0,S13/S13),S13/K13)</f>
        <v>0</v>
      </c>
    </row>
    <row r="14" spans="2:20">
      <c r="B14" s="296" t="s">
        <v>11683</v>
      </c>
      <c r="C14" s="2905" t="s">
        <v>11684</v>
      </c>
      <c r="D14" s="296"/>
      <c r="E14" s="174">
        <v>6548500015</v>
      </c>
      <c r="F14" s="296"/>
      <c r="G14" s="161">
        <f>SUMIF('F4'!$E$12:$E$158,B14,'F4'!$G$12:$G$158)</f>
        <v>0</v>
      </c>
      <c r="H14" s="161">
        <f>SUMIF('F4'!$E$12:$E$158,B14,'F4'!$H$12:$H$158)</f>
        <v>4541795200</v>
      </c>
      <c r="I14" s="296"/>
      <c r="J14" s="174">
        <f t="shared" ref="J14:J16" si="0">+E14+G14-H14</f>
        <v>2006704815</v>
      </c>
      <c r="K14" s="174">
        <v>10566441215</v>
      </c>
      <c r="L14" s="135"/>
      <c r="M14" s="161">
        <f>SUMIF('F4'!$E$12:$E$158,B14,'F4'!$I$12:$I$158)</f>
        <v>0</v>
      </c>
      <c r="N14" s="161">
        <f>SUMIF('F4'!$E$12:$E$158,B14,'F4'!$J$12:$J$158)</f>
        <v>0</v>
      </c>
      <c r="O14" s="2304"/>
      <c r="P14" s="174">
        <f t="shared" ref="P14:P16" si="1">+K14+M14-N14</f>
        <v>10566441215</v>
      </c>
      <c r="Q14" s="231">
        <v>10566441215</v>
      </c>
      <c r="R14" s="231">
        <v>9920275415</v>
      </c>
      <c r="S14" s="174">
        <f t="shared" ref="S14:S16" si="2">E14-K14</f>
        <v>-4017941200</v>
      </c>
      <c r="T14" s="1409">
        <f t="shared" ref="T14:T16" si="3">IF(E14=0,IF(S14=0,0,S14/S14),S14/K14)</f>
        <v>-0.380254914426266</v>
      </c>
    </row>
    <row r="15" spans="2:20">
      <c r="B15" s="296" t="s">
        <v>11685</v>
      </c>
      <c r="C15" s="135"/>
      <c r="D15" s="296"/>
      <c r="E15" s="174">
        <v>415008000</v>
      </c>
      <c r="F15" s="296"/>
      <c r="G15" s="161">
        <f>SUMIF('F4'!$E$12:$E$158,B15,'F4'!$G$12:$G$158)</f>
        <v>0</v>
      </c>
      <c r="H15" s="161">
        <f>SUMIF('F4'!$E$12:$E$158,B15,'F4'!$H$12:$H$158)</f>
        <v>0</v>
      </c>
      <c r="I15" s="296"/>
      <c r="J15" s="174">
        <f t="shared" si="0"/>
        <v>415008000</v>
      </c>
      <c r="K15" s="174">
        <v>415008000</v>
      </c>
      <c r="L15" s="135"/>
      <c r="M15" s="161">
        <f>SUMIF('F4'!$E$12:$E$158,B15,'F4'!$I$12:$I$158)</f>
        <v>0</v>
      </c>
      <c r="N15" s="161">
        <f>SUMIF('F4'!$E$12:$E$158,B15,'F4'!$J$12:$J$158)</f>
        <v>0</v>
      </c>
      <c r="O15" s="2304"/>
      <c r="P15" s="174">
        <f t="shared" si="1"/>
        <v>415008000</v>
      </c>
      <c r="Q15" s="231">
        <v>415008000</v>
      </c>
      <c r="R15" s="174">
        <v>246878740</v>
      </c>
      <c r="S15" s="174">
        <f t="shared" si="2"/>
        <v>0</v>
      </c>
      <c r="T15" s="1409">
        <f t="shared" si="3"/>
        <v>0</v>
      </c>
    </row>
    <row r="16" spans="2:20">
      <c r="B16" s="296" t="s">
        <v>1836</v>
      </c>
      <c r="C16" s="135"/>
      <c r="D16" s="296"/>
      <c r="E16" s="174"/>
      <c r="F16" s="296"/>
      <c r="G16" s="161">
        <f>SUMIF('F4'!$E$12:$E$158,B16,'F4'!$G$12:$G$158)</f>
        <v>0</v>
      </c>
      <c r="H16" s="161">
        <f>SUMIF('F4'!$E$12:$E$158,B16,'F4'!$H$12:$H$158)</f>
        <v>0</v>
      </c>
      <c r="I16" s="296"/>
      <c r="J16" s="174">
        <f t="shared" si="0"/>
        <v>0</v>
      </c>
      <c r="K16" s="174">
        <v>0</v>
      </c>
      <c r="L16" s="135"/>
      <c r="M16" s="161">
        <f>SUMIF('F4'!$E$12:$E$158,B16,'F4'!$I$12:$I$158)</f>
        <v>0</v>
      </c>
      <c r="N16" s="161">
        <f>SUMIF('F4'!$E$12:$E$158,B16,'F4'!$J$12:$J$158)</f>
        <v>0</v>
      </c>
      <c r="O16" s="2304"/>
      <c r="P16" s="174">
        <f t="shared" si="1"/>
        <v>0</v>
      </c>
      <c r="Q16" s="229">
        <v>0</v>
      </c>
      <c r="R16" s="174">
        <v>0</v>
      </c>
      <c r="S16" s="174">
        <f t="shared" si="2"/>
        <v>0</v>
      </c>
      <c r="T16" s="1409">
        <f t="shared" si="3"/>
        <v>0</v>
      </c>
    </row>
    <row r="17" spans="2:20">
      <c r="B17" s="296"/>
      <c r="C17" s="135"/>
      <c r="D17" s="296"/>
      <c r="E17" s="296"/>
      <c r="F17" s="296"/>
      <c r="G17" s="296"/>
      <c r="H17" s="296"/>
      <c r="I17" s="296"/>
      <c r="J17" s="296"/>
      <c r="K17" s="174"/>
      <c r="L17" s="135"/>
      <c r="M17" s="296"/>
      <c r="N17" s="296"/>
      <c r="O17" s="135"/>
      <c r="P17" s="296"/>
      <c r="R17" s="236"/>
      <c r="S17" s="174"/>
      <c r="T17" s="1409"/>
    </row>
    <row r="18" ht="13.95" spans="2:20">
      <c r="B18" s="5114" t="s">
        <v>151</v>
      </c>
      <c r="C18" s="135"/>
      <c r="D18" s="1412">
        <f>SUM(D13:D13)</f>
        <v>0</v>
      </c>
      <c r="E18" s="1392">
        <f>SUM(E13:E17)</f>
        <v>6963508015</v>
      </c>
      <c r="F18" s="1412"/>
      <c r="G18" s="1392">
        <f>SUM(G13:G17)</f>
        <v>0</v>
      </c>
      <c r="H18" s="1392">
        <f>SUM(H13:H17)</f>
        <v>4541795200</v>
      </c>
      <c r="I18" s="1412"/>
      <c r="J18" s="1392">
        <f>SUM(J13:J17)</f>
        <v>2421712815</v>
      </c>
      <c r="K18" s="1392">
        <f>SUM(K13:K17)</f>
        <v>10981449215</v>
      </c>
      <c r="L18" s="2510"/>
      <c r="M18" s="1392">
        <f>SUM(M13:M17)</f>
        <v>0</v>
      </c>
      <c r="N18" s="1392">
        <f>SUM(N13:N17)</f>
        <v>0</v>
      </c>
      <c r="O18" s="135"/>
      <c r="P18" s="1392">
        <f>SUM(P13:P17)</f>
        <v>10981449215</v>
      </c>
      <c r="Q18" s="1346">
        <f>SUM(Q13:Q17)</f>
        <v>10981449215</v>
      </c>
      <c r="R18" s="1346">
        <f>SUM(R13:R17)</f>
        <v>10167154155</v>
      </c>
      <c r="S18" s="1392">
        <f>SUM(S13:S17)</f>
        <v>-4017941200</v>
      </c>
      <c r="T18" s="2316">
        <f>IF(Q18=0,IF(S18=0,0,S18/S18),S18/Q18)</f>
        <v>-0.365884422113589</v>
      </c>
    </row>
    <row r="19" ht="14.7" spans="2:20">
      <c r="B19" s="1348"/>
      <c r="C19" s="2286"/>
      <c r="D19" s="1348"/>
      <c r="E19" s="2287">
        <f>+E18-'F1'!E34</f>
        <v>0</v>
      </c>
      <c r="F19" s="2287"/>
      <c r="G19" s="2287"/>
      <c r="H19" s="2287"/>
      <c r="I19" s="2287"/>
      <c r="J19" s="2287">
        <f>+J18-'F1'!J34</f>
        <v>0</v>
      </c>
      <c r="K19" s="2287">
        <f>+K18-'F1'!K34</f>
        <v>0</v>
      </c>
      <c r="L19" s="2286"/>
      <c r="M19" s="1348"/>
      <c r="N19" s="1348"/>
      <c r="O19" s="2286"/>
      <c r="P19" s="2287">
        <f>+P18-'F1'!P34</f>
        <v>0</v>
      </c>
      <c r="Q19" s="2287">
        <f>+Q18-'F1'!Q34</f>
        <v>0</v>
      </c>
      <c r="R19" s="2287">
        <f>+R18-'F1'!R34</f>
        <v>0</v>
      </c>
      <c r="S19" s="1393"/>
      <c r="T19" s="2317"/>
    </row>
    <row r="20" spans="20:20">
      <c r="T20" s="2318"/>
    </row>
    <row r="21" spans="20:20">
      <c r="T21" s="2318"/>
    </row>
    <row r="24" spans="2:2">
      <c r="B24" s="2288" t="str">
        <f>'F1'!C46</f>
        <v>Sesuai dengan Saldo Buku Besar Periode 31 Desember 2022 &amp; 2021</v>
      </c>
    </row>
    <row r="25" spans="2:2">
      <c r="B25" s="5124" t="str">
        <f>'F1'!C47</f>
        <v>Sesuai dengan Saldo Audit Periode Sebelumnya</v>
      </c>
    </row>
    <row r="26" spans="2:2">
      <c r="B26" s="5124" t="str">
        <f>'F1'!C48</f>
        <v>Rumus dan Formula Perhitungan telah Diperiksa</v>
      </c>
    </row>
    <row r="28" spans="2:12">
      <c r="B28" s="2906" t="s">
        <v>11686</v>
      </c>
      <c r="C28" s="2907"/>
      <c r="D28" s="2907"/>
      <c r="E28" s="2907"/>
      <c r="F28" s="2907"/>
      <c r="G28" s="2907"/>
      <c r="H28" s="2907"/>
      <c r="I28" s="2907"/>
      <c r="J28" s="2907"/>
      <c r="K28" s="2907"/>
      <c r="L28" s="2922"/>
    </row>
    <row r="29" spans="2:12">
      <c r="B29" s="2908"/>
      <c r="C29" s="2909"/>
      <c r="D29" s="2909"/>
      <c r="E29" s="2909"/>
      <c r="F29" s="2909"/>
      <c r="G29" s="2909"/>
      <c r="H29" s="2909"/>
      <c r="I29" s="2909"/>
      <c r="J29" s="2909"/>
      <c r="K29" s="2909"/>
      <c r="L29" s="2923"/>
    </row>
    <row r="30" spans="2:12">
      <c r="B30" s="2910"/>
      <c r="C30" s="2911"/>
      <c r="D30" s="2911"/>
      <c r="E30" s="2911"/>
      <c r="F30" s="2911"/>
      <c r="G30" s="2911"/>
      <c r="H30" s="2911"/>
      <c r="I30" s="2911"/>
      <c r="J30" s="2911"/>
      <c r="K30" s="2911"/>
      <c r="L30" s="2924"/>
    </row>
    <row r="32" spans="2:20">
      <c r="B32"/>
      <c r="C32"/>
      <c r="D32"/>
      <c r="E32"/>
      <c r="F32"/>
      <c r="G32"/>
      <c r="H32"/>
      <c r="I32"/>
      <c r="J32"/>
      <c r="K32"/>
      <c r="L32"/>
      <c r="M32"/>
      <c r="N32"/>
      <c r="O32"/>
      <c r="P32"/>
      <c r="Q32"/>
      <c r="R32"/>
      <c r="S32"/>
      <c r="T32"/>
    </row>
    <row r="33" spans="2:20">
      <c r="B33"/>
      <c r="C33"/>
      <c r="D33"/>
      <c r="E33"/>
      <c r="F33"/>
      <c r="G33"/>
      <c r="H33"/>
      <c r="I33"/>
      <c r="J33"/>
      <c r="K33"/>
      <c r="L33"/>
      <c r="M33"/>
      <c r="N33"/>
      <c r="O33"/>
      <c r="P33"/>
      <c r="Q33"/>
      <c r="R33"/>
      <c r="S33"/>
      <c r="T33"/>
    </row>
    <row r="34" spans="2:20">
      <c r="B34" t="s">
        <v>11687</v>
      </c>
      <c r="C34"/>
      <c r="D34"/>
      <c r="E34"/>
      <c r="F34"/>
      <c r="G34"/>
      <c r="H34"/>
      <c r="I34"/>
      <c r="J34"/>
      <c r="K34"/>
      <c r="L34"/>
      <c r="M34"/>
      <c r="N34"/>
      <c r="O34"/>
      <c r="P34"/>
      <c r="Q34"/>
      <c r="R34"/>
      <c r="S34"/>
      <c r="T34"/>
    </row>
    <row r="35" spans="2:20">
      <c r="B35" t="s">
        <v>11688</v>
      </c>
      <c r="C35"/>
      <c r="D35"/>
      <c r="E35"/>
      <c r="F35"/>
      <c r="G35"/>
      <c r="H35"/>
      <c r="I35"/>
      <c r="J35"/>
      <c r="K35"/>
      <c r="L35"/>
      <c r="M35"/>
      <c r="N35"/>
      <c r="O35"/>
      <c r="P35"/>
      <c r="Q35"/>
      <c r="R35"/>
      <c r="S35"/>
      <c r="T35"/>
    </row>
    <row r="36" spans="2:20">
      <c r="B36"/>
      <c r="C36"/>
      <c r="D36"/>
      <c r="E36"/>
      <c r="F36"/>
      <c r="G36"/>
      <c r="H36"/>
      <c r="I36"/>
      <c r="J36"/>
      <c r="K36"/>
      <c r="L36"/>
      <c r="M36"/>
      <c r="N36"/>
      <c r="O36"/>
      <c r="P36"/>
      <c r="Q36"/>
      <c r="R36"/>
      <c r="S36"/>
      <c r="T36"/>
    </row>
    <row r="37" s="248" customFormat="1" spans="2:20">
      <c r="B37" s="94"/>
      <c r="C37" s="2912" t="s">
        <v>732</v>
      </c>
      <c r="D37" s="94"/>
      <c r="E37" s="2913" t="s">
        <v>11689</v>
      </c>
      <c r="F37" s="2914"/>
      <c r="G37" s="2914"/>
      <c r="H37" s="2915"/>
      <c r="I37" s="2912" t="s">
        <v>735</v>
      </c>
      <c r="J37" s="2913" t="s">
        <v>11690</v>
      </c>
      <c r="K37" s="2914"/>
      <c r="L37" s="2914"/>
      <c r="M37" s="2915"/>
      <c r="N37" s="94"/>
      <c r="O37" s="2912" t="s">
        <v>737</v>
      </c>
      <c r="P37" s="2913" t="s">
        <v>11691</v>
      </c>
      <c r="Q37" s="2914"/>
      <c r="R37" s="2914"/>
      <c r="S37" s="2915"/>
      <c r="T37" s="94"/>
    </row>
    <row r="38" s="1082" customFormat="1" ht="12" spans="5:19">
      <c r="E38" s="2916">
        <f>+F38+1</f>
        <v>2021</v>
      </c>
      <c r="F38" s="2917">
        <f>+G38+1</f>
        <v>2020</v>
      </c>
      <c r="G38" s="2917">
        <f>+H38+1</f>
        <v>2019</v>
      </c>
      <c r="H38" s="2918">
        <v>2018</v>
      </c>
      <c r="J38" s="2916">
        <v>2022</v>
      </c>
      <c r="K38" s="2917">
        <f>+J38-1</f>
        <v>2021</v>
      </c>
      <c r="L38" s="2917">
        <f>+K38-1</f>
        <v>2020</v>
      </c>
      <c r="M38" s="2918">
        <f>+L38-1</f>
        <v>2019</v>
      </c>
      <c r="P38" s="2916">
        <v>2022</v>
      </c>
      <c r="Q38" s="1082">
        <f>+P38-1</f>
        <v>2021</v>
      </c>
      <c r="R38" s="1082">
        <f>+Q38-1</f>
        <v>2020</v>
      </c>
      <c r="S38" s="2918">
        <f>+R38-1</f>
        <v>2019</v>
      </c>
    </row>
    <row r="39" spans="2:20">
      <c r="B39" t="s">
        <v>11692</v>
      </c>
      <c r="C39"/>
      <c r="D39"/>
      <c r="E39" s="1081">
        <f>+F45</f>
        <v>0</v>
      </c>
      <c r="F39" s="159">
        <f>+G45</f>
        <v>0</v>
      </c>
      <c r="G39" s="159">
        <f>+H45</f>
        <v>1148245350</v>
      </c>
      <c r="H39" s="356">
        <f>+'[75]Investasi Proj'!$J$4</f>
        <v>1148245350</v>
      </c>
      <c r="I39"/>
      <c r="J39" s="1081">
        <f>+K45</f>
        <v>10566441215</v>
      </c>
      <c r="K39" s="159">
        <f>+L45</f>
        <v>10566441215</v>
      </c>
      <c r="L39" s="159">
        <f>+M45</f>
        <v>9920275415</v>
      </c>
      <c r="M39" s="356">
        <f>+'[75]Investasi Proj'!$J$5</f>
        <v>0</v>
      </c>
      <c r="N39"/>
      <c r="O39"/>
      <c r="P39" s="1081">
        <f>+Q45</f>
        <v>415008000</v>
      </c>
      <c r="Q39" s="159">
        <f>+R45</f>
        <v>415008000</v>
      </c>
      <c r="R39" s="159">
        <f>+S45</f>
        <v>246878740</v>
      </c>
      <c r="S39" s="356">
        <v>0</v>
      </c>
      <c r="T39"/>
    </row>
    <row r="40" spans="2:20">
      <c r="B40" t="s">
        <v>11693</v>
      </c>
      <c r="C40"/>
      <c r="D40"/>
      <c r="E40" s="1081">
        <v>0</v>
      </c>
      <c r="F40" s="159">
        <v>0</v>
      </c>
      <c r="G40" s="159">
        <v>0</v>
      </c>
      <c r="H40" s="356">
        <v>0</v>
      </c>
      <c r="I40"/>
      <c r="J40" s="1081">
        <v>0</v>
      </c>
      <c r="K40" s="159">
        <v>0</v>
      </c>
      <c r="L40" s="159">
        <v>646165800</v>
      </c>
      <c r="M40" s="356">
        <f>+'[75]Investasi Proj'!$I$5</f>
        <v>9920275415</v>
      </c>
      <c r="N40"/>
      <c r="O40"/>
      <c r="P40" s="1081">
        <v>0</v>
      </c>
      <c r="Q40" s="159">
        <v>0</v>
      </c>
      <c r="R40" s="159">
        <v>168129260</v>
      </c>
      <c r="S40" s="356">
        <f>+'[75]Investasi Proj'!$I$6</f>
        <v>246878740</v>
      </c>
      <c r="T40"/>
    </row>
    <row r="41" spans="2:20">
      <c r="B41" t="s">
        <v>2092</v>
      </c>
      <c r="C41">
        <v>1</v>
      </c>
      <c r="D41"/>
      <c r="E41" s="1081">
        <v>0</v>
      </c>
      <c r="F41" s="159">
        <f>-F39</f>
        <v>0</v>
      </c>
      <c r="G41" s="159">
        <f>-G39</f>
        <v>-1148245350</v>
      </c>
      <c r="H41" s="356">
        <v>0</v>
      </c>
      <c r="I41">
        <v>2</v>
      </c>
      <c r="J41" s="1081">
        <f>-H105</f>
        <v>-4017941200</v>
      </c>
      <c r="K41" s="159">
        <v>0</v>
      </c>
      <c r="L41" s="159">
        <v>0</v>
      </c>
      <c r="M41" s="356">
        <v>0</v>
      </c>
      <c r="N41"/>
      <c r="O41"/>
      <c r="P41" s="1081">
        <v>0</v>
      </c>
      <c r="Q41" s="159">
        <v>0</v>
      </c>
      <c r="R41" s="159">
        <v>0</v>
      </c>
      <c r="S41" s="356">
        <v>0</v>
      </c>
      <c r="T41"/>
    </row>
    <row r="42" spans="2:20">
      <c r="B42" t="s">
        <v>2093</v>
      </c>
      <c r="C42"/>
      <c r="D42"/>
      <c r="E42" s="1081"/>
      <c r="F42" s="159"/>
      <c r="G42" s="159"/>
      <c r="H42" s="356"/>
      <c r="I42">
        <v>21</v>
      </c>
      <c r="J42" s="2159">
        <f>-G106-G107</f>
        <v>-4541795200</v>
      </c>
      <c r="K42" s="159"/>
      <c r="L42" s="159"/>
      <c r="M42" s="356"/>
      <c r="N42"/>
      <c r="O42"/>
      <c r="P42" s="1081"/>
      <c r="Q42" s="159"/>
      <c r="R42" s="159"/>
      <c r="S42" s="356"/>
      <c r="T42"/>
    </row>
    <row r="43" spans="2:20">
      <c r="B43" t="s">
        <v>11694</v>
      </c>
      <c r="C43"/>
      <c r="D43"/>
      <c r="E43" s="1081">
        <v>0</v>
      </c>
      <c r="F43" s="159">
        <v>0</v>
      </c>
      <c r="G43" s="159">
        <v>0</v>
      </c>
      <c r="H43" s="356">
        <v>0</v>
      </c>
      <c r="I43"/>
      <c r="J43" s="1081">
        <v>0</v>
      </c>
      <c r="K43" s="159">
        <v>0</v>
      </c>
      <c r="L43" s="159">
        <v>0</v>
      </c>
      <c r="M43" s="356">
        <v>0</v>
      </c>
      <c r="N43"/>
      <c r="O43"/>
      <c r="P43" s="1081">
        <v>0</v>
      </c>
      <c r="Q43" s="159">
        <v>0</v>
      </c>
      <c r="R43" s="159">
        <v>0</v>
      </c>
      <c r="S43" s="356">
        <v>0</v>
      </c>
      <c r="T43"/>
    </row>
    <row r="44" spans="2:20">
      <c r="B44"/>
      <c r="C44"/>
      <c r="D44"/>
      <c r="E44" s="1086"/>
      <c r="F44" s="164"/>
      <c r="G44" s="164"/>
      <c r="H44" s="302"/>
      <c r="I44"/>
      <c r="J44" s="1086"/>
      <c r="K44" s="164"/>
      <c r="L44" s="2703"/>
      <c r="M44" s="302"/>
      <c r="N44" s="164"/>
      <c r="O44" s="164"/>
      <c r="P44" s="1086"/>
      <c r="Q44" s="164"/>
      <c r="R44" s="164"/>
      <c r="S44" s="302"/>
      <c r="T44"/>
    </row>
    <row r="45" spans="2:20">
      <c r="B45" t="s">
        <v>11695</v>
      </c>
      <c r="C45"/>
      <c r="D45"/>
      <c r="E45" s="1081">
        <f>SUM(E39:E44)</f>
        <v>0</v>
      </c>
      <c r="F45" s="159">
        <f>SUM(F39:F44)</f>
        <v>0</v>
      </c>
      <c r="G45" s="159">
        <f>SUM(G39:G44)</f>
        <v>0</v>
      </c>
      <c r="H45" s="356">
        <f>SUM(H39:H44)</f>
        <v>1148245350</v>
      </c>
      <c r="I45"/>
      <c r="J45" s="2159">
        <f>SUM(J39:J44)</f>
        <v>2006704815</v>
      </c>
      <c r="K45" s="159">
        <f>SUM(K39:K44)</f>
        <v>10566441215</v>
      </c>
      <c r="L45" s="2103">
        <f>SUM(L39:L44)</f>
        <v>10566441215</v>
      </c>
      <c r="M45" s="356">
        <f>SUM(M39:M44)</f>
        <v>9920275415</v>
      </c>
      <c r="N45"/>
      <c r="O45"/>
      <c r="P45" s="1081">
        <f>SUM(P39:P44)</f>
        <v>415008000</v>
      </c>
      <c r="Q45" s="159">
        <f>SUM(Q39:Q44)</f>
        <v>415008000</v>
      </c>
      <c r="R45" s="159">
        <f>SUM(R39:R44)</f>
        <v>415008000</v>
      </c>
      <c r="S45" s="356">
        <f>SUM(S39:S44)</f>
        <v>246878740</v>
      </c>
      <c r="T45"/>
    </row>
    <row r="46" spans="2:20">
      <c r="B46"/>
      <c r="C46"/>
      <c r="D46"/>
      <c r="E46" s="1086"/>
      <c r="F46" s="164"/>
      <c r="G46" s="164"/>
      <c r="H46" s="302"/>
      <c r="I46"/>
      <c r="J46" s="1086">
        <f>+'[75]Investasi Proj'!$F$5</f>
        <v>6548500015</v>
      </c>
      <c r="K46" s="164">
        <f>+'[75]Investasi Proj'!$G$5</f>
        <v>10566441215</v>
      </c>
      <c r="L46" s="2703">
        <f>+'[75]Investasi Proj'!$H$5</f>
        <v>10566441215</v>
      </c>
      <c r="M46" s="302"/>
      <c r="N46"/>
      <c r="O46"/>
      <c r="P46" s="1086">
        <f>+'[75]Investasi Proj'!$G$6</f>
        <v>415008000</v>
      </c>
      <c r="Q46" s="164">
        <f>+'[75]Investasi Proj'!$G$6</f>
        <v>415008000</v>
      </c>
      <c r="R46" s="164">
        <f>+'[75]Investasi Proj'!$H$6</f>
        <v>415008000</v>
      </c>
      <c r="S46" s="302"/>
      <c r="T46"/>
    </row>
    <row r="47" spans="2:20">
      <c r="B47"/>
      <c r="C47"/>
      <c r="D47"/>
      <c r="E47" s="159"/>
      <c r="F47" s="159"/>
      <c r="G47" s="159"/>
      <c r="H47" s="159"/>
      <c r="I47"/>
      <c r="J47" s="159"/>
      <c r="K47" s="159"/>
      <c r="L47" s="159"/>
      <c r="M47" s="159"/>
      <c r="N47"/>
      <c r="O47"/>
      <c r="P47" s="159"/>
      <c r="Q47" s="159"/>
      <c r="R47" s="159"/>
      <c r="S47" s="159"/>
      <c r="T47"/>
    </row>
    <row r="48" spans="2:20">
      <c r="B48"/>
      <c r="C48"/>
      <c r="D48"/>
      <c r="E48"/>
      <c r="F48"/>
      <c r="G48"/>
      <c r="H48"/>
      <c r="I48" s="2925" t="s">
        <v>11696</v>
      </c>
      <c r="J48">
        <f>+J45-J46</f>
        <v>-4541795200</v>
      </c>
      <c r="K48">
        <f>+K45-K46</f>
        <v>0</v>
      </c>
      <c r="L48">
        <f>+L45-L46</f>
        <v>0</v>
      </c>
      <c r="M48"/>
      <c r="N48"/>
      <c r="O48"/>
      <c r="P48">
        <f>+P45-P46</f>
        <v>0</v>
      </c>
      <c r="Q48">
        <f>+Q45-Q46</f>
        <v>0</v>
      </c>
      <c r="R48">
        <f>+R45-R46</f>
        <v>0</v>
      </c>
      <c r="S48"/>
      <c r="T48"/>
    </row>
    <row r="49" spans="2:20">
      <c r="B49" s="94" t="s">
        <v>11697</v>
      </c>
      <c r="C49"/>
      <c r="D49"/>
      <c r="E49"/>
      <c r="F49"/>
      <c r="G49"/>
      <c r="H49"/>
      <c r="I49"/>
      <c r="J49"/>
      <c r="K49"/>
      <c r="L49"/>
      <c r="M49"/>
      <c r="N49"/>
      <c r="O49"/>
      <c r="P49"/>
      <c r="Q49"/>
      <c r="R49"/>
      <c r="S49"/>
      <c r="T49"/>
    </row>
    <row r="50" spans="2:20">
      <c r="B50" s="94" t="s">
        <v>11698</v>
      </c>
      <c r="C50"/>
      <c r="D50"/>
      <c r="E50"/>
      <c r="F50"/>
      <c r="G50"/>
      <c r="H50"/>
      <c r="I50"/>
      <c r="J50"/>
      <c r="K50"/>
      <c r="L50"/>
      <c r="M50"/>
      <c r="N50"/>
      <c r="O50"/>
      <c r="P50"/>
      <c r="Q50"/>
      <c r="R50"/>
      <c r="S50"/>
      <c r="T50"/>
    </row>
    <row r="51" spans="2:20">
      <c r="B51" t="s">
        <v>11699</v>
      </c>
      <c r="C51"/>
      <c r="D51"/>
      <c r="E51"/>
      <c r="F51"/>
      <c r="G51"/>
      <c r="H51"/>
      <c r="I51"/>
      <c r="J51"/>
      <c r="K51" t="s">
        <v>11700</v>
      </c>
      <c r="L51"/>
      <c r="M51"/>
      <c r="N51"/>
      <c r="O51"/>
      <c r="P51"/>
      <c r="Q51"/>
      <c r="R51"/>
      <c r="S51"/>
      <c r="T51"/>
    </row>
    <row r="52" spans="2:20">
      <c r="B52" t="s">
        <v>11701</v>
      </c>
      <c r="C52"/>
      <c r="D52"/>
      <c r="E52"/>
      <c r="F52"/>
      <c r="G52"/>
      <c r="H52"/>
      <c r="I52"/>
      <c r="J52"/>
      <c r="K52"/>
      <c r="L52"/>
      <c r="M52"/>
      <c r="N52"/>
      <c r="O52"/>
      <c r="P52"/>
      <c r="Q52"/>
      <c r="R52"/>
      <c r="S52"/>
      <c r="T52"/>
    </row>
    <row r="53" ht="6.95" customHeight="1" spans="2:20">
      <c r="B53"/>
      <c r="C53"/>
      <c r="D53"/>
      <c r="E53"/>
      <c r="F53"/>
      <c r="G53"/>
      <c r="H53"/>
      <c r="I53"/>
      <c r="J53"/>
      <c r="K53"/>
      <c r="L53"/>
      <c r="M53"/>
      <c r="N53"/>
      <c r="O53"/>
      <c r="P53"/>
      <c r="Q53"/>
      <c r="R53"/>
      <c r="S53"/>
      <c r="T53"/>
    </row>
    <row r="54" spans="2:20">
      <c r="B54" t="s">
        <v>11702</v>
      </c>
      <c r="C54"/>
      <c r="D54"/>
      <c r="E54"/>
      <c r="F54"/>
      <c r="G54"/>
      <c r="H54"/>
      <c r="I54"/>
      <c r="J54"/>
      <c r="K54"/>
      <c r="L54"/>
      <c r="M54"/>
      <c r="N54"/>
      <c r="O54"/>
      <c r="P54"/>
      <c r="Q54"/>
      <c r="R54"/>
      <c r="S54"/>
      <c r="T54"/>
    </row>
    <row r="55" spans="2:20">
      <c r="B55" t="s">
        <v>11703</v>
      </c>
      <c r="C55"/>
      <c r="D55"/>
      <c r="E55"/>
      <c r="F55"/>
      <c r="G55"/>
      <c r="H55"/>
      <c r="I55"/>
      <c r="J55"/>
      <c r="K55"/>
      <c r="L55"/>
      <c r="M55"/>
      <c r="N55"/>
      <c r="O55"/>
      <c r="P55"/>
      <c r="Q55"/>
      <c r="R55"/>
      <c r="S55"/>
      <c r="T55"/>
    </row>
    <row r="56" spans="2:20">
      <c r="B56" t="s">
        <v>11704</v>
      </c>
      <c r="C56"/>
      <c r="D56"/>
      <c r="E56"/>
      <c r="F56"/>
      <c r="G56"/>
      <c r="H56"/>
      <c r="I56"/>
      <c r="J56"/>
      <c r="K56"/>
      <c r="L56"/>
      <c r="M56"/>
      <c r="N56"/>
      <c r="O56"/>
      <c r="P56"/>
      <c r="Q56"/>
      <c r="R56"/>
      <c r="S56"/>
      <c r="T56"/>
    </row>
    <row r="57" spans="2:20">
      <c r="B57" t="s">
        <v>11705</v>
      </c>
      <c r="C57"/>
      <c r="D57"/>
      <c r="E57"/>
      <c r="F57"/>
      <c r="G57"/>
      <c r="H57"/>
      <c r="I57"/>
      <c r="J57"/>
      <c r="K57"/>
      <c r="L57"/>
      <c r="M57"/>
      <c r="N57"/>
      <c r="O57"/>
      <c r="P57"/>
      <c r="Q57"/>
      <c r="R57"/>
      <c r="S57"/>
      <c r="T57"/>
    </row>
    <row r="58" spans="2:20">
      <c r="B58" t="s">
        <v>11706</v>
      </c>
      <c r="C58"/>
      <c r="D58"/>
      <c r="E58"/>
      <c r="F58"/>
      <c r="G58"/>
      <c r="H58"/>
      <c r="I58"/>
      <c r="J58"/>
      <c r="K58"/>
      <c r="L58"/>
      <c r="M58"/>
      <c r="N58"/>
      <c r="O58"/>
      <c r="P58"/>
      <c r="Q58"/>
      <c r="R58"/>
      <c r="S58"/>
      <c r="T58"/>
    </row>
    <row r="59" spans="2:20">
      <c r="B59" t="s">
        <v>11707</v>
      </c>
      <c r="C59"/>
      <c r="D59"/>
      <c r="E59"/>
      <c r="F59"/>
      <c r="G59"/>
      <c r="H59"/>
      <c r="I59"/>
      <c r="J59"/>
      <c r="K59"/>
      <c r="L59"/>
      <c r="M59"/>
      <c r="N59"/>
      <c r="O59"/>
      <c r="P59"/>
      <c r="Q59"/>
      <c r="R59"/>
      <c r="S59"/>
      <c r="T59"/>
    </row>
    <row r="60" spans="2:20">
      <c r="B60" s="5044" t="s">
        <v>11708</v>
      </c>
      <c r="C60"/>
      <c r="D60"/>
      <c r="E60"/>
      <c r="F60"/>
      <c r="G60"/>
      <c r="H60"/>
      <c r="I60"/>
      <c r="J60"/>
      <c r="K60"/>
      <c r="L60"/>
      <c r="M60"/>
      <c r="N60"/>
      <c r="O60"/>
      <c r="P60"/>
      <c r="Q60"/>
      <c r="R60"/>
      <c r="S60"/>
      <c r="T60"/>
    </row>
    <row r="61" spans="2:20">
      <c r="B61" t="s">
        <v>11709</v>
      </c>
      <c r="C61"/>
      <c r="D61"/>
      <c r="E61"/>
      <c r="F61"/>
      <c r="G61"/>
      <c r="H61"/>
      <c r="I61"/>
      <c r="J61"/>
      <c r="K61"/>
      <c r="L61"/>
      <c r="M61"/>
      <c r="N61"/>
      <c r="O61"/>
      <c r="P61"/>
      <c r="Q61"/>
      <c r="R61"/>
      <c r="S61"/>
      <c r="T61"/>
    </row>
    <row r="62" spans="2:20">
      <c r="B62" s="2919" t="s">
        <v>11710</v>
      </c>
      <c r="C62" s="2919"/>
      <c r="D62" s="2919"/>
      <c r="E62" s="2920"/>
      <c r="F62" s="2919"/>
      <c r="G62" s="2919">
        <f>+H45</f>
        <v>1148245350</v>
      </c>
      <c r="H62" s="2921">
        <v>1</v>
      </c>
      <c r="I62"/>
      <c r="J62"/>
      <c r="K62"/>
      <c r="L62"/>
      <c r="M62"/>
      <c r="N62"/>
      <c r="O62"/>
      <c r="P62"/>
      <c r="Q62"/>
      <c r="R62"/>
      <c r="S62"/>
      <c r="T62"/>
    </row>
    <row r="63" spans="2:20">
      <c r="B63" t="s">
        <v>11711</v>
      </c>
      <c r="C63"/>
      <c r="D63"/>
      <c r="E63"/>
      <c r="F63"/>
      <c r="G63">
        <f>+'[94]AT-2018'!$H$18</f>
        <v>1251663380</v>
      </c>
      <c r="H63"/>
      <c r="I63"/>
      <c r="J63"/>
      <c r="K63"/>
      <c r="L63"/>
      <c r="M63"/>
      <c r="N63"/>
      <c r="O63"/>
      <c r="P63"/>
      <c r="Q63"/>
      <c r="R63"/>
      <c r="S63"/>
      <c r="T63"/>
    </row>
    <row r="64" spans="2:20">
      <c r="B64" t="s">
        <v>11712</v>
      </c>
      <c r="C64"/>
      <c r="D64"/>
      <c r="E64"/>
      <c r="F64"/>
      <c r="G64">
        <f>+G62-G63</f>
        <v>-103418030</v>
      </c>
      <c r="H64"/>
      <c r="I64"/>
      <c r="J64"/>
      <c r="K64"/>
      <c r="L64"/>
      <c r="M64"/>
      <c r="N64"/>
      <c r="O64"/>
      <c r="P64"/>
      <c r="Q64"/>
      <c r="R64"/>
      <c r="S64"/>
      <c r="T64"/>
    </row>
    <row r="65" spans="2:20">
      <c r="B65"/>
      <c r="C65"/>
      <c r="D65"/>
      <c r="E65"/>
      <c r="F65"/>
      <c r="G65"/>
      <c r="H65"/>
      <c r="I65"/>
      <c r="J65"/>
      <c r="K65"/>
      <c r="L65"/>
      <c r="M65"/>
      <c r="N65"/>
      <c r="O65"/>
      <c r="P65"/>
      <c r="Q65"/>
      <c r="R65"/>
      <c r="S65"/>
      <c r="T65"/>
    </row>
    <row r="66" spans="2:20">
      <c r="B66" s="2926" t="s">
        <v>11713</v>
      </c>
      <c r="C66"/>
      <c r="D66"/>
      <c r="E66"/>
      <c r="F66"/>
      <c r="G66"/>
      <c r="H66"/>
      <c r="I66"/>
      <c r="J66"/>
      <c r="K66"/>
      <c r="L66"/>
      <c r="M66"/>
      <c r="N66"/>
      <c r="O66"/>
      <c r="P66"/>
      <c r="Q66"/>
      <c r="R66"/>
      <c r="S66"/>
      <c r="T66"/>
    </row>
    <row r="67" spans="2:20">
      <c r="B67" s="2926" t="s">
        <v>11714</v>
      </c>
      <c r="C67"/>
      <c r="D67"/>
      <c r="E67"/>
      <c r="F67"/>
      <c r="G67"/>
      <c r="H67"/>
      <c r="I67"/>
      <c r="J67"/>
      <c r="K67"/>
      <c r="L67"/>
      <c r="M67"/>
      <c r="N67"/>
      <c r="O67"/>
      <c r="P67"/>
      <c r="Q67"/>
      <c r="R67"/>
      <c r="S67"/>
      <c r="T67"/>
    </row>
    <row r="68" spans="2:20">
      <c r="B68" s="2926" t="s">
        <v>11715</v>
      </c>
      <c r="C68"/>
      <c r="D68"/>
      <c r="E68"/>
      <c r="G68"/>
      <c r="H68"/>
      <c r="I68"/>
      <c r="J68"/>
      <c r="K68"/>
      <c r="L68"/>
      <c r="M68"/>
      <c r="N68"/>
      <c r="O68"/>
      <c r="P68"/>
      <c r="Q68"/>
      <c r="R68"/>
      <c r="S68"/>
      <c r="T68"/>
    </row>
    <row r="69" spans="2:20">
      <c r="B69" s="2926" t="s">
        <v>11716</v>
      </c>
      <c r="C69"/>
      <c r="D69"/>
      <c r="E69"/>
      <c r="F69"/>
      <c r="G69"/>
      <c r="H69"/>
      <c r="I69"/>
      <c r="J69"/>
      <c r="K69"/>
      <c r="L69"/>
      <c r="M69"/>
      <c r="N69"/>
      <c r="O69"/>
      <c r="P69"/>
      <c r="Q69"/>
      <c r="R69"/>
      <c r="S69"/>
      <c r="T69"/>
    </row>
    <row r="70" spans="2:20">
      <c r="B70" s="2926"/>
      <c r="C70"/>
      <c r="D70"/>
      <c r="E70"/>
      <c r="F70" t="s">
        <v>11717</v>
      </c>
      <c r="G70"/>
      <c r="H70"/>
      <c r="I70"/>
      <c r="J70"/>
      <c r="K70"/>
      <c r="L70"/>
      <c r="M70"/>
      <c r="N70"/>
      <c r="O70"/>
      <c r="P70"/>
      <c r="Q70"/>
      <c r="R70"/>
      <c r="S70"/>
      <c r="T70"/>
    </row>
    <row r="71" spans="2:20">
      <c r="B71" s="2926" t="s">
        <v>11718</v>
      </c>
      <c r="C71"/>
      <c r="D71"/>
      <c r="E71"/>
      <c r="F71"/>
      <c r="G71"/>
      <c r="H71"/>
      <c r="I71"/>
      <c r="J71"/>
      <c r="K71"/>
      <c r="L71"/>
      <c r="M71"/>
      <c r="N71"/>
      <c r="O71"/>
      <c r="P71"/>
      <c r="Q71"/>
      <c r="R71"/>
      <c r="S71"/>
      <c r="T71"/>
    </row>
    <row r="72" spans="2:20">
      <c r="B72" s="2926" t="s">
        <v>11719</v>
      </c>
      <c r="C72"/>
      <c r="D72"/>
      <c r="E72"/>
      <c r="F72"/>
      <c r="G72"/>
      <c r="H72"/>
      <c r="I72"/>
      <c r="J72"/>
      <c r="K72"/>
      <c r="L72"/>
      <c r="M72"/>
      <c r="N72"/>
      <c r="O72"/>
      <c r="P72"/>
      <c r="Q72"/>
      <c r="R72"/>
      <c r="S72"/>
      <c r="T72"/>
    </row>
    <row r="73" spans="2:20">
      <c r="B73" s="2926"/>
      <c r="C73"/>
      <c r="D73"/>
      <c r="E73"/>
      <c r="F73"/>
      <c r="G73"/>
      <c r="H73"/>
      <c r="I73"/>
      <c r="J73"/>
      <c r="K73"/>
      <c r="L73"/>
      <c r="M73"/>
      <c r="N73"/>
      <c r="O73"/>
      <c r="P73"/>
      <c r="Q73"/>
      <c r="R73"/>
      <c r="S73"/>
      <c r="T73"/>
    </row>
    <row r="74" spans="2:20">
      <c r="B74"/>
      <c r="C74"/>
      <c r="D74"/>
      <c r="E74"/>
      <c r="F74"/>
      <c r="G74"/>
      <c r="H74"/>
      <c r="I74"/>
      <c r="J74"/>
      <c r="K74"/>
      <c r="L74"/>
      <c r="M74"/>
      <c r="N74"/>
      <c r="O74"/>
      <c r="P74"/>
      <c r="Q74"/>
      <c r="R74"/>
      <c r="S74"/>
      <c r="T74"/>
    </row>
    <row r="75" spans="2:20">
      <c r="B75" s="94" t="s">
        <v>11720</v>
      </c>
      <c r="C75"/>
      <c r="D75"/>
      <c r="E75"/>
      <c r="F75"/>
      <c r="G75"/>
      <c r="H75"/>
      <c r="I75"/>
      <c r="J75"/>
      <c r="K75"/>
      <c r="L75"/>
      <c r="M75"/>
      <c r="N75"/>
      <c r="O75"/>
      <c r="P75"/>
      <c r="Q75"/>
      <c r="R75"/>
      <c r="S75"/>
      <c r="T75"/>
    </row>
    <row r="76" spans="2:20">
      <c r="B76" s="2926" t="s">
        <v>11721</v>
      </c>
      <c r="C76"/>
      <c r="D76"/>
      <c r="E76"/>
      <c r="F76"/>
      <c r="G76"/>
      <c r="H76"/>
      <c r="I76"/>
      <c r="J76"/>
      <c r="K76"/>
      <c r="L76"/>
      <c r="M76"/>
      <c r="N76"/>
      <c r="O76"/>
      <c r="P76"/>
      <c r="Q76"/>
      <c r="R76"/>
      <c r="S76"/>
      <c r="T76"/>
    </row>
    <row r="77" spans="3:20">
      <c r="C77"/>
      <c r="D77"/>
      <c r="E77"/>
      <c r="F77"/>
      <c r="G77"/>
      <c r="H77"/>
      <c r="I77"/>
      <c r="J77"/>
      <c r="K77"/>
      <c r="L77"/>
      <c r="M77"/>
      <c r="N77"/>
      <c r="O77"/>
      <c r="P77"/>
      <c r="Q77"/>
      <c r="R77"/>
      <c r="S77"/>
      <c r="T77"/>
    </row>
    <row r="78" spans="2:20">
      <c r="B78" s="2919" t="s">
        <v>11722</v>
      </c>
      <c r="C78" s="2919"/>
      <c r="D78" s="2919"/>
      <c r="E78" s="2920"/>
      <c r="F78" s="2919"/>
      <c r="G78" s="2919">
        <f>+M40</f>
        <v>9920275415</v>
      </c>
      <c r="H78"/>
      <c r="I78"/>
      <c r="J78"/>
      <c r="K78"/>
      <c r="L78"/>
      <c r="M78"/>
      <c r="N78"/>
      <c r="O78"/>
      <c r="P78"/>
      <c r="Q78"/>
      <c r="R78"/>
      <c r="S78"/>
      <c r="T78"/>
    </row>
    <row r="79" spans="2:20">
      <c r="B79" t="s">
        <v>11723</v>
      </c>
      <c r="C79"/>
      <c r="D79"/>
      <c r="F79"/>
      <c r="G79">
        <v>7938562500</v>
      </c>
      <c r="H79" t="s">
        <v>11724</v>
      </c>
      <c r="I79"/>
      <c r="J79"/>
      <c r="K79"/>
      <c r="L79"/>
      <c r="M79"/>
      <c r="N79"/>
      <c r="O79"/>
      <c r="P79"/>
      <c r="Q79"/>
      <c r="R79"/>
      <c r="S79"/>
      <c r="T79"/>
    </row>
    <row r="80" spans="2:20">
      <c r="B80" t="s">
        <v>11725</v>
      </c>
      <c r="C80"/>
      <c r="D80"/>
      <c r="F80"/>
      <c r="G80">
        <v>150000000</v>
      </c>
      <c r="H80"/>
      <c r="I80"/>
      <c r="J80"/>
      <c r="K80"/>
      <c r="L80"/>
      <c r="M80"/>
      <c r="N80"/>
      <c r="O80"/>
      <c r="P80"/>
      <c r="Q80"/>
      <c r="R80"/>
      <c r="S80"/>
      <c r="T80"/>
    </row>
    <row r="81" spans="2:20">
      <c r="B81" t="s">
        <v>11726</v>
      </c>
      <c r="C81"/>
      <c r="D81"/>
      <c r="F81"/>
      <c r="G81">
        <v>95000000</v>
      </c>
      <c r="H81"/>
      <c r="I81"/>
      <c r="J81"/>
      <c r="K81"/>
      <c r="L81"/>
      <c r="M81"/>
      <c r="N81"/>
      <c r="O81"/>
      <c r="P81"/>
      <c r="Q81"/>
      <c r="R81"/>
      <c r="S81"/>
      <c r="T81"/>
    </row>
    <row r="82" spans="2:20">
      <c r="B82" t="s">
        <v>11727</v>
      </c>
      <c r="C82"/>
      <c r="D82"/>
      <c r="F82"/>
      <c r="G82">
        <v>875000000</v>
      </c>
      <c r="H82"/>
      <c r="I82"/>
      <c r="J82"/>
      <c r="K82"/>
      <c r="L82"/>
      <c r="M82"/>
      <c r="N82"/>
      <c r="O82"/>
      <c r="P82"/>
      <c r="Q82"/>
      <c r="R82"/>
      <c r="S82"/>
      <c r="T82"/>
    </row>
    <row r="83" spans="2:20">
      <c r="B83" t="s">
        <v>11728</v>
      </c>
      <c r="C83"/>
      <c r="D83"/>
      <c r="E83"/>
      <c r="F83"/>
      <c r="G83">
        <v>46000000</v>
      </c>
      <c r="H83"/>
      <c r="I83"/>
      <c r="J83"/>
      <c r="K83"/>
      <c r="L83"/>
      <c r="M83"/>
      <c r="N83"/>
      <c r="O83"/>
      <c r="P83"/>
      <c r="Q83"/>
      <c r="R83"/>
      <c r="S83"/>
      <c r="T83"/>
    </row>
    <row r="84" spans="2:20">
      <c r="B84" t="s">
        <v>11728</v>
      </c>
      <c r="C84"/>
      <c r="D84"/>
      <c r="E84"/>
      <c r="F84"/>
      <c r="G84">
        <v>38000000</v>
      </c>
      <c r="H84"/>
      <c r="I84"/>
      <c r="J84"/>
      <c r="K84"/>
      <c r="L84"/>
      <c r="M84"/>
      <c r="N84"/>
      <c r="O84"/>
      <c r="P84"/>
      <c r="Q84"/>
      <c r="R84"/>
      <c r="S84"/>
      <c r="T84"/>
    </row>
    <row r="85" spans="2:20">
      <c r="B85" t="s">
        <v>11729</v>
      </c>
      <c r="C85"/>
      <c r="D85"/>
      <c r="E85"/>
      <c r="F85"/>
      <c r="G85">
        <v>67500000</v>
      </c>
      <c r="H85"/>
      <c r="I85"/>
      <c r="J85"/>
      <c r="K85"/>
      <c r="L85"/>
      <c r="M85"/>
      <c r="N85"/>
      <c r="O85"/>
      <c r="P85"/>
      <c r="Q85"/>
      <c r="R85"/>
      <c r="S85"/>
      <c r="T85"/>
    </row>
    <row r="86" spans="2:20">
      <c r="B86" t="s">
        <v>11730</v>
      </c>
      <c r="C86"/>
      <c r="D86"/>
      <c r="E86"/>
      <c r="F86"/>
      <c r="G86">
        <v>168000000</v>
      </c>
      <c r="H86"/>
      <c r="I86"/>
      <c r="J86"/>
      <c r="K86"/>
      <c r="L86"/>
      <c r="M86"/>
      <c r="N86"/>
      <c r="O86"/>
      <c r="P86"/>
      <c r="Q86"/>
      <c r="R86"/>
      <c r="S86"/>
      <c r="T86"/>
    </row>
    <row r="87" spans="2:20">
      <c r="B87" t="s">
        <v>11731</v>
      </c>
      <c r="C87"/>
      <c r="D87"/>
      <c r="E87"/>
      <c r="F87"/>
      <c r="G87">
        <v>295000000</v>
      </c>
      <c r="H87"/>
      <c r="I87"/>
      <c r="J87"/>
      <c r="K87"/>
      <c r="L87"/>
      <c r="M87"/>
      <c r="N87"/>
      <c r="O87"/>
      <c r="P87"/>
      <c r="Q87"/>
      <c r="R87"/>
      <c r="S87"/>
      <c r="T87"/>
    </row>
    <row r="88" spans="2:20">
      <c r="B88" t="s">
        <v>11732</v>
      </c>
      <c r="C88"/>
      <c r="D88"/>
      <c r="E88"/>
      <c r="F88"/>
      <c r="G88">
        <f>250000000-72787085</f>
        <v>177212915</v>
      </c>
      <c r="H88"/>
      <c r="I88"/>
      <c r="J88"/>
      <c r="K88"/>
      <c r="L88"/>
      <c r="M88"/>
      <c r="N88"/>
      <c r="O88"/>
      <c r="P88"/>
      <c r="Q88"/>
      <c r="R88"/>
      <c r="S88"/>
      <c r="T88"/>
    </row>
    <row r="89" spans="2:20">
      <c r="B89" t="s">
        <v>11733</v>
      </c>
      <c r="C89"/>
      <c r="D89"/>
      <c r="E89"/>
      <c r="F89"/>
      <c r="G89">
        <v>0</v>
      </c>
      <c r="H89"/>
      <c r="I89"/>
      <c r="J89"/>
      <c r="K89"/>
      <c r="L89"/>
      <c r="M89"/>
      <c r="N89"/>
      <c r="O89"/>
      <c r="P89"/>
      <c r="Q89"/>
      <c r="R89"/>
      <c r="S89"/>
      <c r="T89"/>
    </row>
    <row r="90" spans="2:20">
      <c r="B90" t="s">
        <v>11734</v>
      </c>
      <c r="C90"/>
      <c r="D90"/>
      <c r="E90"/>
      <c r="F90"/>
      <c r="G90">
        <v>50000000</v>
      </c>
      <c r="H90"/>
      <c r="I90"/>
      <c r="J90"/>
      <c r="K90"/>
      <c r="L90"/>
      <c r="M90"/>
      <c r="N90"/>
      <c r="O90"/>
      <c r="P90"/>
      <c r="Q90"/>
      <c r="R90"/>
      <c r="S90"/>
      <c r="T90"/>
    </row>
    <row r="91" spans="2:20">
      <c r="B91" t="s">
        <v>11735</v>
      </c>
      <c r="C91"/>
      <c r="D91"/>
      <c r="E91"/>
      <c r="F91"/>
      <c r="G91">
        <v>20000000</v>
      </c>
      <c r="H91"/>
      <c r="I91"/>
      <c r="J91"/>
      <c r="K91"/>
      <c r="L91"/>
      <c r="M91"/>
      <c r="N91"/>
      <c r="O91"/>
      <c r="P91"/>
      <c r="Q91"/>
      <c r="R91"/>
      <c r="S91"/>
      <c r="T91"/>
    </row>
    <row r="92" spans="2:20">
      <c r="B92" t="s">
        <v>11736</v>
      </c>
      <c r="C92"/>
      <c r="D92"/>
      <c r="E92"/>
      <c r="F92"/>
      <c r="G92" s="164">
        <v>0</v>
      </c>
      <c r="H92"/>
      <c r="I92"/>
      <c r="J92"/>
      <c r="K92"/>
      <c r="L92"/>
      <c r="M92"/>
      <c r="N92"/>
      <c r="O92"/>
      <c r="P92"/>
      <c r="Q92"/>
      <c r="R92"/>
      <c r="S92"/>
      <c r="T92"/>
    </row>
    <row r="93" spans="2:20">
      <c r="B93" s="94" t="s">
        <v>151</v>
      </c>
      <c r="C93" s="94"/>
      <c r="D93" s="94"/>
      <c r="E93" s="94"/>
      <c r="F93" s="94"/>
      <c r="G93" s="94">
        <f>SUM(G79:G92)</f>
        <v>9920275415</v>
      </c>
      <c r="H93"/>
      <c r="I93"/>
      <c r="J93"/>
      <c r="K93"/>
      <c r="L93"/>
      <c r="M93"/>
      <c r="N93"/>
      <c r="O93"/>
      <c r="P93"/>
      <c r="Q93"/>
      <c r="R93"/>
      <c r="S93"/>
      <c r="T93"/>
    </row>
    <row r="94" spans="2:20">
      <c r="B94"/>
      <c r="C94"/>
      <c r="D94"/>
      <c r="E94"/>
      <c r="F94"/>
      <c r="G94">
        <f>+G78-G93</f>
        <v>0</v>
      </c>
      <c r="H94"/>
      <c r="I94"/>
      <c r="J94"/>
      <c r="K94"/>
      <c r="L94"/>
      <c r="M94"/>
      <c r="N94"/>
      <c r="O94" t="s">
        <v>953</v>
      </c>
      <c r="P94" t="s">
        <v>954</v>
      </c>
      <c r="Q94"/>
      <c r="R94"/>
      <c r="S94"/>
      <c r="T94"/>
    </row>
    <row r="95" ht="15.6" spans="2:20">
      <c r="B95" s="2553" t="s">
        <v>11737</v>
      </c>
      <c r="C95"/>
      <c r="D95"/>
      <c r="E95"/>
      <c r="F95"/>
      <c r="G95"/>
      <c r="H95"/>
      <c r="I95"/>
      <c r="J95"/>
      <c r="K95"/>
      <c r="L95"/>
      <c r="M95"/>
      <c r="N95"/>
      <c r="O95"/>
      <c r="P95"/>
      <c r="Q95"/>
      <c r="R95"/>
      <c r="S95"/>
      <c r="T95"/>
    </row>
    <row r="96" spans="2:20">
      <c r="B96" t="s">
        <v>11733</v>
      </c>
      <c r="C96"/>
      <c r="D96"/>
      <c r="E96"/>
      <c r="F96"/>
      <c r="G96">
        <v>573378715</v>
      </c>
      <c r="H96"/>
      <c r="I96"/>
      <c r="J96"/>
      <c r="K96"/>
      <c r="L96"/>
      <c r="M96"/>
      <c r="N96"/>
      <c r="O96"/>
      <c r="P96" t="s">
        <v>2264</v>
      </c>
      <c r="Q96"/>
      <c r="R96"/>
      <c r="S96"/>
      <c r="T96"/>
    </row>
    <row r="97" spans="2:20">
      <c r="B97" t="str">
        <f>+B88</f>
        <v>Overhead - Team Lapangan</v>
      </c>
      <c r="G97" s="186">
        <v>72787085</v>
      </c>
      <c r="H97"/>
      <c r="I97"/>
      <c r="J97"/>
      <c r="K97"/>
      <c r="L97"/>
      <c r="M97"/>
      <c r="N97"/>
      <c r="O97"/>
      <c r="P97"/>
      <c r="Q97"/>
      <c r="R97"/>
      <c r="S97"/>
      <c r="T97"/>
    </row>
    <row r="98" spans="7:20">
      <c r="G98" s="164"/>
      <c r="H98"/>
      <c r="I98"/>
      <c r="J98"/>
      <c r="K98"/>
      <c r="L98"/>
      <c r="M98"/>
      <c r="N98"/>
      <c r="O98"/>
      <c r="P98"/>
      <c r="Q98"/>
      <c r="R98"/>
      <c r="S98"/>
      <c r="T98"/>
    </row>
    <row r="99" spans="2:20">
      <c r="B99" s="186" t="s">
        <v>11738</v>
      </c>
      <c r="G99" s="94">
        <f>SUM(G93:G97)</f>
        <v>10566441215</v>
      </c>
      <c r="H99"/>
      <c r="I99"/>
      <c r="J99"/>
      <c r="K99"/>
      <c r="L99"/>
      <c r="M99"/>
      <c r="N99"/>
      <c r="O99"/>
      <c r="P99"/>
      <c r="Q99"/>
      <c r="R99"/>
      <c r="S99"/>
      <c r="T99"/>
    </row>
    <row r="100" spans="2:20">
      <c r="B100"/>
      <c r="C100"/>
      <c r="D100"/>
      <c r="E100"/>
      <c r="F100"/>
      <c r="G100">
        <f>+G99-K45</f>
        <v>0</v>
      </c>
      <c r="H100"/>
      <c r="I100"/>
      <c r="J100"/>
      <c r="K100"/>
      <c r="L100"/>
      <c r="M100"/>
      <c r="N100"/>
      <c r="O100"/>
      <c r="P100"/>
      <c r="Q100"/>
      <c r="R100"/>
      <c r="S100"/>
      <c r="T100"/>
    </row>
    <row r="101" spans="2:20">
      <c r="B101"/>
      <c r="C101"/>
      <c r="D101"/>
      <c r="E101"/>
      <c r="F101"/>
      <c r="G101"/>
      <c r="H101"/>
      <c r="I101"/>
      <c r="J101"/>
      <c r="K101"/>
      <c r="L101"/>
      <c r="M101"/>
      <c r="N101"/>
      <c r="O101"/>
      <c r="P101"/>
      <c r="Q101"/>
      <c r="R101"/>
      <c r="S101"/>
      <c r="T101"/>
    </row>
    <row r="102" spans="2:2">
      <c r="B102" s="186" t="s">
        <v>11739</v>
      </c>
    </row>
    <row r="103" spans="2:7">
      <c r="B103" t="s">
        <v>11740</v>
      </c>
      <c r="C103"/>
      <c r="D103"/>
      <c r="E103"/>
      <c r="F103"/>
      <c r="G103"/>
    </row>
    <row r="104" spans="2:8">
      <c r="B104" t="s">
        <v>11741</v>
      </c>
      <c r="C104"/>
      <c r="D104"/>
      <c r="E104"/>
      <c r="F104"/>
      <c r="G104" s="159">
        <v>1974346000</v>
      </c>
      <c r="H104" s="159">
        <v>1974346000</v>
      </c>
    </row>
    <row r="105" spans="2:8">
      <c r="B105" t="s">
        <v>11742</v>
      </c>
      <c r="G105" s="1350">
        <v>2043595200</v>
      </c>
      <c r="H105" s="159">
        <f>+H104+G105</f>
        <v>4017941200</v>
      </c>
    </row>
    <row r="106" spans="2:10">
      <c r="B106" t="s">
        <v>11743</v>
      </c>
      <c r="F106" s="2401" t="s">
        <v>11744</v>
      </c>
      <c r="G106" s="1350">
        <f>+G148</f>
        <v>2396795200</v>
      </c>
      <c r="H106" s="159">
        <f>+H105+G106</f>
        <v>6414736400</v>
      </c>
      <c r="J106" s="186" t="s">
        <v>11745</v>
      </c>
    </row>
    <row r="107" spans="2:11">
      <c r="B107" t="s">
        <v>11746</v>
      </c>
      <c r="F107" s="2401" t="s">
        <v>11747</v>
      </c>
      <c r="G107" s="2402">
        <f>+G159</f>
        <v>2145000000</v>
      </c>
      <c r="H107" s="159">
        <f>+H106+G107</f>
        <v>8559736400</v>
      </c>
      <c r="J107" s="186" t="s">
        <v>11748</v>
      </c>
      <c r="K107" s="186">
        <f>+G79</f>
        <v>7938562500</v>
      </c>
    </row>
    <row r="108" spans="5:11">
      <c r="E108" s="186" t="s">
        <v>396</v>
      </c>
      <c r="G108" s="159">
        <f>SUM(G104:G107)</f>
        <v>8559736400</v>
      </c>
      <c r="J108" s="186" t="s">
        <v>11749</v>
      </c>
      <c r="K108" s="186">
        <v>5409262600</v>
      </c>
    </row>
    <row r="109" spans="7:11">
      <c r="G109" s="159"/>
      <c r="J109" s="186" t="s">
        <v>11750</v>
      </c>
      <c r="K109" s="186">
        <f>+K107-K108</f>
        <v>2529299900</v>
      </c>
    </row>
    <row r="110" spans="5:7">
      <c r="E110" s="186" t="s">
        <v>11751</v>
      </c>
      <c r="G110" s="159"/>
    </row>
    <row r="111" spans="5:7">
      <c r="E111" s="2113">
        <v>43888</v>
      </c>
      <c r="F111"/>
      <c r="G111">
        <v>174000000</v>
      </c>
    </row>
    <row r="112" spans="5:7">
      <c r="E112" s="2113">
        <v>43913</v>
      </c>
      <c r="F112"/>
      <c r="G112">
        <v>172024600</v>
      </c>
    </row>
    <row r="113" spans="5:7">
      <c r="E113" s="2113">
        <v>43935</v>
      </c>
      <c r="F113"/>
      <c r="G113">
        <v>185924600</v>
      </c>
    </row>
    <row r="114" spans="5:7">
      <c r="E114" s="2113">
        <v>43970</v>
      </c>
      <c r="F114"/>
      <c r="G114">
        <v>184674600</v>
      </c>
    </row>
    <row r="115" spans="5:7">
      <c r="E115" s="2113">
        <v>44008</v>
      </c>
      <c r="F115"/>
      <c r="G115" s="2926">
        <v>183424600</v>
      </c>
    </row>
    <row r="116" spans="5:8">
      <c r="E116" s="2113">
        <v>44042</v>
      </c>
      <c r="F116"/>
      <c r="G116" s="2926">
        <v>182174600</v>
      </c>
      <c r="H116" s="186" t="s">
        <v>11752</v>
      </c>
    </row>
    <row r="117" spans="5:7">
      <c r="E117" s="2113">
        <v>44067</v>
      </c>
      <c r="F117"/>
      <c r="G117" s="2926">
        <v>180924600</v>
      </c>
    </row>
    <row r="118" spans="5:7">
      <c r="E118" s="2113">
        <v>44103</v>
      </c>
      <c r="F118"/>
      <c r="G118" s="2926">
        <v>179674600</v>
      </c>
    </row>
    <row r="119" spans="5:7">
      <c r="E119" s="2113">
        <v>44130</v>
      </c>
      <c r="F119"/>
      <c r="G119" s="2926">
        <v>178424600</v>
      </c>
    </row>
    <row r="120" spans="5:7">
      <c r="E120" s="2113">
        <v>44161</v>
      </c>
      <c r="F120"/>
      <c r="G120" s="2926">
        <v>177174600</v>
      </c>
    </row>
    <row r="121" spans="5:7">
      <c r="E121" s="2113">
        <v>44188</v>
      </c>
      <c r="F121"/>
      <c r="G121" s="2927">
        <v>175924600</v>
      </c>
    </row>
    <row r="122" spans="3:7">
      <c r="C122" s="2928">
        <v>2</v>
      </c>
      <c r="E122" s="2929" t="s">
        <v>151</v>
      </c>
      <c r="F122"/>
      <c r="G122" s="94">
        <f>SUM(G111:G121)</f>
        <v>1974346000</v>
      </c>
    </row>
    <row r="123" spans="5:7">
      <c r="E123" s="2113">
        <v>44221</v>
      </c>
      <c r="F123"/>
      <c r="G123">
        <v>174674600</v>
      </c>
    </row>
    <row r="124" spans="5:7">
      <c r="E124" s="2113">
        <v>44252</v>
      </c>
      <c r="F124"/>
      <c r="G124">
        <v>173424600</v>
      </c>
    </row>
    <row r="125" spans="5:7">
      <c r="E125" s="2113">
        <v>44281</v>
      </c>
      <c r="F125"/>
      <c r="G125">
        <v>172174600</v>
      </c>
    </row>
    <row r="126" spans="5:7">
      <c r="E126" s="2113">
        <v>44312</v>
      </c>
      <c r="F126"/>
      <c r="G126">
        <v>170924600</v>
      </c>
    </row>
    <row r="127" spans="5:7">
      <c r="E127" s="2113">
        <v>44343</v>
      </c>
      <c r="F127"/>
      <c r="G127">
        <v>169674600</v>
      </c>
    </row>
    <row r="128" spans="5:8">
      <c r="E128" s="2113">
        <v>44372</v>
      </c>
      <c r="F128"/>
      <c r="G128">
        <v>168424600</v>
      </c>
      <c r="H128" s="186" t="s">
        <v>11752</v>
      </c>
    </row>
    <row r="129" spans="5:7">
      <c r="E129" s="2113">
        <v>44403</v>
      </c>
      <c r="F129"/>
      <c r="G129">
        <v>167174600</v>
      </c>
    </row>
    <row r="130" spans="5:7">
      <c r="E130" s="2113">
        <v>44438</v>
      </c>
      <c r="F130"/>
      <c r="G130">
        <v>165924600</v>
      </c>
    </row>
    <row r="131" spans="5:7">
      <c r="E131" s="2113">
        <v>44466</v>
      </c>
      <c r="F131"/>
      <c r="G131">
        <v>179674600</v>
      </c>
    </row>
    <row r="132" spans="5:7">
      <c r="E132" s="2113">
        <v>44496</v>
      </c>
      <c r="F132"/>
      <c r="G132">
        <f>278424600-100000000</f>
        <v>178424600</v>
      </c>
    </row>
    <row r="133" spans="5:7">
      <c r="E133" s="2113">
        <v>44525</v>
      </c>
      <c r="F133"/>
      <c r="G133">
        <f>292174600-130000000</f>
        <v>162174600</v>
      </c>
    </row>
    <row r="134" spans="5:7">
      <c r="E134" s="2113">
        <v>44558</v>
      </c>
      <c r="F134"/>
      <c r="G134" s="164">
        <f>290924600-130000000</f>
        <v>160924600</v>
      </c>
    </row>
    <row r="135" spans="3:8">
      <c r="C135" s="2928">
        <v>2</v>
      </c>
      <c r="E135" s="2929" t="s">
        <v>151</v>
      </c>
      <c r="F135"/>
      <c r="G135" s="94">
        <f>SUM(G123:G134)</f>
        <v>2043595200</v>
      </c>
      <c r="H135" s="186">
        <f>+G135+G122</f>
        <v>4017941200</v>
      </c>
    </row>
    <row r="136" spans="5:7">
      <c r="E136" s="2113">
        <v>44587</v>
      </c>
      <c r="F136"/>
      <c r="G136">
        <v>289674600</v>
      </c>
    </row>
    <row r="137" spans="5:7">
      <c r="E137" s="2113">
        <v>44621</v>
      </c>
      <c r="F137"/>
      <c r="G137">
        <v>288424600</v>
      </c>
    </row>
    <row r="138" spans="5:7">
      <c r="E138" s="2113">
        <v>44649</v>
      </c>
      <c r="F138"/>
      <c r="G138">
        <v>287174600</v>
      </c>
    </row>
    <row r="139" spans="5:7">
      <c r="E139" s="2113">
        <v>44677</v>
      </c>
      <c r="F139"/>
      <c r="G139">
        <v>290924600</v>
      </c>
    </row>
    <row r="140" spans="5:7">
      <c r="E140" s="2113">
        <v>44706</v>
      </c>
      <c r="F140"/>
      <c r="G140">
        <v>159624600</v>
      </c>
    </row>
    <row r="141" spans="5:8">
      <c r="E141" s="2113">
        <v>44739</v>
      </c>
      <c r="F141"/>
      <c r="G141">
        <v>158324600</v>
      </c>
      <c r="H141" s="186" t="s">
        <v>11752</v>
      </c>
    </row>
    <row r="142" spans="5:7">
      <c r="E142" s="2113">
        <v>44768</v>
      </c>
      <c r="F142"/>
      <c r="G142">
        <v>157024600</v>
      </c>
    </row>
    <row r="143" spans="5:7">
      <c r="E143" s="2113">
        <v>44795</v>
      </c>
      <c r="F143"/>
      <c r="G143">
        <v>155724600</v>
      </c>
    </row>
    <row r="144" spans="5:7">
      <c r="E144" s="2113">
        <v>44826</v>
      </c>
      <c r="F144"/>
      <c r="G144">
        <v>154424600</v>
      </c>
    </row>
    <row r="145" spans="5:7">
      <c r="E145" s="2113">
        <v>44860.5986689815</v>
      </c>
      <c r="F145"/>
      <c r="G145" s="2926">
        <v>153124600</v>
      </c>
    </row>
    <row r="146" spans="5:7">
      <c r="E146" s="2113">
        <v>44890.5656597222</v>
      </c>
      <c r="F146"/>
      <c r="G146" s="2926">
        <v>151824600</v>
      </c>
    </row>
    <row r="147" spans="5:7">
      <c r="E147" s="2113">
        <v>44921.5234837963</v>
      </c>
      <c r="F147"/>
      <c r="G147" s="2927">
        <v>150524600</v>
      </c>
    </row>
    <row r="148" spans="3:8">
      <c r="C148" s="2928">
        <v>21</v>
      </c>
      <c r="E148" s="2929" t="s">
        <v>151</v>
      </c>
      <c r="F148" s="1"/>
      <c r="G148" s="94">
        <f>SUM(G136:G147)</f>
        <v>2396795200</v>
      </c>
      <c r="H148" s="186">
        <f>+H135+G148</f>
        <v>6414736400</v>
      </c>
    </row>
    <row r="149" spans="5:5">
      <c r="E149" s="2930"/>
    </row>
    <row r="150" spans="5:7">
      <c r="E150" s="2931" t="s">
        <v>11753</v>
      </c>
      <c r="F150" s="2932"/>
      <c r="G150" s="1"/>
    </row>
    <row r="151" spans="5:7">
      <c r="E151" s="2113">
        <v>43769</v>
      </c>
      <c r="F151"/>
      <c r="G151">
        <v>100000000</v>
      </c>
    </row>
    <row r="152" spans="5:7">
      <c r="E152" s="2113">
        <v>43791</v>
      </c>
      <c r="F152"/>
      <c r="G152">
        <v>300000000</v>
      </c>
    </row>
    <row r="153" spans="5:7">
      <c r="E153" s="2113">
        <v>43819</v>
      </c>
      <c r="F153"/>
      <c r="G153">
        <v>385000000</v>
      </c>
    </row>
    <row r="154" spans="5:7">
      <c r="E154" s="2113">
        <v>43858</v>
      </c>
      <c r="F154"/>
      <c r="G154">
        <v>500000000</v>
      </c>
    </row>
    <row r="155" spans="5:7">
      <c r="E155" s="2113">
        <v>43993</v>
      </c>
      <c r="F155"/>
      <c r="G155">
        <v>500000000</v>
      </c>
    </row>
    <row r="156" spans="5:7">
      <c r="E156" s="2113">
        <v>44496</v>
      </c>
      <c r="F156"/>
      <c r="G156">
        <v>100000000</v>
      </c>
    </row>
    <row r="157" spans="5:7">
      <c r="E157" s="2113">
        <v>44525</v>
      </c>
      <c r="F157"/>
      <c r="G157">
        <v>130000000</v>
      </c>
    </row>
    <row r="158" spans="5:7">
      <c r="E158" s="2113">
        <v>44558</v>
      </c>
      <c r="F158"/>
      <c r="G158">
        <v>130000000</v>
      </c>
    </row>
    <row r="159" spans="3:8">
      <c r="C159" s="2928">
        <v>21</v>
      </c>
      <c r="E159" s="2113"/>
      <c r="F159"/>
      <c r="G159" s="94">
        <f>SUM(G151:G158)</f>
        <v>2145000000</v>
      </c>
      <c r="H159" s="186">
        <f>+H148+G159</f>
        <v>8559736400</v>
      </c>
    </row>
    <row r="160" spans="5:5">
      <c r="E160" s="2933"/>
    </row>
    <row r="161" spans="3:3">
      <c r="C161" s="2933" t="s">
        <v>11754</v>
      </c>
    </row>
    <row r="162" spans="3:7">
      <c r="C162" s="2933" t="s">
        <v>11755</v>
      </c>
      <c r="G162" s="186">
        <v>2145000000</v>
      </c>
    </row>
    <row r="163" spans="3:3">
      <c r="C163" s="2934" t="s">
        <v>11756</v>
      </c>
    </row>
    <row r="165" spans="3:3">
      <c r="C165" s="186" t="s">
        <v>11757</v>
      </c>
    </row>
    <row r="166" spans="3:3">
      <c r="C166" s="186" t="s">
        <v>11758</v>
      </c>
    </row>
    <row r="167" spans="3:7">
      <c r="C167" s="2928" t="s">
        <v>625</v>
      </c>
      <c r="D167" s="2928"/>
      <c r="E167" s="2928" t="str">
        <f>+DD!C14</f>
        <v>Utang Lain2 Jpd - PT Mitra Energi Buana - Kompresor (Investasi)</v>
      </c>
      <c r="F167" s="2928"/>
      <c r="G167" s="2928">
        <f>+G162</f>
        <v>2145000000</v>
      </c>
    </row>
    <row r="168" spans="3:7">
      <c r="C168" s="2928" t="s">
        <v>626</v>
      </c>
      <c r="D168" s="2928"/>
      <c r="E168" s="2928" t="str">
        <f>+B14</f>
        <v>Investasi PT Mitra Energi Buana - Kompressor Palembang</v>
      </c>
      <c r="F168" s="2928"/>
      <c r="G168" s="2928"/>
    </row>
    <row r="170" spans="3:3">
      <c r="C170" s="186" t="s">
        <v>11759</v>
      </c>
    </row>
    <row r="172" spans="3:10">
      <c r="C172" s="2928" t="s">
        <v>625</v>
      </c>
      <c r="D172" s="2928"/>
      <c r="E172" s="2928" t="s">
        <v>11760</v>
      </c>
      <c r="F172" s="2928"/>
      <c r="H172" s="2935">
        <f>+DD!F23</f>
        <v>2396795200</v>
      </c>
      <c r="I172" s="2712"/>
      <c r="J172" s="2935">
        <v>0</v>
      </c>
    </row>
    <row r="173" spans="3:10">
      <c r="C173" s="2928"/>
      <c r="D173" s="2928"/>
      <c r="E173" s="2928"/>
      <c r="F173" s="2928"/>
      <c r="H173" s="2935"/>
      <c r="I173" s="2712"/>
      <c r="J173" s="2935"/>
    </row>
    <row r="174" spans="3:10">
      <c r="C174" s="2928"/>
      <c r="D174" s="2928"/>
      <c r="E174" s="2928"/>
      <c r="F174" s="2928"/>
      <c r="H174" s="2935"/>
      <c r="I174" s="2712"/>
      <c r="J174" s="2935"/>
    </row>
    <row r="175" spans="3:10">
      <c r="C175" s="2928" t="s">
        <v>626</v>
      </c>
      <c r="E175" s="2928" t="s">
        <v>11761</v>
      </c>
      <c r="H175" s="2935">
        <v>0</v>
      </c>
      <c r="I175" s="2712"/>
      <c r="J175" s="2935">
        <v>1974346000</v>
      </c>
    </row>
    <row r="176" spans="3:10">
      <c r="C176" s="2928" t="s">
        <v>626</v>
      </c>
      <c r="E176" s="2928" t="s">
        <v>11762</v>
      </c>
      <c r="H176" s="2935">
        <v>0</v>
      </c>
      <c r="I176" s="2712"/>
      <c r="J176" s="2935">
        <v>2043595200</v>
      </c>
    </row>
    <row r="177" spans="3:10">
      <c r="C177" s="2928" t="s">
        <v>626</v>
      </c>
      <c r="E177" s="2928" t="s">
        <v>11763</v>
      </c>
      <c r="H177" s="2935">
        <v>0</v>
      </c>
      <c r="I177" s="2712"/>
      <c r="J177" s="2935">
        <v>2396795200</v>
      </c>
    </row>
    <row r="178" spans="3:8">
      <c r="C178" s="2928"/>
      <c r="E178" s="2928"/>
      <c r="H178" s="2928"/>
    </row>
    <row r="179" spans="3:8">
      <c r="C179" s="2928"/>
      <c r="E179" s="2928"/>
      <c r="H179" s="2928"/>
    </row>
    <row r="180" spans="3:8">
      <c r="C180" s="2928"/>
      <c r="E180" s="2928"/>
      <c r="H180" s="2928"/>
    </row>
    <row r="184" spans="2:2">
      <c r="B184" t="s">
        <v>952</v>
      </c>
    </row>
    <row r="185" spans="2:2">
      <c r="B185" t="s">
        <v>11764</v>
      </c>
    </row>
  </sheetData>
  <mergeCells count="8">
    <mergeCell ref="S9:T9"/>
    <mergeCell ref="S10:T10"/>
    <mergeCell ref="E37:H37"/>
    <mergeCell ref="J37:M37"/>
    <mergeCell ref="P37:S37"/>
    <mergeCell ref="G9:H10"/>
    <mergeCell ref="M9:N10"/>
    <mergeCell ref="B28:L30"/>
  </mergeCells>
  <printOptions horizontalCentered="1"/>
  <pageMargins left="0.905511811023622" right="0.511811023622047" top="0.905511811023622" bottom="0.511811023622047" header="0.511811023622047" footer="0.511811023622047"/>
  <pageSetup paperSize="9" scale="79" orientation="landscape"/>
  <headerFooter alignWithMargins="0"/>
  <drawing r:id="rId1"/>
  <legacyDrawing r:id="rId2"/>
  <oleObjects>
    <mc:AlternateContent xmlns:mc="http://schemas.openxmlformats.org/markup-compatibility/2006">
      <mc:Choice Requires="x14">
        <oleObject shapeId="4595713" progId="Paint.Picture" r:id="rId3">
          <objectPr defaultSize="0" r:id="rId4">
            <anchor moveWithCells="1">
              <from>
                <xdr:col>1</xdr:col>
                <xdr:colOff>146050</xdr:colOff>
                <xdr:row>25</xdr:row>
                <xdr:rowOff>0</xdr:rowOff>
              </from>
              <to>
                <xdr:col>1</xdr:col>
                <xdr:colOff>298450</xdr:colOff>
                <xdr:row>25</xdr:row>
                <xdr:rowOff>146050</xdr:rowOff>
              </to>
            </anchor>
          </objectPr>
        </oleObject>
      </mc:Choice>
      <mc:Fallback>
        <oleObject shapeId="4595713" progId="Paint.Picture" r:id="rId3"/>
      </mc:Fallback>
    </mc:AlternateContent>
    <mc:AlternateContent xmlns:mc="http://schemas.openxmlformats.org/markup-compatibility/2006">
      <mc:Choice Requires="x14">
        <oleObject shapeId="4595714" progId="Paint.Picture" r:id="rId5">
          <objectPr defaultSize="0" r:id="rId6">
            <anchor moveWithCells="1">
              <from>
                <xdr:col>1</xdr:col>
                <xdr:colOff>146050</xdr:colOff>
                <xdr:row>24</xdr:row>
                <xdr:rowOff>12700</xdr:rowOff>
              </from>
              <to>
                <xdr:col>1</xdr:col>
                <xdr:colOff>292100</xdr:colOff>
                <xdr:row>25</xdr:row>
                <xdr:rowOff>12700</xdr:rowOff>
              </to>
            </anchor>
          </objectPr>
        </oleObject>
      </mc:Choice>
      <mc:Fallback>
        <oleObject shapeId="4595714" progId="Paint.Picture" r:id="rId5"/>
      </mc:Fallback>
    </mc:AlternateContent>
    <mc:AlternateContent xmlns:mc="http://schemas.openxmlformats.org/markup-compatibility/2006">
      <mc:Choice Requires="x14">
        <oleObject shapeId="4595715" progId="Paint.Picture" r:id="rId7">
          <objectPr defaultSize="0" r:id="rId6">
            <anchor moveWithCells="1">
              <from>
                <xdr:col>16</xdr:col>
                <xdr:colOff>539750</xdr:colOff>
                <xdr:row>6</xdr:row>
                <xdr:rowOff>133350</xdr:rowOff>
              </from>
              <to>
                <xdr:col>16</xdr:col>
                <xdr:colOff>723900</xdr:colOff>
                <xdr:row>7</xdr:row>
                <xdr:rowOff>146050</xdr:rowOff>
              </to>
            </anchor>
          </objectPr>
        </oleObject>
      </mc:Choice>
      <mc:Fallback>
        <oleObject shapeId="4595715" progId="Paint.Picture" r:id="rId7"/>
      </mc:Fallback>
    </mc:AlternateContent>
    <mc:AlternateContent xmlns:mc="http://schemas.openxmlformats.org/markup-compatibility/2006">
      <mc:Choice Requires="x14">
        <oleObject shapeId="4595716" progId="Paint.Picture" r:id="rId8">
          <objectPr defaultSize="0" r:id="rId4">
            <anchor moveWithCells="1">
              <from>
                <xdr:col>11</xdr:col>
                <xdr:colOff>171450</xdr:colOff>
                <xdr:row>20</xdr:row>
                <xdr:rowOff>50800</xdr:rowOff>
              </from>
              <to>
                <xdr:col>11</xdr:col>
                <xdr:colOff>368300</xdr:colOff>
                <xdr:row>21</xdr:row>
                <xdr:rowOff>82550</xdr:rowOff>
              </to>
            </anchor>
          </objectPr>
        </oleObject>
      </mc:Choice>
      <mc:Fallback>
        <oleObject shapeId="4595716" progId="Paint.Picture" r:id="rId8"/>
      </mc:Fallback>
    </mc:AlternateContent>
  </oleObjects>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66"/>
  <sheetViews>
    <sheetView zoomScale="141" zoomScaleNormal="141" topLeftCell="B1" workbookViewId="0">
      <selection activeCell="H19" sqref="H19"/>
    </sheetView>
  </sheetViews>
  <sheetFormatPr defaultColWidth="9" defaultRowHeight="11.4"/>
  <cols>
    <col min="2" max="2" width="2.25" customWidth="1"/>
    <col min="3" max="3" width="28.7708333333333" customWidth="1"/>
    <col min="4" max="4" width="14.53125" customWidth="1"/>
    <col min="5" max="10" width="16.3333333333333" customWidth="1"/>
    <col min="11" max="12" width="15.1354166666667" customWidth="1"/>
  </cols>
  <sheetData>
    <row r="1" ht="13.2" spans="1:15">
      <c r="A1" s="101"/>
      <c r="B1" s="101"/>
      <c r="C1" s="101"/>
      <c r="D1" s="101"/>
      <c r="E1" s="101"/>
      <c r="F1" s="101"/>
      <c r="G1" s="101"/>
      <c r="H1" s="101"/>
      <c r="I1" s="101"/>
      <c r="J1" s="101"/>
      <c r="K1" s="101"/>
      <c r="L1" s="101"/>
      <c r="M1" s="101"/>
      <c r="N1" s="101"/>
      <c r="O1" s="101"/>
    </row>
    <row r="2" ht="13.2" spans="1:15">
      <c r="A2" s="101"/>
      <c r="B2" s="1806"/>
      <c r="C2" s="1806" t="s">
        <v>11765</v>
      </c>
      <c r="D2" s="1806"/>
      <c r="E2" s="1806"/>
      <c r="F2" s="1806"/>
      <c r="G2" s="1806"/>
      <c r="H2" s="1806"/>
      <c r="I2" s="1806"/>
      <c r="J2" s="1806"/>
      <c r="K2" s="1806"/>
      <c r="L2" s="1806"/>
      <c r="M2" s="101"/>
      <c r="N2" s="101"/>
      <c r="O2" s="101"/>
    </row>
    <row r="3" ht="13.2" spans="1:15">
      <c r="A3" s="101"/>
      <c r="B3" s="1806"/>
      <c r="C3" s="1806" t="s">
        <v>11766</v>
      </c>
      <c r="D3" s="1806"/>
      <c r="E3" s="1806"/>
      <c r="F3" s="1806"/>
      <c r="G3" s="1806"/>
      <c r="H3" s="1806"/>
      <c r="I3" s="1806"/>
      <c r="J3" s="1806"/>
      <c r="K3" s="1806"/>
      <c r="L3" s="1806"/>
      <c r="M3" s="101"/>
      <c r="N3" s="101"/>
      <c r="O3" s="101"/>
    </row>
    <row r="4" ht="13.2" spans="1:15">
      <c r="A4" s="101"/>
      <c r="B4" s="1806"/>
      <c r="C4" s="2891" t="s">
        <v>11766</v>
      </c>
      <c r="D4" s="2891"/>
      <c r="E4" s="2891"/>
      <c r="F4" s="2892">
        <v>44986</v>
      </c>
      <c r="G4" s="2892">
        <v>44896</v>
      </c>
      <c r="H4" s="2892">
        <v>44531</v>
      </c>
      <c r="I4" s="2891">
        <v>2020</v>
      </c>
      <c r="J4" s="2891">
        <v>2019</v>
      </c>
      <c r="K4" s="2891">
        <v>2018</v>
      </c>
      <c r="L4" s="2891">
        <v>2017</v>
      </c>
      <c r="M4" s="101"/>
      <c r="N4" s="101"/>
      <c r="O4" s="101"/>
    </row>
    <row r="5" ht="13.2" spans="1:15">
      <c r="A5" s="101"/>
      <c r="B5" s="1806"/>
      <c r="C5" s="2893" t="s">
        <v>11689</v>
      </c>
      <c r="D5" s="2893"/>
      <c r="E5" s="2894">
        <v>0</v>
      </c>
      <c r="F5" s="2894">
        <v>0</v>
      </c>
      <c r="G5" s="2894">
        <v>0</v>
      </c>
      <c r="H5" s="2894">
        <v>0</v>
      </c>
      <c r="I5" s="2894">
        <v>0</v>
      </c>
      <c r="J5" s="2894">
        <v>0</v>
      </c>
      <c r="K5" s="2894">
        <v>1148245350</v>
      </c>
      <c r="L5" s="2894">
        <v>1148245350</v>
      </c>
      <c r="M5" s="101"/>
      <c r="N5" s="101"/>
      <c r="O5" s="101"/>
    </row>
    <row r="6" ht="13.2" spans="1:15">
      <c r="A6" s="101"/>
      <c r="B6" s="1806"/>
      <c r="C6" s="2893" t="s">
        <v>11767</v>
      </c>
      <c r="D6" s="2893"/>
      <c r="E6" s="2895">
        <f>+F6</f>
        <v>10566441215</v>
      </c>
      <c r="F6" s="2895">
        <f>+G6</f>
        <v>10566441215</v>
      </c>
      <c r="G6" s="2895">
        <f>10566441215-DD!Q23</f>
        <v>10566441215</v>
      </c>
      <c r="H6" s="2895">
        <v>10566441215</v>
      </c>
      <c r="I6" s="2895">
        <v>10566441215</v>
      </c>
      <c r="J6" s="2895">
        <v>9920275415</v>
      </c>
      <c r="K6" s="2894">
        <v>0</v>
      </c>
      <c r="L6" s="2894">
        <v>0</v>
      </c>
      <c r="M6" s="101"/>
      <c r="N6" s="101"/>
      <c r="O6" s="101"/>
    </row>
    <row r="7" ht="13.2" spans="1:15">
      <c r="A7" s="101"/>
      <c r="B7" s="1806"/>
      <c r="C7" s="2893" t="s">
        <v>11691</v>
      </c>
      <c r="D7" s="2893"/>
      <c r="E7" s="2896">
        <v>415008000</v>
      </c>
      <c r="F7" s="2896">
        <v>415008000</v>
      </c>
      <c r="G7" s="2896">
        <v>415008000</v>
      </c>
      <c r="H7" s="2896">
        <v>415008000</v>
      </c>
      <c r="I7" s="2896">
        <v>415008000</v>
      </c>
      <c r="J7" s="1190">
        <v>246878740</v>
      </c>
      <c r="K7" s="2894">
        <v>0</v>
      </c>
      <c r="L7" s="2894">
        <v>0</v>
      </c>
      <c r="M7" s="101"/>
      <c r="N7" s="101"/>
      <c r="O7" s="101"/>
    </row>
    <row r="8" ht="13.95" spans="1:15">
      <c r="A8" s="101"/>
      <c r="B8" s="1806"/>
      <c r="C8" s="2893" t="s">
        <v>675</v>
      </c>
      <c r="D8" s="2893"/>
      <c r="E8" s="2897">
        <f>SUM(E5:E7)</f>
        <v>10981449215</v>
      </c>
      <c r="F8" s="2897">
        <f>SUM(F5:F7)</f>
        <v>10981449215</v>
      </c>
      <c r="G8" s="2897">
        <f>SUM(G5:G7)</f>
        <v>10981449215</v>
      </c>
      <c r="H8" s="2897">
        <f t="shared" ref="H8:L8" si="0">SUM(H5:H7)</f>
        <v>10981449215</v>
      </c>
      <c r="I8" s="2897">
        <f t="shared" si="0"/>
        <v>10981449215</v>
      </c>
      <c r="J8" s="2897">
        <f t="shared" si="0"/>
        <v>10167154155</v>
      </c>
      <c r="K8" s="2897">
        <f t="shared" si="0"/>
        <v>1148245350</v>
      </c>
      <c r="L8" s="2897">
        <f t="shared" si="0"/>
        <v>1148245350</v>
      </c>
      <c r="M8" s="101"/>
      <c r="N8" s="101"/>
      <c r="O8" s="101"/>
    </row>
    <row r="9" ht="13.95" spans="1:15">
      <c r="A9" s="101"/>
      <c r="B9" s="1806"/>
      <c r="C9" s="1806"/>
      <c r="D9" s="1806"/>
      <c r="E9" s="1806"/>
      <c r="F9" s="1806"/>
      <c r="G9" s="1806"/>
      <c r="H9" s="1806"/>
      <c r="I9" s="1806"/>
      <c r="J9" s="1806"/>
      <c r="K9" s="1806"/>
      <c r="L9" s="1806"/>
      <c r="M9" s="101"/>
      <c r="N9" s="101"/>
      <c r="O9" s="101"/>
    </row>
    <row r="10" ht="13.2" spans="1:15">
      <c r="A10" s="101"/>
      <c r="B10" s="1806"/>
      <c r="C10" s="1806"/>
      <c r="D10" s="1806"/>
      <c r="E10" s="1806"/>
      <c r="F10" s="1190"/>
      <c r="G10" s="1190"/>
      <c r="H10" s="1806"/>
      <c r="I10" s="1806" t="s">
        <v>11768</v>
      </c>
      <c r="J10" s="1806"/>
      <c r="K10" s="1806"/>
      <c r="L10" s="1806"/>
      <c r="M10" s="101"/>
      <c r="N10" s="101"/>
      <c r="O10" s="101"/>
    </row>
    <row r="11" ht="13.2" spans="1:15">
      <c r="A11" s="101"/>
      <c r="B11" s="1806" t="s">
        <v>732</v>
      </c>
      <c r="C11" s="1806" t="str">
        <f>+C5</f>
        <v>WTP-Puri Dharmawangsa Hotel</v>
      </c>
      <c r="D11" s="1806"/>
      <c r="E11" s="1806"/>
      <c r="F11" s="1806"/>
      <c r="G11" s="1806"/>
      <c r="H11" s="1806"/>
      <c r="I11" s="1806"/>
      <c r="J11" s="1806"/>
      <c r="K11" s="1806"/>
      <c r="L11" s="1806"/>
      <c r="M11" s="101"/>
      <c r="N11" s="101"/>
      <c r="O11" s="101"/>
    </row>
    <row r="12" ht="13.2" spans="1:15">
      <c r="A12" s="101"/>
      <c r="B12" s="1806"/>
      <c r="C12" s="1806" t="s">
        <v>11769</v>
      </c>
      <c r="D12" s="1806"/>
      <c r="E12" s="1806"/>
      <c r="F12" s="1806"/>
      <c r="G12" s="1806"/>
      <c r="H12" s="1806"/>
      <c r="I12" s="1806"/>
      <c r="J12" s="1806"/>
      <c r="K12" s="1806"/>
      <c r="L12" s="1806"/>
      <c r="M12" s="101"/>
      <c r="N12" s="101"/>
      <c r="O12" s="101"/>
    </row>
    <row r="13" ht="13.2" spans="1:15">
      <c r="A13" s="101"/>
      <c r="B13" s="1806"/>
      <c r="C13" s="1806" t="s">
        <v>11770</v>
      </c>
      <c r="D13" s="1806"/>
      <c r="E13" s="1806"/>
      <c r="F13" s="1806"/>
      <c r="G13" s="1806"/>
      <c r="H13" s="1806"/>
      <c r="I13" s="1806"/>
      <c r="J13" s="1806"/>
      <c r="K13" s="1806"/>
      <c r="L13" s="1806"/>
      <c r="M13" s="101"/>
      <c r="N13" s="101"/>
      <c r="O13" s="101"/>
    </row>
    <row r="14" ht="13.2" spans="1:15">
      <c r="A14" s="101"/>
      <c r="B14" s="1806"/>
      <c r="D14" s="1806"/>
      <c r="E14" s="1806"/>
      <c r="F14" s="1806"/>
      <c r="G14" s="1806"/>
      <c r="H14" s="1806"/>
      <c r="I14" s="1806"/>
      <c r="J14" s="1806"/>
      <c r="K14" s="1806"/>
      <c r="L14" s="1806"/>
      <c r="M14" s="101"/>
      <c r="N14" s="101"/>
      <c r="O14" s="101"/>
    </row>
    <row r="15" ht="13.2" spans="1:15">
      <c r="A15" s="101"/>
      <c r="B15" s="1806"/>
      <c r="C15" s="1806"/>
      <c r="D15" s="1806"/>
      <c r="E15" s="1806"/>
      <c r="F15" s="1806"/>
      <c r="G15" s="1806"/>
      <c r="H15" s="1806"/>
      <c r="I15" s="1806"/>
      <c r="J15" s="1806"/>
      <c r="K15" s="1806"/>
      <c r="L15" s="1806"/>
      <c r="M15" s="101"/>
      <c r="N15" s="101"/>
      <c r="O15" s="101"/>
    </row>
    <row r="16" ht="13.2" spans="2:12">
      <c r="B16" s="1806" t="s">
        <v>735</v>
      </c>
      <c r="C16" s="1" t="str">
        <f>+C7</f>
        <v>WTP - Graha Niaga</v>
      </c>
      <c r="D16" s="1806" t="s">
        <v>11771</v>
      </c>
      <c r="E16" s="1"/>
      <c r="F16" s="1"/>
      <c r="G16" s="1"/>
      <c r="H16" s="1"/>
      <c r="I16" s="1"/>
      <c r="J16" s="1"/>
      <c r="K16" s="1"/>
      <c r="L16" s="1"/>
    </row>
    <row r="17" customFormat="1" ht="13.2" spans="2:12">
      <c r="B17" s="1806"/>
      <c r="C17" s="1806" t="s">
        <v>11772</v>
      </c>
      <c r="D17" s="1806"/>
      <c r="E17" s="1"/>
      <c r="F17" s="1"/>
      <c r="G17" s="1"/>
      <c r="H17" s="1"/>
      <c r="I17" s="1"/>
      <c r="J17" s="1"/>
      <c r="K17" s="1"/>
      <c r="L17" s="1"/>
    </row>
    <row r="18" customFormat="1" ht="13.2" spans="2:12">
      <c r="B18" s="1806"/>
      <c r="C18" s="1806" t="s">
        <v>11773</v>
      </c>
      <c r="D18" s="1806"/>
      <c r="E18" s="1"/>
      <c r="F18" s="1"/>
      <c r="G18" s="1"/>
      <c r="H18" s="1"/>
      <c r="I18" s="1"/>
      <c r="J18" s="1"/>
      <c r="K18" s="1"/>
      <c r="L18" s="1"/>
    </row>
    <row r="19" customFormat="1" ht="13.2" spans="2:12">
      <c r="B19" s="1806"/>
      <c r="C19" s="1806" t="s">
        <v>11774</v>
      </c>
      <c r="D19" s="1806"/>
      <c r="E19" s="1"/>
      <c r="F19" s="1"/>
      <c r="G19" s="1"/>
      <c r="H19" s="1"/>
      <c r="I19" s="1"/>
      <c r="J19" s="1"/>
      <c r="K19" s="1"/>
      <c r="L19" s="1"/>
    </row>
    <row r="20" customFormat="1" ht="13.2" spans="2:12">
      <c r="B20" s="1806"/>
      <c r="C20" s="1806" t="s">
        <v>11775</v>
      </c>
      <c r="D20" s="1806"/>
      <c r="E20" s="1"/>
      <c r="F20" s="1"/>
      <c r="G20" s="1"/>
      <c r="H20" s="1"/>
      <c r="I20" s="1"/>
      <c r="J20" s="1"/>
      <c r="K20" s="1"/>
      <c r="L20" s="1"/>
    </row>
    <row r="21" customFormat="1" ht="13.2" spans="2:12">
      <c r="B21" s="1806"/>
      <c r="C21" s="1"/>
      <c r="D21" s="1806"/>
      <c r="E21" s="1"/>
      <c r="F21" s="1"/>
      <c r="G21" s="1"/>
      <c r="H21" s="1"/>
      <c r="I21" s="1"/>
      <c r="J21" s="1"/>
      <c r="K21" s="1"/>
      <c r="L21" s="1"/>
    </row>
    <row r="22" ht="13.2" spans="2:12">
      <c r="B22" s="1806"/>
      <c r="C22" s="1"/>
      <c r="D22" s="2898">
        <v>2025</v>
      </c>
      <c r="E22" s="2898">
        <v>2024</v>
      </c>
      <c r="F22" s="2898">
        <v>2023</v>
      </c>
      <c r="G22" s="2899">
        <v>2022</v>
      </c>
      <c r="H22" s="2899">
        <v>2021</v>
      </c>
      <c r="I22" s="2903">
        <v>2020</v>
      </c>
      <c r="J22" s="2904">
        <v>2019</v>
      </c>
      <c r="K22" s="1"/>
      <c r="L22" s="1"/>
    </row>
    <row r="23" ht="13.2" spans="2:12">
      <c r="B23" s="1"/>
      <c r="C23" s="1806" t="s">
        <v>11776</v>
      </c>
      <c r="D23" s="1062">
        <f>+E23</f>
        <v>415008000</v>
      </c>
      <c r="E23" s="1062">
        <f>+E7</f>
        <v>415008000</v>
      </c>
      <c r="F23" s="1062">
        <f>+F7</f>
        <v>415008000</v>
      </c>
      <c r="G23" s="1062">
        <f>+G7</f>
        <v>415008000</v>
      </c>
      <c r="H23" s="1062">
        <f>+H7</f>
        <v>415008000</v>
      </c>
      <c r="I23" s="1062">
        <f>+I7</f>
        <v>415008000</v>
      </c>
      <c r="J23" s="1062">
        <f>+J33</f>
        <v>246878740</v>
      </c>
      <c r="K23" s="1"/>
      <c r="L23" s="1"/>
    </row>
    <row r="24" spans="2:12">
      <c r="B24" s="1"/>
      <c r="C24" s="1"/>
      <c r="D24" s="1062">
        <f t="shared" ref="D24:I24" si="1">+D23/5</f>
        <v>83001600</v>
      </c>
      <c r="E24" s="1062">
        <f t="shared" si="1"/>
        <v>83001600</v>
      </c>
      <c r="F24" s="1062">
        <f t="shared" si="1"/>
        <v>83001600</v>
      </c>
      <c r="G24" s="1062">
        <f t="shared" si="1"/>
        <v>83001600</v>
      </c>
      <c r="H24" s="1062">
        <f t="shared" si="1"/>
        <v>83001600</v>
      </c>
      <c r="I24" s="1062">
        <f t="shared" si="1"/>
        <v>83001600</v>
      </c>
      <c r="J24" s="1062">
        <v>0</v>
      </c>
      <c r="K24" s="1"/>
      <c r="L24" s="1"/>
    </row>
    <row r="25" ht="13.2" spans="2:12">
      <c r="B25" s="1"/>
      <c r="C25" s="1806" t="s">
        <v>11777</v>
      </c>
      <c r="D25" s="1062">
        <f t="shared" ref="D25:I25" si="2">+(D24/12)</f>
        <v>6916800</v>
      </c>
      <c r="E25" s="1062">
        <f t="shared" si="2"/>
        <v>6916800</v>
      </c>
      <c r="F25" s="1062">
        <f t="shared" si="2"/>
        <v>6916800</v>
      </c>
      <c r="G25" s="1062">
        <f t="shared" si="2"/>
        <v>6916800</v>
      </c>
      <c r="H25" s="1062">
        <f t="shared" si="2"/>
        <v>6916800</v>
      </c>
      <c r="I25" s="1062">
        <f t="shared" si="2"/>
        <v>6916800</v>
      </c>
      <c r="J25" s="1062">
        <f>+J24/12</f>
        <v>0</v>
      </c>
      <c r="K25" s="1"/>
      <c r="L25" s="1"/>
    </row>
    <row r="26" ht="13.2" spans="2:12">
      <c r="B26" s="1"/>
      <c r="C26" s="1806" t="s">
        <v>11778</v>
      </c>
      <c r="D26" s="1062">
        <v>15000000</v>
      </c>
      <c r="E26" s="1062">
        <v>15000000</v>
      </c>
      <c r="F26" s="1062">
        <v>15000000</v>
      </c>
      <c r="G26" s="1062">
        <v>15000000</v>
      </c>
      <c r="H26" s="1062">
        <v>15000000</v>
      </c>
      <c r="I26" s="1062">
        <v>15000000</v>
      </c>
      <c r="J26" s="1062">
        <v>0</v>
      </c>
      <c r="K26" s="1"/>
      <c r="L26" s="1"/>
    </row>
    <row r="27" ht="13.2" spans="2:12">
      <c r="B27" s="1"/>
      <c r="C27" s="1806" t="s">
        <v>11779</v>
      </c>
      <c r="D27" s="1062">
        <f t="shared" ref="D27:J27" si="3">+D26-D25</f>
        <v>8083200</v>
      </c>
      <c r="E27" s="1062">
        <f t="shared" si="3"/>
        <v>8083200</v>
      </c>
      <c r="F27" s="1062">
        <f t="shared" si="3"/>
        <v>8083200</v>
      </c>
      <c r="G27" s="1062">
        <f t="shared" si="3"/>
        <v>8083200</v>
      </c>
      <c r="H27" s="1062">
        <f t="shared" si="3"/>
        <v>8083200</v>
      </c>
      <c r="I27" s="1062">
        <f t="shared" si="3"/>
        <v>8083200</v>
      </c>
      <c r="J27" s="1062">
        <f t="shared" si="3"/>
        <v>0</v>
      </c>
      <c r="K27" s="1"/>
      <c r="L27" s="1"/>
    </row>
    <row r="28" ht="13.2" spans="2:12">
      <c r="B28" s="1"/>
      <c r="C28" s="1806" t="s">
        <v>11780</v>
      </c>
      <c r="D28" s="1062">
        <f t="shared" ref="D28:J28" si="4">+D27*12</f>
        <v>96998400</v>
      </c>
      <c r="E28" s="1062">
        <f t="shared" si="4"/>
        <v>96998400</v>
      </c>
      <c r="F28" s="1062">
        <f t="shared" si="4"/>
        <v>96998400</v>
      </c>
      <c r="G28" s="1062">
        <f t="shared" si="4"/>
        <v>96998400</v>
      </c>
      <c r="H28" s="1062">
        <f t="shared" si="4"/>
        <v>96998400</v>
      </c>
      <c r="I28" s="1062">
        <f t="shared" si="4"/>
        <v>96998400</v>
      </c>
      <c r="J28" s="1062">
        <f t="shared" si="4"/>
        <v>0</v>
      </c>
      <c r="K28" s="1"/>
      <c r="L28" s="1"/>
    </row>
    <row r="29" spans="2:12">
      <c r="B29" s="1"/>
      <c r="C29" s="1"/>
      <c r="D29" s="1"/>
      <c r="E29" s="1"/>
      <c r="F29" s="1"/>
      <c r="G29" s="1"/>
      <c r="H29" s="1"/>
      <c r="I29" s="1062"/>
      <c r="J29" s="1"/>
      <c r="K29" s="1"/>
      <c r="L29" s="1"/>
    </row>
    <row r="30" ht="13.2" spans="2:12">
      <c r="B30" s="1"/>
      <c r="C30" s="1"/>
      <c r="D30" s="2898">
        <f>+E30+1</f>
        <v>2025</v>
      </c>
      <c r="E30" s="2898">
        <f t="shared" ref="D30:H31" si="5">+F30+1</f>
        <v>2024</v>
      </c>
      <c r="F30" s="2898">
        <f t="shared" si="5"/>
        <v>2023</v>
      </c>
      <c r="G30" s="2899">
        <f t="shared" si="5"/>
        <v>2022</v>
      </c>
      <c r="H30" s="2899">
        <f t="shared" si="5"/>
        <v>2021</v>
      </c>
      <c r="I30" s="2903">
        <f>+I4</f>
        <v>2020</v>
      </c>
      <c r="J30" s="2904">
        <f>+J4</f>
        <v>2019</v>
      </c>
      <c r="K30" s="1"/>
      <c r="L30" s="1"/>
    </row>
    <row r="31" ht="13.2" spans="2:12">
      <c r="B31" s="1"/>
      <c r="C31" s="2900" t="s">
        <v>11781</v>
      </c>
      <c r="D31" s="1">
        <f t="shared" si="5"/>
        <v>5</v>
      </c>
      <c r="E31" s="1">
        <f t="shared" si="5"/>
        <v>4</v>
      </c>
      <c r="F31" s="1">
        <f t="shared" si="5"/>
        <v>3</v>
      </c>
      <c r="G31" s="1">
        <f t="shared" si="5"/>
        <v>2</v>
      </c>
      <c r="H31" s="1">
        <f t="shared" si="5"/>
        <v>1</v>
      </c>
      <c r="I31" s="1">
        <v>0</v>
      </c>
      <c r="J31" s="1"/>
      <c r="K31" s="1"/>
      <c r="L31" s="1"/>
    </row>
    <row r="32" ht="13.2" spans="2:12">
      <c r="B32" s="1"/>
      <c r="C32" s="1806" t="s">
        <v>1028</v>
      </c>
      <c r="D32" s="1062">
        <f>+E32+E33</f>
        <v>415008000</v>
      </c>
      <c r="E32" s="1062">
        <f>+F32+F33</f>
        <v>415008000</v>
      </c>
      <c r="F32" s="1062">
        <f>+G32+G33</f>
        <v>415008000</v>
      </c>
      <c r="G32" s="1062">
        <f>+H32+H33</f>
        <v>415008000</v>
      </c>
      <c r="H32" s="1062">
        <f>+I32+I33</f>
        <v>415008000</v>
      </c>
      <c r="I32" s="1062">
        <f>+J37</f>
        <v>246878740</v>
      </c>
      <c r="J32" s="1"/>
      <c r="K32" s="1"/>
      <c r="L32" s="1"/>
    </row>
    <row r="33" ht="13.2" spans="2:12">
      <c r="B33" s="1"/>
      <c r="C33" s="1806" t="s">
        <v>1816</v>
      </c>
      <c r="D33" s="1"/>
      <c r="E33" s="1"/>
      <c r="F33" s="1"/>
      <c r="G33" s="1"/>
      <c r="H33" s="1"/>
      <c r="I33" s="2546">
        <f>+[95]H!$R$35</f>
        <v>168129260</v>
      </c>
      <c r="J33" s="1062">
        <f>+J7</f>
        <v>246878740</v>
      </c>
      <c r="K33" s="1"/>
      <c r="L33" s="1"/>
    </row>
    <row r="34" ht="13.2" spans="2:12">
      <c r="B34" s="1"/>
      <c r="C34" s="1806" t="s">
        <v>11782</v>
      </c>
      <c r="D34" s="1062">
        <f>-D35+E34</f>
        <v>-415008000</v>
      </c>
      <c r="E34" s="1062">
        <f>-E35+F34</f>
        <v>-352756800</v>
      </c>
      <c r="F34" s="1062">
        <f>-F35+G34</f>
        <v>-269755200</v>
      </c>
      <c r="G34" s="1062">
        <f>-G35+H34</f>
        <v>-186753600</v>
      </c>
      <c r="H34" s="1062">
        <f>-H35+I34</f>
        <v>-103752000</v>
      </c>
      <c r="I34" s="1062">
        <f>-I35</f>
        <v>-20750400</v>
      </c>
      <c r="J34" s="1062">
        <f>-J35</f>
        <v>0</v>
      </c>
      <c r="K34" s="1"/>
      <c r="L34" s="1"/>
    </row>
    <row r="35" ht="13.2" spans="2:12">
      <c r="B35" s="1"/>
      <c r="C35" s="2901" t="s">
        <v>11783</v>
      </c>
      <c r="D35" s="1062">
        <f>+D45*9</f>
        <v>62251200</v>
      </c>
      <c r="E35" s="1062">
        <f>+E45*12</f>
        <v>83001600</v>
      </c>
      <c r="F35" s="1062">
        <f>+F45*12</f>
        <v>83001600</v>
      </c>
      <c r="G35" s="1062">
        <f>+G45*12</f>
        <v>83001600</v>
      </c>
      <c r="H35" s="1062">
        <f>+H45*12</f>
        <v>83001600</v>
      </c>
      <c r="I35" s="1062">
        <f>+I45*3</f>
        <v>20750400</v>
      </c>
      <c r="J35" s="1062">
        <f>+J44*12</f>
        <v>0</v>
      </c>
      <c r="K35" s="1"/>
      <c r="L35" s="1"/>
    </row>
    <row r="36" ht="13.2" spans="2:12">
      <c r="B36" s="1"/>
      <c r="C36" s="1806"/>
      <c r="D36" s="2097"/>
      <c r="E36" s="2097"/>
      <c r="F36" s="2097"/>
      <c r="G36" s="2097"/>
      <c r="H36" s="2097"/>
      <c r="I36" s="2097">
        <v>0</v>
      </c>
      <c r="J36" s="2097">
        <v>0</v>
      </c>
      <c r="K36" s="1"/>
      <c r="L36" s="1"/>
    </row>
    <row r="37" ht="13.2" spans="2:12">
      <c r="B37" s="1"/>
      <c r="C37" s="1806" t="s">
        <v>1030</v>
      </c>
      <c r="D37" s="2902">
        <f>+D32+D34</f>
        <v>0</v>
      </c>
      <c r="E37" s="1062">
        <f>+E32+E34</f>
        <v>62251200</v>
      </c>
      <c r="F37" s="1062">
        <f>+F32+F34</f>
        <v>145252800</v>
      </c>
      <c r="G37" s="1062">
        <f>+G32+G34</f>
        <v>228254400</v>
      </c>
      <c r="H37" s="1062">
        <f>+H32+H34</f>
        <v>311256000</v>
      </c>
      <c r="I37" s="1062">
        <f>+I32+I33-I34</f>
        <v>435758400</v>
      </c>
      <c r="J37" s="1062">
        <f>+J32+J33-J34</f>
        <v>246878740</v>
      </c>
      <c r="K37" s="1"/>
      <c r="L37" s="1"/>
    </row>
    <row r="38" spans="2:12">
      <c r="B38" s="1"/>
      <c r="C38" s="1"/>
      <c r="D38" s="1"/>
      <c r="E38" s="1"/>
      <c r="F38" s="1"/>
      <c r="G38" s="1"/>
      <c r="H38" s="1"/>
      <c r="I38" s="1"/>
      <c r="J38" s="1"/>
      <c r="K38" s="1"/>
      <c r="L38" s="1"/>
    </row>
    <row r="39" spans="2:12">
      <c r="B39" s="1"/>
      <c r="C39" s="1"/>
      <c r="D39" s="1"/>
      <c r="E39" s="1"/>
      <c r="F39" s="1"/>
      <c r="G39" s="1"/>
      <c r="H39" s="1"/>
      <c r="I39" s="1"/>
      <c r="J39" s="1"/>
      <c r="K39" s="1"/>
      <c r="L39" s="1"/>
    </row>
    <row r="40" ht="13.2" spans="2:12">
      <c r="B40" s="1"/>
      <c r="C40" s="1806" t="s">
        <v>11784</v>
      </c>
      <c r="D40" s="1062">
        <f t="shared" ref="D40:J40" si="6">+D26</f>
        <v>15000000</v>
      </c>
      <c r="E40" s="1062">
        <f t="shared" si="6"/>
        <v>15000000</v>
      </c>
      <c r="F40" s="1062">
        <f t="shared" si="6"/>
        <v>15000000</v>
      </c>
      <c r="G40" s="1062">
        <f t="shared" si="6"/>
        <v>15000000</v>
      </c>
      <c r="H40" s="1062">
        <f t="shared" si="6"/>
        <v>15000000</v>
      </c>
      <c r="I40" s="1062">
        <f t="shared" si="6"/>
        <v>15000000</v>
      </c>
      <c r="J40" s="1062">
        <f t="shared" si="6"/>
        <v>0</v>
      </c>
      <c r="K40" s="1"/>
      <c r="L40" s="1"/>
    </row>
    <row r="41" ht="13.2" spans="2:12">
      <c r="B41" s="1"/>
      <c r="C41" s="1806" t="s">
        <v>11785</v>
      </c>
      <c r="D41" s="1062">
        <f t="shared" ref="D41:J41" si="7">-D40</f>
        <v>-15000000</v>
      </c>
      <c r="E41" s="1062">
        <f t="shared" si="7"/>
        <v>-15000000</v>
      </c>
      <c r="F41" s="1062">
        <f t="shared" si="7"/>
        <v>-15000000</v>
      </c>
      <c r="G41" s="1062">
        <f t="shared" si="7"/>
        <v>-15000000</v>
      </c>
      <c r="H41" s="1062">
        <f t="shared" si="7"/>
        <v>-15000000</v>
      </c>
      <c r="I41" s="1062">
        <f t="shared" si="7"/>
        <v>-15000000</v>
      </c>
      <c r="J41" s="1062">
        <f t="shared" si="7"/>
        <v>0</v>
      </c>
      <c r="K41" s="1"/>
      <c r="L41" s="1"/>
    </row>
    <row r="42" spans="2:12">
      <c r="B42" s="1"/>
      <c r="C42" s="1"/>
      <c r="D42" s="1"/>
      <c r="E42" s="1"/>
      <c r="F42" s="1"/>
      <c r="G42" s="1"/>
      <c r="H42" s="1"/>
      <c r="I42" s="1"/>
      <c r="J42" s="1"/>
      <c r="K42" s="1"/>
      <c r="L42" s="1"/>
    </row>
    <row r="43" ht="13.2" spans="2:12">
      <c r="B43" s="1"/>
      <c r="C43" s="1806" t="s">
        <v>11786</v>
      </c>
      <c r="D43" s="1062">
        <f t="shared" ref="D43:J43" si="8">+D27</f>
        <v>8083200</v>
      </c>
      <c r="E43" s="1062">
        <f t="shared" si="8"/>
        <v>8083200</v>
      </c>
      <c r="F43" s="1062">
        <f t="shared" si="8"/>
        <v>8083200</v>
      </c>
      <c r="G43" s="1062">
        <f t="shared" si="8"/>
        <v>8083200</v>
      </c>
      <c r="H43" s="1062">
        <f t="shared" si="8"/>
        <v>8083200</v>
      </c>
      <c r="I43" s="1062">
        <f t="shared" si="8"/>
        <v>8083200</v>
      </c>
      <c r="J43" s="1062">
        <f t="shared" si="8"/>
        <v>0</v>
      </c>
      <c r="K43" s="1"/>
      <c r="L43" s="1"/>
    </row>
    <row r="44" ht="13.2" spans="2:12">
      <c r="B44" s="1"/>
      <c r="C44" s="1806" t="s">
        <v>361</v>
      </c>
      <c r="D44" s="1062">
        <f t="shared" ref="D44:J44" si="9">-D43</f>
        <v>-8083200</v>
      </c>
      <c r="E44" s="1062">
        <f t="shared" si="9"/>
        <v>-8083200</v>
      </c>
      <c r="F44" s="1062">
        <f t="shared" si="9"/>
        <v>-8083200</v>
      </c>
      <c r="G44" s="1062">
        <f t="shared" si="9"/>
        <v>-8083200</v>
      </c>
      <c r="H44" s="1062">
        <f t="shared" si="9"/>
        <v>-8083200</v>
      </c>
      <c r="I44" s="1062">
        <f t="shared" si="9"/>
        <v>-8083200</v>
      </c>
      <c r="J44" s="1062">
        <f t="shared" si="9"/>
        <v>0</v>
      </c>
      <c r="K44" s="1"/>
      <c r="L44" s="1"/>
    </row>
    <row r="45" ht="13.2" spans="2:12">
      <c r="B45" s="1"/>
      <c r="C45" s="1806" t="s">
        <v>11787</v>
      </c>
      <c r="D45" s="1062">
        <f t="shared" ref="D45:I45" si="10">+D40-D43</f>
        <v>6916800</v>
      </c>
      <c r="E45" s="1062">
        <f t="shared" si="10"/>
        <v>6916800</v>
      </c>
      <c r="F45" s="1062">
        <f t="shared" si="10"/>
        <v>6916800</v>
      </c>
      <c r="G45" s="1062">
        <f t="shared" si="10"/>
        <v>6916800</v>
      </c>
      <c r="H45" s="1062">
        <f t="shared" si="10"/>
        <v>6916800</v>
      </c>
      <c r="I45" s="1062">
        <f t="shared" si="10"/>
        <v>6916800</v>
      </c>
      <c r="J45" s="1"/>
      <c r="K45" s="1"/>
      <c r="L45" s="1"/>
    </row>
    <row r="46" spans="2:12">
      <c r="B46" s="1"/>
      <c r="C46" s="1"/>
      <c r="D46" s="1"/>
      <c r="E46" s="1"/>
      <c r="F46" s="1"/>
      <c r="G46" s="1"/>
      <c r="H46" s="1"/>
      <c r="I46" s="1"/>
      <c r="J46" s="1"/>
      <c r="K46" s="1"/>
      <c r="L46" s="1"/>
    </row>
    <row r="47" ht="13.2" spans="2:12">
      <c r="B47" s="1806" t="s">
        <v>737</v>
      </c>
      <c r="C47" s="1" t="str">
        <f>+C6</f>
        <v>Kompressor - MEB</v>
      </c>
      <c r="D47" s="1"/>
      <c r="E47" s="1"/>
      <c r="F47" s="1"/>
      <c r="G47" s="1"/>
      <c r="H47" s="1"/>
      <c r="I47" s="1"/>
      <c r="J47" s="1"/>
      <c r="K47" s="1"/>
      <c r="L47" s="1"/>
    </row>
    <row r="48" spans="2:12">
      <c r="B48" s="1"/>
      <c r="C48" s="1"/>
      <c r="D48" s="1"/>
      <c r="E48" s="1"/>
      <c r="F48" s="1"/>
      <c r="G48" s="1"/>
      <c r="H48" s="1"/>
      <c r="I48" s="1"/>
      <c r="J48" s="1"/>
      <c r="K48" s="1"/>
      <c r="L48" s="1"/>
    </row>
    <row r="49" ht="13.2" spans="2:12">
      <c r="B49" s="1"/>
      <c r="C49" s="1"/>
      <c r="D49" s="2898">
        <f t="shared" ref="D49:H50" si="11">+E49+1</f>
        <v>2025</v>
      </c>
      <c r="E49" s="2898">
        <f t="shared" si="11"/>
        <v>2024</v>
      </c>
      <c r="F49" s="2898">
        <f t="shared" si="11"/>
        <v>2023</v>
      </c>
      <c r="G49" s="2899">
        <f t="shared" si="11"/>
        <v>2022</v>
      </c>
      <c r="H49" s="2899">
        <f t="shared" si="11"/>
        <v>2021</v>
      </c>
      <c r="I49" s="2903">
        <f>+I4</f>
        <v>2020</v>
      </c>
      <c r="J49" s="2904">
        <f>+J29</f>
        <v>0</v>
      </c>
      <c r="K49" s="1"/>
      <c r="L49" s="1"/>
    </row>
    <row r="50" ht="13.2" spans="2:12">
      <c r="B50" s="1"/>
      <c r="C50" s="2900" t="s">
        <v>11781</v>
      </c>
      <c r="D50" s="1">
        <f t="shared" si="11"/>
        <v>5</v>
      </c>
      <c r="E50" s="1">
        <f t="shared" si="11"/>
        <v>4</v>
      </c>
      <c r="F50" s="1">
        <f t="shared" si="11"/>
        <v>3</v>
      </c>
      <c r="G50" s="1">
        <f t="shared" si="11"/>
        <v>2</v>
      </c>
      <c r="H50" s="1">
        <f t="shared" si="11"/>
        <v>1</v>
      </c>
      <c r="I50" s="1">
        <v>0</v>
      </c>
      <c r="J50" s="1"/>
      <c r="K50" s="1"/>
      <c r="L50" s="1"/>
    </row>
    <row r="51" ht="13.2" spans="2:12">
      <c r="B51" s="1"/>
      <c r="C51" s="1806" t="s">
        <v>1028</v>
      </c>
      <c r="D51" s="1062">
        <f>+E51+E52</f>
        <v>168129260</v>
      </c>
      <c r="E51" s="1062">
        <f>+F51+F52</f>
        <v>168129260</v>
      </c>
      <c r="F51" s="1062">
        <f>+G51+G52</f>
        <v>168129260</v>
      </c>
      <c r="G51" s="1062">
        <f>+H51+H52</f>
        <v>168129260</v>
      </c>
      <c r="H51" s="1062">
        <f>+I51+I52</f>
        <v>168129260</v>
      </c>
      <c r="I51" s="1062">
        <f>+J56</f>
        <v>0</v>
      </c>
      <c r="J51" s="1"/>
      <c r="K51" s="1"/>
      <c r="L51" s="1"/>
    </row>
    <row r="52" ht="13.2" spans="2:12">
      <c r="B52" s="1"/>
      <c r="C52" s="1806" t="s">
        <v>1816</v>
      </c>
      <c r="D52" s="1"/>
      <c r="E52" s="1"/>
      <c r="F52" s="1"/>
      <c r="G52" s="1"/>
      <c r="H52" s="1"/>
      <c r="I52" s="2546">
        <f>+[95]H!$R$35</f>
        <v>168129260</v>
      </c>
      <c r="J52" s="1062">
        <f>+J32</f>
        <v>0</v>
      </c>
      <c r="K52" s="1"/>
      <c r="L52" s="1"/>
    </row>
    <row r="53" ht="13.2" spans="2:12">
      <c r="B53" s="1"/>
      <c r="C53" s="1806" t="s">
        <v>11782</v>
      </c>
      <c r="D53" s="1062">
        <f>-D54+E53</f>
        <v>-415008000</v>
      </c>
      <c r="E53" s="1062">
        <f>-E54+F53</f>
        <v>-352756800</v>
      </c>
      <c r="F53" s="1062">
        <f>-F54+G53</f>
        <v>-269755200</v>
      </c>
      <c r="G53" s="1062">
        <f>-G54+H53</f>
        <v>-186753600</v>
      </c>
      <c r="H53" s="1062">
        <f>-H54+I53</f>
        <v>-103752000</v>
      </c>
      <c r="I53" s="1062">
        <f>-I54</f>
        <v>-20750400</v>
      </c>
      <c r="J53" s="1062">
        <f>-J54</f>
        <v>0</v>
      </c>
      <c r="K53" s="1"/>
      <c r="L53" s="1"/>
    </row>
    <row r="54" ht="13.2" spans="2:12">
      <c r="B54" s="1"/>
      <c r="C54" s="2901" t="s">
        <v>11783</v>
      </c>
      <c r="D54" s="1062">
        <f>+D64*9</f>
        <v>62251200</v>
      </c>
      <c r="E54" s="1062">
        <f>+E64*12</f>
        <v>83001600</v>
      </c>
      <c r="F54" s="1062">
        <f>+F64*12</f>
        <v>83001600</v>
      </c>
      <c r="G54" s="1062">
        <f>+G64*12</f>
        <v>83001600</v>
      </c>
      <c r="H54" s="1062">
        <f>+H64*12</f>
        <v>83001600</v>
      </c>
      <c r="I54" s="1062">
        <f>+I64*3</f>
        <v>20750400</v>
      </c>
      <c r="J54" s="1062">
        <f>+J63*12</f>
        <v>0</v>
      </c>
      <c r="K54" s="1"/>
      <c r="L54" s="1"/>
    </row>
    <row r="55" ht="13.2" spans="2:12">
      <c r="B55" s="1"/>
      <c r="C55" s="1806"/>
      <c r="D55" s="2097"/>
      <c r="E55" s="2097"/>
      <c r="F55" s="2097"/>
      <c r="G55" s="2097"/>
      <c r="H55" s="2097"/>
      <c r="I55" s="2097">
        <v>0</v>
      </c>
      <c r="J55" s="2097">
        <v>0</v>
      </c>
      <c r="K55" s="1"/>
      <c r="L55" s="1"/>
    </row>
    <row r="56" ht="13.2" spans="2:12">
      <c r="B56" s="1"/>
      <c r="C56" s="1806" t="s">
        <v>1030</v>
      </c>
      <c r="D56" s="2902">
        <f>+D51+D53</f>
        <v>-246878740</v>
      </c>
      <c r="E56" s="1062">
        <f>+E51+E53</f>
        <v>-184627540</v>
      </c>
      <c r="F56" s="1062">
        <f>+F51+F53</f>
        <v>-101625940</v>
      </c>
      <c r="G56" s="1062">
        <f>+G51+G53</f>
        <v>-18624340</v>
      </c>
      <c r="H56" s="1062">
        <f>+H51+H53</f>
        <v>64377260</v>
      </c>
      <c r="I56" s="1062">
        <f>+I51+I52-I53</f>
        <v>188879660</v>
      </c>
      <c r="J56" s="1062">
        <f>+J51+J52-J53</f>
        <v>0</v>
      </c>
      <c r="K56" s="1"/>
      <c r="L56" s="1"/>
    </row>
    <row r="57" spans="2:12">
      <c r="B57" s="1"/>
      <c r="C57" s="1"/>
      <c r="D57" s="1"/>
      <c r="E57" s="1"/>
      <c r="F57" s="1"/>
      <c r="G57" s="1"/>
      <c r="H57" s="1"/>
      <c r="I57" s="1"/>
      <c r="J57" s="1"/>
      <c r="K57" s="1"/>
      <c r="L57" s="1"/>
    </row>
    <row r="58" spans="2:12">
      <c r="B58" s="1"/>
      <c r="C58" s="1"/>
      <c r="D58" s="1"/>
      <c r="E58" s="1"/>
      <c r="F58" s="1"/>
      <c r="G58" s="1"/>
      <c r="H58" s="1"/>
      <c r="I58" s="1"/>
      <c r="J58" s="1"/>
      <c r="K58" s="1"/>
      <c r="L58" s="1"/>
    </row>
    <row r="59" ht="13.2" spans="2:12">
      <c r="B59" s="1"/>
      <c r="C59" s="1806" t="s">
        <v>11784</v>
      </c>
      <c r="D59" s="1062">
        <f t="shared" ref="D59:J59" si="12">+D45</f>
        <v>6916800</v>
      </c>
      <c r="E59" s="1062">
        <f t="shared" si="12"/>
        <v>6916800</v>
      </c>
      <c r="F59" s="1062">
        <f t="shared" si="12"/>
        <v>6916800</v>
      </c>
      <c r="G59" s="1062">
        <f t="shared" si="12"/>
        <v>6916800</v>
      </c>
      <c r="H59" s="1062">
        <f t="shared" si="12"/>
        <v>6916800</v>
      </c>
      <c r="I59" s="1062">
        <f t="shared" si="12"/>
        <v>6916800</v>
      </c>
      <c r="J59" s="1062">
        <f t="shared" si="12"/>
        <v>0</v>
      </c>
      <c r="K59" s="1"/>
      <c r="L59" s="1"/>
    </row>
    <row r="60" ht="13.2" spans="2:12">
      <c r="B60" s="1"/>
      <c r="C60" s="1806" t="s">
        <v>11785</v>
      </c>
      <c r="D60" s="1062">
        <f t="shared" ref="D60:J60" si="13">-D59</f>
        <v>-6916800</v>
      </c>
      <c r="E60" s="1062">
        <f t="shared" si="13"/>
        <v>-6916800</v>
      </c>
      <c r="F60" s="1062">
        <f t="shared" si="13"/>
        <v>-6916800</v>
      </c>
      <c r="G60" s="1062">
        <f t="shared" si="13"/>
        <v>-6916800</v>
      </c>
      <c r="H60" s="1062">
        <f t="shared" si="13"/>
        <v>-6916800</v>
      </c>
      <c r="I60" s="1062">
        <f t="shared" si="13"/>
        <v>-6916800</v>
      </c>
      <c r="J60" s="1062">
        <f t="shared" si="13"/>
        <v>0</v>
      </c>
      <c r="K60" s="1"/>
      <c r="L60" s="1"/>
    </row>
    <row r="61" spans="2:12">
      <c r="B61" s="1"/>
      <c r="C61" s="1"/>
      <c r="D61" s="1"/>
      <c r="E61" s="1"/>
      <c r="F61" s="1"/>
      <c r="G61" s="1"/>
      <c r="H61" s="1"/>
      <c r="I61" s="1"/>
      <c r="J61" s="1"/>
      <c r="K61" s="1"/>
      <c r="L61" s="1"/>
    </row>
    <row r="62" ht="13.2" spans="2:12">
      <c r="B62" s="1"/>
      <c r="C62" s="1806" t="s">
        <v>11786</v>
      </c>
      <c r="D62" s="1062">
        <f t="shared" ref="D62:J62" si="14">+D46</f>
        <v>0</v>
      </c>
      <c r="E62" s="1062">
        <f t="shared" si="14"/>
        <v>0</v>
      </c>
      <c r="F62" s="1062">
        <f t="shared" si="14"/>
        <v>0</v>
      </c>
      <c r="G62" s="1062">
        <f t="shared" si="14"/>
        <v>0</v>
      </c>
      <c r="H62" s="1062">
        <f t="shared" si="14"/>
        <v>0</v>
      </c>
      <c r="I62" s="1062">
        <f t="shared" si="14"/>
        <v>0</v>
      </c>
      <c r="J62" s="1062">
        <f t="shared" si="14"/>
        <v>0</v>
      </c>
      <c r="K62" s="1"/>
      <c r="L62" s="1"/>
    </row>
    <row r="63" ht="13.2" spans="2:12">
      <c r="B63" s="1"/>
      <c r="C63" s="1806" t="s">
        <v>361</v>
      </c>
      <c r="D63" s="1062">
        <f t="shared" ref="D63:J63" si="15">-D62</f>
        <v>0</v>
      </c>
      <c r="E63" s="1062">
        <f t="shared" si="15"/>
        <v>0</v>
      </c>
      <c r="F63" s="1062">
        <f t="shared" si="15"/>
        <v>0</v>
      </c>
      <c r="G63" s="1062">
        <f t="shared" si="15"/>
        <v>0</v>
      </c>
      <c r="H63" s="1062">
        <f t="shared" si="15"/>
        <v>0</v>
      </c>
      <c r="I63" s="1062">
        <f t="shared" si="15"/>
        <v>0</v>
      </c>
      <c r="J63" s="1062">
        <f t="shared" si="15"/>
        <v>0</v>
      </c>
      <c r="K63" s="1"/>
      <c r="L63" s="1"/>
    </row>
    <row r="64" ht="13.2" spans="2:12">
      <c r="B64" s="1"/>
      <c r="C64" s="1806" t="s">
        <v>11787</v>
      </c>
      <c r="D64" s="1062">
        <f t="shared" ref="D64:I64" si="16">+D59-D62</f>
        <v>6916800</v>
      </c>
      <c r="E64" s="1062">
        <f t="shared" si="16"/>
        <v>6916800</v>
      </c>
      <c r="F64" s="1062">
        <f t="shared" si="16"/>
        <v>6916800</v>
      </c>
      <c r="G64" s="1062">
        <f t="shared" si="16"/>
        <v>6916800</v>
      </c>
      <c r="H64" s="1062">
        <f t="shared" si="16"/>
        <v>6916800</v>
      </c>
      <c r="I64" s="1062">
        <f t="shared" si="16"/>
        <v>6916800</v>
      </c>
      <c r="J64" s="1"/>
      <c r="K64" s="1"/>
      <c r="L64" s="1"/>
    </row>
    <row r="65" spans="2:12">
      <c r="B65" s="1"/>
      <c r="C65" s="1"/>
      <c r="D65" s="1"/>
      <c r="E65" s="1"/>
      <c r="F65" s="1"/>
      <c r="G65" s="1"/>
      <c r="H65" s="1"/>
      <c r="I65" s="1"/>
      <c r="J65" s="1"/>
      <c r="K65" s="1"/>
      <c r="L65" s="1"/>
    </row>
    <row r="66" spans="2:12">
      <c r="B66" s="1"/>
      <c r="C66" s="1"/>
      <c r="D66" s="1"/>
      <c r="E66" s="1"/>
      <c r="F66" s="1"/>
      <c r="G66" s="1"/>
      <c r="H66" s="1"/>
      <c r="I66" s="1"/>
      <c r="J66" s="1"/>
      <c r="K66" s="1"/>
      <c r="L66" s="1"/>
    </row>
  </sheetData>
  <pageMargins left="0.7" right="0.7" top="0.75" bottom="0.75" header="0.3" footer="0.3"/>
  <headerFooter/>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63"/>
  <sheetViews>
    <sheetView showGridLines="0" zoomScale="160" zoomScaleNormal="160" workbookViewId="0">
      <selection activeCell="F11" sqref="F11"/>
    </sheetView>
  </sheetViews>
  <sheetFormatPr defaultColWidth="9" defaultRowHeight="11.4" outlineLevelCol="6"/>
  <cols>
    <col min="4" max="4" width="14.53125" customWidth="1"/>
    <col min="5" max="6" width="13.9375" customWidth="1"/>
  </cols>
  <sheetData>
    <row r="3" ht="12" spans="2:2">
      <c r="B3" s="94" t="s">
        <v>11788</v>
      </c>
    </row>
    <row r="6" spans="2:6">
      <c r="B6" t="s">
        <v>11789</v>
      </c>
      <c r="F6">
        <v>11411756512</v>
      </c>
    </row>
    <row r="8" spans="2:6">
      <c r="B8" t="s">
        <v>11790</v>
      </c>
      <c r="F8">
        <v>2073826100</v>
      </c>
    </row>
    <row r="9" spans="6:6">
      <c r="F9" s="164"/>
    </row>
    <row r="10" spans="2:6">
      <c r="B10" t="s">
        <v>11791</v>
      </c>
      <c r="F10">
        <f>+F6-F8</f>
        <v>9337930412</v>
      </c>
    </row>
    <row r="12" spans="2:2">
      <c r="B12" t="s">
        <v>11792</v>
      </c>
    </row>
    <row r="13" spans="2:5">
      <c r="B13" t="str">
        <f>+DD!C22</f>
        <v>Utang Lain2 Jpj - PT Mitra Energi Persada - DP Proyek CHP</v>
      </c>
      <c r="E13">
        <f>+DD!F22</f>
        <v>8475251179</v>
      </c>
    </row>
    <row r="14" spans="2:5">
      <c r="B14" t="str">
        <f>+DD!C23</f>
        <v>Utang Lain2 Jpj - PT Mitra Energi Buana - Kompresor (Angs BNI)</v>
      </c>
      <c r="E14">
        <f>+DD!F23</f>
        <v>2396795200</v>
      </c>
    </row>
    <row r="15" spans="2:5">
      <c r="B15" t="str">
        <f>+DD!C14</f>
        <v>Utang Lain2 Jpd - PT Mitra Energi Buana - Kompresor (Investasi)</v>
      </c>
      <c r="E15">
        <f>+DD!F14</f>
        <v>2145000000</v>
      </c>
    </row>
    <row r="16" ht="12" spans="2:5">
      <c r="B16" t="s">
        <v>11793</v>
      </c>
      <c r="E16" s="94">
        <f>SUM(E13:E15)</f>
        <v>13017046379</v>
      </c>
    </row>
    <row r="18" ht="15.6" spans="2:7">
      <c r="B18" s="94" t="s">
        <v>11794</v>
      </c>
      <c r="E18" s="2553" t="s">
        <v>1204</v>
      </c>
      <c r="F18" s="2553" t="s">
        <v>11795</v>
      </c>
      <c r="G18" s="2332" t="s">
        <v>11796</v>
      </c>
    </row>
    <row r="19" ht="25.35" customHeight="1" spans="2:7">
      <c r="B19" s="2876" t="str">
        <f>+H!B104</f>
        <v>a. Angsuran Cicilan Pokok utang dan bunga di tahun 2020</v>
      </c>
      <c r="C19" s="2876"/>
      <c r="D19" s="2876"/>
      <c r="E19" s="2877">
        <f>+H!G104</f>
        <v>1974346000</v>
      </c>
      <c r="F19" s="2877">
        <f>+H!H104</f>
        <v>1974346000</v>
      </c>
      <c r="G19" s="2878" t="s">
        <v>11797</v>
      </c>
    </row>
    <row r="20" ht="25.35" customHeight="1" spans="2:7">
      <c r="B20" s="2876" t="str">
        <f>+H!B105</f>
        <v>b. Angsuran Cicilan Pokok utang dan bunga di tahun 2021</v>
      </c>
      <c r="C20" s="2876"/>
      <c r="D20" s="2876"/>
      <c r="E20" s="2877">
        <f>+H!G105</f>
        <v>2043595200</v>
      </c>
      <c r="F20" s="2877">
        <f>+H!H105</f>
        <v>4017941200</v>
      </c>
      <c r="G20" s="2878" t="s">
        <v>11798</v>
      </c>
    </row>
    <row r="21" ht="26.1" customHeight="1" spans="2:7">
      <c r="B21" s="2876" t="str">
        <f>+H!B106</f>
        <v>c. Angsuran Cicilan Pokok utang dan bunga di tahun 2022</v>
      </c>
      <c r="C21" s="2876"/>
      <c r="D21" s="2876"/>
      <c r="E21" s="2877">
        <f>+H!G106</f>
        <v>2396795200</v>
      </c>
      <c r="F21" s="2877">
        <f>+H!H106</f>
        <v>6414736400</v>
      </c>
      <c r="G21" s="2878" t="s">
        <v>11799</v>
      </c>
    </row>
    <row r="22" spans="2:7">
      <c r="B22" s="2879" t="str">
        <f>+H!B107</f>
        <v>d. Pembayaran diluar kompresor</v>
      </c>
      <c r="C22" s="2879"/>
      <c r="D22" s="2879"/>
      <c r="E22">
        <f>+H!G107</f>
        <v>2145000000</v>
      </c>
      <c r="F22" s="2877">
        <f>+H!H107</f>
        <v>8559736400</v>
      </c>
      <c r="G22" s="2878" t="s">
        <v>11799</v>
      </c>
    </row>
    <row r="24" ht="12" spans="3:5">
      <c r="C24" t="s">
        <v>11800</v>
      </c>
      <c r="E24" s="94">
        <f>SUM(E19:E23)</f>
        <v>8559736400</v>
      </c>
    </row>
    <row r="30" spans="2:6">
      <c r="B30" s="2880"/>
      <c r="C30" s="2881"/>
      <c r="D30" s="2881"/>
      <c r="E30" s="2881"/>
      <c r="F30" s="2882"/>
    </row>
    <row r="31" spans="2:6">
      <c r="B31" s="2883" t="s">
        <v>11801</v>
      </c>
      <c r="C31" s="2884"/>
      <c r="D31" s="2884"/>
      <c r="E31" s="2884"/>
      <c r="F31" s="2885">
        <f>+F8</f>
        <v>2073826100</v>
      </c>
    </row>
    <row r="32" spans="2:6">
      <c r="B32" s="2883"/>
      <c r="C32" s="2884"/>
      <c r="D32" s="2884"/>
      <c r="E32" s="2884"/>
      <c r="F32" s="2885"/>
    </row>
    <row r="33" spans="2:6">
      <c r="B33" s="2883" t="s">
        <v>11802</v>
      </c>
      <c r="C33" s="2884"/>
      <c r="D33" s="2884"/>
      <c r="E33" s="2884"/>
      <c r="F33" s="2885"/>
    </row>
    <row r="34" spans="2:6">
      <c r="B34" s="2883" t="s">
        <v>11803</v>
      </c>
      <c r="C34" s="2884"/>
      <c r="D34" s="2884"/>
      <c r="E34" s="2884">
        <f>+H!M40</f>
        <v>9920275415</v>
      </c>
      <c r="F34" s="2885"/>
    </row>
    <row r="35" spans="2:6">
      <c r="B35" s="2883" t="s">
        <v>479</v>
      </c>
      <c r="C35" s="2884"/>
      <c r="D35" s="2884"/>
      <c r="E35" s="2884">
        <f>+H!L45</f>
        <v>10566441215</v>
      </c>
      <c r="F35" s="2885"/>
    </row>
    <row r="36" spans="2:6">
      <c r="B36" s="2883" t="s">
        <v>478</v>
      </c>
      <c r="C36" s="2884"/>
      <c r="D36" s="2884"/>
      <c r="E36" s="2884">
        <f>+E35</f>
        <v>10566441215</v>
      </c>
      <c r="F36" s="2885"/>
    </row>
    <row r="37" spans="2:6">
      <c r="B37" s="2883" t="s">
        <v>11804</v>
      </c>
      <c r="C37" s="2884"/>
      <c r="D37" s="2884"/>
      <c r="E37" s="2884"/>
      <c r="F37" s="2885">
        <f>+H!J45</f>
        <v>2006704815</v>
      </c>
    </row>
    <row r="38" spans="2:6">
      <c r="B38" s="2883"/>
      <c r="C38" s="2884"/>
      <c r="D38" s="2884"/>
      <c r="E38" s="2884"/>
      <c r="F38" s="2885"/>
    </row>
    <row r="39" spans="2:6">
      <c r="B39" s="2883" t="s">
        <v>11805</v>
      </c>
      <c r="C39" s="2884"/>
      <c r="D39" s="2884"/>
      <c r="E39" s="2884"/>
      <c r="F39" s="2885"/>
    </row>
    <row r="40" spans="2:6">
      <c r="B40" s="2883"/>
      <c r="C40" s="2884"/>
      <c r="D40" s="2884"/>
      <c r="E40" s="2884"/>
      <c r="F40" s="2885"/>
    </row>
    <row r="41" spans="2:6">
      <c r="B41" s="2883"/>
      <c r="C41" s="2884"/>
      <c r="D41" s="2884" t="s">
        <v>10090</v>
      </c>
      <c r="E41" s="2884"/>
      <c r="F41" s="2885">
        <f>+F31-F37</f>
        <v>67121285</v>
      </c>
    </row>
    <row r="42" spans="2:6">
      <c r="B42" s="2883"/>
      <c r="C42" s="2884"/>
      <c r="D42" s="2884"/>
      <c r="E42" s="2884"/>
      <c r="F42" s="2885"/>
    </row>
    <row r="43" spans="2:6">
      <c r="B43" s="2883"/>
      <c r="C43" s="2884"/>
      <c r="D43" s="2884"/>
      <c r="E43" s="2884"/>
      <c r="F43" s="2885"/>
    </row>
    <row r="44" spans="2:6">
      <c r="B44" s="2883"/>
      <c r="C44" s="2884" t="s">
        <v>11806</v>
      </c>
      <c r="D44" s="2884"/>
      <c r="E44" s="2884"/>
      <c r="F44" s="2885"/>
    </row>
    <row r="45" spans="2:6">
      <c r="B45" s="2883"/>
      <c r="C45" s="2884" t="s">
        <v>625</v>
      </c>
      <c r="D45" s="2884" t="s">
        <v>738</v>
      </c>
      <c r="E45" s="2884">
        <f>+F31</f>
        <v>2073826100</v>
      </c>
      <c r="F45" s="2885">
        <v>0</v>
      </c>
    </row>
    <row r="46" spans="2:6">
      <c r="B46" s="2883"/>
      <c r="C46" s="2884" t="s">
        <v>626</v>
      </c>
      <c r="D46" s="2884" t="s">
        <v>361</v>
      </c>
      <c r="E46" s="2884">
        <v>0</v>
      </c>
      <c r="F46" s="2885">
        <f>+F37</f>
        <v>2006704815</v>
      </c>
    </row>
    <row r="47" spans="2:6">
      <c r="B47" s="2883"/>
      <c r="C47" s="2884" t="s">
        <v>626</v>
      </c>
      <c r="D47" s="2884" t="s">
        <v>11807</v>
      </c>
      <c r="E47" s="2884">
        <v>0</v>
      </c>
      <c r="F47" s="2885">
        <f>+F41</f>
        <v>67121285</v>
      </c>
    </row>
    <row r="48" spans="2:6">
      <c r="B48" s="2883"/>
      <c r="C48" s="2884"/>
      <c r="D48" s="2884"/>
      <c r="E48" s="2884"/>
      <c r="F48" s="2885"/>
    </row>
    <row r="49" ht="12" spans="2:6">
      <c r="B49" s="2883"/>
      <c r="C49" s="2884"/>
      <c r="D49" s="2886" t="s">
        <v>151</v>
      </c>
      <c r="E49" s="2886">
        <f>SUM(E45:E47)</f>
        <v>2073826100</v>
      </c>
      <c r="F49" s="2887">
        <f>SUM(F45:F47)</f>
        <v>2073826100</v>
      </c>
    </row>
    <row r="50" spans="2:6">
      <c r="B50" s="2888"/>
      <c r="C50" s="2889"/>
      <c r="D50" s="2889"/>
      <c r="E50" s="2889"/>
      <c r="F50" s="2890"/>
    </row>
    <row r="55" spans="3:3">
      <c r="C55" t="s">
        <v>11808</v>
      </c>
    </row>
    <row r="57" spans="3:3">
      <c r="C57" t="str">
        <f>+B15</f>
        <v>Utang Lain2 Jpd - PT Mitra Energi Buana - Kompresor (Investasi)</v>
      </c>
    </row>
    <row r="58" spans="3:5">
      <c r="C58" t="s">
        <v>413</v>
      </c>
      <c r="D58" t="s">
        <v>11776</v>
      </c>
      <c r="E58">
        <f>+E22</f>
        <v>2145000000</v>
      </c>
    </row>
    <row r="59" spans="3:4">
      <c r="C59" t="s">
        <v>11809</v>
      </c>
      <c r="D59" t="s">
        <v>11810</v>
      </c>
    </row>
    <row r="62" spans="3:4">
      <c r="C62" t="s">
        <v>413</v>
      </c>
      <c r="D62" t="s">
        <v>11776</v>
      </c>
    </row>
    <row r="63" spans="3:6">
      <c r="C63" t="s">
        <v>11809</v>
      </c>
      <c r="D63" t="s">
        <v>11810</v>
      </c>
      <c r="E63">
        <f>+E21</f>
        <v>2396795200</v>
      </c>
      <c r="F63">
        <f>+E63+E58</f>
        <v>4541795200</v>
      </c>
    </row>
  </sheetData>
  <mergeCells count="4">
    <mergeCell ref="B19:D19"/>
    <mergeCell ref="B20:D20"/>
    <mergeCell ref="B21:D21"/>
    <mergeCell ref="B22:D22"/>
  </mergeCells>
  <pageMargins left="0.7" right="0.7" top="0.75" bottom="0.75" header="0.3" footer="0.3"/>
  <pageSetup paperSize="1" orientation="portrait"/>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9">
    <tabColor theme="6" tint="-0.249977111117893"/>
    <pageSetUpPr fitToPage="1"/>
  </sheetPr>
  <dimension ref="B1:T55"/>
  <sheetViews>
    <sheetView showGridLines="0" zoomScale="115" zoomScaleNormal="115" workbookViewId="0">
      <pane xSplit="4" ySplit="11" topLeftCell="E12" activePane="bottomRight" state="frozen"/>
      <selection/>
      <selection pane="topRight"/>
      <selection pane="bottomLeft"/>
      <selection pane="bottomRight" activeCell="M22" sqref="M22"/>
    </sheetView>
  </sheetViews>
  <sheetFormatPr defaultColWidth="9.13541666666667" defaultRowHeight="13.2"/>
  <cols>
    <col min="1" max="1" width="3.14583333333333" style="186" customWidth="1"/>
    <col min="2" max="2" width="31.46875" style="186" customWidth="1"/>
    <col min="3" max="3" width="4.79166666666667" style="186" customWidth="1"/>
    <col min="4" max="4" width="16.3333333333333" style="186" hidden="1" customWidth="1"/>
    <col min="5" max="5" width="16.3333333333333" style="186" customWidth="1"/>
    <col min="6" max="6" width="5.23958333333333" style="186" customWidth="1"/>
    <col min="7" max="8" width="16.3333333333333" style="186" customWidth="1"/>
    <col min="9" max="9" width="7.1875" style="186" customWidth="1"/>
    <col min="10" max="10" width="18.4270833333333" style="186" customWidth="1"/>
    <col min="11" max="11" width="18.4270833333333" style="186" customWidth="1" outlineLevel="1"/>
    <col min="12" max="12" width="4.79166666666667" style="186" customWidth="1" outlineLevel="1"/>
    <col min="13" max="14" width="17.2291666666667" style="186" customWidth="1" outlineLevel="1"/>
    <col min="15" max="15" width="5.54166666666667" style="186" customWidth="1" outlineLevel="1"/>
    <col min="16" max="16" width="18.125" style="186" customWidth="1"/>
    <col min="17" max="18" width="16.78125" style="186" customWidth="1"/>
    <col min="19" max="19" width="16.3333333333333" style="186" customWidth="1"/>
    <col min="20" max="20" width="7.1875" style="186" customWidth="1"/>
    <col min="21" max="16384" width="9.13541666666667" style="186"/>
  </cols>
  <sheetData>
    <row r="1" spans="15:15">
      <c r="O1" s="146"/>
    </row>
    <row r="2" ht="21" spans="2:20">
      <c r="B2" s="1499" t="str">
        <f>UV!B2</f>
        <v>KAP LIASTA NIRWAN SYAFRUDIN &amp; REKAN</v>
      </c>
      <c r="C2" s="731"/>
      <c r="D2" s="731"/>
      <c r="E2" s="731"/>
      <c r="F2" s="731"/>
      <c r="G2" s="731"/>
      <c r="H2" s="731"/>
      <c r="I2" s="731"/>
      <c r="J2" s="731"/>
      <c r="K2" s="731"/>
      <c r="L2" s="731"/>
      <c r="M2" s="731"/>
      <c r="N2" s="731"/>
      <c r="O2" s="1757"/>
      <c r="P2" s="731"/>
      <c r="Q2" s="766" t="s">
        <v>481</v>
      </c>
      <c r="R2" s="765" t="s">
        <v>482</v>
      </c>
      <c r="S2" s="766" t="s">
        <v>483</v>
      </c>
      <c r="T2" s="766"/>
    </row>
    <row r="3" ht="15.6" spans="2:20">
      <c r="B3" s="1500"/>
      <c r="C3" s="1501"/>
      <c r="D3" s="1502"/>
      <c r="E3" s="1954"/>
      <c r="F3" s="1954"/>
      <c r="G3" s="1954"/>
      <c r="H3" s="1954"/>
      <c r="I3" s="1954"/>
      <c r="J3" s="1954"/>
      <c r="K3" s="1504"/>
      <c r="L3" s="1504"/>
      <c r="M3" s="1505"/>
      <c r="N3" s="1505"/>
      <c r="O3" s="1505"/>
      <c r="P3" s="1505"/>
      <c r="Q3" s="1470"/>
      <c r="R3" s="767">
        <v>45175</v>
      </c>
      <c r="S3" s="768" t="s">
        <v>749</v>
      </c>
      <c r="T3" s="768"/>
    </row>
    <row r="4" spans="2:20">
      <c r="B4" s="1546" t="str">
        <f>+'F1'!C4</f>
        <v>PT INTAN GIRI ABADI</v>
      </c>
      <c r="C4" s="1547"/>
      <c r="D4" s="1548"/>
      <c r="E4" s="1548"/>
      <c r="F4" s="1548"/>
      <c r="G4" s="1548"/>
      <c r="H4" s="1548"/>
      <c r="I4" s="1548"/>
      <c r="J4" s="1548"/>
      <c r="K4" s="1548"/>
      <c r="L4" s="1548"/>
      <c r="M4" s="1548"/>
      <c r="N4" s="1548"/>
      <c r="O4" s="1548"/>
      <c r="P4" s="1548"/>
      <c r="Q4" s="1471" t="s">
        <v>487</v>
      </c>
      <c r="R4" s="769" t="s">
        <v>482</v>
      </c>
      <c r="S4" s="770" t="s">
        <v>488</v>
      </c>
      <c r="T4" s="770"/>
    </row>
    <row r="5" spans="2:20">
      <c r="B5" s="775"/>
      <c r="C5" s="753"/>
      <c r="D5" s="753"/>
      <c r="E5" s="753"/>
      <c r="F5" s="753"/>
      <c r="G5" s="753"/>
      <c r="H5" s="753"/>
      <c r="I5" s="753"/>
      <c r="J5" s="753"/>
      <c r="K5" s="753"/>
      <c r="L5" s="753"/>
      <c r="M5" s="753"/>
      <c r="N5" s="753"/>
      <c r="O5" s="1759"/>
      <c r="P5" s="1759"/>
      <c r="Q5" s="2527"/>
      <c r="R5" s="771"/>
      <c r="S5" s="772"/>
      <c r="T5" s="772"/>
    </row>
    <row r="6" spans="2:20">
      <c r="B6" s="773"/>
      <c r="C6" s="742"/>
      <c r="D6" s="742"/>
      <c r="E6" s="742"/>
      <c r="F6" s="742"/>
      <c r="G6" s="742"/>
      <c r="H6" s="742"/>
      <c r="I6" s="742"/>
      <c r="J6" s="742"/>
      <c r="K6" s="742"/>
      <c r="L6" s="742"/>
      <c r="M6" s="742"/>
      <c r="N6" s="742"/>
      <c r="O6" s="1760"/>
      <c r="P6" s="742"/>
      <c r="Q6" s="1471"/>
      <c r="R6" s="773"/>
      <c r="S6" s="774" t="s">
        <v>491</v>
      </c>
      <c r="T6" s="774"/>
    </row>
    <row r="7" spans="2:20">
      <c r="B7" s="1549" t="s">
        <v>11811</v>
      </c>
      <c r="C7" s="1550" t="str">
        <f>+'F1'!D35</f>
        <v>I</v>
      </c>
      <c r="D7" s="753"/>
      <c r="E7" s="753"/>
      <c r="F7" s="753"/>
      <c r="G7" s="753"/>
      <c r="H7" s="753"/>
      <c r="I7" s="753"/>
      <c r="J7" s="753"/>
      <c r="K7" s="753"/>
      <c r="L7" s="753"/>
      <c r="M7" s="753"/>
      <c r="N7" s="753"/>
      <c r="O7" s="753"/>
      <c r="P7" s="753"/>
      <c r="Q7" s="1475"/>
      <c r="R7" s="775"/>
      <c r="S7" s="776">
        <f>+'F1'!X7</f>
        <v>44926</v>
      </c>
      <c r="T7" s="776"/>
    </row>
    <row r="8" ht="13.95" spans="13:15">
      <c r="M8" s="1388"/>
      <c r="N8" s="1388"/>
      <c r="O8" s="1347"/>
    </row>
    <row r="9" spans="2:20">
      <c r="B9" s="1330"/>
      <c r="C9" s="1330"/>
      <c r="D9" s="1330" t="s">
        <v>2248</v>
      </c>
      <c r="E9" s="1329" t="s">
        <v>2248</v>
      </c>
      <c r="F9" s="1330"/>
      <c r="G9" s="2281" t="s">
        <v>1228</v>
      </c>
      <c r="H9" s="2281"/>
      <c r="I9" s="1330"/>
      <c r="J9" s="1327" t="s">
        <v>2248</v>
      </c>
      <c r="K9" s="1329" t="s">
        <v>2248</v>
      </c>
      <c r="L9" s="1330"/>
      <c r="M9" s="2281" t="s">
        <v>1228</v>
      </c>
      <c r="N9" s="2281"/>
      <c r="O9" s="1330"/>
      <c r="P9" s="1327" t="s">
        <v>2248</v>
      </c>
      <c r="Q9" s="1327" t="s">
        <v>2248</v>
      </c>
      <c r="R9" s="1327" t="s">
        <v>2248</v>
      </c>
      <c r="S9" s="1403">
        <f>P11</f>
        <v>44561</v>
      </c>
      <c r="T9" s="1404"/>
    </row>
    <row r="10" spans="2:20">
      <c r="B10" s="2282" t="s">
        <v>492</v>
      </c>
      <c r="C10" s="1336" t="s">
        <v>654</v>
      </c>
      <c r="D10" s="1336" t="e">
        <f>'[89]F1'!F6</f>
        <v>#REF!</v>
      </c>
      <c r="E10" s="1335" t="s">
        <v>2249</v>
      </c>
      <c r="F10" s="1336" t="s">
        <v>1230</v>
      </c>
      <c r="G10" s="2283"/>
      <c r="H10" s="2283"/>
      <c r="I10" s="1336" t="s">
        <v>1230</v>
      </c>
      <c r="J10" s="1389" t="s">
        <v>2250</v>
      </c>
      <c r="K10" s="1335" t="s">
        <v>2249</v>
      </c>
      <c r="L10" s="1336" t="s">
        <v>1230</v>
      </c>
      <c r="M10" s="2283"/>
      <c r="N10" s="2283"/>
      <c r="O10" s="1336" t="s">
        <v>1230</v>
      </c>
      <c r="P10" s="1389" t="s">
        <v>2250</v>
      </c>
      <c r="Q10" s="1389" t="s">
        <v>2250</v>
      </c>
      <c r="R10" s="1389" t="s">
        <v>2250</v>
      </c>
      <c r="S10" s="1405" t="s">
        <v>2251</v>
      </c>
      <c r="T10" s="1406"/>
    </row>
    <row r="11" ht="13.95" spans="2:20">
      <c r="B11" s="1342"/>
      <c r="C11" s="5111" t="s">
        <v>2252</v>
      </c>
      <c r="D11" s="1341" t="e">
        <f>'[89]F1'!F7</f>
        <v>#REF!</v>
      </c>
      <c r="E11" s="1341">
        <v>44926</v>
      </c>
      <c r="F11" s="1342" t="s">
        <v>2253</v>
      </c>
      <c r="G11" s="1342" t="s">
        <v>1231</v>
      </c>
      <c r="H11" s="1342" t="s">
        <v>1232</v>
      </c>
      <c r="I11" s="1342" t="s">
        <v>2253</v>
      </c>
      <c r="J11" s="1390">
        <f>E11</f>
        <v>44926</v>
      </c>
      <c r="K11" s="1341">
        <f>+J11-365</f>
        <v>44561</v>
      </c>
      <c r="L11" s="1342" t="s">
        <v>2253</v>
      </c>
      <c r="M11" s="1342" t="s">
        <v>1231</v>
      </c>
      <c r="N11" s="1342" t="s">
        <v>1232</v>
      </c>
      <c r="O11" s="1342" t="s">
        <v>2253</v>
      </c>
      <c r="P11" s="1390">
        <f>K11</f>
        <v>44561</v>
      </c>
      <c r="Q11" s="1390">
        <f>+P11-365</f>
        <v>44196</v>
      </c>
      <c r="R11" s="1390">
        <f>+Q11-366</f>
        <v>43830</v>
      </c>
      <c r="S11" s="1342" t="s">
        <v>151</v>
      </c>
      <c r="T11" s="5112" t="s">
        <v>2254</v>
      </c>
    </row>
    <row r="12" spans="2:20">
      <c r="B12" s="296"/>
      <c r="C12" s="135"/>
      <c r="D12" s="296"/>
      <c r="E12" s="296"/>
      <c r="F12" s="296"/>
      <c r="G12" s="296"/>
      <c r="H12" s="296"/>
      <c r="I12" s="296"/>
      <c r="J12" s="296"/>
      <c r="K12" s="174"/>
      <c r="L12" s="135"/>
      <c r="M12" s="296"/>
      <c r="N12" s="296"/>
      <c r="O12" s="135"/>
      <c r="P12" s="1391"/>
      <c r="R12" s="296"/>
      <c r="S12" s="296"/>
      <c r="T12" s="1409"/>
    </row>
    <row r="13" spans="2:20">
      <c r="B13" s="296" t="s">
        <v>11812</v>
      </c>
      <c r="C13" s="135"/>
      <c r="D13" s="296"/>
      <c r="E13" s="174">
        <v>0</v>
      </c>
      <c r="F13" s="296"/>
      <c r="G13" s="161">
        <f>SUMIF('F4'!$E$12:$E$158,B13,'F4'!$G$12:$G$158)</f>
        <v>0</v>
      </c>
      <c r="H13" s="161">
        <f>SUMIF('F4'!$E$12:$E$158,B13,'F4'!$H$12:$H$158)</f>
        <v>0</v>
      </c>
      <c r="I13" s="296"/>
      <c r="J13" s="174">
        <f t="shared" ref="J13:J16" si="0">+E13+G13-H13</f>
        <v>0</v>
      </c>
      <c r="K13" s="174">
        <v>0</v>
      </c>
      <c r="L13" s="135"/>
      <c r="M13" s="161">
        <f>SUMIF('F4'!$E$12:$E$158,B13,'F4'!$I$12:$I$158)</f>
        <v>0</v>
      </c>
      <c r="N13" s="161">
        <f>SUMIF('F4'!$E$12:$E$158,B13,'F4'!$J$12:$J$158)</f>
        <v>0</v>
      </c>
      <c r="O13" s="2304"/>
      <c r="P13" s="174">
        <f>+K13+M13-N13</f>
        <v>0</v>
      </c>
      <c r="Q13" s="174">
        <v>0</v>
      </c>
      <c r="R13" s="174">
        <v>0</v>
      </c>
      <c r="S13" s="174">
        <f t="shared" ref="S13:S21" si="1">K13-Q13</f>
        <v>0</v>
      </c>
      <c r="T13" s="1409">
        <f t="shared" ref="T13:T22" si="2">IF(Q13=0,IF(S13=0,0,S13/S13),S13/Q13)</f>
        <v>0</v>
      </c>
    </row>
    <row r="14" spans="2:20">
      <c r="B14" s="296" t="s">
        <v>11813</v>
      </c>
      <c r="C14" s="135"/>
      <c r="D14" s="296"/>
      <c r="E14" s="174">
        <v>0</v>
      </c>
      <c r="F14" s="296"/>
      <c r="G14" s="161">
        <f>SUMIF('F4'!$E$12:$E$158,B14,'F4'!$G$12:$G$158)</f>
        <v>0</v>
      </c>
      <c r="H14" s="161">
        <f>SUMIF('F4'!$E$12:$E$158,B14,'F4'!$H$12:$H$158)</f>
        <v>0</v>
      </c>
      <c r="I14" s="296"/>
      <c r="J14" s="2801">
        <f t="shared" si="0"/>
        <v>0</v>
      </c>
      <c r="K14" s="174">
        <v>0</v>
      </c>
      <c r="L14" s="135"/>
      <c r="M14" s="161">
        <f>SUMIF('F4'!$E$12:$E$158,B14,'F4'!$I$12:$I$158)</f>
        <v>0</v>
      </c>
      <c r="N14" s="161">
        <f>SUMIF('F4'!$E$12:$E$158,B14,'F4'!$J$12:$J$158)</f>
        <v>0</v>
      </c>
      <c r="O14" s="2304"/>
      <c r="P14" s="174">
        <f t="shared" ref="P14:P16" si="3">+K14+M14-N14</f>
        <v>0</v>
      </c>
      <c r="Q14" s="174">
        <v>0</v>
      </c>
      <c r="R14" s="174">
        <v>0</v>
      </c>
      <c r="S14" s="174">
        <f t="shared" si="1"/>
        <v>0</v>
      </c>
      <c r="T14" s="1409">
        <f t="shared" si="2"/>
        <v>0</v>
      </c>
    </row>
    <row r="15" spans="2:20">
      <c r="B15" s="296" t="s">
        <v>11814</v>
      </c>
      <c r="C15" s="135"/>
      <c r="D15" s="296"/>
      <c r="E15" s="174">
        <v>3988000000</v>
      </c>
      <c r="F15" s="296"/>
      <c r="G15" s="161">
        <f>SUMIF('F4'!$E$12:$E$158,B15,'F4'!$G$12:$G$158)</f>
        <v>0</v>
      </c>
      <c r="H15" s="161">
        <f>SUMIF('F4'!$E$12:$E$158,B15,'F4'!$H$12:$H$158)</f>
        <v>0</v>
      </c>
      <c r="I15" s="296"/>
      <c r="J15" s="2801">
        <f t="shared" si="0"/>
        <v>3988000000</v>
      </c>
      <c r="K15" s="2874">
        <f>2711107045*0</f>
        <v>0</v>
      </c>
      <c r="L15" s="135"/>
      <c r="M15" s="161">
        <f>SUMIF('F4'!$E$12:$E$158,B15,'F4'!$I$12:$I$158)</f>
        <v>0</v>
      </c>
      <c r="N15" s="161">
        <f>SUMIF('F4'!$E$12:$E$158,B15,'F4'!$J$12:$J$158)</f>
        <v>0</v>
      </c>
      <c r="O15" s="2304"/>
      <c r="P15" s="174">
        <f t="shared" si="3"/>
        <v>0</v>
      </c>
      <c r="Q15" s="2874">
        <f>2251529000*0</f>
        <v>0</v>
      </c>
      <c r="R15" s="174">
        <v>21600000</v>
      </c>
      <c r="S15" s="174">
        <f t="shared" si="1"/>
        <v>0</v>
      </c>
      <c r="T15" s="1409">
        <f t="shared" si="2"/>
        <v>0</v>
      </c>
    </row>
    <row r="16" spans="2:20">
      <c r="B16" s="296" t="s">
        <v>11815</v>
      </c>
      <c r="C16" s="135"/>
      <c r="D16" s="296"/>
      <c r="E16" s="174">
        <v>0</v>
      </c>
      <c r="F16" s="296"/>
      <c r="G16" s="161">
        <f>SUMIF('F4'!$E$12:$E$158,B16,'F4'!$G$12:$G$158)</f>
        <v>1251663380</v>
      </c>
      <c r="H16" s="161">
        <f>SUMIF('F4'!$E$12:$E$158,B16,'F4'!$H$12:$H$158)</f>
        <v>0</v>
      </c>
      <c r="I16" s="296"/>
      <c r="J16" s="2801">
        <f t="shared" si="0"/>
        <v>1251663380</v>
      </c>
      <c r="K16" s="174">
        <v>0</v>
      </c>
      <c r="L16" s="135"/>
      <c r="M16" s="161">
        <f>SUMIF('F4'!$E$12:$E$158,B16,'F4'!$I$12:$I$158)</f>
        <v>0</v>
      </c>
      <c r="N16" s="161">
        <f>SUMIF('F4'!$E$12:$E$158,B16,'F4'!$J$12:$J$158)</f>
        <v>0</v>
      </c>
      <c r="O16" s="174"/>
      <c r="P16" s="174">
        <f t="shared" si="3"/>
        <v>0</v>
      </c>
      <c r="Q16" s="174">
        <v>0</v>
      </c>
      <c r="R16" s="174">
        <v>256250000</v>
      </c>
      <c r="S16" s="174">
        <f t="shared" si="1"/>
        <v>0</v>
      </c>
      <c r="T16" s="1409">
        <f t="shared" si="2"/>
        <v>0</v>
      </c>
    </row>
    <row r="17" spans="2:20">
      <c r="B17" s="296"/>
      <c r="C17" s="135"/>
      <c r="D17" s="296"/>
      <c r="E17" s="174"/>
      <c r="F17" s="296"/>
      <c r="G17" s="161"/>
      <c r="H17" s="161"/>
      <c r="I17" s="296"/>
      <c r="J17" s="2801"/>
      <c r="K17" s="174"/>
      <c r="L17" s="135"/>
      <c r="M17" s="161"/>
      <c r="N17" s="161"/>
      <c r="O17" s="174"/>
      <c r="P17" s="174"/>
      <c r="Q17" s="174"/>
      <c r="R17" s="174"/>
      <c r="S17" s="174"/>
      <c r="T17" s="1409"/>
    </row>
    <row r="18" spans="2:20">
      <c r="B18" s="161" t="s">
        <v>11816</v>
      </c>
      <c r="C18" s="135"/>
      <c r="D18" s="296"/>
      <c r="E18" s="174"/>
      <c r="F18" s="296"/>
      <c r="G18" s="161"/>
      <c r="H18" s="161"/>
      <c r="I18" s="296"/>
      <c r="J18" s="2805"/>
      <c r="K18" s="231"/>
      <c r="L18" s="135"/>
      <c r="M18" s="161"/>
      <c r="N18" s="161"/>
      <c r="O18" s="174"/>
      <c r="P18" s="174"/>
      <c r="Q18" s="174"/>
      <c r="R18" s="174"/>
      <c r="S18" s="174"/>
      <c r="T18" s="1409"/>
    </row>
    <row r="19" spans="2:20">
      <c r="B19" s="296" t="s">
        <v>11817</v>
      </c>
      <c r="C19" s="135"/>
      <c r="D19" s="296"/>
      <c r="E19" s="174">
        <v>0</v>
      </c>
      <c r="F19" s="296"/>
      <c r="G19" s="161">
        <f>SUMIF('F4'!$E$12:$E$158,B19,'F4'!$G$12:$G$158)</f>
        <v>0</v>
      </c>
      <c r="H19" s="161">
        <f>SUMIF('F4'!$E$12:$E$158,B19,'F4'!$H$12:$H$158)</f>
        <v>0</v>
      </c>
      <c r="I19" s="296"/>
      <c r="J19" s="2805">
        <f>E19+H19-G19</f>
        <v>0</v>
      </c>
      <c r="K19" s="174">
        <v>0</v>
      </c>
      <c r="L19" s="135"/>
      <c r="M19" s="161">
        <f>SUMIF('F4'!$E$12:$E$158,B19,'F4'!$I$12:$I$158)</f>
        <v>0</v>
      </c>
      <c r="N19" s="161">
        <f>SUMIF('F4'!$E$12:$E$158,B19,'F4'!$J$12:$J$158)</f>
        <v>0</v>
      </c>
      <c r="O19" s="174"/>
      <c r="P19" s="174">
        <f>+K19+N19-M19</f>
        <v>0</v>
      </c>
      <c r="Q19" s="174">
        <v>0</v>
      </c>
      <c r="R19" s="174">
        <v>0</v>
      </c>
      <c r="S19" s="174">
        <f t="shared" si="1"/>
        <v>0</v>
      </c>
      <c r="T19" s="1409">
        <f t="shared" si="2"/>
        <v>0</v>
      </c>
    </row>
    <row r="20" spans="2:20">
      <c r="B20" s="296" t="s">
        <v>11818</v>
      </c>
      <c r="C20" s="135"/>
      <c r="D20" s="296"/>
      <c r="E20" s="101">
        <f>-459940000*0</f>
        <v>0</v>
      </c>
      <c r="F20" s="296"/>
      <c r="G20" s="161">
        <v>0</v>
      </c>
      <c r="H20" s="161">
        <f>SUMIF('F4'!$E$12:$E$158,B20,'F4'!$H$12:$H$158)</f>
        <v>0</v>
      </c>
      <c r="I20" s="296"/>
      <c r="J20" s="2816">
        <f>+E20+H20-G20</f>
        <v>0</v>
      </c>
      <c r="K20" s="161">
        <v>0</v>
      </c>
      <c r="L20" s="135"/>
      <c r="M20" s="161">
        <v>0</v>
      </c>
      <c r="N20" s="161">
        <f>SUMIF('F4'!$E$12:$E$158,B20,'F4'!$J$12:$J$158)</f>
        <v>0</v>
      </c>
      <c r="O20" s="174"/>
      <c r="P20" s="174">
        <f t="shared" ref="P20:P23" si="4">+K20+N20-M20</f>
        <v>0</v>
      </c>
      <c r="Q20" s="161">
        <f>-459940000*0</f>
        <v>0</v>
      </c>
      <c r="R20" s="161">
        <f>-593000000*0</f>
        <v>0</v>
      </c>
      <c r="S20" s="174">
        <f t="shared" si="1"/>
        <v>0</v>
      </c>
      <c r="T20" s="1409">
        <f t="shared" si="2"/>
        <v>0</v>
      </c>
    </row>
    <row r="21" spans="2:20">
      <c r="B21" s="296" t="s">
        <v>11819</v>
      </c>
      <c r="C21" s="135"/>
      <c r="D21" s="296"/>
      <c r="E21" s="174">
        <v>0</v>
      </c>
      <c r="F21" s="296"/>
      <c r="G21" s="161">
        <v>0</v>
      </c>
      <c r="H21" s="161">
        <f>SUMIF('F4'!$E$12:$E$158,B21,'F4'!$H$12:$H$158)</f>
        <v>0</v>
      </c>
      <c r="I21" s="296"/>
      <c r="J21" s="2816">
        <v>0</v>
      </c>
      <c r="K21" s="174">
        <v>0</v>
      </c>
      <c r="L21" s="135"/>
      <c r="M21" s="161">
        <v>0</v>
      </c>
      <c r="N21" s="161">
        <f>SUMIF('F4'!$E$12:$E$158,B21,'F4'!$J$12:$J$158)</f>
        <v>0</v>
      </c>
      <c r="O21" s="174"/>
      <c r="P21" s="174">
        <f t="shared" si="4"/>
        <v>0</v>
      </c>
      <c r="Q21" s="174">
        <v>0</v>
      </c>
      <c r="R21" s="174">
        <v>0</v>
      </c>
      <c r="S21" s="174">
        <f t="shared" si="1"/>
        <v>0</v>
      </c>
      <c r="T21" s="1409">
        <f t="shared" si="2"/>
        <v>0</v>
      </c>
    </row>
    <row r="22" spans="2:20">
      <c r="B22" s="296" t="s">
        <v>11820</v>
      </c>
      <c r="C22" s="135"/>
      <c r="D22" s="296"/>
      <c r="E22" s="101">
        <f>-378657000*0</f>
        <v>0</v>
      </c>
      <c r="F22" s="296"/>
      <c r="G22" s="161">
        <f>SUMIF('F4'!$E$12:$E$158,B22,'F4'!$G$12:$G$158)</f>
        <v>0</v>
      </c>
      <c r="H22" s="161">
        <f>SUMIF('F4'!$E$12:$E$158,B22,'F4'!$H$12:$H$158)</f>
        <v>0</v>
      </c>
      <c r="I22" s="296"/>
      <c r="J22" s="2816">
        <f>+E22+H22-G22</f>
        <v>0</v>
      </c>
      <c r="K22" s="161">
        <f>-378657000*0</f>
        <v>0</v>
      </c>
      <c r="L22" s="135"/>
      <c r="M22" s="161">
        <f>SUMIF('F4'!$E$12:$E$158,B22,'F4'!$I$12:$I$158)</f>
        <v>0</v>
      </c>
      <c r="N22" s="161">
        <f>SUMIF('F4'!$E$12:$E$158,B22,'F4'!$J$12:$J$158)</f>
        <v>0</v>
      </c>
      <c r="O22" s="174"/>
      <c r="P22" s="174">
        <f t="shared" si="4"/>
        <v>0</v>
      </c>
      <c r="Q22" s="161">
        <v>0</v>
      </c>
      <c r="R22" s="101">
        <f>-505400000*0</f>
        <v>0</v>
      </c>
      <c r="S22" s="161">
        <f>+E22-P22</f>
        <v>0</v>
      </c>
      <c r="T22" s="1409">
        <f t="shared" si="2"/>
        <v>0</v>
      </c>
    </row>
    <row r="23" spans="2:20">
      <c r="B23" s="296" t="s">
        <v>11821</v>
      </c>
      <c r="C23" s="135"/>
      <c r="D23" s="296"/>
      <c r="E23" s="101">
        <f>-378657000*0</f>
        <v>0</v>
      </c>
      <c r="F23" s="296"/>
      <c r="G23" s="161">
        <f>SUMIF('F4'!$E$12:$E$158,B23,'F4'!$G$12:$G$158)</f>
        <v>0</v>
      </c>
      <c r="H23" s="161">
        <f>SUMIF('F4'!$E$12:$E$158,B23,'F4'!$H$12:$H$158)</f>
        <v>1043261427.23</v>
      </c>
      <c r="I23" s="296"/>
      <c r="J23" s="2805">
        <f>+E23+G23-H23</f>
        <v>-1043261427.23</v>
      </c>
      <c r="K23" s="174"/>
      <c r="L23" s="135"/>
      <c r="M23" s="161">
        <f>SUMIF('F4'!$E$12:$E$158,B23,'F4'!$I$12:$I$158)</f>
        <v>0</v>
      </c>
      <c r="N23" s="161">
        <f>SUMIF('F4'!$E$12:$E$158,B23,'F4'!$J$12:$J$158)</f>
        <v>0</v>
      </c>
      <c r="O23" s="174"/>
      <c r="P23" s="174">
        <f t="shared" si="4"/>
        <v>0</v>
      </c>
      <c r="Q23" s="161">
        <v>0</v>
      </c>
      <c r="R23" s="101">
        <f>-505400000*0</f>
        <v>0</v>
      </c>
      <c r="S23" s="161">
        <f>+E23-P23</f>
        <v>0</v>
      </c>
      <c r="T23" s="1409">
        <f t="shared" ref="T23" si="5">IF(Q23=0,IF(S23=0,0,S23/S23),S23/Q23)</f>
        <v>0</v>
      </c>
    </row>
    <row r="24" spans="2:20">
      <c r="B24" s="296"/>
      <c r="C24" s="135"/>
      <c r="D24" s="296"/>
      <c r="E24" s="296"/>
      <c r="F24" s="296"/>
      <c r="G24" s="296"/>
      <c r="H24" s="296"/>
      <c r="I24" s="296"/>
      <c r="J24" s="296"/>
      <c r="K24" s="174"/>
      <c r="L24" s="135"/>
      <c r="M24" s="296"/>
      <c r="N24" s="296"/>
      <c r="O24" s="135"/>
      <c r="P24" s="296"/>
      <c r="Q24" s="236"/>
      <c r="S24" s="174"/>
      <c r="T24" s="1409"/>
    </row>
    <row r="25" ht="13.95" spans="2:20">
      <c r="B25" s="5114" t="s">
        <v>151</v>
      </c>
      <c r="C25" s="135"/>
      <c r="D25" s="1412">
        <f>SUM(D13:D13)</f>
        <v>0</v>
      </c>
      <c r="E25" s="1392">
        <f>SUM(E13:E24)</f>
        <v>3988000000</v>
      </c>
      <c r="F25" s="1412"/>
      <c r="G25" s="1392">
        <f>SUM(G13:G24)</f>
        <v>1251663380</v>
      </c>
      <c r="H25" s="1392">
        <f>SUM(H13:H24)</f>
        <v>1043261427.23</v>
      </c>
      <c r="I25" s="1412"/>
      <c r="J25" s="1392">
        <f>SUM(J13:J24)</f>
        <v>4196401952.77</v>
      </c>
      <c r="K25" s="1392">
        <f>SUM(K13:K24)</f>
        <v>0</v>
      </c>
      <c r="L25" s="135"/>
      <c r="M25" s="1392">
        <f>SUM(M13:M24)</f>
        <v>0</v>
      </c>
      <c r="N25" s="1392">
        <f>SUM(N13:N24)</f>
        <v>0</v>
      </c>
      <c r="O25" s="135"/>
      <c r="P25" s="1392">
        <f>SUM(P13:P24)</f>
        <v>0</v>
      </c>
      <c r="Q25" s="1346">
        <f>SUM(Q13:Q24)</f>
        <v>0</v>
      </c>
      <c r="R25" s="1346">
        <f>SUM(R13:R24)</f>
        <v>277850000</v>
      </c>
      <c r="S25" s="1392">
        <f>SUM(S13:S24)</f>
        <v>0</v>
      </c>
      <c r="T25" s="2316">
        <f>IF(Q25=0,IF(S25=0,0,S25/S25),S25/Q25)</f>
        <v>0</v>
      </c>
    </row>
    <row r="26" ht="14.7" spans="2:20">
      <c r="B26" s="1348"/>
      <c r="C26" s="2286"/>
      <c r="D26" s="1348"/>
      <c r="E26" s="2287">
        <f>+E25-'F1'!E35</f>
        <v>0</v>
      </c>
      <c r="F26" s="2287"/>
      <c r="G26" s="2287"/>
      <c r="H26" s="2287"/>
      <c r="I26" s="2287"/>
      <c r="J26" s="2287">
        <f>+J25-'F1'!J35</f>
        <v>0</v>
      </c>
      <c r="K26" s="2287">
        <f>+'F1'!P35-K25</f>
        <v>0</v>
      </c>
      <c r="L26" s="2286"/>
      <c r="M26" s="1348"/>
      <c r="N26" s="1348"/>
      <c r="O26" s="2286"/>
      <c r="P26" s="2287">
        <f>+P25-'F1'!P35</f>
        <v>0</v>
      </c>
      <c r="Q26" s="2287">
        <f>+Q25-'F1'!Q35</f>
        <v>0</v>
      </c>
      <c r="R26" s="2287">
        <v>0</v>
      </c>
      <c r="S26" s="1393"/>
      <c r="T26" s="2317"/>
    </row>
    <row r="27" spans="20:20">
      <c r="T27" s="2318"/>
    </row>
    <row r="28" spans="20:20">
      <c r="T28" s="2318"/>
    </row>
    <row r="31" spans="2:2">
      <c r="B31" s="2288" t="str">
        <f>'F1'!C46</f>
        <v>Sesuai dengan Saldo Buku Besar Periode 31 Desember 2022 &amp; 2021</v>
      </c>
    </row>
    <row r="32" spans="2:2">
      <c r="B32" s="5124" t="str">
        <f>'F1'!C47</f>
        <v>Sesuai dengan Saldo Audit Periode Sebelumnya</v>
      </c>
    </row>
    <row r="33" spans="2:2">
      <c r="B33" s="5124" t="str">
        <f>'F1'!C48</f>
        <v>Rumus dan Formula Perhitungan telah Diperiksa</v>
      </c>
    </row>
    <row r="35" spans="2:20">
      <c r="B35"/>
      <c r="C35"/>
      <c r="D35"/>
      <c r="E35"/>
      <c r="F35"/>
      <c r="G35"/>
      <c r="H35"/>
      <c r="I35"/>
      <c r="J35"/>
      <c r="K35"/>
      <c r="L35"/>
      <c r="M35"/>
      <c r="N35"/>
      <c r="O35"/>
      <c r="P35"/>
      <c r="Q35"/>
      <c r="R35"/>
      <c r="S35"/>
      <c r="T35"/>
    </row>
    <row r="36" spans="2:20">
      <c r="B36"/>
      <c r="C36"/>
      <c r="D36"/>
      <c r="E36"/>
      <c r="F36"/>
      <c r="G36"/>
      <c r="H36"/>
      <c r="I36"/>
      <c r="J36"/>
      <c r="K36"/>
      <c r="L36"/>
      <c r="M36"/>
      <c r="N36"/>
      <c r="O36"/>
      <c r="P36"/>
      <c r="Q36"/>
      <c r="R36"/>
      <c r="S36"/>
      <c r="T36"/>
    </row>
    <row r="37" spans="2:20">
      <c r="B37" s="1434"/>
      <c r="C37" s="1435"/>
      <c r="D37" s="1435"/>
      <c r="E37" s="1435"/>
      <c r="F37" s="1435"/>
      <c r="G37" s="1435"/>
      <c r="H37" s="1435"/>
      <c r="I37" s="1435"/>
      <c r="J37" s="1435"/>
      <c r="K37" s="1435"/>
      <c r="L37" s="1435"/>
      <c r="M37" s="1435"/>
      <c r="N37" s="1435"/>
      <c r="O37" s="1435"/>
      <c r="P37" s="1435"/>
      <c r="Q37" s="1435"/>
      <c r="R37" s="1435"/>
      <c r="S37" s="1435"/>
      <c r="T37" s="1436"/>
    </row>
    <row r="38" spans="2:20">
      <c r="B38" s="2120" t="s">
        <v>11822</v>
      </c>
      <c r="C38" s="2123"/>
      <c r="D38" s="2123"/>
      <c r="E38" s="2123"/>
      <c r="F38" s="2123"/>
      <c r="G38" s="2123"/>
      <c r="H38" s="2123"/>
      <c r="I38" s="2123"/>
      <c r="J38" s="2123"/>
      <c r="K38" s="2123"/>
      <c r="L38" s="2123"/>
      <c r="M38" s="2123"/>
      <c r="N38" s="2123"/>
      <c r="O38" s="2123"/>
      <c r="P38" s="2123"/>
      <c r="Q38" s="2123"/>
      <c r="R38" s="2123"/>
      <c r="S38" s="2123"/>
      <c r="T38" s="2121"/>
    </row>
    <row r="39" spans="2:20">
      <c r="B39" s="2120"/>
      <c r="C39" s="2123"/>
      <c r="D39" s="2123"/>
      <c r="E39" s="2123"/>
      <c r="F39" s="2123"/>
      <c r="G39" s="2123"/>
      <c r="H39" s="2123"/>
      <c r="I39" s="2123"/>
      <c r="J39" s="2123"/>
      <c r="K39" s="2123"/>
      <c r="L39" s="2123"/>
      <c r="M39" s="2123"/>
      <c r="N39" s="2123"/>
      <c r="O39" s="2123"/>
      <c r="P39" s="2123"/>
      <c r="Q39" s="2123"/>
      <c r="R39" s="2123"/>
      <c r="S39" s="2123"/>
      <c r="T39" s="2121"/>
    </row>
    <row r="40" spans="2:20">
      <c r="B40" s="2120" t="str">
        <f>+B20</f>
        <v>HUTANG KE BPRS (A/N Suherman Jaminan Tanah Batam)</v>
      </c>
      <c r="C40" s="2123"/>
      <c r="D40" s="2123"/>
      <c r="E40" s="2123"/>
      <c r="F40" s="2123"/>
      <c r="G40" s="2123"/>
      <c r="H40" s="2123"/>
      <c r="I40" s="2123"/>
      <c r="J40" s="2123"/>
      <c r="K40" s="2123"/>
      <c r="L40" s="2123"/>
      <c r="M40" s="2123"/>
      <c r="N40" s="2123"/>
      <c r="O40" s="2123"/>
      <c r="P40" s="2123"/>
      <c r="Q40" s="2123"/>
      <c r="R40" s="2123"/>
      <c r="S40" s="2123"/>
      <c r="T40" s="2121"/>
    </row>
    <row r="41" spans="2:20">
      <c r="B41" s="2120" t="s">
        <v>11823</v>
      </c>
      <c r="C41" s="2123"/>
      <c r="D41" s="2123"/>
      <c r="E41" s="2123"/>
      <c r="F41" s="2123"/>
      <c r="G41" s="2123"/>
      <c r="H41" s="2123"/>
      <c r="I41" s="2123"/>
      <c r="J41" s="2123"/>
      <c r="K41" s="2123"/>
      <c r="L41" s="2123"/>
      <c r="M41" s="2123"/>
      <c r="N41" s="2123"/>
      <c r="O41" s="2123"/>
      <c r="P41" s="2123"/>
      <c r="Q41" s="2123"/>
      <c r="R41" s="2123"/>
      <c r="S41" s="2123"/>
      <c r="T41" s="2121"/>
    </row>
    <row r="42" spans="2:20">
      <c r="B42" s="2871" t="s">
        <v>11824</v>
      </c>
      <c r="C42" s="2123"/>
      <c r="D42" s="2123"/>
      <c r="E42" s="2123"/>
      <c r="F42" s="2123"/>
      <c r="G42" s="2123"/>
      <c r="H42" s="2123"/>
      <c r="I42" s="2123"/>
      <c r="J42" s="2123"/>
      <c r="K42" s="2123"/>
      <c r="L42" s="2123"/>
      <c r="M42" s="2123"/>
      <c r="N42" s="2123"/>
      <c r="O42" s="2123"/>
      <c r="P42" s="2123"/>
      <c r="Q42" s="2123"/>
      <c r="R42" s="2123"/>
      <c r="S42" s="2123"/>
      <c r="T42" s="2121"/>
    </row>
    <row r="43" spans="2:20">
      <c r="B43" s="2120"/>
      <c r="C43" s="2123"/>
      <c r="D43" s="2123"/>
      <c r="E43" s="2123"/>
      <c r="F43" s="2123"/>
      <c r="G43" s="2123"/>
      <c r="H43" s="2123"/>
      <c r="I43" s="2123"/>
      <c r="J43" s="2123"/>
      <c r="K43" s="2123"/>
      <c r="L43" s="2123"/>
      <c r="M43" s="2123"/>
      <c r="N43" s="2123"/>
      <c r="O43" s="2123"/>
      <c r="P43" s="2123"/>
      <c r="Q43" s="2123"/>
      <c r="R43" s="2123"/>
      <c r="S43" s="2123"/>
      <c r="T43" s="2121"/>
    </row>
    <row r="44" spans="2:20">
      <c r="B44" s="2120" t="s">
        <v>11823</v>
      </c>
      <c r="C44" s="2123"/>
      <c r="D44" s="2123"/>
      <c r="E44" s="2123"/>
      <c r="F44" s="2123"/>
      <c r="G44" s="2123"/>
      <c r="H44" s="2123"/>
      <c r="I44" s="2123"/>
      <c r="J44" s="2123"/>
      <c r="K44" s="2123"/>
      <c r="L44" s="2123"/>
      <c r="M44" s="2123"/>
      <c r="N44" s="2123"/>
      <c r="O44" s="2123"/>
      <c r="P44" s="2123"/>
      <c r="Q44" s="2123"/>
      <c r="R44" s="2123"/>
      <c r="S44" s="2123"/>
      <c r="T44" s="2121"/>
    </row>
    <row r="45" spans="2:20">
      <c r="B45" s="2120"/>
      <c r="C45" s="2123"/>
      <c r="D45" s="2123"/>
      <c r="E45" s="2123"/>
      <c r="F45" s="2123"/>
      <c r="G45" s="2123"/>
      <c r="H45" s="2123"/>
      <c r="I45" s="2123"/>
      <c r="J45" s="2123"/>
      <c r="K45" s="2123"/>
      <c r="L45" s="2123"/>
      <c r="M45" s="2123"/>
      <c r="N45" s="2123"/>
      <c r="O45" s="2123"/>
      <c r="P45" s="2123"/>
      <c r="Q45" s="2123"/>
      <c r="R45" s="2123"/>
      <c r="S45" s="2123"/>
      <c r="T45" s="2121"/>
    </row>
    <row r="46" spans="2:20">
      <c r="B46" s="2120" t="s">
        <v>11825</v>
      </c>
      <c r="C46" s="2123"/>
      <c r="D46" s="2123"/>
      <c r="E46" s="2123"/>
      <c r="F46" s="2123"/>
      <c r="G46" s="2123"/>
      <c r="H46" s="2123">
        <f>+J16</f>
        <v>1251663380</v>
      </c>
      <c r="I46" s="2123"/>
      <c r="J46" s="2123"/>
      <c r="K46" s="2123"/>
      <c r="L46" s="2123"/>
      <c r="M46" s="2123"/>
      <c r="N46" s="2123"/>
      <c r="O46" s="2123"/>
      <c r="P46" s="2123"/>
      <c r="Q46" s="2123"/>
      <c r="R46" s="2123"/>
      <c r="S46" s="2123"/>
      <c r="T46" s="2121"/>
    </row>
    <row r="47" spans="2:20">
      <c r="B47" s="2120" t="s">
        <v>11826</v>
      </c>
      <c r="C47" s="2123"/>
      <c r="D47" s="2123"/>
      <c r="E47" s="2123"/>
      <c r="F47" s="2123"/>
      <c r="G47" s="2123"/>
      <c r="H47" s="2123">
        <f>+J23</f>
        <v>-1043261427.23</v>
      </c>
      <c r="I47" s="2123"/>
      <c r="J47" s="2123"/>
      <c r="K47" s="2123"/>
      <c r="L47" s="2123"/>
      <c r="M47" s="2123"/>
      <c r="N47" s="2123"/>
      <c r="O47" s="2123"/>
      <c r="P47" s="2123"/>
      <c r="Q47" s="2123"/>
      <c r="R47" s="2123"/>
      <c r="S47" s="2123"/>
      <c r="T47" s="2121"/>
    </row>
    <row r="48" spans="2:20">
      <c r="B48" s="2120"/>
      <c r="C48" s="2123"/>
      <c r="D48" s="2123"/>
      <c r="E48" s="2123"/>
      <c r="F48" s="2123" t="s">
        <v>2129</v>
      </c>
      <c r="G48" s="2123"/>
      <c r="H48" s="2123">
        <f>SUM(H46:H47)</f>
        <v>208401952.77</v>
      </c>
      <c r="I48" s="2123"/>
      <c r="J48" s="2123"/>
      <c r="K48" s="2123"/>
      <c r="L48" s="2123"/>
      <c r="M48" s="2123"/>
      <c r="N48" s="2123"/>
      <c r="O48" s="2123"/>
      <c r="P48" s="2123"/>
      <c r="Q48" s="2123"/>
      <c r="R48" s="2123"/>
      <c r="S48" s="2123"/>
      <c r="T48" s="2121"/>
    </row>
    <row r="49" spans="2:20">
      <c r="B49" s="2120"/>
      <c r="C49" s="2123"/>
      <c r="D49" s="2123"/>
      <c r="E49" s="2123"/>
      <c r="F49" s="2123"/>
      <c r="G49" s="2123"/>
      <c r="H49" s="2123"/>
      <c r="I49" s="2123"/>
      <c r="J49" s="2123"/>
      <c r="K49" s="2123"/>
      <c r="L49" s="2123"/>
      <c r="M49" s="2123"/>
      <c r="N49" s="2123"/>
      <c r="O49" s="2123"/>
      <c r="P49" s="2123"/>
      <c r="Q49" s="2123"/>
      <c r="R49" s="2123"/>
      <c r="S49" s="2123"/>
      <c r="T49" s="2121"/>
    </row>
    <row r="50" spans="2:20">
      <c r="B50" s="2120"/>
      <c r="C50" s="2123"/>
      <c r="D50" s="2123"/>
      <c r="E50" s="2123"/>
      <c r="F50" s="2123"/>
      <c r="G50" s="2123"/>
      <c r="H50" s="2123"/>
      <c r="I50" s="2123"/>
      <c r="J50" s="2123"/>
      <c r="K50" s="2123"/>
      <c r="L50" s="2123"/>
      <c r="M50" s="2123"/>
      <c r="N50" s="2123"/>
      <c r="O50" s="2123" t="s">
        <v>953</v>
      </c>
      <c r="P50" s="2123" t="s">
        <v>954</v>
      </c>
      <c r="Q50" s="2123"/>
      <c r="R50" s="2123"/>
      <c r="S50" s="2123"/>
      <c r="T50" s="2121"/>
    </row>
    <row r="51" spans="2:20">
      <c r="B51" s="2120" t="s">
        <v>952</v>
      </c>
      <c r="C51" s="2123"/>
      <c r="D51" s="2123"/>
      <c r="E51" s="2123"/>
      <c r="F51" s="2123"/>
      <c r="G51" s="2123"/>
      <c r="H51" s="2123"/>
      <c r="I51" s="2123"/>
      <c r="J51" s="2123"/>
      <c r="K51" s="2123"/>
      <c r="L51" s="2123"/>
      <c r="M51" s="2123"/>
      <c r="N51" s="2123"/>
      <c r="O51" s="2123"/>
      <c r="P51" s="2123" t="s">
        <v>2264</v>
      </c>
      <c r="Q51" s="2123"/>
      <c r="R51" s="2123"/>
      <c r="S51" s="2123"/>
      <c r="T51" s="2121"/>
    </row>
    <row r="52" spans="2:20">
      <c r="B52" s="2120" t="s">
        <v>11764</v>
      </c>
      <c r="C52" s="2123"/>
      <c r="D52" s="2123"/>
      <c r="E52" s="2123"/>
      <c r="F52" s="2123"/>
      <c r="G52" s="2123"/>
      <c r="H52" s="2123"/>
      <c r="I52" s="2123"/>
      <c r="J52" s="2123"/>
      <c r="K52" s="2123"/>
      <c r="L52" s="2123"/>
      <c r="M52" s="2123"/>
      <c r="N52" s="2123"/>
      <c r="O52" s="2123"/>
      <c r="P52" s="2123"/>
      <c r="Q52" s="2123"/>
      <c r="R52" s="2123"/>
      <c r="S52" s="2123"/>
      <c r="T52" s="2121"/>
    </row>
    <row r="53" spans="2:20">
      <c r="B53" s="2872"/>
      <c r="C53" s="2873"/>
      <c r="D53" s="2873"/>
      <c r="E53" s="2873"/>
      <c r="F53" s="2873"/>
      <c r="G53" s="2873"/>
      <c r="H53" s="2873"/>
      <c r="I53" s="2873"/>
      <c r="J53" s="2873"/>
      <c r="K53" s="2873"/>
      <c r="L53" s="2873"/>
      <c r="M53" s="2873"/>
      <c r="N53" s="2873"/>
      <c r="O53" s="2873"/>
      <c r="P53" s="2873"/>
      <c r="Q53" s="2873"/>
      <c r="R53" s="2873"/>
      <c r="S53" s="2873"/>
      <c r="T53" s="2875"/>
    </row>
    <row r="54" spans="2:20">
      <c r="B54"/>
      <c r="C54"/>
      <c r="D54"/>
      <c r="E54"/>
      <c r="F54"/>
      <c r="G54"/>
      <c r="H54"/>
      <c r="I54"/>
      <c r="J54"/>
      <c r="K54"/>
      <c r="L54"/>
      <c r="M54"/>
      <c r="N54"/>
      <c r="O54"/>
      <c r="P54"/>
      <c r="Q54"/>
      <c r="R54"/>
      <c r="S54"/>
      <c r="T54"/>
    </row>
    <row r="55" spans="2:20">
      <c r="B55"/>
      <c r="C55"/>
      <c r="D55"/>
      <c r="E55"/>
      <c r="F55"/>
      <c r="G55"/>
      <c r="H55"/>
      <c r="I55"/>
      <c r="J55"/>
      <c r="K55"/>
      <c r="L55"/>
      <c r="M55"/>
      <c r="N55"/>
      <c r="O55"/>
      <c r="P55"/>
      <c r="Q55"/>
      <c r="R55"/>
      <c r="S55"/>
      <c r="T55"/>
    </row>
  </sheetData>
  <mergeCells count="4">
    <mergeCell ref="S9:T9"/>
    <mergeCell ref="S10:T10"/>
    <mergeCell ref="G9:H10"/>
    <mergeCell ref="M9:N10"/>
  </mergeCells>
  <printOptions horizontalCentered="1"/>
  <pageMargins left="0.905511811023622" right="0.511811023622047" top="0.905511811023622" bottom="0.511811023622047" header="0.511811023622047" footer="0.511811023622047"/>
  <pageSetup paperSize="9" scale="79" orientation="landscape"/>
  <headerFooter alignWithMargins="0"/>
  <drawing r:id="rId1"/>
  <legacyDrawing r:id="rId2"/>
  <oleObjects>
    <mc:AlternateContent xmlns:mc="http://schemas.openxmlformats.org/markup-compatibility/2006">
      <mc:Choice Requires="x14">
        <oleObject shapeId="6217729" progId="Paint.Picture" r:id="rId3">
          <objectPr defaultSize="0" r:id="rId4">
            <anchor moveWithCells="1">
              <from>
                <xdr:col>1</xdr:col>
                <xdr:colOff>146050</xdr:colOff>
                <xdr:row>32</xdr:row>
                <xdr:rowOff>0</xdr:rowOff>
              </from>
              <to>
                <xdr:col>1</xdr:col>
                <xdr:colOff>298450</xdr:colOff>
                <xdr:row>32</xdr:row>
                <xdr:rowOff>146050</xdr:rowOff>
              </to>
            </anchor>
          </objectPr>
        </oleObject>
      </mc:Choice>
      <mc:Fallback>
        <oleObject shapeId="6217729" progId="Paint.Picture" r:id="rId3"/>
      </mc:Fallback>
    </mc:AlternateContent>
    <mc:AlternateContent xmlns:mc="http://schemas.openxmlformats.org/markup-compatibility/2006">
      <mc:Choice Requires="x14">
        <oleObject shapeId="6217730" progId="Paint.Picture" r:id="rId5">
          <objectPr defaultSize="0" r:id="rId6">
            <anchor moveWithCells="1">
              <from>
                <xdr:col>1</xdr:col>
                <xdr:colOff>146050</xdr:colOff>
                <xdr:row>31</xdr:row>
                <xdr:rowOff>12700</xdr:rowOff>
              </from>
              <to>
                <xdr:col>1</xdr:col>
                <xdr:colOff>292100</xdr:colOff>
                <xdr:row>32</xdr:row>
                <xdr:rowOff>12700</xdr:rowOff>
              </to>
            </anchor>
          </objectPr>
        </oleObject>
      </mc:Choice>
      <mc:Fallback>
        <oleObject shapeId="6217730" progId="Paint.Picture" r:id="rId5"/>
      </mc:Fallback>
    </mc:AlternateContent>
    <mc:AlternateContent xmlns:mc="http://schemas.openxmlformats.org/markup-compatibility/2006">
      <mc:Choice Requires="x14">
        <oleObject shapeId="6217731" progId="Paint.Picture" r:id="rId7">
          <objectPr defaultSize="0" r:id="rId6">
            <anchor moveWithCells="1">
              <from>
                <xdr:col>16</xdr:col>
                <xdr:colOff>539750</xdr:colOff>
                <xdr:row>6</xdr:row>
                <xdr:rowOff>133350</xdr:rowOff>
              </from>
              <to>
                <xdr:col>16</xdr:col>
                <xdr:colOff>723900</xdr:colOff>
                <xdr:row>7</xdr:row>
                <xdr:rowOff>146050</xdr:rowOff>
              </to>
            </anchor>
          </objectPr>
        </oleObject>
      </mc:Choice>
      <mc:Fallback>
        <oleObject shapeId="6217731" progId="Paint.Picture" r:id="rId7"/>
      </mc:Fallback>
    </mc:AlternateContent>
    <mc:AlternateContent xmlns:mc="http://schemas.openxmlformats.org/markup-compatibility/2006">
      <mc:Choice Requires="x14">
        <oleObject shapeId="6217732" progId="Paint.Picture" r:id="rId8">
          <objectPr defaultSize="0" r:id="rId4">
            <anchor moveWithCells="1">
              <from>
                <xdr:col>9</xdr:col>
                <xdr:colOff>381000</xdr:colOff>
                <xdr:row>27</xdr:row>
                <xdr:rowOff>31750</xdr:rowOff>
              </from>
              <to>
                <xdr:col>9</xdr:col>
                <xdr:colOff>584200</xdr:colOff>
                <xdr:row>28</xdr:row>
                <xdr:rowOff>82550</xdr:rowOff>
              </to>
            </anchor>
          </objectPr>
        </oleObject>
      </mc:Choice>
      <mc:Fallback>
        <oleObject shapeId="6217732" progId="Paint.Picture" r:id="rId8"/>
      </mc:Fallback>
    </mc:AlternateContent>
  </oleObjects>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0">
    <pageSetUpPr fitToPage="1"/>
  </sheetPr>
  <dimension ref="B1:T259"/>
  <sheetViews>
    <sheetView showGridLines="0" workbookViewId="0">
      <pane xSplit="3" ySplit="11" topLeftCell="D12" activePane="bottomRight" state="frozen"/>
      <selection/>
      <selection pane="topRight"/>
      <selection pane="bottomLeft"/>
      <selection pane="bottomRight" activeCell="F13" sqref="F13"/>
    </sheetView>
  </sheetViews>
  <sheetFormatPr defaultColWidth="9.13541666666667" defaultRowHeight="13.2"/>
  <cols>
    <col min="1" max="1" width="2.25" style="186" customWidth="1"/>
    <col min="2" max="2" width="1.80208333333333" style="186" customWidth="1"/>
    <col min="3" max="3" width="31.46875" style="186" customWidth="1"/>
    <col min="4" max="4" width="4.79166666666667" style="186" customWidth="1"/>
    <col min="5" max="5" width="16.3333333333333" style="186" hidden="1" customWidth="1"/>
    <col min="6" max="6" width="16.3333333333333" style="186" customWidth="1"/>
    <col min="7" max="7" width="5.23958333333333" style="186" customWidth="1"/>
    <col min="8" max="9" width="16.3333333333333" style="186" customWidth="1"/>
    <col min="10" max="10" width="6.4375" style="186" customWidth="1"/>
    <col min="11" max="11" width="16.3333333333333" style="186" customWidth="1"/>
    <col min="12" max="12" width="17.2291666666667" style="186" customWidth="1" outlineLevel="1"/>
    <col min="13" max="13" width="4.79166666666667" style="186" customWidth="1" outlineLevel="1"/>
    <col min="14" max="15" width="17.2291666666667" style="186" customWidth="1" outlineLevel="1"/>
    <col min="16" max="16" width="5.84375" style="186" customWidth="1" outlineLevel="1"/>
    <col min="17" max="17" width="16.9270833333333" style="186" customWidth="1"/>
    <col min="18" max="18" width="16.78125" style="186" customWidth="1"/>
    <col min="19" max="19" width="16.3333333333333" style="186" customWidth="1"/>
    <col min="20" max="20" width="16.03125" style="186" customWidth="1"/>
    <col min="21" max="16384" width="9.13541666666667" style="186"/>
  </cols>
  <sheetData>
    <row r="1" spans="16:16">
      <c r="P1" s="146"/>
    </row>
    <row r="2" ht="21" spans="3:19">
      <c r="C2" s="1311" t="str">
        <f>D!C2</f>
        <v>KAP LIASTA NIRWAN SYAFRUDIN &amp; REKAN</v>
      </c>
      <c r="D2" s="1312"/>
      <c r="E2" s="1312"/>
      <c r="F2" s="1312"/>
      <c r="G2" s="1312"/>
      <c r="H2" s="1312"/>
      <c r="I2" s="1312"/>
      <c r="J2" s="1312"/>
      <c r="K2" s="1312"/>
      <c r="L2" s="1312"/>
      <c r="M2" s="1312"/>
      <c r="N2" s="1312"/>
      <c r="O2" s="1312"/>
      <c r="P2" s="2866"/>
      <c r="Q2" s="1312" t="s">
        <v>481</v>
      </c>
      <c r="R2" s="1378" t="s">
        <v>482</v>
      </c>
      <c r="S2" s="1379" t="s">
        <v>483</v>
      </c>
    </row>
    <row r="3" ht="15.6" spans="3:19">
      <c r="C3" s="1313"/>
      <c r="D3" s="1314"/>
      <c r="E3" s="1315"/>
      <c r="F3" s="1316"/>
      <c r="G3" s="1316"/>
      <c r="H3" s="1316"/>
      <c r="I3" s="1316"/>
      <c r="J3" s="1316"/>
      <c r="K3" s="1316"/>
      <c r="L3" s="2867"/>
      <c r="M3" s="2867"/>
      <c r="N3" s="2868"/>
      <c r="O3" s="2868"/>
      <c r="P3" s="2869"/>
      <c r="Q3" s="1317"/>
      <c r="R3" s="1380">
        <v>45219</v>
      </c>
      <c r="S3" s="1381" t="s">
        <v>786</v>
      </c>
    </row>
    <row r="4" spans="3:19">
      <c r="C4" s="1318" t="str">
        <f>+B!D4</f>
        <v>PT INTAN GIRI ABADI</v>
      </c>
      <c r="D4" s="1319"/>
      <c r="E4" s="1319"/>
      <c r="F4" s="1319"/>
      <c r="G4" s="1319"/>
      <c r="H4" s="1319"/>
      <c r="I4" s="1319"/>
      <c r="J4" s="1319"/>
      <c r="K4" s="1319"/>
      <c r="L4" s="1319"/>
      <c r="M4" s="1319"/>
      <c r="N4" s="1319"/>
      <c r="O4" s="1319"/>
      <c r="P4" s="2866"/>
      <c r="Q4" s="1320" t="s">
        <v>487</v>
      </c>
      <c r="R4" s="1382" t="s">
        <v>482</v>
      </c>
      <c r="S4" s="1383" t="s">
        <v>488</v>
      </c>
    </row>
    <row r="5" spans="2:19">
      <c r="B5" s="248"/>
      <c r="C5" s="1321"/>
      <c r="D5" s="1322"/>
      <c r="E5" s="1322"/>
      <c r="F5" s="1322"/>
      <c r="G5" s="1322"/>
      <c r="H5" s="1322"/>
      <c r="I5" s="1322"/>
      <c r="J5" s="1322"/>
      <c r="K5" s="1322"/>
      <c r="L5" s="1322"/>
      <c r="M5" s="1322"/>
      <c r="N5" s="1322"/>
      <c r="O5" s="1322"/>
      <c r="P5" s="1323"/>
      <c r="Q5" s="1323"/>
      <c r="R5" s="1384"/>
      <c r="S5" s="1385"/>
    </row>
    <row r="6" spans="2:19">
      <c r="B6" s="248"/>
      <c r="C6" s="1324"/>
      <c r="D6" s="1320"/>
      <c r="E6" s="1320"/>
      <c r="F6" s="1320"/>
      <c r="G6" s="1320"/>
      <c r="H6" s="1320"/>
      <c r="I6" s="1320"/>
      <c r="J6" s="1320"/>
      <c r="K6" s="1320"/>
      <c r="L6" s="1320"/>
      <c r="M6" s="1320"/>
      <c r="N6" s="1320"/>
      <c r="O6" s="1320"/>
      <c r="P6" s="1383"/>
      <c r="Q6" s="1320"/>
      <c r="R6" s="1324"/>
      <c r="S6" s="1386" t="s">
        <v>491</v>
      </c>
    </row>
    <row r="7" spans="2:19">
      <c r="B7" s="2335"/>
      <c r="C7" s="1325" t="s">
        <v>11827</v>
      </c>
      <c r="D7" s="1326"/>
      <c r="E7" s="1322"/>
      <c r="F7" s="1322"/>
      <c r="G7" s="1322"/>
      <c r="H7" s="1322"/>
      <c r="I7" s="1322"/>
      <c r="J7" s="1322"/>
      <c r="K7" s="1322"/>
      <c r="L7" s="1322"/>
      <c r="M7" s="1322"/>
      <c r="N7" s="1322"/>
      <c r="O7" s="1322"/>
      <c r="P7" s="2870"/>
      <c r="Q7" s="1322"/>
      <c r="R7" s="1321"/>
      <c r="S7" s="1387">
        <v>44926</v>
      </c>
    </row>
    <row r="8" ht="13.95" spans="2:15">
      <c r="B8" s="2335"/>
      <c r="N8" s="1388"/>
      <c r="O8" s="1388"/>
    </row>
    <row r="9" spans="2:20">
      <c r="B9" s="2555"/>
      <c r="C9" s="1328"/>
      <c r="D9" s="1330"/>
      <c r="E9" s="1330" t="s">
        <v>2248</v>
      </c>
      <c r="F9" s="1329" t="s">
        <v>2248</v>
      </c>
      <c r="G9" s="1330"/>
      <c r="H9" s="2281" t="s">
        <v>1228</v>
      </c>
      <c r="I9" s="2281"/>
      <c r="J9" s="1330"/>
      <c r="K9" s="1327" t="s">
        <v>2248</v>
      </c>
      <c r="L9" s="1329" t="s">
        <v>2248</v>
      </c>
      <c r="M9" s="1330"/>
      <c r="N9" s="2281" t="s">
        <v>1228</v>
      </c>
      <c r="O9" s="2281"/>
      <c r="P9" s="1330"/>
      <c r="Q9" s="1327" t="s">
        <v>2248</v>
      </c>
      <c r="R9" s="1327" t="s">
        <v>2248</v>
      </c>
      <c r="S9" s="1403">
        <f>Q11</f>
        <v>44561</v>
      </c>
      <c r="T9" s="1404"/>
    </row>
    <row r="10" spans="2:20">
      <c r="B10" s="2555"/>
      <c r="C10" s="1334" t="s">
        <v>492</v>
      </c>
      <c r="D10" s="1336" t="s">
        <v>654</v>
      </c>
      <c r="E10" s="1336" t="e">
        <f>'[89]F1'!F6</f>
        <v>#REF!</v>
      </c>
      <c r="F10" s="1335" t="s">
        <v>2249</v>
      </c>
      <c r="G10" s="1336" t="s">
        <v>1230</v>
      </c>
      <c r="H10" s="2283"/>
      <c r="I10" s="2283"/>
      <c r="J10" s="1336" t="s">
        <v>1230</v>
      </c>
      <c r="K10" s="1389" t="s">
        <v>2250</v>
      </c>
      <c r="L10" s="1335" t="s">
        <v>2249</v>
      </c>
      <c r="M10" s="1336" t="s">
        <v>1230</v>
      </c>
      <c r="N10" s="2283"/>
      <c r="O10" s="2283"/>
      <c r="P10" s="1336" t="s">
        <v>1230</v>
      </c>
      <c r="Q10" s="1389" t="s">
        <v>2250</v>
      </c>
      <c r="R10" s="1389" t="s">
        <v>2250</v>
      </c>
      <c r="S10" s="1405" t="s">
        <v>2251</v>
      </c>
      <c r="T10" s="1406"/>
    </row>
    <row r="11" ht="13.95" spans="2:20">
      <c r="B11" s="2555"/>
      <c r="C11" s="1340"/>
      <c r="D11" s="5111" t="s">
        <v>2252</v>
      </c>
      <c r="E11" s="1341" t="e">
        <f>'[89]F1'!F7</f>
        <v>#REF!</v>
      </c>
      <c r="F11" s="1341">
        <f>+'C'!F11</f>
        <v>44926</v>
      </c>
      <c r="G11" s="1342" t="s">
        <v>2253</v>
      </c>
      <c r="H11" s="1342" t="s">
        <v>1231</v>
      </c>
      <c r="I11" s="1342" t="s">
        <v>1232</v>
      </c>
      <c r="J11" s="1342" t="s">
        <v>2253</v>
      </c>
      <c r="K11" s="1390">
        <f>F11</f>
        <v>44926</v>
      </c>
      <c r="L11" s="1341">
        <f>+K11-365</f>
        <v>44561</v>
      </c>
      <c r="M11" s="1342" t="s">
        <v>2253</v>
      </c>
      <c r="N11" s="1342" t="s">
        <v>1231</v>
      </c>
      <c r="O11" s="1342" t="s">
        <v>1232</v>
      </c>
      <c r="P11" s="1342" t="s">
        <v>2253</v>
      </c>
      <c r="Q11" s="1390">
        <f>L11</f>
        <v>44561</v>
      </c>
      <c r="R11" s="1390">
        <f>+Q11-365</f>
        <v>44196</v>
      </c>
      <c r="S11" s="1342" t="s">
        <v>151</v>
      </c>
      <c r="T11" s="5112" t="s">
        <v>2254</v>
      </c>
    </row>
    <row r="12" spans="2:20">
      <c r="B12" s="2555"/>
      <c r="D12" s="135"/>
      <c r="E12" s="296"/>
      <c r="F12" s="296"/>
      <c r="G12" s="135"/>
      <c r="H12" s="296"/>
      <c r="I12" s="296"/>
      <c r="J12" s="135"/>
      <c r="K12" s="1391"/>
      <c r="L12" s="296"/>
      <c r="M12" s="135"/>
      <c r="N12" s="296"/>
      <c r="O12" s="296"/>
      <c r="P12" s="135"/>
      <c r="Q12" s="1391"/>
      <c r="R12" s="1408"/>
      <c r="S12" s="296"/>
      <c r="T12" s="1409"/>
    </row>
    <row r="13" spans="2:20">
      <c r="B13" s="2555"/>
      <c r="C13" s="186" t="s">
        <v>11828</v>
      </c>
      <c r="D13" s="135"/>
      <c r="E13" s="296"/>
      <c r="F13" s="191">
        <v>110000000</v>
      </c>
      <c r="G13" s="135"/>
      <c r="H13" s="296">
        <f>'F4'!G117</f>
        <v>0</v>
      </c>
      <c r="I13" s="296">
        <f>'F4'!H47</f>
        <v>0</v>
      </c>
      <c r="J13" s="135"/>
      <c r="K13" s="231">
        <f>F13+I13-H13</f>
        <v>110000000</v>
      </c>
      <c r="L13" s="191">
        <v>110000000</v>
      </c>
      <c r="M13" s="135"/>
      <c r="N13" s="296"/>
      <c r="O13" s="296"/>
      <c r="P13" s="135"/>
      <c r="Q13" s="231">
        <f>L13+N13-O13</f>
        <v>110000000</v>
      </c>
      <c r="R13" s="191">
        <v>110000000</v>
      </c>
      <c r="S13" s="296">
        <f>L13-R13</f>
        <v>0</v>
      </c>
      <c r="T13" s="1409">
        <f>IF(R13=0,IF(S13=0,0,S13/S13),S13/R13)</f>
        <v>0</v>
      </c>
    </row>
    <row r="14" spans="2:20">
      <c r="B14" s="2555"/>
      <c r="D14" s="135"/>
      <c r="E14" s="296"/>
      <c r="F14" s="174">
        <v>0</v>
      </c>
      <c r="G14" s="200"/>
      <c r="H14" s="174"/>
      <c r="I14" s="174"/>
      <c r="J14" s="200"/>
      <c r="K14" s="231">
        <f>F14+I14-H14</f>
        <v>0</v>
      </c>
      <c r="L14" s="174">
        <v>0</v>
      </c>
      <c r="M14" s="200"/>
      <c r="N14" s="174">
        <v>0</v>
      </c>
      <c r="O14" s="174">
        <v>0</v>
      </c>
      <c r="P14" s="200"/>
      <c r="Q14" s="231">
        <f>L14+N14-O14</f>
        <v>0</v>
      </c>
      <c r="R14" s="191">
        <v>0</v>
      </c>
      <c r="S14" s="296">
        <f>L14-R14</f>
        <v>0</v>
      </c>
      <c r="T14" s="1409">
        <f>IF(R14=0,IF(S14=0,0,S14/S14),S14/R14)</f>
        <v>0</v>
      </c>
    </row>
    <row r="15" spans="2:20">
      <c r="B15" s="2555"/>
      <c r="D15" s="135"/>
      <c r="E15" s="296"/>
      <c r="F15" s="174"/>
      <c r="G15" s="200"/>
      <c r="H15" s="174"/>
      <c r="I15" s="174"/>
      <c r="J15" s="200"/>
      <c r="K15" s="231">
        <f>F15+I15-H15</f>
        <v>0</v>
      </c>
      <c r="L15" s="174">
        <v>0</v>
      </c>
      <c r="M15" s="200"/>
      <c r="N15" s="174"/>
      <c r="O15" s="174">
        <v>0</v>
      </c>
      <c r="P15" s="200"/>
      <c r="Q15">
        <f>L15+N15-O15</f>
        <v>0</v>
      </c>
      <c r="R15" s="191">
        <v>0</v>
      </c>
      <c r="S15" s="296">
        <f>L15-R15</f>
        <v>0</v>
      </c>
      <c r="T15" s="1409">
        <f>IF(R15=0,IF(S15=0,0,S15/S15),S15/R15)</f>
        <v>0</v>
      </c>
    </row>
    <row r="16" spans="2:20">
      <c r="B16" s="2555"/>
      <c r="D16" s="135"/>
      <c r="E16" s="296"/>
      <c r="F16" s="174"/>
      <c r="G16" s="200"/>
      <c r="H16" s="174"/>
      <c r="I16" s="174"/>
      <c r="J16" s="200"/>
      <c r="K16" s="142"/>
      <c r="L16" s="174"/>
      <c r="M16" s="200"/>
      <c r="N16" s="174"/>
      <c r="O16" s="174"/>
      <c r="P16" s="200"/>
      <c r="Q16"/>
      <c r="R16" s="191"/>
      <c r="S16" s="296"/>
      <c r="T16" s="1410"/>
    </row>
    <row r="17" ht="13.95" spans="2:20">
      <c r="B17" s="2555"/>
      <c r="C17" s="5119" t="s">
        <v>151</v>
      </c>
      <c r="D17" s="135"/>
      <c r="E17" s="1412">
        <f>SUM(E14:E14)</f>
        <v>0</v>
      </c>
      <c r="F17" s="1346">
        <f>SUM(F13:F16)</f>
        <v>110000000</v>
      </c>
      <c r="G17" s="200"/>
      <c r="H17" s="1346">
        <f>SUM(H13:H16)</f>
        <v>0</v>
      </c>
      <c r="I17" s="1346">
        <f>SUM(I13:I16)</f>
        <v>0</v>
      </c>
      <c r="J17" s="200"/>
      <c r="K17" s="1346">
        <f>SUM(K13:K16)</f>
        <v>110000000</v>
      </c>
      <c r="L17" s="1392">
        <f>SUM(L14:L15)</f>
        <v>0</v>
      </c>
      <c r="M17" s="200"/>
      <c r="N17" s="1392">
        <f>SUM(N14:N15)</f>
        <v>0</v>
      </c>
      <c r="O17" s="1392">
        <f>SUM(O14:O15)</f>
        <v>0</v>
      </c>
      <c r="P17" s="200"/>
      <c r="Q17" s="1346">
        <f>SUM(Q14:Q15)</f>
        <v>0</v>
      </c>
      <c r="R17" s="1411">
        <f>SUM(R14:R15)</f>
        <v>0</v>
      </c>
      <c r="S17" s="1412">
        <f>SUM(S14:S15)</f>
        <v>0</v>
      </c>
      <c r="T17" s="1413">
        <f>IF(R17=0,IF(S17=0,0,S17/S17),S17/R17)</f>
        <v>0</v>
      </c>
    </row>
    <row r="18" ht="14.7" spans="2:20">
      <c r="B18" s="2555"/>
      <c r="C18" s="1347"/>
      <c r="D18" s="2286"/>
      <c r="E18" s="1348"/>
      <c r="F18" s="1348"/>
      <c r="G18" s="1348"/>
      <c r="H18" s="1348"/>
      <c r="I18" s="1348"/>
      <c r="J18" s="1348"/>
      <c r="K18" s="1348"/>
      <c r="L18" s="1393"/>
      <c r="M18" s="1394"/>
      <c r="N18" s="1393"/>
      <c r="O18" s="1393"/>
      <c r="P18" s="1394"/>
      <c r="Q18" s="1395">
        <v>0</v>
      </c>
      <c r="R18" s="1395">
        <v>0</v>
      </c>
      <c r="S18" s="1348"/>
      <c r="T18" s="1414"/>
    </row>
    <row r="19" spans="2:20">
      <c r="B19" s="2558"/>
      <c r="C19" s="2559"/>
      <c r="L19" s="2568" t="s">
        <v>649</v>
      </c>
      <c r="M19" s="2423"/>
      <c r="N19" s="2423"/>
      <c r="O19" s="2423"/>
      <c r="P19" s="2423"/>
      <c r="Q19" s="2423"/>
      <c r="R19" s="2568" t="s">
        <v>650</v>
      </c>
      <c r="T19" s="2318"/>
    </row>
    <row r="20" spans="12:20">
      <c r="L20" s="2423"/>
      <c r="M20" s="2423"/>
      <c r="N20" s="2423"/>
      <c r="O20" s="2423"/>
      <c r="P20" s="2423"/>
      <c r="Q20" s="2423"/>
      <c r="R20" s="2423"/>
      <c r="T20" s="2318"/>
    </row>
    <row r="21" spans="12:18">
      <c r="L21" s="2423"/>
      <c r="M21" s="2423"/>
      <c r="N21" s="2423"/>
      <c r="O21" s="2423"/>
      <c r="P21" s="2423"/>
      <c r="Q21" s="2423"/>
      <c r="R21" s="2423"/>
    </row>
    <row r="22" spans="12:18">
      <c r="L22" s="2423"/>
      <c r="M22" s="2423"/>
      <c r="N22" s="2423"/>
      <c r="O22" s="2423"/>
      <c r="P22" s="2423"/>
      <c r="Q22" s="2423"/>
      <c r="R22" s="2423"/>
    </row>
    <row r="23" spans="3:18">
      <c r="C23" s="2560" t="str">
        <f>'F1'!C46</f>
        <v>Sesuai dengan Saldo Buku Besar Periode 31 Desember 2022 &amp; 2021</v>
      </c>
      <c r="L23" s="2423"/>
      <c r="M23" s="2423"/>
      <c r="N23" s="2423"/>
      <c r="O23" s="2423"/>
      <c r="P23" s="2423"/>
      <c r="Q23" s="2423"/>
      <c r="R23" s="2423"/>
    </row>
    <row r="24" ht="7.35" customHeight="1" spans="3:18">
      <c r="C24" s="2560"/>
      <c r="L24" s="2423"/>
      <c r="M24" s="2423"/>
      <c r="N24" s="2423"/>
      <c r="O24" s="2423"/>
      <c r="P24" s="2423"/>
      <c r="Q24" s="2423"/>
      <c r="R24" s="2423"/>
    </row>
    <row r="25" spans="3:18">
      <c r="C25" s="5120" t="str">
        <f>'F1'!C47</f>
        <v>Sesuai dengan Saldo Audit Periode Sebelumnya</v>
      </c>
      <c r="L25" s="2423"/>
      <c r="M25" s="2423"/>
      <c r="N25" s="2423"/>
      <c r="O25" s="2423"/>
      <c r="P25" s="2423"/>
      <c r="Q25" s="2423"/>
      <c r="R25" s="2423"/>
    </row>
    <row r="26" ht="6.95" customHeight="1" spans="3:18">
      <c r="C26" s="2560"/>
      <c r="L26" s="2423"/>
      <c r="M26" s="2423"/>
      <c r="N26" s="2423"/>
      <c r="O26" s="2423"/>
      <c r="P26" s="2423"/>
      <c r="Q26" s="2423"/>
      <c r="R26" s="2423"/>
    </row>
    <row r="27" spans="3:18">
      <c r="C27" s="5120" t="str">
        <f>'F1'!C48</f>
        <v>Rumus dan Formula Perhitungan telah Diperiksa</v>
      </c>
      <c r="L27" s="2423"/>
      <c r="M27" s="2423"/>
      <c r="N27" s="2423"/>
      <c r="O27" s="2423"/>
      <c r="P27" s="2423"/>
      <c r="Q27" s="2423"/>
      <c r="R27" s="2423"/>
    </row>
    <row r="28" spans="3:18">
      <c r="C28" s="2562"/>
      <c r="L28" s="2423"/>
      <c r="M28" s="2423"/>
      <c r="N28" s="2423"/>
      <c r="O28" s="2423"/>
      <c r="P28" s="2423"/>
      <c r="Q28" s="2423"/>
      <c r="R28" s="2423"/>
    </row>
    <row r="29" spans="12:18">
      <c r="L29" s="2423"/>
      <c r="M29" s="2423"/>
      <c r="N29" s="2423"/>
      <c r="O29" s="2423"/>
      <c r="P29" s="2423"/>
      <c r="Q29" s="2423"/>
      <c r="R29" s="2423"/>
    </row>
    <row r="30" spans="3:20">
      <c r="C30"/>
      <c r="D30"/>
      <c r="E30"/>
      <c r="F30"/>
      <c r="G30"/>
      <c r="H30"/>
      <c r="I30"/>
      <c r="J30"/>
      <c r="K30"/>
      <c r="L30"/>
      <c r="M30"/>
      <c r="N30"/>
      <c r="O30"/>
      <c r="P30"/>
      <c r="Q30"/>
      <c r="R30"/>
      <c r="S30"/>
      <c r="T30"/>
    </row>
    <row r="31" outlineLevel="1" spans="3:20">
      <c r="C31"/>
      <c r="D31"/>
      <c r="E31"/>
      <c r="F31"/>
      <c r="G31"/>
      <c r="H31"/>
      <c r="I31"/>
      <c r="J31"/>
      <c r="K31"/>
      <c r="L31"/>
      <c r="M31"/>
      <c r="N31"/>
      <c r="O31"/>
      <c r="P31"/>
      <c r="Q31"/>
      <c r="R31"/>
      <c r="S31"/>
      <c r="T31"/>
    </row>
    <row r="32" outlineLevel="1" spans="3:20">
      <c r="C32" s="2332" t="s">
        <v>11829</v>
      </c>
      <c r="D32"/>
      <c r="E32"/>
      <c r="F32"/>
      <c r="G32"/>
      <c r="H32"/>
      <c r="I32"/>
      <c r="J32"/>
      <c r="K32"/>
      <c r="L32"/>
      <c r="M32"/>
      <c r="N32"/>
      <c r="O32"/>
      <c r="P32"/>
      <c r="Q32"/>
      <c r="R32"/>
      <c r="S32"/>
      <c r="T32"/>
    </row>
    <row r="33" outlineLevel="1" spans="3:20">
      <c r="C33" t="s">
        <v>11830</v>
      </c>
      <c r="D33" t="s">
        <v>894</v>
      </c>
      <c r="E33"/>
      <c r="F33" t="s">
        <v>1020</v>
      </c>
      <c r="G33"/>
      <c r="H33" t="s">
        <v>1815</v>
      </c>
      <c r="I33"/>
      <c r="J33"/>
      <c r="K33"/>
      <c r="L33"/>
      <c r="M33"/>
      <c r="N33"/>
      <c r="O33"/>
      <c r="P33"/>
      <c r="Q33"/>
      <c r="R33"/>
      <c r="S33"/>
      <c r="T33"/>
    </row>
    <row r="34" outlineLevel="1" spans="3:20">
      <c r="C34"/>
      <c r="D34"/>
      <c r="E34"/>
      <c r="F34" t="s">
        <v>749</v>
      </c>
      <c r="G34"/>
      <c r="H34" t="s">
        <v>779</v>
      </c>
      <c r="I34"/>
      <c r="J34"/>
      <c r="K34"/>
      <c r="L34"/>
      <c r="M34"/>
      <c r="N34"/>
      <c r="O34"/>
      <c r="P34"/>
      <c r="Q34"/>
      <c r="R34"/>
      <c r="S34"/>
      <c r="T34"/>
    </row>
    <row r="35" outlineLevel="1" spans="3:20">
      <c r="C35" t="s">
        <v>11831</v>
      </c>
      <c r="D35"/>
      <c r="E35"/>
      <c r="F35">
        <v>0</v>
      </c>
      <c r="G35"/>
      <c r="H35">
        <v>0</v>
      </c>
      <c r="I35"/>
      <c r="J35"/>
      <c r="K35"/>
      <c r="L35"/>
      <c r="M35"/>
      <c r="N35"/>
      <c r="O35"/>
      <c r="P35"/>
      <c r="Q35"/>
      <c r="R35"/>
      <c r="S35"/>
      <c r="T35"/>
    </row>
    <row r="36" outlineLevel="1" spans="3:20">
      <c r="C36" t="s">
        <v>11832</v>
      </c>
      <c r="D36" s="724">
        <v>0.005</v>
      </c>
      <c r="E36"/>
      <c r="F36">
        <f>F35*D36</f>
        <v>0</v>
      </c>
      <c r="G36" s="724">
        <v>0.01</v>
      </c>
      <c r="H36">
        <f>H35*G36</f>
        <v>0</v>
      </c>
      <c r="I36"/>
      <c r="J36"/>
      <c r="K36"/>
      <c r="L36"/>
      <c r="M36"/>
      <c r="N36"/>
      <c r="O36"/>
      <c r="P36"/>
      <c r="Q36"/>
      <c r="R36"/>
      <c r="S36"/>
      <c r="T36"/>
    </row>
    <row r="37" outlineLevel="1" spans="3:20">
      <c r="C37"/>
      <c r="D37"/>
      <c r="E37"/>
      <c r="F37"/>
      <c r="G37"/>
      <c r="H37"/>
      <c r="I37"/>
      <c r="J37"/>
      <c r="K37"/>
      <c r="L37"/>
      <c r="M37"/>
      <c r="N37"/>
      <c r="O37"/>
      <c r="P37"/>
      <c r="Q37"/>
      <c r="R37"/>
      <c r="S37"/>
      <c r="T37"/>
    </row>
    <row r="38" outlineLevel="1" spans="3:20">
      <c r="C38"/>
      <c r="D38"/>
      <c r="E38"/>
      <c r="F38"/>
      <c r="G38"/>
      <c r="H38"/>
      <c r="I38"/>
      <c r="J38"/>
      <c r="K38"/>
      <c r="L38"/>
      <c r="M38"/>
      <c r="N38"/>
      <c r="O38"/>
      <c r="P38"/>
      <c r="Q38"/>
      <c r="R38"/>
      <c r="S38"/>
      <c r="T38"/>
    </row>
    <row r="39" outlineLevel="1" spans="3:20">
      <c r="C39"/>
      <c r="D39"/>
      <c r="E39"/>
      <c r="F39"/>
      <c r="G39"/>
      <c r="H39"/>
      <c r="I39"/>
      <c r="J39"/>
      <c r="K39"/>
      <c r="L39"/>
      <c r="M39"/>
      <c r="N39"/>
      <c r="O39"/>
      <c r="P39"/>
      <c r="Q39"/>
      <c r="R39"/>
      <c r="S39"/>
      <c r="T39"/>
    </row>
    <row r="40" outlineLevel="1" spans="3:20">
      <c r="C40"/>
      <c r="D40"/>
      <c r="E40"/>
      <c r="F40"/>
      <c r="G40"/>
      <c r="H40"/>
      <c r="I40"/>
      <c r="J40"/>
      <c r="K40"/>
      <c r="L40"/>
      <c r="M40"/>
      <c r="N40"/>
      <c r="O40"/>
      <c r="P40"/>
      <c r="Q40"/>
      <c r="R40"/>
      <c r="S40"/>
      <c r="T40"/>
    </row>
    <row r="41" outlineLevel="1" spans="3:20">
      <c r="C41"/>
      <c r="D41"/>
      <c r="E41"/>
      <c r="F41"/>
      <c r="G41"/>
      <c r="H41"/>
      <c r="I41"/>
      <c r="J41"/>
      <c r="K41"/>
      <c r="L41"/>
      <c r="M41"/>
      <c r="N41"/>
      <c r="O41"/>
      <c r="P41"/>
      <c r="Q41"/>
      <c r="R41"/>
      <c r="S41"/>
      <c r="T41"/>
    </row>
    <row r="42" outlineLevel="1" spans="3:20">
      <c r="C42"/>
      <c r="D42"/>
      <c r="E42"/>
      <c r="F42"/>
      <c r="G42"/>
      <c r="H42"/>
      <c r="I42"/>
      <c r="J42"/>
      <c r="K42"/>
      <c r="L42"/>
      <c r="M42"/>
      <c r="N42"/>
      <c r="O42"/>
      <c r="P42"/>
      <c r="Q42"/>
      <c r="R42"/>
      <c r="S42"/>
      <c r="T42"/>
    </row>
    <row r="43" outlineLevel="1" spans="3:20">
      <c r="C43"/>
      <c r="D43"/>
      <c r="E43"/>
      <c r="F43"/>
      <c r="G43"/>
      <c r="H43"/>
      <c r="I43"/>
      <c r="J43"/>
      <c r="K43"/>
      <c r="L43"/>
      <c r="M43"/>
      <c r="N43"/>
      <c r="O43"/>
      <c r="P43"/>
      <c r="Q43"/>
      <c r="R43"/>
      <c r="S43"/>
      <c r="T43"/>
    </row>
    <row r="44" spans="3:20">
      <c r="C44"/>
      <c r="D44"/>
      <c r="E44"/>
      <c r="F44"/>
      <c r="G44"/>
      <c r="H44"/>
      <c r="I44"/>
      <c r="J44"/>
      <c r="K44"/>
      <c r="L44"/>
      <c r="M44"/>
      <c r="N44"/>
      <c r="O44"/>
      <c r="P44"/>
      <c r="Q44"/>
      <c r="R44"/>
      <c r="S44"/>
      <c r="T44"/>
    </row>
    <row r="45" spans="3:20">
      <c r="C45"/>
      <c r="D45"/>
      <c r="E45"/>
      <c r="F45"/>
      <c r="G45"/>
      <c r="H45"/>
      <c r="I45"/>
      <c r="J45"/>
      <c r="K45"/>
      <c r="L45"/>
      <c r="M45"/>
      <c r="N45"/>
      <c r="O45"/>
      <c r="P45"/>
      <c r="Q45"/>
      <c r="R45"/>
      <c r="S45"/>
      <c r="T45"/>
    </row>
    <row r="46" spans="3:20">
      <c r="C46"/>
      <c r="D46"/>
      <c r="E46"/>
      <c r="F46"/>
      <c r="G46"/>
      <c r="H46"/>
      <c r="I46"/>
      <c r="J46"/>
      <c r="K46"/>
      <c r="L46"/>
      <c r="M46"/>
      <c r="N46"/>
      <c r="O46"/>
      <c r="P46"/>
      <c r="Q46"/>
      <c r="R46"/>
      <c r="S46"/>
      <c r="T46"/>
    </row>
    <row r="47" spans="3:20">
      <c r="C47"/>
      <c r="D47"/>
      <c r="E47"/>
      <c r="F47"/>
      <c r="G47"/>
      <c r="H47"/>
      <c r="I47"/>
      <c r="J47"/>
      <c r="K47"/>
      <c r="L47"/>
      <c r="M47"/>
      <c r="N47"/>
      <c r="O47"/>
      <c r="P47"/>
      <c r="Q47"/>
      <c r="R47"/>
      <c r="S47"/>
      <c r="T47"/>
    </row>
    <row r="48" spans="3:20">
      <c r="C48"/>
      <c r="D48"/>
      <c r="E48"/>
      <c r="F48"/>
      <c r="G48"/>
      <c r="H48"/>
      <c r="I48"/>
      <c r="J48"/>
      <c r="K48"/>
      <c r="L48"/>
      <c r="M48"/>
      <c r="N48"/>
      <c r="O48"/>
      <c r="P48"/>
      <c r="Q48"/>
      <c r="R48"/>
      <c r="S48"/>
      <c r="T48"/>
    </row>
    <row r="49" spans="3:20">
      <c r="C49"/>
      <c r="D49"/>
      <c r="E49"/>
      <c r="F49"/>
      <c r="G49"/>
      <c r="H49"/>
      <c r="I49"/>
      <c r="J49"/>
      <c r="K49"/>
      <c r="L49"/>
      <c r="M49"/>
      <c r="N49"/>
      <c r="O49"/>
      <c r="P49"/>
      <c r="Q49"/>
      <c r="R49"/>
      <c r="S49"/>
      <c r="T49"/>
    </row>
    <row r="50" spans="3:20">
      <c r="C50"/>
      <c r="D50"/>
      <c r="E50"/>
      <c r="F50"/>
      <c r="G50"/>
      <c r="H50"/>
      <c r="I50"/>
      <c r="J50"/>
      <c r="K50"/>
      <c r="L50"/>
      <c r="M50"/>
      <c r="N50"/>
      <c r="O50"/>
      <c r="P50"/>
      <c r="Q50"/>
      <c r="R50"/>
      <c r="S50"/>
      <c r="T50"/>
    </row>
    <row r="51" spans="3:20">
      <c r="C51" t="s">
        <v>952</v>
      </c>
      <c r="D51"/>
      <c r="E51"/>
      <c r="F51"/>
      <c r="G51"/>
      <c r="H51"/>
      <c r="I51"/>
      <c r="J51"/>
      <c r="K51"/>
      <c r="L51"/>
      <c r="M51"/>
      <c r="N51" t="s">
        <v>953</v>
      </c>
      <c r="O51" t="s">
        <v>954</v>
      </c>
      <c r="P51"/>
      <c r="Q51"/>
      <c r="R51" t="s">
        <v>2264</v>
      </c>
      <c r="S51"/>
      <c r="T51"/>
    </row>
    <row r="52" spans="3:20">
      <c r="C52"/>
      <c r="D52"/>
      <c r="E52"/>
      <c r="F52"/>
      <c r="G52"/>
      <c r="H52"/>
      <c r="I52"/>
      <c r="J52"/>
      <c r="K52"/>
      <c r="L52"/>
      <c r="M52"/>
      <c r="N52"/>
      <c r="O52"/>
      <c r="P52"/>
      <c r="Q52"/>
      <c r="R52"/>
      <c r="S52"/>
      <c r="T52"/>
    </row>
    <row r="53" spans="3:20">
      <c r="C53" t="s">
        <v>11833</v>
      </c>
      <c r="D53"/>
      <c r="E53"/>
      <c r="F53"/>
      <c r="G53"/>
      <c r="H53"/>
      <c r="I53"/>
      <c r="J53"/>
      <c r="K53"/>
      <c r="L53"/>
      <c r="M53"/>
      <c r="N53"/>
      <c r="O53"/>
      <c r="P53"/>
      <c r="Q53"/>
      <c r="R53"/>
      <c r="S53"/>
      <c r="T53"/>
    </row>
    <row r="54" spans="3:20">
      <c r="C54"/>
      <c r="D54"/>
      <c r="E54"/>
      <c r="F54"/>
      <c r="G54"/>
      <c r="H54"/>
      <c r="I54"/>
      <c r="J54"/>
      <c r="K54"/>
      <c r="L54"/>
      <c r="M54"/>
      <c r="N54"/>
      <c r="O54"/>
      <c r="P54"/>
      <c r="Q54"/>
      <c r="R54"/>
      <c r="S54"/>
      <c r="T54"/>
    </row>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sheetData>
  <mergeCells count="4">
    <mergeCell ref="S9:T9"/>
    <mergeCell ref="S10:T10"/>
    <mergeCell ref="H9:I10"/>
    <mergeCell ref="N9:O10"/>
  </mergeCells>
  <printOptions horizontalCentered="1"/>
  <pageMargins left="0.708661417322835" right="0.511811023622047" top="0.708661417322835" bottom="0.31496062992126" header="0.511811023622047" footer="0.511811023622047"/>
  <pageSetup paperSize="9" scale="60" orientation="landscape"/>
  <headerFooter alignWithMargins="0">
    <oddFooter>&amp;R&amp;"Arial,Bold"&amp;28L</oddFooter>
  </headerFooter>
  <drawing r:id="rId1"/>
  <legacyDrawing r:id="rId2"/>
  <oleObjects>
    <mc:AlternateContent xmlns:mc="http://schemas.openxmlformats.org/markup-compatibility/2006">
      <mc:Choice Requires="x14">
        <oleObject shapeId="4625409" progId="Paint.Picture" r:id="rId3">
          <objectPr defaultSize="0" r:id="rId4">
            <anchor moveWithCells="1">
              <from>
                <xdr:col>2</xdr:col>
                <xdr:colOff>12700</xdr:colOff>
                <xdr:row>26</xdr:row>
                <xdr:rowOff>19050</xdr:rowOff>
              </from>
              <to>
                <xdr:col>2</xdr:col>
                <xdr:colOff>158750</xdr:colOff>
                <xdr:row>27</xdr:row>
                <xdr:rowOff>12700</xdr:rowOff>
              </to>
            </anchor>
          </objectPr>
        </oleObject>
      </mc:Choice>
      <mc:Fallback>
        <oleObject shapeId="4625409" progId="Paint.Picture" r:id="rId3"/>
      </mc:Fallback>
    </mc:AlternateContent>
    <mc:AlternateContent xmlns:mc="http://schemas.openxmlformats.org/markup-compatibility/2006">
      <mc:Choice Requires="x14">
        <oleObject shapeId="4625410" progId="Paint.Picture" r:id="rId5">
          <objectPr defaultSize="0" r:id="rId6">
            <anchor moveWithCells="1">
              <from>
                <xdr:col>2</xdr:col>
                <xdr:colOff>12700</xdr:colOff>
                <xdr:row>24</xdr:row>
                <xdr:rowOff>12700</xdr:rowOff>
              </from>
              <to>
                <xdr:col>2</xdr:col>
                <xdr:colOff>165100</xdr:colOff>
                <xdr:row>25</xdr:row>
                <xdr:rowOff>0</xdr:rowOff>
              </to>
            </anchor>
          </objectPr>
        </oleObject>
      </mc:Choice>
      <mc:Fallback>
        <oleObject shapeId="4625410" progId="Paint.Picture" r:id="rId5"/>
      </mc:Fallback>
    </mc:AlternateContent>
    <mc:AlternateContent xmlns:mc="http://schemas.openxmlformats.org/markup-compatibility/2006">
      <mc:Choice Requires="x14">
        <oleObject shapeId="4625411" progId="Paint.Picture" r:id="rId7">
          <objectPr defaultSize="0" r:id="rId6">
            <anchor moveWithCells="1">
              <from>
                <xdr:col>17</xdr:col>
                <xdr:colOff>527050</xdr:colOff>
                <xdr:row>6</xdr:row>
                <xdr:rowOff>139700</xdr:rowOff>
              </from>
              <to>
                <xdr:col>17</xdr:col>
                <xdr:colOff>723900</xdr:colOff>
                <xdr:row>7</xdr:row>
                <xdr:rowOff>146050</xdr:rowOff>
              </to>
            </anchor>
          </objectPr>
        </oleObject>
      </mc:Choice>
      <mc:Fallback>
        <oleObject shapeId="4625411" progId="Paint.Picture" r:id="rId7"/>
      </mc:Fallback>
    </mc:AlternateContent>
    <mc:AlternateContent xmlns:mc="http://schemas.openxmlformats.org/markup-compatibility/2006">
      <mc:Choice Requires="x14">
        <oleObject shapeId="4625412" progId="Paint.Picture" r:id="rId8">
          <objectPr defaultSize="0" r:id="rId4">
            <anchor moveWithCells="1">
              <from>
                <xdr:col>13</xdr:col>
                <xdr:colOff>755650</xdr:colOff>
                <xdr:row>19</xdr:row>
                <xdr:rowOff>57150</xdr:rowOff>
              </from>
              <to>
                <xdr:col>13</xdr:col>
                <xdr:colOff>952500</xdr:colOff>
                <xdr:row>20</xdr:row>
                <xdr:rowOff>82550</xdr:rowOff>
              </to>
            </anchor>
          </objectPr>
        </oleObject>
      </mc:Choice>
      <mc:Fallback>
        <oleObject shapeId="4625412" progId="Paint.Picture" r:id="rId8"/>
      </mc:Fallback>
    </mc:AlternateContent>
  </oleObjects>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9"/>
  <dimension ref="B2:I261"/>
  <sheetViews>
    <sheetView showGridLines="0" zoomScale="130" zoomScaleNormal="130" workbookViewId="0">
      <selection activeCell="K17" sqref="K17"/>
    </sheetView>
  </sheetViews>
  <sheetFormatPr defaultColWidth="8.84375" defaultRowHeight="12" customHeight="1"/>
  <cols>
    <col min="1" max="1" width="3.59375" style="2850" customWidth="1"/>
    <col min="2" max="2" width="22.625" style="2850" customWidth="1"/>
    <col min="3" max="3" width="2.39583333333333" style="2850" customWidth="1"/>
    <col min="4" max="4" width="22.625" style="2850" customWidth="1"/>
    <col min="5" max="5" width="2.39583333333333" style="2850" customWidth="1"/>
    <col min="6" max="6" width="11.53125" style="2850" customWidth="1"/>
    <col min="7" max="7" width="2.39583333333333" style="2850" customWidth="1"/>
    <col min="8" max="8" width="10.9375" style="2850" customWidth="1"/>
    <col min="9" max="9" width="13.03125" style="2850" customWidth="1"/>
    <col min="10" max="16384" width="8.84375" style="2850"/>
  </cols>
  <sheetData>
    <row r="2" ht="13.8" spans="2:9">
      <c r="B2" s="5070" t="str">
        <f>'F1'!C4</f>
        <v>PT INTAN GIRI ABADI</v>
      </c>
      <c r="C2" s="2852"/>
      <c r="D2" s="2852"/>
      <c r="E2" s="2852"/>
      <c r="F2" s="2852"/>
      <c r="G2" s="2852"/>
      <c r="H2" s="2852"/>
      <c r="I2" s="2852"/>
    </row>
    <row r="3" ht="21" spans="2:9">
      <c r="B3" s="5071" t="s">
        <v>11834</v>
      </c>
      <c r="C3" s="2854"/>
      <c r="D3" s="2854"/>
      <c r="E3" s="2854"/>
      <c r="F3" s="2854"/>
      <c r="G3" s="2854"/>
      <c r="H3" s="2854"/>
      <c r="I3" s="2854"/>
    </row>
    <row r="4" customHeight="1" spans="2:9">
      <c r="B4" s="2855"/>
      <c r="C4" s="2855"/>
      <c r="D4" s="2855"/>
      <c r="E4" s="2855"/>
      <c r="F4" s="2855"/>
      <c r="G4" s="2855"/>
      <c r="H4" s="2855"/>
      <c r="I4" s="2855"/>
    </row>
    <row r="5" customHeight="1" spans="2:9">
      <c r="B5" s="2856"/>
      <c r="C5" s="2856"/>
      <c r="D5" s="2856"/>
      <c r="E5" s="2856"/>
      <c r="F5" s="2856"/>
      <c r="G5" s="2856"/>
      <c r="H5" s="2856"/>
      <c r="I5" s="2856"/>
    </row>
    <row r="6" customHeight="1" spans="2:8">
      <c r="B6" t="s">
        <v>11835</v>
      </c>
      <c r="D6" t="s">
        <v>11836</v>
      </c>
      <c r="F6" t="s">
        <v>11837</v>
      </c>
      <c r="H6" s="5125" t="s">
        <v>11838</v>
      </c>
    </row>
    <row r="7" ht="9.2" customHeight="1" spans="2:8">
      <c r="B7"/>
      <c r="D7"/>
      <c r="F7"/>
      <c r="H7" s="2858"/>
    </row>
    <row r="8" customHeight="1" spans="2:8">
      <c r="B8" s="5126" t="s">
        <v>11839</v>
      </c>
      <c r="D8" s="5126" t="s">
        <v>11840</v>
      </c>
      <c r="F8" t="s">
        <v>11841</v>
      </c>
      <c r="H8">
        <v>0</v>
      </c>
    </row>
    <row r="9" customHeight="1" spans="2:8">
      <c r="B9" s="5126" t="s">
        <v>11842</v>
      </c>
      <c r="D9" s="5126" t="s">
        <v>11843</v>
      </c>
      <c r="F9" t="s">
        <v>11844</v>
      </c>
      <c r="H9">
        <v>5</v>
      </c>
    </row>
    <row r="10" customHeight="1" spans="2:8">
      <c r="B10" s="5126" t="s">
        <v>11845</v>
      </c>
      <c r="D10" s="5126" t="s">
        <v>11843</v>
      </c>
      <c r="F10" t="s">
        <v>11846</v>
      </c>
      <c r="H10">
        <v>50</v>
      </c>
    </row>
    <row r="11" customHeight="1" spans="2:8">
      <c r="B11" s="5126" t="s">
        <v>11847</v>
      </c>
      <c r="D11" s="5126" t="s">
        <v>11843</v>
      </c>
      <c r="F11" t="s">
        <v>11848</v>
      </c>
      <c r="H11">
        <v>25</v>
      </c>
    </row>
    <row r="12" customHeight="1" spans="2:8">
      <c r="B12" s="5126" t="s">
        <v>11849</v>
      </c>
      <c r="D12" s="5126" t="s">
        <v>11843</v>
      </c>
      <c r="F12" t="s">
        <v>11848</v>
      </c>
      <c r="H12">
        <v>25</v>
      </c>
    </row>
    <row r="13" customHeight="1" spans="2:8">
      <c r="B13" s="5126" t="s">
        <v>11850</v>
      </c>
      <c r="D13" s="5126" t="s">
        <v>11843</v>
      </c>
      <c r="F13" t="s">
        <v>11848</v>
      </c>
      <c r="H13">
        <v>25</v>
      </c>
    </row>
    <row r="14" customHeight="1" spans="2:8">
      <c r="B14" s="5126" t="s">
        <v>11851</v>
      </c>
      <c r="D14" s="5126" t="s">
        <v>11843</v>
      </c>
      <c r="F14" t="s">
        <v>11848</v>
      </c>
      <c r="H14">
        <v>25</v>
      </c>
    </row>
    <row r="17" customHeight="1" spans="2:9">
      <c r="B17" s="2860"/>
      <c r="C17" s="2861"/>
      <c r="D17" s="2861"/>
      <c r="E17" s="2861"/>
      <c r="F17" s="2861"/>
      <c r="G17" s="2861"/>
      <c r="H17" s="2861"/>
      <c r="I17" s="2861"/>
    </row>
    <row r="18" customHeight="1" spans="2:9">
      <c r="B18" s="2862"/>
      <c r="C18" s="2863"/>
      <c r="D18" s="2863"/>
      <c r="E18" s="2863"/>
      <c r="F18" s="2863"/>
      <c r="G18" s="2863"/>
      <c r="H18" s="2863"/>
      <c r="I18" s="2863"/>
    </row>
    <row r="19" customHeight="1" spans="2:9">
      <c r="B19" s="2864"/>
      <c r="C19" s="2865"/>
      <c r="D19" s="2865"/>
      <c r="E19" s="2865"/>
      <c r="F19" s="2865"/>
      <c r="G19" s="2865"/>
      <c r="H19" s="2865"/>
      <c r="I19" s="2865"/>
    </row>
    <row r="141" hidden="1" customHeight="1"/>
    <row r="142" hidden="1" customHeight="1"/>
    <row r="143" hidden="1" customHeight="1"/>
    <row r="144" hidden="1" customHeight="1"/>
    <row r="145" hidden="1" customHeight="1"/>
    <row r="146" hidden="1" customHeight="1"/>
    <row r="147" hidden="1" customHeight="1"/>
    <row r="148" hidden="1" customHeight="1"/>
    <row r="149" hidden="1" customHeight="1"/>
    <row r="150" hidden="1" customHeight="1"/>
    <row r="151" hidden="1" customHeight="1"/>
    <row r="152" hidden="1" customHeight="1"/>
    <row r="153" hidden="1" customHeight="1"/>
    <row r="154" hidden="1" customHeight="1"/>
    <row r="155" hidden="1" customHeight="1"/>
    <row r="156" hidden="1" customHeight="1"/>
    <row r="157" hidden="1" customHeight="1"/>
    <row r="158" hidden="1" customHeight="1"/>
    <row r="159" hidden="1" customHeight="1"/>
    <row r="160" hidden="1" customHeight="1"/>
    <row r="161" hidden="1" customHeight="1"/>
    <row r="162" hidden="1" customHeight="1"/>
    <row r="163" hidden="1" customHeight="1"/>
    <row r="164" hidden="1" customHeight="1"/>
    <row r="165" hidden="1" customHeight="1"/>
    <row r="166" hidden="1" customHeight="1"/>
    <row r="167" hidden="1" customHeight="1"/>
    <row r="168" hidden="1" customHeight="1"/>
    <row r="169" hidden="1" customHeight="1"/>
    <row r="170" hidden="1" customHeight="1"/>
    <row r="171" hidden="1" customHeight="1"/>
    <row r="172" hidden="1" customHeight="1"/>
    <row r="173" hidden="1" customHeight="1"/>
    <row r="174" hidden="1" customHeight="1"/>
    <row r="175" hidden="1" customHeight="1"/>
    <row r="176" hidden="1" customHeight="1"/>
    <row r="177" hidden="1" customHeight="1"/>
    <row r="178" hidden="1" customHeight="1"/>
    <row r="179" hidden="1" customHeight="1"/>
    <row r="180" hidden="1" customHeight="1"/>
    <row r="181" hidden="1" customHeight="1"/>
    <row r="182" hidden="1" customHeight="1"/>
    <row r="183" hidden="1" customHeight="1"/>
    <row r="184" hidden="1" customHeight="1"/>
    <row r="185" hidden="1" customHeight="1"/>
    <row r="186" hidden="1" customHeight="1"/>
    <row r="187" hidden="1" customHeight="1"/>
    <row r="188" hidden="1" customHeight="1"/>
    <row r="189" hidden="1" customHeight="1"/>
    <row r="190" hidden="1" customHeight="1"/>
    <row r="191" hidden="1" customHeight="1"/>
    <row r="192" hidden="1" customHeight="1"/>
    <row r="193" hidden="1" customHeight="1"/>
    <row r="194" hidden="1" customHeight="1"/>
    <row r="195" hidden="1" customHeight="1"/>
    <row r="196" hidden="1" customHeight="1"/>
    <row r="197" hidden="1" customHeight="1"/>
    <row r="198" hidden="1" customHeight="1"/>
    <row r="199" hidden="1" customHeight="1"/>
    <row r="200" hidden="1" customHeight="1"/>
    <row r="201" hidden="1" customHeight="1"/>
    <row r="202" hidden="1" customHeight="1"/>
    <row r="203" hidden="1" customHeight="1"/>
    <row r="204" hidden="1" customHeight="1"/>
    <row r="205" hidden="1" customHeight="1"/>
    <row r="206" hidden="1" customHeight="1"/>
    <row r="207" hidden="1" customHeight="1"/>
    <row r="208" hidden="1" customHeight="1"/>
    <row r="209" hidden="1" customHeight="1"/>
    <row r="210" hidden="1" customHeight="1"/>
    <row r="211" hidden="1" customHeight="1"/>
    <row r="212" hidden="1" customHeight="1"/>
    <row r="213" hidden="1" customHeight="1"/>
    <row r="214" hidden="1" customHeight="1"/>
    <row r="215" hidden="1" customHeight="1"/>
    <row r="216" hidden="1" customHeight="1"/>
    <row r="217" hidden="1" customHeight="1"/>
    <row r="218" hidden="1" customHeight="1"/>
    <row r="219" hidden="1" customHeight="1"/>
    <row r="220" hidden="1" customHeight="1"/>
    <row r="221" hidden="1" customHeight="1"/>
    <row r="222" hidden="1" customHeight="1"/>
    <row r="223" hidden="1" customHeight="1"/>
    <row r="224" hidden="1" customHeight="1"/>
    <row r="225" hidden="1" customHeight="1"/>
    <row r="226" hidden="1" customHeight="1"/>
    <row r="227" hidden="1" customHeight="1"/>
    <row r="228" hidden="1" customHeight="1"/>
    <row r="229" hidden="1" customHeight="1"/>
    <row r="230" hidden="1" customHeight="1"/>
    <row r="231" hidden="1" customHeight="1"/>
    <row r="232" hidden="1" customHeight="1"/>
    <row r="233" hidden="1" customHeight="1"/>
    <row r="234" hidden="1" customHeight="1"/>
    <row r="235" hidden="1" customHeight="1"/>
    <row r="236" hidden="1" customHeight="1"/>
    <row r="237" hidden="1" customHeight="1"/>
    <row r="238" hidden="1" customHeight="1"/>
    <row r="239" hidden="1" customHeight="1"/>
    <row r="240" hidden="1" customHeight="1"/>
    <row r="241" hidden="1" customHeight="1"/>
    <row r="242" hidden="1" customHeight="1"/>
    <row r="243" hidden="1" customHeight="1"/>
    <row r="244" hidden="1" customHeight="1"/>
    <row r="245" hidden="1" customHeight="1"/>
    <row r="246" hidden="1" customHeight="1"/>
    <row r="247" hidden="1" customHeight="1"/>
    <row r="248" hidden="1" customHeight="1"/>
    <row r="249" hidden="1" customHeight="1"/>
    <row r="250" hidden="1" customHeight="1"/>
    <row r="251" hidden="1" customHeight="1"/>
    <row r="252" hidden="1" customHeight="1"/>
    <row r="253" hidden="1" customHeight="1"/>
    <row r="254" hidden="1" customHeight="1"/>
    <row r="255" hidden="1" customHeight="1"/>
    <row r="256" hidden="1" customHeight="1"/>
    <row r="257" hidden="1" customHeight="1"/>
    <row r="258" hidden="1" customHeight="1"/>
    <row r="259" hidden="1" customHeight="1"/>
    <row r="260" hidden="1" customHeight="1"/>
    <row r="261" hidden="1" customHeight="1"/>
  </sheetData>
  <pageMargins left="0.361111111111111" right="0.361111111111111" top="0.361111111111111" bottom="0.361111111111111" header="0.3" footer="0.3"/>
  <pageSetup paperSize="9" orientation="portrait"/>
  <headerFooter/>
  <rowBreaks count="1" manualBreakCount="1">
    <brk id="20" max="16383" man="1"/>
  </rowBreaks>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1">
    <tabColor theme="6" tint="-0.249977111117893"/>
    <pageSetUpPr fitToPage="1"/>
  </sheetPr>
  <dimension ref="A1:Y278"/>
  <sheetViews>
    <sheetView showGridLines="0" zoomScale="115" zoomScaleNormal="115" workbookViewId="0">
      <pane xSplit="4" ySplit="10" topLeftCell="N11" activePane="bottomRight" state="frozen"/>
      <selection/>
      <selection pane="topRight"/>
      <selection pane="bottomLeft"/>
      <selection pane="bottomRight" activeCell="P17" sqref="P17"/>
    </sheetView>
  </sheetViews>
  <sheetFormatPr defaultColWidth="9.13541666666667" defaultRowHeight="13.2"/>
  <cols>
    <col min="1" max="1" width="2.25" style="101" customWidth="1"/>
    <col min="2" max="2" width="3" style="101" customWidth="1"/>
    <col min="3" max="3" width="8.84375" style="101" customWidth="1"/>
    <col min="4" max="4" width="28.1666666666667" style="101" customWidth="1"/>
    <col min="5" max="5" width="6.4375" style="101" customWidth="1"/>
    <col min="6" max="6" width="12.28125" style="246" customWidth="1"/>
    <col min="7" max="7" width="17.375" style="101" customWidth="1"/>
    <col min="8" max="8" width="16.1770833333333" style="101" customWidth="1" outlineLevel="1"/>
    <col min="9" max="9" width="16.4791666666667" style="101" customWidth="1" outlineLevel="1"/>
    <col min="10" max="10" width="17.375" style="101" customWidth="1" outlineLevel="1"/>
    <col min="11" max="11" width="5.23958333333333" style="101" customWidth="1" outlineLevel="1"/>
    <col min="12" max="13" width="16.3333333333333" style="101" customWidth="1" outlineLevel="1"/>
    <col min="14" max="14" width="6.14583333333333" style="101" customWidth="1" outlineLevel="1"/>
    <col min="15" max="17" width="16.3333333333333" style="101" customWidth="1"/>
    <col min="18" max="18" width="18.125" style="101" customWidth="1"/>
    <col min="19" max="19" width="7.04166666666667" style="101" customWidth="1"/>
    <col min="20" max="20" width="17.53125" style="101" customWidth="1"/>
    <col min="21" max="21" width="16.9270833333333" style="101" customWidth="1"/>
    <col min="22" max="22" width="7.64583333333333" style="101" customWidth="1"/>
    <col min="23" max="23" width="19.1770833333333" style="101" customWidth="1"/>
    <col min="24" max="24" width="16.1770833333333" style="101" customWidth="1"/>
    <col min="25" max="25" width="14.6875" style="101" customWidth="1"/>
    <col min="26" max="16384" width="9.13541666666667" style="101"/>
  </cols>
  <sheetData>
    <row r="1" spans="10:10">
      <c r="J1" s="137"/>
    </row>
    <row r="2" ht="15.6" spans="2:23">
      <c r="B2" s="2745" t="str">
        <f>A!B2</f>
        <v>KAP LIASTA NIRWAN SYAFRUDIN &amp; REKAN</v>
      </c>
      <c r="C2" s="2746"/>
      <c r="D2" s="2746"/>
      <c r="E2" s="2746"/>
      <c r="F2" s="2746"/>
      <c r="G2" s="2746"/>
      <c r="H2" s="2746"/>
      <c r="I2" s="2746"/>
      <c r="J2" s="2746"/>
      <c r="K2" s="2746"/>
      <c r="L2" s="2746"/>
      <c r="M2" s="2746"/>
      <c r="N2" s="2746"/>
      <c r="O2" s="2746"/>
      <c r="P2" s="2746"/>
      <c r="Q2" s="2746"/>
      <c r="R2" s="2746"/>
      <c r="S2" s="2746"/>
      <c r="T2" s="2746" t="s">
        <v>481</v>
      </c>
      <c r="U2" s="2746" t="s">
        <v>482</v>
      </c>
      <c r="V2" s="2746"/>
      <c r="W2" s="2791" t="s">
        <v>483</v>
      </c>
    </row>
    <row r="3" spans="2:23">
      <c r="B3" s="2747"/>
      <c r="C3" s="2748"/>
      <c r="D3" s="2748"/>
      <c r="E3" s="2748"/>
      <c r="F3" s="2748"/>
      <c r="G3" s="2748"/>
      <c r="H3" s="2748"/>
      <c r="I3" s="2748"/>
      <c r="J3" s="2748"/>
      <c r="K3" s="2748"/>
      <c r="L3" s="2748"/>
      <c r="M3" s="2748"/>
      <c r="N3" s="2748"/>
      <c r="O3" s="2748"/>
      <c r="P3" s="2748"/>
      <c r="Q3" s="2748"/>
      <c r="R3" s="2748"/>
      <c r="S3" s="2748"/>
      <c r="T3" s="2748"/>
      <c r="U3" s="2792">
        <v>45183</v>
      </c>
      <c r="V3" s="2748"/>
      <c r="W3" s="2793" t="s">
        <v>744</v>
      </c>
    </row>
    <row r="4" spans="2:23">
      <c r="B4" s="2747" t="s">
        <v>1227</v>
      </c>
      <c r="C4" s="2748"/>
      <c r="D4" s="2748" t="str">
        <f>'F1'!C4</f>
        <v>PT INTAN GIRI ABADI</v>
      </c>
      <c r="E4" s="2748"/>
      <c r="F4" s="2748"/>
      <c r="G4" s="2748"/>
      <c r="H4" s="2748"/>
      <c r="I4" s="2748"/>
      <c r="J4" s="2748"/>
      <c r="K4" s="2748"/>
      <c r="L4" s="2748"/>
      <c r="M4" s="2748"/>
      <c r="N4" s="2748"/>
      <c r="O4" s="2748"/>
      <c r="P4" s="2748"/>
      <c r="Q4" s="2748"/>
      <c r="R4" s="2748"/>
      <c r="S4" s="2748"/>
      <c r="T4" s="2748" t="s">
        <v>487</v>
      </c>
      <c r="U4" s="2748" t="s">
        <v>482</v>
      </c>
      <c r="V4" s="2748"/>
      <c r="W4" s="2793" t="s">
        <v>488</v>
      </c>
    </row>
    <row r="5" spans="2:23">
      <c r="B5" s="2747"/>
      <c r="C5" s="2748"/>
      <c r="D5" s="2748"/>
      <c r="E5" s="2748"/>
      <c r="F5" s="2748"/>
      <c r="G5" s="2748"/>
      <c r="H5" s="2748"/>
      <c r="I5" s="2748"/>
      <c r="J5" s="2748"/>
      <c r="K5" s="2748"/>
      <c r="L5" s="2748"/>
      <c r="M5" s="2748"/>
      <c r="N5" s="2748"/>
      <c r="O5" s="2748"/>
      <c r="P5" s="2748"/>
      <c r="Q5" s="2748"/>
      <c r="R5" s="2748"/>
      <c r="S5" s="2748"/>
      <c r="T5" s="2748"/>
      <c r="U5" s="2748"/>
      <c r="V5" s="2748"/>
      <c r="W5" s="2793"/>
    </row>
    <row r="6" spans="2:23">
      <c r="B6" s="2747"/>
      <c r="C6" s="2748"/>
      <c r="D6" s="2748"/>
      <c r="E6" s="2748"/>
      <c r="F6" s="2748"/>
      <c r="G6" s="2748"/>
      <c r="H6" s="2748"/>
      <c r="I6" s="2748"/>
      <c r="J6" s="2748"/>
      <c r="K6" s="2748"/>
      <c r="L6" s="2748"/>
      <c r="M6" s="2748"/>
      <c r="N6" s="2748"/>
      <c r="O6" s="2748"/>
      <c r="P6" s="2748"/>
      <c r="Q6" s="2748"/>
      <c r="R6" s="2748"/>
      <c r="S6" s="2748"/>
      <c r="T6" s="2748"/>
      <c r="U6" s="2748"/>
      <c r="V6" s="2748"/>
      <c r="W6" s="2793" t="s">
        <v>491</v>
      </c>
    </row>
    <row r="7" spans="2:23">
      <c r="B7" s="2749" t="s">
        <v>11852</v>
      </c>
      <c r="C7" s="2750"/>
      <c r="D7" s="2751" t="s">
        <v>11853</v>
      </c>
      <c r="E7" s="2750"/>
      <c r="F7" s="2750"/>
      <c r="G7" s="2750"/>
      <c r="H7" s="2750"/>
      <c r="I7" s="2750"/>
      <c r="J7" s="2750"/>
      <c r="K7" s="2750"/>
      <c r="L7" s="2750"/>
      <c r="M7" s="2750"/>
      <c r="N7" s="2750"/>
      <c r="O7" s="2750"/>
      <c r="P7" s="2750"/>
      <c r="Q7" s="2750"/>
      <c r="R7" s="2750"/>
      <c r="S7" s="2750"/>
      <c r="T7" s="2750"/>
      <c r="U7" s="2750"/>
      <c r="V7" s="2750"/>
      <c r="W7" s="2794">
        <f>+'F1'!X7</f>
        <v>44926</v>
      </c>
    </row>
    <row r="8" spans="2:2">
      <c r="B8" s="100"/>
    </row>
    <row r="9" spans="2:23">
      <c r="B9" s="2752"/>
      <c r="C9" s="2753"/>
      <c r="D9" s="2753"/>
      <c r="E9" s="2754" t="s">
        <v>654</v>
      </c>
      <c r="F9" s="2753" t="s">
        <v>11854</v>
      </c>
      <c r="G9" s="2755" t="s">
        <v>996</v>
      </c>
      <c r="H9" s="2756" t="s">
        <v>11421</v>
      </c>
      <c r="I9" s="2785"/>
      <c r="J9" s="2753" t="s">
        <v>996</v>
      </c>
      <c r="K9" s="2754" t="s">
        <v>1230</v>
      </c>
      <c r="L9" s="2753" t="s">
        <v>11855</v>
      </c>
      <c r="M9" s="2753"/>
      <c r="N9" s="2753" t="s">
        <v>1230</v>
      </c>
      <c r="O9" s="2752" t="s">
        <v>996</v>
      </c>
      <c r="P9" s="2756" t="s">
        <v>11421</v>
      </c>
      <c r="Q9" s="2785"/>
      <c r="R9" s="2795" t="s">
        <v>996</v>
      </c>
      <c r="S9" s="2796" t="s">
        <v>1230</v>
      </c>
      <c r="T9" s="2756" t="s">
        <v>11855</v>
      </c>
      <c r="U9" s="2785"/>
      <c r="V9" s="2753" t="s">
        <v>1230</v>
      </c>
      <c r="W9" s="2754" t="s">
        <v>1233</v>
      </c>
    </row>
    <row r="10" spans="2:23">
      <c r="B10" s="2757" t="s">
        <v>387</v>
      </c>
      <c r="C10" s="2758"/>
      <c r="D10" s="2758"/>
      <c r="E10" s="2759" t="s">
        <v>812</v>
      </c>
      <c r="F10" s="2760" t="s">
        <v>11856</v>
      </c>
      <c r="G10" s="2761">
        <v>44196</v>
      </c>
      <c r="H10" s="2759" t="s">
        <v>1816</v>
      </c>
      <c r="I10" s="2759" t="s">
        <v>11782</v>
      </c>
      <c r="J10" s="2786">
        <v>44561</v>
      </c>
      <c r="K10" s="2786" t="s">
        <v>11857</v>
      </c>
      <c r="L10" s="2759" t="s">
        <v>1231</v>
      </c>
      <c r="M10" s="2760" t="s">
        <v>1232</v>
      </c>
      <c r="N10" s="2759" t="s">
        <v>11857</v>
      </c>
      <c r="O10" s="2761">
        <v>44561</v>
      </c>
      <c r="P10" s="2787" t="s">
        <v>1816</v>
      </c>
      <c r="Q10" s="2759" t="s">
        <v>11782</v>
      </c>
      <c r="R10" s="2761">
        <v>44926</v>
      </c>
      <c r="S10" s="2786" t="s">
        <v>11857</v>
      </c>
      <c r="T10" s="2759" t="s">
        <v>1231</v>
      </c>
      <c r="U10" s="2759" t="s">
        <v>1232</v>
      </c>
      <c r="V10" s="2759" t="s">
        <v>11857</v>
      </c>
      <c r="W10" s="2761">
        <v>44926</v>
      </c>
    </row>
    <row r="11" spans="2:23">
      <c r="B11" s="184"/>
      <c r="C11" s="137"/>
      <c r="D11" s="137"/>
      <c r="E11" s="161"/>
      <c r="F11" s="2762"/>
      <c r="G11" s="161"/>
      <c r="H11" s="161"/>
      <c r="I11" s="161"/>
      <c r="J11" s="184"/>
      <c r="K11" s="161"/>
      <c r="L11" s="161"/>
      <c r="M11" s="161"/>
      <c r="N11" s="184"/>
      <c r="O11" s="161"/>
      <c r="P11" s="137"/>
      <c r="Q11" s="161"/>
      <c r="R11" s="137"/>
      <c r="S11" s="161"/>
      <c r="T11" s="137"/>
      <c r="U11" s="161"/>
      <c r="V11" s="137"/>
      <c r="W11" s="161"/>
    </row>
    <row r="12" spans="2:23">
      <c r="B12" s="133" t="s">
        <v>11858</v>
      </c>
      <c r="C12" s="208"/>
      <c r="D12" s="134"/>
      <c r="E12" s="296"/>
      <c r="F12" s="2763"/>
      <c r="G12" s="296"/>
      <c r="H12" s="296"/>
      <c r="I12" s="296"/>
      <c r="J12" s="138"/>
      <c r="K12" s="296"/>
      <c r="L12" s="296"/>
      <c r="M12" s="296"/>
      <c r="N12" s="138"/>
      <c r="O12" s="296"/>
      <c r="P12" s="134"/>
      <c r="Q12" s="296"/>
      <c r="R12" s="289"/>
      <c r="S12" s="296"/>
      <c r="T12" s="296"/>
      <c r="U12" s="296"/>
      <c r="V12" s="296"/>
      <c r="W12" s="296"/>
    </row>
    <row r="13" spans="2:23">
      <c r="B13" s="133"/>
      <c r="C13" s="137" t="s">
        <v>2088</v>
      </c>
      <c r="D13" s="134"/>
      <c r="E13" s="2764" t="s">
        <v>11859</v>
      </c>
      <c r="F13" s="2765">
        <v>0</v>
      </c>
      <c r="G13" s="137">
        <v>10715682004.9076</v>
      </c>
      <c r="H13" s="174">
        <v>0</v>
      </c>
      <c r="I13" s="229">
        <v>0</v>
      </c>
      <c r="J13" s="231">
        <f t="shared" ref="J13:J21" si="0">G13+H13-I13</f>
        <v>10715682004.9076</v>
      </c>
      <c r="K13" s="296"/>
      <c r="L13" s="161">
        <f>SUMIF('F4'!$E$12:$E$158,C13,'F4'!$I$12:$I$158)</f>
        <v>0</v>
      </c>
      <c r="M13" s="161">
        <f>SUMIF('F4'!$E$12:$E$158,C13,'F4'!$J$12:$J$158)</f>
        <v>0</v>
      </c>
      <c r="N13" s="138"/>
      <c r="O13" s="161">
        <f t="shared" ref="O13:O19" si="1">J13+L13-M13</f>
        <v>10715682004.9076</v>
      </c>
      <c r="P13" s="229">
        <v>0</v>
      </c>
      <c r="Q13" s="174">
        <v>0</v>
      </c>
      <c r="R13" s="2797">
        <f>O13+P13-Q13</f>
        <v>10715682004.9076</v>
      </c>
      <c r="S13" s="2798"/>
      <c r="T13" s="2799">
        <f>SUMIF('F4'!$E$12:$E$158,C13,'F4'!$G$12:$G$158)</f>
        <v>0</v>
      </c>
      <c r="U13" s="2799">
        <f>SUMIF('F4'!$E$12:$E$158,C13,'F4'!$H$12:$H$158)</f>
        <v>0</v>
      </c>
      <c r="V13" s="2799"/>
      <c r="W13" s="2799">
        <f t="shared" ref="W13:W19" si="2">R13+T13-U13</f>
        <v>10715682004.9076</v>
      </c>
    </row>
    <row r="14" spans="2:23">
      <c r="B14" s="133"/>
      <c r="C14" s="137" t="s">
        <v>1406</v>
      </c>
      <c r="D14" s="134"/>
      <c r="E14" s="2764" t="s">
        <v>11860</v>
      </c>
      <c r="F14" s="2766" t="str">
        <f>'FA list'!F9</f>
        <v>20 Yr</v>
      </c>
      <c r="G14" s="137">
        <v>2391499425.09237</v>
      </c>
      <c r="H14" s="161">
        <v>0</v>
      </c>
      <c r="I14" s="137">
        <v>0</v>
      </c>
      <c r="J14" s="184">
        <f t="shared" si="0"/>
        <v>2391499425.09237</v>
      </c>
      <c r="K14" s="174"/>
      <c r="L14" s="161">
        <f>SUMIF('F4'!$E$12:$E$158,C14,'F4'!$I$12:$I$158)</f>
        <v>0</v>
      </c>
      <c r="M14" s="161">
        <f>SUMIF('F4'!$E$12:$E$158,C14,'F4'!$J$12:$J$158)</f>
        <v>0</v>
      </c>
      <c r="N14" s="138"/>
      <c r="O14" s="161">
        <f t="shared" si="1"/>
        <v>2391499425.09237</v>
      </c>
      <c r="P14" s="229">
        <v>0</v>
      </c>
      <c r="Q14" s="174">
        <v>0</v>
      </c>
      <c r="R14" s="2797">
        <f t="shared" ref="R14:R19" si="3">O14+P14-Q14</f>
        <v>2391499425.09237</v>
      </c>
      <c r="S14" s="2797"/>
      <c r="T14" s="2799">
        <f>SUMIF('F4'!$E$12:$E$158,C14,'F4'!$G$12:$G$158)</f>
        <v>0</v>
      </c>
      <c r="U14" s="2799">
        <f>SUMIF('F4'!$E$12:$E$158,C14,'F4'!$H$12:$H$158)</f>
        <v>1251663380</v>
      </c>
      <c r="V14" s="2799"/>
      <c r="W14" s="2799">
        <f t="shared" si="2"/>
        <v>1139836045.09237</v>
      </c>
    </row>
    <row r="15" spans="2:23">
      <c r="B15" s="133"/>
      <c r="C15" s="137" t="s">
        <v>39</v>
      </c>
      <c r="D15" s="134"/>
      <c r="E15" s="2764" t="s">
        <v>11861</v>
      </c>
      <c r="F15" s="2766" t="str">
        <f>'FA list'!F14</f>
        <v>4 Yr</v>
      </c>
      <c r="G15" s="137">
        <v>2864397576</v>
      </c>
      <c r="H15" s="161">
        <v>0</v>
      </c>
      <c r="I15" s="137">
        <v>870700000</v>
      </c>
      <c r="J15" s="184">
        <f t="shared" si="0"/>
        <v>1993697576</v>
      </c>
      <c r="K15" s="174"/>
      <c r="L15" s="161">
        <f>SUMIF('F4'!$E$12:$E$158,C15,'F4'!$I$12:$I$158)</f>
        <v>0</v>
      </c>
      <c r="M15" s="161">
        <f>SUMIF('F4'!$E$12:$E$158,C15,'F4'!$J$12:$J$158)</f>
        <v>0</v>
      </c>
      <c r="N15" s="138"/>
      <c r="O15" s="161">
        <f t="shared" si="1"/>
        <v>1993697576</v>
      </c>
      <c r="P15" s="229">
        <v>0</v>
      </c>
      <c r="Q15" s="174">
        <v>0</v>
      </c>
      <c r="R15" s="2800">
        <f t="shared" si="3"/>
        <v>1993697576</v>
      </c>
      <c r="S15" s="2801"/>
      <c r="T15" s="2799">
        <f>SUMIF('F4'!$E$12:$E$158,C15,'F4'!$G$12:$G$158)</f>
        <v>0</v>
      </c>
      <c r="U15" s="2799">
        <f>SUMIF('F4'!$E$12:$E$158,C15,'F4'!$H$12:$H$158)</f>
        <v>0</v>
      </c>
      <c r="V15" s="2799"/>
      <c r="W15" s="2799">
        <f t="shared" si="2"/>
        <v>1993697576</v>
      </c>
    </row>
    <row r="16" spans="2:23">
      <c r="B16" s="133"/>
      <c r="C16" s="137" t="s">
        <v>1417</v>
      </c>
      <c r="D16" s="137"/>
      <c r="E16" s="2764" t="s">
        <v>11862</v>
      </c>
      <c r="F16" s="2765" t="str">
        <f>'FA list'!F10</f>
        <v>2 Yr</v>
      </c>
      <c r="G16" s="137">
        <v>14400936400</v>
      </c>
      <c r="H16" s="161">
        <v>0</v>
      </c>
      <c r="I16" s="229">
        <v>349097366.666667</v>
      </c>
      <c r="J16" s="231">
        <f t="shared" si="0"/>
        <v>14051839033.3333</v>
      </c>
      <c r="K16" s="174"/>
      <c r="L16" s="161">
        <f>SUMIF('F4'!$E$12:$E$158,C16,'F4'!$I$12:$I$158)</f>
        <v>0</v>
      </c>
      <c r="M16" s="161">
        <f>SUMIF('F4'!$E$12:$E$158,C16,'F4'!$J$12:$J$158)</f>
        <v>0</v>
      </c>
      <c r="N16" s="311"/>
      <c r="O16" s="161">
        <f t="shared" si="1"/>
        <v>14051839033.3333</v>
      </c>
      <c r="P16" s="229">
        <v>1589217281</v>
      </c>
      <c r="Q16" s="174">
        <v>0</v>
      </c>
      <c r="R16" s="2802">
        <f t="shared" si="3"/>
        <v>15641056314.3333</v>
      </c>
      <c r="S16" s="2801"/>
      <c r="T16" s="2799">
        <f>SUMIF('F4'!$E$12:$E$158,C16,'F4'!$G$12:$G$158)</f>
        <v>0</v>
      </c>
      <c r="U16" s="2799">
        <f>SUMIF('F4'!$E$12:$E$158,C16,'F4'!$H$12:$H$158)</f>
        <v>0</v>
      </c>
      <c r="V16" s="2803"/>
      <c r="W16" s="2799">
        <f t="shared" si="2"/>
        <v>15641056314.3333</v>
      </c>
    </row>
    <row r="17" spans="2:23">
      <c r="B17" s="133"/>
      <c r="C17" s="137" t="s">
        <v>127</v>
      </c>
      <c r="D17" s="137"/>
      <c r="E17" s="2764" t="s">
        <v>11863</v>
      </c>
      <c r="F17" s="2765" t="str">
        <f>'FA list'!F12</f>
        <v>4 Yr</v>
      </c>
      <c r="G17" s="137">
        <v>415211400</v>
      </c>
      <c r="H17" s="161">
        <v>3225000</v>
      </c>
      <c r="I17" s="229">
        <v>0</v>
      </c>
      <c r="J17" s="174">
        <f t="shared" si="0"/>
        <v>418436400</v>
      </c>
      <c r="K17" s="174"/>
      <c r="L17" s="161">
        <f>SUMIF('F4'!$E$12:$E$158,C17,'F4'!$I$12:$I$158)</f>
        <v>0</v>
      </c>
      <c r="M17" s="161">
        <f>SUMIF('F4'!$E$12:$E$158,C17,'F4'!$J$12:$J$158)</f>
        <v>0</v>
      </c>
      <c r="N17" s="311"/>
      <c r="O17" s="161">
        <f t="shared" si="1"/>
        <v>418436400</v>
      </c>
      <c r="P17" s="229">
        <v>0</v>
      </c>
      <c r="Q17" s="174">
        <v>0</v>
      </c>
      <c r="R17" s="2800">
        <f t="shared" si="3"/>
        <v>418436400</v>
      </c>
      <c r="S17" s="2801"/>
      <c r="T17" s="2799">
        <f>SUMIF('F4'!$E$12:$E$158,C17,'F4'!$G$12:$G$158)</f>
        <v>0</v>
      </c>
      <c r="U17" s="2799">
        <f>SUMIF('F4'!$E$12:$E$158,C17,'F4'!$H$12:$H$158)</f>
        <v>0</v>
      </c>
      <c r="V17" s="2803"/>
      <c r="W17" s="2799">
        <f t="shared" si="2"/>
        <v>418436400</v>
      </c>
    </row>
    <row r="18" hidden="1" spans="2:23">
      <c r="B18" s="133"/>
      <c r="C18" s="137" t="s">
        <v>11864</v>
      </c>
      <c r="D18" s="137"/>
      <c r="E18" s="2764" t="s">
        <v>11865</v>
      </c>
      <c r="F18" s="2766" t="str">
        <f>'FA list'!F11</f>
        <v>4 Yr</v>
      </c>
      <c r="G18" s="137">
        <v>0</v>
      </c>
      <c r="H18" s="161">
        <v>0</v>
      </c>
      <c r="I18" s="137">
        <v>0</v>
      </c>
      <c r="J18" s="161">
        <f t="shared" si="0"/>
        <v>0</v>
      </c>
      <c r="K18" s="174"/>
      <c r="L18" s="296"/>
      <c r="M18" s="296"/>
      <c r="N18" s="311"/>
      <c r="O18" s="161">
        <f t="shared" si="1"/>
        <v>0</v>
      </c>
      <c r="P18" s="229">
        <v>0</v>
      </c>
      <c r="Q18" s="174">
        <v>0</v>
      </c>
      <c r="R18" s="2797">
        <f t="shared" si="3"/>
        <v>0</v>
      </c>
      <c r="S18" s="2797"/>
      <c r="T18" s="2801">
        <v>0</v>
      </c>
      <c r="U18" s="2802"/>
      <c r="V18" s="2803"/>
      <c r="W18" s="2799">
        <f t="shared" si="2"/>
        <v>0</v>
      </c>
    </row>
    <row r="19" hidden="1" spans="2:23">
      <c r="B19" s="133"/>
      <c r="C19" s="137" t="s">
        <v>11866</v>
      </c>
      <c r="D19" s="137"/>
      <c r="E19" s="2764" t="s">
        <v>11867</v>
      </c>
      <c r="F19" s="2765"/>
      <c r="G19" s="137">
        <v>0</v>
      </c>
      <c r="H19" s="161">
        <v>0</v>
      </c>
      <c r="I19" s="229">
        <v>0</v>
      </c>
      <c r="J19" s="174">
        <f t="shared" si="0"/>
        <v>0</v>
      </c>
      <c r="K19" s="174"/>
      <c r="L19" s="296"/>
      <c r="M19" s="156"/>
      <c r="N19" s="311"/>
      <c r="O19" s="161">
        <f t="shared" si="1"/>
        <v>0</v>
      </c>
      <c r="P19" s="229">
        <v>0</v>
      </c>
      <c r="Q19" s="174">
        <v>0</v>
      </c>
      <c r="R19" s="2797">
        <f t="shared" si="3"/>
        <v>0</v>
      </c>
      <c r="S19" s="2797"/>
      <c r="T19" s="2799"/>
      <c r="U19" s="2804"/>
      <c r="V19" s="2803"/>
      <c r="W19" s="2799">
        <f t="shared" si="2"/>
        <v>0</v>
      </c>
    </row>
    <row r="20" hidden="1" spans="2:23">
      <c r="B20" s="133"/>
      <c r="C20" s="134"/>
      <c r="D20" s="137"/>
      <c r="E20" s="2028"/>
      <c r="F20" s="2765"/>
      <c r="H20" s="174"/>
      <c r="I20" s="229"/>
      <c r="J20" s="174"/>
      <c r="K20" s="174"/>
      <c r="L20" s="231"/>
      <c r="M20" s="156"/>
      <c r="N20" s="311"/>
      <c r="O20" s="161"/>
      <c r="P20" s="229"/>
      <c r="Q20" s="174"/>
      <c r="R20" s="2797"/>
      <c r="S20" s="2797"/>
      <c r="T20" s="2805"/>
      <c r="U20" s="2804"/>
      <c r="V20" s="2803"/>
      <c r="W20" s="2799"/>
    </row>
    <row r="21" hidden="1" spans="1:23">
      <c r="A21" s="137"/>
      <c r="B21" s="133"/>
      <c r="C21" s="134" t="str">
        <f>[88]Sheet1!$E$52</f>
        <v>Aset Tetap dalam pembangunan</v>
      </c>
      <c r="D21" s="137"/>
      <c r="E21" s="2028"/>
      <c r="F21" s="2765"/>
      <c r="G21" s="101">
        <v>0</v>
      </c>
      <c r="H21" s="174">
        <v>0</v>
      </c>
      <c r="I21" s="229"/>
      <c r="J21" s="174">
        <f t="shared" si="0"/>
        <v>0</v>
      </c>
      <c r="K21" s="174"/>
      <c r="L21" s="137"/>
      <c r="M21" s="161"/>
      <c r="N21" s="137"/>
      <c r="O21" s="161">
        <f>J21+L21-M21</f>
        <v>0</v>
      </c>
      <c r="P21" s="229">
        <v>0</v>
      </c>
      <c r="Q21" s="174">
        <v>0</v>
      </c>
      <c r="R21" s="2797">
        <f>O21+P21-Q21</f>
        <v>0</v>
      </c>
      <c r="S21" s="2797"/>
      <c r="T21" s="2801">
        <v>0</v>
      </c>
      <c r="U21" s="2799"/>
      <c r="V21" s="2802"/>
      <c r="W21" s="2799">
        <f>R21+T21-U21</f>
        <v>0</v>
      </c>
    </row>
    <row r="22" spans="1:23">
      <c r="A22" s="137"/>
      <c r="B22" s="133"/>
      <c r="C22" s="208"/>
      <c r="D22" s="137"/>
      <c r="E22" s="2028"/>
      <c r="F22" s="2764"/>
      <c r="H22" s="174"/>
      <c r="I22" s="229"/>
      <c r="J22" s="174"/>
      <c r="K22" s="174"/>
      <c r="L22" s="137"/>
      <c r="M22" s="161"/>
      <c r="N22" s="137"/>
      <c r="O22" s="143"/>
      <c r="Q22" s="174"/>
      <c r="R22" s="2797"/>
      <c r="S22" s="2797"/>
      <c r="T22" s="2802"/>
      <c r="U22" s="2799"/>
      <c r="V22" s="2802"/>
      <c r="W22" s="2799"/>
    </row>
    <row r="23" spans="1:23">
      <c r="A23" s="137"/>
      <c r="B23" s="312" t="s">
        <v>11868</v>
      </c>
      <c r="C23" s="205"/>
      <c r="D23" s="1227"/>
      <c r="E23" s="2767"/>
      <c r="F23" s="2667"/>
      <c r="G23" s="2768">
        <f>SUM(G13:G22)</f>
        <v>30787726806</v>
      </c>
      <c r="H23" s="2769">
        <f>SUM(H13:H22)</f>
        <v>3225000</v>
      </c>
      <c r="I23" s="2768">
        <f>SUM(I13:I22)</f>
        <v>1219797366.66667</v>
      </c>
      <c r="J23" s="207">
        <f>SUM(J13:J22)</f>
        <v>29571154439.3333</v>
      </c>
      <c r="K23" s="94"/>
      <c r="L23" s="363">
        <f>SUM(L13:L22)</f>
        <v>0</v>
      </c>
      <c r="M23" s="207">
        <f>SUM(M13:M22)</f>
        <v>0</v>
      </c>
      <c r="N23" s="260"/>
      <c r="O23" s="363">
        <f>SUM(O13:O22)</f>
        <v>29571154439.3333</v>
      </c>
      <c r="P23" s="207">
        <f>SUM(P13:P22)</f>
        <v>1589217281</v>
      </c>
      <c r="Q23" s="2806">
        <f>SUM(Q13:Q22)</f>
        <v>0</v>
      </c>
      <c r="R23" s="2807">
        <f>SUM(R13:R22)</f>
        <v>31160371720.3333</v>
      </c>
      <c r="S23" s="2808"/>
      <c r="T23" s="2809">
        <f>SUM(T13:T22)</f>
        <v>0</v>
      </c>
      <c r="U23" s="2810">
        <f>SUM(U13:U22)</f>
        <v>1251663380</v>
      </c>
      <c r="V23" s="2811"/>
      <c r="W23" s="2807">
        <f>SUM(W13:W22)</f>
        <v>29908708340.3333</v>
      </c>
    </row>
    <row r="24" spans="1:23">
      <c r="A24" s="137"/>
      <c r="B24" s="138"/>
      <c r="C24" s="134"/>
      <c r="D24" s="134"/>
      <c r="E24" s="2028"/>
      <c r="F24" s="2764"/>
      <c r="G24" s="231">
        <f>+G23-'F1'!Q30</f>
        <v>0</v>
      </c>
      <c r="H24" s="161"/>
      <c r="I24" s="229"/>
      <c r="J24" s="161">
        <f>+J23-'F1'!P30</f>
        <v>0</v>
      </c>
      <c r="K24" s="230"/>
      <c r="L24" s="137"/>
      <c r="M24" s="161"/>
      <c r="N24" s="137"/>
      <c r="O24" s="184"/>
      <c r="P24" s="161"/>
      <c r="Q24" s="174"/>
      <c r="R24" s="2797"/>
      <c r="S24" s="2797"/>
      <c r="T24" s="2802"/>
      <c r="U24" s="2799"/>
      <c r="V24" s="2802"/>
      <c r="W24" s="2799"/>
    </row>
    <row r="25" spans="2:23">
      <c r="B25" s="133" t="s">
        <v>11869</v>
      </c>
      <c r="C25" s="208"/>
      <c r="D25" s="134"/>
      <c r="E25" s="2028"/>
      <c r="F25" s="2766"/>
      <c r="G25" s="137"/>
      <c r="H25" s="161"/>
      <c r="I25" s="137"/>
      <c r="J25" s="161"/>
      <c r="K25" s="230"/>
      <c r="L25" s="137"/>
      <c r="M25" s="161"/>
      <c r="N25" s="137"/>
      <c r="O25" s="184"/>
      <c r="P25" s="161"/>
      <c r="Q25" s="161"/>
      <c r="R25" s="2798"/>
      <c r="S25" s="2797"/>
      <c r="T25" s="2802"/>
      <c r="U25" s="2799"/>
      <c r="V25" s="2802"/>
      <c r="W25" s="2799"/>
    </row>
    <row r="26" spans="2:23">
      <c r="B26" s="133"/>
      <c r="C26" s="134" t="s">
        <v>11870</v>
      </c>
      <c r="D26" s="134"/>
      <c r="E26" s="2764" t="s">
        <v>11860</v>
      </c>
      <c r="F26" s="2766" t="str">
        <f>F14</f>
        <v>20 Yr</v>
      </c>
      <c r="G26" s="137">
        <v>784364276.986093</v>
      </c>
      <c r="H26" s="161">
        <v>265644087.700619</v>
      </c>
      <c r="I26" s="137">
        <v>0</v>
      </c>
      <c r="J26" s="161">
        <f>G26+H26-I26</f>
        <v>1050008364.68671</v>
      </c>
      <c r="K26" s="230"/>
      <c r="L26" s="161">
        <f>SUMIF('F4'!$E$12:$E$158,C26,'F4'!$I$12:$I$158)</f>
        <v>0</v>
      </c>
      <c r="M26" s="161">
        <f>SUMIF('F4'!$E$12:$E$158,C26,'F4'!$J$12:$J$158)</f>
        <v>0</v>
      </c>
      <c r="N26" s="137"/>
      <c r="O26" s="184">
        <f>J26+L26-M26</f>
        <v>1050008364.68671</v>
      </c>
      <c r="P26" s="161">
        <v>265644087.700619</v>
      </c>
      <c r="Q26" s="161"/>
      <c r="R26" s="2798">
        <f>O26+P26-Q26</f>
        <v>1315652452.38733</v>
      </c>
      <c r="S26" s="2797"/>
      <c r="T26" s="2799">
        <f>SUMIF('F4'!$E$12:$E$158,C26,'F4'!$G$12:$G$158)</f>
        <v>1043261427.23</v>
      </c>
      <c r="U26" s="2799">
        <f>SUMIF('F4'!$E$12:$E$158,C26,'F4'!$H$12:$H$158)</f>
        <v>0</v>
      </c>
      <c r="V26" s="2802"/>
      <c r="W26" s="2799">
        <f>R26-T26+U26</f>
        <v>272391025.157331</v>
      </c>
    </row>
    <row r="27" spans="2:23">
      <c r="B27" s="133"/>
      <c r="C27" s="134" t="s">
        <v>11871</v>
      </c>
      <c r="D27" s="134"/>
      <c r="E27" s="2764" t="s">
        <v>11861</v>
      </c>
      <c r="F27" s="2766" t="str">
        <f>F15</f>
        <v>4 Yr</v>
      </c>
      <c r="G27" s="137">
        <v>975943042.875</v>
      </c>
      <c r="H27" s="161">
        <v>245099697</v>
      </c>
      <c r="I27" s="137">
        <v>358954166</v>
      </c>
      <c r="J27" s="161">
        <f>G27+H27-I27</f>
        <v>862088573.875</v>
      </c>
      <c r="K27" s="230"/>
      <c r="L27" s="161">
        <f>SUMIF('F4'!$E$12:$E$158,C27,'F4'!$I$12:$I$158)</f>
        <v>0</v>
      </c>
      <c r="M27" s="161">
        <f>SUMIF('F4'!$E$12:$E$158,C27,'F4'!$J$12:$J$158)</f>
        <v>0</v>
      </c>
      <c r="N27" s="137"/>
      <c r="O27" s="184">
        <f>J27+L27-M27</f>
        <v>862088573.875</v>
      </c>
      <c r="P27" s="161">
        <v>245099697</v>
      </c>
      <c r="Q27" s="161"/>
      <c r="R27" s="2798">
        <f>O27+P27-Q27</f>
        <v>1107188270.875</v>
      </c>
      <c r="S27" s="2797"/>
      <c r="T27" s="2799">
        <f>SUMIF('F4'!$E$12:$E$158,C27,'F4'!$G$12:$G$158)</f>
        <v>0</v>
      </c>
      <c r="U27" s="2799">
        <f>SUMIF('F4'!$E$12:$E$158,C27,'F4'!$H$12:$H$158)</f>
        <v>0</v>
      </c>
      <c r="V27" s="2802"/>
      <c r="W27" s="2799">
        <f t="shared" ref="W27:W29" si="4">R27-T27+U27</f>
        <v>1107188270.875</v>
      </c>
    </row>
    <row r="28" spans="2:23">
      <c r="B28" s="133"/>
      <c r="C28" s="134" t="s">
        <v>11872</v>
      </c>
      <c r="D28" s="137"/>
      <c r="E28" s="2764" t="s">
        <v>11862</v>
      </c>
      <c r="F28" s="2636" t="str">
        <f>F16</f>
        <v>2 Yr</v>
      </c>
      <c r="G28" s="161">
        <v>9691372738.54167</v>
      </c>
      <c r="H28" s="161">
        <v>1743625816.66667</v>
      </c>
      <c r="I28" s="137">
        <v>120002220.166667</v>
      </c>
      <c r="J28" s="161">
        <f>G28+H28-I28</f>
        <v>11314996335.0417</v>
      </c>
      <c r="K28" s="230"/>
      <c r="L28" s="161">
        <f>SUMIF('F4'!$E$12:$E$158,C28,'F4'!$I$12:$I$158)</f>
        <v>0</v>
      </c>
      <c r="M28" s="161">
        <f>SUMIF('F4'!$E$12:$E$158,C28,'F4'!$J$12:$J$158)</f>
        <v>0</v>
      </c>
      <c r="N28" s="137"/>
      <c r="O28" s="184">
        <f>J28+L28-M28</f>
        <v>11314996335.0417</v>
      </c>
      <c r="P28" s="161">
        <v>1655768639.20978</v>
      </c>
      <c r="Q28" s="161"/>
      <c r="R28" s="2802">
        <f>O28+P28-Q28</f>
        <v>12970764974.2514</v>
      </c>
      <c r="S28" s="2801"/>
      <c r="T28" s="2799">
        <f>SUMIF('F4'!$E$12:$E$158,C28,'F4'!$G$12:$G$158)</f>
        <v>0</v>
      </c>
      <c r="U28" s="2799">
        <f>SUMIF('F4'!$E$12:$E$158,C28,'F4'!$H$12:$H$158)</f>
        <v>0</v>
      </c>
      <c r="V28" s="2802"/>
      <c r="W28" s="2799">
        <f t="shared" si="4"/>
        <v>12970764974.2514</v>
      </c>
    </row>
    <row r="29" s="137" customFormat="1" spans="1:25">
      <c r="A29" s="101"/>
      <c r="B29" s="133"/>
      <c r="C29" s="134" t="s">
        <v>11873</v>
      </c>
      <c r="E29" s="2764" t="s">
        <v>11863</v>
      </c>
      <c r="F29" s="2770" t="str">
        <f>F17</f>
        <v>4 Yr</v>
      </c>
      <c r="G29" s="161">
        <v>325375243.75</v>
      </c>
      <c r="H29" s="161">
        <v>44176962.5</v>
      </c>
      <c r="I29" s="137">
        <v>0</v>
      </c>
      <c r="J29" s="174">
        <f>G29+H29-I29</f>
        <v>369552206.25</v>
      </c>
      <c r="K29" s="230"/>
      <c r="L29" s="161">
        <f>SUMIF('F4'!$E$12:$E$158,C29,'F4'!$I$12:$I$158)</f>
        <v>0</v>
      </c>
      <c r="M29" s="161">
        <f>SUMIF('F4'!$E$12:$E$158,C29,'F4'!$J$12:$J$158)</f>
        <v>0</v>
      </c>
      <c r="O29" s="184">
        <f>J29+L29-M29</f>
        <v>369552206.25</v>
      </c>
      <c r="P29" s="161">
        <v>34652745.8333333</v>
      </c>
      <c r="Q29" s="161"/>
      <c r="R29" s="2802">
        <f>O29+P29-Q29</f>
        <v>404204952.083333</v>
      </c>
      <c r="S29" s="2801"/>
      <c r="T29" s="2799">
        <f>SUMIF('F4'!$E$12:$E$158,C29,'F4'!$G$12:$G$158)</f>
        <v>0</v>
      </c>
      <c r="U29" s="2799">
        <f>SUMIF('F4'!$E$12:$E$158,C29,'F4'!$H$12:$H$158)</f>
        <v>0</v>
      </c>
      <c r="V29" s="2802"/>
      <c r="W29" s="2799">
        <f t="shared" si="4"/>
        <v>404204952.083333</v>
      </c>
      <c r="X29" s="101"/>
      <c r="Y29" s="2824"/>
    </row>
    <row r="30" s="137" customFormat="1" hidden="1" spans="1:25">
      <c r="A30" s="101"/>
      <c r="B30" s="133"/>
      <c r="C30" s="134" t="s">
        <v>11874</v>
      </c>
      <c r="E30" s="2764" t="s">
        <v>11865</v>
      </c>
      <c r="F30" s="2636" t="str">
        <f>F18</f>
        <v>4 Yr</v>
      </c>
      <c r="G30" s="161">
        <v>0</v>
      </c>
      <c r="H30" s="161">
        <v>0</v>
      </c>
      <c r="I30" s="137">
        <v>0</v>
      </c>
      <c r="J30" s="161">
        <f>G30+H30-I30</f>
        <v>0</v>
      </c>
      <c r="K30" s="230"/>
      <c r="L30" s="161"/>
      <c r="M30" s="161"/>
      <c r="O30" s="184">
        <f>J30+L30-M30</f>
        <v>0</v>
      </c>
      <c r="P30" s="161"/>
      <c r="Q30" s="161"/>
      <c r="R30" s="2802">
        <f>O30+P30-Q30</f>
        <v>0</v>
      </c>
      <c r="S30" s="2801"/>
      <c r="T30" s="2798"/>
      <c r="U30" s="2799"/>
      <c r="V30" s="2802"/>
      <c r="W30" s="2799">
        <f>R30+T30-U30</f>
        <v>0</v>
      </c>
      <c r="X30" s="101"/>
      <c r="Y30" s="2824"/>
    </row>
    <row r="31" s="137" customFormat="1" ht="9.95" customHeight="1" spans="2:24">
      <c r="B31" s="133"/>
      <c r="C31" s="134"/>
      <c r="E31" s="2028"/>
      <c r="F31" s="2770"/>
      <c r="G31" s="174"/>
      <c r="H31" s="174"/>
      <c r="I31" s="229"/>
      <c r="J31" s="174"/>
      <c r="K31"/>
      <c r="L31" s="161"/>
      <c r="M31" s="161"/>
      <c r="O31" s="184"/>
      <c r="P31" s="2180"/>
      <c r="Q31" s="174"/>
      <c r="R31" s="2800"/>
      <c r="S31" s="2812"/>
      <c r="T31" s="2798"/>
      <c r="U31" s="2799"/>
      <c r="V31" s="2802"/>
      <c r="W31" s="2799"/>
      <c r="X31" s="101"/>
    </row>
    <row r="32" s="137" customFormat="1" spans="1:24">
      <c r="A32" s="1227"/>
      <c r="B32" s="312" t="s">
        <v>11875</v>
      </c>
      <c r="C32" s="2771"/>
      <c r="D32" s="1227"/>
      <c r="E32" s="206"/>
      <c r="F32" s="762"/>
      <c r="G32" s="1228">
        <f>SUM(G26:G31)</f>
        <v>11777055302.1528</v>
      </c>
      <c r="H32" s="1227">
        <f>SUM(H26:H31)</f>
        <v>2298546563.86729</v>
      </c>
      <c r="I32" s="1228">
        <f>SUM(I26:I31)</f>
        <v>478956386.166667</v>
      </c>
      <c r="J32" s="1227">
        <f>SUM(J26:J31)</f>
        <v>13596645479.8534</v>
      </c>
      <c r="K32" s="2547"/>
      <c r="L32" s="1217">
        <f>SUM(L26:L31)</f>
        <v>0</v>
      </c>
      <c r="M32" s="308">
        <f>SUM(M26:M31)</f>
        <v>0</v>
      </c>
      <c r="N32" s="1224"/>
      <c r="O32" s="1225">
        <f>SUM(O26:O31)</f>
        <v>13596645479.8534</v>
      </c>
      <c r="P32" s="207">
        <f>SUM(P26:P31)</f>
        <v>2201165169.74373</v>
      </c>
      <c r="Q32" s="1228">
        <f>SUM(Q26:Q31)</f>
        <v>0</v>
      </c>
      <c r="R32" s="2811">
        <f>SUM(R26:R31)</f>
        <v>15797810649.5971</v>
      </c>
      <c r="S32" s="2813"/>
      <c r="T32" s="2814">
        <f>SUM(T26:T31)</f>
        <v>1043261427.23</v>
      </c>
      <c r="U32" s="2810">
        <f>SUM(U26:U31)</f>
        <v>0</v>
      </c>
      <c r="V32" s="2811"/>
      <c r="W32" s="2815">
        <f>SUM(W26:W31)</f>
        <v>14754549222.3671</v>
      </c>
      <c r="X32" s="101"/>
    </row>
    <row r="33" s="137" customFormat="1" spans="2:24">
      <c r="B33" s="133"/>
      <c r="C33" s="134"/>
      <c r="E33" s="135"/>
      <c r="F33" s="1232"/>
      <c r="G33" s="161">
        <f>+G32+'F1'!Q31</f>
        <v>0</v>
      </c>
      <c r="H33" s="174"/>
      <c r="I33" s="101"/>
      <c r="J33" s="174"/>
      <c r="K33"/>
      <c r="L33" s="308"/>
      <c r="M33" s="308"/>
      <c r="N33" s="308"/>
      <c r="P33" s="161"/>
      <c r="Q33" s="161"/>
      <c r="R33" s="2816"/>
      <c r="S33" s="2817"/>
      <c r="T33" s="2802"/>
      <c r="U33" s="2799"/>
      <c r="V33" s="2802"/>
      <c r="W33" s="2815"/>
      <c r="X33" s="101"/>
    </row>
    <row r="34" s="137" customFormat="1" spans="2:24">
      <c r="B34" s="138"/>
      <c r="C34" s="134"/>
      <c r="D34" s="134"/>
      <c r="E34" s="138"/>
      <c r="F34" s="299"/>
      <c r="G34" s="174"/>
      <c r="H34" s="174"/>
      <c r="I34" s="229"/>
      <c r="J34" s="174"/>
      <c r="K34" s="157"/>
      <c r="L34" s="161"/>
      <c r="M34" s="161"/>
      <c r="N34" s="161"/>
      <c r="P34" s="174"/>
      <c r="Q34" s="174"/>
      <c r="R34" s="2800"/>
      <c r="S34" s="2804"/>
      <c r="T34" s="2802"/>
      <c r="U34" s="2799"/>
      <c r="V34" s="2802"/>
      <c r="W34" s="2818"/>
      <c r="X34" s="101"/>
    </row>
    <row r="35" s="137" customFormat="1" spans="2:24">
      <c r="B35" s="312" t="s">
        <v>11876</v>
      </c>
      <c r="C35" s="205"/>
      <c r="D35" s="2772"/>
      <c r="E35" s="762"/>
      <c r="F35" s="206"/>
      <c r="G35" s="252">
        <f>G23-G32</f>
        <v>19010671503.8472</v>
      </c>
      <c r="H35" s="2183"/>
      <c r="I35" s="2207"/>
      <c r="J35" s="207">
        <f>J23-J32</f>
        <v>15974508959.48</v>
      </c>
      <c r="K35" s="29"/>
      <c r="L35" s="1228">
        <f>L23-L32</f>
        <v>0</v>
      </c>
      <c r="M35" s="1228">
        <f>M23-M32</f>
        <v>0</v>
      </c>
      <c r="N35" s="1228"/>
      <c r="O35" s="2207">
        <f>O23-O32</f>
        <v>15974508959.48</v>
      </c>
      <c r="P35" s="2183"/>
      <c r="Q35" s="2183"/>
      <c r="R35" s="2819">
        <f>R23-R32</f>
        <v>15362561070.7362</v>
      </c>
      <c r="S35" s="2820"/>
      <c r="T35" s="2811">
        <f>T23-T32</f>
        <v>-1043261427.23</v>
      </c>
      <c r="U35" s="2810">
        <f>U23-U32</f>
        <v>1251663380</v>
      </c>
      <c r="V35" s="2810"/>
      <c r="W35" s="2807">
        <f>W23-W32</f>
        <v>15154159117.9662</v>
      </c>
      <c r="X35" s="101"/>
    </row>
    <row r="36" spans="1:23">
      <c r="A36" s="137"/>
      <c r="B36" s="138"/>
      <c r="C36" s="134"/>
      <c r="D36" s="134" t="s">
        <v>11877</v>
      </c>
      <c r="E36" s="138"/>
      <c r="F36" s="299"/>
      <c r="G36" s="231">
        <f>'F1'!Q32</f>
        <v>19010671503.8472</v>
      </c>
      <c r="H36" s="174"/>
      <c r="I36" s="229"/>
      <c r="J36" s="174">
        <f>'F1'!P32</f>
        <v>15974508959.8133</v>
      </c>
      <c r="K36" s="289"/>
      <c r="L36" s="161"/>
      <c r="M36" s="161"/>
      <c r="N36" s="161"/>
      <c r="O36" s="137">
        <f>'F1'!P32</f>
        <v>15974508959.8133</v>
      </c>
      <c r="P36" s="174"/>
      <c r="Q36" s="174"/>
      <c r="R36" s="229"/>
      <c r="S36" s="296"/>
      <c r="T36" s="137"/>
      <c r="U36" s="161"/>
      <c r="V36" s="137"/>
      <c r="W36" s="308"/>
    </row>
    <row r="37" spans="2:23">
      <c r="B37" s="141"/>
      <c r="C37" s="146"/>
      <c r="D37" s="110" t="s">
        <v>146</v>
      </c>
      <c r="E37" s="110"/>
      <c r="F37" s="143"/>
      <c r="G37" s="143">
        <f>+G35-G36</f>
        <v>0</v>
      </c>
      <c r="H37" s="143"/>
      <c r="I37" s="110"/>
      <c r="J37" s="143">
        <f>+J35-J36</f>
        <v>-0.333332061767578</v>
      </c>
      <c r="K37" s="358"/>
      <c r="L37" s="143"/>
      <c r="M37" s="143"/>
      <c r="N37" s="143"/>
      <c r="O37" s="143">
        <f>+O35-O36</f>
        <v>-0.333332061767578</v>
      </c>
      <c r="P37" s="143"/>
      <c r="Q37" s="143"/>
      <c r="R37" s="110"/>
      <c r="S37" s="236"/>
      <c r="T37" s="146"/>
      <c r="U37" s="2180"/>
      <c r="V37" s="146"/>
      <c r="W37" s="143">
        <f>+W35-'F1'!J32</f>
        <v>0</v>
      </c>
    </row>
    <row r="38" spans="2:23">
      <c r="B38" s="186"/>
      <c r="C38" s="186"/>
      <c r="D38" s="186"/>
      <c r="E38" s="186"/>
      <c r="F38" s="294"/>
      <c r="G38" s="2526" t="s">
        <v>650</v>
      </c>
      <c r="H38" s="2526"/>
      <c r="I38" s="2526"/>
      <c r="J38" s="2526" t="s">
        <v>649</v>
      </c>
      <c r="K38" s="186"/>
      <c r="L38" s="186"/>
      <c r="M38" s="2423"/>
      <c r="N38" s="186"/>
      <c r="O38" s="186"/>
      <c r="P38" s="2526"/>
      <c r="Q38" s="2526"/>
      <c r="R38" s="2526" t="s">
        <v>649</v>
      </c>
      <c r="S38" s="186"/>
      <c r="T38" s="186"/>
      <c r="U38" s="2423"/>
      <c r="V38" s="186"/>
      <c r="W38" s="186"/>
    </row>
    <row r="39" spans="2:15">
      <c r="B39" t="s">
        <v>11878</v>
      </c>
      <c r="C39" s="186"/>
      <c r="D39" s="186"/>
      <c r="E39" s="186"/>
      <c r="F39" s="294"/>
      <c r="G39" s="2526"/>
      <c r="H39" s="2526"/>
      <c r="I39" s="2526"/>
      <c r="J39" s="2526"/>
      <c r="K39" s="186"/>
      <c r="L39" s="186"/>
      <c r="M39" s="2423"/>
      <c r="N39" s="186"/>
      <c r="O39" s="186"/>
    </row>
    <row r="40" spans="2:15">
      <c r="B40" s="186"/>
      <c r="C40" s="186"/>
      <c r="D40" s="186"/>
      <c r="E40" s="186"/>
      <c r="F40" s="294"/>
      <c r="G40" s="186"/>
      <c r="H40" s="186"/>
      <c r="I40" s="186"/>
      <c r="J40" s="186"/>
      <c r="K40" s="186"/>
      <c r="L40" s="186"/>
      <c r="M40" s="2423"/>
      <c r="N40" s="186"/>
      <c r="O40" s="186"/>
    </row>
    <row r="41" spans="2:15">
      <c r="B41" s="186"/>
      <c r="C41" s="186"/>
      <c r="D41" s="186"/>
      <c r="E41" s="186"/>
      <c r="F41" s="294"/>
      <c r="G41" s="186"/>
      <c r="H41" s="186"/>
      <c r="I41" s="186"/>
      <c r="J41" s="186"/>
      <c r="K41" s="186"/>
      <c r="L41" s="186"/>
      <c r="M41" s="186"/>
      <c r="N41" s="186"/>
      <c r="O41" s="186"/>
    </row>
    <row r="42" spans="4:5">
      <c r="D42" s="374"/>
      <c r="E42" s="374"/>
    </row>
    <row r="43" spans="4:20">
      <c r="D43" s="5034" t="str">
        <f>'F1'!$C$46</f>
        <v>Sesuai dengan Saldo Buku Besar Periode 31 Desember 2022 &amp; 2021</v>
      </c>
      <c r="T43" s="186"/>
    </row>
    <row r="44" spans="4:4">
      <c r="D44" s="101" t="str">
        <f>'F1'!C47</f>
        <v>Sesuai dengan Saldo Audit Periode Sebelumnya</v>
      </c>
    </row>
    <row r="45" spans="4:4">
      <c r="D45" s="101" t="str">
        <f>'F1'!C48</f>
        <v>Rumus dan Formula Perhitungan telah Diperiksa</v>
      </c>
    </row>
    <row r="46" ht="12.95" customHeight="1" spans="4:8">
      <c r="D46" s="209"/>
      <c r="H46" s="186"/>
    </row>
    <row r="47" ht="18" customHeight="1" spans="8:20">
      <c r="H47" s="186"/>
      <c r="J47" s="2335"/>
      <c r="K47" s="2335"/>
      <c r="L47" s="248"/>
      <c r="M47" s="100"/>
      <c r="N47" s="100"/>
      <c r="T47" s="100"/>
    </row>
    <row r="48" ht="13.5" customHeight="1" spans="10:15">
      <c r="J48" s="2335"/>
      <c r="K48" s="228"/>
      <c r="L48" s="100"/>
      <c r="M48" s="100"/>
      <c r="N48" s="100"/>
      <c r="O48" s="248"/>
    </row>
    <row r="49" ht="13.95" spans="4:22">
      <c r="D49" s="100"/>
      <c r="J49" s="228"/>
      <c r="K49" s="228"/>
      <c r="L49" s="100"/>
      <c r="M49" s="100"/>
      <c r="N49" s="100"/>
      <c r="O49" s="100"/>
      <c r="P49" s="100"/>
      <c r="Q49" s="100"/>
      <c r="R49" s="100"/>
      <c r="S49" s="100"/>
      <c r="T49" s="100"/>
      <c r="U49" s="100"/>
      <c r="V49" s="100"/>
    </row>
    <row r="50" spans="2:23">
      <c r="B50" s="2773"/>
      <c r="C50" s="2774"/>
      <c r="D50" s="2775"/>
      <c r="E50" s="2774"/>
      <c r="F50" s="2776"/>
      <c r="G50" s="2774"/>
      <c r="H50" s="2774"/>
      <c r="I50" s="2774"/>
      <c r="J50" s="2788"/>
      <c r="K50" s="2788"/>
      <c r="L50" s="2788"/>
      <c r="M50" s="2788"/>
      <c r="N50" s="2788"/>
      <c r="O50" s="2788"/>
      <c r="P50" s="2788"/>
      <c r="Q50" s="2788"/>
      <c r="R50" s="2788"/>
      <c r="S50" s="2788"/>
      <c r="T50" s="2788"/>
      <c r="U50" s="2788"/>
      <c r="V50" s="2788"/>
      <c r="W50" s="2821"/>
    </row>
    <row r="51" spans="2:23">
      <c r="B51" s="2777"/>
      <c r="C51" s="2778"/>
      <c r="D51" s="2778"/>
      <c r="E51" s="2778"/>
      <c r="F51" s="2778"/>
      <c r="G51" s="2778"/>
      <c r="H51" s="2779">
        <v>2020</v>
      </c>
      <c r="I51" s="2779"/>
      <c r="J51" s="2781"/>
      <c r="K51" s="2781"/>
      <c r="L51" s="2789">
        <f>+H51+1</f>
        <v>2021</v>
      </c>
      <c r="M51" s="2789"/>
      <c r="N51" s="2781"/>
      <c r="O51" s="2781"/>
      <c r="P51" s="2789">
        <f>+L51+1</f>
        <v>2022</v>
      </c>
      <c r="Q51" s="2822"/>
      <c r="R51" s="2778"/>
      <c r="S51" s="2778"/>
      <c r="T51" s="2778"/>
      <c r="U51" s="2778"/>
      <c r="V51" s="2778"/>
      <c r="W51" s="2823"/>
    </row>
    <row r="52" spans="2:23">
      <c r="B52" s="2777"/>
      <c r="C52" s="2778"/>
      <c r="D52" s="2778"/>
      <c r="E52" s="2778"/>
      <c r="F52" s="2778"/>
      <c r="G52" s="2778"/>
      <c r="H52" s="2780" t="s">
        <v>11879</v>
      </c>
      <c r="I52" s="2790" t="s">
        <v>11880</v>
      </c>
      <c r="J52" s="2790" t="s">
        <v>146</v>
      </c>
      <c r="K52" s="2790"/>
      <c r="L52" s="2780" t="s">
        <v>11879</v>
      </c>
      <c r="M52" s="2790" t="s">
        <v>11880</v>
      </c>
      <c r="N52" s="2790" t="s">
        <v>146</v>
      </c>
      <c r="O52" s="2790"/>
      <c r="P52" s="2780" t="s">
        <v>11879</v>
      </c>
      <c r="Q52" s="2790" t="s">
        <v>11880</v>
      </c>
      <c r="R52" s="2790" t="s">
        <v>146</v>
      </c>
      <c r="S52" s="2778"/>
      <c r="T52" s="2778"/>
      <c r="U52" s="2778"/>
      <c r="V52" s="2778"/>
      <c r="W52" s="2823"/>
    </row>
    <row r="53" spans="2:23">
      <c r="B53" s="2777"/>
      <c r="C53" s="2778"/>
      <c r="D53" s="2778" t="s">
        <v>11881</v>
      </c>
      <c r="E53" s="2778"/>
      <c r="F53" s="2778"/>
      <c r="G53" s="2778"/>
      <c r="H53" s="2780"/>
      <c r="I53" s="2778"/>
      <c r="J53" s="2778"/>
      <c r="K53" s="2778"/>
      <c r="L53" s="2780"/>
      <c r="M53" s="2778"/>
      <c r="N53" s="2778"/>
      <c r="O53" s="2778"/>
      <c r="P53" s="2780"/>
      <c r="Q53" s="2778"/>
      <c r="R53" s="2778"/>
      <c r="S53" s="2778"/>
      <c r="T53" s="2778"/>
      <c r="U53" s="2778"/>
      <c r="V53" s="2778"/>
      <c r="W53" s="2823"/>
    </row>
    <row r="54" spans="2:23">
      <c r="B54" s="2777"/>
      <c r="C54" s="2778"/>
      <c r="D54" s="2778" t="str">
        <f>+C13</f>
        <v>Tanah</v>
      </c>
      <c r="E54" s="2778"/>
      <c r="F54" s="2778"/>
      <c r="G54" s="2778"/>
      <c r="H54" s="2780">
        <v>10715682004.9076</v>
      </c>
      <c r="I54" s="2778">
        <f>+G13</f>
        <v>10715682004.9076</v>
      </c>
      <c r="J54" s="2778">
        <f>+H54-I54</f>
        <v>0</v>
      </c>
      <c r="K54" s="2778"/>
      <c r="L54" s="2780">
        <v>10715682004.9076</v>
      </c>
      <c r="M54" s="2778">
        <f>+J13</f>
        <v>10715682004.9076</v>
      </c>
      <c r="N54" s="2778">
        <f>+L54-M54</f>
        <v>0</v>
      </c>
      <c r="O54" s="2778"/>
      <c r="P54" s="2780">
        <v>10715682004.9076</v>
      </c>
      <c r="Q54" s="2778">
        <f>+R13</f>
        <v>10715682004.9076</v>
      </c>
      <c r="R54" s="2778">
        <f t="shared" ref="R54:R59" si="5">+P54-Q54</f>
        <v>0</v>
      </c>
      <c r="S54" s="2778"/>
      <c r="T54" s="2778"/>
      <c r="U54" s="2778"/>
      <c r="V54" s="2778"/>
      <c r="W54" s="2823"/>
    </row>
    <row r="55" spans="2:23">
      <c r="B55" s="2777"/>
      <c r="C55" s="2778"/>
      <c r="D55" s="2778" t="str">
        <f>+C14</f>
        <v>Bangunan</v>
      </c>
      <c r="E55" s="2778"/>
      <c r="F55" s="2780"/>
      <c r="G55" s="2778"/>
      <c r="H55" s="2778">
        <v>2391499425.09237</v>
      </c>
      <c r="I55" s="2778">
        <f>+G14</f>
        <v>2391499425.09237</v>
      </c>
      <c r="J55" s="2778">
        <f t="shared" ref="J55:J68" si="6">+H55-I55</f>
        <v>0</v>
      </c>
      <c r="K55" s="2778"/>
      <c r="L55" s="2778">
        <v>2391499425.09237</v>
      </c>
      <c r="M55" s="2778">
        <f>+J14</f>
        <v>2391499425.09237</v>
      </c>
      <c r="N55" s="2778">
        <f t="shared" ref="N55:N68" si="7">+L55-M55</f>
        <v>0</v>
      </c>
      <c r="O55" s="2778"/>
      <c r="P55" s="2778">
        <v>2391499425.09237</v>
      </c>
      <c r="Q55" s="2778">
        <f>+R14</f>
        <v>2391499425.09237</v>
      </c>
      <c r="R55" s="2778">
        <f t="shared" si="5"/>
        <v>0</v>
      </c>
      <c r="S55" s="2778"/>
      <c r="T55" s="2778"/>
      <c r="U55" s="2778"/>
      <c r="V55" s="2778"/>
      <c r="W55" s="2823"/>
    </row>
    <row r="56" spans="2:23">
      <c r="B56" s="2777"/>
      <c r="C56" s="2778"/>
      <c r="D56" s="2778" t="str">
        <f>+C15</f>
        <v>Kendaraan</v>
      </c>
      <c r="E56" s="2778"/>
      <c r="F56" s="2780"/>
      <c r="G56" s="2778"/>
      <c r="H56" s="2778">
        <v>2864397576</v>
      </c>
      <c r="I56" s="2778">
        <f>+G15</f>
        <v>2864397576</v>
      </c>
      <c r="J56" s="2778">
        <f t="shared" si="6"/>
        <v>0</v>
      </c>
      <c r="K56" s="2778"/>
      <c r="L56" s="2778">
        <v>1993697576</v>
      </c>
      <c r="M56" s="2778">
        <f>+J15</f>
        <v>1993697576</v>
      </c>
      <c r="N56" s="2778">
        <f t="shared" si="7"/>
        <v>0</v>
      </c>
      <c r="O56" s="2778"/>
      <c r="P56" s="2778">
        <v>1993697576</v>
      </c>
      <c r="Q56" s="2778">
        <f>+R15</f>
        <v>1993697576</v>
      </c>
      <c r="R56" s="2778">
        <f t="shared" si="5"/>
        <v>0</v>
      </c>
      <c r="S56" s="2778"/>
      <c r="T56" s="2778"/>
      <c r="U56" s="2778"/>
      <c r="V56" s="2778"/>
      <c r="W56" s="2823"/>
    </row>
    <row r="57" spans="2:23">
      <c r="B57" s="2777"/>
      <c r="C57" s="2778"/>
      <c r="D57" s="2778" t="str">
        <f>+C16</f>
        <v>Peralatan Proyek</v>
      </c>
      <c r="E57" s="2778"/>
      <c r="F57" s="2780"/>
      <c r="G57" s="2778"/>
      <c r="H57" s="2778">
        <v>14400936400</v>
      </c>
      <c r="I57" s="2778">
        <f>+G16</f>
        <v>14400936400</v>
      </c>
      <c r="J57" s="2778">
        <f t="shared" si="6"/>
        <v>0</v>
      </c>
      <c r="K57" s="2778"/>
      <c r="L57" s="2778">
        <v>14051839033.3333</v>
      </c>
      <c r="M57" s="2778">
        <f>+J16</f>
        <v>14051839033.3333</v>
      </c>
      <c r="N57" s="2778">
        <f t="shared" si="7"/>
        <v>0</v>
      </c>
      <c r="O57" s="2778"/>
      <c r="P57" s="2778">
        <v>15641056313.9246</v>
      </c>
      <c r="Q57" s="2778">
        <f>+R16</f>
        <v>15641056314.3333</v>
      </c>
      <c r="R57" s="2778">
        <f t="shared" si="5"/>
        <v>-0.408695220947266</v>
      </c>
      <c r="S57" s="2778"/>
      <c r="T57" s="2778"/>
      <c r="U57" s="2778"/>
      <c r="V57" s="2778"/>
      <c r="W57" s="2823"/>
    </row>
    <row r="58" spans="2:23">
      <c r="B58" s="2777"/>
      <c r="C58" s="2778"/>
      <c r="D58" s="2778" t="str">
        <f>+C17</f>
        <v>Peralatan Kantor</v>
      </c>
      <c r="E58" s="2778"/>
      <c r="F58" s="2780"/>
      <c r="G58" s="2778"/>
      <c r="H58" s="2778">
        <v>415211400</v>
      </c>
      <c r="I58" s="2778">
        <f>+G17</f>
        <v>415211400</v>
      </c>
      <c r="J58" s="2778">
        <f t="shared" si="6"/>
        <v>0</v>
      </c>
      <c r="K58" s="2778"/>
      <c r="L58" s="2778">
        <v>418436400</v>
      </c>
      <c r="M58" s="2778">
        <f>+J17</f>
        <v>418436400</v>
      </c>
      <c r="N58" s="2778">
        <f t="shared" si="7"/>
        <v>0</v>
      </c>
      <c r="O58" s="2778"/>
      <c r="P58" s="2778">
        <v>421661400</v>
      </c>
      <c r="Q58" s="2778">
        <f>+R17</f>
        <v>418436400</v>
      </c>
      <c r="R58" s="2778">
        <f t="shared" si="5"/>
        <v>3225000</v>
      </c>
      <c r="S58" s="2778"/>
      <c r="T58" s="2778"/>
      <c r="U58" s="2778"/>
      <c r="V58" s="2778"/>
      <c r="W58" s="2823"/>
    </row>
    <row r="59" spans="2:23">
      <c r="B59" s="2777"/>
      <c r="C59" s="2778"/>
      <c r="D59" s="2778"/>
      <c r="E59" s="2778"/>
      <c r="F59" s="2780"/>
      <c r="G59" s="2778"/>
      <c r="H59" s="2781">
        <f>SUM(H54:H58)</f>
        <v>30787726806</v>
      </c>
      <c r="I59" s="2781">
        <f>SUM(I54:I58)</f>
        <v>30787726806</v>
      </c>
      <c r="J59" s="2778">
        <f t="shared" si="6"/>
        <v>0</v>
      </c>
      <c r="K59" s="2778"/>
      <c r="L59" s="2781">
        <f>SUM(L54:L58)</f>
        <v>29571154439.3333</v>
      </c>
      <c r="M59" s="2781">
        <f>SUM(M54:M58)</f>
        <v>29571154439.3333</v>
      </c>
      <c r="N59" s="2778">
        <f t="shared" si="7"/>
        <v>0</v>
      </c>
      <c r="O59" s="2778"/>
      <c r="P59" s="2781">
        <f>SUM(P54:P58)</f>
        <v>31163596719.9246</v>
      </c>
      <c r="Q59" s="2781">
        <f>SUM(Q54:Q58)</f>
        <v>31160371720.3333</v>
      </c>
      <c r="R59" s="2778">
        <f t="shared" si="5"/>
        <v>3224999.59130478</v>
      </c>
      <c r="S59" s="2778"/>
      <c r="T59" s="2778"/>
      <c r="U59" s="2778"/>
      <c r="V59" s="2778"/>
      <c r="W59" s="2823"/>
    </row>
    <row r="60" spans="2:23">
      <c r="B60" s="2777"/>
      <c r="C60" s="2778"/>
      <c r="D60" s="2778" t="s">
        <v>11882</v>
      </c>
      <c r="E60" s="2778"/>
      <c r="F60" s="2780"/>
      <c r="G60" s="2778"/>
      <c r="H60" s="2778"/>
      <c r="I60" s="2778"/>
      <c r="J60" s="2778">
        <f t="shared" si="6"/>
        <v>0</v>
      </c>
      <c r="K60" s="2778"/>
      <c r="L60" s="2778"/>
      <c r="M60" s="2778"/>
      <c r="N60" s="2778"/>
      <c r="O60" s="2778"/>
      <c r="P60" s="2778"/>
      <c r="Q60" s="2778"/>
      <c r="R60" s="2778"/>
      <c r="S60" s="2778"/>
      <c r="T60" s="2778"/>
      <c r="U60" s="2778"/>
      <c r="V60" s="2778"/>
      <c r="W60" s="2823"/>
    </row>
    <row r="61" spans="2:23">
      <c r="B61" s="2777"/>
      <c r="C61" s="2778"/>
      <c r="D61" s="2778" t="str">
        <f>+C14</f>
        <v>Bangunan</v>
      </c>
      <c r="E61" s="2778"/>
      <c r="F61" s="2780"/>
      <c r="G61" s="2778"/>
      <c r="H61" s="2778">
        <v>784364276.986093</v>
      </c>
      <c r="I61" s="2778">
        <f>+G26</f>
        <v>784364276.986093</v>
      </c>
      <c r="J61" s="2778">
        <f t="shared" si="6"/>
        <v>0</v>
      </c>
      <c r="K61" s="2778"/>
      <c r="L61" s="2778">
        <v>1050008364.68671</v>
      </c>
      <c r="M61" s="2778">
        <f>+J26</f>
        <v>1050008364.68671</v>
      </c>
      <c r="N61" s="2778">
        <f t="shared" si="7"/>
        <v>0</v>
      </c>
      <c r="O61" s="2778"/>
      <c r="P61" s="2778">
        <v>1315652452.38733</v>
      </c>
      <c r="Q61" s="2778">
        <f>+R26</f>
        <v>1315652452.38733</v>
      </c>
      <c r="R61" s="2778">
        <f t="shared" ref="R61:R66" si="8">+P61-Q61</f>
        <v>0</v>
      </c>
      <c r="S61" s="2778"/>
      <c r="T61" s="2778"/>
      <c r="U61" s="2778"/>
      <c r="V61" s="2778"/>
      <c r="W61" s="2823"/>
    </row>
    <row r="62" spans="2:23">
      <c r="B62" s="2777"/>
      <c r="C62" s="2778"/>
      <c r="D62" s="2778" t="str">
        <f>+C15</f>
        <v>Kendaraan</v>
      </c>
      <c r="E62" s="2778"/>
      <c r="F62" s="2780"/>
      <c r="G62" s="2778"/>
      <c r="H62" s="2574">
        <v>975943042.875</v>
      </c>
      <c r="I62" s="2778">
        <f>+G27</f>
        <v>975943042.875</v>
      </c>
      <c r="J62" s="2778">
        <f t="shared" si="6"/>
        <v>0</v>
      </c>
      <c r="K62" s="2778"/>
      <c r="L62" s="2574">
        <v>862088574</v>
      </c>
      <c r="M62" s="2778">
        <f>+J27</f>
        <v>862088573.875</v>
      </c>
      <c r="N62" s="2778">
        <f t="shared" si="7"/>
        <v>0.12500011920929</v>
      </c>
      <c r="O62" s="2778"/>
      <c r="P62" s="2574">
        <v>1107188271</v>
      </c>
      <c r="Q62" s="2778">
        <f>+R27</f>
        <v>1107188270.875</v>
      </c>
      <c r="R62" s="2778">
        <f t="shared" si="8"/>
        <v>0.125000238418579</v>
      </c>
      <c r="S62" s="2778"/>
      <c r="T62" s="2778"/>
      <c r="U62" s="2778"/>
      <c r="V62" s="2778"/>
      <c r="W62" s="2823"/>
    </row>
    <row r="63" spans="2:23">
      <c r="B63" s="2782"/>
      <c r="C63" s="2783"/>
      <c r="D63" s="2778" t="str">
        <f>+C16</f>
        <v>Peralatan Proyek</v>
      </c>
      <c r="E63" s="2780"/>
      <c r="F63" s="2621"/>
      <c r="G63" s="2778"/>
      <c r="H63" s="2574">
        <v>9691372738.54167</v>
      </c>
      <c r="I63" s="2778">
        <f>+G28</f>
        <v>9691372738.54167</v>
      </c>
      <c r="J63" s="2778">
        <f t="shared" si="6"/>
        <v>0</v>
      </c>
      <c r="K63" s="2778"/>
      <c r="L63" s="2574">
        <v>11314996335.0417</v>
      </c>
      <c r="M63" s="2778">
        <f>+J28</f>
        <v>11314996335.0417</v>
      </c>
      <c r="N63" s="2778">
        <f t="shared" si="7"/>
        <v>0</v>
      </c>
      <c r="O63" s="2778"/>
      <c r="P63" s="2574">
        <v>12970764974.2514</v>
      </c>
      <c r="Q63" s="2778">
        <f>+R28</f>
        <v>12970764974.2514</v>
      </c>
      <c r="R63" s="2778">
        <f t="shared" si="8"/>
        <v>0</v>
      </c>
      <c r="S63" s="2778"/>
      <c r="T63" s="2778"/>
      <c r="U63" s="2778"/>
      <c r="V63" s="2778"/>
      <c r="W63" s="2823"/>
    </row>
    <row r="64" spans="2:23">
      <c r="B64" s="2777"/>
      <c r="C64" s="2778"/>
      <c r="D64" s="2778" t="str">
        <f>+C17</f>
        <v>Peralatan Kantor</v>
      </c>
      <c r="E64" s="2780"/>
      <c r="F64" s="2784"/>
      <c r="G64" s="2778"/>
      <c r="H64" s="2574">
        <v>325375243.75</v>
      </c>
      <c r="I64" s="2778">
        <f>+G29</f>
        <v>325375243.75</v>
      </c>
      <c r="J64" s="2778">
        <f t="shared" si="6"/>
        <v>0</v>
      </c>
      <c r="K64" s="2778"/>
      <c r="L64" s="2574">
        <v>369552206.25</v>
      </c>
      <c r="M64" s="2778">
        <f>+J29</f>
        <v>369552206.25</v>
      </c>
      <c r="N64" s="2778">
        <f t="shared" si="7"/>
        <v>0</v>
      </c>
      <c r="O64" s="2778"/>
      <c r="P64" s="2574">
        <v>404204952.083333</v>
      </c>
      <c r="Q64" s="2778">
        <f>+R29</f>
        <v>404204952.083333</v>
      </c>
      <c r="R64" s="2778">
        <f t="shared" si="8"/>
        <v>0</v>
      </c>
      <c r="S64" s="2778"/>
      <c r="T64" s="2778"/>
      <c r="U64" s="2778"/>
      <c r="V64" s="2778"/>
      <c r="W64" s="2823"/>
    </row>
    <row r="65" spans="2:23">
      <c r="B65" s="2777"/>
      <c r="C65" s="2778"/>
      <c r="D65" s="2778"/>
      <c r="E65" s="2780"/>
      <c r="F65" s="2784"/>
      <c r="G65" s="2778"/>
      <c r="H65" s="2781">
        <f>SUM(H61:H64)</f>
        <v>11777055302.1528</v>
      </c>
      <c r="I65" s="2781">
        <f>SUM(I61:I64)</f>
        <v>11777055302.1528</v>
      </c>
      <c r="J65" s="2778">
        <f t="shared" si="6"/>
        <v>0</v>
      </c>
      <c r="K65" s="2778"/>
      <c r="L65" s="2781">
        <f>SUM(L61:L64)</f>
        <v>13596645479.9784</v>
      </c>
      <c r="M65" s="2781">
        <f>SUM(M61:M64)</f>
        <v>13596645479.8534</v>
      </c>
      <c r="N65" s="2778">
        <f t="shared" si="7"/>
        <v>0.125</v>
      </c>
      <c r="O65" s="2778"/>
      <c r="P65" s="2781">
        <f>SUM(P61:P64)</f>
        <v>15797810649.7221</v>
      </c>
      <c r="Q65" s="2781">
        <f>SUM(Q61:Q64)</f>
        <v>15797810649.5971</v>
      </c>
      <c r="R65" s="2778">
        <f t="shared" si="8"/>
        <v>0.124998092651367</v>
      </c>
      <c r="S65" s="2778"/>
      <c r="T65" s="2778"/>
      <c r="U65" s="2778"/>
      <c r="V65" s="2778"/>
      <c r="W65" s="2823"/>
    </row>
    <row r="66" spans="2:23">
      <c r="B66" s="2777"/>
      <c r="C66" s="2778"/>
      <c r="D66" s="2778" t="s">
        <v>2129</v>
      </c>
      <c r="E66" s="2780"/>
      <c r="F66" s="2784"/>
      <c r="G66" s="2574"/>
      <c r="H66" s="2574">
        <f>+H59-H65</f>
        <v>19010671503.8472</v>
      </c>
      <c r="I66" s="2574">
        <f>+I59-I65</f>
        <v>19010671503.8472</v>
      </c>
      <c r="J66" s="2778">
        <f t="shared" si="6"/>
        <v>0</v>
      </c>
      <c r="K66" s="2778"/>
      <c r="L66" s="2574">
        <f>+L59-L65</f>
        <v>15974508959.355</v>
      </c>
      <c r="M66" s="2574">
        <f>+M59-M65</f>
        <v>15974508959.48</v>
      </c>
      <c r="N66" s="2778">
        <f t="shared" si="7"/>
        <v>-0.124996185302734</v>
      </c>
      <c r="O66" s="2778"/>
      <c r="P66" s="2574">
        <f>+P59-P65</f>
        <v>15365786070.2025</v>
      </c>
      <c r="Q66" s="2574">
        <f>+Q59-Q65</f>
        <v>15362561070.7362</v>
      </c>
      <c r="R66" s="2778">
        <f t="shared" si="8"/>
        <v>3224999.46630669</v>
      </c>
      <c r="S66" s="2778"/>
      <c r="T66" s="2778"/>
      <c r="U66" s="2778"/>
      <c r="V66" s="2778"/>
      <c r="W66" s="2823"/>
    </row>
    <row r="67" spans="2:23">
      <c r="B67" s="2777"/>
      <c r="C67" s="2778"/>
      <c r="D67" s="2778" t="s">
        <v>11883</v>
      </c>
      <c r="E67" s="2780"/>
      <c r="F67" s="2784"/>
      <c r="G67" s="2574"/>
      <c r="H67" s="2574">
        <f>+'F1'!Q32</f>
        <v>19010671503.8472</v>
      </c>
      <c r="I67" s="2778">
        <f>+H67</f>
        <v>19010671503.8472</v>
      </c>
      <c r="J67" s="2778">
        <f t="shared" si="6"/>
        <v>0</v>
      </c>
      <c r="K67" s="2778"/>
      <c r="L67" s="2574">
        <f>+'F1'!P32</f>
        <v>15974508959.8133</v>
      </c>
      <c r="M67" s="2778">
        <f>+'F1'!P32</f>
        <v>15974508959.8133</v>
      </c>
      <c r="N67" s="2778">
        <f t="shared" si="7"/>
        <v>0</v>
      </c>
      <c r="O67" s="2778"/>
      <c r="P67" s="2574" t="e">
        <f>+#REF!</f>
        <v>#REF!</v>
      </c>
      <c r="Q67" s="2778">
        <f>+'F1'!J32</f>
        <v>15154159117.9662</v>
      </c>
      <c r="R67" s="2778"/>
      <c r="S67" s="2778"/>
      <c r="T67" s="2778"/>
      <c r="U67" s="2778"/>
      <c r="V67" s="2778"/>
      <c r="W67" s="2823"/>
    </row>
    <row r="68" spans="2:23">
      <c r="B68" s="2777"/>
      <c r="C68" s="2778"/>
      <c r="D68" s="2778" t="s">
        <v>146</v>
      </c>
      <c r="E68" s="2780"/>
      <c r="F68" s="2784"/>
      <c r="G68" s="2574"/>
      <c r="H68" s="2574">
        <f>+H66-H67</f>
        <v>0</v>
      </c>
      <c r="I68" s="2574">
        <f>+I66-I67</f>
        <v>0</v>
      </c>
      <c r="J68" s="2778">
        <f t="shared" si="6"/>
        <v>0</v>
      </c>
      <c r="K68" s="2778"/>
      <c r="L68" s="2574">
        <f>+L66-L67</f>
        <v>-0.458328247070312</v>
      </c>
      <c r="M68" s="2574">
        <f>+M66-M67</f>
        <v>-0.333332061767578</v>
      </c>
      <c r="N68" s="2778">
        <f t="shared" si="7"/>
        <v>-0.124996185302734</v>
      </c>
      <c r="O68" s="2778"/>
      <c r="P68" s="2574" t="e">
        <f>+P66-P67</f>
        <v>#REF!</v>
      </c>
      <c r="Q68" s="2574">
        <f>+Q66-Q67</f>
        <v>208401952.77</v>
      </c>
      <c r="R68" s="2778" t="e">
        <f>+P67-Q67</f>
        <v>#REF!</v>
      </c>
      <c r="S68" s="2778"/>
      <c r="T68" s="2778"/>
      <c r="U68" s="2778"/>
      <c r="V68" s="2778"/>
      <c r="W68" s="2823"/>
    </row>
    <row r="69" spans="2:23">
      <c r="B69" s="2777"/>
      <c r="C69" s="2778"/>
      <c r="D69" s="2566"/>
      <c r="E69" s="2621"/>
      <c r="F69" s="2825"/>
      <c r="G69" s="2566"/>
      <c r="H69" s="2778"/>
      <c r="I69" s="2778"/>
      <c r="J69" s="2842"/>
      <c r="K69" s="2778"/>
      <c r="L69" s="2778"/>
      <c r="M69" s="2778"/>
      <c r="N69" s="2781"/>
      <c r="O69" s="2781"/>
      <c r="P69" s="2778"/>
      <c r="Q69" s="2778"/>
      <c r="R69" s="2781"/>
      <c r="S69" s="2781"/>
      <c r="T69" s="2781"/>
      <c r="U69" s="2781"/>
      <c r="V69" s="2781"/>
      <c r="W69" s="2846"/>
    </row>
    <row r="70" spans="2:23">
      <c r="B70" s="2777"/>
      <c r="C70" s="2778"/>
      <c r="D70" s="2566"/>
      <c r="E70" s="2621"/>
      <c r="F70" s="2825"/>
      <c r="G70" s="2566"/>
      <c r="H70" s="2778"/>
      <c r="I70" s="2778"/>
      <c r="J70" s="2842"/>
      <c r="K70" s="2778"/>
      <c r="L70" s="2778"/>
      <c r="M70" s="2778"/>
      <c r="N70" s="2781"/>
      <c r="O70" s="2781"/>
      <c r="P70" s="2781"/>
      <c r="Q70" s="2781"/>
      <c r="R70" s="2781"/>
      <c r="S70" s="2781"/>
      <c r="T70" s="2781"/>
      <c r="U70" s="2781"/>
      <c r="V70" s="2781"/>
      <c r="W70" s="2846"/>
    </row>
    <row r="71" spans="2:23">
      <c r="B71" s="2777"/>
      <c r="C71" s="2778"/>
      <c r="D71" s="2566"/>
      <c r="E71" s="2621"/>
      <c r="F71" s="2825"/>
      <c r="G71" s="2566"/>
      <c r="H71" s="2778"/>
      <c r="I71" s="2778"/>
      <c r="J71" s="2842"/>
      <c r="K71" s="2778"/>
      <c r="L71" s="2778"/>
      <c r="M71" s="2778"/>
      <c r="N71" s="2781"/>
      <c r="O71" s="2781"/>
      <c r="P71" s="2781"/>
      <c r="Q71" s="2781"/>
      <c r="R71" s="2781"/>
      <c r="S71" s="2781"/>
      <c r="T71" s="2781"/>
      <c r="U71" s="2781"/>
      <c r="V71" s="2781"/>
      <c r="W71" s="2846"/>
    </row>
    <row r="72" spans="2:23">
      <c r="B72" s="2777"/>
      <c r="C72" s="2778"/>
      <c r="D72" s="5127" t="s">
        <v>11884</v>
      </c>
      <c r="E72" s="2621"/>
      <c r="F72" s="2825"/>
      <c r="G72" s="2566"/>
      <c r="H72" s="2778"/>
      <c r="I72" s="2778"/>
      <c r="J72" s="2842"/>
      <c r="K72" s="2778"/>
      <c r="L72" s="2778"/>
      <c r="M72" s="2778"/>
      <c r="N72" s="2781"/>
      <c r="O72" s="2781"/>
      <c r="P72" s="2781"/>
      <c r="Q72" s="2781"/>
      <c r="R72" s="2781"/>
      <c r="S72" s="2781"/>
      <c r="T72" s="2781"/>
      <c r="U72" s="2781"/>
      <c r="V72" s="2781"/>
      <c r="W72" s="2846"/>
    </row>
    <row r="73" spans="2:23">
      <c r="B73" s="2777"/>
      <c r="C73" s="2778"/>
      <c r="D73" s="2566"/>
      <c r="E73" s="2780" t="s">
        <v>625</v>
      </c>
      <c r="F73" s="2826" t="s">
        <v>11885</v>
      </c>
      <c r="G73" s="2566"/>
      <c r="H73" s="2778">
        <v>18333333</v>
      </c>
      <c r="I73" s="2778">
        <v>0</v>
      </c>
      <c r="J73" s="2842"/>
      <c r="K73" s="2778"/>
      <c r="L73" s="2778"/>
      <c r="M73" s="2778"/>
      <c r="N73" s="2781"/>
      <c r="O73" s="2781"/>
      <c r="P73" s="2781"/>
      <c r="Q73" s="2781"/>
      <c r="R73" s="2781"/>
      <c r="S73" s="2781"/>
      <c r="T73" s="2781"/>
      <c r="U73" s="2781"/>
      <c r="V73" s="2781"/>
      <c r="W73" s="2846"/>
    </row>
    <row r="74" spans="2:23">
      <c r="B74" s="2777"/>
      <c r="C74" s="2778"/>
      <c r="D74" s="2566"/>
      <c r="E74" s="2780" t="s">
        <v>626</v>
      </c>
      <c r="F74" s="2826" t="s">
        <v>11886</v>
      </c>
      <c r="G74" s="2566"/>
      <c r="H74" s="2778">
        <v>0</v>
      </c>
      <c r="I74" s="2778">
        <f>+H73</f>
        <v>18333333</v>
      </c>
      <c r="J74" s="2842"/>
      <c r="K74" s="2778"/>
      <c r="L74" s="2778"/>
      <c r="M74" s="2778"/>
      <c r="N74" s="2781"/>
      <c r="O74" s="2781"/>
      <c r="P74" s="2781"/>
      <c r="Q74" s="2781"/>
      <c r="R74" s="2781"/>
      <c r="S74" s="2781"/>
      <c r="T74" s="2781"/>
      <c r="U74" s="2781"/>
      <c r="V74" s="2781"/>
      <c r="W74" s="2846"/>
    </row>
    <row r="75" spans="2:23">
      <c r="B75" s="2777"/>
      <c r="C75" s="2778"/>
      <c r="D75" s="2566"/>
      <c r="E75" s="2621"/>
      <c r="F75" s="2825"/>
      <c r="G75" s="2566"/>
      <c r="H75" s="2778"/>
      <c r="I75" s="2778"/>
      <c r="J75" s="2842"/>
      <c r="K75" s="2778"/>
      <c r="L75" s="2778"/>
      <c r="M75" s="2778"/>
      <c r="N75" s="2781"/>
      <c r="O75" s="2781"/>
      <c r="P75" s="2781"/>
      <c r="Q75" s="2781"/>
      <c r="R75" s="2781"/>
      <c r="S75" s="2781"/>
      <c r="T75" s="2781"/>
      <c r="U75" s="2781"/>
      <c r="V75" s="2781"/>
      <c r="W75" s="2846"/>
    </row>
    <row r="76" ht="13.95" spans="2:23">
      <c r="B76" s="2777"/>
      <c r="C76" s="2778"/>
      <c r="D76" s="2778"/>
      <c r="E76" s="2621"/>
      <c r="F76" s="2825"/>
      <c r="G76" s="2566"/>
      <c r="H76" s="2778"/>
      <c r="I76" s="2778"/>
      <c r="J76" s="2843"/>
      <c r="K76" s="2778"/>
      <c r="L76" s="2778"/>
      <c r="M76" s="2778"/>
      <c r="N76" s="2778"/>
      <c r="O76" s="2778"/>
      <c r="P76" s="2778"/>
      <c r="Q76" s="2778"/>
      <c r="R76" s="2778"/>
      <c r="S76" s="2778"/>
      <c r="T76" s="2778"/>
      <c r="U76" s="2778"/>
      <c r="V76" s="2778"/>
      <c r="W76" s="2823"/>
    </row>
    <row r="77" ht="13.95" spans="1:23">
      <c r="A77" s="288"/>
      <c r="B77" s="2827" t="s">
        <v>952</v>
      </c>
      <c r="C77" s="2828"/>
      <c r="D77" s="2829"/>
      <c r="E77" s="2616" t="s">
        <v>953</v>
      </c>
      <c r="F77" s="2830" t="s">
        <v>954</v>
      </c>
      <c r="G77" s="2566"/>
      <c r="H77" s="2778"/>
      <c r="I77" s="2778"/>
      <c r="J77" s="2843"/>
      <c r="K77" s="2620"/>
      <c r="L77" s="2831" t="s">
        <v>2264</v>
      </c>
      <c r="M77" s="2778"/>
      <c r="N77" s="2778"/>
      <c r="O77" s="2778"/>
      <c r="P77" s="2778"/>
      <c r="Q77" s="2778"/>
      <c r="R77" s="2778"/>
      <c r="S77" s="2778"/>
      <c r="T77" s="2778"/>
      <c r="U77" s="2778"/>
      <c r="V77" s="2778"/>
      <c r="W77" s="2847"/>
    </row>
    <row r="78" spans="1:23">
      <c r="A78" s="288"/>
      <c r="B78" s="2827"/>
      <c r="C78" s="2828"/>
      <c r="D78" s="2829"/>
      <c r="E78" s="2831"/>
      <c r="F78" s="2618"/>
      <c r="G78" s="2618"/>
      <c r="H78" s="2831"/>
      <c r="I78" s="2610"/>
      <c r="J78" s="2610"/>
      <c r="K78" s="2831"/>
      <c r="L78" s="2566"/>
      <c r="M78" s="2778"/>
      <c r="N78" s="2778"/>
      <c r="O78" s="2778"/>
      <c r="P78" s="2778"/>
      <c r="Q78" s="2778"/>
      <c r="R78" s="2778"/>
      <c r="S78" s="2778"/>
      <c r="T78" s="2778"/>
      <c r="U78" s="2778"/>
      <c r="V78" s="2778"/>
      <c r="W78" s="2823"/>
    </row>
    <row r="79" spans="1:23">
      <c r="A79" s="288"/>
      <c r="B79" s="2832" t="s">
        <v>11887</v>
      </c>
      <c r="C79" s="2609"/>
      <c r="D79" s="2610"/>
      <c r="E79" s="2614"/>
      <c r="F79" s="2619"/>
      <c r="G79" s="2609"/>
      <c r="H79" s="2609"/>
      <c r="I79" s="2609"/>
      <c r="J79" s="2621"/>
      <c r="K79" s="2622"/>
      <c r="L79" s="2566"/>
      <c r="M79" s="2778"/>
      <c r="N79" s="2778"/>
      <c r="O79" s="2778"/>
      <c r="P79" s="2778"/>
      <c r="Q79" s="2778"/>
      <c r="R79" s="2778"/>
      <c r="S79" s="2778"/>
      <c r="T79" s="2778"/>
      <c r="U79" s="2778"/>
      <c r="V79" s="2778"/>
      <c r="W79" s="2823"/>
    </row>
    <row r="80" spans="1:23">
      <c r="A80" s="288"/>
      <c r="B80" s="2778"/>
      <c r="C80" s="2778"/>
      <c r="D80" s="2778"/>
      <c r="E80" s="2780"/>
      <c r="F80" s="2621"/>
      <c r="G80" s="2833"/>
      <c r="H80" s="2778"/>
      <c r="I80" s="2778"/>
      <c r="J80" s="2778"/>
      <c r="K80" s="2778"/>
      <c r="L80" s="2778"/>
      <c r="M80" s="2778"/>
      <c r="N80" s="2778"/>
      <c r="O80" s="2778"/>
      <c r="P80" s="2778"/>
      <c r="Q80" s="2778"/>
      <c r="R80" s="2778"/>
      <c r="S80" s="2778"/>
      <c r="T80" s="2778"/>
      <c r="U80" s="2778"/>
      <c r="V80" s="2778"/>
      <c r="W80" s="2823"/>
    </row>
    <row r="81" ht="13.95" spans="2:23">
      <c r="B81" s="2834"/>
      <c r="C81" s="2835"/>
      <c r="D81" s="2835"/>
      <c r="E81" s="2836"/>
      <c r="F81" s="2837"/>
      <c r="G81" s="2838"/>
      <c r="H81" s="2835"/>
      <c r="I81" s="2835"/>
      <c r="J81" s="2835"/>
      <c r="K81" s="2835"/>
      <c r="L81" s="2835"/>
      <c r="M81" s="2835"/>
      <c r="N81" s="2835"/>
      <c r="O81" s="2835"/>
      <c r="P81" s="2835"/>
      <c r="Q81" s="2835"/>
      <c r="R81" s="2835"/>
      <c r="S81" s="2835"/>
      <c r="T81" s="2835"/>
      <c r="U81" s="2835"/>
      <c r="V81" s="2835"/>
      <c r="W81" s="2848"/>
    </row>
    <row r="82" spans="5:7">
      <c r="E82" s="246"/>
      <c r="F82" s="2839"/>
      <c r="G82" s="2840"/>
    </row>
    <row r="83" spans="5:7">
      <c r="E83" s="246"/>
      <c r="F83" s="2839"/>
      <c r="G83" s="2840"/>
    </row>
    <row r="84" ht="15" spans="16:21">
      <c r="P84" s="2844"/>
      <c r="Q84" s="2844"/>
      <c r="R84" s="2849"/>
      <c r="S84" s="2849"/>
      <c r="U84" s="2844"/>
    </row>
    <row r="85" spans="7:20">
      <c r="G85" s="2841"/>
      <c r="P85" s="2845"/>
      <c r="Q85" s="2845"/>
      <c r="R85" s="2845"/>
      <c r="T85" s="2845"/>
    </row>
    <row r="86" spans="7:20">
      <c r="G86" s="2841"/>
      <c r="P86" s="2845"/>
      <c r="Q86" s="2845"/>
      <c r="R86" s="2845"/>
      <c r="T86" s="2845"/>
    </row>
    <row r="87" spans="7:20">
      <c r="G87" s="2841"/>
      <c r="P87" s="2845"/>
      <c r="Q87" s="2845"/>
      <c r="R87" s="2845"/>
      <c r="T87" s="2845"/>
    </row>
    <row r="88" spans="7:20">
      <c r="G88" s="2841"/>
      <c r="P88" s="2845"/>
      <c r="Q88" s="2845"/>
      <c r="R88" s="2845"/>
      <c r="T88" s="2845"/>
    </row>
    <row r="89" spans="7:20">
      <c r="G89" s="2841"/>
      <c r="P89" s="2845"/>
      <c r="Q89" s="2845"/>
      <c r="R89" s="2845"/>
      <c r="T89" s="2845"/>
    </row>
    <row r="91" spans="17:20">
      <c r="Q91" s="2845"/>
      <c r="R91" s="2845"/>
      <c r="T91" s="2845"/>
    </row>
    <row r="92" spans="7:16">
      <c r="G92" s="2841"/>
      <c r="P92" s="2845"/>
    </row>
    <row r="93" spans="7:16">
      <c r="G93" s="2841"/>
      <c r="P93" s="2845"/>
    </row>
    <row r="96" spans="7:16">
      <c r="G96" s="2841"/>
      <c r="P96" s="2845"/>
    </row>
    <row r="97" spans="7:16">
      <c r="G97" s="2841"/>
      <c r="P97" s="2845"/>
    </row>
    <row r="98" spans="7:16">
      <c r="G98" s="2841"/>
      <c r="P98" s="2845"/>
    </row>
    <row r="99" spans="7:16">
      <c r="G99" s="2841"/>
      <c r="P99" s="2845"/>
    </row>
    <row r="104" spans="7:7">
      <c r="G104" s="2841"/>
    </row>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sheetData>
  <mergeCells count="4">
    <mergeCell ref="H9:I9"/>
    <mergeCell ref="L9:M9"/>
    <mergeCell ref="P9:Q9"/>
    <mergeCell ref="T9:U9"/>
  </mergeCells>
  <hyperlinks>
    <hyperlink ref="D7" location="'F3'!A1" display="Fixed Asset"/>
  </hyperlinks>
  <printOptions horizontalCentered="1" gridLines="1"/>
  <pageMargins left="0.31496062992126" right="0.31496062992126" top="0.511811023622047" bottom="0.31496062992126" header="0.511811023622047" footer="0.511811023622047"/>
  <pageSetup paperSize="9" scale="42" orientation="landscape"/>
  <headerFooter alignWithMargins="0">
    <oddFooter>&amp;R&amp;"Arial,Bold"&amp;28UV</oddFooter>
  </headerFooter>
  <drawing r:id="rId1"/>
  <legacyDrawing r:id="rId2"/>
  <oleObjects>
    <mc:AlternateContent xmlns:mc="http://schemas.openxmlformats.org/markup-compatibility/2006">
      <mc:Choice Requires="x14">
        <oleObject shapeId="64516" progId="Paint.Picture" r:id="rId3">
          <objectPr defaultSize="0" r:id="rId4">
            <anchor moveWithCells="1">
              <from>
                <xdr:col>2</xdr:col>
                <xdr:colOff>355600</xdr:colOff>
                <xdr:row>41</xdr:row>
                <xdr:rowOff>133350</xdr:rowOff>
              </from>
              <to>
                <xdr:col>2</xdr:col>
                <xdr:colOff>501650</xdr:colOff>
                <xdr:row>43</xdr:row>
                <xdr:rowOff>0</xdr:rowOff>
              </to>
            </anchor>
          </objectPr>
        </oleObject>
      </mc:Choice>
      <mc:Fallback>
        <oleObject shapeId="64516" progId="Paint.Picture" r:id="rId3"/>
      </mc:Fallback>
    </mc:AlternateContent>
    <mc:AlternateContent xmlns:mc="http://schemas.openxmlformats.org/markup-compatibility/2006">
      <mc:Choice Requires="x14">
        <oleObject shapeId="64517" progId="Paint.Picture" r:id="rId5">
          <objectPr defaultSize="0" r:id="rId6">
            <anchor moveWithCells="1">
              <from>
                <xdr:col>2</xdr:col>
                <xdr:colOff>355600</xdr:colOff>
                <xdr:row>44</xdr:row>
                <xdr:rowOff>63500</xdr:rowOff>
              </from>
              <to>
                <xdr:col>2</xdr:col>
                <xdr:colOff>482600</xdr:colOff>
                <xdr:row>45</xdr:row>
                <xdr:rowOff>44450</xdr:rowOff>
              </to>
            </anchor>
          </objectPr>
        </oleObject>
      </mc:Choice>
      <mc:Fallback>
        <oleObject shapeId="64517" progId="Paint.Picture" r:id="rId5"/>
      </mc:Fallback>
    </mc:AlternateContent>
    <mc:AlternateContent xmlns:mc="http://schemas.openxmlformats.org/markup-compatibility/2006">
      <mc:Choice Requires="x14">
        <oleObject shapeId="64551" progId="Paint.Picture" r:id="rId7">
          <objectPr defaultSize="0" r:id="rId8">
            <anchor moveWithCells="1">
              <from>
                <xdr:col>2</xdr:col>
                <xdr:colOff>349250</xdr:colOff>
                <xdr:row>43</xdr:row>
                <xdr:rowOff>19050</xdr:rowOff>
              </from>
              <to>
                <xdr:col>2</xdr:col>
                <xdr:colOff>501650</xdr:colOff>
                <xdr:row>44</xdr:row>
                <xdr:rowOff>19050</xdr:rowOff>
              </to>
            </anchor>
          </objectPr>
        </oleObject>
      </mc:Choice>
      <mc:Fallback>
        <oleObject shapeId="64551" progId="Paint.Picture" r:id="rId7"/>
      </mc:Fallback>
    </mc:AlternateContent>
    <mc:AlternateContent xmlns:mc="http://schemas.openxmlformats.org/markup-compatibility/2006">
      <mc:Choice Requires="x14">
        <oleObject shapeId="64586" progId="Paint.Picture" r:id="rId9">
          <objectPr defaultSize="0" r:id="rId6">
            <anchor moveWithCells="1">
              <from>
                <xdr:col>17</xdr:col>
                <xdr:colOff>368300</xdr:colOff>
                <xdr:row>39</xdr:row>
                <xdr:rowOff>114300</xdr:rowOff>
              </from>
              <to>
                <xdr:col>17</xdr:col>
                <xdr:colOff>527050</xdr:colOff>
                <xdr:row>40</xdr:row>
                <xdr:rowOff>133350</xdr:rowOff>
              </to>
            </anchor>
          </objectPr>
        </oleObject>
      </mc:Choice>
      <mc:Fallback>
        <oleObject shapeId="64586" progId="Paint.Picture" r:id="rId9"/>
      </mc:Fallback>
    </mc:AlternateContent>
  </oleObjects>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2"/>
  <dimension ref="B4:H262"/>
  <sheetViews>
    <sheetView zoomScale="130" zoomScaleNormal="130" workbookViewId="0">
      <selection activeCell="G12" sqref="G12"/>
    </sheetView>
  </sheetViews>
  <sheetFormatPr defaultColWidth="9" defaultRowHeight="11.4" outlineLevelCol="7"/>
  <cols>
    <col min="2" max="2" width="13.6354166666667" customWidth="1"/>
    <col min="3" max="3" width="16.1770833333333" customWidth="1"/>
    <col min="4" max="5" width="13.1875" customWidth="1"/>
    <col min="6" max="6" width="11.9895833333333" customWidth="1"/>
    <col min="7" max="7" width="16.1770833333333" customWidth="1"/>
    <col min="8" max="8" width="13.1875" customWidth="1"/>
  </cols>
  <sheetData>
    <row r="4" spans="2:8">
      <c r="B4" s="1"/>
      <c r="C4" s="1"/>
      <c r="D4" s="1"/>
      <c r="E4" s="1"/>
      <c r="G4" s="1"/>
      <c r="H4" s="1"/>
    </row>
    <row r="5" ht="22.8" spans="2:8">
      <c r="B5" s="30"/>
      <c r="C5" s="2728" t="s">
        <v>11888</v>
      </c>
      <c r="D5" s="2729" t="s">
        <v>11889</v>
      </c>
      <c r="E5" s="2730"/>
      <c r="G5" s="2728" t="s">
        <v>11890</v>
      </c>
      <c r="H5" s="2729" t="s">
        <v>11889</v>
      </c>
    </row>
    <row r="6" spans="2:8">
      <c r="B6" s="30"/>
      <c r="C6" s="2728"/>
      <c r="D6" s="30"/>
      <c r="E6" s="34"/>
      <c r="G6" s="2728"/>
      <c r="H6" s="30"/>
    </row>
    <row r="7" spans="2:8">
      <c r="B7" s="30" t="s">
        <v>11891</v>
      </c>
      <c r="C7" s="1070">
        <v>66539661807.8</v>
      </c>
      <c r="D7" s="1070">
        <v>369664787.82</v>
      </c>
      <c r="E7" s="2096"/>
      <c r="G7" s="1070">
        <v>66539661807.8</v>
      </c>
      <c r="H7" s="1070">
        <v>346560738.58</v>
      </c>
    </row>
    <row r="8" spans="2:8">
      <c r="B8" s="30" t="s">
        <v>11892</v>
      </c>
      <c r="C8" s="1070">
        <v>214518100</v>
      </c>
      <c r="D8" s="1070">
        <v>1787650.83</v>
      </c>
      <c r="E8" s="2096"/>
      <c r="G8" s="1070">
        <v>214518100</v>
      </c>
      <c r="H8" s="1070">
        <v>1117281.77</v>
      </c>
    </row>
    <row r="9" ht="14.4" spans="2:8">
      <c r="B9" s="30" t="s">
        <v>151</v>
      </c>
      <c r="C9" s="2731">
        <f>SUM(C7:C8)</f>
        <v>66754179907.8</v>
      </c>
      <c r="D9" s="2731">
        <f>SUM(D7:D8)</f>
        <v>371452438.65</v>
      </c>
      <c r="E9" s="2732"/>
      <c r="G9" s="2731">
        <f>SUM(G7:G8)</f>
        <v>66754179907.8</v>
      </c>
      <c r="H9" s="2731">
        <f>SUM(H7:H8)</f>
        <v>347678020.35</v>
      </c>
    </row>
    <row r="10" spans="2:8">
      <c r="B10" s="1"/>
      <c r="C10" s="1"/>
      <c r="D10" s="1"/>
      <c r="E10" s="1"/>
      <c r="G10" s="1"/>
      <c r="H10" s="1"/>
    </row>
    <row r="11" spans="2:8">
      <c r="B11" s="1"/>
      <c r="C11" s="1"/>
      <c r="D11" s="1"/>
      <c r="E11" s="1"/>
      <c r="F11" s="1"/>
      <c r="G11" s="1"/>
      <c r="H11" s="1"/>
    </row>
    <row r="12" ht="12.15" spans="2:8">
      <c r="B12" s="1"/>
      <c r="C12" s="1"/>
      <c r="D12" s="1"/>
      <c r="E12" s="1"/>
      <c r="F12" s="1"/>
      <c r="G12" s="1"/>
      <c r="H12" s="1"/>
    </row>
    <row r="13" spans="2:8">
      <c r="B13" s="1"/>
      <c r="C13" s="1"/>
      <c r="D13" s="5128" t="s">
        <v>11893</v>
      </c>
      <c r="E13" s="2734"/>
      <c r="F13" s="2735"/>
      <c r="G13" s="1"/>
      <c r="H13" s="1"/>
    </row>
    <row r="14" spans="2:8">
      <c r="B14" s="1"/>
      <c r="C14" s="1"/>
      <c r="D14" s="5129" t="s">
        <v>11894</v>
      </c>
      <c r="E14" s="5130" t="s">
        <v>11895</v>
      </c>
      <c r="F14" s="5131" t="s">
        <v>10090</v>
      </c>
      <c r="G14" s="1"/>
      <c r="H14" s="1"/>
    </row>
    <row r="15" spans="2:8">
      <c r="B15" s="1"/>
      <c r="C15" s="1"/>
      <c r="D15" s="2739"/>
      <c r="E15" s="34"/>
      <c r="F15" s="2740"/>
      <c r="G15" s="1"/>
      <c r="H15" s="1"/>
    </row>
    <row r="16" ht="12.15" spans="2:8">
      <c r="B16" s="1"/>
      <c r="C16" s="1"/>
      <c r="D16" s="2741">
        <f>D9</f>
        <v>371452438.65</v>
      </c>
      <c r="E16" s="2742">
        <f>H9</f>
        <v>347678020.35</v>
      </c>
      <c r="F16" s="2743">
        <f>D16-E16</f>
        <v>23774418.3</v>
      </c>
      <c r="G16" s="1"/>
      <c r="H16" s="1"/>
    </row>
    <row r="17" spans="2:8">
      <c r="B17" s="1"/>
      <c r="C17" s="1"/>
      <c r="D17" s="1" t="s">
        <v>11896</v>
      </c>
      <c r="E17" s="1"/>
      <c r="F17" s="1"/>
      <c r="G17" s="1"/>
      <c r="H17" s="1"/>
    </row>
    <row r="18" spans="5:6">
      <c r="E18">
        <v>4</v>
      </c>
      <c r="F18">
        <f>F16*E18</f>
        <v>95097673.2</v>
      </c>
    </row>
    <row r="20" ht="13.2" spans="3:8">
      <c r="C20" s="2744" t="s">
        <v>11897</v>
      </c>
      <c r="D20" s="762"/>
      <c r="E20" s="762"/>
      <c r="F20" s="762"/>
      <c r="G20" s="762"/>
      <c r="H20" s="253"/>
    </row>
    <row r="21" spans="3:8">
      <c r="C21" s="597" t="s">
        <v>1029</v>
      </c>
      <c r="D21" s="253" t="s">
        <v>11898</v>
      </c>
      <c r="E21" s="597"/>
      <c r="F21" s="762">
        <f>F18</f>
        <v>95097673.2</v>
      </c>
      <c r="G21" s="762">
        <v>0</v>
      </c>
      <c r="H21" s="253" t="s">
        <v>11899</v>
      </c>
    </row>
    <row r="22" spans="3:8">
      <c r="C22" s="597" t="s">
        <v>660</v>
      </c>
      <c r="D22" s="253" t="s">
        <v>11900</v>
      </c>
      <c r="E22" s="597"/>
      <c r="F22" s="762">
        <v>0</v>
      </c>
      <c r="G22" s="762">
        <f>F21</f>
        <v>95097673.2</v>
      </c>
      <c r="H22" s="253"/>
    </row>
    <row r="42" spans="2:2">
      <c r="B42" t="str">
        <f>'F2'!C17</f>
        <v>Utang lain-lain</v>
      </c>
    </row>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sheetData>
  <mergeCells count="1">
    <mergeCell ref="D13:F13"/>
  </mergeCells>
  <pageMargins left="0.7" right="0.7" top="0.75" bottom="0.75" header="0.3" footer="0.3"/>
  <pageSetup paperSize="9" orientation="portrait"/>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1"/>
  <dimension ref="A1:IV272"/>
  <sheetViews>
    <sheetView showGridLines="0" zoomScale="145" zoomScaleNormal="145" workbookViewId="0">
      <pane xSplit="3" ySplit="11" topLeftCell="D12" activePane="bottomRight" state="frozen"/>
      <selection/>
      <selection pane="topRight"/>
      <selection pane="bottomLeft"/>
      <selection pane="bottomRight" activeCell="C25" sqref="C25"/>
    </sheetView>
  </sheetViews>
  <sheetFormatPr defaultColWidth="9" defaultRowHeight="11.4"/>
  <cols>
    <col min="1" max="1" width="3.14583333333333" customWidth="1"/>
    <col min="2" max="2" width="8.98958333333333" customWidth="1"/>
    <col min="3" max="3" width="39.40625" customWidth="1"/>
    <col min="4" max="4" width="3.44791666666667" customWidth="1"/>
    <col min="5" max="5" width="7.1875" customWidth="1"/>
    <col min="6" max="6" width="11.8333333333333" customWidth="1"/>
    <col min="7" max="7" width="10.1875" customWidth="1"/>
    <col min="8" max="8" width="8.23958333333333" customWidth="1"/>
    <col min="9" max="9" width="17.2291666666667" customWidth="1"/>
    <col min="10" max="11" width="15.4270833333333" customWidth="1"/>
    <col min="12" max="12" width="13.78125" customWidth="1"/>
    <col min="13" max="13" width="11.9895833333333" customWidth="1"/>
    <col min="14" max="14" width="14.3854166666667" customWidth="1"/>
    <col min="15" max="15" width="13.9375" customWidth="1"/>
    <col min="16" max="16" width="10.3333333333333" hidden="1" customWidth="1"/>
    <col min="17" max="18" width="11.2395833333333" hidden="1" customWidth="1"/>
    <col min="19" max="19" width="1.94791666666667" customWidth="1"/>
    <col min="20" max="20" width="12.1354166666667" customWidth="1"/>
    <col min="21" max="21" width="10.78125" customWidth="1"/>
    <col min="22" max="22" width="15.7291666666667" customWidth="1"/>
    <col min="23" max="23" width="17.2291666666667" customWidth="1"/>
    <col min="24" max="24" width="13.3333333333333" customWidth="1"/>
    <col min="25" max="25" width="15.1354166666667" customWidth="1"/>
    <col min="26" max="26" width="13.9375" customWidth="1"/>
    <col min="27" max="27" width="17.8333333333333" customWidth="1"/>
  </cols>
  <sheetData>
    <row r="1" spans="9:9">
      <c r="I1" s="164"/>
    </row>
    <row r="2" ht="21" spans="2:12">
      <c r="B2" s="1499" t="str">
        <f>UV!B2</f>
        <v>KAP LIASTA NIRWAN SYAFRUDIN &amp; REKAN</v>
      </c>
      <c r="C2" s="731"/>
      <c r="D2" s="731"/>
      <c r="E2" s="731"/>
      <c r="F2" s="731"/>
      <c r="G2" s="731"/>
      <c r="H2" s="731"/>
      <c r="I2" s="746"/>
      <c r="J2" s="731" t="s">
        <v>481</v>
      </c>
      <c r="K2" s="765" t="s">
        <v>482</v>
      </c>
      <c r="L2" s="766" t="s">
        <v>483</v>
      </c>
    </row>
    <row r="3" ht="15.6" spans="2:12">
      <c r="B3" s="1500"/>
      <c r="C3" s="1501"/>
      <c r="D3" s="1502"/>
      <c r="E3" s="1504"/>
      <c r="F3" s="1504"/>
      <c r="G3" s="1505"/>
      <c r="H3" s="1505"/>
      <c r="I3" s="1586"/>
      <c r="J3" s="738" t="s">
        <v>484</v>
      </c>
      <c r="K3" s="776">
        <f>+'F2'!X3</f>
        <v>45193</v>
      </c>
      <c r="L3" s="768" t="s">
        <v>11859</v>
      </c>
    </row>
    <row r="4" ht="13.2" spans="2:12">
      <c r="B4" s="1546" t="s">
        <v>622</v>
      </c>
      <c r="C4" s="1547" t="str">
        <f>UV!D4</f>
        <v>PT INTAN GIRI ABADI</v>
      </c>
      <c r="D4" s="1548"/>
      <c r="E4" s="1548"/>
      <c r="F4" s="1548"/>
      <c r="G4" s="1548"/>
      <c r="H4" s="1548"/>
      <c r="I4" s="746"/>
      <c r="J4" s="742" t="s">
        <v>487</v>
      </c>
      <c r="K4" s="769" t="s">
        <v>482</v>
      </c>
      <c r="L4" s="770" t="s">
        <v>488</v>
      </c>
    </row>
    <row r="5" ht="13.2" spans="2:12">
      <c r="B5" s="775"/>
      <c r="C5" s="753"/>
      <c r="D5" s="753"/>
      <c r="E5" s="753"/>
      <c r="F5" s="753"/>
      <c r="G5" s="753"/>
      <c r="H5" s="753"/>
      <c r="I5" s="1592"/>
      <c r="J5" s="1592"/>
      <c r="K5" s="771"/>
      <c r="L5" s="772">
        <v>1</v>
      </c>
    </row>
    <row r="6" spans="2:12">
      <c r="B6" s="773"/>
      <c r="C6" s="742"/>
      <c r="D6" s="742"/>
      <c r="E6" s="742"/>
      <c r="F6" s="742"/>
      <c r="G6" s="742"/>
      <c r="H6" s="742"/>
      <c r="I6" s="770"/>
      <c r="J6" s="742"/>
      <c r="K6" s="773"/>
      <c r="L6" s="774" t="s">
        <v>491</v>
      </c>
    </row>
    <row r="7" ht="12" spans="2:12">
      <c r="B7" s="1549" t="s">
        <v>11901</v>
      </c>
      <c r="C7" s="1550" t="str">
        <f>+UV!C13</f>
        <v>Tanah</v>
      </c>
      <c r="D7" s="753"/>
      <c r="E7" s="753"/>
      <c r="F7" s="753"/>
      <c r="G7" s="753"/>
      <c r="H7" s="753"/>
      <c r="I7" s="1599"/>
      <c r="J7" s="753"/>
      <c r="K7" s="775"/>
      <c r="L7" s="776">
        <f>+'F2'!Y7</f>
        <v>44926</v>
      </c>
    </row>
    <row r="9" spans="20:27">
      <c r="T9" s="2713" t="s">
        <v>11902</v>
      </c>
      <c r="U9" s="2714"/>
      <c r="V9" s="2714"/>
      <c r="W9" s="2714"/>
      <c r="X9" s="2714"/>
      <c r="Y9" s="2714"/>
      <c r="Z9" s="2714"/>
      <c r="AA9" s="2726"/>
    </row>
    <row r="10" s="2695" customFormat="1" ht="13.2" spans="1:256">
      <c r="A10" s="1540"/>
      <c r="B10" s="2637" t="s">
        <v>26</v>
      </c>
      <c r="C10" s="2638" t="s">
        <v>11903</v>
      </c>
      <c r="D10" s="2639" t="s">
        <v>11904</v>
      </c>
      <c r="E10" s="2638" t="s">
        <v>38</v>
      </c>
      <c r="F10" s="2639" t="s">
        <v>157</v>
      </c>
      <c r="G10" s="2655" t="s">
        <v>11905</v>
      </c>
      <c r="H10" s="2656"/>
      <c r="I10" s="2639" t="s">
        <v>11906</v>
      </c>
      <c r="J10" s="2638" t="s">
        <v>11907</v>
      </c>
      <c r="K10" s="2639" t="s">
        <v>11906</v>
      </c>
      <c r="L10" s="2638" t="s">
        <v>11908</v>
      </c>
      <c r="M10" s="2637" t="s">
        <v>11909</v>
      </c>
      <c r="N10" s="2638" t="s">
        <v>11908</v>
      </c>
      <c r="O10" s="2640" t="s">
        <v>11910</v>
      </c>
      <c r="P10" s="2707" t="s">
        <v>11911</v>
      </c>
      <c r="Q10" s="2715"/>
      <c r="R10" s="2715"/>
      <c r="S10" s="1093"/>
      <c r="T10" s="5132" t="s">
        <v>11912</v>
      </c>
      <c r="U10" s="2656"/>
      <c r="V10" s="2655" t="s">
        <v>11886</v>
      </c>
      <c r="W10" s="2656"/>
      <c r="X10" s="2639" t="s">
        <v>874</v>
      </c>
      <c r="Y10" s="2638" t="s">
        <v>11910</v>
      </c>
      <c r="Z10" s="2639" t="s">
        <v>146</v>
      </c>
      <c r="AA10" s="2640" t="s">
        <v>146</v>
      </c>
      <c r="AB10" s="1540"/>
      <c r="AC10" s="1540"/>
      <c r="AD10" s="1540"/>
      <c r="AE10" s="1540"/>
      <c r="AF10" s="1540"/>
      <c r="AG10" s="1540"/>
      <c r="AH10" s="1540"/>
      <c r="AI10" s="1540"/>
      <c r="AJ10" s="1540"/>
      <c r="AK10" s="1540"/>
      <c r="AL10" s="1540"/>
      <c r="AM10" s="1540"/>
      <c r="AN10" s="1540"/>
      <c r="AO10" s="1540"/>
      <c r="AP10" s="1540"/>
      <c r="AQ10" s="1540"/>
      <c r="AR10" s="1540"/>
      <c r="AS10" s="1540"/>
      <c r="AT10" s="1540"/>
      <c r="AU10" s="1540"/>
      <c r="AV10" s="1540"/>
      <c r="AW10" s="1540"/>
      <c r="AX10" s="1540"/>
      <c r="AY10" s="1540"/>
      <c r="AZ10" s="1540"/>
      <c r="BA10" s="1540"/>
      <c r="BB10" s="1540"/>
      <c r="BC10" s="1540"/>
      <c r="BD10" s="1540"/>
      <c r="BE10" s="1540"/>
      <c r="BF10" s="1540"/>
      <c r="BG10" s="1540"/>
      <c r="BH10" s="1540"/>
      <c r="BI10" s="1540"/>
      <c r="BJ10" s="1540"/>
      <c r="BK10" s="1540"/>
      <c r="BL10" s="1540"/>
      <c r="BM10" s="1540"/>
      <c r="BN10" s="1540"/>
      <c r="BO10" s="1540"/>
      <c r="BP10" s="1540"/>
      <c r="BQ10" s="1540"/>
      <c r="BR10" s="1540"/>
      <c r="BS10" s="1540"/>
      <c r="BT10" s="1540"/>
      <c r="BU10" s="1540"/>
      <c r="BV10" s="1540"/>
      <c r="BW10" s="1540"/>
      <c r="BX10" s="1540"/>
      <c r="BY10" s="1540"/>
      <c r="BZ10" s="1540"/>
      <c r="CA10" s="1540"/>
      <c r="CB10" s="1540"/>
      <c r="CC10" s="1540"/>
      <c r="CD10" s="1540"/>
      <c r="CE10" s="1540"/>
      <c r="CF10" s="1540"/>
      <c r="CG10" s="1540"/>
      <c r="CH10" s="1540"/>
      <c r="CI10" s="1540"/>
      <c r="CJ10" s="1540"/>
      <c r="CK10" s="1540"/>
      <c r="CL10" s="1540"/>
      <c r="CM10" s="1540"/>
      <c r="CN10" s="1540"/>
      <c r="CO10" s="1540"/>
      <c r="CP10" s="1540"/>
      <c r="CQ10" s="1540"/>
      <c r="CR10" s="1540"/>
      <c r="CS10" s="1540"/>
      <c r="CT10" s="1540"/>
      <c r="CU10" s="1540"/>
      <c r="CV10" s="1540"/>
      <c r="CW10" s="1540"/>
      <c r="CX10" s="1540"/>
      <c r="CY10" s="1540"/>
      <c r="CZ10" s="1540"/>
      <c r="DA10" s="1540"/>
      <c r="DB10" s="1540"/>
      <c r="DC10" s="1540"/>
      <c r="DD10" s="1540"/>
      <c r="DE10" s="1540"/>
      <c r="DF10" s="1540"/>
      <c r="DG10" s="1540"/>
      <c r="DH10" s="1540"/>
      <c r="DI10" s="1540"/>
      <c r="DJ10" s="1540"/>
      <c r="DK10" s="1540"/>
      <c r="DL10" s="1540"/>
      <c r="DM10" s="1540"/>
      <c r="DN10" s="1540"/>
      <c r="DO10" s="1540"/>
      <c r="DP10" s="1540"/>
      <c r="DQ10" s="1540"/>
      <c r="DR10" s="1540"/>
      <c r="DS10" s="1540"/>
      <c r="DT10" s="1540"/>
      <c r="DU10" s="1540"/>
      <c r="DV10" s="1540"/>
      <c r="DW10" s="1540"/>
      <c r="DX10" s="1540"/>
      <c r="DY10" s="1540"/>
      <c r="DZ10" s="1540"/>
      <c r="EA10" s="1540"/>
      <c r="EB10" s="1540"/>
      <c r="EC10" s="1540"/>
      <c r="ED10" s="1540"/>
      <c r="EE10" s="1540"/>
      <c r="EF10" s="1540"/>
      <c r="EG10" s="1540"/>
      <c r="EH10" s="1540"/>
      <c r="EI10" s="1540"/>
      <c r="EJ10" s="1540"/>
      <c r="EK10" s="1540"/>
      <c r="EL10" s="1540"/>
      <c r="EM10" s="1540"/>
      <c r="EN10" s="1540"/>
      <c r="EO10" s="1540"/>
      <c r="EP10" s="1540"/>
      <c r="EQ10" s="1540"/>
      <c r="ER10" s="1540"/>
      <c r="ES10" s="1540"/>
      <c r="ET10" s="1540"/>
      <c r="EU10" s="1540"/>
      <c r="EV10" s="1540"/>
      <c r="EW10" s="1540"/>
      <c r="EX10" s="1540"/>
      <c r="EY10" s="1540"/>
      <c r="EZ10" s="1540"/>
      <c r="FA10" s="1540"/>
      <c r="FB10" s="1540"/>
      <c r="FC10" s="1540"/>
      <c r="FD10" s="1540"/>
      <c r="FE10" s="1540"/>
      <c r="FF10" s="1540"/>
      <c r="FG10" s="1540"/>
      <c r="FH10" s="1540"/>
      <c r="FI10" s="1540"/>
      <c r="FJ10" s="1540"/>
      <c r="FK10" s="1540"/>
      <c r="FL10" s="1540"/>
      <c r="FM10" s="1540"/>
      <c r="FN10" s="1540"/>
      <c r="FO10" s="1540"/>
      <c r="FP10" s="1540"/>
      <c r="FQ10" s="1540"/>
      <c r="FR10" s="1540"/>
      <c r="FS10" s="1540"/>
      <c r="FT10" s="1540"/>
      <c r="FU10" s="1540"/>
      <c r="FV10" s="1540"/>
      <c r="FW10" s="1540"/>
      <c r="FX10" s="1540"/>
      <c r="FY10" s="1540"/>
      <c r="FZ10" s="1540"/>
      <c r="GA10" s="1540"/>
      <c r="GB10" s="1540"/>
      <c r="GC10" s="1540"/>
      <c r="GD10" s="1540"/>
      <c r="GE10" s="1540"/>
      <c r="GF10" s="1540"/>
      <c r="GG10" s="1540"/>
      <c r="GH10" s="1540"/>
      <c r="GI10" s="1540"/>
      <c r="GJ10" s="1540"/>
      <c r="GK10" s="1540"/>
      <c r="GL10" s="1540"/>
      <c r="GM10" s="1540"/>
      <c r="GN10" s="1540"/>
      <c r="GO10" s="1540"/>
      <c r="GP10" s="1540"/>
      <c r="GQ10" s="1540"/>
      <c r="GR10" s="1540"/>
      <c r="GS10" s="1540"/>
      <c r="GT10" s="1540"/>
      <c r="GU10" s="1540"/>
      <c r="GV10" s="1540"/>
      <c r="GW10" s="1540"/>
      <c r="GX10" s="1540"/>
      <c r="GY10" s="1540"/>
      <c r="GZ10" s="1540"/>
      <c r="HA10" s="1540"/>
      <c r="HB10" s="1540"/>
      <c r="HC10" s="1540"/>
      <c r="HD10" s="1540"/>
      <c r="HE10" s="1540"/>
      <c r="HF10" s="1540"/>
      <c r="HG10" s="1540"/>
      <c r="HH10" s="1540"/>
      <c r="HI10" s="1540"/>
      <c r="HJ10" s="1540"/>
      <c r="HK10" s="1540"/>
      <c r="HL10" s="1540"/>
      <c r="HM10" s="1540"/>
      <c r="HN10" s="1540"/>
      <c r="HO10" s="1540"/>
      <c r="HP10" s="1540"/>
      <c r="HQ10" s="1540"/>
      <c r="HR10" s="1540"/>
      <c r="HS10" s="1540"/>
      <c r="HT10" s="1540"/>
      <c r="HU10" s="1540"/>
      <c r="HV10" s="1540"/>
      <c r="HW10" s="1540"/>
      <c r="HX10" s="1540"/>
      <c r="HY10" s="1540"/>
      <c r="HZ10" s="1540"/>
      <c r="IA10" s="1540"/>
      <c r="IB10" s="1540"/>
      <c r="IC10" s="1540"/>
      <c r="ID10" s="1540"/>
      <c r="IE10" s="1540"/>
      <c r="IF10" s="1540"/>
      <c r="IG10" s="1540"/>
      <c r="IH10" s="1540"/>
      <c r="II10" s="1540"/>
      <c r="IJ10" s="1540"/>
      <c r="IK10" s="1540"/>
      <c r="IL10" s="1540"/>
      <c r="IM10" s="1540"/>
      <c r="IN10" s="1540"/>
      <c r="IO10" s="1540"/>
      <c r="IP10" s="1540"/>
      <c r="IQ10" s="1540"/>
      <c r="IR10" s="1540"/>
      <c r="IS10" s="1540"/>
      <c r="IT10" s="1540"/>
      <c r="IU10" s="1540"/>
      <c r="IV10" s="1540"/>
    </row>
    <row r="11" s="1540" customFormat="1" ht="12" spans="2:27">
      <c r="B11" s="643"/>
      <c r="C11" s="2641"/>
      <c r="D11" s="2642"/>
      <c r="E11" s="2641"/>
      <c r="F11" s="2642" t="s">
        <v>11913</v>
      </c>
      <c r="G11" s="643" t="s">
        <v>11796</v>
      </c>
      <c r="H11" s="2643" t="s">
        <v>11914</v>
      </c>
      <c r="I11" s="2642" t="s">
        <v>11915</v>
      </c>
      <c r="J11" s="2641" t="s">
        <v>11916</v>
      </c>
      <c r="K11" s="2642" t="s">
        <v>11917</v>
      </c>
      <c r="L11" s="2641">
        <v>44561</v>
      </c>
      <c r="M11" s="643">
        <v>44926</v>
      </c>
      <c r="N11" s="2641" t="s">
        <v>11918</v>
      </c>
      <c r="O11" s="2643">
        <v>44926</v>
      </c>
      <c r="P11" s="164" t="s">
        <v>11919</v>
      </c>
      <c r="Q11" s="164" t="s">
        <v>11920</v>
      </c>
      <c r="R11" s="164" t="s">
        <v>11921</v>
      </c>
      <c r="S11" s="164"/>
      <c r="T11" s="643">
        <v>44561</v>
      </c>
      <c r="U11" s="2692">
        <v>44926</v>
      </c>
      <c r="V11" s="2642">
        <v>44561</v>
      </c>
      <c r="W11" s="2692">
        <v>44926</v>
      </c>
      <c r="X11" s="2642">
        <v>44926</v>
      </c>
      <c r="Y11" s="2641">
        <v>44926</v>
      </c>
      <c r="Z11" s="2642" t="s">
        <v>11922</v>
      </c>
      <c r="AA11" s="2643" t="s">
        <v>11882</v>
      </c>
    </row>
    <row r="12" ht="12" spans="2:27">
      <c r="B12" s="142"/>
      <c r="C12" s="2696" t="s">
        <v>11923</v>
      </c>
      <c r="D12" s="142"/>
      <c r="E12" s="142"/>
      <c r="F12" s="142"/>
      <c r="G12" s="2665"/>
      <c r="H12" s="142"/>
      <c r="I12" s="142"/>
      <c r="J12" s="142"/>
      <c r="K12" s="142"/>
      <c r="L12" s="142"/>
      <c r="M12" s="142"/>
      <c r="N12" s="142"/>
      <c r="O12" s="1086"/>
      <c r="P12" s="2708"/>
      <c r="Q12" s="2717"/>
      <c r="R12" s="2718"/>
      <c r="T12" s="2719"/>
      <c r="U12" s="2719"/>
      <c r="V12" s="2719"/>
      <c r="W12" s="2719"/>
      <c r="X12" s="2719"/>
      <c r="Y12" s="2719"/>
      <c r="Z12" s="2719" t="s">
        <v>11924</v>
      </c>
      <c r="AA12" s="2719"/>
    </row>
    <row r="13" ht="13.2" spans="1:27">
      <c r="A13" t="s">
        <v>698</v>
      </c>
      <c r="B13" s="1366">
        <v>1</v>
      </c>
      <c r="C13" s="5133" t="s">
        <v>11925</v>
      </c>
      <c r="D13" s="2667">
        <v>3</v>
      </c>
      <c r="E13" s="2698">
        <v>0</v>
      </c>
      <c r="F13" s="2699">
        <f>+'[94]AT-2019'!$E$8</f>
        <v>42615</v>
      </c>
      <c r="G13" s="1366">
        <v>0</v>
      </c>
      <c r="H13" s="2667">
        <f>G13*12</f>
        <v>0</v>
      </c>
      <c r="I13" s="1366">
        <v>7915682004.90763</v>
      </c>
      <c r="J13" s="1366">
        <f>[96]FA!K25</f>
        <v>0</v>
      </c>
      <c r="K13" s="1366">
        <f>I13+J13</f>
        <v>7915682004.90763</v>
      </c>
      <c r="L13" s="1366">
        <v>0</v>
      </c>
      <c r="M13" s="2709">
        <v>0</v>
      </c>
      <c r="N13" s="29">
        <f>L13+M13</f>
        <v>0</v>
      </c>
      <c r="O13" s="29">
        <f>K13-N13</f>
        <v>7915682004.90763</v>
      </c>
      <c r="P13" s="2710">
        <f>ROUND(K13*E13/12,0)</f>
        <v>0</v>
      </c>
      <c r="Q13" s="2710">
        <f>P13*0</f>
        <v>0</v>
      </c>
      <c r="R13" s="2720">
        <f>M13-Q13</f>
        <v>0</v>
      </c>
      <c r="T13" s="2721">
        <f>IF(DAY($F13)&lt;=15,((YEAR(T$11)-YEAR($F13))*12+MONTH(T$11)-MONTH($F13))+1,((YEAR(T$11)-YEAR($F13))*12+MONTH(T$11)-MONTH($F13)))</f>
        <v>64</v>
      </c>
      <c r="U13" s="2721">
        <f>IF(DAY($F13)&lt;=15,((YEAR(U$11)-YEAR($F13))*12+MONTH(U$11)-MONTH($F13))+1,((YEAR(U$11)-YEAR($F13))*12+MONTH(U$11)-MONTH($F13)))</f>
        <v>76</v>
      </c>
      <c r="V13" s="2722">
        <f>ROUND(IF(T13&gt;$H13,$K13,($K13/$H13*T13)),0)</f>
        <v>7915682005</v>
      </c>
      <c r="W13" s="2722">
        <f>ROUND(IF(U13&gt;$H13,$K13,($K13/$H13*U13)),0)</f>
        <v>7915682005</v>
      </c>
      <c r="X13" s="2721">
        <f>W13-V13</f>
        <v>0</v>
      </c>
      <c r="Y13" s="2721">
        <f>K13-W13</f>
        <v>-0.0923728942871094</v>
      </c>
      <c r="Z13" s="2721">
        <f>+X13-M13</f>
        <v>0</v>
      </c>
      <c r="AA13" s="2721">
        <f>+O13-Y13</f>
        <v>7915682005</v>
      </c>
    </row>
    <row r="14" ht="13.2" spans="1:27">
      <c r="A14" t="s">
        <v>11926</v>
      </c>
      <c r="B14" s="1366">
        <v>2</v>
      </c>
      <c r="C14" s="5133" t="s">
        <v>11927</v>
      </c>
      <c r="D14" s="1366" t="s">
        <v>11928</v>
      </c>
      <c r="E14" s="2698">
        <v>0</v>
      </c>
      <c r="F14" s="2699">
        <f>+'[94]AT-2019'!$E$9</f>
        <v>43551</v>
      </c>
      <c r="G14" s="1366">
        <v>0</v>
      </c>
      <c r="H14" s="2667">
        <f>G14*12</f>
        <v>0</v>
      </c>
      <c r="I14" s="1366">
        <v>2800000000</v>
      </c>
      <c r="J14" s="1366"/>
      <c r="K14" s="1366">
        <f>I14+J14</f>
        <v>2800000000</v>
      </c>
      <c r="L14" s="1366">
        <v>0</v>
      </c>
      <c r="M14" s="2709">
        <v>0</v>
      </c>
      <c r="N14" s="29">
        <f>L14+M14</f>
        <v>0</v>
      </c>
      <c r="O14" s="29">
        <f>K14-N14</f>
        <v>2800000000</v>
      </c>
      <c r="P14" s="2710">
        <f>ROUND(K14*E14/12,0)</f>
        <v>0</v>
      </c>
      <c r="Q14" s="2710"/>
      <c r="R14" s="2720"/>
      <c r="T14" s="2721"/>
      <c r="U14" s="2721"/>
      <c r="V14" s="2722">
        <f>+I13/T13*H13</f>
        <v>0</v>
      </c>
      <c r="W14" s="2722"/>
      <c r="X14" s="2721"/>
      <c r="Y14" s="2721"/>
      <c r="Z14" s="2721"/>
      <c r="AA14" s="2721"/>
    </row>
    <row r="15" ht="8.45" customHeight="1" spans="2:27">
      <c r="B15" s="1366"/>
      <c r="C15" s="1366"/>
      <c r="D15" s="1366"/>
      <c r="E15" s="1366"/>
      <c r="F15" s="1366"/>
      <c r="G15" s="1366"/>
      <c r="H15" s="29"/>
      <c r="I15" s="29"/>
      <c r="J15" s="29"/>
      <c r="K15" s="29"/>
      <c r="L15" s="29"/>
      <c r="M15" s="29"/>
      <c r="N15" s="29"/>
      <c r="O15" s="29"/>
      <c r="P15" s="142"/>
      <c r="Q15" s="302"/>
      <c r="R15" s="302"/>
      <c r="T15" s="29"/>
      <c r="U15" s="29"/>
      <c r="V15" s="1228"/>
      <c r="W15" s="1228"/>
      <c r="X15" s="1228"/>
      <c r="Y15" s="1228"/>
      <c r="Z15" s="1228"/>
      <c r="AA15" s="29"/>
    </row>
    <row r="16" ht="13.2" spans="2:27">
      <c r="B16" s="2659"/>
      <c r="C16" s="2659" t="s">
        <v>151</v>
      </c>
      <c r="D16" s="2659"/>
      <c r="E16" s="2659"/>
      <c r="F16" s="2659"/>
      <c r="G16" s="2659"/>
      <c r="H16" s="29"/>
      <c r="I16" s="754">
        <f t="shared" ref="I16:R16" si="0">SUM(I13:I14)</f>
        <v>10715682004.9076</v>
      </c>
      <c r="J16" s="754">
        <f t="shared" si="0"/>
        <v>0</v>
      </c>
      <c r="K16" s="754">
        <f t="shared" si="0"/>
        <v>10715682004.9076</v>
      </c>
      <c r="L16" s="754">
        <f t="shared" si="0"/>
        <v>0</v>
      </c>
      <c r="M16" s="754">
        <f t="shared" si="0"/>
        <v>0</v>
      </c>
      <c r="N16" s="754">
        <f t="shared" si="0"/>
        <v>0</v>
      </c>
      <c r="O16" s="754">
        <f t="shared" si="0"/>
        <v>10715682004.9076</v>
      </c>
      <c r="P16" s="2711">
        <f t="shared" si="0"/>
        <v>0</v>
      </c>
      <c r="Q16" s="2723">
        <f t="shared" si="0"/>
        <v>0</v>
      </c>
      <c r="R16" s="2724">
        <f t="shared" si="0"/>
        <v>0</v>
      </c>
      <c r="T16" s="2725">
        <f t="shared" ref="T16:AA16" si="1">SUM(T13:T14)</f>
        <v>64</v>
      </c>
      <c r="U16" s="2725">
        <f t="shared" si="1"/>
        <v>76</v>
      </c>
      <c r="V16" s="2725">
        <f t="shared" si="1"/>
        <v>7915682005</v>
      </c>
      <c r="W16" s="2725">
        <f t="shared" si="1"/>
        <v>7915682005</v>
      </c>
      <c r="X16" s="2725">
        <f t="shared" si="1"/>
        <v>0</v>
      </c>
      <c r="Y16" s="2725">
        <f t="shared" si="1"/>
        <v>-0.0923728942871094</v>
      </c>
      <c r="Z16" s="2725">
        <f t="shared" si="1"/>
        <v>0</v>
      </c>
      <c r="AA16" s="2727">
        <f t="shared" si="1"/>
        <v>7915682005</v>
      </c>
    </row>
    <row r="17" ht="13.2" spans="2:26">
      <c r="B17" s="2669" t="s">
        <v>11929</v>
      </c>
      <c r="Q17">
        <f>Q16-M16</f>
        <v>0</v>
      </c>
      <c r="V17" s="101"/>
      <c r="W17" s="101"/>
      <c r="X17" s="101"/>
      <c r="Y17" s="101"/>
      <c r="Z17" s="101"/>
    </row>
    <row r="18" customFormat="1" ht="13.2" spans="2:26">
      <c r="B18" s="2669"/>
      <c r="V18" s="101"/>
      <c r="W18" s="101"/>
      <c r="X18" s="101"/>
      <c r="Y18" s="101"/>
      <c r="Z18" s="101"/>
    </row>
    <row r="19" ht="13.2" spans="2:26">
      <c r="B19" t="s">
        <v>11930</v>
      </c>
      <c r="N19">
        <v>0</v>
      </c>
      <c r="O19">
        <f>K19-N19</f>
        <v>0</v>
      </c>
      <c r="V19" s="101">
        <f>L16</f>
        <v>0</v>
      </c>
      <c r="W19" s="101">
        <f>+N16</f>
        <v>0</v>
      </c>
      <c r="X19" s="101">
        <f>+M16</f>
        <v>0</v>
      </c>
      <c r="Y19" s="101">
        <f>+O19</f>
        <v>0</v>
      </c>
      <c r="Z19" s="101"/>
    </row>
    <row r="20" ht="13.2" spans="2:26">
      <c r="B20" t="s">
        <v>146</v>
      </c>
      <c r="V20" s="101"/>
      <c r="W20" s="101">
        <f>W16-W19</f>
        <v>7915682005</v>
      </c>
      <c r="X20" s="101">
        <f>X16-X19</f>
        <v>0</v>
      </c>
      <c r="Y20" s="101">
        <f>Y16-Y19</f>
        <v>-0.0923728942871094</v>
      </c>
      <c r="Z20" s="101"/>
    </row>
    <row r="21" customFormat="1" ht="13.2" spans="22:26">
      <c r="V21" s="101"/>
      <c r="W21" s="101"/>
      <c r="X21" s="101"/>
      <c r="Y21" s="101"/>
      <c r="Z21" s="101"/>
    </row>
    <row r="22" ht="13.2" spans="1:26">
      <c r="A22" t="s">
        <v>698</v>
      </c>
      <c r="B22" t="s">
        <v>11931</v>
      </c>
      <c r="V22" s="101"/>
      <c r="W22" s="101"/>
      <c r="X22" s="101"/>
      <c r="Y22" s="101"/>
      <c r="Z22" s="101"/>
    </row>
    <row r="23" ht="13.2" spans="2:10">
      <c r="B23" s="2542" t="s">
        <v>142</v>
      </c>
      <c r="C23" t="s">
        <v>11932</v>
      </c>
      <c r="G23" s="2700" t="s">
        <v>11933</v>
      </c>
      <c r="J23" s="101"/>
    </row>
    <row r="24" ht="13.2" spans="2:10">
      <c r="B24" s="2701"/>
      <c r="C24" t="s">
        <v>11934</v>
      </c>
      <c r="H24" s="2702">
        <v>204</v>
      </c>
      <c r="I24" s="2702"/>
      <c r="J24" s="101"/>
    </row>
    <row r="25" customFormat="1" ht="13.2" spans="2:10">
      <c r="B25" s="2701"/>
      <c r="C25" t="s">
        <v>11935</v>
      </c>
      <c r="H25" s="2702"/>
      <c r="I25" s="2702"/>
      <c r="J25" s="101"/>
    </row>
    <row r="26" ht="13.2" spans="2:10">
      <c r="B26" s="2701" t="s">
        <v>148</v>
      </c>
      <c r="C26" t="s">
        <v>11936</v>
      </c>
      <c r="G26" s="2700" t="s">
        <v>11937</v>
      </c>
      <c r="H26" s="2702">
        <v>59</v>
      </c>
      <c r="I26" s="2702"/>
      <c r="J26" s="101"/>
    </row>
    <row r="27" ht="13.2" spans="2:10">
      <c r="B27" s="101"/>
      <c r="C27" t="s">
        <v>11938</v>
      </c>
      <c r="H27" s="2702"/>
      <c r="I27" s="2702"/>
      <c r="J27" s="101"/>
    </row>
    <row r="28" ht="13.2" spans="2:10">
      <c r="B28" s="2701" t="s">
        <v>410</v>
      </c>
      <c r="C28" t="s">
        <v>11939</v>
      </c>
      <c r="G28" s="2700" t="s">
        <v>11937</v>
      </c>
      <c r="H28" s="2702">
        <v>225</v>
      </c>
      <c r="I28" s="2702"/>
      <c r="J28" s="101"/>
    </row>
    <row r="29" ht="13.2" spans="2:10">
      <c r="B29" s="101"/>
      <c r="C29" t="s">
        <v>11940</v>
      </c>
      <c r="H29" s="2703"/>
      <c r="I29" s="2712"/>
      <c r="J29" s="101"/>
    </row>
    <row r="30" customFormat="1" ht="13.2" spans="2:10">
      <c r="B30" s="101"/>
      <c r="C30" t="s">
        <v>11941</v>
      </c>
      <c r="H30" s="2704">
        <f>SUM(H24:H28)</f>
        <v>488</v>
      </c>
      <c r="I30" s="2712"/>
      <c r="J30" s="101"/>
    </row>
    <row r="31" customFormat="1" ht="13.2" spans="2:10">
      <c r="B31" s="101"/>
      <c r="H31" s="2704"/>
      <c r="I31" s="2712"/>
      <c r="J31" s="101"/>
    </row>
    <row r="32" customFormat="1" ht="13.2" spans="2:10">
      <c r="B32" s="101" t="s">
        <v>11942</v>
      </c>
      <c r="H32" s="2704"/>
      <c r="I32" s="2712"/>
      <c r="J32" s="101"/>
    </row>
    <row r="33" customFormat="1" ht="13.2" spans="2:10">
      <c r="B33" s="101" t="s">
        <v>11943</v>
      </c>
      <c r="H33" s="2702"/>
      <c r="I33" s="2712"/>
      <c r="J33" s="101"/>
    </row>
    <row r="34" ht="13.2" spans="9:10">
      <c r="I34" s="2702"/>
      <c r="J34" s="101"/>
    </row>
    <row r="35" ht="13.2" spans="9:10">
      <c r="I35" s="101"/>
      <c r="J35" s="101"/>
    </row>
    <row r="36" ht="13.2" spans="1:16">
      <c r="A36" t="s">
        <v>11926</v>
      </c>
      <c r="B36" t="s">
        <v>11944</v>
      </c>
      <c r="I36" s="101"/>
      <c r="J36" s="101"/>
      <c r="P36" t="s">
        <v>11945</v>
      </c>
    </row>
    <row r="37" customFormat="1" ht="13.2" spans="2:10">
      <c r="B37" t="s">
        <v>142</v>
      </c>
      <c r="C37" t="s">
        <v>11946</v>
      </c>
      <c r="I37" s="101"/>
      <c r="J37" s="101"/>
    </row>
    <row r="38" customFormat="1" ht="13.2" spans="3:10">
      <c r="C38" t="s">
        <v>11947</v>
      </c>
      <c r="I38" s="101"/>
      <c r="J38" s="101"/>
    </row>
    <row r="39" customFormat="1" ht="13.2" spans="9:10">
      <c r="I39" s="101"/>
      <c r="J39" s="101"/>
    </row>
    <row r="40" customFormat="1" ht="13.2" spans="2:10">
      <c r="B40" s="101" t="s">
        <v>11942</v>
      </c>
      <c r="I40" s="101"/>
      <c r="J40" s="101"/>
    </row>
    <row r="41" ht="13.2" spans="2:10">
      <c r="B41" t="s">
        <v>11948</v>
      </c>
      <c r="I41" s="101"/>
      <c r="J41" s="101"/>
    </row>
    <row r="42" ht="13.2" spans="1:10">
      <c r="A42" s="159"/>
      <c r="B42" s="159"/>
      <c r="C42" s="2107"/>
      <c r="D42" s="159"/>
      <c r="E42" s="2705"/>
      <c r="F42" s="159"/>
      <c r="G42" s="159"/>
      <c r="I42" s="101"/>
      <c r="J42" s="101"/>
    </row>
    <row r="43" ht="13.2" spans="1:10">
      <c r="A43" s="159"/>
      <c r="B43" s="159"/>
      <c r="C43" s="2107"/>
      <c r="D43" s="159"/>
      <c r="E43" s="2705"/>
      <c r="F43" s="159"/>
      <c r="G43" s="159"/>
      <c r="J43" s="101"/>
    </row>
    <row r="44" ht="13.2" spans="1:10">
      <c r="A44" s="159"/>
      <c r="B44" s="159"/>
      <c r="C44" s="2107"/>
      <c r="D44" s="159"/>
      <c r="E44" s="2705"/>
      <c r="F44" s="159"/>
      <c r="G44" s="159"/>
      <c r="I44" s="101"/>
      <c r="J44" s="101"/>
    </row>
    <row r="45" spans="1:7">
      <c r="A45" s="159"/>
      <c r="B45" s="159"/>
      <c r="C45" s="2107"/>
      <c r="D45" s="159"/>
      <c r="E45" s="2705"/>
      <c r="F45" s="159"/>
      <c r="G45" s="159"/>
    </row>
    <row r="46" spans="1:7">
      <c r="A46" s="159"/>
      <c r="B46" s="159"/>
      <c r="C46" s="2107"/>
      <c r="D46" s="159"/>
      <c r="E46" s="2705"/>
      <c r="F46" s="159"/>
      <c r="G46" s="159"/>
    </row>
    <row r="47" spans="1:7">
      <c r="A47" s="159"/>
      <c r="B47" s="159"/>
      <c r="C47" s="2107"/>
      <c r="D47" s="159"/>
      <c r="E47" s="2705"/>
      <c r="F47" s="159"/>
      <c r="G47" s="159"/>
    </row>
    <row r="48" spans="1:7">
      <c r="A48" s="159"/>
      <c r="B48" s="159"/>
      <c r="C48" s="2706"/>
      <c r="D48" s="2706"/>
      <c r="E48" s="2705"/>
      <c r="F48" s="159"/>
      <c r="G48" s="159"/>
    </row>
    <row r="49" spans="1:7">
      <c r="A49" s="159"/>
      <c r="B49" s="159"/>
      <c r="C49" s="2706"/>
      <c r="D49" s="2706"/>
      <c r="E49" s="2705"/>
      <c r="F49" s="159"/>
      <c r="G49" s="159"/>
    </row>
    <row r="50" spans="1:7">
      <c r="A50" s="159"/>
      <c r="B50" s="159"/>
      <c r="C50" s="159"/>
      <c r="D50" s="159"/>
      <c r="E50" s="159"/>
      <c r="F50" s="159"/>
      <c r="G50" s="159"/>
    </row>
    <row r="51" spans="1:7">
      <c r="A51" s="159"/>
      <c r="B51" s="159"/>
      <c r="C51" s="159"/>
      <c r="D51" s="159"/>
      <c r="E51" s="159"/>
      <c r="F51" s="159"/>
      <c r="G51" s="159"/>
    </row>
    <row r="52" spans="1:7">
      <c r="A52" s="159"/>
      <c r="B52" s="159"/>
      <c r="C52" s="159"/>
      <c r="D52" s="159"/>
      <c r="E52" s="159"/>
      <c r="F52" s="159"/>
      <c r="G52" s="159"/>
    </row>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sheetData>
  <mergeCells count="5">
    <mergeCell ref="T9:AA9"/>
    <mergeCell ref="G10:H10"/>
    <mergeCell ref="P10:R10"/>
    <mergeCell ref="T10:U10"/>
    <mergeCell ref="V10:W10"/>
  </mergeCells>
  <pageMargins left="0.708661417322835" right="0.708661417322835" top="0.748031496062992" bottom="0.354330708661417" header="0.31496062992126" footer="0.31496062992126"/>
  <pageSetup paperSize="9" scale="80" orientation="landscape"/>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2"/>
  <dimension ref="B1:IW292"/>
  <sheetViews>
    <sheetView showGridLines="0" zoomScale="151" zoomScaleNormal="151" workbookViewId="0">
      <pane xSplit="3" ySplit="10" topLeftCell="H11" activePane="bottomRight" state="frozen"/>
      <selection/>
      <selection pane="topRight"/>
      <selection pane="bottomLeft"/>
      <selection pane="bottomRight" activeCell="N28" sqref="N28"/>
    </sheetView>
  </sheetViews>
  <sheetFormatPr defaultColWidth="9" defaultRowHeight="11.4"/>
  <cols>
    <col min="1" max="1" width="1.34375" customWidth="1"/>
    <col min="2" max="2" width="7.04166666666667" customWidth="1"/>
    <col min="3" max="3" width="39.1041666666667" style="2623" customWidth="1"/>
    <col min="4" max="4" width="3.44791666666667" style="2542" customWidth="1"/>
    <col min="5" max="5" width="7.1875" style="724" customWidth="1"/>
    <col min="6" max="6" width="11.8333333333333" customWidth="1"/>
    <col min="7" max="7" width="5.84375" customWidth="1"/>
    <col min="8" max="8" width="4.34375" customWidth="1"/>
    <col min="9" max="9" width="15.4270833333333" customWidth="1"/>
    <col min="10" max="10" width="13.9375" customWidth="1"/>
    <col min="11" max="11" width="15.4270833333333" customWidth="1"/>
    <col min="12" max="12" width="15.7291666666667" customWidth="1"/>
    <col min="13" max="13" width="13.78125" customWidth="1"/>
    <col min="14" max="14" width="13.78125" customWidth="1"/>
    <col min="15" max="15" width="13.3333333333333" customWidth="1"/>
    <col min="16" max="16" width="13.9375" customWidth="1"/>
    <col min="17" max="17" width="10.3333333333333" hidden="1" customWidth="1" outlineLevel="2"/>
    <col min="18" max="18" width="11.8333333333333" hidden="1" customWidth="1" outlineLevel="2"/>
    <col min="19" max="19" width="11.2395833333333" hidden="1" customWidth="1" outlineLevel="2"/>
    <col min="20" max="20" width="1.94791666666667" customWidth="1" collapsed="1"/>
    <col min="21" max="21" width="10.0416666666667" customWidth="1"/>
    <col min="22" max="22" width="10.78125" customWidth="1"/>
    <col min="23" max="23" width="14.0833333333333" customWidth="1"/>
    <col min="24" max="24" width="13.9375" customWidth="1"/>
    <col min="25" max="25" width="13.6354166666667" customWidth="1"/>
    <col min="26" max="26" width="15.7291666666667" customWidth="1"/>
    <col min="27" max="27" width="14.53125" customWidth="1"/>
    <col min="28" max="28" width="16.3333333333333" customWidth="1"/>
  </cols>
  <sheetData>
    <row r="1" spans="9:9">
      <c r="I1" s="164"/>
    </row>
    <row r="2" ht="21" spans="2:16">
      <c r="B2" s="1499" t="str">
        <f>UV!B2</f>
        <v>KAP LIASTA NIRWAN SYAFRUDIN &amp; REKAN</v>
      </c>
      <c r="C2" s="731"/>
      <c r="D2" s="2624"/>
      <c r="E2" s="2624"/>
      <c r="F2" s="731"/>
      <c r="G2" s="731"/>
      <c r="H2" s="731"/>
      <c r="I2" s="1757"/>
      <c r="J2" s="1758"/>
      <c r="K2" s="1758"/>
      <c r="L2" s="746"/>
      <c r="M2" s="731" t="s">
        <v>481</v>
      </c>
      <c r="N2" s="731"/>
      <c r="O2" s="765" t="s">
        <v>482</v>
      </c>
      <c r="P2" s="766" t="s">
        <v>483</v>
      </c>
    </row>
    <row r="3" ht="15.6" spans="2:16">
      <c r="B3" s="1500"/>
      <c r="C3" s="2625"/>
      <c r="D3" s="2626"/>
      <c r="E3" s="2627"/>
      <c r="F3" s="1504"/>
      <c r="G3" s="1505"/>
      <c r="H3" s="1505"/>
      <c r="I3" s="2630"/>
      <c r="J3" s="2630"/>
      <c r="K3" s="2630"/>
      <c r="L3" s="1586"/>
      <c r="M3" s="738" t="s">
        <v>484</v>
      </c>
      <c r="N3" s="2684"/>
      <c r="O3" s="767">
        <v>45193</v>
      </c>
      <c r="P3" s="768" t="s">
        <v>11860</v>
      </c>
    </row>
    <row r="4" ht="13.2" spans="2:16">
      <c r="B4" s="1546" t="s">
        <v>622</v>
      </c>
      <c r="C4" s="2628" t="str">
        <f>+'UV1'!C4</f>
        <v>PT INTAN GIRI ABADI</v>
      </c>
      <c r="D4" s="2629"/>
      <c r="E4" s="2624"/>
      <c r="F4" s="1548"/>
      <c r="G4" s="1548"/>
      <c r="H4" s="1548"/>
      <c r="I4" s="1758"/>
      <c r="J4" s="1758"/>
      <c r="K4" s="1758"/>
      <c r="L4" s="746"/>
      <c r="M4" s="742" t="s">
        <v>487</v>
      </c>
      <c r="N4" s="742"/>
      <c r="O4" s="769" t="s">
        <v>482</v>
      </c>
      <c r="P4" s="770" t="s">
        <v>488</v>
      </c>
    </row>
    <row r="5" ht="13.2" spans="2:16">
      <c r="B5" s="775"/>
      <c r="C5" s="2630"/>
      <c r="D5" s="2631"/>
      <c r="E5" s="2632"/>
      <c r="F5" s="753"/>
      <c r="G5" s="753"/>
      <c r="H5" s="753"/>
      <c r="I5" s="1759"/>
      <c r="J5" s="1759"/>
      <c r="K5" s="1759"/>
      <c r="L5" s="1592"/>
      <c r="M5" s="1592"/>
      <c r="N5" s="1592"/>
      <c r="O5" s="771"/>
      <c r="P5" s="772">
        <v>2</v>
      </c>
    </row>
    <row r="6" spans="2:16">
      <c r="B6" s="773"/>
      <c r="C6" s="731"/>
      <c r="D6" s="2633"/>
      <c r="E6" s="2624"/>
      <c r="F6" s="742"/>
      <c r="G6" s="742"/>
      <c r="H6" s="742"/>
      <c r="I6" s="1760"/>
      <c r="J6" s="1760"/>
      <c r="K6" s="1760"/>
      <c r="L6" s="770"/>
      <c r="M6" s="742"/>
      <c r="N6" s="742"/>
      <c r="O6" s="773"/>
      <c r="P6" s="774" t="s">
        <v>491</v>
      </c>
    </row>
    <row r="7" ht="12" spans="2:16">
      <c r="B7" s="1549" t="s">
        <v>11901</v>
      </c>
      <c r="C7" s="2634" t="s">
        <v>1406</v>
      </c>
      <c r="D7" s="2631"/>
      <c r="E7" s="2632"/>
      <c r="F7" s="753"/>
      <c r="G7" s="753"/>
      <c r="H7" s="753"/>
      <c r="I7" s="753"/>
      <c r="J7" s="753"/>
      <c r="K7" s="753"/>
      <c r="L7" s="1599"/>
      <c r="M7" s="753"/>
      <c r="N7" s="753"/>
      <c r="O7" s="775"/>
      <c r="P7" s="776">
        <v>44926</v>
      </c>
    </row>
    <row r="8" s="64" customFormat="1" spans="3:28">
      <c r="C8" s="2635"/>
      <c r="D8" s="2636"/>
      <c r="E8" s="724"/>
      <c r="J8" s="1350"/>
      <c r="K8" s="1350"/>
      <c r="U8" s="2653" t="s">
        <v>11902</v>
      </c>
      <c r="V8" s="2654"/>
      <c r="W8" s="2654"/>
      <c r="X8" s="2654"/>
      <c r="Y8" s="2654"/>
      <c r="Z8" s="2654"/>
      <c r="AA8" s="2654"/>
      <c r="AB8" s="2658"/>
    </row>
    <row r="9" spans="2:257">
      <c r="B9" s="2637" t="s">
        <v>26</v>
      </c>
      <c r="C9" s="2638" t="s">
        <v>11903</v>
      </c>
      <c r="D9" s="2639" t="s">
        <v>11949</v>
      </c>
      <c r="E9" s="2638" t="s">
        <v>38</v>
      </c>
      <c r="F9" s="2639" t="s">
        <v>157</v>
      </c>
      <c r="G9" s="2637" t="s">
        <v>11905</v>
      </c>
      <c r="H9" s="2640"/>
      <c r="I9" s="2639" t="s">
        <v>11906</v>
      </c>
      <c r="J9" s="2638" t="s">
        <v>11907</v>
      </c>
      <c r="K9" s="2639" t="s">
        <v>11906</v>
      </c>
      <c r="L9" s="2638" t="s">
        <v>11908</v>
      </c>
      <c r="M9" s="2638" t="s">
        <v>11909</v>
      </c>
      <c r="N9" s="2639" t="s">
        <v>11882</v>
      </c>
      <c r="O9" s="2638" t="s">
        <v>11908</v>
      </c>
      <c r="P9" s="2640" t="s">
        <v>11910</v>
      </c>
      <c r="Q9" t="s">
        <v>11911</v>
      </c>
      <c r="T9" s="64"/>
      <c r="U9" s="2655" t="s">
        <v>11912</v>
      </c>
      <c r="V9" s="2656"/>
      <c r="W9" s="2655" t="s">
        <v>11886</v>
      </c>
      <c r="X9" s="2656"/>
      <c r="Y9" s="2694" t="s">
        <v>874</v>
      </c>
      <c r="Z9" s="2638" t="s">
        <v>11910</v>
      </c>
      <c r="AA9" s="2694" t="s">
        <v>146</v>
      </c>
      <c r="AB9" s="2638" t="s">
        <v>146</v>
      </c>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BX9" s="64"/>
      <c r="BY9" s="64"/>
      <c r="BZ9" s="64"/>
      <c r="CA9" s="64"/>
      <c r="CB9" s="64"/>
      <c r="CC9" s="64"/>
      <c r="CD9" s="64"/>
      <c r="CE9" s="64"/>
      <c r="CF9" s="64"/>
      <c r="CG9" s="64"/>
      <c r="CH9" s="64"/>
      <c r="CI9" s="64"/>
      <c r="CJ9" s="64"/>
      <c r="CK9" s="64"/>
      <c r="CL9" s="64"/>
      <c r="CM9" s="64"/>
      <c r="CN9" s="64"/>
      <c r="CO9" s="64"/>
      <c r="CP9" s="64"/>
      <c r="CQ9" s="64"/>
      <c r="CR9" s="64"/>
      <c r="CS9" s="64"/>
      <c r="CT9" s="64"/>
      <c r="CU9" s="64"/>
      <c r="CV9" s="64"/>
      <c r="CW9" s="64"/>
      <c r="CX9" s="64"/>
      <c r="CY9" s="64"/>
      <c r="CZ9" s="64"/>
      <c r="DA9" s="64"/>
      <c r="DB9" s="64"/>
      <c r="DC9" s="64"/>
      <c r="DD9" s="64"/>
      <c r="DE9" s="64"/>
      <c r="DF9" s="64"/>
      <c r="DG9" s="64"/>
      <c r="DH9" s="64"/>
      <c r="DI9" s="64"/>
      <c r="DJ9" s="64"/>
      <c r="DK9" s="64"/>
      <c r="DL9" s="64"/>
      <c r="DM9" s="64"/>
      <c r="DN9" s="64"/>
      <c r="DO9" s="64"/>
      <c r="DP9" s="64"/>
      <c r="DQ9" s="64"/>
      <c r="DR9" s="64"/>
      <c r="DS9" s="64"/>
      <c r="DT9" s="64"/>
      <c r="DU9" s="64"/>
      <c r="DV9" s="64"/>
      <c r="DW9" s="64"/>
      <c r="DX9" s="64"/>
      <c r="DY9" s="64"/>
      <c r="DZ9" s="64"/>
      <c r="EA9" s="64"/>
      <c r="EB9" s="64"/>
      <c r="EC9" s="64"/>
      <c r="ED9" s="64"/>
      <c r="EE9" s="64"/>
      <c r="EF9" s="64"/>
      <c r="EG9" s="64"/>
      <c r="EH9" s="64"/>
      <c r="EI9" s="64"/>
      <c r="EJ9" s="64"/>
      <c r="EK9" s="64"/>
      <c r="EL9" s="64"/>
      <c r="EM9" s="64"/>
      <c r="EN9" s="64"/>
      <c r="EO9" s="64"/>
      <c r="EP9" s="64"/>
      <c r="EQ9" s="64"/>
      <c r="ER9" s="64"/>
      <c r="ES9" s="64"/>
      <c r="ET9" s="64"/>
      <c r="EU9" s="64"/>
      <c r="EV9" s="64"/>
      <c r="EW9" s="64"/>
      <c r="EX9" s="64"/>
      <c r="EY9" s="64"/>
      <c r="EZ9" s="64"/>
      <c r="FA9" s="64"/>
      <c r="FB9" s="64"/>
      <c r="FC9" s="64"/>
      <c r="FD9" s="64"/>
      <c r="FE9" s="64"/>
      <c r="FF9" s="64"/>
      <c r="FG9" s="64"/>
      <c r="FH9" s="64"/>
      <c r="FI9" s="64"/>
      <c r="FJ9" s="64"/>
      <c r="FK9" s="64"/>
      <c r="FL9" s="64"/>
      <c r="FM9" s="64"/>
      <c r="FN9" s="64"/>
      <c r="FO9" s="64"/>
      <c r="FP9" s="64"/>
      <c r="FQ9" s="64"/>
      <c r="FR9" s="64"/>
      <c r="FS9" s="64"/>
      <c r="FT9" s="64"/>
      <c r="FU9" s="64"/>
      <c r="FV9" s="64"/>
      <c r="FW9" s="64"/>
      <c r="FX9" s="64"/>
      <c r="FY9" s="64"/>
      <c r="FZ9" s="64"/>
      <c r="GA9" s="64"/>
      <c r="GB9" s="64"/>
      <c r="GC9" s="64"/>
      <c r="GD9" s="64"/>
      <c r="GE9" s="64"/>
      <c r="GF9" s="64"/>
      <c r="GG9" s="64"/>
      <c r="GH9" s="64"/>
      <c r="GI9" s="64"/>
      <c r="GJ9" s="64"/>
      <c r="GK9" s="64"/>
      <c r="GL9" s="64"/>
      <c r="GM9" s="64"/>
      <c r="GN9" s="64"/>
      <c r="GO9" s="64"/>
      <c r="GP9" s="64"/>
      <c r="GQ9" s="64"/>
      <c r="GR9" s="64"/>
      <c r="GS9" s="64"/>
      <c r="GT9" s="64"/>
      <c r="GU9" s="64"/>
      <c r="GV9" s="64"/>
      <c r="GW9" s="64"/>
      <c r="GX9" s="64"/>
      <c r="GY9" s="64"/>
      <c r="GZ9" s="64"/>
      <c r="HA9" s="64"/>
      <c r="HB9" s="64"/>
      <c r="HC9" s="64"/>
      <c r="HD9" s="64"/>
      <c r="HE9" s="64"/>
      <c r="HF9" s="64"/>
      <c r="HG9" s="64"/>
      <c r="HH9" s="64"/>
      <c r="HI9" s="64"/>
      <c r="HJ9" s="64"/>
      <c r="HK9" s="64"/>
      <c r="HL9" s="64"/>
      <c r="HM9" s="64"/>
      <c r="HN9" s="64"/>
      <c r="HO9" s="64"/>
      <c r="HP9" s="64"/>
      <c r="HQ9" s="64"/>
      <c r="HR9" s="64"/>
      <c r="HS9" s="64"/>
      <c r="HT9" s="64"/>
      <c r="HU9" s="64"/>
      <c r="HV9" s="64"/>
      <c r="HW9" s="64"/>
      <c r="HX9" s="64"/>
      <c r="HY9" s="64"/>
      <c r="HZ9" s="64"/>
      <c r="IA9" s="64"/>
      <c r="IB9" s="64"/>
      <c r="IC9" s="64"/>
      <c r="ID9" s="64"/>
      <c r="IE9" s="64"/>
      <c r="IF9" s="64"/>
      <c r="IG9" s="64"/>
      <c r="IH9" s="64"/>
      <c r="II9" s="64"/>
      <c r="IJ9" s="64"/>
      <c r="IK9" s="64"/>
      <c r="IL9" s="64"/>
      <c r="IM9" s="64"/>
      <c r="IN9" s="64"/>
      <c r="IO9" s="64"/>
      <c r="IP9" s="64"/>
      <c r="IQ9" s="64"/>
      <c r="IR9" s="64"/>
      <c r="IS9" s="64"/>
      <c r="IT9" s="64"/>
      <c r="IU9" s="64"/>
      <c r="IV9" s="64"/>
      <c r="IW9" s="64"/>
    </row>
    <row r="10" spans="2:257">
      <c r="B10" s="643"/>
      <c r="C10" s="2641"/>
      <c r="D10" s="2642"/>
      <c r="E10" s="2641"/>
      <c r="F10" s="2642" t="s">
        <v>11913</v>
      </c>
      <c r="G10" s="643" t="s">
        <v>11796</v>
      </c>
      <c r="H10" s="2643" t="s">
        <v>11914</v>
      </c>
      <c r="I10" s="2642" t="str">
        <f>+'UV1'!I11</f>
        <v>Awal 2022</v>
      </c>
      <c r="J10" s="2641" t="s">
        <v>11916</v>
      </c>
      <c r="K10" s="2642" t="str">
        <f>+'UV1'!K11</f>
        <v>Akhir 2022</v>
      </c>
      <c r="L10" s="2641">
        <v>44561</v>
      </c>
      <c r="M10" s="2641">
        <v>44926</v>
      </c>
      <c r="N10" s="5134" t="s">
        <v>11950</v>
      </c>
      <c r="O10" s="2641" t="s">
        <v>11918</v>
      </c>
      <c r="P10" s="2643">
        <v>44926</v>
      </c>
      <c r="Q10" t="s">
        <v>11919</v>
      </c>
      <c r="R10" t="s">
        <v>11951</v>
      </c>
      <c r="S10" t="s">
        <v>11921</v>
      </c>
      <c r="T10" s="64"/>
      <c r="U10" s="2691">
        <v>44561</v>
      </c>
      <c r="V10" s="2692">
        <v>44926</v>
      </c>
      <c r="W10" s="2693">
        <v>44561</v>
      </c>
      <c r="X10" s="2692">
        <v>44926</v>
      </c>
      <c r="Y10" s="2693">
        <v>44926</v>
      </c>
      <c r="Z10" s="2641">
        <v>44926</v>
      </c>
      <c r="AA10" s="2693" t="s">
        <v>323</v>
      </c>
      <c r="AB10" s="2641" t="s">
        <v>11882</v>
      </c>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BX10" s="64"/>
      <c r="BY10" s="64"/>
      <c r="BZ10" s="64"/>
      <c r="CA10" s="64"/>
      <c r="CB10" s="64"/>
      <c r="CC10" s="64"/>
      <c r="CD10" s="64"/>
      <c r="CE10" s="64"/>
      <c r="CF10" s="64"/>
      <c r="CG10" s="64"/>
      <c r="CH10" s="64"/>
      <c r="CI10" s="64"/>
      <c r="CJ10" s="64"/>
      <c r="CK10" s="64"/>
      <c r="CL10" s="64"/>
      <c r="CM10" s="64"/>
      <c r="CN10" s="64"/>
      <c r="CO10" s="64"/>
      <c r="CP10" s="64"/>
      <c r="CQ10" s="64"/>
      <c r="CR10" s="64"/>
      <c r="CS10" s="64"/>
      <c r="CT10" s="64"/>
      <c r="CU10" s="64"/>
      <c r="CV10" s="64"/>
      <c r="CW10" s="64"/>
      <c r="CX10" s="64"/>
      <c r="CY10" s="64"/>
      <c r="CZ10" s="64"/>
      <c r="DA10" s="64"/>
      <c r="DB10" s="64"/>
      <c r="DC10" s="64"/>
      <c r="DD10" s="64"/>
      <c r="DE10" s="64"/>
      <c r="DF10" s="64"/>
      <c r="DG10" s="64"/>
      <c r="DH10" s="64"/>
      <c r="DI10" s="64"/>
      <c r="DJ10" s="64"/>
      <c r="DK10" s="64"/>
      <c r="DL10" s="64"/>
      <c r="DM10" s="64"/>
      <c r="DN10" s="64"/>
      <c r="DO10" s="64"/>
      <c r="DP10" s="64"/>
      <c r="DQ10" s="64"/>
      <c r="DR10" s="64"/>
      <c r="DS10" s="64"/>
      <c r="DT10" s="64"/>
      <c r="DU10" s="64"/>
      <c r="DV10" s="64"/>
      <c r="DW10" s="64"/>
      <c r="DX10" s="64"/>
      <c r="DY10" s="64"/>
      <c r="DZ10" s="64"/>
      <c r="EA10" s="64"/>
      <c r="EB10" s="64"/>
      <c r="EC10" s="64"/>
      <c r="ED10" s="64"/>
      <c r="EE10" s="64"/>
      <c r="EF10" s="64"/>
      <c r="EG10" s="64"/>
      <c r="EH10" s="64"/>
      <c r="EI10" s="64"/>
      <c r="EJ10" s="64"/>
      <c r="EK10" s="64"/>
      <c r="EL10" s="64"/>
      <c r="EM10" s="64"/>
      <c r="EN10" s="64"/>
      <c r="EO10" s="64"/>
      <c r="EP10" s="64"/>
      <c r="EQ10" s="64"/>
      <c r="ER10" s="64"/>
      <c r="ES10" s="64"/>
      <c r="ET10" s="64"/>
      <c r="EU10" s="64"/>
      <c r="EV10" s="64"/>
      <c r="EW10" s="64"/>
      <c r="EX10" s="64"/>
      <c r="EY10" s="64"/>
      <c r="EZ10" s="64"/>
      <c r="FA10" s="64"/>
      <c r="FB10" s="64"/>
      <c r="FC10" s="64"/>
      <c r="FD10" s="64"/>
      <c r="FE10" s="64"/>
      <c r="FF10" s="64"/>
      <c r="FG10" s="64"/>
      <c r="FH10" s="64"/>
      <c r="FI10" s="64"/>
      <c r="FJ10" s="64"/>
      <c r="FK10" s="64"/>
      <c r="FL10" s="64"/>
      <c r="FM10" s="64"/>
      <c r="FN10" s="64"/>
      <c r="FO10" s="64"/>
      <c r="FP10" s="64"/>
      <c r="FQ10" s="64"/>
      <c r="FR10" s="64"/>
      <c r="FS10" s="64"/>
      <c r="FT10" s="64"/>
      <c r="FU10" s="64"/>
      <c r="FV10" s="64"/>
      <c r="FW10" s="64"/>
      <c r="FX10" s="64"/>
      <c r="FY10" s="64"/>
      <c r="FZ10" s="64"/>
      <c r="GA10" s="64"/>
      <c r="GB10" s="64"/>
      <c r="GC10" s="64"/>
      <c r="GD10" s="64"/>
      <c r="GE10" s="64"/>
      <c r="GF10" s="64"/>
      <c r="GG10" s="64"/>
      <c r="GH10" s="64"/>
      <c r="GI10" s="64"/>
      <c r="GJ10" s="64"/>
      <c r="GK10" s="64"/>
      <c r="GL10" s="64"/>
      <c r="GM10" s="64"/>
      <c r="GN10" s="64"/>
      <c r="GO10" s="64"/>
      <c r="GP10" s="64"/>
      <c r="GQ10" s="64"/>
      <c r="GR10" s="64"/>
      <c r="GS10" s="64"/>
      <c r="GT10" s="64"/>
      <c r="GU10" s="64"/>
      <c r="GV10" s="64"/>
      <c r="GW10" s="64"/>
      <c r="GX10" s="64"/>
      <c r="GY10" s="64"/>
      <c r="GZ10" s="64"/>
      <c r="HA10" s="64"/>
      <c r="HB10" s="64"/>
      <c r="HC10" s="64"/>
      <c r="HD10" s="64"/>
      <c r="HE10" s="64"/>
      <c r="HF10" s="64"/>
      <c r="HG10" s="64"/>
      <c r="HH10" s="64"/>
      <c r="HI10" s="64"/>
      <c r="HJ10" s="64"/>
      <c r="HK10" s="64"/>
      <c r="HL10" s="64"/>
      <c r="HM10" s="64"/>
      <c r="HN10" s="64"/>
      <c r="HO10" s="64"/>
      <c r="HP10" s="64"/>
      <c r="HQ10" s="64"/>
      <c r="HR10" s="64"/>
      <c r="HS10" s="64"/>
      <c r="HT10" s="64"/>
      <c r="HU10" s="64"/>
      <c r="HV10" s="64"/>
      <c r="HW10" s="64"/>
      <c r="HX10" s="64"/>
      <c r="HY10" s="64"/>
      <c r="HZ10" s="64"/>
      <c r="IA10" s="64"/>
      <c r="IB10" s="64"/>
      <c r="IC10" s="64"/>
      <c r="ID10" s="64"/>
      <c r="IE10" s="64"/>
      <c r="IF10" s="64"/>
      <c r="IG10" s="64"/>
      <c r="IH10" s="64"/>
      <c r="II10" s="64"/>
      <c r="IJ10" s="64"/>
      <c r="IK10" s="64"/>
      <c r="IL10" s="64"/>
      <c r="IM10" s="64"/>
      <c r="IN10" s="64"/>
      <c r="IO10" s="64"/>
      <c r="IP10" s="64"/>
      <c r="IQ10" s="64"/>
      <c r="IR10" s="64"/>
      <c r="IS10" s="64"/>
      <c r="IT10" s="64"/>
      <c r="IU10" s="64"/>
      <c r="IV10" s="64"/>
      <c r="IW10" s="64"/>
    </row>
    <row r="11" s="64" customFormat="1" ht="12" spans="2:28">
      <c r="B11" s="2644"/>
      <c r="C11" s="2663" t="s">
        <v>1406</v>
      </c>
      <c r="D11" s="142"/>
      <c r="E11" s="2644"/>
      <c r="F11" s="142"/>
      <c r="G11" s="2665"/>
      <c r="H11" s="2644"/>
      <c r="I11" s="2644"/>
      <c r="J11" s="2644"/>
      <c r="K11"/>
      <c r="L11" s="2644"/>
      <c r="M11" s="2644"/>
      <c r="N11" s="2644"/>
      <c r="O11" s="2644"/>
      <c r="P11"/>
      <c r="Q11"/>
      <c r="R11"/>
      <c r="S11"/>
      <c r="U11" s="1366"/>
      <c r="V11" s="2644"/>
      <c r="W11" s="1366"/>
      <c r="X11" s="2644"/>
      <c r="Y11" s="1366"/>
      <c r="Z11" s="2644"/>
      <c r="AA11" s="1366"/>
      <c r="AB11" s="2644"/>
    </row>
    <row r="12" s="64" customFormat="1" spans="2:28">
      <c r="B12" s="1366">
        <v>1</v>
      </c>
      <c r="C12" s="29" t="s">
        <v>11952</v>
      </c>
      <c r="D12" s="717">
        <v>1</v>
      </c>
      <c r="E12" s="1363">
        <f>100%/G12</f>
        <v>0.05</v>
      </c>
      <c r="F12" s="1374">
        <v>42615</v>
      </c>
      <c r="G12" s="1366">
        <v>20</v>
      </c>
      <c r="H12" s="29">
        <f t="shared" ref="H12:H18" si="0">G12*12</f>
        <v>240</v>
      </c>
      <c r="I12" s="2685">
        <v>284317995.092373</v>
      </c>
      <c r="J12" s="1366">
        <v>0</v>
      </c>
      <c r="K12" s="1366">
        <f t="shared" ref="K12:K18" si="1">I12+J12</f>
        <v>284317995.092373</v>
      </c>
      <c r="L12" s="29">
        <v>85295398.5277118</v>
      </c>
      <c r="M12" s="29">
        <v>14215899.7546186</v>
      </c>
      <c r="N12" s="29"/>
      <c r="O12" s="1366">
        <f>L12+M12</f>
        <v>99511298.2823305</v>
      </c>
      <c r="P12" s="1366">
        <f t="shared" ref="P12:P18" si="2">K12-O12</f>
        <v>184806696.810042</v>
      </c>
      <c r="Q12">
        <f>ROUND(K12*E12/12,0)</f>
        <v>1184658</v>
      </c>
      <c r="R12">
        <f>Q12*0</f>
        <v>0</v>
      </c>
      <c r="S12">
        <f>M12-R12</f>
        <v>14215899.7546186</v>
      </c>
      <c r="U12" s="1366">
        <f>IF(DAY($F12)&lt;=15,((YEAR(U$10)-YEAR($F12))*12+MONTH(U$10)-MONTH($F12))+1,((YEAR(U$10)-YEAR($F12))*12+MONTH(U$10)-MONTH($F12)))</f>
        <v>64</v>
      </c>
      <c r="V12" s="1366">
        <f>IF(DAY($F12)&lt;=15,((YEAR(V$10)-YEAR($F12))*12+MONTH(V$10)-MONTH($F12))+1,((YEAR(V$10)-YEAR($F12))*12+MONTH(V$10)-MONTH($F12)))</f>
        <v>76</v>
      </c>
      <c r="W12" s="29">
        <f t="shared" ref="W12:X18" si="3">ROUND(IF(U12&gt;$H12,$K12,($K12/$H12*U12)),0)</f>
        <v>75818132</v>
      </c>
      <c r="X12" s="29">
        <f t="shared" si="3"/>
        <v>90034032</v>
      </c>
      <c r="Y12" s="29">
        <f t="shared" ref="Y12:Y18" si="4">X12-W12</f>
        <v>14215900</v>
      </c>
      <c r="Z12" s="29">
        <f t="shared" ref="Z12:Z18" si="5">K12-X12</f>
        <v>194283963.092373</v>
      </c>
      <c r="AA12" s="29">
        <f t="shared" ref="AA12:AA18" si="6">+M12-Y12</f>
        <v>-0.245381362736225</v>
      </c>
      <c r="AB12" s="29">
        <f t="shared" ref="AB12:AB18" si="7">+P12-Z12</f>
        <v>-9477266.28233048</v>
      </c>
    </row>
    <row r="13" s="64" customFormat="1" spans="2:28">
      <c r="B13" s="1366">
        <f>B12+1</f>
        <v>2</v>
      </c>
      <c r="C13" s="29" t="s">
        <v>11953</v>
      </c>
      <c r="D13" s="717">
        <v>1</v>
      </c>
      <c r="E13" s="1363">
        <f t="shared" ref="E13:E18" si="8">100%/G13</f>
        <v>0.05</v>
      </c>
      <c r="F13" s="1374">
        <v>43010</v>
      </c>
      <c r="G13" s="1366">
        <v>20</v>
      </c>
      <c r="H13" s="29">
        <f t="shared" si="0"/>
        <v>240</v>
      </c>
      <c r="I13" s="2686">
        <v>256700000</v>
      </c>
      <c r="J13" s="1366">
        <v>0</v>
      </c>
      <c r="K13" s="1366">
        <f t="shared" si="1"/>
        <v>256700000</v>
      </c>
      <c r="L13" s="29">
        <v>54548750</v>
      </c>
      <c r="M13" s="29">
        <v>12835000</v>
      </c>
      <c r="N13" s="29"/>
      <c r="O13" s="1366">
        <f t="shared" ref="O13:O18" si="9">L13+M13</f>
        <v>67383750</v>
      </c>
      <c r="P13" s="1366">
        <f t="shared" si="2"/>
        <v>189316250</v>
      </c>
      <c r="Q13">
        <f>ROUND(K13*E13/12,0)</f>
        <v>1069583</v>
      </c>
      <c r="R13">
        <f>Q13*12</f>
        <v>12834996</v>
      </c>
      <c r="S13">
        <f>M13-R13</f>
        <v>4</v>
      </c>
      <c r="U13" s="1366">
        <f>IF(DAY($F13)&lt;=15,((YEAR(U$10)-YEAR($F13))*12+MONTH(U$10)-MONTH($F13))+1,((YEAR(U$10)-YEAR($F13))*12+MONTH(U$10)-MONTH($F13)))</f>
        <v>51</v>
      </c>
      <c r="V13" s="1366">
        <f t="shared" ref="U13:V15" si="10">IF(DAY($F13)&lt;=15,((YEAR(V$10)-YEAR($F13))*12+MONTH(V$10)-MONTH($F13))+1,((YEAR(V$10)-YEAR($F13))*12+MONTH(V$10)-MONTH($F13)))</f>
        <v>63</v>
      </c>
      <c r="W13" s="29">
        <f t="shared" si="3"/>
        <v>54548750</v>
      </c>
      <c r="X13" s="29">
        <f t="shared" si="3"/>
        <v>67383750</v>
      </c>
      <c r="Y13" s="29">
        <f t="shared" si="4"/>
        <v>12835000</v>
      </c>
      <c r="Z13" s="29">
        <f t="shared" si="5"/>
        <v>189316250</v>
      </c>
      <c r="AA13" s="29">
        <f t="shared" si="6"/>
        <v>0</v>
      </c>
      <c r="AB13" s="29">
        <f t="shared" si="7"/>
        <v>0</v>
      </c>
    </row>
    <row r="14" s="64" customFormat="1" spans="2:28">
      <c r="B14" s="1366">
        <f>B13+1</f>
        <v>3</v>
      </c>
      <c r="C14" s="29" t="s">
        <v>11954</v>
      </c>
      <c r="D14" s="717">
        <v>1</v>
      </c>
      <c r="E14" s="1363">
        <f t="shared" si="8"/>
        <v>0.1667</v>
      </c>
      <c r="F14" s="1374">
        <v>43101</v>
      </c>
      <c r="G14" s="29">
        <v>5.99880023995201</v>
      </c>
      <c r="H14" s="29">
        <f t="shared" si="0"/>
        <v>71.9856028794241</v>
      </c>
      <c r="I14" s="1366">
        <v>1251663380</v>
      </c>
      <c r="J14" s="1366">
        <f>I14</f>
        <v>1251663380</v>
      </c>
      <c r="K14" s="1366">
        <f>+I14-J14</f>
        <v>0</v>
      </c>
      <c r="L14" s="29">
        <v>834609141.784</v>
      </c>
      <c r="M14" s="29">
        <v>208652285.446</v>
      </c>
      <c r="N14" s="29">
        <f>+UV!T26</f>
        <v>1043261427.23</v>
      </c>
      <c r="O14" s="1366">
        <f>L14+M14-N14</f>
        <v>0</v>
      </c>
      <c r="P14" s="1366">
        <f t="shared" si="2"/>
        <v>0</v>
      </c>
      <c r="Q14">
        <f>ROUND(K14*E14/12,0)</f>
        <v>0</v>
      </c>
      <c r="R14">
        <f>Q14*12</f>
        <v>0</v>
      </c>
      <c r="S14">
        <f>M14-R14</f>
        <v>208652285.446</v>
      </c>
      <c r="U14" s="1366">
        <f t="shared" si="10"/>
        <v>48</v>
      </c>
      <c r="V14" s="1366">
        <f t="shared" si="10"/>
        <v>60</v>
      </c>
      <c r="W14" s="29">
        <f t="shared" si="3"/>
        <v>0</v>
      </c>
      <c r="X14" s="29">
        <f t="shared" si="3"/>
        <v>0</v>
      </c>
      <c r="Y14" s="29">
        <f t="shared" si="4"/>
        <v>0</v>
      </c>
      <c r="Z14" s="29">
        <f t="shared" si="5"/>
        <v>0</v>
      </c>
      <c r="AA14" s="29">
        <f t="shared" si="6"/>
        <v>208652285.446</v>
      </c>
      <c r="AB14" s="29">
        <f t="shared" si="7"/>
        <v>0</v>
      </c>
    </row>
    <row r="15" s="64" customFormat="1" spans="2:28">
      <c r="B15" s="1366">
        <f>B14+1</f>
        <v>4</v>
      </c>
      <c r="C15" s="29" t="s">
        <v>11955</v>
      </c>
      <c r="D15" s="717">
        <v>1</v>
      </c>
      <c r="E15" s="1363">
        <f t="shared" si="8"/>
        <v>0.05</v>
      </c>
      <c r="F15" s="1374">
        <v>43308</v>
      </c>
      <c r="G15" s="1366">
        <v>20</v>
      </c>
      <c r="H15" s="29">
        <f t="shared" si="0"/>
        <v>240</v>
      </c>
      <c r="I15" s="2685">
        <v>35390000</v>
      </c>
      <c r="J15" s="1366">
        <v>0</v>
      </c>
      <c r="K15" s="1366">
        <f t="shared" si="1"/>
        <v>35390000</v>
      </c>
      <c r="L15" s="29">
        <v>6193250</v>
      </c>
      <c r="M15" s="29">
        <v>1769500</v>
      </c>
      <c r="N15" s="29"/>
      <c r="O15" s="1366">
        <f t="shared" si="9"/>
        <v>7962750</v>
      </c>
      <c r="P15" s="1366">
        <f t="shared" si="2"/>
        <v>27427250</v>
      </c>
      <c r="Q15">
        <f>ROUND(K15*E15/12,0)</f>
        <v>147458</v>
      </c>
      <c r="R15">
        <f>Q15*12</f>
        <v>1769496</v>
      </c>
      <c r="S15">
        <f>M15-R15</f>
        <v>4</v>
      </c>
      <c r="U15" s="1366">
        <f t="shared" si="10"/>
        <v>41</v>
      </c>
      <c r="V15" s="1366">
        <f t="shared" si="10"/>
        <v>53</v>
      </c>
      <c r="W15" s="29">
        <f t="shared" si="3"/>
        <v>6045792</v>
      </c>
      <c r="X15" s="29">
        <f t="shared" si="3"/>
        <v>7815292</v>
      </c>
      <c r="Y15" s="29">
        <f t="shared" si="4"/>
        <v>1769500</v>
      </c>
      <c r="Z15" s="29">
        <f t="shared" si="5"/>
        <v>27574708</v>
      </c>
      <c r="AA15" s="29">
        <f t="shared" si="6"/>
        <v>0</v>
      </c>
      <c r="AB15" s="29">
        <f t="shared" si="7"/>
        <v>-147458</v>
      </c>
    </row>
    <row r="16" s="64" customFormat="1" spans="2:28">
      <c r="B16" s="1366">
        <f>B15+1</f>
        <v>5</v>
      </c>
      <c r="C16" s="29" t="s">
        <v>11956</v>
      </c>
      <c r="D16" s="717">
        <v>1</v>
      </c>
      <c r="E16" s="1363">
        <f t="shared" si="8"/>
        <v>0.05</v>
      </c>
      <c r="F16" s="1374">
        <v>43448</v>
      </c>
      <c r="G16" s="1366">
        <v>20</v>
      </c>
      <c r="H16" s="29">
        <f t="shared" si="0"/>
        <v>240</v>
      </c>
      <c r="I16" s="2686">
        <v>63428050</v>
      </c>
      <c r="J16" s="1366">
        <v>0</v>
      </c>
      <c r="K16" s="1366">
        <f t="shared" si="1"/>
        <v>63428050</v>
      </c>
      <c r="L16" s="29">
        <v>9778491.04166667</v>
      </c>
      <c r="M16" s="29">
        <v>3171402.5</v>
      </c>
      <c r="N16" s="29"/>
      <c r="O16" s="1366">
        <f t="shared" si="9"/>
        <v>12949893.5416667</v>
      </c>
      <c r="P16" s="1366">
        <f t="shared" si="2"/>
        <v>50478156.4583333</v>
      </c>
      <c r="Q16">
        <f>ROUND(K16*E16/12,0)</f>
        <v>264284</v>
      </c>
      <c r="R16">
        <f>Q16*12</f>
        <v>3171408</v>
      </c>
      <c r="S16">
        <f>M16-R16</f>
        <v>-5.5</v>
      </c>
      <c r="U16" s="1366">
        <f t="shared" ref="U16:V18" si="11">IF(DAY($F16)&lt;=15,((YEAR(U$10)-YEAR($F16))*12+MONTH(U$10)-MONTH($F16))+1,((YEAR(U$10)-YEAR($F16))*12+MONTH(U$10)-MONTH($F16)))</f>
        <v>37</v>
      </c>
      <c r="V16" s="1366">
        <f t="shared" si="11"/>
        <v>49</v>
      </c>
      <c r="W16" s="29">
        <f t="shared" si="3"/>
        <v>9778491</v>
      </c>
      <c r="X16" s="29">
        <f t="shared" si="3"/>
        <v>12949894</v>
      </c>
      <c r="Y16" s="29">
        <f t="shared" si="4"/>
        <v>3171403</v>
      </c>
      <c r="Z16" s="29">
        <f t="shared" si="5"/>
        <v>50478156</v>
      </c>
      <c r="AA16" s="29">
        <f t="shared" si="6"/>
        <v>-0.5</v>
      </c>
      <c r="AB16" s="29">
        <f t="shared" si="7"/>
        <v>0.45833333581686</v>
      </c>
    </row>
    <row r="17" s="64" customFormat="1" spans="2:28">
      <c r="B17" s="1366">
        <v>6</v>
      </c>
      <c r="C17" s="29" t="s">
        <v>11957</v>
      </c>
      <c r="D17" s="717">
        <v>2</v>
      </c>
      <c r="E17" s="1363">
        <f t="shared" si="8"/>
        <v>0.05</v>
      </c>
      <c r="F17" s="1374">
        <v>43551</v>
      </c>
      <c r="G17" s="1366">
        <v>20</v>
      </c>
      <c r="H17" s="29">
        <f t="shared" si="0"/>
        <v>240</v>
      </c>
      <c r="I17" s="2686">
        <v>200000000</v>
      </c>
      <c r="J17" s="1366">
        <v>0</v>
      </c>
      <c r="K17" s="1366">
        <f t="shared" si="1"/>
        <v>200000000</v>
      </c>
      <c r="L17" s="29">
        <v>28333333.3333333</v>
      </c>
      <c r="M17" s="29">
        <v>10000000</v>
      </c>
      <c r="N17" s="29"/>
      <c r="O17" s="1366">
        <f t="shared" si="9"/>
        <v>38333333.3333333</v>
      </c>
      <c r="P17" s="1366">
        <f t="shared" si="2"/>
        <v>161666666.666667</v>
      </c>
      <c r="Q17"/>
      <c r="R17"/>
      <c r="S17"/>
      <c r="U17" s="1366">
        <f t="shared" si="11"/>
        <v>33</v>
      </c>
      <c r="V17" s="1366">
        <f t="shared" si="11"/>
        <v>45</v>
      </c>
      <c r="W17" s="29">
        <f t="shared" si="3"/>
        <v>27500000</v>
      </c>
      <c r="X17" s="29">
        <f t="shared" si="3"/>
        <v>37500000</v>
      </c>
      <c r="Y17" s="29">
        <f t="shared" si="4"/>
        <v>10000000</v>
      </c>
      <c r="Z17" s="29">
        <f t="shared" si="5"/>
        <v>162500000</v>
      </c>
      <c r="AA17" s="29">
        <f t="shared" si="6"/>
        <v>0</v>
      </c>
      <c r="AB17" s="29">
        <f t="shared" si="7"/>
        <v>-833333.333333343</v>
      </c>
    </row>
    <row r="18" s="64" customFormat="1" spans="2:28">
      <c r="B18" s="1366">
        <v>7</v>
      </c>
      <c r="C18" s="29" t="s">
        <v>11958</v>
      </c>
      <c r="D18" s="717">
        <v>2</v>
      </c>
      <c r="E18" s="1363">
        <f t="shared" si="8"/>
        <v>0.05</v>
      </c>
      <c r="F18" s="1374">
        <v>43800</v>
      </c>
      <c r="G18" s="1366">
        <v>20</v>
      </c>
      <c r="H18" s="29">
        <f t="shared" si="0"/>
        <v>240</v>
      </c>
      <c r="I18" s="2687">
        <v>300000000</v>
      </c>
      <c r="J18" s="1366">
        <v>0</v>
      </c>
      <c r="K18" s="1366">
        <f t="shared" si="1"/>
        <v>300000000</v>
      </c>
      <c r="L18" s="29">
        <v>31250000</v>
      </c>
      <c r="M18" s="29">
        <v>15000000</v>
      </c>
      <c r="N18" s="29"/>
      <c r="O18" s="1366">
        <f t="shared" si="9"/>
        <v>46250000</v>
      </c>
      <c r="P18" s="1366">
        <f t="shared" si="2"/>
        <v>253750000</v>
      </c>
      <c r="U18" s="1366">
        <f t="shared" si="11"/>
        <v>25</v>
      </c>
      <c r="V18" s="1366">
        <f t="shared" si="11"/>
        <v>37</v>
      </c>
      <c r="W18" s="29">
        <f t="shared" si="3"/>
        <v>31250000</v>
      </c>
      <c r="X18" s="29">
        <f t="shared" si="3"/>
        <v>46250000</v>
      </c>
      <c r="Y18" s="29">
        <f t="shared" si="4"/>
        <v>15000000</v>
      </c>
      <c r="Z18" s="29">
        <f t="shared" si="5"/>
        <v>253750000</v>
      </c>
      <c r="AA18" s="29">
        <f t="shared" si="6"/>
        <v>0</v>
      </c>
      <c r="AB18" s="29">
        <f t="shared" si="7"/>
        <v>0</v>
      </c>
    </row>
    <row r="19" s="64" customFormat="1" spans="2:28">
      <c r="B19" s="1366"/>
      <c r="C19" s="1366"/>
      <c r="D19" s="2667"/>
      <c r="E19" s="1366"/>
      <c r="F19" s="2680"/>
      <c r="G19" s="1366"/>
      <c r="H19" s="1366"/>
      <c r="I19" s="1366"/>
      <c r="J19" s="1366"/>
      <c r="K19" s="1366"/>
      <c r="L19" s="1366"/>
      <c r="M19" s="1366"/>
      <c r="N19" s="1366"/>
      <c r="O19" s="1366"/>
      <c r="P19" s="1366"/>
      <c r="Q19" s="2644"/>
      <c r="R19"/>
      <c r="S19"/>
      <c r="U19" s="1366"/>
      <c r="V19" s="1366"/>
      <c r="W19" s="1366"/>
      <c r="X19" s="1366"/>
      <c r="Y19" s="1366"/>
      <c r="Z19" s="1366"/>
      <c r="AA19" s="1366"/>
      <c r="AB19" s="1366"/>
    </row>
    <row r="20" s="64" customFormat="1" ht="12" spans="2:28">
      <c r="B20" s="2659"/>
      <c r="C20" s="2659" t="s">
        <v>151</v>
      </c>
      <c r="D20" s="2660"/>
      <c r="E20" s="1366"/>
      <c r="F20" s="2659"/>
      <c r="G20" s="2659"/>
      <c r="H20" s="1366"/>
      <c r="I20" s="754">
        <f t="shared" ref="I20:P20" si="12">SUM(I12:I19)</f>
        <v>2391499425.09237</v>
      </c>
      <c r="J20" s="754">
        <f t="shared" si="12"/>
        <v>1251663380</v>
      </c>
      <c r="K20" s="754">
        <f t="shared" si="12"/>
        <v>1139836045.09237</v>
      </c>
      <c r="L20" s="754">
        <f t="shared" si="12"/>
        <v>1050008364.68671</v>
      </c>
      <c r="M20" s="754">
        <f t="shared" si="12"/>
        <v>265644087.700619</v>
      </c>
      <c r="N20" s="754">
        <f t="shared" si="12"/>
        <v>1043261427.23</v>
      </c>
      <c r="O20" s="754">
        <f t="shared" si="12"/>
        <v>272391025.157331</v>
      </c>
      <c r="P20" s="754">
        <f t="shared" si="12"/>
        <v>867445019.935042</v>
      </c>
      <c r="Q20">
        <f>SUM(Q12:Q17)</f>
        <v>2665983</v>
      </c>
      <c r="R20">
        <f>SUM(R12:R17)</f>
        <v>17775900</v>
      </c>
      <c r="S20">
        <f>SUM(S12:S17)</f>
        <v>222868187.700619</v>
      </c>
      <c r="U20" s="1366" t="s">
        <v>171</v>
      </c>
      <c r="V20" s="1366" t="s">
        <v>171</v>
      </c>
      <c r="W20" s="29">
        <f t="shared" ref="W20:AB20" si="13">SUM(W12:W19)</f>
        <v>204941165</v>
      </c>
      <c r="X20" s="29">
        <f t="shared" si="13"/>
        <v>261932968</v>
      </c>
      <c r="Y20" s="29">
        <f t="shared" si="13"/>
        <v>56991803</v>
      </c>
      <c r="Z20" s="29">
        <f t="shared" si="13"/>
        <v>877903077.092373</v>
      </c>
      <c r="AA20" s="29">
        <f t="shared" si="13"/>
        <v>208652284.700619</v>
      </c>
      <c r="AB20" s="29">
        <f t="shared" si="13"/>
        <v>-10458057.1573305</v>
      </c>
    </row>
    <row r="21" s="64" customFormat="1" spans="2:18">
      <c r="B21" s="2669" t="s">
        <v>11959</v>
      </c>
      <c r="C21" s="2635"/>
      <c r="D21" s="2636"/>
      <c r="E21" s="724"/>
      <c r="R21" s="64">
        <f>R20-M20</f>
        <v>-247868187.700619</v>
      </c>
    </row>
    <row r="22" s="64" customFormat="1" spans="2:5">
      <c r="B22"/>
      <c r="C22" s="2635"/>
      <c r="D22" s="2636"/>
      <c r="E22" s="724"/>
    </row>
    <row r="23" s="64" customFormat="1" spans="2:26">
      <c r="B23" s="64" t="s">
        <v>11930</v>
      </c>
      <c r="C23" s="2635"/>
      <c r="D23" s="2636"/>
      <c r="E23" s="724"/>
      <c r="I23" s="64">
        <f>UV!G14</f>
        <v>2391499425.09237</v>
      </c>
      <c r="J23" s="64">
        <f>+UV!U23</f>
        <v>1251663380</v>
      </c>
      <c r="K23" s="64">
        <f>+UV!W14</f>
        <v>1139836045.09237</v>
      </c>
      <c r="L23" s="64">
        <f>UV!O26</f>
        <v>1050008364.68671</v>
      </c>
      <c r="M23" s="64">
        <f>+UV!H26</f>
        <v>265644087.700619</v>
      </c>
      <c r="N23" s="64">
        <f>+UV!T32</f>
        <v>1043261427.23</v>
      </c>
      <c r="O23" s="64">
        <f>+UV!W26</f>
        <v>272391025.157331</v>
      </c>
      <c r="P23" s="64">
        <f>K23-O23</f>
        <v>867445019.935042</v>
      </c>
      <c r="U23" s="64" t="s">
        <v>11960</v>
      </c>
      <c r="W23" s="64">
        <f>+UV!O26</f>
        <v>1050008364.68671</v>
      </c>
      <c r="X23" s="64">
        <f>+UV!R26</f>
        <v>1315652452.38733</v>
      </c>
      <c r="Y23" s="64">
        <f>M20</f>
        <v>265644087.700619</v>
      </c>
      <c r="Z23" s="64">
        <f>P20</f>
        <v>867445019.935042</v>
      </c>
    </row>
    <row r="24" s="781" customFormat="1" spans="2:26">
      <c r="B24" s="781" t="s">
        <v>146</v>
      </c>
      <c r="C24"/>
      <c r="D24"/>
      <c r="E24"/>
      <c r="I24" s="781">
        <f t="shared" ref="I24:P24" si="14">I20-I23</f>
        <v>0</v>
      </c>
      <c r="J24" s="781">
        <f t="shared" si="14"/>
        <v>0</v>
      </c>
      <c r="K24" s="781">
        <f t="shared" si="14"/>
        <v>0</v>
      </c>
      <c r="L24" s="781">
        <f t="shared" si="14"/>
        <v>0</v>
      </c>
      <c r="M24" s="781">
        <f t="shared" si="14"/>
        <v>0</v>
      </c>
      <c r="N24" s="781">
        <f t="shared" si="14"/>
        <v>0</v>
      </c>
      <c r="O24" s="781">
        <f t="shared" si="14"/>
        <v>0</v>
      </c>
      <c r="P24" s="781">
        <f t="shared" si="14"/>
        <v>0</v>
      </c>
      <c r="U24" s="781" t="s">
        <v>10090</v>
      </c>
      <c r="W24" s="781">
        <f>W20-W23</f>
        <v>-845067199.686712</v>
      </c>
      <c r="X24" s="781">
        <f>X20-X23</f>
        <v>-1053719484.38733</v>
      </c>
      <c r="Y24" s="781">
        <f>Y20-Y23</f>
        <v>-208652284.700619</v>
      </c>
      <c r="Z24" s="781">
        <f>Z20-Z23</f>
        <v>10458057.1573305</v>
      </c>
    </row>
    <row r="25" s="781" customFormat="1" spans="4:5">
      <c r="D25"/>
      <c r="E25"/>
    </row>
    <row r="26" s="781" customFormat="1" spans="3:5">
      <c r="C26" s="781" t="s">
        <v>11961</v>
      </c>
      <c r="D26"/>
      <c r="E26"/>
    </row>
    <row r="27" s="781" customFormat="1" spans="4:15">
      <c r="D27"/>
      <c r="E27"/>
      <c r="I27" s="781" t="s">
        <v>11962</v>
      </c>
      <c r="J27" s="781" t="s">
        <v>11963</v>
      </c>
      <c r="K27" s="781" t="s">
        <v>11964</v>
      </c>
      <c r="L27" s="781" t="s">
        <v>11965</v>
      </c>
      <c r="M27" s="781" t="s">
        <v>11966</v>
      </c>
      <c r="N27" s="781" t="str">
        <f>+N10&amp;N9</f>
        <v>+/-Akm Peny</v>
      </c>
      <c r="O27" s="781" t="s">
        <v>11967</v>
      </c>
    </row>
    <row r="28" s="781" customFormat="1" spans="3:15">
      <c r="C28" t="s">
        <v>11968</v>
      </c>
      <c r="D28"/>
      <c r="E28"/>
      <c r="I28" s="2688">
        <f t="shared" ref="I28:O28" si="15">+I12+I15</f>
        <v>319707995.092373</v>
      </c>
      <c r="J28" s="2688">
        <f t="shared" si="15"/>
        <v>0</v>
      </c>
      <c r="K28" s="2688">
        <f t="shared" si="15"/>
        <v>319707995.092373</v>
      </c>
      <c r="L28" s="2688">
        <f t="shared" si="15"/>
        <v>91488648.5277118</v>
      </c>
      <c r="M28" s="2688">
        <f t="shared" si="15"/>
        <v>15985399.7546186</v>
      </c>
      <c r="N28" s="2688"/>
      <c r="O28" s="2688">
        <f t="shared" si="15"/>
        <v>107474048.28233</v>
      </c>
    </row>
    <row r="29" s="781" customFormat="1" spans="3:15">
      <c r="C29" t="s">
        <v>11969</v>
      </c>
      <c r="D29"/>
      <c r="E29"/>
      <c r="I29" s="2689">
        <f t="shared" ref="I29:O29" si="16">+I13+I15+I16</f>
        <v>355518050</v>
      </c>
      <c r="J29" s="2689">
        <f t="shared" si="16"/>
        <v>0</v>
      </c>
      <c r="K29" s="2689">
        <f t="shared" si="16"/>
        <v>355518050</v>
      </c>
      <c r="L29" s="2689">
        <f t="shared" si="16"/>
        <v>70520491.0416667</v>
      </c>
      <c r="M29" s="2689">
        <f t="shared" si="16"/>
        <v>17775902.5</v>
      </c>
      <c r="N29" s="2689"/>
      <c r="O29" s="2689">
        <f t="shared" si="16"/>
        <v>88296393.5416667</v>
      </c>
    </row>
    <row r="30" s="781" customFormat="1" spans="3:15">
      <c r="C30" s="2681" t="s">
        <v>11970</v>
      </c>
      <c r="D30"/>
      <c r="E30"/>
      <c r="I30" s="2690">
        <f t="shared" ref="I30:O30" si="17">+I18</f>
        <v>300000000</v>
      </c>
      <c r="J30" s="2690">
        <f t="shared" si="17"/>
        <v>0</v>
      </c>
      <c r="K30" s="2690">
        <f t="shared" si="17"/>
        <v>300000000</v>
      </c>
      <c r="L30" s="2690">
        <f t="shared" si="17"/>
        <v>31250000</v>
      </c>
      <c r="M30" s="2690">
        <f t="shared" si="17"/>
        <v>15000000</v>
      </c>
      <c r="N30" s="2690"/>
      <c r="O30" s="2690">
        <f t="shared" si="17"/>
        <v>46250000</v>
      </c>
    </row>
    <row r="31" s="64" customFormat="1" spans="3:15">
      <c r="C31" s="2635"/>
      <c r="D31" s="2636"/>
      <c r="E31" s="724"/>
      <c r="I31" s="64">
        <f>SUM(I28:I30)</f>
        <v>975226045.092373</v>
      </c>
      <c r="K31" s="64">
        <f>SUM(K28:K30)</f>
        <v>975226045.092373</v>
      </c>
      <c r="L31" s="64">
        <f>SUM(L28:L30)</f>
        <v>193259139.569378</v>
      </c>
      <c r="M31" s="64">
        <f>SUM(M28:M30)</f>
        <v>48761302.2546186</v>
      </c>
      <c r="O31" s="64">
        <f>SUM(O28:O30)</f>
        <v>242020441.823997</v>
      </c>
    </row>
    <row r="32" s="64" customFormat="1" spans="3:5">
      <c r="C32" s="2635"/>
      <c r="D32" s="2636"/>
      <c r="E32" s="724"/>
    </row>
    <row r="33" s="64" customFormat="1" spans="3:5">
      <c r="C33" s="2635" t="s">
        <v>11971</v>
      </c>
      <c r="D33" s="2636"/>
      <c r="E33" s="724"/>
    </row>
    <row r="34" s="64" customFormat="1" spans="3:5">
      <c r="C34" s="2635"/>
      <c r="D34" s="2636"/>
      <c r="E34" s="724"/>
    </row>
    <row r="35" s="64" customFormat="1" spans="3:5">
      <c r="C35" s="2682" t="s">
        <v>11972</v>
      </c>
      <c r="D35" s="2683" t="s">
        <v>11973</v>
      </c>
      <c r="E35" s="724"/>
    </row>
    <row r="36" s="64" customFormat="1" spans="3:10">
      <c r="C36" s="2635"/>
      <c r="D36" s="2683" t="s">
        <v>11974</v>
      </c>
      <c r="E36" s="724"/>
      <c r="J36" s="64">
        <v>297130250</v>
      </c>
    </row>
    <row r="37" s="64" customFormat="1" spans="3:10">
      <c r="C37" s="2635"/>
      <c r="D37" s="2683" t="s">
        <v>11975</v>
      </c>
      <c r="E37" s="724"/>
      <c r="J37" s="2402">
        <f>+I13</f>
        <v>256700000</v>
      </c>
    </row>
    <row r="38" s="64" customFormat="1" spans="3:10">
      <c r="C38" s="2635"/>
      <c r="D38" s="2636"/>
      <c r="E38" s="724" t="s">
        <v>11976</v>
      </c>
      <c r="J38" s="64">
        <f>+J36-J37</f>
        <v>40430250</v>
      </c>
    </row>
    <row r="39" s="64" customFormat="1" spans="3:5">
      <c r="C39" s="2635"/>
      <c r="D39" s="2636"/>
      <c r="E39" s="724"/>
    </row>
    <row r="40" s="64" customFormat="1" spans="3:5">
      <c r="C40" s="2635"/>
      <c r="D40" s="2636"/>
      <c r="E40" s="724"/>
    </row>
    <row r="41" s="64" customFormat="1" spans="3:5">
      <c r="C41" s="2635"/>
      <c r="D41" s="2636"/>
      <c r="E41" s="724"/>
    </row>
    <row r="42" s="64" customFormat="1" spans="3:5">
      <c r="C42" s="2635"/>
      <c r="D42" s="2636"/>
      <c r="E42" s="724"/>
    </row>
    <row r="43" s="64" customFormat="1" spans="3:5">
      <c r="C43" s="2635"/>
      <c r="D43" s="2636"/>
      <c r="E43" s="724"/>
    </row>
    <row r="44" s="64" customFormat="1" spans="3:5">
      <c r="C44" s="2635"/>
      <c r="D44" s="2636"/>
      <c r="E44" s="724"/>
    </row>
    <row r="45" s="64" customFormat="1" ht="13.2" spans="2:5">
      <c r="B45" s="2332" t="s">
        <v>11977</v>
      </c>
      <c r="C45" s="2635"/>
      <c r="D45" s="2636"/>
      <c r="E45" s="724"/>
    </row>
    <row r="46" s="64" customFormat="1" spans="2:5">
      <c r="B46">
        <v>1</v>
      </c>
      <c r="C46" s="2635" t="s">
        <v>11978</v>
      </c>
      <c r="D46" s="2636"/>
      <c r="E46" s="724"/>
    </row>
    <row r="47" s="64" customFormat="1" spans="2:5">
      <c r="B47">
        <v>2</v>
      </c>
      <c r="C47" s="2635" t="s">
        <v>11979</v>
      </c>
      <c r="D47" s="2636"/>
      <c r="E47" s="724"/>
    </row>
    <row r="48" s="64" customFormat="1" spans="2:5">
      <c r="B48"/>
      <c r="C48" s="2635"/>
      <c r="D48" s="2636"/>
      <c r="E48" s="724"/>
    </row>
    <row r="49" s="64" customFormat="1" spans="2:5">
      <c r="B49"/>
      <c r="C49" s="2635"/>
      <c r="D49" s="2636"/>
      <c r="E49" s="724"/>
    </row>
    <row r="50" s="64" customFormat="1" spans="2:5">
      <c r="B50"/>
      <c r="C50" s="2635"/>
      <c r="D50" s="2636"/>
      <c r="E50" s="724"/>
    </row>
    <row r="51" s="64" customFormat="1" spans="2:5">
      <c r="B51"/>
      <c r="C51" s="2635"/>
      <c r="D51" s="2636"/>
      <c r="E51" s="724"/>
    </row>
    <row r="52" s="64" customFormat="1" spans="2:5">
      <c r="B52"/>
      <c r="C52" s="2635"/>
      <c r="D52" s="2636"/>
      <c r="E52" s="724"/>
    </row>
    <row r="53" s="64" customFormat="1" spans="2:5">
      <c r="B53"/>
      <c r="C53" s="2635"/>
      <c r="D53" s="2636"/>
      <c r="E53" s="724"/>
    </row>
    <row r="54" spans="3:3">
      <c r="C54" s="2623" t="str">
        <f>+C14</f>
        <v>BOT-WTP Dharmawangsa</v>
      </c>
    </row>
    <row r="55" spans="3:3">
      <c r="C55" s="2623" t="s">
        <v>11980</v>
      </c>
    </row>
    <row r="58" ht="12" spans="2:5">
      <c r="B58" s="2661" t="s">
        <v>11981</v>
      </c>
      <c r="D58" s="2662"/>
      <c r="E58" s="2479"/>
    </row>
    <row r="59" spans="3:5">
      <c r="C59" t="s">
        <v>11982</v>
      </c>
      <c r="D59" s="2662"/>
      <c r="E59" s="2479"/>
    </row>
    <row r="60" spans="3:9">
      <c r="C60" t="s">
        <v>11983</v>
      </c>
      <c r="D60" s="2662">
        <v>20</v>
      </c>
      <c r="E60" s="2479"/>
      <c r="I60">
        <f>'20'!L16</f>
        <v>155956751</v>
      </c>
    </row>
    <row r="61" spans="3:9">
      <c r="C61" t="s">
        <v>11984</v>
      </c>
      <c r="D61" s="5135" t="s">
        <v>11985</v>
      </c>
      <c r="E61" s="2479"/>
      <c r="I61">
        <v>0</v>
      </c>
    </row>
    <row r="62" spans="3:9">
      <c r="C62" t="s">
        <v>11986</v>
      </c>
      <c r="D62" s="5135" t="s">
        <v>11987</v>
      </c>
      <c r="E62" s="2479"/>
      <c r="I62">
        <v>0</v>
      </c>
    </row>
    <row r="63" spans="3:9">
      <c r="C63" t="s">
        <v>151</v>
      </c>
      <c r="D63" s="2662"/>
      <c r="E63" s="2479"/>
      <c r="I63" s="1093">
        <f>SUM(I60:I61)</f>
        <v>155956751</v>
      </c>
    </row>
    <row r="64" spans="3:9">
      <c r="C64" t="s">
        <v>11988</v>
      </c>
      <c r="D64" s="2662"/>
      <c r="E64" s="2479"/>
      <c r="I64">
        <f>+M23</f>
        <v>265644087.700619</v>
      </c>
    </row>
    <row r="65" spans="3:9">
      <c r="C65" t="s">
        <v>11989</v>
      </c>
      <c r="D65" s="2662"/>
      <c r="E65" s="2479"/>
      <c r="I65" s="1093">
        <f>I63-I64</f>
        <v>-109687336.700619</v>
      </c>
    </row>
    <row r="69" spans="3:12">
      <c r="C69"/>
      <c r="D69"/>
      <c r="E69"/>
      <c r="I69" t="s">
        <v>11990</v>
      </c>
      <c r="L69" t="s">
        <v>11991</v>
      </c>
    </row>
    <row r="70" spans="3:5">
      <c r="C70"/>
      <c r="D70"/>
      <c r="E70"/>
    </row>
    <row r="71" spans="3:5">
      <c r="C71"/>
      <c r="D71"/>
      <c r="E71"/>
    </row>
    <row r="72" spans="3:5">
      <c r="C72"/>
      <c r="D72"/>
      <c r="E72"/>
    </row>
    <row r="73" spans="3:5">
      <c r="C73"/>
      <c r="D73"/>
      <c r="E73"/>
    </row>
    <row r="74" spans="3:5">
      <c r="C74"/>
      <c r="D74"/>
      <c r="E74"/>
    </row>
    <row r="75" ht="12" spans="3:15">
      <c r="C75"/>
      <c r="D75"/>
      <c r="E75"/>
      <c r="I75" s="94"/>
      <c r="J75" s="94"/>
      <c r="K75" s="94"/>
      <c r="L75" s="94"/>
      <c r="M75" s="94"/>
      <c r="N75" s="94"/>
      <c r="O75" s="94"/>
    </row>
    <row r="76" spans="3:5">
      <c r="C76"/>
      <c r="D76"/>
      <c r="E76"/>
    </row>
    <row r="77" spans="3:5">
      <c r="C77"/>
      <c r="D77"/>
      <c r="E77"/>
    </row>
    <row r="78" spans="3:5">
      <c r="C78"/>
      <c r="D78"/>
      <c r="E78"/>
    </row>
    <row r="79" spans="3:5">
      <c r="C79"/>
      <c r="D79"/>
      <c r="E79"/>
    </row>
    <row r="80" spans="3:6">
      <c r="C80"/>
      <c r="D80"/>
      <c r="E80"/>
      <c r="F80" s="42"/>
    </row>
    <row r="81" spans="3:6">
      <c r="C81"/>
      <c r="D81"/>
      <c r="E81"/>
      <c r="F81" s="42"/>
    </row>
    <row r="82" spans="3:12">
      <c r="C82"/>
      <c r="D82"/>
      <c r="E82"/>
      <c r="F82" s="2326"/>
      <c r="L82" s="99"/>
    </row>
    <row r="83" spans="3:5">
      <c r="C83"/>
      <c r="D83"/>
      <c r="E83"/>
    </row>
    <row r="84" spans="3:5">
      <c r="C84"/>
      <c r="D84"/>
      <c r="E84"/>
    </row>
    <row r="85" spans="3:5">
      <c r="C85"/>
      <c r="D85"/>
      <c r="E85"/>
    </row>
    <row r="86" spans="3:5">
      <c r="C86"/>
      <c r="D86"/>
      <c r="E86"/>
    </row>
    <row r="87" spans="3:5">
      <c r="C87"/>
      <c r="D87"/>
      <c r="E87"/>
    </row>
    <row r="88" ht="12" spans="3:14">
      <c r="C88"/>
      <c r="D88"/>
      <c r="E88"/>
      <c r="G88" s="94"/>
      <c r="H88" s="94"/>
      <c r="I88" s="94"/>
      <c r="J88" s="94"/>
      <c r="K88" s="94"/>
      <c r="L88" s="94"/>
      <c r="M88" s="94"/>
      <c r="N88" s="94"/>
    </row>
    <row r="89" spans="3:5">
      <c r="C89"/>
      <c r="D89"/>
      <c r="E89"/>
    </row>
    <row r="90" spans="3:5">
      <c r="C90"/>
      <c r="D90"/>
      <c r="E90"/>
    </row>
    <row r="91" ht="12" spans="3:15">
      <c r="C91"/>
      <c r="D91"/>
      <c r="E91"/>
      <c r="I91" s="94"/>
      <c r="L91" s="94"/>
      <c r="M91" s="94"/>
      <c r="N91" s="94"/>
      <c r="O91" s="94"/>
    </row>
    <row r="92" spans="3:5">
      <c r="C92"/>
      <c r="D92"/>
      <c r="E92"/>
    </row>
    <row r="93" spans="3:5">
      <c r="C93"/>
      <c r="D93"/>
      <c r="E93"/>
    </row>
    <row r="94" spans="3:5">
      <c r="C94"/>
      <c r="D94"/>
      <c r="E94"/>
    </row>
    <row r="95" spans="3:5">
      <c r="C95"/>
      <c r="D95"/>
      <c r="E95"/>
    </row>
    <row r="96" spans="3:5">
      <c r="C96"/>
      <c r="D96"/>
      <c r="E96"/>
    </row>
    <row r="97" customFormat="1"/>
    <row r="98" customFormat="1"/>
    <row r="99" customFormat="1"/>
    <row r="100" customFormat="1"/>
    <row r="101" customFormat="1"/>
    <row r="102" customFormat="1"/>
    <row r="172"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sheetData>
  <mergeCells count="5">
    <mergeCell ref="U8:AB8"/>
    <mergeCell ref="G9:H9"/>
    <mergeCell ref="Q9:S9"/>
    <mergeCell ref="U9:V9"/>
    <mergeCell ref="W9:X9"/>
  </mergeCells>
  <pageMargins left="0.708661417322835" right="0.708661417322835" top="0.748031496062992" bottom="0.354330708661417" header="0.31496062992126" footer="0.31496062992126"/>
  <pageSetup paperSize="9" scale="80" orientation="landscape"/>
  <headerFooter/>
  <ignoredErrors>
    <ignoredError sqref="D61:D62" numberStoredAsText="1"/>
  </ignoredErrors>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3"/>
  <dimension ref="A1:IV287"/>
  <sheetViews>
    <sheetView showGridLines="0" zoomScale="160" zoomScaleNormal="160" workbookViewId="0">
      <pane xSplit="4" ySplit="10" topLeftCell="E11" activePane="bottomRight" state="frozen"/>
      <selection/>
      <selection pane="topRight"/>
      <selection pane="bottomLeft"/>
      <selection pane="bottomRight" activeCell="K30" sqref="K30"/>
    </sheetView>
  </sheetViews>
  <sheetFormatPr defaultColWidth="9" defaultRowHeight="11.4"/>
  <cols>
    <col min="1" max="1" width="1.34375" customWidth="1"/>
    <col min="2" max="2" width="7.04166666666667" customWidth="1"/>
    <col min="3" max="3" width="28.46875" style="2623" customWidth="1"/>
    <col min="4" max="4" width="3.44791666666667" style="2542" customWidth="1"/>
    <col min="5" max="5" width="7.1875" style="724" customWidth="1"/>
    <col min="6" max="6" width="11.8333333333333" customWidth="1"/>
    <col min="7" max="7" width="5.84375" customWidth="1"/>
    <col min="8" max="8" width="4.34375" customWidth="1"/>
    <col min="9" max="11" width="15.4270833333333" customWidth="1"/>
    <col min="12" max="13" width="13.78125" customWidth="1"/>
    <col min="14" max="14" width="13.3333333333333" customWidth="1"/>
    <col min="15" max="15" width="13.9375" customWidth="1"/>
    <col min="16" max="16" width="10.3333333333333" hidden="1" customWidth="1" outlineLevel="1"/>
    <col min="17" max="17" width="11.8333333333333" hidden="1" customWidth="1" outlineLevel="1"/>
    <col min="18" max="18" width="11.2395833333333" hidden="1" customWidth="1" outlineLevel="1"/>
    <col min="19" max="19" width="1.94791666666667" customWidth="1" collapsed="1"/>
    <col min="20" max="20" width="12.1354166666667" customWidth="1"/>
    <col min="21" max="21" width="10.78125" customWidth="1"/>
    <col min="22" max="23" width="15.1354166666667" customWidth="1"/>
    <col min="24" max="24" width="13.6354166666667" customWidth="1"/>
    <col min="25" max="25" width="14.6875" customWidth="1"/>
    <col min="26" max="26" width="14.53125" customWidth="1"/>
    <col min="27" max="27" width="13.03125" customWidth="1"/>
  </cols>
  <sheetData>
    <row r="1" spans="9:9">
      <c r="I1" s="164"/>
    </row>
    <row r="2" ht="21" spans="2:15">
      <c r="B2" s="1499" t="str">
        <f>UV!B2</f>
        <v>KAP LIASTA NIRWAN SYAFRUDIN &amp; REKAN</v>
      </c>
      <c r="C2" s="731"/>
      <c r="D2" s="2624"/>
      <c r="E2" s="2624"/>
      <c r="F2" s="731"/>
      <c r="G2" s="731"/>
      <c r="H2" s="731"/>
      <c r="I2" s="1757"/>
      <c r="J2" s="1758"/>
      <c r="K2" s="1758"/>
      <c r="L2" s="746"/>
      <c r="M2" s="731" t="s">
        <v>481</v>
      </c>
      <c r="N2" s="765" t="s">
        <v>482</v>
      </c>
      <c r="O2" s="766" t="s">
        <v>483</v>
      </c>
    </row>
    <row r="3" ht="15.6" spans="2:15">
      <c r="B3" s="1500"/>
      <c r="C3" s="2625"/>
      <c r="D3" s="2626"/>
      <c r="E3" s="2627"/>
      <c r="F3" s="1504"/>
      <c r="G3" s="1505"/>
      <c r="H3" s="1505"/>
      <c r="I3" s="2650"/>
      <c r="J3" s="2650"/>
      <c r="K3" s="2650"/>
      <c r="L3" s="1586"/>
      <c r="M3" s="738" t="s">
        <v>484</v>
      </c>
      <c r="N3" s="767">
        <v>45184</v>
      </c>
      <c r="O3" s="768" t="s">
        <v>11861</v>
      </c>
    </row>
    <row r="4" ht="13.2" spans="2:15">
      <c r="B4" s="1546" t="s">
        <v>622</v>
      </c>
      <c r="C4" s="2628" t="str">
        <f>+'F1'!C4</f>
        <v>PT INTAN GIRI ABADI</v>
      </c>
      <c r="D4" s="2629"/>
      <c r="E4" s="2624"/>
      <c r="F4" s="1548"/>
      <c r="G4" s="1548"/>
      <c r="H4" s="1548"/>
      <c r="I4" s="1758"/>
      <c r="J4" s="1758"/>
      <c r="K4" s="1758"/>
      <c r="L4" s="746"/>
      <c r="M4" s="742" t="s">
        <v>487</v>
      </c>
      <c r="N4" s="769" t="s">
        <v>482</v>
      </c>
      <c r="O4" s="770" t="s">
        <v>488</v>
      </c>
    </row>
    <row r="5" ht="13.2" spans="2:15">
      <c r="B5" s="775"/>
      <c r="C5" s="2630"/>
      <c r="D5" s="2631"/>
      <c r="E5" s="2632"/>
      <c r="F5" s="753"/>
      <c r="G5" s="753"/>
      <c r="H5" s="753"/>
      <c r="I5" s="1759"/>
      <c r="J5" s="1759"/>
      <c r="K5" s="1759"/>
      <c r="L5" s="1592"/>
      <c r="M5" s="1592"/>
      <c r="N5" s="771"/>
      <c r="O5" s="772">
        <v>3</v>
      </c>
    </row>
    <row r="6" spans="2:15">
      <c r="B6" s="773"/>
      <c r="C6" s="731"/>
      <c r="D6" s="2633"/>
      <c r="E6" s="2624"/>
      <c r="F6" s="742"/>
      <c r="G6" s="742"/>
      <c r="H6" s="742"/>
      <c r="I6" s="1760"/>
      <c r="J6" s="1760"/>
      <c r="K6" s="1760"/>
      <c r="L6" s="770"/>
      <c r="M6" s="742"/>
      <c r="N6" s="773"/>
      <c r="O6" s="774" t="s">
        <v>491</v>
      </c>
    </row>
    <row r="7" ht="12" spans="2:15">
      <c r="B7" s="1549" t="s">
        <v>11901</v>
      </c>
      <c r="C7" s="2634" t="str">
        <f>+UV!C15</f>
        <v>Kendaraan</v>
      </c>
      <c r="D7" s="2631"/>
      <c r="E7" s="2632"/>
      <c r="F7" s="753"/>
      <c r="G7" s="753"/>
      <c r="H7" s="753"/>
      <c r="I7" s="753"/>
      <c r="J7" s="753"/>
      <c r="K7" s="753"/>
      <c r="L7" s="1599"/>
      <c r="M7" s="753"/>
      <c r="N7" s="775"/>
      <c r="O7" s="776">
        <v>44926</v>
      </c>
    </row>
    <row r="8" spans="11:27">
      <c r="K8" s="159"/>
      <c r="L8" s="2542"/>
      <c r="M8" s="2542"/>
      <c r="N8" s="2542"/>
      <c r="O8" s="2542"/>
      <c r="T8" s="2653" t="s">
        <v>11902</v>
      </c>
      <c r="U8" s="2654"/>
      <c r="V8" s="2654"/>
      <c r="W8" s="2654"/>
      <c r="X8" s="2654"/>
      <c r="Y8" s="2654"/>
      <c r="Z8" s="2654"/>
      <c r="AA8" s="2658"/>
    </row>
    <row r="9" s="2676" customFormat="1" spans="1:256">
      <c r="A9"/>
      <c r="B9" s="2637" t="s">
        <v>26</v>
      </c>
      <c r="C9" s="2639" t="s">
        <v>11903</v>
      </c>
      <c r="D9" s="2639" t="s">
        <v>11949</v>
      </c>
      <c r="E9" s="2639" t="s">
        <v>38</v>
      </c>
      <c r="F9" s="2639" t="s">
        <v>157</v>
      </c>
      <c r="G9" s="2639" t="s">
        <v>11905</v>
      </c>
      <c r="H9" s="2639"/>
      <c r="I9" s="2639" t="s">
        <v>11906</v>
      </c>
      <c r="J9" s="2639" t="s">
        <v>11907</v>
      </c>
      <c r="K9" s="2639" t="s">
        <v>11906</v>
      </c>
      <c r="L9" s="2639" t="s">
        <v>11908</v>
      </c>
      <c r="M9" s="2639" t="s">
        <v>11909</v>
      </c>
      <c r="N9" s="2637" t="s">
        <v>11908</v>
      </c>
      <c r="O9" s="2640" t="s">
        <v>11910</v>
      </c>
      <c r="P9" t="s">
        <v>11911</v>
      </c>
      <c r="Q9" s="2678"/>
      <c r="R9" s="2678"/>
      <c r="S9"/>
      <c r="T9" s="2655" t="s">
        <v>11912</v>
      </c>
      <c r="U9" s="2656"/>
      <c r="V9" s="2657" t="s">
        <v>11886</v>
      </c>
      <c r="W9" s="2656"/>
      <c r="X9" s="2638" t="s">
        <v>874</v>
      </c>
      <c r="Y9" s="2639" t="s">
        <v>11910</v>
      </c>
      <c r="Z9" s="2638" t="s">
        <v>146</v>
      </c>
      <c r="AA9" s="2640" t="s">
        <v>146</v>
      </c>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2677" customFormat="1" spans="1:256">
      <c r="A10"/>
      <c r="B10" s="643"/>
      <c r="C10" s="2642"/>
      <c r="D10" s="2642"/>
      <c r="E10" s="2642"/>
      <c r="F10" s="2642" t="s">
        <v>11913</v>
      </c>
      <c r="G10" s="2642" t="s">
        <v>11796</v>
      </c>
      <c r="H10" s="2642" t="s">
        <v>11914</v>
      </c>
      <c r="I10" s="2642" t="str">
        <f>+'UV2'!I10</f>
        <v>Awal 2022</v>
      </c>
      <c r="J10" s="2642" t="s">
        <v>11916</v>
      </c>
      <c r="K10" s="2642" t="str">
        <f>+'UV2'!K10</f>
        <v>Akhir 2022</v>
      </c>
      <c r="L10" s="2642" t="s">
        <v>11992</v>
      </c>
      <c r="M10" s="2642">
        <v>44926</v>
      </c>
      <c r="N10" s="2642" t="s">
        <v>11918</v>
      </c>
      <c r="O10" s="2643">
        <v>44926</v>
      </c>
      <c r="P10" t="s">
        <v>11919</v>
      </c>
      <c r="Q10" s="2679" t="s">
        <v>11920</v>
      </c>
      <c r="R10" s="2679" t="s">
        <v>11921</v>
      </c>
      <c r="S10"/>
      <c r="T10" s="643">
        <v>44561</v>
      </c>
      <c r="U10" s="2643">
        <f>+T10+365</f>
        <v>44926</v>
      </c>
      <c r="V10" s="2642">
        <f>+T10</f>
        <v>44561</v>
      </c>
      <c r="W10" s="2642">
        <f>+U10</f>
        <v>44926</v>
      </c>
      <c r="X10" s="2641">
        <v>44926</v>
      </c>
      <c r="Y10" s="2642">
        <v>44926</v>
      </c>
      <c r="Z10" s="2641" t="s">
        <v>11922</v>
      </c>
      <c r="AA10" s="2643" t="s">
        <v>11882</v>
      </c>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64" customFormat="1" ht="12" spans="1:256">
      <c r="A11"/>
      <c r="B11" s="2644"/>
      <c r="C11" s="2663"/>
      <c r="D11" s="142"/>
      <c r="E11" s="2644"/>
      <c r="F11" s="142"/>
      <c r="G11" s="2665"/>
      <c r="H11" s="2644"/>
      <c r="I11" s="2644"/>
      <c r="J11" s="2644"/>
      <c r="K11" s="2644"/>
      <c r="L11"/>
      <c r="M11" s="2644"/>
      <c r="N11" s="2644"/>
      <c r="O11" s="302"/>
      <c r="P11"/>
      <c r="Q11"/>
      <c r="R11"/>
      <c r="S11"/>
      <c r="T11" s="1366"/>
      <c r="U11" s="1366"/>
      <c r="V11" s="1366"/>
      <c r="W11" s="1366"/>
      <c r="X11" s="1366"/>
      <c r="Y11" s="1366"/>
      <c r="Z11" s="1366"/>
      <c r="AA11" s="1366"/>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64" customFormat="1" spans="2:27">
      <c r="B12" s="1366">
        <v>1</v>
      </c>
      <c r="C12" s="29" t="s">
        <v>11993</v>
      </c>
      <c r="D12" s="29">
        <v>1</v>
      </c>
      <c r="E12" s="1363">
        <v>0.25</v>
      </c>
      <c r="F12" s="1374">
        <v>41475</v>
      </c>
      <c r="G12" s="1366">
        <v>4</v>
      </c>
      <c r="H12" s="29">
        <f t="shared" ref="H12:H24" si="0">G12*12</f>
        <v>48</v>
      </c>
      <c r="I12" s="1366">
        <v>7500000</v>
      </c>
      <c r="J12" s="1366">
        <v>0</v>
      </c>
      <c r="K12" s="1366">
        <f t="shared" ref="K12:K24" si="1">I12+J12</f>
        <v>7500000</v>
      </c>
      <c r="L12" s="1366">
        <v>7500000</v>
      </c>
      <c r="M12" s="29">
        <v>0</v>
      </c>
      <c r="N12" s="1366">
        <f t="shared" ref="N12:N24" si="2">L12+M12</f>
        <v>7500000</v>
      </c>
      <c r="O12" s="1366">
        <f t="shared" ref="O12:O24" si="3">K12-N12</f>
        <v>0</v>
      </c>
      <c r="P12">
        <f>ROUND(K12*E12/12,0)</f>
        <v>156250</v>
      </c>
      <c r="Q12">
        <f>P12*0</f>
        <v>0</v>
      </c>
      <c r="R12">
        <f>M12-Q12</f>
        <v>0</v>
      </c>
      <c r="S12"/>
      <c r="T12" s="1366">
        <f>IF(DAY($F12)&lt;=15,((YEAR(T$10)-YEAR($F12))*12+MONTH(T$10)-MONTH($F12))+1,((YEAR(T$10)-YEAR($F12))*12+MONTH(T$10)-MONTH($F12)))</f>
        <v>101</v>
      </c>
      <c r="U12" s="1366">
        <f>IF(DAY($F12)&lt;=15,((YEAR(U$10)-YEAR($F12))*12+MONTH(U$10)-MONTH($F12))+1,((YEAR(U$10)-YEAR($F12))*12+MONTH(U$10)-MONTH($F12)))</f>
        <v>113</v>
      </c>
      <c r="V12" s="29">
        <f>ROUND(IF(T12&gt;$H12,$K12,($K12/$H12*T12)),0)</f>
        <v>7500000</v>
      </c>
      <c r="W12" s="29">
        <f>ROUND(IF(U12&gt;$H12,$K12,($K12/$H12*U12)),0)</f>
        <v>7500000</v>
      </c>
      <c r="X12" s="29">
        <f t="shared" ref="X12:X24" si="4">W12-V12</f>
        <v>0</v>
      </c>
      <c r="Y12" s="29">
        <f t="shared" ref="Y12:Y24" si="5">K12-W12</f>
        <v>0</v>
      </c>
      <c r="Z12" s="29">
        <f>+M12-X12</f>
        <v>0</v>
      </c>
      <c r="AA12" s="1366">
        <f t="shared" ref="AA12:AA24" si="6">+O12-Y12</f>
        <v>0</v>
      </c>
    </row>
    <row r="13" s="64" customFormat="1" hidden="1" spans="2:27">
      <c r="B13" s="1366">
        <f t="shared" ref="B13:B24" si="7">B12+1</f>
        <v>2</v>
      </c>
      <c r="C13" s="29" t="s">
        <v>11994</v>
      </c>
      <c r="D13" s="29">
        <v>1</v>
      </c>
      <c r="E13" s="1363">
        <v>0.25</v>
      </c>
      <c r="F13" s="1374">
        <v>41661</v>
      </c>
      <c r="G13" s="1366">
        <v>8</v>
      </c>
      <c r="H13" s="29">
        <f t="shared" si="0"/>
        <v>96</v>
      </c>
      <c r="I13" s="1366">
        <v>0</v>
      </c>
      <c r="J13" s="1366">
        <v>0</v>
      </c>
      <c r="K13" s="1366">
        <f t="shared" si="1"/>
        <v>0</v>
      </c>
      <c r="L13" s="1366">
        <v>0</v>
      </c>
      <c r="M13" s="29">
        <v>0</v>
      </c>
      <c r="N13" s="1366">
        <f t="shared" si="2"/>
        <v>0</v>
      </c>
      <c r="O13" s="1366">
        <f t="shared" si="3"/>
        <v>0</v>
      </c>
      <c r="P13">
        <f>ROUND(K13*E13/12,0)</f>
        <v>0</v>
      </c>
      <c r="Q13">
        <f>P13*12</f>
        <v>0</v>
      </c>
      <c r="R13">
        <f>M13-Q13</f>
        <v>0</v>
      </c>
      <c r="T13" s="1366">
        <f>IF(DAY($F13)&lt;=15,((YEAR(T$10)-YEAR($F13))*12+MONTH(T$10)-MONTH($F13))+1,((YEAR(T$10)-YEAR($F13))*12+MONTH(T$10)-MONTH($F13)))</f>
        <v>95</v>
      </c>
      <c r="U13" s="1366">
        <f t="shared" ref="T13:U15" si="8">IF(DAY($F13)&lt;=15,((YEAR(U$10)-YEAR($F13))*12+MONTH(U$10)-MONTH($F13))+1,((YEAR(U$10)-YEAR($F13))*12+MONTH(U$10)-MONTH($F13)))</f>
        <v>107</v>
      </c>
      <c r="V13" s="29">
        <f t="shared" ref="V13:W16" si="9">ROUND(IF(T13&gt;$H13,$K13,($K13/$H13*T13)),0)</f>
        <v>0</v>
      </c>
      <c r="W13" s="29">
        <f t="shared" si="9"/>
        <v>0</v>
      </c>
      <c r="X13" s="29">
        <f t="shared" si="4"/>
        <v>0</v>
      </c>
      <c r="Y13" s="29">
        <f t="shared" si="5"/>
        <v>0</v>
      </c>
      <c r="Z13" s="29">
        <f t="shared" ref="Z13:Z24" si="10">+M13-X13</f>
        <v>0</v>
      </c>
      <c r="AA13" s="1366">
        <f t="shared" si="6"/>
        <v>0</v>
      </c>
    </row>
    <row r="14" s="64" customFormat="1" spans="2:27">
      <c r="B14" s="1366">
        <v>2</v>
      </c>
      <c r="C14" s="29" t="s">
        <v>11995</v>
      </c>
      <c r="D14" s="29">
        <v>1</v>
      </c>
      <c r="E14" s="1363">
        <v>0.25</v>
      </c>
      <c r="F14" s="1374">
        <v>42114</v>
      </c>
      <c r="G14" s="1366">
        <v>8</v>
      </c>
      <c r="H14" s="29">
        <f t="shared" si="0"/>
        <v>96</v>
      </c>
      <c r="I14" s="1366">
        <v>148000000</v>
      </c>
      <c r="J14" s="1366">
        <v>0</v>
      </c>
      <c r="K14" s="1366">
        <f t="shared" si="1"/>
        <v>148000000</v>
      </c>
      <c r="L14" s="1366">
        <v>124875000</v>
      </c>
      <c r="M14" s="29">
        <v>18500000</v>
      </c>
      <c r="N14" s="1366">
        <f t="shared" si="2"/>
        <v>143375000</v>
      </c>
      <c r="O14" s="1366">
        <f t="shared" si="3"/>
        <v>4625000</v>
      </c>
      <c r="P14">
        <f>ROUND(K14*E14/12,0)</f>
        <v>3083333</v>
      </c>
      <c r="Q14">
        <f>P14*12</f>
        <v>36999996</v>
      </c>
      <c r="R14">
        <f>M14-Q14</f>
        <v>-18499996</v>
      </c>
      <c r="T14" s="1366">
        <f>IF(DAY($F14)&lt;=15,((YEAR(T$10)-YEAR($F14))*12+MONTH(T$10)-MONTH($F14))+1,((YEAR(T$10)-YEAR($F14))*12+MONTH(T$10)-MONTH($F14)))</f>
        <v>80</v>
      </c>
      <c r="U14" s="1366">
        <f t="shared" si="8"/>
        <v>92</v>
      </c>
      <c r="V14" s="29">
        <f t="shared" si="9"/>
        <v>123333333</v>
      </c>
      <c r="W14" s="29">
        <f t="shared" si="9"/>
        <v>141833333</v>
      </c>
      <c r="X14" s="29">
        <f t="shared" si="4"/>
        <v>18500000</v>
      </c>
      <c r="Y14" s="29">
        <f t="shared" si="5"/>
        <v>6166667</v>
      </c>
      <c r="Z14" s="29">
        <f t="shared" si="10"/>
        <v>0</v>
      </c>
      <c r="AA14" s="1366">
        <f t="shared" si="6"/>
        <v>-1541667</v>
      </c>
    </row>
    <row r="15" s="64" customFormat="1" spans="2:27">
      <c r="B15" s="1366">
        <f t="shared" si="7"/>
        <v>3</v>
      </c>
      <c r="C15" s="29" t="s">
        <v>11996</v>
      </c>
      <c r="D15" s="29">
        <v>1</v>
      </c>
      <c r="E15" s="1363">
        <v>0.25</v>
      </c>
      <c r="F15" s="1374">
        <v>42365</v>
      </c>
      <c r="G15" s="1366">
        <v>4</v>
      </c>
      <c r="H15" s="29">
        <f t="shared" si="0"/>
        <v>48</v>
      </c>
      <c r="I15" s="1366">
        <v>25400000</v>
      </c>
      <c r="J15" s="1366">
        <v>0</v>
      </c>
      <c r="K15" s="1366">
        <f t="shared" si="1"/>
        <v>25400000</v>
      </c>
      <c r="L15" s="1366">
        <v>25400000</v>
      </c>
      <c r="M15" s="29">
        <v>0</v>
      </c>
      <c r="N15" s="1366">
        <f t="shared" si="2"/>
        <v>25400000</v>
      </c>
      <c r="O15" s="1366">
        <f t="shared" si="3"/>
        <v>0</v>
      </c>
      <c r="P15">
        <f>ROUND(K15*E15/12,0)</f>
        <v>529167</v>
      </c>
      <c r="Q15">
        <f>P15*12</f>
        <v>6350004</v>
      </c>
      <c r="R15">
        <f>M15-Q15</f>
        <v>-6350004</v>
      </c>
      <c r="T15" s="1366">
        <f t="shared" si="8"/>
        <v>72</v>
      </c>
      <c r="U15" s="1366">
        <f t="shared" si="8"/>
        <v>84</v>
      </c>
      <c r="V15" s="29">
        <f t="shared" si="9"/>
        <v>25400000</v>
      </c>
      <c r="W15" s="29">
        <f t="shared" si="9"/>
        <v>25400000</v>
      </c>
      <c r="X15" s="29">
        <f t="shared" si="4"/>
        <v>0</v>
      </c>
      <c r="Y15" s="29">
        <f t="shared" si="5"/>
        <v>0</v>
      </c>
      <c r="Z15" s="29">
        <f t="shared" si="10"/>
        <v>0</v>
      </c>
      <c r="AA15" s="1366">
        <f t="shared" si="6"/>
        <v>0</v>
      </c>
    </row>
    <row r="16" s="64" customFormat="1" spans="2:27">
      <c r="B16" s="1366">
        <f t="shared" si="7"/>
        <v>4</v>
      </c>
      <c r="C16" s="29" t="s">
        <v>11997</v>
      </c>
      <c r="D16" s="29">
        <v>1</v>
      </c>
      <c r="E16" s="1363">
        <v>0.25</v>
      </c>
      <c r="F16" s="1374">
        <v>42824</v>
      </c>
      <c r="G16" s="1366">
        <v>8</v>
      </c>
      <c r="H16" s="29">
        <f t="shared" si="0"/>
        <v>96</v>
      </c>
      <c r="I16" s="1366">
        <v>160000000</v>
      </c>
      <c r="J16" s="1366">
        <v>0</v>
      </c>
      <c r="K16" s="1366">
        <f t="shared" si="1"/>
        <v>160000000</v>
      </c>
      <c r="L16" s="1366">
        <v>93333333.3333333</v>
      </c>
      <c r="M16" s="29">
        <v>20000000</v>
      </c>
      <c r="N16" s="1366">
        <f t="shared" si="2"/>
        <v>113333333.333333</v>
      </c>
      <c r="O16" s="1366">
        <f t="shared" si="3"/>
        <v>46666666.6666667</v>
      </c>
      <c r="P16">
        <f>ROUND(K16*E16/12,0)</f>
        <v>3333333</v>
      </c>
      <c r="Q16">
        <f>P16*12</f>
        <v>39999996</v>
      </c>
      <c r="R16">
        <f>M16-Q16</f>
        <v>-19999996</v>
      </c>
      <c r="T16" s="1366">
        <f>IF(DAY($F16)&lt;=15,((YEAR(T$10)-YEAR($F16))*12+MONTH(T$10)-MONTH($F16))+1,((YEAR(T$10)-YEAR($F16))*12+MONTH(T$10)-MONTH($F16)))</f>
        <v>57</v>
      </c>
      <c r="U16" s="1366">
        <f>IF(DAY($F16)&lt;=15,((YEAR(U$10)-YEAR($F16))*12+MONTH(U$10)-MONTH($F16))+1,((YEAR(U$10)-YEAR($F16))*12+MONTH(U$10)-MONTH($F16)))</f>
        <v>69</v>
      </c>
      <c r="V16" s="29">
        <f t="shared" ref="V16:V24" si="11">ROUND(IF(T16&gt;$H16,$K16,($K16/$H16*T16)),0)</f>
        <v>95000000</v>
      </c>
      <c r="W16" s="29">
        <f t="shared" si="9"/>
        <v>115000000</v>
      </c>
      <c r="X16" s="29">
        <f t="shared" si="4"/>
        <v>20000000</v>
      </c>
      <c r="Y16" s="29">
        <f t="shared" si="5"/>
        <v>45000000</v>
      </c>
      <c r="Z16" s="29">
        <f t="shared" si="10"/>
        <v>0</v>
      </c>
      <c r="AA16" s="1366">
        <f t="shared" si="6"/>
        <v>1666666.66666666</v>
      </c>
    </row>
    <row r="17" s="64" customFormat="1" spans="2:27">
      <c r="B17" s="1366">
        <f t="shared" si="7"/>
        <v>5</v>
      </c>
      <c r="C17" s="29" t="s">
        <v>11998</v>
      </c>
      <c r="D17" s="29">
        <v>1</v>
      </c>
      <c r="E17" s="1363">
        <v>0.25</v>
      </c>
      <c r="F17" s="1374">
        <v>42857</v>
      </c>
      <c r="G17" s="1366">
        <v>8</v>
      </c>
      <c r="H17" s="29">
        <f t="shared" si="0"/>
        <v>96</v>
      </c>
      <c r="I17" s="1366">
        <v>26475000</v>
      </c>
      <c r="J17" s="1366">
        <v>0</v>
      </c>
      <c r="K17" s="1366">
        <f t="shared" si="1"/>
        <v>26475000</v>
      </c>
      <c r="L17" s="1366">
        <v>14340625</v>
      </c>
      <c r="M17" s="29">
        <v>3309375</v>
      </c>
      <c r="N17" s="1366">
        <f t="shared" si="2"/>
        <v>17650000</v>
      </c>
      <c r="O17" s="1366">
        <f t="shared" si="3"/>
        <v>8825000</v>
      </c>
      <c r="P17"/>
      <c r="Q17"/>
      <c r="R17"/>
      <c r="T17" s="1366">
        <f t="shared" ref="T17:U24" si="12">IF(DAY($F17)&lt;=15,((YEAR(T$10)-YEAR($F17))*12+MONTH(T$10)-MONTH($F17))+1,((YEAR(T$10)-YEAR($F17))*12+MONTH(T$10)-MONTH($F17)))</f>
        <v>56</v>
      </c>
      <c r="U17" s="1366">
        <f t="shared" si="12"/>
        <v>68</v>
      </c>
      <c r="V17" s="29">
        <f t="shared" si="11"/>
        <v>15443750</v>
      </c>
      <c r="W17" s="29">
        <f t="shared" ref="W17:W24" si="13">ROUND(IF(U17&gt;$H17,$K17,($K17/$H17*U17)),0)</f>
        <v>18753125</v>
      </c>
      <c r="X17" s="29">
        <f t="shared" si="4"/>
        <v>3309375</v>
      </c>
      <c r="Y17" s="29">
        <f t="shared" si="5"/>
        <v>7721875</v>
      </c>
      <c r="Z17" s="29">
        <f t="shared" si="10"/>
        <v>0</v>
      </c>
      <c r="AA17" s="1366">
        <f t="shared" si="6"/>
        <v>1103125</v>
      </c>
    </row>
    <row r="18" s="64" customFormat="1" spans="2:27">
      <c r="B18" s="1366">
        <f t="shared" si="7"/>
        <v>6</v>
      </c>
      <c r="C18" s="29" t="s">
        <v>11999</v>
      </c>
      <c r="D18" s="29">
        <v>1</v>
      </c>
      <c r="E18" s="1363">
        <v>0.25</v>
      </c>
      <c r="F18" s="1374">
        <v>43325</v>
      </c>
      <c r="G18" s="1366">
        <v>8</v>
      </c>
      <c r="H18" s="29">
        <f t="shared" si="0"/>
        <v>96</v>
      </c>
      <c r="I18" s="1366">
        <v>260000000</v>
      </c>
      <c r="J18" s="1366">
        <v>0</v>
      </c>
      <c r="K18" s="1366">
        <f t="shared" si="1"/>
        <v>260000000</v>
      </c>
      <c r="L18" s="1366">
        <v>111041666.666667</v>
      </c>
      <c r="M18" s="29">
        <v>32500000</v>
      </c>
      <c r="N18" s="1366">
        <f t="shared" si="2"/>
        <v>143541666.666667</v>
      </c>
      <c r="O18" s="1366">
        <f t="shared" si="3"/>
        <v>116458333.333333</v>
      </c>
      <c r="P18"/>
      <c r="Q18"/>
      <c r="R18"/>
      <c r="T18" s="1366">
        <f t="shared" si="12"/>
        <v>41</v>
      </c>
      <c r="U18" s="1366">
        <f t="shared" si="12"/>
        <v>53</v>
      </c>
      <c r="V18" s="29">
        <f t="shared" si="11"/>
        <v>111041667</v>
      </c>
      <c r="W18" s="29">
        <f t="shared" si="13"/>
        <v>143541667</v>
      </c>
      <c r="X18" s="29">
        <f t="shared" si="4"/>
        <v>32500000</v>
      </c>
      <c r="Y18" s="29">
        <f t="shared" si="5"/>
        <v>116458333</v>
      </c>
      <c r="Z18" s="29">
        <f t="shared" si="10"/>
        <v>0</v>
      </c>
      <c r="AA18" s="1366">
        <f t="shared" si="6"/>
        <v>0.333333313465118</v>
      </c>
    </row>
    <row r="19" s="64" customFormat="1" spans="2:27">
      <c r="B19" s="1366">
        <f t="shared" si="7"/>
        <v>7</v>
      </c>
      <c r="C19" s="29" t="s">
        <v>12000</v>
      </c>
      <c r="D19" s="29">
        <v>1</v>
      </c>
      <c r="E19" s="1363">
        <v>0.25</v>
      </c>
      <c r="F19" s="1374">
        <v>43346</v>
      </c>
      <c r="G19" s="1366">
        <v>8</v>
      </c>
      <c r="H19" s="29">
        <f t="shared" si="0"/>
        <v>96</v>
      </c>
      <c r="I19" s="1366">
        <v>202272576</v>
      </c>
      <c r="J19" s="1366">
        <v>0</v>
      </c>
      <c r="K19" s="1366">
        <f t="shared" si="1"/>
        <v>202272576</v>
      </c>
      <c r="L19" s="1366">
        <v>84280240</v>
      </c>
      <c r="M19" s="29">
        <v>25284072</v>
      </c>
      <c r="N19" s="1366">
        <f t="shared" si="2"/>
        <v>109564312</v>
      </c>
      <c r="O19" s="1366">
        <f t="shared" si="3"/>
        <v>92708264</v>
      </c>
      <c r="P19"/>
      <c r="Q19"/>
      <c r="R19"/>
      <c r="T19" s="1366">
        <f t="shared" ref="T19:T24" si="14">IF(DAY($F19)&lt;=15,((YEAR(T$10)-YEAR($F19))*12+MONTH(T$10)-MONTH($F19))+1,((YEAR(T$10)-YEAR($F19))*12+MONTH(T$10)-MONTH($F19)))</f>
        <v>40</v>
      </c>
      <c r="U19" s="1366">
        <f t="shared" si="12"/>
        <v>52</v>
      </c>
      <c r="V19" s="29">
        <f t="shared" si="11"/>
        <v>84280240</v>
      </c>
      <c r="W19" s="29">
        <f t="shared" si="13"/>
        <v>109564312</v>
      </c>
      <c r="X19" s="29">
        <f t="shared" si="4"/>
        <v>25284072</v>
      </c>
      <c r="Y19" s="29">
        <f t="shared" si="5"/>
        <v>92708264</v>
      </c>
      <c r="Z19" s="29">
        <f t="shared" si="10"/>
        <v>0</v>
      </c>
      <c r="AA19" s="1366">
        <f t="shared" si="6"/>
        <v>0</v>
      </c>
    </row>
    <row r="20" s="64" customFormat="1" hidden="1" spans="2:27">
      <c r="B20" s="1366">
        <f t="shared" si="7"/>
        <v>8</v>
      </c>
      <c r="C20" s="29" t="s">
        <v>12001</v>
      </c>
      <c r="D20" s="29">
        <v>1</v>
      </c>
      <c r="E20" s="1363">
        <v>0.25</v>
      </c>
      <c r="F20" s="1374">
        <v>43361</v>
      </c>
      <c r="G20" s="1366">
        <v>8</v>
      </c>
      <c r="H20" s="29">
        <f t="shared" si="0"/>
        <v>96</v>
      </c>
      <c r="I20" s="1366">
        <v>0</v>
      </c>
      <c r="J20" s="1366">
        <v>0</v>
      </c>
      <c r="K20" s="1366">
        <f t="shared" si="1"/>
        <v>0</v>
      </c>
      <c r="L20" s="1366">
        <v>0.333333343267441</v>
      </c>
      <c r="M20" s="29">
        <v>0</v>
      </c>
      <c r="N20" s="1366">
        <f t="shared" si="2"/>
        <v>0.333333343267441</v>
      </c>
      <c r="O20" s="1366">
        <f t="shared" si="3"/>
        <v>-0.333333343267441</v>
      </c>
      <c r="P20"/>
      <c r="Q20"/>
      <c r="R20"/>
      <c r="T20" s="1366">
        <f t="shared" si="14"/>
        <v>39</v>
      </c>
      <c r="U20" s="1366">
        <f t="shared" si="12"/>
        <v>51</v>
      </c>
      <c r="V20" s="29">
        <f t="shared" si="11"/>
        <v>0</v>
      </c>
      <c r="W20" s="29">
        <f t="shared" si="13"/>
        <v>0</v>
      </c>
      <c r="X20" s="29">
        <f t="shared" si="4"/>
        <v>0</v>
      </c>
      <c r="Y20" s="29">
        <f t="shared" si="5"/>
        <v>0</v>
      </c>
      <c r="Z20" s="29">
        <f t="shared" si="10"/>
        <v>0</v>
      </c>
      <c r="AA20" s="1366">
        <f t="shared" si="6"/>
        <v>-0.333333343267441</v>
      </c>
    </row>
    <row r="21" s="64" customFormat="1" hidden="1" spans="2:27">
      <c r="B21" s="1366">
        <f t="shared" si="7"/>
        <v>9</v>
      </c>
      <c r="C21" s="29" t="s">
        <v>12002</v>
      </c>
      <c r="D21" s="29">
        <v>1</v>
      </c>
      <c r="E21" s="1363">
        <v>0.25</v>
      </c>
      <c r="F21" s="1374">
        <v>43361</v>
      </c>
      <c r="G21" s="1366">
        <v>8</v>
      </c>
      <c r="H21" s="29">
        <f t="shared" si="0"/>
        <v>96</v>
      </c>
      <c r="I21" s="1366">
        <v>0</v>
      </c>
      <c r="J21" s="1366">
        <v>0</v>
      </c>
      <c r="K21" s="1366">
        <f t="shared" si="1"/>
        <v>0</v>
      </c>
      <c r="L21" s="1366">
        <v>0.333333343267441</v>
      </c>
      <c r="M21" s="29">
        <v>0</v>
      </c>
      <c r="N21" s="1366">
        <f t="shared" si="2"/>
        <v>0.333333343267441</v>
      </c>
      <c r="O21" s="1366">
        <f t="shared" si="3"/>
        <v>-0.333333343267441</v>
      </c>
      <c r="P21"/>
      <c r="Q21"/>
      <c r="R21"/>
      <c r="T21" s="1366">
        <f t="shared" si="14"/>
        <v>39</v>
      </c>
      <c r="U21" s="1366">
        <f t="shared" si="12"/>
        <v>51</v>
      </c>
      <c r="V21" s="29">
        <f t="shared" si="11"/>
        <v>0</v>
      </c>
      <c r="W21" s="29">
        <f t="shared" si="13"/>
        <v>0</v>
      </c>
      <c r="X21" s="29">
        <f t="shared" si="4"/>
        <v>0</v>
      </c>
      <c r="Y21" s="29">
        <f t="shared" si="5"/>
        <v>0</v>
      </c>
      <c r="Z21" s="29">
        <f t="shared" si="10"/>
        <v>0</v>
      </c>
      <c r="AA21" s="1366">
        <f t="shared" si="6"/>
        <v>-0.333333343267441</v>
      </c>
    </row>
    <row r="22" s="64" customFormat="1" spans="2:27">
      <c r="B22" s="1366">
        <f>+B19+1</f>
        <v>8</v>
      </c>
      <c r="C22" s="29" t="s">
        <v>12003</v>
      </c>
      <c r="D22" s="29">
        <v>1</v>
      </c>
      <c r="E22" s="1363">
        <v>0.25</v>
      </c>
      <c r="F22" s="1374">
        <v>43434</v>
      </c>
      <c r="G22" s="1366">
        <v>8</v>
      </c>
      <c r="H22" s="29">
        <f t="shared" si="0"/>
        <v>96</v>
      </c>
      <c r="I22" s="1366">
        <v>515000000</v>
      </c>
      <c r="J22" s="1366">
        <v>0</v>
      </c>
      <c r="K22" s="1366">
        <f t="shared" si="1"/>
        <v>515000000</v>
      </c>
      <c r="L22" s="1366">
        <v>203854166.666667</v>
      </c>
      <c r="M22" s="29">
        <v>64375000</v>
      </c>
      <c r="N22" s="1366">
        <f t="shared" si="2"/>
        <v>268229166.666667</v>
      </c>
      <c r="O22" s="1366">
        <f t="shared" si="3"/>
        <v>246770833.333333</v>
      </c>
      <c r="P22"/>
      <c r="Q22"/>
      <c r="R22"/>
      <c r="T22" s="1366">
        <f t="shared" si="14"/>
        <v>37</v>
      </c>
      <c r="U22" s="1366">
        <f t="shared" si="12"/>
        <v>49</v>
      </c>
      <c r="V22" s="29">
        <f t="shared" si="11"/>
        <v>198489583</v>
      </c>
      <c r="W22" s="29">
        <f t="shared" si="13"/>
        <v>262864583</v>
      </c>
      <c r="X22" s="29">
        <f t="shared" si="4"/>
        <v>64375000</v>
      </c>
      <c r="Y22" s="29">
        <f t="shared" si="5"/>
        <v>252135417</v>
      </c>
      <c r="Z22" s="29">
        <f t="shared" si="10"/>
        <v>0</v>
      </c>
      <c r="AA22" s="1366">
        <f t="shared" si="6"/>
        <v>-5364583.66666669</v>
      </c>
    </row>
    <row r="23" s="64" customFormat="1" spans="2:27">
      <c r="B23" s="1366">
        <f t="shared" si="7"/>
        <v>9</v>
      </c>
      <c r="C23" s="29" t="s">
        <v>12004</v>
      </c>
      <c r="D23" s="29">
        <v>1</v>
      </c>
      <c r="E23" s="1363">
        <v>0.25</v>
      </c>
      <c r="F23" s="1374">
        <v>43676</v>
      </c>
      <c r="G23" s="1366">
        <v>8</v>
      </c>
      <c r="H23" s="29">
        <f t="shared" si="0"/>
        <v>96</v>
      </c>
      <c r="I23" s="1366">
        <v>134050000</v>
      </c>
      <c r="J23" s="1366">
        <v>0</v>
      </c>
      <c r="K23" s="1366">
        <f t="shared" si="1"/>
        <v>134050000</v>
      </c>
      <c r="L23" s="1366">
        <v>41890625</v>
      </c>
      <c r="M23" s="29">
        <v>16756250</v>
      </c>
      <c r="N23" s="1366">
        <f t="shared" si="2"/>
        <v>58646875</v>
      </c>
      <c r="O23" s="1366">
        <f t="shared" si="3"/>
        <v>75403125</v>
      </c>
      <c r="P23"/>
      <c r="Q23"/>
      <c r="R23"/>
      <c r="T23" s="1366">
        <f t="shared" si="14"/>
        <v>29</v>
      </c>
      <c r="U23" s="1366">
        <f t="shared" si="12"/>
        <v>41</v>
      </c>
      <c r="V23" s="29">
        <f t="shared" si="11"/>
        <v>40494271</v>
      </c>
      <c r="W23" s="29">
        <f t="shared" si="13"/>
        <v>57250521</v>
      </c>
      <c r="X23" s="29">
        <f t="shared" si="4"/>
        <v>16756250</v>
      </c>
      <c r="Y23" s="29">
        <f t="shared" si="5"/>
        <v>76799479</v>
      </c>
      <c r="Z23" s="29">
        <f t="shared" si="10"/>
        <v>0</v>
      </c>
      <c r="AA23" s="1366">
        <f t="shared" si="6"/>
        <v>-1396354</v>
      </c>
    </row>
    <row r="24" s="64" customFormat="1" spans="2:27">
      <c r="B24" s="1366">
        <f t="shared" si="7"/>
        <v>10</v>
      </c>
      <c r="C24" s="29" t="s">
        <v>12005</v>
      </c>
      <c r="D24" s="29">
        <v>1</v>
      </c>
      <c r="E24" s="1363">
        <v>0.25</v>
      </c>
      <c r="F24" s="1374">
        <v>43692</v>
      </c>
      <c r="G24" s="1366">
        <v>8</v>
      </c>
      <c r="H24" s="29">
        <f t="shared" si="0"/>
        <v>96</v>
      </c>
      <c r="I24" s="1366">
        <v>515000000</v>
      </c>
      <c r="J24" s="1366">
        <v>0</v>
      </c>
      <c r="K24" s="1366">
        <f t="shared" si="1"/>
        <v>515000000</v>
      </c>
      <c r="L24" s="1366">
        <v>155572916.666667</v>
      </c>
      <c r="M24" s="29">
        <v>64375000</v>
      </c>
      <c r="N24" s="1366">
        <f t="shared" si="2"/>
        <v>219947916.666667</v>
      </c>
      <c r="O24" s="1366">
        <f t="shared" si="3"/>
        <v>295052083.333333</v>
      </c>
      <c r="P24"/>
      <c r="Q24"/>
      <c r="R24"/>
      <c r="T24" s="1366">
        <f t="shared" si="14"/>
        <v>29</v>
      </c>
      <c r="U24" s="1366">
        <f t="shared" si="12"/>
        <v>41</v>
      </c>
      <c r="V24" s="29">
        <f t="shared" si="11"/>
        <v>155572917</v>
      </c>
      <c r="W24" s="29">
        <f t="shared" si="13"/>
        <v>219947917</v>
      </c>
      <c r="X24" s="29">
        <f t="shared" si="4"/>
        <v>64375000</v>
      </c>
      <c r="Y24" s="29">
        <f t="shared" si="5"/>
        <v>295052083</v>
      </c>
      <c r="Z24" s="29">
        <f t="shared" si="10"/>
        <v>0</v>
      </c>
      <c r="AA24" s="1366">
        <f t="shared" si="6"/>
        <v>0.333333373069763</v>
      </c>
    </row>
    <row r="25" s="64" customFormat="1" spans="2:27">
      <c r="B25" s="1366"/>
      <c r="C25" s="1366"/>
      <c r="D25" s="29"/>
      <c r="E25" s="1363"/>
      <c r="F25" s="29"/>
      <c r="G25" s="1366"/>
      <c r="H25" s="29"/>
      <c r="I25" s="1366"/>
      <c r="J25" s="1366"/>
      <c r="K25" s="1366"/>
      <c r="L25" s="1366"/>
      <c r="M25" s="29"/>
      <c r="N25" s="1366"/>
      <c r="O25" s="1366"/>
      <c r="P25"/>
      <c r="Q25"/>
      <c r="R25"/>
      <c r="T25" s="1366"/>
      <c r="U25" s="1366"/>
      <c r="V25" s="29"/>
      <c r="W25" s="29"/>
      <c r="X25" s="29"/>
      <c r="Y25" s="29"/>
      <c r="Z25" s="29"/>
      <c r="AA25" s="1366"/>
    </row>
    <row r="26" s="64" customFormat="1" spans="2:27">
      <c r="B26" s="1366"/>
      <c r="D26" s="2667"/>
      <c r="E26" s="1363"/>
      <c r="F26" s="1366"/>
      <c r="G26" s="1366"/>
      <c r="H26" s="1366"/>
      <c r="I26" s="1366"/>
      <c r="K26" s="1366"/>
      <c r="L26" s="1366"/>
      <c r="M26" s="1366"/>
      <c r="N26" s="1366"/>
      <c r="O26" s="1366"/>
      <c r="P26" s="2644"/>
      <c r="Q26"/>
      <c r="R26"/>
      <c r="T26" s="1366"/>
      <c r="U26" s="1366"/>
      <c r="V26" s="1366"/>
      <c r="W26" s="1366"/>
      <c r="X26" s="1366"/>
      <c r="Y26" s="1366"/>
      <c r="Z26" s="1366"/>
      <c r="AA26" s="1366"/>
    </row>
    <row r="27" s="64" customFormat="1" ht="12" spans="2:27">
      <c r="B27" s="2659"/>
      <c r="C27" s="2659" t="s">
        <v>151</v>
      </c>
      <c r="D27" s="2660"/>
      <c r="E27" s="1363"/>
      <c r="F27" s="2659"/>
      <c r="G27" s="2659"/>
      <c r="H27" s="1366"/>
      <c r="I27" s="754">
        <f>SUM(I12:I26)</f>
        <v>1993697576</v>
      </c>
      <c r="J27" s="754">
        <f>SUM(J12:J25)</f>
        <v>0</v>
      </c>
      <c r="K27" s="754">
        <f>SUM(K12:K26)</f>
        <v>1993697576</v>
      </c>
      <c r="L27" s="754">
        <f>SUM(L12:L26)</f>
        <v>862088574</v>
      </c>
      <c r="M27" s="754">
        <f>SUM(M12:M26)</f>
        <v>245099697</v>
      </c>
      <c r="N27" s="754">
        <f>SUM(N12:N26)</f>
        <v>1107188271</v>
      </c>
      <c r="O27" s="754">
        <f>SUM(O12:O26)</f>
        <v>886509305</v>
      </c>
      <c r="P27">
        <f>SUM(P12:P25)</f>
        <v>7102083</v>
      </c>
      <c r="Q27">
        <f>SUM(Q12:Q25)</f>
        <v>83349996</v>
      </c>
      <c r="R27">
        <f>SUM(R12:R25)</f>
        <v>-44849996</v>
      </c>
      <c r="T27" s="1366" t="s">
        <v>171</v>
      </c>
      <c r="U27" s="1366" t="s">
        <v>171</v>
      </c>
      <c r="V27" s="29">
        <f t="shared" ref="V27:AA27" si="15">SUM(V12:V25)</f>
        <v>856555761</v>
      </c>
      <c r="W27" s="29">
        <f t="shared" si="15"/>
        <v>1101655458</v>
      </c>
      <c r="X27" s="29">
        <f t="shared" si="15"/>
        <v>245099697</v>
      </c>
      <c r="Y27" s="29">
        <f t="shared" si="15"/>
        <v>892042118</v>
      </c>
      <c r="Z27" s="29">
        <f t="shared" si="15"/>
        <v>0</v>
      </c>
      <c r="AA27" s="29">
        <f t="shared" si="15"/>
        <v>-5532813.00000003</v>
      </c>
    </row>
    <row r="28" s="64" customFormat="1" spans="2:17">
      <c r="B28" s="2669" t="s">
        <v>12006</v>
      </c>
      <c r="C28" s="2635"/>
      <c r="D28" s="2636"/>
      <c r="E28" s="724"/>
      <c r="Q28" s="64">
        <f>Q27-M27</f>
        <v>-161749701</v>
      </c>
    </row>
    <row r="29" s="64" customFormat="1" spans="2:5">
      <c r="B29"/>
      <c r="C29" s="2635"/>
      <c r="D29" s="2636"/>
      <c r="E29" s="724"/>
    </row>
    <row r="30" s="64" customFormat="1" spans="2:25">
      <c r="B30" s="64" t="s">
        <v>11930</v>
      </c>
      <c r="C30" s="2635"/>
      <c r="D30" s="2636"/>
      <c r="E30" s="724"/>
      <c r="I30" s="64">
        <f>+UV!O15</f>
        <v>1993697576</v>
      </c>
      <c r="J30" s="64">
        <f>+UV!P15</f>
        <v>0</v>
      </c>
      <c r="K30" s="64">
        <f>UV!J15</f>
        <v>1993697576</v>
      </c>
      <c r="L30" s="64">
        <f>UV!O27</f>
        <v>862088573.875</v>
      </c>
      <c r="M30" s="64">
        <f>UV!P27</f>
        <v>245099697</v>
      </c>
      <c r="N30" s="64">
        <f>UV!R27</f>
        <v>1107188270.875</v>
      </c>
      <c r="O30" s="64">
        <f>K30-N30</f>
        <v>886509305.125</v>
      </c>
      <c r="T30" s="64" t="s">
        <v>11960</v>
      </c>
      <c r="V30" s="64">
        <f>+UV!O27</f>
        <v>862088573.875</v>
      </c>
      <c r="W30" s="64">
        <f>+UV!R27</f>
        <v>1107188270.875</v>
      </c>
      <c r="X30" s="64">
        <f>M27</f>
        <v>245099697</v>
      </c>
      <c r="Y30" s="64">
        <f>O27</f>
        <v>886509305</v>
      </c>
    </row>
    <row r="31" s="781" customFormat="1" spans="2:25">
      <c r="B31" s="781" t="s">
        <v>146</v>
      </c>
      <c r="C31"/>
      <c r="D31" t="s">
        <v>12007</v>
      </c>
      <c r="E31"/>
      <c r="I31" s="781">
        <f t="shared" ref="I31:O31" si="16">I27-I30</f>
        <v>0</v>
      </c>
      <c r="J31" s="781">
        <f t="shared" si="16"/>
        <v>0</v>
      </c>
      <c r="K31" s="781">
        <f t="shared" si="16"/>
        <v>0</v>
      </c>
      <c r="L31" s="781">
        <f t="shared" si="16"/>
        <v>0.12500011920929</v>
      </c>
      <c r="M31" s="781">
        <f t="shared" si="16"/>
        <v>0</v>
      </c>
      <c r="N31" s="781">
        <f t="shared" si="16"/>
        <v>0.125000238418579</v>
      </c>
      <c r="O31" s="781">
        <f t="shared" si="16"/>
        <v>-0.12500011920929</v>
      </c>
      <c r="T31" s="781" t="s">
        <v>10090</v>
      </c>
      <c r="V31" s="781">
        <f>V27-V30</f>
        <v>-5532812.875</v>
      </c>
      <c r="W31" s="781">
        <f>W27-W30</f>
        <v>-5532812.875</v>
      </c>
      <c r="X31" s="781">
        <f>X27-X30</f>
        <v>0</v>
      </c>
      <c r="Y31" s="781">
        <f>Y27-Y30</f>
        <v>5532813.00000012</v>
      </c>
    </row>
    <row r="32" ht="13.2" spans="22:26">
      <c r="V32" s="101"/>
      <c r="W32" s="101"/>
      <c r="X32" s="101"/>
      <c r="Y32" s="101"/>
      <c r="Z32" s="101"/>
    </row>
    <row r="33" customFormat="1" ht="13.2" spans="3:26">
      <c r="C33" s="2623"/>
      <c r="D33" s="2542"/>
      <c r="E33" s="2670" t="s">
        <v>12008</v>
      </c>
      <c r="V33" s="101"/>
      <c r="W33" s="101"/>
      <c r="X33" s="101"/>
      <c r="Y33" s="101"/>
      <c r="Z33" s="101"/>
    </row>
    <row r="34" customFormat="1" ht="13.2" spans="2:26">
      <c r="B34">
        <v>1</v>
      </c>
      <c r="C34" s="2623" t="s">
        <v>12009</v>
      </c>
      <c r="D34" s="2542"/>
      <c r="E34" s="724" t="s">
        <v>12010</v>
      </c>
      <c r="V34" s="101"/>
      <c r="W34" s="101"/>
      <c r="X34" s="101"/>
      <c r="Y34" s="101"/>
      <c r="Z34" s="101"/>
    </row>
    <row r="35" customFormat="1" ht="13.2" spans="2:26">
      <c r="B35">
        <f>+B34+1</f>
        <v>2</v>
      </c>
      <c r="C35" s="2623" t="s">
        <v>12011</v>
      </c>
      <c r="D35" s="2542"/>
      <c r="E35" s="724" t="s">
        <v>12012</v>
      </c>
      <c r="V35" s="101"/>
      <c r="W35" s="101"/>
      <c r="X35" s="101"/>
      <c r="Y35" s="101"/>
      <c r="Z35" s="101"/>
    </row>
    <row r="36" customFormat="1" ht="13.2" spans="2:26">
      <c r="B36">
        <f t="shared" ref="B36:B43" si="17">+B35+1</f>
        <v>3</v>
      </c>
      <c r="C36" s="2623" t="s">
        <v>12013</v>
      </c>
      <c r="D36" s="2542"/>
      <c r="E36" s="724" t="s">
        <v>12012</v>
      </c>
      <c r="V36" s="101"/>
      <c r="W36" s="101"/>
      <c r="X36" s="101"/>
      <c r="Y36" s="101"/>
      <c r="Z36" s="101"/>
    </row>
    <row r="37" spans="2:5">
      <c r="B37">
        <f t="shared" si="17"/>
        <v>4</v>
      </c>
      <c r="C37" s="2623" t="s">
        <v>12014</v>
      </c>
      <c r="E37" s="724" t="s">
        <v>12015</v>
      </c>
    </row>
    <row r="38" customFormat="1" spans="2:5">
      <c r="B38">
        <f t="shared" si="17"/>
        <v>5</v>
      </c>
      <c r="C38" s="2623" t="s">
        <v>12016</v>
      </c>
      <c r="D38" s="2542"/>
      <c r="E38" s="724" t="s">
        <v>12017</v>
      </c>
    </row>
    <row r="39" customFormat="1" spans="2:5">
      <c r="B39">
        <f t="shared" si="17"/>
        <v>6</v>
      </c>
      <c r="C39" s="2623" t="str">
        <f>+C18</f>
        <v>BMW X1Sdrive 1,8 AT CKD 2012</v>
      </c>
      <c r="D39" s="2542"/>
      <c r="E39" s="724" t="s">
        <v>12012</v>
      </c>
    </row>
    <row r="40" customFormat="1" spans="2:5">
      <c r="B40">
        <f t="shared" si="17"/>
        <v>7</v>
      </c>
      <c r="C40" s="2623" t="str">
        <f>+C19</f>
        <v>Mobil Hyundai H1</v>
      </c>
      <c r="D40" s="2542"/>
      <c r="E40" s="724" t="s">
        <v>12012</v>
      </c>
    </row>
    <row r="41" customFormat="1" spans="2:5">
      <c r="B41">
        <f t="shared" si="17"/>
        <v>8</v>
      </c>
      <c r="C41" s="2623" t="str">
        <f>+C22</f>
        <v>Nissan Tera 2.5 (4x2)VL 2018</v>
      </c>
      <c r="D41" s="2542"/>
      <c r="E41" s="724" t="s">
        <v>12018</v>
      </c>
    </row>
    <row r="42" customFormat="1" spans="2:5">
      <c r="B42">
        <f t="shared" si="17"/>
        <v>9</v>
      </c>
      <c r="C42" s="2623" t="str">
        <f>+C23</f>
        <v>Daihatsu Sigra 1,2 R M/T</v>
      </c>
      <c r="D42" s="2542"/>
      <c r="E42" s="724" t="s">
        <v>12019</v>
      </c>
    </row>
    <row r="43" customFormat="1" spans="2:5">
      <c r="B43">
        <f t="shared" si="17"/>
        <v>10</v>
      </c>
      <c r="C43" s="2623" t="str">
        <f>+C24</f>
        <v>Nissan Tera 2.5 BP (4x2)VL 2018</v>
      </c>
      <c r="D43" s="2542"/>
      <c r="E43" s="724" t="s">
        <v>12020</v>
      </c>
    </row>
    <row r="44" customFormat="1" spans="3:5">
      <c r="C44" s="2623"/>
      <c r="D44" s="2542"/>
      <c r="E44" s="724"/>
    </row>
    <row r="45" customFormat="1" spans="2:5">
      <c r="B45" t="s">
        <v>12021</v>
      </c>
      <c r="C45" s="2623"/>
      <c r="D45" s="2542"/>
      <c r="E45" s="724"/>
    </row>
    <row r="46" customFormat="1" spans="3:5">
      <c r="C46" s="2623"/>
      <c r="D46" s="2542"/>
      <c r="E46" s="724"/>
    </row>
    <row r="47" customFormat="1" spans="3:5">
      <c r="C47" s="2623"/>
      <c r="D47" s="2542"/>
      <c r="E47" s="724"/>
    </row>
    <row r="49" customFormat="1" spans="3:5">
      <c r="C49" s="2623"/>
      <c r="D49" s="2542"/>
      <c r="E49" s="724"/>
    </row>
    <row r="50" customFormat="1" spans="3:5">
      <c r="C50" s="2623"/>
      <c r="D50" s="2542"/>
      <c r="E50" s="724"/>
    </row>
    <row r="51" customFormat="1" spans="3:5">
      <c r="C51" s="2623"/>
      <c r="D51" s="2542"/>
      <c r="E51" s="724"/>
    </row>
    <row r="52" customFormat="1" spans="3:5">
      <c r="C52" s="2623"/>
      <c r="D52" s="2542"/>
      <c r="E52" s="724"/>
    </row>
    <row r="53" ht="12" spans="2:5">
      <c r="B53" s="2661" t="s">
        <v>11981</v>
      </c>
      <c r="D53" s="2662"/>
      <c r="E53" s="2479"/>
    </row>
    <row r="54" spans="3:5">
      <c r="C54" t="s">
        <v>11982</v>
      </c>
      <c r="D54" s="2662"/>
      <c r="E54" s="2479"/>
    </row>
    <row r="55" spans="3:9">
      <c r="C55" t="s">
        <v>11983</v>
      </c>
      <c r="D55" s="2662">
        <v>20</v>
      </c>
      <c r="E55" s="2479"/>
      <c r="I55">
        <f>'20'!L16</f>
        <v>155956751</v>
      </c>
    </row>
    <row r="56" spans="3:9">
      <c r="C56" t="s">
        <v>11984</v>
      </c>
      <c r="D56" s="5135" t="s">
        <v>11985</v>
      </c>
      <c r="E56" s="2479"/>
      <c r="I56">
        <v>0</v>
      </c>
    </row>
    <row r="57" spans="3:9">
      <c r="C57" t="s">
        <v>11986</v>
      </c>
      <c r="D57" s="5135" t="s">
        <v>11987</v>
      </c>
      <c r="E57" s="2479"/>
      <c r="I57">
        <v>0</v>
      </c>
    </row>
    <row r="58" spans="3:9">
      <c r="C58" t="s">
        <v>151</v>
      </c>
      <c r="D58" s="2662"/>
      <c r="E58" s="2479"/>
      <c r="I58" s="1093">
        <f>SUM(I55:I56)</f>
        <v>155956751</v>
      </c>
    </row>
    <row r="59" spans="3:9">
      <c r="C59" t="s">
        <v>11988</v>
      </c>
      <c r="D59" s="2662"/>
      <c r="E59" s="2479"/>
      <c r="I59">
        <f>+M30</f>
        <v>245099697</v>
      </c>
    </row>
    <row r="60" spans="3:9">
      <c r="C60" t="s">
        <v>11989</v>
      </c>
      <c r="D60" s="2662"/>
      <c r="E60" s="2479"/>
      <c r="I60" s="1093">
        <f>I58-I59</f>
        <v>-89142946</v>
      </c>
    </row>
    <row r="64" spans="3:12">
      <c r="C64"/>
      <c r="D64"/>
      <c r="E64"/>
      <c r="I64" t="s">
        <v>11990</v>
      </c>
      <c r="L64" t="s">
        <v>11991</v>
      </c>
    </row>
    <row r="65" spans="3:13">
      <c r="C65" t="s">
        <v>12022</v>
      </c>
      <c r="D65"/>
      <c r="E65"/>
      <c r="I65" t="s">
        <v>12023</v>
      </c>
      <c r="L65" t="s">
        <v>12024</v>
      </c>
      <c r="M65" t="s">
        <v>12025</v>
      </c>
    </row>
    <row r="66" spans="3:12">
      <c r="C66" t="s">
        <v>12026</v>
      </c>
      <c r="D66"/>
      <c r="E66"/>
      <c r="L66">
        <v>2018</v>
      </c>
    </row>
    <row r="67" spans="3:13">
      <c r="C67" t="s">
        <v>12027</v>
      </c>
      <c r="D67"/>
      <c r="E67"/>
      <c r="I67">
        <v>627950000</v>
      </c>
      <c r="L67">
        <v>675000000</v>
      </c>
      <c r="M67">
        <f>I67+L67</f>
        <v>1302950000</v>
      </c>
    </row>
    <row r="68" spans="3:13">
      <c r="C68" t="s">
        <v>12028</v>
      </c>
      <c r="D68" t="s">
        <v>12029</v>
      </c>
      <c r="E68"/>
      <c r="F68">
        <v>465158420</v>
      </c>
      <c r="I68">
        <v>484883000</v>
      </c>
      <c r="L68">
        <v>558907500</v>
      </c>
      <c r="M68">
        <f>I68+L68</f>
        <v>1043790500</v>
      </c>
    </row>
    <row r="69" spans="3:13">
      <c r="C69"/>
      <c r="D69" t="s">
        <v>12030</v>
      </c>
      <c r="E69"/>
      <c r="F69" t="str">
        <f>'[97]GL WPb 2018'!$G$3941</f>
        <v>26 Sep 2018</v>
      </c>
      <c r="I69">
        <v>10000000</v>
      </c>
      <c r="M69">
        <f>I69+L69</f>
        <v>10000000</v>
      </c>
    </row>
    <row r="70" ht="12" spans="3:15">
      <c r="C70" t="s">
        <v>12031</v>
      </c>
      <c r="D70"/>
      <c r="E70"/>
      <c r="I70" s="94">
        <f>I67-I68-I69</f>
        <v>133067000</v>
      </c>
      <c r="J70" s="94"/>
      <c r="K70" s="94"/>
      <c r="L70" s="94">
        <f>L67-L68-L69</f>
        <v>116092500</v>
      </c>
      <c r="M70" s="94">
        <f>M67-M68-M69</f>
        <v>249159500</v>
      </c>
      <c r="N70" s="94" t="e">
        <f>'F2'!#REF!</f>
        <v>#REF!</v>
      </c>
      <c r="O70" t="e">
        <f>M70-N70</f>
        <v>#REF!</v>
      </c>
    </row>
    <row r="71" spans="3:15">
      <c r="C71"/>
      <c r="D71"/>
      <c r="E71"/>
      <c r="I71">
        <f>I70/36</f>
        <v>3696305.55555556</v>
      </c>
      <c r="L71">
        <f>L70/36</f>
        <v>3224791.66666667</v>
      </c>
      <c r="O71">
        <f>M78</f>
        <v>14523655</v>
      </c>
    </row>
    <row r="72" spans="2:5">
      <c r="B72" t="str">
        <f>'F2'!C18</f>
        <v>Utang pajak</v>
      </c>
      <c r="C72"/>
      <c r="D72"/>
      <c r="E72"/>
    </row>
    <row r="73" spans="3:15">
      <c r="C73" t="s">
        <v>12032</v>
      </c>
      <c r="D73"/>
      <c r="E73"/>
      <c r="F73">
        <v>36</v>
      </c>
      <c r="G73" t="s">
        <v>12033</v>
      </c>
      <c r="I73">
        <f>I70-162491580</f>
        <v>-29424580</v>
      </c>
      <c r="O73" t="e">
        <f>O70-O71</f>
        <v>#REF!</v>
      </c>
    </row>
    <row r="74" spans="3:12">
      <c r="C74" t="s">
        <v>12034</v>
      </c>
      <c r="D74"/>
      <c r="E74"/>
      <c r="F74">
        <f>F73*30</f>
        <v>1080</v>
      </c>
      <c r="L74">
        <v>4999000</v>
      </c>
    </row>
    <row r="75" spans="3:6">
      <c r="C75" t="s">
        <v>12035</v>
      </c>
      <c r="D75"/>
      <c r="E75"/>
      <c r="F75" s="42">
        <v>43416</v>
      </c>
    </row>
    <row r="76" spans="3:6">
      <c r="C76"/>
      <c r="D76"/>
      <c r="E76"/>
      <c r="F76" s="42">
        <f>F75+F74</f>
        <v>44496</v>
      </c>
    </row>
    <row r="77" spans="3:12">
      <c r="C77" t="s">
        <v>346</v>
      </c>
      <c r="D77"/>
      <c r="E77"/>
      <c r="F77" s="2326">
        <v>0.0715</v>
      </c>
      <c r="G77" t="s">
        <v>12036</v>
      </c>
      <c r="H77" t="s">
        <v>12037</v>
      </c>
      <c r="I77">
        <f>I70*F77</f>
        <v>9514290.5</v>
      </c>
      <c r="L77" s="99">
        <v>4999000</v>
      </c>
    </row>
    <row r="78" spans="3:13">
      <c r="C78" t="s">
        <v>12038</v>
      </c>
      <c r="D78"/>
      <c r="E78"/>
      <c r="F78" t="str">
        <f>'[97]GL WPb 2018'!$G$3938</f>
        <v>06 Dec 2018</v>
      </c>
      <c r="G78">
        <v>2</v>
      </c>
      <c r="H78">
        <v>1</v>
      </c>
      <c r="I78">
        <v>5005000</v>
      </c>
      <c r="J78" t="s">
        <v>12039</v>
      </c>
      <c r="K78">
        <f>I78*2</f>
        <v>10010000</v>
      </c>
      <c r="L78">
        <f>'[97]GL WPb 2018'!$L$3943</f>
        <v>4513655</v>
      </c>
      <c r="M78">
        <f>K78+L78</f>
        <v>14523655</v>
      </c>
    </row>
    <row r="79" spans="3:5">
      <c r="C79" t="s">
        <v>12040</v>
      </c>
      <c r="D79"/>
      <c r="E79"/>
    </row>
    <row r="80" spans="3:13">
      <c r="C80" t="s">
        <v>12041</v>
      </c>
      <c r="D80"/>
      <c r="E80"/>
      <c r="G80">
        <v>12</v>
      </c>
      <c r="H80">
        <v>12</v>
      </c>
      <c r="I80">
        <f>I78*G80</f>
        <v>60060000</v>
      </c>
      <c r="K80">
        <f>I80</f>
        <v>60060000</v>
      </c>
      <c r="L80">
        <f>($L$74*12)</f>
        <v>59988000</v>
      </c>
      <c r="M80">
        <f>K80+L80</f>
        <v>120048000</v>
      </c>
    </row>
    <row r="81" spans="3:13">
      <c r="C81" t="s">
        <v>12042</v>
      </c>
      <c r="D81"/>
      <c r="E81"/>
      <c r="G81">
        <v>12</v>
      </c>
      <c r="H81">
        <v>12</v>
      </c>
      <c r="I81">
        <f>I78*G81</f>
        <v>60060000</v>
      </c>
      <c r="K81">
        <f>I81</f>
        <v>60060000</v>
      </c>
      <c r="L81">
        <f>($L$75*11)+L77-121360</f>
        <v>4877640</v>
      </c>
      <c r="M81">
        <f>K81+L81</f>
        <v>64937640</v>
      </c>
    </row>
    <row r="82" spans="3:13">
      <c r="C82" t="s">
        <v>12043</v>
      </c>
      <c r="D82"/>
      <c r="E82"/>
      <c r="G82">
        <v>0</v>
      </c>
      <c r="H82">
        <v>0</v>
      </c>
      <c r="I82">
        <f>I78*G82</f>
        <v>0</v>
      </c>
      <c r="K82">
        <f>I82</f>
        <v>0</v>
      </c>
      <c r="L82">
        <f>$L$75*H82</f>
        <v>0</v>
      </c>
      <c r="M82">
        <f>K82+L82</f>
        <v>0</v>
      </c>
    </row>
    <row r="83" ht="12" spans="3:13">
      <c r="C83"/>
      <c r="D83"/>
      <c r="E83"/>
      <c r="G83" s="94">
        <f>SUM(G78:G82)</f>
        <v>26</v>
      </c>
      <c r="H83" s="94">
        <f>SUM(H78:H82)</f>
        <v>25</v>
      </c>
      <c r="I83" s="94">
        <f>SUM(I80:I82)</f>
        <v>120120000</v>
      </c>
      <c r="J83" s="94"/>
      <c r="K83" s="94">
        <f>SUM(K80:K82)</f>
        <v>120120000</v>
      </c>
      <c r="L83" s="94">
        <f>SUM(L80:L82)</f>
        <v>64865640</v>
      </c>
      <c r="M83" s="94">
        <f>SUM(M80:M82)</f>
        <v>184985640</v>
      </c>
    </row>
    <row r="84" spans="3:13">
      <c r="C84" t="s">
        <v>12044</v>
      </c>
      <c r="D84"/>
      <c r="E84"/>
      <c r="I84">
        <f>I80</f>
        <v>60060000</v>
      </c>
      <c r="L84">
        <f>L80</f>
        <v>59988000</v>
      </c>
      <c r="M84">
        <f>I84+L84</f>
        <v>120048000</v>
      </c>
    </row>
    <row r="85" spans="3:13">
      <c r="C85" t="s">
        <v>12045</v>
      </c>
      <c r="D85"/>
      <c r="E85"/>
      <c r="I85">
        <f>SUM(I81:I82)</f>
        <v>60060000</v>
      </c>
      <c r="L85">
        <f>SUM(L81:L82)</f>
        <v>4877640</v>
      </c>
      <c r="M85">
        <f>I85+L85</f>
        <v>64937640</v>
      </c>
    </row>
    <row r="86" ht="12" spans="3:14">
      <c r="C86"/>
      <c r="D86"/>
      <c r="E86"/>
      <c r="I86" s="94">
        <f>SUM(I84:I85)</f>
        <v>120120000</v>
      </c>
      <c r="L86" s="94">
        <f>SUM(L84:L85)</f>
        <v>64865640</v>
      </c>
      <c r="M86" s="94">
        <f>SUM(M84:M85)</f>
        <v>184985640</v>
      </c>
      <c r="N86" s="94">
        <f>SUM(M84:M85)</f>
        <v>184985640</v>
      </c>
    </row>
    <row r="87" spans="3:14">
      <c r="C87"/>
      <c r="D87"/>
      <c r="E87"/>
      <c r="N87" t="e">
        <f>N70-N86</f>
        <v>#REF!</v>
      </c>
    </row>
    <row r="88" spans="3:5">
      <c r="C88" t="s">
        <v>12046</v>
      </c>
      <c r="D88"/>
      <c r="E88"/>
    </row>
    <row r="89" spans="3:6">
      <c r="C89" t="s">
        <v>12047</v>
      </c>
      <c r="D89"/>
      <c r="E89"/>
      <c r="F89">
        <v>2500000</v>
      </c>
    </row>
    <row r="90" spans="3:6">
      <c r="C90" t="s">
        <v>12048</v>
      </c>
      <c r="D90"/>
      <c r="E90"/>
      <c r="F90">
        <v>50000</v>
      </c>
    </row>
    <row r="91" spans="3:6">
      <c r="C91" t="s">
        <v>12049</v>
      </c>
      <c r="D91"/>
      <c r="E91"/>
      <c r="F91">
        <v>1500000</v>
      </c>
    </row>
    <row r="92" spans="3:6">
      <c r="C92" t="s">
        <v>12050</v>
      </c>
      <c r="D92"/>
      <c r="E92"/>
      <c r="F92">
        <v>850000</v>
      </c>
    </row>
    <row r="93" spans="3:6">
      <c r="C93" t="s">
        <v>12051</v>
      </c>
      <c r="D93"/>
      <c r="E93"/>
      <c r="F93">
        <v>124000</v>
      </c>
    </row>
    <row r="94" spans="3:6">
      <c r="C94" t="s">
        <v>12052</v>
      </c>
      <c r="D94"/>
      <c r="E94"/>
      <c r="F94">
        <v>20945580</v>
      </c>
    </row>
    <row r="95" spans="3:6">
      <c r="C95" t="s">
        <v>349</v>
      </c>
      <c r="D95"/>
      <c r="E95"/>
      <c r="F95">
        <v>35000</v>
      </c>
    </row>
    <row r="96" spans="3:5">
      <c r="C96"/>
      <c r="D96"/>
      <c r="E96"/>
    </row>
    <row r="97" customFormat="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sheetData>
  <mergeCells count="5">
    <mergeCell ref="T8:AA8"/>
    <mergeCell ref="G9:H9"/>
    <mergeCell ref="P9:R9"/>
    <mergeCell ref="T9:U9"/>
    <mergeCell ref="V9:W9"/>
  </mergeCells>
  <pageMargins left="0.708661417322835" right="0.708661417322835" top="0.748031496062992" bottom="0.354330708661417" header="0.31496062992126" footer="0.31496062992126"/>
  <pageSetup paperSize="9" scale="80" orientation="landscape"/>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4"/>
  <dimension ref="A1:IV301"/>
  <sheetViews>
    <sheetView showGridLines="0" zoomScale="130" zoomScaleNormal="130" workbookViewId="0">
      <pane xSplit="4" ySplit="10" topLeftCell="E14" activePane="bottomRight" state="frozen"/>
      <selection/>
      <selection pane="topRight"/>
      <selection pane="bottomLeft"/>
      <selection pane="bottomRight" activeCell="J22" sqref="J22"/>
    </sheetView>
  </sheetViews>
  <sheetFormatPr defaultColWidth="9" defaultRowHeight="11.4"/>
  <cols>
    <col min="1" max="1" width="2.84375" customWidth="1"/>
    <col min="2" max="2" width="7.04166666666667" customWidth="1"/>
    <col min="3" max="3" width="28.46875" style="2623" customWidth="1"/>
    <col min="4" max="4" width="3.44791666666667" style="2542" customWidth="1"/>
    <col min="5" max="5" width="7.1875" style="724" customWidth="1"/>
    <col min="6" max="6" width="12.8854166666667" customWidth="1"/>
    <col min="7" max="7" width="5.84375" customWidth="1"/>
    <col min="8" max="8" width="4.34375" customWidth="1"/>
    <col min="9" max="9" width="17.2291666666667" customWidth="1"/>
    <col min="10" max="10" width="16.03125" customWidth="1"/>
    <col min="11" max="11" width="15.4270833333333" customWidth="1"/>
    <col min="12" max="12" width="13.78125" customWidth="1"/>
    <col min="13" max="13" width="14.2395833333333" customWidth="1"/>
    <col min="14" max="14" width="14.0833333333333" customWidth="1"/>
    <col min="15" max="15" width="13.9375" customWidth="1"/>
    <col min="16" max="16" width="10.3333333333333" hidden="1" customWidth="1" outlineLevel="1"/>
    <col min="17" max="17" width="11.8333333333333" hidden="1" customWidth="1" outlineLevel="1"/>
    <col min="18" max="18" width="11.2395833333333" hidden="1" customWidth="1" outlineLevel="1"/>
    <col min="19" max="19" width="1.94791666666667" customWidth="1" collapsed="1"/>
    <col min="20" max="20" width="12.1354166666667" customWidth="1"/>
    <col min="21" max="21" width="10.78125" customWidth="1"/>
    <col min="22" max="24" width="16.1770833333333" customWidth="1"/>
    <col min="25" max="25" width="15.5833333333333" customWidth="1"/>
    <col min="26" max="26" width="16.9270833333333" customWidth="1"/>
    <col min="27" max="27" width="16.3333333333333" customWidth="1"/>
  </cols>
  <sheetData>
    <row r="1" spans="9:11">
      <c r="I1" s="164"/>
      <c r="J1" s="164"/>
      <c r="K1" s="164"/>
    </row>
    <row r="2" ht="21" spans="2:15">
      <c r="B2" s="1499" t="str">
        <f>UV!B2</f>
        <v>KAP LIASTA NIRWAN SYAFRUDIN &amp; REKAN</v>
      </c>
      <c r="C2" s="731"/>
      <c r="D2" s="2624"/>
      <c r="E2" s="2624"/>
      <c r="F2" s="731"/>
      <c r="G2" s="731"/>
      <c r="H2" s="731"/>
      <c r="I2" s="1757"/>
      <c r="J2" s="1757"/>
      <c r="K2" s="1757"/>
      <c r="L2" s="746"/>
      <c r="M2" s="731" t="s">
        <v>481</v>
      </c>
      <c r="N2" s="765" t="s">
        <v>482</v>
      </c>
      <c r="O2" s="766" t="s">
        <v>483</v>
      </c>
    </row>
    <row r="3" ht="15.6" spans="2:15">
      <c r="B3" s="1500"/>
      <c r="C3" s="2625"/>
      <c r="D3" s="2626"/>
      <c r="E3" s="2627"/>
      <c r="F3" s="1504"/>
      <c r="G3" s="1505"/>
      <c r="H3" s="1505"/>
      <c r="I3" s="2650"/>
      <c r="J3" s="2650"/>
      <c r="K3" s="2650"/>
      <c r="L3" s="1586"/>
      <c r="M3" s="738" t="s">
        <v>484</v>
      </c>
      <c r="N3" s="767">
        <f>+UV!U3</f>
        <v>45183</v>
      </c>
      <c r="O3" s="768" t="s">
        <v>11862</v>
      </c>
    </row>
    <row r="4" ht="13.2" spans="2:15">
      <c r="B4" s="1546" t="s">
        <v>622</v>
      </c>
      <c r="C4" s="2628" t="str">
        <f>+'F1'!C4</f>
        <v>PT INTAN GIRI ABADI</v>
      </c>
      <c r="D4" s="2629"/>
      <c r="E4" s="2624"/>
      <c r="F4" s="1548"/>
      <c r="G4" s="1548"/>
      <c r="H4" s="1548"/>
      <c r="I4" s="1758"/>
      <c r="J4" s="1758"/>
      <c r="K4" s="1758"/>
      <c r="L4" s="746"/>
      <c r="M4" s="742" t="s">
        <v>487</v>
      </c>
      <c r="N4" s="769" t="s">
        <v>482</v>
      </c>
      <c r="O4" s="770" t="s">
        <v>488</v>
      </c>
    </row>
    <row r="5" ht="13.2" spans="2:15">
      <c r="B5" s="775"/>
      <c r="C5" s="2630"/>
      <c r="D5" s="2631"/>
      <c r="E5" s="2632"/>
      <c r="F5" s="753"/>
      <c r="G5" s="753"/>
      <c r="H5" s="753"/>
      <c r="I5" s="1759"/>
      <c r="J5" s="1759"/>
      <c r="K5" s="1759"/>
      <c r="L5" s="1592"/>
      <c r="M5" s="1592"/>
      <c r="N5" s="771"/>
      <c r="O5" s="772">
        <v>4</v>
      </c>
    </row>
    <row r="6" spans="2:15">
      <c r="B6" s="773"/>
      <c r="C6" s="731"/>
      <c r="D6" s="2633"/>
      <c r="E6" s="2624"/>
      <c r="F6" s="742"/>
      <c r="G6" s="742"/>
      <c r="H6" s="742"/>
      <c r="I6" s="1760"/>
      <c r="J6" s="1760"/>
      <c r="K6" s="1760"/>
      <c r="L6" s="770"/>
      <c r="M6" s="742"/>
      <c r="N6" s="773"/>
      <c r="O6" s="774" t="s">
        <v>491</v>
      </c>
    </row>
    <row r="7" ht="12" spans="2:15">
      <c r="B7" s="1549" t="s">
        <v>11901</v>
      </c>
      <c r="C7" s="2634" t="str">
        <f>+UV!C16</f>
        <v>Peralatan Proyek</v>
      </c>
      <c r="D7" s="2631"/>
      <c r="E7" s="2632"/>
      <c r="F7" s="753"/>
      <c r="G7" s="753"/>
      <c r="H7" s="753"/>
      <c r="I7" s="753"/>
      <c r="J7" s="753"/>
      <c r="K7" s="753"/>
      <c r="L7" s="1599"/>
      <c r="M7" s="753"/>
      <c r="N7" s="775"/>
      <c r="O7" s="776">
        <f>+UV!W7</f>
        <v>44926</v>
      </c>
    </row>
    <row r="8" s="64" customFormat="1" spans="3:27">
      <c r="C8" s="2635"/>
      <c r="D8" s="2636"/>
      <c r="E8" s="724"/>
      <c r="K8" s="1350"/>
      <c r="T8" s="2653" t="s">
        <v>11902</v>
      </c>
      <c r="U8" s="2654"/>
      <c r="V8" s="2654"/>
      <c r="W8" s="2654"/>
      <c r="X8" s="2654"/>
      <c r="Y8" s="2654"/>
      <c r="Z8" s="2654"/>
      <c r="AA8" s="2658"/>
    </row>
    <row r="9" spans="2:256">
      <c r="B9" s="2637" t="s">
        <v>26</v>
      </c>
      <c r="C9" s="2638" t="s">
        <v>11903</v>
      </c>
      <c r="D9" s="2639" t="s">
        <v>11949</v>
      </c>
      <c r="E9" s="2638" t="s">
        <v>38</v>
      </c>
      <c r="F9" s="2639" t="s">
        <v>157</v>
      </c>
      <c r="G9" s="2637" t="s">
        <v>11905</v>
      </c>
      <c r="H9" s="2640"/>
      <c r="I9" s="2638" t="s">
        <v>11906</v>
      </c>
      <c r="J9" s="2639" t="s">
        <v>11907</v>
      </c>
      <c r="K9" s="2638" t="s">
        <v>11906</v>
      </c>
      <c r="L9" s="2638" t="s">
        <v>11908</v>
      </c>
      <c r="M9" s="2639" t="s">
        <v>11909</v>
      </c>
      <c r="N9" s="2638" t="s">
        <v>11908</v>
      </c>
      <c r="O9" s="2640" t="s">
        <v>11910</v>
      </c>
      <c r="P9" t="s">
        <v>11911</v>
      </c>
      <c r="S9" s="64"/>
      <c r="T9" s="2655" t="s">
        <v>11912</v>
      </c>
      <c r="U9" s="2656"/>
      <c r="V9" s="2655" t="s">
        <v>11886</v>
      </c>
      <c r="W9" s="2656"/>
      <c r="X9" s="2639" t="s">
        <v>874</v>
      </c>
      <c r="Y9" s="2638" t="s">
        <v>11910</v>
      </c>
      <c r="Z9" s="2639" t="s">
        <v>146</v>
      </c>
      <c r="AA9" s="2638" t="s">
        <v>146</v>
      </c>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BX9" s="64"/>
      <c r="BY9" s="64"/>
      <c r="BZ9" s="64"/>
      <c r="CA9" s="64"/>
      <c r="CB9" s="64"/>
      <c r="CC9" s="64"/>
      <c r="CD9" s="64"/>
      <c r="CE9" s="64"/>
      <c r="CF9" s="64"/>
      <c r="CG9" s="64"/>
      <c r="CH9" s="64"/>
      <c r="CI9" s="64"/>
      <c r="CJ9" s="64"/>
      <c r="CK9" s="64"/>
      <c r="CL9" s="64"/>
      <c r="CM9" s="64"/>
      <c r="CN9" s="64"/>
      <c r="CO9" s="64"/>
      <c r="CP9" s="64"/>
      <c r="CQ9" s="64"/>
      <c r="CR9" s="64"/>
      <c r="CS9" s="64"/>
      <c r="CT9" s="64"/>
      <c r="CU9" s="64"/>
      <c r="CV9" s="64"/>
      <c r="CW9" s="64"/>
      <c r="CX9" s="64"/>
      <c r="CY9" s="64"/>
      <c r="CZ9" s="64"/>
      <c r="DA9" s="64"/>
      <c r="DB9" s="64"/>
      <c r="DC9" s="64"/>
      <c r="DD9" s="64"/>
      <c r="DE9" s="64"/>
      <c r="DF9" s="64"/>
      <c r="DG9" s="64"/>
      <c r="DH9" s="64"/>
      <c r="DI9" s="64"/>
      <c r="DJ9" s="64"/>
      <c r="DK9" s="64"/>
      <c r="DL9" s="64"/>
      <c r="DM9" s="64"/>
      <c r="DN9" s="64"/>
      <c r="DO9" s="64"/>
      <c r="DP9" s="64"/>
      <c r="DQ9" s="64"/>
      <c r="DR9" s="64"/>
      <c r="DS9" s="64"/>
      <c r="DT9" s="64"/>
      <c r="DU9" s="64"/>
      <c r="DV9" s="64"/>
      <c r="DW9" s="64"/>
      <c r="DX9" s="64"/>
      <c r="DY9" s="64"/>
      <c r="DZ9" s="64"/>
      <c r="EA9" s="64"/>
      <c r="EB9" s="64"/>
      <c r="EC9" s="64"/>
      <c r="ED9" s="64"/>
      <c r="EE9" s="64"/>
      <c r="EF9" s="64"/>
      <c r="EG9" s="64"/>
      <c r="EH9" s="64"/>
      <c r="EI9" s="64"/>
      <c r="EJ9" s="64"/>
      <c r="EK9" s="64"/>
      <c r="EL9" s="64"/>
      <c r="EM9" s="64"/>
      <c r="EN9" s="64"/>
      <c r="EO9" s="64"/>
      <c r="EP9" s="64"/>
      <c r="EQ9" s="64"/>
      <c r="ER9" s="64"/>
      <c r="ES9" s="64"/>
      <c r="ET9" s="64"/>
      <c r="EU9" s="64"/>
      <c r="EV9" s="64"/>
      <c r="EW9" s="64"/>
      <c r="EX9" s="64"/>
      <c r="EY9" s="64"/>
      <c r="EZ9" s="64"/>
      <c r="FA9" s="64"/>
      <c r="FB9" s="64"/>
      <c r="FC9" s="64"/>
      <c r="FD9" s="64"/>
      <c r="FE9" s="64"/>
      <c r="FF9" s="64"/>
      <c r="FG9" s="64"/>
      <c r="FH9" s="64"/>
      <c r="FI9" s="64"/>
      <c r="FJ9" s="64"/>
      <c r="FK9" s="64"/>
      <c r="FL9" s="64"/>
      <c r="FM9" s="64"/>
      <c r="FN9" s="64"/>
      <c r="FO9" s="64"/>
      <c r="FP9" s="64"/>
      <c r="FQ9" s="64"/>
      <c r="FR9" s="64"/>
      <c r="FS9" s="64"/>
      <c r="FT9" s="64"/>
      <c r="FU9" s="64"/>
      <c r="FV9" s="64"/>
      <c r="FW9" s="64"/>
      <c r="FX9" s="64"/>
      <c r="FY9" s="64"/>
      <c r="FZ9" s="64"/>
      <c r="GA9" s="64"/>
      <c r="GB9" s="64"/>
      <c r="GC9" s="64"/>
      <c r="GD9" s="64"/>
      <c r="GE9" s="64"/>
      <c r="GF9" s="64"/>
      <c r="GG9" s="64"/>
      <c r="GH9" s="64"/>
      <c r="GI9" s="64"/>
      <c r="GJ9" s="64"/>
      <c r="GK9" s="64"/>
      <c r="GL9" s="64"/>
      <c r="GM9" s="64"/>
      <c r="GN9" s="64"/>
      <c r="GO9" s="64"/>
      <c r="GP9" s="64"/>
      <c r="GQ9" s="64"/>
      <c r="GR9" s="64"/>
      <c r="GS9" s="64"/>
      <c r="GT9" s="64"/>
      <c r="GU9" s="64"/>
      <c r="GV9" s="64"/>
      <c r="GW9" s="64"/>
      <c r="GX9" s="64"/>
      <c r="GY9" s="64"/>
      <c r="GZ9" s="64"/>
      <c r="HA9" s="64"/>
      <c r="HB9" s="64"/>
      <c r="HC9" s="64"/>
      <c r="HD9" s="64"/>
      <c r="HE9" s="64"/>
      <c r="HF9" s="64"/>
      <c r="HG9" s="64"/>
      <c r="HH9" s="64"/>
      <c r="HI9" s="64"/>
      <c r="HJ9" s="64"/>
      <c r="HK9" s="64"/>
      <c r="HL9" s="64"/>
      <c r="HM9" s="64"/>
      <c r="HN9" s="64"/>
      <c r="HO9" s="64"/>
      <c r="HP9" s="64"/>
      <c r="HQ9" s="64"/>
      <c r="HR9" s="64"/>
      <c r="HS9" s="64"/>
      <c r="HT9" s="64"/>
      <c r="HU9" s="64"/>
      <c r="HV9" s="64"/>
      <c r="HW9" s="64"/>
      <c r="HX9" s="64"/>
      <c r="HY9" s="64"/>
      <c r="HZ9" s="64"/>
      <c r="IA9" s="64"/>
      <c r="IB9" s="64"/>
      <c r="IC9" s="64"/>
      <c r="ID9" s="64"/>
      <c r="IE9" s="64"/>
      <c r="IF9" s="64"/>
      <c r="IG9" s="64"/>
      <c r="IH9" s="64"/>
      <c r="II9" s="64"/>
      <c r="IJ9" s="64"/>
      <c r="IK9" s="64"/>
      <c r="IL9" s="64"/>
      <c r="IM9" s="64"/>
      <c r="IN9" s="64"/>
      <c r="IO9" s="64"/>
      <c r="IP9" s="64"/>
      <c r="IQ9" s="64"/>
      <c r="IR9" s="64"/>
      <c r="IS9" s="64"/>
      <c r="IT9" s="64"/>
      <c r="IU9" s="64"/>
      <c r="IV9" s="64"/>
    </row>
    <row r="10" spans="2:256">
      <c r="B10" s="643"/>
      <c r="C10" s="2641"/>
      <c r="D10" s="2642"/>
      <c r="E10" s="2641"/>
      <c r="F10" s="2642" t="s">
        <v>11913</v>
      </c>
      <c r="G10" s="643" t="s">
        <v>11796</v>
      </c>
      <c r="H10" s="2643" t="s">
        <v>11914</v>
      </c>
      <c r="I10" s="2641" t="str">
        <f>+'UV2'!I10</f>
        <v>Awal 2022</v>
      </c>
      <c r="J10" s="2642" t="s">
        <v>11916</v>
      </c>
      <c r="K10" s="2641" t="str">
        <f>+'UV2'!K10</f>
        <v>Akhir 2022</v>
      </c>
      <c r="L10" s="2641">
        <v>44561</v>
      </c>
      <c r="M10" s="2642">
        <v>44926</v>
      </c>
      <c r="N10" s="2641" t="s">
        <v>11918</v>
      </c>
      <c r="O10" s="2643">
        <v>44926</v>
      </c>
      <c r="P10" t="s">
        <v>11919</v>
      </c>
      <c r="Q10" t="s">
        <v>11920</v>
      </c>
      <c r="R10" t="s">
        <v>11921</v>
      </c>
      <c r="S10" s="64"/>
      <c r="T10" s="643">
        <v>44561</v>
      </c>
      <c r="U10" s="2642">
        <f>+T10+365</f>
        <v>44926</v>
      </c>
      <c r="V10" s="643">
        <f>+T10</f>
        <v>44561</v>
      </c>
      <c r="W10" s="2643">
        <f>+U10</f>
        <v>44926</v>
      </c>
      <c r="X10" s="2642">
        <v>44926</v>
      </c>
      <c r="Y10" s="2641">
        <v>44926</v>
      </c>
      <c r="Z10" s="2642" t="s">
        <v>11922</v>
      </c>
      <c r="AA10" s="2641" t="s">
        <v>11882</v>
      </c>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BX10" s="64"/>
      <c r="BY10" s="64"/>
      <c r="BZ10" s="64"/>
      <c r="CA10" s="64"/>
      <c r="CB10" s="64"/>
      <c r="CC10" s="64"/>
      <c r="CD10" s="64"/>
      <c r="CE10" s="64"/>
      <c r="CF10" s="64"/>
      <c r="CG10" s="64"/>
      <c r="CH10" s="64"/>
      <c r="CI10" s="64"/>
      <c r="CJ10" s="64"/>
      <c r="CK10" s="64"/>
      <c r="CL10" s="64"/>
      <c r="CM10" s="64"/>
      <c r="CN10" s="64"/>
      <c r="CO10" s="64"/>
      <c r="CP10" s="64"/>
      <c r="CQ10" s="64"/>
      <c r="CR10" s="64"/>
      <c r="CS10" s="64"/>
      <c r="CT10" s="64"/>
      <c r="CU10" s="64"/>
      <c r="CV10" s="64"/>
      <c r="CW10" s="64"/>
      <c r="CX10" s="64"/>
      <c r="CY10" s="64"/>
      <c r="CZ10" s="64"/>
      <c r="DA10" s="64"/>
      <c r="DB10" s="64"/>
      <c r="DC10" s="64"/>
      <c r="DD10" s="64"/>
      <c r="DE10" s="64"/>
      <c r="DF10" s="64"/>
      <c r="DG10" s="64"/>
      <c r="DH10" s="64"/>
      <c r="DI10" s="64"/>
      <c r="DJ10" s="64"/>
      <c r="DK10" s="64"/>
      <c r="DL10" s="64"/>
      <c r="DM10" s="64"/>
      <c r="DN10" s="64"/>
      <c r="DO10" s="64"/>
      <c r="DP10" s="64"/>
      <c r="DQ10" s="64"/>
      <c r="DR10" s="64"/>
      <c r="DS10" s="64"/>
      <c r="DT10" s="64"/>
      <c r="DU10" s="64"/>
      <c r="DV10" s="64"/>
      <c r="DW10" s="64"/>
      <c r="DX10" s="64"/>
      <c r="DY10" s="64"/>
      <c r="DZ10" s="64"/>
      <c r="EA10" s="64"/>
      <c r="EB10" s="64"/>
      <c r="EC10" s="64"/>
      <c r="ED10" s="64"/>
      <c r="EE10" s="64"/>
      <c r="EF10" s="64"/>
      <c r="EG10" s="64"/>
      <c r="EH10" s="64"/>
      <c r="EI10" s="64"/>
      <c r="EJ10" s="64"/>
      <c r="EK10" s="64"/>
      <c r="EL10" s="64"/>
      <c r="EM10" s="64"/>
      <c r="EN10" s="64"/>
      <c r="EO10" s="64"/>
      <c r="EP10" s="64"/>
      <c r="EQ10" s="64"/>
      <c r="ER10" s="64"/>
      <c r="ES10" s="64"/>
      <c r="ET10" s="64"/>
      <c r="EU10" s="64"/>
      <c r="EV10" s="64"/>
      <c r="EW10" s="64"/>
      <c r="EX10" s="64"/>
      <c r="EY10" s="64"/>
      <c r="EZ10" s="64"/>
      <c r="FA10" s="64"/>
      <c r="FB10" s="64"/>
      <c r="FC10" s="64"/>
      <c r="FD10" s="64"/>
      <c r="FE10" s="64"/>
      <c r="FF10" s="64"/>
      <c r="FG10" s="64"/>
      <c r="FH10" s="64"/>
      <c r="FI10" s="64"/>
      <c r="FJ10" s="64"/>
      <c r="FK10" s="64"/>
      <c r="FL10" s="64"/>
      <c r="FM10" s="64"/>
      <c r="FN10" s="64"/>
      <c r="FO10" s="64"/>
      <c r="FP10" s="64"/>
      <c r="FQ10" s="64"/>
      <c r="FR10" s="64"/>
      <c r="FS10" s="64"/>
      <c r="FT10" s="64"/>
      <c r="FU10" s="64"/>
      <c r="FV10" s="64"/>
      <c r="FW10" s="64"/>
      <c r="FX10" s="64"/>
      <c r="FY10" s="64"/>
      <c r="FZ10" s="64"/>
      <c r="GA10" s="64"/>
      <c r="GB10" s="64"/>
      <c r="GC10" s="64"/>
      <c r="GD10" s="64"/>
      <c r="GE10" s="64"/>
      <c r="GF10" s="64"/>
      <c r="GG10" s="64"/>
      <c r="GH10" s="64"/>
      <c r="GI10" s="64"/>
      <c r="GJ10" s="64"/>
      <c r="GK10" s="64"/>
      <c r="GL10" s="64"/>
      <c r="GM10" s="64"/>
      <c r="GN10" s="64"/>
      <c r="GO10" s="64"/>
      <c r="GP10" s="64"/>
      <c r="GQ10" s="64"/>
      <c r="GR10" s="64"/>
      <c r="GS10" s="64"/>
      <c r="GT10" s="64"/>
      <c r="GU10" s="64"/>
      <c r="GV10" s="64"/>
      <c r="GW10" s="64"/>
      <c r="GX10" s="64"/>
      <c r="GY10" s="64"/>
      <c r="GZ10" s="64"/>
      <c r="HA10" s="64"/>
      <c r="HB10" s="64"/>
      <c r="HC10" s="64"/>
      <c r="HD10" s="64"/>
      <c r="HE10" s="64"/>
      <c r="HF10" s="64"/>
      <c r="HG10" s="64"/>
      <c r="HH10" s="64"/>
      <c r="HI10" s="64"/>
      <c r="HJ10" s="64"/>
      <c r="HK10" s="64"/>
      <c r="HL10" s="64"/>
      <c r="HM10" s="64"/>
      <c r="HN10" s="64"/>
      <c r="HO10" s="64"/>
      <c r="HP10" s="64"/>
      <c r="HQ10" s="64"/>
      <c r="HR10" s="64"/>
      <c r="HS10" s="64"/>
      <c r="HT10" s="64"/>
      <c r="HU10" s="64"/>
      <c r="HV10" s="64"/>
      <c r="HW10" s="64"/>
      <c r="HX10" s="64"/>
      <c r="HY10" s="64"/>
      <c r="HZ10" s="64"/>
      <c r="IA10" s="64"/>
      <c r="IB10" s="64"/>
      <c r="IC10" s="64"/>
      <c r="ID10" s="64"/>
      <c r="IE10" s="64"/>
      <c r="IF10" s="64"/>
      <c r="IG10" s="64"/>
      <c r="IH10" s="64"/>
      <c r="II10" s="64"/>
      <c r="IJ10" s="64"/>
      <c r="IK10" s="64"/>
      <c r="IL10" s="64"/>
      <c r="IM10" s="64"/>
      <c r="IN10" s="64"/>
      <c r="IO10" s="64"/>
      <c r="IP10" s="64"/>
      <c r="IQ10" s="64"/>
      <c r="IR10" s="64"/>
      <c r="IS10" s="64"/>
      <c r="IT10" s="64"/>
      <c r="IU10" s="64"/>
      <c r="IV10" s="64"/>
    </row>
    <row r="11" s="64" customFormat="1" ht="12" spans="2:27">
      <c r="B11" s="2644"/>
      <c r="C11" s="2663" t="str">
        <f>UV!C16</f>
        <v>Peralatan Proyek</v>
      </c>
      <c r="D11" s="142"/>
      <c r="E11" s="2664"/>
      <c r="F11" s="142"/>
      <c r="G11" s="2665"/>
      <c r="H11" s="2644"/>
      <c r="I11" s="2644"/>
      <c r="J11" s="2644"/>
      <c r="K11" s="2644"/>
      <c r="L11" s="2644"/>
      <c r="M11" s="2644"/>
      <c r="N11" s="2644"/>
      <c r="O11" s="302"/>
      <c r="P11"/>
      <c r="Q11"/>
      <c r="R11"/>
      <c r="T11" s="2644"/>
      <c r="U11" s="2644"/>
      <c r="V11" s="2644"/>
      <c r="W11" s="2644"/>
      <c r="X11" s="2647"/>
      <c r="Y11" s="2644"/>
      <c r="Z11" s="2651"/>
      <c r="AA11" s="2644"/>
    </row>
    <row r="12" s="64" customFormat="1" spans="2:27">
      <c r="B12" s="2644">
        <v>1</v>
      </c>
      <c r="C12" s="2644" t="s">
        <v>12053</v>
      </c>
      <c r="D12" s="29">
        <v>1</v>
      </c>
      <c r="E12" s="2666">
        <v>0.125</v>
      </c>
      <c r="F12" s="1374">
        <v>41884</v>
      </c>
      <c r="G12" s="2644">
        <f>100%/E12</f>
        <v>8</v>
      </c>
      <c r="H12" s="29">
        <f>G12*12</f>
        <v>96</v>
      </c>
      <c r="I12" s="2644">
        <v>1150000000</v>
      </c>
      <c r="J12" s="2644">
        <v>0</v>
      </c>
      <c r="K12" s="2644">
        <f>I12+J12</f>
        <v>1150000000</v>
      </c>
      <c r="L12" s="2644">
        <v>1042187500</v>
      </c>
      <c r="M12" s="29">
        <v>107812500</v>
      </c>
      <c r="N12" s="2644">
        <f>L12+M12</f>
        <v>1150000000</v>
      </c>
      <c r="O12" s="2644">
        <f>K12-N12</f>
        <v>0</v>
      </c>
      <c r="P12">
        <f>ROUND(K12*E12/12,0)</f>
        <v>11979167</v>
      </c>
      <c r="Q12">
        <f>P12*0</f>
        <v>0</v>
      </c>
      <c r="R12">
        <f>M12-Q12</f>
        <v>107812500</v>
      </c>
      <c r="T12" s="1366">
        <f>IF(DAY($F12)&lt;=15,((YEAR(T$10)-YEAR($F12))*12+MONTH(T$10)-MONTH($F12))+1,((YEAR(T$10)-YEAR($F12))*12+MONTH(T$10)-MONTH($F12)))</f>
        <v>88</v>
      </c>
      <c r="U12" s="1366">
        <f>IF(DAY($F12)&lt;=15,((YEAR(U$10)-YEAR($F12))*12+MONTH(U$10)-MONTH($F12))+1,((YEAR(U$10)-YEAR($F12))*12+MONTH(U$10)-MONTH($F12)))</f>
        <v>100</v>
      </c>
      <c r="V12" s="29">
        <f>ROUND(IF(T12&gt;$H12,$K12,($K12/$H12*T12)),0)</f>
        <v>1054166667</v>
      </c>
      <c r="W12" s="29">
        <f>ROUND(IF(U12&gt;$H12,$K12,($K12/$H12*U12)),0)</f>
        <v>1150000000</v>
      </c>
      <c r="X12" s="29">
        <f>W12-V12</f>
        <v>95833333</v>
      </c>
      <c r="Y12" s="29">
        <f>K12-W12</f>
        <v>0</v>
      </c>
      <c r="Z12" s="29">
        <f>+M12-X12</f>
        <v>11979167</v>
      </c>
      <c r="AA12" s="29">
        <f>+O12-Y12</f>
        <v>0</v>
      </c>
    </row>
    <row r="13" s="64" customFormat="1" spans="2:27">
      <c r="B13" s="1366">
        <f>+B12+1</f>
        <v>2</v>
      </c>
      <c r="C13" s="1366" t="s">
        <v>12054</v>
      </c>
      <c r="D13" s="29">
        <v>6</v>
      </c>
      <c r="E13" s="2666">
        <v>0.125</v>
      </c>
      <c r="F13" s="1374">
        <v>41950</v>
      </c>
      <c r="G13" s="1366">
        <f>100%/E13</f>
        <v>8</v>
      </c>
      <c r="H13" s="29">
        <f>G13*12</f>
        <v>96</v>
      </c>
      <c r="I13" s="1366">
        <v>9433810000</v>
      </c>
      <c r="J13" s="1366">
        <v>0</v>
      </c>
      <c r="K13" s="1366">
        <f>I13+J13</f>
        <v>9433810000</v>
      </c>
      <c r="L13" s="2644">
        <v>8352852604.16667</v>
      </c>
      <c r="M13" s="29">
        <v>1080957395.83333</v>
      </c>
      <c r="N13" s="1366">
        <f>L13+M13</f>
        <v>9433810000</v>
      </c>
      <c r="O13" s="1366">
        <f>K13-N13</f>
        <v>0</v>
      </c>
      <c r="P13">
        <f>ROUND(K13*E13/12,0)</f>
        <v>98268854</v>
      </c>
      <c r="Q13">
        <f>P13*12</f>
        <v>1179226248</v>
      </c>
      <c r="R13">
        <f>M13-Q13</f>
        <v>-98268852.166667</v>
      </c>
      <c r="T13" s="1366">
        <f t="shared" ref="T13:U25" si="0">IF(DAY($F13)&lt;=15,((YEAR(T$10)-YEAR($F13))*12+MONTH(T$10)-MONTH($F13))+1,((YEAR(T$10)-YEAR($F13))*12+MONTH(T$10)-MONTH($F13)))</f>
        <v>86</v>
      </c>
      <c r="U13" s="1366">
        <f t="shared" si="0"/>
        <v>98</v>
      </c>
      <c r="V13" s="29">
        <f>ROUND(IF(T13&gt;$H13,$K13,($K13/$H13*T13)),0)</f>
        <v>8451121458</v>
      </c>
      <c r="W13" s="29">
        <f>ROUND(IF(U13&gt;$H13,$K13,($K13/$H13*U13)),0)</f>
        <v>9433810000</v>
      </c>
      <c r="X13" s="29">
        <f>W13-V13</f>
        <v>982688542</v>
      </c>
      <c r="Y13" s="29">
        <f>K13-W13</f>
        <v>0</v>
      </c>
      <c r="Z13" s="29">
        <f>+M13-X13</f>
        <v>98268853.833333</v>
      </c>
      <c r="AA13" s="29">
        <f>+O13-Y13</f>
        <v>0</v>
      </c>
    </row>
    <row r="14" s="64" customFormat="1" spans="2:27">
      <c r="B14" s="1366">
        <f t="shared" ref="B14:B25" si="1">B13+1</f>
        <v>3</v>
      </c>
      <c r="C14" s="2652" t="s">
        <v>12055</v>
      </c>
      <c r="D14" s="29">
        <v>1</v>
      </c>
      <c r="E14" s="2666">
        <v>0.125</v>
      </c>
      <c r="F14" s="1374">
        <v>41589</v>
      </c>
      <c r="G14" s="1366">
        <f t="shared" ref="G14:G25" si="2">100%/E14</f>
        <v>8</v>
      </c>
      <c r="H14" s="29">
        <f t="shared" ref="H14:H25" si="3">G14*12</f>
        <v>96</v>
      </c>
      <c r="I14" s="1366">
        <v>332400000</v>
      </c>
      <c r="J14" s="1366">
        <v>0</v>
      </c>
      <c r="K14" s="1366">
        <f t="shared" ref="K14:K25" si="4">I14+J14</f>
        <v>332400000</v>
      </c>
      <c r="L14" s="2644">
        <v>332400000</v>
      </c>
      <c r="M14" s="29">
        <v>0</v>
      </c>
      <c r="N14" s="1366">
        <f t="shared" ref="N14:N25" si="5">L14+M14</f>
        <v>332400000</v>
      </c>
      <c r="O14" s="1366">
        <f t="shared" ref="O14:O25" si="6">K14-N14</f>
        <v>0</v>
      </c>
      <c r="P14">
        <f t="shared" ref="P14:P23" si="7">ROUND(K14*E14/12,0)</f>
        <v>3462500</v>
      </c>
      <c r="Q14">
        <f t="shared" ref="Q14:Q23" si="8">P14*12</f>
        <v>41550000</v>
      </c>
      <c r="R14">
        <f t="shared" ref="R14:R23" si="9">M14-Q14</f>
        <v>-41550000</v>
      </c>
      <c r="T14" s="1366">
        <f t="shared" si="0"/>
        <v>98</v>
      </c>
      <c r="U14" s="2675">
        <f t="shared" si="0"/>
        <v>110</v>
      </c>
      <c r="V14" s="29">
        <f t="shared" ref="V14:V25" si="10">ROUND(IF(T14&gt;$H14,$K14,($K14/$H14*T14)),0)</f>
        <v>332400000</v>
      </c>
      <c r="W14" s="253">
        <f t="shared" ref="W14:W25" si="11">ROUND(IF(U14&gt;$H14,$K14,($K14/$H14*U14)),0)</f>
        <v>332400000</v>
      </c>
      <c r="X14" s="29">
        <f t="shared" ref="X14:X25" si="12">W14-V14</f>
        <v>0</v>
      </c>
      <c r="Y14" s="29">
        <f t="shared" ref="Y14:Y25" si="13">K14-W14</f>
        <v>0</v>
      </c>
      <c r="Z14" s="29">
        <f t="shared" ref="Z14:Z25" si="14">+M14-X14</f>
        <v>0</v>
      </c>
      <c r="AA14" s="29">
        <f t="shared" ref="AA14:AA25" si="15">+O14-Y14</f>
        <v>0</v>
      </c>
    </row>
    <row r="15" s="64" customFormat="1" spans="2:27">
      <c r="B15" s="1366">
        <f t="shared" si="1"/>
        <v>4</v>
      </c>
      <c r="C15" s="1366" t="s">
        <v>12056</v>
      </c>
      <c r="D15" s="29">
        <v>1</v>
      </c>
      <c r="E15" s="2666">
        <v>0.125</v>
      </c>
      <c r="F15" s="1374">
        <v>41589</v>
      </c>
      <c r="G15" s="1366">
        <f t="shared" si="2"/>
        <v>8</v>
      </c>
      <c r="H15" s="29">
        <f t="shared" si="3"/>
        <v>96</v>
      </c>
      <c r="I15" s="1366">
        <v>332400000</v>
      </c>
      <c r="J15" s="1366">
        <v>0</v>
      </c>
      <c r="K15" s="1366">
        <f t="shared" si="4"/>
        <v>332400000</v>
      </c>
      <c r="L15" s="2644">
        <v>332400000</v>
      </c>
      <c r="M15" s="29">
        <v>0</v>
      </c>
      <c r="N15" s="1366">
        <f t="shared" si="5"/>
        <v>332400000</v>
      </c>
      <c r="O15" s="1366">
        <f t="shared" si="6"/>
        <v>0</v>
      </c>
      <c r="P15">
        <f t="shared" si="7"/>
        <v>3462500</v>
      </c>
      <c r="Q15">
        <f t="shared" si="8"/>
        <v>41550000</v>
      </c>
      <c r="R15">
        <f t="shared" si="9"/>
        <v>-41550000</v>
      </c>
      <c r="T15" s="1366">
        <f t="shared" si="0"/>
        <v>98</v>
      </c>
      <c r="U15" s="1366">
        <f t="shared" si="0"/>
        <v>110</v>
      </c>
      <c r="V15" s="29">
        <f t="shared" si="10"/>
        <v>332400000</v>
      </c>
      <c r="W15" s="29">
        <f t="shared" si="11"/>
        <v>332400000</v>
      </c>
      <c r="X15" s="29">
        <f t="shared" si="12"/>
        <v>0</v>
      </c>
      <c r="Y15" s="29">
        <f t="shared" si="13"/>
        <v>0</v>
      </c>
      <c r="Z15" s="29">
        <f t="shared" si="14"/>
        <v>0</v>
      </c>
      <c r="AA15" s="29">
        <f t="shared" si="15"/>
        <v>0</v>
      </c>
    </row>
    <row r="16" s="64" customFormat="1" spans="2:27">
      <c r="B16" s="1366">
        <f t="shared" si="1"/>
        <v>5</v>
      </c>
      <c r="C16" s="1366" t="s">
        <v>12057</v>
      </c>
      <c r="D16" s="29">
        <v>1</v>
      </c>
      <c r="E16" s="2666">
        <v>0.125</v>
      </c>
      <c r="F16" s="1374">
        <v>43070</v>
      </c>
      <c r="G16" s="1366">
        <f t="shared" si="2"/>
        <v>8</v>
      </c>
      <c r="H16" s="29">
        <f t="shared" si="3"/>
        <v>96</v>
      </c>
      <c r="I16" s="1366">
        <v>675000000</v>
      </c>
      <c r="J16" s="1366">
        <v>0</v>
      </c>
      <c r="K16" s="1366">
        <f t="shared" si="4"/>
        <v>675000000</v>
      </c>
      <c r="L16" s="2644">
        <v>344531250</v>
      </c>
      <c r="M16" s="29">
        <v>84375000</v>
      </c>
      <c r="N16" s="1366">
        <f t="shared" si="5"/>
        <v>428906250</v>
      </c>
      <c r="O16" s="1366">
        <f t="shared" si="6"/>
        <v>246093750</v>
      </c>
      <c r="P16">
        <f t="shared" si="7"/>
        <v>7031250</v>
      </c>
      <c r="Q16">
        <f t="shared" si="8"/>
        <v>84375000</v>
      </c>
      <c r="R16">
        <f t="shared" si="9"/>
        <v>0</v>
      </c>
      <c r="T16" s="1366">
        <f t="shared" si="0"/>
        <v>49</v>
      </c>
      <c r="U16" s="1366">
        <f t="shared" si="0"/>
        <v>61</v>
      </c>
      <c r="V16" s="29">
        <f t="shared" si="10"/>
        <v>344531250</v>
      </c>
      <c r="W16" s="29">
        <f t="shared" si="11"/>
        <v>428906250</v>
      </c>
      <c r="X16" s="29">
        <f t="shared" si="12"/>
        <v>84375000</v>
      </c>
      <c r="Y16" s="29">
        <f t="shared" si="13"/>
        <v>246093750</v>
      </c>
      <c r="Z16" s="29">
        <f t="shared" si="14"/>
        <v>0</v>
      </c>
      <c r="AA16" s="29">
        <f t="shared" si="15"/>
        <v>0</v>
      </c>
    </row>
    <row r="17" s="64" customFormat="1" spans="2:27">
      <c r="B17" s="1366">
        <f t="shared" si="1"/>
        <v>6</v>
      </c>
      <c r="C17" s="1366" t="s">
        <v>12058</v>
      </c>
      <c r="D17" s="29">
        <v>2</v>
      </c>
      <c r="E17" s="2666">
        <v>0.125</v>
      </c>
      <c r="F17" s="1374">
        <v>43220</v>
      </c>
      <c r="G17" s="1366">
        <f t="shared" si="2"/>
        <v>8</v>
      </c>
      <c r="H17" s="29">
        <f t="shared" si="3"/>
        <v>96</v>
      </c>
      <c r="I17" s="1366">
        <v>698194733.333333</v>
      </c>
      <c r="J17" s="1366">
        <v>0</v>
      </c>
      <c r="K17" s="1366">
        <f t="shared" si="4"/>
        <v>698194733.333333</v>
      </c>
      <c r="L17" s="2644">
        <v>327278781.25</v>
      </c>
      <c r="M17" s="29">
        <v>87274341.6666667</v>
      </c>
      <c r="N17" s="1366">
        <f t="shared" si="5"/>
        <v>414553122.916667</v>
      </c>
      <c r="O17" s="1366">
        <f t="shared" si="6"/>
        <v>283641610.416667</v>
      </c>
      <c r="P17">
        <f t="shared" si="7"/>
        <v>7272862</v>
      </c>
      <c r="Q17">
        <f t="shared" si="8"/>
        <v>87274344</v>
      </c>
      <c r="R17">
        <f t="shared" si="9"/>
        <v>-2.33333332836628</v>
      </c>
      <c r="T17" s="1366">
        <f t="shared" si="0"/>
        <v>44</v>
      </c>
      <c r="U17" s="1366">
        <f t="shared" si="0"/>
        <v>56</v>
      </c>
      <c r="V17" s="29">
        <f t="shared" si="10"/>
        <v>320005919</v>
      </c>
      <c r="W17" s="29">
        <f t="shared" si="11"/>
        <v>407280261</v>
      </c>
      <c r="X17" s="29">
        <f t="shared" si="12"/>
        <v>87274342</v>
      </c>
      <c r="Y17" s="29">
        <f t="shared" si="13"/>
        <v>290914472.333333</v>
      </c>
      <c r="Z17" s="29">
        <f t="shared" si="14"/>
        <v>-0.33333332836628</v>
      </c>
      <c r="AA17" s="29">
        <f t="shared" si="15"/>
        <v>-7272861.91666681</v>
      </c>
    </row>
    <row r="18" s="64" customFormat="1" spans="2:27">
      <c r="B18" s="1366">
        <f t="shared" si="1"/>
        <v>7</v>
      </c>
      <c r="C18" s="1366" t="s">
        <v>12058</v>
      </c>
      <c r="D18" s="29">
        <v>1</v>
      </c>
      <c r="E18" s="2666">
        <v>0.125</v>
      </c>
      <c r="F18" s="1374">
        <v>43220</v>
      </c>
      <c r="G18" s="1366">
        <f t="shared" si="2"/>
        <v>8</v>
      </c>
      <c r="H18" s="29">
        <f t="shared" si="3"/>
        <v>96</v>
      </c>
      <c r="I18" s="1366">
        <v>0</v>
      </c>
      <c r="J18" s="1366">
        <v>0</v>
      </c>
      <c r="K18" s="1366">
        <f t="shared" si="4"/>
        <v>0</v>
      </c>
      <c r="L18" s="2644">
        <v>-0.374999985098839</v>
      </c>
      <c r="M18" s="29">
        <v>0</v>
      </c>
      <c r="N18" s="1366">
        <f t="shared" si="5"/>
        <v>-0.374999985098839</v>
      </c>
      <c r="O18" s="1366">
        <f t="shared" si="6"/>
        <v>0.374999985098839</v>
      </c>
      <c r="P18">
        <f t="shared" si="7"/>
        <v>0</v>
      </c>
      <c r="Q18">
        <f t="shared" si="8"/>
        <v>0</v>
      </c>
      <c r="R18">
        <f t="shared" si="9"/>
        <v>0</v>
      </c>
      <c r="T18" s="1366">
        <f t="shared" si="0"/>
        <v>44</v>
      </c>
      <c r="U18" s="1366">
        <f t="shared" si="0"/>
        <v>56</v>
      </c>
      <c r="V18" s="29">
        <f t="shared" si="10"/>
        <v>0</v>
      </c>
      <c r="W18" s="29">
        <f t="shared" si="11"/>
        <v>0</v>
      </c>
      <c r="X18" s="29">
        <f t="shared" si="12"/>
        <v>0</v>
      </c>
      <c r="Y18" s="29">
        <f t="shared" si="13"/>
        <v>0</v>
      </c>
      <c r="Z18" s="29">
        <f t="shared" si="14"/>
        <v>0</v>
      </c>
      <c r="AA18" s="29">
        <f t="shared" si="15"/>
        <v>0.374999985098839</v>
      </c>
    </row>
    <row r="19" s="64" customFormat="1" spans="2:27">
      <c r="B19" s="1366">
        <f>+B17+1</f>
        <v>7</v>
      </c>
      <c r="C19" s="1366" t="s">
        <v>12059</v>
      </c>
      <c r="D19" s="29">
        <v>2</v>
      </c>
      <c r="E19" s="2666">
        <v>0.125</v>
      </c>
      <c r="F19" s="1374">
        <v>43399</v>
      </c>
      <c r="G19" s="1366">
        <f t="shared" si="2"/>
        <v>8</v>
      </c>
      <c r="H19" s="29">
        <f t="shared" si="3"/>
        <v>96</v>
      </c>
      <c r="I19" s="1366">
        <v>1422066800</v>
      </c>
      <c r="J19" s="1366">
        <v>0</v>
      </c>
      <c r="K19" s="1366">
        <f t="shared" si="4"/>
        <v>1422066800</v>
      </c>
      <c r="L19" s="2644">
        <v>577714637.5</v>
      </c>
      <c r="M19" s="29">
        <v>177758350</v>
      </c>
      <c r="N19" s="1366">
        <f t="shared" si="5"/>
        <v>755472987.5</v>
      </c>
      <c r="O19" s="1366">
        <f t="shared" si="6"/>
        <v>666593812.5</v>
      </c>
      <c r="P19">
        <f t="shared" si="7"/>
        <v>14813196</v>
      </c>
      <c r="Q19">
        <f t="shared" si="8"/>
        <v>177758352</v>
      </c>
      <c r="R19">
        <f t="shared" si="9"/>
        <v>-2</v>
      </c>
      <c r="T19" s="1366">
        <f t="shared" si="0"/>
        <v>38</v>
      </c>
      <c r="U19" s="1366">
        <f t="shared" si="0"/>
        <v>50</v>
      </c>
      <c r="V19" s="29">
        <f t="shared" si="10"/>
        <v>562901442</v>
      </c>
      <c r="W19" s="29">
        <f t="shared" si="11"/>
        <v>740659792</v>
      </c>
      <c r="X19" s="29">
        <f t="shared" si="12"/>
        <v>177758350</v>
      </c>
      <c r="Y19" s="29">
        <f t="shared" si="13"/>
        <v>681407008</v>
      </c>
      <c r="Z19" s="29">
        <f t="shared" si="14"/>
        <v>0</v>
      </c>
      <c r="AA19" s="29">
        <f t="shared" si="15"/>
        <v>-14813195.5</v>
      </c>
    </row>
    <row r="20" s="64" customFormat="1" spans="2:27">
      <c r="B20" s="1366">
        <f t="shared" si="1"/>
        <v>8</v>
      </c>
      <c r="C20" s="1366" t="s">
        <v>12060</v>
      </c>
      <c r="D20" s="29">
        <v>3</v>
      </c>
      <c r="E20" s="2666">
        <v>0.25</v>
      </c>
      <c r="F20" s="1374">
        <v>43388</v>
      </c>
      <c r="G20" s="1366">
        <f t="shared" si="2"/>
        <v>4</v>
      </c>
      <c r="H20" s="29">
        <f t="shared" si="3"/>
        <v>48</v>
      </c>
      <c r="I20" s="1366">
        <v>4500000</v>
      </c>
      <c r="J20" s="1366">
        <v>0</v>
      </c>
      <c r="K20" s="1366">
        <f t="shared" si="4"/>
        <v>4500000</v>
      </c>
      <c r="L20" s="2644">
        <v>3656250</v>
      </c>
      <c r="M20" s="29">
        <v>843750</v>
      </c>
      <c r="N20" s="1366">
        <f t="shared" si="5"/>
        <v>4500000</v>
      </c>
      <c r="O20" s="1366">
        <f t="shared" si="6"/>
        <v>0</v>
      </c>
      <c r="P20">
        <f t="shared" si="7"/>
        <v>93750</v>
      </c>
      <c r="Q20">
        <f t="shared" si="8"/>
        <v>1125000</v>
      </c>
      <c r="R20">
        <f t="shared" si="9"/>
        <v>-281250</v>
      </c>
      <c r="T20" s="1366">
        <f t="shared" si="0"/>
        <v>39</v>
      </c>
      <c r="U20" s="1366">
        <f t="shared" si="0"/>
        <v>51</v>
      </c>
      <c r="V20" s="29">
        <f t="shared" si="10"/>
        <v>3656250</v>
      </c>
      <c r="W20" s="29">
        <f t="shared" si="11"/>
        <v>4500000</v>
      </c>
      <c r="X20" s="29">
        <f t="shared" si="12"/>
        <v>843750</v>
      </c>
      <c r="Y20" s="29">
        <f t="shared" si="13"/>
        <v>0</v>
      </c>
      <c r="Z20" s="29">
        <f t="shared" si="14"/>
        <v>0</v>
      </c>
      <c r="AA20" s="29">
        <f t="shared" si="15"/>
        <v>0</v>
      </c>
    </row>
    <row r="21" s="64" customFormat="1" spans="2:27">
      <c r="B21" s="1366">
        <f t="shared" si="1"/>
        <v>9</v>
      </c>
      <c r="C21" s="1366" t="s">
        <v>12061</v>
      </c>
      <c r="D21" s="29">
        <v>3</v>
      </c>
      <c r="E21" s="2666">
        <v>0.25</v>
      </c>
      <c r="F21" s="1374">
        <v>43614</v>
      </c>
      <c r="G21" s="1366">
        <f t="shared" si="2"/>
        <v>4</v>
      </c>
      <c r="H21" s="29">
        <f t="shared" si="3"/>
        <v>48</v>
      </c>
      <c r="I21" s="1366">
        <v>920000</v>
      </c>
      <c r="J21" s="1366">
        <v>0</v>
      </c>
      <c r="K21" s="1366">
        <f t="shared" si="4"/>
        <v>920000</v>
      </c>
      <c r="L21" s="2644">
        <v>613333.333333333</v>
      </c>
      <c r="M21" s="29">
        <v>230000</v>
      </c>
      <c r="N21" s="1366">
        <f t="shared" si="5"/>
        <v>843333.333333333</v>
      </c>
      <c r="O21" s="1366">
        <f t="shared" si="6"/>
        <v>76666.6666666666</v>
      </c>
      <c r="P21">
        <f t="shared" si="7"/>
        <v>19167</v>
      </c>
      <c r="Q21">
        <f t="shared" si="8"/>
        <v>230004</v>
      </c>
      <c r="R21">
        <f t="shared" si="9"/>
        <v>-4</v>
      </c>
      <c r="T21" s="1366">
        <f t="shared" si="0"/>
        <v>31</v>
      </c>
      <c r="U21" s="1366">
        <f t="shared" si="0"/>
        <v>43</v>
      </c>
      <c r="V21" s="29">
        <f t="shared" si="10"/>
        <v>594167</v>
      </c>
      <c r="W21" s="29">
        <f t="shared" si="11"/>
        <v>824167</v>
      </c>
      <c r="X21" s="29">
        <f t="shared" si="12"/>
        <v>230000</v>
      </c>
      <c r="Y21" s="29">
        <f t="shared" si="13"/>
        <v>95833</v>
      </c>
      <c r="Z21" s="29">
        <f t="shared" si="14"/>
        <v>0</v>
      </c>
      <c r="AA21" s="29">
        <f t="shared" si="15"/>
        <v>-19166.3333333334</v>
      </c>
    </row>
    <row r="22" s="64" customFormat="1" spans="2:27">
      <c r="B22" s="1366">
        <f t="shared" si="1"/>
        <v>10</v>
      </c>
      <c r="C22" s="1366" t="s">
        <v>12062</v>
      </c>
      <c r="D22" s="29">
        <v>7</v>
      </c>
      <c r="E22" s="2666">
        <v>0.25</v>
      </c>
      <c r="F22" s="1374">
        <v>43783</v>
      </c>
      <c r="G22" s="1366">
        <f t="shared" si="2"/>
        <v>4</v>
      </c>
      <c r="H22" s="29">
        <f t="shared" si="3"/>
        <v>48</v>
      </c>
      <c r="I22" s="1366">
        <v>1687500</v>
      </c>
      <c r="J22" s="1366">
        <v>0</v>
      </c>
      <c r="K22" s="1366">
        <f t="shared" si="4"/>
        <v>1687500</v>
      </c>
      <c r="L22" s="2644">
        <v>914062.5</v>
      </c>
      <c r="M22" s="29">
        <v>421875</v>
      </c>
      <c r="N22" s="1366">
        <f t="shared" si="5"/>
        <v>1335937.5</v>
      </c>
      <c r="O22" s="1366">
        <f t="shared" si="6"/>
        <v>351562.5</v>
      </c>
      <c r="P22">
        <f t="shared" si="7"/>
        <v>35156</v>
      </c>
      <c r="Q22">
        <f t="shared" si="8"/>
        <v>421872</v>
      </c>
      <c r="R22">
        <f t="shared" si="9"/>
        <v>3</v>
      </c>
      <c r="T22" s="1366">
        <f t="shared" si="0"/>
        <v>26</v>
      </c>
      <c r="U22" s="1366">
        <f t="shared" si="0"/>
        <v>38</v>
      </c>
      <c r="V22" s="29">
        <f t="shared" si="10"/>
        <v>914063</v>
      </c>
      <c r="W22" s="29">
        <f t="shared" si="11"/>
        <v>1335938</v>
      </c>
      <c r="X22" s="29">
        <f t="shared" si="12"/>
        <v>421875</v>
      </c>
      <c r="Y22" s="29">
        <f t="shared" si="13"/>
        <v>351562</v>
      </c>
      <c r="Z22" s="29">
        <f t="shared" si="14"/>
        <v>0</v>
      </c>
      <c r="AA22" s="29">
        <f t="shared" si="15"/>
        <v>0.5</v>
      </c>
    </row>
    <row r="23" s="64" customFormat="1" spans="2:27">
      <c r="B23" s="1366">
        <f t="shared" si="1"/>
        <v>11</v>
      </c>
      <c r="C23" s="1366" t="s">
        <v>12063</v>
      </c>
      <c r="D23" s="29">
        <v>3</v>
      </c>
      <c r="E23" s="2666">
        <v>0.25</v>
      </c>
      <c r="F23" s="1374">
        <v>43804</v>
      </c>
      <c r="G23" s="1366">
        <f t="shared" si="2"/>
        <v>4</v>
      </c>
      <c r="H23" s="29">
        <f t="shared" si="3"/>
        <v>48</v>
      </c>
      <c r="I23" s="1366">
        <v>860000</v>
      </c>
      <c r="J23" s="1366">
        <v>0</v>
      </c>
      <c r="K23" s="1366">
        <f t="shared" si="4"/>
        <v>860000</v>
      </c>
      <c r="L23" s="2644">
        <v>447916.666666667</v>
      </c>
      <c r="M23" s="29">
        <v>215000</v>
      </c>
      <c r="N23" s="1366">
        <f t="shared" si="5"/>
        <v>662916.666666667</v>
      </c>
      <c r="O23" s="1366">
        <f t="shared" si="6"/>
        <v>197083.333333333</v>
      </c>
      <c r="P23">
        <f t="shared" si="7"/>
        <v>17917</v>
      </c>
      <c r="Q23">
        <f t="shared" si="8"/>
        <v>215004</v>
      </c>
      <c r="R23">
        <f t="shared" si="9"/>
        <v>-4</v>
      </c>
      <c r="T23" s="1366">
        <f t="shared" si="0"/>
        <v>25</v>
      </c>
      <c r="U23" s="1366">
        <f t="shared" si="0"/>
        <v>37</v>
      </c>
      <c r="V23" s="29">
        <f t="shared" si="10"/>
        <v>447917</v>
      </c>
      <c r="W23" s="29">
        <f t="shared" si="11"/>
        <v>662917</v>
      </c>
      <c r="X23" s="29">
        <f t="shared" si="12"/>
        <v>215000</v>
      </c>
      <c r="Y23" s="29">
        <f t="shared" si="13"/>
        <v>197083</v>
      </c>
      <c r="Z23" s="29">
        <f t="shared" si="14"/>
        <v>0</v>
      </c>
      <c r="AA23" s="29">
        <f t="shared" si="15"/>
        <v>0.333333333372138</v>
      </c>
    </row>
    <row r="24" s="64" customFormat="1" spans="1:27">
      <c r="A24" s="64" t="s">
        <v>698</v>
      </c>
      <c r="B24" s="1366">
        <f t="shared" si="1"/>
        <v>12</v>
      </c>
      <c r="C24" s="1366" t="s">
        <v>12064</v>
      </c>
      <c r="D24" s="29">
        <v>1</v>
      </c>
      <c r="E24" s="2666">
        <v>0.125</v>
      </c>
      <c r="F24" s="1374">
        <v>44742</v>
      </c>
      <c r="G24" s="1366">
        <f t="shared" si="2"/>
        <v>8</v>
      </c>
      <c r="H24" s="29">
        <f t="shared" si="3"/>
        <v>96</v>
      </c>
      <c r="I24" s="1366">
        <v>0</v>
      </c>
      <c r="J24" s="1366">
        <v>794608640.295651</v>
      </c>
      <c r="K24" s="1366">
        <f t="shared" si="4"/>
        <v>794608640.295651</v>
      </c>
      <c r="L24" s="2644">
        <v>0</v>
      </c>
      <c r="M24" s="29">
        <v>57940213.3548912</v>
      </c>
      <c r="N24" s="1366">
        <f t="shared" si="5"/>
        <v>57940213.3548912</v>
      </c>
      <c r="O24" s="1366">
        <f t="shared" si="6"/>
        <v>736668426.94076</v>
      </c>
      <c r="P24"/>
      <c r="Q24"/>
      <c r="R24"/>
      <c r="T24" s="1366">
        <f t="shared" si="0"/>
        <v>-6</v>
      </c>
      <c r="U24" s="1366">
        <f t="shared" si="0"/>
        <v>6</v>
      </c>
      <c r="V24" s="29">
        <f t="shared" si="10"/>
        <v>-49663040</v>
      </c>
      <c r="W24" s="29">
        <f t="shared" si="11"/>
        <v>49663040</v>
      </c>
      <c r="X24" s="29">
        <f t="shared" si="12"/>
        <v>99326080</v>
      </c>
      <c r="Y24" s="29">
        <f t="shared" si="13"/>
        <v>744945600.295651</v>
      </c>
      <c r="Z24" s="29">
        <f t="shared" si="14"/>
        <v>-41385866.6451088</v>
      </c>
      <c r="AA24" s="29">
        <f t="shared" si="15"/>
        <v>-8277173.35489118</v>
      </c>
    </row>
    <row r="25" s="64" customFormat="1" spans="1:27">
      <c r="A25" s="64" t="s">
        <v>12065</v>
      </c>
      <c r="B25" s="1366">
        <f t="shared" si="1"/>
        <v>13</v>
      </c>
      <c r="C25" s="1366" t="s">
        <v>12066</v>
      </c>
      <c r="D25" s="29">
        <v>1</v>
      </c>
      <c r="E25" s="2666">
        <v>0.125</v>
      </c>
      <c r="F25" s="1374">
        <v>44742</v>
      </c>
      <c r="G25" s="1366">
        <f t="shared" si="2"/>
        <v>8</v>
      </c>
      <c r="H25" s="29">
        <f t="shared" si="3"/>
        <v>96</v>
      </c>
      <c r="I25" s="1366">
        <v>0</v>
      </c>
      <c r="J25" s="1366">
        <v>794608640.295651</v>
      </c>
      <c r="K25" s="1366">
        <f t="shared" si="4"/>
        <v>794608640.295651</v>
      </c>
      <c r="L25" s="2644">
        <v>0</v>
      </c>
      <c r="M25" s="29">
        <v>57940213.3548912</v>
      </c>
      <c r="N25" s="1366">
        <f t="shared" si="5"/>
        <v>57940213.3548912</v>
      </c>
      <c r="O25" s="1366">
        <f t="shared" si="6"/>
        <v>736668426.94076</v>
      </c>
      <c r="P25"/>
      <c r="Q25"/>
      <c r="R25"/>
      <c r="T25" s="1366">
        <f t="shared" si="0"/>
        <v>-6</v>
      </c>
      <c r="U25" s="1366">
        <f t="shared" si="0"/>
        <v>6</v>
      </c>
      <c r="V25" s="29">
        <f t="shared" si="10"/>
        <v>-49663040</v>
      </c>
      <c r="W25" s="29">
        <f t="shared" si="11"/>
        <v>49663040</v>
      </c>
      <c r="X25" s="29">
        <f t="shared" si="12"/>
        <v>99326080</v>
      </c>
      <c r="Y25" s="29">
        <f t="shared" si="13"/>
        <v>744945600.295651</v>
      </c>
      <c r="Z25" s="29">
        <f t="shared" si="14"/>
        <v>-41385866.6451088</v>
      </c>
      <c r="AA25" s="29">
        <f t="shared" si="15"/>
        <v>-8277173.35489118</v>
      </c>
    </row>
    <row r="26" s="64" customFormat="1" spans="2:27">
      <c r="B26" s="1366"/>
      <c r="C26" s="1366">
        <v>0</v>
      </c>
      <c r="D26" s="2667"/>
      <c r="E26" s="1363"/>
      <c r="F26" s="1366"/>
      <c r="G26" s="1366"/>
      <c r="H26" s="1366"/>
      <c r="I26" s="1366"/>
      <c r="J26" s="1366"/>
      <c r="K26" s="1366"/>
      <c r="L26" s="1366"/>
      <c r="M26" s="1366"/>
      <c r="N26" s="1366"/>
      <c r="O26" s="1366"/>
      <c r="P26" s="2644"/>
      <c r="Q26"/>
      <c r="R26"/>
      <c r="T26" s="1366">
        <v>0</v>
      </c>
      <c r="U26" s="1366"/>
      <c r="V26" s="1366"/>
      <c r="W26" s="1366"/>
      <c r="X26" s="1366"/>
      <c r="Y26" s="1366"/>
      <c r="Z26" s="1366"/>
      <c r="AA26" s="1366"/>
    </row>
    <row r="27" s="64" customFormat="1" ht="12" spans="2:27">
      <c r="B27" s="2659"/>
      <c r="C27" s="2659"/>
      <c r="D27" s="2660"/>
      <c r="E27" s="2668"/>
      <c r="F27" s="2659"/>
      <c r="G27" s="2659"/>
      <c r="H27" s="1366"/>
      <c r="I27" s="754">
        <f t="shared" ref="I27:O27" si="16">SUM(I12:I26)</f>
        <v>14051839033.3333</v>
      </c>
      <c r="J27" s="754">
        <f t="shared" si="16"/>
        <v>1589217280.5913</v>
      </c>
      <c r="K27" s="754">
        <f t="shared" si="16"/>
        <v>15641056313.9246</v>
      </c>
      <c r="L27" s="754">
        <f t="shared" si="16"/>
        <v>11314996335.0417</v>
      </c>
      <c r="M27" s="754">
        <f t="shared" si="16"/>
        <v>1655768639.20978</v>
      </c>
      <c r="N27" s="754">
        <f t="shared" si="16"/>
        <v>12970764974.2514</v>
      </c>
      <c r="O27" s="754">
        <f t="shared" si="16"/>
        <v>2670291339.67319</v>
      </c>
      <c r="P27">
        <f>SUM(P12:P13)</f>
        <v>110248021</v>
      </c>
      <c r="Q27">
        <f>SUM(Q12:Q13)</f>
        <v>1179226248</v>
      </c>
      <c r="R27">
        <f>SUM(R12:R13)</f>
        <v>9543647.83333302</v>
      </c>
      <c r="T27" s="1366" t="s">
        <v>171</v>
      </c>
      <c r="U27" s="1366" t="s">
        <v>171</v>
      </c>
      <c r="V27" s="29">
        <f t="shared" ref="V27:AA27" si="17">SUM(V12:V26)</f>
        <v>11303813053</v>
      </c>
      <c r="W27" s="29">
        <f t="shared" si="17"/>
        <v>12932105405</v>
      </c>
      <c r="X27" s="29">
        <f t="shared" si="17"/>
        <v>1628292352</v>
      </c>
      <c r="Y27" s="29">
        <f t="shared" si="17"/>
        <v>2708950908.92464</v>
      </c>
      <c r="Z27" s="29">
        <f t="shared" si="17"/>
        <v>27476287.2097822</v>
      </c>
      <c r="AA27" s="29">
        <f t="shared" si="17"/>
        <v>-38659569.2514492</v>
      </c>
    </row>
    <row r="28" s="64" customFormat="1" spans="2:17">
      <c r="B28" s="2669" t="s">
        <v>12067</v>
      </c>
      <c r="C28" s="2635"/>
      <c r="D28" s="2636"/>
      <c r="E28" s="724"/>
      <c r="Q28" s="64">
        <f>Q27-M27</f>
        <v>-476542391.209782</v>
      </c>
    </row>
    <row r="29" s="64" customFormat="1" spans="2:5">
      <c r="B29"/>
      <c r="C29" s="2635"/>
      <c r="D29" s="2636"/>
      <c r="E29" s="724"/>
    </row>
    <row r="30" s="64" customFormat="1" spans="2:25">
      <c r="B30" s="64" t="s">
        <v>11930</v>
      </c>
      <c r="C30" s="2635"/>
      <c r="D30" s="2636"/>
      <c r="E30" s="724"/>
      <c r="I30" s="64">
        <f>+UV!O16</f>
        <v>14051839033.3333</v>
      </c>
      <c r="J30" s="64">
        <f>UV!P16</f>
        <v>1589217281</v>
      </c>
      <c r="K30" s="64">
        <f>I30+J30</f>
        <v>15641056314.3333</v>
      </c>
      <c r="L30" s="64">
        <f>UV!O28</f>
        <v>11314996335.0417</v>
      </c>
      <c r="M30" s="64">
        <f>UV!P28</f>
        <v>1655768639.20978</v>
      </c>
      <c r="N30" s="64">
        <f>L30+M30</f>
        <v>12970764974.2514</v>
      </c>
      <c r="O30" s="64">
        <f>K30-N30</f>
        <v>2670291340.08188</v>
      </c>
      <c r="T30" s="64" t="s">
        <v>11960</v>
      </c>
      <c r="V30" s="64">
        <f>+UV!O28</f>
        <v>11314996335.0417</v>
      </c>
      <c r="W30" s="64">
        <f>+UV!R28</f>
        <v>12970764974.2514</v>
      </c>
      <c r="X30" s="64">
        <f>M27</f>
        <v>1655768639.20978</v>
      </c>
      <c r="Y30" s="64">
        <f>O27</f>
        <v>2670291339.67319</v>
      </c>
    </row>
    <row r="31" s="781" customFormat="1" spans="2:25">
      <c r="B31" s="781" t="s">
        <v>146</v>
      </c>
      <c r="C31"/>
      <c r="D31" t="s">
        <v>12007</v>
      </c>
      <c r="E31"/>
      <c r="I31" s="781">
        <f t="shared" ref="I31:O31" si="18">I27-I30</f>
        <v>0</v>
      </c>
      <c r="J31" s="781">
        <f t="shared" si="18"/>
        <v>-0.408697366714478</v>
      </c>
      <c r="K31" s="781">
        <f t="shared" si="18"/>
        <v>-0.408697128295898</v>
      </c>
      <c r="L31" s="781">
        <f t="shared" si="18"/>
        <v>0</v>
      </c>
      <c r="M31" s="781">
        <f t="shared" si="18"/>
        <v>0</v>
      </c>
      <c r="N31" s="781">
        <f t="shared" si="18"/>
        <v>0</v>
      </c>
      <c r="O31" s="781">
        <f t="shared" si="18"/>
        <v>-0.408695697784424</v>
      </c>
      <c r="T31" s="781" t="s">
        <v>10090</v>
      </c>
      <c r="V31" s="781">
        <f>V27-V30</f>
        <v>-11183282.0416679</v>
      </c>
      <c r="W31" s="781">
        <f>W27-W30</f>
        <v>-38659569.2514496</v>
      </c>
      <c r="X31" s="781">
        <f>X27-X30</f>
        <v>-27476287.2097824</v>
      </c>
      <c r="Y31" s="781">
        <f>Y27-Y30</f>
        <v>38659569.2514496</v>
      </c>
    </row>
    <row r="32" s="64" customFormat="1" spans="3:5">
      <c r="C32" s="2635"/>
      <c r="D32" s="2636"/>
      <c r="E32" s="724"/>
    </row>
    <row r="33" s="64" customFormat="1" ht="12" spans="3:5">
      <c r="C33" s="2635"/>
      <c r="D33" s="2636"/>
      <c r="E33" s="2670" t="s">
        <v>12008</v>
      </c>
    </row>
    <row r="34" s="64" customFormat="1" spans="2:5">
      <c r="B34" s="64">
        <v>1</v>
      </c>
      <c r="C34" s="2635" t="str">
        <f>+C12</f>
        <v>GTM 20 feet @ USD 100.000</v>
      </c>
      <c r="D34" s="2636"/>
      <c r="E34" s="724" t="s">
        <v>12068</v>
      </c>
    </row>
    <row r="35" s="64" customFormat="1" spans="2:5">
      <c r="B35" s="64">
        <f>+B34+1</f>
        <v>2</v>
      </c>
      <c r="C35" s="2635" t="str">
        <f>+C13</f>
        <v>GTM 40 feet @ USD 115.000</v>
      </c>
      <c r="D35" s="2636"/>
      <c r="E35" s="724" t="s">
        <v>12069</v>
      </c>
    </row>
    <row r="36" s="64" customFormat="1" spans="2:5">
      <c r="B36" s="64">
        <f t="shared" ref="B36:B47" si="19">+B35+1</f>
        <v>3</v>
      </c>
      <c r="C36" s="2635" t="str">
        <f>+C14</f>
        <v>Ranger B 9060 PBC</v>
      </c>
      <c r="D36" s="2636"/>
      <c r="E36" s="724" t="s">
        <v>12070</v>
      </c>
    </row>
    <row r="37" s="64" customFormat="1" spans="2:5">
      <c r="B37" s="64">
        <f t="shared" si="19"/>
        <v>4</v>
      </c>
      <c r="C37" s="2635" t="str">
        <f t="shared" ref="C37:C47" si="20">+C15</f>
        <v>Ford Ranger</v>
      </c>
      <c r="D37" s="2636"/>
      <c r="E37" s="724" t="s">
        <v>12070</v>
      </c>
    </row>
    <row r="38" s="64" customFormat="1" spans="2:5">
      <c r="B38" s="64">
        <f t="shared" si="19"/>
        <v>5</v>
      </c>
      <c r="C38" s="2635" t="str">
        <f t="shared" si="20"/>
        <v>Hino Ranger FG Hijau tua 20 Feet</v>
      </c>
      <c r="D38" s="2636"/>
      <c r="E38" s="724" t="s">
        <v>12070</v>
      </c>
    </row>
    <row r="39" spans="2:5">
      <c r="B39" s="64">
        <f t="shared" si="19"/>
        <v>6</v>
      </c>
      <c r="C39" s="2635" t="str">
        <f t="shared" si="20"/>
        <v>Hino Dutro</v>
      </c>
      <c r="D39" s="2636"/>
      <c r="E39" s="724" t="s">
        <v>12071</v>
      </c>
    </row>
    <row r="40" spans="2:5">
      <c r="B40" s="64">
        <f t="shared" si="19"/>
        <v>7</v>
      </c>
      <c r="C40" s="2635" t="str">
        <f t="shared" si="20"/>
        <v>Hino Dutro</v>
      </c>
      <c r="D40" s="2636"/>
      <c r="E40" s="724" t="s">
        <v>12071</v>
      </c>
    </row>
    <row r="41" spans="2:5">
      <c r="B41" s="64">
        <f t="shared" si="19"/>
        <v>8</v>
      </c>
      <c r="C41" s="2635" t="str">
        <f t="shared" si="20"/>
        <v>HINO Tractor Head</v>
      </c>
      <c r="D41" s="2636"/>
      <c r="E41" s="724" t="s">
        <v>12070</v>
      </c>
    </row>
    <row r="42" spans="2:5">
      <c r="B42" s="64">
        <f t="shared" si="19"/>
        <v>9</v>
      </c>
      <c r="C42" s="2635" t="str">
        <f t="shared" si="20"/>
        <v>GPS 3 Armada</v>
      </c>
      <c r="E42" s="724" t="s">
        <v>12072</v>
      </c>
    </row>
    <row r="43" spans="2:3">
      <c r="B43" s="64">
        <f t="shared" si="19"/>
        <v>10</v>
      </c>
      <c r="C43" s="2635" t="str">
        <f t="shared" si="20"/>
        <v>HT Merk Baofeng Scom UV92 Pro 7 Watt,</v>
      </c>
    </row>
    <row r="44" spans="2:3">
      <c r="B44" s="64">
        <f t="shared" si="19"/>
        <v>11</v>
      </c>
      <c r="C44" s="2635" t="str">
        <f t="shared" si="20"/>
        <v>Peralatan Safety Graha Niaga</v>
      </c>
    </row>
    <row r="45" spans="2:3">
      <c r="B45" s="64">
        <f t="shared" si="19"/>
        <v>12</v>
      </c>
      <c r="C45" s="2635" t="str">
        <f t="shared" si="20"/>
        <v>Peralatan Safety Sari Pan Pasific</v>
      </c>
    </row>
    <row r="46" spans="2:5">
      <c r="B46" s="64">
        <f t="shared" si="19"/>
        <v>13</v>
      </c>
      <c r="C46" s="2635" t="str">
        <f t="shared" si="20"/>
        <v>Hino Ranger 9505</v>
      </c>
      <c r="E46" s="724" t="s">
        <v>12073</v>
      </c>
    </row>
    <row r="47" spans="2:5">
      <c r="B47" s="64">
        <f t="shared" si="19"/>
        <v>14</v>
      </c>
      <c r="C47" s="2635" t="str">
        <f t="shared" si="20"/>
        <v>Hino Ranger 9507</v>
      </c>
      <c r="E47" s="724" t="s">
        <v>12074</v>
      </c>
    </row>
    <row r="48" customFormat="1" spans="2:5">
      <c r="B48" s="64"/>
      <c r="C48" s="2635"/>
      <c r="D48" s="2542"/>
      <c r="E48" s="724"/>
    </row>
    <row r="49" spans="2:2">
      <c r="B49" s="64" t="s">
        <v>698</v>
      </c>
    </row>
    <row r="53" ht="12" spans="2:6">
      <c r="B53" t="s">
        <v>12075</v>
      </c>
      <c r="C53" s="2671"/>
      <c r="D53" s="1540"/>
      <c r="E53" s="2672"/>
      <c r="F53" s="94"/>
    </row>
    <row r="54" customFormat="1" ht="12" spans="2:6">
      <c r="B54" s="2669" t="s">
        <v>12076</v>
      </c>
      <c r="C54" s="2671"/>
      <c r="D54" s="1540"/>
      <c r="E54" s="2672"/>
      <c r="F54" s="94"/>
    </row>
    <row r="55" ht="12" spans="2:6">
      <c r="B55">
        <v>1</v>
      </c>
      <c r="C55" s="2671" t="s">
        <v>12077</v>
      </c>
      <c r="D55" s="1540"/>
      <c r="E55" s="2672"/>
      <c r="F55" s="94">
        <f>+J25*2</f>
        <v>1589217280.5913</v>
      </c>
    </row>
    <row r="56" ht="12" spans="3:6">
      <c r="C56" s="2671" t="s">
        <v>12078</v>
      </c>
      <c r="D56" s="1540"/>
      <c r="E56" s="2672"/>
      <c r="F56" s="94">
        <f>25771000*2*36</f>
        <v>1855512000</v>
      </c>
    </row>
    <row r="57" customFormat="1" ht="12" spans="3:9">
      <c r="C57" s="2671" t="s">
        <v>12079</v>
      </c>
      <c r="D57" s="1540"/>
      <c r="E57" s="2672"/>
      <c r="F57" s="94">
        <f>+F55-F56</f>
        <v>-266294719.408697</v>
      </c>
      <c r="I57" t="s">
        <v>12080</v>
      </c>
    </row>
    <row r="58" ht="12" spans="3:6">
      <c r="C58" s="2623" t="s">
        <v>12081</v>
      </c>
      <c r="D58" s="1540"/>
      <c r="E58" s="2672"/>
      <c r="F58" s="94">
        <v>0</v>
      </c>
    </row>
    <row r="59" ht="13.2" spans="3:11">
      <c r="C59" s="2671" t="s">
        <v>12082</v>
      </c>
      <c r="F59">
        <f>25771500*2</f>
        <v>51543000</v>
      </c>
      <c r="I59" s="2674" t="s">
        <v>12083</v>
      </c>
      <c r="J59" s="2674" t="s">
        <v>1919</v>
      </c>
      <c r="K59" s="2674" t="s">
        <v>151</v>
      </c>
    </row>
    <row r="60" customFormat="1" spans="3:11">
      <c r="C60" s="2623" t="s">
        <v>12084</v>
      </c>
      <c r="D60" s="2542">
        <v>1</v>
      </c>
      <c r="E60" s="2673">
        <v>2022</v>
      </c>
      <c r="F60">
        <f t="shared" ref="F60:F65" si="21">+$F$59*G60</f>
        <v>309258000</v>
      </c>
      <c r="G60">
        <v>6</v>
      </c>
      <c r="I60">
        <v>271782148.481236</v>
      </c>
      <c r="J60">
        <v>89018851.5100133</v>
      </c>
      <c r="K60">
        <f t="shared" ref="K60:K65" si="22">SUM(I60:J60)</f>
        <v>360800999.991249</v>
      </c>
    </row>
    <row r="61" customFormat="1" spans="3:11">
      <c r="C61" s="2623" t="s">
        <v>12085</v>
      </c>
      <c r="D61" s="2542">
        <v>2</v>
      </c>
      <c r="E61" s="2673">
        <v>2023</v>
      </c>
      <c r="F61">
        <f t="shared" si="21"/>
        <v>618516000</v>
      </c>
      <c r="G61">
        <v>12</v>
      </c>
      <c r="I61">
        <v>505675584.077637</v>
      </c>
      <c r="J61">
        <v>112840415.85732</v>
      </c>
      <c r="K61">
        <f t="shared" si="22"/>
        <v>618515999.934957</v>
      </c>
    </row>
    <row r="62" customFormat="1" spans="3:11">
      <c r="C62" s="2623" t="s">
        <v>12086</v>
      </c>
      <c r="D62" s="2542">
        <v>3</v>
      </c>
      <c r="E62" s="2673">
        <f>+E61+1</f>
        <v>2024</v>
      </c>
      <c r="F62">
        <f t="shared" si="21"/>
        <v>618516000</v>
      </c>
      <c r="G62">
        <v>12</v>
      </c>
      <c r="I62">
        <v>560582561.018468</v>
      </c>
      <c r="J62">
        <v>57933438.8473901</v>
      </c>
      <c r="K62">
        <f t="shared" si="22"/>
        <v>618515999.865858</v>
      </c>
    </row>
    <row r="63" customFormat="1" spans="3:11">
      <c r="C63" s="2623" t="s">
        <v>12087</v>
      </c>
      <c r="D63" s="2542">
        <v>4</v>
      </c>
      <c r="E63" s="2673">
        <f>+E62+1</f>
        <v>2025</v>
      </c>
      <c r="F63">
        <f t="shared" si="21"/>
        <v>309258000</v>
      </c>
      <c r="G63">
        <v>6</v>
      </c>
      <c r="I63">
        <v>251176985.013962</v>
      </c>
      <c r="J63">
        <v>6538014.90799457</v>
      </c>
      <c r="K63">
        <f t="shared" si="22"/>
        <v>257714999.921957</v>
      </c>
    </row>
    <row r="64" customFormat="1" spans="3:11">
      <c r="C64" s="2623" t="s">
        <v>12088</v>
      </c>
      <c r="D64" s="2542">
        <v>5</v>
      </c>
      <c r="E64" s="2673">
        <f>+E63+1</f>
        <v>2026</v>
      </c>
      <c r="F64">
        <f t="shared" si="21"/>
        <v>0</v>
      </c>
      <c r="G64">
        <v>0</v>
      </c>
      <c r="I64">
        <v>0</v>
      </c>
      <c r="J64">
        <v>0</v>
      </c>
      <c r="K64">
        <f t="shared" si="22"/>
        <v>0</v>
      </c>
    </row>
    <row r="65" customFormat="1" spans="3:11">
      <c r="C65" s="2623" t="s">
        <v>12089</v>
      </c>
      <c r="D65" s="2542">
        <f>+D64+1</f>
        <v>6</v>
      </c>
      <c r="E65" s="2673">
        <f>+E64+1</f>
        <v>2027</v>
      </c>
      <c r="F65">
        <f t="shared" si="21"/>
        <v>0</v>
      </c>
      <c r="G65">
        <v>0</v>
      </c>
      <c r="I65">
        <v>0</v>
      </c>
      <c r="J65">
        <v>0</v>
      </c>
      <c r="K65">
        <f t="shared" si="22"/>
        <v>0</v>
      </c>
    </row>
    <row r="66" customFormat="1" ht="12" spans="3:11">
      <c r="C66" s="2623" t="s">
        <v>12090</v>
      </c>
      <c r="D66" s="2542"/>
      <c r="E66" s="724"/>
      <c r="F66" s="94">
        <f>SUM(F60:F65)</f>
        <v>1855548000</v>
      </c>
      <c r="G66">
        <f>SUM(G60:G65)</f>
        <v>36</v>
      </c>
      <c r="I66" s="94">
        <f>SUM(I60:I65)</f>
        <v>1589217278.5913</v>
      </c>
      <c r="J66" s="94">
        <f>SUM(J60:J65)</f>
        <v>266330721.122718</v>
      </c>
      <c r="K66" s="94">
        <f>SUM(K60:K65)</f>
        <v>1855547999.71402</v>
      </c>
    </row>
    <row r="67" spans="3:6">
      <c r="C67" s="2623" t="s">
        <v>12091</v>
      </c>
      <c r="F67">
        <f>+F56-F66</f>
        <v>-36000</v>
      </c>
    </row>
    <row r="68" spans="3:6">
      <c r="C68" s="2623" t="s">
        <v>12092</v>
      </c>
      <c r="F68">
        <f>+[79]GunaUsaha!$D$24</f>
        <v>1317435130.11007</v>
      </c>
    </row>
    <row r="69" customFormat="1" spans="3:6">
      <c r="C69" s="2623" t="s">
        <v>12091</v>
      </c>
      <c r="D69" s="2542"/>
      <c r="E69" s="724"/>
      <c r="F69">
        <f>+F56-F68</f>
        <v>538076869.889933</v>
      </c>
    </row>
    <row r="70" customFormat="1" spans="3:5">
      <c r="C70" s="2623"/>
      <c r="D70" s="2542"/>
      <c r="E70" s="724"/>
    </row>
    <row r="71" customFormat="1" ht="13.2" spans="3:6">
      <c r="C71" s="2623"/>
      <c r="D71" s="2542"/>
      <c r="E71" s="724"/>
      <c r="F71" s="2332" t="s">
        <v>12093</v>
      </c>
    </row>
    <row r="72" customFormat="1" spans="5:10">
      <c r="E72" t="s">
        <v>625</v>
      </c>
      <c r="F72" t="s">
        <v>12094</v>
      </c>
      <c r="I72">
        <f>+F55</f>
        <v>1589217280.5913</v>
      </c>
      <c r="J72">
        <v>0</v>
      </c>
    </row>
    <row r="73" customFormat="1" spans="5:10">
      <c r="E73" t="s">
        <v>625</v>
      </c>
      <c r="F73" t="s">
        <v>12095</v>
      </c>
      <c r="I73">
        <f>-F57</f>
        <v>266294719.408697</v>
      </c>
      <c r="J73">
        <v>0</v>
      </c>
    </row>
    <row r="74" customFormat="1" spans="5:10">
      <c r="E74" t="s">
        <v>626</v>
      </c>
      <c r="F74" t="s">
        <v>12096</v>
      </c>
      <c r="I74">
        <v>0</v>
      </c>
      <c r="J74">
        <f>+K66</f>
        <v>1855547999.71402</v>
      </c>
    </row>
    <row r="75" customFormat="1" spans="3:5">
      <c r="C75" s="2623"/>
      <c r="D75" s="2542"/>
      <c r="E75" s="724"/>
    </row>
    <row r="76" customFormat="1" ht="13.2" spans="3:6">
      <c r="C76" s="2623"/>
      <c r="D76" s="2542"/>
      <c r="E76" s="724"/>
      <c r="F76" s="2332" t="s">
        <v>12097</v>
      </c>
    </row>
    <row r="77" customFormat="1" spans="3:9">
      <c r="C77" s="2623"/>
      <c r="D77" s="2542"/>
      <c r="E77" t="s">
        <v>625</v>
      </c>
      <c r="F77" t="s">
        <v>12098</v>
      </c>
      <c r="I77">
        <f>+J80</f>
        <v>51542000</v>
      </c>
    </row>
    <row r="78" customFormat="1" spans="3:9">
      <c r="C78" s="2623"/>
      <c r="D78" s="2542"/>
      <c r="E78" t="s">
        <v>625</v>
      </c>
      <c r="F78" t="s">
        <v>12099</v>
      </c>
      <c r="I78">
        <f>+J79</f>
        <v>7397075.53913048</v>
      </c>
    </row>
    <row r="79" customFormat="1" spans="3:10">
      <c r="C79" s="2623"/>
      <c r="D79" s="2542"/>
      <c r="E79" s="724"/>
      <c r="F79" t="s">
        <v>12095</v>
      </c>
      <c r="J79">
        <f>+I73/36</f>
        <v>7397075.53913048</v>
      </c>
    </row>
    <row r="80" customFormat="1" spans="3:10">
      <c r="C80" s="2623"/>
      <c r="D80" s="2542"/>
      <c r="E80" s="724"/>
      <c r="F80" t="s">
        <v>1003</v>
      </c>
      <c r="J80">
        <f>25771000*2</f>
        <v>51542000</v>
      </c>
    </row>
    <row r="81" customFormat="1" spans="3:5">
      <c r="C81" s="2623"/>
      <c r="D81" s="2542"/>
      <c r="E81" s="724"/>
    </row>
    <row r="82" customFormat="1" spans="3:5">
      <c r="C82" s="2623"/>
      <c r="D82" s="2542"/>
      <c r="E82" s="724"/>
    </row>
    <row r="83" customFormat="1" spans="3:5">
      <c r="C83" s="2623"/>
      <c r="D83" s="2542"/>
      <c r="E83" s="724"/>
    </row>
    <row r="84" customFormat="1" spans="3:5">
      <c r="C84" s="2623"/>
      <c r="D84" s="2542"/>
      <c r="E84" s="724"/>
    </row>
    <row r="85" customFormat="1" spans="3:5">
      <c r="C85" s="2623"/>
      <c r="D85" s="2542"/>
      <c r="E85" s="724"/>
    </row>
    <row r="86" customFormat="1" spans="3:5">
      <c r="C86" s="2623"/>
      <c r="D86" s="2542"/>
      <c r="E86" s="724"/>
    </row>
    <row r="87" ht="12" spans="2:5">
      <c r="B87" s="2661" t="s">
        <v>11981</v>
      </c>
      <c r="D87" s="2662"/>
      <c r="E87" s="2479"/>
    </row>
    <row r="88" spans="3:5">
      <c r="C88" t="s">
        <v>11982</v>
      </c>
      <c r="D88" s="2662"/>
      <c r="E88" s="2479"/>
    </row>
    <row r="89" spans="3:9">
      <c r="C89" t="s">
        <v>11983</v>
      </c>
      <c r="D89" s="2662">
        <v>20</v>
      </c>
      <c r="E89" s="2479"/>
      <c r="I89">
        <f>'20'!L16</f>
        <v>155956751</v>
      </c>
    </row>
    <row r="90" spans="3:9">
      <c r="C90" t="s">
        <v>11984</v>
      </c>
      <c r="D90" s="5135" t="s">
        <v>11985</v>
      </c>
      <c r="E90" s="2479"/>
      <c r="I90">
        <v>0</v>
      </c>
    </row>
    <row r="91" spans="3:9">
      <c r="C91" t="s">
        <v>11986</v>
      </c>
      <c r="D91" s="5135" t="s">
        <v>11987</v>
      </c>
      <c r="E91" s="2479"/>
      <c r="I91">
        <v>0</v>
      </c>
    </row>
    <row r="92" spans="3:9">
      <c r="C92" t="s">
        <v>151</v>
      </c>
      <c r="D92" s="2662"/>
      <c r="E92" s="2479"/>
      <c r="I92" s="1093">
        <f>SUM(I89:I90)</f>
        <v>155956751</v>
      </c>
    </row>
    <row r="93" spans="3:9">
      <c r="C93" t="s">
        <v>11988</v>
      </c>
      <c r="D93" s="2662"/>
      <c r="E93" s="2479"/>
      <c r="I93">
        <f>+M30</f>
        <v>1655768639.20978</v>
      </c>
    </row>
    <row r="94" spans="3:9">
      <c r="C94" t="s">
        <v>11989</v>
      </c>
      <c r="D94" s="2662"/>
      <c r="E94" s="2479"/>
      <c r="I94" s="1093">
        <f>I92-I93</f>
        <v>-1499811888.20978</v>
      </c>
    </row>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sheetData>
  <mergeCells count="5">
    <mergeCell ref="T8:AA8"/>
    <mergeCell ref="G9:H9"/>
    <mergeCell ref="P9:R9"/>
    <mergeCell ref="T9:U9"/>
    <mergeCell ref="V9:W9"/>
  </mergeCells>
  <pageMargins left="0.708661417322835" right="0.708661417322835" top="0.748031496062992" bottom="0.354330708661417" header="0.31496062992126" footer="0.31496062992126"/>
  <pageSetup paperSize="9" scale="80" orientation="landscape"/>
  <headerFooter/>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IV345"/>
  <sheetViews>
    <sheetView showGridLines="0" zoomScale="130" zoomScaleNormal="130" workbookViewId="0">
      <pane xSplit="4" ySplit="10" topLeftCell="E88" activePane="bottomRight" state="frozen"/>
      <selection/>
      <selection pane="topRight"/>
      <selection pane="bottomLeft"/>
      <selection pane="bottomRight" activeCell="K92" sqref="K92"/>
    </sheetView>
  </sheetViews>
  <sheetFormatPr defaultColWidth="9" defaultRowHeight="11.4"/>
  <cols>
    <col min="1" max="1" width="1.34375" customWidth="1"/>
    <col min="2" max="2" width="7.04166666666667" customWidth="1"/>
    <col min="3" max="3" width="28.46875" style="2623" customWidth="1"/>
    <col min="4" max="4" width="5.39583333333333" style="2542" customWidth="1"/>
    <col min="5" max="5" width="7.1875" style="724" customWidth="1"/>
    <col min="6" max="6" width="11.8333333333333" customWidth="1"/>
    <col min="7" max="7" width="5.84375" customWidth="1"/>
    <col min="8" max="8" width="4.34375" customWidth="1"/>
    <col min="9" max="9" width="17.2291666666667" customWidth="1"/>
    <col min="10" max="11" width="15.4270833333333" customWidth="1"/>
    <col min="12" max="12" width="13.78125" customWidth="1"/>
    <col min="13" max="13" width="14.2395833333333" customWidth="1"/>
    <col min="14" max="14" width="13.3333333333333" customWidth="1"/>
    <col min="15" max="15" width="13.9375" customWidth="1"/>
    <col min="16" max="16" width="10.3333333333333" hidden="1" customWidth="1" outlineLevel="1"/>
    <col min="17" max="17" width="11.8333333333333" hidden="1" customWidth="1" outlineLevel="1"/>
    <col min="18" max="18" width="11.2395833333333" hidden="1" customWidth="1" outlineLevel="1"/>
    <col min="19" max="19" width="1.94791666666667" customWidth="1" collapsed="1"/>
    <col min="20" max="20" width="12.1354166666667" customWidth="1"/>
    <col min="21" max="21" width="10.78125" customWidth="1"/>
    <col min="22" max="24" width="16.1770833333333" customWidth="1"/>
    <col min="25" max="25" width="15.5833333333333" customWidth="1"/>
    <col min="26" max="26" width="16.9270833333333" customWidth="1"/>
    <col min="27" max="27" width="16.3333333333333" customWidth="1"/>
  </cols>
  <sheetData>
    <row r="1" spans="9:9">
      <c r="I1" s="164"/>
    </row>
    <row r="2" ht="21" spans="2:15">
      <c r="B2" s="1499" t="str">
        <f>UV!B2</f>
        <v>KAP LIASTA NIRWAN SYAFRUDIN &amp; REKAN</v>
      </c>
      <c r="C2" s="731"/>
      <c r="D2" s="2624"/>
      <c r="E2" s="2624"/>
      <c r="F2" s="731"/>
      <c r="G2" s="731"/>
      <c r="H2" s="731"/>
      <c r="I2" s="1757"/>
      <c r="J2" s="1757"/>
      <c r="K2" s="1757"/>
      <c r="L2" s="2649"/>
      <c r="M2" s="731" t="s">
        <v>481</v>
      </c>
      <c r="N2" s="765" t="s">
        <v>482</v>
      </c>
      <c r="O2" s="766" t="s">
        <v>483</v>
      </c>
    </row>
    <row r="3" ht="15.6" spans="2:15">
      <c r="B3" s="1500"/>
      <c r="C3" s="2625"/>
      <c r="D3" s="2626"/>
      <c r="E3" s="2627"/>
      <c r="F3" s="1504"/>
      <c r="G3" s="1505"/>
      <c r="H3" s="1505"/>
      <c r="I3" s="2650"/>
      <c r="J3" s="2650"/>
      <c r="K3" s="2650"/>
      <c r="L3" s="1586"/>
      <c r="M3" s="738" t="s">
        <v>484</v>
      </c>
      <c r="N3" s="767">
        <f>+UV!U3</f>
        <v>45183</v>
      </c>
      <c r="O3" s="768" t="s">
        <v>11863</v>
      </c>
    </row>
    <row r="4" ht="13.2" spans="2:15">
      <c r="B4" s="1546" t="s">
        <v>622</v>
      </c>
      <c r="C4" s="2628" t="str">
        <f>+'F1'!C4</f>
        <v>PT INTAN GIRI ABADI</v>
      </c>
      <c r="D4" s="2629"/>
      <c r="E4" s="2624"/>
      <c r="F4" s="1548"/>
      <c r="G4" s="1548"/>
      <c r="H4" s="1548"/>
      <c r="I4" s="1758"/>
      <c r="J4" s="1758"/>
      <c r="K4" s="1758"/>
      <c r="L4" s="746"/>
      <c r="M4" s="742" t="s">
        <v>487</v>
      </c>
      <c r="N4" s="769" t="s">
        <v>482</v>
      </c>
      <c r="O4" s="770" t="s">
        <v>488</v>
      </c>
    </row>
    <row r="5" ht="13.2" spans="2:15">
      <c r="B5" s="775"/>
      <c r="C5" s="2630"/>
      <c r="D5" s="2631"/>
      <c r="E5" s="2632"/>
      <c r="F5" s="753"/>
      <c r="G5" s="753"/>
      <c r="H5" s="753"/>
      <c r="I5" s="1759"/>
      <c r="J5" s="1759"/>
      <c r="K5" s="1759"/>
      <c r="L5" s="1592"/>
      <c r="M5" s="1592"/>
      <c r="N5" s="771"/>
      <c r="O5" s="772">
        <v>5</v>
      </c>
    </row>
    <row r="6" spans="2:15">
      <c r="B6" s="773"/>
      <c r="C6" s="731"/>
      <c r="D6" s="2633"/>
      <c r="E6" s="2624"/>
      <c r="F6" s="742"/>
      <c r="G6" s="742"/>
      <c r="H6" s="742"/>
      <c r="I6" s="1760"/>
      <c r="J6" s="1760"/>
      <c r="K6" s="1760"/>
      <c r="L6" s="770"/>
      <c r="M6" s="742"/>
      <c r="N6" s="773"/>
      <c r="O6" s="774" t="s">
        <v>491</v>
      </c>
    </row>
    <row r="7" ht="12" spans="2:15">
      <c r="B7" s="1549" t="s">
        <v>11901</v>
      </c>
      <c r="C7" s="2634" t="str">
        <f>+UV!C17</f>
        <v>Peralatan Kantor</v>
      </c>
      <c r="D7" s="2631"/>
      <c r="E7" s="2632"/>
      <c r="F7" s="753"/>
      <c r="G7" s="753"/>
      <c r="H7" s="753"/>
      <c r="I7" s="753"/>
      <c r="J7" s="753"/>
      <c r="K7" s="753"/>
      <c r="L7" s="1599"/>
      <c r="M7" s="753"/>
      <c r="N7" s="775"/>
      <c r="O7" s="776">
        <f>+UV!W7</f>
        <v>44926</v>
      </c>
    </row>
    <row r="8" s="64" customFormat="1" spans="3:256">
      <c r="C8" s="2635"/>
      <c r="D8" s="2636"/>
      <c r="E8" s="724"/>
      <c r="I8" s="1350"/>
      <c r="K8" s="1350"/>
      <c r="S8"/>
      <c r="T8" s="2653" t="s">
        <v>11902</v>
      </c>
      <c r="U8" s="2654"/>
      <c r="V8" s="2654"/>
      <c r="W8" s="2654"/>
      <c r="X8" s="2654"/>
      <c r="Y8" s="2654"/>
      <c r="Z8" s="2654"/>
      <c r="AA8" s="265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2:27">
      <c r="B9" s="2637" t="s">
        <v>26</v>
      </c>
      <c r="C9" s="2638" t="s">
        <v>11903</v>
      </c>
      <c r="D9" s="2639" t="s">
        <v>11949</v>
      </c>
      <c r="E9" s="2638" t="s">
        <v>38</v>
      </c>
      <c r="F9" s="2639" t="s">
        <v>157</v>
      </c>
      <c r="G9" s="2637" t="s">
        <v>11905</v>
      </c>
      <c r="H9" s="2640"/>
      <c r="I9" s="2638" t="s">
        <v>11906</v>
      </c>
      <c r="J9" s="2639" t="s">
        <v>11907</v>
      </c>
      <c r="K9" s="2638" t="s">
        <v>11906</v>
      </c>
      <c r="L9" s="2639" t="s">
        <v>11908</v>
      </c>
      <c r="M9" s="2638" t="s">
        <v>11909</v>
      </c>
      <c r="N9" s="2638" t="s">
        <v>11908</v>
      </c>
      <c r="O9" s="2640" t="s">
        <v>11910</v>
      </c>
      <c r="P9" t="s">
        <v>11911</v>
      </c>
      <c r="T9" s="2655" t="s">
        <v>11912</v>
      </c>
      <c r="U9" s="2656"/>
      <c r="V9" s="2639" t="s">
        <v>11886</v>
      </c>
      <c r="W9" s="2639"/>
      <c r="X9" s="2638" t="s">
        <v>874</v>
      </c>
      <c r="Y9" s="2638" t="s">
        <v>11910</v>
      </c>
      <c r="Z9" s="2639" t="s">
        <v>146</v>
      </c>
      <c r="AA9" s="2638" t="s">
        <v>146</v>
      </c>
    </row>
    <row r="10" spans="2:27">
      <c r="B10" s="643"/>
      <c r="C10" s="2641"/>
      <c r="D10" s="2642"/>
      <c r="E10" s="2641"/>
      <c r="F10" s="2642" t="s">
        <v>11913</v>
      </c>
      <c r="G10" s="643" t="s">
        <v>11796</v>
      </c>
      <c r="H10" s="2643" t="s">
        <v>11914</v>
      </c>
      <c r="I10" s="2641" t="str">
        <f>+'UV2'!I10</f>
        <v>Awal 2022</v>
      </c>
      <c r="J10" s="2642" t="s">
        <v>11916</v>
      </c>
      <c r="K10" s="2641" t="str">
        <f>+'UV2'!K10</f>
        <v>Akhir 2022</v>
      </c>
      <c r="L10" s="2642">
        <v>44561</v>
      </c>
      <c r="M10" s="2641">
        <v>44926</v>
      </c>
      <c r="N10" s="2641" t="s">
        <v>11918</v>
      </c>
      <c r="O10" s="2643">
        <v>44926</v>
      </c>
      <c r="P10" t="s">
        <v>11919</v>
      </c>
      <c r="Q10" t="s">
        <v>11920</v>
      </c>
      <c r="R10" t="s">
        <v>11921</v>
      </c>
      <c r="T10" s="643">
        <v>44561</v>
      </c>
      <c r="U10" s="2642">
        <f>+T10+365</f>
        <v>44926</v>
      </c>
      <c r="V10" s="2655">
        <f>+T10</f>
        <v>44561</v>
      </c>
      <c r="W10" s="2657">
        <f>+U10</f>
        <v>44926</v>
      </c>
      <c r="X10" s="2641">
        <v>44926</v>
      </c>
      <c r="Y10" s="2641">
        <v>44926</v>
      </c>
      <c r="Z10" s="2642" t="s">
        <v>11922</v>
      </c>
      <c r="AA10" s="2641" t="s">
        <v>11882</v>
      </c>
    </row>
    <row r="11" s="64" customFormat="1" ht="12" spans="2:256">
      <c r="B11" s="2644"/>
      <c r="C11" s="2645" t="s">
        <v>127</v>
      </c>
      <c r="D11" s="2646"/>
      <c r="E11"/>
      <c r="F11" s="142"/>
      <c r="G11"/>
      <c r="H11" s="2647"/>
      <c r="I11" s="2644"/>
      <c r="J11" s="2651"/>
      <c r="K11" s="2644"/>
      <c r="L11" s="2644"/>
      <c r="M11" s="2644"/>
      <c r="N11" s="2644"/>
      <c r="O11" s="2644"/>
      <c r="P11"/>
      <c r="Q11"/>
      <c r="R11"/>
      <c r="S11"/>
      <c r="T11" s="2644"/>
      <c r="U11" s="2644"/>
      <c r="V11" s="2644"/>
      <c r="W11" s="2644"/>
      <c r="X11" s="2644"/>
      <c r="Y11" s="2644"/>
      <c r="Z11" s="2644"/>
      <c r="AA11" s="2644"/>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64" customFormat="1" spans="2:27">
      <c r="B12" s="1366">
        <v>1</v>
      </c>
      <c r="C12" s="1366" t="s">
        <v>12100</v>
      </c>
      <c r="D12" s="2648">
        <v>1</v>
      </c>
      <c r="E12" s="1363">
        <v>0.125</v>
      </c>
      <c r="F12" s="1374">
        <v>41092</v>
      </c>
      <c r="G12" s="1366">
        <f>100%/E12</f>
        <v>8</v>
      </c>
      <c r="H12" s="29">
        <f>G12*12</f>
        <v>96</v>
      </c>
      <c r="I12" s="1366">
        <v>300000</v>
      </c>
      <c r="J12" s="1366">
        <v>0</v>
      </c>
      <c r="K12" s="1366">
        <f>I12+J12</f>
        <v>300000</v>
      </c>
      <c r="L12" s="1366">
        <v>300000</v>
      </c>
      <c r="M12" s="29">
        <v>0</v>
      </c>
      <c r="N12" s="1366">
        <f>L12+M12</f>
        <v>300000</v>
      </c>
      <c r="O12" s="1366">
        <f>K12-N12</f>
        <v>0</v>
      </c>
      <c r="P12">
        <f>ROUND(K12*E12/12,0)</f>
        <v>3125</v>
      </c>
      <c r="Q12">
        <f>P12*0</f>
        <v>0</v>
      </c>
      <c r="R12">
        <f>M12-Q12</f>
        <v>0</v>
      </c>
      <c r="S12"/>
      <c r="T12" s="1366">
        <f>IF(DAY($F12)&lt;=15,((YEAR(T$10)-YEAR($F12))*12+MONTH(T$10)-MONTH($F12))+1,((YEAR(T$10)-YEAR($F12))*12+MONTH(T$10)-MONTH($F12)))</f>
        <v>114</v>
      </c>
      <c r="U12" s="1366">
        <f>IF(DAY($F12)&lt;=15,((YEAR(U$10)-YEAR($F12))*12+MONTH(U$10)-MONTH($F12))+1,((YEAR(U$10)-YEAR($F12))*12+MONTH(U$10)-MONTH($F12)))</f>
        <v>126</v>
      </c>
      <c r="V12" s="29">
        <f>ROUND(IF(T12&gt;$H12,$K12,($K12/$H12*T12)),0)</f>
        <v>300000</v>
      </c>
      <c r="W12" s="29">
        <f>ROUND(IF(U12&gt;$H12,$K12,($K12/$H12*U12)),0)</f>
        <v>300000</v>
      </c>
      <c r="X12" s="29">
        <f>W12-V12</f>
        <v>0</v>
      </c>
      <c r="Y12" s="29">
        <f>K12-W12</f>
        <v>0</v>
      </c>
      <c r="Z12" s="29">
        <f>+M12-X12</f>
        <v>0</v>
      </c>
      <c r="AA12" s="29">
        <f>+O12-Y12</f>
        <v>0</v>
      </c>
    </row>
    <row r="13" s="64" customFormat="1" spans="2:27">
      <c r="B13" s="1366">
        <f>+B12+1</f>
        <v>2</v>
      </c>
      <c r="C13" s="1366" t="s">
        <v>12101</v>
      </c>
      <c r="D13" s="2648">
        <v>3</v>
      </c>
      <c r="E13" s="1363">
        <v>0.25</v>
      </c>
      <c r="F13" s="1374">
        <v>41092</v>
      </c>
      <c r="G13" s="1366">
        <f t="shared" ref="G13:G76" si="0">100%/E13</f>
        <v>4</v>
      </c>
      <c r="H13" s="29">
        <f t="shared" ref="H13:H76" si="1">G13*12</f>
        <v>48</v>
      </c>
      <c r="I13" s="1366">
        <v>7500000</v>
      </c>
      <c r="J13" s="1366">
        <v>0</v>
      </c>
      <c r="K13" s="1366">
        <f>I13+J13</f>
        <v>7500000</v>
      </c>
      <c r="L13" s="1366">
        <v>7500000</v>
      </c>
      <c r="M13" s="29">
        <v>0</v>
      </c>
      <c r="N13" s="1366">
        <f>L13+M13</f>
        <v>7500000</v>
      </c>
      <c r="O13" s="1366">
        <f>K13-N13</f>
        <v>0</v>
      </c>
      <c r="P13">
        <f>ROUND(K13*E13/12,0)</f>
        <v>156250</v>
      </c>
      <c r="Q13">
        <f>P13*12</f>
        <v>1875000</v>
      </c>
      <c r="R13">
        <f>M13-Q13</f>
        <v>-1875000</v>
      </c>
      <c r="T13" s="1366">
        <f t="shared" ref="T13:U28" si="2">IF(DAY($F13)&lt;=15,((YEAR(T$10)-YEAR($F13))*12+MONTH(T$10)-MONTH($F13))+1,((YEAR(T$10)-YEAR($F13))*12+MONTH(T$10)-MONTH($F13)))</f>
        <v>114</v>
      </c>
      <c r="U13" s="1366">
        <f t="shared" si="2"/>
        <v>126</v>
      </c>
      <c r="V13" s="29">
        <f>ROUND(IF(T13&gt;$H13,$K13,($K13/$H13*T13)),0)</f>
        <v>7500000</v>
      </c>
      <c r="W13" s="29">
        <f>ROUND(IF(U13&gt;$H13,$K13,($K13/$H13*U13)),0)</f>
        <v>7500000</v>
      </c>
      <c r="X13" s="29">
        <f>W13-V13</f>
        <v>0</v>
      </c>
      <c r="Y13" s="29">
        <f>K13-W13</f>
        <v>0</v>
      </c>
      <c r="Z13" s="29">
        <f>+M13-X13</f>
        <v>0</v>
      </c>
      <c r="AA13" s="29">
        <f>+O13-Y13</f>
        <v>0</v>
      </c>
    </row>
    <row r="14" s="64" customFormat="1" spans="2:27">
      <c r="B14" s="1366">
        <f t="shared" ref="B14:B77" si="3">+B13+1</f>
        <v>3</v>
      </c>
      <c r="C14" s="1366" t="s">
        <v>12102</v>
      </c>
      <c r="D14" s="2648">
        <v>3</v>
      </c>
      <c r="E14" s="1363">
        <v>0.25</v>
      </c>
      <c r="F14" s="1374">
        <v>41092</v>
      </c>
      <c r="G14" s="1366">
        <f t="shared" si="0"/>
        <v>4</v>
      </c>
      <c r="H14" s="29">
        <f t="shared" si="1"/>
        <v>48</v>
      </c>
      <c r="I14" s="2652">
        <v>15000000</v>
      </c>
      <c r="J14" s="1366">
        <v>0</v>
      </c>
      <c r="K14" s="1366">
        <f t="shared" ref="K14:K77" si="4">I14+J14</f>
        <v>15000000</v>
      </c>
      <c r="L14" s="1366">
        <v>15000000</v>
      </c>
      <c r="M14" s="29">
        <v>0</v>
      </c>
      <c r="N14" s="1366">
        <f t="shared" ref="N14:N25" si="5">L14+M14</f>
        <v>15000000</v>
      </c>
      <c r="O14" s="1366">
        <f t="shared" ref="O14:O25" si="6">K14-N14</f>
        <v>0</v>
      </c>
      <c r="P14">
        <f t="shared" ref="P14:P23" si="7">ROUND(K14*E14/12,0)</f>
        <v>312500</v>
      </c>
      <c r="Q14">
        <f t="shared" ref="Q14:Q23" si="8">P14*12</f>
        <v>3750000</v>
      </c>
      <c r="R14">
        <f t="shared" ref="R14:R23" si="9">M14-Q14</f>
        <v>-3750000</v>
      </c>
      <c r="T14" s="1366">
        <f t="shared" si="2"/>
        <v>114</v>
      </c>
      <c r="U14" s="1366">
        <f t="shared" si="2"/>
        <v>126</v>
      </c>
      <c r="V14" s="29">
        <f t="shared" ref="V14:W25" si="10">ROUND(IF(T14&gt;$H14,$K14,($K14/$H14*T14)),0)</f>
        <v>15000000</v>
      </c>
      <c r="W14" s="29">
        <f t="shared" si="10"/>
        <v>15000000</v>
      </c>
      <c r="X14" s="29">
        <f t="shared" ref="X14:X25" si="11">W14-V14</f>
        <v>0</v>
      </c>
      <c r="Y14" s="29">
        <f t="shared" ref="Y14:Y25" si="12">K14-W14</f>
        <v>0</v>
      </c>
      <c r="Z14" s="29">
        <f t="shared" ref="Z14:Z25" si="13">+M14-X14</f>
        <v>0</v>
      </c>
      <c r="AA14" s="29">
        <f t="shared" ref="AA14:AA25" si="14">+O14-Y14</f>
        <v>0</v>
      </c>
    </row>
    <row r="15" s="64" customFormat="1" spans="2:27">
      <c r="B15" s="1366">
        <f t="shared" si="3"/>
        <v>4</v>
      </c>
      <c r="C15" s="1366" t="s">
        <v>12103</v>
      </c>
      <c r="D15" s="2648">
        <v>1</v>
      </c>
      <c r="E15" s="1363">
        <v>0.25</v>
      </c>
      <c r="F15" s="1374">
        <v>41092</v>
      </c>
      <c r="G15" s="1366">
        <f t="shared" si="0"/>
        <v>4</v>
      </c>
      <c r="H15" s="29">
        <f t="shared" si="1"/>
        <v>48</v>
      </c>
      <c r="I15" s="1366">
        <v>1000000</v>
      </c>
      <c r="J15" s="1366">
        <v>0</v>
      </c>
      <c r="K15" s="1366">
        <f t="shared" si="4"/>
        <v>1000000</v>
      </c>
      <c r="L15" s="1366">
        <v>1000000</v>
      </c>
      <c r="M15" s="29">
        <v>0</v>
      </c>
      <c r="N15" s="1366">
        <f t="shared" si="5"/>
        <v>1000000</v>
      </c>
      <c r="O15" s="1366">
        <f t="shared" si="6"/>
        <v>0</v>
      </c>
      <c r="P15">
        <f t="shared" si="7"/>
        <v>20833</v>
      </c>
      <c r="Q15">
        <f t="shared" si="8"/>
        <v>249996</v>
      </c>
      <c r="R15">
        <f t="shared" si="9"/>
        <v>-249996</v>
      </c>
      <c r="T15" s="1366">
        <f t="shared" si="2"/>
        <v>114</v>
      </c>
      <c r="U15" s="1366">
        <f t="shared" si="2"/>
        <v>126</v>
      </c>
      <c r="V15" s="29">
        <f t="shared" si="10"/>
        <v>1000000</v>
      </c>
      <c r="W15" s="29">
        <f t="shared" si="10"/>
        <v>1000000</v>
      </c>
      <c r="X15" s="29">
        <f t="shared" si="11"/>
        <v>0</v>
      </c>
      <c r="Y15" s="29">
        <f t="shared" si="12"/>
        <v>0</v>
      </c>
      <c r="Z15" s="29">
        <f t="shared" si="13"/>
        <v>0</v>
      </c>
      <c r="AA15" s="29">
        <f t="shared" si="14"/>
        <v>0</v>
      </c>
    </row>
    <row r="16" s="64" customFormat="1" spans="2:27">
      <c r="B16" s="1366">
        <f t="shared" si="3"/>
        <v>5</v>
      </c>
      <c r="C16" s="1366" t="s">
        <v>12104</v>
      </c>
      <c r="D16" s="2648">
        <v>2</v>
      </c>
      <c r="E16" s="1363">
        <v>0.25</v>
      </c>
      <c r="F16" s="1374">
        <v>41092</v>
      </c>
      <c r="G16" s="1366">
        <f t="shared" si="0"/>
        <v>4</v>
      </c>
      <c r="H16" s="29">
        <f t="shared" si="1"/>
        <v>48</v>
      </c>
      <c r="I16" s="1366">
        <v>1200000</v>
      </c>
      <c r="J16" s="1366">
        <v>0</v>
      </c>
      <c r="K16" s="1366">
        <f t="shared" si="4"/>
        <v>1200000</v>
      </c>
      <c r="L16" s="1366">
        <v>1200000</v>
      </c>
      <c r="M16" s="29">
        <v>0</v>
      </c>
      <c r="N16" s="1366">
        <f t="shared" si="5"/>
        <v>1200000</v>
      </c>
      <c r="O16" s="1366">
        <f t="shared" si="6"/>
        <v>0</v>
      </c>
      <c r="P16">
        <f t="shared" si="7"/>
        <v>25000</v>
      </c>
      <c r="Q16">
        <f t="shared" si="8"/>
        <v>300000</v>
      </c>
      <c r="R16">
        <f t="shared" si="9"/>
        <v>-300000</v>
      </c>
      <c r="T16" s="1366">
        <f t="shared" si="2"/>
        <v>114</v>
      </c>
      <c r="U16" s="1366">
        <f t="shared" si="2"/>
        <v>126</v>
      </c>
      <c r="V16" s="29">
        <f t="shared" si="10"/>
        <v>1200000</v>
      </c>
      <c r="W16" s="29">
        <f t="shared" si="10"/>
        <v>1200000</v>
      </c>
      <c r="X16" s="29">
        <f t="shared" si="11"/>
        <v>0</v>
      </c>
      <c r="Y16" s="29">
        <f t="shared" si="12"/>
        <v>0</v>
      </c>
      <c r="Z16" s="29">
        <f t="shared" si="13"/>
        <v>0</v>
      </c>
      <c r="AA16" s="29">
        <f t="shared" si="14"/>
        <v>0</v>
      </c>
    </row>
    <row r="17" s="64" customFormat="1" spans="2:27">
      <c r="B17" s="1366">
        <f t="shared" si="3"/>
        <v>6</v>
      </c>
      <c r="C17" s="1366" t="s">
        <v>12105</v>
      </c>
      <c r="D17" s="2648">
        <v>1</v>
      </c>
      <c r="E17" s="1363">
        <v>0.25</v>
      </c>
      <c r="F17" s="1374">
        <v>41092</v>
      </c>
      <c r="G17" s="1366">
        <f t="shared" si="0"/>
        <v>4</v>
      </c>
      <c r="H17" s="29">
        <f t="shared" si="1"/>
        <v>48</v>
      </c>
      <c r="I17" s="1366">
        <v>800000</v>
      </c>
      <c r="J17" s="1366">
        <v>0</v>
      </c>
      <c r="K17" s="1366">
        <f t="shared" si="4"/>
        <v>800000</v>
      </c>
      <c r="L17" s="1366">
        <v>800000</v>
      </c>
      <c r="M17" s="29">
        <v>0</v>
      </c>
      <c r="N17" s="1366">
        <f t="shared" si="5"/>
        <v>800000</v>
      </c>
      <c r="O17" s="1366">
        <f t="shared" si="6"/>
        <v>0</v>
      </c>
      <c r="P17">
        <f t="shared" si="7"/>
        <v>16667</v>
      </c>
      <c r="Q17">
        <f t="shared" si="8"/>
        <v>200004</v>
      </c>
      <c r="R17">
        <f t="shared" si="9"/>
        <v>-200004</v>
      </c>
      <c r="T17" s="1366">
        <f t="shared" si="2"/>
        <v>114</v>
      </c>
      <c r="U17" s="1366">
        <f t="shared" si="2"/>
        <v>126</v>
      </c>
      <c r="V17" s="29">
        <f t="shared" si="10"/>
        <v>800000</v>
      </c>
      <c r="W17" s="29">
        <f t="shared" si="10"/>
        <v>800000</v>
      </c>
      <c r="X17" s="29">
        <f t="shared" si="11"/>
        <v>0</v>
      </c>
      <c r="Y17" s="29">
        <f t="shared" si="12"/>
        <v>0</v>
      </c>
      <c r="Z17" s="29">
        <f t="shared" si="13"/>
        <v>0</v>
      </c>
      <c r="AA17" s="29">
        <f t="shared" si="14"/>
        <v>0</v>
      </c>
    </row>
    <row r="18" s="64" customFormat="1" spans="2:27">
      <c r="B18" s="1366">
        <f t="shared" si="3"/>
        <v>7</v>
      </c>
      <c r="C18" s="1366" t="s">
        <v>12106</v>
      </c>
      <c r="D18" s="2648">
        <v>1</v>
      </c>
      <c r="E18" s="1363">
        <v>0.25</v>
      </c>
      <c r="F18" s="1374">
        <v>41092</v>
      </c>
      <c r="G18" s="1366">
        <f t="shared" si="0"/>
        <v>4</v>
      </c>
      <c r="H18" s="29">
        <f t="shared" si="1"/>
        <v>48</v>
      </c>
      <c r="I18" s="1366">
        <v>650000</v>
      </c>
      <c r="J18" s="1366">
        <v>0</v>
      </c>
      <c r="K18" s="1366">
        <f t="shared" si="4"/>
        <v>650000</v>
      </c>
      <c r="L18" s="1366">
        <v>650000</v>
      </c>
      <c r="M18" s="29">
        <v>0</v>
      </c>
      <c r="N18" s="1366">
        <f t="shared" si="5"/>
        <v>650000</v>
      </c>
      <c r="O18" s="1366">
        <f t="shared" si="6"/>
        <v>0</v>
      </c>
      <c r="P18">
        <f t="shared" si="7"/>
        <v>13542</v>
      </c>
      <c r="Q18">
        <f t="shared" si="8"/>
        <v>162504</v>
      </c>
      <c r="R18">
        <f t="shared" si="9"/>
        <v>-162504</v>
      </c>
      <c r="T18" s="1366">
        <f t="shared" si="2"/>
        <v>114</v>
      </c>
      <c r="U18" s="1366">
        <f t="shared" si="2"/>
        <v>126</v>
      </c>
      <c r="V18" s="29">
        <f t="shared" si="10"/>
        <v>650000</v>
      </c>
      <c r="W18" s="29">
        <f t="shared" si="10"/>
        <v>650000</v>
      </c>
      <c r="X18" s="29">
        <f t="shared" si="11"/>
        <v>0</v>
      </c>
      <c r="Y18" s="29">
        <f t="shared" si="12"/>
        <v>0</v>
      </c>
      <c r="Z18" s="29">
        <f t="shared" si="13"/>
        <v>0</v>
      </c>
      <c r="AA18" s="29">
        <f t="shared" si="14"/>
        <v>0</v>
      </c>
    </row>
    <row r="19" s="64" customFormat="1" spans="2:27">
      <c r="B19" s="1366">
        <f t="shared" si="3"/>
        <v>8</v>
      </c>
      <c r="C19" s="1366" t="s">
        <v>12107</v>
      </c>
      <c r="D19" s="2648">
        <v>6</v>
      </c>
      <c r="E19" s="1363">
        <v>0.25</v>
      </c>
      <c r="F19" s="1374">
        <v>41126</v>
      </c>
      <c r="G19" s="1366">
        <f t="shared" si="0"/>
        <v>4</v>
      </c>
      <c r="H19" s="29">
        <f t="shared" si="1"/>
        <v>48</v>
      </c>
      <c r="I19" s="2652">
        <v>21000000</v>
      </c>
      <c r="J19" s="1366">
        <v>0</v>
      </c>
      <c r="K19" s="1366">
        <f t="shared" si="4"/>
        <v>21000000</v>
      </c>
      <c r="L19" s="1366">
        <v>21000000</v>
      </c>
      <c r="M19" s="29">
        <v>0</v>
      </c>
      <c r="N19" s="1366">
        <f t="shared" si="5"/>
        <v>21000000</v>
      </c>
      <c r="O19" s="1366">
        <f t="shared" si="6"/>
        <v>0</v>
      </c>
      <c r="P19">
        <f t="shared" si="7"/>
        <v>437500</v>
      </c>
      <c r="Q19">
        <f t="shared" si="8"/>
        <v>5250000</v>
      </c>
      <c r="R19">
        <f t="shared" si="9"/>
        <v>-5250000</v>
      </c>
      <c r="T19" s="1366">
        <f t="shared" si="2"/>
        <v>113</v>
      </c>
      <c r="U19" s="1366">
        <f t="shared" si="2"/>
        <v>125</v>
      </c>
      <c r="V19" s="29">
        <f t="shared" si="10"/>
        <v>21000000</v>
      </c>
      <c r="W19" s="29">
        <f t="shared" si="10"/>
        <v>21000000</v>
      </c>
      <c r="X19" s="29">
        <f t="shared" si="11"/>
        <v>0</v>
      </c>
      <c r="Y19" s="29">
        <f t="shared" si="12"/>
        <v>0</v>
      </c>
      <c r="Z19" s="29">
        <f t="shared" si="13"/>
        <v>0</v>
      </c>
      <c r="AA19" s="29">
        <f t="shared" si="14"/>
        <v>0</v>
      </c>
    </row>
    <row r="20" s="64" customFormat="1" spans="2:27">
      <c r="B20" s="1366">
        <f t="shared" si="3"/>
        <v>9</v>
      </c>
      <c r="C20" s="1366" t="s">
        <v>12108</v>
      </c>
      <c r="D20" s="2648">
        <v>1</v>
      </c>
      <c r="E20" s="1363">
        <v>0.25</v>
      </c>
      <c r="F20" s="1374">
        <v>41128</v>
      </c>
      <c r="G20" s="1366">
        <f t="shared" si="0"/>
        <v>4</v>
      </c>
      <c r="H20" s="29">
        <f t="shared" si="1"/>
        <v>48</v>
      </c>
      <c r="I20" s="1366">
        <v>3193000</v>
      </c>
      <c r="J20" s="1366">
        <v>0</v>
      </c>
      <c r="K20" s="1366">
        <f t="shared" si="4"/>
        <v>3193000</v>
      </c>
      <c r="L20" s="1366">
        <v>3193000</v>
      </c>
      <c r="M20" s="29">
        <v>0</v>
      </c>
      <c r="N20" s="1366">
        <f t="shared" si="5"/>
        <v>3193000</v>
      </c>
      <c r="O20" s="1366">
        <f t="shared" si="6"/>
        <v>0</v>
      </c>
      <c r="P20">
        <f t="shared" si="7"/>
        <v>66521</v>
      </c>
      <c r="Q20">
        <f t="shared" si="8"/>
        <v>798252</v>
      </c>
      <c r="R20">
        <f t="shared" si="9"/>
        <v>-798252</v>
      </c>
      <c r="T20" s="1366">
        <f t="shared" si="2"/>
        <v>113</v>
      </c>
      <c r="U20" s="1366">
        <f t="shared" si="2"/>
        <v>125</v>
      </c>
      <c r="V20" s="29">
        <f t="shared" si="10"/>
        <v>3193000</v>
      </c>
      <c r="W20" s="29">
        <f t="shared" si="10"/>
        <v>3193000</v>
      </c>
      <c r="X20" s="29">
        <f t="shared" si="11"/>
        <v>0</v>
      </c>
      <c r="Y20" s="29">
        <f t="shared" si="12"/>
        <v>0</v>
      </c>
      <c r="Z20" s="29">
        <f t="shared" si="13"/>
        <v>0</v>
      </c>
      <c r="AA20" s="29">
        <f t="shared" si="14"/>
        <v>0</v>
      </c>
    </row>
    <row r="21" s="64" customFormat="1" spans="2:27">
      <c r="B21" s="1366">
        <f t="shared" si="3"/>
        <v>10</v>
      </c>
      <c r="C21" s="1366" t="s">
        <v>12109</v>
      </c>
      <c r="D21" s="2648">
        <v>1</v>
      </c>
      <c r="E21" s="1363">
        <v>0.125</v>
      </c>
      <c r="F21" s="1374">
        <v>41154</v>
      </c>
      <c r="G21" s="1366">
        <f t="shared" si="0"/>
        <v>8</v>
      </c>
      <c r="H21" s="29">
        <f t="shared" si="1"/>
        <v>96</v>
      </c>
      <c r="I21" s="1366">
        <v>4500000</v>
      </c>
      <c r="J21" s="1366">
        <v>0</v>
      </c>
      <c r="K21" s="1366">
        <f t="shared" si="4"/>
        <v>4500000</v>
      </c>
      <c r="L21" s="1366">
        <v>4500000</v>
      </c>
      <c r="M21" s="29">
        <v>0</v>
      </c>
      <c r="N21" s="1366">
        <f t="shared" si="5"/>
        <v>4500000</v>
      </c>
      <c r="O21" s="1366">
        <f t="shared" si="6"/>
        <v>0</v>
      </c>
      <c r="P21">
        <f t="shared" si="7"/>
        <v>46875</v>
      </c>
      <c r="Q21">
        <f t="shared" si="8"/>
        <v>562500</v>
      </c>
      <c r="R21">
        <f t="shared" si="9"/>
        <v>-562500</v>
      </c>
      <c r="T21" s="1366">
        <f t="shared" si="2"/>
        <v>112</v>
      </c>
      <c r="U21" s="1366">
        <f t="shared" si="2"/>
        <v>124</v>
      </c>
      <c r="V21" s="29">
        <f t="shared" si="10"/>
        <v>4500000</v>
      </c>
      <c r="W21" s="29">
        <f t="shared" si="10"/>
        <v>4500000</v>
      </c>
      <c r="X21" s="29">
        <f t="shared" si="11"/>
        <v>0</v>
      </c>
      <c r="Y21" s="29">
        <f t="shared" si="12"/>
        <v>0</v>
      </c>
      <c r="Z21" s="29">
        <f t="shared" si="13"/>
        <v>0</v>
      </c>
      <c r="AA21" s="29">
        <f t="shared" si="14"/>
        <v>0</v>
      </c>
    </row>
    <row r="22" s="64" customFormat="1" spans="2:27">
      <c r="B22" s="1366">
        <f t="shared" si="3"/>
        <v>11</v>
      </c>
      <c r="C22" s="1366" t="s">
        <v>12110</v>
      </c>
      <c r="D22" s="2648">
        <v>1</v>
      </c>
      <c r="E22" s="1363">
        <v>0.125</v>
      </c>
      <c r="F22" s="1374">
        <v>41154</v>
      </c>
      <c r="G22" s="1366">
        <f t="shared" si="0"/>
        <v>8</v>
      </c>
      <c r="H22" s="29">
        <f t="shared" si="1"/>
        <v>96</v>
      </c>
      <c r="I22" s="1366">
        <v>7500000</v>
      </c>
      <c r="J22" s="1366">
        <v>0</v>
      </c>
      <c r="K22" s="1366">
        <f t="shared" si="4"/>
        <v>7500000</v>
      </c>
      <c r="L22" s="1366">
        <v>7500000</v>
      </c>
      <c r="M22" s="29">
        <v>0</v>
      </c>
      <c r="N22" s="1366">
        <f t="shared" si="5"/>
        <v>7500000</v>
      </c>
      <c r="O22" s="1366">
        <f t="shared" si="6"/>
        <v>0</v>
      </c>
      <c r="P22">
        <f t="shared" si="7"/>
        <v>78125</v>
      </c>
      <c r="Q22">
        <f t="shared" si="8"/>
        <v>937500</v>
      </c>
      <c r="R22">
        <f t="shared" si="9"/>
        <v>-937500</v>
      </c>
      <c r="T22" s="1366">
        <f t="shared" si="2"/>
        <v>112</v>
      </c>
      <c r="U22" s="1366">
        <f t="shared" si="2"/>
        <v>124</v>
      </c>
      <c r="V22" s="29">
        <f t="shared" si="10"/>
        <v>7500000</v>
      </c>
      <c r="W22" s="29">
        <f t="shared" si="10"/>
        <v>7500000</v>
      </c>
      <c r="X22" s="29">
        <f t="shared" si="11"/>
        <v>0</v>
      </c>
      <c r="Y22" s="29">
        <f t="shared" si="12"/>
        <v>0</v>
      </c>
      <c r="Z22" s="29">
        <f t="shared" si="13"/>
        <v>0</v>
      </c>
      <c r="AA22" s="29">
        <f t="shared" si="14"/>
        <v>0</v>
      </c>
    </row>
    <row r="23" s="64" customFormat="1" spans="2:27">
      <c r="B23" s="1366">
        <f t="shared" si="3"/>
        <v>12</v>
      </c>
      <c r="C23" s="1366" t="s">
        <v>12111</v>
      </c>
      <c r="D23" s="2648">
        <v>1</v>
      </c>
      <c r="E23" s="1363">
        <v>0.125</v>
      </c>
      <c r="F23" s="1374">
        <v>41154</v>
      </c>
      <c r="G23" s="1366">
        <f t="shared" si="0"/>
        <v>8</v>
      </c>
      <c r="H23" s="29">
        <f t="shared" si="1"/>
        <v>96</v>
      </c>
      <c r="I23" s="2652">
        <v>13000000</v>
      </c>
      <c r="J23" s="1366">
        <v>0</v>
      </c>
      <c r="K23" s="1366">
        <f t="shared" si="4"/>
        <v>13000000</v>
      </c>
      <c r="L23" s="1366">
        <v>13000000</v>
      </c>
      <c r="M23" s="29">
        <v>0</v>
      </c>
      <c r="N23" s="1366">
        <f t="shared" si="5"/>
        <v>13000000</v>
      </c>
      <c r="O23" s="1366">
        <f t="shared" si="6"/>
        <v>0</v>
      </c>
      <c r="P23">
        <f t="shared" si="7"/>
        <v>135417</v>
      </c>
      <c r="Q23">
        <f t="shared" si="8"/>
        <v>1625004</v>
      </c>
      <c r="R23">
        <f t="shared" si="9"/>
        <v>-1625004</v>
      </c>
      <c r="T23" s="1366">
        <f t="shared" si="2"/>
        <v>112</v>
      </c>
      <c r="U23" s="1366">
        <f t="shared" si="2"/>
        <v>124</v>
      </c>
      <c r="V23" s="29">
        <f t="shared" si="10"/>
        <v>13000000</v>
      </c>
      <c r="W23" s="29">
        <f t="shared" si="10"/>
        <v>13000000</v>
      </c>
      <c r="X23" s="29">
        <f t="shared" si="11"/>
        <v>0</v>
      </c>
      <c r="Y23" s="29">
        <f t="shared" si="12"/>
        <v>0</v>
      </c>
      <c r="Z23" s="29">
        <f t="shared" si="13"/>
        <v>0</v>
      </c>
      <c r="AA23" s="29">
        <f t="shared" si="14"/>
        <v>0</v>
      </c>
    </row>
    <row r="24" s="64" customFormat="1" spans="2:27">
      <c r="B24" s="1366">
        <f t="shared" si="3"/>
        <v>13</v>
      </c>
      <c r="C24" s="1366" t="s">
        <v>12112</v>
      </c>
      <c r="D24" s="2648">
        <v>2</v>
      </c>
      <c r="E24" s="1363">
        <v>0.125</v>
      </c>
      <c r="F24" s="1374">
        <v>41154</v>
      </c>
      <c r="G24" s="1366">
        <f t="shared" si="0"/>
        <v>8</v>
      </c>
      <c r="H24" s="29">
        <f t="shared" si="1"/>
        <v>96</v>
      </c>
      <c r="I24" s="2652">
        <v>15000000</v>
      </c>
      <c r="J24" s="1366">
        <v>0</v>
      </c>
      <c r="K24" s="1366">
        <f t="shared" si="4"/>
        <v>15000000</v>
      </c>
      <c r="L24" s="1366">
        <v>15000000</v>
      </c>
      <c r="M24" s="29">
        <v>0</v>
      </c>
      <c r="N24" s="1366">
        <f t="shared" si="5"/>
        <v>15000000</v>
      </c>
      <c r="O24" s="1366">
        <f t="shared" si="6"/>
        <v>0</v>
      </c>
      <c r="P24"/>
      <c r="Q24"/>
      <c r="R24"/>
      <c r="T24" s="1366">
        <f t="shared" si="2"/>
        <v>112</v>
      </c>
      <c r="U24" s="1366">
        <f t="shared" si="2"/>
        <v>124</v>
      </c>
      <c r="V24" s="29">
        <f t="shared" si="10"/>
        <v>15000000</v>
      </c>
      <c r="W24" s="29">
        <f t="shared" si="10"/>
        <v>15000000</v>
      </c>
      <c r="X24" s="29">
        <f t="shared" si="11"/>
        <v>0</v>
      </c>
      <c r="Y24" s="29">
        <f t="shared" si="12"/>
        <v>0</v>
      </c>
      <c r="Z24" s="29">
        <f t="shared" si="13"/>
        <v>0</v>
      </c>
      <c r="AA24" s="29">
        <f t="shared" si="14"/>
        <v>0</v>
      </c>
    </row>
    <row r="25" s="64" customFormat="1" spans="2:27">
      <c r="B25" s="1366">
        <f t="shared" si="3"/>
        <v>14</v>
      </c>
      <c r="C25" s="1366" t="s">
        <v>12113</v>
      </c>
      <c r="D25" s="2648">
        <v>6</v>
      </c>
      <c r="E25" s="1363">
        <v>0.125</v>
      </c>
      <c r="F25" s="1374">
        <v>41154</v>
      </c>
      <c r="G25" s="1366">
        <f t="shared" si="0"/>
        <v>8</v>
      </c>
      <c r="H25" s="29">
        <f t="shared" si="1"/>
        <v>96</v>
      </c>
      <c r="I25" s="1366">
        <v>9900000</v>
      </c>
      <c r="J25" s="1366">
        <v>0</v>
      </c>
      <c r="K25" s="1366">
        <f t="shared" si="4"/>
        <v>9900000</v>
      </c>
      <c r="L25" s="1366">
        <v>9900000</v>
      </c>
      <c r="M25" s="29">
        <v>0</v>
      </c>
      <c r="N25" s="1366">
        <f t="shared" si="5"/>
        <v>9900000</v>
      </c>
      <c r="O25" s="1366">
        <f t="shared" si="6"/>
        <v>0</v>
      </c>
      <c r="P25"/>
      <c r="Q25"/>
      <c r="R25"/>
      <c r="T25" s="1366">
        <f t="shared" si="2"/>
        <v>112</v>
      </c>
      <c r="U25" s="1366">
        <f t="shared" si="2"/>
        <v>124</v>
      </c>
      <c r="V25" s="29">
        <f t="shared" si="10"/>
        <v>9900000</v>
      </c>
      <c r="W25" s="29">
        <f t="shared" si="10"/>
        <v>9900000</v>
      </c>
      <c r="X25" s="29">
        <f t="shared" si="11"/>
        <v>0</v>
      </c>
      <c r="Y25" s="29">
        <f t="shared" si="12"/>
        <v>0</v>
      </c>
      <c r="Z25" s="29">
        <f t="shared" si="13"/>
        <v>0</v>
      </c>
      <c r="AA25" s="29">
        <f t="shared" si="14"/>
        <v>0</v>
      </c>
    </row>
    <row r="26" s="64" customFormat="1" spans="2:27">
      <c r="B26" s="1366">
        <f t="shared" si="3"/>
        <v>15</v>
      </c>
      <c r="C26" s="1366" t="s">
        <v>12114</v>
      </c>
      <c r="D26" s="2648">
        <v>11</v>
      </c>
      <c r="E26" s="1363">
        <v>0.125</v>
      </c>
      <c r="F26" s="1374">
        <v>41154</v>
      </c>
      <c r="G26" s="1366">
        <f t="shared" si="0"/>
        <v>8</v>
      </c>
      <c r="H26" s="29">
        <f t="shared" si="1"/>
        <v>96</v>
      </c>
      <c r="I26" s="1366">
        <v>7500000</v>
      </c>
      <c r="J26" s="1366">
        <v>0</v>
      </c>
      <c r="K26" s="1366">
        <f t="shared" si="4"/>
        <v>7500000</v>
      </c>
      <c r="L26" s="1366">
        <v>7500000</v>
      </c>
      <c r="M26" s="29">
        <v>0</v>
      </c>
      <c r="N26" s="1366">
        <f t="shared" ref="N26:N89" si="15">L26+M26</f>
        <v>7500000</v>
      </c>
      <c r="O26" s="1366">
        <f t="shared" ref="O26:O89" si="16">K26-N26</f>
        <v>0</v>
      </c>
      <c r="P26"/>
      <c r="Q26"/>
      <c r="R26"/>
      <c r="T26" s="1366">
        <f t="shared" si="2"/>
        <v>112</v>
      </c>
      <c r="U26" s="1366">
        <f t="shared" si="2"/>
        <v>124</v>
      </c>
      <c r="V26" s="29">
        <f t="shared" ref="V26:V89" si="17">ROUND(IF(T26&gt;$H26,$K26,($K26/$H26*T26)),0)</f>
        <v>7500000</v>
      </c>
      <c r="W26" s="29">
        <f t="shared" ref="W26:W89" si="18">ROUND(IF(U26&gt;$H26,$K26,($K26/$H26*U26)),0)</f>
        <v>7500000</v>
      </c>
      <c r="X26" s="29">
        <f t="shared" ref="X26:X89" si="19">W26-V26</f>
        <v>0</v>
      </c>
      <c r="Y26" s="29">
        <f t="shared" ref="Y26:Y89" si="20">K26-W26</f>
        <v>0</v>
      </c>
      <c r="Z26" s="29">
        <f t="shared" ref="Z26:Z89" si="21">+M26-X26</f>
        <v>0</v>
      </c>
      <c r="AA26" s="29">
        <f t="shared" ref="AA26:AA89" si="22">+O26-Y26</f>
        <v>0</v>
      </c>
    </row>
    <row r="27" s="64" customFormat="1" spans="2:27">
      <c r="B27" s="1366">
        <f t="shared" si="3"/>
        <v>16</v>
      </c>
      <c r="C27" s="1366" t="s">
        <v>12115</v>
      </c>
      <c r="D27" s="2648">
        <v>1</v>
      </c>
      <c r="E27" s="1363">
        <v>0.125</v>
      </c>
      <c r="F27" s="1374">
        <v>41154</v>
      </c>
      <c r="G27" s="1366">
        <f t="shared" si="0"/>
        <v>8</v>
      </c>
      <c r="H27" s="29">
        <f t="shared" si="1"/>
        <v>96</v>
      </c>
      <c r="I27" s="1366">
        <v>7500000</v>
      </c>
      <c r="J27" s="1366">
        <v>0</v>
      </c>
      <c r="K27" s="1366">
        <f t="shared" si="4"/>
        <v>7500000</v>
      </c>
      <c r="L27" s="1366">
        <v>7500000</v>
      </c>
      <c r="M27" s="29">
        <v>0</v>
      </c>
      <c r="N27" s="1366">
        <f t="shared" si="15"/>
        <v>7500000</v>
      </c>
      <c r="O27" s="1366">
        <f t="shared" si="16"/>
        <v>0</v>
      </c>
      <c r="P27"/>
      <c r="Q27"/>
      <c r="R27"/>
      <c r="T27" s="1366">
        <f t="shared" si="2"/>
        <v>112</v>
      </c>
      <c r="U27" s="1366">
        <f t="shared" si="2"/>
        <v>124</v>
      </c>
      <c r="V27" s="29">
        <f t="shared" si="17"/>
        <v>7500000</v>
      </c>
      <c r="W27" s="29">
        <f t="shared" si="18"/>
        <v>7500000</v>
      </c>
      <c r="X27" s="29">
        <f t="shared" si="19"/>
        <v>0</v>
      </c>
      <c r="Y27" s="29">
        <f t="shared" si="20"/>
        <v>0</v>
      </c>
      <c r="Z27" s="29">
        <f t="shared" si="21"/>
        <v>0</v>
      </c>
      <c r="AA27" s="29">
        <f t="shared" si="22"/>
        <v>0</v>
      </c>
    </row>
    <row r="28" s="64" customFormat="1" spans="2:27">
      <c r="B28" s="1366">
        <f t="shared" si="3"/>
        <v>17</v>
      </c>
      <c r="C28" s="1366" t="s">
        <v>12116</v>
      </c>
      <c r="D28" s="2648">
        <v>3</v>
      </c>
      <c r="E28" s="1363">
        <v>0.125</v>
      </c>
      <c r="F28" s="1374">
        <v>41154</v>
      </c>
      <c r="G28" s="1366">
        <f t="shared" si="0"/>
        <v>8</v>
      </c>
      <c r="H28" s="29">
        <f t="shared" si="1"/>
        <v>96</v>
      </c>
      <c r="I28" s="1366">
        <v>4500000</v>
      </c>
      <c r="J28" s="1366">
        <v>0</v>
      </c>
      <c r="K28" s="1366">
        <f t="shared" si="4"/>
        <v>4500000</v>
      </c>
      <c r="L28" s="1366">
        <v>4500000</v>
      </c>
      <c r="M28" s="29">
        <v>0</v>
      </c>
      <c r="N28" s="1366">
        <f t="shared" si="15"/>
        <v>4500000</v>
      </c>
      <c r="O28" s="1366">
        <f t="shared" si="16"/>
        <v>0</v>
      </c>
      <c r="P28"/>
      <c r="Q28"/>
      <c r="R28"/>
      <c r="T28" s="1366">
        <f t="shared" si="2"/>
        <v>112</v>
      </c>
      <c r="U28" s="1366">
        <f t="shared" si="2"/>
        <v>124</v>
      </c>
      <c r="V28" s="29">
        <f t="shared" si="17"/>
        <v>4500000</v>
      </c>
      <c r="W28" s="29">
        <f t="shared" si="18"/>
        <v>4500000</v>
      </c>
      <c r="X28" s="29">
        <f t="shared" si="19"/>
        <v>0</v>
      </c>
      <c r="Y28" s="29">
        <f t="shared" si="20"/>
        <v>0</v>
      </c>
      <c r="Z28" s="29">
        <f t="shared" si="21"/>
        <v>0</v>
      </c>
      <c r="AA28" s="29">
        <f t="shared" si="22"/>
        <v>0</v>
      </c>
    </row>
    <row r="29" s="64" customFormat="1" spans="2:27">
      <c r="B29" s="1366">
        <f t="shared" si="3"/>
        <v>18</v>
      </c>
      <c r="C29" s="1366" t="s">
        <v>12117</v>
      </c>
      <c r="D29" s="2648">
        <v>1</v>
      </c>
      <c r="E29" s="1363">
        <v>0.125</v>
      </c>
      <c r="F29" s="1374">
        <v>41215</v>
      </c>
      <c r="G29" s="1366">
        <f t="shared" si="0"/>
        <v>8</v>
      </c>
      <c r="H29" s="29">
        <f t="shared" si="1"/>
        <v>96</v>
      </c>
      <c r="I29" s="1366">
        <v>4500000</v>
      </c>
      <c r="J29" s="1366">
        <v>0</v>
      </c>
      <c r="K29" s="1366">
        <f t="shared" si="4"/>
        <v>4500000</v>
      </c>
      <c r="L29" s="1366">
        <v>4500000</v>
      </c>
      <c r="M29" s="29">
        <v>0</v>
      </c>
      <c r="N29" s="1366">
        <f t="shared" si="15"/>
        <v>4500000</v>
      </c>
      <c r="O29" s="1366">
        <f t="shared" si="16"/>
        <v>0</v>
      </c>
      <c r="P29"/>
      <c r="Q29"/>
      <c r="R29"/>
      <c r="T29" s="1366">
        <f t="shared" ref="T29:U92" si="23">IF(DAY($F29)&lt;=15,((YEAR(T$10)-YEAR($F29))*12+MONTH(T$10)-MONTH($F29))+1,((YEAR(T$10)-YEAR($F29))*12+MONTH(T$10)-MONTH($F29)))</f>
        <v>110</v>
      </c>
      <c r="U29" s="1366">
        <f t="shared" si="23"/>
        <v>122</v>
      </c>
      <c r="V29" s="29">
        <f t="shared" si="17"/>
        <v>4500000</v>
      </c>
      <c r="W29" s="29">
        <f t="shared" si="18"/>
        <v>4500000</v>
      </c>
      <c r="X29" s="29">
        <f t="shared" si="19"/>
        <v>0</v>
      </c>
      <c r="Y29" s="29">
        <f t="shared" si="20"/>
        <v>0</v>
      </c>
      <c r="Z29" s="29">
        <f t="shared" si="21"/>
        <v>0</v>
      </c>
      <c r="AA29" s="29">
        <f t="shared" si="22"/>
        <v>0</v>
      </c>
    </row>
    <row r="30" s="64" customFormat="1" spans="2:27">
      <c r="B30" s="1366">
        <f t="shared" si="3"/>
        <v>19</v>
      </c>
      <c r="C30" s="1366" t="s">
        <v>12118</v>
      </c>
      <c r="D30" s="2648">
        <v>3</v>
      </c>
      <c r="E30" s="1363">
        <v>0.125</v>
      </c>
      <c r="F30" s="1374">
        <v>41215</v>
      </c>
      <c r="G30" s="1366">
        <f t="shared" si="0"/>
        <v>8</v>
      </c>
      <c r="H30" s="29">
        <f t="shared" si="1"/>
        <v>96</v>
      </c>
      <c r="I30" s="1366">
        <v>1600000</v>
      </c>
      <c r="J30" s="1366">
        <v>0</v>
      </c>
      <c r="K30" s="1366">
        <f t="shared" si="4"/>
        <v>1600000</v>
      </c>
      <c r="L30" s="1366">
        <v>1600000</v>
      </c>
      <c r="M30" s="29">
        <v>0</v>
      </c>
      <c r="N30" s="1366">
        <f t="shared" si="15"/>
        <v>1600000</v>
      </c>
      <c r="O30" s="1366">
        <f t="shared" si="16"/>
        <v>0</v>
      </c>
      <c r="P30"/>
      <c r="Q30"/>
      <c r="R30"/>
      <c r="T30" s="1366">
        <f t="shared" si="23"/>
        <v>110</v>
      </c>
      <c r="U30" s="1366">
        <f t="shared" si="23"/>
        <v>122</v>
      </c>
      <c r="V30" s="29">
        <f t="shared" si="17"/>
        <v>1600000</v>
      </c>
      <c r="W30" s="29">
        <f t="shared" si="18"/>
        <v>1600000</v>
      </c>
      <c r="X30" s="29">
        <f t="shared" si="19"/>
        <v>0</v>
      </c>
      <c r="Y30" s="29">
        <f t="shared" si="20"/>
        <v>0</v>
      </c>
      <c r="Z30" s="29">
        <f t="shared" si="21"/>
        <v>0</v>
      </c>
      <c r="AA30" s="29">
        <f t="shared" si="22"/>
        <v>0</v>
      </c>
    </row>
    <row r="31" s="64" customFormat="1" spans="2:27">
      <c r="B31" s="1366">
        <f t="shared" si="3"/>
        <v>20</v>
      </c>
      <c r="C31" s="1366" t="s">
        <v>12119</v>
      </c>
      <c r="D31" s="2648">
        <v>1</v>
      </c>
      <c r="E31" s="1363">
        <v>0.25</v>
      </c>
      <c r="F31" s="1374">
        <v>41215</v>
      </c>
      <c r="G31" s="1366">
        <f t="shared" si="0"/>
        <v>4</v>
      </c>
      <c r="H31" s="29">
        <f t="shared" si="1"/>
        <v>48</v>
      </c>
      <c r="I31" s="1366">
        <v>1500000</v>
      </c>
      <c r="J31" s="1366">
        <v>0</v>
      </c>
      <c r="K31" s="1366">
        <f t="shared" si="4"/>
        <v>1500000</v>
      </c>
      <c r="L31" s="1366">
        <v>1500000</v>
      </c>
      <c r="M31" s="29">
        <v>0</v>
      </c>
      <c r="N31" s="1366">
        <f t="shared" si="15"/>
        <v>1500000</v>
      </c>
      <c r="O31" s="1366">
        <f t="shared" si="16"/>
        <v>0</v>
      </c>
      <c r="P31"/>
      <c r="Q31"/>
      <c r="R31"/>
      <c r="T31" s="1366">
        <f t="shared" si="23"/>
        <v>110</v>
      </c>
      <c r="U31" s="1366">
        <f t="shared" si="23"/>
        <v>122</v>
      </c>
      <c r="V31" s="29">
        <f t="shared" si="17"/>
        <v>1500000</v>
      </c>
      <c r="W31" s="29">
        <f t="shared" si="18"/>
        <v>1500000</v>
      </c>
      <c r="X31" s="29">
        <f t="shared" si="19"/>
        <v>0</v>
      </c>
      <c r="Y31" s="29">
        <f t="shared" si="20"/>
        <v>0</v>
      </c>
      <c r="Z31" s="29">
        <f t="shared" si="21"/>
        <v>0</v>
      </c>
      <c r="AA31" s="29">
        <f t="shared" si="22"/>
        <v>0</v>
      </c>
    </row>
    <row r="32" s="64" customFormat="1" spans="2:27">
      <c r="B32" s="1366">
        <f t="shared" si="3"/>
        <v>21</v>
      </c>
      <c r="C32" s="1366" t="s">
        <v>12120</v>
      </c>
      <c r="D32" s="2648">
        <v>1</v>
      </c>
      <c r="E32" s="1363">
        <v>0.25</v>
      </c>
      <c r="F32" s="1374">
        <v>41218</v>
      </c>
      <c r="G32" s="1366">
        <f t="shared" si="0"/>
        <v>4</v>
      </c>
      <c r="H32" s="29">
        <f t="shared" si="1"/>
        <v>48</v>
      </c>
      <c r="I32" s="1366">
        <v>4500000</v>
      </c>
      <c r="J32" s="1366">
        <v>0</v>
      </c>
      <c r="K32" s="1366">
        <f t="shared" si="4"/>
        <v>4500000</v>
      </c>
      <c r="L32" s="1366">
        <v>4500000</v>
      </c>
      <c r="M32" s="29">
        <v>0</v>
      </c>
      <c r="N32" s="1366">
        <f t="shared" si="15"/>
        <v>4500000</v>
      </c>
      <c r="O32" s="1366">
        <f t="shared" si="16"/>
        <v>0</v>
      </c>
      <c r="P32"/>
      <c r="Q32"/>
      <c r="R32"/>
      <c r="T32" s="1366">
        <f t="shared" si="23"/>
        <v>110</v>
      </c>
      <c r="U32" s="1366">
        <f t="shared" si="23"/>
        <v>122</v>
      </c>
      <c r="V32" s="29">
        <f t="shared" si="17"/>
        <v>4500000</v>
      </c>
      <c r="W32" s="29">
        <f t="shared" si="18"/>
        <v>4500000</v>
      </c>
      <c r="X32" s="29">
        <f t="shared" si="19"/>
        <v>0</v>
      </c>
      <c r="Y32" s="29">
        <f t="shared" si="20"/>
        <v>0</v>
      </c>
      <c r="Z32" s="29">
        <f t="shared" si="21"/>
        <v>0</v>
      </c>
      <c r="AA32" s="29">
        <f t="shared" si="22"/>
        <v>0</v>
      </c>
    </row>
    <row r="33" s="64" customFormat="1" spans="2:27">
      <c r="B33" s="1366">
        <f t="shared" si="3"/>
        <v>22</v>
      </c>
      <c r="C33" s="1366" t="s">
        <v>12121</v>
      </c>
      <c r="D33" s="2648">
        <v>1</v>
      </c>
      <c r="E33" s="1363">
        <v>0.25</v>
      </c>
      <c r="F33" s="1374">
        <v>41216</v>
      </c>
      <c r="G33" s="1366">
        <f t="shared" si="0"/>
        <v>4</v>
      </c>
      <c r="H33" s="29">
        <f t="shared" si="1"/>
        <v>48</v>
      </c>
      <c r="I33" s="1366">
        <v>5800000</v>
      </c>
      <c r="J33" s="1366">
        <v>0</v>
      </c>
      <c r="K33" s="1366">
        <f t="shared" si="4"/>
        <v>5800000</v>
      </c>
      <c r="L33" s="1366">
        <v>5800000</v>
      </c>
      <c r="M33" s="29">
        <v>0</v>
      </c>
      <c r="N33" s="1366">
        <f t="shared" si="15"/>
        <v>5800000</v>
      </c>
      <c r="O33" s="1366">
        <f t="shared" si="16"/>
        <v>0</v>
      </c>
      <c r="P33"/>
      <c r="Q33"/>
      <c r="R33"/>
      <c r="T33" s="1366">
        <f t="shared" si="23"/>
        <v>110</v>
      </c>
      <c r="U33" s="1366">
        <f t="shared" si="23"/>
        <v>122</v>
      </c>
      <c r="V33" s="29">
        <f t="shared" si="17"/>
        <v>5800000</v>
      </c>
      <c r="W33" s="29">
        <f t="shared" si="18"/>
        <v>5800000</v>
      </c>
      <c r="X33" s="29">
        <f t="shared" si="19"/>
        <v>0</v>
      </c>
      <c r="Y33" s="29">
        <f t="shared" si="20"/>
        <v>0</v>
      </c>
      <c r="Z33" s="29">
        <f t="shared" si="21"/>
        <v>0</v>
      </c>
      <c r="AA33" s="29">
        <f t="shared" si="22"/>
        <v>0</v>
      </c>
    </row>
    <row r="34" s="64" customFormat="1" spans="2:27">
      <c r="B34" s="1366">
        <f t="shared" si="3"/>
        <v>23</v>
      </c>
      <c r="C34" s="1366" t="s">
        <v>12122</v>
      </c>
      <c r="D34" s="2648">
        <v>1</v>
      </c>
      <c r="E34" s="1363">
        <v>0.25</v>
      </c>
      <c r="F34" s="1374">
        <v>41306</v>
      </c>
      <c r="G34" s="1366">
        <f t="shared" si="0"/>
        <v>4</v>
      </c>
      <c r="H34" s="29">
        <f t="shared" si="1"/>
        <v>48</v>
      </c>
      <c r="I34" s="1366">
        <v>2598000</v>
      </c>
      <c r="J34" s="1366">
        <v>0</v>
      </c>
      <c r="K34" s="1366">
        <f t="shared" si="4"/>
        <v>2598000</v>
      </c>
      <c r="L34" s="1366">
        <v>2598000</v>
      </c>
      <c r="M34" s="29">
        <v>0</v>
      </c>
      <c r="N34" s="1366">
        <f t="shared" si="15"/>
        <v>2598000</v>
      </c>
      <c r="O34" s="1366">
        <f t="shared" si="16"/>
        <v>0</v>
      </c>
      <c r="P34"/>
      <c r="Q34"/>
      <c r="R34"/>
      <c r="T34" s="1366">
        <f t="shared" si="23"/>
        <v>107</v>
      </c>
      <c r="U34" s="1366">
        <f t="shared" si="23"/>
        <v>119</v>
      </c>
      <c r="V34" s="29">
        <f t="shared" si="17"/>
        <v>2598000</v>
      </c>
      <c r="W34" s="29">
        <f t="shared" si="18"/>
        <v>2598000</v>
      </c>
      <c r="X34" s="29">
        <f t="shared" si="19"/>
        <v>0</v>
      </c>
      <c r="Y34" s="29">
        <f t="shared" si="20"/>
        <v>0</v>
      </c>
      <c r="Z34" s="29">
        <f t="shared" si="21"/>
        <v>0</v>
      </c>
      <c r="AA34" s="29">
        <f t="shared" si="22"/>
        <v>0</v>
      </c>
    </row>
    <row r="35" s="64" customFormat="1" spans="2:27">
      <c r="B35" s="1366">
        <f t="shared" si="3"/>
        <v>24</v>
      </c>
      <c r="C35" s="1366" t="s">
        <v>12123</v>
      </c>
      <c r="D35" s="2648">
        <v>1</v>
      </c>
      <c r="E35" s="1363">
        <v>0.25</v>
      </c>
      <c r="F35" s="1374">
        <v>41365</v>
      </c>
      <c r="G35" s="1366">
        <f t="shared" si="0"/>
        <v>4</v>
      </c>
      <c r="H35" s="29">
        <f t="shared" si="1"/>
        <v>48</v>
      </c>
      <c r="I35" s="1366">
        <v>2749000</v>
      </c>
      <c r="J35" s="1366">
        <v>0</v>
      </c>
      <c r="K35" s="1366">
        <f t="shared" si="4"/>
        <v>2749000</v>
      </c>
      <c r="L35" s="1366">
        <v>2749000</v>
      </c>
      <c r="M35" s="29">
        <v>0</v>
      </c>
      <c r="N35" s="1366">
        <f t="shared" si="15"/>
        <v>2749000</v>
      </c>
      <c r="O35" s="1366">
        <f t="shared" si="16"/>
        <v>0</v>
      </c>
      <c r="P35"/>
      <c r="Q35"/>
      <c r="R35"/>
      <c r="T35" s="1366">
        <f t="shared" si="23"/>
        <v>105</v>
      </c>
      <c r="U35" s="1366">
        <f t="shared" si="23"/>
        <v>117</v>
      </c>
      <c r="V35" s="29">
        <f t="shared" si="17"/>
        <v>2749000</v>
      </c>
      <c r="W35" s="29">
        <f t="shared" si="18"/>
        <v>2749000</v>
      </c>
      <c r="X35" s="29">
        <f t="shared" si="19"/>
        <v>0</v>
      </c>
      <c r="Y35" s="29">
        <f t="shared" si="20"/>
        <v>0</v>
      </c>
      <c r="Z35" s="29">
        <f t="shared" si="21"/>
        <v>0</v>
      </c>
      <c r="AA35" s="29">
        <f t="shared" si="22"/>
        <v>0</v>
      </c>
    </row>
    <row r="36" s="64" customFormat="1" spans="2:27">
      <c r="B36" s="1366">
        <f t="shared" si="3"/>
        <v>25</v>
      </c>
      <c r="C36" s="1366" t="s">
        <v>12124</v>
      </c>
      <c r="D36" s="2648">
        <v>1</v>
      </c>
      <c r="E36" s="1363">
        <v>0.25</v>
      </c>
      <c r="F36" s="1374">
        <v>41472</v>
      </c>
      <c r="G36" s="1366">
        <f t="shared" si="0"/>
        <v>4</v>
      </c>
      <c r="H36" s="29">
        <f t="shared" si="1"/>
        <v>48</v>
      </c>
      <c r="I36" s="1366">
        <v>1750000</v>
      </c>
      <c r="J36" s="1366">
        <v>0</v>
      </c>
      <c r="K36" s="1366">
        <f t="shared" si="4"/>
        <v>1750000</v>
      </c>
      <c r="L36" s="1366">
        <v>1750000</v>
      </c>
      <c r="M36" s="29">
        <v>0</v>
      </c>
      <c r="N36" s="1366">
        <f t="shared" si="15"/>
        <v>1750000</v>
      </c>
      <c r="O36" s="1366">
        <f t="shared" si="16"/>
        <v>0</v>
      </c>
      <c r="P36"/>
      <c r="Q36"/>
      <c r="R36"/>
      <c r="T36" s="1366">
        <f t="shared" si="23"/>
        <v>101</v>
      </c>
      <c r="U36" s="1366">
        <f t="shared" si="23"/>
        <v>113</v>
      </c>
      <c r="V36" s="29">
        <f t="shared" si="17"/>
        <v>1750000</v>
      </c>
      <c r="W36" s="29">
        <f t="shared" si="18"/>
        <v>1750000</v>
      </c>
      <c r="X36" s="29">
        <f t="shared" si="19"/>
        <v>0</v>
      </c>
      <c r="Y36" s="29">
        <f t="shared" si="20"/>
        <v>0</v>
      </c>
      <c r="Z36" s="29">
        <f t="shared" si="21"/>
        <v>0</v>
      </c>
      <c r="AA36" s="29">
        <f t="shared" si="22"/>
        <v>0</v>
      </c>
    </row>
    <row r="37" s="64" customFormat="1" spans="2:27">
      <c r="B37" s="1366">
        <f t="shared" si="3"/>
        <v>26</v>
      </c>
      <c r="C37" s="1366" t="s">
        <v>12125</v>
      </c>
      <c r="D37" s="2648">
        <v>1</v>
      </c>
      <c r="E37" s="1363">
        <v>0.25</v>
      </c>
      <c r="F37" s="1374">
        <v>41525</v>
      </c>
      <c r="G37" s="1366">
        <f t="shared" si="0"/>
        <v>4</v>
      </c>
      <c r="H37" s="29">
        <f t="shared" si="1"/>
        <v>48</v>
      </c>
      <c r="I37" s="1366">
        <v>2545000</v>
      </c>
      <c r="J37" s="1366">
        <v>0</v>
      </c>
      <c r="K37" s="1366">
        <f t="shared" si="4"/>
        <v>2545000</v>
      </c>
      <c r="L37" s="1366">
        <v>2545000</v>
      </c>
      <c r="M37" s="29">
        <v>0</v>
      </c>
      <c r="N37" s="1366">
        <f t="shared" si="15"/>
        <v>2545000</v>
      </c>
      <c r="O37" s="1366">
        <f t="shared" si="16"/>
        <v>0</v>
      </c>
      <c r="P37"/>
      <c r="Q37"/>
      <c r="R37"/>
      <c r="T37" s="1366">
        <f t="shared" si="23"/>
        <v>100</v>
      </c>
      <c r="U37" s="1366">
        <f t="shared" si="23"/>
        <v>112</v>
      </c>
      <c r="V37" s="29">
        <f t="shared" si="17"/>
        <v>2545000</v>
      </c>
      <c r="W37" s="29">
        <f t="shared" si="18"/>
        <v>2545000</v>
      </c>
      <c r="X37" s="29">
        <f t="shared" si="19"/>
        <v>0</v>
      </c>
      <c r="Y37" s="29">
        <f t="shared" si="20"/>
        <v>0</v>
      </c>
      <c r="Z37" s="29">
        <f t="shared" si="21"/>
        <v>0</v>
      </c>
      <c r="AA37" s="29">
        <f t="shared" si="22"/>
        <v>0</v>
      </c>
    </row>
    <row r="38" s="64" customFormat="1" spans="2:27">
      <c r="B38" s="1366">
        <f t="shared" si="3"/>
        <v>27</v>
      </c>
      <c r="C38" s="1366" t="s">
        <v>12126</v>
      </c>
      <c r="D38" s="2648">
        <v>1</v>
      </c>
      <c r="E38" s="1363">
        <v>0.25</v>
      </c>
      <c r="F38" s="1374">
        <v>41641</v>
      </c>
      <c r="G38" s="1366">
        <f t="shared" si="0"/>
        <v>4</v>
      </c>
      <c r="H38" s="29">
        <f t="shared" si="1"/>
        <v>48</v>
      </c>
      <c r="I38" s="1366">
        <v>1750000</v>
      </c>
      <c r="J38" s="1366">
        <v>0</v>
      </c>
      <c r="K38" s="1366">
        <f t="shared" si="4"/>
        <v>1750000</v>
      </c>
      <c r="L38" s="1366">
        <v>1750000</v>
      </c>
      <c r="M38" s="29">
        <v>0</v>
      </c>
      <c r="N38" s="1366">
        <f t="shared" si="15"/>
        <v>1750000</v>
      </c>
      <c r="O38" s="1366">
        <f t="shared" si="16"/>
        <v>0</v>
      </c>
      <c r="P38"/>
      <c r="Q38"/>
      <c r="R38"/>
      <c r="T38" s="1366">
        <f t="shared" si="23"/>
        <v>96</v>
      </c>
      <c r="U38" s="1366">
        <f t="shared" si="23"/>
        <v>108</v>
      </c>
      <c r="V38" s="29">
        <f t="shared" si="17"/>
        <v>1750000</v>
      </c>
      <c r="W38" s="29">
        <f t="shared" si="18"/>
        <v>1750000</v>
      </c>
      <c r="X38" s="29">
        <f t="shared" si="19"/>
        <v>0</v>
      </c>
      <c r="Y38" s="29">
        <f t="shared" si="20"/>
        <v>0</v>
      </c>
      <c r="Z38" s="29">
        <f t="shared" si="21"/>
        <v>0</v>
      </c>
      <c r="AA38" s="29">
        <f t="shared" si="22"/>
        <v>0</v>
      </c>
    </row>
    <row r="39" s="64" customFormat="1" spans="2:27">
      <c r="B39" s="1366">
        <f t="shared" si="3"/>
        <v>28</v>
      </c>
      <c r="C39" s="1366" t="s">
        <v>12127</v>
      </c>
      <c r="D39" s="2648">
        <v>1</v>
      </c>
      <c r="E39" s="1363">
        <v>0.25</v>
      </c>
      <c r="F39" s="1374">
        <v>41641</v>
      </c>
      <c r="G39" s="1366">
        <f t="shared" si="0"/>
        <v>4</v>
      </c>
      <c r="H39" s="29">
        <f t="shared" si="1"/>
        <v>48</v>
      </c>
      <c r="I39" s="1366">
        <v>1500000</v>
      </c>
      <c r="J39" s="1366">
        <v>0</v>
      </c>
      <c r="K39" s="1366">
        <f t="shared" si="4"/>
        <v>1500000</v>
      </c>
      <c r="L39" s="1366">
        <v>1500000</v>
      </c>
      <c r="M39" s="29">
        <v>0</v>
      </c>
      <c r="N39" s="1366">
        <f t="shared" si="15"/>
        <v>1500000</v>
      </c>
      <c r="O39" s="1366">
        <f t="shared" si="16"/>
        <v>0</v>
      </c>
      <c r="P39"/>
      <c r="Q39"/>
      <c r="R39"/>
      <c r="T39" s="1366">
        <f t="shared" si="23"/>
        <v>96</v>
      </c>
      <c r="U39" s="1366">
        <f t="shared" si="23"/>
        <v>108</v>
      </c>
      <c r="V39" s="29">
        <f t="shared" si="17"/>
        <v>1500000</v>
      </c>
      <c r="W39" s="29">
        <f t="shared" si="18"/>
        <v>1500000</v>
      </c>
      <c r="X39" s="29">
        <f t="shared" si="19"/>
        <v>0</v>
      </c>
      <c r="Y39" s="29">
        <f t="shared" si="20"/>
        <v>0</v>
      </c>
      <c r="Z39" s="29">
        <f t="shared" si="21"/>
        <v>0</v>
      </c>
      <c r="AA39" s="29">
        <f t="shared" si="22"/>
        <v>0</v>
      </c>
    </row>
    <row r="40" s="64" customFormat="1" spans="2:27">
      <c r="B40" s="1366">
        <f t="shared" si="3"/>
        <v>29</v>
      </c>
      <c r="C40" s="1366" t="s">
        <v>12128</v>
      </c>
      <c r="D40" s="2648">
        <v>1</v>
      </c>
      <c r="E40" s="1363">
        <v>0.25</v>
      </c>
      <c r="F40" s="1374">
        <v>41641</v>
      </c>
      <c r="G40" s="1366">
        <f t="shared" si="0"/>
        <v>4</v>
      </c>
      <c r="H40" s="29">
        <f t="shared" si="1"/>
        <v>48</v>
      </c>
      <c r="I40" s="1366">
        <v>1200000</v>
      </c>
      <c r="J40" s="1366">
        <v>0</v>
      </c>
      <c r="K40" s="1366">
        <f t="shared" si="4"/>
        <v>1200000</v>
      </c>
      <c r="L40" s="1366">
        <v>1200000</v>
      </c>
      <c r="M40" s="29">
        <v>0</v>
      </c>
      <c r="N40" s="1366">
        <f t="shared" si="15"/>
        <v>1200000</v>
      </c>
      <c r="O40" s="1366">
        <f t="shared" si="16"/>
        <v>0</v>
      </c>
      <c r="P40"/>
      <c r="Q40"/>
      <c r="R40"/>
      <c r="T40" s="1366">
        <f t="shared" si="23"/>
        <v>96</v>
      </c>
      <c r="U40" s="1366">
        <f t="shared" si="23"/>
        <v>108</v>
      </c>
      <c r="V40" s="29">
        <f t="shared" si="17"/>
        <v>1200000</v>
      </c>
      <c r="W40" s="29">
        <f t="shared" si="18"/>
        <v>1200000</v>
      </c>
      <c r="X40" s="29">
        <f t="shared" si="19"/>
        <v>0</v>
      </c>
      <c r="Y40" s="29">
        <f t="shared" si="20"/>
        <v>0</v>
      </c>
      <c r="Z40" s="29">
        <f t="shared" si="21"/>
        <v>0</v>
      </c>
      <c r="AA40" s="29">
        <f t="shared" si="22"/>
        <v>0</v>
      </c>
    </row>
    <row r="41" s="64" customFormat="1" spans="2:27">
      <c r="B41" s="1366">
        <f t="shared" si="3"/>
        <v>30</v>
      </c>
      <c r="C41" s="1366" t="s">
        <v>12129</v>
      </c>
      <c r="D41" s="2648">
        <v>4</v>
      </c>
      <c r="E41" s="1363">
        <v>0.25</v>
      </c>
      <c r="F41" s="1374">
        <v>41641</v>
      </c>
      <c r="G41" s="1366">
        <f t="shared" si="0"/>
        <v>4</v>
      </c>
      <c r="H41" s="29">
        <f t="shared" si="1"/>
        <v>48</v>
      </c>
      <c r="I41" s="1366">
        <v>1600000</v>
      </c>
      <c r="J41" s="1366">
        <v>0</v>
      </c>
      <c r="K41" s="1366">
        <f t="shared" si="4"/>
        <v>1600000</v>
      </c>
      <c r="L41" s="1366">
        <v>1600000</v>
      </c>
      <c r="M41" s="29">
        <v>0</v>
      </c>
      <c r="N41" s="1366">
        <f t="shared" si="15"/>
        <v>1600000</v>
      </c>
      <c r="O41" s="1366">
        <f t="shared" si="16"/>
        <v>0</v>
      </c>
      <c r="P41"/>
      <c r="Q41"/>
      <c r="R41"/>
      <c r="T41" s="1366">
        <f t="shared" si="23"/>
        <v>96</v>
      </c>
      <c r="U41" s="1366">
        <f t="shared" si="23"/>
        <v>108</v>
      </c>
      <c r="V41" s="29">
        <f t="shared" si="17"/>
        <v>1600000</v>
      </c>
      <c r="W41" s="29">
        <f t="shared" si="18"/>
        <v>1600000</v>
      </c>
      <c r="X41" s="29">
        <f t="shared" si="19"/>
        <v>0</v>
      </c>
      <c r="Y41" s="29">
        <f t="shared" si="20"/>
        <v>0</v>
      </c>
      <c r="Z41" s="29">
        <f t="shared" si="21"/>
        <v>0</v>
      </c>
      <c r="AA41" s="29">
        <f t="shared" si="22"/>
        <v>0</v>
      </c>
    </row>
    <row r="42" s="64" customFormat="1" spans="2:27">
      <c r="B42" s="1366">
        <f t="shared" si="3"/>
        <v>31</v>
      </c>
      <c r="C42" s="1366" t="s">
        <v>12130</v>
      </c>
      <c r="D42" s="2648">
        <v>2</v>
      </c>
      <c r="E42" s="1363">
        <v>0.25</v>
      </c>
      <c r="F42" s="1374">
        <v>41641</v>
      </c>
      <c r="G42" s="1366">
        <f t="shared" si="0"/>
        <v>4</v>
      </c>
      <c r="H42" s="29">
        <f t="shared" si="1"/>
        <v>48</v>
      </c>
      <c r="I42" s="1366">
        <v>600000</v>
      </c>
      <c r="J42" s="1366">
        <v>0</v>
      </c>
      <c r="K42" s="1366">
        <f t="shared" si="4"/>
        <v>600000</v>
      </c>
      <c r="L42" s="1366">
        <v>600000</v>
      </c>
      <c r="M42" s="29">
        <v>0</v>
      </c>
      <c r="N42" s="1366">
        <f t="shared" si="15"/>
        <v>600000</v>
      </c>
      <c r="O42" s="1366">
        <f t="shared" si="16"/>
        <v>0</v>
      </c>
      <c r="P42"/>
      <c r="Q42"/>
      <c r="R42"/>
      <c r="T42" s="1366">
        <f t="shared" si="23"/>
        <v>96</v>
      </c>
      <c r="U42" s="1366">
        <f t="shared" si="23"/>
        <v>108</v>
      </c>
      <c r="V42" s="29">
        <f t="shared" si="17"/>
        <v>600000</v>
      </c>
      <c r="W42" s="29">
        <f t="shared" si="18"/>
        <v>600000</v>
      </c>
      <c r="X42" s="29">
        <f t="shared" si="19"/>
        <v>0</v>
      </c>
      <c r="Y42" s="29">
        <f t="shared" si="20"/>
        <v>0</v>
      </c>
      <c r="Z42" s="29">
        <f t="shared" si="21"/>
        <v>0</v>
      </c>
      <c r="AA42" s="29">
        <f t="shared" si="22"/>
        <v>0</v>
      </c>
    </row>
    <row r="43" s="64" customFormat="1" spans="2:27">
      <c r="B43" s="1366">
        <f t="shared" si="3"/>
        <v>32</v>
      </c>
      <c r="C43" s="1366" t="s">
        <v>12131</v>
      </c>
      <c r="D43" s="2648">
        <v>1</v>
      </c>
      <c r="E43" s="1363">
        <v>0.25</v>
      </c>
      <c r="F43" s="1374">
        <v>41644</v>
      </c>
      <c r="G43" s="1366">
        <f t="shared" si="0"/>
        <v>4</v>
      </c>
      <c r="H43" s="29">
        <f t="shared" si="1"/>
        <v>48</v>
      </c>
      <c r="I43" s="1366">
        <v>2749000</v>
      </c>
      <c r="J43" s="1366">
        <v>0</v>
      </c>
      <c r="K43" s="1366">
        <f t="shared" si="4"/>
        <v>2749000</v>
      </c>
      <c r="L43" s="1366">
        <v>2749000</v>
      </c>
      <c r="M43" s="29">
        <v>0</v>
      </c>
      <c r="N43" s="1366">
        <f t="shared" si="15"/>
        <v>2749000</v>
      </c>
      <c r="O43" s="1366">
        <f t="shared" si="16"/>
        <v>0</v>
      </c>
      <c r="P43"/>
      <c r="Q43"/>
      <c r="R43"/>
      <c r="T43" s="1366">
        <f t="shared" si="23"/>
        <v>96</v>
      </c>
      <c r="U43" s="1366">
        <f t="shared" si="23"/>
        <v>108</v>
      </c>
      <c r="V43" s="29">
        <f t="shared" si="17"/>
        <v>2749000</v>
      </c>
      <c r="W43" s="29">
        <f t="shared" si="18"/>
        <v>2749000</v>
      </c>
      <c r="X43" s="29">
        <f t="shared" si="19"/>
        <v>0</v>
      </c>
      <c r="Y43" s="29">
        <f t="shared" si="20"/>
        <v>0</v>
      </c>
      <c r="Z43" s="29">
        <f t="shared" si="21"/>
        <v>0</v>
      </c>
      <c r="AA43" s="29">
        <f t="shared" si="22"/>
        <v>0</v>
      </c>
    </row>
    <row r="44" s="64" customFormat="1" spans="2:27">
      <c r="B44" s="1366">
        <f t="shared" si="3"/>
        <v>33</v>
      </c>
      <c r="C44" s="1366" t="s">
        <v>12132</v>
      </c>
      <c r="D44" s="2648">
        <v>4</v>
      </c>
      <c r="E44" s="1363">
        <v>0.25</v>
      </c>
      <c r="F44" s="1374">
        <v>41845</v>
      </c>
      <c r="G44" s="1366">
        <f t="shared" si="0"/>
        <v>4</v>
      </c>
      <c r="H44" s="29">
        <f t="shared" si="1"/>
        <v>48</v>
      </c>
      <c r="I44" s="1366">
        <v>15724000</v>
      </c>
      <c r="J44" s="1366">
        <v>0</v>
      </c>
      <c r="K44" s="1366">
        <f t="shared" si="4"/>
        <v>15724000</v>
      </c>
      <c r="L44" s="1366">
        <v>15724000</v>
      </c>
      <c r="M44" s="29">
        <v>0</v>
      </c>
      <c r="N44" s="1366">
        <f t="shared" si="15"/>
        <v>15724000</v>
      </c>
      <c r="O44" s="1366">
        <f t="shared" si="16"/>
        <v>0</v>
      </c>
      <c r="P44"/>
      <c r="Q44"/>
      <c r="R44"/>
      <c r="T44" s="1366">
        <f t="shared" si="23"/>
        <v>89</v>
      </c>
      <c r="U44" s="1366">
        <f t="shared" si="23"/>
        <v>101</v>
      </c>
      <c r="V44" s="29">
        <f t="shared" si="17"/>
        <v>15724000</v>
      </c>
      <c r="W44" s="29">
        <f t="shared" si="18"/>
        <v>15724000</v>
      </c>
      <c r="X44" s="29">
        <f t="shared" si="19"/>
        <v>0</v>
      </c>
      <c r="Y44" s="29">
        <f t="shared" si="20"/>
        <v>0</v>
      </c>
      <c r="Z44" s="29">
        <f t="shared" si="21"/>
        <v>0</v>
      </c>
      <c r="AA44" s="29">
        <f t="shared" si="22"/>
        <v>0</v>
      </c>
    </row>
    <row r="45" s="64" customFormat="1" spans="2:27">
      <c r="B45" s="1366">
        <f t="shared" si="3"/>
        <v>34</v>
      </c>
      <c r="C45" s="1366" t="s">
        <v>12133</v>
      </c>
      <c r="D45" s="2648">
        <v>1</v>
      </c>
      <c r="E45" s="1363">
        <v>0.25</v>
      </c>
      <c r="F45" s="1374">
        <v>41874</v>
      </c>
      <c r="G45" s="1366">
        <f t="shared" si="0"/>
        <v>4</v>
      </c>
      <c r="H45" s="29">
        <f t="shared" si="1"/>
        <v>48</v>
      </c>
      <c r="I45" s="1366">
        <v>2819000</v>
      </c>
      <c r="J45" s="1366">
        <v>0</v>
      </c>
      <c r="K45" s="1366">
        <f t="shared" si="4"/>
        <v>2819000</v>
      </c>
      <c r="L45" s="1366">
        <v>2819000</v>
      </c>
      <c r="M45" s="29">
        <v>0</v>
      </c>
      <c r="N45" s="1366">
        <f t="shared" si="15"/>
        <v>2819000</v>
      </c>
      <c r="O45" s="1366">
        <f t="shared" si="16"/>
        <v>0</v>
      </c>
      <c r="P45"/>
      <c r="Q45"/>
      <c r="R45"/>
      <c r="T45" s="1366">
        <f t="shared" si="23"/>
        <v>88</v>
      </c>
      <c r="U45" s="1366">
        <f t="shared" si="23"/>
        <v>100</v>
      </c>
      <c r="V45" s="29">
        <f t="shared" si="17"/>
        <v>2819000</v>
      </c>
      <c r="W45" s="29">
        <f t="shared" si="18"/>
        <v>2819000</v>
      </c>
      <c r="X45" s="29">
        <f t="shared" si="19"/>
        <v>0</v>
      </c>
      <c r="Y45" s="29">
        <f t="shared" si="20"/>
        <v>0</v>
      </c>
      <c r="Z45" s="29">
        <f t="shared" si="21"/>
        <v>0</v>
      </c>
      <c r="AA45" s="29">
        <f t="shared" si="22"/>
        <v>0</v>
      </c>
    </row>
    <row r="46" s="64" customFormat="1" spans="2:27">
      <c r="B46" s="1366">
        <f t="shared" si="3"/>
        <v>35</v>
      </c>
      <c r="C46" s="1366" t="s">
        <v>12134</v>
      </c>
      <c r="D46" s="2648">
        <v>2</v>
      </c>
      <c r="E46" s="1363">
        <v>0.125</v>
      </c>
      <c r="F46" s="1374">
        <v>41944</v>
      </c>
      <c r="G46" s="1366">
        <f t="shared" si="0"/>
        <v>8</v>
      </c>
      <c r="H46" s="29">
        <f t="shared" si="1"/>
        <v>96</v>
      </c>
      <c r="I46" s="1366">
        <v>4000000</v>
      </c>
      <c r="J46" s="1366">
        <v>0</v>
      </c>
      <c r="K46" s="1366">
        <f t="shared" si="4"/>
        <v>4000000</v>
      </c>
      <c r="L46" s="1366">
        <v>3583333.33333333</v>
      </c>
      <c r="M46" s="29">
        <v>416666.666666667</v>
      </c>
      <c r="N46" s="1366">
        <f t="shared" si="15"/>
        <v>4000000</v>
      </c>
      <c r="O46" s="1366">
        <f t="shared" si="16"/>
        <v>0</v>
      </c>
      <c r="P46"/>
      <c r="Q46"/>
      <c r="R46"/>
      <c r="T46" s="1366">
        <f t="shared" si="23"/>
        <v>86</v>
      </c>
      <c r="U46" s="1366">
        <f t="shared" si="23"/>
        <v>98</v>
      </c>
      <c r="V46" s="29">
        <f t="shared" si="17"/>
        <v>3583333</v>
      </c>
      <c r="W46" s="29">
        <f t="shared" si="18"/>
        <v>4000000</v>
      </c>
      <c r="X46" s="29">
        <f t="shared" si="19"/>
        <v>416667</v>
      </c>
      <c r="Y46" s="29">
        <f t="shared" si="20"/>
        <v>0</v>
      </c>
      <c r="Z46" s="29">
        <f t="shared" si="21"/>
        <v>-0.333333333372138</v>
      </c>
      <c r="AA46" s="29">
        <f t="shared" si="22"/>
        <v>0</v>
      </c>
    </row>
    <row r="47" s="64" customFormat="1" spans="2:27">
      <c r="B47" s="1366">
        <f t="shared" si="3"/>
        <v>36</v>
      </c>
      <c r="C47" s="1366" t="s">
        <v>12135</v>
      </c>
      <c r="D47" s="2648">
        <v>1</v>
      </c>
      <c r="E47" s="1363">
        <v>0.25</v>
      </c>
      <c r="F47" s="1374">
        <v>42100</v>
      </c>
      <c r="G47" s="1366">
        <f t="shared" si="0"/>
        <v>4</v>
      </c>
      <c r="H47" s="29">
        <f t="shared" si="1"/>
        <v>48</v>
      </c>
      <c r="I47" s="1366">
        <v>1058500</v>
      </c>
      <c r="J47" s="1366">
        <v>0</v>
      </c>
      <c r="K47" s="1366">
        <f t="shared" si="4"/>
        <v>1058500</v>
      </c>
      <c r="L47" s="1366">
        <v>1058500</v>
      </c>
      <c r="M47" s="29">
        <v>0</v>
      </c>
      <c r="N47" s="1366">
        <f t="shared" si="15"/>
        <v>1058500</v>
      </c>
      <c r="O47" s="1366">
        <f t="shared" si="16"/>
        <v>0</v>
      </c>
      <c r="P47"/>
      <c r="Q47"/>
      <c r="R47"/>
      <c r="T47" s="1366">
        <f t="shared" si="23"/>
        <v>81</v>
      </c>
      <c r="U47" s="1366">
        <f t="shared" si="23"/>
        <v>93</v>
      </c>
      <c r="V47" s="29">
        <f t="shared" si="17"/>
        <v>1058500</v>
      </c>
      <c r="W47" s="29">
        <f t="shared" si="18"/>
        <v>1058500</v>
      </c>
      <c r="X47" s="29">
        <f t="shared" si="19"/>
        <v>0</v>
      </c>
      <c r="Y47" s="29">
        <f t="shared" si="20"/>
        <v>0</v>
      </c>
      <c r="Z47" s="29">
        <f t="shared" si="21"/>
        <v>0</v>
      </c>
      <c r="AA47" s="29">
        <f t="shared" si="22"/>
        <v>0</v>
      </c>
    </row>
    <row r="48" s="64" customFormat="1" spans="2:27">
      <c r="B48" s="1366">
        <f t="shared" si="3"/>
        <v>37</v>
      </c>
      <c r="C48" s="1366" t="s">
        <v>12136</v>
      </c>
      <c r="D48" s="2648">
        <v>1</v>
      </c>
      <c r="E48" s="1363">
        <v>0.25</v>
      </c>
      <c r="F48" s="1374">
        <v>42130</v>
      </c>
      <c r="G48" s="1366">
        <f t="shared" si="0"/>
        <v>4</v>
      </c>
      <c r="H48" s="29">
        <f t="shared" si="1"/>
        <v>48</v>
      </c>
      <c r="I48" s="1366">
        <v>4899000</v>
      </c>
      <c r="J48" s="1366">
        <v>0</v>
      </c>
      <c r="K48" s="1366">
        <f t="shared" si="4"/>
        <v>4899000</v>
      </c>
      <c r="L48" s="1366">
        <v>4899000</v>
      </c>
      <c r="M48" s="29">
        <v>0</v>
      </c>
      <c r="N48" s="1366">
        <f t="shared" si="15"/>
        <v>4899000</v>
      </c>
      <c r="O48" s="1366">
        <f t="shared" si="16"/>
        <v>0</v>
      </c>
      <c r="P48"/>
      <c r="Q48"/>
      <c r="R48"/>
      <c r="T48" s="1366">
        <f t="shared" si="23"/>
        <v>80</v>
      </c>
      <c r="U48" s="1366">
        <f t="shared" si="23"/>
        <v>92</v>
      </c>
      <c r="V48" s="29">
        <f t="shared" si="17"/>
        <v>4899000</v>
      </c>
      <c r="W48" s="29">
        <f t="shared" si="18"/>
        <v>4899000</v>
      </c>
      <c r="X48" s="29">
        <f t="shared" si="19"/>
        <v>0</v>
      </c>
      <c r="Y48" s="29">
        <f t="shared" si="20"/>
        <v>0</v>
      </c>
      <c r="Z48" s="29">
        <f t="shared" si="21"/>
        <v>0</v>
      </c>
      <c r="AA48" s="29">
        <f t="shared" si="22"/>
        <v>0</v>
      </c>
    </row>
    <row r="49" s="64" customFormat="1" spans="2:27">
      <c r="B49" s="1366">
        <f t="shared" si="3"/>
        <v>38</v>
      </c>
      <c r="C49" s="1366" t="s">
        <v>12137</v>
      </c>
      <c r="D49" s="2648">
        <v>1</v>
      </c>
      <c r="E49" s="1363">
        <v>0.25</v>
      </c>
      <c r="F49" s="1374">
        <v>42187</v>
      </c>
      <c r="G49" s="1366">
        <f t="shared" si="0"/>
        <v>4</v>
      </c>
      <c r="H49" s="29">
        <f t="shared" si="1"/>
        <v>48</v>
      </c>
      <c r="I49" s="1366">
        <v>6952500</v>
      </c>
      <c r="J49" s="1366">
        <v>0</v>
      </c>
      <c r="K49" s="1366">
        <f t="shared" si="4"/>
        <v>6952500</v>
      </c>
      <c r="L49" s="1366">
        <v>6952500</v>
      </c>
      <c r="M49" s="29">
        <v>0</v>
      </c>
      <c r="N49" s="1366">
        <f t="shared" si="15"/>
        <v>6952500</v>
      </c>
      <c r="O49" s="1366">
        <f t="shared" si="16"/>
        <v>0</v>
      </c>
      <c r="P49"/>
      <c r="Q49"/>
      <c r="R49"/>
      <c r="T49" s="1366">
        <f t="shared" si="23"/>
        <v>78</v>
      </c>
      <c r="U49" s="1366">
        <f t="shared" si="23"/>
        <v>90</v>
      </c>
      <c r="V49" s="29">
        <f t="shared" si="17"/>
        <v>6952500</v>
      </c>
      <c r="W49" s="29">
        <f t="shared" si="18"/>
        <v>6952500</v>
      </c>
      <c r="X49" s="29">
        <f t="shared" si="19"/>
        <v>0</v>
      </c>
      <c r="Y49" s="29">
        <f t="shared" si="20"/>
        <v>0</v>
      </c>
      <c r="Z49" s="29">
        <f t="shared" si="21"/>
        <v>0</v>
      </c>
      <c r="AA49" s="29">
        <f t="shared" si="22"/>
        <v>0</v>
      </c>
    </row>
    <row r="50" s="64" customFormat="1" spans="2:27">
      <c r="B50" s="1366">
        <f t="shared" si="3"/>
        <v>39</v>
      </c>
      <c r="C50" s="1366" t="s">
        <v>12138</v>
      </c>
      <c r="D50" s="2648">
        <v>1</v>
      </c>
      <c r="E50" s="1363">
        <v>0.25</v>
      </c>
      <c r="F50" s="1374">
        <v>42257</v>
      </c>
      <c r="G50" s="1366">
        <f t="shared" si="0"/>
        <v>4</v>
      </c>
      <c r="H50" s="29">
        <f t="shared" si="1"/>
        <v>48</v>
      </c>
      <c r="I50" s="1366">
        <v>5097000</v>
      </c>
      <c r="J50" s="1366">
        <v>0</v>
      </c>
      <c r="K50" s="1366">
        <f t="shared" si="4"/>
        <v>5097000</v>
      </c>
      <c r="L50" s="1366">
        <v>5097000</v>
      </c>
      <c r="M50" s="29">
        <v>0</v>
      </c>
      <c r="N50" s="1366">
        <f t="shared" si="15"/>
        <v>5097000</v>
      </c>
      <c r="O50" s="1366">
        <f t="shared" si="16"/>
        <v>0</v>
      </c>
      <c r="P50"/>
      <c r="Q50"/>
      <c r="R50"/>
      <c r="T50" s="1366">
        <f t="shared" si="23"/>
        <v>76</v>
      </c>
      <c r="U50" s="1366">
        <f t="shared" si="23"/>
        <v>88</v>
      </c>
      <c r="V50" s="29">
        <f t="shared" si="17"/>
        <v>5097000</v>
      </c>
      <c r="W50" s="29">
        <f t="shared" si="18"/>
        <v>5097000</v>
      </c>
      <c r="X50" s="29">
        <f t="shared" si="19"/>
        <v>0</v>
      </c>
      <c r="Y50" s="29">
        <f t="shared" si="20"/>
        <v>0</v>
      </c>
      <c r="Z50" s="29">
        <f t="shared" si="21"/>
        <v>0</v>
      </c>
      <c r="AA50" s="29">
        <f t="shared" si="22"/>
        <v>0</v>
      </c>
    </row>
    <row r="51" s="64" customFormat="1" spans="2:27">
      <c r="B51" s="1366">
        <f t="shared" si="3"/>
        <v>40</v>
      </c>
      <c r="C51" s="1366" t="s">
        <v>12139</v>
      </c>
      <c r="D51" s="2648">
        <v>2</v>
      </c>
      <c r="E51" s="1363">
        <v>0.25</v>
      </c>
      <c r="F51" s="1374">
        <v>42301</v>
      </c>
      <c r="G51" s="1366">
        <f t="shared" si="0"/>
        <v>4</v>
      </c>
      <c r="H51" s="29">
        <f t="shared" si="1"/>
        <v>48</v>
      </c>
      <c r="I51" s="1366">
        <v>5094000</v>
      </c>
      <c r="J51" s="1366">
        <v>0</v>
      </c>
      <c r="K51" s="1366">
        <f t="shared" si="4"/>
        <v>5094000</v>
      </c>
      <c r="L51" s="1366">
        <v>5094000</v>
      </c>
      <c r="M51" s="29">
        <v>0</v>
      </c>
      <c r="N51" s="1366">
        <f t="shared" si="15"/>
        <v>5094000</v>
      </c>
      <c r="O51" s="1366">
        <f t="shared" si="16"/>
        <v>0</v>
      </c>
      <c r="P51"/>
      <c r="Q51"/>
      <c r="R51"/>
      <c r="T51" s="1366">
        <f t="shared" si="23"/>
        <v>74</v>
      </c>
      <c r="U51" s="1366">
        <f t="shared" si="23"/>
        <v>86</v>
      </c>
      <c r="V51" s="29">
        <f t="shared" si="17"/>
        <v>5094000</v>
      </c>
      <c r="W51" s="29">
        <f t="shared" si="18"/>
        <v>5094000</v>
      </c>
      <c r="X51" s="29">
        <f t="shared" si="19"/>
        <v>0</v>
      </c>
      <c r="Y51" s="29">
        <f t="shared" si="20"/>
        <v>0</v>
      </c>
      <c r="Z51" s="29">
        <f t="shared" si="21"/>
        <v>0</v>
      </c>
      <c r="AA51" s="29">
        <f t="shared" si="22"/>
        <v>0</v>
      </c>
    </row>
    <row r="52" s="64" customFormat="1" spans="2:27">
      <c r="B52" s="1366">
        <f t="shared" si="3"/>
        <v>41</v>
      </c>
      <c r="C52" s="1366" t="s">
        <v>12140</v>
      </c>
      <c r="D52" s="2648">
        <v>1</v>
      </c>
      <c r="E52" s="1363">
        <v>0.25</v>
      </c>
      <c r="F52" s="1374">
        <v>42328</v>
      </c>
      <c r="G52" s="1366">
        <f t="shared" si="0"/>
        <v>4</v>
      </c>
      <c r="H52" s="29">
        <f t="shared" si="1"/>
        <v>48</v>
      </c>
      <c r="I52" s="1366">
        <v>412000</v>
      </c>
      <c r="J52" s="1366">
        <v>0</v>
      </c>
      <c r="K52" s="1366">
        <f t="shared" si="4"/>
        <v>412000</v>
      </c>
      <c r="L52" s="1366">
        <v>412000</v>
      </c>
      <c r="M52" s="29">
        <v>0</v>
      </c>
      <c r="N52" s="1366">
        <f t="shared" si="15"/>
        <v>412000</v>
      </c>
      <c r="O52" s="1366">
        <f t="shared" si="16"/>
        <v>0</v>
      </c>
      <c r="P52"/>
      <c r="Q52"/>
      <c r="R52"/>
      <c r="T52" s="1366">
        <f t="shared" si="23"/>
        <v>73</v>
      </c>
      <c r="U52" s="1366">
        <f t="shared" si="23"/>
        <v>85</v>
      </c>
      <c r="V52" s="29">
        <f t="shared" si="17"/>
        <v>412000</v>
      </c>
      <c r="W52" s="29">
        <f t="shared" si="18"/>
        <v>412000</v>
      </c>
      <c r="X52" s="29">
        <f t="shared" si="19"/>
        <v>0</v>
      </c>
      <c r="Y52" s="29">
        <f t="shared" si="20"/>
        <v>0</v>
      </c>
      <c r="Z52" s="29">
        <f t="shared" si="21"/>
        <v>0</v>
      </c>
      <c r="AA52" s="29">
        <f t="shared" si="22"/>
        <v>0</v>
      </c>
    </row>
    <row r="53" s="64" customFormat="1" spans="2:27">
      <c r="B53" s="1366">
        <f t="shared" si="3"/>
        <v>42</v>
      </c>
      <c r="C53" s="1366" t="s">
        <v>12141</v>
      </c>
      <c r="D53" s="2648">
        <v>1</v>
      </c>
      <c r="E53" s="1363">
        <v>0.25</v>
      </c>
      <c r="F53" s="1374">
        <v>42348</v>
      </c>
      <c r="G53" s="1366">
        <f t="shared" si="0"/>
        <v>4</v>
      </c>
      <c r="H53" s="29">
        <f t="shared" si="1"/>
        <v>48</v>
      </c>
      <c r="I53" s="1366">
        <v>3094100</v>
      </c>
      <c r="J53" s="1366">
        <v>0</v>
      </c>
      <c r="K53" s="1366">
        <f t="shared" si="4"/>
        <v>3094100</v>
      </c>
      <c r="L53" s="1366">
        <v>3094100</v>
      </c>
      <c r="M53" s="29">
        <v>0</v>
      </c>
      <c r="N53" s="1366">
        <f t="shared" si="15"/>
        <v>3094100</v>
      </c>
      <c r="O53" s="1366">
        <f t="shared" si="16"/>
        <v>0</v>
      </c>
      <c r="P53"/>
      <c r="Q53"/>
      <c r="R53"/>
      <c r="T53" s="1366">
        <f t="shared" si="23"/>
        <v>73</v>
      </c>
      <c r="U53" s="1366">
        <f t="shared" si="23"/>
        <v>85</v>
      </c>
      <c r="V53" s="29">
        <f t="shared" si="17"/>
        <v>3094100</v>
      </c>
      <c r="W53" s="29">
        <f t="shared" si="18"/>
        <v>3094100</v>
      </c>
      <c r="X53" s="29">
        <f t="shared" si="19"/>
        <v>0</v>
      </c>
      <c r="Y53" s="29">
        <f t="shared" si="20"/>
        <v>0</v>
      </c>
      <c r="Z53" s="29">
        <f t="shared" si="21"/>
        <v>0</v>
      </c>
      <c r="AA53" s="29">
        <f t="shared" si="22"/>
        <v>0</v>
      </c>
    </row>
    <row r="54" s="64" customFormat="1" spans="2:27">
      <c r="B54" s="1366">
        <f t="shared" si="3"/>
        <v>43</v>
      </c>
      <c r="C54" s="1366" t="s">
        <v>12142</v>
      </c>
      <c r="D54" s="2648">
        <v>1</v>
      </c>
      <c r="E54" s="1363">
        <v>0.25</v>
      </c>
      <c r="F54" s="1374">
        <v>42348</v>
      </c>
      <c r="G54" s="1366">
        <f t="shared" si="0"/>
        <v>4</v>
      </c>
      <c r="H54" s="29">
        <f t="shared" si="1"/>
        <v>48</v>
      </c>
      <c r="I54" s="1366">
        <v>1628100</v>
      </c>
      <c r="J54" s="1366">
        <v>0</v>
      </c>
      <c r="K54" s="1366">
        <f t="shared" si="4"/>
        <v>1628100</v>
      </c>
      <c r="L54" s="1366">
        <v>1628100</v>
      </c>
      <c r="M54" s="29">
        <v>0</v>
      </c>
      <c r="N54" s="1366">
        <f t="shared" si="15"/>
        <v>1628100</v>
      </c>
      <c r="O54" s="1366">
        <f t="shared" si="16"/>
        <v>0</v>
      </c>
      <c r="P54"/>
      <c r="Q54"/>
      <c r="R54"/>
      <c r="T54" s="1366">
        <f t="shared" si="23"/>
        <v>73</v>
      </c>
      <c r="U54" s="1366">
        <f t="shared" si="23"/>
        <v>85</v>
      </c>
      <c r="V54" s="29">
        <f t="shared" si="17"/>
        <v>1628100</v>
      </c>
      <c r="W54" s="29">
        <f t="shared" si="18"/>
        <v>1628100</v>
      </c>
      <c r="X54" s="29">
        <f t="shared" si="19"/>
        <v>0</v>
      </c>
      <c r="Y54" s="29">
        <f t="shared" si="20"/>
        <v>0</v>
      </c>
      <c r="Z54" s="29">
        <f t="shared" si="21"/>
        <v>0</v>
      </c>
      <c r="AA54" s="29">
        <f t="shared" si="22"/>
        <v>0</v>
      </c>
    </row>
    <row r="55" s="64" customFormat="1" spans="2:27">
      <c r="B55" s="1366">
        <f t="shared" si="3"/>
        <v>44</v>
      </c>
      <c r="C55" s="1366" t="s">
        <v>12143</v>
      </c>
      <c r="D55" s="2648">
        <v>1</v>
      </c>
      <c r="E55" s="1363">
        <v>0.25</v>
      </c>
      <c r="F55" s="1374">
        <v>42356</v>
      </c>
      <c r="G55" s="1366">
        <f t="shared" si="0"/>
        <v>4</v>
      </c>
      <c r="H55" s="29">
        <f t="shared" si="1"/>
        <v>48</v>
      </c>
      <c r="I55" s="1366">
        <v>3500000</v>
      </c>
      <c r="J55" s="1366">
        <v>0</v>
      </c>
      <c r="K55" s="1366">
        <f t="shared" si="4"/>
        <v>3500000</v>
      </c>
      <c r="L55" s="1366">
        <v>3500000</v>
      </c>
      <c r="M55" s="29">
        <v>0</v>
      </c>
      <c r="N55" s="1366">
        <f t="shared" si="15"/>
        <v>3500000</v>
      </c>
      <c r="O55" s="1366">
        <f t="shared" si="16"/>
        <v>0</v>
      </c>
      <c r="P55"/>
      <c r="Q55"/>
      <c r="R55"/>
      <c r="T55" s="1366">
        <f t="shared" si="23"/>
        <v>72</v>
      </c>
      <c r="U55" s="1366">
        <f t="shared" si="23"/>
        <v>84</v>
      </c>
      <c r="V55" s="29">
        <f t="shared" si="17"/>
        <v>3500000</v>
      </c>
      <c r="W55" s="29">
        <f t="shared" si="18"/>
        <v>3500000</v>
      </c>
      <c r="X55" s="29">
        <f t="shared" si="19"/>
        <v>0</v>
      </c>
      <c r="Y55" s="29">
        <f t="shared" si="20"/>
        <v>0</v>
      </c>
      <c r="Z55" s="29">
        <f t="shared" si="21"/>
        <v>0</v>
      </c>
      <c r="AA55" s="29">
        <f t="shared" si="22"/>
        <v>0</v>
      </c>
    </row>
    <row r="56" s="64" customFormat="1" spans="2:27">
      <c r="B56" s="1366">
        <f t="shared" si="3"/>
        <v>45</v>
      </c>
      <c r="C56" s="1366" t="s">
        <v>12144</v>
      </c>
      <c r="D56" s="2648">
        <v>1</v>
      </c>
      <c r="E56" s="1363">
        <v>0.25</v>
      </c>
      <c r="F56" s="1374">
        <v>42368</v>
      </c>
      <c r="G56" s="1366">
        <f t="shared" si="0"/>
        <v>4</v>
      </c>
      <c r="H56" s="29">
        <f t="shared" si="1"/>
        <v>48</v>
      </c>
      <c r="I56" s="1366">
        <v>1628100</v>
      </c>
      <c r="J56" s="1366">
        <v>0</v>
      </c>
      <c r="K56" s="1366">
        <f t="shared" si="4"/>
        <v>1628100</v>
      </c>
      <c r="L56" s="1366">
        <v>1628100</v>
      </c>
      <c r="M56" s="29">
        <v>0</v>
      </c>
      <c r="N56" s="1366">
        <f t="shared" si="15"/>
        <v>1628100</v>
      </c>
      <c r="O56" s="1366">
        <f t="shared" si="16"/>
        <v>0</v>
      </c>
      <c r="P56"/>
      <c r="Q56"/>
      <c r="R56"/>
      <c r="T56" s="1366">
        <f t="shared" si="23"/>
        <v>72</v>
      </c>
      <c r="U56" s="1366">
        <f t="shared" si="23"/>
        <v>84</v>
      </c>
      <c r="V56" s="29">
        <f t="shared" si="17"/>
        <v>1628100</v>
      </c>
      <c r="W56" s="29">
        <f t="shared" si="18"/>
        <v>1628100</v>
      </c>
      <c r="X56" s="29">
        <f t="shared" si="19"/>
        <v>0</v>
      </c>
      <c r="Y56" s="29">
        <f t="shared" si="20"/>
        <v>0</v>
      </c>
      <c r="Z56" s="29">
        <f t="shared" si="21"/>
        <v>0</v>
      </c>
      <c r="AA56" s="29">
        <f t="shared" si="22"/>
        <v>0</v>
      </c>
    </row>
    <row r="57" s="64" customFormat="1" spans="2:27">
      <c r="B57" s="1366">
        <f t="shared" si="3"/>
        <v>46</v>
      </c>
      <c r="C57" s="1366" t="s">
        <v>12145</v>
      </c>
      <c r="D57" s="2648">
        <v>1</v>
      </c>
      <c r="E57" s="1363">
        <v>0.125</v>
      </c>
      <c r="F57" s="1374">
        <v>42403</v>
      </c>
      <c r="G57" s="1366">
        <f t="shared" si="0"/>
        <v>8</v>
      </c>
      <c r="H57" s="29">
        <f t="shared" si="1"/>
        <v>96</v>
      </c>
      <c r="I57" s="1366">
        <v>3100000</v>
      </c>
      <c r="J57" s="1366">
        <v>0</v>
      </c>
      <c r="K57" s="1366">
        <f t="shared" si="4"/>
        <v>3100000</v>
      </c>
      <c r="L57" s="1366">
        <v>2195833.33333333</v>
      </c>
      <c r="M57" s="29">
        <v>387500</v>
      </c>
      <c r="N57" s="1366">
        <f t="shared" si="15"/>
        <v>2583333.33333333</v>
      </c>
      <c r="O57" s="1366">
        <f t="shared" si="16"/>
        <v>516666.666666667</v>
      </c>
      <c r="P57"/>
      <c r="Q57"/>
      <c r="R57"/>
      <c r="T57" s="1366">
        <f t="shared" si="23"/>
        <v>71</v>
      </c>
      <c r="U57" s="1366">
        <f t="shared" si="23"/>
        <v>83</v>
      </c>
      <c r="V57" s="29">
        <f t="shared" si="17"/>
        <v>2292708</v>
      </c>
      <c r="W57" s="29">
        <f t="shared" si="18"/>
        <v>2680208</v>
      </c>
      <c r="X57" s="29">
        <f t="shared" si="19"/>
        <v>387500</v>
      </c>
      <c r="Y57" s="29">
        <f t="shared" si="20"/>
        <v>419792</v>
      </c>
      <c r="Z57" s="29">
        <f t="shared" si="21"/>
        <v>0</v>
      </c>
      <c r="AA57" s="29">
        <f t="shared" si="22"/>
        <v>96874.6666666665</v>
      </c>
    </row>
    <row r="58" s="64" customFormat="1" spans="2:27">
      <c r="B58" s="1366">
        <f t="shared" si="3"/>
        <v>47</v>
      </c>
      <c r="C58" s="1366" t="s">
        <v>12146</v>
      </c>
      <c r="D58" s="2648">
        <v>1</v>
      </c>
      <c r="E58" s="1363">
        <v>0.25</v>
      </c>
      <c r="F58" s="1374">
        <v>42414</v>
      </c>
      <c r="G58" s="1366">
        <f t="shared" si="0"/>
        <v>4</v>
      </c>
      <c r="H58" s="29">
        <f t="shared" si="1"/>
        <v>48</v>
      </c>
      <c r="I58" s="1366">
        <v>2775000</v>
      </c>
      <c r="J58" s="1366">
        <v>0</v>
      </c>
      <c r="K58" s="1366">
        <f t="shared" si="4"/>
        <v>2775000</v>
      </c>
      <c r="L58" s="1366">
        <v>2775000</v>
      </c>
      <c r="M58" s="29">
        <v>0</v>
      </c>
      <c r="N58" s="1366">
        <f t="shared" si="15"/>
        <v>2775000</v>
      </c>
      <c r="O58" s="1366">
        <f t="shared" si="16"/>
        <v>0</v>
      </c>
      <c r="P58"/>
      <c r="Q58"/>
      <c r="R58"/>
      <c r="T58" s="1366">
        <f t="shared" si="23"/>
        <v>71</v>
      </c>
      <c r="U58" s="1366">
        <f t="shared" si="23"/>
        <v>83</v>
      </c>
      <c r="V58" s="29">
        <f t="shared" si="17"/>
        <v>2775000</v>
      </c>
      <c r="W58" s="29">
        <f t="shared" si="18"/>
        <v>2775000</v>
      </c>
      <c r="X58" s="29">
        <f t="shared" si="19"/>
        <v>0</v>
      </c>
      <c r="Y58" s="29">
        <f t="shared" si="20"/>
        <v>0</v>
      </c>
      <c r="Z58" s="29">
        <f t="shared" si="21"/>
        <v>0</v>
      </c>
      <c r="AA58" s="29">
        <f t="shared" si="22"/>
        <v>0</v>
      </c>
    </row>
    <row r="59" s="64" customFormat="1" spans="2:27">
      <c r="B59" s="1366">
        <f t="shared" si="3"/>
        <v>48</v>
      </c>
      <c r="C59" s="1366" t="s">
        <v>12147</v>
      </c>
      <c r="D59" s="2648">
        <v>1</v>
      </c>
      <c r="E59" s="1363">
        <v>0.25</v>
      </c>
      <c r="F59" s="1374">
        <v>42418</v>
      </c>
      <c r="G59" s="1366">
        <f t="shared" si="0"/>
        <v>4</v>
      </c>
      <c r="H59" s="29">
        <f t="shared" si="1"/>
        <v>48</v>
      </c>
      <c r="I59" s="1366">
        <v>2775000</v>
      </c>
      <c r="J59" s="1366">
        <v>0</v>
      </c>
      <c r="K59" s="1366">
        <f t="shared" si="4"/>
        <v>2775000</v>
      </c>
      <c r="L59" s="1366">
        <v>2775000</v>
      </c>
      <c r="M59" s="29">
        <v>0</v>
      </c>
      <c r="N59" s="1366">
        <f t="shared" si="15"/>
        <v>2775000</v>
      </c>
      <c r="O59" s="1366">
        <f t="shared" si="16"/>
        <v>0</v>
      </c>
      <c r="P59"/>
      <c r="Q59"/>
      <c r="R59"/>
      <c r="T59" s="1366">
        <f t="shared" si="23"/>
        <v>70</v>
      </c>
      <c r="U59" s="1366">
        <f t="shared" si="23"/>
        <v>82</v>
      </c>
      <c r="V59" s="29">
        <f t="shared" si="17"/>
        <v>2775000</v>
      </c>
      <c r="W59" s="29">
        <f t="shared" si="18"/>
        <v>2775000</v>
      </c>
      <c r="X59" s="29">
        <f t="shared" si="19"/>
        <v>0</v>
      </c>
      <c r="Y59" s="29">
        <f t="shared" si="20"/>
        <v>0</v>
      </c>
      <c r="Z59" s="29">
        <f t="shared" si="21"/>
        <v>0</v>
      </c>
      <c r="AA59" s="29">
        <f t="shared" si="22"/>
        <v>0</v>
      </c>
    </row>
    <row r="60" s="64" customFormat="1" spans="2:27">
      <c r="B60" s="1366">
        <f t="shared" si="3"/>
        <v>49</v>
      </c>
      <c r="C60" s="1366" t="s">
        <v>12148</v>
      </c>
      <c r="D60" s="2648">
        <v>1</v>
      </c>
      <c r="E60" s="1363">
        <v>0.25</v>
      </c>
      <c r="F60" s="1374">
        <v>42418</v>
      </c>
      <c r="G60" s="1366">
        <f t="shared" si="0"/>
        <v>4</v>
      </c>
      <c r="H60" s="29">
        <f t="shared" si="1"/>
        <v>48</v>
      </c>
      <c r="I60" s="1366">
        <v>250000</v>
      </c>
      <c r="J60" s="1366">
        <v>0</v>
      </c>
      <c r="K60" s="1366">
        <f t="shared" si="4"/>
        <v>250000</v>
      </c>
      <c r="L60" s="1366">
        <v>250000</v>
      </c>
      <c r="M60" s="29">
        <v>0</v>
      </c>
      <c r="N60" s="1366">
        <f t="shared" si="15"/>
        <v>250000</v>
      </c>
      <c r="O60" s="1366">
        <f t="shared" si="16"/>
        <v>0</v>
      </c>
      <c r="P60"/>
      <c r="Q60"/>
      <c r="R60"/>
      <c r="T60" s="1366">
        <f t="shared" si="23"/>
        <v>70</v>
      </c>
      <c r="U60" s="1366">
        <f t="shared" si="23"/>
        <v>82</v>
      </c>
      <c r="V60" s="29">
        <f t="shared" si="17"/>
        <v>250000</v>
      </c>
      <c r="W60" s="29">
        <f t="shared" si="18"/>
        <v>250000</v>
      </c>
      <c r="X60" s="29">
        <f t="shared" si="19"/>
        <v>0</v>
      </c>
      <c r="Y60" s="29">
        <f t="shared" si="20"/>
        <v>0</v>
      </c>
      <c r="Z60" s="29">
        <f t="shared" si="21"/>
        <v>0</v>
      </c>
      <c r="AA60" s="29">
        <f t="shared" si="22"/>
        <v>0</v>
      </c>
    </row>
    <row r="61" s="64" customFormat="1" spans="2:27">
      <c r="B61" s="1366">
        <f t="shared" si="3"/>
        <v>50</v>
      </c>
      <c r="C61" s="1366" t="s">
        <v>12149</v>
      </c>
      <c r="D61" s="2648">
        <v>1</v>
      </c>
      <c r="E61" s="1363">
        <v>0.25</v>
      </c>
      <c r="F61" s="1374">
        <v>42428</v>
      </c>
      <c r="G61" s="1366">
        <f t="shared" si="0"/>
        <v>4</v>
      </c>
      <c r="H61" s="29">
        <f t="shared" si="1"/>
        <v>48</v>
      </c>
      <c r="I61" s="1366">
        <v>250000</v>
      </c>
      <c r="J61" s="1366">
        <v>0</v>
      </c>
      <c r="K61" s="1366">
        <f t="shared" si="4"/>
        <v>250000</v>
      </c>
      <c r="L61" s="1366">
        <v>250000</v>
      </c>
      <c r="M61" s="29">
        <v>0</v>
      </c>
      <c r="N61" s="1366">
        <f t="shared" si="15"/>
        <v>250000</v>
      </c>
      <c r="O61" s="1366">
        <f t="shared" si="16"/>
        <v>0</v>
      </c>
      <c r="P61"/>
      <c r="Q61"/>
      <c r="R61"/>
      <c r="T61" s="1366">
        <f t="shared" si="23"/>
        <v>70</v>
      </c>
      <c r="U61" s="1366">
        <f t="shared" si="23"/>
        <v>82</v>
      </c>
      <c r="V61" s="29">
        <f t="shared" si="17"/>
        <v>250000</v>
      </c>
      <c r="W61" s="29">
        <f t="shared" si="18"/>
        <v>250000</v>
      </c>
      <c r="X61" s="29">
        <f t="shared" si="19"/>
        <v>0</v>
      </c>
      <c r="Y61" s="29">
        <f t="shared" si="20"/>
        <v>0</v>
      </c>
      <c r="Z61" s="29">
        <f t="shared" si="21"/>
        <v>0</v>
      </c>
      <c r="AA61" s="29">
        <f t="shared" si="22"/>
        <v>0</v>
      </c>
    </row>
    <row r="62" s="64" customFormat="1" spans="2:27">
      <c r="B62" s="1366">
        <f t="shared" si="3"/>
        <v>51</v>
      </c>
      <c r="C62" s="1366" t="s">
        <v>12150</v>
      </c>
      <c r="D62" s="2648">
        <v>1</v>
      </c>
      <c r="E62" s="1363">
        <v>0.25</v>
      </c>
      <c r="F62" s="1374">
        <v>42440</v>
      </c>
      <c r="G62" s="1366">
        <f t="shared" si="0"/>
        <v>4</v>
      </c>
      <c r="H62" s="29">
        <f t="shared" si="1"/>
        <v>48</v>
      </c>
      <c r="I62" s="1366">
        <v>3500000</v>
      </c>
      <c r="J62" s="1366">
        <v>0</v>
      </c>
      <c r="K62" s="1366">
        <f t="shared" si="4"/>
        <v>3500000</v>
      </c>
      <c r="L62" s="1366">
        <v>3500000</v>
      </c>
      <c r="M62" s="29">
        <v>0</v>
      </c>
      <c r="N62" s="1366">
        <f t="shared" si="15"/>
        <v>3500000</v>
      </c>
      <c r="O62" s="1366">
        <f t="shared" si="16"/>
        <v>0</v>
      </c>
      <c r="P62"/>
      <c r="Q62"/>
      <c r="R62"/>
      <c r="T62" s="1366">
        <f t="shared" si="23"/>
        <v>70</v>
      </c>
      <c r="U62" s="1366">
        <f t="shared" si="23"/>
        <v>82</v>
      </c>
      <c r="V62" s="29">
        <f t="shared" si="17"/>
        <v>3500000</v>
      </c>
      <c r="W62" s="29">
        <f t="shared" si="18"/>
        <v>3500000</v>
      </c>
      <c r="X62" s="29">
        <f t="shared" si="19"/>
        <v>0</v>
      </c>
      <c r="Y62" s="29">
        <f t="shared" si="20"/>
        <v>0</v>
      </c>
      <c r="Z62" s="29">
        <f t="shared" si="21"/>
        <v>0</v>
      </c>
      <c r="AA62" s="29">
        <f t="shared" si="22"/>
        <v>0</v>
      </c>
    </row>
    <row r="63" s="64" customFormat="1" spans="2:27">
      <c r="B63" s="1366">
        <f t="shared" si="3"/>
        <v>52</v>
      </c>
      <c r="C63" s="1366" t="s">
        <v>12151</v>
      </c>
      <c r="D63" s="2648">
        <v>1</v>
      </c>
      <c r="E63" s="1363">
        <v>0.25</v>
      </c>
      <c r="F63" s="1374">
        <v>42457</v>
      </c>
      <c r="G63" s="1366">
        <f t="shared" si="0"/>
        <v>4</v>
      </c>
      <c r="H63" s="29">
        <f t="shared" si="1"/>
        <v>48</v>
      </c>
      <c r="I63" s="1366">
        <v>1599000</v>
      </c>
      <c r="J63" s="1366">
        <v>0</v>
      </c>
      <c r="K63" s="1366">
        <f t="shared" si="4"/>
        <v>1599000</v>
      </c>
      <c r="L63" s="1366">
        <v>1599000</v>
      </c>
      <c r="M63" s="29">
        <v>0</v>
      </c>
      <c r="N63" s="1366">
        <f t="shared" si="15"/>
        <v>1599000</v>
      </c>
      <c r="O63" s="1366">
        <f t="shared" si="16"/>
        <v>0</v>
      </c>
      <c r="P63"/>
      <c r="Q63"/>
      <c r="R63"/>
      <c r="T63" s="1366">
        <f t="shared" si="23"/>
        <v>69</v>
      </c>
      <c r="U63" s="1366">
        <f t="shared" si="23"/>
        <v>81</v>
      </c>
      <c r="V63" s="29">
        <f t="shared" si="17"/>
        <v>1599000</v>
      </c>
      <c r="W63" s="29">
        <f t="shared" si="18"/>
        <v>1599000</v>
      </c>
      <c r="X63" s="29">
        <f t="shared" si="19"/>
        <v>0</v>
      </c>
      <c r="Y63" s="29">
        <f t="shared" si="20"/>
        <v>0</v>
      </c>
      <c r="Z63" s="29">
        <f t="shared" si="21"/>
        <v>0</v>
      </c>
      <c r="AA63" s="29">
        <f t="shared" si="22"/>
        <v>0</v>
      </c>
    </row>
    <row r="64" s="64" customFormat="1" spans="2:27">
      <c r="B64" s="1366">
        <f t="shared" si="3"/>
        <v>53</v>
      </c>
      <c r="C64" s="1366" t="s">
        <v>12152</v>
      </c>
      <c r="D64" s="2648">
        <v>2</v>
      </c>
      <c r="E64" s="1363">
        <v>0.25</v>
      </c>
      <c r="F64" s="1374">
        <v>42457</v>
      </c>
      <c r="G64" s="1366">
        <f t="shared" si="0"/>
        <v>4</v>
      </c>
      <c r="H64" s="29">
        <f t="shared" si="1"/>
        <v>48</v>
      </c>
      <c r="I64" s="1366">
        <v>1208000</v>
      </c>
      <c r="J64" s="1366">
        <v>0</v>
      </c>
      <c r="K64" s="1366">
        <f t="shared" si="4"/>
        <v>1208000</v>
      </c>
      <c r="L64" s="1366">
        <v>1208000</v>
      </c>
      <c r="M64" s="29">
        <v>0</v>
      </c>
      <c r="N64" s="1366">
        <f t="shared" si="15"/>
        <v>1208000</v>
      </c>
      <c r="O64" s="1366">
        <f t="shared" si="16"/>
        <v>0</v>
      </c>
      <c r="P64"/>
      <c r="Q64"/>
      <c r="R64"/>
      <c r="T64" s="1366">
        <f t="shared" si="23"/>
        <v>69</v>
      </c>
      <c r="U64" s="1366">
        <f t="shared" si="23"/>
        <v>81</v>
      </c>
      <c r="V64" s="29">
        <f t="shared" si="17"/>
        <v>1208000</v>
      </c>
      <c r="W64" s="29">
        <f t="shared" si="18"/>
        <v>1208000</v>
      </c>
      <c r="X64" s="29">
        <f t="shared" si="19"/>
        <v>0</v>
      </c>
      <c r="Y64" s="29">
        <f t="shared" si="20"/>
        <v>0</v>
      </c>
      <c r="Z64" s="29">
        <f t="shared" si="21"/>
        <v>0</v>
      </c>
      <c r="AA64" s="29">
        <f t="shared" si="22"/>
        <v>0</v>
      </c>
    </row>
    <row r="65" s="64" customFormat="1" spans="2:27">
      <c r="B65" s="1366">
        <f t="shared" si="3"/>
        <v>54</v>
      </c>
      <c r="C65" s="1366" t="s">
        <v>12153</v>
      </c>
      <c r="D65" s="2648">
        <v>1</v>
      </c>
      <c r="E65" s="1363">
        <v>0.25</v>
      </c>
      <c r="F65" s="1374">
        <v>42534</v>
      </c>
      <c r="G65" s="1366">
        <f t="shared" si="0"/>
        <v>4</v>
      </c>
      <c r="H65" s="29">
        <f t="shared" si="1"/>
        <v>48</v>
      </c>
      <c r="I65" s="1366">
        <v>6198000</v>
      </c>
      <c r="J65" s="1366">
        <v>0</v>
      </c>
      <c r="K65" s="1366">
        <f t="shared" si="4"/>
        <v>6198000</v>
      </c>
      <c r="L65" s="1366">
        <v>5165000</v>
      </c>
      <c r="M65" s="29">
        <v>0</v>
      </c>
      <c r="N65" s="1366">
        <f t="shared" si="15"/>
        <v>5165000</v>
      </c>
      <c r="O65" s="1366">
        <f t="shared" si="16"/>
        <v>1033000</v>
      </c>
      <c r="P65"/>
      <c r="Q65"/>
      <c r="R65"/>
      <c r="T65" s="1366">
        <f t="shared" si="23"/>
        <v>67</v>
      </c>
      <c r="U65" s="1366">
        <f t="shared" si="23"/>
        <v>79</v>
      </c>
      <c r="V65" s="29">
        <f t="shared" si="17"/>
        <v>6198000</v>
      </c>
      <c r="W65" s="29">
        <f t="shared" si="18"/>
        <v>6198000</v>
      </c>
      <c r="X65" s="29">
        <f t="shared" si="19"/>
        <v>0</v>
      </c>
      <c r="Y65" s="29">
        <f t="shared" si="20"/>
        <v>0</v>
      </c>
      <c r="Z65" s="29">
        <f t="shared" si="21"/>
        <v>0</v>
      </c>
      <c r="AA65" s="29">
        <f t="shared" si="22"/>
        <v>1033000</v>
      </c>
    </row>
    <row r="66" s="64" customFormat="1" spans="2:27">
      <c r="B66" s="1366">
        <f t="shared" si="3"/>
        <v>55</v>
      </c>
      <c r="C66" s="1366" t="s">
        <v>12154</v>
      </c>
      <c r="D66" s="2648">
        <v>1</v>
      </c>
      <c r="E66" s="1363">
        <v>0.25</v>
      </c>
      <c r="F66" s="1374">
        <v>42643</v>
      </c>
      <c r="G66" s="1366">
        <f t="shared" si="0"/>
        <v>4</v>
      </c>
      <c r="H66" s="29">
        <f t="shared" si="1"/>
        <v>48</v>
      </c>
      <c r="I66" s="1366">
        <v>6682100</v>
      </c>
      <c r="J66" s="1366">
        <v>0</v>
      </c>
      <c r="K66" s="1366">
        <f t="shared" si="4"/>
        <v>6682100</v>
      </c>
      <c r="L66" s="1366">
        <v>5568416.66666667</v>
      </c>
      <c r="M66" s="29">
        <v>1113683.33333333</v>
      </c>
      <c r="N66" s="1366">
        <f t="shared" si="15"/>
        <v>6682100</v>
      </c>
      <c r="O66" s="1366">
        <f t="shared" si="16"/>
        <v>0</v>
      </c>
      <c r="P66"/>
      <c r="Q66"/>
      <c r="R66"/>
      <c r="T66" s="1366">
        <f t="shared" si="23"/>
        <v>63</v>
      </c>
      <c r="U66" s="1366">
        <f t="shared" si="23"/>
        <v>75</v>
      </c>
      <c r="V66" s="29">
        <f t="shared" si="17"/>
        <v>6682100</v>
      </c>
      <c r="W66" s="29">
        <f t="shared" si="18"/>
        <v>6682100</v>
      </c>
      <c r="X66" s="29">
        <f t="shared" si="19"/>
        <v>0</v>
      </c>
      <c r="Y66" s="29">
        <f t="shared" si="20"/>
        <v>0</v>
      </c>
      <c r="Z66" s="29">
        <f t="shared" si="21"/>
        <v>1113683.33333333</v>
      </c>
      <c r="AA66" s="29">
        <f t="shared" si="22"/>
        <v>0</v>
      </c>
    </row>
    <row r="67" s="64" customFormat="1" spans="2:27">
      <c r="B67" s="1366">
        <f t="shared" si="3"/>
        <v>56</v>
      </c>
      <c r="C67" s="1366" t="s">
        <v>12155</v>
      </c>
      <c r="D67" s="2648">
        <v>1</v>
      </c>
      <c r="E67" s="1363">
        <v>0.25</v>
      </c>
      <c r="F67" s="1374">
        <v>42755</v>
      </c>
      <c r="G67" s="1366">
        <f t="shared" si="0"/>
        <v>4</v>
      </c>
      <c r="H67" s="29">
        <f t="shared" si="1"/>
        <v>48</v>
      </c>
      <c r="I67" s="1366">
        <v>340000</v>
      </c>
      <c r="J67" s="1366">
        <v>0</v>
      </c>
      <c r="K67" s="1366">
        <f t="shared" si="4"/>
        <v>340000</v>
      </c>
      <c r="L67" s="1366">
        <v>340000</v>
      </c>
      <c r="M67" s="29">
        <v>0</v>
      </c>
      <c r="N67" s="1366">
        <f t="shared" si="15"/>
        <v>340000</v>
      </c>
      <c r="O67" s="1366">
        <f t="shared" si="16"/>
        <v>0</v>
      </c>
      <c r="P67"/>
      <c r="Q67"/>
      <c r="R67"/>
      <c r="T67" s="1366">
        <f t="shared" si="23"/>
        <v>59</v>
      </c>
      <c r="U67" s="1366">
        <f t="shared" si="23"/>
        <v>71</v>
      </c>
      <c r="V67" s="29">
        <f t="shared" si="17"/>
        <v>340000</v>
      </c>
      <c r="W67" s="29">
        <f t="shared" si="18"/>
        <v>340000</v>
      </c>
      <c r="X67" s="29">
        <f t="shared" si="19"/>
        <v>0</v>
      </c>
      <c r="Y67" s="29">
        <f t="shared" si="20"/>
        <v>0</v>
      </c>
      <c r="Z67" s="29">
        <f t="shared" si="21"/>
        <v>0</v>
      </c>
      <c r="AA67" s="29">
        <f t="shared" si="22"/>
        <v>0</v>
      </c>
    </row>
    <row r="68" s="64" customFormat="1" spans="2:27">
      <c r="B68" s="1366">
        <f t="shared" si="3"/>
        <v>57</v>
      </c>
      <c r="C68" s="1366" t="s">
        <v>12156</v>
      </c>
      <c r="D68" s="2648">
        <v>1</v>
      </c>
      <c r="E68" s="1363">
        <v>0.25</v>
      </c>
      <c r="F68" s="1374">
        <v>42769</v>
      </c>
      <c r="G68" s="1366">
        <f t="shared" si="0"/>
        <v>4</v>
      </c>
      <c r="H68" s="29">
        <f t="shared" si="1"/>
        <v>48</v>
      </c>
      <c r="I68" s="1366">
        <v>4800000</v>
      </c>
      <c r="J68" s="1366">
        <v>0</v>
      </c>
      <c r="K68" s="1366">
        <f t="shared" si="4"/>
        <v>4800000</v>
      </c>
      <c r="L68" s="1366">
        <v>4800000</v>
      </c>
      <c r="M68" s="29">
        <v>0</v>
      </c>
      <c r="N68" s="1366">
        <f t="shared" si="15"/>
        <v>4800000</v>
      </c>
      <c r="O68" s="1366">
        <f t="shared" si="16"/>
        <v>0</v>
      </c>
      <c r="P68"/>
      <c r="Q68"/>
      <c r="R68"/>
      <c r="T68" s="1366">
        <f t="shared" si="23"/>
        <v>59</v>
      </c>
      <c r="U68" s="1366">
        <f t="shared" si="23"/>
        <v>71</v>
      </c>
      <c r="V68" s="29">
        <f t="shared" si="17"/>
        <v>4800000</v>
      </c>
      <c r="W68" s="29">
        <f t="shared" si="18"/>
        <v>4800000</v>
      </c>
      <c r="X68" s="29">
        <f t="shared" si="19"/>
        <v>0</v>
      </c>
      <c r="Y68" s="29">
        <f t="shared" si="20"/>
        <v>0</v>
      </c>
      <c r="Z68" s="29">
        <f t="shared" si="21"/>
        <v>0</v>
      </c>
      <c r="AA68" s="29">
        <f t="shared" si="22"/>
        <v>0</v>
      </c>
    </row>
    <row r="69" s="64" customFormat="1" spans="2:27">
      <c r="B69" s="1366">
        <f t="shared" si="3"/>
        <v>58</v>
      </c>
      <c r="C69" s="1366" t="s">
        <v>12157</v>
      </c>
      <c r="D69" s="2648">
        <v>1</v>
      </c>
      <c r="E69" s="1363">
        <v>0.25</v>
      </c>
      <c r="F69" s="1374">
        <v>42779</v>
      </c>
      <c r="G69" s="1366">
        <f t="shared" si="0"/>
        <v>4</v>
      </c>
      <c r="H69" s="29">
        <f t="shared" si="1"/>
        <v>48</v>
      </c>
      <c r="I69" s="1366">
        <v>2000000</v>
      </c>
      <c r="J69" s="1366">
        <v>0</v>
      </c>
      <c r="K69" s="1366">
        <f t="shared" si="4"/>
        <v>2000000</v>
      </c>
      <c r="L69" s="1366">
        <v>2000000</v>
      </c>
      <c r="M69" s="29">
        <v>0</v>
      </c>
      <c r="N69" s="1366">
        <f t="shared" si="15"/>
        <v>2000000</v>
      </c>
      <c r="O69" s="1366">
        <f t="shared" si="16"/>
        <v>0</v>
      </c>
      <c r="P69"/>
      <c r="Q69"/>
      <c r="R69"/>
      <c r="T69" s="1366">
        <f t="shared" si="23"/>
        <v>59</v>
      </c>
      <c r="U69" s="1366">
        <f t="shared" si="23"/>
        <v>71</v>
      </c>
      <c r="V69" s="29">
        <f t="shared" si="17"/>
        <v>2000000</v>
      </c>
      <c r="W69" s="29">
        <f t="shared" si="18"/>
        <v>2000000</v>
      </c>
      <c r="X69" s="29">
        <f t="shared" si="19"/>
        <v>0</v>
      </c>
      <c r="Y69" s="29">
        <f t="shared" si="20"/>
        <v>0</v>
      </c>
      <c r="Z69" s="29">
        <f t="shared" si="21"/>
        <v>0</v>
      </c>
      <c r="AA69" s="29">
        <f t="shared" si="22"/>
        <v>0</v>
      </c>
    </row>
    <row r="70" s="64" customFormat="1" spans="2:27">
      <c r="B70" s="1366">
        <f t="shared" si="3"/>
        <v>59</v>
      </c>
      <c r="C70" s="1366" t="s">
        <v>12158</v>
      </c>
      <c r="D70" s="2648">
        <v>1</v>
      </c>
      <c r="E70" s="1363">
        <v>0.25</v>
      </c>
      <c r="F70" s="1374">
        <v>42823</v>
      </c>
      <c r="G70" s="1366">
        <f t="shared" si="0"/>
        <v>4</v>
      </c>
      <c r="H70" s="29">
        <f t="shared" si="1"/>
        <v>48</v>
      </c>
      <c r="I70" s="1366">
        <v>2499000</v>
      </c>
      <c r="J70" s="1366">
        <v>0</v>
      </c>
      <c r="K70" s="1366">
        <f t="shared" si="4"/>
        <v>2499000</v>
      </c>
      <c r="L70" s="1366">
        <v>2499000</v>
      </c>
      <c r="M70" s="29">
        <v>0</v>
      </c>
      <c r="N70" s="1366">
        <f t="shared" si="15"/>
        <v>2499000</v>
      </c>
      <c r="O70" s="1366">
        <f t="shared" si="16"/>
        <v>0</v>
      </c>
      <c r="P70"/>
      <c r="Q70"/>
      <c r="R70"/>
      <c r="T70" s="1366">
        <f t="shared" si="23"/>
        <v>57</v>
      </c>
      <c r="U70" s="1366">
        <f t="shared" si="23"/>
        <v>69</v>
      </c>
      <c r="V70" s="29">
        <f t="shared" si="17"/>
        <v>2499000</v>
      </c>
      <c r="W70" s="29">
        <f t="shared" si="18"/>
        <v>2499000</v>
      </c>
      <c r="X70" s="29">
        <f t="shared" si="19"/>
        <v>0</v>
      </c>
      <c r="Y70" s="29">
        <f t="shared" si="20"/>
        <v>0</v>
      </c>
      <c r="Z70" s="29">
        <f t="shared" si="21"/>
        <v>0</v>
      </c>
      <c r="AA70" s="29">
        <f t="shared" si="22"/>
        <v>0</v>
      </c>
    </row>
    <row r="71" s="64" customFormat="1" spans="2:27">
      <c r="B71" s="1366">
        <f t="shared" si="3"/>
        <v>60</v>
      </c>
      <c r="C71" s="1366" t="s">
        <v>12159</v>
      </c>
      <c r="D71" s="2648">
        <v>1</v>
      </c>
      <c r="E71" s="1363">
        <v>0.25</v>
      </c>
      <c r="F71" s="1374">
        <v>42851</v>
      </c>
      <c r="G71" s="1366">
        <f t="shared" si="0"/>
        <v>4</v>
      </c>
      <c r="H71" s="29">
        <f t="shared" si="1"/>
        <v>48</v>
      </c>
      <c r="I71" s="1366">
        <v>5400000</v>
      </c>
      <c r="J71" s="1366">
        <v>0</v>
      </c>
      <c r="K71" s="1366">
        <f t="shared" si="4"/>
        <v>5400000</v>
      </c>
      <c r="L71" s="1366">
        <v>5400000</v>
      </c>
      <c r="M71" s="29">
        <v>0</v>
      </c>
      <c r="N71" s="1366">
        <f t="shared" si="15"/>
        <v>5400000</v>
      </c>
      <c r="O71" s="1366">
        <f t="shared" si="16"/>
        <v>0</v>
      </c>
      <c r="P71"/>
      <c r="Q71"/>
      <c r="R71"/>
      <c r="T71" s="1366">
        <f t="shared" si="23"/>
        <v>56</v>
      </c>
      <c r="U71" s="1366">
        <f t="shared" si="23"/>
        <v>68</v>
      </c>
      <c r="V71" s="29">
        <f t="shared" si="17"/>
        <v>5400000</v>
      </c>
      <c r="W71" s="29">
        <f t="shared" si="18"/>
        <v>5400000</v>
      </c>
      <c r="X71" s="29">
        <f t="shared" si="19"/>
        <v>0</v>
      </c>
      <c r="Y71" s="29">
        <f t="shared" si="20"/>
        <v>0</v>
      </c>
      <c r="Z71" s="29">
        <f t="shared" si="21"/>
        <v>0</v>
      </c>
      <c r="AA71" s="29">
        <f t="shared" si="22"/>
        <v>0</v>
      </c>
    </row>
    <row r="72" s="64" customFormat="1" spans="2:27">
      <c r="B72" s="1366">
        <f t="shared" si="3"/>
        <v>61</v>
      </c>
      <c r="C72" s="1366" t="s">
        <v>12160</v>
      </c>
      <c r="D72" s="2648">
        <v>1</v>
      </c>
      <c r="E72" s="1363">
        <v>0.25</v>
      </c>
      <c r="F72" s="1374">
        <v>42869</v>
      </c>
      <c r="G72" s="1366">
        <f t="shared" si="0"/>
        <v>4</v>
      </c>
      <c r="H72" s="29">
        <f t="shared" si="1"/>
        <v>48</v>
      </c>
      <c r="I72" s="1366">
        <v>850000</v>
      </c>
      <c r="J72" s="1366">
        <v>0</v>
      </c>
      <c r="K72" s="1366">
        <f t="shared" si="4"/>
        <v>850000</v>
      </c>
      <c r="L72" s="1366">
        <v>850000</v>
      </c>
      <c r="M72" s="29">
        <v>0</v>
      </c>
      <c r="N72" s="1366">
        <f t="shared" si="15"/>
        <v>850000</v>
      </c>
      <c r="O72" s="1366">
        <f t="shared" si="16"/>
        <v>0</v>
      </c>
      <c r="P72"/>
      <c r="Q72"/>
      <c r="R72"/>
      <c r="T72" s="1366">
        <f t="shared" si="23"/>
        <v>56</v>
      </c>
      <c r="U72" s="1366">
        <f t="shared" si="23"/>
        <v>68</v>
      </c>
      <c r="V72" s="29">
        <f t="shared" si="17"/>
        <v>850000</v>
      </c>
      <c r="W72" s="29">
        <f t="shared" si="18"/>
        <v>850000</v>
      </c>
      <c r="X72" s="29">
        <f t="shared" si="19"/>
        <v>0</v>
      </c>
      <c r="Y72" s="29">
        <f t="shared" si="20"/>
        <v>0</v>
      </c>
      <c r="Z72" s="29">
        <f t="shared" si="21"/>
        <v>0</v>
      </c>
      <c r="AA72" s="29">
        <f t="shared" si="22"/>
        <v>0</v>
      </c>
    </row>
    <row r="73" s="64" customFormat="1" spans="2:27">
      <c r="B73" s="1366">
        <f t="shared" si="3"/>
        <v>62</v>
      </c>
      <c r="C73" s="1366" t="s">
        <v>12161</v>
      </c>
      <c r="D73" s="2648">
        <v>1</v>
      </c>
      <c r="E73" s="1363">
        <v>0.25</v>
      </c>
      <c r="F73" s="1374">
        <v>42871</v>
      </c>
      <c r="G73" s="1366">
        <f t="shared" si="0"/>
        <v>4</v>
      </c>
      <c r="H73" s="29">
        <f t="shared" si="1"/>
        <v>48</v>
      </c>
      <c r="I73" s="1366">
        <v>6370000</v>
      </c>
      <c r="J73" s="1366">
        <v>0</v>
      </c>
      <c r="K73" s="1366">
        <f t="shared" si="4"/>
        <v>6370000</v>
      </c>
      <c r="L73" s="1366">
        <v>6370000</v>
      </c>
      <c r="M73" s="29">
        <v>0</v>
      </c>
      <c r="N73" s="1366">
        <f t="shared" si="15"/>
        <v>6370000</v>
      </c>
      <c r="O73" s="1366">
        <f t="shared" si="16"/>
        <v>0</v>
      </c>
      <c r="P73"/>
      <c r="Q73"/>
      <c r="R73"/>
      <c r="T73" s="1366">
        <f t="shared" si="23"/>
        <v>55</v>
      </c>
      <c r="U73" s="1366">
        <f t="shared" si="23"/>
        <v>67</v>
      </c>
      <c r="V73" s="29">
        <f t="shared" si="17"/>
        <v>6370000</v>
      </c>
      <c r="W73" s="29">
        <f t="shared" si="18"/>
        <v>6370000</v>
      </c>
      <c r="X73" s="29">
        <f t="shared" si="19"/>
        <v>0</v>
      </c>
      <c r="Y73" s="29">
        <f t="shared" si="20"/>
        <v>0</v>
      </c>
      <c r="Z73" s="29">
        <f t="shared" si="21"/>
        <v>0</v>
      </c>
      <c r="AA73" s="29">
        <f t="shared" si="22"/>
        <v>0</v>
      </c>
    </row>
    <row r="74" s="64" customFormat="1" spans="2:27">
      <c r="B74" s="1366">
        <f t="shared" si="3"/>
        <v>63</v>
      </c>
      <c r="C74" s="1366" t="s">
        <v>12162</v>
      </c>
      <c r="D74" s="2648">
        <v>1</v>
      </c>
      <c r="E74" s="1363">
        <v>0.25</v>
      </c>
      <c r="F74" s="1374">
        <v>42898</v>
      </c>
      <c r="G74" s="1366">
        <f t="shared" si="0"/>
        <v>4</v>
      </c>
      <c r="H74" s="29">
        <f t="shared" si="1"/>
        <v>48</v>
      </c>
      <c r="I74" s="1366">
        <v>10000000</v>
      </c>
      <c r="J74" s="1366">
        <v>0</v>
      </c>
      <c r="K74" s="1366">
        <f t="shared" si="4"/>
        <v>10000000</v>
      </c>
      <c r="L74" s="1366">
        <v>9375000</v>
      </c>
      <c r="M74" s="29">
        <v>625000</v>
      </c>
      <c r="N74" s="1366">
        <f t="shared" si="15"/>
        <v>10000000</v>
      </c>
      <c r="O74" s="1366">
        <f t="shared" si="16"/>
        <v>0</v>
      </c>
      <c r="P74"/>
      <c r="Q74"/>
      <c r="R74"/>
      <c r="T74" s="1366">
        <f t="shared" si="23"/>
        <v>55</v>
      </c>
      <c r="U74" s="1366">
        <f t="shared" si="23"/>
        <v>67</v>
      </c>
      <c r="V74" s="29">
        <f t="shared" si="17"/>
        <v>10000000</v>
      </c>
      <c r="W74" s="29">
        <f t="shared" si="18"/>
        <v>10000000</v>
      </c>
      <c r="X74" s="29">
        <f t="shared" si="19"/>
        <v>0</v>
      </c>
      <c r="Y74" s="29">
        <f t="shared" si="20"/>
        <v>0</v>
      </c>
      <c r="Z74" s="29">
        <f t="shared" si="21"/>
        <v>625000</v>
      </c>
      <c r="AA74" s="29">
        <f t="shared" si="22"/>
        <v>0</v>
      </c>
    </row>
    <row r="75" s="64" customFormat="1" spans="2:27">
      <c r="B75" s="1366">
        <f t="shared" si="3"/>
        <v>64</v>
      </c>
      <c r="C75" s="1366" t="s">
        <v>12163</v>
      </c>
      <c r="D75" s="2648">
        <v>1</v>
      </c>
      <c r="E75" s="1363">
        <v>0.25</v>
      </c>
      <c r="F75" s="1374">
        <v>43009</v>
      </c>
      <c r="G75" s="1366">
        <f t="shared" si="0"/>
        <v>4</v>
      </c>
      <c r="H75" s="29">
        <f t="shared" si="1"/>
        <v>48</v>
      </c>
      <c r="I75" s="1366">
        <v>27470000</v>
      </c>
      <c r="J75" s="1366">
        <v>0</v>
      </c>
      <c r="K75" s="1366">
        <f t="shared" si="4"/>
        <v>27470000</v>
      </c>
      <c r="L75" s="1366">
        <v>18885625</v>
      </c>
      <c r="M75" s="29">
        <v>6867500</v>
      </c>
      <c r="N75" s="1366">
        <f t="shared" si="15"/>
        <v>25753125</v>
      </c>
      <c r="O75" s="1366">
        <f t="shared" si="16"/>
        <v>1716875</v>
      </c>
      <c r="P75"/>
      <c r="Q75"/>
      <c r="R75"/>
      <c r="T75" s="1366">
        <f t="shared" si="23"/>
        <v>51</v>
      </c>
      <c r="U75" s="1366">
        <f t="shared" si="23"/>
        <v>63</v>
      </c>
      <c r="V75" s="29">
        <f t="shared" si="17"/>
        <v>27470000</v>
      </c>
      <c r="W75" s="29">
        <f t="shared" si="18"/>
        <v>27470000</v>
      </c>
      <c r="X75" s="29">
        <f t="shared" si="19"/>
        <v>0</v>
      </c>
      <c r="Y75" s="29">
        <f t="shared" si="20"/>
        <v>0</v>
      </c>
      <c r="Z75" s="29">
        <f t="shared" si="21"/>
        <v>6867500</v>
      </c>
      <c r="AA75" s="29">
        <f t="shared" si="22"/>
        <v>1716875</v>
      </c>
    </row>
    <row r="76" s="64" customFormat="1" spans="2:27">
      <c r="B76" s="1366">
        <f t="shared" si="3"/>
        <v>65</v>
      </c>
      <c r="C76" s="1366" t="s">
        <v>12164</v>
      </c>
      <c r="D76" s="2648">
        <v>1</v>
      </c>
      <c r="E76" s="1363">
        <v>0.25</v>
      </c>
      <c r="F76" s="1374">
        <v>43105</v>
      </c>
      <c r="G76" s="1366">
        <f t="shared" si="0"/>
        <v>4</v>
      </c>
      <c r="H76" s="29">
        <f t="shared" si="1"/>
        <v>48</v>
      </c>
      <c r="I76" s="1366">
        <v>3900000</v>
      </c>
      <c r="J76" s="1366">
        <v>0</v>
      </c>
      <c r="K76" s="1366">
        <f t="shared" si="4"/>
        <v>3900000</v>
      </c>
      <c r="L76" s="1366">
        <v>3900000</v>
      </c>
      <c r="M76" s="29">
        <v>0</v>
      </c>
      <c r="N76" s="1366">
        <f t="shared" si="15"/>
        <v>3900000</v>
      </c>
      <c r="O76" s="1366">
        <f t="shared" si="16"/>
        <v>0</v>
      </c>
      <c r="P76"/>
      <c r="Q76"/>
      <c r="R76"/>
      <c r="T76" s="1366">
        <f t="shared" si="23"/>
        <v>48</v>
      </c>
      <c r="U76" s="1366">
        <f t="shared" si="23"/>
        <v>60</v>
      </c>
      <c r="V76" s="29">
        <f t="shared" si="17"/>
        <v>3900000</v>
      </c>
      <c r="W76" s="29">
        <f t="shared" si="18"/>
        <v>3900000</v>
      </c>
      <c r="X76" s="29">
        <f t="shared" si="19"/>
        <v>0</v>
      </c>
      <c r="Y76" s="29">
        <f t="shared" si="20"/>
        <v>0</v>
      </c>
      <c r="Z76" s="29">
        <f t="shared" si="21"/>
        <v>0</v>
      </c>
      <c r="AA76" s="29">
        <f t="shared" si="22"/>
        <v>0</v>
      </c>
    </row>
    <row r="77" s="64" customFormat="1" spans="2:27">
      <c r="B77" s="1366">
        <f t="shared" si="3"/>
        <v>66</v>
      </c>
      <c r="C77" s="1366" t="s">
        <v>12165</v>
      </c>
      <c r="D77" s="2648">
        <v>1</v>
      </c>
      <c r="E77" s="1363">
        <v>0.25</v>
      </c>
      <c r="F77" s="1374">
        <v>43105</v>
      </c>
      <c r="G77" s="1366">
        <f t="shared" ref="G77:G93" si="24">100%/E77</f>
        <v>4</v>
      </c>
      <c r="H77" s="29">
        <f t="shared" ref="H77:H93" si="25">G77*12</f>
        <v>48</v>
      </c>
      <c r="I77" s="1366">
        <v>2000000</v>
      </c>
      <c r="J77" s="1366">
        <v>0</v>
      </c>
      <c r="K77" s="1366">
        <f t="shared" si="4"/>
        <v>2000000</v>
      </c>
      <c r="L77" s="1366">
        <v>2000000</v>
      </c>
      <c r="M77" s="29">
        <v>0</v>
      </c>
      <c r="N77" s="1366">
        <f t="shared" si="15"/>
        <v>2000000</v>
      </c>
      <c r="O77" s="1366">
        <f t="shared" si="16"/>
        <v>0</v>
      </c>
      <c r="P77"/>
      <c r="Q77"/>
      <c r="R77"/>
      <c r="T77" s="1366">
        <f t="shared" si="23"/>
        <v>48</v>
      </c>
      <c r="U77" s="1366">
        <f t="shared" si="23"/>
        <v>60</v>
      </c>
      <c r="V77" s="29">
        <f t="shared" si="17"/>
        <v>2000000</v>
      </c>
      <c r="W77" s="29">
        <f t="shared" si="18"/>
        <v>2000000</v>
      </c>
      <c r="X77" s="29">
        <f t="shared" si="19"/>
        <v>0</v>
      </c>
      <c r="Y77" s="29">
        <f t="shared" si="20"/>
        <v>0</v>
      </c>
      <c r="Z77" s="29">
        <f t="shared" si="21"/>
        <v>0</v>
      </c>
      <c r="AA77" s="29">
        <f t="shared" si="22"/>
        <v>0</v>
      </c>
    </row>
    <row r="78" s="64" customFormat="1" spans="2:27">
      <c r="B78" s="1366">
        <f t="shared" ref="B78:B93" si="26">+B77+1</f>
        <v>67</v>
      </c>
      <c r="C78" s="1366" t="s">
        <v>12166</v>
      </c>
      <c r="D78" s="2648">
        <v>1</v>
      </c>
      <c r="E78" s="1363">
        <v>0.25</v>
      </c>
      <c r="F78" s="1374">
        <v>43140</v>
      </c>
      <c r="G78" s="1366">
        <f t="shared" si="24"/>
        <v>4</v>
      </c>
      <c r="H78" s="29">
        <f t="shared" si="25"/>
        <v>48</v>
      </c>
      <c r="I78" s="1366">
        <v>9500000</v>
      </c>
      <c r="J78" s="1366">
        <v>0</v>
      </c>
      <c r="K78" s="1366">
        <f t="shared" ref="K78:K93" si="27">I78+J78</f>
        <v>9500000</v>
      </c>
      <c r="L78" s="1366">
        <v>9104166.66666667</v>
      </c>
      <c r="M78" s="29">
        <v>395833.333333334</v>
      </c>
      <c r="N78" s="1366">
        <f t="shared" si="15"/>
        <v>9500000</v>
      </c>
      <c r="O78" s="1366">
        <f t="shared" si="16"/>
        <v>0</v>
      </c>
      <c r="P78"/>
      <c r="Q78"/>
      <c r="R78"/>
      <c r="T78" s="1366">
        <f t="shared" si="23"/>
        <v>47</v>
      </c>
      <c r="U78" s="1366">
        <f t="shared" si="23"/>
        <v>59</v>
      </c>
      <c r="V78" s="29">
        <f t="shared" si="17"/>
        <v>9302083</v>
      </c>
      <c r="W78" s="29">
        <f t="shared" si="18"/>
        <v>9500000</v>
      </c>
      <c r="X78" s="29">
        <f t="shared" si="19"/>
        <v>197917</v>
      </c>
      <c r="Y78" s="29">
        <f t="shared" si="20"/>
        <v>0</v>
      </c>
      <c r="Z78" s="29">
        <f t="shared" si="21"/>
        <v>197916.333333334</v>
      </c>
      <c r="AA78" s="29">
        <f t="shared" si="22"/>
        <v>0</v>
      </c>
    </row>
    <row r="79" s="64" customFormat="1" spans="2:27">
      <c r="B79" s="1366">
        <f t="shared" si="26"/>
        <v>68</v>
      </c>
      <c r="C79" s="1366" t="s">
        <v>12167</v>
      </c>
      <c r="D79" s="2648">
        <v>2</v>
      </c>
      <c r="E79" s="1363">
        <v>0.25</v>
      </c>
      <c r="F79" s="1374">
        <v>43292</v>
      </c>
      <c r="G79" s="1366">
        <f t="shared" si="24"/>
        <v>4</v>
      </c>
      <c r="H79" s="29">
        <f t="shared" si="25"/>
        <v>48</v>
      </c>
      <c r="I79" s="1366">
        <v>13200000</v>
      </c>
      <c r="J79" s="1366">
        <v>0</v>
      </c>
      <c r="K79" s="1366">
        <f t="shared" si="27"/>
        <v>13200000</v>
      </c>
      <c r="L79" s="1366">
        <v>9900000</v>
      </c>
      <c r="M79" s="29">
        <v>3300000</v>
      </c>
      <c r="N79" s="1366">
        <f t="shared" si="15"/>
        <v>13200000</v>
      </c>
      <c r="O79" s="1366">
        <f t="shared" si="16"/>
        <v>0</v>
      </c>
      <c r="P79"/>
      <c r="Q79"/>
      <c r="R79"/>
      <c r="T79" s="1366">
        <f t="shared" si="23"/>
        <v>42</v>
      </c>
      <c r="U79" s="1366">
        <f t="shared" si="23"/>
        <v>54</v>
      </c>
      <c r="V79" s="29">
        <f t="shared" si="17"/>
        <v>11550000</v>
      </c>
      <c r="W79" s="29">
        <f t="shared" si="18"/>
        <v>13200000</v>
      </c>
      <c r="X79" s="29">
        <f t="shared" si="19"/>
        <v>1650000</v>
      </c>
      <c r="Y79" s="29">
        <f t="shared" si="20"/>
        <v>0</v>
      </c>
      <c r="Z79" s="29">
        <f t="shared" si="21"/>
        <v>1650000</v>
      </c>
      <c r="AA79" s="29">
        <f t="shared" si="22"/>
        <v>0</v>
      </c>
    </row>
    <row r="80" s="64" customFormat="1" spans="2:27">
      <c r="B80" s="1366">
        <f t="shared" si="26"/>
        <v>69</v>
      </c>
      <c r="C80" s="1366" t="s">
        <v>12168</v>
      </c>
      <c r="D80" s="2648">
        <v>1</v>
      </c>
      <c r="E80" s="1363">
        <v>0.25</v>
      </c>
      <c r="F80" s="1374">
        <v>43292</v>
      </c>
      <c r="G80" s="1366">
        <f t="shared" si="24"/>
        <v>4</v>
      </c>
      <c r="H80" s="29">
        <f t="shared" si="25"/>
        <v>48</v>
      </c>
      <c r="I80" s="1366">
        <v>2400000</v>
      </c>
      <c r="J80" s="1366">
        <v>0</v>
      </c>
      <c r="K80" s="1366">
        <f t="shared" si="27"/>
        <v>2400000</v>
      </c>
      <c r="L80" s="1366">
        <v>1800000</v>
      </c>
      <c r="M80" s="29">
        <v>600000</v>
      </c>
      <c r="N80" s="1366">
        <f t="shared" si="15"/>
        <v>2400000</v>
      </c>
      <c r="O80" s="1366">
        <f t="shared" si="16"/>
        <v>0</v>
      </c>
      <c r="P80"/>
      <c r="Q80"/>
      <c r="R80"/>
      <c r="T80" s="1366">
        <f t="shared" si="23"/>
        <v>42</v>
      </c>
      <c r="U80" s="1366">
        <f t="shared" si="23"/>
        <v>54</v>
      </c>
      <c r="V80" s="29">
        <f t="shared" si="17"/>
        <v>2100000</v>
      </c>
      <c r="W80" s="29">
        <f t="shared" si="18"/>
        <v>2400000</v>
      </c>
      <c r="X80" s="29">
        <f t="shared" si="19"/>
        <v>300000</v>
      </c>
      <c r="Y80" s="29">
        <f t="shared" si="20"/>
        <v>0</v>
      </c>
      <c r="Z80" s="29">
        <f t="shared" si="21"/>
        <v>300000</v>
      </c>
      <c r="AA80" s="29">
        <f t="shared" si="22"/>
        <v>0</v>
      </c>
    </row>
    <row r="81" s="64" customFormat="1" spans="2:27">
      <c r="B81" s="1366">
        <f t="shared" si="26"/>
        <v>70</v>
      </c>
      <c r="C81" s="1366" t="s">
        <v>12169</v>
      </c>
      <c r="D81" s="2648">
        <v>2</v>
      </c>
      <c r="E81" s="1363">
        <v>0.25</v>
      </c>
      <c r="F81" s="1374">
        <v>43319</v>
      </c>
      <c r="G81" s="1366">
        <f t="shared" si="24"/>
        <v>4</v>
      </c>
      <c r="H81" s="29">
        <f t="shared" si="25"/>
        <v>48</v>
      </c>
      <c r="I81" s="1366">
        <v>2500000</v>
      </c>
      <c r="J81" s="1366">
        <v>0</v>
      </c>
      <c r="K81" s="1366">
        <f t="shared" si="27"/>
        <v>2500000</v>
      </c>
      <c r="L81" s="1366">
        <v>1770833.33333333</v>
      </c>
      <c r="M81" s="29">
        <v>625000</v>
      </c>
      <c r="N81" s="1366">
        <f t="shared" si="15"/>
        <v>2395833.33333333</v>
      </c>
      <c r="O81" s="1366">
        <f t="shared" si="16"/>
        <v>104166.666666667</v>
      </c>
      <c r="P81"/>
      <c r="Q81"/>
      <c r="R81"/>
      <c r="T81" s="1366">
        <f t="shared" si="23"/>
        <v>41</v>
      </c>
      <c r="U81" s="1366">
        <f t="shared" si="23"/>
        <v>53</v>
      </c>
      <c r="V81" s="29">
        <f t="shared" si="17"/>
        <v>2135417</v>
      </c>
      <c r="W81" s="29">
        <f t="shared" si="18"/>
        <v>2500000</v>
      </c>
      <c r="X81" s="29">
        <f t="shared" si="19"/>
        <v>364583</v>
      </c>
      <c r="Y81" s="29">
        <f t="shared" si="20"/>
        <v>0</v>
      </c>
      <c r="Z81" s="29">
        <f t="shared" si="21"/>
        <v>260417</v>
      </c>
      <c r="AA81" s="29">
        <f t="shared" si="22"/>
        <v>104166.666666667</v>
      </c>
    </row>
    <row r="82" s="64" customFormat="1" spans="2:27">
      <c r="B82" s="1366">
        <f t="shared" si="26"/>
        <v>71</v>
      </c>
      <c r="C82" s="1366" t="s">
        <v>12170</v>
      </c>
      <c r="D82" s="2648">
        <v>1</v>
      </c>
      <c r="E82" s="1363">
        <v>0.25</v>
      </c>
      <c r="F82" s="1374">
        <v>43320</v>
      </c>
      <c r="G82" s="1366">
        <f t="shared" si="24"/>
        <v>4</v>
      </c>
      <c r="H82" s="29">
        <f t="shared" si="25"/>
        <v>48</v>
      </c>
      <c r="I82" s="2652">
        <v>35622500</v>
      </c>
      <c r="J82" s="1366">
        <v>0</v>
      </c>
      <c r="K82" s="1366">
        <f t="shared" si="27"/>
        <v>35622500</v>
      </c>
      <c r="L82" s="1366">
        <v>25232604.1666667</v>
      </c>
      <c r="M82" s="29">
        <v>8905625</v>
      </c>
      <c r="N82" s="1366">
        <f t="shared" si="15"/>
        <v>34138229.1666667</v>
      </c>
      <c r="O82" s="1366">
        <f t="shared" si="16"/>
        <v>1484270.83333334</v>
      </c>
      <c r="P82"/>
      <c r="Q82"/>
      <c r="R82"/>
      <c r="T82" s="1366">
        <f t="shared" si="23"/>
        <v>41</v>
      </c>
      <c r="U82" s="1366">
        <f t="shared" si="23"/>
        <v>53</v>
      </c>
      <c r="V82" s="29">
        <f t="shared" si="17"/>
        <v>30427552</v>
      </c>
      <c r="W82" s="29">
        <f t="shared" si="18"/>
        <v>35622500</v>
      </c>
      <c r="X82" s="29">
        <f t="shared" si="19"/>
        <v>5194948</v>
      </c>
      <c r="Y82" s="29">
        <f t="shared" si="20"/>
        <v>0</v>
      </c>
      <c r="Z82" s="29">
        <f t="shared" si="21"/>
        <v>3710677</v>
      </c>
      <c r="AA82" s="29">
        <f t="shared" si="22"/>
        <v>1484270.83333334</v>
      </c>
    </row>
    <row r="83" s="64" customFormat="1" spans="2:27">
      <c r="B83" s="1366">
        <f t="shared" si="26"/>
        <v>72</v>
      </c>
      <c r="C83" s="1366" t="s">
        <v>12171</v>
      </c>
      <c r="D83" s="2648">
        <v>1</v>
      </c>
      <c r="E83" s="1363">
        <v>0.25</v>
      </c>
      <c r="F83" s="1374">
        <v>43342</v>
      </c>
      <c r="G83" s="1366">
        <f t="shared" si="24"/>
        <v>4</v>
      </c>
      <c r="H83" s="29">
        <f t="shared" si="25"/>
        <v>48</v>
      </c>
      <c r="I83" s="1366">
        <v>7800000</v>
      </c>
      <c r="J83" s="1366">
        <v>0</v>
      </c>
      <c r="K83" s="1366">
        <f t="shared" si="27"/>
        <v>7800000</v>
      </c>
      <c r="L83" s="1366">
        <v>5525000</v>
      </c>
      <c r="M83" s="29">
        <v>1950000</v>
      </c>
      <c r="N83" s="1366">
        <f t="shared" si="15"/>
        <v>7475000</v>
      </c>
      <c r="O83" s="1366">
        <f t="shared" si="16"/>
        <v>325000</v>
      </c>
      <c r="P83"/>
      <c r="Q83"/>
      <c r="R83"/>
      <c r="T83" s="1366">
        <f t="shared" si="23"/>
        <v>40</v>
      </c>
      <c r="U83" s="1366">
        <f t="shared" si="23"/>
        <v>52</v>
      </c>
      <c r="V83" s="29">
        <f t="shared" si="17"/>
        <v>6500000</v>
      </c>
      <c r="W83" s="29">
        <f t="shared" si="18"/>
        <v>7800000</v>
      </c>
      <c r="X83" s="29">
        <f t="shared" si="19"/>
        <v>1300000</v>
      </c>
      <c r="Y83" s="29">
        <f t="shared" si="20"/>
        <v>0</v>
      </c>
      <c r="Z83" s="29">
        <f t="shared" si="21"/>
        <v>650000</v>
      </c>
      <c r="AA83" s="29">
        <f t="shared" si="22"/>
        <v>325000</v>
      </c>
    </row>
    <row r="84" s="64" customFormat="1" spans="2:27">
      <c r="B84" s="1366">
        <f t="shared" si="26"/>
        <v>73</v>
      </c>
      <c r="C84" s="1366" t="s">
        <v>12172</v>
      </c>
      <c r="D84" s="2648">
        <v>1</v>
      </c>
      <c r="E84" s="1363">
        <v>0.25</v>
      </c>
      <c r="F84" s="1374">
        <v>43368</v>
      </c>
      <c r="G84" s="1366">
        <f t="shared" si="24"/>
        <v>4</v>
      </c>
      <c r="H84" s="29">
        <f t="shared" si="25"/>
        <v>48</v>
      </c>
      <c r="I84" s="1366">
        <v>1178000</v>
      </c>
      <c r="J84" s="1366">
        <v>0</v>
      </c>
      <c r="K84" s="1366">
        <f t="shared" si="27"/>
        <v>1178000</v>
      </c>
      <c r="L84" s="1366">
        <v>785333.333333333</v>
      </c>
      <c r="M84" s="29">
        <v>294500</v>
      </c>
      <c r="N84" s="1366">
        <f t="shared" si="15"/>
        <v>1079833.33333333</v>
      </c>
      <c r="O84" s="1366">
        <f t="shared" si="16"/>
        <v>98166.6666666665</v>
      </c>
      <c r="P84"/>
      <c r="Q84"/>
      <c r="R84"/>
      <c r="T84" s="1366">
        <f t="shared" si="23"/>
        <v>39</v>
      </c>
      <c r="U84" s="1366">
        <f t="shared" si="23"/>
        <v>51</v>
      </c>
      <c r="V84" s="29">
        <f t="shared" si="17"/>
        <v>957125</v>
      </c>
      <c r="W84" s="29">
        <f t="shared" si="18"/>
        <v>1178000</v>
      </c>
      <c r="X84" s="29">
        <f t="shared" si="19"/>
        <v>220875</v>
      </c>
      <c r="Y84" s="29">
        <f t="shared" si="20"/>
        <v>0</v>
      </c>
      <c r="Z84" s="29">
        <f t="shared" si="21"/>
        <v>73625</v>
      </c>
      <c r="AA84" s="29">
        <f t="shared" si="22"/>
        <v>98166.6666666665</v>
      </c>
    </row>
    <row r="85" s="64" customFormat="1" spans="2:27">
      <c r="B85" s="1366">
        <f t="shared" si="26"/>
        <v>74</v>
      </c>
      <c r="C85" s="1366" t="s">
        <v>12173</v>
      </c>
      <c r="D85" s="2648">
        <v>4</v>
      </c>
      <c r="E85" s="1363">
        <v>0.25</v>
      </c>
      <c r="F85" s="1374">
        <v>43427</v>
      </c>
      <c r="G85" s="1366">
        <f t="shared" si="24"/>
        <v>4</v>
      </c>
      <c r="H85" s="29">
        <f t="shared" si="25"/>
        <v>48</v>
      </c>
      <c r="I85" s="2652">
        <v>13200000</v>
      </c>
      <c r="J85" s="1366">
        <v>0</v>
      </c>
      <c r="K85" s="1366">
        <f t="shared" si="27"/>
        <v>13200000</v>
      </c>
      <c r="L85" s="1366">
        <v>7700000</v>
      </c>
      <c r="M85" s="29">
        <v>3300000</v>
      </c>
      <c r="N85" s="1366">
        <f t="shared" si="15"/>
        <v>11000000</v>
      </c>
      <c r="O85" s="1366">
        <f t="shared" si="16"/>
        <v>2200000</v>
      </c>
      <c r="P85"/>
      <c r="Q85"/>
      <c r="R85"/>
      <c r="T85" s="1366">
        <f t="shared" si="23"/>
        <v>37</v>
      </c>
      <c r="U85" s="1366">
        <f t="shared" si="23"/>
        <v>49</v>
      </c>
      <c r="V85" s="29">
        <f t="shared" si="17"/>
        <v>10175000</v>
      </c>
      <c r="W85" s="29">
        <f t="shared" si="18"/>
        <v>13200000</v>
      </c>
      <c r="X85" s="29">
        <f t="shared" si="19"/>
        <v>3025000</v>
      </c>
      <c r="Y85" s="29">
        <f t="shared" si="20"/>
        <v>0</v>
      </c>
      <c r="Z85" s="29">
        <f t="shared" si="21"/>
        <v>275000</v>
      </c>
      <c r="AA85" s="29">
        <f t="shared" si="22"/>
        <v>2200000</v>
      </c>
    </row>
    <row r="86" s="64" customFormat="1" spans="2:27">
      <c r="B86" s="1366">
        <f t="shared" si="26"/>
        <v>75</v>
      </c>
      <c r="C86" s="1366" t="s">
        <v>12174</v>
      </c>
      <c r="D86" s="2648">
        <v>1</v>
      </c>
      <c r="E86" s="1363">
        <v>0.125</v>
      </c>
      <c r="F86" s="1374">
        <v>43535</v>
      </c>
      <c r="G86" s="1366">
        <f t="shared" si="24"/>
        <v>8</v>
      </c>
      <c r="H86" s="29">
        <f t="shared" si="25"/>
        <v>96</v>
      </c>
      <c r="I86" s="1366">
        <v>2700000</v>
      </c>
      <c r="J86" s="1366">
        <v>0</v>
      </c>
      <c r="K86" s="1366">
        <f t="shared" si="27"/>
        <v>2700000</v>
      </c>
      <c r="L86" s="1366">
        <v>956250</v>
      </c>
      <c r="M86" s="29">
        <v>337500</v>
      </c>
      <c r="N86" s="1366">
        <f t="shared" si="15"/>
        <v>1293750</v>
      </c>
      <c r="O86" s="1366">
        <f t="shared" si="16"/>
        <v>1406250</v>
      </c>
      <c r="P86"/>
      <c r="Q86"/>
      <c r="R86"/>
      <c r="T86" s="1366">
        <f t="shared" si="23"/>
        <v>34</v>
      </c>
      <c r="U86" s="1366">
        <f t="shared" si="23"/>
        <v>46</v>
      </c>
      <c r="V86" s="29">
        <f t="shared" si="17"/>
        <v>956250</v>
      </c>
      <c r="W86" s="29">
        <f t="shared" si="18"/>
        <v>1293750</v>
      </c>
      <c r="X86" s="29">
        <f t="shared" si="19"/>
        <v>337500</v>
      </c>
      <c r="Y86" s="29">
        <f t="shared" si="20"/>
        <v>1406250</v>
      </c>
      <c r="Z86" s="29">
        <f t="shared" si="21"/>
        <v>0</v>
      </c>
      <c r="AA86" s="29">
        <f t="shared" si="22"/>
        <v>0</v>
      </c>
    </row>
    <row r="87" s="64" customFormat="1" spans="2:27">
      <c r="B87" s="1366">
        <f t="shared" si="26"/>
        <v>76</v>
      </c>
      <c r="C87" s="1366" t="s">
        <v>12175</v>
      </c>
      <c r="D87" s="2648">
        <v>1</v>
      </c>
      <c r="E87" s="1363">
        <v>0.25</v>
      </c>
      <c r="F87" s="1374">
        <v>43606</v>
      </c>
      <c r="G87" s="1366">
        <f t="shared" si="24"/>
        <v>4</v>
      </c>
      <c r="H87" s="29">
        <f t="shared" si="25"/>
        <v>48</v>
      </c>
      <c r="I87" s="1366">
        <v>3513000</v>
      </c>
      <c r="J87" s="1366">
        <v>0</v>
      </c>
      <c r="K87" s="1366">
        <f t="shared" si="27"/>
        <v>3513000</v>
      </c>
      <c r="L87" s="1366">
        <v>2342000</v>
      </c>
      <c r="M87" s="29">
        <v>878250</v>
      </c>
      <c r="N87" s="1366">
        <f t="shared" si="15"/>
        <v>3220250</v>
      </c>
      <c r="O87" s="1366">
        <f t="shared" si="16"/>
        <v>292750</v>
      </c>
      <c r="P87"/>
      <c r="Q87"/>
      <c r="R87"/>
      <c r="T87" s="1366">
        <f t="shared" si="23"/>
        <v>31</v>
      </c>
      <c r="U87" s="1366">
        <f t="shared" si="23"/>
        <v>43</v>
      </c>
      <c r="V87" s="29">
        <f t="shared" si="17"/>
        <v>2268813</v>
      </c>
      <c r="W87" s="29">
        <f t="shared" si="18"/>
        <v>3147063</v>
      </c>
      <c r="X87" s="29">
        <f t="shared" si="19"/>
        <v>878250</v>
      </c>
      <c r="Y87" s="29">
        <f t="shared" si="20"/>
        <v>365937</v>
      </c>
      <c r="Z87" s="29">
        <f t="shared" si="21"/>
        <v>0</v>
      </c>
      <c r="AA87" s="29">
        <f t="shared" si="22"/>
        <v>-73187</v>
      </c>
    </row>
    <row r="88" s="64" customFormat="1" spans="2:27">
      <c r="B88" s="1366">
        <f t="shared" si="26"/>
        <v>77</v>
      </c>
      <c r="C88" s="1366" t="s">
        <v>12176</v>
      </c>
      <c r="D88" s="2648">
        <v>1</v>
      </c>
      <c r="E88" s="1363">
        <v>0.25</v>
      </c>
      <c r="F88" s="1374">
        <v>43606</v>
      </c>
      <c r="G88" s="1366">
        <f t="shared" si="24"/>
        <v>4</v>
      </c>
      <c r="H88" s="29">
        <f t="shared" si="25"/>
        <v>48</v>
      </c>
      <c r="I88" s="1366">
        <v>2700000</v>
      </c>
      <c r="J88" s="1366">
        <v>0</v>
      </c>
      <c r="K88" s="1366">
        <f t="shared" si="27"/>
        <v>2700000</v>
      </c>
      <c r="L88" s="1366">
        <v>1800000</v>
      </c>
      <c r="M88" s="29">
        <v>675000</v>
      </c>
      <c r="N88" s="1366">
        <f t="shared" si="15"/>
        <v>2475000</v>
      </c>
      <c r="O88" s="1366">
        <f t="shared" si="16"/>
        <v>225000</v>
      </c>
      <c r="P88"/>
      <c r="Q88"/>
      <c r="R88"/>
      <c r="T88" s="1366">
        <f t="shared" si="23"/>
        <v>31</v>
      </c>
      <c r="U88" s="1366">
        <f t="shared" si="23"/>
        <v>43</v>
      </c>
      <c r="V88" s="29">
        <f t="shared" si="17"/>
        <v>1743750</v>
      </c>
      <c r="W88" s="29">
        <f t="shared" si="18"/>
        <v>2418750</v>
      </c>
      <c r="X88" s="29">
        <f t="shared" si="19"/>
        <v>675000</v>
      </c>
      <c r="Y88" s="29">
        <f t="shared" si="20"/>
        <v>281250</v>
      </c>
      <c r="Z88" s="29">
        <f t="shared" si="21"/>
        <v>0</v>
      </c>
      <c r="AA88" s="29">
        <f t="shared" si="22"/>
        <v>-56250</v>
      </c>
    </row>
    <row r="89" s="64" customFormat="1" spans="2:27">
      <c r="B89" s="1366">
        <f t="shared" si="26"/>
        <v>78</v>
      </c>
      <c r="C89" s="1366" t="s">
        <v>12177</v>
      </c>
      <c r="D89" s="2648">
        <v>1</v>
      </c>
      <c r="E89" s="1363">
        <v>0.25</v>
      </c>
      <c r="F89" s="1374">
        <v>43663</v>
      </c>
      <c r="G89" s="1366">
        <f t="shared" si="24"/>
        <v>4</v>
      </c>
      <c r="H89" s="29">
        <f t="shared" si="25"/>
        <v>48</v>
      </c>
      <c r="I89" s="1366">
        <v>8300000</v>
      </c>
      <c r="J89" s="1366">
        <v>0</v>
      </c>
      <c r="K89" s="1366">
        <f t="shared" si="27"/>
        <v>8300000</v>
      </c>
      <c r="L89" s="1366">
        <v>5187500</v>
      </c>
      <c r="M89" s="29">
        <v>2075000</v>
      </c>
      <c r="N89" s="1366">
        <f t="shared" si="15"/>
        <v>7262500</v>
      </c>
      <c r="O89" s="1366">
        <f t="shared" si="16"/>
        <v>1037500</v>
      </c>
      <c r="P89"/>
      <c r="Q89"/>
      <c r="R89"/>
      <c r="T89" s="1366">
        <f t="shared" si="23"/>
        <v>29</v>
      </c>
      <c r="U89" s="1366">
        <f t="shared" si="23"/>
        <v>41</v>
      </c>
      <c r="V89" s="29">
        <f t="shared" si="17"/>
        <v>5014583</v>
      </c>
      <c r="W89" s="29">
        <f t="shared" si="18"/>
        <v>7089583</v>
      </c>
      <c r="X89" s="29">
        <f t="shared" si="19"/>
        <v>2075000</v>
      </c>
      <c r="Y89" s="29">
        <f t="shared" si="20"/>
        <v>1210417</v>
      </c>
      <c r="Z89" s="29">
        <f t="shared" si="21"/>
        <v>0</v>
      </c>
      <c r="AA89" s="29">
        <f t="shared" si="22"/>
        <v>-172917</v>
      </c>
    </row>
    <row r="90" s="64" customFormat="1" spans="2:27">
      <c r="B90" s="1366">
        <f t="shared" si="26"/>
        <v>79</v>
      </c>
      <c r="C90" s="1366" t="s">
        <v>12178</v>
      </c>
      <c r="D90" s="2648">
        <v>1</v>
      </c>
      <c r="E90" s="1363">
        <v>0.25</v>
      </c>
      <c r="F90" s="1374">
        <v>43731</v>
      </c>
      <c r="G90" s="1366">
        <f t="shared" si="24"/>
        <v>4</v>
      </c>
      <c r="H90" s="29">
        <f t="shared" si="25"/>
        <v>48</v>
      </c>
      <c r="I90" s="1366">
        <v>2800000</v>
      </c>
      <c r="J90" s="1366">
        <v>0</v>
      </c>
      <c r="K90" s="1366">
        <f t="shared" si="27"/>
        <v>2800000</v>
      </c>
      <c r="L90" s="1366">
        <v>1633333.33333333</v>
      </c>
      <c r="M90" s="29">
        <v>700000</v>
      </c>
      <c r="N90" s="1366">
        <f>L90+M90</f>
        <v>2333333.33333333</v>
      </c>
      <c r="O90" s="1366">
        <f>K90-N90</f>
        <v>466666.666666667</v>
      </c>
      <c r="P90"/>
      <c r="Q90"/>
      <c r="R90"/>
      <c r="T90" s="1366">
        <f t="shared" si="23"/>
        <v>27</v>
      </c>
      <c r="U90" s="1366">
        <f t="shared" si="23"/>
        <v>39</v>
      </c>
      <c r="V90" s="29">
        <f t="shared" ref="V90:W93" si="28">ROUND(IF(T90&gt;$H90,$K90,($K90/$H90*T90)),0)</f>
        <v>1575000</v>
      </c>
      <c r="W90" s="29">
        <f t="shared" si="28"/>
        <v>2275000</v>
      </c>
      <c r="X90" s="29">
        <f>W90-V90</f>
        <v>700000</v>
      </c>
      <c r="Y90" s="29">
        <f>K90-W90</f>
        <v>525000</v>
      </c>
      <c r="Z90" s="29">
        <f>+M90-X90</f>
        <v>0</v>
      </c>
      <c r="AA90" s="29">
        <f>+O90-Y90</f>
        <v>-58333.3333333335</v>
      </c>
    </row>
    <row r="91" s="64" customFormat="1" spans="2:27">
      <c r="B91" s="1366">
        <f t="shared" si="26"/>
        <v>80</v>
      </c>
      <c r="C91" s="1366" t="s">
        <v>12179</v>
      </c>
      <c r="D91" s="2648">
        <v>1</v>
      </c>
      <c r="E91" s="1363">
        <v>0.25</v>
      </c>
      <c r="F91" s="1374">
        <v>43818</v>
      </c>
      <c r="G91" s="1366">
        <f t="shared" si="24"/>
        <v>4</v>
      </c>
      <c r="H91" s="29">
        <f t="shared" si="25"/>
        <v>48</v>
      </c>
      <c r="I91" s="1366">
        <v>1341500</v>
      </c>
      <c r="J91" s="1366">
        <v>0</v>
      </c>
      <c r="K91" s="1366">
        <f t="shared" si="27"/>
        <v>1341500</v>
      </c>
      <c r="L91" s="1366">
        <v>698697.916666667</v>
      </c>
      <c r="M91" s="29">
        <v>335375</v>
      </c>
      <c r="N91" s="1366">
        <f>L91+M91</f>
        <v>1034072.91666667</v>
      </c>
      <c r="O91" s="1366">
        <f>K91-N91</f>
        <v>307427.083333333</v>
      </c>
      <c r="P91"/>
      <c r="Q91"/>
      <c r="R91"/>
      <c r="T91" s="1366">
        <f t="shared" si="23"/>
        <v>24</v>
      </c>
      <c r="U91" s="1366">
        <f t="shared" si="23"/>
        <v>36</v>
      </c>
      <c r="V91" s="29">
        <f t="shared" si="28"/>
        <v>670750</v>
      </c>
      <c r="W91" s="29">
        <f t="shared" si="28"/>
        <v>1006125</v>
      </c>
      <c r="X91" s="29">
        <f>W91-V91</f>
        <v>335375</v>
      </c>
      <c r="Y91" s="29">
        <f>K91-W91</f>
        <v>335375</v>
      </c>
      <c r="Z91" s="29">
        <f>+M91-X91</f>
        <v>0</v>
      </c>
      <c r="AA91" s="29">
        <f>+O91-Y91</f>
        <v>-27947.9166666667</v>
      </c>
    </row>
    <row r="92" s="64" customFormat="1" spans="2:27">
      <c r="B92" s="1366">
        <f t="shared" si="26"/>
        <v>81</v>
      </c>
      <c r="C92" s="1366" t="s">
        <v>12180</v>
      </c>
      <c r="D92" s="2648">
        <v>1</v>
      </c>
      <c r="E92" s="1363">
        <v>0.25</v>
      </c>
      <c r="F92" s="1374">
        <v>44140</v>
      </c>
      <c r="G92" s="1366">
        <f t="shared" si="24"/>
        <v>4</v>
      </c>
      <c r="H92" s="29">
        <f t="shared" si="25"/>
        <v>48</v>
      </c>
      <c r="I92" s="1366">
        <v>1600000</v>
      </c>
      <c r="J92" s="1366">
        <v>0</v>
      </c>
      <c r="K92" s="1366">
        <f t="shared" si="27"/>
        <v>1600000</v>
      </c>
      <c r="L92" s="1366">
        <v>466666.666666667</v>
      </c>
      <c r="M92" s="29">
        <v>400000</v>
      </c>
      <c r="N92" s="1366">
        <f>L92+M92</f>
        <v>866666.666666667</v>
      </c>
      <c r="O92" s="1366">
        <f>K92-N92</f>
        <v>733333.333333333</v>
      </c>
      <c r="P92"/>
      <c r="Q92"/>
      <c r="R92"/>
      <c r="T92" s="1366">
        <f t="shared" si="23"/>
        <v>14</v>
      </c>
      <c r="U92" s="1366">
        <f t="shared" si="23"/>
        <v>26</v>
      </c>
      <c r="V92" s="29">
        <f t="shared" si="28"/>
        <v>466667</v>
      </c>
      <c r="W92" s="29">
        <f t="shared" si="28"/>
        <v>866667</v>
      </c>
      <c r="X92" s="29">
        <f>W92-V92</f>
        <v>400000</v>
      </c>
      <c r="Y92" s="29">
        <f>K92-W92</f>
        <v>733333</v>
      </c>
      <c r="Z92" s="29">
        <f>+M92-X92</f>
        <v>0</v>
      </c>
      <c r="AA92" s="29">
        <f>+O92-Y92</f>
        <v>0.333333333255723</v>
      </c>
    </row>
    <row r="93" s="64" customFormat="1" spans="2:27">
      <c r="B93" s="1366">
        <f t="shared" si="26"/>
        <v>82</v>
      </c>
      <c r="C93" s="1366" t="s">
        <v>12181</v>
      </c>
      <c r="D93" s="2648">
        <v>1</v>
      </c>
      <c r="E93" s="1363">
        <v>0.25</v>
      </c>
      <c r="F93" s="1374">
        <v>44363</v>
      </c>
      <c r="G93" s="1366">
        <f t="shared" si="24"/>
        <v>4</v>
      </c>
      <c r="H93" s="29">
        <f t="shared" si="25"/>
        <v>48</v>
      </c>
      <c r="I93" s="1366">
        <v>3225000</v>
      </c>
      <c r="J93" s="1366">
        <v>0</v>
      </c>
      <c r="K93" s="1366">
        <f t="shared" si="27"/>
        <v>3225000</v>
      </c>
      <c r="L93" s="1366">
        <v>470312.5</v>
      </c>
      <c r="M93" s="29">
        <v>470312.5</v>
      </c>
      <c r="N93" s="1366">
        <f>L93+M93</f>
        <v>940625</v>
      </c>
      <c r="O93" s="1366">
        <f>K93-N93</f>
        <v>2284375</v>
      </c>
      <c r="P93"/>
      <c r="Q93"/>
      <c r="R93"/>
      <c r="T93" s="1366">
        <f>IF(DAY($F93)&lt;=15,((YEAR(T$10)-YEAR($F93))*12+MONTH(T$10)-MONTH($F93))+1,((YEAR(T$10)-YEAR($F93))*12+MONTH(T$10)-MONTH($F93)))</f>
        <v>6</v>
      </c>
      <c r="U93" s="1366">
        <f>IF(DAY($F93)&lt;=15,((YEAR(U$10)-YEAR($F93))*12+MONTH(U$10)-MONTH($F93))+1,((YEAR(U$10)-YEAR($F93))*12+MONTH(U$10)-MONTH($F93)))</f>
        <v>18</v>
      </c>
      <c r="V93" s="29">
        <f t="shared" si="28"/>
        <v>403125</v>
      </c>
      <c r="W93" s="29">
        <f t="shared" si="28"/>
        <v>1209375</v>
      </c>
      <c r="X93" s="29">
        <f>W93-V93</f>
        <v>806250</v>
      </c>
      <c r="Y93" s="29">
        <f>K93-W93</f>
        <v>2015625</v>
      </c>
      <c r="Z93" s="29">
        <f>+M93-X93</f>
        <v>-335937.5</v>
      </c>
      <c r="AA93" s="29">
        <f>+O93-Y93</f>
        <v>268750</v>
      </c>
    </row>
    <row r="94" s="64" customFormat="1" spans="2:27">
      <c r="B94" s="1366"/>
      <c r="C94" s="1366">
        <v>0</v>
      </c>
      <c r="D94" s="1363"/>
      <c r="E94" s="1363"/>
      <c r="F94"/>
      <c r="G94" s="1366"/>
      <c r="H94" s="1366"/>
      <c r="I94" s="1366"/>
      <c r="J94" s="1366"/>
      <c r="K94" s="1366"/>
      <c r="L94" s="1366"/>
      <c r="M94" s="1366"/>
      <c r="N94" s="1366"/>
      <c r="O94" s="1366"/>
      <c r="P94" s="2644"/>
      <c r="Q94"/>
      <c r="R94"/>
      <c r="T94" s="1366">
        <v>0</v>
      </c>
      <c r="U94" s="1366"/>
      <c r="V94" s="1366"/>
      <c r="W94" s="1366"/>
      <c r="X94" s="1366"/>
      <c r="Y94" s="1366"/>
      <c r="Z94" s="1366"/>
      <c r="AA94" s="1366"/>
    </row>
    <row r="95" s="64" customFormat="1" ht="12" spans="2:27">
      <c r="B95" s="2659"/>
      <c r="C95" s="2659"/>
      <c r="D95" s="2660"/>
      <c r="E95" s="2660"/>
      <c r="F95" s="2659"/>
      <c r="G95" s="2659"/>
      <c r="H95" s="1366"/>
      <c r="I95" s="754">
        <f t="shared" ref="I95:O95" si="29">SUM(I12:I94)</f>
        <v>418436400</v>
      </c>
      <c r="J95" s="754">
        <f t="shared" si="29"/>
        <v>0</v>
      </c>
      <c r="K95" s="754">
        <f t="shared" si="29"/>
        <v>418436400</v>
      </c>
      <c r="L95" s="754">
        <f t="shared" si="29"/>
        <v>369552206.25</v>
      </c>
      <c r="M95" s="754">
        <f t="shared" si="29"/>
        <v>34652745.8333333</v>
      </c>
      <c r="N95" s="754">
        <f t="shared" si="29"/>
        <v>404204952.083333</v>
      </c>
      <c r="O95" s="754">
        <f t="shared" si="29"/>
        <v>14231447.9166667</v>
      </c>
      <c r="P95">
        <f>SUM(P12:P13)</f>
        <v>159375</v>
      </c>
      <c r="Q95">
        <f>SUM(Q12:Q13)</f>
        <v>1875000</v>
      </c>
      <c r="R95">
        <f>SUM(R12:R13)</f>
        <v>-1875000</v>
      </c>
      <c r="T95" s="1366" t="s">
        <v>171</v>
      </c>
      <c r="U95" s="1366" t="s">
        <v>171</v>
      </c>
      <c r="V95" s="29">
        <f t="shared" ref="V95:AA95" si="30">SUM(V12:V94)</f>
        <v>391878556</v>
      </c>
      <c r="W95" s="29">
        <f t="shared" si="30"/>
        <v>411143421</v>
      </c>
      <c r="X95" s="29">
        <f t="shared" si="30"/>
        <v>19264865</v>
      </c>
      <c r="Y95" s="29">
        <f t="shared" si="30"/>
        <v>7292979</v>
      </c>
      <c r="Z95" s="29">
        <f t="shared" si="30"/>
        <v>15387880.8333333</v>
      </c>
      <c r="AA95" s="29">
        <f t="shared" si="30"/>
        <v>6938468.91666667</v>
      </c>
    </row>
    <row r="96" s="64" customFormat="1" spans="2:17">
      <c r="B96" t="s">
        <v>12182</v>
      </c>
      <c r="C96" s="2635"/>
      <c r="D96" s="2636"/>
      <c r="E96" s="724"/>
      <c r="Q96" s="64">
        <f>Q95-M95</f>
        <v>-32777745.8333333</v>
      </c>
    </row>
    <row r="97" s="64" customFormat="1" spans="2:5">
      <c r="B97"/>
      <c r="C97" s="2635"/>
      <c r="D97" s="2636"/>
      <c r="E97" s="724"/>
    </row>
    <row r="98" s="64" customFormat="1" spans="2:25">
      <c r="B98" s="64" t="s">
        <v>11930</v>
      </c>
      <c r="C98" s="2635"/>
      <c r="D98" s="2636"/>
      <c r="E98" s="724"/>
      <c r="I98" s="64">
        <f>+UV!O17</f>
        <v>418436400</v>
      </c>
      <c r="J98" s="64">
        <f>+UV!P17</f>
        <v>0</v>
      </c>
      <c r="K98" s="64">
        <f>+I98+J98</f>
        <v>418436400</v>
      </c>
      <c r="L98" s="64">
        <f>+UV!O29</f>
        <v>369552206.25</v>
      </c>
      <c r="M98" s="64">
        <f>+UV!P29</f>
        <v>34652745.8333333</v>
      </c>
      <c r="N98" s="64">
        <f>L98+M98</f>
        <v>404204952.083333</v>
      </c>
      <c r="O98" s="64">
        <f>K98-N98</f>
        <v>14231447.9166666</v>
      </c>
      <c r="T98" s="64" t="s">
        <v>11960</v>
      </c>
      <c r="V98" s="64">
        <f>+L95</f>
        <v>369552206.25</v>
      </c>
      <c r="W98" s="64">
        <f>+N95</f>
        <v>404204952.083333</v>
      </c>
      <c r="X98" s="64">
        <f>M95</f>
        <v>34652745.8333333</v>
      </c>
      <c r="Y98" s="64">
        <f>O95</f>
        <v>14231447.9166667</v>
      </c>
    </row>
    <row r="99" s="781" customFormat="1" spans="2:25">
      <c r="B99" s="781" t="s">
        <v>146</v>
      </c>
      <c r="C99"/>
      <c r="D99" t="s">
        <v>12007</v>
      </c>
      <c r="E99"/>
      <c r="I99" s="781">
        <f t="shared" ref="I99:O99" si="31">I95-I98</f>
        <v>0</v>
      </c>
      <c r="J99" s="781">
        <f t="shared" si="31"/>
        <v>0</v>
      </c>
      <c r="K99" s="781">
        <f t="shared" si="31"/>
        <v>0</v>
      </c>
      <c r="L99" s="781">
        <f t="shared" si="31"/>
        <v>0</v>
      </c>
      <c r="M99" s="781">
        <f t="shared" si="31"/>
        <v>0</v>
      </c>
      <c r="N99" s="781">
        <f t="shared" si="31"/>
        <v>0</v>
      </c>
      <c r="O99" s="781">
        <f t="shared" si="31"/>
        <v>4.2840838432312e-8</v>
      </c>
      <c r="T99" s="781" t="s">
        <v>10090</v>
      </c>
      <c r="V99" s="781">
        <f>V95-V98</f>
        <v>22326349.7499999</v>
      </c>
      <c r="W99" s="781">
        <f>W95-W98</f>
        <v>6938468.91666663</v>
      </c>
      <c r="X99" s="781">
        <f>X95-X98</f>
        <v>-15387880.8333333</v>
      </c>
      <c r="Y99" s="781">
        <f>Y95-Y98</f>
        <v>-6938468.91666667</v>
      </c>
    </row>
    <row r="100" s="64" customFormat="1" spans="3:5">
      <c r="C100" s="2635"/>
      <c r="D100" s="2636"/>
      <c r="E100" s="724"/>
    </row>
    <row r="102" customFormat="1" spans="3:5">
      <c r="C102" s="2623"/>
      <c r="D102" s="2542"/>
      <c r="E102" s="724"/>
    </row>
    <row r="103" customFormat="1" spans="3:5">
      <c r="C103" s="2623"/>
      <c r="D103" s="2542"/>
      <c r="E103" s="724"/>
    </row>
    <row r="104" customFormat="1" spans="3:5">
      <c r="C104" s="2623"/>
      <c r="D104" s="2542"/>
      <c r="E104" s="724"/>
    </row>
    <row r="105" customFormat="1" spans="2:5">
      <c r="B105" t="s">
        <v>12183</v>
      </c>
      <c r="C105" s="2623"/>
      <c r="D105" s="2542"/>
      <c r="E105" s="724"/>
    </row>
    <row r="106" customFormat="1" spans="2:5">
      <c r="B106" t="s">
        <v>12184</v>
      </c>
      <c r="C106" s="2623"/>
      <c r="D106" s="2542"/>
      <c r="E106" s="724"/>
    </row>
    <row r="107" customFormat="1" spans="2:5">
      <c r="B107" t="s">
        <v>12185</v>
      </c>
      <c r="C107" s="2623"/>
      <c r="D107" s="2542"/>
      <c r="E107" s="724"/>
    </row>
    <row r="108" customFormat="1" spans="3:5">
      <c r="C108" s="2623"/>
      <c r="D108" s="2542"/>
      <c r="E108" s="724"/>
    </row>
    <row r="109" customFormat="1" spans="3:5">
      <c r="C109" s="2623"/>
      <c r="D109" s="2542"/>
      <c r="E109" s="724"/>
    </row>
    <row r="111" ht="12" spans="2:5">
      <c r="B111" s="2661" t="s">
        <v>11981</v>
      </c>
      <c r="D111" s="2662"/>
      <c r="E111" s="2479"/>
    </row>
    <row r="112" spans="3:5">
      <c r="C112" t="s">
        <v>11982</v>
      </c>
      <c r="D112" s="2662"/>
      <c r="E112" s="2479"/>
    </row>
    <row r="113" spans="3:9">
      <c r="C113" t="s">
        <v>11983</v>
      </c>
      <c r="D113" s="2662">
        <v>20</v>
      </c>
      <c r="E113" s="2479"/>
      <c r="I113">
        <f>'20'!L16</f>
        <v>155956751</v>
      </c>
    </row>
    <row r="114" spans="3:9">
      <c r="C114" t="s">
        <v>11984</v>
      </c>
      <c r="D114" s="5135" t="s">
        <v>11985</v>
      </c>
      <c r="E114" s="2479"/>
      <c r="I114">
        <v>0</v>
      </c>
    </row>
    <row r="115" spans="3:9">
      <c r="C115" t="s">
        <v>11986</v>
      </c>
      <c r="D115" s="5135" t="s">
        <v>11987</v>
      </c>
      <c r="E115" s="2479"/>
      <c r="I115">
        <v>0</v>
      </c>
    </row>
    <row r="116" spans="3:9">
      <c r="C116" t="s">
        <v>151</v>
      </c>
      <c r="D116" s="2662"/>
      <c r="E116" s="2479"/>
      <c r="I116" s="1093">
        <f>SUM(I113:I114)</f>
        <v>155956751</v>
      </c>
    </row>
    <row r="117" spans="3:9">
      <c r="C117" t="s">
        <v>11988</v>
      </c>
      <c r="D117" s="2662"/>
      <c r="E117" s="2479"/>
      <c r="I117">
        <f>+M98</f>
        <v>34652745.8333333</v>
      </c>
    </row>
    <row r="118" spans="3:9">
      <c r="C118" t="s">
        <v>11989</v>
      </c>
      <c r="D118" s="2662"/>
      <c r="E118" s="2479"/>
      <c r="I118" s="1093">
        <f>I116-I117</f>
        <v>121304005.166667</v>
      </c>
    </row>
    <row r="125" spans="2:2">
      <c r="B125" t="str">
        <f>'F2'!C17</f>
        <v>Utang lain-lain</v>
      </c>
    </row>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sheetData>
  <mergeCells count="5">
    <mergeCell ref="T8:AA8"/>
    <mergeCell ref="G9:H9"/>
    <mergeCell ref="P9:R9"/>
    <mergeCell ref="T9:U9"/>
    <mergeCell ref="V9:W9"/>
  </mergeCells>
  <pageMargins left="0.708661417322835" right="0.708661417322835" top="0.748031496062992" bottom="0.354330708661417" header="0.31496062992126" footer="0.31496062992126"/>
  <pageSetup paperSize="9" scale="80" orientation="landscape"/>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6">
    <pageSetUpPr fitToPage="1"/>
  </sheetPr>
  <dimension ref="B1:V295"/>
  <sheetViews>
    <sheetView showGridLines="0" workbookViewId="0">
      <pane xSplit="3" ySplit="11" topLeftCell="D12" activePane="bottomRight" state="frozen"/>
      <selection/>
      <selection pane="topRight"/>
      <selection pane="bottomLeft"/>
      <selection pane="bottomRight" activeCell="C42" sqref="C42"/>
    </sheetView>
  </sheetViews>
  <sheetFormatPr defaultColWidth="9.13541666666667" defaultRowHeight="13.2"/>
  <cols>
    <col min="1" max="1" width="2.25" style="186" customWidth="1"/>
    <col min="2" max="2" width="5.23958333333333" style="186" customWidth="1"/>
    <col min="3" max="3" width="31.46875" style="186" customWidth="1"/>
    <col min="4" max="4" width="4.79166666666667" style="186" customWidth="1"/>
    <col min="5" max="5" width="16.3333333333333" style="186" hidden="1" customWidth="1"/>
    <col min="6" max="6" width="16.3333333333333" style="186" customWidth="1"/>
    <col min="7" max="7" width="7.1875" style="186" customWidth="1"/>
    <col min="8" max="9" width="16.3333333333333" style="186" customWidth="1"/>
    <col min="10" max="10" width="5.39583333333333" style="186" customWidth="1"/>
    <col min="11" max="11" width="16.3333333333333" style="186" customWidth="1"/>
    <col min="12" max="12" width="17.2291666666667" style="186" customWidth="1" outlineLevel="1"/>
    <col min="13" max="13" width="7.04166666666667" style="186" customWidth="1" outlineLevel="1"/>
    <col min="14" max="15" width="17.2291666666667" style="186" customWidth="1" outlineLevel="1"/>
    <col min="16" max="16" width="5.84375" style="186" customWidth="1" outlineLevel="1"/>
    <col min="17" max="17" width="16.9270833333333" style="186" customWidth="1"/>
    <col min="18" max="18" width="16.78125" style="186" customWidth="1"/>
    <col min="19" max="19" width="16.3333333333333" style="186" customWidth="1"/>
    <col min="20" max="20" width="15.1354166666667" style="186" customWidth="1"/>
    <col min="21" max="21" width="13.4895833333333" style="186" customWidth="1"/>
    <col min="22" max="16384" width="9.13541666666667" style="186"/>
  </cols>
  <sheetData>
    <row r="1" spans="16:16">
      <c r="P1" s="146"/>
    </row>
    <row r="2" ht="21" spans="3:20">
      <c r="C2" s="1499" t="str">
        <f>D!C2</f>
        <v>KAP LIASTA NIRWAN SYAFRUDIN &amp; REKAN</v>
      </c>
      <c r="D2" s="731"/>
      <c r="E2" s="731"/>
      <c r="F2" s="731"/>
      <c r="G2" s="731"/>
      <c r="H2" s="731"/>
      <c r="I2" s="731"/>
      <c r="J2" s="731"/>
      <c r="K2" s="731"/>
      <c r="L2" s="731"/>
      <c r="M2" s="731"/>
      <c r="N2" s="731"/>
      <c r="O2" s="731"/>
      <c r="P2" s="746"/>
      <c r="Q2" s="731"/>
      <c r="R2" s="731" t="s">
        <v>481</v>
      </c>
      <c r="S2" s="765" t="s">
        <v>482</v>
      </c>
      <c r="T2" s="766" t="s">
        <v>483</v>
      </c>
    </row>
    <row r="3" spans="3:20">
      <c r="C3" s="1500"/>
      <c r="D3" s="1501"/>
      <c r="E3" s="1502"/>
      <c r="F3" s="1954"/>
      <c r="G3" s="1954"/>
      <c r="H3" s="1954"/>
      <c r="I3" s="1954"/>
      <c r="J3" s="1954"/>
      <c r="K3" s="1954"/>
      <c r="L3" s="1504"/>
      <c r="M3" s="1504"/>
      <c r="N3" s="1505"/>
      <c r="O3" s="1505"/>
      <c r="P3" s="1586"/>
      <c r="Q3" s="738"/>
      <c r="R3" s="738"/>
      <c r="S3" s="767">
        <v>45174</v>
      </c>
      <c r="T3" s="2593" t="s">
        <v>779</v>
      </c>
    </row>
    <row r="4" spans="3:20">
      <c r="C4" s="1546" t="str">
        <f>+B!D4</f>
        <v>PT INTAN GIRI ABADI</v>
      </c>
      <c r="D4" s="1548"/>
      <c r="E4" s="1548"/>
      <c r="F4" s="1548"/>
      <c r="G4" s="1548"/>
      <c r="H4" s="1548"/>
      <c r="I4" s="1548"/>
      <c r="J4" s="1548"/>
      <c r="K4" s="1548"/>
      <c r="L4" s="1548"/>
      <c r="M4" s="1548"/>
      <c r="N4" s="1548"/>
      <c r="O4" s="1548"/>
      <c r="P4" s="746"/>
      <c r="Q4" s="742"/>
      <c r="R4" s="742" t="s">
        <v>487</v>
      </c>
      <c r="S4" s="769" t="s">
        <v>482</v>
      </c>
      <c r="T4" s="770" t="s">
        <v>488</v>
      </c>
    </row>
    <row r="5" spans="2:20">
      <c r="B5" s="248"/>
      <c r="C5" s="775"/>
      <c r="D5" s="753"/>
      <c r="E5" s="753"/>
      <c r="F5" s="753"/>
      <c r="G5" s="753"/>
      <c r="H5" s="753"/>
      <c r="I5" s="753"/>
      <c r="J5" s="753"/>
      <c r="K5" s="753"/>
      <c r="L5" s="753"/>
      <c r="M5" s="753"/>
      <c r="N5" s="753"/>
      <c r="O5" s="753"/>
      <c r="P5" s="1592"/>
      <c r="Q5" s="1592"/>
      <c r="R5" s="771"/>
      <c r="S5" s="771"/>
      <c r="T5" s="772"/>
    </row>
    <row r="6" spans="2:20">
      <c r="B6" s="248"/>
      <c r="C6" s="773"/>
      <c r="D6" s="742"/>
      <c r="E6" s="742"/>
      <c r="F6" s="742"/>
      <c r="G6" s="742"/>
      <c r="H6" s="742"/>
      <c r="I6" s="742"/>
      <c r="J6" s="742"/>
      <c r="K6" s="742"/>
      <c r="L6" s="742"/>
      <c r="M6" s="742"/>
      <c r="N6" s="742"/>
      <c r="O6" s="742"/>
      <c r="P6" s="770"/>
      <c r="Q6" s="742"/>
      <c r="R6" s="773"/>
      <c r="S6" s="773"/>
      <c r="T6" s="774" t="s">
        <v>491</v>
      </c>
    </row>
    <row r="7" spans="2:20">
      <c r="B7" s="2335"/>
      <c r="C7" s="1549" t="s">
        <v>12186</v>
      </c>
      <c r="D7" s="1550"/>
      <c r="E7" s="753"/>
      <c r="F7" s="753"/>
      <c r="G7" s="753"/>
      <c r="H7" s="753"/>
      <c r="I7" s="753"/>
      <c r="J7" s="753"/>
      <c r="K7" s="753"/>
      <c r="L7" s="753"/>
      <c r="M7" s="753"/>
      <c r="N7" s="753"/>
      <c r="O7" s="753"/>
      <c r="P7" s="1599"/>
      <c r="Q7" s="753"/>
      <c r="R7" s="775"/>
      <c r="S7" s="775"/>
      <c r="T7" s="776">
        <v>44926</v>
      </c>
    </row>
    <row r="8" ht="13.95" spans="2:15">
      <c r="B8" s="2335"/>
      <c r="N8" s="1388"/>
      <c r="O8" s="1388"/>
    </row>
    <row r="9" spans="2:20">
      <c r="B9" s="2555"/>
      <c r="C9" s="1328"/>
      <c r="D9" s="1330"/>
      <c r="E9" s="1330" t="s">
        <v>2248</v>
      </c>
      <c r="F9" s="1329" t="s">
        <v>2248</v>
      </c>
      <c r="G9" s="1330"/>
      <c r="H9" s="2281" t="s">
        <v>1228</v>
      </c>
      <c r="I9" s="2281"/>
      <c r="J9" s="1330"/>
      <c r="K9" s="1327" t="s">
        <v>2248</v>
      </c>
      <c r="L9" s="1329" t="s">
        <v>2248</v>
      </c>
      <c r="M9" s="1330"/>
      <c r="N9" s="2281" t="s">
        <v>1228</v>
      </c>
      <c r="O9" s="2281"/>
      <c r="P9" s="1330"/>
      <c r="Q9" s="1327" t="s">
        <v>2248</v>
      </c>
      <c r="R9" s="1327" t="s">
        <v>2248</v>
      </c>
      <c r="S9" s="1403">
        <f>Q11</f>
        <v>44561</v>
      </c>
      <c r="T9" s="1404"/>
    </row>
    <row r="10" spans="2:20">
      <c r="B10" s="2555"/>
      <c r="C10" s="1334" t="s">
        <v>492</v>
      </c>
      <c r="D10" s="1336" t="s">
        <v>654</v>
      </c>
      <c r="E10" s="1336" t="e">
        <f>'[89]F1'!F6</f>
        <v>#REF!</v>
      </c>
      <c r="F10" s="1335" t="s">
        <v>2249</v>
      </c>
      <c r="G10" s="1336" t="s">
        <v>1230</v>
      </c>
      <c r="H10" s="2283"/>
      <c r="I10" s="2283"/>
      <c r="J10" s="1336" t="s">
        <v>1230</v>
      </c>
      <c r="K10" s="1389" t="s">
        <v>2250</v>
      </c>
      <c r="L10" s="1335" t="s">
        <v>2249</v>
      </c>
      <c r="M10" s="1336" t="s">
        <v>1230</v>
      </c>
      <c r="N10" s="2283"/>
      <c r="O10" s="2283"/>
      <c r="P10" s="1336" t="s">
        <v>1230</v>
      </c>
      <c r="Q10" s="1389" t="s">
        <v>2250</v>
      </c>
      <c r="R10" s="1389" t="s">
        <v>2250</v>
      </c>
      <c r="S10" s="1405" t="s">
        <v>2251</v>
      </c>
      <c r="T10" s="1406"/>
    </row>
    <row r="11" ht="13.95" spans="2:20">
      <c r="B11" s="2555"/>
      <c r="C11" s="1340"/>
      <c r="D11" s="5111" t="s">
        <v>2252</v>
      </c>
      <c r="E11" s="1341" t="e">
        <f>'[89]F1'!F7</f>
        <v>#REF!</v>
      </c>
      <c r="F11" s="1341">
        <f>+'F1'!E10</f>
        <v>44926</v>
      </c>
      <c r="G11" s="1342" t="s">
        <v>2253</v>
      </c>
      <c r="H11" s="1342" t="s">
        <v>1231</v>
      </c>
      <c r="I11" s="1342" t="s">
        <v>1232</v>
      </c>
      <c r="J11" s="1342" t="s">
        <v>2253</v>
      </c>
      <c r="K11" s="1390">
        <f>F11</f>
        <v>44926</v>
      </c>
      <c r="L11" s="1341">
        <f>+K11-365</f>
        <v>44561</v>
      </c>
      <c r="M11" s="1342" t="s">
        <v>2253</v>
      </c>
      <c r="N11" s="1342" t="s">
        <v>1231</v>
      </c>
      <c r="O11" s="1342" t="s">
        <v>1232</v>
      </c>
      <c r="P11" s="1342" t="s">
        <v>2253</v>
      </c>
      <c r="Q11" s="1390">
        <f>L11</f>
        <v>44561</v>
      </c>
      <c r="R11" s="1390">
        <f>+Q11-365</f>
        <v>44196</v>
      </c>
      <c r="S11" s="1342" t="s">
        <v>151</v>
      </c>
      <c r="T11" s="5112" t="s">
        <v>2254</v>
      </c>
    </row>
    <row r="12" spans="2:20">
      <c r="B12" s="2555"/>
      <c r="D12" s="135"/>
      <c r="E12" s="296"/>
      <c r="F12" s="296"/>
      <c r="G12" s="135"/>
      <c r="H12" s="296"/>
      <c r="I12" s="296"/>
      <c r="J12" s="135"/>
      <c r="K12" s="1391"/>
      <c r="L12" s="296"/>
      <c r="M12" s="135"/>
      <c r="N12" s="296"/>
      <c r="O12" s="296"/>
      <c r="P12" s="135"/>
      <c r="Q12" s="1391"/>
      <c r="S12" s="296"/>
      <c r="T12" s="1409"/>
    </row>
    <row r="13" hidden="1" spans="2:20">
      <c r="B13" s="2555"/>
      <c r="C13" s="186" t="str">
        <f>+[98]krj!$F$29</f>
        <v>PPn Masukan</v>
      </c>
      <c r="D13" s="135"/>
      <c r="E13" s="296"/>
      <c r="F13" s="174">
        <v>0</v>
      </c>
      <c r="G13" s="200"/>
      <c r="H13" s="174">
        <v>0</v>
      </c>
      <c r="I13" s="174"/>
      <c r="J13" s="200"/>
      <c r="K13" s="174">
        <f>F13+H13-I13</f>
        <v>0</v>
      </c>
      <c r="L13" s="174">
        <v>0</v>
      </c>
      <c r="M13" s="200"/>
      <c r="N13" s="174">
        <v>0</v>
      </c>
      <c r="O13" s="174"/>
      <c r="P13" s="200"/>
      <c r="Q13" s="174">
        <f>L13+N13-O13</f>
        <v>0</v>
      </c>
      <c r="R13" s="2423">
        <v>0.270000000018626</v>
      </c>
      <c r="S13" s="296">
        <f>L13-R13</f>
        <v>-0.270000000018626</v>
      </c>
      <c r="T13" s="1409">
        <f>IF(R13=0,IF(S13=0,0,S13/S13),S13/R13)</f>
        <v>-1</v>
      </c>
    </row>
    <row r="14" spans="2:20">
      <c r="B14" s="2555"/>
      <c r="C14" s="186" t="s">
        <v>12187</v>
      </c>
      <c r="D14" s="135"/>
      <c r="E14" s="296"/>
      <c r="F14" s="174">
        <v>2571678459.36748</v>
      </c>
      <c r="G14" s="200"/>
      <c r="H14" s="174"/>
      <c r="I14" s="174"/>
      <c r="J14" s="200"/>
      <c r="K14" s="174">
        <f>F14+H14-I14</f>
        <v>2571678459.36748</v>
      </c>
      <c r="L14" s="174">
        <v>1202317492.9388</v>
      </c>
      <c r="M14" s="200"/>
      <c r="N14" s="174"/>
      <c r="O14" s="174"/>
      <c r="P14" s="200"/>
      <c r="Q14" s="174">
        <f>L14+N14-O14</f>
        <v>1202317492.9388</v>
      </c>
      <c r="R14" s="2423">
        <v>2388479213.51876</v>
      </c>
      <c r="S14" s="174">
        <f>L14-R14</f>
        <v>-1186161720.57996</v>
      </c>
      <c r="T14" s="1409">
        <f>IF(R14=0,IF(S14=0,0,S14/S14),S14/R14)</f>
        <v>-0.496617979284183</v>
      </c>
    </row>
    <row r="15" spans="2:20">
      <c r="B15" s="2555"/>
      <c r="C15" s="2556" t="s">
        <v>12188</v>
      </c>
      <c r="D15" s="135"/>
      <c r="E15" s="296"/>
      <c r="F15" s="174"/>
      <c r="G15" s="200"/>
      <c r="H15" s="174"/>
      <c r="I15" s="174"/>
      <c r="J15" s="200"/>
      <c r="K15" s="174"/>
      <c r="L15" s="174"/>
      <c r="M15" s="200"/>
      <c r="N15" s="174"/>
      <c r="O15" s="174"/>
      <c r="P15" s="200"/>
      <c r="Q15" s="174"/>
      <c r="R15" s="2423"/>
      <c r="S15" s="296"/>
      <c r="T15" s="1409"/>
    </row>
    <row r="16" spans="2:20">
      <c r="B16" s="2555"/>
      <c r="C16" s="186" t="str">
        <f>'F2'!C21</f>
        <v>Utang pembiayaan jangka pendek</v>
      </c>
      <c r="D16" s="135"/>
      <c r="E16" s="296"/>
      <c r="F16" s="174">
        <v>1156341700.40826</v>
      </c>
      <c r="G16" s="200"/>
      <c r="H16" s="174"/>
      <c r="I16" s="174">
        <f>'F4'!H64</f>
        <v>0</v>
      </c>
      <c r="J16" s="200"/>
      <c r="K16" s="174">
        <f>F16+I16-H16</f>
        <v>1156341700.40826</v>
      </c>
      <c r="L16" s="174">
        <v>778392443.790393</v>
      </c>
      <c r="M16" s="200"/>
      <c r="N16" s="174"/>
      <c r="O16" s="174">
        <v>0</v>
      </c>
      <c r="P16" s="200"/>
      <c r="Q16" s="174">
        <f>L16+N16-O16</f>
        <v>778392443.790393</v>
      </c>
      <c r="R16" s="2423">
        <v>1186161720.57996</v>
      </c>
      <c r="S16" s="174">
        <f>L16-R16</f>
        <v>-407769276.78957</v>
      </c>
      <c r="T16" s="1409">
        <f>IF(R16=0,IF(S16=0,0,S16/S16),S16/R16)</f>
        <v>-0.343772075691496</v>
      </c>
    </row>
    <row r="17" spans="2:20">
      <c r="B17" s="2555"/>
      <c r="C17" s="186" t="str">
        <f>'F2'!C28</f>
        <v>Utang pembiayaan - jangka panjang</v>
      </c>
      <c r="D17" s="135"/>
      <c r="E17" s="296"/>
      <c r="F17" s="174">
        <f>F14-F16</f>
        <v>1415336758.95921</v>
      </c>
      <c r="G17" s="200"/>
      <c r="H17" s="174"/>
      <c r="I17" s="174">
        <f>'F4'!H65</f>
        <v>0</v>
      </c>
      <c r="J17" s="200"/>
      <c r="K17" s="174">
        <f>F17+I17-H17</f>
        <v>1415336758.95921</v>
      </c>
      <c r="L17" s="174">
        <f>L14-L16</f>
        <v>423925049.148408</v>
      </c>
      <c r="M17" s="200"/>
      <c r="N17" s="174"/>
      <c r="O17" s="174"/>
      <c r="P17" s="200"/>
      <c r="Q17" s="174">
        <f>L17+N17-O17</f>
        <v>423925049.148408</v>
      </c>
      <c r="R17" s="174">
        <f>+R14-R16</f>
        <v>1202317492.9388</v>
      </c>
      <c r="S17" s="174">
        <f>L17-R17</f>
        <v>-778392443.790393</v>
      </c>
      <c r="T17" s="1409">
        <f>IF(R17=0,IF(S17=0,0,S17/S17),S17/R17)</f>
        <v>-0.647410062950829</v>
      </c>
    </row>
    <row r="18" spans="2:20">
      <c r="B18" s="2555"/>
      <c r="D18" s="135"/>
      <c r="E18" s="296"/>
      <c r="F18" s="174"/>
      <c r="G18" s="200"/>
      <c r="H18" s="174"/>
      <c r="I18" s="174"/>
      <c r="J18" s="200"/>
      <c r="K18" s="174"/>
      <c r="L18" s="174"/>
      <c r="M18" s="200"/>
      <c r="N18" s="174"/>
      <c r="O18" s="174"/>
      <c r="P18" s="200"/>
      <c r="Q18" s="174"/>
      <c r="R18" s="2423"/>
      <c r="S18" s="174">
        <f>L18-R18</f>
        <v>0</v>
      </c>
      <c r="T18" s="1409">
        <f>IF(R18=0,IF(S18=0,0,S18/S18),S18/R18)</f>
        <v>0</v>
      </c>
    </row>
    <row r="19" spans="2:20">
      <c r="B19" s="2555"/>
      <c r="D19" s="135"/>
      <c r="E19" s="296"/>
      <c r="F19" s="174"/>
      <c r="G19" s="200"/>
      <c r="H19" s="174"/>
      <c r="I19" s="174"/>
      <c r="J19" s="200"/>
      <c r="K19" s="174"/>
      <c r="L19" s="174"/>
      <c r="M19" s="200"/>
      <c r="N19" s="174"/>
      <c r="O19" s="174"/>
      <c r="P19" s="200"/>
      <c r="Q19" s="174"/>
      <c r="R19" s="2423"/>
      <c r="S19" s="174"/>
      <c r="T19" s="1410"/>
    </row>
    <row r="20" ht="13.95" spans="2:20">
      <c r="B20" s="2555"/>
      <c r="C20" s="5119" t="s">
        <v>151</v>
      </c>
      <c r="D20" s="135"/>
      <c r="E20" s="1412">
        <f>SUM(E13:E13)</f>
        <v>0</v>
      </c>
      <c r="F20" s="1392">
        <f>SUM(F15:F18)</f>
        <v>2571678459.36748</v>
      </c>
      <c r="G20" s="200"/>
      <c r="H20" s="1392">
        <f>SUM(H13:H16)</f>
        <v>0</v>
      </c>
      <c r="I20" s="1392">
        <f>SUM(I13:I16)</f>
        <v>0</v>
      </c>
      <c r="J20" s="200"/>
      <c r="K20" s="1392">
        <f>SUM(K15:K18)</f>
        <v>2571678459.36748</v>
      </c>
      <c r="L20" s="1392">
        <f>SUM(L15:L18)</f>
        <v>1202317492.9388</v>
      </c>
      <c r="M20" s="200"/>
      <c r="N20" s="1392">
        <f>SUM(N13:N16)</f>
        <v>0</v>
      </c>
      <c r="O20" s="1392">
        <f>SUM(O13:O16)</f>
        <v>0</v>
      </c>
      <c r="P20" s="200"/>
      <c r="Q20" s="1392">
        <f>SUM(Q15:Q18)</f>
        <v>1202317492.9388</v>
      </c>
      <c r="R20" s="1392">
        <f>SUM(R15:R18)</f>
        <v>2388479213.51876</v>
      </c>
      <c r="S20" s="1392">
        <f>SUM(S13:S16)</f>
        <v>-1593930997.63953</v>
      </c>
      <c r="T20">
        <f>IF(R20=0,IF(S20=0,0,S20/S20),S20/R20)</f>
        <v>-0.667341372961465</v>
      </c>
    </row>
    <row r="21" ht="14.7" spans="2:20">
      <c r="B21" s="2555"/>
      <c r="C21" s="1347"/>
      <c r="D21" s="2286"/>
      <c r="E21" s="1348"/>
      <c r="F21" s="1348">
        <f>+F20-'F2'!F21-'F2'!F28</f>
        <v>0.367475509643555</v>
      </c>
      <c r="G21" s="1348"/>
      <c r="H21" s="1348"/>
      <c r="I21" s="1348"/>
      <c r="J21" s="1348"/>
      <c r="K21" s="1348">
        <f>+K20-'F2'!K21-'F2'!K28</f>
        <v>0.367475509643555</v>
      </c>
      <c r="L21" s="1348">
        <f>+L20-'F2'!L21-'F2'!L28</f>
        <v>-0.0611987113952637</v>
      </c>
      <c r="M21" s="1394"/>
      <c r="N21" s="1393"/>
      <c r="O21" s="1393"/>
      <c r="P21" s="1394"/>
      <c r="Q21" s="1348">
        <f>+Q20-'F2'!Q21-'F2'!Q28</f>
        <v>-0.0611987113952637</v>
      </c>
      <c r="R21" s="1348">
        <f>+R20-'F2'!R21-'F2'!R28</f>
        <v>0</v>
      </c>
      <c r="S21" s="1348"/>
      <c r="T21" s="1414"/>
    </row>
    <row r="22" spans="2:20">
      <c r="B22" s="2558"/>
      <c r="C22" s="2559"/>
      <c r="L22" s="2568" t="s">
        <v>649</v>
      </c>
      <c r="M22" s="2423"/>
      <c r="N22" s="2423"/>
      <c r="O22" s="2423"/>
      <c r="P22" s="2423"/>
      <c r="Q22" s="2423"/>
      <c r="R22" s="2568" t="s">
        <v>650</v>
      </c>
      <c r="T22" s="2318"/>
    </row>
    <row r="23" spans="12:20">
      <c r="L23" s="2423"/>
      <c r="M23" s="2423"/>
      <c r="N23" s="2423"/>
      <c r="O23" s="2423"/>
      <c r="P23" s="2423"/>
      <c r="Q23" s="2423"/>
      <c r="R23" s="2423"/>
      <c r="T23" s="2318"/>
    </row>
    <row r="24" spans="12:18">
      <c r="L24" s="2423"/>
      <c r="M24" s="2423"/>
      <c r="N24" s="2423"/>
      <c r="O24" s="2423"/>
      <c r="P24" s="2423"/>
      <c r="Q24" s="2423"/>
      <c r="R24" s="2423"/>
    </row>
    <row r="25" spans="12:18">
      <c r="L25" s="2423"/>
      <c r="M25" s="2423"/>
      <c r="N25" s="2423"/>
      <c r="O25" s="2423"/>
      <c r="P25" s="2423"/>
      <c r="Q25" s="2423"/>
      <c r="R25" s="2423"/>
    </row>
    <row r="26" spans="3:18">
      <c r="C26" s="2560" t="str">
        <f>'F1'!C46</f>
        <v>Sesuai dengan Saldo Buku Besar Periode 31 Desember 2022 &amp; 2021</v>
      </c>
      <c r="L26" s="2423"/>
      <c r="M26" s="2423"/>
      <c r="N26" s="2423"/>
      <c r="O26" s="2423"/>
      <c r="P26" s="2423"/>
      <c r="Q26" s="2423"/>
      <c r="R26" s="2423"/>
    </row>
    <row r="27" spans="3:18">
      <c r="C27" s="5120" t="str">
        <f>'F1'!C47</f>
        <v>Sesuai dengan Saldo Audit Periode Sebelumnya</v>
      </c>
      <c r="L27" s="2423"/>
      <c r="M27" s="2423"/>
      <c r="N27" s="2423"/>
      <c r="O27" s="2423"/>
      <c r="P27" s="2423"/>
      <c r="Q27" s="2423"/>
      <c r="R27" s="2423"/>
    </row>
    <row r="28" spans="3:18">
      <c r="C28" s="5120" t="str">
        <f>'F1'!C48</f>
        <v>Rumus dan Formula Perhitungan telah Diperiksa</v>
      </c>
      <c r="L28" s="2423"/>
      <c r="M28" s="2423"/>
      <c r="N28" s="2423"/>
      <c r="O28" s="2423"/>
      <c r="P28" s="2423"/>
      <c r="Q28" s="2423"/>
      <c r="R28" s="2423"/>
    </row>
    <row r="29" spans="3:18">
      <c r="C29" s="2562"/>
      <c r="L29" s="2423"/>
      <c r="M29" s="2423"/>
      <c r="N29" s="2423"/>
      <c r="O29" s="2423"/>
      <c r="P29" s="2423"/>
      <c r="Q29" s="2423"/>
      <c r="R29" s="2423"/>
    </row>
    <row r="30" spans="12:18">
      <c r="L30" s="2423"/>
      <c r="M30" s="2423"/>
      <c r="N30" s="2423"/>
      <c r="O30" s="2423"/>
      <c r="P30" s="2423"/>
      <c r="Q30" s="2423"/>
      <c r="R30" s="2423"/>
    </row>
    <row r="31" spans="3:21">
      <c r="C31" s="2563"/>
      <c r="D31" s="2564"/>
      <c r="E31" s="2564"/>
      <c r="F31" s="2564"/>
      <c r="G31" s="2564"/>
      <c r="H31" s="2564"/>
      <c r="I31" s="2564"/>
      <c r="J31" s="2564"/>
      <c r="K31" s="2564"/>
      <c r="L31" s="2569"/>
      <c r="M31" s="2569"/>
      <c r="N31" s="2569"/>
      <c r="O31" s="2569"/>
      <c r="P31" s="2569"/>
      <c r="Q31" s="2569"/>
      <c r="R31" s="2569"/>
      <c r="S31" s="2564"/>
      <c r="T31" s="2564"/>
      <c r="U31" s="2594"/>
    </row>
    <row r="32" spans="3:21">
      <c r="C32" s="2565"/>
      <c r="D32" s="2566"/>
      <c r="E32" s="2566"/>
      <c r="F32" s="2566"/>
      <c r="G32" s="2566"/>
      <c r="H32" s="2566"/>
      <c r="I32" s="2566"/>
      <c r="J32" s="2566"/>
      <c r="K32" s="2566"/>
      <c r="L32" s="2566"/>
      <c r="M32" s="2566"/>
      <c r="N32" s="2570"/>
      <c r="O32" s="2569"/>
      <c r="P32" s="2569"/>
      <c r="Q32" s="2595"/>
      <c r="R32" s="2574"/>
      <c r="S32" s="2566"/>
      <c r="T32" s="2566"/>
      <c r="U32" s="2582"/>
    </row>
    <row r="33" outlineLevel="1" spans="3:21">
      <c r="C33" s="2567"/>
      <c r="D33" s="2566"/>
      <c r="E33" s="2566"/>
      <c r="F33" s="2566"/>
      <c r="G33" s="2566"/>
      <c r="H33" s="2566"/>
      <c r="I33" s="5136" t="s">
        <v>451</v>
      </c>
      <c r="J33" s="2572"/>
      <c r="K33" s="2572"/>
      <c r="L33" s="2573"/>
      <c r="M33" s="2574"/>
      <c r="N33" s="5137" t="s">
        <v>452</v>
      </c>
      <c r="O33" s="2576"/>
      <c r="P33" s="2576"/>
      <c r="Q33" s="2596"/>
      <c r="R33" s="2574"/>
      <c r="S33" s="2597">
        <f>+N33-1</f>
        <v>2020</v>
      </c>
      <c r="T33" s="2598"/>
      <c r="U33" s="2599"/>
    </row>
    <row r="34" ht="26.4" outlineLevel="1" spans="3:21">
      <c r="C34" s="2567" t="s">
        <v>12189</v>
      </c>
      <c r="D34" s="2566"/>
      <c r="E34" s="2566"/>
      <c r="F34" s="2566"/>
      <c r="G34" s="2566"/>
      <c r="H34" s="2566"/>
      <c r="I34" s="2577" t="s">
        <v>12190</v>
      </c>
      <c r="J34" s="2578"/>
      <c r="K34" s="2579" t="s">
        <v>12191</v>
      </c>
      <c r="L34" s="2580" t="s">
        <v>12192</v>
      </c>
      <c r="M34" s="2574"/>
      <c r="N34" s="2577" t="s">
        <v>12190</v>
      </c>
      <c r="O34" s="2579" t="s">
        <v>12191</v>
      </c>
      <c r="P34" s="2578"/>
      <c r="Q34" s="2580" t="s">
        <v>12192</v>
      </c>
      <c r="R34" s="2574"/>
      <c r="S34" s="2577" t="s">
        <v>12190</v>
      </c>
      <c r="T34" s="2579" t="s">
        <v>12191</v>
      </c>
      <c r="U34" s="2580" t="s">
        <v>12192</v>
      </c>
    </row>
    <row r="35" outlineLevel="1" spans="3:22">
      <c r="C35" s="2567" t="s">
        <v>12193</v>
      </c>
      <c r="D35" s="2566"/>
      <c r="E35" s="2566"/>
      <c r="F35" s="2566"/>
      <c r="G35" s="2566"/>
      <c r="H35" s="2566"/>
      <c r="I35" s="2581">
        <f t="shared" ref="I35:I45" si="0">SUM(J35:L35)</f>
        <v>65373269.3380178</v>
      </c>
      <c r="J35" s="2566"/>
      <c r="K35" s="2566">
        <v>65373269.3380178</v>
      </c>
      <c r="L35" s="2582">
        <v>0</v>
      </c>
      <c r="M35" s="2574"/>
      <c r="N35" s="2581">
        <f>SUM(O35:Q35)</f>
        <v>142060974.233164</v>
      </c>
      <c r="O35" s="2574">
        <v>76687704.8951463</v>
      </c>
      <c r="P35" s="2574"/>
      <c r="Q35" s="2600">
        <v>65373269.3380179</v>
      </c>
      <c r="R35" s="2574"/>
      <c r="S35" s="2581">
        <f>SUM(T35:V35)</f>
        <v>208278489.222684</v>
      </c>
      <c r="T35" s="2574">
        <v>66217514.9895195</v>
      </c>
      <c r="U35" s="2600">
        <v>142060974.233164</v>
      </c>
      <c r="V35" s="5138" t="s">
        <v>12194</v>
      </c>
    </row>
    <row r="36" outlineLevel="1" spans="3:21">
      <c r="C36" s="2567" t="s">
        <v>12195</v>
      </c>
      <c r="D36" s="2566"/>
      <c r="E36" s="2566"/>
      <c r="F36" s="2566"/>
      <c r="G36" s="2566"/>
      <c r="H36" s="2566"/>
      <c r="I36" s="2581">
        <f t="shared" si="0"/>
        <v>59731922.7980711</v>
      </c>
      <c r="J36" s="2566"/>
      <c r="K36" s="2566">
        <v>59731922.7980711</v>
      </c>
      <c r="L36" s="2582">
        <v>0</v>
      </c>
      <c r="M36" s="2574"/>
      <c r="N36" s="2581">
        <f t="shared" ref="N36:N45" si="1">SUM(O36:Q36)</f>
        <v>129801484.69508</v>
      </c>
      <c r="O36" s="2574">
        <v>70069561.8970092</v>
      </c>
      <c r="P36" s="2574"/>
      <c r="Q36" s="2600">
        <v>59731922.7980711</v>
      </c>
      <c r="R36" s="2574"/>
      <c r="S36" s="2581">
        <f t="shared" ref="S36:S44" si="2">SUM(T36:V36)</f>
        <v>190304012.162983</v>
      </c>
      <c r="T36" s="2574">
        <v>60502527.4679027</v>
      </c>
      <c r="U36" s="2600">
        <v>129801484.69508</v>
      </c>
    </row>
    <row r="37" outlineLevel="1" spans="3:21">
      <c r="C37" s="2567" t="s">
        <v>12196</v>
      </c>
      <c r="D37" s="2566"/>
      <c r="E37" s="2566"/>
      <c r="F37" s="2566"/>
      <c r="G37" s="2566"/>
      <c r="H37" s="2566"/>
      <c r="I37" s="2581">
        <f t="shared" si="0"/>
        <v>116372797.854253</v>
      </c>
      <c r="J37" s="2566"/>
      <c r="K37" s="2566">
        <v>116372797.854253</v>
      </c>
      <c r="L37" s="2582">
        <v>0</v>
      </c>
      <c r="M37" s="2574"/>
      <c r="N37" s="2581">
        <f t="shared" si="1"/>
        <v>208712130.190626</v>
      </c>
      <c r="O37" s="2574">
        <v>92339332.3363733</v>
      </c>
      <c r="P37" s="2574"/>
      <c r="Q37" s="2600">
        <v>116372797.854253</v>
      </c>
      <c r="R37" s="2574"/>
      <c r="S37" s="2581">
        <f t="shared" si="2"/>
        <v>281981420.381672</v>
      </c>
      <c r="T37" s="2574">
        <v>73269290.1910462</v>
      </c>
      <c r="U37" s="2600">
        <v>208712130.190626</v>
      </c>
    </row>
    <row r="38" outlineLevel="1" spans="3:21">
      <c r="C38" s="2567" t="s">
        <v>12197</v>
      </c>
      <c r="D38" s="2566"/>
      <c r="E38" s="2566"/>
      <c r="F38" s="2566"/>
      <c r="G38" s="2566"/>
      <c r="H38" s="2566"/>
      <c r="I38" s="2581">
        <f t="shared" si="0"/>
        <v>4781442.44275645</v>
      </c>
      <c r="J38" s="2566"/>
      <c r="K38" s="2566">
        <v>4781442.44275645</v>
      </c>
      <c r="L38" s="2582">
        <v>0</v>
      </c>
      <c r="M38" s="2574"/>
      <c r="N38" s="2581">
        <f t="shared" si="1"/>
        <v>31891262.529166</v>
      </c>
      <c r="O38" s="2574">
        <v>27109820.0864095</v>
      </c>
      <c r="P38" s="2574"/>
      <c r="Q38" s="2600">
        <v>4781442.44275645</v>
      </c>
      <c r="R38" s="2574"/>
      <c r="S38" s="2581">
        <f t="shared" si="2"/>
        <v>56477696.8081792</v>
      </c>
      <c r="T38" s="2574">
        <v>24586434.2790132</v>
      </c>
      <c r="U38" s="2600">
        <v>31891262.529166</v>
      </c>
    </row>
    <row r="39" outlineLevel="1" spans="3:21">
      <c r="C39" s="2567" t="s">
        <v>12198</v>
      </c>
      <c r="D39" s="2566"/>
      <c r="E39" s="2566"/>
      <c r="F39" s="2566"/>
      <c r="G39" s="2566"/>
      <c r="H39" s="2566"/>
      <c r="I39" s="2581">
        <f t="shared" si="0"/>
        <v>177665616.71531</v>
      </c>
      <c r="J39" s="2566"/>
      <c r="K39" s="2566">
        <v>106179220.865765</v>
      </c>
      <c r="L39" s="2582">
        <v>71486395.8495454</v>
      </c>
      <c r="M39" s="2574"/>
      <c r="N39" s="2581">
        <f t="shared" si="1"/>
        <v>266153876.709388</v>
      </c>
      <c r="O39" s="2574">
        <v>88488259.9940781</v>
      </c>
      <c r="P39" s="2574"/>
      <c r="Q39" s="2600">
        <v>177665616.71531</v>
      </c>
      <c r="R39" s="2574"/>
      <c r="S39" s="2581">
        <f t="shared" si="2"/>
        <v>339898740.279999</v>
      </c>
      <c r="T39" s="2574">
        <v>73744863.5706107</v>
      </c>
      <c r="U39" s="2600">
        <v>266153876.709388</v>
      </c>
    </row>
    <row r="40" outlineLevel="1" spans="3:21">
      <c r="C40" s="2567" t="s">
        <v>1975</v>
      </c>
      <c r="D40" s="2566"/>
      <c r="E40" s="2566"/>
      <c r="F40" s="2566"/>
      <c r="G40" s="2566"/>
      <c r="H40" s="2566"/>
      <c r="I40" s="2581">
        <f t="shared" si="0"/>
        <v>747927126.950105</v>
      </c>
      <c r="J40" s="2566"/>
      <c r="K40" s="2566">
        <v>257040034.96317</v>
      </c>
      <c r="L40" s="2582">
        <v>490887091.986935</v>
      </c>
      <c r="M40" s="2574"/>
      <c r="N40" s="2583">
        <f t="shared" si="1"/>
        <v>0</v>
      </c>
      <c r="O40" s="2584">
        <v>0</v>
      </c>
      <c r="P40" s="2584"/>
      <c r="Q40" s="2585">
        <v>0</v>
      </c>
      <c r="R40" s="2574"/>
      <c r="S40" s="2583">
        <f t="shared" si="2"/>
        <v>0</v>
      </c>
      <c r="T40" s="2584">
        <v>0</v>
      </c>
      <c r="U40" s="2585">
        <v>0</v>
      </c>
    </row>
    <row r="41" outlineLevel="1" spans="3:21">
      <c r="C41" s="2567" t="s">
        <v>1976</v>
      </c>
      <c r="D41" s="2566"/>
      <c r="E41" s="2566"/>
      <c r="F41" s="2566"/>
      <c r="G41" s="2566"/>
      <c r="H41" s="2566"/>
      <c r="I41" s="2581">
        <f t="shared" si="0"/>
        <v>1317435130.11007</v>
      </c>
      <c r="J41" s="2566"/>
      <c r="K41" s="2566">
        <v>505675584.077637</v>
      </c>
      <c r="L41" s="2582">
        <v>811759546.03243</v>
      </c>
      <c r="M41" s="2574"/>
      <c r="N41" s="2583">
        <f t="shared" si="1"/>
        <v>0</v>
      </c>
      <c r="O41" s="2584">
        <v>0</v>
      </c>
      <c r="P41" s="2584"/>
      <c r="Q41" s="2585">
        <v>0</v>
      </c>
      <c r="R41" s="2574"/>
      <c r="S41" s="2583">
        <f t="shared" si="2"/>
        <v>0</v>
      </c>
      <c r="T41" s="2584">
        <v>0</v>
      </c>
      <c r="U41" s="2585">
        <v>0</v>
      </c>
    </row>
    <row r="42" outlineLevel="1" spans="3:21">
      <c r="C42" s="2567" t="s">
        <v>1977</v>
      </c>
      <c r="D42" s="2566"/>
      <c r="E42" s="2566"/>
      <c r="F42" s="2566"/>
      <c r="G42" s="2566"/>
      <c r="H42" s="2566"/>
      <c r="I42" s="2581">
        <f t="shared" si="0"/>
        <v>82391153.1588957</v>
      </c>
      <c r="J42" s="2566"/>
      <c r="K42" s="2566">
        <v>41187428.0685932</v>
      </c>
      <c r="L42" s="2582">
        <v>41203725.0903025</v>
      </c>
      <c r="M42" s="2574"/>
      <c r="N42" s="2583">
        <f t="shared" si="1"/>
        <v>0</v>
      </c>
      <c r="O42" s="2584">
        <v>0</v>
      </c>
      <c r="P42" s="2574"/>
      <c r="Q42" s="2585">
        <v>0</v>
      </c>
      <c r="R42" s="2574"/>
      <c r="S42" s="2583">
        <f t="shared" si="2"/>
        <v>0</v>
      </c>
      <c r="T42" s="2584">
        <v>0</v>
      </c>
      <c r="U42" s="2585">
        <v>0</v>
      </c>
    </row>
    <row r="43" outlineLevel="1" spans="3:21">
      <c r="C43" s="2567" t="str">
        <f>+[99]GunaUsaha!B44&amp;" - "&amp;[99]GunaUsaha!C44</f>
        <v>PT Hino Finance Indonesia - Hino Dutro3</v>
      </c>
      <c r="D43" s="2566"/>
      <c r="E43" s="2566"/>
      <c r="F43" s="2566"/>
      <c r="G43" s="2566"/>
      <c r="H43" s="2566"/>
      <c r="I43" s="2583">
        <f t="shared" si="0"/>
        <v>0</v>
      </c>
      <c r="J43" s="2584"/>
      <c r="K43" s="2584">
        <v>0</v>
      </c>
      <c r="L43" s="2585">
        <v>0</v>
      </c>
      <c r="M43" s="2574"/>
      <c r="N43" s="2586">
        <f t="shared" si="1"/>
        <v>79138321.5660437</v>
      </c>
      <c r="O43" s="2574">
        <v>79138321.5660437</v>
      </c>
      <c r="P43" s="2574"/>
      <c r="Q43" s="2585">
        <v>0</v>
      </c>
      <c r="R43" s="2574"/>
      <c r="S43" s="2586">
        <f t="shared" si="2"/>
        <v>376063702.325524</v>
      </c>
      <c r="T43" s="2574">
        <v>296925380.75948</v>
      </c>
      <c r="U43" s="2600">
        <v>79138321.5660437</v>
      </c>
    </row>
    <row r="44" outlineLevel="1" spans="3:21">
      <c r="C44" s="2567" t="str">
        <f>+[99]GunaUsaha!B45&amp;" - "&amp;[99]GunaUsaha!C45</f>
        <v>PT Hino Finance Indonesia - HinoTractor Head 2</v>
      </c>
      <c r="D44" s="2566"/>
      <c r="E44" s="2566"/>
      <c r="F44" s="2566"/>
      <c r="G44" s="2566"/>
      <c r="H44" s="2566"/>
      <c r="I44" s="2583">
        <f t="shared" si="0"/>
        <v>0</v>
      </c>
      <c r="J44" s="2584"/>
      <c r="K44" s="2584">
        <v>0</v>
      </c>
      <c r="L44" s="2585">
        <v>0</v>
      </c>
      <c r="M44" s="2574"/>
      <c r="N44" s="2586">
        <f t="shared" si="1"/>
        <v>344559443.015333</v>
      </c>
      <c r="O44" s="2574">
        <v>344559443.015333</v>
      </c>
      <c r="P44" s="2574"/>
      <c r="Q44" s="2585">
        <v>0</v>
      </c>
      <c r="R44" s="2574"/>
      <c r="S44" s="2586">
        <f t="shared" si="2"/>
        <v>747916585.31031</v>
      </c>
      <c r="T44" s="2574">
        <v>403357142.294977</v>
      </c>
      <c r="U44" s="2600">
        <v>344559443.015333</v>
      </c>
    </row>
    <row r="45" outlineLevel="1" spans="3:21">
      <c r="C45" s="2567" t="str">
        <f>+[99]GunaUsaha!$B$57&amp;" - "&amp;[99]GunaUsaha!$C$57</f>
        <v>PT Hino Finance Indonesia - HINO 235</v>
      </c>
      <c r="D45" s="2566"/>
      <c r="E45" s="2566"/>
      <c r="F45" s="2566"/>
      <c r="G45" s="2566"/>
      <c r="H45" s="2566"/>
      <c r="I45" s="2583">
        <f t="shared" si="0"/>
        <v>0</v>
      </c>
      <c r="J45" s="2584"/>
      <c r="K45" s="2584">
        <v>0</v>
      </c>
      <c r="L45" s="2585"/>
      <c r="M45" s="2574"/>
      <c r="N45" s="2583">
        <f t="shared" si="1"/>
        <v>0</v>
      </c>
      <c r="O45" s="2584">
        <v>0</v>
      </c>
      <c r="P45" s="2574"/>
      <c r="Q45" s="2585">
        <v>0</v>
      </c>
      <c r="R45" s="2574"/>
      <c r="S45" s="2586">
        <f t="shared" ref="S45" si="3">SUM(T45:V45)</f>
        <v>187558567.027413</v>
      </c>
      <c r="T45" s="2574">
        <v>187558567.027413</v>
      </c>
      <c r="U45" s="2600">
        <v>0</v>
      </c>
    </row>
    <row r="46" outlineLevel="1" spans="3:21">
      <c r="C46" s="2567"/>
      <c r="D46" s="2566"/>
      <c r="E46" s="2566"/>
      <c r="F46" s="2566"/>
      <c r="G46" s="2566"/>
      <c r="H46" s="2566"/>
      <c r="I46" s="2587"/>
      <c r="J46" s="2578"/>
      <c r="K46" s="2578"/>
      <c r="L46" s="2588"/>
      <c r="M46" s="2574"/>
      <c r="N46" s="2587"/>
      <c r="O46" s="2578"/>
      <c r="P46" s="2578"/>
      <c r="Q46" s="2588"/>
      <c r="R46" s="2574"/>
      <c r="S46" s="2587"/>
      <c r="T46" s="2578"/>
      <c r="U46" s="2588"/>
    </row>
    <row r="47" outlineLevel="1" spans="3:21">
      <c r="C47" s="2567"/>
      <c r="D47" s="2566"/>
      <c r="E47" s="2566"/>
      <c r="F47" s="2566"/>
      <c r="G47" s="2566"/>
      <c r="H47" s="2566"/>
      <c r="I47" s="2581">
        <f>SUM(I35:I46)</f>
        <v>2571678459.36748</v>
      </c>
      <c r="J47" s="2566"/>
      <c r="K47" s="2566">
        <f>SUM(K35:K46)</f>
        <v>1156341700.40826</v>
      </c>
      <c r="L47" s="2582">
        <f>SUM(L35:L46)</f>
        <v>1415336758.95921</v>
      </c>
      <c r="M47" s="2574"/>
      <c r="N47" s="2581">
        <f>SUM(N35:N46)</f>
        <v>1202317492.9388</v>
      </c>
      <c r="O47" s="2566">
        <f>SUM(O35:O46)</f>
        <v>778392443.790393</v>
      </c>
      <c r="P47" s="2566"/>
      <c r="Q47" s="2582">
        <f>SUM(Q35:Q46)</f>
        <v>423925049.148408</v>
      </c>
      <c r="R47" s="2574"/>
      <c r="S47" s="2581">
        <f>SUM(S35:S46)</f>
        <v>2388479213.51876</v>
      </c>
      <c r="T47" s="2566">
        <f>SUM(T35:T46)</f>
        <v>1186161720.57996</v>
      </c>
      <c r="U47" s="2582">
        <f>SUM(U35:U46)</f>
        <v>1202317492.9388</v>
      </c>
    </row>
    <row r="48" outlineLevel="1" spans="3:21">
      <c r="C48" s="2567"/>
      <c r="D48" s="2566"/>
      <c r="E48" s="2566"/>
      <c r="F48" s="2566"/>
      <c r="G48" s="2566"/>
      <c r="H48" s="2566"/>
      <c r="I48" s="2589"/>
      <c r="J48" s="2578"/>
      <c r="K48" s="2578"/>
      <c r="L48" s="2590"/>
      <c r="M48" s="2574"/>
      <c r="N48" s="2591">
        <f>+N47-Q20</f>
        <v>0</v>
      </c>
      <c r="O48" s="2592"/>
      <c r="P48" s="2592"/>
      <c r="Q48" s="2590"/>
      <c r="R48" s="2574"/>
      <c r="S48" s="2601">
        <f>+S47-R20</f>
        <v>0</v>
      </c>
      <c r="T48" s="2578"/>
      <c r="U48" s="2590"/>
    </row>
    <row r="49" outlineLevel="1" spans="3:21">
      <c r="C49" s="2567"/>
      <c r="D49" s="2566"/>
      <c r="E49" s="2566"/>
      <c r="F49" s="2566"/>
      <c r="G49" s="2566"/>
      <c r="H49" s="2566"/>
      <c r="I49" s="2566"/>
      <c r="J49" s="2566"/>
      <c r="K49" s="2566"/>
      <c r="L49" s="2574"/>
      <c r="M49" s="2574"/>
      <c r="N49" s="2574"/>
      <c r="O49" s="2574"/>
      <c r="P49" s="2574"/>
      <c r="Q49" s="2574"/>
      <c r="R49" s="2574"/>
      <c r="S49" s="2566"/>
      <c r="T49" s="2566"/>
      <c r="U49" s="2582"/>
    </row>
    <row r="50" outlineLevel="1" spans="3:21">
      <c r="C50" s="2567"/>
      <c r="D50" s="2566"/>
      <c r="E50" s="2566"/>
      <c r="F50" s="2566"/>
      <c r="G50" s="2566"/>
      <c r="H50" s="2566"/>
      <c r="I50" s="2566"/>
      <c r="J50" s="2566"/>
      <c r="K50" s="2566"/>
      <c r="L50" s="2574"/>
      <c r="M50" s="2574"/>
      <c r="N50" s="2574"/>
      <c r="O50" s="2574"/>
      <c r="P50" s="2574"/>
      <c r="Q50" s="2574"/>
      <c r="R50" s="2574"/>
      <c r="S50" s="2566"/>
      <c r="T50" s="2566"/>
      <c r="U50" s="2582"/>
    </row>
    <row r="51" outlineLevel="1" spans="3:21">
      <c r="C51" s="2567"/>
      <c r="D51" s="2566"/>
      <c r="E51" s="2566"/>
      <c r="F51" s="2566"/>
      <c r="G51" s="2566"/>
      <c r="H51" s="2566"/>
      <c r="I51" s="2566"/>
      <c r="J51" s="2566"/>
      <c r="K51" s="2566"/>
      <c r="L51" s="2574"/>
      <c r="M51" s="2574"/>
      <c r="N51" s="2574"/>
      <c r="O51" s="2574"/>
      <c r="P51" s="2574"/>
      <c r="Q51" s="2574"/>
      <c r="R51" s="2574"/>
      <c r="S51" s="2566"/>
      <c r="T51" s="2566"/>
      <c r="U51" s="2582"/>
    </row>
    <row r="52" outlineLevel="1" spans="3:21">
      <c r="C52" s="2567"/>
      <c r="D52" s="2566"/>
      <c r="E52" s="2566"/>
      <c r="F52" s="2566"/>
      <c r="G52" s="2566"/>
      <c r="H52" s="2566"/>
      <c r="I52" s="2566"/>
      <c r="J52" s="2566"/>
      <c r="K52" s="2566"/>
      <c r="L52" s="2574"/>
      <c r="M52" s="2574"/>
      <c r="N52" s="2574"/>
      <c r="O52" s="2574"/>
      <c r="P52" s="2574"/>
      <c r="Q52" s="2574"/>
      <c r="R52" s="2574"/>
      <c r="S52" s="2566"/>
      <c r="T52" s="2566"/>
      <c r="U52" s="2582"/>
    </row>
    <row r="53" outlineLevel="1" spans="3:21">
      <c r="C53" s="2567"/>
      <c r="D53" s="2566"/>
      <c r="E53" s="2566"/>
      <c r="F53" s="2566"/>
      <c r="G53" s="2566"/>
      <c r="H53" s="2566"/>
      <c r="I53" s="2566"/>
      <c r="J53" s="2566"/>
      <c r="K53" s="2566"/>
      <c r="L53" s="2574"/>
      <c r="M53" s="2574"/>
      <c r="N53" s="2574"/>
      <c r="O53" s="2574"/>
      <c r="P53" s="2574"/>
      <c r="Q53" s="2574"/>
      <c r="R53" s="2574"/>
      <c r="S53" s="2566"/>
      <c r="T53" s="2566"/>
      <c r="U53" s="2582"/>
    </row>
    <row r="54" outlineLevel="1" spans="3:21">
      <c r="C54" s="2567"/>
      <c r="D54" s="2566"/>
      <c r="E54" s="2566"/>
      <c r="F54" s="2566"/>
      <c r="G54" s="2566"/>
      <c r="H54" s="2566"/>
      <c r="I54" s="2566"/>
      <c r="J54" s="2566"/>
      <c r="K54" s="2566"/>
      <c r="L54" s="2574"/>
      <c r="M54" s="2574"/>
      <c r="N54" s="2574"/>
      <c r="O54" s="2574"/>
      <c r="P54" s="2574"/>
      <c r="Q54" s="2574"/>
      <c r="R54" s="2574"/>
      <c r="S54" s="2566"/>
      <c r="T54" s="2566"/>
      <c r="U54" s="2582"/>
    </row>
    <row r="55" outlineLevel="1" spans="3:21">
      <c r="C55" s="2567"/>
      <c r="D55" s="2566"/>
      <c r="E55" s="2566"/>
      <c r="F55" s="2566"/>
      <c r="G55" s="2566"/>
      <c r="H55" s="2566"/>
      <c r="I55" s="2566"/>
      <c r="J55" s="2566"/>
      <c r="K55" s="2566"/>
      <c r="L55" s="2574"/>
      <c r="M55" s="2574"/>
      <c r="N55" s="2574"/>
      <c r="O55" s="2574"/>
      <c r="P55" s="2574"/>
      <c r="Q55" s="2574"/>
      <c r="R55" s="2574"/>
      <c r="S55" s="2566"/>
      <c r="T55" s="2566"/>
      <c r="U55" s="2582"/>
    </row>
    <row r="56" outlineLevel="1" spans="3:21">
      <c r="C56" s="2567"/>
      <c r="D56" s="2566"/>
      <c r="E56" s="2566"/>
      <c r="F56" s="2566"/>
      <c r="G56" s="2566"/>
      <c r="H56" s="2566"/>
      <c r="I56" s="2566"/>
      <c r="J56" s="2566"/>
      <c r="K56" s="2566"/>
      <c r="L56" s="2574"/>
      <c r="M56" s="2574"/>
      <c r="N56" s="2574"/>
      <c r="O56" s="2574"/>
      <c r="P56" s="2574"/>
      <c r="Q56" s="2574"/>
      <c r="R56" s="2574"/>
      <c r="S56" s="2566"/>
      <c r="T56" s="2566"/>
      <c r="U56" s="2582"/>
    </row>
    <row r="57" outlineLevel="1" spans="3:21">
      <c r="C57" s="2567"/>
      <c r="D57" s="2566"/>
      <c r="E57" s="2566"/>
      <c r="F57" s="2566"/>
      <c r="G57" s="2566"/>
      <c r="H57" s="2566"/>
      <c r="I57" s="2566"/>
      <c r="J57" s="2566"/>
      <c r="K57" s="2566"/>
      <c r="L57" s="2574"/>
      <c r="M57" s="2574"/>
      <c r="N57" s="2574"/>
      <c r="O57" s="2574"/>
      <c r="P57" s="2574"/>
      <c r="Q57" s="2574"/>
      <c r="R57" s="2574"/>
      <c r="S57" s="2566"/>
      <c r="T57" s="2566"/>
      <c r="U57" s="2582"/>
    </row>
    <row r="58" outlineLevel="1" spans="3:21">
      <c r="C58" s="2567"/>
      <c r="D58" s="2566"/>
      <c r="E58" s="2566"/>
      <c r="F58" s="2566"/>
      <c r="G58" s="2566"/>
      <c r="H58" s="2566"/>
      <c r="I58" s="2566"/>
      <c r="J58" s="2566"/>
      <c r="K58" s="2566"/>
      <c r="L58" s="2574"/>
      <c r="M58" s="2574"/>
      <c r="N58" s="2574"/>
      <c r="O58" s="2574"/>
      <c r="P58" s="2574"/>
      <c r="Q58" s="2574"/>
      <c r="R58" s="2574"/>
      <c r="S58" s="2566"/>
      <c r="T58" s="2566"/>
      <c r="U58" s="2582"/>
    </row>
    <row r="59" outlineLevel="1" spans="3:21">
      <c r="C59" s="2567"/>
      <c r="D59" s="2566"/>
      <c r="E59" s="2566"/>
      <c r="F59" s="2566"/>
      <c r="G59" s="2566"/>
      <c r="H59" s="2566"/>
      <c r="I59" s="2566"/>
      <c r="J59" s="2566"/>
      <c r="K59" s="2566"/>
      <c r="L59" s="2574"/>
      <c r="M59" s="2574"/>
      <c r="N59" s="2574"/>
      <c r="O59" s="2574"/>
      <c r="P59" s="2574"/>
      <c r="Q59" s="2574"/>
      <c r="R59" s="2574"/>
      <c r="S59" s="2566"/>
      <c r="T59" s="2566"/>
      <c r="U59" s="2582"/>
    </row>
    <row r="60" outlineLevel="1" spans="3:21">
      <c r="C60" s="2567"/>
      <c r="D60" s="2566"/>
      <c r="E60" s="2566"/>
      <c r="F60" s="2566"/>
      <c r="G60" s="2566"/>
      <c r="H60" s="2566"/>
      <c r="I60" s="2566"/>
      <c r="J60" s="2566"/>
      <c r="K60" s="2566"/>
      <c r="L60" s="2574"/>
      <c r="M60" s="2574"/>
      <c r="N60" s="2574"/>
      <c r="O60" s="2574"/>
      <c r="P60" s="2574"/>
      <c r="Q60" s="2574"/>
      <c r="R60" s="2574"/>
      <c r="S60" s="2566"/>
      <c r="T60" s="2566"/>
      <c r="U60" s="2582"/>
    </row>
    <row r="61" outlineLevel="1" spans="3:21">
      <c r="C61" s="2567"/>
      <c r="D61" s="2566"/>
      <c r="E61" s="2566"/>
      <c r="F61" s="2566"/>
      <c r="G61" s="2566"/>
      <c r="H61" s="2566"/>
      <c r="I61" s="2566"/>
      <c r="J61" s="2566"/>
      <c r="K61" s="2566"/>
      <c r="L61" s="2574"/>
      <c r="M61" s="2574"/>
      <c r="N61" s="2574"/>
      <c r="O61" s="2574"/>
      <c r="P61" s="2574"/>
      <c r="Q61" s="2574"/>
      <c r="R61" s="2574"/>
      <c r="S61" s="2566"/>
      <c r="T61" s="2566"/>
      <c r="U61" s="2582"/>
    </row>
    <row r="62" outlineLevel="1" spans="3:21">
      <c r="C62" s="2567"/>
      <c r="D62" s="2566"/>
      <c r="E62" s="2566"/>
      <c r="F62" s="2566"/>
      <c r="G62" s="2566"/>
      <c r="H62" s="2566"/>
      <c r="I62" s="2566"/>
      <c r="J62" s="2566"/>
      <c r="K62" s="2566"/>
      <c r="L62" s="2574"/>
      <c r="M62" s="2574"/>
      <c r="N62" s="2574"/>
      <c r="O62" s="2574"/>
      <c r="P62" s="2574"/>
      <c r="Q62" s="2574"/>
      <c r="R62" s="2574"/>
      <c r="S62" s="2566"/>
      <c r="T62" s="2566"/>
      <c r="U62" s="2582"/>
    </row>
    <row r="63" outlineLevel="1" spans="3:21">
      <c r="C63" s="2567"/>
      <c r="D63" s="2566"/>
      <c r="E63" s="2566"/>
      <c r="F63" s="2566"/>
      <c r="G63" s="2566"/>
      <c r="H63" s="2566"/>
      <c r="I63" s="2566"/>
      <c r="J63" s="2566"/>
      <c r="K63" s="2566"/>
      <c r="L63" s="2574"/>
      <c r="M63" s="2574"/>
      <c r="N63" s="2574"/>
      <c r="O63" s="2574"/>
      <c r="P63" s="2574"/>
      <c r="Q63" s="2574"/>
      <c r="R63" s="2574"/>
      <c r="S63" s="2566"/>
      <c r="T63" s="2566"/>
      <c r="U63" s="2582"/>
    </row>
    <row r="64" outlineLevel="1" spans="3:21">
      <c r="C64" s="2567"/>
      <c r="D64" s="2566"/>
      <c r="E64" s="2566"/>
      <c r="F64" s="2566"/>
      <c r="G64" s="2566"/>
      <c r="H64" s="2566"/>
      <c r="I64" s="2566"/>
      <c r="J64" s="2566"/>
      <c r="K64" s="2566"/>
      <c r="L64" s="2574"/>
      <c r="M64" s="2574"/>
      <c r="N64" s="2574"/>
      <c r="O64" s="2574"/>
      <c r="P64" s="2574"/>
      <c r="Q64" s="2574"/>
      <c r="R64" s="2574"/>
      <c r="S64" s="2566"/>
      <c r="T64" s="2566"/>
      <c r="U64" s="2582"/>
    </row>
    <row r="65" outlineLevel="1" spans="3:21">
      <c r="C65" s="2567"/>
      <c r="D65" s="2566"/>
      <c r="E65" s="2566"/>
      <c r="F65" s="2566"/>
      <c r="G65" s="2566"/>
      <c r="H65" s="2566"/>
      <c r="I65" s="2566"/>
      <c r="J65" s="2566"/>
      <c r="K65" s="2566"/>
      <c r="L65" s="2574"/>
      <c r="M65" s="2574"/>
      <c r="N65" s="2574"/>
      <c r="O65" s="2574"/>
      <c r="P65" s="2574"/>
      <c r="Q65" s="2574"/>
      <c r="R65" s="2574"/>
      <c r="S65" s="2566"/>
      <c r="T65" s="2566"/>
      <c r="U65" s="2582"/>
    </row>
    <row r="66" outlineLevel="1" spans="3:21">
      <c r="C66" s="2567"/>
      <c r="D66" s="2566"/>
      <c r="E66" s="2566"/>
      <c r="F66" s="2566"/>
      <c r="G66" s="2566"/>
      <c r="H66" s="2566"/>
      <c r="I66" s="2566"/>
      <c r="J66" s="2566"/>
      <c r="K66" s="2566"/>
      <c r="L66" s="2574"/>
      <c r="M66" s="2574"/>
      <c r="N66" s="2574"/>
      <c r="O66" s="2574"/>
      <c r="P66" s="2574"/>
      <c r="Q66" s="2574"/>
      <c r="R66" s="2574"/>
      <c r="S66" s="2566"/>
      <c r="T66" s="2566"/>
      <c r="U66" s="2582"/>
    </row>
    <row r="67" outlineLevel="1" spans="3:21">
      <c r="C67" s="2567"/>
      <c r="D67" s="2566"/>
      <c r="E67" s="2566"/>
      <c r="F67" s="2566"/>
      <c r="G67" s="2566"/>
      <c r="H67" s="2566"/>
      <c r="I67" s="2566"/>
      <c r="J67" s="2566"/>
      <c r="K67" s="2566"/>
      <c r="L67" s="2574"/>
      <c r="M67" s="2574"/>
      <c r="N67" s="2574"/>
      <c r="O67" s="2574"/>
      <c r="P67" s="2574"/>
      <c r="Q67" s="2574"/>
      <c r="R67" s="2574"/>
      <c r="S67" s="2566"/>
      <c r="T67" s="2566"/>
      <c r="U67" s="2582"/>
    </row>
    <row r="68" outlineLevel="1" spans="3:21">
      <c r="C68" s="2567"/>
      <c r="D68" s="2566"/>
      <c r="E68" s="2566"/>
      <c r="F68" s="2566"/>
      <c r="G68" s="2566"/>
      <c r="H68" s="2566"/>
      <c r="I68" s="2566"/>
      <c r="J68" s="2566"/>
      <c r="K68" s="2566"/>
      <c r="L68" s="2574"/>
      <c r="M68" s="2574"/>
      <c r="N68" s="2574"/>
      <c r="O68" s="2574"/>
      <c r="P68" s="2574"/>
      <c r="Q68" s="2574"/>
      <c r="R68" s="2574"/>
      <c r="S68" s="2566"/>
      <c r="T68" s="2566"/>
      <c r="U68" s="2582"/>
    </row>
    <row r="69" outlineLevel="1" spans="3:21">
      <c r="C69" s="2567"/>
      <c r="D69" s="2566"/>
      <c r="E69" s="2566"/>
      <c r="F69" s="2566"/>
      <c r="G69" s="2566"/>
      <c r="H69" s="2566"/>
      <c r="I69" s="2566"/>
      <c r="J69" s="2566"/>
      <c r="K69" s="2566"/>
      <c r="L69" s="2574"/>
      <c r="M69" s="2574"/>
      <c r="N69" s="2574"/>
      <c r="O69" s="2574"/>
      <c r="P69" s="2574"/>
      <c r="Q69" s="2574"/>
      <c r="R69" s="2574"/>
      <c r="S69" s="2566"/>
      <c r="T69" s="2566"/>
      <c r="U69" s="2582"/>
    </row>
    <row r="70" ht="24" outlineLevel="1" spans="3:21">
      <c r="C70" s="2602" t="s">
        <v>12022</v>
      </c>
      <c r="D70" s="2603"/>
      <c r="E70" s="2603"/>
      <c r="F70" s="2604" t="s">
        <v>12199</v>
      </c>
      <c r="G70" s="2604"/>
      <c r="H70" s="2604" t="s">
        <v>12200</v>
      </c>
      <c r="I70" s="2604" t="s">
        <v>12201</v>
      </c>
      <c r="J70" s="2612"/>
      <c r="K70" s="2604" t="s">
        <v>12202</v>
      </c>
      <c r="L70" s="2604" t="s">
        <v>12203</v>
      </c>
      <c r="M70" s="2574"/>
      <c r="N70" s="2613" t="s">
        <v>12204</v>
      </c>
      <c r="O70" s="2613" t="s">
        <v>12205</v>
      </c>
      <c r="P70" s="2574"/>
      <c r="Q70" s="2613" t="s">
        <v>12206</v>
      </c>
      <c r="R70" s="2574"/>
      <c r="S70" s="2566"/>
      <c r="T70" s="2566"/>
      <c r="U70" s="2582"/>
    </row>
    <row r="71" outlineLevel="1" spans="3:21">
      <c r="C71" s="2602" t="s">
        <v>11479</v>
      </c>
      <c r="D71" s="2603"/>
      <c r="E71" s="2603"/>
      <c r="F71" s="2605">
        <v>2018</v>
      </c>
      <c r="G71" s="2603"/>
      <c r="H71" s="2605">
        <v>2018</v>
      </c>
      <c r="I71" s="2605">
        <v>2018</v>
      </c>
      <c r="J71" s="2566"/>
      <c r="K71" s="2605">
        <v>2018</v>
      </c>
      <c r="L71" s="2574"/>
      <c r="M71" s="2574"/>
      <c r="N71" s="2574"/>
      <c r="O71" s="2574"/>
      <c r="P71" s="2574"/>
      <c r="Q71" s="2574"/>
      <c r="R71" s="2574"/>
      <c r="S71" s="2566"/>
      <c r="T71" s="2566"/>
      <c r="U71" s="2582"/>
    </row>
    <row r="72" outlineLevel="1" spans="3:21">
      <c r="C72" s="2602" t="s">
        <v>12207</v>
      </c>
      <c r="D72" s="2603"/>
      <c r="E72" s="2603"/>
      <c r="F72" s="2603">
        <v>627950000</v>
      </c>
      <c r="G72" s="2603"/>
      <c r="H72" s="2603">
        <v>675000000</v>
      </c>
      <c r="I72" s="2603">
        <f>F72+H72</f>
        <v>1302950000</v>
      </c>
      <c r="J72" s="2566"/>
      <c r="K72" s="2603"/>
      <c r="L72" s="2574"/>
      <c r="M72" s="2574"/>
      <c r="N72" s="2574"/>
      <c r="O72" s="2574"/>
      <c r="P72" s="2574"/>
      <c r="Q72" s="2574"/>
      <c r="R72" s="2574"/>
      <c r="S72" s="2566"/>
      <c r="T72" s="2566"/>
      <c r="U72" s="2582"/>
    </row>
    <row r="73" outlineLevel="1" spans="3:21">
      <c r="C73" s="2602" t="s">
        <v>12208</v>
      </c>
      <c r="D73" s="2603"/>
      <c r="E73" s="2603"/>
      <c r="F73" s="2603">
        <v>484883000</v>
      </c>
      <c r="G73" s="2603"/>
      <c r="H73" s="2603">
        <v>558907500</v>
      </c>
      <c r="I73" s="2603">
        <f>F73+H73</f>
        <v>1043790500</v>
      </c>
      <c r="J73" s="2566"/>
      <c r="K73" s="2603"/>
      <c r="L73" s="2574"/>
      <c r="M73" s="2574"/>
      <c r="N73" s="2574"/>
      <c r="O73" s="2574"/>
      <c r="P73" s="2574"/>
      <c r="Q73" s="2574"/>
      <c r="R73" s="2574"/>
      <c r="S73" s="2566"/>
      <c r="T73" s="2566"/>
      <c r="U73" s="2582"/>
    </row>
    <row r="74" outlineLevel="1" spans="3:21">
      <c r="C74" s="2602"/>
      <c r="D74" s="2603"/>
      <c r="E74" s="2603"/>
      <c r="F74" s="2603">
        <v>10000000</v>
      </c>
      <c r="G74" s="2603"/>
      <c r="H74" s="2603"/>
      <c r="I74" s="2603">
        <f>F74+H74</f>
        <v>10000000</v>
      </c>
      <c r="J74" s="2566"/>
      <c r="K74" s="2603"/>
      <c r="L74" s="2574"/>
      <c r="M74" s="2574"/>
      <c r="N74" s="2574"/>
      <c r="O74" s="2574"/>
      <c r="P74" s="2574"/>
      <c r="Q74" s="2574"/>
      <c r="R74" s="2574"/>
      <c r="S74" s="2566"/>
      <c r="T74" s="2566"/>
      <c r="U74" s="2582"/>
    </row>
    <row r="75" outlineLevel="1" spans="3:21">
      <c r="C75" s="2602" t="s">
        <v>12209</v>
      </c>
      <c r="D75" s="2603"/>
      <c r="E75" s="2603"/>
      <c r="F75" s="2606">
        <f>F72-F73-F74</f>
        <v>133067000</v>
      </c>
      <c r="G75" s="2606"/>
      <c r="H75" s="2606">
        <f>H72-H73-H74</f>
        <v>116092500</v>
      </c>
      <c r="I75" s="2606">
        <f>I72-I73-I74</f>
        <v>249159500</v>
      </c>
      <c r="J75" s="2566"/>
      <c r="K75" s="2603"/>
      <c r="L75" s="2574"/>
      <c r="M75" s="2574"/>
      <c r="N75" s="2574"/>
      <c r="O75" s="2574"/>
      <c r="P75" s="2574"/>
      <c r="Q75" s="2574"/>
      <c r="R75" s="2574"/>
      <c r="S75" s="2566"/>
      <c r="T75" s="2566"/>
      <c r="U75" s="2582"/>
    </row>
    <row r="76" outlineLevel="1" spans="3:21">
      <c r="C76" s="2602" t="s">
        <v>12210</v>
      </c>
      <c r="D76" s="2603"/>
      <c r="E76" s="2603"/>
      <c r="F76" s="2603">
        <f>F75/36</f>
        <v>3696305.55555556</v>
      </c>
      <c r="G76" s="2603"/>
      <c r="H76" s="2603">
        <f>H75/36</f>
        <v>3224791.66666667</v>
      </c>
      <c r="I76" s="2603"/>
      <c r="J76" s="2566"/>
      <c r="K76" s="2603"/>
      <c r="L76" s="2574"/>
      <c r="M76" s="2574"/>
      <c r="N76" s="2574"/>
      <c r="O76" s="2574"/>
      <c r="P76" s="2574"/>
      <c r="Q76" s="2574"/>
      <c r="R76" s="2574"/>
      <c r="S76" s="2566"/>
      <c r="T76" s="2566"/>
      <c r="U76" s="2582"/>
    </row>
    <row r="77" outlineLevel="1" spans="3:21">
      <c r="C77" s="2602"/>
      <c r="D77" s="2603"/>
      <c r="E77" s="2603"/>
      <c r="F77" s="2603"/>
      <c r="G77" s="2603"/>
      <c r="H77" s="2603"/>
      <c r="I77" s="2603"/>
      <c r="J77" s="2566"/>
      <c r="K77" s="2603"/>
      <c r="L77" s="2574"/>
      <c r="M77" s="2574"/>
      <c r="N77" s="2574"/>
      <c r="O77" s="2574"/>
      <c r="P77" s="2574"/>
      <c r="Q77" s="2574"/>
      <c r="R77" s="2574"/>
      <c r="S77" s="2566"/>
      <c r="T77" s="2566"/>
      <c r="U77" s="2582"/>
    </row>
    <row r="78" outlineLevel="1" spans="3:21">
      <c r="C78" s="2602" t="s">
        <v>12035</v>
      </c>
      <c r="D78" s="2603"/>
      <c r="E78" s="2603"/>
      <c r="F78" s="2603"/>
      <c r="G78" s="2603"/>
      <c r="H78" s="2603"/>
      <c r="I78" s="2603"/>
      <c r="J78" s="2566"/>
      <c r="K78" s="2603"/>
      <c r="L78" s="2574"/>
      <c r="M78" s="2574"/>
      <c r="N78" s="2574"/>
      <c r="O78" s="2574"/>
      <c r="P78" s="2574"/>
      <c r="Q78" s="2574"/>
      <c r="R78" s="2574"/>
      <c r="S78" s="2566"/>
      <c r="T78" s="2566"/>
      <c r="U78" s="2582"/>
    </row>
    <row r="79" outlineLevel="1" spans="3:21">
      <c r="C79" s="2602"/>
      <c r="D79" s="2603"/>
      <c r="E79" s="2603"/>
      <c r="F79" s="2603"/>
      <c r="G79" s="2603"/>
      <c r="H79" s="2603"/>
      <c r="I79" s="2603"/>
      <c r="J79" s="2566"/>
      <c r="K79" s="2603"/>
      <c r="L79" s="2574"/>
      <c r="M79" s="2574"/>
      <c r="N79" s="2574"/>
      <c r="O79" s="2574"/>
      <c r="P79" s="2574"/>
      <c r="Q79" s="2574"/>
      <c r="R79" s="2574"/>
      <c r="S79" s="2566"/>
      <c r="T79" s="2566"/>
      <c r="U79" s="2582"/>
    </row>
    <row r="80" outlineLevel="1" spans="3:21">
      <c r="C80" s="2602" t="s">
        <v>346</v>
      </c>
      <c r="D80" s="2603"/>
      <c r="E80" s="2603"/>
      <c r="F80" s="2603">
        <v>0</v>
      </c>
      <c r="G80" s="2603"/>
      <c r="H80" s="2607">
        <v>4999000</v>
      </c>
      <c r="I80" s="2603"/>
      <c r="J80" s="2566"/>
      <c r="K80" s="2603"/>
      <c r="L80" s="2574"/>
      <c r="M80" s="2574"/>
      <c r="N80" s="2574"/>
      <c r="O80" s="2574"/>
      <c r="P80" s="2574"/>
      <c r="Q80" s="2574"/>
      <c r="R80" s="2574"/>
      <c r="S80" s="2566"/>
      <c r="T80" s="2566"/>
      <c r="U80" s="2582"/>
    </row>
    <row r="81" outlineLevel="1" spans="3:21">
      <c r="C81" s="2602" t="s">
        <v>12038</v>
      </c>
      <c r="D81" s="2603"/>
      <c r="E81" s="2603"/>
      <c r="F81" s="2603">
        <v>5005000</v>
      </c>
      <c r="G81" s="2603"/>
      <c r="H81" s="2603">
        <f>'[97]GL WPb 2018'!$L$3943</f>
        <v>4513655</v>
      </c>
      <c r="I81" s="2603"/>
      <c r="J81" s="2566"/>
      <c r="K81" s="2603"/>
      <c r="L81" s="2574"/>
      <c r="M81" s="2574"/>
      <c r="N81" s="2574"/>
      <c r="O81" s="2574"/>
      <c r="P81" s="2574"/>
      <c r="Q81" s="2574"/>
      <c r="R81" s="2574"/>
      <c r="S81" s="2566"/>
      <c r="T81" s="2566"/>
      <c r="U81" s="2582"/>
    </row>
    <row r="82" outlineLevel="1" spans="3:21">
      <c r="C82" s="2602" t="s">
        <v>12040</v>
      </c>
      <c r="D82" s="2603"/>
      <c r="E82" s="2603"/>
      <c r="F82" s="2603"/>
      <c r="G82" s="2603"/>
      <c r="H82" s="2603"/>
      <c r="I82" s="2603"/>
      <c r="J82" s="2566"/>
      <c r="K82" s="2603"/>
      <c r="L82" s="2574"/>
      <c r="M82" s="2574"/>
      <c r="N82" s="2574"/>
      <c r="O82" s="2574"/>
      <c r="P82" s="2574"/>
      <c r="Q82" s="2574"/>
      <c r="R82" s="2574"/>
      <c r="S82" s="2566"/>
      <c r="T82" s="2566"/>
      <c r="U82" s="2582"/>
    </row>
    <row r="83" spans="3:21">
      <c r="C83" s="2602" t="s">
        <v>12041</v>
      </c>
      <c r="D83" s="2603"/>
      <c r="E83" s="2603"/>
      <c r="F83" s="2603">
        <f>F81*M83</f>
        <v>0</v>
      </c>
      <c r="G83" s="2603"/>
      <c r="H83" s="2603">
        <f>($H$80*12)</f>
        <v>59988000</v>
      </c>
      <c r="I83" s="2603"/>
      <c r="J83" s="2566"/>
      <c r="K83" s="2603"/>
      <c r="L83" s="2574"/>
      <c r="M83" s="2574"/>
      <c r="N83" s="2574"/>
      <c r="O83" s="2574"/>
      <c r="P83" s="2574"/>
      <c r="Q83" s="2574"/>
      <c r="R83" s="2574"/>
      <c r="S83" s="2566"/>
      <c r="T83" s="2566"/>
      <c r="U83" s="2582"/>
    </row>
    <row r="84" spans="3:21">
      <c r="C84" s="2602" t="s">
        <v>12042</v>
      </c>
      <c r="D84" s="2603"/>
      <c r="E84" s="2603"/>
      <c r="F84" s="2603">
        <f>F81*M84</f>
        <v>0</v>
      </c>
      <c r="G84" s="2603"/>
      <c r="H84" s="2603">
        <f>($H$81*11)+H80-121360</f>
        <v>54527845</v>
      </c>
      <c r="I84" s="2603"/>
      <c r="J84" s="2566"/>
      <c r="K84" s="2603"/>
      <c r="L84" s="2574"/>
      <c r="M84" s="2574"/>
      <c r="N84" s="2574"/>
      <c r="O84" s="2574"/>
      <c r="P84" s="2574"/>
      <c r="Q84" s="2574"/>
      <c r="R84" s="2574"/>
      <c r="S84" s="2566"/>
      <c r="T84" s="2566"/>
      <c r="U84" s="2582"/>
    </row>
    <row r="85" spans="3:21">
      <c r="C85" s="2602" t="s">
        <v>12043</v>
      </c>
      <c r="D85" s="2603"/>
      <c r="E85" s="2603"/>
      <c r="F85" s="2603">
        <f>F81*M85</f>
        <v>0</v>
      </c>
      <c r="G85" s="2603"/>
      <c r="H85" s="2603">
        <f>$H$81*N85</f>
        <v>0</v>
      </c>
      <c r="I85" s="2603"/>
      <c r="J85" s="2566"/>
      <c r="K85" s="2603"/>
      <c r="L85" s="2574"/>
      <c r="M85" s="2574"/>
      <c r="N85" s="2574"/>
      <c r="O85" s="2574"/>
      <c r="P85" s="2574"/>
      <c r="Q85" s="2574"/>
      <c r="R85" s="2574"/>
      <c r="S85" s="2566"/>
      <c r="T85" s="2566"/>
      <c r="U85" s="2582"/>
    </row>
    <row r="86" spans="3:21">
      <c r="C86" s="2602"/>
      <c r="D86" s="2603"/>
      <c r="E86" s="2603"/>
      <c r="F86" s="2606">
        <f>SUM(F83:F85)</f>
        <v>0</v>
      </c>
      <c r="G86" s="2606"/>
      <c r="H86" s="2606">
        <f>SUM(H83:H85)</f>
        <v>114515845</v>
      </c>
      <c r="I86" s="2603"/>
      <c r="J86" s="2566"/>
      <c r="K86" s="2603"/>
      <c r="L86" s="2574"/>
      <c r="M86" s="2574"/>
      <c r="N86" s="2574"/>
      <c r="O86" s="2574"/>
      <c r="P86" s="2574"/>
      <c r="Q86" s="2574"/>
      <c r="R86" s="2574"/>
      <c r="S86" s="2566"/>
      <c r="T86" s="2566"/>
      <c r="U86" s="2582"/>
    </row>
    <row r="87" spans="3:21">
      <c r="C87" s="2602" t="s">
        <v>12044</v>
      </c>
      <c r="D87" s="2603"/>
      <c r="E87" s="2603"/>
      <c r="F87" s="2603">
        <f>F83</f>
        <v>0</v>
      </c>
      <c r="G87" s="2603"/>
      <c r="H87" s="2603">
        <f>H83</f>
        <v>59988000</v>
      </c>
      <c r="I87" s="2603"/>
      <c r="J87" s="2566"/>
      <c r="K87" s="2603"/>
      <c r="L87" s="2574"/>
      <c r="M87" s="2574"/>
      <c r="N87" s="2574"/>
      <c r="O87" s="2574"/>
      <c r="P87" s="2574"/>
      <c r="Q87" s="2574"/>
      <c r="R87" s="2574"/>
      <c r="S87" s="2566"/>
      <c r="T87" s="2566"/>
      <c r="U87" s="2582"/>
    </row>
    <row r="88" spans="3:21">
      <c r="C88" s="2602" t="s">
        <v>12045</v>
      </c>
      <c r="D88" s="2603"/>
      <c r="E88" s="2603"/>
      <c r="F88" s="2603">
        <f>SUM(F84:F85)</f>
        <v>0</v>
      </c>
      <c r="G88" s="2603"/>
      <c r="H88" s="2603">
        <f>SUM(H84:H85)</f>
        <v>54527845</v>
      </c>
      <c r="I88" s="2603"/>
      <c r="J88" s="2566"/>
      <c r="K88" s="2603"/>
      <c r="L88" s="2574"/>
      <c r="M88" s="2574"/>
      <c r="N88" s="2574"/>
      <c r="O88" s="2574"/>
      <c r="P88" s="2574"/>
      <c r="Q88" s="2574"/>
      <c r="R88" s="2574"/>
      <c r="S88" s="2566"/>
      <c r="T88" s="2566"/>
      <c r="U88" s="2582"/>
    </row>
    <row r="89" spans="3:21">
      <c r="C89" s="2602"/>
      <c r="D89" s="2603"/>
      <c r="E89" s="2603"/>
      <c r="F89" s="2606">
        <f>SUM(F87:F88)</f>
        <v>0</v>
      </c>
      <c r="G89" s="2603"/>
      <c r="H89" s="2606">
        <f>SUM(H87:H88)</f>
        <v>114515845</v>
      </c>
      <c r="I89" s="2603"/>
      <c r="J89" s="2566"/>
      <c r="K89" s="2603"/>
      <c r="L89" s="2574"/>
      <c r="M89" s="2574"/>
      <c r="N89" s="2574"/>
      <c r="O89" s="2574"/>
      <c r="P89" s="2574"/>
      <c r="Q89" s="2574"/>
      <c r="R89" s="2574"/>
      <c r="S89" s="2566"/>
      <c r="T89" s="2566"/>
      <c r="U89" s="2582"/>
    </row>
    <row r="90" spans="3:21">
      <c r="C90" s="2602"/>
      <c r="D90" s="2603"/>
      <c r="E90" s="2603"/>
      <c r="F90" s="2603"/>
      <c r="G90" s="2603"/>
      <c r="H90" s="2603"/>
      <c r="I90" s="2603"/>
      <c r="J90" s="2566"/>
      <c r="K90" s="2603"/>
      <c r="L90" s="2574"/>
      <c r="M90" s="2574"/>
      <c r="N90" s="2574"/>
      <c r="O90" s="2574"/>
      <c r="P90" s="2574"/>
      <c r="Q90" s="2574"/>
      <c r="R90" s="2574"/>
      <c r="S90" s="2566"/>
      <c r="T90" s="2566"/>
      <c r="U90" s="2582"/>
    </row>
    <row r="91" spans="3:21">
      <c r="C91" s="2602" t="s">
        <v>12046</v>
      </c>
      <c r="D91" s="2603"/>
      <c r="E91" s="2603"/>
      <c r="F91" s="2603"/>
      <c r="G91" s="2603"/>
      <c r="H91" s="2603"/>
      <c r="I91" s="2603"/>
      <c r="J91" s="2603"/>
      <c r="K91" s="2603"/>
      <c r="L91" s="2574"/>
      <c r="M91" s="2574"/>
      <c r="N91" s="2574"/>
      <c r="O91" s="2574"/>
      <c r="P91" s="2574"/>
      <c r="Q91" s="2574"/>
      <c r="R91" s="2574"/>
      <c r="S91" s="2566"/>
      <c r="T91" s="2566"/>
      <c r="U91" s="2582"/>
    </row>
    <row r="92" spans="3:21">
      <c r="C92" s="2602" t="s">
        <v>12047</v>
      </c>
      <c r="D92" s="2603"/>
      <c r="E92" s="2603"/>
      <c r="F92" s="2603"/>
      <c r="G92" s="2603"/>
      <c r="H92" s="2603"/>
      <c r="I92" s="2603"/>
      <c r="J92" s="2603"/>
      <c r="K92" s="2603"/>
      <c r="L92" s="2574"/>
      <c r="M92" s="2574"/>
      <c r="N92" s="2574"/>
      <c r="O92" s="2574"/>
      <c r="P92" s="2574"/>
      <c r="Q92" s="2574"/>
      <c r="R92" s="2574"/>
      <c r="S92" s="2566"/>
      <c r="T92" s="2566"/>
      <c r="U92" s="2582"/>
    </row>
    <row r="93" spans="3:21">
      <c r="C93" s="2602" t="s">
        <v>12048</v>
      </c>
      <c r="D93" s="2603"/>
      <c r="E93" s="2603"/>
      <c r="F93" s="2603"/>
      <c r="G93" s="2603"/>
      <c r="H93" s="2603"/>
      <c r="I93" s="2603"/>
      <c r="J93" s="2603"/>
      <c r="K93" s="2603"/>
      <c r="L93" s="2574"/>
      <c r="M93" s="2574"/>
      <c r="N93" s="2574"/>
      <c r="O93" s="2574"/>
      <c r="P93" s="2574"/>
      <c r="Q93" s="2574"/>
      <c r="R93" s="2574"/>
      <c r="S93" s="2566"/>
      <c r="T93" s="2566"/>
      <c r="U93" s="2582"/>
    </row>
    <row r="94" spans="3:21">
      <c r="C94" s="2602" t="s">
        <v>12049</v>
      </c>
      <c r="D94" s="2603"/>
      <c r="E94" s="2603"/>
      <c r="F94" s="2603"/>
      <c r="G94" s="2603"/>
      <c r="H94" s="2603"/>
      <c r="I94" s="2603"/>
      <c r="J94" s="2603"/>
      <c r="K94" s="2603"/>
      <c r="L94" s="2574"/>
      <c r="M94" s="2574"/>
      <c r="N94" s="2574"/>
      <c r="O94" s="2574"/>
      <c r="P94" s="2574"/>
      <c r="Q94" s="2574"/>
      <c r="R94" s="2574"/>
      <c r="S94" s="2566"/>
      <c r="T94" s="2566"/>
      <c r="U94" s="2582"/>
    </row>
    <row r="95" spans="3:21">
      <c r="C95" s="2602" t="s">
        <v>12050</v>
      </c>
      <c r="D95" s="2603"/>
      <c r="E95" s="2603"/>
      <c r="F95" s="2603"/>
      <c r="G95" s="2603"/>
      <c r="H95" s="2603"/>
      <c r="I95" s="2603"/>
      <c r="J95" s="2603"/>
      <c r="K95" s="2603"/>
      <c r="L95" s="2574"/>
      <c r="M95" s="2574"/>
      <c r="N95" s="2574"/>
      <c r="O95" s="2574"/>
      <c r="P95" s="2574"/>
      <c r="Q95" s="2574"/>
      <c r="R95" s="2574"/>
      <c r="S95" s="2566"/>
      <c r="T95" s="2566"/>
      <c r="U95" s="2582"/>
    </row>
    <row r="96" spans="3:21">
      <c r="C96" s="2602" t="s">
        <v>12051</v>
      </c>
      <c r="D96" s="2603"/>
      <c r="E96" s="2603"/>
      <c r="F96" s="2603"/>
      <c r="G96" s="2603"/>
      <c r="H96" s="2603"/>
      <c r="I96" s="2603"/>
      <c r="J96" s="2603"/>
      <c r="K96" s="2603"/>
      <c r="L96" s="2574"/>
      <c r="M96" s="2574"/>
      <c r="N96" s="2574"/>
      <c r="O96" s="2574"/>
      <c r="P96" s="2574"/>
      <c r="Q96" s="2574"/>
      <c r="R96" s="2574"/>
      <c r="S96" s="2566"/>
      <c r="T96" s="2566"/>
      <c r="U96" s="2582"/>
    </row>
    <row r="97" spans="3:21">
      <c r="C97" s="2602" t="s">
        <v>12052</v>
      </c>
      <c r="D97" s="2603"/>
      <c r="E97" s="2603"/>
      <c r="F97" s="2603"/>
      <c r="G97" s="2603"/>
      <c r="H97" s="2603"/>
      <c r="I97" s="2603"/>
      <c r="J97" s="2603"/>
      <c r="K97" s="2603"/>
      <c r="L97" s="2574"/>
      <c r="M97" s="2574"/>
      <c r="N97" s="2574"/>
      <c r="O97" s="2574"/>
      <c r="P97" s="2574"/>
      <c r="Q97" s="2574"/>
      <c r="R97" s="2574"/>
      <c r="S97" s="2566"/>
      <c r="T97" s="2566"/>
      <c r="U97" s="2582"/>
    </row>
    <row r="98" spans="3:21">
      <c r="C98" s="2602" t="s">
        <v>349</v>
      </c>
      <c r="D98" s="2603"/>
      <c r="E98" s="2603"/>
      <c r="F98" s="2603"/>
      <c r="G98" s="2603"/>
      <c r="H98" s="2603"/>
      <c r="I98" s="2603"/>
      <c r="J98" s="2603"/>
      <c r="K98" s="2603"/>
      <c r="L98" s="2574"/>
      <c r="M98" s="2574"/>
      <c r="N98" s="2574"/>
      <c r="O98" s="2574"/>
      <c r="P98" s="2574"/>
      <c r="Q98" s="2574"/>
      <c r="R98" s="2574"/>
      <c r="S98" s="2566"/>
      <c r="T98" s="2566"/>
      <c r="U98" s="2582"/>
    </row>
    <row r="99" spans="3:21">
      <c r="C99" s="2565"/>
      <c r="D99" s="2566"/>
      <c r="E99" s="2566"/>
      <c r="F99" s="2566"/>
      <c r="G99" s="2566"/>
      <c r="H99" s="2566"/>
      <c r="I99" s="2566"/>
      <c r="J99" s="2566"/>
      <c r="K99" s="2566"/>
      <c r="L99" s="2574"/>
      <c r="M99" s="2574"/>
      <c r="N99" s="2574"/>
      <c r="O99" s="2574"/>
      <c r="P99" s="2574"/>
      <c r="Q99" s="2574"/>
      <c r="R99" s="2574"/>
      <c r="S99" s="2566"/>
      <c r="T99" s="2566"/>
      <c r="U99" s="2582"/>
    </row>
    <row r="100" spans="3:21">
      <c r="C100" s="2565"/>
      <c r="D100" s="2566"/>
      <c r="E100" s="2566"/>
      <c r="F100" s="2566"/>
      <c r="G100" s="2566"/>
      <c r="H100" s="2566"/>
      <c r="I100" s="2566"/>
      <c r="J100" s="2566"/>
      <c r="K100" s="2566"/>
      <c r="L100" s="2574"/>
      <c r="M100" s="2574"/>
      <c r="N100" s="2574"/>
      <c r="O100" s="2574"/>
      <c r="P100" s="2574"/>
      <c r="Q100" s="2574"/>
      <c r="R100" s="2574"/>
      <c r="S100" s="2566"/>
      <c r="T100" s="2566"/>
      <c r="U100" s="2582"/>
    </row>
    <row r="101" spans="3:21">
      <c r="C101" s="2565"/>
      <c r="D101" s="2566"/>
      <c r="E101" s="2566"/>
      <c r="F101" s="2566"/>
      <c r="G101" s="2566"/>
      <c r="H101" s="2566"/>
      <c r="I101" s="2566"/>
      <c r="J101" s="2566"/>
      <c r="K101" s="2566"/>
      <c r="L101" s="2574"/>
      <c r="M101" s="2574"/>
      <c r="N101" s="2574"/>
      <c r="O101" s="2574"/>
      <c r="P101" s="2574"/>
      <c r="Q101" s="2574"/>
      <c r="R101" s="2574"/>
      <c r="S101" s="2566"/>
      <c r="T101" s="2566"/>
      <c r="U101" s="2582"/>
    </row>
    <row r="102" spans="3:21">
      <c r="C102" s="2565"/>
      <c r="D102" s="2566"/>
      <c r="E102" s="2566"/>
      <c r="F102" s="2566"/>
      <c r="G102" s="2566"/>
      <c r="H102" s="2566"/>
      <c r="I102" s="2566"/>
      <c r="J102" s="2566"/>
      <c r="K102" s="2566"/>
      <c r="L102" s="2574"/>
      <c r="M102" s="2574"/>
      <c r="N102" s="2574"/>
      <c r="O102" s="2574"/>
      <c r="P102" s="2574"/>
      <c r="Q102" s="2574"/>
      <c r="R102" s="2574"/>
      <c r="S102" s="2566"/>
      <c r="T102" s="2566"/>
      <c r="U102" s="2582"/>
    </row>
    <row r="103" spans="3:21">
      <c r="C103" s="2565"/>
      <c r="D103" s="2566"/>
      <c r="E103" s="2566"/>
      <c r="F103" s="2566"/>
      <c r="G103" s="2566"/>
      <c r="H103" s="2566"/>
      <c r="I103" s="2566"/>
      <c r="J103" s="2566"/>
      <c r="K103" s="2566"/>
      <c r="L103" s="2574"/>
      <c r="M103" s="2574"/>
      <c r="N103" s="2574"/>
      <c r="O103" s="2574"/>
      <c r="P103" s="2574"/>
      <c r="Q103" s="2574"/>
      <c r="R103" s="2574"/>
      <c r="S103" s="2566"/>
      <c r="T103" s="2566"/>
      <c r="U103" s="2582"/>
    </row>
    <row r="104" ht="13.95" spans="3:21">
      <c r="C104" s="2565"/>
      <c r="D104" s="2566"/>
      <c r="E104" s="2566"/>
      <c r="F104" s="2566"/>
      <c r="G104" s="2566"/>
      <c r="H104" s="2566"/>
      <c r="I104" s="2566"/>
      <c r="J104" s="2566"/>
      <c r="K104" s="2566"/>
      <c r="L104" s="2566"/>
      <c r="M104" s="2566"/>
      <c r="N104" s="2566"/>
      <c r="O104" s="2566"/>
      <c r="P104" s="2566"/>
      <c r="Q104" s="2566"/>
      <c r="R104" s="2566"/>
      <c r="S104" s="2566"/>
      <c r="T104" s="2582"/>
      <c r="U104" s="2582"/>
    </row>
    <row r="105" ht="13.95" spans="3:21">
      <c r="C105" s="2608" t="s">
        <v>952</v>
      </c>
      <c r="D105" s="2609"/>
      <c r="E105" s="2610"/>
      <c r="F105" s="2610"/>
      <c r="G105" s="2610"/>
      <c r="H105" s="2610"/>
      <c r="I105" s="2610"/>
      <c r="J105" s="2610"/>
      <c r="K105" s="2610"/>
      <c r="L105" s="2614"/>
      <c r="M105" s="2615"/>
      <c r="N105" s="2616" t="s">
        <v>953</v>
      </c>
      <c r="O105" s="2614" t="s">
        <v>954</v>
      </c>
      <c r="P105" s="2617"/>
      <c r="Q105" s="2620"/>
      <c r="R105" s="2614" t="s">
        <v>2264</v>
      </c>
      <c r="S105" s="2566"/>
      <c r="T105" s="2582"/>
      <c r="U105" s="2582"/>
    </row>
    <row r="106" spans="3:21">
      <c r="C106" s="2608"/>
      <c r="D106" s="2609"/>
      <c r="E106" s="2610"/>
      <c r="F106" s="2610"/>
      <c r="G106" s="2610"/>
      <c r="H106" s="2610"/>
      <c r="I106" s="2610"/>
      <c r="J106" s="2610"/>
      <c r="K106" s="2610"/>
      <c r="L106" s="2614"/>
      <c r="M106" s="2618"/>
      <c r="N106" s="2618"/>
      <c r="O106" s="2614"/>
      <c r="P106" s="2610"/>
      <c r="Q106" s="2610"/>
      <c r="R106" s="2614"/>
      <c r="S106" s="2566"/>
      <c r="T106" s="2582"/>
      <c r="U106" s="2582"/>
    </row>
    <row r="107" spans="3:21">
      <c r="C107" s="2611" t="s">
        <v>11833</v>
      </c>
      <c r="D107" s="2609"/>
      <c r="E107" s="2610"/>
      <c r="F107" s="2610"/>
      <c r="G107" s="2610"/>
      <c r="H107" s="2610"/>
      <c r="I107" s="2610"/>
      <c r="J107" s="2610"/>
      <c r="K107" s="2610"/>
      <c r="L107" s="2614"/>
      <c r="M107" s="2619"/>
      <c r="N107" s="2609"/>
      <c r="O107" s="2609"/>
      <c r="P107" s="2609"/>
      <c r="Q107" s="2621"/>
      <c r="R107" s="2622"/>
      <c r="S107" s="2566"/>
      <c r="T107" s="2582"/>
      <c r="U107" s="2582"/>
    </row>
    <row r="108" spans="3:21">
      <c r="C108" s="2589"/>
      <c r="D108" s="2578"/>
      <c r="E108" s="2578"/>
      <c r="F108" s="2578"/>
      <c r="G108" s="2578"/>
      <c r="H108" s="2578"/>
      <c r="I108" s="2578"/>
      <c r="J108" s="2578"/>
      <c r="K108" s="2578"/>
      <c r="L108" s="2578"/>
      <c r="M108" s="2578"/>
      <c r="N108" s="2578"/>
      <c r="O108" s="2578"/>
      <c r="P108" s="2578"/>
      <c r="Q108" s="2578"/>
      <c r="R108" s="2578"/>
      <c r="S108" s="2578"/>
      <c r="T108" s="2588"/>
      <c r="U108" s="2588"/>
    </row>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sheetData>
  <mergeCells count="7">
    <mergeCell ref="S9:T9"/>
    <mergeCell ref="S10:T10"/>
    <mergeCell ref="I33:L33"/>
    <mergeCell ref="N33:Q33"/>
    <mergeCell ref="S33:U33"/>
    <mergeCell ref="H9:I10"/>
    <mergeCell ref="N9:O10"/>
  </mergeCells>
  <hyperlinks>
    <hyperlink ref="T3" location="'F2'!A1" display="II"/>
  </hyperlinks>
  <printOptions horizontalCentered="1"/>
  <pageMargins left="0.708661417322835" right="0.511811023622047" top="0.708661417322835" bottom="0.31496062992126" header="0.511811023622047" footer="0.511811023622047"/>
  <pageSetup paperSize="9" scale="57" orientation="landscape"/>
  <headerFooter alignWithMargins="0">
    <oddFooter>&amp;R&amp;"Arial,Bold"&amp;28L</oddFooter>
  </headerFooter>
  <ignoredErrors>
    <ignoredError sqref="N33" numberStoredAsText="1"/>
  </ignoredErrors>
  <drawing r:id="rId1"/>
  <legacyDrawing r:id="rId2"/>
  <oleObjects>
    <mc:AlternateContent xmlns:mc="http://schemas.openxmlformats.org/markup-compatibility/2006">
      <mc:Choice Requires="x14">
        <oleObject shapeId="2907137" progId="Paint.Picture" r:id="rId3">
          <objectPr defaultSize="0" r:id="rId4">
            <anchor moveWithCells="1">
              <from>
                <xdr:col>2</xdr:col>
                <xdr:colOff>12700</xdr:colOff>
                <xdr:row>27</xdr:row>
                <xdr:rowOff>19050</xdr:rowOff>
              </from>
              <to>
                <xdr:col>2</xdr:col>
                <xdr:colOff>158750</xdr:colOff>
                <xdr:row>28</xdr:row>
                <xdr:rowOff>12700</xdr:rowOff>
              </to>
            </anchor>
          </objectPr>
        </oleObject>
      </mc:Choice>
      <mc:Fallback>
        <oleObject shapeId="2907137" progId="Paint.Picture" r:id="rId3"/>
      </mc:Fallback>
    </mc:AlternateContent>
    <mc:AlternateContent xmlns:mc="http://schemas.openxmlformats.org/markup-compatibility/2006">
      <mc:Choice Requires="x14">
        <oleObject shapeId="2907138" progId="Paint.Picture" r:id="rId5">
          <objectPr defaultSize="0" r:id="rId6">
            <anchor moveWithCells="1">
              <from>
                <xdr:col>2</xdr:col>
                <xdr:colOff>12700</xdr:colOff>
                <xdr:row>26</xdr:row>
                <xdr:rowOff>12700</xdr:rowOff>
              </from>
              <to>
                <xdr:col>2</xdr:col>
                <xdr:colOff>158750</xdr:colOff>
                <xdr:row>27</xdr:row>
                <xdr:rowOff>0</xdr:rowOff>
              </to>
            </anchor>
          </objectPr>
        </oleObject>
      </mc:Choice>
      <mc:Fallback>
        <oleObject shapeId="2907138" progId="Paint.Picture" r:id="rId5"/>
      </mc:Fallback>
    </mc:AlternateContent>
    <mc:AlternateContent xmlns:mc="http://schemas.openxmlformats.org/markup-compatibility/2006">
      <mc:Choice Requires="x14">
        <oleObject shapeId="2907139" progId="Paint.Picture" r:id="rId7">
          <objectPr defaultSize="0" r:id="rId6">
            <anchor moveWithCells="1">
              <from>
                <xdr:col>17</xdr:col>
                <xdr:colOff>527050</xdr:colOff>
                <xdr:row>6</xdr:row>
                <xdr:rowOff>139700</xdr:rowOff>
              </from>
              <to>
                <xdr:col>17</xdr:col>
                <xdr:colOff>711200</xdr:colOff>
                <xdr:row>7</xdr:row>
                <xdr:rowOff>146050</xdr:rowOff>
              </to>
            </anchor>
          </objectPr>
        </oleObject>
      </mc:Choice>
      <mc:Fallback>
        <oleObject shapeId="2907139" progId="Paint.Picture" r:id="rId7"/>
      </mc:Fallback>
    </mc:AlternateContent>
    <mc:AlternateContent xmlns:mc="http://schemas.openxmlformats.org/markup-compatibility/2006">
      <mc:Choice Requires="x14">
        <oleObject shapeId="2907140" progId="Paint.Picture" r:id="rId8">
          <objectPr defaultSize="0" r:id="rId4">
            <anchor moveWithCells="1">
              <from>
                <xdr:col>13</xdr:col>
                <xdr:colOff>755650</xdr:colOff>
                <xdr:row>22</xdr:row>
                <xdr:rowOff>57150</xdr:rowOff>
              </from>
              <to>
                <xdr:col>13</xdr:col>
                <xdr:colOff>952500</xdr:colOff>
                <xdr:row>23</xdr:row>
                <xdr:rowOff>95250</xdr:rowOff>
              </to>
            </anchor>
          </objectPr>
        </oleObject>
      </mc:Choice>
      <mc:Fallback>
        <oleObject shapeId="2907140" progId="Paint.Picture" r:id="rId8"/>
      </mc:Fallback>
    </mc:AlternateContent>
    <mc:AlternateContent xmlns:mc="http://schemas.openxmlformats.org/markup-compatibility/2006">
      <mc:Choice Requires="x14">
        <oleObject shapeId="6185884" progId="Paint.Picture" r:id="rId9">
          <objectPr defaultSize="0" r:id="rId6">
            <anchor moveWithCells="1">
              <from>
                <xdr:col>18</xdr:col>
                <xdr:colOff>527050</xdr:colOff>
                <xdr:row>6</xdr:row>
                <xdr:rowOff>139700</xdr:rowOff>
              </from>
              <to>
                <xdr:col>18</xdr:col>
                <xdr:colOff>711200</xdr:colOff>
                <xdr:row>7</xdr:row>
                <xdr:rowOff>146050</xdr:rowOff>
              </to>
            </anchor>
          </objectPr>
        </oleObject>
      </mc:Choice>
      <mc:Fallback>
        <oleObject shapeId="6185884" progId="Paint.Picture" r:id="rId9"/>
      </mc:Fallback>
    </mc:AlternateContent>
  </oleObjects>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4">
    <tabColor theme="6" tint="-0.249977111117893"/>
  </sheetPr>
  <dimension ref="B1:T218"/>
  <sheetViews>
    <sheetView showGridLines="0" workbookViewId="0">
      <pane xSplit="5" ySplit="11" topLeftCell="F24" activePane="bottomRight" state="frozen"/>
      <selection/>
      <selection pane="topRight"/>
      <selection pane="bottomLeft"/>
      <selection pane="bottomRight" activeCell="F61" sqref="F61"/>
    </sheetView>
  </sheetViews>
  <sheetFormatPr defaultColWidth="9" defaultRowHeight="13.2"/>
  <cols>
    <col min="1" max="1" width="3.44791666666667" customWidth="1"/>
    <col min="2" max="2" width="6.73958333333333" customWidth="1"/>
    <col min="3" max="3" width="23.21875" customWidth="1"/>
    <col min="4" max="4" width="13.03125" customWidth="1"/>
    <col min="5" max="5" width="10.6354166666667" style="102" customWidth="1"/>
    <col min="6" max="6" width="17.53125" style="102" customWidth="1"/>
    <col min="7" max="7" width="7.04166666666667" style="102" customWidth="1"/>
    <col min="8" max="8" width="14.8333333333333" style="102" customWidth="1"/>
    <col min="9" max="9" width="14.2395833333333" style="102" customWidth="1"/>
    <col min="10" max="10" width="7.04166666666667" style="102" customWidth="1"/>
    <col min="11" max="11" width="14.6875" style="102" customWidth="1"/>
    <col min="12" max="12" width="14.6875" style="102" customWidth="1" outlineLevel="1"/>
    <col min="13" max="13" width="7.64583333333333" customWidth="1" outlineLevel="1"/>
    <col min="14" max="14" width="17.375" customWidth="1" outlineLevel="1"/>
    <col min="15" max="15" width="16.78125" customWidth="1" outlineLevel="1"/>
    <col min="16" max="16" width="6.59375" customWidth="1" outlineLevel="1"/>
    <col min="17" max="17" width="15.1354166666667" customWidth="1"/>
    <col min="18" max="18" width="17.0833333333333" style="1468" customWidth="1"/>
    <col min="19" max="19" width="16.3333333333333" customWidth="1"/>
    <col min="20" max="20" width="11.9895833333333" style="2479" customWidth="1"/>
    <col min="22" max="22" width="13.3333333333333" customWidth="1"/>
  </cols>
  <sheetData>
    <row r="1" spans="16:16">
      <c r="P1" s="159"/>
    </row>
    <row r="2" s="101" customFormat="1" ht="21" spans="2:20">
      <c r="B2" s="1499" t="str">
        <f>'F1'!B2</f>
        <v>KAP LIASTA NIRWAN SYAFRUDIN &amp; REKAN</v>
      </c>
      <c r="C2" s="1757"/>
      <c r="D2" s="731"/>
      <c r="E2" s="731"/>
      <c r="F2" s="2480"/>
      <c r="G2" s="731"/>
      <c r="H2" s="731"/>
      <c r="I2" s="731"/>
      <c r="J2" s="731"/>
      <c r="K2" s="731"/>
      <c r="L2" s="2511"/>
      <c r="M2" s="2511"/>
      <c r="N2" s="2511"/>
      <c r="O2" s="2511"/>
      <c r="P2" s="731"/>
      <c r="Q2" s="731"/>
      <c r="R2" s="2480" t="s">
        <v>481</v>
      </c>
      <c r="S2" s="765" t="s">
        <v>482</v>
      </c>
      <c r="T2" s="766" t="s">
        <v>483</v>
      </c>
    </row>
    <row r="3" s="101" customFormat="1" spans="2:20">
      <c r="B3" s="1500"/>
      <c r="C3" s="1759"/>
      <c r="D3" s="1501"/>
      <c r="E3" s="1502"/>
      <c r="F3" s="2481"/>
      <c r="G3" s="1954"/>
      <c r="H3" s="1954"/>
      <c r="I3" s="1954"/>
      <c r="J3" s="1954"/>
      <c r="K3" s="1954"/>
      <c r="L3" s="2512"/>
      <c r="M3" s="2512"/>
      <c r="N3" s="2512"/>
      <c r="O3" s="2512"/>
      <c r="P3" s="1954"/>
      <c r="Q3" s="1954"/>
      <c r="R3" s="1470"/>
      <c r="S3" s="767">
        <v>43500</v>
      </c>
      <c r="T3" t="s">
        <v>735</v>
      </c>
    </row>
    <row r="4" s="101" customFormat="1" spans="2:20">
      <c r="B4" s="1546" t="s">
        <v>677</v>
      </c>
      <c r="C4" s="1758" t="str">
        <f>+'F1'!C4</f>
        <v>PT INTAN GIRI ABADI</v>
      </c>
      <c r="D4" s="1760"/>
      <c r="E4" s="1548"/>
      <c r="F4" s="773"/>
      <c r="G4" s="1760"/>
      <c r="H4" s="1760"/>
      <c r="I4" s="1760"/>
      <c r="J4" s="1760"/>
      <c r="K4" s="1760"/>
      <c r="L4" s="2513"/>
      <c r="M4" s="2513"/>
      <c r="N4" s="2513"/>
      <c r="O4" s="2513"/>
      <c r="P4" s="1760"/>
      <c r="Q4" s="1760"/>
      <c r="R4" s="773" t="s">
        <v>487</v>
      </c>
      <c r="S4" s="769" t="s">
        <v>482</v>
      </c>
      <c r="T4" s="770" t="s">
        <v>488</v>
      </c>
    </row>
    <row r="5" s="101" customFormat="1" ht="9.6" customHeight="1" spans="2:20">
      <c r="B5" s="775"/>
      <c r="C5" s="1759"/>
      <c r="D5" s="753"/>
      <c r="E5" s="753"/>
      <c r="F5" s="773"/>
      <c r="G5" s="1760"/>
      <c r="H5" s="1760"/>
      <c r="I5" s="1760"/>
      <c r="J5" s="1760"/>
      <c r="K5" s="1760"/>
      <c r="L5" s="2513"/>
      <c r="M5" s="2513"/>
      <c r="N5" s="2513"/>
      <c r="O5" s="2513"/>
      <c r="P5" s="1760"/>
      <c r="Q5" s="1760"/>
      <c r="R5" s="2527"/>
      <c r="S5" s="771"/>
      <c r="T5" s="772"/>
    </row>
    <row r="6" s="101" customFormat="1" spans="2:20">
      <c r="B6" s="773"/>
      <c r="C6" s="1758"/>
      <c r="D6" s="1760"/>
      <c r="E6" s="1760"/>
      <c r="F6" s="773"/>
      <c r="G6" s="1760"/>
      <c r="H6" s="1760"/>
      <c r="I6" s="1760"/>
      <c r="J6" s="1760"/>
      <c r="K6" s="1760"/>
      <c r="L6" s="2513"/>
      <c r="M6" s="2513"/>
      <c r="N6" s="2513"/>
      <c r="O6" s="2513"/>
      <c r="P6" s="1760"/>
      <c r="Q6" s="1760"/>
      <c r="R6" s="773"/>
      <c r="S6" s="773"/>
      <c r="T6" s="774" t="s">
        <v>491</v>
      </c>
    </row>
    <row r="7" s="101" customFormat="1" spans="2:20">
      <c r="B7" s="1549" t="s">
        <v>12211</v>
      </c>
      <c r="C7" s="1759" t="s">
        <v>12212</v>
      </c>
      <c r="D7" s="1550"/>
      <c r="E7" s="753"/>
      <c r="F7" s="775"/>
      <c r="G7" s="753"/>
      <c r="H7" s="753"/>
      <c r="I7" s="753"/>
      <c r="J7" s="753"/>
      <c r="K7" s="753"/>
      <c r="L7" s="2514"/>
      <c r="M7" s="2514"/>
      <c r="N7" s="2514"/>
      <c r="O7" s="2514"/>
      <c r="P7" s="753"/>
      <c r="Q7" s="753"/>
      <c r="R7" s="775"/>
      <c r="S7" s="775"/>
      <c r="T7" s="776">
        <f>+K11</f>
        <v>44926</v>
      </c>
    </row>
    <row r="9" ht="13.5" customHeight="1" spans="2:20">
      <c r="B9" s="2482" t="s">
        <v>492</v>
      </c>
      <c r="C9" s="2483"/>
      <c r="D9" s="2484"/>
      <c r="E9" s="2485"/>
      <c r="F9" s="2485"/>
      <c r="G9" s="2485"/>
      <c r="H9" s="2485"/>
      <c r="I9" s="2485"/>
      <c r="J9" s="2485"/>
      <c r="K9" s="2485"/>
      <c r="L9" s="2515"/>
      <c r="M9" s="2516"/>
      <c r="N9" s="1960" t="s">
        <v>1228</v>
      </c>
      <c r="O9" s="2517"/>
      <c r="P9" s="2017"/>
      <c r="Q9" s="2017"/>
      <c r="R9" s="2528"/>
      <c r="S9" s="2057">
        <v>44926</v>
      </c>
      <c r="T9" s="2058"/>
    </row>
    <row r="10" ht="13.5" customHeight="1" spans="2:20">
      <c r="B10" s="2486"/>
      <c r="C10" s="2487"/>
      <c r="D10" s="2488"/>
      <c r="E10" s="2489" t="s">
        <v>654</v>
      </c>
      <c r="F10" s="1967" t="s">
        <v>996</v>
      </c>
      <c r="G10" s="1965" t="s">
        <v>1230</v>
      </c>
      <c r="H10" s="1966" t="s">
        <v>1231</v>
      </c>
      <c r="I10" s="1967" t="s">
        <v>1232</v>
      </c>
      <c r="J10" s="1965" t="s">
        <v>1230</v>
      </c>
      <c r="K10" s="1967" t="s">
        <v>1233</v>
      </c>
      <c r="L10" s="1965" t="s">
        <v>996</v>
      </c>
      <c r="M10" s="1965" t="s">
        <v>1230</v>
      </c>
      <c r="N10" s="1966" t="s">
        <v>1231</v>
      </c>
      <c r="O10" s="1967" t="s">
        <v>1232</v>
      </c>
      <c r="P10" s="1965" t="s">
        <v>1230</v>
      </c>
      <c r="Q10" s="1965" t="s">
        <v>1233</v>
      </c>
      <c r="R10" s="2529" t="s">
        <v>1233</v>
      </c>
      <c r="S10" s="2059" t="s">
        <v>2251</v>
      </c>
      <c r="T10" s="2060"/>
    </row>
    <row r="11" ht="15.75" customHeight="1" spans="2:20">
      <c r="B11" s="2490"/>
      <c r="C11" s="2491"/>
      <c r="D11" s="2492"/>
      <c r="E11" s="2493" t="s">
        <v>812</v>
      </c>
      <c r="F11" s="1971">
        <v>44926</v>
      </c>
      <c r="G11" s="1971" t="s">
        <v>1235</v>
      </c>
      <c r="H11" s="1972"/>
      <c r="I11" s="1973"/>
      <c r="J11" s="1971" t="s">
        <v>1235</v>
      </c>
      <c r="K11" s="1971">
        <f>F11</f>
        <v>44926</v>
      </c>
      <c r="L11" s="1971">
        <f>+K11-365</f>
        <v>44561</v>
      </c>
      <c r="M11" s="1971" t="s">
        <v>1235</v>
      </c>
      <c r="N11" s="1972"/>
      <c r="O11" s="1973"/>
      <c r="P11" s="1971" t="s">
        <v>1235</v>
      </c>
      <c r="Q11" s="1971">
        <f>L11</f>
        <v>44561</v>
      </c>
      <c r="R11" s="1971">
        <v>44196</v>
      </c>
      <c r="S11" s="2061" t="s">
        <v>151</v>
      </c>
      <c r="T11" s="5139" t="s">
        <v>1236</v>
      </c>
    </row>
    <row r="12" spans="2:20">
      <c r="B12" s="2494"/>
      <c r="C12" s="2495"/>
      <c r="D12" s="2495"/>
      <c r="E12" s="2496"/>
      <c r="F12" s="2496"/>
      <c r="G12" s="2496"/>
      <c r="H12" s="2496"/>
      <c r="I12" s="2496"/>
      <c r="J12" s="2496"/>
      <c r="K12" s="2496"/>
      <c r="L12" s="2496"/>
      <c r="M12" s="2518"/>
      <c r="N12" s="2518"/>
      <c r="O12" s="2518"/>
      <c r="P12" s="2518"/>
      <c r="Q12" s="2518"/>
      <c r="R12" s="2531"/>
      <c r="S12" s="2532"/>
      <c r="T12" s="2533"/>
    </row>
    <row r="13" spans="2:20">
      <c r="B13" s="2497" t="s">
        <v>12213</v>
      </c>
      <c r="C13" s="208"/>
      <c r="D13" s="2498"/>
      <c r="E13" s="299"/>
      <c r="F13" s="2499"/>
      <c r="G13" s="299"/>
      <c r="H13" s="299"/>
      <c r="I13" s="299"/>
      <c r="J13" s="299"/>
      <c r="K13" s="299"/>
      <c r="L13" s="2519"/>
      <c r="M13" s="2520"/>
      <c r="N13" s="2520"/>
      <c r="O13" s="2520"/>
      <c r="P13" s="2520"/>
      <c r="Q13" s="2521"/>
      <c r="R13" s="1483"/>
      <c r="S13" s="2534"/>
      <c r="T13" s="2535"/>
    </row>
    <row r="14" spans="2:20">
      <c r="B14" s="2497"/>
      <c r="C14" s="2500" t="s">
        <v>12214</v>
      </c>
      <c r="D14" s="2498"/>
      <c r="E14" s="299"/>
      <c r="F14" s="2499">
        <v>40000000</v>
      </c>
      <c r="G14" s="299"/>
      <c r="H14" s="161">
        <f>SUMIF('F4'!$E$12:$E$158,C14,'F4'!$G$12:$G$158)</f>
        <v>0</v>
      </c>
      <c r="I14" s="161">
        <f>SUMIF('F4'!$E$12:$E$158,C14,'F4'!$H$12:$H$158)</f>
        <v>0</v>
      </c>
      <c r="J14" s="299"/>
      <c r="K14" s="2521">
        <f t="shared" ref="K14:K46" si="0">F14-H14+I14</f>
        <v>40000000</v>
      </c>
      <c r="L14" s="2519">
        <v>0</v>
      </c>
      <c r="M14" s="2520"/>
      <c r="N14" s="161">
        <f>SUMIF('F4'!$E$12:$E$158,C14,'F4'!$I$12:$I$158)</f>
        <v>0</v>
      </c>
      <c r="O14" s="161">
        <f>SUMIF('F4'!$E$12:$E$158,C14,'F4'!$J$12:$J$158)</f>
        <v>0</v>
      </c>
      <c r="P14" s="2520"/>
      <c r="Q14" s="2521">
        <f>L14-N14+O14</f>
        <v>0</v>
      </c>
      <c r="R14" s="2035">
        <v>19600000</v>
      </c>
      <c r="S14" s="359">
        <f>F14-Q14</f>
        <v>40000000</v>
      </c>
      <c r="T14" s="2242">
        <f>IF(Q14=0,IF(Q14=0,1,S14/S14),S14/Q14)</f>
        <v>1</v>
      </c>
    </row>
    <row r="15" spans="2:20">
      <c r="B15" s="2497"/>
      <c r="C15" s="2500" t="s">
        <v>12215</v>
      </c>
      <c r="D15" s="2498"/>
      <c r="E15" s="299"/>
      <c r="F15" s="2499">
        <v>37500000</v>
      </c>
      <c r="G15" s="299"/>
      <c r="H15" s="161">
        <f>SUMIF('F4'!$E$12:$E$158,C15,'F4'!$G$12:$G$158)</f>
        <v>0</v>
      </c>
      <c r="I15" s="161">
        <f>SUMIF('F4'!$E$12:$E$158,C15,'F4'!$H$12:$H$158)</f>
        <v>0</v>
      </c>
      <c r="J15" s="299"/>
      <c r="K15" s="2521">
        <f t="shared" si="0"/>
        <v>37500000</v>
      </c>
      <c r="L15" s="2519">
        <v>0</v>
      </c>
      <c r="M15" s="2520"/>
      <c r="N15" s="161">
        <f>SUMIF('F4'!$E$12:$E$158,C15,'F4'!$I$12:$I$158)</f>
        <v>0</v>
      </c>
      <c r="O15" s="161">
        <f>SUMIF('F4'!$E$12:$E$158,C15,'F4'!$J$12:$J$158)</f>
        <v>0</v>
      </c>
      <c r="P15" s="2520"/>
      <c r="Q15" s="2521"/>
      <c r="R15" s="2035">
        <v>0</v>
      </c>
      <c r="S15" s="359">
        <f t="shared" ref="S15:S46" si="1">F15-Q15</f>
        <v>37500000</v>
      </c>
      <c r="T15" s="2242">
        <f t="shared" ref="T15:T48" si="2">IF(Q15=0,IF(Q15=0,1,S15/S15),S15/Q15)</f>
        <v>1</v>
      </c>
    </row>
    <row r="16" spans="2:20">
      <c r="B16" s="2497"/>
      <c r="C16" s="2500" t="s">
        <v>12216</v>
      </c>
      <c r="D16" s="2498"/>
      <c r="E16" s="299"/>
      <c r="F16" s="2499">
        <v>19000000</v>
      </c>
      <c r="G16" s="299"/>
      <c r="H16" s="161">
        <f>SUMIF('F4'!$E$12:$E$158,C16,'F4'!$G$12:$G$158)</f>
        <v>0</v>
      </c>
      <c r="I16" s="161">
        <f>SUMIF('F4'!$E$12:$E$158,C16,'F4'!$H$12:$H$158)</f>
        <v>0</v>
      </c>
      <c r="J16" s="299"/>
      <c r="K16" s="2521">
        <f t="shared" si="0"/>
        <v>19000000</v>
      </c>
      <c r="L16" s="2519">
        <v>0</v>
      </c>
      <c r="M16" s="2520"/>
      <c r="N16" s="161">
        <f>SUMIF('F4'!$E$12:$E$158,C16,'F4'!$I$12:$I$158)</f>
        <v>0</v>
      </c>
      <c r="O16" s="161">
        <f>SUMIF('F4'!$E$12:$E$158,C16,'F4'!$J$12:$J$158)</f>
        <v>0</v>
      </c>
      <c r="P16" s="2520"/>
      <c r="Q16" s="2521">
        <f t="shared" ref="Q16:Q46" si="3">L16-N16+O16</f>
        <v>0</v>
      </c>
      <c r="R16" s="2035">
        <v>28500000</v>
      </c>
      <c r="S16" s="359">
        <f t="shared" si="1"/>
        <v>19000000</v>
      </c>
      <c r="T16" s="2242">
        <f t="shared" si="2"/>
        <v>1</v>
      </c>
    </row>
    <row r="17" spans="2:20">
      <c r="B17" s="2497"/>
      <c r="C17" s="2500" t="s">
        <v>12217</v>
      </c>
      <c r="D17" s="2498"/>
      <c r="E17" s="299"/>
      <c r="F17" s="2499">
        <v>15000000</v>
      </c>
      <c r="G17" s="299"/>
      <c r="H17" s="161">
        <f>SUMIF('F4'!$E$12:$E$158,C17,'F4'!$G$12:$G$158)</f>
        <v>0</v>
      </c>
      <c r="I17" s="161">
        <f>SUMIF('F4'!$E$12:$E$158,C17,'F4'!$H$12:$H$158)</f>
        <v>0</v>
      </c>
      <c r="J17" s="299"/>
      <c r="K17" s="2521">
        <f t="shared" si="0"/>
        <v>15000000</v>
      </c>
      <c r="L17" s="2519">
        <v>0</v>
      </c>
      <c r="M17" s="2520"/>
      <c r="N17" s="161">
        <f>SUMIF('F4'!$E$12:$E$158,C17,'F4'!$I$12:$I$158)</f>
        <v>0</v>
      </c>
      <c r="O17" s="161">
        <f>SUMIF('F4'!$E$12:$E$158,C17,'F4'!$J$12:$J$158)</f>
        <v>0</v>
      </c>
      <c r="P17" s="2520"/>
      <c r="Q17" s="2521">
        <f t="shared" si="3"/>
        <v>0</v>
      </c>
      <c r="R17" s="2035">
        <v>0</v>
      </c>
      <c r="S17" s="359">
        <f t="shared" si="1"/>
        <v>15000000</v>
      </c>
      <c r="T17" s="2242">
        <f t="shared" si="2"/>
        <v>1</v>
      </c>
    </row>
    <row r="18" spans="2:20">
      <c r="B18" s="2497"/>
      <c r="C18" s="2500" t="s">
        <v>12218</v>
      </c>
      <c r="D18" s="2498"/>
      <c r="E18" s="299"/>
      <c r="F18" s="2499">
        <v>0</v>
      </c>
      <c r="G18" s="299"/>
      <c r="H18" s="161">
        <f>SUMIF('F4'!$E$12:$E$158,C18,'F4'!$G$12:$G$158)</f>
        <v>0</v>
      </c>
      <c r="I18" s="161">
        <f>SUMIF('F4'!$E$12:$E$158,C18,'F4'!$H$12:$H$158)</f>
        <v>0</v>
      </c>
      <c r="J18" s="299"/>
      <c r="K18" s="2521">
        <f t="shared" si="0"/>
        <v>0</v>
      </c>
      <c r="L18" s="2519">
        <v>232800000</v>
      </c>
      <c r="M18" s="2520"/>
      <c r="N18" s="161">
        <f>SUMIF('F4'!$E$12:$E$158,C18,'F4'!$I$12:$I$158)</f>
        <v>0</v>
      </c>
      <c r="O18" s="161">
        <f>SUMIF('F4'!$E$12:$E$158,C18,'F4'!$J$12:$J$158)</f>
        <v>0</v>
      </c>
      <c r="P18" s="2520"/>
      <c r="Q18" s="2521">
        <f t="shared" si="3"/>
        <v>232800000</v>
      </c>
      <c r="R18" s="2035">
        <v>307800000</v>
      </c>
      <c r="S18" s="359">
        <f t="shared" si="1"/>
        <v>-232800000</v>
      </c>
      <c r="T18" s="2242">
        <f t="shared" si="2"/>
        <v>-1</v>
      </c>
    </row>
    <row r="19" spans="2:20">
      <c r="B19" s="2497"/>
      <c r="C19" s="2500" t="s">
        <v>12219</v>
      </c>
      <c r="D19" s="2498"/>
      <c r="E19" s="299"/>
      <c r="F19" s="2499">
        <v>0</v>
      </c>
      <c r="G19" s="299"/>
      <c r="H19" s="161">
        <f>SUMIF('F4'!$E$12:$E$158,C19,'F4'!$G$12:$G$158)</f>
        <v>0</v>
      </c>
      <c r="I19" s="161">
        <f>SUMIF('F4'!$E$12:$E$158,C19,'F4'!$H$12:$H$158)</f>
        <v>0</v>
      </c>
      <c r="J19" s="299"/>
      <c r="K19" s="2521">
        <f t="shared" si="0"/>
        <v>0</v>
      </c>
      <c r="L19" s="2519">
        <v>214658130</v>
      </c>
      <c r="M19" s="2520"/>
      <c r="N19" s="161">
        <f>SUMIF('F4'!$E$12:$E$158,C19,'F4'!$I$12:$I$158)</f>
        <v>0</v>
      </c>
      <c r="O19" s="161">
        <f>SUMIF('F4'!$E$12:$E$158,C19,'F4'!$J$12:$J$158)</f>
        <v>0</v>
      </c>
      <c r="P19" s="2520"/>
      <c r="Q19" s="2521">
        <f t="shared" si="3"/>
        <v>214658130</v>
      </c>
      <c r="R19" s="2035">
        <v>739658130</v>
      </c>
      <c r="S19" s="359">
        <f t="shared" si="1"/>
        <v>-214658130</v>
      </c>
      <c r="T19" s="2242">
        <f t="shared" si="2"/>
        <v>-1</v>
      </c>
    </row>
    <row r="20" spans="2:20">
      <c r="B20" s="2497"/>
      <c r="C20" s="2500" t="s">
        <v>12220</v>
      </c>
      <c r="D20" s="2498"/>
      <c r="E20" s="299"/>
      <c r="F20" s="2499">
        <v>0</v>
      </c>
      <c r="G20" s="299"/>
      <c r="H20" s="161">
        <f>SUMIF('F4'!$E$12:$E$158,C20,'F4'!$G$12:$G$158)</f>
        <v>0</v>
      </c>
      <c r="I20" s="161">
        <f>SUMIF('F4'!$E$12:$E$158,C20,'F4'!$H$12:$H$158)</f>
        <v>0</v>
      </c>
      <c r="J20" s="299"/>
      <c r="K20" s="2521">
        <f t="shared" si="0"/>
        <v>0</v>
      </c>
      <c r="L20" s="2519">
        <v>148500000</v>
      </c>
      <c r="M20" s="2520"/>
      <c r="N20" s="161">
        <f>SUMIF('F4'!$E$12:$E$158,C20,'F4'!$I$12:$I$158)</f>
        <v>0</v>
      </c>
      <c r="O20" s="161">
        <f>SUMIF('F4'!$E$12:$E$158,C20,'F4'!$J$12:$J$158)</f>
        <v>0</v>
      </c>
      <c r="P20" s="2520"/>
      <c r="Q20" s="2521">
        <f t="shared" si="3"/>
        <v>148500000</v>
      </c>
      <c r="R20" s="2035">
        <v>220000000</v>
      </c>
      <c r="S20" s="359">
        <f t="shared" si="1"/>
        <v>-148500000</v>
      </c>
      <c r="T20" s="2242">
        <f t="shared" si="2"/>
        <v>-1</v>
      </c>
    </row>
    <row r="21" spans="2:20">
      <c r="B21" s="2497"/>
      <c r="C21" s="2500" t="s">
        <v>12221</v>
      </c>
      <c r="D21" s="2498"/>
      <c r="E21" s="299" t="s">
        <v>12222</v>
      </c>
      <c r="F21" s="2499">
        <v>0</v>
      </c>
      <c r="G21" s="299"/>
      <c r="H21" s="161">
        <f>SUMIF('F4'!$E$12:$E$158,C21,'F4'!$G$12:$G$158)</f>
        <v>0</v>
      </c>
      <c r="I21" s="161">
        <f>SUMIF('F4'!$E$12:$E$158,C21,'F4'!$H$12:$H$158)</f>
        <v>0</v>
      </c>
      <c r="J21" s="299"/>
      <c r="K21" s="2521">
        <f t="shared" si="0"/>
        <v>0</v>
      </c>
      <c r="L21" s="2519">
        <v>129207680</v>
      </c>
      <c r="M21" s="2520"/>
      <c r="N21" s="161">
        <f>SUMIF('F4'!$E$12:$E$158,C21,'F4'!$I$12:$I$158)</f>
        <v>0</v>
      </c>
      <c r="O21" s="161">
        <f>SUMIF('F4'!$E$12:$E$158,C21,'F4'!$J$12:$J$158)</f>
        <v>0</v>
      </c>
      <c r="P21" s="2520"/>
      <c r="Q21" s="2521">
        <f t="shared" si="3"/>
        <v>129207680</v>
      </c>
      <c r="R21" s="2035">
        <v>174207680</v>
      </c>
      <c r="S21" s="359">
        <f t="shared" si="1"/>
        <v>-129207680</v>
      </c>
      <c r="T21" s="2242">
        <f t="shared" si="2"/>
        <v>-1</v>
      </c>
    </row>
    <row r="22" spans="2:20">
      <c r="B22" s="2497"/>
      <c r="C22" s="2500" t="s">
        <v>12223</v>
      </c>
      <c r="D22" s="2498"/>
      <c r="E22" s="299"/>
      <c r="F22" s="2499">
        <v>0</v>
      </c>
      <c r="G22" s="299"/>
      <c r="H22" s="161">
        <f>SUMIF('F4'!$E$12:$E$158,C22,'F4'!$G$12:$G$158)</f>
        <v>0</v>
      </c>
      <c r="I22" s="161">
        <f>SUMIF('F4'!$E$12:$E$158,C22,'F4'!$H$12:$H$158)</f>
        <v>0</v>
      </c>
      <c r="J22" s="299"/>
      <c r="K22" s="2521">
        <f t="shared" si="0"/>
        <v>0</v>
      </c>
      <c r="L22" s="2519">
        <v>80000000</v>
      </c>
      <c r="M22" s="2520"/>
      <c r="N22" s="161">
        <f>SUMIF('F4'!$E$12:$E$158,C22,'F4'!$I$12:$I$158)</f>
        <v>0</v>
      </c>
      <c r="O22" s="161">
        <f>SUMIF('F4'!$E$12:$E$158,C22,'F4'!$J$12:$J$158)</f>
        <v>0</v>
      </c>
      <c r="P22" s="2520"/>
      <c r="Q22" s="2521">
        <f t="shared" si="3"/>
        <v>80000000</v>
      </c>
      <c r="R22" s="2035">
        <v>100499410</v>
      </c>
      <c r="S22" s="359">
        <f t="shared" si="1"/>
        <v>-80000000</v>
      </c>
      <c r="T22" s="2242">
        <f t="shared" si="2"/>
        <v>-1</v>
      </c>
    </row>
    <row r="23" spans="2:20">
      <c r="B23" s="2497"/>
      <c r="C23" s="2500" t="s">
        <v>12224</v>
      </c>
      <c r="D23" s="2498"/>
      <c r="E23" s="299"/>
      <c r="F23" s="2499">
        <v>0</v>
      </c>
      <c r="G23" s="299"/>
      <c r="H23" s="161">
        <f>SUMIF('F4'!$E$12:$E$158,C23,'F4'!$G$12:$G$158)</f>
        <v>0</v>
      </c>
      <c r="I23" s="161">
        <f>SUMIF('F4'!$E$12:$E$158,C23,'F4'!$H$12:$H$158)</f>
        <v>0</v>
      </c>
      <c r="J23" s="299"/>
      <c r="K23" s="2521">
        <f t="shared" si="0"/>
        <v>0</v>
      </c>
      <c r="L23" s="2519">
        <v>64000000</v>
      </c>
      <c r="M23" s="2520"/>
      <c r="N23" s="161">
        <f>SUMIF('F4'!$E$12:$E$158,C23,'F4'!$I$12:$I$158)</f>
        <v>0</v>
      </c>
      <c r="O23" s="161">
        <f>SUMIF('F4'!$E$12:$E$158,C23,'F4'!$J$12:$J$158)</f>
        <v>0</v>
      </c>
      <c r="P23" s="2520"/>
      <c r="Q23" s="2521">
        <f t="shared" si="3"/>
        <v>64000000</v>
      </c>
      <c r="R23" s="2035">
        <v>64000000</v>
      </c>
      <c r="S23" s="359">
        <f t="shared" si="1"/>
        <v>-64000000</v>
      </c>
      <c r="T23" s="2242">
        <f t="shared" si="2"/>
        <v>-1</v>
      </c>
    </row>
    <row r="24" spans="2:20">
      <c r="B24" s="1983"/>
      <c r="C24" s="2500" t="s">
        <v>12225</v>
      </c>
      <c r="D24" s="2498"/>
      <c r="E24" s="299"/>
      <c r="F24" s="2499">
        <v>0</v>
      </c>
      <c r="G24" s="299"/>
      <c r="H24" s="161">
        <f>SUMIF('F4'!$E$12:$E$158,C24,'F4'!$G$12:$G$158)</f>
        <v>0</v>
      </c>
      <c r="I24" s="161">
        <f>SUMIF('F4'!$E$12:$E$158,C24,'F4'!$H$12:$H$158)</f>
        <v>0</v>
      </c>
      <c r="J24" s="299"/>
      <c r="K24" s="2521">
        <f t="shared" si="0"/>
        <v>0</v>
      </c>
      <c r="L24" s="2519">
        <v>0</v>
      </c>
      <c r="M24" s="2520"/>
      <c r="N24" s="161">
        <f>SUMIF('F4'!$E$12:$E$158,C24,'F4'!$I$12:$I$158)</f>
        <v>0</v>
      </c>
      <c r="O24" s="161">
        <f>SUMIF('F4'!$E$12:$E$158,C24,'F4'!$J$12:$J$158)</f>
        <v>0</v>
      </c>
      <c r="P24" s="2520"/>
      <c r="Q24" s="2521">
        <f t="shared" si="3"/>
        <v>0</v>
      </c>
      <c r="R24" s="2035">
        <v>118800000</v>
      </c>
      <c r="S24" s="359">
        <f t="shared" si="1"/>
        <v>0</v>
      </c>
      <c r="T24" s="2242">
        <f t="shared" si="2"/>
        <v>1</v>
      </c>
    </row>
    <row r="25" spans="2:20">
      <c r="B25" s="1983"/>
      <c r="C25" s="2500" t="s">
        <v>12226</v>
      </c>
      <c r="D25" s="2498"/>
      <c r="E25" s="299"/>
      <c r="F25" s="2499">
        <v>0</v>
      </c>
      <c r="G25" s="299"/>
      <c r="H25" s="161">
        <f>SUMIF('F4'!$E$12:$E$158,C25,'F4'!$G$12:$G$158)</f>
        <v>0</v>
      </c>
      <c r="I25" s="161">
        <f>SUMIF('F4'!$E$12:$E$158,C25,'F4'!$H$12:$H$158)</f>
        <v>0</v>
      </c>
      <c r="J25" s="299"/>
      <c r="K25" s="2521">
        <f t="shared" si="0"/>
        <v>0</v>
      </c>
      <c r="L25" s="2519">
        <v>0</v>
      </c>
      <c r="M25" s="2520"/>
      <c r="N25" s="161">
        <f>SUMIF('F4'!$E$12:$E$158,C25,'F4'!$I$12:$I$158)</f>
        <v>0</v>
      </c>
      <c r="O25" s="161">
        <f>SUMIF('F4'!$E$12:$E$158,C25,'F4'!$J$12:$J$158)</f>
        <v>0</v>
      </c>
      <c r="P25" s="2520"/>
      <c r="Q25" s="2521">
        <f t="shared" si="3"/>
        <v>0</v>
      </c>
      <c r="R25" s="2035">
        <v>58800000</v>
      </c>
      <c r="S25" s="359">
        <f t="shared" si="1"/>
        <v>0</v>
      </c>
      <c r="T25" s="2242">
        <f t="shared" si="2"/>
        <v>1</v>
      </c>
    </row>
    <row r="26" spans="2:20">
      <c r="B26" s="1983"/>
      <c r="C26" s="2500" t="s">
        <v>12227</v>
      </c>
      <c r="D26" s="2498"/>
      <c r="E26" s="299"/>
      <c r="F26" s="2499">
        <v>0</v>
      </c>
      <c r="G26" s="299"/>
      <c r="H26" s="161">
        <f>SUMIF('F4'!$E$12:$E$158,C26,'F4'!$G$12:$G$158)</f>
        <v>0</v>
      </c>
      <c r="I26" s="161">
        <f>SUMIF('F4'!$E$12:$E$158,C26,'F4'!$H$12:$H$158)</f>
        <v>0</v>
      </c>
      <c r="J26" s="299"/>
      <c r="K26" s="2521">
        <f t="shared" si="0"/>
        <v>0</v>
      </c>
      <c r="L26" s="2519">
        <v>0</v>
      </c>
      <c r="M26" s="2520"/>
      <c r="N26" s="161">
        <f>SUMIF('F4'!$E$12:$E$158,C26,'F4'!$I$12:$I$158)</f>
        <v>0</v>
      </c>
      <c r="O26" s="161">
        <f>SUMIF('F4'!$E$12:$E$158,C26,'F4'!$J$12:$J$158)</f>
        <v>0</v>
      </c>
      <c r="P26" s="2520"/>
      <c r="Q26" s="2521">
        <f t="shared" si="3"/>
        <v>0</v>
      </c>
      <c r="R26" s="2035">
        <v>9000000</v>
      </c>
      <c r="S26" s="359">
        <f t="shared" si="1"/>
        <v>0</v>
      </c>
      <c r="T26" s="2242">
        <f t="shared" si="2"/>
        <v>1</v>
      </c>
    </row>
    <row r="27" hidden="1" spans="2:20">
      <c r="B27" s="1983"/>
      <c r="C27" s="2500" t="s">
        <v>12228</v>
      </c>
      <c r="D27" s="2498"/>
      <c r="E27" s="299"/>
      <c r="F27" s="2499">
        <v>0</v>
      </c>
      <c r="G27" s="299"/>
      <c r="H27" s="299"/>
      <c r="I27" s="299"/>
      <c r="J27" s="299"/>
      <c r="K27" s="2521">
        <f t="shared" si="0"/>
        <v>0</v>
      </c>
      <c r="L27" s="2519">
        <v>0</v>
      </c>
      <c r="M27" s="2520"/>
      <c r="N27" s="2520"/>
      <c r="O27" s="2520"/>
      <c r="P27" s="2520"/>
      <c r="Q27" s="2521">
        <f t="shared" si="3"/>
        <v>0</v>
      </c>
      <c r="R27" s="2035">
        <v>0</v>
      </c>
      <c r="S27" s="359">
        <f t="shared" si="1"/>
        <v>0</v>
      </c>
      <c r="T27" s="2242">
        <f t="shared" si="2"/>
        <v>1</v>
      </c>
    </row>
    <row r="28" hidden="1" spans="2:20">
      <c r="B28" s="1983"/>
      <c r="C28" s="2500" t="s">
        <v>12229</v>
      </c>
      <c r="D28" s="2498"/>
      <c r="E28" s="299"/>
      <c r="F28" s="2499">
        <v>0</v>
      </c>
      <c r="G28" s="299"/>
      <c r="H28" s="299"/>
      <c r="I28" s="299"/>
      <c r="J28" s="299"/>
      <c r="K28" s="2521">
        <f t="shared" si="0"/>
        <v>0</v>
      </c>
      <c r="L28" s="2519">
        <v>0</v>
      </c>
      <c r="M28" s="2520"/>
      <c r="N28" s="2520"/>
      <c r="O28" s="2520"/>
      <c r="P28" s="2520"/>
      <c r="Q28" s="2521">
        <f t="shared" si="3"/>
        <v>0</v>
      </c>
      <c r="R28" s="2035">
        <v>0</v>
      </c>
      <c r="S28" s="359"/>
      <c r="T28" s="2242"/>
    </row>
    <row r="29" hidden="1" spans="2:20">
      <c r="B29" s="1983"/>
      <c r="C29" s="2500" t="s">
        <v>12230</v>
      </c>
      <c r="E29" s="299"/>
      <c r="F29" s="2499">
        <v>0</v>
      </c>
      <c r="G29" s="299"/>
      <c r="H29" s="299"/>
      <c r="I29" s="299"/>
      <c r="J29" s="299"/>
      <c r="K29" s="2521">
        <f t="shared" si="0"/>
        <v>0</v>
      </c>
      <c r="L29" s="2519">
        <v>0</v>
      </c>
      <c r="M29" s="2520"/>
      <c r="N29" s="2520"/>
      <c r="O29" s="2520"/>
      <c r="P29" s="2520"/>
      <c r="Q29" s="2521">
        <f t="shared" si="3"/>
        <v>0</v>
      </c>
      <c r="R29" s="2035">
        <v>0</v>
      </c>
      <c r="S29" s="359">
        <f t="shared" si="1"/>
        <v>0</v>
      </c>
      <c r="T29" s="2242">
        <f t="shared" si="2"/>
        <v>1</v>
      </c>
    </row>
    <row r="30" hidden="1" spans="2:20">
      <c r="B30" s="1983"/>
      <c r="C30" s="2500" t="s">
        <v>12231</v>
      </c>
      <c r="D30" s="2498"/>
      <c r="E30" s="299"/>
      <c r="F30" s="2499">
        <v>0</v>
      </c>
      <c r="G30" s="299"/>
      <c r="H30" s="299"/>
      <c r="I30" s="299"/>
      <c r="J30" s="299"/>
      <c r="K30" s="2521">
        <f t="shared" si="0"/>
        <v>0</v>
      </c>
      <c r="L30" s="2519">
        <v>0</v>
      </c>
      <c r="M30" s="2520"/>
      <c r="N30" s="2520"/>
      <c r="O30" s="2520"/>
      <c r="P30" s="2520"/>
      <c r="Q30" s="2521">
        <f t="shared" si="3"/>
        <v>0</v>
      </c>
      <c r="R30" s="2035">
        <v>0</v>
      </c>
      <c r="S30" s="359">
        <f t="shared" si="1"/>
        <v>0</v>
      </c>
      <c r="T30" s="2242">
        <f t="shared" si="2"/>
        <v>1</v>
      </c>
    </row>
    <row r="31" hidden="1" spans="2:20">
      <c r="B31" s="1983"/>
      <c r="C31" s="2500" t="s">
        <v>12232</v>
      </c>
      <c r="D31" s="2498"/>
      <c r="E31" s="299"/>
      <c r="F31" s="2499">
        <v>0</v>
      </c>
      <c r="G31" s="299"/>
      <c r="H31" s="299"/>
      <c r="I31" s="299"/>
      <c r="J31" s="299"/>
      <c r="K31" s="2521">
        <f t="shared" si="0"/>
        <v>0</v>
      </c>
      <c r="L31" s="2519">
        <v>0</v>
      </c>
      <c r="M31" s="2520"/>
      <c r="N31" s="2520"/>
      <c r="O31" s="2520"/>
      <c r="P31" s="2520"/>
      <c r="Q31" s="2521">
        <f t="shared" si="3"/>
        <v>0</v>
      </c>
      <c r="R31" s="2035">
        <v>0</v>
      </c>
      <c r="S31" s="359">
        <f t="shared" si="1"/>
        <v>0</v>
      </c>
      <c r="T31" s="2242">
        <f t="shared" si="2"/>
        <v>1</v>
      </c>
    </row>
    <row r="32" hidden="1" spans="2:20">
      <c r="B32" s="1983"/>
      <c r="C32" s="2500" t="s">
        <v>12233</v>
      </c>
      <c r="D32" s="2498"/>
      <c r="E32" s="299"/>
      <c r="F32" s="2499">
        <v>0</v>
      </c>
      <c r="G32" s="299"/>
      <c r="H32" s="299"/>
      <c r="I32" s="299"/>
      <c r="J32" s="299"/>
      <c r="K32" s="2521">
        <f t="shared" si="0"/>
        <v>0</v>
      </c>
      <c r="L32" s="2519">
        <v>0</v>
      </c>
      <c r="M32" s="2520"/>
      <c r="N32" s="2520"/>
      <c r="O32" s="2520"/>
      <c r="P32" s="2520"/>
      <c r="Q32" s="2521">
        <f t="shared" si="3"/>
        <v>0</v>
      </c>
      <c r="R32" s="2035">
        <v>0</v>
      </c>
      <c r="S32" s="359">
        <f t="shared" si="1"/>
        <v>0</v>
      </c>
      <c r="T32" s="2242">
        <f t="shared" si="2"/>
        <v>1</v>
      </c>
    </row>
    <row r="33" hidden="1" spans="2:20">
      <c r="B33" s="1983"/>
      <c r="C33" s="2500" t="s">
        <v>12234</v>
      </c>
      <c r="D33" s="2498"/>
      <c r="E33" s="299"/>
      <c r="F33" s="2499">
        <v>0</v>
      </c>
      <c r="G33" s="299"/>
      <c r="H33" s="299"/>
      <c r="I33" s="299"/>
      <c r="J33" s="299"/>
      <c r="K33" s="2521">
        <f t="shared" si="0"/>
        <v>0</v>
      </c>
      <c r="L33" s="2519">
        <v>0</v>
      </c>
      <c r="M33" s="2520"/>
      <c r="N33" s="2520"/>
      <c r="O33" s="2520"/>
      <c r="P33" s="2520"/>
      <c r="Q33" s="2521">
        <f t="shared" si="3"/>
        <v>0</v>
      </c>
      <c r="R33" s="2035">
        <v>0</v>
      </c>
      <c r="S33" s="359">
        <f t="shared" si="1"/>
        <v>0</v>
      </c>
      <c r="T33" s="2242">
        <f t="shared" si="2"/>
        <v>1</v>
      </c>
    </row>
    <row r="34" hidden="1" spans="2:20">
      <c r="B34" s="1983"/>
      <c r="C34" s="2500" t="s">
        <v>12235</v>
      </c>
      <c r="E34" s="299"/>
      <c r="F34" s="2499">
        <v>0</v>
      </c>
      <c r="G34" s="299"/>
      <c r="H34" s="299"/>
      <c r="I34" s="299"/>
      <c r="J34" s="299"/>
      <c r="K34" s="2521">
        <f t="shared" si="0"/>
        <v>0</v>
      </c>
      <c r="L34" s="2519">
        <v>0</v>
      </c>
      <c r="M34" s="2520"/>
      <c r="N34" s="2520"/>
      <c r="O34" s="2520"/>
      <c r="P34" s="2520"/>
      <c r="Q34" s="2521">
        <f t="shared" si="3"/>
        <v>0</v>
      </c>
      <c r="R34" s="2035">
        <v>0</v>
      </c>
      <c r="S34" s="359">
        <f t="shared" si="1"/>
        <v>0</v>
      </c>
      <c r="T34" s="2242">
        <f t="shared" si="2"/>
        <v>1</v>
      </c>
    </row>
    <row r="35" hidden="1" spans="2:20">
      <c r="B35" s="1983"/>
      <c r="C35" s="2500" t="s">
        <v>12236</v>
      </c>
      <c r="D35" s="2498"/>
      <c r="E35" s="299"/>
      <c r="F35" s="2499">
        <v>0</v>
      </c>
      <c r="G35" s="299"/>
      <c r="H35" s="299"/>
      <c r="I35" s="299"/>
      <c r="J35" s="299"/>
      <c r="K35" s="2521">
        <f t="shared" si="0"/>
        <v>0</v>
      </c>
      <c r="L35" s="2519">
        <v>0</v>
      </c>
      <c r="M35" s="2520"/>
      <c r="N35" s="2520"/>
      <c r="O35" s="2520"/>
      <c r="P35" s="2520"/>
      <c r="Q35" s="2521">
        <f t="shared" si="3"/>
        <v>0</v>
      </c>
      <c r="R35" s="2035">
        <v>0</v>
      </c>
      <c r="S35" s="359">
        <f t="shared" si="1"/>
        <v>0</v>
      </c>
      <c r="T35" s="2242">
        <f t="shared" si="2"/>
        <v>1</v>
      </c>
    </row>
    <row r="36" hidden="1" spans="2:20">
      <c r="B36" s="1983"/>
      <c r="C36" s="2500" t="s">
        <v>12237</v>
      </c>
      <c r="D36" s="2498"/>
      <c r="E36" s="299"/>
      <c r="F36" s="2499">
        <v>0</v>
      </c>
      <c r="G36" s="299"/>
      <c r="H36" s="299"/>
      <c r="I36" s="299"/>
      <c r="J36" s="299"/>
      <c r="K36" s="2521">
        <f t="shared" si="0"/>
        <v>0</v>
      </c>
      <c r="L36" s="2519">
        <v>0</v>
      </c>
      <c r="M36" s="2520"/>
      <c r="N36" s="2520"/>
      <c r="O36" s="2520"/>
      <c r="P36" s="2520"/>
      <c r="Q36" s="2521">
        <f t="shared" si="3"/>
        <v>0</v>
      </c>
      <c r="R36" s="2035">
        <v>0</v>
      </c>
      <c r="S36" s="359">
        <f t="shared" si="1"/>
        <v>0</v>
      </c>
      <c r="T36" s="2242">
        <f t="shared" si="2"/>
        <v>1</v>
      </c>
    </row>
    <row r="37" hidden="1" spans="2:20">
      <c r="B37" s="1983"/>
      <c r="C37" s="2500" t="s">
        <v>12238</v>
      </c>
      <c r="D37" s="2498"/>
      <c r="E37" s="299"/>
      <c r="F37" s="2499">
        <v>0</v>
      </c>
      <c r="G37" s="299"/>
      <c r="H37" s="299"/>
      <c r="I37" s="299"/>
      <c r="J37" s="299"/>
      <c r="K37" s="2521">
        <f t="shared" si="0"/>
        <v>0</v>
      </c>
      <c r="L37" s="2519">
        <v>0</v>
      </c>
      <c r="M37" s="2520"/>
      <c r="N37" s="2520"/>
      <c r="O37" s="2520"/>
      <c r="P37" s="2520"/>
      <c r="Q37" s="2521">
        <f t="shared" si="3"/>
        <v>0</v>
      </c>
      <c r="R37" s="2035">
        <v>0</v>
      </c>
      <c r="S37" s="359">
        <f t="shared" si="1"/>
        <v>0</v>
      </c>
      <c r="T37" s="2242">
        <f t="shared" si="2"/>
        <v>1</v>
      </c>
    </row>
    <row r="38" hidden="1" spans="2:20">
      <c r="B38" s="1983"/>
      <c r="C38" s="2500" t="s">
        <v>12239</v>
      </c>
      <c r="D38" s="2498"/>
      <c r="E38" s="2501"/>
      <c r="F38" s="2499">
        <v>0</v>
      </c>
      <c r="G38" s="2501"/>
      <c r="H38" s="2501"/>
      <c r="I38" s="2501"/>
      <c r="J38" s="2501"/>
      <c r="K38" s="2521">
        <f t="shared" si="0"/>
        <v>0</v>
      </c>
      <c r="L38" s="2519">
        <v>0</v>
      </c>
      <c r="M38" s="2520"/>
      <c r="N38" s="2520"/>
      <c r="O38" s="2520"/>
      <c r="P38" s="2520"/>
      <c r="Q38" s="2521">
        <f t="shared" si="3"/>
        <v>0</v>
      </c>
      <c r="R38" s="2035">
        <v>0</v>
      </c>
      <c r="S38" s="359">
        <f t="shared" si="1"/>
        <v>0</v>
      </c>
      <c r="T38" s="2242">
        <f t="shared" si="2"/>
        <v>1</v>
      </c>
    </row>
    <row r="39" hidden="1" spans="2:20">
      <c r="B39" s="1983"/>
      <c r="C39" s="2500" t="s">
        <v>12240</v>
      </c>
      <c r="D39" s="2498"/>
      <c r="E39" s="299"/>
      <c r="F39" s="2499">
        <v>0</v>
      </c>
      <c r="G39" s="299"/>
      <c r="H39" s="299"/>
      <c r="I39" s="299"/>
      <c r="J39" s="299"/>
      <c r="K39" s="2521">
        <f t="shared" si="0"/>
        <v>0</v>
      </c>
      <c r="L39" s="2519">
        <v>0</v>
      </c>
      <c r="M39" s="2520"/>
      <c r="N39" s="2520"/>
      <c r="O39" s="2520"/>
      <c r="P39" s="2520"/>
      <c r="Q39" s="2521">
        <f t="shared" si="3"/>
        <v>0</v>
      </c>
      <c r="R39" s="2035">
        <v>0</v>
      </c>
      <c r="S39" s="359">
        <f t="shared" si="1"/>
        <v>0</v>
      </c>
      <c r="T39" s="2242">
        <f t="shared" si="2"/>
        <v>1</v>
      </c>
    </row>
    <row r="40" hidden="1" spans="2:20">
      <c r="B40" s="1983"/>
      <c r="C40" s="2500" t="s">
        <v>12241</v>
      </c>
      <c r="D40" s="2498"/>
      <c r="E40" s="299"/>
      <c r="F40" s="2499">
        <v>0</v>
      </c>
      <c r="G40" s="299"/>
      <c r="H40" s="299"/>
      <c r="I40" s="299"/>
      <c r="J40" s="299"/>
      <c r="K40" s="2521">
        <f t="shared" si="0"/>
        <v>0</v>
      </c>
      <c r="L40" s="2519">
        <v>0</v>
      </c>
      <c r="M40" s="2520"/>
      <c r="N40" s="2520"/>
      <c r="O40" s="2520"/>
      <c r="P40" s="2520"/>
      <c r="Q40" s="2521">
        <f t="shared" si="3"/>
        <v>0</v>
      </c>
      <c r="R40" s="2035">
        <v>0</v>
      </c>
      <c r="S40" s="359"/>
      <c r="T40" s="2242"/>
    </row>
    <row r="41" hidden="1" spans="2:20">
      <c r="B41" s="1983"/>
      <c r="C41" s="2500" t="s">
        <v>12242</v>
      </c>
      <c r="D41" s="2498"/>
      <c r="E41" s="299"/>
      <c r="F41" s="2499">
        <v>0</v>
      </c>
      <c r="G41" s="299"/>
      <c r="H41" s="299"/>
      <c r="I41" s="299"/>
      <c r="J41" s="299"/>
      <c r="K41" s="2521">
        <f t="shared" si="0"/>
        <v>0</v>
      </c>
      <c r="L41" s="2519">
        <v>0</v>
      </c>
      <c r="M41" s="2520"/>
      <c r="N41" s="2520"/>
      <c r="O41" s="2520"/>
      <c r="P41" s="2520"/>
      <c r="Q41" s="2521">
        <f t="shared" si="3"/>
        <v>0</v>
      </c>
      <c r="R41" s="2035">
        <v>0</v>
      </c>
      <c r="S41" s="359">
        <f t="shared" si="1"/>
        <v>0</v>
      </c>
      <c r="T41" s="2242">
        <f t="shared" si="2"/>
        <v>1</v>
      </c>
    </row>
    <row r="42" hidden="1" spans="2:20">
      <c r="B42" s="1983"/>
      <c r="C42" s="2500" t="s">
        <v>12243</v>
      </c>
      <c r="D42" s="2498"/>
      <c r="E42" s="299"/>
      <c r="F42" s="2499">
        <v>0</v>
      </c>
      <c r="G42" s="299"/>
      <c r="H42" s="299"/>
      <c r="I42" s="299"/>
      <c r="J42" s="299"/>
      <c r="K42" s="2521">
        <f t="shared" si="0"/>
        <v>0</v>
      </c>
      <c r="L42" s="2519">
        <v>0</v>
      </c>
      <c r="M42" s="2520"/>
      <c r="N42" s="2520"/>
      <c r="O42" s="2520"/>
      <c r="P42" s="2520"/>
      <c r="Q42" s="2521">
        <f t="shared" si="3"/>
        <v>0</v>
      </c>
      <c r="R42" s="2035">
        <v>0</v>
      </c>
      <c r="S42" s="359">
        <f t="shared" si="1"/>
        <v>0</v>
      </c>
      <c r="T42" s="2242">
        <f t="shared" si="2"/>
        <v>1</v>
      </c>
    </row>
    <row r="43" hidden="1" spans="2:20">
      <c r="B43" s="1983"/>
      <c r="C43" s="2500" t="s">
        <v>12244</v>
      </c>
      <c r="D43" s="2498"/>
      <c r="E43" s="299"/>
      <c r="F43" s="2499">
        <v>0</v>
      </c>
      <c r="G43" s="299"/>
      <c r="H43" s="299"/>
      <c r="I43" s="299"/>
      <c r="J43" s="299"/>
      <c r="K43" s="2521">
        <f t="shared" si="0"/>
        <v>0</v>
      </c>
      <c r="L43" s="2519">
        <v>0</v>
      </c>
      <c r="M43" s="2520"/>
      <c r="N43" s="2520"/>
      <c r="O43" s="2520"/>
      <c r="P43" s="2520"/>
      <c r="Q43" s="2521">
        <f t="shared" si="3"/>
        <v>0</v>
      </c>
      <c r="R43" s="2035">
        <v>0</v>
      </c>
      <c r="S43" s="359">
        <f t="shared" si="1"/>
        <v>0</v>
      </c>
      <c r="T43" s="2242">
        <f t="shared" si="2"/>
        <v>1</v>
      </c>
    </row>
    <row r="44" hidden="1" spans="2:20">
      <c r="B44" s="1983"/>
      <c r="C44" s="2500" t="s">
        <v>12245</v>
      </c>
      <c r="D44" s="2498"/>
      <c r="E44" s="299"/>
      <c r="F44" s="2499">
        <v>0</v>
      </c>
      <c r="G44" s="299"/>
      <c r="H44" s="299"/>
      <c r="I44" s="299"/>
      <c r="J44" s="299"/>
      <c r="K44" s="2521">
        <f t="shared" si="0"/>
        <v>0</v>
      </c>
      <c r="L44" s="2519">
        <v>0</v>
      </c>
      <c r="M44" s="2520"/>
      <c r="N44" s="2520"/>
      <c r="O44" s="2520"/>
      <c r="P44" s="2520"/>
      <c r="Q44" s="2521">
        <f t="shared" si="3"/>
        <v>0</v>
      </c>
      <c r="R44" s="2035">
        <v>0</v>
      </c>
      <c r="S44" s="359">
        <f t="shared" si="1"/>
        <v>0</v>
      </c>
      <c r="T44" s="2242">
        <f t="shared" si="2"/>
        <v>1</v>
      </c>
    </row>
    <row r="45" hidden="1" spans="2:20">
      <c r="B45" s="1983"/>
      <c r="C45" s="2500" t="s">
        <v>12246</v>
      </c>
      <c r="D45" s="2498"/>
      <c r="E45" s="299"/>
      <c r="F45" s="2499">
        <v>0</v>
      </c>
      <c r="G45" s="299"/>
      <c r="H45" s="299"/>
      <c r="I45" s="299"/>
      <c r="J45" s="299"/>
      <c r="K45" s="2521">
        <f t="shared" si="0"/>
        <v>0</v>
      </c>
      <c r="L45" s="2519">
        <v>0</v>
      </c>
      <c r="M45" s="2520"/>
      <c r="N45" s="2520"/>
      <c r="O45" s="2520"/>
      <c r="P45" s="2520"/>
      <c r="Q45" s="2521">
        <f t="shared" si="3"/>
        <v>0</v>
      </c>
      <c r="R45" s="2035">
        <v>0</v>
      </c>
      <c r="S45" s="359">
        <f t="shared" si="1"/>
        <v>0</v>
      </c>
      <c r="T45" s="2242">
        <f t="shared" si="2"/>
        <v>1</v>
      </c>
    </row>
    <row r="46" hidden="1" spans="2:20">
      <c r="B46" s="1983"/>
      <c r="C46" s="2500" t="s">
        <v>12247</v>
      </c>
      <c r="D46" s="2498"/>
      <c r="E46" s="299"/>
      <c r="F46" s="2499">
        <v>0</v>
      </c>
      <c r="G46" s="299"/>
      <c r="H46" s="299"/>
      <c r="I46" s="299"/>
      <c r="J46" s="299"/>
      <c r="K46" s="2521">
        <f t="shared" si="0"/>
        <v>0</v>
      </c>
      <c r="L46" s="2519">
        <v>0</v>
      </c>
      <c r="M46" s="2520"/>
      <c r="N46" s="2520"/>
      <c r="O46" s="2520"/>
      <c r="P46" s="2520"/>
      <c r="Q46" s="2521">
        <f t="shared" si="3"/>
        <v>0</v>
      </c>
      <c r="R46" s="2035">
        <v>0</v>
      </c>
      <c r="S46" s="359">
        <f t="shared" si="1"/>
        <v>0</v>
      </c>
      <c r="T46" s="2242">
        <f t="shared" si="2"/>
        <v>1</v>
      </c>
    </row>
    <row r="47" spans="2:20">
      <c r="B47" s="1983"/>
      <c r="D47" s="186"/>
      <c r="E47" s="135"/>
      <c r="F47" s="2502"/>
      <c r="G47" s="147"/>
      <c r="H47" s="147"/>
      <c r="I47" s="147"/>
      <c r="J47" s="147"/>
      <c r="K47" s="2522"/>
      <c r="L47" s="2523"/>
      <c r="M47" s="2524"/>
      <c r="N47" s="2524"/>
      <c r="O47" s="2524"/>
      <c r="P47" s="2524"/>
      <c r="Q47" s="2522"/>
      <c r="R47" s="2200"/>
      <c r="S47" s="2536"/>
      <c r="T47" s="2537"/>
    </row>
    <row r="48" s="94" customFormat="1" spans="2:20">
      <c r="B48" s="2497"/>
      <c r="C48" s="2503" t="s">
        <v>12248</v>
      </c>
      <c r="E48" s="2504"/>
      <c r="F48" s="2505">
        <f>SUM(F14:F47)</f>
        <v>111500000</v>
      </c>
      <c r="H48" s="2505">
        <f>SUM(H14:H47)</f>
        <v>0</v>
      </c>
      <c r="I48" s="2505">
        <f>SUM(I14:I47)</f>
        <v>0</v>
      </c>
      <c r="J48" s="2504"/>
      <c r="K48" s="2505">
        <f>SUM(K14:K47)</f>
        <v>111500000</v>
      </c>
      <c r="L48" s="2505">
        <f>SUM(L14:L47)</f>
        <v>869165810</v>
      </c>
      <c r="M48" s="2525"/>
      <c r="N48" s="2505">
        <f>SUM(N14:N47)</f>
        <v>0</v>
      </c>
      <c r="O48" s="2505">
        <f>SUM(O14:O47)</f>
        <v>0</v>
      </c>
      <c r="P48" s="2525"/>
      <c r="Q48" s="2505">
        <f>SUM(Q14:Q47)</f>
        <v>869165810</v>
      </c>
      <c r="R48" s="2505">
        <f>SUM(R14:R47)</f>
        <v>1840865220</v>
      </c>
      <c r="S48" s="2505">
        <f>SUM(S14:S47)</f>
        <v>-757665810</v>
      </c>
      <c r="T48" s="2242">
        <f t="shared" si="2"/>
        <v>-0.871716076820831</v>
      </c>
    </row>
    <row r="49" spans="2:20">
      <c r="B49" s="1983"/>
      <c r="C49" s="2500"/>
      <c r="D49" s="186"/>
      <c r="E49" s="135"/>
      <c r="F49" s="2505"/>
      <c r="G49" s="135"/>
      <c r="H49" s="135"/>
      <c r="I49" s="311"/>
      <c r="J49" s="135"/>
      <c r="K49" s="2521"/>
      <c r="L49" s="2519"/>
      <c r="M49" s="2520"/>
      <c r="N49" s="2520"/>
      <c r="O49" s="2520"/>
      <c r="P49" s="2520"/>
      <c r="Q49" s="2521"/>
      <c r="R49" s="2035"/>
      <c r="S49" s="359"/>
      <c r="T49" s="2535"/>
    </row>
    <row r="50" spans="2:20">
      <c r="B50" s="1983"/>
      <c r="C50" s="2500"/>
      <c r="D50" s="186"/>
      <c r="E50" s="135"/>
      <c r="F50" s="2505"/>
      <c r="G50" s="135"/>
      <c r="H50" s="135"/>
      <c r="I50" s="311"/>
      <c r="J50" s="135"/>
      <c r="K50" s="2521"/>
      <c r="L50" s="2519"/>
      <c r="M50" s="2520"/>
      <c r="N50" s="2520"/>
      <c r="O50" s="2520"/>
      <c r="P50" s="2520"/>
      <c r="Q50" s="2521"/>
      <c r="R50" s="2035"/>
      <c r="S50" s="359"/>
      <c r="T50" s="2535"/>
    </row>
    <row r="51" spans="2:20">
      <c r="B51" s="1983"/>
      <c r="C51" s="2500"/>
      <c r="D51" s="186"/>
      <c r="E51" s="135"/>
      <c r="F51" s="2505"/>
      <c r="G51" s="135"/>
      <c r="H51" s="135"/>
      <c r="I51" s="311"/>
      <c r="J51" s="135"/>
      <c r="K51" s="2521"/>
      <c r="L51" s="2519"/>
      <c r="M51" s="2520"/>
      <c r="N51" s="2520"/>
      <c r="O51" s="2520"/>
      <c r="P51" s="2520"/>
      <c r="Q51" s="2521"/>
      <c r="R51" s="2035"/>
      <c r="S51" s="359"/>
      <c r="T51" s="2535"/>
    </row>
    <row r="52" spans="2:20">
      <c r="B52" s="2497" t="s">
        <v>12249</v>
      </c>
      <c r="C52" s="2500"/>
      <c r="D52" s="186"/>
      <c r="E52" s="135"/>
      <c r="F52" s="2505"/>
      <c r="G52" s="135"/>
      <c r="H52" s="135"/>
      <c r="I52" s="311"/>
      <c r="J52" s="135"/>
      <c r="K52" s="2521"/>
      <c r="L52" s="2519"/>
      <c r="M52" s="2520"/>
      <c r="N52" s="2520"/>
      <c r="O52" s="2520"/>
      <c r="P52" s="2520"/>
      <c r="Q52" s="2521"/>
      <c r="R52" s="2035"/>
      <c r="S52" s="359"/>
      <c r="T52" s="2535"/>
    </row>
    <row r="53" spans="2:20">
      <c r="B53" s="1983"/>
      <c r="D53" s="186"/>
      <c r="E53" s="135"/>
      <c r="F53" s="140">
        <v>0</v>
      </c>
      <c r="G53" s="135"/>
      <c r="H53" s="161">
        <f>SUMIF('F4'!$E$12:$E$158,C53,'F4'!$G$12:$G$158)</f>
        <v>0</v>
      </c>
      <c r="I53" s="161">
        <f>SUMIF('F4'!$E$12:$E$158,C53,'F4'!$H$12:$H$158)</f>
        <v>0</v>
      </c>
      <c r="J53" s="135"/>
      <c r="K53" s="2521">
        <f>F53-H53+I53</f>
        <v>0</v>
      </c>
      <c r="L53" s="2519">
        <v>0</v>
      </c>
      <c r="M53" s="2520"/>
      <c r="N53" s="161">
        <f>SUMIF('F4'!$E$12:$E$158,C53,'F4'!$I$12:$I$158)</f>
        <v>0</v>
      </c>
      <c r="O53" s="161">
        <f>SUMIF('F4'!$E$12:$E$158,C53,'F4'!$J$12:$J$158)</f>
        <v>0</v>
      </c>
      <c r="P53" s="2520"/>
      <c r="Q53" s="2521">
        <f>L53-N53+O53</f>
        <v>0</v>
      </c>
      <c r="R53" s="2035">
        <v>0</v>
      </c>
      <c r="S53" s="359">
        <f>L53-R53</f>
        <v>0</v>
      </c>
      <c r="T53" s="2242">
        <f t="shared" ref="T53:T58" si="4">IF(Q53=0,IF(Q53=0,1,S53/S53),S53/Q53)</f>
        <v>1</v>
      </c>
    </row>
    <row r="54" spans="2:20">
      <c r="B54" s="1983"/>
      <c r="D54" s="186"/>
      <c r="E54" s="135"/>
      <c r="F54" s="140">
        <v>0</v>
      </c>
      <c r="G54" s="135"/>
      <c r="H54" s="161">
        <f>SUMIF('F4'!$E$12:$E$158,C54,'F4'!$G$12:$G$158)</f>
        <v>0</v>
      </c>
      <c r="I54" s="161">
        <f>SUMIF('F4'!$E$12:$E$158,C54,'F4'!$H$12:$H$158)</f>
        <v>0</v>
      </c>
      <c r="J54" s="135"/>
      <c r="K54" s="2521">
        <f>F54-H54+I54</f>
        <v>0</v>
      </c>
      <c r="L54" s="2519">
        <v>0</v>
      </c>
      <c r="M54" s="2520"/>
      <c r="N54" s="161">
        <f>SUMIF('F4'!$E$12:$E$158,C54,'F4'!$I$12:$I$158)</f>
        <v>0</v>
      </c>
      <c r="O54" s="161">
        <f>SUMIF('F4'!$E$12:$E$158,C54,'F4'!$J$12:$J$158)</f>
        <v>0</v>
      </c>
      <c r="P54" s="2520"/>
      <c r="Q54" s="2521">
        <f>L54-N54+O54</f>
        <v>0</v>
      </c>
      <c r="R54" s="2035">
        <v>0</v>
      </c>
      <c r="S54" s="359">
        <f>L54-R54</f>
        <v>0</v>
      </c>
      <c r="T54" s="2242">
        <f t="shared" si="4"/>
        <v>1</v>
      </c>
    </row>
    <row r="55" spans="2:20">
      <c r="B55" s="1983"/>
      <c r="D55" s="186"/>
      <c r="E55" s="135"/>
      <c r="F55" s="140">
        <v>0</v>
      </c>
      <c r="G55" s="135"/>
      <c r="H55" s="161">
        <f>SUMIF('F4'!$E$12:$E$158,C55,'F4'!$G$12:$G$158)</f>
        <v>0</v>
      </c>
      <c r="I55" s="161">
        <f>SUMIF('F4'!$E$12:$E$158,C55,'F4'!$H$12:$H$158)</f>
        <v>0</v>
      </c>
      <c r="J55" s="135"/>
      <c r="K55" s="2521">
        <f>F55-H55+I55</f>
        <v>0</v>
      </c>
      <c r="L55" s="2519">
        <v>0</v>
      </c>
      <c r="M55" s="2520"/>
      <c r="N55" s="161">
        <f>SUMIF('F4'!$E$12:$E$158,C55,'F4'!$I$12:$I$158)</f>
        <v>0</v>
      </c>
      <c r="O55" s="161">
        <f>SUMIF('F4'!$E$12:$E$158,C55,'F4'!$J$12:$J$158)</f>
        <v>0</v>
      </c>
      <c r="P55" s="2520"/>
      <c r="Q55" s="2521">
        <f>L55-N55+O55</f>
        <v>0</v>
      </c>
      <c r="R55" s="2035">
        <v>0</v>
      </c>
      <c r="S55" s="359">
        <f>L55-R55</f>
        <v>0</v>
      </c>
      <c r="T55" s="2242">
        <f t="shared" si="4"/>
        <v>1</v>
      </c>
    </row>
    <row r="56" spans="2:20">
      <c r="B56" s="1983"/>
      <c r="D56" s="186"/>
      <c r="E56" s="135"/>
      <c r="F56" s="140"/>
      <c r="G56" s="135"/>
      <c r="H56" s="135"/>
      <c r="I56" s="135"/>
      <c r="J56" s="135"/>
      <c r="K56" s="2521"/>
      <c r="L56" s="2519"/>
      <c r="M56" s="2520"/>
      <c r="N56" s="2520"/>
      <c r="O56" s="2520"/>
      <c r="P56" s="2520"/>
      <c r="Q56" s="2521"/>
      <c r="R56" s="2035"/>
      <c r="S56" s="359"/>
      <c r="T56" s="2242"/>
    </row>
    <row r="57" spans="2:20">
      <c r="B57" s="1983"/>
      <c r="D57" s="186"/>
      <c r="E57" s="135"/>
      <c r="F57" s="2506"/>
      <c r="G57" s="147"/>
      <c r="H57" s="147"/>
      <c r="I57" s="147"/>
      <c r="J57" s="147"/>
      <c r="K57" s="2522"/>
      <c r="L57" s="2523"/>
      <c r="M57" s="2524"/>
      <c r="N57" s="2524"/>
      <c r="O57" s="2524"/>
      <c r="P57" s="2524"/>
      <c r="Q57" s="2522"/>
      <c r="R57" s="2200"/>
      <c r="S57" s="2536"/>
      <c r="T57" s="2538"/>
    </row>
    <row r="58" s="94" customFormat="1" spans="2:20">
      <c r="B58" s="2497"/>
      <c r="C58" s="2503" t="s">
        <v>12250</v>
      </c>
      <c r="D58" s="248"/>
      <c r="E58" s="135"/>
      <c r="F58" s="200">
        <f>SUM(F53:F57)</f>
        <v>0</v>
      </c>
      <c r="G58" s="135"/>
      <c r="H58" s="200">
        <f>SUM(H53:H57)</f>
        <v>0</v>
      </c>
      <c r="I58" s="200">
        <f>SUM(I53:I57)</f>
        <v>0</v>
      </c>
      <c r="J58" s="135"/>
      <c r="K58" s="200">
        <f>SUM(K53:K57)</f>
        <v>0</v>
      </c>
      <c r="L58" s="200">
        <f>SUM(L53:L57)</f>
        <v>0</v>
      </c>
      <c r="M58" s="2525"/>
      <c r="N58" s="200">
        <f>SUM(N53:N57)</f>
        <v>0</v>
      </c>
      <c r="O58" s="200">
        <f>SUM(O53:O57)</f>
        <v>0</v>
      </c>
      <c r="P58" s="2525"/>
      <c r="Q58" s="200">
        <f>SUM(Q53:Q57)</f>
        <v>0</v>
      </c>
      <c r="R58" s="200">
        <f>SUM(R53:R57)</f>
        <v>0</v>
      </c>
      <c r="S58" s="200">
        <f>SUM(S53:S57)</f>
        <v>0</v>
      </c>
      <c r="T58" s="2539">
        <f t="shared" si="4"/>
        <v>1</v>
      </c>
    </row>
    <row r="59" spans="2:20">
      <c r="B59" s="1983"/>
      <c r="D59" s="186"/>
      <c r="E59" s="135"/>
      <c r="F59" s="140"/>
      <c r="G59" s="135"/>
      <c r="H59" s="135"/>
      <c r="I59" s="135"/>
      <c r="J59" s="135"/>
      <c r="K59" s="2521"/>
      <c r="L59" s="2519"/>
      <c r="M59" s="2520"/>
      <c r="N59" s="2520"/>
      <c r="O59" s="2520"/>
      <c r="P59" s="2520"/>
      <c r="Q59" s="2521"/>
      <c r="R59" s="2035"/>
      <c r="S59" s="359"/>
      <c r="T59" s="2242"/>
    </row>
    <row r="60" spans="2:20">
      <c r="B60" s="1983"/>
      <c r="C60" s="2507"/>
      <c r="D60" s="186"/>
      <c r="E60" s="135"/>
      <c r="F60" s="329"/>
      <c r="G60" s="135"/>
      <c r="H60" s="329"/>
      <c r="I60" s="135"/>
      <c r="J60" s="135"/>
      <c r="K60" s="296"/>
      <c r="L60" s="2521"/>
      <c r="M60" s="2520"/>
      <c r="N60" s="2520"/>
      <c r="O60" s="2520"/>
      <c r="P60" s="2520"/>
      <c r="Q60" s="296"/>
      <c r="R60" s="2035"/>
      <c r="S60" s="359"/>
      <c r="T60" s="2535"/>
    </row>
    <row r="61" ht="13.95" spans="2:20">
      <c r="B61" s="2508"/>
      <c r="C61" s="2509" t="s">
        <v>151</v>
      </c>
      <c r="D61" s="1412"/>
      <c r="E61" s="2510"/>
      <c r="F61" s="1412">
        <f>+F48+F58</f>
        <v>111500000</v>
      </c>
      <c r="G61" s="2510"/>
      <c r="H61" s="1412">
        <f>+H48+H58</f>
        <v>0</v>
      </c>
      <c r="I61" s="1412">
        <f>+I48+I58</f>
        <v>0</v>
      </c>
      <c r="J61" s="2510"/>
      <c r="K61" s="1412">
        <f>+K48+K58</f>
        <v>111500000</v>
      </c>
      <c r="L61" s="1412">
        <f>+L48+L58</f>
        <v>869165810</v>
      </c>
      <c r="M61" s="1412"/>
      <c r="N61" s="1412">
        <f>+N48+N58</f>
        <v>0</v>
      </c>
      <c r="O61" s="1412">
        <f>+O48+O58</f>
        <v>0</v>
      </c>
      <c r="P61" s="1412"/>
      <c r="Q61" s="1412">
        <f>+Q48+Q58</f>
        <v>869165810</v>
      </c>
      <c r="R61" s="1412">
        <f>+R48+R58</f>
        <v>1840865220</v>
      </c>
      <c r="S61" s="1412">
        <f>+S48+S58</f>
        <v>-757665810</v>
      </c>
      <c r="T61" s="2540">
        <f>IF(R61=0,IF(R61=0,1,S61/S61),S61/R61)</f>
        <v>-0.411581359552222</v>
      </c>
    </row>
    <row r="62" ht="13.95" spans="2:19">
      <c r="B62" s="2069"/>
      <c r="C62" s="2069"/>
      <c r="D62" s="2069"/>
      <c r="F62" s="292"/>
      <c r="K62" s="292">
        <f>+K61-'F2'!K16</f>
        <v>0</v>
      </c>
      <c r="L62" s="186"/>
      <c r="M62" s="186"/>
      <c r="N62" s="186"/>
      <c r="O62" s="186"/>
      <c r="P62" s="186"/>
      <c r="Q62" s="2526"/>
      <c r="R62" s="186"/>
      <c r="S62" s="101"/>
    </row>
    <row r="63" spans="5:19">
      <c r="E63" s="186"/>
      <c r="F63" s="186"/>
      <c r="G63" s="186"/>
      <c r="H63" s="186"/>
      <c r="I63" s="186"/>
      <c r="J63" s="186"/>
      <c r="K63" s="186"/>
      <c r="L63" s="2526" t="s">
        <v>649</v>
      </c>
      <c r="M63" s="186"/>
      <c r="N63" s="186"/>
      <c r="O63" s="186"/>
      <c r="P63" s="186"/>
      <c r="Q63" s="186"/>
      <c r="S63" s="101"/>
    </row>
    <row r="65" ht="12" spans="2:20">
      <c r="B65" s="94"/>
      <c r="C65" s="2541" t="s">
        <v>12251</v>
      </c>
      <c r="D65" s="94"/>
      <c r="E65" s="2542"/>
      <c r="F65" s="2542"/>
      <c r="G65" s="2542"/>
      <c r="H65" s="2542"/>
      <c r="I65" s="2542"/>
      <c r="J65" s="2542"/>
      <c r="K65" s="2542"/>
      <c r="L65" s="2546"/>
      <c r="M65" s="2546"/>
      <c r="N65" s="2546"/>
      <c r="O65" s="2546"/>
      <c r="R65"/>
      <c r="T65"/>
    </row>
    <row r="66" spans="3:20">
      <c r="C66" s="2541" t="s">
        <v>753</v>
      </c>
      <c r="D66" s="94"/>
      <c r="L66"/>
      <c r="R66" s="2546"/>
      <c r="S66" s="2546"/>
      <c r="T66" s="2546"/>
    </row>
    <row r="67" spans="3:20">
      <c r="C67" s="2541" t="s">
        <v>754</v>
      </c>
      <c r="D67" s="94"/>
      <c r="L67"/>
      <c r="R67" s="2546"/>
      <c r="S67" s="2546"/>
      <c r="T67" s="2546"/>
    </row>
    <row r="68" spans="12:20">
      <c r="L68"/>
      <c r="R68" s="2546"/>
      <c r="S68" s="2546"/>
      <c r="T68" s="2546"/>
    </row>
    <row r="69" spans="12:20">
      <c r="L69"/>
      <c r="R69" s="2546"/>
      <c r="S69" s="2546"/>
      <c r="T69" s="2546"/>
    </row>
    <row r="70" hidden="1" outlineLevel="1" spans="4:19">
      <c r="D70" s="94" t="s">
        <v>12252</v>
      </c>
      <c r="M70" s="29" t="e">
        <f>+#REF!</f>
        <v>#REF!</v>
      </c>
      <c r="N70" s="5140" t="s">
        <v>11985</v>
      </c>
      <c r="O70" s="29" t="e">
        <f>+#REF!</f>
        <v>#REF!</v>
      </c>
      <c r="P70" s="29" t="e">
        <f>+#REF!</f>
        <v>#REF!</v>
      </c>
      <c r="Q70" s="29" t="e">
        <f>+#REF!</f>
        <v>#REF!</v>
      </c>
      <c r="R70" s="29" t="e">
        <f>+#REF!</f>
        <v>#REF!</v>
      </c>
      <c r="S70" s="29" t="e">
        <f>+#REF!</f>
        <v>#REF!</v>
      </c>
    </row>
    <row r="71" hidden="1" outlineLevel="1" spans="4:19">
      <c r="D71" s="2543" t="s">
        <v>12253</v>
      </c>
      <c r="E71" s="2544" t="str">
        <f>PROPER(D71)</f>
        <v>Sanba Co Ltd</v>
      </c>
      <c r="F71" s="2544"/>
      <c r="G71" s="2544"/>
      <c r="H71" s="2544"/>
      <c r="I71" s="2544"/>
      <c r="J71" s="2544"/>
      <c r="K71" s="2544"/>
      <c r="L71" s="2547">
        <v>98126401</v>
      </c>
      <c r="M71" s="2548">
        <v>0</v>
      </c>
      <c r="N71" s="1988">
        <v>0</v>
      </c>
      <c r="O71" s="1988">
        <v>0</v>
      </c>
      <c r="P71" s="1988"/>
      <c r="Q71" s="1988">
        <v>34372680</v>
      </c>
      <c r="R71" s="2550">
        <v>0</v>
      </c>
      <c r="S71" s="1988">
        <v>63753721</v>
      </c>
    </row>
    <row r="72" ht="14.4" hidden="1" outlineLevel="1" spans="4:19">
      <c r="D72" s="2545" t="s">
        <v>12254</v>
      </c>
      <c r="E72" s="2544" t="str">
        <f t="shared" ref="E72:E89" si="5">PROPER(D72)</f>
        <v>Neturen Indonesia. Pt</v>
      </c>
      <c r="F72" s="2544"/>
      <c r="G72" s="2544"/>
      <c r="H72" s="2544"/>
      <c r="I72" s="2544"/>
      <c r="J72" s="2544"/>
      <c r="K72" s="2544"/>
      <c r="L72" s="2547">
        <v>62798394</v>
      </c>
      <c r="M72" s="2548">
        <v>0</v>
      </c>
      <c r="N72" s="1988">
        <v>31555268</v>
      </c>
      <c r="O72" s="1988">
        <v>31243126</v>
      </c>
      <c r="P72" s="1988"/>
      <c r="Q72" s="1988">
        <v>0</v>
      </c>
      <c r="R72" s="2550">
        <v>0</v>
      </c>
      <c r="S72" s="1988">
        <v>0</v>
      </c>
    </row>
    <row r="73" ht="14.4" hidden="1" outlineLevel="1" spans="4:19">
      <c r="D73" s="2545" t="s">
        <v>12255</v>
      </c>
      <c r="E73" s="2544" t="str">
        <f t="shared" si="5"/>
        <v>Cikarang Listrindo. Pt</v>
      </c>
      <c r="F73" s="2544"/>
      <c r="G73" s="2544"/>
      <c r="H73" s="2544"/>
      <c r="I73" s="2544"/>
      <c r="J73" s="2544"/>
      <c r="K73" s="2544"/>
      <c r="L73" s="2547">
        <v>30709015</v>
      </c>
      <c r="M73" s="2548">
        <v>0</v>
      </c>
      <c r="N73" s="1988">
        <v>30709015</v>
      </c>
      <c r="O73" s="1988">
        <v>0</v>
      </c>
      <c r="P73" s="1988"/>
      <c r="Q73" s="1988">
        <v>0</v>
      </c>
      <c r="R73" s="2550">
        <v>0</v>
      </c>
      <c r="S73" s="1988">
        <v>0</v>
      </c>
    </row>
    <row r="74" hidden="1" outlineLevel="1" spans="4:19">
      <c r="D74" s="2543" t="s">
        <v>12256</v>
      </c>
      <c r="E74" s="2544" t="str">
        <f t="shared" si="5"/>
        <v>Iwasa Autoparts Nusantara. Pt</v>
      </c>
      <c r="F74" s="2544"/>
      <c r="G74" s="2544"/>
      <c r="H74" s="2544"/>
      <c r="I74" s="2544"/>
      <c r="J74" s="2544"/>
      <c r="K74" s="2544"/>
      <c r="L74" s="2547">
        <v>16200000</v>
      </c>
      <c r="M74" s="2548">
        <v>0</v>
      </c>
      <c r="N74" s="1988">
        <v>3240000</v>
      </c>
      <c r="O74" s="1988">
        <v>12960000</v>
      </c>
      <c r="P74" s="1988"/>
      <c r="Q74" s="1988">
        <v>0</v>
      </c>
      <c r="R74" s="2550">
        <v>0</v>
      </c>
      <c r="S74" s="1988">
        <v>0</v>
      </c>
    </row>
    <row r="75" ht="14.4" hidden="1" outlineLevel="1" spans="4:19">
      <c r="D75" s="2545" t="s">
        <v>12257</v>
      </c>
      <c r="E75" s="2544" t="str">
        <f t="shared" si="5"/>
        <v>Ikimura Indotools Center. Pt</v>
      </c>
      <c r="F75" s="2544"/>
      <c r="G75" s="2544"/>
      <c r="H75" s="2544"/>
      <c r="I75" s="2544"/>
      <c r="J75" s="2544"/>
      <c r="K75" s="2544"/>
      <c r="L75" s="2547">
        <v>13853273</v>
      </c>
      <c r="M75" s="2548">
        <v>0</v>
      </c>
      <c r="N75" s="1988">
        <v>3403411</v>
      </c>
      <c r="O75" s="1988">
        <v>5926970</v>
      </c>
      <c r="P75" s="1988"/>
      <c r="Q75" s="1988">
        <v>4522892</v>
      </c>
      <c r="R75" s="2550">
        <v>0</v>
      </c>
      <c r="S75" s="1988">
        <v>0</v>
      </c>
    </row>
    <row r="76" hidden="1" outlineLevel="1" spans="4:19">
      <c r="D76" s="2543" t="s">
        <v>12258</v>
      </c>
      <c r="E76" s="2544" t="str">
        <f t="shared" si="5"/>
        <v>Total Asia. Pt</v>
      </c>
      <c r="F76" s="2544"/>
      <c r="G76" s="2544"/>
      <c r="H76" s="2544"/>
      <c r="I76" s="2544"/>
      <c r="J76" s="2544"/>
      <c r="K76" s="2544"/>
      <c r="L76" s="2547">
        <v>13829400</v>
      </c>
      <c r="M76" s="2548">
        <v>0</v>
      </c>
      <c r="N76" s="1988">
        <v>13829400</v>
      </c>
      <c r="O76" s="1988">
        <v>0</v>
      </c>
      <c r="P76" s="1988"/>
      <c r="Q76" s="1988">
        <v>0</v>
      </c>
      <c r="R76" s="2550">
        <v>0</v>
      </c>
      <c r="S76" s="1988">
        <v>0</v>
      </c>
    </row>
    <row r="77" ht="14.4" hidden="1" outlineLevel="1" spans="4:19">
      <c r="D77" s="2545" t="s">
        <v>12259</v>
      </c>
      <c r="E77" s="2544" t="str">
        <f t="shared" si="5"/>
        <v>Bukit Intan Gemilang Lestari. Pt</v>
      </c>
      <c r="F77" s="2544"/>
      <c r="G77" s="2544"/>
      <c r="H77" s="2544"/>
      <c r="I77" s="2544"/>
      <c r="J77" s="2544"/>
      <c r="K77" s="2544"/>
      <c r="L77" s="2547">
        <v>13002000</v>
      </c>
      <c r="M77" s="2548">
        <v>0</v>
      </c>
      <c r="N77" s="1988">
        <v>11330000</v>
      </c>
      <c r="O77" s="1988">
        <v>1672000</v>
      </c>
      <c r="P77" s="1988"/>
      <c r="Q77" s="1988">
        <v>0</v>
      </c>
      <c r="R77" s="2550">
        <v>0</v>
      </c>
      <c r="S77" s="1988">
        <v>0</v>
      </c>
    </row>
    <row r="78" ht="14.4" hidden="1" outlineLevel="1" spans="4:19">
      <c r="D78" s="2545" t="s">
        <v>12260</v>
      </c>
      <c r="E78" s="2544" t="str">
        <f t="shared" si="5"/>
        <v>Yushiro Indonesia. Pt</v>
      </c>
      <c r="F78" s="2544"/>
      <c r="G78" s="2544"/>
      <c r="H78" s="2544"/>
      <c r="I78" s="2544"/>
      <c r="J78" s="2544"/>
      <c r="K78" s="2544"/>
      <c r="L78" s="2547">
        <v>12760000</v>
      </c>
      <c r="M78" s="2548">
        <v>0</v>
      </c>
      <c r="N78" s="1988">
        <v>12760000</v>
      </c>
      <c r="O78" s="1988">
        <v>0</v>
      </c>
      <c r="P78" s="1988"/>
      <c r="Q78" s="1988">
        <v>0</v>
      </c>
      <c r="R78" s="2550">
        <v>0</v>
      </c>
      <c r="S78" s="1988">
        <v>0</v>
      </c>
    </row>
    <row r="79" ht="14.4" hidden="1" outlineLevel="1" spans="4:19">
      <c r="D79" s="2545" t="s">
        <v>12261</v>
      </c>
      <c r="E79" s="2544" t="str">
        <f t="shared" si="5"/>
        <v>Sumo Andalan Power. Pt</v>
      </c>
      <c r="F79" s="2544"/>
      <c r="G79" s="2544"/>
      <c r="H79" s="2544"/>
      <c r="I79" s="2544"/>
      <c r="J79" s="2544"/>
      <c r="K79" s="2544"/>
      <c r="L79" s="2549">
        <v>6858000</v>
      </c>
      <c r="M79" s="2548">
        <v>0</v>
      </c>
      <c r="N79" s="2548">
        <v>6858000</v>
      </c>
      <c r="O79" s="2548">
        <v>0</v>
      </c>
      <c r="P79" s="2548"/>
      <c r="Q79" s="2548">
        <v>0</v>
      </c>
      <c r="R79" s="1070">
        <v>0</v>
      </c>
      <c r="S79" s="2548">
        <v>0</v>
      </c>
    </row>
    <row r="80" hidden="1" outlineLevel="1" spans="4:19">
      <c r="D80" s="2543" t="s">
        <v>12262</v>
      </c>
      <c r="E80" s="2544" t="str">
        <f t="shared" si="5"/>
        <v>Juara Wijaya. Pt</v>
      </c>
      <c r="F80" s="2544"/>
      <c r="G80" s="2544"/>
      <c r="H80" s="2544"/>
      <c r="I80" s="2544"/>
      <c r="J80" s="2544"/>
      <c r="K80" s="2544"/>
      <c r="L80" s="2549">
        <v>5616000</v>
      </c>
      <c r="M80" s="2548">
        <v>0</v>
      </c>
      <c r="N80" s="2548">
        <v>5616000</v>
      </c>
      <c r="O80" s="2548">
        <v>0</v>
      </c>
      <c r="P80" s="2548"/>
      <c r="Q80" s="2548">
        <v>0</v>
      </c>
      <c r="R80" s="1070">
        <v>0</v>
      </c>
      <c r="S80" s="2548">
        <v>0</v>
      </c>
    </row>
    <row r="81" ht="14.4" hidden="1" outlineLevel="2" spans="4:19">
      <c r="D81" s="2545" t="s">
        <v>12263</v>
      </c>
      <c r="E81" s="2544" t="str">
        <f t="shared" si="5"/>
        <v>Indotehnik Cipta Makmur. Cv</v>
      </c>
      <c r="F81" s="2544"/>
      <c r="G81" s="2544"/>
      <c r="H81" s="2544"/>
      <c r="I81" s="2544"/>
      <c r="J81" s="2544"/>
      <c r="K81" s="2544"/>
      <c r="L81" s="2549">
        <v>4360500</v>
      </c>
      <c r="M81" s="2548">
        <v>0</v>
      </c>
      <c r="N81" s="2548">
        <v>4360500</v>
      </c>
      <c r="O81" s="2548">
        <v>0</v>
      </c>
      <c r="P81" s="2548"/>
      <c r="Q81" s="2548">
        <v>0</v>
      </c>
      <c r="R81" s="1070">
        <v>0</v>
      </c>
      <c r="S81" s="2548">
        <v>0</v>
      </c>
    </row>
    <row r="82" hidden="1" outlineLevel="2" spans="4:19">
      <c r="D82" s="2543" t="s">
        <v>12264</v>
      </c>
      <c r="E82" s="2544" t="str">
        <f t="shared" si="5"/>
        <v>Bintang Barutama. Pt</v>
      </c>
      <c r="F82" s="2544"/>
      <c r="G82" s="2544"/>
      <c r="H82" s="2544"/>
      <c r="I82" s="2544"/>
      <c r="J82" s="2544"/>
      <c r="K82" s="2544"/>
      <c r="L82" s="2549">
        <v>3148384</v>
      </c>
      <c r="M82" s="2548">
        <v>0</v>
      </c>
      <c r="N82" s="2548">
        <v>3148384</v>
      </c>
      <c r="O82" s="2548">
        <v>0</v>
      </c>
      <c r="P82" s="2548"/>
      <c r="Q82" s="2548">
        <v>0</v>
      </c>
      <c r="R82" s="1070">
        <v>0</v>
      </c>
      <c r="S82" s="2548">
        <v>0</v>
      </c>
    </row>
    <row r="83" ht="14.4" hidden="1" outlineLevel="2" spans="4:19">
      <c r="D83" s="2545" t="s">
        <v>12265</v>
      </c>
      <c r="E83" s="2544" t="str">
        <f t="shared" si="5"/>
        <v>Jababeka Infrastruktur. Pt</v>
      </c>
      <c r="F83" s="2544"/>
      <c r="G83" s="2544"/>
      <c r="H83" s="2544"/>
      <c r="I83" s="2544"/>
      <c r="J83" s="2544"/>
      <c r="K83" s="2544"/>
      <c r="L83" s="2549">
        <v>2598209</v>
      </c>
      <c r="M83" s="2548">
        <v>0</v>
      </c>
      <c r="N83" s="2548">
        <v>2598209</v>
      </c>
      <c r="O83" s="2548">
        <v>0</v>
      </c>
      <c r="P83" s="2548"/>
      <c r="Q83" s="2548">
        <v>0</v>
      </c>
      <c r="R83" s="1070">
        <v>0</v>
      </c>
      <c r="S83" s="2548">
        <v>0</v>
      </c>
    </row>
    <row r="84" ht="14.4" hidden="1" outlineLevel="2" spans="4:19">
      <c r="D84" s="2545" t="s">
        <v>12266</v>
      </c>
      <c r="E84" s="2544" t="str">
        <f t="shared" si="5"/>
        <v>Techno Carbide. Pt</v>
      </c>
      <c r="F84" s="2544"/>
      <c r="G84" s="2544"/>
      <c r="H84" s="2544"/>
      <c r="I84" s="2544"/>
      <c r="J84" s="2544"/>
      <c r="K84" s="2544"/>
      <c r="L84" s="2549">
        <v>2205610</v>
      </c>
      <c r="M84" s="2548">
        <v>0</v>
      </c>
      <c r="N84" s="2548">
        <v>1671780</v>
      </c>
      <c r="O84" s="2548">
        <v>533830</v>
      </c>
      <c r="P84" s="2548"/>
      <c r="Q84" s="2548">
        <v>0</v>
      </c>
      <c r="R84" s="1070">
        <v>0</v>
      </c>
      <c r="S84" s="2548">
        <v>0</v>
      </c>
    </row>
    <row r="85" ht="14.4" hidden="1" outlineLevel="2" spans="4:19">
      <c r="D85" s="2545" t="s">
        <v>12267</v>
      </c>
      <c r="E85" s="2544" t="str">
        <f t="shared" si="5"/>
        <v>Amido Tulus Sejati. Pt</v>
      </c>
      <c r="F85" s="2544"/>
      <c r="G85" s="2544"/>
      <c r="H85" s="2544"/>
      <c r="I85" s="2544"/>
      <c r="J85" s="2544"/>
      <c r="K85" s="2544"/>
      <c r="L85" s="2549">
        <v>2102798</v>
      </c>
      <c r="M85" s="2548">
        <v>0</v>
      </c>
      <c r="N85" s="2548">
        <v>2102798</v>
      </c>
      <c r="O85" s="2548">
        <v>0</v>
      </c>
      <c r="P85" s="2548"/>
      <c r="Q85" s="2548">
        <v>0</v>
      </c>
      <c r="R85" s="1070">
        <v>0</v>
      </c>
      <c r="S85" s="2548">
        <v>0</v>
      </c>
    </row>
    <row r="86" hidden="1" outlineLevel="2" spans="4:19">
      <c r="D86" s="2543" t="s">
        <v>12268</v>
      </c>
      <c r="E86" s="2544" t="str">
        <f t="shared" si="5"/>
        <v>Prima Tigon Global. Pt</v>
      </c>
      <c r="F86" s="2544"/>
      <c r="G86" s="2544"/>
      <c r="H86" s="2544"/>
      <c r="I86" s="2544"/>
      <c r="J86" s="2544"/>
      <c r="K86" s="2544"/>
      <c r="L86" s="2549">
        <v>686400</v>
      </c>
      <c r="M86" s="2548">
        <v>0</v>
      </c>
      <c r="N86" s="2548">
        <v>686400</v>
      </c>
      <c r="O86" s="2548">
        <v>0</v>
      </c>
      <c r="P86" s="2548"/>
      <c r="Q86" s="2548">
        <v>0</v>
      </c>
      <c r="R86" s="1070">
        <v>0</v>
      </c>
      <c r="S86" s="2548">
        <v>0</v>
      </c>
    </row>
    <row r="87" hidden="1" outlineLevel="2" spans="4:19">
      <c r="D87" s="2543" t="s">
        <v>12269</v>
      </c>
      <c r="E87" s="2544" t="str">
        <f t="shared" si="5"/>
        <v>Sherich International Supply. Pt</v>
      </c>
      <c r="F87" s="2544"/>
      <c r="G87" s="2544"/>
      <c r="H87" s="2544"/>
      <c r="I87" s="2544"/>
      <c r="J87" s="2544"/>
      <c r="K87" s="2544"/>
      <c r="L87" s="2549">
        <v>551650</v>
      </c>
      <c r="M87" s="2548">
        <v>0</v>
      </c>
      <c r="N87" s="2548">
        <v>551650</v>
      </c>
      <c r="O87" s="2548">
        <v>0</v>
      </c>
      <c r="P87" s="2548"/>
      <c r="Q87" s="2548">
        <v>0</v>
      </c>
      <c r="R87" s="1070">
        <v>0</v>
      </c>
      <c r="S87" s="2548">
        <v>0</v>
      </c>
    </row>
    <row r="88" hidden="1" outlineLevel="2" spans="4:19">
      <c r="D88" s="2543" t="s">
        <v>12270</v>
      </c>
      <c r="E88" s="2544" t="str">
        <f t="shared" si="5"/>
        <v>Berlian Kater. Cv</v>
      </c>
      <c r="F88" s="2544"/>
      <c r="G88" s="2544"/>
      <c r="H88" s="2544"/>
      <c r="I88" s="2544"/>
      <c r="J88" s="2544"/>
      <c r="K88" s="2544"/>
      <c r="L88" s="2549">
        <v>259200</v>
      </c>
      <c r="M88" s="2548">
        <v>0</v>
      </c>
      <c r="N88" s="2548">
        <v>259200</v>
      </c>
      <c r="O88" s="2548">
        <v>0</v>
      </c>
      <c r="P88" s="2548"/>
      <c r="Q88" s="2548">
        <v>0</v>
      </c>
      <c r="R88" s="1070">
        <v>0</v>
      </c>
      <c r="S88" s="2548">
        <v>0</v>
      </c>
    </row>
    <row r="89" hidden="1" outlineLevel="1" spans="4:19">
      <c r="D89" s="29" t="s">
        <v>12271</v>
      </c>
      <c r="E89" s="28" t="str">
        <f t="shared" si="5"/>
        <v>Lain2 Dbawah 10 Juta</v>
      </c>
      <c r="F89" s="28"/>
      <c r="G89" s="28"/>
      <c r="H89" s="28"/>
      <c r="I89" s="28"/>
      <c r="J89" s="28"/>
      <c r="K89" s="28"/>
      <c r="L89" s="2547">
        <f>SUM(L79:L88)</f>
        <v>28386751</v>
      </c>
      <c r="M89" s="2547">
        <f t="shared" ref="M89:S89" si="6">SUM(M79:M88)</f>
        <v>0</v>
      </c>
      <c r="N89" s="2547">
        <f t="shared" si="6"/>
        <v>27852921</v>
      </c>
      <c r="O89" s="2547">
        <f t="shared" si="6"/>
        <v>533830</v>
      </c>
      <c r="P89" s="2547">
        <f t="shared" si="6"/>
        <v>0</v>
      </c>
      <c r="Q89" s="2547">
        <f t="shared" si="6"/>
        <v>0</v>
      </c>
      <c r="R89" s="2547">
        <f t="shared" si="6"/>
        <v>0</v>
      </c>
      <c r="S89" s="2547">
        <f t="shared" si="6"/>
        <v>0</v>
      </c>
    </row>
    <row r="90" hidden="1" outlineLevel="1" spans="4:19">
      <c r="D90" s="29"/>
      <c r="E90" s="28"/>
      <c r="F90" s="28"/>
      <c r="G90" s="28"/>
      <c r="H90" s="28"/>
      <c r="I90" s="28"/>
      <c r="J90" s="28"/>
      <c r="K90" s="28"/>
      <c r="L90" s="28"/>
      <c r="M90" s="29"/>
      <c r="N90" s="29"/>
      <c r="O90" s="29"/>
      <c r="P90" s="29"/>
      <c r="Q90" s="29"/>
      <c r="R90" s="2551"/>
      <c r="S90" s="29"/>
    </row>
    <row r="91" hidden="1" outlineLevel="1" spans="4:19">
      <c r="D91" s="29"/>
      <c r="E91" s="28"/>
      <c r="F91" s="28"/>
      <c r="G91" s="28"/>
      <c r="H91" s="28"/>
      <c r="I91" s="28"/>
      <c r="J91" s="28"/>
      <c r="K91" s="28"/>
      <c r="L91" s="2547">
        <f>+SUM(L71:L78)+L89</f>
        <v>289665234</v>
      </c>
      <c r="M91" s="2547">
        <f t="shared" ref="M91:S91" si="7">+SUM(M71:M78)+M89</f>
        <v>0</v>
      </c>
      <c r="N91" s="2547">
        <f t="shared" si="7"/>
        <v>134680015</v>
      </c>
      <c r="O91" s="2547">
        <f t="shared" si="7"/>
        <v>52335926</v>
      </c>
      <c r="P91" s="2547">
        <f t="shared" si="7"/>
        <v>0</v>
      </c>
      <c r="Q91" s="2547">
        <f t="shared" si="7"/>
        <v>38895572</v>
      </c>
      <c r="R91" s="2547">
        <f t="shared" si="7"/>
        <v>0</v>
      </c>
      <c r="S91" s="2547">
        <f t="shared" si="7"/>
        <v>63753721</v>
      </c>
    </row>
    <row r="92" hidden="1" outlineLevel="1" spans="12:12">
      <c r="L92" s="2547">
        <f>SUM(M91:S91)</f>
        <v>289665234</v>
      </c>
    </row>
    <row r="93" hidden="1" collapsed="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6" spans="8:8">
      <c r="H196" s="2552"/>
    </row>
    <row r="197" outlineLevel="1" spans="4:10">
      <c r="D197">
        <f>+C53</f>
        <v>0</v>
      </c>
      <c r="F197" s="18">
        <f>+F53</f>
        <v>0</v>
      </c>
      <c r="H197">
        <f>+A!J61</f>
        <v>15567.5</v>
      </c>
      <c r="I197" s="246">
        <f>+F197*H197</f>
        <v>0</v>
      </c>
      <c r="J197" s="246"/>
    </row>
    <row r="198" outlineLevel="1" spans="4:10">
      <c r="D198">
        <f>+C54</f>
        <v>0</v>
      </c>
      <c r="F198" s="18">
        <f>+F54</f>
        <v>0</v>
      </c>
      <c r="H198">
        <f>+H197</f>
        <v>15567.5</v>
      </c>
      <c r="I198" s="246">
        <f>+F198*H198</f>
        <v>0</v>
      </c>
      <c r="J198" s="246"/>
    </row>
    <row r="199" outlineLevel="1" spans="4:10">
      <c r="D199">
        <f>+C55</f>
        <v>0</v>
      </c>
      <c r="F199" s="18">
        <f>+F55</f>
        <v>0</v>
      </c>
      <c r="H199">
        <f>+H198</f>
        <v>15567.5</v>
      </c>
      <c r="I199" s="246">
        <f>+F199*H199</f>
        <v>0</v>
      </c>
      <c r="J199" s="246"/>
    </row>
    <row r="200" outlineLevel="1" spans="6:8">
      <c r="F200"/>
      <c r="H200" s="2552"/>
    </row>
    <row r="201" outlineLevel="1" spans="4:9">
      <c r="D201" t="str">
        <f>+C58</f>
        <v>Jumlah Utang Usaha - Pihak Ketiga USD</v>
      </c>
      <c r="F201" s="18">
        <f>SUM(F197:F200)</f>
        <v>0</v>
      </c>
      <c r="I201" s="2554">
        <f>SUM(I197:I200)</f>
        <v>0</v>
      </c>
    </row>
    <row r="202" spans="3:6">
      <c r="C202" s="64"/>
      <c r="D202" s="64"/>
      <c r="E202" s="246"/>
      <c r="F202" s="101"/>
    </row>
    <row r="203" spans="3:6">
      <c r="C203" s="94"/>
      <c r="F203" s="292">
        <f>SUM(F202:F202)</f>
        <v>0</v>
      </c>
    </row>
    <row r="205" ht="15.6" spans="3:3">
      <c r="C205" s="2553"/>
    </row>
    <row r="206" spans="5:6">
      <c r="E206"/>
      <c r="F206" s="295"/>
    </row>
    <row r="207" spans="5:6">
      <c r="E207"/>
      <c r="F207" s="295"/>
    </row>
    <row r="208" spans="5:6">
      <c r="E208"/>
      <c r="F208" s="295"/>
    </row>
    <row r="209" spans="5:6">
      <c r="E209"/>
      <c r="F209" s="295"/>
    </row>
    <row r="210" spans="5:6">
      <c r="E210"/>
      <c r="F210" s="295"/>
    </row>
    <row r="211" spans="6:6">
      <c r="F211" s="295"/>
    </row>
    <row r="212" spans="6:6">
      <c r="F212" s="295"/>
    </row>
    <row r="213" spans="6:6">
      <c r="F213" s="295"/>
    </row>
    <row r="214" spans="6:6">
      <c r="F214" s="295"/>
    </row>
    <row r="215" spans="6:6">
      <c r="F215" s="292"/>
    </row>
    <row r="216" spans="6:6">
      <c r="F216" s="292"/>
    </row>
    <row r="217" spans="6:6">
      <c r="F217" s="292"/>
    </row>
    <row r="218" spans="6:6">
      <c r="F218" s="292"/>
    </row>
  </sheetData>
  <mergeCells count="4">
    <mergeCell ref="N9:O9"/>
    <mergeCell ref="S9:T9"/>
    <mergeCell ref="S10:T10"/>
    <mergeCell ref="B9:D11"/>
  </mergeCells>
  <hyperlinks>
    <hyperlink ref="T3" location="'F2'!A1" display="B"/>
  </hyperlinks>
  <pageMargins left="0.748031496062992" right="0.748031496062992" top="0.984251968503937" bottom="0.984251968503937" header="0.511811023622047" footer="0.511811023622047"/>
  <pageSetup paperSize="9" scale="70" orientation="landscape"/>
  <headerFooter alignWithMargins="0"/>
  <drawing r:id="rId1"/>
  <legacyDrawing r:id="rId2"/>
  <oleObjects>
    <mc:AlternateContent xmlns:mc="http://schemas.openxmlformats.org/markup-compatibility/2006">
      <mc:Choice Requires="x14">
        <oleObject shapeId="309252" progId="Paint.Picture" r:id="rId3">
          <objectPr defaultSize="0" r:id="rId4">
            <anchor moveWithCells="1">
              <from>
                <xdr:col>2</xdr:col>
                <xdr:colOff>63500</xdr:colOff>
                <xdr:row>63</xdr:row>
                <xdr:rowOff>127000</xdr:rowOff>
              </from>
              <to>
                <xdr:col>2</xdr:col>
                <xdr:colOff>247650</xdr:colOff>
                <xdr:row>65</xdr:row>
                <xdr:rowOff>0</xdr:rowOff>
              </to>
            </anchor>
          </objectPr>
        </oleObject>
      </mc:Choice>
      <mc:Fallback>
        <oleObject shapeId="309252" progId="Paint.Picture" r:id="rId3"/>
      </mc:Fallback>
    </mc:AlternateContent>
    <mc:AlternateContent xmlns:mc="http://schemas.openxmlformats.org/markup-compatibility/2006">
      <mc:Choice Requires="x14">
        <oleObject shapeId="309253" progId="Paint.Picture" r:id="rId5">
          <objectPr defaultSize="0" r:id="rId6">
            <anchor moveWithCells="1">
              <from>
                <xdr:col>2</xdr:col>
                <xdr:colOff>50800</xdr:colOff>
                <xdr:row>65</xdr:row>
                <xdr:rowOff>0</xdr:rowOff>
              </from>
              <to>
                <xdr:col>2</xdr:col>
                <xdr:colOff>260350</xdr:colOff>
                <xdr:row>66</xdr:row>
                <xdr:rowOff>38100</xdr:rowOff>
              </to>
            </anchor>
          </objectPr>
        </oleObject>
      </mc:Choice>
      <mc:Fallback>
        <oleObject shapeId="309253" progId="Paint.Picture" r:id="rId5"/>
      </mc:Fallback>
    </mc:AlternateContent>
    <mc:AlternateContent xmlns:mc="http://schemas.openxmlformats.org/markup-compatibility/2006">
      <mc:Choice Requires="x14">
        <oleObject shapeId="309254" progId="Paint.Picture" r:id="rId7">
          <objectPr defaultSize="0" r:id="rId8">
            <anchor moveWithCells="1">
              <from>
                <xdr:col>2</xdr:col>
                <xdr:colOff>63500</xdr:colOff>
                <xdr:row>66</xdr:row>
                <xdr:rowOff>0</xdr:rowOff>
              </from>
              <to>
                <xdr:col>2</xdr:col>
                <xdr:colOff>279400</xdr:colOff>
                <xdr:row>67</xdr:row>
                <xdr:rowOff>44450</xdr:rowOff>
              </to>
            </anchor>
          </objectPr>
        </oleObject>
      </mc:Choice>
      <mc:Fallback>
        <oleObject shapeId="309254" progId="Paint.Picture" r:id="rId7"/>
      </mc:Fallback>
    </mc:AlternateContent>
    <mc:AlternateContent xmlns:mc="http://schemas.openxmlformats.org/markup-compatibility/2006">
      <mc:Choice Requires="x14">
        <oleObject shapeId="309386" progId="Paint.Picture" r:id="rId9">
          <objectPr defaultSize="0" r:id="rId8">
            <anchor moveWithCells="1">
              <from>
                <xdr:col>8</xdr:col>
                <xdr:colOff>469900</xdr:colOff>
                <xdr:row>62</xdr:row>
                <xdr:rowOff>6350</xdr:rowOff>
              </from>
              <to>
                <xdr:col>8</xdr:col>
                <xdr:colOff>666750</xdr:colOff>
                <xdr:row>63</xdr:row>
                <xdr:rowOff>50800</xdr:rowOff>
              </to>
            </anchor>
          </objectPr>
        </oleObject>
      </mc:Choice>
      <mc:Fallback>
        <oleObject shapeId="309386" progId="Paint.Picture" r:id="rId9"/>
      </mc:Fallback>
    </mc:AlternateContent>
  </oleObjects>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5">
    <tabColor theme="6" tint="-0.249977111117893"/>
  </sheetPr>
  <dimension ref="B2:T263"/>
  <sheetViews>
    <sheetView showGridLines="0" workbookViewId="0">
      <selection activeCell="N57" sqref="N57"/>
    </sheetView>
  </sheetViews>
  <sheetFormatPr defaultColWidth="9.13541666666667" defaultRowHeight="13.2"/>
  <cols>
    <col min="1" max="1" width="3.73958333333333" style="186" customWidth="1"/>
    <col min="2" max="2" width="7.79166666666667" style="186" customWidth="1"/>
    <col min="3" max="3" width="41.9583333333333" style="186" customWidth="1"/>
    <col min="4" max="4" width="4.79166666666667" style="186" customWidth="1"/>
    <col min="5" max="5" width="16.3333333333333" style="186" hidden="1" customWidth="1"/>
    <col min="6" max="6" width="15.7291666666667" style="186" customWidth="1"/>
    <col min="7" max="7" width="6.4375" style="186" customWidth="1"/>
    <col min="8" max="9" width="16.3333333333333" style="186" customWidth="1"/>
    <col min="10" max="10" width="5.39583333333333" style="186" customWidth="1"/>
    <col min="11" max="11" width="16.3333333333333" style="186" customWidth="1"/>
    <col min="12" max="12" width="17.2291666666667" style="186" customWidth="1" outlineLevel="1"/>
    <col min="13" max="13" width="4.79166666666667" style="186" customWidth="1" outlineLevel="1"/>
    <col min="14" max="15" width="17.2291666666667" style="186" customWidth="1" outlineLevel="1"/>
    <col min="16" max="16" width="4.79166666666667" style="186" customWidth="1"/>
    <col min="17" max="17" width="16.9270833333333" style="186" customWidth="1"/>
    <col min="18" max="18" width="16.78125" style="186" customWidth="1"/>
    <col min="19" max="19" width="16.3333333333333" style="186" customWidth="1"/>
    <col min="20" max="20" width="7.1875" style="186" customWidth="1"/>
    <col min="21" max="16384" width="9.13541666666667" style="186"/>
  </cols>
  <sheetData>
    <row r="2" spans="2:20">
      <c r="B2" s="2437" t="str">
        <f>BB!B2</f>
        <v>KAP LIASTA NIRWAN SYAFRUDIN &amp; REKAN</v>
      </c>
      <c r="C2" s="2438"/>
      <c r="D2" s="1198"/>
      <c r="E2" s="1198"/>
      <c r="F2" s="1198"/>
      <c r="G2" s="1198"/>
      <c r="H2" s="1198"/>
      <c r="I2" s="1198"/>
      <c r="J2" s="1198"/>
      <c r="K2" s="1198"/>
      <c r="L2" s="1198"/>
      <c r="M2" s="1198"/>
      <c r="N2" s="1198"/>
      <c r="O2" s="1198"/>
      <c r="P2" s="1198"/>
      <c r="Q2" s="2452"/>
      <c r="R2" s="2452"/>
      <c r="S2" s="2452"/>
      <c r="T2" s="2471"/>
    </row>
    <row r="3" spans="2:20">
      <c r="B3" s="2334" t="s">
        <v>622</v>
      </c>
      <c r="C3" s="2439" t="str">
        <f>+BB!C4</f>
        <v>PT INTAN GIRI ABADI</v>
      </c>
      <c r="D3" s="2440"/>
      <c r="E3" s="1200"/>
      <c r="F3" s="1200"/>
      <c r="G3" s="1200"/>
      <c r="H3" s="1200"/>
      <c r="I3" s="1200"/>
      <c r="J3" s="1200"/>
      <c r="K3" s="1200"/>
      <c r="L3" s="1200"/>
      <c r="M3" s="1200"/>
      <c r="N3" s="1200"/>
      <c r="O3" s="1200"/>
      <c r="P3" s="1200"/>
      <c r="Q3" s="2472" t="s">
        <v>481</v>
      </c>
      <c r="R3" s="1200" t="s">
        <v>482</v>
      </c>
      <c r="S3" s="1200" t="s">
        <v>483</v>
      </c>
      <c r="T3" s="2473"/>
    </row>
    <row r="4" spans="2:20">
      <c r="B4" s="2334" t="s">
        <v>623</v>
      </c>
      <c r="C4" s="2439" t="str">
        <f>'F2'!C19</f>
        <v>Biaya yang masih harus dibayar</v>
      </c>
      <c r="D4" s="2440"/>
      <c r="E4" s="1200"/>
      <c r="F4" s="1200"/>
      <c r="G4" s="1200"/>
      <c r="H4" s="1200"/>
      <c r="I4" s="1200"/>
      <c r="J4" s="1200"/>
      <c r="K4" s="1200"/>
      <c r="L4" s="1200"/>
      <c r="M4" s="1200"/>
      <c r="N4" s="1200"/>
      <c r="O4" s="1200"/>
      <c r="P4" s="1200"/>
      <c r="Q4" s="2472"/>
      <c r="R4" s="1200"/>
      <c r="S4" s="1200" t="s">
        <v>488</v>
      </c>
      <c r="T4" s="2473"/>
    </row>
    <row r="5" spans="2:20">
      <c r="B5" s="1199"/>
      <c r="C5" s="1200"/>
      <c r="D5" s="1200"/>
      <c r="E5" s="1200"/>
      <c r="F5" s="1200"/>
      <c r="G5" s="1200"/>
      <c r="H5" s="1200"/>
      <c r="I5" s="1200"/>
      <c r="J5" s="1200"/>
      <c r="K5" s="1200"/>
      <c r="L5" s="1200"/>
      <c r="M5" s="1200"/>
      <c r="N5" s="1200"/>
      <c r="O5" s="1200"/>
      <c r="P5" s="1200"/>
      <c r="Q5" s="2472" t="s">
        <v>487</v>
      </c>
      <c r="R5" s="1200" t="s">
        <v>482</v>
      </c>
      <c r="S5" s="1200" t="s">
        <v>491</v>
      </c>
      <c r="T5" s="2473"/>
    </row>
    <row r="6" spans="2:20">
      <c r="B6" s="2441"/>
      <c r="C6" s="2442"/>
      <c r="D6" s="2442"/>
      <c r="E6" s="1202"/>
      <c r="F6" s="1202"/>
      <c r="G6" s="1202"/>
      <c r="H6" s="1202"/>
      <c r="I6" s="1202"/>
      <c r="J6" s="1202"/>
      <c r="K6" s="1202"/>
      <c r="L6" s="1202"/>
      <c r="M6" s="1202"/>
      <c r="N6" s="1202"/>
      <c r="O6" s="1202"/>
      <c r="P6" s="1202"/>
      <c r="Q6" s="1202"/>
      <c r="R6" s="1202"/>
      <c r="S6" s="1202"/>
      <c r="T6" s="2474"/>
    </row>
    <row r="7" ht="13.95" spans="14:15">
      <c r="N7" s="1388"/>
      <c r="O7" s="1388"/>
    </row>
    <row r="8" spans="2:20">
      <c r="B8" s="2443"/>
      <c r="C8" s="1328"/>
      <c r="D8" s="1330"/>
      <c r="E8" s="1330" t="s">
        <v>2248</v>
      </c>
      <c r="F8" s="1329" t="s">
        <v>2248</v>
      </c>
      <c r="G8" s="1330"/>
      <c r="H8" s="2281" t="s">
        <v>1228</v>
      </c>
      <c r="I8" s="2281"/>
      <c r="J8" s="1330"/>
      <c r="K8" s="1327" t="s">
        <v>2248</v>
      </c>
      <c r="L8" s="1329" t="s">
        <v>2248</v>
      </c>
      <c r="M8" s="1330"/>
      <c r="N8" s="2281" t="s">
        <v>1228</v>
      </c>
      <c r="O8" s="2281"/>
      <c r="P8" s="1330"/>
      <c r="Q8" s="1327" t="s">
        <v>2248</v>
      </c>
      <c r="R8" s="1327" t="s">
        <v>2248</v>
      </c>
      <c r="S8" s="1403">
        <f>Q10</f>
        <v>44561</v>
      </c>
      <c r="T8" s="1404"/>
    </row>
    <row r="9" spans="2:20">
      <c r="B9" s="2444" t="s">
        <v>492</v>
      </c>
      <c r="C9" s="2445"/>
      <c r="D9" s="1336" t="s">
        <v>654</v>
      </c>
      <c r="E9" s="1336" t="e">
        <f>'[89]F1'!F6</f>
        <v>#REF!</v>
      </c>
      <c r="F9" s="1335" t="s">
        <v>2249</v>
      </c>
      <c r="G9" s="1336" t="s">
        <v>1230</v>
      </c>
      <c r="H9" s="2283"/>
      <c r="I9" s="2283"/>
      <c r="J9" s="1336" t="s">
        <v>1230</v>
      </c>
      <c r="K9" s="1389" t="s">
        <v>2250</v>
      </c>
      <c r="L9" s="1335" t="s">
        <v>2249</v>
      </c>
      <c r="M9" s="1336" t="s">
        <v>1230</v>
      </c>
      <c r="N9" s="2283"/>
      <c r="O9" s="2283"/>
      <c r="P9" s="1336" t="s">
        <v>1230</v>
      </c>
      <c r="Q9" s="1389" t="s">
        <v>2250</v>
      </c>
      <c r="R9" s="1389" t="s">
        <v>2250</v>
      </c>
      <c r="S9" s="1405" t="s">
        <v>2251</v>
      </c>
      <c r="T9" s="1406"/>
    </row>
    <row r="10" ht="13.95" spans="2:20">
      <c r="B10" s="2446"/>
      <c r="C10" s="1340"/>
      <c r="D10" s="5111" t="s">
        <v>2252</v>
      </c>
      <c r="E10" s="1341" t="e">
        <f>'[89]F1'!F7</f>
        <v>#REF!</v>
      </c>
      <c r="F10" s="1341">
        <f>+'F1'!J10</f>
        <v>44926</v>
      </c>
      <c r="G10" s="1342" t="s">
        <v>2253</v>
      </c>
      <c r="H10" s="1342" t="s">
        <v>1231</v>
      </c>
      <c r="I10" s="1342" t="s">
        <v>1232</v>
      </c>
      <c r="J10" s="1342" t="s">
        <v>2253</v>
      </c>
      <c r="K10" s="1390">
        <f>F10</f>
        <v>44926</v>
      </c>
      <c r="L10" s="1341">
        <f>+K10-365</f>
        <v>44561</v>
      </c>
      <c r="M10" s="1342" t="s">
        <v>2253</v>
      </c>
      <c r="N10" s="1342" t="s">
        <v>1231</v>
      </c>
      <c r="O10" s="1342" t="s">
        <v>1232</v>
      </c>
      <c r="P10" s="1342" t="s">
        <v>2253</v>
      </c>
      <c r="Q10" s="1390">
        <f>L10</f>
        <v>44561</v>
      </c>
      <c r="R10" s="1390">
        <f>+Q10-365</f>
        <v>44196</v>
      </c>
      <c r="S10" s="1342" t="s">
        <v>151</v>
      </c>
      <c r="T10" s="5112" t="s">
        <v>2254</v>
      </c>
    </row>
    <row r="11" spans="2:20">
      <c r="B11" s="1983"/>
      <c r="D11" s="135"/>
      <c r="E11" s="296"/>
      <c r="F11" s="296"/>
      <c r="G11" s="296"/>
      <c r="H11" s="296"/>
      <c r="I11" s="296"/>
      <c r="J11" s="296"/>
      <c r="K11" s="296"/>
      <c r="L11" s="296"/>
      <c r="M11" s="135"/>
      <c r="N11" s="296"/>
      <c r="O11" s="296"/>
      <c r="P11" s="135"/>
      <c r="Q11" s="1391"/>
      <c r="S11" s="296">
        <v>0</v>
      </c>
      <c r="T11" s="1409"/>
    </row>
    <row r="12" spans="2:20">
      <c r="B12" s="1983"/>
      <c r="D12" s="135"/>
      <c r="E12" s="296"/>
      <c r="F12" s="174"/>
      <c r="G12" s="296"/>
      <c r="H12" s="296"/>
      <c r="I12" s="296"/>
      <c r="J12" s="296"/>
      <c r="K12">
        <f>F12+I12-H12</f>
        <v>0</v>
      </c>
      <c r="L12" s="174"/>
      <c r="M12" s="135"/>
      <c r="N12" s="296"/>
      <c r="O12" s="174"/>
      <c r="P12" s="200"/>
      <c r="Q12" s="174">
        <f>L12+O12-N12</f>
        <v>0</v>
      </c>
      <c r="R12">
        <v>0</v>
      </c>
      <c r="S12" s="174">
        <f>Q12-R12</f>
        <v>0</v>
      </c>
      <c r="T12" s="1409">
        <f>IF(R12=0,IF(S12=0,0,S12/S12),S12/R12)</f>
        <v>0</v>
      </c>
    </row>
    <row r="13" spans="2:20">
      <c r="B13" s="1983"/>
      <c r="D13" s="135"/>
      <c r="E13" s="296"/>
      <c r="F13" s="296"/>
      <c r="G13" s="296"/>
      <c r="H13" s="296"/>
      <c r="I13" s="296"/>
      <c r="J13" s="296"/>
      <c r="K13">
        <f t="shared" ref="K13:K19" si="0">F13+I13-H13</f>
        <v>0</v>
      </c>
      <c r="L13" s="174"/>
      <c r="M13" s="135"/>
      <c r="N13" s="296"/>
      <c r="O13" s="174"/>
      <c r="P13" s="200"/>
      <c r="Q13" s="174">
        <f t="shared" ref="Q13:Q19" si="1">L13+O13-N13</f>
        <v>0</v>
      </c>
      <c r="R13">
        <v>0</v>
      </c>
      <c r="S13" s="174">
        <f t="shared" ref="S13:S19" si="2">Q13-R13</f>
        <v>0</v>
      </c>
      <c r="T13" s="1409">
        <f t="shared" ref="T13:T19" si="3">IF(R13=0,IF(S13=0,0,S13/S13),S13/R13)</f>
        <v>0</v>
      </c>
    </row>
    <row r="14" spans="2:20">
      <c r="B14" s="1983"/>
      <c r="D14" s="135"/>
      <c r="E14" s="296"/>
      <c r="F14" s="174"/>
      <c r="G14" s="296"/>
      <c r="H14" s="296"/>
      <c r="I14" s="296"/>
      <c r="J14" s="296"/>
      <c r="K14" s="174">
        <f t="shared" si="0"/>
        <v>0</v>
      </c>
      <c r="L14" s="174"/>
      <c r="M14" s="135"/>
      <c r="N14" s="296"/>
      <c r="O14" s="174"/>
      <c r="P14" s="200"/>
      <c r="Q14" s="174">
        <f t="shared" si="1"/>
        <v>0</v>
      </c>
      <c r="R14">
        <v>0</v>
      </c>
      <c r="S14" s="174">
        <f t="shared" si="2"/>
        <v>0</v>
      </c>
      <c r="T14" s="1409">
        <f t="shared" si="3"/>
        <v>0</v>
      </c>
    </row>
    <row r="15" spans="2:20">
      <c r="B15" s="1983"/>
      <c r="D15" s="135"/>
      <c r="E15" s="296"/>
      <c r="F15" s="296"/>
      <c r="G15" s="296"/>
      <c r="H15" s="296"/>
      <c r="I15" s="296"/>
      <c r="J15" s="296"/>
      <c r="K15">
        <f t="shared" si="0"/>
        <v>0</v>
      </c>
      <c r="L15" s="174"/>
      <c r="M15" s="135"/>
      <c r="N15" s="296"/>
      <c r="O15" s="174"/>
      <c r="P15" s="200"/>
      <c r="Q15" s="174">
        <f t="shared" si="1"/>
        <v>0</v>
      </c>
      <c r="R15">
        <v>0</v>
      </c>
      <c r="S15" s="174">
        <f t="shared" si="2"/>
        <v>0</v>
      </c>
      <c r="T15" s="1409">
        <f t="shared" si="3"/>
        <v>0</v>
      </c>
    </row>
    <row r="16" spans="2:20">
      <c r="B16" s="1983"/>
      <c r="D16" s="135"/>
      <c r="E16" s="296"/>
      <c r="F16" s="296"/>
      <c r="G16" s="296"/>
      <c r="H16" s="296"/>
      <c r="I16" s="296"/>
      <c r="J16" s="296"/>
      <c r="K16" s="174">
        <f t="shared" si="0"/>
        <v>0</v>
      </c>
      <c r="L16" s="174"/>
      <c r="M16" s="200"/>
      <c r="N16" s="174">
        <v>0</v>
      </c>
      <c r="O16" s="174"/>
      <c r="P16" s="200"/>
      <c r="Q16" s="174">
        <f t="shared" si="1"/>
        <v>0</v>
      </c>
      <c r="R16">
        <v>0</v>
      </c>
      <c r="S16" s="174">
        <f t="shared" si="2"/>
        <v>0</v>
      </c>
      <c r="T16" s="1409">
        <f t="shared" si="3"/>
        <v>0</v>
      </c>
    </row>
    <row r="17" spans="2:20">
      <c r="B17" s="1983"/>
      <c r="D17" s="135"/>
      <c r="E17" s="296"/>
      <c r="F17" s="296"/>
      <c r="G17" s="296"/>
      <c r="H17" s="296"/>
      <c r="I17" s="296"/>
      <c r="J17" s="296"/>
      <c r="K17">
        <f t="shared" si="0"/>
        <v>0</v>
      </c>
      <c r="L17" s="174"/>
      <c r="M17" s="200"/>
      <c r="N17" s="174">
        <v>0</v>
      </c>
      <c r="O17" s="174"/>
      <c r="P17" s="200"/>
      <c r="Q17" s="174">
        <f t="shared" si="1"/>
        <v>0</v>
      </c>
      <c r="R17">
        <v>0</v>
      </c>
      <c r="S17" s="174">
        <f t="shared" si="2"/>
        <v>0</v>
      </c>
      <c r="T17" s="1409">
        <f t="shared" si="3"/>
        <v>0</v>
      </c>
    </row>
    <row r="18" spans="2:20">
      <c r="B18" s="1983"/>
      <c r="D18" s="135"/>
      <c r="E18" s="296"/>
      <c r="F18" s="296"/>
      <c r="G18" s="296"/>
      <c r="H18" s="296"/>
      <c r="I18" s="296"/>
      <c r="J18" s="296"/>
      <c r="K18">
        <f t="shared" si="0"/>
        <v>0</v>
      </c>
      <c r="L18" s="174"/>
      <c r="M18" s="200"/>
      <c r="N18" s="174"/>
      <c r="O18" s="174"/>
      <c r="P18" s="200"/>
      <c r="Q18" s="174">
        <f t="shared" si="1"/>
        <v>0</v>
      </c>
      <c r="R18">
        <v>0</v>
      </c>
      <c r="S18" s="174">
        <f t="shared" si="2"/>
        <v>0</v>
      </c>
      <c r="T18" s="1409">
        <f t="shared" si="3"/>
        <v>0</v>
      </c>
    </row>
    <row r="19" spans="2:20">
      <c r="B19" s="1983"/>
      <c r="D19" s="135"/>
      <c r="E19" s="296"/>
      <c r="F19" s="296"/>
      <c r="G19" s="296"/>
      <c r="H19" s="296"/>
      <c r="I19" s="296"/>
      <c r="J19" s="296"/>
      <c r="K19" s="174">
        <f t="shared" si="0"/>
        <v>0</v>
      </c>
      <c r="L19" s="174"/>
      <c r="M19" s="200"/>
      <c r="N19" s="174"/>
      <c r="O19" s="174"/>
      <c r="P19" s="200"/>
      <c r="Q19" s="174">
        <f t="shared" si="1"/>
        <v>0</v>
      </c>
      <c r="R19">
        <v>0</v>
      </c>
      <c r="S19" s="174">
        <f t="shared" si="2"/>
        <v>0</v>
      </c>
      <c r="T19" s="1409">
        <f t="shared" si="3"/>
        <v>0</v>
      </c>
    </row>
    <row r="20" spans="2:20">
      <c r="B20" s="1983"/>
      <c r="D20" s="135"/>
      <c r="E20" s="296"/>
      <c r="F20" s="296"/>
      <c r="G20" s="296"/>
      <c r="H20" s="296"/>
      <c r="I20" s="296"/>
      <c r="J20" s="296"/>
      <c r="K20" s="2180"/>
      <c r="L20" s="174"/>
      <c r="M20" s="200"/>
      <c r="N20" s="174"/>
      <c r="O20" s="174"/>
      <c r="P20" s="200"/>
      <c r="Q20" s="2180"/>
      <c r="R20" s="2423"/>
      <c r="S20" s="174"/>
      <c r="T20" s="1409"/>
    </row>
    <row r="21" ht="13.95" spans="2:20">
      <c r="B21" s="5141" t="s">
        <v>151</v>
      </c>
      <c r="C21" s="2447"/>
      <c r="D21" s="135"/>
      <c r="E21" s="1412">
        <f>SUM(E12:E12)</f>
        <v>0</v>
      </c>
      <c r="F21" s="1392">
        <f>SUM(F12:F20)</f>
        <v>0</v>
      </c>
      <c r="G21" s="1412"/>
      <c r="H21" s="1392">
        <f>SUM(H12:H20)</f>
        <v>0</v>
      </c>
      <c r="I21" s="1392">
        <f>SUM(I12:I20)</f>
        <v>0</v>
      </c>
      <c r="J21" s="1412"/>
      <c r="K21" s="1392">
        <f>SUM(K12:K20)</f>
        <v>0</v>
      </c>
      <c r="L21" s="1392">
        <f>SUM(L12:L20)</f>
        <v>0</v>
      </c>
      <c r="M21" s="200"/>
      <c r="N21" s="1392">
        <f t="shared" ref="N21:S21" si="4">SUM(N12:N20)</f>
        <v>0</v>
      </c>
      <c r="O21" s="1392">
        <f t="shared" si="4"/>
        <v>0</v>
      </c>
      <c r="P21" s="1392">
        <f t="shared" si="4"/>
        <v>0</v>
      </c>
      <c r="Q21" s="1392">
        <f t="shared" si="4"/>
        <v>0</v>
      </c>
      <c r="R21" s="1392">
        <f t="shared" si="4"/>
        <v>0</v>
      </c>
      <c r="S21" s="1392">
        <f t="shared" si="4"/>
        <v>0</v>
      </c>
      <c r="T21" s="2316">
        <f>IF(R21=0,IF(S21=0,0,S21/S21),S21/R21)</f>
        <v>0</v>
      </c>
    </row>
    <row r="22" ht="14.7" spans="2:20">
      <c r="B22" s="2448"/>
      <c r="C22" s="1347"/>
      <c r="D22" s="2286"/>
      <c r="E22" s="1348"/>
      <c r="F22" s="1348">
        <f>F21-'F2'!F19</f>
        <v>0</v>
      </c>
      <c r="G22" s="1348"/>
      <c r="H22" s="1348"/>
      <c r="I22" s="1348"/>
      <c r="J22" s="1348"/>
      <c r="K22" s="1348">
        <f>K21-'F2'!K19</f>
        <v>0</v>
      </c>
      <c r="L22" s="1393">
        <f>L21-'F2'!L19</f>
        <v>0</v>
      </c>
      <c r="M22" s="1394"/>
      <c r="N22" s="1393"/>
      <c r="O22" s="1393"/>
      <c r="P22" s="1394"/>
      <c r="Q22" s="1395">
        <f>Q21-'F2'!Q19</f>
        <v>0</v>
      </c>
      <c r="R22" s="2287"/>
      <c r="S22" s="1348"/>
      <c r="T22" s="2317"/>
    </row>
    <row r="23" spans="12:20">
      <c r="L23" s="186" t="e">
        <f>SUM(#REF!)</f>
        <v>#REF!</v>
      </c>
      <c r="T23" s="2318"/>
    </row>
    <row r="24" spans="12:20">
      <c r="L24" s="186" t="e">
        <f>L21-L23</f>
        <v>#REF!</v>
      </c>
      <c r="T24" s="2318"/>
    </row>
    <row r="27" spans="3:3">
      <c r="C27" s="2449" t="str">
        <f>'F1'!C46</f>
        <v>Sesuai dengan Saldo Buku Besar Periode 31 Desember 2022 &amp; 2021</v>
      </c>
    </row>
    <row r="28" spans="3:3">
      <c r="C28" s="5142" t="str">
        <f>'F1'!C47</f>
        <v>Sesuai dengan Saldo Audit Periode Sebelumnya</v>
      </c>
    </row>
    <row r="29" spans="3:3">
      <c r="C29" s="5142" t="str">
        <f>'F1'!C48</f>
        <v>Rumus dan Formula Perhitungan telah Diperiksa</v>
      </c>
    </row>
    <row r="31" spans="2:20">
      <c r="B31" s="2451"/>
      <c r="C31" s="2452" t="s">
        <v>338</v>
      </c>
      <c r="D31" s="2452"/>
      <c r="E31" s="2452"/>
      <c r="F31" s="2452"/>
      <c r="G31" s="2452"/>
      <c r="H31" s="2452"/>
      <c r="I31" s="2452"/>
      <c r="J31" s="2452"/>
      <c r="K31" s="2452"/>
      <c r="L31" s="2452"/>
      <c r="M31" s="2452"/>
      <c r="N31" s="2452" t="s">
        <v>12272</v>
      </c>
      <c r="O31" s="2452"/>
      <c r="P31" s="2452"/>
      <c r="Q31" s="2452"/>
      <c r="R31" s="2452"/>
      <c r="S31" s="2452"/>
      <c r="T31" s="2475"/>
    </row>
    <row r="32" spans="2:20">
      <c r="B32" s="2453"/>
      <c r="C32" s="2440"/>
      <c r="D32" s="2440"/>
      <c r="E32" s="2440"/>
      <c r="F32" s="2440"/>
      <c r="G32" s="2440"/>
      <c r="H32" s="2440"/>
      <c r="I32" s="2440"/>
      <c r="J32" s="2440"/>
      <c r="K32" s="2440"/>
      <c r="L32" s="2440"/>
      <c r="M32" s="2440"/>
      <c r="N32" s="2440"/>
      <c r="O32" s="2463"/>
      <c r="P32" s="2440"/>
      <c r="Q32" s="2440"/>
      <c r="R32" s="2440"/>
      <c r="S32" s="2440"/>
      <c r="T32" s="2476"/>
    </row>
    <row r="33" spans="2:20">
      <c r="B33" s="2453"/>
      <c r="C33" s="2440"/>
      <c r="D33" s="2440"/>
      <c r="E33" s="2440"/>
      <c r="F33" s="2440"/>
      <c r="G33" s="2440"/>
      <c r="H33" s="2440"/>
      <c r="I33" s="2440"/>
      <c r="J33" s="2440"/>
      <c r="K33" s="2440"/>
      <c r="L33" s="2440"/>
      <c r="M33" s="2440"/>
      <c r="N33" s="2440"/>
      <c r="O33" s="2440"/>
      <c r="P33" s="2440"/>
      <c r="Q33" s="2440"/>
      <c r="R33" s="2440"/>
      <c r="S33" s="2440"/>
      <c r="T33" s="2476"/>
    </row>
    <row r="34" spans="2:20">
      <c r="B34" s="2453"/>
      <c r="C34" s="2440"/>
      <c r="D34" s="2440"/>
      <c r="E34" s="2440"/>
      <c r="F34" s="2440"/>
      <c r="G34" s="2440"/>
      <c r="H34" s="2440"/>
      <c r="I34" s="2440"/>
      <c r="J34" s="2440"/>
      <c r="K34" s="2440"/>
      <c r="L34" s="2440"/>
      <c r="M34" s="2440"/>
      <c r="N34" s="2440"/>
      <c r="O34" s="2440"/>
      <c r="P34" s="2440"/>
      <c r="Q34" s="2440"/>
      <c r="R34" s="2440"/>
      <c r="S34" s="2440"/>
      <c r="T34" s="2476"/>
    </row>
    <row r="35" spans="2:20">
      <c r="B35" s="2453"/>
      <c r="C35" s="2440"/>
      <c r="D35" s="2440"/>
      <c r="E35" s="2440"/>
      <c r="F35" s="2440"/>
      <c r="G35" s="2440"/>
      <c r="H35" s="2440"/>
      <c r="I35" s="2440"/>
      <c r="J35" s="2440"/>
      <c r="K35" s="2440"/>
      <c r="L35" s="2440"/>
      <c r="M35" s="2440"/>
      <c r="N35" s="2440"/>
      <c r="O35" s="2440"/>
      <c r="P35" s="2440"/>
      <c r="Q35" s="2440"/>
      <c r="R35" s="2440"/>
      <c r="S35" s="2440"/>
      <c r="T35" s="2476"/>
    </row>
    <row r="36" spans="2:20">
      <c r="B36" s="2454" t="s">
        <v>12273</v>
      </c>
      <c r="C36" s="2440" t="s">
        <v>12274</v>
      </c>
      <c r="D36" s="2440"/>
      <c r="E36" s="2440"/>
      <c r="F36" s="2440"/>
      <c r="G36" s="2440"/>
      <c r="H36" s="2440"/>
      <c r="I36" s="2440"/>
      <c r="J36" s="2440"/>
      <c r="K36" s="2440"/>
      <c r="L36" s="2440"/>
      <c r="M36" s="2440"/>
      <c r="N36" s="2440"/>
      <c r="O36" s="2440"/>
      <c r="P36" s="2440"/>
      <c r="Q36" s="2440"/>
      <c r="R36" s="2440"/>
      <c r="S36" s="2440"/>
      <c r="T36" s="2476"/>
    </row>
    <row r="37" spans="2:20">
      <c r="B37" s="2454"/>
      <c r="C37" s="2440"/>
      <c r="D37" s="2440"/>
      <c r="E37" s="2440"/>
      <c r="F37" s="2440"/>
      <c r="G37" s="2440"/>
      <c r="H37" s="2440"/>
      <c r="I37" s="2440"/>
      <c r="J37" s="2440"/>
      <c r="K37" s="2440"/>
      <c r="L37" s="2440"/>
      <c r="M37" s="2440"/>
      <c r="N37" s="2440"/>
      <c r="O37" s="2440"/>
      <c r="P37" s="2440"/>
      <c r="Q37" s="2440"/>
      <c r="R37" s="2440"/>
      <c r="S37" s="2440"/>
      <c r="T37" s="2476"/>
    </row>
    <row r="38" spans="2:20">
      <c r="B38" s="2454"/>
      <c r="C38" s="2440"/>
      <c r="D38" s="2440"/>
      <c r="E38" s="2440"/>
      <c r="F38" s="2440"/>
      <c r="G38" s="2440"/>
      <c r="H38" s="2440"/>
      <c r="I38" s="2440"/>
      <c r="J38" s="2440"/>
      <c r="K38" s="2440"/>
      <c r="L38" s="2440"/>
      <c r="M38" s="2440"/>
      <c r="N38" s="2440"/>
      <c r="O38" s="2440"/>
      <c r="P38" s="2440"/>
      <c r="Q38" s="2440"/>
      <c r="R38" s="2440"/>
      <c r="S38" s="2440"/>
      <c r="T38" s="2476"/>
    </row>
    <row r="39" ht="13.95" spans="2:20">
      <c r="B39" s="2454"/>
      <c r="C39" s="2440"/>
      <c r="D39" s="2440"/>
      <c r="E39" s="2440"/>
      <c r="F39" s="2440"/>
      <c r="G39" s="2440"/>
      <c r="H39" s="2440"/>
      <c r="I39" s="2440"/>
      <c r="J39" s="2440"/>
      <c r="K39" s="2440"/>
      <c r="L39" s="2440"/>
      <c r="M39" s="2440"/>
      <c r="N39" s="2440"/>
      <c r="O39" s="2440"/>
      <c r="P39" s="2440"/>
      <c r="Q39" s="2440"/>
      <c r="R39" s="2440"/>
      <c r="S39" s="2440"/>
      <c r="T39" s="2476"/>
    </row>
    <row r="40" ht="13.95" spans="2:20">
      <c r="B40" s="2455" t="s">
        <v>952</v>
      </c>
      <c r="C40" s="2456"/>
      <c r="D40" s="2457"/>
      <c r="E40" s="2458"/>
      <c r="F40" s="2458"/>
      <c r="G40" s="2458"/>
      <c r="H40" s="2458"/>
      <c r="I40" s="2458"/>
      <c r="J40" s="2458"/>
      <c r="K40" s="2458"/>
      <c r="L40" s="2464"/>
      <c r="M40" s="2465" t="s">
        <v>953</v>
      </c>
      <c r="N40" s="2458" t="s">
        <v>954</v>
      </c>
      <c r="O40" s="2466"/>
      <c r="P40" s="2467"/>
      <c r="Q40" s="2458" t="s">
        <v>2264</v>
      </c>
      <c r="R40" s="2440"/>
      <c r="S40" s="2440"/>
      <c r="T40" s="2476"/>
    </row>
    <row r="41" spans="2:20">
      <c r="B41" s="2455"/>
      <c r="C41" s="2456"/>
      <c r="D41" s="2457"/>
      <c r="E41" s="2458"/>
      <c r="F41" s="2458"/>
      <c r="G41" s="2458"/>
      <c r="H41" s="2458"/>
      <c r="I41" s="2458"/>
      <c r="J41" s="2458"/>
      <c r="K41" s="2458"/>
      <c r="L41" s="2468"/>
      <c r="M41" s="2468"/>
      <c r="N41" s="2458"/>
      <c r="O41" s="2461"/>
      <c r="P41" s="2461"/>
      <c r="Q41" s="2458"/>
      <c r="R41" s="2440"/>
      <c r="S41" s="2440"/>
      <c r="T41" s="2476"/>
    </row>
    <row r="42" spans="2:20">
      <c r="B42" s="2459" t="s">
        <v>12275</v>
      </c>
      <c r="C42" s="2460"/>
      <c r="D42" s="2461"/>
      <c r="E42" s="2462"/>
      <c r="F42" s="2462"/>
      <c r="G42" s="2462"/>
      <c r="H42" s="2462"/>
      <c r="I42" s="2462"/>
      <c r="J42" s="2462"/>
      <c r="K42" s="2462"/>
      <c r="L42" s="2469"/>
      <c r="M42" s="2460"/>
      <c r="N42" s="2460"/>
      <c r="O42" s="2460"/>
      <c r="P42" s="2470"/>
      <c r="Q42" s="2477"/>
      <c r="R42" s="2440"/>
      <c r="S42" s="2440"/>
      <c r="T42" s="2476"/>
    </row>
    <row r="43" spans="2:20">
      <c r="B43" s="2459" t="str">
        <f>'F2'!C17</f>
        <v>Utang lain-lain</v>
      </c>
      <c r="C43" s="2460"/>
      <c r="D43" s="2461"/>
      <c r="E43" s="2462"/>
      <c r="F43" s="2462"/>
      <c r="G43" s="2462"/>
      <c r="H43" s="2462"/>
      <c r="I43" s="2462"/>
      <c r="J43" s="2462"/>
      <c r="K43" s="2462"/>
      <c r="L43" s="2469"/>
      <c r="M43" s="2460"/>
      <c r="N43" s="2460"/>
      <c r="O43" s="2460"/>
      <c r="P43" s="2470"/>
      <c r="Q43" s="2477"/>
      <c r="R43" s="2440"/>
      <c r="S43" s="2440"/>
      <c r="T43" s="2476"/>
    </row>
    <row r="44" spans="2:20">
      <c r="B44" s="2453"/>
      <c r="C44" s="2440"/>
      <c r="D44" s="2440"/>
      <c r="E44" s="2440"/>
      <c r="F44" s="2440"/>
      <c r="G44" s="2440"/>
      <c r="H44" s="2440"/>
      <c r="I44" s="2440"/>
      <c r="J44" s="2440"/>
      <c r="K44" s="2440"/>
      <c r="L44" s="2440"/>
      <c r="M44" s="2440"/>
      <c r="N44" s="2440"/>
      <c r="O44" s="2440"/>
      <c r="P44" s="2440"/>
      <c r="Q44" s="2440"/>
      <c r="R44" s="2440"/>
      <c r="S44" s="2440"/>
      <c r="T44" s="2476"/>
    </row>
    <row r="45" spans="2:20">
      <c r="B45" s="2441"/>
      <c r="C45" s="2442"/>
      <c r="D45" s="2442"/>
      <c r="E45" s="2442"/>
      <c r="F45" s="2442"/>
      <c r="G45" s="2442"/>
      <c r="H45" s="2442"/>
      <c r="I45" s="2442"/>
      <c r="J45" s="2442"/>
      <c r="K45" s="2442"/>
      <c r="L45" s="2442"/>
      <c r="M45" s="2442"/>
      <c r="N45" s="2442"/>
      <c r="O45" s="2442"/>
      <c r="P45" s="2442"/>
      <c r="Q45" s="2442"/>
      <c r="R45" s="2442"/>
      <c r="S45" s="2442"/>
      <c r="T45" s="2478"/>
    </row>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sheetData>
  <mergeCells count="5">
    <mergeCell ref="S8:T8"/>
    <mergeCell ref="B9:C9"/>
    <mergeCell ref="S9:T9"/>
    <mergeCell ref="H8:I9"/>
    <mergeCell ref="N8:O9"/>
  </mergeCells>
  <printOptions horizontalCentered="1"/>
  <pageMargins left="0.511811023622047" right="0.31496062992126" top="0.511811023622047" bottom="0.31496062992126" header="0.511811023622047" footer="0.511811023622047"/>
  <pageSetup paperSize="9" scale="75" orientation="landscape"/>
  <headerFooter alignWithMargins="0"/>
  <drawing r:id="rId1"/>
  <legacyDrawing r:id="rId2"/>
  <oleObjects>
    <mc:AlternateContent xmlns:mc="http://schemas.openxmlformats.org/markup-compatibility/2006">
      <mc:Choice Requires="x14">
        <oleObject shapeId="1599489" progId="Paint.Picture" r:id="rId3">
          <objectPr defaultSize="0" r:id="rId4">
            <anchor moveWithCells="1">
              <from>
                <xdr:col>1</xdr:col>
                <xdr:colOff>82550</xdr:colOff>
                <xdr:row>28</xdr:row>
                <xdr:rowOff>19050</xdr:rowOff>
              </from>
              <to>
                <xdr:col>1</xdr:col>
                <xdr:colOff>292100</xdr:colOff>
                <xdr:row>29</xdr:row>
                <xdr:rowOff>63500</xdr:rowOff>
              </to>
            </anchor>
          </objectPr>
        </oleObject>
      </mc:Choice>
      <mc:Fallback>
        <oleObject shapeId="1599489" progId="Paint.Picture" r:id="rId3"/>
      </mc:Fallback>
    </mc:AlternateContent>
    <mc:AlternateContent xmlns:mc="http://schemas.openxmlformats.org/markup-compatibility/2006">
      <mc:Choice Requires="x14">
        <oleObject shapeId="1599490" progId="Paint.Picture" r:id="rId5">
          <objectPr defaultSize="0" r:id="rId6">
            <anchor moveWithCells="1">
              <from>
                <xdr:col>1</xdr:col>
                <xdr:colOff>82550</xdr:colOff>
                <xdr:row>26</xdr:row>
                <xdr:rowOff>146050</xdr:rowOff>
              </from>
              <to>
                <xdr:col>1</xdr:col>
                <xdr:colOff>298450</xdr:colOff>
                <xdr:row>28</xdr:row>
                <xdr:rowOff>38100</xdr:rowOff>
              </to>
            </anchor>
          </objectPr>
        </oleObject>
      </mc:Choice>
      <mc:Fallback>
        <oleObject shapeId="1599490" progId="Paint.Picture" r:id="rId5"/>
      </mc:Fallback>
    </mc:AlternateContent>
    <mc:AlternateContent xmlns:mc="http://schemas.openxmlformats.org/markup-compatibility/2006">
      <mc:Choice Requires="x14">
        <oleObject shapeId="1599491" progId="Paint.Picture" r:id="rId7">
          <objectPr defaultSize="0" r:id="rId6">
            <anchor moveWithCells="1">
              <from>
                <xdr:col>17</xdr:col>
                <xdr:colOff>527050</xdr:colOff>
                <xdr:row>5</xdr:row>
                <xdr:rowOff>133350</xdr:rowOff>
              </from>
              <to>
                <xdr:col>17</xdr:col>
                <xdr:colOff>711200</xdr:colOff>
                <xdr:row>6</xdr:row>
                <xdr:rowOff>146050</xdr:rowOff>
              </to>
            </anchor>
          </objectPr>
        </oleObject>
      </mc:Choice>
      <mc:Fallback>
        <oleObject shapeId="1599491" progId="Paint.Picture" r:id="rId7"/>
      </mc:Fallback>
    </mc:AlternateContent>
    <mc:AlternateContent xmlns:mc="http://schemas.openxmlformats.org/markup-compatibility/2006">
      <mc:Choice Requires="x14">
        <oleObject shapeId="1599492" progId="Paint.Picture" r:id="rId8">
          <objectPr defaultSize="0" r:id="rId4">
            <anchor moveWithCells="1">
              <from>
                <xdr:col>8</xdr:col>
                <xdr:colOff>774700</xdr:colOff>
                <xdr:row>23</xdr:row>
                <xdr:rowOff>19050</xdr:rowOff>
              </from>
              <to>
                <xdr:col>9</xdr:col>
                <xdr:colOff>0</xdr:colOff>
                <xdr:row>25</xdr:row>
                <xdr:rowOff>12700</xdr:rowOff>
              </to>
            </anchor>
          </objectPr>
        </oleObject>
      </mc:Choice>
      <mc:Fallback>
        <oleObject shapeId="1599492" progId="Paint.Picture" r:id="rId8"/>
      </mc:Fallback>
    </mc:AlternateContent>
  </oleObjects>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2"/>
  <dimension ref="B4:AP36"/>
  <sheetViews>
    <sheetView zoomScale="115" zoomScaleNormal="115" workbookViewId="0">
      <selection activeCell="O33" sqref="O33"/>
    </sheetView>
  </sheetViews>
  <sheetFormatPr defaultColWidth="8.84375" defaultRowHeight="11.4"/>
  <cols>
    <col min="1" max="4" width="8.84375" style="159"/>
    <col min="5" max="5" width="15.7291666666667" style="159" customWidth="1"/>
    <col min="6" max="6" width="14.0833333333333" style="159" customWidth="1"/>
    <col min="7" max="7" width="2.25" style="159" customWidth="1"/>
    <col min="8" max="8" width="14.53125" style="159" customWidth="1"/>
    <col min="9" max="9" width="8.84375" style="159"/>
    <col min="10" max="10" width="13.78125" style="159" customWidth="1"/>
    <col min="11" max="11" width="11.2395833333333" style="159" customWidth="1"/>
    <col min="12" max="13" width="8.84375" style="159"/>
    <col min="14" max="14" width="13.78125" style="159" customWidth="1"/>
    <col min="15" max="16384" width="8.84375" style="159"/>
  </cols>
  <sheetData>
    <row r="4" ht="12" spans="6:8">
      <c r="F4" s="2429"/>
      <c r="H4" s="2429"/>
    </row>
    <row r="5" spans="2:20">
      <c r="B5" s="2430"/>
      <c r="C5" s="1293"/>
      <c r="D5" s="1293"/>
      <c r="F5" s="2430"/>
      <c r="N5" s="2430"/>
      <c r="O5" s="2430"/>
      <c r="P5" s="2430"/>
      <c r="Q5" s="2430"/>
      <c r="R5" s="2430"/>
      <c r="S5" s="2430"/>
      <c r="T5" s="2430"/>
    </row>
    <row r="6" spans="2:20">
      <c r="B6" s="1293"/>
      <c r="C6" s="1293"/>
      <c r="D6" s="1293"/>
      <c r="F6" s="2430"/>
      <c r="G6" s="2430"/>
      <c r="H6" s="2430"/>
      <c r="I6" s="2430"/>
      <c r="J6" s="2430"/>
      <c r="K6" s="2430"/>
      <c r="L6" s="2430"/>
      <c r="M6" s="2435"/>
      <c r="O6" s="2430"/>
      <c r="P6" s="2430"/>
      <c r="Q6" s="2430"/>
      <c r="R6" s="2430"/>
      <c r="S6" s="2430"/>
      <c r="T6" s="2430"/>
    </row>
    <row r="7" spans="3:20">
      <c r="C7" s="1350"/>
      <c r="D7" s="1350"/>
      <c r="F7" s="2430"/>
      <c r="G7" s="2430"/>
      <c r="H7" s="2430"/>
      <c r="I7" s="2430"/>
      <c r="J7" s="2430"/>
      <c r="K7" s="2430"/>
      <c r="L7" s="2430"/>
      <c r="M7" s="2435"/>
      <c r="O7" s="2430"/>
      <c r="P7" s="2430"/>
      <c r="Q7" s="2430"/>
      <c r="R7" s="2430"/>
      <c r="S7" s="2430"/>
      <c r="T7" s="2430"/>
    </row>
    <row r="8" spans="2:20">
      <c r="B8" s="1293"/>
      <c r="C8" s="1350"/>
      <c r="D8" s="1350"/>
      <c r="F8" s="2430"/>
      <c r="G8" s="2430"/>
      <c r="H8" s="2430"/>
      <c r="I8" s="2430"/>
      <c r="J8" s="2430"/>
      <c r="K8" s="2430"/>
      <c r="L8" s="2430"/>
      <c r="M8" s="2435"/>
      <c r="O8" s="2430"/>
      <c r="P8" s="2430"/>
      <c r="Q8" s="2430"/>
      <c r="R8" s="2430"/>
      <c r="S8" s="2430"/>
      <c r="T8" s="2430"/>
    </row>
    <row r="9" spans="2:20">
      <c r="B9" s="1293"/>
      <c r="C9" s="1350"/>
      <c r="D9" s="1350"/>
      <c r="F9" s="2430"/>
      <c r="G9" s="2430"/>
      <c r="H9" s="2430"/>
      <c r="I9" s="2430"/>
      <c r="J9" s="2430"/>
      <c r="K9" s="2430"/>
      <c r="L9" s="2430"/>
      <c r="M9" s="2435"/>
      <c r="O9" s="2430"/>
      <c r="P9" s="2430"/>
      <c r="Q9" s="2430"/>
      <c r="R9" s="2430"/>
      <c r="S9" s="2430"/>
      <c r="T9" s="2430"/>
    </row>
    <row r="10" spans="2:20">
      <c r="B10" s="1293"/>
      <c r="C10" s="1350"/>
      <c r="D10" s="1350"/>
      <c r="F10" s="2430"/>
      <c r="G10" s="2430"/>
      <c r="H10" s="2430"/>
      <c r="I10" s="2430"/>
      <c r="J10" s="2430"/>
      <c r="K10" s="2430"/>
      <c r="L10" s="2430"/>
      <c r="M10" s="2435"/>
      <c r="O10" s="2430"/>
      <c r="P10" s="2430"/>
      <c r="Q10" s="2430"/>
      <c r="R10" s="2430"/>
      <c r="S10" s="2430"/>
      <c r="T10" s="2430"/>
    </row>
    <row r="11" ht="12" spans="2:20">
      <c r="B11" s="2431"/>
      <c r="C11" s="1350"/>
      <c r="D11" s="1350"/>
      <c r="F11" s="2432"/>
      <c r="G11" s="2432"/>
      <c r="H11" s="2432"/>
      <c r="I11" s="2430"/>
      <c r="J11" s="2430"/>
      <c r="K11" s="2430"/>
      <c r="L11" s="2430"/>
      <c r="M11" s="2432"/>
      <c r="O11" s="2430"/>
      <c r="P11" s="2430"/>
      <c r="Q11" s="2430"/>
      <c r="R11" s="2430"/>
      <c r="S11" s="2430"/>
      <c r="T11" s="2430"/>
    </row>
    <row r="12" ht="12" spans="3:20">
      <c r="C12" s="1364"/>
      <c r="D12" s="1364"/>
      <c r="F12" s="2433"/>
      <c r="G12" s="2433"/>
      <c r="H12" s="2433"/>
      <c r="I12" s="2430"/>
      <c r="J12" s="2430"/>
      <c r="K12" s="2430"/>
      <c r="L12" s="2430"/>
      <c r="M12" s="2436"/>
      <c r="O12" s="2430"/>
      <c r="P12" s="2430"/>
      <c r="Q12" s="2430"/>
      <c r="R12" s="2430"/>
      <c r="S12" s="2430"/>
      <c r="T12" s="2430"/>
    </row>
    <row r="13" spans="2:20">
      <c r="B13" s="2430"/>
      <c r="C13" s="1293"/>
      <c r="D13" s="1293"/>
      <c r="I13" s="2430"/>
      <c r="J13" s="2430"/>
      <c r="K13" s="2430"/>
      <c r="L13" s="2430"/>
      <c r="O13" s="2430"/>
      <c r="P13" s="2430"/>
      <c r="Q13" s="2430"/>
      <c r="R13" s="2430"/>
      <c r="S13" s="2430"/>
      <c r="T13" s="2430"/>
    </row>
    <row r="14" ht="12" spans="2:20">
      <c r="B14" s="2430"/>
      <c r="C14" s="2433"/>
      <c r="D14" s="2433"/>
      <c r="F14" s="2430"/>
      <c r="G14" s="2430"/>
      <c r="H14" s="2430"/>
      <c r="I14" s="2430"/>
      <c r="J14" s="2430"/>
      <c r="K14" s="2430"/>
      <c r="L14" s="2430"/>
      <c r="M14" s="2435"/>
      <c r="O14" s="2430"/>
      <c r="P14" s="2430"/>
      <c r="Q14" s="2430"/>
      <c r="R14" s="2430"/>
      <c r="S14" s="2430"/>
      <c r="T14" s="2430"/>
    </row>
    <row r="15" spans="2:20">
      <c r="B15" s="1293"/>
      <c r="C15" s="1293"/>
      <c r="D15" s="1293"/>
      <c r="F15" s="2430"/>
      <c r="G15" s="2430"/>
      <c r="H15" s="2430"/>
      <c r="I15" s="2430"/>
      <c r="J15" s="2430"/>
      <c r="K15" s="2430"/>
      <c r="L15" s="2430"/>
      <c r="M15" s="2435"/>
      <c r="O15" s="2430"/>
      <c r="P15" s="2430"/>
      <c r="Q15" s="2430"/>
      <c r="R15" s="2430"/>
      <c r="S15" s="2430"/>
      <c r="T15" s="2430"/>
    </row>
    <row r="16" spans="2:20">
      <c r="B16" s="1293"/>
      <c r="C16" s="1293"/>
      <c r="D16" s="1293"/>
      <c r="F16" s="2430"/>
      <c r="G16" s="2430"/>
      <c r="H16" s="2430"/>
      <c r="I16" s="2430"/>
      <c r="J16" s="2430"/>
      <c r="K16" s="2430"/>
      <c r="L16" s="2430"/>
      <c r="M16" s="2435"/>
      <c r="O16" s="2430"/>
      <c r="P16" s="2430"/>
      <c r="Q16" s="2430"/>
      <c r="R16" s="2430"/>
      <c r="S16" s="2430"/>
      <c r="T16" s="2430"/>
    </row>
    <row r="17" spans="2:20">
      <c r="B17" s="2430"/>
      <c r="C17" s="1293"/>
      <c r="D17" s="1293"/>
      <c r="F17" s="2430"/>
      <c r="G17" s="2430"/>
      <c r="H17" s="2430"/>
      <c r="I17" s="2430"/>
      <c r="J17" s="2430"/>
      <c r="K17" s="2430"/>
      <c r="L17" s="2430"/>
      <c r="M17" s="2435"/>
      <c r="O17" s="2430"/>
      <c r="P17" s="2430"/>
      <c r="Q17" s="2430"/>
      <c r="R17" s="2430"/>
      <c r="S17" s="2430"/>
      <c r="T17" s="2430"/>
    </row>
    <row r="18" ht="12" spans="3:20">
      <c r="C18" s="2432"/>
      <c r="D18" s="2432"/>
      <c r="F18" s="2433"/>
      <c r="G18" s="2433"/>
      <c r="H18" s="2433"/>
      <c r="I18" s="2430"/>
      <c r="J18" s="2430"/>
      <c r="K18" s="2430"/>
      <c r="L18" s="2430"/>
      <c r="M18" s="2436"/>
      <c r="O18" s="2430"/>
      <c r="P18" s="2430"/>
      <c r="Q18" s="2430"/>
      <c r="R18" s="2430"/>
      <c r="S18" s="2430"/>
      <c r="T18" s="2430"/>
    </row>
    <row r="19" spans="9:20">
      <c r="I19" s="2430"/>
      <c r="J19" s="2430"/>
      <c r="K19" s="2430"/>
      <c r="L19" s="2430"/>
      <c r="O19" s="2430"/>
      <c r="P19" s="2430"/>
      <c r="Q19" s="2430"/>
      <c r="R19" s="2430"/>
      <c r="S19" s="2430"/>
      <c r="T19" s="2430"/>
    </row>
    <row r="20" ht="12" spans="3:20">
      <c r="C20" s="1350"/>
      <c r="D20" s="1350"/>
      <c r="F20" s="2429"/>
      <c r="H20" s="2429"/>
      <c r="I20" s="2430"/>
      <c r="J20" s="2430"/>
      <c r="K20" s="2430"/>
      <c r="L20" s="2430"/>
      <c r="O20" s="2430"/>
      <c r="P20" s="2430"/>
      <c r="Q20" s="2430"/>
      <c r="R20" s="2430"/>
      <c r="S20" s="2430"/>
      <c r="T20" s="2430"/>
    </row>
    <row r="21" spans="2:20">
      <c r="B21" s="1293"/>
      <c r="I21" s="2430"/>
      <c r="J21" s="2430"/>
      <c r="K21" s="2430"/>
      <c r="L21" s="2430"/>
      <c r="O21" s="2430"/>
      <c r="P21" s="2430"/>
      <c r="Q21" s="2430"/>
      <c r="R21" s="2430"/>
      <c r="S21" s="2430"/>
      <c r="T21" s="2430"/>
    </row>
    <row r="22" ht="12" spans="2:20">
      <c r="B22" s="1293"/>
      <c r="F22" s="2429"/>
      <c r="H22" s="2429"/>
      <c r="I22" s="2430"/>
      <c r="J22" s="2430"/>
      <c r="K22" s="2430"/>
      <c r="L22" s="2430"/>
      <c r="O22" s="2430"/>
      <c r="P22" s="2430"/>
      <c r="Q22" s="2430"/>
      <c r="R22" s="2430"/>
      <c r="S22" s="2430"/>
      <c r="T22" s="2430"/>
    </row>
    <row r="23" spans="2:20">
      <c r="B23" s="1293"/>
      <c r="I23" s="2430"/>
      <c r="J23" s="2430"/>
      <c r="K23" s="2430"/>
      <c r="L23" s="2430"/>
      <c r="O23" s="2430"/>
      <c r="P23" s="2430"/>
      <c r="Q23" s="2430"/>
      <c r="R23" s="2430"/>
      <c r="S23" s="2430"/>
      <c r="T23" s="2430"/>
    </row>
    <row r="24" spans="9:20">
      <c r="I24" s="2430"/>
      <c r="J24" s="2430"/>
      <c r="K24" s="2430"/>
      <c r="L24" s="2430"/>
      <c r="O24" s="2430"/>
      <c r="P24" s="2430"/>
      <c r="Q24" s="2430"/>
      <c r="R24" s="2430"/>
      <c r="S24" s="2430"/>
      <c r="T24" s="2430"/>
    </row>
    <row r="25" ht="12" spans="6:12">
      <c r="F25" s="2429"/>
      <c r="H25" s="2429"/>
      <c r="I25" s="2430"/>
      <c r="J25" s="2430"/>
      <c r="K25" s="2430"/>
      <c r="L25" s="2430"/>
    </row>
    <row r="26" spans="2:12">
      <c r="B26" s="1293"/>
      <c r="I26" s="2430"/>
      <c r="J26" s="2430"/>
      <c r="K26" s="2430"/>
      <c r="L26" s="2430"/>
    </row>
    <row r="27" spans="9:12">
      <c r="I27" s="2430"/>
      <c r="J27" s="2430"/>
      <c r="K27" s="2430"/>
      <c r="L27" s="2430"/>
    </row>
    <row r="28" ht="12" spans="6:12">
      <c r="F28" s="2429"/>
      <c r="H28" s="2429"/>
      <c r="I28" s="2430"/>
      <c r="J28" s="2430"/>
      <c r="K28" s="2430"/>
      <c r="L28" s="2430"/>
    </row>
    <row r="29" spans="9:12">
      <c r="I29" s="2430"/>
      <c r="J29" s="2430"/>
      <c r="K29" s="2430"/>
      <c r="L29" s="2430"/>
    </row>
    <row r="30" spans="9:12">
      <c r="I30" s="2430"/>
      <c r="J30" s="2430"/>
      <c r="K30" s="2430"/>
      <c r="L30" s="2430"/>
    </row>
    <row r="31" ht="12" spans="6:12">
      <c r="F31" s="2429"/>
      <c r="H31" s="2429"/>
      <c r="I31" s="2430"/>
      <c r="J31" s="2430"/>
      <c r="K31" s="2430"/>
      <c r="L31" s="2430"/>
    </row>
    <row r="36" ht="11.45" customHeight="1" spans="2:42">
      <c r="B36" s="2434"/>
      <c r="C36" s="2434"/>
      <c r="D36" s="2434"/>
      <c r="E36" s="2434"/>
      <c r="F36" s="2434"/>
      <c r="G36" s="2434"/>
      <c r="H36" s="2434"/>
      <c r="I36" s="2434"/>
      <c r="J36" s="2434"/>
      <c r="K36" s="2434"/>
      <c r="L36" s="2434"/>
      <c r="M36" s="2434"/>
      <c r="N36" s="2434"/>
      <c r="O36" s="2434"/>
      <c r="P36" s="2434"/>
      <c r="Q36" s="2434"/>
      <c r="R36" s="2434"/>
      <c r="S36" s="2434"/>
      <c r="T36" s="2434"/>
      <c r="U36" s="2434"/>
      <c r="V36" s="2434"/>
      <c r="W36" s="2434"/>
      <c r="X36" s="2434"/>
      <c r="Y36" s="2434"/>
      <c r="Z36" s="2434"/>
      <c r="AA36" s="2434"/>
      <c r="AB36" s="2434"/>
      <c r="AC36" s="2434"/>
      <c r="AD36" s="2434"/>
      <c r="AE36" s="2434"/>
      <c r="AF36" s="2434"/>
      <c r="AG36" s="2434"/>
      <c r="AH36" s="2434"/>
      <c r="AI36" s="2434"/>
      <c r="AJ36" s="2434"/>
      <c r="AK36" s="2434"/>
      <c r="AL36" s="2434"/>
      <c r="AM36" s="2434"/>
      <c r="AN36" s="2434"/>
      <c r="AO36" s="2434"/>
      <c r="AP36" s="2434"/>
    </row>
  </sheetData>
  <pageMargins left="0.7" right="0.7" top="0.75" bottom="0.75" header="0.3" footer="0.3"/>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7">
    <pageSetUpPr fitToPage="1"/>
  </sheetPr>
  <dimension ref="B1:R44"/>
  <sheetViews>
    <sheetView zoomScale="115" zoomScaleNormal="115" workbookViewId="0">
      <selection activeCell="B13" sqref="B13"/>
    </sheetView>
  </sheetViews>
  <sheetFormatPr defaultColWidth="9.13541666666667" defaultRowHeight="13.2"/>
  <cols>
    <col min="1" max="1" width="3.14583333333333" style="186" customWidth="1"/>
    <col min="2" max="2" width="31.46875" style="186" customWidth="1"/>
    <col min="3" max="3" width="4.79166666666667" style="186" customWidth="1"/>
    <col min="4" max="4" width="16.1770833333333" style="186" customWidth="1"/>
    <col min="5" max="5" width="4.64583333333333" style="186" customWidth="1"/>
    <col min="6" max="6" width="10.9375" style="186" customWidth="1"/>
    <col min="7" max="7" width="11.2395833333333" style="186" customWidth="1"/>
    <col min="8" max="8" width="4.64583333333333" style="186" customWidth="1"/>
    <col min="9" max="9" width="14.3854166666667" style="186" customWidth="1"/>
    <col min="10" max="10" width="18.4270833333333" style="186" customWidth="1" outlineLevel="1"/>
    <col min="11" max="11" width="4.79166666666667" style="186" customWidth="1" outlineLevel="1"/>
    <col min="12" max="13" width="17.2291666666667" style="186" customWidth="1" outlineLevel="1"/>
    <col min="14" max="14" width="2.84375" style="186" customWidth="1" outlineLevel="1"/>
    <col min="15" max="15" width="18.125" style="186" customWidth="1"/>
    <col min="16" max="16" width="16.78125" style="186" customWidth="1"/>
    <col min="17" max="17" width="16.3333333333333" style="186" customWidth="1"/>
    <col min="18" max="18" width="7.1875" style="186" customWidth="1"/>
    <col min="19" max="16384" width="9.13541666666667" style="186"/>
  </cols>
  <sheetData>
    <row r="1" spans="14:14">
      <c r="N1" s="146"/>
    </row>
    <row r="2" ht="21" spans="2:17">
      <c r="B2" s="1499" t="str">
        <f>UV!B2</f>
        <v>KAP LIASTA NIRWAN SYAFRUDIN &amp; REKAN</v>
      </c>
      <c r="C2" s="731"/>
      <c r="D2" s="731"/>
      <c r="E2" s="731"/>
      <c r="F2" s="731"/>
      <c r="G2" s="731"/>
      <c r="H2" s="731"/>
      <c r="I2" s="731"/>
      <c r="J2" s="731"/>
      <c r="K2" s="731"/>
      <c r="L2" s="731"/>
      <c r="M2" s="731"/>
      <c r="N2" s="746"/>
      <c r="O2" s="731" t="s">
        <v>481</v>
      </c>
      <c r="P2" s="765" t="s">
        <v>482</v>
      </c>
      <c r="Q2" s="766" t="s">
        <v>483</v>
      </c>
    </row>
    <row r="3" ht="15.6" spans="2:17">
      <c r="B3" s="1500"/>
      <c r="C3" s="1501"/>
      <c r="D3" s="1501"/>
      <c r="E3" s="1501"/>
      <c r="F3" s="1501"/>
      <c r="G3" s="1501"/>
      <c r="H3" s="1501"/>
      <c r="I3" s="1502"/>
      <c r="J3" s="1504"/>
      <c r="K3" s="1504"/>
      <c r="L3" s="1505"/>
      <c r="M3" s="1505"/>
      <c r="N3" s="1586"/>
      <c r="O3" s="738"/>
      <c r="P3" s="5143" t="s">
        <v>12276</v>
      </c>
      <c r="Q3" s="768" t="s">
        <v>772</v>
      </c>
    </row>
    <row r="4" spans="2:17">
      <c r="B4" s="1546" t="s">
        <v>622</v>
      </c>
      <c r="C4" s="1547" t="str">
        <f>PM!F4</f>
        <v>PT INTAN GIRI ABADI</v>
      </c>
      <c r="D4" s="1547"/>
      <c r="E4" s="1547"/>
      <c r="F4" s="1547"/>
      <c r="G4" s="1547"/>
      <c r="H4" s="1547"/>
      <c r="I4" s="1548"/>
      <c r="J4" s="1548"/>
      <c r="K4" s="1548"/>
      <c r="L4" s="1548"/>
      <c r="M4" s="1548"/>
      <c r="N4" s="746"/>
      <c r="O4" s="742" t="s">
        <v>487</v>
      </c>
      <c r="P4" s="769" t="s">
        <v>482</v>
      </c>
      <c r="Q4" s="770" t="s">
        <v>488</v>
      </c>
    </row>
    <row r="5" spans="2:17">
      <c r="B5" s="775"/>
      <c r="C5" s="753"/>
      <c r="D5" s="753"/>
      <c r="E5" s="753"/>
      <c r="F5" s="753"/>
      <c r="G5" s="753"/>
      <c r="H5" s="753"/>
      <c r="I5" s="753"/>
      <c r="J5" s="753"/>
      <c r="K5" s="753"/>
      <c r="L5" s="753"/>
      <c r="M5" s="753"/>
      <c r="N5" s="1592"/>
      <c r="O5" s="1592"/>
      <c r="P5" s="771"/>
      <c r="Q5" s="772"/>
    </row>
    <row r="6" spans="2:17">
      <c r="B6" s="773"/>
      <c r="C6" s="742"/>
      <c r="D6" s="742"/>
      <c r="E6" s="742"/>
      <c r="F6" s="742"/>
      <c r="G6" s="742"/>
      <c r="H6" s="742"/>
      <c r="I6" s="742"/>
      <c r="J6" s="742"/>
      <c r="K6" s="742"/>
      <c r="L6" s="742"/>
      <c r="M6" s="742"/>
      <c r="N6" s="770"/>
      <c r="O6" s="742"/>
      <c r="P6" s="773"/>
      <c r="Q6" s="774" t="s">
        <v>491</v>
      </c>
    </row>
    <row r="7" spans="2:17">
      <c r="B7" s="1549" t="s">
        <v>623</v>
      </c>
      <c r="C7" s="1550" t="s">
        <v>12277</v>
      </c>
      <c r="D7" s="1550"/>
      <c r="E7" s="1550"/>
      <c r="F7" s="1550"/>
      <c r="G7" s="1550"/>
      <c r="H7" s="1550"/>
      <c r="I7" s="753"/>
      <c r="J7" s="753"/>
      <c r="K7" s="753"/>
      <c r="L7" s="753"/>
      <c r="M7" s="753"/>
      <c r="N7" s="1599"/>
      <c r="O7" s="753"/>
      <c r="P7" s="775"/>
      <c r="Q7" s="776">
        <v>43465</v>
      </c>
    </row>
    <row r="8" ht="13.95" spans="12:13">
      <c r="L8" s="1388"/>
      <c r="M8" s="1388"/>
    </row>
    <row r="9" spans="2:18">
      <c r="B9" s="1330"/>
      <c r="C9" s="1330"/>
      <c r="D9" s="1329" t="s">
        <v>2248</v>
      </c>
      <c r="E9" s="1330"/>
      <c r="F9" s="2281" t="s">
        <v>1228</v>
      </c>
      <c r="G9" s="2281"/>
      <c r="H9" s="1330"/>
      <c r="I9" s="1327" t="s">
        <v>2248</v>
      </c>
      <c r="J9" s="1329" t="s">
        <v>2248</v>
      </c>
      <c r="K9" s="1330"/>
      <c r="L9" s="2281" t="s">
        <v>1228</v>
      </c>
      <c r="M9" s="2281"/>
      <c r="N9" s="1330"/>
      <c r="O9" s="1327" t="s">
        <v>2248</v>
      </c>
      <c r="P9" s="1327" t="s">
        <v>2248</v>
      </c>
      <c r="Q9" s="1403">
        <f>O11</f>
        <v>44561</v>
      </c>
      <c r="R9" s="1404"/>
    </row>
    <row r="10" spans="2:18">
      <c r="B10" s="2282" t="s">
        <v>492</v>
      </c>
      <c r="C10" s="1336" t="s">
        <v>654</v>
      </c>
      <c r="D10" s="1335" t="s">
        <v>2249</v>
      </c>
      <c r="E10" s="1336" t="s">
        <v>1230</v>
      </c>
      <c r="F10" s="2283"/>
      <c r="G10" s="2283"/>
      <c r="H10" s="1336" t="s">
        <v>1230</v>
      </c>
      <c r="I10" s="1389" t="s">
        <v>2250</v>
      </c>
      <c r="J10" s="1335" t="s">
        <v>2249</v>
      </c>
      <c r="K10" s="1336" t="s">
        <v>1230</v>
      </c>
      <c r="L10" s="2283"/>
      <c r="M10" s="2283"/>
      <c r="N10" s="1336" t="s">
        <v>1230</v>
      </c>
      <c r="O10" s="1389" t="s">
        <v>2250</v>
      </c>
      <c r="P10" s="1389" t="s">
        <v>2250</v>
      </c>
      <c r="Q10" s="1405" t="s">
        <v>2251</v>
      </c>
      <c r="R10" s="1406"/>
    </row>
    <row r="11" ht="13.95" spans="2:18">
      <c r="B11" s="1342"/>
      <c r="C11" s="5111" t="s">
        <v>2252</v>
      </c>
      <c r="D11" s="1341">
        <v>44926</v>
      </c>
      <c r="E11" s="1342" t="s">
        <v>2253</v>
      </c>
      <c r="F11" s="1342" t="s">
        <v>1231</v>
      </c>
      <c r="G11" s="1342" t="s">
        <v>1232</v>
      </c>
      <c r="H11" s="1342" t="s">
        <v>2253</v>
      </c>
      <c r="I11" s="1390">
        <f>D11</f>
        <v>44926</v>
      </c>
      <c r="J11" s="1341">
        <f>+I11-365</f>
        <v>44561</v>
      </c>
      <c r="K11" s="1342" t="s">
        <v>2253</v>
      </c>
      <c r="L11" s="1342" t="s">
        <v>1231</v>
      </c>
      <c r="M11" s="1342" t="s">
        <v>1232</v>
      </c>
      <c r="N11" s="1342" t="s">
        <v>2253</v>
      </c>
      <c r="O11" s="1390">
        <f>J11</f>
        <v>44561</v>
      </c>
      <c r="P11" s="1390">
        <f>+O11-365</f>
        <v>44196</v>
      </c>
      <c r="Q11" s="1342" t="s">
        <v>151</v>
      </c>
      <c r="R11" s="5112" t="s">
        <v>2254</v>
      </c>
    </row>
    <row r="12" spans="2:18">
      <c r="B12" s="296"/>
      <c r="C12" s="135"/>
      <c r="D12" s="135"/>
      <c r="E12" s="135"/>
      <c r="F12" s="135"/>
      <c r="G12" s="135"/>
      <c r="H12" s="135"/>
      <c r="I12" s="296"/>
      <c r="J12" s="174"/>
      <c r="K12" s="135"/>
      <c r="L12" s="296"/>
      <c r="M12" s="296"/>
      <c r="N12" s="135"/>
      <c r="O12" s="1391"/>
      <c r="Q12" s="296"/>
      <c r="R12" s="1409"/>
    </row>
    <row r="13" ht="14.4" spans="2:18">
      <c r="B13" s="296"/>
      <c r="C13" s="135"/>
      <c r="D13" s="135"/>
      <c r="E13" s="135"/>
      <c r="F13" s="135"/>
      <c r="G13" s="135"/>
      <c r="H13" s="135"/>
      <c r="I13" s="174">
        <f>D13+G13-F13+G17</f>
        <v>0</v>
      </c>
      <c r="J13" s="334">
        <v>0</v>
      </c>
      <c r="K13" s="135"/>
      <c r="L13" s="174"/>
      <c r="M13" s="174"/>
      <c r="N13" s="2304"/>
      <c r="O13" s="174">
        <f>J13+M13-L13+M17</f>
        <v>0</v>
      </c>
      <c r="P13" s="2422">
        <v>0</v>
      </c>
      <c r="Q13" s="174">
        <f>J13-P13</f>
        <v>0</v>
      </c>
      <c r="R13" s="1409">
        <f>IF(P13=0,IF(Q13=0,0,Q13/Q13),Q13/P13)</f>
        <v>0</v>
      </c>
    </row>
    <row r="14" ht="14.4" spans="2:18">
      <c r="B14" s="296" t="s">
        <v>12278</v>
      </c>
      <c r="C14" s="135"/>
      <c r="D14" s="135"/>
      <c r="E14" s="135"/>
      <c r="F14" s="135"/>
      <c r="G14" s="135"/>
      <c r="H14" s="135"/>
      <c r="I14" s="174">
        <f>D14+G14-F14+G18</f>
        <v>0</v>
      </c>
      <c r="J14" s="334">
        <v>0</v>
      </c>
      <c r="K14" s="135"/>
      <c r="L14" s="174"/>
      <c r="M14" s="174"/>
      <c r="N14" s="2304"/>
      <c r="O14" s="174">
        <f>J14+M14-L14+M18</f>
        <v>0</v>
      </c>
      <c r="P14" s="2422">
        <v>0</v>
      </c>
      <c r="Q14" s="174">
        <f>J14-P14</f>
        <v>0</v>
      </c>
      <c r="R14" s="1409">
        <f>IF(P14=0,IF(Q14=0,0,Q14/Q14),Q14/P14)</f>
        <v>0</v>
      </c>
    </row>
    <row r="15" ht="14.4" spans="2:18">
      <c r="B15" s="296"/>
      <c r="C15" s="135"/>
      <c r="D15" s="135"/>
      <c r="E15" s="135"/>
      <c r="F15" s="135"/>
      <c r="G15" s="135"/>
      <c r="H15" s="135"/>
      <c r="I15" s="174">
        <f>D15+G15-F15+G19</f>
        <v>0</v>
      </c>
      <c r="J15" s="334">
        <v>0</v>
      </c>
      <c r="K15" s="135"/>
      <c r="L15" s="174"/>
      <c r="M15" s="174"/>
      <c r="N15" s="2304"/>
      <c r="O15" s="174"/>
      <c r="P15" s="2422">
        <v>0</v>
      </c>
      <c r="Q15" s="174">
        <f>J15-P15</f>
        <v>0</v>
      </c>
      <c r="R15" s="1409">
        <f>IF(P15=0,IF(Q15=0,0,Q15/Q15),Q15/P15)</f>
        <v>0</v>
      </c>
    </row>
    <row r="16" ht="14.4" spans="2:18">
      <c r="B16" s="296"/>
      <c r="C16" s="135"/>
      <c r="D16" s="135"/>
      <c r="E16" s="135"/>
      <c r="F16" s="135"/>
      <c r="G16" s="135"/>
      <c r="H16" s="135"/>
      <c r="I16" s="296"/>
      <c r="J16" s="334"/>
      <c r="K16" s="135"/>
      <c r="L16" s="174"/>
      <c r="M16" s="174"/>
      <c r="N16" s="2304"/>
      <c r="O16" s="174">
        <f>J16+M16-L16+M20</f>
        <v>0</v>
      </c>
      <c r="P16" s="2422">
        <v>0</v>
      </c>
      <c r="Q16" s="174">
        <f>J16-P16</f>
        <v>0</v>
      </c>
      <c r="R16" s="1409">
        <f>IF(P16=0,IF(Q16=0,0,Q16/Q16),Q16/P16)</f>
        <v>0</v>
      </c>
    </row>
    <row r="17" ht="14.4" spans="2:18">
      <c r="B17" s="296"/>
      <c r="C17" s="135"/>
      <c r="D17" s="135"/>
      <c r="E17" s="135"/>
      <c r="F17" s="135"/>
      <c r="G17" s="135"/>
      <c r="H17" s="135"/>
      <c r="I17" s="296"/>
      <c r="J17" s="334"/>
      <c r="K17" s="135"/>
      <c r="L17" s="174"/>
      <c r="M17" s="174"/>
      <c r="N17" s="2304"/>
      <c r="O17" s="174">
        <f>J17+M17-L17+M21</f>
        <v>0</v>
      </c>
      <c r="P17" s="2422">
        <v>0</v>
      </c>
      <c r="Q17" s="174">
        <f>J17-P17</f>
        <v>0</v>
      </c>
      <c r="R17" s="1409">
        <f>IF(P17=0,IF(Q17=0,0,Q17/Q17),Q17/P17)</f>
        <v>0</v>
      </c>
    </row>
    <row r="18" spans="2:18">
      <c r="B18" s="296"/>
      <c r="C18" s="135"/>
      <c r="D18" s="135"/>
      <c r="E18" s="135"/>
      <c r="F18" s="135"/>
      <c r="G18" s="135"/>
      <c r="H18" s="135"/>
      <c r="I18" s="296"/>
      <c r="J18" s="174"/>
      <c r="K18" s="135"/>
      <c r="L18" s="296"/>
      <c r="M18" s="296"/>
      <c r="N18" s="135"/>
      <c r="O18" s="174"/>
      <c r="P18" s="2423"/>
      <c r="Q18" s="174"/>
      <c r="R18" s="1409"/>
    </row>
    <row r="19" ht="13.95" spans="2:18">
      <c r="B19" s="5114" t="s">
        <v>151</v>
      </c>
      <c r="C19" s="135"/>
      <c r="D19" s="1392">
        <f>SUM(D13:D18)</f>
        <v>0</v>
      </c>
      <c r="E19" s="135"/>
      <c r="F19" s="1392">
        <f>SUM(F13:F18)</f>
        <v>0</v>
      </c>
      <c r="G19" s="1392">
        <f>SUM(G13:G18)</f>
        <v>0</v>
      </c>
      <c r="H19" s="135"/>
      <c r="I19" s="1392">
        <f>SUM(I13:I18)</f>
        <v>0</v>
      </c>
      <c r="J19" s="1392">
        <f>SUM(J13:J18)</f>
        <v>0</v>
      </c>
      <c r="K19" s="135"/>
      <c r="L19" s="1392">
        <f>SUM(L13:L18)</f>
        <v>0</v>
      </c>
      <c r="M19" s="1392">
        <f>SUM(M13:M18)</f>
        <v>0</v>
      </c>
      <c r="N19" s="135"/>
      <c r="O19" s="1392">
        <f>SUM(O13:O18)</f>
        <v>0</v>
      </c>
      <c r="P19" s="1392">
        <f>SUM(P13:P18)</f>
        <v>0</v>
      </c>
      <c r="Q19" s="1392">
        <f>SUM(Q13:Q18)</f>
        <v>0</v>
      </c>
      <c r="R19" s="2316">
        <f>IF(P19=0,IF(Q19=0,0,Q19/Q19),Q19/P19)</f>
        <v>0</v>
      </c>
    </row>
    <row r="20" ht="14.7" spans="2:18">
      <c r="B20" s="1348"/>
      <c r="C20" s="2286"/>
      <c r="D20" s="2286"/>
      <c r="E20" s="2286"/>
      <c r="F20" s="2286"/>
      <c r="G20" s="2286"/>
      <c r="H20" s="2286"/>
      <c r="I20" s="1348"/>
      <c r="J20" s="2287">
        <f>J19-'F2'!L30</f>
        <v>-19929512400.0357</v>
      </c>
      <c r="K20" s="2286"/>
      <c r="L20" s="1348"/>
      <c r="M20" s="1348"/>
      <c r="N20" s="2286"/>
      <c r="O20" s="2287">
        <f>O19-'F2'!Q30</f>
        <v>-20768109400.0357</v>
      </c>
      <c r="P20" s="2287">
        <f>P19-'F2'!R30</f>
        <v>-22238067642.9259</v>
      </c>
      <c r="Q20" s="1393"/>
      <c r="R20" s="2317"/>
    </row>
    <row r="21" spans="18:18">
      <c r="R21" s="2318"/>
    </row>
    <row r="22" spans="18:18">
      <c r="R22" s="2318"/>
    </row>
    <row r="25" spans="2:2">
      <c r="B25" s="2288" t="str">
        <f>'F1'!C46</f>
        <v>Sesuai dengan Saldo Buku Besar Periode 31 Desember 2022 &amp; 2021</v>
      </c>
    </row>
    <row r="26" spans="2:2">
      <c r="B26" s="2289"/>
    </row>
    <row r="27" spans="2:2">
      <c r="B27" s="5124" t="str">
        <f>'F1'!C47</f>
        <v>Sesuai dengan Saldo Audit Periode Sebelumnya</v>
      </c>
    </row>
    <row r="28" spans="2:2">
      <c r="B28" s="2289"/>
    </row>
    <row r="29" spans="2:2">
      <c r="B29" s="5124" t="str">
        <f>'F1'!C48</f>
        <v>Rumus dan Formula Perhitungan telah Diperiksa</v>
      </c>
    </row>
    <row r="31" spans="2:17">
      <c r="B31" s="2417"/>
      <c r="C31" s="2418"/>
      <c r="D31" s="2418"/>
      <c r="E31" s="2418"/>
      <c r="F31" s="2418"/>
      <c r="G31" s="2418"/>
      <c r="H31" s="2418"/>
      <c r="I31" s="2418"/>
      <c r="J31" s="2418"/>
      <c r="K31" s="2418"/>
      <c r="L31" s="2418"/>
      <c r="M31" s="2418"/>
      <c r="N31" s="2418"/>
      <c r="O31" s="2418"/>
      <c r="P31" s="2418"/>
      <c r="Q31" s="2427"/>
    </row>
    <row r="32" spans="2:17">
      <c r="B32" s="2419"/>
      <c r="C32" s="2420"/>
      <c r="D32" s="2420"/>
      <c r="E32" s="2420"/>
      <c r="F32" s="2420"/>
      <c r="G32" s="2420"/>
      <c r="H32" s="2420"/>
      <c r="I32" s="2420"/>
      <c r="J32" s="2420"/>
      <c r="K32" s="2420"/>
      <c r="L32" s="2424"/>
      <c r="M32" s="2425"/>
      <c r="N32" s="2420"/>
      <c r="O32" s="2420"/>
      <c r="P32" s="2420"/>
      <c r="Q32" s="2428"/>
    </row>
    <row r="33" spans="2:17">
      <c r="B33" s="2011"/>
      <c r="C33" s="2420"/>
      <c r="D33" s="2420"/>
      <c r="E33" s="2420"/>
      <c r="F33" s="2420"/>
      <c r="G33" s="2420"/>
      <c r="H33" s="2420"/>
      <c r="I33" s="2420"/>
      <c r="J33" s="2420"/>
      <c r="K33" s="2420"/>
      <c r="L33" s="2420"/>
      <c r="M33" s="2420"/>
      <c r="N33" s="2420"/>
      <c r="O33" s="2420"/>
      <c r="P33" s="2420"/>
      <c r="Q33" s="2428"/>
    </row>
    <row r="34" spans="2:17">
      <c r="B34" s="2011"/>
      <c r="C34" s="2420"/>
      <c r="D34" s="2420"/>
      <c r="E34" s="2420"/>
      <c r="F34" s="2420"/>
      <c r="G34" s="2420"/>
      <c r="H34" s="2420"/>
      <c r="I34" s="2420"/>
      <c r="J34" s="2426"/>
      <c r="K34" s="2420"/>
      <c r="L34" s="2420"/>
      <c r="M34" s="2420"/>
      <c r="N34" s="2420"/>
      <c r="O34" s="2420"/>
      <c r="P34" s="2420"/>
      <c r="Q34" s="2428"/>
    </row>
    <row r="35" spans="2:17">
      <c r="B35" s="2011"/>
      <c r="C35" s="2420"/>
      <c r="D35" s="2420"/>
      <c r="E35" s="2420"/>
      <c r="F35" s="2420"/>
      <c r="G35" s="2420"/>
      <c r="H35" s="2420"/>
      <c r="I35" s="2420"/>
      <c r="J35" s="2420"/>
      <c r="K35" s="2420"/>
      <c r="L35" s="2420"/>
      <c r="M35" s="2420"/>
      <c r="N35" s="2420"/>
      <c r="O35" s="2420"/>
      <c r="P35" s="2420"/>
      <c r="Q35" s="2428"/>
    </row>
    <row r="36" spans="2:17">
      <c r="B36" s="2011"/>
      <c r="C36" s="2420"/>
      <c r="D36" s="2420"/>
      <c r="E36" s="2420"/>
      <c r="F36" s="2420"/>
      <c r="G36" s="2420"/>
      <c r="H36" s="2420"/>
      <c r="I36" s="2420"/>
      <c r="J36" s="2420"/>
      <c r="K36" s="2420"/>
      <c r="L36" s="2420"/>
      <c r="M36" s="2420"/>
      <c r="N36" s="2420"/>
      <c r="O36" s="2420"/>
      <c r="P36" s="2420"/>
      <c r="Q36" s="2428"/>
    </row>
    <row r="37" spans="2:17">
      <c r="B37" s="2011"/>
      <c r="C37" s="2420"/>
      <c r="D37" s="2420"/>
      <c r="E37" s="2420"/>
      <c r="F37" s="2420"/>
      <c r="G37" s="2420"/>
      <c r="H37" s="2420"/>
      <c r="I37" s="2420"/>
      <c r="J37" s="2420"/>
      <c r="K37" s="2420"/>
      <c r="L37" s="2420"/>
      <c r="M37" s="2420"/>
      <c r="N37" s="2420"/>
      <c r="O37" s="2420"/>
      <c r="P37" s="2420"/>
      <c r="Q37" s="2428"/>
    </row>
    <row r="38" spans="2:17">
      <c r="B38" s="2421" t="s">
        <v>12279</v>
      </c>
      <c r="C38" s="2420"/>
      <c r="D38" s="2420"/>
      <c r="E38" s="2420"/>
      <c r="F38" s="2420"/>
      <c r="G38" s="2420"/>
      <c r="H38" s="2420"/>
      <c r="I38" s="2420"/>
      <c r="J38" s="2420"/>
      <c r="K38" s="2420"/>
      <c r="L38" s="2420"/>
      <c r="M38" s="2420"/>
      <c r="N38" s="2420"/>
      <c r="O38" s="2420"/>
      <c r="P38" s="2420"/>
      <c r="Q38" s="2428"/>
    </row>
    <row r="39" spans="2:17">
      <c r="B39" s="2011"/>
      <c r="C39" s="621"/>
      <c r="D39" s="621"/>
      <c r="E39" s="621"/>
      <c r="F39" s="621"/>
      <c r="G39" s="621"/>
      <c r="H39" s="621"/>
      <c r="I39" s="621"/>
      <c r="J39" s="621"/>
      <c r="K39" s="621"/>
      <c r="L39" s="621"/>
      <c r="M39" s="621"/>
      <c r="N39" s="621"/>
      <c r="O39" s="621"/>
      <c r="P39" s="621"/>
      <c r="Q39" s="2428"/>
    </row>
    <row r="40" ht="13.95" spans="2:17">
      <c r="B40" s="2011"/>
      <c r="C40" s="621"/>
      <c r="D40" s="621"/>
      <c r="E40" s="621"/>
      <c r="F40" s="621"/>
      <c r="G40" s="621"/>
      <c r="H40" s="621"/>
      <c r="I40" s="621"/>
      <c r="J40" s="621"/>
      <c r="K40" s="621"/>
      <c r="L40" s="621"/>
      <c r="M40" s="621"/>
      <c r="N40" s="621"/>
      <c r="O40" s="621"/>
      <c r="P40" s="621"/>
      <c r="Q40" s="2428"/>
    </row>
    <row r="41" ht="13.95" spans="2:17">
      <c r="B41" s="2007" t="s">
        <v>952</v>
      </c>
      <c r="C41" s="609"/>
      <c r="D41" s="609"/>
      <c r="E41" s="609"/>
      <c r="F41" s="609"/>
      <c r="G41" s="609"/>
      <c r="H41" s="609"/>
      <c r="I41" s="619"/>
      <c r="J41" s="617"/>
      <c r="K41" s="2051"/>
      <c r="L41" s="616" t="s">
        <v>953</v>
      </c>
      <c r="M41" s="617" t="s">
        <v>954</v>
      </c>
      <c r="N41" s="2052"/>
      <c r="O41" s="618"/>
      <c r="P41" s="617" t="s">
        <v>2264</v>
      </c>
      <c r="Q41" s="2428"/>
    </row>
    <row r="42" spans="2:17">
      <c r="B42" s="2007"/>
      <c r="C42" s="609"/>
      <c r="D42" s="609"/>
      <c r="E42" s="609"/>
      <c r="F42" s="609"/>
      <c r="G42" s="609"/>
      <c r="H42" s="609"/>
      <c r="I42" s="619"/>
      <c r="J42" s="617"/>
      <c r="K42" s="2053"/>
      <c r="L42" s="2053"/>
      <c r="M42" s="617"/>
      <c r="N42" s="619"/>
      <c r="O42" s="619"/>
      <c r="P42" s="617"/>
      <c r="Q42" s="2428"/>
    </row>
    <row r="43" spans="2:17">
      <c r="B43" s="2010" t="s">
        <v>11764</v>
      </c>
      <c r="C43" s="609"/>
      <c r="D43" s="609"/>
      <c r="E43" s="609"/>
      <c r="F43" s="609"/>
      <c r="G43" s="609"/>
      <c r="H43" s="609"/>
      <c r="I43" s="619"/>
      <c r="J43" s="617"/>
      <c r="K43" s="638"/>
      <c r="L43" s="609"/>
      <c r="M43" s="609"/>
      <c r="N43" s="609"/>
      <c r="O43" s="371"/>
      <c r="P43" s="2074"/>
      <c r="Q43" s="2428"/>
    </row>
    <row r="44" spans="2:17">
      <c r="B44" s="2012"/>
      <c r="C44" s="2013"/>
      <c r="D44" s="2013"/>
      <c r="E44" s="2013"/>
      <c r="F44" s="2013"/>
      <c r="G44" s="2013"/>
      <c r="H44" s="2013"/>
      <c r="I44" s="2013"/>
      <c r="J44" s="2013"/>
      <c r="K44" s="2013"/>
      <c r="L44" s="2013"/>
      <c r="M44" s="2013"/>
      <c r="N44" s="2013"/>
      <c r="O44" s="2013"/>
      <c r="P44" s="2013"/>
      <c r="Q44" s="2416"/>
    </row>
  </sheetData>
  <mergeCells count="4">
    <mergeCell ref="Q9:R9"/>
    <mergeCell ref="Q10:R10"/>
    <mergeCell ref="F9:G10"/>
    <mergeCell ref="L9:M10"/>
  </mergeCells>
  <printOptions horizontalCentered="1"/>
  <pageMargins left="0.905511811023622" right="0.511811023622047" top="0.905511811023622" bottom="0.511811023622047" header="0.511811023622047" footer="0.511811023622047"/>
  <pageSetup paperSize="9" scale="90" orientation="landscape"/>
  <headerFooter alignWithMargins="0"/>
  <drawing r:id="rId1"/>
  <legacyDrawing r:id="rId2"/>
  <oleObjects>
    <mc:AlternateContent xmlns:mc="http://schemas.openxmlformats.org/markup-compatibility/2006">
      <mc:Choice Requires="x14">
        <oleObject shapeId="2516993" progId="Paint.Picture" r:id="rId3">
          <objectPr defaultSize="0" r:id="rId4">
            <anchor moveWithCells="1">
              <from>
                <xdr:col>1</xdr:col>
                <xdr:colOff>146050</xdr:colOff>
                <xdr:row>27</xdr:row>
                <xdr:rowOff>158750</xdr:rowOff>
              </from>
              <to>
                <xdr:col>1</xdr:col>
                <xdr:colOff>298450</xdr:colOff>
                <xdr:row>28</xdr:row>
                <xdr:rowOff>146050</xdr:rowOff>
              </to>
            </anchor>
          </objectPr>
        </oleObject>
      </mc:Choice>
      <mc:Fallback>
        <oleObject shapeId="2516993" progId="Paint.Picture" r:id="rId3"/>
      </mc:Fallback>
    </mc:AlternateContent>
    <mc:AlternateContent xmlns:mc="http://schemas.openxmlformats.org/markup-compatibility/2006">
      <mc:Choice Requires="x14">
        <oleObject shapeId="2516994" progId="Paint.Picture" r:id="rId5">
          <objectPr defaultSize="0" r:id="rId6">
            <anchor moveWithCells="1">
              <from>
                <xdr:col>1</xdr:col>
                <xdr:colOff>146050</xdr:colOff>
                <xdr:row>26</xdr:row>
                <xdr:rowOff>12700</xdr:rowOff>
              </from>
              <to>
                <xdr:col>1</xdr:col>
                <xdr:colOff>292100</xdr:colOff>
                <xdr:row>27</xdr:row>
                <xdr:rowOff>12700</xdr:rowOff>
              </to>
            </anchor>
          </objectPr>
        </oleObject>
      </mc:Choice>
      <mc:Fallback>
        <oleObject shapeId="2516994" progId="Paint.Picture" r:id="rId5"/>
      </mc:Fallback>
    </mc:AlternateContent>
    <mc:AlternateContent xmlns:mc="http://schemas.openxmlformats.org/markup-compatibility/2006">
      <mc:Choice Requires="x14">
        <oleObject shapeId="2516995" progId="Paint.Picture" r:id="rId7">
          <objectPr defaultSize="0" r:id="rId6">
            <anchor moveWithCells="1">
              <from>
                <xdr:col>15</xdr:col>
                <xdr:colOff>527050</xdr:colOff>
                <xdr:row>6</xdr:row>
                <xdr:rowOff>133350</xdr:rowOff>
              </from>
              <to>
                <xdr:col>15</xdr:col>
                <xdr:colOff>711200</xdr:colOff>
                <xdr:row>7</xdr:row>
                <xdr:rowOff>146050</xdr:rowOff>
              </to>
            </anchor>
          </objectPr>
        </oleObject>
      </mc:Choice>
      <mc:Fallback>
        <oleObject shapeId="2516995" progId="Paint.Picture" r:id="rId7"/>
      </mc:Fallback>
    </mc:AlternateContent>
    <mc:AlternateContent xmlns:mc="http://schemas.openxmlformats.org/markup-compatibility/2006">
      <mc:Choice Requires="x14">
        <oleObject shapeId="2516996" progId="Paint.Picture" r:id="rId8">
          <objectPr defaultSize="0" r:id="rId4">
            <anchor moveWithCells="1">
              <from>
                <xdr:col>10</xdr:col>
                <xdr:colOff>101600</xdr:colOff>
                <xdr:row>20</xdr:row>
                <xdr:rowOff>139700</xdr:rowOff>
              </from>
              <to>
                <xdr:col>11</xdr:col>
                <xdr:colOff>101600</xdr:colOff>
                <xdr:row>22</xdr:row>
                <xdr:rowOff>133350</xdr:rowOff>
              </to>
            </anchor>
          </objectPr>
        </oleObject>
      </mc:Choice>
      <mc:Fallback>
        <oleObject shapeId="2516996" progId="Paint.Picture" r:id="rId8"/>
      </mc:Fallback>
    </mc:AlternateContent>
  </oleObjects>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6">
    <tabColor theme="6" tint="-0.249977111117893"/>
    <pageSetUpPr fitToPage="1"/>
  </sheetPr>
  <dimension ref="A1:Y123"/>
  <sheetViews>
    <sheetView showGridLines="0" workbookViewId="0">
      <pane xSplit="5" ySplit="11" topLeftCell="F12" activePane="bottomRight" state="frozen"/>
      <selection/>
      <selection pane="topRight"/>
      <selection pane="bottomLeft"/>
      <selection pane="bottomRight" activeCell="A1" sqref="A1"/>
    </sheetView>
  </sheetViews>
  <sheetFormatPr defaultColWidth="9.13541666666667" defaultRowHeight="13.2"/>
  <cols>
    <col min="1" max="1" width="3.14583333333333" style="186" customWidth="1"/>
    <col min="2" max="2" width="5.23958333333333" style="186" customWidth="1"/>
    <col min="3" max="3" width="55.4375" style="186" customWidth="1"/>
    <col min="4" max="4" width="4.79166666666667" style="186" customWidth="1"/>
    <col min="5" max="5" width="16.3333333333333" style="186" hidden="1" customWidth="1"/>
    <col min="6" max="6" width="16.3333333333333" style="186" customWidth="1" outlineLevel="1"/>
    <col min="7" max="7" width="5.84375" style="186" customWidth="1" outlineLevel="1"/>
    <col min="8" max="8" width="16.3333333333333" style="186" customWidth="1" outlineLevel="1"/>
    <col min="9" max="9" width="15.7291666666667" style="186" customWidth="1" outlineLevel="1"/>
    <col min="10" max="10" width="7.64583333333333" style="186" customWidth="1" outlineLevel="1"/>
    <col min="11" max="11" width="16.3333333333333" style="186" customWidth="1"/>
    <col min="12" max="12" width="18.4270833333333" style="186" customWidth="1" outlineLevel="1"/>
    <col min="13" max="13" width="4.79166666666667" style="186" customWidth="1" outlineLevel="1"/>
    <col min="14" max="15" width="17.2291666666667" style="186" customWidth="1" outlineLevel="1"/>
    <col min="16" max="16" width="5.54166666666667" style="186" customWidth="1" outlineLevel="1"/>
    <col min="17" max="17" width="18.125" style="186" customWidth="1"/>
    <col min="18" max="21" width="16.78125" style="186" customWidth="1"/>
    <col min="22" max="22" width="16.3333333333333" style="186" customWidth="1"/>
    <col min="23" max="23" width="10.0416666666667" style="186" customWidth="1"/>
    <col min="24" max="16384" width="9.13541666666667" style="186"/>
  </cols>
  <sheetData>
    <row r="1" spans="16:16">
      <c r="P1" s="134"/>
    </row>
    <row r="2" ht="13.8" spans="3:23">
      <c r="C2" s="2333" t="str">
        <f>UV!B2</f>
        <v>KAP LIASTA NIRWAN SYAFRUDIN &amp; REKAN</v>
      </c>
      <c r="D2" s="1198"/>
      <c r="E2" s="1198"/>
      <c r="F2" s="1198"/>
      <c r="G2" s="1198"/>
      <c r="H2" s="1198"/>
      <c r="I2" s="1198"/>
      <c r="J2" s="1198"/>
      <c r="K2" s="1198"/>
      <c r="L2" s="1198"/>
      <c r="M2" s="1198"/>
      <c r="N2" s="1198"/>
      <c r="O2" s="1198"/>
      <c r="P2" s="1198"/>
      <c r="Q2" s="1198"/>
      <c r="R2" s="1236" t="s">
        <v>481</v>
      </c>
      <c r="S2" s="1198"/>
      <c r="T2" s="1198"/>
      <c r="U2" s="1198"/>
      <c r="V2" s="1198" t="s">
        <v>482</v>
      </c>
      <c r="W2" s="1236" t="s">
        <v>483</v>
      </c>
    </row>
    <row r="3" spans="3:23">
      <c r="C3" s="1199"/>
      <c r="D3" s="1200"/>
      <c r="E3" s="1200"/>
      <c r="F3" s="1200"/>
      <c r="G3" s="1200"/>
      <c r="H3" s="1200"/>
      <c r="I3" s="1200"/>
      <c r="J3" s="1200"/>
      <c r="K3" s="1200"/>
      <c r="L3" s="1200"/>
      <c r="M3" s="1200"/>
      <c r="N3" s="1200"/>
      <c r="O3" s="1200"/>
      <c r="P3" s="1200"/>
      <c r="Q3" s="1200"/>
      <c r="R3" s="1237"/>
      <c r="S3" s="1200"/>
      <c r="T3" s="1200"/>
      <c r="U3" s="1200"/>
      <c r="V3" s="2367">
        <f>+'F1'!W3</f>
        <v>45193</v>
      </c>
      <c r="W3" s="2368" t="s">
        <v>772</v>
      </c>
    </row>
    <row r="4" spans="3:23">
      <c r="C4" s="2334" t="str">
        <f>+'F1'!C4</f>
        <v>PT INTAN GIRI ABADI</v>
      </c>
      <c r="D4" s="1200"/>
      <c r="E4" s="1200"/>
      <c r="F4" s="1200"/>
      <c r="G4" s="1200"/>
      <c r="H4" s="1200"/>
      <c r="I4" s="1200"/>
      <c r="J4" s="1200"/>
      <c r="K4" s="1200"/>
      <c r="L4" s="1200"/>
      <c r="M4" s="1200"/>
      <c r="N4" s="1200"/>
      <c r="O4" s="1200"/>
      <c r="P4" s="1200"/>
      <c r="Q4" s="1200"/>
      <c r="R4" s="1237" t="s">
        <v>487</v>
      </c>
      <c r="S4" s="1200"/>
      <c r="T4" s="1200"/>
      <c r="U4" s="1200"/>
      <c r="V4" s="1200" t="s">
        <v>482</v>
      </c>
      <c r="W4" s="1237" t="s">
        <v>488</v>
      </c>
    </row>
    <row r="5" spans="2:23">
      <c r="B5" s="248"/>
      <c r="C5" s="1199"/>
      <c r="D5" s="1200"/>
      <c r="E5" s="1200"/>
      <c r="F5" s="1200"/>
      <c r="G5" s="1200"/>
      <c r="H5" s="1200"/>
      <c r="I5" s="1200"/>
      <c r="J5" s="1200"/>
      <c r="K5" s="1200"/>
      <c r="L5" s="1200"/>
      <c r="M5" s="1200"/>
      <c r="N5" s="1200"/>
      <c r="O5" s="1200"/>
      <c r="P5" s="1200"/>
      <c r="Q5" s="1200"/>
      <c r="R5" s="1237"/>
      <c r="S5" s="1200"/>
      <c r="T5" s="1200"/>
      <c r="U5" s="1200"/>
      <c r="V5" s="1200"/>
      <c r="W5" s="1237">
        <v>1</v>
      </c>
    </row>
    <row r="6" spans="2:23">
      <c r="B6" s="248"/>
      <c r="C6" s="1199"/>
      <c r="D6" s="1200"/>
      <c r="E6" s="1200"/>
      <c r="F6" s="1200"/>
      <c r="G6" s="1200"/>
      <c r="H6" s="1200"/>
      <c r="I6" s="1200"/>
      <c r="J6" s="1200"/>
      <c r="K6" s="1200"/>
      <c r="L6" s="1200"/>
      <c r="M6" s="1200"/>
      <c r="N6" s="1200"/>
      <c r="O6" s="1200"/>
      <c r="P6" s="1200"/>
      <c r="Q6" s="1200"/>
      <c r="R6" s="1237"/>
      <c r="S6" s="1200"/>
      <c r="T6" s="1200"/>
      <c r="U6" s="1200"/>
      <c r="V6" s="1200"/>
      <c r="W6" s="1237" t="s">
        <v>491</v>
      </c>
    </row>
    <row r="7" ht="13.8" spans="2:23">
      <c r="B7" s="2335"/>
      <c r="C7" s="2336" t="str">
        <f>+'F2'!C17</f>
        <v>Utang lain-lain</v>
      </c>
      <c r="D7" s="1202"/>
      <c r="E7" s="1202"/>
      <c r="F7" s="1202"/>
      <c r="G7" s="1202"/>
      <c r="H7" s="1202"/>
      <c r="I7" s="1202"/>
      <c r="J7" s="1202"/>
      <c r="K7" s="1202"/>
      <c r="L7" s="1202"/>
      <c r="M7" s="1202"/>
      <c r="N7" s="1202"/>
      <c r="O7" s="1202"/>
      <c r="P7" s="1202"/>
      <c r="Q7" s="1202"/>
      <c r="R7" s="1240"/>
      <c r="S7" s="1202"/>
      <c r="T7" s="1202"/>
      <c r="U7" s="1202"/>
      <c r="V7" s="1202"/>
      <c r="W7" s="2369">
        <f>+'F1'!X7</f>
        <v>44926</v>
      </c>
    </row>
    <row r="8" spans="2:15">
      <c r="B8" s="2335"/>
      <c r="N8" s="1212"/>
      <c r="O8" s="1212"/>
    </row>
    <row r="9" spans="2:23">
      <c r="B9" s="2335"/>
      <c r="C9" s="2337"/>
      <c r="D9" s="2337"/>
      <c r="E9" s="2337" t="s">
        <v>2248</v>
      </c>
      <c r="F9" s="2337" t="s">
        <v>2248</v>
      </c>
      <c r="G9" s="2337"/>
      <c r="H9" s="2338" t="s">
        <v>1228</v>
      </c>
      <c r="I9" s="2338"/>
      <c r="J9" s="2337"/>
      <c r="K9" s="2361" t="s">
        <v>2248</v>
      </c>
      <c r="L9" s="2337" t="s">
        <v>2248</v>
      </c>
      <c r="M9" s="2337"/>
      <c r="N9" s="2338" t="s">
        <v>1228</v>
      </c>
      <c r="O9" s="2338"/>
      <c r="P9" s="2337"/>
      <c r="Q9" s="2361" t="s">
        <v>2248</v>
      </c>
      <c r="R9" s="2361" t="s">
        <v>2248</v>
      </c>
      <c r="S9" s="2361" t="s">
        <v>2248</v>
      </c>
      <c r="T9" s="2361" t="s">
        <v>2248</v>
      </c>
      <c r="U9" s="2361" t="s">
        <v>2248</v>
      </c>
      <c r="V9" s="2370">
        <f>K11</f>
        <v>44926</v>
      </c>
      <c r="W9" s="2371"/>
    </row>
    <row r="10" spans="2:23">
      <c r="B10" s="2335"/>
      <c r="C10" s="2339" t="s">
        <v>492</v>
      </c>
      <c r="D10" s="2339" t="s">
        <v>654</v>
      </c>
      <c r="E10" s="2339" t="e">
        <f>'[89]F1'!F6</f>
        <v>#REF!</v>
      </c>
      <c r="F10" s="2339" t="s">
        <v>2249</v>
      </c>
      <c r="G10" s="2339" t="s">
        <v>1230</v>
      </c>
      <c r="H10" s="2340"/>
      <c r="I10" s="2340"/>
      <c r="J10" s="2339" t="s">
        <v>1230</v>
      </c>
      <c r="K10" s="2362" t="s">
        <v>2250</v>
      </c>
      <c r="L10" s="2339" t="s">
        <v>2249</v>
      </c>
      <c r="M10" s="2339" t="s">
        <v>1230</v>
      </c>
      <c r="N10" s="2340"/>
      <c r="O10" s="2340"/>
      <c r="P10" s="2339" t="s">
        <v>1230</v>
      </c>
      <c r="Q10" s="2362" t="s">
        <v>2250</v>
      </c>
      <c r="R10" s="2372" t="s">
        <v>2249</v>
      </c>
      <c r="S10" s="2372" t="s">
        <v>2249</v>
      </c>
      <c r="T10" s="2372" t="s">
        <v>2249</v>
      </c>
      <c r="U10" s="2372" t="s">
        <v>2249</v>
      </c>
      <c r="V10" s="2341" t="s">
        <v>2251</v>
      </c>
      <c r="W10" s="2341"/>
    </row>
    <row r="11" spans="2:23">
      <c r="B11" s="2335"/>
      <c r="C11" s="2341"/>
      <c r="D11" s="2342" t="s">
        <v>2252</v>
      </c>
      <c r="E11" s="2342" t="e">
        <f>'[89]F1'!F7</f>
        <v>#REF!</v>
      </c>
      <c r="F11" s="2343">
        <f>+'F2'!F10</f>
        <v>44926</v>
      </c>
      <c r="G11" s="2341" t="s">
        <v>2253</v>
      </c>
      <c r="H11" s="2341" t="s">
        <v>1231</v>
      </c>
      <c r="I11" s="2341" t="s">
        <v>1232</v>
      </c>
      <c r="J11" s="2341" t="s">
        <v>2253</v>
      </c>
      <c r="K11" s="2342">
        <f>+'F2'!K10</f>
        <v>44926</v>
      </c>
      <c r="L11" s="2363">
        <f>+K11-365</f>
        <v>44561</v>
      </c>
      <c r="M11" s="2364" t="s">
        <v>2253</v>
      </c>
      <c r="N11" s="2341" t="s">
        <v>1231</v>
      </c>
      <c r="O11" s="2341" t="s">
        <v>1232</v>
      </c>
      <c r="P11" s="2341" t="s">
        <v>2253</v>
      </c>
      <c r="Q11" s="2343">
        <f>L11</f>
        <v>44561</v>
      </c>
      <c r="R11" s="2373">
        <f>+Q11-365</f>
        <v>44196</v>
      </c>
      <c r="S11" s="2373">
        <f>+R11-366</f>
        <v>43830</v>
      </c>
      <c r="T11" s="2373">
        <f t="shared" ref="T11:U11" si="0">+S11-365</f>
        <v>43465</v>
      </c>
      <c r="U11" s="2373">
        <f t="shared" si="0"/>
        <v>43100</v>
      </c>
      <c r="V11" s="2341" t="s">
        <v>151</v>
      </c>
      <c r="W11" s="2374" t="s">
        <v>2254</v>
      </c>
    </row>
    <row r="12" spans="2:23">
      <c r="B12" s="2335"/>
      <c r="C12" s="296"/>
      <c r="D12" s="135"/>
      <c r="E12" s="296"/>
      <c r="F12" s="296"/>
      <c r="G12" s="296"/>
      <c r="H12" s="296"/>
      <c r="I12" s="296"/>
      <c r="J12" s="296"/>
      <c r="K12" s="296"/>
      <c r="L12" s="174"/>
      <c r="M12" s="135"/>
      <c r="N12" s="296"/>
      <c r="O12" s="296"/>
      <c r="P12" s="135"/>
      <c r="Q12" s="296"/>
      <c r="R12" s="134"/>
      <c r="S12" s="296"/>
      <c r="T12" s="296"/>
      <c r="U12" s="289"/>
      <c r="V12" s="289"/>
      <c r="W12" s="356"/>
    </row>
    <row r="13" spans="2:23">
      <c r="B13" s="2335"/>
      <c r="C13" s="150" t="s">
        <v>12280</v>
      </c>
      <c r="D13" s="135"/>
      <c r="E13" s="296"/>
      <c r="F13" s="296"/>
      <c r="G13" s="296"/>
      <c r="H13" s="296"/>
      <c r="I13" s="296"/>
      <c r="J13" s="296"/>
      <c r="K13" s="296"/>
      <c r="L13" s="174"/>
      <c r="M13" s="135"/>
      <c r="N13" s="296"/>
      <c r="O13" s="296"/>
      <c r="P13" s="135"/>
      <c r="Q13" s="296"/>
      <c r="R13" s="134"/>
      <c r="S13" s="296"/>
      <c r="T13" s="296"/>
      <c r="U13" s="289"/>
      <c r="V13" s="289"/>
      <c r="W13" s="356"/>
    </row>
    <row r="14" spans="2:23">
      <c r="B14" s="2335"/>
      <c r="C14" s="296" t="s">
        <v>12281</v>
      </c>
      <c r="D14" s="299" t="s">
        <v>12282</v>
      </c>
      <c r="E14" s="296"/>
      <c r="F14" s="296">
        <v>2145000000</v>
      </c>
      <c r="G14" s="296"/>
      <c r="H14" s="161">
        <f>SUMIF('F4'!$E$12:$E$158,C14,'F4'!$G$12:$G$158)</f>
        <v>2145000000</v>
      </c>
      <c r="I14" s="161">
        <f>SUMIF('F4'!$E$12:$E$158,C14,'F4'!$H$12:$H$158)</f>
        <v>0</v>
      </c>
      <c r="J14" s="296"/>
      <c r="K14" s="174">
        <f>F14+I14-H14</f>
        <v>0</v>
      </c>
      <c r="L14" s="174">
        <v>2145000000</v>
      </c>
      <c r="M14" s="135"/>
      <c r="N14" s="161">
        <f>SUMIF('F4'!$E$12:$E$158,C14,'F4'!$I$12:$I$158)</f>
        <v>0</v>
      </c>
      <c r="O14" s="161">
        <f>SUMIF('F4'!$E$12:$E$158,C14,'F4'!$J$12:$J$158)</f>
        <v>0</v>
      </c>
      <c r="P14" s="174"/>
      <c r="Q14" s="174">
        <f>L14+O14-N14</f>
        <v>2145000000</v>
      </c>
      <c r="R14" s="2375">
        <v>2145000000</v>
      </c>
      <c r="S14" s="1220">
        <f>+[99]Loan!$H$48</f>
        <v>785000000</v>
      </c>
      <c r="T14" s="1220">
        <v>0</v>
      </c>
      <c r="U14" s="2376"/>
      <c r="V14" s="230">
        <f>K14-Q14</f>
        <v>-2145000000</v>
      </c>
      <c r="W14" s="361">
        <f t="shared" ref="W14:W19" si="1">IF(R14=0,IF(V14=0,0,V14/V14),V14/R14)</f>
        <v>-1</v>
      </c>
    </row>
    <row r="15" spans="2:23">
      <c r="B15" s="2335"/>
      <c r="C15" s="296" t="s">
        <v>12283</v>
      </c>
      <c r="D15" s="135" t="s">
        <v>12284</v>
      </c>
      <c r="E15" s="296"/>
      <c r="F15" s="296"/>
      <c r="G15" s="296"/>
      <c r="H15" s="161">
        <f>SUMIF('F4'!$E$12:$E$158,C15,'F4'!$G$12:$G$158)</f>
        <v>0</v>
      </c>
      <c r="I15" s="161">
        <f>SUMIF('F4'!$E$12:$E$158,C15,'F4'!$H$12:$H$158)</f>
        <v>0</v>
      </c>
      <c r="J15" s="296"/>
      <c r="K15" s="174">
        <f>F15+I15-H15</f>
        <v>0</v>
      </c>
      <c r="L15" s="174">
        <v>0</v>
      </c>
      <c r="M15" s="135"/>
      <c r="N15" s="161">
        <f>SUMIF('F4'!$E$12:$E$158,C15,'F4'!$I$12:$I$158)</f>
        <v>0</v>
      </c>
      <c r="O15" s="161">
        <f>SUMIF('F4'!$E$12:$E$158,C15,'F4'!$J$12:$J$158)</f>
        <v>0</v>
      </c>
      <c r="P15" s="174"/>
      <c r="Q15" s="174">
        <f>L15+O15-N15</f>
        <v>0</v>
      </c>
      <c r="R15" s="2365">
        <f>(24531111006.6137-8876000000)*0</f>
        <v>0</v>
      </c>
      <c r="S15" s="1220">
        <f>+[99]Loan!H46</f>
        <v>23031111006.6137</v>
      </c>
      <c r="T15" s="1220">
        <f>+[99]Loan!I46+1148245350</f>
        <v>19651233325.5937</v>
      </c>
      <c r="U15" s="2376">
        <f>+[99]Loan!$J$46*0</f>
        <v>0</v>
      </c>
      <c r="V15" s="230">
        <f>K15-Q15</f>
        <v>0</v>
      </c>
      <c r="W15" s="361">
        <f t="shared" si="1"/>
        <v>0</v>
      </c>
    </row>
    <row r="16" spans="2:23">
      <c r="B16" s="2335"/>
      <c r="C16" s="296" t="s">
        <v>12285</v>
      </c>
      <c r="D16" s="135"/>
      <c r="E16" s="296"/>
      <c r="F16" s="296"/>
      <c r="G16" s="296"/>
      <c r="H16" s="161">
        <f>SUMIF('F4'!$E$12:$E$158,C16,'F4'!$G$12:$G$158)</f>
        <v>0</v>
      </c>
      <c r="I16" s="161">
        <f>SUMIF('F4'!$E$12:$E$158,C16,'F4'!$H$12:$H$158)</f>
        <v>0</v>
      </c>
      <c r="J16" s="296"/>
      <c r="K16" s="174">
        <f>F16+I16-H16</f>
        <v>0</v>
      </c>
      <c r="L16" s="174">
        <v>0</v>
      </c>
      <c r="M16" s="135"/>
      <c r="N16" s="161">
        <f>SUMIF('F4'!$E$12:$E$158,C16,'F4'!$I$12:$I$158)</f>
        <v>0</v>
      </c>
      <c r="O16" s="161">
        <f>SUMIF('F4'!$E$12:$E$158,C16,'F4'!$J$12:$J$158)</f>
        <v>0</v>
      </c>
      <c r="P16" s="174"/>
      <c r="Q16" s="174">
        <f>L16+O16-N16</f>
        <v>0</v>
      </c>
      <c r="R16" s="2375">
        <v>700000000</v>
      </c>
      <c r="S16" s="1220">
        <f>+[99]Loan!H43</f>
        <v>700000000</v>
      </c>
      <c r="T16" s="1220">
        <f>+[99]Loan!I43</f>
        <v>700000000</v>
      </c>
      <c r="U16" s="1220">
        <f>+[99]Loan!J43</f>
        <v>700000000</v>
      </c>
      <c r="V16" s="230">
        <f>K16-Q16</f>
        <v>0</v>
      </c>
      <c r="W16" s="361">
        <f t="shared" si="1"/>
        <v>0</v>
      </c>
    </row>
    <row r="17" spans="2:23">
      <c r="B17" s="2335"/>
      <c r="C17" s="296" t="s">
        <v>12286</v>
      </c>
      <c r="D17" s="135"/>
      <c r="E17" s="296"/>
      <c r="F17" s="296"/>
      <c r="G17" s="296"/>
      <c r="H17" s="161">
        <f>SUMIF('F4'!$E$12:$E$158,C17,'F4'!$G$12:$G$158)</f>
        <v>0</v>
      </c>
      <c r="I17" s="161">
        <f>SUMIF('F4'!$E$12:$E$158,C17,'F4'!$H$12:$H$158)</f>
        <v>0</v>
      </c>
      <c r="J17" s="296"/>
      <c r="K17" s="174">
        <f>F17+I17-H17</f>
        <v>0</v>
      </c>
      <c r="L17" s="174">
        <v>0</v>
      </c>
      <c r="M17" s="135"/>
      <c r="N17" s="161">
        <f>SUMIF('F4'!$E$12:$E$158,C17,'F4'!$I$12:$I$158)</f>
        <v>0</v>
      </c>
      <c r="O17" s="161">
        <f>SUMIF('F4'!$E$12:$E$158,C17,'F4'!$J$12:$J$158)</f>
        <v>0</v>
      </c>
      <c r="P17" s="135"/>
      <c r="Q17" s="174">
        <f>L17+O17-N17</f>
        <v>0</v>
      </c>
      <c r="R17" s="2375">
        <v>144000000</v>
      </c>
      <c r="S17" s="1220">
        <v>0</v>
      </c>
      <c r="T17" s="1220">
        <v>0</v>
      </c>
      <c r="U17" s="1220"/>
      <c r="V17" s="230">
        <f>K17-Q17</f>
        <v>0</v>
      </c>
      <c r="W17" s="361">
        <f t="shared" si="1"/>
        <v>0</v>
      </c>
    </row>
    <row r="18" spans="2:23">
      <c r="B18" s="2335"/>
      <c r="C18" s="296" t="s">
        <v>12287</v>
      </c>
      <c r="D18" s="135"/>
      <c r="E18" s="296"/>
      <c r="F18" s="296"/>
      <c r="G18" s="296"/>
      <c r="H18" s="161"/>
      <c r="I18" s="161"/>
      <c r="J18" s="296"/>
      <c r="K18" s="174"/>
      <c r="L18" s="174"/>
      <c r="M18" s="135"/>
      <c r="N18" s="161"/>
      <c r="O18" s="161"/>
      <c r="P18" s="135"/>
      <c r="Q18" s="174"/>
      <c r="R18" s="2375"/>
      <c r="S18" s="2377">
        <f>+[99]Loan!$H$40+[99]Loan!$H$41+[99]Loan!$H$42+[99]Loan!$H$45</f>
        <v>854560000</v>
      </c>
      <c r="T18" s="1220">
        <f>+[99]Loan!I40+[99]Loan!I41+[99]Loan!I42+[99]Loan!I45</f>
        <v>974900000</v>
      </c>
      <c r="U18" s="1220">
        <f>+[99]Loan!J40+[99]Loan!J41+[99]Loan!J42+[99]Loan!J45+654400000</f>
        <v>1453400000</v>
      </c>
      <c r="V18" s="229">
        <f>K18-Q18</f>
        <v>0</v>
      </c>
      <c r="W18" s="648">
        <f t="shared" si="1"/>
        <v>0</v>
      </c>
    </row>
    <row r="19" spans="2:23">
      <c r="B19" s="2335"/>
      <c r="C19" s="150" t="s">
        <v>151</v>
      </c>
      <c r="D19" s="135"/>
      <c r="E19" s="150"/>
      <c r="F19" s="335">
        <f>SUM(F14:F17)</f>
        <v>2145000000</v>
      </c>
      <c r="G19" s="150"/>
      <c r="H19" s="335">
        <f>SUM(H14:H17)</f>
        <v>2145000000</v>
      </c>
      <c r="I19" s="335">
        <f>SUM(I14:I17)</f>
        <v>0</v>
      </c>
      <c r="J19" s="150"/>
      <c r="K19" s="335">
        <f>SUM(K14:K17)</f>
        <v>0</v>
      </c>
      <c r="L19" s="335">
        <f>SUM(L14:L17)</f>
        <v>2145000000</v>
      </c>
      <c r="M19" s="135"/>
      <c r="N19" s="335">
        <f>SUM(N14:N17)</f>
        <v>0</v>
      </c>
      <c r="O19" s="335">
        <f>SUM(O14:O17)</f>
        <v>0</v>
      </c>
      <c r="P19" s="335"/>
      <c r="Q19" s="2344">
        <f t="shared" ref="Q19:V19" si="2">SUM(Q14:Q18)</f>
        <v>2145000000</v>
      </c>
      <c r="R19" s="2344">
        <f t="shared" si="2"/>
        <v>2989000000</v>
      </c>
      <c r="S19" s="2344">
        <f t="shared" si="2"/>
        <v>25370671006.6137</v>
      </c>
      <c r="T19" s="2344">
        <f t="shared" si="2"/>
        <v>21326133325.5937</v>
      </c>
      <c r="U19" s="335">
        <f t="shared" si="2"/>
        <v>2153400000</v>
      </c>
      <c r="V19" s="309">
        <f t="shared" si="2"/>
        <v>-2145000000</v>
      </c>
      <c r="W19" s="648">
        <f t="shared" si="1"/>
        <v>-0.71763131482101</v>
      </c>
    </row>
    <row r="20" spans="2:23">
      <c r="B20" s="2335"/>
      <c r="C20" s="296"/>
      <c r="D20" s="135"/>
      <c r="E20" s="296"/>
      <c r="F20" s="296"/>
      <c r="G20" s="296"/>
      <c r="H20" s="296"/>
      <c r="I20" s="296"/>
      <c r="J20" s="296"/>
      <c r="K20" s="296"/>
      <c r="L20" s="174"/>
      <c r="M20" s="135"/>
      <c r="N20" s="296"/>
      <c r="O20" s="296"/>
      <c r="P20" s="135"/>
      <c r="Q20" s="296"/>
      <c r="R20" s="134"/>
      <c r="S20" s="296"/>
      <c r="T20" s="296"/>
      <c r="U20" s="296">
        <f>+U19-'F2'!U17</f>
        <v>0</v>
      </c>
      <c r="V20" s="134"/>
      <c r="W20" s="648"/>
    </row>
    <row r="21" spans="2:23">
      <c r="B21" s="2335"/>
      <c r="C21" s="150" t="s">
        <v>12288</v>
      </c>
      <c r="D21" s="135"/>
      <c r="E21" s="296"/>
      <c r="F21" s="296"/>
      <c r="G21" s="296"/>
      <c r="H21" s="296"/>
      <c r="I21" s="296"/>
      <c r="J21" s="296"/>
      <c r="K21" s="296"/>
      <c r="L21" s="174"/>
      <c r="M21" s="135"/>
      <c r="N21" s="296"/>
      <c r="O21" s="296"/>
      <c r="P21" s="135"/>
      <c r="Q21" s="296"/>
      <c r="R21" s="134"/>
      <c r="S21" s="296"/>
      <c r="T21" s="296"/>
      <c r="U21" s="296"/>
      <c r="V21" s="134"/>
      <c r="W21" s="648"/>
    </row>
    <row r="22" spans="2:23">
      <c r="B22" s="2335"/>
      <c r="C22" s="296" t="s">
        <v>12289</v>
      </c>
      <c r="D22" s="299" t="s">
        <v>12290</v>
      </c>
      <c r="E22" s="296"/>
      <c r="F22" s="296">
        <v>8475251179</v>
      </c>
      <c r="G22" s="296"/>
      <c r="H22" s="161">
        <f>SUMIF('F4'!$E$12:$E$158,C22,'F4'!$G$12:$G$158)</f>
        <v>0</v>
      </c>
      <c r="I22" s="161">
        <f>SUMIF('F4'!$E$12:$E$158,C22,'F4'!$H$12:$H$158)</f>
        <v>0</v>
      </c>
      <c r="J22" s="296"/>
      <c r="K22" s="174">
        <f>F22+I22-H22</f>
        <v>8475251179</v>
      </c>
      <c r="L22" s="174">
        <v>0</v>
      </c>
      <c r="M22" s="135"/>
      <c r="N22" s="161">
        <f>SUMIF('F4'!$E$12:$E$158,C22,'F4'!$I$12:$I$158)</f>
        <v>0</v>
      </c>
      <c r="O22" s="161">
        <f>SUMIF('F4'!$E$12:$E$158,C22,'F4'!$J$12:$J$158)</f>
        <v>0</v>
      </c>
      <c r="P22" s="135"/>
      <c r="Q22" s="174">
        <f>L22+O22-N22</f>
        <v>0</v>
      </c>
      <c r="R22" s="2375">
        <v>0</v>
      </c>
      <c r="S22" s="1220"/>
      <c r="T22" s="1220"/>
      <c r="U22" s="1220"/>
      <c r="V22" s="230">
        <f>K22-Q22</f>
        <v>8475251179</v>
      </c>
      <c r="W22" s="361">
        <f>IF(R22=0,IF(V22=0,0,V22/V22),V22/R22)</f>
        <v>1</v>
      </c>
    </row>
    <row r="23" spans="2:23">
      <c r="B23" s="2335"/>
      <c r="C23" s="296" t="s">
        <v>12291</v>
      </c>
      <c r="D23" s="299" t="str">
        <f>+D14</f>
        <v>DD1</v>
      </c>
      <c r="E23" s="296"/>
      <c r="F23" s="296">
        <v>2396795200</v>
      </c>
      <c r="G23" s="296"/>
      <c r="H23" s="161">
        <f>SUMIF('F4'!$E$12:$E$158,C23,'F4'!$G$12:$G$158)</f>
        <v>2396795200</v>
      </c>
      <c r="I23" s="161">
        <f>SUMIF('F4'!$E$12:$E$158,C23,'F4'!$H$12:$H$158)</f>
        <v>0</v>
      </c>
      <c r="J23" s="296"/>
      <c r="K23" s="174">
        <f>F23+I23-H23</f>
        <v>0</v>
      </c>
      <c r="L23" s="2365">
        <f>4017941200*0</f>
        <v>0</v>
      </c>
      <c r="M23" s="135"/>
      <c r="N23" s="161">
        <f>SUMIF('F4'!$E$12:$E$158,C23,'F4'!$I$12:$I$158)</f>
        <v>0</v>
      </c>
      <c r="O23" s="161">
        <f>SUMIF('F4'!$E$12:$E$158,C23,'F4'!$J$12:$J$158)</f>
        <v>0</v>
      </c>
      <c r="P23" s="135"/>
      <c r="Q23" s="174">
        <f>L23+O23-N23</f>
        <v>0</v>
      </c>
      <c r="R23" s="2365">
        <f>1974346000*0</f>
        <v>0</v>
      </c>
      <c r="S23" s="2378"/>
      <c r="T23" s="2378"/>
      <c r="U23" s="2379"/>
      <c r="V23" s="230">
        <f>K23-Q23</f>
        <v>0</v>
      </c>
      <c r="W23" s="361">
        <f>IF(R23=0,IF(V23=0,0,V23/V23),V23/R23)</f>
        <v>0</v>
      </c>
    </row>
    <row r="24" customFormat="1" spans="2:23">
      <c r="B24" s="2335"/>
      <c r="C24" s="296" t="s">
        <v>12292</v>
      </c>
      <c r="D24" s="299" t="s">
        <v>12293</v>
      </c>
      <c r="E24" s="296"/>
      <c r="F24" s="296">
        <v>0</v>
      </c>
      <c r="G24" s="296"/>
      <c r="H24" s="161">
        <f>SUMIF('F4'!$E$12:$E$158,C24,'F4'!$G$12:$G$158)</f>
        <v>0</v>
      </c>
      <c r="I24" s="161">
        <f>SUMIF('F4'!$E$12:$E$158,C24,'F4'!$H$12:$H$158)</f>
        <v>0</v>
      </c>
      <c r="J24" s="296"/>
      <c r="K24" s="174">
        <f>F24+I24-H24</f>
        <v>0</v>
      </c>
      <c r="L24" s="174">
        <f>22640619446.0357-2711107046</f>
        <v>19929512400.0357</v>
      </c>
      <c r="M24" s="137"/>
      <c r="N24" s="161">
        <f>SUMIF('F4'!$E$12:$E$158,C24,'F4'!$I$12:$I$158)</f>
        <v>0</v>
      </c>
      <c r="O24" s="161">
        <f>SUMIF('F4'!$E$12:$E$158,C24,'F4'!$J$12:$J$158)</f>
        <v>0</v>
      </c>
      <c r="P24" s="174"/>
      <c r="Q24" s="174">
        <f>L24+O24-N24</f>
        <v>19929512400.0357</v>
      </c>
      <c r="R24" s="2375">
        <f>24029656642.9259-2251529000</f>
        <v>21778127642.9259</v>
      </c>
      <c r="S24" s="1220">
        <f>+[99]Loan!H47-2440655126</f>
        <v>26504596868</v>
      </c>
      <c r="T24" s="1220">
        <f>+[99]Loan!I47</f>
        <v>28945251994</v>
      </c>
      <c r="U24" s="1220">
        <f>+[99]Loan!J47-1775813370</f>
        <v>1209186630</v>
      </c>
      <c r="V24" s="230">
        <f>K24-Q24</f>
        <v>-19929512400.0357</v>
      </c>
      <c r="W24" s="361">
        <f>IF(R24=0,IF(V24=0,0,V24/V24),V24/R24)</f>
        <v>-0.915115969875827</v>
      </c>
    </row>
    <row r="25" customFormat="1" spans="2:23">
      <c r="B25" s="2335"/>
      <c r="C25" s="296" t="s">
        <v>12294</v>
      </c>
      <c r="D25" s="299"/>
      <c r="E25" s="296"/>
      <c r="F25" s="296">
        <v>0</v>
      </c>
      <c r="G25" s="296"/>
      <c r="H25" s="161"/>
      <c r="I25" s="161">
        <f>SUMIF('F4'!$E$12:$E$158,C25,'F4'!$H$12:$H$158)</f>
        <v>459940000</v>
      </c>
      <c r="J25" s="296"/>
      <c r="K25" s="174">
        <f t="shared" ref="K25:K26" si="3">F25+I25-H25</f>
        <v>459940000</v>
      </c>
      <c r="L25" s="174">
        <v>0</v>
      </c>
      <c r="M25" s="137"/>
      <c r="N25" s="161">
        <f>SUMIF('F4'!$E$12:$E$158,C25,'F4'!$I$12:$I$158)</f>
        <v>0</v>
      </c>
      <c r="O25" s="161">
        <f>SUMIF('F4'!$E$12:$E$158,C25,'F4'!$J$12:$J$158)</f>
        <v>459940000</v>
      </c>
      <c r="P25" s="174"/>
      <c r="Q25" s="174">
        <f>L25+O25-N25</f>
        <v>459940000</v>
      </c>
      <c r="R25" s="2375">
        <v>459940000</v>
      </c>
      <c r="S25" s="2377"/>
      <c r="T25" s="1220"/>
      <c r="U25" s="1220"/>
      <c r="V25" s="230"/>
      <c r="W25" s="361"/>
    </row>
    <row r="26" customFormat="1" spans="2:23">
      <c r="B26" s="2335"/>
      <c r="C26" s="296" t="s">
        <v>12295</v>
      </c>
      <c r="D26" s="299"/>
      <c r="E26" s="296"/>
      <c r="F26" s="296">
        <v>0</v>
      </c>
      <c r="G26" s="296"/>
      <c r="H26" s="161"/>
      <c r="I26" s="161">
        <f>SUMIF('F4'!$E$12:$E$158,C26,'F4'!$H$12:$H$158)</f>
        <v>378657000</v>
      </c>
      <c r="J26" s="296"/>
      <c r="K26" s="174">
        <f t="shared" si="3"/>
        <v>378657000</v>
      </c>
      <c r="L26" s="174">
        <v>0</v>
      </c>
      <c r="M26" s="137"/>
      <c r="N26" s="161">
        <f>SUMIF('F4'!$E$12:$E$158,C26,'F4'!$I$12:$I$158)</f>
        <v>0</v>
      </c>
      <c r="O26" s="161">
        <f>SUMIF('F4'!$E$12:$E$158,C26,'F4'!$J$12:$J$158)</f>
        <v>378657000</v>
      </c>
      <c r="P26" s="174"/>
      <c r="Q26" s="174">
        <f>L26+O26-N26</f>
        <v>378657000</v>
      </c>
      <c r="R26" s="2375">
        <v>0</v>
      </c>
      <c r="S26" s="2377"/>
      <c r="T26" s="1220"/>
      <c r="U26" s="1220"/>
      <c r="V26" s="230"/>
      <c r="W26" s="361"/>
    </row>
    <row r="27" spans="2:23">
      <c r="B27" s="2335"/>
      <c r="C27" s="150" t="s">
        <v>151</v>
      </c>
      <c r="D27" s="135"/>
      <c r="E27" s="296"/>
      <c r="F27" s="2344">
        <f>SUM(F22:F26)</f>
        <v>10872046379</v>
      </c>
      <c r="G27" s="296"/>
      <c r="H27" s="2344">
        <f>SUM(H22:H26)</f>
        <v>2396795200</v>
      </c>
      <c r="I27" s="2344">
        <f>SUM(I22:I26)</f>
        <v>838597000</v>
      </c>
      <c r="J27" s="296"/>
      <c r="K27" s="2344">
        <f>SUM(K22:K26)</f>
        <v>9313848179</v>
      </c>
      <c r="L27" s="2344">
        <f>SUM(L22:L26)</f>
        <v>19929512400.0357</v>
      </c>
      <c r="M27" s="135"/>
      <c r="N27" s="2344">
        <f>SUM(N22:N26)</f>
        <v>0</v>
      </c>
      <c r="O27" s="2344">
        <f>SUM(O22:O26)</f>
        <v>838597000</v>
      </c>
      <c r="P27" s="335"/>
      <c r="Q27" s="2344">
        <f>SUM(Q22:Q26)</f>
        <v>20768109400.0357</v>
      </c>
      <c r="R27" s="2344">
        <f>SUM(R22:R26)</f>
        <v>22238067642.9259</v>
      </c>
      <c r="S27" s="2344">
        <f t="shared" ref="S27:V27" si="4">SUM(S22:S24)</f>
        <v>26504596868</v>
      </c>
      <c r="T27" s="335">
        <f t="shared" si="4"/>
        <v>28945251994</v>
      </c>
      <c r="U27" s="335">
        <f t="shared" si="4"/>
        <v>1209186630</v>
      </c>
      <c r="V27" s="2380">
        <f t="shared" si="4"/>
        <v>-11454261221.0357</v>
      </c>
      <c r="W27" s="361"/>
    </row>
    <row r="28" spans="2:23">
      <c r="B28" s="2335"/>
      <c r="C28" s="296"/>
      <c r="D28" s="135"/>
      <c r="E28" s="296"/>
      <c r="F28" s="174"/>
      <c r="G28" s="296"/>
      <c r="H28" s="296"/>
      <c r="I28" s="296"/>
      <c r="J28" s="296"/>
      <c r="K28" s="174"/>
      <c r="L28" s="334"/>
      <c r="M28" s="135"/>
      <c r="N28" s="174"/>
      <c r="O28" s="174"/>
      <c r="P28" s="2304"/>
      <c r="Q28" s="174"/>
      <c r="R28" s="159"/>
      <c r="S28" s="191"/>
      <c r="T28" s="142"/>
      <c r="U28" s="356">
        <f>+[99]FS!$L$54-U27</f>
        <v>0</v>
      </c>
      <c r="V28" s="230"/>
      <c r="W28" s="361"/>
    </row>
    <row r="29" ht="13.95" spans="2:23">
      <c r="B29" s="2335"/>
      <c r="C29" s="5114" t="s">
        <v>151</v>
      </c>
      <c r="D29" s="135"/>
      <c r="E29" s="1412" t="e">
        <f>SUM(#REF!)</f>
        <v>#REF!</v>
      </c>
      <c r="F29" s="1392">
        <f>F19+F27</f>
        <v>13017046379</v>
      </c>
      <c r="G29" s="1412"/>
      <c r="H29" s="1412"/>
      <c r="I29" s="1412"/>
      <c r="J29" s="1412"/>
      <c r="K29" s="1392">
        <f>K19+K27</f>
        <v>9313848179</v>
      </c>
      <c r="L29" s="1392">
        <f>L19+L27</f>
        <v>22074512400.0357</v>
      </c>
      <c r="M29" s="135"/>
      <c r="N29" s="1392">
        <f>N19+N27</f>
        <v>0</v>
      </c>
      <c r="O29" s="1392">
        <f>O19+O27</f>
        <v>838597000</v>
      </c>
      <c r="P29" s="135"/>
      <c r="Q29" s="1392">
        <f>Q19+Q27</f>
        <v>22913109400.0357</v>
      </c>
      <c r="R29" s="1346">
        <f>R19+R27</f>
        <v>25227067642.9259</v>
      </c>
      <c r="S29" s="1346">
        <f t="shared" ref="S29:V29" si="5">S19+S27</f>
        <v>51875267874.6137</v>
      </c>
      <c r="T29" s="1346">
        <f t="shared" si="5"/>
        <v>50271385319.5937</v>
      </c>
      <c r="U29" s="1346">
        <f t="shared" si="5"/>
        <v>3362586630</v>
      </c>
      <c r="V29" s="1392">
        <f t="shared" si="5"/>
        <v>-13599261221.0357</v>
      </c>
      <c r="W29" s="361">
        <f>IF(R29=0,IF(V29=0,0,V29/V29),V29/R29)</f>
        <v>-0.539074196554476</v>
      </c>
    </row>
    <row r="30" ht="13.95" spans="2:23">
      <c r="B30" s="2335"/>
      <c r="C30" s="236"/>
      <c r="D30" s="147"/>
      <c r="E30" s="236"/>
      <c r="F30" s="141">
        <f>+F29-'F2'!F17-'F2'!F30</f>
        <v>0</v>
      </c>
      <c r="G30" s="141"/>
      <c r="H30" s="141"/>
      <c r="I30" s="141"/>
      <c r="J30" s="141"/>
      <c r="K30" s="141">
        <f>+K29-'F2'!K17-'F2'!K30</f>
        <v>0</v>
      </c>
      <c r="L30" s="141">
        <f>+L29-'F2'!L30-'F2'!L17</f>
        <v>0</v>
      </c>
      <c r="M30" s="147"/>
      <c r="N30" s="236"/>
      <c r="O30" s="236"/>
      <c r="P30" s="147"/>
      <c r="Q30" s="141">
        <f>Q29-'F2'!Q30-'F2'!Q17</f>
        <v>0</v>
      </c>
      <c r="R30" s="141">
        <f>+R29-'F2'!R17-'F2'!R30</f>
        <v>0</v>
      </c>
      <c r="S30" s="141">
        <f>+S29-'F2'!S17-'F2'!S30</f>
        <v>0</v>
      </c>
      <c r="T30" s="141">
        <f>+T29-'F2'!T17-'F2'!T30</f>
        <v>0</v>
      </c>
      <c r="U30" s="141">
        <f>+U29-'F2'!U17-'F2'!U30</f>
        <v>0</v>
      </c>
      <c r="V30" s="2180"/>
      <c r="W30" s="302"/>
    </row>
    <row r="31" spans="2:23">
      <c r="B31" s="2335"/>
      <c r="C31" s="186" t="s">
        <v>12296</v>
      </c>
      <c r="R31" s="186">
        <f>+'F2'!R50</f>
        <v>0.177474975585937</v>
      </c>
      <c r="S31" s="186">
        <f>+'F2'!S50</f>
        <v>0.277130126953125</v>
      </c>
      <c r="T31" s="186">
        <f>+'F2'!T50</f>
        <v>0</v>
      </c>
      <c r="W31" s="2318"/>
    </row>
    <row r="32" spans="3:23">
      <c r="C32" s="186" t="s">
        <v>12297</v>
      </c>
      <c r="W32" s="2318"/>
    </row>
    <row r="35" spans="3:3">
      <c r="C35" s="2288" t="str">
        <f>'F1'!C46</f>
        <v>Sesuai dengan Saldo Buku Besar Periode 31 Desember 2022 &amp; 2021</v>
      </c>
    </row>
    <row r="36" spans="3:3">
      <c r="C36" s="5124" t="str">
        <f>'F1'!C47</f>
        <v>Sesuai dengan Saldo Audit Periode Sebelumnya</v>
      </c>
    </row>
    <row r="37" spans="3:3">
      <c r="C37" s="5124" t="str">
        <f>'F1'!C48</f>
        <v>Rumus dan Formula Perhitungan telah Diperiksa</v>
      </c>
    </row>
    <row r="39" spans="3:22">
      <c r="C39" s="2345"/>
      <c r="D39" s="2346"/>
      <c r="E39" s="2346"/>
      <c r="F39" s="2346"/>
      <c r="G39" s="2346"/>
      <c r="H39" s="2346"/>
      <c r="I39" s="2346"/>
      <c r="J39" s="2346"/>
      <c r="K39" s="2346"/>
      <c r="L39" s="2346"/>
      <c r="M39" s="2346"/>
      <c r="N39" s="2346"/>
      <c r="O39" s="2346"/>
      <c r="P39" s="2346"/>
      <c r="Q39" s="2346"/>
      <c r="R39" s="2346"/>
      <c r="S39" s="2346"/>
      <c r="T39" s="2346"/>
      <c r="U39" s="2346"/>
      <c r="V39" s="2381"/>
    </row>
    <row r="40" spans="3:22">
      <c r="C40" s="2347"/>
      <c r="D40" s="2348"/>
      <c r="E40" s="2348"/>
      <c r="F40" s="2348"/>
      <c r="G40" s="2348"/>
      <c r="H40" s="2349">
        <v>2022</v>
      </c>
      <c r="I40" s="2349">
        <v>2021</v>
      </c>
      <c r="J40" s="2349"/>
      <c r="K40" s="2349">
        <v>2020</v>
      </c>
      <c r="L40" s="2349">
        <v>2019</v>
      </c>
      <c r="M40" s="2349"/>
      <c r="N40" s="2349">
        <v>2018</v>
      </c>
      <c r="O40" s="2348"/>
      <c r="P40" s="2348"/>
      <c r="Q40" s="2348"/>
      <c r="R40" s="2348"/>
      <c r="S40" s="2348"/>
      <c r="T40" s="2348"/>
      <c r="U40" s="2348"/>
      <c r="V40" s="2382"/>
    </row>
    <row r="41" spans="3:22">
      <c r="C41" s="2347" t="str">
        <f>+C14</f>
        <v>Utang Lain2 Jpd - PT Mitra Energi Buana - Kompresor (Investasi)</v>
      </c>
      <c r="D41" s="2348"/>
      <c r="E41" s="2348"/>
      <c r="F41" s="2348"/>
      <c r="G41" s="2348"/>
      <c r="H41" s="2348">
        <f>+F14</f>
        <v>2145000000</v>
      </c>
      <c r="I41" s="2348">
        <f>+L14</f>
        <v>2145000000</v>
      </c>
      <c r="J41" s="2348"/>
      <c r="K41" s="2348">
        <f t="shared" ref="K41:L44" si="6">+R14</f>
        <v>2145000000</v>
      </c>
      <c r="L41" s="2348">
        <f t="shared" si="6"/>
        <v>785000000</v>
      </c>
      <c r="M41" s="2348"/>
      <c r="N41" s="2348">
        <f>+T14</f>
        <v>0</v>
      </c>
      <c r="O41" s="2348"/>
      <c r="P41" s="2348"/>
      <c r="Q41" s="2348"/>
      <c r="R41" s="2348"/>
      <c r="S41" s="2348"/>
      <c r="T41" s="2348"/>
      <c r="U41" s="2348"/>
      <c r="V41" s="2382"/>
    </row>
    <row r="42" spans="3:22">
      <c r="C42" s="2347" t="str">
        <f>+C15</f>
        <v>Utang Lain2 Jpd - PT DPS - Project Bawean </v>
      </c>
      <c r="D42" s="2348"/>
      <c r="E42" s="2348"/>
      <c r="F42" s="2348"/>
      <c r="G42" s="2348"/>
      <c r="H42" s="2348">
        <f>+F15</f>
        <v>0</v>
      </c>
      <c r="I42" s="2348">
        <f>+L15</f>
        <v>0</v>
      </c>
      <c r="J42" s="2348"/>
      <c r="K42" s="2348">
        <f t="shared" si="6"/>
        <v>0</v>
      </c>
      <c r="L42" s="2348">
        <f t="shared" si="6"/>
        <v>23031111006.6137</v>
      </c>
      <c r="M42" s="2348"/>
      <c r="N42" s="2348">
        <f>+T15</f>
        <v>19651233325.5937</v>
      </c>
      <c r="O42" s="2348"/>
      <c r="P42" s="2348"/>
      <c r="Q42" s="2348"/>
      <c r="R42" s="2348"/>
      <c r="S42" s="2348"/>
      <c r="T42" s="2348"/>
      <c r="U42" s="2348"/>
      <c r="V42" s="2382"/>
    </row>
    <row r="43" spans="3:22">
      <c r="C43" s="2347" t="str">
        <f>+C16</f>
        <v>Utang Lain2 Jpd - Bowo Triwicaksono - Pokok</v>
      </c>
      <c r="D43" s="2348"/>
      <c r="E43" s="2348"/>
      <c r="F43" s="2348"/>
      <c r="G43" s="2348"/>
      <c r="H43" s="2348">
        <f>+F16</f>
        <v>0</v>
      </c>
      <c r="I43" s="2348">
        <f>+L16</f>
        <v>0</v>
      </c>
      <c r="J43" s="2348"/>
      <c r="K43" s="2348">
        <f t="shared" si="6"/>
        <v>700000000</v>
      </c>
      <c r="L43" s="2348">
        <f t="shared" si="6"/>
        <v>700000000</v>
      </c>
      <c r="M43" s="2348"/>
      <c r="N43" s="2348">
        <f>+T16</f>
        <v>700000000</v>
      </c>
      <c r="O43" s="2348"/>
      <c r="P43" s="2348"/>
      <c r="Q43" s="2348"/>
      <c r="R43" s="2348"/>
      <c r="S43" s="2348"/>
      <c r="T43" s="2348"/>
      <c r="U43" s="2348"/>
      <c r="V43" s="2382"/>
    </row>
    <row r="44" spans="3:22">
      <c r="C44" s="2347" t="str">
        <f>+C17</f>
        <v>Utang Lain2 Jpd - Bowo Triwicaksono - Bunga</v>
      </c>
      <c r="D44" s="2348"/>
      <c r="E44" s="2348"/>
      <c r="F44" s="2348"/>
      <c r="G44" s="2348"/>
      <c r="H44" s="2348">
        <f>+F17</f>
        <v>0</v>
      </c>
      <c r="I44" s="2348">
        <f>+L17</f>
        <v>0</v>
      </c>
      <c r="J44" s="2348"/>
      <c r="K44" s="2348">
        <f t="shared" si="6"/>
        <v>144000000</v>
      </c>
      <c r="L44" s="2348">
        <f t="shared" si="6"/>
        <v>0</v>
      </c>
      <c r="M44" s="2348"/>
      <c r="N44" s="2348">
        <f>+T17</f>
        <v>0</v>
      </c>
      <c r="O44" s="2348"/>
      <c r="P44" s="2348"/>
      <c r="Q44" s="2348"/>
      <c r="R44" s="2348"/>
      <c r="S44" s="2348"/>
      <c r="T44" s="2348"/>
      <c r="U44" s="2348"/>
      <c r="V44" s="2382"/>
    </row>
    <row r="45" spans="3:22">
      <c r="C45" s="2347" t="str">
        <f>+C21</f>
        <v>Jangka Panjang</v>
      </c>
      <c r="D45" s="2348"/>
      <c r="E45" s="2348"/>
      <c r="F45" s="2348"/>
      <c r="G45" s="2348"/>
      <c r="H45" s="2348"/>
      <c r="I45" s="2348"/>
      <c r="J45" s="2348"/>
      <c r="K45" s="2348"/>
      <c r="L45" s="2348"/>
      <c r="M45" s="2348"/>
      <c r="N45" s="2348"/>
      <c r="O45" s="2348"/>
      <c r="P45" s="2348"/>
      <c r="Q45" s="2348"/>
      <c r="R45" s="2348"/>
      <c r="S45" s="2348"/>
      <c r="T45" s="2348"/>
      <c r="U45" s="2348"/>
      <c r="V45" s="2382"/>
    </row>
    <row r="46" spans="3:22">
      <c r="C46" s="2347" t="str">
        <f>+C22</f>
        <v>Utang Lain2 Jpj - PT Mitra Energi Persada - DP Proyek CHP</v>
      </c>
      <c r="D46" s="2348"/>
      <c r="E46" s="2348"/>
      <c r="F46" s="2348"/>
      <c r="G46" s="2348"/>
      <c r="H46" s="2348">
        <f>+F22</f>
        <v>8475251179</v>
      </c>
      <c r="I46" s="2348">
        <f>+L22</f>
        <v>0</v>
      </c>
      <c r="J46" s="2348"/>
      <c r="K46" s="2348">
        <f t="shared" ref="K46:L48" si="7">+R22</f>
        <v>0</v>
      </c>
      <c r="L46" s="2348">
        <f t="shared" si="7"/>
        <v>0</v>
      </c>
      <c r="M46" s="2348"/>
      <c r="N46" s="2348">
        <f>+T22</f>
        <v>0</v>
      </c>
      <c r="O46" s="2348"/>
      <c r="P46" s="2348"/>
      <c r="Q46" s="2348"/>
      <c r="R46" s="2348"/>
      <c r="S46" s="2348"/>
      <c r="T46" s="2348"/>
      <c r="U46" s="2348"/>
      <c r="V46" s="2382"/>
    </row>
    <row r="47" spans="3:22">
      <c r="C47" s="2347" t="str">
        <f>+C23</f>
        <v>Utang Lain2 Jpj - PT Mitra Energi Buana - Kompresor (Angs BNI)</v>
      </c>
      <c r="D47" s="2348"/>
      <c r="E47" s="2348"/>
      <c r="F47" s="2348"/>
      <c r="G47" s="2348"/>
      <c r="H47" s="2348">
        <f>+F23</f>
        <v>2396795200</v>
      </c>
      <c r="I47" s="2348">
        <f>+L23</f>
        <v>0</v>
      </c>
      <c r="J47" s="2348"/>
      <c r="K47" s="2348">
        <f t="shared" si="7"/>
        <v>0</v>
      </c>
      <c r="L47" s="2348">
        <f t="shared" si="7"/>
        <v>0</v>
      </c>
      <c r="M47" s="2348"/>
      <c r="N47" s="2348">
        <f>+T23</f>
        <v>0</v>
      </c>
      <c r="O47" s="2348"/>
      <c r="P47" s="2348"/>
      <c r="Q47" s="2348"/>
      <c r="R47" s="2348"/>
      <c r="S47" s="2348"/>
      <c r="T47" s="2348"/>
      <c r="U47" s="2348"/>
      <c r="V47" s="2382"/>
    </row>
    <row r="48" spans="3:22">
      <c r="C48" s="2347" t="str">
        <f>+C24</f>
        <v>Utang Lain2 Jpj - PT DPS ESP</v>
      </c>
      <c r="D48" s="2348"/>
      <c r="E48" s="2348"/>
      <c r="F48" s="2348"/>
      <c r="G48" s="2348"/>
      <c r="H48" s="2348">
        <f>+F24</f>
        <v>0</v>
      </c>
      <c r="I48" s="2348">
        <f>+L24</f>
        <v>19929512400.0357</v>
      </c>
      <c r="J48" s="2348"/>
      <c r="K48" s="2348">
        <f t="shared" si="7"/>
        <v>21778127642.9259</v>
      </c>
      <c r="L48" s="2348">
        <f t="shared" si="7"/>
        <v>26504596868</v>
      </c>
      <c r="M48" s="2348"/>
      <c r="N48" s="2348">
        <f>+T24</f>
        <v>28945251994</v>
      </c>
      <c r="O48" s="2348"/>
      <c r="P48" s="2348"/>
      <c r="Q48" s="2348"/>
      <c r="R48" s="2348"/>
      <c r="S48" s="2348"/>
      <c r="T48" s="2348"/>
      <c r="U48" s="2348"/>
      <c r="V48" s="2382"/>
    </row>
    <row r="49" spans="3:22">
      <c r="C49" s="2347" t="str">
        <f t="shared" ref="C49" si="8">+C27</f>
        <v>Jumlah</v>
      </c>
      <c r="D49" s="2348"/>
      <c r="E49" s="2348"/>
      <c r="F49" s="2348"/>
      <c r="G49" s="2348"/>
      <c r="H49" s="2350">
        <f>SUM(H41:H48)</f>
        <v>13017046379</v>
      </c>
      <c r="I49" s="2350">
        <f t="shared" ref="I49:N49" si="9">SUM(I41:I48)</f>
        <v>22074512400.0357</v>
      </c>
      <c r="J49" s="2350">
        <f t="shared" si="9"/>
        <v>0</v>
      </c>
      <c r="K49" s="2350">
        <f t="shared" si="9"/>
        <v>24767127642.9259</v>
      </c>
      <c r="L49" s="2350">
        <f t="shared" si="9"/>
        <v>51020707874.6137</v>
      </c>
      <c r="M49" s="2350">
        <f t="shared" si="9"/>
        <v>0</v>
      </c>
      <c r="N49" s="2350">
        <f t="shared" si="9"/>
        <v>49296485319.5937</v>
      </c>
      <c r="O49" s="2348"/>
      <c r="P49" s="2348"/>
      <c r="Q49" s="2348"/>
      <c r="R49" s="2348"/>
      <c r="S49" s="2348"/>
      <c r="T49" s="2348"/>
      <c r="U49" s="2348"/>
      <c r="V49" s="2382"/>
    </row>
    <row r="50" spans="3:22">
      <c r="C50" s="2347"/>
      <c r="D50" s="2348"/>
      <c r="E50" s="2348"/>
      <c r="F50" s="2348"/>
      <c r="G50" s="2348"/>
      <c r="H50" s="2348"/>
      <c r="I50" s="2348"/>
      <c r="J50" s="2348"/>
      <c r="K50" s="2348">
        <f>+G!K54</f>
        <v>11436422794.532</v>
      </c>
      <c r="L50" s="2348"/>
      <c r="M50" s="2348"/>
      <c r="N50" s="2348"/>
      <c r="O50" s="2348"/>
      <c r="P50" s="2348"/>
      <c r="Q50" s="2348"/>
      <c r="R50" s="2348"/>
      <c r="S50" s="2348"/>
      <c r="T50" s="2348"/>
      <c r="U50" s="2348"/>
      <c r="V50" s="2382"/>
    </row>
    <row r="51" ht="11.4" spans="1:25">
      <c r="A51" s="2351"/>
      <c r="B51" s="2351"/>
      <c r="C51" s="2352"/>
      <c r="D51" s="2353"/>
      <c r="E51" s="2353"/>
      <c r="F51" s="2353"/>
      <c r="G51" s="2353"/>
      <c r="H51" s="2353"/>
      <c r="I51" s="2353"/>
      <c r="J51" s="2353"/>
      <c r="K51" s="2353">
        <f>+K42-K50</f>
        <v>-11436422794.532</v>
      </c>
      <c r="L51" s="2353"/>
      <c r="M51" s="2353"/>
      <c r="N51" s="2353"/>
      <c r="O51" s="2353"/>
      <c r="P51" s="2353"/>
      <c r="Q51" s="2353"/>
      <c r="R51" s="2353"/>
      <c r="S51" s="2353"/>
      <c r="T51" s="2353"/>
      <c r="U51" s="2353"/>
      <c r="V51" s="2383"/>
      <c r="W51" s="2351"/>
      <c r="X51" s="2351"/>
      <c r="Y51" s="2351"/>
    </row>
    <row r="52" ht="11.4" spans="1:25">
      <c r="A52" s="2351"/>
      <c r="B52" s="2351"/>
      <c r="C52" s="2352"/>
      <c r="D52" s="2353"/>
      <c r="E52" s="2353"/>
      <c r="F52" s="2353"/>
      <c r="G52" s="2353"/>
      <c r="H52" s="2353"/>
      <c r="I52" s="2353"/>
      <c r="J52" s="2353"/>
      <c r="K52" s="2353"/>
      <c r="L52" s="2353"/>
      <c r="M52" s="2353"/>
      <c r="N52" s="2353"/>
      <c r="O52" s="2353"/>
      <c r="P52" s="2353"/>
      <c r="Q52" s="2353"/>
      <c r="R52" s="2353"/>
      <c r="S52" s="2353"/>
      <c r="T52" s="2353"/>
      <c r="U52" s="2353"/>
      <c r="V52" s="2383"/>
      <c r="W52" s="2351"/>
      <c r="X52" s="2351"/>
      <c r="Y52" s="2351"/>
    </row>
    <row r="53" ht="11.4" spans="1:25">
      <c r="A53" s="2351"/>
      <c r="B53" s="2351" t="s">
        <v>732</v>
      </c>
      <c r="C53" s="2352" t="s">
        <v>12298</v>
      </c>
      <c r="D53" s="2353"/>
      <c r="E53" s="2353"/>
      <c r="F53" s="2353"/>
      <c r="G53" s="2353"/>
      <c r="H53" s="2353"/>
      <c r="I53" s="2353"/>
      <c r="J53" s="2353"/>
      <c r="K53" s="2353"/>
      <c r="L53" s="2353"/>
      <c r="M53" s="2353"/>
      <c r="N53" s="2353"/>
      <c r="O53" s="2353"/>
      <c r="P53" s="2353"/>
      <c r="Q53" s="2353"/>
      <c r="R53" s="2353"/>
      <c r="S53" s="2353"/>
      <c r="T53" s="2353"/>
      <c r="U53" s="2353"/>
      <c r="V53" s="2383"/>
      <c r="W53" s="2351"/>
      <c r="X53" s="2351"/>
      <c r="Y53" s="2351"/>
    </row>
    <row r="54" ht="11.4" spans="1:25">
      <c r="A54" s="2351"/>
      <c r="B54" s="2351"/>
      <c r="C54" s="2352" t="s">
        <v>12299</v>
      </c>
      <c r="D54" s="2353"/>
      <c r="E54" s="2353"/>
      <c r="F54" s="2353"/>
      <c r="G54" s="2353"/>
      <c r="H54" s="2353"/>
      <c r="I54" s="2353"/>
      <c r="J54" s="2353"/>
      <c r="K54" s="2353"/>
      <c r="L54" s="2353"/>
      <c r="M54" s="2353"/>
      <c r="N54" s="2353"/>
      <c r="O54" s="2353"/>
      <c r="P54" s="2353"/>
      <c r="Q54" s="2353"/>
      <c r="R54" s="2353"/>
      <c r="S54" s="2353"/>
      <c r="T54" s="2353"/>
      <c r="U54" s="2353"/>
      <c r="V54" s="2383"/>
      <c r="W54" s="2351"/>
      <c r="X54" s="2351"/>
      <c r="Y54" s="2351"/>
    </row>
    <row r="55" ht="11.4" spans="1:25">
      <c r="A55" s="2351"/>
      <c r="B55" s="2351"/>
      <c r="C55" s="2352" t="s">
        <v>12300</v>
      </c>
      <c r="D55" s="2353"/>
      <c r="E55" s="2353"/>
      <c r="F55" s="2353"/>
      <c r="G55" s="2353"/>
      <c r="H55" s="2353"/>
      <c r="I55" s="2353"/>
      <c r="J55" s="2353"/>
      <c r="K55" s="2353"/>
      <c r="L55" s="2353"/>
      <c r="M55" s="2353"/>
      <c r="N55" s="2353"/>
      <c r="O55" s="2353"/>
      <c r="P55" s="2353"/>
      <c r="Q55" s="2353"/>
      <c r="R55" s="2353"/>
      <c r="S55" s="2353"/>
      <c r="T55" s="2353"/>
      <c r="U55" s="2353"/>
      <c r="V55" s="2383"/>
      <c r="W55" s="2351"/>
      <c r="X55" s="2351"/>
      <c r="Y55" s="2351"/>
    </row>
    <row r="56" ht="22.8" spans="1:25">
      <c r="A56" s="2351"/>
      <c r="B56" s="2351"/>
      <c r="C56" s="2352"/>
      <c r="D56" s="2353"/>
      <c r="E56" s="2353"/>
      <c r="F56" s="2354" t="s">
        <v>12301</v>
      </c>
      <c r="G56" s="2355"/>
      <c r="H56" s="2356" t="s">
        <v>12302</v>
      </c>
      <c r="I56" s="2355" t="s">
        <v>12303</v>
      </c>
      <c r="J56" s="2353"/>
      <c r="K56" s="2353"/>
      <c r="L56" s="2353"/>
      <c r="M56" s="2353"/>
      <c r="N56" s="2353"/>
      <c r="O56" s="2353"/>
      <c r="P56" s="2353"/>
      <c r="Q56" s="2353"/>
      <c r="R56" s="2353"/>
      <c r="S56" s="2353"/>
      <c r="T56" s="2353"/>
      <c r="U56" s="2353"/>
      <c r="V56" s="2383"/>
      <c r="W56" s="2351"/>
      <c r="X56" s="2351"/>
      <c r="Y56" s="2351"/>
    </row>
    <row r="57" ht="11.4" spans="1:25">
      <c r="A57" s="2351"/>
      <c r="B57" s="2351"/>
      <c r="C57" s="2352" t="str">
        <f>+H!B79</f>
        <v>Kompresor Kwangshin 1500 m3/h &amp; Dryer</v>
      </c>
      <c r="D57" s="2353"/>
      <c r="E57" s="2353"/>
      <c r="F57" s="2353">
        <f>+H!G79</f>
        <v>7938562500</v>
      </c>
      <c r="G57" s="2353"/>
      <c r="H57" s="2353">
        <v>6752460000</v>
      </c>
      <c r="I57" s="2353">
        <f>+F57-H57</f>
        <v>1186102500</v>
      </c>
      <c r="J57" s="2353"/>
      <c r="K57" s="2353"/>
      <c r="L57" s="2353"/>
      <c r="M57" s="2353"/>
      <c r="N57" s="2353"/>
      <c r="O57" s="2353"/>
      <c r="P57" s="2353"/>
      <c r="Q57" s="2353"/>
      <c r="R57" s="2353"/>
      <c r="S57" s="2353"/>
      <c r="T57" s="2353"/>
      <c r="U57" s="2353"/>
      <c r="V57" s="2383"/>
      <c r="W57" s="2351"/>
      <c r="X57" s="2351"/>
      <c r="Y57" s="2351"/>
    </row>
    <row r="58" ht="11.4" spans="1:25">
      <c r="A58" s="2351"/>
      <c r="B58" s="2351"/>
      <c r="C58" s="2352" t="s">
        <v>12304</v>
      </c>
      <c r="D58" s="2353"/>
      <c r="E58" s="2353"/>
      <c r="F58" s="2353"/>
      <c r="G58" s="2353"/>
      <c r="H58" s="2353"/>
      <c r="I58" s="2353"/>
      <c r="J58" s="2353"/>
      <c r="K58" s="2353"/>
      <c r="L58" s="2353"/>
      <c r="M58" s="2353"/>
      <c r="N58" s="2353"/>
      <c r="O58" s="2353"/>
      <c r="P58" s="2353"/>
      <c r="Q58" s="2353"/>
      <c r="R58" s="2353"/>
      <c r="S58" s="2353"/>
      <c r="T58" s="2353"/>
      <c r="U58" s="2353"/>
      <c r="V58" s="2383"/>
      <c r="W58" s="2351"/>
      <c r="X58" s="2351"/>
      <c r="Y58" s="2351"/>
    </row>
    <row r="59" ht="11.4" spans="1:25">
      <c r="A59" s="2351"/>
      <c r="B59" s="2351"/>
      <c r="C59" s="2352" t="str">
        <f>+'[100]QTN (8%)Ppn'!$C$27</f>
        <v>Instalation Cost :</v>
      </c>
      <c r="D59" s="2353"/>
      <c r="E59" s="2353"/>
      <c r="F59" s="2353">
        <v>245000000</v>
      </c>
      <c r="G59" s="2353"/>
      <c r="H59" s="2353">
        <f>SUM('[100]QTN (8%)Ppn'!$M$28:$M$29)</f>
        <v>222727272.727273</v>
      </c>
      <c r="I59" s="2353">
        <f>+F59-H59</f>
        <v>22272727.2727273</v>
      </c>
      <c r="J59" s="2366">
        <f>+I59/F59</f>
        <v>0.0909090909090908</v>
      </c>
      <c r="K59" s="2353"/>
      <c r="L59" s="2353"/>
      <c r="M59" s="2353"/>
      <c r="N59" s="2353"/>
      <c r="O59" s="2353"/>
      <c r="P59" s="2353"/>
      <c r="Q59" s="2353"/>
      <c r="R59" s="2353"/>
      <c r="S59" s="2353"/>
      <c r="T59" s="2353"/>
      <c r="U59" s="2353"/>
      <c r="V59" s="2383"/>
      <c r="W59" s="2351"/>
      <c r="X59" s="2351"/>
      <c r="Y59" s="2351"/>
    </row>
    <row r="60" ht="11.4" spans="1:25">
      <c r="A60" s="2351"/>
      <c r="B60" s="2351"/>
      <c r="C60" s="2352" t="str">
        <f>+'[100]QTN (8%)Ppn'!$C$31</f>
        <v>Mechanical &amp; Electrical</v>
      </c>
      <c r="D60" s="2353"/>
      <c r="E60" s="2353"/>
      <c r="F60" s="2353">
        <v>1194500000</v>
      </c>
      <c r="G60" s="2353"/>
      <c r="H60" s="2353">
        <f>SUM('[100]QTN (8%)Ppn'!$M$32:$M$36)</f>
        <v>1085909090.90909</v>
      </c>
      <c r="I60" s="2353">
        <f>+F60-H60</f>
        <v>108590909.090909</v>
      </c>
      <c r="J60" s="2366">
        <f>+I60/F60</f>
        <v>0.0909090909090908</v>
      </c>
      <c r="K60" s="2353"/>
      <c r="L60" s="2353"/>
      <c r="M60" s="2353"/>
      <c r="N60" s="2353"/>
      <c r="O60" s="2353"/>
      <c r="P60" s="2353"/>
      <c r="Q60" s="2353"/>
      <c r="R60" s="2353"/>
      <c r="S60" s="2353"/>
      <c r="T60" s="2353"/>
      <c r="U60" s="2353"/>
      <c r="V60" s="2383"/>
      <c r="W60" s="2351"/>
      <c r="X60" s="2351"/>
      <c r="Y60" s="2351"/>
    </row>
    <row r="61" ht="11.4" spans="1:25">
      <c r="A61" s="2351"/>
      <c r="B61" s="2351"/>
      <c r="C61" s="2352" t="str">
        <f>+'[100]QTN (8%)Ppn'!$C$38</f>
        <v>Piping</v>
      </c>
      <c r="D61" s="2353"/>
      <c r="E61" s="2353"/>
      <c r="F61" s="2353">
        <v>295000000</v>
      </c>
      <c r="G61" s="2353"/>
      <c r="H61" s="2353">
        <f>+'[100]QTN (8%)Ppn'!$M$39</f>
        <v>268181818.181818</v>
      </c>
      <c r="I61" s="2353">
        <f>+F61-H61</f>
        <v>26818181.8181818</v>
      </c>
      <c r="J61" s="2366">
        <f>+I61/F61</f>
        <v>0.0909090909090909</v>
      </c>
      <c r="K61" s="2353"/>
      <c r="L61" s="2353"/>
      <c r="M61" s="2353"/>
      <c r="N61" s="2353"/>
      <c r="O61" s="2353"/>
      <c r="P61" s="2353"/>
      <c r="Q61" s="2353"/>
      <c r="R61" s="2353"/>
      <c r="S61" s="2353"/>
      <c r="T61" s="2353"/>
      <c r="U61" s="2353"/>
      <c r="V61" s="2383"/>
      <c r="W61" s="2351"/>
      <c r="X61" s="2351"/>
      <c r="Y61" s="2351"/>
    </row>
    <row r="62" ht="11.4" spans="1:25">
      <c r="A62" s="2351"/>
      <c r="B62" s="2351"/>
      <c r="C62" s="2352" t="str">
        <f>+'[100]QTN (8%)Ppn'!$C$42</f>
        <v>Overhead Cost :</v>
      </c>
      <c r="D62" s="2353"/>
      <c r="E62" s="2353"/>
      <c r="F62" s="2357">
        <v>1738694012.2</v>
      </c>
      <c r="G62" s="2358"/>
      <c r="H62" s="2358">
        <f>SUM('[100]QTN (8%)Ppn'!$M$43:$M$47)</f>
        <v>893378715</v>
      </c>
      <c r="I62" s="2358">
        <f>+F62-H62</f>
        <v>845315297.2</v>
      </c>
      <c r="J62" s="2366">
        <f>+I62/F62</f>
        <v>0.486178298923574</v>
      </c>
      <c r="K62" s="2353"/>
      <c r="L62" s="2353"/>
      <c r="M62" s="2353"/>
      <c r="N62" s="2353"/>
      <c r="O62" s="2353"/>
      <c r="P62" s="2353"/>
      <c r="Q62" s="2353"/>
      <c r="R62" s="2353"/>
      <c r="S62" s="2353"/>
      <c r="T62" s="2353"/>
      <c r="U62" s="2353"/>
      <c r="V62" s="2383"/>
      <c r="W62" s="2351"/>
      <c r="X62" s="2351"/>
      <c r="Y62" s="2351"/>
    </row>
    <row r="63" ht="11.4" spans="1:25">
      <c r="A63" s="2351"/>
      <c r="B63" s="2351"/>
      <c r="C63" s="2352" t="s">
        <v>151</v>
      </c>
      <c r="D63" s="2353"/>
      <c r="E63" s="2353"/>
      <c r="F63" s="2359">
        <f>SUM(F59:F62)</f>
        <v>3473194012.2</v>
      </c>
      <c r="G63" s="2353"/>
      <c r="H63" s="2359">
        <f>SUM(H59:H62)</f>
        <v>2470196896.81818</v>
      </c>
      <c r="I63" s="2359">
        <f>SUM(I59:I62)</f>
        <v>1002997115.38182</v>
      </c>
      <c r="J63" s="2353"/>
      <c r="K63" s="2353"/>
      <c r="L63" s="2353"/>
      <c r="M63" s="2353"/>
      <c r="N63" s="2353"/>
      <c r="O63" s="2353"/>
      <c r="P63" s="2353"/>
      <c r="Q63" s="2353"/>
      <c r="R63" s="2353"/>
      <c r="S63" s="2353"/>
      <c r="T63" s="2353"/>
      <c r="U63" s="2353"/>
      <c r="V63" s="2383"/>
      <c r="W63" s="2351"/>
      <c r="X63" s="2351"/>
      <c r="Y63" s="2351"/>
    </row>
    <row r="64" ht="11.4" spans="1:25">
      <c r="A64" s="2351"/>
      <c r="B64" s="2351"/>
      <c r="C64" s="2352" t="s">
        <v>12305</v>
      </c>
      <c r="D64" s="2353"/>
      <c r="E64" s="2353"/>
      <c r="F64" s="2360">
        <f>+F57+F63</f>
        <v>11411756512.2</v>
      </c>
      <c r="G64" s="2360"/>
      <c r="H64" s="2360">
        <f>+H57+H63</f>
        <v>9222656896.81818</v>
      </c>
      <c r="I64" s="2360">
        <f>+I57+I63</f>
        <v>2189099615.38182</v>
      </c>
      <c r="J64" s="2353"/>
      <c r="K64" s="2353"/>
      <c r="L64" s="2353"/>
      <c r="M64" s="2353"/>
      <c r="N64" s="2353"/>
      <c r="O64" s="2353"/>
      <c r="P64" s="2353"/>
      <c r="Q64" s="2353"/>
      <c r="R64" s="2353"/>
      <c r="S64" s="2353"/>
      <c r="T64" s="2353"/>
      <c r="U64" s="2353"/>
      <c r="V64" s="2383"/>
      <c r="W64" s="2351"/>
      <c r="X64" s="2351"/>
      <c r="Y64" s="2351"/>
    </row>
    <row r="65" ht="11.4" spans="1:25">
      <c r="A65" s="2351"/>
      <c r="B65" s="2351"/>
      <c r="C65" s="2384"/>
      <c r="D65" s="2353"/>
      <c r="E65" s="2353"/>
      <c r="F65" s="2353"/>
      <c r="G65" s="2353"/>
      <c r="H65" s="2353"/>
      <c r="I65" s="2353"/>
      <c r="J65" s="2353"/>
      <c r="K65" s="2353"/>
      <c r="L65" s="2353"/>
      <c r="M65" s="2353"/>
      <c r="N65" s="2353"/>
      <c r="O65" s="2353"/>
      <c r="P65" s="2353"/>
      <c r="Q65" s="2353"/>
      <c r="R65" s="2353"/>
      <c r="S65" s="2353"/>
      <c r="T65" s="2353"/>
      <c r="U65" s="2353"/>
      <c r="V65" s="2383"/>
      <c r="W65" s="2351"/>
      <c r="X65" s="2351"/>
      <c r="Y65" s="2351"/>
    </row>
    <row r="66" ht="11.4" spans="1:25">
      <c r="A66" s="2351"/>
      <c r="B66" s="2351"/>
      <c r="C66" s="2352" t="s">
        <v>12306</v>
      </c>
      <c r="D66" s="2353"/>
      <c r="E66" s="2353"/>
      <c r="F66" s="2353">
        <f>+I76</f>
        <v>8559736400</v>
      </c>
      <c r="G66" s="2353"/>
      <c r="H66" s="2353"/>
      <c r="I66" s="2353"/>
      <c r="J66" s="2353"/>
      <c r="K66" s="2353"/>
      <c r="L66" s="2353"/>
      <c r="M66" s="2353"/>
      <c r="N66" s="2353"/>
      <c r="O66" s="2353"/>
      <c r="P66" s="2353"/>
      <c r="Q66" s="2353"/>
      <c r="R66" s="2353"/>
      <c r="S66" s="2353"/>
      <c r="T66" s="2353"/>
      <c r="U66" s="2353"/>
      <c r="V66" s="2383"/>
      <c r="W66" s="2351"/>
      <c r="X66" s="2351"/>
      <c r="Y66" s="2351"/>
    </row>
    <row r="67" ht="11.4" spans="1:25">
      <c r="A67" s="2351"/>
      <c r="B67" s="2351"/>
      <c r="C67" s="2352" t="s">
        <v>12307</v>
      </c>
      <c r="D67" s="2353"/>
      <c r="E67" s="2353"/>
      <c r="F67" s="2353">
        <f>+F64-F66</f>
        <v>2852020112.2</v>
      </c>
      <c r="G67" s="2353"/>
      <c r="H67" s="2353"/>
      <c r="I67" s="2353"/>
      <c r="J67" s="2353"/>
      <c r="K67" s="2353"/>
      <c r="L67" s="2353"/>
      <c r="M67" s="2353"/>
      <c r="N67" s="2353"/>
      <c r="O67" s="2353"/>
      <c r="P67" s="2353"/>
      <c r="Q67" s="2353"/>
      <c r="R67" s="2353"/>
      <c r="S67" s="2353"/>
      <c r="T67" s="2353"/>
      <c r="U67" s="2353"/>
      <c r="V67" s="2383"/>
      <c r="W67" s="2351"/>
      <c r="X67" s="2351"/>
      <c r="Y67" s="2351"/>
    </row>
    <row r="68" ht="11.4" spans="1:25">
      <c r="A68" s="2351"/>
      <c r="B68" s="2351"/>
      <c r="C68" s="2384"/>
      <c r="D68" s="2353"/>
      <c r="E68" s="2353"/>
      <c r="F68" s="2353"/>
      <c r="G68" s="2353"/>
      <c r="H68" s="2353"/>
      <c r="I68" s="2353"/>
      <c r="J68" s="2353"/>
      <c r="K68" s="2353"/>
      <c r="L68" s="2353"/>
      <c r="M68" s="2353"/>
      <c r="N68" s="2353"/>
      <c r="O68" s="2353"/>
      <c r="P68" s="2353"/>
      <c r="Q68" s="2353"/>
      <c r="R68" s="2353"/>
      <c r="S68" s="2353"/>
      <c r="T68" s="2353"/>
      <c r="U68" s="2353"/>
      <c r="V68" s="2383"/>
      <c r="W68" s="2351"/>
      <c r="X68" s="2351"/>
      <c r="Y68" s="2351"/>
    </row>
    <row r="69" ht="12" spans="1:25">
      <c r="A69" s="2351"/>
      <c r="B69" s="2351"/>
      <c r="C69" s="2385" t="s">
        <v>12308</v>
      </c>
      <c r="D69" s="2353"/>
      <c r="E69" s="2353"/>
      <c r="F69" s="2353"/>
      <c r="G69" s="2353"/>
      <c r="H69" s="2353"/>
      <c r="I69" s="2353"/>
      <c r="J69" s="2353"/>
      <c r="K69" s="2353"/>
      <c r="L69" s="2353"/>
      <c r="M69" s="2353"/>
      <c r="N69" s="2353"/>
      <c r="O69" s="2353"/>
      <c r="P69" s="2353"/>
      <c r="Q69" s="2353"/>
      <c r="R69" s="2353"/>
      <c r="S69" s="2353"/>
      <c r="T69" s="2353"/>
      <c r="U69" s="2353"/>
      <c r="V69" s="2383"/>
      <c r="W69" s="2351"/>
      <c r="X69" s="2351"/>
      <c r="Y69" s="2351"/>
    </row>
    <row r="70" ht="11.4" spans="1:25">
      <c r="A70" s="2351"/>
      <c r="B70" s="2351"/>
      <c r="C70" s="2384" t="str">
        <f t="shared" ref="C70:C75" si="10">+C117</f>
        <v>ditahun 2022 atas invetsasi tersebut telah disesuaikan sehubungan dengan</v>
      </c>
      <c r="D70" s="2353"/>
      <c r="E70" s="2353"/>
      <c r="F70" s="2353"/>
      <c r="G70" s="2353"/>
      <c r="H70" s="2353"/>
      <c r="I70" s="2353"/>
      <c r="J70" s="2353"/>
      <c r="K70" s="2353"/>
      <c r="L70" s="2353"/>
      <c r="M70" s="2353"/>
      <c r="N70" s="2353"/>
      <c r="O70" s="2353"/>
      <c r="P70" s="2353"/>
      <c r="Q70" s="2353"/>
      <c r="R70" s="2353"/>
      <c r="S70" s="2353"/>
      <c r="T70" s="2353"/>
      <c r="U70" s="2353"/>
      <c r="V70" s="2383"/>
      <c r="W70" s="2351"/>
      <c r="X70" s="2351"/>
      <c r="Y70" s="2351"/>
    </row>
    <row r="71" ht="11.4" spans="1:25">
      <c r="A71" s="2351"/>
      <c r="B71" s="2351"/>
      <c r="C71" s="2384" t="str">
        <f t="shared" si="10"/>
        <v>pembayaran cicilan pokok dan bunga yg dibyrkn oleh pihak MEB, dengan rincian sbb :</v>
      </c>
      <c r="D71" s="2353"/>
      <c r="E71" s="2353"/>
      <c r="F71" s="2353"/>
      <c r="G71" s="2353"/>
      <c r="H71" s="2353"/>
      <c r="I71" s="2353"/>
      <c r="J71" s="2353"/>
      <c r="K71" s="2353"/>
      <c r="L71" s="2353"/>
      <c r="M71" s="2353"/>
      <c r="N71" s="2353"/>
      <c r="O71" s="2353"/>
      <c r="P71" s="2353"/>
      <c r="Q71" s="2353"/>
      <c r="R71" s="2353"/>
      <c r="S71" s="2353"/>
      <c r="T71" s="2353"/>
      <c r="U71" s="2353"/>
      <c r="V71" s="2383"/>
      <c r="W71" s="2351"/>
      <c r="X71" s="2351"/>
      <c r="Y71" s="2351"/>
    </row>
    <row r="72" ht="11.4" spans="1:25">
      <c r="A72" s="2351"/>
      <c r="B72" s="2351"/>
      <c r="C72" s="2384" t="str">
        <f t="shared" si="10"/>
        <v>a. Angsuran Cicilan Pokok utang dan bunga di tahun 2020</v>
      </c>
      <c r="D72" s="2353"/>
      <c r="E72" s="2353"/>
      <c r="F72" s="2353"/>
      <c r="G72" s="2353"/>
      <c r="H72" s="2353"/>
      <c r="I72" s="2353">
        <v>1974346000</v>
      </c>
      <c r="J72" s="2353"/>
      <c r="K72" s="2353"/>
      <c r="L72" s="2353"/>
      <c r="M72" s="2353"/>
      <c r="N72" s="2353"/>
      <c r="O72" s="2353"/>
      <c r="P72" s="2353"/>
      <c r="Q72" s="2353"/>
      <c r="R72" s="2353"/>
      <c r="S72" s="2353"/>
      <c r="T72" s="2353"/>
      <c r="U72" s="2353"/>
      <c r="V72" s="2383"/>
      <c r="W72" s="2351"/>
      <c r="X72" s="2351"/>
      <c r="Y72" s="2351"/>
    </row>
    <row r="73" ht="11.4" spans="1:25">
      <c r="A73" s="2351"/>
      <c r="B73" s="2351"/>
      <c r="C73" s="2384" t="str">
        <f t="shared" si="10"/>
        <v>b. Angsuran Cicilan Pokok utang dan bunga di tahun 2021</v>
      </c>
      <c r="D73" s="2353"/>
      <c r="E73" s="2353"/>
      <c r="F73" s="2353"/>
      <c r="G73" s="2353"/>
      <c r="H73" s="2353"/>
      <c r="I73" s="2353">
        <v>2043595200</v>
      </c>
      <c r="J73" s="2353"/>
      <c r="K73" s="2353"/>
      <c r="L73" s="2353"/>
      <c r="M73" s="2353"/>
      <c r="N73" s="2353"/>
      <c r="O73" s="2353"/>
      <c r="P73" s="2353"/>
      <c r="Q73" s="2353"/>
      <c r="R73" s="2353"/>
      <c r="S73" s="2353"/>
      <c r="T73" s="2353"/>
      <c r="U73" s="2353"/>
      <c r="V73" s="2383"/>
      <c r="W73" s="2351"/>
      <c r="X73" s="2351"/>
      <c r="Y73" s="2351"/>
    </row>
    <row r="74" ht="11.4" spans="1:25">
      <c r="A74" s="2351"/>
      <c r="B74" s="2351"/>
      <c r="C74" s="2384" t="str">
        <f t="shared" si="10"/>
        <v>c. Angsuran Cicilan Pokok utang dan bunga di tahun 2022</v>
      </c>
      <c r="D74" s="2353"/>
      <c r="E74" s="2353"/>
      <c r="F74" s="2353"/>
      <c r="G74" s="2353"/>
      <c r="H74" s="2353"/>
      <c r="I74" s="2353">
        <v>2396795200</v>
      </c>
      <c r="J74" s="2353"/>
      <c r="K74" s="2353"/>
      <c r="L74" s="2353"/>
      <c r="M74" s="2353"/>
      <c r="N74" s="2353"/>
      <c r="O74" s="2353"/>
      <c r="P74" s="2353"/>
      <c r="Q74" s="2353"/>
      <c r="R74" s="2353"/>
      <c r="S74" s="2353"/>
      <c r="T74" s="2353"/>
      <c r="U74" s="2353"/>
      <c r="V74" s="2383"/>
      <c r="W74" s="2351"/>
      <c r="X74" s="2351"/>
      <c r="Y74" s="2351"/>
    </row>
    <row r="75" ht="11.4" spans="1:25">
      <c r="A75" s="2351"/>
      <c r="B75" s="2351"/>
      <c r="C75" s="2384" t="str">
        <f t="shared" si="10"/>
        <v>d. Pembayaran diluar kompresor</v>
      </c>
      <c r="D75" s="2353"/>
      <c r="E75" s="2353"/>
      <c r="F75" s="2353"/>
      <c r="G75" s="2353"/>
      <c r="H75" s="2353"/>
      <c r="I75" s="2403">
        <v>2145000000</v>
      </c>
      <c r="J75" s="2353"/>
      <c r="K75" s="2353"/>
      <c r="L75" s="2353"/>
      <c r="M75" s="2353"/>
      <c r="N75" s="2353"/>
      <c r="O75" s="2353"/>
      <c r="P75" s="2353"/>
      <c r="Q75" s="2353"/>
      <c r="R75" s="2353"/>
      <c r="S75" s="2353"/>
      <c r="T75" s="2353"/>
      <c r="U75" s="2353"/>
      <c r="V75" s="2383"/>
      <c r="W75" s="2351"/>
      <c r="X75" s="2351"/>
      <c r="Y75" s="2351"/>
    </row>
    <row r="76" ht="12" spans="1:25">
      <c r="A76" s="2351"/>
      <c r="B76" s="2351"/>
      <c r="C76" s="2384"/>
      <c r="D76" s="2353" t="s">
        <v>12309</v>
      </c>
      <c r="E76" s="2353"/>
      <c r="F76" s="2353"/>
      <c r="G76" s="2353"/>
      <c r="H76" s="2353"/>
      <c r="I76" s="2404">
        <f>SUM(I72:I75)</f>
        <v>8559736400</v>
      </c>
      <c r="J76" s="2353"/>
      <c r="K76" s="2353"/>
      <c r="L76" s="2353"/>
      <c r="M76" s="2353"/>
      <c r="N76" s="2353"/>
      <c r="O76" s="2353"/>
      <c r="P76" s="2353"/>
      <c r="Q76" s="2353"/>
      <c r="R76" s="2353"/>
      <c r="S76" s="2353"/>
      <c r="T76" s="2353"/>
      <c r="U76" s="2353"/>
      <c r="V76" s="2383"/>
      <c r="W76" s="2351"/>
      <c r="X76" s="2351"/>
      <c r="Y76" s="2351"/>
    </row>
    <row r="77" ht="11.4" spans="1:25">
      <c r="A77" s="2351"/>
      <c r="B77" s="2351"/>
      <c r="C77" s="2384"/>
      <c r="D77" s="2353"/>
      <c r="E77" s="2353"/>
      <c r="F77" s="2353"/>
      <c r="G77" s="2353"/>
      <c r="H77" s="2353"/>
      <c r="I77" s="2353"/>
      <c r="J77" s="2353"/>
      <c r="K77" s="2353"/>
      <c r="L77" s="2353"/>
      <c r="M77" s="2353"/>
      <c r="N77" s="2353"/>
      <c r="O77" s="2353"/>
      <c r="P77" s="2353"/>
      <c r="Q77" s="2353"/>
      <c r="R77" s="2353"/>
      <c r="S77" s="2353"/>
      <c r="T77" s="2353"/>
      <c r="U77" s="2353"/>
      <c r="V77" s="2383"/>
      <c r="W77" s="2351"/>
      <c r="X77" s="2351"/>
      <c r="Y77" s="2351"/>
    </row>
    <row r="78" ht="11.4" spans="1:25">
      <c r="A78" s="2351"/>
      <c r="B78" s="2351"/>
      <c r="C78" s="2384"/>
      <c r="D78" s="2353"/>
      <c r="E78" s="2353"/>
      <c r="F78" s="2353"/>
      <c r="G78" s="2353"/>
      <c r="H78" s="2353"/>
      <c r="I78" s="2353"/>
      <c r="J78" s="2353"/>
      <c r="K78" s="2353"/>
      <c r="L78" s="2353"/>
      <c r="M78" s="2353"/>
      <c r="N78" s="2353"/>
      <c r="O78" s="2353"/>
      <c r="P78" s="2353"/>
      <c r="Q78" s="2353"/>
      <c r="R78" s="2353"/>
      <c r="S78" s="2353"/>
      <c r="T78" s="2353"/>
      <c r="U78" s="2353"/>
      <c r="V78" s="2383"/>
      <c r="W78" s="2351"/>
      <c r="X78" s="2351"/>
      <c r="Y78" s="2351"/>
    </row>
    <row r="79" ht="11.4" spans="1:25">
      <c r="A79" s="2351"/>
      <c r="B79" s="2351"/>
      <c r="C79" s="2384" t="s">
        <v>12310</v>
      </c>
      <c r="D79" s="2353"/>
      <c r="E79" s="2353"/>
      <c r="F79" s="2353"/>
      <c r="G79" s="2353"/>
      <c r="H79" s="2353"/>
      <c r="I79" s="2353"/>
      <c r="J79" s="2353"/>
      <c r="K79" s="2353"/>
      <c r="L79" s="2353"/>
      <c r="M79" s="2353"/>
      <c r="N79" s="2353"/>
      <c r="O79" s="2353"/>
      <c r="P79" s="2353"/>
      <c r="Q79" s="2353"/>
      <c r="R79" s="2353"/>
      <c r="S79" s="2353"/>
      <c r="T79" s="2353"/>
      <c r="U79" s="2353"/>
      <c r="V79" s="2383"/>
      <c r="W79" s="2351"/>
      <c r="X79" s="2351"/>
      <c r="Y79" s="2351"/>
    </row>
    <row r="80" ht="11.4" spans="1:25">
      <c r="A80" s="2351"/>
      <c r="B80" s="2351"/>
      <c r="C80" s="2386" t="str">
        <f>+H!C162</f>
        <v>D bank</v>
      </c>
      <c r="D80" s="2387"/>
      <c r="E80" s="2387"/>
      <c r="F80" s="2387">
        <f>+I75</f>
        <v>2145000000</v>
      </c>
      <c r="G80" s="2353"/>
      <c r="H80" s="2388" t="s">
        <v>12311</v>
      </c>
      <c r="I80" s="2353"/>
      <c r="J80" s="2353"/>
      <c r="K80" s="2353"/>
      <c r="L80" s="2353"/>
      <c r="M80" s="2353"/>
      <c r="N80" s="2353"/>
      <c r="O80" s="2353"/>
      <c r="P80" s="2353"/>
      <c r="Q80" s="2353"/>
      <c r="R80" s="2353"/>
      <c r="S80" s="2353"/>
      <c r="T80" s="2353"/>
      <c r="U80" s="2353"/>
      <c r="V80" s="2383"/>
      <c r="W80" s="2351"/>
      <c r="X80" s="2351"/>
      <c r="Y80" s="2351"/>
    </row>
    <row r="81" ht="11.4" spans="1:25">
      <c r="A81" s="2351"/>
      <c r="B81" s="2351"/>
      <c r="C81" s="2386" t="str">
        <f>+H!C163</f>
        <v>K utang lain2 MEB kompresor</v>
      </c>
      <c r="D81" s="2387"/>
      <c r="E81" s="2387"/>
      <c r="F81" s="2387"/>
      <c r="G81" s="2353"/>
      <c r="H81" s="2353"/>
      <c r="I81" s="2353"/>
      <c r="J81" s="2353"/>
      <c r="K81" s="2353"/>
      <c r="L81" s="2353"/>
      <c r="M81" s="2353"/>
      <c r="N81" s="2353"/>
      <c r="O81" s="2353"/>
      <c r="P81" s="2353"/>
      <c r="Q81" s="2353"/>
      <c r="R81" s="2353"/>
      <c r="S81" s="2353"/>
      <c r="T81" s="2353"/>
      <c r="U81" s="2353"/>
      <c r="V81" s="2383"/>
      <c r="W81" s="2351"/>
      <c r="X81" s="2351"/>
      <c r="Y81" s="2351"/>
    </row>
    <row r="82" ht="11.4" spans="1:25">
      <c r="A82" s="2351"/>
      <c r="B82" s="2351"/>
      <c r="C82" s="2384"/>
      <c r="D82" s="2353"/>
      <c r="E82" s="2353"/>
      <c r="F82" s="2353"/>
      <c r="G82" s="2353"/>
      <c r="H82" s="2353"/>
      <c r="I82" s="2353"/>
      <c r="J82" s="2353"/>
      <c r="K82" s="2353"/>
      <c r="L82" s="2353"/>
      <c r="M82" s="2353"/>
      <c r="N82" s="2353"/>
      <c r="O82" s="2353"/>
      <c r="P82" s="2353"/>
      <c r="Q82" s="2353"/>
      <c r="R82" s="2353"/>
      <c r="S82" s="2353"/>
      <c r="T82" s="2353"/>
      <c r="U82" s="2353"/>
      <c r="V82" s="2383"/>
      <c r="W82" s="2351"/>
      <c r="X82" s="2351"/>
      <c r="Y82" s="2351"/>
    </row>
    <row r="83" ht="11.4" spans="1:25">
      <c r="A83" s="2351"/>
      <c r="B83" s="2351"/>
      <c r="C83" s="2384" t="s">
        <v>12312</v>
      </c>
      <c r="D83" s="2353"/>
      <c r="E83" s="2353"/>
      <c r="F83" s="2353"/>
      <c r="G83" s="2353"/>
      <c r="H83" s="2353"/>
      <c r="I83" s="2353"/>
      <c r="J83" s="2353"/>
      <c r="K83" s="2353"/>
      <c r="L83" s="2353"/>
      <c r="M83" s="2353"/>
      <c r="N83" s="2353"/>
      <c r="O83" s="2353"/>
      <c r="P83" s="2353"/>
      <c r="Q83" s="2353"/>
      <c r="R83" s="2353"/>
      <c r="S83" s="2353"/>
      <c r="T83" s="2353"/>
      <c r="U83" s="2353"/>
      <c r="V83" s="2383"/>
      <c r="W83" s="2351"/>
      <c r="X83" s="2351"/>
      <c r="Y83" s="2351"/>
    </row>
    <row r="84" ht="11.4" spans="1:25">
      <c r="A84" s="2351"/>
      <c r="B84" s="2351"/>
      <c r="C84" s="2384" t="s">
        <v>12313</v>
      </c>
      <c r="D84" s="2353"/>
      <c r="E84" s="2353"/>
      <c r="F84" s="2353"/>
      <c r="G84" s="2353"/>
      <c r="H84" s="2353"/>
      <c r="I84" s="2353"/>
      <c r="J84" s="2353"/>
      <c r="K84" s="2353"/>
      <c r="L84" s="2353"/>
      <c r="M84" s="2353"/>
      <c r="N84" s="2353"/>
      <c r="O84" s="2353"/>
      <c r="P84" s="2353"/>
      <c r="Q84" s="2353"/>
      <c r="R84" s="2353"/>
      <c r="S84" s="2353"/>
      <c r="T84" s="2353"/>
      <c r="U84" s="2353"/>
      <c r="V84" s="2383"/>
      <c r="W84" s="2351"/>
      <c r="X84" s="2351"/>
      <c r="Y84" s="2351"/>
    </row>
    <row r="85" ht="11.4" spans="1:25">
      <c r="A85" s="2351"/>
      <c r="B85" s="2351"/>
      <c r="C85" s="2384"/>
      <c r="D85" s="2353"/>
      <c r="E85" s="2353"/>
      <c r="F85" s="2353"/>
      <c r="G85" s="2353"/>
      <c r="H85" s="2353"/>
      <c r="I85" s="2353"/>
      <c r="J85" s="2353"/>
      <c r="K85" s="2353"/>
      <c r="L85" s="2353"/>
      <c r="M85" s="2353"/>
      <c r="N85" s="2353"/>
      <c r="O85" s="2353"/>
      <c r="P85" s="2353"/>
      <c r="Q85" s="2353"/>
      <c r="R85" s="2353"/>
      <c r="S85" s="2353"/>
      <c r="T85" s="2353"/>
      <c r="U85" s="2353"/>
      <c r="V85" s="2383"/>
      <c r="W85" s="2351"/>
      <c r="X85" s="2351"/>
      <c r="Y85" s="2351"/>
    </row>
    <row r="86" ht="11.4" spans="1:25">
      <c r="A86" s="2351"/>
      <c r="B86" s="2351"/>
      <c r="C86" s="2384"/>
      <c r="D86" s="2353"/>
      <c r="E86" s="2353"/>
      <c r="F86" s="2353"/>
      <c r="G86" s="2353"/>
      <c r="H86" s="2353"/>
      <c r="I86" s="2353"/>
      <c r="J86" s="2353"/>
      <c r="K86" s="2353"/>
      <c r="L86" s="2353"/>
      <c r="M86" s="2353"/>
      <c r="N86" s="2353"/>
      <c r="O86" s="2353"/>
      <c r="P86" s="2353"/>
      <c r="Q86" s="2353"/>
      <c r="R86" s="2353"/>
      <c r="S86" s="2353"/>
      <c r="T86" s="2353"/>
      <c r="U86" s="2353"/>
      <c r="V86" s="2383"/>
      <c r="W86" s="2351"/>
      <c r="X86" s="2351"/>
      <c r="Y86" s="2351"/>
    </row>
    <row r="87" ht="12" spans="1:25">
      <c r="A87" s="2351"/>
      <c r="B87" s="2351"/>
      <c r="C87" s="2385" t="s">
        <v>12314</v>
      </c>
      <c r="D87" s="2353"/>
      <c r="E87" s="2353"/>
      <c r="F87" s="2353"/>
      <c r="G87" s="2353"/>
      <c r="H87" s="2353"/>
      <c r="I87" s="2353"/>
      <c r="J87" s="2353"/>
      <c r="K87" s="2353"/>
      <c r="L87" s="2353"/>
      <c r="M87" s="2353"/>
      <c r="N87" s="2353"/>
      <c r="O87" s="2353"/>
      <c r="P87" s="2353"/>
      <c r="Q87" s="2353"/>
      <c r="R87" s="2353"/>
      <c r="S87" s="2353"/>
      <c r="T87" s="2353"/>
      <c r="U87" s="2353"/>
      <c r="V87" s="2383"/>
      <c r="W87" s="2351"/>
      <c r="X87" s="2351"/>
      <c r="Y87" s="2351"/>
    </row>
    <row r="88" ht="11.4" spans="1:25">
      <c r="A88" s="2351"/>
      <c r="B88" s="2351"/>
      <c r="C88" s="2384" t="s">
        <v>12315</v>
      </c>
      <c r="D88" s="2353"/>
      <c r="E88" s="2353"/>
      <c r="F88" s="2353"/>
      <c r="G88" s="2353"/>
      <c r="H88" s="2353"/>
      <c r="I88" s="2353"/>
      <c r="J88" s="2353"/>
      <c r="K88" s="2353"/>
      <c r="L88" s="2353"/>
      <c r="M88" s="2353"/>
      <c r="N88" s="2353"/>
      <c r="O88" s="2353"/>
      <c r="P88" s="2353"/>
      <c r="Q88" s="2353"/>
      <c r="R88" s="2353"/>
      <c r="S88" s="2353"/>
      <c r="T88" s="2353"/>
      <c r="U88" s="2353"/>
      <c r="V88" s="2383"/>
      <c r="W88" s="2351"/>
      <c r="X88" s="2351"/>
      <c r="Y88" s="2351"/>
    </row>
    <row r="89" ht="11.4" spans="1:25">
      <c r="A89" s="2351"/>
      <c r="B89" s="2351"/>
      <c r="C89" s="2384" t="s">
        <v>12316</v>
      </c>
      <c r="D89" s="2353"/>
      <c r="E89" s="2353"/>
      <c r="F89" s="2353"/>
      <c r="G89" s="2353"/>
      <c r="H89" s="2353"/>
      <c r="I89" s="2353"/>
      <c r="J89" s="2353"/>
      <c r="K89" s="2353"/>
      <c r="L89" s="2353"/>
      <c r="M89" s="2353"/>
      <c r="N89" s="2353"/>
      <c r="O89" s="2353"/>
      <c r="P89" s="2353"/>
      <c r="Q89" s="2353"/>
      <c r="R89" s="2353"/>
      <c r="S89" s="2353"/>
      <c r="T89" s="2353"/>
      <c r="U89" s="2353"/>
      <c r="V89" s="2383"/>
      <c r="W89" s="2351"/>
      <c r="X89" s="2351"/>
      <c r="Y89" s="2351"/>
    </row>
    <row r="90" ht="11.4" spans="1:25">
      <c r="A90" s="2351"/>
      <c r="B90" s="2351"/>
      <c r="C90" s="2384" t="s">
        <v>12317</v>
      </c>
      <c r="D90" s="2353"/>
      <c r="E90" s="2353"/>
      <c r="F90" s="2353"/>
      <c r="G90" s="2353"/>
      <c r="H90" s="2353"/>
      <c r="I90" s="2353"/>
      <c r="J90" s="2353"/>
      <c r="K90" s="2353"/>
      <c r="L90" s="2353"/>
      <c r="M90" s="2353"/>
      <c r="N90" s="2353"/>
      <c r="O90" s="2353"/>
      <c r="P90" s="2353"/>
      <c r="Q90" s="2353"/>
      <c r="R90" s="2353"/>
      <c r="S90" s="2353"/>
      <c r="T90" s="2353"/>
      <c r="U90" s="2353"/>
      <c r="V90" s="2383"/>
      <c r="W90" s="2351"/>
      <c r="X90" s="2351"/>
      <c r="Y90" s="2351"/>
    </row>
    <row r="91" ht="11.4" spans="1:25">
      <c r="A91" s="2351"/>
      <c r="B91" s="2351"/>
      <c r="C91" s="2384" t="s">
        <v>12318</v>
      </c>
      <c r="D91" s="2353"/>
      <c r="E91" s="2353"/>
      <c r="F91" s="2353"/>
      <c r="G91" s="2353"/>
      <c r="H91" s="2353"/>
      <c r="I91" s="2353"/>
      <c r="J91" s="2353"/>
      <c r="K91" s="2353"/>
      <c r="L91" s="2353"/>
      <c r="M91" s="2353"/>
      <c r="N91" s="2353"/>
      <c r="O91" s="2353"/>
      <c r="P91" s="2353"/>
      <c r="Q91" s="2353"/>
      <c r="R91" s="2353"/>
      <c r="S91" s="2353"/>
      <c r="T91" s="2353"/>
      <c r="U91" s="2353"/>
      <c r="V91" s="2383"/>
      <c r="W91" s="2351"/>
      <c r="X91" s="2351"/>
      <c r="Y91" s="2351"/>
    </row>
    <row r="92" ht="11.4" spans="1:25">
      <c r="A92" s="2351"/>
      <c r="B92" s="2351"/>
      <c r="C92" s="2384" t="s">
        <v>12319</v>
      </c>
      <c r="D92" s="2353"/>
      <c r="E92" s="2353"/>
      <c r="F92" s="2353"/>
      <c r="G92" s="2353" t="s">
        <v>1207</v>
      </c>
      <c r="H92" s="2353">
        <v>42376255894</v>
      </c>
      <c r="I92" s="2353"/>
      <c r="J92" s="2353"/>
      <c r="K92" s="2353"/>
      <c r="L92" s="2353"/>
      <c r="M92" s="2353"/>
      <c r="N92" s="2353"/>
      <c r="O92" s="2353"/>
      <c r="P92" s="2353"/>
      <c r="Q92" s="2353"/>
      <c r="R92" s="2353"/>
      <c r="S92" s="2353"/>
      <c r="T92" s="2353"/>
      <c r="U92" s="2353"/>
      <c r="V92" s="2383"/>
      <c r="W92" s="2351"/>
      <c r="X92" s="2351"/>
      <c r="Y92" s="2351"/>
    </row>
    <row r="93" ht="11.4" spans="1:25">
      <c r="A93" s="2351"/>
      <c r="B93" s="2351"/>
      <c r="C93" s="2384"/>
      <c r="D93" s="2353"/>
      <c r="E93" s="2353"/>
      <c r="F93" s="2353"/>
      <c r="G93" s="2353" t="s">
        <v>1169</v>
      </c>
      <c r="H93" s="2353">
        <f>+H92*11%</f>
        <v>4661388148.34</v>
      </c>
      <c r="I93" s="2353"/>
      <c r="J93" s="2353"/>
      <c r="K93" s="2353"/>
      <c r="L93" s="2353"/>
      <c r="M93" s="2353"/>
      <c r="N93" s="2353"/>
      <c r="O93" s="2353"/>
      <c r="P93" s="2353"/>
      <c r="Q93" s="2353"/>
      <c r="R93" s="2353"/>
      <c r="S93" s="2353"/>
      <c r="T93" s="2353"/>
      <c r="U93" s="2353"/>
      <c r="V93" s="2383"/>
      <c r="W93" s="2351"/>
      <c r="X93" s="2351"/>
      <c r="Y93" s="2351"/>
    </row>
    <row r="94" ht="11.4" spans="1:25">
      <c r="A94" s="2351"/>
      <c r="B94" s="2351"/>
      <c r="C94" s="2384"/>
      <c r="D94" s="2353"/>
      <c r="E94" s="2353"/>
      <c r="F94" s="2353"/>
      <c r="G94" s="2353" t="s">
        <v>1204</v>
      </c>
      <c r="H94" s="2353">
        <f>+H92+H93</f>
        <v>47037644042.34</v>
      </c>
      <c r="I94" s="2353"/>
      <c r="J94" s="2353"/>
      <c r="K94" s="2353"/>
      <c r="L94" s="2353"/>
      <c r="M94" s="2353"/>
      <c r="N94" s="2353"/>
      <c r="O94" s="2353"/>
      <c r="P94" s="2353"/>
      <c r="Q94" s="2353"/>
      <c r="R94" s="2353"/>
      <c r="S94" s="2353"/>
      <c r="T94" s="2353"/>
      <c r="U94" s="2353"/>
      <c r="V94" s="2383"/>
      <c r="W94" s="2351"/>
      <c r="X94" s="2351"/>
      <c r="Y94" s="2351"/>
    </row>
    <row r="95" ht="11.4" spans="1:25">
      <c r="A95" s="2351"/>
      <c r="B95" s="2351"/>
      <c r="C95" s="2384"/>
      <c r="D95" s="2353"/>
      <c r="E95" s="2353"/>
      <c r="F95" s="2353"/>
      <c r="G95" s="2353"/>
      <c r="H95" s="2353"/>
      <c r="I95" s="2353"/>
      <c r="J95" s="2353"/>
      <c r="K95" s="2353"/>
      <c r="L95" s="2353"/>
      <c r="M95" s="2353"/>
      <c r="N95" s="2353"/>
      <c r="O95" s="2353"/>
      <c r="P95" s="2353"/>
      <c r="Q95" s="2353"/>
      <c r="R95" s="2353"/>
      <c r="S95" s="2353"/>
      <c r="T95" s="2353"/>
      <c r="U95" s="2353"/>
      <c r="V95" s="2383"/>
      <c r="W95" s="2351"/>
      <c r="X95" s="2351"/>
      <c r="Y95" s="2351"/>
    </row>
    <row r="96" ht="12" spans="1:25">
      <c r="A96" s="2351"/>
      <c r="B96" s="2351"/>
      <c r="C96" s="2385" t="s">
        <v>12320</v>
      </c>
      <c r="D96" s="2353"/>
      <c r="E96" s="2353"/>
      <c r="F96" s="2353"/>
      <c r="G96" s="2353"/>
      <c r="H96" s="2353"/>
      <c r="I96" s="2353"/>
      <c r="J96" s="2353"/>
      <c r="K96" s="2353"/>
      <c r="L96" s="2353"/>
      <c r="M96" s="2353"/>
      <c r="N96" s="2353"/>
      <c r="O96" s="2353"/>
      <c r="P96" s="2353"/>
      <c r="Q96" s="2353"/>
      <c r="R96" s="2353"/>
      <c r="S96" s="2353"/>
      <c r="T96" s="2353"/>
      <c r="U96" s="2353"/>
      <c r="V96" s="2383"/>
      <c r="W96" s="2351"/>
      <c r="X96" s="2351"/>
      <c r="Y96" s="2351"/>
    </row>
    <row r="97" ht="11.4" spans="1:25">
      <c r="A97" s="2351"/>
      <c r="B97" s="2351"/>
      <c r="C97" s="2384" t="s">
        <v>12321</v>
      </c>
      <c r="D97" s="2353"/>
      <c r="E97" s="2353"/>
      <c r="F97" s="2353"/>
      <c r="G97" s="2353"/>
      <c r="H97" s="2353"/>
      <c r="I97" s="2353"/>
      <c r="J97" s="2353"/>
      <c r="K97" s="2353"/>
      <c r="L97" s="2353"/>
      <c r="M97" s="2353"/>
      <c r="N97" s="2353"/>
      <c r="O97" s="2353"/>
      <c r="P97" s="2353"/>
      <c r="Q97" s="2353"/>
      <c r="R97" s="2353"/>
      <c r="S97" s="2353"/>
      <c r="T97" s="2353"/>
      <c r="U97" s="2353"/>
      <c r="V97" s="2383"/>
      <c r="W97" s="2351"/>
      <c r="X97" s="2351"/>
      <c r="Y97" s="2351"/>
    </row>
    <row r="98" ht="11.4" spans="1:25">
      <c r="A98" s="2351"/>
      <c r="B98" s="2351"/>
      <c r="C98" s="2384" t="s">
        <v>12322</v>
      </c>
      <c r="D98" s="2353"/>
      <c r="E98" s="2353"/>
      <c r="F98" s="2353"/>
      <c r="G98" s="2353"/>
      <c r="H98" s="2353"/>
      <c r="I98" s="2353"/>
      <c r="J98" s="2353"/>
      <c r="K98" s="2353"/>
      <c r="L98" s="2353"/>
      <c r="M98" s="2353"/>
      <c r="N98" s="2353"/>
      <c r="O98" s="2353"/>
      <c r="P98" s="2353"/>
      <c r="Q98" s="2353"/>
      <c r="R98" s="2353"/>
      <c r="S98" s="2353"/>
      <c r="T98" s="2353"/>
      <c r="U98" s="2353"/>
      <c r="V98" s="2383"/>
      <c r="W98" s="2351"/>
      <c r="X98" s="2351"/>
      <c r="Y98" s="2351"/>
    </row>
    <row r="99" ht="11.4" spans="1:25">
      <c r="A99" s="2351"/>
      <c r="B99" s="2351"/>
      <c r="C99" s="2384" t="s">
        <v>12323</v>
      </c>
      <c r="D99" s="2353"/>
      <c r="E99" s="2353"/>
      <c r="F99" s="2353"/>
      <c r="G99" s="2353"/>
      <c r="H99" s="2353"/>
      <c r="I99" s="2353"/>
      <c r="J99" s="2353"/>
      <c r="K99" s="2353"/>
      <c r="L99" s="2353"/>
      <c r="M99" s="2353"/>
      <c r="N99" s="2353"/>
      <c r="O99" s="2353"/>
      <c r="P99" s="2353"/>
      <c r="Q99" s="2353"/>
      <c r="R99" s="2353"/>
      <c r="S99" s="2353"/>
      <c r="T99" s="2353"/>
      <c r="U99" s="2353"/>
      <c r="V99" s="2383"/>
      <c r="W99" s="2351"/>
      <c r="X99" s="2351"/>
      <c r="Y99" s="2351"/>
    </row>
    <row r="100" ht="11.4" spans="1:25">
      <c r="A100" s="2351"/>
      <c r="B100" s="2351"/>
      <c r="C100" s="2384" t="s">
        <v>12324</v>
      </c>
      <c r="D100" s="2353"/>
      <c r="E100" s="2353"/>
      <c r="F100" s="2353"/>
      <c r="G100" s="2353"/>
      <c r="H100" s="2353"/>
      <c r="I100" s="2353"/>
      <c r="J100" s="2353"/>
      <c r="K100" s="2353"/>
      <c r="L100" s="2353"/>
      <c r="M100" s="2353"/>
      <c r="N100" s="2353"/>
      <c r="O100" s="2353"/>
      <c r="P100" s="2353"/>
      <c r="Q100" s="2353"/>
      <c r="R100" s="2353"/>
      <c r="S100" s="2353"/>
      <c r="T100" s="2353"/>
      <c r="U100" s="2353"/>
      <c r="V100" s="2383"/>
      <c r="W100" s="2351"/>
      <c r="X100" s="2351"/>
      <c r="Y100" s="2351"/>
    </row>
    <row r="101" ht="11.4" spans="1:25">
      <c r="A101" s="2351"/>
      <c r="B101" s="2351"/>
      <c r="C101" s="2384"/>
      <c r="D101" s="2353"/>
      <c r="E101" s="2353"/>
      <c r="F101" s="2353"/>
      <c r="G101" s="2353"/>
      <c r="H101" s="2353"/>
      <c r="I101" s="2353"/>
      <c r="J101" s="2353"/>
      <c r="K101" s="2353"/>
      <c r="L101" s="2353"/>
      <c r="M101" s="2353"/>
      <c r="N101" s="2353"/>
      <c r="O101" s="2353"/>
      <c r="P101" s="2353"/>
      <c r="Q101" s="2353"/>
      <c r="R101" s="2353"/>
      <c r="S101" s="2353"/>
      <c r="T101" s="2353"/>
      <c r="U101" s="2353"/>
      <c r="V101" s="2383"/>
      <c r="W101" s="2351"/>
      <c r="X101" s="2351"/>
      <c r="Y101" s="2351"/>
    </row>
    <row r="102" ht="11.4" spans="1:25">
      <c r="A102" s="2351"/>
      <c r="B102" s="2351"/>
      <c r="C102" s="2384" t="s">
        <v>12325</v>
      </c>
      <c r="D102" s="2353"/>
      <c r="E102" s="2353"/>
      <c r="F102" s="2389">
        <v>2022</v>
      </c>
      <c r="G102" s="2353"/>
      <c r="H102" s="2389">
        <v>2021</v>
      </c>
      <c r="I102" s="2389">
        <v>2020</v>
      </c>
      <c r="J102" s="2389"/>
      <c r="K102" s="2389">
        <v>2019</v>
      </c>
      <c r="L102" s="2353"/>
      <c r="M102" s="2353"/>
      <c r="N102" s="2353"/>
      <c r="O102" s="2353"/>
      <c r="P102" s="2353"/>
      <c r="Q102" s="2353"/>
      <c r="R102" s="2353"/>
      <c r="S102" s="2353"/>
      <c r="T102" s="2353"/>
      <c r="U102" s="2353"/>
      <c r="V102" s="2383"/>
      <c r="W102" s="2351"/>
      <c r="X102" s="2351"/>
      <c r="Y102" s="2351"/>
    </row>
    <row r="103" ht="11.4" spans="1:25">
      <c r="A103" s="2351"/>
      <c r="B103" s="2351"/>
      <c r="C103" s="2384" t="s">
        <v>12326</v>
      </c>
      <c r="D103" s="2353"/>
      <c r="E103" s="2353"/>
      <c r="F103" s="2390">
        <f>+F15</f>
        <v>0</v>
      </c>
      <c r="G103" s="2353"/>
      <c r="H103" s="2391">
        <f>+I103</f>
        <v>0</v>
      </c>
      <c r="I103" s="2353">
        <f>+R15</f>
        <v>0</v>
      </c>
      <c r="J103" s="2353"/>
      <c r="K103" s="2353">
        <f>+[99]Loan!$H$46</f>
        <v>23031111006.6137</v>
      </c>
      <c r="L103" s="2353"/>
      <c r="M103" s="2353"/>
      <c r="N103" s="2353"/>
      <c r="O103" s="2353"/>
      <c r="P103" s="2353"/>
      <c r="Q103" s="2353"/>
      <c r="R103" s="2353"/>
      <c r="S103" s="2353"/>
      <c r="T103" s="2353"/>
      <c r="U103" s="2353"/>
      <c r="V103" s="2383"/>
      <c r="W103" s="2351"/>
      <c r="X103" s="2351"/>
      <c r="Y103" s="2351"/>
    </row>
    <row r="104" ht="11.4" spans="1:25">
      <c r="A104" s="2351"/>
      <c r="B104" s="2351"/>
      <c r="C104" s="2384" t="s">
        <v>12327</v>
      </c>
      <c r="D104" s="2353"/>
      <c r="E104" s="2353"/>
      <c r="F104" s="2353"/>
      <c r="G104" s="2353"/>
      <c r="H104" s="2358">
        <f>+D!L23+D!L15</f>
        <v>8876000000</v>
      </c>
      <c r="I104" s="2358">
        <f>+D!I39</f>
        <v>8876000000</v>
      </c>
      <c r="J104" s="2358"/>
      <c r="K104" s="2358">
        <f>+D!K39</f>
        <v>9201000000</v>
      </c>
      <c r="L104" s="2353"/>
      <c r="M104" s="2353"/>
      <c r="N104" s="2353"/>
      <c r="O104" s="2353"/>
      <c r="P104" s="2353"/>
      <c r="Q104" s="2353"/>
      <c r="R104" s="2353"/>
      <c r="S104" s="2353"/>
      <c r="T104" s="2353"/>
      <c r="U104" s="2353"/>
      <c r="V104" s="2383"/>
      <c r="W104" s="2351"/>
      <c r="X104" s="2351"/>
      <c r="Y104" s="2351"/>
    </row>
    <row r="105" ht="11.4" spans="1:25">
      <c r="A105" s="2351"/>
      <c r="B105" s="2351"/>
      <c r="C105" s="2384" t="s">
        <v>12328</v>
      </c>
      <c r="D105" s="2353"/>
      <c r="E105" s="2353"/>
      <c r="F105" s="2353"/>
      <c r="G105" s="2353"/>
      <c r="H105" s="2353">
        <f>+H103-H104</f>
        <v>-8876000000</v>
      </c>
      <c r="I105" s="2353">
        <f>+I103-I104</f>
        <v>-8876000000</v>
      </c>
      <c r="J105" s="2353"/>
      <c r="K105" s="2353">
        <f>+K103-K104</f>
        <v>13830111006.6137</v>
      </c>
      <c r="L105" s="2353"/>
      <c r="M105" s="2353"/>
      <c r="N105" s="2353"/>
      <c r="O105" s="2353"/>
      <c r="P105" s="2353"/>
      <c r="Q105" s="2353"/>
      <c r="R105" s="2353"/>
      <c r="S105" s="2353"/>
      <c r="T105" s="2353"/>
      <c r="U105" s="2353"/>
      <c r="V105" s="2383"/>
      <c r="W105" s="2351"/>
      <c r="X105" s="2351"/>
      <c r="Y105" s="2351"/>
    </row>
    <row r="106" ht="11.4" spans="1:25">
      <c r="A106" s="2351"/>
      <c r="B106" s="2351"/>
      <c r="C106" s="2384" t="s">
        <v>12329</v>
      </c>
      <c r="D106" s="2353"/>
      <c r="E106" s="2353"/>
      <c r="F106" s="2353"/>
      <c r="G106" s="2353"/>
      <c r="H106" s="2392">
        <f>+I106</f>
        <v>11436422794.532</v>
      </c>
      <c r="I106" s="2358">
        <f>+G!R19</f>
        <v>11436422794.532</v>
      </c>
      <c r="J106" s="2358"/>
      <c r="K106" s="2358">
        <f>+G!S19</f>
        <v>27146880180.8045</v>
      </c>
      <c r="L106" s="2353"/>
      <c r="M106" s="2353"/>
      <c r="N106" s="2353"/>
      <c r="O106" s="2353"/>
      <c r="P106" s="2353"/>
      <c r="Q106" s="2353"/>
      <c r="R106" s="2353"/>
      <c r="S106" s="2353"/>
      <c r="T106" s="2353"/>
      <c r="U106" s="2353"/>
      <c r="V106" s="2383"/>
      <c r="W106" s="2351"/>
      <c r="X106" s="2351"/>
      <c r="Y106" s="2351"/>
    </row>
    <row r="107" ht="11.4" spans="1:25">
      <c r="A107" s="2351"/>
      <c r="B107" s="2351"/>
      <c r="C107" s="2384"/>
      <c r="D107" s="2353"/>
      <c r="E107" s="2353"/>
      <c r="F107" s="2353"/>
      <c r="G107" s="2353"/>
      <c r="H107" s="2353">
        <f>+H105-H106</f>
        <v>-20312422794.532</v>
      </c>
      <c r="I107" s="2353">
        <f>+I105-I106</f>
        <v>-20312422794.532</v>
      </c>
      <c r="J107" s="2353"/>
      <c r="K107" s="2353">
        <f>+K105-K106</f>
        <v>-13316769174.1908</v>
      </c>
      <c r="L107" s="2353"/>
      <c r="M107" s="2353"/>
      <c r="N107" s="2353"/>
      <c r="O107" s="2353"/>
      <c r="P107" s="2353"/>
      <c r="Q107" s="2353"/>
      <c r="R107" s="2353"/>
      <c r="S107" s="2353"/>
      <c r="T107" s="2353"/>
      <c r="U107" s="2353"/>
      <c r="V107" s="2383"/>
      <c r="W107" s="2351"/>
      <c r="X107" s="2351"/>
      <c r="Y107" s="2351"/>
    </row>
    <row r="108" ht="11.4" spans="1:25">
      <c r="A108" s="2351"/>
      <c r="B108" s="2351"/>
      <c r="C108" s="2393" t="s">
        <v>12330</v>
      </c>
      <c r="D108" s="2353"/>
      <c r="E108" s="2353"/>
      <c r="F108" s="2353"/>
      <c r="G108" s="2353"/>
      <c r="H108" s="2353"/>
      <c r="I108" s="2353"/>
      <c r="J108" s="2353"/>
      <c r="K108" s="2353"/>
      <c r="L108" s="2353"/>
      <c r="M108" s="2353"/>
      <c r="N108" s="2353"/>
      <c r="O108" s="2353"/>
      <c r="P108" s="2353"/>
      <c r="Q108" s="2353"/>
      <c r="R108" s="2353"/>
      <c r="S108" s="2353"/>
      <c r="T108" s="2353"/>
      <c r="U108" s="2353"/>
      <c r="V108" s="2383"/>
      <c r="W108" s="2351"/>
      <c r="X108" s="2351"/>
      <c r="Y108" s="2351"/>
    </row>
    <row r="109" ht="11.4" spans="1:25">
      <c r="A109" s="2351"/>
      <c r="B109" s="2351"/>
      <c r="C109" s="2384"/>
      <c r="D109" s="2353"/>
      <c r="E109" s="2353"/>
      <c r="F109" s="2353"/>
      <c r="G109" s="2353"/>
      <c r="H109" s="2353"/>
      <c r="I109" s="2353"/>
      <c r="J109" s="2353"/>
      <c r="K109" s="2353"/>
      <c r="L109" s="2353"/>
      <c r="M109" s="2353"/>
      <c r="N109" s="2353"/>
      <c r="O109" s="2353"/>
      <c r="P109" s="2353"/>
      <c r="Q109" s="2353"/>
      <c r="R109" s="2353"/>
      <c r="S109" s="2353"/>
      <c r="T109" s="2353"/>
      <c r="U109" s="2353"/>
      <c r="V109" s="2383"/>
      <c r="W109" s="2351"/>
      <c r="X109" s="2351"/>
      <c r="Y109" s="2351"/>
    </row>
    <row r="110" ht="12.15" spans="1:25">
      <c r="A110" s="2351"/>
      <c r="B110" s="2351"/>
      <c r="C110" s="2384"/>
      <c r="D110" s="2353"/>
      <c r="E110" s="2353"/>
      <c r="F110" s="2353"/>
      <c r="G110" s="2353"/>
      <c r="H110" s="2353"/>
      <c r="I110" s="2353"/>
      <c r="J110" s="2353"/>
      <c r="K110" s="2353"/>
      <c r="L110" s="2353"/>
      <c r="M110" s="2353"/>
      <c r="N110" s="2353"/>
      <c r="O110" s="2353"/>
      <c r="P110" s="2353"/>
      <c r="Q110" s="2353"/>
      <c r="R110" s="2353"/>
      <c r="S110" s="2353"/>
      <c r="T110" s="2353"/>
      <c r="U110" s="2353"/>
      <c r="V110" s="2383"/>
      <c r="W110" s="2351"/>
      <c r="X110" s="2351"/>
      <c r="Y110" s="2351"/>
    </row>
    <row r="111" ht="12.75" spans="1:25">
      <c r="A111" s="2351"/>
      <c r="B111" s="2394"/>
      <c r="C111" s="2395" t="s">
        <v>952</v>
      </c>
      <c r="D111" s="2396"/>
      <c r="E111" s="2397"/>
      <c r="F111" s="2397"/>
      <c r="G111" s="2397"/>
      <c r="H111" s="2397"/>
      <c r="I111" s="2397"/>
      <c r="J111" s="2397"/>
      <c r="K111" s="2397"/>
      <c r="L111" s="2405"/>
      <c r="M111" s="2406"/>
      <c r="N111" s="2407" t="s">
        <v>953</v>
      </c>
      <c r="O111" s="2405" t="s">
        <v>954</v>
      </c>
      <c r="P111" s="2408"/>
      <c r="Q111" s="2412"/>
      <c r="R111" s="2405" t="s">
        <v>2264</v>
      </c>
      <c r="S111" s="2405"/>
      <c r="T111" s="2405"/>
      <c r="U111" s="2405"/>
      <c r="V111" s="2413"/>
      <c r="W111" s="2351"/>
      <c r="X111" s="2351"/>
      <c r="Y111" s="2351"/>
    </row>
    <row r="112" ht="12" spans="1:25">
      <c r="A112" s="2351"/>
      <c r="B112" s="2394"/>
      <c r="C112" s="2395"/>
      <c r="D112" s="2396"/>
      <c r="E112" s="2397"/>
      <c r="F112" s="2397"/>
      <c r="G112" s="2397"/>
      <c r="H112" s="2397"/>
      <c r="I112" s="2397"/>
      <c r="J112" s="2397"/>
      <c r="K112" s="2397"/>
      <c r="L112" s="2405"/>
      <c r="M112" s="2409"/>
      <c r="N112" s="2409"/>
      <c r="O112" s="2405"/>
      <c r="P112" s="2400"/>
      <c r="Q112" s="2400"/>
      <c r="R112" s="2405"/>
      <c r="S112" s="2405"/>
      <c r="T112" s="2405"/>
      <c r="U112" s="2405"/>
      <c r="V112" s="2413"/>
      <c r="W112" s="2351"/>
      <c r="X112" s="2351"/>
      <c r="Y112" s="2351"/>
    </row>
    <row r="113" ht="12" spans="1:25">
      <c r="A113" s="2351"/>
      <c r="B113" s="2394"/>
      <c r="C113" s="2398" t="s">
        <v>11764</v>
      </c>
      <c r="D113" s="2399"/>
      <c r="E113" s="2400"/>
      <c r="F113" s="2400"/>
      <c r="G113" s="2400"/>
      <c r="H113" s="2400"/>
      <c r="I113" s="2400"/>
      <c r="J113" s="2400"/>
      <c r="K113" s="2400"/>
      <c r="L113" s="2410"/>
      <c r="M113" s="2411"/>
      <c r="N113" s="2399"/>
      <c r="O113" s="2399"/>
      <c r="P113" s="2399"/>
      <c r="Q113" s="2414"/>
      <c r="R113" s="2415"/>
      <c r="S113" s="2415"/>
      <c r="T113" s="2415"/>
      <c r="U113" s="2415"/>
      <c r="V113" s="2413"/>
      <c r="W113" s="2351"/>
      <c r="X113" s="2351"/>
      <c r="Y113" s="2351"/>
    </row>
    <row r="114" ht="1.7" customHeight="1" spans="3:22">
      <c r="C114" s="2012"/>
      <c r="D114" s="2013"/>
      <c r="E114" s="2013"/>
      <c r="F114" s="2013"/>
      <c r="G114" s="2013"/>
      <c r="H114" s="2013"/>
      <c r="I114" s="2013"/>
      <c r="J114" s="2013"/>
      <c r="K114" s="2013"/>
      <c r="L114" s="2013"/>
      <c r="M114" s="2013"/>
      <c r="N114" s="2013"/>
      <c r="O114" s="2013"/>
      <c r="P114" s="2013"/>
      <c r="Q114" s="2013"/>
      <c r="R114" s="2013"/>
      <c r="S114" s="2013"/>
      <c r="T114" s="2013"/>
      <c r="U114" s="2013"/>
      <c r="V114" s="2416"/>
    </row>
    <row r="117" spans="3:3">
      <c r="C117" s="186" t="s">
        <v>11739</v>
      </c>
    </row>
    <row r="118" spans="3:8">
      <c r="C118" t="s">
        <v>11740</v>
      </c>
      <c r="D118"/>
      <c r="E118"/>
      <c r="F118"/>
      <c r="G118"/>
      <c r="H118"/>
    </row>
    <row r="119" spans="3:9">
      <c r="C119" t="s">
        <v>11741</v>
      </c>
      <c r="D119"/>
      <c r="E119"/>
      <c r="F119"/>
      <c r="G119"/>
      <c r="H119" s="159">
        <v>1974346000</v>
      </c>
      <c r="I119" s="159">
        <v>1974346000</v>
      </c>
    </row>
    <row r="120" spans="3:9">
      <c r="C120" t="s">
        <v>11742</v>
      </c>
      <c r="H120" s="1350">
        <v>2043595200</v>
      </c>
      <c r="I120" s="159">
        <f>+I119+H120</f>
        <v>4017941200</v>
      </c>
    </row>
    <row r="121" spans="3:9">
      <c r="C121" t="s">
        <v>11743</v>
      </c>
      <c r="G121" s="2401" t="s">
        <v>11744</v>
      </c>
      <c r="H121" s="1350">
        <f>+H163</f>
        <v>0</v>
      </c>
      <c r="I121" s="159">
        <f>+I120+H121</f>
        <v>4017941200</v>
      </c>
    </row>
    <row r="122" spans="3:9">
      <c r="C122" t="s">
        <v>11746</v>
      </c>
      <c r="G122" s="2401" t="s">
        <v>11747</v>
      </c>
      <c r="H122" s="2402">
        <f>+H174</f>
        <v>0</v>
      </c>
      <c r="I122" s="159">
        <f>+I121+H122</f>
        <v>4017941200</v>
      </c>
    </row>
    <row r="123" spans="6:8">
      <c r="F123" s="186" t="s">
        <v>396</v>
      </c>
      <c r="H123" s="159">
        <f>SUM(H119:H122)</f>
        <v>4017941200</v>
      </c>
    </row>
  </sheetData>
  <mergeCells count="4">
    <mergeCell ref="V9:W9"/>
    <mergeCell ref="V10:W10"/>
    <mergeCell ref="H9:I10"/>
    <mergeCell ref="N9:O10"/>
  </mergeCells>
  <printOptions horizontalCentered="1"/>
  <pageMargins left="0.905511811023622" right="0.511811023622047" top="0.905511811023622" bottom="0.511811023622047" header="0.511811023622047" footer="0.511811023622047"/>
  <pageSetup paperSize="9" scale="69" orientation="landscape"/>
  <headerFooter alignWithMargins="0"/>
  <drawing r:id="rId2"/>
  <legacyDrawing r:id="rId3"/>
  <oleObjects>
    <mc:AlternateContent xmlns:mc="http://schemas.openxmlformats.org/markup-compatibility/2006">
      <mc:Choice Requires="x14">
        <oleObject shapeId="775169" progId="Paint.Picture" r:id="rId4">
          <objectPr defaultSize="0" r:id="rId5">
            <anchor moveWithCells="1">
              <from>
                <xdr:col>2</xdr:col>
                <xdr:colOff>152400</xdr:colOff>
                <xdr:row>36</xdr:row>
                <xdr:rowOff>0</xdr:rowOff>
              </from>
              <to>
                <xdr:col>2</xdr:col>
                <xdr:colOff>298450</xdr:colOff>
                <xdr:row>36</xdr:row>
                <xdr:rowOff>146050</xdr:rowOff>
              </to>
            </anchor>
          </objectPr>
        </oleObject>
      </mc:Choice>
      <mc:Fallback>
        <oleObject shapeId="775169" progId="Paint.Picture" r:id="rId4"/>
      </mc:Fallback>
    </mc:AlternateContent>
    <mc:AlternateContent xmlns:mc="http://schemas.openxmlformats.org/markup-compatibility/2006">
      <mc:Choice Requires="x14">
        <oleObject shapeId="775170" progId="Paint.Picture" r:id="rId6">
          <objectPr defaultSize="0" r:id="rId7">
            <anchor moveWithCells="1">
              <from>
                <xdr:col>2</xdr:col>
                <xdr:colOff>146050</xdr:colOff>
                <xdr:row>35</xdr:row>
                <xdr:rowOff>12700</xdr:rowOff>
              </from>
              <to>
                <xdr:col>2</xdr:col>
                <xdr:colOff>292100</xdr:colOff>
                <xdr:row>36</xdr:row>
                <xdr:rowOff>12700</xdr:rowOff>
              </to>
            </anchor>
          </objectPr>
        </oleObject>
      </mc:Choice>
      <mc:Fallback>
        <oleObject shapeId="775170" progId="Paint.Picture" r:id="rId6"/>
      </mc:Fallback>
    </mc:AlternateContent>
    <mc:AlternateContent xmlns:mc="http://schemas.openxmlformats.org/markup-compatibility/2006">
      <mc:Choice Requires="x14">
        <oleObject shapeId="775171" progId="Paint.Picture" r:id="rId8">
          <objectPr defaultSize="0" r:id="rId7">
            <anchor moveWithCells="1">
              <from>
                <xdr:col>17</xdr:col>
                <xdr:colOff>527050</xdr:colOff>
                <xdr:row>6</xdr:row>
                <xdr:rowOff>139700</xdr:rowOff>
              </from>
              <to>
                <xdr:col>17</xdr:col>
                <xdr:colOff>717550</xdr:colOff>
                <xdr:row>7</xdr:row>
                <xdr:rowOff>133350</xdr:rowOff>
              </to>
            </anchor>
          </objectPr>
        </oleObject>
      </mc:Choice>
      <mc:Fallback>
        <oleObject shapeId="775171" progId="Paint.Picture" r:id="rId8"/>
      </mc:Fallback>
    </mc:AlternateContent>
    <mc:AlternateContent xmlns:mc="http://schemas.openxmlformats.org/markup-compatibility/2006">
      <mc:Choice Requires="x14">
        <oleObject shapeId="775172" progId="Paint.Picture" r:id="rId9">
          <objectPr defaultSize="0" r:id="rId5">
            <anchor moveWithCells="1">
              <from>
                <xdr:col>8</xdr:col>
                <xdr:colOff>596900</xdr:colOff>
                <xdr:row>31</xdr:row>
                <xdr:rowOff>44450</xdr:rowOff>
              </from>
              <to>
                <xdr:col>8</xdr:col>
                <xdr:colOff>793750</xdr:colOff>
                <xdr:row>32</xdr:row>
                <xdr:rowOff>82550</xdr:rowOff>
              </to>
            </anchor>
          </objectPr>
        </oleObject>
      </mc:Choice>
      <mc:Fallback>
        <oleObject shapeId="775172" progId="Paint.Picture" r:id="rId9"/>
      </mc:Fallback>
    </mc:AlternateContent>
    <mc:AlternateContent xmlns:mc="http://schemas.openxmlformats.org/markup-compatibility/2006">
      <mc:Choice Requires="x14">
        <oleObject shapeId="6229128" progId="Paint.Picture" r:id="rId10">
          <objectPr defaultSize="0" r:id="rId7">
            <anchor moveWithCells="1">
              <from>
                <xdr:col>21</xdr:col>
                <xdr:colOff>527050</xdr:colOff>
                <xdr:row>6</xdr:row>
                <xdr:rowOff>139700</xdr:rowOff>
              </from>
              <to>
                <xdr:col>21</xdr:col>
                <xdr:colOff>717550</xdr:colOff>
                <xdr:row>7</xdr:row>
                <xdr:rowOff>133350</xdr:rowOff>
              </to>
            </anchor>
          </objectPr>
        </oleObject>
      </mc:Choice>
      <mc:Fallback>
        <oleObject shapeId="6229128" progId="Paint.Picture" r:id="rId10"/>
      </mc:Fallback>
    </mc:AlternateContent>
  </oleObjects>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K85"/>
  <sheetViews>
    <sheetView showGridLines="0" zoomScale="190" zoomScaleNormal="190" workbookViewId="0">
      <pane xSplit="3" ySplit="4" topLeftCell="D62" activePane="bottomRight" state="frozen"/>
      <selection/>
      <selection pane="topRight"/>
      <selection pane="bottomLeft"/>
      <selection pane="bottomRight" activeCell="H57" sqref="H57"/>
    </sheetView>
  </sheetViews>
  <sheetFormatPr defaultColWidth="9" defaultRowHeight="11.4"/>
  <cols>
    <col min="2" max="2" width="22.9270833333333" customWidth="1"/>
    <col min="3" max="3" width="3.14583333333333" customWidth="1"/>
    <col min="4" max="4" width="14.6875" customWidth="1"/>
    <col min="5" max="7" width="13.9375" customWidth="1"/>
    <col min="8" max="8" width="15.1354166666667" customWidth="1"/>
    <col min="10" max="10" width="16.03125" customWidth="1"/>
    <col min="11" max="11" width="13.9375" customWidth="1"/>
  </cols>
  <sheetData>
    <row r="4" ht="12" spans="2:2">
      <c r="B4" s="94" t="s">
        <v>12331</v>
      </c>
    </row>
    <row r="6" spans="2:9">
      <c r="B6" s="159" t="s">
        <v>12332</v>
      </c>
      <c r="C6" s="159" t="s">
        <v>225</v>
      </c>
      <c r="D6" s="2323" t="s">
        <v>12333</v>
      </c>
      <c r="E6" s="159"/>
      <c r="F6" s="159"/>
      <c r="G6" s="159"/>
      <c r="H6" s="159"/>
      <c r="I6" s="159"/>
    </row>
    <row r="7" spans="2:9">
      <c r="B7" s="159" t="s">
        <v>12334</v>
      </c>
      <c r="C7" s="159" t="s">
        <v>225</v>
      </c>
      <c r="D7" s="2323" t="s">
        <v>12335</v>
      </c>
      <c r="E7" s="159"/>
      <c r="F7" s="159"/>
      <c r="G7" s="159"/>
      <c r="H7" s="159"/>
      <c r="I7" s="159"/>
    </row>
    <row r="8" spans="2:9">
      <c r="B8" s="159" t="s">
        <v>11420</v>
      </c>
      <c r="C8" s="159" t="s">
        <v>225</v>
      </c>
      <c r="D8" s="2093">
        <v>44831</v>
      </c>
      <c r="E8" s="2323"/>
      <c r="F8" s="2323"/>
      <c r="G8" s="2323"/>
      <c r="H8" s="2323"/>
      <c r="I8" s="2323"/>
    </row>
    <row r="9" spans="2:9">
      <c r="B9" s="2323" t="s">
        <v>12336</v>
      </c>
      <c r="C9" s="159" t="s">
        <v>225</v>
      </c>
      <c r="D9" s="2323" t="s">
        <v>12337</v>
      </c>
      <c r="E9" s="2323"/>
      <c r="F9" s="2323"/>
      <c r="G9" s="2323"/>
      <c r="H9" s="2323"/>
      <c r="I9" s="2323"/>
    </row>
    <row r="10" spans="2:9">
      <c r="B10" s="159" t="s">
        <v>12338</v>
      </c>
      <c r="C10" s="159" t="s">
        <v>225</v>
      </c>
      <c r="D10" s="2323" t="s">
        <v>12339</v>
      </c>
      <c r="E10" s="2323"/>
      <c r="F10" s="2323"/>
      <c r="G10" s="2323"/>
      <c r="H10" s="2323"/>
      <c r="I10" s="2323"/>
    </row>
    <row r="11" ht="12" spans="2:9">
      <c r="B11" s="2324" t="s">
        <v>12340</v>
      </c>
      <c r="C11" s="159" t="s">
        <v>225</v>
      </c>
      <c r="D11" s="2323"/>
      <c r="E11" s="2323"/>
      <c r="F11" s="2323"/>
      <c r="G11" s="2323"/>
      <c r="H11" s="2323"/>
      <c r="I11" s="2323"/>
    </row>
    <row r="12" spans="2:9">
      <c r="B12" s="2323" t="s">
        <v>1207</v>
      </c>
      <c r="C12" s="159" t="s">
        <v>225</v>
      </c>
      <c r="D12" s="2323">
        <v>42376255894</v>
      </c>
      <c r="E12" s="2323"/>
      <c r="F12" s="2323"/>
      <c r="G12" s="2323"/>
      <c r="H12" s="159"/>
      <c r="I12" s="159"/>
    </row>
    <row r="13" spans="2:9">
      <c r="B13" s="2323" t="s">
        <v>1169</v>
      </c>
      <c r="C13" s="159" t="s">
        <v>225</v>
      </c>
      <c r="D13" s="2323">
        <f>+D12*11%</f>
        <v>4661388148.34</v>
      </c>
      <c r="E13" s="2323"/>
      <c r="F13" s="2323"/>
      <c r="G13" s="2323"/>
      <c r="H13" s="159"/>
      <c r="I13" s="159"/>
    </row>
    <row r="14" spans="2:9">
      <c r="B14" s="2323" t="s">
        <v>1204</v>
      </c>
      <c r="C14" s="159" t="s">
        <v>225</v>
      </c>
      <c r="D14" s="2323">
        <f>+D12+D13</f>
        <v>47037644042.34</v>
      </c>
      <c r="E14" s="2323"/>
      <c r="F14" s="2323"/>
      <c r="G14" s="2323"/>
      <c r="H14" s="159"/>
      <c r="I14" s="159"/>
    </row>
    <row r="16" spans="2:6">
      <c r="B16" s="2323" t="s">
        <v>12341</v>
      </c>
      <c r="C16" s="159" t="s">
        <v>225</v>
      </c>
      <c r="D16" s="2323" t="s">
        <v>12342</v>
      </c>
      <c r="E16" t="s">
        <v>1205</v>
      </c>
      <c r="F16" s="724">
        <v>0.2</v>
      </c>
    </row>
    <row r="17" spans="4:5">
      <c r="D17" t="s">
        <v>12343</v>
      </c>
      <c r="E17" t="s">
        <v>12344</v>
      </c>
    </row>
    <row r="18" spans="4:5">
      <c r="D18" t="s">
        <v>12345</v>
      </c>
      <c r="E18" t="s">
        <v>12346</v>
      </c>
    </row>
    <row r="19" customFormat="1" spans="4:4">
      <c r="D19" t="s">
        <v>12347</v>
      </c>
    </row>
    <row r="20" customFormat="1" spans="4:4">
      <c r="D20" t="s">
        <v>12348</v>
      </c>
    </row>
    <row r="21" spans="4:4">
      <c r="D21" t="s">
        <v>12349</v>
      </c>
    </row>
    <row r="22" spans="3:4">
      <c r="C22" s="5044" t="s">
        <v>1866</v>
      </c>
      <c r="D22" t="s">
        <v>12350</v>
      </c>
    </row>
    <row r="23" spans="3:4">
      <c r="C23" s="5044" t="s">
        <v>1866</v>
      </c>
      <c r="D23" t="s">
        <v>12351</v>
      </c>
    </row>
    <row r="24" spans="3:4">
      <c r="C24" s="5044" t="s">
        <v>1866</v>
      </c>
      <c r="D24" t="s">
        <v>12352</v>
      </c>
    </row>
    <row r="26" spans="2:4">
      <c r="B26" t="s">
        <v>12353</v>
      </c>
      <c r="C26" s="159" t="s">
        <v>225</v>
      </c>
      <c r="D26" t="s">
        <v>12354</v>
      </c>
    </row>
    <row r="27" customFormat="1" spans="2:4">
      <c r="B27" t="s">
        <v>12355</v>
      </c>
      <c r="C27" s="159" t="s">
        <v>225</v>
      </c>
      <c r="D27" t="s">
        <v>12356</v>
      </c>
    </row>
    <row r="28" customFormat="1" spans="2:4">
      <c r="B28" t="s">
        <v>12357</v>
      </c>
      <c r="C28" s="159" t="s">
        <v>225</v>
      </c>
      <c r="D28" s="2325">
        <v>44841</v>
      </c>
    </row>
    <row r="29" customFormat="1" spans="2:4">
      <c r="B29" t="s">
        <v>12358</v>
      </c>
      <c r="C29" s="159" t="s">
        <v>225</v>
      </c>
      <c r="D29" s="2325" t="s">
        <v>12359</v>
      </c>
    </row>
    <row r="30" spans="4:5">
      <c r="D30" t="str">
        <f>+E16</f>
        <v>DP</v>
      </c>
      <c r="E30">
        <f>+D12*F16</f>
        <v>8475251178.8</v>
      </c>
    </row>
    <row r="31" spans="4:5">
      <c r="D31" t="s">
        <v>1169</v>
      </c>
      <c r="E31">
        <f>+E30*11%</f>
        <v>932277629.668</v>
      </c>
    </row>
    <row r="32" ht="12" spans="4:5">
      <c r="D32" t="s">
        <v>12360</v>
      </c>
      <c r="E32" s="94">
        <f>SUM(E30:E31)</f>
        <v>9407528808.468</v>
      </c>
    </row>
    <row r="33" spans="2:4">
      <c r="B33" t="s">
        <v>12361</v>
      </c>
      <c r="D33" t="s">
        <v>12362</v>
      </c>
    </row>
    <row r="34" customFormat="1"/>
    <row r="35" customFormat="1" spans="2:4">
      <c r="B35" t="s">
        <v>12353</v>
      </c>
      <c r="C35" s="159" t="s">
        <v>225</v>
      </c>
      <c r="D35" t="s">
        <v>12354</v>
      </c>
    </row>
    <row r="36" customFormat="1" spans="2:4">
      <c r="B36" t="s">
        <v>12355</v>
      </c>
      <c r="C36" s="159" t="s">
        <v>225</v>
      </c>
      <c r="D36" t="s">
        <v>12356</v>
      </c>
    </row>
    <row r="37" customFormat="1" spans="2:4">
      <c r="B37" t="s">
        <v>12357</v>
      </c>
      <c r="C37" s="159" t="s">
        <v>225</v>
      </c>
      <c r="D37" s="2325">
        <v>44917</v>
      </c>
    </row>
    <row r="38" customFormat="1" spans="2:4">
      <c r="B38" t="s">
        <v>12358</v>
      </c>
      <c r="C38" s="159" t="s">
        <v>225</v>
      </c>
      <c r="D38" s="2325" t="s">
        <v>12359</v>
      </c>
    </row>
    <row r="39" spans="2:5">
      <c r="B39" t="s">
        <v>12363</v>
      </c>
      <c r="D39" s="2326">
        <v>0.4943</v>
      </c>
      <c r="E39">
        <f>+D39*D12</f>
        <v>20946583288.4042</v>
      </c>
    </row>
    <row r="40" spans="2:5">
      <c r="B40" t="s">
        <v>1205</v>
      </c>
      <c r="D40" s="2326">
        <v>0.2</v>
      </c>
      <c r="E40">
        <f>+E30</f>
        <v>8475251178.8</v>
      </c>
    </row>
    <row r="41" ht="12" spans="4:5">
      <c r="D41" s="2326">
        <f>+D39-D40</f>
        <v>0.2943</v>
      </c>
      <c r="E41" s="94">
        <f>+D12*D41</f>
        <v>12471332109.6042</v>
      </c>
    </row>
    <row r="42" spans="2:5">
      <c r="B42" t="s">
        <v>1169</v>
      </c>
      <c r="D42" s="2326">
        <v>0.11</v>
      </c>
      <c r="E42">
        <f>+E41*D42</f>
        <v>1371846532.05646</v>
      </c>
    </row>
    <row r="43" customFormat="1" spans="2:5">
      <c r="B43" t="s">
        <v>12364</v>
      </c>
      <c r="E43">
        <f>SUM(E41:E42)</f>
        <v>13843178641.6607</v>
      </c>
    </row>
    <row r="44" customFormat="1" spans="2:4">
      <c r="B44" t="s">
        <v>12361</v>
      </c>
      <c r="D44" t="s">
        <v>12362</v>
      </c>
    </row>
    <row r="48" ht="12" spans="2:2">
      <c r="B48" s="94" t="s">
        <v>12365</v>
      </c>
    </row>
    <row r="51" spans="2:8">
      <c r="B51" t="s">
        <v>12366</v>
      </c>
      <c r="E51" s="2327" t="s">
        <v>12367</v>
      </c>
      <c r="F51" s="2328"/>
      <c r="G51" s="2328"/>
      <c r="H51" s="2329"/>
    </row>
    <row r="52" customFormat="1" ht="12" spans="2:8">
      <c r="B52" s="94" t="s">
        <v>1207</v>
      </c>
      <c r="E52" s="94" t="s">
        <v>12368</v>
      </c>
      <c r="F52" s="94" t="s">
        <v>12369</v>
      </c>
      <c r="G52" s="94" t="s">
        <v>12370</v>
      </c>
      <c r="H52" s="94" t="s">
        <v>12371</v>
      </c>
    </row>
    <row r="53" spans="2:8">
      <c r="B53" t="s">
        <v>12372</v>
      </c>
      <c r="D53">
        <f>+D12</f>
        <v>42376255894</v>
      </c>
      <c r="E53" t="s">
        <v>12373</v>
      </c>
      <c r="F53" t="s">
        <v>12374</v>
      </c>
      <c r="H53" t="s">
        <v>12375</v>
      </c>
    </row>
    <row r="54" customFormat="1" spans="10:11">
      <c r="J54" t="s">
        <v>12376</v>
      </c>
      <c r="K54">
        <f>+D53</f>
        <v>42376255894</v>
      </c>
    </row>
    <row r="55" spans="2:11">
      <c r="B55" t="s">
        <v>12377</v>
      </c>
      <c r="D55">
        <f>+D53</f>
        <v>42376255894</v>
      </c>
      <c r="E55">
        <f>+D58</f>
        <v>42376255894</v>
      </c>
      <c r="F55">
        <f>+E58</f>
        <v>42376255894</v>
      </c>
      <c r="G55">
        <f>+F58</f>
        <v>33901004715.2</v>
      </c>
      <c r="H55">
        <f>+G58</f>
        <v>33901004715.2</v>
      </c>
      <c r="J55" t="s">
        <v>12378</v>
      </c>
      <c r="K55">
        <f>+K54*94%</f>
        <v>39833680540.36</v>
      </c>
    </row>
    <row r="56" spans="2:11">
      <c r="B56" t="s">
        <v>12379</v>
      </c>
      <c r="D56">
        <v>0</v>
      </c>
      <c r="E56">
        <v>0</v>
      </c>
      <c r="F56">
        <f>+E40</f>
        <v>8475251178.8</v>
      </c>
      <c r="H56">
        <f>+E41</f>
        <v>12471332109.6042</v>
      </c>
      <c r="J56" t="s">
        <v>11787</v>
      </c>
      <c r="K56">
        <f>+K54-K55</f>
        <v>2542575353.64</v>
      </c>
    </row>
    <row r="57" spans="11:11">
      <c r="K57" s="2331">
        <v>0.22</v>
      </c>
    </row>
    <row r="58" spans="2:11">
      <c r="B58" t="s">
        <v>12380</v>
      </c>
      <c r="D58">
        <f>+D55-D56</f>
        <v>42376255894</v>
      </c>
      <c r="E58">
        <f>+E55-E56</f>
        <v>42376255894</v>
      </c>
      <c r="F58">
        <f>+F55-F56</f>
        <v>33901004715.2</v>
      </c>
      <c r="G58">
        <f>+G55-G56</f>
        <v>33901004715.2</v>
      </c>
      <c r="H58">
        <f>+H55-H56</f>
        <v>21429672605.5958</v>
      </c>
      <c r="J58" t="s">
        <v>12381</v>
      </c>
      <c r="K58">
        <f>+K56*K57</f>
        <v>559366577.8008</v>
      </c>
    </row>
    <row r="59" customFormat="1" spans="2:8">
      <c r="B59" t="s">
        <v>12382</v>
      </c>
      <c r="F59" s="2326">
        <f>+F56/D53</f>
        <v>0.2</v>
      </c>
      <c r="G59" s="2330"/>
      <c r="H59" s="2326">
        <f>+H56/D53</f>
        <v>0.2943</v>
      </c>
    </row>
    <row r="61" ht="12" spans="2:8">
      <c r="B61" s="94" t="s">
        <v>1169</v>
      </c>
      <c r="E61" s="94" t="s">
        <v>12368</v>
      </c>
      <c r="F61" s="94" t="s">
        <v>12369</v>
      </c>
      <c r="G61" s="94" t="s">
        <v>12370</v>
      </c>
      <c r="H61" s="94" t="s">
        <v>12371</v>
      </c>
    </row>
    <row r="62" spans="2:8">
      <c r="B62" t="s">
        <v>12372</v>
      </c>
      <c r="D62">
        <f>+D53*11%</f>
        <v>4661388148.34</v>
      </c>
      <c r="E62" t="s">
        <v>12373</v>
      </c>
      <c r="F62" t="s">
        <v>12374</v>
      </c>
      <c r="H62" t="s">
        <v>12375</v>
      </c>
    </row>
    <row r="63" ht="8.1" customHeight="1"/>
    <row r="64" spans="2:8">
      <c r="B64" t="s">
        <v>12377</v>
      </c>
      <c r="D64">
        <f>+D62</f>
        <v>4661388148.34</v>
      </c>
      <c r="E64">
        <f>+D67</f>
        <v>4661388148.34</v>
      </c>
      <c r="F64">
        <f>+E67</f>
        <v>4661388148.34</v>
      </c>
      <c r="G64">
        <f>+F67</f>
        <v>3729110518.672</v>
      </c>
      <c r="H64">
        <f>+G67</f>
        <v>3729110518.672</v>
      </c>
    </row>
    <row r="65" spans="2:8">
      <c r="B65" t="s">
        <v>12379</v>
      </c>
      <c r="D65">
        <v>0</v>
      </c>
      <c r="E65">
        <v>0</v>
      </c>
      <c r="F65">
        <f>+F56*11%</f>
        <v>932277629.668</v>
      </c>
      <c r="H65">
        <f>+H56*11%</f>
        <v>1371846532.05646</v>
      </c>
    </row>
    <row r="66" spans="2:8">
      <c r="B66" t="s">
        <v>12383</v>
      </c>
      <c r="H66">
        <v>0</v>
      </c>
    </row>
    <row r="67" spans="2:8">
      <c r="B67" t="s">
        <v>12380</v>
      </c>
      <c r="D67">
        <f>+D64-D65</f>
        <v>4661388148.34</v>
      </c>
      <c r="E67">
        <f>+E64-E65</f>
        <v>4661388148.34</v>
      </c>
      <c r="F67">
        <f>+F64-F65</f>
        <v>3729110518.672</v>
      </c>
      <c r="G67">
        <f>+G64-G65</f>
        <v>3729110518.672</v>
      </c>
      <c r="H67">
        <f>+H64-H65</f>
        <v>2357263986.61554</v>
      </c>
    </row>
    <row r="68" spans="6:8">
      <c r="F68">
        <f>+F56+F65</f>
        <v>9407528808.468</v>
      </c>
      <c r="H68">
        <f>+H56+H65</f>
        <v>13843178641.6607</v>
      </c>
    </row>
    <row r="69" spans="6:8">
      <c r="F69">
        <v>8471013552</v>
      </c>
      <c r="H69">
        <v>13872378448</v>
      </c>
    </row>
    <row r="70" ht="13.2" spans="2:8">
      <c r="B70" s="2332" t="s">
        <v>12384</v>
      </c>
      <c r="F70">
        <f>+F68-F69</f>
        <v>936515256.468</v>
      </c>
      <c r="H70">
        <f>+H68-H69</f>
        <v>-29199806.3393383</v>
      </c>
    </row>
    <row r="71" customFormat="1" ht="13.2" spans="2:5">
      <c r="B71" s="2332" t="s">
        <v>12385</v>
      </c>
      <c r="D71" s="94">
        <f>+D53</f>
        <v>42376255894</v>
      </c>
      <c r="E71" t="s">
        <v>12386</v>
      </c>
    </row>
    <row r="72" spans="2:5">
      <c r="B72" t="s">
        <v>12387</v>
      </c>
      <c r="D72">
        <f>+H56+F56</f>
        <v>20946583288.4042</v>
      </c>
      <c r="E72" s="2326">
        <f>+F59+H59</f>
        <v>0.4943</v>
      </c>
    </row>
    <row r="73" spans="2:5">
      <c r="B73" t="s">
        <v>12388</v>
      </c>
      <c r="D73">
        <f>+D71*E73</f>
        <v>19310859810.8958</v>
      </c>
      <c r="E73" s="2326">
        <f>100%-E72-5%</f>
        <v>0.4557</v>
      </c>
    </row>
    <row r="74" customFormat="1" spans="2:5">
      <c r="B74" t="s">
        <v>12347</v>
      </c>
      <c r="D74">
        <f>+D71*E74</f>
        <v>2118812794.7</v>
      </c>
      <c r="E74" s="2326">
        <v>0.05</v>
      </c>
    </row>
    <row r="75" ht="12" spans="4:5">
      <c r="D75" s="94">
        <f>SUM(D72:D74)</f>
        <v>42376255894</v>
      </c>
      <c r="E75" s="2326">
        <f>SUM(E72:E74)</f>
        <v>1</v>
      </c>
    </row>
    <row r="76" customFormat="1" ht="12" spans="4:4">
      <c r="D76" s="94"/>
    </row>
    <row r="77" spans="2:2">
      <c r="B77" t="s">
        <v>12389</v>
      </c>
    </row>
    <row r="78" ht="12" spans="2:5">
      <c r="B78" t="s">
        <v>12390</v>
      </c>
      <c r="D78" s="94">
        <f>+D71*94%</f>
        <v>39833680540.36</v>
      </c>
      <c r="E78" t="s">
        <v>12386</v>
      </c>
    </row>
    <row r="79" spans="2:5">
      <c r="B79" t="s">
        <v>12367</v>
      </c>
      <c r="D79">
        <f>+D78*E79</f>
        <v>19689788291.0999</v>
      </c>
      <c r="E79" s="2326">
        <f>+E72</f>
        <v>0.4943</v>
      </c>
    </row>
    <row r="80" spans="2:5">
      <c r="B80" t="s">
        <v>12388</v>
      </c>
      <c r="D80">
        <f>+D78*E80</f>
        <v>18152208222.2421</v>
      </c>
      <c r="E80" s="2326">
        <f>+E73</f>
        <v>0.4557</v>
      </c>
    </row>
    <row r="81" spans="2:5">
      <c r="B81" t="s">
        <v>12347</v>
      </c>
      <c r="D81">
        <f>+D78*E81</f>
        <v>1991684027.018</v>
      </c>
      <c r="E81" s="2326">
        <f>+E74</f>
        <v>0.05</v>
      </c>
    </row>
    <row r="82" ht="12" spans="4:5">
      <c r="D82" s="94">
        <f>SUM(D79:D81)</f>
        <v>39833680540.36</v>
      </c>
      <c r="E82" s="2326">
        <f>SUM(E79:E81)</f>
        <v>1</v>
      </c>
    </row>
    <row r="84" spans="2:4">
      <c r="B84" t="s">
        <v>12391</v>
      </c>
      <c r="D84">
        <f>+'[101]LIST INV VENDOR (2)'!$L$84</f>
        <v>17891027395</v>
      </c>
    </row>
    <row r="85" spans="2:4">
      <c r="B85" t="s">
        <v>12392</v>
      </c>
      <c r="D85">
        <f>+D82-D84</f>
        <v>21942653145.36</v>
      </c>
    </row>
  </sheetData>
  <mergeCells count="1">
    <mergeCell ref="E51:H51"/>
  </mergeCells>
  <pageMargins left="0.7" right="0.7" top="0.75" bottom="0.75" header="0.3" footer="0.3"/>
  <headerFooter/>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8">
    <tabColor theme="6" tint="-0.249977111117893"/>
    <pageSetUpPr fitToPage="1"/>
  </sheetPr>
  <dimension ref="B1:S48"/>
  <sheetViews>
    <sheetView workbookViewId="0">
      <pane xSplit="4" ySplit="11" topLeftCell="E12" activePane="bottomRight" state="frozen"/>
      <selection/>
      <selection pane="topRight"/>
      <selection pane="bottomLeft"/>
      <selection pane="bottomRight" activeCell="A1" sqref="A1"/>
    </sheetView>
  </sheetViews>
  <sheetFormatPr defaultColWidth="9.13541666666667" defaultRowHeight="13.2"/>
  <cols>
    <col min="1" max="1" width="3.14583333333333" style="186" customWidth="1"/>
    <col min="2" max="2" width="54.09375" style="186" customWidth="1"/>
    <col min="3" max="3" width="4.79166666666667" style="186" customWidth="1"/>
    <col min="4" max="4" width="16.3333333333333" style="186" hidden="1" customWidth="1"/>
    <col min="5" max="5" width="16.3333333333333" style="186" customWidth="1"/>
    <col min="6" max="6" width="6.73958333333333" style="186" customWidth="1"/>
    <col min="7" max="8" width="16.3333333333333" style="186" customWidth="1"/>
    <col min="9" max="9" width="6.14583333333333" style="186" customWidth="1"/>
    <col min="10" max="10" width="16.3333333333333" style="186" customWidth="1"/>
    <col min="11" max="11" width="18.4270833333333" style="186" customWidth="1" outlineLevel="1"/>
    <col min="12" max="12" width="4.79166666666667" style="186" customWidth="1" outlineLevel="1"/>
    <col min="13" max="14" width="17.2291666666667" style="186" customWidth="1" outlineLevel="1"/>
    <col min="15" max="15" width="5.54166666666667" style="186" customWidth="1"/>
    <col min="16" max="16" width="18.125" style="186" customWidth="1"/>
    <col min="17" max="17" width="16.78125" style="186" customWidth="1"/>
    <col min="18" max="18" width="16.3333333333333" style="186" customWidth="1"/>
    <col min="19" max="19" width="7.1875" style="186" customWidth="1"/>
    <col min="20" max="16384" width="9.13541666666667" style="186"/>
  </cols>
  <sheetData>
    <row r="1" spans="15:15">
      <c r="O1" s="146"/>
    </row>
    <row r="2" ht="21" spans="2:19">
      <c r="B2" s="1499" t="str">
        <f>UV!B2</f>
        <v>KAP LIASTA NIRWAN SYAFRUDIN &amp; REKAN</v>
      </c>
      <c r="C2" s="731"/>
      <c r="D2" s="731"/>
      <c r="E2" s="731"/>
      <c r="F2" s="731"/>
      <c r="G2" s="731"/>
      <c r="H2" s="731"/>
      <c r="I2" s="731"/>
      <c r="J2" s="731"/>
      <c r="K2" s="731"/>
      <c r="L2" s="731"/>
      <c r="M2" s="731"/>
      <c r="N2" s="731"/>
      <c r="O2" s="746"/>
      <c r="P2" s="731" t="s">
        <v>481</v>
      </c>
      <c r="Q2" s="765" t="s">
        <v>482</v>
      </c>
      <c r="R2" s="766" t="s">
        <v>483</v>
      </c>
      <c r="S2" s="766"/>
    </row>
    <row r="3" ht="15.6" spans="2:19">
      <c r="B3" s="1500"/>
      <c r="C3" s="1501"/>
      <c r="D3" s="1502"/>
      <c r="E3" s="1954"/>
      <c r="F3" s="1954"/>
      <c r="G3" s="1954"/>
      <c r="H3" s="1954"/>
      <c r="I3" s="1954"/>
      <c r="J3" s="1954"/>
      <c r="K3" s="1504"/>
      <c r="L3" s="1504"/>
      <c r="M3" s="1505"/>
      <c r="N3" s="1505"/>
      <c r="O3" s="1586"/>
      <c r="P3" s="738"/>
      <c r="Q3" s="5143" t="s">
        <v>12393</v>
      </c>
      <c r="R3" s="768" t="s">
        <v>772</v>
      </c>
      <c r="S3" s="768"/>
    </row>
    <row r="4" spans="2:19">
      <c r="B4" s="1547" t="str">
        <f>EE!C4</f>
        <v>PT INTAN GIRI ABADI</v>
      </c>
      <c r="C4" s="1548"/>
      <c r="D4" s="1548"/>
      <c r="E4" s="1548"/>
      <c r="F4" s="1548"/>
      <c r="G4" s="1548"/>
      <c r="H4" s="1548"/>
      <c r="I4" s="1548"/>
      <c r="J4" s="1548"/>
      <c r="K4" s="1548"/>
      <c r="L4" s="1548"/>
      <c r="M4" s="1548"/>
      <c r="N4" s="1548"/>
      <c r="O4" s="746"/>
      <c r="P4" s="742" t="s">
        <v>487</v>
      </c>
      <c r="Q4" s="769" t="s">
        <v>482</v>
      </c>
      <c r="R4" s="770" t="s">
        <v>488</v>
      </c>
      <c r="S4" s="770"/>
    </row>
    <row r="5" spans="2:19">
      <c r="B5" s="775"/>
      <c r="C5" s="753"/>
      <c r="D5" s="753"/>
      <c r="E5" s="753"/>
      <c r="F5" s="753"/>
      <c r="G5" s="753"/>
      <c r="H5" s="753"/>
      <c r="I5" s="753"/>
      <c r="J5" s="753"/>
      <c r="K5" s="753"/>
      <c r="L5" s="753"/>
      <c r="M5" s="753"/>
      <c r="N5" s="753"/>
      <c r="O5" s="1592"/>
      <c r="P5" s="1592"/>
      <c r="Q5" s="771"/>
      <c r="R5" s="772"/>
      <c r="S5" s="772"/>
    </row>
    <row r="6" spans="2:19">
      <c r="B6" s="773"/>
      <c r="C6" s="742"/>
      <c r="D6" s="742"/>
      <c r="E6" s="742"/>
      <c r="F6" s="742"/>
      <c r="G6" s="742"/>
      <c r="H6" s="742"/>
      <c r="I6" s="742"/>
      <c r="J6" s="742"/>
      <c r="K6" s="742"/>
      <c r="L6" s="742"/>
      <c r="M6" s="742"/>
      <c r="N6" s="742"/>
      <c r="O6" s="770"/>
      <c r="P6" s="742"/>
      <c r="Q6" s="773"/>
      <c r="R6" s="774" t="s">
        <v>491</v>
      </c>
      <c r="S6" s="774"/>
    </row>
    <row r="7" spans="2:19">
      <c r="B7" s="753" t="s">
        <v>12394</v>
      </c>
      <c r="C7" s="753"/>
      <c r="D7" s="753"/>
      <c r="E7" s="753"/>
      <c r="F7" s="753"/>
      <c r="G7" s="753"/>
      <c r="H7" s="753"/>
      <c r="I7" s="753"/>
      <c r="J7" s="753"/>
      <c r="K7" s="753"/>
      <c r="L7" s="753"/>
      <c r="M7" s="753"/>
      <c r="N7" s="753"/>
      <c r="O7" s="1599"/>
      <c r="P7" s="753"/>
      <c r="Q7" s="775"/>
      <c r="R7" s="776">
        <f>+H!S7</f>
        <v>44926</v>
      </c>
      <c r="S7" s="776"/>
    </row>
    <row r="8" ht="13.95" spans="13:14">
      <c r="M8" s="1388"/>
      <c r="N8" s="1388"/>
    </row>
    <row r="9" spans="2:19">
      <c r="B9" s="1330"/>
      <c r="C9" s="1330"/>
      <c r="D9" s="1330" t="s">
        <v>2248</v>
      </c>
      <c r="E9" s="1329" t="s">
        <v>2248</v>
      </c>
      <c r="F9" s="1330"/>
      <c r="G9" s="2281" t="s">
        <v>1228</v>
      </c>
      <c r="H9" s="2281"/>
      <c r="I9" s="1330"/>
      <c r="J9" s="1327" t="s">
        <v>2248</v>
      </c>
      <c r="K9" s="1329" t="s">
        <v>2248</v>
      </c>
      <c r="L9" s="1330"/>
      <c r="M9" s="2281" t="s">
        <v>1228</v>
      </c>
      <c r="N9" s="2281"/>
      <c r="O9" s="1330"/>
      <c r="P9" s="1327" t="s">
        <v>2248</v>
      </c>
      <c r="Q9" s="1327" t="s">
        <v>2248</v>
      </c>
      <c r="R9" s="1403">
        <f>P11</f>
        <v>44561</v>
      </c>
      <c r="S9" s="1404"/>
    </row>
    <row r="10" spans="2:19">
      <c r="B10" s="2282" t="s">
        <v>492</v>
      </c>
      <c r="C10" s="1336" t="s">
        <v>654</v>
      </c>
      <c r="D10" s="1336" t="e">
        <f>'[89]F1'!F6</f>
        <v>#REF!</v>
      </c>
      <c r="E10" s="1335" t="s">
        <v>2249</v>
      </c>
      <c r="F10" s="1336" t="s">
        <v>1230</v>
      </c>
      <c r="G10" s="2283"/>
      <c r="H10" s="2283"/>
      <c r="I10" s="1336" t="s">
        <v>1230</v>
      </c>
      <c r="J10" s="1389" t="s">
        <v>2250</v>
      </c>
      <c r="K10" s="1335" t="s">
        <v>2249</v>
      </c>
      <c r="L10" s="1336" t="s">
        <v>1230</v>
      </c>
      <c r="M10" s="2283"/>
      <c r="N10" s="2283"/>
      <c r="O10" s="1336" t="s">
        <v>1230</v>
      </c>
      <c r="P10" s="1389" t="s">
        <v>2250</v>
      </c>
      <c r="Q10" s="1389" t="s">
        <v>2250</v>
      </c>
      <c r="R10" s="1405" t="s">
        <v>2251</v>
      </c>
      <c r="S10" s="1406"/>
    </row>
    <row r="11" ht="13.95" spans="2:19">
      <c r="B11" s="1342"/>
      <c r="C11" s="5111" t="s">
        <v>2252</v>
      </c>
      <c r="D11" s="1341" t="e">
        <f>'[89]F1'!F7</f>
        <v>#REF!</v>
      </c>
      <c r="E11" s="2284">
        <v>44926</v>
      </c>
      <c r="F11" s="1342" t="s">
        <v>2253</v>
      </c>
      <c r="G11" s="1342" t="s">
        <v>1231</v>
      </c>
      <c r="H11" s="1342" t="s">
        <v>1232</v>
      </c>
      <c r="I11" s="1342" t="s">
        <v>2253</v>
      </c>
      <c r="J11" s="2284">
        <v>44926</v>
      </c>
      <c r="K11" s="1341">
        <f>+J11-365</f>
        <v>44561</v>
      </c>
      <c r="L11" s="1342" t="s">
        <v>2253</v>
      </c>
      <c r="M11" s="1342" t="s">
        <v>1231</v>
      </c>
      <c r="N11" s="1342" t="s">
        <v>1232</v>
      </c>
      <c r="O11" s="1342" t="s">
        <v>2253</v>
      </c>
      <c r="P11" s="1390">
        <f>K11</f>
        <v>44561</v>
      </c>
      <c r="Q11" s="1390">
        <f>+P11-365</f>
        <v>44196</v>
      </c>
      <c r="R11" s="1342" t="s">
        <v>151</v>
      </c>
      <c r="S11" s="5112" t="s">
        <v>2254</v>
      </c>
    </row>
    <row r="12" spans="2:19">
      <c r="B12" s="296"/>
      <c r="C12" s="135"/>
      <c r="D12" s="296"/>
      <c r="E12" s="296"/>
      <c r="F12" s="296"/>
      <c r="G12" s="296"/>
      <c r="H12" s="296"/>
      <c r="I12" s="296"/>
      <c r="J12" s="296"/>
      <c r="K12" s="174"/>
      <c r="L12" s="135"/>
      <c r="M12" s="296"/>
      <c r="N12" s="296"/>
      <c r="O12" s="135"/>
      <c r="P12" s="1391"/>
      <c r="R12" s="296"/>
      <c r="S12" s="1409"/>
    </row>
    <row r="13" spans="2:19">
      <c r="B13" s="296" t="s">
        <v>11818</v>
      </c>
      <c r="C13" s="135"/>
      <c r="D13" s="296"/>
      <c r="E13" s="296">
        <v>459940000</v>
      </c>
      <c r="F13" s="296"/>
      <c r="G13" s="161">
        <f>SUMIF('F4'!$E$12:$E$158,B13,'F4'!$G$12:$G$158)</f>
        <v>459940000</v>
      </c>
      <c r="H13" s="161">
        <f>SUMIF('F4'!$E$12:$E$158,B13,'F4'!$H$12:$H$158)</f>
        <v>0</v>
      </c>
      <c r="I13" s="296"/>
      <c r="J13" s="174">
        <f>E13+H13-G13</f>
        <v>0</v>
      </c>
      <c r="K13" s="296">
        <v>459940000</v>
      </c>
      <c r="L13" s="135"/>
      <c r="M13" s="161">
        <f>SUMIF('F4'!$E$12:$E$158,B13,'F4'!$I$12:$I$158)</f>
        <v>459940000</v>
      </c>
      <c r="N13" s="161">
        <f>SUMIF('F4'!$E$12:$E$158,B13,'F4'!$J$12:$J$158)</f>
        <v>0</v>
      </c>
      <c r="O13" s="2304"/>
      <c r="P13" s="174">
        <f>K13+N13-M13</f>
        <v>0</v>
      </c>
      <c r="Q13" s="296">
        <f>459940000-459940000</f>
        <v>0</v>
      </c>
      <c r="R13" s="174">
        <f>K13-Q13</f>
        <v>459940000</v>
      </c>
      <c r="S13" s="1409">
        <f>IF(Q13=0,IF(R13=0,0,R13/R13),R13/Q13)</f>
        <v>1</v>
      </c>
    </row>
    <row r="14" spans="2:19">
      <c r="B14" s="296" t="s">
        <v>11819</v>
      </c>
      <c r="C14" s="135"/>
      <c r="D14" s="296"/>
      <c r="E14" s="296">
        <v>378657000</v>
      </c>
      <c r="F14" s="296"/>
      <c r="G14" s="161">
        <f>SUMIF('F4'!$E$12:$E$158,B14,'F4'!$G$12:$G$158)</f>
        <v>378657000</v>
      </c>
      <c r="H14" s="161">
        <f>SUMIF('F4'!$E$12:$E$158,B14,'F4'!$H$12:$H$158)</f>
        <v>0</v>
      </c>
      <c r="I14" s="296"/>
      <c r="J14" s="174">
        <f>E14+H14-G14</f>
        <v>0</v>
      </c>
      <c r="K14" s="296">
        <v>378657000</v>
      </c>
      <c r="L14" s="135"/>
      <c r="M14" s="161">
        <f>SUMIF('F4'!$E$12:$E$158,B14,'F4'!$I$12:$I$158)</f>
        <v>378657000</v>
      </c>
      <c r="N14" s="161">
        <f>SUMIF('F4'!$E$12:$E$158,B14,'F4'!$J$12:$J$158)</f>
        <v>0</v>
      </c>
      <c r="O14" s="2304"/>
      <c r="P14" s="174">
        <f>K14+N14-M14</f>
        <v>0</v>
      </c>
      <c r="Q14" s="186">
        <v>0</v>
      </c>
      <c r="R14" s="174">
        <f>K14-Q14</f>
        <v>378657000</v>
      </c>
      <c r="S14" s="1409">
        <f>IF(Q14=0,IF(R14=0,0,R14/R14),R14/Q14)</f>
        <v>1</v>
      </c>
    </row>
    <row r="15" spans="2:19">
      <c r="B15" s="296"/>
      <c r="C15" s="135"/>
      <c r="D15" s="296"/>
      <c r="E15" s="296">
        <v>0</v>
      </c>
      <c r="F15" s="296"/>
      <c r="G15" s="296"/>
      <c r="H15" s="296"/>
      <c r="I15" s="296"/>
      <c r="J15" s="174">
        <f>E15+H15-G15</f>
        <v>0</v>
      </c>
      <c r="K15" s="161">
        <v>0</v>
      </c>
      <c r="L15" s="135"/>
      <c r="M15" s="174"/>
      <c r="N15" s="174"/>
      <c r="O15" s="2304"/>
      <c r="P15" s="174">
        <f>K15+N15-M15</f>
        <v>0</v>
      </c>
      <c r="Q15" s="186">
        <v>0</v>
      </c>
      <c r="R15" s="174">
        <f>K15-Q15</f>
        <v>0</v>
      </c>
      <c r="S15" s="1409">
        <f>IF(Q15=0,IF(R15=0,0,R15/R15),R15/Q15)</f>
        <v>0</v>
      </c>
    </row>
    <row r="16" spans="2:19">
      <c r="B16" s="296"/>
      <c r="C16" s="135"/>
      <c r="D16" s="296"/>
      <c r="E16" s="296">
        <v>0</v>
      </c>
      <c r="F16" s="296"/>
      <c r="G16" s="296"/>
      <c r="H16" s="296"/>
      <c r="I16" s="296"/>
      <c r="J16" s="174">
        <f>E16+H16-G16</f>
        <v>0</v>
      </c>
      <c r="K16" s="174">
        <v>0</v>
      </c>
      <c r="L16" s="135"/>
      <c r="M16" s="296"/>
      <c r="N16" s="296"/>
      <c r="O16" s="135"/>
      <c r="P16" s="296">
        <f>K16+N16-M16</f>
        <v>0</v>
      </c>
      <c r="Q16" s="186">
        <v>0</v>
      </c>
      <c r="R16" s="174">
        <f>K16-Q16</f>
        <v>0</v>
      </c>
      <c r="S16" s="1409">
        <f>IF(Q16=0,IF(R16=0,0,R16/R16),R16/Q16)</f>
        <v>0</v>
      </c>
    </row>
    <row r="17" spans="2:19">
      <c r="B17" s="296"/>
      <c r="C17" s="135"/>
      <c r="D17" s="296"/>
      <c r="E17" s="296"/>
      <c r="F17" s="296"/>
      <c r="G17" s="296"/>
      <c r="H17" s="296"/>
      <c r="I17" s="296"/>
      <c r="J17" s="296"/>
      <c r="K17" s="174"/>
      <c r="L17" s="135"/>
      <c r="M17" s="296"/>
      <c r="N17" s="296"/>
      <c r="O17" s="135"/>
      <c r="P17" s="296"/>
      <c r="R17" s="174"/>
      <c r="S17" s="1409"/>
    </row>
    <row r="18" ht="13.95" spans="2:19">
      <c r="B18" s="5114" t="s">
        <v>151</v>
      </c>
      <c r="C18" s="135"/>
      <c r="D18" s="1412">
        <f>SUM(D13:D13)</f>
        <v>0</v>
      </c>
      <c r="E18" s="1392">
        <f>SUM(E13:E17)</f>
        <v>838597000</v>
      </c>
      <c r="F18" s="1412"/>
      <c r="G18" s="1392">
        <f>SUM(G13:G17)</f>
        <v>838597000</v>
      </c>
      <c r="H18" s="1392">
        <f>SUM(H13:H17)</f>
        <v>0</v>
      </c>
      <c r="I18" s="1412"/>
      <c r="J18" s="1392">
        <f>SUM(J13:J17)</f>
        <v>0</v>
      </c>
      <c r="K18" s="1392">
        <f>SUM(K13:K17)</f>
        <v>838597000</v>
      </c>
      <c r="L18" s="135"/>
      <c r="M18" s="1392">
        <f>SUM(M13:M17)</f>
        <v>838597000</v>
      </c>
      <c r="N18" s="1392">
        <f>SUM(N13:N17)</f>
        <v>0</v>
      </c>
      <c r="O18" s="135"/>
      <c r="P18" s="1392">
        <f>SUM(P13:P17)</f>
        <v>0</v>
      </c>
      <c r="Q18" s="1392">
        <f>SUM(Q13:Q17)</f>
        <v>0</v>
      </c>
      <c r="R18" s="1392">
        <f>SUM(R13:R17)</f>
        <v>838597000</v>
      </c>
      <c r="S18" s="2316">
        <f>IF(Q18=0,IF(R18=0,0,R18/R18),R18/Q18)</f>
        <v>1</v>
      </c>
    </row>
    <row r="19" ht="14.7" spans="2:19">
      <c r="B19" s="1348"/>
      <c r="C19" s="2286"/>
      <c r="D19" s="1348"/>
      <c r="E19" s="2287">
        <f>+E18-'F2'!F29</f>
        <v>0</v>
      </c>
      <c r="F19" s="2287"/>
      <c r="G19" s="2287"/>
      <c r="H19" s="2287"/>
      <c r="I19" s="2287"/>
      <c r="J19" s="2287">
        <f>+J18-'F2'!K29</f>
        <v>0</v>
      </c>
      <c r="K19" s="2287">
        <f>+K18-'F2'!L29</f>
        <v>0</v>
      </c>
      <c r="L19" s="2286"/>
      <c r="M19" s="1348"/>
      <c r="N19" s="1348"/>
      <c r="O19" s="2286"/>
      <c r="P19" s="2287">
        <f>P18-'F2'!Q29</f>
        <v>0</v>
      </c>
      <c r="Q19" s="2287">
        <f>Q18-'F2'!R29</f>
        <v>0</v>
      </c>
      <c r="R19" s="1393"/>
      <c r="S19" s="2317"/>
    </row>
    <row r="20" spans="19:19">
      <c r="S20" s="2318"/>
    </row>
    <row r="21" spans="19:19">
      <c r="S21" s="2318"/>
    </row>
    <row r="24" spans="2:2">
      <c r="B24" s="2288" t="str">
        <f>'F1'!C46</f>
        <v>Sesuai dengan Saldo Buku Besar Periode 31 Desember 2022 &amp; 2021</v>
      </c>
    </row>
    <row r="25" spans="2:2">
      <c r="B25" s="2289"/>
    </row>
    <row r="26" spans="2:2">
      <c r="B26" s="5124" t="str">
        <f>'F1'!C47</f>
        <v>Sesuai dengan Saldo Audit Periode Sebelumnya</v>
      </c>
    </row>
    <row r="27" spans="2:2">
      <c r="B27" s="2289"/>
    </row>
    <row r="28" spans="2:2">
      <c r="B28" s="5124" t="str">
        <f>'F1'!C48</f>
        <v>Rumus dan Formula Perhitungan telah Diperiksa</v>
      </c>
    </row>
    <row r="30" spans="2:18">
      <c r="B30" s="2291" t="s">
        <v>12395</v>
      </c>
      <c r="C30" s="2292"/>
      <c r="D30" s="2292"/>
      <c r="E30" s="2292"/>
      <c r="F30" s="2292"/>
      <c r="G30" s="2292">
        <v>2022</v>
      </c>
      <c r="H30" s="2292">
        <v>2021</v>
      </c>
      <c r="I30" s="2292"/>
      <c r="J30" s="2292">
        <v>2020</v>
      </c>
      <c r="K30" s="2292">
        <v>2019</v>
      </c>
      <c r="L30" s="2292"/>
      <c r="M30" s="2292" t="s">
        <v>12272</v>
      </c>
      <c r="N30" s="2292"/>
      <c r="O30" s="2292"/>
      <c r="P30" s="2292"/>
      <c r="Q30" s="2292"/>
      <c r="R30" s="2319"/>
    </row>
    <row r="31" spans="2:18">
      <c r="B31" s="2293" t="s">
        <v>12396</v>
      </c>
      <c r="C31" s="2294"/>
      <c r="D31" s="2294"/>
      <c r="E31" s="2294"/>
      <c r="F31" s="2294"/>
      <c r="G31" s="2294">
        <f>+J13</f>
        <v>0</v>
      </c>
      <c r="H31" s="2294">
        <f>+K13</f>
        <v>459940000</v>
      </c>
      <c r="I31" s="2294"/>
      <c r="J31" s="2294">
        <f>+Q13</f>
        <v>0</v>
      </c>
      <c r="K31" s="2294">
        <f>+K13</f>
        <v>459940000</v>
      </c>
      <c r="L31" s="2294"/>
      <c r="M31" s="2305">
        <v>0</v>
      </c>
      <c r="N31" s="2306" t="s">
        <v>12273</v>
      </c>
      <c r="O31" s="2294" t="s">
        <v>12397</v>
      </c>
      <c r="P31" s="2294"/>
      <c r="Q31" s="2294"/>
      <c r="R31" s="2320"/>
    </row>
    <row r="32" spans="2:18">
      <c r="B32" s="2293" t="s">
        <v>12398</v>
      </c>
      <c r="C32" s="2294"/>
      <c r="D32" s="2294"/>
      <c r="E32" s="2294"/>
      <c r="F32" s="2294"/>
      <c r="G32" s="2294"/>
      <c r="H32" s="2294"/>
      <c r="I32" s="2294"/>
      <c r="J32" s="2294"/>
      <c r="K32" s="2294"/>
      <c r="L32" s="2294"/>
      <c r="M32" s="2294"/>
      <c r="N32" s="2294"/>
      <c r="O32" s="2294"/>
      <c r="P32" s="2294"/>
      <c r="Q32" s="2294"/>
      <c r="R32" s="2320"/>
    </row>
    <row r="33" spans="2:18">
      <c r="B33" s="2293"/>
      <c r="C33" s="2294"/>
      <c r="D33" s="2294"/>
      <c r="E33" s="2294"/>
      <c r="F33" s="2294"/>
      <c r="G33" s="2294"/>
      <c r="H33" s="2294"/>
      <c r="I33" s="2294"/>
      <c r="J33" s="2294"/>
      <c r="K33" s="2294"/>
      <c r="L33" s="2294"/>
      <c r="M33" s="2294"/>
      <c r="N33" s="2294"/>
      <c r="O33" s="2294"/>
      <c r="P33" s="2294"/>
      <c r="Q33" s="2294"/>
      <c r="R33" s="2320"/>
    </row>
    <row r="34" spans="2:18">
      <c r="B34" s="2293" t="s">
        <v>12399</v>
      </c>
      <c r="C34" s="2294"/>
      <c r="D34" s="2294"/>
      <c r="E34" s="2294"/>
      <c r="F34" s="2294"/>
      <c r="G34" s="2294">
        <f>+E14</f>
        <v>378657000</v>
      </c>
      <c r="H34" s="2294">
        <f>+K14</f>
        <v>378657000</v>
      </c>
      <c r="I34" s="2294"/>
      <c r="J34" s="2307">
        <v>0</v>
      </c>
      <c r="K34" s="2307">
        <v>0</v>
      </c>
      <c r="L34" s="2294"/>
      <c r="M34" s="2294"/>
      <c r="N34" s="2294"/>
      <c r="O34" s="2294"/>
      <c r="P34" s="2294"/>
      <c r="Q34" s="2294"/>
      <c r="R34" s="2320"/>
    </row>
    <row r="35" spans="2:18">
      <c r="B35" s="2295"/>
      <c r="C35" s="2294"/>
      <c r="D35" s="2294"/>
      <c r="E35" s="2294"/>
      <c r="F35" s="2294"/>
      <c r="G35" s="2294"/>
      <c r="H35" s="2294"/>
      <c r="I35" s="2294"/>
      <c r="J35" s="2294"/>
      <c r="K35" s="2294"/>
      <c r="L35" s="2294"/>
      <c r="M35" s="2294"/>
      <c r="N35" s="2294"/>
      <c r="O35" s="2294"/>
      <c r="P35" s="2294"/>
      <c r="Q35" s="2294"/>
      <c r="R35" s="2320"/>
    </row>
    <row r="36" spans="2:18">
      <c r="B36" s="2295"/>
      <c r="C36" s="2294"/>
      <c r="D36" s="2294"/>
      <c r="E36" s="2294"/>
      <c r="F36" s="2294"/>
      <c r="G36" s="2296">
        <f t="shared" ref="G36:K36" si="0">SUM(G31:G34)</f>
        <v>378657000</v>
      </c>
      <c r="H36" s="2296">
        <f t="shared" si="0"/>
        <v>838597000</v>
      </c>
      <c r="I36" s="2296">
        <f t="shared" si="0"/>
        <v>0</v>
      </c>
      <c r="J36" s="2296">
        <f t="shared" si="0"/>
        <v>0</v>
      </c>
      <c r="K36" s="2296">
        <f t="shared" si="0"/>
        <v>459940000</v>
      </c>
      <c r="L36" s="2294"/>
      <c r="M36" s="2294"/>
      <c r="N36" s="2294"/>
      <c r="O36" s="2294"/>
      <c r="P36" s="2294"/>
      <c r="Q36" s="2294"/>
      <c r="R36" s="2320"/>
    </row>
    <row r="37" spans="2:18">
      <c r="B37" s="2295"/>
      <c r="C37" s="2294"/>
      <c r="D37" s="2294"/>
      <c r="E37" s="2294"/>
      <c r="F37" s="2294"/>
      <c r="G37" s="2294"/>
      <c r="H37" s="2294"/>
      <c r="I37" s="2294"/>
      <c r="J37" s="2294"/>
      <c r="K37" s="2294"/>
      <c r="L37" s="2294"/>
      <c r="M37" s="2294"/>
      <c r="N37" s="2294"/>
      <c r="O37" s="2294"/>
      <c r="P37" s="2294"/>
      <c r="Q37" s="2294"/>
      <c r="R37" s="2320"/>
    </row>
    <row r="38" spans="2:18">
      <c r="B38" s="2295" t="s">
        <v>12400</v>
      </c>
      <c r="C38" s="2294"/>
      <c r="D38" s="2294"/>
      <c r="E38" s="2294"/>
      <c r="F38" s="2294"/>
      <c r="G38" s="2294"/>
      <c r="H38" s="2294"/>
      <c r="I38" s="2294"/>
      <c r="J38" s="2294"/>
      <c r="K38" s="2294"/>
      <c r="L38" s="2294"/>
      <c r="M38" s="2294"/>
      <c r="N38" s="2294"/>
      <c r="O38" s="2294"/>
      <c r="P38" s="2294"/>
      <c r="Q38" s="2294"/>
      <c r="R38" s="2320"/>
    </row>
    <row r="39" spans="2:18">
      <c r="B39" s="2295"/>
      <c r="C39" s="2294"/>
      <c r="D39" s="2294"/>
      <c r="E39" s="2294"/>
      <c r="F39" s="2294"/>
      <c r="G39" s="2294"/>
      <c r="H39" s="2294"/>
      <c r="I39" s="2294"/>
      <c r="J39" s="2294"/>
      <c r="K39" s="2294"/>
      <c r="L39" s="2294"/>
      <c r="M39" s="2294"/>
      <c r="N39" s="2294"/>
      <c r="O39" s="2294"/>
      <c r="P39" s="2294"/>
      <c r="Q39" s="2294"/>
      <c r="R39" s="2320"/>
    </row>
    <row r="40" spans="2:18">
      <c r="B40" s="2295"/>
      <c r="C40" s="2294"/>
      <c r="D40" s="2294"/>
      <c r="E40" s="2294"/>
      <c r="F40" s="2294"/>
      <c r="G40" s="2294"/>
      <c r="H40" s="2294"/>
      <c r="I40" s="2294"/>
      <c r="J40" s="2294"/>
      <c r="K40" s="2294"/>
      <c r="L40" s="2294"/>
      <c r="M40" s="2294"/>
      <c r="N40" s="2294"/>
      <c r="O40" s="2294"/>
      <c r="P40" s="2294"/>
      <c r="Q40" s="2294"/>
      <c r="R40" s="2320"/>
    </row>
    <row r="41" spans="2:18">
      <c r="B41" s="2295"/>
      <c r="C41" s="2294"/>
      <c r="D41" s="2294"/>
      <c r="E41" s="2294"/>
      <c r="F41" s="2294"/>
      <c r="G41" s="2294"/>
      <c r="H41" s="2294"/>
      <c r="I41" s="2294"/>
      <c r="J41" s="2294"/>
      <c r="K41" s="2294"/>
      <c r="L41" s="2294"/>
      <c r="M41" s="2294"/>
      <c r="N41" s="2294"/>
      <c r="O41" s="2294"/>
      <c r="P41" s="2294"/>
      <c r="Q41" s="2294"/>
      <c r="R41" s="2320"/>
    </row>
    <row r="42" spans="2:18">
      <c r="B42" s="2297" t="s">
        <v>12401</v>
      </c>
      <c r="C42" s="2294"/>
      <c r="D42" s="2294"/>
      <c r="E42" s="2294"/>
      <c r="F42" s="2294"/>
      <c r="G42" s="2294"/>
      <c r="H42" s="2294"/>
      <c r="I42" s="2294"/>
      <c r="J42" s="2294"/>
      <c r="K42" s="2294"/>
      <c r="L42" s="2294"/>
      <c r="M42" s="2294"/>
      <c r="N42" s="2294"/>
      <c r="O42" s="2294"/>
      <c r="P42" s="2294"/>
      <c r="Q42" s="2294"/>
      <c r="R42" s="2320"/>
    </row>
    <row r="43" spans="2:18">
      <c r="B43" s="2295"/>
      <c r="C43" s="2294"/>
      <c r="D43" s="2294"/>
      <c r="E43" s="2294"/>
      <c r="F43" s="2294"/>
      <c r="G43" s="2294"/>
      <c r="H43" s="2294"/>
      <c r="I43" s="2294"/>
      <c r="J43" s="2294"/>
      <c r="K43" s="2294"/>
      <c r="L43" s="2294"/>
      <c r="M43" s="2294"/>
      <c r="N43" s="2294"/>
      <c r="O43" s="2294"/>
      <c r="P43" s="2294"/>
      <c r="Q43" s="2294"/>
      <c r="R43" s="2320"/>
    </row>
    <row r="44" ht="13.95" spans="2:18">
      <c r="B44" s="2295"/>
      <c r="C44" s="2294"/>
      <c r="D44" s="2294"/>
      <c r="E44" s="2294"/>
      <c r="F44" s="2294"/>
      <c r="G44" s="2294"/>
      <c r="H44" s="2294"/>
      <c r="I44" s="2294"/>
      <c r="J44" s="2294"/>
      <c r="K44" s="2294"/>
      <c r="L44" s="2294"/>
      <c r="M44" s="2294"/>
      <c r="N44" s="2294"/>
      <c r="O44" s="2294"/>
      <c r="P44" s="2294"/>
      <c r="Q44" s="2294"/>
      <c r="R44" s="2320"/>
    </row>
    <row r="45" ht="13.95" spans="2:18">
      <c r="B45" s="2298" t="s">
        <v>952</v>
      </c>
      <c r="C45" s="2299"/>
      <c r="D45" s="2300"/>
      <c r="E45" s="2300"/>
      <c r="F45" s="2300"/>
      <c r="G45" s="2300"/>
      <c r="H45" s="2300"/>
      <c r="I45" s="2300"/>
      <c r="J45" s="2300"/>
      <c r="K45" s="2308"/>
      <c r="L45" s="2309"/>
      <c r="M45" s="2310" t="s">
        <v>953</v>
      </c>
      <c r="N45" s="2308" t="s">
        <v>954</v>
      </c>
      <c r="O45" s="2311"/>
      <c r="P45" s="2312"/>
      <c r="Q45" s="2308" t="s">
        <v>2264</v>
      </c>
      <c r="R45" s="2320"/>
    </row>
    <row r="46" spans="2:18">
      <c r="B46" s="2298"/>
      <c r="C46" s="2299"/>
      <c r="D46" s="2300"/>
      <c r="E46" s="2300"/>
      <c r="F46" s="2300"/>
      <c r="G46" s="2300"/>
      <c r="H46" s="2300"/>
      <c r="I46" s="2300"/>
      <c r="J46" s="2300"/>
      <c r="K46" s="2308"/>
      <c r="L46" s="2313"/>
      <c r="M46" s="2313"/>
      <c r="N46" s="2308"/>
      <c r="O46" s="2300"/>
      <c r="P46" s="2300"/>
      <c r="Q46" s="2308"/>
      <c r="R46" s="2320"/>
    </row>
    <row r="47" spans="2:18">
      <c r="B47" s="2301" t="s">
        <v>11764</v>
      </c>
      <c r="C47" s="2299"/>
      <c r="D47" s="2300"/>
      <c r="E47" s="2300"/>
      <c r="F47" s="2300"/>
      <c r="G47" s="2300"/>
      <c r="H47" s="2300"/>
      <c r="I47" s="2300"/>
      <c r="J47" s="2300"/>
      <c r="K47" s="2308"/>
      <c r="L47" s="2314"/>
      <c r="M47" s="2299"/>
      <c r="N47" s="2299"/>
      <c r="O47" s="2299"/>
      <c r="P47" s="2315"/>
      <c r="Q47" s="2321"/>
      <c r="R47" s="2320"/>
    </row>
    <row r="48" spans="2:18">
      <c r="B48" s="2302"/>
      <c r="C48" s="2303"/>
      <c r="D48" s="2303"/>
      <c r="E48" s="2303"/>
      <c r="F48" s="2303"/>
      <c r="G48" s="2303"/>
      <c r="H48" s="2303"/>
      <c r="I48" s="2303"/>
      <c r="J48" s="2303"/>
      <c r="K48" s="2303"/>
      <c r="L48" s="2303"/>
      <c r="M48" s="2303"/>
      <c r="N48" s="2303"/>
      <c r="O48" s="2303"/>
      <c r="P48" s="2303"/>
      <c r="Q48" s="2303"/>
      <c r="R48" s="2322"/>
    </row>
  </sheetData>
  <mergeCells count="4">
    <mergeCell ref="R9:S9"/>
    <mergeCell ref="R10:S10"/>
    <mergeCell ref="G9:H10"/>
    <mergeCell ref="M9:N10"/>
  </mergeCells>
  <printOptions horizontalCentered="1"/>
  <pageMargins left="0.905511811023622" right="0.511811023622047" top="0.905511811023622" bottom="0.511811023622047" header="0.511811023622047" footer="0.511811023622047"/>
  <pageSetup paperSize="9" scale="55" orientation="landscape"/>
  <headerFooter alignWithMargins="0"/>
  <drawing r:id="rId1"/>
  <legacyDrawing r:id="rId2"/>
  <oleObjects>
    <mc:AlternateContent xmlns:mc="http://schemas.openxmlformats.org/markup-compatibility/2006">
      <mc:Choice Requires="x14">
        <oleObject shapeId="2514945" progId="Paint.Picture" r:id="rId3">
          <objectPr defaultSize="0" r:id="rId4">
            <anchor moveWithCells="1">
              <from>
                <xdr:col>1</xdr:col>
                <xdr:colOff>146050</xdr:colOff>
                <xdr:row>26</xdr:row>
                <xdr:rowOff>158750</xdr:rowOff>
              </from>
              <to>
                <xdr:col>1</xdr:col>
                <xdr:colOff>298450</xdr:colOff>
                <xdr:row>27</xdr:row>
                <xdr:rowOff>146050</xdr:rowOff>
              </to>
            </anchor>
          </objectPr>
        </oleObject>
      </mc:Choice>
      <mc:Fallback>
        <oleObject shapeId="2514945" progId="Paint.Picture" r:id="rId3"/>
      </mc:Fallback>
    </mc:AlternateContent>
    <mc:AlternateContent xmlns:mc="http://schemas.openxmlformats.org/markup-compatibility/2006">
      <mc:Choice Requires="x14">
        <oleObject shapeId="2514946" progId="Paint.Picture" r:id="rId5">
          <objectPr defaultSize="0" r:id="rId6">
            <anchor moveWithCells="1">
              <from>
                <xdr:col>1</xdr:col>
                <xdr:colOff>146050</xdr:colOff>
                <xdr:row>25</xdr:row>
                <xdr:rowOff>12700</xdr:rowOff>
              </from>
              <to>
                <xdr:col>1</xdr:col>
                <xdr:colOff>292100</xdr:colOff>
                <xdr:row>26</xdr:row>
                <xdr:rowOff>12700</xdr:rowOff>
              </to>
            </anchor>
          </objectPr>
        </oleObject>
      </mc:Choice>
      <mc:Fallback>
        <oleObject shapeId="2514946" progId="Paint.Picture" r:id="rId5"/>
      </mc:Fallback>
    </mc:AlternateContent>
    <mc:AlternateContent xmlns:mc="http://schemas.openxmlformats.org/markup-compatibility/2006">
      <mc:Choice Requires="x14">
        <oleObject shapeId="2514947" progId="Paint.Picture" r:id="rId7">
          <objectPr defaultSize="0" r:id="rId6">
            <anchor moveWithCells="1">
              <from>
                <xdr:col>16</xdr:col>
                <xdr:colOff>539750</xdr:colOff>
                <xdr:row>6</xdr:row>
                <xdr:rowOff>133350</xdr:rowOff>
              </from>
              <to>
                <xdr:col>16</xdr:col>
                <xdr:colOff>723900</xdr:colOff>
                <xdr:row>7</xdr:row>
                <xdr:rowOff>146050</xdr:rowOff>
              </to>
            </anchor>
          </objectPr>
        </oleObject>
      </mc:Choice>
      <mc:Fallback>
        <oleObject shapeId="2514947" progId="Paint.Picture" r:id="rId7"/>
      </mc:Fallback>
    </mc:AlternateContent>
    <mc:AlternateContent xmlns:mc="http://schemas.openxmlformats.org/markup-compatibility/2006">
      <mc:Choice Requires="x14">
        <oleObject shapeId="2514948" progId="Paint.Picture" r:id="rId8">
          <objectPr defaultSize="0" r:id="rId4">
            <anchor moveWithCells="1">
              <from>
                <xdr:col>10</xdr:col>
                <xdr:colOff>0</xdr:colOff>
                <xdr:row>19</xdr:row>
                <xdr:rowOff>158750</xdr:rowOff>
              </from>
              <to>
                <xdr:col>10</xdr:col>
                <xdr:colOff>222250</xdr:colOff>
                <xdr:row>21</xdr:row>
                <xdr:rowOff>44450</xdr:rowOff>
              </to>
            </anchor>
          </objectPr>
        </oleObject>
      </mc:Choice>
      <mc:Fallback>
        <oleObject shapeId="2514948" progId="Paint.Picture" r:id="rId8"/>
      </mc:Fallback>
    </mc:AlternateContent>
  </oleObjects>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9">
    <tabColor theme="6" tint="-0.249977111117893"/>
    <pageSetUpPr fitToPage="1"/>
  </sheetPr>
  <dimension ref="B2:U97"/>
  <sheetViews>
    <sheetView showGridLines="0" zoomScale="115" zoomScaleNormal="115" workbookViewId="0">
      <pane xSplit="4" ySplit="12" topLeftCell="E40" activePane="bottomRight" state="frozen"/>
      <selection/>
      <selection pane="topRight"/>
      <selection pane="bottomLeft"/>
      <selection pane="bottomRight" activeCell="D48" sqref="D48"/>
    </sheetView>
  </sheetViews>
  <sheetFormatPr defaultColWidth="9" defaultRowHeight="13.2"/>
  <cols>
    <col min="1" max="1" width="2.84375" customWidth="1"/>
    <col min="2" max="2" width="3.73958333333333" customWidth="1"/>
    <col min="3" max="3" width="28.46875" customWidth="1"/>
    <col min="4" max="4" width="7.1875" style="102" customWidth="1"/>
    <col min="5" max="5" width="17.2291666666667" style="102" customWidth="1"/>
    <col min="6" max="8" width="16.1770833333333" style="102" customWidth="1"/>
    <col min="9" max="9" width="15.1354166666667" style="102" customWidth="1"/>
    <col min="10" max="10" width="17.9791666666667" style="102" customWidth="1"/>
    <col min="11" max="11" width="17.6770833333333" customWidth="1" outlineLevel="2"/>
    <col min="12" max="12" width="5.39583333333333" customWidth="1" outlineLevel="2"/>
    <col min="13" max="13" width="16.3333333333333" customWidth="1" outlineLevel="2"/>
    <col min="14" max="14" width="16.1770833333333" customWidth="1" outlineLevel="2"/>
    <col min="15" max="15" width="4.9375" customWidth="1" outlineLevel="2"/>
    <col min="16" max="17" width="16.3333333333333" customWidth="1"/>
    <col min="18" max="18" width="16.1770833333333" customWidth="1"/>
    <col min="19" max="19" width="9.13541666666667" style="1953" customWidth="1"/>
    <col min="21" max="21" width="13.3333333333333" customWidth="1"/>
  </cols>
  <sheetData>
    <row r="2" ht="21" spans="2:18">
      <c r="B2" s="1499" t="str">
        <f>BB!B2</f>
        <v>KAP LIASTA NIRWAN SYAFRUDIN &amp; REKAN</v>
      </c>
      <c r="C2" s="731"/>
      <c r="D2" s="731"/>
      <c r="E2" s="731"/>
      <c r="F2" s="731"/>
      <c r="G2" s="731"/>
      <c r="H2" s="731"/>
      <c r="I2" s="731"/>
      <c r="J2" s="731"/>
      <c r="K2" s="731"/>
      <c r="L2" s="731"/>
      <c r="M2" s="731"/>
      <c r="N2" s="731"/>
      <c r="O2" s="746"/>
      <c r="P2" s="731" t="s">
        <v>481</v>
      </c>
      <c r="Q2" s="765" t="s">
        <v>482</v>
      </c>
      <c r="R2" s="766" t="s">
        <v>483</v>
      </c>
    </row>
    <row r="3" ht="15.6" spans="2:18">
      <c r="B3" s="1500"/>
      <c r="C3" s="1501"/>
      <c r="D3" s="1502"/>
      <c r="E3" s="1954"/>
      <c r="F3" s="1954"/>
      <c r="G3" s="1954"/>
      <c r="H3" s="1954"/>
      <c r="I3" s="1954"/>
      <c r="J3" s="1954"/>
      <c r="K3" s="1504"/>
      <c r="L3" s="1504"/>
      <c r="M3" s="1505"/>
      <c r="N3" s="1505"/>
      <c r="O3" s="1586"/>
      <c r="P3" s="738" t="s">
        <v>484</v>
      </c>
      <c r="Q3" s="767">
        <v>45106</v>
      </c>
      <c r="R3" s="768" t="s">
        <v>774</v>
      </c>
    </row>
    <row r="4" spans="2:18">
      <c r="B4" s="1699"/>
      <c r="C4" s="1548"/>
      <c r="D4" s="1548"/>
      <c r="E4" s="1548"/>
      <c r="F4" s="1548"/>
      <c r="G4" s="1548"/>
      <c r="H4" s="1548"/>
      <c r="I4" s="1548"/>
      <c r="J4" s="1548"/>
      <c r="K4" s="1548"/>
      <c r="L4" s="1548"/>
      <c r="M4" s="1548"/>
      <c r="N4" s="1548"/>
      <c r="O4" s="746"/>
      <c r="P4" s="742" t="s">
        <v>487</v>
      </c>
      <c r="Q4" s="769" t="s">
        <v>482</v>
      </c>
      <c r="R4" s="770" t="s">
        <v>488</v>
      </c>
    </row>
    <row r="5" spans="2:18">
      <c r="B5" s="1546" t="s">
        <v>622</v>
      </c>
      <c r="C5" s="1547" t="str">
        <f>+BB!C4</f>
        <v>PT INTAN GIRI ABADI</v>
      </c>
      <c r="D5" s="1547"/>
      <c r="E5" s="1547"/>
      <c r="F5" s="1547"/>
      <c r="G5" s="1547"/>
      <c r="H5" s="1547"/>
      <c r="I5" s="1547"/>
      <c r="J5" s="1547"/>
      <c r="K5" s="1547"/>
      <c r="L5" s="1547"/>
      <c r="M5" s="1547"/>
      <c r="N5" s="1547"/>
      <c r="O5" s="746"/>
      <c r="P5" s="746"/>
      <c r="Q5" s="1473"/>
      <c r="R5" s="1474"/>
    </row>
    <row r="6" ht="6.95" customHeight="1" spans="2:18">
      <c r="B6" s="775"/>
      <c r="C6" s="753"/>
      <c r="D6" s="753"/>
      <c r="E6" s="753"/>
      <c r="F6" s="753"/>
      <c r="G6" s="753"/>
      <c r="H6" s="753"/>
      <c r="I6" s="753"/>
      <c r="J6" s="753"/>
      <c r="K6" s="753"/>
      <c r="L6" s="753"/>
      <c r="M6" s="753"/>
      <c r="N6" s="753"/>
      <c r="O6" s="1592"/>
      <c r="P6" s="1592"/>
      <c r="Q6" s="771"/>
      <c r="R6" s="772"/>
    </row>
    <row r="7" ht="11.4" spans="2:18">
      <c r="B7" s="773"/>
      <c r="C7" s="742"/>
      <c r="D7" s="742"/>
      <c r="E7" s="742"/>
      <c r="F7" s="742"/>
      <c r="G7" s="742"/>
      <c r="H7" s="742"/>
      <c r="I7" s="742"/>
      <c r="J7" s="742"/>
      <c r="K7" s="742"/>
      <c r="L7" s="742"/>
      <c r="M7" s="742"/>
      <c r="N7" s="742"/>
      <c r="O7" s="770"/>
      <c r="P7" s="742"/>
      <c r="Q7" s="773"/>
      <c r="R7" s="774" t="s">
        <v>491</v>
      </c>
    </row>
    <row r="8" ht="12" spans="2:18">
      <c r="B8" s="1549" t="s">
        <v>623</v>
      </c>
      <c r="C8" s="1550" t="s">
        <v>12402</v>
      </c>
      <c r="D8" s="753"/>
      <c r="E8" s="753"/>
      <c r="F8" s="753"/>
      <c r="G8" s="753"/>
      <c r="H8" s="753"/>
      <c r="I8" s="753"/>
      <c r="J8" s="753"/>
      <c r="K8" s="753"/>
      <c r="L8" s="753"/>
      <c r="M8" s="753"/>
      <c r="N8" s="753"/>
      <c r="O8" s="1599"/>
      <c r="P8" s="753"/>
      <c r="Q8" s="775"/>
      <c r="R8" s="776">
        <f>A!V7</f>
        <v>44926</v>
      </c>
    </row>
    <row r="10" spans="2:19">
      <c r="B10" s="1956"/>
      <c r="C10" s="1957"/>
      <c r="D10" s="1958" t="s">
        <v>12403</v>
      </c>
      <c r="E10" s="2018"/>
      <c r="F10" s="1959"/>
      <c r="G10" s="1960" t="s">
        <v>1228</v>
      </c>
      <c r="H10" s="1961"/>
      <c r="I10" s="2017"/>
      <c r="J10" s="2018"/>
      <c r="K10" s="2017"/>
      <c r="L10" s="1959"/>
      <c r="M10" s="1960" t="s">
        <v>1228</v>
      </c>
      <c r="N10" s="1961"/>
      <c r="O10" s="2017"/>
      <c r="P10" s="2017"/>
      <c r="Q10" s="2017"/>
      <c r="R10" s="2057">
        <f>K12</f>
        <v>44561</v>
      </c>
      <c r="S10" s="2058"/>
    </row>
    <row r="11" spans="2:19">
      <c r="B11" s="1962"/>
      <c r="C11" s="1963"/>
      <c r="D11" s="1964"/>
      <c r="E11" s="1967" t="s">
        <v>996</v>
      </c>
      <c r="F11" s="1965" t="s">
        <v>1230</v>
      </c>
      <c r="G11" s="1966" t="s">
        <v>1231</v>
      </c>
      <c r="H11" s="1967" t="s">
        <v>1232</v>
      </c>
      <c r="I11" s="1965" t="s">
        <v>1230</v>
      </c>
      <c r="J11" s="1967" t="s">
        <v>1233</v>
      </c>
      <c r="K11" s="1965" t="s">
        <v>996</v>
      </c>
      <c r="L11" s="1965" t="s">
        <v>1230</v>
      </c>
      <c r="M11" s="1966" t="s">
        <v>1231</v>
      </c>
      <c r="N11" s="1967" t="s">
        <v>1232</v>
      </c>
      <c r="O11" s="1965" t="s">
        <v>1230</v>
      </c>
      <c r="P11" s="1965" t="s">
        <v>1233</v>
      </c>
      <c r="Q11" s="5144" t="str">
        <f>P11</f>
        <v>Saldo Audit</v>
      </c>
      <c r="R11" s="2059" t="s">
        <v>12404</v>
      </c>
      <c r="S11" s="2060"/>
    </row>
    <row r="12" ht="13.95" spans="2:19">
      <c r="B12" s="1968" t="s">
        <v>4</v>
      </c>
      <c r="C12" s="1969"/>
      <c r="D12" s="1970"/>
      <c r="E12" s="2019">
        <f>+J12</f>
        <v>44926</v>
      </c>
      <c r="F12" s="2174" t="s">
        <v>1235</v>
      </c>
      <c r="G12" s="1972"/>
      <c r="H12" s="1973"/>
      <c r="I12" s="1972" t="s">
        <v>1235</v>
      </c>
      <c r="J12" s="2195">
        <f>+K12+365</f>
        <v>44926</v>
      </c>
      <c r="K12" s="1971">
        <v>44561</v>
      </c>
      <c r="L12" s="1971" t="s">
        <v>1235</v>
      </c>
      <c r="M12" s="1972"/>
      <c r="N12" s="1973"/>
      <c r="O12" s="1972" t="s">
        <v>1235</v>
      </c>
      <c r="P12" s="1971">
        <f>K12</f>
        <v>44561</v>
      </c>
      <c r="Q12" s="1971">
        <f>+P12-365</f>
        <v>44196</v>
      </c>
      <c r="R12" s="2061" t="s">
        <v>1132</v>
      </c>
      <c r="S12" s="2062" t="s">
        <v>12405</v>
      </c>
    </row>
    <row r="13" spans="2:19">
      <c r="B13" s="1974"/>
      <c r="C13" s="1975"/>
      <c r="D13" s="1976"/>
      <c r="E13" s="1977"/>
      <c r="F13" s="1976"/>
      <c r="G13" s="1977"/>
      <c r="H13" s="1976"/>
      <c r="I13" s="1977"/>
      <c r="J13" s="1976"/>
      <c r="K13" s="2021"/>
      <c r="L13" s="2024"/>
      <c r="M13" s="2023"/>
      <c r="N13" s="2023"/>
      <c r="O13" s="2196"/>
      <c r="P13" s="2024"/>
      <c r="Q13" s="1975"/>
      <c r="R13" s="2233"/>
      <c r="S13" s="2234"/>
    </row>
    <row r="14" ht="15" spans="2:19">
      <c r="B14" s="286"/>
      <c r="C14" s="2175" t="s">
        <v>12406</v>
      </c>
      <c r="D14" s="2176"/>
      <c r="E14" s="131"/>
      <c r="G14" s="191"/>
      <c r="H14"/>
      <c r="I14" s="191"/>
      <c r="J14"/>
      <c r="K14" s="191"/>
      <c r="L14" s="191"/>
      <c r="M14" s="2197"/>
      <c r="N14" s="2197"/>
      <c r="P14" s="191"/>
      <c r="R14" s="191"/>
      <c r="S14" s="2235"/>
    </row>
    <row r="15" spans="2:19">
      <c r="B15" s="286"/>
      <c r="C15" s="304" t="s">
        <v>1880</v>
      </c>
      <c r="D15" s="2177" t="s">
        <v>12407</v>
      </c>
      <c r="E15" s="161">
        <v>3675574955</v>
      </c>
      <c r="F15" s="1982"/>
      <c r="G15" s="191"/>
      <c r="H15"/>
      <c r="I15" s="191"/>
      <c r="J15" s="162">
        <f>E15+H15-G15</f>
        <v>3675574955</v>
      </c>
      <c r="K15" s="161">
        <v>4758064607</v>
      </c>
      <c r="L15" s="161"/>
      <c r="M15" s="2198"/>
      <c r="N15" s="2198"/>
      <c r="O15" s="101"/>
      <c r="P15" s="161">
        <f>K15+N15-M15</f>
        <v>4758064607</v>
      </c>
      <c r="Q15" s="101">
        <v>5770583864</v>
      </c>
      <c r="R15" s="161">
        <f>E15-K15</f>
        <v>-1082489652</v>
      </c>
      <c r="S15" s="2235">
        <f>IF(P15=0,IF(P15=0,1,R15/R15),R15/P15)</f>
        <v>-0.227506295397388</v>
      </c>
    </row>
    <row r="16" spans="2:19">
      <c r="B16" s="286"/>
      <c r="C16" s="304" t="s">
        <v>1881</v>
      </c>
      <c r="D16" s="2177" t="s">
        <v>12408</v>
      </c>
      <c r="E16" s="161">
        <v>1258000000</v>
      </c>
      <c r="F16" s="1982"/>
      <c r="G16" s="191"/>
      <c r="H16"/>
      <c r="I16" s="191"/>
      <c r="J16" s="157">
        <f>E16+H16-G16</f>
        <v>1258000000</v>
      </c>
      <c r="K16" s="161">
        <v>1300606168.16</v>
      </c>
      <c r="L16" s="161"/>
      <c r="M16" s="2198">
        <v>0</v>
      </c>
      <c r="N16" s="2199">
        <v>0</v>
      </c>
      <c r="O16" s="161"/>
      <c r="P16" s="304">
        <f>K16+N16-M16</f>
        <v>1300606168.16</v>
      </c>
      <c r="Q16" s="101">
        <v>1300606168.16</v>
      </c>
      <c r="R16" s="161">
        <f>E16-K16</f>
        <v>-42606168.1600001</v>
      </c>
      <c r="S16" s="2235">
        <f>IF(P16=0,IF(P16=0,1,R16/R16),R16/P16)</f>
        <v>-0.0327587006759134</v>
      </c>
    </row>
    <row r="17" spans="2:19">
      <c r="B17" s="286"/>
      <c r="C17" s="304" t="s">
        <v>1885</v>
      </c>
      <c r="D17" s="2177" t="s">
        <v>12409</v>
      </c>
      <c r="E17" s="161">
        <v>2500000000</v>
      </c>
      <c r="F17" s="1982"/>
      <c r="G17" s="191"/>
      <c r="H17"/>
      <c r="I17" s="191"/>
      <c r="J17" s="157">
        <f>E17+H17-G17</f>
        <v>2500000000</v>
      </c>
      <c r="K17" s="161">
        <v>5000000000</v>
      </c>
      <c r="L17" s="161"/>
      <c r="M17" s="2198"/>
      <c r="N17" s="2199"/>
      <c r="O17" s="161"/>
      <c r="P17" s="230">
        <f>K17+N17-M17</f>
        <v>5000000000</v>
      </c>
      <c r="Q17" s="101">
        <v>5000000000</v>
      </c>
      <c r="R17" s="161">
        <f>E17-K17</f>
        <v>-2500000000</v>
      </c>
      <c r="S17" s="2235">
        <f>IF(P17=0,IF(P17=0,1,R17/R17),R17/P17)</f>
        <v>-0.5</v>
      </c>
    </row>
    <row r="18" spans="2:19">
      <c r="B18" s="286"/>
      <c r="C18" s="304"/>
      <c r="D18" s="2177"/>
      <c r="E18" s="143"/>
      <c r="F18" s="1982"/>
      <c r="G18" s="171"/>
      <c r="H18" s="143"/>
      <c r="I18" s="191"/>
      <c r="J18" s="201"/>
      <c r="K18" s="109"/>
      <c r="L18" s="236"/>
      <c r="M18" s="2200"/>
      <c r="N18" s="2200"/>
      <c r="O18" s="236"/>
      <c r="P18" s="2180"/>
      <c r="Q18" s="143"/>
      <c r="R18" s="143"/>
      <c r="S18" s="2236"/>
    </row>
    <row r="19" spans="2:19">
      <c r="B19" s="286"/>
      <c r="C19" s="304" t="s">
        <v>12410</v>
      </c>
      <c r="D19" s="2177"/>
      <c r="E19" s="161">
        <f>SUM(E15:E18)</f>
        <v>7433574955</v>
      </c>
      <c r="F19" s="1982"/>
      <c r="G19" s="2178">
        <f>SUM(G14:G18)</f>
        <v>0</v>
      </c>
      <c r="H19" s="2178">
        <f>SUM(H14:H18)</f>
        <v>0</v>
      </c>
      <c r="I19" s="2028"/>
      <c r="J19" s="1217">
        <f>SUM(J15:J18)</f>
        <v>7433574955</v>
      </c>
      <c r="K19" s="308">
        <f>SUM(K15:K18)</f>
        <v>11058670775.16</v>
      </c>
      <c r="L19" s="289"/>
      <c r="M19" s="2178">
        <f>SUM(M14:M18)</f>
        <v>0</v>
      </c>
      <c r="N19" s="2178">
        <f>SUM(N14:N18)</f>
        <v>0</v>
      </c>
      <c r="O19" s="296"/>
      <c r="P19" s="161">
        <f>SUM(P15:P18)</f>
        <v>11058670775.16</v>
      </c>
      <c r="Q19" s="184">
        <f>SUM(Q15:Q18)</f>
        <v>12071190032.16</v>
      </c>
      <c r="R19" s="161">
        <f>E19-K19</f>
        <v>-3625095820.16</v>
      </c>
      <c r="S19" s="2235">
        <f>IF(P19=0,IF(P19=0,1,R19/R19),R19/P19)</f>
        <v>-0.327805745723319</v>
      </c>
    </row>
    <row r="20" spans="2:19">
      <c r="B20" s="286"/>
      <c r="C20" s="304"/>
      <c r="D20" s="2177"/>
      <c r="E20" s="161"/>
      <c r="F20" s="1982"/>
      <c r="G20" s="2028"/>
      <c r="H20" s="1982"/>
      <c r="I20" s="2028"/>
      <c r="J20" s="296"/>
      <c r="K20" s="161"/>
      <c r="L20" s="289"/>
      <c r="M20" s="2199"/>
      <c r="N20" s="2035"/>
      <c r="O20" s="296"/>
      <c r="P20" s="296"/>
      <c r="Q20" s="161"/>
      <c r="R20" s="2237"/>
      <c r="S20" s="2235"/>
    </row>
    <row r="21" ht="15" spans="2:19">
      <c r="B21" s="286"/>
      <c r="C21" s="2175" t="s">
        <v>12411</v>
      </c>
      <c r="D21" s="2177"/>
      <c r="E21" s="161"/>
      <c r="F21" s="1982"/>
      <c r="G21" s="2028"/>
      <c r="H21" s="1982"/>
      <c r="I21" s="191"/>
      <c r="J21" s="296"/>
      <c r="K21" s="304"/>
      <c r="L21" s="101"/>
      <c r="M21" s="2035"/>
      <c r="N21" s="2199"/>
      <c r="O21" s="161"/>
      <c r="P21" s="101"/>
      <c r="Q21" s="161"/>
      <c r="R21" s="2237"/>
      <c r="S21" s="2235"/>
    </row>
    <row r="22" spans="2:19">
      <c r="B22" s="286"/>
      <c r="C22" s="304" t="s">
        <v>1880</v>
      </c>
      <c r="D22" s="2177" t="s">
        <v>12412</v>
      </c>
      <c r="E22" s="174">
        <v>3309460000</v>
      </c>
      <c r="F22" s="1982"/>
      <c r="G22" s="2028"/>
      <c r="H22" s="191"/>
      <c r="I22" s="191"/>
      <c r="J22" s="174">
        <f>E22+H22-G22</f>
        <v>3309460000</v>
      </c>
      <c r="K22" s="174">
        <v>3823907983</v>
      </c>
      <c r="L22" s="229"/>
      <c r="M22" s="2201"/>
      <c r="N22" s="2202"/>
      <c r="O22" s="174"/>
      <c r="P22" s="230">
        <f>K22+N22-M22</f>
        <v>3823907983</v>
      </c>
      <c r="Q22" s="161">
        <v>5171104034</v>
      </c>
      <c r="R22" s="161">
        <f>E22-K22</f>
        <v>-514447983</v>
      </c>
      <c r="S22" s="2235">
        <f t="shared" ref="S22:S28" si="0">IF(P22=0,IF(P22=0,1,R22/R22),R22/P22)</f>
        <v>-0.134534613617035</v>
      </c>
    </row>
    <row r="23" spans="2:19">
      <c r="B23" s="286"/>
      <c r="C23" s="304" t="s">
        <v>1881</v>
      </c>
      <c r="D23" s="2177" t="s">
        <v>12413</v>
      </c>
      <c r="E23" s="174">
        <v>4753894385.51</v>
      </c>
      <c r="F23" s="1982"/>
      <c r="G23" s="2028"/>
      <c r="H23" s="1982"/>
      <c r="I23" s="191"/>
      <c r="J23" s="174">
        <f>E23+H23-G23</f>
        <v>4753894385.51</v>
      </c>
      <c r="K23" s="174">
        <v>4873933167.04</v>
      </c>
      <c r="L23" s="229"/>
      <c r="M23" s="2201"/>
      <c r="N23" s="2202"/>
      <c r="O23" s="174"/>
      <c r="P23" s="230">
        <f>K23+N23-M23</f>
        <v>4873933167.04</v>
      </c>
      <c r="Q23" s="161">
        <v>4989384474.84</v>
      </c>
      <c r="R23" s="161">
        <f>E23-K23</f>
        <v>-120038781.53</v>
      </c>
      <c r="S23" s="2235">
        <f t="shared" si="0"/>
        <v>-0.0246287294913608</v>
      </c>
    </row>
    <row r="24" spans="2:19">
      <c r="B24" s="286"/>
      <c r="C24" s="304" t="s">
        <v>1885</v>
      </c>
      <c r="D24" s="2177" t="s">
        <v>12414</v>
      </c>
      <c r="E24" s="174">
        <v>2500000000</v>
      </c>
      <c r="F24" s="1982"/>
      <c r="G24" s="2028"/>
      <c r="H24" s="1982"/>
      <c r="I24" s="191"/>
      <c r="J24" s="174">
        <f>E24+H24-G24</f>
        <v>2500000000</v>
      </c>
      <c r="K24" s="174">
        <v>0</v>
      </c>
      <c r="L24" s="229"/>
      <c r="M24" s="2201"/>
      <c r="N24" s="2202"/>
      <c r="O24" s="174"/>
      <c r="P24" s="230">
        <f>K24+N24-M24</f>
        <v>0</v>
      </c>
      <c r="Q24" s="161">
        <v>0</v>
      </c>
      <c r="R24" s="2237">
        <f>K24-Q24</f>
        <v>0</v>
      </c>
      <c r="S24" s="2235">
        <f t="shared" si="0"/>
        <v>1</v>
      </c>
    </row>
    <row r="25" spans="2:19">
      <c r="B25" s="286"/>
      <c r="C25" s="304"/>
      <c r="D25" s="2179"/>
      <c r="E25" s="2180"/>
      <c r="F25" s="1982"/>
      <c r="G25" s="2180"/>
      <c r="H25" s="2180"/>
      <c r="I25" s="191"/>
      <c r="J25" s="143"/>
      <c r="K25" s="2180"/>
      <c r="L25" s="2203"/>
      <c r="M25" s="2204"/>
      <c r="N25" s="2204"/>
      <c r="O25" s="2180"/>
      <c r="P25" s="2180"/>
      <c r="Q25" s="143"/>
      <c r="R25" s="2238"/>
      <c r="S25" s="2236"/>
    </row>
    <row r="26" spans="2:19">
      <c r="B26" s="286"/>
      <c r="C26" s="304" t="s">
        <v>12415</v>
      </c>
      <c r="D26" s="2179"/>
      <c r="E26" s="174">
        <f>SUM(E22:E25)</f>
        <v>10563354385.51</v>
      </c>
      <c r="F26" s="1982"/>
      <c r="G26" s="231">
        <f>SUM(G22:G25)</f>
        <v>0</v>
      </c>
      <c r="H26" s="231">
        <f>SUM(H22:H25)</f>
        <v>0</v>
      </c>
      <c r="I26" s="2028"/>
      <c r="J26" s="231">
        <f>SUM(J22:J25)</f>
        <v>10563354385.51</v>
      </c>
      <c r="K26" s="174">
        <f>SUM(K22:K25)</f>
        <v>8697841150.04</v>
      </c>
      <c r="L26" s="229"/>
      <c r="M26" s="231">
        <f>SUM(M22:M25)</f>
        <v>0</v>
      </c>
      <c r="N26" s="231">
        <f>SUM(N22:N25)</f>
        <v>0</v>
      </c>
      <c r="O26" s="174"/>
      <c r="P26" s="231">
        <f>SUM(P22:P25)</f>
        <v>8697841150.04</v>
      </c>
      <c r="Q26" s="184">
        <f>SUM(Q22:Q25)</f>
        <v>10160488508.84</v>
      </c>
      <c r="R26" s="161">
        <f>E26-K26</f>
        <v>1865513235.47</v>
      </c>
      <c r="S26" s="2235">
        <f t="shared" si="0"/>
        <v>0.214480030537396</v>
      </c>
    </row>
    <row r="27" spans="2:19">
      <c r="B27" s="2181"/>
      <c r="C27" s="2182"/>
      <c r="D27" s="2179"/>
      <c r="E27" s="174"/>
      <c r="F27" s="291"/>
      <c r="G27" s="135"/>
      <c r="H27" s="291"/>
      <c r="I27" s="135"/>
      <c r="J27" s="230"/>
      <c r="K27" s="174"/>
      <c r="L27" s="2205"/>
      <c r="M27" s="2201"/>
      <c r="N27" s="2206"/>
      <c r="O27" s="174"/>
      <c r="P27" s="174"/>
      <c r="Q27" s="360"/>
      <c r="R27" s="296"/>
      <c r="S27" s="2239"/>
    </row>
    <row r="28" spans="2:21">
      <c r="B28" s="5141" t="s">
        <v>12416</v>
      </c>
      <c r="C28" s="1986"/>
      <c r="D28" s="1987"/>
      <c r="E28" s="2183">
        <f>E19+E26</f>
        <v>17996929340.51</v>
      </c>
      <c r="F28" s="233"/>
      <c r="G28" s="2183">
        <f>+G19+G26</f>
        <v>0</v>
      </c>
      <c r="H28" s="2183">
        <f>+H19+H26</f>
        <v>0</v>
      </c>
      <c r="I28" s="206"/>
      <c r="J28" s="2207">
        <f>J19+J26</f>
        <v>17996929340.51</v>
      </c>
      <c r="K28" s="2207">
        <f>K19+K26</f>
        <v>19756511925.2</v>
      </c>
      <c r="L28" s="2183"/>
      <c r="M28" s="2183">
        <f>+M19+M26</f>
        <v>0</v>
      </c>
      <c r="N28" s="2183">
        <f>+N19+N26</f>
        <v>0</v>
      </c>
      <c r="O28" s="2183"/>
      <c r="P28" s="2207">
        <f>P19+P26</f>
        <v>19756511925.2</v>
      </c>
      <c r="Q28" s="2240">
        <f>Q19+Q26</f>
        <v>22231678541</v>
      </c>
      <c r="R28" s="2241">
        <f>R19+R26</f>
        <v>-1759582584.69</v>
      </c>
      <c r="S28" s="2242">
        <f t="shared" si="0"/>
        <v>-0.0890634233083221</v>
      </c>
      <c r="U28" s="2069"/>
    </row>
    <row r="29" ht="13.95" spans="2:19">
      <c r="B29" s="1991"/>
      <c r="C29" s="1992"/>
      <c r="D29" s="1993"/>
      <c r="E29" s="1393">
        <f>E28-'F2'!F27-'F2'!F15</f>
        <v>-0.489997863769531</v>
      </c>
      <c r="F29" s="2184"/>
      <c r="G29" s="2184"/>
      <c r="H29" s="2184"/>
      <c r="I29" s="2184"/>
      <c r="J29" s="1395">
        <f>J28-'F2'!K27-'F2'!K15</f>
        <v>-0.489997863769531</v>
      </c>
      <c r="K29" s="1395">
        <f>K28-'F2'!L27-'F2'!L15</f>
        <v>0.200000762939453</v>
      </c>
      <c r="L29" s="2043"/>
      <c r="M29" s="2208"/>
      <c r="N29" s="2209"/>
      <c r="O29" s="2208"/>
      <c r="P29" s="2043">
        <f>P28-'F2'!Q27-'F2'!Q15</f>
        <v>0.200000762939453</v>
      </c>
      <c r="Q29" s="2043">
        <f>Q28-'F2'!R27-'F2'!R15</f>
        <v>0</v>
      </c>
      <c r="R29" s="2208"/>
      <c r="S29" s="2070"/>
    </row>
    <row r="35" spans="2:3">
      <c r="B35" s="101"/>
      <c r="C35" s="5145" t="str">
        <f>'F1'!$C$46</f>
        <v>Sesuai dengan Saldo Buku Besar Periode 31 Desember 2022 &amp; 2021</v>
      </c>
    </row>
    <row r="36" spans="2:3">
      <c r="B36" s="101"/>
      <c r="C36" s="5145" t="str">
        <f>'F1'!$C$47</f>
        <v>Sesuai dengan Saldo Audit Periode Sebelumnya</v>
      </c>
    </row>
    <row r="37" spans="2:3">
      <c r="B37" s="101"/>
      <c r="C37" s="2186" t="str">
        <f>'F1'!$C$48</f>
        <v>Rumus dan Formula Perhitungan telah Diperiksa</v>
      </c>
    </row>
    <row r="39" spans="2:19">
      <c r="B39" s="1434"/>
      <c r="C39" s="1435"/>
      <c r="D39" s="2187"/>
      <c r="E39" s="2187"/>
      <c r="F39" s="2187"/>
      <c r="G39" s="2187"/>
      <c r="H39" s="2187"/>
      <c r="I39" s="2187"/>
      <c r="J39" s="2187"/>
      <c r="K39" s="1435"/>
      <c r="L39" s="1435"/>
      <c r="M39" s="1435"/>
      <c r="N39" s="1435"/>
      <c r="O39" s="1435"/>
      <c r="P39" s="1435"/>
      <c r="Q39" s="1435"/>
      <c r="R39" s="1435"/>
      <c r="S39" s="2243"/>
    </row>
    <row r="40" spans="2:19">
      <c r="B40" s="2120"/>
      <c r="C40" s="2123" t="s">
        <v>12417</v>
      </c>
      <c r="D40" s="2188"/>
      <c r="E40" s="2188"/>
      <c r="F40" s="2188"/>
      <c r="G40" s="2188"/>
      <c r="H40" s="2188"/>
      <c r="I40" s="2188"/>
      <c r="J40" s="2188"/>
      <c r="K40" s="2189"/>
      <c r="L40" s="2210"/>
      <c r="M40" s="2211"/>
      <c r="N40" s="2211"/>
      <c r="O40" s="2212"/>
      <c r="P40" s="2189"/>
      <c r="Q40" s="2189"/>
      <c r="R40" s="2189"/>
      <c r="S40" s="2244"/>
    </row>
    <row r="41" spans="2:19">
      <c r="B41" s="2120"/>
      <c r="C41" s="2189"/>
      <c r="D41" s="2188"/>
      <c r="E41" s="2190">
        <v>2022</v>
      </c>
      <c r="F41" s="2190">
        <v>2021</v>
      </c>
      <c r="G41" s="2190">
        <v>2020</v>
      </c>
      <c r="H41" s="2190">
        <v>2019</v>
      </c>
      <c r="I41" s="2190">
        <f>+H41-1</f>
        <v>2018</v>
      </c>
      <c r="J41" s="2213">
        <v>2022</v>
      </c>
      <c r="K41" s="2214"/>
      <c r="L41" s="2215"/>
      <c r="M41" s="2216">
        <f>+J41-1</f>
        <v>2021</v>
      </c>
      <c r="N41" s="2216"/>
      <c r="O41" s="2217"/>
      <c r="P41" s="2214">
        <f>+M41-1</f>
        <v>2020</v>
      </c>
      <c r="Q41" s="2245"/>
      <c r="R41" s="2189"/>
      <c r="S41" s="2244"/>
    </row>
    <row r="42" spans="2:19">
      <c r="B42" s="2120"/>
      <c r="C42" s="2189" t="s">
        <v>1099</v>
      </c>
      <c r="D42" s="2188"/>
      <c r="E42" s="2188"/>
      <c r="F42" s="2188"/>
      <c r="G42" s="2188"/>
      <c r="H42" s="2188"/>
      <c r="I42" s="2189"/>
      <c r="J42" s="2218" t="s">
        <v>12418</v>
      </c>
      <c r="K42" s="2219" t="s">
        <v>12419</v>
      </c>
      <c r="L42" s="2215"/>
      <c r="M42" s="2220" t="s">
        <v>12418</v>
      </c>
      <c r="N42" s="2220" t="s">
        <v>12419</v>
      </c>
      <c r="O42" s="2217"/>
      <c r="P42" s="2219" t="s">
        <v>12418</v>
      </c>
      <c r="Q42" s="2246" t="s">
        <v>12419</v>
      </c>
      <c r="R42" s="2189"/>
      <c r="S42" s="2244"/>
    </row>
    <row r="43" spans="2:19">
      <c r="B43" s="2120" t="s">
        <v>732</v>
      </c>
      <c r="C43" s="2191" t="s">
        <v>14</v>
      </c>
      <c r="D43" s="2188"/>
      <c r="E43" s="2188"/>
      <c r="F43" s="2188"/>
      <c r="G43" s="2188"/>
      <c r="H43" s="2188"/>
      <c r="I43" s="2189"/>
      <c r="J43" s="2221"/>
      <c r="K43" s="2222"/>
      <c r="L43" s="2215"/>
      <c r="M43" s="2223"/>
      <c r="N43" s="2223"/>
      <c r="O43" s="2217"/>
      <c r="P43" s="2222"/>
      <c r="Q43" s="2247"/>
      <c r="R43" s="2189"/>
      <c r="S43" s="2244"/>
    </row>
    <row r="44" spans="2:19">
      <c r="B44" s="2120"/>
      <c r="C44" s="2189" t="s">
        <v>12420</v>
      </c>
      <c r="D44" s="2192"/>
      <c r="E44" s="2193">
        <v>1500000000</v>
      </c>
      <c r="F44" s="2193">
        <v>1500000000</v>
      </c>
      <c r="G44" s="2193">
        <v>1500000000</v>
      </c>
      <c r="H44" s="2193">
        <v>0</v>
      </c>
      <c r="I44" s="2189">
        <f>+[79]LOanBANK!$H$133</f>
        <v>1500000000</v>
      </c>
      <c r="J44" s="2221">
        <f>+[79]LOanBANK!$I$21</f>
        <v>1500000000</v>
      </c>
      <c r="K44" s="2222">
        <v>0</v>
      </c>
      <c r="L44" s="2215"/>
      <c r="M44" s="2223">
        <v>1500000000</v>
      </c>
      <c r="N44" s="2223">
        <v>0</v>
      </c>
      <c r="O44" s="2217"/>
      <c r="P44" s="2222">
        <f>+[79]LOanBANK!$I$96</f>
        <v>1500000000</v>
      </c>
      <c r="Q44" s="2247">
        <v>0</v>
      </c>
      <c r="R44" s="2189"/>
      <c r="S44" s="2244"/>
    </row>
    <row r="45" spans="2:19">
      <c r="B45" s="2120"/>
      <c r="C45" s="2189" t="s">
        <v>1894</v>
      </c>
      <c r="D45" s="2192"/>
      <c r="E45" s="2193">
        <v>0</v>
      </c>
      <c r="F45" s="2193">
        <v>0</v>
      </c>
      <c r="G45" s="2193">
        <v>0</v>
      </c>
      <c r="H45" s="2193">
        <v>361000000</v>
      </c>
      <c r="I45" s="2189">
        <f>+[79]LOanBANK!$H$134</f>
        <v>1180555556</v>
      </c>
      <c r="J45" s="2221"/>
      <c r="K45" s="2222"/>
      <c r="L45" s="2215"/>
      <c r="M45" s="2223">
        <v>0</v>
      </c>
      <c r="N45" s="2223">
        <v>0</v>
      </c>
      <c r="O45" s="2217"/>
      <c r="P45" s="2222">
        <v>0</v>
      </c>
      <c r="Q45" s="2247">
        <v>0</v>
      </c>
      <c r="R45" s="2189"/>
      <c r="S45" s="2244"/>
    </row>
    <row r="46" spans="2:19">
      <c r="B46" s="2120"/>
      <c r="C46" s="2189" t="s">
        <v>12421</v>
      </c>
      <c r="D46" s="2192" t="s">
        <v>1899</v>
      </c>
      <c r="E46" s="2193">
        <v>274691537</v>
      </c>
      <c r="F46" s="2193">
        <v>1123343949</v>
      </c>
      <c r="G46" s="2193">
        <v>1220540000</v>
      </c>
      <c r="H46" s="2193">
        <v>1436540000</v>
      </c>
      <c r="I46" s="2189">
        <f>+[79]LOanBANK!$H$135</f>
        <v>2162540000</v>
      </c>
      <c r="J46" s="2221">
        <f>+E46</f>
        <v>274691537</v>
      </c>
      <c r="K46" s="2222"/>
      <c r="L46" s="2215"/>
      <c r="M46" s="2223">
        <f>+[79]LOanBANK!I60</f>
        <v>748895966</v>
      </c>
      <c r="N46" s="2223">
        <f>+[79]LOanBANK!J60</f>
        <v>374447983</v>
      </c>
      <c r="O46" s="2217"/>
      <c r="P46" s="2222">
        <f>+[79]LOanBANK!I97</f>
        <v>748895966</v>
      </c>
      <c r="Q46" s="2247">
        <f>+[79]LOanBANK!J97</f>
        <v>471644034</v>
      </c>
      <c r="R46" s="2189"/>
      <c r="S46" s="2244"/>
    </row>
    <row r="47" spans="2:19">
      <c r="B47" s="2120"/>
      <c r="C47" s="2189" t="s">
        <v>12422</v>
      </c>
      <c r="D47" s="2192"/>
      <c r="E47" s="2193">
        <v>0</v>
      </c>
      <c r="F47" s="2193">
        <v>891587098</v>
      </c>
      <c r="G47" s="2193">
        <v>891587098</v>
      </c>
      <c r="H47" s="2193">
        <v>1140000000</v>
      </c>
      <c r="I47" s="2189">
        <f>+[79]LOanBANK!$H$136</f>
        <v>5000000000</v>
      </c>
      <c r="J47" s="2221"/>
      <c r="K47" s="2222"/>
      <c r="L47" s="2215"/>
      <c r="M47" s="2223">
        <f>+[79]LOanBANK!I61</f>
        <v>891587098</v>
      </c>
      <c r="N47" s="2223">
        <f>+[79]LOanBANK!J61</f>
        <v>0</v>
      </c>
      <c r="O47" s="2217"/>
      <c r="P47" s="2222">
        <f>+[79]LOanBANK!I98</f>
        <v>891587098</v>
      </c>
      <c r="Q47" s="2247">
        <f>+[79]LOanBANK!J98</f>
        <v>0</v>
      </c>
      <c r="R47" s="2189"/>
      <c r="S47" s="2244"/>
    </row>
    <row r="48" spans="2:19">
      <c r="B48" s="2120"/>
      <c r="C48" s="2189" t="s">
        <v>12423</v>
      </c>
      <c r="D48" s="2192"/>
      <c r="E48" s="2193">
        <v>0</v>
      </c>
      <c r="F48" s="2193">
        <v>0</v>
      </c>
      <c r="G48" s="2193">
        <v>595100800</v>
      </c>
      <c r="H48" s="2193">
        <v>595100800</v>
      </c>
      <c r="I48" s="2189">
        <v>0</v>
      </c>
      <c r="J48" s="2221"/>
      <c r="K48" s="2222"/>
      <c r="L48" s="2215"/>
      <c r="M48" s="2223">
        <f>+[79]LOanBANK!I62</f>
        <v>0</v>
      </c>
      <c r="N48" s="2223">
        <f>+[79]LOanBANK!J62</f>
        <v>0</v>
      </c>
      <c r="O48" s="2217"/>
      <c r="P48" s="2222">
        <f>+[79]LOanBANK!I99</f>
        <v>595100800</v>
      </c>
      <c r="Q48" s="2247">
        <f>+[79]LOanBANK!J99</f>
        <v>0</v>
      </c>
      <c r="R48" s="2189"/>
      <c r="S48" s="2244"/>
    </row>
    <row r="49" spans="2:19">
      <c r="B49" s="2120"/>
      <c r="C49" s="2189" t="s">
        <v>12424</v>
      </c>
      <c r="D49" s="2192"/>
      <c r="E49" s="2193">
        <v>0</v>
      </c>
      <c r="F49" s="2193">
        <v>0</v>
      </c>
      <c r="G49" s="2193">
        <v>660000000</v>
      </c>
      <c r="H49" s="2193">
        <v>660000000</v>
      </c>
      <c r="I49" s="2189">
        <v>0</v>
      </c>
      <c r="J49" s="2221"/>
      <c r="K49" s="2222"/>
      <c r="L49" s="2215"/>
      <c r="M49" s="2223">
        <f>+[79]LOanBANK!I63</f>
        <v>0</v>
      </c>
      <c r="N49" s="2223">
        <f>+[79]LOanBANK!J63</f>
        <v>0</v>
      </c>
      <c r="O49" s="2217"/>
      <c r="P49" s="2222">
        <f>+[79]LOanBANK!I100</f>
        <v>660000000</v>
      </c>
      <c r="Q49" s="2247">
        <f>+[79]LOanBANK!J100</f>
        <v>0</v>
      </c>
      <c r="R49" s="2189"/>
      <c r="S49" s="2244"/>
    </row>
    <row r="50" spans="2:19">
      <c r="B50" s="2120"/>
      <c r="C50" s="2189" t="s">
        <v>12425</v>
      </c>
      <c r="D50" s="2192"/>
      <c r="E50" s="2193">
        <v>4649460000</v>
      </c>
      <c r="F50" s="2193">
        <v>4824460000</v>
      </c>
      <c r="G50" s="2193">
        <v>6074460000</v>
      </c>
      <c r="H50" s="2193">
        <v>6342682222</v>
      </c>
      <c r="I50" s="2189">
        <v>0</v>
      </c>
      <c r="J50" s="2221">
        <v>1740000000</v>
      </c>
      <c r="K50" s="2222">
        <f>+E50-J50</f>
        <v>2909460000</v>
      </c>
      <c r="L50" s="2215"/>
      <c r="M50" s="2223">
        <f>+[79]LOanBANK!I64</f>
        <v>1375000000</v>
      </c>
      <c r="N50" s="2223">
        <f>+[79]LOanBANK!J64</f>
        <v>3449460000</v>
      </c>
      <c r="O50" s="2217"/>
      <c r="P50" s="2222">
        <f>+[79]LOanBANK!I101</f>
        <v>1375000000</v>
      </c>
      <c r="Q50" s="2247">
        <f>+[79]LOanBANK!J101</f>
        <v>4699460000</v>
      </c>
      <c r="R50" s="2189"/>
      <c r="S50" s="2244"/>
    </row>
    <row r="51" spans="2:19">
      <c r="B51" s="2120"/>
      <c r="C51" s="2189" t="s">
        <v>12426</v>
      </c>
      <c r="D51" s="2192"/>
      <c r="E51" s="2193">
        <v>0</v>
      </c>
      <c r="F51" s="2193">
        <f>+[79]LOanBANK!$H$65</f>
        <v>242581543</v>
      </c>
      <c r="G51" s="2193">
        <v>0</v>
      </c>
      <c r="H51" s="2193">
        <v>0</v>
      </c>
      <c r="I51" s="2193">
        <v>0</v>
      </c>
      <c r="J51" s="2221"/>
      <c r="K51" s="2222"/>
      <c r="L51" s="2215"/>
      <c r="M51" s="2223">
        <f>+[79]LOanBANK!I65</f>
        <v>242581543</v>
      </c>
      <c r="N51" s="2223">
        <f>+[79]LOanBANK!J65</f>
        <v>0</v>
      </c>
      <c r="O51" s="2217"/>
      <c r="P51" s="2222">
        <v>0</v>
      </c>
      <c r="Q51" s="2247">
        <v>0</v>
      </c>
      <c r="R51" s="2189"/>
      <c r="S51" s="2244"/>
    </row>
    <row r="52" customFormat="1" spans="2:19">
      <c r="B52" s="2120"/>
      <c r="C52" s="2189" t="s">
        <v>12427</v>
      </c>
      <c r="D52" s="2192"/>
      <c r="E52" s="2193">
        <v>132502221</v>
      </c>
      <c r="F52" s="2193"/>
      <c r="G52" s="2193"/>
      <c r="H52" s="2193"/>
      <c r="I52" s="2193"/>
      <c r="J52" s="2221">
        <f>+E52</f>
        <v>132502221</v>
      </c>
      <c r="K52" s="2222"/>
      <c r="L52" s="2215"/>
      <c r="M52" s="2223"/>
      <c r="N52" s="2223"/>
      <c r="O52" s="2217"/>
      <c r="P52" s="2222"/>
      <c r="Q52" s="2247"/>
      <c r="R52" s="2189"/>
      <c r="S52" s="2244"/>
    </row>
    <row r="53" customFormat="1" spans="2:19">
      <c r="B53" s="2120"/>
      <c r="C53" s="2189" t="s">
        <v>12428</v>
      </c>
      <c r="D53" s="2192"/>
      <c r="E53" s="2193">
        <v>428381197</v>
      </c>
      <c r="F53" s="2193"/>
      <c r="G53" s="2193"/>
      <c r="H53" s="2193"/>
      <c r="I53" s="2193"/>
      <c r="J53" s="2221">
        <f>+E53</f>
        <v>428381197</v>
      </c>
      <c r="K53" s="2222"/>
      <c r="L53" s="2215"/>
      <c r="M53" s="2223"/>
      <c r="N53" s="2223"/>
      <c r="O53" s="2217"/>
      <c r="P53" s="2222"/>
      <c r="Q53" s="2247"/>
      <c r="R53" s="2189"/>
      <c r="S53" s="2244"/>
    </row>
    <row r="54" spans="2:19">
      <c r="B54" s="2120"/>
      <c r="C54" s="2189" t="str">
        <f>+[79]LOanBANK!G102</f>
        <v>SUB TOTAL BNI</v>
      </c>
      <c r="D54" s="2188"/>
      <c r="E54" s="2194">
        <f>SUM(E44:E53)</f>
        <v>6985034955</v>
      </c>
      <c r="F54" s="2194">
        <f>SUM(F44:F51)</f>
        <v>8581972590</v>
      </c>
      <c r="G54" s="2194">
        <f>SUM(G44:G51)</f>
        <v>10941687898</v>
      </c>
      <c r="H54" s="2194">
        <f>SUM(H44:H51)</f>
        <v>10535323022</v>
      </c>
      <c r="I54" s="2194">
        <f>SUM(I44:I51)</f>
        <v>9843095556</v>
      </c>
      <c r="J54" s="2224">
        <f>SUM(J44:J53)</f>
        <v>4075574955</v>
      </c>
      <c r="K54" s="2224">
        <f>SUM(K44:K53)</f>
        <v>2909460000</v>
      </c>
      <c r="L54" s="2225"/>
      <c r="M54" s="2226">
        <f t="shared" ref="M54:R54" si="1">SUM(M44:M51)</f>
        <v>4758064607</v>
      </c>
      <c r="N54" s="2226">
        <f t="shared" si="1"/>
        <v>3823907983</v>
      </c>
      <c r="O54" s="2227">
        <f t="shared" si="1"/>
        <v>0</v>
      </c>
      <c r="P54" s="2228">
        <f t="shared" si="1"/>
        <v>5770583864</v>
      </c>
      <c r="Q54" s="2248">
        <f t="shared" si="1"/>
        <v>5171104034</v>
      </c>
      <c r="R54" s="2194">
        <f t="shared" si="1"/>
        <v>0</v>
      </c>
      <c r="S54" s="2244"/>
    </row>
    <row r="55" spans="2:19">
      <c r="B55" s="2120"/>
      <c r="C55" s="2189"/>
      <c r="D55" s="2188"/>
      <c r="E55" s="2194"/>
      <c r="F55" s="2194"/>
      <c r="G55" s="2194"/>
      <c r="H55" s="2194"/>
      <c r="I55" s="2189"/>
      <c r="J55" s="2221"/>
      <c r="K55" s="2222"/>
      <c r="L55" s="2215"/>
      <c r="M55" s="2223"/>
      <c r="N55" s="2223"/>
      <c r="O55" s="2217"/>
      <c r="P55" s="2222"/>
      <c r="Q55" s="2247"/>
      <c r="R55" s="2189"/>
      <c r="S55" s="2244"/>
    </row>
    <row r="56" spans="2:19">
      <c r="B56" s="2120" t="s">
        <v>735</v>
      </c>
      <c r="C56" s="2191" t="s">
        <v>12429</v>
      </c>
      <c r="D56" s="2188"/>
      <c r="E56" s="2188"/>
      <c r="F56" s="2188"/>
      <c r="G56" s="2188"/>
      <c r="H56" s="2188"/>
      <c r="I56" s="2189"/>
      <c r="J56" s="2221"/>
      <c r="K56" s="2222"/>
      <c r="L56" s="2215"/>
      <c r="M56" s="2223"/>
      <c r="N56" s="2223"/>
      <c r="O56" s="2217"/>
      <c r="P56" s="2222"/>
      <c r="Q56" s="2247"/>
      <c r="R56" s="2189"/>
      <c r="S56" s="2244"/>
    </row>
    <row r="57" spans="2:19">
      <c r="B57" s="2120"/>
      <c r="C57" s="2189" t="s">
        <v>12430</v>
      </c>
      <c r="D57" s="2188"/>
      <c r="E57" s="2193">
        <v>1000000000</v>
      </c>
      <c r="F57" s="2193">
        <v>1000000000</v>
      </c>
      <c r="G57" s="2193">
        <v>1000000000</v>
      </c>
      <c r="H57" s="2193">
        <v>1000000000</v>
      </c>
      <c r="I57" s="2229">
        <v>0</v>
      </c>
      <c r="J57" s="2221">
        <f>+[79]LOanBANK!$I$29</f>
        <v>1000000000</v>
      </c>
      <c r="K57" s="2222"/>
      <c r="L57" s="2215"/>
      <c r="M57" s="2223">
        <v>1000000000</v>
      </c>
      <c r="N57" s="2223"/>
      <c r="O57" s="2217"/>
      <c r="P57" s="2222">
        <v>1000000000</v>
      </c>
      <c r="Q57" s="2247"/>
      <c r="R57" s="2189"/>
      <c r="S57" s="2244"/>
    </row>
    <row r="58" spans="2:19">
      <c r="B58" s="2120"/>
      <c r="C58" s="2189" t="s">
        <v>12431</v>
      </c>
      <c r="D58" s="2188"/>
      <c r="E58" s="2193">
        <f>+J58+K58</f>
        <v>5011894386</v>
      </c>
      <c r="F58" s="2193">
        <v>5174539335.2</v>
      </c>
      <c r="G58" s="2193">
        <v>5289990643</v>
      </c>
      <c r="H58" s="2193">
        <v>5383233979</v>
      </c>
      <c r="I58" s="2229">
        <v>0</v>
      </c>
      <c r="J58" s="2221">
        <f>+[79]LOanBANK!$I$30</f>
        <v>300606168.16</v>
      </c>
      <c r="K58" s="2222">
        <f>4763929848.84-52641631</f>
        <v>4711288217.84</v>
      </c>
      <c r="L58" s="2215"/>
      <c r="M58" s="2223">
        <v>300606168.16</v>
      </c>
      <c r="N58" s="2223">
        <v>4873933167.04</v>
      </c>
      <c r="O58" s="2217"/>
      <c r="P58" s="2222">
        <v>300606168.16</v>
      </c>
      <c r="Q58" s="2247">
        <v>4873933167.04</v>
      </c>
      <c r="R58" s="2189"/>
      <c r="S58" s="2244"/>
    </row>
    <row r="59" spans="2:19">
      <c r="B59" s="2120"/>
      <c r="C59" s="2189" t="s">
        <v>12432</v>
      </c>
      <c r="D59" s="2188"/>
      <c r="E59" s="2194">
        <f t="shared" ref="E59:K59" si="2">SUM(E57:E58)</f>
        <v>6011894386</v>
      </c>
      <c r="F59" s="2194">
        <f t="shared" si="2"/>
        <v>6174539335.2</v>
      </c>
      <c r="G59" s="2194">
        <f t="shared" si="2"/>
        <v>6289990643</v>
      </c>
      <c r="H59" s="2194">
        <f t="shared" si="2"/>
        <v>6383233979</v>
      </c>
      <c r="I59" s="2194">
        <f t="shared" si="2"/>
        <v>0</v>
      </c>
      <c r="J59" s="2224">
        <f t="shared" si="2"/>
        <v>1300606168.16</v>
      </c>
      <c r="K59" s="2228">
        <f t="shared" si="2"/>
        <v>4711288217.84</v>
      </c>
      <c r="L59" s="2215"/>
      <c r="M59" s="2226">
        <f>SUM(M57:M58)</f>
        <v>1300606168.16</v>
      </c>
      <c r="N59" s="2226">
        <f>SUM(N57:N58)</f>
        <v>4873933167.04</v>
      </c>
      <c r="O59" s="2217"/>
      <c r="P59" s="2228">
        <f>SUM(P57:P58)</f>
        <v>1300606168.16</v>
      </c>
      <c r="Q59" s="2248">
        <f>SUM(Q57:Q58)</f>
        <v>4873933167.04</v>
      </c>
      <c r="R59" s="2189"/>
      <c r="S59" s="2244"/>
    </row>
    <row r="60" spans="2:19">
      <c r="B60" s="2120"/>
      <c r="C60" s="2189"/>
      <c r="D60" s="2188"/>
      <c r="E60" s="2194">
        <f>+E59-E16-E23</f>
        <v>0.489999771118164</v>
      </c>
      <c r="F60" s="2194"/>
      <c r="G60" s="2194"/>
      <c r="H60" s="2194"/>
      <c r="I60" s="2229"/>
      <c r="J60" s="2221"/>
      <c r="K60" s="2222"/>
      <c r="L60" s="2215"/>
      <c r="M60" s="2223"/>
      <c r="N60" s="2223"/>
      <c r="O60" s="2217"/>
      <c r="P60" s="2222"/>
      <c r="Q60" s="2247"/>
      <c r="R60" s="2189"/>
      <c r="S60" s="2244"/>
    </row>
    <row r="61" spans="2:19">
      <c r="B61" s="2120" t="s">
        <v>410</v>
      </c>
      <c r="C61" s="2191" t="s">
        <v>12433</v>
      </c>
      <c r="D61" s="2188"/>
      <c r="E61" s="2194"/>
      <c r="F61" s="2194"/>
      <c r="G61" s="2194"/>
      <c r="H61" s="2194"/>
      <c r="I61" s="2229"/>
      <c r="J61" s="2221"/>
      <c r="K61" s="2222"/>
      <c r="L61" s="2215"/>
      <c r="M61" s="2223"/>
      <c r="N61" s="2223"/>
      <c r="O61" s="2217"/>
      <c r="P61" s="2222"/>
      <c r="Q61" s="2247"/>
      <c r="R61" s="2189"/>
      <c r="S61" s="2244"/>
    </row>
    <row r="62" spans="2:19">
      <c r="B62" s="2120"/>
      <c r="C62" s="2189" t="s">
        <v>12434</v>
      </c>
      <c r="D62" s="2188"/>
      <c r="E62" s="2193">
        <v>2500000000</v>
      </c>
      <c r="F62" s="2193">
        <v>2500000000</v>
      </c>
      <c r="G62" s="2193">
        <v>2500000000</v>
      </c>
      <c r="H62" s="2193">
        <v>2500000000</v>
      </c>
      <c r="I62" s="2229">
        <v>0</v>
      </c>
      <c r="J62" s="2230">
        <v>2500000000</v>
      </c>
      <c r="K62" s="2222"/>
      <c r="L62" s="2215"/>
      <c r="M62" s="2231">
        <v>2500000000</v>
      </c>
      <c r="N62" s="2223">
        <v>0</v>
      </c>
      <c r="O62" s="2217"/>
      <c r="P62" s="2232">
        <v>2500000000</v>
      </c>
      <c r="Q62" s="2247">
        <v>0</v>
      </c>
      <c r="R62" s="2189"/>
      <c r="S62" s="2244"/>
    </row>
    <row r="63" spans="2:19">
      <c r="B63" s="2120"/>
      <c r="C63" s="2189" t="s">
        <v>12435</v>
      </c>
      <c r="D63" s="2188"/>
      <c r="E63" s="2193">
        <v>2500000000</v>
      </c>
      <c r="F63" s="2193">
        <v>2500000000</v>
      </c>
      <c r="G63" s="2193">
        <v>2500000000</v>
      </c>
      <c r="H63" s="2193">
        <v>2500000000</v>
      </c>
      <c r="I63" s="2229">
        <v>0</v>
      </c>
      <c r="J63" s="2230">
        <v>2500000000</v>
      </c>
      <c r="K63" s="2222"/>
      <c r="L63" s="2215"/>
      <c r="M63" s="2231">
        <v>2500000000</v>
      </c>
      <c r="N63" s="2223">
        <v>0</v>
      </c>
      <c r="O63" s="2217"/>
      <c r="P63" s="2232">
        <v>2500000000</v>
      </c>
      <c r="Q63" s="2247">
        <v>0</v>
      </c>
      <c r="R63" s="2189"/>
      <c r="S63" s="2244"/>
    </row>
    <row r="64" spans="2:19">
      <c r="B64" s="2120"/>
      <c r="C64" s="2189" t="s">
        <v>12436</v>
      </c>
      <c r="D64" s="2188"/>
      <c r="E64" s="2194">
        <f t="shared" ref="E64:K64" si="3">SUM(E62:E63)</f>
        <v>5000000000</v>
      </c>
      <c r="F64" s="2194">
        <f t="shared" si="3"/>
        <v>5000000000</v>
      </c>
      <c r="G64" s="2194">
        <f t="shared" si="3"/>
        <v>5000000000</v>
      </c>
      <c r="H64" s="2194">
        <f t="shared" si="3"/>
        <v>5000000000</v>
      </c>
      <c r="I64" s="2194">
        <f t="shared" si="3"/>
        <v>0</v>
      </c>
      <c r="J64" s="2224">
        <f t="shared" si="3"/>
        <v>5000000000</v>
      </c>
      <c r="K64" s="2228">
        <f t="shared" si="3"/>
        <v>0</v>
      </c>
      <c r="L64" s="2215"/>
      <c r="M64" s="2226">
        <f>SUM(M62:M63)</f>
        <v>5000000000</v>
      </c>
      <c r="N64" s="2226">
        <f>SUM(N62:N63)</f>
        <v>0</v>
      </c>
      <c r="O64" s="2217"/>
      <c r="P64" s="2228">
        <f>SUM(P62:P63)</f>
        <v>5000000000</v>
      </c>
      <c r="Q64" s="2248">
        <f>SUM(Q62:Q63)</f>
        <v>0</v>
      </c>
      <c r="R64" s="2189"/>
      <c r="S64" s="2244"/>
    </row>
    <row r="65" spans="2:19">
      <c r="B65" s="2120"/>
      <c r="C65" s="2189">
        <v>0</v>
      </c>
      <c r="D65" s="2188"/>
      <c r="E65" s="2194"/>
      <c r="F65" s="2194"/>
      <c r="G65" s="2194"/>
      <c r="H65" s="2194"/>
      <c r="I65" s="2229"/>
      <c r="J65" s="2221"/>
      <c r="K65" s="2222"/>
      <c r="L65" s="2215"/>
      <c r="M65" s="2223"/>
      <c r="N65" s="2223"/>
      <c r="O65" s="2217"/>
      <c r="P65" s="2222"/>
      <c r="Q65" s="2247"/>
      <c r="R65" s="2189"/>
      <c r="S65" s="2244"/>
    </row>
    <row r="66" spans="2:19">
      <c r="B66" s="2120"/>
      <c r="C66" s="2191" t="s">
        <v>12437</v>
      </c>
      <c r="D66" s="2188"/>
      <c r="E66" s="2249">
        <f t="shared" ref="E66:K66" si="4">+E54+E59+E64</f>
        <v>17996929341</v>
      </c>
      <c r="F66" s="2249">
        <f t="shared" si="4"/>
        <v>19756511925.2</v>
      </c>
      <c r="G66" s="2249">
        <f t="shared" si="4"/>
        <v>22231678541</v>
      </c>
      <c r="H66" s="2249">
        <f t="shared" si="4"/>
        <v>21918557001</v>
      </c>
      <c r="I66" s="2249">
        <f t="shared" si="4"/>
        <v>9843095556</v>
      </c>
      <c r="J66" s="2264">
        <f t="shared" si="4"/>
        <v>10376181123.16</v>
      </c>
      <c r="K66" s="2265">
        <f t="shared" si="4"/>
        <v>7620748217.84</v>
      </c>
      <c r="L66" s="2266"/>
      <c r="M66" s="2267">
        <f>+M54+M59+M64</f>
        <v>11058670775.16</v>
      </c>
      <c r="N66" s="2267">
        <f>+N54+N59+N64</f>
        <v>8697841150.04</v>
      </c>
      <c r="O66" s="2268"/>
      <c r="P66" s="2265">
        <f>+P54+P59+P64</f>
        <v>12071190032.16</v>
      </c>
      <c r="Q66" s="2279">
        <f>+Q54+Q59+Q64</f>
        <v>10045037201.04</v>
      </c>
      <c r="R66" s="2189"/>
      <c r="S66" s="2244"/>
    </row>
    <row r="67" spans="2:19">
      <c r="B67" s="2120"/>
      <c r="C67" s="2189" t="s">
        <v>11526</v>
      </c>
      <c r="D67" s="2188"/>
      <c r="E67" s="2250">
        <f>+'F2'!K27+'F2'!K15</f>
        <v>17996929341</v>
      </c>
      <c r="F67" s="2250">
        <f>+'F2'!Q15+'F2'!Q27</f>
        <v>19756511925</v>
      </c>
      <c r="G67" s="2194"/>
      <c r="H67" s="2194"/>
      <c r="I67" s="2194"/>
      <c r="J67" s="2194"/>
      <c r="K67" s="2269">
        <f>SUM(J66:K66)</f>
        <v>17996929341</v>
      </c>
      <c r="L67" s="2189"/>
      <c r="M67" s="2189"/>
      <c r="N67" s="2269">
        <f>SUM(M66:N66)</f>
        <v>19756511925.2</v>
      </c>
      <c r="O67" s="2189"/>
      <c r="P67" s="2189"/>
      <c r="Q67" s="2269">
        <f>SUM(P66:Q66)</f>
        <v>22116227233.2</v>
      </c>
      <c r="R67" s="2189"/>
      <c r="S67" s="2244"/>
    </row>
    <row r="68" spans="2:19">
      <c r="B68" s="2120"/>
      <c r="C68" s="2123" t="s">
        <v>146</v>
      </c>
      <c r="D68" s="2188"/>
      <c r="E68" s="2250">
        <f>+E66-E67</f>
        <v>0</v>
      </c>
      <c r="F68" s="2250">
        <f>+F66-F67</f>
        <v>0.200000762939453</v>
      </c>
      <c r="G68" s="2188"/>
      <c r="H68" s="2188"/>
      <c r="I68" s="2188"/>
      <c r="J68" s="2188"/>
      <c r="K68" s="2123"/>
      <c r="L68" s="2123"/>
      <c r="M68" s="2123"/>
      <c r="N68" s="2123"/>
      <c r="O68" s="2123"/>
      <c r="P68" s="2123"/>
      <c r="Q68" s="2123"/>
      <c r="R68" s="2123"/>
      <c r="S68" s="2244"/>
    </row>
    <row r="69" spans="2:19">
      <c r="B69" s="2120"/>
      <c r="C69" s="2123"/>
      <c r="D69" s="2188"/>
      <c r="E69" s="2188"/>
      <c r="F69" s="2188"/>
      <c r="G69" s="2188"/>
      <c r="H69" s="2188"/>
      <c r="I69" s="2188"/>
      <c r="J69" s="2188"/>
      <c r="K69" s="2123"/>
      <c r="L69" s="2123"/>
      <c r="M69" s="2123"/>
      <c r="N69" s="2123"/>
      <c r="O69" s="2123"/>
      <c r="P69" s="2123"/>
      <c r="Q69" s="2123"/>
      <c r="R69" s="2123"/>
      <c r="S69" s="2244"/>
    </row>
    <row r="70" spans="2:19">
      <c r="B70" s="2120"/>
      <c r="C70" s="2123"/>
      <c r="D70" s="2188"/>
      <c r="E70" s="2188"/>
      <c r="F70" s="2188"/>
      <c r="G70" s="2188"/>
      <c r="H70" s="2188"/>
      <c r="I70" s="2188"/>
      <c r="J70" s="2188"/>
      <c r="K70" s="2123"/>
      <c r="L70" s="2123"/>
      <c r="M70" s="2123"/>
      <c r="N70" s="2123"/>
      <c r="O70" s="2123"/>
      <c r="P70" s="2123"/>
      <c r="Q70" s="2123"/>
      <c r="R70" s="2123"/>
      <c r="S70" s="2244"/>
    </row>
    <row r="71" ht="15.6" spans="2:19">
      <c r="B71" s="2120"/>
      <c r="C71" s="2251" t="s">
        <v>12438</v>
      </c>
      <c r="D71" s="2188"/>
      <c r="E71" s="2190">
        <v>2022</v>
      </c>
      <c r="F71" s="2190">
        <f>+E71-1</f>
        <v>2021</v>
      </c>
      <c r="G71" s="2188"/>
      <c r="H71" s="2188"/>
      <c r="I71" s="2188"/>
      <c r="J71" s="2188"/>
      <c r="K71" s="2123"/>
      <c r="L71" s="2123"/>
      <c r="M71" s="2123"/>
      <c r="N71" s="2123"/>
      <c r="O71" s="2123"/>
      <c r="P71" s="2123"/>
      <c r="Q71" s="2123"/>
      <c r="R71" s="2123"/>
      <c r="S71" s="2244"/>
    </row>
    <row r="72" customFormat="1" spans="2:19">
      <c r="B72" s="2120"/>
      <c r="C72" s="2123" t="s">
        <v>12439</v>
      </c>
      <c r="D72" s="2188"/>
      <c r="E72" s="2252">
        <f>+E67</f>
        <v>17996929341</v>
      </c>
      <c r="F72" s="2188">
        <f>+F67</f>
        <v>19756511925</v>
      </c>
      <c r="G72" s="2188"/>
      <c r="H72" s="2188"/>
      <c r="I72" s="2188"/>
      <c r="J72" s="2188"/>
      <c r="K72" s="2123"/>
      <c r="L72" s="2123"/>
      <c r="M72" s="2123"/>
      <c r="N72" s="2123"/>
      <c r="O72" s="2123"/>
      <c r="P72" s="2123"/>
      <c r="Q72" s="2123"/>
      <c r="R72" s="2123"/>
      <c r="S72" s="2244"/>
    </row>
    <row r="73" customFormat="1" spans="2:19">
      <c r="B73" s="2120"/>
      <c r="C73" s="2123" t="s">
        <v>1919</v>
      </c>
      <c r="D73" s="2188"/>
      <c r="E73" s="2253">
        <v>0.105</v>
      </c>
      <c r="F73" s="2253">
        <v>0.105</v>
      </c>
      <c r="G73" s="2188"/>
      <c r="H73" s="2188"/>
      <c r="I73" s="2188"/>
      <c r="J73" s="2188"/>
      <c r="K73" s="2123"/>
      <c r="L73" s="2123"/>
      <c r="M73" s="2123"/>
      <c r="N73" s="2123"/>
      <c r="O73" s="2123"/>
      <c r="P73" s="2123"/>
      <c r="Q73" s="2123"/>
      <c r="R73" s="2123"/>
      <c r="S73" s="2244"/>
    </row>
    <row r="74" customFormat="1" spans="2:19">
      <c r="B74" s="2120"/>
      <c r="C74" s="2123" t="s">
        <v>12440</v>
      </c>
      <c r="D74" s="2188"/>
      <c r="E74" s="2194">
        <f>+E72*E73</f>
        <v>1889677580.805</v>
      </c>
      <c r="F74" s="2194">
        <f>+F72*F73</f>
        <v>2074433752.125</v>
      </c>
      <c r="G74" s="2188"/>
      <c r="H74" s="2188"/>
      <c r="I74" s="2188"/>
      <c r="J74" s="2188"/>
      <c r="K74" s="2123"/>
      <c r="L74" s="2123"/>
      <c r="M74" s="2123"/>
      <c r="N74" s="2123"/>
      <c r="O74" s="2123"/>
      <c r="P74" s="2123"/>
      <c r="Q74" s="2123"/>
      <c r="R74" s="2123"/>
      <c r="S74" s="2244"/>
    </row>
    <row r="75" customFormat="1" spans="2:19">
      <c r="B75" s="2120"/>
      <c r="C75" s="2123" t="s">
        <v>12441</v>
      </c>
      <c r="D75" s="2188"/>
      <c r="E75" s="2193">
        <f>+E74/12</f>
        <v>157473131.73375</v>
      </c>
      <c r="F75" s="2193">
        <f>+F74/12</f>
        <v>172869479.34375</v>
      </c>
      <c r="G75" s="2188"/>
      <c r="H75" s="2188"/>
      <c r="I75" s="2188"/>
      <c r="J75" s="2188"/>
      <c r="K75" s="2123"/>
      <c r="L75" s="2123"/>
      <c r="M75" s="2123"/>
      <c r="N75" s="2123"/>
      <c r="O75" s="2123"/>
      <c r="P75" s="2123"/>
      <c r="Q75" s="2123"/>
      <c r="R75" s="2123"/>
      <c r="S75" s="2244"/>
    </row>
    <row r="76" spans="2:19">
      <c r="B76" s="2120"/>
      <c r="C76" s="2123" t="s">
        <v>12442</v>
      </c>
      <c r="D76" s="2188"/>
      <c r="E76" s="2188"/>
      <c r="F76" s="2188"/>
      <c r="G76" s="2188"/>
      <c r="H76" s="2188"/>
      <c r="I76" s="2188"/>
      <c r="J76" s="2188"/>
      <c r="K76" s="2123"/>
      <c r="L76" s="2123"/>
      <c r="M76" s="2123"/>
      <c r="N76" s="2123"/>
      <c r="O76" s="2123"/>
      <c r="P76" s="2123"/>
      <c r="Q76" s="2123"/>
      <c r="R76" s="2123"/>
      <c r="S76" s="2244"/>
    </row>
    <row r="77" customFormat="1" spans="2:19">
      <c r="B77" s="2120"/>
      <c r="C77" s="2123" t="s">
        <v>1117</v>
      </c>
      <c r="D77" s="2253">
        <v>0.105</v>
      </c>
      <c r="E77" s="2252">
        <f>+F54*D77/12</f>
        <v>75092260.1625</v>
      </c>
      <c r="F77" s="2188"/>
      <c r="G77" s="2188"/>
      <c r="H77" s="2188"/>
      <c r="I77" s="2188"/>
      <c r="J77" s="2188"/>
      <c r="K77" s="2123"/>
      <c r="L77" s="2123"/>
      <c r="M77" s="2123"/>
      <c r="N77" s="2123"/>
      <c r="O77" s="2123"/>
      <c r="P77" s="2123"/>
      <c r="Q77" s="2123"/>
      <c r="R77" s="2123"/>
      <c r="S77" s="2244"/>
    </row>
    <row r="78" customFormat="1" spans="2:19">
      <c r="B78" s="2120"/>
      <c r="C78" s="2123" t="s">
        <v>1118</v>
      </c>
      <c r="D78" s="2253">
        <v>0.11</v>
      </c>
      <c r="E78" s="2252">
        <f>+D78*E64/12</f>
        <v>45833333.3333333</v>
      </c>
      <c r="F78" s="2188"/>
      <c r="G78" s="2188"/>
      <c r="H78" s="2188"/>
      <c r="I78" s="2188"/>
      <c r="J78" s="2188"/>
      <c r="K78" s="2123"/>
      <c r="L78" s="2123"/>
      <c r="M78" s="2123"/>
      <c r="N78" s="2123"/>
      <c r="O78" s="2123"/>
      <c r="P78" s="2123"/>
      <c r="Q78" s="2123"/>
      <c r="R78" s="2123"/>
      <c r="S78" s="2244"/>
    </row>
    <row r="79" customFormat="1" spans="2:19">
      <c r="B79" s="2120"/>
      <c r="C79" s="2123" t="s">
        <v>12443</v>
      </c>
      <c r="D79" s="2253">
        <v>0.105</v>
      </c>
      <c r="E79" s="2252">
        <f>+D79*E59/12</f>
        <v>52604075.8775</v>
      </c>
      <c r="F79" s="2188"/>
      <c r="G79" s="2188"/>
      <c r="H79" s="2188"/>
      <c r="I79" s="2188"/>
      <c r="J79" s="2188"/>
      <c r="K79" s="2123"/>
      <c r="L79" s="2123"/>
      <c r="M79" s="2123"/>
      <c r="N79" s="2123"/>
      <c r="O79" s="2123"/>
      <c r="P79" s="2123"/>
      <c r="Q79" s="2123"/>
      <c r="R79" s="2123"/>
      <c r="S79" s="2244"/>
    </row>
    <row r="80" spans="2:19">
      <c r="B80" s="2120"/>
      <c r="C80" s="2123"/>
      <c r="D80" s="2253"/>
      <c r="E80" s="2252">
        <f>SUM(E77:E79)</f>
        <v>173529669.373333</v>
      </c>
      <c r="F80" s="2188"/>
      <c r="G80" s="2188"/>
      <c r="H80" s="2188"/>
      <c r="I80" s="2188"/>
      <c r="J80" s="2188"/>
      <c r="K80" s="2123"/>
      <c r="L80" s="2123"/>
      <c r="M80" s="2123"/>
      <c r="N80" s="2123"/>
      <c r="O80" s="2123"/>
      <c r="P80" s="2123"/>
      <c r="Q80" s="2123"/>
      <c r="R80" s="2123"/>
      <c r="S80" s="2244"/>
    </row>
    <row r="81" customFormat="1" spans="2:19">
      <c r="B81" s="2120"/>
      <c r="C81" s="2123"/>
      <c r="D81" s="2253"/>
      <c r="E81" s="2252"/>
      <c r="F81" s="2188"/>
      <c r="G81" s="2188"/>
      <c r="H81" s="2188"/>
      <c r="I81" s="2188"/>
      <c r="J81" s="2188"/>
      <c r="K81" s="2123"/>
      <c r="L81" s="2123"/>
      <c r="M81" s="2123"/>
      <c r="N81" s="2123"/>
      <c r="O81" s="2123"/>
      <c r="P81" s="2123"/>
      <c r="Q81" s="2123"/>
      <c r="R81" s="2123"/>
      <c r="S81" s="2244"/>
    </row>
    <row r="82" customFormat="1" spans="2:19">
      <c r="B82" s="2120"/>
      <c r="C82" s="2123"/>
      <c r="D82" s="2253"/>
      <c r="E82" s="2252"/>
      <c r="F82" s="2188"/>
      <c r="G82" s="2188"/>
      <c r="H82" s="2188"/>
      <c r="I82" s="2188"/>
      <c r="J82" s="2188"/>
      <c r="K82" s="2123"/>
      <c r="L82" s="2123"/>
      <c r="M82" s="2123"/>
      <c r="N82" s="2123"/>
      <c r="O82" s="2123"/>
      <c r="P82" s="2123"/>
      <c r="Q82" s="2123"/>
      <c r="R82" s="2123"/>
      <c r="S82" s="2244"/>
    </row>
    <row r="83" customFormat="1" spans="2:19">
      <c r="B83" s="2120"/>
      <c r="C83" s="2123"/>
      <c r="D83" s="2253"/>
      <c r="E83" s="2252"/>
      <c r="F83" s="2188"/>
      <c r="G83" s="2188"/>
      <c r="H83" s="2188"/>
      <c r="I83" s="2188"/>
      <c r="J83" s="2188"/>
      <c r="K83" s="2123"/>
      <c r="L83" s="2123"/>
      <c r="M83" s="2123"/>
      <c r="N83" s="2123"/>
      <c r="O83" s="2123"/>
      <c r="P83" s="2123"/>
      <c r="Q83" s="2123"/>
      <c r="R83" s="2123"/>
      <c r="S83" s="2244"/>
    </row>
    <row r="84" customFormat="1" spans="2:19">
      <c r="B84" s="2120"/>
      <c r="C84" s="2123"/>
      <c r="D84" s="2253"/>
      <c r="E84" s="2252"/>
      <c r="F84" s="2188"/>
      <c r="G84" s="2188"/>
      <c r="H84" s="2188"/>
      <c r="I84" s="2188"/>
      <c r="J84" s="2188"/>
      <c r="K84" s="2123"/>
      <c r="L84" s="2123"/>
      <c r="M84" s="2123"/>
      <c r="N84" s="2123"/>
      <c r="O84" s="2123"/>
      <c r="P84" s="2123"/>
      <c r="Q84" s="2123"/>
      <c r="R84" s="2123"/>
      <c r="S84" s="2244"/>
    </row>
    <row r="85" customFormat="1" spans="2:19">
      <c r="B85" s="2120"/>
      <c r="C85" s="2123"/>
      <c r="D85" s="2253"/>
      <c r="E85" s="2252"/>
      <c r="F85" s="2188"/>
      <c r="G85" s="2188"/>
      <c r="H85" s="2188"/>
      <c r="I85" s="2188"/>
      <c r="J85" s="2188"/>
      <c r="K85" s="2123"/>
      <c r="L85" s="2123"/>
      <c r="M85" s="2123"/>
      <c r="N85" s="2123"/>
      <c r="O85" s="2123"/>
      <c r="P85" s="2123"/>
      <c r="Q85" s="2123"/>
      <c r="R85" s="2123"/>
      <c r="S85" s="2244"/>
    </row>
    <row r="86" customFormat="1" spans="2:19">
      <c r="B86" s="2120"/>
      <c r="C86" s="2123"/>
      <c r="D86" s="2253"/>
      <c r="E86" s="2252"/>
      <c r="F86" s="2188"/>
      <c r="G86" s="2188"/>
      <c r="H86" s="2188"/>
      <c r="I86" s="2188"/>
      <c r="J86" s="2188"/>
      <c r="K86" s="2123"/>
      <c r="L86" s="2123"/>
      <c r="M86" s="2123"/>
      <c r="N86" s="2123"/>
      <c r="O86" s="2123"/>
      <c r="P86" s="2123"/>
      <c r="Q86" s="2123"/>
      <c r="R86" s="2123"/>
      <c r="S86" s="2244"/>
    </row>
    <row r="87" customFormat="1" spans="2:19">
      <c r="B87" s="2120"/>
      <c r="C87" s="2123"/>
      <c r="D87" s="2253"/>
      <c r="E87" s="2252"/>
      <c r="F87" s="2188"/>
      <c r="G87" s="2188"/>
      <c r="H87" s="2188"/>
      <c r="I87" s="2188"/>
      <c r="J87" s="2188"/>
      <c r="K87" s="2123"/>
      <c r="L87" s="2123"/>
      <c r="M87" s="2123"/>
      <c r="N87" s="2123"/>
      <c r="O87" s="2123"/>
      <c r="P87" s="2123"/>
      <c r="Q87" s="2123"/>
      <c r="R87" s="2123"/>
      <c r="S87" s="2244"/>
    </row>
    <row r="88" customFormat="1" spans="2:19">
      <c r="B88" s="2120"/>
      <c r="C88" s="2123"/>
      <c r="D88" s="2253"/>
      <c r="E88" s="2252"/>
      <c r="F88" s="2188"/>
      <c r="G88" s="2188"/>
      <c r="H88" s="2188"/>
      <c r="I88" s="2188"/>
      <c r="J88" s="2188"/>
      <c r="K88" s="2123"/>
      <c r="L88" s="2123"/>
      <c r="M88" s="2123"/>
      <c r="N88" s="2123"/>
      <c r="O88" s="2123"/>
      <c r="P88" s="2123"/>
      <c r="Q88" s="2123"/>
      <c r="R88" s="2123"/>
      <c r="S88" s="2244"/>
    </row>
    <row r="89" ht="13.95" spans="2:19">
      <c r="B89" s="2120"/>
      <c r="C89" s="2191"/>
      <c r="D89" s="2188"/>
      <c r="E89" s="2188"/>
      <c r="F89" s="2188"/>
      <c r="G89" s="2188"/>
      <c r="H89" s="2188"/>
      <c r="I89" s="2188"/>
      <c r="J89" s="2188"/>
      <c r="K89" s="2270"/>
      <c r="L89" s="2123"/>
      <c r="M89" s="2123"/>
      <c r="N89" s="2123"/>
      <c r="O89" s="2123"/>
      <c r="P89" s="2123"/>
      <c r="Q89" s="2123"/>
      <c r="R89" s="2123"/>
      <c r="S89" s="2244"/>
    </row>
    <row r="90" ht="13.95" spans="2:19">
      <c r="B90" s="2254" t="s">
        <v>952</v>
      </c>
      <c r="C90" s="2255"/>
      <c r="D90" s="2256"/>
      <c r="E90" s="2256"/>
      <c r="F90" s="2256"/>
      <c r="G90" s="2256"/>
      <c r="H90" s="2256"/>
      <c r="I90" s="2256"/>
      <c r="J90" s="2256"/>
      <c r="K90" s="2271"/>
      <c r="L90" s="2272"/>
      <c r="M90" s="2273" t="s">
        <v>953</v>
      </c>
      <c r="N90" s="2271" t="s">
        <v>954</v>
      </c>
      <c r="O90" s="2274"/>
      <c r="P90" s="2275"/>
      <c r="Q90" s="2271" t="s">
        <v>2264</v>
      </c>
      <c r="R90" s="2261"/>
      <c r="S90" s="2244"/>
    </row>
    <row r="91" spans="2:19">
      <c r="B91" s="2254"/>
      <c r="C91" s="2255"/>
      <c r="D91" s="2256"/>
      <c r="E91" s="2256"/>
      <c r="F91" s="2256"/>
      <c r="G91" s="2256"/>
      <c r="H91" s="2256"/>
      <c r="I91" s="2256"/>
      <c r="J91" s="2256"/>
      <c r="K91" s="2271"/>
      <c r="L91" s="2276"/>
      <c r="M91" s="2276"/>
      <c r="N91" s="2271"/>
      <c r="O91" s="2259"/>
      <c r="P91" s="2259"/>
      <c r="Q91" s="2271"/>
      <c r="R91" s="2261"/>
      <c r="S91" s="2244"/>
    </row>
    <row r="92" spans="2:19">
      <c r="B92" s="2257" t="s">
        <v>12444</v>
      </c>
      <c r="C92" s="2258"/>
      <c r="D92" s="2259"/>
      <c r="E92" s="2259"/>
      <c r="F92" s="2259"/>
      <c r="G92" s="2259"/>
      <c r="H92" s="2259"/>
      <c r="I92" s="2259"/>
      <c r="J92" s="2259"/>
      <c r="K92" s="2277"/>
      <c r="L92" s="2278"/>
      <c r="M92" s="2258"/>
      <c r="N92" s="2258"/>
      <c r="O92" s="2258"/>
      <c r="P92" s="2188"/>
      <c r="Q92" s="2280"/>
      <c r="R92" s="2261"/>
      <c r="S92" s="2244"/>
    </row>
    <row r="93" spans="2:19">
      <c r="B93" s="2260"/>
      <c r="C93" s="2261"/>
      <c r="D93" s="2261"/>
      <c r="E93" s="2261"/>
      <c r="F93" s="2261"/>
      <c r="G93" s="2261"/>
      <c r="H93" s="2261"/>
      <c r="I93" s="2261"/>
      <c r="J93" s="2261"/>
      <c r="K93" s="2261"/>
      <c r="L93" s="2261"/>
      <c r="M93" s="2261"/>
      <c r="N93" s="2261"/>
      <c r="O93" s="2261"/>
      <c r="P93" s="2261"/>
      <c r="Q93" s="2261"/>
      <c r="R93" s="2261"/>
      <c r="S93" s="2244"/>
    </row>
    <row r="94" spans="2:19">
      <c r="B94" s="2262"/>
      <c r="C94" s="2263"/>
      <c r="D94" s="2263"/>
      <c r="E94" s="2263"/>
      <c r="F94" s="2263"/>
      <c r="G94" s="2263"/>
      <c r="H94" s="2263"/>
      <c r="I94" s="2263"/>
      <c r="J94" s="2263"/>
      <c r="K94" s="2263"/>
      <c r="L94" s="2263"/>
      <c r="M94" s="2263"/>
      <c r="N94" s="2263"/>
      <c r="O94" s="2263"/>
      <c r="P94" s="2263"/>
      <c r="Q94" s="2263"/>
      <c r="R94" s="2263"/>
      <c r="S94" s="2121"/>
    </row>
    <row r="95" spans="11:19">
      <c r="K95" s="2055"/>
      <c r="L95" s="2055"/>
      <c r="R95" s="1953"/>
      <c r="S95"/>
    </row>
    <row r="96" spans="3:19">
      <c r="C96" s="100"/>
      <c r="K96" s="245"/>
      <c r="L96" s="245"/>
      <c r="M96" s="248"/>
      <c r="N96" s="249"/>
      <c r="R96" s="1953"/>
      <c r="S96"/>
    </row>
    <row r="97" spans="3:3">
      <c r="C97" s="228"/>
    </row>
  </sheetData>
  <mergeCells count="10">
    <mergeCell ref="G10:H10"/>
    <mergeCell ref="M10:N10"/>
    <mergeCell ref="R10:S10"/>
    <mergeCell ref="R11:S11"/>
    <mergeCell ref="J41:K41"/>
    <mergeCell ref="M41:N41"/>
    <mergeCell ref="P41:Q41"/>
    <mergeCell ref="D10:D12"/>
    <mergeCell ref="Q5:Q6"/>
    <mergeCell ref="R5:R6"/>
  </mergeCells>
  <printOptions horizontalCentered="1"/>
  <pageMargins left="0.905511811023622" right="0.511811023622047" top="0.905511811023622" bottom="0.511811023622047" header="0.511811023622047" footer="0.511811023622047"/>
  <pageSetup paperSize="9" scale="54" orientation="portrait"/>
  <headerFooter alignWithMargins="0">
    <oddFooter>&amp;R&amp;"Arial,Bold"&amp;28FF</oddFooter>
  </headerFooter>
  <drawing r:id="rId2"/>
  <legacyDrawing r:id="rId3"/>
  <oleObjects>
    <mc:AlternateContent xmlns:mc="http://schemas.openxmlformats.org/markup-compatibility/2006">
      <mc:Choice Requires="x14">
        <oleObject shapeId="3089409" progId="Paint.Picture" r:id="rId4">
          <objectPr defaultSize="0" r:id="rId5">
            <anchor moveWithCells="1">
              <from>
                <xdr:col>1</xdr:col>
                <xdr:colOff>152400</xdr:colOff>
                <xdr:row>35</xdr:row>
                <xdr:rowOff>12700</xdr:rowOff>
              </from>
              <to>
                <xdr:col>2</xdr:col>
                <xdr:colOff>82550</xdr:colOff>
                <xdr:row>36</xdr:row>
                <xdr:rowOff>0</xdr:rowOff>
              </to>
            </anchor>
          </objectPr>
        </oleObject>
      </mc:Choice>
      <mc:Fallback>
        <oleObject shapeId="3089409" progId="Paint.Picture" r:id="rId4"/>
      </mc:Fallback>
    </mc:AlternateContent>
    <mc:AlternateContent xmlns:mc="http://schemas.openxmlformats.org/markup-compatibility/2006">
      <mc:Choice Requires="x14">
        <oleObject shapeId="3089410" progId="Paint.Picture" r:id="rId6">
          <objectPr defaultSize="0" r:id="rId7">
            <anchor moveWithCells="1">
              <from>
                <xdr:col>1</xdr:col>
                <xdr:colOff>165100</xdr:colOff>
                <xdr:row>33</xdr:row>
                <xdr:rowOff>146050</xdr:rowOff>
              </from>
              <to>
                <xdr:col>2</xdr:col>
                <xdr:colOff>82550</xdr:colOff>
                <xdr:row>34</xdr:row>
                <xdr:rowOff>139700</xdr:rowOff>
              </to>
            </anchor>
          </objectPr>
        </oleObject>
      </mc:Choice>
      <mc:Fallback>
        <oleObject shapeId="3089410" progId="Paint.Picture" r:id="rId6"/>
      </mc:Fallback>
    </mc:AlternateContent>
    <mc:AlternateContent xmlns:mc="http://schemas.openxmlformats.org/markup-compatibility/2006">
      <mc:Choice Requires="x14">
        <oleObject shapeId="3089411" progId="Paint.Picture" r:id="rId8">
          <objectPr defaultSize="0" r:id="rId9">
            <anchor moveWithCells="1">
              <from>
                <xdr:col>1</xdr:col>
                <xdr:colOff>165100</xdr:colOff>
                <xdr:row>36</xdr:row>
                <xdr:rowOff>19050</xdr:rowOff>
              </from>
              <to>
                <xdr:col>2</xdr:col>
                <xdr:colOff>63500</xdr:colOff>
                <xdr:row>37</xdr:row>
                <xdr:rowOff>0</xdr:rowOff>
              </to>
            </anchor>
          </objectPr>
        </oleObject>
      </mc:Choice>
      <mc:Fallback>
        <oleObject shapeId="3089411" progId="Paint.Picture" r:id="rId8"/>
      </mc:Fallback>
    </mc:AlternateContent>
    <mc:AlternateContent xmlns:mc="http://schemas.openxmlformats.org/markup-compatibility/2006">
      <mc:Choice Requires="x14">
        <oleObject shapeId="3089412" progId="Paint.Picture" r:id="rId10">
          <objectPr defaultSize="0" r:id="rId5">
            <anchor moveWithCells="1">
              <from>
                <xdr:col>16</xdr:col>
                <xdr:colOff>673100</xdr:colOff>
                <xdr:row>29</xdr:row>
                <xdr:rowOff>57150</xdr:rowOff>
              </from>
              <to>
                <xdr:col>16</xdr:col>
                <xdr:colOff>857250</xdr:colOff>
                <xdr:row>30</xdr:row>
                <xdr:rowOff>82550</xdr:rowOff>
              </to>
            </anchor>
          </objectPr>
        </oleObject>
      </mc:Choice>
      <mc:Fallback>
        <oleObject shapeId="3089412" progId="Paint.Picture" r:id="rId10"/>
      </mc:Fallback>
    </mc:AlternateContent>
    <mc:AlternateContent xmlns:mc="http://schemas.openxmlformats.org/markup-compatibility/2006">
      <mc:Choice Requires="x14">
        <oleObject shapeId="3089413" progId="Paint.Picture" r:id="rId11">
          <objectPr defaultSize="0" r:id="rId9">
            <anchor moveWithCells="1">
              <from>
                <xdr:col>11</xdr:col>
                <xdr:colOff>158750</xdr:colOff>
                <xdr:row>30</xdr:row>
                <xdr:rowOff>127000</xdr:rowOff>
              </from>
              <to>
                <xdr:col>11</xdr:col>
                <xdr:colOff>323850</xdr:colOff>
                <xdr:row>31</xdr:row>
                <xdr:rowOff>127000</xdr:rowOff>
              </to>
            </anchor>
          </objectPr>
        </oleObject>
      </mc:Choice>
      <mc:Fallback>
        <oleObject shapeId="3089413" progId="Paint.Picture" r:id="rId11"/>
      </mc:Fallback>
    </mc:AlternateContent>
  </oleObjects>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0"/>
  <dimension ref="B2:P192"/>
  <sheetViews>
    <sheetView showGridLines="0" zoomScale="190" zoomScaleNormal="190" topLeftCell="B1" workbookViewId="0">
      <pane xSplit="3" ySplit="5" topLeftCell="E72" activePane="bottomRight" state="frozen"/>
      <selection/>
      <selection pane="topRight"/>
      <selection pane="bottomLeft"/>
      <selection pane="bottomRight" activeCell="F78" sqref="F78"/>
    </sheetView>
  </sheetViews>
  <sheetFormatPr defaultColWidth="9" defaultRowHeight="11.4"/>
  <cols>
    <col min="2" max="2" width="4.34375" customWidth="1"/>
    <col min="4" max="4" width="8.84375"/>
    <col min="5" max="5" width="13.03125" style="2113" customWidth="1"/>
    <col min="6" max="6" width="13.78125" customWidth="1"/>
    <col min="7" max="7" width="13.78125" customWidth="1"/>
    <col min="8" max="8" width="10.3333333333333" customWidth="1"/>
    <col min="9" max="9" width="14.6875" customWidth="1"/>
    <col min="10" max="10" width="31.6145833333333" customWidth="1"/>
    <col min="12" max="12" width="9.88541666666667" customWidth="1"/>
    <col min="13" max="13" width="13.3333333333333" customWidth="1"/>
    <col min="14" max="14" width="36.40625" customWidth="1"/>
    <col min="15" max="15" width="3.44791666666667" customWidth="1"/>
    <col min="16" max="16" width="39.2604166666667" customWidth="1"/>
  </cols>
  <sheetData>
    <row r="2" ht="12" spans="3:3">
      <c r="C2" s="94" t="s">
        <v>14</v>
      </c>
    </row>
    <row r="3" spans="3:3">
      <c r="C3" t="s">
        <v>12445</v>
      </c>
    </row>
    <row r="4" spans="2:4">
      <c r="B4" s="64"/>
      <c r="C4" s="64"/>
      <c r="D4" s="64"/>
    </row>
    <row r="5" s="94" customFormat="1" ht="17.45" customHeight="1" spans="3:16">
      <c r="C5" s="1076" t="s">
        <v>1152</v>
      </c>
      <c r="D5" s="1078"/>
      <c r="E5" s="114" t="s">
        <v>1031</v>
      </c>
      <c r="F5" s="1076" t="s">
        <v>11459</v>
      </c>
      <c r="G5" s="1077"/>
      <c r="H5" s="1078"/>
      <c r="I5" s="2129" t="s">
        <v>12446</v>
      </c>
      <c r="J5" s="2129" t="s">
        <v>12447</v>
      </c>
      <c r="K5" s="1076"/>
      <c r="L5" s="1077" t="s">
        <v>12448</v>
      </c>
      <c r="M5" s="1078"/>
      <c r="N5" s="2129" t="s">
        <v>12449</v>
      </c>
      <c r="O5" s="1076"/>
      <c r="P5" s="2130" t="s">
        <v>12450</v>
      </c>
    </row>
    <row r="6" spans="2:16">
      <c r="B6" s="64"/>
      <c r="C6" s="1081"/>
      <c r="D6" s="356"/>
      <c r="E6" s="1370"/>
      <c r="F6" s="1081"/>
      <c r="G6" s="159"/>
      <c r="H6" s="356"/>
      <c r="I6" s="191"/>
      <c r="J6" s="191"/>
      <c r="K6" s="1081"/>
      <c r="L6" s="159"/>
      <c r="M6" s="356"/>
      <c r="N6" s="191"/>
      <c r="O6" s="1081"/>
      <c r="P6" s="356"/>
    </row>
    <row r="7" customFormat="1" spans="2:16">
      <c r="B7" s="64"/>
      <c r="C7" s="1081" t="s">
        <v>12451</v>
      </c>
      <c r="D7" s="2114"/>
      <c r="E7" s="1370">
        <v>42867</v>
      </c>
      <c r="F7" s="1081" t="s">
        <v>12452</v>
      </c>
      <c r="G7" s="159"/>
      <c r="H7" s="356"/>
      <c r="I7" s="191"/>
      <c r="J7" s="191"/>
      <c r="K7" s="1081"/>
      <c r="L7" s="159"/>
      <c r="M7" s="356"/>
      <c r="N7" s="191"/>
      <c r="O7" s="1081"/>
      <c r="P7" s="356"/>
    </row>
    <row r="8" customFormat="1" spans="2:16">
      <c r="B8" s="64"/>
      <c r="C8" s="2115"/>
      <c r="D8" s="2114"/>
      <c r="E8" s="1370"/>
      <c r="F8" s="2116" t="s">
        <v>12453</v>
      </c>
      <c r="G8" s="2117"/>
      <c r="H8" s="356"/>
      <c r="I8" s="191"/>
      <c r="J8" s="191"/>
      <c r="K8" s="1081"/>
      <c r="L8" s="159"/>
      <c r="M8" s="356"/>
      <c r="N8" s="191"/>
      <c r="O8" s="1081"/>
      <c r="P8" s="356"/>
    </row>
    <row r="9" customFormat="1" spans="2:16">
      <c r="B9" s="64"/>
      <c r="C9" s="2115"/>
      <c r="D9" s="2114"/>
      <c r="E9" s="1370"/>
      <c r="F9" s="1081" t="s">
        <v>12454</v>
      </c>
      <c r="G9" s="159"/>
      <c r="H9" s="356"/>
      <c r="I9" s="191"/>
      <c r="J9" s="191"/>
      <c r="K9" s="1081"/>
      <c r="L9" s="159"/>
      <c r="M9" s="356"/>
      <c r="N9" s="191"/>
      <c r="O9" s="1081"/>
      <c r="P9" s="356"/>
    </row>
    <row r="10" customFormat="1" spans="2:16">
      <c r="B10" s="64"/>
      <c r="C10" s="2115"/>
      <c r="D10" s="2114"/>
      <c r="E10" s="1370"/>
      <c r="F10" s="1081" t="s">
        <v>12455</v>
      </c>
      <c r="G10" s="2117"/>
      <c r="H10" s="356"/>
      <c r="I10" s="191"/>
      <c r="J10" s="191"/>
      <c r="K10" s="1081"/>
      <c r="L10" s="159"/>
      <c r="M10" s="356"/>
      <c r="N10" s="191"/>
      <c r="O10" s="1081"/>
      <c r="P10" s="356"/>
    </row>
    <row r="11" customFormat="1" spans="2:16">
      <c r="B11" s="64"/>
      <c r="C11" s="2115"/>
      <c r="D11" s="2114"/>
      <c r="E11" s="1370"/>
      <c r="F11" s="1081" t="s">
        <v>12456</v>
      </c>
      <c r="G11" s="159"/>
      <c r="H11" s="356"/>
      <c r="I11" s="191"/>
      <c r="J11" s="191"/>
      <c r="K11" s="1081"/>
      <c r="L11" s="159"/>
      <c r="M11" s="356"/>
      <c r="N11" s="191"/>
      <c r="O11" s="1081"/>
      <c r="P11" s="356"/>
    </row>
    <row r="12" customFormat="1" spans="2:16">
      <c r="B12" s="64"/>
      <c r="C12" s="2115"/>
      <c r="D12" s="2114"/>
      <c r="E12" s="1370"/>
      <c r="F12" s="1081"/>
      <c r="G12" s="159"/>
      <c r="H12" s="356"/>
      <c r="I12" s="191"/>
      <c r="J12" s="191"/>
      <c r="K12" s="1081"/>
      <c r="L12" s="159"/>
      <c r="M12" s="356"/>
      <c r="N12" s="191"/>
      <c r="O12" s="1081"/>
      <c r="P12" s="356"/>
    </row>
    <row r="13" customFormat="1" spans="2:16">
      <c r="B13" s="64"/>
      <c r="C13" s="1081" t="s">
        <v>12457</v>
      </c>
      <c r="D13" s="2114"/>
      <c r="E13" s="1370">
        <v>42867</v>
      </c>
      <c r="F13" s="1081" t="s">
        <v>12458</v>
      </c>
      <c r="G13" s="159"/>
      <c r="H13" s="356"/>
      <c r="I13" s="191"/>
      <c r="J13" s="191"/>
      <c r="K13" s="1081"/>
      <c r="L13" s="159"/>
      <c r="M13" s="356"/>
      <c r="N13" s="191"/>
      <c r="O13" s="1081"/>
      <c r="P13" s="356"/>
    </row>
    <row r="14" customFormat="1" spans="2:16">
      <c r="B14" s="64"/>
      <c r="C14" s="2115"/>
      <c r="D14" s="2114"/>
      <c r="E14" s="1370"/>
      <c r="F14" s="1081"/>
      <c r="G14" s="159"/>
      <c r="H14" s="356"/>
      <c r="I14" s="191"/>
      <c r="J14" s="191"/>
      <c r="K14" s="1081"/>
      <c r="L14" s="159"/>
      <c r="M14" s="356"/>
      <c r="N14" s="191"/>
      <c r="O14" s="1081"/>
      <c r="P14" s="356"/>
    </row>
    <row r="15" customFormat="1" ht="12" spans="3:16">
      <c r="C15" s="1081" t="s">
        <v>12459</v>
      </c>
      <c r="D15" s="356"/>
      <c r="E15" s="1370">
        <v>43889</v>
      </c>
      <c r="F15" s="204" t="s">
        <v>12460</v>
      </c>
      <c r="G15" s="159"/>
      <c r="H15" s="356"/>
      <c r="I15" s="191">
        <v>1091587098</v>
      </c>
      <c r="J15" s="2131" t="s">
        <v>12461</v>
      </c>
      <c r="K15" s="1081"/>
      <c r="L15" s="159" t="s">
        <v>12462</v>
      </c>
      <c r="M15" s="356"/>
      <c r="N15" s="2131" t="s">
        <v>12463</v>
      </c>
      <c r="O15" s="2132"/>
      <c r="P15" s="2119" t="s">
        <v>12464</v>
      </c>
    </row>
    <row r="16" customFormat="1" spans="3:16">
      <c r="C16" s="1081"/>
      <c r="D16" s="356"/>
      <c r="E16" s="1370"/>
      <c r="F16" s="2118" t="s">
        <v>12465</v>
      </c>
      <c r="G16" s="2104"/>
      <c r="H16" s="2119"/>
      <c r="I16" s="191"/>
      <c r="J16" s="2131"/>
      <c r="K16" s="1081"/>
      <c r="L16" s="159"/>
      <c r="M16" s="356"/>
      <c r="N16" s="2131"/>
      <c r="O16" s="2132"/>
      <c r="P16" s="2133"/>
    </row>
    <row r="17" customFormat="1" spans="3:16">
      <c r="C17" s="1081"/>
      <c r="D17" s="356"/>
      <c r="E17" s="1370"/>
      <c r="F17" s="2118"/>
      <c r="G17" s="2104"/>
      <c r="H17" s="2119"/>
      <c r="I17" s="191"/>
      <c r="J17" s="2131"/>
      <c r="K17" s="1081"/>
      <c r="L17" s="159"/>
      <c r="M17" s="356"/>
      <c r="N17" s="2131"/>
      <c r="O17" s="2132"/>
      <c r="P17" s="2133"/>
    </row>
    <row r="18" customFormat="1" spans="3:16">
      <c r="C18" s="1081"/>
      <c r="D18" s="356"/>
      <c r="E18" s="1370"/>
      <c r="F18" s="2118"/>
      <c r="G18" s="2104"/>
      <c r="H18" s="2119"/>
      <c r="I18" s="191"/>
      <c r="J18" s="191"/>
      <c r="K18" s="1081"/>
      <c r="L18" s="159"/>
      <c r="M18" s="356"/>
      <c r="N18" s="2134"/>
      <c r="O18" s="2132"/>
      <c r="P18" s="2133"/>
    </row>
    <row r="19" customFormat="1" spans="3:16">
      <c r="C19" s="1081"/>
      <c r="D19" s="356"/>
      <c r="E19" s="1370"/>
      <c r="F19" s="2118" t="s">
        <v>12466</v>
      </c>
      <c r="G19" s="2104"/>
      <c r="H19" s="2119"/>
      <c r="I19" s="191"/>
      <c r="J19" s="191"/>
      <c r="K19" s="1081"/>
      <c r="L19" s="159"/>
      <c r="M19" s="356"/>
      <c r="N19" s="2134"/>
      <c r="O19" s="2132"/>
      <c r="P19" s="2133"/>
    </row>
    <row r="20" customFormat="1" spans="3:16">
      <c r="C20" s="1081"/>
      <c r="D20" s="356"/>
      <c r="E20" s="1370"/>
      <c r="F20" s="2118"/>
      <c r="G20" s="2104"/>
      <c r="H20" s="2119"/>
      <c r="I20" s="191"/>
      <c r="J20" s="191"/>
      <c r="K20" s="1081"/>
      <c r="L20" s="159"/>
      <c r="M20" s="356"/>
      <c r="N20" s="2134"/>
      <c r="O20" s="2132"/>
      <c r="P20" s="356"/>
    </row>
    <row r="21" customFormat="1" spans="3:16">
      <c r="C21" s="1081"/>
      <c r="D21" s="356"/>
      <c r="E21" s="1370"/>
      <c r="F21" s="2118"/>
      <c r="G21" s="2104"/>
      <c r="H21" s="2119"/>
      <c r="I21" s="191"/>
      <c r="J21" s="191"/>
      <c r="K21" s="1081"/>
      <c r="L21" s="159"/>
      <c r="M21" s="356"/>
      <c r="N21" s="2134"/>
      <c r="O21" s="2132"/>
      <c r="P21" s="356"/>
    </row>
    <row r="22" customFormat="1" spans="3:16">
      <c r="C22" s="1081"/>
      <c r="D22" s="356"/>
      <c r="E22" s="1370"/>
      <c r="F22" s="2118"/>
      <c r="G22" s="2104"/>
      <c r="H22" s="2119"/>
      <c r="I22" s="191"/>
      <c r="J22" s="191"/>
      <c r="K22" s="1081"/>
      <c r="L22" s="159"/>
      <c r="M22" s="356"/>
      <c r="N22" s="2134"/>
      <c r="O22" s="2132"/>
      <c r="P22" s="356"/>
    </row>
    <row r="23" customFormat="1" spans="3:16">
      <c r="C23" s="1081"/>
      <c r="D23" s="356"/>
      <c r="E23" s="1370"/>
      <c r="F23" s="2118"/>
      <c r="G23" s="2104"/>
      <c r="H23" s="2119"/>
      <c r="I23" s="191"/>
      <c r="J23" s="191"/>
      <c r="K23" s="1081"/>
      <c r="L23" s="159"/>
      <c r="M23" s="356"/>
      <c r="N23" s="2134"/>
      <c r="O23" s="2132"/>
      <c r="P23" s="356"/>
    </row>
    <row r="24" customFormat="1" spans="3:16">
      <c r="C24" s="1081"/>
      <c r="D24" s="356"/>
      <c r="E24" s="1370"/>
      <c r="F24" s="2118"/>
      <c r="G24" s="2104"/>
      <c r="H24" s="2119"/>
      <c r="I24" s="191"/>
      <c r="J24" s="191"/>
      <c r="K24" s="1081"/>
      <c r="L24" s="159"/>
      <c r="M24" s="356"/>
      <c r="N24" s="2134"/>
      <c r="O24" s="2132"/>
      <c r="P24" s="356"/>
    </row>
    <row r="25" customFormat="1" ht="12" spans="3:16">
      <c r="C25" s="1081"/>
      <c r="D25" s="356"/>
      <c r="E25" s="1370"/>
      <c r="F25" s="204" t="s">
        <v>12460</v>
      </c>
      <c r="G25" s="159"/>
      <c r="H25" s="356"/>
      <c r="I25" s="191">
        <v>595100800</v>
      </c>
      <c r="J25" s="2131" t="s">
        <v>12467</v>
      </c>
      <c r="K25" s="1081"/>
      <c r="L25" s="159" t="s">
        <v>12462</v>
      </c>
      <c r="M25" s="356"/>
      <c r="N25" s="2131" t="s">
        <v>12468</v>
      </c>
      <c r="O25" s="2132"/>
      <c r="P25" s="356"/>
    </row>
    <row r="26" customFormat="1" spans="3:16">
      <c r="C26" s="1081"/>
      <c r="D26" s="356"/>
      <c r="E26" s="1370"/>
      <c r="F26" s="2118" t="s">
        <v>12469</v>
      </c>
      <c r="G26" s="2104"/>
      <c r="H26" s="2119"/>
      <c r="I26" s="191"/>
      <c r="J26" s="2131"/>
      <c r="K26" s="1081"/>
      <c r="L26" s="159"/>
      <c r="M26" s="356"/>
      <c r="N26" s="2131"/>
      <c r="O26" s="2132"/>
      <c r="P26" s="356"/>
    </row>
    <row r="27" customFormat="1" spans="3:16">
      <c r="C27" s="1081"/>
      <c r="D27" s="356"/>
      <c r="E27" s="1370"/>
      <c r="F27" s="2118"/>
      <c r="G27" s="2104"/>
      <c r="H27" s="2119"/>
      <c r="I27" s="191"/>
      <c r="J27" s="2131"/>
      <c r="K27" s="1081"/>
      <c r="L27" s="159"/>
      <c r="M27" s="356"/>
      <c r="N27" s="2131"/>
      <c r="O27" s="2132"/>
      <c r="P27" s="356"/>
    </row>
    <row r="28" customFormat="1" spans="3:16">
      <c r="C28" s="1081"/>
      <c r="D28" s="356"/>
      <c r="E28" s="1370"/>
      <c r="F28" s="2118"/>
      <c r="G28" s="2104"/>
      <c r="H28" s="2119"/>
      <c r="I28" s="191"/>
      <c r="J28" s="2131"/>
      <c r="K28" s="1081"/>
      <c r="L28" s="159"/>
      <c r="M28" s="356"/>
      <c r="N28" s="2134"/>
      <c r="O28" s="2132"/>
      <c r="P28" s="356"/>
    </row>
    <row r="29" customFormat="1" spans="3:16">
      <c r="C29" s="1081"/>
      <c r="D29" s="356"/>
      <c r="E29" s="1370"/>
      <c r="F29" s="2118" t="s">
        <v>12466</v>
      </c>
      <c r="G29" s="2104"/>
      <c r="H29" s="2119"/>
      <c r="I29" s="191"/>
      <c r="J29" s="191"/>
      <c r="K29" s="1081"/>
      <c r="L29" s="159"/>
      <c r="M29" s="356"/>
      <c r="N29" s="2134"/>
      <c r="O29" s="2132"/>
      <c r="P29" s="356"/>
    </row>
    <row r="30" customFormat="1" spans="3:16">
      <c r="C30" s="1081"/>
      <c r="D30" s="356"/>
      <c r="E30" s="1370"/>
      <c r="F30" s="2118"/>
      <c r="G30" s="2104"/>
      <c r="H30" s="2119"/>
      <c r="I30" s="191"/>
      <c r="J30" s="191"/>
      <c r="K30" s="1081"/>
      <c r="L30" s="159"/>
      <c r="M30" s="356"/>
      <c r="N30" s="2134"/>
      <c r="O30" s="2132"/>
      <c r="P30" s="356"/>
    </row>
    <row r="31" customFormat="1" spans="3:16">
      <c r="C31" s="1081"/>
      <c r="D31" s="356"/>
      <c r="E31" s="1370"/>
      <c r="F31" s="2118"/>
      <c r="G31" s="2104"/>
      <c r="H31" s="2119"/>
      <c r="I31" s="191"/>
      <c r="J31" s="191"/>
      <c r="K31" s="1081"/>
      <c r="L31" s="159"/>
      <c r="M31" s="356"/>
      <c r="N31" s="2134"/>
      <c r="O31" s="2132"/>
      <c r="P31" s="356"/>
    </row>
    <row r="32" customFormat="1" spans="3:16">
      <c r="C32" s="1081"/>
      <c r="D32" s="356"/>
      <c r="E32" s="1370"/>
      <c r="F32" s="2118"/>
      <c r="G32" s="2104"/>
      <c r="H32" s="2119"/>
      <c r="I32" s="191"/>
      <c r="J32" s="191"/>
      <c r="K32" s="1081"/>
      <c r="L32" s="159"/>
      <c r="M32" s="356"/>
      <c r="N32" s="2134"/>
      <c r="O32" s="2132"/>
      <c r="P32" s="356"/>
    </row>
    <row r="33" customFormat="1" spans="3:16">
      <c r="C33" s="1081"/>
      <c r="D33" s="356"/>
      <c r="E33" s="1370"/>
      <c r="F33" s="2118"/>
      <c r="G33" s="2104"/>
      <c r="H33" s="2119"/>
      <c r="I33" s="191"/>
      <c r="J33" s="191"/>
      <c r="K33" s="1081"/>
      <c r="L33" s="159"/>
      <c r="M33" s="356"/>
      <c r="N33" s="2134"/>
      <c r="O33" s="2132"/>
      <c r="P33" s="356"/>
    </row>
    <row r="34" customFormat="1" ht="12" spans="3:16">
      <c r="C34" s="1081"/>
      <c r="D34" s="356"/>
      <c r="E34" s="1370"/>
      <c r="F34" s="204" t="s">
        <v>12460</v>
      </c>
      <c r="G34" s="159"/>
      <c r="H34" s="356"/>
      <c r="I34" s="191">
        <v>660000000</v>
      </c>
      <c r="J34" s="2131" t="s">
        <v>12470</v>
      </c>
      <c r="K34" s="1081"/>
      <c r="L34" s="159" t="s">
        <v>12462</v>
      </c>
      <c r="M34" s="356"/>
      <c r="N34" s="2131" t="s">
        <v>12471</v>
      </c>
      <c r="O34" s="2132"/>
      <c r="P34" s="356"/>
    </row>
    <row r="35" customFormat="1" ht="11.45" customHeight="1" spans="3:16">
      <c r="C35" s="1081"/>
      <c r="D35" s="356"/>
      <c r="E35" s="1370"/>
      <c r="F35" s="2118" t="s">
        <v>12469</v>
      </c>
      <c r="G35" s="2104"/>
      <c r="H35" s="2119"/>
      <c r="I35" s="191"/>
      <c r="J35" s="2131"/>
      <c r="K35" s="1081"/>
      <c r="L35" s="159"/>
      <c r="M35" s="356"/>
      <c r="N35" s="2131"/>
      <c r="O35" s="2132"/>
      <c r="P35" s="356"/>
    </row>
    <row r="36" customFormat="1" ht="11.45" customHeight="1" spans="3:16">
      <c r="C36" s="1081"/>
      <c r="D36" s="356"/>
      <c r="E36" s="1370"/>
      <c r="F36" s="2118"/>
      <c r="G36" s="2104"/>
      <c r="H36" s="2119"/>
      <c r="I36" s="191"/>
      <c r="J36" s="2131"/>
      <c r="K36" s="1081"/>
      <c r="L36" s="159"/>
      <c r="M36" s="356"/>
      <c r="N36" s="2131"/>
      <c r="O36" s="2132"/>
      <c r="P36" s="356"/>
    </row>
    <row r="37" customFormat="1" spans="3:16">
      <c r="C37" s="1081"/>
      <c r="D37" s="356"/>
      <c r="E37" s="1370"/>
      <c r="F37" s="2118"/>
      <c r="G37" s="2104"/>
      <c r="H37" s="2119"/>
      <c r="I37" s="191"/>
      <c r="J37" s="2131"/>
      <c r="K37" s="1081"/>
      <c r="L37" s="159"/>
      <c r="M37" s="356"/>
      <c r="N37" s="2134"/>
      <c r="O37" s="2132"/>
      <c r="P37" s="356"/>
    </row>
    <row r="38" customFormat="1" spans="3:16">
      <c r="C38" s="1081"/>
      <c r="D38" s="356"/>
      <c r="E38" s="1370"/>
      <c r="F38" s="2118" t="s">
        <v>12466</v>
      </c>
      <c r="G38" s="2104"/>
      <c r="H38" s="2119"/>
      <c r="I38" s="191"/>
      <c r="J38" s="191"/>
      <c r="K38" s="1081"/>
      <c r="L38" s="159"/>
      <c r="M38" s="356"/>
      <c r="N38" s="2134"/>
      <c r="O38" s="2132"/>
      <c r="P38" s="356"/>
    </row>
    <row r="39" customFormat="1" ht="11.45" customHeight="1" spans="3:16">
      <c r="C39" s="1081"/>
      <c r="D39" s="356"/>
      <c r="E39" s="1370"/>
      <c r="F39" s="2118"/>
      <c r="G39" s="2104"/>
      <c r="H39" s="2119"/>
      <c r="I39" s="191"/>
      <c r="J39" s="191"/>
      <c r="K39" s="1081"/>
      <c r="L39" s="159"/>
      <c r="M39" s="356"/>
      <c r="N39" s="2134"/>
      <c r="O39" s="2132"/>
      <c r="P39" s="356"/>
    </row>
    <row r="40" customFormat="1" spans="3:16">
      <c r="C40" s="1081"/>
      <c r="D40" s="356"/>
      <c r="E40" s="1370"/>
      <c r="F40" s="2118"/>
      <c r="G40" s="2104"/>
      <c r="H40" s="2119"/>
      <c r="I40" s="191"/>
      <c r="J40" s="191"/>
      <c r="K40" s="1081"/>
      <c r="L40" s="159"/>
      <c r="M40" s="356"/>
      <c r="N40" s="2134"/>
      <c r="O40" s="2132"/>
      <c r="P40" s="356"/>
    </row>
    <row r="41" customFormat="1" spans="3:16">
      <c r="C41" s="1081"/>
      <c r="D41" s="356"/>
      <c r="E41" s="1370"/>
      <c r="F41" s="2118"/>
      <c r="G41" s="2104"/>
      <c r="H41" s="2119"/>
      <c r="I41" s="191"/>
      <c r="J41" s="191"/>
      <c r="K41" s="1081"/>
      <c r="L41" s="159"/>
      <c r="M41" s="356"/>
      <c r="N41" s="2134"/>
      <c r="O41" s="2132"/>
      <c r="P41" s="356"/>
    </row>
    <row r="42" customFormat="1" spans="3:16">
      <c r="C42" s="1081"/>
      <c r="D42" s="356"/>
      <c r="E42" s="1370"/>
      <c r="F42" s="2118"/>
      <c r="G42" s="2104"/>
      <c r="H42" s="2119"/>
      <c r="I42" s="191"/>
      <c r="J42" s="191"/>
      <c r="K42" s="1081"/>
      <c r="L42" s="159"/>
      <c r="M42" s="356"/>
      <c r="N42" s="2134"/>
      <c r="O42" s="2132"/>
      <c r="P42" s="356"/>
    </row>
    <row r="43" customFormat="1" spans="3:16">
      <c r="C43" s="1081"/>
      <c r="D43" s="356"/>
      <c r="E43" s="1370"/>
      <c r="F43" s="2118"/>
      <c r="G43" s="2104"/>
      <c r="H43" s="2119"/>
      <c r="I43" s="191"/>
      <c r="J43" s="191"/>
      <c r="K43" s="1081"/>
      <c r="L43" s="159"/>
      <c r="M43" s="356"/>
      <c r="N43" s="2134"/>
      <c r="O43" s="2132"/>
      <c r="P43" s="356"/>
    </row>
    <row r="44" customFormat="1" spans="3:16">
      <c r="C44" s="1081"/>
      <c r="D44" s="356"/>
      <c r="E44" s="1370"/>
      <c r="F44" s="2118"/>
      <c r="G44" s="2104"/>
      <c r="H44" s="2119"/>
      <c r="I44" s="191"/>
      <c r="J44" s="191"/>
      <c r="K44" s="1081"/>
      <c r="L44" s="159"/>
      <c r="M44" s="356"/>
      <c r="N44" s="2134"/>
      <c r="O44" s="2132"/>
      <c r="P44" s="356"/>
    </row>
    <row r="45" customFormat="1" spans="3:16">
      <c r="C45" s="1081"/>
      <c r="D45" s="356"/>
      <c r="E45" s="1370"/>
      <c r="F45" s="1081"/>
      <c r="G45" s="159"/>
      <c r="H45" s="356"/>
      <c r="I45" s="191"/>
      <c r="J45" s="191"/>
      <c r="K45" s="1081"/>
      <c r="L45" s="159"/>
      <c r="M45" s="356"/>
      <c r="N45" s="2134"/>
      <c r="O45" s="2132"/>
      <c r="P45" s="356"/>
    </row>
    <row r="46" customFormat="1" spans="3:16">
      <c r="C46" s="1081"/>
      <c r="D46" s="356"/>
      <c r="E46" s="1370"/>
      <c r="F46" s="1081"/>
      <c r="G46" s="159"/>
      <c r="H46" s="356"/>
      <c r="I46" s="191"/>
      <c r="J46" s="191"/>
      <c r="K46" s="1081"/>
      <c r="L46" s="159"/>
      <c r="M46" s="356"/>
      <c r="N46" s="2134"/>
      <c r="O46" s="2132"/>
      <c r="P46" s="356"/>
    </row>
    <row r="47" customFormat="1" ht="6" customHeight="1" spans="3:16">
      <c r="C47" s="2120"/>
      <c r="D47" s="2121"/>
      <c r="E47" s="2122"/>
      <c r="F47" s="2120"/>
      <c r="G47" s="2123"/>
      <c r="H47" s="2121"/>
      <c r="I47" s="2135"/>
      <c r="J47" s="2135"/>
      <c r="K47" s="2120"/>
      <c r="L47" s="2123"/>
      <c r="M47" s="2121"/>
      <c r="N47" s="2136"/>
      <c r="O47" s="2137"/>
      <c r="P47" s="2121"/>
    </row>
    <row r="48" customFormat="1" spans="3:16">
      <c r="C48" s="1081"/>
      <c r="D48" s="356"/>
      <c r="E48" s="1370"/>
      <c r="F48" s="1081"/>
      <c r="G48" s="159"/>
      <c r="H48" s="356"/>
      <c r="I48" s="191"/>
      <c r="J48" s="191"/>
      <c r="K48" s="1081"/>
      <c r="L48" s="159"/>
      <c r="M48" s="356"/>
      <c r="N48" s="2134"/>
      <c r="O48" s="2132"/>
      <c r="P48" s="356"/>
    </row>
    <row r="49" ht="111.95" customHeight="1" spans="3:16">
      <c r="C49" s="1081" t="s">
        <v>12459</v>
      </c>
      <c r="D49" s="356"/>
      <c r="E49" s="1370">
        <v>43922</v>
      </c>
      <c r="F49" s="2124" t="s">
        <v>12472</v>
      </c>
      <c r="G49" s="2125"/>
      <c r="H49" s="2126"/>
      <c r="I49" s="191">
        <v>1500000000</v>
      </c>
      <c r="J49" s="191" t="s">
        <v>1918</v>
      </c>
      <c r="K49" s="1081"/>
      <c r="L49" s="159" t="s">
        <v>12473</v>
      </c>
      <c r="M49" s="356"/>
      <c r="N49" s="2138" t="s">
        <v>12474</v>
      </c>
      <c r="O49" s="2139">
        <v>1</v>
      </c>
      <c r="P49" s="5146" t="s">
        <v>12475</v>
      </c>
    </row>
    <row r="50" customFormat="1" ht="81.6" customHeight="1" spans="3:16">
      <c r="C50" s="1081"/>
      <c r="D50" s="356"/>
      <c r="E50" s="1370">
        <v>43922</v>
      </c>
      <c r="F50" s="2118" t="s">
        <v>12476</v>
      </c>
      <c r="G50" s="2094"/>
      <c r="H50" s="2119"/>
      <c r="I50" s="191">
        <v>3600000000</v>
      </c>
      <c r="J50" s="191" t="s">
        <v>1918</v>
      </c>
      <c r="K50" s="1081"/>
      <c r="L50" s="159" t="s">
        <v>12477</v>
      </c>
      <c r="M50" s="356"/>
      <c r="N50" s="2138" t="s">
        <v>12478</v>
      </c>
      <c r="O50" s="5147" t="s">
        <v>12479</v>
      </c>
      <c r="P50" s="5146" t="s">
        <v>12480</v>
      </c>
    </row>
    <row r="51" customFormat="1" spans="3:16">
      <c r="C51" s="1081"/>
      <c r="D51" s="356"/>
      <c r="E51" s="1370"/>
      <c r="F51" s="1081"/>
      <c r="G51" s="159"/>
      <c r="H51" s="356"/>
      <c r="I51" s="191"/>
      <c r="J51" s="191"/>
      <c r="K51" s="1081"/>
      <c r="L51" s="159"/>
      <c r="M51" s="356"/>
      <c r="N51" s="2142"/>
      <c r="O51" s="2143"/>
      <c r="P51" s="2133"/>
    </row>
    <row r="52" customFormat="1" spans="3:16">
      <c r="C52" s="1081"/>
      <c r="D52" s="356"/>
      <c r="E52" s="1370"/>
      <c r="F52" s="1081"/>
      <c r="G52" s="159"/>
      <c r="H52" s="356"/>
      <c r="I52" s="191"/>
      <c r="J52" s="191"/>
      <c r="K52" s="1081"/>
      <c r="L52" s="159"/>
      <c r="M52" s="356"/>
      <c r="N52" s="2142"/>
      <c r="O52" s="2143"/>
      <c r="P52" s="2133"/>
    </row>
    <row r="53" customFormat="1" spans="3:16">
      <c r="C53" s="1081"/>
      <c r="D53" s="356"/>
      <c r="E53" s="1370"/>
      <c r="F53" s="1081"/>
      <c r="G53" s="159"/>
      <c r="H53" s="356"/>
      <c r="I53" s="191"/>
      <c r="J53" s="191"/>
      <c r="K53" s="1081"/>
      <c r="L53" s="159"/>
      <c r="M53" s="356"/>
      <c r="N53" s="2142"/>
      <c r="O53" s="2143"/>
      <c r="P53" s="2133"/>
    </row>
    <row r="54" customFormat="1" spans="3:16">
      <c r="C54" s="1081"/>
      <c r="D54" s="356"/>
      <c r="E54" s="1370"/>
      <c r="F54" s="1081"/>
      <c r="G54" s="159"/>
      <c r="H54" s="356"/>
      <c r="I54" s="191"/>
      <c r="J54" s="191"/>
      <c r="K54" s="1081"/>
      <c r="L54" s="159"/>
      <c r="M54" s="356"/>
      <c r="N54" s="2142"/>
      <c r="O54" s="2143"/>
      <c r="P54" s="2133"/>
    </row>
    <row r="55" customFormat="1" spans="3:16">
      <c r="C55" s="1081"/>
      <c r="D55" s="356"/>
      <c r="E55" s="1370"/>
      <c r="F55" s="1081"/>
      <c r="G55" s="159"/>
      <c r="H55" s="356"/>
      <c r="I55" s="191"/>
      <c r="J55" s="191"/>
      <c r="K55" s="1081"/>
      <c r="L55" s="159"/>
      <c r="M55" s="356"/>
      <c r="N55" s="2142"/>
      <c r="O55" s="2143"/>
      <c r="P55" s="2133"/>
    </row>
    <row r="56" customFormat="1" spans="3:16">
      <c r="C56" s="1081"/>
      <c r="D56" s="356"/>
      <c r="E56" s="1370"/>
      <c r="F56" s="1081"/>
      <c r="G56" s="159"/>
      <c r="H56" s="356"/>
      <c r="I56" s="191"/>
      <c r="J56" s="191"/>
      <c r="K56" s="1081"/>
      <c r="L56" s="159"/>
      <c r="M56" s="356"/>
      <c r="N56" s="2142"/>
      <c r="O56" s="2143"/>
      <c r="P56" s="2133"/>
    </row>
    <row r="57" customFormat="1" spans="3:16">
      <c r="C57" s="1081"/>
      <c r="D57" s="356"/>
      <c r="E57" s="1370"/>
      <c r="F57" s="1081"/>
      <c r="G57" s="159"/>
      <c r="H57" s="356"/>
      <c r="I57" s="191"/>
      <c r="J57" s="191"/>
      <c r="K57" s="1081"/>
      <c r="L57" s="159"/>
      <c r="M57" s="356"/>
      <c r="N57" s="2142"/>
      <c r="O57" s="2143"/>
      <c r="P57" s="2133"/>
    </row>
    <row r="58" customFormat="1" spans="3:16">
      <c r="C58" s="1081"/>
      <c r="D58" s="356"/>
      <c r="E58" s="1370"/>
      <c r="F58" s="1081"/>
      <c r="G58" s="159"/>
      <c r="H58" s="356"/>
      <c r="I58" s="191"/>
      <c r="J58" s="191"/>
      <c r="K58" s="1081"/>
      <c r="L58" s="159"/>
      <c r="M58" s="356"/>
      <c r="N58" s="2142"/>
      <c r="O58" s="2143"/>
      <c r="P58" s="2133"/>
    </row>
    <row r="59" customFormat="1" ht="11.45" customHeight="1" spans="3:16">
      <c r="C59" s="1081"/>
      <c r="D59" s="356"/>
      <c r="E59" s="1370"/>
      <c r="F59" s="1081"/>
      <c r="G59" s="159"/>
      <c r="H59" s="356"/>
      <c r="I59" s="191"/>
      <c r="J59" s="191"/>
      <c r="K59" s="1081"/>
      <c r="L59" s="159"/>
      <c r="M59" s="356"/>
      <c r="N59" s="2142"/>
      <c r="O59" s="2144"/>
      <c r="P59" s="356"/>
    </row>
    <row r="60" ht="89.45" customHeight="1" spans="2:16">
      <c r="B60" s="96"/>
      <c r="C60" s="2115"/>
      <c r="D60" s="2114"/>
      <c r="E60" s="2127">
        <v>43922</v>
      </c>
      <c r="F60" s="2124" t="s">
        <v>12481</v>
      </c>
      <c r="G60" s="2128"/>
      <c r="H60" s="2126"/>
      <c r="I60" s="159">
        <v>148000000</v>
      </c>
      <c r="J60" s="191" t="s">
        <v>12482</v>
      </c>
      <c r="K60" s="2145" t="s">
        <v>12483</v>
      </c>
      <c r="L60" s="2146"/>
      <c r="M60" s="2147"/>
      <c r="N60" s="2138" t="s">
        <v>12478</v>
      </c>
      <c r="O60" s="5147" t="s">
        <v>12484</v>
      </c>
      <c r="P60" s="5146" t="s">
        <v>12485</v>
      </c>
    </row>
    <row r="61" spans="2:16">
      <c r="B61" s="96"/>
      <c r="C61" s="2115"/>
      <c r="D61" s="2114"/>
      <c r="F61" s="1081"/>
      <c r="G61" s="159"/>
      <c r="H61" s="356"/>
      <c r="J61" s="191"/>
      <c r="N61" s="191"/>
      <c r="O61" s="2143"/>
      <c r="P61" s="2133"/>
    </row>
    <row r="62" spans="2:16">
      <c r="B62" s="96"/>
      <c r="C62" s="2115"/>
      <c r="D62" s="2114"/>
      <c r="E62" s="2127">
        <v>43922</v>
      </c>
      <c r="F62" s="2124" t="s">
        <v>12481</v>
      </c>
      <c r="G62" s="2125"/>
      <c r="H62" s="2126"/>
      <c r="I62" s="159">
        <v>6094260000</v>
      </c>
      <c r="J62" s="2148" t="s">
        <v>1928</v>
      </c>
      <c r="K62" s="159"/>
      <c r="L62" s="159" t="s">
        <v>12486</v>
      </c>
      <c r="M62" s="159"/>
      <c r="N62" s="2138" t="s">
        <v>12487</v>
      </c>
      <c r="O62" s="2143"/>
      <c r="P62" s="2133"/>
    </row>
    <row r="63" spans="2:16">
      <c r="B63" s="96"/>
      <c r="C63" s="2115"/>
      <c r="D63" s="2114"/>
      <c r="E63" s="2127"/>
      <c r="F63" s="2124"/>
      <c r="G63" s="2125"/>
      <c r="H63" s="2126"/>
      <c r="I63" s="356"/>
      <c r="J63" s="2148"/>
      <c r="K63" s="1081"/>
      <c r="L63" s="1355" t="s">
        <v>12488</v>
      </c>
      <c r="M63" s="1093" t="s">
        <v>12489</v>
      </c>
      <c r="N63" s="2149"/>
      <c r="O63" s="2143"/>
      <c r="P63" s="2133"/>
    </row>
    <row r="64" spans="2:16">
      <c r="B64" s="1"/>
      <c r="C64" s="2115"/>
      <c r="D64" s="2114"/>
      <c r="E64" s="1370"/>
      <c r="F64" s="2124"/>
      <c r="G64" s="2125"/>
      <c r="H64" s="2126"/>
      <c r="I64" s="191"/>
      <c r="J64" s="2148"/>
      <c r="K64" s="1081"/>
      <c r="L64" s="5148" t="s">
        <v>12490</v>
      </c>
      <c r="M64" s="356">
        <v>2000000</v>
      </c>
      <c r="N64" s="2149"/>
      <c r="O64" s="2143"/>
      <c r="P64" s="2133"/>
    </row>
    <row r="65" spans="2:16">
      <c r="B65" s="96"/>
      <c r="C65" s="2115"/>
      <c r="D65" s="2114"/>
      <c r="E65" s="1370"/>
      <c r="F65" s="2150"/>
      <c r="G65" s="2117"/>
      <c r="H65" s="356"/>
      <c r="I65" s="191"/>
      <c r="J65" s="191"/>
      <c r="K65" s="1081"/>
      <c r="L65" s="5148" t="s">
        <v>12491</v>
      </c>
      <c r="M65" s="356">
        <v>125000000</v>
      </c>
      <c r="N65" s="2149"/>
      <c r="O65" s="2143"/>
      <c r="P65" s="2133"/>
    </row>
    <row r="66" spans="2:16">
      <c r="B66" s="1"/>
      <c r="C66" s="2115"/>
      <c r="D66" s="2114"/>
      <c r="E66" s="1370"/>
      <c r="F66" s="1081"/>
      <c r="G66" s="159"/>
      <c r="H66" s="356"/>
      <c r="I66" s="191"/>
      <c r="J66" s="191"/>
      <c r="K66" s="1081"/>
      <c r="L66" s="5148" t="s">
        <v>12492</v>
      </c>
      <c r="M66" s="356">
        <v>130000000</v>
      </c>
      <c r="N66" s="2149"/>
      <c r="O66" s="2143"/>
      <c r="P66" s="2133"/>
    </row>
    <row r="67" spans="2:16">
      <c r="B67" s="96"/>
      <c r="C67" s="2115"/>
      <c r="D67" s="2114"/>
      <c r="E67" s="1370"/>
      <c r="F67" s="2150"/>
      <c r="G67" s="2117"/>
      <c r="H67" s="356"/>
      <c r="I67" s="191"/>
      <c r="J67" s="191"/>
      <c r="K67" s="1081"/>
      <c r="L67" s="5148" t="s">
        <v>12493</v>
      </c>
      <c r="M67" s="356">
        <v>135000000</v>
      </c>
      <c r="N67" s="2149"/>
      <c r="O67" s="2143"/>
      <c r="P67" s="2133"/>
    </row>
    <row r="68" spans="2:16">
      <c r="B68" s="1"/>
      <c r="C68" s="2115"/>
      <c r="D68" s="2114"/>
      <c r="E68" s="1370"/>
      <c r="F68" s="1081"/>
      <c r="G68" s="159"/>
      <c r="H68" s="356"/>
      <c r="I68" s="191"/>
      <c r="J68" s="191"/>
      <c r="K68" s="1081"/>
      <c r="L68" s="5149" t="s">
        <v>12494</v>
      </c>
      <c r="M68" s="302">
        <v>74460000</v>
      </c>
      <c r="N68" s="2149"/>
      <c r="O68" s="2143"/>
      <c r="P68" s="2133"/>
    </row>
    <row r="69" spans="2:16">
      <c r="B69" s="1"/>
      <c r="C69" s="2115"/>
      <c r="D69" s="2114"/>
      <c r="E69" s="1370"/>
      <c r="F69" s="1081"/>
      <c r="G69" s="159"/>
      <c r="H69" s="356"/>
      <c r="I69" s="191"/>
      <c r="J69" s="191"/>
      <c r="K69" s="1081"/>
      <c r="L69" s="159"/>
      <c r="M69" s="356"/>
      <c r="N69" s="2134"/>
      <c r="O69" s="2132"/>
      <c r="P69" s="356"/>
    </row>
    <row r="70" ht="11.45" customHeight="1" spans="2:16">
      <c r="B70" s="96"/>
      <c r="C70" s="2115"/>
      <c r="D70" s="2114"/>
      <c r="E70" s="1370">
        <v>43922</v>
      </c>
      <c r="F70" s="2118" t="s">
        <v>12495</v>
      </c>
      <c r="G70" s="2104"/>
      <c r="H70" s="2119"/>
      <c r="I70" s="191">
        <v>1238540000</v>
      </c>
      <c r="J70" s="191" t="s">
        <v>12496</v>
      </c>
      <c r="K70" s="1081"/>
      <c r="L70" s="159" t="s">
        <v>12486</v>
      </c>
      <c r="M70" s="356"/>
      <c r="N70" s="2138" t="s">
        <v>12497</v>
      </c>
      <c r="O70" s="5147" t="s">
        <v>12498</v>
      </c>
      <c r="P70" s="5146" t="s">
        <v>12499</v>
      </c>
    </row>
    <row r="71" spans="2:16">
      <c r="B71" s="1"/>
      <c r="C71" s="2115"/>
      <c r="D71" s="2114"/>
      <c r="E71" s="1370"/>
      <c r="F71" s="2118"/>
      <c r="G71" s="2104"/>
      <c r="H71" s="2119"/>
      <c r="I71" s="191"/>
      <c r="J71" s="191"/>
      <c r="K71" s="1081"/>
      <c r="L71" s="1355" t="s">
        <v>12488</v>
      </c>
      <c r="M71" s="1094" t="s">
        <v>12489</v>
      </c>
      <c r="N71" s="2131"/>
      <c r="O71" s="2143"/>
      <c r="P71" s="2133"/>
    </row>
    <row r="72" spans="2:16">
      <c r="B72" s="96"/>
      <c r="C72" s="2115"/>
      <c r="D72" s="2114"/>
      <c r="E72" s="1370"/>
      <c r="F72" s="2118"/>
      <c r="G72" s="2104"/>
      <c r="H72" s="2119"/>
      <c r="I72" s="191"/>
      <c r="J72" s="191"/>
      <c r="K72" s="1081"/>
      <c r="L72" s="5148" t="s">
        <v>12490</v>
      </c>
      <c r="M72" s="356">
        <v>2000000</v>
      </c>
      <c r="N72" s="2131"/>
      <c r="O72" s="2143"/>
      <c r="P72" s="2133"/>
    </row>
    <row r="73" spans="2:16">
      <c r="B73" s="1"/>
      <c r="C73" s="2115"/>
      <c r="D73" s="2114"/>
      <c r="E73" s="1370"/>
      <c r="F73" s="1081"/>
      <c r="G73" s="159"/>
      <c r="H73" s="356"/>
      <c r="I73" s="191"/>
      <c r="J73" s="191"/>
      <c r="K73" s="1081"/>
      <c r="L73" s="5148" t="s">
        <v>12500</v>
      </c>
      <c r="M73" s="356">
        <v>66000000</v>
      </c>
      <c r="N73" s="2131"/>
      <c r="O73" s="2143"/>
      <c r="P73" s="2133"/>
    </row>
    <row r="74" spans="2:16">
      <c r="B74" s="96"/>
      <c r="C74" s="2115"/>
      <c r="D74" s="2114"/>
      <c r="E74" s="1370"/>
      <c r="F74" s="2150"/>
      <c r="G74" s="2117"/>
      <c r="H74" s="356"/>
      <c r="I74" s="191"/>
      <c r="J74" s="191"/>
      <c r="K74" s="1081"/>
      <c r="L74" s="5149" t="s">
        <v>12501</v>
      </c>
      <c r="M74" s="302">
        <v>32540000</v>
      </c>
      <c r="N74" s="2131"/>
      <c r="O74" s="2143"/>
      <c r="P74" s="2133"/>
    </row>
    <row r="75" customFormat="1" spans="2:16">
      <c r="B75" s="96"/>
      <c r="C75" s="2115"/>
      <c r="D75" s="2114"/>
      <c r="E75" s="1370"/>
      <c r="F75" s="2150"/>
      <c r="G75" s="2117"/>
      <c r="H75" s="356"/>
      <c r="I75" s="191"/>
      <c r="J75" s="191"/>
      <c r="K75" s="1081"/>
      <c r="L75" s="159"/>
      <c r="M75" s="356"/>
      <c r="N75" s="2131"/>
      <c r="O75" s="2143"/>
      <c r="P75" s="2133"/>
    </row>
    <row r="76" customFormat="1" spans="2:16">
      <c r="B76" s="96"/>
      <c r="C76" s="2115"/>
      <c r="D76" s="2114"/>
      <c r="E76" s="1370"/>
      <c r="F76" s="2151" t="s">
        <v>12502</v>
      </c>
      <c r="G76" s="2117"/>
      <c r="H76" s="356"/>
      <c r="I76" s="191"/>
      <c r="J76" s="191"/>
      <c r="K76" s="1081"/>
      <c r="L76" s="159"/>
      <c r="M76" s="356"/>
      <c r="N76" s="2131"/>
      <c r="O76" s="2143"/>
      <c r="P76" s="2133"/>
    </row>
    <row r="77" customFormat="1" spans="2:16">
      <c r="B77" s="96"/>
      <c r="C77" s="2115"/>
      <c r="D77" s="2114"/>
      <c r="E77" s="1370"/>
      <c r="F77" s="2151" t="s">
        <v>12503</v>
      </c>
      <c r="G77" s="2117"/>
      <c r="H77" s="356"/>
      <c r="I77" s="191"/>
      <c r="J77" s="191"/>
      <c r="K77" s="1081"/>
      <c r="L77" s="159"/>
      <c r="M77" s="356"/>
      <c r="N77" s="2131"/>
      <c r="O77" s="2143"/>
      <c r="P77" s="2133"/>
    </row>
    <row r="78" customFormat="1" spans="2:16">
      <c r="B78" s="96"/>
      <c r="C78" s="2115"/>
      <c r="D78" s="2114"/>
      <c r="E78" s="1370"/>
      <c r="F78" s="2151" t="s">
        <v>12504</v>
      </c>
      <c r="G78" s="2117"/>
      <c r="H78" s="356"/>
      <c r="I78" s="191"/>
      <c r="J78" s="191"/>
      <c r="K78" s="1081"/>
      <c r="L78" s="159"/>
      <c r="M78" s="356"/>
      <c r="N78" s="2131"/>
      <c r="O78" s="2143"/>
      <c r="P78" s="2133"/>
    </row>
    <row r="79" customFormat="1" spans="2:16">
      <c r="B79" s="96"/>
      <c r="C79" s="2115"/>
      <c r="D79" s="2114"/>
      <c r="E79" s="1370"/>
      <c r="F79" s="2151" t="s">
        <v>12505</v>
      </c>
      <c r="G79" s="2117"/>
      <c r="H79" s="356"/>
      <c r="I79" s="191"/>
      <c r="J79" s="191"/>
      <c r="K79" s="1081"/>
      <c r="L79" s="159"/>
      <c r="M79" s="356"/>
      <c r="N79" s="2131"/>
      <c r="O79" s="2118"/>
      <c r="P79" s="356"/>
    </row>
    <row r="80" customFormat="1" spans="2:16">
      <c r="B80" s="96"/>
      <c r="C80" s="2115"/>
      <c r="D80" s="2114"/>
      <c r="E80" s="1370"/>
      <c r="F80" s="2151"/>
      <c r="G80" s="2117"/>
      <c r="H80" s="356"/>
      <c r="I80" s="191"/>
      <c r="J80" s="191"/>
      <c r="K80" s="1081"/>
      <c r="L80" s="159"/>
      <c r="M80" s="356"/>
      <c r="N80" s="2131"/>
      <c r="O80" s="5147" t="s">
        <v>12506</v>
      </c>
      <c r="P80" s="5146" t="s">
        <v>12507</v>
      </c>
    </row>
    <row r="81" customFormat="1" ht="12" spans="2:16">
      <c r="B81" s="96"/>
      <c r="C81" s="2115"/>
      <c r="D81" s="2114"/>
      <c r="E81" s="1370"/>
      <c r="F81" s="2152" t="s">
        <v>12508</v>
      </c>
      <c r="G81" s="2117"/>
      <c r="H81" s="356"/>
      <c r="I81" s="191"/>
      <c r="J81" s="191"/>
      <c r="K81" s="1081"/>
      <c r="L81" s="159"/>
      <c r="M81" s="356"/>
      <c r="N81" s="2131"/>
      <c r="O81" s="2143"/>
      <c r="P81" s="2133"/>
    </row>
    <row r="82" customFormat="1" spans="2:16">
      <c r="B82" s="96"/>
      <c r="C82" s="2115"/>
      <c r="D82" s="2114"/>
      <c r="E82" s="1370"/>
      <c r="F82" s="2151" t="s">
        <v>12509</v>
      </c>
      <c r="G82" s="2117"/>
      <c r="H82" s="356"/>
      <c r="I82" s="191"/>
      <c r="J82" s="191"/>
      <c r="K82" s="1081"/>
      <c r="L82" s="159"/>
      <c r="M82" s="356"/>
      <c r="N82" s="2131"/>
      <c r="O82" s="2143"/>
      <c r="P82" s="2133"/>
    </row>
    <row r="83" customFormat="1" spans="2:16">
      <c r="B83" s="96"/>
      <c r="C83" s="2115"/>
      <c r="D83" s="2114"/>
      <c r="E83" s="1370"/>
      <c r="F83" s="2151" t="s">
        <v>12510</v>
      </c>
      <c r="G83" s="2117"/>
      <c r="H83" s="356"/>
      <c r="I83" s="191"/>
      <c r="J83" s="191"/>
      <c r="K83" s="1081"/>
      <c r="L83" s="159"/>
      <c r="M83" s="356"/>
      <c r="N83" s="2131"/>
      <c r="O83" s="2143"/>
      <c r="P83" s="2133"/>
    </row>
    <row r="84" customFormat="1" spans="2:16">
      <c r="B84" s="96"/>
      <c r="C84" s="2115"/>
      <c r="D84" s="2114"/>
      <c r="E84" s="1370"/>
      <c r="F84" s="2151"/>
      <c r="G84" s="2117"/>
      <c r="H84" s="356"/>
      <c r="I84" s="191"/>
      <c r="J84" s="191"/>
      <c r="K84" s="1081"/>
      <c r="L84" s="159"/>
      <c r="M84" s="356"/>
      <c r="N84" s="2131"/>
      <c r="O84" s="2143"/>
      <c r="P84" s="2133"/>
    </row>
    <row r="85" customFormat="1" spans="2:16">
      <c r="B85" s="96"/>
      <c r="C85" s="2115"/>
      <c r="D85" s="2114"/>
      <c r="E85" s="1370"/>
      <c r="F85" s="2151"/>
      <c r="G85" s="2117"/>
      <c r="H85" s="356"/>
      <c r="I85" s="191"/>
      <c r="J85" s="191"/>
      <c r="K85" s="1081"/>
      <c r="L85" s="159"/>
      <c r="M85" s="356"/>
      <c r="N85" s="2131"/>
      <c r="O85" s="2143"/>
      <c r="P85" s="2133"/>
    </row>
    <row r="86" customFormat="1" spans="2:16">
      <c r="B86" s="96"/>
      <c r="C86" s="2115"/>
      <c r="D86" s="2114"/>
      <c r="E86" s="1370"/>
      <c r="F86" s="2151"/>
      <c r="G86" s="2117"/>
      <c r="H86" s="356"/>
      <c r="I86" s="191"/>
      <c r="J86" s="191"/>
      <c r="K86" s="1081"/>
      <c r="L86" s="159"/>
      <c r="M86" s="356"/>
      <c r="N86" s="2131"/>
      <c r="O86" s="2143"/>
      <c r="P86" s="2133"/>
    </row>
    <row r="87" customFormat="1" spans="2:16">
      <c r="B87" s="96"/>
      <c r="C87" s="2115"/>
      <c r="D87" s="2114"/>
      <c r="E87" s="1370"/>
      <c r="F87" s="2151"/>
      <c r="G87" s="2117"/>
      <c r="H87" s="356"/>
      <c r="I87" s="191"/>
      <c r="J87" s="191"/>
      <c r="K87" s="1081"/>
      <c r="L87" s="159"/>
      <c r="M87" s="356"/>
      <c r="N87" s="2131"/>
      <c r="O87" s="2143"/>
      <c r="P87" s="2133"/>
    </row>
    <row r="88" customFormat="1" spans="2:16">
      <c r="B88" s="96"/>
      <c r="C88" s="2115"/>
      <c r="D88" s="2114"/>
      <c r="E88" s="1370"/>
      <c r="F88" s="2151"/>
      <c r="G88" s="2117"/>
      <c r="H88" s="356"/>
      <c r="I88" s="191"/>
      <c r="J88" s="191"/>
      <c r="K88" s="1081"/>
      <c r="L88" s="159"/>
      <c r="M88" s="356"/>
      <c r="N88" s="2131"/>
      <c r="O88" s="2143"/>
      <c r="P88" s="2133"/>
    </row>
    <row r="89" customFormat="1" spans="2:16">
      <c r="B89" s="96"/>
      <c r="C89" s="2115"/>
      <c r="D89" s="2114"/>
      <c r="E89" s="1370"/>
      <c r="F89" s="2151"/>
      <c r="G89" s="2117"/>
      <c r="H89" s="356"/>
      <c r="I89" s="191"/>
      <c r="J89" s="191"/>
      <c r="K89" s="1081"/>
      <c r="L89" s="159"/>
      <c r="M89" s="356"/>
      <c r="N89" s="2131"/>
      <c r="O89" s="2143"/>
      <c r="P89" s="2133"/>
    </row>
    <row r="90" customFormat="1" spans="2:16">
      <c r="B90" s="96"/>
      <c r="C90" s="2115"/>
      <c r="D90" s="2114"/>
      <c r="E90" s="1370"/>
      <c r="F90" s="2151"/>
      <c r="G90" s="2117"/>
      <c r="H90" s="356"/>
      <c r="I90" s="191"/>
      <c r="J90" s="191"/>
      <c r="K90" s="1081"/>
      <c r="L90" s="159"/>
      <c r="M90" s="356"/>
      <c r="N90" s="2131"/>
      <c r="O90" s="2143"/>
      <c r="P90" s="2133"/>
    </row>
    <row r="91" customFormat="1" spans="2:16">
      <c r="B91" s="96"/>
      <c r="C91" s="2115"/>
      <c r="D91" s="2114"/>
      <c r="E91" s="1370"/>
      <c r="F91" s="2150"/>
      <c r="G91" s="2117"/>
      <c r="H91" s="356"/>
      <c r="I91" s="191"/>
      <c r="J91" s="191"/>
      <c r="K91" s="1081"/>
      <c r="L91" s="159"/>
      <c r="M91" s="356"/>
      <c r="N91" s="2131"/>
      <c r="O91" s="2143"/>
      <c r="P91" s="2133"/>
    </row>
    <row r="92" customFormat="1" ht="12" spans="2:16">
      <c r="B92" s="96"/>
      <c r="C92" s="2115"/>
      <c r="D92" s="2114"/>
      <c r="E92" s="1370"/>
      <c r="F92" s="2150"/>
      <c r="G92" s="2117"/>
      <c r="H92" s="356"/>
      <c r="I92" s="191"/>
      <c r="J92" s="191"/>
      <c r="K92" s="1081"/>
      <c r="L92" s="159"/>
      <c r="M92" s="356"/>
      <c r="N92" s="2131"/>
      <c r="O92" s="2143"/>
      <c r="P92" s="2133"/>
    </row>
    <row r="93" customFormat="1" ht="11.45" customHeight="1" spans="2:16">
      <c r="B93" s="96"/>
      <c r="C93" s="2115"/>
      <c r="D93" s="2114"/>
      <c r="E93" s="1370"/>
      <c r="F93" s="2150"/>
      <c r="G93" s="2117"/>
      <c r="H93" s="356"/>
      <c r="I93" s="191"/>
      <c r="J93" s="191"/>
      <c r="K93" s="1081"/>
      <c r="L93" s="159"/>
      <c r="M93" s="356"/>
      <c r="N93" s="2131"/>
      <c r="O93" s="5147" t="s">
        <v>12511</v>
      </c>
      <c r="P93" s="5146" t="s">
        <v>12512</v>
      </c>
    </row>
    <row r="94" customFormat="1" spans="2:16">
      <c r="B94" s="96"/>
      <c r="C94" s="2115"/>
      <c r="D94" s="2114"/>
      <c r="E94" s="1370"/>
      <c r="F94" s="2150"/>
      <c r="G94" s="2117"/>
      <c r="H94" s="356"/>
      <c r="I94" s="191"/>
      <c r="J94" s="191"/>
      <c r="K94" s="1081"/>
      <c r="L94" s="159"/>
      <c r="M94" s="356"/>
      <c r="N94" s="2131"/>
      <c r="O94" s="2143"/>
      <c r="P94" s="2133"/>
    </row>
    <row r="95" customFormat="1" spans="2:16">
      <c r="B95" s="96"/>
      <c r="C95" s="2115"/>
      <c r="D95" s="2114"/>
      <c r="E95" s="1370"/>
      <c r="F95" s="2150"/>
      <c r="G95" s="2117"/>
      <c r="H95" s="356"/>
      <c r="I95" s="191"/>
      <c r="J95" s="191"/>
      <c r="K95" s="1081"/>
      <c r="L95" s="159"/>
      <c r="M95" s="356"/>
      <c r="N95" s="2131"/>
      <c r="O95" s="2143"/>
      <c r="P95" s="2133"/>
    </row>
    <row r="96" customFormat="1" spans="2:16">
      <c r="B96" s="96"/>
      <c r="C96" s="2115"/>
      <c r="D96" s="2114"/>
      <c r="E96" s="1370"/>
      <c r="F96" s="2150"/>
      <c r="G96" s="2117"/>
      <c r="H96" s="356"/>
      <c r="I96" s="191"/>
      <c r="J96" s="191"/>
      <c r="K96" s="1081"/>
      <c r="L96" s="159"/>
      <c r="M96" s="356"/>
      <c r="N96" s="2131"/>
      <c r="O96" s="2143"/>
      <c r="P96" s="2133"/>
    </row>
    <row r="97" customFormat="1" spans="2:16">
      <c r="B97" s="96"/>
      <c r="C97" s="2115"/>
      <c r="D97" s="2114"/>
      <c r="E97" s="1370"/>
      <c r="F97" s="2150"/>
      <c r="G97" s="2117"/>
      <c r="H97" s="356"/>
      <c r="I97" s="191"/>
      <c r="J97" s="191"/>
      <c r="K97" s="1081"/>
      <c r="L97" s="159"/>
      <c r="M97" s="356"/>
      <c r="N97" s="2131"/>
      <c r="O97" s="2143"/>
      <c r="P97" s="2133"/>
    </row>
    <row r="98" customFormat="1" spans="2:16">
      <c r="B98" s="96"/>
      <c r="C98" s="2115"/>
      <c r="D98" s="2114"/>
      <c r="E98" s="1370"/>
      <c r="F98" s="2150"/>
      <c r="G98" s="2117"/>
      <c r="H98" s="356"/>
      <c r="I98" s="191"/>
      <c r="J98" s="191"/>
      <c r="K98" s="1081"/>
      <c r="L98" s="159"/>
      <c r="M98" s="356"/>
      <c r="N98" s="2131"/>
      <c r="O98" s="2143"/>
      <c r="P98" s="2133"/>
    </row>
    <row r="99" customFormat="1" spans="2:16">
      <c r="B99" s="96"/>
      <c r="C99" s="2115"/>
      <c r="D99" s="2114"/>
      <c r="E99" s="1370"/>
      <c r="F99" s="2150"/>
      <c r="G99" s="2117"/>
      <c r="H99" s="356"/>
      <c r="I99" s="191"/>
      <c r="J99" s="191"/>
      <c r="K99" s="1081"/>
      <c r="L99" s="159"/>
      <c r="M99" s="356"/>
      <c r="N99" s="2131"/>
      <c r="O99" s="2143"/>
      <c r="P99" s="2133"/>
    </row>
    <row r="100" customFormat="1" spans="2:16">
      <c r="B100" s="96"/>
      <c r="C100" s="2115"/>
      <c r="D100" s="2114"/>
      <c r="E100" s="1370"/>
      <c r="F100" s="2150"/>
      <c r="G100" s="2117"/>
      <c r="H100" s="356"/>
      <c r="I100" s="191"/>
      <c r="J100" s="191"/>
      <c r="K100" s="1081"/>
      <c r="L100" s="159"/>
      <c r="M100" s="356"/>
      <c r="N100" s="2131"/>
      <c r="O100" s="2143"/>
      <c r="P100" s="2133"/>
    </row>
    <row r="101" customFormat="1" spans="2:16">
      <c r="B101" s="96"/>
      <c r="C101" s="2115"/>
      <c r="D101" s="2114"/>
      <c r="E101" s="1370"/>
      <c r="F101" s="2150"/>
      <c r="G101" s="2117"/>
      <c r="H101" s="356"/>
      <c r="I101" s="191"/>
      <c r="J101" s="191"/>
      <c r="K101" s="1081"/>
      <c r="L101" s="159"/>
      <c r="M101" s="356"/>
      <c r="N101" s="2131"/>
      <c r="O101" s="2143"/>
      <c r="P101" s="2133"/>
    </row>
    <row r="102" customFormat="1" spans="2:16">
      <c r="B102" s="96"/>
      <c r="C102" s="2115"/>
      <c r="D102" s="2114"/>
      <c r="E102" s="1370"/>
      <c r="F102" s="2150"/>
      <c r="G102" s="2117"/>
      <c r="H102" s="356"/>
      <c r="I102" s="191"/>
      <c r="J102" s="191"/>
      <c r="K102" s="1081"/>
      <c r="L102" s="159"/>
      <c r="M102" s="356"/>
      <c r="N102" s="2131"/>
      <c r="O102" s="2143"/>
      <c r="P102" s="2133"/>
    </row>
    <row r="103" customFormat="1" spans="2:16">
      <c r="B103" s="96"/>
      <c r="C103" s="2115"/>
      <c r="D103" s="2114"/>
      <c r="E103" s="1370"/>
      <c r="F103" s="2150"/>
      <c r="G103" s="2117"/>
      <c r="H103" s="356"/>
      <c r="I103" s="191"/>
      <c r="J103" s="191"/>
      <c r="K103" s="1081"/>
      <c r="L103" s="159"/>
      <c r="M103" s="356"/>
      <c r="N103" s="2131"/>
      <c r="O103" s="2143"/>
      <c r="P103" s="2133"/>
    </row>
    <row r="104" customFormat="1" spans="2:16">
      <c r="B104" s="96"/>
      <c r="C104" s="2115"/>
      <c r="D104" s="2114"/>
      <c r="E104" s="1370"/>
      <c r="F104" s="2150"/>
      <c r="G104" s="2117"/>
      <c r="H104" s="356"/>
      <c r="I104" s="191"/>
      <c r="J104" s="191"/>
      <c r="K104" s="1081"/>
      <c r="L104" s="159"/>
      <c r="M104" s="356"/>
      <c r="N104" s="2131"/>
      <c r="O104" s="2143"/>
      <c r="P104" s="2133"/>
    </row>
    <row r="105" customFormat="1" ht="12" spans="2:16">
      <c r="B105" s="96"/>
      <c r="C105" s="2115"/>
      <c r="D105" s="2114"/>
      <c r="E105" s="1370"/>
      <c r="F105" s="2150"/>
      <c r="G105" s="2117"/>
      <c r="H105" s="356"/>
      <c r="I105" s="191"/>
      <c r="J105" s="191"/>
      <c r="K105" s="1081"/>
      <c r="L105" s="159"/>
      <c r="M105" s="356"/>
      <c r="N105" s="2131"/>
      <c r="O105" s="2143"/>
      <c r="P105" s="2133"/>
    </row>
    <row r="106" customFormat="1" spans="2:16">
      <c r="B106" s="96"/>
      <c r="C106" s="2115"/>
      <c r="D106" s="2114"/>
      <c r="E106" s="1370"/>
      <c r="F106" s="2150"/>
      <c r="G106" s="2117"/>
      <c r="H106" s="356"/>
      <c r="I106" s="191"/>
      <c r="J106" s="191"/>
      <c r="K106" s="1081"/>
      <c r="L106" s="159"/>
      <c r="M106" s="356"/>
      <c r="N106" s="2131"/>
      <c r="O106" s="5147" t="s">
        <v>12513</v>
      </c>
      <c r="P106" s="5146" t="s">
        <v>12514</v>
      </c>
    </row>
    <row r="107" customFormat="1" spans="2:16">
      <c r="B107" s="96"/>
      <c r="C107" s="2115"/>
      <c r="D107" s="2114"/>
      <c r="E107" s="1370"/>
      <c r="F107" s="2150"/>
      <c r="G107" s="2117"/>
      <c r="H107" s="356"/>
      <c r="I107" s="191"/>
      <c r="J107" s="191"/>
      <c r="K107" s="1081"/>
      <c r="L107" s="159"/>
      <c r="M107" s="356"/>
      <c r="N107" s="2131"/>
      <c r="O107" s="2143"/>
      <c r="P107" s="2133"/>
    </row>
    <row r="108" customFormat="1" spans="2:16">
      <c r="B108" s="96"/>
      <c r="C108" s="2115"/>
      <c r="D108" s="2114"/>
      <c r="E108" s="1370"/>
      <c r="F108" s="2150"/>
      <c r="G108" s="2117"/>
      <c r="H108" s="356"/>
      <c r="I108" s="191"/>
      <c r="J108" s="191"/>
      <c r="K108" s="1081"/>
      <c r="L108" s="159"/>
      <c r="M108" s="356"/>
      <c r="N108" s="2131"/>
      <c r="O108" s="2143"/>
      <c r="P108" s="2133"/>
    </row>
    <row r="109" customFormat="1" spans="2:16">
      <c r="B109" s="96"/>
      <c r="C109" s="2115"/>
      <c r="D109" s="2114"/>
      <c r="E109" s="1370"/>
      <c r="F109" s="2150"/>
      <c r="G109" s="2117"/>
      <c r="H109" s="356"/>
      <c r="I109" s="191"/>
      <c r="J109" s="191"/>
      <c r="K109" s="1081"/>
      <c r="L109" s="159"/>
      <c r="M109" s="356"/>
      <c r="N109" s="2131"/>
      <c r="O109" s="2143"/>
      <c r="P109" s="2133"/>
    </row>
    <row r="110" customFormat="1" spans="2:16">
      <c r="B110" s="96"/>
      <c r="C110" s="2115"/>
      <c r="D110" s="2114"/>
      <c r="E110" s="1370"/>
      <c r="F110" s="2150"/>
      <c r="G110" s="2117"/>
      <c r="H110" s="356"/>
      <c r="I110" s="191"/>
      <c r="J110" s="191"/>
      <c r="K110" s="1081"/>
      <c r="L110" s="159"/>
      <c r="M110" s="356"/>
      <c r="N110" s="2131"/>
      <c r="O110" s="2143"/>
      <c r="P110" s="2133"/>
    </row>
    <row r="111" customFormat="1" spans="2:16">
      <c r="B111" s="96"/>
      <c r="C111" s="2115"/>
      <c r="D111" s="2114"/>
      <c r="E111" s="1370"/>
      <c r="F111" s="2150"/>
      <c r="G111" s="2117"/>
      <c r="H111" s="356"/>
      <c r="I111" s="191"/>
      <c r="J111" s="191"/>
      <c r="K111" s="1081"/>
      <c r="L111" s="159"/>
      <c r="M111" s="356"/>
      <c r="N111" s="2131"/>
      <c r="O111" s="2143"/>
      <c r="P111" s="2133"/>
    </row>
    <row r="112" customFormat="1" spans="2:16">
      <c r="B112" s="96"/>
      <c r="C112" s="2115"/>
      <c r="D112" s="2114"/>
      <c r="E112" s="1370"/>
      <c r="F112" s="2150"/>
      <c r="G112" s="2117"/>
      <c r="H112" s="356"/>
      <c r="I112" s="191"/>
      <c r="J112" s="191"/>
      <c r="K112" s="1081"/>
      <c r="L112" s="159"/>
      <c r="M112" s="356"/>
      <c r="N112" s="2131"/>
      <c r="O112" s="2143"/>
      <c r="P112" s="2133"/>
    </row>
    <row r="113" customFormat="1" spans="2:16">
      <c r="B113" s="96"/>
      <c r="C113" s="2115"/>
      <c r="D113" s="2114"/>
      <c r="E113" s="1370"/>
      <c r="F113" s="2150"/>
      <c r="G113" s="2117"/>
      <c r="H113" s="356"/>
      <c r="I113" s="191"/>
      <c r="J113" s="191"/>
      <c r="K113" s="1081"/>
      <c r="L113" s="159"/>
      <c r="M113" s="356"/>
      <c r="N113" s="2131"/>
      <c r="O113" s="2143"/>
      <c r="P113" s="2133"/>
    </row>
    <row r="114" customFormat="1" spans="2:16">
      <c r="B114" s="96"/>
      <c r="C114" s="2115"/>
      <c r="D114" s="2114"/>
      <c r="E114" s="1370"/>
      <c r="F114" s="2150"/>
      <c r="G114" s="2117"/>
      <c r="H114" s="356"/>
      <c r="I114" s="191"/>
      <c r="J114" s="191"/>
      <c r="K114" s="1081"/>
      <c r="L114" s="159"/>
      <c r="M114" s="356"/>
      <c r="N114" s="2131"/>
      <c r="O114" s="2143"/>
      <c r="P114" s="2133"/>
    </row>
    <row r="115" customFormat="1" spans="2:16">
      <c r="B115" s="96"/>
      <c r="C115" s="2115"/>
      <c r="D115" s="2114"/>
      <c r="E115" s="1370"/>
      <c r="F115" s="2150"/>
      <c r="G115" s="2117"/>
      <c r="H115" s="356"/>
      <c r="I115" s="191"/>
      <c r="J115" s="191"/>
      <c r="K115" s="1081"/>
      <c r="L115" s="159"/>
      <c r="M115" s="356"/>
      <c r="N115" s="2131"/>
      <c r="O115" s="2143"/>
      <c r="P115" s="2133"/>
    </row>
    <row r="116" customFormat="1" spans="2:16">
      <c r="B116" s="96"/>
      <c r="C116" s="2115"/>
      <c r="D116" s="2114"/>
      <c r="E116" s="1370"/>
      <c r="F116" s="2150"/>
      <c r="G116" s="2117"/>
      <c r="H116" s="356"/>
      <c r="I116" s="191"/>
      <c r="J116" s="191"/>
      <c r="K116" s="1081"/>
      <c r="L116" s="159"/>
      <c r="M116" s="356"/>
      <c r="N116" s="2131"/>
      <c r="O116" s="2143"/>
      <c r="P116" s="2133"/>
    </row>
    <row r="117" customFormat="1" spans="2:16">
      <c r="B117" s="96"/>
      <c r="C117" s="2115"/>
      <c r="D117" s="2114"/>
      <c r="E117" s="1370"/>
      <c r="F117" s="2150"/>
      <c r="G117" s="2117"/>
      <c r="H117" s="356"/>
      <c r="I117" s="191"/>
      <c r="J117" s="191"/>
      <c r="K117" s="1081"/>
      <c r="L117" s="159"/>
      <c r="M117" s="356"/>
      <c r="N117" s="2131"/>
      <c r="O117" s="2143"/>
      <c r="P117" s="2133"/>
    </row>
    <row r="118" customFormat="1" spans="2:16">
      <c r="B118" s="96"/>
      <c r="C118" s="2115"/>
      <c r="D118" s="2114"/>
      <c r="E118" s="1370"/>
      <c r="F118" s="2150"/>
      <c r="G118" s="2117"/>
      <c r="H118" s="356"/>
      <c r="I118" s="191"/>
      <c r="J118" s="191"/>
      <c r="K118" s="1081"/>
      <c r="L118" s="159"/>
      <c r="M118" s="356"/>
      <c r="N118" s="2131"/>
      <c r="O118" s="2143"/>
      <c r="P118" s="2133"/>
    </row>
    <row r="119" customFormat="1" spans="2:16">
      <c r="B119" s="96"/>
      <c r="C119" s="2115"/>
      <c r="D119" s="2114"/>
      <c r="E119" s="1370"/>
      <c r="F119" s="2150"/>
      <c r="G119" s="2117"/>
      <c r="H119" s="356"/>
      <c r="I119" s="191"/>
      <c r="J119" s="191"/>
      <c r="K119" s="1081"/>
      <c r="L119" s="159"/>
      <c r="M119" s="356"/>
      <c r="N119" s="2131"/>
      <c r="O119" s="2143"/>
      <c r="P119" s="2133"/>
    </row>
    <row r="120" customFormat="1" ht="12" spans="2:16">
      <c r="B120" s="96"/>
      <c r="C120" s="2115"/>
      <c r="D120" s="2114"/>
      <c r="E120" s="1370"/>
      <c r="F120" s="2150"/>
      <c r="G120" s="2117"/>
      <c r="H120" s="356"/>
      <c r="I120" s="191"/>
      <c r="J120" s="191"/>
      <c r="K120" s="1081"/>
      <c r="L120" s="159"/>
      <c r="M120" s="356"/>
      <c r="N120" s="2131"/>
      <c r="O120" s="2143"/>
      <c r="P120" s="2133"/>
    </row>
    <row r="121" customFormat="1" ht="30.6" customHeight="1" spans="2:16">
      <c r="B121" s="96"/>
      <c r="C121" s="2115"/>
      <c r="D121" s="2114"/>
      <c r="E121" s="1370"/>
      <c r="F121" s="2150"/>
      <c r="G121" s="2117"/>
      <c r="H121" s="356"/>
      <c r="I121" s="191"/>
      <c r="J121" s="191"/>
      <c r="K121" s="1081"/>
      <c r="L121" s="159"/>
      <c r="M121" s="356"/>
      <c r="N121" s="2131"/>
      <c r="O121" s="5150" t="s">
        <v>12515</v>
      </c>
      <c r="P121" s="2133" t="s">
        <v>12516</v>
      </c>
    </row>
    <row r="122" customFormat="1" ht="12" spans="2:16">
      <c r="B122" s="96"/>
      <c r="C122" s="2115"/>
      <c r="D122" s="2114"/>
      <c r="E122" s="1370"/>
      <c r="F122" s="2150"/>
      <c r="G122" s="2117"/>
      <c r="H122" s="356"/>
      <c r="I122" s="191"/>
      <c r="J122" s="191"/>
      <c r="K122" s="1081"/>
      <c r="L122" s="159"/>
      <c r="M122" s="356"/>
      <c r="N122" s="2131"/>
      <c r="O122" s="2143"/>
      <c r="P122" s="2133"/>
    </row>
    <row r="123" customFormat="1" ht="12" spans="2:16">
      <c r="B123" s="96"/>
      <c r="C123" s="2115"/>
      <c r="D123" s="2114"/>
      <c r="E123" s="1370"/>
      <c r="F123" s="2150"/>
      <c r="G123" s="2117"/>
      <c r="H123" s="356"/>
      <c r="I123" s="191"/>
      <c r="J123" s="191"/>
      <c r="K123" s="1081"/>
      <c r="L123" s="159"/>
      <c r="M123" s="356"/>
      <c r="N123" s="2131"/>
      <c r="O123" s="2143"/>
      <c r="P123" s="2133"/>
    </row>
    <row r="124" customFormat="1" ht="12" spans="2:16">
      <c r="B124" s="96"/>
      <c r="C124" s="2115"/>
      <c r="D124" s="2114"/>
      <c r="E124" s="1370"/>
      <c r="F124" s="2150"/>
      <c r="G124" s="2117"/>
      <c r="H124" s="356"/>
      <c r="I124" s="191"/>
      <c r="J124" s="191"/>
      <c r="K124" s="1081"/>
      <c r="L124" s="159"/>
      <c r="M124" s="356"/>
      <c r="N124" s="2131"/>
      <c r="O124" s="2143"/>
      <c r="P124" s="2133"/>
    </row>
    <row r="125" customFormat="1" ht="12" spans="2:16">
      <c r="B125" s="96"/>
      <c r="C125" s="2115"/>
      <c r="D125" s="2114"/>
      <c r="E125" s="1370"/>
      <c r="F125" s="2150"/>
      <c r="G125" s="2117"/>
      <c r="H125" s="356"/>
      <c r="I125" s="191"/>
      <c r="J125" s="191"/>
      <c r="K125" s="1081"/>
      <c r="L125" s="159"/>
      <c r="M125" s="356"/>
      <c r="N125" s="2131"/>
      <c r="O125" s="2143"/>
      <c r="P125" s="2133"/>
    </row>
    <row r="126" customFormat="1" spans="2:16">
      <c r="B126" s="96"/>
      <c r="C126" s="2115"/>
      <c r="D126" s="2114"/>
      <c r="E126" s="1370"/>
      <c r="F126" s="2150"/>
      <c r="G126" s="2117"/>
      <c r="H126" s="356"/>
      <c r="I126" s="191"/>
      <c r="J126" s="191"/>
      <c r="K126" s="1081"/>
      <c r="L126" s="159"/>
      <c r="M126" s="356"/>
      <c r="N126" s="2157"/>
      <c r="O126" s="2158"/>
      <c r="P126" s="356"/>
    </row>
    <row r="127" customFormat="1" ht="7.5" customHeight="1" spans="2:16">
      <c r="B127" s="96"/>
      <c r="C127" s="2153"/>
      <c r="D127" s="2154"/>
      <c r="E127" s="2122"/>
      <c r="F127" s="2155"/>
      <c r="G127" s="2156"/>
      <c r="H127" s="2121"/>
      <c r="I127" s="2135"/>
      <c r="J127" s="2135"/>
      <c r="K127" s="2120"/>
      <c r="L127" s="2123"/>
      <c r="M127" s="2121"/>
      <c r="N127" s="2121"/>
      <c r="O127" s="2120"/>
      <c r="P127" s="2121"/>
    </row>
    <row r="128" customFormat="1" spans="2:16">
      <c r="B128" s="96"/>
      <c r="C128" s="2115"/>
      <c r="D128" s="2114"/>
      <c r="E128" s="1370"/>
      <c r="F128" s="2150"/>
      <c r="G128" s="2117"/>
      <c r="H128" s="356"/>
      <c r="I128" s="191"/>
      <c r="J128" s="191"/>
      <c r="K128" s="1081"/>
      <c r="L128" s="159"/>
      <c r="M128" s="356"/>
      <c r="N128" s="2134"/>
      <c r="O128" s="2132"/>
      <c r="P128" s="356"/>
    </row>
    <row r="129" customFormat="1" ht="79.8" spans="2:16">
      <c r="B129" s="96"/>
      <c r="C129" s="1081" t="s">
        <v>12459</v>
      </c>
      <c r="D129" s="356"/>
      <c r="E129" s="1370" t="s">
        <v>12517</v>
      </c>
      <c r="F129" s="2118" t="s">
        <v>12518</v>
      </c>
      <c r="G129" s="2094"/>
      <c r="H129" s="2119"/>
      <c r="I129" s="191">
        <v>961587098</v>
      </c>
      <c r="J129" s="2167" t="s">
        <v>12519</v>
      </c>
      <c r="K129" s="2118" t="s">
        <v>12520</v>
      </c>
      <c r="L129" s="2094"/>
      <c r="M129" s="2119"/>
      <c r="N129" s="2138" t="s">
        <v>12521</v>
      </c>
      <c r="O129" s="2168"/>
      <c r="P129" s="2169" t="s">
        <v>12522</v>
      </c>
    </row>
    <row r="130" customFormat="1" spans="2:16">
      <c r="B130" s="96"/>
      <c r="C130" s="1081"/>
      <c r="D130" s="356"/>
      <c r="E130" s="1370"/>
      <c r="F130" s="2118"/>
      <c r="G130" s="2094"/>
      <c r="H130" s="2119"/>
      <c r="I130" s="191"/>
      <c r="J130" s="191"/>
      <c r="K130" s="2118"/>
      <c r="L130" s="2094"/>
      <c r="M130" s="2119"/>
      <c r="N130" s="2170"/>
      <c r="O130" s="2171"/>
      <c r="P130" s="356"/>
    </row>
    <row r="131" customFormat="1" ht="83.45" customHeight="1" spans="2:16">
      <c r="B131" s="96"/>
      <c r="C131" s="1081"/>
      <c r="D131" s="356"/>
      <c r="E131" s="1370" t="s">
        <v>12517</v>
      </c>
      <c r="F131" s="2118" t="s">
        <v>12523</v>
      </c>
      <c r="G131" s="2094"/>
      <c r="H131" s="2119"/>
      <c r="I131" s="191">
        <v>495100800</v>
      </c>
      <c r="J131" s="2167" t="s">
        <v>12524</v>
      </c>
      <c r="K131" s="1081"/>
      <c r="L131" s="159"/>
      <c r="M131" s="356"/>
      <c r="N131" s="2138" t="s">
        <v>12521</v>
      </c>
      <c r="O131" s="2168"/>
      <c r="P131" s="2169" t="s">
        <v>12522</v>
      </c>
    </row>
    <row r="132" customFormat="1" spans="2:16">
      <c r="B132" s="96"/>
      <c r="C132" s="1081"/>
      <c r="D132" s="356"/>
      <c r="E132" s="1370"/>
      <c r="F132" s="2118"/>
      <c r="G132" s="2094"/>
      <c r="H132" s="2119"/>
      <c r="I132" s="191"/>
      <c r="J132" s="2167"/>
      <c r="K132" s="1081"/>
      <c r="L132" s="159"/>
      <c r="M132" s="356"/>
      <c r="N132" s="2170"/>
      <c r="O132" s="2171"/>
      <c r="P132" s="356"/>
    </row>
    <row r="133" customFormat="1" ht="82.5" customHeight="1" spans="2:16">
      <c r="B133" s="96"/>
      <c r="C133" s="1081"/>
      <c r="D133" s="356"/>
      <c r="E133" s="1370" t="s">
        <v>12517</v>
      </c>
      <c r="F133" s="2118" t="s">
        <v>12523</v>
      </c>
      <c r="G133" s="2094"/>
      <c r="H133" s="2119"/>
      <c r="I133" s="191">
        <v>660000000</v>
      </c>
      <c r="J133" s="2167" t="s">
        <v>12525</v>
      </c>
      <c r="K133" s="1081"/>
      <c r="L133" s="159"/>
      <c r="M133" s="356"/>
      <c r="N133" s="2138" t="s">
        <v>12521</v>
      </c>
      <c r="O133" s="2168"/>
      <c r="P133" s="2169" t="s">
        <v>12522</v>
      </c>
    </row>
    <row r="134" spans="2:16">
      <c r="B134" s="1"/>
      <c r="C134" s="1081"/>
      <c r="D134" s="356"/>
      <c r="E134" s="1370"/>
      <c r="F134" s="1081"/>
      <c r="G134" s="159"/>
      <c r="H134" s="356"/>
      <c r="I134" s="191"/>
      <c r="J134" s="191"/>
      <c r="K134" s="1081"/>
      <c r="L134" s="159"/>
      <c r="M134" s="356"/>
      <c r="N134" s="2134"/>
      <c r="O134" s="2132"/>
      <c r="P134" s="356"/>
    </row>
    <row r="135" spans="2:16">
      <c r="B135" s="96"/>
      <c r="C135" s="2115"/>
      <c r="D135" s="2114"/>
      <c r="E135" s="1370"/>
      <c r="F135" s="2150"/>
      <c r="G135" s="2117"/>
      <c r="H135" s="356"/>
      <c r="I135" s="191"/>
      <c r="J135" s="191"/>
      <c r="K135" s="1081"/>
      <c r="L135" s="159"/>
      <c r="M135" s="356"/>
      <c r="N135" s="191"/>
      <c r="O135" s="1081"/>
      <c r="P135" s="356"/>
    </row>
    <row r="136" spans="2:16">
      <c r="B136" s="1"/>
      <c r="C136" s="2159" t="s">
        <v>12526</v>
      </c>
      <c r="D136" s="1090"/>
      <c r="E136" s="2160">
        <v>44284</v>
      </c>
      <c r="F136" s="2161" t="s">
        <v>12527</v>
      </c>
      <c r="G136" s="2162"/>
      <c r="H136" s="1090"/>
      <c r="I136" s="1085" t="s">
        <v>12528</v>
      </c>
      <c r="J136" s="1085" t="s">
        <v>12528</v>
      </c>
      <c r="K136" s="2159"/>
      <c r="L136" s="2162" t="s">
        <v>12528</v>
      </c>
      <c r="M136" s="1090"/>
      <c r="N136" s="1085" t="s">
        <v>12528</v>
      </c>
      <c r="O136" s="2159"/>
      <c r="P136" s="1090" t="s">
        <v>12528</v>
      </c>
    </row>
    <row r="137" spans="2:16">
      <c r="B137" s="96"/>
      <c r="C137" s="1081"/>
      <c r="D137" s="356"/>
      <c r="E137" s="1370"/>
      <c r="F137" s="2158"/>
      <c r="G137" s="159"/>
      <c r="H137" s="356"/>
      <c r="I137" s="191"/>
      <c r="J137" s="191"/>
      <c r="K137" s="1081"/>
      <c r="L137" s="159"/>
      <c r="M137" s="356"/>
      <c r="N137" s="191"/>
      <c r="O137" s="1081"/>
      <c r="P137" s="356"/>
    </row>
    <row r="138" ht="72.95" customHeight="1" spans="2:16">
      <c r="B138" s="1"/>
      <c r="C138" s="1081" t="s">
        <v>12459</v>
      </c>
      <c r="D138" s="356"/>
      <c r="E138" s="1370">
        <v>44347</v>
      </c>
      <c r="F138" s="2118" t="s">
        <v>12529</v>
      </c>
      <c r="G138" s="2094"/>
      <c r="H138" s="2119"/>
      <c r="I138" s="191">
        <v>606139157</v>
      </c>
      <c r="J138" s="191" t="s">
        <v>12530</v>
      </c>
      <c r="K138" s="1081"/>
      <c r="L138" s="159"/>
      <c r="M138" s="356"/>
      <c r="N138" s="2138" t="s">
        <v>12531</v>
      </c>
      <c r="O138" s="2168"/>
      <c r="P138" s="2169" t="s">
        <v>12532</v>
      </c>
    </row>
    <row r="139" customFormat="1" ht="48.6" customHeight="1" spans="2:16">
      <c r="B139" s="1"/>
      <c r="C139" s="1081"/>
      <c r="D139" s="356"/>
      <c r="E139" s="1370"/>
      <c r="F139" s="2118" t="s">
        <v>12533</v>
      </c>
      <c r="G139" s="2094"/>
      <c r="H139" s="2119"/>
      <c r="I139" s="191"/>
      <c r="J139" s="191"/>
      <c r="K139" s="1081"/>
      <c r="L139" s="159"/>
      <c r="M139" s="356"/>
      <c r="N139" s="2172" t="s">
        <v>12534</v>
      </c>
      <c r="O139" s="2173"/>
      <c r="P139" s="356"/>
    </row>
    <row r="140" spans="2:16">
      <c r="B140" s="96"/>
      <c r="C140" s="1081"/>
      <c r="D140" s="356"/>
      <c r="E140" s="1370"/>
      <c r="F140" s="1081"/>
      <c r="G140" s="159"/>
      <c r="H140" s="356"/>
      <c r="I140" s="191"/>
      <c r="J140" s="191"/>
      <c r="K140" s="1081"/>
      <c r="L140" s="159"/>
      <c r="M140" s="356"/>
      <c r="N140" s="2134"/>
      <c r="O140" s="2132"/>
      <c r="P140" s="356"/>
    </row>
    <row r="141" spans="2:16">
      <c r="B141" s="1"/>
      <c r="C141" s="2115"/>
      <c r="D141" s="2114"/>
      <c r="E141" s="1370"/>
      <c r="F141" s="1081"/>
      <c r="G141" s="159"/>
      <c r="H141" s="356"/>
      <c r="I141" s="191"/>
      <c r="J141" s="191"/>
      <c r="K141" s="1081"/>
      <c r="L141" s="159"/>
      <c r="M141" s="356"/>
      <c r="N141" s="2134"/>
      <c r="O141" s="2132"/>
      <c r="P141" s="356"/>
    </row>
    <row r="142" spans="2:16">
      <c r="B142" s="96"/>
      <c r="C142" s="2115"/>
      <c r="D142" s="2114"/>
      <c r="E142" s="1370"/>
      <c r="F142" s="2150"/>
      <c r="G142" s="2117"/>
      <c r="H142" s="356"/>
      <c r="I142" s="191"/>
      <c r="J142" s="191"/>
      <c r="K142" s="1081"/>
      <c r="L142" s="159"/>
      <c r="M142" s="356"/>
      <c r="N142" s="2134"/>
      <c r="O142" s="2132"/>
      <c r="P142" s="356"/>
    </row>
    <row r="143" spans="2:16">
      <c r="B143" s="1"/>
      <c r="C143" s="2115"/>
      <c r="D143" s="2114"/>
      <c r="E143" s="1370"/>
      <c r="F143" s="1081"/>
      <c r="G143" s="159"/>
      <c r="H143" s="356"/>
      <c r="I143" s="191"/>
      <c r="J143" s="191"/>
      <c r="K143" s="1081"/>
      <c r="L143" s="159"/>
      <c r="M143" s="356"/>
      <c r="N143" s="2134"/>
      <c r="O143" s="2132"/>
      <c r="P143" s="356"/>
    </row>
    <row r="144" spans="2:16">
      <c r="B144" s="96"/>
      <c r="C144" s="2115"/>
      <c r="D144" s="2114"/>
      <c r="E144" s="1370"/>
      <c r="F144" s="2150"/>
      <c r="G144" s="2117"/>
      <c r="H144" s="356"/>
      <c r="I144" s="191"/>
      <c r="J144" s="191"/>
      <c r="K144" s="1081"/>
      <c r="L144" s="159"/>
      <c r="M144" s="356"/>
      <c r="N144" s="191"/>
      <c r="O144" s="1081"/>
      <c r="P144" s="356"/>
    </row>
    <row r="145" spans="2:16">
      <c r="B145" s="1"/>
      <c r="C145" s="2115"/>
      <c r="D145" s="2114"/>
      <c r="E145" s="1370"/>
      <c r="F145" s="1081"/>
      <c r="G145" s="159"/>
      <c r="H145" s="356"/>
      <c r="I145" s="191"/>
      <c r="J145" s="191"/>
      <c r="K145" s="1081"/>
      <c r="L145" s="159"/>
      <c r="M145" s="356"/>
      <c r="N145" s="191"/>
      <c r="O145" s="1081"/>
      <c r="P145" s="356"/>
    </row>
    <row r="146" spans="2:16">
      <c r="B146" s="96"/>
      <c r="C146" s="2115"/>
      <c r="D146" s="2114"/>
      <c r="E146" s="1370"/>
      <c r="F146" s="2150"/>
      <c r="G146" s="2117"/>
      <c r="H146" s="356"/>
      <c r="I146" s="191"/>
      <c r="J146" s="191"/>
      <c r="K146" s="1081"/>
      <c r="L146" s="159"/>
      <c r="M146" s="356"/>
      <c r="N146" s="191"/>
      <c r="O146" s="1081"/>
      <c r="P146" s="356"/>
    </row>
    <row r="147" spans="2:16">
      <c r="B147" s="1"/>
      <c r="C147" s="2115"/>
      <c r="D147" s="2114"/>
      <c r="E147" s="1370"/>
      <c r="F147" s="1081"/>
      <c r="G147" s="159"/>
      <c r="H147" s="356"/>
      <c r="I147" s="191"/>
      <c r="J147" s="191"/>
      <c r="K147" s="1081"/>
      <c r="L147" s="159"/>
      <c r="M147" s="356"/>
      <c r="N147" s="191"/>
      <c r="O147" s="1081"/>
      <c r="P147" s="356"/>
    </row>
    <row r="148" spans="2:16">
      <c r="B148" s="96"/>
      <c r="C148" s="2115"/>
      <c r="D148" s="2114"/>
      <c r="E148" s="1370"/>
      <c r="F148" s="2150"/>
      <c r="G148" s="2117"/>
      <c r="H148" s="356"/>
      <c r="I148" s="191"/>
      <c r="J148" s="191"/>
      <c r="K148" s="1081"/>
      <c r="L148" s="159"/>
      <c r="M148" s="356"/>
      <c r="N148" s="191"/>
      <c r="O148" s="1081"/>
      <c r="P148" s="356"/>
    </row>
    <row r="149" spans="2:16">
      <c r="B149" s="1"/>
      <c r="C149" s="2115"/>
      <c r="D149" s="2114"/>
      <c r="E149" s="1370"/>
      <c r="F149" s="1081"/>
      <c r="G149" s="159"/>
      <c r="H149" s="356"/>
      <c r="I149" s="191"/>
      <c r="J149" s="191"/>
      <c r="K149" s="1081"/>
      <c r="L149" s="159"/>
      <c r="M149" s="356"/>
      <c r="N149" s="191"/>
      <c r="O149" s="1081"/>
      <c r="P149" s="356"/>
    </row>
    <row r="150" spans="2:16">
      <c r="B150" s="96"/>
      <c r="C150" s="2115"/>
      <c r="D150" s="2114"/>
      <c r="E150" s="1370"/>
      <c r="F150" s="2150"/>
      <c r="G150" s="2117"/>
      <c r="H150" s="356"/>
      <c r="I150" s="191"/>
      <c r="J150" s="191"/>
      <c r="K150" s="1081"/>
      <c r="L150" s="159"/>
      <c r="M150" s="356"/>
      <c r="N150" s="191"/>
      <c r="O150" s="1081"/>
      <c r="P150" s="356"/>
    </row>
    <row r="151" spans="2:16">
      <c r="B151" s="1"/>
      <c r="C151" s="2163"/>
      <c r="D151" s="2164"/>
      <c r="E151" s="2165"/>
      <c r="F151" s="1086"/>
      <c r="G151" s="164"/>
      <c r="H151" s="302"/>
      <c r="I151" s="142"/>
      <c r="J151" s="142"/>
      <c r="K151" s="1086"/>
      <c r="L151" s="164"/>
      <c r="M151" s="302"/>
      <c r="N151" s="142"/>
      <c r="O151" s="142"/>
      <c r="P151" s="142"/>
    </row>
    <row r="152" spans="2:7">
      <c r="B152" s="96"/>
      <c r="C152" s="2166"/>
      <c r="D152" s="2166"/>
      <c r="F152" s="99"/>
      <c r="G152" s="99"/>
    </row>
    <row r="153" spans="2:4">
      <c r="B153" s="1"/>
      <c r="C153" s="2166"/>
      <c r="D153" s="2166"/>
    </row>
    <row r="154" spans="2:7">
      <c r="B154" s="96"/>
      <c r="C154" s="2166"/>
      <c r="D154" s="2166"/>
      <c r="F154" s="99"/>
      <c r="G154" s="99"/>
    </row>
    <row r="155" spans="2:4">
      <c r="B155" s="1"/>
      <c r="C155" s="2166"/>
      <c r="D155" s="2166"/>
    </row>
    <row r="156" spans="2:7">
      <c r="B156" s="96"/>
      <c r="C156" s="2166"/>
      <c r="D156" s="2166"/>
      <c r="F156" s="99"/>
      <c r="G156" s="99"/>
    </row>
    <row r="157" spans="2:4">
      <c r="B157" s="1"/>
      <c r="C157" s="2166"/>
      <c r="D157" s="2166"/>
    </row>
    <row r="158" spans="3:4">
      <c r="C158" s="2166"/>
      <c r="D158" s="2166"/>
    </row>
    <row r="159" spans="3:4">
      <c r="C159" s="2166"/>
      <c r="D159" s="2166"/>
    </row>
    <row r="160" spans="3:4">
      <c r="C160" s="2166"/>
      <c r="D160" s="2166"/>
    </row>
    <row r="161" spans="3:4">
      <c r="C161" s="2166"/>
      <c r="D161" s="2166"/>
    </row>
    <row r="162" spans="3:4">
      <c r="C162" s="2166"/>
      <c r="D162" s="2166"/>
    </row>
    <row r="163" spans="3:4">
      <c r="C163" s="2166"/>
      <c r="D163" s="2166"/>
    </row>
    <row r="164" spans="3:4">
      <c r="C164" s="2166"/>
      <c r="D164" s="2166"/>
    </row>
    <row r="165" spans="3:4">
      <c r="C165" s="2166"/>
      <c r="D165" s="2166"/>
    </row>
    <row r="166" spans="3:4">
      <c r="C166" s="2166"/>
      <c r="D166" s="2166"/>
    </row>
    <row r="167" spans="3:4">
      <c r="C167" s="2166"/>
      <c r="D167" s="2166"/>
    </row>
    <row r="168" spans="3:4">
      <c r="C168" s="2166"/>
      <c r="D168" s="2166"/>
    </row>
    <row r="169" spans="2:4">
      <c r="B169" s="64"/>
      <c r="C169" s="2166"/>
      <c r="D169" s="2166"/>
    </row>
    <row r="170" spans="3:4">
      <c r="C170" s="2166"/>
      <c r="D170" s="2166"/>
    </row>
    <row r="171" spans="3:4">
      <c r="C171" s="2166"/>
      <c r="D171" s="2166"/>
    </row>
    <row r="172" spans="3:4">
      <c r="C172" s="2166"/>
      <c r="D172" s="2166"/>
    </row>
    <row r="173" spans="3:4">
      <c r="C173" s="2166"/>
      <c r="D173" s="2166"/>
    </row>
    <row r="174" spans="3:4">
      <c r="C174" s="2166"/>
      <c r="D174" s="2166"/>
    </row>
    <row r="175" spans="3:4">
      <c r="C175" s="2166"/>
      <c r="D175" s="2166"/>
    </row>
    <row r="176" spans="3:4">
      <c r="C176" s="2166"/>
      <c r="D176" s="2166"/>
    </row>
    <row r="177" spans="3:4">
      <c r="C177" s="2166"/>
      <c r="D177" s="2166"/>
    </row>
    <row r="178" spans="3:4">
      <c r="C178" s="2166"/>
      <c r="D178" s="2166"/>
    </row>
    <row r="179" spans="3:4">
      <c r="C179" s="2166"/>
      <c r="D179" s="2166"/>
    </row>
    <row r="180" spans="3:4">
      <c r="C180" s="2166"/>
      <c r="D180" s="2166"/>
    </row>
    <row r="181" spans="3:4">
      <c r="C181" s="2166"/>
      <c r="D181" s="2166"/>
    </row>
    <row r="182" spans="3:4">
      <c r="C182" s="2166"/>
      <c r="D182" s="2166"/>
    </row>
    <row r="183" spans="3:4">
      <c r="C183" s="2166"/>
      <c r="D183" s="2166"/>
    </row>
    <row r="184" spans="3:4">
      <c r="C184" s="2166"/>
      <c r="D184" s="2166"/>
    </row>
    <row r="185" spans="3:4">
      <c r="C185" s="2166"/>
      <c r="D185" s="2166"/>
    </row>
    <row r="186" spans="3:4">
      <c r="C186" s="2166"/>
      <c r="D186" s="2166"/>
    </row>
    <row r="187" spans="3:4">
      <c r="C187" s="2166"/>
      <c r="D187" s="2166"/>
    </row>
    <row r="188" spans="3:4">
      <c r="C188" s="2166"/>
      <c r="D188" s="2166"/>
    </row>
    <row r="189" spans="3:4">
      <c r="C189" s="2166"/>
      <c r="D189" s="2166"/>
    </row>
    <row r="190" spans="3:4">
      <c r="C190" s="2166"/>
      <c r="D190" s="2166"/>
    </row>
    <row r="191" spans="3:4">
      <c r="C191" s="2166"/>
      <c r="D191" s="2166"/>
    </row>
    <row r="192" spans="2:4">
      <c r="B192" s="64"/>
      <c r="C192" s="2166"/>
      <c r="D192" s="2166"/>
    </row>
  </sheetData>
  <mergeCells count="40">
    <mergeCell ref="F49:H49"/>
    <mergeCell ref="F50:H50"/>
    <mergeCell ref="F60:H60"/>
    <mergeCell ref="K60:M60"/>
    <mergeCell ref="F131:H131"/>
    <mergeCell ref="F133:H133"/>
    <mergeCell ref="F138:H138"/>
    <mergeCell ref="F139:H139"/>
    <mergeCell ref="J15:J17"/>
    <mergeCell ref="J25:J28"/>
    <mergeCell ref="J34:J37"/>
    <mergeCell ref="J62:J64"/>
    <mergeCell ref="N15:N17"/>
    <mergeCell ref="N25:N27"/>
    <mergeCell ref="N34:N36"/>
    <mergeCell ref="N62:N68"/>
    <mergeCell ref="N70:N75"/>
    <mergeCell ref="O50:O58"/>
    <mergeCell ref="O60:O68"/>
    <mergeCell ref="O70:O78"/>
    <mergeCell ref="O80:O91"/>
    <mergeCell ref="O93:O104"/>
    <mergeCell ref="O106:O119"/>
    <mergeCell ref="P15:P19"/>
    <mergeCell ref="P50:P58"/>
    <mergeCell ref="P60:P68"/>
    <mergeCell ref="P70:P78"/>
    <mergeCell ref="P80:P91"/>
    <mergeCell ref="P93:P104"/>
    <mergeCell ref="P106:P119"/>
    <mergeCell ref="F129:H130"/>
    <mergeCell ref="K129:M130"/>
    <mergeCell ref="F70:H72"/>
    <mergeCell ref="F62:H64"/>
    <mergeCell ref="F35:H37"/>
    <mergeCell ref="F38:H41"/>
    <mergeCell ref="F29:H32"/>
    <mergeCell ref="F16:H18"/>
    <mergeCell ref="F19:H22"/>
    <mergeCell ref="F26:H28"/>
  </mergeCells>
  <pageMargins left="0.7" right="0.7" top="0.75" bottom="0.75" header="0.3" footer="0.3"/>
  <pageSetup paperSize="1" orientation="portrait"/>
  <headerFooter/>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3"/>
  <dimension ref="B5:Y42"/>
  <sheetViews>
    <sheetView showGridLines="0" workbookViewId="0">
      <pane xSplit="3" ySplit="8" topLeftCell="D9" activePane="bottomRight" state="frozen"/>
      <selection/>
      <selection pane="topRight"/>
      <selection pane="bottomLeft"/>
      <selection pane="bottomRight" activeCell="M41" sqref="M41"/>
    </sheetView>
  </sheetViews>
  <sheetFormatPr defaultColWidth="8.84375" defaultRowHeight="11.4"/>
  <cols>
    <col min="1" max="1" width="8.84375" style="1"/>
    <col min="2" max="2" width="12.28125" style="1" customWidth="1"/>
    <col min="3" max="3" width="3.14583333333333" style="1" customWidth="1"/>
    <col min="4" max="4" width="10.0416666666667" style="1" customWidth="1"/>
    <col min="5" max="5" width="28.6145833333333" style="1" customWidth="1"/>
    <col min="6" max="6" width="19.03125" style="1" customWidth="1"/>
    <col min="7" max="7" width="13.3333333333333" style="1" customWidth="1"/>
    <col min="8" max="8" width="14.3854166666667" style="1" customWidth="1"/>
    <col min="9" max="9" width="15.1354166666667" style="1" customWidth="1"/>
    <col min="10" max="10" width="13.4895833333333" style="1" customWidth="1"/>
    <col min="11" max="11" width="17.0833333333333" style="1" customWidth="1"/>
    <col min="12" max="16" width="8.84375" style="1"/>
    <col min="17" max="17" width="12.4375" style="1" customWidth="1"/>
    <col min="18" max="18" width="4.04166666666667" style="1" customWidth="1"/>
    <col min="19" max="19" width="12.8854166666667" style="1" customWidth="1"/>
    <col min="20" max="20" width="16.03125" style="1" customWidth="1"/>
    <col min="21" max="16384" width="8.84375" style="1"/>
  </cols>
  <sheetData>
    <row r="5" spans="2:2">
      <c r="B5" s="1" t="s">
        <v>12429</v>
      </c>
    </row>
    <row r="6" spans="2:20">
      <c r="B6" t="s">
        <v>12535</v>
      </c>
      <c r="C6"/>
      <c r="D6"/>
      <c r="E6"/>
      <c r="F6" s="42"/>
      <c r="G6"/>
      <c r="H6"/>
      <c r="I6"/>
      <c r="J6"/>
      <c r="K6"/>
      <c r="L6"/>
      <c r="M6"/>
      <c r="N6"/>
      <c r="O6"/>
      <c r="P6"/>
      <c r="Q6"/>
      <c r="R6"/>
      <c r="S6"/>
      <c r="T6"/>
    </row>
    <row r="7" spans="2:20">
      <c r="B7" s="64"/>
      <c r="C7" s="64"/>
      <c r="D7" s="64"/>
      <c r="E7" s="64"/>
      <c r="F7" s="42"/>
      <c r="G7"/>
      <c r="H7"/>
      <c r="I7"/>
      <c r="J7"/>
      <c r="K7"/>
      <c r="L7"/>
      <c r="M7"/>
      <c r="N7"/>
      <c r="O7"/>
      <c r="P7"/>
      <c r="Q7"/>
      <c r="R7"/>
      <c r="S7"/>
      <c r="T7"/>
    </row>
    <row r="8" ht="12" spans="2:25">
      <c r="B8" s="755" t="s">
        <v>1152</v>
      </c>
      <c r="C8" s="756"/>
      <c r="D8" s="2092" t="s">
        <v>1031</v>
      </c>
      <c r="E8" s="756" t="s">
        <v>12536</v>
      </c>
      <c r="F8" s="756" t="s">
        <v>12537</v>
      </c>
      <c r="G8" s="756" t="s">
        <v>12538</v>
      </c>
      <c r="H8" s="756"/>
      <c r="I8" s="756"/>
      <c r="J8" s="756" t="s">
        <v>12446</v>
      </c>
      <c r="K8" s="756" t="s">
        <v>12447</v>
      </c>
      <c r="L8" s="756"/>
      <c r="M8" s="756" t="s">
        <v>12448</v>
      </c>
      <c r="N8" s="756"/>
      <c r="O8" s="756" t="s">
        <v>12449</v>
      </c>
      <c r="P8" s="756" t="s">
        <v>1954</v>
      </c>
      <c r="Q8" s="756" t="s">
        <v>12539</v>
      </c>
      <c r="R8" s="756"/>
      <c r="S8" s="2101" t="s">
        <v>12540</v>
      </c>
      <c r="T8" s="756"/>
      <c r="U8" s="2102"/>
      <c r="V8" s="2102"/>
      <c r="W8" s="2102"/>
      <c r="X8" s="2102"/>
      <c r="Y8" s="2108"/>
    </row>
    <row r="9" spans="2:25">
      <c r="B9" s="1081"/>
      <c r="C9" s="159"/>
      <c r="D9" s="2093"/>
      <c r="E9" s="159"/>
      <c r="G9" s="159"/>
      <c r="H9" s="159"/>
      <c r="I9" s="159"/>
      <c r="J9" s="159"/>
      <c r="K9" s="159"/>
      <c r="L9" s="159"/>
      <c r="M9" s="159"/>
      <c r="N9" s="159"/>
      <c r="O9" s="159"/>
      <c r="P9" s="159"/>
      <c r="Q9" s="159"/>
      <c r="R9" s="159"/>
      <c r="S9" s="159"/>
      <c r="T9" s="159"/>
      <c r="U9" s="34"/>
      <c r="V9" s="34"/>
      <c r="W9" s="34"/>
      <c r="X9" s="34"/>
      <c r="Y9" s="2109"/>
    </row>
    <row r="10" spans="2:25">
      <c r="B10" s="1081" t="s">
        <v>12541</v>
      </c>
      <c r="C10" s="159"/>
      <c r="D10" s="1371">
        <v>43419</v>
      </c>
      <c r="E10" s="159" t="s">
        <v>12542</v>
      </c>
      <c r="F10" s="1" t="s">
        <v>12443</v>
      </c>
      <c r="G10" s="2094" t="s">
        <v>12543</v>
      </c>
      <c r="H10" s="2094"/>
      <c r="I10" s="2094"/>
      <c r="J10" s="159">
        <v>5700000000</v>
      </c>
      <c r="K10" s="159" t="s">
        <v>1949</v>
      </c>
      <c r="L10" s="159"/>
      <c r="M10" s="159" t="s">
        <v>12544</v>
      </c>
      <c r="N10" s="159"/>
      <c r="O10" s="2099">
        <v>0.1</v>
      </c>
      <c r="P10" s="2100">
        <v>0.0075</v>
      </c>
      <c r="Q10" s="2103">
        <v>2900000</v>
      </c>
      <c r="R10" s="2103">
        <v>1</v>
      </c>
      <c r="S10" s="2094" t="s">
        <v>12545</v>
      </c>
      <c r="T10" s="2104"/>
      <c r="U10" s="2104"/>
      <c r="V10" s="2104"/>
      <c r="W10" s="2104"/>
      <c r="X10" s="2104"/>
      <c r="Y10" s="2109"/>
    </row>
    <row r="11" spans="2:25">
      <c r="B11" s="1081"/>
      <c r="C11" s="159"/>
      <c r="D11" s="2093"/>
      <c r="E11" s="159"/>
      <c r="G11" s="2094"/>
      <c r="H11" s="2094"/>
      <c r="I11" s="2094"/>
      <c r="J11" s="159"/>
      <c r="K11" s="159"/>
      <c r="L11" s="159"/>
      <c r="M11" s="159"/>
      <c r="N11" s="159"/>
      <c r="O11" s="159"/>
      <c r="P11" s="159"/>
      <c r="Q11" s="2105"/>
      <c r="R11" s="2105"/>
      <c r="S11" s="2104"/>
      <c r="T11" s="2104"/>
      <c r="U11" s="2104"/>
      <c r="V11" s="2104"/>
      <c r="W11" s="2104"/>
      <c r="X11" s="2104"/>
      <c r="Y11" s="2109"/>
    </row>
    <row r="12" spans="2:25">
      <c r="B12" s="1081"/>
      <c r="C12" s="159"/>
      <c r="D12" s="159"/>
      <c r="E12" s="159"/>
      <c r="F12" s="2093"/>
      <c r="G12" s="2094"/>
      <c r="H12" s="2094"/>
      <c r="I12" s="2094"/>
      <c r="J12" s="159"/>
      <c r="K12" s="159"/>
      <c r="L12" s="159"/>
      <c r="M12" s="159"/>
      <c r="N12" s="159"/>
      <c r="O12" s="2099"/>
      <c r="P12" s="2099"/>
      <c r="Q12" s="2106"/>
      <c r="S12" s="2104"/>
      <c r="T12" s="2104"/>
      <c r="U12" s="2104"/>
      <c r="V12" s="2104"/>
      <c r="W12" s="2104"/>
      <c r="X12" s="2104"/>
      <c r="Y12" s="2109"/>
    </row>
    <row r="13" spans="2:25">
      <c r="B13" s="1081"/>
      <c r="C13" s="159"/>
      <c r="D13" s="159"/>
      <c r="E13" s="159"/>
      <c r="F13" s="2093"/>
      <c r="G13" s="2095" t="s">
        <v>12546</v>
      </c>
      <c r="H13" s="159"/>
      <c r="I13" s="159"/>
      <c r="J13" s="159">
        <v>1000000000</v>
      </c>
      <c r="K13" s="159" t="s">
        <v>1962</v>
      </c>
      <c r="L13" s="159"/>
      <c r="M13" s="159" t="s">
        <v>12547</v>
      </c>
      <c r="N13" s="159"/>
      <c r="O13" s="2099">
        <v>0.105</v>
      </c>
      <c r="P13" s="2100">
        <v>0.005</v>
      </c>
      <c r="Q13" s="2103">
        <v>500000</v>
      </c>
      <c r="R13" s="2106">
        <v>2</v>
      </c>
      <c r="S13" s="2107"/>
      <c r="T13" s="2107"/>
      <c r="U13" s="2107"/>
      <c r="V13" s="2107"/>
      <c r="W13" s="2107"/>
      <c r="X13" s="2107"/>
      <c r="Y13" s="2109"/>
    </row>
    <row r="14" spans="2:25">
      <c r="B14" s="1081"/>
      <c r="C14" s="159"/>
      <c r="D14" s="159"/>
      <c r="E14" s="159"/>
      <c r="F14" s="2093"/>
      <c r="G14" s="2095" t="s">
        <v>12548</v>
      </c>
      <c r="H14" s="159"/>
      <c r="I14" s="159"/>
      <c r="J14" s="159"/>
      <c r="K14" s="159"/>
      <c r="L14" s="159"/>
      <c r="M14" s="159"/>
      <c r="N14" s="159"/>
      <c r="O14" s="34"/>
      <c r="P14" s="34"/>
      <c r="Q14" s="34"/>
      <c r="R14" s="34"/>
      <c r="S14" s="159"/>
      <c r="T14" s="159"/>
      <c r="U14" s="34"/>
      <c r="V14" s="34"/>
      <c r="W14" s="34"/>
      <c r="X14" s="34"/>
      <c r="Y14" s="2109"/>
    </row>
    <row r="15" spans="2:25">
      <c r="B15" s="1081"/>
      <c r="C15" s="159"/>
      <c r="D15" s="159"/>
      <c r="E15" s="159"/>
      <c r="F15" s="2093"/>
      <c r="G15" s="2095" t="s">
        <v>675</v>
      </c>
      <c r="H15" s="159"/>
      <c r="I15" s="159"/>
      <c r="J15" s="34">
        <f>SUM(J10:J14)</f>
        <v>6700000000</v>
      </c>
      <c r="K15" s="159"/>
      <c r="L15" s="159"/>
      <c r="M15" s="159"/>
      <c r="N15" s="159"/>
      <c r="O15" s="34"/>
      <c r="P15" s="34"/>
      <c r="Q15" s="34"/>
      <c r="R15" s="34"/>
      <c r="S15" s="159"/>
      <c r="T15" s="159"/>
      <c r="U15" s="34"/>
      <c r="V15" s="34"/>
      <c r="W15" s="34"/>
      <c r="X15" s="34"/>
      <c r="Y15" s="2109"/>
    </row>
    <row r="16" spans="2:25">
      <c r="B16" s="1081"/>
      <c r="C16" s="159"/>
      <c r="D16" s="159"/>
      <c r="E16" s="159"/>
      <c r="F16" s="2093"/>
      <c r="G16" s="2095"/>
      <c r="H16" s="159"/>
      <c r="I16" s="159"/>
      <c r="J16" s="34"/>
      <c r="K16" s="159"/>
      <c r="L16" s="159"/>
      <c r="M16" s="159"/>
      <c r="N16" s="159"/>
      <c r="O16" s="34"/>
      <c r="P16" s="34"/>
      <c r="Q16" s="34"/>
      <c r="R16" s="34"/>
      <c r="S16" s="159"/>
      <c r="T16" s="159"/>
      <c r="U16" s="34"/>
      <c r="V16" s="34"/>
      <c r="W16" s="34"/>
      <c r="X16" s="34"/>
      <c r="Y16" s="2109"/>
    </row>
    <row r="17" spans="2:25">
      <c r="B17" s="1081" t="s">
        <v>12549</v>
      </c>
      <c r="C17" s="34"/>
      <c r="D17" s="1371">
        <v>43482</v>
      </c>
      <c r="E17" s="34" t="s">
        <v>12550</v>
      </c>
      <c r="F17" s="2096" t="s">
        <v>12551</v>
      </c>
      <c r="G17" s="34" t="s">
        <v>1893</v>
      </c>
      <c r="H17" s="2096"/>
      <c r="I17" s="2096"/>
      <c r="K17" s="34"/>
      <c r="L17" s="34"/>
      <c r="M17" s="34"/>
      <c r="N17" s="34"/>
      <c r="O17" s="34"/>
      <c r="P17" s="34"/>
      <c r="Q17" s="2111"/>
      <c r="R17" s="2111"/>
      <c r="S17" s="34"/>
      <c r="T17" s="34"/>
      <c r="U17" s="34"/>
      <c r="V17" s="34"/>
      <c r="W17" s="34"/>
      <c r="X17" s="34"/>
      <c r="Y17" s="2109"/>
    </row>
    <row r="18" spans="2:25">
      <c r="B18" s="1081"/>
      <c r="C18" s="34"/>
      <c r="D18" s="34"/>
      <c r="E18" s="34"/>
      <c r="F18" s="2096"/>
      <c r="G18" s="34"/>
      <c r="H18" s="2096"/>
      <c r="I18" s="2096"/>
      <c r="K18" s="34"/>
      <c r="L18" s="34"/>
      <c r="M18" s="34"/>
      <c r="N18" s="34"/>
      <c r="O18" s="34"/>
      <c r="P18" s="34"/>
      <c r="Q18" s="34"/>
      <c r="R18" s="34"/>
      <c r="S18" s="34"/>
      <c r="T18" s="2112"/>
      <c r="U18" s="34"/>
      <c r="V18" s="34"/>
      <c r="W18" s="34"/>
      <c r="X18" s="34"/>
      <c r="Y18" s="2109"/>
    </row>
    <row r="19" spans="2:25">
      <c r="B19" s="1081" t="s">
        <v>12552</v>
      </c>
      <c r="C19" s="34"/>
      <c r="D19" s="1371">
        <v>43482</v>
      </c>
      <c r="E19" s="34" t="s">
        <v>12550</v>
      </c>
      <c r="F19" s="2096" t="s">
        <v>12551</v>
      </c>
      <c r="G19" s="34" t="s">
        <v>12553</v>
      </c>
      <c r="H19" s="2096"/>
      <c r="I19" s="2096"/>
      <c r="J19" s="34"/>
      <c r="K19" s="34"/>
      <c r="L19" s="34"/>
      <c r="M19" s="34"/>
      <c r="N19" s="34"/>
      <c r="O19" s="34"/>
      <c r="P19" s="34"/>
      <c r="Q19" s="34"/>
      <c r="R19" s="34"/>
      <c r="S19" s="34"/>
      <c r="T19" s="34"/>
      <c r="U19" s="34"/>
      <c r="V19" s="34"/>
      <c r="W19" s="34"/>
      <c r="X19" s="34"/>
      <c r="Y19" s="2109"/>
    </row>
    <row r="20" spans="2:25">
      <c r="B20" s="1081"/>
      <c r="C20" s="34"/>
      <c r="D20" s="1371"/>
      <c r="E20" s="34"/>
      <c r="F20" s="2096"/>
      <c r="G20" s="2096"/>
      <c r="H20" s="2096"/>
      <c r="I20" s="2096"/>
      <c r="J20" s="34"/>
      <c r="K20" s="34"/>
      <c r="L20" s="34"/>
      <c r="M20" s="34"/>
      <c r="N20" s="34"/>
      <c r="O20" s="34"/>
      <c r="P20" s="34"/>
      <c r="Q20" s="34"/>
      <c r="R20" s="34"/>
      <c r="S20" s="34"/>
      <c r="T20" s="34"/>
      <c r="U20" s="34"/>
      <c r="V20" s="34"/>
      <c r="W20" s="34"/>
      <c r="X20" s="34"/>
      <c r="Y20" s="2109"/>
    </row>
    <row r="21" spans="2:25">
      <c r="B21" s="1081"/>
      <c r="C21" s="34"/>
      <c r="D21" s="1371"/>
      <c r="E21" s="34"/>
      <c r="F21" s="2096"/>
      <c r="G21" s="2096"/>
      <c r="H21" s="2096"/>
      <c r="I21" s="2096"/>
      <c r="J21" s="34"/>
      <c r="K21" s="34"/>
      <c r="L21" s="34"/>
      <c r="M21" s="34"/>
      <c r="N21" s="34"/>
      <c r="O21" s="34"/>
      <c r="P21" s="34"/>
      <c r="Q21" s="34"/>
      <c r="R21" s="34"/>
      <c r="S21" s="34"/>
      <c r="T21" s="34"/>
      <c r="U21" s="34"/>
      <c r="V21" s="34"/>
      <c r="W21" s="34"/>
      <c r="X21" s="34"/>
      <c r="Y21" s="2109"/>
    </row>
    <row r="22" spans="2:25">
      <c r="B22" s="1081"/>
      <c r="C22" s="34"/>
      <c r="D22" s="1371"/>
      <c r="E22" s="34"/>
      <c r="F22" s="2096"/>
      <c r="G22" s="2096"/>
      <c r="H22" s="2096"/>
      <c r="I22" s="2096"/>
      <c r="J22" s="34"/>
      <c r="K22" s="34"/>
      <c r="L22" s="34"/>
      <c r="M22" s="34"/>
      <c r="N22" s="34"/>
      <c r="O22" s="34"/>
      <c r="P22" s="34"/>
      <c r="Q22" s="34"/>
      <c r="R22" s="34"/>
      <c r="S22" s="34"/>
      <c r="T22" s="34"/>
      <c r="U22" s="34"/>
      <c r="V22" s="34"/>
      <c r="W22" s="34"/>
      <c r="X22" s="34"/>
      <c r="Y22" s="2109"/>
    </row>
    <row r="23" spans="2:25">
      <c r="B23" s="1081"/>
      <c r="C23" s="34"/>
      <c r="D23" s="1371"/>
      <c r="E23" s="34"/>
      <c r="F23" s="2096"/>
      <c r="G23" s="2096"/>
      <c r="H23" s="2096"/>
      <c r="I23" s="2096"/>
      <c r="J23" s="34"/>
      <c r="K23" s="34"/>
      <c r="L23" s="34"/>
      <c r="M23" s="34"/>
      <c r="N23" s="34"/>
      <c r="O23" s="34"/>
      <c r="P23" s="34"/>
      <c r="Q23" s="34"/>
      <c r="R23" s="34"/>
      <c r="S23" s="34"/>
      <c r="T23" s="34"/>
      <c r="U23" s="34"/>
      <c r="V23" s="34"/>
      <c r="W23" s="34"/>
      <c r="X23" s="34"/>
      <c r="Y23" s="2109"/>
    </row>
    <row r="24" spans="2:25">
      <c r="B24" s="1081"/>
      <c r="C24" s="34"/>
      <c r="D24" s="1371"/>
      <c r="E24" s="34"/>
      <c r="F24" s="2096"/>
      <c r="G24" s="2096"/>
      <c r="H24" s="2096"/>
      <c r="I24" s="2096"/>
      <c r="J24" s="34"/>
      <c r="K24" s="34"/>
      <c r="L24" s="34"/>
      <c r="M24" s="34"/>
      <c r="N24" s="34"/>
      <c r="O24" s="34"/>
      <c r="P24" s="34"/>
      <c r="Q24" s="34"/>
      <c r="R24" s="34"/>
      <c r="S24" s="34"/>
      <c r="T24" s="34"/>
      <c r="U24" s="34"/>
      <c r="V24" s="34"/>
      <c r="W24" s="34"/>
      <c r="X24" s="34"/>
      <c r="Y24" s="2109"/>
    </row>
    <row r="25" spans="2:25">
      <c r="B25" s="1081"/>
      <c r="C25" s="34"/>
      <c r="D25" s="1371"/>
      <c r="E25" s="34"/>
      <c r="F25" s="2096"/>
      <c r="G25" s="2096"/>
      <c r="H25" s="2096"/>
      <c r="I25" s="2096"/>
      <c r="J25" s="34"/>
      <c r="K25" s="34"/>
      <c r="L25" s="34"/>
      <c r="M25" s="34"/>
      <c r="N25" s="34"/>
      <c r="O25" s="34"/>
      <c r="P25" s="34"/>
      <c r="Q25" s="34"/>
      <c r="R25" s="34"/>
      <c r="S25" s="34"/>
      <c r="T25" s="34"/>
      <c r="U25" s="34"/>
      <c r="V25" s="34"/>
      <c r="W25" s="34"/>
      <c r="X25" s="34"/>
      <c r="Y25" s="2109"/>
    </row>
    <row r="26" spans="2:25">
      <c r="B26" s="1081"/>
      <c r="C26" s="34"/>
      <c r="D26" s="1371"/>
      <c r="E26" s="34"/>
      <c r="F26" s="2096"/>
      <c r="G26" s="2096"/>
      <c r="H26" s="2096"/>
      <c r="I26" s="2096"/>
      <c r="J26" s="34"/>
      <c r="K26" s="34"/>
      <c r="L26" s="34"/>
      <c r="M26" s="34"/>
      <c r="N26" s="34"/>
      <c r="O26" s="34"/>
      <c r="P26" s="34"/>
      <c r="Q26" s="34"/>
      <c r="R26" s="34"/>
      <c r="S26" s="34"/>
      <c r="T26" s="34"/>
      <c r="U26" s="34"/>
      <c r="V26" s="34"/>
      <c r="W26" s="34"/>
      <c r="X26" s="34"/>
      <c r="Y26" s="2109"/>
    </row>
    <row r="27" spans="2:25">
      <c r="B27" s="1086"/>
      <c r="C27" s="2097"/>
      <c r="D27" s="2097"/>
      <c r="E27" s="2097"/>
      <c r="F27" s="2098"/>
      <c r="G27" s="2098"/>
      <c r="H27" s="2098"/>
      <c r="I27" s="2098"/>
      <c r="J27" s="2097"/>
      <c r="K27" s="2097"/>
      <c r="L27" s="2097"/>
      <c r="M27" s="2097"/>
      <c r="N27" s="2097"/>
      <c r="O27" s="2097"/>
      <c r="P27" s="2097"/>
      <c r="Q27" s="2097"/>
      <c r="R27" s="2097"/>
      <c r="S27" s="2097"/>
      <c r="T27" s="2097"/>
      <c r="U27" s="2097"/>
      <c r="V27" s="2097"/>
      <c r="W27" s="2097"/>
      <c r="X27" s="2097"/>
      <c r="Y27" s="2110"/>
    </row>
    <row r="28" spans="2:9">
      <c r="B28"/>
      <c r="F28" s="18"/>
      <c r="G28" s="18"/>
      <c r="H28" s="18"/>
      <c r="I28" s="18"/>
    </row>
    <row r="29" spans="2:9">
      <c r="B29"/>
      <c r="F29" s="18"/>
      <c r="G29" s="18"/>
      <c r="H29" s="18"/>
      <c r="I29" s="18"/>
    </row>
    <row r="30" spans="2:9">
      <c r="B30"/>
      <c r="F30" s="18"/>
      <c r="G30" s="18"/>
      <c r="H30" s="18"/>
      <c r="I30" s="18"/>
    </row>
    <row r="31" spans="2:9">
      <c r="B31"/>
      <c r="F31" s="18"/>
      <c r="G31" s="18"/>
      <c r="H31" s="18"/>
      <c r="I31" s="18"/>
    </row>
    <row r="32" spans="2:9">
      <c r="B32"/>
      <c r="F32" s="18"/>
      <c r="G32" s="18"/>
      <c r="H32" s="18"/>
      <c r="I32" s="18"/>
    </row>
    <row r="33" spans="2:9">
      <c r="B33"/>
      <c r="F33" s="18"/>
      <c r="G33" s="18"/>
      <c r="H33" s="18"/>
      <c r="I33" s="18"/>
    </row>
    <row r="34" spans="2:9">
      <c r="B34"/>
      <c r="F34" s="18"/>
      <c r="G34" s="18"/>
      <c r="H34" s="18"/>
      <c r="I34" s="18"/>
    </row>
    <row r="35" spans="2:9">
      <c r="B35"/>
      <c r="F35" s="18"/>
      <c r="G35" s="18"/>
      <c r="H35" s="18"/>
      <c r="I35" s="18"/>
    </row>
    <row r="36" spans="2:9">
      <c r="B36"/>
      <c r="F36" s="18"/>
      <c r="G36" s="18"/>
      <c r="H36" s="18"/>
      <c r="I36" s="18"/>
    </row>
    <row r="37" spans="2:9">
      <c r="B37"/>
      <c r="F37" s="18"/>
      <c r="G37" s="18"/>
      <c r="H37" s="18"/>
      <c r="I37" s="18"/>
    </row>
    <row r="38" spans="2:9">
      <c r="B38"/>
      <c r="F38" s="18"/>
      <c r="G38" s="18"/>
      <c r="H38" s="18"/>
      <c r="I38" s="18"/>
    </row>
    <row r="39" spans="2:9">
      <c r="B39"/>
      <c r="F39" s="18"/>
      <c r="G39" s="18"/>
      <c r="H39" s="18"/>
      <c r="I39" s="18"/>
    </row>
    <row r="40" spans="2:9">
      <c r="B40"/>
      <c r="F40" s="18"/>
      <c r="G40" s="18"/>
      <c r="H40" s="18"/>
      <c r="I40" s="18"/>
    </row>
    <row r="41" spans="2:9">
      <c r="B41"/>
      <c r="F41" s="18"/>
      <c r="G41" s="18"/>
      <c r="H41" s="18"/>
      <c r="I41" s="18"/>
    </row>
    <row r="42" spans="2:9">
      <c r="B42"/>
      <c r="F42" s="18"/>
      <c r="G42" s="18"/>
      <c r="H42" s="18"/>
      <c r="I42" s="18"/>
    </row>
  </sheetData>
  <mergeCells count="2">
    <mergeCell ref="G10:I12"/>
    <mergeCell ref="S10:X12"/>
  </mergeCells>
  <pageMargins left="0.7" right="0.7" top="0.75" bottom="0.75" header="0.3" footer="0.3"/>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1"/>
  <dimension ref="B2:Y25"/>
  <sheetViews>
    <sheetView showGridLines="0" zoomScale="115" zoomScaleNormal="115" topLeftCell="G1" workbookViewId="0">
      <selection activeCell="K23" sqref="K23"/>
    </sheetView>
  </sheetViews>
  <sheetFormatPr defaultColWidth="8.84375" defaultRowHeight="11.4"/>
  <cols>
    <col min="1" max="1" width="8.84375" style="1"/>
    <col min="2" max="2" width="15.4270833333333" style="2089" customWidth="1"/>
    <col min="3" max="3" width="7.1875" style="2089" customWidth="1"/>
    <col min="4" max="4" width="16.3333333333333" style="2089" customWidth="1"/>
    <col min="5" max="5" width="24.5729166666667" style="2089" customWidth="1"/>
    <col min="6" max="6" width="17.2291666666667" style="2089" customWidth="1"/>
    <col min="7" max="7" width="15.4270833333333" style="2089" customWidth="1"/>
    <col min="8" max="8" width="21.125" style="1" customWidth="1"/>
    <col min="9" max="9" width="15.4270833333333" style="1" customWidth="1"/>
    <col min="10" max="11" width="15.1354166666667" style="1" customWidth="1"/>
    <col min="12" max="16" width="8.84375" style="1"/>
    <col min="17" max="17" width="10.3333333333333" style="1" customWidth="1"/>
    <col min="18" max="16384" width="8.84375" style="1"/>
  </cols>
  <sheetData>
    <row r="2" ht="13.2" spans="2:5">
      <c r="B2" s="94" t="s">
        <v>12433</v>
      </c>
      <c r="C2" s="1806"/>
      <c r="E2" s="1806"/>
    </row>
    <row r="3" s="2055" customFormat="1" ht="13.2" spans="2:7">
      <c r="B3" t="s">
        <v>12445</v>
      </c>
      <c r="C3" s="2090"/>
      <c r="D3" s="2090"/>
      <c r="E3" s="2090"/>
      <c r="F3" s="2090"/>
      <c r="G3" s="2090"/>
    </row>
    <row r="4" ht="13.2" spans="2:6">
      <c r="B4" s="2091"/>
      <c r="C4" s="2091"/>
      <c r="D4" s="2091"/>
      <c r="E4" s="2091"/>
      <c r="F4" s="2091"/>
    </row>
    <row r="7" ht="12" spans="2:25">
      <c r="B7" s="755" t="s">
        <v>1152</v>
      </c>
      <c r="C7" s="756"/>
      <c r="D7" s="2092" t="s">
        <v>1031</v>
      </c>
      <c r="E7" s="756" t="s">
        <v>12536</v>
      </c>
      <c r="F7" s="756" t="s">
        <v>12537</v>
      </c>
      <c r="G7" s="756" t="s">
        <v>12538</v>
      </c>
      <c r="H7" s="756"/>
      <c r="I7" s="756"/>
      <c r="J7" s="756" t="s">
        <v>12446</v>
      </c>
      <c r="K7" s="756" t="s">
        <v>12447</v>
      </c>
      <c r="L7" s="756"/>
      <c r="M7" s="756" t="s">
        <v>12448</v>
      </c>
      <c r="N7" s="756"/>
      <c r="O7" s="756" t="s">
        <v>12449</v>
      </c>
      <c r="P7" s="756" t="s">
        <v>1954</v>
      </c>
      <c r="Q7" s="756" t="s">
        <v>12539</v>
      </c>
      <c r="R7" s="756"/>
      <c r="S7" s="2101" t="s">
        <v>12540</v>
      </c>
      <c r="T7" s="756"/>
      <c r="U7" s="2102"/>
      <c r="V7" s="2102"/>
      <c r="W7" s="2102"/>
      <c r="X7" s="2102"/>
      <c r="Y7" s="2108"/>
    </row>
    <row r="8" spans="2:25">
      <c r="B8" s="1081"/>
      <c r="C8" s="159"/>
      <c r="D8" s="2093"/>
      <c r="E8" s="159"/>
      <c r="F8" s="1"/>
      <c r="G8" s="159"/>
      <c r="H8" s="159"/>
      <c r="I8" s="159"/>
      <c r="J8" s="159"/>
      <c r="K8" s="159"/>
      <c r="L8" s="159"/>
      <c r="M8" s="159"/>
      <c r="N8" s="159"/>
      <c r="O8" s="159"/>
      <c r="P8" s="159"/>
      <c r="Q8" s="159"/>
      <c r="R8" s="159"/>
      <c r="S8" s="159"/>
      <c r="T8" s="159"/>
      <c r="U8" s="34"/>
      <c r="V8" s="34"/>
      <c r="W8" s="34"/>
      <c r="X8" s="34"/>
      <c r="Y8" s="2109"/>
    </row>
    <row r="9" spans="2:25">
      <c r="B9" s="1081" t="s">
        <v>12554</v>
      </c>
      <c r="C9" s="159"/>
      <c r="D9" s="1371">
        <v>44676</v>
      </c>
      <c r="E9" s="159" t="s">
        <v>12555</v>
      </c>
      <c r="F9" s="1" t="s">
        <v>1118</v>
      </c>
      <c r="G9" s="2094" t="s">
        <v>12556</v>
      </c>
      <c r="H9" s="2094"/>
      <c r="I9" s="2094"/>
      <c r="J9" s="159">
        <v>2500000000</v>
      </c>
      <c r="K9" s="159" t="s">
        <v>12557</v>
      </c>
      <c r="L9" s="159"/>
      <c r="M9" s="159" t="s">
        <v>12558</v>
      </c>
      <c r="N9" s="159"/>
      <c r="O9" s="2099">
        <v>0.125</v>
      </c>
      <c r="P9" s="2100">
        <v>0.0075</v>
      </c>
      <c r="Q9" s="2103">
        <v>2500000</v>
      </c>
      <c r="R9" s="2103">
        <v>1</v>
      </c>
      <c r="S9" s="2094" t="s">
        <v>12559</v>
      </c>
      <c r="T9" s="2104"/>
      <c r="U9" s="2104"/>
      <c r="V9" s="2104"/>
      <c r="W9" s="2104"/>
      <c r="X9" s="2104"/>
      <c r="Y9" s="2109"/>
    </row>
    <row r="10" spans="2:25">
      <c r="B10" s="1081"/>
      <c r="C10" s="159"/>
      <c r="D10" s="2093"/>
      <c r="E10" s="159"/>
      <c r="F10" s="1"/>
      <c r="G10" s="2094"/>
      <c r="H10" s="2094"/>
      <c r="I10" s="2094"/>
      <c r="J10" s="159"/>
      <c r="K10" s="159"/>
      <c r="L10" s="159"/>
      <c r="M10" s="159"/>
      <c r="N10" s="159"/>
      <c r="O10" s="159"/>
      <c r="P10" s="159"/>
      <c r="Q10" s="2105"/>
      <c r="R10" s="2105">
        <v>2</v>
      </c>
      <c r="S10" s="2104"/>
      <c r="T10" s="2104"/>
      <c r="U10" s="2104"/>
      <c r="V10" s="2104"/>
      <c r="W10" s="2104"/>
      <c r="X10" s="2104"/>
      <c r="Y10" s="2109"/>
    </row>
    <row r="11" spans="2:25">
      <c r="B11" s="1081"/>
      <c r="C11" s="159"/>
      <c r="D11" s="159"/>
      <c r="E11" s="159"/>
      <c r="F11" s="2093"/>
      <c r="G11" s="2094"/>
      <c r="H11" s="2094"/>
      <c r="I11" s="2094"/>
      <c r="J11" s="159"/>
      <c r="K11" s="159"/>
      <c r="L11" s="159"/>
      <c r="M11" s="159"/>
      <c r="N11" s="159"/>
      <c r="O11" s="2099"/>
      <c r="P11" s="2099"/>
      <c r="Q11" s="2106"/>
      <c r="S11" s="2104"/>
      <c r="T11" s="2104"/>
      <c r="U11" s="2104"/>
      <c r="V11" s="2104"/>
      <c r="W11" s="2104"/>
      <c r="X11" s="2104"/>
      <c r="Y11" s="2109"/>
    </row>
    <row r="12" ht="12" spans="2:25">
      <c r="B12" s="1081"/>
      <c r="C12" s="159"/>
      <c r="D12" s="159"/>
      <c r="E12" s="159"/>
      <c r="F12" s="2093"/>
      <c r="H12" s="159"/>
      <c r="I12" s="159"/>
      <c r="J12" s="159"/>
      <c r="K12" s="159"/>
      <c r="L12" s="159"/>
      <c r="M12" s="159"/>
      <c r="N12" s="159"/>
      <c r="O12" s="2099"/>
      <c r="P12" s="2100"/>
      <c r="Q12" s="2103"/>
      <c r="R12" s="2106">
        <v>3</v>
      </c>
      <c r="S12" s="2107" t="s">
        <v>12560</v>
      </c>
      <c r="T12" s="2107"/>
      <c r="U12" s="2107"/>
      <c r="V12" s="2107"/>
      <c r="W12" s="2107"/>
      <c r="X12" s="2107"/>
      <c r="Y12" s="2109"/>
    </row>
    <row r="13" spans="2:25">
      <c r="B13" s="1081"/>
      <c r="C13" s="159"/>
      <c r="D13" s="159"/>
      <c r="E13" s="159"/>
      <c r="F13" s="2093"/>
      <c r="G13" s="2095"/>
      <c r="H13" s="159"/>
      <c r="I13" s="159"/>
      <c r="J13" s="159"/>
      <c r="K13" s="159"/>
      <c r="L13" s="159"/>
      <c r="M13" s="159"/>
      <c r="N13" s="159"/>
      <c r="O13" s="34"/>
      <c r="P13" s="34"/>
      <c r="Q13" s="34"/>
      <c r="R13" s="34"/>
      <c r="S13" s="159"/>
      <c r="T13" s="159"/>
      <c r="U13" s="34"/>
      <c r="V13" s="34"/>
      <c r="W13" s="34"/>
      <c r="X13" s="34"/>
      <c r="Y13" s="2109"/>
    </row>
    <row r="14" spans="2:25">
      <c r="B14" s="1081"/>
      <c r="C14" s="159"/>
      <c r="D14" s="159"/>
      <c r="E14" s="159"/>
      <c r="F14" s="2093"/>
      <c r="G14" s="2095" t="s">
        <v>12561</v>
      </c>
      <c r="H14" s="159"/>
      <c r="I14" s="159"/>
      <c r="J14" s="159">
        <v>2500000000</v>
      </c>
      <c r="K14" s="159" t="s">
        <v>12562</v>
      </c>
      <c r="L14" s="159" t="s">
        <v>12563</v>
      </c>
      <c r="M14" s="159" t="s">
        <v>12558</v>
      </c>
      <c r="N14" s="159"/>
      <c r="O14" s="2099">
        <v>0.125</v>
      </c>
      <c r="P14" s="2100">
        <v>0.0075</v>
      </c>
      <c r="Q14" s="2103">
        <v>2500000</v>
      </c>
      <c r="R14" s="2103">
        <v>1</v>
      </c>
      <c r="S14" s="2094" t="s">
        <v>12559</v>
      </c>
      <c r="T14" s="2104"/>
      <c r="U14" s="2104"/>
      <c r="V14" s="2104"/>
      <c r="W14" s="2104"/>
      <c r="X14" s="2104"/>
      <c r="Y14" s="2109"/>
    </row>
    <row r="15" spans="2:25">
      <c r="B15" s="1081"/>
      <c r="C15" s="34"/>
      <c r="D15" s="1371"/>
      <c r="E15" s="34"/>
      <c r="F15" s="2096"/>
      <c r="G15" s="34" t="s">
        <v>12564</v>
      </c>
      <c r="H15" s="2096"/>
      <c r="I15" s="2096"/>
      <c r="J15" s="159"/>
      <c r="K15" s="159"/>
      <c r="L15" s="159"/>
      <c r="M15" s="159"/>
      <c r="N15" s="159"/>
      <c r="O15" s="159"/>
      <c r="P15" s="159"/>
      <c r="Q15" s="2105"/>
      <c r="R15" s="2105">
        <v>2</v>
      </c>
      <c r="S15" s="2104"/>
      <c r="T15" s="2104"/>
      <c r="U15" s="2104"/>
      <c r="V15" s="2104"/>
      <c r="W15" s="2104"/>
      <c r="X15" s="2104"/>
      <c r="Y15" s="2109"/>
    </row>
    <row r="16" ht="15.6" customHeight="1" spans="2:25">
      <c r="B16" s="1081"/>
      <c r="C16" s="34"/>
      <c r="D16" s="34"/>
      <c r="E16" s="34"/>
      <c r="F16" s="2096"/>
      <c r="G16" s="34" t="s">
        <v>12565</v>
      </c>
      <c r="H16" s="2096"/>
      <c r="I16" s="2096"/>
      <c r="J16" s="159"/>
      <c r="K16" s="159"/>
      <c r="L16" s="159"/>
      <c r="M16" s="159"/>
      <c r="N16" s="159"/>
      <c r="O16" s="2099"/>
      <c r="P16" s="2099"/>
      <c r="Q16" s="2106"/>
      <c r="S16" s="2104"/>
      <c r="T16" s="2104"/>
      <c r="U16" s="2104"/>
      <c r="V16" s="2104"/>
      <c r="W16" s="2104"/>
      <c r="X16" s="2104"/>
      <c r="Y16" s="2109"/>
    </row>
    <row r="17" ht="12" spans="2:25">
      <c r="B17" s="1081"/>
      <c r="C17" s="34"/>
      <c r="D17" s="1371"/>
      <c r="E17" s="34"/>
      <c r="F17" s="2096"/>
      <c r="G17" s="34" t="s">
        <v>12566</v>
      </c>
      <c r="H17" s="2096"/>
      <c r="I17" s="2096"/>
      <c r="J17" s="159"/>
      <c r="K17" s="159"/>
      <c r="L17" s="159"/>
      <c r="M17" s="159"/>
      <c r="N17" s="159"/>
      <c r="O17" s="2099"/>
      <c r="P17" s="2100"/>
      <c r="Q17" s="2103"/>
      <c r="R17" s="2106">
        <v>3</v>
      </c>
      <c r="S17" s="2107" t="s">
        <v>12560</v>
      </c>
      <c r="T17" s="2107"/>
      <c r="U17" s="2107"/>
      <c r="V17" s="2107"/>
      <c r="W17" s="2107"/>
      <c r="X17" s="2107"/>
      <c r="Y17" s="2109"/>
    </row>
    <row r="18" spans="2:25">
      <c r="B18" s="1081"/>
      <c r="C18" s="34"/>
      <c r="D18" s="1371"/>
      <c r="E18" s="34"/>
      <c r="F18" s="2096"/>
      <c r="G18" s="2096"/>
      <c r="H18" s="2096"/>
      <c r="I18" s="2096"/>
      <c r="J18" s="34"/>
      <c r="K18" s="34"/>
      <c r="L18" s="34"/>
      <c r="M18" s="34"/>
      <c r="N18" s="34"/>
      <c r="O18" s="34"/>
      <c r="P18" s="34"/>
      <c r="Q18" s="34"/>
      <c r="R18" s="34"/>
      <c r="S18" s="34"/>
      <c r="T18" s="34"/>
      <c r="U18" s="34"/>
      <c r="V18" s="34"/>
      <c r="W18" s="34"/>
      <c r="X18" s="34"/>
      <c r="Y18" s="2109"/>
    </row>
    <row r="19" spans="2:25">
      <c r="B19" s="1081"/>
      <c r="C19" s="34"/>
      <c r="D19" s="1371"/>
      <c r="E19" s="34"/>
      <c r="F19" s="2096"/>
      <c r="G19" s="2096"/>
      <c r="H19" s="2096"/>
      <c r="I19" s="2096"/>
      <c r="J19" s="34"/>
      <c r="K19" s="34"/>
      <c r="L19" s="34"/>
      <c r="M19" s="34"/>
      <c r="N19" s="34"/>
      <c r="O19" s="34"/>
      <c r="P19" s="34"/>
      <c r="Q19" s="34"/>
      <c r="R19" s="34"/>
      <c r="S19" s="34"/>
      <c r="T19" s="34"/>
      <c r="U19" s="34"/>
      <c r="V19" s="34"/>
      <c r="W19" s="34"/>
      <c r="X19" s="34"/>
      <c r="Y19" s="2109"/>
    </row>
    <row r="20" spans="2:25">
      <c r="B20" s="1081"/>
      <c r="C20" s="34"/>
      <c r="D20" s="1371"/>
      <c r="E20" s="34"/>
      <c r="F20" s="2096"/>
      <c r="G20" s="2096"/>
      <c r="H20" s="2096"/>
      <c r="I20" s="2096"/>
      <c r="J20" s="34"/>
      <c r="K20" s="34"/>
      <c r="L20" s="34"/>
      <c r="M20" s="34"/>
      <c r="N20" s="34"/>
      <c r="O20" s="34"/>
      <c r="P20" s="34"/>
      <c r="Q20" s="34"/>
      <c r="R20" s="34"/>
      <c r="S20" s="34"/>
      <c r="T20" s="34"/>
      <c r="U20" s="34"/>
      <c r="V20" s="34"/>
      <c r="W20" s="34"/>
      <c r="X20" s="34"/>
      <c r="Y20" s="2109"/>
    </row>
    <row r="21" spans="2:25">
      <c r="B21" s="1081"/>
      <c r="C21" s="34"/>
      <c r="D21" s="1371"/>
      <c r="E21" s="34"/>
      <c r="F21" s="2096"/>
      <c r="G21" s="2096"/>
      <c r="H21" s="2096"/>
      <c r="I21" s="2096"/>
      <c r="J21" s="34"/>
      <c r="K21" s="34"/>
      <c r="L21" s="34"/>
      <c r="M21" s="34"/>
      <c r="N21" s="34"/>
      <c r="O21" s="34"/>
      <c r="P21" s="34"/>
      <c r="Q21" s="34"/>
      <c r="R21" s="34"/>
      <c r="S21" s="34"/>
      <c r="T21" s="34"/>
      <c r="U21" s="34"/>
      <c r="V21" s="34"/>
      <c r="W21" s="34"/>
      <c r="X21" s="34"/>
      <c r="Y21" s="2109"/>
    </row>
    <row r="22" spans="2:25">
      <c r="B22" s="1081"/>
      <c r="C22" s="34"/>
      <c r="D22" s="1371"/>
      <c r="E22" s="34"/>
      <c r="F22" s="2096"/>
      <c r="G22" s="2096"/>
      <c r="H22" s="2096"/>
      <c r="I22" s="2096"/>
      <c r="J22" s="34"/>
      <c r="K22" s="34"/>
      <c r="L22" s="34"/>
      <c r="M22" s="34"/>
      <c r="N22" s="34"/>
      <c r="O22" s="34"/>
      <c r="P22" s="34"/>
      <c r="Q22" s="34"/>
      <c r="R22" s="34"/>
      <c r="S22" s="34"/>
      <c r="T22" s="34"/>
      <c r="U22" s="34"/>
      <c r="V22" s="34"/>
      <c r="W22" s="34"/>
      <c r="X22" s="34"/>
      <c r="Y22" s="2109"/>
    </row>
    <row r="23" spans="2:25">
      <c r="B23" s="1081"/>
      <c r="C23" s="34"/>
      <c r="D23" s="1371"/>
      <c r="E23" s="34"/>
      <c r="F23" s="2096"/>
      <c r="G23" s="2096"/>
      <c r="H23" s="2096"/>
      <c r="I23" s="2096"/>
      <c r="J23" s="34"/>
      <c r="K23" s="34"/>
      <c r="L23" s="34"/>
      <c r="M23" s="34"/>
      <c r="N23" s="34"/>
      <c r="O23" s="34"/>
      <c r="P23" s="34"/>
      <c r="Q23" s="34"/>
      <c r="R23" s="34"/>
      <c r="S23" s="34"/>
      <c r="T23" s="34"/>
      <c r="U23" s="34"/>
      <c r="V23" s="34"/>
      <c r="W23" s="34"/>
      <c r="X23" s="34"/>
      <c r="Y23" s="2109"/>
    </row>
    <row r="24" spans="2:25">
      <c r="B24" s="1081"/>
      <c r="C24" s="34"/>
      <c r="D24" s="1371"/>
      <c r="E24" s="34"/>
      <c r="F24" s="2096"/>
      <c r="G24" s="2096"/>
      <c r="H24" s="2096"/>
      <c r="I24" s="2096"/>
      <c r="J24" s="34"/>
      <c r="K24" s="34"/>
      <c r="L24" s="34"/>
      <c r="M24" s="34"/>
      <c r="N24" s="34"/>
      <c r="O24" s="34"/>
      <c r="P24" s="34"/>
      <c r="Q24" s="34"/>
      <c r="R24" s="34"/>
      <c r="S24" s="34"/>
      <c r="T24" s="34"/>
      <c r="U24" s="34"/>
      <c r="V24" s="34"/>
      <c r="W24" s="34"/>
      <c r="X24" s="34"/>
      <c r="Y24" s="2109"/>
    </row>
    <row r="25" spans="2:25">
      <c r="B25" s="1086"/>
      <c r="C25" s="2097"/>
      <c r="D25" s="2097"/>
      <c r="E25" s="2097"/>
      <c r="F25" s="2098"/>
      <c r="G25" s="2098"/>
      <c r="H25" s="2098"/>
      <c r="I25" s="2098"/>
      <c r="J25" s="2097"/>
      <c r="K25" s="2097"/>
      <c r="L25" s="2097"/>
      <c r="M25" s="2097"/>
      <c r="N25" s="2097"/>
      <c r="O25" s="2097"/>
      <c r="P25" s="2097"/>
      <c r="Q25" s="2097"/>
      <c r="R25" s="2097"/>
      <c r="S25" s="2097"/>
      <c r="T25" s="2097"/>
      <c r="U25" s="2097"/>
      <c r="V25" s="2097"/>
      <c r="W25" s="2097"/>
      <c r="X25" s="2097"/>
      <c r="Y25" s="2110"/>
    </row>
  </sheetData>
  <mergeCells count="3">
    <mergeCell ref="G9:I11"/>
    <mergeCell ref="S9:X11"/>
    <mergeCell ref="S14:X16"/>
  </mergeCells>
  <pageMargins left="0.7" right="0.7" top="0.75" bottom="0.75" header="0.3" footer="0.3"/>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2"/>
  <dimension ref="B2:N30"/>
  <sheetViews>
    <sheetView zoomScale="130" zoomScaleNormal="130" workbookViewId="0">
      <pane xSplit="4" ySplit="5" topLeftCell="E9" activePane="bottomRight" state="frozen"/>
      <selection/>
      <selection pane="topRight"/>
      <selection pane="bottomLeft"/>
      <selection pane="bottomRight" activeCell="G10" sqref="G10"/>
    </sheetView>
  </sheetViews>
  <sheetFormatPr defaultColWidth="9" defaultRowHeight="11.4"/>
  <cols>
    <col min="2" max="2" width="11.2395833333333" customWidth="1"/>
    <col min="3" max="3" width="7.1875" customWidth="1"/>
    <col min="4" max="6" width="12.1354166666667" customWidth="1"/>
    <col min="7" max="7" width="10.0416666666667" customWidth="1"/>
    <col min="8" max="8" width="10.1875" customWidth="1"/>
  </cols>
  <sheetData>
    <row r="2" spans="2:5">
      <c r="B2" s="2079" t="s">
        <v>12567</v>
      </c>
      <c r="C2" s="1997"/>
      <c r="D2" s="1997"/>
      <c r="E2" s="1997"/>
    </row>
    <row r="3" spans="2:5">
      <c r="B3" s="2079" t="s">
        <v>12568</v>
      </c>
      <c r="C3" s="1997"/>
      <c r="D3" s="1997"/>
      <c r="E3" s="1997"/>
    </row>
    <row r="4" spans="2:14">
      <c r="B4" s="2080"/>
      <c r="C4" s="1997"/>
      <c r="D4" s="1997"/>
      <c r="E4" s="1997"/>
      <c r="K4" t="s">
        <v>12569</v>
      </c>
      <c r="L4" t="s">
        <v>12570</v>
      </c>
      <c r="M4" t="s">
        <v>12571</v>
      </c>
      <c r="N4" t="s">
        <v>12572</v>
      </c>
    </row>
    <row r="5" ht="13.8" spans="2:14">
      <c r="B5" s="2081" t="s">
        <v>966</v>
      </c>
      <c r="C5" s="2081" t="s">
        <v>1204</v>
      </c>
      <c r="D5" s="2081" t="s">
        <v>12573</v>
      </c>
      <c r="E5" s="2081" t="s">
        <v>12574</v>
      </c>
      <c r="F5" s="2081" t="s">
        <v>11461</v>
      </c>
      <c r="G5" s="2081" t="s">
        <v>12575</v>
      </c>
      <c r="J5">
        <v>2016</v>
      </c>
      <c r="K5" s="2085">
        <v>11599.52</v>
      </c>
      <c r="L5" s="2085">
        <v>11481.45</v>
      </c>
      <c r="M5" s="2086">
        <f>AVERAGE(K5:L5)</f>
        <v>11540.485</v>
      </c>
      <c r="N5" s="2016">
        <f>M5/100</f>
        <v>115.40485</v>
      </c>
    </row>
    <row r="6" ht="13.8" spans="2:14">
      <c r="B6" s="2082" t="s">
        <v>12576</v>
      </c>
      <c r="C6" s="2082">
        <v>0.0416666666666667</v>
      </c>
      <c r="D6" s="2083" t="s">
        <v>12577</v>
      </c>
      <c r="E6" s="2083" t="s">
        <v>12578</v>
      </c>
      <c r="J6">
        <v>2015</v>
      </c>
      <c r="K6" s="2087">
        <v>11512.08</v>
      </c>
      <c r="L6" s="2087">
        <v>11392.76</v>
      </c>
      <c r="M6" s="2086">
        <f>AVERAGE(K6:L6)</f>
        <v>11452.42</v>
      </c>
      <c r="N6" s="2016">
        <f>M6/100</f>
        <v>114.5242</v>
      </c>
    </row>
    <row r="7" ht="13.8" spans="2:14">
      <c r="B7" s="2082" t="s">
        <v>12579</v>
      </c>
      <c r="C7" s="2082">
        <v>0.0416666666666667</v>
      </c>
      <c r="D7" s="2083" t="s">
        <v>12580</v>
      </c>
      <c r="E7" s="2083" t="s">
        <v>12581</v>
      </c>
      <c r="J7">
        <v>2014</v>
      </c>
      <c r="K7" s="2087">
        <v>10477.71</v>
      </c>
      <c r="L7" s="2087">
        <v>10372.05</v>
      </c>
      <c r="M7" s="2086">
        <f>AVERAGE(K7:L7)</f>
        <v>10424.88</v>
      </c>
      <c r="N7" s="2016">
        <f>M7/100</f>
        <v>104.2488</v>
      </c>
    </row>
    <row r="8" ht="13.8" spans="2:14">
      <c r="B8" s="2082" t="s">
        <v>12582</v>
      </c>
      <c r="C8" s="2082">
        <v>0.0416666666666667</v>
      </c>
      <c r="D8" s="2083" t="s">
        <v>12583</v>
      </c>
      <c r="E8" s="2083" t="s">
        <v>12584</v>
      </c>
      <c r="J8">
        <v>2013</v>
      </c>
      <c r="K8" s="2087">
        <v>11676.68</v>
      </c>
      <c r="L8" s="2087">
        <v>11557.08</v>
      </c>
      <c r="M8" s="2086">
        <f>AVERAGE(K8:L8)</f>
        <v>11616.88</v>
      </c>
      <c r="N8" s="2016">
        <f>M8/100</f>
        <v>116.1688</v>
      </c>
    </row>
    <row r="9" ht="13.8" spans="2:14">
      <c r="B9" s="2082" t="s">
        <v>12585</v>
      </c>
      <c r="C9" s="2082">
        <v>0.0416666666666667</v>
      </c>
      <c r="D9" s="2083" t="s">
        <v>12586</v>
      </c>
      <c r="E9" s="2083" t="s">
        <v>12587</v>
      </c>
      <c r="J9">
        <v>2012</v>
      </c>
      <c r="K9" s="2087">
        <v>11254.2</v>
      </c>
      <c r="L9" s="2087">
        <v>11139.15</v>
      </c>
      <c r="M9" s="2086">
        <f>AVERAGE(K9:L9)</f>
        <v>11196.675</v>
      </c>
      <c r="N9" s="2016">
        <f>M9/100</f>
        <v>111.96675</v>
      </c>
    </row>
    <row r="10" ht="13.8" spans="2:14">
      <c r="B10" s="2082" t="s">
        <v>12588</v>
      </c>
      <c r="C10" s="2082">
        <v>0.0416666666666667</v>
      </c>
      <c r="D10" s="2083" t="s">
        <v>12589</v>
      </c>
      <c r="E10" s="2083" t="s">
        <v>12590</v>
      </c>
      <c r="K10" s="2088"/>
      <c r="L10" s="2088"/>
      <c r="M10" s="2086"/>
      <c r="N10" s="2016"/>
    </row>
    <row r="11" spans="2:12">
      <c r="B11" s="2082" t="s">
        <v>12591</v>
      </c>
      <c r="C11" s="2082">
        <v>0.0416666666666667</v>
      </c>
      <c r="D11" s="2083" t="s">
        <v>12592</v>
      </c>
      <c r="E11" s="2083" t="s">
        <v>12593</v>
      </c>
      <c r="K11" s="2088"/>
      <c r="L11" s="2088"/>
    </row>
    <row r="12" spans="2:5">
      <c r="B12" s="2082" t="s">
        <v>12594</v>
      </c>
      <c r="C12" s="2082">
        <v>0.0416666666666667</v>
      </c>
      <c r="D12" s="2083" t="s">
        <v>12595</v>
      </c>
      <c r="E12" s="2083" t="s">
        <v>12596</v>
      </c>
    </row>
    <row r="13" spans="2:5">
      <c r="B13" s="2082" t="s">
        <v>12597</v>
      </c>
      <c r="C13" s="2082">
        <v>0.0416666666666667</v>
      </c>
      <c r="D13" s="2083" t="s">
        <v>12598</v>
      </c>
      <c r="E13" s="2083" t="s">
        <v>12599</v>
      </c>
    </row>
    <row r="14" spans="2:5">
      <c r="B14" s="2082" t="s">
        <v>12600</v>
      </c>
      <c r="C14" s="2082">
        <v>0.0416666666666667</v>
      </c>
      <c r="D14" s="2083" t="s">
        <v>12601</v>
      </c>
      <c r="E14" s="2083" t="s">
        <v>12602</v>
      </c>
    </row>
    <row r="15" spans="2:5">
      <c r="B15" s="2082" t="s">
        <v>12603</v>
      </c>
      <c r="C15" s="2082">
        <v>0.0416666666666667</v>
      </c>
      <c r="D15" s="2083" t="s">
        <v>12604</v>
      </c>
      <c r="E15" s="2083" t="s">
        <v>12605</v>
      </c>
    </row>
    <row r="16" spans="2:9">
      <c r="B16" s="2082" t="s">
        <v>13</v>
      </c>
      <c r="C16" s="2082">
        <v>4.16666666666667</v>
      </c>
      <c r="D16" s="2084">
        <v>13178.48</v>
      </c>
      <c r="E16" s="2084">
        <v>13044.54</v>
      </c>
      <c r="F16" s="2084">
        <f>D16+E16</f>
        <v>26223.02</v>
      </c>
      <c r="G16" s="2084">
        <f>F16/2</f>
        <v>13111.51</v>
      </c>
      <c r="H16" s="2016">
        <f>G16/100</f>
        <v>131.1151</v>
      </c>
      <c r="I16" t="s">
        <v>12606</v>
      </c>
    </row>
    <row r="17" spans="2:7">
      <c r="B17" s="2082" t="s">
        <v>12607</v>
      </c>
      <c r="C17" s="2082">
        <v>0.0416666666666667</v>
      </c>
      <c r="D17" s="2083">
        <v>0.548611111111111</v>
      </c>
      <c r="E17" s="2083">
        <v>0.566666666666667</v>
      </c>
      <c r="F17" s="2016"/>
      <c r="G17" s="2016"/>
    </row>
    <row r="18" spans="2:7">
      <c r="B18" s="2082" t="s">
        <v>12608</v>
      </c>
      <c r="C18" s="2082">
        <v>0.0416666666666667</v>
      </c>
      <c r="D18" s="2083" t="s">
        <v>12609</v>
      </c>
      <c r="E18" s="2083" t="s">
        <v>12610</v>
      </c>
      <c r="F18" s="2016"/>
      <c r="G18" s="2016"/>
    </row>
    <row r="19" spans="2:7">
      <c r="B19" s="2082" t="s">
        <v>12611</v>
      </c>
      <c r="C19" s="2082">
        <v>0.0416666666666667</v>
      </c>
      <c r="D19" s="2083">
        <v>0.0902777777777778</v>
      </c>
      <c r="E19" s="2083">
        <v>0.0888888888888889</v>
      </c>
      <c r="F19" s="2016"/>
      <c r="G19" s="2016"/>
    </row>
    <row r="20" spans="2:7">
      <c r="B20" s="2082" t="s">
        <v>12612</v>
      </c>
      <c r="C20" s="2082">
        <v>0.0416666666666667</v>
      </c>
      <c r="D20" s="2083" t="s">
        <v>12613</v>
      </c>
      <c r="E20" s="2083" t="s">
        <v>12614</v>
      </c>
      <c r="F20" s="2016"/>
      <c r="G20" s="2016"/>
    </row>
    <row r="21" spans="2:7">
      <c r="B21" s="2082" t="s">
        <v>12615</v>
      </c>
      <c r="C21" s="2082">
        <v>0.0416666666666667</v>
      </c>
      <c r="D21" s="2083" t="s">
        <v>12616</v>
      </c>
      <c r="E21" s="2083" t="s">
        <v>12617</v>
      </c>
      <c r="F21" s="2016"/>
      <c r="G21" s="2016"/>
    </row>
    <row r="22" spans="2:7">
      <c r="B22" s="2082" t="s">
        <v>12618</v>
      </c>
      <c r="C22" s="2082">
        <v>0.0416666666666667</v>
      </c>
      <c r="D22" s="2083" t="s">
        <v>12619</v>
      </c>
      <c r="E22" s="2083" t="s">
        <v>12620</v>
      </c>
      <c r="F22" s="2016"/>
      <c r="G22" s="2016"/>
    </row>
    <row r="23" spans="2:7">
      <c r="B23" s="2082" t="s">
        <v>12621</v>
      </c>
      <c r="C23" s="2082">
        <v>0.0416666666666667</v>
      </c>
      <c r="D23" s="2083" t="s">
        <v>12622</v>
      </c>
      <c r="E23" s="2083" t="s">
        <v>12623</v>
      </c>
      <c r="F23" s="2016"/>
      <c r="G23" s="2016"/>
    </row>
    <row r="24" spans="2:7">
      <c r="B24" s="2082" t="s">
        <v>12624</v>
      </c>
      <c r="C24" s="2082">
        <v>0.0416666666666667</v>
      </c>
      <c r="D24" s="2083">
        <v>11.5555555555556</v>
      </c>
      <c r="E24" s="2083">
        <v>11.4340277777778</v>
      </c>
      <c r="F24" s="2016"/>
      <c r="G24" s="2016"/>
    </row>
    <row r="25" spans="2:7">
      <c r="B25" s="2082" t="s">
        <v>12625</v>
      </c>
      <c r="C25" s="2082">
        <v>0.0416666666666667</v>
      </c>
      <c r="D25" s="2083" t="s">
        <v>12626</v>
      </c>
      <c r="E25" s="2083" t="s">
        <v>12627</v>
      </c>
      <c r="F25" s="2016"/>
      <c r="G25" s="2016"/>
    </row>
    <row r="26" spans="2:7">
      <c r="B26" s="2082" t="s">
        <v>12628</v>
      </c>
      <c r="C26" s="2082">
        <v>0.0416666666666667</v>
      </c>
      <c r="D26" s="2083" t="s">
        <v>12629</v>
      </c>
      <c r="E26" s="2083" t="s">
        <v>12630</v>
      </c>
      <c r="F26" s="2016"/>
      <c r="G26" s="2016"/>
    </row>
    <row r="27" spans="2:7">
      <c r="B27" s="2082" t="s">
        <v>12631</v>
      </c>
      <c r="C27" s="2082">
        <v>0.0416666666666667</v>
      </c>
      <c r="D27" s="2083" t="s">
        <v>12580</v>
      </c>
      <c r="E27" s="2083" t="s">
        <v>12581</v>
      </c>
      <c r="F27" s="2016"/>
      <c r="G27" s="2016"/>
    </row>
    <row r="28" spans="2:7">
      <c r="B28" s="2082" t="s">
        <v>12632</v>
      </c>
      <c r="C28" s="2082">
        <v>0.0416666666666667</v>
      </c>
      <c r="D28" s="2083">
        <v>18.6409722222222</v>
      </c>
      <c r="E28" s="2083">
        <v>18.4541666666667</v>
      </c>
      <c r="F28" s="2016"/>
      <c r="G28" s="2016"/>
    </row>
    <row r="29" spans="2:7">
      <c r="B29" s="2082" t="s">
        <v>1222</v>
      </c>
      <c r="C29" s="2082">
        <v>0.0416666666666667</v>
      </c>
      <c r="D29" s="2083">
        <v>14553</v>
      </c>
      <c r="E29" s="2083">
        <v>14409</v>
      </c>
      <c r="F29" s="2084">
        <f>D29+E29</f>
        <v>28962</v>
      </c>
      <c r="G29" s="2084">
        <f>F29/2</f>
        <v>14481</v>
      </c>
    </row>
    <row r="30" spans="2:5">
      <c r="B30" s="2082" t="s">
        <v>12633</v>
      </c>
      <c r="C30" s="2082">
        <v>0.0416666666666667</v>
      </c>
      <c r="D30" s="2083">
        <v>0.04375</v>
      </c>
      <c r="E30" s="2083">
        <v>0.0430555555555556</v>
      </c>
    </row>
  </sheetData>
  <pageMargins left="0.7" right="0.7" top="0.75" bottom="0.75" header="0.3" footer="0.3"/>
  <pageSetup paperSize="9" orientation="portrait"/>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7">
    <tabColor theme="6" tint="-0.249977111117893"/>
    <pageSetUpPr fitToPage="1"/>
  </sheetPr>
  <dimension ref="B2:U72"/>
  <sheetViews>
    <sheetView showGridLines="0" workbookViewId="0">
      <pane xSplit="3" ySplit="12" topLeftCell="E13" activePane="bottomRight" state="frozen"/>
      <selection/>
      <selection pane="topRight"/>
      <selection pane="bottomLeft"/>
      <selection pane="bottomRight" activeCell="M15" sqref="M15"/>
    </sheetView>
  </sheetViews>
  <sheetFormatPr defaultColWidth="9" defaultRowHeight="13.2"/>
  <cols>
    <col min="1" max="1" width="2.84375" customWidth="1"/>
    <col min="2" max="2" width="7.1875" customWidth="1"/>
    <col min="3" max="3" width="26.375" customWidth="1"/>
    <col min="4" max="4" width="6.14583333333333" style="102" customWidth="1"/>
    <col min="5" max="5" width="14.2395833333333" style="102" customWidth="1" outlineLevel="1"/>
    <col min="6" max="6" width="6.14583333333333" style="102" customWidth="1" outlineLevel="1"/>
    <col min="7" max="7" width="13.78125" style="102" customWidth="1" outlineLevel="1"/>
    <col min="8" max="8" width="13.03125" style="102" customWidth="1" outlineLevel="1"/>
    <col min="9" max="9" width="6.14583333333333" style="102" customWidth="1" outlineLevel="1"/>
    <col min="10" max="10" width="16.625" style="102" customWidth="1"/>
    <col min="11" max="11" width="17.6770833333333" customWidth="1" outlineLevel="1"/>
    <col min="12" max="12" width="5.39583333333333" customWidth="1" outlineLevel="1"/>
    <col min="13" max="13" width="16.3333333333333" customWidth="1" outlineLevel="1"/>
    <col min="14" max="14" width="16.1770833333333" customWidth="1" outlineLevel="1"/>
    <col min="15" max="15" width="4.9375" customWidth="1"/>
    <col min="16" max="16" width="17.375" customWidth="1"/>
    <col min="17" max="17" width="16.3333333333333" customWidth="1"/>
    <col min="18" max="18" width="15.1354166666667" customWidth="1"/>
    <col min="19" max="19" width="9.13541666666667" style="1953" customWidth="1"/>
    <col min="21" max="21" width="13.3333333333333" customWidth="1"/>
  </cols>
  <sheetData>
    <row r="2" ht="21" spans="2:19">
      <c r="B2" s="1499" t="str">
        <f>BB!B2</f>
        <v>KAP LIASTA NIRWAN SYAFRUDIN &amp; REKAN</v>
      </c>
      <c r="C2" s="731"/>
      <c r="D2" s="731"/>
      <c r="E2" s="731"/>
      <c r="F2" s="731"/>
      <c r="G2" s="731"/>
      <c r="H2" s="731"/>
      <c r="I2" s="731"/>
      <c r="J2" s="731"/>
      <c r="K2" s="731"/>
      <c r="L2" s="731"/>
      <c r="M2" s="731"/>
      <c r="N2" s="731"/>
      <c r="O2" s="746"/>
      <c r="P2" s="731" t="s">
        <v>481</v>
      </c>
      <c r="Q2" s="765" t="s">
        <v>482</v>
      </c>
      <c r="R2" s="766" t="s">
        <v>483</v>
      </c>
      <c r="S2" s="766"/>
    </row>
    <row r="3" ht="15.6" spans="2:19">
      <c r="B3" s="1500"/>
      <c r="C3" s="1501"/>
      <c r="D3" s="1502"/>
      <c r="E3" s="1954"/>
      <c r="F3" s="1954"/>
      <c r="G3" s="1954"/>
      <c r="H3" s="1954"/>
      <c r="I3" s="1954"/>
      <c r="J3" s="1954"/>
      <c r="K3" s="1504"/>
      <c r="L3" s="1504"/>
      <c r="M3" s="1505"/>
      <c r="N3" s="1505"/>
      <c r="O3" s="1586"/>
      <c r="P3" s="738" t="s">
        <v>484</v>
      </c>
      <c r="Q3" s="767">
        <v>45203</v>
      </c>
      <c r="R3" s="768" t="s">
        <v>774</v>
      </c>
      <c r="S3" s="768"/>
    </row>
    <row r="4" spans="2:19">
      <c r="B4" s="1699"/>
      <c r="C4" s="1548"/>
      <c r="D4" s="1548"/>
      <c r="E4" s="1548"/>
      <c r="F4" s="1548"/>
      <c r="G4" s="1548"/>
      <c r="H4" s="1548"/>
      <c r="I4" s="1548"/>
      <c r="J4" s="1548"/>
      <c r="K4" s="1548"/>
      <c r="L4" s="1548"/>
      <c r="M4" s="1548"/>
      <c r="N4" s="1548"/>
      <c r="O4" s="746"/>
      <c r="P4" s="742" t="s">
        <v>487</v>
      </c>
      <c r="Q4" s="769" t="s">
        <v>482</v>
      </c>
      <c r="R4" s="770" t="s">
        <v>488</v>
      </c>
      <c r="S4" s="770"/>
    </row>
    <row r="5" spans="2:19">
      <c r="B5" s="1546" t="s">
        <v>622</v>
      </c>
      <c r="C5" s="1547" t="str">
        <f>+BB!C4</f>
        <v>PT INTAN GIRI ABADI</v>
      </c>
      <c r="D5" s="1547"/>
      <c r="E5" s="1547"/>
      <c r="F5" s="1547"/>
      <c r="G5" s="1547"/>
      <c r="H5" s="1547"/>
      <c r="I5" s="1547"/>
      <c r="J5" s="1547"/>
      <c r="K5" s="1547"/>
      <c r="L5" s="1547"/>
      <c r="M5" s="1547"/>
      <c r="N5" s="1547"/>
      <c r="O5" s="746"/>
      <c r="P5" s="746"/>
      <c r="Q5" s="1473"/>
      <c r="R5" s="1474"/>
      <c r="S5" s="1474"/>
    </row>
    <row r="6" ht="6.95" customHeight="1" spans="2:19">
      <c r="B6" s="775"/>
      <c r="C6" s="753"/>
      <c r="D6" s="753"/>
      <c r="E6" s="753"/>
      <c r="F6" s="753"/>
      <c r="G6" s="753"/>
      <c r="H6" s="753"/>
      <c r="I6" s="753"/>
      <c r="J6" s="753"/>
      <c r="K6" s="753"/>
      <c r="L6" s="753"/>
      <c r="M6" s="753"/>
      <c r="N6" s="753"/>
      <c r="O6" s="1592"/>
      <c r="P6" s="1592"/>
      <c r="Q6" s="771"/>
      <c r="R6" s="772"/>
      <c r="S6" s="772"/>
    </row>
    <row r="7" ht="11.4" spans="2:19">
      <c r="B7" s="773"/>
      <c r="C7" s="742"/>
      <c r="D7" s="742"/>
      <c r="E7" s="742"/>
      <c r="F7" s="742"/>
      <c r="G7" s="742"/>
      <c r="H7" s="742"/>
      <c r="I7" s="742"/>
      <c r="J7" s="742"/>
      <c r="K7" s="742"/>
      <c r="L7" s="742"/>
      <c r="M7" s="742"/>
      <c r="N7" s="742"/>
      <c r="O7" s="770"/>
      <c r="P7" s="742"/>
      <c r="Q7" s="773"/>
      <c r="R7" s="774" t="s">
        <v>491</v>
      </c>
      <c r="S7" s="774"/>
    </row>
    <row r="8" spans="2:19">
      <c r="B8" s="1549" t="s">
        <v>623</v>
      </c>
      <c r="C8" s="1955" t="s">
        <v>12634</v>
      </c>
      <c r="D8" s="753"/>
      <c r="E8" s="753"/>
      <c r="F8" s="753"/>
      <c r="G8" s="753"/>
      <c r="H8" s="753"/>
      <c r="I8" s="753"/>
      <c r="J8" s="753"/>
      <c r="K8" s="753"/>
      <c r="L8" s="753"/>
      <c r="M8" s="753"/>
      <c r="N8" s="753"/>
      <c r="O8" s="1599"/>
      <c r="P8" s="753"/>
      <c r="Q8" s="775"/>
      <c r="R8" s="776">
        <f>A!V7</f>
        <v>44926</v>
      </c>
      <c r="S8" s="776"/>
    </row>
    <row r="9" spans="11:19">
      <c r="K9" s="2016">
        <f>+K15</f>
        <v>0</v>
      </c>
      <c r="S9"/>
    </row>
    <row r="10" spans="2:19">
      <c r="B10" s="1956"/>
      <c r="C10" s="1957"/>
      <c r="D10" s="1958" t="s">
        <v>654</v>
      </c>
      <c r="E10" s="1959"/>
      <c r="F10" s="1959"/>
      <c r="G10" s="1960" t="s">
        <v>1228</v>
      </c>
      <c r="H10" s="1961"/>
      <c r="I10" s="2017"/>
      <c r="J10" s="2018"/>
      <c r="K10" s="1959"/>
      <c r="L10" s="1959"/>
      <c r="M10" s="1960" t="s">
        <v>1228</v>
      </c>
      <c r="N10" s="1961"/>
      <c r="O10" s="2017"/>
      <c r="P10" s="2018"/>
      <c r="Q10" s="2017"/>
      <c r="R10" s="2057">
        <f>K12</f>
        <v>44561</v>
      </c>
      <c r="S10" s="2058"/>
    </row>
    <row r="11" spans="2:19">
      <c r="B11" s="1962"/>
      <c r="C11" s="1963"/>
      <c r="D11" s="1964"/>
      <c r="E11" s="1965" t="s">
        <v>996</v>
      </c>
      <c r="F11" s="1965" t="s">
        <v>1230</v>
      </c>
      <c r="G11" s="1966" t="s">
        <v>1231</v>
      </c>
      <c r="H11" s="1967" t="s">
        <v>1232</v>
      </c>
      <c r="I11" s="1965" t="s">
        <v>1230</v>
      </c>
      <c r="J11" s="1967" t="s">
        <v>1233</v>
      </c>
      <c r="K11" s="1965" t="str">
        <f>+E11</f>
        <v>Saldo Buku</v>
      </c>
      <c r="L11" s="1965" t="s">
        <v>1230</v>
      </c>
      <c r="M11" s="1966" t="s">
        <v>1231</v>
      </c>
      <c r="N11" s="1967" t="s">
        <v>1232</v>
      </c>
      <c r="O11" s="1965" t="s">
        <v>1230</v>
      </c>
      <c r="P11" s="1967" t="s">
        <v>1233</v>
      </c>
      <c r="Q11" s="5144" t="s">
        <v>996</v>
      </c>
      <c r="R11" s="2059" t="s">
        <v>12404</v>
      </c>
      <c r="S11" s="2060"/>
    </row>
    <row r="12" ht="13.95" spans="2:19">
      <c r="B12" s="1968" t="s">
        <v>4</v>
      </c>
      <c r="C12" s="1969"/>
      <c r="D12" s="1970"/>
      <c r="E12" s="1971">
        <v>44926</v>
      </c>
      <c r="F12" s="1971" t="s">
        <v>1235</v>
      </c>
      <c r="G12" s="1972"/>
      <c r="H12" s="1973"/>
      <c r="I12" s="1972" t="s">
        <v>1235</v>
      </c>
      <c r="J12" s="2019">
        <f>E12</f>
        <v>44926</v>
      </c>
      <c r="K12" s="1971">
        <f>+J12-365</f>
        <v>44561</v>
      </c>
      <c r="L12" s="1971" t="s">
        <v>1235</v>
      </c>
      <c r="M12" s="1972"/>
      <c r="N12" s="1973"/>
      <c r="O12" s="1972" t="s">
        <v>1235</v>
      </c>
      <c r="P12" s="2019">
        <f>K12</f>
        <v>44561</v>
      </c>
      <c r="Q12" s="1971">
        <f>+P12-365</f>
        <v>44196</v>
      </c>
      <c r="R12" s="2061" t="s">
        <v>1132</v>
      </c>
      <c r="S12" s="2062" t="s">
        <v>12405</v>
      </c>
    </row>
    <row r="13" s="101" customFormat="1" spans="2:19">
      <c r="B13" s="1974"/>
      <c r="C13" s="1975"/>
      <c r="D13" s="1976"/>
      <c r="E13" s="1977"/>
      <c r="F13" s="1976"/>
      <c r="G13" s="1977"/>
      <c r="H13" s="1976"/>
      <c r="I13" s="1977"/>
      <c r="J13" s="2020"/>
      <c r="K13" s="2021"/>
      <c r="L13" s="2021"/>
      <c r="M13" s="2022"/>
      <c r="N13" s="2023"/>
      <c r="O13" s="2021"/>
      <c r="P13" s="2024"/>
      <c r="Q13" s="2024"/>
      <c r="R13" s="2063"/>
      <c r="S13" s="2064"/>
    </row>
    <row r="14" s="101" customFormat="1" spans="2:19">
      <c r="B14" s="286"/>
      <c r="C14" s="1978" t="str">
        <f>[102]Catatan!F1843</f>
        <v>PPh Pasal 21</v>
      </c>
      <c r="D14" s="1979" t="s">
        <v>12635</v>
      </c>
      <c r="E14" s="1980">
        <f>+'FF21'!G30</f>
        <v>4182669.44583333</v>
      </c>
      <c r="F14" s="1539"/>
      <c r="G14" s="161">
        <f>SUMIF('F4'!$E$12:$E$158,C14,'F4'!$G$12:$G$158)</f>
        <v>0</v>
      </c>
      <c r="H14" s="161">
        <f>SUMIF('F4'!$E$12:$E$158,C14,'F4'!$H$12:$H$158)</f>
        <v>0</v>
      </c>
      <c r="I14" s="2025"/>
      <c r="J14" s="2026">
        <f>E14+H14-G14</f>
        <v>4182669.44583333</v>
      </c>
      <c r="K14" s="2027">
        <f>9817743.64367655+'FF21'!K30</f>
        <v>14038788.3561765</v>
      </c>
      <c r="L14" s="129"/>
      <c r="M14" s="161">
        <f>SUMIF('F4'!$E$12:$E$158,C14,'F4'!$I$12:$I$158)</f>
        <v>0</v>
      </c>
      <c r="N14" s="161">
        <f>SUMIF('F4'!$E$12:$E$158,C14,'F4'!$J$12:$J$158)</f>
        <v>0</v>
      </c>
      <c r="O14" s="129"/>
      <c r="P14" s="156">
        <f>K14+N14-M14</f>
        <v>14038788.3561765</v>
      </c>
      <c r="Q14" s="161">
        <f>+'FF21'!O30</f>
        <v>9817743.64367655</v>
      </c>
      <c r="R14" s="2065">
        <f>K14-Q14</f>
        <v>4221044.7125</v>
      </c>
      <c r="S14" s="2066">
        <f>IF(Q14=0,IF(Q14=0,1,R14/R14),R14/Q14)</f>
        <v>0.429940408478552</v>
      </c>
    </row>
    <row r="15" s="101" customFormat="1" spans="2:19">
      <c r="B15" s="286"/>
      <c r="C15" s="1978" t="str">
        <f>[102]Catatan!F1844</f>
        <v>PPh Pasal 25/29</v>
      </c>
      <c r="D15" s="1981" t="s">
        <v>12636</v>
      </c>
      <c r="E15" s="1980">
        <f>51900000*0</f>
        <v>0</v>
      </c>
      <c r="F15" s="1982"/>
      <c r="G15" s="161">
        <f>SUMIF('F4'!$E$12:$E$158,C15,'F4'!$G$12:$G$158)</f>
        <v>0</v>
      </c>
      <c r="H15" s="161">
        <f>SUMIF('F4'!$E$12:$E$158,C15,'F4'!$H$12:$H$158)</f>
        <v>77954370.8005685</v>
      </c>
      <c r="I15" s="2028"/>
      <c r="J15" s="2026">
        <f>E15+H15-G15</f>
        <v>77954370.8005685</v>
      </c>
      <c r="K15" s="2029">
        <f>279565801-130245044.51-36737997+145826968-112582760+61760020-73972731-133614256.49</f>
        <v>0</v>
      </c>
      <c r="L15" s="138"/>
      <c r="M15" s="161">
        <f>SUMIF('F4'!$E$12:$E$158,C15,'F4'!$I$12:$I$158)+'F6'!I20</f>
        <v>33663124</v>
      </c>
      <c r="N15" s="161">
        <f>SUMIF('F4'!$E$12:$E$158,C15,'F4'!$J$12:$J$158)</f>
        <v>36095021.3763269</v>
      </c>
      <c r="O15" s="138"/>
      <c r="P15" s="156">
        <f>K15+N15-M15</f>
        <v>2431897.37632693</v>
      </c>
      <c r="Q15" s="161">
        <f>+'F3'!R34-73972731</f>
        <v>133614256.608534</v>
      </c>
      <c r="R15" s="2065">
        <f>K15-Q15</f>
        <v>-133614256.608534</v>
      </c>
      <c r="S15" s="2066">
        <f>IF(Q15=0,IF(Q15=0,1,R15/R15),R15/Q15)</f>
        <v>-1</v>
      </c>
    </row>
    <row r="16" s="101" customFormat="1" spans="2:19">
      <c r="B16" s="286"/>
      <c r="C16" s="1978" t="str">
        <f>[102]Catatan!F1845</f>
        <v>Pajak Pertambahan Nilai (PPN)</v>
      </c>
      <c r="D16" s="1981" t="s">
        <v>12637</v>
      </c>
      <c r="E16" s="1980">
        <v>0</v>
      </c>
      <c r="F16" s="1982"/>
      <c r="G16" s="161">
        <f>SUMIF('F4'!$E$12:$E$158,C16,'F4'!$G$12:$G$158)</f>
        <v>0</v>
      </c>
      <c r="H16" s="161">
        <f>SUMIF('F4'!$E$12:$E$158,C16,'F4'!$H$12:$H$158)</f>
        <v>0</v>
      </c>
      <c r="I16" s="2028"/>
      <c r="J16" s="2026">
        <f>E16+H16-G16</f>
        <v>0</v>
      </c>
      <c r="K16" s="2027">
        <v>112582760</v>
      </c>
      <c r="L16" s="2030"/>
      <c r="M16" s="161">
        <f>SUMIF('F4'!$E$12:$E$158,C16,'F4'!$I$12:$I$158)</f>
        <v>0</v>
      </c>
      <c r="N16" s="161">
        <f>SUMIF('F4'!$E$12:$E$158,C16,'F4'!$J$12:$J$158)</f>
        <v>0</v>
      </c>
      <c r="O16" s="138"/>
      <c r="P16" s="156">
        <f>K16+N16-M16</f>
        <v>112582760</v>
      </c>
      <c r="Q16" s="161">
        <v>0</v>
      </c>
      <c r="R16" s="2065">
        <f>K16-Q16</f>
        <v>112582760</v>
      </c>
      <c r="S16" s="2066">
        <f>IF(Q16=0,IF(Q16=0,1,R16/R16),R16/Q16)</f>
        <v>1</v>
      </c>
    </row>
    <row r="17" s="101" customFormat="1" spans="2:19">
      <c r="B17" s="286"/>
      <c r="C17" s="1978" t="str">
        <f>[102]Catatan!F1846</f>
        <v>PPh Pasal 23</v>
      </c>
      <c r="D17" s="1981" t="s">
        <v>12638</v>
      </c>
      <c r="E17" s="1980">
        <v>0</v>
      </c>
      <c r="F17" s="1982"/>
      <c r="G17" s="161">
        <f>SUMIF('F4'!$E$12:$E$158,C17,'F4'!$G$12:$G$158)</f>
        <v>0</v>
      </c>
      <c r="H17" s="161">
        <f>SUMIF('F4'!$E$12:$E$158,C17,'F4'!$H$12:$H$158)</f>
        <v>0</v>
      </c>
      <c r="I17" s="2028"/>
      <c r="J17" s="2031">
        <f>E17+H17-G17</f>
        <v>0</v>
      </c>
      <c r="K17" s="2032">
        <v>0</v>
      </c>
      <c r="L17" s="138"/>
      <c r="M17" s="161">
        <f>SUMIF('F4'!$E$12:$E$158,C17,'F4'!$I$12:$I$158)</f>
        <v>0</v>
      </c>
      <c r="N17" s="161">
        <f>SUMIF('F4'!$E$12:$E$158,C17,'F4'!$J$12:$J$158)</f>
        <v>0</v>
      </c>
      <c r="O17" s="138"/>
      <c r="P17" s="156">
        <f>K17+N17-M17</f>
        <v>0</v>
      </c>
      <c r="Q17" s="161">
        <v>0</v>
      </c>
      <c r="R17" s="2065">
        <f>K17-Q17</f>
        <v>0</v>
      </c>
      <c r="S17" s="2066">
        <f>IF(Q17=0,IF(Q17=0,1,R17/R17),R17/Q17)</f>
        <v>1</v>
      </c>
    </row>
    <row r="18" s="101" customFormat="1" spans="2:19">
      <c r="B18" s="286"/>
      <c r="C18" s="1978" t="str">
        <f>[102]Catatan!F1847</f>
        <v>PPh Pasal 4 ayat 2 Final</v>
      </c>
      <c r="D18" s="1982"/>
      <c r="E18" s="1980">
        <v>0</v>
      </c>
      <c r="F18" s="1982"/>
      <c r="G18" s="161">
        <f>SUMIF('F4'!$E$12:$E$158,C18,'F4'!$G$12:$G$158)</f>
        <v>0</v>
      </c>
      <c r="H18" s="161">
        <f>SUMIF('F4'!$E$12:$E$158,C18,'F4'!$H$12:$H$158)</f>
        <v>0</v>
      </c>
      <c r="I18" s="2028"/>
      <c r="J18" s="2031">
        <f>E18+H18-G18</f>
        <v>0</v>
      </c>
      <c r="K18" s="2032">
        <v>0</v>
      </c>
      <c r="L18" s="138"/>
      <c r="M18" s="161">
        <f>SUMIF('F4'!$E$12:$E$158,C18,'F4'!$I$12:$I$158)</f>
        <v>0</v>
      </c>
      <c r="N18" s="161">
        <f>SUMIF('F4'!$E$12:$E$158,C18,'F4'!$J$12:$J$158)</f>
        <v>0</v>
      </c>
      <c r="O18" s="138"/>
      <c r="P18" s="177">
        <f>K18+N18-M18</f>
        <v>0</v>
      </c>
      <c r="Q18" s="161">
        <v>0</v>
      </c>
      <c r="R18" s="2065">
        <f>K18-Q18</f>
        <v>0</v>
      </c>
      <c r="S18" s="2066">
        <f>IF(Q18=0,IF(Q18=0,1,R18/R18),R18/Q18)</f>
        <v>1</v>
      </c>
    </row>
    <row r="19" s="101" customFormat="1" spans="2:19">
      <c r="B19" s="1983"/>
      <c r="C19" s="1984"/>
      <c r="D19" s="1982"/>
      <c r="E19" s="142"/>
      <c r="F19" s="1982"/>
      <c r="G19" s="142"/>
      <c r="H19"/>
      <c r="I19" s="2028"/>
      <c r="J19" s="2031"/>
      <c r="K19" s="191"/>
      <c r="L19" s="2033"/>
      <c r="M19" s="2034"/>
      <c r="N19" s="2035"/>
      <c r="O19" s="296"/>
      <c r="P19" s="138"/>
      <c r="Q19" s="360"/>
      <c r="R19" s="296"/>
      <c r="S19" s="2067"/>
    </row>
    <row r="20" spans="2:21">
      <c r="B20" s="5141" t="s">
        <v>12416</v>
      </c>
      <c r="C20" s="1986"/>
      <c r="D20" s="1987"/>
      <c r="E20" s="1988">
        <f>SUM(E14:E19)</f>
        <v>4182669.44583333</v>
      </c>
      <c r="F20" s="1989"/>
      <c r="G20" s="1988">
        <f>SUM(G14:G19)</f>
        <v>0</v>
      </c>
      <c r="H20" s="1990">
        <f>SUM(H14:H19)</f>
        <v>77954370.8005685</v>
      </c>
      <c r="I20" s="2036"/>
      <c r="J20" s="2037">
        <f>SUM(J14:J19)</f>
        <v>82137040.2464018</v>
      </c>
      <c r="K20" s="2038">
        <f>SUM(K14:K19)</f>
        <v>126621548.356177</v>
      </c>
      <c r="L20" s="2039"/>
      <c r="M20" s="2040">
        <f>SUM(M14:M19)</f>
        <v>33663124</v>
      </c>
      <c r="N20" s="2038">
        <f>SUM(N14:N19)</f>
        <v>36095021.3763269</v>
      </c>
      <c r="O20" s="2038"/>
      <c r="P20" s="2040">
        <f>SUM(P14:P19)</f>
        <v>129053445.732503</v>
      </c>
      <c r="Q20" s="2037">
        <f>SUM(Q14:Q19)</f>
        <v>143432000.25221</v>
      </c>
      <c r="R20" s="2038">
        <f>SUM(R14:R19)</f>
        <v>-16810451.8960339</v>
      </c>
      <c r="S20" s="2068">
        <f>IF(Q20=0,IF(R20=0,0,R20/Q20),R20/Q20)</f>
        <v>-0.117201544052056</v>
      </c>
      <c r="U20" s="2069"/>
    </row>
    <row r="21" ht="12.75" spans="2:19">
      <c r="B21" s="1991"/>
      <c r="C21" s="1992"/>
      <c r="D21" s="1993"/>
      <c r="E21" s="1994">
        <f>+E20-'F2'!F18</f>
        <v>0</v>
      </c>
      <c r="F21" s="1993"/>
      <c r="G21" s="1995"/>
      <c r="H21" s="1993"/>
      <c r="I21" s="1995"/>
      <c r="J21" s="2041">
        <f>J20-'F2'!K18</f>
        <v>0</v>
      </c>
      <c r="K21" s="2042">
        <f>+'F2'!L18-K20</f>
        <v>0</v>
      </c>
      <c r="L21" s="2043"/>
      <c r="M21" s="2044"/>
      <c r="N21" s="2045"/>
      <c r="O21" s="2044"/>
      <c r="P21" s="2046">
        <f>+'F2'!Q18-P20</f>
        <v>0</v>
      </c>
      <c r="Q21" s="2046">
        <f>+'F2'!R18-Q20</f>
        <v>0</v>
      </c>
      <c r="R21" s="2044"/>
      <c r="S21" s="2070"/>
    </row>
    <row r="22" spans="11:11">
      <c r="K22">
        <f>+'F2'!L50</f>
        <v>-0.367416381835937</v>
      </c>
    </row>
    <row r="23" spans="11:14">
      <c r="K23" s="2016">
        <f>+'F2'!K50</f>
        <v>0.0782699584960937</v>
      </c>
      <c r="N23">
        <f>+Q15+N15</f>
        <v>169709277.984861</v>
      </c>
    </row>
    <row r="24" spans="14:14">
      <c r="N24">
        <f>+P15-N23</f>
        <v>-167277380.608534</v>
      </c>
    </row>
    <row r="27" spans="2:3">
      <c r="B27" s="101"/>
      <c r="C27" s="5151" t="str">
        <f>'F1'!$C$46</f>
        <v>Sesuai dengan Saldo Buku Besar Periode 31 Desember 2022 &amp; 2021</v>
      </c>
    </row>
    <row r="28" spans="2:3">
      <c r="B28" s="101"/>
      <c r="C28" s="5151" t="str">
        <f>'F1'!$C$47</f>
        <v>Sesuai dengan Saldo Audit Periode Sebelumnya</v>
      </c>
    </row>
    <row r="29" spans="2:3">
      <c r="B29" s="101"/>
      <c r="C29" s="1997" t="str">
        <f>'F1'!$C$48</f>
        <v>Rumus dan Formula Perhitungan telah Diperiksa</v>
      </c>
    </row>
    <row r="31" spans="2:19">
      <c r="B31" s="1998"/>
      <c r="C31" s="1999"/>
      <c r="D31" s="2000"/>
      <c r="E31" s="2000"/>
      <c r="F31" s="2000"/>
      <c r="G31" s="2000"/>
      <c r="H31" s="2000"/>
      <c r="I31" s="2000"/>
      <c r="J31" s="2000"/>
      <c r="K31" s="1999"/>
      <c r="L31" s="1999"/>
      <c r="M31" s="1999"/>
      <c r="N31" s="1999"/>
      <c r="O31" s="1999"/>
      <c r="P31" s="1999"/>
      <c r="Q31" s="1999"/>
      <c r="R31" s="1999"/>
      <c r="S31" s="2071"/>
    </row>
    <row r="32" spans="2:19">
      <c r="B32" s="2001"/>
      <c r="C32" s="2002"/>
      <c r="D32" s="371"/>
      <c r="E32" s="371"/>
      <c r="F32" s="371"/>
      <c r="G32" s="371"/>
      <c r="H32" s="371"/>
      <c r="I32" s="371"/>
      <c r="J32" s="371"/>
      <c r="K32" s="2002"/>
      <c r="L32" s="2002"/>
      <c r="M32" s="1585"/>
      <c r="N32" s="2002"/>
      <c r="O32" s="2002"/>
      <c r="P32" s="2002"/>
      <c r="Q32" s="2002"/>
      <c r="R32" s="2002"/>
      <c r="S32" s="2072"/>
    </row>
    <row r="33" spans="2:19">
      <c r="B33" s="2001"/>
      <c r="C33" s="2002"/>
      <c r="D33" s="371"/>
      <c r="E33" s="371"/>
      <c r="F33" s="371"/>
      <c r="G33" s="371"/>
      <c r="H33" s="371"/>
      <c r="I33" s="371"/>
      <c r="J33" s="371"/>
      <c r="K33" s="2002"/>
      <c r="L33" s="2002"/>
      <c r="M33" s="2002"/>
      <c r="N33" s="2002"/>
      <c r="O33" s="2002"/>
      <c r="P33" s="2002"/>
      <c r="Q33" s="2002"/>
      <c r="R33" s="2002"/>
      <c r="S33" s="2072"/>
    </row>
    <row r="34" spans="2:19">
      <c r="B34" s="2001"/>
      <c r="C34" s="2002"/>
      <c r="D34" s="371"/>
      <c r="E34" s="371">
        <v>2022</v>
      </c>
      <c r="F34" s="371"/>
      <c r="G34" s="371">
        <v>2021</v>
      </c>
      <c r="H34" s="371">
        <v>2020</v>
      </c>
      <c r="I34" s="371"/>
      <c r="J34" s="371"/>
      <c r="K34" s="1585"/>
      <c r="L34" s="2002"/>
      <c r="M34" s="2002"/>
      <c r="N34" s="2002"/>
      <c r="O34" s="2002"/>
      <c r="P34" s="2047"/>
      <c r="Q34" s="2047"/>
      <c r="R34" s="2002"/>
      <c r="S34" s="2072"/>
    </row>
    <row r="35" spans="2:19">
      <c r="B35" s="2001"/>
      <c r="C35" s="2002" t="s">
        <v>12639</v>
      </c>
      <c r="D35" s="371"/>
      <c r="E35" s="371"/>
      <c r="F35" s="371"/>
      <c r="G35" s="371"/>
      <c r="H35" s="371"/>
      <c r="I35" s="371"/>
      <c r="J35" s="371"/>
      <c r="K35" s="2002"/>
      <c r="L35" s="2002"/>
      <c r="M35" s="2002" t="s">
        <v>1285</v>
      </c>
      <c r="N35" s="2002"/>
      <c r="O35" s="2002"/>
      <c r="P35" s="2048"/>
      <c r="Q35" s="2073">
        <v>2020</v>
      </c>
      <c r="R35" s="2002"/>
      <c r="S35" s="2072"/>
    </row>
    <row r="36" spans="2:19">
      <c r="B36" s="2001"/>
      <c r="C36" s="2002" t="s">
        <v>12640</v>
      </c>
      <c r="D36" s="371"/>
      <c r="E36" s="2003">
        <f>+E15</f>
        <v>0</v>
      </c>
      <c r="F36" s="371"/>
      <c r="G36" s="2003">
        <f>+P15</f>
        <v>2431897.37632693</v>
      </c>
      <c r="H36" s="2003">
        <f>+'F3'!R34</f>
        <v>207586987.608534</v>
      </c>
      <c r="I36" s="371"/>
      <c r="J36" s="371"/>
      <c r="K36" s="2002"/>
      <c r="L36" s="2002"/>
      <c r="M36" s="1585" t="s">
        <v>12641</v>
      </c>
      <c r="N36" s="2002"/>
      <c r="O36" s="2002"/>
      <c r="P36" s="2002"/>
      <c r="Q36" s="2002">
        <f>+'Perhit Fiskal'!P73</f>
        <v>207586987.608534</v>
      </c>
      <c r="R36" s="2002"/>
      <c r="S36" s="2072"/>
    </row>
    <row r="37" spans="2:19">
      <c r="B37" s="2001"/>
      <c r="C37" s="2002" t="s">
        <v>12642</v>
      </c>
      <c r="D37" s="371"/>
      <c r="E37" s="2003">
        <v>0</v>
      </c>
      <c r="F37" s="371"/>
      <c r="G37" s="2003">
        <f>+P14</f>
        <v>14038788.3561765</v>
      </c>
      <c r="H37" s="2003">
        <f>+Q14</f>
        <v>9817743.64367655</v>
      </c>
      <c r="I37" s="371"/>
      <c r="J37" s="371"/>
      <c r="K37" s="2002"/>
      <c r="L37" s="2002"/>
      <c r="M37" s="2002" t="s">
        <v>12643</v>
      </c>
      <c r="N37" s="2002"/>
      <c r="O37" s="2002"/>
      <c r="P37" s="2002"/>
      <c r="Q37" s="2002">
        <f>-'Perhit Fiskal'!P83</f>
        <v>-73972731</v>
      </c>
      <c r="R37" s="2002"/>
      <c r="S37" s="2072"/>
    </row>
    <row r="38" spans="2:19">
      <c r="B38" s="2001"/>
      <c r="C38" s="2002" t="s">
        <v>1169</v>
      </c>
      <c r="D38" s="371"/>
      <c r="E38" s="2003">
        <v>0</v>
      </c>
      <c r="F38" s="371"/>
      <c r="G38" s="2003">
        <f>+P16</f>
        <v>112582760</v>
      </c>
      <c r="H38" s="2003">
        <v>0</v>
      </c>
      <c r="I38" s="371"/>
      <c r="J38" s="371"/>
      <c r="K38" s="2002"/>
      <c r="L38" s="2002"/>
      <c r="M38" s="2002" t="s">
        <v>12644</v>
      </c>
      <c r="N38" s="2002"/>
      <c r="O38" s="2002"/>
      <c r="P38" s="2002"/>
      <c r="Q38" s="2002">
        <f>SUM(Q36:Q37)</f>
        <v>133614256.608534</v>
      </c>
      <c r="R38" s="2002"/>
      <c r="S38" s="2072"/>
    </row>
    <row r="39" spans="2:19">
      <c r="B39" s="2001"/>
      <c r="C39" s="2002" t="s">
        <v>12645</v>
      </c>
      <c r="D39" s="371"/>
      <c r="E39" s="2003">
        <v>0</v>
      </c>
      <c r="F39" s="371"/>
      <c r="G39" s="2003">
        <v>0</v>
      </c>
      <c r="H39" s="2003">
        <v>0</v>
      </c>
      <c r="I39" s="371"/>
      <c r="J39" s="371"/>
      <c r="K39" s="2002"/>
      <c r="L39" s="2002"/>
      <c r="M39" s="2002"/>
      <c r="N39" s="2002"/>
      <c r="O39" s="2002"/>
      <c r="P39" s="2002">
        <f>+Note21!AB339</f>
        <v>2431897.37632693</v>
      </c>
      <c r="Q39" s="2002"/>
      <c r="R39" s="2002"/>
      <c r="S39" s="2072"/>
    </row>
    <row r="40" spans="2:19">
      <c r="B40" s="2001"/>
      <c r="C40" s="2002"/>
      <c r="D40" s="371"/>
      <c r="E40" s="372"/>
      <c r="F40" s="372"/>
      <c r="G40" s="372"/>
      <c r="H40" s="372"/>
      <c r="I40" s="371"/>
      <c r="J40" s="371"/>
      <c r="K40" s="2002"/>
      <c r="L40" s="2002"/>
      <c r="M40" s="2002"/>
      <c r="N40" s="2002"/>
      <c r="O40" s="2002"/>
      <c r="P40" s="2002"/>
      <c r="Q40" s="2002"/>
      <c r="R40" s="2002"/>
      <c r="S40" s="2072"/>
    </row>
    <row r="41" spans="2:19">
      <c r="B41" s="2001"/>
      <c r="C41" s="2002" t="s">
        <v>12646</v>
      </c>
      <c r="D41" s="371"/>
      <c r="E41" s="371">
        <f>SUM(E36:E40)</f>
        <v>0</v>
      </c>
      <c r="F41" s="371"/>
      <c r="G41" s="371">
        <f>SUM(G36:G40)</f>
        <v>129053445.732503</v>
      </c>
      <c r="H41" s="371">
        <f>SUM(H36:H40)</f>
        <v>217404731.25221</v>
      </c>
      <c r="I41" s="371"/>
      <c r="J41" s="371"/>
      <c r="K41" s="2002"/>
      <c r="L41" s="2002"/>
      <c r="M41" s="2002"/>
      <c r="N41" s="2002"/>
      <c r="O41" s="2002"/>
      <c r="P41" s="2002"/>
      <c r="Q41" s="2002"/>
      <c r="R41" s="2002"/>
      <c r="S41" s="2072"/>
    </row>
    <row r="42" spans="2:19">
      <c r="B42" s="2001"/>
      <c r="C42" s="2002"/>
      <c r="D42" s="371"/>
      <c r="E42" s="371"/>
      <c r="F42" s="371"/>
      <c r="G42" s="371"/>
      <c r="H42" s="371"/>
      <c r="I42" s="371"/>
      <c r="J42" s="371"/>
      <c r="K42" s="2002"/>
      <c r="L42" s="2002"/>
      <c r="M42" s="2002"/>
      <c r="N42" s="2002"/>
      <c r="O42" s="2002"/>
      <c r="P42" s="2002"/>
      <c r="Q42" s="2002"/>
      <c r="R42" s="2002"/>
      <c r="S42" s="2072"/>
    </row>
    <row r="43" spans="2:19">
      <c r="B43" s="2001"/>
      <c r="C43" s="2002" t="s">
        <v>12647</v>
      </c>
      <c r="D43" s="371"/>
      <c r="E43" s="2004">
        <f>+'F2'!K18</f>
        <v>82137040.2464018</v>
      </c>
      <c r="F43" s="2004"/>
      <c r="G43" s="2004">
        <f>+'F2'!Q18</f>
        <v>129053445.732503</v>
      </c>
      <c r="H43" s="2004">
        <f>+'F2'!R18</f>
        <v>143432000.25221</v>
      </c>
      <c r="I43" s="371"/>
      <c r="J43" s="371"/>
      <c r="K43" s="2002"/>
      <c r="L43" s="2002"/>
      <c r="M43" s="2002"/>
      <c r="N43" s="2002"/>
      <c r="O43" s="2002"/>
      <c r="P43" s="2002"/>
      <c r="Q43" s="2002"/>
      <c r="R43" s="2002"/>
      <c r="S43" s="2072"/>
    </row>
    <row r="44" customFormat="1" spans="2:19">
      <c r="B44" s="2001"/>
      <c r="C44" s="2002" t="s">
        <v>146</v>
      </c>
      <c r="D44" s="371"/>
      <c r="E44" s="2005">
        <f>+E43-E41</f>
        <v>82137040.2464018</v>
      </c>
      <c r="F44" s="2005"/>
      <c r="G44" s="2005">
        <f>+G43-G41</f>
        <v>0</v>
      </c>
      <c r="H44" s="2005">
        <f>+H43-H41</f>
        <v>-73972731</v>
      </c>
      <c r="I44" s="371"/>
      <c r="J44" s="371"/>
      <c r="K44" s="2002"/>
      <c r="L44" s="2002"/>
      <c r="M44" s="2002"/>
      <c r="N44" s="2002"/>
      <c r="O44" s="2002"/>
      <c r="P44" s="2002"/>
      <c r="Q44" s="2002"/>
      <c r="R44" s="2002"/>
      <c r="S44" s="2072"/>
    </row>
    <row r="45" customFormat="1" spans="2:19">
      <c r="B45" s="2001"/>
      <c r="C45" s="2002"/>
      <c r="D45" s="371"/>
      <c r="E45" s="2003"/>
      <c r="F45" s="2003"/>
      <c r="G45" s="2003"/>
      <c r="H45" s="2003"/>
      <c r="I45" s="371"/>
      <c r="J45" s="371"/>
      <c r="K45" s="2002"/>
      <c r="L45" s="2002"/>
      <c r="M45" s="2002"/>
      <c r="N45" s="2002"/>
      <c r="O45" s="2002"/>
      <c r="P45" s="2002"/>
      <c r="Q45" s="2002"/>
      <c r="R45" s="2002"/>
      <c r="S45" s="2072"/>
    </row>
    <row r="46" customFormat="1" spans="2:19">
      <c r="B46" s="2001"/>
      <c r="C46" s="2002"/>
      <c r="D46" s="371"/>
      <c r="E46" s="2003"/>
      <c r="F46" s="2003"/>
      <c r="G46" s="2003"/>
      <c r="H46" s="2003"/>
      <c r="I46" s="371"/>
      <c r="J46" s="371"/>
      <c r="K46" s="2002"/>
      <c r="L46" s="2002"/>
      <c r="M46" s="2002"/>
      <c r="N46" s="2002"/>
      <c r="O46" s="2002"/>
      <c r="P46" s="2002"/>
      <c r="Q46" s="2002"/>
      <c r="R46" s="2002"/>
      <c r="S46" s="2072"/>
    </row>
    <row r="47" customFormat="1" spans="2:19">
      <c r="B47" s="2001"/>
      <c r="C47" s="2002"/>
      <c r="D47" s="371"/>
      <c r="E47" s="2003"/>
      <c r="F47" s="2003"/>
      <c r="G47" s="2003"/>
      <c r="H47" s="2003"/>
      <c r="I47" s="371"/>
      <c r="J47" s="371"/>
      <c r="K47" s="2002"/>
      <c r="L47" s="2002"/>
      <c r="M47" s="2002"/>
      <c r="N47" s="2002"/>
      <c r="O47" s="2002"/>
      <c r="P47" s="2002"/>
      <c r="Q47" s="2002"/>
      <c r="R47" s="2002"/>
      <c r="S47" s="2072"/>
    </row>
    <row r="48" customFormat="1" spans="2:19">
      <c r="B48" s="2001"/>
      <c r="C48" s="2002"/>
      <c r="D48" s="371"/>
      <c r="E48" s="2003"/>
      <c r="F48" s="2003"/>
      <c r="G48" s="2003"/>
      <c r="H48" s="2003"/>
      <c r="I48" s="371"/>
      <c r="J48" s="371"/>
      <c r="K48" s="2002"/>
      <c r="L48" s="2002"/>
      <c r="M48" s="2002"/>
      <c r="N48" s="2002"/>
      <c r="O48" s="2002"/>
      <c r="P48" s="2002"/>
      <c r="Q48" s="2002"/>
      <c r="R48" s="2002"/>
      <c r="S48" s="2072"/>
    </row>
    <row r="49" spans="2:19">
      <c r="B49" s="2001"/>
      <c r="C49" s="2002"/>
      <c r="D49" s="371"/>
      <c r="E49" s="371"/>
      <c r="F49" s="371"/>
      <c r="G49" s="371"/>
      <c r="H49" s="371"/>
      <c r="I49" s="371"/>
      <c r="J49" s="371"/>
      <c r="K49" s="2002"/>
      <c r="L49" s="2002"/>
      <c r="M49" s="2002"/>
      <c r="N49" s="2002"/>
      <c r="O49" s="2002"/>
      <c r="P49" s="2002"/>
      <c r="Q49" s="2002"/>
      <c r="R49" s="2002"/>
      <c r="S49" s="2072"/>
    </row>
    <row r="50" spans="2:19">
      <c r="B50" s="2001"/>
      <c r="C50" s="2002"/>
      <c r="D50" s="371"/>
      <c r="E50" s="371"/>
      <c r="F50" s="371"/>
      <c r="G50" s="371"/>
      <c r="H50" s="371"/>
      <c r="I50" s="371"/>
      <c r="J50" s="371"/>
      <c r="K50" s="2002"/>
      <c r="L50" s="2002"/>
      <c r="M50" s="2002"/>
      <c r="N50" s="2002"/>
      <c r="O50" s="2002"/>
      <c r="P50" s="2002"/>
      <c r="Q50" s="2002"/>
      <c r="R50" s="2002"/>
      <c r="S50" s="2072"/>
    </row>
    <row r="51" ht="13.95" spans="2:19">
      <c r="B51" s="2001"/>
      <c r="C51" s="2006"/>
      <c r="D51" s="371"/>
      <c r="E51" s="371"/>
      <c r="F51" s="371"/>
      <c r="G51" s="371"/>
      <c r="H51" s="371"/>
      <c r="I51" s="371"/>
      <c r="J51" s="371"/>
      <c r="K51" s="2049"/>
      <c r="L51" s="2002"/>
      <c r="M51" s="2002"/>
      <c r="N51" s="2002"/>
      <c r="O51" s="2002"/>
      <c r="P51" s="2002"/>
      <c r="Q51" s="2002"/>
      <c r="R51" s="2002"/>
      <c r="S51" s="2072"/>
    </row>
    <row r="52" ht="13.95" spans="2:19">
      <c r="B52" s="2007" t="s">
        <v>952</v>
      </c>
      <c r="C52" s="2008"/>
      <c r="D52" s="2009"/>
      <c r="E52" s="2009"/>
      <c r="F52" s="2009"/>
      <c r="G52" s="2009"/>
      <c r="H52" s="2009"/>
      <c r="I52" s="2009"/>
      <c r="J52" s="2009"/>
      <c r="K52" s="2050"/>
      <c r="L52" s="2051"/>
      <c r="M52" s="616" t="s">
        <v>953</v>
      </c>
      <c r="N52" s="2050" t="s">
        <v>954</v>
      </c>
      <c r="O52" s="2052"/>
      <c r="P52" s="618"/>
      <c r="Q52" s="2050" t="s">
        <v>2264</v>
      </c>
      <c r="R52" s="621"/>
      <c r="S52" s="2072"/>
    </row>
    <row r="53" spans="2:19">
      <c r="B53" s="2007"/>
      <c r="C53" s="2008"/>
      <c r="D53" s="2009"/>
      <c r="E53" s="2009"/>
      <c r="F53" s="2009"/>
      <c r="G53" s="2009"/>
      <c r="H53" s="2009"/>
      <c r="I53" s="2009"/>
      <c r="J53" s="2009"/>
      <c r="K53" s="2050"/>
      <c r="L53" s="2053"/>
      <c r="M53" s="2053"/>
      <c r="N53" s="2050"/>
      <c r="O53" s="619"/>
      <c r="P53" s="619"/>
      <c r="Q53" s="2050"/>
      <c r="R53" s="621"/>
      <c r="S53" s="2072"/>
    </row>
    <row r="54" spans="2:19">
      <c r="B54" s="2010" t="s">
        <v>12444</v>
      </c>
      <c r="C54" s="609"/>
      <c r="D54" s="619"/>
      <c r="E54" s="619"/>
      <c r="F54" s="619"/>
      <c r="G54" s="619"/>
      <c r="H54" s="619"/>
      <c r="I54" s="619"/>
      <c r="J54" s="619"/>
      <c r="K54" s="617"/>
      <c r="L54" s="638"/>
      <c r="M54" s="609"/>
      <c r="N54" s="609"/>
      <c r="O54" s="609"/>
      <c r="P54" s="371"/>
      <c r="Q54" s="2074"/>
      <c r="R54" s="621"/>
      <c r="S54" s="2072"/>
    </row>
    <row r="55" spans="2:19">
      <c r="B55" s="2011"/>
      <c r="C55" s="621"/>
      <c r="D55" s="621"/>
      <c r="E55" s="621"/>
      <c r="F55" s="621"/>
      <c r="G55" s="621"/>
      <c r="H55" s="621"/>
      <c r="I55" s="621"/>
      <c r="J55" s="621"/>
      <c r="K55" s="621"/>
      <c r="L55" s="621"/>
      <c r="M55" s="621"/>
      <c r="N55" s="621"/>
      <c r="O55" s="621"/>
      <c r="P55" s="621"/>
      <c r="Q55" s="621"/>
      <c r="R55" s="621"/>
      <c r="S55" s="2072"/>
    </row>
    <row r="56" spans="2:19">
      <c r="B56" s="2012"/>
      <c r="C56" s="2013"/>
      <c r="D56" s="2013"/>
      <c r="E56" s="2013"/>
      <c r="F56" s="2013"/>
      <c r="G56" s="2013"/>
      <c r="H56" s="2013"/>
      <c r="I56" s="2013"/>
      <c r="J56" s="2013"/>
      <c r="K56" s="2013"/>
      <c r="L56" s="2013"/>
      <c r="M56" s="2013"/>
      <c r="N56" s="2013"/>
      <c r="O56" s="2013"/>
      <c r="P56" s="2013"/>
      <c r="Q56" s="2013"/>
      <c r="R56" s="2013"/>
      <c r="S56" s="2075"/>
    </row>
    <row r="57" spans="2:19">
      <c r="B57" s="2014"/>
      <c r="C57" s="2015"/>
      <c r="D57" s="372"/>
      <c r="E57" s="372"/>
      <c r="F57" s="372"/>
      <c r="G57" s="372"/>
      <c r="H57" s="372"/>
      <c r="I57" s="372"/>
      <c r="J57" s="372"/>
      <c r="K57" s="372"/>
      <c r="L57" s="372"/>
      <c r="M57" s="372"/>
      <c r="N57" s="2054"/>
      <c r="O57" s="2054"/>
      <c r="P57" s="2054"/>
      <c r="Q57" s="2054"/>
      <c r="R57" s="2076"/>
      <c r="S57" s="2077"/>
    </row>
    <row r="58" spans="11:19">
      <c r="K58" s="2055"/>
      <c r="L58" s="2055"/>
      <c r="R58" s="1953"/>
      <c r="S58"/>
    </row>
    <row r="59" spans="3:19">
      <c r="C59" s="100"/>
      <c r="K59" s="245"/>
      <c r="L59" s="245"/>
      <c r="M59" s="248" t="s">
        <v>12648</v>
      </c>
      <c r="N59" s="249"/>
      <c r="R59" s="1953"/>
      <c r="S59"/>
    </row>
    <row r="60" spans="3:19">
      <c r="C60" s="100">
        <v>21</v>
      </c>
      <c r="K60" s="245" t="s">
        <v>12649</v>
      </c>
      <c r="L60" s="245"/>
      <c r="M60" s="100" t="s">
        <v>12650</v>
      </c>
      <c r="N60" s="249" t="s">
        <v>12651</v>
      </c>
      <c r="P60" t="s">
        <v>12652</v>
      </c>
      <c r="Q60" s="724">
        <v>0.05</v>
      </c>
      <c r="R60" s="1953"/>
      <c r="S60"/>
    </row>
    <row r="61" spans="3:19">
      <c r="C61" s="100">
        <v>22</v>
      </c>
      <c r="K61" s="2056" t="s">
        <v>12653</v>
      </c>
      <c r="L61" s="245"/>
      <c r="M61" s="100" t="s">
        <v>12654</v>
      </c>
      <c r="N61" s="249"/>
      <c r="P61" t="s">
        <v>12655</v>
      </c>
      <c r="Q61" s="724">
        <v>0.1</v>
      </c>
      <c r="R61" s="1953"/>
      <c r="S61"/>
    </row>
    <row r="62" spans="3:19">
      <c r="C62" s="100">
        <v>23</v>
      </c>
      <c r="K62" s="245" t="s">
        <v>12656</v>
      </c>
      <c r="L62" s="245"/>
      <c r="M62" s="100" t="s">
        <v>12657</v>
      </c>
      <c r="N62" s="249">
        <v>0.02</v>
      </c>
      <c r="Q62" s="724">
        <v>0.15</v>
      </c>
      <c r="R62" s="1953"/>
      <c r="S62"/>
    </row>
    <row r="63" spans="3:19">
      <c r="C63" s="100"/>
      <c r="K63" s="245"/>
      <c r="L63" s="245"/>
      <c r="M63" s="100" t="s">
        <v>12658</v>
      </c>
      <c r="N63" s="249">
        <v>0.4</v>
      </c>
      <c r="Q63" s="724"/>
      <c r="R63" s="1953"/>
      <c r="S63"/>
    </row>
    <row r="64" spans="3:19">
      <c r="C64" s="100"/>
      <c r="K64" s="245"/>
      <c r="L64" s="245"/>
      <c r="M64" s="100" t="s">
        <v>12659</v>
      </c>
      <c r="N64" s="249">
        <v>0.04</v>
      </c>
      <c r="Q64" s="724"/>
      <c r="R64" s="1953"/>
      <c r="S64"/>
    </row>
    <row r="65" spans="3:19">
      <c r="C65" s="100">
        <v>24</v>
      </c>
      <c r="K65" s="245" t="s">
        <v>12660</v>
      </c>
      <c r="L65" s="245"/>
      <c r="M65" s="100" t="s">
        <v>12661</v>
      </c>
      <c r="N65" s="100">
        <v>0.15</v>
      </c>
      <c r="Q65" s="724">
        <v>0.25</v>
      </c>
      <c r="R65" s="1953"/>
      <c r="S65"/>
    </row>
    <row r="66" spans="3:19">
      <c r="C66" s="100">
        <v>25</v>
      </c>
      <c r="K66" s="245" t="s">
        <v>12662</v>
      </c>
      <c r="L66" s="245"/>
      <c r="P66" t="s">
        <v>12663</v>
      </c>
      <c r="Q66" s="724">
        <v>0.3</v>
      </c>
      <c r="R66" s="1953"/>
      <c r="S66"/>
    </row>
    <row r="67" spans="3:19">
      <c r="C67" s="100">
        <v>26</v>
      </c>
      <c r="K67" s="245" t="s">
        <v>12660</v>
      </c>
      <c r="L67" s="245"/>
      <c r="M67" s="100" t="s">
        <v>12650</v>
      </c>
      <c r="R67" s="1953"/>
      <c r="S67"/>
    </row>
    <row r="68" spans="3:19">
      <c r="C68" s="2078" t="s">
        <v>12664</v>
      </c>
      <c r="K68" s="249" t="s">
        <v>12665</v>
      </c>
      <c r="L68" s="245"/>
      <c r="M68" s="249"/>
      <c r="R68" s="1953"/>
      <c r="S68"/>
    </row>
    <row r="71" spans="3:3">
      <c r="C71" s="228"/>
    </row>
    <row r="72" spans="3:3">
      <c r="C72" s="228"/>
    </row>
  </sheetData>
  <mergeCells count="8">
    <mergeCell ref="G10:H10"/>
    <mergeCell ref="M10:N10"/>
    <mergeCell ref="R10:S10"/>
    <mergeCell ref="R11:S11"/>
    <mergeCell ref="D10:D12"/>
    <mergeCell ref="Q5:Q6"/>
    <mergeCell ref="R5:R6"/>
    <mergeCell ref="S5:S6"/>
  </mergeCells>
  <hyperlinks>
    <hyperlink ref="C8" location="'F3'!A1" display="Hutang Pajak"/>
  </hyperlinks>
  <printOptions horizontalCentered="1"/>
  <pageMargins left="0.905511811023622" right="0.511811023622047" top="0.905511811023622" bottom="0.511811023622047" header="0.511811023622047" footer="0.511811023622047"/>
  <pageSetup paperSize="9" scale="54" orientation="portrait"/>
  <headerFooter alignWithMargins="0">
    <oddFooter>&amp;R&amp;"Arial,Bold"&amp;28FF</oddFooter>
  </headerFooter>
  <drawing r:id="rId1"/>
  <legacyDrawing r:id="rId2"/>
  <oleObjects>
    <mc:AlternateContent xmlns:mc="http://schemas.openxmlformats.org/markup-compatibility/2006">
      <mc:Choice Requires="x14">
        <oleObject shapeId="69640" progId="Paint.Picture" r:id="rId3">
          <objectPr defaultSize="0" r:id="rId4">
            <anchor moveWithCells="1">
              <from>
                <xdr:col>1</xdr:col>
                <xdr:colOff>158750</xdr:colOff>
                <xdr:row>27</xdr:row>
                <xdr:rowOff>12700</xdr:rowOff>
              </from>
              <to>
                <xdr:col>1</xdr:col>
                <xdr:colOff>330200</xdr:colOff>
                <xdr:row>28</xdr:row>
                <xdr:rowOff>0</xdr:rowOff>
              </to>
            </anchor>
          </objectPr>
        </oleObject>
      </mc:Choice>
      <mc:Fallback>
        <oleObject shapeId="69640" progId="Paint.Picture" r:id="rId3"/>
      </mc:Fallback>
    </mc:AlternateContent>
    <mc:AlternateContent xmlns:mc="http://schemas.openxmlformats.org/markup-compatibility/2006">
      <mc:Choice Requires="x14">
        <oleObject shapeId="69641" progId="Paint.Picture" r:id="rId5">
          <objectPr defaultSize="0" r:id="rId6">
            <anchor moveWithCells="1">
              <from>
                <xdr:col>1</xdr:col>
                <xdr:colOff>196850</xdr:colOff>
                <xdr:row>25</xdr:row>
                <xdr:rowOff>146050</xdr:rowOff>
              </from>
              <to>
                <xdr:col>1</xdr:col>
                <xdr:colOff>355600</xdr:colOff>
                <xdr:row>26</xdr:row>
                <xdr:rowOff>139700</xdr:rowOff>
              </to>
            </anchor>
          </objectPr>
        </oleObject>
      </mc:Choice>
      <mc:Fallback>
        <oleObject shapeId="69641" progId="Paint.Picture" r:id="rId5"/>
      </mc:Fallback>
    </mc:AlternateContent>
    <mc:AlternateContent xmlns:mc="http://schemas.openxmlformats.org/markup-compatibility/2006">
      <mc:Choice Requires="x14">
        <oleObject shapeId="69642" progId="Paint.Picture" r:id="rId7">
          <objectPr defaultSize="0" r:id="rId8">
            <anchor moveWithCells="1">
              <from>
                <xdr:col>1</xdr:col>
                <xdr:colOff>158750</xdr:colOff>
                <xdr:row>28</xdr:row>
                <xdr:rowOff>19050</xdr:rowOff>
              </from>
              <to>
                <xdr:col>1</xdr:col>
                <xdr:colOff>323850</xdr:colOff>
                <xdr:row>29</xdr:row>
                <xdr:rowOff>0</xdr:rowOff>
              </to>
            </anchor>
          </objectPr>
        </oleObject>
      </mc:Choice>
      <mc:Fallback>
        <oleObject shapeId="69642" progId="Paint.Picture" r:id="rId7"/>
      </mc:Fallback>
    </mc:AlternateContent>
    <mc:AlternateContent xmlns:mc="http://schemas.openxmlformats.org/markup-compatibility/2006">
      <mc:Choice Requires="x14">
        <oleObject shapeId="69684" progId="Paint.Picture" r:id="rId9">
          <objectPr defaultSize="0" r:id="rId8">
            <anchor moveWithCells="1">
              <from>
                <xdr:col>9</xdr:col>
                <xdr:colOff>133350</xdr:colOff>
                <xdr:row>23</xdr:row>
                <xdr:rowOff>88900</xdr:rowOff>
              </from>
              <to>
                <xdr:col>9</xdr:col>
                <xdr:colOff>304800</xdr:colOff>
                <xdr:row>24</xdr:row>
                <xdr:rowOff>101600</xdr:rowOff>
              </to>
            </anchor>
          </objectPr>
        </oleObject>
      </mc:Choice>
      <mc:Fallback>
        <oleObject shapeId="69684" progId="Paint.Picture" r:id="rId9"/>
      </mc:Fallback>
    </mc:AlternateContent>
  </oleObjects>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0"/>
  <dimension ref="B2:I32"/>
  <sheetViews>
    <sheetView showGridLines="0" zoomScale="115" zoomScaleNormal="115" workbookViewId="0">
      <selection activeCell="B9" sqref="B9:I27"/>
    </sheetView>
  </sheetViews>
  <sheetFormatPr defaultColWidth="9.13541666666667" defaultRowHeight="13.2"/>
  <cols>
    <col min="1" max="1" width="3.14583333333333" style="1919" customWidth="1"/>
    <col min="2" max="2" width="12.4375" style="1920" customWidth="1"/>
    <col min="3" max="3" width="48.3958333333333" style="1921" customWidth="1"/>
    <col min="4" max="4" width="17.9791666666667" style="1919" customWidth="1"/>
    <col min="5" max="5" width="20.2291666666667" style="1919" customWidth="1"/>
    <col min="6" max="7" width="12.7395833333333" style="1922" customWidth="1"/>
    <col min="8" max="8" width="11.9895833333333" style="1919" customWidth="1"/>
    <col min="9" max="9" width="9.13541666666667" style="1919"/>
    <col min="10" max="10" width="15.1354166666667" style="1919" customWidth="1"/>
    <col min="11" max="11" width="13.3333333333333" style="1919" customWidth="1"/>
    <col min="12" max="16384" width="9.13541666666667" style="1919"/>
  </cols>
  <sheetData>
    <row r="2" ht="21" spans="2:9">
      <c r="B2" s="1499" t="str">
        <f>G!C2</f>
        <v>KAP LIASTA NIRWAN SYAFRUDIN &amp; REKAN</v>
      </c>
      <c r="C2" s="731"/>
      <c r="D2" s="731"/>
      <c r="E2" s="1923"/>
      <c r="F2" s="731" t="s">
        <v>481</v>
      </c>
      <c r="G2" s="765" t="s">
        <v>482</v>
      </c>
      <c r="H2" s="766" t="s">
        <v>483</v>
      </c>
      <c r="I2" s="101"/>
    </row>
    <row r="3" ht="15.6" spans="2:9">
      <c r="B3" s="1500"/>
      <c r="C3" s="1501"/>
      <c r="D3" s="1502"/>
      <c r="E3" s="1924"/>
      <c r="F3" s="738"/>
      <c r="G3" s="767">
        <v>45193</v>
      </c>
      <c r="H3" s="768" t="s">
        <v>665</v>
      </c>
      <c r="I3" s="1952"/>
    </row>
    <row r="4" spans="2:9">
      <c r="B4" s="1699"/>
      <c r="C4" s="1548"/>
      <c r="D4" s="1548"/>
      <c r="E4" s="750"/>
      <c r="F4" s="742" t="s">
        <v>487</v>
      </c>
      <c r="G4" s="769" t="s">
        <v>482</v>
      </c>
      <c r="H4" s="1471" t="s">
        <v>488</v>
      </c>
      <c r="I4" s="101"/>
    </row>
    <row r="5" spans="2:9">
      <c r="B5" s="1546" t="s">
        <v>677</v>
      </c>
      <c r="C5" s="1547" t="str">
        <f>+E!C4</f>
        <v>PT INTAN GIRI ABADI</v>
      </c>
      <c r="D5" s="1547"/>
      <c r="E5" s="1925"/>
      <c r="F5" s="746"/>
      <c r="G5" s="1473"/>
      <c r="H5" s="1473"/>
      <c r="I5" s="101"/>
    </row>
    <row r="6" spans="2:9">
      <c r="B6" s="775"/>
      <c r="C6" s="753"/>
      <c r="D6" s="753"/>
      <c r="E6" s="1599"/>
      <c r="F6" s="1592"/>
      <c r="G6" s="771"/>
      <c r="H6" s="771"/>
      <c r="I6" s="101"/>
    </row>
    <row r="7" spans="2:9">
      <c r="B7" s="773"/>
      <c r="C7" s="742"/>
      <c r="D7" s="742"/>
      <c r="E7" s="770"/>
      <c r="F7" s="742"/>
      <c r="G7" s="773"/>
      <c r="H7" s="774" t="s">
        <v>491</v>
      </c>
      <c r="I7" s="1468"/>
    </row>
    <row r="8" spans="2:9">
      <c r="B8" s="1549" t="s">
        <v>12666</v>
      </c>
      <c r="C8" s="1550"/>
      <c r="D8" s="753"/>
      <c r="E8" s="1599"/>
      <c r="F8" s="753"/>
      <c r="G8" s="775"/>
      <c r="H8" s="776">
        <v>44926</v>
      </c>
      <c r="I8" s="1468"/>
    </row>
    <row r="9" ht="13.95" spans="2:5">
      <c r="B9" s="1926"/>
      <c r="E9" s="1927"/>
    </row>
    <row r="10" spans="2:8">
      <c r="B10" s="1928" t="s">
        <v>971</v>
      </c>
      <c r="C10" s="1929" t="s">
        <v>12667</v>
      </c>
      <c r="D10" s="1929" t="s">
        <v>151</v>
      </c>
      <c r="E10" s="1929" t="s">
        <v>12668</v>
      </c>
      <c r="F10" s="1929" t="s">
        <v>12669</v>
      </c>
      <c r="G10" s="1929" t="s">
        <v>12670</v>
      </c>
      <c r="H10" s="1930" t="s">
        <v>12671</v>
      </c>
    </row>
    <row r="11" spans="2:8">
      <c r="B11" s="1931"/>
      <c r="C11" s="1932"/>
      <c r="D11" s="1932" t="s">
        <v>12672</v>
      </c>
      <c r="E11" s="1932"/>
      <c r="F11" s="1933"/>
      <c r="G11" s="1933"/>
      <c r="H11" s="1934"/>
    </row>
    <row r="12" spans="2:8">
      <c r="B12" s="1935"/>
      <c r="C12" s="1936"/>
      <c r="D12" s="1937"/>
      <c r="E12" s="1937"/>
      <c r="F12" s="1938"/>
      <c r="G12" s="1938"/>
      <c r="H12" s="1939"/>
    </row>
    <row r="13" spans="2:8">
      <c r="B13" s="1935" t="s">
        <v>12673</v>
      </c>
      <c r="C13" s="1940"/>
      <c r="D13" s="1940"/>
      <c r="E13" s="1937">
        <v>0</v>
      </c>
      <c r="F13" s="1941"/>
      <c r="G13" s="1941"/>
      <c r="H13" s="1942"/>
    </row>
    <row r="14" spans="2:8">
      <c r="B14" s="1935" t="s">
        <v>12674</v>
      </c>
      <c r="C14" s="1940"/>
      <c r="D14" s="1940"/>
      <c r="E14" s="1937">
        <v>0</v>
      </c>
      <c r="F14" s="1941"/>
      <c r="G14" s="1941"/>
      <c r="H14" s="1942"/>
    </row>
    <row r="15" spans="2:8">
      <c r="B15" s="1935" t="s">
        <v>12675</v>
      </c>
      <c r="C15" s="1940"/>
      <c r="D15" s="1937"/>
      <c r="E15" s="1937">
        <v>0</v>
      </c>
      <c r="F15" s="1941"/>
      <c r="G15" s="1941"/>
      <c r="H15" s="1942"/>
    </row>
    <row r="16" spans="2:8">
      <c r="B16" s="1935" t="s">
        <v>1046</v>
      </c>
      <c r="C16" s="1940"/>
      <c r="D16" s="1937"/>
      <c r="E16" s="1937">
        <v>0</v>
      </c>
      <c r="F16" s="1941"/>
      <c r="G16" s="1941"/>
      <c r="H16" s="1942"/>
    </row>
    <row r="17" spans="2:8">
      <c r="B17" s="1935" t="s">
        <v>12676</v>
      </c>
      <c r="C17" s="1940"/>
      <c r="D17" s="1937"/>
      <c r="E17" s="1937">
        <v>0</v>
      </c>
      <c r="F17" s="1941"/>
      <c r="G17" s="1941"/>
      <c r="H17" s="1942"/>
    </row>
    <row r="18" spans="2:8">
      <c r="B18" s="1935" t="s">
        <v>12677</v>
      </c>
      <c r="C18" s="1940"/>
      <c r="D18" s="1937"/>
      <c r="E18" s="1937">
        <v>0</v>
      </c>
      <c r="F18" s="1941"/>
      <c r="G18" s="1941"/>
      <c r="H18" s="1942"/>
    </row>
    <row r="19" spans="2:8">
      <c r="B19" s="1935" t="s">
        <v>12678</v>
      </c>
      <c r="C19" s="1940"/>
      <c r="D19" s="1937"/>
      <c r="E19" s="1937">
        <v>0</v>
      </c>
      <c r="F19" s="1941"/>
      <c r="G19" s="1941"/>
      <c r="H19" s="1942"/>
    </row>
    <row r="20" spans="2:8">
      <c r="B20" s="1935" t="s">
        <v>12679</v>
      </c>
      <c r="C20" s="1940"/>
      <c r="D20" s="1937"/>
      <c r="E20" s="1937">
        <v>0</v>
      </c>
      <c r="F20" s="1941"/>
      <c r="G20" s="1941"/>
      <c r="H20" s="1942"/>
    </row>
    <row r="21" spans="2:8">
      <c r="B21" s="1935" t="s">
        <v>12680</v>
      </c>
      <c r="C21" s="1940"/>
      <c r="E21" s="1937">
        <v>0</v>
      </c>
      <c r="F21" s="1941"/>
      <c r="G21" s="1941"/>
      <c r="H21" s="1942"/>
    </row>
    <row r="22" spans="2:8">
      <c r="B22" s="1935" t="s">
        <v>12681</v>
      </c>
      <c r="C22" s="1940"/>
      <c r="D22" s="1937"/>
      <c r="E22" s="1937">
        <v>0</v>
      </c>
      <c r="F22" s="1941"/>
      <c r="G22" s="1941"/>
      <c r="H22" s="1942"/>
    </row>
    <row r="23" spans="2:8">
      <c r="B23" s="1935"/>
      <c r="C23" s="1937"/>
      <c r="D23" s="1937"/>
      <c r="F23" s="1941"/>
      <c r="G23" s="1941"/>
      <c r="H23" s="1939"/>
    </row>
    <row r="24" spans="2:8">
      <c r="B24" s="1935"/>
      <c r="C24" s="1919"/>
      <c r="D24" s="1937"/>
      <c r="E24" s="1937"/>
      <c r="F24" s="1938"/>
      <c r="G24" s="1938"/>
      <c r="H24" s="1939"/>
    </row>
    <row r="25" spans="2:8">
      <c r="B25" s="1943" t="s">
        <v>675</v>
      </c>
      <c r="C25" s="1944"/>
      <c r="D25" s="1945">
        <f>SUM(D13:D24)</f>
        <v>0</v>
      </c>
      <c r="E25" s="1945">
        <f>SUM(E13:E24)</f>
        <v>0</v>
      </c>
      <c r="F25" s="1946"/>
      <c r="G25" s="1946"/>
      <c r="H25" s="1947"/>
    </row>
    <row r="27" ht="13.8" spans="2:2">
      <c r="B27" s="5152" t="s">
        <v>12682</v>
      </c>
    </row>
    <row r="28" spans="4:5">
      <c r="D28" s="1921"/>
      <c r="E28" s="1949"/>
    </row>
    <row r="29" spans="2:5">
      <c r="B29" s="5153" t="s">
        <v>12683</v>
      </c>
      <c r="C29"/>
      <c r="D29" s="1468"/>
      <c r="E29" s="1468"/>
    </row>
    <row r="30" spans="2:5">
      <c r="B30" s="1462" t="s">
        <v>12684</v>
      </c>
      <c r="C30" s="1462"/>
      <c r="D30" s="1950"/>
      <c r="E30" s="1950">
        <f>E25</f>
        <v>0</v>
      </c>
    </row>
    <row r="31" spans="2:5">
      <c r="B31" t="s">
        <v>11930</v>
      </c>
      <c r="C31"/>
      <c r="D31" s="1951" t="s">
        <v>774</v>
      </c>
      <c r="E31" s="1468">
        <f>FF!K15</f>
        <v>0</v>
      </c>
    </row>
    <row r="32" ht="13.95" spans="2:5">
      <c r="B32" s="1465" t="s">
        <v>146</v>
      </c>
      <c r="C32" s="1465"/>
      <c r="D32" s="337"/>
      <c r="E32" s="1497">
        <f>E30-E31</f>
        <v>0</v>
      </c>
    </row>
  </sheetData>
  <mergeCells count="8">
    <mergeCell ref="B25:C25"/>
    <mergeCell ref="B10:B11"/>
    <mergeCell ref="C10:C11"/>
    <mergeCell ref="F10:F11"/>
    <mergeCell ref="G5:G6"/>
    <mergeCell ref="G10:G11"/>
    <mergeCell ref="H5:H6"/>
    <mergeCell ref="H10:H11"/>
  </mergeCells>
  <pageMargins left="0.75" right="0.75" top="1" bottom="1" header="0.5" footer="0.5"/>
  <headerFooter alignWithMargins="0"/>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8"/>
  <dimension ref="A2:AN67"/>
  <sheetViews>
    <sheetView showGridLines="0" workbookViewId="0">
      <pane xSplit="2" ySplit="8" topLeftCell="K9" activePane="bottomRight" state="frozen"/>
      <selection/>
      <selection pane="topRight"/>
      <selection pane="bottomLeft"/>
      <selection pane="bottomRight" activeCell="Q39" sqref="Q39"/>
    </sheetView>
  </sheetViews>
  <sheetFormatPr defaultColWidth="9.13541666666667" defaultRowHeight="11.4"/>
  <cols>
    <col min="1" max="1" width="9.13541666666667" style="1"/>
    <col min="2" max="2" width="6.4375" style="1" customWidth="1"/>
    <col min="3" max="3" width="10.1875" style="1" customWidth="1"/>
    <col min="4" max="4" width="18.4270833333333" style="1" customWidth="1"/>
    <col min="5" max="6" width="16.625" style="1062" customWidth="1"/>
    <col min="7" max="7" width="18.4270833333333" style="1062" customWidth="1"/>
    <col min="8" max="8" width="18.5833333333333" style="1062" customWidth="1"/>
    <col min="9" max="9" width="16.625" style="1062" customWidth="1"/>
    <col min="10" max="10" width="18.4270833333333" style="1062" customWidth="1"/>
    <col min="11" max="11" width="16.9270833333333" style="1" customWidth="1"/>
    <col min="12" max="18" width="16.625" style="1" customWidth="1"/>
    <col min="19" max="19" width="0.75" style="1" customWidth="1"/>
    <col min="20" max="21" width="15.7291666666667" style="1810" customWidth="1"/>
    <col min="22" max="22" width="3.44791666666667" style="1" customWidth="1"/>
    <col min="23" max="23" width="13.3333333333333" style="1" customWidth="1"/>
    <col min="24" max="16384" width="9.13541666666667" style="1"/>
  </cols>
  <sheetData>
    <row r="2" ht="21" spans="2:12">
      <c r="B2" s="1499" t="str">
        <f>FF!B2</f>
        <v>KAP LIASTA NIRWAN SYAFRUDIN &amp; REKAN</v>
      </c>
      <c r="C2" s="731"/>
      <c r="D2" s="731"/>
      <c r="E2" s="731"/>
      <c r="F2" s="731"/>
      <c r="G2" s="731"/>
      <c r="H2" s="731"/>
      <c r="I2" s="746"/>
      <c r="J2" s="731" t="s">
        <v>481</v>
      </c>
      <c r="K2" s="765" t="s">
        <v>482</v>
      </c>
      <c r="L2" s="766" t="s">
        <v>483</v>
      </c>
    </row>
    <row r="3" ht="15.6" spans="2:12">
      <c r="B3" s="1500"/>
      <c r="C3" s="1501"/>
      <c r="D3" s="1502"/>
      <c r="E3" s="1504"/>
      <c r="F3" s="1504"/>
      <c r="G3" s="1505"/>
      <c r="H3" s="1505"/>
      <c r="I3" s="1586"/>
      <c r="J3" s="738" t="s">
        <v>484</v>
      </c>
      <c r="K3" s="767">
        <f>+FF0!G3</f>
        <v>45193</v>
      </c>
      <c r="L3" s="768" t="s">
        <v>12637</v>
      </c>
    </row>
    <row r="4" ht="13.2" spans="2:12">
      <c r="B4" s="1699"/>
      <c r="C4" s="1548"/>
      <c r="D4" s="1548"/>
      <c r="E4" s="1548"/>
      <c r="F4" s="1548"/>
      <c r="G4" s="1548"/>
      <c r="H4" s="1548"/>
      <c r="I4" s="746"/>
      <c r="J4" s="742" t="s">
        <v>487</v>
      </c>
      <c r="K4" s="769" t="s">
        <v>482</v>
      </c>
      <c r="L4" s="770" t="s">
        <v>488</v>
      </c>
    </row>
    <row r="5" ht="13.2" spans="2:12">
      <c r="B5" s="1546" t="s">
        <v>622</v>
      </c>
      <c r="C5" s="1547" t="str">
        <f>FF!C5</f>
        <v>PT INTAN GIRI ABADI</v>
      </c>
      <c r="D5" s="1547"/>
      <c r="E5" s="1547"/>
      <c r="F5" s="1547"/>
      <c r="G5" s="1547"/>
      <c r="H5" s="1547"/>
      <c r="I5" s="746"/>
      <c r="J5" s="746"/>
      <c r="K5" s="1473"/>
      <c r="L5" s="1474"/>
    </row>
    <row r="6" ht="13.2" spans="2:26">
      <c r="B6" s="775"/>
      <c r="C6" s="753"/>
      <c r="D6" s="753"/>
      <c r="E6" s="753"/>
      <c r="F6" s="753"/>
      <c r="G6" s="753"/>
      <c r="H6" s="753"/>
      <c r="I6" s="1592"/>
      <c r="J6" s="1592"/>
      <c r="K6" s="771"/>
      <c r="L6" s="772"/>
      <c r="M6" s="1845"/>
      <c r="N6" s="1845"/>
      <c r="O6" s="1845"/>
      <c r="P6" s="1845"/>
      <c r="Q6" s="1845"/>
      <c r="R6" s="1845"/>
      <c r="S6" s="1845"/>
      <c r="T6" s="1876"/>
      <c r="U6" s="1877"/>
      <c r="V6" s="1845"/>
      <c r="W6" s="1845"/>
      <c r="X6" s="1845"/>
      <c r="Y6" s="1845"/>
      <c r="Z6" s="1845"/>
    </row>
    <row r="7" spans="2:26">
      <c r="B7" s="773"/>
      <c r="C7" s="742"/>
      <c r="D7" s="742"/>
      <c r="E7" s="742"/>
      <c r="F7" s="742"/>
      <c r="G7" s="742"/>
      <c r="H7" s="742"/>
      <c r="I7" s="770"/>
      <c r="J7" s="742"/>
      <c r="K7" s="773"/>
      <c r="L7" s="774" t="s">
        <v>491</v>
      </c>
      <c r="M7" s="1845"/>
      <c r="N7" s="1845"/>
      <c r="O7" s="1845"/>
      <c r="P7" s="1845"/>
      <c r="Q7" s="1845"/>
      <c r="R7" s="1845"/>
      <c r="S7" s="1845"/>
      <c r="T7" s="1876"/>
      <c r="U7" s="1877"/>
      <c r="V7" s="1845"/>
      <c r="W7" s="1845"/>
      <c r="X7" s="1845"/>
      <c r="Y7" s="1845"/>
      <c r="Z7" s="1845"/>
    </row>
    <row r="8" ht="12" spans="2:26">
      <c r="B8" s="1549" t="s">
        <v>623</v>
      </c>
      <c r="C8" s="1550" t="s">
        <v>12685</v>
      </c>
      <c r="D8" s="753"/>
      <c r="E8" s="753"/>
      <c r="F8" s="753"/>
      <c r="G8" s="753"/>
      <c r="H8" s="753"/>
      <c r="I8" s="1599"/>
      <c r="J8" s="753"/>
      <c r="K8" s="775"/>
      <c r="L8" s="776">
        <f>+FF0!H8</f>
        <v>44926</v>
      </c>
      <c r="M8" s="1845"/>
      <c r="N8" s="1845"/>
      <c r="O8" s="1845"/>
      <c r="P8" s="1845"/>
      <c r="Q8" s="1845"/>
      <c r="R8" s="1845"/>
      <c r="S8" s="1845"/>
      <c r="T8" s="1876"/>
      <c r="U8" s="1877"/>
      <c r="V8" s="1845"/>
      <c r="W8" s="1845"/>
      <c r="X8" s="1845"/>
      <c r="Y8" s="1845"/>
      <c r="Z8" s="1845"/>
    </row>
    <row r="9" spans="2:26">
      <c r="B9" s="1811"/>
      <c r="C9" s="1811"/>
      <c r="D9" s="1811"/>
      <c r="E9" s="1811"/>
      <c r="F9" s="1811"/>
      <c r="G9" s="1811"/>
      <c r="H9" s="1811"/>
      <c r="I9" s="1811"/>
      <c r="J9" s="1811"/>
      <c r="K9" s="1811"/>
      <c r="L9" s="1811"/>
      <c r="M9" s="1845"/>
      <c r="N9" s="1845"/>
      <c r="O9" s="1845"/>
      <c r="P9" s="1845"/>
      <c r="Q9" s="1845"/>
      <c r="R9" s="1845"/>
      <c r="S9" s="1845"/>
      <c r="T9" s="1876"/>
      <c r="U9" s="1877"/>
      <c r="V9" s="1845"/>
      <c r="W9" s="1845"/>
      <c r="X9" s="1845"/>
      <c r="Y9" s="1845"/>
      <c r="Z9" s="1845"/>
    </row>
    <row r="10" s="1806" customFormat="1" ht="13.2" spans="2:26">
      <c r="B10" s="1812"/>
      <c r="C10" s="5154" t="s">
        <v>12686</v>
      </c>
      <c r="D10" s="1814"/>
      <c r="E10" s="1814"/>
      <c r="F10" s="1814"/>
      <c r="G10" s="1814"/>
      <c r="H10" s="1814"/>
      <c r="I10" s="1814"/>
      <c r="J10" s="1814"/>
      <c r="K10" s="1846" t="s">
        <v>12687</v>
      </c>
      <c r="L10" s="1846"/>
      <c r="M10" s="1846"/>
      <c r="N10" s="1846"/>
      <c r="O10" s="1846"/>
      <c r="P10" s="1846"/>
      <c r="Q10" s="1846"/>
      <c r="R10" s="1846"/>
      <c r="S10" s="1878"/>
      <c r="T10" s="1879"/>
      <c r="U10" s="1879"/>
      <c r="V10" s="1838"/>
      <c r="W10" s="1838"/>
      <c r="X10" s="1838"/>
      <c r="Y10" s="1838"/>
      <c r="Z10" s="1838"/>
    </row>
    <row r="11" s="1806" customFormat="1" ht="13.2" spans="2:26">
      <c r="B11" s="5155" t="s">
        <v>451</v>
      </c>
      <c r="C11" s="5154" t="s">
        <v>12688</v>
      </c>
      <c r="D11" s="1814"/>
      <c r="E11" s="1814"/>
      <c r="F11" s="1814"/>
      <c r="G11" s="1814"/>
      <c r="I11" s="1817"/>
      <c r="J11" s="1847" t="s">
        <v>151</v>
      </c>
      <c r="K11" s="1846" t="s">
        <v>12689</v>
      </c>
      <c r="L11" s="1846"/>
      <c r="M11" s="1846"/>
      <c r="N11" s="1846"/>
      <c r="P11" s="1848" t="s">
        <v>12690</v>
      </c>
      <c r="Q11" s="1848" t="s">
        <v>12691</v>
      </c>
      <c r="R11" s="1880" t="s">
        <v>12692</v>
      </c>
      <c r="S11" s="1812"/>
      <c r="T11" s="1881"/>
      <c r="U11" s="1881"/>
      <c r="V11" s="1838"/>
      <c r="W11" s="1838"/>
      <c r="X11" s="1838"/>
      <c r="Y11" s="1838"/>
      <c r="Z11" s="1838"/>
    </row>
    <row r="12" s="1806" customFormat="1" ht="13.2" spans="2:26">
      <c r="B12" s="1815" t="s">
        <v>971</v>
      </c>
      <c r="C12" s="1816"/>
      <c r="D12" s="1816" t="s">
        <v>12693</v>
      </c>
      <c r="E12" s="1816" t="s">
        <v>12694</v>
      </c>
      <c r="F12" s="1816" t="s">
        <v>12695</v>
      </c>
      <c r="G12" s="1816" t="s">
        <v>12696</v>
      </c>
      <c r="H12" s="1817"/>
      <c r="I12" s="1816" t="s">
        <v>12697</v>
      </c>
      <c r="J12" s="1847" t="s">
        <v>12698</v>
      </c>
      <c r="K12" s="1849" t="s">
        <v>12693</v>
      </c>
      <c r="L12" s="1849" t="s">
        <v>12694</v>
      </c>
      <c r="M12" s="1849" t="s">
        <v>12695</v>
      </c>
      <c r="N12" s="1849" t="s">
        <v>12696</v>
      </c>
      <c r="O12" s="1849"/>
      <c r="P12" s="1850" t="s">
        <v>971</v>
      </c>
      <c r="Q12" s="1850" t="s">
        <v>12699</v>
      </c>
      <c r="R12" s="1882" t="s">
        <v>12700</v>
      </c>
      <c r="S12" s="1815"/>
      <c r="T12" s="1881" t="s">
        <v>12669</v>
      </c>
      <c r="U12" s="1881" t="s">
        <v>12670</v>
      </c>
      <c r="V12" s="1833"/>
      <c r="W12" s="1838"/>
      <c r="X12" s="1838"/>
      <c r="Y12" s="1838"/>
      <c r="Z12" s="1838"/>
    </row>
    <row r="13" s="1806" customFormat="1" ht="13.2" spans="2:26">
      <c r="B13" s="1818"/>
      <c r="C13" s="1819" t="s">
        <v>12701</v>
      </c>
      <c r="D13" s="1819" t="s">
        <v>12702</v>
      </c>
      <c r="E13" s="1819" t="s">
        <v>12703</v>
      </c>
      <c r="F13" s="1819" t="s">
        <v>12704</v>
      </c>
      <c r="G13" s="1819" t="s">
        <v>12705</v>
      </c>
      <c r="H13" s="1819" t="s">
        <v>151</v>
      </c>
      <c r="I13" s="1819" t="s">
        <v>1169</v>
      </c>
      <c r="J13" s="1851" t="s">
        <v>12706</v>
      </c>
      <c r="K13" s="1852" t="s">
        <v>12702</v>
      </c>
      <c r="L13" s="1852" t="s">
        <v>12703</v>
      </c>
      <c r="M13" s="1852" t="s">
        <v>12704</v>
      </c>
      <c r="N13" s="1852" t="s">
        <v>12705</v>
      </c>
      <c r="O13" s="1852" t="s">
        <v>151</v>
      </c>
      <c r="P13" s="1853" t="s">
        <v>12707</v>
      </c>
      <c r="Q13" s="1853" t="s">
        <v>12708</v>
      </c>
      <c r="R13" s="1883" t="s">
        <v>12709</v>
      </c>
      <c r="S13" s="1818"/>
      <c r="T13" s="1884"/>
      <c r="U13" s="1884"/>
      <c r="V13" s="1838"/>
      <c r="W13" s="1838"/>
      <c r="X13" s="1838"/>
      <c r="Y13" s="1838"/>
      <c r="Z13" s="1838"/>
    </row>
    <row r="14" s="1806" customFormat="1" ht="13.2" spans="2:26">
      <c r="B14" s="1820"/>
      <c r="C14" s="1821"/>
      <c r="D14" s="1821"/>
      <c r="E14" s="1821"/>
      <c r="F14" s="1821"/>
      <c r="G14" s="1821"/>
      <c r="H14" s="1821"/>
      <c r="I14" s="1821"/>
      <c r="J14" s="1821"/>
      <c r="K14" s="1854"/>
      <c r="L14" s="1854"/>
      <c r="M14" s="1854"/>
      <c r="N14" s="1854"/>
      <c r="O14" s="1854"/>
      <c r="P14" s="1855"/>
      <c r="Q14" s="1855"/>
      <c r="R14" s="1885"/>
      <c r="S14" s="1886"/>
      <c r="T14" s="1887"/>
      <c r="U14" s="1887"/>
      <c r="V14" s="1838"/>
      <c r="W14" s="1838"/>
      <c r="X14" s="1838"/>
      <c r="Y14" s="1838"/>
      <c r="Z14" s="1838"/>
    </row>
    <row r="15" s="1806" customFormat="1" ht="13.2" spans="2:26">
      <c r="B15" s="1815"/>
      <c r="C15" s="1816"/>
      <c r="D15" s="1822"/>
      <c r="E15" s="1816"/>
      <c r="F15" s="1816"/>
      <c r="G15" s="1816"/>
      <c r="H15" s="1816"/>
      <c r="I15" s="1816"/>
      <c r="J15" s="1816"/>
      <c r="K15" s="1849"/>
      <c r="L15" s="1849"/>
      <c r="M15" s="1856"/>
      <c r="N15" s="1856"/>
      <c r="O15" s="1856"/>
      <c r="P15" s="1857"/>
      <c r="Q15" s="1857"/>
      <c r="R15" s="1888"/>
      <c r="S15" s="1889"/>
      <c r="T15" s="1881"/>
      <c r="U15" s="1881"/>
      <c r="V15" s="1838"/>
      <c r="W15" s="1838"/>
      <c r="X15" s="1838"/>
      <c r="Y15" s="1838"/>
      <c r="Z15" s="1838"/>
    </row>
    <row r="16" s="1806" customFormat="1" ht="13.2" spans="1:26">
      <c r="A16" s="1823">
        <v>1</v>
      </c>
      <c r="B16" s="5156" t="s">
        <v>12710</v>
      </c>
      <c r="C16" s="1824"/>
      <c r="D16" s="1822">
        <f>SUMIF('1022'!$A$10:$A$112,'FF1'!A16,'1022'!$I$10:$I$112)</f>
        <v>229124500</v>
      </c>
      <c r="E16" s="1822">
        <f>SUMIF('1022'!$A$10:$A$112,'FF1'!A16,'1022'!$L$10:$L$112)/10%</f>
        <v>0</v>
      </c>
      <c r="F16" s="1822"/>
      <c r="G16" s="1822">
        <v>0</v>
      </c>
      <c r="H16" s="1822">
        <f t="shared" ref="H16:H27" si="0">SUM(C16:G16)</f>
        <v>229124500</v>
      </c>
      <c r="I16" s="1822"/>
      <c r="J16" s="1822">
        <f t="shared" ref="J16:J27" si="1">SUM(H16:I16)</f>
        <v>229124500</v>
      </c>
      <c r="K16" s="1858">
        <f>ROUND((D16*10%),0)</f>
        <v>22912450</v>
      </c>
      <c r="L16" s="1858">
        <f t="shared" ref="L16:N27" si="2">ROUND((E16*10%),0)</f>
        <v>0</v>
      </c>
      <c r="M16" s="1858">
        <f t="shared" si="2"/>
        <v>0</v>
      </c>
      <c r="N16" s="1858">
        <f t="shared" si="2"/>
        <v>0</v>
      </c>
      <c r="O16" s="1858">
        <f t="shared" ref="O16:O27" si="3">SUM(K16:N16)</f>
        <v>22912450</v>
      </c>
      <c r="P16" s="1857"/>
      <c r="Q16" s="1857"/>
      <c r="R16" s="1890">
        <f>K16-P16-Q16</f>
        <v>22912450</v>
      </c>
      <c r="S16" s="1891"/>
      <c r="T16" s="1892">
        <v>43148</v>
      </c>
      <c r="U16" s="1892">
        <v>43151</v>
      </c>
      <c r="V16" s="1893" t="s">
        <v>974</v>
      </c>
      <c r="W16" s="1875"/>
      <c r="X16" s="1875"/>
      <c r="Y16" s="1875"/>
      <c r="Z16" s="1875"/>
    </row>
    <row r="17" s="1806" customFormat="1" ht="13.2" spans="1:26">
      <c r="A17" s="1823">
        <v>2</v>
      </c>
      <c r="B17" s="5156" t="s">
        <v>12711</v>
      </c>
      <c r="C17" s="1824"/>
      <c r="D17" s="1822">
        <f>SUMIF('1022'!$A$10:$A$112,'FF1'!A17,'1022'!$I$10:$I$112)</f>
        <v>4593600</v>
      </c>
      <c r="E17" s="1822">
        <f>SUMIF('1022'!$A$10:$A$112,'FF1'!A17,'1022'!$L$10:$L$112)/10%</f>
        <v>0</v>
      </c>
      <c r="F17" s="1822"/>
      <c r="G17" s="1822">
        <v>0</v>
      </c>
      <c r="H17" s="1822">
        <f t="shared" si="0"/>
        <v>4593600</v>
      </c>
      <c r="I17" s="1822"/>
      <c r="J17" s="1822">
        <f t="shared" si="1"/>
        <v>4593600</v>
      </c>
      <c r="K17" s="1858">
        <f t="shared" ref="K17:K27" si="4">ROUND((D17*10%),0)</f>
        <v>459360</v>
      </c>
      <c r="L17" s="1858">
        <f t="shared" si="2"/>
        <v>0</v>
      </c>
      <c r="M17" s="1858">
        <f t="shared" si="2"/>
        <v>0</v>
      </c>
      <c r="N17" s="1858">
        <f t="shared" si="2"/>
        <v>0</v>
      </c>
      <c r="O17" s="1858">
        <f t="shared" si="3"/>
        <v>459360</v>
      </c>
      <c r="P17" s="1857"/>
      <c r="Q17" s="1857"/>
      <c r="R17" s="1890">
        <f>K17-P17-Q17+R16</f>
        <v>23371810</v>
      </c>
      <c r="S17" s="1891"/>
      <c r="T17" s="1892"/>
      <c r="U17" s="1892"/>
      <c r="V17" s="1893" t="s">
        <v>974</v>
      </c>
      <c r="W17" s="1875"/>
      <c r="X17" s="1875"/>
      <c r="Y17" s="1875"/>
      <c r="Z17" s="1875"/>
    </row>
    <row r="18" s="1806" customFormat="1" ht="13.2" spans="1:26">
      <c r="A18" s="1823">
        <v>3</v>
      </c>
      <c r="B18" s="5156" t="s">
        <v>976</v>
      </c>
      <c r="C18" s="1824"/>
      <c r="D18" s="1822">
        <f>SUMIF('1022'!$A$10:$A$112,'FF1'!A18,'1022'!$I$10:$I$112)</f>
        <v>272690916</v>
      </c>
      <c r="E18" s="1822">
        <f>SUMIF('1022'!$A$10:$A$112,'FF1'!A18,'1022'!$L$10:$L$112)/10%</f>
        <v>41034660</v>
      </c>
      <c r="F18" s="1822"/>
      <c r="G18" s="1822">
        <v>0</v>
      </c>
      <c r="H18" s="1822">
        <f t="shared" si="0"/>
        <v>313725576</v>
      </c>
      <c r="I18" s="1822"/>
      <c r="J18" s="1822">
        <f t="shared" si="1"/>
        <v>313725576</v>
      </c>
      <c r="K18" s="1858">
        <f t="shared" si="4"/>
        <v>27269092</v>
      </c>
      <c r="L18" s="1858">
        <f t="shared" si="2"/>
        <v>4103466</v>
      </c>
      <c r="M18" s="1858">
        <f t="shared" si="2"/>
        <v>0</v>
      </c>
      <c r="N18" s="1858">
        <f>ROUND(C18*10%,0)</f>
        <v>0</v>
      </c>
      <c r="O18" s="1858">
        <f t="shared" si="3"/>
        <v>31372558</v>
      </c>
      <c r="P18" s="1857"/>
      <c r="Q18" s="1857"/>
      <c r="R18" s="1890">
        <f t="shared" ref="R18:R28" si="5">K18-P18-Q18+R17</f>
        <v>50640902</v>
      </c>
      <c r="S18" s="1891"/>
      <c r="T18" s="1892"/>
      <c r="U18" s="1892"/>
      <c r="V18" s="1893" t="s">
        <v>974</v>
      </c>
      <c r="W18" s="1875"/>
      <c r="X18" s="1875"/>
      <c r="Y18" s="1875"/>
      <c r="Z18" s="1875"/>
    </row>
    <row r="19" s="1806" customFormat="1" ht="13.2" spans="1:26">
      <c r="A19" s="1823">
        <v>4</v>
      </c>
      <c r="B19" s="5156" t="s">
        <v>977</v>
      </c>
      <c r="C19" s="1825"/>
      <c r="D19" s="1822">
        <f>SUMIF('1022'!$A$10:$A$112,'FF1'!A19,'1022'!$I$10:$I$112)</f>
        <v>448344892</v>
      </c>
      <c r="E19" s="1822">
        <f>SUMIF('1022'!$A$10:$A$112,'FF1'!A19,'1022'!$L$10:$L$112)/10%</f>
        <v>44636230</v>
      </c>
      <c r="F19" s="1822"/>
      <c r="G19" s="1822">
        <v>0</v>
      </c>
      <c r="H19" s="1822">
        <f t="shared" si="0"/>
        <v>492981122</v>
      </c>
      <c r="I19" s="1822"/>
      <c r="J19" s="1822">
        <f t="shared" si="1"/>
        <v>492981122</v>
      </c>
      <c r="K19" s="1858">
        <f t="shared" si="4"/>
        <v>44834489</v>
      </c>
      <c r="L19" s="1858">
        <f t="shared" si="2"/>
        <v>4463623</v>
      </c>
      <c r="M19" s="1858">
        <f t="shared" si="2"/>
        <v>0</v>
      </c>
      <c r="N19" s="1858">
        <f>ROUND(C19*10%,0)</f>
        <v>0</v>
      </c>
      <c r="O19" s="1858">
        <f t="shared" si="3"/>
        <v>49298112</v>
      </c>
      <c r="P19" s="1857"/>
      <c r="Q19" s="1857"/>
      <c r="R19" s="1890">
        <f t="shared" si="5"/>
        <v>95475391</v>
      </c>
      <c r="S19" s="1891"/>
      <c r="T19" s="1892"/>
      <c r="U19" s="1892"/>
      <c r="V19" s="1893" t="s">
        <v>974</v>
      </c>
      <c r="W19" s="1875"/>
      <c r="X19" s="1875"/>
      <c r="Y19" s="1875"/>
      <c r="Z19" s="1875"/>
    </row>
    <row r="20" s="1806" customFormat="1" ht="13.2" spans="1:26">
      <c r="A20" s="1823">
        <v>5</v>
      </c>
      <c r="B20" s="1820" t="s">
        <v>12712</v>
      </c>
      <c r="C20" s="1824"/>
      <c r="D20" s="1822">
        <f>SUMIF('1022'!$A$10:$A$112,'FF1'!A20,'1022'!$I$10:$I$112)</f>
        <v>86421000</v>
      </c>
      <c r="E20" s="1822">
        <f>SUMIF('1022'!$A$10:$A$112,'FF1'!A20,'1022'!$L$10:$L$112)/10%</f>
        <v>0</v>
      </c>
      <c r="F20" s="1822"/>
      <c r="G20" s="1822">
        <v>0</v>
      </c>
      <c r="H20" s="1822">
        <f t="shared" si="0"/>
        <v>86421000</v>
      </c>
      <c r="I20" s="1822"/>
      <c r="J20" s="1822">
        <f t="shared" si="1"/>
        <v>86421000</v>
      </c>
      <c r="K20" s="1858">
        <f t="shared" si="4"/>
        <v>8642100</v>
      </c>
      <c r="L20" s="1858">
        <f t="shared" si="2"/>
        <v>0</v>
      </c>
      <c r="M20" s="1858">
        <f t="shared" si="2"/>
        <v>0</v>
      </c>
      <c r="N20" s="1858">
        <f>ROUND((G20*10%),0)</f>
        <v>0</v>
      </c>
      <c r="O20" s="1858">
        <f t="shared" si="3"/>
        <v>8642100</v>
      </c>
      <c r="P20" s="1857"/>
      <c r="Q20" s="1857"/>
      <c r="R20" s="1890">
        <f t="shared" si="5"/>
        <v>104117491</v>
      </c>
      <c r="S20" s="1891"/>
      <c r="T20" s="1892"/>
      <c r="U20" s="1892"/>
      <c r="V20" s="1893" t="s">
        <v>974</v>
      </c>
      <c r="W20" s="1875"/>
      <c r="X20" s="1875"/>
      <c r="Y20" s="1875"/>
      <c r="Z20" s="1875"/>
    </row>
    <row r="21" s="1806" customFormat="1" ht="13.2" spans="1:26">
      <c r="A21" s="1823">
        <v>6</v>
      </c>
      <c r="B21" s="5156" t="s">
        <v>979</v>
      </c>
      <c r="C21" s="1822"/>
      <c r="D21" s="1822">
        <f>SUMIF('1022'!$A$10:$A$112,'FF1'!A21,'1022'!$I$10:$I$112)</f>
        <v>208008960</v>
      </c>
      <c r="E21" s="1822">
        <f>SUMIF('1022'!$A$10:$A$112,'FF1'!A21,'1022'!$L$10:$L$112)/10%</f>
        <v>0</v>
      </c>
      <c r="F21" s="1822"/>
      <c r="G21" s="1822">
        <v>0</v>
      </c>
      <c r="H21" s="1822">
        <f t="shared" si="0"/>
        <v>208008960</v>
      </c>
      <c r="I21" s="1822"/>
      <c r="J21" s="1822">
        <f t="shared" si="1"/>
        <v>208008960</v>
      </c>
      <c r="K21" s="1858">
        <f t="shared" si="4"/>
        <v>20800896</v>
      </c>
      <c r="L21" s="1858">
        <f t="shared" si="2"/>
        <v>0</v>
      </c>
      <c r="M21" s="1858">
        <f t="shared" si="2"/>
        <v>0</v>
      </c>
      <c r="N21" s="1858">
        <f>ROUND(C21*10%,0)</f>
        <v>0</v>
      </c>
      <c r="O21" s="1858">
        <f t="shared" si="3"/>
        <v>20800896</v>
      </c>
      <c r="P21" s="1857"/>
      <c r="Q21" s="1857"/>
      <c r="R21" s="1890">
        <f t="shared" si="5"/>
        <v>124918387</v>
      </c>
      <c r="S21" s="1891"/>
      <c r="T21" s="1892"/>
      <c r="U21" s="1892"/>
      <c r="V21" s="1893" t="s">
        <v>974</v>
      </c>
      <c r="W21" s="1875"/>
      <c r="X21" s="1875"/>
      <c r="Y21" s="1875"/>
      <c r="Z21" s="1875"/>
    </row>
    <row r="22" s="1806" customFormat="1" ht="13.2" spans="1:26">
      <c r="A22" s="1823">
        <v>7</v>
      </c>
      <c r="B22" s="5156" t="s">
        <v>980</v>
      </c>
      <c r="C22" s="1824"/>
      <c r="D22" s="1822">
        <f>SUMIF('1022'!$A$10:$A$112,'FF1'!A22,'1022'!$I$10:$I$112)</f>
        <v>313047000</v>
      </c>
      <c r="E22" s="1822">
        <f>SUMIF('1022'!$A$10:$A$112,'FF1'!A22,'1022'!$L$10:$L$112)/10%</f>
        <v>0</v>
      </c>
      <c r="F22" s="1822"/>
      <c r="G22" s="1822">
        <v>0</v>
      </c>
      <c r="H22" s="1822">
        <f t="shared" si="0"/>
        <v>313047000</v>
      </c>
      <c r="I22" s="1822"/>
      <c r="J22" s="1822">
        <f t="shared" si="1"/>
        <v>313047000</v>
      </c>
      <c r="K22" s="1858">
        <f t="shared" si="4"/>
        <v>31304700</v>
      </c>
      <c r="L22" s="1858">
        <f t="shared" si="2"/>
        <v>0</v>
      </c>
      <c r="M22" s="1858">
        <f t="shared" si="2"/>
        <v>0</v>
      </c>
      <c r="N22" s="1858">
        <f t="shared" si="2"/>
        <v>0</v>
      </c>
      <c r="O22" s="1858">
        <f t="shared" si="3"/>
        <v>31304700</v>
      </c>
      <c r="P22" s="1857"/>
      <c r="Q22" s="1857"/>
      <c r="R22" s="1890">
        <f t="shared" si="5"/>
        <v>156223087</v>
      </c>
      <c r="S22" s="1891"/>
      <c r="T22" s="1892"/>
      <c r="U22" s="1892"/>
      <c r="V22" s="1893" t="s">
        <v>974</v>
      </c>
      <c r="W22" s="1875"/>
      <c r="X22" s="1875"/>
      <c r="Y22" s="1875"/>
      <c r="Z22" s="1875"/>
    </row>
    <row r="23" s="1806" customFormat="1" ht="13.2" spans="1:26">
      <c r="A23" s="1823">
        <v>8</v>
      </c>
      <c r="B23" s="5156" t="s">
        <v>12713</v>
      </c>
      <c r="C23" s="1824"/>
      <c r="D23" s="1822">
        <f>SUMIF('1022'!$A$10:$A$112,'FF1'!A23,'1022'!$I$10:$I$112)</f>
        <v>156528000</v>
      </c>
      <c r="E23" s="1822">
        <f>SUMIF('1022'!$A$10:$A$112,'FF1'!A23,'1022'!$L$10:$L$112)/10%</f>
        <v>0</v>
      </c>
      <c r="F23" s="1822"/>
      <c r="G23" s="1822">
        <v>0</v>
      </c>
      <c r="H23" s="1822">
        <f t="shared" si="0"/>
        <v>156528000</v>
      </c>
      <c r="I23" s="1822"/>
      <c r="J23" s="1822">
        <f t="shared" si="1"/>
        <v>156528000</v>
      </c>
      <c r="K23" s="1858">
        <f t="shared" si="4"/>
        <v>15652800</v>
      </c>
      <c r="L23" s="1858">
        <f t="shared" si="2"/>
        <v>0</v>
      </c>
      <c r="M23" s="1858">
        <f t="shared" si="2"/>
        <v>0</v>
      </c>
      <c r="N23" s="1858">
        <f t="shared" si="2"/>
        <v>0</v>
      </c>
      <c r="O23" s="1858">
        <f t="shared" si="3"/>
        <v>15652800</v>
      </c>
      <c r="P23" s="1857"/>
      <c r="Q23" s="1857"/>
      <c r="R23" s="1890">
        <f t="shared" si="5"/>
        <v>171875887</v>
      </c>
      <c r="S23" s="1891"/>
      <c r="T23" s="1892"/>
      <c r="U23" s="1892"/>
      <c r="V23" s="1893" t="s">
        <v>974</v>
      </c>
      <c r="W23" s="1875"/>
      <c r="X23" s="1875"/>
      <c r="Y23" s="1875"/>
      <c r="Z23" s="1875"/>
    </row>
    <row r="24" s="1806" customFormat="1" ht="13.2" spans="1:26">
      <c r="A24" s="1823">
        <v>9</v>
      </c>
      <c r="B24" s="5157" t="s">
        <v>12714</v>
      </c>
      <c r="C24" s="1824"/>
      <c r="D24" s="1822">
        <f>SUMIF('1022'!$A$10:$A$112,'FF1'!A24,'1022'!$I$10:$I$112)</f>
        <v>202093500</v>
      </c>
      <c r="E24" s="1822">
        <f>SUMIF('1022'!$A$10:$A$112,'FF1'!A24,'1022'!$L$10:$L$112)/10%</f>
        <v>0</v>
      </c>
      <c r="F24" s="1822"/>
      <c r="G24" s="1822">
        <v>0</v>
      </c>
      <c r="H24" s="1822">
        <f t="shared" si="0"/>
        <v>202093500</v>
      </c>
      <c r="I24" s="1822"/>
      <c r="J24" s="1822">
        <f t="shared" si="1"/>
        <v>202093500</v>
      </c>
      <c r="K24" s="1858">
        <f t="shared" si="4"/>
        <v>20209350</v>
      </c>
      <c r="L24" s="1858">
        <f t="shared" si="2"/>
        <v>0</v>
      </c>
      <c r="M24" s="1858">
        <f t="shared" si="2"/>
        <v>0</v>
      </c>
      <c r="N24" s="1858">
        <f t="shared" si="2"/>
        <v>0</v>
      </c>
      <c r="O24" s="1858">
        <f t="shared" si="3"/>
        <v>20209350</v>
      </c>
      <c r="P24" s="1857"/>
      <c r="Q24" s="1857"/>
      <c r="R24" s="1890">
        <f t="shared" si="5"/>
        <v>192085237</v>
      </c>
      <c r="S24" s="1891"/>
      <c r="T24" s="1892"/>
      <c r="U24" s="1892"/>
      <c r="V24" s="1893" t="s">
        <v>974</v>
      </c>
      <c r="W24" s="1875"/>
      <c r="X24" s="1875"/>
      <c r="Y24" s="1875"/>
      <c r="Z24" s="1875"/>
    </row>
    <row r="25" s="1806" customFormat="1" ht="13.2" spans="1:26">
      <c r="A25" s="1823">
        <v>10</v>
      </c>
      <c r="B25" s="5156" t="s">
        <v>12715</v>
      </c>
      <c r="C25" s="1824"/>
      <c r="D25" s="1822">
        <f>SUMIF('1022'!$A$10:$A$112,'FF1'!A25,'1022'!$I$10:$I$112)</f>
        <v>243733000</v>
      </c>
      <c r="E25" s="1822">
        <f>SUMIF('1022'!$A$10:$A$112,'FF1'!A25,'1022'!$L$10:$L$112)/10%</f>
        <v>0</v>
      </c>
      <c r="F25" s="1822"/>
      <c r="G25" s="1822">
        <v>0</v>
      </c>
      <c r="H25" s="1822">
        <f t="shared" si="0"/>
        <v>243733000</v>
      </c>
      <c r="I25" s="1822"/>
      <c r="J25" s="1822">
        <f t="shared" si="1"/>
        <v>243733000</v>
      </c>
      <c r="K25" s="1858">
        <f t="shared" si="4"/>
        <v>24373300</v>
      </c>
      <c r="L25" s="1858">
        <f t="shared" si="2"/>
        <v>0</v>
      </c>
      <c r="M25" s="1858">
        <f t="shared" si="2"/>
        <v>0</v>
      </c>
      <c r="N25" s="1858">
        <f t="shared" si="2"/>
        <v>0</v>
      </c>
      <c r="O25" s="1858">
        <f t="shared" si="3"/>
        <v>24373300</v>
      </c>
      <c r="P25" s="1857"/>
      <c r="Q25" s="1857"/>
      <c r="R25" s="1890">
        <f t="shared" si="5"/>
        <v>216458537</v>
      </c>
      <c r="S25" s="1891"/>
      <c r="T25" s="1892"/>
      <c r="U25" s="1892"/>
      <c r="V25" s="1893" t="s">
        <v>974</v>
      </c>
      <c r="W25" s="1875"/>
      <c r="X25" s="1875"/>
      <c r="Y25" s="1875"/>
      <c r="Z25" s="1875"/>
    </row>
    <row r="26" s="1806" customFormat="1" ht="13.2" spans="1:26">
      <c r="A26" s="1823">
        <v>11</v>
      </c>
      <c r="B26" s="5156" t="s">
        <v>12716</v>
      </c>
      <c r="C26" s="1824"/>
      <c r="D26" s="1822">
        <f>SUMIF('1022'!$A$10:$A$112,'FF1'!A26,'1022'!$I$10:$I$112)</f>
        <v>304015182</v>
      </c>
      <c r="E26" s="1822">
        <f>SUMIF('1022'!$A$10:$A$112,'FF1'!A26,'1022'!$L$10:$L$112)/10%</f>
        <v>0</v>
      </c>
      <c r="F26" s="1822"/>
      <c r="G26" s="1822"/>
      <c r="H26" s="1822">
        <f t="shared" si="0"/>
        <v>304015182</v>
      </c>
      <c r="I26" s="1822"/>
      <c r="J26" s="1822">
        <f t="shared" si="1"/>
        <v>304015182</v>
      </c>
      <c r="K26" s="1858">
        <f t="shared" si="4"/>
        <v>30401518</v>
      </c>
      <c r="L26" s="1858">
        <f t="shared" si="2"/>
        <v>0</v>
      </c>
      <c r="M26" s="1858">
        <f t="shared" si="2"/>
        <v>0</v>
      </c>
      <c r="N26" s="1858">
        <f t="shared" si="2"/>
        <v>0</v>
      </c>
      <c r="O26" s="1858">
        <f t="shared" si="3"/>
        <v>30401518</v>
      </c>
      <c r="P26" s="1857"/>
      <c r="Q26" s="1857"/>
      <c r="R26" s="1890">
        <f t="shared" si="5"/>
        <v>246860055</v>
      </c>
      <c r="S26" s="1891"/>
      <c r="T26" s="1892"/>
      <c r="U26" s="1894"/>
      <c r="V26" s="1893" t="s">
        <v>974</v>
      </c>
      <c r="W26" s="1875"/>
      <c r="X26" s="1875"/>
      <c r="Y26" s="1875"/>
      <c r="Z26" s="1875"/>
    </row>
    <row r="27" s="1806" customFormat="1" ht="13.2" spans="1:26">
      <c r="A27" s="1823">
        <v>12</v>
      </c>
      <c r="B27" s="5156" t="s">
        <v>12717</v>
      </c>
      <c r="C27" s="1824"/>
      <c r="D27" s="1822">
        <f>SUMIF('1022'!$A$10:$A$112,'FF1'!A27,'1022'!$I$10:$I$112)</f>
        <v>522090329</v>
      </c>
      <c r="E27" s="1822">
        <f>SUMIF('1022'!$A$10:$A$112,'FF1'!A27,'1022'!$L$10:$L$112)/10%</f>
        <v>0</v>
      </c>
      <c r="F27" s="1822"/>
      <c r="G27" s="1822"/>
      <c r="H27" s="1822">
        <f t="shared" si="0"/>
        <v>522090329</v>
      </c>
      <c r="I27" s="1822"/>
      <c r="J27" s="1822">
        <f t="shared" si="1"/>
        <v>522090329</v>
      </c>
      <c r="K27" s="1858">
        <f t="shared" si="4"/>
        <v>52209033</v>
      </c>
      <c r="L27" s="1858">
        <f t="shared" si="2"/>
        <v>0</v>
      </c>
      <c r="M27" s="1858">
        <f t="shared" si="2"/>
        <v>0</v>
      </c>
      <c r="N27" s="1858">
        <f t="shared" si="2"/>
        <v>0</v>
      </c>
      <c r="O27" s="1858">
        <f t="shared" si="3"/>
        <v>52209033</v>
      </c>
      <c r="P27" s="1857"/>
      <c r="Q27" s="1857"/>
      <c r="R27" s="1890">
        <f t="shared" si="5"/>
        <v>299069088</v>
      </c>
      <c r="S27" s="1891"/>
      <c r="T27" s="1892"/>
      <c r="U27" s="1892"/>
      <c r="V27" s="1893" t="s">
        <v>974</v>
      </c>
      <c r="W27" s="1895"/>
      <c r="X27" s="1895"/>
      <c r="Y27" s="1875"/>
      <c r="Z27" s="1875"/>
    </row>
    <row r="28" s="1806" customFormat="1" ht="13.2" spans="2:26">
      <c r="B28" s="1820"/>
      <c r="C28" s="1824"/>
      <c r="D28" s="1822"/>
      <c r="E28" s="1822"/>
      <c r="F28" s="1822"/>
      <c r="G28" s="1822"/>
      <c r="H28" s="1822"/>
      <c r="I28" s="1822"/>
      <c r="J28" s="1822"/>
      <c r="K28" s="1858"/>
      <c r="L28" s="1858"/>
      <c r="M28" s="1858"/>
      <c r="N28" s="1858"/>
      <c r="O28" s="1858"/>
      <c r="P28" s="1857"/>
      <c r="Q28" s="1857"/>
      <c r="R28" s="1890">
        <f t="shared" si="5"/>
        <v>299069088</v>
      </c>
      <c r="S28" s="1896"/>
      <c r="T28" s="1892"/>
      <c r="U28" s="1892"/>
      <c r="V28" s="1897"/>
      <c r="W28" s="1875"/>
      <c r="X28" s="1875"/>
      <c r="Y28" s="1875"/>
      <c r="Z28" s="1875"/>
    </row>
    <row r="29" s="23" customFormat="1" ht="13.2" spans="2:26">
      <c r="B29" s="1827" t="s">
        <v>151</v>
      </c>
      <c r="C29" s="1827">
        <f>SUM(C14:C28)</f>
        <v>0</v>
      </c>
      <c r="D29" s="1827">
        <f t="shared" ref="D29:S29" si="6">SUM(D14:D28)</f>
        <v>2990690879</v>
      </c>
      <c r="E29" s="1827">
        <f t="shared" si="6"/>
        <v>85670890</v>
      </c>
      <c r="F29" s="1827">
        <f t="shared" si="6"/>
        <v>0</v>
      </c>
      <c r="G29" s="1827">
        <f t="shared" si="6"/>
        <v>0</v>
      </c>
      <c r="H29" s="1827">
        <f t="shared" si="6"/>
        <v>3076361769</v>
      </c>
      <c r="I29" s="1827">
        <f t="shared" si="6"/>
        <v>0</v>
      </c>
      <c r="J29" s="1827">
        <f t="shared" si="6"/>
        <v>3076361769</v>
      </c>
      <c r="K29" s="1827">
        <f t="shared" si="6"/>
        <v>299069088</v>
      </c>
      <c r="L29" s="1827">
        <f t="shared" si="6"/>
        <v>8567089</v>
      </c>
      <c r="M29" s="1827">
        <f t="shared" si="6"/>
        <v>0</v>
      </c>
      <c r="N29" s="1827">
        <f t="shared" si="6"/>
        <v>0</v>
      </c>
      <c r="O29" s="1827">
        <f t="shared" si="6"/>
        <v>307636177</v>
      </c>
      <c r="P29" s="1827">
        <f t="shared" si="6"/>
        <v>0</v>
      </c>
      <c r="Q29" s="1827">
        <f t="shared" si="6"/>
        <v>0</v>
      </c>
      <c r="R29" s="1827"/>
      <c r="S29" s="1827">
        <f t="shared" si="6"/>
        <v>0</v>
      </c>
      <c r="T29" s="1827"/>
      <c r="U29" s="1827"/>
      <c r="V29" s="1833"/>
      <c r="W29" s="1838"/>
      <c r="X29" s="1838"/>
      <c r="Y29" s="1838"/>
      <c r="Z29" s="1838"/>
    </row>
    <row r="30" s="1806" customFormat="1" ht="13.2" spans="2:26">
      <c r="B30" s="1820"/>
      <c r="C30" s="1824"/>
      <c r="D30" s="1828"/>
      <c r="E30" s="1828"/>
      <c r="F30" s="1828"/>
      <c r="G30" s="1828"/>
      <c r="H30" s="1828"/>
      <c r="I30" s="1828"/>
      <c r="J30" s="1828"/>
      <c r="K30" s="1859"/>
      <c r="L30" s="1859"/>
      <c r="M30" s="1859"/>
      <c r="N30" s="1859"/>
      <c r="O30" s="1859"/>
      <c r="P30" s="1860"/>
      <c r="Q30">
        <f>E!F14</f>
        <v>13500000</v>
      </c>
      <c r="R30" s="1859"/>
      <c r="S30" s="1898"/>
      <c r="T30" s="1899"/>
      <c r="U30" s="1900"/>
      <c r="V30" s="1875"/>
      <c r="W30" s="1875"/>
      <c r="X30" s="1875"/>
      <c r="Y30" s="1875"/>
      <c r="Z30" s="1875"/>
    </row>
    <row r="31" s="1806" customFormat="1" ht="13.2" spans="2:26">
      <c r="B31" s="1829"/>
      <c r="C31" s="1830"/>
      <c r="D31" s="1831"/>
      <c r="E31" s="1832"/>
      <c r="F31" s="1832"/>
      <c r="G31" s="1832"/>
      <c r="H31" s="1832"/>
      <c r="I31" s="1832"/>
      <c r="J31" s="1832"/>
      <c r="K31" s="1861"/>
      <c r="L31" s="1861"/>
      <c r="M31" s="1862"/>
      <c r="N31" s="1862"/>
      <c r="O31" s="1862"/>
      <c r="P31" s="1863"/>
      <c r="Q31">
        <f>Q29-Q30</f>
        <v>-13500000</v>
      </c>
      <c r="R31" s="1862"/>
      <c r="S31" s="1901"/>
      <c r="T31" s="1902"/>
      <c r="U31" s="1903"/>
      <c r="V31" s="1875"/>
      <c r="W31" s="1875"/>
      <c r="X31" s="1875"/>
      <c r="Y31" s="1875"/>
      <c r="Z31" s="1875"/>
    </row>
    <row r="32" s="1806" customFormat="1" ht="13.2" spans="2:26">
      <c r="B32" s="1833"/>
      <c r="C32" s="1833"/>
      <c r="D32" s="1834"/>
      <c r="E32" s="1835"/>
      <c r="F32" s="1835"/>
      <c r="G32" s="1835"/>
      <c r="H32" s="1835"/>
      <c r="I32" s="1835"/>
      <c r="J32" s="1835"/>
      <c r="K32" s="1834"/>
      <c r="L32" s="1834"/>
      <c r="M32" s="1864"/>
      <c r="N32" s="1864"/>
      <c r="O32" s="1864"/>
      <c r="P32" s="1864"/>
      <c r="Q32" s="1864">
        <f>'[103]OMSET 2020'!$H$24</f>
        <v>0.517110018617739</v>
      </c>
      <c r="R32" s="1864"/>
      <c r="S32" s="1864"/>
      <c r="T32" s="1904"/>
      <c r="U32" s="1905"/>
      <c r="V32" s="1875"/>
      <c r="W32" s="1875"/>
      <c r="X32" s="1875"/>
      <c r="Y32" s="1875"/>
      <c r="Z32" s="1875"/>
    </row>
    <row r="33" s="1807" customFormat="1" ht="13.2" spans="2:40">
      <c r="B33" s="5158" t="s">
        <v>12718</v>
      </c>
      <c r="C33" s="1837"/>
      <c r="D33" s="1838"/>
      <c r="E33" s="1838"/>
      <c r="F33" s="1838"/>
      <c r="G33" s="1838"/>
      <c r="H33" s="1838"/>
      <c r="I33" s="1838"/>
      <c r="J33" s="1838"/>
      <c r="K33" s="1838"/>
      <c r="L33" s="1838"/>
      <c r="M33" s="1838"/>
      <c r="N33" s="1838"/>
      <c r="O33" s="1838"/>
      <c r="P33" s="1838" t="s">
        <v>12719</v>
      </c>
      <c r="R33" s="1833">
        <f>Q29*Q32</f>
        <v>0</v>
      </c>
      <c r="S33" s="1833"/>
      <c r="T33" s="1833"/>
      <c r="U33" s="1833"/>
      <c r="V33" s="1833"/>
      <c r="W33" s="1833"/>
      <c r="X33" s="1833"/>
      <c r="Y33" s="1833"/>
      <c r="Z33" s="1833"/>
      <c r="AA33" s="1833"/>
      <c r="AB33" s="1833"/>
      <c r="AC33" s="1833"/>
      <c r="AD33" s="1833"/>
      <c r="AE33" s="1833"/>
      <c r="AF33" s="1833"/>
      <c r="AG33" s="1833"/>
      <c r="AH33" s="1914"/>
      <c r="AI33" s="1915"/>
      <c r="AJ33" s="1838"/>
      <c r="AK33" s="1838"/>
      <c r="AL33" s="1838"/>
      <c r="AM33" s="1838"/>
      <c r="AN33" s="1838"/>
    </row>
    <row r="34" s="1807" customFormat="1" ht="13.2" spans="6:35">
      <c r="F34" s="1839"/>
      <c r="G34" s="1839"/>
      <c r="H34" s="1839"/>
      <c r="I34" s="1839"/>
      <c r="J34" s="1839"/>
      <c r="K34" s="1839"/>
      <c r="L34" s="1839"/>
      <c r="M34" s="1839"/>
      <c r="N34" s="1839"/>
      <c r="P34" s="1807" t="s">
        <v>12720</v>
      </c>
      <c r="R34" s="1833">
        <f>R33+R28</f>
        <v>299069088</v>
      </c>
      <c r="AH34" s="1913"/>
      <c r="AI34" s="1913"/>
    </row>
    <row r="35" s="1807" customFormat="1" ht="15" spans="6:35">
      <c r="F35" s="1839"/>
      <c r="G35" s="1839"/>
      <c r="H35" s="1839"/>
      <c r="I35" s="1839"/>
      <c r="J35" s="1839"/>
      <c r="K35" s="1839"/>
      <c r="L35" s="1839"/>
      <c r="M35" s="1839"/>
      <c r="N35" s="1865" t="s">
        <v>12721</v>
      </c>
      <c r="AH35" s="1913"/>
      <c r="AI35" s="1913"/>
    </row>
    <row r="36" s="1807" customFormat="1" ht="13.2" spans="2:35">
      <c r="B36" s="1807" t="s">
        <v>12722</v>
      </c>
      <c r="F36" s="1839"/>
      <c r="G36" s="1833"/>
      <c r="H36" s="1833"/>
      <c r="I36" s="1839"/>
      <c r="J36" s="1866" t="s">
        <v>12706</v>
      </c>
      <c r="K36" s="1839"/>
      <c r="L36" s="1833"/>
      <c r="M36" s="1833"/>
      <c r="N36" s="1062" t="s">
        <v>12723</v>
      </c>
      <c r="P36" s="1833">
        <f>O29+FF!E16</f>
        <v>307636177</v>
      </c>
      <c r="Q36" s="1807" t="s">
        <v>12724</v>
      </c>
      <c r="R36" s="1807" t="s">
        <v>12725</v>
      </c>
      <c r="S36" s="1875"/>
      <c r="T36" s="1833" t="s">
        <v>12726</v>
      </c>
      <c r="U36" s="1875"/>
      <c r="AH36" s="1913"/>
      <c r="AI36" s="1913"/>
    </row>
    <row r="37" s="1807" customFormat="1" ht="15" spans="6:35">
      <c r="F37" s="1839"/>
      <c r="G37" s="1839"/>
      <c r="H37" s="1833" t="s">
        <v>12727</v>
      </c>
      <c r="I37" s="5159" t="s">
        <v>12728</v>
      </c>
      <c r="J37" s="1833">
        <f>J29</f>
        <v>3076361769</v>
      </c>
      <c r="K37" s="1806" t="s">
        <v>12729</v>
      </c>
      <c r="M37" s="1867"/>
      <c r="N37" s="1865" t="s">
        <v>12730</v>
      </c>
      <c r="P37" s="1838"/>
      <c r="Q37" s="1807" t="s">
        <v>12731</v>
      </c>
      <c r="R37" s="1807">
        <f>T38+T39</f>
        <v>-285569088</v>
      </c>
      <c r="S37" s="1875"/>
      <c r="T37" s="1875">
        <v>0</v>
      </c>
      <c r="U37" s="1875"/>
      <c r="AH37" s="1913"/>
      <c r="AI37" s="1913"/>
    </row>
    <row r="38" s="1807" customFormat="1" ht="13.2" spans="6:35">
      <c r="F38" s="1839"/>
      <c r="G38" s="1839"/>
      <c r="K38" s="1839" t="s">
        <v>12732</v>
      </c>
      <c r="L38" s="1833"/>
      <c r="M38" s="1867"/>
      <c r="N38" t="s">
        <v>12733</v>
      </c>
      <c r="O38" s="1807">
        <f>FF!K19</f>
        <v>0</v>
      </c>
      <c r="P38" s="1838">
        <f>FF!J16</f>
        <v>0</v>
      </c>
      <c r="Q38" s="1897" t="s">
        <v>12734</v>
      </c>
      <c r="R38" s="1906">
        <v>0</v>
      </c>
      <c r="S38" s="1875"/>
      <c r="T38" s="1907">
        <f>-R34</f>
        <v>-299069088</v>
      </c>
      <c r="U38" s="1875"/>
      <c r="AH38" s="1913"/>
      <c r="AI38" s="1913"/>
    </row>
    <row r="39" s="1807" customFormat="1" ht="13.2" spans="6:35">
      <c r="F39" s="1839"/>
      <c r="G39" s="1839"/>
      <c r="H39" s="1833" t="s">
        <v>12735</v>
      </c>
      <c r="I39" s="1867" t="s">
        <v>11930</v>
      </c>
      <c r="J39">
        <f>+'[79]P&amp;L22'!$F$10</f>
        <v>2892097277.71171</v>
      </c>
      <c r="K39" s="1839"/>
      <c r="L39" s="1868"/>
      <c r="M39" s="1869"/>
      <c r="N39" t="s">
        <v>519</v>
      </c>
      <c r="O39" s="1868">
        <v>0</v>
      </c>
      <c r="P39">
        <f>E!F14</f>
        <v>13500000</v>
      </c>
      <c r="Q39" s="1897" t="s">
        <v>12736</v>
      </c>
      <c r="R39" s="1908">
        <v>0</v>
      </c>
      <c r="S39" s="1908"/>
      <c r="T39" s="1868">
        <f>Q30</f>
        <v>13500000</v>
      </c>
      <c r="U39" s="1908"/>
      <c r="W39" s="1875"/>
      <c r="AH39" s="1913"/>
      <c r="AI39" s="1913"/>
    </row>
    <row r="40" s="1807" customFormat="1" ht="13.2" spans="6:35">
      <c r="F40" s="1839"/>
      <c r="G40" s="1840"/>
      <c r="I40" s="1870" t="s">
        <v>11593</v>
      </c>
      <c r="J40" s="1871">
        <f>+J37-J39</f>
        <v>184264491.288288</v>
      </c>
      <c r="K40" s="1872"/>
      <c r="L40" s="1833"/>
      <c r="M40" s="1840"/>
      <c r="N40" s="1840" t="s">
        <v>151</v>
      </c>
      <c r="O40" s="1840"/>
      <c r="P40" s="1807">
        <f>P38-P39</f>
        <v>-13500000</v>
      </c>
      <c r="Q40" s="1909"/>
      <c r="R40" s="1910">
        <f>SUM(R37:R39)</f>
        <v>-285569088</v>
      </c>
      <c r="S40" s="1875"/>
      <c r="T40" s="1910">
        <f>SUM(T37:T39)</f>
        <v>-285569088</v>
      </c>
      <c r="U40" s="1875"/>
      <c r="W40" s="1875"/>
      <c r="AH40" s="1913"/>
      <c r="AI40" s="1913"/>
    </row>
    <row r="41" s="1808" customFormat="1" ht="13.2" spans="6:35">
      <c r="F41" s="1841"/>
      <c r="G41" s="1842"/>
      <c r="I41" s="1867"/>
      <c r="J41" s="1868"/>
      <c r="L41" s="1833"/>
      <c r="M41" s="1840"/>
      <c r="N41" s="1840" t="s">
        <v>146</v>
      </c>
      <c r="P41">
        <f>+P36-P38</f>
        <v>307636177</v>
      </c>
      <c r="Q41" s="1911" t="s">
        <v>990</v>
      </c>
      <c r="R41" s="1910"/>
      <c r="S41" s="1875"/>
      <c r="U41" s="1875"/>
      <c r="W41" s="1875"/>
      <c r="AH41" s="1916"/>
      <c r="AI41" s="1916"/>
    </row>
    <row r="42" s="1808" customFormat="1" ht="13.2" spans="6:35">
      <c r="F42" s="1841"/>
      <c r="G42" s="1842"/>
      <c r="I42" s="1867"/>
      <c r="J42" s="1868"/>
      <c r="L42" s="1833"/>
      <c r="M42" s="1840"/>
      <c r="N42" s="1840"/>
      <c r="Q42" s="1909"/>
      <c r="R42" s="1910"/>
      <c r="S42" s="1875"/>
      <c r="U42" s="1875"/>
      <c r="W42" s="1875"/>
      <c r="AH42" s="1916"/>
      <c r="AI42" s="1916"/>
    </row>
    <row r="43" s="1808" customFormat="1" ht="13.2" spans="6:35">
      <c r="F43" s="1841"/>
      <c r="G43" s="1842"/>
      <c r="H43" s="1833"/>
      <c r="I43" s="1873"/>
      <c r="J43" s="1807"/>
      <c r="L43" s="1833"/>
      <c r="M43" s="1840"/>
      <c r="N43" s="1840"/>
      <c r="Q43" s="1909"/>
      <c r="R43" s="1910"/>
      <c r="S43" s="1875"/>
      <c r="U43" s="1875"/>
      <c r="W43" s="1875"/>
      <c r="AH43" s="1916"/>
      <c r="AI43" s="1916"/>
    </row>
    <row r="44" s="1808" customFormat="1" ht="13.2" spans="6:35">
      <c r="F44" s="1841"/>
      <c r="G44" s="1842"/>
      <c r="H44" s="1833"/>
      <c r="I44" s="1840"/>
      <c r="J44" s="1840"/>
      <c r="L44" s="1833"/>
      <c r="M44" s="1840"/>
      <c r="N44" s="1840"/>
      <c r="Q44" s="1909"/>
      <c r="R44" s="1910"/>
      <c r="S44" s="1875"/>
      <c r="U44" s="1875"/>
      <c r="W44" s="1875"/>
      <c r="AH44" s="1916"/>
      <c r="AI44" s="1916"/>
    </row>
    <row r="45" s="1808" customFormat="1" ht="13.2" spans="6:35">
      <c r="F45"/>
      <c r="G45"/>
      <c r="H45"/>
      <c r="I45"/>
      <c r="J45" s="1840"/>
      <c r="L45" s="1833"/>
      <c r="M45" s="1840"/>
      <c r="N45" s="1840"/>
      <c r="Q45" s="1909"/>
      <c r="R45" s="1910"/>
      <c r="S45" s="1875"/>
      <c r="U45" s="1875"/>
      <c r="W45" s="1875"/>
      <c r="AH45" s="1916"/>
      <c r="AI45" s="1916"/>
    </row>
    <row r="46" s="1807" customFormat="1" ht="13.2" spans="6:35">
      <c r="F46" t="s">
        <v>12737</v>
      </c>
      <c r="G46"/>
      <c r="H46" t="s">
        <v>453</v>
      </c>
      <c r="I46" t="s">
        <v>452</v>
      </c>
      <c r="J46" s="1840"/>
      <c r="K46" s="1839"/>
      <c r="L46" s="1833"/>
      <c r="M46" s="1840"/>
      <c r="N46" s="1840"/>
      <c r="O46" s="1840"/>
      <c r="R46" s="1875"/>
      <c r="S46" s="1875"/>
      <c r="U46" s="1875"/>
      <c r="W46" s="1809"/>
      <c r="AH46" s="1913"/>
      <c r="AI46" s="1913"/>
    </row>
    <row r="47" s="1809" customFormat="1" ht="13.2" spans="6:35">
      <c r="F47"/>
      <c r="G47"/>
      <c r="H47" t="s">
        <v>12738</v>
      </c>
      <c r="I47" t="s">
        <v>12738</v>
      </c>
      <c r="J47" s="1868"/>
      <c r="K47" s="1868"/>
      <c r="L47" s="1868"/>
      <c r="M47" s="1869"/>
      <c r="N47" s="1842"/>
      <c r="O47" s="1842"/>
      <c r="Q47" s="1868"/>
      <c r="R47" s="1875"/>
      <c r="S47" s="1908"/>
      <c r="W47" s="1807"/>
      <c r="AH47" s="1917"/>
      <c r="AI47" s="1917"/>
    </row>
    <row r="48" s="1807" customFormat="1" ht="13.2" spans="2:35">
      <c r="B48" s="1843" t="s">
        <v>12739</v>
      </c>
      <c r="C48" s="1844"/>
      <c r="F48"/>
      <c r="G48"/>
      <c r="H48"/>
      <c r="I48"/>
      <c r="J48" s="1833"/>
      <c r="K48" s="1874"/>
      <c r="L48" s="1874"/>
      <c r="M48" s="1833"/>
      <c r="N48" s="1875"/>
      <c r="O48" s="1833"/>
      <c r="P48" s="1875"/>
      <c r="Q48" s="1875"/>
      <c r="R48" s="1875"/>
      <c r="S48" s="1875"/>
      <c r="W48" s="1912"/>
      <c r="AH48" s="1913"/>
      <c r="AI48" s="1913"/>
    </row>
    <row r="49" s="1806" customFormat="1" ht="13.2" spans="5:21">
      <c r="E49" s="1839"/>
      <c r="F49" t="s">
        <v>12710</v>
      </c>
      <c r="G49"/>
      <c r="H49">
        <v>84161403</v>
      </c>
      <c r="I49">
        <v>0</v>
      </c>
      <c r="J49" s="1839"/>
      <c r="T49" s="1913"/>
      <c r="U49" s="1913"/>
    </row>
    <row r="50" s="1806" customFormat="1" ht="13.2" spans="5:21">
      <c r="E50" s="1839"/>
      <c r="F50" t="s">
        <v>12711</v>
      </c>
      <c r="G50"/>
      <c r="H50">
        <v>81933914</v>
      </c>
      <c r="I50">
        <v>0</v>
      </c>
      <c r="J50" s="1839"/>
      <c r="T50" s="1913"/>
      <c r="U50" s="1913"/>
    </row>
    <row r="51" s="1806" customFormat="1" ht="13.2" spans="5:21">
      <c r="E51" s="1839"/>
      <c r="F51" t="s">
        <v>976</v>
      </c>
      <c r="G51"/>
      <c r="H51">
        <v>94633899</v>
      </c>
      <c r="I51">
        <v>0</v>
      </c>
      <c r="J51" s="1839"/>
      <c r="T51" s="1913"/>
      <c r="U51" s="1913"/>
    </row>
    <row r="52" s="1806" customFormat="1" ht="13.2" spans="5:21">
      <c r="E52" s="1839"/>
      <c r="F52" t="s">
        <v>977</v>
      </c>
      <c r="G52"/>
      <c r="H52">
        <v>64304039</v>
      </c>
      <c r="I52">
        <v>0</v>
      </c>
      <c r="J52" s="1839"/>
      <c r="T52" s="1913"/>
      <c r="U52" s="1913"/>
    </row>
    <row r="53" s="1806" customFormat="1" ht="13.2" spans="5:21">
      <c r="E53" s="1839"/>
      <c r="F53" t="s">
        <v>12712</v>
      </c>
      <c r="G53"/>
      <c r="H53">
        <v>26509192</v>
      </c>
      <c r="I53">
        <v>0</v>
      </c>
      <c r="J53" s="1839"/>
      <c r="T53" s="1913"/>
      <c r="U53" s="1913"/>
    </row>
    <row r="54" s="1806" customFormat="1" ht="13.2" spans="5:21">
      <c r="E54" s="1839"/>
      <c r="F54" t="s">
        <v>979</v>
      </c>
      <c r="G54"/>
      <c r="H54">
        <v>45726467</v>
      </c>
      <c r="I54">
        <v>0</v>
      </c>
      <c r="J54" s="1839"/>
      <c r="T54" s="1913"/>
      <c r="U54" s="1913"/>
    </row>
    <row r="55" s="1806" customFormat="1" ht="13.2" spans="5:21">
      <c r="E55" s="1839"/>
      <c r="F55" t="s">
        <v>980</v>
      </c>
      <c r="G55"/>
      <c r="H55">
        <v>50374013</v>
      </c>
      <c r="I55">
        <v>0</v>
      </c>
      <c r="J55" s="1839"/>
      <c r="T55" s="1913"/>
      <c r="U55" s="1913"/>
    </row>
    <row r="56" s="1806" customFormat="1" ht="13.2" spans="5:21">
      <c r="E56" s="1839"/>
      <c r="F56" t="s">
        <v>12713</v>
      </c>
      <c r="G56"/>
      <c r="H56">
        <v>53932240</v>
      </c>
      <c r="I56">
        <v>0</v>
      </c>
      <c r="J56" s="1839"/>
      <c r="T56" s="1913"/>
      <c r="U56" s="1913"/>
    </row>
    <row r="57" s="1806" customFormat="1" ht="13.2" spans="5:21">
      <c r="E57" s="1839"/>
      <c r="F57" t="s">
        <v>12714</v>
      </c>
      <c r="G57"/>
      <c r="H57">
        <v>67294165</v>
      </c>
      <c r="I57">
        <v>0</v>
      </c>
      <c r="J57" s="1839"/>
      <c r="T57" s="1913"/>
      <c r="U57" s="1913"/>
    </row>
    <row r="58" s="1806" customFormat="1" ht="13.2" spans="5:21">
      <c r="E58" s="1839"/>
      <c r="F58" t="s">
        <v>12715</v>
      </c>
      <c r="G58"/>
      <c r="H58">
        <v>52267204</v>
      </c>
      <c r="I58">
        <v>0</v>
      </c>
      <c r="J58" s="1839"/>
      <c r="T58" s="1913"/>
      <c r="U58" s="1913"/>
    </row>
    <row r="59" spans="6:9">
      <c r="F59" t="s">
        <v>12716</v>
      </c>
      <c r="G59"/>
      <c r="H59">
        <v>26995217</v>
      </c>
      <c r="I59">
        <v>0</v>
      </c>
    </row>
    <row r="60" spans="6:9">
      <c r="F60" t="s">
        <v>12717</v>
      </c>
      <c r="G60"/>
      <c r="H60">
        <v>37940344</v>
      </c>
      <c r="I60">
        <v>0</v>
      </c>
    </row>
    <row r="61" ht="8.85" customHeight="1" spans="6:9">
      <c r="F61"/>
      <c r="G61"/>
      <c r="H61"/>
      <c r="I61"/>
    </row>
    <row r="62" spans="6:9">
      <c r="F62" t="s">
        <v>947</v>
      </c>
      <c r="G62"/>
      <c r="H62">
        <f>SUM(H48:H61)</f>
        <v>686072097</v>
      </c>
      <c r="I62">
        <f>SUM(I48:I61)</f>
        <v>0</v>
      </c>
    </row>
    <row r="63" spans="6:9">
      <c r="F63"/>
      <c r="G63"/>
      <c r="H63"/>
      <c r="I63"/>
    </row>
    <row r="64" spans="6:9">
      <c r="F64" t="s">
        <v>12740</v>
      </c>
      <c r="G64"/>
      <c r="H64">
        <f>E!F14</f>
        <v>13500000</v>
      </c>
      <c r="I64">
        <f>E!G14</f>
        <v>0</v>
      </c>
    </row>
    <row r="65" spans="6:9">
      <c r="F65"/>
      <c r="G65"/>
      <c r="H65"/>
      <c r="I65"/>
    </row>
    <row r="66" ht="12" spans="6:10">
      <c r="F66" t="s">
        <v>12741</v>
      </c>
      <c r="G66"/>
      <c r="H66">
        <f>H62-H64</f>
        <v>672572097</v>
      </c>
      <c r="I66">
        <f>I62-I64</f>
        <v>0</v>
      </c>
      <c r="J66" s="1918"/>
    </row>
    <row r="67" ht="12" spans="6:10">
      <c r="F67" s="1918"/>
      <c r="H67"/>
      <c r="I67"/>
      <c r="J67" s="1918"/>
    </row>
  </sheetData>
  <mergeCells count="6">
    <mergeCell ref="C10:J10"/>
    <mergeCell ref="K10:R10"/>
    <mergeCell ref="C11:H11"/>
    <mergeCell ref="K11:O11"/>
    <mergeCell ref="K5:K6"/>
    <mergeCell ref="L5:L6"/>
  </mergeCells>
  <pageMargins left="0.354330708661417" right="0.15748031496063" top="0.590551181102362" bottom="0.393700787401575" header="0.511811023622047" footer="0.511811023622047"/>
  <pageSetup paperSize="9" scale="50" orientation="landscape"/>
  <headerFooter alignWithMargins="0">
    <oddFooter>&amp;R&amp;"Arial,Bold"&amp;26FF - 5</oddFooter>
  </headerFooter>
  <drawing r:id="rId1"/>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9"/>
  <dimension ref="B1:V97"/>
  <sheetViews>
    <sheetView showGridLines="0" zoomScale="130" zoomScaleNormal="130" workbookViewId="0">
      <pane xSplit="2" ySplit="7" topLeftCell="E8" activePane="bottomRight" state="frozen"/>
      <selection/>
      <selection pane="topRight"/>
      <selection pane="bottomLeft"/>
      <selection pane="bottomRight" activeCell="B9" sqref="B9:R29"/>
    </sheetView>
  </sheetViews>
  <sheetFormatPr defaultColWidth="9.13541666666667" defaultRowHeight="10.2"/>
  <cols>
    <col min="1" max="1" width="4.19791666666667" style="1698" customWidth="1"/>
    <col min="2" max="2" width="9.4375" style="1694" customWidth="1"/>
    <col min="3" max="3" width="9.73958333333333" style="1694" customWidth="1"/>
    <col min="4" max="4" width="10.1875" style="1694" customWidth="1"/>
    <col min="5" max="5" width="7.34375" style="1698" customWidth="1"/>
    <col min="6" max="6" width="2.39583333333333" style="1698" customWidth="1"/>
    <col min="7" max="7" width="17.375" style="1698" customWidth="1"/>
    <col min="8" max="8" width="15.7291666666667" style="1698" customWidth="1"/>
    <col min="9" max="9" width="13.78125" style="1698" customWidth="1"/>
    <col min="10" max="10" width="15.1354166666667" style="1698" customWidth="1"/>
    <col min="11" max="11" width="2.39583333333333" style="1698" customWidth="1"/>
    <col min="12" max="12" width="14.2395833333333" style="1698" customWidth="1"/>
    <col min="13" max="13" width="13.6354166666667" style="1698" customWidth="1"/>
    <col min="14" max="14" width="14.3854166666667" style="1698" customWidth="1"/>
    <col min="15" max="15" width="18.7291666666667" style="1698" customWidth="1"/>
    <col min="16" max="16" width="10.9375" style="1698" customWidth="1"/>
    <col min="17" max="17" width="10.3333333333333" style="1698" customWidth="1"/>
    <col min="18" max="18" width="10.0416666666667" style="1698" customWidth="1"/>
    <col min="19" max="19" width="3.44791666666667" style="1698" customWidth="1"/>
    <col min="20" max="20" width="15.1354166666667" style="1698" customWidth="1"/>
    <col min="21" max="21" width="14.2395833333333" style="1698" customWidth="1"/>
    <col min="22" max="22" width="15.1354166666667" style="1698" customWidth="1"/>
    <col min="23" max="16384" width="9.13541666666667" style="1698"/>
  </cols>
  <sheetData>
    <row r="1" spans="9:10">
      <c r="I1" s="1756"/>
      <c r="J1" s="1756"/>
    </row>
    <row r="2" ht="21" spans="2:18">
      <c r="B2" s="1499" t="str">
        <f>A!B2</f>
        <v>KAP LIASTA NIRWAN SYAFRUDIN &amp; REKAN</v>
      </c>
      <c r="C2" s="731"/>
      <c r="D2" s="731"/>
      <c r="E2" s="731"/>
      <c r="F2" s="731"/>
      <c r="G2" s="731"/>
      <c r="H2" s="731"/>
      <c r="I2" s="1757"/>
      <c r="J2" s="1757"/>
      <c r="K2" s="1758"/>
      <c r="L2" s="1758"/>
      <c r="M2" s="1758"/>
      <c r="N2" s="746"/>
      <c r="O2" s="766" t="s">
        <v>481</v>
      </c>
      <c r="P2" s="765" t="s">
        <v>482</v>
      </c>
      <c r="Q2" s="766"/>
      <c r="R2" s="766" t="s">
        <v>483</v>
      </c>
    </row>
    <row r="3" ht="15.6" spans="2:18">
      <c r="B3" s="1500"/>
      <c r="C3" s="1501"/>
      <c r="D3" s="1502"/>
      <c r="E3" s="1504"/>
      <c r="F3" s="1504"/>
      <c r="G3" s="1505"/>
      <c r="H3" s="1505"/>
      <c r="I3" s="1505"/>
      <c r="J3" s="1505"/>
      <c r="K3" s="1505"/>
      <c r="L3" s="1505"/>
      <c r="M3" s="1505"/>
      <c r="N3" s="1505"/>
      <c r="O3" s="1470" t="s">
        <v>484</v>
      </c>
      <c r="P3" s="767">
        <v>45193</v>
      </c>
      <c r="Q3" s="768"/>
      <c r="R3" s="768" t="s">
        <v>12635</v>
      </c>
    </row>
    <row r="4" ht="11.4" spans="2:18">
      <c r="B4" s="1699" t="s">
        <v>622</v>
      </c>
      <c r="C4" s="1548" t="str">
        <f>FF!C5</f>
        <v>PT INTAN GIRI ABADI</v>
      </c>
      <c r="D4" s="1548"/>
      <c r="E4" s="1548"/>
      <c r="F4" s="1548"/>
      <c r="G4" s="1548"/>
      <c r="H4" s="1548"/>
      <c r="I4" s="1548"/>
      <c r="J4" s="1548"/>
      <c r="K4" s="1548"/>
      <c r="L4" s="1548"/>
      <c r="M4" s="1548"/>
      <c r="N4" s="1548"/>
      <c r="O4" s="1471" t="s">
        <v>487</v>
      </c>
      <c r="P4" s="769" t="s">
        <v>482</v>
      </c>
      <c r="Q4" s="770"/>
      <c r="R4" s="770" t="s">
        <v>488</v>
      </c>
    </row>
    <row r="5" ht="13.2" spans="2:18">
      <c r="B5" s="775"/>
      <c r="C5" s="753"/>
      <c r="D5" s="753"/>
      <c r="E5" s="753"/>
      <c r="F5" s="753"/>
      <c r="G5" s="753"/>
      <c r="H5" s="753"/>
      <c r="I5" s="1759"/>
      <c r="J5" s="1759"/>
      <c r="K5" s="1759"/>
      <c r="L5" s="1759"/>
      <c r="M5" s="1759"/>
      <c r="N5" s="1592"/>
      <c r="O5" s="1472"/>
      <c r="P5" s="771"/>
      <c r="Q5" s="772"/>
      <c r="R5" s="772"/>
    </row>
    <row r="6" s="1694" customFormat="1" ht="11.4" spans="2:18">
      <c r="B6" s="773"/>
      <c r="C6" s="742"/>
      <c r="D6" s="742"/>
      <c r="E6" s="742"/>
      <c r="F6" s="742"/>
      <c r="G6" s="742"/>
      <c r="H6" s="742"/>
      <c r="I6" s="1760"/>
      <c r="J6" s="1760"/>
      <c r="K6" s="1760"/>
      <c r="L6" s="1760"/>
      <c r="M6" s="1760"/>
      <c r="N6" s="770"/>
      <c r="O6" s="774"/>
      <c r="P6" s="773"/>
      <c r="Q6" s="774"/>
      <c r="R6" s="774" t="s">
        <v>491</v>
      </c>
    </row>
    <row r="7" s="1694" customFormat="1" ht="12" spans="2:18">
      <c r="B7" s="1549" t="s">
        <v>623</v>
      </c>
      <c r="C7" s="1550" t="s">
        <v>12742</v>
      </c>
      <c r="D7" s="753"/>
      <c r="E7" s="753"/>
      <c r="F7" s="753"/>
      <c r="G7" s="753"/>
      <c r="H7" s="753"/>
      <c r="I7" s="753"/>
      <c r="J7" s="753"/>
      <c r="K7" s="753"/>
      <c r="L7" s="753"/>
      <c r="M7" s="753"/>
      <c r="N7" s="1599"/>
      <c r="O7" s="1475"/>
      <c r="P7" s="775"/>
      <c r="Q7" s="776"/>
      <c r="R7" s="776">
        <v>44926</v>
      </c>
    </row>
    <row r="8" s="1694" customFormat="1" ht="11.4" spans="2:13">
      <c r="B8" s="1700"/>
      <c r="M8"/>
    </row>
    <row r="9" s="1694" customFormat="1" ht="25.5" customHeight="1" spans="2:18">
      <c r="B9" s="1701" t="s">
        <v>11460</v>
      </c>
      <c r="C9" s="5160" t="s">
        <v>12743</v>
      </c>
      <c r="D9" s="1702"/>
      <c r="E9" s="1702"/>
      <c r="F9" s="1703"/>
      <c r="G9" s="5161" t="s">
        <v>12744</v>
      </c>
      <c r="H9" s="1704"/>
      <c r="I9" s="1704"/>
      <c r="J9" s="1704"/>
      <c r="K9" s="1761"/>
      <c r="L9" s="1762" t="s">
        <v>12642</v>
      </c>
      <c r="M9" s="1763"/>
      <c r="N9" s="1764"/>
      <c r="O9" s="1765" t="s">
        <v>12745</v>
      </c>
      <c r="P9" s="1766" t="s">
        <v>11483</v>
      </c>
      <c r="Q9" s="1766"/>
      <c r="R9" s="1800" t="s">
        <v>492</v>
      </c>
    </row>
    <row r="10" s="1694" customFormat="1" ht="10.95" spans="2:18">
      <c r="B10" s="1705"/>
      <c r="C10" s="1706" t="s">
        <v>12746</v>
      </c>
      <c r="D10" s="1706" t="s">
        <v>12747</v>
      </c>
      <c r="E10" s="1706" t="s">
        <v>402</v>
      </c>
      <c r="F10" s="1707"/>
      <c r="G10" s="1708" t="s">
        <v>12748</v>
      </c>
      <c r="H10" s="1708" t="s">
        <v>12747</v>
      </c>
      <c r="I10" s="1708" t="s">
        <v>402</v>
      </c>
      <c r="J10" s="1708" t="s">
        <v>151</v>
      </c>
      <c r="K10" s="1767"/>
      <c r="L10" s="1768" t="str">
        <f>"Pph"&amp;G10</f>
        <v>PphPegawai</v>
      </c>
      <c r="M10" s="1768" t="str">
        <f>"Pph"&amp;H10</f>
        <v>PphTenaga Ahli</v>
      </c>
      <c r="N10" s="1769" t="s">
        <v>151</v>
      </c>
      <c r="O10" s="5162" t="s">
        <v>12749</v>
      </c>
      <c r="P10" s="1771" t="s">
        <v>12750</v>
      </c>
      <c r="Q10" s="1771" t="s">
        <v>12751</v>
      </c>
      <c r="R10" s="1801"/>
    </row>
    <row r="11" s="1694" customFormat="1" spans="2:18">
      <c r="B11" s="1709"/>
      <c r="C11" s="1710"/>
      <c r="D11" s="1710"/>
      <c r="E11" s="1710"/>
      <c r="F11" s="1711"/>
      <c r="G11" s="1712"/>
      <c r="H11" s="1712"/>
      <c r="I11" s="1712"/>
      <c r="J11" s="1712"/>
      <c r="K11" s="1772"/>
      <c r="L11" s="1773"/>
      <c r="M11" s="1773"/>
      <c r="N11" s="1774"/>
      <c r="O11" s="1775"/>
      <c r="P11" s="1776"/>
      <c r="Q11" s="1776"/>
      <c r="R11" s="1776"/>
    </row>
    <row r="12" s="1694" customFormat="1" ht="13.8" spans="2:19">
      <c r="B12" s="1713" t="s">
        <v>973</v>
      </c>
      <c r="C12" s="1714">
        <v>1</v>
      </c>
      <c r="D12" s="1714">
        <v>0</v>
      </c>
      <c r="E12" s="1710"/>
      <c r="F12" s="1711"/>
      <c r="G12" s="1715">
        <v>0</v>
      </c>
      <c r="H12" s="1716">
        <v>0</v>
      </c>
      <c r="I12" s="1716">
        <v>0</v>
      </c>
      <c r="J12" s="1712">
        <f t="shared" ref="J12:J17" si="0">SUM(G12:I12)</f>
        <v>0</v>
      </c>
      <c r="K12" s="1772"/>
      <c r="L12" s="1773">
        <v>0</v>
      </c>
      <c r="M12" s="1773">
        <v>0</v>
      </c>
      <c r="N12" s="1773">
        <f>SUM(L12:M12)</f>
        <v>0</v>
      </c>
      <c r="O12" s="1777">
        <v>0</v>
      </c>
      <c r="P12" s="1778"/>
      <c r="Q12" s="1778"/>
      <c r="R12" s="1776" t="s">
        <v>12752</v>
      </c>
      <c r="S12" s="1802" t="s">
        <v>12753</v>
      </c>
    </row>
    <row r="13" s="1694" customFormat="1" ht="13.8" spans="2:19">
      <c r="B13" s="1713" t="s">
        <v>975</v>
      </c>
      <c r="C13" s="1714">
        <v>1</v>
      </c>
      <c r="D13" s="1714">
        <v>0</v>
      </c>
      <c r="E13" s="1710"/>
      <c r="F13" s="1711"/>
      <c r="G13" s="1715">
        <v>0</v>
      </c>
      <c r="H13" s="1716">
        <v>0</v>
      </c>
      <c r="I13" s="1716">
        <v>0</v>
      </c>
      <c r="J13" s="1712">
        <f t="shared" si="0"/>
        <v>0</v>
      </c>
      <c r="K13" s="1772"/>
      <c r="L13" s="1773">
        <v>0</v>
      </c>
      <c r="M13" s="1773">
        <v>0</v>
      </c>
      <c r="N13" s="1773">
        <f t="shared" ref="N13:N24" si="1">SUM(L13:M13)</f>
        <v>0</v>
      </c>
      <c r="O13" s="1777">
        <v>0</v>
      </c>
      <c r="P13" s="1778"/>
      <c r="Q13" s="1778"/>
      <c r="R13" s="1776" t="s">
        <v>12752</v>
      </c>
      <c r="S13" s="1802" t="s">
        <v>12753</v>
      </c>
    </row>
    <row r="14" s="1694" customFormat="1" ht="13.8" spans="2:19">
      <c r="B14" s="1713" t="s">
        <v>976</v>
      </c>
      <c r="C14" s="1714">
        <v>1</v>
      </c>
      <c r="D14" s="1714">
        <v>0</v>
      </c>
      <c r="E14" s="1710"/>
      <c r="F14" s="1711"/>
      <c r="G14" s="1715">
        <v>0</v>
      </c>
      <c r="H14" s="1716">
        <v>0</v>
      </c>
      <c r="I14" s="1716">
        <v>0</v>
      </c>
      <c r="J14" s="1712">
        <f t="shared" si="0"/>
        <v>0</v>
      </c>
      <c r="K14" s="1772"/>
      <c r="L14" s="1773">
        <v>0</v>
      </c>
      <c r="M14" s="1773">
        <v>0</v>
      </c>
      <c r="N14" s="1773">
        <f t="shared" si="1"/>
        <v>0</v>
      </c>
      <c r="O14" s="1777">
        <v>0</v>
      </c>
      <c r="P14" s="1778"/>
      <c r="Q14" s="1778"/>
      <c r="R14" s="1776" t="s">
        <v>12752</v>
      </c>
      <c r="S14" s="1802" t="s">
        <v>12753</v>
      </c>
    </row>
    <row r="15" s="1694" customFormat="1" ht="13.8" spans="2:19">
      <c r="B15" s="1713" t="s">
        <v>977</v>
      </c>
      <c r="C15" s="1714">
        <v>1</v>
      </c>
      <c r="D15" s="1714">
        <v>0</v>
      </c>
      <c r="E15" s="1710"/>
      <c r="F15" s="1711"/>
      <c r="G15" s="1715">
        <v>0</v>
      </c>
      <c r="H15" s="1716">
        <v>0</v>
      </c>
      <c r="I15" s="1716">
        <v>0</v>
      </c>
      <c r="J15" s="1712">
        <f t="shared" si="0"/>
        <v>0</v>
      </c>
      <c r="K15" s="1772"/>
      <c r="L15" s="1773">
        <v>0</v>
      </c>
      <c r="M15" s="1773">
        <v>0</v>
      </c>
      <c r="N15" s="1773">
        <f t="shared" si="1"/>
        <v>0</v>
      </c>
      <c r="O15" s="1777">
        <v>0</v>
      </c>
      <c r="P15" s="1778"/>
      <c r="Q15" s="1778"/>
      <c r="R15" s="1776" t="s">
        <v>12752</v>
      </c>
      <c r="S15" s="1802" t="s">
        <v>12753</v>
      </c>
    </row>
    <row r="16" s="1694" customFormat="1" ht="13.8" spans="2:19">
      <c r="B16" s="1713" t="s">
        <v>978</v>
      </c>
      <c r="C16" s="1714">
        <v>1</v>
      </c>
      <c r="D16" s="1714">
        <v>0</v>
      </c>
      <c r="E16" s="1710"/>
      <c r="F16" s="1711"/>
      <c r="G16" s="1715">
        <v>0</v>
      </c>
      <c r="H16" s="1716">
        <v>0</v>
      </c>
      <c r="I16" s="1716">
        <v>0</v>
      </c>
      <c r="J16" s="1712">
        <f t="shared" si="0"/>
        <v>0</v>
      </c>
      <c r="K16" s="1772"/>
      <c r="L16" s="1773">
        <v>0</v>
      </c>
      <c r="M16" s="1773">
        <v>0</v>
      </c>
      <c r="N16" s="1773">
        <f t="shared" si="1"/>
        <v>0</v>
      </c>
      <c r="O16" s="1777">
        <v>0</v>
      </c>
      <c r="P16" s="1778"/>
      <c r="Q16" s="1778"/>
      <c r="R16" s="1776" t="s">
        <v>12752</v>
      </c>
      <c r="S16" s="1802" t="s">
        <v>12753</v>
      </c>
    </row>
    <row r="17" s="1694" customFormat="1" ht="13.8" spans="2:19">
      <c r="B17" s="1713" t="s">
        <v>979</v>
      </c>
      <c r="C17" s="1714">
        <v>1</v>
      </c>
      <c r="D17" s="1714">
        <v>0</v>
      </c>
      <c r="E17" s="1710"/>
      <c r="F17" s="1711"/>
      <c r="G17" s="1715">
        <v>0</v>
      </c>
      <c r="H17" s="1716">
        <v>0</v>
      </c>
      <c r="I17" s="1716">
        <v>0</v>
      </c>
      <c r="J17" s="1712">
        <f t="shared" si="0"/>
        <v>0</v>
      </c>
      <c r="K17" s="1772"/>
      <c r="L17" s="1773">
        <v>0</v>
      </c>
      <c r="M17" s="1773">
        <v>0</v>
      </c>
      <c r="N17" s="1773">
        <f t="shared" si="1"/>
        <v>0</v>
      </c>
      <c r="O17" s="1777">
        <v>0</v>
      </c>
      <c r="P17" s="1778"/>
      <c r="Q17" s="1778"/>
      <c r="R17" s="1776" t="s">
        <v>12752</v>
      </c>
      <c r="S17" s="1802" t="s">
        <v>12753</v>
      </c>
    </row>
    <row r="18" s="1694" customFormat="1" ht="13.8" spans="2:19">
      <c r="B18" s="1713" t="s">
        <v>980</v>
      </c>
      <c r="C18" s="1714">
        <v>1</v>
      </c>
      <c r="D18" s="1714">
        <v>0</v>
      </c>
      <c r="E18" s="1710"/>
      <c r="F18" s="1711"/>
      <c r="G18" s="1715">
        <v>0</v>
      </c>
      <c r="H18" s="1716">
        <v>0</v>
      </c>
      <c r="I18" s="1716">
        <v>0</v>
      </c>
      <c r="J18" s="1712">
        <f t="shared" ref="J18:J24" si="2">SUM(G18:I18)</f>
        <v>0</v>
      </c>
      <c r="K18" s="1772"/>
      <c r="L18" s="1773">
        <v>0</v>
      </c>
      <c r="M18" s="1773">
        <v>0</v>
      </c>
      <c r="N18" s="1773">
        <f t="shared" si="1"/>
        <v>0</v>
      </c>
      <c r="O18" s="1777">
        <v>0</v>
      </c>
      <c r="P18" s="1778"/>
      <c r="Q18" s="1778"/>
      <c r="R18" s="1776" t="s">
        <v>12752</v>
      </c>
      <c r="S18" s="1802" t="s">
        <v>12753</v>
      </c>
    </row>
    <row r="19" s="1694" customFormat="1" ht="13.8" spans="2:19">
      <c r="B19" s="1713" t="s">
        <v>981</v>
      </c>
      <c r="C19" s="1714">
        <v>1</v>
      </c>
      <c r="D19" s="1714">
        <v>0</v>
      </c>
      <c r="E19" s="1710"/>
      <c r="F19" s="1711"/>
      <c r="G19" s="1715">
        <v>0</v>
      </c>
      <c r="H19" s="1716">
        <v>0</v>
      </c>
      <c r="I19" s="1716">
        <v>0</v>
      </c>
      <c r="J19" s="1712">
        <f t="shared" si="2"/>
        <v>0</v>
      </c>
      <c r="K19" s="1772"/>
      <c r="L19" s="1773">
        <v>0</v>
      </c>
      <c r="M19" s="1773">
        <v>0</v>
      </c>
      <c r="N19" s="1773">
        <f t="shared" si="1"/>
        <v>0</v>
      </c>
      <c r="O19" s="1777">
        <v>0</v>
      </c>
      <c r="P19" s="1778"/>
      <c r="Q19" s="1778"/>
      <c r="R19" s="1776" t="s">
        <v>12752</v>
      </c>
      <c r="S19" s="1802" t="s">
        <v>12753</v>
      </c>
    </row>
    <row r="20" s="1694" customFormat="1" ht="13.8" spans="2:19">
      <c r="B20" s="1713" t="s">
        <v>982</v>
      </c>
      <c r="C20" s="1714">
        <v>1</v>
      </c>
      <c r="D20" s="1714">
        <v>0</v>
      </c>
      <c r="E20" s="1710"/>
      <c r="F20" s="1711"/>
      <c r="G20" s="1715">
        <v>0</v>
      </c>
      <c r="H20" s="1716">
        <v>0</v>
      </c>
      <c r="I20" s="1716">
        <v>0</v>
      </c>
      <c r="J20" s="1712">
        <f t="shared" si="2"/>
        <v>0</v>
      </c>
      <c r="K20" s="1772"/>
      <c r="L20" s="1773">
        <v>0</v>
      </c>
      <c r="M20" s="1773">
        <v>0</v>
      </c>
      <c r="N20" s="1773">
        <f t="shared" si="1"/>
        <v>0</v>
      </c>
      <c r="O20" s="1777">
        <v>0</v>
      </c>
      <c r="P20" s="1778"/>
      <c r="Q20" s="1778"/>
      <c r="R20" s="1776" t="s">
        <v>12752</v>
      </c>
      <c r="S20" s="1802" t="s">
        <v>12753</v>
      </c>
    </row>
    <row r="21" s="1694" customFormat="1" ht="13.8" spans="2:19">
      <c r="B21" s="1713" t="s">
        <v>983</v>
      </c>
      <c r="C21" s="1714">
        <v>1</v>
      </c>
      <c r="D21" s="1714">
        <v>0</v>
      </c>
      <c r="E21" s="1710"/>
      <c r="F21" s="1711"/>
      <c r="G21" s="1715">
        <v>0</v>
      </c>
      <c r="H21" s="1716">
        <v>0</v>
      </c>
      <c r="I21" s="1716">
        <v>0</v>
      </c>
      <c r="J21" s="1712">
        <f t="shared" si="2"/>
        <v>0</v>
      </c>
      <c r="K21" s="1772"/>
      <c r="L21" s="1773">
        <v>0</v>
      </c>
      <c r="M21" s="1773">
        <v>0</v>
      </c>
      <c r="N21" s="1773">
        <f t="shared" si="1"/>
        <v>0</v>
      </c>
      <c r="O21" s="1777">
        <v>0</v>
      </c>
      <c r="P21" s="1778"/>
      <c r="Q21" s="1778"/>
      <c r="R21" s="1776" t="s">
        <v>12752</v>
      </c>
      <c r="S21" s="1802" t="s">
        <v>12753</v>
      </c>
    </row>
    <row r="22" s="1694" customFormat="1" ht="13.8" spans="2:19">
      <c r="B22" s="1713" t="s">
        <v>12716</v>
      </c>
      <c r="C22" s="1714">
        <v>1</v>
      </c>
      <c r="D22" s="1714">
        <v>0</v>
      </c>
      <c r="E22" s="1710"/>
      <c r="F22" s="1711"/>
      <c r="G22" s="1715">
        <v>0</v>
      </c>
      <c r="H22" s="1716">
        <v>0</v>
      </c>
      <c r="I22" s="1716">
        <v>0</v>
      </c>
      <c r="J22" s="1712">
        <f t="shared" si="2"/>
        <v>0</v>
      </c>
      <c r="K22" s="1772"/>
      <c r="L22" s="1773">
        <v>0</v>
      </c>
      <c r="M22" s="1773">
        <v>0</v>
      </c>
      <c r="N22" s="1773">
        <f t="shared" si="1"/>
        <v>0</v>
      </c>
      <c r="O22" s="1777">
        <v>0</v>
      </c>
      <c r="P22" s="1778"/>
      <c r="Q22" s="1778"/>
      <c r="R22" s="1776" t="s">
        <v>12752</v>
      </c>
      <c r="S22" s="1802" t="s">
        <v>12753</v>
      </c>
    </row>
    <row r="23" s="1694" customFormat="1" ht="13.8" spans="2:19">
      <c r="B23" s="1717" t="s">
        <v>12717</v>
      </c>
      <c r="C23" s="1714">
        <v>1</v>
      </c>
      <c r="D23" s="1714">
        <v>0</v>
      </c>
      <c r="E23" s="1718"/>
      <c r="F23" s="1711"/>
      <c r="G23" s="1715">
        <v>0</v>
      </c>
      <c r="H23" s="1716">
        <v>0</v>
      </c>
      <c r="I23" s="1716">
        <v>0</v>
      </c>
      <c r="J23" s="1712">
        <f t="shared" si="2"/>
        <v>0</v>
      </c>
      <c r="K23" s="1772"/>
      <c r="L23" s="1773">
        <v>0</v>
      </c>
      <c r="M23" s="1773">
        <v>0</v>
      </c>
      <c r="N23" s="1773">
        <f t="shared" si="1"/>
        <v>0</v>
      </c>
      <c r="O23" s="1777">
        <v>0</v>
      </c>
      <c r="P23" s="1778"/>
      <c r="Q23" s="1778"/>
      <c r="R23" s="1776" t="s">
        <v>12752</v>
      </c>
      <c r="S23" s="1802" t="s">
        <v>12753</v>
      </c>
    </row>
    <row r="24" s="1695" customFormat="1" ht="13.8" spans="2:19">
      <c r="B24" s="1081" t="s">
        <v>12754</v>
      </c>
      <c r="C24" s="1719">
        <v>0</v>
      </c>
      <c r="D24" s="1720">
        <f>D23</f>
        <v>0</v>
      </c>
      <c r="E24" s="1721"/>
      <c r="F24" s="1711"/>
      <c r="G24" s="1715">
        <v>0</v>
      </c>
      <c r="H24" s="1716">
        <v>0</v>
      </c>
      <c r="I24" s="1716">
        <v>0</v>
      </c>
      <c r="J24" s="1712">
        <f t="shared" si="2"/>
        <v>0</v>
      </c>
      <c r="K24" s="1772"/>
      <c r="L24" s="1773">
        <v>0</v>
      </c>
      <c r="M24" s="1773">
        <v>0</v>
      </c>
      <c r="N24" s="1779">
        <f t="shared" si="1"/>
        <v>0</v>
      </c>
      <c r="O24" s="1780"/>
      <c r="P24" s="1781"/>
      <c r="Q24" s="1803"/>
      <c r="R24" s="1804" t="str">
        <f>R23</f>
        <v>Blm dbyr</v>
      </c>
      <c r="S24" s="1805" t="s">
        <v>12753</v>
      </c>
    </row>
    <row r="25" customFormat="1" ht="11.4" spans="2:18">
      <c r="B25" s="191"/>
      <c r="C25" s="159"/>
      <c r="D25" s="191"/>
      <c r="E25" s="159"/>
      <c r="F25" s="1711"/>
      <c r="G25" s="159"/>
      <c r="H25" s="191"/>
      <c r="I25" s="159"/>
      <c r="J25" s="191"/>
      <c r="K25" s="1772"/>
      <c r="L25" s="191"/>
      <c r="M25" s="159"/>
      <c r="N25" s="191"/>
      <c r="O25" s="159"/>
      <c r="P25" s="191"/>
      <c r="Q25" s="159"/>
      <c r="R25" s="191"/>
    </row>
    <row r="26" customFormat="1" ht="11.4" spans="2:18">
      <c r="B26" s="191"/>
      <c r="C26" s="159"/>
      <c r="D26" s="191"/>
      <c r="E26" s="159" t="s">
        <v>675</v>
      </c>
      <c r="F26" s="1711"/>
      <c r="G26" s="159">
        <f>SUM(G12:G25)</f>
        <v>0</v>
      </c>
      <c r="H26" s="191">
        <f>SUM(H12:H25)</f>
        <v>0</v>
      </c>
      <c r="I26" s="159">
        <f>SUM(I12:I25)</f>
        <v>0</v>
      </c>
      <c r="J26" s="191">
        <f>SUM(J12:J25)</f>
        <v>0</v>
      </c>
      <c r="K26" s="1772"/>
      <c r="L26" s="191">
        <f>SUM(L12:L25)</f>
        <v>0</v>
      </c>
      <c r="M26" s="159">
        <f>SUM(M12:M25)</f>
        <v>0</v>
      </c>
      <c r="N26" s="191">
        <f>SUM(N12:N25)</f>
        <v>0</v>
      </c>
      <c r="O26" s="159">
        <f>SUM(O11:O25)</f>
        <v>0</v>
      </c>
      <c r="P26" s="191"/>
      <c r="Q26" s="159"/>
      <c r="R26" s="191"/>
    </row>
    <row r="27" s="1694" customFormat="1" ht="11.4" spans="2:18">
      <c r="B27" s="1722"/>
      <c r="C27" s="1723"/>
      <c r="D27" s="1722"/>
      <c r="E27" s="1722"/>
      <c r="F27" s="1724"/>
      <c r="G27" s="164"/>
      <c r="H27" s="1722"/>
      <c r="I27" s="164"/>
      <c r="J27" s="142"/>
      <c r="K27" s="1782"/>
      <c r="L27" s="1783"/>
      <c r="M27" s="1783"/>
      <c r="N27" s="1783"/>
      <c r="O27" s="1722"/>
      <c r="P27" s="1722"/>
      <c r="Q27" s="1722"/>
      <c r="R27" s="1722"/>
    </row>
    <row r="28" s="1694" customFormat="1" ht="11.4" spans="10:10">
      <c r="J28"/>
    </row>
    <row r="29" s="1694" customFormat="1" spans="2:2">
      <c r="B29" s="5163" t="s">
        <v>12755</v>
      </c>
    </row>
    <row r="30" s="1694" customFormat="1" ht="10.95"/>
    <row r="31" s="1694" customFormat="1" spans="2:14">
      <c r="B31" s="1726"/>
      <c r="C31" s="1727"/>
      <c r="D31" s="1727"/>
      <c r="E31" s="1727"/>
      <c r="F31" s="1727"/>
      <c r="G31" s="1727"/>
      <c r="H31" s="1727"/>
      <c r="I31" s="1727"/>
      <c r="J31" s="1727"/>
      <c r="K31" s="1784"/>
      <c r="L31" s="1785"/>
      <c r="M31" s="1785"/>
      <c r="N31" s="1785"/>
    </row>
    <row r="32" spans="2:15">
      <c r="B32" s="5164" t="s">
        <v>12756</v>
      </c>
      <c r="C32" s="1729"/>
      <c r="D32" s="1729"/>
      <c r="E32" s="1729"/>
      <c r="F32" s="1729"/>
      <c r="G32" s="1729"/>
      <c r="H32" s="1729"/>
      <c r="I32" s="1729"/>
      <c r="J32" s="1729"/>
      <c r="K32" s="1786"/>
      <c r="L32" s="1785"/>
      <c r="M32" s="1785"/>
      <c r="N32" s="1785"/>
      <c r="O32" s="1787"/>
    </row>
    <row r="33" spans="2:15">
      <c r="B33" s="1730"/>
      <c r="C33" s="1729"/>
      <c r="D33" s="1729"/>
      <c r="E33" s="1729"/>
      <c r="F33" s="1729"/>
      <c r="G33" s="1731" t="s">
        <v>151</v>
      </c>
      <c r="H33" s="1731" t="s">
        <v>151</v>
      </c>
      <c r="I33" s="1729"/>
      <c r="J33" s="1729"/>
      <c r="K33" s="1786"/>
      <c r="L33" s="1785"/>
      <c r="M33" s="1785"/>
      <c r="N33" s="1785"/>
      <c r="O33" s="1787"/>
    </row>
    <row r="34" spans="2:14">
      <c r="B34" s="1730"/>
      <c r="C34" s="1729"/>
      <c r="D34" s="1729"/>
      <c r="E34" s="1729"/>
      <c r="F34" s="1729"/>
      <c r="G34" s="5165" t="s">
        <v>12757</v>
      </c>
      <c r="H34" s="1731" t="s">
        <v>12758</v>
      </c>
      <c r="I34" s="1731" t="s">
        <v>12759</v>
      </c>
      <c r="J34" s="1729"/>
      <c r="K34" s="1786"/>
      <c r="L34" s="1785"/>
      <c r="M34" s="1785"/>
      <c r="N34" s="1785"/>
    </row>
    <row r="35" ht="12" spans="2:14">
      <c r="B35" s="1730"/>
      <c r="C35" s="1729"/>
      <c r="D35" s="1729"/>
      <c r="E35" s="1729"/>
      <c r="F35" s="1729"/>
      <c r="G35" s="1732" t="s">
        <v>12758</v>
      </c>
      <c r="H35" s="5166" t="s">
        <v>12760</v>
      </c>
      <c r="I35" s="1732" t="s">
        <v>12761</v>
      </c>
      <c r="J35" s="1729"/>
      <c r="K35" s="1786"/>
      <c r="L35" s="1785"/>
      <c r="M35" s="1785"/>
      <c r="N35" s="1785"/>
    </row>
    <row r="36" spans="2:14">
      <c r="B36" s="1730"/>
      <c r="C36" s="1729"/>
      <c r="D36" s="1729"/>
      <c r="E36" s="1729"/>
      <c r="F36" s="1729"/>
      <c r="G36" s="1733"/>
      <c r="H36" s="1729"/>
      <c r="I36" s="1729"/>
      <c r="J36" s="1729"/>
      <c r="K36" s="1786"/>
      <c r="L36" s="1785"/>
      <c r="M36" s="1785"/>
      <c r="N36" s="1785"/>
    </row>
    <row r="37" spans="2:14">
      <c r="B37" s="1734" t="s">
        <v>12762</v>
      </c>
      <c r="C37" s="1729"/>
      <c r="D37" s="1729"/>
      <c r="E37" s="1729"/>
      <c r="F37" s="1729"/>
      <c r="G37" s="1735">
        <v>200</v>
      </c>
      <c r="H37" s="1736">
        <f>G26</f>
        <v>0</v>
      </c>
      <c r="I37" s="1788">
        <f>M26</f>
        <v>0</v>
      </c>
      <c r="J37" s="1729"/>
      <c r="K37" s="1786"/>
      <c r="L37" s="1785"/>
      <c r="M37" s="1785"/>
      <c r="N37" s="1785"/>
    </row>
    <row r="38" spans="2:14">
      <c r="B38" s="1734" t="s">
        <v>12747</v>
      </c>
      <c r="C38" s="1729"/>
      <c r="D38" s="1729"/>
      <c r="E38" s="1729"/>
      <c r="F38" s="1729"/>
      <c r="G38" s="1735">
        <v>15</v>
      </c>
      <c r="H38" s="1736">
        <f>H26</f>
        <v>0</v>
      </c>
      <c r="I38" s="1736">
        <f>L26</f>
        <v>0</v>
      </c>
      <c r="J38" s="1729"/>
      <c r="K38" s="1786"/>
      <c r="L38" s="1785"/>
      <c r="M38" s="1785"/>
      <c r="N38" s="1785"/>
    </row>
    <row r="39" spans="2:14">
      <c r="B39" s="1734" t="s">
        <v>402</v>
      </c>
      <c r="C39" s="1729"/>
      <c r="D39" s="1729"/>
      <c r="E39" s="1729"/>
      <c r="F39" s="1729"/>
      <c r="G39" s="1735"/>
      <c r="H39" s="1737"/>
      <c r="I39" s="1737"/>
      <c r="J39" s="1729"/>
      <c r="K39" s="1786"/>
      <c r="L39" s="1785"/>
      <c r="M39" s="1785"/>
      <c r="N39" s="1785"/>
    </row>
    <row r="40" spans="2:14">
      <c r="B40" s="1734" t="s">
        <v>151</v>
      </c>
      <c r="C40" s="1729"/>
      <c r="D40" s="1729"/>
      <c r="E40" s="1729"/>
      <c r="F40" s="1729"/>
      <c r="G40" s="1738"/>
      <c r="H40" s="1739">
        <f>SUM(H37:H39)</f>
        <v>0</v>
      </c>
      <c r="I40" s="1739">
        <f>SUM(I37:I39)</f>
        <v>0</v>
      </c>
      <c r="J40" s="1729"/>
      <c r="K40" s="1786"/>
      <c r="L40" s="1785"/>
      <c r="M40" s="1785"/>
      <c r="N40" s="1785"/>
    </row>
    <row r="41" spans="2:14">
      <c r="B41" s="1734"/>
      <c r="C41" s="1729"/>
      <c r="D41" s="1729"/>
      <c r="E41" s="1729"/>
      <c r="F41" s="1729"/>
      <c r="G41" s="1738"/>
      <c r="H41" s="1738"/>
      <c r="I41" s="1738"/>
      <c r="J41" s="1729"/>
      <c r="K41" s="1786"/>
      <c r="L41" s="1785"/>
      <c r="M41" s="1785"/>
      <c r="N41" s="1785"/>
    </row>
    <row r="42" ht="13.2" spans="2:16">
      <c r="B42" s="1734" t="s">
        <v>12763</v>
      </c>
      <c r="C42" s="1729"/>
      <c r="D42" s="1729"/>
      <c r="E42" s="1729"/>
      <c r="F42" s="1729"/>
      <c r="G42" s="1731"/>
      <c r="H42" s="1740"/>
      <c r="I42" s="1789">
        <f>O26</f>
        <v>0</v>
      </c>
      <c r="J42" s="1729"/>
      <c r="K42" s="1786"/>
      <c r="L42" s="1785"/>
      <c r="M42" s="1785"/>
      <c r="N42" s="1785"/>
      <c r="P42" s="1790"/>
    </row>
    <row r="43" spans="2:14">
      <c r="B43" s="5167" t="s">
        <v>12764</v>
      </c>
      <c r="C43" s="1729"/>
      <c r="D43" s="1729"/>
      <c r="E43" s="1729"/>
      <c r="F43" s="1729"/>
      <c r="G43" s="1742"/>
      <c r="H43" s="1729"/>
      <c r="I43" s="1791">
        <f>I40-I42</f>
        <v>0</v>
      </c>
      <c r="J43" s="1729"/>
      <c r="K43" s="1786"/>
      <c r="L43" s="1785"/>
      <c r="M43" s="1785"/>
      <c r="N43" s="1785"/>
    </row>
    <row r="44" spans="2:14">
      <c r="B44" s="1734" t="s">
        <v>11930</v>
      </c>
      <c r="C44" s="1729"/>
      <c r="D44" s="1729"/>
      <c r="E44" s="1729"/>
      <c r="F44" s="1729"/>
      <c r="G44" s="1742"/>
      <c r="H44" s="1743"/>
      <c r="I44" s="1789">
        <f>FF!E14</f>
        <v>4182669.44583333</v>
      </c>
      <c r="J44" s="1729"/>
      <c r="K44" s="1786"/>
      <c r="L44" s="1785"/>
      <c r="M44" s="1785"/>
      <c r="N44" s="1785"/>
    </row>
    <row r="45" ht="10.95" spans="2:14">
      <c r="B45" s="1744" t="s">
        <v>146</v>
      </c>
      <c r="C45" s="1729"/>
      <c r="D45" s="1729"/>
      <c r="E45" s="1729"/>
      <c r="F45" s="1729"/>
      <c r="G45" s="1742"/>
      <c r="H45" s="1729"/>
      <c r="I45" s="1792">
        <f>I43-I44</f>
        <v>-4182669.44583333</v>
      </c>
      <c r="J45" s="1793"/>
      <c r="K45" s="1786"/>
      <c r="L45" s="1785"/>
      <c r="M45" s="1785"/>
      <c r="N45" s="1785"/>
    </row>
    <row r="46" ht="12.15" spans="2:14">
      <c r="B46" s="1744"/>
      <c r="C46" s="1729"/>
      <c r="D46" s="1729"/>
      <c r="E46" s="1729"/>
      <c r="F46" s="1729"/>
      <c r="G46" s="1742"/>
      <c r="H46" s="1729"/>
      <c r="I46"/>
      <c r="J46" s="1793"/>
      <c r="K46" s="1786"/>
      <c r="L46" s="1785"/>
      <c r="M46" s="1785"/>
      <c r="N46" s="1785"/>
    </row>
    <row r="47" ht="11.4" spans="2:14">
      <c r="B47" s="1744"/>
      <c r="C47" s="1729"/>
      <c r="D47" s="1729"/>
      <c r="E47" s="1729"/>
      <c r="F47" s="1729"/>
      <c r="G47" s="1742"/>
      <c r="H47" s="1729"/>
      <c r="I47"/>
      <c r="J47" s="1793"/>
      <c r="K47" s="1786"/>
      <c r="L47" s="1785"/>
      <c r="M47" s="1785"/>
      <c r="N47" s="1785"/>
    </row>
    <row r="48" ht="11.4" spans="2:14">
      <c r="B48" s="1744"/>
      <c r="C48" s="1729"/>
      <c r="D48" s="1729"/>
      <c r="E48" s="1729"/>
      <c r="F48" s="1729"/>
      <c r="G48" s="1742"/>
      <c r="H48" s="1729"/>
      <c r="I48"/>
      <c r="J48" s="1793"/>
      <c r="K48" s="1786"/>
      <c r="L48" s="1785"/>
      <c r="M48" s="1785"/>
      <c r="N48" s="1785"/>
    </row>
    <row r="49" spans="2:14">
      <c r="B49" s="1730"/>
      <c r="C49" s="1729"/>
      <c r="D49" s="1729"/>
      <c r="E49" s="1729"/>
      <c r="F49" s="1729"/>
      <c r="G49" s="1742"/>
      <c r="H49" s="1729"/>
      <c r="I49" s="1794"/>
      <c r="J49" s="1729"/>
      <c r="K49" s="1786"/>
      <c r="L49" s="1785"/>
      <c r="M49" s="1785"/>
      <c r="N49" s="1785"/>
    </row>
    <row r="50" ht="11.4" spans="2:14">
      <c r="B50" t="s">
        <v>12765</v>
      </c>
      <c r="C50"/>
      <c r="D50"/>
      <c r="E50"/>
      <c r="F50"/>
      <c r="G50" t="s">
        <v>453</v>
      </c>
      <c r="H50"/>
      <c r="I50"/>
      <c r="J50"/>
      <c r="K50"/>
      <c r="L50" s="1785"/>
      <c r="M50" s="1785"/>
      <c r="N50" s="1785"/>
    </row>
    <row r="51" ht="11.4" spans="2:14">
      <c r="B51"/>
      <c r="C51"/>
      <c r="D51"/>
      <c r="E51"/>
      <c r="F51"/>
      <c r="G51" t="s">
        <v>12766</v>
      </c>
      <c r="H51" t="s">
        <v>12767</v>
      </c>
      <c r="I51" t="s">
        <v>12766</v>
      </c>
      <c r="J51" t="s">
        <v>12767</v>
      </c>
      <c r="K51"/>
      <c r="L51" s="1785"/>
      <c r="M51" s="1785"/>
      <c r="N51" s="1785"/>
    </row>
    <row r="52" ht="11.4" spans="2:22">
      <c r="B52" s="1730"/>
      <c r="C52"/>
      <c r="D52"/>
      <c r="E52"/>
      <c r="F52"/>
      <c r="G52" s="1745" t="s">
        <v>12768</v>
      </c>
      <c r="H52" t="s">
        <v>12769</v>
      </c>
      <c r="I52" s="1745" t="s">
        <v>12768</v>
      </c>
      <c r="J52" t="s">
        <v>12769</v>
      </c>
      <c r="K52" s="1786"/>
      <c r="L52" s="1785"/>
      <c r="M52" s="1785"/>
      <c r="N52" s="1785"/>
      <c r="V52" s="1698">
        <f>T52+U52</f>
        <v>0</v>
      </c>
    </row>
    <row r="53" ht="11.4" spans="2:22">
      <c r="B53" s="1730" t="s">
        <v>12770</v>
      </c>
      <c r="C53"/>
      <c r="D53"/>
      <c r="E53"/>
      <c r="F53"/>
      <c r="G53">
        <f>G26</f>
        <v>0</v>
      </c>
      <c r="H53">
        <f>H26</f>
        <v>0</v>
      </c>
      <c r="I53">
        <f>0</f>
        <v>0</v>
      </c>
      <c r="J53">
        <v>0</v>
      </c>
      <c r="K53" s="1786"/>
      <c r="L53" s="1785"/>
      <c r="M53" s="1785"/>
      <c r="N53" s="1785"/>
      <c r="V53" s="1698">
        <f>H38</f>
        <v>0</v>
      </c>
    </row>
    <row r="54" ht="11.4" spans="2:22">
      <c r="B54" s="1730" t="s">
        <v>12771</v>
      </c>
      <c r="C54"/>
      <c r="D54"/>
      <c r="E54" t="s">
        <v>12772</v>
      </c>
      <c r="F54"/>
      <c r="G54"/>
      <c r="H54"/>
      <c r="I54"/>
      <c r="J54"/>
      <c r="K54" s="1786"/>
      <c r="L54" s="1785"/>
      <c r="M54" s="1785"/>
      <c r="N54" s="1785"/>
      <c r="V54" s="1698">
        <f>V52-V53</f>
        <v>0</v>
      </c>
    </row>
    <row r="55" ht="11.4" spans="2:14">
      <c r="B55" s="1730" t="s">
        <v>12773</v>
      </c>
      <c r="C55"/>
      <c r="D55"/>
      <c r="E55">
        <v>20</v>
      </c>
      <c r="F55"/>
      <c r="G55">
        <f>'20'!K16</f>
        <v>147230000</v>
      </c>
      <c r="H55" t="e">
        <f>'20'!#REF!</f>
        <v>#REF!</v>
      </c>
      <c r="I55">
        <f>'20'!Q16</f>
        <v>155956751</v>
      </c>
      <c r="J55" t="e">
        <f>'20'!#REF!</f>
        <v>#REF!</v>
      </c>
      <c r="K55" s="1786"/>
      <c r="L55" s="1785"/>
      <c r="M55" s="1785"/>
      <c r="N55" s="1785"/>
    </row>
    <row r="56" ht="11.4" spans="2:14">
      <c r="B56" s="1730" t="s">
        <v>12774</v>
      </c>
      <c r="C56"/>
      <c r="D56"/>
      <c r="E56">
        <v>30</v>
      </c>
      <c r="F56"/>
      <c r="G56">
        <f>'40'!K15</f>
        <v>0</v>
      </c>
      <c r="H56">
        <v>0</v>
      </c>
      <c r="I56">
        <f>'40'!Q15</f>
        <v>0</v>
      </c>
      <c r="J56">
        <v>0</v>
      </c>
      <c r="K56" s="1786"/>
      <c r="L56" s="1785"/>
      <c r="M56" s="1785"/>
      <c r="N56" s="1785"/>
    </row>
    <row r="57" ht="11.4" spans="2:14">
      <c r="B57" s="5168" t="s">
        <v>12775</v>
      </c>
      <c r="C57"/>
      <c r="D57"/>
      <c r="E57">
        <v>40</v>
      </c>
      <c r="F57"/>
      <c r="G57">
        <f>'40'!K27</f>
        <v>585722836</v>
      </c>
      <c r="H57">
        <v>0</v>
      </c>
      <c r="I57">
        <f>'40'!Q27</f>
        <v>602760278.3</v>
      </c>
      <c r="J57">
        <v>0</v>
      </c>
      <c r="K57" s="1786"/>
      <c r="L57" s="1785"/>
      <c r="M57" s="1785"/>
      <c r="N57" s="1785"/>
    </row>
    <row r="58" ht="11.4" spans="2:14">
      <c r="B58" t="s">
        <v>12776</v>
      </c>
      <c r="C58"/>
      <c r="D58"/>
      <c r="E58"/>
      <c r="F58"/>
      <c r="G58" s="1739">
        <f>SUM(G55:G57)</f>
        <v>732952836</v>
      </c>
      <c r="H58" t="e">
        <f>SUM(H55:H57)</f>
        <v>#REF!</v>
      </c>
      <c r="I58" s="1739">
        <f>SUM(I55:I57)</f>
        <v>758717029.3</v>
      </c>
      <c r="J58" t="e">
        <f>SUM(J55:J57)</f>
        <v>#REF!</v>
      </c>
      <c r="K58"/>
      <c r="L58" s="1795"/>
      <c r="M58" s="1795"/>
      <c r="N58" s="1795"/>
    </row>
    <row r="59" s="1696" customFormat="1" ht="11.4" spans="2:14">
      <c r="B59" s="1747"/>
      <c r="C59" s="1748"/>
      <c r="D59" s="1748"/>
      <c r="E59" s="1748"/>
      <c r="F59"/>
      <c r="G59"/>
      <c r="H59"/>
      <c r="I59"/>
      <c r="J59"/>
      <c r="K59" s="1796"/>
      <c r="L59" s="1795"/>
      <c r="M59" s="1795"/>
      <c r="N59" s="1795"/>
    </row>
    <row r="60" s="1696" customFormat="1" ht="10.95" spans="2:14">
      <c r="B60" s="1749" t="s">
        <v>12777</v>
      </c>
      <c r="C60" s="1750"/>
      <c r="D60" s="1750"/>
      <c r="E60" s="1750"/>
      <c r="F60" s="1750"/>
      <c r="G60" s="1751">
        <f>G53-G58</f>
        <v>-732952836</v>
      </c>
      <c r="H60" s="1751" t="e">
        <f>H53-H58</f>
        <v>#REF!</v>
      </c>
      <c r="I60" s="1751">
        <f>I53-I58</f>
        <v>-758717029.3</v>
      </c>
      <c r="J60" s="1751" t="e">
        <f>J53-J58</f>
        <v>#REF!</v>
      </c>
      <c r="K60" s="1797"/>
      <c r="L60" s="1798"/>
      <c r="M60" s="1798"/>
      <c r="N60" s="1798"/>
    </row>
    <row r="61" s="1697" customFormat="1" ht="10.95" spans="2:14">
      <c r="B61" s="1749"/>
      <c r="C61" s="1750"/>
      <c r="D61" s="1750"/>
      <c r="E61" s="1750"/>
      <c r="F61" s="1750"/>
      <c r="G61" s="1752"/>
      <c r="H61" s="1752"/>
      <c r="I61" s="1752"/>
      <c r="J61" s="1750"/>
      <c r="K61" s="1797"/>
      <c r="L61" s="1798"/>
      <c r="M61" s="1798"/>
      <c r="N61" s="1798"/>
    </row>
    <row r="62" s="1697" customFormat="1" spans="2:14">
      <c r="B62" s="1749"/>
      <c r="C62" s="1750"/>
      <c r="D62" s="1750"/>
      <c r="E62" s="1750"/>
      <c r="F62" s="1750"/>
      <c r="G62" s="1753" t="s">
        <v>12778</v>
      </c>
      <c r="H62" s="1752"/>
      <c r="I62" s="1752"/>
      <c r="J62" s="1750"/>
      <c r="K62" s="1797"/>
      <c r="L62" s="1798"/>
      <c r="M62" s="1798"/>
      <c r="N62" s="1798"/>
    </row>
    <row r="63" s="1697" customFormat="1" spans="2:14">
      <c r="B63" s="1749"/>
      <c r="C63" s="1750"/>
      <c r="D63" s="1750"/>
      <c r="E63" s="1750"/>
      <c r="F63" s="1750"/>
      <c r="G63" s="1752"/>
      <c r="H63" s="1752"/>
      <c r="I63" s="1752"/>
      <c r="J63" s="1750"/>
      <c r="K63" s="1797"/>
      <c r="L63" s="1798"/>
      <c r="M63" s="1798"/>
      <c r="N63" s="1798"/>
    </row>
    <row r="64" s="1697" customFormat="1" ht="10.95" spans="2:14">
      <c r="B64" s="1754"/>
      <c r="C64" s="1755"/>
      <c r="D64" s="1755"/>
      <c r="E64" s="1755"/>
      <c r="F64" s="1755"/>
      <c r="G64" s="1755"/>
      <c r="H64" s="1755"/>
      <c r="I64" s="1755"/>
      <c r="J64" s="1755"/>
      <c r="K64" s="1799"/>
      <c r="L64" s="1785"/>
      <c r="M64" s="1785"/>
      <c r="N64" s="1785"/>
    </row>
    <row r="70" ht="10.95" spans="7:7">
      <c r="G70" s="1708" t="s">
        <v>12762</v>
      </c>
    </row>
    <row r="71" spans="7:7">
      <c r="G71" s="1712"/>
    </row>
    <row r="72" ht="13.8" spans="5:7">
      <c r="E72" s="1698" t="s">
        <v>12673</v>
      </c>
      <c r="G72" s="1715">
        <v>0</v>
      </c>
    </row>
    <row r="73" ht="13.8" spans="5:7">
      <c r="E73" s="1698" t="s">
        <v>12674</v>
      </c>
      <c r="G73" s="1715">
        <v>0</v>
      </c>
    </row>
    <row r="74" ht="13.8" spans="5:7">
      <c r="E74" s="1698" t="s">
        <v>12779</v>
      </c>
      <c r="G74" s="1715">
        <v>0</v>
      </c>
    </row>
    <row r="75" ht="13.8" spans="5:7">
      <c r="E75" s="1698" t="s">
        <v>12675</v>
      </c>
      <c r="G75" s="1715">
        <v>0</v>
      </c>
    </row>
    <row r="76" ht="13.8" spans="5:7">
      <c r="E76" s="1698" t="s">
        <v>12780</v>
      </c>
      <c r="G76" s="1715">
        <v>0</v>
      </c>
    </row>
    <row r="77" ht="13.8" spans="5:7">
      <c r="E77" s="1698" t="s">
        <v>12676</v>
      </c>
      <c r="G77" s="1715">
        <v>0</v>
      </c>
    </row>
    <row r="78" ht="13.8" spans="5:7">
      <c r="E78" s="1698" t="s">
        <v>12781</v>
      </c>
      <c r="G78" s="1715">
        <v>0</v>
      </c>
    </row>
    <row r="79" ht="13.8" spans="5:7">
      <c r="E79" s="1698" t="s">
        <v>12782</v>
      </c>
      <c r="G79" s="1715">
        <v>0</v>
      </c>
    </row>
    <row r="80" ht="13.8" spans="5:7">
      <c r="E80" s="1698" t="s">
        <v>12678</v>
      </c>
      <c r="G80" s="1715">
        <v>0</v>
      </c>
    </row>
    <row r="81" ht="13.8" spans="5:7">
      <c r="E81" s="1698" t="s">
        <v>12783</v>
      </c>
      <c r="G81" s="1715">
        <v>0</v>
      </c>
    </row>
    <row r="82" ht="13.8" spans="5:7">
      <c r="E82" s="1698" t="s">
        <v>12680</v>
      </c>
      <c r="G82" s="1715">
        <v>0</v>
      </c>
    </row>
    <row r="84" spans="5:7">
      <c r="E84" s="1698" t="s">
        <v>12784</v>
      </c>
      <c r="G84" s="1698">
        <f>SUM(G72:G83)</f>
        <v>0</v>
      </c>
    </row>
    <row r="85" ht="11.4" spans="2:9">
      <c r="B85">
        <f>[104]Januari!$AE$7</f>
        <v>234</v>
      </c>
      <c r="C85">
        <f>[104]Januari!$AE$38</f>
        <v>1095453011.33433</v>
      </c>
      <c r="I85">
        <f>[104]Januari!$AE$33</f>
        <v>44949158.2600733</v>
      </c>
    </row>
    <row r="86" ht="11.4" spans="2:9">
      <c r="B86">
        <f>[104]February!$AE$7</f>
        <v>233</v>
      </c>
      <c r="C86">
        <f>[104]February!$AE$38</f>
        <v>1103447985.50769</v>
      </c>
      <c r="I86">
        <f>[104]February!$AE$33</f>
        <v>45264925.2761905</v>
      </c>
    </row>
    <row r="87" ht="11.4" spans="2:9">
      <c r="B87">
        <f>[104]Maret!$AE$7</f>
        <v>260</v>
      </c>
      <c r="C87">
        <f>[104]Maret!$AE$38</f>
        <v>1177096375.29249</v>
      </c>
      <c r="I87">
        <f>[104]Maret!$AE$33</f>
        <v>45456556.6452381</v>
      </c>
    </row>
    <row r="88" ht="11.4" spans="2:9">
      <c r="B88">
        <f>[104]April!$AE$7</f>
        <v>258</v>
      </c>
      <c r="C88">
        <f>[104]April!$AE$38</f>
        <v>1178268422.53772</v>
      </c>
      <c r="I88">
        <f>[104]April!$AE$33</f>
        <v>44697721.5758333</v>
      </c>
    </row>
    <row r="89" ht="11.4" spans="2:9">
      <c r="B89">
        <f>[104]Mei!$AE$7</f>
        <v>255</v>
      </c>
      <c r="C89">
        <f>[104]Mei!$AE$38</f>
        <v>995085222.098168</v>
      </c>
      <c r="I89">
        <f>[104]Mei!$AE$33</f>
        <v>0</v>
      </c>
    </row>
    <row r="90" ht="11.4" spans="2:9">
      <c r="B90">
        <f>[104]Juni!$AE$7</f>
        <v>242</v>
      </c>
      <c r="C90">
        <f>[104]Juni!$AE$38</f>
        <v>994696839.771795</v>
      </c>
      <c r="I90">
        <f>[104]Juni!$AE$33</f>
        <v>0</v>
      </c>
    </row>
    <row r="91" ht="11.4" spans="2:9">
      <c r="B91">
        <f>[104]July!$AE$7</f>
        <v>240</v>
      </c>
      <c r="C91">
        <f>[104]July!$AE$38</f>
        <v>1010909771.563</v>
      </c>
      <c r="I91">
        <f>[104]July!$AE$33</f>
        <v>0</v>
      </c>
    </row>
    <row r="92" ht="11.4" spans="2:9">
      <c r="B92">
        <f>[104]Agustus!$AE$7</f>
        <v>234</v>
      </c>
      <c r="C92">
        <f>[104]Agustus!$AE$38</f>
        <v>1197297940.83442</v>
      </c>
      <c r="I92">
        <f>[104]Agustus!$AE$33</f>
        <v>58644564.1472619</v>
      </c>
    </row>
    <row r="93" ht="11.4" spans="2:9">
      <c r="B93">
        <f>[104]September!$AE$7</f>
        <v>239</v>
      </c>
      <c r="C93">
        <f>[104]September!$AE$38</f>
        <v>1176221753.79047</v>
      </c>
      <c r="I93">
        <f>[104]September!$AE$33</f>
        <v>54984419.8615476</v>
      </c>
    </row>
    <row r="94" ht="11.4" spans="2:9">
      <c r="B94">
        <f>[104]Oktober!$AE$7</f>
        <v>249</v>
      </c>
      <c r="C94">
        <f>[104]Oktober!$AE$38</f>
        <v>1192992602.23461</v>
      </c>
      <c r="I94">
        <f>[104]Oktober!$AE$33</f>
        <v>56007254.8020238</v>
      </c>
    </row>
    <row r="95" ht="11.4" spans="2:9">
      <c r="B95">
        <f>[104]November!$AE$7</f>
        <v>265</v>
      </c>
      <c r="C95">
        <f>[104]November!$AE$38</f>
        <v>1220517634.64944</v>
      </c>
      <c r="I95">
        <f>[104]November!$AE$33</f>
        <v>56123336.4091667</v>
      </c>
    </row>
    <row r="96" ht="11.4" spans="2:9">
      <c r="B96">
        <f>[104]Desember!$AE$7</f>
        <v>266</v>
      </c>
      <c r="C96">
        <f>[104]Desember!$AE$38</f>
        <v>1257298453.22728</v>
      </c>
      <c r="I96">
        <f>[104]Desember!$AE$33</f>
        <v>56996132.1829762</v>
      </c>
    </row>
    <row r="97" ht="11.4" spans="2:9">
      <c r="B97">
        <f>'[104]THR20'!$AE$7</f>
        <v>260</v>
      </c>
      <c r="C97">
        <f>'[104]THR20'!$AE$38</f>
        <v>1059498029.42417</v>
      </c>
      <c r="I97">
        <f>'[104]THR20'!$AE$33</f>
        <v>40420635.5758333</v>
      </c>
    </row>
  </sheetData>
  <mergeCells count="7">
    <mergeCell ref="C9:E9"/>
    <mergeCell ref="G9:J9"/>
    <mergeCell ref="L9:N9"/>
    <mergeCell ref="P9:Q9"/>
    <mergeCell ref="G50:H50"/>
    <mergeCell ref="B9:B10"/>
    <mergeCell ref="R9:R10"/>
  </mergeCells>
  <pageMargins left="0.551181102362205" right="0.354330708661417" top="0.393700787401575" bottom="0.393700787401575" header="0.511811023622047" footer="0.511811023622047"/>
  <pageSetup paperSize="9" scale="75" orientation="landscape"/>
  <headerFooter alignWithMargins="0">
    <oddFooter>&amp;R&amp;"Arial,Bold"&amp;24F1-1</oddFooter>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Q34"/>
  <sheetViews>
    <sheetView showGridLines="0" zoomScale="85" zoomScaleNormal="85" workbookViewId="0">
      <pane xSplit="5" ySplit="8" topLeftCell="F9" activePane="bottomRight" state="frozen"/>
      <selection/>
      <selection pane="topRight"/>
      <selection pane="bottomLeft"/>
      <selection pane="bottomRight" activeCell="B7" sqref="B7:I24"/>
    </sheetView>
  </sheetViews>
  <sheetFormatPr defaultColWidth="9" defaultRowHeight="11.4"/>
  <cols>
    <col min="2" max="2" width="6.73958333333333" customWidth="1"/>
    <col min="3" max="3" width="11.9895833333333" customWidth="1"/>
    <col min="4" max="4" width="19.03125" customWidth="1"/>
    <col min="6" max="6" width="5.23958333333333" customWidth="1"/>
    <col min="7" max="7" width="18.4270833333333" customWidth="1"/>
    <col min="8" max="8" width="16.03125" customWidth="1"/>
    <col min="9" max="9" width="22.0208333333333" customWidth="1"/>
    <col min="11" max="11" width="18.7291666666667" customWidth="1"/>
    <col min="12" max="12" width="15.8854166666667" customWidth="1"/>
    <col min="13" max="13" width="16.1770833333333" customWidth="1"/>
    <col min="15" max="15" width="19.1770833333333" customWidth="1"/>
    <col min="16" max="16" width="19.3333333333333" customWidth="1"/>
    <col min="17" max="17" width="16.1770833333333" customWidth="1"/>
  </cols>
  <sheetData>
    <row r="3" ht="13.8" spans="2:2">
      <c r="B3" s="1635" t="s">
        <v>0</v>
      </c>
    </row>
    <row r="4" ht="13.8" spans="2:9">
      <c r="B4" s="1636" t="s">
        <v>12785</v>
      </c>
      <c r="C4" s="1636"/>
      <c r="D4" s="1636"/>
      <c r="E4" s="1636"/>
      <c r="F4" s="1636"/>
      <c r="G4" s="1636"/>
      <c r="H4" s="1636"/>
      <c r="I4" s="1636"/>
    </row>
    <row r="5" ht="13.8" spans="2:9">
      <c r="B5" s="1637" t="s">
        <v>12786</v>
      </c>
      <c r="C5" s="1636"/>
      <c r="D5" s="1636"/>
      <c r="E5" s="1636"/>
      <c r="F5" s="1636"/>
      <c r="G5" s="1636"/>
      <c r="H5" s="1636"/>
      <c r="I5" s="1636"/>
    </row>
    <row r="6" ht="13.8" spans="2:9">
      <c r="B6" s="1637"/>
      <c r="C6" s="1636"/>
      <c r="D6" s="1636"/>
      <c r="E6" s="1636"/>
      <c r="F6" s="1636"/>
      <c r="G6" s="1636"/>
      <c r="H6" s="1636"/>
      <c r="I6" s="1636"/>
    </row>
    <row r="7" ht="13.8" spans="2:17">
      <c r="B7" s="1638" t="s">
        <v>1021</v>
      </c>
      <c r="C7" s="1639" t="s">
        <v>2260</v>
      </c>
      <c r="D7" s="1640"/>
      <c r="E7" s="1641"/>
      <c r="F7" s="1638" t="s">
        <v>12787</v>
      </c>
      <c r="G7" s="1642" t="s">
        <v>12788</v>
      </c>
      <c r="H7" s="1643"/>
      <c r="I7" s="1672" t="s">
        <v>11921</v>
      </c>
      <c r="K7" s="1642" t="s">
        <v>12789</v>
      </c>
      <c r="L7" s="1643"/>
      <c r="M7" s="1672" t="s">
        <v>11921</v>
      </c>
      <c r="O7" s="1642" t="s">
        <v>12790</v>
      </c>
      <c r="P7" s="1643"/>
      <c r="Q7" s="1672" t="s">
        <v>11921</v>
      </c>
    </row>
    <row r="8" ht="13.8" spans="2:17">
      <c r="B8" s="1644"/>
      <c r="C8" s="1645"/>
      <c r="D8" s="1646"/>
      <c r="E8" s="1647"/>
      <c r="F8" s="1644"/>
      <c r="G8" s="1648" t="s">
        <v>12791</v>
      </c>
      <c r="H8" s="1649" t="s">
        <v>12792</v>
      </c>
      <c r="I8" s="1649" t="s">
        <v>12793</v>
      </c>
      <c r="K8" s="1648" t="s">
        <v>12791</v>
      </c>
      <c r="L8" s="1649" t="s">
        <v>12792</v>
      </c>
      <c r="M8" s="1649" t="s">
        <v>12793</v>
      </c>
      <c r="O8" s="1648" t="s">
        <v>12791</v>
      </c>
      <c r="P8" s="1649" t="s">
        <v>12792</v>
      </c>
      <c r="Q8" s="1649" t="s">
        <v>12793</v>
      </c>
    </row>
    <row r="9" ht="13.8" spans="2:17">
      <c r="B9" s="1650"/>
      <c r="C9" s="1651"/>
      <c r="D9" s="1652"/>
      <c r="E9" s="1653"/>
      <c r="F9" s="1653"/>
      <c r="G9" s="1654"/>
      <c r="H9" s="1654"/>
      <c r="I9" s="1655"/>
      <c r="K9" s="1689"/>
      <c r="L9" s="1655"/>
      <c r="M9" s="1655"/>
      <c r="O9" s="1654"/>
      <c r="P9" s="1655"/>
      <c r="Q9" s="1655"/>
    </row>
    <row r="10" ht="13.8" spans="2:17">
      <c r="B10" s="1655"/>
      <c r="C10" s="1656"/>
      <c r="D10" s="1657"/>
      <c r="E10" s="1658"/>
      <c r="F10" s="1659"/>
      <c r="G10" s="1660"/>
      <c r="H10" s="1661"/>
      <c r="I10" s="1661"/>
      <c r="K10" s="1660"/>
      <c r="L10" s="1661"/>
      <c r="M10" s="1661"/>
      <c r="O10" s="1660"/>
      <c r="P10" s="1661"/>
      <c r="Q10" s="1661"/>
    </row>
    <row r="11" ht="13.8" spans="2:17">
      <c r="B11" s="1655"/>
      <c r="C11" s="1662" t="s">
        <v>1025</v>
      </c>
      <c r="D11" s="1637"/>
      <c r="E11" s="1658"/>
      <c r="F11" s="1659"/>
      <c r="G11" s="1663">
        <v>83653388.9166667</v>
      </c>
      <c r="H11" s="1663">
        <f>+G11</f>
        <v>83653388.9166667</v>
      </c>
      <c r="I11" s="1663">
        <f>G11-H11</f>
        <v>0</v>
      </c>
      <c r="K11" s="1663">
        <v>84420894.25</v>
      </c>
      <c r="L11" s="1663">
        <f>+K11</f>
        <v>84420894.25</v>
      </c>
      <c r="M11" s="1663">
        <f>K11-L11</f>
        <v>0</v>
      </c>
      <c r="O11" s="1663">
        <v>196354872.873531</v>
      </c>
      <c r="P11" s="1663">
        <f>+O11</f>
        <v>196354872.873531</v>
      </c>
      <c r="Q11" s="1663">
        <f>O11-P11</f>
        <v>0</v>
      </c>
    </row>
    <row r="12" ht="13.8" spans="2:17">
      <c r="B12" s="1655"/>
      <c r="C12" s="1662" t="s">
        <v>1026</v>
      </c>
      <c r="D12" s="1637"/>
      <c r="E12" s="1658"/>
      <c r="F12" s="1659"/>
      <c r="G12" s="1663">
        <v>83653388.9166667</v>
      </c>
      <c r="H12" s="1663">
        <f t="shared" ref="H12:H21" si="0">+G12</f>
        <v>83653388.9166667</v>
      </c>
      <c r="I12" s="1663">
        <f t="shared" ref="I12:I22" si="1">G12-H12</f>
        <v>0</v>
      </c>
      <c r="K12" s="1663">
        <v>84420894.25</v>
      </c>
      <c r="L12" s="1663">
        <f t="shared" ref="L12:L21" si="2">+K12</f>
        <v>84420894.25</v>
      </c>
      <c r="M12" s="1663">
        <f t="shared" ref="M12" si="3">K12-L12</f>
        <v>0</v>
      </c>
      <c r="O12" s="1663">
        <v>196354872.873531</v>
      </c>
      <c r="P12" s="1663">
        <f t="shared" ref="P12:P21" si="4">+O12</f>
        <v>196354872.873531</v>
      </c>
      <c r="Q12" s="1663">
        <f t="shared" ref="Q12" si="5">O12-P12</f>
        <v>0</v>
      </c>
    </row>
    <row r="13" ht="13.8" spans="2:17">
      <c r="B13" s="1655"/>
      <c r="C13" s="1662" t="s">
        <v>1027</v>
      </c>
      <c r="D13" s="1637"/>
      <c r="E13" s="1658"/>
      <c r="F13" s="1659"/>
      <c r="G13" s="1663">
        <v>83653388.9166667</v>
      </c>
      <c r="H13" s="1663">
        <f t="shared" si="0"/>
        <v>83653388.9166667</v>
      </c>
      <c r="I13" s="1663">
        <f t="shared" si="1"/>
        <v>0</v>
      </c>
      <c r="K13" s="1663">
        <v>84420894.25</v>
      </c>
      <c r="L13" s="1663">
        <f t="shared" si="2"/>
        <v>84420894.25</v>
      </c>
      <c r="M13" s="1663">
        <f t="shared" ref="M13" si="6">K13-L13</f>
        <v>0</v>
      </c>
      <c r="O13" s="1663">
        <v>196354872.873531</v>
      </c>
      <c r="P13" s="1663">
        <f t="shared" si="4"/>
        <v>196354872.873531</v>
      </c>
      <c r="Q13" s="1663">
        <f t="shared" ref="Q13" si="7">O13-P13</f>
        <v>0</v>
      </c>
    </row>
    <row r="14" ht="13.8" spans="2:17">
      <c r="B14" s="1655"/>
      <c r="C14" s="1662" t="s">
        <v>12794</v>
      </c>
      <c r="D14" s="1637"/>
      <c r="E14" s="1658"/>
      <c r="F14" s="1659"/>
      <c r="G14" s="1663">
        <v>83653388.9166667</v>
      </c>
      <c r="H14" s="1663">
        <f t="shared" si="0"/>
        <v>83653388.9166667</v>
      </c>
      <c r="I14" s="1663">
        <f t="shared" si="1"/>
        <v>0</v>
      </c>
      <c r="K14" s="1663">
        <v>84420894.25</v>
      </c>
      <c r="L14" s="1663">
        <f t="shared" si="2"/>
        <v>84420894.25</v>
      </c>
      <c r="M14" s="1663">
        <f t="shared" ref="M14" si="8">K14-L14</f>
        <v>0</v>
      </c>
      <c r="O14" s="1663">
        <v>196354872.873531</v>
      </c>
      <c r="P14" s="1663">
        <f t="shared" si="4"/>
        <v>196354872.873531</v>
      </c>
      <c r="Q14" s="1663">
        <f t="shared" ref="Q14" si="9">O14-P14</f>
        <v>0</v>
      </c>
    </row>
    <row r="15" ht="13.8" spans="2:17">
      <c r="B15" s="1655"/>
      <c r="C15" s="1662" t="s">
        <v>1046</v>
      </c>
      <c r="D15" s="1637"/>
      <c r="E15" s="1658"/>
      <c r="F15" s="1659"/>
      <c r="G15" s="1663">
        <v>83653388.9166667</v>
      </c>
      <c r="H15" s="1663">
        <f t="shared" si="0"/>
        <v>83653388.9166667</v>
      </c>
      <c r="I15" s="1663">
        <f t="shared" si="1"/>
        <v>0</v>
      </c>
      <c r="K15" s="1663">
        <v>84420894.25</v>
      </c>
      <c r="L15" s="1663">
        <f t="shared" si="2"/>
        <v>84420894.25</v>
      </c>
      <c r="M15" s="1663">
        <f t="shared" ref="M15" si="10">K15-L15</f>
        <v>0</v>
      </c>
      <c r="O15" s="1663">
        <v>196354872.873531</v>
      </c>
      <c r="P15" s="1663">
        <f t="shared" si="4"/>
        <v>196354872.873531</v>
      </c>
      <c r="Q15" s="1663">
        <f t="shared" ref="Q15" si="11">O15-P15</f>
        <v>0</v>
      </c>
    </row>
    <row r="16" ht="13.8" spans="2:17">
      <c r="B16" s="1655"/>
      <c r="C16" s="1662" t="s">
        <v>1050</v>
      </c>
      <c r="D16" s="1637"/>
      <c r="E16" s="1658"/>
      <c r="F16" s="1659"/>
      <c r="G16" s="1663">
        <v>83653388.9166667</v>
      </c>
      <c r="H16" s="1663">
        <f t="shared" si="0"/>
        <v>83653388.9166667</v>
      </c>
      <c r="I16" s="1663">
        <f t="shared" si="1"/>
        <v>0</v>
      </c>
      <c r="K16" s="1663">
        <v>84420894.25</v>
      </c>
      <c r="L16" s="1663">
        <f t="shared" si="2"/>
        <v>84420894.25</v>
      </c>
      <c r="M16" s="1663">
        <f t="shared" ref="M16" si="12">K16-L16</f>
        <v>0</v>
      </c>
      <c r="O16" s="1663">
        <v>196354872.873531</v>
      </c>
      <c r="P16" s="1663">
        <f t="shared" si="4"/>
        <v>196354872.873531</v>
      </c>
      <c r="Q16" s="1663">
        <f t="shared" ref="Q16" si="13">O16-P16</f>
        <v>0</v>
      </c>
    </row>
    <row r="17" ht="13.8" spans="2:17">
      <c r="B17" s="1655"/>
      <c r="C17" s="1662" t="s">
        <v>1052</v>
      </c>
      <c r="D17" s="1637"/>
      <c r="E17" s="1658"/>
      <c r="F17" s="1659"/>
      <c r="G17" s="1663">
        <v>83653388.9166667</v>
      </c>
      <c r="H17" s="1663">
        <f t="shared" si="0"/>
        <v>83653388.9166667</v>
      </c>
      <c r="I17" s="1663">
        <f t="shared" si="1"/>
        <v>0</v>
      </c>
      <c r="K17" s="1663">
        <v>84420894.25</v>
      </c>
      <c r="L17" s="1663">
        <f t="shared" si="2"/>
        <v>84420894.25</v>
      </c>
      <c r="M17" s="1663">
        <f t="shared" ref="M17" si="14">K17-L17</f>
        <v>0</v>
      </c>
      <c r="O17" s="1663">
        <v>196354872.873531</v>
      </c>
      <c r="P17" s="1663">
        <f t="shared" si="4"/>
        <v>196354872.873531</v>
      </c>
      <c r="Q17" s="1663">
        <f t="shared" ref="Q17" si="15">O17-P17</f>
        <v>0</v>
      </c>
    </row>
    <row r="18" ht="13.8" spans="2:17">
      <c r="B18" s="1655"/>
      <c r="C18" s="1662" t="s">
        <v>1054</v>
      </c>
      <c r="D18" s="1637"/>
      <c r="E18" s="1658"/>
      <c r="F18" s="1659"/>
      <c r="G18" s="1663">
        <v>83653388.9166667</v>
      </c>
      <c r="H18" s="1663">
        <f t="shared" si="0"/>
        <v>83653388.9166667</v>
      </c>
      <c r="I18" s="1663">
        <f t="shared" si="1"/>
        <v>0</v>
      </c>
      <c r="K18" s="1663">
        <v>84420894.25</v>
      </c>
      <c r="L18" s="1663">
        <f t="shared" si="2"/>
        <v>84420894.25</v>
      </c>
      <c r="M18" s="1663">
        <f t="shared" ref="M18" si="16">K18-L18</f>
        <v>0</v>
      </c>
      <c r="O18" s="1663">
        <v>196354872.873531</v>
      </c>
      <c r="P18" s="1663">
        <f t="shared" si="4"/>
        <v>196354872.873531</v>
      </c>
      <c r="Q18" s="1663">
        <f t="shared" ref="Q18" si="17">O18-P18</f>
        <v>0</v>
      </c>
    </row>
    <row r="19" ht="13.8" spans="2:17">
      <c r="B19" s="1655"/>
      <c r="C19" s="1662" t="s">
        <v>1057</v>
      </c>
      <c r="D19" s="1637"/>
      <c r="E19" s="1658"/>
      <c r="F19" s="1659"/>
      <c r="G19" s="1663">
        <v>83653388.9166667</v>
      </c>
      <c r="H19" s="1663">
        <f t="shared" si="0"/>
        <v>83653388.9166667</v>
      </c>
      <c r="I19" s="1663">
        <f t="shared" si="1"/>
        <v>0</v>
      </c>
      <c r="K19" s="1663">
        <v>84420894.25</v>
      </c>
      <c r="L19" s="1663">
        <f t="shared" si="2"/>
        <v>84420894.25</v>
      </c>
      <c r="M19" s="1663">
        <f t="shared" ref="M19" si="18">K19-L19</f>
        <v>0</v>
      </c>
      <c r="O19" s="1663">
        <v>196354872.873531</v>
      </c>
      <c r="P19" s="1663">
        <f t="shared" si="4"/>
        <v>196354872.873531</v>
      </c>
      <c r="Q19" s="1663">
        <f t="shared" ref="Q19" si="19">O19-P19</f>
        <v>0</v>
      </c>
    </row>
    <row r="20" ht="13.8" spans="2:17">
      <c r="B20" s="1655"/>
      <c r="C20" s="1662" t="s">
        <v>1060</v>
      </c>
      <c r="D20" s="1637"/>
      <c r="E20" s="1658"/>
      <c r="F20" s="1659"/>
      <c r="G20" s="1663">
        <v>83653388.9166667</v>
      </c>
      <c r="H20" s="1663">
        <f t="shared" si="0"/>
        <v>83653388.9166667</v>
      </c>
      <c r="I20" s="1663">
        <f t="shared" si="1"/>
        <v>0</v>
      </c>
      <c r="K20" s="1663">
        <v>84420894.25</v>
      </c>
      <c r="L20" s="1663">
        <f t="shared" si="2"/>
        <v>84420894.25</v>
      </c>
      <c r="M20" s="1663">
        <f t="shared" ref="M20" si="20">K20-L20</f>
        <v>0</v>
      </c>
      <c r="O20" s="1663">
        <v>196354872.873531</v>
      </c>
      <c r="P20" s="1663">
        <f t="shared" si="4"/>
        <v>196354872.873531</v>
      </c>
      <c r="Q20" s="1663">
        <f t="shared" ref="Q20" si="21">O20-P20</f>
        <v>0</v>
      </c>
    </row>
    <row r="21" ht="13.8" spans="2:17">
      <c r="B21" s="1664"/>
      <c r="C21" s="1662" t="s">
        <v>1063</v>
      </c>
      <c r="D21" s="1637"/>
      <c r="E21" s="1658"/>
      <c r="F21" s="1659"/>
      <c r="G21" s="1663">
        <v>83653388.9166667</v>
      </c>
      <c r="H21" s="1663">
        <f t="shared" si="0"/>
        <v>83653388.9166667</v>
      </c>
      <c r="I21" s="1663">
        <f t="shared" si="1"/>
        <v>0</v>
      </c>
      <c r="K21" s="1663">
        <v>84420894.25</v>
      </c>
      <c r="L21" s="1663">
        <f t="shared" si="2"/>
        <v>84420894.25</v>
      </c>
      <c r="M21" s="1663">
        <f t="shared" ref="M21" si="22">K21-L21</f>
        <v>0</v>
      </c>
      <c r="O21" s="1663">
        <v>196354872.873531</v>
      </c>
      <c r="P21" s="1663">
        <f t="shared" si="4"/>
        <v>196354872.873531</v>
      </c>
      <c r="Q21" s="1663">
        <f t="shared" ref="Q21" si="23">O21-P21</f>
        <v>0</v>
      </c>
    </row>
    <row r="22" ht="13.8" spans="2:17">
      <c r="B22" s="1664"/>
      <c r="C22" s="1662" t="s">
        <v>1066</v>
      </c>
      <c r="D22" s="1637"/>
      <c r="E22" s="1658"/>
      <c r="F22" s="1659"/>
      <c r="G22" s="1663">
        <v>83653388.9166667</v>
      </c>
      <c r="H22" s="1663">
        <v>0</v>
      </c>
      <c r="I22" s="1663">
        <f t="shared" si="1"/>
        <v>83653388.9166667</v>
      </c>
      <c r="K22" s="1663">
        <v>84420894.25</v>
      </c>
      <c r="L22" s="1663">
        <v>0</v>
      </c>
      <c r="M22" s="1663">
        <f t="shared" ref="M22" si="24">K22-L22</f>
        <v>84420894.25</v>
      </c>
      <c r="O22" s="1663">
        <v>196354872.873531</v>
      </c>
      <c r="P22" s="1663">
        <v>0</v>
      </c>
      <c r="Q22" s="1663">
        <f t="shared" ref="Q22" si="25">O22-P22</f>
        <v>196354872.873531</v>
      </c>
    </row>
    <row r="23" ht="13.8" spans="2:17">
      <c r="B23" s="1655"/>
      <c r="C23" s="1665"/>
      <c r="D23" s="1657"/>
      <c r="E23" s="1658"/>
      <c r="F23" s="1659"/>
      <c r="G23" s="1666"/>
      <c r="H23" s="1666"/>
      <c r="I23" s="1666"/>
      <c r="K23" s="1666"/>
      <c r="L23" s="1666"/>
      <c r="M23" s="1666"/>
      <c r="O23" s="1666"/>
      <c r="P23" s="1666"/>
      <c r="Q23" s="1666"/>
    </row>
    <row r="24" ht="14.55" spans="2:17">
      <c r="B24" s="1655"/>
      <c r="C24" s="1667"/>
      <c r="D24" s="1668"/>
      <c r="E24" s="1669"/>
      <c r="F24" s="1670"/>
      <c r="G24" s="1671"/>
      <c r="H24" s="1671">
        <f>SUM(H11:H22)</f>
        <v>920187278.083333</v>
      </c>
      <c r="I24" s="1690">
        <f>SUM(I11:I22)</f>
        <v>83653388.9166667</v>
      </c>
      <c r="K24" s="1671"/>
      <c r="L24" s="1671">
        <f>SUM(L11:L22)</f>
        <v>928629836.75</v>
      </c>
      <c r="M24" s="1690">
        <f>SUM(M11:M22)</f>
        <v>84420894.25</v>
      </c>
      <c r="O24" s="1671"/>
      <c r="P24" s="1671">
        <f>SUM(P11:P22)</f>
        <v>2159903601.60884</v>
      </c>
      <c r="Q24" s="1690">
        <f>SUM(Q11:Q22)</f>
        <v>196354872.873531</v>
      </c>
    </row>
    <row r="25" ht="14.55" spans="2:17">
      <c r="B25" s="1655"/>
      <c r="C25" s="1656"/>
      <c r="D25" s="1657"/>
      <c r="E25" s="1658"/>
      <c r="F25" s="1659"/>
      <c r="G25" s="1663"/>
      <c r="H25" s="1666"/>
      <c r="I25" s="1666"/>
      <c r="K25" s="1663"/>
      <c r="L25" s="1666"/>
      <c r="M25" s="1666"/>
      <c r="O25" s="1663"/>
      <c r="P25" s="1666"/>
      <c r="Q25" s="1666"/>
    </row>
    <row r="26" ht="14.55" spans="2:17">
      <c r="B26" s="1672"/>
      <c r="C26" s="1673"/>
      <c r="D26" s="1668"/>
      <c r="E26" s="1669"/>
      <c r="F26" s="1670"/>
      <c r="G26" s="1674">
        <f>SUM(G11:G22)</f>
        <v>1003840667</v>
      </c>
      <c r="H26" s="1675"/>
      <c r="I26" s="1690"/>
      <c r="K26" s="1674">
        <f>SUM(K11:K22)</f>
        <v>1013050731</v>
      </c>
      <c r="L26" s="1675"/>
      <c r="M26" s="1690"/>
      <c r="O26" s="1674">
        <f>SUM(O11:O22)</f>
        <v>2356258474.48237</v>
      </c>
      <c r="P26" s="1675"/>
      <c r="Q26" s="1690"/>
    </row>
    <row r="27" ht="14.55" spans="2:17">
      <c r="B27" s="1676"/>
      <c r="C27" s="1665"/>
      <c r="D27" s="1657"/>
      <c r="E27" s="1658"/>
      <c r="F27" s="1677"/>
      <c r="G27" s="1666"/>
      <c r="H27" s="1678"/>
      <c r="I27" s="1666"/>
      <c r="K27" s="1666"/>
      <c r="L27" s="1678"/>
      <c r="M27" s="1666"/>
      <c r="O27" s="1666"/>
      <c r="P27" s="1678"/>
      <c r="Q27" s="1666"/>
    </row>
    <row r="28" ht="13.8" spans="2:17">
      <c r="B28" s="1679"/>
      <c r="C28" s="1676"/>
      <c r="D28" s="1677"/>
      <c r="E28" s="1659"/>
      <c r="F28" s="1637"/>
      <c r="G28" s="1666"/>
      <c r="H28" s="1678"/>
      <c r="I28" s="1663"/>
      <c r="K28" s="1666"/>
      <c r="L28" s="1678"/>
      <c r="M28" s="1663"/>
      <c r="O28" s="1666"/>
      <c r="P28" s="1678"/>
      <c r="Q28" s="1663"/>
    </row>
    <row r="29" ht="14.55" spans="2:17">
      <c r="B29" s="1662"/>
      <c r="C29" s="1676" t="s">
        <v>12795</v>
      </c>
      <c r="D29" s="1677"/>
      <c r="E29" s="1659"/>
      <c r="F29" s="1637"/>
      <c r="G29" s="1664"/>
      <c r="H29" s="1637"/>
      <c r="I29" s="1691">
        <f>I24+I27+I28</f>
        <v>83653388.9166667</v>
      </c>
      <c r="K29" s="1664"/>
      <c r="L29" s="1637"/>
      <c r="M29" s="1691">
        <f>M24+M27+M28</f>
        <v>84420894.25</v>
      </c>
      <c r="O29" s="1664"/>
      <c r="P29" s="1637"/>
      <c r="Q29" s="1691">
        <f>Q24+Q27+Q28</f>
        <v>196354872.873531</v>
      </c>
    </row>
    <row r="30" ht="14.55" spans="2:17">
      <c r="B30" s="1662"/>
      <c r="C30" s="1676"/>
      <c r="D30" s="1677" t="s">
        <v>12796</v>
      </c>
      <c r="E30" s="1659"/>
      <c r="F30" s="1637"/>
      <c r="G30" s="1680">
        <f>+G11*5%</f>
        <v>4182669.44583333</v>
      </c>
      <c r="H30" s="1637"/>
      <c r="I30" s="1692"/>
      <c r="K30" s="1680">
        <f>+K11*5%</f>
        <v>4221044.7125</v>
      </c>
      <c r="L30" s="1637"/>
      <c r="M30" s="1692"/>
      <c r="O30" s="1680">
        <f>+O11*5%</f>
        <v>9817743.64367655</v>
      </c>
      <c r="P30" s="1637"/>
      <c r="Q30" s="1692"/>
    </row>
    <row r="31" ht="13.8" spans="2:17">
      <c r="B31" s="1662"/>
      <c r="C31" s="1676"/>
      <c r="D31" s="1677"/>
      <c r="E31" s="1659"/>
      <c r="F31" s="1681"/>
      <c r="G31" s="1664"/>
      <c r="H31" s="1637"/>
      <c r="I31" s="1692"/>
      <c r="K31" s="1664"/>
      <c r="L31" s="1637"/>
      <c r="M31" s="1692"/>
      <c r="O31" s="1664"/>
      <c r="P31" s="1637"/>
      <c r="Q31" s="1692"/>
    </row>
    <row r="32" ht="13.8" spans="2:17">
      <c r="B32" s="1662"/>
      <c r="C32" s="1676"/>
      <c r="D32" s="1677"/>
      <c r="E32" s="1659"/>
      <c r="F32" s="1637"/>
      <c r="G32" s="1682">
        <f>F31</f>
        <v>0</v>
      </c>
      <c r="H32" s="1637"/>
      <c r="I32" s="1692"/>
      <c r="K32" s="1682">
        <f>J31</f>
        <v>0</v>
      </c>
      <c r="L32" s="1637"/>
      <c r="M32" s="1692"/>
      <c r="O32" s="1682">
        <f>N31</f>
        <v>0</v>
      </c>
      <c r="P32" s="1637"/>
      <c r="Q32" s="1692"/>
    </row>
    <row r="33" ht="13.8" spans="2:17">
      <c r="B33" s="1662"/>
      <c r="C33" s="1676"/>
      <c r="D33" s="1677"/>
      <c r="E33" s="1659"/>
      <c r="F33" s="1637"/>
      <c r="G33" s="1664"/>
      <c r="H33" s="1637"/>
      <c r="I33" s="1692"/>
      <c r="K33" s="1664"/>
      <c r="L33" s="1637"/>
      <c r="M33" s="1692"/>
      <c r="O33" s="1664"/>
      <c r="P33" s="1637"/>
      <c r="Q33" s="1692"/>
    </row>
    <row r="34" ht="13.8" spans="2:17">
      <c r="B34" s="1683"/>
      <c r="C34" s="1684"/>
      <c r="D34" s="1685"/>
      <c r="E34" s="1686"/>
      <c r="F34" s="1687"/>
      <c r="G34" s="1688"/>
      <c r="H34" s="1687"/>
      <c r="I34" s="1693"/>
      <c r="K34" s="1688"/>
      <c r="L34" s="1687"/>
      <c r="M34" s="1693"/>
      <c r="O34" s="1688"/>
      <c r="P34" s="1687"/>
      <c r="Q34" s="1693"/>
    </row>
  </sheetData>
  <mergeCells count="8">
    <mergeCell ref="G7:H7"/>
    <mergeCell ref="K7:L7"/>
    <mergeCell ref="O7:P7"/>
    <mergeCell ref="C28:E28"/>
    <mergeCell ref="C29:E29"/>
    <mergeCell ref="B7:B8"/>
    <mergeCell ref="F7:F8"/>
    <mergeCell ref="C7:E8"/>
  </mergeCells>
  <pageMargins left="0.7" right="0.7" top="0.75" bottom="0.75" header="0.3" footer="0.3"/>
  <headerFooter/>
  <drawing r:id="rId1"/>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1"/>
  <dimension ref="B2:V65470"/>
  <sheetViews>
    <sheetView showGridLines="0" zoomScale="130" zoomScaleNormal="130" workbookViewId="0">
      <selection activeCell="C16" sqref="C16"/>
    </sheetView>
  </sheetViews>
  <sheetFormatPr defaultColWidth="9" defaultRowHeight="11.4"/>
  <cols>
    <col min="1" max="1" width="3.73958333333333" customWidth="1"/>
    <col min="2" max="2" width="7.04166666666667" customWidth="1"/>
    <col min="3" max="3" width="22.3229166666667" customWidth="1"/>
    <col min="4" max="4" width="10.3333333333333" customWidth="1"/>
    <col min="5" max="5" width="34.4583333333333" customWidth="1"/>
    <col min="6" max="6" width="1.94791666666667" customWidth="1"/>
    <col min="7" max="7" width="16.78125" customWidth="1"/>
    <col min="8" max="8" width="1.94791666666667" customWidth="1"/>
    <col min="10" max="10" width="23.96875" customWidth="1"/>
    <col min="11" max="11" width="10.3333333333333" hidden="1" customWidth="1"/>
    <col min="12" max="12" width="1.94791666666667" customWidth="1"/>
    <col min="13" max="13" width="13.6354166666667" customWidth="1"/>
    <col min="14" max="14" width="1.94791666666667" customWidth="1"/>
    <col min="15" max="15" width="10.78125" customWidth="1"/>
    <col min="16" max="17" width="9.13541666666667" hidden="1" customWidth="1"/>
    <col min="18" max="18" width="1.94791666666667" customWidth="1"/>
    <col min="19" max="19" width="4.64583333333333" customWidth="1"/>
    <col min="20" max="20" width="11.3854166666667" customWidth="1"/>
    <col min="21" max="21" width="4.34375" customWidth="1"/>
    <col min="22" max="22" width="12.1354166666667" customWidth="1"/>
  </cols>
  <sheetData>
    <row r="2" ht="21" spans="2:15">
      <c r="B2" s="1499" t="str">
        <f>'FF2'!B2</f>
        <v>KAP LIASTA NIRWAN SYAFRUDIN &amp; REKAN</v>
      </c>
      <c r="C2" s="731"/>
      <c r="D2" s="731"/>
      <c r="E2" s="731"/>
      <c r="F2" s="731"/>
      <c r="G2" s="731"/>
      <c r="H2" s="731"/>
      <c r="I2" s="731"/>
      <c r="J2" s="1581" t="s">
        <v>481</v>
      </c>
      <c r="K2" s="1582"/>
      <c r="L2" s="1583"/>
      <c r="M2" s="1584" t="s">
        <v>482</v>
      </c>
      <c r="N2" s="1585"/>
      <c r="O2" s="766" t="s">
        <v>483</v>
      </c>
    </row>
    <row r="3" ht="15.6" spans="2:15">
      <c r="B3" s="1500"/>
      <c r="C3" s="1501"/>
      <c r="D3" s="1502"/>
      <c r="E3" s="1504"/>
      <c r="F3" s="1504"/>
      <c r="G3" s="1505"/>
      <c r="H3" s="1505"/>
      <c r="I3" s="1586"/>
      <c r="J3" s="1587" t="s">
        <v>484</v>
      </c>
      <c r="K3" s="1582"/>
      <c r="L3" s="1588"/>
      <c r="M3" s="1589">
        <f>+'FF2'!P3</f>
        <v>45193</v>
      </c>
      <c r="N3" s="1585"/>
      <c r="O3" s="768" t="s">
        <v>12635</v>
      </c>
    </row>
    <row r="4" ht="13.2" spans="2:15">
      <c r="B4" s="1546" t="s">
        <v>622</v>
      </c>
      <c r="C4" s="1547" t="str">
        <f>'FF2'!C4</f>
        <v>PT INTAN GIRI ABADI</v>
      </c>
      <c r="D4" s="1548"/>
      <c r="E4" s="1548"/>
      <c r="F4" s="1548"/>
      <c r="G4" s="1548"/>
      <c r="H4" s="1548"/>
      <c r="I4" s="746"/>
      <c r="J4" s="748" t="s">
        <v>487</v>
      </c>
      <c r="K4" s="1590"/>
      <c r="L4" s="1583"/>
      <c r="M4" s="1591" t="s">
        <v>482</v>
      </c>
      <c r="N4" s="1583"/>
      <c r="O4" s="770" t="s">
        <v>488</v>
      </c>
    </row>
    <row r="5" ht="13.2" spans="2:15">
      <c r="B5" s="775"/>
      <c r="C5" s="753"/>
      <c r="D5" s="753"/>
      <c r="E5" s="753"/>
      <c r="F5" s="753"/>
      <c r="G5" s="753"/>
      <c r="H5" s="753"/>
      <c r="I5" s="1592"/>
      <c r="J5" s="1593"/>
      <c r="K5" s="1582"/>
      <c r="L5" s="1588"/>
      <c r="M5" s="1594"/>
      <c r="N5" s="1595"/>
      <c r="O5" s="772"/>
    </row>
    <row r="6" spans="2:15">
      <c r="B6" s="773"/>
      <c r="C6" s="742"/>
      <c r="D6" s="742"/>
      <c r="E6" s="742"/>
      <c r="F6" s="742"/>
      <c r="G6" s="742"/>
      <c r="H6" s="742"/>
      <c r="I6" s="770"/>
      <c r="J6" s="1596"/>
      <c r="K6" s="1597"/>
      <c r="L6" s="1583"/>
      <c r="M6" s="1598"/>
      <c r="N6" s="1585"/>
      <c r="O6" s="774" t="s">
        <v>491</v>
      </c>
    </row>
    <row r="7" ht="12" spans="2:15">
      <c r="B7" s="1549" t="s">
        <v>623</v>
      </c>
      <c r="C7" s="1550" t="s">
        <v>12797</v>
      </c>
      <c r="D7" s="753"/>
      <c r="E7" s="753"/>
      <c r="F7" s="753"/>
      <c r="G7" s="753"/>
      <c r="H7" s="753"/>
      <c r="I7" s="1599"/>
      <c r="J7" s="744"/>
      <c r="K7" s="1600"/>
      <c r="L7" s="1595"/>
      <c r="M7" s="1601"/>
      <c r="N7" s="1585"/>
      <c r="O7" s="776">
        <f>+'FF2'!R7</f>
        <v>44926</v>
      </c>
    </row>
    <row r="8" spans="14:14">
      <c r="N8" s="762"/>
    </row>
    <row r="9" spans="2:20">
      <c r="B9" s="1551" t="str">
        <f>'FF4'!B2</f>
        <v>KAP LIASTA NIRWAN SYAFRUDIN &amp; REKAN</v>
      </c>
      <c r="C9" s="1552"/>
      <c r="D9" s="1552"/>
      <c r="E9" s="1552"/>
      <c r="F9" s="1552"/>
      <c r="G9" s="1552"/>
      <c r="H9" s="1552"/>
      <c r="I9" s="1552"/>
      <c r="J9" s="1552"/>
      <c r="K9" s="1552"/>
      <c r="L9" s="1552"/>
      <c r="M9" s="1552"/>
      <c r="N9" s="1552"/>
      <c r="O9" s="1552"/>
      <c r="P9" s="1552"/>
      <c r="Q9" s="1552"/>
      <c r="R9" s="1552"/>
      <c r="S9" s="1552"/>
      <c r="T9" s="1614"/>
    </row>
    <row r="10" spans="2:20">
      <c r="B10" s="1553" t="s">
        <v>12798</v>
      </c>
      <c r="C10" s="1554"/>
      <c r="D10" s="1554"/>
      <c r="E10" s="1554"/>
      <c r="F10" s="1554"/>
      <c r="G10" s="1554"/>
      <c r="H10" s="1554"/>
      <c r="I10" s="1554"/>
      <c r="J10" s="1554"/>
      <c r="K10" s="1554"/>
      <c r="L10" s="1554"/>
      <c r="M10" s="1554"/>
      <c r="N10" s="1554"/>
      <c r="O10" s="1554"/>
      <c r="P10" s="1554"/>
      <c r="Q10" s="1554"/>
      <c r="R10" s="1554"/>
      <c r="S10" s="1554"/>
      <c r="T10" s="1615"/>
    </row>
    <row r="11" spans="2:20">
      <c r="B11" s="1555" t="s">
        <v>12799</v>
      </c>
      <c r="C11" s="1556"/>
      <c r="D11" s="1556"/>
      <c r="E11" s="1556"/>
      <c r="F11" s="1556"/>
      <c r="G11" s="1556"/>
      <c r="H11" s="1556"/>
      <c r="I11" s="1556"/>
      <c r="J11" s="1556"/>
      <c r="K11" s="1556"/>
      <c r="L11" s="1556"/>
      <c r="M11" s="1556"/>
      <c r="N11" s="1556"/>
      <c r="O11" s="1556"/>
      <c r="P11" s="1556"/>
      <c r="Q11" s="1556"/>
      <c r="R11" s="1556"/>
      <c r="S11" s="1556"/>
      <c r="T11" s="1616"/>
    </row>
    <row r="12" spans="2:22">
      <c r="B12" s="1557" t="s">
        <v>26</v>
      </c>
      <c r="C12" s="1558" t="s">
        <v>12800</v>
      </c>
      <c r="D12" s="1559"/>
      <c r="E12" s="1557" t="s">
        <v>12801</v>
      </c>
      <c r="F12" s="1557"/>
      <c r="G12" s="1557"/>
      <c r="H12" s="1557"/>
      <c r="I12" s="1557"/>
      <c r="J12" s="1565" t="s">
        <v>12802</v>
      </c>
      <c r="K12" s="1565"/>
      <c r="L12" s="1565"/>
      <c r="M12" s="1565"/>
      <c r="N12" s="1565"/>
      <c r="O12" s="1565"/>
      <c r="P12" s="1565"/>
      <c r="Q12" s="1565"/>
      <c r="R12" s="1565"/>
      <c r="S12" s="1565"/>
      <c r="T12" s="1565"/>
      <c r="U12" s="1617"/>
      <c r="V12" s="1618"/>
    </row>
    <row r="13" ht="13.2" spans="2:22">
      <c r="B13" s="1560"/>
      <c r="C13" s="1558" t="s">
        <v>12645</v>
      </c>
      <c r="D13" s="1559"/>
      <c r="E13" s="1561"/>
      <c r="F13" s="1562"/>
      <c r="G13" s="1563"/>
      <c r="H13" s="1563"/>
      <c r="I13" s="1602"/>
      <c r="J13" s="1603"/>
      <c r="K13" s="1565" t="s">
        <v>12803</v>
      </c>
      <c r="L13" s="1565"/>
      <c r="M13" s="1565"/>
      <c r="N13" s="1557"/>
      <c r="O13" s="1603"/>
      <c r="P13" s="1565" t="s">
        <v>12804</v>
      </c>
      <c r="Q13" s="1565"/>
      <c r="R13" s="1565"/>
      <c r="S13" s="1565" t="s">
        <v>12805</v>
      </c>
      <c r="T13" s="1565"/>
      <c r="U13" s="1617"/>
      <c r="V13" s="1618"/>
    </row>
    <row r="14" spans="2:22">
      <c r="B14" s="1564" t="s">
        <v>12806</v>
      </c>
      <c r="C14" s="1565" t="s">
        <v>1152</v>
      </c>
      <c r="D14" s="1566" t="s">
        <v>1031</v>
      </c>
      <c r="E14" s="1565" t="s">
        <v>11480</v>
      </c>
      <c r="F14" s="1565"/>
      <c r="G14" s="1565" t="s">
        <v>12807</v>
      </c>
      <c r="H14" s="1565"/>
      <c r="I14" s="1565" t="s">
        <v>1154</v>
      </c>
      <c r="J14" s="1564" t="s">
        <v>12758</v>
      </c>
      <c r="K14" s="1604" t="s">
        <v>12808</v>
      </c>
      <c r="L14" s="1604"/>
      <c r="M14" s="1565" t="s">
        <v>12645</v>
      </c>
      <c r="N14" s="1564"/>
      <c r="O14" s="1564" t="s">
        <v>38</v>
      </c>
      <c r="P14" s="1565" t="s">
        <v>12809</v>
      </c>
      <c r="Q14" s="1565" t="s">
        <v>151</v>
      </c>
      <c r="R14" s="1565"/>
      <c r="S14" s="1565" t="s">
        <v>12809</v>
      </c>
      <c r="T14" s="1619" t="s">
        <v>151</v>
      </c>
      <c r="U14" s="1620"/>
      <c r="V14" s="1621"/>
    </row>
    <row r="15" ht="13.2" spans="2:22">
      <c r="B15" s="1567">
        <v>1</v>
      </c>
      <c r="C15" s="1568"/>
      <c r="D15" s="1569"/>
      <c r="E15" s="1570"/>
      <c r="F15" s="1571" t="s">
        <v>11928</v>
      </c>
      <c r="G15" s="1568"/>
      <c r="H15" s="1571" t="s">
        <v>11928</v>
      </c>
      <c r="I15" s="1605"/>
      <c r="J15" s="1605"/>
      <c r="K15" s="1605"/>
      <c r="L15" s="1571" t="s">
        <v>11928</v>
      </c>
      <c r="M15" s="1605">
        <v>0</v>
      </c>
      <c r="N15" s="1571" t="s">
        <v>11928</v>
      </c>
      <c r="O15" s="1606">
        <v>0.02</v>
      </c>
      <c r="P15" s="1605"/>
      <c r="Q15" s="1605"/>
      <c r="R15" s="1571" t="s">
        <v>11928</v>
      </c>
      <c r="S15" s="1568"/>
      <c r="T15" s="1622">
        <f>'FF311'!E4</f>
        <v>0</v>
      </c>
      <c r="U15" s="1623" t="s">
        <v>12753</v>
      </c>
      <c r="V15" s="1624"/>
    </row>
    <row r="16" ht="13.2" spans="2:22">
      <c r="B16" s="1567">
        <v>2</v>
      </c>
      <c r="C16" s="1568"/>
      <c r="D16" s="1569"/>
      <c r="E16" s="1570"/>
      <c r="F16" s="1571" t="s">
        <v>11928</v>
      </c>
      <c r="G16" s="1568"/>
      <c r="H16" s="1571" t="s">
        <v>11928</v>
      </c>
      <c r="I16" s="1605"/>
      <c r="J16" s="1605"/>
      <c r="K16" s="1605"/>
      <c r="L16" s="1571" t="s">
        <v>11928</v>
      </c>
      <c r="M16" s="1605">
        <v>0</v>
      </c>
      <c r="N16" s="1571" t="s">
        <v>11928</v>
      </c>
      <c r="O16" s="1606">
        <v>0.02</v>
      </c>
      <c r="P16" s="1607"/>
      <c r="Q16" s="1607"/>
      <c r="R16" s="1571" t="s">
        <v>11928</v>
      </c>
      <c r="S16" s="1568"/>
      <c r="T16" s="1622">
        <f>'FF311'!E5</f>
        <v>0</v>
      </c>
      <c r="U16" s="1625" t="s">
        <v>12753</v>
      </c>
      <c r="V16" s="1624"/>
    </row>
    <row r="17" ht="13.2" spans="2:22">
      <c r="B17" s="1567"/>
      <c r="C17" s="1568"/>
      <c r="D17" s="1569"/>
      <c r="E17" s="1570"/>
      <c r="F17" s="1571"/>
      <c r="G17" s="1568"/>
      <c r="H17" s="1571"/>
      <c r="I17" s="1605"/>
      <c r="J17" s="1605"/>
      <c r="K17" s="1605"/>
      <c r="L17" s="1571"/>
      <c r="M17" s="1605"/>
      <c r="N17" s="1571"/>
      <c r="O17" s="1606"/>
      <c r="P17" s="1607"/>
      <c r="Q17" s="1607"/>
      <c r="R17" s="1571"/>
      <c r="S17" s="1568"/>
      <c r="T17" s="1622"/>
      <c r="U17" s="1625"/>
      <c r="V17" s="1624"/>
    </row>
    <row r="18" ht="13.2" spans="2:22">
      <c r="B18" s="1567"/>
      <c r="C18" s="1568"/>
      <c r="D18" s="1569"/>
      <c r="E18" s="1570"/>
      <c r="F18" s="1571"/>
      <c r="G18" s="1568"/>
      <c r="H18" s="1571"/>
      <c r="I18" s="1605"/>
      <c r="J18" s="1605"/>
      <c r="K18" s="1605"/>
      <c r="L18" s="1571"/>
      <c r="M18" s="1605"/>
      <c r="N18" s="1571"/>
      <c r="O18" s="1606"/>
      <c r="P18" s="1607"/>
      <c r="Q18" s="1607"/>
      <c r="R18" s="1571"/>
      <c r="S18" s="1568"/>
      <c r="T18" s="1622"/>
      <c r="U18" s="1625"/>
      <c r="V18" s="1624"/>
    </row>
    <row r="19" ht="13.2" spans="2:22">
      <c r="B19" s="1567"/>
      <c r="C19" s="1568"/>
      <c r="D19" s="1569"/>
      <c r="E19" s="1570"/>
      <c r="F19" s="1571"/>
      <c r="G19" s="1568"/>
      <c r="H19" s="1571"/>
      <c r="I19" s="1605"/>
      <c r="J19" s="1605"/>
      <c r="K19" s="1605"/>
      <c r="L19" s="1571"/>
      <c r="M19" s="1605"/>
      <c r="N19" s="1571"/>
      <c r="O19" s="1606"/>
      <c r="P19" s="1607"/>
      <c r="Q19" s="1607"/>
      <c r="R19" s="1571"/>
      <c r="S19" s="1568"/>
      <c r="T19" s="1622"/>
      <c r="U19" s="1625"/>
      <c r="V19" s="1624"/>
    </row>
    <row r="20" ht="13.2" spans="2:22">
      <c r="B20" s="1567"/>
      <c r="C20" s="1568"/>
      <c r="D20" s="1569"/>
      <c r="E20" s="1570"/>
      <c r="F20" s="1571"/>
      <c r="G20" s="1568"/>
      <c r="H20" s="1571"/>
      <c r="I20" s="1605"/>
      <c r="J20" s="1605"/>
      <c r="K20" s="1605"/>
      <c r="L20" s="1571"/>
      <c r="M20" s="1605"/>
      <c r="N20" s="1571"/>
      <c r="O20" s="1606"/>
      <c r="P20" s="1607"/>
      <c r="Q20" s="1607"/>
      <c r="R20" s="1571"/>
      <c r="S20" s="1568"/>
      <c r="T20" s="1622"/>
      <c r="U20" s="1625"/>
      <c r="V20" s="1624"/>
    </row>
    <row r="21" ht="13.2" spans="2:22">
      <c r="B21" s="1567"/>
      <c r="C21" s="1568"/>
      <c r="D21" s="1569"/>
      <c r="E21" s="1570"/>
      <c r="F21" s="1571"/>
      <c r="G21" s="1568"/>
      <c r="H21" s="1571"/>
      <c r="I21" s="1605"/>
      <c r="J21" s="1605"/>
      <c r="K21" s="1605"/>
      <c r="L21" s="1571"/>
      <c r="M21" s="1605"/>
      <c r="N21" s="1571"/>
      <c r="O21" s="1606"/>
      <c r="P21" s="1607"/>
      <c r="Q21" s="1607"/>
      <c r="R21" s="1571"/>
      <c r="S21" s="1568"/>
      <c r="T21" s="1622"/>
      <c r="U21" s="1625"/>
      <c r="V21" s="1624"/>
    </row>
    <row r="22" ht="13.2" spans="2:22">
      <c r="B22" s="1567"/>
      <c r="C22" s="1568"/>
      <c r="D22" s="1569"/>
      <c r="E22" s="1570"/>
      <c r="F22" s="1571"/>
      <c r="G22" s="1568"/>
      <c r="H22" s="1571"/>
      <c r="I22" s="1605"/>
      <c r="J22" s="1605"/>
      <c r="K22" s="1605"/>
      <c r="L22" s="1571"/>
      <c r="M22" s="1605"/>
      <c r="N22" s="1571"/>
      <c r="O22" s="1606"/>
      <c r="P22" s="1607"/>
      <c r="Q22" s="1607"/>
      <c r="R22" s="1571"/>
      <c r="S22" s="1568"/>
      <c r="T22" s="1622"/>
      <c r="U22" s="1625"/>
      <c r="V22" s="1624"/>
    </row>
    <row r="23" ht="13.2" spans="2:22">
      <c r="B23" s="1568">
        <v>3</v>
      </c>
      <c r="C23" s="1568"/>
      <c r="D23" s="1569"/>
      <c r="E23" s="1570"/>
      <c r="F23" s="1571" t="s">
        <v>11928</v>
      </c>
      <c r="G23" s="1568"/>
      <c r="H23" s="1571" t="s">
        <v>11928</v>
      </c>
      <c r="I23" s="1605"/>
      <c r="J23" s="1608"/>
      <c r="K23" s="1605"/>
      <c r="L23" s="1571" t="s">
        <v>11928</v>
      </c>
      <c r="M23" s="1605">
        <v>0</v>
      </c>
      <c r="N23" s="1571" t="s">
        <v>11928</v>
      </c>
      <c r="O23" s="1606">
        <v>0.02</v>
      </c>
      <c r="P23" s="1605"/>
      <c r="Q23" s="1605"/>
      <c r="R23" s="1571" t="s">
        <v>11928</v>
      </c>
      <c r="S23" s="1568"/>
      <c r="T23" s="1622">
        <f>'FF311'!E6</f>
        <v>0</v>
      </c>
      <c r="U23" s="1623" t="s">
        <v>12753</v>
      </c>
      <c r="V23" s="1626"/>
    </row>
    <row r="24" ht="13.2" spans="2:22">
      <c r="B24" s="1572"/>
      <c r="C24" s="1573"/>
      <c r="D24" s="1574"/>
      <c r="E24" s="1575"/>
      <c r="F24" s="1575"/>
      <c r="G24" s="1573"/>
      <c r="H24" s="1573"/>
      <c r="I24" s="1609"/>
      <c r="J24" s="1609"/>
      <c r="K24" s="1609"/>
      <c r="L24" s="1609"/>
      <c r="M24" s="1610"/>
      <c r="N24" s="1610"/>
      <c r="O24" s="1611"/>
      <c r="P24" s="1609"/>
      <c r="Q24" s="1609"/>
      <c r="R24" s="1609"/>
      <c r="S24" s="1627"/>
      <c r="T24" s="1622"/>
      <c r="U24" s="1628"/>
      <c r="V24" s="1624"/>
    </row>
    <row r="25" ht="12" spans="2:22">
      <c r="B25" s="1576" t="s">
        <v>171</v>
      </c>
      <c r="C25" s="1577" t="s">
        <v>171</v>
      </c>
      <c r="D25" s="1578" t="s">
        <v>171</v>
      </c>
      <c r="E25" s="1577" t="s">
        <v>675</v>
      </c>
      <c r="F25" s="1577" t="s">
        <v>171</v>
      </c>
      <c r="G25" s="1577" t="s">
        <v>171</v>
      </c>
      <c r="H25" s="1577" t="s">
        <v>171</v>
      </c>
      <c r="I25" s="1577" t="s">
        <v>171</v>
      </c>
      <c r="J25" s="1577" t="s">
        <v>171</v>
      </c>
      <c r="K25" s="1612"/>
      <c r="L25" s="1612" t="s">
        <v>171</v>
      </c>
      <c r="M25" s="1613">
        <f>SUM(M15:M24)</f>
        <v>0</v>
      </c>
      <c r="N25" s="1613" t="s">
        <v>171</v>
      </c>
      <c r="O25" s="1613" t="s">
        <v>171</v>
      </c>
      <c r="P25" s="1577"/>
      <c r="Q25" s="1577"/>
      <c r="R25" s="1577" t="s">
        <v>171</v>
      </c>
      <c r="S25" s="1577" t="s">
        <v>171</v>
      </c>
      <c r="T25" s="1629">
        <f>SUM(T15:T24)</f>
        <v>0</v>
      </c>
      <c r="U25" s="1630"/>
      <c r="V25" s="1631">
        <f>SUM(V15:V23)</f>
        <v>0</v>
      </c>
    </row>
    <row r="26" spans="2:22">
      <c r="B26" s="1567"/>
      <c r="C26" s="1579"/>
      <c r="D26" s="1580"/>
      <c r="E26" s="1579"/>
      <c r="F26" s="1579"/>
      <c r="G26" s="1579"/>
      <c r="H26" s="1579"/>
      <c r="I26" s="1579"/>
      <c r="J26" s="1579"/>
      <c r="K26" s="1579"/>
      <c r="L26" s="1579"/>
      <c r="M26" s="1579"/>
      <c r="N26" s="1579"/>
      <c r="O26" s="1579"/>
      <c r="P26" s="1579"/>
      <c r="Q26" s="1579"/>
      <c r="R26" s="1579"/>
      <c r="S26" s="1579"/>
      <c r="T26" s="1632"/>
      <c r="U26" s="1633"/>
      <c r="V26" s="1634"/>
    </row>
    <row r="27" spans="15:20">
      <c r="O27" t="s">
        <v>12791</v>
      </c>
      <c r="T27">
        <f>T28</f>
        <v>0</v>
      </c>
    </row>
    <row r="28" spans="15:20">
      <c r="O28" t="s">
        <v>12810</v>
      </c>
      <c r="T28" s="164">
        <f>FF!K17</f>
        <v>0</v>
      </c>
    </row>
    <row r="29" spans="15:20">
      <c r="O29" t="s">
        <v>12811</v>
      </c>
      <c r="T29" s="159">
        <f>T27-T28</f>
        <v>0</v>
      </c>
    </row>
    <row r="65470" spans="9:9">
      <c r="I65470" s="1605"/>
    </row>
  </sheetData>
  <autoFilter ref="B14:U25">
    <extLst/>
  </autoFilter>
  <mergeCells count="10">
    <mergeCell ref="B9:T9"/>
    <mergeCell ref="B10:T10"/>
    <mergeCell ref="B11:T11"/>
    <mergeCell ref="C12:D12"/>
    <mergeCell ref="E12:I12"/>
    <mergeCell ref="J12:T12"/>
    <mergeCell ref="C13:D13"/>
    <mergeCell ref="K13:M13"/>
    <mergeCell ref="P13:Q13"/>
    <mergeCell ref="S13:T13"/>
  </mergeCells>
  <pageMargins left="0.31496062992126" right="0.31496062992126" top="0.354330708661417" bottom="0.15748031496063" header="0.31496062992126" footer="0.31496062992126"/>
  <pageSetup paperSize="1" scale="70" orientation="landscape"/>
  <headerFooter/>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4"/>
  <dimension ref="B1:F62"/>
  <sheetViews>
    <sheetView zoomScale="130" zoomScaleNormal="130" workbookViewId="0">
      <pane xSplit="2" ySplit="2" topLeftCell="C3" activePane="bottomRight" state="frozen"/>
      <selection/>
      <selection pane="topRight"/>
      <selection pane="bottomLeft"/>
      <selection pane="bottomRight" activeCell="E6" sqref="E6"/>
    </sheetView>
  </sheetViews>
  <sheetFormatPr defaultColWidth="9" defaultRowHeight="11.4" outlineLevelCol="5"/>
  <cols>
    <col min="1" max="1" width="5.39583333333333" customWidth="1"/>
    <col min="2" max="3" width="15.1354166666667" style="1" customWidth="1"/>
    <col min="4" max="4" width="50.9375" customWidth="1"/>
    <col min="5" max="5" width="13.6354166666667" style="1538" customWidth="1"/>
    <col min="6" max="6" width="13.78125" style="781" customWidth="1"/>
  </cols>
  <sheetData>
    <row r="1" spans="2:2">
      <c r="B1" s="1" t="str">
        <f>'FF31'!C4</f>
        <v>PT INTAN GIRI ABADI</v>
      </c>
    </row>
    <row r="2" spans="2:2">
      <c r="B2" s="1" t="s">
        <v>12812</v>
      </c>
    </row>
    <row r="3" ht="12" spans="2:5">
      <c r="B3" s="1539" t="s">
        <v>275</v>
      </c>
      <c r="C3" s="1539" t="s">
        <v>12813</v>
      </c>
      <c r="D3" s="1540" t="s">
        <v>12814</v>
      </c>
      <c r="E3" s="1541" t="s">
        <v>12815</v>
      </c>
    </row>
    <row r="4" spans="2:5">
      <c r="B4" s="1542"/>
      <c r="C4" s="1543"/>
      <c r="D4" s="1544"/>
      <c r="E4" s="1545"/>
    </row>
    <row r="5" spans="2:5">
      <c r="B5" s="1542"/>
      <c r="C5" s="1543"/>
      <c r="D5" s="1544"/>
      <c r="E5" s="1545"/>
    </row>
    <row r="6" spans="2:5">
      <c r="B6" s="1542"/>
      <c r="C6" s="1543"/>
      <c r="D6" s="1544"/>
      <c r="E6" s="1545"/>
    </row>
    <row r="7" spans="2:6">
      <c r="B7" s="1542"/>
      <c r="C7" s="1543"/>
      <c r="D7" s="1544"/>
      <c r="E7" s="1545"/>
      <c r="F7" s="781">
        <f>+SUM(E4:E6)</f>
        <v>0</v>
      </c>
    </row>
    <row r="8" spans="2:5">
      <c r="B8" s="1542"/>
      <c r="C8" s="1543"/>
      <c r="D8" s="1544"/>
      <c r="E8" s="1545"/>
    </row>
    <row r="9" spans="2:5">
      <c r="B9" s="1542"/>
      <c r="C9" s="1543"/>
      <c r="D9" s="1544"/>
      <c r="E9" s="1545"/>
    </row>
    <row r="10" spans="2:5">
      <c r="B10" s="1542"/>
      <c r="C10" s="1543"/>
      <c r="D10" s="1544"/>
      <c r="E10" s="1545"/>
    </row>
    <row r="11" spans="2:5">
      <c r="B11" s="1542"/>
      <c r="C11" s="1543"/>
      <c r="D11" s="1544"/>
      <c r="E11" s="1545"/>
    </row>
    <row r="12" spans="2:6">
      <c r="B12" s="1542"/>
      <c r="C12" s="1543"/>
      <c r="D12" s="1544"/>
      <c r="E12" s="1545"/>
      <c r="F12" s="781">
        <f>+SUM(E8:E11)</f>
        <v>0</v>
      </c>
    </row>
    <row r="13" spans="2:5">
      <c r="B13" s="1542"/>
      <c r="C13" s="1543"/>
      <c r="D13" s="1544"/>
      <c r="E13" s="1545"/>
    </row>
    <row r="14" spans="2:5">
      <c r="B14" s="1542"/>
      <c r="C14" s="1543"/>
      <c r="D14" s="1544"/>
      <c r="E14" s="1545"/>
    </row>
    <row r="15" spans="2:5">
      <c r="B15" s="1542"/>
      <c r="C15" s="1543"/>
      <c r="D15" s="1544"/>
      <c r="E15" s="1545"/>
    </row>
    <row r="16" spans="2:6">
      <c r="B16" s="1542"/>
      <c r="C16" s="1543"/>
      <c r="D16" s="1544"/>
      <c r="E16" s="1545"/>
      <c r="F16" s="781">
        <f>+SUM(E13:E15)</f>
        <v>0</v>
      </c>
    </row>
    <row r="17" spans="2:5">
      <c r="B17" s="1542"/>
      <c r="C17" s="1543"/>
      <c r="D17" s="1544"/>
      <c r="E17" s="1545"/>
    </row>
    <row r="18" spans="2:5">
      <c r="B18" s="1542"/>
      <c r="C18" s="1543"/>
      <c r="D18" s="1544"/>
      <c r="E18" s="1545"/>
    </row>
    <row r="19" spans="2:5">
      <c r="B19" s="1542"/>
      <c r="C19" s="1543"/>
      <c r="D19" s="1544"/>
      <c r="E19" s="1545"/>
    </row>
    <row r="20" spans="2:6">
      <c r="B20" s="1542"/>
      <c r="C20" s="1543"/>
      <c r="D20" s="1544"/>
      <c r="E20" s="1545"/>
      <c r="F20" s="781">
        <f>+SUM(E17:E19)</f>
        <v>0</v>
      </c>
    </row>
    <row r="21" spans="2:5">
      <c r="B21" s="1542"/>
      <c r="C21" s="1543"/>
      <c r="D21" s="1544"/>
      <c r="E21" s="1545"/>
    </row>
    <row r="22" spans="2:5">
      <c r="B22" s="1542"/>
      <c r="C22" s="1543"/>
      <c r="D22" s="1544"/>
      <c r="E22" s="1545"/>
    </row>
    <row r="23" spans="2:5">
      <c r="B23" s="1542"/>
      <c r="C23" s="1543"/>
      <c r="D23" s="1544"/>
      <c r="E23" s="1545"/>
    </row>
    <row r="24" spans="2:6">
      <c r="B24" s="1542"/>
      <c r="C24" s="1543"/>
      <c r="D24" s="1544"/>
      <c r="E24" s="1545"/>
      <c r="F24" s="781">
        <f>+SUM(E21:E23)</f>
        <v>0</v>
      </c>
    </row>
    <row r="25" spans="2:5">
      <c r="B25" s="1542"/>
      <c r="C25" s="1543"/>
      <c r="D25" s="1544"/>
      <c r="E25" s="1545"/>
    </row>
    <row r="26" spans="2:5">
      <c r="B26" s="1542"/>
      <c r="C26" s="1543"/>
      <c r="D26" s="1544"/>
      <c r="E26" s="1545"/>
    </row>
    <row r="27" spans="2:5">
      <c r="B27" s="1542"/>
      <c r="C27" s="1543"/>
      <c r="D27" s="1544"/>
      <c r="E27" s="1545"/>
    </row>
    <row r="28" spans="2:5">
      <c r="B28" s="1542"/>
      <c r="C28" s="1543"/>
      <c r="D28" s="1544"/>
      <c r="E28" s="1545"/>
    </row>
    <row r="29" spans="2:6">
      <c r="B29" s="1542"/>
      <c r="C29" s="1543"/>
      <c r="D29" s="1544"/>
      <c r="E29" s="1545"/>
      <c r="F29" s="781">
        <f>+SUM(E25:E28)</f>
        <v>0</v>
      </c>
    </row>
    <row r="30" spans="2:5">
      <c r="B30" s="1542"/>
      <c r="C30" s="1543"/>
      <c r="D30" s="1544"/>
      <c r="E30" s="1545"/>
    </row>
    <row r="31" spans="2:5">
      <c r="B31" s="1542"/>
      <c r="C31" s="1543"/>
      <c r="D31" s="1544"/>
      <c r="E31" s="1545"/>
    </row>
    <row r="32" spans="2:5">
      <c r="B32" s="1542"/>
      <c r="C32" s="1543"/>
      <c r="D32" s="1544"/>
      <c r="E32" s="1545"/>
    </row>
    <row r="33" spans="2:5">
      <c r="B33" s="1542"/>
      <c r="C33" s="1543"/>
      <c r="D33" s="1544"/>
      <c r="E33" s="1545"/>
    </row>
    <row r="34" spans="2:5">
      <c r="B34" s="1542"/>
      <c r="C34" s="1543"/>
      <c r="D34" s="1544"/>
      <c r="E34" s="1545"/>
    </row>
    <row r="35" spans="2:6">
      <c r="B35" s="1542"/>
      <c r="C35" s="1543"/>
      <c r="D35" s="1544"/>
      <c r="E35" s="1545"/>
      <c r="F35" s="781">
        <f>+SUM(E30:E34)</f>
        <v>0</v>
      </c>
    </row>
    <row r="36" spans="2:5">
      <c r="B36" s="1542"/>
      <c r="C36" s="1543"/>
      <c r="D36" s="1544"/>
      <c r="E36" s="1545"/>
    </row>
    <row r="37" spans="2:5">
      <c r="B37" s="1542"/>
      <c r="C37" s="1543"/>
      <c r="D37" s="1544"/>
      <c r="E37" s="1545"/>
    </row>
    <row r="38" spans="2:5">
      <c r="B38" s="1542"/>
      <c r="C38" s="1543"/>
      <c r="D38" s="1544"/>
      <c r="E38" s="1545"/>
    </row>
    <row r="39" spans="2:5">
      <c r="B39" s="1542"/>
      <c r="C39" s="1543"/>
      <c r="D39" s="1544"/>
      <c r="E39" s="1545"/>
    </row>
    <row r="40" spans="2:6">
      <c r="B40" s="1542"/>
      <c r="C40" s="1543"/>
      <c r="D40" s="1544"/>
      <c r="E40" s="1545"/>
      <c r="F40" s="781">
        <f>+SUM(E36:E39)</f>
        <v>0</v>
      </c>
    </row>
    <row r="41" spans="2:5">
      <c r="B41" s="1542"/>
      <c r="C41" s="1543"/>
      <c r="D41" s="1544"/>
      <c r="E41" s="1545"/>
    </row>
    <row r="42" spans="2:5">
      <c r="B42" s="1542"/>
      <c r="C42" s="1543"/>
      <c r="D42" s="1544"/>
      <c r="E42" s="1545"/>
    </row>
    <row r="43" spans="2:5">
      <c r="B43" s="1542"/>
      <c r="C43" s="1543"/>
      <c r="D43" s="1544"/>
      <c r="E43" s="1545"/>
    </row>
    <row r="44" spans="2:5">
      <c r="B44" s="1542"/>
      <c r="C44" s="1543"/>
      <c r="D44" s="1544"/>
      <c r="E44" s="1545"/>
    </row>
    <row r="45" spans="2:6">
      <c r="B45" s="1542"/>
      <c r="C45" s="1543"/>
      <c r="D45" s="1544"/>
      <c r="E45" s="1545"/>
      <c r="F45" s="781">
        <f>+SUM(E41:E44)</f>
        <v>0</v>
      </c>
    </row>
    <row r="46" spans="2:5">
      <c r="B46" s="1542"/>
      <c r="C46" s="1543"/>
      <c r="D46" s="1544"/>
      <c r="E46" s="1545"/>
    </row>
    <row r="47" spans="2:5">
      <c r="B47" s="1542"/>
      <c r="C47" s="1543"/>
      <c r="D47" s="1544"/>
      <c r="E47" s="1545"/>
    </row>
    <row r="48" spans="2:5">
      <c r="B48" s="1542"/>
      <c r="C48" s="1543"/>
      <c r="D48" s="1544"/>
      <c r="E48" s="1545"/>
    </row>
    <row r="49" spans="2:5">
      <c r="B49" s="1542"/>
      <c r="C49" s="1543"/>
      <c r="D49" s="1544"/>
      <c r="E49" s="1545"/>
    </row>
    <row r="50" spans="2:6">
      <c r="B50" s="1542"/>
      <c r="C50" s="1543"/>
      <c r="D50" s="1544"/>
      <c r="E50" s="1545"/>
      <c r="F50" s="781">
        <f>+SUM(E46:E49)</f>
        <v>0</v>
      </c>
    </row>
    <row r="51" spans="2:5">
      <c r="B51" s="1542"/>
      <c r="C51" s="1543"/>
      <c r="D51" s="1544"/>
      <c r="E51" s="1545"/>
    </row>
    <row r="52" spans="2:5">
      <c r="B52" s="1542"/>
      <c r="C52" s="1543"/>
      <c r="D52" s="1544"/>
      <c r="E52" s="1545"/>
    </row>
    <row r="53" spans="2:5">
      <c r="B53" s="1542"/>
      <c r="C53" s="1543"/>
      <c r="D53" s="1544"/>
      <c r="E53" s="1545"/>
    </row>
    <row r="54" spans="2:5">
      <c r="B54" s="1542"/>
      <c r="C54" s="1543"/>
      <c r="D54" s="1544"/>
      <c r="E54" s="1545"/>
    </row>
    <row r="55" spans="2:6">
      <c r="B55" s="1542"/>
      <c r="C55" s="1543"/>
      <c r="D55" s="1544"/>
      <c r="E55" s="1545"/>
      <c r="F55" s="781">
        <f>+SUM(E51:E54)</f>
        <v>0</v>
      </c>
    </row>
    <row r="56" spans="2:5">
      <c r="B56" s="1542"/>
      <c r="C56" s="1543"/>
      <c r="D56" s="1544"/>
      <c r="E56" s="1545"/>
    </row>
    <row r="57" spans="2:5">
      <c r="B57" s="1542"/>
      <c r="C57" s="1543"/>
      <c r="D57" s="1544"/>
      <c r="E57" s="1545"/>
    </row>
    <row r="58" spans="2:5">
      <c r="B58" s="1542"/>
      <c r="C58" s="1543"/>
      <c r="D58" s="1544"/>
      <c r="E58" s="1545"/>
    </row>
    <row r="59" spans="2:5">
      <c r="B59" s="1542"/>
      <c r="C59" s="1543"/>
      <c r="D59" s="1544"/>
      <c r="E59" s="1545"/>
    </row>
    <row r="60" spans="6:6">
      <c r="F60" s="781">
        <f>+SUM(E56:E59)</f>
        <v>0</v>
      </c>
    </row>
    <row r="62" spans="5:6">
      <c r="E62" s="1538">
        <f>SUM(E4:E61)</f>
        <v>0</v>
      </c>
      <c r="F62" s="1538">
        <f>SUM(F4:F61)</f>
        <v>0</v>
      </c>
    </row>
  </sheetData>
  <pageMargins left="0.31496062992126" right="0.31496062992126" top="0.354330708661417" bottom="0.15748031496063" header="0.31496062992126" footer="0.31496062992126"/>
  <pageSetup paperSize="9" scale="75" orientation="portrait"/>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5"/>
  <dimension ref="B2:L31"/>
  <sheetViews>
    <sheetView zoomScale="130" zoomScaleNormal="130" workbookViewId="0">
      <selection activeCell="K4" sqref="K4"/>
    </sheetView>
  </sheetViews>
  <sheetFormatPr defaultColWidth="9.13541666666667" defaultRowHeight="13.2"/>
  <cols>
    <col min="1" max="1" width="9.13541666666667" style="1417"/>
    <col min="2" max="2" width="12.4375" style="1418" customWidth="1"/>
    <col min="3" max="3" width="17.6770833333333" style="1458" customWidth="1"/>
    <col min="4" max="4" width="18.7291666666667" style="1417" customWidth="1"/>
    <col min="5" max="5" width="3.14583333333333" style="1417" customWidth="1"/>
    <col min="6" max="6" width="18.4270833333333" style="1417" customWidth="1"/>
    <col min="7" max="7" width="17.9791666666667" style="1416" customWidth="1"/>
    <col min="8" max="8" width="17.9791666666667" style="1417" customWidth="1"/>
    <col min="9" max="9" width="12.1354166666667" style="1417" customWidth="1"/>
    <col min="10" max="10" width="13.1875" style="1417" customWidth="1"/>
    <col min="11" max="12" width="11.3854166666667" style="1417" customWidth="1"/>
    <col min="13" max="16384" width="9.13541666666667" style="1417"/>
  </cols>
  <sheetData>
    <row r="2" ht="21" spans="2:12">
      <c r="B2" s="1499" t="str">
        <f>'[105]FF2'!B2</f>
        <v>KAP S MANNAN, ARDIANSYAH &amp; REKAN</v>
      </c>
      <c r="C2" s="731"/>
      <c r="D2" s="731"/>
      <c r="E2" s="731"/>
      <c r="F2" s="731"/>
      <c r="G2" s="731"/>
      <c r="H2" s="731"/>
      <c r="I2" s="731"/>
      <c r="J2" s="731" t="s">
        <v>481</v>
      </c>
      <c r="K2" s="765" t="s">
        <v>482</v>
      </c>
      <c r="L2" s="766" t="s">
        <v>483</v>
      </c>
    </row>
    <row r="3" ht="15.6" spans="2:12">
      <c r="B3" s="1500"/>
      <c r="C3" s="1501"/>
      <c r="D3" s="1502"/>
      <c r="E3" s="1503"/>
      <c r="F3" s="1504"/>
      <c r="G3" s="1504"/>
      <c r="H3" s="1505"/>
      <c r="I3" s="1505"/>
      <c r="J3" s="738" t="s">
        <v>484</v>
      </c>
      <c r="K3" s="767">
        <f>+FF!Q3</f>
        <v>45203</v>
      </c>
      <c r="L3" s="768" t="s">
        <v>12638</v>
      </c>
    </row>
    <row r="4" spans="2:12">
      <c r="B4" s="1506"/>
      <c r="C4" s="1507"/>
      <c r="D4" s="1507"/>
      <c r="E4" s="1507"/>
      <c r="F4" s="1507"/>
      <c r="G4" s="1507"/>
      <c r="H4" s="1507"/>
      <c r="I4" s="1507"/>
      <c r="J4" s="1513" t="s">
        <v>487</v>
      </c>
      <c r="K4" s="1534" t="s">
        <v>482</v>
      </c>
      <c r="L4" s="1535" t="s">
        <v>488</v>
      </c>
    </row>
    <row r="5" spans="2:12">
      <c r="B5" s="1508" t="s">
        <v>622</v>
      </c>
      <c r="C5" s="1509" t="str">
        <f>'FF2'!C4</f>
        <v>PT INTAN GIRI ABADI</v>
      </c>
      <c r="D5" s="1509"/>
      <c r="E5" s="1509"/>
      <c r="F5" s="1509"/>
      <c r="G5" s="1509"/>
      <c r="H5" s="1509"/>
      <c r="I5" s="1509"/>
      <c r="J5" s="746"/>
      <c r="K5" s="1473"/>
      <c r="L5" s="1474"/>
    </row>
    <row r="6" spans="2:12">
      <c r="B6" s="1510"/>
      <c r="C6" s="1511"/>
      <c r="D6" s="1511"/>
      <c r="E6" s="1511"/>
      <c r="F6" s="1511"/>
      <c r="G6" s="1511"/>
      <c r="H6" s="1511"/>
      <c r="I6" s="1511"/>
      <c r="J6" s="746"/>
      <c r="K6" s="771"/>
      <c r="L6" s="772"/>
    </row>
    <row r="7" spans="2:12">
      <c r="B7" s="1512"/>
      <c r="C7" s="1513"/>
      <c r="D7" s="1513"/>
      <c r="E7" s="1513"/>
      <c r="F7" s="1513"/>
      <c r="G7" s="1513"/>
      <c r="H7" s="1513"/>
      <c r="I7" s="1513"/>
      <c r="J7" s="1536"/>
      <c r="K7" s="1512"/>
      <c r="L7" s="1537" t="s">
        <v>491</v>
      </c>
    </row>
    <row r="8" spans="2:12">
      <c r="B8" s="1514" t="s">
        <v>623</v>
      </c>
      <c r="C8" s="1515" t="s">
        <v>12816</v>
      </c>
      <c r="D8" s="1511"/>
      <c r="E8" s="1511"/>
      <c r="F8" s="1511"/>
      <c r="G8" s="1511"/>
      <c r="H8" s="1511"/>
      <c r="I8" s="1511"/>
      <c r="J8" s="1511"/>
      <c r="K8" s="1510"/>
      <c r="L8" s="776">
        <v>44926</v>
      </c>
    </row>
    <row r="9" ht="13.95" spans="2:6">
      <c r="B9" s="1420"/>
      <c r="F9" s="1421"/>
    </row>
    <row r="10" spans="2:8">
      <c r="B10" s="1516" t="s">
        <v>971</v>
      </c>
      <c r="C10" s="1517" t="s">
        <v>12817</v>
      </c>
      <c r="D10" s="1517" t="s">
        <v>947</v>
      </c>
      <c r="E10" s="1517" t="s">
        <v>894</v>
      </c>
      <c r="F10" s="1517" t="s">
        <v>12818</v>
      </c>
      <c r="G10" s="1517" t="s">
        <v>12669</v>
      </c>
      <c r="H10" s="1518" t="s">
        <v>12670</v>
      </c>
    </row>
    <row r="11" spans="2:8">
      <c r="B11" s="1519"/>
      <c r="C11" s="1520"/>
      <c r="D11" s="1520" t="s">
        <v>12819</v>
      </c>
      <c r="E11" s="1520"/>
      <c r="F11" s="1520"/>
      <c r="G11" s="1521"/>
      <c r="H11" s="1522"/>
    </row>
    <row r="12" spans="2:9">
      <c r="B12" s="1523" t="s">
        <v>12673</v>
      </c>
      <c r="C12" s="1524" t="s">
        <v>12820</v>
      </c>
      <c r="D12" s="1525">
        <v>0</v>
      </c>
      <c r="E12" s="1526">
        <v>0.02</v>
      </c>
      <c r="F12" s="1524">
        <f>D12*E12</f>
        <v>0</v>
      </c>
      <c r="G12" s="1527">
        <v>0</v>
      </c>
      <c r="H12" s="1528"/>
      <c r="I12" s="1417">
        <f>+F12-G12</f>
        <v>0</v>
      </c>
    </row>
    <row r="13" spans="2:9">
      <c r="B13" s="1523" t="s">
        <v>12674</v>
      </c>
      <c r="C13" s="1525" t="s">
        <v>12820</v>
      </c>
      <c r="D13" s="1525">
        <v>0</v>
      </c>
      <c r="E13" s="1526">
        <v>0.02</v>
      </c>
      <c r="F13" s="1524">
        <f t="shared" ref="F13:F23" si="0">D13*E13</f>
        <v>0</v>
      </c>
      <c r="G13" s="1527">
        <v>0</v>
      </c>
      <c r="H13" s="1528"/>
      <c r="I13" s="1417">
        <f t="shared" ref="I13:I23" si="1">+F13-G13</f>
        <v>0</v>
      </c>
    </row>
    <row r="14" spans="2:9">
      <c r="B14" s="1523" t="s">
        <v>12779</v>
      </c>
      <c r="C14" s="1525" t="s">
        <v>12820</v>
      </c>
      <c r="D14" s="1525">
        <v>0</v>
      </c>
      <c r="E14" s="1526">
        <v>0.02</v>
      </c>
      <c r="F14" s="1524">
        <f t="shared" si="0"/>
        <v>0</v>
      </c>
      <c r="G14" s="1527">
        <v>0</v>
      </c>
      <c r="H14" s="1529"/>
      <c r="I14" s="1417">
        <f t="shared" si="1"/>
        <v>0</v>
      </c>
    </row>
    <row r="15" spans="2:10">
      <c r="B15" s="1523" t="s">
        <v>12675</v>
      </c>
      <c r="C15" s="1525" t="s">
        <v>12820</v>
      </c>
      <c r="D15" s="1525">
        <v>0</v>
      </c>
      <c r="E15" s="1526">
        <v>0.02</v>
      </c>
      <c r="F15" s="1524">
        <f t="shared" si="0"/>
        <v>0</v>
      </c>
      <c r="G15" s="1527">
        <v>0</v>
      </c>
      <c r="H15" s="1529"/>
      <c r="I15" s="1417">
        <f t="shared" si="1"/>
        <v>0</v>
      </c>
      <c r="J15" s="1417" t="s">
        <v>12821</v>
      </c>
    </row>
    <row r="16" spans="2:9">
      <c r="B16" s="1523" t="s">
        <v>1046</v>
      </c>
      <c r="C16" s="1525" t="s">
        <v>12820</v>
      </c>
      <c r="D16" s="1525">
        <v>0</v>
      </c>
      <c r="E16" s="1526">
        <v>0.02</v>
      </c>
      <c r="F16" s="1524">
        <f t="shared" si="0"/>
        <v>0</v>
      </c>
      <c r="G16" s="1527">
        <v>0</v>
      </c>
      <c r="H16" s="1529"/>
      <c r="I16" s="1417">
        <f t="shared" si="1"/>
        <v>0</v>
      </c>
    </row>
    <row r="17" spans="2:10">
      <c r="B17" s="1523" t="s">
        <v>12676</v>
      </c>
      <c r="C17" s="1530" t="s">
        <v>12820</v>
      </c>
      <c r="D17" s="1525">
        <v>0</v>
      </c>
      <c r="E17" s="1526">
        <v>0.02</v>
      </c>
      <c r="F17" s="1524">
        <f t="shared" si="0"/>
        <v>0</v>
      </c>
      <c r="G17" s="1527">
        <v>0</v>
      </c>
      <c r="H17" s="1529"/>
      <c r="I17" s="1417">
        <f t="shared" si="1"/>
        <v>0</v>
      </c>
      <c r="J17" s="1417" t="s">
        <v>12821</v>
      </c>
    </row>
    <row r="18" spans="2:9">
      <c r="B18" s="1523" t="s">
        <v>12781</v>
      </c>
      <c r="C18" s="1525" t="s">
        <v>12820</v>
      </c>
      <c r="D18" s="1525">
        <v>0</v>
      </c>
      <c r="E18" s="1526">
        <v>0.02</v>
      </c>
      <c r="F18" s="1524">
        <f t="shared" si="0"/>
        <v>0</v>
      </c>
      <c r="G18" s="1527">
        <v>0</v>
      </c>
      <c r="H18" s="1529"/>
      <c r="I18" s="1417">
        <f t="shared" si="1"/>
        <v>0</v>
      </c>
    </row>
    <row r="19" spans="2:9">
      <c r="B19" s="1523" t="s">
        <v>12782</v>
      </c>
      <c r="C19" s="1525" t="s">
        <v>12820</v>
      </c>
      <c r="D19" s="1525">
        <v>0</v>
      </c>
      <c r="E19" s="1526">
        <v>0.02</v>
      </c>
      <c r="F19" s="1524">
        <f t="shared" si="0"/>
        <v>0</v>
      </c>
      <c r="G19" s="1527">
        <v>0</v>
      </c>
      <c r="H19" s="1529"/>
      <c r="I19" s="1417">
        <f t="shared" si="1"/>
        <v>0</v>
      </c>
    </row>
    <row r="20" spans="2:9">
      <c r="B20" s="1523" t="s">
        <v>12678</v>
      </c>
      <c r="C20" s="1525" t="s">
        <v>12820</v>
      </c>
      <c r="D20" s="1525">
        <v>0</v>
      </c>
      <c r="E20" s="1526">
        <v>0.02</v>
      </c>
      <c r="F20" s="1524">
        <f t="shared" si="0"/>
        <v>0</v>
      </c>
      <c r="G20" s="1527">
        <v>0</v>
      </c>
      <c r="H20" s="1529"/>
      <c r="I20" s="1417">
        <f t="shared" si="1"/>
        <v>0</v>
      </c>
    </row>
    <row r="21" spans="2:9">
      <c r="B21" s="1523" t="s">
        <v>12679</v>
      </c>
      <c r="C21" s="1525" t="s">
        <v>12820</v>
      </c>
      <c r="D21" s="1525">
        <v>0</v>
      </c>
      <c r="E21" s="1526">
        <v>0.02</v>
      </c>
      <c r="F21" s="1524">
        <f t="shared" si="0"/>
        <v>0</v>
      </c>
      <c r="G21" s="1527">
        <v>0</v>
      </c>
      <c r="H21" s="1529"/>
      <c r="I21" s="1417">
        <f t="shared" si="1"/>
        <v>0</v>
      </c>
    </row>
    <row r="22" spans="2:9">
      <c r="B22" s="1523" t="s">
        <v>12680</v>
      </c>
      <c r="C22" s="1525" t="s">
        <v>12820</v>
      </c>
      <c r="D22" s="1525">
        <v>0</v>
      </c>
      <c r="E22" s="1526">
        <v>0.02</v>
      </c>
      <c r="F22" s="1524">
        <f t="shared" si="0"/>
        <v>0</v>
      </c>
      <c r="G22" s="1527">
        <v>0</v>
      </c>
      <c r="H22" s="1529"/>
      <c r="I22" s="1417">
        <f t="shared" si="1"/>
        <v>0</v>
      </c>
    </row>
    <row r="23" spans="2:9">
      <c r="B23" s="1523" t="s">
        <v>12681</v>
      </c>
      <c r="C23" s="1525" t="s">
        <v>12820</v>
      </c>
      <c r="D23" s="1525">
        <v>0</v>
      </c>
      <c r="E23" s="1526">
        <v>0.02</v>
      </c>
      <c r="F23" s="1524">
        <f t="shared" si="0"/>
        <v>0</v>
      </c>
      <c r="G23" s="1527">
        <v>0</v>
      </c>
      <c r="H23" s="1529"/>
      <c r="I23" s="1417">
        <f t="shared" si="1"/>
        <v>0</v>
      </c>
    </row>
    <row r="24" spans="2:8">
      <c r="B24" s="1531" t="s">
        <v>675</v>
      </c>
      <c r="C24" s="1532"/>
      <c r="D24" s="1453">
        <f>SUM(D12:D23)</f>
        <v>0</v>
      </c>
      <c r="E24" s="1453"/>
      <c r="F24" s="1453">
        <f>SUM(F12:F23)</f>
        <v>0</v>
      </c>
      <c r="G24" s="1454"/>
      <c r="H24" s="1533"/>
    </row>
    <row r="26" ht="13.8" spans="2:2">
      <c r="B26" s="5169" t="s">
        <v>12682</v>
      </c>
    </row>
    <row r="27" spans="4:6">
      <c r="D27" s="1458"/>
      <c r="E27" s="1458"/>
      <c r="F27" s="1459"/>
    </row>
    <row r="28" spans="2:6">
      <c r="B28" s="5153" t="s">
        <v>12683</v>
      </c>
      <c r="C28"/>
      <c r="D28" s="1461"/>
      <c r="E28" s="1461"/>
      <c r="F28" s="1461"/>
    </row>
    <row r="29" spans="2:6">
      <c r="B29" s="1462" t="s">
        <v>12822</v>
      </c>
      <c r="C29" s="1462"/>
      <c r="D29" s="1463"/>
      <c r="E29" s="1463"/>
      <c r="F29" s="1463">
        <f>+F24</f>
        <v>0</v>
      </c>
    </row>
    <row r="30" spans="2:6">
      <c r="B30" t="s">
        <v>12823</v>
      </c>
      <c r="C30"/>
      <c r="D30" s="1464" t="s">
        <v>774</v>
      </c>
      <c r="E30" s="1464"/>
      <c r="F30" s="1461">
        <v>0</v>
      </c>
    </row>
    <row r="31" ht="13.95" spans="2:6">
      <c r="B31" s="1465" t="s">
        <v>146</v>
      </c>
      <c r="C31" s="1465"/>
      <c r="D31" s="1466"/>
      <c r="E31" s="1466"/>
      <c r="F31" s="1467">
        <f>F29-F30</f>
        <v>0</v>
      </c>
    </row>
  </sheetData>
  <mergeCells count="6">
    <mergeCell ref="B24:C24"/>
    <mergeCell ref="B10:B11"/>
    <mergeCell ref="C10:C11"/>
    <mergeCell ref="G10:G11"/>
    <mergeCell ref="H10:H11"/>
    <mergeCell ref="K5:K6"/>
  </mergeCells>
  <pageMargins left="0.31496062992126" right="0.31496062992126" top="0.354330708661417" bottom="0.354330708661417" header="0.31496062992126" footer="0.31496062992126"/>
  <pageSetup paperSize="9" scale="80" orientation="landscape"/>
  <headerFooter/>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2"/>
  <dimension ref="B2:H38"/>
  <sheetViews>
    <sheetView zoomScale="130" zoomScaleNormal="130" workbookViewId="0">
      <selection activeCell="B5" sqref="B5"/>
    </sheetView>
  </sheetViews>
  <sheetFormatPr defaultColWidth="9.13541666666667" defaultRowHeight="13.2" outlineLevelCol="7"/>
  <cols>
    <col min="1" max="1" width="3.73958333333333" style="784" customWidth="1"/>
    <col min="2" max="2" width="11.3854166666667" style="784" customWidth="1"/>
    <col min="3" max="3" width="12.1354166666667" style="1468" customWidth="1"/>
    <col min="4" max="4" width="11.3854166666667" style="785" customWidth="1"/>
    <col min="5" max="5" width="12.4375" style="784" customWidth="1"/>
    <col min="6" max="6" width="13.1875" style="784" customWidth="1"/>
    <col min="7" max="7" width="10.6354166666667" style="784" customWidth="1"/>
    <col min="8" max="8" width="11.3854166666667" style="784" customWidth="1"/>
    <col min="9" max="16384" width="9.13541666666667" style="784"/>
  </cols>
  <sheetData>
    <row r="2" spans="2:8">
      <c r="B2" s="1042" t="str">
        <f>'FF31'!B2</f>
        <v>KAP LIASTA NIRWAN SYAFRUDIN &amp; REKAN</v>
      </c>
      <c r="F2" s="766" t="s">
        <v>481</v>
      </c>
      <c r="G2" s="765" t="s">
        <v>482</v>
      </c>
      <c r="H2" s="766" t="s">
        <v>483</v>
      </c>
    </row>
    <row r="3" ht="15.6" spans="2:8">
      <c r="B3" s="5170" t="s">
        <v>12824</v>
      </c>
      <c r="F3" s="1470" t="s">
        <v>484</v>
      </c>
      <c r="G3" s="767">
        <f>'FF31'!M3</f>
        <v>45193</v>
      </c>
      <c r="H3" s="768" t="s">
        <v>12825</v>
      </c>
    </row>
    <row r="4" spans="2:8">
      <c r="B4" s="1042" t="s">
        <v>12826</v>
      </c>
      <c r="F4" s="1471" t="s">
        <v>487</v>
      </c>
      <c r="G4" s="769" t="s">
        <v>482</v>
      </c>
      <c r="H4" s="770" t="s">
        <v>488</v>
      </c>
    </row>
    <row r="5" spans="2:8">
      <c r="B5" s="1042" t="str">
        <f>'FF3'!C5</f>
        <v>PT INTAN GIRI ABADI</v>
      </c>
      <c r="F5" s="1472"/>
      <c r="G5" s="1473"/>
      <c r="H5" s="1474"/>
    </row>
    <row r="6" spans="2:8">
      <c r="B6" s="1042"/>
      <c r="F6" s="1471"/>
      <c r="G6" s="773"/>
      <c r="H6" s="774" t="s">
        <v>491</v>
      </c>
    </row>
    <row r="7" spans="6:8">
      <c r="F7" s="1475"/>
      <c r="G7" s="775"/>
      <c r="H7" s="776">
        <f>'FF31'!O7</f>
        <v>44926</v>
      </c>
    </row>
    <row r="9" spans="2:5">
      <c r="B9" s="1476"/>
      <c r="C9" s="1477"/>
      <c r="D9" s="1478" t="s">
        <v>11483</v>
      </c>
      <c r="E9" s="1478" t="s">
        <v>11483</v>
      </c>
    </row>
    <row r="10" ht="13.95" spans="2:5">
      <c r="B10" s="1479" t="s">
        <v>11460</v>
      </c>
      <c r="C10" s="1480" t="s">
        <v>396</v>
      </c>
      <c r="D10" s="1481" t="s">
        <v>12751</v>
      </c>
      <c r="E10" s="1481" t="s">
        <v>12750</v>
      </c>
    </row>
    <row r="11" spans="2:5">
      <c r="B11" s="1482"/>
      <c r="C11" s="1483"/>
      <c r="D11" s="1484"/>
      <c r="E11" s="1485"/>
    </row>
    <row r="12" spans="2:5">
      <c r="B12" s="1482" t="s">
        <v>12673</v>
      </c>
      <c r="C12" s="1483">
        <v>0</v>
      </c>
      <c r="D12" s="1484"/>
      <c r="E12" s="1486"/>
    </row>
    <row r="13" spans="2:5">
      <c r="B13" s="1482" t="s">
        <v>12674</v>
      </c>
      <c r="C13" s="1483">
        <v>0</v>
      </c>
      <c r="D13" s="1484"/>
      <c r="E13" s="1486"/>
    </row>
    <row r="14" spans="2:5">
      <c r="B14" s="1482" t="s">
        <v>12779</v>
      </c>
      <c r="C14" s="1483">
        <v>0</v>
      </c>
      <c r="D14" s="1484"/>
      <c r="E14" s="1486"/>
    </row>
    <row r="15" spans="2:5">
      <c r="B15" s="1482" t="s">
        <v>12675</v>
      </c>
      <c r="C15" s="1483">
        <v>0</v>
      </c>
      <c r="D15" s="1484"/>
      <c r="E15" s="1487"/>
    </row>
    <row r="16" spans="2:5">
      <c r="B16" s="5171" t="s">
        <v>1046</v>
      </c>
      <c r="C16" s="1483">
        <v>0</v>
      </c>
      <c r="D16" s="1484"/>
      <c r="E16" s="1487">
        <v>0</v>
      </c>
    </row>
    <row r="17" spans="2:5">
      <c r="B17" s="1482" t="s">
        <v>12676</v>
      </c>
      <c r="C17" s="1483">
        <v>0</v>
      </c>
      <c r="D17" s="1484"/>
      <c r="E17" s="1487">
        <v>0</v>
      </c>
    </row>
    <row r="18" spans="2:5">
      <c r="B18" s="1482" t="s">
        <v>12781</v>
      </c>
      <c r="C18" s="1483">
        <v>0</v>
      </c>
      <c r="D18" s="1484"/>
      <c r="E18" s="1487">
        <v>0</v>
      </c>
    </row>
    <row r="19" spans="2:5">
      <c r="B19" s="1482" t="s">
        <v>12782</v>
      </c>
      <c r="C19" s="1483">
        <v>0</v>
      </c>
      <c r="D19" s="1484"/>
      <c r="E19" s="1487">
        <v>0</v>
      </c>
    </row>
    <row r="20" spans="2:5">
      <c r="B20" s="1482" t="s">
        <v>12678</v>
      </c>
      <c r="C20" s="1483">
        <v>0</v>
      </c>
      <c r="D20" s="1484"/>
      <c r="E20" s="1487">
        <v>0</v>
      </c>
    </row>
    <row r="21" spans="2:5">
      <c r="B21" s="1482" t="s">
        <v>12679</v>
      </c>
      <c r="C21" s="1483">
        <v>0</v>
      </c>
      <c r="D21" s="1484"/>
      <c r="E21" s="1487">
        <v>0</v>
      </c>
    </row>
    <row r="22" spans="2:5">
      <c r="B22" s="1482" t="s">
        <v>12680</v>
      </c>
      <c r="C22" s="1483">
        <v>0</v>
      </c>
      <c r="D22" s="1484"/>
      <c r="E22" s="1487">
        <v>0</v>
      </c>
    </row>
    <row r="23" spans="2:5">
      <c r="B23" s="1489" t="s">
        <v>12681</v>
      </c>
      <c r="C23" s="1483">
        <v>0</v>
      </c>
      <c r="D23" s="1484"/>
      <c r="E23" s="1487">
        <v>0</v>
      </c>
    </row>
    <row r="24" ht="13.95" spans="2:5">
      <c r="B24" s="1482"/>
      <c r="C24" s="1483"/>
      <c r="D24" s="1484"/>
      <c r="E24" s="1490"/>
    </row>
    <row r="25" ht="13.95" spans="2:4">
      <c r="B25" s="1491" t="s">
        <v>151</v>
      </c>
      <c r="C25" s="1492">
        <f>SUM(C11:C24)</f>
        <v>0</v>
      </c>
      <c r="D25" s="1493"/>
    </row>
    <row r="27" spans="2:2">
      <c r="B27" s="5172" t="s">
        <v>12827</v>
      </c>
    </row>
    <row r="29" spans="2:2">
      <c r="B29" s="5173" t="s">
        <v>12828</v>
      </c>
    </row>
    <row r="30" spans="2:3">
      <c r="B30" s="784" t="s">
        <v>11930</v>
      </c>
      <c r="C30" s="1468">
        <v>0</v>
      </c>
    </row>
    <row r="31" ht="13.95" spans="2:3">
      <c r="B31" s="1496" t="s">
        <v>146</v>
      </c>
      <c r="C31" s="1497">
        <f>C25-C30</f>
        <v>0</v>
      </c>
    </row>
    <row r="32" spans="4:4">
      <c r="D32" s="1468"/>
    </row>
    <row r="33" spans="4:4">
      <c r="D33" s="1468"/>
    </row>
    <row r="34" spans="2:4">
      <c r="B34" s="5173" t="s">
        <v>12683</v>
      </c>
      <c r="D34" s="1468"/>
    </row>
    <row r="35" spans="2:4">
      <c r="B35" s="784" t="s">
        <v>12829</v>
      </c>
      <c r="D35" s="1468">
        <f>C23</f>
        <v>0</v>
      </c>
    </row>
    <row r="36" spans="2:4">
      <c r="B36" s="5174" t="s">
        <v>12830</v>
      </c>
      <c r="D36" s="1468">
        <v>0</v>
      </c>
    </row>
    <row r="37" ht="13.95" spans="2:4">
      <c r="B37" s="1496" t="s">
        <v>146</v>
      </c>
      <c r="D37" s="1498">
        <v>0</v>
      </c>
    </row>
    <row r="38" spans="4:4">
      <c r="D38" s="1468"/>
    </row>
  </sheetData>
  <pageMargins left="0.75" right="0.75" top="1" bottom="1" header="0.5" footer="0.5"/>
  <pageSetup paperSize="1" orientation="portrait"/>
  <headerFooter alignWithMargins="0"/>
  <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3">
    <pageSetUpPr fitToPage="1"/>
  </sheetPr>
  <dimension ref="A1:H25"/>
  <sheetViews>
    <sheetView showGridLines="0" zoomScale="145" zoomScaleNormal="145" workbookViewId="0">
      <selection activeCell="B19" sqref="B19"/>
    </sheetView>
  </sheetViews>
  <sheetFormatPr defaultColWidth="9.13541666666667" defaultRowHeight="13.2" outlineLevelCol="7"/>
  <cols>
    <col min="1" max="1" width="2.84375" style="1417" customWidth="1"/>
    <col min="2" max="2" width="10.3333333333333" style="1418" customWidth="1"/>
    <col min="3" max="3" width="28.46875" style="1417" customWidth="1"/>
    <col min="4" max="4" width="18.125" style="1417" customWidth="1"/>
    <col min="5" max="5" width="7.34375" style="1416" customWidth="1"/>
    <col min="6" max="6" width="19.625" style="1416" customWidth="1"/>
    <col min="7" max="7" width="11.2395833333333" style="1416" customWidth="1"/>
    <col min="8" max="8" width="10.78125" style="1417" customWidth="1"/>
    <col min="9" max="9" width="9.13541666666667" style="1417"/>
    <col min="10" max="10" width="15.1354166666667" style="1417" customWidth="1"/>
    <col min="11" max="11" width="13.3333333333333" style="1417" customWidth="1"/>
    <col min="12" max="16384" width="9.13541666666667" style="1417"/>
  </cols>
  <sheetData>
    <row r="1" spans="2:5">
      <c r="B1" s="1417"/>
      <c r="E1" s="1419"/>
    </row>
    <row r="2" spans="2:5">
      <c r="B2" s="100" t="str">
        <f>'FF4'!B2</f>
        <v>KAP LIASTA NIRWAN SYAFRUDIN &amp; REKAN</v>
      </c>
      <c r="E2" s="1419"/>
    </row>
    <row r="3" spans="2:8">
      <c r="B3" s="1420" t="str">
        <f>'FF4'!B5</f>
        <v>PT INTAN GIRI ABADI</v>
      </c>
      <c r="D3" s="1421"/>
      <c r="E3" s="1419"/>
      <c r="F3" s="1422" t="s">
        <v>12831</v>
      </c>
      <c r="G3" s="1423" t="s">
        <v>275</v>
      </c>
      <c r="H3" s="1424" t="s">
        <v>959</v>
      </c>
    </row>
    <row r="4" spans="2:8">
      <c r="B4" s="5175" t="s">
        <v>12832</v>
      </c>
      <c r="D4" s="1421"/>
      <c r="F4" s="1425" t="s">
        <v>484</v>
      </c>
      <c r="G4" s="1426">
        <f>'FF4'!G3</f>
        <v>45193</v>
      </c>
      <c r="H4" s="1427"/>
    </row>
    <row r="5" spans="2:8">
      <c r="B5" s="100" t="str">
        <f>'FF4'!B4</f>
        <v>A:31 DESEMBER 2022</v>
      </c>
      <c r="D5" s="1421"/>
      <c r="F5" s="1428" t="s">
        <v>12833</v>
      </c>
      <c r="G5" s="1429" t="s">
        <v>275</v>
      </c>
      <c r="H5" s="1430" t="s">
        <v>12834</v>
      </c>
    </row>
    <row r="6" spans="2:8">
      <c r="B6" s="100"/>
      <c r="D6" s="1421"/>
      <c r="F6" s="1428"/>
      <c r="G6" s="1429"/>
      <c r="H6" s="1430"/>
    </row>
    <row r="7" spans="2:8">
      <c r="B7" s="1420"/>
      <c r="D7" s="1421"/>
      <c r="F7" s="1425"/>
      <c r="G7" s="1431"/>
      <c r="H7" s="1432"/>
    </row>
    <row r="8" spans="2:8">
      <c r="B8" s="1420"/>
      <c r="D8" s="1421"/>
      <c r="F8" s="1419"/>
      <c r="G8" s="1419"/>
      <c r="H8" s="1433"/>
    </row>
    <row r="9" spans="2:8">
      <c r="B9" s="1420"/>
      <c r="D9" s="1421"/>
      <c r="F9" s="1419"/>
      <c r="G9" s="1419"/>
      <c r="H9" s="1433"/>
    </row>
    <row r="10" spans="2:8">
      <c r="B10" s="1434" t="s">
        <v>971</v>
      </c>
      <c r="C10" s="1435" t="s">
        <v>972</v>
      </c>
      <c r="D10" s="1435" t="s">
        <v>12835</v>
      </c>
      <c r="E10" s="1435" t="s">
        <v>12836</v>
      </c>
      <c r="F10" s="1435" t="s">
        <v>12818</v>
      </c>
      <c r="G10" s="1435" t="s">
        <v>12669</v>
      </c>
      <c r="H10" s="1436" t="s">
        <v>12670</v>
      </c>
    </row>
    <row r="11" spans="2:8">
      <c r="B11" s="1437"/>
      <c r="C11" s="1438"/>
      <c r="D11" s="1438"/>
      <c r="E11" s="1437"/>
      <c r="F11" s="1439"/>
      <c r="G11" s="1439"/>
      <c r="H11" s="1437"/>
    </row>
    <row r="12" spans="1:8">
      <c r="A12" s="1440"/>
      <c r="B12" s="1441"/>
      <c r="C12" s="1427"/>
      <c r="D12" s="1427"/>
      <c r="E12" s="1442">
        <v>0.1</v>
      </c>
      <c r="F12" s="1443">
        <f>D12*E12</f>
        <v>0</v>
      </c>
      <c r="G12" s="1444"/>
      <c r="H12" s="1445"/>
    </row>
    <row r="13" spans="1:8">
      <c r="A13" s="1440"/>
      <c r="B13" s="1441"/>
      <c r="C13" s="1427"/>
      <c r="D13" s="1427"/>
      <c r="E13" s="1442">
        <v>0.1</v>
      </c>
      <c r="F13" s="1443">
        <f>D13*E13</f>
        <v>0</v>
      </c>
      <c r="G13" s="1446"/>
      <c r="H13" s="1447"/>
    </row>
    <row r="14" spans="1:8">
      <c r="A14" s="1440"/>
      <c r="B14" s="1441"/>
      <c r="C14" s="1427"/>
      <c r="D14" s="1427"/>
      <c r="E14" s="1442">
        <v>0.1</v>
      </c>
      <c r="F14" s="1443">
        <f>D14*E14</f>
        <v>0</v>
      </c>
      <c r="G14" s="1446"/>
      <c r="H14" s="1448"/>
    </row>
    <row r="15" spans="1:8">
      <c r="A15" s="1440"/>
      <c r="B15" s="1441"/>
      <c r="C15" s="1427"/>
      <c r="D15" s="1427"/>
      <c r="E15" s="1442">
        <v>0.1</v>
      </c>
      <c r="F15" s="1443">
        <f>D15*E15</f>
        <v>0</v>
      </c>
      <c r="G15" s="1446"/>
      <c r="H15" s="1448"/>
    </row>
    <row r="16" spans="2:8">
      <c r="B16" s="1428"/>
      <c r="C16" s="1427"/>
      <c r="D16" s="1427"/>
      <c r="E16" s="1449"/>
      <c r="F16" s="1443">
        <v>0</v>
      </c>
      <c r="G16" s="1450"/>
      <c r="H16" s="1451"/>
    </row>
    <row r="17" spans="2:8">
      <c r="B17" s="1452" t="s">
        <v>675</v>
      </c>
      <c r="C17" s="1453">
        <f>SUM(C13:C15)</f>
        <v>0</v>
      </c>
      <c r="D17" s="1453">
        <f>SUM(D11:D16)</f>
        <v>0</v>
      </c>
      <c r="E17" s="1454"/>
      <c r="F17" s="1455">
        <f>SUM(F11:F15)</f>
        <v>0</v>
      </c>
      <c r="G17" s="1455"/>
      <c r="H17" s="1456"/>
    </row>
    <row r="19" ht="13.8" spans="2:2">
      <c r="B19" s="5169" t="s">
        <v>12837</v>
      </c>
    </row>
    <row r="20" spans="3:4">
      <c r="C20" s="1458"/>
      <c r="D20" s="1459"/>
    </row>
    <row r="21" spans="2:4">
      <c r="B21" s="5153" t="s">
        <v>12683</v>
      </c>
      <c r="C21" s="1461"/>
      <c r="D21" s="1461"/>
    </row>
    <row r="22" s="1416" customFormat="1" spans="2:8">
      <c r="B22" s="1462" t="s">
        <v>12684</v>
      </c>
      <c r="C22" s="1463"/>
      <c r="D22" s="1463">
        <f>+F16</f>
        <v>0</v>
      </c>
      <c r="H22" s="1417"/>
    </row>
    <row r="23" s="1416" customFormat="1" spans="2:8">
      <c r="B23" t="s">
        <v>11930</v>
      </c>
      <c r="C23" s="1464" t="s">
        <v>774</v>
      </c>
      <c r="D23" s="1461">
        <f>[106]FF!I12</f>
        <v>0</v>
      </c>
      <c r="H23" s="1417"/>
    </row>
    <row r="24" s="1416" customFormat="1" ht="13.95" spans="2:8">
      <c r="B24" s="1465" t="s">
        <v>146</v>
      </c>
      <c r="C24" s="1466"/>
      <c r="D24" s="1467">
        <f>D22-D23</f>
        <v>0</v>
      </c>
      <c r="H24" s="1417"/>
    </row>
    <row r="25" s="1416" customFormat="1" ht="13.95" spans="2:8">
      <c r="B25" s="1418"/>
      <c r="C25" s="1417"/>
      <c r="D25" s="1417"/>
      <c r="H25" s="1417"/>
    </row>
  </sheetData>
  <printOptions horizontalCentered="1" gridLines="1"/>
  <pageMargins left="0.75" right="0.75" top="1" bottom="0.75" header="0.5" footer="0.5"/>
  <pageSetup paperSize="9" scale="91" orientation="portrait"/>
  <headerFooter alignWithMargins="0">
    <oddFooter>&amp;R&amp;"Arial,Bold"&amp;26&amp;A</oddFooter>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tabColor rgb="FF92D050"/>
  </sheetPr>
  <dimension ref="A3:T82"/>
  <sheetViews>
    <sheetView showGridLines="0" zoomScale="115" zoomScaleNormal="115" topLeftCell="A49" workbookViewId="0">
      <selection activeCell="F61" sqref="F61"/>
    </sheetView>
  </sheetViews>
  <sheetFormatPr defaultColWidth="9.13541666666667" defaultRowHeight="11.4"/>
  <cols>
    <col min="1" max="1" width="7.79166666666667" style="64" customWidth="1"/>
    <col min="2" max="2" width="7.1875" style="64" customWidth="1"/>
    <col min="3" max="3" width="2.84375" style="64" customWidth="1"/>
    <col min="4" max="4" width="19.1770833333333" style="64" customWidth="1"/>
    <col min="5" max="5" width="20.2291666666667" style="64" customWidth="1"/>
    <col min="6" max="6" width="19.9270833333333" style="64" customWidth="1"/>
    <col min="7" max="7" width="17.2291666666667" style="64" customWidth="1"/>
    <col min="8" max="8" width="20.2291666666667" style="64" customWidth="1"/>
    <col min="9" max="9" width="17.6770833333333" style="64" customWidth="1"/>
    <col min="10" max="11" width="16.3333333333333" style="64" customWidth="1"/>
    <col min="12" max="12" width="15.28125" style="64" customWidth="1"/>
    <col min="13" max="13" width="14.3854166666667" style="64" customWidth="1"/>
    <col min="14" max="14" width="12.4375" style="64" customWidth="1"/>
    <col min="15" max="15" width="9.13541666666667" style="64"/>
    <col min="16" max="16" width="16.3333333333333" style="64" customWidth="1"/>
    <col min="17" max="17" width="18.125" style="64" customWidth="1"/>
    <col min="18" max="18" width="16.9270833333333" style="64" customWidth="1"/>
    <col min="19" max="19" width="13.3333333333333" style="64" customWidth="1"/>
    <col min="20" max="16384" width="9.13541666666667" style="64"/>
  </cols>
  <sheetData>
    <row r="3" ht="21" spans="2:19">
      <c r="B3" s="1311" t="str">
        <f>+AA!B2</f>
        <v>KAP LIASTA NIRWAN SYAFRUDIN &amp; REKAN</v>
      </c>
      <c r="C3" s="1312"/>
      <c r="D3" s="1312"/>
      <c r="E3" s="1312"/>
      <c r="F3" s="1312"/>
      <c r="G3" s="1312"/>
      <c r="H3" s="1312" t="s">
        <v>481</v>
      </c>
      <c r="I3" s="1378" t="s">
        <v>482</v>
      </c>
      <c r="J3" s="1379" t="s">
        <v>483</v>
      </c>
      <c r="S3" s="186"/>
    </row>
    <row r="4" ht="15.6" spans="2:19">
      <c r="B4" s="1313"/>
      <c r="C4" s="1314"/>
      <c r="D4" s="1315"/>
      <c r="E4" s="1316"/>
      <c r="F4" s="1316"/>
      <c r="G4" s="1316"/>
      <c r="H4" s="1317"/>
      <c r="I4" s="1380">
        <v>45219</v>
      </c>
      <c r="J4" s="1381" t="s">
        <v>786</v>
      </c>
      <c r="S4" s="186"/>
    </row>
    <row r="5" ht="13.2" spans="2:19">
      <c r="B5" s="1318" t="str">
        <f>BB!C4</f>
        <v>PT INTAN GIRI ABADI</v>
      </c>
      <c r="C5" s="1319"/>
      <c r="D5" s="1319"/>
      <c r="E5" s="1319"/>
      <c r="F5" s="1319"/>
      <c r="G5" s="1319"/>
      <c r="H5" s="1320" t="s">
        <v>487</v>
      </c>
      <c r="I5" s="1382" t="s">
        <v>482</v>
      </c>
      <c r="J5" s="1383" t="s">
        <v>488</v>
      </c>
      <c r="S5" s="186"/>
    </row>
    <row r="6" ht="13.2" spans="2:19">
      <c r="B6" s="1321"/>
      <c r="C6" s="1322"/>
      <c r="D6" s="1322"/>
      <c r="E6" s="1322"/>
      <c r="F6" s="1322"/>
      <c r="G6" s="1322"/>
      <c r="H6" s="1323"/>
      <c r="I6" s="1384"/>
      <c r="J6" s="1385"/>
      <c r="S6" s="186"/>
    </row>
    <row r="7" ht="13.2" spans="2:19">
      <c r="B7" s="1324"/>
      <c r="C7" s="1320"/>
      <c r="D7" s="1320"/>
      <c r="E7" s="1320"/>
      <c r="F7" s="1320"/>
      <c r="G7" s="1320"/>
      <c r="H7" s="1320"/>
      <c r="I7" s="1324"/>
      <c r="J7" s="1386" t="s">
        <v>491</v>
      </c>
      <c r="S7" s="186"/>
    </row>
    <row r="8" ht="13.2" spans="2:19">
      <c r="B8" s="1325" t="s">
        <v>12838</v>
      </c>
      <c r="C8" s="1326"/>
      <c r="D8" s="1322" t="s">
        <v>600</v>
      </c>
      <c r="E8" s="1322"/>
      <c r="F8" s="1322"/>
      <c r="G8" s="1322"/>
      <c r="H8" s="1322"/>
      <c r="I8" s="1321"/>
      <c r="J8" s="1387">
        <v>44926</v>
      </c>
      <c r="S8" s="186"/>
    </row>
    <row r="9" ht="13.95" spans="2:20">
      <c r="B9" s="186"/>
      <c r="C9" s="186"/>
      <c r="E9" s="186"/>
      <c r="F9" s="186"/>
      <c r="G9" s="186"/>
      <c r="H9" s="186"/>
      <c r="I9" s="186"/>
      <c r="J9" s="186"/>
      <c r="K9" s="186"/>
      <c r="L9" s="186"/>
      <c r="M9" s="186"/>
      <c r="N9" s="1388"/>
      <c r="O9" s="1388"/>
      <c r="P9" s="186"/>
      <c r="Q9" s="186"/>
      <c r="R9" s="186"/>
      <c r="S9" s="186"/>
      <c r="T9" s="186"/>
    </row>
    <row r="10" ht="13.2" spans="2:19">
      <c r="B10" s="1327"/>
      <c r="C10" s="1328"/>
      <c r="D10" s="1328"/>
      <c r="E10" s="1329" t="s">
        <v>2248</v>
      </c>
      <c r="F10" s="1330"/>
      <c r="G10" s="1331" t="s">
        <v>1228</v>
      </c>
      <c r="H10" s="1332"/>
      <c r="I10" s="1330"/>
      <c r="J10" s="1327" t="s">
        <v>2248</v>
      </c>
      <c r="K10" s="1329" t="s">
        <v>2248</v>
      </c>
      <c r="L10" s="1330"/>
      <c r="M10" s="1331" t="s">
        <v>1228</v>
      </c>
      <c r="N10" s="1332"/>
      <c r="O10" s="1330"/>
      <c r="P10" s="1327" t="s">
        <v>2248</v>
      </c>
      <c r="Q10" s="1327" t="s">
        <v>2248</v>
      </c>
      <c r="R10" s="1403">
        <f>P12</f>
        <v>44561</v>
      </c>
      <c r="S10" s="1404"/>
    </row>
    <row r="11" ht="13.2" spans="2:19">
      <c r="B11" s="1333"/>
      <c r="C11" s="1334"/>
      <c r="D11" s="1334"/>
      <c r="E11" s="1335" t="s">
        <v>2249</v>
      </c>
      <c r="F11" s="1336" t="s">
        <v>1230</v>
      </c>
      <c r="G11" s="1337"/>
      <c r="H11" s="1338"/>
      <c r="I11" s="1336" t="s">
        <v>1230</v>
      </c>
      <c r="J11" s="1389" t="s">
        <v>2250</v>
      </c>
      <c r="K11" s="1335" t="s">
        <v>2249</v>
      </c>
      <c r="L11" s="1336" t="s">
        <v>1230</v>
      </c>
      <c r="M11" s="1337"/>
      <c r="N11" s="1338"/>
      <c r="O11" s="1336" t="s">
        <v>1230</v>
      </c>
      <c r="P11" s="1389" t="s">
        <v>2250</v>
      </c>
      <c r="Q11" s="1389" t="s">
        <v>2250</v>
      </c>
      <c r="R11" s="1405" t="s">
        <v>2251</v>
      </c>
      <c r="S11" s="1406"/>
    </row>
    <row r="12" ht="13.95" spans="2:19">
      <c r="B12" s="1339"/>
      <c r="C12" s="1340"/>
      <c r="D12" s="1340"/>
      <c r="E12" s="1341">
        <v>44926</v>
      </c>
      <c r="F12" s="1342" t="s">
        <v>2253</v>
      </c>
      <c r="G12" s="1342" t="s">
        <v>1231</v>
      </c>
      <c r="H12" s="1342" t="s">
        <v>1232</v>
      </c>
      <c r="I12" s="1342" t="s">
        <v>2253</v>
      </c>
      <c r="J12" s="1390">
        <f>E12</f>
        <v>44926</v>
      </c>
      <c r="K12" s="1341">
        <f>+J12-365</f>
        <v>44561</v>
      </c>
      <c r="L12" s="1342" t="s">
        <v>2253</v>
      </c>
      <c r="M12" s="1342" t="s">
        <v>1231</v>
      </c>
      <c r="N12" s="1342" t="s">
        <v>1232</v>
      </c>
      <c r="O12" s="1342" t="s">
        <v>2253</v>
      </c>
      <c r="P12" s="1390">
        <f>K12</f>
        <v>44561</v>
      </c>
      <c r="Q12" s="1390">
        <f>+P12-365</f>
        <v>44196</v>
      </c>
      <c r="R12" s="1342" t="s">
        <v>151</v>
      </c>
      <c r="S12" s="5112" t="s">
        <v>2254</v>
      </c>
    </row>
    <row r="13" ht="13.2" spans="2:19">
      <c r="B13" s="138"/>
      <c r="C13" s="186"/>
      <c r="D13" s="186"/>
      <c r="E13" s="296"/>
      <c r="F13" s="135"/>
      <c r="G13" s="296"/>
      <c r="H13" s="296"/>
      <c r="I13" s="135"/>
      <c r="J13" s="1391"/>
      <c r="K13" s="296"/>
      <c r="L13" s="135"/>
      <c r="M13" s="296"/>
      <c r="N13" s="296"/>
      <c r="O13" s="135"/>
      <c r="P13" s="1391"/>
      <c r="Q13" s="1408"/>
      <c r="R13" s="296"/>
      <c r="S13" s="1409"/>
    </row>
    <row r="14" ht="13.2" spans="2:19">
      <c r="B14" s="138" t="s">
        <v>1133</v>
      </c>
      <c r="C14" s="186"/>
      <c r="D14" s="186"/>
      <c r="E14" s="174">
        <v>11000000000</v>
      </c>
      <c r="F14" s="135"/>
      <c r="G14" s="296">
        <f>'F4'!F118</f>
        <v>0</v>
      </c>
      <c r="H14" s="296">
        <f>'F4'!G51</f>
        <v>0</v>
      </c>
      <c r="I14" s="135"/>
      <c r="J14" s="231">
        <f>E14+H14-G14</f>
        <v>11000000000</v>
      </c>
      <c r="K14" s="174">
        <v>11000000000</v>
      </c>
      <c r="L14" s="135"/>
      <c r="M14" s="296"/>
      <c r="N14" s="296"/>
      <c r="O14" s="135"/>
      <c r="P14" s="231">
        <f>K14+M14-N14</f>
        <v>11000000000</v>
      </c>
      <c r="Q14" s="191">
        <v>11000000000</v>
      </c>
      <c r="R14" s="296">
        <f>K14-Q14</f>
        <v>0</v>
      </c>
      <c r="S14" s="1409">
        <f>IF(Q14=0,IF(R14=0,0,R14/R14),R14/Q14)</f>
        <v>0</v>
      </c>
    </row>
    <row r="15" ht="13.2" spans="2:19">
      <c r="B15" s="138"/>
      <c r="C15" s="186"/>
      <c r="D15" s="186"/>
      <c r="E15" s="174">
        <v>0</v>
      </c>
      <c r="F15" s="200"/>
      <c r="G15" s="174"/>
      <c r="H15" s="174"/>
      <c r="I15" s="200"/>
      <c r="J15" s="231">
        <f>E15+H15-G15</f>
        <v>0</v>
      </c>
      <c r="K15" s="174">
        <v>0</v>
      </c>
      <c r="L15" s="200"/>
      <c r="M15" s="174">
        <v>0</v>
      </c>
      <c r="N15" s="174">
        <v>0</v>
      </c>
      <c r="O15" s="200"/>
      <c r="P15" s="231">
        <f>K15+M15-N15</f>
        <v>0</v>
      </c>
      <c r="Q15" s="191">
        <v>0</v>
      </c>
      <c r="R15" s="296">
        <f>K15-Q15</f>
        <v>0</v>
      </c>
      <c r="S15" s="1409">
        <f>IF(Q15=0,IF(R15=0,0,R15/R15),R15/Q15)</f>
        <v>0</v>
      </c>
    </row>
    <row r="16" ht="13.2" spans="2:19">
      <c r="B16" s="138"/>
      <c r="C16" s="186"/>
      <c r="D16" s="186"/>
      <c r="E16" s="174"/>
      <c r="F16" s="200"/>
      <c r="G16" s="174"/>
      <c r="H16" s="174"/>
      <c r="I16" s="200"/>
      <c r="J16" s="231">
        <f>E16+H16-G16</f>
        <v>0</v>
      </c>
      <c r="K16" s="174">
        <v>0</v>
      </c>
      <c r="L16" s="200"/>
      <c r="M16" s="174"/>
      <c r="N16" s="174">
        <v>0</v>
      </c>
      <c r="O16" s="200"/>
      <c r="P16">
        <f>K16+M16-N16</f>
        <v>0</v>
      </c>
      <c r="Q16" s="191">
        <v>0</v>
      </c>
      <c r="R16" s="296">
        <f>K16-Q16</f>
        <v>0</v>
      </c>
      <c r="S16" s="1409">
        <f>IF(Q16=0,IF(R16=0,0,R16/R16),R16/Q16)</f>
        <v>0</v>
      </c>
    </row>
    <row r="17" ht="13.2" spans="2:19">
      <c r="B17" s="138"/>
      <c r="C17" s="186"/>
      <c r="D17" s="186"/>
      <c r="E17" s="174"/>
      <c r="F17" s="200"/>
      <c r="G17" s="174"/>
      <c r="H17" s="174"/>
      <c r="I17" s="200"/>
      <c r="J17" s="142"/>
      <c r="K17" s="174"/>
      <c r="L17" s="200"/>
      <c r="M17" s="174"/>
      <c r="N17" s="174"/>
      <c r="O17" s="200"/>
      <c r="P17"/>
      <c r="Q17" s="191"/>
      <c r="R17" s="296"/>
      <c r="S17" s="1410"/>
    </row>
    <row r="18" ht="13.95" spans="2:19">
      <c r="B18" s="5176" t="s">
        <v>151</v>
      </c>
      <c r="C18" s="1344"/>
      <c r="D18" s="1345"/>
      <c r="E18" s="1346">
        <f>SUM(E14:E17)</f>
        <v>11000000000</v>
      </c>
      <c r="F18" s="200"/>
      <c r="G18" s="1346">
        <f>SUM(G14:G17)</f>
        <v>0</v>
      </c>
      <c r="H18" s="1346">
        <f>SUM(H14:H17)</f>
        <v>0</v>
      </c>
      <c r="I18" s="200"/>
      <c r="J18" s="1346">
        <f>SUM(J14:J17)</f>
        <v>11000000000</v>
      </c>
      <c r="K18" s="1392">
        <f>SUM(K15:K16)</f>
        <v>0</v>
      </c>
      <c r="L18" s="200"/>
      <c r="M18" s="1392">
        <f>SUM(M15:M16)</f>
        <v>0</v>
      </c>
      <c r="N18" s="1392">
        <f>SUM(N15:N16)</f>
        <v>0</v>
      </c>
      <c r="O18" s="200"/>
      <c r="P18" s="1346">
        <f>SUM(P15:P16)</f>
        <v>0</v>
      </c>
      <c r="Q18" s="1411">
        <f>SUM(Q15:Q16)</f>
        <v>0</v>
      </c>
      <c r="R18" s="1412">
        <f>SUM(R15:R16)</f>
        <v>0</v>
      </c>
      <c r="S18" s="1413">
        <f>IF(Q18=0,IF(R18=0,0,R18/R18),R18/Q18)</f>
        <v>0</v>
      </c>
    </row>
    <row r="19" ht="13.95" spans="2:19">
      <c r="B19" s="1347"/>
      <c r="C19" s="1347"/>
      <c r="D19" s="1347"/>
      <c r="E19" s="1348"/>
      <c r="F19" s="1348"/>
      <c r="G19" s="1348"/>
      <c r="H19" s="1348"/>
      <c r="I19" s="1348"/>
      <c r="J19" s="1348"/>
      <c r="K19" s="1393"/>
      <c r="L19" s="1394"/>
      <c r="M19" s="1393"/>
      <c r="N19" s="1393"/>
      <c r="O19" s="1394"/>
      <c r="P19" s="1395">
        <v>0</v>
      </c>
      <c r="Q19" s="1395">
        <v>0</v>
      </c>
      <c r="R19" s="1348"/>
      <c r="S19" s="1414"/>
    </row>
    <row r="26" ht="13.2" spans="2:4">
      <c r="B26" s="1349"/>
      <c r="C26" s="1349"/>
      <c r="D26" s="1349"/>
    </row>
    <row r="27" ht="13.2" spans="2:4">
      <c r="B27" s="1349"/>
      <c r="C27" s="1349"/>
      <c r="D27" s="1349"/>
    </row>
    <row r="28" ht="12" spans="1:8">
      <c r="A28" s="1350"/>
      <c r="B28" s="1351" t="s">
        <v>1202</v>
      </c>
      <c r="C28" s="1352"/>
      <c r="D28" s="1352"/>
      <c r="E28" s="1353" t="s">
        <v>12839</v>
      </c>
      <c r="F28" s="1353" t="s">
        <v>2012</v>
      </c>
      <c r="G28" s="1353" t="s">
        <v>894</v>
      </c>
      <c r="H28" s="1354" t="s">
        <v>151</v>
      </c>
    </row>
    <row r="29" spans="1:8">
      <c r="A29" s="1350"/>
      <c r="B29" s="1355" t="s">
        <v>12840</v>
      </c>
      <c r="C29" s="1093"/>
      <c r="D29" s="1093"/>
      <c r="E29" s="191">
        <v>110000</v>
      </c>
      <c r="F29" s="159">
        <v>1000000</v>
      </c>
      <c r="G29" s="648">
        <v>1</v>
      </c>
      <c r="H29" s="356">
        <f>+E29*F29</f>
        <v>110000000000</v>
      </c>
    </row>
    <row r="30" spans="1:8">
      <c r="A30" s="1350"/>
      <c r="B30" s="1081" t="s">
        <v>12841</v>
      </c>
      <c r="C30" s="159"/>
      <c r="D30" s="159"/>
      <c r="E30" s="191">
        <f>+E29</f>
        <v>110000</v>
      </c>
      <c r="F30" s="1350">
        <v>1000000</v>
      </c>
      <c r="G30" s="648">
        <v>1</v>
      </c>
      <c r="H30" s="356">
        <f>+E30*F30</f>
        <v>110000000000</v>
      </c>
    </row>
    <row r="31" ht="12" spans="1:8">
      <c r="A31" s="1350"/>
      <c r="B31" s="755" t="s">
        <v>12842</v>
      </c>
      <c r="C31" s="756"/>
      <c r="D31" s="756"/>
      <c r="E31" s="754">
        <f>E29-E30</f>
        <v>0</v>
      </c>
      <c r="F31" s="756">
        <f>F29-F30</f>
        <v>0</v>
      </c>
      <c r="G31" s="1356">
        <f>G29-G30</f>
        <v>0</v>
      </c>
      <c r="H31" s="253">
        <f>H29-H30</f>
        <v>0</v>
      </c>
    </row>
    <row r="32" spans="1:1">
      <c r="A32" s="1350"/>
    </row>
    <row r="33" spans="1:2">
      <c r="A33" s="1350"/>
      <c r="B33" t="s">
        <v>12843</v>
      </c>
    </row>
    <row r="34" ht="13.2" spans="1:9">
      <c r="A34" s="1350"/>
      <c r="B34" s="1357" t="s">
        <v>1021</v>
      </c>
      <c r="C34" s="1358" t="s">
        <v>12844</v>
      </c>
      <c r="D34" s="1359"/>
      <c r="E34" s="1360">
        <v>2022</v>
      </c>
      <c r="F34" s="1361">
        <v>2018</v>
      </c>
      <c r="G34" s="1361">
        <v>2017</v>
      </c>
      <c r="H34" s="1361">
        <v>2013</v>
      </c>
      <c r="I34" s="1396">
        <v>2011</v>
      </c>
    </row>
    <row r="35" customFormat="1" spans="2:9">
      <c r="B35" s="29"/>
      <c r="C35" s="1093"/>
      <c r="D35" s="1093"/>
      <c r="E35" s="1362" t="s">
        <v>12845</v>
      </c>
      <c r="F35" s="1093"/>
      <c r="G35" s="1093"/>
      <c r="H35" s="1093"/>
      <c r="I35" s="1094"/>
    </row>
    <row r="36" ht="13.9" customHeight="1" spans="1:9">
      <c r="A36" s="1350"/>
      <c r="B36" s="29">
        <v>1</v>
      </c>
      <c r="C36" s="597" t="s">
        <v>1995</v>
      </c>
      <c r="D36" s="762"/>
      <c r="E36" s="1362"/>
      <c r="F36" s="253">
        <f>+$F$29*F46</f>
        <v>99000000000</v>
      </c>
      <c r="G36" s="29">
        <f>+$F$29*G46</f>
        <v>99000000000</v>
      </c>
      <c r="H36" s="29">
        <f>+$F$29*H46</f>
        <v>77000000000</v>
      </c>
      <c r="I36" s="29">
        <f>+$F$29*I46</f>
        <v>44000000000</v>
      </c>
    </row>
    <row r="37" ht="13.9" customHeight="1" spans="1:9">
      <c r="A37" s="1350"/>
      <c r="B37" s="29">
        <v>2</v>
      </c>
      <c r="C37" s="597" t="s">
        <v>12846</v>
      </c>
      <c r="D37" s="762"/>
      <c r="E37" s="1362"/>
      <c r="F37" s="253">
        <f t="shared" ref="F37:G40" si="0">+$F$29*F47</f>
        <v>0</v>
      </c>
      <c r="G37" s="29">
        <f t="shared" si="0"/>
        <v>0</v>
      </c>
      <c r="H37" s="29">
        <f t="shared" ref="H37:I40" si="1">+$F$29*H47</f>
        <v>0</v>
      </c>
      <c r="I37" s="29">
        <f t="shared" si="1"/>
        <v>33000000000</v>
      </c>
    </row>
    <row r="38" ht="13.9" customHeight="1" spans="1:9">
      <c r="A38" s="1350"/>
      <c r="B38" s="29">
        <v>3</v>
      </c>
      <c r="C38" s="597" t="s">
        <v>12847</v>
      </c>
      <c r="D38" s="762"/>
      <c r="E38" s="1362"/>
      <c r="F38" s="253">
        <f t="shared" si="0"/>
        <v>0</v>
      </c>
      <c r="G38" s="29">
        <f t="shared" si="0"/>
        <v>0</v>
      </c>
      <c r="H38" s="29">
        <f t="shared" si="1"/>
        <v>33000000000</v>
      </c>
      <c r="I38" s="29">
        <f t="shared" si="1"/>
        <v>33000000000</v>
      </c>
    </row>
    <row r="39" ht="13.9" customHeight="1" spans="1:9">
      <c r="A39" s="1350"/>
      <c r="B39" s="29">
        <v>4</v>
      </c>
      <c r="C39" s="597" t="s">
        <v>12848</v>
      </c>
      <c r="D39" s="762"/>
      <c r="E39" s="1362"/>
      <c r="F39" s="253">
        <f t="shared" si="0"/>
        <v>0</v>
      </c>
      <c r="G39" s="29">
        <f t="shared" si="0"/>
        <v>11000000000</v>
      </c>
      <c r="H39" s="29">
        <f t="shared" si="1"/>
        <v>0</v>
      </c>
      <c r="I39" s="29">
        <f t="shared" si="1"/>
        <v>0</v>
      </c>
    </row>
    <row r="40" ht="13.9" customHeight="1" spans="1:9">
      <c r="A40" s="1350"/>
      <c r="B40" s="29">
        <v>5</v>
      </c>
      <c r="C40" s="597" t="s">
        <v>2015</v>
      </c>
      <c r="D40" s="762"/>
      <c r="E40" s="1362"/>
      <c r="F40" s="253">
        <f t="shared" si="0"/>
        <v>11000000000</v>
      </c>
      <c r="G40" s="29">
        <f t="shared" si="0"/>
        <v>0</v>
      </c>
      <c r="H40" s="29">
        <f t="shared" si="1"/>
        <v>0</v>
      </c>
      <c r="I40" s="29">
        <f t="shared" si="1"/>
        <v>0</v>
      </c>
    </row>
    <row r="41" spans="1:9">
      <c r="A41" s="1350"/>
      <c r="B41" s="29"/>
      <c r="C41" s="597"/>
      <c r="D41" s="762"/>
      <c r="E41" s="1362"/>
      <c r="F41" s="253"/>
      <c r="G41" s="1363"/>
      <c r="H41" s="29"/>
      <c r="I41" s="29"/>
    </row>
    <row r="42" ht="12" spans="2:9">
      <c r="B42" s="29"/>
      <c r="C42" s="597"/>
      <c r="D42" s="762"/>
      <c r="E42" s="1362"/>
      <c r="F42" s="757">
        <f>SUM(F36:F41)</f>
        <v>110000000000</v>
      </c>
      <c r="G42" s="754">
        <f>SUM(G36:G41)</f>
        <v>110000000000</v>
      </c>
      <c r="H42" s="754">
        <f>SUM(H36:H41)</f>
        <v>110000000000</v>
      </c>
      <c r="I42" s="754">
        <f>SUM(I36:I41)</f>
        <v>110000000000</v>
      </c>
    </row>
    <row r="43" ht="12" spans="2:9">
      <c r="B43" s="159"/>
      <c r="C43" s="159"/>
      <c r="D43" s="159"/>
      <c r="E43" s="159"/>
      <c r="F43" s="159"/>
      <c r="G43" s="1364"/>
      <c r="H43" s="1364"/>
      <c r="I43" s="1364"/>
    </row>
    <row r="44" spans="2:7">
      <c r="B44" s="64" t="s">
        <v>12849</v>
      </c>
      <c r="G44" s="1365"/>
    </row>
    <row r="45" ht="13.2" spans="2:9">
      <c r="B45" s="1357" t="s">
        <v>1021</v>
      </c>
      <c r="C45" s="1358" t="s">
        <v>12844</v>
      </c>
      <c r="D45" s="1359"/>
      <c r="E45" s="1360">
        <v>2022</v>
      </c>
      <c r="F45" s="1361">
        <v>2018</v>
      </c>
      <c r="G45" s="1361">
        <v>2017</v>
      </c>
      <c r="H45" s="1361">
        <v>2013</v>
      </c>
      <c r="I45" s="1396">
        <v>2011</v>
      </c>
    </row>
    <row r="46" spans="2:10">
      <c r="B46" s="29">
        <v>1</v>
      </c>
      <c r="C46" s="29" t="s">
        <v>1995</v>
      </c>
      <c r="D46" s="29"/>
      <c r="E46" s="1362" t="s">
        <v>12845</v>
      </c>
      <c r="F46" s="1366">
        <v>99000</v>
      </c>
      <c r="G46" s="1366">
        <v>99000</v>
      </c>
      <c r="H46" s="1366">
        <v>77000</v>
      </c>
      <c r="I46" s="1366">
        <f>+'[107]5. IGA Okt 2018'!G17</f>
        <v>44000</v>
      </c>
      <c r="J46" s="1397">
        <f>+F46/$F$52</f>
        <v>0.9</v>
      </c>
    </row>
    <row r="47" spans="2:10">
      <c r="B47" s="29">
        <v>2</v>
      </c>
      <c r="C47" s="29" t="s">
        <v>12846</v>
      </c>
      <c r="D47" s="29"/>
      <c r="E47" s="1362"/>
      <c r="F47" s="1366">
        <v>0</v>
      </c>
      <c r="G47" s="1366">
        <v>0</v>
      </c>
      <c r="H47" s="1366">
        <v>0</v>
      </c>
      <c r="I47" s="1366">
        <f>+'[107]5. IGA Okt 2018'!G18</f>
        <v>33000</v>
      </c>
      <c r="J47" s="1397">
        <f>+F47/$F$52</f>
        <v>0</v>
      </c>
    </row>
    <row r="48" spans="2:10">
      <c r="B48" s="29">
        <v>3</v>
      </c>
      <c r="C48" s="29" t="s">
        <v>12847</v>
      </c>
      <c r="D48" s="29"/>
      <c r="E48" s="1362"/>
      <c r="F48" s="1366">
        <v>0</v>
      </c>
      <c r="G48" s="1366">
        <v>0</v>
      </c>
      <c r="H48" s="1366">
        <v>33000</v>
      </c>
      <c r="I48" s="1366">
        <f>+'[107]5. IGA Okt 2018'!G19</f>
        <v>33000</v>
      </c>
      <c r="J48" s="1397">
        <f>+F48/$F$52</f>
        <v>0</v>
      </c>
    </row>
    <row r="49" spans="2:10">
      <c r="B49" s="29">
        <v>4</v>
      </c>
      <c r="C49" s="29" t="s">
        <v>12850</v>
      </c>
      <c r="D49" s="29"/>
      <c r="E49" s="1362"/>
      <c r="F49" s="1366">
        <v>0</v>
      </c>
      <c r="G49" s="1366">
        <v>11000</v>
      </c>
      <c r="H49" s="1366">
        <v>0</v>
      </c>
      <c r="I49" s="1366">
        <v>0</v>
      </c>
      <c r="J49" s="1397">
        <f>+F49/$F$52</f>
        <v>0</v>
      </c>
    </row>
    <row r="50" spans="2:10">
      <c r="B50" s="29">
        <v>5</v>
      </c>
      <c r="C50" s="29" t="s">
        <v>2015</v>
      </c>
      <c r="D50" s="29"/>
      <c r="E50" s="1362"/>
      <c r="F50" s="1366">
        <v>11000</v>
      </c>
      <c r="G50" s="1366">
        <v>0</v>
      </c>
      <c r="H50" s="1366">
        <v>0</v>
      </c>
      <c r="I50" s="1366">
        <v>0</v>
      </c>
      <c r="J50" s="1397">
        <f>+F50/$F$52</f>
        <v>0.1</v>
      </c>
    </row>
    <row r="51" spans="2:9">
      <c r="B51" s="29"/>
      <c r="C51" s="597"/>
      <c r="D51" s="253"/>
      <c r="E51" s="1362"/>
      <c r="F51" s="1366"/>
      <c r="G51" s="1366"/>
      <c r="H51" s="1366"/>
      <c r="I51" s="1366"/>
    </row>
    <row r="52" spans="2:10">
      <c r="B52" s="29"/>
      <c r="C52" s="597"/>
      <c r="D52" s="253"/>
      <c r="E52" s="1362"/>
      <c r="F52" s="1366">
        <f>SUM(F46:F51)</f>
        <v>110000</v>
      </c>
      <c r="G52" s="1366">
        <f>SUM(G46:G51)</f>
        <v>110000</v>
      </c>
      <c r="H52" s="1366">
        <f>SUM(H46:H51)</f>
        <v>110000</v>
      </c>
      <c r="I52" s="1366">
        <f>SUM(I46:I51)</f>
        <v>110000</v>
      </c>
      <c r="J52" s="1397">
        <f>SUM(J46:J50)</f>
        <v>1</v>
      </c>
    </row>
    <row r="55" spans="2:8">
      <c r="B55"/>
      <c r="C55"/>
      <c r="D55"/>
      <c r="E55" s="1350"/>
      <c r="F55" s="1350"/>
      <c r="G55" s="1350"/>
      <c r="H55" s="1350"/>
    </row>
    <row r="56" ht="12" spans="4:4">
      <c r="D56" s="94" t="s">
        <v>12851</v>
      </c>
    </row>
    <row r="57" spans="2:10">
      <c r="B57"/>
      <c r="D57" s="1367" t="s">
        <v>12852</v>
      </c>
      <c r="E57" s="1368">
        <v>6</v>
      </c>
      <c r="F57" s="1368">
        <v>5</v>
      </c>
      <c r="G57" s="1368">
        <v>4</v>
      </c>
      <c r="H57" s="1368">
        <v>3</v>
      </c>
      <c r="I57" s="1368">
        <v>2</v>
      </c>
      <c r="J57" s="1398">
        <v>1</v>
      </c>
    </row>
    <row r="58" spans="2:10">
      <c r="B58"/>
      <c r="C58"/>
      <c r="D58" s="597" t="s">
        <v>12853</v>
      </c>
      <c r="E58" s="717">
        <v>13</v>
      </c>
      <c r="F58" s="717">
        <v>9</v>
      </c>
      <c r="G58" s="1369">
        <v>5</v>
      </c>
      <c r="H58" s="717">
        <v>5</v>
      </c>
      <c r="I58" s="717">
        <v>86</v>
      </c>
      <c r="J58" s="1399">
        <v>19</v>
      </c>
    </row>
    <row r="59" spans="2:10">
      <c r="B59"/>
      <c r="C59"/>
      <c r="D59" s="1081" t="s">
        <v>12854</v>
      </c>
      <c r="E59" s="1370">
        <v>43875</v>
      </c>
      <c r="F59" s="1370">
        <v>43391</v>
      </c>
      <c r="G59" s="1371">
        <v>42868</v>
      </c>
      <c r="H59" s="1370">
        <v>42807</v>
      </c>
      <c r="I59" s="1370">
        <v>41445</v>
      </c>
      <c r="J59" s="1400">
        <v>40770</v>
      </c>
    </row>
    <row r="60" ht="34.2" spans="2:10">
      <c r="B60"/>
      <c r="C60"/>
      <c r="D60" s="597" t="s">
        <v>12855</v>
      </c>
      <c r="E60" s="1372" t="s">
        <v>12856</v>
      </c>
      <c r="F60" s="1372" t="s">
        <v>12856</v>
      </c>
      <c r="G60" s="1373" t="s">
        <v>12857</v>
      </c>
      <c r="H60" s="1372" t="s">
        <v>12857</v>
      </c>
      <c r="I60" s="1372" t="s">
        <v>12858</v>
      </c>
      <c r="J60" s="1401" t="s">
        <v>12859</v>
      </c>
    </row>
    <row r="61" spans="2:10">
      <c r="B61"/>
      <c r="C61"/>
      <c r="D61" s="1081" t="s">
        <v>12860</v>
      </c>
      <c r="E61" s="191"/>
      <c r="F61" s="1370" t="s">
        <v>12861</v>
      </c>
      <c r="G61" s="1371"/>
      <c r="H61" s="1370"/>
      <c r="I61" s="1370"/>
      <c r="J61" s="1400" t="s">
        <v>12862</v>
      </c>
    </row>
    <row r="62" spans="2:10">
      <c r="B62"/>
      <c r="C62"/>
      <c r="D62" s="597" t="s">
        <v>12863</v>
      </c>
      <c r="E62" s="29"/>
      <c r="F62" s="1374">
        <v>43402</v>
      </c>
      <c r="G62" s="1375"/>
      <c r="H62" s="1374"/>
      <c r="I62" s="1374"/>
      <c r="J62" s="1402">
        <v>40812</v>
      </c>
    </row>
    <row r="63" spans="2:10">
      <c r="B63"/>
      <c r="C63"/>
      <c r="D63" s="1086"/>
      <c r="E63" s="142"/>
      <c r="F63" s="142"/>
      <c r="G63" s="164"/>
      <c r="H63" s="142"/>
      <c r="I63" s="142"/>
      <c r="J63" s="302"/>
    </row>
    <row r="64" spans="2:10">
      <c r="B64"/>
      <c r="C64"/>
      <c r="D64" s="1376" t="s">
        <v>1337</v>
      </c>
      <c r="E64" s="1377">
        <v>2022</v>
      </c>
      <c r="F64" s="1377">
        <v>2018</v>
      </c>
      <c r="G64" s="1377">
        <v>2017</v>
      </c>
      <c r="H64" s="1377">
        <v>2017</v>
      </c>
      <c r="I64" s="1377">
        <v>2013</v>
      </c>
      <c r="J64" s="1377">
        <v>2011</v>
      </c>
    </row>
    <row r="65" spans="2:10">
      <c r="B65"/>
      <c r="C65"/>
      <c r="D65" s="29" t="s">
        <v>1341</v>
      </c>
      <c r="E65" s="1415"/>
      <c r="F65" s="29" t="s">
        <v>1995</v>
      </c>
      <c r="G65" s="29" t="s">
        <v>1995</v>
      </c>
      <c r="H65" s="29" t="s">
        <v>1995</v>
      </c>
      <c r="I65" s="29" t="s">
        <v>1995</v>
      </c>
      <c r="J65" s="29" t="s">
        <v>1995</v>
      </c>
    </row>
    <row r="66" spans="2:10">
      <c r="B66"/>
      <c r="C66"/>
      <c r="D66" s="29" t="s">
        <v>12864</v>
      </c>
      <c r="E66" s="1415"/>
      <c r="F66" s="29" t="s">
        <v>12865</v>
      </c>
      <c r="G66" s="29">
        <v>0</v>
      </c>
      <c r="H66" s="29">
        <v>0</v>
      </c>
      <c r="I66" s="29">
        <v>0</v>
      </c>
      <c r="J66" s="29" t="s">
        <v>12866</v>
      </c>
    </row>
    <row r="67" spans="2:10">
      <c r="B67"/>
      <c r="C67"/>
      <c r="D67" s="29" t="s">
        <v>12867</v>
      </c>
      <c r="E67" s="1415"/>
      <c r="F67" s="29" t="s">
        <v>1340</v>
      </c>
      <c r="G67" s="29">
        <v>0</v>
      </c>
      <c r="H67" s="29">
        <v>0</v>
      </c>
      <c r="I67" s="29" t="s">
        <v>12847</v>
      </c>
      <c r="J67" s="29" t="s">
        <v>12847</v>
      </c>
    </row>
    <row r="68" spans="2:10">
      <c r="B68"/>
      <c r="C68"/>
      <c r="D68" s="29" t="s">
        <v>12867</v>
      </c>
      <c r="E68" s="1415"/>
      <c r="F68" s="29">
        <v>0</v>
      </c>
      <c r="G68" s="29" t="s">
        <v>12850</v>
      </c>
      <c r="H68" s="29" t="s">
        <v>12850</v>
      </c>
      <c r="I68" s="29">
        <v>0</v>
      </c>
      <c r="J68" s="29">
        <v>0</v>
      </c>
    </row>
    <row r="69" spans="2:9">
      <c r="B69"/>
      <c r="C69"/>
      <c r="D69"/>
      <c r="E69"/>
      <c r="F69"/>
      <c r="G69"/>
      <c r="H69"/>
      <c r="I69"/>
    </row>
    <row r="70" spans="2:9">
      <c r="B70"/>
      <c r="C70"/>
      <c r="D70"/>
      <c r="E70"/>
      <c r="F70"/>
      <c r="G70"/>
      <c r="H70"/>
      <c r="I70"/>
    </row>
    <row r="71" spans="2:9">
      <c r="B71"/>
      <c r="C71"/>
      <c r="D71"/>
      <c r="E71"/>
      <c r="F71" t="s">
        <v>12868</v>
      </c>
      <c r="G71"/>
      <c r="H71"/>
      <c r="I71"/>
    </row>
    <row r="72" spans="2:9">
      <c r="B72"/>
      <c r="C72"/>
      <c r="D72"/>
      <c r="E72"/>
      <c r="F72"/>
      <c r="G72"/>
      <c r="H72"/>
      <c r="I72"/>
    </row>
    <row r="73" spans="2:9">
      <c r="B73"/>
      <c r="C73"/>
      <c r="D73"/>
      <c r="E73"/>
      <c r="F73"/>
      <c r="G73"/>
      <c r="H73"/>
      <c r="I73"/>
    </row>
    <row r="74" spans="2:9">
      <c r="B74"/>
      <c r="C74"/>
      <c r="D74"/>
      <c r="E74"/>
      <c r="F74"/>
      <c r="G74"/>
      <c r="H74"/>
      <c r="I74"/>
    </row>
    <row r="75" spans="2:9">
      <c r="B75"/>
      <c r="C75"/>
      <c r="D75"/>
      <c r="E75"/>
      <c r="F75"/>
      <c r="G75"/>
      <c r="H75"/>
      <c r="I75"/>
    </row>
    <row r="76" spans="2:9">
      <c r="B76"/>
      <c r="C76"/>
      <c r="D76"/>
      <c r="E76"/>
      <c r="F76"/>
      <c r="G76"/>
      <c r="H76"/>
      <c r="I76"/>
    </row>
    <row r="77" spans="2:9">
      <c r="B77" t="s">
        <v>952</v>
      </c>
      <c r="C77"/>
      <c r="D77"/>
      <c r="E77"/>
      <c r="F77"/>
      <c r="G77"/>
      <c r="H77"/>
      <c r="I77"/>
    </row>
    <row r="78" spans="2:9">
      <c r="B78"/>
      <c r="C78"/>
      <c r="D78"/>
      <c r="E78"/>
      <c r="F78"/>
      <c r="G78"/>
      <c r="H78"/>
      <c r="I78"/>
    </row>
    <row r="79" spans="2:9">
      <c r="B79"/>
      <c r="C79"/>
      <c r="D79"/>
      <c r="E79" t="s">
        <v>953</v>
      </c>
      <c r="F79" t="s">
        <v>954</v>
      </c>
      <c r="G79"/>
      <c r="H79" t="s">
        <v>2264</v>
      </c>
      <c r="I79"/>
    </row>
    <row r="80" spans="2:9">
      <c r="B80" t="s">
        <v>12869</v>
      </c>
      <c r="C80"/>
      <c r="D80"/>
      <c r="E80"/>
      <c r="F80"/>
      <c r="G80"/>
      <c r="H80"/>
      <c r="I80"/>
    </row>
    <row r="81" spans="2:9">
      <c r="B81"/>
      <c r="C81"/>
      <c r="D81"/>
      <c r="E81"/>
      <c r="F81"/>
      <c r="G81"/>
      <c r="H81"/>
      <c r="I81"/>
    </row>
    <row r="82" spans="2:9">
      <c r="B82"/>
      <c r="C82"/>
      <c r="D82"/>
      <c r="E82"/>
      <c r="F82"/>
      <c r="G82"/>
      <c r="H82"/>
      <c r="I82"/>
    </row>
  </sheetData>
  <mergeCells count="5">
    <mergeCell ref="B28:D28"/>
    <mergeCell ref="E35:E42"/>
    <mergeCell ref="E46:E52"/>
    <mergeCell ref="G10:H11"/>
    <mergeCell ref="M10:N11"/>
  </mergeCells>
  <printOptions horizontalCentered="1"/>
  <pageMargins left="0.748031496062992" right="0.551181102362205" top="0.78740157480315" bottom="0.551181102362205" header="0.511811023622047" footer="0.511811023622047"/>
  <pageSetup paperSize="9" scale="90" orientation="landscape"/>
  <headerFooter alignWithMargins="0">
    <oddFooter>&amp;R&amp;"Arial,Bold"&amp;36&amp;A</oddFooter>
  </headerFooter>
  <drawing r:id="rId1"/>
  <legacyDrawing r:id="rId2"/>
  <oleObjects>
    <mc:AlternateContent xmlns:mc="http://schemas.openxmlformats.org/markup-compatibility/2006">
      <mc:Choice Requires="x14">
        <oleObject shapeId="6539266" progId="Paint.Picture" r:id="rId3">
          <objectPr defaultSize="0" r:id="rId4">
            <anchor moveWithCells="1">
              <from>
                <xdr:col>9</xdr:col>
                <xdr:colOff>527050</xdr:colOff>
                <xdr:row>7</xdr:row>
                <xdr:rowOff>139700</xdr:rowOff>
              </from>
              <to>
                <xdr:col>9</xdr:col>
                <xdr:colOff>723900</xdr:colOff>
                <xdr:row>8</xdr:row>
                <xdr:rowOff>152400</xdr:rowOff>
              </to>
            </anchor>
          </objectPr>
        </oleObject>
      </mc:Choice>
      <mc:Fallback>
        <oleObject shapeId="6539266" progId="Paint.Picture" r:id="rId3"/>
      </mc:Fallback>
    </mc:AlternateContent>
  </oleObjects>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4">
    <pageSetUpPr fitToPage="1"/>
  </sheetPr>
  <dimension ref="B1:AA152"/>
  <sheetViews>
    <sheetView showGridLines="0" zoomScale="130" zoomScaleNormal="130" workbookViewId="0">
      <pane xSplit="4" ySplit="10" topLeftCell="G29" activePane="bottomRight" state="frozen"/>
      <selection/>
      <selection pane="topRight"/>
      <selection pane="bottomLeft"/>
      <selection pane="bottomRight" activeCell="L57" sqref="L57"/>
    </sheetView>
  </sheetViews>
  <sheetFormatPr defaultColWidth="9.13541666666667" defaultRowHeight="13.8"/>
  <cols>
    <col min="1" max="1" width="1.19791666666667" style="576" customWidth="1"/>
    <col min="2" max="2" width="3.14583333333333" style="576" customWidth="1"/>
    <col min="3" max="3" width="4.19791666666667" style="576" customWidth="1"/>
    <col min="4" max="4" width="34.7604166666667" style="576" customWidth="1"/>
    <col min="5" max="5" width="6.14583333333333" style="576" customWidth="1"/>
    <col min="6" max="6" width="15.5833333333333" style="576" customWidth="1" outlineLevel="1"/>
    <col min="7" max="7" width="6.14583333333333" style="576" customWidth="1" outlineLevel="1"/>
    <col min="8" max="8" width="12.1354166666667" style="576" customWidth="1" outlineLevel="1"/>
    <col min="9" max="9" width="14.53125" style="576" customWidth="1" outlineLevel="1"/>
    <col min="10" max="10" width="6.14583333333333" style="576" customWidth="1" outlineLevel="1"/>
    <col min="11" max="11" width="16.3333333333333" style="576" customWidth="1"/>
    <col min="12" max="12" width="14.8333333333333" style="576" customWidth="1" outlineLevel="1"/>
    <col min="13" max="13" width="6.4375" style="576" customWidth="1" outlineLevel="1"/>
    <col min="14" max="14" width="15.7291666666667" style="576" customWidth="1" outlineLevel="1"/>
    <col min="15" max="15" width="16.9270833333333" style="576" customWidth="1" outlineLevel="1"/>
    <col min="16" max="16" width="16.3333333333333" style="576" customWidth="1" outlineLevel="1"/>
    <col min="17" max="17" width="17.2291666666667" style="576" customWidth="1"/>
    <col min="18" max="18" width="18.125" style="576" customWidth="1"/>
    <col min="19" max="19" width="17.0833333333333" style="576" hidden="1" customWidth="1"/>
    <col min="20" max="20" width="15.4270833333333" style="576" hidden="1" customWidth="1"/>
    <col min="21" max="21" width="17.0833333333333" style="576" hidden="1" customWidth="1"/>
    <col min="22" max="22" width="15.28125" style="576" customWidth="1"/>
    <col min="23" max="23" width="8.39583333333333" style="576" customWidth="1"/>
    <col min="24" max="24" width="13.3333333333333" style="576" customWidth="1"/>
    <col min="25" max="25" width="14.2395833333333" style="576" customWidth="1"/>
    <col min="26" max="26" width="12.1354166666667" style="576" customWidth="1"/>
    <col min="27" max="27" width="14.3854166666667" style="578" customWidth="1"/>
    <col min="28" max="16384" width="9.13541666666667" style="576"/>
  </cols>
  <sheetData>
    <row r="1" spans="5:16">
      <c r="E1" s="579"/>
      <c r="F1" s="579"/>
      <c r="G1" s="579"/>
      <c r="H1" s="579"/>
      <c r="I1" s="579"/>
      <c r="J1" s="579"/>
      <c r="K1" s="579"/>
      <c r="L1" s="579"/>
      <c r="M1" s="579"/>
      <c r="N1" s="579"/>
      <c r="O1" s="579"/>
      <c r="P1" s="579"/>
    </row>
    <row r="2" ht="19.2" spans="2:23">
      <c r="B2" s="1197" t="str">
        <f>+E!$C$2</f>
        <v>KAP LIASTA NIRWAN SYAFRUDIN &amp; REKAN</v>
      </c>
      <c r="C2" s="1198"/>
      <c r="D2" s="1198"/>
      <c r="E2" s="1198"/>
      <c r="F2" s="1198"/>
      <c r="G2" s="1198"/>
      <c r="H2" s="1198"/>
      <c r="I2" s="1198"/>
      <c r="J2" s="1198"/>
      <c r="K2" s="1198"/>
      <c r="L2" s="1198"/>
      <c r="M2" s="1198"/>
      <c r="N2" s="1198"/>
      <c r="O2" s="1198"/>
      <c r="P2" s="1198"/>
      <c r="Q2" s="1198"/>
      <c r="R2" s="1236" t="s">
        <v>481</v>
      </c>
      <c r="S2" s="1198"/>
      <c r="T2" s="1198"/>
      <c r="U2" s="1198"/>
      <c r="V2" s="1198" t="s">
        <v>482</v>
      </c>
      <c r="W2" s="1236" t="s">
        <v>483</v>
      </c>
    </row>
    <row r="3" spans="2:23">
      <c r="B3" s="1199"/>
      <c r="C3" s="1200"/>
      <c r="D3" s="1200"/>
      <c r="E3" s="1200"/>
      <c r="F3" s="1200"/>
      <c r="G3" s="1200"/>
      <c r="H3" s="1200"/>
      <c r="I3" s="1200"/>
      <c r="J3" s="1200"/>
      <c r="K3" s="1200"/>
      <c r="L3" s="1200"/>
      <c r="M3" s="1200"/>
      <c r="N3" s="1200"/>
      <c r="O3" s="1200"/>
      <c r="P3" s="1200"/>
      <c r="Q3" s="1200"/>
      <c r="R3" s="1237"/>
      <c r="S3" s="1200"/>
      <c r="T3" s="1200"/>
      <c r="U3" s="1200"/>
      <c r="V3" s="1238">
        <v>45173</v>
      </c>
      <c r="W3" s="1239">
        <v>10</v>
      </c>
    </row>
    <row r="4" spans="2:23">
      <c r="B4" s="1199" t="s">
        <v>153</v>
      </c>
      <c r="C4" s="1200"/>
      <c r="D4" s="1200" t="str">
        <f>+D!C4</f>
        <v>PT INTAN GIRI ABADI</v>
      </c>
      <c r="E4" s="1200"/>
      <c r="F4" s="1200"/>
      <c r="G4" s="1200"/>
      <c r="H4" s="1200"/>
      <c r="I4" s="1200"/>
      <c r="J4" s="1200"/>
      <c r="K4" s="1200"/>
      <c r="L4" s="1200"/>
      <c r="M4" s="1200"/>
      <c r="N4" s="1200"/>
      <c r="O4" s="1200"/>
      <c r="P4" s="1200"/>
      <c r="Q4" s="1200"/>
      <c r="R4" s="1237" t="s">
        <v>487</v>
      </c>
      <c r="S4" s="1200"/>
      <c r="T4" s="1200"/>
      <c r="U4" s="1200"/>
      <c r="V4" s="1200" t="s">
        <v>482</v>
      </c>
      <c r="W4" s="1237" t="s">
        <v>488</v>
      </c>
    </row>
    <row r="5" spans="2:27">
      <c r="B5" s="1199"/>
      <c r="C5" s="1200"/>
      <c r="D5" s="1200"/>
      <c r="E5" s="1200"/>
      <c r="F5" s="1200"/>
      <c r="G5" s="1200"/>
      <c r="H5" s="1200"/>
      <c r="I5" s="1200"/>
      <c r="J5" s="1200"/>
      <c r="K5" s="1200"/>
      <c r="L5" s="1200"/>
      <c r="M5" s="1200"/>
      <c r="N5" s="1200"/>
      <c r="O5" s="1200"/>
      <c r="P5" s="1200"/>
      <c r="Q5" s="1200"/>
      <c r="R5" s="1237"/>
      <c r="S5" s="1200"/>
      <c r="T5" s="1200"/>
      <c r="U5" s="1200"/>
      <c r="V5" s="1200"/>
      <c r="W5" s="1237"/>
      <c r="AA5" s="576"/>
    </row>
    <row r="6" spans="2:27">
      <c r="B6" s="1199"/>
      <c r="C6" s="1200"/>
      <c r="D6" s="1200"/>
      <c r="E6" s="1200"/>
      <c r="F6" s="1200"/>
      <c r="G6" s="1200"/>
      <c r="H6" s="1200"/>
      <c r="I6" s="1200"/>
      <c r="J6" s="1200"/>
      <c r="K6" s="1200"/>
      <c r="L6" s="1200"/>
      <c r="M6" s="1200"/>
      <c r="N6" s="1200"/>
      <c r="O6" s="1200"/>
      <c r="P6" s="1200"/>
      <c r="Q6" s="1200"/>
      <c r="R6" s="1237"/>
      <c r="S6" s="1200"/>
      <c r="T6" s="1200"/>
      <c r="U6" s="1200"/>
      <c r="V6" s="1200" t="s">
        <v>491</v>
      </c>
      <c r="W6" s="1237"/>
      <c r="AA6" s="576"/>
    </row>
    <row r="7" spans="2:27">
      <c r="B7" s="1201" t="s">
        <v>623</v>
      </c>
      <c r="C7" s="1202"/>
      <c r="D7" s="1202" t="s">
        <v>579</v>
      </c>
      <c r="E7" s="1202"/>
      <c r="F7" s="1202"/>
      <c r="G7" s="1202"/>
      <c r="H7" s="1202"/>
      <c r="I7" s="1202"/>
      <c r="J7" s="1202"/>
      <c r="K7" s="1202"/>
      <c r="L7" s="1202"/>
      <c r="M7" s="1202"/>
      <c r="N7" s="1202"/>
      <c r="O7" s="1202"/>
      <c r="P7" s="1202"/>
      <c r="Q7" s="1202"/>
      <c r="R7" s="1240"/>
      <c r="S7" s="1202"/>
      <c r="T7" s="1202"/>
      <c r="U7" s="1202"/>
      <c r="V7" s="1241">
        <f>+'F3'!T7</f>
        <v>44926</v>
      </c>
      <c r="W7" s="1240"/>
      <c r="AA7" s="576"/>
    </row>
    <row r="8" spans="21:27">
      <c r="U8" s="1242"/>
      <c r="V8"/>
      <c r="AA8" s="576"/>
    </row>
    <row r="9" s="1195" customFormat="1" ht="13.2" spans="2:23">
      <c r="B9" s="1203"/>
      <c r="C9" s="1204"/>
      <c r="D9" s="1204"/>
      <c r="E9" s="1205" t="s">
        <v>654</v>
      </c>
      <c r="F9" s="1204" t="s">
        <v>2248</v>
      </c>
      <c r="G9" s="1205"/>
      <c r="H9" s="1206" t="s">
        <v>1289</v>
      </c>
      <c r="I9" s="1229"/>
      <c r="J9" s="1205"/>
      <c r="K9" s="1204" t="s">
        <v>1233</v>
      </c>
      <c r="L9" s="1205" t="s">
        <v>2248</v>
      </c>
      <c r="M9" s="1204"/>
      <c r="N9" s="1206" t="s">
        <v>1289</v>
      </c>
      <c r="O9" s="1229"/>
      <c r="P9" s="1204"/>
      <c r="Q9" s="1205" t="s">
        <v>1233</v>
      </c>
      <c r="R9" s="1204" t="s">
        <v>996</v>
      </c>
      <c r="S9" s="1205" t="s">
        <v>996</v>
      </c>
      <c r="T9" s="1204" t="s">
        <v>996</v>
      </c>
      <c r="U9" s="1205" t="s">
        <v>996</v>
      </c>
      <c r="V9" s="1207">
        <f>+K10</f>
        <v>44926</v>
      </c>
      <c r="W9" s="1243"/>
    </row>
    <row r="10" s="1195" customFormat="1" ht="13.2" spans="2:23">
      <c r="B10" s="1207"/>
      <c r="C10" s="1208" t="s">
        <v>12870</v>
      </c>
      <c r="D10" s="1209"/>
      <c r="E10" s="1210" t="s">
        <v>12787</v>
      </c>
      <c r="F10" s="1209">
        <f>+D!F11</f>
        <v>44926</v>
      </c>
      <c r="G10" s="1210" t="s">
        <v>2253</v>
      </c>
      <c r="H10" s="1206" t="s">
        <v>1231</v>
      </c>
      <c r="I10" s="1229" t="s">
        <v>1232</v>
      </c>
      <c r="J10" s="1210" t="s">
        <v>2253</v>
      </c>
      <c r="K10" s="1209">
        <f>+F10</f>
        <v>44926</v>
      </c>
      <c r="L10" s="1210">
        <f>+K10-365</f>
        <v>44561</v>
      </c>
      <c r="M10" s="1209" t="s">
        <v>2253</v>
      </c>
      <c r="N10" s="1206" t="s">
        <v>1231</v>
      </c>
      <c r="O10" s="1230" t="s">
        <v>1232</v>
      </c>
      <c r="P10" s="1209" t="s">
        <v>2253</v>
      </c>
      <c r="Q10" s="1210">
        <f>+L10</f>
        <v>44561</v>
      </c>
      <c r="R10" s="1209">
        <f>+Q10-365</f>
        <v>44196</v>
      </c>
      <c r="S10" s="1210">
        <f>+R10-366</f>
        <v>43830</v>
      </c>
      <c r="T10" s="1209">
        <f>+S10-365</f>
        <v>43465</v>
      </c>
      <c r="U10" s="1210">
        <f>+T10-365</f>
        <v>43100</v>
      </c>
      <c r="V10" s="1206" t="s">
        <v>151</v>
      </c>
      <c r="W10" s="1230" t="s">
        <v>894</v>
      </c>
    </row>
    <row r="11" s="1196" customFormat="1" ht="13.2" spans="2:23">
      <c r="B11" s="1211"/>
      <c r="C11" s="1212"/>
      <c r="D11" s="1212"/>
      <c r="E11" s="135"/>
      <c r="F11" s="135"/>
      <c r="G11" s="101"/>
      <c r="H11" s="135"/>
      <c r="I11" s="135"/>
      <c r="J11" s="101"/>
      <c r="K11" s="311"/>
      <c r="L11" s="1231"/>
      <c r="M11" s="329"/>
      <c r="N11" s="1231"/>
      <c r="O11" s="1231"/>
      <c r="P11" s="101"/>
      <c r="Q11" s="1231"/>
      <c r="R11" s="1212"/>
      <c r="S11" s="1231"/>
      <c r="T11" s="1212"/>
      <c r="U11" s="1231"/>
      <c r="V11" s="308"/>
      <c r="W11" s="1244"/>
    </row>
    <row r="12" s="1196" customFormat="1" ht="13.2" spans="2:23">
      <c r="B12" s="1211"/>
      <c r="C12" s="100" t="s">
        <v>1169</v>
      </c>
      <c r="D12" s="1212"/>
      <c r="E12" s="135"/>
      <c r="F12" s="135"/>
      <c r="G12" s="135"/>
      <c r="H12" s="135"/>
      <c r="I12" s="135"/>
      <c r="J12" s="135"/>
      <c r="K12" s="135"/>
      <c r="L12" s="1231"/>
      <c r="M12" s="135"/>
      <c r="N12" s="1231"/>
      <c r="O12" s="1231"/>
      <c r="P12" s="101"/>
      <c r="Q12" s="1231"/>
      <c r="R12" s="1212"/>
      <c r="S12" s="1231"/>
      <c r="T12" s="1212"/>
      <c r="U12" s="1231"/>
      <c r="V12" s="161"/>
      <c r="W12" s="1244"/>
    </row>
    <row r="13" s="1196" customFormat="1" ht="13.2" spans="2:23">
      <c r="B13" s="1211"/>
      <c r="C13" s="1212"/>
      <c r="D13" s="1196" t="s">
        <v>1805</v>
      </c>
      <c r="E13" s="5177" t="s">
        <v>12871</v>
      </c>
      <c r="F13" s="101">
        <v>1315200000</v>
      </c>
      <c r="G13" s="135"/>
      <c r="H13" s="161">
        <f>SUMIF('F4'!$E$12:$E$158,D13,'F4'!$G$12:$G$158)</f>
        <v>0</v>
      </c>
      <c r="I13" s="161">
        <f>SUMIF('F4'!$E$12:$E$158,D13,'F4'!$H$12:$H$158)</f>
        <v>0</v>
      </c>
      <c r="J13" s="135"/>
      <c r="K13" s="101">
        <f>+F13+I13-H13</f>
        <v>1315200000</v>
      </c>
      <c r="L13" s="161">
        <f>+'1021'!F187</f>
        <v>1660800000</v>
      </c>
      <c r="M13" s="329"/>
      <c r="N13" s="161">
        <f>SUMIF('F4'!$E$12:$E$158,D13,'F4'!$I$12:$I$158)</f>
        <v>0</v>
      </c>
      <c r="O13" s="161">
        <f>SUMIF('F4'!$E$12:$E$158,D13,'F4'!$J$12:$J$158)</f>
        <v>0</v>
      </c>
      <c r="P13" s="101"/>
      <c r="Q13" s="161">
        <f>L13+O13-N13</f>
        <v>1660800000</v>
      </c>
      <c r="R13" s="101">
        <v>2728155000</v>
      </c>
      <c r="S13" s="1231">
        <v>2515000000</v>
      </c>
      <c r="T13" s="101">
        <v>2087117000</v>
      </c>
      <c r="U13" s="161">
        <v>0</v>
      </c>
      <c r="V13" s="161">
        <f>F13-Q13</f>
        <v>-345600000</v>
      </c>
      <c r="W13" s="1244">
        <f>IF(Q13=0,IF(L13=0,0,L13/L13),L13/Q13)</f>
        <v>1</v>
      </c>
    </row>
    <row r="14" s="1196" customFormat="1" ht="13.2" spans="2:23">
      <c r="B14" s="1211"/>
      <c r="C14" s="1212"/>
      <c r="D14" s="1212" t="s">
        <v>12872</v>
      </c>
      <c r="E14" s="5177" t="s">
        <v>12873</v>
      </c>
      <c r="F14" s="101">
        <f>+[108]CALK!$G$238</f>
        <v>781927600</v>
      </c>
      <c r="G14" s="135"/>
      <c r="H14" s="161">
        <f>SUMIF('F4'!$E$12:$E$158,D14,'F4'!$G$12:$G$158)</f>
        <v>0</v>
      </c>
      <c r="I14" s="161">
        <f>SUMIF('F4'!$E$12:$E$158,D14,'F4'!$H$12:$H$158)</f>
        <v>0</v>
      </c>
      <c r="J14" s="135"/>
      <c r="K14" s="101">
        <f t="shared" ref="K14:K30" si="0">+F14+I14-H14</f>
        <v>781927600</v>
      </c>
      <c r="L14" s="161">
        <f>+'1021'!F188</f>
        <v>1046800000</v>
      </c>
      <c r="M14" s="329"/>
      <c r="N14" s="161">
        <f>SUMIF('F4'!$E$12:$E$158,D14,'F4'!$I$12:$I$158)</f>
        <v>0</v>
      </c>
      <c r="O14" s="161">
        <f>SUMIF('F4'!$E$12:$E$158,D14,'F4'!$J$12:$J$158)</f>
        <v>0</v>
      </c>
      <c r="P14" s="101"/>
      <c r="Q14" s="161">
        <f>L14+O14-N14</f>
        <v>1046800000</v>
      </c>
      <c r="R14" s="101">
        <f>+'[79]Penj&amp;cus'!$G$46</f>
        <v>1585333737</v>
      </c>
      <c r="S14" s="1231">
        <v>1167760000</v>
      </c>
      <c r="T14" s="101">
        <v>1404162000</v>
      </c>
      <c r="U14" s="161">
        <v>0</v>
      </c>
      <c r="V14" s="161">
        <f t="shared" ref="V14:V44" si="1">F14-Q14</f>
        <v>-264872400</v>
      </c>
      <c r="W14" s="1244">
        <f t="shared" ref="W14:W44" si="2">IF(Q14=0,IF(L14=0,0,L14/L14),L14/Q14)</f>
        <v>1</v>
      </c>
    </row>
    <row r="15" s="1196" customFormat="1" ht="13.2" spans="2:23">
      <c r="B15" s="1211"/>
      <c r="C15" s="1212"/>
      <c r="D15" s="1212" t="s">
        <v>11625</v>
      </c>
      <c r="E15" s="5177" t="s">
        <v>12874</v>
      </c>
      <c r="F15" s="101">
        <v>530488750</v>
      </c>
      <c r="G15" s="135"/>
      <c r="H15" s="161">
        <f>SUMIF('F4'!$E$12:$E$158,D15,'F4'!$G$12:$G$158)</f>
        <v>0</v>
      </c>
      <c r="I15" s="161">
        <f>SUMIF('F4'!$E$12:$E$158,D15,'F4'!$H$12:$H$158)</f>
        <v>0</v>
      </c>
      <c r="J15" s="135"/>
      <c r="K15" s="101">
        <f t="shared" si="0"/>
        <v>530488750</v>
      </c>
      <c r="L15" s="161">
        <f>+'1021'!F190</f>
        <v>561830500</v>
      </c>
      <c r="M15" s="329"/>
      <c r="N15" s="161">
        <f>SUMIF('F4'!$E$12:$E$158,D15,'F4'!$I$12:$I$158)</f>
        <v>0</v>
      </c>
      <c r="O15" s="161">
        <f>SUMIF('F4'!$E$12:$E$158,D15,'F4'!$J$12:$J$158)</f>
        <v>0</v>
      </c>
      <c r="P15" s="101"/>
      <c r="Q15" s="161">
        <f>L15+O15-N15</f>
        <v>561830500</v>
      </c>
      <c r="R15" s="101">
        <v>0</v>
      </c>
      <c r="S15" s="161">
        <v>0</v>
      </c>
      <c r="T15" s="101">
        <v>0</v>
      </c>
      <c r="U15" s="1231"/>
      <c r="V15" s="161">
        <f t="shared" si="1"/>
        <v>-31341750</v>
      </c>
      <c r="W15" s="1244">
        <f t="shared" si="2"/>
        <v>1</v>
      </c>
    </row>
    <row r="16" s="1196" customFormat="1" ht="13.2" spans="2:23">
      <c r="B16" s="1211"/>
      <c r="C16" s="1212"/>
      <c r="D16" s="1212" t="s">
        <v>12875</v>
      </c>
      <c r="E16" s="5177" t="s">
        <v>12876</v>
      </c>
      <c r="F16" s="101">
        <v>120000000</v>
      </c>
      <c r="G16" s="135"/>
      <c r="H16" s="161">
        <f>SUMIF('F4'!$E$12:$E$158,D16,'F4'!$G$12:$G$158)</f>
        <v>0</v>
      </c>
      <c r="I16" s="161">
        <f>SUMIF('F4'!$E$12:$E$158,D16,'F4'!$H$12:$H$158)</f>
        <v>0</v>
      </c>
      <c r="J16" s="135"/>
      <c r="K16" s="101">
        <f t="shared" si="0"/>
        <v>120000000</v>
      </c>
      <c r="L16" s="161">
        <v>0</v>
      </c>
      <c r="M16" s="329"/>
      <c r="N16" s="161">
        <f>SUMIF('F4'!$E$12:$E$158,D16,'F4'!$I$12:$I$158)</f>
        <v>0</v>
      </c>
      <c r="O16" s="161">
        <f>SUMIF('F4'!$E$12:$E$158,D16,'F4'!$J$12:$J$158)</f>
        <v>0</v>
      </c>
      <c r="P16" s="101"/>
      <c r="Q16" s="161">
        <f>L16+O16-N16</f>
        <v>0</v>
      </c>
      <c r="R16" s="101">
        <v>0</v>
      </c>
      <c r="S16" s="161">
        <v>0</v>
      </c>
      <c r="T16" s="101">
        <v>0</v>
      </c>
      <c r="U16" s="161"/>
      <c r="V16" s="161">
        <f t="shared" si="1"/>
        <v>120000000</v>
      </c>
      <c r="W16" s="1244">
        <f t="shared" si="2"/>
        <v>0</v>
      </c>
    </row>
    <row r="17" s="1196" customFormat="1" ht="13.2" spans="2:23">
      <c r="B17" s="1211"/>
      <c r="C17" s="1212"/>
      <c r="D17" s="290" t="s">
        <v>1245</v>
      </c>
      <c r="E17" s="5177" t="s">
        <v>12877</v>
      </c>
      <c r="F17" s="101">
        <v>94823618</v>
      </c>
      <c r="G17" s="135"/>
      <c r="H17" s="161">
        <f>SUMIF('F4'!$E$12:$E$158,D17,'F4'!$G$12:$G$158)</f>
        <v>0</v>
      </c>
      <c r="I17" s="161">
        <f>SUMIF('F4'!$E$12:$E$158,D17,'F4'!$H$12:$H$158)</f>
        <v>0</v>
      </c>
      <c r="J17" s="135"/>
      <c r="K17" s="101">
        <f t="shared" si="0"/>
        <v>94823618</v>
      </c>
      <c r="L17" s="161">
        <f>+'1021'!F189</f>
        <v>571946940</v>
      </c>
      <c r="M17" s="329"/>
      <c r="N17" s="161">
        <f>SUMIF('F4'!$E$12:$E$158,D17,'F4'!$I$12:$I$158)</f>
        <v>0</v>
      </c>
      <c r="O17" s="161">
        <f>SUMIF('F4'!$E$12:$E$158,D17,'F4'!$J$12:$J$158)</f>
        <v>0</v>
      </c>
      <c r="P17" s="101"/>
      <c r="Q17" s="161">
        <f>L17+O17-N17</f>
        <v>571946940</v>
      </c>
      <c r="R17" s="101">
        <v>663786753</v>
      </c>
      <c r="S17" s="1231">
        <v>740025334</v>
      </c>
      <c r="T17" s="101">
        <v>171370226</v>
      </c>
      <c r="U17" s="161">
        <v>0</v>
      </c>
      <c r="V17" s="161">
        <f t="shared" si="1"/>
        <v>-477123322</v>
      </c>
      <c r="W17" s="1244">
        <f t="shared" si="2"/>
        <v>1</v>
      </c>
    </row>
    <row r="18" s="1196" customFormat="1" ht="13.2" spans="2:23">
      <c r="B18" s="1211"/>
      <c r="C18" s="1212"/>
      <c r="D18" s="1212" t="s">
        <v>12878</v>
      </c>
      <c r="E18" s="5177" t="s">
        <v>12879</v>
      </c>
      <c r="F18" s="101">
        <v>90000000</v>
      </c>
      <c r="G18" s="135"/>
      <c r="H18" s="161">
        <f>SUMIF('F4'!$E$12:$E$158,D18,'F4'!$G$12:$G$158)</f>
        <v>0</v>
      </c>
      <c r="I18" s="161">
        <f>SUMIF('F4'!$E$12:$E$158,D18,'F4'!$H$12:$H$158)</f>
        <v>0</v>
      </c>
      <c r="J18" s="135"/>
      <c r="K18" s="101">
        <f t="shared" si="0"/>
        <v>90000000</v>
      </c>
      <c r="L18" s="161">
        <v>0</v>
      </c>
      <c r="M18" s="329"/>
      <c r="N18" s="161">
        <f>SUMIF('F4'!$E$12:$E$158,D18,'F4'!$I$12:$I$158)</f>
        <v>0</v>
      </c>
      <c r="O18" s="161">
        <f>SUMIF('F4'!$E$12:$E$158,D18,'F4'!$J$12:$J$158)</f>
        <v>0</v>
      </c>
      <c r="P18" s="101"/>
      <c r="Q18" s="161">
        <f t="shared" ref="Q18:Q44" si="3">L18+O18-N18</f>
        <v>0</v>
      </c>
      <c r="R18" s="101">
        <v>0</v>
      </c>
      <c r="S18" s="161">
        <v>0</v>
      </c>
      <c r="T18" s="101">
        <v>0</v>
      </c>
      <c r="U18" s="161"/>
      <c r="V18" s="161">
        <f t="shared" si="1"/>
        <v>90000000</v>
      </c>
      <c r="W18" s="1244">
        <f t="shared" si="2"/>
        <v>0</v>
      </c>
    </row>
    <row r="19" s="1196" customFormat="1" ht="13.2" spans="2:23">
      <c r="B19" s="1211"/>
      <c r="C19" s="1212"/>
      <c r="D19" s="1196" t="s">
        <v>12880</v>
      </c>
      <c r="E19" s="5177" t="s">
        <v>12881</v>
      </c>
      <c r="F19" s="101">
        <v>58250911.7117117</v>
      </c>
      <c r="G19" s="135"/>
      <c r="H19" s="161">
        <f>SUMIF('F4'!$E$12:$E$158,D19,'F4'!$G$12:$G$158)</f>
        <v>0</v>
      </c>
      <c r="I19" s="161">
        <f>SUMIF('F4'!$E$12:$E$158,D19,'F4'!$H$12:$H$158)</f>
        <v>0</v>
      </c>
      <c r="J19" s="135"/>
      <c r="K19" s="101">
        <f t="shared" si="0"/>
        <v>58250911.7117117</v>
      </c>
      <c r="L19" s="161">
        <v>0</v>
      </c>
      <c r="M19" s="329"/>
      <c r="N19" s="161">
        <f>SUMIF('F4'!$E$12:$E$158,D19,'F4'!$I$12:$I$158)</f>
        <v>0</v>
      </c>
      <c r="O19" s="161">
        <f>SUMIF('F4'!$E$12:$E$158,D19,'F4'!$J$12:$J$158)</f>
        <v>0</v>
      </c>
      <c r="P19" s="101"/>
      <c r="Q19" s="161">
        <f t="shared" si="3"/>
        <v>0</v>
      </c>
      <c r="R19" s="101">
        <v>0</v>
      </c>
      <c r="S19" s="161">
        <v>0</v>
      </c>
      <c r="T19" s="101">
        <v>0</v>
      </c>
      <c r="U19" s="161"/>
      <c r="V19" s="161">
        <f t="shared" si="1"/>
        <v>58250911.7117117</v>
      </c>
      <c r="W19" s="1244">
        <f t="shared" si="2"/>
        <v>0</v>
      </c>
    </row>
    <row r="20" s="1196" customFormat="1" ht="13.2" spans="2:23">
      <c r="B20" s="1211"/>
      <c r="C20" s="1212"/>
      <c r="D20" s="1212" t="s">
        <v>1809</v>
      </c>
      <c r="E20" s="5177" t="s">
        <v>12882</v>
      </c>
      <c r="F20" s="101">
        <v>0</v>
      </c>
      <c r="G20" s="135"/>
      <c r="H20" s="161">
        <f>SUMIF('F4'!$E$12:$E$158,D20,'F4'!$G$12:$G$158)</f>
        <v>0</v>
      </c>
      <c r="I20" s="161">
        <f>SUMIF('F4'!$E$12:$E$158,D20,'F4'!$H$12:$H$158)</f>
        <v>0</v>
      </c>
      <c r="J20" s="135"/>
      <c r="K20" s="101">
        <f t="shared" si="0"/>
        <v>0</v>
      </c>
      <c r="L20" s="161">
        <f>+'1021'!F191</f>
        <v>175150000</v>
      </c>
      <c r="M20" s="329"/>
      <c r="N20" s="161">
        <f>SUMIF('F4'!$E$12:$E$158,D20,'F4'!$I$12:$I$158)</f>
        <v>0</v>
      </c>
      <c r="O20" s="161">
        <f>SUMIF('F4'!$E$12:$E$158,D20,'F4'!$J$12:$J$158)</f>
        <v>0</v>
      </c>
      <c r="P20" s="101"/>
      <c r="Q20" s="161">
        <f t="shared" si="3"/>
        <v>175150000</v>
      </c>
      <c r="R20" s="101">
        <v>808710918</v>
      </c>
      <c r="S20" s="1231">
        <v>589000000</v>
      </c>
      <c r="T20" s="101">
        <v>768000000</v>
      </c>
      <c r="U20" s="161">
        <v>0</v>
      </c>
      <c r="V20" s="161">
        <f t="shared" si="1"/>
        <v>-175150000</v>
      </c>
      <c r="W20" s="1244">
        <f t="shared" si="2"/>
        <v>1</v>
      </c>
    </row>
    <row r="21" s="1196" customFormat="1" ht="13.2" spans="2:23">
      <c r="B21" s="1211"/>
      <c r="C21" s="1212"/>
      <c r="D21" s="1212" t="s">
        <v>12883</v>
      </c>
      <c r="E21" s="5177" t="s">
        <v>12884</v>
      </c>
      <c r="F21" s="101">
        <v>0</v>
      </c>
      <c r="G21" s="135"/>
      <c r="H21" s="161">
        <f>SUMIF('F4'!$E$12:$E$158,D21,'F4'!$G$12:$G$158)</f>
        <v>0</v>
      </c>
      <c r="I21" s="161">
        <f>SUMIF('F4'!$E$12:$E$158,D21,'F4'!$H$12:$H$158)</f>
        <v>0</v>
      </c>
      <c r="J21" s="135"/>
      <c r="K21" s="101">
        <f t="shared" si="0"/>
        <v>0</v>
      </c>
      <c r="L21" s="161">
        <v>138687500</v>
      </c>
      <c r="M21" s="329"/>
      <c r="N21" s="161">
        <f>SUMIF('F4'!$E$12:$E$158,D21,'F4'!$I$12:$I$158)</f>
        <v>0</v>
      </c>
      <c r="O21" s="161">
        <f>SUMIF('F4'!$E$12:$E$158,D21,'F4'!$J$12:$J$158)</f>
        <v>0</v>
      </c>
      <c r="P21" s="101"/>
      <c r="Q21" s="161">
        <f t="shared" si="3"/>
        <v>138687500</v>
      </c>
      <c r="R21" s="101">
        <v>0</v>
      </c>
      <c r="S21" s="161">
        <v>0</v>
      </c>
      <c r="T21" s="101">
        <v>0</v>
      </c>
      <c r="U21" s="161">
        <v>0</v>
      </c>
      <c r="V21" s="161">
        <f t="shared" si="1"/>
        <v>-138687500</v>
      </c>
      <c r="W21" s="1244">
        <f t="shared" si="2"/>
        <v>1</v>
      </c>
    </row>
    <row r="22" s="1196" customFormat="1" ht="13.2" spans="2:23">
      <c r="B22" s="1211"/>
      <c r="C22" s="1212"/>
      <c r="D22" s="1212" t="s">
        <v>1248</v>
      </c>
      <c r="E22" s="5177" t="s">
        <v>12885</v>
      </c>
      <c r="F22" s="101">
        <v>0</v>
      </c>
      <c r="G22" s="135"/>
      <c r="H22" s="161">
        <f>SUMIF('F4'!$E$12:$E$158,D22,'F4'!$G$12:$G$158)</f>
        <v>0</v>
      </c>
      <c r="I22" s="161">
        <f>SUMIF('F4'!$E$12:$E$158,D22,'F4'!$H$12:$H$158)</f>
        <v>0</v>
      </c>
      <c r="J22" s="135"/>
      <c r="K22" s="101">
        <f t="shared" si="0"/>
        <v>0</v>
      </c>
      <c r="L22" s="161">
        <f>+'1021'!F193</f>
        <v>8375000</v>
      </c>
      <c r="M22" s="329"/>
      <c r="N22" s="161">
        <f>SUMIF('F4'!$E$12:$E$158,D22,'F4'!$I$12:$I$158)</f>
        <v>0</v>
      </c>
      <c r="O22" s="161">
        <f>SUMIF('F4'!$E$12:$E$158,D22,'F4'!$J$12:$J$158)</f>
        <v>0</v>
      </c>
      <c r="P22" s="101"/>
      <c r="Q22" s="161">
        <f t="shared" si="3"/>
        <v>8375000</v>
      </c>
      <c r="R22" s="101">
        <v>159125000</v>
      </c>
      <c r="S22" s="161">
        <v>0</v>
      </c>
      <c r="T22" s="101">
        <v>0</v>
      </c>
      <c r="U22" s="161">
        <v>0</v>
      </c>
      <c r="V22" s="161">
        <f t="shared" si="1"/>
        <v>-8375000</v>
      </c>
      <c r="W22" s="1244">
        <f t="shared" si="2"/>
        <v>1</v>
      </c>
    </row>
    <row r="23" s="1196" customFormat="1" ht="13.2" spans="2:23">
      <c r="B23" s="1211"/>
      <c r="C23" s="1212"/>
      <c r="D23" s="1196" t="s">
        <v>12886</v>
      </c>
      <c r="E23" s="135"/>
      <c r="F23" s="101">
        <v>0</v>
      </c>
      <c r="G23" s="135"/>
      <c r="H23" s="161">
        <f>SUMIF('F4'!$E$12:$E$158,D23,'F4'!$G$12:$G$158)</f>
        <v>0</v>
      </c>
      <c r="I23" s="161">
        <f>SUMIF('F4'!$E$12:$E$158,D23,'F4'!$H$12:$H$158)</f>
        <v>0</v>
      </c>
      <c r="J23" s="135"/>
      <c r="K23" s="101">
        <f t="shared" si="0"/>
        <v>0</v>
      </c>
      <c r="L23" s="161">
        <v>0</v>
      </c>
      <c r="M23" s="329"/>
      <c r="N23" s="161">
        <f>SUMIF('F4'!$E$12:$E$158,D23,'F4'!$I$12:$I$158)</f>
        <v>0</v>
      </c>
      <c r="O23" s="161">
        <f>SUMIF('F4'!$E$12:$E$158,D23,'F4'!$J$12:$J$158)</f>
        <v>0</v>
      </c>
      <c r="P23" s="101"/>
      <c r="Q23" s="161">
        <f t="shared" si="3"/>
        <v>0</v>
      </c>
      <c r="R23" s="101">
        <v>2840349929</v>
      </c>
      <c r="S23" s="161">
        <v>0</v>
      </c>
      <c r="T23" s="101">
        <v>2840349929</v>
      </c>
      <c r="U23" s="161">
        <v>2840349929</v>
      </c>
      <c r="V23" s="161">
        <f t="shared" si="1"/>
        <v>0</v>
      </c>
      <c r="W23" s="1244">
        <f t="shared" si="2"/>
        <v>0</v>
      </c>
    </row>
    <row r="24" s="1196" customFormat="1" ht="13.2" spans="2:23">
      <c r="B24" s="1211"/>
      <c r="C24" s="1212"/>
      <c r="D24" s="290" t="s">
        <v>12887</v>
      </c>
      <c r="E24" s="310"/>
      <c r="F24" s="101">
        <v>0</v>
      </c>
      <c r="G24" s="135"/>
      <c r="H24" s="161">
        <f>SUMIF('F4'!$E$12:$E$158,D24,'F4'!$G$12:$G$158)</f>
        <v>0</v>
      </c>
      <c r="I24" s="161">
        <f>SUMIF('F4'!$E$12:$E$158,D24,'F4'!$H$12:$H$158)</f>
        <v>0</v>
      </c>
      <c r="J24" s="135"/>
      <c r="K24" s="101">
        <f t="shared" si="0"/>
        <v>0</v>
      </c>
      <c r="L24" s="161">
        <v>0</v>
      </c>
      <c r="M24" s="329"/>
      <c r="N24" s="161">
        <f>SUMIF('F4'!$E$12:$E$158,D24,'F4'!$I$12:$I$158)</f>
        <v>0</v>
      </c>
      <c r="O24" s="161">
        <f>SUMIF('F4'!$E$12:$E$158,D24,'F4'!$J$12:$J$158)</f>
        <v>0</v>
      </c>
      <c r="P24" s="101"/>
      <c r="Q24" s="161">
        <f t="shared" si="3"/>
        <v>0</v>
      </c>
      <c r="R24" s="101">
        <v>668800000</v>
      </c>
      <c r="S24" s="1231">
        <v>82000000</v>
      </c>
      <c r="T24" s="101">
        <v>80256000</v>
      </c>
      <c r="U24" s="161">
        <v>0</v>
      </c>
      <c r="V24" s="161">
        <f t="shared" si="1"/>
        <v>0</v>
      </c>
      <c r="W24" s="1244">
        <f t="shared" si="2"/>
        <v>0</v>
      </c>
    </row>
    <row r="25" s="1196" customFormat="1" ht="13.2" spans="2:23">
      <c r="B25" s="1211"/>
      <c r="C25" s="1212"/>
      <c r="D25" s="1196" t="s">
        <v>1247</v>
      </c>
      <c r="E25" s="1214"/>
      <c r="F25" s="101">
        <v>0</v>
      </c>
      <c r="G25" s="135"/>
      <c r="H25" s="161">
        <f>SUMIF('F4'!$E$12:$E$158,D25,'F4'!$G$12:$G$158)</f>
        <v>0</v>
      </c>
      <c r="I25" s="161">
        <f>SUMIF('F4'!$E$12:$E$158,D25,'F4'!$H$12:$H$158)</f>
        <v>0</v>
      </c>
      <c r="J25" s="135"/>
      <c r="K25" s="101">
        <f t="shared" si="0"/>
        <v>0</v>
      </c>
      <c r="L25" s="161">
        <v>0</v>
      </c>
      <c r="M25" s="329"/>
      <c r="N25" s="161">
        <f>SUMIF('F4'!$E$12:$E$158,D25,'F4'!$I$12:$I$158)</f>
        <v>0</v>
      </c>
      <c r="O25" s="161">
        <f>SUMIF('F4'!$E$12:$E$158,D25,'F4'!$J$12:$J$158)</f>
        <v>0</v>
      </c>
      <c r="P25" s="101"/>
      <c r="Q25" s="161">
        <f t="shared" si="3"/>
        <v>0</v>
      </c>
      <c r="R25" s="101">
        <v>226644444</v>
      </c>
      <c r="S25" s="1231">
        <v>1402727444</v>
      </c>
      <c r="T25" s="101">
        <v>662022222</v>
      </c>
      <c r="U25" s="161">
        <v>0</v>
      </c>
      <c r="V25" s="161">
        <f t="shared" si="1"/>
        <v>0</v>
      </c>
      <c r="W25" s="1244">
        <f t="shared" si="2"/>
        <v>0</v>
      </c>
    </row>
    <row r="26" s="1196" customFormat="1" ht="13.2" spans="2:23">
      <c r="B26" s="1211"/>
      <c r="C26" s="1212"/>
      <c r="D26" s="290" t="s">
        <v>12888</v>
      </c>
      <c r="E26" s="310"/>
      <c r="F26" s="101">
        <v>0</v>
      </c>
      <c r="G26" s="135"/>
      <c r="H26" s="161">
        <f>SUMIF('F4'!$E$12:$E$158,D26,'F4'!$G$12:$G$158)</f>
        <v>0</v>
      </c>
      <c r="I26" s="161">
        <f>SUMIF('F4'!$E$12:$E$158,D26,'F4'!$H$12:$H$158)</f>
        <v>0</v>
      </c>
      <c r="J26" s="135"/>
      <c r="K26" s="101">
        <f t="shared" si="0"/>
        <v>0</v>
      </c>
      <c r="L26" s="161">
        <v>0</v>
      </c>
      <c r="M26" s="329"/>
      <c r="N26" s="161">
        <f>SUMIF('F4'!$E$12:$E$158,D26,'F4'!$I$12:$I$158)</f>
        <v>0</v>
      </c>
      <c r="O26" s="161">
        <f>SUMIF('F4'!$E$12:$E$158,D26,'F4'!$J$12:$J$158)</f>
        <v>0</v>
      </c>
      <c r="P26" s="101"/>
      <c r="Q26" s="161">
        <f t="shared" si="3"/>
        <v>0</v>
      </c>
      <c r="R26" s="101">
        <v>199629461</v>
      </c>
      <c r="S26" s="1231">
        <v>548583892</v>
      </c>
      <c r="T26" s="101">
        <v>523402558</v>
      </c>
      <c r="U26" s="161">
        <v>0</v>
      </c>
      <c r="V26" s="161">
        <f t="shared" si="1"/>
        <v>0</v>
      </c>
      <c r="W26" s="1244">
        <f t="shared" si="2"/>
        <v>0</v>
      </c>
    </row>
    <row r="27" s="1196" customFormat="1" ht="13.2" spans="2:23">
      <c r="B27" s="1211"/>
      <c r="C27" s="1212"/>
      <c r="D27" s="290" t="s">
        <v>12889</v>
      </c>
      <c r="E27" s="310"/>
      <c r="F27" s="101">
        <v>0</v>
      </c>
      <c r="G27" s="135"/>
      <c r="H27" s="161">
        <f>SUMIF('F4'!$E$12:$E$158,D27,'F4'!$G$12:$G$158)</f>
        <v>0</v>
      </c>
      <c r="I27" s="161">
        <f>SUMIF('F4'!$E$12:$E$158,D27,'F4'!$H$12:$H$158)</f>
        <v>0</v>
      </c>
      <c r="J27" s="135"/>
      <c r="K27" s="101">
        <f t="shared" si="0"/>
        <v>0</v>
      </c>
      <c r="L27" s="161">
        <v>0</v>
      </c>
      <c r="M27" s="329"/>
      <c r="N27" s="161">
        <f>SUMIF('F4'!$E$12:$E$158,D27,'F4'!$I$12:$I$158)</f>
        <v>0</v>
      </c>
      <c r="O27" s="161">
        <f>SUMIF('F4'!$E$12:$E$158,D27,'F4'!$J$12:$J$158)</f>
        <v>0</v>
      </c>
      <c r="P27" s="101"/>
      <c r="Q27" s="161">
        <f t="shared" si="3"/>
        <v>0</v>
      </c>
      <c r="R27" s="101">
        <v>32000000</v>
      </c>
      <c r="S27" s="1231">
        <v>128000000</v>
      </c>
      <c r="T27" s="1212">
        <v>352000000</v>
      </c>
      <c r="U27" s="161">
        <v>0</v>
      </c>
      <c r="V27" s="161">
        <f t="shared" si="1"/>
        <v>0</v>
      </c>
      <c r="W27" s="1244">
        <f t="shared" si="2"/>
        <v>0</v>
      </c>
    </row>
    <row r="28" s="1196" customFormat="1" ht="13.2" spans="2:23">
      <c r="B28" s="1211"/>
      <c r="C28" s="1212"/>
      <c r="D28" s="290" t="s">
        <v>12890</v>
      </c>
      <c r="E28" s="310"/>
      <c r="F28" s="101">
        <v>0</v>
      </c>
      <c r="G28" s="135"/>
      <c r="H28" s="161">
        <f>SUMIF('F4'!$E$12:$E$158,D28,'F4'!$G$12:$G$158)</f>
        <v>0</v>
      </c>
      <c r="I28" s="161">
        <f>SUMIF('F4'!$E$12:$E$158,D28,'F4'!$H$12:$H$158)</f>
        <v>0</v>
      </c>
      <c r="J28" s="135"/>
      <c r="K28" s="101">
        <f t="shared" si="0"/>
        <v>0</v>
      </c>
      <c r="L28" s="161">
        <v>0</v>
      </c>
      <c r="M28" s="329"/>
      <c r="N28" s="161">
        <f>SUMIF('F4'!$E$12:$E$158,D28,'F4'!$I$12:$I$158)</f>
        <v>0</v>
      </c>
      <c r="O28" s="161">
        <f>SUMIF('F4'!$E$12:$E$158,D28,'F4'!$J$12:$J$158)</f>
        <v>0</v>
      </c>
      <c r="P28" s="101"/>
      <c r="Q28" s="161">
        <f t="shared" si="3"/>
        <v>0</v>
      </c>
      <c r="R28" s="101">
        <v>3437500</v>
      </c>
      <c r="S28" s="1231">
        <v>51632500</v>
      </c>
      <c r="T28" s="101">
        <v>327500000</v>
      </c>
      <c r="U28" s="161">
        <v>0</v>
      </c>
      <c r="V28" s="161">
        <f t="shared" si="1"/>
        <v>0</v>
      </c>
      <c r="W28" s="1244">
        <f t="shared" si="2"/>
        <v>0</v>
      </c>
    </row>
    <row r="29" s="1196" customFormat="1" ht="13.2" spans="2:23">
      <c r="B29" s="1211"/>
      <c r="C29" s="1212"/>
      <c r="D29" s="1196" t="s">
        <v>12891</v>
      </c>
      <c r="E29" s="135"/>
      <c r="F29" s="101">
        <v>0</v>
      </c>
      <c r="G29" s="135"/>
      <c r="H29" s="161">
        <f>SUMIF('F4'!$E$12:$E$158,D29,'F4'!$G$12:$G$158)</f>
        <v>0</v>
      </c>
      <c r="I29" s="161">
        <f>SUMIF('F4'!$E$12:$E$158,D29,'F4'!$H$12:$H$158)</f>
        <v>0</v>
      </c>
      <c r="J29" s="135"/>
      <c r="K29" s="101">
        <f t="shared" si="0"/>
        <v>0</v>
      </c>
      <c r="L29" s="161">
        <v>0</v>
      </c>
      <c r="M29" s="329"/>
      <c r="N29" s="161">
        <f>SUMIF('F4'!$E$12:$E$158,D29,'F4'!$I$12:$I$158)</f>
        <v>0</v>
      </c>
      <c r="O29" s="161">
        <f>SUMIF('F4'!$E$12:$E$158,D29,'F4'!$J$12:$J$158)</f>
        <v>0</v>
      </c>
      <c r="P29" s="101"/>
      <c r="Q29" s="161">
        <f t="shared" si="3"/>
        <v>0</v>
      </c>
      <c r="R29" s="101">
        <v>3437500</v>
      </c>
      <c r="S29" s="1231">
        <v>39132500</v>
      </c>
      <c r="T29" s="101">
        <v>0</v>
      </c>
      <c r="U29" s="161">
        <v>0</v>
      </c>
      <c r="V29" s="161">
        <f t="shared" si="1"/>
        <v>0</v>
      </c>
      <c r="W29" s="1244">
        <f t="shared" si="2"/>
        <v>0</v>
      </c>
    </row>
    <row r="30" s="1196" customFormat="1" ht="13.2" spans="2:23">
      <c r="B30" s="1211"/>
      <c r="C30" s="1212"/>
      <c r="D30" s="1212" t="s">
        <v>12892</v>
      </c>
      <c r="E30" s="135">
        <v>111</v>
      </c>
      <c r="F30" s="101">
        <v>0</v>
      </c>
      <c r="G30" s="135"/>
      <c r="H30" s="161">
        <f>SUMIF('F4'!$E$12:$E$158,D30,'F4'!$G$12:$G$158)</f>
        <v>0</v>
      </c>
      <c r="I30" s="161">
        <f>SUMIF('F4'!$E$12:$E$158,D30,'F4'!$H$12:$H$158)</f>
        <v>0</v>
      </c>
      <c r="J30" s="135"/>
      <c r="K30" s="101">
        <f t="shared" si="0"/>
        <v>0</v>
      </c>
      <c r="L30" s="161">
        <v>0</v>
      </c>
      <c r="M30" s="329"/>
      <c r="N30" s="161">
        <f>SUMIF('F4'!$E$12:$E$158,D30,'F4'!$I$12:$I$158)</f>
        <v>0</v>
      </c>
      <c r="O30" s="161">
        <f>SUMIF('F4'!$E$12:$E$158,D30,'F4'!$J$12:$J$158)</f>
        <v>0</v>
      </c>
      <c r="P30" s="101"/>
      <c r="Q30" s="161">
        <f t="shared" si="3"/>
        <v>0</v>
      </c>
      <c r="R30" s="101">
        <v>0</v>
      </c>
      <c r="S30" s="1231">
        <v>1092803053</v>
      </c>
      <c r="T30" s="101">
        <v>1927832348</v>
      </c>
      <c r="U30" s="161">
        <v>0</v>
      </c>
      <c r="V30" s="161">
        <f t="shared" si="1"/>
        <v>0</v>
      </c>
      <c r="W30" s="1244">
        <f t="shared" si="2"/>
        <v>0</v>
      </c>
    </row>
    <row r="31" s="1196" customFormat="1" ht="13.2" hidden="1" spans="2:23">
      <c r="B31" s="1211"/>
      <c r="C31" s="1212"/>
      <c r="D31" s="290" t="s">
        <v>12893</v>
      </c>
      <c r="E31" s="310"/>
      <c r="F31" s="101">
        <v>0</v>
      </c>
      <c r="G31" s="135"/>
      <c r="H31" s="161">
        <f>SUMIF('F4'!$E$12:$E$158,D31,'F4'!$G$12:$G$158)</f>
        <v>0</v>
      </c>
      <c r="I31" s="161">
        <f>SUMIF('F4'!$E$12:$E$158,D31,'F4'!$H$12:$H$158)</f>
        <v>0</v>
      </c>
      <c r="J31" s="135"/>
      <c r="K31" s="101">
        <f t="shared" ref="K31:K44" si="4">+F31+H31-I31</f>
        <v>0</v>
      </c>
      <c r="L31" s="161">
        <v>0</v>
      </c>
      <c r="M31" s="329"/>
      <c r="N31" s="161">
        <f>SUMIF('F4'!$E$12:$E$158,D31,'F4'!$I$12:$I$158)</f>
        <v>0</v>
      </c>
      <c r="O31" s="161">
        <f>SUMIF('F4'!$E$12:$E$158,D31,'F4'!$J$12:$J$158)</f>
        <v>0</v>
      </c>
      <c r="P31" s="101"/>
      <c r="Q31" s="161">
        <f t="shared" si="3"/>
        <v>0</v>
      </c>
      <c r="R31" s="101">
        <v>0</v>
      </c>
      <c r="S31" s="1231">
        <v>636151596</v>
      </c>
      <c r="T31" s="101">
        <v>0</v>
      </c>
      <c r="U31" s="161">
        <v>0</v>
      </c>
      <c r="V31" s="161">
        <f t="shared" si="1"/>
        <v>0</v>
      </c>
      <c r="W31" s="1244">
        <f t="shared" si="2"/>
        <v>0</v>
      </c>
    </row>
    <row r="32" s="1196" customFormat="1" ht="13.2" hidden="1" spans="2:23">
      <c r="B32" s="1211"/>
      <c r="C32" s="1212"/>
      <c r="D32" s="1196" t="s">
        <v>1248</v>
      </c>
      <c r="E32" s="135"/>
      <c r="F32" s="101">
        <v>0</v>
      </c>
      <c r="G32" s="135"/>
      <c r="H32" s="161">
        <f>SUMIF('F4'!$E$12:$E$158,D32,'F4'!$G$12:$G$158)</f>
        <v>0</v>
      </c>
      <c r="I32" s="161">
        <f>SUMIF('F4'!$E$12:$E$158,D32,'F4'!$H$12:$H$158)</f>
        <v>0</v>
      </c>
      <c r="J32" s="135"/>
      <c r="K32" s="101">
        <f t="shared" si="4"/>
        <v>0</v>
      </c>
      <c r="L32" s="161">
        <v>0</v>
      </c>
      <c r="M32" s="329"/>
      <c r="N32" s="161">
        <f>SUMIF('F4'!$E$12:$E$158,D32,'F4'!$I$12:$I$158)</f>
        <v>0</v>
      </c>
      <c r="O32" s="161">
        <f>SUMIF('F4'!$E$12:$E$158,D32,'F4'!$J$12:$J$158)</f>
        <v>0</v>
      </c>
      <c r="P32" s="101"/>
      <c r="Q32" s="161">
        <f t="shared" si="3"/>
        <v>0</v>
      </c>
      <c r="R32" s="101">
        <v>0</v>
      </c>
      <c r="S32" s="1231">
        <v>482300000</v>
      </c>
      <c r="T32" s="101">
        <v>522100000</v>
      </c>
      <c r="U32" s="161">
        <v>0</v>
      </c>
      <c r="V32" s="161">
        <f t="shared" si="1"/>
        <v>0</v>
      </c>
      <c r="W32" s="1244">
        <f t="shared" si="2"/>
        <v>0</v>
      </c>
    </row>
    <row r="33" s="1196" customFormat="1" ht="13.2" hidden="1" spans="2:23">
      <c r="B33" s="1211"/>
      <c r="C33" s="1212"/>
      <c r="D33" s="1196" t="s">
        <v>12894</v>
      </c>
      <c r="E33" s="135"/>
      <c r="F33" s="101">
        <v>0</v>
      </c>
      <c r="G33" s="135"/>
      <c r="H33" s="161">
        <f>SUMIF('F4'!$E$12:$E$158,D33,'F4'!$G$12:$G$158)</f>
        <v>0</v>
      </c>
      <c r="I33" s="161">
        <f>SUMIF('F4'!$E$12:$E$158,D33,'F4'!$H$12:$H$158)</f>
        <v>0</v>
      </c>
      <c r="J33" s="135"/>
      <c r="K33" s="101">
        <f t="shared" si="4"/>
        <v>0</v>
      </c>
      <c r="L33" s="161">
        <v>0</v>
      </c>
      <c r="M33" s="329"/>
      <c r="N33" s="161">
        <f>SUMIF('F4'!$E$12:$E$158,D33,'F4'!$I$12:$I$158)</f>
        <v>0</v>
      </c>
      <c r="O33" s="161">
        <f>SUMIF('F4'!$E$12:$E$158,D33,'F4'!$J$12:$J$158)</f>
        <v>0</v>
      </c>
      <c r="P33" s="101"/>
      <c r="Q33" s="161">
        <f t="shared" si="3"/>
        <v>0</v>
      </c>
      <c r="R33" s="101">
        <v>0</v>
      </c>
      <c r="S33" s="1231">
        <v>231000000</v>
      </c>
      <c r="T33" s="101">
        <v>141000000</v>
      </c>
      <c r="U33" s="161">
        <v>0</v>
      </c>
      <c r="V33" s="161">
        <f t="shared" si="1"/>
        <v>0</v>
      </c>
      <c r="W33" s="1244">
        <f t="shared" si="2"/>
        <v>0</v>
      </c>
    </row>
    <row r="34" s="1196" customFormat="1" ht="13.2" hidden="1" spans="2:23">
      <c r="B34" s="1211"/>
      <c r="C34" s="1212"/>
      <c r="D34" s="290" t="s">
        <v>12895</v>
      </c>
      <c r="E34" s="310"/>
      <c r="F34" s="101">
        <v>0</v>
      </c>
      <c r="G34" s="135"/>
      <c r="H34" s="161">
        <f>SUMIF('F4'!$E$12:$E$158,D34,'F4'!$G$12:$G$158)</f>
        <v>0</v>
      </c>
      <c r="I34" s="161">
        <f>SUMIF('F4'!$E$12:$E$158,D34,'F4'!$H$12:$H$158)</f>
        <v>0</v>
      </c>
      <c r="J34" s="135"/>
      <c r="K34" s="101">
        <f t="shared" si="4"/>
        <v>0</v>
      </c>
      <c r="L34" s="161">
        <v>0</v>
      </c>
      <c r="M34" s="329"/>
      <c r="N34" s="161">
        <f>SUMIF('F4'!$E$12:$E$158,D34,'F4'!$I$12:$I$158)</f>
        <v>0</v>
      </c>
      <c r="O34" s="161">
        <f>SUMIF('F4'!$E$12:$E$158,D34,'F4'!$J$12:$J$158)</f>
        <v>0</v>
      </c>
      <c r="P34" s="101"/>
      <c r="Q34" s="161">
        <f t="shared" si="3"/>
        <v>0</v>
      </c>
      <c r="R34" s="101">
        <v>0</v>
      </c>
      <c r="S34" s="1231">
        <v>224000000</v>
      </c>
      <c r="T34" s="101">
        <v>176000000</v>
      </c>
      <c r="U34" s="161">
        <v>0</v>
      </c>
      <c r="V34" s="161">
        <f t="shared" si="1"/>
        <v>0</v>
      </c>
      <c r="W34" s="1244">
        <f t="shared" si="2"/>
        <v>0</v>
      </c>
    </row>
    <row r="35" s="1196" customFormat="1" ht="13.2" hidden="1" spans="2:23">
      <c r="B35" s="1211"/>
      <c r="C35" s="1212"/>
      <c r="D35" s="290" t="s">
        <v>12896</v>
      </c>
      <c r="E35" s="310"/>
      <c r="F35" s="101">
        <v>0</v>
      </c>
      <c r="G35" s="135"/>
      <c r="H35" s="161">
        <f>SUMIF('F4'!$E$12:$E$158,D35,'F4'!$G$12:$G$158)</f>
        <v>0</v>
      </c>
      <c r="I35" s="161">
        <f>SUMIF('F4'!$E$12:$E$158,D35,'F4'!$H$12:$H$158)</f>
        <v>0</v>
      </c>
      <c r="J35" s="135"/>
      <c r="K35" s="101">
        <f t="shared" si="4"/>
        <v>0</v>
      </c>
      <c r="L35" s="161">
        <v>0</v>
      </c>
      <c r="M35" s="329"/>
      <c r="N35" s="161">
        <f>SUMIF('F4'!$E$12:$E$158,D35,'F4'!$I$12:$I$158)</f>
        <v>0</v>
      </c>
      <c r="O35" s="161">
        <f>SUMIF('F4'!$E$12:$E$158,D35,'F4'!$J$12:$J$158)</f>
        <v>0</v>
      </c>
      <c r="P35" s="101"/>
      <c r="Q35" s="161">
        <f t="shared" si="3"/>
        <v>0</v>
      </c>
      <c r="R35" s="101">
        <v>0</v>
      </c>
      <c r="S35" s="1231">
        <v>87825747</v>
      </c>
      <c r="T35" s="101">
        <v>0</v>
      </c>
      <c r="U35" s="161">
        <v>0</v>
      </c>
      <c r="V35" s="161">
        <f t="shared" si="1"/>
        <v>0</v>
      </c>
      <c r="W35" s="1244">
        <f t="shared" si="2"/>
        <v>0</v>
      </c>
    </row>
    <row r="36" s="1196" customFormat="1" ht="13.2" hidden="1" spans="2:23">
      <c r="B36" s="1211"/>
      <c r="C36" s="1212"/>
      <c r="D36" s="1196" t="s">
        <v>12897</v>
      </c>
      <c r="E36" s="135"/>
      <c r="F36" s="101">
        <v>0</v>
      </c>
      <c r="G36" s="135"/>
      <c r="H36" s="161">
        <f>SUMIF('F4'!$E$12:$E$158,D36,'F4'!$G$12:$G$158)</f>
        <v>0</v>
      </c>
      <c r="I36" s="161">
        <f>SUMIF('F4'!$E$12:$E$158,D36,'F4'!$H$12:$H$158)</f>
        <v>0</v>
      </c>
      <c r="J36" s="135"/>
      <c r="K36" s="101">
        <f t="shared" si="4"/>
        <v>0</v>
      </c>
      <c r="L36" s="161">
        <v>0</v>
      </c>
      <c r="M36" s="329"/>
      <c r="N36" s="161">
        <f>SUMIF('F4'!$E$12:$E$158,D36,'F4'!$I$12:$I$158)</f>
        <v>0</v>
      </c>
      <c r="O36" s="161">
        <f>SUMIF('F4'!$E$12:$E$158,D36,'F4'!$J$12:$J$158)</f>
        <v>0</v>
      </c>
      <c r="P36" s="101"/>
      <c r="Q36" s="161">
        <f t="shared" si="3"/>
        <v>0</v>
      </c>
      <c r="R36" s="101">
        <v>0</v>
      </c>
      <c r="S36" s="1231">
        <v>60000000</v>
      </c>
      <c r="T36" s="101">
        <v>0</v>
      </c>
      <c r="U36" s="161">
        <v>0</v>
      </c>
      <c r="V36" s="161">
        <f t="shared" si="1"/>
        <v>0</v>
      </c>
      <c r="W36" s="1244">
        <f t="shared" si="2"/>
        <v>0</v>
      </c>
    </row>
    <row r="37" s="1196" customFormat="1" ht="13.2" hidden="1" spans="2:23">
      <c r="B37" s="1211"/>
      <c r="C37" s="1212"/>
      <c r="D37" s="1196" t="s">
        <v>12898</v>
      </c>
      <c r="E37" s="135"/>
      <c r="F37" s="101">
        <v>0</v>
      </c>
      <c r="G37" s="135"/>
      <c r="H37" s="161">
        <f>SUMIF('F4'!$E$12:$E$158,D37,'F4'!$G$12:$G$158)</f>
        <v>0</v>
      </c>
      <c r="I37" s="161">
        <f>SUMIF('F4'!$E$12:$E$158,D37,'F4'!$H$12:$H$158)</f>
        <v>0</v>
      </c>
      <c r="J37" s="135"/>
      <c r="K37" s="101">
        <f t="shared" si="4"/>
        <v>0</v>
      </c>
      <c r="L37" s="161">
        <v>0</v>
      </c>
      <c r="M37" s="329"/>
      <c r="N37" s="161">
        <f>SUMIF('F4'!$E$12:$E$158,D37,'F4'!$I$12:$I$158)</f>
        <v>0</v>
      </c>
      <c r="O37" s="161">
        <f>SUMIF('F4'!$E$12:$E$158,D37,'F4'!$J$12:$J$158)</f>
        <v>0</v>
      </c>
      <c r="P37" s="101"/>
      <c r="Q37" s="161">
        <f t="shared" si="3"/>
        <v>0</v>
      </c>
      <c r="R37" s="101">
        <v>0</v>
      </c>
      <c r="S37" s="1231">
        <v>47505000</v>
      </c>
      <c r="T37" s="101">
        <v>0</v>
      </c>
      <c r="U37" s="161">
        <v>0</v>
      </c>
      <c r="V37" s="161">
        <f t="shared" si="1"/>
        <v>0</v>
      </c>
      <c r="W37" s="1244">
        <f t="shared" si="2"/>
        <v>0</v>
      </c>
    </row>
    <row r="38" s="1196" customFormat="1" ht="13.2" hidden="1" spans="2:23">
      <c r="B38" s="1211"/>
      <c r="C38" s="1212"/>
      <c r="D38" s="1196" t="s">
        <v>12899</v>
      </c>
      <c r="E38" s="135"/>
      <c r="F38" s="101">
        <v>0</v>
      </c>
      <c r="G38" s="135"/>
      <c r="H38" s="161">
        <f>SUMIF('F4'!$E$12:$E$158,D38,'F4'!$G$12:$G$158)</f>
        <v>0</v>
      </c>
      <c r="I38" s="161">
        <f>SUMIF('F4'!$E$12:$E$158,D38,'F4'!$H$12:$H$158)</f>
        <v>0</v>
      </c>
      <c r="J38" s="135"/>
      <c r="K38" s="101">
        <f t="shared" si="4"/>
        <v>0</v>
      </c>
      <c r="L38" s="161">
        <v>0</v>
      </c>
      <c r="M38" s="329"/>
      <c r="N38" s="161">
        <f>SUMIF('F4'!$E$12:$E$158,D38,'F4'!$I$12:$I$158)</f>
        <v>0</v>
      </c>
      <c r="O38" s="161">
        <f>SUMIF('F4'!$E$12:$E$158,D38,'F4'!$J$12:$J$158)</f>
        <v>0</v>
      </c>
      <c r="P38" s="101"/>
      <c r="Q38" s="161">
        <f t="shared" si="3"/>
        <v>0</v>
      </c>
      <c r="R38" s="101">
        <v>0</v>
      </c>
      <c r="S38" s="1231">
        <v>37851750</v>
      </c>
      <c r="T38" s="101">
        <v>161278250</v>
      </c>
      <c r="U38" s="161">
        <v>0</v>
      </c>
      <c r="V38" s="161">
        <f t="shared" si="1"/>
        <v>0</v>
      </c>
      <c r="W38" s="1244">
        <f t="shared" si="2"/>
        <v>0</v>
      </c>
    </row>
    <row r="39" s="1196" customFormat="1" ht="13.2" hidden="1" spans="2:23">
      <c r="B39" s="1211"/>
      <c r="C39" s="1212"/>
      <c r="D39" s="290" t="s">
        <v>12900</v>
      </c>
      <c r="E39" s="310"/>
      <c r="F39" s="101">
        <v>0</v>
      </c>
      <c r="G39" s="135"/>
      <c r="H39" s="161">
        <f>SUMIF('F4'!$E$12:$E$158,D39,'F4'!$G$12:$G$158)</f>
        <v>0</v>
      </c>
      <c r="I39" s="161">
        <f>SUMIF('F4'!$E$12:$E$158,D39,'F4'!$H$12:$H$158)</f>
        <v>0</v>
      </c>
      <c r="J39" s="135"/>
      <c r="K39" s="101">
        <f t="shared" si="4"/>
        <v>0</v>
      </c>
      <c r="L39" s="161">
        <v>0</v>
      </c>
      <c r="M39" s="329"/>
      <c r="N39" s="161">
        <f>SUMIF('F4'!$E$12:$E$158,D39,'F4'!$I$12:$I$158)</f>
        <v>0</v>
      </c>
      <c r="O39" s="161">
        <f>SUMIF('F4'!$E$12:$E$158,D39,'F4'!$J$12:$J$158)</f>
        <v>0</v>
      </c>
      <c r="P39" s="101"/>
      <c r="Q39" s="161">
        <f t="shared" si="3"/>
        <v>0</v>
      </c>
      <c r="R39" s="101">
        <v>0</v>
      </c>
      <c r="S39" s="161">
        <v>0</v>
      </c>
      <c r="T39" s="101">
        <v>1600000000</v>
      </c>
      <c r="U39" s="161">
        <v>0</v>
      </c>
      <c r="V39" s="161">
        <f t="shared" si="1"/>
        <v>0</v>
      </c>
      <c r="W39" s="1244">
        <f t="shared" si="2"/>
        <v>0</v>
      </c>
    </row>
    <row r="40" s="1196" customFormat="1" ht="13.2" hidden="1" spans="2:23">
      <c r="B40" s="1211"/>
      <c r="C40" s="1212"/>
      <c r="D40" s="290" t="s">
        <v>12901</v>
      </c>
      <c r="E40" s="310"/>
      <c r="F40" s="101">
        <v>0</v>
      </c>
      <c r="G40" s="135"/>
      <c r="H40" s="161">
        <f>SUMIF('F4'!$E$12:$E$158,D40,'F4'!$G$12:$G$158)</f>
        <v>0</v>
      </c>
      <c r="I40" s="161">
        <f>SUMIF('F4'!$E$12:$E$158,D40,'F4'!$H$12:$H$158)</f>
        <v>0</v>
      </c>
      <c r="J40" s="135"/>
      <c r="K40" s="101">
        <f t="shared" si="4"/>
        <v>0</v>
      </c>
      <c r="L40" s="161">
        <v>0</v>
      </c>
      <c r="M40" s="329"/>
      <c r="N40" s="161">
        <f>SUMIF('F4'!$E$12:$E$158,D40,'F4'!$I$12:$I$158)</f>
        <v>0</v>
      </c>
      <c r="O40" s="161">
        <f>SUMIF('F4'!$E$12:$E$158,D40,'F4'!$J$12:$J$158)</f>
        <v>0</v>
      </c>
      <c r="P40" s="101"/>
      <c r="Q40" s="161">
        <f t="shared" si="3"/>
        <v>0</v>
      </c>
      <c r="R40" s="101">
        <v>0</v>
      </c>
      <c r="S40" s="161">
        <v>0</v>
      </c>
      <c r="T40" s="101">
        <v>295983784</v>
      </c>
      <c r="U40" s="161">
        <v>0</v>
      </c>
      <c r="V40" s="161">
        <f t="shared" si="1"/>
        <v>0</v>
      </c>
      <c r="W40" s="1244">
        <f t="shared" si="2"/>
        <v>0</v>
      </c>
    </row>
    <row r="41" s="1196" customFormat="1" ht="13.2" hidden="1" spans="2:23">
      <c r="B41" s="1211"/>
      <c r="C41" s="1212"/>
      <c r="D41" s="290" t="s">
        <v>12902</v>
      </c>
      <c r="E41" s="310"/>
      <c r="F41" s="101">
        <v>0</v>
      </c>
      <c r="G41" s="135"/>
      <c r="H41" s="161">
        <f>SUMIF('F4'!$E$12:$E$158,D41,'F4'!$G$12:$G$158)</f>
        <v>0</v>
      </c>
      <c r="I41" s="161">
        <f>SUMIF('F4'!$E$12:$E$158,D41,'F4'!$H$12:$H$158)</f>
        <v>0</v>
      </c>
      <c r="J41" s="135"/>
      <c r="K41" s="101">
        <f t="shared" si="4"/>
        <v>0</v>
      </c>
      <c r="L41" s="161">
        <v>0</v>
      </c>
      <c r="M41" s="329"/>
      <c r="N41" s="161">
        <f>SUMIF('F4'!$E$12:$E$158,D41,'F4'!$I$12:$I$158)</f>
        <v>0</v>
      </c>
      <c r="O41" s="161">
        <f>SUMIF('F4'!$E$12:$E$158,D41,'F4'!$J$12:$J$158)</f>
        <v>0</v>
      </c>
      <c r="P41" s="101"/>
      <c r="Q41" s="161">
        <f t="shared" si="3"/>
        <v>0</v>
      </c>
      <c r="R41" s="101">
        <v>0</v>
      </c>
      <c r="S41" s="161">
        <v>0</v>
      </c>
      <c r="T41" s="101">
        <v>113500000</v>
      </c>
      <c r="U41" s="161">
        <v>0</v>
      </c>
      <c r="V41" s="161">
        <f t="shared" si="1"/>
        <v>0</v>
      </c>
      <c r="W41" s="1244">
        <f t="shared" si="2"/>
        <v>0</v>
      </c>
    </row>
    <row r="42" s="1196" customFormat="1" ht="13.2" hidden="1" spans="2:23">
      <c r="B42" s="1211"/>
      <c r="C42" s="1212"/>
      <c r="D42" s="290" t="s">
        <v>12903</v>
      </c>
      <c r="E42" s="310"/>
      <c r="F42" s="101">
        <v>0</v>
      </c>
      <c r="G42" s="135"/>
      <c r="H42" s="161">
        <f>SUMIF('F4'!$E$12:$E$158,D42,'F4'!$G$12:$G$158)</f>
        <v>0</v>
      </c>
      <c r="I42" s="161">
        <f>SUMIF('F4'!$E$12:$E$158,D42,'F4'!$H$12:$H$158)</f>
        <v>0</v>
      </c>
      <c r="J42" s="135"/>
      <c r="K42" s="101">
        <f t="shared" si="4"/>
        <v>0</v>
      </c>
      <c r="L42" s="161">
        <v>0</v>
      </c>
      <c r="M42" s="329"/>
      <c r="N42" s="161">
        <f>SUMIF('F4'!$E$12:$E$158,D42,'F4'!$I$12:$I$158)</f>
        <v>0</v>
      </c>
      <c r="O42" s="161">
        <f>SUMIF('F4'!$E$12:$E$158,D42,'F4'!$J$12:$J$158)</f>
        <v>0</v>
      </c>
      <c r="P42" s="101"/>
      <c r="Q42" s="161">
        <f t="shared" si="3"/>
        <v>0</v>
      </c>
      <c r="R42" s="101">
        <v>0</v>
      </c>
      <c r="S42" s="161">
        <v>0</v>
      </c>
      <c r="T42" s="101">
        <v>28440000</v>
      </c>
      <c r="U42" s="161">
        <v>0</v>
      </c>
      <c r="V42" s="161">
        <f t="shared" si="1"/>
        <v>0</v>
      </c>
      <c r="W42" s="1244">
        <f t="shared" si="2"/>
        <v>0</v>
      </c>
    </row>
    <row r="43" s="1196" customFormat="1" ht="13.2" hidden="1" spans="2:23">
      <c r="B43" s="1211"/>
      <c r="C43" s="1212"/>
      <c r="D43" s="290" t="s">
        <v>12904</v>
      </c>
      <c r="E43" s="310"/>
      <c r="F43" s="101">
        <v>0</v>
      </c>
      <c r="G43" s="135"/>
      <c r="H43" s="161">
        <f>SUMIF('F4'!$E$12:$E$158,D43,'F4'!$G$12:$G$158)</f>
        <v>0</v>
      </c>
      <c r="I43" s="161">
        <f>SUMIF('F4'!$E$12:$E$158,D43,'F4'!$H$12:$H$158)</f>
        <v>0</v>
      </c>
      <c r="J43" s="135"/>
      <c r="K43" s="101">
        <f t="shared" si="4"/>
        <v>0</v>
      </c>
      <c r="L43" s="161">
        <v>0</v>
      </c>
      <c r="M43" s="329"/>
      <c r="N43" s="161">
        <f>SUMIF('F4'!$E$12:$E$158,D43,'F4'!$I$12:$I$158)</f>
        <v>0</v>
      </c>
      <c r="O43" s="161">
        <f>SUMIF('F4'!$E$12:$E$158,D43,'F4'!$J$12:$J$158)</f>
        <v>0</v>
      </c>
      <c r="P43" s="101"/>
      <c r="Q43" s="161">
        <f t="shared" si="3"/>
        <v>0</v>
      </c>
      <c r="R43" s="101">
        <v>0</v>
      </c>
      <c r="S43" s="161">
        <v>0</v>
      </c>
      <c r="T43" s="101">
        <v>10757405</v>
      </c>
      <c r="U43" s="161">
        <v>0</v>
      </c>
      <c r="V43" s="161">
        <f t="shared" si="1"/>
        <v>0</v>
      </c>
      <c r="W43" s="1244">
        <f t="shared" si="2"/>
        <v>0</v>
      </c>
    </row>
    <row r="44" s="1196" customFormat="1" ht="13.2" hidden="1" spans="2:23">
      <c r="B44" s="1211"/>
      <c r="C44" s="1212"/>
      <c r="D44" s="1212" t="s">
        <v>12905</v>
      </c>
      <c r="E44" s="135"/>
      <c r="F44" s="101">
        <v>0</v>
      </c>
      <c r="G44" s="135"/>
      <c r="H44" s="161">
        <f>SUMIF('F4'!$E$12:$E$158,D44,'F4'!$G$12:$G$158)</f>
        <v>0</v>
      </c>
      <c r="I44" s="161">
        <f>SUMIF('F4'!$E$12:$E$158,D44,'F4'!$H$12:$H$158)</f>
        <v>0</v>
      </c>
      <c r="J44" s="135"/>
      <c r="K44" s="161">
        <f t="shared" si="4"/>
        <v>0</v>
      </c>
      <c r="L44" s="161">
        <v>0</v>
      </c>
      <c r="M44" s="329"/>
      <c r="N44" s="161">
        <f>SUMIF('F4'!$E$12:$E$158,D44,'F4'!$I$12:$I$158)</f>
        <v>0</v>
      </c>
      <c r="O44" s="161">
        <f>SUMIF('F4'!$E$12:$E$158,D44,'F4'!$J$12:$J$158)</f>
        <v>0</v>
      </c>
      <c r="P44" s="101"/>
      <c r="Q44" s="161">
        <f t="shared" si="3"/>
        <v>0</v>
      </c>
      <c r="R44" s="101">
        <v>0</v>
      </c>
      <c r="S44" s="161">
        <v>0</v>
      </c>
      <c r="T44" s="101">
        <v>0</v>
      </c>
      <c r="U44" s="161">
        <v>0</v>
      </c>
      <c r="V44" s="161">
        <f t="shared" si="1"/>
        <v>0</v>
      </c>
      <c r="W44" s="1244">
        <f t="shared" si="2"/>
        <v>0</v>
      </c>
    </row>
    <row r="45" s="1196" customFormat="1" ht="13.2" spans="2:23">
      <c r="B45" s="1215"/>
      <c r="C45" s="1216"/>
      <c r="D45" s="1216"/>
      <c r="E45" s="147"/>
      <c r="F45" s="135"/>
      <c r="G45" s="147"/>
      <c r="H45" s="161"/>
      <c r="I45" s="161"/>
      <c r="J45" s="135"/>
      <c r="K45" s="161"/>
      <c r="L45" s="161"/>
      <c r="M45" s="136"/>
      <c r="N45" s="161"/>
      <c r="O45" s="161"/>
      <c r="P45" s="161"/>
      <c r="Q45" s="304"/>
      <c r="R45" s="137"/>
      <c r="S45" s="161"/>
      <c r="T45" s="110"/>
      <c r="U45" s="161"/>
      <c r="V45" s="161"/>
      <c r="W45" s="1244"/>
    </row>
    <row r="46" s="101" customFormat="1" ht="13.2" spans="2:23">
      <c r="B46" s="1217"/>
      <c r="D46" s="101" t="s">
        <v>12906</v>
      </c>
      <c r="F46" s="308">
        <f>SUM(F13:F45)</f>
        <v>2990690879.71171</v>
      </c>
      <c r="H46" s="161">
        <f>SUMIF('F4'!$E$12:$E$158,D46,'F4'!$G$12:$G$158)</f>
        <v>0</v>
      </c>
      <c r="I46" s="161">
        <f>SUMIF('F4'!$E$12:$E$158,D46,'F4'!$H$12:$H$158)</f>
        <v>0</v>
      </c>
      <c r="J46" s="308"/>
      <c r="K46" s="308">
        <f>SUM(K13:K45)</f>
        <v>2990690879.71171</v>
      </c>
      <c r="L46" s="308">
        <f>SUM(L13:L45)</f>
        <v>4163589940</v>
      </c>
      <c r="M46" s="1224"/>
      <c r="N46" s="161">
        <f>SUMIF('F4'!$E$12:$E$158,D46,'F4'!$I$12:$I$158)</f>
        <v>0</v>
      </c>
      <c r="O46" s="161">
        <f>SUMIF('F4'!$E$12:$E$158,D46,'F4'!$J$12:$J$158)</f>
        <v>0</v>
      </c>
      <c r="P46" s="308"/>
      <c r="Q46" s="308">
        <f t="shared" ref="Q46:V46" si="5">SUM(Q13:Q45)</f>
        <v>4163589940</v>
      </c>
      <c r="R46" s="308">
        <f t="shared" si="5"/>
        <v>9919410242</v>
      </c>
      <c r="S46" s="308">
        <f t="shared" si="5"/>
        <v>10163298816</v>
      </c>
      <c r="T46" s="308">
        <f t="shared" si="5"/>
        <v>14193071722</v>
      </c>
      <c r="U46" s="308">
        <f t="shared" si="5"/>
        <v>2840349929</v>
      </c>
      <c r="V46" s="308">
        <f t="shared" si="5"/>
        <v>-1172899060.28829</v>
      </c>
      <c r="W46" s="308"/>
    </row>
    <row r="47" s="1196" customFormat="1" ht="13.2" spans="2:23">
      <c r="B47" s="1211"/>
      <c r="C47" s="1212"/>
      <c r="D47" s="1212" t="s">
        <v>12907</v>
      </c>
      <c r="E47" s="101"/>
      <c r="F47" s="161">
        <v>2892097277.71171</v>
      </c>
      <c r="G47" s="101"/>
      <c r="H47" s="161">
        <f>SUMIF('F4'!$E$12:$E$158,D47,'F4'!$G$12:$G$158)</f>
        <v>0</v>
      </c>
      <c r="I47" s="161">
        <f>SUMIF('F4'!$E$12:$E$158,D47,'F4'!$H$12:$H$158)</f>
        <v>0</v>
      </c>
      <c r="J47" s="161"/>
      <c r="K47" s="161">
        <v>2892097277.71171</v>
      </c>
      <c r="L47" s="161"/>
      <c r="M47" s="1232"/>
      <c r="N47" s="161">
        <f>SUMIF('F4'!$E$12:$E$158,D47,'F4'!$I$12:$I$158)</f>
        <v>0</v>
      </c>
      <c r="O47" s="161">
        <f>SUMIF('F4'!$E$12:$E$158,D47,'F4'!$J$12:$J$158)</f>
        <v>0</v>
      </c>
      <c r="P47" s="161"/>
      <c r="Q47" s="161">
        <v>4163589940</v>
      </c>
      <c r="R47" s="137">
        <f>+'F3'!R13</f>
        <v>12507006890.5</v>
      </c>
      <c r="S47" s="161">
        <v>10163298816</v>
      </c>
      <c r="T47" s="101">
        <v>11303947120</v>
      </c>
      <c r="U47" s="161">
        <v>14394528943</v>
      </c>
      <c r="V47" s="161"/>
      <c r="W47" s="1244"/>
    </row>
    <row r="48" customFormat="1" ht="13.2" spans="2:23">
      <c r="B48" s="1218"/>
      <c r="C48" s="1219"/>
      <c r="D48" s="1219" t="s">
        <v>146</v>
      </c>
      <c r="E48" s="101"/>
      <c r="F48" s="191">
        <f>+F46-F47</f>
        <v>98593602</v>
      </c>
      <c r="G48" s="101"/>
      <c r="H48" s="161">
        <f>SUMIF('F4'!$E$12:$E$158,D48,'F4'!$G$12:$G$158)</f>
        <v>0</v>
      </c>
      <c r="I48" s="161">
        <f>SUMIF('F4'!$E$12:$E$158,D48,'F4'!$H$12:$H$158)</f>
        <v>0</v>
      </c>
      <c r="J48" s="161"/>
      <c r="K48" s="191">
        <f>+K46-K47</f>
        <v>98593602.0000019</v>
      </c>
      <c r="L48" s="191"/>
      <c r="M48" s="1233"/>
      <c r="N48" s="161">
        <f>SUMIF('F4'!$E$12:$E$158,D48,'F4'!$I$12:$I$158)</f>
        <v>0</v>
      </c>
      <c r="O48" s="161">
        <f>SUMIF('F4'!$E$12:$E$158,D48,'F4'!$J$12:$J$158)</f>
        <v>0</v>
      </c>
      <c r="P48" s="101"/>
      <c r="Q48" s="161">
        <f>+Q46-Q47</f>
        <v>0</v>
      </c>
      <c r="R48" s="1233">
        <f>+R46-R47</f>
        <v>-2587596648.5</v>
      </c>
      <c r="S48" s="161">
        <f>+S46-S47</f>
        <v>0</v>
      </c>
      <c r="T48" s="374">
        <f>+T46-T47</f>
        <v>2889124602</v>
      </c>
      <c r="U48" s="161">
        <f>+U46-U47</f>
        <v>-11554179014</v>
      </c>
      <c r="V48" s="161"/>
      <c r="W48" s="191"/>
    </row>
    <row r="49" s="1196" customFormat="1" ht="13.2" spans="2:23">
      <c r="B49" s="1211"/>
      <c r="C49" s="1212"/>
      <c r="D49" s="1212"/>
      <c r="E49" s="101"/>
      <c r="F49" s="191"/>
      <c r="G49" s="101"/>
      <c r="H49" s="161">
        <f>SUMIF('F4'!$E$12:$E$158,D49,'F4'!$G$12:$G$158)</f>
        <v>0</v>
      </c>
      <c r="I49" s="161">
        <f>SUMIF('F4'!$E$12:$E$158,D49,'F4'!$H$12:$H$158)</f>
        <v>0</v>
      </c>
      <c r="J49" s="161"/>
      <c r="K49" s="191"/>
      <c r="L49" s="191"/>
      <c r="M49" s="136"/>
      <c r="N49" s="161">
        <f>SUMIF('F4'!$E$12:$E$158,D49,'F4'!$I$12:$I$158)</f>
        <v>0</v>
      </c>
      <c r="O49" s="161">
        <f>SUMIF('F4'!$E$12:$E$158,D49,'F4'!$J$12:$J$158)</f>
        <v>0</v>
      </c>
      <c r="P49" s="161"/>
      <c r="Q49" s="161"/>
      <c r="R49" s="137"/>
      <c r="S49" s="1245"/>
      <c r="T49" s="101"/>
      <c r="U49" s="1245"/>
      <c r="V49" s="161"/>
      <c r="W49" s="1244"/>
    </row>
    <row r="50" s="1196" customFormat="1" ht="13.2" spans="2:23">
      <c r="B50" s="1211"/>
      <c r="C50" s="100" t="s">
        <v>12908</v>
      </c>
      <c r="D50" s="1212"/>
      <c r="E50" s="101"/>
      <c r="F50" s="191"/>
      <c r="G50" s="101"/>
      <c r="H50" s="161">
        <f>SUMIF('F4'!$E$12:$E$158,D50,'F4'!$G$12:$G$158)</f>
        <v>0</v>
      </c>
      <c r="I50" s="161">
        <f>SUMIF('F4'!$E$12:$E$158,D50,'F4'!$H$12:$H$158)</f>
        <v>0</v>
      </c>
      <c r="J50" s="161"/>
      <c r="K50" s="191"/>
      <c r="L50" s="191"/>
      <c r="M50" s="136"/>
      <c r="N50" s="161">
        <f>SUMIF('F4'!$E$12:$E$158,D50,'F4'!$I$12:$I$158)</f>
        <v>0</v>
      </c>
      <c r="O50" s="161">
        <f>SUMIF('F4'!$E$12:$E$158,D50,'F4'!$J$12:$J$158)</f>
        <v>0</v>
      </c>
      <c r="P50" s="161"/>
      <c r="Q50" s="161"/>
      <c r="R50" s="137"/>
      <c r="S50" s="1245"/>
      <c r="T50" s="101"/>
      <c r="U50" s="1245"/>
      <c r="V50" s="161"/>
      <c r="W50" s="1244"/>
    </row>
    <row r="51" s="1196" customFormat="1" ht="13.2" spans="2:23">
      <c r="B51" s="1211"/>
      <c r="C51" s="100"/>
      <c r="D51" s="1196" t="s">
        <v>12909</v>
      </c>
      <c r="E51" s="101"/>
      <c r="F51" s="161">
        <v>2060320800</v>
      </c>
      <c r="G51" s="101"/>
      <c r="H51" s="161">
        <f>SUMIF('F4'!$E$12:$E$158,D51,'F4'!$G$12:$G$158)</f>
        <v>0</v>
      </c>
      <c r="I51" s="161">
        <f>SUMIF('F4'!$E$12:$E$158,D51,'F4'!$H$12:$H$158)</f>
        <v>0</v>
      </c>
      <c r="J51" s="161"/>
      <c r="K51" s="101">
        <f t="shared" ref="K51:K57" si="6">+F51+I51-H51</f>
        <v>2060320800</v>
      </c>
      <c r="L51" s="191">
        <v>0</v>
      </c>
      <c r="M51" s="136"/>
      <c r="N51" s="161">
        <f>SUMIF('F4'!$E$12:$E$158,D51,'F4'!$I$12:$I$158)</f>
        <v>0</v>
      </c>
      <c r="O51" s="161">
        <f>SUMIF('F4'!$E$12:$E$158,D51,'F4'!$J$12:$J$158)</f>
        <v>0</v>
      </c>
      <c r="P51" s="161"/>
      <c r="Q51" s="161">
        <f t="shared" ref="Q51:Q56" si="7">L51+O51-N51</f>
        <v>0</v>
      </c>
      <c r="R51" s="137">
        <v>0</v>
      </c>
      <c r="S51" s="1245"/>
      <c r="T51" s="101"/>
      <c r="U51" s="1245"/>
      <c r="V51" s="161">
        <f t="shared" ref="V51:V58" si="8">F51-Q51</f>
        <v>2060320800</v>
      </c>
      <c r="W51" s="1244">
        <f t="shared" ref="W51:W58" si="9">IF(Q51=0,IF(L51=0,0,L51/L51),L51/Q51)</f>
        <v>0</v>
      </c>
    </row>
    <row r="52" s="1196" customFormat="1" ht="13.2" spans="2:23">
      <c r="B52" s="1211"/>
      <c r="C52" s="100"/>
      <c r="D52" s="1212" t="s">
        <v>12910</v>
      </c>
      <c r="E52" s="101"/>
      <c r="F52" s="161">
        <v>1215000000</v>
      </c>
      <c r="G52" s="101"/>
      <c r="H52" s="161">
        <f>SUMIF('F4'!$E$12:$E$158,D52,'F4'!$G$12:$G$158)</f>
        <v>0</v>
      </c>
      <c r="I52" s="161">
        <f>SUMIF('F4'!$E$12:$E$158,D52,'F4'!$H$12:$H$158)</f>
        <v>0</v>
      </c>
      <c r="J52" s="184"/>
      <c r="K52" s="184">
        <f t="shared" si="6"/>
        <v>1215000000</v>
      </c>
      <c r="L52" s="191">
        <v>0</v>
      </c>
      <c r="M52" s="136"/>
      <c r="N52" s="161">
        <f>SUMIF('F4'!$E$12:$E$158,D52,'F4'!$I$12:$I$158)</f>
        <v>0</v>
      </c>
      <c r="O52" s="161">
        <f>SUMIF('F4'!$E$12:$E$158,D52,'F4'!$J$12:$J$158)</f>
        <v>0</v>
      </c>
      <c r="P52" s="161"/>
      <c r="Q52" s="161">
        <f t="shared" si="7"/>
        <v>0</v>
      </c>
      <c r="R52" s="137">
        <v>0</v>
      </c>
      <c r="S52" s="1245"/>
      <c r="T52" s="101"/>
      <c r="U52" s="1246"/>
      <c r="V52" s="161">
        <f t="shared" si="8"/>
        <v>1215000000</v>
      </c>
      <c r="W52" s="1244">
        <f t="shared" si="9"/>
        <v>0</v>
      </c>
    </row>
    <row r="53" s="1196" customFormat="1" ht="13.2" spans="2:23">
      <c r="B53" s="1211"/>
      <c r="C53" s="100"/>
      <c r="D53" s="1212" t="s">
        <v>12911</v>
      </c>
      <c r="E53" s="101"/>
      <c r="F53" s="161">
        <v>1014603773.8796</v>
      </c>
      <c r="G53" s="101"/>
      <c r="H53" s="161">
        <f>SUMIF('F4'!$E$12:$E$158,D53,'F4'!$G$12:$G$158)</f>
        <v>0</v>
      </c>
      <c r="I53" s="161">
        <f>SUMIF('F4'!$E$12:$E$158,D53,'F4'!$H$12:$H$158)</f>
        <v>0</v>
      </c>
      <c r="J53" s="184"/>
      <c r="K53" s="184">
        <f t="shared" si="6"/>
        <v>1014603773.8796</v>
      </c>
      <c r="L53" s="161">
        <v>1080740706</v>
      </c>
      <c r="M53" s="136"/>
      <c r="N53" s="161">
        <f>SUMIF('F4'!$E$12:$E$158,D53,'F4'!$I$12:$I$158)</f>
        <v>0</v>
      </c>
      <c r="O53" s="161">
        <f>SUMIF('F4'!$E$12:$E$158,D53,'F4'!$J$12:$J$158)</f>
        <v>0</v>
      </c>
      <c r="P53" s="161"/>
      <c r="Q53" s="161">
        <f t="shared" si="7"/>
        <v>1080740706</v>
      </c>
      <c r="R53" s="137">
        <v>0</v>
      </c>
      <c r="S53" s="1245"/>
      <c r="T53" s="101"/>
      <c r="U53" s="1246"/>
      <c r="V53" s="161">
        <f t="shared" si="8"/>
        <v>-66136932.1204</v>
      </c>
      <c r="W53" s="1244">
        <f t="shared" si="9"/>
        <v>1</v>
      </c>
    </row>
    <row r="54" s="1196" customFormat="1" ht="13.2" spans="2:23">
      <c r="B54" s="1211"/>
      <c r="C54" s="100"/>
      <c r="D54" s="1212" t="s">
        <v>12912</v>
      </c>
      <c r="E54" s="101"/>
      <c r="F54" s="1220">
        <f>140000000</f>
        <v>140000000</v>
      </c>
      <c r="G54" s="191"/>
      <c r="H54" s="161">
        <f>SUMIF('F4'!$E$12:$E$158,D54,'F4'!$G$12:$G$158)</f>
        <v>0</v>
      </c>
      <c r="I54" s="161">
        <f>SUMIF('F4'!$E$12:$E$158,D54,'F4'!$H$12:$H$158)</f>
        <v>0</v>
      </c>
      <c r="J54"/>
      <c r="K54" s="184">
        <f t="shared" si="6"/>
        <v>140000000</v>
      </c>
      <c r="L54" s="191">
        <v>0</v>
      </c>
      <c r="M54" s="1234"/>
      <c r="N54" s="161">
        <f>SUMIF('F4'!$E$12:$E$158,D54,'F4'!$I$12:$I$158)</f>
        <v>0</v>
      </c>
      <c r="O54" s="161">
        <f>SUMIF('F4'!$E$12:$E$158,D54,'F4'!$J$12:$J$158)</f>
        <v>0</v>
      </c>
      <c r="P54" s="161"/>
      <c r="Q54" s="161">
        <f t="shared" si="7"/>
        <v>0</v>
      </c>
      <c r="R54" s="137">
        <v>0</v>
      </c>
      <c r="S54" s="101"/>
      <c r="T54" s="1245"/>
      <c r="U54" s="184"/>
      <c r="V54" s="161">
        <f t="shared" si="8"/>
        <v>140000000</v>
      </c>
      <c r="W54" s="1244">
        <f t="shared" si="9"/>
        <v>0</v>
      </c>
    </row>
    <row r="55" s="1196" customFormat="1" ht="13.2" spans="2:23">
      <c r="B55" s="1211"/>
      <c r="C55" s="100"/>
      <c r="D55" s="1212" t="s">
        <v>12913</v>
      </c>
      <c r="E55" s="101"/>
      <c r="F55" s="161">
        <v>54000000</v>
      </c>
      <c r="G55" s="101"/>
      <c r="H55" s="161">
        <f>SUMIF('F4'!$E$12:$E$158,D55,'F4'!$G$12:$G$158)</f>
        <v>0</v>
      </c>
      <c r="I55" s="161">
        <f>SUMIF('F4'!$E$12:$E$158,D55,'F4'!$H$12:$H$158)</f>
        <v>0</v>
      </c>
      <c r="J55" s="184"/>
      <c r="K55" s="184">
        <f t="shared" si="6"/>
        <v>54000000</v>
      </c>
      <c r="L55" s="191">
        <v>0</v>
      </c>
      <c r="M55" s="136"/>
      <c r="N55" s="161">
        <f>SUMIF('F4'!$E$12:$E$158,D55,'F4'!$I$12:$I$158)</f>
        <v>0</v>
      </c>
      <c r="O55" s="161">
        <f>SUMIF('F4'!$E$12:$E$158,D55,'F4'!$J$12:$J$158)</f>
        <v>0</v>
      </c>
      <c r="P55" s="161"/>
      <c r="Q55" s="161">
        <f t="shared" si="7"/>
        <v>0</v>
      </c>
      <c r="R55" s="137">
        <v>0</v>
      </c>
      <c r="S55" s="1245"/>
      <c r="T55" s="101"/>
      <c r="U55" s="1246"/>
      <c r="V55" s="161">
        <f t="shared" si="8"/>
        <v>54000000</v>
      </c>
      <c r="W55" s="1244">
        <f t="shared" si="9"/>
        <v>0</v>
      </c>
    </row>
    <row r="56" s="1196" customFormat="1" ht="13.2" spans="2:23">
      <c r="B56" s="1211"/>
      <c r="C56" s="1212"/>
      <c r="D56" s="1212" t="s">
        <v>1988</v>
      </c>
      <c r="E56" s="101"/>
      <c r="F56" s="161"/>
      <c r="G56" s="191" t="s">
        <v>1123</v>
      </c>
      <c r="H56" s="161">
        <f>SUMIF('F4'!$E$12:$E$158,D56,'F4'!$G$12:$G$158)</f>
        <v>0</v>
      </c>
      <c r="I56" s="161">
        <f>SUMIF('F4'!$E$12:$E$158,D56,'F4'!$H$12:$H$158)</f>
        <v>0</v>
      </c>
      <c r="J56"/>
      <c r="K56" s="184">
        <f t="shared" si="6"/>
        <v>0</v>
      </c>
      <c r="L56" s="299">
        <v>307168076</v>
      </c>
      <c r="M56" s="1234"/>
      <c r="N56" s="161">
        <f>SUMIF('F4'!$E$12:$E$158,D56,'F4'!$I$12:$I$158)</f>
        <v>0</v>
      </c>
      <c r="O56" s="161">
        <f>SUMIF('F4'!$E$12:$E$158,D56,'F4'!$J$12:$J$158)</f>
        <v>0</v>
      </c>
      <c r="P56" s="161"/>
      <c r="Q56" s="161">
        <f t="shared" si="7"/>
        <v>307168076</v>
      </c>
      <c r="R56" s="1247">
        <f>+'[79]Penj&amp;cus'!$G$47</f>
        <v>2587596648.5</v>
      </c>
      <c r="S56" s="101"/>
      <c r="T56" s="1245"/>
      <c r="U56" s="184"/>
      <c r="V56" s="161">
        <f t="shared" si="8"/>
        <v>-307168076</v>
      </c>
      <c r="W56" s="1244">
        <f t="shared" si="9"/>
        <v>1</v>
      </c>
    </row>
    <row r="57" s="1196" customFormat="1" ht="13.2" spans="2:23">
      <c r="B57" s="1211"/>
      <c r="C57" s="1212"/>
      <c r="D57" s="1212"/>
      <c r="E57" s="101"/>
      <c r="F57" s="161"/>
      <c r="G57" s="191"/>
      <c r="H57" s="161">
        <f>SUMIF('F4'!$E$12:$E$158,D57,'F4'!$G$12:$G$158)</f>
        <v>0</v>
      </c>
      <c r="I57" s="161">
        <f>SUMIF('F4'!$E$12:$E$158,D57,'F4'!$H$12:$H$158)</f>
        <v>0</v>
      </c>
      <c r="J57"/>
      <c r="K57" s="184">
        <f t="shared" si="6"/>
        <v>0</v>
      </c>
      <c r="L57" s="299"/>
      <c r="M57" s="1234"/>
      <c r="N57" s="161">
        <f>SUMIF('F4'!$E$12:$E$158,D57,'F4'!$I$12:$I$158)</f>
        <v>0</v>
      </c>
      <c r="O57" s="161">
        <f>SUMIF('F4'!$E$12:$E$158,D57,'F4'!$J$12:$J$158)</f>
        <v>0</v>
      </c>
      <c r="P57" s="161"/>
      <c r="Q57" s="137"/>
      <c r="R57" s="1245"/>
      <c r="S57" s="101"/>
      <c r="T57" s="1245"/>
      <c r="U57" s="184"/>
      <c r="V57" s="161">
        <f t="shared" si="8"/>
        <v>0</v>
      </c>
      <c r="W57" s="1244">
        <f t="shared" si="9"/>
        <v>0</v>
      </c>
    </row>
    <row r="58" s="1196" customFormat="1" ht="13.2" spans="2:23">
      <c r="B58" s="1211"/>
      <c r="C58" s="1212"/>
      <c r="D58" s="1212"/>
      <c r="E58" s="101"/>
      <c r="F58" s="161"/>
      <c r="G58" s="101"/>
      <c r="H58" s="161">
        <f>SUMIF('F4'!$E$12:$E$158,D58,'F4'!$G$12:$G$158)</f>
        <v>0</v>
      </c>
      <c r="I58" s="161">
        <f>SUMIF('F4'!$E$12:$E$158,D58,'F4'!$H$12:$H$158)</f>
        <v>0</v>
      </c>
      <c r="J58" s="184"/>
      <c r="K58" s="191"/>
      <c r="L58" s="191"/>
      <c r="M58" s="136"/>
      <c r="N58" s="161">
        <f>SUMIF('F4'!$E$12:$E$158,D58,'F4'!$I$12:$I$158)</f>
        <v>0</v>
      </c>
      <c r="O58" s="161">
        <f>SUMIF('F4'!$E$12:$E$158,D58,'F4'!$J$12:$J$158)</f>
        <v>0</v>
      </c>
      <c r="P58" s="161"/>
      <c r="Q58" s="161"/>
      <c r="R58" s="137"/>
      <c r="S58" s="1245"/>
      <c r="T58" s="101"/>
      <c r="U58" s="1246"/>
      <c r="V58" s="161">
        <f t="shared" si="8"/>
        <v>0</v>
      </c>
      <c r="W58" s="1244">
        <f t="shared" si="9"/>
        <v>0</v>
      </c>
    </row>
    <row r="59" s="1196" customFormat="1" ht="13.2" spans="2:23">
      <c r="B59" s="1211"/>
      <c r="C59" s="1212"/>
      <c r="D59" s="1212"/>
      <c r="E59" s="101"/>
      <c r="F59" s="161"/>
      <c r="G59" s="137"/>
      <c r="H59" s="161">
        <f>SUMIF('F4'!$E$12:$E$158,D59,'F4'!$G$12:$G$158)</f>
        <v>0</v>
      </c>
      <c r="I59" s="161">
        <f>SUMIF('F4'!$E$12:$E$158,D59,'F4'!$H$12:$H$158)</f>
        <v>0</v>
      </c>
      <c r="J59" s="161"/>
      <c r="K59" s="161"/>
      <c r="L59" s="161"/>
      <c r="M59" s="136"/>
      <c r="N59" s="161">
        <f>SUMIF('F4'!$E$12:$E$158,D59,'F4'!$I$12:$I$158)</f>
        <v>0</v>
      </c>
      <c r="O59" s="161">
        <f>SUMIF('F4'!$E$12:$E$158,D59,'F4'!$J$12:$J$158)</f>
        <v>0</v>
      </c>
      <c r="P59" s="161"/>
      <c r="Q59" s="161"/>
      <c r="R59" s="137"/>
      <c r="S59" s="161"/>
      <c r="T59" s="137"/>
      <c r="U59" s="161"/>
      <c r="V59" s="161"/>
      <c r="W59" s="1244"/>
    </row>
    <row r="60" s="1196" customFormat="1" ht="13.2" spans="2:23">
      <c r="B60" s="1221"/>
      <c r="C60" s="1222"/>
      <c r="D60" s="1223" t="s">
        <v>12914</v>
      </c>
      <c r="E60" s="1224"/>
      <c r="F60" s="308">
        <f>SUM(F51:F59)</f>
        <v>4483924573.8796</v>
      </c>
      <c r="G60" s="1224"/>
      <c r="H60" s="161">
        <f>SUMIF('F4'!$E$12:$E$158,D60,'F4'!$G$12:$G$158)</f>
        <v>0</v>
      </c>
      <c r="I60" s="161">
        <f>SUMIF('F4'!$E$12:$E$158,D60,'F4'!$H$12:$H$158)</f>
        <v>0</v>
      </c>
      <c r="J60" s="308"/>
      <c r="K60" s="308">
        <f>SUM(K51:K59)</f>
        <v>4483924573.8796</v>
      </c>
      <c r="L60" s="308">
        <f>SUM(L51:L59)</f>
        <v>1387908782</v>
      </c>
      <c r="M60" s="1235"/>
      <c r="N60" s="161">
        <f>SUMIF('F4'!$E$12:$E$158,D60,'F4'!$I$12:$I$158)</f>
        <v>0</v>
      </c>
      <c r="O60" s="161">
        <f>SUMIF('F4'!$E$12:$E$158,D60,'F4'!$J$12:$J$158)</f>
        <v>0</v>
      </c>
      <c r="P60" s="308"/>
      <c r="Q60" s="308">
        <f t="shared" ref="Q60:V60" si="10">SUM(Q51:Q59)</f>
        <v>1387908782</v>
      </c>
      <c r="R60" s="308">
        <f t="shared" si="10"/>
        <v>2587596648.5</v>
      </c>
      <c r="S60" s="308">
        <f t="shared" si="10"/>
        <v>0</v>
      </c>
      <c r="T60" s="308">
        <f t="shared" si="10"/>
        <v>0</v>
      </c>
      <c r="U60" s="308">
        <f t="shared" si="10"/>
        <v>0</v>
      </c>
      <c r="V60" s="308">
        <f t="shared" si="10"/>
        <v>3096015791.8796</v>
      </c>
      <c r="W60" s="308"/>
    </row>
    <row r="61" s="1196" customFormat="1" ht="13.2" spans="2:23">
      <c r="B61" s="1211"/>
      <c r="C61" s="1212"/>
      <c r="D61" t="s">
        <v>12915</v>
      </c>
      <c r="E61" s="137"/>
      <c r="F61" s="161">
        <f>+'[79]P&amp;L22'!$F$11</f>
        <v>4483924573.8796</v>
      </c>
      <c r="G61" s="137"/>
      <c r="H61" s="161">
        <f>SUMIF('F4'!$E$12:$E$158,D61,'F4'!$G$12:$G$158)</f>
        <v>0</v>
      </c>
      <c r="I61" s="161">
        <f>SUMIF('F4'!$E$12:$E$158,D61,'F4'!$H$12:$H$158)</f>
        <v>0</v>
      </c>
      <c r="J61" s="161"/>
      <c r="K61" s="161">
        <f>+'[79]P&amp;L22'!$F$11</f>
        <v>4483924573.8796</v>
      </c>
      <c r="L61" s="161"/>
      <c r="M61" s="136"/>
      <c r="N61" s="161">
        <f>SUMIF('F4'!$E$12:$E$158,D61,'F4'!$I$12:$I$158)</f>
        <v>0</v>
      </c>
      <c r="O61" s="161">
        <f>SUMIF('F4'!$E$12:$E$158,D61,'F4'!$J$12:$J$158)</f>
        <v>0</v>
      </c>
      <c r="P61" s="161"/>
      <c r="Q61" s="161"/>
      <c r="R61" s="137"/>
      <c r="S61" s="161"/>
      <c r="T61" s="137"/>
      <c r="U61" s="161"/>
      <c r="V61" s="161"/>
      <c r="W61" s="161"/>
    </row>
    <row r="62" s="1196" customFormat="1" ht="13.2" spans="2:23">
      <c r="B62" s="1211"/>
      <c r="C62" s="1212"/>
      <c r="D62" s="1219" t="s">
        <v>146</v>
      </c>
      <c r="E62" s="101"/>
      <c r="F62" s="191">
        <f>+F60-F61</f>
        <v>0</v>
      </c>
      <c r="G62" s="101"/>
      <c r="H62" s="161">
        <f>SUMIF('F4'!$E$12:$E$158,D62,'F4'!$G$12:$G$158)</f>
        <v>0</v>
      </c>
      <c r="I62" s="161">
        <f>SUMIF('F4'!$E$12:$E$158,D62,'F4'!$H$12:$H$158)</f>
        <v>0</v>
      </c>
      <c r="J62" s="161"/>
      <c r="K62" s="191">
        <f>+K60-K61</f>
        <v>0</v>
      </c>
      <c r="L62" s="184"/>
      <c r="M62" s="135"/>
      <c r="N62" s="161">
        <f>SUMIF('F4'!$E$12:$E$158,D62,'F4'!$I$12:$I$158)</f>
        <v>0</v>
      </c>
      <c r="O62" s="161">
        <f>SUMIF('F4'!$E$12:$E$158,D62,'F4'!$J$12:$J$158)</f>
        <v>0</v>
      </c>
      <c r="P62" s="161"/>
      <c r="Q62" s="161"/>
      <c r="R62" s="137"/>
      <c r="S62" s="161"/>
      <c r="T62" s="137"/>
      <c r="U62" s="161"/>
      <c r="V62" s="161"/>
      <c r="W62" s="161"/>
    </row>
    <row r="63" s="1196" customFormat="1" ht="13.2" spans="2:23">
      <c r="B63" s="1211"/>
      <c r="C63" s="1212"/>
      <c r="D63" s="1212"/>
      <c r="E63" s="137"/>
      <c r="F63" s="161"/>
      <c r="G63" s="137"/>
      <c r="H63" s="161"/>
      <c r="I63" s="161"/>
      <c r="J63" s="161"/>
      <c r="K63" s="161"/>
      <c r="L63" s="184"/>
      <c r="M63" s="135"/>
      <c r="N63" s="1234"/>
      <c r="O63" s="161"/>
      <c r="P63" s="161"/>
      <c r="Q63" s="161"/>
      <c r="R63" s="137"/>
      <c r="S63" s="161"/>
      <c r="T63" s="137"/>
      <c r="U63" s="161"/>
      <c r="V63" s="1248"/>
      <c r="W63" s="191"/>
    </row>
    <row r="64" s="1196" customFormat="1" ht="13.2" spans="2:23">
      <c r="B64" s="1225"/>
      <c r="C64" s="260" t="s">
        <v>947</v>
      </c>
      <c r="D64" s="1226"/>
      <c r="E64" s="1225"/>
      <c r="F64" s="207">
        <f>+F46+F60</f>
        <v>7474615453.59131</v>
      </c>
      <c r="G64" s="1227"/>
      <c r="H64" s="1228">
        <f>SUM(H14:H62)</f>
        <v>0</v>
      </c>
      <c r="I64" s="1228">
        <f>SUM(I14:I62)</f>
        <v>0</v>
      </c>
      <c r="J64" s="1228"/>
      <c r="K64" s="207">
        <f>+K46+K60</f>
        <v>7474615453.59131</v>
      </c>
      <c r="L64" s="260">
        <f>+L46+L60</f>
        <v>5551498722</v>
      </c>
      <c r="M64" s="161"/>
      <c r="N64" s="1228">
        <f>SUM(N14:N62)</f>
        <v>0</v>
      </c>
      <c r="O64" s="1228">
        <f>SUM(O14:O62)</f>
        <v>0</v>
      </c>
      <c r="P64" s="161"/>
      <c r="Q64" s="207">
        <f t="shared" ref="Q64:V64" si="11">+Q46+Q60</f>
        <v>5551498722</v>
      </c>
      <c r="R64" s="207">
        <f t="shared" si="11"/>
        <v>12507006890.5</v>
      </c>
      <c r="S64" s="207">
        <f t="shared" si="11"/>
        <v>10163298816</v>
      </c>
      <c r="T64" s="207">
        <f t="shared" si="11"/>
        <v>14193071722</v>
      </c>
      <c r="U64" s="207">
        <f t="shared" si="11"/>
        <v>2840349929</v>
      </c>
      <c r="V64" s="207">
        <f t="shared" si="11"/>
        <v>1923116731.59131</v>
      </c>
      <c r="W64" s="648">
        <f>IF(R64=0,IF(V64=0,0,V64/V64),V64/R64)</f>
        <v>0.153763146404921</v>
      </c>
    </row>
    <row r="65" s="101" customFormat="1" ht="13.2" spans="2:23">
      <c r="B65" s="184"/>
      <c r="C65" s="137"/>
      <c r="D65" s="137" t="s">
        <v>146</v>
      </c>
      <c r="E65" s="137"/>
      <c r="F65" s="161">
        <f>+'[108]RL22-21'!$F$13-F64</f>
        <v>-0.711712837219238</v>
      </c>
      <c r="G65" s="137"/>
      <c r="H65" s="161"/>
      <c r="I65" s="161"/>
      <c r="J65" s="161"/>
      <c r="K65" s="137">
        <f>+K64-'F3'!K13</f>
        <v>0</v>
      </c>
      <c r="L65" s="184">
        <f>+'F30'!L13-L64</f>
        <v>0</v>
      </c>
      <c r="M65" s="161"/>
      <c r="N65" s="161"/>
      <c r="O65" s="161"/>
      <c r="P65" s="161"/>
      <c r="Q65" s="161">
        <f>+Q64-'F3'!Q13</f>
        <v>0</v>
      </c>
      <c r="R65" s="137">
        <f>+R64-'F3'!R13</f>
        <v>0</v>
      </c>
      <c r="S65" s="161">
        <f>+S64-'F3'!S13</f>
        <v>-5713445551</v>
      </c>
      <c r="T65" s="137">
        <f>+T64-'F3'!T13</f>
        <v>-2001576618</v>
      </c>
      <c r="U65" s="161">
        <f>+U64-'F3'!U13</f>
        <v>-11554179014</v>
      </c>
      <c r="V65" s="137"/>
      <c r="W65" s="161"/>
    </row>
    <row r="66" s="1196" customFormat="1" ht="13.2" spans="2:23">
      <c r="B66" s="1215"/>
      <c r="C66" s="1216"/>
      <c r="D66" s="1216"/>
      <c r="E66" s="110"/>
      <c r="F66" s="143"/>
      <c r="G66" s="110"/>
      <c r="H66" s="143"/>
      <c r="I66" s="143"/>
      <c r="J66" s="143"/>
      <c r="K66" s="148"/>
      <c r="L66" s="143"/>
      <c r="M66" s="1273"/>
      <c r="N66" s="142"/>
      <c r="O66" s="142"/>
      <c r="P66" s="110"/>
      <c r="Q66" s="142"/>
      <c r="R66" s="1216"/>
      <c r="S66" s="142"/>
      <c r="T66" s="1216"/>
      <c r="U66" s="142"/>
      <c r="V66" s="1216"/>
      <c r="W66" s="142"/>
    </row>
    <row r="67" s="1196" customFormat="1" ht="13.2" spans="13:13">
      <c r="M67"/>
    </row>
    <row r="68" s="1196" customFormat="1" ht="13.2"/>
    <row r="69" s="1196" customFormat="1" ht="13.5" customHeight="1"/>
    <row r="70" spans="2:27">
      <c r="B70" s="291"/>
      <c r="C70" s="294"/>
      <c r="D70" s="1249"/>
      <c r="L70" s="630"/>
      <c r="M70" s="1274"/>
      <c r="AA70" s="576"/>
    </row>
    <row r="71" s="576" customFormat="1" spans="12:12">
      <c r="L71" s="632"/>
    </row>
    <row r="72" s="576" customFormat="1" spans="4:23">
      <c r="D72" s="64" t="str">
        <f>+GG!B24</f>
        <v>Sesuai dengan Saldo Buku Besar Periode 31 Desember 2022 &amp; 2021</v>
      </c>
      <c r="L72" s="1275"/>
      <c r="W72" s="1286"/>
    </row>
    <row r="73" s="576" customFormat="1" spans="4:27">
      <c r="D73" s="64" t="s">
        <v>753</v>
      </c>
      <c r="L73" s="632"/>
      <c r="AA73" s="578"/>
    </row>
    <row r="74" s="576" customFormat="1" spans="4:27">
      <c r="D74" s="64" t="s">
        <v>754</v>
      </c>
      <c r="L74" s="632"/>
      <c r="W74" s="1286"/>
      <c r="AA74" s="578"/>
    </row>
    <row r="75" s="576" customFormat="1" spans="12:12">
      <c r="L75" s="632"/>
    </row>
    <row r="76" s="576" customFormat="1" spans="3:23">
      <c r="C76" s="1250"/>
      <c r="D76" s="1251"/>
      <c r="E76" s="1252"/>
      <c r="F76" s="1252"/>
      <c r="G76" s="1252"/>
      <c r="H76" s="1252"/>
      <c r="I76" s="1252"/>
      <c r="J76" s="1252"/>
      <c r="K76" s="1252"/>
      <c r="L76" s="1251"/>
      <c r="M76" s="1251"/>
      <c r="N76" s="1251"/>
      <c r="O76" s="1251"/>
      <c r="P76" s="1251"/>
      <c r="Q76" s="1251"/>
      <c r="R76" s="1251"/>
      <c r="S76" s="1251"/>
      <c r="T76" s="1251"/>
      <c r="U76" s="1251"/>
      <c r="V76" s="1287"/>
      <c r="W76" s="1288"/>
    </row>
    <row r="77" s="576" customFormat="1" spans="3:23">
      <c r="C77" s="1253" t="s">
        <v>12916</v>
      </c>
      <c r="D77" s="1254"/>
      <c r="E77" s="1255"/>
      <c r="F77" s="1255"/>
      <c r="G77" s="1255"/>
      <c r="H77" s="1255"/>
      <c r="I77" s="1255"/>
      <c r="J77" s="1255"/>
      <c r="K77" s="1255"/>
      <c r="L77" s="1254"/>
      <c r="M77" s="1254"/>
      <c r="N77" s="1276"/>
      <c r="O77" s="1276"/>
      <c r="P77" s="1276"/>
      <c r="Q77" s="1276"/>
      <c r="R77" s="1276"/>
      <c r="S77" s="1276"/>
      <c r="T77" s="1276"/>
      <c r="U77" s="1276"/>
      <c r="V77" s="1289"/>
      <c r="W77" s="1290"/>
    </row>
    <row r="78" s="576" customFormat="1" spans="3:23">
      <c r="C78" s="1253"/>
      <c r="D78" s="1254"/>
      <c r="E78" s="1255"/>
      <c r="F78" s="1255"/>
      <c r="G78" s="1255"/>
      <c r="H78" s="1255"/>
      <c r="I78" s="1255"/>
      <c r="J78" s="1255"/>
      <c r="K78" s="1255"/>
      <c r="L78" s="1254"/>
      <c r="M78" s="1254"/>
      <c r="N78" s="1277"/>
      <c r="O78" s="1277"/>
      <c r="P78" s="1278"/>
      <c r="Q78" s="1277"/>
      <c r="R78" s="159"/>
      <c r="S78" s="159"/>
      <c r="T78" s="159"/>
      <c r="U78" s="159"/>
      <c r="V78" s="159"/>
      <c r="W78" s="1290"/>
    </row>
    <row r="79" s="576" customFormat="1" spans="3:27">
      <c r="C79" s="1256"/>
      <c r="D79" s="1254"/>
      <c r="E79" s="1255"/>
      <c r="F79" s="1255"/>
      <c r="G79" s="1255"/>
      <c r="H79" s="1255"/>
      <c r="I79" s="1255"/>
      <c r="J79" s="1255"/>
      <c r="K79" s="1255"/>
      <c r="L79" s="1254"/>
      <c r="M79" s="1254"/>
      <c r="N79" s="1254"/>
      <c r="O79" s="1254"/>
      <c r="P79" s="1254"/>
      <c r="Q79" s="1254"/>
      <c r="R79" s="1254"/>
      <c r="S79" s="1254"/>
      <c r="T79" s="1254"/>
      <c r="U79" s="1254"/>
      <c r="V79" s="1291"/>
      <c r="W79" s="1292"/>
      <c r="AA79" s="578"/>
    </row>
    <row r="80" s="576" customFormat="1" spans="3:27">
      <c r="C80" s="1256"/>
      <c r="D80" s="5178" t="s">
        <v>12917</v>
      </c>
      <c r="E80" s="1258">
        <f>N89</f>
        <v>0.44856579758031</v>
      </c>
      <c r="F80" s="1258"/>
      <c r="G80" s="1258"/>
      <c r="H80" s="1258"/>
      <c r="I80" s="1258"/>
      <c r="J80" s="1258"/>
      <c r="K80" s="1258"/>
      <c r="L80" s="1279" t="s">
        <v>12918</v>
      </c>
      <c r="M80" s="1254"/>
      <c r="N80" s="1254"/>
      <c r="O80" s="1254"/>
      <c r="P80" s="1254"/>
      <c r="Q80" s="1254"/>
      <c r="R80" s="1254"/>
      <c r="S80" s="1254"/>
      <c r="T80" s="1254"/>
      <c r="U80" s="1254"/>
      <c r="V80" s="1280"/>
      <c r="W80" s="1292"/>
      <c r="AA80" s="578"/>
    </row>
    <row r="81" s="576" customFormat="1" spans="3:23">
      <c r="C81" s="1256"/>
      <c r="D81" s="1254"/>
      <c r="E81" s="1255"/>
      <c r="F81" s="1255"/>
      <c r="G81" s="1255"/>
      <c r="H81" s="1255"/>
      <c r="I81" s="1255"/>
      <c r="J81" s="1255"/>
      <c r="K81" s="1255"/>
      <c r="L81" s="1279" t="s">
        <v>12919</v>
      </c>
      <c r="M81" s="1254"/>
      <c r="N81" s="1254"/>
      <c r="O81" s="1254"/>
      <c r="P81" s="1254"/>
      <c r="Q81" s="1254"/>
      <c r="R81" s="1254"/>
      <c r="S81" s="1254"/>
      <c r="T81" s="1254"/>
      <c r="U81" s="1254"/>
      <c r="V81" s="1280"/>
      <c r="W81" s="1292"/>
    </row>
    <row r="82" s="576" customFormat="1" spans="3:23">
      <c r="C82" s="1256"/>
      <c r="D82" s="1254"/>
      <c r="E82" s="1255"/>
      <c r="F82" s="1255"/>
      <c r="G82" s="1255"/>
      <c r="H82" s="1255"/>
      <c r="I82" s="1255"/>
      <c r="J82" s="1255"/>
      <c r="K82" s="1255"/>
      <c r="L82" s="1254"/>
      <c r="M82" s="1254"/>
      <c r="N82" s="1254"/>
      <c r="O82" s="1254"/>
      <c r="P82" s="1254"/>
      <c r="Q82" s="1254"/>
      <c r="R82" s="1254"/>
      <c r="S82" s="1254"/>
      <c r="T82" s="1254"/>
      <c r="U82" s="1254"/>
      <c r="V82" s="1280"/>
      <c r="W82" s="1292"/>
    </row>
    <row r="83" s="576" customFormat="1" spans="3:27">
      <c r="C83" s="1256"/>
      <c r="D83" s="1254"/>
      <c r="E83" s="1255"/>
      <c r="F83" s="1255"/>
      <c r="G83" s="1255"/>
      <c r="H83" s="1255"/>
      <c r="I83" s="1255"/>
      <c r="J83" s="1255"/>
      <c r="K83" s="1255"/>
      <c r="L83" s="1254"/>
      <c r="M83" s="1254"/>
      <c r="N83" s="1277"/>
      <c r="O83" s="1277"/>
      <c r="P83" s="1254"/>
      <c r="Q83" s="1254"/>
      <c r="R83" s="1293" t="s">
        <v>12920</v>
      </c>
      <c r="S83" s="1293"/>
      <c r="T83" s="1293"/>
      <c r="U83" s="1293"/>
      <c r="V83" s="1293"/>
      <c r="W83" s="1292"/>
      <c r="AA83" s="578"/>
    </row>
    <row r="84" s="576" customFormat="1" spans="3:27">
      <c r="C84" s="1256"/>
      <c r="D84" s="1254"/>
      <c r="E84" s="1255"/>
      <c r="F84" s="1255"/>
      <c r="G84" s="1255"/>
      <c r="H84" s="1255"/>
      <c r="I84" s="1255"/>
      <c r="J84" s="1255"/>
      <c r="K84" s="1255"/>
      <c r="L84" s="1277">
        <f>+N84+365</f>
        <v>44926</v>
      </c>
      <c r="M84" s="1254"/>
      <c r="N84" s="1277">
        <f>L10</f>
        <v>44561</v>
      </c>
      <c r="O84" s="1277">
        <f>R10</f>
        <v>44196</v>
      </c>
      <c r="P84" s="1277">
        <f t="shared" ref="P84:U84" si="12">S10</f>
        <v>43830</v>
      </c>
      <c r="Q84" s="1277">
        <f t="shared" si="12"/>
        <v>43465</v>
      </c>
      <c r="R84" s="1277">
        <f t="shared" si="12"/>
        <v>43100</v>
      </c>
      <c r="S84" s="1277" t="str">
        <f t="shared" si="12"/>
        <v>Jumlah</v>
      </c>
      <c r="T84" s="1277" t="str">
        <f t="shared" si="12"/>
        <v>%</v>
      </c>
      <c r="U84" s="1277">
        <f t="shared" si="12"/>
        <v>0</v>
      </c>
      <c r="V84" s="1293"/>
      <c r="W84" s="1292"/>
      <c r="AA84" s="578"/>
    </row>
    <row r="85" s="576" customFormat="1" spans="3:23">
      <c r="C85" s="1256"/>
      <c r="D85" s="1254"/>
      <c r="E85" s="1255"/>
      <c r="F85" s="1255"/>
      <c r="G85" s="1255"/>
      <c r="H85" s="1255"/>
      <c r="I85" s="1255"/>
      <c r="J85" s="1255"/>
      <c r="K85" s="1255"/>
      <c r="L85" s="1254"/>
      <c r="M85" s="1254"/>
      <c r="N85" s="1254"/>
      <c r="O85" s="1254"/>
      <c r="P85" s="1280"/>
      <c r="Q85" s="1254"/>
      <c r="R85" s="1254"/>
      <c r="S85" s="1254"/>
      <c r="T85" s="1254"/>
      <c r="U85" s="1254"/>
      <c r="V85" s="1293"/>
      <c r="W85" s="1292"/>
    </row>
    <row r="86" s="576" customFormat="1" spans="3:27">
      <c r="C86" s="1256"/>
      <c r="D86" s="1254" t="s">
        <v>12919</v>
      </c>
      <c r="E86" s="1255"/>
      <c r="F86" s="1255"/>
      <c r="G86" s="1255"/>
      <c r="H86" s="1255"/>
      <c r="I86" s="1255"/>
      <c r="J86" s="1255"/>
      <c r="K86" s="1255"/>
      <c r="L86" s="1254">
        <f>+K64</f>
        <v>7474615453.59131</v>
      </c>
      <c r="M86" s="1254"/>
      <c r="N86" s="1254">
        <f>+'F3'!Q13</f>
        <v>5551498722</v>
      </c>
      <c r="O86" s="1254">
        <f>+'F3'!R13</f>
        <v>12507006890.5</v>
      </c>
      <c r="P86" s="1281">
        <f>+[99]PL!J9</f>
        <v>15876744367</v>
      </c>
      <c r="Q86" s="1281">
        <f>+[99]PL!K9</f>
        <v>16194648340</v>
      </c>
      <c r="R86" s="1281">
        <f>+[99]PL!L9</f>
        <v>14394528943</v>
      </c>
      <c r="S86" s="1294"/>
      <c r="T86" s="1294"/>
      <c r="U86" s="1294"/>
      <c r="V86" s="1293"/>
      <c r="W86" s="1292"/>
      <c r="AA86" s="578"/>
    </row>
    <row r="87" s="576" customFormat="1" spans="3:27">
      <c r="C87" s="1256"/>
      <c r="D87" s="1254" t="s">
        <v>12378</v>
      </c>
      <c r="E87" s="1255"/>
      <c r="F87" s="1255"/>
      <c r="G87" s="1255"/>
      <c r="H87" s="1255"/>
      <c r="I87" s="1255"/>
      <c r="J87" s="1255"/>
      <c r="K87" s="1255"/>
      <c r="L87" s="1254">
        <f>+'F3'!K14</f>
        <v>3053000539</v>
      </c>
      <c r="M87" s="1254"/>
      <c r="N87" s="1254">
        <f>+'F3'!Q14</f>
        <v>3061286270</v>
      </c>
      <c r="O87" s="1254">
        <f>+'F30'!$R$15</f>
        <v>9124465383.46196</v>
      </c>
      <c r="P87" s="1281">
        <f>+[99]PL!J14</f>
        <v>11397279711.2933</v>
      </c>
      <c r="Q87" s="1281">
        <f>+[99]PL!K14</f>
        <v>11797047243</v>
      </c>
      <c r="R87" s="1281">
        <f>+[99]PL!L14</f>
        <v>10273865106</v>
      </c>
      <c r="S87" s="1281">
        <f>+[99]PL!M14</f>
        <v>12234003131.7</v>
      </c>
      <c r="T87" s="1281">
        <f>+[99]PL!N14</f>
        <v>5175862994.0752</v>
      </c>
      <c r="U87" s="1281">
        <f>+[99]PL!O14</f>
        <v>11197844992</v>
      </c>
      <c r="V87" s="1293"/>
      <c r="W87" s="1292"/>
      <c r="AA87" s="578"/>
    </row>
    <row r="88" spans="3:23">
      <c r="C88" s="1256"/>
      <c r="D88" s="1254" t="s">
        <v>12918</v>
      </c>
      <c r="E88" s="1255"/>
      <c r="F88" s="1255"/>
      <c r="G88" s="1255"/>
      <c r="H88" s="1255"/>
      <c r="I88" s="1255"/>
      <c r="J88" s="1255"/>
      <c r="K88" s="1255"/>
      <c r="L88" s="1259">
        <f>L86-L87</f>
        <v>4421614914.59131</v>
      </c>
      <c r="M88" s="1254"/>
      <c r="N88" s="1259">
        <f>N86-N87</f>
        <v>2490212452</v>
      </c>
      <c r="O88" s="1259">
        <f>O86-O87</f>
        <v>3382541507.03804</v>
      </c>
      <c r="P88" s="1259">
        <f t="shared" ref="P88:R88" si="13">P86-P87</f>
        <v>4479464655.70665</v>
      </c>
      <c r="Q88" s="1259">
        <f t="shared" si="13"/>
        <v>4397601097</v>
      </c>
      <c r="R88" s="1259">
        <f t="shared" si="13"/>
        <v>4120663837</v>
      </c>
      <c r="S88" s="1294"/>
      <c r="T88" s="1294"/>
      <c r="U88" s="1294"/>
      <c r="V88" s="1281"/>
      <c r="W88" s="1292"/>
    </row>
    <row r="89" spans="3:23">
      <c r="C89" s="1256"/>
      <c r="D89" s="1259" t="s">
        <v>12921</v>
      </c>
      <c r="E89" s="1255"/>
      <c r="F89" s="1255"/>
      <c r="G89" s="1255"/>
      <c r="H89" s="1255"/>
      <c r="I89" s="1255"/>
      <c r="J89" s="1255"/>
      <c r="K89" s="1255"/>
      <c r="L89" s="1282">
        <f>L88/L86</f>
        <v>0.591550821850891</v>
      </c>
      <c r="M89" s="1259"/>
      <c r="N89" s="1282">
        <f>N88/N86</f>
        <v>0.44856579758031</v>
      </c>
      <c r="O89" s="1282">
        <f>O88/O86</f>
        <v>0.270451718516868</v>
      </c>
      <c r="P89" s="1282">
        <f t="shared" ref="P89:R89" si="14">P88/P86</f>
        <v>0.28214000000008</v>
      </c>
      <c r="Q89" s="1282">
        <f t="shared" si="14"/>
        <v>0.271546563078998</v>
      </c>
      <c r="R89" s="1282">
        <f t="shared" si="14"/>
        <v>0.286265973226158</v>
      </c>
      <c r="S89" s="1294"/>
      <c r="T89" s="1294"/>
      <c r="U89" s="1294"/>
      <c r="V89" s="1295"/>
      <c r="W89" s="1292"/>
    </row>
    <row r="90" spans="3:23">
      <c r="C90" s="1256"/>
      <c r="D90" s="1254"/>
      <c r="E90" s="1255"/>
      <c r="F90" s="1255"/>
      <c r="G90" s="1255"/>
      <c r="H90" s="1255"/>
      <c r="I90" s="1255"/>
      <c r="J90" s="1255"/>
      <c r="K90" s="1255"/>
      <c r="L90" s="1254"/>
      <c r="M90" s="1254"/>
      <c r="N90" s="1282">
        <f>+L89-N89</f>
        <v>0.142985024270581</v>
      </c>
      <c r="O90" s="1282">
        <f>+N89-O89</f>
        <v>0.178114079063441</v>
      </c>
      <c r="P90" s="1282">
        <f t="shared" ref="P90:R90" si="15">+O89-P89</f>
        <v>-0.0116882814832118</v>
      </c>
      <c r="Q90" s="1282">
        <f t="shared" si="15"/>
        <v>0.0105934369210822</v>
      </c>
      <c r="R90" s="1282">
        <f t="shared" si="15"/>
        <v>-0.0147194101471604</v>
      </c>
      <c r="S90" s="1294"/>
      <c r="T90" s="1294"/>
      <c r="U90" s="1294"/>
      <c r="V90" s="1295"/>
      <c r="W90" s="1292"/>
    </row>
    <row r="91" spans="3:23">
      <c r="C91" s="1256"/>
      <c r="D91" s="1254"/>
      <c r="E91" s="1255"/>
      <c r="F91" s="1255"/>
      <c r="G91" s="1255"/>
      <c r="H91" s="1255"/>
      <c r="I91" s="1255"/>
      <c r="J91" s="1255"/>
      <c r="K91" s="1255"/>
      <c r="L91" s="1254"/>
      <c r="M91" s="1254"/>
      <c r="N91" s="1282"/>
      <c r="O91" s="1282"/>
      <c r="P91" s="1254"/>
      <c r="Q91" s="1254"/>
      <c r="R91" s="1254"/>
      <c r="S91" s="1254"/>
      <c r="T91" s="1254"/>
      <c r="U91" s="1254"/>
      <c r="V91" s="1280"/>
      <c r="W91" s="1292"/>
    </row>
    <row r="92" spans="3:23">
      <c r="C92" s="1256"/>
      <c r="D92" s="1254"/>
      <c r="E92" s="1255"/>
      <c r="F92" s="1255"/>
      <c r="G92" s="1255"/>
      <c r="H92" s="1255"/>
      <c r="I92" s="1255"/>
      <c r="J92" s="1255"/>
      <c r="K92" s="1255"/>
      <c r="L92" s="1254"/>
      <c r="M92" s="1254"/>
      <c r="N92" s="1282"/>
      <c r="O92" s="1282"/>
      <c r="P92" s="1254"/>
      <c r="Q92" s="1254"/>
      <c r="R92" s="1254"/>
      <c r="S92" s="1254"/>
      <c r="T92" s="1254"/>
      <c r="U92" s="1254"/>
      <c r="V92" s="1280"/>
      <c r="W92" s="1292"/>
    </row>
    <row r="93" spans="3:23">
      <c r="C93" s="1256"/>
      <c r="D93" s="1254" t="s">
        <v>12922</v>
      </c>
      <c r="E93" s="1255"/>
      <c r="F93" s="1255"/>
      <c r="G93" s="1255"/>
      <c r="H93" s="1255"/>
      <c r="I93" s="1255"/>
      <c r="J93" s="1255"/>
      <c r="K93" s="1255"/>
      <c r="L93" s="1254"/>
      <c r="M93" s="1254"/>
      <c r="N93" s="1254"/>
      <c r="O93" s="1254"/>
      <c r="P93" s="1254"/>
      <c r="Q93" s="1254"/>
      <c r="R93" s="1254"/>
      <c r="S93" s="1254"/>
      <c r="T93" s="1254"/>
      <c r="U93" s="1254"/>
      <c r="V93" s="1280"/>
      <c r="W93" s="1292"/>
    </row>
    <row r="94" spans="3:23">
      <c r="C94" s="5179" t="s">
        <v>12873</v>
      </c>
      <c r="D94" s="159" t="s">
        <v>12923</v>
      </c>
      <c r="E94" s="1255"/>
      <c r="F94" s="1255"/>
      <c r="G94" s="1255"/>
      <c r="H94" s="1255"/>
      <c r="I94" s="1255"/>
      <c r="J94" s="1255"/>
      <c r="K94" s="1255"/>
      <c r="L94" s="1254"/>
      <c r="M94" s="1254"/>
      <c r="N94" s="1254"/>
      <c r="O94" s="1254"/>
      <c r="P94" s="1254"/>
      <c r="Q94" s="1254"/>
      <c r="R94" s="1254"/>
      <c r="S94" s="1254"/>
      <c r="T94" s="1254"/>
      <c r="U94" s="1254"/>
      <c r="V94" s="1280"/>
      <c r="W94" s="1292"/>
    </row>
    <row r="95" spans="3:23">
      <c r="C95" s="1261"/>
      <c r="D95" s="159" t="s">
        <v>12924</v>
      </c>
      <c r="E95" s="1255"/>
      <c r="F95" s="1255"/>
      <c r="G95" s="1255"/>
      <c r="H95" s="1255"/>
      <c r="I95" s="1255"/>
      <c r="J95" s="1255"/>
      <c r="K95" s="1255"/>
      <c r="L95" s="1254"/>
      <c r="M95" s="1254"/>
      <c r="N95" s="1254"/>
      <c r="O95" s="1254"/>
      <c r="P95" s="1254"/>
      <c r="Q95" s="1254"/>
      <c r="R95" s="1254"/>
      <c r="S95" s="1254"/>
      <c r="T95" s="1254"/>
      <c r="U95" s="1254"/>
      <c r="V95" s="1280"/>
      <c r="W95" s="1292"/>
    </row>
    <row r="96" spans="3:23">
      <c r="C96" s="1261"/>
      <c r="D96" s="159" t="s">
        <v>12925</v>
      </c>
      <c r="E96" s="1255"/>
      <c r="F96" s="1255"/>
      <c r="G96" s="1255"/>
      <c r="H96" s="1255"/>
      <c r="I96" s="1255"/>
      <c r="J96" s="1255"/>
      <c r="K96" s="1255"/>
      <c r="L96" s="1254"/>
      <c r="M96" s="1254"/>
      <c r="N96" s="1254"/>
      <c r="O96" s="1254"/>
      <c r="P96" s="1254"/>
      <c r="Q96" s="1254"/>
      <c r="R96" s="1254"/>
      <c r="S96" s="1254"/>
      <c r="T96" s="1254"/>
      <c r="U96" s="1254"/>
      <c r="V96" s="1280"/>
      <c r="W96" s="1292"/>
    </row>
    <row r="97" spans="3:23">
      <c r="C97" s="1261"/>
      <c r="D97" s="159" t="s">
        <v>12926</v>
      </c>
      <c r="E97" s="1255"/>
      <c r="F97" s="1255"/>
      <c r="G97" s="1255"/>
      <c r="H97" s="1255"/>
      <c r="I97" s="1255"/>
      <c r="J97" s="1255"/>
      <c r="K97" s="1255"/>
      <c r="L97" s="1254"/>
      <c r="M97" s="1254"/>
      <c r="N97" s="1254"/>
      <c r="O97" s="1254"/>
      <c r="P97" s="1254"/>
      <c r="Q97" s="1254"/>
      <c r="R97" s="1254"/>
      <c r="S97" s="1254"/>
      <c r="T97" s="1254"/>
      <c r="U97" s="1254"/>
      <c r="V97" s="1280"/>
      <c r="W97" s="1292"/>
    </row>
    <row r="98" spans="3:23">
      <c r="C98" s="1261"/>
      <c r="D98" s="159" t="s">
        <v>12927</v>
      </c>
      <c r="E98" s="1255"/>
      <c r="F98" s="1255"/>
      <c r="G98" s="1255"/>
      <c r="H98" s="1255"/>
      <c r="I98" s="1255"/>
      <c r="J98" s="1255"/>
      <c r="K98" s="1255"/>
      <c r="L98" s="1254"/>
      <c r="M98" s="1254"/>
      <c r="N98" s="1254"/>
      <c r="O98" s="1254"/>
      <c r="P98" s="1254"/>
      <c r="Q98" s="1254"/>
      <c r="R98" s="1254"/>
      <c r="S98" s="1254"/>
      <c r="T98" s="1254"/>
      <c r="U98" s="1254"/>
      <c r="V98" s="1280"/>
      <c r="W98" s="1292"/>
    </row>
    <row r="99" spans="3:23">
      <c r="C99" s="1261"/>
      <c r="D99" s="1262" t="s">
        <v>12928</v>
      </c>
      <c r="E99" s="1255"/>
      <c r="F99" s="1255"/>
      <c r="G99" s="1255"/>
      <c r="H99" s="1255"/>
      <c r="I99" s="1255"/>
      <c r="J99" s="1255"/>
      <c r="K99" s="1255"/>
      <c r="L99" s="1254"/>
      <c r="M99" s="1254"/>
      <c r="N99" s="1254"/>
      <c r="O99" s="1254"/>
      <c r="P99" s="1254"/>
      <c r="Q99" s="1254"/>
      <c r="R99" s="1254"/>
      <c r="S99" s="1254"/>
      <c r="T99" s="1254"/>
      <c r="U99" s="1254"/>
      <c r="V99" s="1280"/>
      <c r="W99" s="1292"/>
    </row>
    <row r="100" spans="3:23">
      <c r="C100" s="1261"/>
      <c r="D100" s="1262" t="s">
        <v>12929</v>
      </c>
      <c r="E100" s="1255"/>
      <c r="F100" s="1255"/>
      <c r="G100" s="1255"/>
      <c r="H100" s="1255"/>
      <c r="I100" s="1255"/>
      <c r="J100" s="1255"/>
      <c r="K100" s="1255"/>
      <c r="L100" s="1254"/>
      <c r="M100" s="1254"/>
      <c r="N100" s="1254"/>
      <c r="O100" s="1254"/>
      <c r="P100" s="1254"/>
      <c r="Q100" s="1254"/>
      <c r="R100" s="1254"/>
      <c r="S100" s="1254"/>
      <c r="T100" s="1254"/>
      <c r="U100" s="1254"/>
      <c r="V100" s="1280"/>
      <c r="W100" s="1292"/>
    </row>
    <row r="101" spans="3:23">
      <c r="C101" s="1261"/>
      <c r="D101" s="1262" t="s">
        <v>12930</v>
      </c>
      <c r="E101" s="1255"/>
      <c r="F101" s="1255"/>
      <c r="G101" s="1255"/>
      <c r="H101" s="1255"/>
      <c r="I101" s="1255"/>
      <c r="J101" s="1255"/>
      <c r="K101" s="1255"/>
      <c r="L101" s="1254"/>
      <c r="M101" s="1254"/>
      <c r="N101" s="1254"/>
      <c r="O101" s="1254"/>
      <c r="P101" s="1254"/>
      <c r="Q101" s="1254"/>
      <c r="R101" s="1254"/>
      <c r="S101" s="1254"/>
      <c r="T101" s="1254"/>
      <c r="U101" s="1254"/>
      <c r="V101" s="1280"/>
      <c r="W101" s="1292"/>
    </row>
    <row r="102" spans="3:23">
      <c r="C102" s="1261"/>
      <c r="D102" s="159"/>
      <c r="E102" s="1255"/>
      <c r="F102" s="1255"/>
      <c r="G102" s="1255"/>
      <c r="H102" s="1255"/>
      <c r="I102" s="1255"/>
      <c r="J102" s="1255"/>
      <c r="K102" s="1255"/>
      <c r="L102" s="1254"/>
      <c r="M102" s="1254"/>
      <c r="N102" s="1254"/>
      <c r="O102" s="1254"/>
      <c r="P102" s="1254"/>
      <c r="Q102" s="1254"/>
      <c r="R102" s="1254"/>
      <c r="S102" s="1254"/>
      <c r="T102" s="1254"/>
      <c r="U102" s="1254"/>
      <c r="V102" s="1280"/>
      <c r="W102" s="1292"/>
    </row>
    <row r="103" spans="3:23">
      <c r="C103" s="1261"/>
      <c r="D103" s="159"/>
      <c r="E103" s="1255"/>
      <c r="F103" s="1255"/>
      <c r="G103" s="1255"/>
      <c r="H103" s="1255"/>
      <c r="I103" s="1255"/>
      <c r="J103" s="1255"/>
      <c r="K103" s="1255"/>
      <c r="L103" s="1254"/>
      <c r="M103" s="1254"/>
      <c r="N103" s="1254"/>
      <c r="O103" s="1254"/>
      <c r="P103" s="1254"/>
      <c r="Q103" s="1254"/>
      <c r="R103" s="1254"/>
      <c r="S103" s="1254"/>
      <c r="T103" s="1254"/>
      <c r="U103" s="1254"/>
      <c r="V103" s="1280"/>
      <c r="W103" s="1292"/>
    </row>
    <row r="104" spans="3:23">
      <c r="C104" s="1261"/>
      <c r="D104" s="159"/>
      <c r="E104" s="1255"/>
      <c r="F104" s="1255"/>
      <c r="G104" s="1255"/>
      <c r="H104" s="1255"/>
      <c r="I104" s="1255"/>
      <c r="J104" s="1255"/>
      <c r="K104" s="1255"/>
      <c r="L104" s="1254"/>
      <c r="M104" s="1254"/>
      <c r="N104" s="1254"/>
      <c r="O104" s="1254"/>
      <c r="P104" s="1254"/>
      <c r="Q104" s="1254"/>
      <c r="R104" s="1254"/>
      <c r="S104" s="1254"/>
      <c r="T104" s="1254"/>
      <c r="U104" s="1254"/>
      <c r="V104" s="1280"/>
      <c r="W104" s="1292"/>
    </row>
    <row r="105" spans="3:23">
      <c r="C105" s="1261"/>
      <c r="E105" s="1255"/>
      <c r="F105" s="1255"/>
      <c r="G105" s="1255"/>
      <c r="H105" s="1255"/>
      <c r="I105" s="1255"/>
      <c r="J105" s="1255"/>
      <c r="K105" s="1255"/>
      <c r="L105" s="1254"/>
      <c r="M105" s="1254"/>
      <c r="N105" s="1254"/>
      <c r="O105" s="1279"/>
      <c r="P105" s="1254"/>
      <c r="Q105" s="1254"/>
      <c r="R105" s="1254"/>
      <c r="S105" s="1254"/>
      <c r="T105" s="1254"/>
      <c r="U105" s="1254"/>
      <c r="V105" s="1280"/>
      <c r="W105" s="1292"/>
    </row>
    <row r="106" spans="3:23">
      <c r="C106" s="1261"/>
      <c r="E106" s="1255"/>
      <c r="F106" s="1255"/>
      <c r="G106" s="1255"/>
      <c r="H106" s="1255"/>
      <c r="I106" s="1255"/>
      <c r="J106" s="1255"/>
      <c r="K106" s="1255"/>
      <c r="L106" s="579"/>
      <c r="M106" s="1254"/>
      <c r="N106" s="1254"/>
      <c r="O106" s="1254"/>
      <c r="P106" s="1254"/>
      <c r="Q106" s="1254"/>
      <c r="R106" s="1254"/>
      <c r="S106" s="1254"/>
      <c r="T106" s="1254"/>
      <c r="U106" s="1254"/>
      <c r="V106" s="1280"/>
      <c r="W106" s="1292"/>
    </row>
    <row r="107" spans="3:23">
      <c r="C107" s="1261"/>
      <c r="D107" s="1254"/>
      <c r="E107" s="1255"/>
      <c r="F107" s="1255"/>
      <c r="G107" s="1255"/>
      <c r="H107" s="1255"/>
      <c r="I107" s="1255"/>
      <c r="J107" s="1255"/>
      <c r="K107" s="1255"/>
      <c r="L107" s="1254"/>
      <c r="M107" s="1254"/>
      <c r="N107" s="1254"/>
      <c r="O107" s="1254"/>
      <c r="P107" s="1254"/>
      <c r="Q107" s="1254"/>
      <c r="R107" s="1254"/>
      <c r="S107" s="1254"/>
      <c r="T107" s="1254"/>
      <c r="U107" s="1254"/>
      <c r="V107" s="1280"/>
      <c r="W107" s="1292"/>
    </row>
    <row r="108" spans="3:23">
      <c r="C108" s="1261"/>
      <c r="D108" s="159" t="s">
        <v>12931</v>
      </c>
      <c r="E108" s="1255"/>
      <c r="F108" s="1255"/>
      <c r="G108" s="1255"/>
      <c r="H108" s="1255"/>
      <c r="I108" s="1255"/>
      <c r="J108" s="1255"/>
      <c r="K108" s="1255"/>
      <c r="L108" s="1254"/>
      <c r="M108" s="1254"/>
      <c r="N108" s="1254"/>
      <c r="O108" s="1254"/>
      <c r="P108" s="1254"/>
      <c r="Q108" s="1254"/>
      <c r="R108" s="1254"/>
      <c r="S108" s="1254"/>
      <c r="T108" s="1254"/>
      <c r="U108" s="1254"/>
      <c r="V108" s="1280"/>
      <c r="W108" s="1292"/>
    </row>
    <row r="109" spans="3:23">
      <c r="C109" s="1261"/>
      <c r="D109" s="159" t="s">
        <v>12932</v>
      </c>
      <c r="E109" s="1255"/>
      <c r="F109" s="1255"/>
      <c r="G109" s="1255"/>
      <c r="H109" s="1255"/>
      <c r="I109" s="1255"/>
      <c r="J109" s="1255"/>
      <c r="K109" s="1255"/>
      <c r="L109" s="1254"/>
      <c r="M109" s="1254"/>
      <c r="N109" s="1254"/>
      <c r="O109" s="1254"/>
      <c r="P109" s="1254"/>
      <c r="Q109" s="1254"/>
      <c r="R109" s="1254"/>
      <c r="S109" s="1254"/>
      <c r="T109" s="1254"/>
      <c r="U109" s="1254"/>
      <c r="V109" s="1280"/>
      <c r="W109" s="1292"/>
    </row>
    <row r="110" spans="3:23">
      <c r="C110" s="594"/>
      <c r="D110" s="1263" t="s">
        <v>12933</v>
      </c>
      <c r="E110" s="1264"/>
      <c r="F110" s="1265" t="s">
        <v>153</v>
      </c>
      <c r="G110" s="579"/>
      <c r="H110" s="579"/>
      <c r="I110" s="1255"/>
      <c r="J110" s="1254"/>
      <c r="K110" s="1254"/>
      <c r="L110" s="579"/>
      <c r="M110" s="579"/>
      <c r="N110" s="1254"/>
      <c r="O110" s="1254"/>
      <c r="P110" s="1254"/>
      <c r="Q110" s="1254"/>
      <c r="R110" s="1254"/>
      <c r="S110" s="1254"/>
      <c r="T110" s="1254"/>
      <c r="U110" s="1254"/>
      <c r="V110" s="1280"/>
      <c r="W110" s="1292"/>
    </row>
    <row r="111" spans="3:23">
      <c r="C111" s="594"/>
      <c r="D111" s="1266"/>
      <c r="E111" s="1264"/>
      <c r="F111" s="1265"/>
      <c r="G111" s="579"/>
      <c r="H111" s="579"/>
      <c r="I111" s="1255"/>
      <c r="J111" s="1254"/>
      <c r="K111" s="1254"/>
      <c r="L111" s="579"/>
      <c r="M111" s="579"/>
      <c r="N111" s="1254"/>
      <c r="O111" s="1254"/>
      <c r="P111" s="1254"/>
      <c r="Q111" s="1254"/>
      <c r="R111" s="1254"/>
      <c r="S111" s="1254"/>
      <c r="T111" s="1254"/>
      <c r="U111" s="1254"/>
      <c r="V111" s="1280"/>
      <c r="W111" s="1292"/>
    </row>
    <row r="112" spans="3:23">
      <c r="C112" s="1267">
        <v>1</v>
      </c>
      <c r="D112" s="1266" t="s">
        <v>12934</v>
      </c>
      <c r="E112" s="1268"/>
      <c r="F112" s="579" t="s">
        <v>12935</v>
      </c>
      <c r="G112" s="579"/>
      <c r="H112" s="579"/>
      <c r="I112" s="1255"/>
      <c r="J112" s="1254"/>
      <c r="K112" s="1254"/>
      <c r="L112" s="579"/>
      <c r="M112" s="579"/>
      <c r="N112" s="1254"/>
      <c r="O112" s="1254"/>
      <c r="P112" s="1254"/>
      <c r="Q112" s="1254"/>
      <c r="R112" s="1254"/>
      <c r="S112" s="1254"/>
      <c r="T112" s="1254"/>
      <c r="U112" s="1254"/>
      <c r="V112" s="1280"/>
      <c r="W112" s="1292"/>
    </row>
    <row r="113" spans="3:23">
      <c r="C113" s="1267">
        <v>2</v>
      </c>
      <c r="D113" s="1266" t="s">
        <v>12936</v>
      </c>
      <c r="E113" s="1268"/>
      <c r="F113" s="579" t="s">
        <v>12937</v>
      </c>
      <c r="G113" s="579"/>
      <c r="H113" s="579"/>
      <c r="I113" s="1269"/>
      <c r="J113" s="1283"/>
      <c r="K113" s="1284"/>
      <c r="L113" s="579"/>
      <c r="M113" s="579"/>
      <c r="N113" s="1254"/>
      <c r="O113" s="1254"/>
      <c r="P113" s="1254"/>
      <c r="Q113" s="1254"/>
      <c r="R113" s="1254"/>
      <c r="S113" s="1254"/>
      <c r="T113" s="1254"/>
      <c r="U113" s="1254"/>
      <c r="V113" s="1280"/>
      <c r="W113" s="1292"/>
    </row>
    <row r="114" spans="3:23">
      <c r="C114" s="1261"/>
      <c r="D114" s="579"/>
      <c r="E114" s="1269"/>
      <c r="F114" s="1266"/>
      <c r="G114" s="1268"/>
      <c r="H114" s="579"/>
      <c r="I114" s="579"/>
      <c r="J114" s="579"/>
      <c r="K114" s="1269"/>
      <c r="L114" s="1283"/>
      <c r="M114" s="1284"/>
      <c r="N114" s="1254"/>
      <c r="O114" s="1254"/>
      <c r="P114" s="1254"/>
      <c r="Q114" s="1254"/>
      <c r="R114" s="1254"/>
      <c r="S114" s="1254"/>
      <c r="T114" s="1254"/>
      <c r="U114" s="1254"/>
      <c r="V114" s="1280"/>
      <c r="W114" s="1292"/>
    </row>
    <row r="115" spans="3:23">
      <c r="C115" s="1267"/>
      <c r="D115" s="1263" t="s">
        <v>12938</v>
      </c>
      <c r="E115" s="1268"/>
      <c r="F115" s="579"/>
      <c r="G115" s="579"/>
      <c r="H115" s="579"/>
      <c r="I115" s="1269"/>
      <c r="J115" s="1269"/>
      <c r="K115" s="579"/>
      <c r="L115" s="579"/>
      <c r="M115" s="1284"/>
      <c r="N115" s="1254"/>
      <c r="O115" s="1254"/>
      <c r="P115" s="1254"/>
      <c r="Q115" s="1254"/>
      <c r="R115" s="1254"/>
      <c r="S115" s="1254"/>
      <c r="T115" s="1254"/>
      <c r="U115" s="1254"/>
      <c r="V115" s="1280"/>
      <c r="W115" s="1292"/>
    </row>
    <row r="116" spans="3:23">
      <c r="C116" s="1267"/>
      <c r="D116" s="1266" t="s">
        <v>12939</v>
      </c>
      <c r="E116" s="1268"/>
      <c r="F116" s="1270">
        <v>1000000</v>
      </c>
      <c r="G116" s="579"/>
      <c r="H116" s="579"/>
      <c r="I116" s="1269" t="s">
        <v>12940</v>
      </c>
      <c r="J116" s="1269"/>
      <c r="K116" s="579"/>
      <c r="L116" s="579"/>
      <c r="M116" s="1284"/>
      <c r="N116" s="1254"/>
      <c r="O116" s="1254"/>
      <c r="P116" s="1254"/>
      <c r="Q116" s="1254"/>
      <c r="R116" s="1254"/>
      <c r="S116" s="1254"/>
      <c r="T116" s="1254"/>
      <c r="U116" s="1254"/>
      <c r="V116" s="1280"/>
      <c r="W116" s="1292"/>
    </row>
    <row r="117" spans="3:23">
      <c r="C117" s="1267"/>
      <c r="D117" s="1266" t="s">
        <v>12941</v>
      </c>
      <c r="E117" s="1268"/>
      <c r="F117" s="1270"/>
      <c r="G117" s="579"/>
      <c r="H117" s="579"/>
      <c r="I117" s="1269"/>
      <c r="J117" s="1269"/>
      <c r="K117" s="579"/>
      <c r="L117" s="579"/>
      <c r="M117" s="1284"/>
      <c r="N117" s="1254"/>
      <c r="O117" s="1254"/>
      <c r="P117" s="1254"/>
      <c r="Q117" s="1254"/>
      <c r="R117" s="1254"/>
      <c r="S117" s="1254"/>
      <c r="T117" s="1254"/>
      <c r="U117" s="1254"/>
      <c r="V117" s="1280"/>
      <c r="W117" s="1292"/>
    </row>
    <row r="118" spans="3:23">
      <c r="C118" s="1267"/>
      <c r="D118" s="1266" t="s">
        <v>12942</v>
      </c>
      <c r="E118" s="1268"/>
      <c r="F118" s="1270"/>
      <c r="G118" s="579"/>
      <c r="H118" s="579"/>
      <c r="I118" s="1269"/>
      <c r="J118" s="1269"/>
      <c r="K118" s="579"/>
      <c r="L118" s="579"/>
      <c r="M118" s="1284"/>
      <c r="N118" s="1254"/>
      <c r="O118" s="1254"/>
      <c r="P118" s="1254"/>
      <c r="Q118" s="1254"/>
      <c r="R118" s="1254"/>
      <c r="S118" s="1254"/>
      <c r="T118" s="1254"/>
      <c r="U118" s="1254"/>
      <c r="V118" s="1280"/>
      <c r="W118" s="1292"/>
    </row>
    <row r="119" spans="3:23">
      <c r="C119" s="1261"/>
      <c r="D119" s="579"/>
      <c r="E119" s="1269"/>
      <c r="F119" s="1266"/>
      <c r="G119" s="1268"/>
      <c r="H119" s="1269"/>
      <c r="I119" s="1269"/>
      <c r="J119" s="1284"/>
      <c r="K119" s="1255"/>
      <c r="L119" s="1255"/>
      <c r="M119" s="1254"/>
      <c r="N119" s="1254"/>
      <c r="O119" s="1254"/>
      <c r="P119" s="1254"/>
      <c r="Q119" s="1254"/>
      <c r="R119" s="1254"/>
      <c r="S119" s="1254"/>
      <c r="T119" s="1254"/>
      <c r="U119" s="1254"/>
      <c r="V119" s="1280"/>
      <c r="W119" s="1292"/>
    </row>
    <row r="120" spans="3:23">
      <c r="C120" s="1267">
        <v>4</v>
      </c>
      <c r="D120" s="1266" t="s">
        <v>12943</v>
      </c>
      <c r="E120" s="1268"/>
      <c r="F120" s="579"/>
      <c r="G120" s="579"/>
      <c r="H120" s="1269"/>
      <c r="I120" s="1269"/>
      <c r="J120" s="1284"/>
      <c r="K120" s="1255"/>
      <c r="L120" s="1255"/>
      <c r="M120" s="1254"/>
      <c r="N120" s="1254"/>
      <c r="O120" s="1254"/>
      <c r="P120" s="1254"/>
      <c r="Q120" s="1254"/>
      <c r="R120" s="1254"/>
      <c r="S120" s="1254"/>
      <c r="T120" s="1254"/>
      <c r="U120" s="1254"/>
      <c r="V120" s="1280"/>
      <c r="W120" s="1292"/>
    </row>
    <row r="121" spans="3:23">
      <c r="C121" s="1261"/>
      <c r="D121" s="1269"/>
      <c r="E121" s="579"/>
      <c r="F121" s="1266"/>
      <c r="G121" s="1268"/>
      <c r="H121" s="1269"/>
      <c r="I121" s="1269"/>
      <c r="J121" s="1284"/>
      <c r="K121" s="1255"/>
      <c r="L121" s="1255"/>
      <c r="M121" s="1254"/>
      <c r="N121" s="1254"/>
      <c r="O121" s="1254"/>
      <c r="P121" s="1254"/>
      <c r="Q121" s="1254"/>
      <c r="R121" s="1254"/>
      <c r="S121" s="1254"/>
      <c r="T121" s="1254"/>
      <c r="U121" s="1254"/>
      <c r="V121" s="1280"/>
      <c r="W121" s="1292"/>
    </row>
    <row r="122" spans="3:23">
      <c r="C122" s="1261"/>
      <c r="D122" s="1269"/>
      <c r="E122" s="579"/>
      <c r="F122" s="1266"/>
      <c r="G122" s="1268"/>
      <c r="H122" s="1269"/>
      <c r="I122" s="1269"/>
      <c r="J122" s="1284"/>
      <c r="K122" s="1255"/>
      <c r="L122" s="1255"/>
      <c r="M122" s="1254"/>
      <c r="N122" s="1254"/>
      <c r="O122" s="1254"/>
      <c r="P122" s="1254"/>
      <c r="Q122" s="1254"/>
      <c r="R122" s="1254"/>
      <c r="S122" s="1254"/>
      <c r="T122" s="1254"/>
      <c r="U122" s="1254"/>
      <c r="V122" s="1280"/>
      <c r="W122" s="1292"/>
    </row>
    <row r="123" spans="3:23">
      <c r="C123" s="1261"/>
      <c r="D123" s="1269"/>
      <c r="E123" s="579"/>
      <c r="F123" s="1266"/>
      <c r="G123" s="1268"/>
      <c r="H123" s="1269"/>
      <c r="I123" s="1269"/>
      <c r="J123" s="1284"/>
      <c r="K123" s="1255"/>
      <c r="L123" s="1255"/>
      <c r="M123" s="1254"/>
      <c r="N123" s="1254"/>
      <c r="O123" s="1254"/>
      <c r="P123" s="1254"/>
      <c r="Q123" s="1254"/>
      <c r="R123" s="1254"/>
      <c r="S123" s="1254"/>
      <c r="T123" s="1254"/>
      <c r="U123" s="1254"/>
      <c r="V123" s="1280"/>
      <c r="W123" s="1292"/>
    </row>
    <row r="124" spans="3:23">
      <c r="C124" s="1261"/>
      <c r="D124" s="1269"/>
      <c r="E124" s="1266"/>
      <c r="F124" s="1268"/>
      <c r="G124" s="1269"/>
      <c r="H124" s="1269"/>
      <c r="I124" s="1284"/>
      <c r="J124" s="1255"/>
      <c r="K124" s="1255"/>
      <c r="L124" s="1254"/>
      <c r="M124" s="1254"/>
      <c r="N124" s="1254"/>
      <c r="O124" s="1254"/>
      <c r="P124" s="1254"/>
      <c r="Q124" s="1254"/>
      <c r="R124" s="1254"/>
      <c r="S124" s="1254"/>
      <c r="T124" s="1254"/>
      <c r="U124" s="1254"/>
      <c r="V124" s="1280"/>
      <c r="W124" s="1292"/>
    </row>
    <row r="125" spans="3:23">
      <c r="C125" s="5180" t="s">
        <v>12944</v>
      </c>
      <c r="D125" s="1254"/>
      <c r="E125" s="1255"/>
      <c r="F125" s="1255"/>
      <c r="G125" s="1255"/>
      <c r="H125" s="1255"/>
      <c r="I125" s="1255"/>
      <c r="J125" s="1255"/>
      <c r="K125" s="1255"/>
      <c r="L125" s="1254"/>
      <c r="M125" s="1254"/>
      <c r="N125" s="1254"/>
      <c r="O125" s="1254"/>
      <c r="P125" s="1254"/>
      <c r="Q125" s="1254"/>
      <c r="R125" s="1254"/>
      <c r="S125" s="1254"/>
      <c r="T125" s="1254"/>
      <c r="U125" s="1254"/>
      <c r="V125" s="1280"/>
      <c r="W125" s="1292"/>
    </row>
    <row r="126" spans="3:23">
      <c r="C126" s="1261"/>
      <c r="D126" s="1254"/>
      <c r="E126" s="1255"/>
      <c r="F126" s="1255"/>
      <c r="G126" s="1255"/>
      <c r="H126" s="1255"/>
      <c r="I126" s="1255"/>
      <c r="J126" s="1255"/>
      <c r="K126" s="1255"/>
      <c r="L126" s="1254"/>
      <c r="M126" s="1254"/>
      <c r="N126" s="1254"/>
      <c r="O126" s="1254"/>
      <c r="P126" s="1254"/>
      <c r="Q126" s="1254"/>
      <c r="R126" s="1254"/>
      <c r="S126" s="1254"/>
      <c r="T126" s="1254"/>
      <c r="U126" s="1254"/>
      <c r="V126" s="1280"/>
      <c r="W126" s="1292"/>
    </row>
    <row r="127" spans="3:23">
      <c r="C127" s="1261"/>
      <c r="D127" s="1254"/>
      <c r="E127" s="1255"/>
      <c r="F127" s="1255"/>
      <c r="G127" s="1255"/>
      <c r="H127" s="1255"/>
      <c r="I127" s="1255"/>
      <c r="J127" s="1255"/>
      <c r="K127" s="1255"/>
      <c r="L127" s="1254"/>
      <c r="M127" s="1254"/>
      <c r="N127" s="1254"/>
      <c r="O127" s="1254"/>
      <c r="P127" s="1254"/>
      <c r="Q127" s="1254"/>
      <c r="R127" s="1254"/>
      <c r="S127" s="1254"/>
      <c r="T127" s="1254"/>
      <c r="U127" s="1254"/>
      <c r="V127" s="1280"/>
      <c r="W127" s="1292"/>
    </row>
    <row r="128" spans="2:23">
      <c r="B128" s="579"/>
      <c r="C128" s="1271" t="s">
        <v>952</v>
      </c>
      <c r="D128" s="1272"/>
      <c r="E128" s="1272"/>
      <c r="F128" s="1272"/>
      <c r="G128" s="1272"/>
      <c r="H128" s="1272"/>
      <c r="I128" s="1272"/>
      <c r="J128" s="1272"/>
      <c r="K128" s="1272"/>
      <c r="L128" s="1272"/>
      <c r="M128" s="1272"/>
      <c r="N128" s="1272"/>
      <c r="O128" s="1285"/>
      <c r="P128" s="1285"/>
      <c r="Q128" s="1285"/>
      <c r="R128" s="1285"/>
      <c r="S128" s="1285"/>
      <c r="T128" s="1285"/>
      <c r="U128" s="1285"/>
      <c r="V128" s="1296"/>
      <c r="W128" s="1297"/>
    </row>
    <row r="129" spans="2:23">
      <c r="B129" s="579"/>
      <c r="C129" s="1271"/>
      <c r="D129" s="1298" t="s">
        <v>953</v>
      </c>
      <c r="E129" s="1299" t="s">
        <v>954</v>
      </c>
      <c r="F129" s="1299"/>
      <c r="G129" s="1299"/>
      <c r="H129" s="1299"/>
      <c r="I129" s="1299"/>
      <c r="J129" s="1299"/>
      <c r="K129" s="1299"/>
      <c r="L129" s="1301"/>
      <c r="M129" s="1299" t="s">
        <v>2264</v>
      </c>
      <c r="N129" s="1303"/>
      <c r="O129" s="1285"/>
      <c r="P129" s="1285"/>
      <c r="Q129" s="1285"/>
      <c r="R129" s="1285"/>
      <c r="S129" s="1285"/>
      <c r="T129" s="1285"/>
      <c r="U129" s="1285"/>
      <c r="V129" s="1296"/>
      <c r="W129" s="1297"/>
    </row>
    <row r="130" spans="2:23">
      <c r="B130" s="579"/>
      <c r="C130" s="1300" t="s">
        <v>12945</v>
      </c>
      <c r="D130" s="1272"/>
      <c r="E130" s="1301"/>
      <c r="F130" s="1301"/>
      <c r="G130" s="1301"/>
      <c r="H130" s="1301"/>
      <c r="I130" s="1301"/>
      <c r="J130" s="1301"/>
      <c r="K130" s="1301"/>
      <c r="L130" s="1299"/>
      <c r="M130" s="1308"/>
      <c r="N130" s="1272"/>
      <c r="O130" s="1285"/>
      <c r="P130" s="1285"/>
      <c r="Q130" s="1285"/>
      <c r="R130" s="1285"/>
      <c r="S130" s="1285"/>
      <c r="T130" s="1285"/>
      <c r="U130" s="1285"/>
      <c r="V130" s="1296"/>
      <c r="W130" s="1297"/>
    </row>
    <row r="131" spans="2:23">
      <c r="B131" s="579"/>
      <c r="C131" s="1302"/>
      <c r="D131" s="1303"/>
      <c r="E131" s="1303"/>
      <c r="F131" s="1303"/>
      <c r="G131" s="1303"/>
      <c r="H131" s="1303"/>
      <c r="I131" s="1303"/>
      <c r="J131" s="1303"/>
      <c r="K131" s="1303"/>
      <c r="L131" s="1303"/>
      <c r="M131" s="1303"/>
      <c r="N131" s="1303"/>
      <c r="O131" s="1285"/>
      <c r="P131" s="1285"/>
      <c r="Q131" s="1285"/>
      <c r="R131" s="1285"/>
      <c r="S131" s="1285"/>
      <c r="T131" s="1285"/>
      <c r="U131" s="1285"/>
      <c r="V131" s="1296"/>
      <c r="W131" s="1297"/>
    </row>
    <row r="132" spans="2:23">
      <c r="B132" s="579"/>
      <c r="C132" s="1302"/>
      <c r="D132" s="1303"/>
      <c r="E132" s="1303"/>
      <c r="F132" s="1303"/>
      <c r="G132" s="1303"/>
      <c r="H132" s="1303"/>
      <c r="I132" s="1303"/>
      <c r="J132" s="1303"/>
      <c r="K132" s="1303"/>
      <c r="L132" s="1303"/>
      <c r="M132" s="1303"/>
      <c r="N132" s="1303"/>
      <c r="O132" s="1285"/>
      <c r="P132" s="1285"/>
      <c r="Q132" s="1285"/>
      <c r="R132" s="1285"/>
      <c r="S132" s="1285"/>
      <c r="T132" s="1285"/>
      <c r="U132" s="1285"/>
      <c r="V132" s="1296"/>
      <c r="W132" s="1297"/>
    </row>
    <row r="133" spans="3:23">
      <c r="C133" s="1261"/>
      <c r="D133" s="1254"/>
      <c r="E133" s="1255"/>
      <c r="F133" s="1255"/>
      <c r="G133" s="1255"/>
      <c r="H133" s="1255"/>
      <c r="I133" s="1255"/>
      <c r="J133" s="1255"/>
      <c r="K133" s="1255"/>
      <c r="L133" s="1254"/>
      <c r="M133" s="1254"/>
      <c r="N133" s="1254"/>
      <c r="O133" s="1254"/>
      <c r="P133" s="1254"/>
      <c r="Q133" s="1254"/>
      <c r="R133" s="1254"/>
      <c r="S133" s="1254"/>
      <c r="T133" s="1254"/>
      <c r="U133" s="1254"/>
      <c r="V133" s="1280"/>
      <c r="W133" s="1292"/>
    </row>
    <row r="134" spans="3:23">
      <c r="C134" s="1304"/>
      <c r="D134" s="1305" t="s">
        <v>12946</v>
      </c>
      <c r="E134" s="1306"/>
      <c r="F134" s="1306"/>
      <c r="G134" s="1306"/>
      <c r="H134" s="1306"/>
      <c r="I134" s="1306"/>
      <c r="J134" s="1306"/>
      <c r="K134" s="1306"/>
      <c r="L134" s="1305"/>
      <c r="M134" s="1305"/>
      <c r="N134" s="1305"/>
      <c r="O134" s="1305"/>
      <c r="P134" s="1305"/>
      <c r="Q134" s="1305"/>
      <c r="R134" s="1305"/>
      <c r="S134" s="1305"/>
      <c r="T134" s="1305"/>
      <c r="U134" s="1305"/>
      <c r="V134" s="1309"/>
      <c r="W134" s="1310"/>
    </row>
    <row r="139" spans="4:8">
      <c r="D139" s="576" t="s">
        <v>12947</v>
      </c>
      <c r="F139" s="1307">
        <v>2023</v>
      </c>
      <c r="G139" s="1307">
        <v>2022</v>
      </c>
      <c r="H139" s="1307">
        <v>2021</v>
      </c>
    </row>
    <row r="140" spans="5:5">
      <c r="E140" s="576" t="s">
        <v>12673</v>
      </c>
    </row>
    <row r="141" spans="5:5">
      <c r="E141" s="576" t="s">
        <v>12674</v>
      </c>
    </row>
    <row r="142" spans="5:5">
      <c r="E142" s="576" t="s">
        <v>12779</v>
      </c>
    </row>
    <row r="143" spans="5:5">
      <c r="E143" s="576" t="s">
        <v>12675</v>
      </c>
    </row>
    <row r="144" spans="5:5">
      <c r="E144" s="576" t="s">
        <v>1046</v>
      </c>
    </row>
    <row r="145" spans="5:5">
      <c r="E145" s="576" t="s">
        <v>12676</v>
      </c>
    </row>
    <row r="146" spans="5:5">
      <c r="E146" s="576" t="s">
        <v>12781</v>
      </c>
    </row>
    <row r="147" spans="5:5">
      <c r="E147" s="576" t="s">
        <v>12948</v>
      </c>
    </row>
    <row r="148" spans="5:6">
      <c r="E148" s="576" t="s">
        <v>12678</v>
      </c>
      <c r="F148" s="576">
        <v>64000000</v>
      </c>
    </row>
    <row r="149" spans="5:5">
      <c r="E149" s="576" t="s">
        <v>12679</v>
      </c>
    </row>
    <row r="150" spans="5:5">
      <c r="E150" s="576" t="s">
        <v>12680</v>
      </c>
    </row>
    <row r="151" spans="5:5">
      <c r="E151" s="576" t="s">
        <v>12681</v>
      </c>
    </row>
    <row r="152" spans="6:8">
      <c r="F152" s="576">
        <f>SUM(F140:F151)</f>
        <v>64000000</v>
      </c>
      <c r="G152" s="576">
        <f>SUM(G140:G151)</f>
        <v>0</v>
      </c>
      <c r="H152" s="576">
        <f>SUM(H140:H151)</f>
        <v>0</v>
      </c>
    </row>
  </sheetData>
  <mergeCells count="5">
    <mergeCell ref="H9:I9"/>
    <mergeCell ref="N9:O9"/>
    <mergeCell ref="V9:W9"/>
    <mergeCell ref="R78:V78"/>
    <mergeCell ref="F116:F118"/>
  </mergeCells>
  <hyperlinks>
    <hyperlink ref="W3" location="'F3'!A1" display="10"/>
  </hyperlinks>
  <pageMargins left="0.31496062992126" right="0.31496062992126" top="0.551181102362205" bottom="0.354330708661417" header="0.31496062992126" footer="0.31496062992126"/>
  <pageSetup paperSize="1" scale="63" orientation="landscape"/>
  <headerFooter/>
  <ignoredErrors>
    <ignoredError sqref="E13:E22" numberStoredAsText="1"/>
  </ignoredErrors>
  <drawing r:id="rId2"/>
  <legacyDrawing r:id="rId3"/>
  <oleObjects>
    <mc:AlternateContent xmlns:mc="http://schemas.openxmlformats.org/markup-compatibility/2006">
      <mc:Choice Requires="x14">
        <oleObject shapeId="311297" progId="Paint.Picture" r:id="rId4">
          <objectPr defaultSize="0" r:id="rId5">
            <anchor moveWithCells="1">
              <from>
                <xdr:col>7</xdr:col>
                <xdr:colOff>139700</xdr:colOff>
                <xdr:row>67</xdr:row>
                <xdr:rowOff>101600</xdr:rowOff>
              </from>
              <to>
                <xdr:col>7</xdr:col>
                <xdr:colOff>298450</xdr:colOff>
                <xdr:row>68</xdr:row>
                <xdr:rowOff>107950</xdr:rowOff>
              </to>
            </anchor>
          </objectPr>
        </oleObject>
      </mc:Choice>
      <mc:Fallback>
        <oleObject shapeId="311297" progId="Paint.Picture" r:id="rId4"/>
      </mc:Fallback>
    </mc:AlternateContent>
    <mc:AlternateContent xmlns:mc="http://schemas.openxmlformats.org/markup-compatibility/2006">
      <mc:Choice Requires="x14">
        <oleObject shapeId="753666" progId="Paint.Picture" r:id="rId6">
          <objectPr defaultSize="0" r:id="rId7">
            <anchor moveWithCells="1">
              <from>
                <xdr:col>1</xdr:col>
                <xdr:colOff>114300</xdr:colOff>
                <xdr:row>71</xdr:row>
                <xdr:rowOff>19050</xdr:rowOff>
              </from>
              <to>
                <xdr:col>2</xdr:col>
                <xdr:colOff>82550</xdr:colOff>
                <xdr:row>72</xdr:row>
                <xdr:rowOff>50800</xdr:rowOff>
              </to>
            </anchor>
          </objectPr>
        </oleObject>
      </mc:Choice>
      <mc:Fallback>
        <oleObject shapeId="753666" progId="Paint.Picture" r:id="rId6"/>
      </mc:Fallback>
    </mc:AlternateContent>
    <mc:AlternateContent xmlns:mc="http://schemas.openxmlformats.org/markup-compatibility/2006">
      <mc:Choice Requires="x14">
        <oleObject shapeId="753667" progId="Paint.Picture" r:id="rId8">
          <objectPr defaultSize="0" r:id="rId9">
            <anchor moveWithCells="1">
              <from>
                <xdr:col>1</xdr:col>
                <xdr:colOff>107950</xdr:colOff>
                <xdr:row>72</xdr:row>
                <xdr:rowOff>31750</xdr:rowOff>
              </from>
              <to>
                <xdr:col>2</xdr:col>
                <xdr:colOff>82550</xdr:colOff>
                <xdr:row>73</xdr:row>
                <xdr:rowOff>38100</xdr:rowOff>
              </to>
            </anchor>
          </objectPr>
        </oleObject>
      </mc:Choice>
      <mc:Fallback>
        <oleObject shapeId="753667" progId="Paint.Picture" r:id="rId8"/>
      </mc:Fallback>
    </mc:AlternateContent>
    <mc:AlternateContent xmlns:mc="http://schemas.openxmlformats.org/markup-compatibility/2006">
      <mc:Choice Requires="x14">
        <oleObject shapeId="753668" progId="Paint.Picture" r:id="rId10">
          <objectPr defaultSize="0" r:id="rId5">
            <anchor moveWithCells="1">
              <from>
                <xdr:col>1</xdr:col>
                <xdr:colOff>127000</xdr:colOff>
                <xdr:row>73</xdr:row>
                <xdr:rowOff>19050</xdr:rowOff>
              </from>
              <to>
                <xdr:col>2</xdr:col>
                <xdr:colOff>82550</xdr:colOff>
                <xdr:row>74</xdr:row>
                <xdr:rowOff>19050</xdr:rowOff>
              </to>
            </anchor>
          </objectPr>
        </oleObject>
      </mc:Choice>
      <mc:Fallback>
        <oleObject shapeId="753668" progId="Paint.Picture" r:id="rId10"/>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2"/>
  <dimension ref="B1:Q174"/>
  <sheetViews>
    <sheetView showGridLines="0" workbookViewId="0">
      <pane xSplit="2" ySplit="6" topLeftCell="C57" activePane="bottomRight" state="frozen"/>
      <selection/>
      <selection pane="topRight"/>
      <selection pane="bottomLeft"/>
      <selection pane="bottomRight" activeCell="A78" sqref="A78"/>
    </sheetView>
  </sheetViews>
  <sheetFormatPr defaultColWidth="9.13541666666667" defaultRowHeight="13.2"/>
  <cols>
    <col min="1" max="1" width="2.69791666666667" style="1117" customWidth="1"/>
    <col min="2" max="2" width="43.15625" style="1117" customWidth="1"/>
    <col min="3" max="3" width="15.7291666666667" style="1117" customWidth="1"/>
    <col min="4" max="4" width="19.03125" style="1117" customWidth="1"/>
    <col min="5" max="5" width="21.5729166666667" style="1117" customWidth="1"/>
    <col min="6" max="6" width="18.125" style="1117" customWidth="1"/>
    <col min="7" max="7" width="1.94791666666667" style="1117" customWidth="1"/>
    <col min="8" max="8" width="17.9791666666667" style="1118" customWidth="1"/>
    <col min="9" max="9" width="16.78125" style="1118" customWidth="1"/>
    <col min="10" max="11" width="16.3333333333333" style="1118" customWidth="1"/>
    <col min="12" max="12" width="3.14583333333333" style="1118" customWidth="1"/>
    <col min="13" max="14" width="16.3333333333333" style="1117" customWidth="1"/>
    <col min="15" max="15" width="15.1354166666667" style="1117" customWidth="1"/>
    <col min="16" max="16" width="18.4270833333333" style="1117" customWidth="1"/>
    <col min="17" max="16384" width="9.13541666666667" style="1117"/>
  </cols>
  <sheetData>
    <row r="1" spans="11:14">
      <c r="K1" s="1171" t="s">
        <v>727</v>
      </c>
      <c r="N1" s="1118"/>
    </row>
    <row r="2" spans="2:12">
      <c r="B2" s="1119" t="str">
        <f>'60'!B2</f>
        <v>PT INTAN GIRI ABADI</v>
      </c>
      <c r="C2" s="1119"/>
      <c r="D2" s="1119"/>
      <c r="E2" s="1119"/>
      <c r="F2" s="1119"/>
      <c r="G2" s="1119"/>
      <c r="H2" s="1120"/>
      <c r="I2" s="1120"/>
      <c r="J2" s="1120"/>
      <c r="K2" s="1120"/>
      <c r="L2" s="1172"/>
    </row>
    <row r="3" spans="2:12">
      <c r="B3" s="1121" t="s">
        <v>12949</v>
      </c>
      <c r="C3" s="1121"/>
      <c r="D3" s="1121"/>
      <c r="E3" s="1121"/>
      <c r="F3" s="1121"/>
      <c r="G3" s="1121"/>
      <c r="H3" s="1121"/>
      <c r="I3" s="1121"/>
      <c r="J3" s="1121"/>
      <c r="K3" s="1121"/>
      <c r="L3" s="1172"/>
    </row>
    <row r="4" spans="2:12">
      <c r="B4" s="5181" t="s">
        <v>12950</v>
      </c>
      <c r="C4" s="1122"/>
      <c r="D4" s="1122"/>
      <c r="E4" s="1122"/>
      <c r="F4" s="1122"/>
      <c r="G4" s="1122"/>
      <c r="H4" s="1121"/>
      <c r="I4" s="1121"/>
      <c r="J4" s="1121"/>
      <c r="L4" s="1172"/>
    </row>
    <row r="5" ht="13.95" spans="6:16">
      <c r="F5" s="1123">
        <v>2022</v>
      </c>
      <c r="K5" s="1123">
        <v>2021</v>
      </c>
      <c r="L5" s="1117"/>
      <c r="M5" s="1118"/>
      <c r="N5" s="1118"/>
      <c r="O5" s="1118"/>
      <c r="P5" s="1123">
        <v>2020</v>
      </c>
    </row>
    <row r="6" ht="28.5" customHeight="1" spans="2:16">
      <c r="B6" s="1124" t="s">
        <v>387</v>
      </c>
      <c r="C6" s="1125" t="s">
        <v>12951</v>
      </c>
      <c r="D6" s="1126" t="s">
        <v>12952</v>
      </c>
      <c r="E6" s="1126" t="s">
        <v>12953</v>
      </c>
      <c r="F6" s="1127" t="s">
        <v>12954</v>
      </c>
      <c r="G6" s="1128"/>
      <c r="H6" s="1125" t="s">
        <v>12951</v>
      </c>
      <c r="I6" s="1126" t="s">
        <v>12952</v>
      </c>
      <c r="J6" s="1126" t="s">
        <v>12953</v>
      </c>
      <c r="K6" s="1127" t="s">
        <v>12954</v>
      </c>
      <c r="L6" s="1128"/>
      <c r="M6" s="1125" t="s">
        <v>12951</v>
      </c>
      <c r="N6" s="1126" t="s">
        <v>12952</v>
      </c>
      <c r="O6" s="1126" t="s">
        <v>12953</v>
      </c>
      <c r="P6" s="1127" t="s">
        <v>12954</v>
      </c>
    </row>
    <row r="7" spans="2:16">
      <c r="B7" s="1129"/>
      <c r="C7" s="1130"/>
      <c r="D7" s="1131"/>
      <c r="E7" s="1131"/>
      <c r="F7" s="1131"/>
      <c r="G7" s="1132"/>
      <c r="H7" s="1130"/>
      <c r="I7" s="1131"/>
      <c r="J7" s="1131"/>
      <c r="K7" s="1131"/>
      <c r="L7" s="1132"/>
      <c r="M7" s="1130"/>
      <c r="N7" s="1131"/>
      <c r="O7" s="1131"/>
      <c r="P7" s="1131"/>
    </row>
    <row r="8" spans="2:16">
      <c r="B8" s="1131" t="s">
        <v>12955</v>
      </c>
      <c r="C8" s="1133">
        <f>+'F3'!F13</f>
        <v>7474615453.59131</v>
      </c>
      <c r="D8" s="1134">
        <v>0</v>
      </c>
      <c r="E8" s="1134">
        <v>0</v>
      </c>
      <c r="F8" s="1134">
        <f>C8+D8-E8</f>
        <v>7474615453.59131</v>
      </c>
      <c r="G8" s="1135"/>
      <c r="H8" s="1133">
        <f>+'10'!Q64</f>
        <v>5551498722</v>
      </c>
      <c r="I8" s="1134">
        <v>0</v>
      </c>
      <c r="J8" s="1134">
        <v>0</v>
      </c>
      <c r="K8" s="1134">
        <f>H8+I8-J8</f>
        <v>5551498722</v>
      </c>
      <c r="L8" s="1135"/>
      <c r="M8" s="1133">
        <f>+'10'!R64</f>
        <v>12507006890.5</v>
      </c>
      <c r="N8" s="1134">
        <v>0</v>
      </c>
      <c r="O8" s="1134">
        <v>0</v>
      </c>
      <c r="P8" s="1134">
        <f>M8+N8-O8</f>
        <v>12507006890.5</v>
      </c>
    </row>
    <row r="9" spans="2:16">
      <c r="B9" s="1131" t="s">
        <v>12956</v>
      </c>
      <c r="C9" s="1133"/>
      <c r="D9" s="1134"/>
      <c r="E9" s="1134"/>
      <c r="F9" s="1134"/>
      <c r="G9" s="1135"/>
      <c r="H9" s="1133"/>
      <c r="I9" s="1134"/>
      <c r="J9" s="1134"/>
      <c r="K9" s="1134"/>
      <c r="L9" s="1135"/>
      <c r="M9" s="1133"/>
      <c r="N9" s="1134"/>
      <c r="O9" s="1134">
        <v>0</v>
      </c>
      <c r="P9" s="1134">
        <f>+O9</f>
        <v>0</v>
      </c>
    </row>
    <row r="10" spans="2:16">
      <c r="B10" s="1131" t="s">
        <v>12955</v>
      </c>
      <c r="C10" s="1133"/>
      <c r="D10" s="1134"/>
      <c r="E10" s="1134"/>
      <c r="F10" s="1134"/>
      <c r="G10" s="1135"/>
      <c r="H10" s="1133"/>
      <c r="I10" s="1134"/>
      <c r="J10" s="1134"/>
      <c r="K10" s="1134"/>
      <c r="L10" s="1135"/>
      <c r="M10" s="1133"/>
      <c r="N10" s="1134"/>
      <c r="O10" s="1134"/>
      <c r="P10" s="1134">
        <f>+P8-P9</f>
        <v>12507006890.5</v>
      </c>
    </row>
    <row r="11" spans="2:16">
      <c r="B11" s="1129"/>
      <c r="C11" s="1130"/>
      <c r="D11" s="1131"/>
      <c r="E11" s="1131"/>
      <c r="F11" s="1131"/>
      <c r="G11" s="1135"/>
      <c r="H11" s="1130"/>
      <c r="I11" s="1131"/>
      <c r="J11" s="1131"/>
      <c r="K11" s="1131"/>
      <c r="L11" s="1135"/>
      <c r="M11" s="1130"/>
      <c r="N11" s="1131"/>
      <c r="O11" s="1131"/>
      <c r="P11" s="1131"/>
    </row>
    <row r="12" spans="2:16">
      <c r="B12" s="1136" t="s">
        <v>12957</v>
      </c>
      <c r="C12" s="1133"/>
      <c r="D12" s="1134"/>
      <c r="E12" s="1134"/>
      <c r="F12" s="1134"/>
      <c r="G12" s="1137"/>
      <c r="H12" s="1133"/>
      <c r="I12" s="1134"/>
      <c r="J12" s="1134"/>
      <c r="K12" s="1134"/>
      <c r="L12" s="1137"/>
      <c r="M12" s="1133"/>
      <c r="N12" s="1134"/>
      <c r="O12" s="1134"/>
      <c r="P12" s="1134"/>
    </row>
    <row r="13" spans="2:16">
      <c r="B13" s="1138" t="str">
        <f>'20'!C14</f>
        <v>Material</v>
      </c>
      <c r="C13" s="1139">
        <f>+'20'!F14</f>
        <v>502700450</v>
      </c>
      <c r="D13" s="1134">
        <v>0</v>
      </c>
      <c r="E13" s="1134">
        <v>0</v>
      </c>
      <c r="F13" s="1134">
        <f t="shared" ref="F13:F17" si="0">+C13-D13+E13</f>
        <v>502700450</v>
      </c>
      <c r="G13" s="1140"/>
      <c r="H13" s="1139">
        <f>'20'!L14</f>
        <v>533495000</v>
      </c>
      <c r="I13" s="1134">
        <v>0</v>
      </c>
      <c r="J13" s="1134">
        <v>0</v>
      </c>
      <c r="K13" s="1134">
        <f t="shared" ref="K13:K17" si="1">+H13-I13+J13</f>
        <v>533495000</v>
      </c>
      <c r="L13" s="1140"/>
      <c r="M13" s="1139">
        <f>+'20'!R14</f>
        <v>1616911781.57465</v>
      </c>
      <c r="N13" s="1134">
        <v>0</v>
      </c>
      <c r="O13" s="1134">
        <v>0</v>
      </c>
      <c r="P13" s="1134">
        <f t="shared" ref="P13:P17" si="2">+M13-N13+O13</f>
        <v>1616911781.57465</v>
      </c>
    </row>
    <row r="14" spans="2:16">
      <c r="B14" s="1138" t="str">
        <f>'20'!C15</f>
        <v>Upah karyawan proyek</v>
      </c>
      <c r="C14" s="1139">
        <f>+'20'!F15</f>
        <v>422300500</v>
      </c>
      <c r="D14" s="1134">
        <v>0</v>
      </c>
      <c r="E14" s="1134">
        <v>0</v>
      </c>
      <c r="F14" s="1134">
        <f t="shared" si="0"/>
        <v>422300500</v>
      </c>
      <c r="G14" s="1140"/>
      <c r="H14" s="1139">
        <f>'20'!L15</f>
        <v>414511498</v>
      </c>
      <c r="I14" s="1134">
        <v>0</v>
      </c>
      <c r="J14" s="1134">
        <v>0</v>
      </c>
      <c r="K14" s="1134">
        <f t="shared" si="1"/>
        <v>414511498</v>
      </c>
      <c r="L14" s="1140"/>
      <c r="M14" s="1139">
        <f>+'20'!R15</f>
        <v>1403986764.01995</v>
      </c>
      <c r="N14" s="1134">
        <v>0</v>
      </c>
      <c r="O14" s="1134">
        <v>0</v>
      </c>
      <c r="P14" s="1134">
        <f t="shared" si="2"/>
        <v>1403986764.01995</v>
      </c>
    </row>
    <row r="15" spans="2:16">
      <c r="B15" s="1138" t="str">
        <f>'20'!C16</f>
        <v>Transport</v>
      </c>
      <c r="C15" s="1139">
        <f>+'20'!F16</f>
        <v>147230000</v>
      </c>
      <c r="D15" s="1134">
        <v>0</v>
      </c>
      <c r="E15" s="1134">
        <v>0</v>
      </c>
      <c r="F15" s="1134">
        <f t="shared" si="0"/>
        <v>147230000</v>
      </c>
      <c r="G15" s="1140"/>
      <c r="H15" s="1139">
        <f>'20'!L16</f>
        <v>155956751</v>
      </c>
      <c r="I15" s="1134">
        <v>0</v>
      </c>
      <c r="J15" s="1134">
        <v>0</v>
      </c>
      <c r="K15" s="1134">
        <f t="shared" si="1"/>
        <v>155956751</v>
      </c>
      <c r="L15" s="1140"/>
      <c r="M15" s="1139">
        <f>+'20'!R16</f>
        <v>0</v>
      </c>
      <c r="N15" s="1134">
        <v>0</v>
      </c>
      <c r="O15" s="1134">
        <v>0</v>
      </c>
      <c r="P15" s="1134">
        <f t="shared" si="2"/>
        <v>0</v>
      </c>
    </row>
    <row r="16" spans="2:16">
      <c r="B16" s="1138" t="str">
        <f>'20'!C17</f>
        <v>Penyusutan dan Amortisasi</v>
      </c>
      <c r="C16" s="1139">
        <f>+'20'!F17</f>
        <v>1655768639.20978</v>
      </c>
      <c r="D16" s="1134">
        <v>0</v>
      </c>
      <c r="E16" s="1134">
        <v>0</v>
      </c>
      <c r="F16" s="1134">
        <f t="shared" si="0"/>
        <v>1655768639.20978</v>
      </c>
      <c r="G16" s="1140"/>
      <c r="H16" s="1139">
        <f>'20'!L17</f>
        <v>1623623597</v>
      </c>
      <c r="I16" s="1134">
        <v>0</v>
      </c>
      <c r="J16" s="1134">
        <v>0</v>
      </c>
      <c r="K16" s="1134">
        <f t="shared" si="1"/>
        <v>1623623597</v>
      </c>
      <c r="L16" s="1140"/>
      <c r="M16" s="1139">
        <f>+'20'!R17</f>
        <v>1032437987.5</v>
      </c>
      <c r="N16" s="1134">
        <v>0</v>
      </c>
      <c r="O16" s="1134">
        <v>0</v>
      </c>
      <c r="P16" s="1134">
        <f t="shared" si="2"/>
        <v>1032437987.5</v>
      </c>
    </row>
    <row r="17" spans="2:16">
      <c r="B17" s="1138" t="str">
        <f>'20'!C18</f>
        <v>Lain lain</v>
      </c>
      <c r="C17" s="1139">
        <f>+'20'!F18</f>
        <v>325000949.790218</v>
      </c>
      <c r="D17" s="1134">
        <v>0</v>
      </c>
      <c r="E17" s="1134">
        <v>0</v>
      </c>
      <c r="F17" s="1134">
        <f t="shared" si="0"/>
        <v>325000949.790218</v>
      </c>
      <c r="G17" s="1140"/>
      <c r="H17" s="1139">
        <f>'20'!L18</f>
        <v>333699424</v>
      </c>
      <c r="I17" s="1134">
        <v>0</v>
      </c>
      <c r="J17" s="1134">
        <v>0</v>
      </c>
      <c r="K17" s="1134">
        <f t="shared" si="1"/>
        <v>333699424</v>
      </c>
      <c r="L17" s="1140"/>
      <c r="M17" s="1139">
        <f>+'20'!R18</f>
        <v>5071128850.36736</v>
      </c>
      <c r="N17" s="1134">
        <v>0</v>
      </c>
      <c r="O17" s="1134">
        <v>0</v>
      </c>
      <c r="P17" s="1134">
        <f t="shared" si="2"/>
        <v>5071128850.36736</v>
      </c>
    </row>
    <row r="18" ht="9.6" customHeight="1" spans="2:16">
      <c r="B18" s="1138"/>
      <c r="C18" s="1141"/>
      <c r="D18" s="1141"/>
      <c r="E18" s="1141"/>
      <c r="F18" s="1141"/>
      <c r="G18" s="1142"/>
      <c r="H18" s="1141"/>
      <c r="I18" s="1141"/>
      <c r="J18" s="1141"/>
      <c r="K18" s="1141"/>
      <c r="L18" s="1142"/>
      <c r="M18" s="1141"/>
      <c r="N18" s="1141"/>
      <c r="O18" s="1141"/>
      <c r="P18" s="1141"/>
    </row>
    <row r="19" spans="2:16">
      <c r="B19" s="1143" t="s">
        <v>12958</v>
      </c>
      <c r="C19" s="1133">
        <f>SUM(C13:C18)</f>
        <v>3053000539</v>
      </c>
      <c r="D19" s="1134">
        <f>SUM(D13:D18)</f>
        <v>0</v>
      </c>
      <c r="E19" s="1134">
        <f>SUM(E13:E18)</f>
        <v>0</v>
      </c>
      <c r="F19" s="1133">
        <f>SUM(F13:F18)</f>
        <v>3053000539</v>
      </c>
      <c r="G19" s="1144"/>
      <c r="H19" s="1133">
        <f>SUM(H13:H18)</f>
        <v>3061286270</v>
      </c>
      <c r="I19" s="1134">
        <f>SUM(I13:I18)</f>
        <v>0</v>
      </c>
      <c r="J19" s="1134">
        <f>SUM(J13:J18)</f>
        <v>0</v>
      </c>
      <c r="K19" s="1133">
        <f>SUM(K13:K18)</f>
        <v>3061286270</v>
      </c>
      <c r="L19" s="1144"/>
      <c r="M19" s="1133">
        <f>SUM(M13:M18)</f>
        <v>9124465383.46196</v>
      </c>
      <c r="N19" s="1134">
        <f>SUM(N13:N18)</f>
        <v>0</v>
      </c>
      <c r="O19" s="1134">
        <f>SUM(O13:O18)</f>
        <v>0</v>
      </c>
      <c r="P19" s="1133">
        <f>SUM(P13:P18)</f>
        <v>9124465383.46196</v>
      </c>
    </row>
    <row r="20" ht="13.95" spans="2:16">
      <c r="B20" s="1129"/>
      <c r="C20" s="1130"/>
      <c r="D20" s="1131"/>
      <c r="E20" s="1131"/>
      <c r="F20" s="1131"/>
      <c r="G20" s="1135"/>
      <c r="H20" s="1130"/>
      <c r="I20" s="1131"/>
      <c r="J20" s="1131"/>
      <c r="K20" s="1131"/>
      <c r="L20" s="1135"/>
      <c r="M20" s="1130"/>
      <c r="N20" s="1131"/>
      <c r="O20" s="1131"/>
      <c r="P20" s="1131"/>
    </row>
    <row r="21" ht="13.95" spans="2:17">
      <c r="B21" s="1129" t="s">
        <v>635</v>
      </c>
      <c r="C21" s="1145">
        <f>+C8-C19</f>
        <v>4421614914.59131</v>
      </c>
      <c r="D21" s="1146">
        <f>+D8-D19</f>
        <v>0</v>
      </c>
      <c r="E21" s="1146">
        <f>+E8-E19</f>
        <v>0</v>
      </c>
      <c r="F21" s="1145">
        <f>+F8-F19</f>
        <v>4421614914.59131</v>
      </c>
      <c r="G21" s="1135"/>
      <c r="H21" s="1145">
        <f>+H8-H19</f>
        <v>2490212452</v>
      </c>
      <c r="I21" s="1146">
        <f>+I8-I19</f>
        <v>0</v>
      </c>
      <c r="J21" s="1146">
        <f>+J8-J19</f>
        <v>0</v>
      </c>
      <c r="K21" s="1145">
        <f>+K8-K19</f>
        <v>2490212452</v>
      </c>
      <c r="L21" s="1135"/>
      <c r="M21" s="1145">
        <f>+M8-M19</f>
        <v>3382541507.03804</v>
      </c>
      <c r="N21" s="1146">
        <f>+N8-N19</f>
        <v>0</v>
      </c>
      <c r="O21" s="1146">
        <f>+O8-O19</f>
        <v>0</v>
      </c>
      <c r="P21" s="1145">
        <f>+P8-P19</f>
        <v>3382541507.03804</v>
      </c>
      <c r="Q21" s="1173"/>
    </row>
    <row r="22" spans="2:17">
      <c r="B22" s="1129"/>
      <c r="C22" s="1147"/>
      <c r="D22" s="1147"/>
      <c r="E22" s="1147"/>
      <c r="F22" s="1147"/>
      <c r="G22" s="1148"/>
      <c r="H22" s="1147"/>
      <c r="I22" s="1147"/>
      <c r="J22" s="1147"/>
      <c r="K22" s="1147"/>
      <c r="L22" s="1148"/>
      <c r="M22" s="1147"/>
      <c r="N22" s="1147"/>
      <c r="O22" s="1147"/>
      <c r="P22" s="1147"/>
      <c r="Q22" s="1173"/>
    </row>
    <row r="23" spans="2:17">
      <c r="B23" s="1149" t="s">
        <v>411</v>
      </c>
      <c r="C23" s="1131"/>
      <c r="D23" s="1131"/>
      <c r="E23" s="1131"/>
      <c r="F23" s="1131"/>
      <c r="G23" s="1150"/>
      <c r="H23" s="1131"/>
      <c r="I23" s="1131"/>
      <c r="J23" s="1131"/>
      <c r="K23" s="1131"/>
      <c r="L23" s="1150"/>
      <c r="M23" s="1131"/>
      <c r="N23" s="1131"/>
      <c r="O23" s="1131"/>
      <c r="P23" s="1131"/>
      <c r="Q23" s="1173"/>
    </row>
    <row r="24" spans="2:17">
      <c r="B24" s="1151" t="str">
        <f>'40'!B14</f>
        <v>Beban Penjualan</v>
      </c>
      <c r="C24" s="1131"/>
      <c r="D24" s="1131"/>
      <c r="E24" s="1131"/>
      <c r="F24" s="1131"/>
      <c r="G24" s="1152"/>
      <c r="H24" s="1131"/>
      <c r="I24" s="1131"/>
      <c r="J24" s="1131"/>
      <c r="K24" s="1131"/>
      <c r="L24" s="1152"/>
      <c r="M24" s="1131"/>
      <c r="N24" s="1131"/>
      <c r="O24" s="1131"/>
      <c r="P24" s="1131"/>
      <c r="Q24" s="1173"/>
    </row>
    <row r="25" hidden="1" spans="2:17">
      <c r="B25" s="1129" t="str">
        <f>'40'!B15</f>
        <v>Beban gaji dan tunjangan</v>
      </c>
      <c r="C25" s="1153">
        <f>'40'!G15</f>
        <v>0</v>
      </c>
      <c r="D25" s="1134">
        <v>0</v>
      </c>
      <c r="E25" s="1134">
        <v>0</v>
      </c>
      <c r="F25" s="1134">
        <f t="shared" ref="F25:F33" si="3">+C25-D25+E25</f>
        <v>0</v>
      </c>
      <c r="G25" s="1148"/>
      <c r="H25" s="1153">
        <f>'40'!L15</f>
        <v>0</v>
      </c>
      <c r="I25" s="1134">
        <v>0</v>
      </c>
      <c r="J25" s="1134">
        <v>0</v>
      </c>
      <c r="K25" s="1134">
        <f t="shared" ref="K25:K44" si="4">+H25-I25+J25</f>
        <v>0</v>
      </c>
      <c r="L25" s="1148"/>
      <c r="M25" s="1153">
        <f>'40'!Q15</f>
        <v>0</v>
      </c>
      <c r="N25" s="1134">
        <v>0</v>
      </c>
      <c r="O25" s="1134">
        <v>0</v>
      </c>
      <c r="P25" s="1134">
        <f t="shared" ref="P25:P32" si="5">+M25-N25+O25</f>
        <v>0</v>
      </c>
      <c r="Q25" s="1173"/>
    </row>
    <row r="26" hidden="1" spans="2:17">
      <c r="B26" s="1129" t="str">
        <f>'40'!B16</f>
        <v>Beban barang dan jasa</v>
      </c>
      <c r="C26" s="1153">
        <f>'40'!G16</f>
        <v>0</v>
      </c>
      <c r="D26" s="1134">
        <v>0</v>
      </c>
      <c r="E26" s="1134">
        <v>0</v>
      </c>
      <c r="F26" s="1134">
        <f t="shared" si="3"/>
        <v>0</v>
      </c>
      <c r="G26" s="1148"/>
      <c r="H26" s="1153">
        <f>'40'!L16</f>
        <v>0</v>
      </c>
      <c r="I26" s="1134">
        <v>0</v>
      </c>
      <c r="J26" s="1134">
        <v>0</v>
      </c>
      <c r="K26" s="1134">
        <f t="shared" si="4"/>
        <v>0</v>
      </c>
      <c r="L26" s="1148"/>
      <c r="M26" s="1153">
        <f>'40'!Q16</f>
        <v>0</v>
      </c>
      <c r="N26" s="1134">
        <v>0</v>
      </c>
      <c r="O26" s="1134">
        <v>0</v>
      </c>
      <c r="P26" s="1134">
        <f t="shared" si="5"/>
        <v>0</v>
      </c>
      <c r="Q26" s="1173"/>
    </row>
    <row r="27" spans="2:17">
      <c r="B27" s="1129" t="str">
        <f>'40'!B17</f>
        <v>Beban promosi dan entertainment</v>
      </c>
      <c r="C27" s="1153">
        <f>+'40'!F17</f>
        <v>14200000</v>
      </c>
      <c r="D27" s="1134">
        <v>0</v>
      </c>
      <c r="E27" s="1134">
        <v>0</v>
      </c>
      <c r="F27" s="1134">
        <f t="shared" si="3"/>
        <v>14200000</v>
      </c>
      <c r="G27" s="1148"/>
      <c r="H27" s="1153">
        <f>'40'!L17</f>
        <v>137331501.4</v>
      </c>
      <c r="I27" s="1134">
        <v>0</v>
      </c>
      <c r="J27" s="1134">
        <v>0</v>
      </c>
      <c r="K27" s="1134">
        <f t="shared" si="4"/>
        <v>137331501.4</v>
      </c>
      <c r="L27" s="1148"/>
      <c r="M27" s="1153">
        <f>+'40'!R17</f>
        <v>270992605</v>
      </c>
      <c r="N27" s="1134">
        <v>0</v>
      </c>
      <c r="O27" s="1134">
        <v>0</v>
      </c>
      <c r="P27" s="1134">
        <f t="shared" si="5"/>
        <v>270992605</v>
      </c>
      <c r="Q27" s="1173"/>
    </row>
    <row r="28" hidden="1" spans="2:17">
      <c r="B28" s="1129" t="str">
        <f>'40'!B18</f>
        <v>Beban penyusutan </v>
      </c>
      <c r="C28" s="1153">
        <f>'40'!G18</f>
        <v>0</v>
      </c>
      <c r="D28" s="1134">
        <v>0</v>
      </c>
      <c r="E28" s="1134">
        <v>0</v>
      </c>
      <c r="F28" s="1134">
        <f t="shared" si="3"/>
        <v>0</v>
      </c>
      <c r="G28" s="1148"/>
      <c r="H28" s="1153">
        <f>'40'!L18</f>
        <v>0</v>
      </c>
      <c r="I28" s="1134">
        <v>0</v>
      </c>
      <c r="J28" s="1134">
        <v>0</v>
      </c>
      <c r="K28" s="1134">
        <f t="shared" si="4"/>
        <v>0</v>
      </c>
      <c r="L28" s="1148"/>
      <c r="M28" s="1153">
        <f>'40'!Q18</f>
        <v>0</v>
      </c>
      <c r="N28" s="1134">
        <v>0</v>
      </c>
      <c r="O28" s="1134">
        <v>0</v>
      </c>
      <c r="P28" s="1134">
        <f t="shared" si="5"/>
        <v>0</v>
      </c>
      <c r="Q28" s="1173"/>
    </row>
    <row r="29" hidden="1" spans="2:17">
      <c r="B29" s="1129" t="str">
        <f>'40'!B19</f>
        <v>Beban alat tulis kantor</v>
      </c>
      <c r="C29" s="1153">
        <f>'40'!G19</f>
        <v>0</v>
      </c>
      <c r="D29" s="1134">
        <v>0</v>
      </c>
      <c r="E29" s="1134">
        <v>0</v>
      </c>
      <c r="F29" s="1134">
        <f t="shared" si="3"/>
        <v>0</v>
      </c>
      <c r="G29" s="1148"/>
      <c r="H29" s="1153">
        <f>'40'!L19</f>
        <v>0</v>
      </c>
      <c r="I29" s="1134">
        <v>0</v>
      </c>
      <c r="J29" s="1134">
        <v>0</v>
      </c>
      <c r="K29" s="1134">
        <f t="shared" si="4"/>
        <v>0</v>
      </c>
      <c r="L29" s="1148"/>
      <c r="M29" s="1153">
        <f>'40'!Q19</f>
        <v>0</v>
      </c>
      <c r="N29" s="1134">
        <v>0</v>
      </c>
      <c r="O29" s="1134">
        <v>0</v>
      </c>
      <c r="P29" s="1134">
        <f t="shared" si="5"/>
        <v>0</v>
      </c>
      <c r="Q29" s="1173"/>
    </row>
    <row r="30" hidden="1" spans="2:17">
      <c r="B30" s="1129" t="str">
        <f>'40'!B20</f>
        <v>Beban pemeliharaan</v>
      </c>
      <c r="C30" s="1153">
        <f>'40'!G20</f>
        <v>0</v>
      </c>
      <c r="D30" s="1134">
        <v>0</v>
      </c>
      <c r="E30" s="1134">
        <v>0</v>
      </c>
      <c r="F30" s="1134">
        <f t="shared" si="3"/>
        <v>0</v>
      </c>
      <c r="G30" s="1148"/>
      <c r="H30" s="1153">
        <f>'40'!L20</f>
        <v>0</v>
      </c>
      <c r="I30" s="1134">
        <v>0</v>
      </c>
      <c r="J30" s="1134">
        <v>0</v>
      </c>
      <c r="K30" s="1134">
        <f t="shared" si="4"/>
        <v>0</v>
      </c>
      <c r="L30" s="1148"/>
      <c r="M30" s="1153">
        <f>'40'!Q20</f>
        <v>0</v>
      </c>
      <c r="N30" s="1134">
        <v>0</v>
      </c>
      <c r="O30" s="1134">
        <v>0</v>
      </c>
      <c r="P30" s="1134">
        <f t="shared" si="5"/>
        <v>0</v>
      </c>
      <c r="Q30" s="1173"/>
    </row>
    <row r="31" hidden="1" spans="2:17">
      <c r="B31" s="1129" t="str">
        <f>'40'!B21</f>
        <v>Denda Pajak</v>
      </c>
      <c r="C31" s="1153">
        <f>'40'!G21</f>
        <v>0</v>
      </c>
      <c r="D31" s="1134">
        <v>0</v>
      </c>
      <c r="E31" s="1134">
        <v>0</v>
      </c>
      <c r="F31" s="1134">
        <f t="shared" si="3"/>
        <v>0</v>
      </c>
      <c r="G31" s="1148"/>
      <c r="H31" s="1153">
        <f>'40'!L21</f>
        <v>0</v>
      </c>
      <c r="I31" s="1134">
        <v>0</v>
      </c>
      <c r="J31" s="1134">
        <v>0</v>
      </c>
      <c r="K31" s="1134">
        <f t="shared" si="4"/>
        <v>0</v>
      </c>
      <c r="L31" s="1148"/>
      <c r="M31" s="1153">
        <f>'40'!Q21</f>
        <v>0</v>
      </c>
      <c r="N31" s="1134">
        <v>0</v>
      </c>
      <c r="O31" s="1134">
        <v>0</v>
      </c>
      <c r="P31" s="1134">
        <f t="shared" si="5"/>
        <v>0</v>
      </c>
      <c r="Q31" s="1173"/>
    </row>
    <row r="32" hidden="1" spans="2:17">
      <c r="B32" s="1129" t="str">
        <f>'40'!B22</f>
        <v>Lain-lain</v>
      </c>
      <c r="C32" s="1153">
        <f>'40'!G22</f>
        <v>0</v>
      </c>
      <c r="D32" s="1134">
        <v>0</v>
      </c>
      <c r="E32" s="1134">
        <v>0</v>
      </c>
      <c r="F32" s="1134">
        <f t="shared" si="3"/>
        <v>0</v>
      </c>
      <c r="G32" s="1148"/>
      <c r="H32" s="1153">
        <f>'40'!L22</f>
        <v>0</v>
      </c>
      <c r="I32" s="1134">
        <v>0</v>
      </c>
      <c r="J32" s="1134">
        <v>0</v>
      </c>
      <c r="K32" s="1134">
        <f t="shared" si="4"/>
        <v>0</v>
      </c>
      <c r="L32" s="1148"/>
      <c r="M32" s="1153">
        <f>'40'!Q22</f>
        <v>0</v>
      </c>
      <c r="N32" s="1134">
        <v>0</v>
      </c>
      <c r="O32" s="1134">
        <v>0</v>
      </c>
      <c r="P32" s="1134">
        <f t="shared" si="5"/>
        <v>0</v>
      </c>
      <c r="Q32" s="1173"/>
    </row>
    <row r="33" spans="2:17">
      <c r="B33" s="1151" t="s">
        <v>151</v>
      </c>
      <c r="C33" s="1154">
        <f>SUM(C25:C32)</f>
        <v>14200000</v>
      </c>
      <c r="D33" s="1155">
        <v>0</v>
      </c>
      <c r="E33" s="1155">
        <v>0</v>
      </c>
      <c r="F33" s="1155">
        <f t="shared" si="3"/>
        <v>14200000</v>
      </c>
      <c r="G33" s="1152"/>
      <c r="H33" s="1154">
        <f>SUM(H25:H32)</f>
        <v>137331501.4</v>
      </c>
      <c r="I33" s="1155">
        <v>0</v>
      </c>
      <c r="J33" s="1155">
        <v>0</v>
      </c>
      <c r="K33" s="1155">
        <f>SUM(K25:K32)</f>
        <v>137331501.4</v>
      </c>
      <c r="L33" s="1152"/>
      <c r="M33" s="1154">
        <f>SUM(M25:M32)</f>
        <v>270992605</v>
      </c>
      <c r="N33" s="1155">
        <v>0</v>
      </c>
      <c r="O33" s="1155">
        <v>0</v>
      </c>
      <c r="P33" s="1155">
        <f>SUM(P25:P32)</f>
        <v>270992605</v>
      </c>
      <c r="Q33" s="1173"/>
    </row>
    <row r="34" spans="2:17">
      <c r="B34" s="1129"/>
      <c r="C34" s="1153"/>
      <c r="D34" s="1134"/>
      <c r="E34" s="1134"/>
      <c r="F34" s="1134"/>
      <c r="G34" s="1148"/>
      <c r="H34" s="1153"/>
      <c r="I34" s="1134"/>
      <c r="J34" s="1134"/>
      <c r="K34" s="1134"/>
      <c r="L34" s="1148"/>
      <c r="M34" s="1153"/>
      <c r="N34" s="1134"/>
      <c r="O34" s="1134"/>
      <c r="P34" s="1134"/>
      <c r="Q34" s="1173"/>
    </row>
    <row r="35" spans="2:17">
      <c r="B35" s="1151" t="str">
        <f>'40'!B26</f>
        <v>Beban Umum dan Administrasi</v>
      </c>
      <c r="C35" s="1153"/>
      <c r="D35" s="1134"/>
      <c r="E35" s="1134"/>
      <c r="F35" s="1134"/>
      <c r="G35" s="1152"/>
      <c r="H35" s="1153"/>
      <c r="I35" s="1134"/>
      <c r="J35" s="1134"/>
      <c r="K35" s="1134"/>
      <c r="L35" s="1152"/>
      <c r="M35" s="1153"/>
      <c r="N35" s="1134"/>
      <c r="O35" s="1134"/>
      <c r="P35" s="1134"/>
      <c r="Q35" s="1173"/>
    </row>
    <row r="36" spans="2:17">
      <c r="B36" s="1129" t="str">
        <f>'40'!B27</f>
        <v>Beban gaji dan tunjangan</v>
      </c>
      <c r="C36" s="1153">
        <f>+'40'!F27</f>
        <v>585722836</v>
      </c>
      <c r="D36" s="1134">
        <v>0</v>
      </c>
      <c r="E36" s="1134">
        <v>0</v>
      </c>
      <c r="F36" s="1134">
        <f t="shared" ref="F36:F44" si="6">+C36-D36+E36</f>
        <v>585722836</v>
      </c>
      <c r="G36" s="1148"/>
      <c r="H36" s="1153">
        <f>+'40'!L27</f>
        <v>602760278.3</v>
      </c>
      <c r="I36" s="1134">
        <v>0</v>
      </c>
      <c r="J36" s="1134">
        <v>0</v>
      </c>
      <c r="K36" s="1134">
        <f t="shared" si="4"/>
        <v>602760278.3</v>
      </c>
      <c r="L36" s="1148"/>
      <c r="M36" s="1153">
        <f>+'40'!R27</f>
        <v>962089454.462427</v>
      </c>
      <c r="N36" s="1134">
        <v>0</v>
      </c>
      <c r="O36" s="1134">
        <v>0</v>
      </c>
      <c r="P36" s="1134">
        <f t="shared" ref="P36:P44" si="7">+M36-N36+O36</f>
        <v>962089454.462427</v>
      </c>
      <c r="Q36" s="1173"/>
    </row>
    <row r="37" spans="2:17">
      <c r="B37" s="1129" t="str">
        <f>'40'!B28</f>
        <v>Beban Transportasi</v>
      </c>
      <c r="C37" s="1153">
        <f>+'40'!F28</f>
        <v>42700000</v>
      </c>
      <c r="D37" s="1134">
        <v>0</v>
      </c>
      <c r="E37" s="1134">
        <v>0</v>
      </c>
      <c r="F37" s="1134">
        <f t="shared" si="6"/>
        <v>42700000</v>
      </c>
      <c r="G37" s="1148"/>
      <c r="H37" s="1153">
        <f>'40'!L28</f>
        <v>9905717</v>
      </c>
      <c r="I37" s="1134">
        <v>0</v>
      </c>
      <c r="J37" s="1134">
        <v>0</v>
      </c>
      <c r="K37" s="1134">
        <f t="shared" si="4"/>
        <v>9905717</v>
      </c>
      <c r="L37" s="1148"/>
      <c r="M37" s="1153">
        <f>+'40'!R28</f>
        <v>0</v>
      </c>
      <c r="N37" s="1134">
        <v>0</v>
      </c>
      <c r="O37" s="1134">
        <v>0</v>
      </c>
      <c r="P37" s="1134">
        <f t="shared" si="7"/>
        <v>0</v>
      </c>
      <c r="Q37" s="1173"/>
    </row>
    <row r="38" spans="2:17">
      <c r="B38" s="1129" t="str">
        <f>'40'!B29</f>
        <v>Beban pemeliharaan</v>
      </c>
      <c r="C38" s="1153">
        <f>'40'!G29</f>
        <v>0</v>
      </c>
      <c r="D38" s="1134">
        <v>0</v>
      </c>
      <c r="E38" s="1134">
        <v>0</v>
      </c>
      <c r="F38" s="1134">
        <f t="shared" si="6"/>
        <v>0</v>
      </c>
      <c r="G38" s="1148"/>
      <c r="H38" s="1153">
        <f>'40'!L29</f>
        <v>0</v>
      </c>
      <c r="I38" s="1134">
        <v>0</v>
      </c>
      <c r="J38" s="1134">
        <v>0</v>
      </c>
      <c r="K38" s="1134">
        <f t="shared" si="4"/>
        <v>0</v>
      </c>
      <c r="L38" s="1148"/>
      <c r="M38" s="1153">
        <f>'40'!Q29</f>
        <v>0</v>
      </c>
      <c r="N38" s="1134">
        <v>0</v>
      </c>
      <c r="O38" s="1134">
        <v>0</v>
      </c>
      <c r="P38" s="1134">
        <f t="shared" si="7"/>
        <v>0</v>
      </c>
      <c r="Q38" s="1173"/>
    </row>
    <row r="39" spans="2:17">
      <c r="B39" s="1129" t="str">
        <f>'40'!B30</f>
        <v>Beban penyusutan </v>
      </c>
      <c r="C39" s="1153">
        <f>+'40'!F30</f>
        <v>545866843</v>
      </c>
      <c r="D39" s="1134">
        <v>0</v>
      </c>
      <c r="E39" s="1134">
        <v>0</v>
      </c>
      <c r="F39" s="1134">
        <f t="shared" si="6"/>
        <v>545866843</v>
      </c>
      <c r="G39" s="1148"/>
      <c r="H39" s="1153">
        <f>'40'!L30</f>
        <v>177633247.9</v>
      </c>
      <c r="I39" s="1134">
        <v>0</v>
      </c>
      <c r="J39" s="1134">
        <v>0</v>
      </c>
      <c r="K39" s="1134">
        <f t="shared" si="4"/>
        <v>177633247.9</v>
      </c>
      <c r="L39" s="1148"/>
      <c r="M39" s="1153">
        <f>+'40'!R30</f>
        <v>76822512.5756187</v>
      </c>
      <c r="N39" s="1134">
        <v>0</v>
      </c>
      <c r="O39" s="1134">
        <v>0</v>
      </c>
      <c r="P39" s="1134">
        <f t="shared" si="7"/>
        <v>76822512.5756187</v>
      </c>
      <c r="Q39" s="1173"/>
    </row>
    <row r="40" spans="2:17">
      <c r="B40" s="1129" t="str">
        <f>'40'!B31</f>
        <v>Beban promosi dan entertainment</v>
      </c>
      <c r="C40" s="1153">
        <f>'40'!G31</f>
        <v>0</v>
      </c>
      <c r="D40" s="1134">
        <v>0</v>
      </c>
      <c r="E40" s="1134">
        <v>0</v>
      </c>
      <c r="F40" s="1134">
        <f t="shared" si="6"/>
        <v>0</v>
      </c>
      <c r="G40" s="1148"/>
      <c r="H40" s="1153">
        <f>'40'!L31</f>
        <v>0</v>
      </c>
      <c r="I40" s="1134">
        <v>0</v>
      </c>
      <c r="J40" s="1134">
        <v>0</v>
      </c>
      <c r="K40" s="1134">
        <f t="shared" si="4"/>
        <v>0</v>
      </c>
      <c r="L40" s="1148"/>
      <c r="M40" s="1153">
        <f>'40'!Q31</f>
        <v>0</v>
      </c>
      <c r="N40" s="1134">
        <v>0</v>
      </c>
      <c r="O40" s="1134">
        <v>0</v>
      </c>
      <c r="P40" s="1134">
        <f t="shared" si="7"/>
        <v>0</v>
      </c>
      <c r="Q40" s="1173"/>
    </row>
    <row r="41" spans="2:17">
      <c r="B41" s="1129" t="str">
        <f>'40'!B32</f>
        <v>Beban amortisasi</v>
      </c>
      <c r="C41" s="1153">
        <f>'40'!G32</f>
        <v>0</v>
      </c>
      <c r="D41" s="1134">
        <v>0</v>
      </c>
      <c r="E41" s="1134">
        <v>0</v>
      </c>
      <c r="F41" s="1134">
        <f t="shared" si="6"/>
        <v>0</v>
      </c>
      <c r="G41" s="1148"/>
      <c r="H41" s="1153">
        <f>'40'!L32</f>
        <v>0</v>
      </c>
      <c r="I41" s="1134">
        <v>0</v>
      </c>
      <c r="J41" s="1134">
        <v>0</v>
      </c>
      <c r="K41" s="1134">
        <f t="shared" si="4"/>
        <v>0</v>
      </c>
      <c r="L41" s="1148"/>
      <c r="M41" s="1153">
        <f>'40'!Q32</f>
        <v>0</v>
      </c>
      <c r="N41" s="1134">
        <v>0</v>
      </c>
      <c r="O41" s="1134">
        <v>0</v>
      </c>
      <c r="P41" s="1134">
        <f t="shared" si="7"/>
        <v>0</v>
      </c>
      <c r="Q41" s="1173"/>
    </row>
    <row r="42" spans="2:17">
      <c r="B42" s="1129" t="str">
        <f>'40'!B33</f>
        <v>Beban alat tulis kantor</v>
      </c>
      <c r="C42" s="1153">
        <f>'40'!G33</f>
        <v>0</v>
      </c>
      <c r="D42" s="1134">
        <v>0</v>
      </c>
      <c r="E42" s="1134">
        <v>0</v>
      </c>
      <c r="F42" s="1134">
        <f t="shared" si="6"/>
        <v>0</v>
      </c>
      <c r="G42" s="1148"/>
      <c r="H42" s="1153">
        <f>'40'!L33</f>
        <v>0</v>
      </c>
      <c r="I42" s="1134">
        <v>0</v>
      </c>
      <c r="J42" s="1134">
        <v>0</v>
      </c>
      <c r="K42" s="1134">
        <f t="shared" si="4"/>
        <v>0</v>
      </c>
      <c r="L42" s="1148"/>
      <c r="M42" s="1153">
        <f>'40'!Q33</f>
        <v>0</v>
      </c>
      <c r="N42" s="1134">
        <v>0</v>
      </c>
      <c r="O42" s="1134">
        <v>0</v>
      </c>
      <c r="P42" s="1134">
        <f t="shared" si="7"/>
        <v>0</v>
      </c>
      <c r="Q42" s="1173"/>
    </row>
    <row r="43" spans="2:17">
      <c r="B43" s="1129" t="str">
        <f>'40'!B34</f>
        <v>Beban pajak</v>
      </c>
      <c r="C43" s="1153">
        <f>'40'!G34</f>
        <v>0</v>
      </c>
      <c r="D43" s="1134">
        <v>0</v>
      </c>
      <c r="E43" s="1134">
        <v>0</v>
      </c>
      <c r="F43" s="1134">
        <f t="shared" si="6"/>
        <v>0</v>
      </c>
      <c r="G43" s="1148"/>
      <c r="H43" s="1153">
        <f>'40'!L34</f>
        <v>0</v>
      </c>
      <c r="I43" s="1134">
        <v>0</v>
      </c>
      <c r="J43" s="1134">
        <v>0</v>
      </c>
      <c r="K43" s="1134">
        <f t="shared" si="4"/>
        <v>0</v>
      </c>
      <c r="L43" s="1148"/>
      <c r="M43" s="1153">
        <f>'40'!Q34</f>
        <v>0</v>
      </c>
      <c r="N43" s="1134">
        <v>0</v>
      </c>
      <c r="O43" s="1134">
        <v>0</v>
      </c>
      <c r="P43" s="1134">
        <f t="shared" si="7"/>
        <v>0</v>
      </c>
      <c r="Q43" s="1173"/>
    </row>
    <row r="44" spans="2:17">
      <c r="B44" s="1129" t="str">
        <f>'40'!B35</f>
        <v>BUA - Beban Lain-lain</v>
      </c>
      <c r="C44" s="1153">
        <f>+'40'!F35</f>
        <v>109451540</v>
      </c>
      <c r="D44" s="1134">
        <v>0</v>
      </c>
      <c r="E44" s="1134">
        <v>0</v>
      </c>
      <c r="F44" s="1134">
        <f t="shared" si="6"/>
        <v>109451540</v>
      </c>
      <c r="G44" s="1148"/>
      <c r="H44" s="1153">
        <f>'40'!L35</f>
        <v>565873645.2</v>
      </c>
      <c r="I44" s="1134">
        <v>0</v>
      </c>
      <c r="J44" s="1134">
        <v>0</v>
      </c>
      <c r="K44" s="1134">
        <f t="shared" si="4"/>
        <v>565873645.2</v>
      </c>
      <c r="L44" s="1148"/>
      <c r="M44" s="1153">
        <f>+'40'!R35</f>
        <v>362800000</v>
      </c>
      <c r="N44" s="1134">
        <v>0</v>
      </c>
      <c r="O44" s="1134">
        <v>0</v>
      </c>
      <c r="P44" s="1134">
        <f t="shared" si="7"/>
        <v>362800000</v>
      </c>
      <c r="Q44" s="1173"/>
    </row>
    <row r="45" spans="2:17">
      <c r="B45" s="1151" t="s">
        <v>12959</v>
      </c>
      <c r="C45" s="1154">
        <f>SUM(C35:C44)</f>
        <v>1283741219</v>
      </c>
      <c r="D45" s="1154">
        <f>SUM(D35:D44)</f>
        <v>0</v>
      </c>
      <c r="E45" s="1154">
        <f>SUM(E35:E44)</f>
        <v>0</v>
      </c>
      <c r="F45" s="1154">
        <f>SUM(F35:F44)</f>
        <v>1283741219</v>
      </c>
      <c r="G45" s="1152"/>
      <c r="H45" s="1154">
        <f>SUM(H35:H44)</f>
        <v>1356172888.4</v>
      </c>
      <c r="I45" s="1154">
        <f>SUM(I35:I44)</f>
        <v>0</v>
      </c>
      <c r="J45" s="1154">
        <f>SUM(J35:J44)</f>
        <v>0</v>
      </c>
      <c r="K45" s="1154">
        <f>SUM(K35:K44)</f>
        <v>1356172888.4</v>
      </c>
      <c r="L45" s="1152"/>
      <c r="M45" s="1154">
        <f>SUM(M35:M44)</f>
        <v>1401711967.03805</v>
      </c>
      <c r="N45" s="1154">
        <f>SUM(N35:N44)</f>
        <v>0</v>
      </c>
      <c r="O45" s="1154">
        <f>SUM(O35:O44)</f>
        <v>0</v>
      </c>
      <c r="P45" s="1154">
        <f>SUM(P35:P44)</f>
        <v>1401711967.03805</v>
      </c>
      <c r="Q45" s="1173"/>
    </row>
    <row r="46" spans="2:17">
      <c r="B46" s="1129"/>
      <c r="C46" s="1153"/>
      <c r="D46" s="1134"/>
      <c r="E46" s="1134"/>
      <c r="F46" s="1134"/>
      <c r="G46" s="1148"/>
      <c r="H46" s="1153"/>
      <c r="I46" s="1134"/>
      <c r="J46" s="1134"/>
      <c r="K46" s="1134"/>
      <c r="L46" s="1148"/>
      <c r="M46" s="1153"/>
      <c r="N46" s="1134"/>
      <c r="O46" s="1134"/>
      <c r="P46" s="1134"/>
      <c r="Q46" s="1173"/>
    </row>
    <row r="47" ht="9.95" customHeight="1" spans="2:17">
      <c r="B47" s="1129"/>
      <c r="C47" s="1156"/>
      <c r="D47" s="1156"/>
      <c r="E47" s="1156"/>
      <c r="F47" s="1134"/>
      <c r="G47" s="1148"/>
      <c r="H47" s="1156"/>
      <c r="I47" s="1156"/>
      <c r="J47" s="1156"/>
      <c r="K47" s="1134"/>
      <c r="L47" s="1148"/>
      <c r="M47" s="1156"/>
      <c r="N47" s="1156"/>
      <c r="O47" s="1156"/>
      <c r="P47" s="1134"/>
      <c r="Q47" s="1173"/>
    </row>
    <row r="48" ht="13.95" spans="2:17">
      <c r="B48" s="1151" t="s">
        <v>12960</v>
      </c>
      <c r="C48" s="1157">
        <f>C33+C45</f>
        <v>1297941219</v>
      </c>
      <c r="D48" s="1157">
        <f>D33+D45</f>
        <v>0</v>
      </c>
      <c r="E48" s="1157">
        <f>E33+E45</f>
        <v>0</v>
      </c>
      <c r="F48" s="1157">
        <f>F33+F45</f>
        <v>1297941219</v>
      </c>
      <c r="G48" s="1152"/>
      <c r="H48" s="1157">
        <f>H33+H45</f>
        <v>1493504389.8</v>
      </c>
      <c r="I48" s="1157">
        <f>I33+I45</f>
        <v>0</v>
      </c>
      <c r="J48" s="1157">
        <f>J33+J45</f>
        <v>0</v>
      </c>
      <c r="K48" s="1157">
        <f>K33+K45</f>
        <v>1493504389.8</v>
      </c>
      <c r="L48" s="1152"/>
      <c r="M48" s="1157">
        <f>M33+M45</f>
        <v>1672704572.03805</v>
      </c>
      <c r="N48" s="1157">
        <f>N33+N45</f>
        <v>0</v>
      </c>
      <c r="O48" s="1157">
        <f>O33+O45</f>
        <v>0</v>
      </c>
      <c r="P48" s="1157">
        <f>P33+P45</f>
        <v>1672704572.03805</v>
      </c>
      <c r="Q48" s="1173"/>
    </row>
    <row r="49" ht="13.95" spans="2:17">
      <c r="B49" s="1158"/>
      <c r="C49" s="1159"/>
      <c r="D49" s="1159"/>
      <c r="E49" s="1159"/>
      <c r="F49" s="1159"/>
      <c r="G49" s="1160"/>
      <c r="H49" s="1159"/>
      <c r="I49" s="1159"/>
      <c r="J49" s="1159"/>
      <c r="K49" s="1159"/>
      <c r="L49" s="1160"/>
      <c r="M49" s="1159"/>
      <c r="N49" s="1159"/>
      <c r="O49" s="1159"/>
      <c r="P49" s="1159"/>
      <c r="Q49" s="1173"/>
    </row>
    <row r="50" ht="13.95" spans="2:17">
      <c r="B50" s="1161" t="s">
        <v>817</v>
      </c>
      <c r="C50" s="1157">
        <f>C21-C48</f>
        <v>3123673695.59131</v>
      </c>
      <c r="D50" s="1157">
        <f>D21-D48</f>
        <v>0</v>
      </c>
      <c r="E50" s="1157">
        <f>E21-E48</f>
        <v>0</v>
      </c>
      <c r="F50" s="1157">
        <f>F21-F48</f>
        <v>3123673695.59131</v>
      </c>
      <c r="G50" s="1162"/>
      <c r="H50" s="1157">
        <f>H21-H48</f>
        <v>996708062.2</v>
      </c>
      <c r="I50" s="1157">
        <f>I21-I48</f>
        <v>0</v>
      </c>
      <c r="J50" s="1157">
        <f>J21-J48</f>
        <v>0</v>
      </c>
      <c r="K50" s="1157">
        <f>K21-K48</f>
        <v>996708062.2</v>
      </c>
      <c r="L50" s="1162"/>
      <c r="M50" s="1157">
        <f>M21-M48</f>
        <v>1709836934.99999</v>
      </c>
      <c r="N50" s="1157">
        <f>N21-N48</f>
        <v>0</v>
      </c>
      <c r="O50" s="1157">
        <f>O21-O48</f>
        <v>0</v>
      </c>
      <c r="P50" s="1157">
        <f>P21-P48</f>
        <v>1709836934.99999</v>
      </c>
      <c r="Q50" s="1173"/>
    </row>
    <row r="51" spans="2:17">
      <c r="B51" s="1158"/>
      <c r="C51" s="1134"/>
      <c r="D51" s="1134"/>
      <c r="E51" s="1134"/>
      <c r="F51" s="1134"/>
      <c r="G51" s="1160"/>
      <c r="H51" s="1134"/>
      <c r="I51" s="1134"/>
      <c r="J51" s="1134"/>
      <c r="K51" s="1134"/>
      <c r="L51" s="1160"/>
      <c r="M51" s="1134"/>
      <c r="N51" s="1134"/>
      <c r="O51" s="1134"/>
      <c r="P51" s="1134"/>
      <c r="Q51" s="1173"/>
    </row>
    <row r="52" spans="2:17">
      <c r="B52" s="1163" t="str">
        <f>'50'!B14</f>
        <v>Pendapatan diluar usaha</v>
      </c>
      <c r="C52" s="1134"/>
      <c r="D52" s="1134"/>
      <c r="E52" s="1134"/>
      <c r="F52" s="1134"/>
      <c r="G52" s="1164"/>
      <c r="H52" s="1134"/>
      <c r="I52" s="1134"/>
      <c r="J52" s="1134"/>
      <c r="K52" s="1134"/>
      <c r="L52" s="1164"/>
      <c r="M52" s="1134"/>
      <c r="N52" s="1134"/>
      <c r="O52" s="1134"/>
      <c r="P52" s="1134"/>
      <c r="Q52" s="1173"/>
    </row>
    <row r="53" spans="2:17">
      <c r="B53" s="1138" t="str">
        <f>+'50'!C19</f>
        <v>Pendapatan Bunga Jasa Giro</v>
      </c>
      <c r="C53" s="1134">
        <f>+'50'!E19</f>
        <v>968019.0607</v>
      </c>
      <c r="D53" s="1165">
        <v>0</v>
      </c>
      <c r="E53" s="1134">
        <v>0</v>
      </c>
      <c r="F53" s="1134">
        <f t="shared" ref="F53:F54" si="8">+C53-D53+E53</f>
        <v>968019.0607</v>
      </c>
      <c r="G53" s="1142"/>
      <c r="H53" s="1134">
        <f>+'50'!K19</f>
        <v>6328441.05</v>
      </c>
      <c r="I53" s="1165">
        <v>0</v>
      </c>
      <c r="J53" s="1134">
        <v>0</v>
      </c>
      <c r="K53" s="1134">
        <f t="shared" ref="K53:K54" si="9">+H53-I53+J53</f>
        <v>6328441.05</v>
      </c>
      <c r="L53" s="1142"/>
      <c r="M53" s="1134">
        <f>+'50'!Q19</f>
        <v>8249050</v>
      </c>
      <c r="N53" s="1165">
        <v>0</v>
      </c>
      <c r="O53" s="1134">
        <v>0</v>
      </c>
      <c r="P53" s="1134">
        <f t="shared" ref="P53:P54" si="10">+M53-N53+O53</f>
        <v>8249050</v>
      </c>
      <c r="Q53" s="1173"/>
    </row>
    <row r="54" spans="2:17">
      <c r="B54" s="1166" t="s">
        <v>12961</v>
      </c>
      <c r="C54" s="1134">
        <f>+'50'!F33</f>
        <v>0</v>
      </c>
      <c r="D54" s="1134">
        <v>0</v>
      </c>
      <c r="E54" s="1134">
        <v>0</v>
      </c>
      <c r="F54" s="1134">
        <f t="shared" si="8"/>
        <v>0</v>
      </c>
      <c r="G54" s="1167"/>
      <c r="H54" s="1134">
        <f>+'50'!K33</f>
        <v>5600000</v>
      </c>
      <c r="I54" s="1134">
        <v>0</v>
      </c>
      <c r="J54" s="1134">
        <v>0</v>
      </c>
      <c r="K54" s="1134">
        <f t="shared" si="9"/>
        <v>5600000</v>
      </c>
      <c r="L54" s="1167"/>
      <c r="M54" s="1134">
        <f>+'50'!Q33</f>
        <v>1800000</v>
      </c>
      <c r="N54" s="1134">
        <v>0</v>
      </c>
      <c r="O54" s="1134">
        <v>0</v>
      </c>
      <c r="P54" s="1134">
        <f t="shared" si="10"/>
        <v>1800000</v>
      </c>
      <c r="Q54" s="1173"/>
    </row>
    <row r="55" ht="9.2" customHeight="1" spans="2:17">
      <c r="B55" s="1138"/>
      <c r="C55" s="1134"/>
      <c r="D55" s="1134"/>
      <c r="E55" s="1134"/>
      <c r="F55" s="1134"/>
      <c r="G55" s="1142"/>
      <c r="H55" s="1134"/>
      <c r="I55" s="1134"/>
      <c r="J55" s="1134"/>
      <c r="K55" s="1134"/>
      <c r="L55" s="1142"/>
      <c r="M55" s="1134"/>
      <c r="N55" s="1134"/>
      <c r="O55" s="1134"/>
      <c r="P55" s="1134"/>
      <c r="Q55" s="1173"/>
    </row>
    <row r="56" ht="13.95" spans="2:17">
      <c r="B56" s="1168" t="s">
        <v>12962</v>
      </c>
      <c r="C56" s="1169">
        <f>SUM(C53:C55)</f>
        <v>968019.0607</v>
      </c>
      <c r="D56" s="1157">
        <f>SUM(D53:D55)</f>
        <v>0</v>
      </c>
      <c r="E56" s="1157">
        <f>SUM(E53:E55)</f>
        <v>0</v>
      </c>
      <c r="F56" s="1157">
        <f>SUM(F53:F55)</f>
        <v>968019.0607</v>
      </c>
      <c r="G56" s="1170"/>
      <c r="H56" s="1169">
        <f>SUM(H53:H55)</f>
        <v>11928441.05</v>
      </c>
      <c r="I56" s="1157">
        <f>SUM(I53:I55)</f>
        <v>0</v>
      </c>
      <c r="J56" s="1157">
        <f>SUM(J53:J55)</f>
        <v>0</v>
      </c>
      <c r="K56" s="1157">
        <f>SUM(K53:K55)</f>
        <v>11928441.05</v>
      </c>
      <c r="L56" s="1170"/>
      <c r="M56" s="1169">
        <f>SUM(M53:M55)</f>
        <v>10049050</v>
      </c>
      <c r="N56" s="1157">
        <f>SUM(N53:N55)</f>
        <v>0</v>
      </c>
      <c r="O56" s="1157">
        <f>SUM(O53:O55)</f>
        <v>0</v>
      </c>
      <c r="P56" s="1157">
        <f>SUM(P53:P55)</f>
        <v>10049050</v>
      </c>
      <c r="Q56" s="1173"/>
    </row>
    <row r="57" ht="12" customHeight="1" spans="2:17">
      <c r="B57" s="1158"/>
      <c r="C57" s="1134"/>
      <c r="D57" s="1134"/>
      <c r="E57" s="1134"/>
      <c r="F57" s="1134"/>
      <c r="G57" s="1160"/>
      <c r="H57" s="1134"/>
      <c r="I57" s="1134"/>
      <c r="J57" s="1134"/>
      <c r="K57" s="1134"/>
      <c r="L57" s="1160"/>
      <c r="M57" s="1134"/>
      <c r="N57" s="1134"/>
      <c r="O57" s="1134"/>
      <c r="P57" s="1134"/>
      <c r="Q57" s="1173"/>
    </row>
    <row r="58" spans="2:17">
      <c r="B58" s="1163" t="s">
        <v>12963</v>
      </c>
      <c r="C58" s="1134"/>
      <c r="D58" s="1134"/>
      <c r="E58" s="1134"/>
      <c r="F58" s="1134"/>
      <c r="G58" s="1164"/>
      <c r="H58" s="1134"/>
      <c r="I58" s="1134"/>
      <c r="J58" s="1134"/>
      <c r="K58" s="1134"/>
      <c r="L58" s="1164"/>
      <c r="M58" s="1134"/>
      <c r="N58" s="1134"/>
      <c r="O58" s="1134"/>
      <c r="P58" s="1134"/>
      <c r="Q58" s="1173"/>
    </row>
    <row r="59" spans="2:17">
      <c r="B59" s="1138" t="str">
        <f>+'50'!C40</f>
        <v>Beban Bunga pinjaman</v>
      </c>
      <c r="C59" s="1134">
        <f>+'50'!E40</f>
        <v>2102232955</v>
      </c>
      <c r="D59" s="1134">
        <v>0</v>
      </c>
      <c r="E59" s="1134">
        <v>0</v>
      </c>
      <c r="F59" s="1134">
        <f t="shared" ref="F59:F65" si="11">C59+D59-E59</f>
        <v>2102232955</v>
      </c>
      <c r="G59" s="1142"/>
      <c r="H59" s="1134">
        <f>+'50'!K40</f>
        <v>587493064</v>
      </c>
      <c r="I59" s="1134">
        <v>0</v>
      </c>
      <c r="J59" s="1134">
        <v>0</v>
      </c>
      <c r="K59" s="1134">
        <f t="shared" ref="K59:K65" si="12">H59+I59-J59</f>
        <v>587493064</v>
      </c>
      <c r="L59" s="1142"/>
      <c r="M59" s="1134">
        <f>+'50'!Q40</f>
        <v>546941567</v>
      </c>
      <c r="N59" s="1134">
        <v>0</v>
      </c>
      <c r="O59" s="1134">
        <v>0</v>
      </c>
      <c r="P59" s="1134">
        <f t="shared" ref="P59:P65" si="13">M59+N59-O59</f>
        <v>546941567</v>
      </c>
      <c r="Q59" s="1173"/>
    </row>
    <row r="60" spans="2:17">
      <c r="B60" s="1138" t="str">
        <f>+'50'!C48</f>
        <v>Bank</v>
      </c>
      <c r="C60" s="1134">
        <f>+'50'!E48</f>
        <v>5261099</v>
      </c>
      <c r="D60" s="1134"/>
      <c r="E60" s="1134">
        <v>0</v>
      </c>
      <c r="F60" s="1134">
        <f t="shared" si="11"/>
        <v>5261099</v>
      </c>
      <c r="G60" s="1142"/>
      <c r="H60" s="1134">
        <f>+'50'!K48</f>
        <v>18908000</v>
      </c>
      <c r="I60" s="1134"/>
      <c r="J60" s="1134">
        <v>0</v>
      </c>
      <c r="K60" s="1134">
        <f t="shared" si="12"/>
        <v>18908000</v>
      </c>
      <c r="L60" s="1142"/>
      <c r="M60" s="1134">
        <f>+'50'!Q48</f>
        <v>23958695</v>
      </c>
      <c r="N60" s="1134"/>
      <c r="O60" s="1134">
        <v>0</v>
      </c>
      <c r="P60" s="1134">
        <f t="shared" si="13"/>
        <v>23958695</v>
      </c>
      <c r="Q60" s="1173"/>
    </row>
    <row r="61" spans="2:17">
      <c r="B61" s="1138" t="str">
        <f>+'50'!C57</f>
        <v>PPh 23 Bank BCA</v>
      </c>
      <c r="C61" s="1134">
        <f>+'50'!E57</f>
        <v>297747.5102</v>
      </c>
      <c r="D61" s="1134"/>
      <c r="E61" s="1134">
        <v>0</v>
      </c>
      <c r="F61" s="1134">
        <f t="shared" si="11"/>
        <v>297747.5102</v>
      </c>
      <c r="G61" s="1142"/>
      <c r="H61" s="1134">
        <f>+'50'!K57</f>
        <v>1405499.54</v>
      </c>
      <c r="I61" s="1134"/>
      <c r="J61" s="1134">
        <v>0</v>
      </c>
      <c r="K61" s="1134">
        <f t="shared" si="12"/>
        <v>1405499.54</v>
      </c>
      <c r="L61" s="1142"/>
      <c r="M61" s="1134">
        <f>+'50'!Q57</f>
        <v>1078216</v>
      </c>
      <c r="N61" s="1134"/>
      <c r="O61" s="1134">
        <v>0</v>
      </c>
      <c r="P61" s="1134">
        <f t="shared" si="13"/>
        <v>1078216</v>
      </c>
      <c r="Q61" s="1173"/>
    </row>
    <row r="62" spans="2:17">
      <c r="B62" s="1138" t="str">
        <f>+'50'!C65</f>
        <v>Beban Bunga Guna Usaha</v>
      </c>
      <c r="C62" s="1134">
        <f>+'50'!E65</f>
        <v>286714174</v>
      </c>
      <c r="D62" s="1134"/>
      <c r="E62" s="1134">
        <v>0</v>
      </c>
      <c r="F62" s="1134">
        <f t="shared" si="11"/>
        <v>286714174</v>
      </c>
      <c r="G62" s="1142"/>
      <c r="H62" s="1134">
        <f>+'50'!K65</f>
        <v>111147000</v>
      </c>
      <c r="I62" s="1134"/>
      <c r="J62" s="1134">
        <v>0</v>
      </c>
      <c r="K62" s="1134">
        <f t="shared" si="12"/>
        <v>111147000</v>
      </c>
      <c r="L62" s="1142"/>
      <c r="M62" s="1134">
        <f>+'50'!Q65</f>
        <v>115664892</v>
      </c>
      <c r="N62" s="1134"/>
      <c r="O62" s="1134">
        <v>0</v>
      </c>
      <c r="P62" s="1134">
        <f t="shared" si="13"/>
        <v>115664892</v>
      </c>
      <c r="Q62" s="1173"/>
    </row>
    <row r="63" spans="2:17">
      <c r="B63" s="1138" t="str">
        <f>+'50'!C66</f>
        <v>Provisi Notaris &amp; Appraisal</v>
      </c>
      <c r="C63" s="1134">
        <f>+'50'!E66</f>
        <v>54700000</v>
      </c>
      <c r="D63" s="1134"/>
      <c r="E63" s="1134"/>
      <c r="F63" s="1134">
        <f t="shared" si="11"/>
        <v>54700000</v>
      </c>
      <c r="G63" s="1142"/>
      <c r="H63" s="1134">
        <v>0</v>
      </c>
      <c r="I63" s="1134"/>
      <c r="J63" s="1134"/>
      <c r="K63" s="1134">
        <f t="shared" si="12"/>
        <v>0</v>
      </c>
      <c r="L63" s="1142"/>
      <c r="M63" s="1134">
        <v>0</v>
      </c>
      <c r="N63" s="1134"/>
      <c r="O63" s="1134"/>
      <c r="P63" s="1134">
        <f t="shared" si="13"/>
        <v>0</v>
      </c>
      <c r="Q63" s="1173"/>
    </row>
    <row r="64" spans="2:17">
      <c r="B64" s="1138" t="str">
        <f>+'50'!C67</f>
        <v>Pajak Penghasilan Tahunan</v>
      </c>
      <c r="C64" s="1134">
        <v>0</v>
      </c>
      <c r="D64" s="1134"/>
      <c r="E64" s="1134"/>
      <c r="F64" s="1134">
        <f t="shared" si="11"/>
        <v>0</v>
      </c>
      <c r="G64" s="1142"/>
      <c r="H64" s="1134">
        <v>0</v>
      </c>
      <c r="I64" s="1134"/>
      <c r="J64" s="1134"/>
      <c r="K64" s="1134">
        <f t="shared" si="12"/>
        <v>0</v>
      </c>
      <c r="L64" s="1142"/>
      <c r="M64" s="1134">
        <v>0</v>
      </c>
      <c r="N64" s="1134"/>
      <c r="O64" s="1134"/>
      <c r="P64" s="1134">
        <f t="shared" si="13"/>
        <v>0</v>
      </c>
      <c r="Q64" s="1173"/>
    </row>
    <row r="65" ht="13.95" spans="2:16">
      <c r="B65" s="1166" t="s">
        <v>421</v>
      </c>
      <c r="C65" s="1134">
        <f>SUM('50'!J70:J72)</f>
        <v>66242.0249999994</v>
      </c>
      <c r="D65" s="1134"/>
      <c r="E65" s="1134"/>
      <c r="F65" s="1134">
        <f t="shared" si="11"/>
        <v>66242.0249999994</v>
      </c>
      <c r="G65" s="1142"/>
      <c r="H65" s="1134">
        <f>+'50'!P70+'50'!P71</f>
        <v>18335002.0843981</v>
      </c>
      <c r="I65" s="1134"/>
      <c r="J65" s="1134"/>
      <c r="K65" s="1134">
        <f t="shared" si="12"/>
        <v>18335002.0843981</v>
      </c>
      <c r="L65" s="1142"/>
      <c r="M65" s="1134">
        <f>+'50'!Q70+'50'!Q71</f>
        <v>100000</v>
      </c>
      <c r="N65" s="1134"/>
      <c r="O65" s="1134"/>
      <c r="P65" s="1134">
        <f t="shared" si="13"/>
        <v>100000</v>
      </c>
    </row>
    <row r="66" ht="13.95" spans="2:16">
      <c r="B66" s="1168" t="s">
        <v>12964</v>
      </c>
      <c r="C66" s="1157">
        <f>SUM(C59:C65)</f>
        <v>2449272217.5352</v>
      </c>
      <c r="D66" s="1157">
        <f>SUM(D59:D65)</f>
        <v>0</v>
      </c>
      <c r="E66" s="1157">
        <f>SUM(E59:E65)</f>
        <v>0</v>
      </c>
      <c r="F66" s="1157">
        <f>SUM(F59:F65)</f>
        <v>2449272217.5352</v>
      </c>
      <c r="G66" s="1170"/>
      <c r="H66" s="1157">
        <f>SUM(H59:H65)</f>
        <v>737288565.624398</v>
      </c>
      <c r="I66" s="1157">
        <f>SUM(I59:I65)</f>
        <v>0</v>
      </c>
      <c r="J66" s="1157">
        <f>SUM(J59:J65)</f>
        <v>0</v>
      </c>
      <c r="K66" s="1157">
        <f>SUM(K59:K65)</f>
        <v>737288565.624398</v>
      </c>
      <c r="L66" s="1170"/>
      <c r="M66" s="1157">
        <f>SUM(M59:M65)</f>
        <v>687743370</v>
      </c>
      <c r="N66" s="1157">
        <f>SUM(N59:N65)</f>
        <v>0</v>
      </c>
      <c r="O66" s="1157">
        <f>SUM(O59:O65)</f>
        <v>0</v>
      </c>
      <c r="P66" s="1157">
        <f>SUM(P59:P65)</f>
        <v>687743370</v>
      </c>
    </row>
    <row r="67" ht="13.95" spans="2:16">
      <c r="B67" s="1158"/>
      <c r="C67" s="1134"/>
      <c r="D67" s="1134"/>
      <c r="E67" s="1134"/>
      <c r="F67" s="1134"/>
      <c r="G67" s="1160"/>
      <c r="H67" s="1134"/>
      <c r="I67" s="1134"/>
      <c r="J67" s="1134"/>
      <c r="K67" s="1134"/>
      <c r="L67" s="1160"/>
      <c r="M67" s="1134"/>
      <c r="N67" s="1134"/>
      <c r="O67" s="1134"/>
      <c r="P67" s="1134"/>
    </row>
    <row r="68" ht="13.95" spans="2:16">
      <c r="B68" s="1174" t="s">
        <v>12965</v>
      </c>
      <c r="C68" s="1157">
        <f>+C56-C66</f>
        <v>-2448304198.4745</v>
      </c>
      <c r="D68" s="1157">
        <f>D56-D66</f>
        <v>0</v>
      </c>
      <c r="E68" s="1157">
        <f>E56-E66</f>
        <v>0</v>
      </c>
      <c r="F68" s="1157">
        <f>+F56-F66</f>
        <v>-2448304198.4745</v>
      </c>
      <c r="G68" s="1175"/>
      <c r="H68" s="1157">
        <f>+H56-H66</f>
        <v>-725360124.574398</v>
      </c>
      <c r="I68" s="1157">
        <f>I56-I66</f>
        <v>0</v>
      </c>
      <c r="J68" s="1157">
        <f>J56-J66</f>
        <v>0</v>
      </c>
      <c r="K68" s="1157">
        <f>+K56-K66</f>
        <v>-725360124.574398</v>
      </c>
      <c r="L68" s="1175"/>
      <c r="M68" s="1157">
        <f>+M56-M66</f>
        <v>-677694320</v>
      </c>
      <c r="N68" s="1157">
        <f>N56-N66</f>
        <v>0</v>
      </c>
      <c r="O68" s="1157">
        <f>O56-O66</f>
        <v>0</v>
      </c>
      <c r="P68" s="1157">
        <f>+P56-P66</f>
        <v>-677694320</v>
      </c>
    </row>
    <row r="69" ht="13.95" spans="2:16">
      <c r="B69" s="1174"/>
      <c r="C69" s="1176"/>
      <c r="D69" s="1176"/>
      <c r="E69" s="1176"/>
      <c r="F69" s="1176"/>
      <c r="G69" s="1175"/>
      <c r="H69" s="1176"/>
      <c r="I69" s="1176"/>
      <c r="J69" s="1176"/>
      <c r="K69" s="1176"/>
      <c r="L69" s="1175"/>
      <c r="M69" s="1176"/>
      <c r="N69" s="1176"/>
      <c r="O69" s="1176"/>
      <c r="P69" s="1176"/>
    </row>
    <row r="70" ht="13.95" spans="2:16">
      <c r="B70" s="1177" t="s">
        <v>830</v>
      </c>
      <c r="C70" s="1156">
        <f>+C50+C68</f>
        <v>675369497.116812</v>
      </c>
      <c r="D70" s="1156"/>
      <c r="E70" s="1156"/>
      <c r="F70" s="1156">
        <f>+F50+F68</f>
        <v>675369497.116812</v>
      </c>
      <c r="G70" s="1178"/>
      <c r="H70" s="1156">
        <f>+H50+H68</f>
        <v>271347937.625602</v>
      </c>
      <c r="I70" s="1156"/>
      <c r="J70" s="1156"/>
      <c r="K70" s="1156">
        <f>+K50+K68</f>
        <v>271347937.625602</v>
      </c>
      <c r="L70" s="1178"/>
      <c r="M70" s="1156">
        <f>+M50+M68</f>
        <v>1032142614.99999</v>
      </c>
      <c r="N70" s="1156"/>
      <c r="O70" s="1156"/>
      <c r="P70" s="1156">
        <f>+P50+P68</f>
        <v>1032142614.99999</v>
      </c>
    </row>
    <row r="71" spans="3:16">
      <c r="C71" s="1118"/>
      <c r="D71" s="1118"/>
      <c r="E71" s="1118"/>
      <c r="F71" s="1118"/>
      <c r="L71" s="1117"/>
      <c r="M71" s="1118"/>
      <c r="N71" s="1118"/>
      <c r="O71" s="1118"/>
      <c r="P71" s="1118"/>
    </row>
    <row r="72" spans="3:16">
      <c r="C72" s="1118"/>
      <c r="D72" s="1118"/>
      <c r="E72" s="1118"/>
      <c r="F72" s="1118"/>
      <c r="L72" s="1117"/>
      <c r="M72" s="1118"/>
      <c r="N72" s="1118"/>
      <c r="O72" s="1118"/>
      <c r="P72" s="1118"/>
    </row>
    <row r="73" spans="2:16">
      <c r="B73" s="1118" t="s">
        <v>12966</v>
      </c>
      <c r="C73" s="1118"/>
      <c r="D73" s="1118"/>
      <c r="E73" s="1118"/>
      <c r="F73" s="1179">
        <f>+Note22!AB351</f>
        <v>106154843.160568</v>
      </c>
      <c r="G73" s="1118"/>
      <c r="K73" s="1179">
        <f>+Note21!AB327</f>
        <v>36095021.3763269</v>
      </c>
      <c r="M73" s="1118"/>
      <c r="N73" s="1118"/>
      <c r="O73" s="1118"/>
      <c r="P73" s="1179">
        <f>+Note21!AJ331</f>
        <v>207586987.608534</v>
      </c>
    </row>
    <row r="74" spans="3:15">
      <c r="C74" s="1118"/>
      <c r="D74" s="1118"/>
      <c r="E74" s="1118"/>
      <c r="K74" s="1117"/>
      <c r="L74" s="1117"/>
      <c r="M74" s="1118"/>
      <c r="N74" s="1118"/>
      <c r="O74" s="1118"/>
    </row>
    <row r="75" spans="3:16">
      <c r="C75" s="1118"/>
      <c r="D75" s="1118"/>
      <c r="E75" s="1118"/>
      <c r="F75" s="1118"/>
      <c r="L75" s="1117"/>
      <c r="M75" s="1118"/>
      <c r="N75" s="1118"/>
      <c r="O75" s="1118"/>
      <c r="P75" s="1118"/>
    </row>
    <row r="76" spans="2:16">
      <c r="B76" s="1180" t="s">
        <v>12967</v>
      </c>
      <c r="C76" s="1118"/>
      <c r="D76" s="1118"/>
      <c r="E76" s="1118"/>
      <c r="F76" s="1118"/>
      <c r="G76" s="1180"/>
      <c r="L76" s="1180"/>
      <c r="M76" s="1118"/>
      <c r="N76" s="1118"/>
      <c r="O76" s="1118"/>
      <c r="P76" s="1118"/>
    </row>
    <row r="77" spans="2:16">
      <c r="B77" s="1118" t="s">
        <v>12968</v>
      </c>
      <c r="C77" s="1118"/>
      <c r="D77" s="1118"/>
      <c r="E77" s="1118"/>
      <c r="F77" s="1181">
        <f>+'1022'!AC113</f>
        <v>28200472.36</v>
      </c>
      <c r="G77" s="1118"/>
      <c r="K77" s="1181">
        <v>33038000</v>
      </c>
      <c r="M77" s="1118"/>
      <c r="N77" s="1118"/>
      <c r="O77" s="1118"/>
      <c r="P77" s="1181">
        <v>45723000</v>
      </c>
    </row>
    <row r="78" spans="2:16">
      <c r="B78" s="1118" t="s">
        <v>12969</v>
      </c>
      <c r="C78" s="1118"/>
      <c r="D78" s="1118"/>
      <c r="E78" s="1118"/>
      <c r="F78" s="1181">
        <v>0</v>
      </c>
      <c r="G78" s="1118"/>
      <c r="K78" s="1181">
        <v>625124</v>
      </c>
      <c r="M78" s="1118"/>
      <c r="N78" s="1118"/>
      <c r="O78" s="1118"/>
      <c r="P78" s="1181">
        <v>7441013</v>
      </c>
    </row>
    <row r="79" spans="2:16">
      <c r="B79" s="1118" t="s">
        <v>12970</v>
      </c>
      <c r="C79" s="1118"/>
      <c r="D79" s="1118"/>
      <c r="E79" s="1118"/>
      <c r="F79" s="1181">
        <v>0</v>
      </c>
      <c r="G79" s="1118"/>
      <c r="K79" s="1181">
        <v>0</v>
      </c>
      <c r="M79" s="1118"/>
      <c r="N79" s="1118"/>
      <c r="O79" s="1118"/>
      <c r="P79" s="1185">
        <v>3794500</v>
      </c>
    </row>
    <row r="80" spans="2:16">
      <c r="B80" s="1118" t="s">
        <v>12971</v>
      </c>
      <c r="C80" s="1118"/>
      <c r="D80" s="1118"/>
      <c r="E80" s="1118"/>
      <c r="F80" s="1181">
        <v>0</v>
      </c>
      <c r="G80" s="1118"/>
      <c r="K80" s="1181">
        <v>0</v>
      </c>
      <c r="M80" s="1118"/>
      <c r="N80" s="1118"/>
      <c r="O80" s="1118"/>
      <c r="P80" s="1185">
        <v>840000</v>
      </c>
    </row>
    <row r="81" spans="2:16">
      <c r="B81" s="1118" t="s">
        <v>12972</v>
      </c>
      <c r="C81" s="1118"/>
      <c r="D81" s="1118"/>
      <c r="E81" s="1118"/>
      <c r="F81" s="1181">
        <v>0</v>
      </c>
      <c r="G81" s="1118"/>
      <c r="K81" s="1181">
        <v>0</v>
      </c>
      <c r="M81" s="1118"/>
      <c r="N81" s="1118"/>
      <c r="O81" s="1118"/>
      <c r="P81" s="1185">
        <v>16174218</v>
      </c>
    </row>
    <row r="82" spans="3:16">
      <c r="C82" s="1118"/>
      <c r="D82" s="1118"/>
      <c r="E82" s="1118"/>
      <c r="F82" s="1182"/>
      <c r="K82" s="1182"/>
      <c r="L82" s="1117"/>
      <c r="M82" s="1118"/>
      <c r="N82" s="1118"/>
      <c r="O82" s="1118"/>
      <c r="P82" s="1182"/>
    </row>
    <row r="83" spans="2:16">
      <c r="B83" s="1118" t="s">
        <v>12973</v>
      </c>
      <c r="C83" s="1118"/>
      <c r="D83" s="1118"/>
      <c r="E83" s="1118"/>
      <c r="F83" s="1183">
        <f>SUM(F77:F82)</f>
        <v>28200472.36</v>
      </c>
      <c r="G83" s="1118"/>
      <c r="K83" s="1183">
        <f>SUM(K77:K82)</f>
        <v>33663124</v>
      </c>
      <c r="M83" s="1118"/>
      <c r="N83" s="1118"/>
      <c r="O83" s="1118"/>
      <c r="P83" s="1183">
        <f>SUM(P77:P82)</f>
        <v>73972731</v>
      </c>
    </row>
    <row r="84" spans="3:16">
      <c r="C84" s="1118"/>
      <c r="D84" s="1118"/>
      <c r="E84" s="1118"/>
      <c r="F84" s="1118"/>
      <c r="L84" s="1117"/>
      <c r="M84" s="1118"/>
      <c r="N84" s="1118"/>
      <c r="O84" s="1118"/>
      <c r="P84" s="1118"/>
    </row>
    <row r="85" spans="2:16">
      <c r="B85" s="1117" t="s">
        <v>12974</v>
      </c>
      <c r="C85" s="1118"/>
      <c r="D85" s="1118"/>
      <c r="E85" s="1118"/>
      <c r="F85" s="1184">
        <f>+F73-F83</f>
        <v>77954370.8005685</v>
      </c>
      <c r="K85" s="1184">
        <f>+K73-K83</f>
        <v>2431897.37632693</v>
      </c>
      <c r="L85" s="1117"/>
      <c r="M85" s="1118"/>
      <c r="N85" s="1118"/>
      <c r="O85" s="1118"/>
      <c r="P85" s="1184">
        <f>+P73-P83</f>
        <v>133614256.608534</v>
      </c>
    </row>
    <row r="86" spans="11:16">
      <c r="K86" s="1186"/>
      <c r="L86" s="1117"/>
      <c r="M86" s="1118"/>
      <c r="N86" s="1118"/>
      <c r="O86" s="1118"/>
      <c r="P86" s="1186"/>
    </row>
    <row r="87" spans="11:11">
      <c r="K87" s="1187"/>
    </row>
    <row r="89" spans="16:16">
      <c r="P89" s="1118" t="s">
        <v>12975</v>
      </c>
    </row>
    <row r="163" spans="2:13">
      <c r="B163" s="1117" t="s">
        <v>12976</v>
      </c>
      <c r="K163" s="1187">
        <f>SUM(K161:K162)</f>
        <v>0</v>
      </c>
      <c r="L163" s="1187"/>
      <c r="M163" s="1173"/>
    </row>
    <row r="165" spans="13:13">
      <c r="M165" s="1173"/>
    </row>
    <row r="166" spans="2:13">
      <c r="B166" s="1180" t="s">
        <v>12977</v>
      </c>
      <c r="C166" s="1180"/>
      <c r="D166" s="1180"/>
      <c r="E166" s="1180"/>
      <c r="F166" s="1180"/>
      <c r="G166" s="1180"/>
      <c r="M166" s="1173"/>
    </row>
    <row r="169" spans="2:12">
      <c r="B169" s="1117" t="s">
        <v>12978</v>
      </c>
      <c r="H169" s="1188"/>
      <c r="K169" s="1190">
        <v>0</v>
      </c>
      <c r="L169" s="1190"/>
    </row>
    <row r="170" spans="8:12">
      <c r="H170" s="1188"/>
      <c r="K170" s="1191"/>
      <c r="L170" s="1192"/>
    </row>
    <row r="171" spans="2:12">
      <c r="B171" s="1189" t="s">
        <v>12979</v>
      </c>
      <c r="C171" s="1189"/>
      <c r="D171" s="1189"/>
      <c r="E171" s="1189"/>
      <c r="F171" s="1189"/>
      <c r="G171" s="1189"/>
      <c r="H171" s="1188"/>
      <c r="K171" s="1193">
        <f>SUM(K167:K170)</f>
        <v>0</v>
      </c>
      <c r="L171" s="1193"/>
    </row>
    <row r="173" spans="2:12">
      <c r="B173" s="1117" t="s">
        <v>12974</v>
      </c>
      <c r="K173" s="1184">
        <f>K164-K171</f>
        <v>0</v>
      </c>
      <c r="L173" s="1194"/>
    </row>
    <row r="174" spans="11:12">
      <c r="K174" s="1186">
        <v>0</v>
      </c>
      <c r="L174" s="1186"/>
    </row>
  </sheetData>
  <pageMargins left="0.354330708661417" right="0.354330708661417" top="0.590551181102362" bottom="0.196850393700787" header="0.511811023622047" footer="0.511811023622047"/>
  <pageSetup paperSize="5" scale="60" orientation="portrait"/>
  <headerFooter alignWithMargins="0"/>
  <ignoredErrors>
    <ignoredError sqref="I65:J65;H74:J74;I70:J70;I68:J68;H71:K71;H55:K58;I62:J62;I53:K53;I54:K54;I48:K48;H66:K67;I59:K60;I61:K61;H49:K52;K44;B45" evalError="1"/>
  </ignoredErrors>
  <legacyDrawing r:id="rId2"/>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Z147"/>
  <sheetViews>
    <sheetView showGridLines="0" zoomScale="160" zoomScaleNormal="160" workbookViewId="0">
      <selection activeCell="E8" sqref="E8"/>
    </sheetView>
  </sheetViews>
  <sheetFormatPr defaultColWidth="8.84375" defaultRowHeight="11.4"/>
  <cols>
    <col min="2" max="2" width="52.8958333333333" customWidth="1"/>
    <col min="3" max="4" width="13.03125" customWidth="1"/>
    <col min="5" max="5" width="14.0833333333333" customWidth="1"/>
    <col min="7" max="7" width="48.84375" customWidth="1" outlineLevel="1"/>
    <col min="8" max="8" width="15.1354166666667" customWidth="1" outlineLevel="1"/>
    <col min="9" max="10" width="16.625" customWidth="1" outlineLevel="1"/>
    <col min="11" max="11" width="15.7291666666667" customWidth="1" outlineLevel="1"/>
    <col min="13" max="13" width="44.0520833333333" customWidth="1" outlineLevel="1"/>
    <col min="14" max="14" width="4.04166666666667" customWidth="1" outlineLevel="1"/>
    <col min="15" max="15" width="10.4895833333333" customWidth="1" outlineLevel="1"/>
    <col min="16" max="16" width="15.1354166666667" customWidth="1" outlineLevel="1"/>
    <col min="17" max="17" width="4.48958333333333" customWidth="1"/>
    <col min="18" max="18" width="6.4375" customWidth="1"/>
    <col min="19" max="19" width="51.6875" customWidth="1" outlineLevel="1"/>
    <col min="20" max="20" width="59.6354166666667" hidden="1" customWidth="1" outlineLevel="1"/>
    <col min="21" max="21" width="11.53125" customWidth="1" outlineLevel="1"/>
    <col min="22" max="22" width="13.4895833333333" customWidth="1" outlineLevel="1"/>
    <col min="24" max="24" width="59.9375" customWidth="1" outlineLevel="1"/>
    <col min="25" max="25" width="10.4895833333333" customWidth="1" outlineLevel="1"/>
    <col min="26" max="26" width="13.4895833333333" customWidth="1" outlineLevel="1"/>
  </cols>
  <sheetData>
    <row r="2" ht="12" spans="2:26">
      <c r="B2" s="1076" t="s">
        <v>11765</v>
      </c>
      <c r="C2" s="1077"/>
      <c r="D2" s="1077"/>
      <c r="E2" s="1078"/>
      <c r="G2" s="1076" t="s">
        <v>11765</v>
      </c>
      <c r="H2" s="1077"/>
      <c r="I2" s="1077"/>
      <c r="J2" s="1077"/>
      <c r="K2" s="1078"/>
      <c r="M2" s="1076" t="s">
        <v>11765</v>
      </c>
      <c r="N2" s="1077"/>
      <c r="O2" s="1093"/>
      <c r="P2" s="1094"/>
      <c r="S2" s="1076" t="s">
        <v>11765</v>
      </c>
      <c r="T2" s="1093"/>
      <c r="U2" s="1093"/>
      <c r="V2" s="1094"/>
      <c r="X2" s="1076" t="s">
        <v>11765</v>
      </c>
      <c r="Y2" s="1093"/>
      <c r="Z2" s="1094"/>
    </row>
    <row r="3" ht="13.2" spans="2:26">
      <c r="B3" s="1079" t="s">
        <v>12980</v>
      </c>
      <c r="C3" s="784"/>
      <c r="D3" s="784"/>
      <c r="E3" s="1080"/>
      <c r="G3" s="1079" t="s">
        <v>12981</v>
      </c>
      <c r="H3" s="784"/>
      <c r="I3" s="784"/>
      <c r="J3" s="784"/>
      <c r="K3" s="1080"/>
      <c r="M3" s="1079" t="s">
        <v>12982</v>
      </c>
      <c r="N3" s="784"/>
      <c r="P3" s="356"/>
      <c r="S3" s="1079" t="s">
        <v>12982</v>
      </c>
      <c r="V3" s="356"/>
      <c r="X3" s="1079" t="s">
        <v>12983</v>
      </c>
      <c r="Z3" s="356"/>
    </row>
    <row r="4" ht="13.2" spans="2:26">
      <c r="B4" s="1081"/>
      <c r="E4" s="356"/>
      <c r="G4" s="1081"/>
      <c r="K4" s="356"/>
      <c r="M4" s="1079" t="s">
        <v>1020</v>
      </c>
      <c r="N4" s="784"/>
      <c r="P4" s="356"/>
      <c r="S4" s="1079" t="s">
        <v>1815</v>
      </c>
      <c r="V4" s="356"/>
      <c r="X4" s="1079" t="s">
        <v>1821</v>
      </c>
      <c r="Z4" s="356"/>
    </row>
    <row r="5" spans="2:26">
      <c r="B5" s="1081"/>
      <c r="E5" s="356"/>
      <c r="G5" s="1081"/>
      <c r="K5" s="356"/>
      <c r="M5" s="1081"/>
      <c r="P5" s="5182" t="s">
        <v>451</v>
      </c>
      <c r="S5" s="1081"/>
      <c r="V5" s="5182" t="s">
        <v>452</v>
      </c>
      <c r="X5" s="1081"/>
      <c r="Z5" s="1095">
        <v>2020</v>
      </c>
    </row>
    <row r="6" ht="12" spans="2:26">
      <c r="B6" s="1081"/>
      <c r="C6" s="1082">
        <v>2022</v>
      </c>
      <c r="D6" s="1082">
        <v>2021</v>
      </c>
      <c r="E6" s="1083">
        <v>2020</v>
      </c>
      <c r="G6" s="1081"/>
      <c r="H6" s="1084" t="s">
        <v>12984</v>
      </c>
      <c r="I6" s="1082">
        <v>2022</v>
      </c>
      <c r="J6" s="1082">
        <v>2021</v>
      </c>
      <c r="K6" s="1083">
        <v>2020</v>
      </c>
      <c r="L6" s="1096" t="s">
        <v>12985</v>
      </c>
      <c r="M6" s="1081"/>
      <c r="P6" s="1097">
        <f>SUM(P7:P161)</f>
        <v>7474615452.8796</v>
      </c>
      <c r="S6" s="1081"/>
      <c r="V6" s="1097">
        <f>SUM(V7:V161)</f>
        <v>5551498722.72</v>
      </c>
      <c r="X6" s="1081"/>
      <c r="Z6" s="1097">
        <f>SUM(Z7:Z161)</f>
        <v>0</v>
      </c>
    </row>
    <row r="7" ht="14.4" spans="2:26">
      <c r="B7" s="1081" t="s">
        <v>2035</v>
      </c>
      <c r="C7">
        <f>SUMIF($H$7:$H$30,B7,$I$7:$I$30)</f>
        <v>58250911</v>
      </c>
      <c r="D7">
        <f ca="1">SUMIF($H$7:$H$30,B7,$J$7:$J$30)</f>
        <v>1362343076.72</v>
      </c>
      <c r="E7" s="356">
        <f>SUMIF($H$7:$H$30,B7,$K$7:$K$30)</f>
        <v>6482516021.5</v>
      </c>
      <c r="G7" s="1081" t="s">
        <v>1238</v>
      </c>
      <c r="H7" s="1085" t="s">
        <v>2034</v>
      </c>
      <c r="I7">
        <f>SUMIF($M$7:$M$92,G7,$P$7:$P$92)</f>
        <v>2060320800</v>
      </c>
      <c r="J7">
        <f ca="1" t="shared" ref="J7:J23" si="0">SUMIF($S$7:$T$147,G7,$V$7:$V$147)</f>
        <v>0</v>
      </c>
      <c r="K7" s="356"/>
      <c r="M7" s="1081" t="s">
        <v>12986</v>
      </c>
      <c r="N7" s="1003" t="s">
        <v>1479</v>
      </c>
      <c r="O7" s="1098">
        <v>44602</v>
      </c>
      <c r="P7" s="1099">
        <v>4593600</v>
      </c>
      <c r="S7" s="1108" t="s">
        <v>12986</v>
      </c>
      <c r="T7" s="784" t="s">
        <v>1479</v>
      </c>
      <c r="U7" s="1098">
        <v>44207</v>
      </c>
      <c r="V7" s="1109">
        <v>30400000</v>
      </c>
      <c r="X7" s="1108"/>
      <c r="Y7" s="1098"/>
      <c r="Z7" s="1109">
        <v>0</v>
      </c>
    </row>
    <row r="8" ht="14.4" spans="2:26">
      <c r="B8" s="1081" t="s">
        <v>2034</v>
      </c>
      <c r="C8">
        <f t="shared" ref="C8:C10" si="1">SUMIF($H$7:$H$30,B8,$I$7:$I$30)</f>
        <v>4949344418</v>
      </c>
      <c r="D8">
        <f ca="1" t="shared" ref="D8:D10" si="2">SUMIF($H$7:$H$30,B8,$J$7:$J$30)</f>
        <v>2546584440</v>
      </c>
      <c r="E8" s="356">
        <f t="shared" ref="E8:E10" si="3">SUMIF($H$7:$H$30,B8,$K$7:$K$30)</f>
        <v>4236090171</v>
      </c>
      <c r="G8" s="1081" t="s">
        <v>12987</v>
      </c>
      <c r="H8" s="1085" t="s">
        <v>2036</v>
      </c>
      <c r="I8">
        <f t="shared" ref="I8:I19" si="4">SUMIF($M$7:$M$92,G8,$P$7:$P$92)</f>
        <v>1796531373.8796</v>
      </c>
      <c r="J8">
        <f ca="1" t="shared" si="0"/>
        <v>1080740706</v>
      </c>
      <c r="K8" s="356">
        <f>+'[99]Penj&amp;cus'!$G$46</f>
        <v>1585333737</v>
      </c>
      <c r="M8" s="1081" t="s">
        <v>12986</v>
      </c>
      <c r="N8" s="1100" t="s">
        <v>1479</v>
      </c>
      <c r="O8" s="1098">
        <v>44637</v>
      </c>
      <c r="P8" s="1099">
        <v>41034666</v>
      </c>
      <c r="S8" s="1108" t="s">
        <v>12986</v>
      </c>
      <c r="T8" s="784" t="s">
        <v>1479</v>
      </c>
      <c r="U8" s="1098">
        <v>44207</v>
      </c>
      <c r="V8" s="1109">
        <v>16174182</v>
      </c>
      <c r="X8" s="1108"/>
      <c r="Y8" s="1098"/>
      <c r="Z8" s="1109">
        <v>0</v>
      </c>
    </row>
    <row r="9" ht="14.4" spans="2:26">
      <c r="B9" s="1081" t="s">
        <v>2036</v>
      </c>
      <c r="C9">
        <f t="shared" si="1"/>
        <v>1796531373.8796</v>
      </c>
      <c r="D9">
        <f ca="1" t="shared" si="2"/>
        <v>1080740706</v>
      </c>
      <c r="E9" s="356">
        <f t="shared" si="3"/>
        <v>1585333737</v>
      </c>
      <c r="G9" s="1081" t="s">
        <v>1805</v>
      </c>
      <c r="H9" s="1085" t="s">
        <v>2034</v>
      </c>
      <c r="I9">
        <f t="shared" si="4"/>
        <v>1315200000</v>
      </c>
      <c r="J9">
        <f ca="1" t="shared" si="0"/>
        <v>1660800000</v>
      </c>
      <c r="K9" s="356">
        <f>+'[99]Penj&amp;cus'!$G$52</f>
        <v>2728155000</v>
      </c>
      <c r="M9" s="1081" t="s">
        <v>12986</v>
      </c>
      <c r="N9" s="1003" t="s">
        <v>1479</v>
      </c>
      <c r="O9" s="1098">
        <v>44664</v>
      </c>
      <c r="P9" s="1099">
        <v>21500000</v>
      </c>
      <c r="S9" s="1108" t="s">
        <v>12986</v>
      </c>
      <c r="T9" s="784" t="s">
        <v>1479</v>
      </c>
      <c r="U9" s="1098">
        <v>44236</v>
      </c>
      <c r="V9" s="1109">
        <v>30400000</v>
      </c>
      <c r="X9" s="1108"/>
      <c r="Y9" s="1098"/>
      <c r="Z9" s="1109">
        <v>0</v>
      </c>
    </row>
    <row r="10" ht="14.4" spans="2:26">
      <c r="B10" s="1081" t="s">
        <v>2037</v>
      </c>
      <c r="C10">
        <f t="shared" si="1"/>
        <v>670488750</v>
      </c>
      <c r="D10">
        <f ca="1" t="shared" si="2"/>
        <v>561830500</v>
      </c>
      <c r="E10" s="356">
        <f t="shared" si="3"/>
        <v>203066961</v>
      </c>
      <c r="G10" s="1081" t="s">
        <v>12988</v>
      </c>
      <c r="H10" s="1085" t="s">
        <v>2034</v>
      </c>
      <c r="I10">
        <f t="shared" si="4"/>
        <v>1215000000</v>
      </c>
      <c r="J10">
        <f ca="1" t="shared" si="0"/>
        <v>0</v>
      </c>
      <c r="K10" s="356"/>
      <c r="M10" s="1081" t="s">
        <v>12986</v>
      </c>
      <c r="N10" s="1003" t="s">
        <v>1479</v>
      </c>
      <c r="O10" s="1098">
        <v>44664</v>
      </c>
      <c r="P10" s="1099">
        <v>19078392</v>
      </c>
      <c r="S10" s="1108" t="s">
        <v>12986</v>
      </c>
      <c r="T10" s="784" t="s">
        <v>1479</v>
      </c>
      <c r="U10" s="1098">
        <v>44236</v>
      </c>
      <c r="V10" s="1109">
        <v>16932142</v>
      </c>
      <c r="X10" s="1108"/>
      <c r="Y10" s="1098"/>
      <c r="Z10" s="1109">
        <v>0</v>
      </c>
    </row>
    <row r="11" ht="14.4" spans="2:26">
      <c r="B11" s="1081"/>
      <c r="C11">
        <f>SUMIF($H$12:$H$30,B11,$I$12:$I$30)</f>
        <v>0</v>
      </c>
      <c r="D11">
        <f ca="1">SUMIF($H$12:$H$30,B11,$J$12:$J$30)</f>
        <v>0</v>
      </c>
      <c r="E11" s="356">
        <f>SUMIF($H$12:$H$30,B11,$K$12:$K$30)</f>
        <v>0</v>
      </c>
      <c r="G11" s="1081" t="s">
        <v>1807</v>
      </c>
      <c r="H11" s="1085" t="s">
        <v>2037</v>
      </c>
      <c r="I11">
        <f t="shared" si="4"/>
        <v>530488750</v>
      </c>
      <c r="J11">
        <f ca="1" t="shared" si="0"/>
        <v>561830500</v>
      </c>
      <c r="K11" s="356"/>
      <c r="M11" s="1081" t="s">
        <v>12986</v>
      </c>
      <c r="N11" s="1003" t="s">
        <v>1479</v>
      </c>
      <c r="O11" s="1098">
        <v>44721</v>
      </c>
      <c r="P11" s="1099">
        <v>8616960</v>
      </c>
      <c r="S11" s="1108" t="s">
        <v>12986</v>
      </c>
      <c r="T11" s="784" t="s">
        <v>1479</v>
      </c>
      <c r="U11" s="1098">
        <v>44236</v>
      </c>
      <c r="V11" s="1109">
        <v>24124848</v>
      </c>
      <c r="X11" s="1108"/>
      <c r="Y11" s="1098"/>
      <c r="Z11" s="1109">
        <v>0</v>
      </c>
    </row>
    <row r="12" ht="14.4" spans="2:26">
      <c r="B12" s="1081" t="s">
        <v>151</v>
      </c>
      <c r="C12">
        <f>SUM(C7:C11)</f>
        <v>7474615452.8796</v>
      </c>
      <c r="D12">
        <f ca="1" t="shared" ref="D12:E12" si="5">SUM(D7:D11)</f>
        <v>5551498722.72</v>
      </c>
      <c r="E12" s="356">
        <f t="shared" si="5"/>
        <v>12507006890.5</v>
      </c>
      <c r="G12" s="1081" t="s">
        <v>12878</v>
      </c>
      <c r="H12" s="1085" t="s">
        <v>2034</v>
      </c>
      <c r="I12">
        <f t="shared" si="4"/>
        <v>144000000</v>
      </c>
      <c r="J12">
        <f ca="1" t="shared" si="0"/>
        <v>0</v>
      </c>
      <c r="K12" s="356"/>
      <c r="M12" s="1081" t="s">
        <v>12987</v>
      </c>
      <c r="N12" s="1003" t="s">
        <v>1239</v>
      </c>
      <c r="O12" s="1098">
        <v>44585</v>
      </c>
      <c r="P12" s="1101">
        <v>61500000</v>
      </c>
      <c r="S12" s="1108" t="s">
        <v>12986</v>
      </c>
      <c r="T12" s="784" t="s">
        <v>1479</v>
      </c>
      <c r="U12" s="1098">
        <v>44287</v>
      </c>
      <c r="V12" s="1109">
        <v>30400000</v>
      </c>
      <c r="X12" s="1108"/>
      <c r="Y12" s="1098"/>
      <c r="Z12" s="1109">
        <v>0</v>
      </c>
    </row>
    <row r="13" ht="14.4" spans="2:26">
      <c r="B13" s="1086"/>
      <c r="C13" s="164">
        <f>+C12-I31</f>
        <v>0</v>
      </c>
      <c r="D13" s="164">
        <f ca="1">+D12-J31</f>
        <v>0</v>
      </c>
      <c r="E13" s="302">
        <f>+E12-K31</f>
        <v>0</v>
      </c>
      <c r="G13" s="1081" t="s">
        <v>12912</v>
      </c>
      <c r="H13" s="1085" t="s">
        <v>2037</v>
      </c>
      <c r="I13">
        <f t="shared" si="4"/>
        <v>140000000</v>
      </c>
      <c r="J13">
        <f ca="1" t="shared" si="0"/>
        <v>0</v>
      </c>
      <c r="K13" s="356"/>
      <c r="M13" s="1081" t="s">
        <v>12987</v>
      </c>
      <c r="N13" s="1003" t="s">
        <v>1239</v>
      </c>
      <c r="O13" s="1098">
        <v>44634</v>
      </c>
      <c r="P13" s="1101">
        <v>94000000</v>
      </c>
      <c r="S13" s="1108" t="s">
        <v>12986</v>
      </c>
      <c r="T13" s="784" t="s">
        <v>1479</v>
      </c>
      <c r="U13" s="1098">
        <v>44287</v>
      </c>
      <c r="V13" s="1109">
        <v>22021284</v>
      </c>
      <c r="X13" s="1108"/>
      <c r="Y13" s="1098"/>
      <c r="Z13" s="1109">
        <v>0</v>
      </c>
    </row>
    <row r="14" ht="14.4" spans="7:26">
      <c r="G14" s="1081" t="s">
        <v>12989</v>
      </c>
      <c r="H14" s="1085" t="s">
        <v>2034</v>
      </c>
      <c r="I14">
        <f t="shared" si="4"/>
        <v>120000000</v>
      </c>
      <c r="J14">
        <f ca="1" t="shared" si="0"/>
        <v>0</v>
      </c>
      <c r="K14" s="356"/>
      <c r="M14" s="1081" t="s">
        <v>12987</v>
      </c>
      <c r="N14" s="1003" t="s">
        <v>1239</v>
      </c>
      <c r="O14" s="1098">
        <v>44634</v>
      </c>
      <c r="P14" s="1101">
        <v>94000000</v>
      </c>
      <c r="S14" s="1108" t="s">
        <v>12986</v>
      </c>
      <c r="T14" s="784" t="s">
        <v>1479</v>
      </c>
      <c r="U14" s="1098">
        <v>44287</v>
      </c>
      <c r="V14" s="1109">
        <v>30400000</v>
      </c>
      <c r="X14" s="1108"/>
      <c r="Y14" s="1098"/>
      <c r="Z14" s="1109">
        <v>0</v>
      </c>
    </row>
    <row r="15" ht="14.4" spans="2:26">
      <c r="B15" s="1087"/>
      <c r="E15" s="1088"/>
      <c r="G15" s="1081" t="s">
        <v>12986</v>
      </c>
      <c r="H15" s="1085" t="s">
        <v>2034</v>
      </c>
      <c r="I15">
        <f t="shared" si="4"/>
        <v>94823618</v>
      </c>
      <c r="J15">
        <f ca="1" t="shared" si="0"/>
        <v>571946940</v>
      </c>
      <c r="K15" s="356">
        <f>+'[99]Penj&amp;cus'!$G$43</f>
        <v>663786753</v>
      </c>
      <c r="M15" s="1081" t="s">
        <v>12987</v>
      </c>
      <c r="N15" s="1003" t="s">
        <v>1239</v>
      </c>
      <c r="O15" s="1098">
        <v>44748</v>
      </c>
      <c r="P15" s="1101">
        <v>130000000</v>
      </c>
      <c r="S15" s="1108" t="s">
        <v>12986</v>
      </c>
      <c r="T15" s="784" t="s">
        <v>1479</v>
      </c>
      <c r="U15" s="1098">
        <v>44287</v>
      </c>
      <c r="V15" s="1109">
        <v>19042164</v>
      </c>
      <c r="X15" s="1108"/>
      <c r="Y15" s="1098"/>
      <c r="Z15" s="1109">
        <v>0</v>
      </c>
    </row>
    <row r="16" ht="14.4" spans="2:26">
      <c r="B16" s="1087"/>
      <c r="E16" s="1088"/>
      <c r="G16" s="1081" t="s">
        <v>12990</v>
      </c>
      <c r="H16" s="1085" t="s">
        <v>2035</v>
      </c>
      <c r="I16">
        <f t="shared" si="4"/>
        <v>58250911</v>
      </c>
      <c r="J16">
        <f ca="1" t="shared" si="0"/>
        <v>0</v>
      </c>
      <c r="K16" s="356">
        <f>+'[99]Penj&amp;cus'!$G$54</f>
        <v>668800000</v>
      </c>
      <c r="M16" s="1081" t="s">
        <v>12987</v>
      </c>
      <c r="N16" s="1003" t="s">
        <v>1239</v>
      </c>
      <c r="O16" s="1098">
        <v>44748</v>
      </c>
      <c r="P16" s="1099">
        <v>25600000</v>
      </c>
      <c r="S16" s="1108" t="s">
        <v>12986</v>
      </c>
      <c r="T16" s="784" t="s">
        <v>1479</v>
      </c>
      <c r="U16" s="1098">
        <v>44319</v>
      </c>
      <c r="V16" s="1109">
        <v>23937032</v>
      </c>
      <c r="X16" s="1108"/>
      <c r="Y16" s="1098"/>
      <c r="Z16" s="1109">
        <v>0</v>
      </c>
    </row>
    <row r="17" ht="14.4" spans="2:26">
      <c r="B17" s="1087"/>
      <c r="G17" s="1089" t="s">
        <v>12991</v>
      </c>
      <c r="H17" s="1085" t="s">
        <v>2035</v>
      </c>
      <c r="I17">
        <f t="shared" si="4"/>
        <v>0</v>
      </c>
      <c r="J17">
        <f ca="1" t="shared" si="0"/>
        <v>1046800000</v>
      </c>
      <c r="K17" s="356"/>
      <c r="M17" s="1081" t="s">
        <v>12987</v>
      </c>
      <c r="N17" s="1003" t="s">
        <v>1239</v>
      </c>
      <c r="O17" s="1098">
        <v>44820</v>
      </c>
      <c r="P17" s="1102">
        <v>46000000</v>
      </c>
      <c r="S17" s="1108" t="s">
        <v>12986</v>
      </c>
      <c r="T17" s="784" t="s">
        <v>1479</v>
      </c>
      <c r="U17" s="1098">
        <v>44319</v>
      </c>
      <c r="V17" s="1109">
        <v>30400000</v>
      </c>
      <c r="X17" s="1108"/>
      <c r="Y17" s="1098"/>
      <c r="Z17" s="1109">
        <v>0</v>
      </c>
    </row>
    <row r="18" ht="14.4" spans="7:26">
      <c r="G18" s="191" t="s">
        <v>1810</v>
      </c>
      <c r="H18" s="1090" t="s">
        <v>2035</v>
      </c>
      <c r="I18">
        <f t="shared" si="4"/>
        <v>0</v>
      </c>
      <c r="J18">
        <f ca="1" t="shared" si="0"/>
        <v>307168076.72</v>
      </c>
      <c r="K18" s="356">
        <f>+'[99]Penj&amp;cus'!$G$47</f>
        <v>2587596648.5</v>
      </c>
      <c r="M18" s="1081" t="s">
        <v>12987</v>
      </c>
      <c r="N18" s="1003" t="s">
        <v>1239</v>
      </c>
      <c r="O18" s="1098">
        <v>44859</v>
      </c>
      <c r="P18" s="1103">
        <v>11000000</v>
      </c>
      <c r="S18" s="1108" t="s">
        <v>12986</v>
      </c>
      <c r="T18" s="784" t="s">
        <v>1479</v>
      </c>
      <c r="U18" s="1098">
        <v>44321</v>
      </c>
      <c r="V18" s="1109">
        <v>12313724</v>
      </c>
      <c r="X18" s="1108"/>
      <c r="Y18" s="1098"/>
      <c r="Z18" s="1109">
        <v>0</v>
      </c>
    </row>
    <row r="19" ht="14.4" spans="7:26">
      <c r="G19" s="1091" t="s">
        <v>12992</v>
      </c>
      <c r="H19" s="1085" t="s">
        <v>2034</v>
      </c>
      <c r="I19">
        <f t="shared" si="4"/>
        <v>0</v>
      </c>
      <c r="J19">
        <f ca="1" t="shared" si="0"/>
        <v>175150000</v>
      </c>
      <c r="K19" s="356">
        <f>+'[99]Penj&amp;cus'!$G$44</f>
        <v>808710918</v>
      </c>
      <c r="M19" s="1081" t="s">
        <v>12987</v>
      </c>
      <c r="N19" s="1003" t="s">
        <v>1239</v>
      </c>
      <c r="O19" s="1098">
        <v>44897</v>
      </c>
      <c r="P19" s="1103">
        <v>48927600</v>
      </c>
      <c r="S19" s="1108" t="s">
        <v>12986</v>
      </c>
      <c r="T19" s="784" t="s">
        <v>1479</v>
      </c>
      <c r="U19" s="1098">
        <v>44349</v>
      </c>
      <c r="V19" s="1110">
        <v>30400000</v>
      </c>
      <c r="X19" s="1108"/>
      <c r="Y19" s="1098"/>
      <c r="Z19" s="1109">
        <v>0</v>
      </c>
    </row>
    <row r="20" ht="14.4" spans="7:26">
      <c r="G20" s="1089" t="s">
        <v>12993</v>
      </c>
      <c r="H20" s="1085" t="s">
        <v>2034</v>
      </c>
      <c r="I20">
        <f t="shared" ref="I20:I23" si="6">SUMIF($M$7:$M$92,G20,$P$7:$P$92)</f>
        <v>0</v>
      </c>
      <c r="J20">
        <f ca="1" t="shared" si="0"/>
        <v>138687500</v>
      </c>
      <c r="K20" s="1104"/>
      <c r="M20" s="1081" t="s">
        <v>12987</v>
      </c>
      <c r="N20" s="1003" t="s">
        <v>1239</v>
      </c>
      <c r="O20" s="1098">
        <v>44909</v>
      </c>
      <c r="P20" s="1101">
        <v>209000000</v>
      </c>
      <c r="S20" s="1108" t="s">
        <v>12986</v>
      </c>
      <c r="T20" s="784" t="s">
        <v>1479</v>
      </c>
      <c r="U20" s="1098">
        <v>44349</v>
      </c>
      <c r="V20" s="1110">
        <v>16817404</v>
      </c>
      <c r="X20" s="1108"/>
      <c r="Y20" s="1098"/>
      <c r="Z20" s="1109">
        <v>0</v>
      </c>
    </row>
    <row r="21" ht="14.4" spans="2:26">
      <c r="B21" s="1088"/>
      <c r="G21" s="1089" t="s">
        <v>12994</v>
      </c>
      <c r="H21" s="1085" t="s">
        <v>2035</v>
      </c>
      <c r="I21">
        <f t="shared" si="6"/>
        <v>0</v>
      </c>
      <c r="J21">
        <f ca="1" t="shared" si="0"/>
        <v>8375000</v>
      </c>
      <c r="K21" s="1105">
        <f>+'[99]Penj&amp;cus'!$G$49</f>
        <v>159125000</v>
      </c>
      <c r="M21" s="1081" t="s">
        <v>12987</v>
      </c>
      <c r="N21" s="1003" t="s">
        <v>1239</v>
      </c>
      <c r="O21" s="1098">
        <v>44909</v>
      </c>
      <c r="P21" s="1099">
        <v>39400000</v>
      </c>
      <c r="S21" s="1108" t="s">
        <v>12986</v>
      </c>
      <c r="T21" s="784" t="s">
        <v>1479</v>
      </c>
      <c r="U21" s="1098">
        <v>44385</v>
      </c>
      <c r="V21" s="1109">
        <v>21500000</v>
      </c>
      <c r="X21" s="1108"/>
      <c r="Y21" s="1098"/>
      <c r="Z21" s="1109">
        <v>0</v>
      </c>
    </row>
    <row r="22" ht="14.4" spans="7:26">
      <c r="G22" s="191" t="s">
        <v>12995</v>
      </c>
      <c r="H22" s="1090" t="s">
        <v>2035</v>
      </c>
      <c r="I22">
        <f t="shared" si="6"/>
        <v>0</v>
      </c>
      <c r="J22">
        <f ca="1" t="shared" si="0"/>
        <v>0</v>
      </c>
      <c r="K22" s="356">
        <f>+'[99]Penj&amp;cus'!$G$50</f>
        <v>2840349929</v>
      </c>
      <c r="M22" s="1081" t="s">
        <v>12987</v>
      </c>
      <c r="N22" s="1003" t="s">
        <v>1239</v>
      </c>
      <c r="O22" s="1098">
        <v>44909</v>
      </c>
      <c r="P22" s="1099">
        <v>15000000</v>
      </c>
      <c r="S22" s="1108" t="s">
        <v>12986</v>
      </c>
      <c r="T22" s="784" t="s">
        <v>1479</v>
      </c>
      <c r="U22" s="1098">
        <v>44385</v>
      </c>
      <c r="V22" s="1111">
        <v>17108704</v>
      </c>
      <c r="X22" s="1108"/>
      <c r="Y22" s="1098"/>
      <c r="Z22" s="1109">
        <v>0</v>
      </c>
    </row>
    <row r="23" ht="14.4" spans="7:26">
      <c r="G23" s="191" t="s">
        <v>12996</v>
      </c>
      <c r="H23" s="1090" t="s">
        <v>2035</v>
      </c>
      <c r="I23">
        <f t="shared" si="6"/>
        <v>0</v>
      </c>
      <c r="J23">
        <f ca="1" t="shared" si="0"/>
        <v>0</v>
      </c>
      <c r="K23" s="356">
        <f>+'[99]Penj&amp;cus'!$G$51</f>
        <v>226644444</v>
      </c>
      <c r="M23" s="1081" t="s">
        <v>12987</v>
      </c>
      <c r="N23" s="1003" t="s">
        <v>1239</v>
      </c>
      <c r="O23" s="1098">
        <v>44909</v>
      </c>
      <c r="P23" s="1103">
        <v>7500000</v>
      </c>
      <c r="S23" s="1108" t="s">
        <v>12986</v>
      </c>
      <c r="T23" s="784" t="s">
        <v>1479</v>
      </c>
      <c r="U23" s="1098">
        <v>44410</v>
      </c>
      <c r="V23" s="1111">
        <v>21500000</v>
      </c>
      <c r="X23" s="1108"/>
      <c r="Y23" s="1098"/>
      <c r="Z23" s="1109">
        <v>0</v>
      </c>
    </row>
    <row r="24" ht="14.4" spans="7:26">
      <c r="G24" s="191" t="s">
        <v>12997</v>
      </c>
      <c r="H24" s="1085" t="s">
        <v>2037</v>
      </c>
      <c r="K24" s="356">
        <f>+'[99]Penj&amp;cus'!$G$53</f>
        <v>199629461</v>
      </c>
      <c r="M24" s="1081" t="s">
        <v>12998</v>
      </c>
      <c r="N24" s="1003" t="s">
        <v>12999</v>
      </c>
      <c r="O24" s="1098">
        <v>44792</v>
      </c>
      <c r="P24" s="1099">
        <v>0</v>
      </c>
      <c r="S24" s="1108" t="s">
        <v>12986</v>
      </c>
      <c r="T24" s="784" t="s">
        <v>1479</v>
      </c>
      <c r="U24" s="1098">
        <v>44410</v>
      </c>
      <c r="V24" s="1111">
        <v>17126566</v>
      </c>
      <c r="X24" s="1108"/>
      <c r="Y24" s="1098"/>
      <c r="Z24" s="1109">
        <v>0</v>
      </c>
    </row>
    <row r="25" ht="14.4" spans="7:26">
      <c r="G25" s="191" t="s">
        <v>13000</v>
      </c>
      <c r="H25" s="1085" t="s">
        <v>2034</v>
      </c>
      <c r="I25">
        <f>SUMIF($M$7:$M$92,G25,$P$7:$P$92)</f>
        <v>0</v>
      </c>
      <c r="J25">
        <f ca="1">SUMIF($S$7:$T$147,G25,$V$7:$V$147)</f>
        <v>0</v>
      </c>
      <c r="K25" s="356">
        <f>+'[99]Penj&amp;cus'!$G$45</f>
        <v>32000000</v>
      </c>
      <c r="M25" s="1081" t="s">
        <v>12878</v>
      </c>
      <c r="N25" s="1003" t="s">
        <v>13001</v>
      </c>
      <c r="O25" s="1098">
        <v>44873</v>
      </c>
      <c r="P25" s="1102">
        <v>90000000</v>
      </c>
      <c r="S25" s="1108" t="s">
        <v>12986</v>
      </c>
      <c r="T25" s="784" t="s">
        <v>1479</v>
      </c>
      <c r="U25" s="1098">
        <v>44483</v>
      </c>
      <c r="V25" s="1111">
        <v>21500000</v>
      </c>
      <c r="X25" s="1108"/>
      <c r="Y25" s="1098"/>
      <c r="Z25" s="1109">
        <v>0</v>
      </c>
    </row>
    <row r="26" ht="14.4" spans="7:26">
      <c r="G26" s="191" t="s">
        <v>13002</v>
      </c>
      <c r="H26" s="1085" t="s">
        <v>2037</v>
      </c>
      <c r="I26">
        <f>SUMIF($M$7:$M$92,G26,$P$7:$P$92)</f>
        <v>0</v>
      </c>
      <c r="J26">
        <f ca="1">SUMIF($S$7:$T$147,G26,$V$7:$V$147)</f>
        <v>0</v>
      </c>
      <c r="K26" s="356">
        <f>+'[99]Penj&amp;cus'!$G$48</f>
        <v>3437500</v>
      </c>
      <c r="M26" s="1081" t="s">
        <v>12989</v>
      </c>
      <c r="N26" s="1003" t="s">
        <v>13003</v>
      </c>
      <c r="O26" s="1098">
        <v>44840</v>
      </c>
      <c r="P26" s="1102">
        <v>120000000</v>
      </c>
      <c r="S26" s="1108" t="s">
        <v>12986</v>
      </c>
      <c r="T26" s="784" t="s">
        <v>1479</v>
      </c>
      <c r="U26" s="1098">
        <v>44483</v>
      </c>
      <c r="V26" s="1111">
        <v>17535761</v>
      </c>
      <c r="X26" s="1108"/>
      <c r="Y26" s="1098"/>
      <c r="Z26" s="1109">
        <v>0</v>
      </c>
    </row>
    <row r="27" ht="14.4" spans="7:26">
      <c r="G27" s="191" t="s">
        <v>13004</v>
      </c>
      <c r="H27" s="1085" t="s">
        <v>2034</v>
      </c>
      <c r="K27" s="356">
        <f>+'[99]Penj&amp;cus'!$G$55</f>
        <v>3437500</v>
      </c>
      <c r="M27" s="1081" t="s">
        <v>1807</v>
      </c>
      <c r="N27" s="1003" t="s">
        <v>13005</v>
      </c>
      <c r="O27" s="1098">
        <v>44585</v>
      </c>
      <c r="P27" s="1099">
        <v>31424500</v>
      </c>
      <c r="S27" s="1108" t="s">
        <v>12986</v>
      </c>
      <c r="T27" s="784" t="s">
        <v>1479</v>
      </c>
      <c r="U27" s="1098">
        <v>44483</v>
      </c>
      <c r="V27" s="1111">
        <v>21500000</v>
      </c>
      <c r="X27" s="1108"/>
      <c r="Y27" s="1098"/>
      <c r="Z27" s="1109">
        <v>0</v>
      </c>
    </row>
    <row r="28" ht="14.4" spans="7:26">
      <c r="G28" s="1081" t="s">
        <v>12998</v>
      </c>
      <c r="H28" s="1085" t="s">
        <v>2035</v>
      </c>
      <c r="I28">
        <f>SUMIF($M$7:$M$92,G28,$P$7:$P$92)</f>
        <v>0</v>
      </c>
      <c r="J28">
        <f ca="1">SUMIF($S$7:$T$147,G28,$V$7:$V$147)</f>
        <v>0</v>
      </c>
      <c r="K28" s="356"/>
      <c r="M28" s="1081" t="s">
        <v>1807</v>
      </c>
      <c r="N28" s="1003" t="s">
        <v>13005</v>
      </c>
      <c r="O28" s="1098">
        <v>44585</v>
      </c>
      <c r="P28" s="1099">
        <v>15000000</v>
      </c>
      <c r="S28" s="1108" t="s">
        <v>12986</v>
      </c>
      <c r="T28" s="784" t="s">
        <v>1479</v>
      </c>
      <c r="U28" s="1098">
        <v>44483</v>
      </c>
      <c r="V28" s="1111">
        <v>18848527</v>
      </c>
      <c r="X28" s="1108"/>
      <c r="Y28" s="1098"/>
      <c r="Z28" s="1109">
        <v>0</v>
      </c>
    </row>
    <row r="29" ht="14.4" spans="7:26">
      <c r="G29" s="191"/>
      <c r="H29" s="1090"/>
      <c r="K29" s="356"/>
      <c r="M29" s="1081" t="s">
        <v>1807</v>
      </c>
      <c r="N29" s="1003" t="s">
        <v>13005</v>
      </c>
      <c r="O29" s="1098">
        <v>44624</v>
      </c>
      <c r="P29" s="1099">
        <v>28656250</v>
      </c>
      <c r="S29" s="1108" t="s">
        <v>12986</v>
      </c>
      <c r="T29" s="1112" t="s">
        <v>1479</v>
      </c>
      <c r="U29" s="1113">
        <v>44509</v>
      </c>
      <c r="V29" s="1110">
        <v>21500000</v>
      </c>
      <c r="X29" s="1108"/>
      <c r="Y29" s="1113"/>
      <c r="Z29" s="1109">
        <v>0</v>
      </c>
    </row>
    <row r="30" ht="14.4" spans="7:26">
      <c r="G30" s="191"/>
      <c r="H30" s="1090"/>
      <c r="K30" s="356"/>
      <c r="M30" s="1081" t="s">
        <v>1807</v>
      </c>
      <c r="N30" s="1003" t="s">
        <v>13005</v>
      </c>
      <c r="O30" s="1098">
        <v>44624</v>
      </c>
      <c r="P30" s="1099">
        <v>15000000</v>
      </c>
      <c r="S30" s="1108" t="s">
        <v>12986</v>
      </c>
      <c r="T30" s="1112" t="s">
        <v>1479</v>
      </c>
      <c r="U30" s="1113">
        <v>44509</v>
      </c>
      <c r="V30" s="1110">
        <v>19765754</v>
      </c>
      <c r="X30" s="1108"/>
      <c r="Y30" s="1113"/>
      <c r="Z30" s="1109">
        <v>0</v>
      </c>
    </row>
    <row r="31" ht="14.4" spans="7:26">
      <c r="G31" s="191"/>
      <c r="H31" s="1085"/>
      <c r="I31">
        <f>SUM(I7:I30)</f>
        <v>7474615452.8796</v>
      </c>
      <c r="J31">
        <f ca="1" t="shared" ref="J31:K31" si="7">SUM(J7:J30)</f>
        <v>5551498722.72</v>
      </c>
      <c r="K31" s="356">
        <f t="shared" si="7"/>
        <v>12507006890.5</v>
      </c>
      <c r="M31" s="1081" t="s">
        <v>1807</v>
      </c>
      <c r="N31" s="1003" t="s">
        <v>13005</v>
      </c>
      <c r="O31" s="1098">
        <v>44665</v>
      </c>
      <c r="P31" s="1099">
        <v>24273000</v>
      </c>
      <c r="S31" s="1108" t="s">
        <v>12986</v>
      </c>
      <c r="T31" s="784" t="s">
        <v>1479</v>
      </c>
      <c r="U31" s="1098">
        <v>44532</v>
      </c>
      <c r="V31" s="1111">
        <v>21500000</v>
      </c>
      <c r="X31" s="1108"/>
      <c r="Y31" s="1098"/>
      <c r="Z31" s="1109">
        <v>0</v>
      </c>
    </row>
    <row r="32" ht="14.4" spans="7:26">
      <c r="G32" s="1086"/>
      <c r="H32" s="1092"/>
      <c r="I32" s="164">
        <f>+I31-P6</f>
        <v>0</v>
      </c>
      <c r="J32" s="164">
        <f ca="1">+J31-V6</f>
        <v>0</v>
      </c>
      <c r="K32" s="302">
        <f>+K31-'[99]Penj&amp;cus'!$G$56</f>
        <v>0</v>
      </c>
      <c r="M32" s="1081" t="s">
        <v>1807</v>
      </c>
      <c r="N32" s="1003" t="s">
        <v>13005</v>
      </c>
      <c r="O32" s="1098">
        <v>44665</v>
      </c>
      <c r="P32" s="1099">
        <v>15000000</v>
      </c>
      <c r="S32" s="1108" t="s">
        <v>12986</v>
      </c>
      <c r="T32" s="784" t="s">
        <v>1479</v>
      </c>
      <c r="U32" s="1098">
        <v>44532</v>
      </c>
      <c r="V32" s="1111">
        <v>18798848</v>
      </c>
      <c r="X32" s="1108"/>
      <c r="Y32" s="1098"/>
      <c r="Z32" s="1109">
        <v>0</v>
      </c>
    </row>
    <row r="33" ht="14.4" spans="13:26">
      <c r="M33" s="1081" t="s">
        <v>1807</v>
      </c>
      <c r="N33" s="1003" t="s">
        <v>13005</v>
      </c>
      <c r="O33" s="1098">
        <v>44672</v>
      </c>
      <c r="P33" s="1106">
        <v>15000000</v>
      </c>
      <c r="S33" s="1108" t="s">
        <v>12991</v>
      </c>
      <c r="T33" s="1088" t="s">
        <v>13006</v>
      </c>
      <c r="U33" s="1098">
        <v>44201</v>
      </c>
      <c r="V33" s="1114">
        <v>53000000</v>
      </c>
      <c r="X33" s="1108"/>
      <c r="Y33" s="1098"/>
      <c r="Z33" s="1109">
        <v>0</v>
      </c>
    </row>
    <row r="34" ht="14.4" spans="13:26">
      <c r="M34" s="1081" t="s">
        <v>1807</v>
      </c>
      <c r="N34" s="1003" t="s">
        <v>13005</v>
      </c>
      <c r="O34" s="1098">
        <v>44672</v>
      </c>
      <c r="P34" s="1099">
        <v>30693500</v>
      </c>
      <c r="S34" s="1108" t="s">
        <v>12991</v>
      </c>
      <c r="T34" s="784" t="s">
        <v>13006</v>
      </c>
      <c r="U34" s="1098">
        <v>44202</v>
      </c>
      <c r="V34" s="1109">
        <v>26300000</v>
      </c>
      <c r="X34" s="1108"/>
      <c r="Y34" s="1098"/>
      <c r="Z34" s="1109">
        <v>0</v>
      </c>
    </row>
    <row r="35" ht="14.4" spans="13:26">
      <c r="M35" s="1081" t="s">
        <v>1807</v>
      </c>
      <c r="N35" s="1003" t="s">
        <v>13005</v>
      </c>
      <c r="O35" s="1098">
        <v>44703</v>
      </c>
      <c r="P35" s="1099">
        <v>24021000</v>
      </c>
      <c r="S35" s="1108" t="s">
        <v>12991</v>
      </c>
      <c r="T35" s="784" t="s">
        <v>13006</v>
      </c>
      <c r="U35" s="1098">
        <v>44202</v>
      </c>
      <c r="V35" s="1109">
        <v>8000000</v>
      </c>
      <c r="X35" s="1108"/>
      <c r="Y35" s="1098"/>
      <c r="Z35" s="1109">
        <v>0</v>
      </c>
    </row>
    <row r="36" ht="14.4" spans="13:26">
      <c r="M36" s="1081" t="s">
        <v>1807</v>
      </c>
      <c r="N36" s="1003" t="s">
        <v>13005</v>
      </c>
      <c r="O36" s="1098">
        <v>44704</v>
      </c>
      <c r="P36" s="1099">
        <v>15000000</v>
      </c>
      <c r="S36" s="1108" t="s">
        <v>12991</v>
      </c>
      <c r="T36" s="784" t="s">
        <v>13006</v>
      </c>
      <c r="U36" s="1098">
        <v>44277</v>
      </c>
      <c r="V36" s="1109">
        <v>42500000</v>
      </c>
      <c r="X36" s="1108"/>
      <c r="Y36" s="1098"/>
      <c r="Z36" s="1109">
        <v>0</v>
      </c>
    </row>
    <row r="37" ht="14.4" spans="13:26">
      <c r="M37" s="1081" t="s">
        <v>1807</v>
      </c>
      <c r="N37" s="1003" t="s">
        <v>13005</v>
      </c>
      <c r="O37" s="1098">
        <v>44739</v>
      </c>
      <c r="P37" s="1099">
        <v>30192000</v>
      </c>
      <c r="S37" s="1108" t="s">
        <v>12991</v>
      </c>
      <c r="T37" s="784" t="s">
        <v>13006</v>
      </c>
      <c r="U37" s="1098">
        <v>44277</v>
      </c>
      <c r="V37" s="1109">
        <v>42000000</v>
      </c>
      <c r="X37" s="1108"/>
      <c r="Y37" s="1098"/>
      <c r="Z37" s="1109">
        <v>0</v>
      </c>
    </row>
    <row r="38" ht="14.4" spans="13:26">
      <c r="M38" s="1081" t="s">
        <v>1807</v>
      </c>
      <c r="N38" s="1003" t="s">
        <v>13005</v>
      </c>
      <c r="O38" s="1098">
        <v>44739</v>
      </c>
      <c r="P38" s="1099">
        <v>15000000</v>
      </c>
      <c r="S38" s="1108" t="s">
        <v>12991</v>
      </c>
      <c r="T38" s="784" t="s">
        <v>13006</v>
      </c>
      <c r="U38" s="1098">
        <v>44365</v>
      </c>
      <c r="V38" s="1110">
        <v>615000000</v>
      </c>
      <c r="X38" s="1108"/>
      <c r="Y38" s="1098"/>
      <c r="Z38" s="1109">
        <v>0</v>
      </c>
    </row>
    <row r="39" ht="14.4" spans="13:26">
      <c r="M39" s="1081" t="s">
        <v>1807</v>
      </c>
      <c r="N39" s="1003" t="s">
        <v>13005</v>
      </c>
      <c r="O39" s="1098">
        <v>44764</v>
      </c>
      <c r="P39" s="1099">
        <v>30447000</v>
      </c>
      <c r="S39" s="1108" t="s">
        <v>12991</v>
      </c>
      <c r="T39" s="1112" t="s">
        <v>13006</v>
      </c>
      <c r="U39" s="1113">
        <v>44523</v>
      </c>
      <c r="V39" s="1110">
        <v>120000000</v>
      </c>
      <c r="X39" s="1108"/>
      <c r="Y39" s="1113"/>
      <c r="Z39" s="1109">
        <v>0</v>
      </c>
    </row>
    <row r="40" ht="14.4" spans="13:26">
      <c r="M40" s="1081" t="s">
        <v>1807</v>
      </c>
      <c r="N40" s="1003" t="s">
        <v>13005</v>
      </c>
      <c r="O40" s="1098">
        <v>44764</v>
      </c>
      <c r="P40" s="1099">
        <v>15000000</v>
      </c>
      <c r="S40" s="1108" t="s">
        <v>12991</v>
      </c>
      <c r="T40" s="1112" t="s">
        <v>13006</v>
      </c>
      <c r="U40" s="1113">
        <v>44526</v>
      </c>
      <c r="V40" s="1110">
        <v>140000000</v>
      </c>
      <c r="X40" s="1108"/>
      <c r="Y40" s="1113"/>
      <c r="Z40" s="1109">
        <v>0</v>
      </c>
    </row>
    <row r="41" ht="14.4" spans="13:26">
      <c r="M41" s="1081" t="s">
        <v>1807</v>
      </c>
      <c r="N41" s="1003" t="s">
        <v>13005</v>
      </c>
      <c r="O41" s="1098">
        <v>44796</v>
      </c>
      <c r="P41" s="1099">
        <v>30328000</v>
      </c>
      <c r="S41" s="1108" t="s">
        <v>12992</v>
      </c>
      <c r="T41" s="784" t="s">
        <v>1809</v>
      </c>
      <c r="U41" s="1098">
        <v>44246</v>
      </c>
      <c r="V41" s="1109">
        <v>46500000</v>
      </c>
      <c r="X41" s="1108"/>
      <c r="Y41" s="1098"/>
      <c r="Z41" s="1109">
        <v>0</v>
      </c>
    </row>
    <row r="42" ht="14.4" spans="13:26">
      <c r="M42" s="1081" t="s">
        <v>1807</v>
      </c>
      <c r="N42" s="1003" t="s">
        <v>13005</v>
      </c>
      <c r="O42" s="1098">
        <v>44796</v>
      </c>
      <c r="P42" s="1099">
        <v>15000000</v>
      </c>
      <c r="S42" s="1108" t="s">
        <v>12992</v>
      </c>
      <c r="T42" s="784" t="s">
        <v>1809</v>
      </c>
      <c r="U42" s="1098">
        <v>44270</v>
      </c>
      <c r="V42" s="1109">
        <v>46500000</v>
      </c>
      <c r="X42" s="1108"/>
      <c r="Y42" s="1098"/>
      <c r="Z42" s="1109">
        <v>0</v>
      </c>
    </row>
    <row r="43" ht="14.4" spans="13:26">
      <c r="M43" s="1081" t="s">
        <v>1807</v>
      </c>
      <c r="N43" s="1003" t="s">
        <v>13005</v>
      </c>
      <c r="O43" s="1098">
        <v>44824</v>
      </c>
      <c r="P43" s="1103">
        <v>30693500</v>
      </c>
      <c r="S43" s="1108" t="s">
        <v>12992</v>
      </c>
      <c r="T43" s="1112" t="s">
        <v>1809</v>
      </c>
      <c r="U43" s="1113">
        <v>44516</v>
      </c>
      <c r="V43" s="1110">
        <v>82150000</v>
      </c>
      <c r="X43" s="1108"/>
      <c r="Y43" s="1113"/>
      <c r="Z43" s="1109">
        <v>0</v>
      </c>
    </row>
    <row r="44" ht="14.4" spans="13:26">
      <c r="M44" s="1081" t="s">
        <v>1807</v>
      </c>
      <c r="N44" s="1003" t="s">
        <v>13005</v>
      </c>
      <c r="O44" s="1098">
        <v>44824</v>
      </c>
      <c r="P44" s="1103">
        <v>15000000</v>
      </c>
      <c r="S44" s="1108" t="s">
        <v>1807</v>
      </c>
      <c r="T44" s="784" t="s">
        <v>13007</v>
      </c>
      <c r="U44" s="1098">
        <v>44207</v>
      </c>
      <c r="V44" s="1109">
        <v>27000000</v>
      </c>
      <c r="X44" s="1108"/>
      <c r="Y44" s="1098"/>
      <c r="Z44" s="1109">
        <v>0</v>
      </c>
    </row>
    <row r="45" ht="14.4" spans="13:26">
      <c r="M45" s="1081" t="s">
        <v>1807</v>
      </c>
      <c r="N45" s="1003" t="s">
        <v>13005</v>
      </c>
      <c r="O45" s="1098">
        <v>44855</v>
      </c>
      <c r="P45" s="1103">
        <v>29733000</v>
      </c>
      <c r="S45" s="1108" t="s">
        <v>1807</v>
      </c>
      <c r="T45" s="784" t="s">
        <v>13007</v>
      </c>
      <c r="U45" s="1098">
        <v>44207</v>
      </c>
      <c r="V45" s="1109">
        <v>15000000</v>
      </c>
      <c r="X45" s="1108"/>
      <c r="Y45" s="1098"/>
      <c r="Z45" s="1109">
        <v>0</v>
      </c>
    </row>
    <row r="46" ht="14.4" spans="13:26">
      <c r="M46" s="1081" t="s">
        <v>1807</v>
      </c>
      <c r="N46" s="1003" t="s">
        <v>13005</v>
      </c>
      <c r="O46" s="1098">
        <v>44855</v>
      </c>
      <c r="P46" s="1103">
        <v>15000000</v>
      </c>
      <c r="S46" s="1108" t="s">
        <v>1807</v>
      </c>
      <c r="T46" s="784" t="s">
        <v>13007</v>
      </c>
      <c r="U46" s="1098">
        <v>44223</v>
      </c>
      <c r="V46" s="1109">
        <v>27000000</v>
      </c>
      <c r="X46" s="1108"/>
      <c r="Y46" s="1098"/>
      <c r="Z46" s="1109">
        <v>0</v>
      </c>
    </row>
    <row r="47" ht="14.4" spans="13:26">
      <c r="M47" s="1081" t="s">
        <v>1807</v>
      </c>
      <c r="N47" s="1003" t="s">
        <v>13005</v>
      </c>
      <c r="O47" s="1098">
        <v>44886</v>
      </c>
      <c r="P47" s="1103">
        <v>31365000</v>
      </c>
      <c r="S47" s="1108" t="s">
        <v>1807</v>
      </c>
      <c r="T47" s="784" t="s">
        <v>13007</v>
      </c>
      <c r="U47" s="1098">
        <v>44223</v>
      </c>
      <c r="V47" s="1109">
        <v>15000000</v>
      </c>
      <c r="X47" s="1108"/>
      <c r="Y47" s="1098"/>
      <c r="Z47" s="1109">
        <v>0</v>
      </c>
    </row>
    <row r="48" ht="14.4" spans="13:26">
      <c r="M48" s="1081" t="s">
        <v>1807</v>
      </c>
      <c r="N48" s="1003" t="s">
        <v>13005</v>
      </c>
      <c r="O48" s="1098">
        <v>44886</v>
      </c>
      <c r="P48" s="1103">
        <v>15000000</v>
      </c>
      <c r="S48" s="1108" t="s">
        <v>1807</v>
      </c>
      <c r="T48" s="784" t="s">
        <v>13007</v>
      </c>
      <c r="U48" s="1098">
        <v>44250</v>
      </c>
      <c r="V48" s="1109">
        <v>27000000</v>
      </c>
      <c r="X48" s="1108"/>
      <c r="Y48" s="1098"/>
      <c r="Z48" s="1109">
        <v>0</v>
      </c>
    </row>
    <row r="49" ht="14.4" spans="13:26">
      <c r="M49" s="1081" t="s">
        <v>1807</v>
      </c>
      <c r="N49" s="1003" t="s">
        <v>13005</v>
      </c>
      <c r="O49" s="1098">
        <v>44915</v>
      </c>
      <c r="P49" s="1103">
        <v>28662000</v>
      </c>
      <c r="S49" s="1108" t="s">
        <v>1807</v>
      </c>
      <c r="T49" s="784" t="s">
        <v>13007</v>
      </c>
      <c r="U49" s="1098">
        <v>44250</v>
      </c>
      <c r="V49" s="1109">
        <v>15000000</v>
      </c>
      <c r="X49" s="1108"/>
      <c r="Y49" s="1098"/>
      <c r="Z49" s="1109">
        <v>0</v>
      </c>
    </row>
    <row r="50" ht="14.4" spans="13:26">
      <c r="M50" s="1081" t="s">
        <v>1807</v>
      </c>
      <c r="N50" s="1003" t="s">
        <v>13005</v>
      </c>
      <c r="O50" s="1098">
        <v>44915</v>
      </c>
      <c r="P50" s="1103">
        <v>15000000</v>
      </c>
      <c r="S50" s="1108" t="s">
        <v>1807</v>
      </c>
      <c r="T50" s="784" t="s">
        <v>13007</v>
      </c>
      <c r="U50" s="1098">
        <v>44277</v>
      </c>
      <c r="V50" s="1109">
        <v>15000000</v>
      </c>
      <c r="X50" s="1108"/>
      <c r="Y50" s="1098"/>
      <c r="Z50" s="1109">
        <v>0</v>
      </c>
    </row>
    <row r="51" ht="14.4" spans="13:26">
      <c r="M51" s="1081" t="s">
        <v>12912</v>
      </c>
      <c r="N51" s="1107" t="s">
        <v>12912</v>
      </c>
      <c r="O51" s="1098">
        <v>44926</v>
      </c>
      <c r="P51" s="304">
        <v>140000000</v>
      </c>
      <c r="S51" s="1108" t="s">
        <v>1807</v>
      </c>
      <c r="T51" s="784" t="s">
        <v>13007</v>
      </c>
      <c r="U51" s="1098">
        <v>44277</v>
      </c>
      <c r="V51" s="1109">
        <v>27000000</v>
      </c>
      <c r="X51" s="1108"/>
      <c r="Y51" s="1098"/>
      <c r="Z51" s="1109">
        <v>0</v>
      </c>
    </row>
    <row r="52" ht="14.4" spans="13:26">
      <c r="M52" s="1081" t="s">
        <v>1805</v>
      </c>
      <c r="N52" s="1003" t="s">
        <v>13008</v>
      </c>
      <c r="O52" s="1098">
        <v>44581</v>
      </c>
      <c r="P52" s="1101">
        <v>55000000</v>
      </c>
      <c r="S52" s="1108" t="s">
        <v>1807</v>
      </c>
      <c r="T52" s="784" t="s">
        <v>13007</v>
      </c>
      <c r="U52" s="1098">
        <v>44312</v>
      </c>
      <c r="V52" s="1109">
        <v>27000000</v>
      </c>
      <c r="X52" s="1108"/>
      <c r="Y52" s="1098"/>
      <c r="Z52" s="1109">
        <v>0</v>
      </c>
    </row>
    <row r="53" ht="14.4" spans="13:26">
      <c r="M53" s="1081" t="s">
        <v>1805</v>
      </c>
      <c r="N53" s="1003" t="s">
        <v>13008</v>
      </c>
      <c r="O53" s="1098">
        <v>44581</v>
      </c>
      <c r="P53" s="1099">
        <v>13000000</v>
      </c>
      <c r="S53" s="1108" t="s">
        <v>1807</v>
      </c>
      <c r="T53" s="784" t="s">
        <v>13007</v>
      </c>
      <c r="U53" s="1098">
        <v>44312</v>
      </c>
      <c r="V53" s="1109">
        <v>15000000</v>
      </c>
      <c r="X53" s="1108"/>
      <c r="Y53" s="1098"/>
      <c r="Z53" s="1109">
        <v>0</v>
      </c>
    </row>
    <row r="54" ht="14.4" spans="13:26">
      <c r="M54" s="1081" t="s">
        <v>1805</v>
      </c>
      <c r="N54" s="1003" t="s">
        <v>13008</v>
      </c>
      <c r="O54" s="1098">
        <v>44581</v>
      </c>
      <c r="P54" s="1099">
        <v>9000000</v>
      </c>
      <c r="S54" s="1108" t="s">
        <v>1807</v>
      </c>
      <c r="T54" s="784" t="s">
        <v>13007</v>
      </c>
      <c r="U54" s="1098">
        <v>44341</v>
      </c>
      <c r="V54" s="1111">
        <v>27000000</v>
      </c>
      <c r="X54" s="1108"/>
      <c r="Y54" s="1098"/>
      <c r="Z54" s="1109">
        <v>0</v>
      </c>
    </row>
    <row r="55" ht="14.4" spans="13:26">
      <c r="M55" s="1081" t="s">
        <v>1805</v>
      </c>
      <c r="N55" s="1003" t="s">
        <v>13008</v>
      </c>
      <c r="O55" s="1098">
        <v>44581</v>
      </c>
      <c r="P55" s="1099">
        <v>4200000</v>
      </c>
      <c r="S55" s="1108" t="s">
        <v>1807</v>
      </c>
      <c r="T55" s="784" t="s">
        <v>13007</v>
      </c>
      <c r="U55" s="1098">
        <v>44341</v>
      </c>
      <c r="V55" s="1111">
        <v>15000000</v>
      </c>
      <c r="X55" s="1108"/>
      <c r="Y55" s="1098"/>
      <c r="Z55" s="1109">
        <v>0</v>
      </c>
    </row>
    <row r="56" ht="14.4" spans="13:26">
      <c r="M56" s="1081" t="s">
        <v>1805</v>
      </c>
      <c r="N56" s="1003" t="s">
        <v>13008</v>
      </c>
      <c r="O56" s="1098">
        <v>44581</v>
      </c>
      <c r="P56" s="1099">
        <v>40000000</v>
      </c>
      <c r="S56" s="1108" t="s">
        <v>1807</v>
      </c>
      <c r="T56" s="784" t="s">
        <v>13007</v>
      </c>
      <c r="U56" s="1098">
        <v>44383</v>
      </c>
      <c r="V56" s="1109">
        <v>28472500</v>
      </c>
      <c r="X56" s="1108"/>
      <c r="Y56" s="1098"/>
      <c r="Z56" s="1109">
        <v>0</v>
      </c>
    </row>
    <row r="57" ht="14.4" spans="13:26">
      <c r="M57" s="1081" t="s">
        <v>1805</v>
      </c>
      <c r="N57" s="1003" t="s">
        <v>13008</v>
      </c>
      <c r="O57" s="1098">
        <v>44669</v>
      </c>
      <c r="P57" s="1101">
        <v>165000000</v>
      </c>
      <c r="S57" s="1108" t="s">
        <v>1807</v>
      </c>
      <c r="T57" s="784" t="s">
        <v>13007</v>
      </c>
      <c r="U57" s="1098">
        <v>44383</v>
      </c>
      <c r="V57" s="1109">
        <v>15000000</v>
      </c>
      <c r="X57" s="1108"/>
      <c r="Y57" s="1098"/>
      <c r="Z57" s="1109">
        <v>0</v>
      </c>
    </row>
    <row r="58" ht="14.4" spans="13:26">
      <c r="M58" s="1081" t="s">
        <v>1805</v>
      </c>
      <c r="N58" s="1003" t="s">
        <v>13008</v>
      </c>
      <c r="O58" s="1098">
        <v>44669</v>
      </c>
      <c r="P58" s="1101">
        <v>39000000</v>
      </c>
      <c r="S58" s="1108" t="s">
        <v>1807</v>
      </c>
      <c r="T58" s="784" t="s">
        <v>13007</v>
      </c>
      <c r="U58" s="1098">
        <v>44399</v>
      </c>
      <c r="V58" s="1111">
        <v>28288000</v>
      </c>
      <c r="X58" s="1108"/>
      <c r="Y58" s="1098"/>
      <c r="Z58" s="1109">
        <v>0</v>
      </c>
    </row>
    <row r="59" ht="14.4" spans="13:26">
      <c r="M59" s="1081" t="s">
        <v>1805</v>
      </c>
      <c r="N59" s="1003" t="s">
        <v>13008</v>
      </c>
      <c r="O59" s="1098">
        <v>44669</v>
      </c>
      <c r="P59" s="1099">
        <v>8400000</v>
      </c>
      <c r="S59" s="1108" t="s">
        <v>1807</v>
      </c>
      <c r="T59" s="784" t="s">
        <v>13007</v>
      </c>
      <c r="U59" s="1098">
        <v>44399</v>
      </c>
      <c r="V59" s="1111">
        <v>15000000</v>
      </c>
      <c r="X59" s="1108"/>
      <c r="Y59" s="1098"/>
      <c r="Z59" s="1109">
        <v>0</v>
      </c>
    </row>
    <row r="60" ht="14.4" spans="13:26">
      <c r="M60" s="1081" t="s">
        <v>1805</v>
      </c>
      <c r="N60" s="1003" t="s">
        <v>13008</v>
      </c>
      <c r="O60" s="1098">
        <v>44672</v>
      </c>
      <c r="P60" s="1101">
        <v>36800000</v>
      </c>
      <c r="S60" s="1108" t="s">
        <v>1807</v>
      </c>
      <c r="T60" s="784" t="s">
        <v>13007</v>
      </c>
      <c r="U60" s="1098">
        <v>44483</v>
      </c>
      <c r="V60" s="1111">
        <v>29146500</v>
      </c>
      <c r="X60" s="1108"/>
      <c r="Y60" s="1098"/>
      <c r="Z60" s="1109">
        <v>0</v>
      </c>
    </row>
    <row r="61" ht="14.4" spans="13:26">
      <c r="M61" s="1081" t="s">
        <v>1805</v>
      </c>
      <c r="N61" s="1003" t="s">
        <v>13008</v>
      </c>
      <c r="O61" s="1098">
        <v>44672</v>
      </c>
      <c r="P61" s="1101">
        <v>38400000</v>
      </c>
      <c r="S61" s="1108" t="s">
        <v>1807</v>
      </c>
      <c r="T61" s="784" t="s">
        <v>13007</v>
      </c>
      <c r="U61" s="1098">
        <v>44483</v>
      </c>
      <c r="V61" s="1111">
        <v>15000000</v>
      </c>
      <c r="X61" s="1108"/>
      <c r="Y61" s="1098"/>
      <c r="Z61" s="1109">
        <v>0</v>
      </c>
    </row>
    <row r="62" ht="14.4" spans="13:26">
      <c r="M62" s="1081" t="s">
        <v>1805</v>
      </c>
      <c r="N62" s="1003" t="s">
        <v>13008</v>
      </c>
      <c r="O62" s="1098">
        <v>44672</v>
      </c>
      <c r="P62" s="1099">
        <v>35200000</v>
      </c>
      <c r="S62" s="1108" t="s">
        <v>1807</v>
      </c>
      <c r="T62" s="784" t="s">
        <v>13007</v>
      </c>
      <c r="U62" s="1098">
        <v>44483</v>
      </c>
      <c r="V62" s="1111">
        <v>29988000</v>
      </c>
      <c r="X62" s="1108"/>
      <c r="Y62" s="1098"/>
      <c r="Z62" s="1109">
        <v>0</v>
      </c>
    </row>
    <row r="63" ht="14.4" spans="13:26">
      <c r="M63" s="1081" t="s">
        <v>1805</v>
      </c>
      <c r="N63" s="1003" t="s">
        <v>13008</v>
      </c>
      <c r="O63" s="1098">
        <v>44698</v>
      </c>
      <c r="P63" s="1099">
        <v>13000000</v>
      </c>
      <c r="S63" s="1108" t="s">
        <v>1807</v>
      </c>
      <c r="T63" s="784" t="s">
        <v>13007</v>
      </c>
      <c r="U63" s="1098">
        <v>44483</v>
      </c>
      <c r="V63" s="1111">
        <v>15000000</v>
      </c>
      <c r="X63" s="1108"/>
      <c r="Y63" s="1098"/>
      <c r="Z63" s="1109">
        <v>0</v>
      </c>
    </row>
    <row r="64" ht="14.4" spans="13:26">
      <c r="M64" s="1081" t="s">
        <v>1805</v>
      </c>
      <c r="N64" s="1003" t="s">
        <v>13008</v>
      </c>
      <c r="O64" s="1098">
        <v>44698</v>
      </c>
      <c r="P64" s="1099">
        <v>34400000</v>
      </c>
      <c r="S64" s="1108" t="s">
        <v>1807</v>
      </c>
      <c r="T64" s="1112" t="s">
        <v>13007</v>
      </c>
      <c r="U64" s="1113">
        <v>44504</v>
      </c>
      <c r="V64" s="1110">
        <v>29376000</v>
      </c>
      <c r="X64" s="1108"/>
      <c r="Y64" s="1113"/>
      <c r="Z64" s="1109">
        <v>0</v>
      </c>
    </row>
    <row r="65" ht="14.4" spans="13:26">
      <c r="M65" s="1081" t="s">
        <v>1805</v>
      </c>
      <c r="N65" s="1003" t="s">
        <v>13008</v>
      </c>
      <c r="O65" s="1098">
        <v>44725</v>
      </c>
      <c r="P65" s="1101">
        <v>55000000</v>
      </c>
      <c r="S65" s="1108" t="s">
        <v>1807</v>
      </c>
      <c r="T65" s="1112" t="s">
        <v>13007</v>
      </c>
      <c r="U65" s="1113">
        <v>44504</v>
      </c>
      <c r="V65" s="1110">
        <v>15000000</v>
      </c>
      <c r="X65" s="1108"/>
      <c r="Y65" s="1113"/>
      <c r="Z65" s="1109">
        <v>0</v>
      </c>
    </row>
    <row r="66" ht="14.4" spans="13:26">
      <c r="M66" s="1081" t="s">
        <v>1805</v>
      </c>
      <c r="N66" s="1003" t="s">
        <v>13008</v>
      </c>
      <c r="O66" s="1098">
        <v>44725</v>
      </c>
      <c r="P66" s="1099">
        <v>13000000</v>
      </c>
      <c r="S66" s="1108" t="s">
        <v>1807</v>
      </c>
      <c r="T66" s="784" t="s">
        <v>13007</v>
      </c>
      <c r="U66" s="1098">
        <v>44531</v>
      </c>
      <c r="V66" s="1111">
        <v>30345000</v>
      </c>
      <c r="X66" s="1108"/>
      <c r="Y66" s="1098"/>
      <c r="Z66" s="1109">
        <v>0</v>
      </c>
    </row>
    <row r="67" ht="14.4" spans="13:26">
      <c r="M67" s="1081" t="s">
        <v>1805</v>
      </c>
      <c r="N67" s="1003" t="s">
        <v>13008</v>
      </c>
      <c r="O67" s="1098">
        <v>44725</v>
      </c>
      <c r="P67" s="1099">
        <v>31200000</v>
      </c>
      <c r="S67" s="1108" t="s">
        <v>1807</v>
      </c>
      <c r="T67" s="784" t="s">
        <v>13007</v>
      </c>
      <c r="U67" s="1098">
        <v>44531</v>
      </c>
      <c r="V67" s="1111">
        <v>15000000</v>
      </c>
      <c r="X67" s="1108"/>
      <c r="Y67" s="1098"/>
      <c r="Z67" s="1109">
        <v>0</v>
      </c>
    </row>
    <row r="68" ht="14.4" spans="13:26">
      <c r="M68" s="1081" t="s">
        <v>1805</v>
      </c>
      <c r="N68" s="1003" t="s">
        <v>13008</v>
      </c>
      <c r="O68" s="1098">
        <v>44732</v>
      </c>
      <c r="P68" s="1101">
        <v>55000000</v>
      </c>
      <c r="S68" s="1108" t="s">
        <v>1807</v>
      </c>
      <c r="T68" s="784" t="s">
        <v>13007</v>
      </c>
      <c r="U68" s="1098">
        <v>44552</v>
      </c>
      <c r="V68" s="1111">
        <v>29214500</v>
      </c>
      <c r="X68" s="1108"/>
      <c r="Y68" s="1098"/>
      <c r="Z68" s="1109">
        <v>0</v>
      </c>
    </row>
    <row r="69" ht="14.4" spans="13:26">
      <c r="M69" s="1081" t="s">
        <v>1805</v>
      </c>
      <c r="N69" s="1003" t="s">
        <v>13008</v>
      </c>
      <c r="O69" s="1098">
        <v>44756</v>
      </c>
      <c r="P69" s="1101">
        <v>55000000</v>
      </c>
      <c r="S69" s="1108" t="s">
        <v>1807</v>
      </c>
      <c r="T69" s="784" t="s">
        <v>13007</v>
      </c>
      <c r="U69" s="1098">
        <v>44552</v>
      </c>
      <c r="V69" s="1111">
        <v>15000000</v>
      </c>
      <c r="X69" s="1108"/>
      <c r="Y69" s="1098"/>
      <c r="Z69" s="1109">
        <v>0</v>
      </c>
    </row>
    <row r="70" ht="14.4" spans="13:26">
      <c r="M70" s="1081" t="s">
        <v>1805</v>
      </c>
      <c r="N70" s="1003" t="s">
        <v>13008</v>
      </c>
      <c r="O70" s="1098">
        <v>44756</v>
      </c>
      <c r="P70" s="1099">
        <v>13000000</v>
      </c>
      <c r="S70" s="1108" t="s">
        <v>12994</v>
      </c>
      <c r="T70" s="784" t="s">
        <v>13009</v>
      </c>
      <c r="U70" s="1098">
        <v>44354</v>
      </c>
      <c r="V70" s="1110">
        <v>6000000</v>
      </c>
      <c r="X70" s="1108"/>
      <c r="Y70" s="1098"/>
      <c r="Z70" s="1109">
        <v>0</v>
      </c>
    </row>
    <row r="71" ht="14.4" spans="13:26">
      <c r="M71" s="1081" t="s">
        <v>1805</v>
      </c>
      <c r="N71" s="1003" t="s">
        <v>13008</v>
      </c>
      <c r="O71" s="1098">
        <v>44756</v>
      </c>
      <c r="P71" s="1101">
        <v>44000000</v>
      </c>
      <c r="S71" s="1108" t="s">
        <v>12994</v>
      </c>
      <c r="T71" s="784" t="s">
        <v>13009</v>
      </c>
      <c r="U71" s="1098">
        <v>44354</v>
      </c>
      <c r="V71" s="1110">
        <v>1850000</v>
      </c>
      <c r="X71" s="1108"/>
      <c r="Y71" s="1098"/>
      <c r="Z71" s="1109">
        <v>0</v>
      </c>
    </row>
    <row r="72" ht="14.4" spans="13:26">
      <c r="M72" s="1081" t="s">
        <v>1805</v>
      </c>
      <c r="N72" s="1003" t="s">
        <v>13008</v>
      </c>
      <c r="O72" s="1098">
        <v>44785</v>
      </c>
      <c r="P72" s="1101">
        <v>55000000</v>
      </c>
      <c r="S72" s="1108" t="s">
        <v>12994</v>
      </c>
      <c r="T72" s="784" t="s">
        <v>13009</v>
      </c>
      <c r="U72" s="1098">
        <v>44354</v>
      </c>
      <c r="V72" s="1110">
        <v>525000</v>
      </c>
      <c r="X72" s="1108"/>
      <c r="Y72" s="1098"/>
      <c r="Z72" s="1109">
        <v>0</v>
      </c>
    </row>
    <row r="73" ht="14.4" spans="13:26">
      <c r="M73" s="1081" t="s">
        <v>1805</v>
      </c>
      <c r="N73" s="1003" t="s">
        <v>13008</v>
      </c>
      <c r="O73" s="1098">
        <v>44785</v>
      </c>
      <c r="P73" s="1099">
        <v>13000000</v>
      </c>
      <c r="S73" s="1108" t="s">
        <v>12993</v>
      </c>
      <c r="T73" s="784" t="s">
        <v>13010</v>
      </c>
      <c r="U73" s="1098">
        <v>44362</v>
      </c>
      <c r="V73" s="1110">
        <v>81968750</v>
      </c>
      <c r="X73" s="1108"/>
      <c r="Y73" s="1098"/>
      <c r="Z73" s="1109">
        <v>0</v>
      </c>
    </row>
    <row r="74" ht="14.4" spans="13:26">
      <c r="M74" s="1081" t="s">
        <v>1805</v>
      </c>
      <c r="N74" s="1003" t="s">
        <v>13008</v>
      </c>
      <c r="O74" s="1098">
        <v>44785</v>
      </c>
      <c r="P74" s="1099">
        <v>43200000</v>
      </c>
      <c r="S74" s="1108" t="s">
        <v>12993</v>
      </c>
      <c r="T74" s="784" t="s">
        <v>13010</v>
      </c>
      <c r="U74" s="1098">
        <v>44382</v>
      </c>
      <c r="V74" s="1109">
        <v>48521875</v>
      </c>
      <c r="X74" s="1108"/>
      <c r="Y74" s="1098"/>
      <c r="Z74" s="1109">
        <v>0</v>
      </c>
    </row>
    <row r="75" ht="14.4" spans="13:26">
      <c r="M75" s="1081" t="s">
        <v>1805</v>
      </c>
      <c r="N75" s="1003" t="s">
        <v>13008</v>
      </c>
      <c r="O75" s="1098">
        <v>44813</v>
      </c>
      <c r="P75" s="1101">
        <v>55000000</v>
      </c>
      <c r="S75" s="1108" t="s">
        <v>12993</v>
      </c>
      <c r="T75" s="1112" t="s">
        <v>13010</v>
      </c>
      <c r="U75" s="1113">
        <v>44509</v>
      </c>
      <c r="V75" s="1110">
        <v>8196875</v>
      </c>
      <c r="X75" s="1108"/>
      <c r="Y75" s="1113"/>
      <c r="Z75" s="1109">
        <v>0</v>
      </c>
    </row>
    <row r="76" ht="14.4" spans="13:26">
      <c r="M76" s="1081" t="s">
        <v>1805</v>
      </c>
      <c r="N76" s="1003" t="s">
        <v>13008</v>
      </c>
      <c r="O76" s="1098">
        <v>44813</v>
      </c>
      <c r="P76" s="1099">
        <v>13000000</v>
      </c>
      <c r="S76" s="1108" t="s">
        <v>1805</v>
      </c>
      <c r="T76" s="784" t="s">
        <v>13011</v>
      </c>
      <c r="U76" s="1098">
        <v>44210</v>
      </c>
      <c r="V76" s="1109">
        <v>77000000</v>
      </c>
      <c r="X76" s="1108"/>
      <c r="Y76" s="1098"/>
      <c r="Z76" s="1109">
        <v>0</v>
      </c>
    </row>
    <row r="77" ht="14.4" spans="13:26">
      <c r="M77" s="1081" t="s">
        <v>1805</v>
      </c>
      <c r="N77" s="1003" t="s">
        <v>13008</v>
      </c>
      <c r="O77" s="1098">
        <v>44813</v>
      </c>
      <c r="P77" s="1103">
        <v>42400000</v>
      </c>
      <c r="S77" s="1108" t="s">
        <v>1805</v>
      </c>
      <c r="T77" s="784" t="s">
        <v>13011</v>
      </c>
      <c r="U77" s="1098">
        <v>44210</v>
      </c>
      <c r="V77" s="1109">
        <v>27500000</v>
      </c>
      <c r="X77" s="1108"/>
      <c r="Y77" s="1098"/>
      <c r="Z77" s="1109">
        <v>0</v>
      </c>
    </row>
    <row r="78" ht="14.4" spans="13:26">
      <c r="M78" s="1081" t="s">
        <v>1805</v>
      </c>
      <c r="N78" s="1003" t="s">
        <v>13008</v>
      </c>
      <c r="O78" s="1098">
        <v>44848</v>
      </c>
      <c r="P78" s="1102">
        <v>55000000</v>
      </c>
      <c r="S78" s="1108" t="s">
        <v>1805</v>
      </c>
      <c r="T78" s="784" t="s">
        <v>13011</v>
      </c>
      <c r="U78" s="1098">
        <v>44210</v>
      </c>
      <c r="V78" s="1109">
        <v>13000000</v>
      </c>
      <c r="X78" s="1108"/>
      <c r="Y78" s="1098"/>
      <c r="Z78" s="1109">
        <v>0</v>
      </c>
    </row>
    <row r="79" ht="14.4" spans="13:26">
      <c r="M79" s="1081" t="s">
        <v>1805</v>
      </c>
      <c r="N79" s="1003" t="s">
        <v>13008</v>
      </c>
      <c r="O79" s="1098">
        <v>44848</v>
      </c>
      <c r="P79" s="1103">
        <v>13000000</v>
      </c>
      <c r="S79" s="1108" t="s">
        <v>1805</v>
      </c>
      <c r="T79" s="784" t="s">
        <v>13011</v>
      </c>
      <c r="U79" s="1098">
        <v>44210</v>
      </c>
      <c r="V79" s="1109">
        <v>4200000</v>
      </c>
      <c r="X79" s="1108"/>
      <c r="Y79" s="1098"/>
      <c r="Z79" s="1109">
        <v>0</v>
      </c>
    </row>
    <row r="80" ht="14.4" spans="13:26">
      <c r="M80" s="1081" t="s">
        <v>1805</v>
      </c>
      <c r="N80" s="1003" t="s">
        <v>13008</v>
      </c>
      <c r="O80" s="1098">
        <v>44876</v>
      </c>
      <c r="P80" s="1102">
        <v>55000000</v>
      </c>
      <c r="S80" s="1108" t="s">
        <v>1805</v>
      </c>
      <c r="T80" s="784" t="s">
        <v>13011</v>
      </c>
      <c r="U80" s="1098">
        <v>44210</v>
      </c>
      <c r="V80" s="1109">
        <v>25000000</v>
      </c>
      <c r="X80" s="1108"/>
      <c r="Y80" s="1098"/>
      <c r="Z80" s="1109">
        <v>0</v>
      </c>
    </row>
    <row r="81" ht="14.4" spans="13:26">
      <c r="M81" s="1081" t="s">
        <v>1805</v>
      </c>
      <c r="N81" s="1003" t="s">
        <v>13008</v>
      </c>
      <c r="O81" s="1098">
        <v>44876</v>
      </c>
      <c r="P81" s="1103">
        <v>13000000</v>
      </c>
      <c r="S81" s="1108" t="s">
        <v>1805</v>
      </c>
      <c r="T81" s="784" t="s">
        <v>13011</v>
      </c>
      <c r="U81" s="1098">
        <v>44210</v>
      </c>
      <c r="V81" s="1116">
        <v>4500000</v>
      </c>
      <c r="X81" s="1108"/>
      <c r="Y81" s="1098"/>
      <c r="Z81" s="1109">
        <v>0</v>
      </c>
    </row>
    <row r="82" ht="14.4" spans="13:26">
      <c r="M82" s="1081" t="s">
        <v>1805</v>
      </c>
      <c r="N82" s="1003" t="s">
        <v>13008</v>
      </c>
      <c r="O82" s="1098">
        <v>44893</v>
      </c>
      <c r="P82" s="1103">
        <v>47200000</v>
      </c>
      <c r="S82" s="1108" t="s">
        <v>1805</v>
      </c>
      <c r="T82" s="784" t="s">
        <v>13011</v>
      </c>
      <c r="U82" s="1098">
        <v>44215</v>
      </c>
      <c r="V82" s="1109">
        <v>40000000</v>
      </c>
      <c r="X82" s="1108"/>
      <c r="Y82" s="1098"/>
      <c r="Z82" s="1109">
        <v>0</v>
      </c>
    </row>
    <row r="83" ht="14.4" spans="13:26">
      <c r="M83" s="1081" t="s">
        <v>1805</v>
      </c>
      <c r="N83" s="1003" t="s">
        <v>13008</v>
      </c>
      <c r="O83" s="1098">
        <v>44893</v>
      </c>
      <c r="P83" s="1103">
        <v>40800000</v>
      </c>
      <c r="S83" s="1108" t="s">
        <v>1805</v>
      </c>
      <c r="T83" s="784" t="s">
        <v>13011</v>
      </c>
      <c r="U83" s="1098">
        <v>44251</v>
      </c>
      <c r="V83" s="1109">
        <v>55000000</v>
      </c>
      <c r="X83" s="1108"/>
      <c r="Y83" s="1098"/>
      <c r="Z83" s="1109">
        <v>0</v>
      </c>
    </row>
    <row r="84" ht="14.4" spans="13:26">
      <c r="M84" s="1081" t="s">
        <v>1805</v>
      </c>
      <c r="N84" s="1003" t="s">
        <v>13008</v>
      </c>
      <c r="O84" s="1098">
        <v>44903</v>
      </c>
      <c r="P84" s="1102">
        <v>55000000</v>
      </c>
      <c r="S84" s="1108" t="s">
        <v>1805</v>
      </c>
      <c r="T84" s="784" t="s">
        <v>13011</v>
      </c>
      <c r="U84" s="1098">
        <v>44251</v>
      </c>
      <c r="V84" s="1109">
        <v>25000000</v>
      </c>
      <c r="X84" s="1108"/>
      <c r="Y84" s="1098"/>
      <c r="Z84" s="1109">
        <v>0</v>
      </c>
    </row>
    <row r="85" ht="14.4" spans="13:26">
      <c r="M85" s="1081" t="s">
        <v>1805</v>
      </c>
      <c r="N85" s="1003" t="s">
        <v>13008</v>
      </c>
      <c r="O85" s="1098">
        <v>44903</v>
      </c>
      <c r="P85" s="1103">
        <v>13000000</v>
      </c>
      <c r="S85" s="1108" t="s">
        <v>1805</v>
      </c>
      <c r="T85" s="784" t="s">
        <v>13011</v>
      </c>
      <c r="U85" s="1098">
        <v>44251</v>
      </c>
      <c r="V85" s="1109">
        <v>4500000</v>
      </c>
      <c r="X85" s="1108"/>
      <c r="Y85" s="1098"/>
      <c r="Z85" s="1109">
        <v>0</v>
      </c>
    </row>
    <row r="86" ht="14.4" spans="13:26">
      <c r="M86" s="1081" t="s">
        <v>1805</v>
      </c>
      <c r="N86" s="1003" t="s">
        <v>13008</v>
      </c>
      <c r="O86" s="1098">
        <v>44903</v>
      </c>
      <c r="P86" s="1102">
        <v>44000000</v>
      </c>
      <c r="S86" s="1108" t="s">
        <v>1805</v>
      </c>
      <c r="T86" s="784" t="s">
        <v>13011</v>
      </c>
      <c r="U86" s="1098">
        <v>44251</v>
      </c>
      <c r="V86" s="1114">
        <v>13000000</v>
      </c>
      <c r="X86" s="1108"/>
      <c r="Y86" s="1098"/>
      <c r="Z86" s="1109">
        <v>0</v>
      </c>
    </row>
    <row r="87" ht="14.4" spans="13:26">
      <c r="M87" s="1081" t="s">
        <v>1238</v>
      </c>
      <c r="N87" s="1107" t="s">
        <v>13012</v>
      </c>
      <c r="O87" s="1098">
        <v>44926</v>
      </c>
      <c r="P87" s="304">
        <v>2060320800</v>
      </c>
      <c r="S87" s="1108" t="s">
        <v>1805</v>
      </c>
      <c r="T87" s="784" t="s">
        <v>13011</v>
      </c>
      <c r="U87" s="1098">
        <v>44251</v>
      </c>
      <c r="V87" s="1114">
        <v>4200000</v>
      </c>
      <c r="X87" s="1108"/>
      <c r="Y87" s="1098"/>
      <c r="Z87" s="1109">
        <v>0</v>
      </c>
    </row>
    <row r="88" ht="14.4" spans="13:26">
      <c r="M88" s="1081" t="s">
        <v>12987</v>
      </c>
      <c r="N88" s="1107" t="s">
        <v>12911</v>
      </c>
      <c r="O88" s="1098">
        <v>44926</v>
      </c>
      <c r="P88" s="304">
        <v>1014603773.8796</v>
      </c>
      <c r="S88" s="1108" t="s">
        <v>1805</v>
      </c>
      <c r="T88" s="784" t="s">
        <v>13011</v>
      </c>
      <c r="U88" s="1098">
        <v>44251</v>
      </c>
      <c r="V88" s="1109">
        <v>27500000</v>
      </c>
      <c r="X88" s="1108"/>
      <c r="Y88" s="1098"/>
      <c r="Z88" s="1109">
        <v>0</v>
      </c>
    </row>
    <row r="89" ht="14.4" spans="13:26">
      <c r="M89" s="1081" t="s">
        <v>12878</v>
      </c>
      <c r="N89" s="1107" t="s">
        <v>13013</v>
      </c>
      <c r="O89" s="1098">
        <v>44926</v>
      </c>
      <c r="P89" s="304">
        <v>54000000</v>
      </c>
      <c r="S89" s="1108" t="s">
        <v>1805</v>
      </c>
      <c r="T89" s="784" t="s">
        <v>13011</v>
      </c>
      <c r="U89" s="1098">
        <v>44251</v>
      </c>
      <c r="V89" s="1109">
        <v>33600000</v>
      </c>
      <c r="X89" s="1108"/>
      <c r="Y89" s="1098"/>
      <c r="Z89" s="1109">
        <v>0</v>
      </c>
    </row>
    <row r="90" ht="14.4" spans="13:26">
      <c r="M90" s="1081" t="s">
        <v>12988</v>
      </c>
      <c r="N90" s="1107" t="s">
        <v>12910</v>
      </c>
      <c r="O90" s="1098">
        <v>44926</v>
      </c>
      <c r="P90" s="304">
        <v>1215000000</v>
      </c>
      <c r="S90" s="1108" t="s">
        <v>1805</v>
      </c>
      <c r="T90" s="784" t="s">
        <v>13011</v>
      </c>
      <c r="U90" s="1098">
        <v>44274</v>
      </c>
      <c r="V90" s="1109">
        <v>55000000</v>
      </c>
      <c r="X90" s="1108"/>
      <c r="Y90" s="1098"/>
      <c r="Z90" s="1109">
        <v>0</v>
      </c>
    </row>
    <row r="91" ht="14.4" spans="13:26">
      <c r="M91" s="1081" t="s">
        <v>12990</v>
      </c>
      <c r="N91" s="1003" t="s">
        <v>13014</v>
      </c>
      <c r="O91" s="1098">
        <v>44882</v>
      </c>
      <c r="P91" s="1103">
        <v>11650182</v>
      </c>
      <c r="S91" s="1108" t="s">
        <v>1805</v>
      </c>
      <c r="T91" s="784" t="s">
        <v>13011</v>
      </c>
      <c r="U91" s="1098">
        <v>44274</v>
      </c>
      <c r="V91" s="1109">
        <v>25000000</v>
      </c>
      <c r="X91" s="1108"/>
      <c r="Y91" s="1098"/>
      <c r="Z91" s="1109">
        <v>0</v>
      </c>
    </row>
    <row r="92" ht="14.4" spans="13:26">
      <c r="M92" s="1081" t="s">
        <v>12990</v>
      </c>
      <c r="N92" s="1003" t="s">
        <v>13014</v>
      </c>
      <c r="O92" s="1098">
        <v>44907</v>
      </c>
      <c r="P92" s="1099">
        <v>46600729</v>
      </c>
      <c r="S92" s="1108" t="s">
        <v>1805</v>
      </c>
      <c r="T92" s="784" t="s">
        <v>13011</v>
      </c>
      <c r="U92" s="1098">
        <v>44274</v>
      </c>
      <c r="V92" s="1109">
        <v>4500000</v>
      </c>
      <c r="X92" s="1108"/>
      <c r="Y92" s="1098"/>
      <c r="Z92" s="1109">
        <v>0</v>
      </c>
    </row>
    <row r="93" ht="14.4" spans="13:26">
      <c r="M93" s="184"/>
      <c r="N93" s="101"/>
      <c r="O93" s="101"/>
      <c r="P93" s="304"/>
      <c r="S93" s="1108" t="s">
        <v>1805</v>
      </c>
      <c r="T93" s="784" t="s">
        <v>13011</v>
      </c>
      <c r="U93" s="1098">
        <v>44274</v>
      </c>
      <c r="V93" s="1109">
        <v>13000000</v>
      </c>
      <c r="X93" s="1108"/>
      <c r="Y93" s="1098"/>
      <c r="Z93" s="1109">
        <v>0</v>
      </c>
    </row>
    <row r="94" ht="14.4" spans="13:26">
      <c r="M94" s="109" t="s">
        <v>13015</v>
      </c>
      <c r="N94" s="110"/>
      <c r="O94" s="110"/>
      <c r="P94" s="1115"/>
      <c r="S94" s="1108" t="s">
        <v>1805</v>
      </c>
      <c r="T94" s="784" t="s">
        <v>13011</v>
      </c>
      <c r="U94" s="1098">
        <v>44274</v>
      </c>
      <c r="V94" s="1109">
        <v>4200000</v>
      </c>
      <c r="X94" s="1108"/>
      <c r="Y94" s="1098"/>
      <c r="Z94" s="1109">
        <v>0</v>
      </c>
    </row>
    <row r="95" ht="14.4" spans="19:26">
      <c r="S95" s="1108" t="s">
        <v>1805</v>
      </c>
      <c r="T95" s="784" t="s">
        <v>13011</v>
      </c>
      <c r="U95" s="1098">
        <v>44274</v>
      </c>
      <c r="V95" s="1109">
        <v>27500000</v>
      </c>
      <c r="X95" s="1108"/>
      <c r="Y95" s="1098"/>
      <c r="Z95" s="1109">
        <v>0</v>
      </c>
    </row>
    <row r="96" ht="14.4" spans="19:26">
      <c r="S96" s="1108" t="s">
        <v>1805</v>
      </c>
      <c r="T96" s="784" t="s">
        <v>13011</v>
      </c>
      <c r="U96" s="1098">
        <v>44274</v>
      </c>
      <c r="V96" s="1109">
        <v>36000000</v>
      </c>
      <c r="X96" s="1108"/>
      <c r="Y96" s="1098"/>
      <c r="Z96" s="1109">
        <v>0</v>
      </c>
    </row>
    <row r="97" ht="14.4" spans="19:26">
      <c r="S97" s="1108" t="s">
        <v>1805</v>
      </c>
      <c r="T97" s="784" t="s">
        <v>13011</v>
      </c>
      <c r="U97" s="1098">
        <v>44300</v>
      </c>
      <c r="V97" s="1109">
        <v>55000000</v>
      </c>
      <c r="X97" s="1108"/>
      <c r="Y97" s="1098"/>
      <c r="Z97" s="1109">
        <v>0</v>
      </c>
    </row>
    <row r="98" ht="14.4" spans="19:26">
      <c r="S98" s="1108" t="s">
        <v>1805</v>
      </c>
      <c r="T98" s="784" t="s">
        <v>13011</v>
      </c>
      <c r="U98" s="1098">
        <v>44300</v>
      </c>
      <c r="V98" s="1109">
        <v>25000000</v>
      </c>
      <c r="X98" s="1108"/>
      <c r="Y98" s="1098"/>
      <c r="Z98" s="1109">
        <v>0</v>
      </c>
    </row>
    <row r="99" ht="14.4" spans="19:26">
      <c r="S99" s="1108" t="s">
        <v>1805</v>
      </c>
      <c r="T99" s="784" t="s">
        <v>13011</v>
      </c>
      <c r="U99" s="1098">
        <v>44300</v>
      </c>
      <c r="V99" s="1109">
        <v>4500000</v>
      </c>
      <c r="X99" s="1108"/>
      <c r="Y99" s="1098"/>
      <c r="Z99" s="1109">
        <v>0</v>
      </c>
    </row>
    <row r="100" ht="14.4" spans="19:26">
      <c r="S100" s="1108" t="s">
        <v>1805</v>
      </c>
      <c r="T100" s="784" t="s">
        <v>13011</v>
      </c>
      <c r="U100" s="1098">
        <v>44300</v>
      </c>
      <c r="V100" s="1109">
        <v>13000000</v>
      </c>
      <c r="X100" s="1108"/>
      <c r="Y100" s="1098"/>
      <c r="Z100" s="1109">
        <v>0</v>
      </c>
    </row>
    <row r="101" ht="14.4" spans="19:26">
      <c r="S101" s="1108" t="s">
        <v>1805</v>
      </c>
      <c r="T101" s="784" t="s">
        <v>13011</v>
      </c>
      <c r="U101" s="1098">
        <v>44300</v>
      </c>
      <c r="V101" s="1109">
        <v>4200000</v>
      </c>
      <c r="X101" s="1108"/>
      <c r="Y101" s="1098"/>
      <c r="Z101" s="1109">
        <v>0</v>
      </c>
    </row>
    <row r="102" ht="14.4" spans="19:26">
      <c r="S102" s="1108" t="s">
        <v>1805</v>
      </c>
      <c r="T102" s="784" t="s">
        <v>13011</v>
      </c>
      <c r="U102" s="1098">
        <v>44300</v>
      </c>
      <c r="V102" s="1109">
        <v>27500000</v>
      </c>
      <c r="X102" s="1108"/>
      <c r="Y102" s="1098"/>
      <c r="Z102" s="1109">
        <v>0</v>
      </c>
    </row>
    <row r="103" ht="14.4" spans="19:26">
      <c r="S103" s="1108" t="s">
        <v>1805</v>
      </c>
      <c r="T103" s="784" t="s">
        <v>13011</v>
      </c>
      <c r="U103" s="1098">
        <v>44300</v>
      </c>
      <c r="V103" s="1109">
        <v>34400000</v>
      </c>
      <c r="X103" s="1108"/>
      <c r="Y103" s="1098"/>
      <c r="Z103" s="1109">
        <v>0</v>
      </c>
    </row>
    <row r="104" ht="14.4" spans="19:26">
      <c r="S104" s="1108" t="s">
        <v>1805</v>
      </c>
      <c r="T104" s="784" t="s">
        <v>13011</v>
      </c>
      <c r="U104" s="1098">
        <v>44336</v>
      </c>
      <c r="V104" s="1111">
        <v>55000000</v>
      </c>
      <c r="X104" s="1108"/>
      <c r="Y104" s="1098"/>
      <c r="Z104" s="1109">
        <v>0</v>
      </c>
    </row>
    <row r="105" ht="14.4" spans="19:26">
      <c r="S105" s="1108" t="s">
        <v>1805</v>
      </c>
      <c r="T105" s="784" t="s">
        <v>13011</v>
      </c>
      <c r="U105" s="1098">
        <v>44336</v>
      </c>
      <c r="V105" s="1111">
        <v>25000000</v>
      </c>
      <c r="X105" s="1108"/>
      <c r="Y105" s="1098"/>
      <c r="Z105" s="1109">
        <v>0</v>
      </c>
    </row>
    <row r="106" ht="14.4" spans="19:26">
      <c r="S106" s="1108" t="s">
        <v>1805</v>
      </c>
      <c r="T106" s="784" t="s">
        <v>13011</v>
      </c>
      <c r="U106" s="1098">
        <v>44336</v>
      </c>
      <c r="V106" s="1111">
        <v>9000000</v>
      </c>
      <c r="X106" s="1108"/>
      <c r="Y106" s="1098"/>
      <c r="Z106" s="1109">
        <v>0</v>
      </c>
    </row>
    <row r="107" ht="14.4" spans="19:26">
      <c r="S107" s="1108" t="s">
        <v>1805</v>
      </c>
      <c r="T107" s="784" t="s">
        <v>13011</v>
      </c>
      <c r="U107" s="1098">
        <v>44343</v>
      </c>
      <c r="V107" s="1111">
        <v>13000000</v>
      </c>
      <c r="X107" s="1108"/>
      <c r="Y107" s="1098"/>
      <c r="Z107" s="1109">
        <v>0</v>
      </c>
    </row>
    <row r="108" ht="14.4" spans="19:26">
      <c r="S108" s="1108" t="s">
        <v>1805</v>
      </c>
      <c r="T108" s="784" t="s">
        <v>13011</v>
      </c>
      <c r="U108" s="1098">
        <v>44336</v>
      </c>
      <c r="V108" s="1111">
        <v>4200000</v>
      </c>
      <c r="X108" s="1108"/>
      <c r="Y108" s="1098"/>
      <c r="Z108" s="1109">
        <v>0</v>
      </c>
    </row>
    <row r="109" ht="14.4" spans="19:26">
      <c r="S109" s="1108" t="s">
        <v>1805</v>
      </c>
      <c r="T109" s="784" t="s">
        <v>13011</v>
      </c>
      <c r="U109" s="1098">
        <v>44336</v>
      </c>
      <c r="V109" s="1111">
        <v>35200000</v>
      </c>
      <c r="X109" s="1108"/>
      <c r="Y109" s="1098"/>
      <c r="Z109" s="1109">
        <v>0</v>
      </c>
    </row>
    <row r="110" ht="14.4" spans="19:26">
      <c r="S110" s="1108" t="s">
        <v>1805</v>
      </c>
      <c r="T110" s="784" t="s">
        <v>13011</v>
      </c>
      <c r="U110" s="1098">
        <v>44358</v>
      </c>
      <c r="V110" s="1110">
        <v>55000000</v>
      </c>
      <c r="X110" s="1108"/>
      <c r="Y110" s="1098"/>
      <c r="Z110" s="1109">
        <v>0</v>
      </c>
    </row>
    <row r="111" ht="14.4" spans="19:26">
      <c r="S111" s="1108" t="s">
        <v>1805</v>
      </c>
      <c r="T111" s="784" t="s">
        <v>13011</v>
      </c>
      <c r="U111" s="1098">
        <v>44358</v>
      </c>
      <c r="V111" s="1110">
        <v>13000000</v>
      </c>
      <c r="X111" s="1108"/>
      <c r="Y111" s="1098"/>
      <c r="Z111" s="1109">
        <v>0</v>
      </c>
    </row>
    <row r="112" ht="14.4" spans="19:26">
      <c r="S112" s="1108" t="s">
        <v>1805</v>
      </c>
      <c r="T112" s="784" t="s">
        <v>13011</v>
      </c>
      <c r="U112" s="1098">
        <v>44362</v>
      </c>
      <c r="V112" s="1110">
        <v>9000000</v>
      </c>
      <c r="X112" s="1108"/>
      <c r="Y112" s="1098"/>
      <c r="Z112" s="1109">
        <v>0</v>
      </c>
    </row>
    <row r="113" ht="14.4" spans="19:26">
      <c r="S113" s="1108" t="s">
        <v>1805</v>
      </c>
      <c r="T113" s="784" t="s">
        <v>13011</v>
      </c>
      <c r="U113" s="1098">
        <v>44362</v>
      </c>
      <c r="V113" s="1110">
        <v>4200000</v>
      </c>
      <c r="X113" s="1108"/>
      <c r="Y113" s="1098"/>
      <c r="Z113" s="1109">
        <v>0</v>
      </c>
    </row>
    <row r="114" ht="14.4" spans="19:26">
      <c r="S114" s="1108" t="s">
        <v>1805</v>
      </c>
      <c r="T114" s="784" t="s">
        <v>13011</v>
      </c>
      <c r="U114" s="1098">
        <v>44362</v>
      </c>
      <c r="V114" s="1110">
        <v>38400000</v>
      </c>
      <c r="X114" s="1108"/>
      <c r="Y114" s="1098"/>
      <c r="Z114" s="1109">
        <v>0</v>
      </c>
    </row>
    <row r="115" ht="14.4" spans="19:26">
      <c r="S115" s="1108" t="s">
        <v>1805</v>
      </c>
      <c r="T115" s="784" t="s">
        <v>13011</v>
      </c>
      <c r="U115" s="1098">
        <v>44380</v>
      </c>
      <c r="V115" s="1111">
        <v>55000000</v>
      </c>
      <c r="X115" s="1108"/>
      <c r="Y115" s="1098"/>
      <c r="Z115" s="1109">
        <v>0</v>
      </c>
    </row>
    <row r="116" ht="14.4" spans="19:26">
      <c r="S116" s="1108" t="s">
        <v>1805</v>
      </c>
      <c r="T116" s="784" t="s">
        <v>13011</v>
      </c>
      <c r="U116" s="1098">
        <v>44380</v>
      </c>
      <c r="V116" s="1111">
        <v>13000000</v>
      </c>
      <c r="X116" s="1108"/>
      <c r="Y116" s="1098"/>
      <c r="Z116" s="1109">
        <v>0</v>
      </c>
    </row>
    <row r="117" ht="14.4" spans="19:26">
      <c r="S117" s="1108" t="s">
        <v>1805</v>
      </c>
      <c r="T117" s="784" t="s">
        <v>13011</v>
      </c>
      <c r="U117" s="1098">
        <v>44380</v>
      </c>
      <c r="V117" s="1111">
        <v>9000000</v>
      </c>
      <c r="X117" s="1108"/>
      <c r="Y117" s="1098"/>
      <c r="Z117" s="1109">
        <v>0</v>
      </c>
    </row>
    <row r="118" ht="14.4" spans="19:26">
      <c r="S118" s="1108" t="s">
        <v>1805</v>
      </c>
      <c r="T118" s="784" t="s">
        <v>13011</v>
      </c>
      <c r="U118" s="1098">
        <v>44380</v>
      </c>
      <c r="V118" s="1111">
        <v>4200000</v>
      </c>
      <c r="X118" s="1108"/>
      <c r="Y118" s="1098"/>
      <c r="Z118" s="1109">
        <v>0</v>
      </c>
    </row>
    <row r="119" ht="14.4" spans="19:26">
      <c r="S119" s="1108" t="s">
        <v>1805</v>
      </c>
      <c r="T119" s="784" t="s">
        <v>13011</v>
      </c>
      <c r="U119" s="1098">
        <v>44380</v>
      </c>
      <c r="V119" s="1111">
        <v>33600000</v>
      </c>
      <c r="X119" s="1108"/>
      <c r="Y119" s="1098"/>
      <c r="Z119" s="1109">
        <v>0</v>
      </c>
    </row>
    <row r="120" ht="14.4" spans="19:26">
      <c r="S120" s="1108" t="s">
        <v>1805</v>
      </c>
      <c r="T120" s="784" t="s">
        <v>13011</v>
      </c>
      <c r="U120" s="1098">
        <v>44483</v>
      </c>
      <c r="V120" s="1111">
        <v>55000000</v>
      </c>
      <c r="X120" s="1108"/>
      <c r="Y120" s="1098"/>
      <c r="Z120" s="1109">
        <v>0</v>
      </c>
    </row>
    <row r="121" ht="14.4" spans="19:26">
      <c r="S121" s="1108" t="s">
        <v>1805</v>
      </c>
      <c r="T121" s="784" t="s">
        <v>13011</v>
      </c>
      <c r="U121" s="1098">
        <v>44483</v>
      </c>
      <c r="V121" s="1111">
        <v>13000000</v>
      </c>
      <c r="X121" s="1108"/>
      <c r="Y121" s="1098"/>
      <c r="Z121" s="1109">
        <v>0</v>
      </c>
    </row>
    <row r="122" ht="14.4" spans="19:26">
      <c r="S122" s="1108" t="s">
        <v>1805</v>
      </c>
      <c r="T122" s="784" t="s">
        <v>13011</v>
      </c>
      <c r="U122" s="1098">
        <v>44483</v>
      </c>
      <c r="V122" s="1111">
        <v>9000000</v>
      </c>
      <c r="X122" s="1108"/>
      <c r="Y122" s="1098"/>
      <c r="Z122" s="1109">
        <v>0</v>
      </c>
    </row>
    <row r="123" ht="14.4" spans="19:26">
      <c r="S123" s="1108" t="s">
        <v>1805</v>
      </c>
      <c r="T123" s="784" t="s">
        <v>13011</v>
      </c>
      <c r="U123" s="1098">
        <v>44483</v>
      </c>
      <c r="V123" s="1111">
        <v>4200000</v>
      </c>
      <c r="X123" s="1108"/>
      <c r="Y123" s="1098"/>
      <c r="Z123" s="1109">
        <v>0</v>
      </c>
    </row>
    <row r="124" ht="14.4" spans="19:26">
      <c r="S124" s="1108" t="s">
        <v>1805</v>
      </c>
      <c r="T124" s="784" t="s">
        <v>13011</v>
      </c>
      <c r="U124" s="1098">
        <v>44483</v>
      </c>
      <c r="V124" s="1111">
        <v>40000000</v>
      </c>
      <c r="X124" s="1108"/>
      <c r="Y124" s="1098"/>
      <c r="Z124" s="1109">
        <v>0</v>
      </c>
    </row>
    <row r="125" ht="14.4" spans="19:26">
      <c r="S125" s="1108" t="s">
        <v>1805</v>
      </c>
      <c r="T125" s="784" t="s">
        <v>13011</v>
      </c>
      <c r="U125" s="1098">
        <v>44483</v>
      </c>
      <c r="V125" s="1111">
        <v>55000000</v>
      </c>
      <c r="X125" s="1108"/>
      <c r="Y125" s="1098"/>
      <c r="Z125" s="1109">
        <v>0</v>
      </c>
    </row>
    <row r="126" ht="14.4" spans="19:26">
      <c r="S126" s="1108" t="s">
        <v>1805</v>
      </c>
      <c r="T126" s="784" t="s">
        <v>13011</v>
      </c>
      <c r="U126" s="1098">
        <v>44483</v>
      </c>
      <c r="V126" s="1111">
        <v>13000000</v>
      </c>
      <c r="X126" s="1108"/>
      <c r="Y126" s="1098"/>
      <c r="Z126" s="1109">
        <v>0</v>
      </c>
    </row>
    <row r="127" ht="14.4" spans="19:26">
      <c r="S127" s="1108" t="s">
        <v>1805</v>
      </c>
      <c r="T127" s="784" t="s">
        <v>13011</v>
      </c>
      <c r="U127" s="1098">
        <v>44483</v>
      </c>
      <c r="V127" s="1111">
        <v>6000000</v>
      </c>
      <c r="X127" s="1108"/>
      <c r="Y127" s="1098"/>
      <c r="Z127" s="1109">
        <v>0</v>
      </c>
    </row>
    <row r="128" ht="14.4" spans="19:26">
      <c r="S128" s="1108" t="s">
        <v>1805</v>
      </c>
      <c r="T128" s="784" t="s">
        <v>13011</v>
      </c>
      <c r="U128" s="1098">
        <v>44483</v>
      </c>
      <c r="V128" s="1111">
        <v>4200000</v>
      </c>
      <c r="X128" s="1108"/>
      <c r="Y128" s="1098"/>
      <c r="Z128" s="1109">
        <v>0</v>
      </c>
    </row>
    <row r="129" ht="14.4" spans="19:26">
      <c r="S129" s="1108" t="s">
        <v>1805</v>
      </c>
      <c r="T129" s="784" t="s">
        <v>13011</v>
      </c>
      <c r="U129" s="1098">
        <v>44483</v>
      </c>
      <c r="V129" s="1111">
        <v>40000000</v>
      </c>
      <c r="X129" s="1108"/>
      <c r="Y129" s="1098"/>
      <c r="Z129" s="1109">
        <v>0</v>
      </c>
    </row>
    <row r="130" ht="14.4" spans="19:26">
      <c r="S130" s="1108" t="s">
        <v>1805</v>
      </c>
      <c r="T130" s="784" t="s">
        <v>13011</v>
      </c>
      <c r="U130" s="1098">
        <v>44490</v>
      </c>
      <c r="V130" s="1111">
        <v>55000000</v>
      </c>
      <c r="X130" s="1108"/>
      <c r="Y130" s="1098"/>
      <c r="Z130" s="1109">
        <v>0</v>
      </c>
    </row>
    <row r="131" ht="14.4" spans="19:26">
      <c r="S131" s="1108" t="s">
        <v>1805</v>
      </c>
      <c r="T131" s="784" t="s">
        <v>13011</v>
      </c>
      <c r="U131" s="1098">
        <v>44490</v>
      </c>
      <c r="V131" s="1111">
        <v>13000000</v>
      </c>
      <c r="X131" s="1108"/>
      <c r="Y131" s="1098"/>
      <c r="Z131" s="1109">
        <v>0</v>
      </c>
    </row>
    <row r="132" ht="14.4" spans="19:26">
      <c r="S132" s="1108" t="s">
        <v>1805</v>
      </c>
      <c r="T132" s="784" t="s">
        <v>13011</v>
      </c>
      <c r="U132" s="1098">
        <v>44490</v>
      </c>
      <c r="V132" s="1111">
        <v>9000000</v>
      </c>
      <c r="X132" s="1108"/>
      <c r="Y132" s="1098"/>
      <c r="Z132" s="1109">
        <v>0</v>
      </c>
    </row>
    <row r="133" ht="14.4" spans="19:26">
      <c r="S133" s="1108" t="s">
        <v>1805</v>
      </c>
      <c r="T133" s="784" t="s">
        <v>13011</v>
      </c>
      <c r="U133" s="1098">
        <v>44490</v>
      </c>
      <c r="V133" s="1111">
        <v>4200000</v>
      </c>
      <c r="X133" s="1108"/>
      <c r="Y133" s="1098"/>
      <c r="Z133" s="1109">
        <v>0</v>
      </c>
    </row>
    <row r="134" ht="14.4" spans="19:26">
      <c r="S134" s="1108" t="s">
        <v>1805</v>
      </c>
      <c r="T134" s="784" t="s">
        <v>13011</v>
      </c>
      <c r="U134" s="1098">
        <v>44490</v>
      </c>
      <c r="V134" s="1111">
        <v>40000000</v>
      </c>
      <c r="X134" s="1108"/>
      <c r="Y134" s="1098"/>
      <c r="Z134" s="1109">
        <v>0</v>
      </c>
    </row>
    <row r="135" ht="14.4" spans="19:26">
      <c r="S135" s="1108" t="s">
        <v>1805</v>
      </c>
      <c r="T135" s="1112" t="s">
        <v>13011</v>
      </c>
      <c r="U135" s="1113">
        <v>44509</v>
      </c>
      <c r="V135" s="1110">
        <v>55000000</v>
      </c>
      <c r="X135" s="1108"/>
      <c r="Y135" s="1113"/>
      <c r="Z135" s="1109">
        <v>0</v>
      </c>
    </row>
    <row r="136" ht="14.4" spans="19:26">
      <c r="S136" s="1108" t="s">
        <v>1805</v>
      </c>
      <c r="T136" s="1112" t="s">
        <v>13011</v>
      </c>
      <c r="U136" s="1113">
        <v>44515</v>
      </c>
      <c r="V136" s="1110">
        <v>13000000</v>
      </c>
      <c r="X136" s="1108"/>
      <c r="Y136" s="1113"/>
      <c r="Z136" s="1109">
        <v>0</v>
      </c>
    </row>
    <row r="137" ht="14.4" spans="19:26">
      <c r="S137" s="1108" t="s">
        <v>1805</v>
      </c>
      <c r="T137" s="1112" t="s">
        <v>13011</v>
      </c>
      <c r="U137" s="1113">
        <v>44515</v>
      </c>
      <c r="V137" s="1110">
        <v>9000000</v>
      </c>
      <c r="X137" s="1108"/>
      <c r="Y137" s="1113"/>
      <c r="Z137" s="1109">
        <v>0</v>
      </c>
    </row>
    <row r="138" ht="14.4" spans="19:26">
      <c r="S138" s="1108" t="s">
        <v>1805</v>
      </c>
      <c r="T138" s="1112" t="s">
        <v>13011</v>
      </c>
      <c r="U138" s="1113">
        <v>44515</v>
      </c>
      <c r="V138" s="1110">
        <v>4200000</v>
      </c>
      <c r="X138" s="1108"/>
      <c r="Y138" s="1113"/>
      <c r="Z138" s="1109">
        <v>0</v>
      </c>
    </row>
    <row r="139" ht="14.4" spans="19:26">
      <c r="S139" s="1108" t="s">
        <v>1805</v>
      </c>
      <c r="T139" s="1112" t="s">
        <v>13011</v>
      </c>
      <c r="U139" s="1113">
        <v>44515</v>
      </c>
      <c r="V139" s="1110">
        <v>40800000</v>
      </c>
      <c r="X139" s="1108"/>
      <c r="Y139" s="1113"/>
      <c r="Z139" s="1109">
        <v>0</v>
      </c>
    </row>
    <row r="140" ht="14.4" spans="19:26">
      <c r="S140" s="1108" t="s">
        <v>1805</v>
      </c>
      <c r="T140" s="784" t="s">
        <v>13011</v>
      </c>
      <c r="U140" s="1098">
        <v>44545</v>
      </c>
      <c r="V140" s="1111">
        <v>55000000</v>
      </c>
      <c r="X140" s="1108"/>
      <c r="Y140" s="1098"/>
      <c r="Z140" s="1109">
        <v>0</v>
      </c>
    </row>
    <row r="141" ht="14.4" spans="19:26">
      <c r="S141" s="1108" t="s">
        <v>1805</v>
      </c>
      <c r="T141" s="784" t="s">
        <v>13011</v>
      </c>
      <c r="U141" s="1098">
        <v>44545</v>
      </c>
      <c r="V141" s="1111">
        <v>13000000</v>
      </c>
      <c r="X141" s="1108"/>
      <c r="Y141" s="1098"/>
      <c r="Z141" s="1109">
        <v>0</v>
      </c>
    </row>
    <row r="142" ht="14.4" spans="19:26">
      <c r="S142" s="1108" t="s">
        <v>1805</v>
      </c>
      <c r="T142" s="784" t="s">
        <v>13011</v>
      </c>
      <c r="U142" s="1098">
        <v>44545</v>
      </c>
      <c r="V142" s="1111">
        <v>9000000</v>
      </c>
      <c r="X142" s="1108"/>
      <c r="Y142" s="1098"/>
      <c r="Z142" s="1109">
        <v>0</v>
      </c>
    </row>
    <row r="143" ht="14.4" spans="19:26">
      <c r="S143" s="1108" t="s">
        <v>1805</v>
      </c>
      <c r="T143" s="784" t="s">
        <v>13011</v>
      </c>
      <c r="U143" s="1098">
        <v>44545</v>
      </c>
      <c r="V143" s="1111">
        <v>4200000</v>
      </c>
      <c r="X143" s="1108"/>
      <c r="Y143" s="1098"/>
      <c r="Z143" s="1109">
        <v>0</v>
      </c>
    </row>
    <row r="144" ht="14.4" spans="19:26">
      <c r="S144" s="1108" t="s">
        <v>1805</v>
      </c>
      <c r="T144" s="784" t="s">
        <v>13011</v>
      </c>
      <c r="U144" s="1098">
        <v>44545</v>
      </c>
      <c r="V144" s="1111">
        <v>38400000</v>
      </c>
      <c r="X144" s="1108"/>
      <c r="Y144" s="1098"/>
      <c r="Z144" s="1109">
        <v>0</v>
      </c>
    </row>
    <row r="145" ht="13.2" spans="19:26">
      <c r="S145" s="1081" t="s">
        <v>13016</v>
      </c>
      <c r="U145" s="1098">
        <v>44561</v>
      </c>
      <c r="V145" s="356">
        <v>1080740706</v>
      </c>
      <c r="X145" s="1081"/>
      <c r="Y145" s="1098"/>
      <c r="Z145" s="1109">
        <v>0</v>
      </c>
    </row>
    <row r="146" ht="13.2" spans="19:26">
      <c r="S146" s="1081" t="s">
        <v>1810</v>
      </c>
      <c r="U146" s="1098">
        <v>44561</v>
      </c>
      <c r="V146" s="356">
        <f>+'1021'!$H$194</f>
        <v>307168076.72</v>
      </c>
      <c r="X146" s="1081"/>
      <c r="Y146" s="1098"/>
      <c r="Z146" s="1109">
        <v>0</v>
      </c>
    </row>
    <row r="147" spans="19:26">
      <c r="S147" s="1086"/>
      <c r="T147" s="164"/>
      <c r="U147" s="164"/>
      <c r="V147" s="302"/>
      <c r="X147" s="1086"/>
      <c r="Y147" s="164"/>
      <c r="Z147" s="302"/>
    </row>
  </sheetData>
  <pageMargins left="0.7" right="0.7" top="0.75" bottom="0.75" header="0.3" footer="0.3"/>
  <headerFooter/>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Y36"/>
  <sheetViews>
    <sheetView showGridLines="0" zoomScale="115" zoomScaleNormal="115" workbookViewId="0">
      <pane xSplit="4" ySplit="9" topLeftCell="E10" activePane="bottomRight" state="frozen"/>
      <selection/>
      <selection pane="topRight"/>
      <selection pane="bottomLeft"/>
      <selection pane="bottomRight" activeCell="J29" sqref="J29"/>
    </sheetView>
  </sheetViews>
  <sheetFormatPr defaultColWidth="9" defaultRowHeight="11.4"/>
  <cols>
    <col min="2" max="2" width="11.6875" customWidth="1"/>
    <col min="5" max="5" width="16.625" customWidth="1"/>
    <col min="6" max="6" width="16.1770833333333" customWidth="1"/>
    <col min="7" max="7" width="17.0833333333333" customWidth="1"/>
    <col min="8" max="8" width="26.0729166666667" customWidth="1"/>
    <col min="9" max="9" width="11.53125" customWidth="1"/>
    <col min="10" max="10" width="15.4270833333333" customWidth="1"/>
    <col min="12" max="12" width="16.625" customWidth="1"/>
    <col min="13" max="13" width="9.4375" customWidth="1"/>
    <col min="14" max="14" width="15.4270833333333" customWidth="1"/>
    <col min="15" max="15" width="9.29166666666667" customWidth="1"/>
    <col min="16" max="16" width="13.03125" customWidth="1"/>
    <col min="17" max="17" width="10.9375" customWidth="1"/>
    <col min="22" max="22" width="14.6875" customWidth="1"/>
    <col min="24" max="24" width="13.6354166666667" customWidth="1"/>
  </cols>
  <sheetData>
    <row r="2" spans="2:3">
      <c r="B2" t="s">
        <v>13017</v>
      </c>
      <c r="C2" t="s">
        <v>13018</v>
      </c>
    </row>
    <row r="3" spans="2:25">
      <c r="B3" s="1" t="s">
        <v>13019</v>
      </c>
      <c r="C3" s="1" t="s">
        <v>13020</v>
      </c>
      <c r="D3" s="1"/>
      <c r="E3" s="1"/>
      <c r="F3" s="1"/>
      <c r="G3" s="1"/>
      <c r="H3" s="1"/>
      <c r="I3" s="1"/>
      <c r="J3" s="1"/>
      <c r="K3" s="1"/>
      <c r="L3" s="1"/>
      <c r="M3" s="1"/>
      <c r="N3" s="1"/>
      <c r="O3" s="1"/>
      <c r="P3" s="1"/>
      <c r="Q3" s="1"/>
      <c r="R3" s="1"/>
      <c r="S3" s="1"/>
      <c r="T3" s="1"/>
      <c r="U3" s="1"/>
      <c r="V3" s="1"/>
      <c r="W3" s="1"/>
      <c r="X3" s="1"/>
      <c r="Y3" s="1"/>
    </row>
    <row r="4" spans="2:25">
      <c r="B4" s="1" t="s">
        <v>622</v>
      </c>
      <c r="C4" s="1" t="s">
        <v>13021</v>
      </c>
      <c r="D4" s="1"/>
      <c r="E4" s="1"/>
      <c r="F4" s="1"/>
      <c r="G4" s="1"/>
      <c r="H4" s="1"/>
      <c r="I4" s="1"/>
      <c r="J4" s="1"/>
      <c r="K4" s="1"/>
      <c r="L4" s="1"/>
      <c r="M4" s="1"/>
      <c r="N4" s="1"/>
      <c r="O4" s="1"/>
      <c r="P4" s="1"/>
      <c r="Q4" s="1"/>
      <c r="R4" s="1"/>
      <c r="S4" s="1"/>
      <c r="T4" s="1"/>
      <c r="U4" s="1"/>
      <c r="V4" s="1"/>
      <c r="W4" s="1"/>
      <c r="X4" s="1"/>
      <c r="Y4" s="1"/>
    </row>
    <row r="5" spans="2:25">
      <c r="B5" s="1" t="s">
        <v>13022</v>
      </c>
      <c r="C5" s="1" t="s">
        <v>13023</v>
      </c>
      <c r="D5" s="1"/>
      <c r="E5" s="1"/>
      <c r="F5" s="1"/>
      <c r="G5" s="1"/>
      <c r="H5" s="1"/>
      <c r="I5" s="1"/>
      <c r="J5" s="1"/>
      <c r="K5" s="1"/>
      <c r="L5" s="1"/>
      <c r="M5" s="1"/>
      <c r="N5" s="1"/>
      <c r="O5" s="1"/>
      <c r="P5" s="1"/>
      <c r="Q5" s="1"/>
      <c r="R5" s="1"/>
      <c r="S5" s="1"/>
      <c r="T5" s="1"/>
      <c r="U5" s="1"/>
      <c r="V5" s="1"/>
      <c r="W5" s="1"/>
      <c r="X5" s="1"/>
      <c r="Y5" s="1"/>
    </row>
    <row r="6" customFormat="1" spans="2:25">
      <c r="B6" s="1"/>
      <c r="C6" s="1"/>
      <c r="D6" s="1"/>
      <c r="E6" s="1"/>
      <c r="F6" s="1"/>
      <c r="G6" s="1"/>
      <c r="H6" s="1"/>
      <c r="I6" s="1"/>
      <c r="J6" s="1"/>
      <c r="K6" s="1"/>
      <c r="L6" s="1"/>
      <c r="M6" s="1"/>
      <c r="N6" s="1"/>
      <c r="O6" s="1"/>
      <c r="P6" s="1"/>
      <c r="Q6" s="1"/>
      <c r="R6" s="1"/>
      <c r="S6" s="1"/>
      <c r="T6" s="1"/>
      <c r="U6" s="1"/>
      <c r="V6" s="1"/>
      <c r="W6" s="1"/>
      <c r="X6" s="1"/>
      <c r="Y6" s="1"/>
    </row>
    <row r="7" ht="14.4" spans="2:25">
      <c r="B7" s="1046" t="s">
        <v>492</v>
      </c>
      <c r="C7" s="1047" t="s">
        <v>13024</v>
      </c>
      <c r="D7" s="1047" t="s">
        <v>13025</v>
      </c>
      <c r="E7" s="1048" t="s">
        <v>13026</v>
      </c>
      <c r="F7" s="1048"/>
      <c r="G7" s="1048"/>
      <c r="H7" s="1048"/>
      <c r="I7" s="1048"/>
      <c r="J7" s="1068" t="s">
        <v>13027</v>
      </c>
      <c r="K7" s="1068"/>
      <c r="L7" s="1068" t="s">
        <v>13028</v>
      </c>
      <c r="M7" s="1068"/>
      <c r="N7" s="1068"/>
      <c r="O7" s="1068"/>
      <c r="P7" s="1068"/>
      <c r="Q7" s="1068"/>
      <c r="R7" s="1068"/>
      <c r="S7" s="1068"/>
      <c r="T7" s="1068"/>
      <c r="U7" s="1068"/>
      <c r="V7" s="1068" t="s">
        <v>13029</v>
      </c>
      <c r="W7" s="1068"/>
      <c r="X7" s="1068" t="s">
        <v>13030</v>
      </c>
      <c r="Y7" s="1068"/>
    </row>
    <row r="8" ht="14.4" spans="2:25">
      <c r="B8" s="1046"/>
      <c r="C8" s="1049"/>
      <c r="D8" s="1049"/>
      <c r="E8" s="1048"/>
      <c r="F8" s="1048"/>
      <c r="G8" s="1048"/>
      <c r="H8" s="1048"/>
      <c r="I8" s="1048"/>
      <c r="J8" s="1068"/>
      <c r="K8" s="1068"/>
      <c r="L8" s="1068" t="s">
        <v>13031</v>
      </c>
      <c r="M8" s="1068"/>
      <c r="N8" s="1068" t="s">
        <v>13032</v>
      </c>
      <c r="O8" s="1068"/>
      <c r="P8" s="1068" t="s">
        <v>13033</v>
      </c>
      <c r="Q8" s="1068"/>
      <c r="R8" s="1068" t="s">
        <v>13034</v>
      </c>
      <c r="S8" s="1068"/>
      <c r="T8" s="1068" t="s">
        <v>13035</v>
      </c>
      <c r="U8" s="1068"/>
      <c r="V8" s="1068"/>
      <c r="W8" s="1068"/>
      <c r="X8" s="1068"/>
      <c r="Y8" s="1068"/>
    </row>
    <row r="9" ht="14.4" spans="2:25">
      <c r="B9" s="1046"/>
      <c r="C9" s="1050"/>
      <c r="D9" s="1050"/>
      <c r="E9" s="1050" t="s">
        <v>1204</v>
      </c>
      <c r="F9" s="1050" t="s">
        <v>1169</v>
      </c>
      <c r="G9" s="1050" t="s">
        <v>13036</v>
      </c>
      <c r="H9" s="1050" t="s">
        <v>13037</v>
      </c>
      <c r="I9" s="1050" t="s">
        <v>11483</v>
      </c>
      <c r="J9" s="1069" t="s">
        <v>1204</v>
      </c>
      <c r="K9" s="1069" t="s">
        <v>894</v>
      </c>
      <c r="L9" s="1068" t="s">
        <v>1204</v>
      </c>
      <c r="M9" s="1068" t="s">
        <v>11483</v>
      </c>
      <c r="N9" s="1068" t="s">
        <v>1204</v>
      </c>
      <c r="O9" s="1068" t="s">
        <v>11483</v>
      </c>
      <c r="P9" s="1068" t="s">
        <v>1204</v>
      </c>
      <c r="Q9" s="1068" t="s">
        <v>11483</v>
      </c>
      <c r="R9" s="1068" t="s">
        <v>1204</v>
      </c>
      <c r="S9" s="1068" t="s">
        <v>11483</v>
      </c>
      <c r="T9" s="1068" t="s">
        <v>1204</v>
      </c>
      <c r="U9" s="1068" t="s">
        <v>11483</v>
      </c>
      <c r="V9" s="1069" t="s">
        <v>1204</v>
      </c>
      <c r="W9" s="1069" t="s">
        <v>894</v>
      </c>
      <c r="X9" s="1069" t="s">
        <v>1204</v>
      </c>
      <c r="Y9" s="1069" t="s">
        <v>894</v>
      </c>
    </row>
    <row r="10" ht="14.4" spans="2:25">
      <c r="B10" s="1051" t="s">
        <v>13038</v>
      </c>
      <c r="C10" s="1052"/>
      <c r="D10" s="1052">
        <v>1</v>
      </c>
      <c r="E10" s="1053">
        <f>+'[109]SUMMARY INV'!$D$8</f>
        <v>42376255894</v>
      </c>
      <c r="F10" s="1053">
        <f t="shared" ref="F10:F19" si="0">+E10*11%</f>
        <v>4661388148.34</v>
      </c>
      <c r="G10" s="1053">
        <f t="shared" ref="G10:G19" si="1">+E10+F10</f>
        <v>47037644042.34</v>
      </c>
      <c r="H10" s="1053"/>
      <c r="I10" s="1053"/>
      <c r="J10" s="1056">
        <f>G10</f>
        <v>47037644042.34</v>
      </c>
      <c r="K10" s="1054">
        <f>J10/$G$10</f>
        <v>1</v>
      </c>
      <c r="L10" s="1070"/>
      <c r="M10" s="1071"/>
      <c r="N10" s="30"/>
      <c r="O10" s="30"/>
      <c r="P10" s="30"/>
      <c r="Q10" s="30"/>
      <c r="R10" s="30"/>
      <c r="S10" s="30"/>
      <c r="T10" s="30"/>
      <c r="U10" s="30"/>
      <c r="V10" s="30"/>
      <c r="W10" s="30"/>
      <c r="X10" s="30"/>
      <c r="Y10" s="30"/>
    </row>
    <row r="11" spans="2:25">
      <c r="B11" s="30" t="s">
        <v>13039</v>
      </c>
      <c r="C11" s="1054">
        <v>0.2</v>
      </c>
      <c r="D11" s="1054">
        <v>0.2</v>
      </c>
      <c r="E11" s="1055">
        <f>$E$10*D11</f>
        <v>8475251178.8</v>
      </c>
      <c r="F11" s="1056">
        <f t="shared" si="0"/>
        <v>932277629.668</v>
      </c>
      <c r="G11" s="1056">
        <f t="shared" si="1"/>
        <v>9407528808.468</v>
      </c>
      <c r="H11" s="1056" t="s">
        <v>12356</v>
      </c>
      <c r="I11" s="1072">
        <v>44841</v>
      </c>
      <c r="J11" s="1056">
        <f>J10-G11</f>
        <v>37630115233.872</v>
      </c>
      <c r="K11" s="1054">
        <f>J11/$G$10</f>
        <v>0.8</v>
      </c>
      <c r="L11" s="1070">
        <v>3000000000</v>
      </c>
      <c r="M11" s="1071">
        <v>44916</v>
      </c>
      <c r="N11" s="1070">
        <v>5475251179</v>
      </c>
      <c r="O11" s="1071">
        <v>44917</v>
      </c>
      <c r="P11" s="1070">
        <v>932277629</v>
      </c>
      <c r="Q11" s="1071">
        <v>44949</v>
      </c>
      <c r="R11" s="1070"/>
      <c r="S11" s="30"/>
      <c r="T11" s="1070"/>
      <c r="U11" s="30"/>
      <c r="V11" s="1070">
        <f t="shared" ref="V11:V21" si="2">L11+N11+P11+R11+T11</f>
        <v>9407528808</v>
      </c>
      <c r="W11" s="1054">
        <f>V11/G11</f>
        <v>0.999999999950253</v>
      </c>
      <c r="X11" s="1056">
        <f>G11-V11</f>
        <v>0.468000411987305</v>
      </c>
      <c r="Y11" s="1054">
        <f>X11/G11</f>
        <v>4.97474333074636e-11</v>
      </c>
    </row>
    <row r="12" spans="2:25">
      <c r="B12" s="30" t="s">
        <v>13040</v>
      </c>
      <c r="C12" s="1054">
        <v>0.4943</v>
      </c>
      <c r="D12" s="1054">
        <f>C12-D11</f>
        <v>0.2943</v>
      </c>
      <c r="E12" s="1056">
        <f t="shared" ref="E12:E19" si="3">$E$10*D12</f>
        <v>12471332109.6042</v>
      </c>
      <c r="F12" s="1056">
        <f t="shared" si="0"/>
        <v>1371846532.05646</v>
      </c>
      <c r="G12" s="1056">
        <f t="shared" si="1"/>
        <v>13843178641.6607</v>
      </c>
      <c r="H12" s="1056" t="s">
        <v>13041</v>
      </c>
      <c r="I12" s="1073">
        <v>44935</v>
      </c>
      <c r="J12" s="1056">
        <f t="shared" ref="J12:J19" si="4">J11-G12</f>
        <v>23786936592.2113</v>
      </c>
      <c r="K12" s="1054">
        <f t="shared" ref="K12:K19" si="5">J12/$G$10</f>
        <v>0.5057</v>
      </c>
      <c r="L12" s="1070">
        <v>12471332110</v>
      </c>
      <c r="M12" s="1071">
        <v>44937</v>
      </c>
      <c r="N12" s="1070"/>
      <c r="O12" s="1071"/>
      <c r="P12" s="1070"/>
      <c r="Q12" s="30"/>
      <c r="R12" s="1070"/>
      <c r="S12" s="30"/>
      <c r="T12" s="1070"/>
      <c r="U12" s="30"/>
      <c r="V12" s="1070">
        <f t="shared" si="2"/>
        <v>12471332110</v>
      </c>
      <c r="W12" s="1054">
        <f t="shared" ref="W12:W19" si="6">V12/G12</f>
        <v>0.900900900929493</v>
      </c>
      <c r="X12" s="1056">
        <f t="shared" ref="X12:X19" si="7">G12-V12</f>
        <v>1371846531.66066</v>
      </c>
      <c r="Y12" s="1054">
        <f t="shared" ref="Y12:Y19" si="8">X12/G12</f>
        <v>0.0990990990705074</v>
      </c>
    </row>
    <row r="13" spans="2:25">
      <c r="B13" s="30" t="s">
        <v>13042</v>
      </c>
      <c r="C13" s="1054">
        <v>0.5762</v>
      </c>
      <c r="D13" s="1054">
        <f>C13-C12</f>
        <v>0.0819</v>
      </c>
      <c r="E13" s="1056">
        <f t="shared" si="3"/>
        <v>3470615357.7186</v>
      </c>
      <c r="F13" s="1056">
        <f t="shared" si="0"/>
        <v>381767689.349046</v>
      </c>
      <c r="G13" s="1056">
        <f t="shared" si="1"/>
        <v>3852383047.06765</v>
      </c>
      <c r="H13" s="1056" t="s">
        <v>13043</v>
      </c>
      <c r="I13" s="1073">
        <v>44953</v>
      </c>
      <c r="J13" s="1056">
        <f t="shared" si="4"/>
        <v>19934553545.1437</v>
      </c>
      <c r="K13" s="1054">
        <f t="shared" si="5"/>
        <v>0.4238</v>
      </c>
      <c r="L13" s="1070">
        <f>7557294156-4086119697</f>
        <v>3471174459</v>
      </c>
      <c r="M13" s="1071">
        <v>44956</v>
      </c>
      <c r="N13" s="1070"/>
      <c r="O13" s="30"/>
      <c r="P13" s="1070"/>
      <c r="Q13" s="30"/>
      <c r="R13" s="1070"/>
      <c r="S13" s="30"/>
      <c r="T13" s="1070"/>
      <c r="U13" s="30"/>
      <c r="V13" s="1070">
        <f t="shared" si="2"/>
        <v>3471174459</v>
      </c>
      <c r="W13" s="1054">
        <f t="shared" si="6"/>
        <v>0.901046032180571</v>
      </c>
      <c r="X13" s="1056">
        <f t="shared" si="7"/>
        <v>381208588.067647</v>
      </c>
      <c r="Y13" s="1054">
        <f t="shared" si="8"/>
        <v>0.0989539678194294</v>
      </c>
    </row>
    <row r="14" spans="2:25">
      <c r="B14" s="30" t="s">
        <v>13044</v>
      </c>
      <c r="C14" s="1054">
        <v>0.6726</v>
      </c>
      <c r="D14" s="1054">
        <f>C14-C13</f>
        <v>0.0963999999999999</v>
      </c>
      <c r="E14" s="1056">
        <f t="shared" si="3"/>
        <v>4085071068.1816</v>
      </c>
      <c r="F14" s="1056">
        <f t="shared" si="0"/>
        <v>449357817.499976</v>
      </c>
      <c r="G14" s="1056">
        <f t="shared" si="1"/>
        <v>4534428885.68157</v>
      </c>
      <c r="H14" s="1056" t="s">
        <v>13045</v>
      </c>
      <c r="I14" s="1073">
        <v>44956</v>
      </c>
      <c r="J14" s="1056">
        <f t="shared" si="4"/>
        <v>15400124659.4621</v>
      </c>
      <c r="K14" s="1054">
        <f t="shared" si="5"/>
        <v>0.3274</v>
      </c>
      <c r="L14" s="1070">
        <v>4086119697</v>
      </c>
      <c r="M14" s="1071">
        <v>44956</v>
      </c>
      <c r="N14" s="1070"/>
      <c r="O14" s="30"/>
      <c r="P14" s="1070"/>
      <c r="Q14" s="30"/>
      <c r="R14" s="1070"/>
      <c r="S14" s="30"/>
      <c r="T14" s="1070"/>
      <c r="U14" s="30"/>
      <c r="V14" s="1070">
        <f t="shared" si="2"/>
        <v>4086119697</v>
      </c>
      <c r="W14" s="1054">
        <f t="shared" si="6"/>
        <v>0.901132160193932</v>
      </c>
      <c r="X14" s="1056">
        <f t="shared" si="7"/>
        <v>448309188.681573</v>
      </c>
      <c r="Y14" s="1054">
        <f t="shared" si="8"/>
        <v>0.0988678398060679</v>
      </c>
    </row>
    <row r="15" ht="14.4" spans="2:25">
      <c r="B15" s="30" t="s">
        <v>13046</v>
      </c>
      <c r="C15" s="1054">
        <v>0.8001</v>
      </c>
      <c r="D15" s="1054">
        <f>C15-C14</f>
        <v>0.1275</v>
      </c>
      <c r="E15" s="1056">
        <f t="shared" si="3"/>
        <v>5402972626.485</v>
      </c>
      <c r="F15" s="1056">
        <f t="shared" si="0"/>
        <v>594326988.91335</v>
      </c>
      <c r="G15" s="1056">
        <f t="shared" si="1"/>
        <v>5997299615.39835</v>
      </c>
      <c r="H15" s="1057" t="s">
        <v>13047</v>
      </c>
      <c r="I15" s="1074">
        <v>45039</v>
      </c>
      <c r="J15" s="1056">
        <f t="shared" si="4"/>
        <v>9402825044.06376</v>
      </c>
      <c r="K15" s="1054">
        <f t="shared" si="5"/>
        <v>0.1999</v>
      </c>
      <c r="L15" s="1070">
        <v>5401364896</v>
      </c>
      <c r="M15" s="1071">
        <v>45039</v>
      </c>
      <c r="N15" s="1070"/>
      <c r="O15" s="30"/>
      <c r="P15" s="1070"/>
      <c r="Q15" s="30"/>
      <c r="R15" s="1070"/>
      <c r="S15" s="30"/>
      <c r="T15" s="1070"/>
      <c r="U15" s="30"/>
      <c r="V15" s="1070">
        <f t="shared" si="2"/>
        <v>5401364896</v>
      </c>
      <c r="W15" s="1054">
        <f t="shared" si="6"/>
        <v>0.900632825168804</v>
      </c>
      <c r="X15" s="1056">
        <f t="shared" si="7"/>
        <v>595934719.398353</v>
      </c>
      <c r="Y15" s="1054">
        <f t="shared" si="8"/>
        <v>0.099367174831196</v>
      </c>
    </row>
    <row r="16" spans="2:25">
      <c r="B16" s="30" t="s">
        <v>13048</v>
      </c>
      <c r="C16" s="1054">
        <v>0.8507</v>
      </c>
      <c r="D16" s="1054">
        <f>C16-C15</f>
        <v>0.0506</v>
      </c>
      <c r="E16" s="1056">
        <f t="shared" si="3"/>
        <v>2144238548.2364</v>
      </c>
      <c r="F16" s="1056">
        <f t="shared" si="0"/>
        <v>235866240.306004</v>
      </c>
      <c r="G16" s="1056">
        <f t="shared" si="1"/>
        <v>2380104788.5424</v>
      </c>
      <c r="H16" s="1056" t="s">
        <v>13049</v>
      </c>
      <c r="I16" s="1072">
        <v>45069</v>
      </c>
      <c r="J16" s="1056">
        <f t="shared" si="4"/>
        <v>7022720255.52136</v>
      </c>
      <c r="K16" s="1054">
        <f t="shared" si="5"/>
        <v>0.1493</v>
      </c>
      <c r="L16" s="1070">
        <v>2144238548</v>
      </c>
      <c r="M16" s="1071">
        <v>45071</v>
      </c>
      <c r="N16" s="1070"/>
      <c r="O16" s="30"/>
      <c r="P16" s="1070"/>
      <c r="Q16" s="30"/>
      <c r="R16" s="1070"/>
      <c r="S16" s="30"/>
      <c r="T16" s="1070"/>
      <c r="U16" s="30"/>
      <c r="V16" s="1070">
        <f t="shared" si="2"/>
        <v>2144238548</v>
      </c>
      <c r="W16" s="1054">
        <f t="shared" si="6"/>
        <v>0.900900900801578</v>
      </c>
      <c r="X16" s="1056">
        <f t="shared" si="7"/>
        <v>235866240.542403</v>
      </c>
      <c r="Y16" s="1054">
        <f t="shared" si="8"/>
        <v>0.0990990991984222</v>
      </c>
    </row>
    <row r="17" spans="2:25">
      <c r="B17" s="30" t="s">
        <v>13050</v>
      </c>
      <c r="C17" s="1054">
        <v>0.9045</v>
      </c>
      <c r="D17" s="1054">
        <f>C17-C16</f>
        <v>0.0538</v>
      </c>
      <c r="E17" s="1056">
        <f t="shared" si="3"/>
        <v>2279842567.0972</v>
      </c>
      <c r="F17" s="1056">
        <f t="shared" si="0"/>
        <v>250782682.380692</v>
      </c>
      <c r="G17" s="1056">
        <f t="shared" si="1"/>
        <v>2530625249.47789</v>
      </c>
      <c r="H17" s="1056" t="s">
        <v>13051</v>
      </c>
      <c r="I17" s="1072">
        <v>45092</v>
      </c>
      <c r="J17" s="1056">
        <f t="shared" si="4"/>
        <v>4492095006.04347</v>
      </c>
      <c r="K17" s="1054">
        <f t="shared" si="5"/>
        <v>0.0955</v>
      </c>
      <c r="L17" s="1070">
        <v>2279842567</v>
      </c>
      <c r="M17" s="1071">
        <v>45093</v>
      </c>
      <c r="N17" s="1070"/>
      <c r="O17" s="30"/>
      <c r="P17" s="1070"/>
      <c r="Q17" s="30"/>
      <c r="R17" s="1070"/>
      <c r="S17" s="30"/>
      <c r="T17" s="1070"/>
      <c r="U17" s="30"/>
      <c r="V17" s="1070">
        <f t="shared" si="2"/>
        <v>2279842567</v>
      </c>
      <c r="W17" s="1054">
        <f t="shared" si="6"/>
        <v>0.900900900862492</v>
      </c>
      <c r="X17" s="1056">
        <f t="shared" si="7"/>
        <v>250782682.47789</v>
      </c>
      <c r="Y17" s="1054">
        <f t="shared" si="8"/>
        <v>0.099099099137508</v>
      </c>
    </row>
    <row r="18" ht="14.4" spans="2:25">
      <c r="B18" s="30" t="s">
        <v>13052</v>
      </c>
      <c r="C18" s="1054">
        <v>0.9552</v>
      </c>
      <c r="D18" s="1054">
        <f t="shared" ref="D18:D19" si="9">C18-C17</f>
        <v>0.0507</v>
      </c>
      <c r="E18" s="1056">
        <f t="shared" si="3"/>
        <v>2148476173.8258</v>
      </c>
      <c r="F18" s="1056">
        <f t="shared" si="0"/>
        <v>236332379.120838</v>
      </c>
      <c r="G18" s="1056">
        <f t="shared" si="1"/>
        <v>2384808552.94664</v>
      </c>
      <c r="H18" s="1057" t="s">
        <v>13053</v>
      </c>
      <c r="I18" s="1074">
        <v>45130</v>
      </c>
      <c r="J18" s="1056">
        <f t="shared" si="4"/>
        <v>2107286453.09683</v>
      </c>
      <c r="K18" s="1054">
        <f t="shared" si="5"/>
        <v>0.0448</v>
      </c>
      <c r="L18" s="1070">
        <v>2148476174</v>
      </c>
      <c r="M18" s="1071">
        <v>45120</v>
      </c>
      <c r="N18" s="1070"/>
      <c r="O18" s="30"/>
      <c r="P18" s="1070"/>
      <c r="Q18" s="30"/>
      <c r="R18" s="1070"/>
      <c r="S18" s="30"/>
      <c r="T18" s="1070"/>
      <c r="U18" s="30"/>
      <c r="V18" s="1070">
        <f t="shared" si="2"/>
        <v>2148476174</v>
      </c>
      <c r="W18" s="1054">
        <f t="shared" si="6"/>
        <v>0.900900900973947</v>
      </c>
      <c r="X18" s="1056">
        <f t="shared" si="7"/>
        <v>236332378.946636</v>
      </c>
      <c r="Y18" s="1054">
        <f t="shared" si="8"/>
        <v>0.0990990990260527</v>
      </c>
    </row>
    <row r="19" spans="2:25">
      <c r="B19" s="30" t="s">
        <v>13054</v>
      </c>
      <c r="C19" s="1054">
        <v>0.9856</v>
      </c>
      <c r="D19" s="1054">
        <f t="shared" si="9"/>
        <v>0.0304000000000001</v>
      </c>
      <c r="E19" s="1056">
        <f t="shared" si="3"/>
        <v>1288238179.1776</v>
      </c>
      <c r="F19" s="1056">
        <f t="shared" si="0"/>
        <v>141706199.709536</v>
      </c>
      <c r="G19" s="1056">
        <f t="shared" si="1"/>
        <v>1429944378.88714</v>
      </c>
      <c r="H19" s="30" t="s">
        <v>13055</v>
      </c>
      <c r="I19" s="1072">
        <v>45188</v>
      </c>
      <c r="J19" s="1056">
        <f t="shared" si="4"/>
        <v>677342074.209692</v>
      </c>
      <c r="K19" s="1054">
        <f t="shared" si="5"/>
        <v>0.0143999999999999</v>
      </c>
      <c r="L19" s="1070">
        <v>1288238179</v>
      </c>
      <c r="M19" s="1071">
        <v>45189</v>
      </c>
      <c r="N19" s="1070"/>
      <c r="O19" s="30"/>
      <c r="P19" s="1070"/>
      <c r="Q19" s="30"/>
      <c r="R19" s="1070"/>
      <c r="S19" s="30"/>
      <c r="T19" s="1070"/>
      <c r="U19" s="30"/>
      <c r="V19" s="1070">
        <f t="shared" si="2"/>
        <v>1288238179</v>
      </c>
      <c r="W19" s="1054">
        <f t="shared" si="6"/>
        <v>0.900900900776698</v>
      </c>
      <c r="X19" s="1056">
        <f t="shared" si="7"/>
        <v>141706199.88714</v>
      </c>
      <c r="Y19" s="1054">
        <f t="shared" si="8"/>
        <v>0.0990990992233024</v>
      </c>
    </row>
    <row r="20" spans="2:25">
      <c r="B20" s="30"/>
      <c r="C20" s="1054"/>
      <c r="D20" s="1058"/>
      <c r="E20" s="30"/>
      <c r="F20" s="30"/>
      <c r="G20" s="30"/>
      <c r="H20" s="30"/>
      <c r="I20" s="30"/>
      <c r="J20" s="30"/>
      <c r="K20" s="30"/>
      <c r="L20" s="1070"/>
      <c r="M20" s="1071"/>
      <c r="N20" s="1070"/>
      <c r="O20" s="30"/>
      <c r="P20" s="1070"/>
      <c r="Q20" s="30"/>
      <c r="R20" s="1070"/>
      <c r="S20" s="30"/>
      <c r="T20" s="1070"/>
      <c r="U20" s="30"/>
      <c r="V20" s="1070">
        <f t="shared" si="2"/>
        <v>0</v>
      </c>
      <c r="W20" s="1054"/>
      <c r="X20" s="30"/>
      <c r="Y20" s="30"/>
    </row>
    <row r="21" spans="2:25">
      <c r="B21" s="30"/>
      <c r="C21" s="1058"/>
      <c r="D21" s="1058"/>
      <c r="E21" s="30"/>
      <c r="F21" s="30"/>
      <c r="G21" s="30"/>
      <c r="H21" s="30"/>
      <c r="I21" s="30"/>
      <c r="J21" s="30"/>
      <c r="K21" s="30"/>
      <c r="L21" s="1070"/>
      <c r="M21" s="1071"/>
      <c r="N21" s="1070"/>
      <c r="O21" s="30"/>
      <c r="P21" s="1070"/>
      <c r="Q21" s="30"/>
      <c r="R21" s="1070"/>
      <c r="S21" s="30"/>
      <c r="T21" s="1070"/>
      <c r="U21" s="30"/>
      <c r="V21" s="1070">
        <f t="shared" si="2"/>
        <v>0</v>
      </c>
      <c r="W21" s="1054"/>
      <c r="X21" s="30"/>
      <c r="Y21" s="30"/>
    </row>
    <row r="22" ht="12.15" spans="2:25">
      <c r="B22" s="1"/>
      <c r="C22" s="1"/>
      <c r="D22" s="1059">
        <f>SUM(D11:D21)</f>
        <v>0.9856</v>
      </c>
      <c r="E22" s="1060">
        <f>SUM(E11:E21)</f>
        <v>41766037809.1264</v>
      </c>
      <c r="F22" s="1060">
        <f>SUM(F11:F21)</f>
        <v>4594264159.0039</v>
      </c>
      <c r="G22" s="1060">
        <f>SUM(G11:G21)</f>
        <v>46360301968.1303</v>
      </c>
      <c r="H22" s="1"/>
      <c r="I22" s="1"/>
      <c r="J22" s="1"/>
      <c r="K22" s="1"/>
      <c r="L22" s="1"/>
      <c r="M22" s="1"/>
      <c r="N22" s="1"/>
      <c r="O22" s="1"/>
      <c r="P22" s="1"/>
      <c r="Q22" s="1"/>
      <c r="R22" s="1"/>
      <c r="S22" s="1"/>
      <c r="T22" s="1"/>
      <c r="U22" s="1"/>
      <c r="V22" s="1060">
        <f>SUM(V11:V21)</f>
        <v>42698315438</v>
      </c>
      <c r="W22" s="1"/>
      <c r="X22" s="1060">
        <f>SUM(X11:X21)</f>
        <v>3661986530.13031</v>
      </c>
      <c r="Y22" s="1"/>
    </row>
    <row r="23" ht="12.15" spans="2:25">
      <c r="B23" s="1" t="s">
        <v>12347</v>
      </c>
      <c r="C23" s="1"/>
      <c r="D23" s="1061">
        <f>+E23/E10</f>
        <v>0.0143999999999999</v>
      </c>
      <c r="E23" s="1062">
        <f>E10-E22</f>
        <v>610218084.873596</v>
      </c>
      <c r="F23" s="1"/>
      <c r="G23" s="1"/>
      <c r="H23" s="1"/>
      <c r="I23" s="1"/>
      <c r="J23" s="1"/>
      <c r="K23" s="1"/>
      <c r="L23" s="1062">
        <f>E15-L15</f>
        <v>1607730.48500252</v>
      </c>
      <c r="M23" s="1"/>
      <c r="N23" s="1"/>
      <c r="O23" s="1"/>
      <c r="P23" s="1"/>
      <c r="Q23" s="1"/>
      <c r="R23" s="1"/>
      <c r="S23" s="1"/>
      <c r="T23" s="1"/>
      <c r="U23" s="1"/>
      <c r="V23" s="1"/>
      <c r="W23" s="1"/>
      <c r="X23" s="1"/>
      <c r="Y23" s="1"/>
    </row>
    <row r="24" spans="2:25">
      <c r="B24" s="1"/>
      <c r="C24" s="1"/>
      <c r="D24" s="1"/>
      <c r="E24" s="1"/>
      <c r="F24" s="1"/>
      <c r="G24" s="1"/>
      <c r="H24" s="1"/>
      <c r="I24" s="1"/>
      <c r="J24" s="1"/>
      <c r="K24" s="1"/>
      <c r="L24" s="1"/>
      <c r="M24" s="1"/>
      <c r="N24" s="1"/>
      <c r="O24" s="1"/>
      <c r="P24" s="1"/>
      <c r="Q24" s="1"/>
      <c r="R24" s="1"/>
      <c r="S24" s="1"/>
      <c r="T24" s="1"/>
      <c r="U24" s="1"/>
      <c r="V24" s="1"/>
      <c r="W24" s="1"/>
      <c r="X24" s="1"/>
      <c r="Y24" s="1"/>
    </row>
    <row r="25" spans="2:25">
      <c r="B25" s="1"/>
      <c r="C25" s="1"/>
      <c r="D25" s="1"/>
      <c r="E25" s="1"/>
      <c r="F25" s="1"/>
      <c r="G25" s="1" t="s">
        <v>13056</v>
      </c>
      <c r="H25" s="1" t="s">
        <v>13057</v>
      </c>
      <c r="I25" s="1" t="s">
        <v>13058</v>
      </c>
      <c r="J25" s="1" t="s">
        <v>13059</v>
      </c>
      <c r="K25" s="1"/>
      <c r="L25" s="1"/>
      <c r="M25" s="1"/>
      <c r="N25" s="1"/>
      <c r="O25" s="1"/>
      <c r="P25" s="1"/>
      <c r="Q25" s="1"/>
      <c r="R25" s="1"/>
      <c r="S25" s="1"/>
      <c r="T25" s="1"/>
      <c r="U25" s="1"/>
      <c r="V25" s="1"/>
      <c r="W25" s="1"/>
      <c r="X25" s="1"/>
      <c r="Y25" s="1"/>
    </row>
    <row r="26" spans="2:25">
      <c r="B26" s="1"/>
      <c r="C26" s="1"/>
      <c r="D26" s="1"/>
      <c r="E26" s="1" t="s">
        <v>13060</v>
      </c>
      <c r="F26" s="1063"/>
      <c r="G26" s="1">
        <f>+E10</f>
        <v>42376255894</v>
      </c>
      <c r="H26">
        <f>+'201'!H45</f>
        <v>36675756660</v>
      </c>
      <c r="I26" s="1075">
        <f>+G26/$G$26</f>
        <v>1</v>
      </c>
      <c r="J26" s="1075">
        <f>+H26/G26</f>
        <v>0.865478931214234</v>
      </c>
      <c r="K26" s="1"/>
      <c r="L26" s="1"/>
      <c r="M26" s="1"/>
      <c r="N26" s="1"/>
      <c r="O26" s="1"/>
      <c r="P26" s="1"/>
      <c r="Q26" s="1"/>
      <c r="R26" s="1"/>
      <c r="S26" s="1"/>
      <c r="T26" s="1"/>
      <c r="U26" s="1"/>
      <c r="V26" s="1"/>
      <c r="W26" s="1"/>
      <c r="X26" s="1"/>
      <c r="Y26" s="1"/>
    </row>
    <row r="27" spans="2:25">
      <c r="B27" s="1"/>
      <c r="C27" s="1"/>
      <c r="D27" s="1"/>
      <c r="E27" s="1" t="s">
        <v>13061</v>
      </c>
      <c r="F27" s="1063">
        <v>2022</v>
      </c>
      <c r="G27" s="1">
        <f>+E11</f>
        <v>8475251178.8</v>
      </c>
      <c r="H27">
        <f>+$H$26*I27</f>
        <v>7335151332</v>
      </c>
      <c r="I27" s="1075">
        <f>+G27/$G$26</f>
        <v>0.2</v>
      </c>
      <c r="J27" s="1075">
        <f>+H27/G27</f>
        <v>0.865478931214234</v>
      </c>
      <c r="K27" s="1"/>
      <c r="L27" s="1"/>
      <c r="M27" s="1"/>
      <c r="N27" s="1"/>
      <c r="O27" s="1"/>
      <c r="P27" s="1"/>
      <c r="Q27" s="1"/>
      <c r="R27" s="1"/>
      <c r="S27" s="1"/>
      <c r="T27" s="1"/>
      <c r="U27" s="1"/>
      <c r="V27" s="1"/>
      <c r="W27" s="1"/>
      <c r="X27" s="1"/>
      <c r="Y27" s="1"/>
    </row>
    <row r="28" spans="5:10">
      <c r="E28" s="1" t="s">
        <v>13061</v>
      </c>
      <c r="F28" s="1064">
        <v>2023</v>
      </c>
      <c r="G28">
        <f>SUM(L12:L19)</f>
        <v>33290786630</v>
      </c>
      <c r="H28">
        <f>+$H$26*I28</f>
        <v>28812474431.8135</v>
      </c>
      <c r="I28" s="1075">
        <f>+G28/$G$26</f>
        <v>0.785599999992298</v>
      </c>
      <c r="J28" s="1075">
        <f>+H28/G28</f>
        <v>0.865478931214234</v>
      </c>
    </row>
    <row r="29" spans="5:10">
      <c r="E29" s="1" t="s">
        <v>13062</v>
      </c>
      <c r="F29" s="1064"/>
      <c r="G29">
        <f>SUM(G27:G28)</f>
        <v>41766037808.8</v>
      </c>
      <c r="H29">
        <f>+$H$26*I29</f>
        <v>36147625763.8135</v>
      </c>
      <c r="I29" s="1075">
        <f>+G29/$G$26</f>
        <v>0.985599999992298</v>
      </c>
      <c r="J29" s="1075">
        <f>+H29/G29</f>
        <v>0.865478931214234</v>
      </c>
    </row>
    <row r="30" spans="6:6">
      <c r="F30" s="1064"/>
    </row>
    <row r="32" spans="5:5">
      <c r="E32" s="1" t="s">
        <v>836</v>
      </c>
    </row>
    <row r="33" spans="5:8">
      <c r="E33" s="1" t="s">
        <v>13063</v>
      </c>
      <c r="F33">
        <v>8000000000</v>
      </c>
      <c r="G33">
        <f>+H27</f>
        <v>7335151332</v>
      </c>
      <c r="H33">
        <f>+F33-G33</f>
        <v>664848668</v>
      </c>
    </row>
    <row r="34" spans="5:5">
      <c r="E34" s="1" t="s">
        <v>13064</v>
      </c>
    </row>
    <row r="35" spans="5:7">
      <c r="E35" s="1065" t="s">
        <v>13065</v>
      </c>
      <c r="F35" s="1066"/>
      <c r="G35" s="1067">
        <f>+G33</f>
        <v>7335151332</v>
      </c>
    </row>
    <row r="36" spans="5:7">
      <c r="E36" s="1065" t="s">
        <v>13066</v>
      </c>
      <c r="F36" s="1066"/>
      <c r="G36" s="1067"/>
    </row>
  </sheetData>
  <mergeCells count="14">
    <mergeCell ref="L7:U7"/>
    <mergeCell ref="L8:M8"/>
    <mergeCell ref="N8:O8"/>
    <mergeCell ref="P8:Q8"/>
    <mergeCell ref="R8:S8"/>
    <mergeCell ref="T8:U8"/>
    <mergeCell ref="B7:B9"/>
    <mergeCell ref="C7:C9"/>
    <mergeCell ref="D7:D9"/>
    <mergeCell ref="G35:G36"/>
    <mergeCell ref="J7:K8"/>
    <mergeCell ref="V7:W8"/>
    <mergeCell ref="X7:Y8"/>
    <mergeCell ref="E7:I8"/>
  </mergeCells>
  <pageMargins left="0.7" right="0.7" top="0.75" bottom="0.75" header="0.3" footer="0.3"/>
  <pageSetup paperSize="1" orientation="portrait"/>
  <headerFooter/>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92D050"/>
  </sheetPr>
  <dimension ref="A1:AQ580"/>
  <sheetViews>
    <sheetView showGridLines="0" zoomScale="85" zoomScaleNormal="85" topLeftCell="A2" workbookViewId="0">
      <pane xSplit="4" ySplit="8" topLeftCell="M48" activePane="bottomRight" state="frozen"/>
      <selection/>
      <selection pane="topRight"/>
      <selection pane="bottomLeft"/>
      <selection pane="bottomRight" activeCell="AC99" sqref="AC99"/>
    </sheetView>
  </sheetViews>
  <sheetFormatPr defaultColWidth="9" defaultRowHeight="14.4"/>
  <cols>
    <col min="1" max="1" width="8.84375" style="784"/>
    <col min="2" max="2" width="4.9375" style="784" customWidth="1"/>
    <col min="3" max="3" width="20.6770833333333" style="783" customWidth="1"/>
    <col min="4" max="4" width="10.9375" style="785" customWidth="1"/>
    <col min="5" max="5" width="28.1666666666667" style="784" customWidth="1"/>
    <col min="6" max="6" width="20.53125" style="783" customWidth="1"/>
    <col min="7" max="7" width="17.2291666666667" style="783" customWidth="1"/>
    <col min="8" max="8" width="15.5833333333333" style="946" customWidth="1"/>
    <col min="9" max="9" width="18.7291666666667" style="946" customWidth="1"/>
    <col min="10" max="10" width="19.9270833333333" style="946" customWidth="1"/>
    <col min="11" max="11" width="15.1354166666667" style="786" customWidth="1"/>
    <col min="12" max="12" width="16.3333333333333" style="786" customWidth="1"/>
    <col min="13" max="13" width="15.1354166666667" style="786" customWidth="1"/>
    <col min="14" max="14" width="16.3333333333333" style="786" customWidth="1"/>
    <col min="15" max="15" width="15.1354166666667" style="786" customWidth="1"/>
    <col min="16" max="16" width="16.3333333333333" style="787" customWidth="1"/>
    <col min="17" max="17" width="11.0833333333333" style="784" customWidth="1"/>
    <col min="18" max="18" width="9.29166666666667" style="787" customWidth="1"/>
    <col min="19" max="19" width="13.6354166666667" style="787" customWidth="1"/>
    <col min="20" max="20" width="6.89583333333333" style="787" customWidth="1"/>
    <col min="21" max="21" width="9.58333333333333" style="787" customWidth="1"/>
    <col min="22" max="22" width="14.2395833333333" style="788" customWidth="1"/>
    <col min="23" max="23" width="7.64583333333333" style="784" customWidth="1"/>
    <col min="24" max="24" width="7.64583333333333" style="785" customWidth="1"/>
    <col min="25" max="25" width="1.64583333333333" style="784" customWidth="1"/>
    <col min="26" max="26" width="25.7708333333333" style="783" customWidth="1"/>
    <col min="27" max="27" width="10.6354166666667" style="785" customWidth="1"/>
    <col min="28" max="28" width="19.625" style="789" customWidth="1"/>
    <col min="29" max="29" width="14.2395833333333" style="784" customWidth="1"/>
    <col min="30" max="30" width="8.6875" style="784" customWidth="1"/>
    <col min="31" max="31" width="13.3333333333333" style="784" customWidth="1"/>
    <col min="32" max="32" width="11.0833333333333" style="785" customWidth="1"/>
    <col min="33" max="33" width="8.84375" style="784"/>
    <col min="34" max="35" width="9.13541666666667" style="790" customWidth="1"/>
    <col min="36" max="36" width="2.39583333333333" style="784" customWidth="1"/>
    <col min="37" max="37" width="15.28125" style="784" customWidth="1"/>
    <col min="38" max="38" width="15.1354166666667" style="784" customWidth="1"/>
    <col min="39" max="39" width="20.2291666666667" style="784" customWidth="1"/>
    <col min="40" max="40" width="13.3333333333333" style="784" customWidth="1"/>
    <col min="41" max="41" width="10.0416666666667" style="784" customWidth="1"/>
    <col min="42" max="42" width="13.3333333333333" style="784" customWidth="1"/>
    <col min="43" max="257" width="8.84375" style="784"/>
    <col min="258" max="258" width="4.9375" style="784" customWidth="1"/>
    <col min="259" max="259" width="9.13541666666667" style="784" customWidth="1"/>
    <col min="260" max="260" width="10.9375" style="784" customWidth="1"/>
    <col min="261" max="261" width="13.9375" style="784" customWidth="1"/>
    <col min="262" max="262" width="20.53125" style="784" customWidth="1"/>
    <col min="263" max="263" width="17.2291666666667" style="784" customWidth="1"/>
    <col min="264" max="264" width="15.5833333333333" style="784" customWidth="1"/>
    <col min="265" max="265" width="17.6770833333333" style="784" customWidth="1"/>
    <col min="266" max="266" width="19.9270833333333" style="784" customWidth="1"/>
    <col min="267" max="267" width="15.1354166666667" style="784" customWidth="1"/>
    <col min="268" max="268" width="16.3333333333333" style="784" customWidth="1"/>
    <col min="269" max="269" width="15.1354166666667" style="784" customWidth="1"/>
    <col min="270" max="270" width="16.3333333333333" style="784" customWidth="1"/>
    <col min="271" max="271" width="15.1354166666667" style="784" customWidth="1"/>
    <col min="272" max="272" width="16.3333333333333" style="784" customWidth="1"/>
    <col min="273" max="273" width="11.0833333333333" style="784" customWidth="1"/>
    <col min="274" max="274" width="9.29166666666667" style="784" customWidth="1"/>
    <col min="275" max="275" width="13.6354166666667" style="784" customWidth="1"/>
    <col min="276" max="276" width="6.89583333333333" style="784" customWidth="1"/>
    <col min="277" max="277" width="9.58333333333333" style="784" customWidth="1"/>
    <col min="278" max="278" width="14.2395833333333" style="784" customWidth="1"/>
    <col min="279" max="280" width="7.64583333333333" style="784" customWidth="1"/>
    <col min="281" max="281" width="1.64583333333333" style="784" customWidth="1"/>
    <col min="282" max="282" width="25.7708333333333" style="784" customWidth="1"/>
    <col min="283" max="283" width="10.6354166666667" style="784" customWidth="1"/>
    <col min="284" max="284" width="19.625" style="784" customWidth="1"/>
    <col min="285" max="285" width="14.2395833333333" style="784" customWidth="1"/>
    <col min="286" max="286" width="8.6875" style="784" customWidth="1"/>
    <col min="287" max="287" width="13.3333333333333" style="784" customWidth="1"/>
    <col min="288" max="288" width="11.0833333333333" style="784" customWidth="1"/>
    <col min="289" max="289" width="8.84375" style="784"/>
    <col min="290" max="291" width="9.13541666666667" style="784" customWidth="1"/>
    <col min="292" max="292" width="2.39583333333333" style="784" customWidth="1"/>
    <col min="293" max="293" width="15.28125" style="784" customWidth="1"/>
    <col min="294" max="294" width="15.1354166666667" style="784" customWidth="1"/>
    <col min="295" max="295" width="20.2291666666667" style="784" customWidth="1"/>
    <col min="296" max="296" width="13.3333333333333" style="784" customWidth="1"/>
    <col min="297" max="297" width="10.0416666666667" style="784" customWidth="1"/>
    <col min="298" max="298" width="13.3333333333333" style="784" customWidth="1"/>
    <col min="299" max="513" width="8.84375" style="784"/>
    <col min="514" max="514" width="4.9375" style="784" customWidth="1"/>
    <col min="515" max="515" width="9.13541666666667" style="784" customWidth="1"/>
    <col min="516" max="516" width="10.9375" style="784" customWidth="1"/>
    <col min="517" max="517" width="13.9375" style="784" customWidth="1"/>
    <col min="518" max="518" width="20.53125" style="784" customWidth="1"/>
    <col min="519" max="519" width="17.2291666666667" style="784" customWidth="1"/>
    <col min="520" max="520" width="15.5833333333333" style="784" customWidth="1"/>
    <col min="521" max="521" width="17.6770833333333" style="784" customWidth="1"/>
    <col min="522" max="522" width="19.9270833333333" style="784" customWidth="1"/>
    <col min="523" max="523" width="15.1354166666667" style="784" customWidth="1"/>
    <col min="524" max="524" width="16.3333333333333" style="784" customWidth="1"/>
    <col min="525" max="525" width="15.1354166666667" style="784" customWidth="1"/>
    <col min="526" max="526" width="16.3333333333333" style="784" customWidth="1"/>
    <col min="527" max="527" width="15.1354166666667" style="784" customWidth="1"/>
    <col min="528" max="528" width="16.3333333333333" style="784" customWidth="1"/>
    <col min="529" max="529" width="11.0833333333333" style="784" customWidth="1"/>
    <col min="530" max="530" width="9.29166666666667" style="784" customWidth="1"/>
    <col min="531" max="531" width="13.6354166666667" style="784" customWidth="1"/>
    <col min="532" max="532" width="6.89583333333333" style="784" customWidth="1"/>
    <col min="533" max="533" width="9.58333333333333" style="784" customWidth="1"/>
    <col min="534" max="534" width="14.2395833333333" style="784" customWidth="1"/>
    <col min="535" max="536" width="7.64583333333333" style="784" customWidth="1"/>
    <col min="537" max="537" width="1.64583333333333" style="784" customWidth="1"/>
    <col min="538" max="538" width="25.7708333333333" style="784" customWidth="1"/>
    <col min="539" max="539" width="10.6354166666667" style="784" customWidth="1"/>
    <col min="540" max="540" width="19.625" style="784" customWidth="1"/>
    <col min="541" max="541" width="14.2395833333333" style="784" customWidth="1"/>
    <col min="542" max="542" width="8.6875" style="784" customWidth="1"/>
    <col min="543" max="543" width="13.3333333333333" style="784" customWidth="1"/>
    <col min="544" max="544" width="11.0833333333333" style="784" customWidth="1"/>
    <col min="545" max="545" width="8.84375" style="784"/>
    <col min="546" max="547" width="9.13541666666667" style="784" customWidth="1"/>
    <col min="548" max="548" width="2.39583333333333" style="784" customWidth="1"/>
    <col min="549" max="549" width="15.28125" style="784" customWidth="1"/>
    <col min="550" max="550" width="15.1354166666667" style="784" customWidth="1"/>
    <col min="551" max="551" width="20.2291666666667" style="784" customWidth="1"/>
    <col min="552" max="552" width="13.3333333333333" style="784" customWidth="1"/>
    <col min="553" max="553" width="10.0416666666667" style="784" customWidth="1"/>
    <col min="554" max="554" width="13.3333333333333" style="784" customWidth="1"/>
    <col min="555" max="769" width="8.84375" style="784"/>
    <col min="770" max="770" width="4.9375" style="784" customWidth="1"/>
    <col min="771" max="771" width="9.13541666666667" style="784" customWidth="1"/>
    <col min="772" max="772" width="10.9375" style="784" customWidth="1"/>
    <col min="773" max="773" width="13.9375" style="784" customWidth="1"/>
    <col min="774" max="774" width="20.53125" style="784" customWidth="1"/>
    <col min="775" max="775" width="17.2291666666667" style="784" customWidth="1"/>
    <col min="776" max="776" width="15.5833333333333" style="784" customWidth="1"/>
    <col min="777" max="777" width="17.6770833333333" style="784" customWidth="1"/>
    <col min="778" max="778" width="19.9270833333333" style="784" customWidth="1"/>
    <col min="779" max="779" width="15.1354166666667" style="784" customWidth="1"/>
    <col min="780" max="780" width="16.3333333333333" style="784" customWidth="1"/>
    <col min="781" max="781" width="15.1354166666667" style="784" customWidth="1"/>
    <col min="782" max="782" width="16.3333333333333" style="784" customWidth="1"/>
    <col min="783" max="783" width="15.1354166666667" style="784" customWidth="1"/>
    <col min="784" max="784" width="16.3333333333333" style="784" customWidth="1"/>
    <col min="785" max="785" width="11.0833333333333" style="784" customWidth="1"/>
    <col min="786" max="786" width="9.29166666666667" style="784" customWidth="1"/>
    <col min="787" max="787" width="13.6354166666667" style="784" customWidth="1"/>
    <col min="788" max="788" width="6.89583333333333" style="784" customWidth="1"/>
    <col min="789" max="789" width="9.58333333333333" style="784" customWidth="1"/>
    <col min="790" max="790" width="14.2395833333333" style="784" customWidth="1"/>
    <col min="791" max="792" width="7.64583333333333" style="784" customWidth="1"/>
    <col min="793" max="793" width="1.64583333333333" style="784" customWidth="1"/>
    <col min="794" max="794" width="25.7708333333333" style="784" customWidth="1"/>
    <col min="795" max="795" width="10.6354166666667" style="784" customWidth="1"/>
    <col min="796" max="796" width="19.625" style="784" customWidth="1"/>
    <col min="797" max="797" width="14.2395833333333" style="784" customWidth="1"/>
    <col min="798" max="798" width="8.6875" style="784" customWidth="1"/>
    <col min="799" max="799" width="13.3333333333333" style="784" customWidth="1"/>
    <col min="800" max="800" width="11.0833333333333" style="784" customWidth="1"/>
    <col min="801" max="801" width="8.84375" style="784"/>
    <col min="802" max="803" width="9.13541666666667" style="784" customWidth="1"/>
    <col min="804" max="804" width="2.39583333333333" style="784" customWidth="1"/>
    <col min="805" max="805" width="15.28125" style="784" customWidth="1"/>
    <col min="806" max="806" width="15.1354166666667" style="784" customWidth="1"/>
    <col min="807" max="807" width="20.2291666666667" style="784" customWidth="1"/>
    <col min="808" max="808" width="13.3333333333333" style="784" customWidth="1"/>
    <col min="809" max="809" width="10.0416666666667" style="784" customWidth="1"/>
    <col min="810" max="810" width="13.3333333333333" style="784" customWidth="1"/>
    <col min="811" max="1025" width="8.84375" style="784"/>
    <col min="1026" max="1026" width="4.9375" style="784" customWidth="1"/>
    <col min="1027" max="1027" width="9.13541666666667" style="784" customWidth="1"/>
    <col min="1028" max="1028" width="10.9375" style="784" customWidth="1"/>
    <col min="1029" max="1029" width="13.9375" style="784" customWidth="1"/>
    <col min="1030" max="1030" width="20.53125" style="784" customWidth="1"/>
    <col min="1031" max="1031" width="17.2291666666667" style="784" customWidth="1"/>
    <col min="1032" max="1032" width="15.5833333333333" style="784" customWidth="1"/>
    <col min="1033" max="1033" width="17.6770833333333" style="784" customWidth="1"/>
    <col min="1034" max="1034" width="19.9270833333333" style="784" customWidth="1"/>
    <col min="1035" max="1035" width="15.1354166666667" style="784" customWidth="1"/>
    <col min="1036" max="1036" width="16.3333333333333" style="784" customWidth="1"/>
    <col min="1037" max="1037" width="15.1354166666667" style="784" customWidth="1"/>
    <col min="1038" max="1038" width="16.3333333333333" style="784" customWidth="1"/>
    <col min="1039" max="1039" width="15.1354166666667" style="784" customWidth="1"/>
    <col min="1040" max="1040" width="16.3333333333333" style="784" customWidth="1"/>
    <col min="1041" max="1041" width="11.0833333333333" style="784" customWidth="1"/>
    <col min="1042" max="1042" width="9.29166666666667" style="784" customWidth="1"/>
    <col min="1043" max="1043" width="13.6354166666667" style="784" customWidth="1"/>
    <col min="1044" max="1044" width="6.89583333333333" style="784" customWidth="1"/>
    <col min="1045" max="1045" width="9.58333333333333" style="784" customWidth="1"/>
    <col min="1046" max="1046" width="14.2395833333333" style="784" customWidth="1"/>
    <col min="1047" max="1048" width="7.64583333333333" style="784" customWidth="1"/>
    <col min="1049" max="1049" width="1.64583333333333" style="784" customWidth="1"/>
    <col min="1050" max="1050" width="25.7708333333333" style="784" customWidth="1"/>
    <col min="1051" max="1051" width="10.6354166666667" style="784" customWidth="1"/>
    <col min="1052" max="1052" width="19.625" style="784" customWidth="1"/>
    <col min="1053" max="1053" width="14.2395833333333" style="784" customWidth="1"/>
    <col min="1054" max="1054" width="8.6875" style="784" customWidth="1"/>
    <col min="1055" max="1055" width="13.3333333333333" style="784" customWidth="1"/>
    <col min="1056" max="1056" width="11.0833333333333" style="784" customWidth="1"/>
    <col min="1057" max="1057" width="8.84375" style="784"/>
    <col min="1058" max="1059" width="9.13541666666667" style="784" customWidth="1"/>
    <col min="1060" max="1060" width="2.39583333333333" style="784" customWidth="1"/>
    <col min="1061" max="1061" width="15.28125" style="784" customWidth="1"/>
    <col min="1062" max="1062" width="15.1354166666667" style="784" customWidth="1"/>
    <col min="1063" max="1063" width="20.2291666666667" style="784" customWidth="1"/>
    <col min="1064" max="1064" width="13.3333333333333" style="784" customWidth="1"/>
    <col min="1065" max="1065" width="10.0416666666667" style="784" customWidth="1"/>
    <col min="1066" max="1066" width="13.3333333333333" style="784" customWidth="1"/>
    <col min="1067" max="1281" width="8.84375" style="784"/>
    <col min="1282" max="1282" width="4.9375" style="784" customWidth="1"/>
    <col min="1283" max="1283" width="9.13541666666667" style="784" customWidth="1"/>
    <col min="1284" max="1284" width="10.9375" style="784" customWidth="1"/>
    <col min="1285" max="1285" width="13.9375" style="784" customWidth="1"/>
    <col min="1286" max="1286" width="20.53125" style="784" customWidth="1"/>
    <col min="1287" max="1287" width="17.2291666666667" style="784" customWidth="1"/>
    <col min="1288" max="1288" width="15.5833333333333" style="784" customWidth="1"/>
    <col min="1289" max="1289" width="17.6770833333333" style="784" customWidth="1"/>
    <col min="1290" max="1290" width="19.9270833333333" style="784" customWidth="1"/>
    <col min="1291" max="1291" width="15.1354166666667" style="784" customWidth="1"/>
    <col min="1292" max="1292" width="16.3333333333333" style="784" customWidth="1"/>
    <col min="1293" max="1293" width="15.1354166666667" style="784" customWidth="1"/>
    <col min="1294" max="1294" width="16.3333333333333" style="784" customWidth="1"/>
    <col min="1295" max="1295" width="15.1354166666667" style="784" customWidth="1"/>
    <col min="1296" max="1296" width="16.3333333333333" style="784" customWidth="1"/>
    <col min="1297" max="1297" width="11.0833333333333" style="784" customWidth="1"/>
    <col min="1298" max="1298" width="9.29166666666667" style="784" customWidth="1"/>
    <col min="1299" max="1299" width="13.6354166666667" style="784" customWidth="1"/>
    <col min="1300" max="1300" width="6.89583333333333" style="784" customWidth="1"/>
    <col min="1301" max="1301" width="9.58333333333333" style="784" customWidth="1"/>
    <col min="1302" max="1302" width="14.2395833333333" style="784" customWidth="1"/>
    <col min="1303" max="1304" width="7.64583333333333" style="784" customWidth="1"/>
    <col min="1305" max="1305" width="1.64583333333333" style="784" customWidth="1"/>
    <col min="1306" max="1306" width="25.7708333333333" style="784" customWidth="1"/>
    <col min="1307" max="1307" width="10.6354166666667" style="784" customWidth="1"/>
    <col min="1308" max="1308" width="19.625" style="784" customWidth="1"/>
    <col min="1309" max="1309" width="14.2395833333333" style="784" customWidth="1"/>
    <col min="1310" max="1310" width="8.6875" style="784" customWidth="1"/>
    <col min="1311" max="1311" width="13.3333333333333" style="784" customWidth="1"/>
    <col min="1312" max="1312" width="11.0833333333333" style="784" customWidth="1"/>
    <col min="1313" max="1313" width="8.84375" style="784"/>
    <col min="1314" max="1315" width="9.13541666666667" style="784" customWidth="1"/>
    <col min="1316" max="1316" width="2.39583333333333" style="784" customWidth="1"/>
    <col min="1317" max="1317" width="15.28125" style="784" customWidth="1"/>
    <col min="1318" max="1318" width="15.1354166666667" style="784" customWidth="1"/>
    <col min="1319" max="1319" width="20.2291666666667" style="784" customWidth="1"/>
    <col min="1320" max="1320" width="13.3333333333333" style="784" customWidth="1"/>
    <col min="1321" max="1321" width="10.0416666666667" style="784" customWidth="1"/>
    <col min="1322" max="1322" width="13.3333333333333" style="784" customWidth="1"/>
    <col min="1323" max="1537" width="8.84375" style="784"/>
    <col min="1538" max="1538" width="4.9375" style="784" customWidth="1"/>
    <col min="1539" max="1539" width="9.13541666666667" style="784" customWidth="1"/>
    <col min="1540" max="1540" width="10.9375" style="784" customWidth="1"/>
    <col min="1541" max="1541" width="13.9375" style="784" customWidth="1"/>
    <col min="1542" max="1542" width="20.53125" style="784" customWidth="1"/>
    <col min="1543" max="1543" width="17.2291666666667" style="784" customWidth="1"/>
    <col min="1544" max="1544" width="15.5833333333333" style="784" customWidth="1"/>
    <col min="1545" max="1545" width="17.6770833333333" style="784" customWidth="1"/>
    <col min="1546" max="1546" width="19.9270833333333" style="784" customWidth="1"/>
    <col min="1547" max="1547" width="15.1354166666667" style="784" customWidth="1"/>
    <col min="1548" max="1548" width="16.3333333333333" style="784" customWidth="1"/>
    <col min="1549" max="1549" width="15.1354166666667" style="784" customWidth="1"/>
    <col min="1550" max="1550" width="16.3333333333333" style="784" customWidth="1"/>
    <col min="1551" max="1551" width="15.1354166666667" style="784" customWidth="1"/>
    <col min="1552" max="1552" width="16.3333333333333" style="784" customWidth="1"/>
    <col min="1553" max="1553" width="11.0833333333333" style="784" customWidth="1"/>
    <col min="1554" max="1554" width="9.29166666666667" style="784" customWidth="1"/>
    <col min="1555" max="1555" width="13.6354166666667" style="784" customWidth="1"/>
    <col min="1556" max="1556" width="6.89583333333333" style="784" customWidth="1"/>
    <col min="1557" max="1557" width="9.58333333333333" style="784" customWidth="1"/>
    <col min="1558" max="1558" width="14.2395833333333" style="784" customWidth="1"/>
    <col min="1559" max="1560" width="7.64583333333333" style="784" customWidth="1"/>
    <col min="1561" max="1561" width="1.64583333333333" style="784" customWidth="1"/>
    <col min="1562" max="1562" width="25.7708333333333" style="784" customWidth="1"/>
    <col min="1563" max="1563" width="10.6354166666667" style="784" customWidth="1"/>
    <col min="1564" max="1564" width="19.625" style="784" customWidth="1"/>
    <col min="1565" max="1565" width="14.2395833333333" style="784" customWidth="1"/>
    <col min="1566" max="1566" width="8.6875" style="784" customWidth="1"/>
    <col min="1567" max="1567" width="13.3333333333333" style="784" customWidth="1"/>
    <col min="1568" max="1568" width="11.0833333333333" style="784" customWidth="1"/>
    <col min="1569" max="1569" width="8.84375" style="784"/>
    <col min="1570" max="1571" width="9.13541666666667" style="784" customWidth="1"/>
    <col min="1572" max="1572" width="2.39583333333333" style="784" customWidth="1"/>
    <col min="1573" max="1573" width="15.28125" style="784" customWidth="1"/>
    <col min="1574" max="1574" width="15.1354166666667" style="784" customWidth="1"/>
    <col min="1575" max="1575" width="20.2291666666667" style="784" customWidth="1"/>
    <col min="1576" max="1576" width="13.3333333333333" style="784" customWidth="1"/>
    <col min="1577" max="1577" width="10.0416666666667" style="784" customWidth="1"/>
    <col min="1578" max="1578" width="13.3333333333333" style="784" customWidth="1"/>
    <col min="1579" max="1793" width="8.84375" style="784"/>
    <col min="1794" max="1794" width="4.9375" style="784" customWidth="1"/>
    <col min="1795" max="1795" width="9.13541666666667" style="784" customWidth="1"/>
    <col min="1796" max="1796" width="10.9375" style="784" customWidth="1"/>
    <col min="1797" max="1797" width="13.9375" style="784" customWidth="1"/>
    <col min="1798" max="1798" width="20.53125" style="784" customWidth="1"/>
    <col min="1799" max="1799" width="17.2291666666667" style="784" customWidth="1"/>
    <col min="1800" max="1800" width="15.5833333333333" style="784" customWidth="1"/>
    <col min="1801" max="1801" width="17.6770833333333" style="784" customWidth="1"/>
    <col min="1802" max="1802" width="19.9270833333333" style="784" customWidth="1"/>
    <col min="1803" max="1803" width="15.1354166666667" style="784" customWidth="1"/>
    <col min="1804" max="1804" width="16.3333333333333" style="784" customWidth="1"/>
    <col min="1805" max="1805" width="15.1354166666667" style="784" customWidth="1"/>
    <col min="1806" max="1806" width="16.3333333333333" style="784" customWidth="1"/>
    <col min="1807" max="1807" width="15.1354166666667" style="784" customWidth="1"/>
    <col min="1808" max="1808" width="16.3333333333333" style="784" customWidth="1"/>
    <col min="1809" max="1809" width="11.0833333333333" style="784" customWidth="1"/>
    <col min="1810" max="1810" width="9.29166666666667" style="784" customWidth="1"/>
    <col min="1811" max="1811" width="13.6354166666667" style="784" customWidth="1"/>
    <col min="1812" max="1812" width="6.89583333333333" style="784" customWidth="1"/>
    <col min="1813" max="1813" width="9.58333333333333" style="784" customWidth="1"/>
    <col min="1814" max="1814" width="14.2395833333333" style="784" customWidth="1"/>
    <col min="1815" max="1816" width="7.64583333333333" style="784" customWidth="1"/>
    <col min="1817" max="1817" width="1.64583333333333" style="784" customWidth="1"/>
    <col min="1818" max="1818" width="25.7708333333333" style="784" customWidth="1"/>
    <col min="1819" max="1819" width="10.6354166666667" style="784" customWidth="1"/>
    <col min="1820" max="1820" width="19.625" style="784" customWidth="1"/>
    <col min="1821" max="1821" width="14.2395833333333" style="784" customWidth="1"/>
    <col min="1822" max="1822" width="8.6875" style="784" customWidth="1"/>
    <col min="1823" max="1823" width="13.3333333333333" style="784" customWidth="1"/>
    <col min="1824" max="1824" width="11.0833333333333" style="784" customWidth="1"/>
    <col min="1825" max="1825" width="8.84375" style="784"/>
    <col min="1826" max="1827" width="9.13541666666667" style="784" customWidth="1"/>
    <col min="1828" max="1828" width="2.39583333333333" style="784" customWidth="1"/>
    <col min="1829" max="1829" width="15.28125" style="784" customWidth="1"/>
    <col min="1830" max="1830" width="15.1354166666667" style="784" customWidth="1"/>
    <col min="1831" max="1831" width="20.2291666666667" style="784" customWidth="1"/>
    <col min="1832" max="1832" width="13.3333333333333" style="784" customWidth="1"/>
    <col min="1833" max="1833" width="10.0416666666667" style="784" customWidth="1"/>
    <col min="1834" max="1834" width="13.3333333333333" style="784" customWidth="1"/>
    <col min="1835" max="2049" width="8.84375" style="784"/>
    <col min="2050" max="2050" width="4.9375" style="784" customWidth="1"/>
    <col min="2051" max="2051" width="9.13541666666667" style="784" customWidth="1"/>
    <col min="2052" max="2052" width="10.9375" style="784" customWidth="1"/>
    <col min="2053" max="2053" width="13.9375" style="784" customWidth="1"/>
    <col min="2054" max="2054" width="20.53125" style="784" customWidth="1"/>
    <col min="2055" max="2055" width="17.2291666666667" style="784" customWidth="1"/>
    <col min="2056" max="2056" width="15.5833333333333" style="784" customWidth="1"/>
    <col min="2057" max="2057" width="17.6770833333333" style="784" customWidth="1"/>
    <col min="2058" max="2058" width="19.9270833333333" style="784" customWidth="1"/>
    <col min="2059" max="2059" width="15.1354166666667" style="784" customWidth="1"/>
    <col min="2060" max="2060" width="16.3333333333333" style="784" customWidth="1"/>
    <col min="2061" max="2061" width="15.1354166666667" style="784" customWidth="1"/>
    <col min="2062" max="2062" width="16.3333333333333" style="784" customWidth="1"/>
    <col min="2063" max="2063" width="15.1354166666667" style="784" customWidth="1"/>
    <col min="2064" max="2064" width="16.3333333333333" style="784" customWidth="1"/>
    <col min="2065" max="2065" width="11.0833333333333" style="784" customWidth="1"/>
    <col min="2066" max="2066" width="9.29166666666667" style="784" customWidth="1"/>
    <col min="2067" max="2067" width="13.6354166666667" style="784" customWidth="1"/>
    <col min="2068" max="2068" width="6.89583333333333" style="784" customWidth="1"/>
    <col min="2069" max="2069" width="9.58333333333333" style="784" customWidth="1"/>
    <col min="2070" max="2070" width="14.2395833333333" style="784" customWidth="1"/>
    <col min="2071" max="2072" width="7.64583333333333" style="784" customWidth="1"/>
    <col min="2073" max="2073" width="1.64583333333333" style="784" customWidth="1"/>
    <col min="2074" max="2074" width="25.7708333333333" style="784" customWidth="1"/>
    <col min="2075" max="2075" width="10.6354166666667" style="784" customWidth="1"/>
    <col min="2076" max="2076" width="19.625" style="784" customWidth="1"/>
    <col min="2077" max="2077" width="14.2395833333333" style="784" customWidth="1"/>
    <col min="2078" max="2078" width="8.6875" style="784" customWidth="1"/>
    <col min="2079" max="2079" width="13.3333333333333" style="784" customWidth="1"/>
    <col min="2080" max="2080" width="11.0833333333333" style="784" customWidth="1"/>
    <col min="2081" max="2081" width="8.84375" style="784"/>
    <col min="2082" max="2083" width="9.13541666666667" style="784" customWidth="1"/>
    <col min="2084" max="2084" width="2.39583333333333" style="784" customWidth="1"/>
    <col min="2085" max="2085" width="15.28125" style="784" customWidth="1"/>
    <col min="2086" max="2086" width="15.1354166666667" style="784" customWidth="1"/>
    <col min="2087" max="2087" width="20.2291666666667" style="784" customWidth="1"/>
    <col min="2088" max="2088" width="13.3333333333333" style="784" customWidth="1"/>
    <col min="2089" max="2089" width="10.0416666666667" style="784" customWidth="1"/>
    <col min="2090" max="2090" width="13.3333333333333" style="784" customWidth="1"/>
    <col min="2091" max="2305" width="8.84375" style="784"/>
    <col min="2306" max="2306" width="4.9375" style="784" customWidth="1"/>
    <col min="2307" max="2307" width="9.13541666666667" style="784" customWidth="1"/>
    <col min="2308" max="2308" width="10.9375" style="784" customWidth="1"/>
    <col min="2309" max="2309" width="13.9375" style="784" customWidth="1"/>
    <col min="2310" max="2310" width="20.53125" style="784" customWidth="1"/>
    <col min="2311" max="2311" width="17.2291666666667" style="784" customWidth="1"/>
    <col min="2312" max="2312" width="15.5833333333333" style="784" customWidth="1"/>
    <col min="2313" max="2313" width="17.6770833333333" style="784" customWidth="1"/>
    <col min="2314" max="2314" width="19.9270833333333" style="784" customWidth="1"/>
    <col min="2315" max="2315" width="15.1354166666667" style="784" customWidth="1"/>
    <col min="2316" max="2316" width="16.3333333333333" style="784" customWidth="1"/>
    <col min="2317" max="2317" width="15.1354166666667" style="784" customWidth="1"/>
    <col min="2318" max="2318" width="16.3333333333333" style="784" customWidth="1"/>
    <col min="2319" max="2319" width="15.1354166666667" style="784" customWidth="1"/>
    <col min="2320" max="2320" width="16.3333333333333" style="784" customWidth="1"/>
    <col min="2321" max="2321" width="11.0833333333333" style="784" customWidth="1"/>
    <col min="2322" max="2322" width="9.29166666666667" style="784" customWidth="1"/>
    <col min="2323" max="2323" width="13.6354166666667" style="784" customWidth="1"/>
    <col min="2324" max="2324" width="6.89583333333333" style="784" customWidth="1"/>
    <col min="2325" max="2325" width="9.58333333333333" style="784" customWidth="1"/>
    <col min="2326" max="2326" width="14.2395833333333" style="784" customWidth="1"/>
    <col min="2327" max="2328" width="7.64583333333333" style="784" customWidth="1"/>
    <col min="2329" max="2329" width="1.64583333333333" style="784" customWidth="1"/>
    <col min="2330" max="2330" width="25.7708333333333" style="784" customWidth="1"/>
    <col min="2331" max="2331" width="10.6354166666667" style="784" customWidth="1"/>
    <col min="2332" max="2332" width="19.625" style="784" customWidth="1"/>
    <col min="2333" max="2333" width="14.2395833333333" style="784" customWidth="1"/>
    <col min="2334" max="2334" width="8.6875" style="784" customWidth="1"/>
    <col min="2335" max="2335" width="13.3333333333333" style="784" customWidth="1"/>
    <col min="2336" max="2336" width="11.0833333333333" style="784" customWidth="1"/>
    <col min="2337" max="2337" width="8.84375" style="784"/>
    <col min="2338" max="2339" width="9.13541666666667" style="784" customWidth="1"/>
    <col min="2340" max="2340" width="2.39583333333333" style="784" customWidth="1"/>
    <col min="2341" max="2341" width="15.28125" style="784" customWidth="1"/>
    <col min="2342" max="2342" width="15.1354166666667" style="784" customWidth="1"/>
    <col min="2343" max="2343" width="20.2291666666667" style="784" customWidth="1"/>
    <col min="2344" max="2344" width="13.3333333333333" style="784" customWidth="1"/>
    <col min="2345" max="2345" width="10.0416666666667" style="784" customWidth="1"/>
    <col min="2346" max="2346" width="13.3333333333333" style="784" customWidth="1"/>
    <col min="2347" max="2561" width="8.84375" style="784"/>
    <col min="2562" max="2562" width="4.9375" style="784" customWidth="1"/>
    <col min="2563" max="2563" width="9.13541666666667" style="784" customWidth="1"/>
    <col min="2564" max="2564" width="10.9375" style="784" customWidth="1"/>
    <col min="2565" max="2565" width="13.9375" style="784" customWidth="1"/>
    <col min="2566" max="2566" width="20.53125" style="784" customWidth="1"/>
    <col min="2567" max="2567" width="17.2291666666667" style="784" customWidth="1"/>
    <col min="2568" max="2568" width="15.5833333333333" style="784" customWidth="1"/>
    <col min="2569" max="2569" width="17.6770833333333" style="784" customWidth="1"/>
    <col min="2570" max="2570" width="19.9270833333333" style="784" customWidth="1"/>
    <col min="2571" max="2571" width="15.1354166666667" style="784" customWidth="1"/>
    <col min="2572" max="2572" width="16.3333333333333" style="784" customWidth="1"/>
    <col min="2573" max="2573" width="15.1354166666667" style="784" customWidth="1"/>
    <col min="2574" max="2574" width="16.3333333333333" style="784" customWidth="1"/>
    <col min="2575" max="2575" width="15.1354166666667" style="784" customWidth="1"/>
    <col min="2576" max="2576" width="16.3333333333333" style="784" customWidth="1"/>
    <col min="2577" max="2577" width="11.0833333333333" style="784" customWidth="1"/>
    <col min="2578" max="2578" width="9.29166666666667" style="784" customWidth="1"/>
    <col min="2579" max="2579" width="13.6354166666667" style="784" customWidth="1"/>
    <col min="2580" max="2580" width="6.89583333333333" style="784" customWidth="1"/>
    <col min="2581" max="2581" width="9.58333333333333" style="784" customWidth="1"/>
    <col min="2582" max="2582" width="14.2395833333333" style="784" customWidth="1"/>
    <col min="2583" max="2584" width="7.64583333333333" style="784" customWidth="1"/>
    <col min="2585" max="2585" width="1.64583333333333" style="784" customWidth="1"/>
    <col min="2586" max="2586" width="25.7708333333333" style="784" customWidth="1"/>
    <col min="2587" max="2587" width="10.6354166666667" style="784" customWidth="1"/>
    <col min="2588" max="2588" width="19.625" style="784" customWidth="1"/>
    <col min="2589" max="2589" width="14.2395833333333" style="784" customWidth="1"/>
    <col min="2590" max="2590" width="8.6875" style="784" customWidth="1"/>
    <col min="2591" max="2591" width="13.3333333333333" style="784" customWidth="1"/>
    <col min="2592" max="2592" width="11.0833333333333" style="784" customWidth="1"/>
    <col min="2593" max="2593" width="8.84375" style="784"/>
    <col min="2594" max="2595" width="9.13541666666667" style="784" customWidth="1"/>
    <col min="2596" max="2596" width="2.39583333333333" style="784" customWidth="1"/>
    <col min="2597" max="2597" width="15.28125" style="784" customWidth="1"/>
    <col min="2598" max="2598" width="15.1354166666667" style="784" customWidth="1"/>
    <col min="2599" max="2599" width="20.2291666666667" style="784" customWidth="1"/>
    <col min="2600" max="2600" width="13.3333333333333" style="784" customWidth="1"/>
    <col min="2601" max="2601" width="10.0416666666667" style="784" customWidth="1"/>
    <col min="2602" max="2602" width="13.3333333333333" style="784" customWidth="1"/>
    <col min="2603" max="2817" width="8.84375" style="784"/>
    <col min="2818" max="2818" width="4.9375" style="784" customWidth="1"/>
    <col min="2819" max="2819" width="9.13541666666667" style="784" customWidth="1"/>
    <col min="2820" max="2820" width="10.9375" style="784" customWidth="1"/>
    <col min="2821" max="2821" width="13.9375" style="784" customWidth="1"/>
    <col min="2822" max="2822" width="20.53125" style="784" customWidth="1"/>
    <col min="2823" max="2823" width="17.2291666666667" style="784" customWidth="1"/>
    <col min="2824" max="2824" width="15.5833333333333" style="784" customWidth="1"/>
    <col min="2825" max="2825" width="17.6770833333333" style="784" customWidth="1"/>
    <col min="2826" max="2826" width="19.9270833333333" style="784" customWidth="1"/>
    <col min="2827" max="2827" width="15.1354166666667" style="784" customWidth="1"/>
    <col min="2828" max="2828" width="16.3333333333333" style="784" customWidth="1"/>
    <col min="2829" max="2829" width="15.1354166666667" style="784" customWidth="1"/>
    <col min="2830" max="2830" width="16.3333333333333" style="784" customWidth="1"/>
    <col min="2831" max="2831" width="15.1354166666667" style="784" customWidth="1"/>
    <col min="2832" max="2832" width="16.3333333333333" style="784" customWidth="1"/>
    <col min="2833" max="2833" width="11.0833333333333" style="784" customWidth="1"/>
    <col min="2834" max="2834" width="9.29166666666667" style="784" customWidth="1"/>
    <col min="2835" max="2835" width="13.6354166666667" style="784" customWidth="1"/>
    <col min="2836" max="2836" width="6.89583333333333" style="784" customWidth="1"/>
    <col min="2837" max="2837" width="9.58333333333333" style="784" customWidth="1"/>
    <col min="2838" max="2838" width="14.2395833333333" style="784" customWidth="1"/>
    <col min="2839" max="2840" width="7.64583333333333" style="784" customWidth="1"/>
    <col min="2841" max="2841" width="1.64583333333333" style="784" customWidth="1"/>
    <col min="2842" max="2842" width="25.7708333333333" style="784" customWidth="1"/>
    <col min="2843" max="2843" width="10.6354166666667" style="784" customWidth="1"/>
    <col min="2844" max="2844" width="19.625" style="784" customWidth="1"/>
    <col min="2845" max="2845" width="14.2395833333333" style="784" customWidth="1"/>
    <col min="2846" max="2846" width="8.6875" style="784" customWidth="1"/>
    <col min="2847" max="2847" width="13.3333333333333" style="784" customWidth="1"/>
    <col min="2848" max="2848" width="11.0833333333333" style="784" customWidth="1"/>
    <col min="2849" max="2849" width="8.84375" style="784"/>
    <col min="2850" max="2851" width="9.13541666666667" style="784" customWidth="1"/>
    <col min="2852" max="2852" width="2.39583333333333" style="784" customWidth="1"/>
    <col min="2853" max="2853" width="15.28125" style="784" customWidth="1"/>
    <col min="2854" max="2854" width="15.1354166666667" style="784" customWidth="1"/>
    <col min="2855" max="2855" width="20.2291666666667" style="784" customWidth="1"/>
    <col min="2856" max="2856" width="13.3333333333333" style="784" customWidth="1"/>
    <col min="2857" max="2857" width="10.0416666666667" style="784" customWidth="1"/>
    <col min="2858" max="2858" width="13.3333333333333" style="784" customWidth="1"/>
    <col min="2859" max="3073" width="8.84375" style="784"/>
    <col min="3074" max="3074" width="4.9375" style="784" customWidth="1"/>
    <col min="3075" max="3075" width="9.13541666666667" style="784" customWidth="1"/>
    <col min="3076" max="3076" width="10.9375" style="784" customWidth="1"/>
    <col min="3077" max="3077" width="13.9375" style="784" customWidth="1"/>
    <col min="3078" max="3078" width="20.53125" style="784" customWidth="1"/>
    <col min="3079" max="3079" width="17.2291666666667" style="784" customWidth="1"/>
    <col min="3080" max="3080" width="15.5833333333333" style="784" customWidth="1"/>
    <col min="3081" max="3081" width="17.6770833333333" style="784" customWidth="1"/>
    <col min="3082" max="3082" width="19.9270833333333" style="784" customWidth="1"/>
    <col min="3083" max="3083" width="15.1354166666667" style="784" customWidth="1"/>
    <col min="3084" max="3084" width="16.3333333333333" style="784" customWidth="1"/>
    <col min="3085" max="3085" width="15.1354166666667" style="784" customWidth="1"/>
    <col min="3086" max="3086" width="16.3333333333333" style="784" customWidth="1"/>
    <col min="3087" max="3087" width="15.1354166666667" style="784" customWidth="1"/>
    <col min="3088" max="3088" width="16.3333333333333" style="784" customWidth="1"/>
    <col min="3089" max="3089" width="11.0833333333333" style="784" customWidth="1"/>
    <col min="3090" max="3090" width="9.29166666666667" style="784" customWidth="1"/>
    <col min="3091" max="3091" width="13.6354166666667" style="784" customWidth="1"/>
    <col min="3092" max="3092" width="6.89583333333333" style="784" customWidth="1"/>
    <col min="3093" max="3093" width="9.58333333333333" style="784" customWidth="1"/>
    <col min="3094" max="3094" width="14.2395833333333" style="784" customWidth="1"/>
    <col min="3095" max="3096" width="7.64583333333333" style="784" customWidth="1"/>
    <col min="3097" max="3097" width="1.64583333333333" style="784" customWidth="1"/>
    <col min="3098" max="3098" width="25.7708333333333" style="784" customWidth="1"/>
    <col min="3099" max="3099" width="10.6354166666667" style="784" customWidth="1"/>
    <col min="3100" max="3100" width="19.625" style="784" customWidth="1"/>
    <col min="3101" max="3101" width="14.2395833333333" style="784" customWidth="1"/>
    <col min="3102" max="3102" width="8.6875" style="784" customWidth="1"/>
    <col min="3103" max="3103" width="13.3333333333333" style="784" customWidth="1"/>
    <col min="3104" max="3104" width="11.0833333333333" style="784" customWidth="1"/>
    <col min="3105" max="3105" width="8.84375" style="784"/>
    <col min="3106" max="3107" width="9.13541666666667" style="784" customWidth="1"/>
    <col min="3108" max="3108" width="2.39583333333333" style="784" customWidth="1"/>
    <col min="3109" max="3109" width="15.28125" style="784" customWidth="1"/>
    <col min="3110" max="3110" width="15.1354166666667" style="784" customWidth="1"/>
    <col min="3111" max="3111" width="20.2291666666667" style="784" customWidth="1"/>
    <col min="3112" max="3112" width="13.3333333333333" style="784" customWidth="1"/>
    <col min="3113" max="3113" width="10.0416666666667" style="784" customWidth="1"/>
    <col min="3114" max="3114" width="13.3333333333333" style="784" customWidth="1"/>
    <col min="3115" max="3329" width="8.84375" style="784"/>
    <col min="3330" max="3330" width="4.9375" style="784" customWidth="1"/>
    <col min="3331" max="3331" width="9.13541666666667" style="784" customWidth="1"/>
    <col min="3332" max="3332" width="10.9375" style="784" customWidth="1"/>
    <col min="3333" max="3333" width="13.9375" style="784" customWidth="1"/>
    <col min="3334" max="3334" width="20.53125" style="784" customWidth="1"/>
    <col min="3335" max="3335" width="17.2291666666667" style="784" customWidth="1"/>
    <col min="3336" max="3336" width="15.5833333333333" style="784" customWidth="1"/>
    <col min="3337" max="3337" width="17.6770833333333" style="784" customWidth="1"/>
    <col min="3338" max="3338" width="19.9270833333333" style="784" customWidth="1"/>
    <col min="3339" max="3339" width="15.1354166666667" style="784" customWidth="1"/>
    <col min="3340" max="3340" width="16.3333333333333" style="784" customWidth="1"/>
    <col min="3341" max="3341" width="15.1354166666667" style="784" customWidth="1"/>
    <col min="3342" max="3342" width="16.3333333333333" style="784" customWidth="1"/>
    <col min="3343" max="3343" width="15.1354166666667" style="784" customWidth="1"/>
    <col min="3344" max="3344" width="16.3333333333333" style="784" customWidth="1"/>
    <col min="3345" max="3345" width="11.0833333333333" style="784" customWidth="1"/>
    <col min="3346" max="3346" width="9.29166666666667" style="784" customWidth="1"/>
    <col min="3347" max="3347" width="13.6354166666667" style="784" customWidth="1"/>
    <col min="3348" max="3348" width="6.89583333333333" style="784" customWidth="1"/>
    <col min="3349" max="3349" width="9.58333333333333" style="784" customWidth="1"/>
    <col min="3350" max="3350" width="14.2395833333333" style="784" customWidth="1"/>
    <col min="3351" max="3352" width="7.64583333333333" style="784" customWidth="1"/>
    <col min="3353" max="3353" width="1.64583333333333" style="784" customWidth="1"/>
    <col min="3354" max="3354" width="25.7708333333333" style="784" customWidth="1"/>
    <col min="3355" max="3355" width="10.6354166666667" style="784" customWidth="1"/>
    <col min="3356" max="3356" width="19.625" style="784" customWidth="1"/>
    <col min="3357" max="3357" width="14.2395833333333" style="784" customWidth="1"/>
    <col min="3358" max="3358" width="8.6875" style="784" customWidth="1"/>
    <col min="3359" max="3359" width="13.3333333333333" style="784" customWidth="1"/>
    <col min="3360" max="3360" width="11.0833333333333" style="784" customWidth="1"/>
    <col min="3361" max="3361" width="8.84375" style="784"/>
    <col min="3362" max="3363" width="9.13541666666667" style="784" customWidth="1"/>
    <col min="3364" max="3364" width="2.39583333333333" style="784" customWidth="1"/>
    <col min="3365" max="3365" width="15.28125" style="784" customWidth="1"/>
    <col min="3366" max="3366" width="15.1354166666667" style="784" customWidth="1"/>
    <col min="3367" max="3367" width="20.2291666666667" style="784" customWidth="1"/>
    <col min="3368" max="3368" width="13.3333333333333" style="784" customWidth="1"/>
    <col min="3369" max="3369" width="10.0416666666667" style="784" customWidth="1"/>
    <col min="3370" max="3370" width="13.3333333333333" style="784" customWidth="1"/>
    <col min="3371" max="3585" width="8.84375" style="784"/>
    <col min="3586" max="3586" width="4.9375" style="784" customWidth="1"/>
    <col min="3587" max="3587" width="9.13541666666667" style="784" customWidth="1"/>
    <col min="3588" max="3588" width="10.9375" style="784" customWidth="1"/>
    <col min="3589" max="3589" width="13.9375" style="784" customWidth="1"/>
    <col min="3590" max="3590" width="20.53125" style="784" customWidth="1"/>
    <col min="3591" max="3591" width="17.2291666666667" style="784" customWidth="1"/>
    <col min="3592" max="3592" width="15.5833333333333" style="784" customWidth="1"/>
    <col min="3593" max="3593" width="17.6770833333333" style="784" customWidth="1"/>
    <col min="3594" max="3594" width="19.9270833333333" style="784" customWidth="1"/>
    <col min="3595" max="3595" width="15.1354166666667" style="784" customWidth="1"/>
    <col min="3596" max="3596" width="16.3333333333333" style="784" customWidth="1"/>
    <col min="3597" max="3597" width="15.1354166666667" style="784" customWidth="1"/>
    <col min="3598" max="3598" width="16.3333333333333" style="784" customWidth="1"/>
    <col min="3599" max="3599" width="15.1354166666667" style="784" customWidth="1"/>
    <col min="3600" max="3600" width="16.3333333333333" style="784" customWidth="1"/>
    <col min="3601" max="3601" width="11.0833333333333" style="784" customWidth="1"/>
    <col min="3602" max="3602" width="9.29166666666667" style="784" customWidth="1"/>
    <col min="3603" max="3603" width="13.6354166666667" style="784" customWidth="1"/>
    <col min="3604" max="3604" width="6.89583333333333" style="784" customWidth="1"/>
    <col min="3605" max="3605" width="9.58333333333333" style="784" customWidth="1"/>
    <col min="3606" max="3606" width="14.2395833333333" style="784" customWidth="1"/>
    <col min="3607" max="3608" width="7.64583333333333" style="784" customWidth="1"/>
    <col min="3609" max="3609" width="1.64583333333333" style="784" customWidth="1"/>
    <col min="3610" max="3610" width="25.7708333333333" style="784" customWidth="1"/>
    <col min="3611" max="3611" width="10.6354166666667" style="784" customWidth="1"/>
    <col min="3612" max="3612" width="19.625" style="784" customWidth="1"/>
    <col min="3613" max="3613" width="14.2395833333333" style="784" customWidth="1"/>
    <col min="3614" max="3614" width="8.6875" style="784" customWidth="1"/>
    <col min="3615" max="3615" width="13.3333333333333" style="784" customWidth="1"/>
    <col min="3616" max="3616" width="11.0833333333333" style="784" customWidth="1"/>
    <col min="3617" max="3617" width="8.84375" style="784"/>
    <col min="3618" max="3619" width="9.13541666666667" style="784" customWidth="1"/>
    <col min="3620" max="3620" width="2.39583333333333" style="784" customWidth="1"/>
    <col min="3621" max="3621" width="15.28125" style="784" customWidth="1"/>
    <col min="3622" max="3622" width="15.1354166666667" style="784" customWidth="1"/>
    <col min="3623" max="3623" width="20.2291666666667" style="784" customWidth="1"/>
    <col min="3624" max="3624" width="13.3333333333333" style="784" customWidth="1"/>
    <col min="3625" max="3625" width="10.0416666666667" style="784" customWidth="1"/>
    <col min="3626" max="3626" width="13.3333333333333" style="784" customWidth="1"/>
    <col min="3627" max="3841" width="8.84375" style="784"/>
    <col min="3842" max="3842" width="4.9375" style="784" customWidth="1"/>
    <col min="3843" max="3843" width="9.13541666666667" style="784" customWidth="1"/>
    <col min="3844" max="3844" width="10.9375" style="784" customWidth="1"/>
    <col min="3845" max="3845" width="13.9375" style="784" customWidth="1"/>
    <col min="3846" max="3846" width="20.53125" style="784" customWidth="1"/>
    <col min="3847" max="3847" width="17.2291666666667" style="784" customWidth="1"/>
    <col min="3848" max="3848" width="15.5833333333333" style="784" customWidth="1"/>
    <col min="3849" max="3849" width="17.6770833333333" style="784" customWidth="1"/>
    <col min="3850" max="3850" width="19.9270833333333" style="784" customWidth="1"/>
    <col min="3851" max="3851" width="15.1354166666667" style="784" customWidth="1"/>
    <col min="3852" max="3852" width="16.3333333333333" style="784" customWidth="1"/>
    <col min="3853" max="3853" width="15.1354166666667" style="784" customWidth="1"/>
    <col min="3854" max="3854" width="16.3333333333333" style="784" customWidth="1"/>
    <col min="3855" max="3855" width="15.1354166666667" style="784" customWidth="1"/>
    <col min="3856" max="3856" width="16.3333333333333" style="784" customWidth="1"/>
    <col min="3857" max="3857" width="11.0833333333333" style="784" customWidth="1"/>
    <col min="3858" max="3858" width="9.29166666666667" style="784" customWidth="1"/>
    <col min="3859" max="3859" width="13.6354166666667" style="784" customWidth="1"/>
    <col min="3860" max="3860" width="6.89583333333333" style="784" customWidth="1"/>
    <col min="3861" max="3861" width="9.58333333333333" style="784" customWidth="1"/>
    <col min="3862" max="3862" width="14.2395833333333" style="784" customWidth="1"/>
    <col min="3863" max="3864" width="7.64583333333333" style="784" customWidth="1"/>
    <col min="3865" max="3865" width="1.64583333333333" style="784" customWidth="1"/>
    <col min="3866" max="3866" width="25.7708333333333" style="784" customWidth="1"/>
    <col min="3867" max="3867" width="10.6354166666667" style="784" customWidth="1"/>
    <col min="3868" max="3868" width="19.625" style="784" customWidth="1"/>
    <col min="3869" max="3869" width="14.2395833333333" style="784" customWidth="1"/>
    <col min="3870" max="3870" width="8.6875" style="784" customWidth="1"/>
    <col min="3871" max="3871" width="13.3333333333333" style="784" customWidth="1"/>
    <col min="3872" max="3872" width="11.0833333333333" style="784" customWidth="1"/>
    <col min="3873" max="3873" width="8.84375" style="784"/>
    <col min="3874" max="3875" width="9.13541666666667" style="784" customWidth="1"/>
    <col min="3876" max="3876" width="2.39583333333333" style="784" customWidth="1"/>
    <col min="3877" max="3877" width="15.28125" style="784" customWidth="1"/>
    <col min="3878" max="3878" width="15.1354166666667" style="784" customWidth="1"/>
    <col min="3879" max="3879" width="20.2291666666667" style="784" customWidth="1"/>
    <col min="3880" max="3880" width="13.3333333333333" style="784" customWidth="1"/>
    <col min="3881" max="3881" width="10.0416666666667" style="784" customWidth="1"/>
    <col min="3882" max="3882" width="13.3333333333333" style="784" customWidth="1"/>
    <col min="3883" max="4097" width="8.84375" style="784"/>
    <col min="4098" max="4098" width="4.9375" style="784" customWidth="1"/>
    <col min="4099" max="4099" width="9.13541666666667" style="784" customWidth="1"/>
    <col min="4100" max="4100" width="10.9375" style="784" customWidth="1"/>
    <col min="4101" max="4101" width="13.9375" style="784" customWidth="1"/>
    <col min="4102" max="4102" width="20.53125" style="784" customWidth="1"/>
    <col min="4103" max="4103" width="17.2291666666667" style="784" customWidth="1"/>
    <col min="4104" max="4104" width="15.5833333333333" style="784" customWidth="1"/>
    <col min="4105" max="4105" width="17.6770833333333" style="784" customWidth="1"/>
    <col min="4106" max="4106" width="19.9270833333333" style="784" customWidth="1"/>
    <col min="4107" max="4107" width="15.1354166666667" style="784" customWidth="1"/>
    <col min="4108" max="4108" width="16.3333333333333" style="784" customWidth="1"/>
    <col min="4109" max="4109" width="15.1354166666667" style="784" customWidth="1"/>
    <col min="4110" max="4110" width="16.3333333333333" style="784" customWidth="1"/>
    <col min="4111" max="4111" width="15.1354166666667" style="784" customWidth="1"/>
    <col min="4112" max="4112" width="16.3333333333333" style="784" customWidth="1"/>
    <col min="4113" max="4113" width="11.0833333333333" style="784" customWidth="1"/>
    <col min="4114" max="4114" width="9.29166666666667" style="784" customWidth="1"/>
    <col min="4115" max="4115" width="13.6354166666667" style="784" customWidth="1"/>
    <col min="4116" max="4116" width="6.89583333333333" style="784" customWidth="1"/>
    <col min="4117" max="4117" width="9.58333333333333" style="784" customWidth="1"/>
    <col min="4118" max="4118" width="14.2395833333333" style="784" customWidth="1"/>
    <col min="4119" max="4120" width="7.64583333333333" style="784" customWidth="1"/>
    <col min="4121" max="4121" width="1.64583333333333" style="784" customWidth="1"/>
    <col min="4122" max="4122" width="25.7708333333333" style="784" customWidth="1"/>
    <col min="4123" max="4123" width="10.6354166666667" style="784" customWidth="1"/>
    <col min="4124" max="4124" width="19.625" style="784" customWidth="1"/>
    <col min="4125" max="4125" width="14.2395833333333" style="784" customWidth="1"/>
    <col min="4126" max="4126" width="8.6875" style="784" customWidth="1"/>
    <col min="4127" max="4127" width="13.3333333333333" style="784" customWidth="1"/>
    <col min="4128" max="4128" width="11.0833333333333" style="784" customWidth="1"/>
    <col min="4129" max="4129" width="8.84375" style="784"/>
    <col min="4130" max="4131" width="9.13541666666667" style="784" customWidth="1"/>
    <col min="4132" max="4132" width="2.39583333333333" style="784" customWidth="1"/>
    <col min="4133" max="4133" width="15.28125" style="784" customWidth="1"/>
    <col min="4134" max="4134" width="15.1354166666667" style="784" customWidth="1"/>
    <col min="4135" max="4135" width="20.2291666666667" style="784" customWidth="1"/>
    <col min="4136" max="4136" width="13.3333333333333" style="784" customWidth="1"/>
    <col min="4137" max="4137" width="10.0416666666667" style="784" customWidth="1"/>
    <col min="4138" max="4138" width="13.3333333333333" style="784" customWidth="1"/>
    <col min="4139" max="4353" width="8.84375" style="784"/>
    <col min="4354" max="4354" width="4.9375" style="784" customWidth="1"/>
    <col min="4355" max="4355" width="9.13541666666667" style="784" customWidth="1"/>
    <col min="4356" max="4356" width="10.9375" style="784" customWidth="1"/>
    <col min="4357" max="4357" width="13.9375" style="784" customWidth="1"/>
    <col min="4358" max="4358" width="20.53125" style="784" customWidth="1"/>
    <col min="4359" max="4359" width="17.2291666666667" style="784" customWidth="1"/>
    <col min="4360" max="4360" width="15.5833333333333" style="784" customWidth="1"/>
    <col min="4361" max="4361" width="17.6770833333333" style="784" customWidth="1"/>
    <col min="4362" max="4362" width="19.9270833333333" style="784" customWidth="1"/>
    <col min="4363" max="4363" width="15.1354166666667" style="784" customWidth="1"/>
    <col min="4364" max="4364" width="16.3333333333333" style="784" customWidth="1"/>
    <col min="4365" max="4365" width="15.1354166666667" style="784" customWidth="1"/>
    <col min="4366" max="4366" width="16.3333333333333" style="784" customWidth="1"/>
    <col min="4367" max="4367" width="15.1354166666667" style="784" customWidth="1"/>
    <col min="4368" max="4368" width="16.3333333333333" style="784" customWidth="1"/>
    <col min="4369" max="4369" width="11.0833333333333" style="784" customWidth="1"/>
    <col min="4370" max="4370" width="9.29166666666667" style="784" customWidth="1"/>
    <col min="4371" max="4371" width="13.6354166666667" style="784" customWidth="1"/>
    <col min="4372" max="4372" width="6.89583333333333" style="784" customWidth="1"/>
    <col min="4373" max="4373" width="9.58333333333333" style="784" customWidth="1"/>
    <col min="4374" max="4374" width="14.2395833333333" style="784" customWidth="1"/>
    <col min="4375" max="4376" width="7.64583333333333" style="784" customWidth="1"/>
    <col min="4377" max="4377" width="1.64583333333333" style="784" customWidth="1"/>
    <col min="4378" max="4378" width="25.7708333333333" style="784" customWidth="1"/>
    <col min="4379" max="4379" width="10.6354166666667" style="784" customWidth="1"/>
    <col min="4380" max="4380" width="19.625" style="784" customWidth="1"/>
    <col min="4381" max="4381" width="14.2395833333333" style="784" customWidth="1"/>
    <col min="4382" max="4382" width="8.6875" style="784" customWidth="1"/>
    <col min="4383" max="4383" width="13.3333333333333" style="784" customWidth="1"/>
    <col min="4384" max="4384" width="11.0833333333333" style="784" customWidth="1"/>
    <col min="4385" max="4385" width="8.84375" style="784"/>
    <col min="4386" max="4387" width="9.13541666666667" style="784" customWidth="1"/>
    <col min="4388" max="4388" width="2.39583333333333" style="784" customWidth="1"/>
    <col min="4389" max="4389" width="15.28125" style="784" customWidth="1"/>
    <col min="4390" max="4390" width="15.1354166666667" style="784" customWidth="1"/>
    <col min="4391" max="4391" width="20.2291666666667" style="784" customWidth="1"/>
    <col min="4392" max="4392" width="13.3333333333333" style="784" customWidth="1"/>
    <col min="4393" max="4393" width="10.0416666666667" style="784" customWidth="1"/>
    <col min="4394" max="4394" width="13.3333333333333" style="784" customWidth="1"/>
    <col min="4395" max="4609" width="8.84375" style="784"/>
    <col min="4610" max="4610" width="4.9375" style="784" customWidth="1"/>
    <col min="4611" max="4611" width="9.13541666666667" style="784" customWidth="1"/>
    <col min="4612" max="4612" width="10.9375" style="784" customWidth="1"/>
    <col min="4613" max="4613" width="13.9375" style="784" customWidth="1"/>
    <col min="4614" max="4614" width="20.53125" style="784" customWidth="1"/>
    <col min="4615" max="4615" width="17.2291666666667" style="784" customWidth="1"/>
    <col min="4616" max="4616" width="15.5833333333333" style="784" customWidth="1"/>
    <col min="4617" max="4617" width="17.6770833333333" style="784" customWidth="1"/>
    <col min="4618" max="4618" width="19.9270833333333" style="784" customWidth="1"/>
    <col min="4619" max="4619" width="15.1354166666667" style="784" customWidth="1"/>
    <col min="4620" max="4620" width="16.3333333333333" style="784" customWidth="1"/>
    <col min="4621" max="4621" width="15.1354166666667" style="784" customWidth="1"/>
    <col min="4622" max="4622" width="16.3333333333333" style="784" customWidth="1"/>
    <col min="4623" max="4623" width="15.1354166666667" style="784" customWidth="1"/>
    <col min="4624" max="4624" width="16.3333333333333" style="784" customWidth="1"/>
    <col min="4625" max="4625" width="11.0833333333333" style="784" customWidth="1"/>
    <col min="4626" max="4626" width="9.29166666666667" style="784" customWidth="1"/>
    <col min="4627" max="4627" width="13.6354166666667" style="784" customWidth="1"/>
    <col min="4628" max="4628" width="6.89583333333333" style="784" customWidth="1"/>
    <col min="4629" max="4629" width="9.58333333333333" style="784" customWidth="1"/>
    <col min="4630" max="4630" width="14.2395833333333" style="784" customWidth="1"/>
    <col min="4631" max="4632" width="7.64583333333333" style="784" customWidth="1"/>
    <col min="4633" max="4633" width="1.64583333333333" style="784" customWidth="1"/>
    <col min="4634" max="4634" width="25.7708333333333" style="784" customWidth="1"/>
    <col min="4635" max="4635" width="10.6354166666667" style="784" customWidth="1"/>
    <col min="4636" max="4636" width="19.625" style="784" customWidth="1"/>
    <col min="4637" max="4637" width="14.2395833333333" style="784" customWidth="1"/>
    <col min="4638" max="4638" width="8.6875" style="784" customWidth="1"/>
    <col min="4639" max="4639" width="13.3333333333333" style="784" customWidth="1"/>
    <col min="4640" max="4640" width="11.0833333333333" style="784" customWidth="1"/>
    <col min="4641" max="4641" width="8.84375" style="784"/>
    <col min="4642" max="4643" width="9.13541666666667" style="784" customWidth="1"/>
    <col min="4644" max="4644" width="2.39583333333333" style="784" customWidth="1"/>
    <col min="4645" max="4645" width="15.28125" style="784" customWidth="1"/>
    <col min="4646" max="4646" width="15.1354166666667" style="784" customWidth="1"/>
    <col min="4647" max="4647" width="20.2291666666667" style="784" customWidth="1"/>
    <col min="4648" max="4648" width="13.3333333333333" style="784" customWidth="1"/>
    <col min="4649" max="4649" width="10.0416666666667" style="784" customWidth="1"/>
    <col min="4650" max="4650" width="13.3333333333333" style="784" customWidth="1"/>
    <col min="4651" max="4865" width="8.84375" style="784"/>
    <col min="4866" max="4866" width="4.9375" style="784" customWidth="1"/>
    <col min="4867" max="4867" width="9.13541666666667" style="784" customWidth="1"/>
    <col min="4868" max="4868" width="10.9375" style="784" customWidth="1"/>
    <col min="4869" max="4869" width="13.9375" style="784" customWidth="1"/>
    <col min="4870" max="4870" width="20.53125" style="784" customWidth="1"/>
    <col min="4871" max="4871" width="17.2291666666667" style="784" customWidth="1"/>
    <col min="4872" max="4872" width="15.5833333333333" style="784" customWidth="1"/>
    <col min="4873" max="4873" width="17.6770833333333" style="784" customWidth="1"/>
    <col min="4874" max="4874" width="19.9270833333333" style="784" customWidth="1"/>
    <col min="4875" max="4875" width="15.1354166666667" style="784" customWidth="1"/>
    <col min="4876" max="4876" width="16.3333333333333" style="784" customWidth="1"/>
    <col min="4877" max="4877" width="15.1354166666667" style="784" customWidth="1"/>
    <col min="4878" max="4878" width="16.3333333333333" style="784" customWidth="1"/>
    <col min="4879" max="4879" width="15.1354166666667" style="784" customWidth="1"/>
    <col min="4880" max="4880" width="16.3333333333333" style="784" customWidth="1"/>
    <col min="4881" max="4881" width="11.0833333333333" style="784" customWidth="1"/>
    <col min="4882" max="4882" width="9.29166666666667" style="784" customWidth="1"/>
    <col min="4883" max="4883" width="13.6354166666667" style="784" customWidth="1"/>
    <col min="4884" max="4884" width="6.89583333333333" style="784" customWidth="1"/>
    <col min="4885" max="4885" width="9.58333333333333" style="784" customWidth="1"/>
    <col min="4886" max="4886" width="14.2395833333333" style="784" customWidth="1"/>
    <col min="4887" max="4888" width="7.64583333333333" style="784" customWidth="1"/>
    <col min="4889" max="4889" width="1.64583333333333" style="784" customWidth="1"/>
    <col min="4890" max="4890" width="25.7708333333333" style="784" customWidth="1"/>
    <col min="4891" max="4891" width="10.6354166666667" style="784" customWidth="1"/>
    <col min="4892" max="4892" width="19.625" style="784" customWidth="1"/>
    <col min="4893" max="4893" width="14.2395833333333" style="784" customWidth="1"/>
    <col min="4894" max="4894" width="8.6875" style="784" customWidth="1"/>
    <col min="4895" max="4895" width="13.3333333333333" style="784" customWidth="1"/>
    <col min="4896" max="4896" width="11.0833333333333" style="784" customWidth="1"/>
    <col min="4897" max="4897" width="8.84375" style="784"/>
    <col min="4898" max="4899" width="9.13541666666667" style="784" customWidth="1"/>
    <col min="4900" max="4900" width="2.39583333333333" style="784" customWidth="1"/>
    <col min="4901" max="4901" width="15.28125" style="784" customWidth="1"/>
    <col min="4902" max="4902" width="15.1354166666667" style="784" customWidth="1"/>
    <col min="4903" max="4903" width="20.2291666666667" style="784" customWidth="1"/>
    <col min="4904" max="4904" width="13.3333333333333" style="784" customWidth="1"/>
    <col min="4905" max="4905" width="10.0416666666667" style="784" customWidth="1"/>
    <col min="4906" max="4906" width="13.3333333333333" style="784" customWidth="1"/>
    <col min="4907" max="5121" width="8.84375" style="784"/>
    <col min="5122" max="5122" width="4.9375" style="784" customWidth="1"/>
    <col min="5123" max="5123" width="9.13541666666667" style="784" customWidth="1"/>
    <col min="5124" max="5124" width="10.9375" style="784" customWidth="1"/>
    <col min="5125" max="5125" width="13.9375" style="784" customWidth="1"/>
    <col min="5126" max="5126" width="20.53125" style="784" customWidth="1"/>
    <col min="5127" max="5127" width="17.2291666666667" style="784" customWidth="1"/>
    <col min="5128" max="5128" width="15.5833333333333" style="784" customWidth="1"/>
    <col min="5129" max="5129" width="17.6770833333333" style="784" customWidth="1"/>
    <col min="5130" max="5130" width="19.9270833333333" style="784" customWidth="1"/>
    <col min="5131" max="5131" width="15.1354166666667" style="784" customWidth="1"/>
    <col min="5132" max="5132" width="16.3333333333333" style="784" customWidth="1"/>
    <col min="5133" max="5133" width="15.1354166666667" style="784" customWidth="1"/>
    <col min="5134" max="5134" width="16.3333333333333" style="784" customWidth="1"/>
    <col min="5135" max="5135" width="15.1354166666667" style="784" customWidth="1"/>
    <col min="5136" max="5136" width="16.3333333333333" style="784" customWidth="1"/>
    <col min="5137" max="5137" width="11.0833333333333" style="784" customWidth="1"/>
    <col min="5138" max="5138" width="9.29166666666667" style="784" customWidth="1"/>
    <col min="5139" max="5139" width="13.6354166666667" style="784" customWidth="1"/>
    <col min="5140" max="5140" width="6.89583333333333" style="784" customWidth="1"/>
    <col min="5141" max="5141" width="9.58333333333333" style="784" customWidth="1"/>
    <col min="5142" max="5142" width="14.2395833333333" style="784" customWidth="1"/>
    <col min="5143" max="5144" width="7.64583333333333" style="784" customWidth="1"/>
    <col min="5145" max="5145" width="1.64583333333333" style="784" customWidth="1"/>
    <col min="5146" max="5146" width="25.7708333333333" style="784" customWidth="1"/>
    <col min="5147" max="5147" width="10.6354166666667" style="784" customWidth="1"/>
    <col min="5148" max="5148" width="19.625" style="784" customWidth="1"/>
    <col min="5149" max="5149" width="14.2395833333333" style="784" customWidth="1"/>
    <col min="5150" max="5150" width="8.6875" style="784" customWidth="1"/>
    <col min="5151" max="5151" width="13.3333333333333" style="784" customWidth="1"/>
    <col min="5152" max="5152" width="11.0833333333333" style="784" customWidth="1"/>
    <col min="5153" max="5153" width="8.84375" style="784"/>
    <col min="5154" max="5155" width="9.13541666666667" style="784" customWidth="1"/>
    <col min="5156" max="5156" width="2.39583333333333" style="784" customWidth="1"/>
    <col min="5157" max="5157" width="15.28125" style="784" customWidth="1"/>
    <col min="5158" max="5158" width="15.1354166666667" style="784" customWidth="1"/>
    <col min="5159" max="5159" width="20.2291666666667" style="784" customWidth="1"/>
    <col min="5160" max="5160" width="13.3333333333333" style="784" customWidth="1"/>
    <col min="5161" max="5161" width="10.0416666666667" style="784" customWidth="1"/>
    <col min="5162" max="5162" width="13.3333333333333" style="784" customWidth="1"/>
    <col min="5163" max="5377" width="8.84375" style="784"/>
    <col min="5378" max="5378" width="4.9375" style="784" customWidth="1"/>
    <col min="5379" max="5379" width="9.13541666666667" style="784" customWidth="1"/>
    <col min="5380" max="5380" width="10.9375" style="784" customWidth="1"/>
    <col min="5381" max="5381" width="13.9375" style="784" customWidth="1"/>
    <col min="5382" max="5382" width="20.53125" style="784" customWidth="1"/>
    <col min="5383" max="5383" width="17.2291666666667" style="784" customWidth="1"/>
    <col min="5384" max="5384" width="15.5833333333333" style="784" customWidth="1"/>
    <col min="5385" max="5385" width="17.6770833333333" style="784" customWidth="1"/>
    <col min="5386" max="5386" width="19.9270833333333" style="784" customWidth="1"/>
    <col min="5387" max="5387" width="15.1354166666667" style="784" customWidth="1"/>
    <col min="5388" max="5388" width="16.3333333333333" style="784" customWidth="1"/>
    <col min="5389" max="5389" width="15.1354166666667" style="784" customWidth="1"/>
    <col min="5390" max="5390" width="16.3333333333333" style="784" customWidth="1"/>
    <col min="5391" max="5391" width="15.1354166666667" style="784" customWidth="1"/>
    <col min="5392" max="5392" width="16.3333333333333" style="784" customWidth="1"/>
    <col min="5393" max="5393" width="11.0833333333333" style="784" customWidth="1"/>
    <col min="5394" max="5394" width="9.29166666666667" style="784" customWidth="1"/>
    <col min="5395" max="5395" width="13.6354166666667" style="784" customWidth="1"/>
    <col min="5396" max="5396" width="6.89583333333333" style="784" customWidth="1"/>
    <col min="5397" max="5397" width="9.58333333333333" style="784" customWidth="1"/>
    <col min="5398" max="5398" width="14.2395833333333" style="784" customWidth="1"/>
    <col min="5399" max="5400" width="7.64583333333333" style="784" customWidth="1"/>
    <col min="5401" max="5401" width="1.64583333333333" style="784" customWidth="1"/>
    <col min="5402" max="5402" width="25.7708333333333" style="784" customWidth="1"/>
    <col min="5403" max="5403" width="10.6354166666667" style="784" customWidth="1"/>
    <col min="5404" max="5404" width="19.625" style="784" customWidth="1"/>
    <col min="5405" max="5405" width="14.2395833333333" style="784" customWidth="1"/>
    <col min="5406" max="5406" width="8.6875" style="784" customWidth="1"/>
    <col min="5407" max="5407" width="13.3333333333333" style="784" customWidth="1"/>
    <col min="5408" max="5408" width="11.0833333333333" style="784" customWidth="1"/>
    <col min="5409" max="5409" width="8.84375" style="784"/>
    <col min="5410" max="5411" width="9.13541666666667" style="784" customWidth="1"/>
    <col min="5412" max="5412" width="2.39583333333333" style="784" customWidth="1"/>
    <col min="5413" max="5413" width="15.28125" style="784" customWidth="1"/>
    <col min="5414" max="5414" width="15.1354166666667" style="784" customWidth="1"/>
    <col min="5415" max="5415" width="20.2291666666667" style="784" customWidth="1"/>
    <col min="5416" max="5416" width="13.3333333333333" style="784" customWidth="1"/>
    <col min="5417" max="5417" width="10.0416666666667" style="784" customWidth="1"/>
    <col min="5418" max="5418" width="13.3333333333333" style="784" customWidth="1"/>
    <col min="5419" max="5633" width="8.84375" style="784"/>
    <col min="5634" max="5634" width="4.9375" style="784" customWidth="1"/>
    <col min="5635" max="5635" width="9.13541666666667" style="784" customWidth="1"/>
    <col min="5636" max="5636" width="10.9375" style="784" customWidth="1"/>
    <col min="5637" max="5637" width="13.9375" style="784" customWidth="1"/>
    <col min="5638" max="5638" width="20.53125" style="784" customWidth="1"/>
    <col min="5639" max="5639" width="17.2291666666667" style="784" customWidth="1"/>
    <col min="5640" max="5640" width="15.5833333333333" style="784" customWidth="1"/>
    <col min="5641" max="5641" width="17.6770833333333" style="784" customWidth="1"/>
    <col min="5642" max="5642" width="19.9270833333333" style="784" customWidth="1"/>
    <col min="5643" max="5643" width="15.1354166666667" style="784" customWidth="1"/>
    <col min="5644" max="5644" width="16.3333333333333" style="784" customWidth="1"/>
    <col min="5645" max="5645" width="15.1354166666667" style="784" customWidth="1"/>
    <col min="5646" max="5646" width="16.3333333333333" style="784" customWidth="1"/>
    <col min="5647" max="5647" width="15.1354166666667" style="784" customWidth="1"/>
    <col min="5648" max="5648" width="16.3333333333333" style="784" customWidth="1"/>
    <col min="5649" max="5649" width="11.0833333333333" style="784" customWidth="1"/>
    <col min="5650" max="5650" width="9.29166666666667" style="784" customWidth="1"/>
    <col min="5651" max="5651" width="13.6354166666667" style="784" customWidth="1"/>
    <col min="5652" max="5652" width="6.89583333333333" style="784" customWidth="1"/>
    <col min="5653" max="5653" width="9.58333333333333" style="784" customWidth="1"/>
    <col min="5654" max="5654" width="14.2395833333333" style="784" customWidth="1"/>
    <col min="5655" max="5656" width="7.64583333333333" style="784" customWidth="1"/>
    <col min="5657" max="5657" width="1.64583333333333" style="784" customWidth="1"/>
    <col min="5658" max="5658" width="25.7708333333333" style="784" customWidth="1"/>
    <col min="5659" max="5659" width="10.6354166666667" style="784" customWidth="1"/>
    <col min="5660" max="5660" width="19.625" style="784" customWidth="1"/>
    <col min="5661" max="5661" width="14.2395833333333" style="784" customWidth="1"/>
    <col min="5662" max="5662" width="8.6875" style="784" customWidth="1"/>
    <col min="5663" max="5663" width="13.3333333333333" style="784" customWidth="1"/>
    <col min="5664" max="5664" width="11.0833333333333" style="784" customWidth="1"/>
    <col min="5665" max="5665" width="8.84375" style="784"/>
    <col min="5666" max="5667" width="9.13541666666667" style="784" customWidth="1"/>
    <col min="5668" max="5668" width="2.39583333333333" style="784" customWidth="1"/>
    <col min="5669" max="5669" width="15.28125" style="784" customWidth="1"/>
    <col min="5670" max="5670" width="15.1354166666667" style="784" customWidth="1"/>
    <col min="5671" max="5671" width="20.2291666666667" style="784" customWidth="1"/>
    <col min="5672" max="5672" width="13.3333333333333" style="784" customWidth="1"/>
    <col min="5673" max="5673" width="10.0416666666667" style="784" customWidth="1"/>
    <col min="5674" max="5674" width="13.3333333333333" style="784" customWidth="1"/>
    <col min="5675" max="5889" width="8.84375" style="784"/>
    <col min="5890" max="5890" width="4.9375" style="784" customWidth="1"/>
    <col min="5891" max="5891" width="9.13541666666667" style="784" customWidth="1"/>
    <col min="5892" max="5892" width="10.9375" style="784" customWidth="1"/>
    <col min="5893" max="5893" width="13.9375" style="784" customWidth="1"/>
    <col min="5894" max="5894" width="20.53125" style="784" customWidth="1"/>
    <col min="5895" max="5895" width="17.2291666666667" style="784" customWidth="1"/>
    <col min="5896" max="5896" width="15.5833333333333" style="784" customWidth="1"/>
    <col min="5897" max="5897" width="17.6770833333333" style="784" customWidth="1"/>
    <col min="5898" max="5898" width="19.9270833333333" style="784" customWidth="1"/>
    <col min="5899" max="5899" width="15.1354166666667" style="784" customWidth="1"/>
    <col min="5900" max="5900" width="16.3333333333333" style="784" customWidth="1"/>
    <col min="5901" max="5901" width="15.1354166666667" style="784" customWidth="1"/>
    <col min="5902" max="5902" width="16.3333333333333" style="784" customWidth="1"/>
    <col min="5903" max="5903" width="15.1354166666667" style="784" customWidth="1"/>
    <col min="5904" max="5904" width="16.3333333333333" style="784" customWidth="1"/>
    <col min="5905" max="5905" width="11.0833333333333" style="784" customWidth="1"/>
    <col min="5906" max="5906" width="9.29166666666667" style="784" customWidth="1"/>
    <col min="5907" max="5907" width="13.6354166666667" style="784" customWidth="1"/>
    <col min="5908" max="5908" width="6.89583333333333" style="784" customWidth="1"/>
    <col min="5909" max="5909" width="9.58333333333333" style="784" customWidth="1"/>
    <col min="5910" max="5910" width="14.2395833333333" style="784" customWidth="1"/>
    <col min="5911" max="5912" width="7.64583333333333" style="784" customWidth="1"/>
    <col min="5913" max="5913" width="1.64583333333333" style="784" customWidth="1"/>
    <col min="5914" max="5914" width="25.7708333333333" style="784" customWidth="1"/>
    <col min="5915" max="5915" width="10.6354166666667" style="784" customWidth="1"/>
    <col min="5916" max="5916" width="19.625" style="784" customWidth="1"/>
    <col min="5917" max="5917" width="14.2395833333333" style="784" customWidth="1"/>
    <col min="5918" max="5918" width="8.6875" style="784" customWidth="1"/>
    <col min="5919" max="5919" width="13.3333333333333" style="784" customWidth="1"/>
    <col min="5920" max="5920" width="11.0833333333333" style="784" customWidth="1"/>
    <col min="5921" max="5921" width="8.84375" style="784"/>
    <col min="5922" max="5923" width="9.13541666666667" style="784" customWidth="1"/>
    <col min="5924" max="5924" width="2.39583333333333" style="784" customWidth="1"/>
    <col min="5925" max="5925" width="15.28125" style="784" customWidth="1"/>
    <col min="5926" max="5926" width="15.1354166666667" style="784" customWidth="1"/>
    <col min="5927" max="5927" width="20.2291666666667" style="784" customWidth="1"/>
    <col min="5928" max="5928" width="13.3333333333333" style="784" customWidth="1"/>
    <col min="5929" max="5929" width="10.0416666666667" style="784" customWidth="1"/>
    <col min="5930" max="5930" width="13.3333333333333" style="784" customWidth="1"/>
    <col min="5931" max="6145" width="8.84375" style="784"/>
    <col min="6146" max="6146" width="4.9375" style="784" customWidth="1"/>
    <col min="6147" max="6147" width="9.13541666666667" style="784" customWidth="1"/>
    <col min="6148" max="6148" width="10.9375" style="784" customWidth="1"/>
    <col min="6149" max="6149" width="13.9375" style="784" customWidth="1"/>
    <col min="6150" max="6150" width="20.53125" style="784" customWidth="1"/>
    <col min="6151" max="6151" width="17.2291666666667" style="784" customWidth="1"/>
    <col min="6152" max="6152" width="15.5833333333333" style="784" customWidth="1"/>
    <col min="6153" max="6153" width="17.6770833333333" style="784" customWidth="1"/>
    <col min="6154" max="6154" width="19.9270833333333" style="784" customWidth="1"/>
    <col min="6155" max="6155" width="15.1354166666667" style="784" customWidth="1"/>
    <col min="6156" max="6156" width="16.3333333333333" style="784" customWidth="1"/>
    <col min="6157" max="6157" width="15.1354166666667" style="784" customWidth="1"/>
    <col min="6158" max="6158" width="16.3333333333333" style="784" customWidth="1"/>
    <col min="6159" max="6159" width="15.1354166666667" style="784" customWidth="1"/>
    <col min="6160" max="6160" width="16.3333333333333" style="784" customWidth="1"/>
    <col min="6161" max="6161" width="11.0833333333333" style="784" customWidth="1"/>
    <col min="6162" max="6162" width="9.29166666666667" style="784" customWidth="1"/>
    <col min="6163" max="6163" width="13.6354166666667" style="784" customWidth="1"/>
    <col min="6164" max="6164" width="6.89583333333333" style="784" customWidth="1"/>
    <col min="6165" max="6165" width="9.58333333333333" style="784" customWidth="1"/>
    <col min="6166" max="6166" width="14.2395833333333" style="784" customWidth="1"/>
    <col min="6167" max="6168" width="7.64583333333333" style="784" customWidth="1"/>
    <col min="6169" max="6169" width="1.64583333333333" style="784" customWidth="1"/>
    <col min="6170" max="6170" width="25.7708333333333" style="784" customWidth="1"/>
    <col min="6171" max="6171" width="10.6354166666667" style="784" customWidth="1"/>
    <col min="6172" max="6172" width="19.625" style="784" customWidth="1"/>
    <col min="6173" max="6173" width="14.2395833333333" style="784" customWidth="1"/>
    <col min="6174" max="6174" width="8.6875" style="784" customWidth="1"/>
    <col min="6175" max="6175" width="13.3333333333333" style="784" customWidth="1"/>
    <col min="6176" max="6176" width="11.0833333333333" style="784" customWidth="1"/>
    <col min="6177" max="6177" width="8.84375" style="784"/>
    <col min="6178" max="6179" width="9.13541666666667" style="784" customWidth="1"/>
    <col min="6180" max="6180" width="2.39583333333333" style="784" customWidth="1"/>
    <col min="6181" max="6181" width="15.28125" style="784" customWidth="1"/>
    <col min="6182" max="6182" width="15.1354166666667" style="784" customWidth="1"/>
    <col min="6183" max="6183" width="20.2291666666667" style="784" customWidth="1"/>
    <col min="6184" max="6184" width="13.3333333333333" style="784" customWidth="1"/>
    <col min="6185" max="6185" width="10.0416666666667" style="784" customWidth="1"/>
    <col min="6186" max="6186" width="13.3333333333333" style="784" customWidth="1"/>
    <col min="6187" max="6401" width="8.84375" style="784"/>
    <col min="6402" max="6402" width="4.9375" style="784" customWidth="1"/>
    <col min="6403" max="6403" width="9.13541666666667" style="784" customWidth="1"/>
    <col min="6404" max="6404" width="10.9375" style="784" customWidth="1"/>
    <col min="6405" max="6405" width="13.9375" style="784" customWidth="1"/>
    <col min="6406" max="6406" width="20.53125" style="784" customWidth="1"/>
    <col min="6407" max="6407" width="17.2291666666667" style="784" customWidth="1"/>
    <col min="6408" max="6408" width="15.5833333333333" style="784" customWidth="1"/>
    <col min="6409" max="6409" width="17.6770833333333" style="784" customWidth="1"/>
    <col min="6410" max="6410" width="19.9270833333333" style="784" customWidth="1"/>
    <col min="6411" max="6411" width="15.1354166666667" style="784" customWidth="1"/>
    <col min="6412" max="6412" width="16.3333333333333" style="784" customWidth="1"/>
    <col min="6413" max="6413" width="15.1354166666667" style="784" customWidth="1"/>
    <col min="6414" max="6414" width="16.3333333333333" style="784" customWidth="1"/>
    <col min="6415" max="6415" width="15.1354166666667" style="784" customWidth="1"/>
    <col min="6416" max="6416" width="16.3333333333333" style="784" customWidth="1"/>
    <col min="6417" max="6417" width="11.0833333333333" style="784" customWidth="1"/>
    <col min="6418" max="6418" width="9.29166666666667" style="784" customWidth="1"/>
    <col min="6419" max="6419" width="13.6354166666667" style="784" customWidth="1"/>
    <col min="6420" max="6420" width="6.89583333333333" style="784" customWidth="1"/>
    <col min="6421" max="6421" width="9.58333333333333" style="784" customWidth="1"/>
    <col min="6422" max="6422" width="14.2395833333333" style="784" customWidth="1"/>
    <col min="6423" max="6424" width="7.64583333333333" style="784" customWidth="1"/>
    <col min="6425" max="6425" width="1.64583333333333" style="784" customWidth="1"/>
    <col min="6426" max="6426" width="25.7708333333333" style="784" customWidth="1"/>
    <col min="6427" max="6427" width="10.6354166666667" style="784" customWidth="1"/>
    <col min="6428" max="6428" width="19.625" style="784" customWidth="1"/>
    <col min="6429" max="6429" width="14.2395833333333" style="784" customWidth="1"/>
    <col min="6430" max="6430" width="8.6875" style="784" customWidth="1"/>
    <col min="6431" max="6431" width="13.3333333333333" style="784" customWidth="1"/>
    <col min="6432" max="6432" width="11.0833333333333" style="784" customWidth="1"/>
    <col min="6433" max="6433" width="8.84375" style="784"/>
    <col min="6434" max="6435" width="9.13541666666667" style="784" customWidth="1"/>
    <col min="6436" max="6436" width="2.39583333333333" style="784" customWidth="1"/>
    <col min="6437" max="6437" width="15.28125" style="784" customWidth="1"/>
    <col min="6438" max="6438" width="15.1354166666667" style="784" customWidth="1"/>
    <col min="6439" max="6439" width="20.2291666666667" style="784" customWidth="1"/>
    <col min="6440" max="6440" width="13.3333333333333" style="784" customWidth="1"/>
    <col min="6441" max="6441" width="10.0416666666667" style="784" customWidth="1"/>
    <col min="6442" max="6442" width="13.3333333333333" style="784" customWidth="1"/>
    <col min="6443" max="6657" width="8.84375" style="784"/>
    <col min="6658" max="6658" width="4.9375" style="784" customWidth="1"/>
    <col min="6659" max="6659" width="9.13541666666667" style="784" customWidth="1"/>
    <col min="6660" max="6660" width="10.9375" style="784" customWidth="1"/>
    <col min="6661" max="6661" width="13.9375" style="784" customWidth="1"/>
    <col min="6662" max="6662" width="20.53125" style="784" customWidth="1"/>
    <col min="6663" max="6663" width="17.2291666666667" style="784" customWidth="1"/>
    <col min="6664" max="6664" width="15.5833333333333" style="784" customWidth="1"/>
    <col min="6665" max="6665" width="17.6770833333333" style="784" customWidth="1"/>
    <col min="6666" max="6666" width="19.9270833333333" style="784" customWidth="1"/>
    <col min="6667" max="6667" width="15.1354166666667" style="784" customWidth="1"/>
    <col min="6668" max="6668" width="16.3333333333333" style="784" customWidth="1"/>
    <col min="6669" max="6669" width="15.1354166666667" style="784" customWidth="1"/>
    <col min="6670" max="6670" width="16.3333333333333" style="784" customWidth="1"/>
    <col min="6671" max="6671" width="15.1354166666667" style="784" customWidth="1"/>
    <col min="6672" max="6672" width="16.3333333333333" style="784" customWidth="1"/>
    <col min="6673" max="6673" width="11.0833333333333" style="784" customWidth="1"/>
    <col min="6674" max="6674" width="9.29166666666667" style="784" customWidth="1"/>
    <col min="6675" max="6675" width="13.6354166666667" style="784" customWidth="1"/>
    <col min="6676" max="6676" width="6.89583333333333" style="784" customWidth="1"/>
    <col min="6677" max="6677" width="9.58333333333333" style="784" customWidth="1"/>
    <col min="6678" max="6678" width="14.2395833333333" style="784" customWidth="1"/>
    <col min="6679" max="6680" width="7.64583333333333" style="784" customWidth="1"/>
    <col min="6681" max="6681" width="1.64583333333333" style="784" customWidth="1"/>
    <col min="6682" max="6682" width="25.7708333333333" style="784" customWidth="1"/>
    <col min="6683" max="6683" width="10.6354166666667" style="784" customWidth="1"/>
    <col min="6684" max="6684" width="19.625" style="784" customWidth="1"/>
    <col min="6685" max="6685" width="14.2395833333333" style="784" customWidth="1"/>
    <col min="6686" max="6686" width="8.6875" style="784" customWidth="1"/>
    <col min="6687" max="6687" width="13.3333333333333" style="784" customWidth="1"/>
    <col min="6688" max="6688" width="11.0833333333333" style="784" customWidth="1"/>
    <col min="6689" max="6689" width="8.84375" style="784"/>
    <col min="6690" max="6691" width="9.13541666666667" style="784" customWidth="1"/>
    <col min="6692" max="6692" width="2.39583333333333" style="784" customWidth="1"/>
    <col min="6693" max="6693" width="15.28125" style="784" customWidth="1"/>
    <col min="6694" max="6694" width="15.1354166666667" style="784" customWidth="1"/>
    <col min="6695" max="6695" width="20.2291666666667" style="784" customWidth="1"/>
    <col min="6696" max="6696" width="13.3333333333333" style="784" customWidth="1"/>
    <col min="6697" max="6697" width="10.0416666666667" style="784" customWidth="1"/>
    <col min="6698" max="6698" width="13.3333333333333" style="784" customWidth="1"/>
    <col min="6699" max="6913" width="8.84375" style="784"/>
    <col min="6914" max="6914" width="4.9375" style="784" customWidth="1"/>
    <col min="6915" max="6915" width="9.13541666666667" style="784" customWidth="1"/>
    <col min="6916" max="6916" width="10.9375" style="784" customWidth="1"/>
    <col min="6917" max="6917" width="13.9375" style="784" customWidth="1"/>
    <col min="6918" max="6918" width="20.53125" style="784" customWidth="1"/>
    <col min="6919" max="6919" width="17.2291666666667" style="784" customWidth="1"/>
    <col min="6920" max="6920" width="15.5833333333333" style="784" customWidth="1"/>
    <col min="6921" max="6921" width="17.6770833333333" style="784" customWidth="1"/>
    <col min="6922" max="6922" width="19.9270833333333" style="784" customWidth="1"/>
    <col min="6923" max="6923" width="15.1354166666667" style="784" customWidth="1"/>
    <col min="6924" max="6924" width="16.3333333333333" style="784" customWidth="1"/>
    <col min="6925" max="6925" width="15.1354166666667" style="784" customWidth="1"/>
    <col min="6926" max="6926" width="16.3333333333333" style="784" customWidth="1"/>
    <col min="6927" max="6927" width="15.1354166666667" style="784" customWidth="1"/>
    <col min="6928" max="6928" width="16.3333333333333" style="784" customWidth="1"/>
    <col min="6929" max="6929" width="11.0833333333333" style="784" customWidth="1"/>
    <col min="6930" max="6930" width="9.29166666666667" style="784" customWidth="1"/>
    <col min="6931" max="6931" width="13.6354166666667" style="784" customWidth="1"/>
    <col min="6932" max="6932" width="6.89583333333333" style="784" customWidth="1"/>
    <col min="6933" max="6933" width="9.58333333333333" style="784" customWidth="1"/>
    <col min="6934" max="6934" width="14.2395833333333" style="784" customWidth="1"/>
    <col min="6935" max="6936" width="7.64583333333333" style="784" customWidth="1"/>
    <col min="6937" max="6937" width="1.64583333333333" style="784" customWidth="1"/>
    <col min="6938" max="6938" width="25.7708333333333" style="784" customWidth="1"/>
    <col min="6939" max="6939" width="10.6354166666667" style="784" customWidth="1"/>
    <col min="6940" max="6940" width="19.625" style="784" customWidth="1"/>
    <col min="6941" max="6941" width="14.2395833333333" style="784" customWidth="1"/>
    <col min="6942" max="6942" width="8.6875" style="784" customWidth="1"/>
    <col min="6943" max="6943" width="13.3333333333333" style="784" customWidth="1"/>
    <col min="6944" max="6944" width="11.0833333333333" style="784" customWidth="1"/>
    <col min="6945" max="6945" width="8.84375" style="784"/>
    <col min="6946" max="6947" width="9.13541666666667" style="784" customWidth="1"/>
    <col min="6948" max="6948" width="2.39583333333333" style="784" customWidth="1"/>
    <col min="6949" max="6949" width="15.28125" style="784" customWidth="1"/>
    <col min="6950" max="6950" width="15.1354166666667" style="784" customWidth="1"/>
    <col min="6951" max="6951" width="20.2291666666667" style="784" customWidth="1"/>
    <col min="6952" max="6952" width="13.3333333333333" style="784" customWidth="1"/>
    <col min="6953" max="6953" width="10.0416666666667" style="784" customWidth="1"/>
    <col min="6954" max="6954" width="13.3333333333333" style="784" customWidth="1"/>
    <col min="6955" max="7169" width="8.84375" style="784"/>
    <col min="7170" max="7170" width="4.9375" style="784" customWidth="1"/>
    <col min="7171" max="7171" width="9.13541666666667" style="784" customWidth="1"/>
    <col min="7172" max="7172" width="10.9375" style="784" customWidth="1"/>
    <col min="7173" max="7173" width="13.9375" style="784" customWidth="1"/>
    <col min="7174" max="7174" width="20.53125" style="784" customWidth="1"/>
    <col min="7175" max="7175" width="17.2291666666667" style="784" customWidth="1"/>
    <col min="7176" max="7176" width="15.5833333333333" style="784" customWidth="1"/>
    <col min="7177" max="7177" width="17.6770833333333" style="784" customWidth="1"/>
    <col min="7178" max="7178" width="19.9270833333333" style="784" customWidth="1"/>
    <col min="7179" max="7179" width="15.1354166666667" style="784" customWidth="1"/>
    <col min="7180" max="7180" width="16.3333333333333" style="784" customWidth="1"/>
    <col min="7181" max="7181" width="15.1354166666667" style="784" customWidth="1"/>
    <col min="7182" max="7182" width="16.3333333333333" style="784" customWidth="1"/>
    <col min="7183" max="7183" width="15.1354166666667" style="784" customWidth="1"/>
    <col min="7184" max="7184" width="16.3333333333333" style="784" customWidth="1"/>
    <col min="7185" max="7185" width="11.0833333333333" style="784" customWidth="1"/>
    <col min="7186" max="7186" width="9.29166666666667" style="784" customWidth="1"/>
    <col min="7187" max="7187" width="13.6354166666667" style="784" customWidth="1"/>
    <col min="7188" max="7188" width="6.89583333333333" style="784" customWidth="1"/>
    <col min="7189" max="7189" width="9.58333333333333" style="784" customWidth="1"/>
    <col min="7190" max="7190" width="14.2395833333333" style="784" customWidth="1"/>
    <col min="7191" max="7192" width="7.64583333333333" style="784" customWidth="1"/>
    <col min="7193" max="7193" width="1.64583333333333" style="784" customWidth="1"/>
    <col min="7194" max="7194" width="25.7708333333333" style="784" customWidth="1"/>
    <col min="7195" max="7195" width="10.6354166666667" style="784" customWidth="1"/>
    <col min="7196" max="7196" width="19.625" style="784" customWidth="1"/>
    <col min="7197" max="7197" width="14.2395833333333" style="784" customWidth="1"/>
    <col min="7198" max="7198" width="8.6875" style="784" customWidth="1"/>
    <col min="7199" max="7199" width="13.3333333333333" style="784" customWidth="1"/>
    <col min="7200" max="7200" width="11.0833333333333" style="784" customWidth="1"/>
    <col min="7201" max="7201" width="8.84375" style="784"/>
    <col min="7202" max="7203" width="9.13541666666667" style="784" customWidth="1"/>
    <col min="7204" max="7204" width="2.39583333333333" style="784" customWidth="1"/>
    <col min="7205" max="7205" width="15.28125" style="784" customWidth="1"/>
    <col min="7206" max="7206" width="15.1354166666667" style="784" customWidth="1"/>
    <col min="7207" max="7207" width="20.2291666666667" style="784" customWidth="1"/>
    <col min="7208" max="7208" width="13.3333333333333" style="784" customWidth="1"/>
    <col min="7209" max="7209" width="10.0416666666667" style="784" customWidth="1"/>
    <col min="7210" max="7210" width="13.3333333333333" style="784" customWidth="1"/>
    <col min="7211" max="7425" width="8.84375" style="784"/>
    <col min="7426" max="7426" width="4.9375" style="784" customWidth="1"/>
    <col min="7427" max="7427" width="9.13541666666667" style="784" customWidth="1"/>
    <col min="7428" max="7428" width="10.9375" style="784" customWidth="1"/>
    <col min="7429" max="7429" width="13.9375" style="784" customWidth="1"/>
    <col min="7430" max="7430" width="20.53125" style="784" customWidth="1"/>
    <col min="7431" max="7431" width="17.2291666666667" style="784" customWidth="1"/>
    <col min="7432" max="7432" width="15.5833333333333" style="784" customWidth="1"/>
    <col min="7433" max="7433" width="17.6770833333333" style="784" customWidth="1"/>
    <col min="7434" max="7434" width="19.9270833333333" style="784" customWidth="1"/>
    <col min="7435" max="7435" width="15.1354166666667" style="784" customWidth="1"/>
    <col min="7436" max="7436" width="16.3333333333333" style="784" customWidth="1"/>
    <col min="7437" max="7437" width="15.1354166666667" style="784" customWidth="1"/>
    <col min="7438" max="7438" width="16.3333333333333" style="784" customWidth="1"/>
    <col min="7439" max="7439" width="15.1354166666667" style="784" customWidth="1"/>
    <col min="7440" max="7440" width="16.3333333333333" style="784" customWidth="1"/>
    <col min="7441" max="7441" width="11.0833333333333" style="784" customWidth="1"/>
    <col min="7442" max="7442" width="9.29166666666667" style="784" customWidth="1"/>
    <col min="7443" max="7443" width="13.6354166666667" style="784" customWidth="1"/>
    <col min="7444" max="7444" width="6.89583333333333" style="784" customWidth="1"/>
    <col min="7445" max="7445" width="9.58333333333333" style="784" customWidth="1"/>
    <col min="7446" max="7446" width="14.2395833333333" style="784" customWidth="1"/>
    <col min="7447" max="7448" width="7.64583333333333" style="784" customWidth="1"/>
    <col min="7449" max="7449" width="1.64583333333333" style="784" customWidth="1"/>
    <col min="7450" max="7450" width="25.7708333333333" style="784" customWidth="1"/>
    <col min="7451" max="7451" width="10.6354166666667" style="784" customWidth="1"/>
    <col min="7452" max="7452" width="19.625" style="784" customWidth="1"/>
    <col min="7453" max="7453" width="14.2395833333333" style="784" customWidth="1"/>
    <col min="7454" max="7454" width="8.6875" style="784" customWidth="1"/>
    <col min="7455" max="7455" width="13.3333333333333" style="784" customWidth="1"/>
    <col min="7456" max="7456" width="11.0833333333333" style="784" customWidth="1"/>
    <col min="7457" max="7457" width="8.84375" style="784"/>
    <col min="7458" max="7459" width="9.13541666666667" style="784" customWidth="1"/>
    <col min="7460" max="7460" width="2.39583333333333" style="784" customWidth="1"/>
    <col min="7461" max="7461" width="15.28125" style="784" customWidth="1"/>
    <col min="7462" max="7462" width="15.1354166666667" style="784" customWidth="1"/>
    <col min="7463" max="7463" width="20.2291666666667" style="784" customWidth="1"/>
    <col min="7464" max="7464" width="13.3333333333333" style="784" customWidth="1"/>
    <col min="7465" max="7465" width="10.0416666666667" style="784" customWidth="1"/>
    <col min="7466" max="7466" width="13.3333333333333" style="784" customWidth="1"/>
    <col min="7467" max="7681" width="8.84375" style="784"/>
    <col min="7682" max="7682" width="4.9375" style="784" customWidth="1"/>
    <col min="7683" max="7683" width="9.13541666666667" style="784" customWidth="1"/>
    <col min="7684" max="7684" width="10.9375" style="784" customWidth="1"/>
    <col min="7685" max="7685" width="13.9375" style="784" customWidth="1"/>
    <col min="7686" max="7686" width="20.53125" style="784" customWidth="1"/>
    <col min="7687" max="7687" width="17.2291666666667" style="784" customWidth="1"/>
    <col min="7688" max="7688" width="15.5833333333333" style="784" customWidth="1"/>
    <col min="7689" max="7689" width="17.6770833333333" style="784" customWidth="1"/>
    <col min="7690" max="7690" width="19.9270833333333" style="784" customWidth="1"/>
    <col min="7691" max="7691" width="15.1354166666667" style="784" customWidth="1"/>
    <col min="7692" max="7692" width="16.3333333333333" style="784" customWidth="1"/>
    <col min="7693" max="7693" width="15.1354166666667" style="784" customWidth="1"/>
    <col min="7694" max="7694" width="16.3333333333333" style="784" customWidth="1"/>
    <col min="7695" max="7695" width="15.1354166666667" style="784" customWidth="1"/>
    <col min="7696" max="7696" width="16.3333333333333" style="784" customWidth="1"/>
    <col min="7697" max="7697" width="11.0833333333333" style="784" customWidth="1"/>
    <col min="7698" max="7698" width="9.29166666666667" style="784" customWidth="1"/>
    <col min="7699" max="7699" width="13.6354166666667" style="784" customWidth="1"/>
    <col min="7700" max="7700" width="6.89583333333333" style="784" customWidth="1"/>
    <col min="7701" max="7701" width="9.58333333333333" style="784" customWidth="1"/>
    <col min="7702" max="7702" width="14.2395833333333" style="784" customWidth="1"/>
    <col min="7703" max="7704" width="7.64583333333333" style="784" customWidth="1"/>
    <col min="7705" max="7705" width="1.64583333333333" style="784" customWidth="1"/>
    <col min="7706" max="7706" width="25.7708333333333" style="784" customWidth="1"/>
    <col min="7707" max="7707" width="10.6354166666667" style="784" customWidth="1"/>
    <col min="7708" max="7708" width="19.625" style="784" customWidth="1"/>
    <col min="7709" max="7709" width="14.2395833333333" style="784" customWidth="1"/>
    <col min="7710" max="7710" width="8.6875" style="784" customWidth="1"/>
    <col min="7711" max="7711" width="13.3333333333333" style="784" customWidth="1"/>
    <col min="7712" max="7712" width="11.0833333333333" style="784" customWidth="1"/>
    <col min="7713" max="7713" width="8.84375" style="784"/>
    <col min="7714" max="7715" width="9.13541666666667" style="784" customWidth="1"/>
    <col min="7716" max="7716" width="2.39583333333333" style="784" customWidth="1"/>
    <col min="7717" max="7717" width="15.28125" style="784" customWidth="1"/>
    <col min="7718" max="7718" width="15.1354166666667" style="784" customWidth="1"/>
    <col min="7719" max="7719" width="20.2291666666667" style="784" customWidth="1"/>
    <col min="7720" max="7720" width="13.3333333333333" style="784" customWidth="1"/>
    <col min="7721" max="7721" width="10.0416666666667" style="784" customWidth="1"/>
    <col min="7722" max="7722" width="13.3333333333333" style="784" customWidth="1"/>
    <col min="7723" max="7937" width="8.84375" style="784"/>
    <col min="7938" max="7938" width="4.9375" style="784" customWidth="1"/>
    <col min="7939" max="7939" width="9.13541666666667" style="784" customWidth="1"/>
    <col min="7940" max="7940" width="10.9375" style="784" customWidth="1"/>
    <col min="7941" max="7941" width="13.9375" style="784" customWidth="1"/>
    <col min="7942" max="7942" width="20.53125" style="784" customWidth="1"/>
    <col min="7943" max="7943" width="17.2291666666667" style="784" customWidth="1"/>
    <col min="7944" max="7944" width="15.5833333333333" style="784" customWidth="1"/>
    <col min="7945" max="7945" width="17.6770833333333" style="784" customWidth="1"/>
    <col min="7946" max="7946" width="19.9270833333333" style="784" customWidth="1"/>
    <col min="7947" max="7947" width="15.1354166666667" style="784" customWidth="1"/>
    <col min="7948" max="7948" width="16.3333333333333" style="784" customWidth="1"/>
    <col min="7949" max="7949" width="15.1354166666667" style="784" customWidth="1"/>
    <col min="7950" max="7950" width="16.3333333333333" style="784" customWidth="1"/>
    <col min="7951" max="7951" width="15.1354166666667" style="784" customWidth="1"/>
    <col min="7952" max="7952" width="16.3333333333333" style="784" customWidth="1"/>
    <col min="7953" max="7953" width="11.0833333333333" style="784" customWidth="1"/>
    <col min="7954" max="7954" width="9.29166666666667" style="784" customWidth="1"/>
    <col min="7955" max="7955" width="13.6354166666667" style="784" customWidth="1"/>
    <col min="7956" max="7956" width="6.89583333333333" style="784" customWidth="1"/>
    <col min="7957" max="7957" width="9.58333333333333" style="784" customWidth="1"/>
    <col min="7958" max="7958" width="14.2395833333333" style="784" customWidth="1"/>
    <col min="7959" max="7960" width="7.64583333333333" style="784" customWidth="1"/>
    <col min="7961" max="7961" width="1.64583333333333" style="784" customWidth="1"/>
    <col min="7962" max="7962" width="25.7708333333333" style="784" customWidth="1"/>
    <col min="7963" max="7963" width="10.6354166666667" style="784" customWidth="1"/>
    <col min="7964" max="7964" width="19.625" style="784" customWidth="1"/>
    <col min="7965" max="7965" width="14.2395833333333" style="784" customWidth="1"/>
    <col min="7966" max="7966" width="8.6875" style="784" customWidth="1"/>
    <col min="7967" max="7967" width="13.3333333333333" style="784" customWidth="1"/>
    <col min="7968" max="7968" width="11.0833333333333" style="784" customWidth="1"/>
    <col min="7969" max="7969" width="8.84375" style="784"/>
    <col min="7970" max="7971" width="9.13541666666667" style="784" customWidth="1"/>
    <col min="7972" max="7972" width="2.39583333333333" style="784" customWidth="1"/>
    <col min="7973" max="7973" width="15.28125" style="784" customWidth="1"/>
    <col min="7974" max="7974" width="15.1354166666667" style="784" customWidth="1"/>
    <col min="7975" max="7975" width="20.2291666666667" style="784" customWidth="1"/>
    <col min="7976" max="7976" width="13.3333333333333" style="784" customWidth="1"/>
    <col min="7977" max="7977" width="10.0416666666667" style="784" customWidth="1"/>
    <col min="7978" max="7978" width="13.3333333333333" style="784" customWidth="1"/>
    <col min="7979" max="8193" width="8.84375" style="784"/>
    <col min="8194" max="8194" width="4.9375" style="784" customWidth="1"/>
    <col min="8195" max="8195" width="9.13541666666667" style="784" customWidth="1"/>
    <col min="8196" max="8196" width="10.9375" style="784" customWidth="1"/>
    <col min="8197" max="8197" width="13.9375" style="784" customWidth="1"/>
    <col min="8198" max="8198" width="20.53125" style="784" customWidth="1"/>
    <col min="8199" max="8199" width="17.2291666666667" style="784" customWidth="1"/>
    <col min="8200" max="8200" width="15.5833333333333" style="784" customWidth="1"/>
    <col min="8201" max="8201" width="17.6770833333333" style="784" customWidth="1"/>
    <col min="8202" max="8202" width="19.9270833333333" style="784" customWidth="1"/>
    <col min="8203" max="8203" width="15.1354166666667" style="784" customWidth="1"/>
    <col min="8204" max="8204" width="16.3333333333333" style="784" customWidth="1"/>
    <col min="8205" max="8205" width="15.1354166666667" style="784" customWidth="1"/>
    <col min="8206" max="8206" width="16.3333333333333" style="784" customWidth="1"/>
    <col min="8207" max="8207" width="15.1354166666667" style="784" customWidth="1"/>
    <col min="8208" max="8208" width="16.3333333333333" style="784" customWidth="1"/>
    <col min="8209" max="8209" width="11.0833333333333" style="784" customWidth="1"/>
    <col min="8210" max="8210" width="9.29166666666667" style="784" customWidth="1"/>
    <col min="8211" max="8211" width="13.6354166666667" style="784" customWidth="1"/>
    <col min="8212" max="8212" width="6.89583333333333" style="784" customWidth="1"/>
    <col min="8213" max="8213" width="9.58333333333333" style="784" customWidth="1"/>
    <col min="8214" max="8214" width="14.2395833333333" style="784" customWidth="1"/>
    <col min="8215" max="8216" width="7.64583333333333" style="784" customWidth="1"/>
    <col min="8217" max="8217" width="1.64583333333333" style="784" customWidth="1"/>
    <col min="8218" max="8218" width="25.7708333333333" style="784" customWidth="1"/>
    <col min="8219" max="8219" width="10.6354166666667" style="784" customWidth="1"/>
    <col min="8220" max="8220" width="19.625" style="784" customWidth="1"/>
    <col min="8221" max="8221" width="14.2395833333333" style="784" customWidth="1"/>
    <col min="8222" max="8222" width="8.6875" style="784" customWidth="1"/>
    <col min="8223" max="8223" width="13.3333333333333" style="784" customWidth="1"/>
    <col min="8224" max="8224" width="11.0833333333333" style="784" customWidth="1"/>
    <col min="8225" max="8225" width="8.84375" style="784"/>
    <col min="8226" max="8227" width="9.13541666666667" style="784" customWidth="1"/>
    <col min="8228" max="8228" width="2.39583333333333" style="784" customWidth="1"/>
    <col min="8229" max="8229" width="15.28125" style="784" customWidth="1"/>
    <col min="8230" max="8230" width="15.1354166666667" style="784" customWidth="1"/>
    <col min="8231" max="8231" width="20.2291666666667" style="784" customWidth="1"/>
    <col min="8232" max="8232" width="13.3333333333333" style="784" customWidth="1"/>
    <col min="8233" max="8233" width="10.0416666666667" style="784" customWidth="1"/>
    <col min="8234" max="8234" width="13.3333333333333" style="784" customWidth="1"/>
    <col min="8235" max="8449" width="8.84375" style="784"/>
    <col min="8450" max="8450" width="4.9375" style="784" customWidth="1"/>
    <col min="8451" max="8451" width="9.13541666666667" style="784" customWidth="1"/>
    <col min="8452" max="8452" width="10.9375" style="784" customWidth="1"/>
    <col min="8453" max="8453" width="13.9375" style="784" customWidth="1"/>
    <col min="8454" max="8454" width="20.53125" style="784" customWidth="1"/>
    <col min="8455" max="8455" width="17.2291666666667" style="784" customWidth="1"/>
    <col min="8456" max="8456" width="15.5833333333333" style="784" customWidth="1"/>
    <col min="8457" max="8457" width="17.6770833333333" style="784" customWidth="1"/>
    <col min="8458" max="8458" width="19.9270833333333" style="784" customWidth="1"/>
    <col min="8459" max="8459" width="15.1354166666667" style="784" customWidth="1"/>
    <col min="8460" max="8460" width="16.3333333333333" style="784" customWidth="1"/>
    <col min="8461" max="8461" width="15.1354166666667" style="784" customWidth="1"/>
    <col min="8462" max="8462" width="16.3333333333333" style="784" customWidth="1"/>
    <col min="8463" max="8463" width="15.1354166666667" style="784" customWidth="1"/>
    <col min="8464" max="8464" width="16.3333333333333" style="784" customWidth="1"/>
    <col min="8465" max="8465" width="11.0833333333333" style="784" customWidth="1"/>
    <col min="8466" max="8466" width="9.29166666666667" style="784" customWidth="1"/>
    <col min="8467" max="8467" width="13.6354166666667" style="784" customWidth="1"/>
    <col min="8468" max="8468" width="6.89583333333333" style="784" customWidth="1"/>
    <col min="8469" max="8469" width="9.58333333333333" style="784" customWidth="1"/>
    <col min="8470" max="8470" width="14.2395833333333" style="784" customWidth="1"/>
    <col min="8471" max="8472" width="7.64583333333333" style="784" customWidth="1"/>
    <col min="8473" max="8473" width="1.64583333333333" style="784" customWidth="1"/>
    <col min="8474" max="8474" width="25.7708333333333" style="784" customWidth="1"/>
    <col min="8475" max="8475" width="10.6354166666667" style="784" customWidth="1"/>
    <col min="8476" max="8476" width="19.625" style="784" customWidth="1"/>
    <col min="8477" max="8477" width="14.2395833333333" style="784" customWidth="1"/>
    <col min="8478" max="8478" width="8.6875" style="784" customWidth="1"/>
    <col min="8479" max="8479" width="13.3333333333333" style="784" customWidth="1"/>
    <col min="8480" max="8480" width="11.0833333333333" style="784" customWidth="1"/>
    <col min="8481" max="8481" width="8.84375" style="784"/>
    <col min="8482" max="8483" width="9.13541666666667" style="784" customWidth="1"/>
    <col min="8484" max="8484" width="2.39583333333333" style="784" customWidth="1"/>
    <col min="8485" max="8485" width="15.28125" style="784" customWidth="1"/>
    <col min="8486" max="8486" width="15.1354166666667" style="784" customWidth="1"/>
    <col min="8487" max="8487" width="20.2291666666667" style="784" customWidth="1"/>
    <col min="8488" max="8488" width="13.3333333333333" style="784" customWidth="1"/>
    <col min="8489" max="8489" width="10.0416666666667" style="784" customWidth="1"/>
    <col min="8490" max="8490" width="13.3333333333333" style="784" customWidth="1"/>
    <col min="8491" max="8705" width="8.84375" style="784"/>
    <col min="8706" max="8706" width="4.9375" style="784" customWidth="1"/>
    <col min="8707" max="8707" width="9.13541666666667" style="784" customWidth="1"/>
    <col min="8708" max="8708" width="10.9375" style="784" customWidth="1"/>
    <col min="8709" max="8709" width="13.9375" style="784" customWidth="1"/>
    <col min="8710" max="8710" width="20.53125" style="784" customWidth="1"/>
    <col min="8711" max="8711" width="17.2291666666667" style="784" customWidth="1"/>
    <col min="8712" max="8712" width="15.5833333333333" style="784" customWidth="1"/>
    <col min="8713" max="8713" width="17.6770833333333" style="784" customWidth="1"/>
    <col min="8714" max="8714" width="19.9270833333333" style="784" customWidth="1"/>
    <col min="8715" max="8715" width="15.1354166666667" style="784" customWidth="1"/>
    <col min="8716" max="8716" width="16.3333333333333" style="784" customWidth="1"/>
    <col min="8717" max="8717" width="15.1354166666667" style="784" customWidth="1"/>
    <col min="8718" max="8718" width="16.3333333333333" style="784" customWidth="1"/>
    <col min="8719" max="8719" width="15.1354166666667" style="784" customWidth="1"/>
    <col min="8720" max="8720" width="16.3333333333333" style="784" customWidth="1"/>
    <col min="8721" max="8721" width="11.0833333333333" style="784" customWidth="1"/>
    <col min="8722" max="8722" width="9.29166666666667" style="784" customWidth="1"/>
    <col min="8723" max="8723" width="13.6354166666667" style="784" customWidth="1"/>
    <col min="8724" max="8724" width="6.89583333333333" style="784" customWidth="1"/>
    <col min="8725" max="8725" width="9.58333333333333" style="784" customWidth="1"/>
    <col min="8726" max="8726" width="14.2395833333333" style="784" customWidth="1"/>
    <col min="8727" max="8728" width="7.64583333333333" style="784" customWidth="1"/>
    <col min="8729" max="8729" width="1.64583333333333" style="784" customWidth="1"/>
    <col min="8730" max="8730" width="25.7708333333333" style="784" customWidth="1"/>
    <col min="8731" max="8731" width="10.6354166666667" style="784" customWidth="1"/>
    <col min="8732" max="8732" width="19.625" style="784" customWidth="1"/>
    <col min="8733" max="8733" width="14.2395833333333" style="784" customWidth="1"/>
    <col min="8734" max="8734" width="8.6875" style="784" customWidth="1"/>
    <col min="8735" max="8735" width="13.3333333333333" style="784" customWidth="1"/>
    <col min="8736" max="8736" width="11.0833333333333" style="784" customWidth="1"/>
    <col min="8737" max="8737" width="8.84375" style="784"/>
    <col min="8738" max="8739" width="9.13541666666667" style="784" customWidth="1"/>
    <col min="8740" max="8740" width="2.39583333333333" style="784" customWidth="1"/>
    <col min="8741" max="8741" width="15.28125" style="784" customWidth="1"/>
    <col min="8742" max="8742" width="15.1354166666667" style="784" customWidth="1"/>
    <col min="8743" max="8743" width="20.2291666666667" style="784" customWidth="1"/>
    <col min="8744" max="8744" width="13.3333333333333" style="784" customWidth="1"/>
    <col min="8745" max="8745" width="10.0416666666667" style="784" customWidth="1"/>
    <col min="8746" max="8746" width="13.3333333333333" style="784" customWidth="1"/>
    <col min="8747" max="8961" width="8.84375" style="784"/>
    <col min="8962" max="8962" width="4.9375" style="784" customWidth="1"/>
    <col min="8963" max="8963" width="9.13541666666667" style="784" customWidth="1"/>
    <col min="8964" max="8964" width="10.9375" style="784" customWidth="1"/>
    <col min="8965" max="8965" width="13.9375" style="784" customWidth="1"/>
    <col min="8966" max="8966" width="20.53125" style="784" customWidth="1"/>
    <col min="8967" max="8967" width="17.2291666666667" style="784" customWidth="1"/>
    <col min="8968" max="8968" width="15.5833333333333" style="784" customWidth="1"/>
    <col min="8969" max="8969" width="17.6770833333333" style="784" customWidth="1"/>
    <col min="8970" max="8970" width="19.9270833333333" style="784" customWidth="1"/>
    <col min="8971" max="8971" width="15.1354166666667" style="784" customWidth="1"/>
    <col min="8972" max="8972" width="16.3333333333333" style="784" customWidth="1"/>
    <col min="8973" max="8973" width="15.1354166666667" style="784" customWidth="1"/>
    <col min="8974" max="8974" width="16.3333333333333" style="784" customWidth="1"/>
    <col min="8975" max="8975" width="15.1354166666667" style="784" customWidth="1"/>
    <col min="8976" max="8976" width="16.3333333333333" style="784" customWidth="1"/>
    <col min="8977" max="8977" width="11.0833333333333" style="784" customWidth="1"/>
    <col min="8978" max="8978" width="9.29166666666667" style="784" customWidth="1"/>
    <col min="8979" max="8979" width="13.6354166666667" style="784" customWidth="1"/>
    <col min="8980" max="8980" width="6.89583333333333" style="784" customWidth="1"/>
    <col min="8981" max="8981" width="9.58333333333333" style="784" customWidth="1"/>
    <col min="8982" max="8982" width="14.2395833333333" style="784" customWidth="1"/>
    <col min="8983" max="8984" width="7.64583333333333" style="784" customWidth="1"/>
    <col min="8985" max="8985" width="1.64583333333333" style="784" customWidth="1"/>
    <col min="8986" max="8986" width="25.7708333333333" style="784" customWidth="1"/>
    <col min="8987" max="8987" width="10.6354166666667" style="784" customWidth="1"/>
    <col min="8988" max="8988" width="19.625" style="784" customWidth="1"/>
    <col min="8989" max="8989" width="14.2395833333333" style="784" customWidth="1"/>
    <col min="8990" max="8990" width="8.6875" style="784" customWidth="1"/>
    <col min="8991" max="8991" width="13.3333333333333" style="784" customWidth="1"/>
    <col min="8992" max="8992" width="11.0833333333333" style="784" customWidth="1"/>
    <col min="8993" max="8993" width="8.84375" style="784"/>
    <col min="8994" max="8995" width="9.13541666666667" style="784" customWidth="1"/>
    <col min="8996" max="8996" width="2.39583333333333" style="784" customWidth="1"/>
    <col min="8997" max="8997" width="15.28125" style="784" customWidth="1"/>
    <col min="8998" max="8998" width="15.1354166666667" style="784" customWidth="1"/>
    <col min="8999" max="8999" width="20.2291666666667" style="784" customWidth="1"/>
    <col min="9000" max="9000" width="13.3333333333333" style="784" customWidth="1"/>
    <col min="9001" max="9001" width="10.0416666666667" style="784" customWidth="1"/>
    <col min="9002" max="9002" width="13.3333333333333" style="784" customWidth="1"/>
    <col min="9003" max="9217" width="8.84375" style="784"/>
    <col min="9218" max="9218" width="4.9375" style="784" customWidth="1"/>
    <col min="9219" max="9219" width="9.13541666666667" style="784" customWidth="1"/>
    <col min="9220" max="9220" width="10.9375" style="784" customWidth="1"/>
    <col min="9221" max="9221" width="13.9375" style="784" customWidth="1"/>
    <col min="9222" max="9222" width="20.53125" style="784" customWidth="1"/>
    <col min="9223" max="9223" width="17.2291666666667" style="784" customWidth="1"/>
    <col min="9224" max="9224" width="15.5833333333333" style="784" customWidth="1"/>
    <col min="9225" max="9225" width="17.6770833333333" style="784" customWidth="1"/>
    <col min="9226" max="9226" width="19.9270833333333" style="784" customWidth="1"/>
    <col min="9227" max="9227" width="15.1354166666667" style="784" customWidth="1"/>
    <col min="9228" max="9228" width="16.3333333333333" style="784" customWidth="1"/>
    <col min="9229" max="9229" width="15.1354166666667" style="784" customWidth="1"/>
    <col min="9230" max="9230" width="16.3333333333333" style="784" customWidth="1"/>
    <col min="9231" max="9231" width="15.1354166666667" style="784" customWidth="1"/>
    <col min="9232" max="9232" width="16.3333333333333" style="784" customWidth="1"/>
    <col min="9233" max="9233" width="11.0833333333333" style="784" customWidth="1"/>
    <col min="9234" max="9234" width="9.29166666666667" style="784" customWidth="1"/>
    <col min="9235" max="9235" width="13.6354166666667" style="784" customWidth="1"/>
    <col min="9236" max="9236" width="6.89583333333333" style="784" customWidth="1"/>
    <col min="9237" max="9237" width="9.58333333333333" style="784" customWidth="1"/>
    <col min="9238" max="9238" width="14.2395833333333" style="784" customWidth="1"/>
    <col min="9239" max="9240" width="7.64583333333333" style="784" customWidth="1"/>
    <col min="9241" max="9241" width="1.64583333333333" style="784" customWidth="1"/>
    <col min="9242" max="9242" width="25.7708333333333" style="784" customWidth="1"/>
    <col min="9243" max="9243" width="10.6354166666667" style="784" customWidth="1"/>
    <col min="9244" max="9244" width="19.625" style="784" customWidth="1"/>
    <col min="9245" max="9245" width="14.2395833333333" style="784" customWidth="1"/>
    <col min="9246" max="9246" width="8.6875" style="784" customWidth="1"/>
    <col min="9247" max="9247" width="13.3333333333333" style="784" customWidth="1"/>
    <col min="9248" max="9248" width="11.0833333333333" style="784" customWidth="1"/>
    <col min="9249" max="9249" width="8.84375" style="784"/>
    <col min="9250" max="9251" width="9.13541666666667" style="784" customWidth="1"/>
    <col min="9252" max="9252" width="2.39583333333333" style="784" customWidth="1"/>
    <col min="9253" max="9253" width="15.28125" style="784" customWidth="1"/>
    <col min="9254" max="9254" width="15.1354166666667" style="784" customWidth="1"/>
    <col min="9255" max="9255" width="20.2291666666667" style="784" customWidth="1"/>
    <col min="9256" max="9256" width="13.3333333333333" style="784" customWidth="1"/>
    <col min="9257" max="9257" width="10.0416666666667" style="784" customWidth="1"/>
    <col min="9258" max="9258" width="13.3333333333333" style="784" customWidth="1"/>
    <col min="9259" max="9473" width="8.84375" style="784"/>
    <col min="9474" max="9474" width="4.9375" style="784" customWidth="1"/>
    <col min="9475" max="9475" width="9.13541666666667" style="784" customWidth="1"/>
    <col min="9476" max="9476" width="10.9375" style="784" customWidth="1"/>
    <col min="9477" max="9477" width="13.9375" style="784" customWidth="1"/>
    <col min="9478" max="9478" width="20.53125" style="784" customWidth="1"/>
    <col min="9479" max="9479" width="17.2291666666667" style="784" customWidth="1"/>
    <col min="9480" max="9480" width="15.5833333333333" style="784" customWidth="1"/>
    <col min="9481" max="9481" width="17.6770833333333" style="784" customWidth="1"/>
    <col min="9482" max="9482" width="19.9270833333333" style="784" customWidth="1"/>
    <col min="9483" max="9483" width="15.1354166666667" style="784" customWidth="1"/>
    <col min="9484" max="9484" width="16.3333333333333" style="784" customWidth="1"/>
    <col min="9485" max="9485" width="15.1354166666667" style="784" customWidth="1"/>
    <col min="9486" max="9486" width="16.3333333333333" style="784" customWidth="1"/>
    <col min="9487" max="9487" width="15.1354166666667" style="784" customWidth="1"/>
    <col min="9488" max="9488" width="16.3333333333333" style="784" customWidth="1"/>
    <col min="9489" max="9489" width="11.0833333333333" style="784" customWidth="1"/>
    <col min="9490" max="9490" width="9.29166666666667" style="784" customWidth="1"/>
    <col min="9491" max="9491" width="13.6354166666667" style="784" customWidth="1"/>
    <col min="9492" max="9492" width="6.89583333333333" style="784" customWidth="1"/>
    <col min="9493" max="9493" width="9.58333333333333" style="784" customWidth="1"/>
    <col min="9494" max="9494" width="14.2395833333333" style="784" customWidth="1"/>
    <col min="9495" max="9496" width="7.64583333333333" style="784" customWidth="1"/>
    <col min="9497" max="9497" width="1.64583333333333" style="784" customWidth="1"/>
    <col min="9498" max="9498" width="25.7708333333333" style="784" customWidth="1"/>
    <col min="9499" max="9499" width="10.6354166666667" style="784" customWidth="1"/>
    <col min="9500" max="9500" width="19.625" style="784" customWidth="1"/>
    <col min="9501" max="9501" width="14.2395833333333" style="784" customWidth="1"/>
    <col min="9502" max="9502" width="8.6875" style="784" customWidth="1"/>
    <col min="9503" max="9503" width="13.3333333333333" style="784" customWidth="1"/>
    <col min="9504" max="9504" width="11.0833333333333" style="784" customWidth="1"/>
    <col min="9505" max="9505" width="8.84375" style="784"/>
    <col min="9506" max="9507" width="9.13541666666667" style="784" customWidth="1"/>
    <col min="9508" max="9508" width="2.39583333333333" style="784" customWidth="1"/>
    <col min="9509" max="9509" width="15.28125" style="784" customWidth="1"/>
    <col min="9510" max="9510" width="15.1354166666667" style="784" customWidth="1"/>
    <col min="9511" max="9511" width="20.2291666666667" style="784" customWidth="1"/>
    <col min="9512" max="9512" width="13.3333333333333" style="784" customWidth="1"/>
    <col min="9513" max="9513" width="10.0416666666667" style="784" customWidth="1"/>
    <col min="9514" max="9514" width="13.3333333333333" style="784" customWidth="1"/>
    <col min="9515" max="9729" width="8.84375" style="784"/>
    <col min="9730" max="9730" width="4.9375" style="784" customWidth="1"/>
    <col min="9731" max="9731" width="9.13541666666667" style="784" customWidth="1"/>
    <col min="9732" max="9732" width="10.9375" style="784" customWidth="1"/>
    <col min="9733" max="9733" width="13.9375" style="784" customWidth="1"/>
    <col min="9734" max="9734" width="20.53125" style="784" customWidth="1"/>
    <col min="9735" max="9735" width="17.2291666666667" style="784" customWidth="1"/>
    <col min="9736" max="9736" width="15.5833333333333" style="784" customWidth="1"/>
    <col min="9737" max="9737" width="17.6770833333333" style="784" customWidth="1"/>
    <col min="9738" max="9738" width="19.9270833333333" style="784" customWidth="1"/>
    <col min="9739" max="9739" width="15.1354166666667" style="784" customWidth="1"/>
    <col min="9740" max="9740" width="16.3333333333333" style="784" customWidth="1"/>
    <col min="9741" max="9741" width="15.1354166666667" style="784" customWidth="1"/>
    <col min="9742" max="9742" width="16.3333333333333" style="784" customWidth="1"/>
    <col min="9743" max="9743" width="15.1354166666667" style="784" customWidth="1"/>
    <col min="9744" max="9744" width="16.3333333333333" style="784" customWidth="1"/>
    <col min="9745" max="9745" width="11.0833333333333" style="784" customWidth="1"/>
    <col min="9746" max="9746" width="9.29166666666667" style="784" customWidth="1"/>
    <col min="9747" max="9747" width="13.6354166666667" style="784" customWidth="1"/>
    <col min="9748" max="9748" width="6.89583333333333" style="784" customWidth="1"/>
    <col min="9749" max="9749" width="9.58333333333333" style="784" customWidth="1"/>
    <col min="9750" max="9750" width="14.2395833333333" style="784" customWidth="1"/>
    <col min="9751" max="9752" width="7.64583333333333" style="784" customWidth="1"/>
    <col min="9753" max="9753" width="1.64583333333333" style="784" customWidth="1"/>
    <col min="9754" max="9754" width="25.7708333333333" style="784" customWidth="1"/>
    <col min="9755" max="9755" width="10.6354166666667" style="784" customWidth="1"/>
    <col min="9756" max="9756" width="19.625" style="784" customWidth="1"/>
    <col min="9757" max="9757" width="14.2395833333333" style="784" customWidth="1"/>
    <col min="9758" max="9758" width="8.6875" style="784" customWidth="1"/>
    <col min="9759" max="9759" width="13.3333333333333" style="784" customWidth="1"/>
    <col min="9760" max="9760" width="11.0833333333333" style="784" customWidth="1"/>
    <col min="9761" max="9761" width="8.84375" style="784"/>
    <col min="9762" max="9763" width="9.13541666666667" style="784" customWidth="1"/>
    <col min="9764" max="9764" width="2.39583333333333" style="784" customWidth="1"/>
    <col min="9765" max="9765" width="15.28125" style="784" customWidth="1"/>
    <col min="9766" max="9766" width="15.1354166666667" style="784" customWidth="1"/>
    <col min="9767" max="9767" width="20.2291666666667" style="784" customWidth="1"/>
    <col min="9768" max="9768" width="13.3333333333333" style="784" customWidth="1"/>
    <col min="9769" max="9769" width="10.0416666666667" style="784" customWidth="1"/>
    <col min="9770" max="9770" width="13.3333333333333" style="784" customWidth="1"/>
    <col min="9771" max="9985" width="8.84375" style="784"/>
    <col min="9986" max="9986" width="4.9375" style="784" customWidth="1"/>
    <col min="9987" max="9987" width="9.13541666666667" style="784" customWidth="1"/>
    <col min="9988" max="9988" width="10.9375" style="784" customWidth="1"/>
    <col min="9989" max="9989" width="13.9375" style="784" customWidth="1"/>
    <col min="9990" max="9990" width="20.53125" style="784" customWidth="1"/>
    <col min="9991" max="9991" width="17.2291666666667" style="784" customWidth="1"/>
    <col min="9992" max="9992" width="15.5833333333333" style="784" customWidth="1"/>
    <col min="9993" max="9993" width="17.6770833333333" style="784" customWidth="1"/>
    <col min="9994" max="9994" width="19.9270833333333" style="784" customWidth="1"/>
    <col min="9995" max="9995" width="15.1354166666667" style="784" customWidth="1"/>
    <col min="9996" max="9996" width="16.3333333333333" style="784" customWidth="1"/>
    <col min="9997" max="9997" width="15.1354166666667" style="784" customWidth="1"/>
    <col min="9998" max="9998" width="16.3333333333333" style="784" customWidth="1"/>
    <col min="9999" max="9999" width="15.1354166666667" style="784" customWidth="1"/>
    <col min="10000" max="10000" width="16.3333333333333" style="784" customWidth="1"/>
    <col min="10001" max="10001" width="11.0833333333333" style="784" customWidth="1"/>
    <col min="10002" max="10002" width="9.29166666666667" style="784" customWidth="1"/>
    <col min="10003" max="10003" width="13.6354166666667" style="784" customWidth="1"/>
    <col min="10004" max="10004" width="6.89583333333333" style="784" customWidth="1"/>
    <col min="10005" max="10005" width="9.58333333333333" style="784" customWidth="1"/>
    <col min="10006" max="10006" width="14.2395833333333" style="784" customWidth="1"/>
    <col min="10007" max="10008" width="7.64583333333333" style="784" customWidth="1"/>
    <col min="10009" max="10009" width="1.64583333333333" style="784" customWidth="1"/>
    <col min="10010" max="10010" width="25.7708333333333" style="784" customWidth="1"/>
    <col min="10011" max="10011" width="10.6354166666667" style="784" customWidth="1"/>
    <col min="10012" max="10012" width="19.625" style="784" customWidth="1"/>
    <col min="10013" max="10013" width="14.2395833333333" style="784" customWidth="1"/>
    <col min="10014" max="10014" width="8.6875" style="784" customWidth="1"/>
    <col min="10015" max="10015" width="13.3333333333333" style="784" customWidth="1"/>
    <col min="10016" max="10016" width="11.0833333333333" style="784" customWidth="1"/>
    <col min="10017" max="10017" width="8.84375" style="784"/>
    <col min="10018" max="10019" width="9.13541666666667" style="784" customWidth="1"/>
    <col min="10020" max="10020" width="2.39583333333333" style="784" customWidth="1"/>
    <col min="10021" max="10021" width="15.28125" style="784" customWidth="1"/>
    <col min="10022" max="10022" width="15.1354166666667" style="784" customWidth="1"/>
    <col min="10023" max="10023" width="20.2291666666667" style="784" customWidth="1"/>
    <col min="10024" max="10024" width="13.3333333333333" style="784" customWidth="1"/>
    <col min="10025" max="10025" width="10.0416666666667" style="784" customWidth="1"/>
    <col min="10026" max="10026" width="13.3333333333333" style="784" customWidth="1"/>
    <col min="10027" max="10241" width="8.84375" style="784"/>
    <col min="10242" max="10242" width="4.9375" style="784" customWidth="1"/>
    <col min="10243" max="10243" width="9.13541666666667" style="784" customWidth="1"/>
    <col min="10244" max="10244" width="10.9375" style="784" customWidth="1"/>
    <col min="10245" max="10245" width="13.9375" style="784" customWidth="1"/>
    <col min="10246" max="10246" width="20.53125" style="784" customWidth="1"/>
    <col min="10247" max="10247" width="17.2291666666667" style="784" customWidth="1"/>
    <col min="10248" max="10248" width="15.5833333333333" style="784" customWidth="1"/>
    <col min="10249" max="10249" width="17.6770833333333" style="784" customWidth="1"/>
    <col min="10250" max="10250" width="19.9270833333333" style="784" customWidth="1"/>
    <col min="10251" max="10251" width="15.1354166666667" style="784" customWidth="1"/>
    <col min="10252" max="10252" width="16.3333333333333" style="784" customWidth="1"/>
    <col min="10253" max="10253" width="15.1354166666667" style="784" customWidth="1"/>
    <col min="10254" max="10254" width="16.3333333333333" style="784" customWidth="1"/>
    <col min="10255" max="10255" width="15.1354166666667" style="784" customWidth="1"/>
    <col min="10256" max="10256" width="16.3333333333333" style="784" customWidth="1"/>
    <col min="10257" max="10257" width="11.0833333333333" style="784" customWidth="1"/>
    <col min="10258" max="10258" width="9.29166666666667" style="784" customWidth="1"/>
    <col min="10259" max="10259" width="13.6354166666667" style="784" customWidth="1"/>
    <col min="10260" max="10260" width="6.89583333333333" style="784" customWidth="1"/>
    <col min="10261" max="10261" width="9.58333333333333" style="784" customWidth="1"/>
    <col min="10262" max="10262" width="14.2395833333333" style="784" customWidth="1"/>
    <col min="10263" max="10264" width="7.64583333333333" style="784" customWidth="1"/>
    <col min="10265" max="10265" width="1.64583333333333" style="784" customWidth="1"/>
    <col min="10266" max="10266" width="25.7708333333333" style="784" customWidth="1"/>
    <col min="10267" max="10267" width="10.6354166666667" style="784" customWidth="1"/>
    <col min="10268" max="10268" width="19.625" style="784" customWidth="1"/>
    <col min="10269" max="10269" width="14.2395833333333" style="784" customWidth="1"/>
    <col min="10270" max="10270" width="8.6875" style="784" customWidth="1"/>
    <col min="10271" max="10271" width="13.3333333333333" style="784" customWidth="1"/>
    <col min="10272" max="10272" width="11.0833333333333" style="784" customWidth="1"/>
    <col min="10273" max="10273" width="8.84375" style="784"/>
    <col min="10274" max="10275" width="9.13541666666667" style="784" customWidth="1"/>
    <col min="10276" max="10276" width="2.39583333333333" style="784" customWidth="1"/>
    <col min="10277" max="10277" width="15.28125" style="784" customWidth="1"/>
    <col min="10278" max="10278" width="15.1354166666667" style="784" customWidth="1"/>
    <col min="10279" max="10279" width="20.2291666666667" style="784" customWidth="1"/>
    <col min="10280" max="10280" width="13.3333333333333" style="784" customWidth="1"/>
    <col min="10281" max="10281" width="10.0416666666667" style="784" customWidth="1"/>
    <col min="10282" max="10282" width="13.3333333333333" style="784" customWidth="1"/>
    <col min="10283" max="10497" width="8.84375" style="784"/>
    <col min="10498" max="10498" width="4.9375" style="784" customWidth="1"/>
    <col min="10499" max="10499" width="9.13541666666667" style="784" customWidth="1"/>
    <col min="10500" max="10500" width="10.9375" style="784" customWidth="1"/>
    <col min="10501" max="10501" width="13.9375" style="784" customWidth="1"/>
    <col min="10502" max="10502" width="20.53125" style="784" customWidth="1"/>
    <col min="10503" max="10503" width="17.2291666666667" style="784" customWidth="1"/>
    <col min="10504" max="10504" width="15.5833333333333" style="784" customWidth="1"/>
    <col min="10505" max="10505" width="17.6770833333333" style="784" customWidth="1"/>
    <col min="10506" max="10506" width="19.9270833333333" style="784" customWidth="1"/>
    <col min="10507" max="10507" width="15.1354166666667" style="784" customWidth="1"/>
    <col min="10508" max="10508" width="16.3333333333333" style="784" customWidth="1"/>
    <col min="10509" max="10509" width="15.1354166666667" style="784" customWidth="1"/>
    <col min="10510" max="10510" width="16.3333333333333" style="784" customWidth="1"/>
    <col min="10511" max="10511" width="15.1354166666667" style="784" customWidth="1"/>
    <col min="10512" max="10512" width="16.3333333333333" style="784" customWidth="1"/>
    <col min="10513" max="10513" width="11.0833333333333" style="784" customWidth="1"/>
    <col min="10514" max="10514" width="9.29166666666667" style="784" customWidth="1"/>
    <col min="10515" max="10515" width="13.6354166666667" style="784" customWidth="1"/>
    <col min="10516" max="10516" width="6.89583333333333" style="784" customWidth="1"/>
    <col min="10517" max="10517" width="9.58333333333333" style="784" customWidth="1"/>
    <col min="10518" max="10518" width="14.2395833333333" style="784" customWidth="1"/>
    <col min="10519" max="10520" width="7.64583333333333" style="784" customWidth="1"/>
    <col min="10521" max="10521" width="1.64583333333333" style="784" customWidth="1"/>
    <col min="10522" max="10522" width="25.7708333333333" style="784" customWidth="1"/>
    <col min="10523" max="10523" width="10.6354166666667" style="784" customWidth="1"/>
    <col min="10524" max="10524" width="19.625" style="784" customWidth="1"/>
    <col min="10525" max="10525" width="14.2395833333333" style="784" customWidth="1"/>
    <col min="10526" max="10526" width="8.6875" style="784" customWidth="1"/>
    <col min="10527" max="10527" width="13.3333333333333" style="784" customWidth="1"/>
    <col min="10528" max="10528" width="11.0833333333333" style="784" customWidth="1"/>
    <col min="10529" max="10529" width="8.84375" style="784"/>
    <col min="10530" max="10531" width="9.13541666666667" style="784" customWidth="1"/>
    <col min="10532" max="10532" width="2.39583333333333" style="784" customWidth="1"/>
    <col min="10533" max="10533" width="15.28125" style="784" customWidth="1"/>
    <col min="10534" max="10534" width="15.1354166666667" style="784" customWidth="1"/>
    <col min="10535" max="10535" width="20.2291666666667" style="784" customWidth="1"/>
    <col min="10536" max="10536" width="13.3333333333333" style="784" customWidth="1"/>
    <col min="10537" max="10537" width="10.0416666666667" style="784" customWidth="1"/>
    <col min="10538" max="10538" width="13.3333333333333" style="784" customWidth="1"/>
    <col min="10539" max="10753" width="8.84375" style="784"/>
    <col min="10754" max="10754" width="4.9375" style="784" customWidth="1"/>
    <col min="10755" max="10755" width="9.13541666666667" style="784" customWidth="1"/>
    <col min="10756" max="10756" width="10.9375" style="784" customWidth="1"/>
    <col min="10757" max="10757" width="13.9375" style="784" customWidth="1"/>
    <col min="10758" max="10758" width="20.53125" style="784" customWidth="1"/>
    <col min="10759" max="10759" width="17.2291666666667" style="784" customWidth="1"/>
    <col min="10760" max="10760" width="15.5833333333333" style="784" customWidth="1"/>
    <col min="10761" max="10761" width="17.6770833333333" style="784" customWidth="1"/>
    <col min="10762" max="10762" width="19.9270833333333" style="784" customWidth="1"/>
    <col min="10763" max="10763" width="15.1354166666667" style="784" customWidth="1"/>
    <col min="10764" max="10764" width="16.3333333333333" style="784" customWidth="1"/>
    <col min="10765" max="10765" width="15.1354166666667" style="784" customWidth="1"/>
    <col min="10766" max="10766" width="16.3333333333333" style="784" customWidth="1"/>
    <col min="10767" max="10767" width="15.1354166666667" style="784" customWidth="1"/>
    <col min="10768" max="10768" width="16.3333333333333" style="784" customWidth="1"/>
    <col min="10769" max="10769" width="11.0833333333333" style="784" customWidth="1"/>
    <col min="10770" max="10770" width="9.29166666666667" style="784" customWidth="1"/>
    <col min="10771" max="10771" width="13.6354166666667" style="784" customWidth="1"/>
    <col min="10772" max="10772" width="6.89583333333333" style="784" customWidth="1"/>
    <col min="10773" max="10773" width="9.58333333333333" style="784" customWidth="1"/>
    <col min="10774" max="10774" width="14.2395833333333" style="784" customWidth="1"/>
    <col min="10775" max="10776" width="7.64583333333333" style="784" customWidth="1"/>
    <col min="10777" max="10777" width="1.64583333333333" style="784" customWidth="1"/>
    <col min="10778" max="10778" width="25.7708333333333" style="784" customWidth="1"/>
    <col min="10779" max="10779" width="10.6354166666667" style="784" customWidth="1"/>
    <col min="10780" max="10780" width="19.625" style="784" customWidth="1"/>
    <col min="10781" max="10781" width="14.2395833333333" style="784" customWidth="1"/>
    <col min="10782" max="10782" width="8.6875" style="784" customWidth="1"/>
    <col min="10783" max="10783" width="13.3333333333333" style="784" customWidth="1"/>
    <col min="10784" max="10784" width="11.0833333333333" style="784" customWidth="1"/>
    <col min="10785" max="10785" width="8.84375" style="784"/>
    <col min="10786" max="10787" width="9.13541666666667" style="784" customWidth="1"/>
    <col min="10788" max="10788" width="2.39583333333333" style="784" customWidth="1"/>
    <col min="10789" max="10789" width="15.28125" style="784" customWidth="1"/>
    <col min="10790" max="10790" width="15.1354166666667" style="784" customWidth="1"/>
    <col min="10791" max="10791" width="20.2291666666667" style="784" customWidth="1"/>
    <col min="10792" max="10792" width="13.3333333333333" style="784" customWidth="1"/>
    <col min="10793" max="10793" width="10.0416666666667" style="784" customWidth="1"/>
    <col min="10794" max="10794" width="13.3333333333333" style="784" customWidth="1"/>
    <col min="10795" max="11009" width="8.84375" style="784"/>
    <col min="11010" max="11010" width="4.9375" style="784" customWidth="1"/>
    <col min="11011" max="11011" width="9.13541666666667" style="784" customWidth="1"/>
    <col min="11012" max="11012" width="10.9375" style="784" customWidth="1"/>
    <col min="11013" max="11013" width="13.9375" style="784" customWidth="1"/>
    <col min="11014" max="11014" width="20.53125" style="784" customWidth="1"/>
    <col min="11015" max="11015" width="17.2291666666667" style="784" customWidth="1"/>
    <col min="11016" max="11016" width="15.5833333333333" style="784" customWidth="1"/>
    <col min="11017" max="11017" width="17.6770833333333" style="784" customWidth="1"/>
    <col min="11018" max="11018" width="19.9270833333333" style="784" customWidth="1"/>
    <col min="11019" max="11019" width="15.1354166666667" style="784" customWidth="1"/>
    <col min="11020" max="11020" width="16.3333333333333" style="784" customWidth="1"/>
    <col min="11021" max="11021" width="15.1354166666667" style="784" customWidth="1"/>
    <col min="11022" max="11022" width="16.3333333333333" style="784" customWidth="1"/>
    <col min="11023" max="11023" width="15.1354166666667" style="784" customWidth="1"/>
    <col min="11024" max="11024" width="16.3333333333333" style="784" customWidth="1"/>
    <col min="11025" max="11025" width="11.0833333333333" style="784" customWidth="1"/>
    <col min="11026" max="11026" width="9.29166666666667" style="784" customWidth="1"/>
    <col min="11027" max="11027" width="13.6354166666667" style="784" customWidth="1"/>
    <col min="11028" max="11028" width="6.89583333333333" style="784" customWidth="1"/>
    <col min="11029" max="11029" width="9.58333333333333" style="784" customWidth="1"/>
    <col min="11030" max="11030" width="14.2395833333333" style="784" customWidth="1"/>
    <col min="11031" max="11032" width="7.64583333333333" style="784" customWidth="1"/>
    <col min="11033" max="11033" width="1.64583333333333" style="784" customWidth="1"/>
    <col min="11034" max="11034" width="25.7708333333333" style="784" customWidth="1"/>
    <col min="11035" max="11035" width="10.6354166666667" style="784" customWidth="1"/>
    <col min="11036" max="11036" width="19.625" style="784" customWidth="1"/>
    <col min="11037" max="11037" width="14.2395833333333" style="784" customWidth="1"/>
    <col min="11038" max="11038" width="8.6875" style="784" customWidth="1"/>
    <col min="11039" max="11039" width="13.3333333333333" style="784" customWidth="1"/>
    <col min="11040" max="11040" width="11.0833333333333" style="784" customWidth="1"/>
    <col min="11041" max="11041" width="8.84375" style="784"/>
    <col min="11042" max="11043" width="9.13541666666667" style="784" customWidth="1"/>
    <col min="11044" max="11044" width="2.39583333333333" style="784" customWidth="1"/>
    <col min="11045" max="11045" width="15.28125" style="784" customWidth="1"/>
    <col min="11046" max="11046" width="15.1354166666667" style="784" customWidth="1"/>
    <col min="11047" max="11047" width="20.2291666666667" style="784" customWidth="1"/>
    <col min="11048" max="11048" width="13.3333333333333" style="784" customWidth="1"/>
    <col min="11049" max="11049" width="10.0416666666667" style="784" customWidth="1"/>
    <col min="11050" max="11050" width="13.3333333333333" style="784" customWidth="1"/>
    <col min="11051" max="11265" width="8.84375" style="784"/>
    <col min="11266" max="11266" width="4.9375" style="784" customWidth="1"/>
    <col min="11267" max="11267" width="9.13541666666667" style="784" customWidth="1"/>
    <col min="11268" max="11268" width="10.9375" style="784" customWidth="1"/>
    <col min="11269" max="11269" width="13.9375" style="784" customWidth="1"/>
    <col min="11270" max="11270" width="20.53125" style="784" customWidth="1"/>
    <col min="11271" max="11271" width="17.2291666666667" style="784" customWidth="1"/>
    <col min="11272" max="11272" width="15.5833333333333" style="784" customWidth="1"/>
    <col min="11273" max="11273" width="17.6770833333333" style="784" customWidth="1"/>
    <col min="11274" max="11274" width="19.9270833333333" style="784" customWidth="1"/>
    <col min="11275" max="11275" width="15.1354166666667" style="784" customWidth="1"/>
    <col min="11276" max="11276" width="16.3333333333333" style="784" customWidth="1"/>
    <col min="11277" max="11277" width="15.1354166666667" style="784" customWidth="1"/>
    <col min="11278" max="11278" width="16.3333333333333" style="784" customWidth="1"/>
    <col min="11279" max="11279" width="15.1354166666667" style="784" customWidth="1"/>
    <col min="11280" max="11280" width="16.3333333333333" style="784" customWidth="1"/>
    <col min="11281" max="11281" width="11.0833333333333" style="784" customWidth="1"/>
    <col min="11282" max="11282" width="9.29166666666667" style="784" customWidth="1"/>
    <col min="11283" max="11283" width="13.6354166666667" style="784" customWidth="1"/>
    <col min="11284" max="11284" width="6.89583333333333" style="784" customWidth="1"/>
    <col min="11285" max="11285" width="9.58333333333333" style="784" customWidth="1"/>
    <col min="11286" max="11286" width="14.2395833333333" style="784" customWidth="1"/>
    <col min="11287" max="11288" width="7.64583333333333" style="784" customWidth="1"/>
    <col min="11289" max="11289" width="1.64583333333333" style="784" customWidth="1"/>
    <col min="11290" max="11290" width="25.7708333333333" style="784" customWidth="1"/>
    <col min="11291" max="11291" width="10.6354166666667" style="784" customWidth="1"/>
    <col min="11292" max="11292" width="19.625" style="784" customWidth="1"/>
    <col min="11293" max="11293" width="14.2395833333333" style="784" customWidth="1"/>
    <col min="11294" max="11294" width="8.6875" style="784" customWidth="1"/>
    <col min="11295" max="11295" width="13.3333333333333" style="784" customWidth="1"/>
    <col min="11296" max="11296" width="11.0833333333333" style="784" customWidth="1"/>
    <col min="11297" max="11297" width="8.84375" style="784"/>
    <col min="11298" max="11299" width="9.13541666666667" style="784" customWidth="1"/>
    <col min="11300" max="11300" width="2.39583333333333" style="784" customWidth="1"/>
    <col min="11301" max="11301" width="15.28125" style="784" customWidth="1"/>
    <col min="11302" max="11302" width="15.1354166666667" style="784" customWidth="1"/>
    <col min="11303" max="11303" width="20.2291666666667" style="784" customWidth="1"/>
    <col min="11304" max="11304" width="13.3333333333333" style="784" customWidth="1"/>
    <col min="11305" max="11305" width="10.0416666666667" style="784" customWidth="1"/>
    <col min="11306" max="11306" width="13.3333333333333" style="784" customWidth="1"/>
    <col min="11307" max="11521" width="8.84375" style="784"/>
    <col min="11522" max="11522" width="4.9375" style="784" customWidth="1"/>
    <col min="11523" max="11523" width="9.13541666666667" style="784" customWidth="1"/>
    <col min="11524" max="11524" width="10.9375" style="784" customWidth="1"/>
    <col min="11525" max="11525" width="13.9375" style="784" customWidth="1"/>
    <col min="11526" max="11526" width="20.53125" style="784" customWidth="1"/>
    <col min="11527" max="11527" width="17.2291666666667" style="784" customWidth="1"/>
    <col min="11528" max="11528" width="15.5833333333333" style="784" customWidth="1"/>
    <col min="11529" max="11529" width="17.6770833333333" style="784" customWidth="1"/>
    <col min="11530" max="11530" width="19.9270833333333" style="784" customWidth="1"/>
    <col min="11531" max="11531" width="15.1354166666667" style="784" customWidth="1"/>
    <col min="11532" max="11532" width="16.3333333333333" style="784" customWidth="1"/>
    <col min="11533" max="11533" width="15.1354166666667" style="784" customWidth="1"/>
    <col min="11534" max="11534" width="16.3333333333333" style="784" customWidth="1"/>
    <col min="11535" max="11535" width="15.1354166666667" style="784" customWidth="1"/>
    <col min="11536" max="11536" width="16.3333333333333" style="784" customWidth="1"/>
    <col min="11537" max="11537" width="11.0833333333333" style="784" customWidth="1"/>
    <col min="11538" max="11538" width="9.29166666666667" style="784" customWidth="1"/>
    <col min="11539" max="11539" width="13.6354166666667" style="784" customWidth="1"/>
    <col min="11540" max="11540" width="6.89583333333333" style="784" customWidth="1"/>
    <col min="11541" max="11541" width="9.58333333333333" style="784" customWidth="1"/>
    <col min="11542" max="11542" width="14.2395833333333" style="784" customWidth="1"/>
    <col min="11543" max="11544" width="7.64583333333333" style="784" customWidth="1"/>
    <col min="11545" max="11545" width="1.64583333333333" style="784" customWidth="1"/>
    <col min="11546" max="11546" width="25.7708333333333" style="784" customWidth="1"/>
    <col min="11547" max="11547" width="10.6354166666667" style="784" customWidth="1"/>
    <col min="11548" max="11548" width="19.625" style="784" customWidth="1"/>
    <col min="11549" max="11549" width="14.2395833333333" style="784" customWidth="1"/>
    <col min="11550" max="11550" width="8.6875" style="784" customWidth="1"/>
    <col min="11551" max="11551" width="13.3333333333333" style="784" customWidth="1"/>
    <col min="11552" max="11552" width="11.0833333333333" style="784" customWidth="1"/>
    <col min="11553" max="11553" width="8.84375" style="784"/>
    <col min="11554" max="11555" width="9.13541666666667" style="784" customWidth="1"/>
    <col min="11556" max="11556" width="2.39583333333333" style="784" customWidth="1"/>
    <col min="11557" max="11557" width="15.28125" style="784" customWidth="1"/>
    <col min="11558" max="11558" width="15.1354166666667" style="784" customWidth="1"/>
    <col min="11559" max="11559" width="20.2291666666667" style="784" customWidth="1"/>
    <col min="11560" max="11560" width="13.3333333333333" style="784" customWidth="1"/>
    <col min="11561" max="11561" width="10.0416666666667" style="784" customWidth="1"/>
    <col min="11562" max="11562" width="13.3333333333333" style="784" customWidth="1"/>
    <col min="11563" max="11777" width="8.84375" style="784"/>
    <col min="11778" max="11778" width="4.9375" style="784" customWidth="1"/>
    <col min="11779" max="11779" width="9.13541666666667" style="784" customWidth="1"/>
    <col min="11780" max="11780" width="10.9375" style="784" customWidth="1"/>
    <col min="11781" max="11781" width="13.9375" style="784" customWidth="1"/>
    <col min="11782" max="11782" width="20.53125" style="784" customWidth="1"/>
    <col min="11783" max="11783" width="17.2291666666667" style="784" customWidth="1"/>
    <col min="11784" max="11784" width="15.5833333333333" style="784" customWidth="1"/>
    <col min="11785" max="11785" width="17.6770833333333" style="784" customWidth="1"/>
    <col min="11786" max="11786" width="19.9270833333333" style="784" customWidth="1"/>
    <col min="11787" max="11787" width="15.1354166666667" style="784" customWidth="1"/>
    <col min="11788" max="11788" width="16.3333333333333" style="784" customWidth="1"/>
    <col min="11789" max="11789" width="15.1354166666667" style="784" customWidth="1"/>
    <col min="11790" max="11790" width="16.3333333333333" style="784" customWidth="1"/>
    <col min="11791" max="11791" width="15.1354166666667" style="784" customWidth="1"/>
    <col min="11792" max="11792" width="16.3333333333333" style="784" customWidth="1"/>
    <col min="11793" max="11793" width="11.0833333333333" style="784" customWidth="1"/>
    <col min="11794" max="11794" width="9.29166666666667" style="784" customWidth="1"/>
    <col min="11795" max="11795" width="13.6354166666667" style="784" customWidth="1"/>
    <col min="11796" max="11796" width="6.89583333333333" style="784" customWidth="1"/>
    <col min="11797" max="11797" width="9.58333333333333" style="784" customWidth="1"/>
    <col min="11798" max="11798" width="14.2395833333333" style="784" customWidth="1"/>
    <col min="11799" max="11800" width="7.64583333333333" style="784" customWidth="1"/>
    <col min="11801" max="11801" width="1.64583333333333" style="784" customWidth="1"/>
    <col min="11802" max="11802" width="25.7708333333333" style="784" customWidth="1"/>
    <col min="11803" max="11803" width="10.6354166666667" style="784" customWidth="1"/>
    <col min="11804" max="11804" width="19.625" style="784" customWidth="1"/>
    <col min="11805" max="11805" width="14.2395833333333" style="784" customWidth="1"/>
    <col min="11806" max="11806" width="8.6875" style="784" customWidth="1"/>
    <col min="11807" max="11807" width="13.3333333333333" style="784" customWidth="1"/>
    <col min="11808" max="11808" width="11.0833333333333" style="784" customWidth="1"/>
    <col min="11809" max="11809" width="8.84375" style="784"/>
    <col min="11810" max="11811" width="9.13541666666667" style="784" customWidth="1"/>
    <col min="11812" max="11812" width="2.39583333333333" style="784" customWidth="1"/>
    <col min="11813" max="11813" width="15.28125" style="784" customWidth="1"/>
    <col min="11814" max="11814" width="15.1354166666667" style="784" customWidth="1"/>
    <col min="11815" max="11815" width="20.2291666666667" style="784" customWidth="1"/>
    <col min="11816" max="11816" width="13.3333333333333" style="784" customWidth="1"/>
    <col min="11817" max="11817" width="10.0416666666667" style="784" customWidth="1"/>
    <col min="11818" max="11818" width="13.3333333333333" style="784" customWidth="1"/>
    <col min="11819" max="12033" width="8.84375" style="784"/>
    <col min="12034" max="12034" width="4.9375" style="784" customWidth="1"/>
    <col min="12035" max="12035" width="9.13541666666667" style="784" customWidth="1"/>
    <col min="12036" max="12036" width="10.9375" style="784" customWidth="1"/>
    <col min="12037" max="12037" width="13.9375" style="784" customWidth="1"/>
    <col min="12038" max="12038" width="20.53125" style="784" customWidth="1"/>
    <col min="12039" max="12039" width="17.2291666666667" style="784" customWidth="1"/>
    <col min="12040" max="12040" width="15.5833333333333" style="784" customWidth="1"/>
    <col min="12041" max="12041" width="17.6770833333333" style="784" customWidth="1"/>
    <col min="12042" max="12042" width="19.9270833333333" style="784" customWidth="1"/>
    <col min="12043" max="12043" width="15.1354166666667" style="784" customWidth="1"/>
    <col min="12044" max="12044" width="16.3333333333333" style="784" customWidth="1"/>
    <col min="12045" max="12045" width="15.1354166666667" style="784" customWidth="1"/>
    <col min="12046" max="12046" width="16.3333333333333" style="784" customWidth="1"/>
    <col min="12047" max="12047" width="15.1354166666667" style="784" customWidth="1"/>
    <col min="12048" max="12048" width="16.3333333333333" style="784" customWidth="1"/>
    <col min="12049" max="12049" width="11.0833333333333" style="784" customWidth="1"/>
    <col min="12050" max="12050" width="9.29166666666667" style="784" customWidth="1"/>
    <col min="12051" max="12051" width="13.6354166666667" style="784" customWidth="1"/>
    <col min="12052" max="12052" width="6.89583333333333" style="784" customWidth="1"/>
    <col min="12053" max="12053" width="9.58333333333333" style="784" customWidth="1"/>
    <col min="12054" max="12054" width="14.2395833333333" style="784" customWidth="1"/>
    <col min="12055" max="12056" width="7.64583333333333" style="784" customWidth="1"/>
    <col min="12057" max="12057" width="1.64583333333333" style="784" customWidth="1"/>
    <col min="12058" max="12058" width="25.7708333333333" style="784" customWidth="1"/>
    <col min="12059" max="12059" width="10.6354166666667" style="784" customWidth="1"/>
    <col min="12060" max="12060" width="19.625" style="784" customWidth="1"/>
    <col min="12061" max="12061" width="14.2395833333333" style="784" customWidth="1"/>
    <col min="12062" max="12062" width="8.6875" style="784" customWidth="1"/>
    <col min="12063" max="12063" width="13.3333333333333" style="784" customWidth="1"/>
    <col min="12064" max="12064" width="11.0833333333333" style="784" customWidth="1"/>
    <col min="12065" max="12065" width="8.84375" style="784"/>
    <col min="12066" max="12067" width="9.13541666666667" style="784" customWidth="1"/>
    <col min="12068" max="12068" width="2.39583333333333" style="784" customWidth="1"/>
    <col min="12069" max="12069" width="15.28125" style="784" customWidth="1"/>
    <col min="12070" max="12070" width="15.1354166666667" style="784" customWidth="1"/>
    <col min="12071" max="12071" width="20.2291666666667" style="784" customWidth="1"/>
    <col min="12072" max="12072" width="13.3333333333333" style="784" customWidth="1"/>
    <col min="12073" max="12073" width="10.0416666666667" style="784" customWidth="1"/>
    <col min="12074" max="12074" width="13.3333333333333" style="784" customWidth="1"/>
    <col min="12075" max="12289" width="8.84375" style="784"/>
    <col min="12290" max="12290" width="4.9375" style="784" customWidth="1"/>
    <col min="12291" max="12291" width="9.13541666666667" style="784" customWidth="1"/>
    <col min="12292" max="12292" width="10.9375" style="784" customWidth="1"/>
    <col min="12293" max="12293" width="13.9375" style="784" customWidth="1"/>
    <col min="12294" max="12294" width="20.53125" style="784" customWidth="1"/>
    <col min="12295" max="12295" width="17.2291666666667" style="784" customWidth="1"/>
    <col min="12296" max="12296" width="15.5833333333333" style="784" customWidth="1"/>
    <col min="12297" max="12297" width="17.6770833333333" style="784" customWidth="1"/>
    <col min="12298" max="12298" width="19.9270833333333" style="784" customWidth="1"/>
    <col min="12299" max="12299" width="15.1354166666667" style="784" customWidth="1"/>
    <col min="12300" max="12300" width="16.3333333333333" style="784" customWidth="1"/>
    <col min="12301" max="12301" width="15.1354166666667" style="784" customWidth="1"/>
    <col min="12302" max="12302" width="16.3333333333333" style="784" customWidth="1"/>
    <col min="12303" max="12303" width="15.1354166666667" style="784" customWidth="1"/>
    <col min="12304" max="12304" width="16.3333333333333" style="784" customWidth="1"/>
    <col min="12305" max="12305" width="11.0833333333333" style="784" customWidth="1"/>
    <col min="12306" max="12306" width="9.29166666666667" style="784" customWidth="1"/>
    <col min="12307" max="12307" width="13.6354166666667" style="784" customWidth="1"/>
    <col min="12308" max="12308" width="6.89583333333333" style="784" customWidth="1"/>
    <col min="12309" max="12309" width="9.58333333333333" style="784" customWidth="1"/>
    <col min="12310" max="12310" width="14.2395833333333" style="784" customWidth="1"/>
    <col min="12311" max="12312" width="7.64583333333333" style="784" customWidth="1"/>
    <col min="12313" max="12313" width="1.64583333333333" style="784" customWidth="1"/>
    <col min="12314" max="12314" width="25.7708333333333" style="784" customWidth="1"/>
    <col min="12315" max="12315" width="10.6354166666667" style="784" customWidth="1"/>
    <col min="12316" max="12316" width="19.625" style="784" customWidth="1"/>
    <col min="12317" max="12317" width="14.2395833333333" style="784" customWidth="1"/>
    <col min="12318" max="12318" width="8.6875" style="784" customWidth="1"/>
    <col min="12319" max="12319" width="13.3333333333333" style="784" customWidth="1"/>
    <col min="12320" max="12320" width="11.0833333333333" style="784" customWidth="1"/>
    <col min="12321" max="12321" width="8.84375" style="784"/>
    <col min="12322" max="12323" width="9.13541666666667" style="784" customWidth="1"/>
    <col min="12324" max="12324" width="2.39583333333333" style="784" customWidth="1"/>
    <col min="12325" max="12325" width="15.28125" style="784" customWidth="1"/>
    <col min="12326" max="12326" width="15.1354166666667" style="784" customWidth="1"/>
    <col min="12327" max="12327" width="20.2291666666667" style="784" customWidth="1"/>
    <col min="12328" max="12328" width="13.3333333333333" style="784" customWidth="1"/>
    <col min="12329" max="12329" width="10.0416666666667" style="784" customWidth="1"/>
    <col min="12330" max="12330" width="13.3333333333333" style="784" customWidth="1"/>
    <col min="12331" max="12545" width="8.84375" style="784"/>
    <col min="12546" max="12546" width="4.9375" style="784" customWidth="1"/>
    <col min="12547" max="12547" width="9.13541666666667" style="784" customWidth="1"/>
    <col min="12548" max="12548" width="10.9375" style="784" customWidth="1"/>
    <col min="12549" max="12549" width="13.9375" style="784" customWidth="1"/>
    <col min="12550" max="12550" width="20.53125" style="784" customWidth="1"/>
    <col min="12551" max="12551" width="17.2291666666667" style="784" customWidth="1"/>
    <col min="12552" max="12552" width="15.5833333333333" style="784" customWidth="1"/>
    <col min="12553" max="12553" width="17.6770833333333" style="784" customWidth="1"/>
    <col min="12554" max="12554" width="19.9270833333333" style="784" customWidth="1"/>
    <col min="12555" max="12555" width="15.1354166666667" style="784" customWidth="1"/>
    <col min="12556" max="12556" width="16.3333333333333" style="784" customWidth="1"/>
    <col min="12557" max="12557" width="15.1354166666667" style="784" customWidth="1"/>
    <col min="12558" max="12558" width="16.3333333333333" style="784" customWidth="1"/>
    <col min="12559" max="12559" width="15.1354166666667" style="784" customWidth="1"/>
    <col min="12560" max="12560" width="16.3333333333333" style="784" customWidth="1"/>
    <col min="12561" max="12561" width="11.0833333333333" style="784" customWidth="1"/>
    <col min="12562" max="12562" width="9.29166666666667" style="784" customWidth="1"/>
    <col min="12563" max="12563" width="13.6354166666667" style="784" customWidth="1"/>
    <col min="12564" max="12564" width="6.89583333333333" style="784" customWidth="1"/>
    <col min="12565" max="12565" width="9.58333333333333" style="784" customWidth="1"/>
    <col min="12566" max="12566" width="14.2395833333333" style="784" customWidth="1"/>
    <col min="12567" max="12568" width="7.64583333333333" style="784" customWidth="1"/>
    <col min="12569" max="12569" width="1.64583333333333" style="784" customWidth="1"/>
    <col min="12570" max="12570" width="25.7708333333333" style="784" customWidth="1"/>
    <col min="12571" max="12571" width="10.6354166666667" style="784" customWidth="1"/>
    <col min="12572" max="12572" width="19.625" style="784" customWidth="1"/>
    <col min="12573" max="12573" width="14.2395833333333" style="784" customWidth="1"/>
    <col min="12574" max="12574" width="8.6875" style="784" customWidth="1"/>
    <col min="12575" max="12575" width="13.3333333333333" style="784" customWidth="1"/>
    <col min="12576" max="12576" width="11.0833333333333" style="784" customWidth="1"/>
    <col min="12577" max="12577" width="8.84375" style="784"/>
    <col min="12578" max="12579" width="9.13541666666667" style="784" customWidth="1"/>
    <col min="12580" max="12580" width="2.39583333333333" style="784" customWidth="1"/>
    <col min="12581" max="12581" width="15.28125" style="784" customWidth="1"/>
    <col min="12582" max="12582" width="15.1354166666667" style="784" customWidth="1"/>
    <col min="12583" max="12583" width="20.2291666666667" style="784" customWidth="1"/>
    <col min="12584" max="12584" width="13.3333333333333" style="784" customWidth="1"/>
    <col min="12585" max="12585" width="10.0416666666667" style="784" customWidth="1"/>
    <col min="12586" max="12586" width="13.3333333333333" style="784" customWidth="1"/>
    <col min="12587" max="12801" width="8.84375" style="784"/>
    <col min="12802" max="12802" width="4.9375" style="784" customWidth="1"/>
    <col min="12803" max="12803" width="9.13541666666667" style="784" customWidth="1"/>
    <col min="12804" max="12804" width="10.9375" style="784" customWidth="1"/>
    <col min="12805" max="12805" width="13.9375" style="784" customWidth="1"/>
    <col min="12806" max="12806" width="20.53125" style="784" customWidth="1"/>
    <col min="12807" max="12807" width="17.2291666666667" style="784" customWidth="1"/>
    <col min="12808" max="12808" width="15.5833333333333" style="784" customWidth="1"/>
    <col min="12809" max="12809" width="17.6770833333333" style="784" customWidth="1"/>
    <col min="12810" max="12810" width="19.9270833333333" style="784" customWidth="1"/>
    <col min="12811" max="12811" width="15.1354166666667" style="784" customWidth="1"/>
    <col min="12812" max="12812" width="16.3333333333333" style="784" customWidth="1"/>
    <col min="12813" max="12813" width="15.1354166666667" style="784" customWidth="1"/>
    <col min="12814" max="12814" width="16.3333333333333" style="784" customWidth="1"/>
    <col min="12815" max="12815" width="15.1354166666667" style="784" customWidth="1"/>
    <col min="12816" max="12816" width="16.3333333333333" style="784" customWidth="1"/>
    <col min="12817" max="12817" width="11.0833333333333" style="784" customWidth="1"/>
    <col min="12818" max="12818" width="9.29166666666667" style="784" customWidth="1"/>
    <col min="12819" max="12819" width="13.6354166666667" style="784" customWidth="1"/>
    <col min="12820" max="12820" width="6.89583333333333" style="784" customWidth="1"/>
    <col min="12821" max="12821" width="9.58333333333333" style="784" customWidth="1"/>
    <col min="12822" max="12822" width="14.2395833333333" style="784" customWidth="1"/>
    <col min="12823" max="12824" width="7.64583333333333" style="784" customWidth="1"/>
    <col min="12825" max="12825" width="1.64583333333333" style="784" customWidth="1"/>
    <col min="12826" max="12826" width="25.7708333333333" style="784" customWidth="1"/>
    <col min="12827" max="12827" width="10.6354166666667" style="784" customWidth="1"/>
    <col min="12828" max="12828" width="19.625" style="784" customWidth="1"/>
    <col min="12829" max="12829" width="14.2395833333333" style="784" customWidth="1"/>
    <col min="12830" max="12830" width="8.6875" style="784" customWidth="1"/>
    <col min="12831" max="12831" width="13.3333333333333" style="784" customWidth="1"/>
    <col min="12832" max="12832" width="11.0833333333333" style="784" customWidth="1"/>
    <col min="12833" max="12833" width="8.84375" style="784"/>
    <col min="12834" max="12835" width="9.13541666666667" style="784" customWidth="1"/>
    <col min="12836" max="12836" width="2.39583333333333" style="784" customWidth="1"/>
    <col min="12837" max="12837" width="15.28125" style="784" customWidth="1"/>
    <col min="12838" max="12838" width="15.1354166666667" style="784" customWidth="1"/>
    <col min="12839" max="12839" width="20.2291666666667" style="784" customWidth="1"/>
    <col min="12840" max="12840" width="13.3333333333333" style="784" customWidth="1"/>
    <col min="12841" max="12841" width="10.0416666666667" style="784" customWidth="1"/>
    <col min="12842" max="12842" width="13.3333333333333" style="784" customWidth="1"/>
    <col min="12843" max="13057" width="8.84375" style="784"/>
    <col min="13058" max="13058" width="4.9375" style="784" customWidth="1"/>
    <col min="13059" max="13059" width="9.13541666666667" style="784" customWidth="1"/>
    <col min="13060" max="13060" width="10.9375" style="784" customWidth="1"/>
    <col min="13061" max="13061" width="13.9375" style="784" customWidth="1"/>
    <col min="13062" max="13062" width="20.53125" style="784" customWidth="1"/>
    <col min="13063" max="13063" width="17.2291666666667" style="784" customWidth="1"/>
    <col min="13064" max="13064" width="15.5833333333333" style="784" customWidth="1"/>
    <col min="13065" max="13065" width="17.6770833333333" style="784" customWidth="1"/>
    <col min="13066" max="13066" width="19.9270833333333" style="784" customWidth="1"/>
    <col min="13067" max="13067" width="15.1354166666667" style="784" customWidth="1"/>
    <col min="13068" max="13068" width="16.3333333333333" style="784" customWidth="1"/>
    <col min="13069" max="13069" width="15.1354166666667" style="784" customWidth="1"/>
    <col min="13070" max="13070" width="16.3333333333333" style="784" customWidth="1"/>
    <col min="13071" max="13071" width="15.1354166666667" style="784" customWidth="1"/>
    <col min="13072" max="13072" width="16.3333333333333" style="784" customWidth="1"/>
    <col min="13073" max="13073" width="11.0833333333333" style="784" customWidth="1"/>
    <col min="13074" max="13074" width="9.29166666666667" style="784" customWidth="1"/>
    <col min="13075" max="13075" width="13.6354166666667" style="784" customWidth="1"/>
    <col min="13076" max="13076" width="6.89583333333333" style="784" customWidth="1"/>
    <col min="13077" max="13077" width="9.58333333333333" style="784" customWidth="1"/>
    <col min="13078" max="13078" width="14.2395833333333" style="784" customWidth="1"/>
    <col min="13079" max="13080" width="7.64583333333333" style="784" customWidth="1"/>
    <col min="13081" max="13081" width="1.64583333333333" style="784" customWidth="1"/>
    <col min="13082" max="13082" width="25.7708333333333" style="784" customWidth="1"/>
    <col min="13083" max="13083" width="10.6354166666667" style="784" customWidth="1"/>
    <col min="13084" max="13084" width="19.625" style="784" customWidth="1"/>
    <col min="13085" max="13085" width="14.2395833333333" style="784" customWidth="1"/>
    <col min="13086" max="13086" width="8.6875" style="784" customWidth="1"/>
    <col min="13087" max="13087" width="13.3333333333333" style="784" customWidth="1"/>
    <col min="13088" max="13088" width="11.0833333333333" style="784" customWidth="1"/>
    <col min="13089" max="13089" width="8.84375" style="784"/>
    <col min="13090" max="13091" width="9.13541666666667" style="784" customWidth="1"/>
    <col min="13092" max="13092" width="2.39583333333333" style="784" customWidth="1"/>
    <col min="13093" max="13093" width="15.28125" style="784" customWidth="1"/>
    <col min="13094" max="13094" width="15.1354166666667" style="784" customWidth="1"/>
    <col min="13095" max="13095" width="20.2291666666667" style="784" customWidth="1"/>
    <col min="13096" max="13096" width="13.3333333333333" style="784" customWidth="1"/>
    <col min="13097" max="13097" width="10.0416666666667" style="784" customWidth="1"/>
    <col min="13098" max="13098" width="13.3333333333333" style="784" customWidth="1"/>
    <col min="13099" max="13313" width="8.84375" style="784"/>
    <col min="13314" max="13314" width="4.9375" style="784" customWidth="1"/>
    <col min="13315" max="13315" width="9.13541666666667" style="784" customWidth="1"/>
    <col min="13316" max="13316" width="10.9375" style="784" customWidth="1"/>
    <col min="13317" max="13317" width="13.9375" style="784" customWidth="1"/>
    <col min="13318" max="13318" width="20.53125" style="784" customWidth="1"/>
    <col min="13319" max="13319" width="17.2291666666667" style="784" customWidth="1"/>
    <col min="13320" max="13320" width="15.5833333333333" style="784" customWidth="1"/>
    <col min="13321" max="13321" width="17.6770833333333" style="784" customWidth="1"/>
    <col min="13322" max="13322" width="19.9270833333333" style="784" customWidth="1"/>
    <col min="13323" max="13323" width="15.1354166666667" style="784" customWidth="1"/>
    <col min="13324" max="13324" width="16.3333333333333" style="784" customWidth="1"/>
    <col min="13325" max="13325" width="15.1354166666667" style="784" customWidth="1"/>
    <col min="13326" max="13326" width="16.3333333333333" style="784" customWidth="1"/>
    <col min="13327" max="13327" width="15.1354166666667" style="784" customWidth="1"/>
    <col min="13328" max="13328" width="16.3333333333333" style="784" customWidth="1"/>
    <col min="13329" max="13329" width="11.0833333333333" style="784" customWidth="1"/>
    <col min="13330" max="13330" width="9.29166666666667" style="784" customWidth="1"/>
    <col min="13331" max="13331" width="13.6354166666667" style="784" customWidth="1"/>
    <col min="13332" max="13332" width="6.89583333333333" style="784" customWidth="1"/>
    <col min="13333" max="13333" width="9.58333333333333" style="784" customWidth="1"/>
    <col min="13334" max="13334" width="14.2395833333333" style="784" customWidth="1"/>
    <col min="13335" max="13336" width="7.64583333333333" style="784" customWidth="1"/>
    <col min="13337" max="13337" width="1.64583333333333" style="784" customWidth="1"/>
    <col min="13338" max="13338" width="25.7708333333333" style="784" customWidth="1"/>
    <col min="13339" max="13339" width="10.6354166666667" style="784" customWidth="1"/>
    <col min="13340" max="13340" width="19.625" style="784" customWidth="1"/>
    <col min="13341" max="13341" width="14.2395833333333" style="784" customWidth="1"/>
    <col min="13342" max="13342" width="8.6875" style="784" customWidth="1"/>
    <col min="13343" max="13343" width="13.3333333333333" style="784" customWidth="1"/>
    <col min="13344" max="13344" width="11.0833333333333" style="784" customWidth="1"/>
    <col min="13345" max="13345" width="8.84375" style="784"/>
    <col min="13346" max="13347" width="9.13541666666667" style="784" customWidth="1"/>
    <col min="13348" max="13348" width="2.39583333333333" style="784" customWidth="1"/>
    <col min="13349" max="13349" width="15.28125" style="784" customWidth="1"/>
    <col min="13350" max="13350" width="15.1354166666667" style="784" customWidth="1"/>
    <col min="13351" max="13351" width="20.2291666666667" style="784" customWidth="1"/>
    <col min="13352" max="13352" width="13.3333333333333" style="784" customWidth="1"/>
    <col min="13353" max="13353" width="10.0416666666667" style="784" customWidth="1"/>
    <col min="13354" max="13354" width="13.3333333333333" style="784" customWidth="1"/>
    <col min="13355" max="13569" width="8.84375" style="784"/>
    <col min="13570" max="13570" width="4.9375" style="784" customWidth="1"/>
    <col min="13571" max="13571" width="9.13541666666667" style="784" customWidth="1"/>
    <col min="13572" max="13572" width="10.9375" style="784" customWidth="1"/>
    <col min="13573" max="13573" width="13.9375" style="784" customWidth="1"/>
    <col min="13574" max="13574" width="20.53125" style="784" customWidth="1"/>
    <col min="13575" max="13575" width="17.2291666666667" style="784" customWidth="1"/>
    <col min="13576" max="13576" width="15.5833333333333" style="784" customWidth="1"/>
    <col min="13577" max="13577" width="17.6770833333333" style="784" customWidth="1"/>
    <col min="13578" max="13578" width="19.9270833333333" style="784" customWidth="1"/>
    <col min="13579" max="13579" width="15.1354166666667" style="784" customWidth="1"/>
    <col min="13580" max="13580" width="16.3333333333333" style="784" customWidth="1"/>
    <col min="13581" max="13581" width="15.1354166666667" style="784" customWidth="1"/>
    <col min="13582" max="13582" width="16.3333333333333" style="784" customWidth="1"/>
    <col min="13583" max="13583" width="15.1354166666667" style="784" customWidth="1"/>
    <col min="13584" max="13584" width="16.3333333333333" style="784" customWidth="1"/>
    <col min="13585" max="13585" width="11.0833333333333" style="784" customWidth="1"/>
    <col min="13586" max="13586" width="9.29166666666667" style="784" customWidth="1"/>
    <col min="13587" max="13587" width="13.6354166666667" style="784" customWidth="1"/>
    <col min="13588" max="13588" width="6.89583333333333" style="784" customWidth="1"/>
    <col min="13589" max="13589" width="9.58333333333333" style="784" customWidth="1"/>
    <col min="13590" max="13590" width="14.2395833333333" style="784" customWidth="1"/>
    <col min="13591" max="13592" width="7.64583333333333" style="784" customWidth="1"/>
    <col min="13593" max="13593" width="1.64583333333333" style="784" customWidth="1"/>
    <col min="13594" max="13594" width="25.7708333333333" style="784" customWidth="1"/>
    <col min="13595" max="13595" width="10.6354166666667" style="784" customWidth="1"/>
    <col min="13596" max="13596" width="19.625" style="784" customWidth="1"/>
    <col min="13597" max="13597" width="14.2395833333333" style="784" customWidth="1"/>
    <col min="13598" max="13598" width="8.6875" style="784" customWidth="1"/>
    <col min="13599" max="13599" width="13.3333333333333" style="784" customWidth="1"/>
    <col min="13600" max="13600" width="11.0833333333333" style="784" customWidth="1"/>
    <col min="13601" max="13601" width="8.84375" style="784"/>
    <col min="13602" max="13603" width="9.13541666666667" style="784" customWidth="1"/>
    <col min="13604" max="13604" width="2.39583333333333" style="784" customWidth="1"/>
    <col min="13605" max="13605" width="15.28125" style="784" customWidth="1"/>
    <col min="13606" max="13606" width="15.1354166666667" style="784" customWidth="1"/>
    <col min="13607" max="13607" width="20.2291666666667" style="784" customWidth="1"/>
    <col min="13608" max="13608" width="13.3333333333333" style="784" customWidth="1"/>
    <col min="13609" max="13609" width="10.0416666666667" style="784" customWidth="1"/>
    <col min="13610" max="13610" width="13.3333333333333" style="784" customWidth="1"/>
    <col min="13611" max="13825" width="8.84375" style="784"/>
    <col min="13826" max="13826" width="4.9375" style="784" customWidth="1"/>
    <col min="13827" max="13827" width="9.13541666666667" style="784" customWidth="1"/>
    <col min="13828" max="13828" width="10.9375" style="784" customWidth="1"/>
    <col min="13829" max="13829" width="13.9375" style="784" customWidth="1"/>
    <col min="13830" max="13830" width="20.53125" style="784" customWidth="1"/>
    <col min="13831" max="13831" width="17.2291666666667" style="784" customWidth="1"/>
    <col min="13832" max="13832" width="15.5833333333333" style="784" customWidth="1"/>
    <col min="13833" max="13833" width="17.6770833333333" style="784" customWidth="1"/>
    <col min="13834" max="13834" width="19.9270833333333" style="784" customWidth="1"/>
    <col min="13835" max="13835" width="15.1354166666667" style="784" customWidth="1"/>
    <col min="13836" max="13836" width="16.3333333333333" style="784" customWidth="1"/>
    <col min="13837" max="13837" width="15.1354166666667" style="784" customWidth="1"/>
    <col min="13838" max="13838" width="16.3333333333333" style="784" customWidth="1"/>
    <col min="13839" max="13839" width="15.1354166666667" style="784" customWidth="1"/>
    <col min="13840" max="13840" width="16.3333333333333" style="784" customWidth="1"/>
    <col min="13841" max="13841" width="11.0833333333333" style="784" customWidth="1"/>
    <col min="13842" max="13842" width="9.29166666666667" style="784" customWidth="1"/>
    <col min="13843" max="13843" width="13.6354166666667" style="784" customWidth="1"/>
    <col min="13844" max="13844" width="6.89583333333333" style="784" customWidth="1"/>
    <col min="13845" max="13845" width="9.58333333333333" style="784" customWidth="1"/>
    <col min="13846" max="13846" width="14.2395833333333" style="784" customWidth="1"/>
    <col min="13847" max="13848" width="7.64583333333333" style="784" customWidth="1"/>
    <col min="13849" max="13849" width="1.64583333333333" style="784" customWidth="1"/>
    <col min="13850" max="13850" width="25.7708333333333" style="784" customWidth="1"/>
    <col min="13851" max="13851" width="10.6354166666667" style="784" customWidth="1"/>
    <col min="13852" max="13852" width="19.625" style="784" customWidth="1"/>
    <col min="13853" max="13853" width="14.2395833333333" style="784" customWidth="1"/>
    <col min="13854" max="13854" width="8.6875" style="784" customWidth="1"/>
    <col min="13855" max="13855" width="13.3333333333333" style="784" customWidth="1"/>
    <col min="13856" max="13856" width="11.0833333333333" style="784" customWidth="1"/>
    <col min="13857" max="13857" width="8.84375" style="784"/>
    <col min="13858" max="13859" width="9.13541666666667" style="784" customWidth="1"/>
    <col min="13860" max="13860" width="2.39583333333333" style="784" customWidth="1"/>
    <col min="13861" max="13861" width="15.28125" style="784" customWidth="1"/>
    <col min="13862" max="13862" width="15.1354166666667" style="784" customWidth="1"/>
    <col min="13863" max="13863" width="20.2291666666667" style="784" customWidth="1"/>
    <col min="13864" max="13864" width="13.3333333333333" style="784" customWidth="1"/>
    <col min="13865" max="13865" width="10.0416666666667" style="784" customWidth="1"/>
    <col min="13866" max="13866" width="13.3333333333333" style="784" customWidth="1"/>
    <col min="13867" max="14081" width="8.84375" style="784"/>
    <col min="14082" max="14082" width="4.9375" style="784" customWidth="1"/>
    <col min="14083" max="14083" width="9.13541666666667" style="784" customWidth="1"/>
    <col min="14084" max="14084" width="10.9375" style="784" customWidth="1"/>
    <col min="14085" max="14085" width="13.9375" style="784" customWidth="1"/>
    <col min="14086" max="14086" width="20.53125" style="784" customWidth="1"/>
    <col min="14087" max="14087" width="17.2291666666667" style="784" customWidth="1"/>
    <col min="14088" max="14088" width="15.5833333333333" style="784" customWidth="1"/>
    <col min="14089" max="14089" width="17.6770833333333" style="784" customWidth="1"/>
    <col min="14090" max="14090" width="19.9270833333333" style="784" customWidth="1"/>
    <col min="14091" max="14091" width="15.1354166666667" style="784" customWidth="1"/>
    <col min="14092" max="14092" width="16.3333333333333" style="784" customWidth="1"/>
    <col min="14093" max="14093" width="15.1354166666667" style="784" customWidth="1"/>
    <col min="14094" max="14094" width="16.3333333333333" style="784" customWidth="1"/>
    <col min="14095" max="14095" width="15.1354166666667" style="784" customWidth="1"/>
    <col min="14096" max="14096" width="16.3333333333333" style="784" customWidth="1"/>
    <col min="14097" max="14097" width="11.0833333333333" style="784" customWidth="1"/>
    <col min="14098" max="14098" width="9.29166666666667" style="784" customWidth="1"/>
    <col min="14099" max="14099" width="13.6354166666667" style="784" customWidth="1"/>
    <col min="14100" max="14100" width="6.89583333333333" style="784" customWidth="1"/>
    <col min="14101" max="14101" width="9.58333333333333" style="784" customWidth="1"/>
    <col min="14102" max="14102" width="14.2395833333333" style="784" customWidth="1"/>
    <col min="14103" max="14104" width="7.64583333333333" style="784" customWidth="1"/>
    <col min="14105" max="14105" width="1.64583333333333" style="784" customWidth="1"/>
    <col min="14106" max="14106" width="25.7708333333333" style="784" customWidth="1"/>
    <col min="14107" max="14107" width="10.6354166666667" style="784" customWidth="1"/>
    <col min="14108" max="14108" width="19.625" style="784" customWidth="1"/>
    <col min="14109" max="14109" width="14.2395833333333" style="784" customWidth="1"/>
    <col min="14110" max="14110" width="8.6875" style="784" customWidth="1"/>
    <col min="14111" max="14111" width="13.3333333333333" style="784" customWidth="1"/>
    <col min="14112" max="14112" width="11.0833333333333" style="784" customWidth="1"/>
    <col min="14113" max="14113" width="8.84375" style="784"/>
    <col min="14114" max="14115" width="9.13541666666667" style="784" customWidth="1"/>
    <col min="14116" max="14116" width="2.39583333333333" style="784" customWidth="1"/>
    <col min="14117" max="14117" width="15.28125" style="784" customWidth="1"/>
    <col min="14118" max="14118" width="15.1354166666667" style="784" customWidth="1"/>
    <col min="14119" max="14119" width="20.2291666666667" style="784" customWidth="1"/>
    <col min="14120" max="14120" width="13.3333333333333" style="784" customWidth="1"/>
    <col min="14121" max="14121" width="10.0416666666667" style="784" customWidth="1"/>
    <col min="14122" max="14122" width="13.3333333333333" style="784" customWidth="1"/>
    <col min="14123" max="14337" width="8.84375" style="784"/>
    <col min="14338" max="14338" width="4.9375" style="784" customWidth="1"/>
    <col min="14339" max="14339" width="9.13541666666667" style="784" customWidth="1"/>
    <col min="14340" max="14340" width="10.9375" style="784" customWidth="1"/>
    <col min="14341" max="14341" width="13.9375" style="784" customWidth="1"/>
    <col min="14342" max="14342" width="20.53125" style="784" customWidth="1"/>
    <col min="14343" max="14343" width="17.2291666666667" style="784" customWidth="1"/>
    <col min="14344" max="14344" width="15.5833333333333" style="784" customWidth="1"/>
    <col min="14345" max="14345" width="17.6770833333333" style="784" customWidth="1"/>
    <col min="14346" max="14346" width="19.9270833333333" style="784" customWidth="1"/>
    <col min="14347" max="14347" width="15.1354166666667" style="784" customWidth="1"/>
    <col min="14348" max="14348" width="16.3333333333333" style="784" customWidth="1"/>
    <col min="14349" max="14349" width="15.1354166666667" style="784" customWidth="1"/>
    <col min="14350" max="14350" width="16.3333333333333" style="784" customWidth="1"/>
    <col min="14351" max="14351" width="15.1354166666667" style="784" customWidth="1"/>
    <col min="14352" max="14352" width="16.3333333333333" style="784" customWidth="1"/>
    <col min="14353" max="14353" width="11.0833333333333" style="784" customWidth="1"/>
    <col min="14354" max="14354" width="9.29166666666667" style="784" customWidth="1"/>
    <col min="14355" max="14355" width="13.6354166666667" style="784" customWidth="1"/>
    <col min="14356" max="14356" width="6.89583333333333" style="784" customWidth="1"/>
    <col min="14357" max="14357" width="9.58333333333333" style="784" customWidth="1"/>
    <col min="14358" max="14358" width="14.2395833333333" style="784" customWidth="1"/>
    <col min="14359" max="14360" width="7.64583333333333" style="784" customWidth="1"/>
    <col min="14361" max="14361" width="1.64583333333333" style="784" customWidth="1"/>
    <col min="14362" max="14362" width="25.7708333333333" style="784" customWidth="1"/>
    <col min="14363" max="14363" width="10.6354166666667" style="784" customWidth="1"/>
    <col min="14364" max="14364" width="19.625" style="784" customWidth="1"/>
    <col min="14365" max="14365" width="14.2395833333333" style="784" customWidth="1"/>
    <col min="14366" max="14366" width="8.6875" style="784" customWidth="1"/>
    <col min="14367" max="14367" width="13.3333333333333" style="784" customWidth="1"/>
    <col min="14368" max="14368" width="11.0833333333333" style="784" customWidth="1"/>
    <col min="14369" max="14369" width="8.84375" style="784"/>
    <col min="14370" max="14371" width="9.13541666666667" style="784" customWidth="1"/>
    <col min="14372" max="14372" width="2.39583333333333" style="784" customWidth="1"/>
    <col min="14373" max="14373" width="15.28125" style="784" customWidth="1"/>
    <col min="14374" max="14374" width="15.1354166666667" style="784" customWidth="1"/>
    <col min="14375" max="14375" width="20.2291666666667" style="784" customWidth="1"/>
    <col min="14376" max="14376" width="13.3333333333333" style="784" customWidth="1"/>
    <col min="14377" max="14377" width="10.0416666666667" style="784" customWidth="1"/>
    <col min="14378" max="14378" width="13.3333333333333" style="784" customWidth="1"/>
    <col min="14379" max="14593" width="8.84375" style="784"/>
    <col min="14594" max="14594" width="4.9375" style="784" customWidth="1"/>
    <col min="14595" max="14595" width="9.13541666666667" style="784" customWidth="1"/>
    <col min="14596" max="14596" width="10.9375" style="784" customWidth="1"/>
    <col min="14597" max="14597" width="13.9375" style="784" customWidth="1"/>
    <col min="14598" max="14598" width="20.53125" style="784" customWidth="1"/>
    <col min="14599" max="14599" width="17.2291666666667" style="784" customWidth="1"/>
    <col min="14600" max="14600" width="15.5833333333333" style="784" customWidth="1"/>
    <col min="14601" max="14601" width="17.6770833333333" style="784" customWidth="1"/>
    <col min="14602" max="14602" width="19.9270833333333" style="784" customWidth="1"/>
    <col min="14603" max="14603" width="15.1354166666667" style="784" customWidth="1"/>
    <col min="14604" max="14604" width="16.3333333333333" style="784" customWidth="1"/>
    <col min="14605" max="14605" width="15.1354166666667" style="784" customWidth="1"/>
    <col min="14606" max="14606" width="16.3333333333333" style="784" customWidth="1"/>
    <col min="14607" max="14607" width="15.1354166666667" style="784" customWidth="1"/>
    <col min="14608" max="14608" width="16.3333333333333" style="784" customWidth="1"/>
    <col min="14609" max="14609" width="11.0833333333333" style="784" customWidth="1"/>
    <col min="14610" max="14610" width="9.29166666666667" style="784" customWidth="1"/>
    <col min="14611" max="14611" width="13.6354166666667" style="784" customWidth="1"/>
    <col min="14612" max="14612" width="6.89583333333333" style="784" customWidth="1"/>
    <col min="14613" max="14613" width="9.58333333333333" style="784" customWidth="1"/>
    <col min="14614" max="14614" width="14.2395833333333" style="784" customWidth="1"/>
    <col min="14615" max="14616" width="7.64583333333333" style="784" customWidth="1"/>
    <col min="14617" max="14617" width="1.64583333333333" style="784" customWidth="1"/>
    <col min="14618" max="14618" width="25.7708333333333" style="784" customWidth="1"/>
    <col min="14619" max="14619" width="10.6354166666667" style="784" customWidth="1"/>
    <col min="14620" max="14620" width="19.625" style="784" customWidth="1"/>
    <col min="14621" max="14621" width="14.2395833333333" style="784" customWidth="1"/>
    <col min="14622" max="14622" width="8.6875" style="784" customWidth="1"/>
    <col min="14623" max="14623" width="13.3333333333333" style="784" customWidth="1"/>
    <col min="14624" max="14624" width="11.0833333333333" style="784" customWidth="1"/>
    <col min="14625" max="14625" width="8.84375" style="784"/>
    <col min="14626" max="14627" width="9.13541666666667" style="784" customWidth="1"/>
    <col min="14628" max="14628" width="2.39583333333333" style="784" customWidth="1"/>
    <col min="14629" max="14629" width="15.28125" style="784" customWidth="1"/>
    <col min="14630" max="14630" width="15.1354166666667" style="784" customWidth="1"/>
    <col min="14631" max="14631" width="20.2291666666667" style="784" customWidth="1"/>
    <col min="14632" max="14632" width="13.3333333333333" style="784" customWidth="1"/>
    <col min="14633" max="14633" width="10.0416666666667" style="784" customWidth="1"/>
    <col min="14634" max="14634" width="13.3333333333333" style="784" customWidth="1"/>
    <col min="14635" max="14849" width="8.84375" style="784"/>
    <col min="14850" max="14850" width="4.9375" style="784" customWidth="1"/>
    <col min="14851" max="14851" width="9.13541666666667" style="784" customWidth="1"/>
    <col min="14852" max="14852" width="10.9375" style="784" customWidth="1"/>
    <col min="14853" max="14853" width="13.9375" style="784" customWidth="1"/>
    <col min="14854" max="14854" width="20.53125" style="784" customWidth="1"/>
    <col min="14855" max="14855" width="17.2291666666667" style="784" customWidth="1"/>
    <col min="14856" max="14856" width="15.5833333333333" style="784" customWidth="1"/>
    <col min="14857" max="14857" width="17.6770833333333" style="784" customWidth="1"/>
    <col min="14858" max="14858" width="19.9270833333333" style="784" customWidth="1"/>
    <col min="14859" max="14859" width="15.1354166666667" style="784" customWidth="1"/>
    <col min="14860" max="14860" width="16.3333333333333" style="784" customWidth="1"/>
    <col min="14861" max="14861" width="15.1354166666667" style="784" customWidth="1"/>
    <col min="14862" max="14862" width="16.3333333333333" style="784" customWidth="1"/>
    <col min="14863" max="14863" width="15.1354166666667" style="784" customWidth="1"/>
    <col min="14864" max="14864" width="16.3333333333333" style="784" customWidth="1"/>
    <col min="14865" max="14865" width="11.0833333333333" style="784" customWidth="1"/>
    <col min="14866" max="14866" width="9.29166666666667" style="784" customWidth="1"/>
    <col min="14867" max="14867" width="13.6354166666667" style="784" customWidth="1"/>
    <col min="14868" max="14868" width="6.89583333333333" style="784" customWidth="1"/>
    <col min="14869" max="14869" width="9.58333333333333" style="784" customWidth="1"/>
    <col min="14870" max="14870" width="14.2395833333333" style="784" customWidth="1"/>
    <col min="14871" max="14872" width="7.64583333333333" style="784" customWidth="1"/>
    <col min="14873" max="14873" width="1.64583333333333" style="784" customWidth="1"/>
    <col min="14874" max="14874" width="25.7708333333333" style="784" customWidth="1"/>
    <col min="14875" max="14875" width="10.6354166666667" style="784" customWidth="1"/>
    <col min="14876" max="14876" width="19.625" style="784" customWidth="1"/>
    <col min="14877" max="14877" width="14.2395833333333" style="784" customWidth="1"/>
    <col min="14878" max="14878" width="8.6875" style="784" customWidth="1"/>
    <col min="14879" max="14879" width="13.3333333333333" style="784" customWidth="1"/>
    <col min="14880" max="14880" width="11.0833333333333" style="784" customWidth="1"/>
    <col min="14881" max="14881" width="8.84375" style="784"/>
    <col min="14882" max="14883" width="9.13541666666667" style="784" customWidth="1"/>
    <col min="14884" max="14884" width="2.39583333333333" style="784" customWidth="1"/>
    <col min="14885" max="14885" width="15.28125" style="784" customWidth="1"/>
    <col min="14886" max="14886" width="15.1354166666667" style="784" customWidth="1"/>
    <col min="14887" max="14887" width="20.2291666666667" style="784" customWidth="1"/>
    <col min="14888" max="14888" width="13.3333333333333" style="784" customWidth="1"/>
    <col min="14889" max="14889" width="10.0416666666667" style="784" customWidth="1"/>
    <col min="14890" max="14890" width="13.3333333333333" style="784" customWidth="1"/>
    <col min="14891" max="15105" width="8.84375" style="784"/>
    <col min="15106" max="15106" width="4.9375" style="784" customWidth="1"/>
    <col min="15107" max="15107" width="9.13541666666667" style="784" customWidth="1"/>
    <col min="15108" max="15108" width="10.9375" style="784" customWidth="1"/>
    <col min="15109" max="15109" width="13.9375" style="784" customWidth="1"/>
    <col min="15110" max="15110" width="20.53125" style="784" customWidth="1"/>
    <col min="15111" max="15111" width="17.2291666666667" style="784" customWidth="1"/>
    <col min="15112" max="15112" width="15.5833333333333" style="784" customWidth="1"/>
    <col min="15113" max="15113" width="17.6770833333333" style="784" customWidth="1"/>
    <col min="15114" max="15114" width="19.9270833333333" style="784" customWidth="1"/>
    <col min="15115" max="15115" width="15.1354166666667" style="784" customWidth="1"/>
    <col min="15116" max="15116" width="16.3333333333333" style="784" customWidth="1"/>
    <col min="15117" max="15117" width="15.1354166666667" style="784" customWidth="1"/>
    <col min="15118" max="15118" width="16.3333333333333" style="784" customWidth="1"/>
    <col min="15119" max="15119" width="15.1354166666667" style="784" customWidth="1"/>
    <col min="15120" max="15120" width="16.3333333333333" style="784" customWidth="1"/>
    <col min="15121" max="15121" width="11.0833333333333" style="784" customWidth="1"/>
    <col min="15122" max="15122" width="9.29166666666667" style="784" customWidth="1"/>
    <col min="15123" max="15123" width="13.6354166666667" style="784" customWidth="1"/>
    <col min="15124" max="15124" width="6.89583333333333" style="784" customWidth="1"/>
    <col min="15125" max="15125" width="9.58333333333333" style="784" customWidth="1"/>
    <col min="15126" max="15126" width="14.2395833333333" style="784" customWidth="1"/>
    <col min="15127" max="15128" width="7.64583333333333" style="784" customWidth="1"/>
    <col min="15129" max="15129" width="1.64583333333333" style="784" customWidth="1"/>
    <col min="15130" max="15130" width="25.7708333333333" style="784" customWidth="1"/>
    <col min="15131" max="15131" width="10.6354166666667" style="784" customWidth="1"/>
    <col min="15132" max="15132" width="19.625" style="784" customWidth="1"/>
    <col min="15133" max="15133" width="14.2395833333333" style="784" customWidth="1"/>
    <col min="15134" max="15134" width="8.6875" style="784" customWidth="1"/>
    <col min="15135" max="15135" width="13.3333333333333" style="784" customWidth="1"/>
    <col min="15136" max="15136" width="11.0833333333333" style="784" customWidth="1"/>
    <col min="15137" max="15137" width="8.84375" style="784"/>
    <col min="15138" max="15139" width="9.13541666666667" style="784" customWidth="1"/>
    <col min="15140" max="15140" width="2.39583333333333" style="784" customWidth="1"/>
    <col min="15141" max="15141" width="15.28125" style="784" customWidth="1"/>
    <col min="15142" max="15142" width="15.1354166666667" style="784" customWidth="1"/>
    <col min="15143" max="15143" width="20.2291666666667" style="784" customWidth="1"/>
    <col min="15144" max="15144" width="13.3333333333333" style="784" customWidth="1"/>
    <col min="15145" max="15145" width="10.0416666666667" style="784" customWidth="1"/>
    <col min="15146" max="15146" width="13.3333333333333" style="784" customWidth="1"/>
    <col min="15147" max="15361" width="8.84375" style="784"/>
    <col min="15362" max="15362" width="4.9375" style="784" customWidth="1"/>
    <col min="15363" max="15363" width="9.13541666666667" style="784" customWidth="1"/>
    <col min="15364" max="15364" width="10.9375" style="784" customWidth="1"/>
    <col min="15365" max="15365" width="13.9375" style="784" customWidth="1"/>
    <col min="15366" max="15366" width="20.53125" style="784" customWidth="1"/>
    <col min="15367" max="15367" width="17.2291666666667" style="784" customWidth="1"/>
    <col min="15368" max="15368" width="15.5833333333333" style="784" customWidth="1"/>
    <col min="15369" max="15369" width="17.6770833333333" style="784" customWidth="1"/>
    <col min="15370" max="15370" width="19.9270833333333" style="784" customWidth="1"/>
    <col min="15371" max="15371" width="15.1354166666667" style="784" customWidth="1"/>
    <col min="15372" max="15372" width="16.3333333333333" style="784" customWidth="1"/>
    <col min="15373" max="15373" width="15.1354166666667" style="784" customWidth="1"/>
    <col min="15374" max="15374" width="16.3333333333333" style="784" customWidth="1"/>
    <col min="15375" max="15375" width="15.1354166666667" style="784" customWidth="1"/>
    <col min="15376" max="15376" width="16.3333333333333" style="784" customWidth="1"/>
    <col min="15377" max="15377" width="11.0833333333333" style="784" customWidth="1"/>
    <col min="15378" max="15378" width="9.29166666666667" style="784" customWidth="1"/>
    <col min="15379" max="15379" width="13.6354166666667" style="784" customWidth="1"/>
    <col min="15380" max="15380" width="6.89583333333333" style="784" customWidth="1"/>
    <col min="15381" max="15381" width="9.58333333333333" style="784" customWidth="1"/>
    <col min="15382" max="15382" width="14.2395833333333" style="784" customWidth="1"/>
    <col min="15383" max="15384" width="7.64583333333333" style="784" customWidth="1"/>
    <col min="15385" max="15385" width="1.64583333333333" style="784" customWidth="1"/>
    <col min="15386" max="15386" width="25.7708333333333" style="784" customWidth="1"/>
    <col min="15387" max="15387" width="10.6354166666667" style="784" customWidth="1"/>
    <col min="15388" max="15388" width="19.625" style="784" customWidth="1"/>
    <col min="15389" max="15389" width="14.2395833333333" style="784" customWidth="1"/>
    <col min="15390" max="15390" width="8.6875" style="784" customWidth="1"/>
    <col min="15391" max="15391" width="13.3333333333333" style="784" customWidth="1"/>
    <col min="15392" max="15392" width="11.0833333333333" style="784" customWidth="1"/>
    <col min="15393" max="15393" width="8.84375" style="784"/>
    <col min="15394" max="15395" width="9.13541666666667" style="784" customWidth="1"/>
    <col min="15396" max="15396" width="2.39583333333333" style="784" customWidth="1"/>
    <col min="15397" max="15397" width="15.28125" style="784" customWidth="1"/>
    <col min="15398" max="15398" width="15.1354166666667" style="784" customWidth="1"/>
    <col min="15399" max="15399" width="20.2291666666667" style="784" customWidth="1"/>
    <col min="15400" max="15400" width="13.3333333333333" style="784" customWidth="1"/>
    <col min="15401" max="15401" width="10.0416666666667" style="784" customWidth="1"/>
    <col min="15402" max="15402" width="13.3333333333333" style="784" customWidth="1"/>
    <col min="15403" max="15617" width="8.84375" style="784"/>
    <col min="15618" max="15618" width="4.9375" style="784" customWidth="1"/>
    <col min="15619" max="15619" width="9.13541666666667" style="784" customWidth="1"/>
    <col min="15620" max="15620" width="10.9375" style="784" customWidth="1"/>
    <col min="15621" max="15621" width="13.9375" style="784" customWidth="1"/>
    <col min="15622" max="15622" width="20.53125" style="784" customWidth="1"/>
    <col min="15623" max="15623" width="17.2291666666667" style="784" customWidth="1"/>
    <col min="15624" max="15624" width="15.5833333333333" style="784" customWidth="1"/>
    <col min="15625" max="15625" width="17.6770833333333" style="784" customWidth="1"/>
    <col min="15626" max="15626" width="19.9270833333333" style="784" customWidth="1"/>
    <col min="15627" max="15627" width="15.1354166666667" style="784" customWidth="1"/>
    <col min="15628" max="15628" width="16.3333333333333" style="784" customWidth="1"/>
    <col min="15629" max="15629" width="15.1354166666667" style="784" customWidth="1"/>
    <col min="15630" max="15630" width="16.3333333333333" style="784" customWidth="1"/>
    <col min="15631" max="15631" width="15.1354166666667" style="784" customWidth="1"/>
    <col min="15632" max="15632" width="16.3333333333333" style="784" customWidth="1"/>
    <col min="15633" max="15633" width="11.0833333333333" style="784" customWidth="1"/>
    <col min="15634" max="15634" width="9.29166666666667" style="784" customWidth="1"/>
    <col min="15635" max="15635" width="13.6354166666667" style="784" customWidth="1"/>
    <col min="15636" max="15636" width="6.89583333333333" style="784" customWidth="1"/>
    <col min="15637" max="15637" width="9.58333333333333" style="784" customWidth="1"/>
    <col min="15638" max="15638" width="14.2395833333333" style="784" customWidth="1"/>
    <col min="15639" max="15640" width="7.64583333333333" style="784" customWidth="1"/>
    <col min="15641" max="15641" width="1.64583333333333" style="784" customWidth="1"/>
    <col min="15642" max="15642" width="25.7708333333333" style="784" customWidth="1"/>
    <col min="15643" max="15643" width="10.6354166666667" style="784" customWidth="1"/>
    <col min="15644" max="15644" width="19.625" style="784" customWidth="1"/>
    <col min="15645" max="15645" width="14.2395833333333" style="784" customWidth="1"/>
    <col min="15646" max="15646" width="8.6875" style="784" customWidth="1"/>
    <col min="15647" max="15647" width="13.3333333333333" style="784" customWidth="1"/>
    <col min="15648" max="15648" width="11.0833333333333" style="784" customWidth="1"/>
    <col min="15649" max="15649" width="8.84375" style="784"/>
    <col min="15650" max="15651" width="9.13541666666667" style="784" customWidth="1"/>
    <col min="15652" max="15652" width="2.39583333333333" style="784" customWidth="1"/>
    <col min="15653" max="15653" width="15.28125" style="784" customWidth="1"/>
    <col min="15654" max="15654" width="15.1354166666667" style="784" customWidth="1"/>
    <col min="15655" max="15655" width="20.2291666666667" style="784" customWidth="1"/>
    <col min="15656" max="15656" width="13.3333333333333" style="784" customWidth="1"/>
    <col min="15657" max="15657" width="10.0416666666667" style="784" customWidth="1"/>
    <col min="15658" max="15658" width="13.3333333333333" style="784" customWidth="1"/>
    <col min="15659" max="15873" width="8.84375" style="784"/>
    <col min="15874" max="15874" width="4.9375" style="784" customWidth="1"/>
    <col min="15875" max="15875" width="9.13541666666667" style="784" customWidth="1"/>
    <col min="15876" max="15876" width="10.9375" style="784" customWidth="1"/>
    <col min="15877" max="15877" width="13.9375" style="784" customWidth="1"/>
    <col min="15878" max="15878" width="20.53125" style="784" customWidth="1"/>
    <col min="15879" max="15879" width="17.2291666666667" style="784" customWidth="1"/>
    <col min="15880" max="15880" width="15.5833333333333" style="784" customWidth="1"/>
    <col min="15881" max="15881" width="17.6770833333333" style="784" customWidth="1"/>
    <col min="15882" max="15882" width="19.9270833333333" style="784" customWidth="1"/>
    <col min="15883" max="15883" width="15.1354166666667" style="784" customWidth="1"/>
    <col min="15884" max="15884" width="16.3333333333333" style="784" customWidth="1"/>
    <col min="15885" max="15885" width="15.1354166666667" style="784" customWidth="1"/>
    <col min="15886" max="15886" width="16.3333333333333" style="784" customWidth="1"/>
    <col min="15887" max="15887" width="15.1354166666667" style="784" customWidth="1"/>
    <col min="15888" max="15888" width="16.3333333333333" style="784" customWidth="1"/>
    <col min="15889" max="15889" width="11.0833333333333" style="784" customWidth="1"/>
    <col min="15890" max="15890" width="9.29166666666667" style="784" customWidth="1"/>
    <col min="15891" max="15891" width="13.6354166666667" style="784" customWidth="1"/>
    <col min="15892" max="15892" width="6.89583333333333" style="784" customWidth="1"/>
    <col min="15893" max="15893" width="9.58333333333333" style="784" customWidth="1"/>
    <col min="15894" max="15894" width="14.2395833333333" style="784" customWidth="1"/>
    <col min="15895" max="15896" width="7.64583333333333" style="784" customWidth="1"/>
    <col min="15897" max="15897" width="1.64583333333333" style="784" customWidth="1"/>
    <col min="15898" max="15898" width="25.7708333333333" style="784" customWidth="1"/>
    <col min="15899" max="15899" width="10.6354166666667" style="784" customWidth="1"/>
    <col min="15900" max="15900" width="19.625" style="784" customWidth="1"/>
    <col min="15901" max="15901" width="14.2395833333333" style="784" customWidth="1"/>
    <col min="15902" max="15902" width="8.6875" style="784" customWidth="1"/>
    <col min="15903" max="15903" width="13.3333333333333" style="784" customWidth="1"/>
    <col min="15904" max="15904" width="11.0833333333333" style="784" customWidth="1"/>
    <col min="15905" max="15905" width="8.84375" style="784"/>
    <col min="15906" max="15907" width="9.13541666666667" style="784" customWidth="1"/>
    <col min="15908" max="15908" width="2.39583333333333" style="784" customWidth="1"/>
    <col min="15909" max="15909" width="15.28125" style="784" customWidth="1"/>
    <col min="15910" max="15910" width="15.1354166666667" style="784" customWidth="1"/>
    <col min="15911" max="15911" width="20.2291666666667" style="784" customWidth="1"/>
    <col min="15912" max="15912" width="13.3333333333333" style="784" customWidth="1"/>
    <col min="15913" max="15913" width="10.0416666666667" style="784" customWidth="1"/>
    <col min="15914" max="15914" width="13.3333333333333" style="784" customWidth="1"/>
    <col min="15915" max="16129" width="8.84375" style="784"/>
    <col min="16130" max="16130" width="4.9375" style="784" customWidth="1"/>
    <col min="16131" max="16131" width="9.13541666666667" style="784" customWidth="1"/>
    <col min="16132" max="16132" width="10.9375" style="784" customWidth="1"/>
    <col min="16133" max="16133" width="13.9375" style="784" customWidth="1"/>
    <col min="16134" max="16134" width="20.53125" style="784" customWidth="1"/>
    <col min="16135" max="16135" width="17.2291666666667" style="784" customWidth="1"/>
    <col min="16136" max="16136" width="15.5833333333333" style="784" customWidth="1"/>
    <col min="16137" max="16137" width="17.6770833333333" style="784" customWidth="1"/>
    <col min="16138" max="16138" width="19.9270833333333" style="784" customWidth="1"/>
    <col min="16139" max="16139" width="15.1354166666667" style="784" customWidth="1"/>
    <col min="16140" max="16140" width="16.3333333333333" style="784" customWidth="1"/>
    <col min="16141" max="16141" width="15.1354166666667" style="784" customWidth="1"/>
    <col min="16142" max="16142" width="16.3333333333333" style="784" customWidth="1"/>
    <col min="16143" max="16143" width="15.1354166666667" style="784" customWidth="1"/>
    <col min="16144" max="16144" width="16.3333333333333" style="784" customWidth="1"/>
    <col min="16145" max="16145" width="11.0833333333333" style="784" customWidth="1"/>
    <col min="16146" max="16146" width="9.29166666666667" style="784" customWidth="1"/>
    <col min="16147" max="16147" width="13.6354166666667" style="784" customWidth="1"/>
    <col min="16148" max="16148" width="6.89583333333333" style="784" customWidth="1"/>
    <col min="16149" max="16149" width="9.58333333333333" style="784" customWidth="1"/>
    <col min="16150" max="16150" width="14.2395833333333" style="784" customWidth="1"/>
    <col min="16151" max="16152" width="7.64583333333333" style="784" customWidth="1"/>
    <col min="16153" max="16153" width="1.64583333333333" style="784" customWidth="1"/>
    <col min="16154" max="16154" width="25.7708333333333" style="784" customWidth="1"/>
    <col min="16155" max="16155" width="10.6354166666667" style="784" customWidth="1"/>
    <col min="16156" max="16156" width="19.625" style="784" customWidth="1"/>
    <col min="16157" max="16157" width="14.2395833333333" style="784" customWidth="1"/>
    <col min="16158" max="16158" width="8.6875" style="784" customWidth="1"/>
    <col min="16159" max="16159" width="13.3333333333333" style="784" customWidth="1"/>
    <col min="16160" max="16160" width="11.0833333333333" style="784" customWidth="1"/>
    <col min="16161" max="16161" width="8.84375" style="784"/>
    <col min="16162" max="16163" width="9.13541666666667" style="784" customWidth="1"/>
    <col min="16164" max="16164" width="2.39583333333333" style="784" customWidth="1"/>
    <col min="16165" max="16165" width="15.28125" style="784" customWidth="1"/>
    <col min="16166" max="16166" width="15.1354166666667" style="784" customWidth="1"/>
    <col min="16167" max="16167" width="20.2291666666667" style="784" customWidth="1"/>
    <col min="16168" max="16168" width="13.3333333333333" style="784" customWidth="1"/>
    <col min="16169" max="16169" width="10.0416666666667" style="784" customWidth="1"/>
    <col min="16170" max="16170" width="13.3333333333333" style="784" customWidth="1"/>
    <col min="16171" max="16384" width="8.84375" style="784"/>
  </cols>
  <sheetData>
    <row r="1" ht="8.25" hidden="1" customHeight="1"/>
    <row r="2" ht="8.25" customHeight="1"/>
    <row r="3" s="782" customFormat="1" ht="15.6" spans="2:35">
      <c r="B3" s="782" t="s">
        <v>11765</v>
      </c>
      <c r="C3" s="791"/>
      <c r="D3" s="793"/>
      <c r="F3" s="791"/>
      <c r="G3" s="791"/>
      <c r="H3" s="947"/>
      <c r="I3" s="947"/>
      <c r="J3" s="947"/>
      <c r="K3" s="794"/>
      <c r="L3" s="817"/>
      <c r="M3" s="794"/>
      <c r="N3" s="794"/>
      <c r="O3" s="818"/>
      <c r="P3" s="819"/>
      <c r="R3" s="819"/>
      <c r="S3" s="819"/>
      <c r="T3" s="819"/>
      <c r="U3" s="819"/>
      <c r="V3" s="839"/>
      <c r="X3" s="793"/>
      <c r="Z3" s="791"/>
      <c r="AA3" s="793"/>
      <c r="AB3" s="863"/>
      <c r="AF3" s="793"/>
      <c r="AH3" s="882"/>
      <c r="AI3" s="882"/>
    </row>
    <row r="4" s="782" customFormat="1" ht="15.6" spans="2:35">
      <c r="B4" s="792" t="s">
        <v>13067</v>
      </c>
      <c r="C4" s="791"/>
      <c r="D4" s="793"/>
      <c r="F4" s="791"/>
      <c r="G4" s="791"/>
      <c r="H4" s="947"/>
      <c r="I4" s="947"/>
      <c r="J4" s="947"/>
      <c r="K4" s="794"/>
      <c r="L4" s="794"/>
      <c r="M4" s="794"/>
      <c r="N4" s="794"/>
      <c r="O4" s="820">
        <f>O113</f>
        <v>124801955</v>
      </c>
      <c r="P4" s="819"/>
      <c r="R4" s="819"/>
      <c r="S4" s="819"/>
      <c r="T4" s="819"/>
      <c r="U4" s="819"/>
      <c r="V4" s="839"/>
      <c r="X4" s="793"/>
      <c r="Z4" s="864" t="s">
        <v>1431</v>
      </c>
      <c r="AA4" s="864"/>
      <c r="AB4" s="865"/>
      <c r="AC4" s="864"/>
      <c r="AD4" s="864"/>
      <c r="AE4" s="864"/>
      <c r="AF4" s="864"/>
      <c r="AH4" s="882"/>
      <c r="AI4" s="882"/>
    </row>
    <row r="5" s="782" customFormat="1" ht="15.6" spans="2:35">
      <c r="B5" s="782" t="s">
        <v>13068</v>
      </c>
      <c r="C5" s="791"/>
      <c r="D5" s="793"/>
      <c r="F5" s="791"/>
      <c r="G5" s="791"/>
      <c r="H5" s="947"/>
      <c r="I5" s="947"/>
      <c r="J5" s="947"/>
      <c r="K5" s="794"/>
      <c r="L5" s="794"/>
      <c r="M5" s="794"/>
      <c r="N5" s="794"/>
      <c r="O5" s="820"/>
      <c r="P5" s="819"/>
      <c r="R5" s="819"/>
      <c r="S5" s="819"/>
      <c r="T5" s="819"/>
      <c r="U5" s="819"/>
      <c r="V5" s="839"/>
      <c r="X5" s="793"/>
      <c r="Z5" s="981"/>
      <c r="AA5" s="982"/>
      <c r="AB5" s="983"/>
      <c r="AC5" s="864"/>
      <c r="AD5" s="864"/>
      <c r="AE5" s="982"/>
      <c r="AF5" s="984"/>
      <c r="AH5" s="882"/>
      <c r="AI5" s="882"/>
    </row>
    <row r="6" s="782" customFormat="1" ht="15.6" spans="3:35">
      <c r="C6" s="791"/>
      <c r="D6" s="793"/>
      <c r="F6" s="791"/>
      <c r="G6" s="791"/>
      <c r="H6" s="947"/>
      <c r="I6" s="947"/>
      <c r="J6" s="947"/>
      <c r="K6" s="794"/>
      <c r="L6" s="794"/>
      <c r="M6" s="794"/>
      <c r="N6" s="794"/>
      <c r="O6" s="820"/>
      <c r="P6" s="819"/>
      <c r="R6" s="819"/>
      <c r="S6" s="819"/>
      <c r="T6" s="819"/>
      <c r="U6" s="819"/>
      <c r="V6" s="839"/>
      <c r="X6" s="793"/>
      <c r="Z6" s="981"/>
      <c r="AA6" s="982"/>
      <c r="AB6" s="983"/>
      <c r="AC6" s="864"/>
      <c r="AD6" s="864"/>
      <c r="AE6" s="982"/>
      <c r="AF6" s="984"/>
      <c r="AH6" s="882"/>
      <c r="AI6" s="882"/>
    </row>
    <row r="7" s="782" customFormat="1" ht="15.6" spans="3:35">
      <c r="C7" s="791"/>
      <c r="D7" s="793"/>
      <c r="F7" s="791"/>
      <c r="G7" s="791"/>
      <c r="H7" s="947"/>
      <c r="I7" s="947"/>
      <c r="J7" s="947"/>
      <c r="K7" s="794"/>
      <c r="L7" s="794"/>
      <c r="M7" s="794"/>
      <c r="N7" s="794"/>
      <c r="O7" s="820"/>
      <c r="P7" s="819"/>
      <c r="R7" s="819"/>
      <c r="S7" s="819"/>
      <c r="T7" s="819"/>
      <c r="U7" s="819"/>
      <c r="V7" s="839"/>
      <c r="X7" s="793"/>
      <c r="Z7" s="981"/>
      <c r="AA7" s="982"/>
      <c r="AB7" s="983"/>
      <c r="AC7" s="864"/>
      <c r="AD7" s="864"/>
      <c r="AE7" s="982"/>
      <c r="AF7" s="984"/>
      <c r="AH7" s="882"/>
      <c r="AI7" s="882"/>
    </row>
    <row r="8" s="783" customFormat="1" ht="15" customHeight="1" spans="2:40">
      <c r="B8" s="795" t="s">
        <v>26</v>
      </c>
      <c r="C8" s="796" t="s">
        <v>13069</v>
      </c>
      <c r="D8" s="796"/>
      <c r="E8" s="795" t="s">
        <v>13070</v>
      </c>
      <c r="F8" s="795" t="s">
        <v>12807</v>
      </c>
      <c r="G8" s="796" t="s">
        <v>13071</v>
      </c>
      <c r="H8" s="948" t="s">
        <v>1207</v>
      </c>
      <c r="I8" s="948"/>
      <c r="J8" s="821" t="s">
        <v>13072</v>
      </c>
      <c r="K8" s="822"/>
      <c r="L8" s="823"/>
      <c r="M8" s="824" t="s">
        <v>13073</v>
      </c>
      <c r="N8" s="825" t="s">
        <v>13028</v>
      </c>
      <c r="O8" s="826"/>
      <c r="P8" s="824" t="s">
        <v>13074</v>
      </c>
      <c r="Q8" s="796" t="s">
        <v>11483</v>
      </c>
      <c r="R8" s="840" t="s">
        <v>13075</v>
      </c>
      <c r="S8" s="841"/>
      <c r="T8" s="842"/>
      <c r="U8" s="842" t="s">
        <v>13076</v>
      </c>
      <c r="V8" s="843"/>
      <c r="W8" s="796" t="s">
        <v>13077</v>
      </c>
      <c r="X8" s="796"/>
      <c r="Z8" s="866" t="s">
        <v>12800</v>
      </c>
      <c r="AA8" s="867"/>
      <c r="AB8" s="868"/>
      <c r="AC8" s="869" t="s">
        <v>13078</v>
      </c>
      <c r="AD8" s="869"/>
      <c r="AE8" s="870" t="s">
        <v>13079</v>
      </c>
      <c r="AF8" s="871"/>
      <c r="AG8" s="883" t="s">
        <v>10106</v>
      </c>
      <c r="AH8" s="883"/>
      <c r="AI8" s="883"/>
      <c r="AK8" s="884" t="s">
        <v>13080</v>
      </c>
      <c r="AL8" s="884"/>
      <c r="AM8" s="884" t="s">
        <v>13081</v>
      </c>
      <c r="AN8" s="885" t="s">
        <v>13082</v>
      </c>
    </row>
    <row r="9" s="783" customFormat="1" spans="2:40">
      <c r="B9" s="798"/>
      <c r="C9" s="795" t="s">
        <v>13083</v>
      </c>
      <c r="D9" s="799" t="s">
        <v>11483</v>
      </c>
      <c r="E9" s="798"/>
      <c r="F9" s="798"/>
      <c r="G9" s="795" t="s">
        <v>13084</v>
      </c>
      <c r="H9" s="949" t="s">
        <v>11913</v>
      </c>
      <c r="I9" s="949" t="s">
        <v>12706</v>
      </c>
      <c r="J9" s="949" t="s">
        <v>13085</v>
      </c>
      <c r="K9" s="800" t="s">
        <v>13086</v>
      </c>
      <c r="L9" s="800" t="s">
        <v>13087</v>
      </c>
      <c r="M9" s="827" t="s">
        <v>13088</v>
      </c>
      <c r="N9" s="828" t="s">
        <v>11483</v>
      </c>
      <c r="O9" s="824" t="s">
        <v>151</v>
      </c>
      <c r="P9" s="827" t="s">
        <v>13089</v>
      </c>
      <c r="Q9" s="795" t="s">
        <v>12751</v>
      </c>
      <c r="R9" s="827" t="s">
        <v>13090</v>
      </c>
      <c r="S9" s="827" t="s">
        <v>13091</v>
      </c>
      <c r="T9" s="827" t="s">
        <v>11921</v>
      </c>
      <c r="U9" s="827" t="s">
        <v>13092</v>
      </c>
      <c r="V9" s="844" t="s">
        <v>13093</v>
      </c>
      <c r="W9" s="795" t="s">
        <v>13083</v>
      </c>
      <c r="X9" s="799" t="s">
        <v>11483</v>
      </c>
      <c r="Z9" s="872" t="s">
        <v>13094</v>
      </c>
      <c r="AA9" s="873" t="s">
        <v>11483</v>
      </c>
      <c r="AB9" s="874" t="s">
        <v>1207</v>
      </c>
      <c r="AC9" s="875" t="s">
        <v>13095</v>
      </c>
      <c r="AD9" s="875" t="s">
        <v>13096</v>
      </c>
      <c r="AE9" s="876" t="s">
        <v>12645</v>
      </c>
      <c r="AF9" s="877" t="s">
        <v>13096</v>
      </c>
      <c r="AG9" s="886" t="s">
        <v>13097</v>
      </c>
      <c r="AH9" s="886" t="s">
        <v>13098</v>
      </c>
      <c r="AI9" s="886" t="s">
        <v>13099</v>
      </c>
      <c r="AK9" s="887" t="s">
        <v>13100</v>
      </c>
      <c r="AL9" s="887" t="s">
        <v>13101</v>
      </c>
      <c r="AM9" s="887"/>
      <c r="AN9" s="888"/>
    </row>
    <row r="10" s="783" customFormat="1" spans="2:40">
      <c r="B10" s="801"/>
      <c r="C10" s="801"/>
      <c r="D10" s="802"/>
      <c r="E10" s="801"/>
      <c r="F10" s="801"/>
      <c r="G10" s="801"/>
      <c r="H10" s="950"/>
      <c r="I10" s="950"/>
      <c r="J10" s="950"/>
      <c r="K10" s="803"/>
      <c r="L10" s="803"/>
      <c r="M10" s="803"/>
      <c r="N10" s="803"/>
      <c r="O10" s="803"/>
      <c r="P10" s="829"/>
      <c r="Q10" s="801"/>
      <c r="R10" s="829"/>
      <c r="S10" s="829"/>
      <c r="T10" s="829"/>
      <c r="U10" s="829"/>
      <c r="V10" s="845"/>
      <c r="W10" s="801"/>
      <c r="X10" s="802"/>
      <c r="Z10" s="801"/>
      <c r="AA10" s="802"/>
      <c r="AB10" s="878"/>
      <c r="AC10" s="801"/>
      <c r="AD10" s="801"/>
      <c r="AE10" s="801"/>
      <c r="AF10" s="802"/>
      <c r="AG10" s="801"/>
      <c r="AH10" s="889"/>
      <c r="AI10" s="890"/>
      <c r="AK10" s="803"/>
      <c r="AL10" s="803"/>
      <c r="AM10" s="803"/>
      <c r="AN10" s="891"/>
    </row>
    <row r="11" s="783" customFormat="1" ht="18.75" hidden="1" customHeight="1" spans="1:43">
      <c r="A11" s="943"/>
      <c r="B11" s="951" t="s">
        <v>13102</v>
      </c>
      <c r="C11" s="952"/>
      <c r="D11" s="953"/>
      <c r="E11" s="954"/>
      <c r="F11" s="955"/>
      <c r="G11" s="955"/>
      <c r="H11" s="809"/>
      <c r="I11" s="809"/>
      <c r="J11" s="809"/>
      <c r="K11" s="830"/>
      <c r="L11" s="830"/>
      <c r="M11" s="830"/>
      <c r="N11" s="830"/>
      <c r="O11" s="830"/>
      <c r="P11" s="962">
        <v>0</v>
      </c>
      <c r="Q11" s="965"/>
      <c r="R11" s="847"/>
      <c r="S11" s="847"/>
      <c r="T11" s="847"/>
      <c r="U11" s="966"/>
      <c r="V11" s="967"/>
      <c r="W11" s="968"/>
      <c r="X11" s="969"/>
      <c r="Y11" s="943"/>
      <c r="Z11" s="968"/>
      <c r="AA11" s="969"/>
      <c r="AB11" s="969"/>
      <c r="AC11" s="985"/>
      <c r="AD11" s="985"/>
      <c r="AE11" s="985"/>
      <c r="AF11" s="985"/>
      <c r="AG11" s="968"/>
      <c r="AH11" s="988"/>
      <c r="AI11" s="989"/>
      <c r="AJ11" s="943"/>
      <c r="AK11" s="809"/>
      <c r="AL11" s="809"/>
      <c r="AM11" s="809"/>
      <c r="AN11" s="990"/>
      <c r="AO11" s="943"/>
      <c r="AP11" s="943"/>
      <c r="AQ11" s="943"/>
    </row>
    <row r="12" s="783" customFormat="1" ht="18.75" hidden="1" customHeight="1" spans="1:43">
      <c r="A12" s="943">
        <f>MONTH(D12)</f>
        <v>1</v>
      </c>
      <c r="B12" s="956">
        <v>1</v>
      </c>
      <c r="C12" s="758" t="s">
        <v>13103</v>
      </c>
      <c r="D12" s="759">
        <v>44579</v>
      </c>
      <c r="E12" s="957" t="s">
        <v>1479</v>
      </c>
      <c r="F12" s="758" t="s">
        <v>13104</v>
      </c>
      <c r="G12" s="758" t="s">
        <v>13105</v>
      </c>
      <c r="H12" s="958"/>
      <c r="I12" s="958"/>
      <c r="J12" s="958"/>
      <c r="K12" s="958"/>
      <c r="L12" s="958"/>
      <c r="M12" s="963">
        <f t="shared" ref="M12:M77" si="0">+P11-J12+K12</f>
        <v>0</v>
      </c>
      <c r="N12" s="964"/>
      <c r="O12" s="963"/>
      <c r="P12" s="963">
        <f t="shared" ref="P12:P77" si="1">+M12-O12</f>
        <v>0</v>
      </c>
      <c r="Q12" s="970"/>
      <c r="R12" s="971">
        <v>44562</v>
      </c>
      <c r="S12" s="972"/>
      <c r="T12" s="972"/>
      <c r="U12" s="973"/>
      <c r="V12" s="974"/>
      <c r="W12" s="758"/>
      <c r="X12" s="759"/>
      <c r="Y12" s="944"/>
      <c r="Z12" s="968"/>
      <c r="AA12" s="969"/>
      <c r="AB12" s="969"/>
      <c r="AC12" s="986"/>
      <c r="AD12" s="986"/>
      <c r="AE12" s="986"/>
      <c r="AF12" s="986"/>
      <c r="AG12" s="968"/>
      <c r="AH12" s="988"/>
      <c r="AI12" s="989"/>
      <c r="AJ12" s="944"/>
      <c r="AK12" s="958">
        <f t="shared" ref="AK12:AL30" si="2">IF(K12&gt;0,K12/10%,0)</f>
        <v>0</v>
      </c>
      <c r="AL12" s="958">
        <f t="shared" si="2"/>
        <v>0</v>
      </c>
      <c r="AM12" s="958">
        <f t="shared" ref="AM12:AM77" si="3">IF(J12&gt;0,J12/10%,0)</f>
        <v>0</v>
      </c>
      <c r="AN12" s="991">
        <f t="shared" ref="AN12:AN27" si="4">SUM(AK12:AM12)-SUM(H12,I12)</f>
        <v>0</v>
      </c>
      <c r="AO12" s="943"/>
      <c r="AP12" s="943"/>
      <c r="AQ12" s="943"/>
    </row>
    <row r="13" s="783" customFormat="1" ht="15" hidden="1" customHeight="1" spans="1:43">
      <c r="A13" s="943">
        <f t="shared" ref="A13:A76" si="5">MONTH(D13)</f>
        <v>1</v>
      </c>
      <c r="B13" s="956">
        <v>2</v>
      </c>
      <c r="C13" s="758" t="s">
        <v>13106</v>
      </c>
      <c r="D13" s="759">
        <v>44579</v>
      </c>
      <c r="E13" s="959" t="s">
        <v>1479</v>
      </c>
      <c r="F13" s="758" t="s">
        <v>13104</v>
      </c>
      <c r="G13" s="758" t="s">
        <v>13105</v>
      </c>
      <c r="H13" s="960"/>
      <c r="I13" s="960"/>
      <c r="J13" s="958"/>
      <c r="K13" s="960"/>
      <c r="L13" s="960"/>
      <c r="M13" s="963">
        <f t="shared" si="0"/>
        <v>0</v>
      </c>
      <c r="N13" s="964"/>
      <c r="O13" s="963"/>
      <c r="P13" s="963">
        <f t="shared" si="1"/>
        <v>0</v>
      </c>
      <c r="Q13" s="975"/>
      <c r="R13" s="971">
        <v>44562</v>
      </c>
      <c r="S13" s="976"/>
      <c r="T13" s="976"/>
      <c r="U13" s="973"/>
      <c r="V13" s="974"/>
      <c r="W13" s="758"/>
      <c r="X13" s="759"/>
      <c r="Y13" s="943"/>
      <c r="Z13" s="968"/>
      <c r="AA13" s="969"/>
      <c r="AB13" s="986"/>
      <c r="AC13" s="986"/>
      <c r="AD13" s="986"/>
      <c r="AE13" s="986"/>
      <c r="AF13" s="986"/>
      <c r="AG13" s="968"/>
      <c r="AH13" s="988"/>
      <c r="AI13" s="989"/>
      <c r="AJ13" s="943"/>
      <c r="AK13" s="958">
        <f t="shared" si="2"/>
        <v>0</v>
      </c>
      <c r="AL13" s="958">
        <f t="shared" si="2"/>
        <v>0</v>
      </c>
      <c r="AM13" s="958">
        <f t="shared" si="3"/>
        <v>0</v>
      </c>
      <c r="AN13" s="991">
        <f t="shared" si="4"/>
        <v>0</v>
      </c>
      <c r="AO13" s="943"/>
      <c r="AP13" s="943"/>
      <c r="AQ13" s="943"/>
    </row>
    <row r="14" s="783" customFormat="1" ht="15" hidden="1" customHeight="1" spans="1:43">
      <c r="A14" s="943">
        <f t="shared" si="5"/>
        <v>1</v>
      </c>
      <c r="B14" s="956">
        <v>3</v>
      </c>
      <c r="C14" s="758" t="s">
        <v>13107</v>
      </c>
      <c r="D14" s="759">
        <v>44579</v>
      </c>
      <c r="E14" s="959" t="s">
        <v>1479</v>
      </c>
      <c r="F14" s="758" t="s">
        <v>13104</v>
      </c>
      <c r="G14" s="758" t="s">
        <v>13105</v>
      </c>
      <c r="H14" s="960">
        <v>0</v>
      </c>
      <c r="I14" s="960"/>
      <c r="J14" s="958"/>
      <c r="K14" s="960"/>
      <c r="L14" s="960"/>
      <c r="M14" s="963">
        <f t="shared" si="0"/>
        <v>0</v>
      </c>
      <c r="N14" s="964"/>
      <c r="O14" s="963"/>
      <c r="P14" s="963">
        <f t="shared" si="1"/>
        <v>0</v>
      </c>
      <c r="Q14" s="977"/>
      <c r="R14" s="971">
        <v>44562</v>
      </c>
      <c r="S14" s="976"/>
      <c r="T14" s="976"/>
      <c r="U14" s="973"/>
      <c r="V14" s="974"/>
      <c r="W14" s="758"/>
      <c r="X14" s="759"/>
      <c r="Y14" s="943"/>
      <c r="Z14" s="968"/>
      <c r="AA14" s="969"/>
      <c r="AB14" s="958"/>
      <c r="AC14" s="986"/>
      <c r="AD14" s="986"/>
      <c r="AE14" s="986"/>
      <c r="AF14" s="986"/>
      <c r="AG14" s="968"/>
      <c r="AH14" s="988"/>
      <c r="AI14" s="989"/>
      <c r="AJ14" s="943"/>
      <c r="AK14" s="958">
        <f t="shared" si="2"/>
        <v>0</v>
      </c>
      <c r="AL14" s="958">
        <f t="shared" si="2"/>
        <v>0</v>
      </c>
      <c r="AM14" s="958">
        <f t="shared" si="3"/>
        <v>0</v>
      </c>
      <c r="AN14" s="991">
        <f t="shared" si="4"/>
        <v>0</v>
      </c>
      <c r="AO14" s="943"/>
      <c r="AP14" s="943"/>
      <c r="AQ14" s="943"/>
    </row>
    <row r="15" s="783" customFormat="1" ht="15" hidden="1" customHeight="1" spans="1:43">
      <c r="A15" s="943">
        <f t="shared" si="5"/>
        <v>1</v>
      </c>
      <c r="B15" s="956">
        <v>4</v>
      </c>
      <c r="C15" s="758" t="s">
        <v>13108</v>
      </c>
      <c r="D15" s="759">
        <v>44579</v>
      </c>
      <c r="E15" s="959" t="s">
        <v>1479</v>
      </c>
      <c r="F15" s="758" t="s">
        <v>13104</v>
      </c>
      <c r="G15" s="758" t="s">
        <v>13105</v>
      </c>
      <c r="H15" s="960"/>
      <c r="I15" s="960"/>
      <c r="J15" s="958"/>
      <c r="K15" s="960"/>
      <c r="L15" s="960"/>
      <c r="M15" s="963">
        <f t="shared" si="0"/>
        <v>0</v>
      </c>
      <c r="N15" s="964"/>
      <c r="O15" s="963"/>
      <c r="P15" s="963">
        <f t="shared" si="1"/>
        <v>0</v>
      </c>
      <c r="Q15" s="978"/>
      <c r="R15" s="971">
        <v>44562</v>
      </c>
      <c r="S15" s="976"/>
      <c r="T15" s="976"/>
      <c r="U15" s="973"/>
      <c r="V15" s="974"/>
      <c r="W15" s="758"/>
      <c r="X15" s="759"/>
      <c r="Y15" s="943"/>
      <c r="Z15" s="968"/>
      <c r="AA15" s="969"/>
      <c r="AB15" s="986"/>
      <c r="AC15" s="986"/>
      <c r="AD15" s="986"/>
      <c r="AE15" s="986"/>
      <c r="AF15" s="986"/>
      <c r="AG15" s="968"/>
      <c r="AH15" s="988"/>
      <c r="AI15" s="989"/>
      <c r="AJ15" s="943"/>
      <c r="AK15" s="958">
        <f t="shared" si="2"/>
        <v>0</v>
      </c>
      <c r="AL15" s="958">
        <f t="shared" si="2"/>
        <v>0</v>
      </c>
      <c r="AM15" s="958">
        <f t="shared" si="3"/>
        <v>0</v>
      </c>
      <c r="AN15" s="991">
        <f t="shared" si="4"/>
        <v>0</v>
      </c>
      <c r="AO15" s="943"/>
      <c r="AP15" s="943"/>
      <c r="AQ15" s="943"/>
    </row>
    <row r="16" s="943" customFormat="1" ht="15" customHeight="1" spans="1:40">
      <c r="A16" s="943">
        <f t="shared" si="5"/>
        <v>1</v>
      </c>
      <c r="B16" s="956">
        <v>5</v>
      </c>
      <c r="C16" s="758" t="s">
        <v>13109</v>
      </c>
      <c r="D16" s="759">
        <v>44581</v>
      </c>
      <c r="E16" s="959" t="s">
        <v>13008</v>
      </c>
      <c r="F16" s="758" t="s">
        <v>13110</v>
      </c>
      <c r="G16" s="758" t="s">
        <v>13105</v>
      </c>
      <c r="H16" s="960"/>
      <c r="I16" s="779">
        <v>55000000</v>
      </c>
      <c r="J16" s="958"/>
      <c r="K16" s="960">
        <v>5500000</v>
      </c>
      <c r="L16" s="960"/>
      <c r="M16" s="963">
        <f t="shared" si="0"/>
        <v>5500000</v>
      </c>
      <c r="N16" s="964"/>
      <c r="O16" s="963"/>
      <c r="P16" s="963">
        <f t="shared" si="1"/>
        <v>5500000</v>
      </c>
      <c r="Q16" s="979"/>
      <c r="R16" s="971">
        <v>44562</v>
      </c>
      <c r="S16" s="976"/>
      <c r="T16" s="976"/>
      <c r="U16" s="973"/>
      <c r="V16" s="974"/>
      <c r="W16" s="758"/>
      <c r="X16" s="759"/>
      <c r="Z16" s="968"/>
      <c r="AA16" s="969"/>
      <c r="AB16" s="960"/>
      <c r="AC16" s="986">
        <f>+I16*2%</f>
        <v>1100000</v>
      </c>
      <c r="AD16" s="986"/>
      <c r="AE16" s="986"/>
      <c r="AF16" s="986"/>
      <c r="AG16" s="968"/>
      <c r="AH16" s="988"/>
      <c r="AI16" s="989"/>
      <c r="AK16" s="958">
        <f t="shared" si="2"/>
        <v>55000000</v>
      </c>
      <c r="AL16" s="958">
        <f t="shared" si="2"/>
        <v>0</v>
      </c>
      <c r="AM16" s="958">
        <f t="shared" si="3"/>
        <v>0</v>
      </c>
      <c r="AN16" s="992">
        <f t="shared" si="4"/>
        <v>0</v>
      </c>
    </row>
    <row r="17" ht="15" customHeight="1" spans="1:43">
      <c r="A17" s="943">
        <f t="shared" si="5"/>
        <v>1</v>
      </c>
      <c r="B17" s="956">
        <v>6</v>
      </c>
      <c r="C17" s="758" t="s">
        <v>13111</v>
      </c>
      <c r="D17" s="759">
        <v>44581</v>
      </c>
      <c r="E17" s="959" t="s">
        <v>13008</v>
      </c>
      <c r="F17" s="758" t="s">
        <v>13110</v>
      </c>
      <c r="G17" s="758" t="s">
        <v>13105</v>
      </c>
      <c r="H17" s="960"/>
      <c r="I17" s="960">
        <v>13000000</v>
      </c>
      <c r="J17" s="958"/>
      <c r="K17" s="960">
        <v>1300000</v>
      </c>
      <c r="L17" s="960"/>
      <c r="M17" s="963">
        <f t="shared" si="0"/>
        <v>6800000</v>
      </c>
      <c r="N17" s="964"/>
      <c r="O17" s="963"/>
      <c r="P17" s="963">
        <f t="shared" si="1"/>
        <v>6800000</v>
      </c>
      <c r="Q17" s="978"/>
      <c r="R17" s="971">
        <v>44562</v>
      </c>
      <c r="S17" s="972"/>
      <c r="T17" s="972"/>
      <c r="U17" s="973"/>
      <c r="V17" s="974"/>
      <c r="W17" s="758"/>
      <c r="X17" s="759"/>
      <c r="Y17" s="944"/>
      <c r="Z17" s="968"/>
      <c r="AA17" s="969"/>
      <c r="AB17" s="969"/>
      <c r="AC17" s="986">
        <f t="shared" ref="AC17:AC20" si="6">+I17*2%</f>
        <v>260000</v>
      </c>
      <c r="AD17" s="986"/>
      <c r="AE17" s="986"/>
      <c r="AF17" s="986"/>
      <c r="AG17" s="968"/>
      <c r="AH17" s="988"/>
      <c r="AI17" s="989"/>
      <c r="AJ17" s="944"/>
      <c r="AK17" s="958">
        <f t="shared" si="2"/>
        <v>13000000</v>
      </c>
      <c r="AL17" s="958">
        <f t="shared" si="2"/>
        <v>0</v>
      </c>
      <c r="AM17" s="958">
        <f t="shared" si="3"/>
        <v>0</v>
      </c>
      <c r="AN17" s="991">
        <f t="shared" si="4"/>
        <v>0</v>
      </c>
      <c r="AO17" s="944"/>
      <c r="AP17" s="944"/>
      <c r="AQ17" s="944"/>
    </row>
    <row r="18" s="783" customFormat="1" ht="15" customHeight="1" spans="1:43">
      <c r="A18" s="943">
        <f t="shared" si="5"/>
        <v>1</v>
      </c>
      <c r="B18" s="956">
        <v>7</v>
      </c>
      <c r="C18" s="758" t="s">
        <v>13112</v>
      </c>
      <c r="D18" s="759">
        <v>44581</v>
      </c>
      <c r="E18" s="959" t="s">
        <v>13008</v>
      </c>
      <c r="F18" s="758" t="s">
        <v>13110</v>
      </c>
      <c r="G18" s="758" t="s">
        <v>13105</v>
      </c>
      <c r="H18" s="960"/>
      <c r="I18" s="960">
        <v>9000000</v>
      </c>
      <c r="J18" s="958"/>
      <c r="K18" s="960">
        <v>900000</v>
      </c>
      <c r="L18" s="960"/>
      <c r="M18" s="963">
        <f t="shared" si="0"/>
        <v>7700000</v>
      </c>
      <c r="N18" s="964"/>
      <c r="O18" s="963"/>
      <c r="P18" s="963">
        <f t="shared" si="1"/>
        <v>7700000</v>
      </c>
      <c r="Q18" s="978"/>
      <c r="R18" s="971">
        <v>44562</v>
      </c>
      <c r="S18" s="976"/>
      <c r="T18" s="976"/>
      <c r="U18" s="973"/>
      <c r="V18" s="974"/>
      <c r="W18" s="758"/>
      <c r="X18" s="759"/>
      <c r="Y18" s="943"/>
      <c r="Z18" s="968"/>
      <c r="AA18" s="969"/>
      <c r="AB18" s="969"/>
      <c r="AC18" s="986">
        <f t="shared" si="6"/>
        <v>180000</v>
      </c>
      <c r="AD18" s="986"/>
      <c r="AE18" s="986"/>
      <c r="AF18" s="986"/>
      <c r="AG18" s="968"/>
      <c r="AH18" s="988"/>
      <c r="AI18" s="989"/>
      <c r="AJ18" s="943"/>
      <c r="AK18" s="958">
        <f t="shared" si="2"/>
        <v>9000000</v>
      </c>
      <c r="AL18" s="958">
        <f t="shared" si="2"/>
        <v>0</v>
      </c>
      <c r="AM18" s="958">
        <f t="shared" si="3"/>
        <v>0</v>
      </c>
      <c r="AN18" s="991">
        <f t="shared" si="4"/>
        <v>0</v>
      </c>
      <c r="AO18" s="943"/>
      <c r="AP18" s="943"/>
      <c r="AQ18" s="943"/>
    </row>
    <row r="19" s="783" customFormat="1" ht="15" customHeight="1" spans="1:43">
      <c r="A19" s="943">
        <f t="shared" si="5"/>
        <v>1</v>
      </c>
      <c r="B19" s="956">
        <v>8</v>
      </c>
      <c r="C19" s="758" t="s">
        <v>13113</v>
      </c>
      <c r="D19" s="759">
        <v>44581</v>
      </c>
      <c r="E19" s="959" t="s">
        <v>13008</v>
      </c>
      <c r="F19" s="758" t="s">
        <v>13110</v>
      </c>
      <c r="G19" s="758" t="s">
        <v>13105</v>
      </c>
      <c r="H19" s="960"/>
      <c r="I19" s="960">
        <v>4200000</v>
      </c>
      <c r="J19" s="958"/>
      <c r="K19" s="960">
        <v>420000</v>
      </c>
      <c r="L19" s="960"/>
      <c r="M19" s="963">
        <f t="shared" si="0"/>
        <v>8120000</v>
      </c>
      <c r="N19" s="964"/>
      <c r="O19" s="963"/>
      <c r="P19" s="963">
        <f t="shared" si="1"/>
        <v>8120000</v>
      </c>
      <c r="Q19" s="977"/>
      <c r="R19" s="971">
        <v>44562</v>
      </c>
      <c r="S19" s="972"/>
      <c r="T19" s="972"/>
      <c r="U19" s="973"/>
      <c r="V19" s="974"/>
      <c r="W19" s="758"/>
      <c r="X19" s="759"/>
      <c r="Y19" s="944"/>
      <c r="Z19" s="968"/>
      <c r="AA19" s="969"/>
      <c r="AB19" s="969"/>
      <c r="AC19" s="986">
        <f t="shared" si="6"/>
        <v>84000</v>
      </c>
      <c r="AD19" s="986"/>
      <c r="AE19" s="986"/>
      <c r="AF19" s="986"/>
      <c r="AG19" s="968"/>
      <c r="AH19" s="988"/>
      <c r="AI19" s="989"/>
      <c r="AJ19" s="944"/>
      <c r="AK19" s="958">
        <f t="shared" si="2"/>
        <v>4200000</v>
      </c>
      <c r="AL19" s="958">
        <f t="shared" si="2"/>
        <v>0</v>
      </c>
      <c r="AM19" s="958">
        <f t="shared" si="3"/>
        <v>0</v>
      </c>
      <c r="AN19" s="991">
        <f t="shared" si="4"/>
        <v>0</v>
      </c>
      <c r="AO19" s="943"/>
      <c r="AP19" s="943"/>
      <c r="AQ19" s="943"/>
    </row>
    <row r="20" ht="13.8" spans="1:43">
      <c r="A20" s="943">
        <f t="shared" si="5"/>
        <v>1</v>
      </c>
      <c r="B20" s="956">
        <v>9</v>
      </c>
      <c r="C20" s="758" t="s">
        <v>13114</v>
      </c>
      <c r="D20" s="759">
        <v>44581</v>
      </c>
      <c r="E20" s="959" t="s">
        <v>13008</v>
      </c>
      <c r="F20" s="758" t="s">
        <v>13110</v>
      </c>
      <c r="G20" s="758" t="s">
        <v>13105</v>
      </c>
      <c r="H20" s="960"/>
      <c r="I20" s="960">
        <v>40000000</v>
      </c>
      <c r="J20" s="958"/>
      <c r="K20" s="960">
        <v>4000000</v>
      </c>
      <c r="L20" s="960"/>
      <c r="M20" s="963">
        <f t="shared" si="0"/>
        <v>12120000</v>
      </c>
      <c r="N20" s="964"/>
      <c r="O20" s="963"/>
      <c r="P20" s="963">
        <f t="shared" si="1"/>
        <v>12120000</v>
      </c>
      <c r="Q20" s="980"/>
      <c r="R20" s="971">
        <v>44562</v>
      </c>
      <c r="S20" s="972"/>
      <c r="T20" s="972"/>
      <c r="U20" s="973"/>
      <c r="V20" s="974"/>
      <c r="W20" s="758"/>
      <c r="X20" s="759"/>
      <c r="Y20" s="944"/>
      <c r="Z20" s="968"/>
      <c r="AA20" s="969"/>
      <c r="AB20" s="969"/>
      <c r="AC20" s="986">
        <f t="shared" si="6"/>
        <v>800000</v>
      </c>
      <c r="AD20" s="986"/>
      <c r="AE20" s="986"/>
      <c r="AF20" s="986"/>
      <c r="AG20" s="968"/>
      <c r="AH20" s="988"/>
      <c r="AI20" s="989"/>
      <c r="AJ20" s="944"/>
      <c r="AK20" s="958">
        <f>IF(K20&gt;0,K20/10%,0)</f>
        <v>40000000</v>
      </c>
      <c r="AL20" s="958">
        <f>IF(L20&gt;0,L20/10%,0)</f>
        <v>0</v>
      </c>
      <c r="AM20" s="958">
        <f t="shared" si="3"/>
        <v>0</v>
      </c>
      <c r="AN20" s="991">
        <f t="shared" si="4"/>
        <v>0</v>
      </c>
      <c r="AO20" s="944"/>
      <c r="AP20" s="944"/>
      <c r="AQ20" s="944"/>
    </row>
    <row r="21" ht="15" hidden="1" customHeight="1" spans="1:43">
      <c r="A21" s="943">
        <f t="shared" si="5"/>
        <v>1</v>
      </c>
      <c r="B21" s="956">
        <v>10</v>
      </c>
      <c r="C21" s="758" t="s">
        <v>13115</v>
      </c>
      <c r="D21" s="759">
        <v>44585</v>
      </c>
      <c r="E21" s="959" t="s">
        <v>13005</v>
      </c>
      <c r="F21" s="758" t="s">
        <v>13116</v>
      </c>
      <c r="G21" s="758" t="s">
        <v>13105</v>
      </c>
      <c r="H21" s="960"/>
      <c r="I21" s="960">
        <v>31424500</v>
      </c>
      <c r="J21" s="958"/>
      <c r="K21" s="960">
        <v>3142450</v>
      </c>
      <c r="L21" s="960"/>
      <c r="M21" s="963">
        <f t="shared" si="0"/>
        <v>15262450</v>
      </c>
      <c r="N21" s="964"/>
      <c r="O21" s="963"/>
      <c r="P21" s="963">
        <f t="shared" si="1"/>
        <v>15262450</v>
      </c>
      <c r="Q21" s="980"/>
      <c r="R21" s="971">
        <v>44562</v>
      </c>
      <c r="S21" s="972"/>
      <c r="T21" s="972"/>
      <c r="U21" s="973"/>
      <c r="V21" s="974"/>
      <c r="W21" s="758"/>
      <c r="X21" s="759"/>
      <c r="Y21" s="944"/>
      <c r="Z21" s="968"/>
      <c r="AA21" s="969"/>
      <c r="AB21" s="969"/>
      <c r="AC21" s="986"/>
      <c r="AD21" s="986"/>
      <c r="AE21" s="986"/>
      <c r="AF21" s="986"/>
      <c r="AG21" s="968"/>
      <c r="AH21" s="988"/>
      <c r="AI21" s="989"/>
      <c r="AJ21" s="944"/>
      <c r="AK21" s="958">
        <f t="shared" si="2"/>
        <v>31424500</v>
      </c>
      <c r="AL21" s="958">
        <f t="shared" si="2"/>
        <v>0</v>
      </c>
      <c r="AM21" s="958">
        <f t="shared" si="3"/>
        <v>0</v>
      </c>
      <c r="AN21" s="991">
        <f t="shared" si="4"/>
        <v>0</v>
      </c>
      <c r="AO21" s="944"/>
      <c r="AP21" s="944"/>
      <c r="AQ21" s="944"/>
    </row>
    <row r="22" ht="15" hidden="1" customHeight="1" spans="1:43">
      <c r="A22" s="943">
        <f t="shared" si="5"/>
        <v>1</v>
      </c>
      <c r="B22" s="956">
        <v>11</v>
      </c>
      <c r="C22" s="758" t="s">
        <v>13117</v>
      </c>
      <c r="D22" s="759">
        <v>44585</v>
      </c>
      <c r="E22" s="959" t="s">
        <v>13005</v>
      </c>
      <c r="F22" s="758" t="s">
        <v>13116</v>
      </c>
      <c r="G22" s="758" t="s">
        <v>13105</v>
      </c>
      <c r="H22" s="960"/>
      <c r="I22" s="960">
        <v>15000000</v>
      </c>
      <c r="J22" s="958"/>
      <c r="K22" s="960">
        <v>1500000</v>
      </c>
      <c r="L22" s="960"/>
      <c r="M22" s="963">
        <f t="shared" si="0"/>
        <v>16762450</v>
      </c>
      <c r="N22" s="964"/>
      <c r="O22" s="963"/>
      <c r="P22" s="963">
        <f t="shared" si="1"/>
        <v>16762450</v>
      </c>
      <c r="Q22" s="980"/>
      <c r="R22" s="971">
        <v>44562</v>
      </c>
      <c r="S22" s="976"/>
      <c r="T22" s="976"/>
      <c r="U22" s="973"/>
      <c r="V22" s="974"/>
      <c r="W22" s="758"/>
      <c r="X22" s="759"/>
      <c r="Y22" s="943"/>
      <c r="Z22" s="968"/>
      <c r="AA22" s="969"/>
      <c r="AB22" s="969"/>
      <c r="AC22" s="986"/>
      <c r="AD22" s="986"/>
      <c r="AE22" s="986"/>
      <c r="AF22" s="986"/>
      <c r="AG22" s="968"/>
      <c r="AH22" s="988"/>
      <c r="AI22" s="989"/>
      <c r="AJ22" s="943"/>
      <c r="AK22" s="958">
        <f t="shared" si="2"/>
        <v>15000000</v>
      </c>
      <c r="AL22" s="958">
        <f t="shared" si="2"/>
        <v>0</v>
      </c>
      <c r="AM22" s="958">
        <f t="shared" si="3"/>
        <v>0</v>
      </c>
      <c r="AN22" s="991">
        <f t="shared" si="4"/>
        <v>0</v>
      </c>
      <c r="AO22" s="944"/>
      <c r="AP22" s="944"/>
      <c r="AQ22" s="944"/>
    </row>
    <row r="23" s="944" customFormat="1" ht="15" hidden="1" customHeight="1" spans="1:40">
      <c r="A23" s="943">
        <f t="shared" si="5"/>
        <v>1</v>
      </c>
      <c r="B23" s="956">
        <v>12</v>
      </c>
      <c r="C23" s="758" t="s">
        <v>13118</v>
      </c>
      <c r="D23" s="759">
        <v>44585</v>
      </c>
      <c r="E23" s="959" t="s">
        <v>1239</v>
      </c>
      <c r="F23" s="758" t="s">
        <v>13119</v>
      </c>
      <c r="G23" s="758" t="s">
        <v>13105</v>
      </c>
      <c r="H23" s="960"/>
      <c r="I23" s="779">
        <v>61500000</v>
      </c>
      <c r="J23" s="958"/>
      <c r="K23" s="960">
        <v>6150000</v>
      </c>
      <c r="L23" s="960"/>
      <c r="M23" s="963">
        <f t="shared" si="0"/>
        <v>22912450</v>
      </c>
      <c r="N23" s="964"/>
      <c r="O23" s="963"/>
      <c r="P23" s="963">
        <f t="shared" si="1"/>
        <v>22912450</v>
      </c>
      <c r="Q23" s="980"/>
      <c r="R23" s="971">
        <v>44562</v>
      </c>
      <c r="S23" s="972"/>
      <c r="T23" s="972"/>
      <c r="U23" s="973"/>
      <c r="V23" s="974"/>
      <c r="W23" s="758"/>
      <c r="X23" s="759"/>
      <c r="Z23" s="968"/>
      <c r="AA23" s="969"/>
      <c r="AB23" s="969"/>
      <c r="AC23" s="986"/>
      <c r="AD23" s="986"/>
      <c r="AE23" s="986"/>
      <c r="AF23" s="986"/>
      <c r="AG23" s="968"/>
      <c r="AH23" s="988"/>
      <c r="AI23" s="989"/>
      <c r="AK23" s="958">
        <f t="shared" si="2"/>
        <v>61500000</v>
      </c>
      <c r="AL23" s="958">
        <f t="shared" si="2"/>
        <v>0</v>
      </c>
      <c r="AM23" s="958">
        <f t="shared" si="3"/>
        <v>0</v>
      </c>
      <c r="AN23" s="992">
        <f t="shared" si="4"/>
        <v>0</v>
      </c>
    </row>
    <row r="24" ht="13.8" hidden="1" spans="1:43">
      <c r="A24" s="943">
        <f t="shared" si="5"/>
        <v>1</v>
      </c>
      <c r="B24" s="956">
        <v>13</v>
      </c>
      <c r="C24" s="758" t="s">
        <v>13120</v>
      </c>
      <c r="D24" s="759">
        <v>44588</v>
      </c>
      <c r="E24" s="959" t="s">
        <v>1479</v>
      </c>
      <c r="F24" s="758" t="s">
        <v>13104</v>
      </c>
      <c r="G24" s="758" t="s">
        <v>13105</v>
      </c>
      <c r="H24" s="960"/>
      <c r="I24" s="960"/>
      <c r="J24" s="958"/>
      <c r="K24" s="960"/>
      <c r="L24" s="960"/>
      <c r="M24" s="963">
        <f t="shared" si="0"/>
        <v>22912450</v>
      </c>
      <c r="N24" s="964"/>
      <c r="O24" s="963"/>
      <c r="P24" s="963">
        <f t="shared" si="1"/>
        <v>22912450</v>
      </c>
      <c r="Q24" s="980"/>
      <c r="R24" s="971">
        <v>44562</v>
      </c>
      <c r="S24" s="972"/>
      <c r="T24" s="972"/>
      <c r="U24" s="973"/>
      <c r="V24" s="974"/>
      <c r="W24" s="758"/>
      <c r="X24" s="759"/>
      <c r="Y24" s="944"/>
      <c r="Z24" s="968"/>
      <c r="AA24" s="969"/>
      <c r="AB24" s="969"/>
      <c r="AC24" s="986"/>
      <c r="AD24" s="986"/>
      <c r="AE24" s="986"/>
      <c r="AF24" s="986"/>
      <c r="AG24" s="968"/>
      <c r="AH24" s="988"/>
      <c r="AI24" s="989"/>
      <c r="AJ24" s="944"/>
      <c r="AK24" s="958">
        <f t="shared" si="2"/>
        <v>0</v>
      </c>
      <c r="AL24" s="958">
        <f t="shared" si="2"/>
        <v>0</v>
      </c>
      <c r="AM24" s="958">
        <f t="shared" si="3"/>
        <v>0</v>
      </c>
      <c r="AN24" s="991">
        <f t="shared" si="4"/>
        <v>0</v>
      </c>
      <c r="AO24" s="944"/>
      <c r="AP24" s="944"/>
      <c r="AQ24" s="944"/>
    </row>
    <row r="25" ht="13.8" hidden="1" spans="1:43">
      <c r="A25" s="943">
        <f t="shared" si="5"/>
        <v>1</v>
      </c>
      <c r="B25" s="956">
        <v>14</v>
      </c>
      <c r="C25" s="758" t="s">
        <v>13121</v>
      </c>
      <c r="D25" s="759">
        <v>44582</v>
      </c>
      <c r="E25" s="959" t="s">
        <v>12999</v>
      </c>
      <c r="F25" s="758" t="s">
        <v>13122</v>
      </c>
      <c r="G25" s="758" t="s">
        <v>13123</v>
      </c>
      <c r="H25" s="960">
        <v>454400</v>
      </c>
      <c r="I25" s="960"/>
      <c r="J25" s="958">
        <v>45440</v>
      </c>
      <c r="K25" s="960"/>
      <c r="L25" s="960"/>
      <c r="M25" s="837">
        <f t="shared" si="0"/>
        <v>22867010</v>
      </c>
      <c r="N25" s="964"/>
      <c r="O25" s="837">
        <v>22867010</v>
      </c>
      <c r="P25" s="963">
        <f t="shared" si="1"/>
        <v>0</v>
      </c>
      <c r="Q25" s="980"/>
      <c r="R25" s="862">
        <v>44562</v>
      </c>
      <c r="S25" s="972"/>
      <c r="T25" s="972"/>
      <c r="U25" s="973"/>
      <c r="V25" s="974"/>
      <c r="W25" s="758"/>
      <c r="X25" s="759"/>
      <c r="Y25" s="944"/>
      <c r="Z25" s="968"/>
      <c r="AA25" s="969"/>
      <c r="AB25" s="969"/>
      <c r="AC25" s="986"/>
      <c r="AD25" s="986"/>
      <c r="AE25" s="986"/>
      <c r="AF25" s="986"/>
      <c r="AG25" s="968"/>
      <c r="AH25" s="988"/>
      <c r="AI25" s="989"/>
      <c r="AJ25" s="944"/>
      <c r="AK25" s="958">
        <f t="shared" si="2"/>
        <v>0</v>
      </c>
      <c r="AL25" s="958">
        <f t="shared" si="2"/>
        <v>0</v>
      </c>
      <c r="AM25" s="958">
        <f t="shared" si="3"/>
        <v>454400</v>
      </c>
      <c r="AN25" s="991">
        <f t="shared" si="4"/>
        <v>0</v>
      </c>
      <c r="AO25" s="944"/>
      <c r="AP25" s="944"/>
      <c r="AQ25" s="944"/>
    </row>
    <row r="26" ht="13.8" spans="1:43">
      <c r="A26" s="943">
        <f t="shared" si="5"/>
        <v>2</v>
      </c>
      <c r="B26" s="956">
        <v>15</v>
      </c>
      <c r="C26" s="758" t="s">
        <v>13124</v>
      </c>
      <c r="D26" s="759">
        <v>44602</v>
      </c>
      <c r="E26" s="959" t="s">
        <v>1479</v>
      </c>
      <c r="F26" s="758" t="s">
        <v>13104</v>
      </c>
      <c r="G26" s="758" t="s">
        <v>13105</v>
      </c>
      <c r="H26" s="960"/>
      <c r="I26" s="960">
        <v>4593600</v>
      </c>
      <c r="J26" s="958"/>
      <c r="K26" s="960">
        <v>459360</v>
      </c>
      <c r="L26" s="960">
        <v>0</v>
      </c>
      <c r="M26" s="837">
        <f t="shared" si="0"/>
        <v>459360</v>
      </c>
      <c r="N26" s="964" t="s">
        <v>13125</v>
      </c>
      <c r="O26" s="837">
        <v>459360</v>
      </c>
      <c r="P26" s="963">
        <f t="shared" si="1"/>
        <v>0</v>
      </c>
      <c r="Q26" s="980"/>
      <c r="R26" s="862">
        <v>44593</v>
      </c>
      <c r="S26" s="972"/>
      <c r="T26" s="972"/>
      <c r="U26" s="973"/>
      <c r="V26" s="974"/>
      <c r="W26" s="758"/>
      <c r="X26" s="759"/>
      <c r="Y26" s="944"/>
      <c r="Z26" s="968"/>
      <c r="AA26" s="969"/>
      <c r="AB26" s="969"/>
      <c r="AC26" s="986">
        <f>+I26*2%</f>
        <v>91872</v>
      </c>
      <c r="AD26" s="986"/>
      <c r="AE26" s="986"/>
      <c r="AF26" s="986"/>
      <c r="AG26" s="968"/>
      <c r="AH26" s="988"/>
      <c r="AI26" s="989"/>
      <c r="AJ26" s="944"/>
      <c r="AK26" s="958">
        <f t="shared" si="2"/>
        <v>4593600</v>
      </c>
      <c r="AL26" s="958">
        <f t="shared" si="2"/>
        <v>0</v>
      </c>
      <c r="AM26" s="958">
        <f t="shared" si="3"/>
        <v>0</v>
      </c>
      <c r="AN26" s="991">
        <f t="shared" si="4"/>
        <v>0</v>
      </c>
      <c r="AO26" s="944"/>
      <c r="AP26" s="944"/>
      <c r="AQ26" s="944"/>
    </row>
    <row r="27" ht="15" hidden="1" customHeight="1" spans="1:43">
      <c r="A27" s="943">
        <f t="shared" si="5"/>
        <v>3</v>
      </c>
      <c r="B27" s="956">
        <v>16</v>
      </c>
      <c r="C27" s="758" t="s">
        <v>13126</v>
      </c>
      <c r="D27" s="759">
        <v>44624</v>
      </c>
      <c r="E27" s="959" t="s">
        <v>13005</v>
      </c>
      <c r="F27" s="758" t="s">
        <v>13116</v>
      </c>
      <c r="G27" s="758" t="s">
        <v>13105</v>
      </c>
      <c r="H27" s="960"/>
      <c r="I27" s="960">
        <v>28656250</v>
      </c>
      <c r="J27" s="958"/>
      <c r="K27" s="960">
        <v>2865625</v>
      </c>
      <c r="L27" s="960"/>
      <c r="M27" s="963">
        <f t="shared" si="0"/>
        <v>2865625</v>
      </c>
      <c r="N27" s="964"/>
      <c r="O27" s="963"/>
      <c r="P27" s="963">
        <f t="shared" si="1"/>
        <v>2865625</v>
      </c>
      <c r="Q27" s="980"/>
      <c r="R27" s="971">
        <v>44621</v>
      </c>
      <c r="S27" s="972"/>
      <c r="T27" s="972"/>
      <c r="U27" s="973"/>
      <c r="V27" s="974"/>
      <c r="W27" s="758"/>
      <c r="X27" s="759"/>
      <c r="Y27" s="944"/>
      <c r="Z27" s="968"/>
      <c r="AA27" s="969"/>
      <c r="AB27" s="969"/>
      <c r="AC27" s="986"/>
      <c r="AD27" s="986"/>
      <c r="AE27" s="986"/>
      <c r="AF27" s="986"/>
      <c r="AG27" s="968"/>
      <c r="AH27" s="988"/>
      <c r="AI27" s="989"/>
      <c r="AJ27" s="944"/>
      <c r="AK27" s="958">
        <f t="shared" si="2"/>
        <v>28656250</v>
      </c>
      <c r="AL27" s="958">
        <f t="shared" si="2"/>
        <v>0</v>
      </c>
      <c r="AM27" s="958">
        <f t="shared" si="3"/>
        <v>0</v>
      </c>
      <c r="AN27" s="991">
        <f t="shared" si="4"/>
        <v>0</v>
      </c>
      <c r="AO27" s="944"/>
      <c r="AP27" s="944"/>
      <c r="AQ27" s="944"/>
    </row>
    <row r="28" ht="15" hidden="1" customHeight="1" spans="1:43">
      <c r="A28" s="943">
        <f t="shared" si="5"/>
        <v>3</v>
      </c>
      <c r="B28" s="956">
        <v>17</v>
      </c>
      <c r="C28" s="758" t="s">
        <v>13127</v>
      </c>
      <c r="D28" s="759">
        <v>44624</v>
      </c>
      <c r="E28" s="959" t="s">
        <v>13005</v>
      </c>
      <c r="F28" s="758" t="s">
        <v>13116</v>
      </c>
      <c r="G28" s="758" t="s">
        <v>13105</v>
      </c>
      <c r="H28" s="960"/>
      <c r="I28" s="960"/>
      <c r="J28" s="958"/>
      <c r="K28" s="960"/>
      <c r="L28" s="960"/>
      <c r="M28" s="963">
        <f t="shared" si="0"/>
        <v>2865625</v>
      </c>
      <c r="N28" s="964"/>
      <c r="O28" s="963"/>
      <c r="P28" s="963">
        <f t="shared" si="1"/>
        <v>2865625</v>
      </c>
      <c r="Q28" s="980"/>
      <c r="R28" s="971">
        <v>44621</v>
      </c>
      <c r="S28" s="972"/>
      <c r="T28" s="972"/>
      <c r="U28" s="973"/>
      <c r="V28" s="974"/>
      <c r="W28" s="758"/>
      <c r="X28" s="759"/>
      <c r="Y28" s="944"/>
      <c r="Z28" s="968"/>
      <c r="AA28" s="969"/>
      <c r="AB28" s="969"/>
      <c r="AC28" s="986"/>
      <c r="AD28" s="986"/>
      <c r="AE28" s="986"/>
      <c r="AF28" s="986"/>
      <c r="AG28" s="968"/>
      <c r="AH28" s="988"/>
      <c r="AI28" s="989"/>
      <c r="AJ28" s="944"/>
      <c r="AK28" s="958"/>
      <c r="AL28" s="958"/>
      <c r="AM28" s="958"/>
      <c r="AN28" s="991"/>
      <c r="AO28" s="944"/>
      <c r="AP28" s="944"/>
      <c r="AQ28" s="944"/>
    </row>
    <row r="29" ht="15" hidden="1" customHeight="1" spans="1:43">
      <c r="A29" s="943">
        <f t="shared" si="5"/>
        <v>3</v>
      </c>
      <c r="B29" s="956">
        <v>18</v>
      </c>
      <c r="C29" s="758" t="s">
        <v>13128</v>
      </c>
      <c r="D29" s="759">
        <v>44624</v>
      </c>
      <c r="E29" s="959" t="s">
        <v>13005</v>
      </c>
      <c r="F29" s="758" t="s">
        <v>13116</v>
      </c>
      <c r="G29" s="758" t="s">
        <v>13105</v>
      </c>
      <c r="H29" s="960"/>
      <c r="I29" s="960">
        <v>15000000</v>
      </c>
      <c r="J29" s="958"/>
      <c r="K29" s="960">
        <v>1500000</v>
      </c>
      <c r="L29" s="960"/>
      <c r="M29" s="963">
        <f t="shared" si="0"/>
        <v>4365625</v>
      </c>
      <c r="N29" s="964"/>
      <c r="O29" s="963"/>
      <c r="P29" s="963">
        <f t="shared" si="1"/>
        <v>4365625</v>
      </c>
      <c r="Q29" s="980"/>
      <c r="R29" s="971">
        <v>44621</v>
      </c>
      <c r="S29" s="972"/>
      <c r="T29" s="972"/>
      <c r="U29" s="973"/>
      <c r="V29" s="974"/>
      <c r="W29" s="758"/>
      <c r="X29" s="759"/>
      <c r="Y29" s="944"/>
      <c r="Z29" s="968"/>
      <c r="AA29" s="969"/>
      <c r="AB29" s="969"/>
      <c r="AC29" s="986"/>
      <c r="AD29" s="986"/>
      <c r="AE29" s="986"/>
      <c r="AF29" s="986"/>
      <c r="AG29" s="968"/>
      <c r="AH29" s="988"/>
      <c r="AI29" s="989"/>
      <c r="AJ29" s="944"/>
      <c r="AK29" s="958"/>
      <c r="AL29" s="958"/>
      <c r="AM29" s="958"/>
      <c r="AN29" s="991"/>
      <c r="AO29" s="944"/>
      <c r="AP29" s="944"/>
      <c r="AQ29" s="944"/>
    </row>
    <row r="30" s="944" customFormat="1" ht="15" hidden="1" customHeight="1" spans="1:40">
      <c r="A30" s="943">
        <f t="shared" si="5"/>
        <v>3</v>
      </c>
      <c r="B30" s="956">
        <v>19</v>
      </c>
      <c r="C30" s="758" t="s">
        <v>13129</v>
      </c>
      <c r="D30" s="759">
        <v>44634</v>
      </c>
      <c r="E30" s="959" t="s">
        <v>1239</v>
      </c>
      <c r="F30" s="758" t="s">
        <v>13119</v>
      </c>
      <c r="G30" s="758" t="s">
        <v>13105</v>
      </c>
      <c r="H30" s="960"/>
      <c r="I30" s="779">
        <v>94000000</v>
      </c>
      <c r="J30" s="958"/>
      <c r="K30" s="960">
        <v>9400000</v>
      </c>
      <c r="L30" s="960"/>
      <c r="M30" s="963">
        <f t="shared" si="0"/>
        <v>13765625</v>
      </c>
      <c r="N30" s="964"/>
      <c r="O30" s="963"/>
      <c r="P30" s="963">
        <f t="shared" si="1"/>
        <v>13765625</v>
      </c>
      <c r="Q30" s="980"/>
      <c r="R30" s="971">
        <v>44621</v>
      </c>
      <c r="S30" s="972"/>
      <c r="T30" s="972"/>
      <c r="U30" s="973"/>
      <c r="V30" s="974"/>
      <c r="W30" s="758"/>
      <c r="X30" s="759"/>
      <c r="Z30" s="968"/>
      <c r="AA30" s="969"/>
      <c r="AB30" s="969"/>
      <c r="AC30" s="986"/>
      <c r="AD30" s="986"/>
      <c r="AE30" s="986"/>
      <c r="AF30" s="986"/>
      <c r="AG30" s="968"/>
      <c r="AH30" s="988"/>
      <c r="AI30" s="989"/>
      <c r="AK30" s="958">
        <f t="shared" si="2"/>
        <v>94000000</v>
      </c>
      <c r="AL30" s="958">
        <f t="shared" si="2"/>
        <v>0</v>
      </c>
      <c r="AM30" s="958">
        <f t="shared" si="3"/>
        <v>0</v>
      </c>
      <c r="AN30" s="992">
        <f t="shared" ref="AN30:AN61" si="7">SUM(AK30:AM30)-SUM(H30,I30)</f>
        <v>0</v>
      </c>
    </row>
    <row r="31" ht="15" hidden="1" customHeight="1" spans="1:43">
      <c r="A31" s="943">
        <f t="shared" si="5"/>
        <v>3</v>
      </c>
      <c r="B31" s="956">
        <v>20</v>
      </c>
      <c r="C31" s="758" t="s">
        <v>13130</v>
      </c>
      <c r="D31" s="759">
        <v>44637</v>
      </c>
      <c r="E31" s="959" t="s">
        <v>1479</v>
      </c>
      <c r="F31" s="758" t="s">
        <v>13104</v>
      </c>
      <c r="G31" s="758" t="s">
        <v>13105</v>
      </c>
      <c r="H31" s="960"/>
      <c r="I31" s="960"/>
      <c r="J31" s="958"/>
      <c r="K31" s="960"/>
      <c r="L31" s="960"/>
      <c r="M31" s="963">
        <f t="shared" si="0"/>
        <v>13765625</v>
      </c>
      <c r="N31" s="964"/>
      <c r="O31" s="963"/>
      <c r="P31" s="963">
        <f t="shared" si="1"/>
        <v>13765625</v>
      </c>
      <c r="Q31" s="980"/>
      <c r="R31" s="971">
        <v>44621</v>
      </c>
      <c r="S31" s="972"/>
      <c r="T31" s="972"/>
      <c r="U31" s="973"/>
      <c r="V31" s="974"/>
      <c r="W31" s="758"/>
      <c r="X31" s="759"/>
      <c r="Y31" s="944"/>
      <c r="Z31" s="968"/>
      <c r="AA31" s="969"/>
      <c r="AB31" s="969"/>
      <c r="AC31" s="986"/>
      <c r="AD31" s="986"/>
      <c r="AE31" s="986"/>
      <c r="AF31" s="986"/>
      <c r="AG31" s="968"/>
      <c r="AH31" s="988"/>
      <c r="AI31" s="989"/>
      <c r="AJ31" s="943"/>
      <c r="AK31" s="958">
        <f t="shared" ref="AK31:AL94" si="8">IF(K31&gt;0,K31/10%,0)</f>
        <v>0</v>
      </c>
      <c r="AL31" s="958">
        <f t="shared" si="8"/>
        <v>0</v>
      </c>
      <c r="AM31" s="958">
        <f t="shared" si="3"/>
        <v>0</v>
      </c>
      <c r="AN31" s="991">
        <f t="shared" si="7"/>
        <v>0</v>
      </c>
      <c r="AO31" s="944"/>
      <c r="AP31" s="944"/>
      <c r="AQ31" s="944"/>
    </row>
    <row r="32" s="944" customFormat="1" ht="15" hidden="1" customHeight="1" spans="1:40">
      <c r="A32" s="943">
        <f t="shared" si="5"/>
        <v>3</v>
      </c>
      <c r="B32" s="956">
        <v>21</v>
      </c>
      <c r="C32" s="758" t="s">
        <v>13131</v>
      </c>
      <c r="D32" s="759">
        <v>44634</v>
      </c>
      <c r="E32" s="959" t="s">
        <v>1239</v>
      </c>
      <c r="F32" s="758" t="s">
        <v>13119</v>
      </c>
      <c r="G32" s="758" t="s">
        <v>13105</v>
      </c>
      <c r="H32" s="960"/>
      <c r="I32" s="779">
        <v>94000000</v>
      </c>
      <c r="J32" s="958"/>
      <c r="K32" s="960">
        <v>9400000</v>
      </c>
      <c r="L32" s="960"/>
      <c r="M32" s="963">
        <f t="shared" si="0"/>
        <v>23165625</v>
      </c>
      <c r="N32" s="964"/>
      <c r="O32" s="963"/>
      <c r="P32" s="963">
        <f t="shared" si="1"/>
        <v>23165625</v>
      </c>
      <c r="Q32" s="980"/>
      <c r="R32" s="971">
        <v>44621</v>
      </c>
      <c r="S32" s="972"/>
      <c r="T32" s="972"/>
      <c r="U32" s="973"/>
      <c r="V32" s="974"/>
      <c r="W32" s="758"/>
      <c r="X32" s="759"/>
      <c r="Z32" s="968"/>
      <c r="AA32" s="969"/>
      <c r="AB32" s="958"/>
      <c r="AC32" s="986"/>
      <c r="AD32" s="986"/>
      <c r="AE32" s="986"/>
      <c r="AF32" s="986"/>
      <c r="AG32" s="968"/>
      <c r="AH32" s="989"/>
      <c r="AI32" s="989"/>
      <c r="AK32" s="958">
        <f t="shared" si="8"/>
        <v>94000000</v>
      </c>
      <c r="AL32" s="958">
        <f t="shared" si="8"/>
        <v>0</v>
      </c>
      <c r="AM32" s="958">
        <f t="shared" si="3"/>
        <v>0</v>
      </c>
      <c r="AN32" s="992">
        <f t="shared" si="7"/>
        <v>0</v>
      </c>
    </row>
    <row r="33" ht="15" customHeight="1" spans="1:43">
      <c r="A33" s="943">
        <f t="shared" si="5"/>
        <v>3</v>
      </c>
      <c r="B33" s="956">
        <v>22</v>
      </c>
      <c r="C33" s="758" t="s">
        <v>13132</v>
      </c>
      <c r="D33" s="759">
        <v>44637</v>
      </c>
      <c r="E33" s="961" t="s">
        <v>1479</v>
      </c>
      <c r="F33" s="758" t="s">
        <v>13104</v>
      </c>
      <c r="G33" s="758" t="s">
        <v>13105</v>
      </c>
      <c r="H33" s="960"/>
      <c r="I33" s="960">
        <v>41034666</v>
      </c>
      <c r="J33" s="958"/>
      <c r="K33" s="960"/>
      <c r="L33" s="960">
        <v>4103466</v>
      </c>
      <c r="M33" s="837">
        <f t="shared" si="0"/>
        <v>23165625</v>
      </c>
      <c r="N33" s="964"/>
      <c r="O33" s="837">
        <v>23165625</v>
      </c>
      <c r="P33" s="963">
        <f t="shared" si="1"/>
        <v>0</v>
      </c>
      <c r="Q33" s="980"/>
      <c r="R33" s="862">
        <v>44621</v>
      </c>
      <c r="S33" s="972"/>
      <c r="T33" s="972"/>
      <c r="U33" s="973"/>
      <c r="V33" s="974"/>
      <c r="W33" s="758"/>
      <c r="X33" s="759"/>
      <c r="Y33" s="944"/>
      <c r="Z33" s="968"/>
      <c r="AA33" s="969"/>
      <c r="AB33" s="969"/>
      <c r="AC33" s="986">
        <f t="shared" ref="AC33:AC35" si="9">+I33*2%</f>
        <v>820693.32</v>
      </c>
      <c r="AD33" s="986"/>
      <c r="AE33" s="986"/>
      <c r="AF33" s="986"/>
      <c r="AG33" s="968"/>
      <c r="AH33" s="989"/>
      <c r="AI33" s="989"/>
      <c r="AJ33" s="944"/>
      <c r="AK33" s="958">
        <f t="shared" si="8"/>
        <v>0</v>
      </c>
      <c r="AL33" s="958">
        <f t="shared" si="8"/>
        <v>41034660</v>
      </c>
      <c r="AM33" s="958">
        <f t="shared" si="3"/>
        <v>0</v>
      </c>
      <c r="AN33" s="991">
        <f t="shared" si="7"/>
        <v>-6</v>
      </c>
      <c r="AO33" s="944"/>
      <c r="AP33" s="944"/>
      <c r="AQ33" s="944"/>
    </row>
    <row r="34" ht="13.8" spans="1:43">
      <c r="A34" s="943">
        <f t="shared" si="5"/>
        <v>4</v>
      </c>
      <c r="B34" s="956">
        <v>23</v>
      </c>
      <c r="C34" s="758" t="s">
        <v>13104</v>
      </c>
      <c r="D34" s="759">
        <v>44664</v>
      </c>
      <c r="E34" s="959" t="s">
        <v>1479</v>
      </c>
      <c r="F34" s="758" t="s">
        <v>13133</v>
      </c>
      <c r="G34" s="758" t="s">
        <v>13105</v>
      </c>
      <c r="H34" s="960"/>
      <c r="I34" s="960">
        <v>21500000</v>
      </c>
      <c r="J34" s="958"/>
      <c r="K34" s="960"/>
      <c r="L34" s="960">
        <v>2365000</v>
      </c>
      <c r="M34" s="963">
        <f t="shared" si="0"/>
        <v>0</v>
      </c>
      <c r="N34" s="964"/>
      <c r="O34" s="963"/>
      <c r="P34" s="963">
        <f t="shared" si="1"/>
        <v>0</v>
      </c>
      <c r="Q34" s="980"/>
      <c r="R34" s="971">
        <v>44652</v>
      </c>
      <c r="S34" s="972"/>
      <c r="T34" s="972"/>
      <c r="U34" s="973"/>
      <c r="V34" s="974"/>
      <c r="W34" s="758"/>
      <c r="X34" s="759"/>
      <c r="Y34" s="944"/>
      <c r="Z34" s="968"/>
      <c r="AA34" s="969"/>
      <c r="AB34" s="958"/>
      <c r="AC34" s="986">
        <f t="shared" si="9"/>
        <v>430000</v>
      </c>
      <c r="AD34" s="986"/>
      <c r="AE34" s="986"/>
      <c r="AF34" s="986"/>
      <c r="AG34" s="968"/>
      <c r="AH34" s="989"/>
      <c r="AI34" s="989"/>
      <c r="AJ34" s="944"/>
      <c r="AK34" s="958">
        <f t="shared" si="8"/>
        <v>0</v>
      </c>
      <c r="AL34" s="958">
        <f t="shared" si="8"/>
        <v>23650000</v>
      </c>
      <c r="AM34" s="958">
        <f t="shared" si="3"/>
        <v>0</v>
      </c>
      <c r="AN34" s="991">
        <f t="shared" si="7"/>
        <v>2150000</v>
      </c>
      <c r="AO34" s="944"/>
      <c r="AP34" s="944"/>
      <c r="AQ34" s="944"/>
    </row>
    <row r="35" ht="13.8" spans="1:43">
      <c r="A35" s="943">
        <f t="shared" si="5"/>
        <v>4</v>
      </c>
      <c r="B35" s="956">
        <v>24</v>
      </c>
      <c r="C35" s="758" t="s">
        <v>13104</v>
      </c>
      <c r="D35" s="759">
        <v>44664</v>
      </c>
      <c r="E35" s="959" t="s">
        <v>1479</v>
      </c>
      <c r="F35" s="758" t="s">
        <v>13134</v>
      </c>
      <c r="G35" s="758" t="s">
        <v>13105</v>
      </c>
      <c r="H35" s="960"/>
      <c r="I35" s="960">
        <v>19078392</v>
      </c>
      <c r="J35" s="958"/>
      <c r="K35" s="960"/>
      <c r="L35" s="960">
        <v>2098623</v>
      </c>
      <c r="M35" s="963">
        <f t="shared" si="0"/>
        <v>0</v>
      </c>
      <c r="N35" s="964"/>
      <c r="O35" s="963"/>
      <c r="P35" s="963">
        <f t="shared" si="1"/>
        <v>0</v>
      </c>
      <c r="Q35" s="980"/>
      <c r="R35" s="971">
        <v>44652</v>
      </c>
      <c r="S35" s="972"/>
      <c r="T35" s="972"/>
      <c r="U35" s="973"/>
      <c r="V35" s="974"/>
      <c r="W35" s="758"/>
      <c r="X35" s="759"/>
      <c r="Y35" s="944"/>
      <c r="Z35" s="968"/>
      <c r="AA35" s="969"/>
      <c r="AB35" s="969"/>
      <c r="AC35" s="986">
        <f t="shared" si="9"/>
        <v>381567.84</v>
      </c>
      <c r="AD35" s="986"/>
      <c r="AE35" s="986"/>
      <c r="AF35" s="986"/>
      <c r="AG35" s="968"/>
      <c r="AH35" s="988"/>
      <c r="AI35" s="989"/>
      <c r="AJ35" s="944"/>
      <c r="AK35" s="958">
        <f t="shared" si="8"/>
        <v>0</v>
      </c>
      <c r="AL35" s="958">
        <f t="shared" si="8"/>
        <v>20986230</v>
      </c>
      <c r="AM35" s="958">
        <f t="shared" si="3"/>
        <v>0</v>
      </c>
      <c r="AN35" s="991">
        <f t="shared" si="7"/>
        <v>1907838</v>
      </c>
      <c r="AO35" s="944"/>
      <c r="AP35" s="944"/>
      <c r="AQ35" s="944"/>
    </row>
    <row r="36" ht="13.8" hidden="1" spans="1:43">
      <c r="A36" s="943">
        <f t="shared" si="5"/>
        <v>4</v>
      </c>
      <c r="B36" s="956">
        <v>25</v>
      </c>
      <c r="C36" s="758" t="s">
        <v>13116</v>
      </c>
      <c r="D36" s="759">
        <v>44665</v>
      </c>
      <c r="E36" s="959" t="s">
        <v>13005</v>
      </c>
      <c r="F36" s="758" t="s">
        <v>13135</v>
      </c>
      <c r="G36" s="758" t="s">
        <v>13105</v>
      </c>
      <c r="H36" s="960"/>
      <c r="I36" s="960">
        <v>24273000</v>
      </c>
      <c r="J36" s="958"/>
      <c r="K36" s="960">
        <v>2670030</v>
      </c>
      <c r="L36" s="960"/>
      <c r="M36" s="963">
        <f t="shared" si="0"/>
        <v>2670030</v>
      </c>
      <c r="N36" s="964"/>
      <c r="O36" s="963"/>
      <c r="P36" s="963">
        <f t="shared" si="1"/>
        <v>2670030</v>
      </c>
      <c r="Q36" s="980"/>
      <c r="R36" s="971">
        <v>44652</v>
      </c>
      <c r="S36" s="972"/>
      <c r="T36" s="972"/>
      <c r="U36" s="973"/>
      <c r="V36" s="974"/>
      <c r="W36" s="758"/>
      <c r="X36" s="759"/>
      <c r="Y36" s="944"/>
      <c r="Z36" s="968"/>
      <c r="AA36" s="969"/>
      <c r="AB36" s="969"/>
      <c r="AC36" s="986"/>
      <c r="AD36" s="986"/>
      <c r="AE36" s="986"/>
      <c r="AF36" s="986"/>
      <c r="AG36" s="968"/>
      <c r="AH36" s="988"/>
      <c r="AI36" s="989"/>
      <c r="AJ36" s="944"/>
      <c r="AK36" s="958">
        <f t="shared" si="8"/>
        <v>26700300</v>
      </c>
      <c r="AL36" s="958">
        <f t="shared" si="8"/>
        <v>0</v>
      </c>
      <c r="AM36" s="958">
        <f t="shared" si="3"/>
        <v>0</v>
      </c>
      <c r="AN36" s="991">
        <f t="shared" si="7"/>
        <v>2427300</v>
      </c>
      <c r="AO36" s="944"/>
      <c r="AP36" s="944"/>
      <c r="AQ36" s="944"/>
    </row>
    <row r="37" ht="13.8" hidden="1" spans="1:43">
      <c r="A37" s="943">
        <f t="shared" si="5"/>
        <v>4</v>
      </c>
      <c r="B37" s="956">
        <v>26</v>
      </c>
      <c r="C37" s="758" t="s">
        <v>13116</v>
      </c>
      <c r="D37" s="759">
        <v>44665</v>
      </c>
      <c r="E37" s="959" t="s">
        <v>13005</v>
      </c>
      <c r="F37" s="758" t="s">
        <v>13136</v>
      </c>
      <c r="G37" s="758" t="s">
        <v>13105</v>
      </c>
      <c r="H37" s="960"/>
      <c r="I37" s="960">
        <v>15000000</v>
      </c>
      <c r="J37" s="958"/>
      <c r="K37" s="960">
        <v>1650000</v>
      </c>
      <c r="L37" s="960"/>
      <c r="M37" s="963">
        <f t="shared" si="0"/>
        <v>4320030</v>
      </c>
      <c r="N37" s="964"/>
      <c r="O37" s="963"/>
      <c r="P37" s="963">
        <f t="shared" si="1"/>
        <v>4320030</v>
      </c>
      <c r="Q37" s="980"/>
      <c r="R37" s="971">
        <v>44652</v>
      </c>
      <c r="S37" s="972"/>
      <c r="T37" s="972"/>
      <c r="U37" s="973"/>
      <c r="V37" s="974"/>
      <c r="W37" s="758"/>
      <c r="X37" s="759"/>
      <c r="Y37" s="944"/>
      <c r="Z37" s="968"/>
      <c r="AA37" s="969"/>
      <c r="AB37" s="969"/>
      <c r="AC37" s="986"/>
      <c r="AD37" s="986"/>
      <c r="AE37" s="986"/>
      <c r="AF37" s="986"/>
      <c r="AG37" s="968"/>
      <c r="AH37" s="988"/>
      <c r="AI37" s="989"/>
      <c r="AJ37" s="944"/>
      <c r="AK37" s="958">
        <f t="shared" si="8"/>
        <v>16500000</v>
      </c>
      <c r="AL37" s="958">
        <f t="shared" si="8"/>
        <v>0</v>
      </c>
      <c r="AM37" s="958">
        <f t="shared" si="3"/>
        <v>0</v>
      </c>
      <c r="AN37" s="991">
        <f t="shared" si="7"/>
        <v>1500000</v>
      </c>
      <c r="AO37" s="944"/>
      <c r="AP37" s="944"/>
      <c r="AQ37" s="944"/>
    </row>
    <row r="38" ht="13.8" hidden="1" spans="1:43">
      <c r="A38" s="943">
        <f t="shared" si="5"/>
        <v>4</v>
      </c>
      <c r="B38" s="956">
        <v>27</v>
      </c>
      <c r="C38" s="758" t="s">
        <v>13110</v>
      </c>
      <c r="D38" s="759">
        <v>44669</v>
      </c>
      <c r="E38" s="959" t="s">
        <v>13008</v>
      </c>
      <c r="F38" s="758" t="s">
        <v>13137</v>
      </c>
      <c r="G38" s="758" t="s">
        <v>13105</v>
      </c>
      <c r="H38" s="960"/>
      <c r="I38" s="960"/>
      <c r="J38" s="958"/>
      <c r="K38" s="960"/>
      <c r="L38" s="960"/>
      <c r="M38" s="963">
        <f t="shared" si="0"/>
        <v>4320030</v>
      </c>
      <c r="N38" s="964"/>
      <c r="O38" s="963"/>
      <c r="P38" s="963">
        <f t="shared" si="1"/>
        <v>4320030</v>
      </c>
      <c r="Q38" s="980"/>
      <c r="R38" s="971">
        <v>44652</v>
      </c>
      <c r="S38" s="972"/>
      <c r="T38" s="972"/>
      <c r="U38" s="973"/>
      <c r="V38" s="974"/>
      <c r="W38" s="758"/>
      <c r="X38" s="759"/>
      <c r="Y38" s="944"/>
      <c r="Z38" s="968"/>
      <c r="AA38" s="969"/>
      <c r="AB38" s="987"/>
      <c r="AC38" s="986"/>
      <c r="AD38" s="986"/>
      <c r="AE38" s="986"/>
      <c r="AF38" s="986"/>
      <c r="AG38" s="968"/>
      <c r="AH38" s="988"/>
      <c r="AI38" s="989"/>
      <c r="AJ38" s="944"/>
      <c r="AK38" s="958">
        <f t="shared" si="8"/>
        <v>0</v>
      </c>
      <c r="AL38" s="958">
        <f t="shared" si="8"/>
        <v>0</v>
      </c>
      <c r="AM38" s="958">
        <f t="shared" si="3"/>
        <v>0</v>
      </c>
      <c r="AN38" s="991">
        <f t="shared" si="7"/>
        <v>0</v>
      </c>
      <c r="AO38" s="944"/>
      <c r="AP38" s="944"/>
      <c r="AQ38" s="944"/>
    </row>
    <row r="39" ht="13.8" hidden="1" spans="1:43">
      <c r="A39" s="943">
        <f t="shared" si="5"/>
        <v>4</v>
      </c>
      <c r="B39" s="956">
        <v>28</v>
      </c>
      <c r="C39" s="758" t="s">
        <v>13110</v>
      </c>
      <c r="D39" s="759">
        <v>44669</v>
      </c>
      <c r="E39" s="959" t="s">
        <v>13008</v>
      </c>
      <c r="F39" s="758" t="s">
        <v>13138</v>
      </c>
      <c r="G39" s="758" t="s">
        <v>13105</v>
      </c>
      <c r="H39" s="960"/>
      <c r="I39" s="960"/>
      <c r="J39" s="958"/>
      <c r="K39" s="960"/>
      <c r="L39" s="960"/>
      <c r="M39" s="963">
        <f t="shared" si="0"/>
        <v>4320030</v>
      </c>
      <c r="N39" s="964"/>
      <c r="O39" s="963"/>
      <c r="P39" s="963">
        <f t="shared" si="1"/>
        <v>4320030</v>
      </c>
      <c r="Q39" s="980"/>
      <c r="R39" s="971">
        <v>44652</v>
      </c>
      <c r="S39" s="972"/>
      <c r="T39" s="972"/>
      <c r="U39" s="973"/>
      <c r="V39" s="974"/>
      <c r="W39" s="758"/>
      <c r="X39" s="759"/>
      <c r="Y39" s="944"/>
      <c r="Z39" s="968"/>
      <c r="AA39" s="969"/>
      <c r="AB39" s="987"/>
      <c r="AC39" s="986"/>
      <c r="AD39" s="986"/>
      <c r="AE39" s="986"/>
      <c r="AF39" s="986"/>
      <c r="AG39" s="968"/>
      <c r="AH39" s="988"/>
      <c r="AI39" s="989"/>
      <c r="AJ39" s="944"/>
      <c r="AK39" s="958">
        <f t="shared" si="8"/>
        <v>0</v>
      </c>
      <c r="AL39" s="958">
        <f t="shared" si="8"/>
        <v>0</v>
      </c>
      <c r="AM39" s="958">
        <f t="shared" si="3"/>
        <v>0</v>
      </c>
      <c r="AN39" s="991">
        <f t="shared" si="7"/>
        <v>0</v>
      </c>
      <c r="AO39" s="944"/>
      <c r="AP39" s="944"/>
      <c r="AQ39" s="944"/>
    </row>
    <row r="40" ht="15" hidden="1" customHeight="1" spans="1:43">
      <c r="A40" s="943">
        <f t="shared" si="5"/>
        <v>4</v>
      </c>
      <c r="B40" s="956">
        <v>29</v>
      </c>
      <c r="C40" s="758" t="s">
        <v>13110</v>
      </c>
      <c r="D40" s="759">
        <v>44669</v>
      </c>
      <c r="E40" s="959" t="s">
        <v>13008</v>
      </c>
      <c r="F40" s="758" t="s">
        <v>13139</v>
      </c>
      <c r="G40" s="758" t="s">
        <v>13105</v>
      </c>
      <c r="H40" s="958"/>
      <c r="I40" s="958"/>
      <c r="J40" s="958"/>
      <c r="K40" s="960"/>
      <c r="L40" s="960"/>
      <c r="M40" s="963">
        <f t="shared" si="0"/>
        <v>4320030</v>
      </c>
      <c r="N40" s="964"/>
      <c r="O40" s="963"/>
      <c r="P40" s="963">
        <f t="shared" si="1"/>
        <v>4320030</v>
      </c>
      <c r="Q40" s="980"/>
      <c r="R40" s="971">
        <v>44652</v>
      </c>
      <c r="S40" s="972"/>
      <c r="T40" s="972"/>
      <c r="U40" s="973"/>
      <c r="V40" s="974"/>
      <c r="W40" s="758"/>
      <c r="X40" s="759"/>
      <c r="Y40" s="944"/>
      <c r="Z40" s="968"/>
      <c r="AA40" s="969"/>
      <c r="AB40" s="958"/>
      <c r="AC40" s="986"/>
      <c r="AD40" s="986"/>
      <c r="AE40" s="986"/>
      <c r="AF40" s="986"/>
      <c r="AG40" s="968"/>
      <c r="AH40" s="988"/>
      <c r="AI40" s="989"/>
      <c r="AJ40" s="944"/>
      <c r="AK40" s="958">
        <f>IF(K40&gt;0,K40/10%,0)</f>
        <v>0</v>
      </c>
      <c r="AL40" s="958">
        <f>IF(L40&gt;0,L40/10%,0)</f>
        <v>0</v>
      </c>
      <c r="AM40" s="958">
        <f t="shared" si="3"/>
        <v>0</v>
      </c>
      <c r="AN40" s="991">
        <f t="shared" si="7"/>
        <v>0</v>
      </c>
      <c r="AO40" s="944"/>
      <c r="AP40" s="944"/>
      <c r="AQ40" s="944"/>
    </row>
    <row r="41" ht="15" hidden="1" customHeight="1" spans="1:43">
      <c r="A41" s="943">
        <f t="shared" si="5"/>
        <v>4</v>
      </c>
      <c r="B41" s="956">
        <v>30</v>
      </c>
      <c r="C41" s="758" t="s">
        <v>13116</v>
      </c>
      <c r="D41" s="759">
        <v>44672</v>
      </c>
      <c r="E41" s="959" t="s">
        <v>13005</v>
      </c>
      <c r="F41" s="758" t="s">
        <v>13140</v>
      </c>
      <c r="G41" s="758" t="s">
        <v>13105</v>
      </c>
      <c r="H41" s="958"/>
      <c r="I41" s="958">
        <v>15000000</v>
      </c>
      <c r="J41" s="958"/>
      <c r="K41" s="960">
        <v>1650000</v>
      </c>
      <c r="L41" s="960"/>
      <c r="M41" s="963">
        <f t="shared" si="0"/>
        <v>5970030</v>
      </c>
      <c r="N41" s="964"/>
      <c r="O41" s="963"/>
      <c r="P41" s="963">
        <f t="shared" si="1"/>
        <v>5970030</v>
      </c>
      <c r="Q41" s="980"/>
      <c r="R41" s="971">
        <v>44652</v>
      </c>
      <c r="S41" s="972"/>
      <c r="T41" s="972"/>
      <c r="U41" s="973"/>
      <c r="V41" s="974"/>
      <c r="W41" s="758"/>
      <c r="X41" s="759"/>
      <c r="Y41" s="944"/>
      <c r="Z41" s="968"/>
      <c r="AA41" s="969"/>
      <c r="AB41" s="958"/>
      <c r="AC41" s="986"/>
      <c r="AD41" s="986"/>
      <c r="AE41" s="986"/>
      <c r="AF41" s="986"/>
      <c r="AG41" s="968"/>
      <c r="AH41" s="988"/>
      <c r="AI41" s="989"/>
      <c r="AJ41" s="944"/>
      <c r="AK41" s="958">
        <f>IF(K41&gt;0,K41/10%,0)</f>
        <v>16500000</v>
      </c>
      <c r="AL41" s="958">
        <f>IF(L41&gt;0,L41/10%,0)</f>
        <v>0</v>
      </c>
      <c r="AM41" s="958">
        <f t="shared" si="3"/>
        <v>0</v>
      </c>
      <c r="AN41" s="991">
        <f t="shared" si="7"/>
        <v>1500000</v>
      </c>
      <c r="AO41" s="944"/>
      <c r="AP41" s="944"/>
      <c r="AQ41" s="944"/>
    </row>
    <row r="42" ht="13.8" hidden="1" spans="1:43">
      <c r="A42" s="943">
        <f t="shared" si="5"/>
        <v>4</v>
      </c>
      <c r="B42" s="956">
        <v>31</v>
      </c>
      <c r="C42" s="758" t="s">
        <v>13116</v>
      </c>
      <c r="D42" s="759">
        <v>44672</v>
      </c>
      <c r="E42" s="959" t="s">
        <v>13005</v>
      </c>
      <c r="F42" s="758" t="s">
        <v>13141</v>
      </c>
      <c r="G42" s="758" t="s">
        <v>13105</v>
      </c>
      <c r="H42" s="960"/>
      <c r="I42" s="960">
        <v>30693500</v>
      </c>
      <c r="J42" s="958"/>
      <c r="K42" s="960">
        <v>3376285</v>
      </c>
      <c r="L42" s="960"/>
      <c r="M42" s="963">
        <f t="shared" si="0"/>
        <v>9346315</v>
      </c>
      <c r="N42" s="964"/>
      <c r="O42" s="963"/>
      <c r="P42" s="963">
        <f t="shared" si="1"/>
        <v>9346315</v>
      </c>
      <c r="Q42" s="980"/>
      <c r="R42" s="971">
        <v>44652</v>
      </c>
      <c r="S42" s="972"/>
      <c r="T42" s="972"/>
      <c r="U42" s="973"/>
      <c r="V42" s="974"/>
      <c r="W42" s="758"/>
      <c r="X42" s="759"/>
      <c r="Y42" s="944"/>
      <c r="Z42" s="968"/>
      <c r="AA42" s="969"/>
      <c r="AB42" s="969"/>
      <c r="AC42" s="986"/>
      <c r="AD42" s="986"/>
      <c r="AE42" s="986"/>
      <c r="AF42" s="986"/>
      <c r="AG42" s="968"/>
      <c r="AH42" s="988"/>
      <c r="AI42" s="989"/>
      <c r="AJ42" s="944"/>
      <c r="AK42" s="958">
        <f t="shared" si="8"/>
        <v>33762850</v>
      </c>
      <c r="AL42" s="958">
        <f t="shared" si="8"/>
        <v>0</v>
      </c>
      <c r="AM42" s="958">
        <f t="shared" si="3"/>
        <v>0</v>
      </c>
      <c r="AN42" s="991">
        <f t="shared" si="7"/>
        <v>3069350</v>
      </c>
      <c r="AO42" s="944"/>
      <c r="AP42" s="944"/>
      <c r="AQ42" s="944"/>
    </row>
    <row r="43" ht="13.8" hidden="1" spans="1:43">
      <c r="A43" s="943">
        <f t="shared" si="5"/>
        <v>4</v>
      </c>
      <c r="B43" s="956">
        <v>32</v>
      </c>
      <c r="C43" s="758" t="s">
        <v>13110</v>
      </c>
      <c r="D43" s="759">
        <v>44672</v>
      </c>
      <c r="E43" s="959" t="s">
        <v>13008</v>
      </c>
      <c r="F43" s="758" t="s">
        <v>13142</v>
      </c>
      <c r="G43" s="758" t="s">
        <v>13105</v>
      </c>
      <c r="H43" s="960"/>
      <c r="I43" s="960"/>
      <c r="J43" s="958"/>
      <c r="K43" s="960"/>
      <c r="L43" s="960"/>
      <c r="M43" s="963">
        <f t="shared" si="0"/>
        <v>9346315</v>
      </c>
      <c r="N43" s="964"/>
      <c r="O43" s="963"/>
      <c r="P43" s="963">
        <f t="shared" si="1"/>
        <v>9346315</v>
      </c>
      <c r="Q43" s="980"/>
      <c r="R43" s="971">
        <v>44652</v>
      </c>
      <c r="S43" s="972"/>
      <c r="T43" s="972"/>
      <c r="U43" s="973"/>
      <c r="V43" s="974"/>
      <c r="W43" s="758"/>
      <c r="X43" s="759"/>
      <c r="Y43" s="944"/>
      <c r="Z43" s="968"/>
      <c r="AA43" s="969"/>
      <c r="AB43" s="960"/>
      <c r="AC43" s="986"/>
      <c r="AD43" s="986"/>
      <c r="AE43" s="986"/>
      <c r="AF43" s="986"/>
      <c r="AG43" s="968"/>
      <c r="AH43" s="988"/>
      <c r="AI43" s="989"/>
      <c r="AJ43" s="944"/>
      <c r="AK43" s="958">
        <f t="shared" si="8"/>
        <v>0</v>
      </c>
      <c r="AL43" s="958">
        <f t="shared" si="8"/>
        <v>0</v>
      </c>
      <c r="AM43" s="958">
        <f t="shared" si="3"/>
        <v>0</v>
      </c>
      <c r="AN43" s="991">
        <f t="shared" si="7"/>
        <v>0</v>
      </c>
      <c r="AO43" s="944"/>
      <c r="AP43" s="944"/>
      <c r="AQ43" s="944"/>
    </row>
    <row r="44" ht="13.8" hidden="1" spans="1:43">
      <c r="A44" s="943">
        <f t="shared" si="5"/>
        <v>4</v>
      </c>
      <c r="B44" s="956">
        <v>33</v>
      </c>
      <c r="C44" s="758" t="s">
        <v>13110</v>
      </c>
      <c r="D44" s="759">
        <v>44672</v>
      </c>
      <c r="E44" s="959" t="s">
        <v>13008</v>
      </c>
      <c r="F44" s="758" t="s">
        <v>13143</v>
      </c>
      <c r="G44" s="758" t="s">
        <v>13105</v>
      </c>
      <c r="H44" s="960"/>
      <c r="I44" s="960"/>
      <c r="J44" s="958"/>
      <c r="K44" s="960"/>
      <c r="L44" s="960"/>
      <c r="M44" s="963">
        <f t="shared" si="0"/>
        <v>9346315</v>
      </c>
      <c r="N44" s="964"/>
      <c r="O44" s="963"/>
      <c r="P44" s="963">
        <f t="shared" si="1"/>
        <v>9346315</v>
      </c>
      <c r="Q44" s="980"/>
      <c r="R44" s="971">
        <v>44652</v>
      </c>
      <c r="S44" s="972"/>
      <c r="T44" s="972"/>
      <c r="U44" s="973"/>
      <c r="V44" s="974"/>
      <c r="W44" s="758"/>
      <c r="X44" s="759"/>
      <c r="Y44" s="944"/>
      <c r="Z44" s="968"/>
      <c r="AA44" s="969"/>
      <c r="AB44" s="960"/>
      <c r="AC44" s="986"/>
      <c r="AD44" s="986"/>
      <c r="AE44" s="986"/>
      <c r="AF44" s="986"/>
      <c r="AG44" s="968"/>
      <c r="AH44" s="988"/>
      <c r="AI44" s="989"/>
      <c r="AJ44" s="944"/>
      <c r="AK44" s="958">
        <f t="shared" si="8"/>
        <v>0</v>
      </c>
      <c r="AL44" s="958">
        <f t="shared" si="8"/>
        <v>0</v>
      </c>
      <c r="AM44" s="958">
        <f t="shared" si="3"/>
        <v>0</v>
      </c>
      <c r="AN44" s="991">
        <f t="shared" si="7"/>
        <v>0</v>
      </c>
      <c r="AO44" s="944"/>
      <c r="AP44" s="944"/>
      <c r="AQ44" s="944"/>
    </row>
    <row r="45" ht="13.8" hidden="1" spans="1:43">
      <c r="A45" s="943">
        <f t="shared" si="5"/>
        <v>4</v>
      </c>
      <c r="B45" s="956">
        <v>34</v>
      </c>
      <c r="C45" s="758" t="s">
        <v>13110</v>
      </c>
      <c r="D45" s="759">
        <v>44672</v>
      </c>
      <c r="E45" s="959" t="s">
        <v>13008</v>
      </c>
      <c r="F45" s="758" t="s">
        <v>13144</v>
      </c>
      <c r="G45" s="758" t="s">
        <v>13105</v>
      </c>
      <c r="H45" s="960"/>
      <c r="I45" s="960"/>
      <c r="J45" s="958"/>
      <c r="K45" s="960"/>
      <c r="L45" s="960"/>
      <c r="M45" s="963">
        <f t="shared" si="0"/>
        <v>9346315</v>
      </c>
      <c r="N45" s="964"/>
      <c r="O45" s="963"/>
      <c r="P45" s="963">
        <f t="shared" si="1"/>
        <v>9346315</v>
      </c>
      <c r="Q45" s="980"/>
      <c r="R45" s="971">
        <v>44652</v>
      </c>
      <c r="S45" s="972"/>
      <c r="T45" s="972"/>
      <c r="U45" s="973"/>
      <c r="V45" s="974"/>
      <c r="W45" s="758"/>
      <c r="X45" s="759"/>
      <c r="Y45" s="944"/>
      <c r="Z45" s="968"/>
      <c r="AA45" s="969"/>
      <c r="AB45" s="759"/>
      <c r="AC45" s="986"/>
      <c r="AD45" s="986"/>
      <c r="AE45" s="986"/>
      <c r="AF45" s="986"/>
      <c r="AG45" s="968"/>
      <c r="AH45" s="988"/>
      <c r="AI45" s="989"/>
      <c r="AJ45" s="944"/>
      <c r="AK45" s="958">
        <f t="shared" si="8"/>
        <v>0</v>
      </c>
      <c r="AL45" s="958">
        <f t="shared" si="8"/>
        <v>0</v>
      </c>
      <c r="AM45" s="958">
        <f t="shared" si="3"/>
        <v>0</v>
      </c>
      <c r="AN45" s="991">
        <f t="shared" si="7"/>
        <v>0</v>
      </c>
      <c r="AO45" s="944"/>
      <c r="AP45" s="944"/>
      <c r="AQ45" s="944"/>
    </row>
    <row r="46" s="944" customFormat="1" ht="13.2" spans="1:40">
      <c r="A46" s="943">
        <f t="shared" si="5"/>
        <v>4</v>
      </c>
      <c r="B46" s="956">
        <v>35</v>
      </c>
      <c r="C46" s="758" t="s">
        <v>13110</v>
      </c>
      <c r="D46" s="759">
        <v>44669</v>
      </c>
      <c r="E46" s="959" t="s">
        <v>13008</v>
      </c>
      <c r="F46" s="758" t="s">
        <v>13145</v>
      </c>
      <c r="G46" s="758" t="s">
        <v>13105</v>
      </c>
      <c r="H46" s="960"/>
      <c r="I46" s="779">
        <v>165000000</v>
      </c>
      <c r="J46" s="958"/>
      <c r="K46" s="960">
        <v>18150000</v>
      </c>
      <c r="L46" s="960"/>
      <c r="M46" s="963">
        <f t="shared" si="0"/>
        <v>27496315</v>
      </c>
      <c r="N46" s="964"/>
      <c r="O46" s="963"/>
      <c r="P46" s="963">
        <f t="shared" si="1"/>
        <v>27496315</v>
      </c>
      <c r="Q46" s="980"/>
      <c r="R46" s="971">
        <v>44652</v>
      </c>
      <c r="S46" s="972"/>
      <c r="T46" s="972"/>
      <c r="U46" s="973"/>
      <c r="V46" s="974"/>
      <c r="W46" s="758"/>
      <c r="X46" s="759"/>
      <c r="Z46" s="968"/>
      <c r="AA46" s="969"/>
      <c r="AB46" s="759"/>
      <c r="AC46" s="986">
        <f t="shared" ref="AC46:AC51" si="10">+I46*2%</f>
        <v>3300000</v>
      </c>
      <c r="AD46" s="986"/>
      <c r="AE46" s="986"/>
      <c r="AF46" s="986"/>
      <c r="AG46" s="968"/>
      <c r="AH46" s="988"/>
      <c r="AI46" s="989"/>
      <c r="AK46" s="958">
        <f t="shared" si="8"/>
        <v>181500000</v>
      </c>
      <c r="AL46" s="958">
        <f t="shared" si="8"/>
        <v>0</v>
      </c>
      <c r="AM46" s="958">
        <f t="shared" si="3"/>
        <v>0</v>
      </c>
      <c r="AN46" s="992">
        <f t="shared" si="7"/>
        <v>16500000</v>
      </c>
    </row>
    <row r="47" s="944" customFormat="1" ht="13.2" spans="1:40">
      <c r="A47" s="943">
        <f t="shared" si="5"/>
        <v>4</v>
      </c>
      <c r="B47" s="956">
        <v>36</v>
      </c>
      <c r="C47" s="758" t="s">
        <v>13110</v>
      </c>
      <c r="D47" s="759">
        <v>44669</v>
      </c>
      <c r="E47" s="959" t="s">
        <v>13008</v>
      </c>
      <c r="F47" s="758" t="s">
        <v>13146</v>
      </c>
      <c r="G47" s="758" t="s">
        <v>13105</v>
      </c>
      <c r="H47" s="960"/>
      <c r="I47" s="779">
        <v>39000000</v>
      </c>
      <c r="J47" s="958"/>
      <c r="K47" s="960">
        <v>4290000</v>
      </c>
      <c r="L47" s="960"/>
      <c r="M47" s="963">
        <f t="shared" si="0"/>
        <v>31786315</v>
      </c>
      <c r="N47" s="964"/>
      <c r="O47" s="963"/>
      <c r="P47" s="963">
        <f t="shared" si="1"/>
        <v>31786315</v>
      </c>
      <c r="Q47" s="980"/>
      <c r="R47" s="971">
        <v>44652</v>
      </c>
      <c r="S47" s="972"/>
      <c r="T47" s="972"/>
      <c r="U47" s="973"/>
      <c r="V47" s="974"/>
      <c r="W47" s="758"/>
      <c r="X47" s="759"/>
      <c r="Z47" s="968"/>
      <c r="AA47" s="969"/>
      <c r="AB47" s="759"/>
      <c r="AC47" s="986">
        <f t="shared" si="10"/>
        <v>780000</v>
      </c>
      <c r="AD47" s="986"/>
      <c r="AE47" s="986"/>
      <c r="AF47" s="986"/>
      <c r="AG47" s="968"/>
      <c r="AH47" s="988"/>
      <c r="AI47" s="989"/>
      <c r="AK47" s="958">
        <f t="shared" si="8"/>
        <v>42900000</v>
      </c>
      <c r="AL47" s="958">
        <f t="shared" si="8"/>
        <v>0</v>
      </c>
      <c r="AM47" s="958">
        <f t="shared" si="3"/>
        <v>0</v>
      </c>
      <c r="AN47" s="992">
        <f t="shared" si="7"/>
        <v>3900000</v>
      </c>
    </row>
    <row r="48" ht="13.8" spans="1:43">
      <c r="A48" s="943">
        <f t="shared" si="5"/>
        <v>4</v>
      </c>
      <c r="B48" s="956">
        <v>37</v>
      </c>
      <c r="C48" s="758" t="s">
        <v>13110</v>
      </c>
      <c r="D48" s="759">
        <v>44669</v>
      </c>
      <c r="E48" s="959" t="s">
        <v>13008</v>
      </c>
      <c r="F48" s="758" t="s">
        <v>13147</v>
      </c>
      <c r="G48" s="758" t="s">
        <v>13105</v>
      </c>
      <c r="H48" s="960"/>
      <c r="I48" s="960">
        <v>8400000</v>
      </c>
      <c r="J48" s="958"/>
      <c r="K48" s="960">
        <v>924000</v>
      </c>
      <c r="L48" s="960"/>
      <c r="M48" s="963">
        <f t="shared" si="0"/>
        <v>32710315</v>
      </c>
      <c r="N48" s="964"/>
      <c r="O48" s="963"/>
      <c r="P48" s="963">
        <f t="shared" si="1"/>
        <v>32710315</v>
      </c>
      <c r="Q48" s="980"/>
      <c r="R48" s="971">
        <v>44652</v>
      </c>
      <c r="S48" s="972"/>
      <c r="T48" s="972"/>
      <c r="U48" s="973"/>
      <c r="V48" s="974"/>
      <c r="W48" s="758"/>
      <c r="X48" s="759"/>
      <c r="Y48" s="944"/>
      <c r="Z48" s="968"/>
      <c r="AA48" s="969"/>
      <c r="AB48" s="759"/>
      <c r="AC48" s="986">
        <f t="shared" si="10"/>
        <v>168000</v>
      </c>
      <c r="AD48" s="986"/>
      <c r="AE48" s="986"/>
      <c r="AF48" s="986"/>
      <c r="AG48" s="968"/>
      <c r="AH48" s="988"/>
      <c r="AI48" s="989"/>
      <c r="AJ48" s="944"/>
      <c r="AK48" s="958">
        <f t="shared" si="8"/>
        <v>9240000</v>
      </c>
      <c r="AL48" s="958">
        <f t="shared" si="8"/>
        <v>0</v>
      </c>
      <c r="AM48" s="958">
        <f t="shared" si="3"/>
        <v>0</v>
      </c>
      <c r="AN48" s="991">
        <f t="shared" si="7"/>
        <v>840000</v>
      </c>
      <c r="AO48" s="944"/>
      <c r="AP48" s="944"/>
      <c r="AQ48" s="944"/>
    </row>
    <row r="49" s="944" customFormat="1" ht="13.2" spans="1:40">
      <c r="A49" s="943">
        <f t="shared" si="5"/>
        <v>4</v>
      </c>
      <c r="B49" s="956">
        <v>38</v>
      </c>
      <c r="C49" s="758" t="s">
        <v>13110</v>
      </c>
      <c r="D49" s="759">
        <v>44672</v>
      </c>
      <c r="E49" s="959" t="s">
        <v>13008</v>
      </c>
      <c r="F49" s="758" t="s">
        <v>13148</v>
      </c>
      <c r="G49" s="758" t="s">
        <v>13105</v>
      </c>
      <c r="H49" s="960"/>
      <c r="I49" s="779">
        <v>36800000</v>
      </c>
      <c r="J49" s="958"/>
      <c r="K49" s="960">
        <v>4048000</v>
      </c>
      <c r="L49" s="960"/>
      <c r="M49" s="963">
        <f t="shared" si="0"/>
        <v>36758315</v>
      </c>
      <c r="N49" s="964"/>
      <c r="O49" s="963"/>
      <c r="P49" s="963">
        <f t="shared" si="1"/>
        <v>36758315</v>
      </c>
      <c r="Q49" s="980"/>
      <c r="R49" s="971">
        <v>44652</v>
      </c>
      <c r="S49" s="972"/>
      <c r="T49" s="972"/>
      <c r="U49" s="973"/>
      <c r="V49" s="974"/>
      <c r="W49" s="758"/>
      <c r="X49" s="759"/>
      <c r="Z49" s="968"/>
      <c r="AA49" s="969"/>
      <c r="AB49" s="958"/>
      <c r="AC49" s="986">
        <f t="shared" si="10"/>
        <v>736000</v>
      </c>
      <c r="AD49" s="986"/>
      <c r="AE49" s="986"/>
      <c r="AF49" s="986"/>
      <c r="AG49" s="968"/>
      <c r="AH49" s="988"/>
      <c r="AI49" s="989"/>
      <c r="AK49" s="958">
        <f t="shared" si="8"/>
        <v>40480000</v>
      </c>
      <c r="AL49" s="958">
        <f t="shared" si="8"/>
        <v>0</v>
      </c>
      <c r="AM49" s="958">
        <f t="shared" si="3"/>
        <v>0</v>
      </c>
      <c r="AN49" s="992">
        <f t="shared" si="7"/>
        <v>3680000</v>
      </c>
    </row>
    <row r="50" s="944" customFormat="1" ht="13.2" spans="1:40">
      <c r="A50" s="943">
        <f t="shared" si="5"/>
        <v>4</v>
      </c>
      <c r="B50" s="956">
        <v>39</v>
      </c>
      <c r="C50" s="758" t="s">
        <v>13110</v>
      </c>
      <c r="D50" s="759">
        <v>44672</v>
      </c>
      <c r="E50" s="959" t="s">
        <v>13008</v>
      </c>
      <c r="F50" s="758" t="s">
        <v>13149</v>
      </c>
      <c r="G50" s="758" t="s">
        <v>13105</v>
      </c>
      <c r="H50" s="960"/>
      <c r="I50" s="779">
        <v>38400000</v>
      </c>
      <c r="J50" s="958"/>
      <c r="K50" s="960">
        <v>4224000</v>
      </c>
      <c r="L50" s="960"/>
      <c r="M50" s="963">
        <f t="shared" si="0"/>
        <v>40982315</v>
      </c>
      <c r="N50" s="964"/>
      <c r="O50" s="963"/>
      <c r="P50" s="963">
        <f t="shared" si="1"/>
        <v>40982315</v>
      </c>
      <c r="Q50" s="980"/>
      <c r="R50" s="971">
        <v>44652</v>
      </c>
      <c r="S50" s="972"/>
      <c r="T50" s="972"/>
      <c r="U50" s="973"/>
      <c r="V50" s="974"/>
      <c r="W50" s="758"/>
      <c r="X50" s="759"/>
      <c r="Z50" s="968"/>
      <c r="AA50" s="969"/>
      <c r="AB50" s="969"/>
      <c r="AC50" s="986">
        <f t="shared" si="10"/>
        <v>768000</v>
      </c>
      <c r="AD50" s="986"/>
      <c r="AE50" s="986"/>
      <c r="AF50" s="986"/>
      <c r="AG50" s="968"/>
      <c r="AH50" s="988"/>
      <c r="AI50" s="989"/>
      <c r="AK50" s="958">
        <f t="shared" si="8"/>
        <v>42240000</v>
      </c>
      <c r="AL50" s="958">
        <f t="shared" si="8"/>
        <v>0</v>
      </c>
      <c r="AM50" s="958">
        <f t="shared" si="3"/>
        <v>0</v>
      </c>
      <c r="AN50" s="992">
        <f t="shared" si="7"/>
        <v>3840000</v>
      </c>
    </row>
    <row r="51" ht="13.8" spans="1:43">
      <c r="A51" s="943">
        <f t="shared" si="5"/>
        <v>4</v>
      </c>
      <c r="B51" s="956">
        <v>40</v>
      </c>
      <c r="C51" s="758" t="s">
        <v>13110</v>
      </c>
      <c r="D51" s="759">
        <v>44672</v>
      </c>
      <c r="E51" s="959" t="s">
        <v>13008</v>
      </c>
      <c r="F51" s="758" t="s">
        <v>13150</v>
      </c>
      <c r="G51" s="758" t="s">
        <v>13105</v>
      </c>
      <c r="H51" s="960"/>
      <c r="I51" s="960">
        <v>35200000</v>
      </c>
      <c r="J51" s="958"/>
      <c r="K51" s="960">
        <v>3872000</v>
      </c>
      <c r="L51" s="960"/>
      <c r="M51" s="963">
        <f t="shared" si="0"/>
        <v>44854315</v>
      </c>
      <c r="N51" s="964"/>
      <c r="O51" s="837">
        <v>44854315</v>
      </c>
      <c r="P51" s="963">
        <f t="shared" si="1"/>
        <v>0</v>
      </c>
      <c r="Q51" s="980"/>
      <c r="R51" s="862">
        <v>44652</v>
      </c>
      <c r="S51" s="972"/>
      <c r="T51" s="972"/>
      <c r="U51" s="973"/>
      <c r="V51" s="974"/>
      <c r="W51" s="758"/>
      <c r="X51" s="759"/>
      <c r="Y51" s="944"/>
      <c r="Z51" s="968"/>
      <c r="AA51" s="969"/>
      <c r="AB51" s="969"/>
      <c r="AC51" s="986">
        <f t="shared" si="10"/>
        <v>704000</v>
      </c>
      <c r="AD51" s="986"/>
      <c r="AE51" s="986"/>
      <c r="AF51" s="986"/>
      <c r="AG51" s="968"/>
      <c r="AH51" s="988"/>
      <c r="AI51" s="989"/>
      <c r="AJ51" s="944"/>
      <c r="AK51" s="958">
        <f t="shared" si="8"/>
        <v>38720000</v>
      </c>
      <c r="AL51" s="958">
        <f t="shared" si="8"/>
        <v>0</v>
      </c>
      <c r="AM51" s="958">
        <f t="shared" si="3"/>
        <v>0</v>
      </c>
      <c r="AN51" s="991">
        <f t="shared" si="7"/>
        <v>3520000</v>
      </c>
      <c r="AO51" s="944"/>
      <c r="AP51" s="944"/>
      <c r="AQ51" s="944"/>
    </row>
    <row r="52" ht="15" hidden="1" customHeight="1" spans="1:43">
      <c r="A52" s="943">
        <f t="shared" si="5"/>
        <v>5</v>
      </c>
      <c r="B52" s="956">
        <v>41</v>
      </c>
      <c r="C52" s="758" t="s">
        <v>13110</v>
      </c>
      <c r="D52" s="759">
        <v>44698</v>
      </c>
      <c r="E52" s="959" t="s">
        <v>13008</v>
      </c>
      <c r="F52" s="758" t="s">
        <v>13151</v>
      </c>
      <c r="G52" s="758" t="s">
        <v>13105</v>
      </c>
      <c r="H52" s="960"/>
      <c r="I52" s="960"/>
      <c r="J52" s="958"/>
      <c r="K52" s="960"/>
      <c r="L52" s="960"/>
      <c r="M52" s="963">
        <f t="shared" si="0"/>
        <v>0</v>
      </c>
      <c r="N52" s="964"/>
      <c r="O52" s="963"/>
      <c r="P52" s="963">
        <f t="shared" si="1"/>
        <v>0</v>
      </c>
      <c r="Q52" s="980"/>
      <c r="R52" s="971">
        <v>44682</v>
      </c>
      <c r="S52" s="972"/>
      <c r="T52" s="972"/>
      <c r="U52" s="973"/>
      <c r="V52" s="974"/>
      <c r="W52" s="758"/>
      <c r="X52" s="759"/>
      <c r="Y52" s="944"/>
      <c r="Z52" s="968"/>
      <c r="AA52" s="969"/>
      <c r="AB52" s="969"/>
      <c r="AC52" s="986"/>
      <c r="AD52" s="986"/>
      <c r="AE52" s="986"/>
      <c r="AF52" s="986"/>
      <c r="AG52" s="968"/>
      <c r="AH52" s="988"/>
      <c r="AI52" s="989"/>
      <c r="AJ52" s="944"/>
      <c r="AK52" s="958">
        <f>IF(K52&gt;0,K52/10%,0)</f>
        <v>0</v>
      </c>
      <c r="AL52" s="958">
        <f>IF(L52&gt;0,L52/10%,0)</f>
        <v>0</v>
      </c>
      <c r="AM52" s="958">
        <f t="shared" si="3"/>
        <v>0</v>
      </c>
      <c r="AN52" s="991">
        <f t="shared" si="7"/>
        <v>0</v>
      </c>
      <c r="AO52" s="944"/>
      <c r="AP52" s="944"/>
      <c r="AQ52" s="944"/>
    </row>
    <row r="53" ht="15" customHeight="1" spans="1:43">
      <c r="A53" s="943">
        <f t="shared" si="5"/>
        <v>5</v>
      </c>
      <c r="B53" s="956">
        <v>42</v>
      </c>
      <c r="C53" s="758" t="s">
        <v>13110</v>
      </c>
      <c r="D53" s="759">
        <v>44698</v>
      </c>
      <c r="E53" s="959" t="s">
        <v>13008</v>
      </c>
      <c r="F53" s="758" t="s">
        <v>13152</v>
      </c>
      <c r="G53" s="758" t="s">
        <v>13105</v>
      </c>
      <c r="H53" s="960"/>
      <c r="I53" s="960">
        <v>13000000</v>
      </c>
      <c r="J53" s="958"/>
      <c r="K53" s="960">
        <v>1430000</v>
      </c>
      <c r="L53" s="960"/>
      <c r="M53" s="963">
        <f t="shared" si="0"/>
        <v>1430000</v>
      </c>
      <c r="N53" s="964"/>
      <c r="O53" s="963"/>
      <c r="P53" s="963">
        <f t="shared" si="1"/>
        <v>1430000</v>
      </c>
      <c r="Q53" s="980"/>
      <c r="R53" s="971">
        <v>44682</v>
      </c>
      <c r="S53" s="972"/>
      <c r="T53" s="972"/>
      <c r="U53" s="973"/>
      <c r="V53" s="974"/>
      <c r="W53" s="758"/>
      <c r="X53" s="759"/>
      <c r="Y53" s="944"/>
      <c r="Z53" s="968"/>
      <c r="AA53" s="969"/>
      <c r="AB53" s="969"/>
      <c r="AC53" s="986">
        <f t="shared" ref="AC53:AC54" si="11">+I53*2%</f>
        <v>260000</v>
      </c>
      <c r="AD53" s="986"/>
      <c r="AE53" s="986"/>
      <c r="AF53" s="986"/>
      <c r="AG53" s="968"/>
      <c r="AH53" s="988"/>
      <c r="AI53" s="989"/>
      <c r="AJ53" s="944"/>
      <c r="AK53" s="958">
        <f t="shared" si="8"/>
        <v>14300000</v>
      </c>
      <c r="AL53" s="958">
        <f t="shared" si="8"/>
        <v>0</v>
      </c>
      <c r="AM53" s="958">
        <f t="shared" si="3"/>
        <v>0</v>
      </c>
      <c r="AN53" s="991">
        <f t="shared" si="7"/>
        <v>1300000</v>
      </c>
      <c r="AO53" s="944"/>
      <c r="AP53" s="944"/>
      <c r="AQ53" s="944"/>
    </row>
    <row r="54" ht="13.8" spans="1:43">
      <c r="A54" s="943">
        <f t="shared" si="5"/>
        <v>5</v>
      </c>
      <c r="B54" s="956">
        <v>43</v>
      </c>
      <c r="C54" s="758" t="s">
        <v>13110</v>
      </c>
      <c r="D54" s="759">
        <v>44698</v>
      </c>
      <c r="E54" s="959" t="s">
        <v>13008</v>
      </c>
      <c r="F54" s="758" t="s">
        <v>13153</v>
      </c>
      <c r="G54" s="758" t="s">
        <v>13105</v>
      </c>
      <c r="H54" s="960"/>
      <c r="I54" s="960">
        <v>34400000</v>
      </c>
      <c r="J54" s="958"/>
      <c r="K54" s="960">
        <v>3784000</v>
      </c>
      <c r="L54" s="960"/>
      <c r="M54" s="963">
        <f t="shared" si="0"/>
        <v>5214000</v>
      </c>
      <c r="N54" s="964"/>
      <c r="O54" s="963"/>
      <c r="P54" s="963">
        <f t="shared" si="1"/>
        <v>5214000</v>
      </c>
      <c r="Q54" s="980"/>
      <c r="R54" s="971">
        <v>44682</v>
      </c>
      <c r="S54" s="972"/>
      <c r="T54" s="972"/>
      <c r="U54" s="973"/>
      <c r="V54" s="974"/>
      <c r="W54" s="758"/>
      <c r="X54" s="759"/>
      <c r="Y54" s="944"/>
      <c r="Z54" s="968"/>
      <c r="AA54" s="969"/>
      <c r="AB54" s="969"/>
      <c r="AC54" s="986">
        <f t="shared" si="11"/>
        <v>688000</v>
      </c>
      <c r="AD54" s="986"/>
      <c r="AE54" s="986"/>
      <c r="AF54" s="986"/>
      <c r="AG54" s="968"/>
      <c r="AH54" s="988"/>
      <c r="AI54" s="989"/>
      <c r="AJ54" s="944"/>
      <c r="AK54" s="958">
        <f t="shared" si="8"/>
        <v>37840000</v>
      </c>
      <c r="AL54" s="958">
        <f t="shared" si="8"/>
        <v>0</v>
      </c>
      <c r="AM54" s="958">
        <f t="shared" si="3"/>
        <v>0</v>
      </c>
      <c r="AN54" s="991">
        <f t="shared" si="7"/>
        <v>3440000</v>
      </c>
      <c r="AO54" s="944"/>
      <c r="AP54" s="944"/>
      <c r="AQ54" s="944"/>
    </row>
    <row r="55" ht="13.8" hidden="1" spans="1:43">
      <c r="A55" s="943">
        <f t="shared" si="5"/>
        <v>5</v>
      </c>
      <c r="B55" s="956">
        <v>44</v>
      </c>
      <c r="C55" s="758" t="s">
        <v>13116</v>
      </c>
      <c r="D55" s="759">
        <v>44703</v>
      </c>
      <c r="E55" s="959" t="s">
        <v>13005</v>
      </c>
      <c r="F55" s="758" t="s">
        <v>13154</v>
      </c>
      <c r="G55" s="758" t="s">
        <v>13105</v>
      </c>
      <c r="H55" s="960"/>
      <c r="I55" s="960">
        <v>24021000</v>
      </c>
      <c r="J55" s="958"/>
      <c r="K55" s="960">
        <v>2642310</v>
      </c>
      <c r="L55" s="960"/>
      <c r="M55" s="963">
        <f t="shared" si="0"/>
        <v>7856310</v>
      </c>
      <c r="N55" s="964"/>
      <c r="O55" s="963"/>
      <c r="P55" s="963">
        <f t="shared" si="1"/>
        <v>7856310</v>
      </c>
      <c r="Q55" s="980"/>
      <c r="R55" s="971">
        <v>44682</v>
      </c>
      <c r="S55" s="972"/>
      <c r="T55" s="972"/>
      <c r="U55" s="973"/>
      <c r="V55" s="974"/>
      <c r="W55" s="758"/>
      <c r="X55" s="759"/>
      <c r="Y55" s="944"/>
      <c r="Z55" s="968"/>
      <c r="AA55" s="969"/>
      <c r="AB55" s="969"/>
      <c r="AC55" s="986"/>
      <c r="AD55" s="986"/>
      <c r="AE55" s="986"/>
      <c r="AF55" s="986"/>
      <c r="AG55" s="968"/>
      <c r="AH55" s="988"/>
      <c r="AI55" s="989"/>
      <c r="AJ55" s="944"/>
      <c r="AK55" s="958">
        <f t="shared" si="8"/>
        <v>26423100</v>
      </c>
      <c r="AL55" s="958">
        <f t="shared" si="8"/>
        <v>0</v>
      </c>
      <c r="AM55" s="958">
        <f t="shared" si="3"/>
        <v>0</v>
      </c>
      <c r="AN55" s="991">
        <f t="shared" si="7"/>
        <v>2402100</v>
      </c>
      <c r="AO55" s="944"/>
      <c r="AP55" s="944"/>
      <c r="AQ55" s="944"/>
    </row>
    <row r="56" ht="13.8" hidden="1" spans="1:43">
      <c r="A56" s="943">
        <f t="shared" si="5"/>
        <v>5</v>
      </c>
      <c r="B56" s="956">
        <v>45</v>
      </c>
      <c r="C56" s="758" t="s">
        <v>13116</v>
      </c>
      <c r="D56" s="759">
        <v>44704</v>
      </c>
      <c r="E56" s="959" t="s">
        <v>13005</v>
      </c>
      <c r="F56" s="758" t="s">
        <v>13155</v>
      </c>
      <c r="G56" s="758" t="s">
        <v>13105</v>
      </c>
      <c r="H56" s="960"/>
      <c r="I56" s="960">
        <v>15000000</v>
      </c>
      <c r="J56" s="958"/>
      <c r="K56" s="960">
        <v>1650000</v>
      </c>
      <c r="L56" s="960"/>
      <c r="M56" s="963">
        <f t="shared" si="0"/>
        <v>9506310</v>
      </c>
      <c r="N56" s="964"/>
      <c r="O56" s="837">
        <v>9506310</v>
      </c>
      <c r="P56" s="963">
        <f t="shared" si="1"/>
        <v>0</v>
      </c>
      <c r="Q56" s="980"/>
      <c r="R56" s="862">
        <v>44682</v>
      </c>
      <c r="S56" s="972"/>
      <c r="T56" s="972"/>
      <c r="U56" s="973"/>
      <c r="V56" s="974"/>
      <c r="W56" s="758"/>
      <c r="X56" s="759"/>
      <c r="Y56" s="944"/>
      <c r="Z56" s="968"/>
      <c r="AA56" s="969"/>
      <c r="AB56" s="759"/>
      <c r="AC56" s="986"/>
      <c r="AD56" s="986"/>
      <c r="AE56" s="986"/>
      <c r="AF56" s="986"/>
      <c r="AG56" s="968"/>
      <c r="AH56" s="988"/>
      <c r="AI56" s="989"/>
      <c r="AJ56" s="944"/>
      <c r="AK56" s="958">
        <f t="shared" si="8"/>
        <v>16500000</v>
      </c>
      <c r="AL56" s="958">
        <f t="shared" si="8"/>
        <v>0</v>
      </c>
      <c r="AM56" s="958">
        <f t="shared" si="3"/>
        <v>0</v>
      </c>
      <c r="AN56" s="991">
        <f t="shared" si="7"/>
        <v>1500000</v>
      </c>
      <c r="AO56" s="944">
        <v>70620516</v>
      </c>
      <c r="AP56" s="993">
        <f>M56+AO56</f>
        <v>80126826</v>
      </c>
      <c r="AQ56" s="944"/>
    </row>
    <row r="57" ht="13.8" spans="1:43">
      <c r="A57" s="943">
        <f t="shared" si="5"/>
        <v>6</v>
      </c>
      <c r="B57" s="956">
        <v>46</v>
      </c>
      <c r="C57" s="758" t="s">
        <v>13104</v>
      </c>
      <c r="D57" s="759">
        <v>44721</v>
      </c>
      <c r="E57" s="959" t="s">
        <v>1479</v>
      </c>
      <c r="F57" s="758" t="s">
        <v>13156</v>
      </c>
      <c r="G57" s="758" t="s">
        <v>13105</v>
      </c>
      <c r="H57" s="960"/>
      <c r="I57" s="960">
        <v>8616960</v>
      </c>
      <c r="J57" s="958"/>
      <c r="K57" s="960">
        <v>947865</v>
      </c>
      <c r="L57" s="960"/>
      <c r="M57" s="963">
        <f t="shared" si="0"/>
        <v>947865</v>
      </c>
      <c r="N57" s="964"/>
      <c r="O57" s="963"/>
      <c r="P57" s="963">
        <f t="shared" si="1"/>
        <v>947865</v>
      </c>
      <c r="Q57" s="980"/>
      <c r="R57" s="971">
        <v>44713</v>
      </c>
      <c r="S57" s="972"/>
      <c r="T57" s="972"/>
      <c r="U57" s="973"/>
      <c r="V57" s="974"/>
      <c r="W57" s="758"/>
      <c r="X57" s="759"/>
      <c r="Y57" s="944"/>
      <c r="Z57" s="968"/>
      <c r="AA57" s="969"/>
      <c r="AB57" s="969"/>
      <c r="AC57" s="986">
        <f t="shared" ref="AC57:AC60" si="12">+I57*2%</f>
        <v>172339.2</v>
      </c>
      <c r="AD57" s="986"/>
      <c r="AE57" s="986"/>
      <c r="AF57" s="986"/>
      <c r="AG57" s="968"/>
      <c r="AH57" s="988"/>
      <c r="AI57" s="989"/>
      <c r="AJ57" s="944"/>
      <c r="AK57" s="958">
        <f t="shared" si="8"/>
        <v>9478650</v>
      </c>
      <c r="AL57" s="958">
        <f t="shared" si="8"/>
        <v>0</v>
      </c>
      <c r="AM57" s="958">
        <f t="shared" si="3"/>
        <v>0</v>
      </c>
      <c r="AN57" s="991">
        <f t="shared" si="7"/>
        <v>861690</v>
      </c>
      <c r="AO57" s="944"/>
      <c r="AP57" s="944"/>
      <c r="AQ57" s="944"/>
    </row>
    <row r="58" s="944" customFormat="1" ht="13.2" spans="1:40">
      <c r="A58" s="943">
        <f t="shared" si="5"/>
        <v>6</v>
      </c>
      <c r="B58" s="956">
        <v>47</v>
      </c>
      <c r="C58" s="758" t="s">
        <v>13110</v>
      </c>
      <c r="D58" s="759">
        <v>44725</v>
      </c>
      <c r="E58" s="959" t="s">
        <v>13008</v>
      </c>
      <c r="F58" s="758" t="s">
        <v>13157</v>
      </c>
      <c r="G58" s="758" t="s">
        <v>13105</v>
      </c>
      <c r="H58" s="960"/>
      <c r="I58" s="779">
        <v>55000000</v>
      </c>
      <c r="J58" s="958"/>
      <c r="K58" s="960">
        <v>6050000</v>
      </c>
      <c r="L58" s="960"/>
      <c r="M58" s="963">
        <f t="shared" si="0"/>
        <v>6997865</v>
      </c>
      <c r="N58" s="964"/>
      <c r="O58" s="963"/>
      <c r="P58" s="963">
        <f t="shared" si="1"/>
        <v>6997865</v>
      </c>
      <c r="Q58" s="980"/>
      <c r="R58" s="971">
        <v>44713</v>
      </c>
      <c r="S58" s="972"/>
      <c r="T58" s="972"/>
      <c r="U58" s="973"/>
      <c r="V58" s="974"/>
      <c r="W58" s="758"/>
      <c r="X58" s="759"/>
      <c r="Z58" s="968"/>
      <c r="AA58" s="969"/>
      <c r="AB58" s="969"/>
      <c r="AC58" s="986">
        <f t="shared" si="12"/>
        <v>1100000</v>
      </c>
      <c r="AD58" s="986"/>
      <c r="AE58" s="986"/>
      <c r="AF58" s="986"/>
      <c r="AG58" s="968"/>
      <c r="AH58" s="988"/>
      <c r="AI58" s="989"/>
      <c r="AK58" s="958">
        <f t="shared" si="8"/>
        <v>60500000</v>
      </c>
      <c r="AL58" s="958">
        <f t="shared" si="8"/>
        <v>0</v>
      </c>
      <c r="AM58" s="958">
        <f t="shared" si="3"/>
        <v>0</v>
      </c>
      <c r="AN58" s="992">
        <f t="shared" si="7"/>
        <v>5500000</v>
      </c>
    </row>
    <row r="59" ht="13.8" spans="1:43">
      <c r="A59" s="943">
        <f t="shared" si="5"/>
        <v>6</v>
      </c>
      <c r="B59" s="956">
        <v>48</v>
      </c>
      <c r="C59" s="758" t="s">
        <v>13110</v>
      </c>
      <c r="D59" s="759">
        <v>44725</v>
      </c>
      <c r="E59" s="959" t="s">
        <v>13008</v>
      </c>
      <c r="F59" s="758" t="s">
        <v>13158</v>
      </c>
      <c r="G59" s="758" t="s">
        <v>13105</v>
      </c>
      <c r="H59" s="960"/>
      <c r="I59" s="960">
        <v>13000000</v>
      </c>
      <c r="J59" s="958"/>
      <c r="K59" s="960">
        <v>1430000</v>
      </c>
      <c r="L59" s="960"/>
      <c r="M59" s="963">
        <f t="shared" si="0"/>
        <v>8427865</v>
      </c>
      <c r="N59" s="964"/>
      <c r="O59" s="963"/>
      <c r="P59" s="963">
        <f t="shared" si="1"/>
        <v>8427865</v>
      </c>
      <c r="Q59" s="980"/>
      <c r="R59" s="971">
        <v>44713</v>
      </c>
      <c r="S59" s="972"/>
      <c r="T59" s="972"/>
      <c r="U59" s="973"/>
      <c r="V59" s="974"/>
      <c r="W59" s="758"/>
      <c r="X59" s="759"/>
      <c r="Y59" s="944"/>
      <c r="Z59" s="968"/>
      <c r="AA59" s="969"/>
      <c r="AB59" s="969"/>
      <c r="AC59" s="986">
        <f t="shared" si="12"/>
        <v>260000</v>
      </c>
      <c r="AD59" s="986"/>
      <c r="AE59" s="986"/>
      <c r="AF59" s="986"/>
      <c r="AG59" s="968"/>
      <c r="AH59" s="988"/>
      <c r="AI59" s="989"/>
      <c r="AJ59" s="944"/>
      <c r="AK59" s="958">
        <f t="shared" si="8"/>
        <v>14300000</v>
      </c>
      <c r="AL59" s="958">
        <f t="shared" si="8"/>
        <v>0</v>
      </c>
      <c r="AM59" s="958">
        <f t="shared" si="3"/>
        <v>0</v>
      </c>
      <c r="AN59" s="991">
        <f t="shared" si="7"/>
        <v>1300000</v>
      </c>
      <c r="AO59" s="944"/>
      <c r="AP59" s="944"/>
      <c r="AQ59" s="944"/>
    </row>
    <row r="60" ht="13.8" spans="1:43">
      <c r="A60" s="943">
        <f t="shared" si="5"/>
        <v>6</v>
      </c>
      <c r="B60" s="956">
        <v>49</v>
      </c>
      <c r="C60" s="758" t="s">
        <v>13110</v>
      </c>
      <c r="D60" s="759">
        <v>44725</v>
      </c>
      <c r="E60" s="959" t="s">
        <v>13008</v>
      </c>
      <c r="F60" s="758" t="s">
        <v>13159</v>
      </c>
      <c r="G60" s="758" t="s">
        <v>13105</v>
      </c>
      <c r="H60" s="960"/>
      <c r="I60" s="960">
        <v>31200000</v>
      </c>
      <c r="J60" s="958"/>
      <c r="K60" s="960">
        <v>3432000</v>
      </c>
      <c r="L60" s="960"/>
      <c r="M60" s="963">
        <f t="shared" si="0"/>
        <v>11859865</v>
      </c>
      <c r="N60" s="964"/>
      <c r="O60" s="963"/>
      <c r="P60" s="963">
        <f t="shared" si="1"/>
        <v>11859865</v>
      </c>
      <c r="Q60" s="980"/>
      <c r="R60" s="971">
        <v>44713</v>
      </c>
      <c r="S60" s="972"/>
      <c r="T60" s="972"/>
      <c r="U60" s="973"/>
      <c r="V60" s="974"/>
      <c r="W60" s="758"/>
      <c r="X60" s="759"/>
      <c r="Y60" s="944"/>
      <c r="Z60" s="968"/>
      <c r="AA60" s="969"/>
      <c r="AB60" s="969"/>
      <c r="AC60" s="986">
        <f t="shared" si="12"/>
        <v>624000</v>
      </c>
      <c r="AD60" s="986"/>
      <c r="AE60" s="986"/>
      <c r="AF60" s="986"/>
      <c r="AG60" s="968"/>
      <c r="AH60" s="988"/>
      <c r="AI60" s="989"/>
      <c r="AJ60" s="944"/>
      <c r="AK60" s="958">
        <f t="shared" si="8"/>
        <v>34320000</v>
      </c>
      <c r="AL60" s="958">
        <f t="shared" si="8"/>
        <v>0</v>
      </c>
      <c r="AM60" s="958">
        <f t="shared" si="3"/>
        <v>0</v>
      </c>
      <c r="AN60" s="991">
        <f t="shared" si="7"/>
        <v>3120000</v>
      </c>
      <c r="AO60" s="944"/>
      <c r="AP60" s="944"/>
      <c r="AQ60" s="944"/>
    </row>
    <row r="61" ht="13.8" hidden="1" spans="1:43">
      <c r="A61" s="943">
        <f t="shared" si="5"/>
        <v>6</v>
      </c>
      <c r="B61" s="956">
        <v>50</v>
      </c>
      <c r="C61" s="758" t="s">
        <v>13116</v>
      </c>
      <c r="D61" s="759">
        <v>44739</v>
      </c>
      <c r="E61" s="959" t="s">
        <v>13005</v>
      </c>
      <c r="F61" s="758" t="s">
        <v>13160</v>
      </c>
      <c r="G61" s="758" t="s">
        <v>13105</v>
      </c>
      <c r="H61" s="960"/>
      <c r="I61" s="960">
        <v>30192000</v>
      </c>
      <c r="J61" s="958"/>
      <c r="K61" s="960">
        <v>3321120</v>
      </c>
      <c r="L61" s="960"/>
      <c r="M61" s="963">
        <f t="shared" si="0"/>
        <v>15180985</v>
      </c>
      <c r="N61" s="964"/>
      <c r="O61" s="963"/>
      <c r="P61" s="963">
        <f t="shared" si="1"/>
        <v>15180985</v>
      </c>
      <c r="Q61" s="980"/>
      <c r="R61" s="971">
        <v>44713</v>
      </c>
      <c r="S61" s="972"/>
      <c r="T61" s="972"/>
      <c r="U61" s="973"/>
      <c r="V61" s="974"/>
      <c r="W61" s="758"/>
      <c r="X61" s="759"/>
      <c r="Y61" s="944"/>
      <c r="Z61" s="968"/>
      <c r="AA61" s="969"/>
      <c r="AB61" s="969"/>
      <c r="AC61" s="986"/>
      <c r="AD61" s="986"/>
      <c r="AE61" s="986"/>
      <c r="AF61" s="986"/>
      <c r="AG61" s="968"/>
      <c r="AH61" s="988"/>
      <c r="AI61" s="989"/>
      <c r="AJ61" s="944"/>
      <c r="AK61" s="958">
        <f t="shared" si="8"/>
        <v>33211200</v>
      </c>
      <c r="AL61" s="958">
        <f t="shared" si="8"/>
        <v>0</v>
      </c>
      <c r="AM61" s="958">
        <f t="shared" si="3"/>
        <v>0</v>
      </c>
      <c r="AN61" s="991">
        <f t="shared" si="7"/>
        <v>3019200</v>
      </c>
      <c r="AO61" s="944"/>
      <c r="AP61" s="944"/>
      <c r="AQ61" s="944"/>
    </row>
    <row r="62" ht="13.8" hidden="1" spans="1:43">
      <c r="A62" s="943">
        <f t="shared" si="5"/>
        <v>6</v>
      </c>
      <c r="B62" s="956">
        <v>51</v>
      </c>
      <c r="C62" s="758" t="s">
        <v>13116</v>
      </c>
      <c r="D62" s="759">
        <v>44739</v>
      </c>
      <c r="E62" s="959" t="s">
        <v>13005</v>
      </c>
      <c r="F62" s="758" t="s">
        <v>13161</v>
      </c>
      <c r="G62" s="758" t="s">
        <v>13105</v>
      </c>
      <c r="H62" s="960"/>
      <c r="I62" s="960">
        <v>15000000</v>
      </c>
      <c r="J62" s="958"/>
      <c r="K62" s="960">
        <v>1650000</v>
      </c>
      <c r="L62" s="960"/>
      <c r="M62" s="963">
        <f t="shared" si="0"/>
        <v>16830985</v>
      </c>
      <c r="N62" s="964"/>
      <c r="O62" s="963"/>
      <c r="P62" s="963">
        <f t="shared" si="1"/>
        <v>16830985</v>
      </c>
      <c r="Q62" s="980"/>
      <c r="R62" s="971">
        <v>44713</v>
      </c>
      <c r="S62" s="972"/>
      <c r="T62" s="972"/>
      <c r="U62" s="973"/>
      <c r="V62" s="974"/>
      <c r="W62" s="758"/>
      <c r="X62" s="759"/>
      <c r="Y62" s="944"/>
      <c r="Z62" s="968"/>
      <c r="AA62" s="969"/>
      <c r="AB62" s="969"/>
      <c r="AC62" s="986"/>
      <c r="AD62" s="986"/>
      <c r="AE62" s="986"/>
      <c r="AF62" s="986"/>
      <c r="AG62" s="968"/>
      <c r="AH62" s="988"/>
      <c r="AI62" s="989"/>
      <c r="AJ62" s="944"/>
      <c r="AK62" s="958">
        <f t="shared" si="8"/>
        <v>16500000</v>
      </c>
      <c r="AL62" s="958">
        <f t="shared" si="8"/>
        <v>0</v>
      </c>
      <c r="AM62" s="958">
        <f t="shared" si="3"/>
        <v>0</v>
      </c>
      <c r="AN62" s="991">
        <f t="shared" ref="AN62:AN82" si="13">SUM(AK62:AM62)-SUM(H62,I62)</f>
        <v>1500000</v>
      </c>
      <c r="AO62" s="944"/>
      <c r="AP62" s="944"/>
      <c r="AQ62" s="944"/>
    </row>
    <row r="63" s="944" customFormat="1" ht="13.2" spans="1:40">
      <c r="A63" s="943">
        <f t="shared" si="5"/>
        <v>6</v>
      </c>
      <c r="B63" s="956">
        <v>52</v>
      </c>
      <c r="C63" s="758" t="s">
        <v>13110</v>
      </c>
      <c r="D63" s="759">
        <v>44732</v>
      </c>
      <c r="E63" s="959" t="s">
        <v>13008</v>
      </c>
      <c r="F63" s="758" t="s">
        <v>13162</v>
      </c>
      <c r="G63" s="758" t="s">
        <v>13105</v>
      </c>
      <c r="H63" s="960"/>
      <c r="I63" s="779">
        <v>55000000</v>
      </c>
      <c r="J63" s="958"/>
      <c r="K63" s="960">
        <v>6050000</v>
      </c>
      <c r="L63" s="960"/>
      <c r="M63" s="963">
        <f t="shared" si="0"/>
        <v>22880985</v>
      </c>
      <c r="N63" s="964"/>
      <c r="O63" s="837">
        <v>22880985</v>
      </c>
      <c r="P63" s="963">
        <f t="shared" si="1"/>
        <v>0</v>
      </c>
      <c r="Q63" s="980"/>
      <c r="R63" s="862">
        <v>44713</v>
      </c>
      <c r="S63" s="972"/>
      <c r="T63" s="972"/>
      <c r="U63" s="973"/>
      <c r="V63" s="974"/>
      <c r="W63" s="758"/>
      <c r="X63" s="759"/>
      <c r="Z63" s="968"/>
      <c r="AA63" s="969"/>
      <c r="AB63" s="986"/>
      <c r="AC63" s="986">
        <f>+I63*2%</f>
        <v>1100000</v>
      </c>
      <c r="AD63" s="986"/>
      <c r="AE63" s="986"/>
      <c r="AF63" s="986"/>
      <c r="AG63" s="968"/>
      <c r="AH63" s="988"/>
      <c r="AI63" s="989"/>
      <c r="AK63" s="958">
        <f t="shared" si="8"/>
        <v>60500000</v>
      </c>
      <c r="AL63" s="958">
        <f t="shared" si="8"/>
        <v>0</v>
      </c>
      <c r="AM63" s="958">
        <f t="shared" si="3"/>
        <v>0</v>
      </c>
      <c r="AN63" s="992">
        <f t="shared" si="13"/>
        <v>5500000</v>
      </c>
    </row>
    <row r="64" s="944" customFormat="1" ht="13.2" hidden="1" spans="1:40">
      <c r="A64" s="943">
        <f t="shared" si="5"/>
        <v>7</v>
      </c>
      <c r="B64" s="956">
        <v>53</v>
      </c>
      <c r="C64" s="758" t="s">
        <v>13119</v>
      </c>
      <c r="D64" s="759">
        <v>44748</v>
      </c>
      <c r="E64" s="959" t="s">
        <v>1239</v>
      </c>
      <c r="F64" s="758" t="s">
        <v>13163</v>
      </c>
      <c r="G64" s="758" t="s">
        <v>13105</v>
      </c>
      <c r="H64" s="960"/>
      <c r="I64" s="779">
        <v>130000000</v>
      </c>
      <c r="J64" s="958"/>
      <c r="K64" s="960">
        <v>14300000</v>
      </c>
      <c r="L64" s="960"/>
      <c r="M64" s="963">
        <f t="shared" si="0"/>
        <v>14300000</v>
      </c>
      <c r="N64" s="964"/>
      <c r="O64" s="963"/>
      <c r="P64" s="963">
        <f t="shared" si="1"/>
        <v>14300000</v>
      </c>
      <c r="Q64" s="980"/>
      <c r="R64" s="971">
        <v>44743</v>
      </c>
      <c r="S64" s="972"/>
      <c r="T64" s="972"/>
      <c r="U64" s="973"/>
      <c r="V64" s="974"/>
      <c r="W64" s="758"/>
      <c r="X64" s="759"/>
      <c r="Z64" s="968"/>
      <c r="AA64" s="969"/>
      <c r="AB64" s="969"/>
      <c r="AC64" s="986"/>
      <c r="AD64" s="986"/>
      <c r="AE64" s="986"/>
      <c r="AF64" s="986"/>
      <c r="AG64" s="968"/>
      <c r="AH64" s="988"/>
      <c r="AI64" s="989"/>
      <c r="AK64" s="958">
        <f t="shared" si="8"/>
        <v>143000000</v>
      </c>
      <c r="AL64" s="958">
        <f t="shared" si="8"/>
        <v>0</v>
      </c>
      <c r="AM64" s="958">
        <f t="shared" si="3"/>
        <v>0</v>
      </c>
      <c r="AN64" s="992">
        <f t="shared" si="13"/>
        <v>13000000</v>
      </c>
    </row>
    <row r="65" ht="15" hidden="1" customHeight="1" spans="1:43">
      <c r="A65" s="943">
        <f t="shared" si="5"/>
        <v>7</v>
      </c>
      <c r="B65" s="956">
        <v>54</v>
      </c>
      <c r="C65" s="758" t="s">
        <v>13119</v>
      </c>
      <c r="D65" s="759">
        <v>44748</v>
      </c>
      <c r="E65" s="959" t="s">
        <v>1239</v>
      </c>
      <c r="F65" s="758" t="s">
        <v>13164</v>
      </c>
      <c r="G65" s="758" t="s">
        <v>13105</v>
      </c>
      <c r="H65" s="960"/>
      <c r="I65" s="960">
        <v>25600000</v>
      </c>
      <c r="J65" s="958"/>
      <c r="K65" s="960">
        <v>2816000</v>
      </c>
      <c r="L65" s="960"/>
      <c r="M65" s="963">
        <f t="shared" si="0"/>
        <v>17116000</v>
      </c>
      <c r="N65" s="964"/>
      <c r="O65" s="963"/>
      <c r="P65" s="963">
        <f t="shared" si="1"/>
        <v>17116000</v>
      </c>
      <c r="Q65" s="980"/>
      <c r="R65" s="971">
        <v>44743</v>
      </c>
      <c r="S65" s="972"/>
      <c r="T65" s="972"/>
      <c r="U65" s="973"/>
      <c r="V65" s="974"/>
      <c r="W65" s="758"/>
      <c r="X65" s="759"/>
      <c r="Y65" s="944"/>
      <c r="Z65" s="968"/>
      <c r="AA65" s="969"/>
      <c r="AB65" s="960"/>
      <c r="AC65" s="986"/>
      <c r="AD65" s="986"/>
      <c r="AE65" s="986"/>
      <c r="AF65" s="986"/>
      <c r="AG65" s="968"/>
      <c r="AH65" s="988"/>
      <c r="AI65" s="989"/>
      <c r="AJ65" s="944"/>
      <c r="AK65" s="958">
        <f t="shared" si="8"/>
        <v>28160000</v>
      </c>
      <c r="AL65" s="958">
        <f t="shared" si="8"/>
        <v>0</v>
      </c>
      <c r="AM65" s="958">
        <f t="shared" si="3"/>
        <v>0</v>
      </c>
      <c r="AN65" s="991">
        <f t="shared" si="13"/>
        <v>2560000</v>
      </c>
      <c r="AO65" s="944"/>
      <c r="AP65" s="944"/>
      <c r="AQ65" s="944"/>
    </row>
    <row r="66" s="944" customFormat="1" ht="15" customHeight="1" spans="1:40">
      <c r="A66" s="943">
        <f t="shared" si="5"/>
        <v>7</v>
      </c>
      <c r="B66" s="956">
        <v>55</v>
      </c>
      <c r="C66" s="758" t="s">
        <v>13110</v>
      </c>
      <c r="D66" s="759">
        <v>44756</v>
      </c>
      <c r="E66" s="959" t="s">
        <v>13008</v>
      </c>
      <c r="F66" s="758" t="s">
        <v>13165</v>
      </c>
      <c r="G66" s="758" t="s">
        <v>13105</v>
      </c>
      <c r="H66" s="960"/>
      <c r="I66" s="779">
        <v>55000000</v>
      </c>
      <c r="J66" s="958"/>
      <c r="K66" s="960">
        <v>6050000</v>
      </c>
      <c r="L66" s="960"/>
      <c r="M66" s="963">
        <f t="shared" si="0"/>
        <v>23166000</v>
      </c>
      <c r="N66" s="964"/>
      <c r="O66" s="963"/>
      <c r="P66" s="963">
        <f t="shared" si="1"/>
        <v>23166000</v>
      </c>
      <c r="Q66" s="980"/>
      <c r="R66" s="971">
        <v>44743</v>
      </c>
      <c r="S66" s="972"/>
      <c r="T66" s="972"/>
      <c r="U66" s="973"/>
      <c r="V66" s="974"/>
      <c r="W66" s="758"/>
      <c r="X66" s="759"/>
      <c r="Z66" s="968"/>
      <c r="AA66" s="969"/>
      <c r="AB66" s="960"/>
      <c r="AC66" s="986">
        <f t="shared" ref="AC66:AC68" si="14">+I66*2%</f>
        <v>1100000</v>
      </c>
      <c r="AD66" s="986"/>
      <c r="AE66" s="986"/>
      <c r="AF66" s="986"/>
      <c r="AG66" s="968"/>
      <c r="AH66" s="988"/>
      <c r="AI66" s="989"/>
      <c r="AK66" s="958">
        <f t="shared" si="8"/>
        <v>60500000</v>
      </c>
      <c r="AL66" s="958">
        <f t="shared" si="8"/>
        <v>0</v>
      </c>
      <c r="AM66" s="958">
        <f t="shared" si="3"/>
        <v>0</v>
      </c>
      <c r="AN66" s="992">
        <f t="shared" si="13"/>
        <v>5500000</v>
      </c>
    </row>
    <row r="67" ht="15" customHeight="1" spans="1:43">
      <c r="A67" s="943">
        <f t="shared" si="5"/>
        <v>7</v>
      </c>
      <c r="B67" s="956">
        <v>56</v>
      </c>
      <c r="C67" s="758" t="s">
        <v>13110</v>
      </c>
      <c r="D67" s="759">
        <v>44756</v>
      </c>
      <c r="E67" s="959" t="s">
        <v>13008</v>
      </c>
      <c r="F67" s="758" t="s">
        <v>13166</v>
      </c>
      <c r="G67" s="758" t="s">
        <v>13105</v>
      </c>
      <c r="H67" s="960"/>
      <c r="I67" s="960">
        <v>13000000</v>
      </c>
      <c r="J67" s="958"/>
      <c r="K67" s="960">
        <v>1430000</v>
      </c>
      <c r="L67" s="960"/>
      <c r="M67" s="963">
        <f t="shared" si="0"/>
        <v>24596000</v>
      </c>
      <c r="N67" s="964"/>
      <c r="O67" s="963"/>
      <c r="P67" s="963">
        <f t="shared" si="1"/>
        <v>24596000</v>
      </c>
      <c r="Q67" s="980"/>
      <c r="R67" s="971">
        <v>44743</v>
      </c>
      <c r="S67" s="972"/>
      <c r="T67" s="972"/>
      <c r="U67" s="973"/>
      <c r="V67" s="974"/>
      <c r="W67" s="758"/>
      <c r="X67" s="759"/>
      <c r="Y67" s="944"/>
      <c r="Z67" s="968"/>
      <c r="AA67" s="969"/>
      <c r="AB67" s="969"/>
      <c r="AC67" s="986">
        <f t="shared" si="14"/>
        <v>260000</v>
      </c>
      <c r="AD67" s="986"/>
      <c r="AE67" s="986"/>
      <c r="AF67" s="986"/>
      <c r="AG67" s="968"/>
      <c r="AH67" s="988"/>
      <c r="AI67" s="989"/>
      <c r="AJ67" s="944"/>
      <c r="AK67" s="958">
        <f t="shared" si="8"/>
        <v>14300000</v>
      </c>
      <c r="AL67" s="958">
        <f t="shared" si="8"/>
        <v>0</v>
      </c>
      <c r="AM67" s="958">
        <f t="shared" si="3"/>
        <v>0</v>
      </c>
      <c r="AN67" s="991">
        <f t="shared" si="13"/>
        <v>1300000</v>
      </c>
      <c r="AO67" s="944"/>
      <c r="AP67" s="944"/>
      <c r="AQ67" s="944"/>
    </row>
    <row r="68" s="944" customFormat="1" ht="15" customHeight="1" spans="1:40">
      <c r="A68" s="943">
        <f t="shared" si="5"/>
        <v>7</v>
      </c>
      <c r="B68" s="956">
        <v>57</v>
      </c>
      <c r="C68" s="758" t="s">
        <v>13110</v>
      </c>
      <c r="D68" s="759">
        <v>44756</v>
      </c>
      <c r="E68" s="959" t="s">
        <v>13008</v>
      </c>
      <c r="F68" s="758" t="s">
        <v>13167</v>
      </c>
      <c r="G68" s="758" t="s">
        <v>13105</v>
      </c>
      <c r="H68" s="960"/>
      <c r="I68" s="779">
        <v>44000000</v>
      </c>
      <c r="J68" s="958"/>
      <c r="K68" s="960">
        <v>4840000</v>
      </c>
      <c r="L68" s="960"/>
      <c r="M68" s="963">
        <f t="shared" si="0"/>
        <v>29436000</v>
      </c>
      <c r="N68" s="964"/>
      <c r="O68" s="963"/>
      <c r="P68" s="963">
        <f t="shared" si="1"/>
        <v>29436000</v>
      </c>
      <c r="Q68" s="980"/>
      <c r="R68" s="971">
        <v>44743</v>
      </c>
      <c r="S68" s="972"/>
      <c r="T68" s="972"/>
      <c r="U68" s="973"/>
      <c r="V68" s="974"/>
      <c r="W68" s="758"/>
      <c r="X68" s="759"/>
      <c r="Z68" s="968"/>
      <c r="AA68" s="969"/>
      <c r="AB68" s="969"/>
      <c r="AC68" s="986">
        <f t="shared" si="14"/>
        <v>880000</v>
      </c>
      <c r="AD68" s="986"/>
      <c r="AE68" s="986"/>
      <c r="AF68" s="986"/>
      <c r="AG68" s="968"/>
      <c r="AH68" s="988"/>
      <c r="AI68" s="989"/>
      <c r="AK68" s="958">
        <f>IF(K68&gt;0,K68/10%,0)</f>
        <v>48400000</v>
      </c>
      <c r="AL68" s="958">
        <f>IF(L68&gt;0,L68/10%,0)</f>
        <v>0</v>
      </c>
      <c r="AM68" s="958">
        <f t="shared" si="3"/>
        <v>0</v>
      </c>
      <c r="AN68" s="992">
        <f t="shared" si="13"/>
        <v>4400000</v>
      </c>
    </row>
    <row r="69" ht="15" hidden="1" customHeight="1" spans="1:43">
      <c r="A69" s="943">
        <f t="shared" si="5"/>
        <v>7</v>
      </c>
      <c r="B69" s="956">
        <v>58</v>
      </c>
      <c r="C69" s="758" t="s">
        <v>13116</v>
      </c>
      <c r="D69" s="759">
        <v>44764</v>
      </c>
      <c r="E69" s="959" t="s">
        <v>13005</v>
      </c>
      <c r="F69" s="959" t="s">
        <v>13168</v>
      </c>
      <c r="G69" s="758" t="s">
        <v>13105</v>
      </c>
      <c r="H69" s="960"/>
      <c r="I69" s="960">
        <v>30447000</v>
      </c>
      <c r="J69" s="958"/>
      <c r="K69" s="960">
        <v>3349170</v>
      </c>
      <c r="L69" s="960"/>
      <c r="M69" s="963">
        <f t="shared" si="0"/>
        <v>32785170</v>
      </c>
      <c r="N69" s="964"/>
      <c r="O69" s="963"/>
      <c r="P69" s="963">
        <f t="shared" si="1"/>
        <v>32785170</v>
      </c>
      <c r="Q69" s="980"/>
      <c r="R69" s="971">
        <v>44743</v>
      </c>
      <c r="S69" s="972"/>
      <c r="T69" s="972"/>
      <c r="U69" s="973"/>
      <c r="V69" s="974"/>
      <c r="W69" s="758"/>
      <c r="X69" s="759"/>
      <c r="Y69" s="944"/>
      <c r="Z69" s="968"/>
      <c r="AA69" s="969"/>
      <c r="AB69" s="969"/>
      <c r="AC69" s="986"/>
      <c r="AD69" s="986"/>
      <c r="AE69" s="986"/>
      <c r="AF69" s="986"/>
      <c r="AG69" s="968"/>
      <c r="AH69" s="988"/>
      <c r="AI69" s="989"/>
      <c r="AJ69" s="944"/>
      <c r="AK69" s="958">
        <f t="shared" si="8"/>
        <v>33491700</v>
      </c>
      <c r="AL69" s="958">
        <f t="shared" si="8"/>
        <v>0</v>
      </c>
      <c r="AM69" s="958">
        <f t="shared" si="3"/>
        <v>0</v>
      </c>
      <c r="AN69" s="991">
        <f t="shared" si="13"/>
        <v>3044700</v>
      </c>
      <c r="AO69" s="944"/>
      <c r="AP69" s="944"/>
      <c r="AQ69" s="944"/>
    </row>
    <row r="70" ht="15" hidden="1" customHeight="1" spans="1:43">
      <c r="A70" s="943">
        <f t="shared" si="5"/>
        <v>7</v>
      </c>
      <c r="B70" s="956">
        <v>59</v>
      </c>
      <c r="C70" s="758" t="s">
        <v>13116</v>
      </c>
      <c r="D70" s="759">
        <v>44764</v>
      </c>
      <c r="E70" s="959" t="s">
        <v>13005</v>
      </c>
      <c r="F70" s="758" t="s">
        <v>13169</v>
      </c>
      <c r="G70" s="758" t="s">
        <v>13105</v>
      </c>
      <c r="H70" s="960"/>
      <c r="I70" s="960">
        <v>15000000</v>
      </c>
      <c r="J70" s="958"/>
      <c r="K70" s="960">
        <v>1650000</v>
      </c>
      <c r="L70" s="960"/>
      <c r="M70" s="963">
        <f t="shared" si="0"/>
        <v>34435170</v>
      </c>
      <c r="N70" s="964"/>
      <c r="O70" s="837">
        <v>34435170</v>
      </c>
      <c r="P70" s="963">
        <f t="shared" si="1"/>
        <v>0</v>
      </c>
      <c r="Q70" s="980"/>
      <c r="R70" s="862">
        <v>44743</v>
      </c>
      <c r="S70" s="972"/>
      <c r="T70" s="972"/>
      <c r="U70" s="973"/>
      <c r="V70" s="974"/>
      <c r="W70" s="758"/>
      <c r="X70" s="759"/>
      <c r="Y70" s="944"/>
      <c r="Z70" s="968"/>
      <c r="AA70" s="969"/>
      <c r="AB70" s="969"/>
      <c r="AC70" s="986"/>
      <c r="AD70" s="986"/>
      <c r="AE70" s="986"/>
      <c r="AF70" s="986"/>
      <c r="AG70" s="968"/>
      <c r="AH70" s="988"/>
      <c r="AI70" s="989"/>
      <c r="AJ70" s="944"/>
      <c r="AK70" s="958">
        <f t="shared" si="8"/>
        <v>16500000</v>
      </c>
      <c r="AL70" s="958">
        <f t="shared" si="8"/>
        <v>0</v>
      </c>
      <c r="AM70" s="958">
        <f t="shared" si="3"/>
        <v>0</v>
      </c>
      <c r="AN70" s="991">
        <f t="shared" si="13"/>
        <v>1500000</v>
      </c>
      <c r="AO70" s="944"/>
      <c r="AP70" s="944"/>
      <c r="AQ70" s="944"/>
    </row>
    <row r="71" s="944" customFormat="1" ht="15" customHeight="1" spans="1:40">
      <c r="A71" s="943">
        <f t="shared" si="5"/>
        <v>8</v>
      </c>
      <c r="B71" s="956">
        <v>60</v>
      </c>
      <c r="C71" s="758" t="s">
        <v>13110</v>
      </c>
      <c r="D71" s="759">
        <v>44785</v>
      </c>
      <c r="E71" s="959" t="s">
        <v>13008</v>
      </c>
      <c r="F71" s="758" t="s">
        <v>13170</v>
      </c>
      <c r="G71" s="758" t="s">
        <v>13105</v>
      </c>
      <c r="H71" s="960"/>
      <c r="I71" s="779">
        <v>55000000</v>
      </c>
      <c r="J71" s="958"/>
      <c r="K71" s="960">
        <v>6050000</v>
      </c>
      <c r="L71" s="960"/>
      <c r="M71" s="963">
        <f t="shared" si="0"/>
        <v>6050000</v>
      </c>
      <c r="N71" s="964"/>
      <c r="O71" s="963"/>
      <c r="P71" s="963">
        <f t="shared" si="1"/>
        <v>6050000</v>
      </c>
      <c r="Q71" s="980"/>
      <c r="R71" s="971">
        <v>44774</v>
      </c>
      <c r="S71" s="972"/>
      <c r="T71" s="972"/>
      <c r="U71" s="973"/>
      <c r="V71" s="974"/>
      <c r="W71" s="758"/>
      <c r="X71" s="759"/>
      <c r="Z71" s="968"/>
      <c r="AA71" s="969"/>
      <c r="AB71" s="969"/>
      <c r="AC71" s="986">
        <f t="shared" ref="AC71:AC73" si="15">+I71*2%</f>
        <v>1100000</v>
      </c>
      <c r="AD71" s="986"/>
      <c r="AE71" s="986"/>
      <c r="AF71" s="986"/>
      <c r="AG71" s="968"/>
      <c r="AH71" s="988"/>
      <c r="AI71" s="989"/>
      <c r="AK71" s="958">
        <f t="shared" si="8"/>
        <v>60500000</v>
      </c>
      <c r="AL71" s="958">
        <f t="shared" si="8"/>
        <v>0</v>
      </c>
      <c r="AM71" s="958">
        <f t="shared" si="3"/>
        <v>0</v>
      </c>
      <c r="AN71" s="992">
        <f t="shared" si="13"/>
        <v>5500000</v>
      </c>
    </row>
    <row r="72" ht="15" customHeight="1" spans="1:43">
      <c r="A72" s="943">
        <f t="shared" si="5"/>
        <v>8</v>
      </c>
      <c r="B72" s="956">
        <v>61</v>
      </c>
      <c r="C72" s="758" t="s">
        <v>13110</v>
      </c>
      <c r="D72" s="759">
        <v>44785</v>
      </c>
      <c r="E72" s="959" t="s">
        <v>13008</v>
      </c>
      <c r="F72" s="758" t="s">
        <v>13171</v>
      </c>
      <c r="G72" s="758" t="s">
        <v>13105</v>
      </c>
      <c r="H72" s="960"/>
      <c r="I72" s="960">
        <v>13000000</v>
      </c>
      <c r="J72" s="958"/>
      <c r="K72" s="960">
        <v>1430000</v>
      </c>
      <c r="L72" s="960"/>
      <c r="M72" s="963">
        <f t="shared" si="0"/>
        <v>7480000</v>
      </c>
      <c r="N72" s="964"/>
      <c r="O72" s="963"/>
      <c r="P72" s="963">
        <f t="shared" si="1"/>
        <v>7480000</v>
      </c>
      <c r="Q72" s="980"/>
      <c r="R72" s="971">
        <v>44774</v>
      </c>
      <c r="S72" s="972"/>
      <c r="T72" s="972"/>
      <c r="U72" s="973"/>
      <c r="V72" s="974"/>
      <c r="W72" s="758"/>
      <c r="X72" s="759"/>
      <c r="Y72" s="944"/>
      <c r="Z72" s="968"/>
      <c r="AA72" s="969"/>
      <c r="AB72" s="969"/>
      <c r="AC72" s="986">
        <f t="shared" si="15"/>
        <v>260000</v>
      </c>
      <c r="AD72" s="986"/>
      <c r="AE72" s="986"/>
      <c r="AF72" s="986"/>
      <c r="AG72" s="968"/>
      <c r="AH72" s="988"/>
      <c r="AI72" s="989"/>
      <c r="AJ72" s="944"/>
      <c r="AK72" s="958">
        <f t="shared" si="8"/>
        <v>14300000</v>
      </c>
      <c r="AL72" s="958">
        <f t="shared" si="8"/>
        <v>0</v>
      </c>
      <c r="AM72" s="958">
        <f t="shared" si="3"/>
        <v>0</v>
      </c>
      <c r="AN72" s="991">
        <f t="shared" si="13"/>
        <v>1300000</v>
      </c>
      <c r="AO72" s="944"/>
      <c r="AP72" s="944"/>
      <c r="AQ72" s="944"/>
    </row>
    <row r="73" ht="15" customHeight="1" spans="1:43">
      <c r="A73" s="943">
        <f t="shared" si="5"/>
        <v>8</v>
      </c>
      <c r="B73" s="956">
        <v>62</v>
      </c>
      <c r="C73" s="758" t="s">
        <v>13110</v>
      </c>
      <c r="D73" s="759">
        <v>44785</v>
      </c>
      <c r="E73" s="959" t="s">
        <v>13008</v>
      </c>
      <c r="F73" s="758" t="s">
        <v>13172</v>
      </c>
      <c r="G73" s="758" t="s">
        <v>13105</v>
      </c>
      <c r="H73" s="960"/>
      <c r="I73" s="960">
        <v>43200000</v>
      </c>
      <c r="J73" s="958"/>
      <c r="K73" s="960">
        <v>4752000</v>
      </c>
      <c r="L73" s="960"/>
      <c r="M73" s="963">
        <f t="shared" si="0"/>
        <v>12232000</v>
      </c>
      <c r="N73" s="964"/>
      <c r="O73" s="963"/>
      <c r="P73" s="963">
        <f t="shared" si="1"/>
        <v>12232000</v>
      </c>
      <c r="Q73" s="980"/>
      <c r="R73" s="971">
        <v>44774</v>
      </c>
      <c r="S73" s="972"/>
      <c r="T73" s="972"/>
      <c r="U73" s="973"/>
      <c r="V73" s="974"/>
      <c r="W73" s="758"/>
      <c r="X73" s="759"/>
      <c r="Y73" s="944"/>
      <c r="Z73" s="968"/>
      <c r="AA73" s="969"/>
      <c r="AB73" s="969"/>
      <c r="AC73" s="986">
        <f t="shared" si="15"/>
        <v>864000</v>
      </c>
      <c r="AD73" s="986"/>
      <c r="AE73" s="986"/>
      <c r="AF73" s="986"/>
      <c r="AG73" s="968"/>
      <c r="AH73" s="988"/>
      <c r="AI73" s="989"/>
      <c r="AJ73" s="944"/>
      <c r="AK73" s="958">
        <f t="shared" si="8"/>
        <v>47520000</v>
      </c>
      <c r="AL73" s="958">
        <f t="shared" si="8"/>
        <v>0</v>
      </c>
      <c r="AM73" s="958">
        <f t="shared" si="3"/>
        <v>0</v>
      </c>
      <c r="AN73" s="991">
        <f t="shared" si="13"/>
        <v>4320000</v>
      </c>
      <c r="AO73" s="944"/>
      <c r="AP73" s="944"/>
      <c r="AQ73" s="944"/>
    </row>
    <row r="74" ht="15" hidden="1" customHeight="1" spans="1:43">
      <c r="A74" s="943">
        <f t="shared" si="5"/>
        <v>8</v>
      </c>
      <c r="B74" s="956">
        <v>63</v>
      </c>
      <c r="C74" s="758" t="s">
        <v>13116</v>
      </c>
      <c r="D74" s="759">
        <v>44796</v>
      </c>
      <c r="E74" s="959" t="s">
        <v>13005</v>
      </c>
      <c r="F74" s="758" t="s">
        <v>13173</v>
      </c>
      <c r="G74" s="758" t="s">
        <v>13105</v>
      </c>
      <c r="H74" s="960"/>
      <c r="I74" s="960">
        <v>30328000</v>
      </c>
      <c r="J74" s="958"/>
      <c r="K74" s="960">
        <v>3336080</v>
      </c>
      <c r="L74" s="960"/>
      <c r="M74" s="963">
        <f t="shared" si="0"/>
        <v>15568080</v>
      </c>
      <c r="N74" s="964"/>
      <c r="O74" s="963"/>
      <c r="P74" s="963">
        <f t="shared" si="1"/>
        <v>15568080</v>
      </c>
      <c r="Q74" s="980"/>
      <c r="R74" s="971">
        <v>44774</v>
      </c>
      <c r="S74" s="972"/>
      <c r="T74" s="972"/>
      <c r="U74" s="973"/>
      <c r="V74" s="974"/>
      <c r="W74" s="758"/>
      <c r="X74" s="759"/>
      <c r="Y74" s="944"/>
      <c r="Z74" s="968"/>
      <c r="AA74" s="969"/>
      <c r="AB74" s="969"/>
      <c r="AC74" s="986"/>
      <c r="AD74" s="986"/>
      <c r="AE74" s="986"/>
      <c r="AF74" s="986"/>
      <c r="AG74" s="968"/>
      <c r="AH74" s="988"/>
      <c r="AI74" s="989"/>
      <c r="AJ74" s="944"/>
      <c r="AK74" s="958">
        <f t="shared" si="8"/>
        <v>33360800</v>
      </c>
      <c r="AL74" s="958">
        <f t="shared" si="8"/>
        <v>0</v>
      </c>
      <c r="AM74" s="958">
        <f t="shared" si="3"/>
        <v>0</v>
      </c>
      <c r="AN74" s="991">
        <f t="shared" si="13"/>
        <v>3032800</v>
      </c>
      <c r="AO74" s="944"/>
      <c r="AP74" s="944"/>
      <c r="AQ74" s="944"/>
    </row>
    <row r="75" ht="15" hidden="1" customHeight="1" spans="1:43">
      <c r="A75" s="943">
        <f t="shared" si="5"/>
        <v>8</v>
      </c>
      <c r="B75" s="956">
        <v>64</v>
      </c>
      <c r="C75" s="758" t="s">
        <v>13116</v>
      </c>
      <c r="D75" s="759">
        <v>44796</v>
      </c>
      <c r="E75" s="959" t="s">
        <v>13005</v>
      </c>
      <c r="F75" s="758" t="s">
        <v>13174</v>
      </c>
      <c r="G75" s="758" t="s">
        <v>13105</v>
      </c>
      <c r="H75" s="960"/>
      <c r="I75" s="960">
        <v>15000000</v>
      </c>
      <c r="J75" s="958"/>
      <c r="K75" s="960">
        <v>1650000</v>
      </c>
      <c r="L75" s="960"/>
      <c r="M75" s="963">
        <f t="shared" si="0"/>
        <v>17218080</v>
      </c>
      <c r="N75" s="964"/>
      <c r="O75" s="963"/>
      <c r="P75" s="963">
        <f t="shared" si="1"/>
        <v>17218080</v>
      </c>
      <c r="Q75" s="980"/>
      <c r="R75" s="971">
        <v>44774</v>
      </c>
      <c r="S75" s="972"/>
      <c r="T75" s="972"/>
      <c r="U75" s="973"/>
      <c r="V75" s="974"/>
      <c r="W75" s="758"/>
      <c r="X75" s="759"/>
      <c r="Y75" s="944"/>
      <c r="Z75" s="968"/>
      <c r="AA75" s="969"/>
      <c r="AB75" s="969"/>
      <c r="AC75" s="986"/>
      <c r="AD75" s="986"/>
      <c r="AE75" s="986"/>
      <c r="AF75" s="986"/>
      <c r="AG75" s="968"/>
      <c r="AH75" s="988"/>
      <c r="AI75" s="989"/>
      <c r="AJ75" s="944"/>
      <c r="AK75" s="958">
        <f t="shared" si="8"/>
        <v>16500000</v>
      </c>
      <c r="AL75" s="958">
        <f t="shared" si="8"/>
        <v>0</v>
      </c>
      <c r="AM75" s="958">
        <f t="shared" si="3"/>
        <v>0</v>
      </c>
      <c r="AN75" s="991">
        <f t="shared" si="13"/>
        <v>1500000</v>
      </c>
      <c r="AO75" s="944"/>
      <c r="AP75" s="944"/>
      <c r="AQ75" s="944"/>
    </row>
    <row r="76" ht="15" hidden="1" customHeight="1" spans="1:43">
      <c r="A76" s="943">
        <f t="shared" si="5"/>
        <v>8</v>
      </c>
      <c r="B76" s="956">
        <v>65</v>
      </c>
      <c r="C76" s="758" t="s">
        <v>13122</v>
      </c>
      <c r="D76" s="759">
        <v>44792</v>
      </c>
      <c r="E76" s="959" t="s">
        <v>12999</v>
      </c>
      <c r="F76" s="758" t="s">
        <v>13175</v>
      </c>
      <c r="G76" s="758" t="s">
        <v>13123</v>
      </c>
      <c r="H76" s="960">
        <v>375200</v>
      </c>
      <c r="I76" s="960">
        <v>0</v>
      </c>
      <c r="J76" s="958">
        <v>41272</v>
      </c>
      <c r="K76" s="960"/>
      <c r="L76" s="960"/>
      <c r="M76" s="963">
        <f t="shared" si="0"/>
        <v>17176808</v>
      </c>
      <c r="N76" s="964"/>
      <c r="O76" s="837">
        <v>17176808</v>
      </c>
      <c r="P76" s="963">
        <f t="shared" si="1"/>
        <v>0</v>
      </c>
      <c r="Q76" s="980"/>
      <c r="R76" s="862">
        <v>44774</v>
      </c>
      <c r="S76" s="972"/>
      <c r="T76" s="972"/>
      <c r="U76" s="973"/>
      <c r="V76" s="974"/>
      <c r="W76" s="758"/>
      <c r="X76" s="759"/>
      <c r="Y76" s="944"/>
      <c r="Z76" s="968"/>
      <c r="AA76" s="969"/>
      <c r="AB76" s="969"/>
      <c r="AC76" s="986"/>
      <c r="AD76" s="986"/>
      <c r="AE76" s="986"/>
      <c r="AF76" s="986"/>
      <c r="AG76" s="968"/>
      <c r="AH76" s="988"/>
      <c r="AI76" s="989"/>
      <c r="AJ76" s="944"/>
      <c r="AK76" s="958">
        <f t="shared" si="8"/>
        <v>0</v>
      </c>
      <c r="AL76" s="958">
        <f t="shared" si="8"/>
        <v>0</v>
      </c>
      <c r="AM76" s="958">
        <f t="shared" si="3"/>
        <v>412720</v>
      </c>
      <c r="AN76" s="991">
        <f t="shared" si="13"/>
        <v>37520</v>
      </c>
      <c r="AO76" s="944"/>
      <c r="AP76" s="944"/>
      <c r="AQ76" s="944"/>
    </row>
    <row r="77" s="944" customFormat="1" ht="15" customHeight="1" spans="1:40">
      <c r="A77" s="943">
        <f t="shared" ref="A77:A108" si="16">MONTH(D77)</f>
        <v>9</v>
      </c>
      <c r="B77" s="956">
        <v>66</v>
      </c>
      <c r="C77" s="758" t="s">
        <v>13110</v>
      </c>
      <c r="D77" s="759">
        <v>44813</v>
      </c>
      <c r="E77" s="959" t="s">
        <v>13008</v>
      </c>
      <c r="F77" s="758" t="s">
        <v>13176</v>
      </c>
      <c r="G77" s="758" t="s">
        <v>13105</v>
      </c>
      <c r="H77" s="960"/>
      <c r="I77" s="779">
        <v>55000000</v>
      </c>
      <c r="J77" s="958"/>
      <c r="K77" s="960">
        <v>6050000</v>
      </c>
      <c r="L77" s="960"/>
      <c r="M77" s="963">
        <f t="shared" si="0"/>
        <v>6050000</v>
      </c>
      <c r="N77" s="964"/>
      <c r="O77" s="963"/>
      <c r="P77" s="963">
        <f t="shared" si="1"/>
        <v>6050000</v>
      </c>
      <c r="Q77" s="980"/>
      <c r="R77" s="971">
        <v>44805</v>
      </c>
      <c r="S77" s="972"/>
      <c r="T77" s="972"/>
      <c r="U77" s="973"/>
      <c r="V77" s="974"/>
      <c r="W77" s="758"/>
      <c r="X77" s="759"/>
      <c r="Z77" s="968"/>
      <c r="AA77" s="969"/>
      <c r="AB77" s="969"/>
      <c r="AC77" s="986">
        <f t="shared" ref="AC77:AC79" si="17">+I77*2%</f>
        <v>1100000</v>
      </c>
      <c r="AD77" s="986"/>
      <c r="AE77" s="986"/>
      <c r="AF77" s="986"/>
      <c r="AG77" s="968"/>
      <c r="AH77" s="988"/>
      <c r="AI77" s="989"/>
      <c r="AK77" s="958">
        <f t="shared" si="8"/>
        <v>60500000</v>
      </c>
      <c r="AL77" s="958">
        <f t="shared" si="8"/>
        <v>0</v>
      </c>
      <c r="AM77" s="958">
        <f t="shared" si="3"/>
        <v>0</v>
      </c>
      <c r="AN77" s="992">
        <f t="shared" si="13"/>
        <v>5500000</v>
      </c>
    </row>
    <row r="78" ht="15" customHeight="1" spans="1:43">
      <c r="A78" s="943">
        <f t="shared" si="16"/>
        <v>9</v>
      </c>
      <c r="B78" s="956">
        <v>67</v>
      </c>
      <c r="C78" s="758" t="s">
        <v>13110</v>
      </c>
      <c r="D78" s="759">
        <v>44813</v>
      </c>
      <c r="E78" s="959" t="s">
        <v>13008</v>
      </c>
      <c r="F78" s="758" t="s">
        <v>13177</v>
      </c>
      <c r="G78" s="758" t="s">
        <v>13105</v>
      </c>
      <c r="H78" s="960"/>
      <c r="I78" s="960">
        <v>13000000</v>
      </c>
      <c r="J78" s="958"/>
      <c r="K78" s="960">
        <v>1430000</v>
      </c>
      <c r="L78" s="960"/>
      <c r="M78" s="963">
        <f t="shared" ref="M78:M108" si="18">+P77-J78+K78</f>
        <v>7480000</v>
      </c>
      <c r="N78" s="964"/>
      <c r="O78" s="963"/>
      <c r="P78" s="963">
        <f t="shared" ref="P78:P108" si="19">+M78-O78</f>
        <v>7480000</v>
      </c>
      <c r="Q78" s="980"/>
      <c r="R78" s="971">
        <v>44805</v>
      </c>
      <c r="S78" s="972"/>
      <c r="T78" s="972"/>
      <c r="U78" s="973"/>
      <c r="V78" s="974"/>
      <c r="W78" s="758"/>
      <c r="X78" s="759"/>
      <c r="Y78" s="944"/>
      <c r="Z78" s="968"/>
      <c r="AA78" s="969"/>
      <c r="AB78" s="969"/>
      <c r="AC78" s="986">
        <f t="shared" si="17"/>
        <v>260000</v>
      </c>
      <c r="AD78" s="986"/>
      <c r="AE78" s="986"/>
      <c r="AF78" s="986"/>
      <c r="AG78" s="968"/>
      <c r="AH78" s="988"/>
      <c r="AI78" s="989"/>
      <c r="AJ78" s="944"/>
      <c r="AK78" s="958">
        <f t="shared" si="8"/>
        <v>14300000</v>
      </c>
      <c r="AL78" s="958">
        <f t="shared" si="8"/>
        <v>0</v>
      </c>
      <c r="AM78" s="958">
        <f t="shared" ref="AM78:AM110" si="20">IF(J78&gt;0,J78/10%,0)</f>
        <v>0</v>
      </c>
      <c r="AN78" s="991">
        <f t="shared" si="13"/>
        <v>1300000</v>
      </c>
      <c r="AO78" s="944"/>
      <c r="AP78" s="944"/>
      <c r="AQ78" s="944"/>
    </row>
    <row r="79" ht="15" customHeight="1" spans="1:43">
      <c r="A79" s="943">
        <f t="shared" si="16"/>
        <v>9</v>
      </c>
      <c r="B79" s="956">
        <v>68</v>
      </c>
      <c r="C79" s="758" t="s">
        <v>13110</v>
      </c>
      <c r="D79" s="759">
        <v>44813</v>
      </c>
      <c r="E79" s="959" t="s">
        <v>13008</v>
      </c>
      <c r="F79" s="758" t="s">
        <v>13178</v>
      </c>
      <c r="G79" s="758" t="s">
        <v>13105</v>
      </c>
      <c r="H79" s="960"/>
      <c r="I79" s="1006">
        <v>42400000</v>
      </c>
      <c r="J79" s="958"/>
      <c r="K79" s="1006">
        <v>4664000</v>
      </c>
      <c r="L79" s="960"/>
      <c r="M79" s="963">
        <f t="shared" si="18"/>
        <v>12144000</v>
      </c>
      <c r="N79" s="964"/>
      <c r="O79" s="963"/>
      <c r="P79" s="963">
        <f t="shared" si="19"/>
        <v>12144000</v>
      </c>
      <c r="Q79" s="980"/>
      <c r="R79" s="971">
        <v>44805</v>
      </c>
      <c r="S79" s="972"/>
      <c r="T79" s="972"/>
      <c r="U79" s="973"/>
      <c r="V79" s="974"/>
      <c r="W79" s="758"/>
      <c r="X79" s="759"/>
      <c r="Y79" s="944"/>
      <c r="Z79" s="968"/>
      <c r="AA79" s="969"/>
      <c r="AB79" s="969"/>
      <c r="AC79" s="986">
        <f t="shared" si="17"/>
        <v>848000</v>
      </c>
      <c r="AD79" s="986"/>
      <c r="AE79" s="986"/>
      <c r="AF79" s="986"/>
      <c r="AG79" s="968"/>
      <c r="AH79" s="988"/>
      <c r="AI79" s="989"/>
      <c r="AJ79" s="944"/>
      <c r="AK79" s="958">
        <f t="shared" si="8"/>
        <v>46640000</v>
      </c>
      <c r="AL79" s="958">
        <f t="shared" si="8"/>
        <v>0</v>
      </c>
      <c r="AM79" s="958">
        <f t="shared" si="20"/>
        <v>0</v>
      </c>
      <c r="AN79" s="991">
        <f t="shared" si="13"/>
        <v>4240000</v>
      </c>
      <c r="AO79" s="944"/>
      <c r="AP79" s="944"/>
      <c r="AQ79" s="944"/>
    </row>
    <row r="80" s="944" customFormat="1" ht="15" hidden="1" customHeight="1" spans="1:40">
      <c r="A80" s="943">
        <f t="shared" si="16"/>
        <v>9</v>
      </c>
      <c r="B80" s="956">
        <v>69</v>
      </c>
      <c r="C80" s="758" t="s">
        <v>13119</v>
      </c>
      <c r="D80" s="759">
        <v>44820</v>
      </c>
      <c r="E80" s="959" t="s">
        <v>1239</v>
      </c>
      <c r="F80" s="758" t="s">
        <v>13179</v>
      </c>
      <c r="G80" s="758" t="s">
        <v>13105</v>
      </c>
      <c r="H80" s="960"/>
      <c r="I80" s="778">
        <v>46000000</v>
      </c>
      <c r="J80" s="958"/>
      <c r="K80" s="1006">
        <v>5060000</v>
      </c>
      <c r="L80" s="960"/>
      <c r="M80" s="963">
        <f t="shared" si="18"/>
        <v>17204000</v>
      </c>
      <c r="N80" s="964"/>
      <c r="O80" s="963"/>
      <c r="P80" s="963">
        <f t="shared" si="19"/>
        <v>17204000</v>
      </c>
      <c r="Q80" s="980"/>
      <c r="R80" s="971">
        <v>44805</v>
      </c>
      <c r="S80" s="972"/>
      <c r="T80" s="972"/>
      <c r="U80" s="973"/>
      <c r="V80" s="974"/>
      <c r="W80" s="758"/>
      <c r="X80" s="759"/>
      <c r="Z80" s="968"/>
      <c r="AA80" s="969"/>
      <c r="AB80" s="969"/>
      <c r="AC80" s="986"/>
      <c r="AD80" s="986"/>
      <c r="AE80" s="986"/>
      <c r="AF80" s="986"/>
      <c r="AG80" s="968"/>
      <c r="AH80" s="988"/>
      <c r="AI80" s="989"/>
      <c r="AK80" s="958">
        <f t="shared" si="8"/>
        <v>50600000</v>
      </c>
      <c r="AL80" s="958">
        <f t="shared" si="8"/>
        <v>0</v>
      </c>
      <c r="AM80" s="958">
        <f t="shared" si="20"/>
        <v>0</v>
      </c>
      <c r="AN80" s="992">
        <f t="shared" si="13"/>
        <v>4600000</v>
      </c>
    </row>
    <row r="81" ht="15" hidden="1" customHeight="1" spans="1:43">
      <c r="A81" s="943">
        <f t="shared" si="16"/>
        <v>9</v>
      </c>
      <c r="B81" s="956">
        <v>70</v>
      </c>
      <c r="C81" s="758" t="s">
        <v>13116</v>
      </c>
      <c r="D81" s="759">
        <v>44824</v>
      </c>
      <c r="E81" s="959" t="s">
        <v>13005</v>
      </c>
      <c r="F81" s="758" t="s">
        <v>13180</v>
      </c>
      <c r="G81" s="758" t="s">
        <v>13105</v>
      </c>
      <c r="H81" s="960"/>
      <c r="I81" s="1006">
        <v>30693500</v>
      </c>
      <c r="J81" s="958"/>
      <c r="K81" s="1006">
        <v>3376285</v>
      </c>
      <c r="L81" s="960"/>
      <c r="M81" s="963">
        <f t="shared" si="18"/>
        <v>20580285</v>
      </c>
      <c r="N81" s="964"/>
      <c r="O81" s="963"/>
      <c r="P81" s="963">
        <f t="shared" si="19"/>
        <v>20580285</v>
      </c>
      <c r="Q81" s="980"/>
      <c r="R81" s="971">
        <v>44805</v>
      </c>
      <c r="S81" s="972"/>
      <c r="T81" s="972"/>
      <c r="U81" s="973"/>
      <c r="V81" s="974"/>
      <c r="W81" s="758"/>
      <c r="X81" s="759"/>
      <c r="Y81" s="944"/>
      <c r="Z81" s="968"/>
      <c r="AA81" s="969"/>
      <c r="AB81" s="969"/>
      <c r="AC81" s="986"/>
      <c r="AD81" s="986"/>
      <c r="AE81" s="986"/>
      <c r="AF81" s="986"/>
      <c r="AG81" s="968"/>
      <c r="AH81" s="988"/>
      <c r="AI81" s="989"/>
      <c r="AJ81" s="944"/>
      <c r="AK81" s="958">
        <f t="shared" si="8"/>
        <v>33762850</v>
      </c>
      <c r="AL81" s="958">
        <f t="shared" si="8"/>
        <v>0</v>
      </c>
      <c r="AM81" s="958">
        <f t="shared" si="20"/>
        <v>0</v>
      </c>
      <c r="AN81" s="991">
        <f t="shared" si="13"/>
        <v>3069350</v>
      </c>
      <c r="AO81" s="944"/>
      <c r="AP81" s="944"/>
      <c r="AQ81" s="944"/>
    </row>
    <row r="82" ht="15" hidden="1" customHeight="1" spans="1:43">
      <c r="A82" s="943">
        <f t="shared" si="16"/>
        <v>9</v>
      </c>
      <c r="B82" s="956">
        <v>71</v>
      </c>
      <c r="C82" s="758" t="s">
        <v>13116</v>
      </c>
      <c r="D82" s="759">
        <v>44824</v>
      </c>
      <c r="E82" s="959" t="s">
        <v>13005</v>
      </c>
      <c r="F82" s="758" t="s">
        <v>13181</v>
      </c>
      <c r="G82" s="758" t="s">
        <v>13105</v>
      </c>
      <c r="H82" s="960"/>
      <c r="I82" s="1006">
        <v>15000000</v>
      </c>
      <c r="J82" s="958"/>
      <c r="K82" s="1006">
        <v>1650000</v>
      </c>
      <c r="L82" s="960"/>
      <c r="M82" s="963">
        <f t="shared" si="18"/>
        <v>22230285</v>
      </c>
      <c r="N82" s="964"/>
      <c r="O82" s="963"/>
      <c r="P82" s="963">
        <f t="shared" si="19"/>
        <v>22230285</v>
      </c>
      <c r="Q82" s="980"/>
      <c r="R82" s="971">
        <v>44805</v>
      </c>
      <c r="S82" s="972"/>
      <c r="T82" s="972"/>
      <c r="U82" s="973"/>
      <c r="V82" s="974"/>
      <c r="W82" s="758"/>
      <c r="X82" s="759"/>
      <c r="Y82" s="944"/>
      <c r="Z82" s="968"/>
      <c r="AA82" s="969"/>
      <c r="AB82" s="969"/>
      <c r="AC82" s="986"/>
      <c r="AD82" s="986"/>
      <c r="AE82" s="986"/>
      <c r="AF82" s="986"/>
      <c r="AG82" s="968"/>
      <c r="AH82" s="988"/>
      <c r="AI82" s="989"/>
      <c r="AJ82" s="944"/>
      <c r="AK82" s="958">
        <f t="shared" si="8"/>
        <v>16500000</v>
      </c>
      <c r="AL82" s="958">
        <f t="shared" si="8"/>
        <v>0</v>
      </c>
      <c r="AM82" s="958">
        <f t="shared" si="20"/>
        <v>0</v>
      </c>
      <c r="AN82" s="991">
        <f t="shared" si="13"/>
        <v>1500000</v>
      </c>
      <c r="AO82" s="944"/>
      <c r="AP82" s="944"/>
      <c r="AQ82" s="944"/>
    </row>
    <row r="83" ht="15" hidden="1" customHeight="1" spans="1:43">
      <c r="A83" s="943">
        <f t="shared" si="16"/>
        <v>9</v>
      </c>
      <c r="B83" s="956">
        <v>72</v>
      </c>
      <c r="C83" s="758" t="s">
        <v>13122</v>
      </c>
      <c r="D83" s="759">
        <v>44823</v>
      </c>
      <c r="E83" s="959" t="s">
        <v>12999</v>
      </c>
      <c r="F83" s="758" t="s">
        <v>13182</v>
      </c>
      <c r="G83" s="758" t="s">
        <v>13123</v>
      </c>
      <c r="H83" s="960">
        <v>353600</v>
      </c>
      <c r="I83" s="1006"/>
      <c r="J83" s="958">
        <v>38896</v>
      </c>
      <c r="K83" s="1006"/>
      <c r="L83" s="1006"/>
      <c r="M83" s="963">
        <f t="shared" si="18"/>
        <v>22191389</v>
      </c>
      <c r="N83" s="964"/>
      <c r="O83" s="837">
        <v>22230285</v>
      </c>
      <c r="P83" s="963">
        <f t="shared" si="19"/>
        <v>-38896</v>
      </c>
      <c r="Q83" s="980"/>
      <c r="R83" s="862">
        <v>44805</v>
      </c>
      <c r="S83" s="972"/>
      <c r="T83" s="972"/>
      <c r="U83" s="973"/>
      <c r="V83" s="974"/>
      <c r="W83" s="758"/>
      <c r="X83" s="759"/>
      <c r="Y83" s="944"/>
      <c r="Z83" s="968"/>
      <c r="AA83" s="969"/>
      <c r="AB83" s="969"/>
      <c r="AC83" s="986"/>
      <c r="AD83" s="986"/>
      <c r="AE83" s="986"/>
      <c r="AF83" s="986"/>
      <c r="AG83" s="968"/>
      <c r="AH83" s="988"/>
      <c r="AI83" s="989"/>
      <c r="AJ83" s="944"/>
      <c r="AK83" s="958"/>
      <c r="AL83" s="958"/>
      <c r="AM83" s="958"/>
      <c r="AN83" s="991"/>
      <c r="AO83" s="944"/>
      <c r="AP83" s="944"/>
      <c r="AQ83" s="944"/>
    </row>
    <row r="84" s="944" customFormat="1" ht="15" customHeight="1" spans="1:40">
      <c r="A84" s="943">
        <f t="shared" si="16"/>
        <v>10</v>
      </c>
      <c r="B84" s="956">
        <v>73</v>
      </c>
      <c r="C84" s="758" t="s">
        <v>13110</v>
      </c>
      <c r="D84" s="759">
        <v>44848</v>
      </c>
      <c r="E84" s="959" t="s">
        <v>13008</v>
      </c>
      <c r="F84" s="758" t="s">
        <v>13183</v>
      </c>
      <c r="G84" s="758" t="s">
        <v>13105</v>
      </c>
      <c r="H84" s="960"/>
      <c r="I84" s="778">
        <v>55000000</v>
      </c>
      <c r="J84" s="958"/>
      <c r="K84" s="1006">
        <v>6050000</v>
      </c>
      <c r="L84" s="960"/>
      <c r="M84" s="963">
        <f t="shared" si="18"/>
        <v>6011104</v>
      </c>
      <c r="N84" s="964"/>
      <c r="O84" s="963"/>
      <c r="P84" s="963">
        <f t="shared" si="19"/>
        <v>6011104</v>
      </c>
      <c r="Q84" s="980"/>
      <c r="R84" s="971">
        <v>44835</v>
      </c>
      <c r="S84" s="972"/>
      <c r="T84" s="972"/>
      <c r="U84" s="973"/>
      <c r="V84" s="974"/>
      <c r="W84" s="758"/>
      <c r="X84" s="759"/>
      <c r="Z84" s="968"/>
      <c r="AA84" s="969"/>
      <c r="AB84" s="969"/>
      <c r="AC84" s="986">
        <f t="shared" ref="AC84:AC85" si="21">+I84*2%</f>
        <v>1100000</v>
      </c>
      <c r="AD84" s="986"/>
      <c r="AE84" s="986"/>
      <c r="AF84" s="986"/>
      <c r="AG84" s="968"/>
      <c r="AH84" s="988"/>
      <c r="AI84" s="989"/>
      <c r="AK84" s="958">
        <f t="shared" si="8"/>
        <v>60500000</v>
      </c>
      <c r="AL84" s="958">
        <f t="shared" si="8"/>
        <v>0</v>
      </c>
      <c r="AM84" s="958">
        <f t="shared" si="20"/>
        <v>0</v>
      </c>
      <c r="AN84" s="992">
        <f t="shared" ref="AN84:AN110" si="22">SUM(AK84:AM84)-SUM(H84,I84)</f>
        <v>5500000</v>
      </c>
    </row>
    <row r="85" ht="15" customHeight="1" spans="1:43">
      <c r="A85" s="943">
        <f t="shared" si="16"/>
        <v>10</v>
      </c>
      <c r="B85" s="956">
        <v>74</v>
      </c>
      <c r="C85" s="758" t="s">
        <v>13110</v>
      </c>
      <c r="D85" s="759">
        <v>44848</v>
      </c>
      <c r="E85" s="959" t="s">
        <v>13008</v>
      </c>
      <c r="F85" s="758" t="s">
        <v>13184</v>
      </c>
      <c r="G85" s="758" t="s">
        <v>13105</v>
      </c>
      <c r="H85" s="960"/>
      <c r="I85" s="1006">
        <v>13000000</v>
      </c>
      <c r="J85" s="958"/>
      <c r="K85" s="1006">
        <v>1430000</v>
      </c>
      <c r="L85" s="960"/>
      <c r="M85" s="963">
        <f t="shared" si="18"/>
        <v>7441104</v>
      </c>
      <c r="N85" s="964"/>
      <c r="O85" s="963"/>
      <c r="P85" s="963">
        <f t="shared" si="19"/>
        <v>7441104</v>
      </c>
      <c r="Q85" s="980"/>
      <c r="R85" s="971">
        <v>44835</v>
      </c>
      <c r="S85" s="972"/>
      <c r="T85" s="972"/>
      <c r="U85" s="973"/>
      <c r="V85" s="974"/>
      <c r="W85" s="758"/>
      <c r="X85" s="759"/>
      <c r="Y85" s="944"/>
      <c r="Z85" s="968"/>
      <c r="AA85" s="969"/>
      <c r="AB85" s="969"/>
      <c r="AC85" s="986">
        <f t="shared" si="21"/>
        <v>260000</v>
      </c>
      <c r="AD85" s="986"/>
      <c r="AE85" s="986"/>
      <c r="AF85" s="986"/>
      <c r="AG85" s="968"/>
      <c r="AH85" s="988"/>
      <c r="AI85" s="989"/>
      <c r="AJ85" s="944"/>
      <c r="AK85" s="958">
        <f t="shared" si="8"/>
        <v>14300000</v>
      </c>
      <c r="AL85" s="958">
        <f t="shared" si="8"/>
        <v>0</v>
      </c>
      <c r="AM85" s="958">
        <f t="shared" si="20"/>
        <v>0</v>
      </c>
      <c r="AN85" s="991">
        <f t="shared" si="22"/>
        <v>1300000</v>
      </c>
      <c r="AO85" s="944"/>
      <c r="AP85" s="944"/>
      <c r="AQ85" s="944"/>
    </row>
    <row r="86" s="944" customFormat="1" ht="15" hidden="1" customHeight="1" spans="1:40">
      <c r="A86" s="943">
        <f t="shared" si="16"/>
        <v>10</v>
      </c>
      <c r="B86" s="956">
        <v>75</v>
      </c>
      <c r="C86" s="758" t="s">
        <v>13185</v>
      </c>
      <c r="D86" s="759">
        <v>44840</v>
      </c>
      <c r="E86" s="959" t="s">
        <v>13003</v>
      </c>
      <c r="F86" s="758" t="s">
        <v>13186</v>
      </c>
      <c r="G86" s="758" t="s">
        <v>13105</v>
      </c>
      <c r="H86" s="960"/>
      <c r="I86" s="778">
        <v>120000000</v>
      </c>
      <c r="J86" s="958"/>
      <c r="K86" s="1006">
        <v>13200000</v>
      </c>
      <c r="L86" s="960"/>
      <c r="M86" s="963">
        <f t="shared" si="18"/>
        <v>20641104</v>
      </c>
      <c r="N86" s="964"/>
      <c r="O86" s="963"/>
      <c r="P86" s="963">
        <f t="shared" si="19"/>
        <v>20641104</v>
      </c>
      <c r="Q86" s="980"/>
      <c r="R86" s="971">
        <v>44835</v>
      </c>
      <c r="S86" s="972"/>
      <c r="T86" s="972"/>
      <c r="U86" s="973"/>
      <c r="V86" s="974"/>
      <c r="W86" s="758"/>
      <c r="X86" s="759"/>
      <c r="Z86" s="968"/>
      <c r="AA86" s="969"/>
      <c r="AB86" s="969"/>
      <c r="AC86" s="986"/>
      <c r="AD86" s="986"/>
      <c r="AE86" s="986"/>
      <c r="AF86" s="986"/>
      <c r="AG86" s="968"/>
      <c r="AH86" s="988"/>
      <c r="AI86" s="989"/>
      <c r="AK86" s="958">
        <f t="shared" si="8"/>
        <v>132000000</v>
      </c>
      <c r="AL86" s="958">
        <f t="shared" si="8"/>
        <v>0</v>
      </c>
      <c r="AM86" s="958">
        <f t="shared" si="20"/>
        <v>0</v>
      </c>
      <c r="AN86" s="992">
        <f t="shared" si="22"/>
        <v>12000000</v>
      </c>
    </row>
    <row r="87" ht="15" hidden="1" customHeight="1" spans="1:43">
      <c r="A87" s="943">
        <f t="shared" si="16"/>
        <v>10</v>
      </c>
      <c r="B87" s="956">
        <v>76</v>
      </c>
      <c r="C87" s="758" t="s">
        <v>13116</v>
      </c>
      <c r="D87" s="759">
        <v>44855</v>
      </c>
      <c r="E87" s="959" t="s">
        <v>13005</v>
      </c>
      <c r="F87" s="758" t="s">
        <v>13187</v>
      </c>
      <c r="G87" s="758" t="s">
        <v>13105</v>
      </c>
      <c r="H87" s="960"/>
      <c r="I87" s="1006">
        <v>29733000</v>
      </c>
      <c r="J87" s="958"/>
      <c r="K87" s="1006">
        <v>3270630</v>
      </c>
      <c r="L87" s="960"/>
      <c r="M87" s="963">
        <f t="shared" si="18"/>
        <v>23911734</v>
      </c>
      <c r="N87" s="964"/>
      <c r="O87" s="963"/>
      <c r="P87" s="963">
        <f t="shared" si="19"/>
        <v>23911734</v>
      </c>
      <c r="Q87" s="980"/>
      <c r="R87" s="971">
        <v>44835</v>
      </c>
      <c r="S87" s="972"/>
      <c r="T87" s="972"/>
      <c r="U87" s="973"/>
      <c r="V87" s="974"/>
      <c r="W87" s="758"/>
      <c r="X87" s="759"/>
      <c r="Y87" s="944"/>
      <c r="Z87" s="968"/>
      <c r="AA87" s="969"/>
      <c r="AB87" s="969"/>
      <c r="AC87" s="986"/>
      <c r="AD87" s="986"/>
      <c r="AE87" s="986"/>
      <c r="AF87" s="986"/>
      <c r="AG87" s="968"/>
      <c r="AH87" s="988"/>
      <c r="AI87" s="989"/>
      <c r="AJ87" s="944"/>
      <c r="AK87" s="958">
        <f t="shared" si="8"/>
        <v>32706300</v>
      </c>
      <c r="AL87" s="958">
        <f t="shared" si="8"/>
        <v>0</v>
      </c>
      <c r="AM87" s="958">
        <f t="shared" si="20"/>
        <v>0</v>
      </c>
      <c r="AN87" s="991">
        <f t="shared" si="22"/>
        <v>2973300</v>
      </c>
      <c r="AO87" s="944"/>
      <c r="AP87" s="944"/>
      <c r="AQ87" s="944"/>
    </row>
    <row r="88" ht="15" hidden="1" customHeight="1" spans="1:43">
      <c r="A88" s="943">
        <f t="shared" si="16"/>
        <v>10</v>
      </c>
      <c r="B88" s="956">
        <v>77</v>
      </c>
      <c r="C88" s="758" t="s">
        <v>13116</v>
      </c>
      <c r="D88" s="759">
        <v>44855</v>
      </c>
      <c r="E88" s="959" t="s">
        <v>13005</v>
      </c>
      <c r="F88" s="758" t="s">
        <v>13188</v>
      </c>
      <c r="G88" s="758" t="s">
        <v>13105</v>
      </c>
      <c r="H88" s="960"/>
      <c r="I88" s="1006">
        <v>15000000</v>
      </c>
      <c r="J88" s="958"/>
      <c r="K88" s="1006">
        <v>1650000</v>
      </c>
      <c r="L88" s="1006"/>
      <c r="M88" s="963">
        <f t="shared" si="18"/>
        <v>25561734</v>
      </c>
      <c r="N88" s="964"/>
      <c r="O88" s="963"/>
      <c r="P88" s="963">
        <f t="shared" si="19"/>
        <v>25561734</v>
      </c>
      <c r="Q88" s="980"/>
      <c r="R88" s="971">
        <v>44835</v>
      </c>
      <c r="S88" s="972"/>
      <c r="T88" s="972"/>
      <c r="U88" s="973"/>
      <c r="V88" s="974"/>
      <c r="W88" s="758"/>
      <c r="X88" s="759"/>
      <c r="Y88" s="944"/>
      <c r="Z88" s="968"/>
      <c r="AA88" s="969"/>
      <c r="AB88" s="969"/>
      <c r="AC88" s="986"/>
      <c r="AD88" s="986"/>
      <c r="AE88" s="986"/>
      <c r="AF88" s="986"/>
      <c r="AG88" s="968"/>
      <c r="AH88" s="988"/>
      <c r="AI88" s="989"/>
      <c r="AJ88" s="944"/>
      <c r="AK88" s="958">
        <f t="shared" si="8"/>
        <v>16500000</v>
      </c>
      <c r="AL88" s="958">
        <f>IF(L92&gt;0,L92/10%,0)</f>
        <v>0</v>
      </c>
      <c r="AM88" s="958">
        <f t="shared" si="20"/>
        <v>0</v>
      </c>
      <c r="AN88" s="991">
        <f t="shared" si="22"/>
        <v>1500000</v>
      </c>
      <c r="AO88" s="944"/>
      <c r="AP88" s="944"/>
      <c r="AQ88" s="944"/>
    </row>
    <row r="89" ht="15" hidden="1" customHeight="1" spans="1:43">
      <c r="A89" s="943">
        <f t="shared" si="16"/>
        <v>10</v>
      </c>
      <c r="B89" s="956">
        <v>78</v>
      </c>
      <c r="C89" s="758" t="s">
        <v>13119</v>
      </c>
      <c r="D89" s="759">
        <v>44859</v>
      </c>
      <c r="E89" s="959" t="s">
        <v>1239</v>
      </c>
      <c r="F89" s="758" t="s">
        <v>13189</v>
      </c>
      <c r="G89" s="758" t="s">
        <v>13105</v>
      </c>
      <c r="H89" s="960"/>
      <c r="I89" s="1006">
        <v>11000000</v>
      </c>
      <c r="J89" s="958"/>
      <c r="K89" s="1006">
        <v>1210000</v>
      </c>
      <c r="L89" s="1006"/>
      <c r="M89" s="963">
        <f t="shared" si="18"/>
        <v>26771734</v>
      </c>
      <c r="N89" s="964"/>
      <c r="O89" s="837">
        <v>26771734</v>
      </c>
      <c r="P89" s="963">
        <f t="shared" si="19"/>
        <v>0</v>
      </c>
      <c r="Q89" s="980"/>
      <c r="R89" s="862">
        <v>44835</v>
      </c>
      <c r="S89" s="972"/>
      <c r="T89" s="972"/>
      <c r="U89" s="973"/>
      <c r="V89" s="974"/>
      <c r="W89" s="758"/>
      <c r="X89" s="759"/>
      <c r="Y89" s="944"/>
      <c r="Z89" s="968"/>
      <c r="AA89" s="969"/>
      <c r="AB89" s="969"/>
      <c r="AC89" s="986"/>
      <c r="AD89" s="986"/>
      <c r="AE89" s="986"/>
      <c r="AF89" s="986"/>
      <c r="AG89" s="968"/>
      <c r="AH89" s="988"/>
      <c r="AI89" s="989"/>
      <c r="AJ89" s="944"/>
      <c r="AK89" s="958">
        <f t="shared" si="8"/>
        <v>12100000</v>
      </c>
      <c r="AL89" s="958">
        <f>IF(L93&gt;0,L93/10%,0)</f>
        <v>0</v>
      </c>
      <c r="AM89" s="958">
        <f t="shared" si="20"/>
        <v>0</v>
      </c>
      <c r="AN89" s="991">
        <f t="shared" si="22"/>
        <v>1100000</v>
      </c>
      <c r="AO89" s="944"/>
      <c r="AP89" s="944"/>
      <c r="AQ89" s="944"/>
    </row>
    <row r="90" s="944" customFormat="1" ht="15" hidden="1" customHeight="1" spans="1:40">
      <c r="A90" s="943">
        <f t="shared" si="16"/>
        <v>11</v>
      </c>
      <c r="B90" s="956">
        <v>79</v>
      </c>
      <c r="C90" s="758" t="s">
        <v>13190</v>
      </c>
      <c r="D90" s="759">
        <v>44873</v>
      </c>
      <c r="E90" s="959" t="s">
        <v>13001</v>
      </c>
      <c r="F90" s="758" t="s">
        <v>13191</v>
      </c>
      <c r="G90" s="758" t="s">
        <v>13105</v>
      </c>
      <c r="H90" s="960"/>
      <c r="I90" s="778">
        <v>90000000</v>
      </c>
      <c r="J90" s="958"/>
      <c r="K90" s="1006">
        <v>9900000</v>
      </c>
      <c r="L90" s="960"/>
      <c r="M90" s="963">
        <f t="shared" si="18"/>
        <v>9900000</v>
      </c>
      <c r="N90" s="964"/>
      <c r="O90" s="963"/>
      <c r="P90" s="963">
        <f t="shared" si="19"/>
        <v>9900000</v>
      </c>
      <c r="Q90" s="980"/>
      <c r="R90" s="971">
        <v>44866</v>
      </c>
      <c r="S90" s="972"/>
      <c r="T90" s="972"/>
      <c r="U90" s="973"/>
      <c r="V90" s="974"/>
      <c r="W90" s="758"/>
      <c r="X90" s="759"/>
      <c r="Z90" s="968"/>
      <c r="AA90" s="969"/>
      <c r="AB90" s="969"/>
      <c r="AC90" s="986"/>
      <c r="AD90" s="986"/>
      <c r="AE90" s="986"/>
      <c r="AF90" s="986"/>
      <c r="AG90" s="968"/>
      <c r="AH90" s="988"/>
      <c r="AI90" s="989"/>
      <c r="AK90" s="958">
        <f t="shared" si="8"/>
        <v>99000000</v>
      </c>
      <c r="AL90" s="958">
        <f t="shared" si="8"/>
        <v>0</v>
      </c>
      <c r="AM90" s="958">
        <f t="shared" si="20"/>
        <v>0</v>
      </c>
      <c r="AN90" s="992">
        <f t="shared" si="22"/>
        <v>9000000</v>
      </c>
    </row>
    <row r="91" s="944" customFormat="1" ht="15" customHeight="1" spans="1:40">
      <c r="A91" s="943">
        <f t="shared" si="16"/>
        <v>11</v>
      </c>
      <c r="B91" s="956">
        <v>80</v>
      </c>
      <c r="C91" s="758" t="s">
        <v>13110</v>
      </c>
      <c r="D91" s="759">
        <v>44876</v>
      </c>
      <c r="E91" s="959" t="s">
        <v>13008</v>
      </c>
      <c r="F91" s="758" t="s">
        <v>13192</v>
      </c>
      <c r="G91" s="758" t="s">
        <v>13105</v>
      </c>
      <c r="H91" s="960"/>
      <c r="I91" s="778">
        <v>55000000</v>
      </c>
      <c r="J91" s="958"/>
      <c r="K91" s="1006">
        <v>6050000</v>
      </c>
      <c r="L91" s="960"/>
      <c r="M91" s="963">
        <f t="shared" si="18"/>
        <v>15950000</v>
      </c>
      <c r="N91" s="964"/>
      <c r="O91" s="963"/>
      <c r="P91" s="963">
        <f t="shared" si="19"/>
        <v>15950000</v>
      </c>
      <c r="Q91" s="980"/>
      <c r="R91" s="971">
        <v>44866</v>
      </c>
      <c r="S91" s="972"/>
      <c r="T91" s="972"/>
      <c r="U91" s="973"/>
      <c r="V91" s="974"/>
      <c r="W91" s="758"/>
      <c r="X91" s="759"/>
      <c r="Z91" s="968"/>
      <c r="AA91" s="969"/>
      <c r="AB91" s="969"/>
      <c r="AC91" s="986">
        <f t="shared" ref="AC91:AC92" si="23">+I91*2%</f>
        <v>1100000</v>
      </c>
      <c r="AD91" s="986"/>
      <c r="AE91" s="986"/>
      <c r="AF91" s="986"/>
      <c r="AG91" s="968"/>
      <c r="AH91" s="988"/>
      <c r="AI91" s="989"/>
      <c r="AK91" s="958">
        <f t="shared" si="8"/>
        <v>60500000</v>
      </c>
      <c r="AL91" s="958">
        <f t="shared" si="8"/>
        <v>0</v>
      </c>
      <c r="AM91" s="958">
        <f t="shared" si="20"/>
        <v>0</v>
      </c>
      <c r="AN91" s="992">
        <f t="shared" si="22"/>
        <v>5500000</v>
      </c>
    </row>
    <row r="92" ht="15" customHeight="1" spans="1:43">
      <c r="A92" s="943">
        <f t="shared" si="16"/>
        <v>11</v>
      </c>
      <c r="B92" s="956">
        <v>81</v>
      </c>
      <c r="C92" s="758" t="s">
        <v>13110</v>
      </c>
      <c r="D92" s="759">
        <v>44876</v>
      </c>
      <c r="E92" s="959" t="s">
        <v>13008</v>
      </c>
      <c r="F92" s="758" t="s">
        <v>13193</v>
      </c>
      <c r="G92" s="758" t="s">
        <v>13105</v>
      </c>
      <c r="H92" s="960"/>
      <c r="I92" s="1006">
        <v>13000000</v>
      </c>
      <c r="J92" s="958"/>
      <c r="K92" s="1006">
        <v>1430000</v>
      </c>
      <c r="L92" s="960"/>
      <c r="M92" s="963">
        <f t="shared" si="18"/>
        <v>17380000</v>
      </c>
      <c r="N92" s="964"/>
      <c r="O92" s="963"/>
      <c r="P92" s="963">
        <f t="shared" si="19"/>
        <v>17380000</v>
      </c>
      <c r="Q92" s="980"/>
      <c r="R92" s="971">
        <v>44866</v>
      </c>
      <c r="S92" s="972"/>
      <c r="T92" s="972"/>
      <c r="U92" s="973"/>
      <c r="V92" s="974"/>
      <c r="W92" s="758"/>
      <c r="X92" s="759"/>
      <c r="Y92" s="944"/>
      <c r="Z92" s="968"/>
      <c r="AA92" s="969"/>
      <c r="AB92" s="969"/>
      <c r="AC92" s="986">
        <f t="shared" si="23"/>
        <v>260000</v>
      </c>
      <c r="AD92" s="986"/>
      <c r="AE92" s="986"/>
      <c r="AF92" s="986"/>
      <c r="AG92" s="968"/>
      <c r="AH92" s="988"/>
      <c r="AI92" s="989"/>
      <c r="AJ92" s="944"/>
      <c r="AK92" s="958">
        <f t="shared" si="8"/>
        <v>14300000</v>
      </c>
      <c r="AL92" s="958" t="e">
        <f>IF(#REF!&gt;0,#REF!/10%,0)</f>
        <v>#REF!</v>
      </c>
      <c r="AM92" s="958">
        <f t="shared" si="20"/>
        <v>0</v>
      </c>
      <c r="AN92" s="991" t="e">
        <f t="shared" si="22"/>
        <v>#REF!</v>
      </c>
      <c r="AO92" s="944"/>
      <c r="AP92" s="944"/>
      <c r="AQ92" s="944"/>
    </row>
    <row r="93" ht="15" hidden="1" customHeight="1" spans="1:43">
      <c r="A93" s="943">
        <f t="shared" si="16"/>
        <v>11</v>
      </c>
      <c r="B93" s="956">
        <v>82</v>
      </c>
      <c r="C93" s="758" t="s">
        <v>13194</v>
      </c>
      <c r="D93" s="759">
        <v>44882</v>
      </c>
      <c r="E93" s="959" t="s">
        <v>13014</v>
      </c>
      <c r="F93" s="758" t="s">
        <v>13195</v>
      </c>
      <c r="G93" s="758" t="s">
        <v>13105</v>
      </c>
      <c r="H93" s="960"/>
      <c r="I93" s="1006">
        <v>11650182</v>
      </c>
      <c r="J93" s="958"/>
      <c r="K93" s="1006">
        <v>1281520</v>
      </c>
      <c r="L93" s="960"/>
      <c r="M93" s="963">
        <f t="shared" si="18"/>
        <v>18661520</v>
      </c>
      <c r="N93" s="964"/>
      <c r="O93" s="963"/>
      <c r="P93" s="963">
        <f t="shared" si="19"/>
        <v>18661520</v>
      </c>
      <c r="Q93" s="980"/>
      <c r="R93" s="971">
        <v>44866</v>
      </c>
      <c r="S93" s="972"/>
      <c r="T93" s="972"/>
      <c r="U93" s="973"/>
      <c r="V93" s="974"/>
      <c r="W93" s="758"/>
      <c r="X93" s="759"/>
      <c r="Y93" s="944"/>
      <c r="Z93" s="968"/>
      <c r="AA93" s="969"/>
      <c r="AB93" s="969"/>
      <c r="AC93" s="986"/>
      <c r="AD93" s="986"/>
      <c r="AE93" s="986"/>
      <c r="AF93" s="986"/>
      <c r="AG93" s="968"/>
      <c r="AH93" s="988"/>
      <c r="AI93" s="989"/>
      <c r="AJ93" s="944"/>
      <c r="AK93" s="958">
        <f t="shared" si="8"/>
        <v>12815200</v>
      </c>
      <c r="AL93" s="958" t="e">
        <f>IF(#REF!&gt;0,#REF!/10%,0)</f>
        <v>#REF!</v>
      </c>
      <c r="AM93" s="958">
        <f t="shared" si="20"/>
        <v>0</v>
      </c>
      <c r="AN93" s="991" t="e">
        <f t="shared" si="22"/>
        <v>#REF!</v>
      </c>
      <c r="AO93" s="944"/>
      <c r="AP93" s="944"/>
      <c r="AQ93" s="944"/>
    </row>
    <row r="94" ht="15" hidden="1" customHeight="1" spans="1:43">
      <c r="A94" s="943">
        <f t="shared" si="16"/>
        <v>11</v>
      </c>
      <c r="B94" s="956">
        <v>83</v>
      </c>
      <c r="C94" s="758" t="s">
        <v>13116</v>
      </c>
      <c r="D94" s="759">
        <v>44886</v>
      </c>
      <c r="E94" s="959" t="s">
        <v>13005</v>
      </c>
      <c r="F94" s="758" t="s">
        <v>13196</v>
      </c>
      <c r="G94" s="758" t="s">
        <v>13105</v>
      </c>
      <c r="H94" s="960"/>
      <c r="I94" s="1006">
        <v>31365000</v>
      </c>
      <c r="J94" s="958"/>
      <c r="K94" s="1006">
        <v>3450150</v>
      </c>
      <c r="L94" s="1006"/>
      <c r="M94" s="963">
        <f t="shared" si="18"/>
        <v>22111670</v>
      </c>
      <c r="N94" s="964"/>
      <c r="O94" s="963"/>
      <c r="P94" s="963">
        <f t="shared" si="19"/>
        <v>22111670</v>
      </c>
      <c r="Q94" s="980"/>
      <c r="R94" s="971">
        <v>44866</v>
      </c>
      <c r="S94" s="972"/>
      <c r="T94" s="972"/>
      <c r="U94" s="973"/>
      <c r="V94" s="974"/>
      <c r="W94" s="758"/>
      <c r="X94" s="759"/>
      <c r="Y94" s="944"/>
      <c r="Z94" s="968"/>
      <c r="AA94" s="969"/>
      <c r="AB94" s="969"/>
      <c r="AC94" s="986"/>
      <c r="AD94" s="986"/>
      <c r="AE94" s="986"/>
      <c r="AF94" s="986"/>
      <c r="AG94" s="968"/>
      <c r="AH94" s="988"/>
      <c r="AI94" s="989"/>
      <c r="AJ94" s="944"/>
      <c r="AK94" s="958">
        <f t="shared" si="8"/>
        <v>34501500</v>
      </c>
      <c r="AL94" s="958">
        <f t="shared" si="8"/>
        <v>0</v>
      </c>
      <c r="AM94" s="958">
        <f t="shared" si="20"/>
        <v>0</v>
      </c>
      <c r="AN94" s="991">
        <f t="shared" si="22"/>
        <v>3136500</v>
      </c>
      <c r="AO94" s="944"/>
      <c r="AP94" s="944"/>
      <c r="AQ94" s="944"/>
    </row>
    <row r="95" ht="15" hidden="1" customHeight="1" spans="1:43">
      <c r="A95" s="943">
        <f t="shared" si="16"/>
        <v>11</v>
      </c>
      <c r="B95" s="956">
        <v>84</v>
      </c>
      <c r="C95" s="758" t="s">
        <v>13116</v>
      </c>
      <c r="D95" s="759">
        <v>44886</v>
      </c>
      <c r="E95" s="959" t="s">
        <v>13005</v>
      </c>
      <c r="F95" s="758" t="s">
        <v>13197</v>
      </c>
      <c r="G95" s="758" t="s">
        <v>13105</v>
      </c>
      <c r="H95" s="960"/>
      <c r="I95" s="1006">
        <v>15000000</v>
      </c>
      <c r="J95" s="958"/>
      <c r="K95" s="1006">
        <v>1650000</v>
      </c>
      <c r="L95" s="960"/>
      <c r="M95" s="963">
        <f t="shared" si="18"/>
        <v>23761670</v>
      </c>
      <c r="N95" s="964"/>
      <c r="O95" s="963"/>
      <c r="P95" s="963">
        <f t="shared" si="19"/>
        <v>23761670</v>
      </c>
      <c r="Q95" s="980"/>
      <c r="R95" s="971">
        <v>44866</v>
      </c>
      <c r="S95" s="972"/>
      <c r="T95" s="972"/>
      <c r="U95" s="973"/>
      <c r="V95" s="974"/>
      <c r="W95" s="758"/>
      <c r="X95" s="759"/>
      <c r="Y95" s="944"/>
      <c r="Z95" s="968"/>
      <c r="AA95" s="969"/>
      <c r="AB95" s="969"/>
      <c r="AC95" s="986"/>
      <c r="AD95" s="986"/>
      <c r="AE95" s="986"/>
      <c r="AF95" s="986"/>
      <c r="AG95" s="968"/>
      <c r="AH95" s="988"/>
      <c r="AI95" s="989"/>
      <c r="AJ95" s="944"/>
      <c r="AK95" s="958">
        <f t="shared" ref="AK95:AL110" si="24">IF(K95&gt;0,K95/10%,0)</f>
        <v>16500000</v>
      </c>
      <c r="AL95" s="958">
        <f t="shared" si="24"/>
        <v>0</v>
      </c>
      <c r="AM95" s="958">
        <f t="shared" si="20"/>
        <v>0</v>
      </c>
      <c r="AN95" s="991">
        <f t="shared" si="22"/>
        <v>1500000</v>
      </c>
      <c r="AO95" s="944"/>
      <c r="AP95" s="944"/>
      <c r="AQ95" s="944"/>
    </row>
    <row r="96" ht="15" customHeight="1" spans="1:43">
      <c r="A96" s="943">
        <f t="shared" si="16"/>
        <v>11</v>
      </c>
      <c r="B96" s="956">
        <v>85</v>
      </c>
      <c r="C96" s="758" t="s">
        <v>13110</v>
      </c>
      <c r="D96" s="759">
        <v>44893</v>
      </c>
      <c r="E96" s="959" t="s">
        <v>13008</v>
      </c>
      <c r="F96" s="758" t="s">
        <v>13198</v>
      </c>
      <c r="G96" s="758" t="s">
        <v>13105</v>
      </c>
      <c r="H96" s="960"/>
      <c r="I96" s="1006">
        <v>47200000</v>
      </c>
      <c r="J96" s="958"/>
      <c r="K96" s="1006">
        <v>5192000</v>
      </c>
      <c r="L96" s="960"/>
      <c r="M96" s="963">
        <f t="shared" si="18"/>
        <v>28953670</v>
      </c>
      <c r="N96" s="964"/>
      <c r="O96" s="963"/>
      <c r="P96" s="963">
        <f t="shared" si="19"/>
        <v>28953670</v>
      </c>
      <c r="Q96" s="980"/>
      <c r="R96" s="971">
        <v>44866</v>
      </c>
      <c r="S96" s="972"/>
      <c r="T96" s="972"/>
      <c r="U96" s="973"/>
      <c r="V96" s="974"/>
      <c r="W96" s="758"/>
      <c r="X96" s="759"/>
      <c r="Y96" s="944"/>
      <c r="Z96" s="968"/>
      <c r="AA96" s="969"/>
      <c r="AB96" s="969"/>
      <c r="AC96" s="986">
        <f t="shared" ref="AC96:AC97" si="25">+I96*2%</f>
        <v>944000</v>
      </c>
      <c r="AD96" s="986"/>
      <c r="AE96" s="986"/>
      <c r="AF96" s="986"/>
      <c r="AG96" s="968"/>
      <c r="AH96" s="988"/>
      <c r="AI96" s="989"/>
      <c r="AJ96" s="944"/>
      <c r="AK96" s="958">
        <f t="shared" si="24"/>
        <v>51920000</v>
      </c>
      <c r="AL96" s="958">
        <f t="shared" si="24"/>
        <v>0</v>
      </c>
      <c r="AM96" s="958">
        <f t="shared" si="20"/>
        <v>0</v>
      </c>
      <c r="AN96" s="991">
        <f t="shared" si="22"/>
        <v>4720000</v>
      </c>
      <c r="AO96" s="944"/>
      <c r="AP96" s="944"/>
      <c r="AQ96" s="944"/>
    </row>
    <row r="97" ht="15" customHeight="1" spans="1:43">
      <c r="A97" s="943">
        <f t="shared" si="16"/>
        <v>11</v>
      </c>
      <c r="B97" s="956">
        <v>86</v>
      </c>
      <c r="C97" s="758" t="s">
        <v>13110</v>
      </c>
      <c r="D97" s="759">
        <v>44893</v>
      </c>
      <c r="E97" s="959" t="s">
        <v>13008</v>
      </c>
      <c r="F97" s="758" t="s">
        <v>13199</v>
      </c>
      <c r="G97" s="758" t="s">
        <v>13105</v>
      </c>
      <c r="H97" s="960"/>
      <c r="I97" s="1006">
        <v>40800000</v>
      </c>
      <c r="J97" s="958"/>
      <c r="K97" s="1006">
        <v>4488000</v>
      </c>
      <c r="L97" s="960"/>
      <c r="M97" s="963">
        <f t="shared" si="18"/>
        <v>33441670</v>
      </c>
      <c r="N97" s="964"/>
      <c r="O97" s="837">
        <v>33441670</v>
      </c>
      <c r="P97" s="963">
        <f t="shared" si="19"/>
        <v>0</v>
      </c>
      <c r="Q97" s="980"/>
      <c r="R97" s="862">
        <v>44866</v>
      </c>
      <c r="S97" s="972"/>
      <c r="T97" s="972"/>
      <c r="U97" s="973"/>
      <c r="V97" s="974"/>
      <c r="W97" s="758"/>
      <c r="X97" s="759"/>
      <c r="Y97" s="944"/>
      <c r="Z97" s="968"/>
      <c r="AA97" s="969"/>
      <c r="AB97" s="969"/>
      <c r="AC97" s="986">
        <f t="shared" si="25"/>
        <v>816000</v>
      </c>
      <c r="AD97" s="986"/>
      <c r="AE97" s="986"/>
      <c r="AF97" s="986"/>
      <c r="AG97" s="968"/>
      <c r="AH97" s="988"/>
      <c r="AI97" s="989"/>
      <c r="AJ97" s="944"/>
      <c r="AK97" s="958">
        <f t="shared" si="24"/>
        <v>44880000</v>
      </c>
      <c r="AL97" s="958">
        <f t="shared" si="24"/>
        <v>0</v>
      </c>
      <c r="AM97" s="958">
        <f t="shared" si="20"/>
        <v>0</v>
      </c>
      <c r="AN97" s="991">
        <f t="shared" si="22"/>
        <v>4080000</v>
      </c>
      <c r="AO97" s="944"/>
      <c r="AP97" s="944"/>
      <c r="AQ97" s="944"/>
    </row>
    <row r="98" s="945" customFormat="1" ht="15" hidden="1" customHeight="1" spans="1:43">
      <c r="A98" s="943">
        <f t="shared" si="16"/>
        <v>12</v>
      </c>
      <c r="B98" s="956">
        <v>87</v>
      </c>
      <c r="C98" s="758" t="s">
        <v>13119</v>
      </c>
      <c r="D98" s="759">
        <v>44897</v>
      </c>
      <c r="E98" s="959" t="s">
        <v>1239</v>
      </c>
      <c r="F98" s="758" t="s">
        <v>13200</v>
      </c>
      <c r="G98" s="758" t="s">
        <v>13105</v>
      </c>
      <c r="H98" s="960"/>
      <c r="I98" s="1006">
        <v>48927600</v>
      </c>
      <c r="J98" s="958"/>
      <c r="K98" s="1006">
        <v>5382036</v>
      </c>
      <c r="L98" s="960"/>
      <c r="M98" s="963">
        <f t="shared" si="18"/>
        <v>5382036</v>
      </c>
      <c r="N98" s="964"/>
      <c r="O98" s="963"/>
      <c r="P98" s="963">
        <f t="shared" si="19"/>
        <v>5382036</v>
      </c>
      <c r="Q98" s="980"/>
      <c r="R98" s="971">
        <v>44896</v>
      </c>
      <c r="S98" s="972"/>
      <c r="T98" s="972"/>
      <c r="U98" s="973"/>
      <c r="V98" s="974"/>
      <c r="W98" s="758"/>
      <c r="X98" s="759"/>
      <c r="Y98" s="944"/>
      <c r="Z98" s="968"/>
      <c r="AA98" s="969"/>
      <c r="AB98" s="969"/>
      <c r="AC98" s="986"/>
      <c r="AD98" s="986"/>
      <c r="AE98" s="986"/>
      <c r="AF98" s="986"/>
      <c r="AG98" s="968"/>
      <c r="AH98" s="988"/>
      <c r="AI98" s="989"/>
      <c r="AJ98" s="944"/>
      <c r="AK98" s="958">
        <f t="shared" si="24"/>
        <v>53820360</v>
      </c>
      <c r="AL98" s="958">
        <f t="shared" si="24"/>
        <v>0</v>
      </c>
      <c r="AM98" s="958">
        <f t="shared" si="20"/>
        <v>0</v>
      </c>
      <c r="AN98" s="992">
        <f t="shared" si="22"/>
        <v>4892760</v>
      </c>
      <c r="AO98" s="944"/>
      <c r="AP98" s="944"/>
      <c r="AQ98" s="944"/>
    </row>
    <row r="99" s="944" customFormat="1" ht="15" customHeight="1" spans="1:40">
      <c r="A99" s="943">
        <f t="shared" si="16"/>
        <v>12</v>
      </c>
      <c r="B99" s="956">
        <v>88</v>
      </c>
      <c r="C99" s="758" t="s">
        <v>13110</v>
      </c>
      <c r="D99" s="759">
        <v>44903</v>
      </c>
      <c r="E99" s="959" t="s">
        <v>13008</v>
      </c>
      <c r="F99" s="758" t="s">
        <v>13201</v>
      </c>
      <c r="G99" s="758" t="s">
        <v>13105</v>
      </c>
      <c r="H99" s="960"/>
      <c r="I99" s="778">
        <v>55000000</v>
      </c>
      <c r="J99" s="958"/>
      <c r="K99" s="1006">
        <v>6050000</v>
      </c>
      <c r="L99" s="960"/>
      <c r="M99" s="963">
        <f t="shared" si="18"/>
        <v>11432036</v>
      </c>
      <c r="N99" s="964"/>
      <c r="O99" s="963"/>
      <c r="P99" s="963">
        <f t="shared" si="19"/>
        <v>11432036</v>
      </c>
      <c r="Q99" s="980"/>
      <c r="R99" s="971">
        <v>44896</v>
      </c>
      <c r="S99" s="972"/>
      <c r="T99" s="972"/>
      <c r="U99" s="973"/>
      <c r="V99" s="974"/>
      <c r="W99" s="758"/>
      <c r="X99" s="759"/>
      <c r="Z99" s="968"/>
      <c r="AA99" s="969"/>
      <c r="AB99" s="969"/>
      <c r="AC99" s="986">
        <f t="shared" ref="AC99:AC101" si="26">+I99*2%</f>
        <v>1100000</v>
      </c>
      <c r="AD99" s="986"/>
      <c r="AE99" s="986"/>
      <c r="AF99" s="986"/>
      <c r="AG99" s="968"/>
      <c r="AH99" s="988"/>
      <c r="AI99" s="989"/>
      <c r="AK99" s="958">
        <f t="shared" si="24"/>
        <v>60500000</v>
      </c>
      <c r="AL99" s="958">
        <f t="shared" si="24"/>
        <v>0</v>
      </c>
      <c r="AM99" s="958">
        <f t="shared" si="20"/>
        <v>0</v>
      </c>
      <c r="AN99" s="992">
        <f t="shared" si="22"/>
        <v>5500000</v>
      </c>
    </row>
    <row r="100" s="945" customFormat="1" ht="15" customHeight="1" spans="1:43">
      <c r="A100" s="943">
        <f t="shared" si="16"/>
        <v>12</v>
      </c>
      <c r="B100" s="956">
        <v>89</v>
      </c>
      <c r="C100" s="758" t="s">
        <v>13110</v>
      </c>
      <c r="D100" s="759">
        <v>44903</v>
      </c>
      <c r="E100" s="959" t="s">
        <v>13008</v>
      </c>
      <c r="F100" s="758" t="s">
        <v>13202</v>
      </c>
      <c r="G100" s="758" t="s">
        <v>13105</v>
      </c>
      <c r="H100" s="960"/>
      <c r="I100" s="1006">
        <v>13000000</v>
      </c>
      <c r="J100" s="958"/>
      <c r="K100" s="1006">
        <v>1430000</v>
      </c>
      <c r="L100" s="960"/>
      <c r="M100" s="963">
        <f t="shared" si="18"/>
        <v>12862036</v>
      </c>
      <c r="N100" s="964"/>
      <c r="O100" s="963"/>
      <c r="P100" s="963">
        <f t="shared" si="19"/>
        <v>12862036</v>
      </c>
      <c r="Q100" s="980"/>
      <c r="R100" s="971">
        <v>44896</v>
      </c>
      <c r="S100" s="972"/>
      <c r="T100" s="972"/>
      <c r="U100" s="973"/>
      <c r="V100" s="974"/>
      <c r="W100" s="758"/>
      <c r="X100" s="759"/>
      <c r="Y100" s="944"/>
      <c r="Z100" s="968"/>
      <c r="AA100" s="969"/>
      <c r="AB100" s="969"/>
      <c r="AC100" s="986">
        <f t="shared" si="26"/>
        <v>260000</v>
      </c>
      <c r="AD100" s="986"/>
      <c r="AE100" s="986"/>
      <c r="AF100" s="986"/>
      <c r="AG100" s="968"/>
      <c r="AH100" s="988"/>
      <c r="AI100" s="989"/>
      <c r="AJ100" s="944"/>
      <c r="AK100" s="958">
        <f t="shared" si="24"/>
        <v>14300000</v>
      </c>
      <c r="AL100" s="958">
        <f t="shared" si="24"/>
        <v>0</v>
      </c>
      <c r="AM100" s="958">
        <f t="shared" si="20"/>
        <v>0</v>
      </c>
      <c r="AN100" s="992">
        <f t="shared" si="22"/>
        <v>1300000</v>
      </c>
      <c r="AO100" s="944"/>
      <c r="AP100" s="944"/>
      <c r="AQ100" s="944"/>
    </row>
    <row r="101" s="944" customFormat="1" ht="15" customHeight="1" spans="1:40">
      <c r="A101" s="943">
        <f t="shared" si="16"/>
        <v>12</v>
      </c>
      <c r="B101" s="956">
        <v>90</v>
      </c>
      <c r="C101" s="758" t="s">
        <v>13110</v>
      </c>
      <c r="D101" s="759">
        <v>44903</v>
      </c>
      <c r="E101" s="959" t="s">
        <v>13008</v>
      </c>
      <c r="F101" s="758" t="s">
        <v>13203</v>
      </c>
      <c r="G101" s="758" t="s">
        <v>13105</v>
      </c>
      <c r="H101" s="960"/>
      <c r="I101" s="778">
        <v>44000000</v>
      </c>
      <c r="J101" s="958"/>
      <c r="K101" s="1006">
        <v>4840000</v>
      </c>
      <c r="L101" s="960"/>
      <c r="M101" s="963">
        <f t="shared" si="18"/>
        <v>17702036</v>
      </c>
      <c r="N101" s="964"/>
      <c r="O101" s="963"/>
      <c r="P101" s="963">
        <f t="shared" si="19"/>
        <v>17702036</v>
      </c>
      <c r="Q101" s="980"/>
      <c r="R101" s="971">
        <v>44896</v>
      </c>
      <c r="S101" s="972"/>
      <c r="T101" s="972"/>
      <c r="U101" s="973"/>
      <c r="V101" s="974"/>
      <c r="W101" s="758"/>
      <c r="X101" s="759"/>
      <c r="Z101" s="968"/>
      <c r="AA101" s="969"/>
      <c r="AB101" s="969"/>
      <c r="AC101" s="986">
        <f t="shared" si="26"/>
        <v>880000</v>
      </c>
      <c r="AD101" s="986"/>
      <c r="AE101" s="986"/>
      <c r="AF101" s="986"/>
      <c r="AG101" s="968"/>
      <c r="AH101" s="988"/>
      <c r="AI101" s="989"/>
      <c r="AK101" s="958">
        <f t="shared" si="24"/>
        <v>48400000</v>
      </c>
      <c r="AL101" s="958">
        <f t="shared" si="24"/>
        <v>0</v>
      </c>
      <c r="AM101" s="958">
        <f t="shared" si="20"/>
        <v>0</v>
      </c>
      <c r="AN101" s="992">
        <f t="shared" si="22"/>
        <v>4400000</v>
      </c>
    </row>
    <row r="102" s="945" customFormat="1" ht="15" hidden="1" customHeight="1" spans="1:43">
      <c r="A102" s="943">
        <f t="shared" si="16"/>
        <v>12</v>
      </c>
      <c r="B102" s="956">
        <v>91</v>
      </c>
      <c r="C102" s="758" t="s">
        <v>13194</v>
      </c>
      <c r="D102" s="759">
        <v>44907</v>
      </c>
      <c r="E102" s="959" t="s">
        <v>13014</v>
      </c>
      <c r="F102" s="758" t="s">
        <v>13204</v>
      </c>
      <c r="G102" s="758" t="s">
        <v>13105</v>
      </c>
      <c r="H102" s="960"/>
      <c r="I102" s="960">
        <v>46600729</v>
      </c>
      <c r="J102" s="958"/>
      <c r="K102" s="960">
        <v>5126080</v>
      </c>
      <c r="L102" s="960"/>
      <c r="M102" s="963">
        <f t="shared" si="18"/>
        <v>22828116</v>
      </c>
      <c r="N102" s="964"/>
      <c r="O102" s="963"/>
      <c r="P102" s="963">
        <f t="shared" si="19"/>
        <v>22828116</v>
      </c>
      <c r="Q102" s="980"/>
      <c r="R102" s="971">
        <v>44896</v>
      </c>
      <c r="S102" s="972"/>
      <c r="T102" s="972"/>
      <c r="U102" s="973"/>
      <c r="V102" s="974"/>
      <c r="W102" s="758"/>
      <c r="X102" s="759"/>
      <c r="Y102" s="944"/>
      <c r="Z102" s="968"/>
      <c r="AA102" s="969"/>
      <c r="AB102" s="969"/>
      <c r="AC102" s="986"/>
      <c r="AD102" s="986"/>
      <c r="AE102" s="986"/>
      <c r="AF102" s="986"/>
      <c r="AG102" s="968"/>
      <c r="AH102" s="988"/>
      <c r="AI102" s="989"/>
      <c r="AJ102" s="944"/>
      <c r="AK102" s="958">
        <f t="shared" si="24"/>
        <v>51260800</v>
      </c>
      <c r="AL102" s="958">
        <f t="shared" si="24"/>
        <v>0</v>
      </c>
      <c r="AM102" s="958">
        <f t="shared" si="20"/>
        <v>0</v>
      </c>
      <c r="AN102" s="992">
        <f t="shared" si="22"/>
        <v>4660071</v>
      </c>
      <c r="AO102" s="944"/>
      <c r="AP102" s="944"/>
      <c r="AQ102" s="944"/>
    </row>
    <row r="103" s="944" customFormat="1" ht="15" hidden="1" customHeight="1" spans="1:40">
      <c r="A103" s="943">
        <f t="shared" si="16"/>
        <v>12</v>
      </c>
      <c r="B103" s="956">
        <v>92</v>
      </c>
      <c r="C103" s="758" t="s">
        <v>13119</v>
      </c>
      <c r="D103" s="759">
        <v>44909</v>
      </c>
      <c r="E103" s="959" t="s">
        <v>1239</v>
      </c>
      <c r="F103" s="758" t="s">
        <v>13205</v>
      </c>
      <c r="G103" s="758" t="s">
        <v>13105</v>
      </c>
      <c r="H103" s="960"/>
      <c r="I103" s="779">
        <v>209000000</v>
      </c>
      <c r="J103" s="958"/>
      <c r="K103" s="960">
        <v>22990000</v>
      </c>
      <c r="L103" s="960"/>
      <c r="M103" s="963">
        <f t="shared" si="18"/>
        <v>45818116</v>
      </c>
      <c r="N103" s="964"/>
      <c r="O103" s="963"/>
      <c r="P103" s="963">
        <f t="shared" si="19"/>
        <v>45818116</v>
      </c>
      <c r="Q103" s="980"/>
      <c r="R103" s="971">
        <v>44896</v>
      </c>
      <c r="S103" s="972"/>
      <c r="T103" s="972"/>
      <c r="U103" s="973"/>
      <c r="V103" s="974"/>
      <c r="W103" s="758"/>
      <c r="X103" s="759"/>
      <c r="Z103" s="968"/>
      <c r="AA103" s="969"/>
      <c r="AB103" s="969"/>
      <c r="AC103" s="986"/>
      <c r="AD103" s="986"/>
      <c r="AE103" s="986"/>
      <c r="AF103" s="986"/>
      <c r="AG103" s="968"/>
      <c r="AH103" s="988"/>
      <c r="AI103" s="989"/>
      <c r="AK103" s="958">
        <f t="shared" si="24"/>
        <v>229900000</v>
      </c>
      <c r="AL103" s="958">
        <f t="shared" si="24"/>
        <v>0</v>
      </c>
      <c r="AM103" s="958">
        <f t="shared" si="20"/>
        <v>0</v>
      </c>
      <c r="AN103" s="992">
        <f t="shared" si="22"/>
        <v>20900000</v>
      </c>
    </row>
    <row r="104" s="945" customFormat="1" ht="15" hidden="1" customHeight="1" spans="1:43">
      <c r="A104" s="943">
        <f t="shared" si="16"/>
        <v>12</v>
      </c>
      <c r="B104" s="956">
        <v>93</v>
      </c>
      <c r="C104" s="758" t="s">
        <v>13119</v>
      </c>
      <c r="D104" s="759">
        <v>44909</v>
      </c>
      <c r="E104" s="959" t="s">
        <v>1239</v>
      </c>
      <c r="F104" s="758" t="s">
        <v>13206</v>
      </c>
      <c r="G104" s="758" t="s">
        <v>13105</v>
      </c>
      <c r="H104" s="960"/>
      <c r="I104" s="960">
        <v>39400000</v>
      </c>
      <c r="J104" s="958"/>
      <c r="K104" s="960">
        <v>4334000</v>
      </c>
      <c r="L104" s="960"/>
      <c r="M104" s="963">
        <f t="shared" si="18"/>
        <v>50152116</v>
      </c>
      <c r="N104" s="964"/>
      <c r="O104" s="963"/>
      <c r="P104" s="963">
        <f t="shared" si="19"/>
        <v>50152116</v>
      </c>
      <c r="Q104" s="980"/>
      <c r="R104" s="971">
        <v>44896</v>
      </c>
      <c r="S104" s="972"/>
      <c r="T104" s="972"/>
      <c r="U104" s="973"/>
      <c r="V104" s="974"/>
      <c r="W104" s="758"/>
      <c r="X104" s="759"/>
      <c r="Y104" s="944"/>
      <c r="Z104" s="968"/>
      <c r="AA104" s="969"/>
      <c r="AB104" s="969"/>
      <c r="AC104" s="986"/>
      <c r="AD104" s="986"/>
      <c r="AE104" s="986"/>
      <c r="AF104" s="986"/>
      <c r="AG104" s="968"/>
      <c r="AH104" s="988"/>
      <c r="AI104" s="989"/>
      <c r="AJ104" s="944"/>
      <c r="AK104" s="958">
        <f t="shared" si="24"/>
        <v>43340000</v>
      </c>
      <c r="AL104" s="958">
        <f t="shared" si="24"/>
        <v>0</v>
      </c>
      <c r="AM104" s="958">
        <f t="shared" si="20"/>
        <v>0</v>
      </c>
      <c r="AN104" s="992">
        <f t="shared" si="22"/>
        <v>3940000</v>
      </c>
      <c r="AO104" s="944"/>
      <c r="AP104" s="944"/>
      <c r="AQ104" s="944"/>
    </row>
    <row r="105" s="945" customFormat="1" ht="15" hidden="1" customHeight="1" spans="1:43">
      <c r="A105" s="943">
        <f t="shared" si="16"/>
        <v>12</v>
      </c>
      <c r="B105" s="956">
        <v>94</v>
      </c>
      <c r="C105" s="758" t="s">
        <v>13119</v>
      </c>
      <c r="D105" s="759">
        <v>44909</v>
      </c>
      <c r="E105" s="959" t="s">
        <v>1239</v>
      </c>
      <c r="F105" s="758" t="s">
        <v>13207</v>
      </c>
      <c r="G105" s="758" t="s">
        <v>13105</v>
      </c>
      <c r="H105" s="960"/>
      <c r="I105" s="960">
        <v>15000000</v>
      </c>
      <c r="J105" s="958"/>
      <c r="K105" s="960">
        <v>1650000</v>
      </c>
      <c r="L105" s="960"/>
      <c r="M105" s="963">
        <f t="shared" si="18"/>
        <v>51802116</v>
      </c>
      <c r="N105" s="964"/>
      <c r="O105" s="963"/>
      <c r="P105" s="963">
        <f t="shared" si="19"/>
        <v>51802116</v>
      </c>
      <c r="Q105" s="980"/>
      <c r="R105" s="971">
        <v>44896</v>
      </c>
      <c r="S105" s="972"/>
      <c r="T105" s="972"/>
      <c r="U105" s="973"/>
      <c r="V105" s="974"/>
      <c r="W105" s="758"/>
      <c r="X105" s="759"/>
      <c r="Y105" s="944"/>
      <c r="Z105" s="968"/>
      <c r="AA105" s="969"/>
      <c r="AB105" s="969"/>
      <c r="AC105" s="986"/>
      <c r="AD105" s="986"/>
      <c r="AE105" s="986"/>
      <c r="AF105" s="986"/>
      <c r="AG105" s="968"/>
      <c r="AH105" s="988"/>
      <c r="AI105" s="989"/>
      <c r="AJ105" s="944"/>
      <c r="AK105" s="958">
        <f t="shared" si="24"/>
        <v>16500000</v>
      </c>
      <c r="AL105" s="958">
        <f t="shared" si="24"/>
        <v>0</v>
      </c>
      <c r="AM105" s="958">
        <f t="shared" si="20"/>
        <v>0</v>
      </c>
      <c r="AN105" s="992">
        <f t="shared" si="22"/>
        <v>1500000</v>
      </c>
      <c r="AO105" s="944"/>
      <c r="AP105" s="944"/>
      <c r="AQ105" s="944"/>
    </row>
    <row r="106" s="945" customFormat="1" ht="15" hidden="1" customHeight="1" spans="1:43">
      <c r="A106" s="943">
        <f t="shared" si="16"/>
        <v>12</v>
      </c>
      <c r="B106" s="956">
        <v>95</v>
      </c>
      <c r="C106" s="758" t="s">
        <v>13119</v>
      </c>
      <c r="D106" s="759">
        <v>44909</v>
      </c>
      <c r="E106" s="959" t="s">
        <v>1239</v>
      </c>
      <c r="F106" s="758" t="s">
        <v>13208</v>
      </c>
      <c r="G106" s="758" t="s">
        <v>13105</v>
      </c>
      <c r="H106" s="960"/>
      <c r="I106" s="1006">
        <v>7500000</v>
      </c>
      <c r="J106" s="958"/>
      <c r="K106" s="1006">
        <v>825000</v>
      </c>
      <c r="L106" s="1006"/>
      <c r="M106" s="963">
        <f t="shared" si="18"/>
        <v>52627116</v>
      </c>
      <c r="N106" s="964"/>
      <c r="O106" s="963"/>
      <c r="P106" s="963">
        <f t="shared" si="19"/>
        <v>52627116</v>
      </c>
      <c r="Q106" s="980"/>
      <c r="R106" s="971">
        <v>44896</v>
      </c>
      <c r="S106" s="972"/>
      <c r="T106" s="972"/>
      <c r="U106" s="973"/>
      <c r="V106" s="974"/>
      <c r="W106" s="758"/>
      <c r="X106" s="759"/>
      <c r="Y106" s="944"/>
      <c r="Z106" s="968"/>
      <c r="AA106" s="969"/>
      <c r="AB106" s="969"/>
      <c r="AC106" s="986"/>
      <c r="AD106" s="986"/>
      <c r="AE106" s="986"/>
      <c r="AF106" s="986"/>
      <c r="AG106" s="968"/>
      <c r="AH106" s="988"/>
      <c r="AI106" s="989"/>
      <c r="AJ106" s="944"/>
      <c r="AK106" s="958">
        <f t="shared" si="24"/>
        <v>8250000</v>
      </c>
      <c r="AL106" s="958">
        <f t="shared" si="24"/>
        <v>0</v>
      </c>
      <c r="AM106" s="958">
        <f t="shared" si="20"/>
        <v>0</v>
      </c>
      <c r="AN106" s="992">
        <f t="shared" si="22"/>
        <v>750000</v>
      </c>
      <c r="AO106" s="944"/>
      <c r="AP106" s="944"/>
      <c r="AQ106" s="944"/>
    </row>
    <row r="107" s="945" customFormat="1" ht="15" hidden="1" customHeight="1" spans="1:43">
      <c r="A107" s="943">
        <f t="shared" si="16"/>
        <v>12</v>
      </c>
      <c r="B107" s="956">
        <v>96</v>
      </c>
      <c r="C107" s="758" t="s">
        <v>13116</v>
      </c>
      <c r="D107" s="759">
        <v>44915</v>
      </c>
      <c r="E107" s="959" t="s">
        <v>13005</v>
      </c>
      <c r="F107" s="758" t="s">
        <v>13209</v>
      </c>
      <c r="G107" s="758" t="s">
        <v>13105</v>
      </c>
      <c r="H107" s="960"/>
      <c r="I107" s="1006">
        <v>28662000</v>
      </c>
      <c r="J107" s="958"/>
      <c r="K107" s="1006">
        <v>3152820</v>
      </c>
      <c r="L107" s="960"/>
      <c r="M107" s="963">
        <f t="shared" si="18"/>
        <v>55779936</v>
      </c>
      <c r="N107" s="964"/>
      <c r="O107" s="963"/>
      <c r="P107" s="963">
        <f t="shared" si="19"/>
        <v>55779936</v>
      </c>
      <c r="Q107" s="980"/>
      <c r="R107" s="971">
        <v>44896</v>
      </c>
      <c r="S107" s="972"/>
      <c r="T107" s="972"/>
      <c r="U107" s="973"/>
      <c r="V107" s="974"/>
      <c r="W107" s="758"/>
      <c r="X107" s="759"/>
      <c r="Y107" s="944"/>
      <c r="Z107" s="968"/>
      <c r="AA107" s="969"/>
      <c r="AB107" s="969"/>
      <c r="AC107" s="986"/>
      <c r="AD107" s="986"/>
      <c r="AE107" s="986"/>
      <c r="AF107" s="986"/>
      <c r="AG107" s="968"/>
      <c r="AH107" s="988"/>
      <c r="AI107" s="989"/>
      <c r="AJ107" s="944"/>
      <c r="AK107" s="958">
        <f t="shared" si="24"/>
        <v>31528200</v>
      </c>
      <c r="AL107" s="958">
        <f t="shared" si="24"/>
        <v>0</v>
      </c>
      <c r="AM107" s="958">
        <f t="shared" si="20"/>
        <v>0</v>
      </c>
      <c r="AN107" s="992">
        <f t="shared" si="22"/>
        <v>2866200</v>
      </c>
      <c r="AO107" s="944"/>
      <c r="AP107" s="944"/>
      <c r="AQ107" s="944"/>
    </row>
    <row r="108" s="945" customFormat="1" ht="15" hidden="1" customHeight="1" spans="1:43">
      <c r="A108" s="943">
        <f t="shared" si="16"/>
        <v>12</v>
      </c>
      <c r="B108" s="956">
        <v>97</v>
      </c>
      <c r="C108" s="758" t="s">
        <v>13116</v>
      </c>
      <c r="D108" s="759">
        <v>44915</v>
      </c>
      <c r="E108" s="959" t="s">
        <v>13005</v>
      </c>
      <c r="F108" s="758" t="s">
        <v>13210</v>
      </c>
      <c r="G108" s="758" t="s">
        <v>13105</v>
      </c>
      <c r="H108" s="960"/>
      <c r="I108" s="1006">
        <v>15000000</v>
      </c>
      <c r="J108" s="958"/>
      <c r="K108" s="1006">
        <v>1650000</v>
      </c>
      <c r="L108" s="960"/>
      <c r="M108" s="963">
        <f t="shared" si="18"/>
        <v>57429936</v>
      </c>
      <c r="N108" s="964"/>
      <c r="O108" s="963">
        <v>57429936</v>
      </c>
      <c r="P108" s="963">
        <f t="shared" si="19"/>
        <v>0</v>
      </c>
      <c r="Q108" s="980"/>
      <c r="R108" s="971">
        <v>44896</v>
      </c>
      <c r="S108" s="972"/>
      <c r="T108" s="972"/>
      <c r="U108" s="973"/>
      <c r="V108" s="974"/>
      <c r="W108" s="758"/>
      <c r="X108" s="759"/>
      <c r="Y108" s="944"/>
      <c r="Z108" s="968"/>
      <c r="AA108" s="969"/>
      <c r="AB108" s="969"/>
      <c r="AC108" s="986"/>
      <c r="AD108" s="986"/>
      <c r="AE108" s="986"/>
      <c r="AF108" s="986"/>
      <c r="AG108" s="968"/>
      <c r="AH108" s="988"/>
      <c r="AI108" s="989"/>
      <c r="AJ108" s="944"/>
      <c r="AK108" s="958">
        <f t="shared" si="24"/>
        <v>16500000</v>
      </c>
      <c r="AL108" s="958">
        <f t="shared" si="24"/>
        <v>0</v>
      </c>
      <c r="AM108" s="958">
        <f t="shared" si="20"/>
        <v>0</v>
      </c>
      <c r="AN108" s="992">
        <f t="shared" si="22"/>
        <v>1500000</v>
      </c>
      <c r="AO108" s="944"/>
      <c r="AP108" s="944"/>
      <c r="AQ108" s="944"/>
    </row>
    <row r="109" ht="15" hidden="1" customHeight="1" spans="1:43">
      <c r="A109" s="944"/>
      <c r="B109" s="956"/>
      <c r="C109" s="758"/>
      <c r="D109" s="759"/>
      <c r="E109" s="959"/>
      <c r="F109" s="758"/>
      <c r="G109" s="758"/>
      <c r="H109" s="958"/>
      <c r="I109" s="958"/>
      <c r="J109" s="958"/>
      <c r="K109" s="958"/>
      <c r="L109" s="958"/>
      <c r="M109" s="963"/>
      <c r="N109" s="964"/>
      <c r="O109" s="1007"/>
      <c r="P109" s="963"/>
      <c r="Q109" s="975"/>
      <c r="R109" s="971"/>
      <c r="S109" s="972"/>
      <c r="T109" s="972"/>
      <c r="U109" s="973"/>
      <c r="V109" s="974"/>
      <c r="W109" s="758"/>
      <c r="X109" s="759"/>
      <c r="Y109" s="944"/>
      <c r="Z109" s="968"/>
      <c r="AA109" s="969"/>
      <c r="AB109" s="969"/>
      <c r="AC109" s="986"/>
      <c r="AD109" s="986"/>
      <c r="AE109" s="986"/>
      <c r="AF109" s="986"/>
      <c r="AG109" s="968"/>
      <c r="AH109" s="988"/>
      <c r="AI109" s="989"/>
      <c r="AJ109" s="944"/>
      <c r="AK109" s="958">
        <f t="shared" si="24"/>
        <v>0</v>
      </c>
      <c r="AL109" s="958">
        <f t="shared" si="24"/>
        <v>0</v>
      </c>
      <c r="AM109" s="958">
        <f t="shared" si="20"/>
        <v>0</v>
      </c>
      <c r="AN109" s="991">
        <f t="shared" si="22"/>
        <v>0</v>
      </c>
      <c r="AO109" s="944"/>
      <c r="AP109" s="944"/>
      <c r="AQ109" s="944"/>
    </row>
    <row r="110" ht="15" hidden="1" customHeight="1" spans="1:43">
      <c r="A110" s="944"/>
      <c r="B110" s="956"/>
      <c r="C110" s="758"/>
      <c r="D110" s="759"/>
      <c r="E110" s="959"/>
      <c r="F110" s="758"/>
      <c r="G110" s="758"/>
      <c r="H110" s="958"/>
      <c r="I110" s="958"/>
      <c r="J110" s="958"/>
      <c r="K110" s="958"/>
      <c r="L110" s="958"/>
      <c r="M110" s="963"/>
      <c r="N110" s="964"/>
      <c r="O110" s="1007"/>
      <c r="P110" s="963"/>
      <c r="Q110" s="975"/>
      <c r="R110" s="971"/>
      <c r="S110" s="972"/>
      <c r="T110" s="972"/>
      <c r="U110" s="973"/>
      <c r="V110" s="974"/>
      <c r="W110" s="758"/>
      <c r="X110" s="759"/>
      <c r="Y110" s="944"/>
      <c r="Z110" s="968"/>
      <c r="AA110" s="969"/>
      <c r="AB110" s="969"/>
      <c r="AC110" s="986"/>
      <c r="AD110" s="986"/>
      <c r="AE110" s="986"/>
      <c r="AF110" s="986"/>
      <c r="AG110" s="968"/>
      <c r="AH110" s="988"/>
      <c r="AI110" s="989"/>
      <c r="AJ110" s="944"/>
      <c r="AK110" s="958">
        <f t="shared" si="24"/>
        <v>0</v>
      </c>
      <c r="AL110" s="958">
        <f t="shared" si="24"/>
        <v>0</v>
      </c>
      <c r="AM110" s="958">
        <f t="shared" si="20"/>
        <v>0</v>
      </c>
      <c r="AN110" s="991">
        <f t="shared" si="22"/>
        <v>0</v>
      </c>
      <c r="AO110" s="944"/>
      <c r="AP110" s="944"/>
      <c r="AQ110" s="944"/>
    </row>
    <row r="111" ht="13.8" hidden="1" spans="1:43">
      <c r="A111" s="944"/>
      <c r="B111" s="959"/>
      <c r="C111" s="758"/>
      <c r="D111" s="759"/>
      <c r="E111" s="959"/>
      <c r="F111" s="758"/>
      <c r="G111" s="758"/>
      <c r="H111" s="958"/>
      <c r="I111" s="958"/>
      <c r="J111" s="958"/>
      <c r="K111" s="958"/>
      <c r="L111" s="958"/>
      <c r="M111" s="958"/>
      <c r="N111" s="958"/>
      <c r="O111" s="958"/>
      <c r="P111" s="1008"/>
      <c r="Q111" s="1015"/>
      <c r="R111" s="924"/>
      <c r="S111" s="924"/>
      <c r="T111" s="924"/>
      <c r="U111" s="973"/>
      <c r="V111" s="974"/>
      <c r="W111" s="758"/>
      <c r="X111" s="759"/>
      <c r="Y111" s="944"/>
      <c r="Z111" s="758"/>
      <c r="AA111" s="759"/>
      <c r="AB111" s="960"/>
      <c r="AC111" s="1016"/>
      <c r="AD111" s="1016"/>
      <c r="AE111" s="1016"/>
      <c r="AF111" s="1016"/>
      <c r="AG111" s="758"/>
      <c r="AH111" s="1018"/>
      <c r="AI111" s="1019"/>
      <c r="AJ111" s="944"/>
      <c r="AK111" s="1020"/>
      <c r="AL111" s="1020"/>
      <c r="AM111" s="1020"/>
      <c r="AN111" s="1021"/>
      <c r="AO111" s="944"/>
      <c r="AP111" s="944"/>
      <c r="AQ111" s="944"/>
    </row>
    <row r="112" s="944" customFormat="1" ht="13.95" spans="3:40">
      <c r="C112" s="943"/>
      <c r="D112" s="994"/>
      <c r="F112" s="943"/>
      <c r="G112" s="943"/>
      <c r="H112" s="946"/>
      <c r="I112" s="946"/>
      <c r="J112" s="946"/>
      <c r="K112" s="946"/>
      <c r="L112" s="946"/>
      <c r="M112" s="946"/>
      <c r="N112" s="946"/>
      <c r="O112" s="946"/>
      <c r="P112" s="1009"/>
      <c r="R112" s="1009"/>
      <c r="S112" s="1009"/>
      <c r="T112" s="1009"/>
      <c r="U112" s="1009"/>
      <c r="V112" s="1009"/>
      <c r="X112" s="994"/>
      <c r="Z112" s="943"/>
      <c r="AA112" s="994"/>
      <c r="AB112" s="1017"/>
      <c r="AF112" s="994"/>
      <c r="AH112" s="1022"/>
      <c r="AI112" s="1022"/>
      <c r="AK112" s="946"/>
      <c r="AL112" s="946"/>
      <c r="AM112" s="946"/>
      <c r="AN112" s="1023"/>
    </row>
    <row r="113" s="944" customFormat="1" ht="13.95" spans="2:40">
      <c r="B113" s="995" t="s">
        <v>13211</v>
      </c>
      <c r="C113" s="996"/>
      <c r="D113" s="996"/>
      <c r="E113" s="996"/>
      <c r="F113" s="996"/>
      <c r="G113" s="997"/>
      <c r="H113" s="998">
        <f>SUBTOTAL(109,H12:H111)</f>
        <v>0</v>
      </c>
      <c r="I113" s="1010">
        <f>SUBTOTAL(109,I12:I111)</f>
        <v>1410023618</v>
      </c>
      <c r="J113" s="998">
        <f>SUBTOTAL(109,J12:J111)</f>
        <v>0</v>
      </c>
      <c r="K113" s="998">
        <f>SUBTOTAL(109,K12:K111)</f>
        <v>144867225</v>
      </c>
      <c r="L113" s="998">
        <f>SUBTOTAL(109,L12:L111)</f>
        <v>8567089</v>
      </c>
      <c r="M113" s="998">
        <f>+K113-J113</f>
        <v>144867225</v>
      </c>
      <c r="N113" s="998"/>
      <c r="O113" s="998">
        <f>SUBTOTAL(109,O12:O111)</f>
        <v>124801955</v>
      </c>
      <c r="P113" s="1011">
        <f>+M113-O113+P114</f>
        <v>20065270</v>
      </c>
      <c r="R113" s="1009"/>
      <c r="S113" s="1009"/>
      <c r="T113" s="1009"/>
      <c r="U113" s="1009"/>
      <c r="V113" s="1009"/>
      <c r="X113" s="994"/>
      <c r="Z113" s="943"/>
      <c r="AA113" s="994"/>
      <c r="AB113" s="1017"/>
      <c r="AC113" s="1011">
        <f>SUBTOTAL(9,AC13:AC112)</f>
        <v>28200472.36</v>
      </c>
      <c r="AD113" s="1011">
        <f>SUBTOTAL(9,AD13:AD112)</f>
        <v>0</v>
      </c>
      <c r="AE113" s="1011">
        <f>SUBTOTAL(9,AE13:AE112)</f>
        <v>0</v>
      </c>
      <c r="AF113" s="1011">
        <f>SUBTOTAL(9,AF13:AF112)</f>
        <v>0</v>
      </c>
      <c r="AH113" s="1022"/>
      <c r="AI113" s="1022"/>
      <c r="AK113" s="1024">
        <f>SUBTOTAL(9,AK10:AK112)</f>
        <v>1448672250</v>
      </c>
      <c r="AL113" s="1024" t="e">
        <f>SUBTOTAL(9,AL10:AL112)</f>
        <v>#REF!</v>
      </c>
      <c r="AM113" s="1024">
        <f>SUBTOTAL(9,AM10:AM112)</f>
        <v>0</v>
      </c>
      <c r="AN113" s="1025" t="e">
        <f>SUBTOTAL(9,AN10:AN112)</f>
        <v>#REF!</v>
      </c>
    </row>
    <row r="114" s="944" customFormat="1" ht="13.95" spans="2:40">
      <c r="B114" s="995" t="s">
        <v>13212</v>
      </c>
      <c r="C114" s="996"/>
      <c r="D114" s="996"/>
      <c r="E114" s="996"/>
      <c r="F114" s="996"/>
      <c r="G114" s="996"/>
      <c r="H114" s="910"/>
      <c r="I114" s="910">
        <f>SUM(H113:I113)</f>
        <v>1410023618</v>
      </c>
      <c r="J114" s="910"/>
      <c r="K114" s="910">
        <f>+K113-J113</f>
        <v>144867225</v>
      </c>
      <c r="L114" s="921"/>
      <c r="M114" s="921"/>
      <c r="N114" s="921"/>
      <c r="O114" s="921"/>
      <c r="P114" s="1011">
        <f>+P11</f>
        <v>0</v>
      </c>
      <c r="R114" s="1009"/>
      <c r="S114" s="1009"/>
      <c r="T114" s="1009"/>
      <c r="U114" s="1009"/>
      <c r="V114" s="1009"/>
      <c r="X114" s="994"/>
      <c r="Z114" s="968" t="s">
        <v>13213</v>
      </c>
      <c r="AA114" s="969">
        <v>44151</v>
      </c>
      <c r="AB114" s="1017"/>
      <c r="AF114" s="994"/>
      <c r="AH114" s="1022"/>
      <c r="AI114" s="1022"/>
      <c r="AK114" s="933" t="s">
        <v>13214</v>
      </c>
      <c r="AL114" s="934"/>
      <c r="AM114" s="935" t="e">
        <f>AK113+AL113</f>
        <v>#REF!</v>
      </c>
      <c r="AN114" s="1026" t="e">
        <f>AM114/AM114</f>
        <v>#REF!</v>
      </c>
    </row>
    <row r="115" s="945" customFormat="1" ht="13.95" spans="1:43">
      <c r="A115" s="944"/>
      <c r="B115" s="995" t="s">
        <v>13215</v>
      </c>
      <c r="C115" s="996"/>
      <c r="D115" s="996"/>
      <c r="E115" s="996"/>
      <c r="F115" s="996"/>
      <c r="G115" s="996"/>
      <c r="H115" s="910"/>
      <c r="I115" s="910"/>
      <c r="J115" s="910"/>
      <c r="K115" s="910"/>
      <c r="L115" s="921"/>
      <c r="M115" s="921"/>
      <c r="N115" s="921"/>
      <c r="O115" s="921"/>
      <c r="P115" s="1011">
        <f>P108</f>
        <v>0</v>
      </c>
      <c r="Q115" s="944"/>
      <c r="R115" s="1009"/>
      <c r="S115" s="1009"/>
      <c r="T115" s="1009"/>
      <c r="U115" s="1009"/>
      <c r="V115" s="1009"/>
      <c r="W115" s="944"/>
      <c r="X115" s="994"/>
      <c r="Y115" s="944"/>
      <c r="Z115" s="943"/>
      <c r="AA115" s="994"/>
      <c r="AB115" s="1017"/>
      <c r="AC115" s="944"/>
      <c r="AD115" s="944"/>
      <c r="AE115" s="944"/>
      <c r="AF115" s="994"/>
      <c r="AG115" s="944"/>
      <c r="AH115" s="1022"/>
      <c r="AI115" s="1022"/>
      <c r="AJ115" s="944"/>
      <c r="AK115" s="933" t="s">
        <v>11568</v>
      </c>
      <c r="AL115" s="934"/>
      <c r="AM115" s="937">
        <f>AM113</f>
        <v>0</v>
      </c>
      <c r="AN115" s="1026" t="e">
        <f>AM115/AM114</f>
        <v>#REF!</v>
      </c>
      <c r="AO115" s="944"/>
      <c r="AP115" s="944"/>
      <c r="AQ115" s="944"/>
    </row>
    <row r="116" s="945" customFormat="1" ht="13.95" spans="1:43">
      <c r="A116" s="944"/>
      <c r="B116" s="999"/>
      <c r="C116" s="943" t="s">
        <v>13216</v>
      </c>
      <c r="D116" s="994"/>
      <c r="E116" s="944"/>
      <c r="F116" s="943"/>
      <c r="G116" s="943"/>
      <c r="H116" s="946"/>
      <c r="I116" s="946"/>
      <c r="J116" s="946"/>
      <c r="K116" s="946"/>
      <c r="L116" s="946"/>
      <c r="M116" s="946"/>
      <c r="N116" s="946"/>
      <c r="O116" s="946"/>
      <c r="P116" s="1009"/>
      <c r="Q116" s="944"/>
      <c r="R116" s="1009"/>
      <c r="S116" s="1009"/>
      <c r="T116" s="1009"/>
      <c r="U116" s="1009"/>
      <c r="V116" s="1009"/>
      <c r="W116" s="944"/>
      <c r="X116" s="994"/>
      <c r="Y116" s="944"/>
      <c r="Z116" s="943"/>
      <c r="AA116" s="994"/>
      <c r="AB116" s="1017"/>
      <c r="AC116" s="944"/>
      <c r="AD116" s="944"/>
      <c r="AE116" s="944"/>
      <c r="AF116" s="994"/>
      <c r="AG116" s="944"/>
      <c r="AH116" s="1022"/>
      <c r="AI116" s="1022"/>
      <c r="AJ116" s="944"/>
      <c r="AK116" s="933" t="s">
        <v>11787</v>
      </c>
      <c r="AL116" s="934"/>
      <c r="AM116" s="937" t="e">
        <f>AM114-AM115</f>
        <v>#REF!</v>
      </c>
      <c r="AN116" s="1026" t="e">
        <f>AM116/AM114</f>
        <v>#REF!</v>
      </c>
      <c r="AO116" s="944"/>
      <c r="AP116" s="944"/>
      <c r="AQ116" s="944"/>
    </row>
    <row r="117" s="945" customFormat="1" ht="13.2" spans="1:43">
      <c r="A117" s="944"/>
      <c r="B117" s="944"/>
      <c r="C117" s="943"/>
      <c r="D117" s="994"/>
      <c r="E117" s="944"/>
      <c r="F117" s="944"/>
      <c r="G117" s="944"/>
      <c r="H117" s="944"/>
      <c r="I117" s="944"/>
      <c r="J117" s="944"/>
      <c r="K117" s="1012" t="s">
        <v>13217</v>
      </c>
      <c r="L117" s="1012" t="s">
        <v>1207</v>
      </c>
      <c r="M117" s="1012" t="s">
        <v>1169</v>
      </c>
      <c r="N117" s="1012" t="s">
        <v>675</v>
      </c>
      <c r="O117" s="1012" t="s">
        <v>13218</v>
      </c>
      <c r="P117" s="1009"/>
      <c r="Q117" s="944"/>
      <c r="R117" s="1009"/>
      <c r="S117" s="1009"/>
      <c r="T117" s="1009"/>
      <c r="U117" s="1009"/>
      <c r="V117" s="1009"/>
      <c r="W117" s="944"/>
      <c r="X117" s="994"/>
      <c r="Y117" s="944"/>
      <c r="Z117" s="943"/>
      <c r="AA117" s="994"/>
      <c r="AB117" s="1017"/>
      <c r="AC117" s="944"/>
      <c r="AD117" s="944"/>
      <c r="AE117" s="944"/>
      <c r="AF117" s="994"/>
      <c r="AG117" s="944"/>
      <c r="AH117" s="1022"/>
      <c r="AI117" s="1022"/>
      <c r="AJ117" s="944"/>
      <c r="AK117" s="946"/>
      <c r="AL117" s="946"/>
      <c r="AM117" s="946"/>
      <c r="AN117" s="944"/>
      <c r="AO117" s="944"/>
      <c r="AP117" s="944"/>
      <c r="AQ117" s="944"/>
    </row>
    <row r="118" s="945" customFormat="1" ht="13.2" spans="1:43">
      <c r="A118" s="944"/>
      <c r="B118" s="944"/>
      <c r="C118" s="943"/>
      <c r="D118" s="944"/>
      <c r="E118" s="1000" t="s">
        <v>13219</v>
      </c>
      <c r="F118" s="943"/>
      <c r="G118" s="1001" t="s">
        <v>13220</v>
      </c>
      <c r="H118" s="946" t="s">
        <v>675</v>
      </c>
      <c r="I118" s="944"/>
      <c r="J118" s="944"/>
      <c r="K118" s="1013" t="s">
        <v>12969</v>
      </c>
      <c r="L118" s="1013">
        <f>+E119</f>
        <v>94823618</v>
      </c>
      <c r="M118" s="1013">
        <v>9514954.11</v>
      </c>
      <c r="N118" s="1013">
        <v>99744970.11</v>
      </c>
      <c r="O118" s="1013">
        <v>0</v>
      </c>
      <c r="P118" s="1009"/>
      <c r="Q118" s="944"/>
      <c r="R118" s="1009"/>
      <c r="S118" s="1009"/>
      <c r="T118" s="1009"/>
      <c r="U118" s="1009"/>
      <c r="V118" s="1009"/>
      <c r="W118" s="944"/>
      <c r="X118" s="994"/>
      <c r="Y118" s="944"/>
      <c r="Z118" s="943"/>
      <c r="AA118" s="994"/>
      <c r="AB118" s="1017"/>
      <c r="AC118" s="944"/>
      <c r="AD118" s="944"/>
      <c r="AE118" s="944"/>
      <c r="AF118" s="994"/>
      <c r="AG118" s="944"/>
      <c r="AH118" s="1022"/>
      <c r="AI118" s="1022"/>
      <c r="AJ118" s="944"/>
      <c r="AK118" s="946"/>
      <c r="AL118" s="946"/>
      <c r="AM118" s="946"/>
      <c r="AN118" s="944"/>
      <c r="AO118" s="944"/>
      <c r="AP118" s="944"/>
      <c r="AQ118" s="944"/>
    </row>
    <row r="119" s="945" customFormat="1" ht="13.2" spans="1:43">
      <c r="A119" s="944"/>
      <c r="B119" s="944"/>
      <c r="C119" s="944" t="s">
        <v>1479</v>
      </c>
      <c r="D119" s="944"/>
      <c r="E119" s="295">
        <f t="shared" ref="E119:E124" si="27">SUMIF(E10:E111,C119,I10:I111)</f>
        <v>94823618</v>
      </c>
      <c r="F119" s="943"/>
      <c r="G119" s="946"/>
      <c r="H119" s="946">
        <f t="shared" ref="H119:H126" si="28">E119+G119</f>
        <v>94823618</v>
      </c>
      <c r="I119" s="944"/>
      <c r="J119" s="944"/>
      <c r="K119" s="1013" t="s">
        <v>12912</v>
      </c>
      <c r="L119" s="1014">
        <f>140000000</f>
        <v>140000000</v>
      </c>
      <c r="M119" s="1013">
        <v>0</v>
      </c>
      <c r="N119" s="1013">
        <f>+L119+M119</f>
        <v>140000000</v>
      </c>
      <c r="O119" s="1013">
        <f>+N119</f>
        <v>140000000</v>
      </c>
      <c r="P119" s="1009"/>
      <c r="Q119" s="944"/>
      <c r="R119" s="1009"/>
      <c r="S119" s="1009"/>
      <c r="T119" s="1009"/>
      <c r="U119" s="1009"/>
      <c r="V119" s="1009"/>
      <c r="W119" s="944"/>
      <c r="X119" s="994"/>
      <c r="Y119" s="944"/>
      <c r="Z119" s="943"/>
      <c r="AA119" s="994"/>
      <c r="AB119" s="1017"/>
      <c r="AC119" s="944"/>
      <c r="AD119" s="944"/>
      <c r="AE119" s="944"/>
      <c r="AF119" s="994"/>
      <c r="AG119" s="944"/>
      <c r="AH119" s="1022"/>
      <c r="AI119" s="1022"/>
      <c r="AJ119" s="944"/>
      <c r="AK119" s="946"/>
      <c r="AL119" s="946"/>
      <c r="AM119" s="946"/>
      <c r="AN119" s="944"/>
      <c r="AO119" s="944"/>
      <c r="AP119" s="944"/>
      <c r="AQ119" s="944"/>
    </row>
    <row r="120" s="945" customFormat="1" ht="13.2" spans="1:43">
      <c r="A120" s="944"/>
      <c r="B120" s="944"/>
      <c r="C120" s="959" t="s">
        <v>1239</v>
      </c>
      <c r="D120" s="944"/>
      <c r="E120" s="295">
        <f t="shared" si="27"/>
        <v>781927600</v>
      </c>
      <c r="F120" s="943"/>
      <c r="G120" s="946"/>
      <c r="H120" s="946">
        <f t="shared" si="28"/>
        <v>781927600</v>
      </c>
      <c r="I120" s="944"/>
      <c r="J120" s="944"/>
      <c r="K120" s="1013" t="s">
        <v>12911</v>
      </c>
      <c r="L120" s="1013">
        <f>+E120</f>
        <v>781927600</v>
      </c>
      <c r="M120" s="1013">
        <v>74117036</v>
      </c>
      <c r="N120" s="1013">
        <v>762044636</v>
      </c>
      <c r="O120" s="1013">
        <v>346533204.6</v>
      </c>
      <c r="P120" s="1009"/>
      <c r="Q120" s="944"/>
      <c r="R120" s="1009"/>
      <c r="S120" s="1009"/>
      <c r="T120" s="1009"/>
      <c r="U120" s="1009"/>
      <c r="V120" s="1009"/>
      <c r="W120" s="944"/>
      <c r="X120" s="994"/>
      <c r="Y120" s="944"/>
      <c r="Z120" s="943"/>
      <c r="AA120" s="994"/>
      <c r="AB120" s="1017"/>
      <c r="AC120" s="944"/>
      <c r="AD120" s="944"/>
      <c r="AE120" s="944"/>
      <c r="AF120" s="994"/>
      <c r="AG120" s="944"/>
      <c r="AH120" s="1022"/>
      <c r="AI120" s="1022"/>
      <c r="AJ120" s="944"/>
      <c r="AK120" s="946"/>
      <c r="AL120" s="946"/>
      <c r="AM120" s="946"/>
      <c r="AN120" s="944"/>
      <c r="AO120" s="944"/>
      <c r="AP120" s="944"/>
      <c r="AQ120" s="944"/>
    </row>
    <row r="121" s="945" customFormat="1" ht="13.2" spans="1:43">
      <c r="A121" s="944"/>
      <c r="B121" s="944"/>
      <c r="C121" s="944" t="s">
        <v>13001</v>
      </c>
      <c r="D121" s="944"/>
      <c r="E121" s="295">
        <f t="shared" si="27"/>
        <v>90000000</v>
      </c>
      <c r="F121" s="943"/>
      <c r="G121" s="946"/>
      <c r="H121" s="946">
        <f t="shared" si="28"/>
        <v>90000000</v>
      </c>
      <c r="I121" s="944"/>
      <c r="J121" s="944"/>
      <c r="K121" s="1013" t="s">
        <v>12911</v>
      </c>
      <c r="L121" s="1014">
        <v>1014603773.8796</v>
      </c>
      <c r="M121" s="1013">
        <v>0</v>
      </c>
      <c r="N121" s="1013">
        <v>1014603773.8796</v>
      </c>
      <c r="O121" s="1013">
        <v>0</v>
      </c>
      <c r="P121" s="1009"/>
      <c r="Q121" s="944"/>
      <c r="R121" s="1009"/>
      <c r="S121" s="1009"/>
      <c r="T121" s="1009"/>
      <c r="U121" s="1009"/>
      <c r="V121" s="1009"/>
      <c r="W121" s="944"/>
      <c r="X121" s="994"/>
      <c r="Y121" s="944"/>
      <c r="Z121" s="943"/>
      <c r="AA121" s="994"/>
      <c r="AB121" s="1017"/>
      <c r="AC121" s="944"/>
      <c r="AD121" s="944"/>
      <c r="AE121" s="944"/>
      <c r="AF121" s="994"/>
      <c r="AG121" s="944"/>
      <c r="AH121" s="1022"/>
      <c r="AI121" s="1022"/>
      <c r="AJ121" s="944"/>
      <c r="AK121" s="946"/>
      <c r="AL121" s="946"/>
      <c r="AM121" s="946"/>
      <c r="AN121" s="944"/>
      <c r="AO121" s="944"/>
      <c r="AP121" s="944"/>
      <c r="AQ121" s="944"/>
    </row>
    <row r="122" s="945" customFormat="1" ht="13.2" spans="1:43">
      <c r="A122" s="944"/>
      <c r="B122" s="944"/>
      <c r="C122" s="944" t="s">
        <v>13003</v>
      </c>
      <c r="D122" s="944"/>
      <c r="E122" s="295">
        <f t="shared" si="27"/>
        <v>120000000</v>
      </c>
      <c r="F122" s="943"/>
      <c r="G122" s="946"/>
      <c r="H122" s="946">
        <f t="shared" si="28"/>
        <v>120000000</v>
      </c>
      <c r="I122" s="944"/>
      <c r="J122" s="944"/>
      <c r="K122" s="1013" t="s">
        <v>13013</v>
      </c>
      <c r="L122" s="1013">
        <v>90000000</v>
      </c>
      <c r="M122" s="1013">
        <v>9900000</v>
      </c>
      <c r="N122" s="1013">
        <v>99900000</v>
      </c>
      <c r="O122" s="1013">
        <v>0</v>
      </c>
      <c r="P122" s="1009"/>
      <c r="Q122" s="944"/>
      <c r="R122" s="1009"/>
      <c r="S122" s="1009"/>
      <c r="T122" s="1009"/>
      <c r="U122" s="1009"/>
      <c r="V122" s="1009"/>
      <c r="W122" s="944"/>
      <c r="X122" s="994"/>
      <c r="Y122" s="944"/>
      <c r="Z122" s="943"/>
      <c r="AA122" s="994"/>
      <c r="AB122" s="1017"/>
      <c r="AC122" s="944"/>
      <c r="AD122" s="944"/>
      <c r="AE122" s="944"/>
      <c r="AF122" s="994"/>
      <c r="AG122" s="944"/>
      <c r="AH122" s="1022"/>
      <c r="AI122" s="1022"/>
      <c r="AJ122" s="944"/>
      <c r="AK122" s="946"/>
      <c r="AL122" s="946"/>
      <c r="AM122" s="946"/>
      <c r="AN122" s="944"/>
      <c r="AO122" s="944"/>
      <c r="AP122" s="944"/>
      <c r="AQ122" s="944"/>
    </row>
    <row r="123" s="945" customFormat="1" ht="13.2" spans="1:43">
      <c r="A123" s="944"/>
      <c r="B123" s="944"/>
      <c r="C123" s="944" t="s">
        <v>13005</v>
      </c>
      <c r="D123" s="944"/>
      <c r="E123" s="295">
        <f t="shared" si="27"/>
        <v>530488750</v>
      </c>
      <c r="F123" s="943"/>
      <c r="G123" s="946"/>
      <c r="H123" s="946">
        <f t="shared" si="28"/>
        <v>530488750</v>
      </c>
      <c r="I123" s="944"/>
      <c r="J123" s="944"/>
      <c r="K123" s="1013" t="s">
        <v>13013</v>
      </c>
      <c r="L123" s="1014">
        <v>54000000</v>
      </c>
      <c r="M123" s="1013"/>
      <c r="N123" s="1013">
        <v>54000000</v>
      </c>
      <c r="O123" s="1013">
        <v>0</v>
      </c>
      <c r="P123" s="1009"/>
      <c r="Q123" s="944"/>
      <c r="R123" s="1009"/>
      <c r="S123" s="1009"/>
      <c r="T123" s="1009"/>
      <c r="U123" s="1009"/>
      <c r="V123" s="1009"/>
      <c r="W123" s="944"/>
      <c r="X123" s="994"/>
      <c r="Y123" s="944"/>
      <c r="Z123" s="943"/>
      <c r="AA123" s="994"/>
      <c r="AB123" s="1017"/>
      <c r="AC123" s="944"/>
      <c r="AD123" s="944"/>
      <c r="AE123" s="944"/>
      <c r="AF123" s="994"/>
      <c r="AG123" s="944"/>
      <c r="AH123" s="1022"/>
      <c r="AI123" s="1022"/>
      <c r="AJ123" s="944"/>
      <c r="AK123" s="946"/>
      <c r="AL123" s="946"/>
      <c r="AM123" s="946"/>
      <c r="AN123" s="944"/>
      <c r="AO123" s="944"/>
      <c r="AP123" s="944"/>
      <c r="AQ123" s="944"/>
    </row>
    <row r="124" s="945" customFormat="1" ht="13.2" spans="1:43">
      <c r="A124" s="944"/>
      <c r="B124" s="944"/>
      <c r="C124" s="944" t="s">
        <v>13008</v>
      </c>
      <c r="D124" s="944"/>
      <c r="E124" s="295">
        <f t="shared" si="27"/>
        <v>1315200000</v>
      </c>
      <c r="F124" s="943"/>
      <c r="G124" s="946"/>
      <c r="H124" s="946">
        <f t="shared" si="28"/>
        <v>1315200000</v>
      </c>
      <c r="I124" s="944"/>
      <c r="J124" s="944"/>
      <c r="K124" s="1013" t="s">
        <v>13221</v>
      </c>
      <c r="L124" s="1013">
        <v>120000000</v>
      </c>
      <c r="M124" s="1013">
        <v>13200000</v>
      </c>
      <c r="N124" s="1013">
        <v>133200000</v>
      </c>
      <c r="O124" s="1013">
        <v>0</v>
      </c>
      <c r="P124" s="1009"/>
      <c r="Q124" s="944"/>
      <c r="R124" s="1009"/>
      <c r="S124" s="1009"/>
      <c r="T124" s="1009"/>
      <c r="U124" s="1009"/>
      <c r="V124" s="1009"/>
      <c r="W124" s="944"/>
      <c r="X124" s="994"/>
      <c r="Y124" s="944"/>
      <c r="Z124" s="943"/>
      <c r="AA124" s="994"/>
      <c r="AB124" s="1017"/>
      <c r="AC124" s="944"/>
      <c r="AD124" s="944"/>
      <c r="AE124" s="944"/>
      <c r="AF124" s="994"/>
      <c r="AG124" s="944"/>
      <c r="AH124" s="1022"/>
      <c r="AI124" s="1022"/>
      <c r="AJ124" s="944"/>
      <c r="AK124" s="946"/>
      <c r="AL124" s="946"/>
      <c r="AM124" s="946"/>
      <c r="AN124" s="944"/>
      <c r="AO124" s="944"/>
      <c r="AP124" s="944"/>
      <c r="AQ124" s="944"/>
    </row>
    <row r="125" s="945" customFormat="1" ht="13.2" spans="1:43">
      <c r="A125" s="944"/>
      <c r="B125" s="944"/>
      <c r="C125" s="944" t="s">
        <v>11393</v>
      </c>
      <c r="D125" s="944"/>
      <c r="E125" s="295">
        <v>0</v>
      </c>
      <c r="F125" s="943"/>
      <c r="G125" s="946"/>
      <c r="H125" s="946">
        <f t="shared" si="28"/>
        <v>0</v>
      </c>
      <c r="I125" s="944"/>
      <c r="J125" s="944"/>
      <c r="K125" s="1013" t="s">
        <v>12910</v>
      </c>
      <c r="L125" s="1014">
        <v>1215000000</v>
      </c>
      <c r="M125" s="1013"/>
      <c r="N125" s="1013">
        <v>1215000000</v>
      </c>
      <c r="O125" s="1013">
        <v>54000000</v>
      </c>
      <c r="P125" s="1009"/>
      <c r="Q125" s="944"/>
      <c r="R125" s="1009"/>
      <c r="S125" s="1009"/>
      <c r="T125" s="1009"/>
      <c r="U125" s="1009"/>
      <c r="V125" s="1009"/>
      <c r="W125" s="944"/>
      <c r="X125" s="994"/>
      <c r="Y125" s="944"/>
      <c r="Z125" s="943"/>
      <c r="AA125" s="994"/>
      <c r="AB125" s="1017"/>
      <c r="AC125" s="944"/>
      <c r="AD125" s="944"/>
      <c r="AE125" s="944"/>
      <c r="AF125" s="994"/>
      <c r="AG125" s="944"/>
      <c r="AH125" s="1022"/>
      <c r="AI125" s="1022"/>
      <c r="AJ125" s="944"/>
      <c r="AK125" s="946"/>
      <c r="AL125" s="946"/>
      <c r="AM125" s="946"/>
      <c r="AN125" s="944"/>
      <c r="AO125" s="944"/>
      <c r="AP125" s="944"/>
      <c r="AQ125" s="944"/>
    </row>
    <row r="126" s="945" customFormat="1" ht="13.2" spans="1:43">
      <c r="A126" s="944"/>
      <c r="B126" s="944"/>
      <c r="C126" s="944" t="s">
        <v>13014</v>
      </c>
      <c r="D126" s="944"/>
      <c r="E126" s="295">
        <f>SUMIF(E17:E117,C126,I17:I118)</f>
        <v>58250911</v>
      </c>
      <c r="F126" s="943"/>
      <c r="G126" s="946"/>
      <c r="H126" s="946">
        <f t="shared" si="28"/>
        <v>58250911</v>
      </c>
      <c r="I126" s="944"/>
      <c r="J126" s="944"/>
      <c r="K126" s="1013" t="s">
        <v>13222</v>
      </c>
      <c r="L126" s="1013">
        <v>530488750</v>
      </c>
      <c r="M126" s="1013">
        <v>57452955</v>
      </c>
      <c r="N126" s="1013">
        <v>587941705</v>
      </c>
      <c r="O126" s="1013">
        <v>48164820</v>
      </c>
      <c r="P126" s="1009"/>
      <c r="Q126" s="944"/>
      <c r="R126" s="1009"/>
      <c r="S126" s="1009"/>
      <c r="T126" s="1009"/>
      <c r="U126" s="1009"/>
      <c r="V126" s="1009"/>
      <c r="W126" s="944"/>
      <c r="X126" s="994"/>
      <c r="Y126" s="944"/>
      <c r="Z126" s="943"/>
      <c r="AA126" s="994"/>
      <c r="AB126" s="1017"/>
      <c r="AC126" s="944"/>
      <c r="AD126" s="944"/>
      <c r="AE126" s="944"/>
      <c r="AF126" s="994"/>
      <c r="AG126" s="944"/>
      <c r="AH126" s="1022"/>
      <c r="AI126" s="1022"/>
      <c r="AJ126" s="944"/>
      <c r="AK126" s="946"/>
      <c r="AL126" s="946"/>
      <c r="AM126" s="946"/>
      <c r="AN126" s="944"/>
      <c r="AO126" s="944"/>
      <c r="AP126" s="944"/>
      <c r="AQ126" s="944"/>
    </row>
    <row r="127" s="945" customFormat="1" ht="13.95" spans="1:43">
      <c r="A127" s="944"/>
      <c r="B127" s="944"/>
      <c r="C127" s="944" t="s">
        <v>675</v>
      </c>
      <c r="D127" s="944"/>
      <c r="E127" s="1002">
        <f>SUBTOTAL(9,E119:E126)</f>
        <v>2990690879</v>
      </c>
      <c r="F127" s="943"/>
      <c r="G127" s="1002">
        <f>SUBTOTAL(9,G119:G126)</f>
        <v>0</v>
      </c>
      <c r="H127" s="1002">
        <f>SUBTOTAL(9,H119:H126)</f>
        <v>2990690879</v>
      </c>
      <c r="I127" s="944"/>
      <c r="J127" s="944"/>
      <c r="K127" s="1013" t="s">
        <v>13223</v>
      </c>
      <c r="L127" s="1013">
        <v>1315200000</v>
      </c>
      <c r="M127" s="1013">
        <v>143460000</v>
      </c>
      <c r="N127" s="1013">
        <v>1458660000</v>
      </c>
      <c r="O127" s="1013">
        <v>292120000</v>
      </c>
      <c r="P127" s="1009"/>
      <c r="Q127" s="944"/>
      <c r="R127" s="1009"/>
      <c r="S127" s="1009"/>
      <c r="T127" s="1009"/>
      <c r="U127" s="1009"/>
      <c r="V127" s="1009"/>
      <c r="W127" s="944"/>
      <c r="X127" s="994"/>
      <c r="Y127" s="944"/>
      <c r="Z127" s="943"/>
      <c r="AA127" s="994"/>
      <c r="AB127" s="1017"/>
      <c r="AC127" s="944"/>
      <c r="AD127" s="944"/>
      <c r="AE127" s="944"/>
      <c r="AF127" s="994"/>
      <c r="AG127" s="944"/>
      <c r="AH127" s="1022"/>
      <c r="AI127" s="1022"/>
      <c r="AJ127" s="944"/>
      <c r="AK127" s="946"/>
      <c r="AL127" s="946"/>
      <c r="AM127" s="946"/>
      <c r="AN127" s="944"/>
      <c r="AO127" s="944"/>
      <c r="AP127" s="944"/>
      <c r="AQ127" s="944"/>
    </row>
    <row r="128" s="945" customFormat="1" ht="13.2" spans="1:43">
      <c r="A128" s="944"/>
      <c r="B128" s="944"/>
      <c r="C128" s="1003" t="s">
        <v>11393</v>
      </c>
      <c r="D128" s="944"/>
      <c r="E128" s="1004">
        <v>171693400</v>
      </c>
      <c r="F128" s="5183" t="s">
        <v>13224</v>
      </c>
      <c r="G128" s="946"/>
      <c r="H128" s="295">
        <v>171693400</v>
      </c>
      <c r="I128" s="5184" t="s">
        <v>13224</v>
      </c>
      <c r="J128" s="944"/>
      <c r="K128" s="1013" t="str">
        <f>+C126</f>
        <v>SARIARTHAMAS HOTEL INTERNATIONAL PT </v>
      </c>
      <c r="L128" s="1013">
        <v>58250911.7117117</v>
      </c>
      <c r="M128" s="1013">
        <v>6407600.28828829</v>
      </c>
      <c r="N128" s="1013">
        <v>64658512</v>
      </c>
      <c r="O128" s="1013">
        <v>50737245.6</v>
      </c>
      <c r="P128" s="1009"/>
      <c r="Q128" s="944"/>
      <c r="R128" s="1009"/>
      <c r="S128" s="1009"/>
      <c r="T128" s="1009"/>
      <c r="U128" s="1009"/>
      <c r="V128" s="1009"/>
      <c r="W128" s="944"/>
      <c r="X128" s="994"/>
      <c r="Y128" s="944"/>
      <c r="Z128" s="943"/>
      <c r="AA128" s="994"/>
      <c r="AB128" s="1017"/>
      <c r="AC128" s="944"/>
      <c r="AD128" s="944"/>
      <c r="AE128" s="944"/>
      <c r="AF128" s="994"/>
      <c r="AG128" s="944"/>
      <c r="AH128" s="1022"/>
      <c r="AI128" s="1022"/>
      <c r="AJ128" s="944"/>
      <c r="AK128" s="946"/>
      <c r="AL128" s="946"/>
      <c r="AM128" s="946"/>
      <c r="AN128" s="944"/>
      <c r="AO128" s="944"/>
      <c r="AP128" s="944"/>
      <c r="AQ128" s="944"/>
    </row>
    <row r="129" s="945" customFormat="1" ht="13.2" spans="1:43">
      <c r="A129" s="944"/>
      <c r="B129" s="944"/>
      <c r="C129" s="1027">
        <v>44562</v>
      </c>
      <c r="D129" s="944"/>
      <c r="E129" s="295">
        <v>229124500</v>
      </c>
      <c r="F129" s="1028">
        <f t="shared" ref="F129:F140" si="29">E$128+E129</f>
        <v>400817900</v>
      </c>
      <c r="G129" s="1029">
        <v>44562</v>
      </c>
      <c r="H129" s="1030">
        <v>550847925.1</v>
      </c>
      <c r="I129" s="1033">
        <f t="shared" ref="I129:I140" si="30">H$128+H129</f>
        <v>722541325.1</v>
      </c>
      <c r="J129" s="944"/>
      <c r="K129" s="1013" t="s">
        <v>11393</v>
      </c>
      <c r="L129" s="1014">
        <f>E125</f>
        <v>0</v>
      </c>
      <c r="M129" s="1013">
        <v>0</v>
      </c>
      <c r="N129" s="1013">
        <v>0</v>
      </c>
      <c r="O129" s="1013">
        <v>1328060000</v>
      </c>
      <c r="P129" s="1009"/>
      <c r="Q129" s="944"/>
      <c r="R129" s="1009"/>
      <c r="S129" s="1009"/>
      <c r="T129" s="1009"/>
      <c r="U129" s="1009"/>
      <c r="V129" s="1009"/>
      <c r="W129" s="944"/>
      <c r="X129" s="994"/>
      <c r="Y129" s="944"/>
      <c r="Z129" s="943"/>
      <c r="AA129" s="994"/>
      <c r="AB129" s="1017"/>
      <c r="AC129" s="944"/>
      <c r="AD129" s="944"/>
      <c r="AE129" s="944"/>
      <c r="AF129" s="994"/>
      <c r="AG129" s="944"/>
      <c r="AH129" s="1022"/>
      <c r="AI129" s="1022"/>
      <c r="AJ129" s="944"/>
      <c r="AK129" s="946"/>
      <c r="AL129" s="946"/>
      <c r="AM129" s="946"/>
      <c r="AN129" s="944"/>
      <c r="AO129" s="944"/>
      <c r="AP129" s="944"/>
      <c r="AQ129" s="944"/>
    </row>
    <row r="130" s="945" customFormat="1" ht="13.2" spans="1:43">
      <c r="A130" s="944"/>
      <c r="B130" s="944"/>
      <c r="C130" s="1027">
        <v>44593</v>
      </c>
      <c r="D130" s="944"/>
      <c r="E130" s="295">
        <v>4593600</v>
      </c>
      <c r="F130" s="1028">
        <f t="shared" si="29"/>
        <v>176287000</v>
      </c>
      <c r="G130" s="1029">
        <v>44593</v>
      </c>
      <c r="H130" s="1030">
        <v>138956974</v>
      </c>
      <c r="I130" s="1033">
        <f t="shared" si="30"/>
        <v>310650374</v>
      </c>
      <c r="J130" s="944"/>
      <c r="K130" s="1013"/>
      <c r="L130" s="1013"/>
      <c r="M130" s="1013"/>
      <c r="N130" s="1013">
        <v>0</v>
      </c>
      <c r="O130" s="1013"/>
      <c r="P130" s="1009"/>
      <c r="Q130" s="944"/>
      <c r="R130" s="1009"/>
      <c r="S130" s="1009"/>
      <c r="T130" s="1009"/>
      <c r="U130" s="1009"/>
      <c r="V130" s="1009"/>
      <c r="W130" s="944"/>
      <c r="X130" s="994"/>
      <c r="Y130" s="944"/>
      <c r="Z130" s="943"/>
      <c r="AA130" s="994"/>
      <c r="AB130" s="1017"/>
      <c r="AC130" s="944"/>
      <c r="AD130" s="944"/>
      <c r="AE130" s="944"/>
      <c r="AF130" s="994"/>
      <c r="AG130" s="944"/>
      <c r="AH130" s="1022"/>
      <c r="AI130" s="1022"/>
      <c r="AJ130" s="944"/>
      <c r="AK130" s="946"/>
      <c r="AL130" s="946"/>
      <c r="AM130" s="946"/>
      <c r="AN130" s="944"/>
      <c r="AO130" s="944"/>
      <c r="AP130" s="944"/>
      <c r="AQ130" s="944"/>
    </row>
    <row r="131" s="945" customFormat="1" ht="13.2" spans="1:43">
      <c r="A131" s="944"/>
      <c r="B131" s="944"/>
      <c r="C131" s="1027">
        <v>44621</v>
      </c>
      <c r="D131" s="944"/>
      <c r="E131" s="295">
        <v>272690916</v>
      </c>
      <c r="F131" s="1028">
        <f t="shared" si="29"/>
        <v>444384316</v>
      </c>
      <c r="G131" s="1029">
        <v>44621</v>
      </c>
      <c r="H131" s="1030">
        <v>318656250</v>
      </c>
      <c r="I131" s="1033">
        <f t="shared" si="30"/>
        <v>490349650</v>
      </c>
      <c r="J131" s="944"/>
      <c r="K131" s="1034" t="s">
        <v>151</v>
      </c>
      <c r="L131" s="1034">
        <f>SUBTOTAL(9,L118:L130)</f>
        <v>5414294653.59131</v>
      </c>
      <c r="M131" s="1034">
        <f>SUBTOTAL(9,M118:M130)</f>
        <v>314052545.398288</v>
      </c>
      <c r="N131" s="1034">
        <f>SUBTOTAL(9,N118:N130)</f>
        <v>5629753596.9896</v>
      </c>
      <c r="O131" s="1034">
        <f>SUBTOTAL(9,O118:O130)</f>
        <v>2259615270.2</v>
      </c>
      <c r="P131" s="1009"/>
      <c r="Q131" s="944"/>
      <c r="R131" s="1009"/>
      <c r="S131" s="1009"/>
      <c r="T131" s="1009"/>
      <c r="U131" s="1009"/>
      <c r="V131" s="1009"/>
      <c r="W131" s="944"/>
      <c r="X131" s="994"/>
      <c r="Y131" s="944"/>
      <c r="Z131" s="943"/>
      <c r="AA131" s="994"/>
      <c r="AB131" s="1017"/>
      <c r="AC131" s="944"/>
      <c r="AD131" s="944"/>
      <c r="AE131" s="944"/>
      <c r="AF131" s="994"/>
      <c r="AG131" s="944"/>
      <c r="AH131" s="1022"/>
      <c r="AI131" s="1022"/>
      <c r="AJ131" s="944"/>
      <c r="AK131" s="946"/>
      <c r="AL131" s="946"/>
      <c r="AM131" s="946"/>
      <c r="AN131" s="944"/>
      <c r="AO131" s="944"/>
      <c r="AP131" s="944"/>
      <c r="AQ131" s="944"/>
    </row>
    <row r="132" s="945" customFormat="1" ht="13.2" spans="1:43">
      <c r="A132" s="944"/>
      <c r="B132" s="944"/>
      <c r="C132" s="1027">
        <v>44652</v>
      </c>
      <c r="D132" s="944"/>
      <c r="E132" s="295">
        <v>448344892</v>
      </c>
      <c r="F132" s="1028">
        <f t="shared" si="29"/>
        <v>620038292</v>
      </c>
      <c r="G132" s="1029">
        <v>44652</v>
      </c>
      <c r="H132" s="1030">
        <v>697787500</v>
      </c>
      <c r="I132" s="1033">
        <f t="shared" si="30"/>
        <v>869480900</v>
      </c>
      <c r="J132" s="944"/>
      <c r="K132" s="1013"/>
      <c r="L132" s="1013"/>
      <c r="M132" s="1013"/>
      <c r="N132" s="1013"/>
      <c r="O132" s="1013"/>
      <c r="P132" s="1009"/>
      <c r="Q132" s="944"/>
      <c r="R132" s="1009"/>
      <c r="S132" s="1009"/>
      <c r="T132" s="1009"/>
      <c r="U132" s="1009"/>
      <c r="V132" s="1009"/>
      <c r="W132" s="944"/>
      <c r="X132" s="994"/>
      <c r="Y132" s="944"/>
      <c r="Z132" s="943"/>
      <c r="AA132" s="994"/>
      <c r="AB132" s="1017"/>
      <c r="AC132" s="944"/>
      <c r="AD132" s="944"/>
      <c r="AE132" s="944"/>
      <c r="AF132" s="994"/>
      <c r="AG132" s="944"/>
      <c r="AH132" s="1022"/>
      <c r="AI132" s="1022"/>
      <c r="AJ132" s="944"/>
      <c r="AK132" s="946"/>
      <c r="AL132" s="946"/>
      <c r="AM132" s="946"/>
      <c r="AN132" s="944"/>
      <c r="AO132" s="944"/>
      <c r="AP132" s="944"/>
      <c r="AQ132" s="944"/>
    </row>
    <row r="133" s="945" customFormat="1" ht="13.2" spans="1:43">
      <c r="A133" s="944"/>
      <c r="B133" s="944"/>
      <c r="C133" s="1027">
        <v>44682</v>
      </c>
      <c r="D133" s="944"/>
      <c r="E133" s="295">
        <v>86421000</v>
      </c>
      <c r="F133" s="1028">
        <f t="shared" si="29"/>
        <v>258114400</v>
      </c>
      <c r="G133" s="1029">
        <v>44682</v>
      </c>
      <c r="H133" s="1030">
        <v>225400000</v>
      </c>
      <c r="I133" s="1033">
        <f t="shared" si="30"/>
        <v>397093400</v>
      </c>
      <c r="J133" s="944"/>
      <c r="K133" s="1013" t="s">
        <v>13225</v>
      </c>
      <c r="L133" s="1013"/>
      <c r="M133" s="1013"/>
      <c r="N133" s="1013"/>
      <c r="O133" s="1013"/>
      <c r="P133" s="1009"/>
      <c r="Q133" s="944"/>
      <c r="R133" s="1009"/>
      <c r="S133" s="1009"/>
      <c r="T133" s="1009"/>
      <c r="U133" s="1009"/>
      <c r="V133" s="1009"/>
      <c r="W133" s="944"/>
      <c r="X133" s="994"/>
      <c r="Y133" s="944"/>
      <c r="Z133" s="943"/>
      <c r="AA133" s="994"/>
      <c r="AB133" s="1017"/>
      <c r="AC133" s="944"/>
      <c r="AD133" s="944"/>
      <c r="AE133" s="944"/>
      <c r="AF133" s="994"/>
      <c r="AG133" s="944"/>
      <c r="AH133" s="1022"/>
      <c r="AI133" s="1022"/>
      <c r="AJ133" s="944"/>
      <c r="AK133" s="946"/>
      <c r="AL133" s="946"/>
      <c r="AM133" s="946"/>
      <c r="AN133" s="944"/>
      <c r="AO133" s="944"/>
      <c r="AP133" s="944"/>
      <c r="AQ133" s="944"/>
    </row>
    <row r="134" s="945" customFormat="1" ht="13.2" spans="1:43">
      <c r="A134" s="944"/>
      <c r="B134" s="944"/>
      <c r="C134" s="1027">
        <v>44713</v>
      </c>
      <c r="D134" s="944"/>
      <c r="E134" s="295">
        <v>208008960</v>
      </c>
      <c r="F134" s="1028">
        <f t="shared" si="29"/>
        <v>379702360</v>
      </c>
      <c r="G134" s="1029">
        <v>44713</v>
      </c>
      <c r="H134" s="1030">
        <v>276008960</v>
      </c>
      <c r="I134" s="1033">
        <f t="shared" si="30"/>
        <v>447702360</v>
      </c>
      <c r="J134" s="944"/>
      <c r="K134" s="1013" t="s">
        <v>13226</v>
      </c>
      <c r="L134" s="1013">
        <v>12471332109.6042</v>
      </c>
      <c r="M134" s="1013">
        <v>1371846532.05646</v>
      </c>
      <c r="N134" s="1013">
        <v>13843178641.6607</v>
      </c>
      <c r="O134" s="1013"/>
      <c r="P134" s="1009"/>
      <c r="Q134" s="944"/>
      <c r="R134" s="1009"/>
      <c r="S134" s="1009"/>
      <c r="T134" s="1009"/>
      <c r="U134" s="1009"/>
      <c r="V134" s="1009"/>
      <c r="W134" s="944"/>
      <c r="X134" s="994"/>
      <c r="Y134" s="944"/>
      <c r="Z134" s="943"/>
      <c r="AA134" s="994"/>
      <c r="AB134" s="1017"/>
      <c r="AC134" s="944"/>
      <c r="AD134" s="944"/>
      <c r="AE134" s="944"/>
      <c r="AF134" s="994"/>
      <c r="AG134" s="944"/>
      <c r="AH134" s="1022"/>
      <c r="AI134" s="1022"/>
      <c r="AJ134" s="944"/>
      <c r="AK134" s="946"/>
      <c r="AL134" s="946"/>
      <c r="AM134" s="946"/>
      <c r="AN134" s="944"/>
      <c r="AO134" s="944"/>
      <c r="AP134" s="944"/>
      <c r="AQ134" s="944"/>
    </row>
    <row r="135" s="945" customFormat="1" ht="13.2" spans="1:43">
      <c r="A135" s="944"/>
      <c r="B135" s="944"/>
      <c r="C135" s="1027">
        <v>44743</v>
      </c>
      <c r="D135" s="944"/>
      <c r="E135" s="295">
        <v>313047000</v>
      </c>
      <c r="F135" s="1028">
        <f t="shared" si="29"/>
        <v>484740400</v>
      </c>
      <c r="G135" s="1029">
        <v>44743</v>
      </c>
      <c r="H135" s="1030">
        <v>601908220.71875</v>
      </c>
      <c r="I135" s="1033">
        <f t="shared" si="30"/>
        <v>773601620.71875</v>
      </c>
      <c r="J135" s="944"/>
      <c r="K135" s="946"/>
      <c r="L135" s="946"/>
      <c r="M135" s="946"/>
      <c r="N135" s="946"/>
      <c r="O135" s="946"/>
      <c r="P135" s="1009"/>
      <c r="Q135" s="944"/>
      <c r="R135" s="1009"/>
      <c r="S135" s="1009"/>
      <c r="T135" s="1009"/>
      <c r="U135" s="1009"/>
      <c r="V135" s="1009"/>
      <c r="W135" s="944"/>
      <c r="X135" s="994"/>
      <c r="Y135" s="944"/>
      <c r="Z135" s="943"/>
      <c r="AA135" s="994"/>
      <c r="AB135" s="1017"/>
      <c r="AC135" s="944"/>
      <c r="AD135" s="944"/>
      <c r="AE135" s="944"/>
      <c r="AF135" s="994"/>
      <c r="AG135" s="944"/>
      <c r="AH135" s="1022"/>
      <c r="AI135" s="1022"/>
      <c r="AJ135" s="944"/>
      <c r="AK135" s="946"/>
      <c r="AL135" s="946"/>
      <c r="AM135" s="946"/>
      <c r="AN135" s="944"/>
      <c r="AO135" s="944"/>
      <c r="AP135" s="944"/>
      <c r="AQ135" s="944"/>
    </row>
    <row r="136" s="945" customFormat="1" ht="13.2" spans="1:43">
      <c r="A136" s="944"/>
      <c r="B136" s="944"/>
      <c r="C136" s="1027">
        <v>44774</v>
      </c>
      <c r="D136" s="944"/>
      <c r="E136" s="295">
        <v>156528000</v>
      </c>
      <c r="F136" s="1028">
        <f t="shared" si="29"/>
        <v>328221400</v>
      </c>
      <c r="G136" s="1029">
        <v>44774</v>
      </c>
      <c r="H136" s="1030">
        <v>843578409.46375</v>
      </c>
      <c r="I136" s="1033">
        <f t="shared" si="30"/>
        <v>1015271809.46375</v>
      </c>
      <c r="J136" s="1035" t="s">
        <v>732</v>
      </c>
      <c r="K136" s="1036" t="s">
        <v>13227</v>
      </c>
      <c r="L136" s="1037">
        <f>L119+L121+L123+L125+L129</f>
        <v>2423603773.8796</v>
      </c>
      <c r="M136" s="946"/>
      <c r="N136" s="946"/>
      <c r="O136" s="946"/>
      <c r="P136" s="1009"/>
      <c r="Q136" s="944"/>
      <c r="R136" s="1009"/>
      <c r="S136" s="1009"/>
      <c r="T136" s="1009"/>
      <c r="U136" s="1009"/>
      <c r="V136" s="1009"/>
      <c r="W136" s="944"/>
      <c r="X136" s="994"/>
      <c r="Y136" s="944"/>
      <c r="Z136" s="943"/>
      <c r="AA136" s="994"/>
      <c r="AB136" s="1017"/>
      <c r="AC136" s="944"/>
      <c r="AD136" s="944"/>
      <c r="AE136" s="944"/>
      <c r="AF136" s="994"/>
      <c r="AG136" s="944"/>
      <c r="AH136" s="1022"/>
      <c r="AI136" s="1022"/>
      <c r="AJ136" s="944"/>
      <c r="AK136" s="946"/>
      <c r="AL136" s="946"/>
      <c r="AM136" s="946"/>
      <c r="AN136" s="944"/>
      <c r="AO136" s="944"/>
      <c r="AP136" s="944"/>
      <c r="AQ136" s="944"/>
    </row>
    <row r="137" s="945" customFormat="1" ht="13.2" spans="1:43">
      <c r="A137" s="944"/>
      <c r="B137" s="944"/>
      <c r="C137" s="1027">
        <v>44805</v>
      </c>
      <c r="D137" s="944"/>
      <c r="E137" s="295">
        <v>202093500</v>
      </c>
      <c r="F137" s="1028">
        <f t="shared" si="29"/>
        <v>373786900</v>
      </c>
      <c r="G137" s="1029">
        <v>44805</v>
      </c>
      <c r="H137" s="1030">
        <v>230939225.2512</v>
      </c>
      <c r="I137" s="1033">
        <f t="shared" si="30"/>
        <v>402632625.2512</v>
      </c>
      <c r="J137" s="1035" t="s">
        <v>735</v>
      </c>
      <c r="K137" s="1036" t="s">
        <v>1169</v>
      </c>
      <c r="L137" s="1038">
        <f>L131-L136</f>
        <v>2990690879.71171</v>
      </c>
      <c r="M137" s="946">
        <f>+L137-I113-H113</f>
        <v>1580667261.71171</v>
      </c>
      <c r="N137" s="946"/>
      <c r="O137" s="946"/>
      <c r="P137" s="1009"/>
      <c r="Q137" s="944"/>
      <c r="R137" s="1009"/>
      <c r="S137" s="1009"/>
      <c r="T137" s="1009"/>
      <c r="U137" s="1009"/>
      <c r="V137" s="1009"/>
      <c r="W137" s="944"/>
      <c r="X137" s="994"/>
      <c r="Y137" s="944"/>
      <c r="Z137" s="943"/>
      <c r="AA137" s="994"/>
      <c r="AB137" s="1017"/>
      <c r="AC137" s="944"/>
      <c r="AD137" s="944"/>
      <c r="AE137" s="944"/>
      <c r="AF137" s="994"/>
      <c r="AG137" s="944"/>
      <c r="AH137" s="1022"/>
      <c r="AI137" s="1022"/>
      <c r="AJ137" s="944"/>
      <c r="AK137" s="946"/>
      <c r="AL137" s="946"/>
      <c r="AM137" s="946"/>
      <c r="AN137" s="944"/>
      <c r="AO137" s="944"/>
      <c r="AP137" s="944"/>
      <c r="AQ137" s="944"/>
    </row>
    <row r="138" s="945" customFormat="1" ht="13.2" spans="1:43">
      <c r="A138" s="944"/>
      <c r="B138" s="944"/>
      <c r="C138" s="1027">
        <v>44835</v>
      </c>
      <c r="D138" s="944"/>
      <c r="E138" s="295">
        <v>243733000</v>
      </c>
      <c r="F138" s="1028">
        <f t="shared" si="29"/>
        <v>415426400</v>
      </c>
      <c r="G138" s="1029">
        <v>44835</v>
      </c>
      <c r="H138" s="1030">
        <f>9011763254.1459-8475251178.8</f>
        <v>536512075.345901</v>
      </c>
      <c r="I138" s="1033">
        <f t="shared" si="30"/>
        <v>708205475.345901</v>
      </c>
      <c r="J138" s="944"/>
      <c r="K138" s="946"/>
      <c r="L138" s="946">
        <f>+L137-I113</f>
        <v>1580667261.71171</v>
      </c>
      <c r="M138" s="946"/>
      <c r="N138" s="946"/>
      <c r="O138" s="946"/>
      <c r="P138" s="1009"/>
      <c r="Q138" s="944"/>
      <c r="R138" s="1009"/>
      <c r="S138" s="1009"/>
      <c r="T138" s="1009"/>
      <c r="U138" s="1009"/>
      <c r="V138" s="1009"/>
      <c r="W138" s="944"/>
      <c r="X138" s="994"/>
      <c r="Y138" s="944"/>
      <c r="Z138" s="943"/>
      <c r="AA138" s="994"/>
      <c r="AB138" s="1017"/>
      <c r="AC138" s="944"/>
      <c r="AD138" s="944"/>
      <c r="AE138" s="944"/>
      <c r="AF138" s="994"/>
      <c r="AG138" s="944"/>
      <c r="AH138" s="1022"/>
      <c r="AI138" s="1022"/>
      <c r="AJ138" s="944"/>
      <c r="AK138" s="946"/>
      <c r="AL138" s="946"/>
      <c r="AM138" s="946"/>
      <c r="AN138" s="944"/>
      <c r="AO138" s="944"/>
      <c r="AP138" s="944"/>
      <c r="AQ138" s="944"/>
    </row>
    <row r="139" s="945" customFormat="1" ht="13.2" spans="1:43">
      <c r="A139" s="944"/>
      <c r="B139" s="944"/>
      <c r="C139" s="1027">
        <v>44866</v>
      </c>
      <c r="D139" s="944"/>
      <c r="E139" s="295">
        <v>304015182</v>
      </c>
      <c r="F139" s="1028">
        <f t="shared" si="29"/>
        <v>475708582</v>
      </c>
      <c r="G139" s="1029">
        <v>44866</v>
      </c>
      <c r="H139" s="1030">
        <v>358015182.342342</v>
      </c>
      <c r="I139" s="1033">
        <f t="shared" si="30"/>
        <v>529708582.342342</v>
      </c>
      <c r="J139" s="944"/>
      <c r="K139" s="946"/>
      <c r="L139" s="946"/>
      <c r="M139" s="946"/>
      <c r="N139" s="946"/>
      <c r="O139" s="946"/>
      <c r="P139" s="1009"/>
      <c r="Q139" s="944"/>
      <c r="R139" s="1009"/>
      <c r="S139" s="1009"/>
      <c r="T139" s="1009"/>
      <c r="U139" s="1009"/>
      <c r="V139" s="1009"/>
      <c r="W139" s="944"/>
      <c r="X139" s="994"/>
      <c r="Y139" s="944"/>
      <c r="Z139" s="943"/>
      <c r="AA139" s="994"/>
      <c r="AB139" s="1017"/>
      <c r="AC139" s="944"/>
      <c r="AD139" s="944"/>
      <c r="AE139" s="944"/>
      <c r="AF139" s="994"/>
      <c r="AG139" s="944"/>
      <c r="AH139" s="1022"/>
      <c r="AI139" s="1022"/>
      <c r="AJ139" s="944"/>
      <c r="AK139" s="946"/>
      <c r="AL139" s="946"/>
      <c r="AM139" s="946"/>
      <c r="AN139" s="944"/>
      <c r="AO139" s="944"/>
      <c r="AP139" s="944"/>
      <c r="AQ139" s="944"/>
    </row>
    <row r="140" s="945" customFormat="1" ht="13.2" spans="1:43">
      <c r="A140" s="944"/>
      <c r="B140" s="944"/>
      <c r="C140" s="1027">
        <v>44896</v>
      </c>
      <c r="D140" s="944"/>
      <c r="E140" s="295">
        <v>522090329</v>
      </c>
      <c r="F140" s="1028">
        <f t="shared" si="29"/>
        <v>693783729</v>
      </c>
      <c r="G140" s="1029">
        <v>44896</v>
      </c>
      <c r="H140" s="1030">
        <v>537090329.369369</v>
      </c>
      <c r="I140" s="1033">
        <f t="shared" si="30"/>
        <v>708783729.369369</v>
      </c>
      <c r="J140" s="944"/>
      <c r="K140" s="946"/>
      <c r="L140" s="946"/>
      <c r="M140" s="946"/>
      <c r="N140" s="946"/>
      <c r="O140" s="946"/>
      <c r="P140" s="1009"/>
      <c r="Q140" s="944"/>
      <c r="R140" s="1009"/>
      <c r="S140" s="1009"/>
      <c r="T140" s="1009"/>
      <c r="U140" s="1009"/>
      <c r="V140" s="1009"/>
      <c r="W140" s="944"/>
      <c r="X140" s="994"/>
      <c r="Y140" s="944"/>
      <c r="Z140" s="943"/>
      <c r="AA140" s="994"/>
      <c r="AB140" s="1017"/>
      <c r="AC140" s="944"/>
      <c r="AD140" s="944"/>
      <c r="AE140" s="944"/>
      <c r="AF140" s="994"/>
      <c r="AG140" s="944"/>
      <c r="AH140" s="1022"/>
      <c r="AI140" s="1022"/>
      <c r="AJ140" s="944"/>
      <c r="AK140" s="946"/>
      <c r="AL140" s="946"/>
      <c r="AM140" s="946"/>
      <c r="AN140" s="944"/>
      <c r="AO140" s="944"/>
      <c r="AP140" s="944"/>
      <c r="AQ140" s="944"/>
    </row>
    <row r="141" s="945" customFormat="1" ht="15.75" spans="1:43">
      <c r="A141" s="944"/>
      <c r="B141" s="944"/>
      <c r="C141" s="944" t="s">
        <v>675</v>
      </c>
      <c r="D141" s="944"/>
      <c r="E141" s="1002">
        <f>SUBTOTAL(9,E129:E140)</f>
        <v>2990690879</v>
      </c>
      <c r="F141" s="1002">
        <f>SUBTOTAL(9,F129:F140)</f>
        <v>5051011679</v>
      </c>
      <c r="G141" s="1031" t="s">
        <v>675</v>
      </c>
      <c r="H141" s="1032">
        <f>SUBTOTAL(9,H129:H140)</f>
        <v>5315701051.59131</v>
      </c>
      <c r="I141" s="1039">
        <f>SUBTOTAL(9,I129:I140)</f>
        <v>7376021851.59131</v>
      </c>
      <c r="J141" s="1035" t="s">
        <v>737</v>
      </c>
      <c r="K141" s="1040" t="s">
        <v>13228</v>
      </c>
      <c r="L141" s="946"/>
      <c r="M141" s="946"/>
      <c r="N141" s="946"/>
      <c r="O141" s="946"/>
      <c r="P141" s="1009"/>
      <c r="Q141" s="944"/>
      <c r="R141" s="1009"/>
      <c r="S141" s="1009"/>
      <c r="T141" s="1009"/>
      <c r="U141" s="1009"/>
      <c r="V141" s="1009"/>
      <c r="W141" s="944"/>
      <c r="X141" s="994"/>
      <c r="Y141" s="944"/>
      <c r="Z141" s="943"/>
      <c r="AA141" s="994"/>
      <c r="AB141" s="1017"/>
      <c r="AC141" s="944"/>
      <c r="AD141" s="944"/>
      <c r="AE141" s="944"/>
      <c r="AF141" s="994"/>
      <c r="AG141" s="944"/>
      <c r="AH141" s="1022"/>
      <c r="AI141" s="1022"/>
      <c r="AJ141" s="944"/>
      <c r="AK141" s="946"/>
      <c r="AL141" s="946"/>
      <c r="AM141" s="946"/>
      <c r="AN141" s="944"/>
      <c r="AO141" s="944"/>
      <c r="AP141" s="944"/>
      <c r="AQ141" s="944"/>
    </row>
    <row r="142" s="945" customFormat="1" ht="13.2" spans="1:43">
      <c r="A142" s="944"/>
      <c r="B142" s="944"/>
      <c r="C142" s="944" t="s">
        <v>13229</v>
      </c>
      <c r="D142" s="944"/>
      <c r="E142" s="943"/>
      <c r="F142" s="1028"/>
      <c r="G142" s="946"/>
      <c r="H142" s="946">
        <f>L131-H141</f>
        <v>98593602</v>
      </c>
      <c r="I142" s="946">
        <f>+I141+H141</f>
        <v>12691722903.1826</v>
      </c>
      <c r="J142" s="944"/>
      <c r="K142" s="946" t="s">
        <v>13230</v>
      </c>
      <c r="L142" s="946">
        <f>+H128</f>
        <v>171693400</v>
      </c>
      <c r="M142" s="946"/>
      <c r="N142" s="946"/>
      <c r="O142" s="946"/>
      <c r="P142" s="1009"/>
      <c r="Q142" s="944"/>
      <c r="R142" s="1009"/>
      <c r="S142" s="1009"/>
      <c r="T142" s="1009"/>
      <c r="U142" s="1009"/>
      <c r="V142" s="1009"/>
      <c r="W142" s="944"/>
      <c r="X142" s="994"/>
      <c r="Y142" s="944"/>
      <c r="Z142" s="943"/>
      <c r="AA142" s="994"/>
      <c r="AB142" s="1017"/>
      <c r="AC142" s="944"/>
      <c r="AD142" s="944"/>
      <c r="AE142" s="944"/>
      <c r="AF142" s="994"/>
      <c r="AG142" s="944"/>
      <c r="AH142" s="1022"/>
      <c r="AI142" s="1022"/>
      <c r="AJ142" s="944"/>
      <c r="AK142" s="946"/>
      <c r="AL142" s="946"/>
      <c r="AM142" s="946"/>
      <c r="AN142" s="944"/>
      <c r="AO142" s="944"/>
      <c r="AP142" s="944"/>
      <c r="AQ142" s="944"/>
    </row>
    <row r="143" s="945" customFormat="1" ht="13.2" spans="1:43">
      <c r="A143" s="944"/>
      <c r="B143" s="944"/>
      <c r="C143" s="943"/>
      <c r="D143" s="943"/>
      <c r="E143" s="944"/>
      <c r="F143" s="1028"/>
      <c r="G143" s="946" t="s">
        <v>13231</v>
      </c>
      <c r="H143" s="946"/>
      <c r="I143" s="946"/>
      <c r="K143" s="946" t="s">
        <v>13232</v>
      </c>
      <c r="L143" s="1041">
        <f>+L142*12</f>
        <v>2060320800</v>
      </c>
      <c r="M143" s="946"/>
      <c r="N143" s="946"/>
      <c r="O143" s="946"/>
      <c r="P143" s="1009"/>
      <c r="Q143" s="944"/>
      <c r="R143" s="1009"/>
      <c r="S143" s="1009"/>
      <c r="T143" s="1009"/>
      <c r="U143" s="1009"/>
      <c r="V143" s="1009"/>
      <c r="W143" s="944"/>
      <c r="X143" s="994"/>
      <c r="Y143" s="944"/>
      <c r="Z143" s="943"/>
      <c r="AA143" s="994"/>
      <c r="AB143" s="1017"/>
      <c r="AC143" s="944"/>
      <c r="AD143" s="944"/>
      <c r="AE143" s="944"/>
      <c r="AF143" s="994"/>
      <c r="AG143" s="944"/>
      <c r="AH143" s="1022"/>
      <c r="AI143" s="1022"/>
      <c r="AJ143" s="944"/>
      <c r="AK143" s="946"/>
      <c r="AL143" s="946"/>
      <c r="AM143" s="946"/>
      <c r="AN143" s="944"/>
      <c r="AO143" s="944"/>
      <c r="AP143" s="944"/>
      <c r="AQ143" s="944"/>
    </row>
    <row r="144" s="945" customFormat="1" ht="13.2" spans="1:43">
      <c r="A144" s="944"/>
      <c r="B144" s="944"/>
      <c r="C144" s="943"/>
      <c r="D144" s="994"/>
      <c r="E144" s="944"/>
      <c r="F144" s="944"/>
      <c r="G144" s="943"/>
      <c r="H144" s="946"/>
      <c r="I144" s="946"/>
      <c r="J144" s="1035" t="s">
        <v>13233</v>
      </c>
      <c r="K144" s="944" t="s">
        <v>13234</v>
      </c>
      <c r="L144" s="1042">
        <f>+L136+L137+L143</f>
        <v>7474615453.59131</v>
      </c>
      <c r="M144" s="946"/>
      <c r="N144" s="946"/>
      <c r="O144" s="946"/>
      <c r="P144" s="1009"/>
      <c r="Q144" s="944"/>
      <c r="R144" s="1009"/>
      <c r="S144" s="1009"/>
      <c r="T144" s="1009"/>
      <c r="U144" s="1009"/>
      <c r="V144" s="1009"/>
      <c r="W144" s="944"/>
      <c r="X144" s="994"/>
      <c r="Y144" s="944"/>
      <c r="Z144" s="943"/>
      <c r="AA144" s="994"/>
      <c r="AB144" s="1017"/>
      <c r="AC144" s="944"/>
      <c r="AD144" s="944"/>
      <c r="AE144" s="944"/>
      <c r="AF144" s="994"/>
      <c r="AG144" s="944"/>
      <c r="AH144" s="1022"/>
      <c r="AI144" s="1022"/>
      <c r="AJ144" s="944"/>
      <c r="AK144" s="946"/>
      <c r="AL144" s="946"/>
      <c r="AM144" s="946"/>
      <c r="AN144" s="944"/>
      <c r="AO144" s="944"/>
      <c r="AP144" s="944"/>
      <c r="AQ144" s="944"/>
    </row>
    <row r="145" s="945" customFormat="1" ht="13.2" spans="1:43">
      <c r="A145" s="944"/>
      <c r="B145" s="944"/>
      <c r="C145" s="944"/>
      <c r="D145" s="994"/>
      <c r="E145" s="944"/>
      <c r="F145" s="944"/>
      <c r="G145" s="943"/>
      <c r="H145" s="946"/>
      <c r="I145" s="946"/>
      <c r="J145" s="1033"/>
      <c r="K145" s="944"/>
      <c r="L145" s="944"/>
      <c r="M145" s="946"/>
      <c r="N145" s="946"/>
      <c r="O145" s="946"/>
      <c r="P145" s="1009"/>
      <c r="Q145" s="944"/>
      <c r="R145" s="1009"/>
      <c r="S145" s="1009"/>
      <c r="T145" s="1009"/>
      <c r="U145" s="1009"/>
      <c r="V145" s="1009"/>
      <c r="W145" s="944"/>
      <c r="X145" s="994"/>
      <c r="Y145" s="944"/>
      <c r="Z145" s="943"/>
      <c r="AA145" s="994"/>
      <c r="AB145" s="1017"/>
      <c r="AC145" s="944"/>
      <c r="AD145" s="944"/>
      <c r="AE145" s="944"/>
      <c r="AF145" s="994"/>
      <c r="AG145" s="944"/>
      <c r="AH145" s="1022"/>
      <c r="AI145" s="1022"/>
      <c r="AJ145" s="944"/>
      <c r="AK145" s="946"/>
      <c r="AL145" s="946"/>
      <c r="AM145" s="946"/>
      <c r="AN145" s="944"/>
      <c r="AO145" s="944"/>
      <c r="AP145" s="944"/>
      <c r="AQ145" s="944"/>
    </row>
    <row r="146" s="945" customFormat="1" ht="13.2" spans="1:43">
      <c r="A146" s="944"/>
      <c r="B146" s="944"/>
      <c r="C146" s="944"/>
      <c r="D146" s="944"/>
      <c r="E146" s="944"/>
      <c r="F146" s="944"/>
      <c r="G146" s="944"/>
      <c r="H146" s="944"/>
      <c r="I146" s="946"/>
      <c r="J146" s="1043"/>
      <c r="K146" s="946"/>
      <c r="L146" s="946"/>
      <c r="M146" s="946"/>
      <c r="N146" s="946"/>
      <c r="O146" s="946"/>
      <c r="P146" s="1009"/>
      <c r="Q146" s="944"/>
      <c r="R146" s="1009"/>
      <c r="S146" s="1009"/>
      <c r="T146" s="1009"/>
      <c r="U146" s="1009"/>
      <c r="V146" s="1009"/>
      <c r="W146" s="944"/>
      <c r="X146" s="994"/>
      <c r="Y146" s="944"/>
      <c r="Z146" s="943"/>
      <c r="AA146" s="994"/>
      <c r="AB146" s="1017"/>
      <c r="AC146" s="944"/>
      <c r="AD146" s="944"/>
      <c r="AE146" s="944"/>
      <c r="AF146" s="994"/>
      <c r="AG146" s="944"/>
      <c r="AH146" s="1022"/>
      <c r="AI146" s="1022"/>
      <c r="AJ146" s="944"/>
      <c r="AK146" s="946"/>
      <c r="AL146" s="946"/>
      <c r="AM146" s="946"/>
      <c r="AN146" s="944"/>
      <c r="AO146" s="944"/>
      <c r="AP146" s="944"/>
      <c r="AQ146" s="944"/>
    </row>
    <row r="147" ht="13.8" spans="1:43">
      <c r="A147" s="944"/>
      <c r="B147" s="944"/>
      <c r="C147" s="943"/>
      <c r="D147" s="994"/>
      <c r="E147" s="944"/>
      <c r="F147" s="943"/>
      <c r="G147" s="943"/>
      <c r="J147" s="1043"/>
      <c r="K147" s="1044" t="s">
        <v>13235</v>
      </c>
      <c r="L147" s="946"/>
      <c r="M147" s="946"/>
      <c r="N147" s="946"/>
      <c r="O147" s="946"/>
      <c r="P147" s="1009"/>
      <c r="Q147" s="944"/>
      <c r="R147" s="1009"/>
      <c r="S147" s="1009"/>
      <c r="T147" s="1009"/>
      <c r="U147" s="1009"/>
      <c r="V147" s="1045"/>
      <c r="W147" s="944"/>
      <c r="X147" s="994"/>
      <c r="Y147" s="944"/>
      <c r="Z147" s="943"/>
      <c r="AA147" s="994"/>
      <c r="AB147" s="1017"/>
      <c r="AC147" s="944"/>
      <c r="AD147" s="944"/>
      <c r="AE147" s="944"/>
      <c r="AF147" s="994"/>
      <c r="AG147" s="944"/>
      <c r="AH147" s="1022"/>
      <c r="AI147" s="1022"/>
      <c r="AJ147" s="944"/>
      <c r="AK147" s="946"/>
      <c r="AL147" s="946"/>
      <c r="AM147" s="946"/>
      <c r="AN147" s="944"/>
      <c r="AO147" s="944"/>
      <c r="AP147" s="944"/>
      <c r="AQ147" s="944"/>
    </row>
    <row r="148" ht="13.8" spans="1:43">
      <c r="A148" s="944"/>
      <c r="B148" s="944"/>
      <c r="C148" s="943"/>
      <c r="D148" s="994"/>
      <c r="E148" s="944"/>
      <c r="F148" s="943"/>
      <c r="G148" s="943"/>
      <c r="J148" s="1043"/>
      <c r="K148" s="946" t="str">
        <f>+K129</f>
        <v>PEM</v>
      </c>
      <c r="L148" s="946"/>
      <c r="M148" s="946">
        <f>+L129</f>
        <v>0</v>
      </c>
      <c r="N148" s="946"/>
      <c r="O148" s="946"/>
      <c r="P148" s="1009"/>
      <c r="Q148" s="944"/>
      <c r="R148" s="1009"/>
      <c r="S148" s="1009"/>
      <c r="T148" s="1009"/>
      <c r="U148" s="1009"/>
      <c r="V148" s="1045"/>
      <c r="W148" s="944"/>
      <c r="X148" s="994"/>
      <c r="Y148" s="944"/>
      <c r="Z148" s="943"/>
      <c r="AA148" s="994"/>
      <c r="AB148" s="1017"/>
      <c r="AC148" s="944"/>
      <c r="AD148" s="944"/>
      <c r="AE148" s="944"/>
      <c r="AF148" s="994"/>
      <c r="AG148" s="944"/>
      <c r="AH148" s="1022"/>
      <c r="AI148" s="1022"/>
      <c r="AJ148" s="944"/>
      <c r="AK148" s="946"/>
      <c r="AL148" s="946"/>
      <c r="AM148" s="946"/>
      <c r="AN148" s="944"/>
      <c r="AO148" s="944"/>
      <c r="AP148" s="944"/>
      <c r="AQ148" s="944"/>
    </row>
    <row r="149" ht="13.8" spans="1:43">
      <c r="A149" s="944"/>
      <c r="B149" s="944"/>
      <c r="C149" s="943"/>
      <c r="D149" s="994"/>
      <c r="E149" s="944"/>
      <c r="F149" s="943"/>
      <c r="G149" s="943"/>
      <c r="J149" s="1043"/>
      <c r="K149" s="946" t="str">
        <f>+K125</f>
        <v>PT. Global Multiteknik Sejahtera</v>
      </c>
      <c r="L149" s="946"/>
      <c r="M149" s="946">
        <f>+L125</f>
        <v>1215000000</v>
      </c>
      <c r="N149" s="946"/>
      <c r="O149" s="946"/>
      <c r="P149" s="1009"/>
      <c r="Q149" s="944"/>
      <c r="R149" s="1009"/>
      <c r="S149" s="1009"/>
      <c r="T149" s="1009"/>
      <c r="U149" s="1009"/>
      <c r="V149" s="1045"/>
      <c r="W149" s="944"/>
      <c r="X149" s="994"/>
      <c r="Y149" s="944"/>
      <c r="Z149" s="943"/>
      <c r="AA149" s="994"/>
      <c r="AB149" s="1017"/>
      <c r="AC149" s="944"/>
      <c r="AD149" s="944"/>
      <c r="AE149" s="944"/>
      <c r="AF149" s="994"/>
      <c r="AG149" s="944"/>
      <c r="AH149" s="1022"/>
      <c r="AI149" s="1022"/>
      <c r="AJ149" s="944"/>
      <c r="AK149" s="946"/>
      <c r="AL149" s="946"/>
      <c r="AM149" s="946"/>
      <c r="AN149" s="944"/>
      <c r="AO149" s="944"/>
      <c r="AP149" s="944"/>
      <c r="AQ149" s="944"/>
    </row>
    <row r="150" ht="13.8" spans="1:43">
      <c r="A150" s="944"/>
      <c r="B150" s="944"/>
      <c r="C150" s="943"/>
      <c r="D150" s="994"/>
      <c r="E150" s="944"/>
      <c r="F150" s="943"/>
      <c r="G150" s="943"/>
      <c r="J150" s="1043"/>
      <c r="K150" s="946" t="str">
        <f>+K123</f>
        <v>PT. DAS</v>
      </c>
      <c r="L150" s="946"/>
      <c r="M150" s="946">
        <f>+L123</f>
        <v>54000000</v>
      </c>
      <c r="N150" s="946"/>
      <c r="O150" s="946"/>
      <c r="P150" s="1009"/>
      <c r="Q150" s="944"/>
      <c r="R150" s="1009"/>
      <c r="S150" s="1009"/>
      <c r="T150" s="1009"/>
      <c r="U150" s="1009"/>
      <c r="V150" s="1045"/>
      <c r="W150" s="944"/>
      <c r="X150" s="994"/>
      <c r="Y150" s="944"/>
      <c r="Z150" s="943"/>
      <c r="AA150" s="994"/>
      <c r="AB150" s="1017"/>
      <c r="AC150" s="944"/>
      <c r="AD150" s="944"/>
      <c r="AE150" s="944"/>
      <c r="AF150" s="994"/>
      <c r="AG150" s="944"/>
      <c r="AH150" s="1022"/>
      <c r="AI150" s="1022"/>
      <c r="AJ150" s="944"/>
      <c r="AK150" s="946"/>
      <c r="AL150" s="946"/>
      <c r="AM150" s="946"/>
      <c r="AN150" s="944"/>
      <c r="AO150" s="944"/>
      <c r="AP150" s="944"/>
      <c r="AQ150" s="944"/>
    </row>
    <row r="151" ht="13.8" spans="1:43">
      <c r="A151" s="944"/>
      <c r="B151" s="944"/>
      <c r="C151" s="943"/>
      <c r="D151" s="994"/>
      <c r="E151" s="944"/>
      <c r="F151" s="943"/>
      <c r="G151" s="943"/>
      <c r="J151" s="1043"/>
      <c r="K151" s="946" t="str">
        <f>+K121</f>
        <v>PT. Central Motor Wheel Ind</v>
      </c>
      <c r="L151" s="946"/>
      <c r="M151" s="946">
        <f>+L121</f>
        <v>1014603773.8796</v>
      </c>
      <c r="N151" s="946"/>
      <c r="O151" s="946"/>
      <c r="P151" s="1009"/>
      <c r="Q151" s="944"/>
      <c r="R151" s="1009"/>
      <c r="S151" s="1009"/>
      <c r="T151" s="1009"/>
      <c r="U151" s="1009"/>
      <c r="V151" s="1045"/>
      <c r="W151" s="944"/>
      <c r="X151" s="994"/>
      <c r="Y151" s="944"/>
      <c r="Z151" s="943"/>
      <c r="AA151" s="994"/>
      <c r="AB151" s="1017"/>
      <c r="AC151" s="944"/>
      <c r="AD151" s="944"/>
      <c r="AE151" s="944"/>
      <c r="AF151" s="994"/>
      <c r="AG151" s="944"/>
      <c r="AH151" s="1022"/>
      <c r="AI151" s="1022"/>
      <c r="AJ151" s="944"/>
      <c r="AK151" s="946"/>
      <c r="AL151" s="946"/>
      <c r="AM151" s="946"/>
      <c r="AN151" s="944"/>
      <c r="AO151" s="944"/>
      <c r="AP151" s="944"/>
      <c r="AQ151" s="944"/>
    </row>
    <row r="152" ht="13.8" spans="1:43">
      <c r="A152" s="944"/>
      <c r="B152" s="944"/>
      <c r="C152" s="943"/>
      <c r="D152" s="994"/>
      <c r="E152" s="944"/>
      <c r="F152" s="943"/>
      <c r="G152" s="943"/>
      <c r="J152" s="1043"/>
      <c r="K152" s="946" t="str">
        <f>+K119</f>
        <v>Hotel Borobudur Jakarta</v>
      </c>
      <c r="L152" s="946"/>
      <c r="M152" s="946">
        <f>+L119</f>
        <v>140000000</v>
      </c>
      <c r="N152" s="946"/>
      <c r="O152" s="946"/>
      <c r="P152" s="1009"/>
      <c r="Q152" s="944"/>
      <c r="R152" s="1009"/>
      <c r="S152" s="1009"/>
      <c r="T152" s="1009"/>
      <c r="U152" s="1009"/>
      <c r="V152" s="1045"/>
      <c r="W152" s="944"/>
      <c r="X152" s="994"/>
      <c r="Y152" s="944"/>
      <c r="Z152" s="943"/>
      <c r="AA152" s="994"/>
      <c r="AB152" s="1017"/>
      <c r="AC152" s="944"/>
      <c r="AD152" s="944"/>
      <c r="AE152" s="944"/>
      <c r="AF152" s="994"/>
      <c r="AG152" s="944"/>
      <c r="AH152" s="1022"/>
      <c r="AI152" s="1022"/>
      <c r="AJ152" s="944"/>
      <c r="AK152" s="946"/>
      <c r="AL152" s="946"/>
      <c r="AM152" s="946"/>
      <c r="AN152" s="944"/>
      <c r="AO152" s="944"/>
      <c r="AP152" s="944"/>
      <c r="AQ152" s="944"/>
    </row>
    <row r="153" ht="13.8" spans="1:43">
      <c r="A153" s="944"/>
      <c r="B153" s="944"/>
      <c r="C153" s="943"/>
      <c r="D153" s="994"/>
      <c r="E153" s="944"/>
      <c r="F153" s="943"/>
      <c r="G153" s="943"/>
      <c r="J153" s="1043"/>
      <c r="K153" s="1044" t="s">
        <v>151</v>
      </c>
      <c r="L153" s="1044"/>
      <c r="M153" s="1044">
        <f>SUM(M148:M152)</f>
        <v>2423603773.8796</v>
      </c>
      <c r="N153" s="946"/>
      <c r="O153" s="946"/>
      <c r="P153" s="1009"/>
      <c r="Q153" s="944"/>
      <c r="R153" s="1009"/>
      <c r="S153" s="1009"/>
      <c r="T153" s="1009"/>
      <c r="U153" s="1009"/>
      <c r="V153" s="1045"/>
      <c r="W153" s="944"/>
      <c r="X153" s="994"/>
      <c r="Y153" s="944"/>
      <c r="Z153" s="943"/>
      <c r="AA153" s="994"/>
      <c r="AB153" s="1017"/>
      <c r="AC153" s="944"/>
      <c r="AD153" s="944"/>
      <c r="AE153" s="944"/>
      <c r="AF153" s="994"/>
      <c r="AG153" s="944"/>
      <c r="AH153" s="1022"/>
      <c r="AI153" s="1022"/>
      <c r="AJ153" s="944"/>
      <c r="AK153" s="946"/>
      <c r="AL153" s="946"/>
      <c r="AM153" s="946"/>
      <c r="AN153" s="944"/>
      <c r="AO153" s="944"/>
      <c r="AP153" s="944"/>
      <c r="AQ153" s="944"/>
    </row>
    <row r="154" ht="13.8" spans="1:43">
      <c r="A154" s="944"/>
      <c r="B154" s="944"/>
      <c r="C154" s="943"/>
      <c r="D154" s="994"/>
      <c r="E154" s="944"/>
      <c r="F154" s="943"/>
      <c r="G154" s="943"/>
      <c r="J154" s="1043"/>
      <c r="K154" s="946"/>
      <c r="L154" s="946"/>
      <c r="M154" s="946"/>
      <c r="N154" s="946"/>
      <c r="O154" s="946"/>
      <c r="P154" s="1009"/>
      <c r="Q154" s="944"/>
      <c r="R154" s="1009"/>
      <c r="S154" s="1009"/>
      <c r="T154" s="1009"/>
      <c r="U154" s="1009"/>
      <c r="V154" s="1045"/>
      <c r="W154" s="944"/>
      <c r="X154" s="994"/>
      <c r="Y154" s="944"/>
      <c r="Z154" s="943"/>
      <c r="AA154" s="994"/>
      <c r="AB154" s="1017"/>
      <c r="AC154" s="944"/>
      <c r="AD154" s="944"/>
      <c r="AE154" s="944"/>
      <c r="AF154" s="994"/>
      <c r="AG154" s="944"/>
      <c r="AH154" s="1022"/>
      <c r="AI154" s="1022"/>
      <c r="AJ154" s="944"/>
      <c r="AK154" s="946"/>
      <c r="AL154" s="946"/>
      <c r="AM154" s="946"/>
      <c r="AN154" s="944"/>
      <c r="AO154" s="944"/>
      <c r="AP154" s="944"/>
      <c r="AQ154" s="944"/>
    </row>
    <row r="155" ht="13.8" spans="1:43">
      <c r="A155" s="944"/>
      <c r="B155" s="944"/>
      <c r="C155" s="943"/>
      <c r="D155" s="994"/>
      <c r="E155" s="944"/>
      <c r="F155" s="943"/>
      <c r="G155" s="943"/>
      <c r="J155" s="1043"/>
      <c r="K155" s="1044" t="s">
        <v>13236</v>
      </c>
      <c r="L155" s="946"/>
      <c r="M155" s="946"/>
      <c r="N155" s="946"/>
      <c r="O155" s="946"/>
      <c r="P155" s="1009"/>
      <c r="Q155" s="944"/>
      <c r="R155" s="1009"/>
      <c r="S155" s="1009"/>
      <c r="T155" s="1009"/>
      <c r="U155" s="1009"/>
      <c r="V155" s="1045"/>
      <c r="W155" s="944"/>
      <c r="X155" s="994"/>
      <c r="Y155" s="944"/>
      <c r="Z155" s="943"/>
      <c r="AA155" s="994"/>
      <c r="AB155" s="1017"/>
      <c r="AC155" s="944"/>
      <c r="AD155" s="944"/>
      <c r="AE155" s="944"/>
      <c r="AF155" s="994"/>
      <c r="AG155" s="944"/>
      <c r="AH155" s="1022"/>
      <c r="AI155" s="1022"/>
      <c r="AJ155" s="944"/>
      <c r="AK155" s="946"/>
      <c r="AL155" s="946"/>
      <c r="AM155" s="946"/>
      <c r="AN155" s="944"/>
      <c r="AO155" s="944"/>
      <c r="AP155" s="944"/>
      <c r="AQ155" s="944"/>
    </row>
    <row r="156" ht="13.8" spans="1:43">
      <c r="A156" s="944"/>
      <c r="B156" s="944"/>
      <c r="C156" s="943"/>
      <c r="D156" s="994"/>
      <c r="E156" s="944"/>
      <c r="F156" s="943"/>
      <c r="G156" s="943"/>
      <c r="J156" s="1043"/>
      <c r="K156" s="946" t="str">
        <f>+K118</f>
        <v>BOSL</v>
      </c>
      <c r="L156" s="946"/>
      <c r="M156" s="946">
        <f>+L118</f>
        <v>94823618</v>
      </c>
      <c r="N156" s="946"/>
      <c r="O156" s="946"/>
      <c r="P156" s="1009"/>
      <c r="Q156" s="944"/>
      <c r="R156" s="1009"/>
      <c r="S156" s="1009"/>
      <c r="T156" s="1009"/>
      <c r="U156" s="1009"/>
      <c r="V156" s="1045"/>
      <c r="W156" s="944"/>
      <c r="X156" s="994"/>
      <c r="Y156" s="944"/>
      <c r="Z156" s="943"/>
      <c r="AA156" s="994"/>
      <c r="AB156" s="1017"/>
      <c r="AC156" s="944"/>
      <c r="AD156" s="944"/>
      <c r="AE156" s="944"/>
      <c r="AF156" s="994"/>
      <c r="AG156" s="944"/>
      <c r="AH156" s="1022"/>
      <c r="AI156" s="1022"/>
      <c r="AJ156" s="944"/>
      <c r="AK156" s="946"/>
      <c r="AL156" s="946"/>
      <c r="AM156" s="946"/>
      <c r="AN156" s="944"/>
      <c r="AO156" s="944"/>
      <c r="AP156" s="944"/>
      <c r="AQ156" s="944"/>
    </row>
    <row r="157" ht="13.8" spans="1:43">
      <c r="A157" s="944"/>
      <c r="B157" s="944"/>
      <c r="C157" s="943"/>
      <c r="D157" s="994"/>
      <c r="E157" s="944"/>
      <c r="F157" s="943"/>
      <c r="G157" s="943"/>
      <c r="J157" s="1043"/>
      <c r="K157" s="946" t="str">
        <f>+K120</f>
        <v>PT. Central Motor Wheel Ind</v>
      </c>
      <c r="L157" s="946"/>
      <c r="M157" s="946">
        <f>+L120</f>
        <v>781927600</v>
      </c>
      <c r="N157" s="946"/>
      <c r="O157" s="946"/>
      <c r="P157" s="1009"/>
      <c r="Q157" s="944"/>
      <c r="R157" s="1009"/>
      <c r="S157" s="1009"/>
      <c r="T157" s="1009"/>
      <c r="U157" s="1009"/>
      <c r="V157" s="1045"/>
      <c r="W157" s="944"/>
      <c r="X157" s="994"/>
      <c r="Y157" s="944"/>
      <c r="Z157" s="943"/>
      <c r="AA157" s="994"/>
      <c r="AB157" s="1017"/>
      <c r="AC157" s="944"/>
      <c r="AD157" s="944"/>
      <c r="AE157" s="944"/>
      <c r="AF157" s="994"/>
      <c r="AG157" s="944"/>
      <c r="AH157" s="1022"/>
      <c r="AI157" s="1022"/>
      <c r="AJ157" s="944"/>
      <c r="AK157" s="946"/>
      <c r="AL157" s="946"/>
      <c r="AM157" s="946"/>
      <c r="AN157" s="944"/>
      <c r="AO157" s="944"/>
      <c r="AP157" s="944"/>
      <c r="AQ157" s="944"/>
    </row>
    <row r="158" ht="13.8" spans="1:43">
      <c r="A158" s="944"/>
      <c r="B158" s="944"/>
      <c r="C158" s="943"/>
      <c r="D158" s="994"/>
      <c r="E158" s="944"/>
      <c r="F158" s="943"/>
      <c r="G158" s="943"/>
      <c r="K158" s="946" t="str">
        <f>+K122</f>
        <v>PT. DAS</v>
      </c>
      <c r="L158" s="946"/>
      <c r="M158" s="946">
        <f>+L122</f>
        <v>90000000</v>
      </c>
      <c r="N158" s="946"/>
      <c r="O158" s="946"/>
      <c r="P158" s="1009"/>
      <c r="Q158" s="944"/>
      <c r="R158" s="1009"/>
      <c r="S158" s="1009"/>
      <c r="T158" s="1009"/>
      <c r="U158" s="1009"/>
      <c r="V158" s="1045"/>
      <c r="W158" s="944"/>
      <c r="X158" s="994"/>
      <c r="Y158" s="944"/>
      <c r="Z158" s="943"/>
      <c r="AA158" s="994"/>
      <c r="AB158" s="1017"/>
      <c r="AC158" s="944"/>
      <c r="AD158" s="944"/>
      <c r="AE158" s="944"/>
      <c r="AF158" s="994"/>
      <c r="AG158" s="944"/>
      <c r="AH158" s="1022"/>
      <c r="AI158" s="1022"/>
      <c r="AJ158" s="944"/>
      <c r="AK158" s="946"/>
      <c r="AL158" s="946"/>
      <c r="AM158" s="946"/>
      <c r="AN158" s="944"/>
      <c r="AO158" s="944"/>
      <c r="AP158" s="944"/>
      <c r="AQ158" s="944"/>
    </row>
    <row r="159" ht="13.8" spans="1:43">
      <c r="A159" s="944"/>
      <c r="B159" s="944"/>
      <c r="C159" s="943"/>
      <c r="D159" s="994"/>
      <c r="E159" s="944"/>
      <c r="F159" s="943"/>
      <c r="G159" s="943"/>
      <c r="K159" s="946" t="str">
        <f>+K124</f>
        <v>PT. GAS</v>
      </c>
      <c r="L159" s="946"/>
      <c r="M159" s="946">
        <f>+L124</f>
        <v>120000000</v>
      </c>
      <c r="N159" s="946"/>
      <c r="O159" s="946"/>
      <c r="P159" s="1009"/>
      <c r="Q159" s="944"/>
      <c r="R159" s="1009"/>
      <c r="S159" s="1009"/>
      <c r="T159" s="1009"/>
      <c r="U159" s="1009"/>
      <c r="V159" s="1045"/>
      <c r="W159" s="944"/>
      <c r="X159" s="994"/>
      <c r="Y159" s="944"/>
      <c r="Z159" s="943"/>
      <c r="AA159" s="994"/>
      <c r="AB159" s="1017"/>
      <c r="AC159" s="944"/>
      <c r="AD159" s="944"/>
      <c r="AE159" s="944"/>
      <c r="AF159" s="994"/>
      <c r="AG159" s="944"/>
      <c r="AH159" s="1022"/>
      <c r="AI159" s="1022"/>
      <c r="AJ159" s="944"/>
      <c r="AK159" s="946"/>
      <c r="AL159" s="946"/>
      <c r="AM159" s="946"/>
      <c r="AN159" s="944"/>
      <c r="AO159" s="944"/>
      <c r="AP159" s="944"/>
      <c r="AQ159" s="944"/>
    </row>
    <row r="160" ht="13.8" spans="1:43">
      <c r="A160" s="944"/>
      <c r="B160" s="944"/>
      <c r="C160" s="943"/>
      <c r="D160" s="994"/>
      <c r="E160" s="944"/>
      <c r="F160" s="943"/>
      <c r="G160" s="943"/>
      <c r="K160" s="946" t="str">
        <f>+K126</f>
        <v>PT. Grahaniaga Tatautama</v>
      </c>
      <c r="L160" s="946"/>
      <c r="M160" s="946">
        <f>+L126</f>
        <v>530488750</v>
      </c>
      <c r="N160" s="946"/>
      <c r="O160" s="946"/>
      <c r="P160" s="1009"/>
      <c r="Q160" s="944"/>
      <c r="R160" s="1009"/>
      <c r="S160" s="1009"/>
      <c r="T160" s="1009"/>
      <c r="U160" s="1009"/>
      <c r="V160" s="1045"/>
      <c r="W160" s="944"/>
      <c r="X160" s="994"/>
      <c r="Y160" s="944"/>
      <c r="Z160" s="943"/>
      <c r="AA160" s="994"/>
      <c r="AB160" s="1017"/>
      <c r="AC160" s="944"/>
      <c r="AD160" s="944"/>
      <c r="AE160" s="944"/>
      <c r="AF160" s="994"/>
      <c r="AG160" s="944"/>
      <c r="AH160" s="1022"/>
      <c r="AI160" s="1022"/>
      <c r="AJ160" s="944"/>
      <c r="AK160" s="946"/>
      <c r="AL160" s="946"/>
      <c r="AM160" s="946"/>
      <c r="AN160" s="944"/>
      <c r="AO160" s="944"/>
      <c r="AP160" s="944"/>
      <c r="AQ160" s="944"/>
    </row>
    <row r="161" ht="13.8" spans="1:43">
      <c r="A161" s="944"/>
      <c r="B161" s="944"/>
      <c r="C161" s="943"/>
      <c r="D161" s="994"/>
      <c r="E161" s="944"/>
      <c r="F161" s="943"/>
      <c r="G161" s="943"/>
      <c r="K161" s="946" t="str">
        <f>+K127</f>
        <v>PT. Patra Logistic</v>
      </c>
      <c r="L161" s="946"/>
      <c r="M161" s="946">
        <f>+L127</f>
        <v>1315200000</v>
      </c>
      <c r="N161" s="946"/>
      <c r="O161" s="946"/>
      <c r="P161" s="1009"/>
      <c r="Q161" s="944"/>
      <c r="R161" s="1009"/>
      <c r="S161" s="1009"/>
      <c r="T161" s="1009"/>
      <c r="U161" s="1009"/>
      <c r="V161" s="1045"/>
      <c r="W161" s="944"/>
      <c r="X161" s="994"/>
      <c r="Y161" s="944"/>
      <c r="Z161" s="943"/>
      <c r="AA161" s="994"/>
      <c r="AB161" s="1017"/>
      <c r="AC161" s="944"/>
      <c r="AD161" s="944"/>
      <c r="AE161" s="944"/>
      <c r="AF161" s="994"/>
      <c r="AG161" s="944"/>
      <c r="AH161" s="1022"/>
      <c r="AI161" s="1022"/>
      <c r="AJ161" s="944"/>
      <c r="AK161" s="946"/>
      <c r="AL161" s="946"/>
      <c r="AM161" s="946"/>
      <c r="AN161" s="944"/>
      <c r="AO161" s="944"/>
      <c r="AP161" s="944"/>
      <c r="AQ161" s="944"/>
    </row>
    <row r="162" ht="13.8" spans="1:43">
      <c r="A162" s="944"/>
      <c r="B162" s="944"/>
      <c r="C162" s="943"/>
      <c r="D162" s="994"/>
      <c r="E162" s="944"/>
      <c r="F162" s="943"/>
      <c r="G162" s="943"/>
      <c r="K162" s="946" t="str">
        <f>+K128</f>
        <v>SARIARTHAMAS HOTEL INTERNATIONAL PT </v>
      </c>
      <c r="L162" s="946"/>
      <c r="M162" s="946">
        <f>+L128</f>
        <v>58250911.7117117</v>
      </c>
      <c r="N162" s="946"/>
      <c r="O162" s="946"/>
      <c r="P162" s="1009"/>
      <c r="Q162" s="944"/>
      <c r="R162" s="1009"/>
      <c r="S162" s="1009"/>
      <c r="T162" s="1009"/>
      <c r="U162" s="1009"/>
      <c r="V162" s="1045"/>
      <c r="W162" s="944"/>
      <c r="X162" s="994"/>
      <c r="Y162" s="944"/>
      <c r="Z162" s="943"/>
      <c r="AA162" s="994"/>
      <c r="AB162" s="1017"/>
      <c r="AC162" s="944"/>
      <c r="AD162" s="944"/>
      <c r="AE162" s="944"/>
      <c r="AF162" s="994"/>
      <c r="AG162" s="944"/>
      <c r="AH162" s="1022"/>
      <c r="AI162" s="1022"/>
      <c r="AJ162" s="944"/>
      <c r="AK162" s="946"/>
      <c r="AL162" s="946"/>
      <c r="AM162" s="946"/>
      <c r="AN162" s="944"/>
      <c r="AO162" s="944"/>
      <c r="AP162" s="944"/>
      <c r="AQ162" s="944"/>
    </row>
    <row r="163" ht="13.8" spans="1:43">
      <c r="A163" s="944"/>
      <c r="B163" s="944"/>
      <c r="C163" s="943"/>
      <c r="D163" s="994"/>
      <c r="E163" s="944"/>
      <c r="F163" s="943"/>
      <c r="G163" s="943"/>
      <c r="K163" s="1044" t="s">
        <v>151</v>
      </c>
      <c r="L163" s="946"/>
      <c r="M163" s="1044">
        <f ca="1">SUM(M156:M163)</f>
        <v>0</v>
      </c>
      <c r="N163" s="946"/>
      <c r="O163" s="946"/>
      <c r="P163" s="1009"/>
      <c r="Q163" s="944"/>
      <c r="R163" s="1009"/>
      <c r="S163" s="1009"/>
      <c r="T163" s="1009"/>
      <c r="U163" s="1009"/>
      <c r="V163" s="1045"/>
      <c r="W163" s="944"/>
      <c r="X163" s="994"/>
      <c r="Y163" s="944"/>
      <c r="Z163" s="943"/>
      <c r="AA163" s="994"/>
      <c r="AB163" s="1017"/>
      <c r="AC163" s="944"/>
      <c r="AD163" s="944"/>
      <c r="AE163" s="944"/>
      <c r="AF163" s="994"/>
      <c r="AG163" s="944"/>
      <c r="AH163" s="1022"/>
      <c r="AI163" s="1022"/>
      <c r="AJ163" s="944"/>
      <c r="AK163" s="946"/>
      <c r="AL163" s="946"/>
      <c r="AM163" s="946"/>
      <c r="AN163" s="944"/>
      <c r="AO163" s="944"/>
      <c r="AP163" s="944"/>
      <c r="AQ163" s="944"/>
    </row>
    <row r="164" ht="13.8" spans="1:43">
      <c r="A164" s="944"/>
      <c r="B164" s="944"/>
      <c r="C164" s="943"/>
      <c r="D164" s="994"/>
      <c r="E164" s="944"/>
      <c r="F164" s="943"/>
      <c r="G164" s="943"/>
      <c r="K164" s="946"/>
      <c r="L164" s="946"/>
      <c r="M164" s="946"/>
      <c r="N164" s="946"/>
      <c r="O164" s="946"/>
      <c r="P164" s="1009"/>
      <c r="Q164" s="944"/>
      <c r="R164" s="1009"/>
      <c r="S164" s="1009"/>
      <c r="T164" s="1009"/>
      <c r="U164" s="1009"/>
      <c r="V164" s="1045"/>
      <c r="W164" s="944"/>
      <c r="X164" s="994"/>
      <c r="Y164" s="944"/>
      <c r="Z164" s="943"/>
      <c r="AA164" s="994"/>
      <c r="AB164" s="1017"/>
      <c r="AC164" s="944"/>
      <c r="AD164" s="944"/>
      <c r="AE164" s="944"/>
      <c r="AF164" s="994"/>
      <c r="AG164" s="944"/>
      <c r="AH164" s="1022"/>
      <c r="AI164" s="1022"/>
      <c r="AJ164" s="944"/>
      <c r="AK164" s="946"/>
      <c r="AL164" s="946"/>
      <c r="AM164" s="946"/>
      <c r="AN164" s="944"/>
      <c r="AO164" s="944"/>
      <c r="AP164" s="944"/>
      <c r="AQ164" s="944"/>
    </row>
    <row r="165" ht="13.8" spans="1:43">
      <c r="A165" s="944"/>
      <c r="B165" s="944"/>
      <c r="C165" s="943"/>
      <c r="D165" s="994"/>
      <c r="E165" s="944"/>
      <c r="F165" s="943"/>
      <c r="G165" s="943"/>
      <c r="K165" s="946"/>
      <c r="L165" s="946"/>
      <c r="M165" s="946"/>
      <c r="N165" s="946"/>
      <c r="O165" s="946"/>
      <c r="P165" s="1009"/>
      <c r="Q165" s="944"/>
      <c r="R165" s="1009"/>
      <c r="S165" s="1009"/>
      <c r="T165" s="1009"/>
      <c r="U165" s="1009"/>
      <c r="V165" s="1045"/>
      <c r="W165" s="944"/>
      <c r="X165" s="994"/>
      <c r="Y165" s="944"/>
      <c r="Z165" s="943"/>
      <c r="AA165" s="994"/>
      <c r="AB165" s="1017"/>
      <c r="AC165" s="944"/>
      <c r="AD165" s="944"/>
      <c r="AE165" s="944"/>
      <c r="AF165" s="994"/>
      <c r="AG165" s="944"/>
      <c r="AH165" s="1022"/>
      <c r="AI165" s="1022"/>
      <c r="AJ165" s="944"/>
      <c r="AK165" s="946"/>
      <c r="AL165" s="946"/>
      <c r="AM165" s="946"/>
      <c r="AN165" s="944"/>
      <c r="AO165" s="944"/>
      <c r="AP165" s="944"/>
      <c r="AQ165" s="944"/>
    </row>
    <row r="166" ht="13.8" spans="1:43">
      <c r="A166" s="944"/>
      <c r="B166" s="944"/>
      <c r="C166" s="943"/>
      <c r="D166" s="994"/>
      <c r="E166" s="944"/>
      <c r="F166" s="943"/>
      <c r="G166" s="943"/>
      <c r="K166" s="946"/>
      <c r="L166" s="946"/>
      <c r="M166" s="946"/>
      <c r="N166" s="946"/>
      <c r="O166" s="946"/>
      <c r="P166" s="1009"/>
      <c r="Q166" s="944"/>
      <c r="R166" s="1009"/>
      <c r="S166" s="1009"/>
      <c r="T166" s="1009"/>
      <c r="U166" s="1009"/>
      <c r="V166" s="1045"/>
      <c r="W166" s="944"/>
      <c r="X166" s="994"/>
      <c r="Y166" s="944"/>
      <c r="Z166" s="943"/>
      <c r="AA166" s="994"/>
      <c r="AB166" s="1017"/>
      <c r="AC166" s="944"/>
      <c r="AD166" s="944"/>
      <c r="AE166" s="944"/>
      <c r="AF166" s="994"/>
      <c r="AG166" s="944"/>
      <c r="AH166" s="1022"/>
      <c r="AI166" s="1022"/>
      <c r="AJ166" s="944"/>
      <c r="AK166" s="946"/>
      <c r="AL166" s="946"/>
      <c r="AM166" s="946"/>
      <c r="AN166" s="944"/>
      <c r="AO166" s="944"/>
      <c r="AP166" s="944"/>
      <c r="AQ166" s="944"/>
    </row>
    <row r="167" ht="13.8" spans="1:43">
      <c r="A167" s="944"/>
      <c r="B167" s="944"/>
      <c r="C167" s="943"/>
      <c r="D167" s="994"/>
      <c r="E167" s="944"/>
      <c r="F167" s="943"/>
      <c r="G167" s="943"/>
      <c r="K167" s="946"/>
      <c r="L167" s="946"/>
      <c r="M167" s="946"/>
      <c r="N167" s="946"/>
      <c r="O167" s="946"/>
      <c r="P167" s="1009"/>
      <c r="Q167" s="944"/>
      <c r="R167" s="1009"/>
      <c r="S167" s="1009"/>
      <c r="T167" s="1009"/>
      <c r="U167" s="1009"/>
      <c r="V167" s="1045"/>
      <c r="W167" s="944"/>
      <c r="X167" s="994"/>
      <c r="Y167" s="944"/>
      <c r="Z167" s="943"/>
      <c r="AA167" s="994"/>
      <c r="AB167" s="1017"/>
      <c r="AC167" s="944"/>
      <c r="AD167" s="944"/>
      <c r="AE167" s="944"/>
      <c r="AF167" s="994"/>
      <c r="AG167" s="944"/>
      <c r="AH167" s="1022"/>
      <c r="AI167" s="1022"/>
      <c r="AJ167" s="944"/>
      <c r="AK167" s="946"/>
      <c r="AL167" s="946"/>
      <c r="AM167" s="946"/>
      <c r="AN167" s="944"/>
      <c r="AO167" s="944"/>
      <c r="AP167" s="944"/>
      <c r="AQ167" s="944"/>
    </row>
    <row r="168" ht="13.8" spans="1:43">
      <c r="A168" s="944"/>
      <c r="B168" s="944"/>
      <c r="C168" s="943"/>
      <c r="D168" s="994"/>
      <c r="E168" s="944"/>
      <c r="F168" s="943"/>
      <c r="G168" s="943"/>
      <c r="K168" s="946"/>
      <c r="L168" s="946"/>
      <c r="M168" s="946"/>
      <c r="N168" s="946"/>
      <c r="O168" s="946"/>
      <c r="P168" s="1009"/>
      <c r="Q168" s="944"/>
      <c r="R168" s="1009"/>
      <c r="S168" s="1009"/>
      <c r="T168" s="1009"/>
      <c r="U168" s="1009"/>
      <c r="V168" s="1045"/>
      <c r="W168" s="944"/>
      <c r="X168" s="994"/>
      <c r="Y168" s="944"/>
      <c r="Z168" s="943"/>
      <c r="AA168" s="994"/>
      <c r="AB168" s="1017"/>
      <c r="AC168" s="944"/>
      <c r="AD168" s="944"/>
      <c r="AE168" s="944"/>
      <c r="AF168" s="994"/>
      <c r="AG168" s="944"/>
      <c r="AH168" s="1022"/>
      <c r="AI168" s="1022"/>
      <c r="AJ168" s="944"/>
      <c r="AK168" s="946"/>
      <c r="AL168" s="946"/>
      <c r="AM168" s="946"/>
      <c r="AN168" s="944"/>
      <c r="AO168" s="944"/>
      <c r="AP168" s="944"/>
      <c r="AQ168" s="944"/>
    </row>
    <row r="169" ht="13.8" spans="1:43">
      <c r="A169" s="944"/>
      <c r="B169" s="944"/>
      <c r="C169" s="943"/>
      <c r="D169" s="994"/>
      <c r="E169" s="944"/>
      <c r="F169" s="943"/>
      <c r="G169" s="943"/>
      <c r="K169" s="946"/>
      <c r="L169" s="946"/>
      <c r="M169" s="946"/>
      <c r="N169" s="946"/>
      <c r="O169" s="946"/>
      <c r="P169" s="1009"/>
      <c r="Q169" s="944"/>
      <c r="R169" s="1009"/>
      <c r="S169" s="1009"/>
      <c r="T169" s="1009"/>
      <c r="U169" s="1009"/>
      <c r="V169" s="1045"/>
      <c r="W169" s="944"/>
      <c r="X169" s="994"/>
      <c r="Y169" s="944"/>
      <c r="Z169" s="943"/>
      <c r="AA169" s="994"/>
      <c r="AB169" s="1017"/>
      <c r="AC169" s="944"/>
      <c r="AD169" s="944"/>
      <c r="AE169" s="944"/>
      <c r="AF169" s="994"/>
      <c r="AG169" s="944"/>
      <c r="AH169" s="1022"/>
      <c r="AI169" s="1022"/>
      <c r="AJ169" s="944"/>
      <c r="AK169" s="946"/>
      <c r="AL169" s="946"/>
      <c r="AM169" s="946"/>
      <c r="AN169" s="944"/>
      <c r="AO169" s="944"/>
      <c r="AP169" s="944"/>
      <c r="AQ169" s="944"/>
    </row>
    <row r="170" ht="13.8" spans="1:43">
      <c r="A170" s="944"/>
      <c r="B170" s="944"/>
      <c r="C170" s="943"/>
      <c r="D170" s="994"/>
      <c r="E170" s="944"/>
      <c r="F170" s="943"/>
      <c r="G170" s="943"/>
      <c r="K170" s="946"/>
      <c r="L170" s="946"/>
      <c r="M170" s="946"/>
      <c r="N170" s="946"/>
      <c r="O170" s="946"/>
      <c r="P170" s="1009"/>
      <c r="Q170" s="944"/>
      <c r="R170" s="1009"/>
      <c r="S170" s="1009"/>
      <c r="T170" s="1009"/>
      <c r="U170" s="1009"/>
      <c r="V170" s="1045"/>
      <c r="W170" s="944"/>
      <c r="X170" s="994"/>
      <c r="Y170" s="944"/>
      <c r="Z170" s="943"/>
      <c r="AA170" s="994"/>
      <c r="AB170" s="1017"/>
      <c r="AC170" s="944"/>
      <c r="AD170" s="944"/>
      <c r="AE170" s="944"/>
      <c r="AF170" s="994"/>
      <c r="AG170" s="944"/>
      <c r="AH170" s="1022"/>
      <c r="AI170" s="1022"/>
      <c r="AJ170" s="944"/>
      <c r="AK170" s="946"/>
      <c r="AL170" s="946"/>
      <c r="AM170" s="946"/>
      <c r="AN170" s="944"/>
      <c r="AO170" s="944"/>
      <c r="AP170" s="944"/>
      <c r="AQ170" s="944"/>
    </row>
    <row r="171" ht="13.8" spans="1:43">
      <c r="A171" s="944"/>
      <c r="B171" s="944"/>
      <c r="C171" s="943"/>
      <c r="D171" s="994"/>
      <c r="E171" s="944"/>
      <c r="F171" s="943"/>
      <c r="G171" s="943"/>
      <c r="K171" s="946"/>
      <c r="L171" s="946"/>
      <c r="M171" s="946"/>
      <c r="N171" s="946"/>
      <c r="O171" s="946"/>
      <c r="P171" s="1009"/>
      <c r="Q171" s="944"/>
      <c r="R171" s="1009"/>
      <c r="S171" s="1009"/>
      <c r="T171" s="1009"/>
      <c r="U171" s="1009"/>
      <c r="V171" s="1045"/>
      <c r="W171" s="944"/>
      <c r="X171" s="994"/>
      <c r="Y171" s="944"/>
      <c r="Z171" s="943"/>
      <c r="AA171" s="994"/>
      <c r="AB171" s="1017"/>
      <c r="AC171" s="944"/>
      <c r="AD171" s="944"/>
      <c r="AE171" s="944"/>
      <c r="AF171" s="994"/>
      <c r="AG171" s="944"/>
      <c r="AH171" s="1022"/>
      <c r="AI171" s="1022"/>
      <c r="AJ171" s="944"/>
      <c r="AK171" s="946"/>
      <c r="AL171" s="946"/>
      <c r="AM171" s="946"/>
      <c r="AN171" s="944"/>
      <c r="AO171" s="944"/>
      <c r="AP171" s="944"/>
      <c r="AQ171" s="944"/>
    </row>
    <row r="172" ht="13.8" spans="1:43">
      <c r="A172" s="944"/>
      <c r="B172" s="944"/>
      <c r="C172" s="943"/>
      <c r="D172" s="994"/>
      <c r="E172" s="944"/>
      <c r="F172" s="943"/>
      <c r="G172" s="943"/>
      <c r="K172" s="946"/>
      <c r="L172" s="946"/>
      <c r="M172" s="946"/>
      <c r="N172" s="946"/>
      <c r="O172" s="946"/>
      <c r="P172" s="1009"/>
      <c r="Q172" s="944"/>
      <c r="R172" s="1009"/>
      <c r="S172" s="1009"/>
      <c r="T172" s="1009"/>
      <c r="U172" s="1009"/>
      <c r="V172" s="1045"/>
      <c r="W172" s="944"/>
      <c r="X172" s="994"/>
      <c r="Y172" s="944"/>
      <c r="Z172" s="943"/>
      <c r="AA172" s="994"/>
      <c r="AB172" s="1017"/>
      <c r="AC172" s="944"/>
      <c r="AD172" s="944"/>
      <c r="AE172" s="944"/>
      <c r="AF172" s="994"/>
      <c r="AG172" s="944"/>
      <c r="AH172" s="1022"/>
      <c r="AI172" s="1022"/>
      <c r="AJ172" s="944"/>
      <c r="AK172" s="946"/>
      <c r="AL172" s="946"/>
      <c r="AM172" s="946"/>
      <c r="AN172" s="944"/>
      <c r="AO172" s="944"/>
      <c r="AP172" s="944"/>
      <c r="AQ172" s="944"/>
    </row>
    <row r="173" ht="13.8" spans="1:43">
      <c r="A173" s="944"/>
      <c r="B173" s="944"/>
      <c r="C173" s="943"/>
      <c r="D173" s="994"/>
      <c r="E173" s="944"/>
      <c r="F173" s="943"/>
      <c r="G173" s="943"/>
      <c r="K173" s="946"/>
      <c r="L173" s="946"/>
      <c r="M173" s="946"/>
      <c r="N173" s="946"/>
      <c r="O173" s="946"/>
      <c r="P173" s="1009"/>
      <c r="Q173" s="944"/>
      <c r="R173" s="1009"/>
      <c r="S173" s="1009"/>
      <c r="T173" s="1009"/>
      <c r="U173" s="1009"/>
      <c r="V173" s="1045"/>
      <c r="W173" s="944"/>
      <c r="X173" s="994"/>
      <c r="Y173" s="944"/>
      <c r="Z173" s="943"/>
      <c r="AA173" s="994"/>
      <c r="AB173" s="1017"/>
      <c r="AC173" s="944"/>
      <c r="AD173" s="944"/>
      <c r="AE173" s="944"/>
      <c r="AF173" s="994"/>
      <c r="AG173" s="944"/>
      <c r="AH173" s="1022"/>
      <c r="AI173" s="1022"/>
      <c r="AJ173" s="944"/>
      <c r="AK173" s="946"/>
      <c r="AL173" s="946"/>
      <c r="AM173" s="946"/>
      <c r="AN173" s="944"/>
      <c r="AO173" s="944"/>
      <c r="AP173" s="944"/>
      <c r="AQ173" s="944"/>
    </row>
    <row r="174" ht="13.8" spans="1:43">
      <c r="A174" s="944"/>
      <c r="B174" s="944"/>
      <c r="C174" s="943"/>
      <c r="D174" s="994"/>
      <c r="E174" s="944"/>
      <c r="F174" s="943"/>
      <c r="G174" s="943"/>
      <c r="K174" s="946"/>
      <c r="L174" s="946"/>
      <c r="M174" s="946"/>
      <c r="N174" s="946"/>
      <c r="O174" s="946"/>
      <c r="P174" s="1009"/>
      <c r="Q174" s="944"/>
      <c r="R174" s="1009"/>
      <c r="S174" s="1009"/>
      <c r="T174" s="1009"/>
      <c r="U174" s="1009"/>
      <c r="V174" s="1045"/>
      <c r="W174" s="944"/>
      <c r="X174" s="994"/>
      <c r="Y174" s="944"/>
      <c r="Z174" s="943"/>
      <c r="AA174" s="994"/>
      <c r="AB174" s="1017"/>
      <c r="AC174" s="944"/>
      <c r="AD174" s="944"/>
      <c r="AE174" s="944"/>
      <c r="AF174" s="994"/>
      <c r="AG174" s="944"/>
      <c r="AH174" s="1022"/>
      <c r="AI174" s="1022"/>
      <c r="AJ174" s="944"/>
      <c r="AK174" s="946"/>
      <c r="AL174" s="946"/>
      <c r="AM174" s="946"/>
      <c r="AN174" s="944"/>
      <c r="AO174" s="944"/>
      <c r="AP174" s="944"/>
      <c r="AQ174" s="944"/>
    </row>
    <row r="175" spans="37:39">
      <c r="AK175" s="786"/>
      <c r="AL175" s="786"/>
      <c r="AM175" s="786"/>
    </row>
    <row r="176" spans="37:39">
      <c r="AK176" s="786"/>
      <c r="AL176" s="786"/>
      <c r="AM176" s="786"/>
    </row>
    <row r="177" spans="37:39">
      <c r="AK177" s="786"/>
      <c r="AL177" s="786"/>
      <c r="AM177" s="786"/>
    </row>
    <row r="178" spans="37:39">
      <c r="AK178" s="786"/>
      <c r="AL178" s="786"/>
      <c r="AM178" s="786"/>
    </row>
    <row r="179" spans="37:39">
      <c r="AK179" s="786"/>
      <c r="AL179" s="786"/>
      <c r="AM179" s="786"/>
    </row>
    <row r="180" spans="37:39">
      <c r="AK180" s="786"/>
      <c r="AL180" s="786"/>
      <c r="AM180" s="786"/>
    </row>
    <row r="181" spans="37:39">
      <c r="AK181" s="786"/>
      <c r="AL181" s="786"/>
      <c r="AM181" s="786"/>
    </row>
    <row r="182" spans="37:39">
      <c r="AK182" s="786"/>
      <c r="AL182" s="786"/>
      <c r="AM182" s="786"/>
    </row>
    <row r="183" spans="37:39">
      <c r="AK183" s="786"/>
      <c r="AL183" s="786"/>
      <c r="AM183" s="786"/>
    </row>
    <row r="184" spans="37:39">
      <c r="AK184" s="786"/>
      <c r="AL184" s="786"/>
      <c r="AM184" s="786"/>
    </row>
    <row r="185" spans="37:39">
      <c r="AK185" s="786"/>
      <c r="AL185" s="786"/>
      <c r="AM185" s="786"/>
    </row>
    <row r="186" spans="37:39">
      <c r="AK186" s="786"/>
      <c r="AL186" s="786"/>
      <c r="AM186" s="786"/>
    </row>
    <row r="187" spans="37:39">
      <c r="AK187" s="786"/>
      <c r="AL187" s="786"/>
      <c r="AM187" s="786"/>
    </row>
    <row r="188" spans="37:39">
      <c r="AK188" s="786"/>
      <c r="AL188" s="786"/>
      <c r="AM188" s="786"/>
    </row>
    <row r="189" spans="37:39">
      <c r="AK189" s="786"/>
      <c r="AL189" s="786"/>
      <c r="AM189" s="786"/>
    </row>
    <row r="190" spans="37:39">
      <c r="AK190" s="786"/>
      <c r="AL190" s="786"/>
      <c r="AM190" s="786"/>
    </row>
    <row r="191" spans="37:39">
      <c r="AK191" s="786"/>
      <c r="AL191" s="786"/>
      <c r="AM191" s="786"/>
    </row>
    <row r="192" spans="37:39">
      <c r="AK192" s="786"/>
      <c r="AL192" s="786"/>
      <c r="AM192" s="786"/>
    </row>
    <row r="193" spans="37:39">
      <c r="AK193" s="786"/>
      <c r="AL193" s="786"/>
      <c r="AM193" s="786"/>
    </row>
    <row r="194" spans="37:39">
      <c r="AK194" s="786"/>
      <c r="AL194" s="786"/>
      <c r="AM194" s="786"/>
    </row>
    <row r="195" spans="37:39">
      <c r="AK195" s="786"/>
      <c r="AL195" s="786"/>
      <c r="AM195" s="786"/>
    </row>
    <row r="196" spans="37:39">
      <c r="AK196" s="786"/>
      <c r="AL196" s="786"/>
      <c r="AM196" s="786"/>
    </row>
    <row r="197" spans="37:39">
      <c r="AK197" s="786"/>
      <c r="AL197" s="786"/>
      <c r="AM197" s="786"/>
    </row>
    <row r="198" spans="37:39">
      <c r="AK198" s="786"/>
      <c r="AL198" s="786"/>
      <c r="AM198" s="786"/>
    </row>
    <row r="199" spans="37:39">
      <c r="AK199" s="786"/>
      <c r="AL199" s="786"/>
      <c r="AM199" s="786"/>
    </row>
    <row r="200" spans="37:39">
      <c r="AK200" s="786"/>
      <c r="AL200" s="786"/>
      <c r="AM200" s="786"/>
    </row>
    <row r="201" spans="37:39">
      <c r="AK201" s="786"/>
      <c r="AL201" s="786"/>
      <c r="AM201" s="786"/>
    </row>
    <row r="202" spans="37:39">
      <c r="AK202" s="786"/>
      <c r="AL202" s="786"/>
      <c r="AM202" s="786"/>
    </row>
    <row r="203" spans="37:39">
      <c r="AK203" s="786"/>
      <c r="AL203" s="786"/>
      <c r="AM203" s="786"/>
    </row>
    <row r="204" spans="37:39">
      <c r="AK204" s="786"/>
      <c r="AL204" s="786"/>
      <c r="AM204" s="786"/>
    </row>
    <row r="205" spans="37:39">
      <c r="AK205" s="786"/>
      <c r="AL205" s="786"/>
      <c r="AM205" s="786"/>
    </row>
    <row r="206" spans="37:39">
      <c r="AK206" s="786"/>
      <c r="AL206" s="786"/>
      <c r="AM206" s="786"/>
    </row>
    <row r="207" spans="37:39">
      <c r="AK207" s="786"/>
      <c r="AL207" s="786"/>
      <c r="AM207" s="786"/>
    </row>
    <row r="208" spans="37:39">
      <c r="AK208" s="786"/>
      <c r="AL208" s="786"/>
      <c r="AM208" s="786"/>
    </row>
    <row r="209" spans="37:39">
      <c r="AK209" s="786"/>
      <c r="AL209" s="786"/>
      <c r="AM209" s="786"/>
    </row>
    <row r="210" spans="37:39">
      <c r="AK210" s="786"/>
      <c r="AL210" s="786"/>
      <c r="AM210" s="786"/>
    </row>
    <row r="211" spans="37:39">
      <c r="AK211" s="786"/>
      <c r="AL211" s="786"/>
      <c r="AM211" s="786"/>
    </row>
    <row r="212" spans="37:39">
      <c r="AK212" s="786"/>
      <c r="AL212" s="786"/>
      <c r="AM212" s="786"/>
    </row>
    <row r="213" spans="37:39">
      <c r="AK213" s="786"/>
      <c r="AL213" s="786"/>
      <c r="AM213" s="786"/>
    </row>
    <row r="214" spans="37:39">
      <c r="AK214" s="786"/>
      <c r="AL214" s="786"/>
      <c r="AM214" s="786"/>
    </row>
    <row r="215" spans="37:39">
      <c r="AK215" s="786"/>
      <c r="AL215" s="786"/>
      <c r="AM215" s="786"/>
    </row>
    <row r="216" spans="37:39">
      <c r="AK216" s="786"/>
      <c r="AL216" s="786"/>
      <c r="AM216" s="786"/>
    </row>
    <row r="217" spans="37:39">
      <c r="AK217" s="786"/>
      <c r="AL217" s="786"/>
      <c r="AM217" s="786"/>
    </row>
    <row r="218" spans="37:39">
      <c r="AK218" s="786"/>
      <c r="AL218" s="786"/>
      <c r="AM218" s="786"/>
    </row>
    <row r="219" spans="37:39">
      <c r="AK219" s="786"/>
      <c r="AL219" s="786"/>
      <c r="AM219" s="786"/>
    </row>
    <row r="220" spans="37:39">
      <c r="AK220" s="786"/>
      <c r="AL220" s="786"/>
      <c r="AM220" s="786"/>
    </row>
    <row r="221" spans="37:39">
      <c r="AK221" s="786"/>
      <c r="AL221" s="786"/>
      <c r="AM221" s="786"/>
    </row>
    <row r="222" spans="37:39">
      <c r="AK222" s="786"/>
      <c r="AL222" s="786"/>
      <c r="AM222" s="786"/>
    </row>
    <row r="223" spans="37:39">
      <c r="AK223" s="786"/>
      <c r="AL223" s="786"/>
      <c r="AM223" s="786"/>
    </row>
    <row r="224" spans="37:39">
      <c r="AK224" s="786"/>
      <c r="AL224" s="786"/>
      <c r="AM224" s="786"/>
    </row>
    <row r="225" spans="37:39">
      <c r="AK225" s="786"/>
      <c r="AL225" s="786"/>
      <c r="AM225" s="786"/>
    </row>
    <row r="226" spans="37:39">
      <c r="AK226" s="786"/>
      <c r="AL226" s="786"/>
      <c r="AM226" s="786"/>
    </row>
    <row r="227" spans="37:39">
      <c r="AK227" s="786"/>
      <c r="AL227" s="786"/>
      <c r="AM227" s="786"/>
    </row>
    <row r="228" spans="37:39">
      <c r="AK228" s="786"/>
      <c r="AL228" s="786"/>
      <c r="AM228" s="786"/>
    </row>
    <row r="229" spans="37:39">
      <c r="AK229" s="786"/>
      <c r="AL229" s="786"/>
      <c r="AM229" s="786"/>
    </row>
    <row r="230" spans="37:39">
      <c r="AK230" s="786"/>
      <c r="AL230" s="786"/>
      <c r="AM230" s="786"/>
    </row>
    <row r="231" spans="37:39">
      <c r="AK231" s="786"/>
      <c r="AL231" s="786"/>
      <c r="AM231" s="786"/>
    </row>
    <row r="232" spans="37:39">
      <c r="AK232" s="786"/>
      <c r="AL232" s="786"/>
      <c r="AM232" s="786"/>
    </row>
    <row r="233" spans="37:39">
      <c r="AK233" s="786"/>
      <c r="AL233" s="786"/>
      <c r="AM233" s="786"/>
    </row>
    <row r="234" spans="37:39">
      <c r="AK234" s="786"/>
      <c r="AL234" s="786"/>
      <c r="AM234" s="786"/>
    </row>
    <row r="235" spans="37:39">
      <c r="AK235" s="786"/>
      <c r="AL235" s="786"/>
      <c r="AM235" s="786"/>
    </row>
    <row r="236" spans="37:39">
      <c r="AK236" s="786"/>
      <c r="AL236" s="786"/>
      <c r="AM236" s="786"/>
    </row>
    <row r="237" spans="37:39">
      <c r="AK237" s="786"/>
      <c r="AL237" s="786"/>
      <c r="AM237" s="786"/>
    </row>
    <row r="238" spans="37:39">
      <c r="AK238" s="786"/>
      <c r="AL238" s="786"/>
      <c r="AM238" s="786"/>
    </row>
    <row r="239" spans="37:39">
      <c r="AK239" s="786"/>
      <c r="AL239" s="786"/>
      <c r="AM239" s="786"/>
    </row>
    <row r="240" spans="37:39">
      <c r="AK240" s="786"/>
      <c r="AL240" s="786"/>
      <c r="AM240" s="786"/>
    </row>
    <row r="241" spans="37:39">
      <c r="AK241" s="786"/>
      <c r="AL241" s="786"/>
      <c r="AM241" s="786"/>
    </row>
    <row r="242" spans="37:39">
      <c r="AK242" s="786"/>
      <c r="AL242" s="786"/>
      <c r="AM242" s="786"/>
    </row>
    <row r="243" spans="37:39">
      <c r="AK243" s="786"/>
      <c r="AL243" s="786"/>
      <c r="AM243" s="786"/>
    </row>
    <row r="244" spans="37:39">
      <c r="AK244" s="786"/>
      <c r="AL244" s="786"/>
      <c r="AM244" s="786"/>
    </row>
    <row r="245" spans="37:39">
      <c r="AK245" s="786"/>
      <c r="AL245" s="786"/>
      <c r="AM245" s="786"/>
    </row>
    <row r="246" spans="37:39">
      <c r="AK246" s="786"/>
      <c r="AL246" s="786"/>
      <c r="AM246" s="786"/>
    </row>
    <row r="247" spans="37:39">
      <c r="AK247" s="786"/>
      <c r="AL247" s="786"/>
      <c r="AM247" s="786"/>
    </row>
    <row r="248" spans="37:39">
      <c r="AK248" s="786"/>
      <c r="AL248" s="786"/>
      <c r="AM248" s="786"/>
    </row>
    <row r="249" spans="37:39">
      <c r="AK249" s="786"/>
      <c r="AL249" s="786"/>
      <c r="AM249" s="786"/>
    </row>
    <row r="250" spans="37:39">
      <c r="AK250" s="786"/>
      <c r="AL250" s="786"/>
      <c r="AM250" s="786"/>
    </row>
    <row r="251" spans="37:39">
      <c r="AK251" s="786"/>
      <c r="AL251" s="786"/>
      <c r="AM251" s="786"/>
    </row>
    <row r="252" spans="37:39">
      <c r="AK252" s="786"/>
      <c r="AL252" s="786"/>
      <c r="AM252" s="786"/>
    </row>
    <row r="253" spans="37:39">
      <c r="AK253" s="786"/>
      <c r="AL253" s="786"/>
      <c r="AM253" s="786"/>
    </row>
    <row r="254" spans="37:39">
      <c r="AK254" s="786"/>
      <c r="AL254" s="786"/>
      <c r="AM254" s="786"/>
    </row>
    <row r="255" spans="37:39">
      <c r="AK255" s="786"/>
      <c r="AL255" s="786"/>
      <c r="AM255" s="786"/>
    </row>
    <row r="256" spans="37:39">
      <c r="AK256" s="786"/>
      <c r="AL256" s="786"/>
      <c r="AM256" s="786"/>
    </row>
    <row r="257" spans="37:39">
      <c r="AK257" s="786"/>
      <c r="AL257" s="786"/>
      <c r="AM257" s="786"/>
    </row>
    <row r="258" spans="37:39">
      <c r="AK258" s="786"/>
      <c r="AL258" s="786"/>
      <c r="AM258" s="786"/>
    </row>
    <row r="259" spans="37:39">
      <c r="AK259" s="786"/>
      <c r="AL259" s="786"/>
      <c r="AM259" s="786"/>
    </row>
    <row r="260" spans="37:39">
      <c r="AK260" s="786"/>
      <c r="AL260" s="786"/>
      <c r="AM260" s="786"/>
    </row>
    <row r="261" spans="37:39">
      <c r="AK261" s="786"/>
      <c r="AL261" s="786"/>
      <c r="AM261" s="786"/>
    </row>
    <row r="262" spans="37:39">
      <c r="AK262" s="786"/>
      <c r="AL262" s="786"/>
      <c r="AM262" s="786"/>
    </row>
    <row r="263" spans="37:39">
      <c r="AK263" s="786"/>
      <c r="AL263" s="786"/>
      <c r="AM263" s="786"/>
    </row>
    <row r="264" spans="37:39">
      <c r="AK264" s="786"/>
      <c r="AL264" s="786"/>
      <c r="AM264" s="786"/>
    </row>
    <row r="265" spans="37:39">
      <c r="AK265" s="786"/>
      <c r="AL265" s="786"/>
      <c r="AM265" s="786"/>
    </row>
    <row r="266" spans="37:39">
      <c r="AK266" s="786"/>
      <c r="AL266" s="786"/>
      <c r="AM266" s="786"/>
    </row>
    <row r="267" spans="37:39">
      <c r="AK267" s="786"/>
      <c r="AL267" s="786"/>
      <c r="AM267" s="786"/>
    </row>
    <row r="268" spans="37:39">
      <c r="AK268" s="786"/>
      <c r="AL268" s="786"/>
      <c r="AM268" s="786"/>
    </row>
    <row r="269" spans="37:39">
      <c r="AK269" s="786"/>
      <c r="AL269" s="786"/>
      <c r="AM269" s="786"/>
    </row>
    <row r="270" spans="37:39">
      <c r="AK270" s="786"/>
      <c r="AL270" s="786"/>
      <c r="AM270" s="786"/>
    </row>
    <row r="271" spans="37:39">
      <c r="AK271" s="786"/>
      <c r="AL271" s="786"/>
      <c r="AM271" s="786"/>
    </row>
    <row r="272" spans="37:39">
      <c r="AK272" s="786"/>
      <c r="AL272" s="786"/>
      <c r="AM272" s="786"/>
    </row>
    <row r="273" spans="37:39">
      <c r="AK273" s="786"/>
      <c r="AL273" s="786"/>
      <c r="AM273" s="786"/>
    </row>
    <row r="274" spans="37:39">
      <c r="AK274" s="786"/>
      <c r="AL274" s="786"/>
      <c r="AM274" s="786"/>
    </row>
    <row r="275" spans="37:39">
      <c r="AK275" s="786"/>
      <c r="AL275" s="786"/>
      <c r="AM275" s="786"/>
    </row>
    <row r="276" spans="37:39">
      <c r="AK276" s="786"/>
      <c r="AL276" s="786"/>
      <c r="AM276" s="786"/>
    </row>
    <row r="277" spans="37:39">
      <c r="AK277" s="786"/>
      <c r="AL277" s="786"/>
      <c r="AM277" s="786"/>
    </row>
    <row r="278" spans="37:39">
      <c r="AK278" s="786"/>
      <c r="AL278" s="786"/>
      <c r="AM278" s="786"/>
    </row>
    <row r="279" spans="37:39">
      <c r="AK279" s="786"/>
      <c r="AL279" s="786"/>
      <c r="AM279" s="786"/>
    </row>
    <row r="280" spans="37:39">
      <c r="AK280" s="786"/>
      <c r="AL280" s="786"/>
      <c r="AM280" s="786"/>
    </row>
    <row r="281" spans="37:39">
      <c r="AK281" s="786"/>
      <c r="AL281" s="786"/>
      <c r="AM281" s="786"/>
    </row>
    <row r="282" spans="37:39">
      <c r="AK282" s="786"/>
      <c r="AL282" s="786"/>
      <c r="AM282" s="786"/>
    </row>
    <row r="283" spans="37:39">
      <c r="AK283" s="786"/>
      <c r="AL283" s="786"/>
      <c r="AM283" s="786"/>
    </row>
    <row r="284" spans="37:39">
      <c r="AK284" s="786"/>
      <c r="AL284" s="786"/>
      <c r="AM284" s="786"/>
    </row>
    <row r="285" spans="37:39">
      <c r="AK285" s="786"/>
      <c r="AL285" s="786"/>
      <c r="AM285" s="786"/>
    </row>
    <row r="286" spans="37:39">
      <c r="AK286" s="786"/>
      <c r="AL286" s="786"/>
      <c r="AM286" s="786"/>
    </row>
    <row r="287" spans="37:39">
      <c r="AK287" s="786"/>
      <c r="AL287" s="786"/>
      <c r="AM287" s="786"/>
    </row>
    <row r="288" spans="37:39">
      <c r="AK288" s="786"/>
      <c r="AL288" s="786"/>
      <c r="AM288" s="786"/>
    </row>
    <row r="289" spans="37:39">
      <c r="AK289" s="786"/>
      <c r="AL289" s="786"/>
      <c r="AM289" s="786"/>
    </row>
    <row r="290" spans="37:39">
      <c r="AK290" s="786"/>
      <c r="AL290" s="786"/>
      <c r="AM290" s="786"/>
    </row>
    <row r="291" spans="37:39">
      <c r="AK291" s="786"/>
      <c r="AL291" s="786"/>
      <c r="AM291" s="786"/>
    </row>
    <row r="292" spans="37:39">
      <c r="AK292" s="786"/>
      <c r="AL292" s="786"/>
      <c r="AM292" s="786"/>
    </row>
    <row r="293" spans="37:39">
      <c r="AK293" s="786"/>
      <c r="AL293" s="786"/>
      <c r="AM293" s="786"/>
    </row>
    <row r="294" spans="37:39">
      <c r="AK294" s="786"/>
      <c r="AL294" s="786"/>
      <c r="AM294" s="786"/>
    </row>
    <row r="295" spans="37:39">
      <c r="AK295" s="786"/>
      <c r="AL295" s="786"/>
      <c r="AM295" s="786"/>
    </row>
    <row r="296" spans="37:39">
      <c r="AK296" s="786"/>
      <c r="AL296" s="786"/>
      <c r="AM296" s="786"/>
    </row>
    <row r="297" spans="37:39">
      <c r="AK297" s="786"/>
      <c r="AL297" s="786"/>
      <c r="AM297" s="786"/>
    </row>
    <row r="298" spans="37:39">
      <c r="AK298" s="786"/>
      <c r="AL298" s="786"/>
      <c r="AM298" s="786"/>
    </row>
    <row r="299" spans="37:39">
      <c r="AK299" s="786"/>
      <c r="AL299" s="786"/>
      <c r="AM299" s="786"/>
    </row>
    <row r="300" spans="37:39">
      <c r="AK300" s="786"/>
      <c r="AL300" s="786"/>
      <c r="AM300" s="786"/>
    </row>
    <row r="301" spans="37:39">
      <c r="AK301" s="786"/>
      <c r="AL301" s="786"/>
      <c r="AM301" s="786"/>
    </row>
    <row r="302" spans="37:39">
      <c r="AK302" s="786"/>
      <c r="AL302" s="786"/>
      <c r="AM302" s="786"/>
    </row>
    <row r="303" spans="37:39">
      <c r="AK303" s="786"/>
      <c r="AL303" s="786"/>
      <c r="AM303" s="786"/>
    </row>
    <row r="304" spans="37:39">
      <c r="AK304" s="786"/>
      <c r="AL304" s="786"/>
      <c r="AM304" s="786"/>
    </row>
    <row r="305" spans="37:39">
      <c r="AK305" s="786"/>
      <c r="AL305" s="786"/>
      <c r="AM305" s="786"/>
    </row>
    <row r="306" spans="37:39">
      <c r="AK306" s="786"/>
      <c r="AL306" s="786"/>
      <c r="AM306" s="786"/>
    </row>
    <row r="307" spans="37:39">
      <c r="AK307" s="786"/>
      <c r="AL307" s="786"/>
      <c r="AM307" s="786"/>
    </row>
    <row r="308" spans="37:39">
      <c r="AK308" s="786"/>
      <c r="AL308" s="786"/>
      <c r="AM308" s="786"/>
    </row>
    <row r="309" spans="37:39">
      <c r="AK309" s="786"/>
      <c r="AL309" s="786"/>
      <c r="AM309" s="786"/>
    </row>
    <row r="310" spans="37:39">
      <c r="AK310" s="786"/>
      <c r="AL310" s="786"/>
      <c r="AM310" s="786"/>
    </row>
    <row r="311" spans="37:39">
      <c r="AK311" s="786"/>
      <c r="AL311" s="786"/>
      <c r="AM311" s="786"/>
    </row>
    <row r="312" spans="37:39">
      <c r="AK312" s="786"/>
      <c r="AL312" s="786"/>
      <c r="AM312" s="786"/>
    </row>
    <row r="313" spans="37:39">
      <c r="AK313" s="786"/>
      <c r="AL313" s="786"/>
      <c r="AM313" s="786"/>
    </row>
    <row r="314" spans="37:39">
      <c r="AK314" s="786"/>
      <c r="AL314" s="786"/>
      <c r="AM314" s="786"/>
    </row>
    <row r="315" spans="37:39">
      <c r="AK315" s="786"/>
      <c r="AL315" s="786"/>
      <c r="AM315" s="786"/>
    </row>
    <row r="316" spans="37:39">
      <c r="AK316" s="786"/>
      <c r="AL316" s="786"/>
      <c r="AM316" s="786"/>
    </row>
    <row r="317" spans="37:39">
      <c r="AK317" s="786"/>
      <c r="AL317" s="786"/>
      <c r="AM317" s="786"/>
    </row>
    <row r="318" spans="37:39">
      <c r="AK318" s="786"/>
      <c r="AL318" s="786"/>
      <c r="AM318" s="786"/>
    </row>
    <row r="319" spans="37:39">
      <c r="AK319" s="786"/>
      <c r="AL319" s="786"/>
      <c r="AM319" s="786"/>
    </row>
    <row r="320" spans="37:39">
      <c r="AK320" s="786"/>
      <c r="AL320" s="786"/>
      <c r="AM320" s="786"/>
    </row>
    <row r="321" spans="37:39">
      <c r="AK321" s="786"/>
      <c r="AL321" s="786"/>
      <c r="AM321" s="786"/>
    </row>
    <row r="322" spans="37:39">
      <c r="AK322" s="786"/>
      <c r="AL322" s="786"/>
      <c r="AM322" s="786"/>
    </row>
    <row r="323" spans="37:39">
      <c r="AK323" s="786"/>
      <c r="AL323" s="786"/>
      <c r="AM323" s="786"/>
    </row>
    <row r="324" spans="37:39">
      <c r="AK324" s="786"/>
      <c r="AL324" s="786"/>
      <c r="AM324" s="786"/>
    </row>
    <row r="325" spans="37:39">
      <c r="AK325" s="786"/>
      <c r="AL325" s="786"/>
      <c r="AM325" s="786"/>
    </row>
    <row r="326" spans="37:39">
      <c r="AK326" s="786"/>
      <c r="AL326" s="786"/>
      <c r="AM326" s="786"/>
    </row>
    <row r="327" spans="37:39">
      <c r="AK327" s="786"/>
      <c r="AL327" s="786"/>
      <c r="AM327" s="786"/>
    </row>
    <row r="328" spans="37:39">
      <c r="AK328" s="786"/>
      <c r="AL328" s="786"/>
      <c r="AM328" s="786"/>
    </row>
    <row r="329" spans="37:39">
      <c r="AK329" s="786"/>
      <c r="AL329" s="786"/>
      <c r="AM329" s="786"/>
    </row>
    <row r="330" spans="37:39">
      <c r="AK330" s="786"/>
      <c r="AL330" s="786"/>
      <c r="AM330" s="786"/>
    </row>
    <row r="331" spans="37:39">
      <c r="AK331" s="786"/>
      <c r="AL331" s="786"/>
      <c r="AM331" s="786"/>
    </row>
    <row r="332" spans="37:39">
      <c r="AK332" s="786"/>
      <c r="AL332" s="786"/>
      <c r="AM332" s="786"/>
    </row>
    <row r="333" spans="37:39">
      <c r="AK333" s="786"/>
      <c r="AL333" s="786"/>
      <c r="AM333" s="786"/>
    </row>
    <row r="334" spans="37:39">
      <c r="AK334" s="786"/>
      <c r="AL334" s="786"/>
      <c r="AM334" s="786"/>
    </row>
    <row r="335" spans="37:39">
      <c r="AK335" s="786"/>
      <c r="AL335" s="786"/>
      <c r="AM335" s="786"/>
    </row>
    <row r="336" spans="37:39">
      <c r="AK336" s="786"/>
      <c r="AL336" s="786"/>
      <c r="AM336" s="786"/>
    </row>
    <row r="337" spans="37:39">
      <c r="AK337" s="786"/>
      <c r="AL337" s="786"/>
      <c r="AM337" s="786"/>
    </row>
    <row r="338" spans="37:39">
      <c r="AK338" s="786"/>
      <c r="AL338" s="786"/>
      <c r="AM338" s="786"/>
    </row>
    <row r="339" spans="37:39">
      <c r="AK339" s="786"/>
      <c r="AL339" s="786"/>
      <c r="AM339" s="786"/>
    </row>
    <row r="340" spans="37:39">
      <c r="AK340" s="786"/>
      <c r="AL340" s="786"/>
      <c r="AM340" s="786"/>
    </row>
    <row r="341" spans="37:39">
      <c r="AK341" s="786"/>
      <c r="AL341" s="786"/>
      <c r="AM341" s="786"/>
    </row>
    <row r="342" spans="37:39">
      <c r="AK342" s="786"/>
      <c r="AL342" s="786"/>
      <c r="AM342" s="786"/>
    </row>
    <row r="343" spans="37:39">
      <c r="AK343" s="786"/>
      <c r="AL343" s="786"/>
      <c r="AM343" s="786"/>
    </row>
    <row r="344" spans="37:39">
      <c r="AK344" s="786"/>
      <c r="AL344" s="786"/>
      <c r="AM344" s="786"/>
    </row>
    <row r="345" spans="37:39">
      <c r="AK345" s="786"/>
      <c r="AL345" s="786"/>
      <c r="AM345" s="786"/>
    </row>
    <row r="346" spans="37:39">
      <c r="AK346" s="786"/>
      <c r="AL346" s="786"/>
      <c r="AM346" s="786"/>
    </row>
    <row r="347" spans="37:39">
      <c r="AK347" s="786"/>
      <c r="AL347" s="786"/>
      <c r="AM347" s="786"/>
    </row>
    <row r="348" spans="37:39">
      <c r="AK348" s="786"/>
      <c r="AL348" s="786"/>
      <c r="AM348" s="786"/>
    </row>
    <row r="349" spans="37:39">
      <c r="AK349" s="786"/>
      <c r="AL349" s="786"/>
      <c r="AM349" s="786"/>
    </row>
    <row r="350" spans="37:39">
      <c r="AK350" s="786"/>
      <c r="AL350" s="786"/>
      <c r="AM350" s="786"/>
    </row>
    <row r="351" spans="37:39">
      <c r="AK351" s="786"/>
      <c r="AL351" s="786"/>
      <c r="AM351" s="786"/>
    </row>
    <row r="352" spans="37:39">
      <c r="AK352" s="786"/>
      <c r="AL352" s="786"/>
      <c r="AM352" s="786"/>
    </row>
    <row r="353" spans="37:39">
      <c r="AK353" s="786"/>
      <c r="AL353" s="786"/>
      <c r="AM353" s="786"/>
    </row>
    <row r="354" spans="37:39">
      <c r="AK354" s="786"/>
      <c r="AL354" s="786"/>
      <c r="AM354" s="786"/>
    </row>
    <row r="355" spans="37:39">
      <c r="AK355" s="786"/>
      <c r="AL355" s="786"/>
      <c r="AM355" s="786"/>
    </row>
    <row r="356" spans="37:39">
      <c r="AK356" s="786"/>
      <c r="AL356" s="786"/>
      <c r="AM356" s="786"/>
    </row>
    <row r="357" spans="37:39">
      <c r="AK357" s="786"/>
      <c r="AL357" s="786"/>
      <c r="AM357" s="786"/>
    </row>
    <row r="358" spans="37:39">
      <c r="AK358" s="786"/>
      <c r="AL358" s="786"/>
      <c r="AM358" s="786"/>
    </row>
    <row r="359" spans="37:39">
      <c r="AK359" s="786"/>
      <c r="AL359" s="786"/>
      <c r="AM359" s="786"/>
    </row>
    <row r="360" spans="37:39">
      <c r="AK360" s="786"/>
      <c r="AL360" s="786"/>
      <c r="AM360" s="786"/>
    </row>
    <row r="361" spans="37:39">
      <c r="AK361" s="786"/>
      <c r="AL361" s="786"/>
      <c r="AM361" s="786"/>
    </row>
    <row r="362" spans="37:39">
      <c r="AK362" s="786"/>
      <c r="AM362" s="786"/>
    </row>
    <row r="363" spans="37:39">
      <c r="AK363" s="786"/>
      <c r="AM363" s="786"/>
    </row>
    <row r="364" spans="37:39">
      <c r="AK364" s="786"/>
      <c r="AM364" s="786"/>
    </row>
    <row r="365" spans="37:39">
      <c r="AK365" s="786"/>
      <c r="AM365" s="786"/>
    </row>
    <row r="366" spans="37:39">
      <c r="AK366" s="786"/>
      <c r="AM366" s="786"/>
    </row>
    <row r="367" spans="37:39">
      <c r="AK367" s="786"/>
      <c r="AM367" s="786"/>
    </row>
    <row r="368" spans="37:39">
      <c r="AK368" s="786"/>
      <c r="AM368" s="786"/>
    </row>
    <row r="369" spans="37:39">
      <c r="AK369" s="786"/>
      <c r="AM369" s="786"/>
    </row>
    <row r="370" spans="37:39">
      <c r="AK370" s="786"/>
      <c r="AM370" s="786"/>
    </row>
    <row r="371" spans="37:39">
      <c r="AK371" s="786"/>
      <c r="AM371" s="786"/>
    </row>
    <row r="372" spans="37:39">
      <c r="AK372" s="786"/>
      <c r="AM372" s="786"/>
    </row>
    <row r="373" spans="37:39">
      <c r="AK373" s="786"/>
      <c r="AM373" s="786"/>
    </row>
    <row r="374" spans="37:39">
      <c r="AK374" s="786"/>
      <c r="AM374" s="786"/>
    </row>
    <row r="375" spans="37:39">
      <c r="AK375" s="786"/>
      <c r="AM375" s="786"/>
    </row>
    <row r="376" spans="37:39">
      <c r="AK376" s="786"/>
      <c r="AM376" s="786"/>
    </row>
    <row r="377" spans="37:39">
      <c r="AK377" s="786"/>
      <c r="AM377" s="786"/>
    </row>
    <row r="378" spans="37:39">
      <c r="AK378" s="786"/>
      <c r="AM378" s="786"/>
    </row>
    <row r="379" spans="37:39">
      <c r="AK379" s="786"/>
      <c r="AM379" s="786"/>
    </row>
    <row r="380" spans="37:39">
      <c r="AK380" s="786"/>
      <c r="AM380" s="786"/>
    </row>
    <row r="381" spans="37:39">
      <c r="AK381" s="786"/>
      <c r="AM381" s="786"/>
    </row>
    <row r="382" spans="37:39">
      <c r="AK382" s="786"/>
      <c r="AM382" s="786"/>
    </row>
    <row r="383" spans="37:39">
      <c r="AK383" s="786"/>
      <c r="AM383" s="786"/>
    </row>
    <row r="384" spans="37:39">
      <c r="AK384" s="786"/>
      <c r="AM384" s="786"/>
    </row>
    <row r="385" spans="37:39">
      <c r="AK385" s="786"/>
      <c r="AM385" s="786"/>
    </row>
    <row r="386" spans="37:39">
      <c r="AK386" s="786"/>
      <c r="AM386" s="786"/>
    </row>
    <row r="387" spans="37:39">
      <c r="AK387" s="786"/>
      <c r="AM387" s="786"/>
    </row>
    <row r="388" spans="37:39">
      <c r="AK388" s="786"/>
      <c r="AM388" s="786"/>
    </row>
    <row r="389" spans="37:39">
      <c r="AK389" s="786"/>
      <c r="AM389" s="786"/>
    </row>
    <row r="390" spans="37:39">
      <c r="AK390" s="786"/>
      <c r="AM390" s="786"/>
    </row>
    <row r="391" spans="37:39">
      <c r="AK391" s="786"/>
      <c r="AM391" s="786"/>
    </row>
    <row r="392" spans="37:39">
      <c r="AK392" s="786"/>
      <c r="AM392" s="786"/>
    </row>
    <row r="393" spans="37:39">
      <c r="AK393" s="786"/>
      <c r="AM393" s="786"/>
    </row>
    <row r="394" spans="37:39">
      <c r="AK394" s="786"/>
      <c r="AM394" s="786"/>
    </row>
    <row r="395" spans="37:39">
      <c r="AK395" s="786"/>
      <c r="AM395" s="786"/>
    </row>
    <row r="396" spans="37:39">
      <c r="AK396" s="786"/>
      <c r="AM396" s="786"/>
    </row>
    <row r="397" spans="37:39">
      <c r="AK397" s="786"/>
      <c r="AM397" s="786"/>
    </row>
    <row r="398" spans="37:39">
      <c r="AK398" s="786"/>
      <c r="AM398" s="786"/>
    </row>
    <row r="399" spans="37:39">
      <c r="AK399" s="786"/>
      <c r="AM399" s="786"/>
    </row>
    <row r="400" spans="37:39">
      <c r="AK400" s="786"/>
      <c r="AM400" s="786"/>
    </row>
    <row r="401" spans="37:39">
      <c r="AK401" s="786"/>
      <c r="AM401" s="786"/>
    </row>
    <row r="402" spans="37:39">
      <c r="AK402" s="786"/>
      <c r="AM402" s="786"/>
    </row>
    <row r="403" spans="37:39">
      <c r="AK403" s="786"/>
      <c r="AM403" s="786"/>
    </row>
    <row r="404" spans="37:39">
      <c r="AK404" s="786"/>
      <c r="AM404" s="786"/>
    </row>
    <row r="405" spans="37:39">
      <c r="AK405" s="786"/>
      <c r="AM405" s="786"/>
    </row>
    <row r="406" spans="37:39">
      <c r="AK406" s="786"/>
      <c r="AM406" s="786"/>
    </row>
    <row r="407" spans="37:39">
      <c r="AK407" s="786"/>
      <c r="AM407" s="786"/>
    </row>
    <row r="408" spans="37:39">
      <c r="AK408" s="786"/>
      <c r="AM408" s="786"/>
    </row>
    <row r="409" spans="37:39">
      <c r="AK409" s="786"/>
      <c r="AM409" s="786"/>
    </row>
    <row r="410" spans="37:39">
      <c r="AK410" s="786"/>
      <c r="AM410" s="786"/>
    </row>
    <row r="411" spans="37:39">
      <c r="AK411" s="786"/>
      <c r="AM411" s="786"/>
    </row>
    <row r="412" spans="37:39">
      <c r="AK412" s="786"/>
      <c r="AM412" s="786"/>
    </row>
    <row r="413" spans="37:39">
      <c r="AK413" s="786"/>
      <c r="AM413" s="786"/>
    </row>
    <row r="414" spans="37:39">
      <c r="AK414" s="786"/>
      <c r="AM414" s="786"/>
    </row>
    <row r="415" spans="37:39">
      <c r="AK415" s="786"/>
      <c r="AM415" s="786"/>
    </row>
    <row r="416" spans="37:39">
      <c r="AK416" s="786"/>
      <c r="AM416" s="786"/>
    </row>
    <row r="417" spans="37:39">
      <c r="AK417" s="786"/>
      <c r="AM417" s="786"/>
    </row>
    <row r="418" spans="37:39">
      <c r="AK418" s="786"/>
      <c r="AM418" s="786"/>
    </row>
    <row r="419" spans="37:39">
      <c r="AK419" s="786"/>
      <c r="AM419" s="786"/>
    </row>
    <row r="420" spans="37:39">
      <c r="AK420" s="786"/>
      <c r="AM420" s="786"/>
    </row>
    <row r="421" spans="37:39">
      <c r="AK421" s="786"/>
      <c r="AM421" s="786"/>
    </row>
    <row r="422" spans="37:39">
      <c r="AK422" s="786"/>
      <c r="AM422" s="786"/>
    </row>
    <row r="423" spans="37:39">
      <c r="AK423" s="786"/>
      <c r="AM423" s="786"/>
    </row>
    <row r="424" spans="37:39">
      <c r="AK424" s="786"/>
      <c r="AM424" s="786"/>
    </row>
    <row r="425" spans="37:39">
      <c r="AK425" s="786"/>
      <c r="AM425" s="786"/>
    </row>
    <row r="426" spans="37:39">
      <c r="AK426" s="786"/>
      <c r="AM426" s="786"/>
    </row>
    <row r="427" spans="37:39">
      <c r="AK427" s="786"/>
      <c r="AM427" s="786"/>
    </row>
    <row r="428" spans="37:39">
      <c r="AK428" s="786"/>
      <c r="AM428" s="786"/>
    </row>
    <row r="429" spans="37:39">
      <c r="AK429" s="786"/>
      <c r="AM429" s="786"/>
    </row>
    <row r="430" spans="37:39">
      <c r="AK430" s="786"/>
      <c r="AM430" s="786"/>
    </row>
    <row r="431" spans="37:39">
      <c r="AK431" s="786"/>
      <c r="AM431" s="786"/>
    </row>
    <row r="432" spans="37:39">
      <c r="AK432" s="786"/>
      <c r="AM432" s="786"/>
    </row>
    <row r="433" spans="37:39">
      <c r="AK433" s="786"/>
      <c r="AM433" s="786"/>
    </row>
    <row r="434" spans="37:39">
      <c r="AK434" s="786"/>
      <c r="AM434" s="786"/>
    </row>
    <row r="435" spans="37:39">
      <c r="AK435" s="786"/>
      <c r="AM435" s="786"/>
    </row>
    <row r="436" spans="37:39">
      <c r="AK436" s="786"/>
      <c r="AM436" s="786"/>
    </row>
    <row r="437" spans="37:39">
      <c r="AK437" s="786"/>
      <c r="AM437" s="786"/>
    </row>
    <row r="438" spans="37:39">
      <c r="AK438" s="786"/>
      <c r="AM438" s="786"/>
    </row>
    <row r="439" spans="37:39">
      <c r="AK439" s="786"/>
      <c r="AM439" s="786"/>
    </row>
    <row r="440" spans="37:39">
      <c r="AK440" s="786"/>
      <c r="AM440" s="786"/>
    </row>
    <row r="441" spans="37:39">
      <c r="AK441" s="786"/>
      <c r="AM441" s="786"/>
    </row>
    <row r="442" spans="37:39">
      <c r="AK442" s="786"/>
      <c r="AM442" s="786"/>
    </row>
    <row r="443" spans="37:39">
      <c r="AK443" s="786"/>
      <c r="AM443" s="786"/>
    </row>
    <row r="444" spans="37:39">
      <c r="AK444" s="786"/>
      <c r="AM444" s="786"/>
    </row>
    <row r="445" spans="37:39">
      <c r="AK445" s="786"/>
      <c r="AM445" s="786"/>
    </row>
    <row r="446" spans="37:39">
      <c r="AK446" s="786"/>
      <c r="AM446" s="786"/>
    </row>
    <row r="447" spans="37:39">
      <c r="AK447" s="786"/>
      <c r="AM447" s="786"/>
    </row>
    <row r="448" spans="37:39">
      <c r="AK448" s="786"/>
      <c r="AM448" s="786"/>
    </row>
    <row r="449" spans="37:39">
      <c r="AK449" s="786"/>
      <c r="AM449" s="786"/>
    </row>
    <row r="450" spans="37:39">
      <c r="AK450" s="786"/>
      <c r="AM450" s="786"/>
    </row>
    <row r="451" spans="37:39">
      <c r="AK451" s="786"/>
      <c r="AM451" s="786"/>
    </row>
    <row r="452" spans="37:39">
      <c r="AK452" s="786"/>
      <c r="AM452" s="786"/>
    </row>
    <row r="453" spans="37:39">
      <c r="AK453" s="786"/>
      <c r="AM453" s="786"/>
    </row>
    <row r="454" spans="37:39">
      <c r="AK454" s="786"/>
      <c r="AM454" s="786"/>
    </row>
    <row r="455" spans="37:39">
      <c r="AK455" s="786"/>
      <c r="AM455" s="786"/>
    </row>
    <row r="456" spans="37:39">
      <c r="AK456" s="786"/>
      <c r="AM456" s="786"/>
    </row>
    <row r="457" spans="37:39">
      <c r="AK457" s="786"/>
      <c r="AM457" s="786"/>
    </row>
    <row r="458" spans="37:39">
      <c r="AK458" s="786"/>
      <c r="AM458" s="786"/>
    </row>
    <row r="459" spans="37:39">
      <c r="AK459" s="786"/>
      <c r="AM459" s="786"/>
    </row>
    <row r="460" spans="37:39">
      <c r="AK460" s="786"/>
      <c r="AM460" s="786"/>
    </row>
    <row r="461" spans="37:39">
      <c r="AK461" s="786"/>
      <c r="AM461" s="786"/>
    </row>
    <row r="462" spans="37:39">
      <c r="AK462" s="786"/>
      <c r="AM462" s="786"/>
    </row>
    <row r="463" spans="37:39">
      <c r="AK463" s="786"/>
      <c r="AM463" s="786"/>
    </row>
    <row r="464" spans="37:39">
      <c r="AK464" s="786"/>
      <c r="AM464" s="786"/>
    </row>
    <row r="465" spans="37:39">
      <c r="AK465" s="786"/>
      <c r="AM465" s="786"/>
    </row>
    <row r="466" spans="37:39">
      <c r="AK466" s="786"/>
      <c r="AM466" s="786"/>
    </row>
    <row r="467" spans="37:39">
      <c r="AK467" s="786"/>
      <c r="AM467" s="786"/>
    </row>
    <row r="468" spans="37:39">
      <c r="AK468" s="786"/>
      <c r="AM468" s="786"/>
    </row>
    <row r="469" spans="37:39">
      <c r="AK469" s="786"/>
      <c r="AM469" s="786"/>
    </row>
    <row r="470" spans="37:39">
      <c r="AK470" s="786"/>
      <c r="AM470" s="786"/>
    </row>
    <row r="471" spans="37:39">
      <c r="AK471" s="786"/>
      <c r="AM471" s="786"/>
    </row>
    <row r="472" spans="37:39">
      <c r="AK472" s="786"/>
      <c r="AM472" s="786"/>
    </row>
    <row r="473" spans="37:39">
      <c r="AK473" s="786"/>
      <c r="AM473" s="786"/>
    </row>
    <row r="474" spans="37:39">
      <c r="AK474" s="786"/>
      <c r="AM474" s="786"/>
    </row>
    <row r="475" spans="37:39">
      <c r="AK475" s="786"/>
      <c r="AM475" s="786"/>
    </row>
    <row r="476" spans="37:39">
      <c r="AK476" s="786"/>
      <c r="AM476" s="786"/>
    </row>
    <row r="477" spans="37:39">
      <c r="AK477" s="786"/>
      <c r="AM477" s="786"/>
    </row>
    <row r="478" spans="37:39">
      <c r="AK478" s="786"/>
      <c r="AM478" s="786"/>
    </row>
    <row r="479" spans="37:39">
      <c r="AK479" s="786"/>
      <c r="AM479" s="786"/>
    </row>
    <row r="480" spans="37:39">
      <c r="AK480" s="786"/>
      <c r="AM480" s="786"/>
    </row>
    <row r="481" spans="37:39">
      <c r="AK481" s="786"/>
      <c r="AM481" s="786"/>
    </row>
    <row r="482" spans="37:39">
      <c r="AK482" s="786"/>
      <c r="AM482" s="786"/>
    </row>
    <row r="483" spans="37:39">
      <c r="AK483" s="786"/>
      <c r="AM483" s="786"/>
    </row>
    <row r="484" spans="37:39">
      <c r="AK484" s="786"/>
      <c r="AM484" s="786"/>
    </row>
    <row r="485" spans="37:39">
      <c r="AK485" s="786"/>
      <c r="AM485" s="786"/>
    </row>
    <row r="486" spans="37:39">
      <c r="AK486" s="786"/>
      <c r="AM486" s="786"/>
    </row>
    <row r="487" spans="37:39">
      <c r="AK487" s="786"/>
      <c r="AM487" s="786"/>
    </row>
    <row r="488" spans="37:39">
      <c r="AK488" s="786"/>
      <c r="AM488" s="786"/>
    </row>
    <row r="489" spans="37:39">
      <c r="AK489" s="786"/>
      <c r="AM489" s="786"/>
    </row>
    <row r="490" spans="37:39">
      <c r="AK490" s="786"/>
      <c r="AM490" s="786"/>
    </row>
    <row r="491" spans="37:39">
      <c r="AK491" s="786"/>
      <c r="AM491" s="786"/>
    </row>
    <row r="492" spans="37:39">
      <c r="AK492" s="786"/>
      <c r="AM492" s="786"/>
    </row>
    <row r="493" spans="37:39">
      <c r="AK493" s="786"/>
      <c r="AM493" s="786"/>
    </row>
    <row r="494" spans="37:39">
      <c r="AK494" s="786"/>
      <c r="AM494" s="786"/>
    </row>
    <row r="495" spans="37:39">
      <c r="AK495" s="786"/>
      <c r="AM495" s="786"/>
    </row>
    <row r="496" spans="37:39">
      <c r="AK496" s="786"/>
      <c r="AM496" s="786"/>
    </row>
    <row r="497" spans="37:39">
      <c r="AK497" s="786"/>
      <c r="AM497" s="786"/>
    </row>
    <row r="498" spans="37:39">
      <c r="AK498" s="786"/>
      <c r="AM498" s="786"/>
    </row>
    <row r="499" spans="37:39">
      <c r="AK499" s="786"/>
      <c r="AM499" s="786"/>
    </row>
    <row r="500" spans="37:39">
      <c r="AK500" s="786"/>
      <c r="AM500" s="786"/>
    </row>
    <row r="501" spans="37:39">
      <c r="AK501" s="786"/>
      <c r="AM501" s="786"/>
    </row>
    <row r="502" spans="37:39">
      <c r="AK502" s="786"/>
      <c r="AM502" s="786"/>
    </row>
    <row r="503" spans="37:39">
      <c r="AK503" s="786"/>
      <c r="AM503" s="786"/>
    </row>
    <row r="504" spans="37:39">
      <c r="AK504" s="786"/>
      <c r="AM504" s="786"/>
    </row>
    <row r="505" spans="37:39">
      <c r="AK505" s="786"/>
      <c r="AM505" s="786"/>
    </row>
    <row r="506" spans="37:39">
      <c r="AK506" s="786"/>
      <c r="AM506" s="786"/>
    </row>
    <row r="507" spans="37:39">
      <c r="AK507" s="786"/>
      <c r="AM507" s="786"/>
    </row>
    <row r="508" spans="37:39">
      <c r="AK508" s="786"/>
      <c r="AM508" s="786"/>
    </row>
    <row r="509" spans="37:39">
      <c r="AK509" s="786"/>
      <c r="AM509" s="786"/>
    </row>
    <row r="510" spans="37:39">
      <c r="AK510" s="786"/>
      <c r="AM510" s="786"/>
    </row>
    <row r="511" spans="37:39">
      <c r="AK511" s="786"/>
      <c r="AM511" s="786"/>
    </row>
    <row r="512" spans="37:39">
      <c r="AK512" s="786"/>
      <c r="AM512" s="786"/>
    </row>
    <row r="513" spans="37:39">
      <c r="AK513" s="786"/>
      <c r="AM513" s="786"/>
    </row>
    <row r="514" spans="37:39">
      <c r="AK514" s="786"/>
      <c r="AM514" s="786"/>
    </row>
    <row r="515" spans="37:39">
      <c r="AK515" s="786"/>
      <c r="AM515" s="786"/>
    </row>
    <row r="516" spans="37:39">
      <c r="AK516" s="786"/>
      <c r="AM516" s="786"/>
    </row>
    <row r="517" spans="37:39">
      <c r="AK517" s="786"/>
      <c r="AM517" s="786"/>
    </row>
    <row r="518" spans="37:39">
      <c r="AK518" s="786"/>
      <c r="AM518" s="786"/>
    </row>
    <row r="519" spans="37:39">
      <c r="AK519" s="786"/>
      <c r="AM519" s="786"/>
    </row>
    <row r="520" spans="37:39">
      <c r="AK520" s="786"/>
      <c r="AM520" s="786"/>
    </row>
    <row r="521" spans="37:39">
      <c r="AK521" s="786"/>
      <c r="AM521" s="786"/>
    </row>
    <row r="522" spans="37:39">
      <c r="AK522" s="786"/>
      <c r="AM522" s="786"/>
    </row>
    <row r="523" spans="37:39">
      <c r="AK523" s="786"/>
      <c r="AM523" s="786"/>
    </row>
    <row r="524" spans="37:39">
      <c r="AK524" s="786"/>
      <c r="AM524" s="786"/>
    </row>
    <row r="525" spans="37:39">
      <c r="AK525" s="786"/>
      <c r="AM525" s="786"/>
    </row>
    <row r="526" spans="37:39">
      <c r="AK526" s="786"/>
      <c r="AM526" s="786"/>
    </row>
    <row r="527" spans="37:39">
      <c r="AK527" s="786"/>
      <c r="AM527" s="786"/>
    </row>
    <row r="528" spans="37:39">
      <c r="AK528" s="786"/>
      <c r="AM528" s="786"/>
    </row>
    <row r="529" spans="37:39">
      <c r="AK529" s="786"/>
      <c r="AM529" s="786"/>
    </row>
    <row r="530" spans="37:39">
      <c r="AK530" s="786"/>
      <c r="AM530" s="786"/>
    </row>
    <row r="531" spans="37:39">
      <c r="AK531" s="786"/>
      <c r="AM531" s="786"/>
    </row>
    <row r="532" spans="37:39">
      <c r="AK532" s="786"/>
      <c r="AM532" s="786"/>
    </row>
    <row r="533" spans="37:39">
      <c r="AK533" s="786"/>
      <c r="AM533" s="786"/>
    </row>
    <row r="534" spans="37:39">
      <c r="AK534" s="786"/>
      <c r="AM534" s="786"/>
    </row>
    <row r="535" spans="37:39">
      <c r="AK535" s="786"/>
      <c r="AM535" s="786"/>
    </row>
    <row r="536" spans="37:39">
      <c r="AK536" s="786"/>
      <c r="AM536" s="786"/>
    </row>
    <row r="537" spans="37:39">
      <c r="AK537" s="786"/>
      <c r="AM537" s="786"/>
    </row>
    <row r="538" spans="37:39">
      <c r="AK538" s="786"/>
      <c r="AM538" s="786"/>
    </row>
    <row r="539" spans="37:39">
      <c r="AK539" s="786"/>
      <c r="AM539" s="786"/>
    </row>
    <row r="540" spans="37:39">
      <c r="AK540" s="786"/>
      <c r="AM540" s="786"/>
    </row>
    <row r="541" spans="37:39">
      <c r="AK541" s="786"/>
      <c r="AM541" s="786"/>
    </row>
    <row r="542" spans="37:39">
      <c r="AK542" s="786"/>
      <c r="AM542" s="786"/>
    </row>
    <row r="543" spans="37:39">
      <c r="AK543" s="786"/>
      <c r="AM543" s="786"/>
    </row>
    <row r="544" spans="37:39">
      <c r="AK544" s="786"/>
      <c r="AM544" s="786"/>
    </row>
    <row r="545" spans="37:39">
      <c r="AK545" s="786"/>
      <c r="AM545" s="786"/>
    </row>
    <row r="546" spans="37:39">
      <c r="AK546" s="786"/>
      <c r="AM546" s="786"/>
    </row>
    <row r="547" spans="37:39">
      <c r="AK547" s="786"/>
      <c r="AM547" s="786"/>
    </row>
    <row r="548" spans="37:39">
      <c r="AK548" s="786"/>
      <c r="AM548" s="786"/>
    </row>
    <row r="549" spans="37:39">
      <c r="AK549" s="786"/>
      <c r="AM549" s="786"/>
    </row>
    <row r="550" spans="37:39">
      <c r="AK550" s="786"/>
      <c r="AM550" s="786"/>
    </row>
    <row r="551" spans="37:39">
      <c r="AK551" s="786"/>
      <c r="AM551" s="786"/>
    </row>
    <row r="552" spans="37:39">
      <c r="AK552" s="786"/>
      <c r="AM552" s="786"/>
    </row>
    <row r="553" spans="37:39">
      <c r="AK553" s="786"/>
      <c r="AM553" s="786"/>
    </row>
    <row r="554" spans="37:39">
      <c r="AK554" s="786"/>
      <c r="AM554" s="786"/>
    </row>
    <row r="555" spans="37:39">
      <c r="AK555" s="786"/>
      <c r="AM555" s="786"/>
    </row>
    <row r="556" spans="37:39">
      <c r="AK556" s="786"/>
      <c r="AM556" s="786"/>
    </row>
    <row r="557" spans="37:39">
      <c r="AK557" s="786"/>
      <c r="AM557" s="786"/>
    </row>
    <row r="558" spans="37:39">
      <c r="AK558" s="786"/>
      <c r="AM558" s="786"/>
    </row>
    <row r="559" spans="37:39">
      <c r="AK559" s="786"/>
      <c r="AM559" s="786"/>
    </row>
    <row r="560" spans="37:39">
      <c r="AK560" s="786"/>
      <c r="AM560" s="786"/>
    </row>
    <row r="561" spans="37:39">
      <c r="AK561" s="786"/>
      <c r="AM561" s="786"/>
    </row>
    <row r="562" spans="37:39">
      <c r="AK562" s="786"/>
      <c r="AM562" s="786"/>
    </row>
    <row r="563" spans="37:39">
      <c r="AK563" s="786"/>
      <c r="AM563" s="786"/>
    </row>
    <row r="564" spans="37:39">
      <c r="AK564" s="786"/>
      <c r="AM564" s="786"/>
    </row>
    <row r="565" spans="37:39">
      <c r="AK565" s="786"/>
      <c r="AM565" s="786"/>
    </row>
    <row r="566" spans="37:39">
      <c r="AK566" s="786"/>
      <c r="AM566" s="786"/>
    </row>
    <row r="567" spans="37:39">
      <c r="AK567" s="786"/>
      <c r="AM567" s="786"/>
    </row>
    <row r="568" spans="37:39">
      <c r="AK568" s="786"/>
      <c r="AM568" s="786"/>
    </row>
    <row r="569" spans="37:39">
      <c r="AK569" s="786"/>
      <c r="AM569" s="786"/>
    </row>
    <row r="570" spans="37:39">
      <c r="AK570" s="786"/>
      <c r="AM570" s="786"/>
    </row>
    <row r="571" spans="37:39">
      <c r="AK571" s="786"/>
      <c r="AM571" s="786"/>
    </row>
    <row r="572" spans="37:39">
      <c r="AK572" s="786"/>
      <c r="AM572" s="786"/>
    </row>
    <row r="573" spans="37:39">
      <c r="AK573" s="786"/>
      <c r="AM573" s="786"/>
    </row>
    <row r="574" spans="37:39">
      <c r="AK574" s="786"/>
      <c r="AM574" s="786"/>
    </row>
    <row r="575" spans="37:39">
      <c r="AK575" s="786"/>
      <c r="AM575" s="786"/>
    </row>
    <row r="576" spans="37:39">
      <c r="AK576" s="786"/>
      <c r="AM576" s="786"/>
    </row>
    <row r="577" spans="37:39">
      <c r="AK577" s="786"/>
      <c r="AM577" s="786"/>
    </row>
    <row r="578" spans="37:39">
      <c r="AK578" s="786"/>
      <c r="AM578" s="786"/>
    </row>
    <row r="579" spans="37:39">
      <c r="AK579" s="786"/>
      <c r="AM579" s="786"/>
    </row>
    <row r="580" spans="37:39">
      <c r="AK580" s="786"/>
      <c r="AM580" s="786"/>
    </row>
  </sheetData>
  <autoFilter ref="B10:AN111">
    <filterColumn colId="3">
      <customFilters>
        <customFilter operator="equal" val="BASS OIL SUKANANTI LIMITED"/>
        <customFilter operator="equal" val="PATRA LOGISTIK PT"/>
      </customFilters>
    </filterColumn>
    <filterColumn colId="7">
      <customFilters>
        <customFilter operator="notEqual" val=""/>
      </customFilters>
    </filterColumn>
    <extLst/>
  </autoFilter>
  <mergeCells count="23">
    <mergeCell ref="Z4:AF4"/>
    <mergeCell ref="C8:D8"/>
    <mergeCell ref="H8:I8"/>
    <mergeCell ref="J8:L8"/>
    <mergeCell ref="N8:O8"/>
    <mergeCell ref="R8:T8"/>
    <mergeCell ref="W8:X8"/>
    <mergeCell ref="Z8:AB8"/>
    <mergeCell ref="AC8:AD8"/>
    <mergeCell ref="AE8:AF8"/>
    <mergeCell ref="AG8:AI8"/>
    <mergeCell ref="AK8:AL8"/>
    <mergeCell ref="B113:G113"/>
    <mergeCell ref="B114:G114"/>
    <mergeCell ref="AK114:AL114"/>
    <mergeCell ref="B115:G115"/>
    <mergeCell ref="AK115:AL115"/>
    <mergeCell ref="AK116:AL116"/>
    <mergeCell ref="B8:B9"/>
    <mergeCell ref="E8:E9"/>
    <mergeCell ref="F8:F9"/>
    <mergeCell ref="AM8:AM9"/>
    <mergeCell ref="AN8:AN9"/>
  </mergeCells>
  <pageMargins left="0.7" right="0.7" top="0.75" bottom="0.75" header="0.3" footer="0.3"/>
  <pageSetup paperSize="1" orientation="portrait"/>
  <headerFooter/>
  <drawing r:id="rId2"/>
  <legacyDrawing r:id="rId3"/>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92D050"/>
  </sheetPr>
  <dimension ref="B2:AP647"/>
  <sheetViews>
    <sheetView showGridLines="0" zoomScale="115" zoomScaleNormal="115" workbookViewId="0">
      <pane xSplit="7" ySplit="9" topLeftCell="H182" activePane="bottomRight" state="frozen"/>
      <selection/>
      <selection pane="topRight"/>
      <selection pane="bottomLeft"/>
      <selection pane="bottomRight" activeCell="H198" sqref="H198"/>
    </sheetView>
  </sheetViews>
  <sheetFormatPr defaultColWidth="9" defaultRowHeight="14.4"/>
  <cols>
    <col min="1" max="1" width="8.84375" style="784"/>
    <col min="2" max="2" width="4.9375" style="784" customWidth="1"/>
    <col min="3" max="3" width="10.3333333333333" style="783" customWidth="1"/>
    <col min="4" max="4" width="10.9375" style="785" customWidth="1"/>
    <col min="5" max="5" width="10.9375" style="784" customWidth="1"/>
    <col min="6" max="6" width="20.53125" style="783" customWidth="1"/>
    <col min="7" max="7" width="7.04166666666667" style="783" customWidth="1"/>
    <col min="8" max="8" width="15.5833333333333" style="786" customWidth="1"/>
    <col min="9" max="9" width="17.6770833333333" style="786" customWidth="1"/>
    <col min="10" max="10" width="15.1354166666667" style="786" customWidth="1"/>
    <col min="11" max="12" width="14.0833333333333" style="786" customWidth="1"/>
    <col min="13" max="13" width="15.1354166666667" style="786" customWidth="1"/>
    <col min="14" max="14" width="13.6354166666667" style="786" customWidth="1"/>
    <col min="15" max="15" width="13.9375" style="786" customWidth="1"/>
    <col min="16" max="16" width="16.3333333333333" style="787" customWidth="1"/>
    <col min="17" max="17" width="11.0833333333333" style="784" customWidth="1"/>
    <col min="18" max="18" width="9.29166666666667" style="787" customWidth="1"/>
    <col min="19" max="19" width="13.6354166666667" style="787" customWidth="1"/>
    <col min="20" max="20" width="6.89583333333333" style="787" customWidth="1"/>
    <col min="21" max="21" width="9.58333333333333" style="787" customWidth="1"/>
    <col min="22" max="22" width="14.2395833333333" style="788" customWidth="1"/>
    <col min="23" max="23" width="7.64583333333333" style="784" customWidth="1"/>
    <col min="24" max="24" width="7.64583333333333" style="785" customWidth="1"/>
    <col min="25" max="25" width="1.64583333333333" style="784" customWidth="1"/>
    <col min="26" max="26" width="25.7708333333333" style="783" customWidth="1"/>
    <col min="27" max="27" width="10.6354166666667" style="785" customWidth="1"/>
    <col min="28" max="28" width="19.625" style="789" customWidth="1"/>
    <col min="29" max="29" width="14.2395833333333" style="784" customWidth="1"/>
    <col min="30" max="30" width="8.6875" style="784" customWidth="1"/>
    <col min="31" max="31" width="13.3333333333333" style="784" customWidth="1"/>
    <col min="32" max="32" width="11.0833333333333" style="785" customWidth="1"/>
    <col min="33" max="33" width="8.84375" style="784"/>
    <col min="34" max="35" width="9.13541666666667" style="790" customWidth="1"/>
    <col min="36" max="36" width="2.39583333333333" style="784" customWidth="1"/>
    <col min="37" max="37" width="15.28125" style="784" customWidth="1"/>
    <col min="38" max="38" width="15.1354166666667" style="784" customWidth="1"/>
    <col min="39" max="39" width="20.2291666666667" style="784" customWidth="1"/>
    <col min="40" max="40" width="13.3333333333333" style="784" customWidth="1"/>
    <col min="41" max="41" width="10.0416666666667" style="784" customWidth="1"/>
    <col min="42" max="42" width="13.3333333333333" style="784" customWidth="1"/>
    <col min="43" max="257" width="8.84375" style="784"/>
    <col min="258" max="258" width="4.9375" style="784" customWidth="1"/>
    <col min="259" max="259" width="10.3333333333333" style="784" customWidth="1"/>
    <col min="260" max="261" width="10.9375" style="784" customWidth="1"/>
    <col min="262" max="262" width="20.53125" style="784" customWidth="1"/>
    <col min="263" max="263" width="7.04166666666667" style="784" customWidth="1"/>
    <col min="264" max="264" width="15.5833333333333" style="784" customWidth="1"/>
    <col min="265" max="265" width="17.6770833333333" style="784" customWidth="1"/>
    <col min="266" max="266" width="14.2395833333333" style="784" customWidth="1"/>
    <col min="267" max="267" width="15.1354166666667" style="784" customWidth="1"/>
    <col min="268" max="268" width="13.3333333333333" style="784" customWidth="1"/>
    <col min="269" max="269" width="15.1354166666667" style="784" customWidth="1"/>
    <col min="270" max="270" width="13.6354166666667" style="784" customWidth="1"/>
    <col min="271" max="271" width="13.9375" style="784" customWidth="1"/>
    <col min="272" max="272" width="16.3333333333333" style="784" customWidth="1"/>
    <col min="273" max="273" width="11.0833333333333" style="784" customWidth="1"/>
    <col min="274" max="274" width="9.29166666666667" style="784" customWidth="1"/>
    <col min="275" max="275" width="13.6354166666667" style="784" customWidth="1"/>
    <col min="276" max="276" width="6.89583333333333" style="784" customWidth="1"/>
    <col min="277" max="277" width="9.58333333333333" style="784" customWidth="1"/>
    <col min="278" max="278" width="14.2395833333333" style="784" customWidth="1"/>
    <col min="279" max="280" width="7.64583333333333" style="784" customWidth="1"/>
    <col min="281" max="281" width="1.64583333333333" style="784" customWidth="1"/>
    <col min="282" max="282" width="25.7708333333333" style="784" customWidth="1"/>
    <col min="283" max="283" width="10.6354166666667" style="784" customWidth="1"/>
    <col min="284" max="284" width="19.625" style="784" customWidth="1"/>
    <col min="285" max="285" width="14.2395833333333" style="784" customWidth="1"/>
    <col min="286" max="286" width="8.6875" style="784" customWidth="1"/>
    <col min="287" max="287" width="13.3333333333333" style="784" customWidth="1"/>
    <col min="288" max="288" width="11.0833333333333" style="784" customWidth="1"/>
    <col min="289" max="289" width="8.84375" style="784"/>
    <col min="290" max="291" width="9.13541666666667" style="784" customWidth="1"/>
    <col min="292" max="292" width="2.39583333333333" style="784" customWidth="1"/>
    <col min="293" max="293" width="15.28125" style="784" customWidth="1"/>
    <col min="294" max="294" width="15.1354166666667" style="784" customWidth="1"/>
    <col min="295" max="295" width="20.2291666666667" style="784" customWidth="1"/>
    <col min="296" max="296" width="13.3333333333333" style="784" customWidth="1"/>
    <col min="297" max="297" width="10.0416666666667" style="784" customWidth="1"/>
    <col min="298" max="298" width="13.3333333333333" style="784" customWidth="1"/>
    <col min="299" max="513" width="8.84375" style="784"/>
    <col min="514" max="514" width="4.9375" style="784" customWidth="1"/>
    <col min="515" max="515" width="10.3333333333333" style="784" customWidth="1"/>
    <col min="516" max="517" width="10.9375" style="784" customWidth="1"/>
    <col min="518" max="518" width="20.53125" style="784" customWidth="1"/>
    <col min="519" max="519" width="7.04166666666667" style="784" customWidth="1"/>
    <col min="520" max="520" width="15.5833333333333" style="784" customWidth="1"/>
    <col min="521" max="521" width="17.6770833333333" style="784" customWidth="1"/>
    <col min="522" max="522" width="14.2395833333333" style="784" customWidth="1"/>
    <col min="523" max="523" width="15.1354166666667" style="784" customWidth="1"/>
    <col min="524" max="524" width="13.3333333333333" style="784" customWidth="1"/>
    <col min="525" max="525" width="15.1354166666667" style="784" customWidth="1"/>
    <col min="526" max="526" width="13.6354166666667" style="784" customWidth="1"/>
    <col min="527" max="527" width="13.9375" style="784" customWidth="1"/>
    <col min="528" max="528" width="16.3333333333333" style="784" customWidth="1"/>
    <col min="529" max="529" width="11.0833333333333" style="784" customWidth="1"/>
    <col min="530" max="530" width="9.29166666666667" style="784" customWidth="1"/>
    <col min="531" max="531" width="13.6354166666667" style="784" customWidth="1"/>
    <col min="532" max="532" width="6.89583333333333" style="784" customWidth="1"/>
    <col min="533" max="533" width="9.58333333333333" style="784" customWidth="1"/>
    <col min="534" max="534" width="14.2395833333333" style="784" customWidth="1"/>
    <col min="535" max="536" width="7.64583333333333" style="784" customWidth="1"/>
    <col min="537" max="537" width="1.64583333333333" style="784" customWidth="1"/>
    <col min="538" max="538" width="25.7708333333333" style="784" customWidth="1"/>
    <col min="539" max="539" width="10.6354166666667" style="784" customWidth="1"/>
    <col min="540" max="540" width="19.625" style="784" customWidth="1"/>
    <col min="541" max="541" width="14.2395833333333" style="784" customWidth="1"/>
    <col min="542" max="542" width="8.6875" style="784" customWidth="1"/>
    <col min="543" max="543" width="13.3333333333333" style="784" customWidth="1"/>
    <col min="544" max="544" width="11.0833333333333" style="784" customWidth="1"/>
    <col min="545" max="545" width="8.84375" style="784"/>
    <col min="546" max="547" width="9.13541666666667" style="784" customWidth="1"/>
    <col min="548" max="548" width="2.39583333333333" style="784" customWidth="1"/>
    <col min="549" max="549" width="15.28125" style="784" customWidth="1"/>
    <col min="550" max="550" width="15.1354166666667" style="784" customWidth="1"/>
    <col min="551" max="551" width="20.2291666666667" style="784" customWidth="1"/>
    <col min="552" max="552" width="13.3333333333333" style="784" customWidth="1"/>
    <col min="553" max="553" width="10.0416666666667" style="784" customWidth="1"/>
    <col min="554" max="554" width="13.3333333333333" style="784" customWidth="1"/>
    <col min="555" max="769" width="8.84375" style="784"/>
    <col min="770" max="770" width="4.9375" style="784" customWidth="1"/>
    <col min="771" max="771" width="10.3333333333333" style="784" customWidth="1"/>
    <col min="772" max="773" width="10.9375" style="784" customWidth="1"/>
    <col min="774" max="774" width="20.53125" style="784" customWidth="1"/>
    <col min="775" max="775" width="7.04166666666667" style="784" customWidth="1"/>
    <col min="776" max="776" width="15.5833333333333" style="784" customWidth="1"/>
    <col min="777" max="777" width="17.6770833333333" style="784" customWidth="1"/>
    <col min="778" max="778" width="14.2395833333333" style="784" customWidth="1"/>
    <col min="779" max="779" width="15.1354166666667" style="784" customWidth="1"/>
    <col min="780" max="780" width="13.3333333333333" style="784" customWidth="1"/>
    <col min="781" max="781" width="15.1354166666667" style="784" customWidth="1"/>
    <col min="782" max="782" width="13.6354166666667" style="784" customWidth="1"/>
    <col min="783" max="783" width="13.9375" style="784" customWidth="1"/>
    <col min="784" max="784" width="16.3333333333333" style="784" customWidth="1"/>
    <col min="785" max="785" width="11.0833333333333" style="784" customWidth="1"/>
    <col min="786" max="786" width="9.29166666666667" style="784" customWidth="1"/>
    <col min="787" max="787" width="13.6354166666667" style="784" customWidth="1"/>
    <col min="788" max="788" width="6.89583333333333" style="784" customWidth="1"/>
    <col min="789" max="789" width="9.58333333333333" style="784" customWidth="1"/>
    <col min="790" max="790" width="14.2395833333333" style="784" customWidth="1"/>
    <col min="791" max="792" width="7.64583333333333" style="784" customWidth="1"/>
    <col min="793" max="793" width="1.64583333333333" style="784" customWidth="1"/>
    <col min="794" max="794" width="25.7708333333333" style="784" customWidth="1"/>
    <col min="795" max="795" width="10.6354166666667" style="784" customWidth="1"/>
    <col min="796" max="796" width="19.625" style="784" customWidth="1"/>
    <col min="797" max="797" width="14.2395833333333" style="784" customWidth="1"/>
    <col min="798" max="798" width="8.6875" style="784" customWidth="1"/>
    <col min="799" max="799" width="13.3333333333333" style="784" customWidth="1"/>
    <col min="800" max="800" width="11.0833333333333" style="784" customWidth="1"/>
    <col min="801" max="801" width="8.84375" style="784"/>
    <col min="802" max="803" width="9.13541666666667" style="784" customWidth="1"/>
    <col min="804" max="804" width="2.39583333333333" style="784" customWidth="1"/>
    <col min="805" max="805" width="15.28125" style="784" customWidth="1"/>
    <col min="806" max="806" width="15.1354166666667" style="784" customWidth="1"/>
    <col min="807" max="807" width="20.2291666666667" style="784" customWidth="1"/>
    <col min="808" max="808" width="13.3333333333333" style="784" customWidth="1"/>
    <col min="809" max="809" width="10.0416666666667" style="784" customWidth="1"/>
    <col min="810" max="810" width="13.3333333333333" style="784" customWidth="1"/>
    <col min="811" max="1025" width="8.84375" style="784"/>
    <col min="1026" max="1026" width="4.9375" style="784" customWidth="1"/>
    <col min="1027" max="1027" width="10.3333333333333" style="784" customWidth="1"/>
    <col min="1028" max="1029" width="10.9375" style="784" customWidth="1"/>
    <col min="1030" max="1030" width="20.53125" style="784" customWidth="1"/>
    <col min="1031" max="1031" width="7.04166666666667" style="784" customWidth="1"/>
    <col min="1032" max="1032" width="15.5833333333333" style="784" customWidth="1"/>
    <col min="1033" max="1033" width="17.6770833333333" style="784" customWidth="1"/>
    <col min="1034" max="1034" width="14.2395833333333" style="784" customWidth="1"/>
    <col min="1035" max="1035" width="15.1354166666667" style="784" customWidth="1"/>
    <col min="1036" max="1036" width="13.3333333333333" style="784" customWidth="1"/>
    <col min="1037" max="1037" width="15.1354166666667" style="784" customWidth="1"/>
    <col min="1038" max="1038" width="13.6354166666667" style="784" customWidth="1"/>
    <col min="1039" max="1039" width="13.9375" style="784" customWidth="1"/>
    <col min="1040" max="1040" width="16.3333333333333" style="784" customWidth="1"/>
    <col min="1041" max="1041" width="11.0833333333333" style="784" customWidth="1"/>
    <col min="1042" max="1042" width="9.29166666666667" style="784" customWidth="1"/>
    <col min="1043" max="1043" width="13.6354166666667" style="784" customWidth="1"/>
    <col min="1044" max="1044" width="6.89583333333333" style="784" customWidth="1"/>
    <col min="1045" max="1045" width="9.58333333333333" style="784" customWidth="1"/>
    <col min="1046" max="1046" width="14.2395833333333" style="784" customWidth="1"/>
    <col min="1047" max="1048" width="7.64583333333333" style="784" customWidth="1"/>
    <col min="1049" max="1049" width="1.64583333333333" style="784" customWidth="1"/>
    <col min="1050" max="1050" width="25.7708333333333" style="784" customWidth="1"/>
    <col min="1051" max="1051" width="10.6354166666667" style="784" customWidth="1"/>
    <col min="1052" max="1052" width="19.625" style="784" customWidth="1"/>
    <col min="1053" max="1053" width="14.2395833333333" style="784" customWidth="1"/>
    <col min="1054" max="1054" width="8.6875" style="784" customWidth="1"/>
    <col min="1055" max="1055" width="13.3333333333333" style="784" customWidth="1"/>
    <col min="1056" max="1056" width="11.0833333333333" style="784" customWidth="1"/>
    <col min="1057" max="1057" width="8.84375" style="784"/>
    <col min="1058" max="1059" width="9.13541666666667" style="784" customWidth="1"/>
    <col min="1060" max="1060" width="2.39583333333333" style="784" customWidth="1"/>
    <col min="1061" max="1061" width="15.28125" style="784" customWidth="1"/>
    <col min="1062" max="1062" width="15.1354166666667" style="784" customWidth="1"/>
    <col min="1063" max="1063" width="20.2291666666667" style="784" customWidth="1"/>
    <col min="1064" max="1064" width="13.3333333333333" style="784" customWidth="1"/>
    <col min="1065" max="1065" width="10.0416666666667" style="784" customWidth="1"/>
    <col min="1066" max="1066" width="13.3333333333333" style="784" customWidth="1"/>
    <col min="1067" max="1281" width="8.84375" style="784"/>
    <col min="1282" max="1282" width="4.9375" style="784" customWidth="1"/>
    <col min="1283" max="1283" width="10.3333333333333" style="784" customWidth="1"/>
    <col min="1284" max="1285" width="10.9375" style="784" customWidth="1"/>
    <col min="1286" max="1286" width="20.53125" style="784" customWidth="1"/>
    <col min="1287" max="1287" width="7.04166666666667" style="784" customWidth="1"/>
    <col min="1288" max="1288" width="15.5833333333333" style="784" customWidth="1"/>
    <col min="1289" max="1289" width="17.6770833333333" style="784" customWidth="1"/>
    <col min="1290" max="1290" width="14.2395833333333" style="784" customWidth="1"/>
    <col min="1291" max="1291" width="15.1354166666667" style="784" customWidth="1"/>
    <col min="1292" max="1292" width="13.3333333333333" style="784" customWidth="1"/>
    <col min="1293" max="1293" width="15.1354166666667" style="784" customWidth="1"/>
    <col min="1294" max="1294" width="13.6354166666667" style="784" customWidth="1"/>
    <col min="1295" max="1295" width="13.9375" style="784" customWidth="1"/>
    <col min="1296" max="1296" width="16.3333333333333" style="784" customWidth="1"/>
    <col min="1297" max="1297" width="11.0833333333333" style="784" customWidth="1"/>
    <col min="1298" max="1298" width="9.29166666666667" style="784" customWidth="1"/>
    <col min="1299" max="1299" width="13.6354166666667" style="784" customWidth="1"/>
    <col min="1300" max="1300" width="6.89583333333333" style="784" customWidth="1"/>
    <col min="1301" max="1301" width="9.58333333333333" style="784" customWidth="1"/>
    <col min="1302" max="1302" width="14.2395833333333" style="784" customWidth="1"/>
    <col min="1303" max="1304" width="7.64583333333333" style="784" customWidth="1"/>
    <col min="1305" max="1305" width="1.64583333333333" style="784" customWidth="1"/>
    <col min="1306" max="1306" width="25.7708333333333" style="784" customWidth="1"/>
    <col min="1307" max="1307" width="10.6354166666667" style="784" customWidth="1"/>
    <col min="1308" max="1308" width="19.625" style="784" customWidth="1"/>
    <col min="1309" max="1309" width="14.2395833333333" style="784" customWidth="1"/>
    <col min="1310" max="1310" width="8.6875" style="784" customWidth="1"/>
    <col min="1311" max="1311" width="13.3333333333333" style="784" customWidth="1"/>
    <col min="1312" max="1312" width="11.0833333333333" style="784" customWidth="1"/>
    <col min="1313" max="1313" width="8.84375" style="784"/>
    <col min="1314" max="1315" width="9.13541666666667" style="784" customWidth="1"/>
    <col min="1316" max="1316" width="2.39583333333333" style="784" customWidth="1"/>
    <col min="1317" max="1317" width="15.28125" style="784" customWidth="1"/>
    <col min="1318" max="1318" width="15.1354166666667" style="784" customWidth="1"/>
    <col min="1319" max="1319" width="20.2291666666667" style="784" customWidth="1"/>
    <col min="1320" max="1320" width="13.3333333333333" style="784" customWidth="1"/>
    <col min="1321" max="1321" width="10.0416666666667" style="784" customWidth="1"/>
    <col min="1322" max="1322" width="13.3333333333333" style="784" customWidth="1"/>
    <col min="1323" max="1537" width="8.84375" style="784"/>
    <col min="1538" max="1538" width="4.9375" style="784" customWidth="1"/>
    <col min="1539" max="1539" width="10.3333333333333" style="784" customWidth="1"/>
    <col min="1540" max="1541" width="10.9375" style="784" customWidth="1"/>
    <col min="1542" max="1542" width="20.53125" style="784" customWidth="1"/>
    <col min="1543" max="1543" width="7.04166666666667" style="784" customWidth="1"/>
    <col min="1544" max="1544" width="15.5833333333333" style="784" customWidth="1"/>
    <col min="1545" max="1545" width="17.6770833333333" style="784" customWidth="1"/>
    <col min="1546" max="1546" width="14.2395833333333" style="784" customWidth="1"/>
    <col min="1547" max="1547" width="15.1354166666667" style="784" customWidth="1"/>
    <col min="1548" max="1548" width="13.3333333333333" style="784" customWidth="1"/>
    <col min="1549" max="1549" width="15.1354166666667" style="784" customWidth="1"/>
    <col min="1550" max="1550" width="13.6354166666667" style="784" customWidth="1"/>
    <col min="1551" max="1551" width="13.9375" style="784" customWidth="1"/>
    <col min="1552" max="1552" width="16.3333333333333" style="784" customWidth="1"/>
    <col min="1553" max="1553" width="11.0833333333333" style="784" customWidth="1"/>
    <col min="1554" max="1554" width="9.29166666666667" style="784" customWidth="1"/>
    <col min="1555" max="1555" width="13.6354166666667" style="784" customWidth="1"/>
    <col min="1556" max="1556" width="6.89583333333333" style="784" customWidth="1"/>
    <col min="1557" max="1557" width="9.58333333333333" style="784" customWidth="1"/>
    <col min="1558" max="1558" width="14.2395833333333" style="784" customWidth="1"/>
    <col min="1559" max="1560" width="7.64583333333333" style="784" customWidth="1"/>
    <col min="1561" max="1561" width="1.64583333333333" style="784" customWidth="1"/>
    <col min="1562" max="1562" width="25.7708333333333" style="784" customWidth="1"/>
    <col min="1563" max="1563" width="10.6354166666667" style="784" customWidth="1"/>
    <col min="1564" max="1564" width="19.625" style="784" customWidth="1"/>
    <col min="1565" max="1565" width="14.2395833333333" style="784" customWidth="1"/>
    <col min="1566" max="1566" width="8.6875" style="784" customWidth="1"/>
    <col min="1567" max="1567" width="13.3333333333333" style="784" customWidth="1"/>
    <col min="1568" max="1568" width="11.0833333333333" style="784" customWidth="1"/>
    <col min="1569" max="1569" width="8.84375" style="784"/>
    <col min="1570" max="1571" width="9.13541666666667" style="784" customWidth="1"/>
    <col min="1572" max="1572" width="2.39583333333333" style="784" customWidth="1"/>
    <col min="1573" max="1573" width="15.28125" style="784" customWidth="1"/>
    <col min="1574" max="1574" width="15.1354166666667" style="784" customWidth="1"/>
    <col min="1575" max="1575" width="20.2291666666667" style="784" customWidth="1"/>
    <col min="1576" max="1576" width="13.3333333333333" style="784" customWidth="1"/>
    <col min="1577" max="1577" width="10.0416666666667" style="784" customWidth="1"/>
    <col min="1578" max="1578" width="13.3333333333333" style="784" customWidth="1"/>
    <col min="1579" max="1793" width="8.84375" style="784"/>
    <col min="1794" max="1794" width="4.9375" style="784" customWidth="1"/>
    <col min="1795" max="1795" width="10.3333333333333" style="784" customWidth="1"/>
    <col min="1796" max="1797" width="10.9375" style="784" customWidth="1"/>
    <col min="1798" max="1798" width="20.53125" style="784" customWidth="1"/>
    <col min="1799" max="1799" width="7.04166666666667" style="784" customWidth="1"/>
    <col min="1800" max="1800" width="15.5833333333333" style="784" customWidth="1"/>
    <col min="1801" max="1801" width="17.6770833333333" style="784" customWidth="1"/>
    <col min="1802" max="1802" width="14.2395833333333" style="784" customWidth="1"/>
    <col min="1803" max="1803" width="15.1354166666667" style="784" customWidth="1"/>
    <col min="1804" max="1804" width="13.3333333333333" style="784" customWidth="1"/>
    <col min="1805" max="1805" width="15.1354166666667" style="784" customWidth="1"/>
    <col min="1806" max="1806" width="13.6354166666667" style="784" customWidth="1"/>
    <col min="1807" max="1807" width="13.9375" style="784" customWidth="1"/>
    <col min="1808" max="1808" width="16.3333333333333" style="784" customWidth="1"/>
    <col min="1809" max="1809" width="11.0833333333333" style="784" customWidth="1"/>
    <col min="1810" max="1810" width="9.29166666666667" style="784" customWidth="1"/>
    <col min="1811" max="1811" width="13.6354166666667" style="784" customWidth="1"/>
    <col min="1812" max="1812" width="6.89583333333333" style="784" customWidth="1"/>
    <col min="1813" max="1813" width="9.58333333333333" style="784" customWidth="1"/>
    <col min="1814" max="1814" width="14.2395833333333" style="784" customWidth="1"/>
    <col min="1815" max="1816" width="7.64583333333333" style="784" customWidth="1"/>
    <col min="1817" max="1817" width="1.64583333333333" style="784" customWidth="1"/>
    <col min="1818" max="1818" width="25.7708333333333" style="784" customWidth="1"/>
    <col min="1819" max="1819" width="10.6354166666667" style="784" customWidth="1"/>
    <col min="1820" max="1820" width="19.625" style="784" customWidth="1"/>
    <col min="1821" max="1821" width="14.2395833333333" style="784" customWidth="1"/>
    <col min="1822" max="1822" width="8.6875" style="784" customWidth="1"/>
    <col min="1823" max="1823" width="13.3333333333333" style="784" customWidth="1"/>
    <col min="1824" max="1824" width="11.0833333333333" style="784" customWidth="1"/>
    <col min="1825" max="1825" width="8.84375" style="784"/>
    <col min="1826" max="1827" width="9.13541666666667" style="784" customWidth="1"/>
    <col min="1828" max="1828" width="2.39583333333333" style="784" customWidth="1"/>
    <col min="1829" max="1829" width="15.28125" style="784" customWidth="1"/>
    <col min="1830" max="1830" width="15.1354166666667" style="784" customWidth="1"/>
    <col min="1831" max="1831" width="20.2291666666667" style="784" customWidth="1"/>
    <col min="1832" max="1832" width="13.3333333333333" style="784" customWidth="1"/>
    <col min="1833" max="1833" width="10.0416666666667" style="784" customWidth="1"/>
    <col min="1834" max="1834" width="13.3333333333333" style="784" customWidth="1"/>
    <col min="1835" max="2049" width="8.84375" style="784"/>
    <col min="2050" max="2050" width="4.9375" style="784" customWidth="1"/>
    <col min="2051" max="2051" width="10.3333333333333" style="784" customWidth="1"/>
    <col min="2052" max="2053" width="10.9375" style="784" customWidth="1"/>
    <col min="2054" max="2054" width="20.53125" style="784" customWidth="1"/>
    <col min="2055" max="2055" width="7.04166666666667" style="784" customWidth="1"/>
    <col min="2056" max="2056" width="15.5833333333333" style="784" customWidth="1"/>
    <col min="2057" max="2057" width="17.6770833333333" style="784" customWidth="1"/>
    <col min="2058" max="2058" width="14.2395833333333" style="784" customWidth="1"/>
    <col min="2059" max="2059" width="15.1354166666667" style="784" customWidth="1"/>
    <col min="2060" max="2060" width="13.3333333333333" style="784" customWidth="1"/>
    <col min="2061" max="2061" width="15.1354166666667" style="784" customWidth="1"/>
    <col min="2062" max="2062" width="13.6354166666667" style="784" customWidth="1"/>
    <col min="2063" max="2063" width="13.9375" style="784" customWidth="1"/>
    <col min="2064" max="2064" width="16.3333333333333" style="784" customWidth="1"/>
    <col min="2065" max="2065" width="11.0833333333333" style="784" customWidth="1"/>
    <col min="2066" max="2066" width="9.29166666666667" style="784" customWidth="1"/>
    <col min="2067" max="2067" width="13.6354166666667" style="784" customWidth="1"/>
    <col min="2068" max="2068" width="6.89583333333333" style="784" customWidth="1"/>
    <col min="2069" max="2069" width="9.58333333333333" style="784" customWidth="1"/>
    <col min="2070" max="2070" width="14.2395833333333" style="784" customWidth="1"/>
    <col min="2071" max="2072" width="7.64583333333333" style="784" customWidth="1"/>
    <col min="2073" max="2073" width="1.64583333333333" style="784" customWidth="1"/>
    <col min="2074" max="2074" width="25.7708333333333" style="784" customWidth="1"/>
    <col min="2075" max="2075" width="10.6354166666667" style="784" customWidth="1"/>
    <col min="2076" max="2076" width="19.625" style="784" customWidth="1"/>
    <col min="2077" max="2077" width="14.2395833333333" style="784" customWidth="1"/>
    <col min="2078" max="2078" width="8.6875" style="784" customWidth="1"/>
    <col min="2079" max="2079" width="13.3333333333333" style="784" customWidth="1"/>
    <col min="2080" max="2080" width="11.0833333333333" style="784" customWidth="1"/>
    <col min="2081" max="2081" width="8.84375" style="784"/>
    <col min="2082" max="2083" width="9.13541666666667" style="784" customWidth="1"/>
    <col min="2084" max="2084" width="2.39583333333333" style="784" customWidth="1"/>
    <col min="2085" max="2085" width="15.28125" style="784" customWidth="1"/>
    <col min="2086" max="2086" width="15.1354166666667" style="784" customWidth="1"/>
    <col min="2087" max="2087" width="20.2291666666667" style="784" customWidth="1"/>
    <col min="2088" max="2088" width="13.3333333333333" style="784" customWidth="1"/>
    <col min="2089" max="2089" width="10.0416666666667" style="784" customWidth="1"/>
    <col min="2090" max="2090" width="13.3333333333333" style="784" customWidth="1"/>
    <col min="2091" max="2305" width="8.84375" style="784"/>
    <col min="2306" max="2306" width="4.9375" style="784" customWidth="1"/>
    <col min="2307" max="2307" width="10.3333333333333" style="784" customWidth="1"/>
    <col min="2308" max="2309" width="10.9375" style="784" customWidth="1"/>
    <col min="2310" max="2310" width="20.53125" style="784" customWidth="1"/>
    <col min="2311" max="2311" width="7.04166666666667" style="784" customWidth="1"/>
    <col min="2312" max="2312" width="15.5833333333333" style="784" customWidth="1"/>
    <col min="2313" max="2313" width="17.6770833333333" style="784" customWidth="1"/>
    <col min="2314" max="2314" width="14.2395833333333" style="784" customWidth="1"/>
    <col min="2315" max="2315" width="15.1354166666667" style="784" customWidth="1"/>
    <col min="2316" max="2316" width="13.3333333333333" style="784" customWidth="1"/>
    <col min="2317" max="2317" width="15.1354166666667" style="784" customWidth="1"/>
    <col min="2318" max="2318" width="13.6354166666667" style="784" customWidth="1"/>
    <col min="2319" max="2319" width="13.9375" style="784" customWidth="1"/>
    <col min="2320" max="2320" width="16.3333333333333" style="784" customWidth="1"/>
    <col min="2321" max="2321" width="11.0833333333333" style="784" customWidth="1"/>
    <col min="2322" max="2322" width="9.29166666666667" style="784" customWidth="1"/>
    <col min="2323" max="2323" width="13.6354166666667" style="784" customWidth="1"/>
    <col min="2324" max="2324" width="6.89583333333333" style="784" customWidth="1"/>
    <col min="2325" max="2325" width="9.58333333333333" style="784" customWidth="1"/>
    <col min="2326" max="2326" width="14.2395833333333" style="784" customWidth="1"/>
    <col min="2327" max="2328" width="7.64583333333333" style="784" customWidth="1"/>
    <col min="2329" max="2329" width="1.64583333333333" style="784" customWidth="1"/>
    <col min="2330" max="2330" width="25.7708333333333" style="784" customWidth="1"/>
    <col min="2331" max="2331" width="10.6354166666667" style="784" customWidth="1"/>
    <col min="2332" max="2332" width="19.625" style="784" customWidth="1"/>
    <col min="2333" max="2333" width="14.2395833333333" style="784" customWidth="1"/>
    <col min="2334" max="2334" width="8.6875" style="784" customWidth="1"/>
    <col min="2335" max="2335" width="13.3333333333333" style="784" customWidth="1"/>
    <col min="2336" max="2336" width="11.0833333333333" style="784" customWidth="1"/>
    <col min="2337" max="2337" width="8.84375" style="784"/>
    <col min="2338" max="2339" width="9.13541666666667" style="784" customWidth="1"/>
    <col min="2340" max="2340" width="2.39583333333333" style="784" customWidth="1"/>
    <col min="2341" max="2341" width="15.28125" style="784" customWidth="1"/>
    <col min="2342" max="2342" width="15.1354166666667" style="784" customWidth="1"/>
    <col min="2343" max="2343" width="20.2291666666667" style="784" customWidth="1"/>
    <col min="2344" max="2344" width="13.3333333333333" style="784" customWidth="1"/>
    <col min="2345" max="2345" width="10.0416666666667" style="784" customWidth="1"/>
    <col min="2346" max="2346" width="13.3333333333333" style="784" customWidth="1"/>
    <col min="2347" max="2561" width="8.84375" style="784"/>
    <col min="2562" max="2562" width="4.9375" style="784" customWidth="1"/>
    <col min="2563" max="2563" width="10.3333333333333" style="784" customWidth="1"/>
    <col min="2564" max="2565" width="10.9375" style="784" customWidth="1"/>
    <col min="2566" max="2566" width="20.53125" style="784" customWidth="1"/>
    <col min="2567" max="2567" width="7.04166666666667" style="784" customWidth="1"/>
    <col min="2568" max="2568" width="15.5833333333333" style="784" customWidth="1"/>
    <col min="2569" max="2569" width="17.6770833333333" style="784" customWidth="1"/>
    <col min="2570" max="2570" width="14.2395833333333" style="784" customWidth="1"/>
    <col min="2571" max="2571" width="15.1354166666667" style="784" customWidth="1"/>
    <col min="2572" max="2572" width="13.3333333333333" style="784" customWidth="1"/>
    <col min="2573" max="2573" width="15.1354166666667" style="784" customWidth="1"/>
    <col min="2574" max="2574" width="13.6354166666667" style="784" customWidth="1"/>
    <col min="2575" max="2575" width="13.9375" style="784" customWidth="1"/>
    <col min="2576" max="2576" width="16.3333333333333" style="784" customWidth="1"/>
    <col min="2577" max="2577" width="11.0833333333333" style="784" customWidth="1"/>
    <col min="2578" max="2578" width="9.29166666666667" style="784" customWidth="1"/>
    <col min="2579" max="2579" width="13.6354166666667" style="784" customWidth="1"/>
    <col min="2580" max="2580" width="6.89583333333333" style="784" customWidth="1"/>
    <col min="2581" max="2581" width="9.58333333333333" style="784" customWidth="1"/>
    <col min="2582" max="2582" width="14.2395833333333" style="784" customWidth="1"/>
    <col min="2583" max="2584" width="7.64583333333333" style="784" customWidth="1"/>
    <col min="2585" max="2585" width="1.64583333333333" style="784" customWidth="1"/>
    <col min="2586" max="2586" width="25.7708333333333" style="784" customWidth="1"/>
    <col min="2587" max="2587" width="10.6354166666667" style="784" customWidth="1"/>
    <col min="2588" max="2588" width="19.625" style="784" customWidth="1"/>
    <col min="2589" max="2589" width="14.2395833333333" style="784" customWidth="1"/>
    <col min="2590" max="2590" width="8.6875" style="784" customWidth="1"/>
    <col min="2591" max="2591" width="13.3333333333333" style="784" customWidth="1"/>
    <col min="2592" max="2592" width="11.0833333333333" style="784" customWidth="1"/>
    <col min="2593" max="2593" width="8.84375" style="784"/>
    <col min="2594" max="2595" width="9.13541666666667" style="784" customWidth="1"/>
    <col min="2596" max="2596" width="2.39583333333333" style="784" customWidth="1"/>
    <col min="2597" max="2597" width="15.28125" style="784" customWidth="1"/>
    <col min="2598" max="2598" width="15.1354166666667" style="784" customWidth="1"/>
    <col min="2599" max="2599" width="20.2291666666667" style="784" customWidth="1"/>
    <col min="2600" max="2600" width="13.3333333333333" style="784" customWidth="1"/>
    <col min="2601" max="2601" width="10.0416666666667" style="784" customWidth="1"/>
    <col min="2602" max="2602" width="13.3333333333333" style="784" customWidth="1"/>
    <col min="2603" max="2817" width="8.84375" style="784"/>
    <col min="2818" max="2818" width="4.9375" style="784" customWidth="1"/>
    <col min="2819" max="2819" width="10.3333333333333" style="784" customWidth="1"/>
    <col min="2820" max="2821" width="10.9375" style="784" customWidth="1"/>
    <col min="2822" max="2822" width="20.53125" style="784" customWidth="1"/>
    <col min="2823" max="2823" width="7.04166666666667" style="784" customWidth="1"/>
    <col min="2824" max="2824" width="15.5833333333333" style="784" customWidth="1"/>
    <col min="2825" max="2825" width="17.6770833333333" style="784" customWidth="1"/>
    <col min="2826" max="2826" width="14.2395833333333" style="784" customWidth="1"/>
    <col min="2827" max="2827" width="15.1354166666667" style="784" customWidth="1"/>
    <col min="2828" max="2828" width="13.3333333333333" style="784" customWidth="1"/>
    <col min="2829" max="2829" width="15.1354166666667" style="784" customWidth="1"/>
    <col min="2830" max="2830" width="13.6354166666667" style="784" customWidth="1"/>
    <col min="2831" max="2831" width="13.9375" style="784" customWidth="1"/>
    <col min="2832" max="2832" width="16.3333333333333" style="784" customWidth="1"/>
    <col min="2833" max="2833" width="11.0833333333333" style="784" customWidth="1"/>
    <col min="2834" max="2834" width="9.29166666666667" style="784" customWidth="1"/>
    <col min="2835" max="2835" width="13.6354166666667" style="784" customWidth="1"/>
    <col min="2836" max="2836" width="6.89583333333333" style="784" customWidth="1"/>
    <col min="2837" max="2837" width="9.58333333333333" style="784" customWidth="1"/>
    <col min="2838" max="2838" width="14.2395833333333" style="784" customWidth="1"/>
    <col min="2839" max="2840" width="7.64583333333333" style="784" customWidth="1"/>
    <col min="2841" max="2841" width="1.64583333333333" style="784" customWidth="1"/>
    <col min="2842" max="2842" width="25.7708333333333" style="784" customWidth="1"/>
    <col min="2843" max="2843" width="10.6354166666667" style="784" customWidth="1"/>
    <col min="2844" max="2844" width="19.625" style="784" customWidth="1"/>
    <col min="2845" max="2845" width="14.2395833333333" style="784" customWidth="1"/>
    <col min="2846" max="2846" width="8.6875" style="784" customWidth="1"/>
    <col min="2847" max="2847" width="13.3333333333333" style="784" customWidth="1"/>
    <col min="2848" max="2848" width="11.0833333333333" style="784" customWidth="1"/>
    <col min="2849" max="2849" width="8.84375" style="784"/>
    <col min="2850" max="2851" width="9.13541666666667" style="784" customWidth="1"/>
    <col min="2852" max="2852" width="2.39583333333333" style="784" customWidth="1"/>
    <col min="2853" max="2853" width="15.28125" style="784" customWidth="1"/>
    <col min="2854" max="2854" width="15.1354166666667" style="784" customWidth="1"/>
    <col min="2855" max="2855" width="20.2291666666667" style="784" customWidth="1"/>
    <col min="2856" max="2856" width="13.3333333333333" style="784" customWidth="1"/>
    <col min="2857" max="2857" width="10.0416666666667" style="784" customWidth="1"/>
    <col min="2858" max="2858" width="13.3333333333333" style="784" customWidth="1"/>
    <col min="2859" max="3073" width="8.84375" style="784"/>
    <col min="3074" max="3074" width="4.9375" style="784" customWidth="1"/>
    <col min="3075" max="3075" width="10.3333333333333" style="784" customWidth="1"/>
    <col min="3076" max="3077" width="10.9375" style="784" customWidth="1"/>
    <col min="3078" max="3078" width="20.53125" style="784" customWidth="1"/>
    <col min="3079" max="3079" width="7.04166666666667" style="784" customWidth="1"/>
    <col min="3080" max="3080" width="15.5833333333333" style="784" customWidth="1"/>
    <col min="3081" max="3081" width="17.6770833333333" style="784" customWidth="1"/>
    <col min="3082" max="3082" width="14.2395833333333" style="784" customWidth="1"/>
    <col min="3083" max="3083" width="15.1354166666667" style="784" customWidth="1"/>
    <col min="3084" max="3084" width="13.3333333333333" style="784" customWidth="1"/>
    <col min="3085" max="3085" width="15.1354166666667" style="784" customWidth="1"/>
    <col min="3086" max="3086" width="13.6354166666667" style="784" customWidth="1"/>
    <col min="3087" max="3087" width="13.9375" style="784" customWidth="1"/>
    <col min="3088" max="3088" width="16.3333333333333" style="784" customWidth="1"/>
    <col min="3089" max="3089" width="11.0833333333333" style="784" customWidth="1"/>
    <col min="3090" max="3090" width="9.29166666666667" style="784" customWidth="1"/>
    <col min="3091" max="3091" width="13.6354166666667" style="784" customWidth="1"/>
    <col min="3092" max="3092" width="6.89583333333333" style="784" customWidth="1"/>
    <col min="3093" max="3093" width="9.58333333333333" style="784" customWidth="1"/>
    <col min="3094" max="3094" width="14.2395833333333" style="784" customWidth="1"/>
    <col min="3095" max="3096" width="7.64583333333333" style="784" customWidth="1"/>
    <col min="3097" max="3097" width="1.64583333333333" style="784" customWidth="1"/>
    <col min="3098" max="3098" width="25.7708333333333" style="784" customWidth="1"/>
    <col min="3099" max="3099" width="10.6354166666667" style="784" customWidth="1"/>
    <col min="3100" max="3100" width="19.625" style="784" customWidth="1"/>
    <col min="3101" max="3101" width="14.2395833333333" style="784" customWidth="1"/>
    <col min="3102" max="3102" width="8.6875" style="784" customWidth="1"/>
    <col min="3103" max="3103" width="13.3333333333333" style="784" customWidth="1"/>
    <col min="3104" max="3104" width="11.0833333333333" style="784" customWidth="1"/>
    <col min="3105" max="3105" width="8.84375" style="784"/>
    <col min="3106" max="3107" width="9.13541666666667" style="784" customWidth="1"/>
    <col min="3108" max="3108" width="2.39583333333333" style="784" customWidth="1"/>
    <col min="3109" max="3109" width="15.28125" style="784" customWidth="1"/>
    <col min="3110" max="3110" width="15.1354166666667" style="784" customWidth="1"/>
    <col min="3111" max="3111" width="20.2291666666667" style="784" customWidth="1"/>
    <col min="3112" max="3112" width="13.3333333333333" style="784" customWidth="1"/>
    <col min="3113" max="3113" width="10.0416666666667" style="784" customWidth="1"/>
    <col min="3114" max="3114" width="13.3333333333333" style="784" customWidth="1"/>
    <col min="3115" max="3329" width="8.84375" style="784"/>
    <col min="3330" max="3330" width="4.9375" style="784" customWidth="1"/>
    <col min="3331" max="3331" width="10.3333333333333" style="784" customWidth="1"/>
    <col min="3332" max="3333" width="10.9375" style="784" customWidth="1"/>
    <col min="3334" max="3334" width="20.53125" style="784" customWidth="1"/>
    <col min="3335" max="3335" width="7.04166666666667" style="784" customWidth="1"/>
    <col min="3336" max="3336" width="15.5833333333333" style="784" customWidth="1"/>
    <col min="3337" max="3337" width="17.6770833333333" style="784" customWidth="1"/>
    <col min="3338" max="3338" width="14.2395833333333" style="784" customWidth="1"/>
    <col min="3339" max="3339" width="15.1354166666667" style="784" customWidth="1"/>
    <col min="3340" max="3340" width="13.3333333333333" style="784" customWidth="1"/>
    <col min="3341" max="3341" width="15.1354166666667" style="784" customWidth="1"/>
    <col min="3342" max="3342" width="13.6354166666667" style="784" customWidth="1"/>
    <col min="3343" max="3343" width="13.9375" style="784" customWidth="1"/>
    <col min="3344" max="3344" width="16.3333333333333" style="784" customWidth="1"/>
    <col min="3345" max="3345" width="11.0833333333333" style="784" customWidth="1"/>
    <col min="3346" max="3346" width="9.29166666666667" style="784" customWidth="1"/>
    <col min="3347" max="3347" width="13.6354166666667" style="784" customWidth="1"/>
    <col min="3348" max="3348" width="6.89583333333333" style="784" customWidth="1"/>
    <col min="3349" max="3349" width="9.58333333333333" style="784" customWidth="1"/>
    <col min="3350" max="3350" width="14.2395833333333" style="784" customWidth="1"/>
    <col min="3351" max="3352" width="7.64583333333333" style="784" customWidth="1"/>
    <col min="3353" max="3353" width="1.64583333333333" style="784" customWidth="1"/>
    <col min="3354" max="3354" width="25.7708333333333" style="784" customWidth="1"/>
    <col min="3355" max="3355" width="10.6354166666667" style="784" customWidth="1"/>
    <col min="3356" max="3356" width="19.625" style="784" customWidth="1"/>
    <col min="3357" max="3357" width="14.2395833333333" style="784" customWidth="1"/>
    <col min="3358" max="3358" width="8.6875" style="784" customWidth="1"/>
    <col min="3359" max="3359" width="13.3333333333333" style="784" customWidth="1"/>
    <col min="3360" max="3360" width="11.0833333333333" style="784" customWidth="1"/>
    <col min="3361" max="3361" width="8.84375" style="784"/>
    <col min="3362" max="3363" width="9.13541666666667" style="784" customWidth="1"/>
    <col min="3364" max="3364" width="2.39583333333333" style="784" customWidth="1"/>
    <col min="3365" max="3365" width="15.28125" style="784" customWidth="1"/>
    <col min="3366" max="3366" width="15.1354166666667" style="784" customWidth="1"/>
    <col min="3367" max="3367" width="20.2291666666667" style="784" customWidth="1"/>
    <col min="3368" max="3368" width="13.3333333333333" style="784" customWidth="1"/>
    <col min="3369" max="3369" width="10.0416666666667" style="784" customWidth="1"/>
    <col min="3370" max="3370" width="13.3333333333333" style="784" customWidth="1"/>
    <col min="3371" max="3585" width="8.84375" style="784"/>
    <col min="3586" max="3586" width="4.9375" style="784" customWidth="1"/>
    <col min="3587" max="3587" width="10.3333333333333" style="784" customWidth="1"/>
    <col min="3588" max="3589" width="10.9375" style="784" customWidth="1"/>
    <col min="3590" max="3590" width="20.53125" style="784" customWidth="1"/>
    <col min="3591" max="3591" width="7.04166666666667" style="784" customWidth="1"/>
    <col min="3592" max="3592" width="15.5833333333333" style="784" customWidth="1"/>
    <col min="3593" max="3593" width="17.6770833333333" style="784" customWidth="1"/>
    <col min="3594" max="3594" width="14.2395833333333" style="784" customWidth="1"/>
    <col min="3595" max="3595" width="15.1354166666667" style="784" customWidth="1"/>
    <col min="3596" max="3596" width="13.3333333333333" style="784" customWidth="1"/>
    <col min="3597" max="3597" width="15.1354166666667" style="784" customWidth="1"/>
    <col min="3598" max="3598" width="13.6354166666667" style="784" customWidth="1"/>
    <col min="3599" max="3599" width="13.9375" style="784" customWidth="1"/>
    <col min="3600" max="3600" width="16.3333333333333" style="784" customWidth="1"/>
    <col min="3601" max="3601" width="11.0833333333333" style="784" customWidth="1"/>
    <col min="3602" max="3602" width="9.29166666666667" style="784" customWidth="1"/>
    <col min="3603" max="3603" width="13.6354166666667" style="784" customWidth="1"/>
    <col min="3604" max="3604" width="6.89583333333333" style="784" customWidth="1"/>
    <col min="3605" max="3605" width="9.58333333333333" style="784" customWidth="1"/>
    <col min="3606" max="3606" width="14.2395833333333" style="784" customWidth="1"/>
    <col min="3607" max="3608" width="7.64583333333333" style="784" customWidth="1"/>
    <col min="3609" max="3609" width="1.64583333333333" style="784" customWidth="1"/>
    <col min="3610" max="3610" width="25.7708333333333" style="784" customWidth="1"/>
    <col min="3611" max="3611" width="10.6354166666667" style="784" customWidth="1"/>
    <col min="3612" max="3612" width="19.625" style="784" customWidth="1"/>
    <col min="3613" max="3613" width="14.2395833333333" style="784" customWidth="1"/>
    <col min="3614" max="3614" width="8.6875" style="784" customWidth="1"/>
    <col min="3615" max="3615" width="13.3333333333333" style="784" customWidth="1"/>
    <col min="3616" max="3616" width="11.0833333333333" style="784" customWidth="1"/>
    <col min="3617" max="3617" width="8.84375" style="784"/>
    <col min="3618" max="3619" width="9.13541666666667" style="784" customWidth="1"/>
    <col min="3620" max="3620" width="2.39583333333333" style="784" customWidth="1"/>
    <col min="3621" max="3621" width="15.28125" style="784" customWidth="1"/>
    <col min="3622" max="3622" width="15.1354166666667" style="784" customWidth="1"/>
    <col min="3623" max="3623" width="20.2291666666667" style="784" customWidth="1"/>
    <col min="3624" max="3624" width="13.3333333333333" style="784" customWidth="1"/>
    <col min="3625" max="3625" width="10.0416666666667" style="784" customWidth="1"/>
    <col min="3626" max="3626" width="13.3333333333333" style="784" customWidth="1"/>
    <col min="3627" max="3841" width="8.84375" style="784"/>
    <col min="3842" max="3842" width="4.9375" style="784" customWidth="1"/>
    <col min="3843" max="3843" width="10.3333333333333" style="784" customWidth="1"/>
    <col min="3844" max="3845" width="10.9375" style="784" customWidth="1"/>
    <col min="3846" max="3846" width="20.53125" style="784" customWidth="1"/>
    <col min="3847" max="3847" width="7.04166666666667" style="784" customWidth="1"/>
    <col min="3848" max="3848" width="15.5833333333333" style="784" customWidth="1"/>
    <col min="3849" max="3849" width="17.6770833333333" style="784" customWidth="1"/>
    <col min="3850" max="3850" width="14.2395833333333" style="784" customWidth="1"/>
    <col min="3851" max="3851" width="15.1354166666667" style="784" customWidth="1"/>
    <col min="3852" max="3852" width="13.3333333333333" style="784" customWidth="1"/>
    <col min="3853" max="3853" width="15.1354166666667" style="784" customWidth="1"/>
    <col min="3854" max="3854" width="13.6354166666667" style="784" customWidth="1"/>
    <col min="3855" max="3855" width="13.9375" style="784" customWidth="1"/>
    <col min="3856" max="3856" width="16.3333333333333" style="784" customWidth="1"/>
    <col min="3857" max="3857" width="11.0833333333333" style="784" customWidth="1"/>
    <col min="3858" max="3858" width="9.29166666666667" style="784" customWidth="1"/>
    <col min="3859" max="3859" width="13.6354166666667" style="784" customWidth="1"/>
    <col min="3860" max="3860" width="6.89583333333333" style="784" customWidth="1"/>
    <col min="3861" max="3861" width="9.58333333333333" style="784" customWidth="1"/>
    <col min="3862" max="3862" width="14.2395833333333" style="784" customWidth="1"/>
    <col min="3863" max="3864" width="7.64583333333333" style="784" customWidth="1"/>
    <col min="3865" max="3865" width="1.64583333333333" style="784" customWidth="1"/>
    <col min="3866" max="3866" width="25.7708333333333" style="784" customWidth="1"/>
    <col min="3867" max="3867" width="10.6354166666667" style="784" customWidth="1"/>
    <col min="3868" max="3868" width="19.625" style="784" customWidth="1"/>
    <col min="3869" max="3869" width="14.2395833333333" style="784" customWidth="1"/>
    <col min="3870" max="3870" width="8.6875" style="784" customWidth="1"/>
    <col min="3871" max="3871" width="13.3333333333333" style="784" customWidth="1"/>
    <col min="3872" max="3872" width="11.0833333333333" style="784" customWidth="1"/>
    <col min="3873" max="3873" width="8.84375" style="784"/>
    <col min="3874" max="3875" width="9.13541666666667" style="784" customWidth="1"/>
    <col min="3876" max="3876" width="2.39583333333333" style="784" customWidth="1"/>
    <col min="3877" max="3877" width="15.28125" style="784" customWidth="1"/>
    <col min="3878" max="3878" width="15.1354166666667" style="784" customWidth="1"/>
    <col min="3879" max="3879" width="20.2291666666667" style="784" customWidth="1"/>
    <col min="3880" max="3880" width="13.3333333333333" style="784" customWidth="1"/>
    <col min="3881" max="3881" width="10.0416666666667" style="784" customWidth="1"/>
    <col min="3882" max="3882" width="13.3333333333333" style="784" customWidth="1"/>
    <col min="3883" max="4097" width="8.84375" style="784"/>
    <col min="4098" max="4098" width="4.9375" style="784" customWidth="1"/>
    <col min="4099" max="4099" width="10.3333333333333" style="784" customWidth="1"/>
    <col min="4100" max="4101" width="10.9375" style="784" customWidth="1"/>
    <col min="4102" max="4102" width="20.53125" style="784" customWidth="1"/>
    <col min="4103" max="4103" width="7.04166666666667" style="784" customWidth="1"/>
    <col min="4104" max="4104" width="15.5833333333333" style="784" customWidth="1"/>
    <col min="4105" max="4105" width="17.6770833333333" style="784" customWidth="1"/>
    <col min="4106" max="4106" width="14.2395833333333" style="784" customWidth="1"/>
    <col min="4107" max="4107" width="15.1354166666667" style="784" customWidth="1"/>
    <col min="4108" max="4108" width="13.3333333333333" style="784" customWidth="1"/>
    <col min="4109" max="4109" width="15.1354166666667" style="784" customWidth="1"/>
    <col min="4110" max="4110" width="13.6354166666667" style="784" customWidth="1"/>
    <col min="4111" max="4111" width="13.9375" style="784" customWidth="1"/>
    <col min="4112" max="4112" width="16.3333333333333" style="784" customWidth="1"/>
    <col min="4113" max="4113" width="11.0833333333333" style="784" customWidth="1"/>
    <col min="4114" max="4114" width="9.29166666666667" style="784" customWidth="1"/>
    <col min="4115" max="4115" width="13.6354166666667" style="784" customWidth="1"/>
    <col min="4116" max="4116" width="6.89583333333333" style="784" customWidth="1"/>
    <col min="4117" max="4117" width="9.58333333333333" style="784" customWidth="1"/>
    <col min="4118" max="4118" width="14.2395833333333" style="784" customWidth="1"/>
    <col min="4119" max="4120" width="7.64583333333333" style="784" customWidth="1"/>
    <col min="4121" max="4121" width="1.64583333333333" style="784" customWidth="1"/>
    <col min="4122" max="4122" width="25.7708333333333" style="784" customWidth="1"/>
    <col min="4123" max="4123" width="10.6354166666667" style="784" customWidth="1"/>
    <col min="4124" max="4124" width="19.625" style="784" customWidth="1"/>
    <col min="4125" max="4125" width="14.2395833333333" style="784" customWidth="1"/>
    <col min="4126" max="4126" width="8.6875" style="784" customWidth="1"/>
    <col min="4127" max="4127" width="13.3333333333333" style="784" customWidth="1"/>
    <col min="4128" max="4128" width="11.0833333333333" style="784" customWidth="1"/>
    <col min="4129" max="4129" width="8.84375" style="784"/>
    <col min="4130" max="4131" width="9.13541666666667" style="784" customWidth="1"/>
    <col min="4132" max="4132" width="2.39583333333333" style="784" customWidth="1"/>
    <col min="4133" max="4133" width="15.28125" style="784" customWidth="1"/>
    <col min="4134" max="4134" width="15.1354166666667" style="784" customWidth="1"/>
    <col min="4135" max="4135" width="20.2291666666667" style="784" customWidth="1"/>
    <col min="4136" max="4136" width="13.3333333333333" style="784" customWidth="1"/>
    <col min="4137" max="4137" width="10.0416666666667" style="784" customWidth="1"/>
    <col min="4138" max="4138" width="13.3333333333333" style="784" customWidth="1"/>
    <col min="4139" max="4353" width="8.84375" style="784"/>
    <col min="4354" max="4354" width="4.9375" style="784" customWidth="1"/>
    <col min="4355" max="4355" width="10.3333333333333" style="784" customWidth="1"/>
    <col min="4356" max="4357" width="10.9375" style="784" customWidth="1"/>
    <col min="4358" max="4358" width="20.53125" style="784" customWidth="1"/>
    <col min="4359" max="4359" width="7.04166666666667" style="784" customWidth="1"/>
    <col min="4360" max="4360" width="15.5833333333333" style="784" customWidth="1"/>
    <col min="4361" max="4361" width="17.6770833333333" style="784" customWidth="1"/>
    <col min="4362" max="4362" width="14.2395833333333" style="784" customWidth="1"/>
    <col min="4363" max="4363" width="15.1354166666667" style="784" customWidth="1"/>
    <col min="4364" max="4364" width="13.3333333333333" style="784" customWidth="1"/>
    <col min="4365" max="4365" width="15.1354166666667" style="784" customWidth="1"/>
    <col min="4366" max="4366" width="13.6354166666667" style="784" customWidth="1"/>
    <col min="4367" max="4367" width="13.9375" style="784" customWidth="1"/>
    <col min="4368" max="4368" width="16.3333333333333" style="784" customWidth="1"/>
    <col min="4369" max="4369" width="11.0833333333333" style="784" customWidth="1"/>
    <col min="4370" max="4370" width="9.29166666666667" style="784" customWidth="1"/>
    <col min="4371" max="4371" width="13.6354166666667" style="784" customWidth="1"/>
    <col min="4372" max="4372" width="6.89583333333333" style="784" customWidth="1"/>
    <col min="4373" max="4373" width="9.58333333333333" style="784" customWidth="1"/>
    <col min="4374" max="4374" width="14.2395833333333" style="784" customWidth="1"/>
    <col min="4375" max="4376" width="7.64583333333333" style="784" customWidth="1"/>
    <col min="4377" max="4377" width="1.64583333333333" style="784" customWidth="1"/>
    <col min="4378" max="4378" width="25.7708333333333" style="784" customWidth="1"/>
    <col min="4379" max="4379" width="10.6354166666667" style="784" customWidth="1"/>
    <col min="4380" max="4380" width="19.625" style="784" customWidth="1"/>
    <col min="4381" max="4381" width="14.2395833333333" style="784" customWidth="1"/>
    <col min="4382" max="4382" width="8.6875" style="784" customWidth="1"/>
    <col min="4383" max="4383" width="13.3333333333333" style="784" customWidth="1"/>
    <col min="4384" max="4384" width="11.0833333333333" style="784" customWidth="1"/>
    <col min="4385" max="4385" width="8.84375" style="784"/>
    <col min="4386" max="4387" width="9.13541666666667" style="784" customWidth="1"/>
    <col min="4388" max="4388" width="2.39583333333333" style="784" customWidth="1"/>
    <col min="4389" max="4389" width="15.28125" style="784" customWidth="1"/>
    <col min="4390" max="4390" width="15.1354166666667" style="784" customWidth="1"/>
    <col min="4391" max="4391" width="20.2291666666667" style="784" customWidth="1"/>
    <col min="4392" max="4392" width="13.3333333333333" style="784" customWidth="1"/>
    <col min="4393" max="4393" width="10.0416666666667" style="784" customWidth="1"/>
    <col min="4394" max="4394" width="13.3333333333333" style="784" customWidth="1"/>
    <col min="4395" max="4609" width="8.84375" style="784"/>
    <col min="4610" max="4610" width="4.9375" style="784" customWidth="1"/>
    <col min="4611" max="4611" width="10.3333333333333" style="784" customWidth="1"/>
    <col min="4612" max="4613" width="10.9375" style="784" customWidth="1"/>
    <col min="4614" max="4614" width="20.53125" style="784" customWidth="1"/>
    <col min="4615" max="4615" width="7.04166666666667" style="784" customWidth="1"/>
    <col min="4616" max="4616" width="15.5833333333333" style="784" customWidth="1"/>
    <col min="4617" max="4617" width="17.6770833333333" style="784" customWidth="1"/>
    <col min="4618" max="4618" width="14.2395833333333" style="784" customWidth="1"/>
    <col min="4619" max="4619" width="15.1354166666667" style="784" customWidth="1"/>
    <col min="4620" max="4620" width="13.3333333333333" style="784" customWidth="1"/>
    <col min="4621" max="4621" width="15.1354166666667" style="784" customWidth="1"/>
    <col min="4622" max="4622" width="13.6354166666667" style="784" customWidth="1"/>
    <col min="4623" max="4623" width="13.9375" style="784" customWidth="1"/>
    <col min="4624" max="4624" width="16.3333333333333" style="784" customWidth="1"/>
    <col min="4625" max="4625" width="11.0833333333333" style="784" customWidth="1"/>
    <col min="4626" max="4626" width="9.29166666666667" style="784" customWidth="1"/>
    <col min="4627" max="4627" width="13.6354166666667" style="784" customWidth="1"/>
    <col min="4628" max="4628" width="6.89583333333333" style="784" customWidth="1"/>
    <col min="4629" max="4629" width="9.58333333333333" style="784" customWidth="1"/>
    <col min="4630" max="4630" width="14.2395833333333" style="784" customWidth="1"/>
    <col min="4631" max="4632" width="7.64583333333333" style="784" customWidth="1"/>
    <col min="4633" max="4633" width="1.64583333333333" style="784" customWidth="1"/>
    <col min="4634" max="4634" width="25.7708333333333" style="784" customWidth="1"/>
    <col min="4635" max="4635" width="10.6354166666667" style="784" customWidth="1"/>
    <col min="4636" max="4636" width="19.625" style="784" customWidth="1"/>
    <col min="4637" max="4637" width="14.2395833333333" style="784" customWidth="1"/>
    <col min="4638" max="4638" width="8.6875" style="784" customWidth="1"/>
    <col min="4639" max="4639" width="13.3333333333333" style="784" customWidth="1"/>
    <col min="4640" max="4640" width="11.0833333333333" style="784" customWidth="1"/>
    <col min="4641" max="4641" width="8.84375" style="784"/>
    <col min="4642" max="4643" width="9.13541666666667" style="784" customWidth="1"/>
    <col min="4644" max="4644" width="2.39583333333333" style="784" customWidth="1"/>
    <col min="4645" max="4645" width="15.28125" style="784" customWidth="1"/>
    <col min="4646" max="4646" width="15.1354166666667" style="784" customWidth="1"/>
    <col min="4647" max="4647" width="20.2291666666667" style="784" customWidth="1"/>
    <col min="4648" max="4648" width="13.3333333333333" style="784" customWidth="1"/>
    <col min="4649" max="4649" width="10.0416666666667" style="784" customWidth="1"/>
    <col min="4650" max="4650" width="13.3333333333333" style="784" customWidth="1"/>
    <col min="4651" max="4865" width="8.84375" style="784"/>
    <col min="4866" max="4866" width="4.9375" style="784" customWidth="1"/>
    <col min="4867" max="4867" width="10.3333333333333" style="784" customWidth="1"/>
    <col min="4868" max="4869" width="10.9375" style="784" customWidth="1"/>
    <col min="4870" max="4870" width="20.53125" style="784" customWidth="1"/>
    <col min="4871" max="4871" width="7.04166666666667" style="784" customWidth="1"/>
    <col min="4872" max="4872" width="15.5833333333333" style="784" customWidth="1"/>
    <col min="4873" max="4873" width="17.6770833333333" style="784" customWidth="1"/>
    <col min="4874" max="4874" width="14.2395833333333" style="784" customWidth="1"/>
    <col min="4875" max="4875" width="15.1354166666667" style="784" customWidth="1"/>
    <col min="4876" max="4876" width="13.3333333333333" style="784" customWidth="1"/>
    <col min="4877" max="4877" width="15.1354166666667" style="784" customWidth="1"/>
    <col min="4878" max="4878" width="13.6354166666667" style="784" customWidth="1"/>
    <col min="4879" max="4879" width="13.9375" style="784" customWidth="1"/>
    <col min="4880" max="4880" width="16.3333333333333" style="784" customWidth="1"/>
    <col min="4881" max="4881" width="11.0833333333333" style="784" customWidth="1"/>
    <col min="4882" max="4882" width="9.29166666666667" style="784" customWidth="1"/>
    <col min="4883" max="4883" width="13.6354166666667" style="784" customWidth="1"/>
    <col min="4884" max="4884" width="6.89583333333333" style="784" customWidth="1"/>
    <col min="4885" max="4885" width="9.58333333333333" style="784" customWidth="1"/>
    <col min="4886" max="4886" width="14.2395833333333" style="784" customWidth="1"/>
    <col min="4887" max="4888" width="7.64583333333333" style="784" customWidth="1"/>
    <col min="4889" max="4889" width="1.64583333333333" style="784" customWidth="1"/>
    <col min="4890" max="4890" width="25.7708333333333" style="784" customWidth="1"/>
    <col min="4891" max="4891" width="10.6354166666667" style="784" customWidth="1"/>
    <col min="4892" max="4892" width="19.625" style="784" customWidth="1"/>
    <col min="4893" max="4893" width="14.2395833333333" style="784" customWidth="1"/>
    <col min="4894" max="4894" width="8.6875" style="784" customWidth="1"/>
    <col min="4895" max="4895" width="13.3333333333333" style="784" customWidth="1"/>
    <col min="4896" max="4896" width="11.0833333333333" style="784" customWidth="1"/>
    <col min="4897" max="4897" width="8.84375" style="784"/>
    <col min="4898" max="4899" width="9.13541666666667" style="784" customWidth="1"/>
    <col min="4900" max="4900" width="2.39583333333333" style="784" customWidth="1"/>
    <col min="4901" max="4901" width="15.28125" style="784" customWidth="1"/>
    <col min="4902" max="4902" width="15.1354166666667" style="784" customWidth="1"/>
    <col min="4903" max="4903" width="20.2291666666667" style="784" customWidth="1"/>
    <col min="4904" max="4904" width="13.3333333333333" style="784" customWidth="1"/>
    <col min="4905" max="4905" width="10.0416666666667" style="784" customWidth="1"/>
    <col min="4906" max="4906" width="13.3333333333333" style="784" customWidth="1"/>
    <col min="4907" max="5121" width="8.84375" style="784"/>
    <col min="5122" max="5122" width="4.9375" style="784" customWidth="1"/>
    <col min="5123" max="5123" width="10.3333333333333" style="784" customWidth="1"/>
    <col min="5124" max="5125" width="10.9375" style="784" customWidth="1"/>
    <col min="5126" max="5126" width="20.53125" style="784" customWidth="1"/>
    <col min="5127" max="5127" width="7.04166666666667" style="784" customWidth="1"/>
    <col min="5128" max="5128" width="15.5833333333333" style="784" customWidth="1"/>
    <col min="5129" max="5129" width="17.6770833333333" style="784" customWidth="1"/>
    <col min="5130" max="5130" width="14.2395833333333" style="784" customWidth="1"/>
    <col min="5131" max="5131" width="15.1354166666667" style="784" customWidth="1"/>
    <col min="5132" max="5132" width="13.3333333333333" style="784" customWidth="1"/>
    <col min="5133" max="5133" width="15.1354166666667" style="784" customWidth="1"/>
    <col min="5134" max="5134" width="13.6354166666667" style="784" customWidth="1"/>
    <col min="5135" max="5135" width="13.9375" style="784" customWidth="1"/>
    <col min="5136" max="5136" width="16.3333333333333" style="784" customWidth="1"/>
    <col min="5137" max="5137" width="11.0833333333333" style="784" customWidth="1"/>
    <col min="5138" max="5138" width="9.29166666666667" style="784" customWidth="1"/>
    <col min="5139" max="5139" width="13.6354166666667" style="784" customWidth="1"/>
    <col min="5140" max="5140" width="6.89583333333333" style="784" customWidth="1"/>
    <col min="5141" max="5141" width="9.58333333333333" style="784" customWidth="1"/>
    <col min="5142" max="5142" width="14.2395833333333" style="784" customWidth="1"/>
    <col min="5143" max="5144" width="7.64583333333333" style="784" customWidth="1"/>
    <col min="5145" max="5145" width="1.64583333333333" style="784" customWidth="1"/>
    <col min="5146" max="5146" width="25.7708333333333" style="784" customWidth="1"/>
    <col min="5147" max="5147" width="10.6354166666667" style="784" customWidth="1"/>
    <col min="5148" max="5148" width="19.625" style="784" customWidth="1"/>
    <col min="5149" max="5149" width="14.2395833333333" style="784" customWidth="1"/>
    <col min="5150" max="5150" width="8.6875" style="784" customWidth="1"/>
    <col min="5151" max="5151" width="13.3333333333333" style="784" customWidth="1"/>
    <col min="5152" max="5152" width="11.0833333333333" style="784" customWidth="1"/>
    <col min="5153" max="5153" width="8.84375" style="784"/>
    <col min="5154" max="5155" width="9.13541666666667" style="784" customWidth="1"/>
    <col min="5156" max="5156" width="2.39583333333333" style="784" customWidth="1"/>
    <col min="5157" max="5157" width="15.28125" style="784" customWidth="1"/>
    <col min="5158" max="5158" width="15.1354166666667" style="784" customWidth="1"/>
    <col min="5159" max="5159" width="20.2291666666667" style="784" customWidth="1"/>
    <col min="5160" max="5160" width="13.3333333333333" style="784" customWidth="1"/>
    <col min="5161" max="5161" width="10.0416666666667" style="784" customWidth="1"/>
    <col min="5162" max="5162" width="13.3333333333333" style="784" customWidth="1"/>
    <col min="5163" max="5377" width="8.84375" style="784"/>
    <col min="5378" max="5378" width="4.9375" style="784" customWidth="1"/>
    <col min="5379" max="5379" width="10.3333333333333" style="784" customWidth="1"/>
    <col min="5380" max="5381" width="10.9375" style="784" customWidth="1"/>
    <col min="5382" max="5382" width="20.53125" style="784" customWidth="1"/>
    <col min="5383" max="5383" width="7.04166666666667" style="784" customWidth="1"/>
    <col min="5384" max="5384" width="15.5833333333333" style="784" customWidth="1"/>
    <col min="5385" max="5385" width="17.6770833333333" style="784" customWidth="1"/>
    <col min="5386" max="5386" width="14.2395833333333" style="784" customWidth="1"/>
    <col min="5387" max="5387" width="15.1354166666667" style="784" customWidth="1"/>
    <col min="5388" max="5388" width="13.3333333333333" style="784" customWidth="1"/>
    <col min="5389" max="5389" width="15.1354166666667" style="784" customWidth="1"/>
    <col min="5390" max="5390" width="13.6354166666667" style="784" customWidth="1"/>
    <col min="5391" max="5391" width="13.9375" style="784" customWidth="1"/>
    <col min="5392" max="5392" width="16.3333333333333" style="784" customWidth="1"/>
    <col min="5393" max="5393" width="11.0833333333333" style="784" customWidth="1"/>
    <col min="5394" max="5394" width="9.29166666666667" style="784" customWidth="1"/>
    <col min="5395" max="5395" width="13.6354166666667" style="784" customWidth="1"/>
    <col min="5396" max="5396" width="6.89583333333333" style="784" customWidth="1"/>
    <col min="5397" max="5397" width="9.58333333333333" style="784" customWidth="1"/>
    <col min="5398" max="5398" width="14.2395833333333" style="784" customWidth="1"/>
    <col min="5399" max="5400" width="7.64583333333333" style="784" customWidth="1"/>
    <col min="5401" max="5401" width="1.64583333333333" style="784" customWidth="1"/>
    <col min="5402" max="5402" width="25.7708333333333" style="784" customWidth="1"/>
    <col min="5403" max="5403" width="10.6354166666667" style="784" customWidth="1"/>
    <col min="5404" max="5404" width="19.625" style="784" customWidth="1"/>
    <col min="5405" max="5405" width="14.2395833333333" style="784" customWidth="1"/>
    <col min="5406" max="5406" width="8.6875" style="784" customWidth="1"/>
    <col min="5407" max="5407" width="13.3333333333333" style="784" customWidth="1"/>
    <col min="5408" max="5408" width="11.0833333333333" style="784" customWidth="1"/>
    <col min="5409" max="5409" width="8.84375" style="784"/>
    <col min="5410" max="5411" width="9.13541666666667" style="784" customWidth="1"/>
    <col min="5412" max="5412" width="2.39583333333333" style="784" customWidth="1"/>
    <col min="5413" max="5413" width="15.28125" style="784" customWidth="1"/>
    <col min="5414" max="5414" width="15.1354166666667" style="784" customWidth="1"/>
    <col min="5415" max="5415" width="20.2291666666667" style="784" customWidth="1"/>
    <col min="5416" max="5416" width="13.3333333333333" style="784" customWidth="1"/>
    <col min="5417" max="5417" width="10.0416666666667" style="784" customWidth="1"/>
    <col min="5418" max="5418" width="13.3333333333333" style="784" customWidth="1"/>
    <col min="5419" max="5633" width="8.84375" style="784"/>
    <col min="5634" max="5634" width="4.9375" style="784" customWidth="1"/>
    <col min="5635" max="5635" width="10.3333333333333" style="784" customWidth="1"/>
    <col min="5636" max="5637" width="10.9375" style="784" customWidth="1"/>
    <col min="5638" max="5638" width="20.53125" style="784" customWidth="1"/>
    <col min="5639" max="5639" width="7.04166666666667" style="784" customWidth="1"/>
    <col min="5640" max="5640" width="15.5833333333333" style="784" customWidth="1"/>
    <col min="5641" max="5641" width="17.6770833333333" style="784" customWidth="1"/>
    <col min="5642" max="5642" width="14.2395833333333" style="784" customWidth="1"/>
    <col min="5643" max="5643" width="15.1354166666667" style="784" customWidth="1"/>
    <col min="5644" max="5644" width="13.3333333333333" style="784" customWidth="1"/>
    <col min="5645" max="5645" width="15.1354166666667" style="784" customWidth="1"/>
    <col min="5646" max="5646" width="13.6354166666667" style="784" customWidth="1"/>
    <col min="5647" max="5647" width="13.9375" style="784" customWidth="1"/>
    <col min="5648" max="5648" width="16.3333333333333" style="784" customWidth="1"/>
    <col min="5649" max="5649" width="11.0833333333333" style="784" customWidth="1"/>
    <col min="5650" max="5650" width="9.29166666666667" style="784" customWidth="1"/>
    <col min="5651" max="5651" width="13.6354166666667" style="784" customWidth="1"/>
    <col min="5652" max="5652" width="6.89583333333333" style="784" customWidth="1"/>
    <col min="5653" max="5653" width="9.58333333333333" style="784" customWidth="1"/>
    <col min="5654" max="5654" width="14.2395833333333" style="784" customWidth="1"/>
    <col min="5655" max="5656" width="7.64583333333333" style="784" customWidth="1"/>
    <col min="5657" max="5657" width="1.64583333333333" style="784" customWidth="1"/>
    <col min="5658" max="5658" width="25.7708333333333" style="784" customWidth="1"/>
    <col min="5659" max="5659" width="10.6354166666667" style="784" customWidth="1"/>
    <col min="5660" max="5660" width="19.625" style="784" customWidth="1"/>
    <col min="5661" max="5661" width="14.2395833333333" style="784" customWidth="1"/>
    <col min="5662" max="5662" width="8.6875" style="784" customWidth="1"/>
    <col min="5663" max="5663" width="13.3333333333333" style="784" customWidth="1"/>
    <col min="5664" max="5664" width="11.0833333333333" style="784" customWidth="1"/>
    <col min="5665" max="5665" width="8.84375" style="784"/>
    <col min="5666" max="5667" width="9.13541666666667" style="784" customWidth="1"/>
    <col min="5668" max="5668" width="2.39583333333333" style="784" customWidth="1"/>
    <col min="5669" max="5669" width="15.28125" style="784" customWidth="1"/>
    <col min="5670" max="5670" width="15.1354166666667" style="784" customWidth="1"/>
    <col min="5671" max="5671" width="20.2291666666667" style="784" customWidth="1"/>
    <col min="5672" max="5672" width="13.3333333333333" style="784" customWidth="1"/>
    <col min="5673" max="5673" width="10.0416666666667" style="784" customWidth="1"/>
    <col min="5674" max="5674" width="13.3333333333333" style="784" customWidth="1"/>
    <col min="5675" max="5889" width="8.84375" style="784"/>
    <col min="5890" max="5890" width="4.9375" style="784" customWidth="1"/>
    <col min="5891" max="5891" width="10.3333333333333" style="784" customWidth="1"/>
    <col min="5892" max="5893" width="10.9375" style="784" customWidth="1"/>
    <col min="5894" max="5894" width="20.53125" style="784" customWidth="1"/>
    <col min="5895" max="5895" width="7.04166666666667" style="784" customWidth="1"/>
    <col min="5896" max="5896" width="15.5833333333333" style="784" customWidth="1"/>
    <col min="5897" max="5897" width="17.6770833333333" style="784" customWidth="1"/>
    <col min="5898" max="5898" width="14.2395833333333" style="784" customWidth="1"/>
    <col min="5899" max="5899" width="15.1354166666667" style="784" customWidth="1"/>
    <col min="5900" max="5900" width="13.3333333333333" style="784" customWidth="1"/>
    <col min="5901" max="5901" width="15.1354166666667" style="784" customWidth="1"/>
    <col min="5902" max="5902" width="13.6354166666667" style="784" customWidth="1"/>
    <col min="5903" max="5903" width="13.9375" style="784" customWidth="1"/>
    <col min="5904" max="5904" width="16.3333333333333" style="784" customWidth="1"/>
    <col min="5905" max="5905" width="11.0833333333333" style="784" customWidth="1"/>
    <col min="5906" max="5906" width="9.29166666666667" style="784" customWidth="1"/>
    <col min="5907" max="5907" width="13.6354166666667" style="784" customWidth="1"/>
    <col min="5908" max="5908" width="6.89583333333333" style="784" customWidth="1"/>
    <col min="5909" max="5909" width="9.58333333333333" style="784" customWidth="1"/>
    <col min="5910" max="5910" width="14.2395833333333" style="784" customWidth="1"/>
    <col min="5911" max="5912" width="7.64583333333333" style="784" customWidth="1"/>
    <col min="5913" max="5913" width="1.64583333333333" style="784" customWidth="1"/>
    <col min="5914" max="5914" width="25.7708333333333" style="784" customWidth="1"/>
    <col min="5915" max="5915" width="10.6354166666667" style="784" customWidth="1"/>
    <col min="5916" max="5916" width="19.625" style="784" customWidth="1"/>
    <col min="5917" max="5917" width="14.2395833333333" style="784" customWidth="1"/>
    <col min="5918" max="5918" width="8.6875" style="784" customWidth="1"/>
    <col min="5919" max="5919" width="13.3333333333333" style="784" customWidth="1"/>
    <col min="5920" max="5920" width="11.0833333333333" style="784" customWidth="1"/>
    <col min="5921" max="5921" width="8.84375" style="784"/>
    <col min="5922" max="5923" width="9.13541666666667" style="784" customWidth="1"/>
    <col min="5924" max="5924" width="2.39583333333333" style="784" customWidth="1"/>
    <col min="5925" max="5925" width="15.28125" style="784" customWidth="1"/>
    <col min="5926" max="5926" width="15.1354166666667" style="784" customWidth="1"/>
    <col min="5927" max="5927" width="20.2291666666667" style="784" customWidth="1"/>
    <col min="5928" max="5928" width="13.3333333333333" style="784" customWidth="1"/>
    <col min="5929" max="5929" width="10.0416666666667" style="784" customWidth="1"/>
    <col min="5930" max="5930" width="13.3333333333333" style="784" customWidth="1"/>
    <col min="5931" max="6145" width="8.84375" style="784"/>
    <col min="6146" max="6146" width="4.9375" style="784" customWidth="1"/>
    <col min="6147" max="6147" width="10.3333333333333" style="784" customWidth="1"/>
    <col min="6148" max="6149" width="10.9375" style="784" customWidth="1"/>
    <col min="6150" max="6150" width="20.53125" style="784" customWidth="1"/>
    <col min="6151" max="6151" width="7.04166666666667" style="784" customWidth="1"/>
    <col min="6152" max="6152" width="15.5833333333333" style="784" customWidth="1"/>
    <col min="6153" max="6153" width="17.6770833333333" style="784" customWidth="1"/>
    <col min="6154" max="6154" width="14.2395833333333" style="784" customWidth="1"/>
    <col min="6155" max="6155" width="15.1354166666667" style="784" customWidth="1"/>
    <col min="6156" max="6156" width="13.3333333333333" style="784" customWidth="1"/>
    <col min="6157" max="6157" width="15.1354166666667" style="784" customWidth="1"/>
    <col min="6158" max="6158" width="13.6354166666667" style="784" customWidth="1"/>
    <col min="6159" max="6159" width="13.9375" style="784" customWidth="1"/>
    <col min="6160" max="6160" width="16.3333333333333" style="784" customWidth="1"/>
    <col min="6161" max="6161" width="11.0833333333333" style="784" customWidth="1"/>
    <col min="6162" max="6162" width="9.29166666666667" style="784" customWidth="1"/>
    <col min="6163" max="6163" width="13.6354166666667" style="784" customWidth="1"/>
    <col min="6164" max="6164" width="6.89583333333333" style="784" customWidth="1"/>
    <col min="6165" max="6165" width="9.58333333333333" style="784" customWidth="1"/>
    <col min="6166" max="6166" width="14.2395833333333" style="784" customWidth="1"/>
    <col min="6167" max="6168" width="7.64583333333333" style="784" customWidth="1"/>
    <col min="6169" max="6169" width="1.64583333333333" style="784" customWidth="1"/>
    <col min="6170" max="6170" width="25.7708333333333" style="784" customWidth="1"/>
    <col min="6171" max="6171" width="10.6354166666667" style="784" customWidth="1"/>
    <col min="6172" max="6172" width="19.625" style="784" customWidth="1"/>
    <col min="6173" max="6173" width="14.2395833333333" style="784" customWidth="1"/>
    <col min="6174" max="6174" width="8.6875" style="784" customWidth="1"/>
    <col min="6175" max="6175" width="13.3333333333333" style="784" customWidth="1"/>
    <col min="6176" max="6176" width="11.0833333333333" style="784" customWidth="1"/>
    <col min="6177" max="6177" width="8.84375" style="784"/>
    <col min="6178" max="6179" width="9.13541666666667" style="784" customWidth="1"/>
    <col min="6180" max="6180" width="2.39583333333333" style="784" customWidth="1"/>
    <col min="6181" max="6181" width="15.28125" style="784" customWidth="1"/>
    <col min="6182" max="6182" width="15.1354166666667" style="784" customWidth="1"/>
    <col min="6183" max="6183" width="20.2291666666667" style="784" customWidth="1"/>
    <col min="6184" max="6184" width="13.3333333333333" style="784" customWidth="1"/>
    <col min="6185" max="6185" width="10.0416666666667" style="784" customWidth="1"/>
    <col min="6186" max="6186" width="13.3333333333333" style="784" customWidth="1"/>
    <col min="6187" max="6401" width="8.84375" style="784"/>
    <col min="6402" max="6402" width="4.9375" style="784" customWidth="1"/>
    <col min="6403" max="6403" width="10.3333333333333" style="784" customWidth="1"/>
    <col min="6404" max="6405" width="10.9375" style="784" customWidth="1"/>
    <col min="6406" max="6406" width="20.53125" style="784" customWidth="1"/>
    <col min="6407" max="6407" width="7.04166666666667" style="784" customWidth="1"/>
    <col min="6408" max="6408" width="15.5833333333333" style="784" customWidth="1"/>
    <col min="6409" max="6409" width="17.6770833333333" style="784" customWidth="1"/>
    <col min="6410" max="6410" width="14.2395833333333" style="784" customWidth="1"/>
    <col min="6411" max="6411" width="15.1354166666667" style="784" customWidth="1"/>
    <col min="6412" max="6412" width="13.3333333333333" style="784" customWidth="1"/>
    <col min="6413" max="6413" width="15.1354166666667" style="784" customWidth="1"/>
    <col min="6414" max="6414" width="13.6354166666667" style="784" customWidth="1"/>
    <col min="6415" max="6415" width="13.9375" style="784" customWidth="1"/>
    <col min="6416" max="6416" width="16.3333333333333" style="784" customWidth="1"/>
    <col min="6417" max="6417" width="11.0833333333333" style="784" customWidth="1"/>
    <col min="6418" max="6418" width="9.29166666666667" style="784" customWidth="1"/>
    <col min="6419" max="6419" width="13.6354166666667" style="784" customWidth="1"/>
    <col min="6420" max="6420" width="6.89583333333333" style="784" customWidth="1"/>
    <col min="6421" max="6421" width="9.58333333333333" style="784" customWidth="1"/>
    <col min="6422" max="6422" width="14.2395833333333" style="784" customWidth="1"/>
    <col min="6423" max="6424" width="7.64583333333333" style="784" customWidth="1"/>
    <col min="6425" max="6425" width="1.64583333333333" style="784" customWidth="1"/>
    <col min="6426" max="6426" width="25.7708333333333" style="784" customWidth="1"/>
    <col min="6427" max="6427" width="10.6354166666667" style="784" customWidth="1"/>
    <col min="6428" max="6428" width="19.625" style="784" customWidth="1"/>
    <col min="6429" max="6429" width="14.2395833333333" style="784" customWidth="1"/>
    <col min="6430" max="6430" width="8.6875" style="784" customWidth="1"/>
    <col min="6431" max="6431" width="13.3333333333333" style="784" customWidth="1"/>
    <col min="6432" max="6432" width="11.0833333333333" style="784" customWidth="1"/>
    <col min="6433" max="6433" width="8.84375" style="784"/>
    <col min="6434" max="6435" width="9.13541666666667" style="784" customWidth="1"/>
    <col min="6436" max="6436" width="2.39583333333333" style="784" customWidth="1"/>
    <col min="6437" max="6437" width="15.28125" style="784" customWidth="1"/>
    <col min="6438" max="6438" width="15.1354166666667" style="784" customWidth="1"/>
    <col min="6439" max="6439" width="20.2291666666667" style="784" customWidth="1"/>
    <col min="6440" max="6440" width="13.3333333333333" style="784" customWidth="1"/>
    <col min="6441" max="6441" width="10.0416666666667" style="784" customWidth="1"/>
    <col min="6442" max="6442" width="13.3333333333333" style="784" customWidth="1"/>
    <col min="6443" max="6657" width="8.84375" style="784"/>
    <col min="6658" max="6658" width="4.9375" style="784" customWidth="1"/>
    <col min="6659" max="6659" width="10.3333333333333" style="784" customWidth="1"/>
    <col min="6660" max="6661" width="10.9375" style="784" customWidth="1"/>
    <col min="6662" max="6662" width="20.53125" style="784" customWidth="1"/>
    <col min="6663" max="6663" width="7.04166666666667" style="784" customWidth="1"/>
    <col min="6664" max="6664" width="15.5833333333333" style="784" customWidth="1"/>
    <col min="6665" max="6665" width="17.6770833333333" style="784" customWidth="1"/>
    <col min="6666" max="6666" width="14.2395833333333" style="784" customWidth="1"/>
    <col min="6667" max="6667" width="15.1354166666667" style="784" customWidth="1"/>
    <col min="6668" max="6668" width="13.3333333333333" style="784" customWidth="1"/>
    <col min="6669" max="6669" width="15.1354166666667" style="784" customWidth="1"/>
    <col min="6670" max="6670" width="13.6354166666667" style="784" customWidth="1"/>
    <col min="6671" max="6671" width="13.9375" style="784" customWidth="1"/>
    <col min="6672" max="6672" width="16.3333333333333" style="784" customWidth="1"/>
    <col min="6673" max="6673" width="11.0833333333333" style="784" customWidth="1"/>
    <col min="6674" max="6674" width="9.29166666666667" style="784" customWidth="1"/>
    <col min="6675" max="6675" width="13.6354166666667" style="784" customWidth="1"/>
    <col min="6676" max="6676" width="6.89583333333333" style="784" customWidth="1"/>
    <col min="6677" max="6677" width="9.58333333333333" style="784" customWidth="1"/>
    <col min="6678" max="6678" width="14.2395833333333" style="784" customWidth="1"/>
    <col min="6679" max="6680" width="7.64583333333333" style="784" customWidth="1"/>
    <col min="6681" max="6681" width="1.64583333333333" style="784" customWidth="1"/>
    <col min="6682" max="6682" width="25.7708333333333" style="784" customWidth="1"/>
    <col min="6683" max="6683" width="10.6354166666667" style="784" customWidth="1"/>
    <col min="6684" max="6684" width="19.625" style="784" customWidth="1"/>
    <col min="6685" max="6685" width="14.2395833333333" style="784" customWidth="1"/>
    <col min="6686" max="6686" width="8.6875" style="784" customWidth="1"/>
    <col min="6687" max="6687" width="13.3333333333333" style="784" customWidth="1"/>
    <col min="6688" max="6688" width="11.0833333333333" style="784" customWidth="1"/>
    <col min="6689" max="6689" width="8.84375" style="784"/>
    <col min="6690" max="6691" width="9.13541666666667" style="784" customWidth="1"/>
    <col min="6692" max="6692" width="2.39583333333333" style="784" customWidth="1"/>
    <col min="6693" max="6693" width="15.28125" style="784" customWidth="1"/>
    <col min="6694" max="6694" width="15.1354166666667" style="784" customWidth="1"/>
    <col min="6695" max="6695" width="20.2291666666667" style="784" customWidth="1"/>
    <col min="6696" max="6696" width="13.3333333333333" style="784" customWidth="1"/>
    <col min="6697" max="6697" width="10.0416666666667" style="784" customWidth="1"/>
    <col min="6698" max="6698" width="13.3333333333333" style="784" customWidth="1"/>
    <col min="6699" max="6913" width="8.84375" style="784"/>
    <col min="6914" max="6914" width="4.9375" style="784" customWidth="1"/>
    <col min="6915" max="6915" width="10.3333333333333" style="784" customWidth="1"/>
    <col min="6916" max="6917" width="10.9375" style="784" customWidth="1"/>
    <col min="6918" max="6918" width="20.53125" style="784" customWidth="1"/>
    <col min="6919" max="6919" width="7.04166666666667" style="784" customWidth="1"/>
    <col min="6920" max="6920" width="15.5833333333333" style="784" customWidth="1"/>
    <col min="6921" max="6921" width="17.6770833333333" style="784" customWidth="1"/>
    <col min="6922" max="6922" width="14.2395833333333" style="784" customWidth="1"/>
    <col min="6923" max="6923" width="15.1354166666667" style="784" customWidth="1"/>
    <col min="6924" max="6924" width="13.3333333333333" style="784" customWidth="1"/>
    <col min="6925" max="6925" width="15.1354166666667" style="784" customWidth="1"/>
    <col min="6926" max="6926" width="13.6354166666667" style="784" customWidth="1"/>
    <col min="6927" max="6927" width="13.9375" style="784" customWidth="1"/>
    <col min="6928" max="6928" width="16.3333333333333" style="784" customWidth="1"/>
    <col min="6929" max="6929" width="11.0833333333333" style="784" customWidth="1"/>
    <col min="6930" max="6930" width="9.29166666666667" style="784" customWidth="1"/>
    <col min="6931" max="6931" width="13.6354166666667" style="784" customWidth="1"/>
    <col min="6932" max="6932" width="6.89583333333333" style="784" customWidth="1"/>
    <col min="6933" max="6933" width="9.58333333333333" style="784" customWidth="1"/>
    <col min="6934" max="6934" width="14.2395833333333" style="784" customWidth="1"/>
    <col min="6935" max="6936" width="7.64583333333333" style="784" customWidth="1"/>
    <col min="6937" max="6937" width="1.64583333333333" style="784" customWidth="1"/>
    <col min="6938" max="6938" width="25.7708333333333" style="784" customWidth="1"/>
    <col min="6939" max="6939" width="10.6354166666667" style="784" customWidth="1"/>
    <col min="6940" max="6940" width="19.625" style="784" customWidth="1"/>
    <col min="6941" max="6941" width="14.2395833333333" style="784" customWidth="1"/>
    <col min="6942" max="6942" width="8.6875" style="784" customWidth="1"/>
    <col min="6943" max="6943" width="13.3333333333333" style="784" customWidth="1"/>
    <col min="6944" max="6944" width="11.0833333333333" style="784" customWidth="1"/>
    <col min="6945" max="6945" width="8.84375" style="784"/>
    <col min="6946" max="6947" width="9.13541666666667" style="784" customWidth="1"/>
    <col min="6948" max="6948" width="2.39583333333333" style="784" customWidth="1"/>
    <col min="6949" max="6949" width="15.28125" style="784" customWidth="1"/>
    <col min="6950" max="6950" width="15.1354166666667" style="784" customWidth="1"/>
    <col min="6951" max="6951" width="20.2291666666667" style="784" customWidth="1"/>
    <col min="6952" max="6952" width="13.3333333333333" style="784" customWidth="1"/>
    <col min="6953" max="6953" width="10.0416666666667" style="784" customWidth="1"/>
    <col min="6954" max="6954" width="13.3333333333333" style="784" customWidth="1"/>
    <col min="6955" max="7169" width="8.84375" style="784"/>
    <col min="7170" max="7170" width="4.9375" style="784" customWidth="1"/>
    <col min="7171" max="7171" width="10.3333333333333" style="784" customWidth="1"/>
    <col min="7172" max="7173" width="10.9375" style="784" customWidth="1"/>
    <col min="7174" max="7174" width="20.53125" style="784" customWidth="1"/>
    <col min="7175" max="7175" width="7.04166666666667" style="784" customWidth="1"/>
    <col min="7176" max="7176" width="15.5833333333333" style="784" customWidth="1"/>
    <col min="7177" max="7177" width="17.6770833333333" style="784" customWidth="1"/>
    <col min="7178" max="7178" width="14.2395833333333" style="784" customWidth="1"/>
    <col min="7179" max="7179" width="15.1354166666667" style="784" customWidth="1"/>
    <col min="7180" max="7180" width="13.3333333333333" style="784" customWidth="1"/>
    <col min="7181" max="7181" width="15.1354166666667" style="784" customWidth="1"/>
    <col min="7182" max="7182" width="13.6354166666667" style="784" customWidth="1"/>
    <col min="7183" max="7183" width="13.9375" style="784" customWidth="1"/>
    <col min="7184" max="7184" width="16.3333333333333" style="784" customWidth="1"/>
    <col min="7185" max="7185" width="11.0833333333333" style="784" customWidth="1"/>
    <col min="7186" max="7186" width="9.29166666666667" style="784" customWidth="1"/>
    <col min="7187" max="7187" width="13.6354166666667" style="784" customWidth="1"/>
    <col min="7188" max="7188" width="6.89583333333333" style="784" customWidth="1"/>
    <col min="7189" max="7189" width="9.58333333333333" style="784" customWidth="1"/>
    <col min="7190" max="7190" width="14.2395833333333" style="784" customWidth="1"/>
    <col min="7191" max="7192" width="7.64583333333333" style="784" customWidth="1"/>
    <col min="7193" max="7193" width="1.64583333333333" style="784" customWidth="1"/>
    <col min="7194" max="7194" width="25.7708333333333" style="784" customWidth="1"/>
    <col min="7195" max="7195" width="10.6354166666667" style="784" customWidth="1"/>
    <col min="7196" max="7196" width="19.625" style="784" customWidth="1"/>
    <col min="7197" max="7197" width="14.2395833333333" style="784" customWidth="1"/>
    <col min="7198" max="7198" width="8.6875" style="784" customWidth="1"/>
    <col min="7199" max="7199" width="13.3333333333333" style="784" customWidth="1"/>
    <col min="7200" max="7200" width="11.0833333333333" style="784" customWidth="1"/>
    <col min="7201" max="7201" width="8.84375" style="784"/>
    <col min="7202" max="7203" width="9.13541666666667" style="784" customWidth="1"/>
    <col min="7204" max="7204" width="2.39583333333333" style="784" customWidth="1"/>
    <col min="7205" max="7205" width="15.28125" style="784" customWidth="1"/>
    <col min="7206" max="7206" width="15.1354166666667" style="784" customWidth="1"/>
    <col min="7207" max="7207" width="20.2291666666667" style="784" customWidth="1"/>
    <col min="7208" max="7208" width="13.3333333333333" style="784" customWidth="1"/>
    <col min="7209" max="7209" width="10.0416666666667" style="784" customWidth="1"/>
    <col min="7210" max="7210" width="13.3333333333333" style="784" customWidth="1"/>
    <col min="7211" max="7425" width="8.84375" style="784"/>
    <col min="7426" max="7426" width="4.9375" style="784" customWidth="1"/>
    <col min="7427" max="7427" width="10.3333333333333" style="784" customWidth="1"/>
    <col min="7428" max="7429" width="10.9375" style="784" customWidth="1"/>
    <col min="7430" max="7430" width="20.53125" style="784" customWidth="1"/>
    <col min="7431" max="7431" width="7.04166666666667" style="784" customWidth="1"/>
    <col min="7432" max="7432" width="15.5833333333333" style="784" customWidth="1"/>
    <col min="7433" max="7433" width="17.6770833333333" style="784" customWidth="1"/>
    <col min="7434" max="7434" width="14.2395833333333" style="784" customWidth="1"/>
    <col min="7435" max="7435" width="15.1354166666667" style="784" customWidth="1"/>
    <col min="7436" max="7436" width="13.3333333333333" style="784" customWidth="1"/>
    <col min="7437" max="7437" width="15.1354166666667" style="784" customWidth="1"/>
    <col min="7438" max="7438" width="13.6354166666667" style="784" customWidth="1"/>
    <col min="7439" max="7439" width="13.9375" style="784" customWidth="1"/>
    <col min="7440" max="7440" width="16.3333333333333" style="784" customWidth="1"/>
    <col min="7441" max="7441" width="11.0833333333333" style="784" customWidth="1"/>
    <col min="7442" max="7442" width="9.29166666666667" style="784" customWidth="1"/>
    <col min="7443" max="7443" width="13.6354166666667" style="784" customWidth="1"/>
    <col min="7444" max="7444" width="6.89583333333333" style="784" customWidth="1"/>
    <col min="7445" max="7445" width="9.58333333333333" style="784" customWidth="1"/>
    <col min="7446" max="7446" width="14.2395833333333" style="784" customWidth="1"/>
    <col min="7447" max="7448" width="7.64583333333333" style="784" customWidth="1"/>
    <col min="7449" max="7449" width="1.64583333333333" style="784" customWidth="1"/>
    <col min="7450" max="7450" width="25.7708333333333" style="784" customWidth="1"/>
    <col min="7451" max="7451" width="10.6354166666667" style="784" customWidth="1"/>
    <col min="7452" max="7452" width="19.625" style="784" customWidth="1"/>
    <col min="7453" max="7453" width="14.2395833333333" style="784" customWidth="1"/>
    <col min="7454" max="7454" width="8.6875" style="784" customWidth="1"/>
    <col min="7455" max="7455" width="13.3333333333333" style="784" customWidth="1"/>
    <col min="7456" max="7456" width="11.0833333333333" style="784" customWidth="1"/>
    <col min="7457" max="7457" width="8.84375" style="784"/>
    <col min="7458" max="7459" width="9.13541666666667" style="784" customWidth="1"/>
    <col min="7460" max="7460" width="2.39583333333333" style="784" customWidth="1"/>
    <col min="7461" max="7461" width="15.28125" style="784" customWidth="1"/>
    <col min="7462" max="7462" width="15.1354166666667" style="784" customWidth="1"/>
    <col min="7463" max="7463" width="20.2291666666667" style="784" customWidth="1"/>
    <col min="7464" max="7464" width="13.3333333333333" style="784" customWidth="1"/>
    <col min="7465" max="7465" width="10.0416666666667" style="784" customWidth="1"/>
    <col min="7466" max="7466" width="13.3333333333333" style="784" customWidth="1"/>
    <col min="7467" max="7681" width="8.84375" style="784"/>
    <col min="7682" max="7682" width="4.9375" style="784" customWidth="1"/>
    <col min="7683" max="7683" width="10.3333333333333" style="784" customWidth="1"/>
    <col min="7684" max="7685" width="10.9375" style="784" customWidth="1"/>
    <col min="7686" max="7686" width="20.53125" style="784" customWidth="1"/>
    <col min="7687" max="7687" width="7.04166666666667" style="784" customWidth="1"/>
    <col min="7688" max="7688" width="15.5833333333333" style="784" customWidth="1"/>
    <col min="7689" max="7689" width="17.6770833333333" style="784" customWidth="1"/>
    <col min="7690" max="7690" width="14.2395833333333" style="784" customWidth="1"/>
    <col min="7691" max="7691" width="15.1354166666667" style="784" customWidth="1"/>
    <col min="7692" max="7692" width="13.3333333333333" style="784" customWidth="1"/>
    <col min="7693" max="7693" width="15.1354166666667" style="784" customWidth="1"/>
    <col min="7694" max="7694" width="13.6354166666667" style="784" customWidth="1"/>
    <col min="7695" max="7695" width="13.9375" style="784" customWidth="1"/>
    <col min="7696" max="7696" width="16.3333333333333" style="784" customWidth="1"/>
    <col min="7697" max="7697" width="11.0833333333333" style="784" customWidth="1"/>
    <col min="7698" max="7698" width="9.29166666666667" style="784" customWidth="1"/>
    <col min="7699" max="7699" width="13.6354166666667" style="784" customWidth="1"/>
    <col min="7700" max="7700" width="6.89583333333333" style="784" customWidth="1"/>
    <col min="7701" max="7701" width="9.58333333333333" style="784" customWidth="1"/>
    <col min="7702" max="7702" width="14.2395833333333" style="784" customWidth="1"/>
    <col min="7703" max="7704" width="7.64583333333333" style="784" customWidth="1"/>
    <col min="7705" max="7705" width="1.64583333333333" style="784" customWidth="1"/>
    <col min="7706" max="7706" width="25.7708333333333" style="784" customWidth="1"/>
    <col min="7707" max="7707" width="10.6354166666667" style="784" customWidth="1"/>
    <col min="7708" max="7708" width="19.625" style="784" customWidth="1"/>
    <col min="7709" max="7709" width="14.2395833333333" style="784" customWidth="1"/>
    <col min="7710" max="7710" width="8.6875" style="784" customWidth="1"/>
    <col min="7711" max="7711" width="13.3333333333333" style="784" customWidth="1"/>
    <col min="7712" max="7712" width="11.0833333333333" style="784" customWidth="1"/>
    <col min="7713" max="7713" width="8.84375" style="784"/>
    <col min="7714" max="7715" width="9.13541666666667" style="784" customWidth="1"/>
    <col min="7716" max="7716" width="2.39583333333333" style="784" customWidth="1"/>
    <col min="7717" max="7717" width="15.28125" style="784" customWidth="1"/>
    <col min="7718" max="7718" width="15.1354166666667" style="784" customWidth="1"/>
    <col min="7719" max="7719" width="20.2291666666667" style="784" customWidth="1"/>
    <col min="7720" max="7720" width="13.3333333333333" style="784" customWidth="1"/>
    <col min="7721" max="7721" width="10.0416666666667" style="784" customWidth="1"/>
    <col min="7722" max="7722" width="13.3333333333333" style="784" customWidth="1"/>
    <col min="7723" max="7937" width="8.84375" style="784"/>
    <col min="7938" max="7938" width="4.9375" style="784" customWidth="1"/>
    <col min="7939" max="7939" width="10.3333333333333" style="784" customWidth="1"/>
    <col min="7940" max="7941" width="10.9375" style="784" customWidth="1"/>
    <col min="7942" max="7942" width="20.53125" style="784" customWidth="1"/>
    <col min="7943" max="7943" width="7.04166666666667" style="784" customWidth="1"/>
    <col min="7944" max="7944" width="15.5833333333333" style="784" customWidth="1"/>
    <col min="7945" max="7945" width="17.6770833333333" style="784" customWidth="1"/>
    <col min="7946" max="7946" width="14.2395833333333" style="784" customWidth="1"/>
    <col min="7947" max="7947" width="15.1354166666667" style="784" customWidth="1"/>
    <col min="7948" max="7948" width="13.3333333333333" style="784" customWidth="1"/>
    <col min="7949" max="7949" width="15.1354166666667" style="784" customWidth="1"/>
    <col min="7950" max="7950" width="13.6354166666667" style="784" customWidth="1"/>
    <col min="7951" max="7951" width="13.9375" style="784" customWidth="1"/>
    <col min="7952" max="7952" width="16.3333333333333" style="784" customWidth="1"/>
    <col min="7953" max="7953" width="11.0833333333333" style="784" customWidth="1"/>
    <col min="7954" max="7954" width="9.29166666666667" style="784" customWidth="1"/>
    <col min="7955" max="7955" width="13.6354166666667" style="784" customWidth="1"/>
    <col min="7956" max="7956" width="6.89583333333333" style="784" customWidth="1"/>
    <col min="7957" max="7957" width="9.58333333333333" style="784" customWidth="1"/>
    <col min="7958" max="7958" width="14.2395833333333" style="784" customWidth="1"/>
    <col min="7959" max="7960" width="7.64583333333333" style="784" customWidth="1"/>
    <col min="7961" max="7961" width="1.64583333333333" style="784" customWidth="1"/>
    <col min="7962" max="7962" width="25.7708333333333" style="784" customWidth="1"/>
    <col min="7963" max="7963" width="10.6354166666667" style="784" customWidth="1"/>
    <col min="7964" max="7964" width="19.625" style="784" customWidth="1"/>
    <col min="7965" max="7965" width="14.2395833333333" style="784" customWidth="1"/>
    <col min="7966" max="7966" width="8.6875" style="784" customWidth="1"/>
    <col min="7967" max="7967" width="13.3333333333333" style="784" customWidth="1"/>
    <col min="7968" max="7968" width="11.0833333333333" style="784" customWidth="1"/>
    <col min="7969" max="7969" width="8.84375" style="784"/>
    <col min="7970" max="7971" width="9.13541666666667" style="784" customWidth="1"/>
    <col min="7972" max="7972" width="2.39583333333333" style="784" customWidth="1"/>
    <col min="7973" max="7973" width="15.28125" style="784" customWidth="1"/>
    <col min="7974" max="7974" width="15.1354166666667" style="784" customWidth="1"/>
    <col min="7975" max="7975" width="20.2291666666667" style="784" customWidth="1"/>
    <col min="7976" max="7976" width="13.3333333333333" style="784" customWidth="1"/>
    <col min="7977" max="7977" width="10.0416666666667" style="784" customWidth="1"/>
    <col min="7978" max="7978" width="13.3333333333333" style="784" customWidth="1"/>
    <col min="7979" max="8193" width="8.84375" style="784"/>
    <col min="8194" max="8194" width="4.9375" style="784" customWidth="1"/>
    <col min="8195" max="8195" width="10.3333333333333" style="784" customWidth="1"/>
    <col min="8196" max="8197" width="10.9375" style="784" customWidth="1"/>
    <col min="8198" max="8198" width="20.53125" style="784" customWidth="1"/>
    <col min="8199" max="8199" width="7.04166666666667" style="784" customWidth="1"/>
    <col min="8200" max="8200" width="15.5833333333333" style="784" customWidth="1"/>
    <col min="8201" max="8201" width="17.6770833333333" style="784" customWidth="1"/>
    <col min="8202" max="8202" width="14.2395833333333" style="784" customWidth="1"/>
    <col min="8203" max="8203" width="15.1354166666667" style="784" customWidth="1"/>
    <col min="8204" max="8204" width="13.3333333333333" style="784" customWidth="1"/>
    <col min="8205" max="8205" width="15.1354166666667" style="784" customWidth="1"/>
    <col min="8206" max="8206" width="13.6354166666667" style="784" customWidth="1"/>
    <col min="8207" max="8207" width="13.9375" style="784" customWidth="1"/>
    <col min="8208" max="8208" width="16.3333333333333" style="784" customWidth="1"/>
    <col min="8209" max="8209" width="11.0833333333333" style="784" customWidth="1"/>
    <col min="8210" max="8210" width="9.29166666666667" style="784" customWidth="1"/>
    <col min="8211" max="8211" width="13.6354166666667" style="784" customWidth="1"/>
    <col min="8212" max="8212" width="6.89583333333333" style="784" customWidth="1"/>
    <col min="8213" max="8213" width="9.58333333333333" style="784" customWidth="1"/>
    <col min="8214" max="8214" width="14.2395833333333" style="784" customWidth="1"/>
    <col min="8215" max="8216" width="7.64583333333333" style="784" customWidth="1"/>
    <col min="8217" max="8217" width="1.64583333333333" style="784" customWidth="1"/>
    <col min="8218" max="8218" width="25.7708333333333" style="784" customWidth="1"/>
    <col min="8219" max="8219" width="10.6354166666667" style="784" customWidth="1"/>
    <col min="8220" max="8220" width="19.625" style="784" customWidth="1"/>
    <col min="8221" max="8221" width="14.2395833333333" style="784" customWidth="1"/>
    <col min="8222" max="8222" width="8.6875" style="784" customWidth="1"/>
    <col min="8223" max="8223" width="13.3333333333333" style="784" customWidth="1"/>
    <col min="8224" max="8224" width="11.0833333333333" style="784" customWidth="1"/>
    <col min="8225" max="8225" width="8.84375" style="784"/>
    <col min="8226" max="8227" width="9.13541666666667" style="784" customWidth="1"/>
    <col min="8228" max="8228" width="2.39583333333333" style="784" customWidth="1"/>
    <col min="8229" max="8229" width="15.28125" style="784" customWidth="1"/>
    <col min="8230" max="8230" width="15.1354166666667" style="784" customWidth="1"/>
    <col min="8231" max="8231" width="20.2291666666667" style="784" customWidth="1"/>
    <col min="8232" max="8232" width="13.3333333333333" style="784" customWidth="1"/>
    <col min="8233" max="8233" width="10.0416666666667" style="784" customWidth="1"/>
    <col min="8234" max="8234" width="13.3333333333333" style="784" customWidth="1"/>
    <col min="8235" max="8449" width="8.84375" style="784"/>
    <col min="8450" max="8450" width="4.9375" style="784" customWidth="1"/>
    <col min="8451" max="8451" width="10.3333333333333" style="784" customWidth="1"/>
    <col min="8452" max="8453" width="10.9375" style="784" customWidth="1"/>
    <col min="8454" max="8454" width="20.53125" style="784" customWidth="1"/>
    <col min="8455" max="8455" width="7.04166666666667" style="784" customWidth="1"/>
    <col min="8456" max="8456" width="15.5833333333333" style="784" customWidth="1"/>
    <col min="8457" max="8457" width="17.6770833333333" style="784" customWidth="1"/>
    <col min="8458" max="8458" width="14.2395833333333" style="784" customWidth="1"/>
    <col min="8459" max="8459" width="15.1354166666667" style="784" customWidth="1"/>
    <col min="8460" max="8460" width="13.3333333333333" style="784" customWidth="1"/>
    <col min="8461" max="8461" width="15.1354166666667" style="784" customWidth="1"/>
    <col min="8462" max="8462" width="13.6354166666667" style="784" customWidth="1"/>
    <col min="8463" max="8463" width="13.9375" style="784" customWidth="1"/>
    <col min="8464" max="8464" width="16.3333333333333" style="784" customWidth="1"/>
    <col min="8465" max="8465" width="11.0833333333333" style="784" customWidth="1"/>
    <col min="8466" max="8466" width="9.29166666666667" style="784" customWidth="1"/>
    <col min="8467" max="8467" width="13.6354166666667" style="784" customWidth="1"/>
    <col min="8468" max="8468" width="6.89583333333333" style="784" customWidth="1"/>
    <col min="8469" max="8469" width="9.58333333333333" style="784" customWidth="1"/>
    <col min="8470" max="8470" width="14.2395833333333" style="784" customWidth="1"/>
    <col min="8471" max="8472" width="7.64583333333333" style="784" customWidth="1"/>
    <col min="8473" max="8473" width="1.64583333333333" style="784" customWidth="1"/>
    <col min="8474" max="8474" width="25.7708333333333" style="784" customWidth="1"/>
    <col min="8475" max="8475" width="10.6354166666667" style="784" customWidth="1"/>
    <col min="8476" max="8476" width="19.625" style="784" customWidth="1"/>
    <col min="8477" max="8477" width="14.2395833333333" style="784" customWidth="1"/>
    <col min="8478" max="8478" width="8.6875" style="784" customWidth="1"/>
    <col min="8479" max="8479" width="13.3333333333333" style="784" customWidth="1"/>
    <col min="8480" max="8480" width="11.0833333333333" style="784" customWidth="1"/>
    <col min="8481" max="8481" width="8.84375" style="784"/>
    <col min="8482" max="8483" width="9.13541666666667" style="784" customWidth="1"/>
    <col min="8484" max="8484" width="2.39583333333333" style="784" customWidth="1"/>
    <col min="8485" max="8485" width="15.28125" style="784" customWidth="1"/>
    <col min="8486" max="8486" width="15.1354166666667" style="784" customWidth="1"/>
    <col min="8487" max="8487" width="20.2291666666667" style="784" customWidth="1"/>
    <col min="8488" max="8488" width="13.3333333333333" style="784" customWidth="1"/>
    <col min="8489" max="8489" width="10.0416666666667" style="784" customWidth="1"/>
    <col min="8490" max="8490" width="13.3333333333333" style="784" customWidth="1"/>
    <col min="8491" max="8705" width="8.84375" style="784"/>
    <col min="8706" max="8706" width="4.9375" style="784" customWidth="1"/>
    <col min="8707" max="8707" width="10.3333333333333" style="784" customWidth="1"/>
    <col min="8708" max="8709" width="10.9375" style="784" customWidth="1"/>
    <col min="8710" max="8710" width="20.53125" style="784" customWidth="1"/>
    <col min="8711" max="8711" width="7.04166666666667" style="784" customWidth="1"/>
    <col min="8712" max="8712" width="15.5833333333333" style="784" customWidth="1"/>
    <col min="8713" max="8713" width="17.6770833333333" style="784" customWidth="1"/>
    <col min="8714" max="8714" width="14.2395833333333" style="784" customWidth="1"/>
    <col min="8715" max="8715" width="15.1354166666667" style="784" customWidth="1"/>
    <col min="8716" max="8716" width="13.3333333333333" style="784" customWidth="1"/>
    <col min="8717" max="8717" width="15.1354166666667" style="784" customWidth="1"/>
    <col min="8718" max="8718" width="13.6354166666667" style="784" customWidth="1"/>
    <col min="8719" max="8719" width="13.9375" style="784" customWidth="1"/>
    <col min="8720" max="8720" width="16.3333333333333" style="784" customWidth="1"/>
    <col min="8721" max="8721" width="11.0833333333333" style="784" customWidth="1"/>
    <col min="8722" max="8722" width="9.29166666666667" style="784" customWidth="1"/>
    <col min="8723" max="8723" width="13.6354166666667" style="784" customWidth="1"/>
    <col min="8724" max="8724" width="6.89583333333333" style="784" customWidth="1"/>
    <col min="8725" max="8725" width="9.58333333333333" style="784" customWidth="1"/>
    <col min="8726" max="8726" width="14.2395833333333" style="784" customWidth="1"/>
    <col min="8727" max="8728" width="7.64583333333333" style="784" customWidth="1"/>
    <col min="8729" max="8729" width="1.64583333333333" style="784" customWidth="1"/>
    <col min="8730" max="8730" width="25.7708333333333" style="784" customWidth="1"/>
    <col min="8731" max="8731" width="10.6354166666667" style="784" customWidth="1"/>
    <col min="8732" max="8732" width="19.625" style="784" customWidth="1"/>
    <col min="8733" max="8733" width="14.2395833333333" style="784" customWidth="1"/>
    <col min="8734" max="8734" width="8.6875" style="784" customWidth="1"/>
    <col min="8735" max="8735" width="13.3333333333333" style="784" customWidth="1"/>
    <col min="8736" max="8736" width="11.0833333333333" style="784" customWidth="1"/>
    <col min="8737" max="8737" width="8.84375" style="784"/>
    <col min="8738" max="8739" width="9.13541666666667" style="784" customWidth="1"/>
    <col min="8740" max="8740" width="2.39583333333333" style="784" customWidth="1"/>
    <col min="8741" max="8741" width="15.28125" style="784" customWidth="1"/>
    <col min="8742" max="8742" width="15.1354166666667" style="784" customWidth="1"/>
    <col min="8743" max="8743" width="20.2291666666667" style="784" customWidth="1"/>
    <col min="8744" max="8744" width="13.3333333333333" style="784" customWidth="1"/>
    <col min="8745" max="8745" width="10.0416666666667" style="784" customWidth="1"/>
    <col min="8746" max="8746" width="13.3333333333333" style="784" customWidth="1"/>
    <col min="8747" max="8961" width="8.84375" style="784"/>
    <col min="8962" max="8962" width="4.9375" style="784" customWidth="1"/>
    <col min="8963" max="8963" width="10.3333333333333" style="784" customWidth="1"/>
    <col min="8964" max="8965" width="10.9375" style="784" customWidth="1"/>
    <col min="8966" max="8966" width="20.53125" style="784" customWidth="1"/>
    <col min="8967" max="8967" width="7.04166666666667" style="784" customWidth="1"/>
    <col min="8968" max="8968" width="15.5833333333333" style="784" customWidth="1"/>
    <col min="8969" max="8969" width="17.6770833333333" style="784" customWidth="1"/>
    <col min="8970" max="8970" width="14.2395833333333" style="784" customWidth="1"/>
    <col min="8971" max="8971" width="15.1354166666667" style="784" customWidth="1"/>
    <col min="8972" max="8972" width="13.3333333333333" style="784" customWidth="1"/>
    <col min="8973" max="8973" width="15.1354166666667" style="784" customWidth="1"/>
    <col min="8974" max="8974" width="13.6354166666667" style="784" customWidth="1"/>
    <col min="8975" max="8975" width="13.9375" style="784" customWidth="1"/>
    <col min="8976" max="8976" width="16.3333333333333" style="784" customWidth="1"/>
    <col min="8977" max="8977" width="11.0833333333333" style="784" customWidth="1"/>
    <col min="8978" max="8978" width="9.29166666666667" style="784" customWidth="1"/>
    <col min="8979" max="8979" width="13.6354166666667" style="784" customWidth="1"/>
    <col min="8980" max="8980" width="6.89583333333333" style="784" customWidth="1"/>
    <col min="8981" max="8981" width="9.58333333333333" style="784" customWidth="1"/>
    <col min="8982" max="8982" width="14.2395833333333" style="784" customWidth="1"/>
    <col min="8983" max="8984" width="7.64583333333333" style="784" customWidth="1"/>
    <col min="8985" max="8985" width="1.64583333333333" style="784" customWidth="1"/>
    <col min="8986" max="8986" width="25.7708333333333" style="784" customWidth="1"/>
    <col min="8987" max="8987" width="10.6354166666667" style="784" customWidth="1"/>
    <col min="8988" max="8988" width="19.625" style="784" customWidth="1"/>
    <col min="8989" max="8989" width="14.2395833333333" style="784" customWidth="1"/>
    <col min="8990" max="8990" width="8.6875" style="784" customWidth="1"/>
    <col min="8991" max="8991" width="13.3333333333333" style="784" customWidth="1"/>
    <col min="8992" max="8992" width="11.0833333333333" style="784" customWidth="1"/>
    <col min="8993" max="8993" width="8.84375" style="784"/>
    <col min="8994" max="8995" width="9.13541666666667" style="784" customWidth="1"/>
    <col min="8996" max="8996" width="2.39583333333333" style="784" customWidth="1"/>
    <col min="8997" max="8997" width="15.28125" style="784" customWidth="1"/>
    <col min="8998" max="8998" width="15.1354166666667" style="784" customWidth="1"/>
    <col min="8999" max="8999" width="20.2291666666667" style="784" customWidth="1"/>
    <col min="9000" max="9000" width="13.3333333333333" style="784" customWidth="1"/>
    <col min="9001" max="9001" width="10.0416666666667" style="784" customWidth="1"/>
    <col min="9002" max="9002" width="13.3333333333333" style="784" customWidth="1"/>
    <col min="9003" max="9217" width="8.84375" style="784"/>
    <col min="9218" max="9218" width="4.9375" style="784" customWidth="1"/>
    <col min="9219" max="9219" width="10.3333333333333" style="784" customWidth="1"/>
    <col min="9220" max="9221" width="10.9375" style="784" customWidth="1"/>
    <col min="9222" max="9222" width="20.53125" style="784" customWidth="1"/>
    <col min="9223" max="9223" width="7.04166666666667" style="784" customWidth="1"/>
    <col min="9224" max="9224" width="15.5833333333333" style="784" customWidth="1"/>
    <col min="9225" max="9225" width="17.6770833333333" style="784" customWidth="1"/>
    <col min="9226" max="9226" width="14.2395833333333" style="784" customWidth="1"/>
    <col min="9227" max="9227" width="15.1354166666667" style="784" customWidth="1"/>
    <col min="9228" max="9228" width="13.3333333333333" style="784" customWidth="1"/>
    <col min="9229" max="9229" width="15.1354166666667" style="784" customWidth="1"/>
    <col min="9230" max="9230" width="13.6354166666667" style="784" customWidth="1"/>
    <col min="9231" max="9231" width="13.9375" style="784" customWidth="1"/>
    <col min="9232" max="9232" width="16.3333333333333" style="784" customWidth="1"/>
    <col min="9233" max="9233" width="11.0833333333333" style="784" customWidth="1"/>
    <col min="9234" max="9234" width="9.29166666666667" style="784" customWidth="1"/>
    <col min="9235" max="9235" width="13.6354166666667" style="784" customWidth="1"/>
    <col min="9236" max="9236" width="6.89583333333333" style="784" customWidth="1"/>
    <col min="9237" max="9237" width="9.58333333333333" style="784" customWidth="1"/>
    <col min="9238" max="9238" width="14.2395833333333" style="784" customWidth="1"/>
    <col min="9239" max="9240" width="7.64583333333333" style="784" customWidth="1"/>
    <col min="9241" max="9241" width="1.64583333333333" style="784" customWidth="1"/>
    <col min="9242" max="9242" width="25.7708333333333" style="784" customWidth="1"/>
    <col min="9243" max="9243" width="10.6354166666667" style="784" customWidth="1"/>
    <col min="9244" max="9244" width="19.625" style="784" customWidth="1"/>
    <col min="9245" max="9245" width="14.2395833333333" style="784" customWidth="1"/>
    <col min="9246" max="9246" width="8.6875" style="784" customWidth="1"/>
    <col min="9247" max="9247" width="13.3333333333333" style="784" customWidth="1"/>
    <col min="9248" max="9248" width="11.0833333333333" style="784" customWidth="1"/>
    <col min="9249" max="9249" width="8.84375" style="784"/>
    <col min="9250" max="9251" width="9.13541666666667" style="784" customWidth="1"/>
    <col min="9252" max="9252" width="2.39583333333333" style="784" customWidth="1"/>
    <col min="9253" max="9253" width="15.28125" style="784" customWidth="1"/>
    <col min="9254" max="9254" width="15.1354166666667" style="784" customWidth="1"/>
    <col min="9255" max="9255" width="20.2291666666667" style="784" customWidth="1"/>
    <col min="9256" max="9256" width="13.3333333333333" style="784" customWidth="1"/>
    <col min="9257" max="9257" width="10.0416666666667" style="784" customWidth="1"/>
    <col min="9258" max="9258" width="13.3333333333333" style="784" customWidth="1"/>
    <col min="9259" max="9473" width="8.84375" style="784"/>
    <col min="9474" max="9474" width="4.9375" style="784" customWidth="1"/>
    <col min="9475" max="9475" width="10.3333333333333" style="784" customWidth="1"/>
    <col min="9476" max="9477" width="10.9375" style="784" customWidth="1"/>
    <col min="9478" max="9478" width="20.53125" style="784" customWidth="1"/>
    <col min="9479" max="9479" width="7.04166666666667" style="784" customWidth="1"/>
    <col min="9480" max="9480" width="15.5833333333333" style="784" customWidth="1"/>
    <col min="9481" max="9481" width="17.6770833333333" style="784" customWidth="1"/>
    <col min="9482" max="9482" width="14.2395833333333" style="784" customWidth="1"/>
    <col min="9483" max="9483" width="15.1354166666667" style="784" customWidth="1"/>
    <col min="9484" max="9484" width="13.3333333333333" style="784" customWidth="1"/>
    <col min="9485" max="9485" width="15.1354166666667" style="784" customWidth="1"/>
    <col min="9486" max="9486" width="13.6354166666667" style="784" customWidth="1"/>
    <col min="9487" max="9487" width="13.9375" style="784" customWidth="1"/>
    <col min="9488" max="9488" width="16.3333333333333" style="784" customWidth="1"/>
    <col min="9489" max="9489" width="11.0833333333333" style="784" customWidth="1"/>
    <col min="9490" max="9490" width="9.29166666666667" style="784" customWidth="1"/>
    <col min="9491" max="9491" width="13.6354166666667" style="784" customWidth="1"/>
    <col min="9492" max="9492" width="6.89583333333333" style="784" customWidth="1"/>
    <col min="9493" max="9493" width="9.58333333333333" style="784" customWidth="1"/>
    <col min="9494" max="9494" width="14.2395833333333" style="784" customWidth="1"/>
    <col min="9495" max="9496" width="7.64583333333333" style="784" customWidth="1"/>
    <col min="9497" max="9497" width="1.64583333333333" style="784" customWidth="1"/>
    <col min="9498" max="9498" width="25.7708333333333" style="784" customWidth="1"/>
    <col min="9499" max="9499" width="10.6354166666667" style="784" customWidth="1"/>
    <col min="9500" max="9500" width="19.625" style="784" customWidth="1"/>
    <col min="9501" max="9501" width="14.2395833333333" style="784" customWidth="1"/>
    <col min="9502" max="9502" width="8.6875" style="784" customWidth="1"/>
    <col min="9503" max="9503" width="13.3333333333333" style="784" customWidth="1"/>
    <col min="9504" max="9504" width="11.0833333333333" style="784" customWidth="1"/>
    <col min="9505" max="9505" width="8.84375" style="784"/>
    <col min="9506" max="9507" width="9.13541666666667" style="784" customWidth="1"/>
    <col min="9508" max="9508" width="2.39583333333333" style="784" customWidth="1"/>
    <col min="9509" max="9509" width="15.28125" style="784" customWidth="1"/>
    <col min="9510" max="9510" width="15.1354166666667" style="784" customWidth="1"/>
    <col min="9511" max="9511" width="20.2291666666667" style="784" customWidth="1"/>
    <col min="9512" max="9512" width="13.3333333333333" style="784" customWidth="1"/>
    <col min="9513" max="9513" width="10.0416666666667" style="784" customWidth="1"/>
    <col min="9514" max="9514" width="13.3333333333333" style="784" customWidth="1"/>
    <col min="9515" max="9729" width="8.84375" style="784"/>
    <col min="9730" max="9730" width="4.9375" style="784" customWidth="1"/>
    <col min="9731" max="9731" width="10.3333333333333" style="784" customWidth="1"/>
    <col min="9732" max="9733" width="10.9375" style="784" customWidth="1"/>
    <col min="9734" max="9734" width="20.53125" style="784" customWidth="1"/>
    <col min="9735" max="9735" width="7.04166666666667" style="784" customWidth="1"/>
    <col min="9736" max="9736" width="15.5833333333333" style="784" customWidth="1"/>
    <col min="9737" max="9737" width="17.6770833333333" style="784" customWidth="1"/>
    <col min="9738" max="9738" width="14.2395833333333" style="784" customWidth="1"/>
    <col min="9739" max="9739" width="15.1354166666667" style="784" customWidth="1"/>
    <col min="9740" max="9740" width="13.3333333333333" style="784" customWidth="1"/>
    <col min="9741" max="9741" width="15.1354166666667" style="784" customWidth="1"/>
    <col min="9742" max="9742" width="13.6354166666667" style="784" customWidth="1"/>
    <col min="9743" max="9743" width="13.9375" style="784" customWidth="1"/>
    <col min="9744" max="9744" width="16.3333333333333" style="784" customWidth="1"/>
    <col min="9745" max="9745" width="11.0833333333333" style="784" customWidth="1"/>
    <col min="9746" max="9746" width="9.29166666666667" style="784" customWidth="1"/>
    <col min="9747" max="9747" width="13.6354166666667" style="784" customWidth="1"/>
    <col min="9748" max="9748" width="6.89583333333333" style="784" customWidth="1"/>
    <col min="9749" max="9749" width="9.58333333333333" style="784" customWidth="1"/>
    <col min="9750" max="9750" width="14.2395833333333" style="784" customWidth="1"/>
    <col min="9751" max="9752" width="7.64583333333333" style="784" customWidth="1"/>
    <col min="9753" max="9753" width="1.64583333333333" style="784" customWidth="1"/>
    <col min="9754" max="9754" width="25.7708333333333" style="784" customWidth="1"/>
    <col min="9755" max="9755" width="10.6354166666667" style="784" customWidth="1"/>
    <col min="9756" max="9756" width="19.625" style="784" customWidth="1"/>
    <col min="9757" max="9757" width="14.2395833333333" style="784" customWidth="1"/>
    <col min="9758" max="9758" width="8.6875" style="784" customWidth="1"/>
    <col min="9759" max="9759" width="13.3333333333333" style="784" customWidth="1"/>
    <col min="9760" max="9760" width="11.0833333333333" style="784" customWidth="1"/>
    <col min="9761" max="9761" width="8.84375" style="784"/>
    <col min="9762" max="9763" width="9.13541666666667" style="784" customWidth="1"/>
    <col min="9764" max="9764" width="2.39583333333333" style="784" customWidth="1"/>
    <col min="9765" max="9765" width="15.28125" style="784" customWidth="1"/>
    <col min="9766" max="9766" width="15.1354166666667" style="784" customWidth="1"/>
    <col min="9767" max="9767" width="20.2291666666667" style="784" customWidth="1"/>
    <col min="9768" max="9768" width="13.3333333333333" style="784" customWidth="1"/>
    <col min="9769" max="9769" width="10.0416666666667" style="784" customWidth="1"/>
    <col min="9770" max="9770" width="13.3333333333333" style="784" customWidth="1"/>
    <col min="9771" max="9985" width="8.84375" style="784"/>
    <col min="9986" max="9986" width="4.9375" style="784" customWidth="1"/>
    <col min="9987" max="9987" width="10.3333333333333" style="784" customWidth="1"/>
    <col min="9988" max="9989" width="10.9375" style="784" customWidth="1"/>
    <col min="9990" max="9990" width="20.53125" style="784" customWidth="1"/>
    <col min="9991" max="9991" width="7.04166666666667" style="784" customWidth="1"/>
    <col min="9992" max="9992" width="15.5833333333333" style="784" customWidth="1"/>
    <col min="9993" max="9993" width="17.6770833333333" style="784" customWidth="1"/>
    <col min="9994" max="9994" width="14.2395833333333" style="784" customWidth="1"/>
    <col min="9995" max="9995" width="15.1354166666667" style="784" customWidth="1"/>
    <col min="9996" max="9996" width="13.3333333333333" style="784" customWidth="1"/>
    <col min="9997" max="9997" width="15.1354166666667" style="784" customWidth="1"/>
    <col min="9998" max="9998" width="13.6354166666667" style="784" customWidth="1"/>
    <col min="9999" max="9999" width="13.9375" style="784" customWidth="1"/>
    <col min="10000" max="10000" width="16.3333333333333" style="784" customWidth="1"/>
    <col min="10001" max="10001" width="11.0833333333333" style="784" customWidth="1"/>
    <col min="10002" max="10002" width="9.29166666666667" style="784" customWidth="1"/>
    <col min="10003" max="10003" width="13.6354166666667" style="784" customWidth="1"/>
    <col min="10004" max="10004" width="6.89583333333333" style="784" customWidth="1"/>
    <col min="10005" max="10005" width="9.58333333333333" style="784" customWidth="1"/>
    <col min="10006" max="10006" width="14.2395833333333" style="784" customWidth="1"/>
    <col min="10007" max="10008" width="7.64583333333333" style="784" customWidth="1"/>
    <col min="10009" max="10009" width="1.64583333333333" style="784" customWidth="1"/>
    <col min="10010" max="10010" width="25.7708333333333" style="784" customWidth="1"/>
    <col min="10011" max="10011" width="10.6354166666667" style="784" customWidth="1"/>
    <col min="10012" max="10012" width="19.625" style="784" customWidth="1"/>
    <col min="10013" max="10013" width="14.2395833333333" style="784" customWidth="1"/>
    <col min="10014" max="10014" width="8.6875" style="784" customWidth="1"/>
    <col min="10015" max="10015" width="13.3333333333333" style="784" customWidth="1"/>
    <col min="10016" max="10016" width="11.0833333333333" style="784" customWidth="1"/>
    <col min="10017" max="10017" width="8.84375" style="784"/>
    <col min="10018" max="10019" width="9.13541666666667" style="784" customWidth="1"/>
    <col min="10020" max="10020" width="2.39583333333333" style="784" customWidth="1"/>
    <col min="10021" max="10021" width="15.28125" style="784" customWidth="1"/>
    <col min="10022" max="10022" width="15.1354166666667" style="784" customWidth="1"/>
    <col min="10023" max="10023" width="20.2291666666667" style="784" customWidth="1"/>
    <col min="10024" max="10024" width="13.3333333333333" style="784" customWidth="1"/>
    <col min="10025" max="10025" width="10.0416666666667" style="784" customWidth="1"/>
    <col min="10026" max="10026" width="13.3333333333333" style="784" customWidth="1"/>
    <col min="10027" max="10241" width="8.84375" style="784"/>
    <col min="10242" max="10242" width="4.9375" style="784" customWidth="1"/>
    <col min="10243" max="10243" width="10.3333333333333" style="784" customWidth="1"/>
    <col min="10244" max="10245" width="10.9375" style="784" customWidth="1"/>
    <col min="10246" max="10246" width="20.53125" style="784" customWidth="1"/>
    <col min="10247" max="10247" width="7.04166666666667" style="784" customWidth="1"/>
    <col min="10248" max="10248" width="15.5833333333333" style="784" customWidth="1"/>
    <col min="10249" max="10249" width="17.6770833333333" style="784" customWidth="1"/>
    <col min="10250" max="10250" width="14.2395833333333" style="784" customWidth="1"/>
    <col min="10251" max="10251" width="15.1354166666667" style="784" customWidth="1"/>
    <col min="10252" max="10252" width="13.3333333333333" style="784" customWidth="1"/>
    <col min="10253" max="10253" width="15.1354166666667" style="784" customWidth="1"/>
    <col min="10254" max="10254" width="13.6354166666667" style="784" customWidth="1"/>
    <col min="10255" max="10255" width="13.9375" style="784" customWidth="1"/>
    <col min="10256" max="10256" width="16.3333333333333" style="784" customWidth="1"/>
    <col min="10257" max="10257" width="11.0833333333333" style="784" customWidth="1"/>
    <col min="10258" max="10258" width="9.29166666666667" style="784" customWidth="1"/>
    <col min="10259" max="10259" width="13.6354166666667" style="784" customWidth="1"/>
    <col min="10260" max="10260" width="6.89583333333333" style="784" customWidth="1"/>
    <col min="10261" max="10261" width="9.58333333333333" style="784" customWidth="1"/>
    <col min="10262" max="10262" width="14.2395833333333" style="784" customWidth="1"/>
    <col min="10263" max="10264" width="7.64583333333333" style="784" customWidth="1"/>
    <col min="10265" max="10265" width="1.64583333333333" style="784" customWidth="1"/>
    <col min="10266" max="10266" width="25.7708333333333" style="784" customWidth="1"/>
    <col min="10267" max="10267" width="10.6354166666667" style="784" customWidth="1"/>
    <col min="10268" max="10268" width="19.625" style="784" customWidth="1"/>
    <col min="10269" max="10269" width="14.2395833333333" style="784" customWidth="1"/>
    <col min="10270" max="10270" width="8.6875" style="784" customWidth="1"/>
    <col min="10271" max="10271" width="13.3333333333333" style="784" customWidth="1"/>
    <col min="10272" max="10272" width="11.0833333333333" style="784" customWidth="1"/>
    <col min="10273" max="10273" width="8.84375" style="784"/>
    <col min="10274" max="10275" width="9.13541666666667" style="784" customWidth="1"/>
    <col min="10276" max="10276" width="2.39583333333333" style="784" customWidth="1"/>
    <col min="10277" max="10277" width="15.28125" style="784" customWidth="1"/>
    <col min="10278" max="10278" width="15.1354166666667" style="784" customWidth="1"/>
    <col min="10279" max="10279" width="20.2291666666667" style="784" customWidth="1"/>
    <col min="10280" max="10280" width="13.3333333333333" style="784" customWidth="1"/>
    <col min="10281" max="10281" width="10.0416666666667" style="784" customWidth="1"/>
    <col min="10282" max="10282" width="13.3333333333333" style="784" customWidth="1"/>
    <col min="10283" max="10497" width="8.84375" style="784"/>
    <col min="10498" max="10498" width="4.9375" style="784" customWidth="1"/>
    <col min="10499" max="10499" width="10.3333333333333" style="784" customWidth="1"/>
    <col min="10500" max="10501" width="10.9375" style="784" customWidth="1"/>
    <col min="10502" max="10502" width="20.53125" style="784" customWidth="1"/>
    <col min="10503" max="10503" width="7.04166666666667" style="784" customWidth="1"/>
    <col min="10504" max="10504" width="15.5833333333333" style="784" customWidth="1"/>
    <col min="10505" max="10505" width="17.6770833333333" style="784" customWidth="1"/>
    <col min="10506" max="10506" width="14.2395833333333" style="784" customWidth="1"/>
    <col min="10507" max="10507" width="15.1354166666667" style="784" customWidth="1"/>
    <col min="10508" max="10508" width="13.3333333333333" style="784" customWidth="1"/>
    <col min="10509" max="10509" width="15.1354166666667" style="784" customWidth="1"/>
    <col min="10510" max="10510" width="13.6354166666667" style="784" customWidth="1"/>
    <col min="10511" max="10511" width="13.9375" style="784" customWidth="1"/>
    <col min="10512" max="10512" width="16.3333333333333" style="784" customWidth="1"/>
    <col min="10513" max="10513" width="11.0833333333333" style="784" customWidth="1"/>
    <col min="10514" max="10514" width="9.29166666666667" style="784" customWidth="1"/>
    <col min="10515" max="10515" width="13.6354166666667" style="784" customWidth="1"/>
    <col min="10516" max="10516" width="6.89583333333333" style="784" customWidth="1"/>
    <col min="10517" max="10517" width="9.58333333333333" style="784" customWidth="1"/>
    <col min="10518" max="10518" width="14.2395833333333" style="784" customWidth="1"/>
    <col min="10519" max="10520" width="7.64583333333333" style="784" customWidth="1"/>
    <col min="10521" max="10521" width="1.64583333333333" style="784" customWidth="1"/>
    <col min="10522" max="10522" width="25.7708333333333" style="784" customWidth="1"/>
    <col min="10523" max="10523" width="10.6354166666667" style="784" customWidth="1"/>
    <col min="10524" max="10524" width="19.625" style="784" customWidth="1"/>
    <col min="10525" max="10525" width="14.2395833333333" style="784" customWidth="1"/>
    <col min="10526" max="10526" width="8.6875" style="784" customWidth="1"/>
    <col min="10527" max="10527" width="13.3333333333333" style="784" customWidth="1"/>
    <col min="10528" max="10528" width="11.0833333333333" style="784" customWidth="1"/>
    <col min="10529" max="10529" width="8.84375" style="784"/>
    <col min="10530" max="10531" width="9.13541666666667" style="784" customWidth="1"/>
    <col min="10532" max="10532" width="2.39583333333333" style="784" customWidth="1"/>
    <col min="10533" max="10533" width="15.28125" style="784" customWidth="1"/>
    <col min="10534" max="10534" width="15.1354166666667" style="784" customWidth="1"/>
    <col min="10535" max="10535" width="20.2291666666667" style="784" customWidth="1"/>
    <col min="10536" max="10536" width="13.3333333333333" style="784" customWidth="1"/>
    <col min="10537" max="10537" width="10.0416666666667" style="784" customWidth="1"/>
    <col min="10538" max="10538" width="13.3333333333333" style="784" customWidth="1"/>
    <col min="10539" max="10753" width="8.84375" style="784"/>
    <col min="10754" max="10754" width="4.9375" style="784" customWidth="1"/>
    <col min="10755" max="10755" width="10.3333333333333" style="784" customWidth="1"/>
    <col min="10756" max="10757" width="10.9375" style="784" customWidth="1"/>
    <col min="10758" max="10758" width="20.53125" style="784" customWidth="1"/>
    <col min="10759" max="10759" width="7.04166666666667" style="784" customWidth="1"/>
    <col min="10760" max="10760" width="15.5833333333333" style="784" customWidth="1"/>
    <col min="10761" max="10761" width="17.6770833333333" style="784" customWidth="1"/>
    <col min="10762" max="10762" width="14.2395833333333" style="784" customWidth="1"/>
    <col min="10763" max="10763" width="15.1354166666667" style="784" customWidth="1"/>
    <col min="10764" max="10764" width="13.3333333333333" style="784" customWidth="1"/>
    <col min="10765" max="10765" width="15.1354166666667" style="784" customWidth="1"/>
    <col min="10766" max="10766" width="13.6354166666667" style="784" customWidth="1"/>
    <col min="10767" max="10767" width="13.9375" style="784" customWidth="1"/>
    <col min="10768" max="10768" width="16.3333333333333" style="784" customWidth="1"/>
    <col min="10769" max="10769" width="11.0833333333333" style="784" customWidth="1"/>
    <col min="10770" max="10770" width="9.29166666666667" style="784" customWidth="1"/>
    <col min="10771" max="10771" width="13.6354166666667" style="784" customWidth="1"/>
    <col min="10772" max="10772" width="6.89583333333333" style="784" customWidth="1"/>
    <col min="10773" max="10773" width="9.58333333333333" style="784" customWidth="1"/>
    <col min="10774" max="10774" width="14.2395833333333" style="784" customWidth="1"/>
    <col min="10775" max="10776" width="7.64583333333333" style="784" customWidth="1"/>
    <col min="10777" max="10777" width="1.64583333333333" style="784" customWidth="1"/>
    <col min="10778" max="10778" width="25.7708333333333" style="784" customWidth="1"/>
    <col min="10779" max="10779" width="10.6354166666667" style="784" customWidth="1"/>
    <col min="10780" max="10780" width="19.625" style="784" customWidth="1"/>
    <col min="10781" max="10781" width="14.2395833333333" style="784" customWidth="1"/>
    <col min="10782" max="10782" width="8.6875" style="784" customWidth="1"/>
    <col min="10783" max="10783" width="13.3333333333333" style="784" customWidth="1"/>
    <col min="10784" max="10784" width="11.0833333333333" style="784" customWidth="1"/>
    <col min="10785" max="10785" width="8.84375" style="784"/>
    <col min="10786" max="10787" width="9.13541666666667" style="784" customWidth="1"/>
    <col min="10788" max="10788" width="2.39583333333333" style="784" customWidth="1"/>
    <col min="10789" max="10789" width="15.28125" style="784" customWidth="1"/>
    <col min="10790" max="10790" width="15.1354166666667" style="784" customWidth="1"/>
    <col min="10791" max="10791" width="20.2291666666667" style="784" customWidth="1"/>
    <col min="10792" max="10792" width="13.3333333333333" style="784" customWidth="1"/>
    <col min="10793" max="10793" width="10.0416666666667" style="784" customWidth="1"/>
    <col min="10794" max="10794" width="13.3333333333333" style="784" customWidth="1"/>
    <col min="10795" max="11009" width="8.84375" style="784"/>
    <col min="11010" max="11010" width="4.9375" style="784" customWidth="1"/>
    <col min="11011" max="11011" width="10.3333333333333" style="784" customWidth="1"/>
    <col min="11012" max="11013" width="10.9375" style="784" customWidth="1"/>
    <col min="11014" max="11014" width="20.53125" style="784" customWidth="1"/>
    <col min="11015" max="11015" width="7.04166666666667" style="784" customWidth="1"/>
    <col min="11016" max="11016" width="15.5833333333333" style="784" customWidth="1"/>
    <col min="11017" max="11017" width="17.6770833333333" style="784" customWidth="1"/>
    <col min="11018" max="11018" width="14.2395833333333" style="784" customWidth="1"/>
    <col min="11019" max="11019" width="15.1354166666667" style="784" customWidth="1"/>
    <col min="11020" max="11020" width="13.3333333333333" style="784" customWidth="1"/>
    <col min="11021" max="11021" width="15.1354166666667" style="784" customWidth="1"/>
    <col min="11022" max="11022" width="13.6354166666667" style="784" customWidth="1"/>
    <col min="11023" max="11023" width="13.9375" style="784" customWidth="1"/>
    <col min="11024" max="11024" width="16.3333333333333" style="784" customWidth="1"/>
    <col min="11025" max="11025" width="11.0833333333333" style="784" customWidth="1"/>
    <col min="11026" max="11026" width="9.29166666666667" style="784" customWidth="1"/>
    <col min="11027" max="11027" width="13.6354166666667" style="784" customWidth="1"/>
    <col min="11028" max="11028" width="6.89583333333333" style="784" customWidth="1"/>
    <col min="11029" max="11029" width="9.58333333333333" style="784" customWidth="1"/>
    <col min="11030" max="11030" width="14.2395833333333" style="784" customWidth="1"/>
    <col min="11031" max="11032" width="7.64583333333333" style="784" customWidth="1"/>
    <col min="11033" max="11033" width="1.64583333333333" style="784" customWidth="1"/>
    <col min="11034" max="11034" width="25.7708333333333" style="784" customWidth="1"/>
    <col min="11035" max="11035" width="10.6354166666667" style="784" customWidth="1"/>
    <col min="11036" max="11036" width="19.625" style="784" customWidth="1"/>
    <col min="11037" max="11037" width="14.2395833333333" style="784" customWidth="1"/>
    <col min="11038" max="11038" width="8.6875" style="784" customWidth="1"/>
    <col min="11039" max="11039" width="13.3333333333333" style="784" customWidth="1"/>
    <col min="11040" max="11040" width="11.0833333333333" style="784" customWidth="1"/>
    <col min="11041" max="11041" width="8.84375" style="784"/>
    <col min="11042" max="11043" width="9.13541666666667" style="784" customWidth="1"/>
    <col min="11044" max="11044" width="2.39583333333333" style="784" customWidth="1"/>
    <col min="11045" max="11045" width="15.28125" style="784" customWidth="1"/>
    <col min="11046" max="11046" width="15.1354166666667" style="784" customWidth="1"/>
    <col min="11047" max="11047" width="20.2291666666667" style="784" customWidth="1"/>
    <col min="11048" max="11048" width="13.3333333333333" style="784" customWidth="1"/>
    <col min="11049" max="11049" width="10.0416666666667" style="784" customWidth="1"/>
    <col min="11050" max="11050" width="13.3333333333333" style="784" customWidth="1"/>
    <col min="11051" max="11265" width="8.84375" style="784"/>
    <col min="11266" max="11266" width="4.9375" style="784" customWidth="1"/>
    <col min="11267" max="11267" width="10.3333333333333" style="784" customWidth="1"/>
    <col min="11268" max="11269" width="10.9375" style="784" customWidth="1"/>
    <col min="11270" max="11270" width="20.53125" style="784" customWidth="1"/>
    <col min="11271" max="11271" width="7.04166666666667" style="784" customWidth="1"/>
    <col min="11272" max="11272" width="15.5833333333333" style="784" customWidth="1"/>
    <col min="11273" max="11273" width="17.6770833333333" style="784" customWidth="1"/>
    <col min="11274" max="11274" width="14.2395833333333" style="784" customWidth="1"/>
    <col min="11275" max="11275" width="15.1354166666667" style="784" customWidth="1"/>
    <col min="11276" max="11276" width="13.3333333333333" style="784" customWidth="1"/>
    <col min="11277" max="11277" width="15.1354166666667" style="784" customWidth="1"/>
    <col min="11278" max="11278" width="13.6354166666667" style="784" customWidth="1"/>
    <col min="11279" max="11279" width="13.9375" style="784" customWidth="1"/>
    <col min="11280" max="11280" width="16.3333333333333" style="784" customWidth="1"/>
    <col min="11281" max="11281" width="11.0833333333333" style="784" customWidth="1"/>
    <col min="11282" max="11282" width="9.29166666666667" style="784" customWidth="1"/>
    <col min="11283" max="11283" width="13.6354166666667" style="784" customWidth="1"/>
    <col min="11284" max="11284" width="6.89583333333333" style="784" customWidth="1"/>
    <col min="11285" max="11285" width="9.58333333333333" style="784" customWidth="1"/>
    <col min="11286" max="11286" width="14.2395833333333" style="784" customWidth="1"/>
    <col min="11287" max="11288" width="7.64583333333333" style="784" customWidth="1"/>
    <col min="11289" max="11289" width="1.64583333333333" style="784" customWidth="1"/>
    <col min="11290" max="11290" width="25.7708333333333" style="784" customWidth="1"/>
    <col min="11291" max="11291" width="10.6354166666667" style="784" customWidth="1"/>
    <col min="11292" max="11292" width="19.625" style="784" customWidth="1"/>
    <col min="11293" max="11293" width="14.2395833333333" style="784" customWidth="1"/>
    <col min="11294" max="11294" width="8.6875" style="784" customWidth="1"/>
    <col min="11295" max="11295" width="13.3333333333333" style="784" customWidth="1"/>
    <col min="11296" max="11296" width="11.0833333333333" style="784" customWidth="1"/>
    <col min="11297" max="11297" width="8.84375" style="784"/>
    <col min="11298" max="11299" width="9.13541666666667" style="784" customWidth="1"/>
    <col min="11300" max="11300" width="2.39583333333333" style="784" customWidth="1"/>
    <col min="11301" max="11301" width="15.28125" style="784" customWidth="1"/>
    <col min="11302" max="11302" width="15.1354166666667" style="784" customWidth="1"/>
    <col min="11303" max="11303" width="20.2291666666667" style="784" customWidth="1"/>
    <col min="11304" max="11304" width="13.3333333333333" style="784" customWidth="1"/>
    <col min="11305" max="11305" width="10.0416666666667" style="784" customWidth="1"/>
    <col min="11306" max="11306" width="13.3333333333333" style="784" customWidth="1"/>
    <col min="11307" max="11521" width="8.84375" style="784"/>
    <col min="11522" max="11522" width="4.9375" style="784" customWidth="1"/>
    <col min="11523" max="11523" width="10.3333333333333" style="784" customWidth="1"/>
    <col min="11524" max="11525" width="10.9375" style="784" customWidth="1"/>
    <col min="11526" max="11526" width="20.53125" style="784" customWidth="1"/>
    <col min="11527" max="11527" width="7.04166666666667" style="784" customWidth="1"/>
    <col min="11528" max="11528" width="15.5833333333333" style="784" customWidth="1"/>
    <col min="11529" max="11529" width="17.6770833333333" style="784" customWidth="1"/>
    <col min="11530" max="11530" width="14.2395833333333" style="784" customWidth="1"/>
    <col min="11531" max="11531" width="15.1354166666667" style="784" customWidth="1"/>
    <col min="11532" max="11532" width="13.3333333333333" style="784" customWidth="1"/>
    <col min="11533" max="11533" width="15.1354166666667" style="784" customWidth="1"/>
    <col min="11534" max="11534" width="13.6354166666667" style="784" customWidth="1"/>
    <col min="11535" max="11535" width="13.9375" style="784" customWidth="1"/>
    <col min="11536" max="11536" width="16.3333333333333" style="784" customWidth="1"/>
    <col min="11537" max="11537" width="11.0833333333333" style="784" customWidth="1"/>
    <col min="11538" max="11538" width="9.29166666666667" style="784" customWidth="1"/>
    <col min="11539" max="11539" width="13.6354166666667" style="784" customWidth="1"/>
    <col min="11540" max="11540" width="6.89583333333333" style="784" customWidth="1"/>
    <col min="11541" max="11541" width="9.58333333333333" style="784" customWidth="1"/>
    <col min="11542" max="11542" width="14.2395833333333" style="784" customWidth="1"/>
    <col min="11543" max="11544" width="7.64583333333333" style="784" customWidth="1"/>
    <col min="11545" max="11545" width="1.64583333333333" style="784" customWidth="1"/>
    <col min="11546" max="11546" width="25.7708333333333" style="784" customWidth="1"/>
    <col min="11547" max="11547" width="10.6354166666667" style="784" customWidth="1"/>
    <col min="11548" max="11548" width="19.625" style="784" customWidth="1"/>
    <col min="11549" max="11549" width="14.2395833333333" style="784" customWidth="1"/>
    <col min="11550" max="11550" width="8.6875" style="784" customWidth="1"/>
    <col min="11551" max="11551" width="13.3333333333333" style="784" customWidth="1"/>
    <col min="11552" max="11552" width="11.0833333333333" style="784" customWidth="1"/>
    <col min="11553" max="11553" width="8.84375" style="784"/>
    <col min="11554" max="11555" width="9.13541666666667" style="784" customWidth="1"/>
    <col min="11556" max="11556" width="2.39583333333333" style="784" customWidth="1"/>
    <col min="11557" max="11557" width="15.28125" style="784" customWidth="1"/>
    <col min="11558" max="11558" width="15.1354166666667" style="784" customWidth="1"/>
    <col min="11559" max="11559" width="20.2291666666667" style="784" customWidth="1"/>
    <col min="11560" max="11560" width="13.3333333333333" style="784" customWidth="1"/>
    <col min="11561" max="11561" width="10.0416666666667" style="784" customWidth="1"/>
    <col min="11562" max="11562" width="13.3333333333333" style="784" customWidth="1"/>
    <col min="11563" max="11777" width="8.84375" style="784"/>
    <col min="11778" max="11778" width="4.9375" style="784" customWidth="1"/>
    <col min="11779" max="11779" width="10.3333333333333" style="784" customWidth="1"/>
    <col min="11780" max="11781" width="10.9375" style="784" customWidth="1"/>
    <col min="11782" max="11782" width="20.53125" style="784" customWidth="1"/>
    <col min="11783" max="11783" width="7.04166666666667" style="784" customWidth="1"/>
    <col min="11784" max="11784" width="15.5833333333333" style="784" customWidth="1"/>
    <col min="11785" max="11785" width="17.6770833333333" style="784" customWidth="1"/>
    <col min="11786" max="11786" width="14.2395833333333" style="784" customWidth="1"/>
    <col min="11787" max="11787" width="15.1354166666667" style="784" customWidth="1"/>
    <col min="11788" max="11788" width="13.3333333333333" style="784" customWidth="1"/>
    <col min="11789" max="11789" width="15.1354166666667" style="784" customWidth="1"/>
    <col min="11790" max="11790" width="13.6354166666667" style="784" customWidth="1"/>
    <col min="11791" max="11791" width="13.9375" style="784" customWidth="1"/>
    <col min="11792" max="11792" width="16.3333333333333" style="784" customWidth="1"/>
    <col min="11793" max="11793" width="11.0833333333333" style="784" customWidth="1"/>
    <col min="11794" max="11794" width="9.29166666666667" style="784" customWidth="1"/>
    <col min="11795" max="11795" width="13.6354166666667" style="784" customWidth="1"/>
    <col min="11796" max="11796" width="6.89583333333333" style="784" customWidth="1"/>
    <col min="11797" max="11797" width="9.58333333333333" style="784" customWidth="1"/>
    <col min="11798" max="11798" width="14.2395833333333" style="784" customWidth="1"/>
    <col min="11799" max="11800" width="7.64583333333333" style="784" customWidth="1"/>
    <col min="11801" max="11801" width="1.64583333333333" style="784" customWidth="1"/>
    <col min="11802" max="11802" width="25.7708333333333" style="784" customWidth="1"/>
    <col min="11803" max="11803" width="10.6354166666667" style="784" customWidth="1"/>
    <col min="11804" max="11804" width="19.625" style="784" customWidth="1"/>
    <col min="11805" max="11805" width="14.2395833333333" style="784" customWidth="1"/>
    <col min="11806" max="11806" width="8.6875" style="784" customWidth="1"/>
    <col min="11807" max="11807" width="13.3333333333333" style="784" customWidth="1"/>
    <col min="11808" max="11808" width="11.0833333333333" style="784" customWidth="1"/>
    <col min="11809" max="11809" width="8.84375" style="784"/>
    <col min="11810" max="11811" width="9.13541666666667" style="784" customWidth="1"/>
    <col min="11812" max="11812" width="2.39583333333333" style="784" customWidth="1"/>
    <col min="11813" max="11813" width="15.28125" style="784" customWidth="1"/>
    <col min="11814" max="11814" width="15.1354166666667" style="784" customWidth="1"/>
    <col min="11815" max="11815" width="20.2291666666667" style="784" customWidth="1"/>
    <col min="11816" max="11816" width="13.3333333333333" style="784" customWidth="1"/>
    <col min="11817" max="11817" width="10.0416666666667" style="784" customWidth="1"/>
    <col min="11818" max="11818" width="13.3333333333333" style="784" customWidth="1"/>
    <col min="11819" max="12033" width="8.84375" style="784"/>
    <col min="12034" max="12034" width="4.9375" style="784" customWidth="1"/>
    <col min="12035" max="12035" width="10.3333333333333" style="784" customWidth="1"/>
    <col min="12036" max="12037" width="10.9375" style="784" customWidth="1"/>
    <col min="12038" max="12038" width="20.53125" style="784" customWidth="1"/>
    <col min="12039" max="12039" width="7.04166666666667" style="784" customWidth="1"/>
    <col min="12040" max="12040" width="15.5833333333333" style="784" customWidth="1"/>
    <col min="12041" max="12041" width="17.6770833333333" style="784" customWidth="1"/>
    <col min="12042" max="12042" width="14.2395833333333" style="784" customWidth="1"/>
    <col min="12043" max="12043" width="15.1354166666667" style="784" customWidth="1"/>
    <col min="12044" max="12044" width="13.3333333333333" style="784" customWidth="1"/>
    <col min="12045" max="12045" width="15.1354166666667" style="784" customWidth="1"/>
    <col min="12046" max="12046" width="13.6354166666667" style="784" customWidth="1"/>
    <col min="12047" max="12047" width="13.9375" style="784" customWidth="1"/>
    <col min="12048" max="12048" width="16.3333333333333" style="784" customWidth="1"/>
    <col min="12049" max="12049" width="11.0833333333333" style="784" customWidth="1"/>
    <col min="12050" max="12050" width="9.29166666666667" style="784" customWidth="1"/>
    <col min="12051" max="12051" width="13.6354166666667" style="784" customWidth="1"/>
    <col min="12052" max="12052" width="6.89583333333333" style="784" customWidth="1"/>
    <col min="12053" max="12053" width="9.58333333333333" style="784" customWidth="1"/>
    <col min="12054" max="12054" width="14.2395833333333" style="784" customWidth="1"/>
    <col min="12055" max="12056" width="7.64583333333333" style="784" customWidth="1"/>
    <col min="12057" max="12057" width="1.64583333333333" style="784" customWidth="1"/>
    <col min="12058" max="12058" width="25.7708333333333" style="784" customWidth="1"/>
    <col min="12059" max="12059" width="10.6354166666667" style="784" customWidth="1"/>
    <col min="12060" max="12060" width="19.625" style="784" customWidth="1"/>
    <col min="12061" max="12061" width="14.2395833333333" style="784" customWidth="1"/>
    <col min="12062" max="12062" width="8.6875" style="784" customWidth="1"/>
    <col min="12063" max="12063" width="13.3333333333333" style="784" customWidth="1"/>
    <col min="12064" max="12064" width="11.0833333333333" style="784" customWidth="1"/>
    <col min="12065" max="12065" width="8.84375" style="784"/>
    <col min="12066" max="12067" width="9.13541666666667" style="784" customWidth="1"/>
    <col min="12068" max="12068" width="2.39583333333333" style="784" customWidth="1"/>
    <col min="12069" max="12069" width="15.28125" style="784" customWidth="1"/>
    <col min="12070" max="12070" width="15.1354166666667" style="784" customWidth="1"/>
    <col min="12071" max="12071" width="20.2291666666667" style="784" customWidth="1"/>
    <col min="12072" max="12072" width="13.3333333333333" style="784" customWidth="1"/>
    <col min="12073" max="12073" width="10.0416666666667" style="784" customWidth="1"/>
    <col min="12074" max="12074" width="13.3333333333333" style="784" customWidth="1"/>
    <col min="12075" max="12289" width="8.84375" style="784"/>
    <col min="12290" max="12290" width="4.9375" style="784" customWidth="1"/>
    <col min="12291" max="12291" width="10.3333333333333" style="784" customWidth="1"/>
    <col min="12292" max="12293" width="10.9375" style="784" customWidth="1"/>
    <col min="12294" max="12294" width="20.53125" style="784" customWidth="1"/>
    <col min="12295" max="12295" width="7.04166666666667" style="784" customWidth="1"/>
    <col min="12296" max="12296" width="15.5833333333333" style="784" customWidth="1"/>
    <col min="12297" max="12297" width="17.6770833333333" style="784" customWidth="1"/>
    <col min="12298" max="12298" width="14.2395833333333" style="784" customWidth="1"/>
    <col min="12299" max="12299" width="15.1354166666667" style="784" customWidth="1"/>
    <col min="12300" max="12300" width="13.3333333333333" style="784" customWidth="1"/>
    <col min="12301" max="12301" width="15.1354166666667" style="784" customWidth="1"/>
    <col min="12302" max="12302" width="13.6354166666667" style="784" customWidth="1"/>
    <col min="12303" max="12303" width="13.9375" style="784" customWidth="1"/>
    <col min="12304" max="12304" width="16.3333333333333" style="784" customWidth="1"/>
    <col min="12305" max="12305" width="11.0833333333333" style="784" customWidth="1"/>
    <col min="12306" max="12306" width="9.29166666666667" style="784" customWidth="1"/>
    <col min="12307" max="12307" width="13.6354166666667" style="784" customWidth="1"/>
    <col min="12308" max="12308" width="6.89583333333333" style="784" customWidth="1"/>
    <col min="12309" max="12309" width="9.58333333333333" style="784" customWidth="1"/>
    <col min="12310" max="12310" width="14.2395833333333" style="784" customWidth="1"/>
    <col min="12311" max="12312" width="7.64583333333333" style="784" customWidth="1"/>
    <col min="12313" max="12313" width="1.64583333333333" style="784" customWidth="1"/>
    <col min="12314" max="12314" width="25.7708333333333" style="784" customWidth="1"/>
    <col min="12315" max="12315" width="10.6354166666667" style="784" customWidth="1"/>
    <col min="12316" max="12316" width="19.625" style="784" customWidth="1"/>
    <col min="12317" max="12317" width="14.2395833333333" style="784" customWidth="1"/>
    <col min="12318" max="12318" width="8.6875" style="784" customWidth="1"/>
    <col min="12319" max="12319" width="13.3333333333333" style="784" customWidth="1"/>
    <col min="12320" max="12320" width="11.0833333333333" style="784" customWidth="1"/>
    <col min="12321" max="12321" width="8.84375" style="784"/>
    <col min="12322" max="12323" width="9.13541666666667" style="784" customWidth="1"/>
    <col min="12324" max="12324" width="2.39583333333333" style="784" customWidth="1"/>
    <col min="12325" max="12325" width="15.28125" style="784" customWidth="1"/>
    <col min="12326" max="12326" width="15.1354166666667" style="784" customWidth="1"/>
    <col min="12327" max="12327" width="20.2291666666667" style="784" customWidth="1"/>
    <col min="12328" max="12328" width="13.3333333333333" style="784" customWidth="1"/>
    <col min="12329" max="12329" width="10.0416666666667" style="784" customWidth="1"/>
    <col min="12330" max="12330" width="13.3333333333333" style="784" customWidth="1"/>
    <col min="12331" max="12545" width="8.84375" style="784"/>
    <col min="12546" max="12546" width="4.9375" style="784" customWidth="1"/>
    <col min="12547" max="12547" width="10.3333333333333" style="784" customWidth="1"/>
    <col min="12548" max="12549" width="10.9375" style="784" customWidth="1"/>
    <col min="12550" max="12550" width="20.53125" style="784" customWidth="1"/>
    <col min="12551" max="12551" width="7.04166666666667" style="784" customWidth="1"/>
    <col min="12552" max="12552" width="15.5833333333333" style="784" customWidth="1"/>
    <col min="12553" max="12553" width="17.6770833333333" style="784" customWidth="1"/>
    <col min="12554" max="12554" width="14.2395833333333" style="784" customWidth="1"/>
    <col min="12555" max="12555" width="15.1354166666667" style="784" customWidth="1"/>
    <col min="12556" max="12556" width="13.3333333333333" style="784" customWidth="1"/>
    <col min="12557" max="12557" width="15.1354166666667" style="784" customWidth="1"/>
    <col min="12558" max="12558" width="13.6354166666667" style="784" customWidth="1"/>
    <col min="12559" max="12559" width="13.9375" style="784" customWidth="1"/>
    <col min="12560" max="12560" width="16.3333333333333" style="784" customWidth="1"/>
    <col min="12561" max="12561" width="11.0833333333333" style="784" customWidth="1"/>
    <col min="12562" max="12562" width="9.29166666666667" style="784" customWidth="1"/>
    <col min="12563" max="12563" width="13.6354166666667" style="784" customWidth="1"/>
    <col min="12564" max="12564" width="6.89583333333333" style="784" customWidth="1"/>
    <col min="12565" max="12565" width="9.58333333333333" style="784" customWidth="1"/>
    <col min="12566" max="12566" width="14.2395833333333" style="784" customWidth="1"/>
    <col min="12567" max="12568" width="7.64583333333333" style="784" customWidth="1"/>
    <col min="12569" max="12569" width="1.64583333333333" style="784" customWidth="1"/>
    <col min="12570" max="12570" width="25.7708333333333" style="784" customWidth="1"/>
    <col min="12571" max="12571" width="10.6354166666667" style="784" customWidth="1"/>
    <col min="12572" max="12572" width="19.625" style="784" customWidth="1"/>
    <col min="12573" max="12573" width="14.2395833333333" style="784" customWidth="1"/>
    <col min="12574" max="12574" width="8.6875" style="784" customWidth="1"/>
    <col min="12575" max="12575" width="13.3333333333333" style="784" customWidth="1"/>
    <col min="12576" max="12576" width="11.0833333333333" style="784" customWidth="1"/>
    <col min="12577" max="12577" width="8.84375" style="784"/>
    <col min="12578" max="12579" width="9.13541666666667" style="784" customWidth="1"/>
    <col min="12580" max="12580" width="2.39583333333333" style="784" customWidth="1"/>
    <col min="12581" max="12581" width="15.28125" style="784" customWidth="1"/>
    <col min="12582" max="12582" width="15.1354166666667" style="784" customWidth="1"/>
    <col min="12583" max="12583" width="20.2291666666667" style="784" customWidth="1"/>
    <col min="12584" max="12584" width="13.3333333333333" style="784" customWidth="1"/>
    <col min="12585" max="12585" width="10.0416666666667" style="784" customWidth="1"/>
    <col min="12586" max="12586" width="13.3333333333333" style="784" customWidth="1"/>
    <col min="12587" max="12801" width="8.84375" style="784"/>
    <col min="12802" max="12802" width="4.9375" style="784" customWidth="1"/>
    <col min="12803" max="12803" width="10.3333333333333" style="784" customWidth="1"/>
    <col min="12804" max="12805" width="10.9375" style="784" customWidth="1"/>
    <col min="12806" max="12806" width="20.53125" style="784" customWidth="1"/>
    <col min="12807" max="12807" width="7.04166666666667" style="784" customWidth="1"/>
    <col min="12808" max="12808" width="15.5833333333333" style="784" customWidth="1"/>
    <col min="12809" max="12809" width="17.6770833333333" style="784" customWidth="1"/>
    <col min="12810" max="12810" width="14.2395833333333" style="784" customWidth="1"/>
    <col min="12811" max="12811" width="15.1354166666667" style="784" customWidth="1"/>
    <col min="12812" max="12812" width="13.3333333333333" style="784" customWidth="1"/>
    <col min="12813" max="12813" width="15.1354166666667" style="784" customWidth="1"/>
    <col min="12814" max="12814" width="13.6354166666667" style="784" customWidth="1"/>
    <col min="12815" max="12815" width="13.9375" style="784" customWidth="1"/>
    <col min="12816" max="12816" width="16.3333333333333" style="784" customWidth="1"/>
    <col min="12817" max="12817" width="11.0833333333333" style="784" customWidth="1"/>
    <col min="12818" max="12818" width="9.29166666666667" style="784" customWidth="1"/>
    <col min="12819" max="12819" width="13.6354166666667" style="784" customWidth="1"/>
    <col min="12820" max="12820" width="6.89583333333333" style="784" customWidth="1"/>
    <col min="12821" max="12821" width="9.58333333333333" style="784" customWidth="1"/>
    <col min="12822" max="12822" width="14.2395833333333" style="784" customWidth="1"/>
    <col min="12823" max="12824" width="7.64583333333333" style="784" customWidth="1"/>
    <col min="12825" max="12825" width="1.64583333333333" style="784" customWidth="1"/>
    <col min="12826" max="12826" width="25.7708333333333" style="784" customWidth="1"/>
    <col min="12827" max="12827" width="10.6354166666667" style="784" customWidth="1"/>
    <col min="12828" max="12828" width="19.625" style="784" customWidth="1"/>
    <col min="12829" max="12829" width="14.2395833333333" style="784" customWidth="1"/>
    <col min="12830" max="12830" width="8.6875" style="784" customWidth="1"/>
    <col min="12831" max="12831" width="13.3333333333333" style="784" customWidth="1"/>
    <col min="12832" max="12832" width="11.0833333333333" style="784" customWidth="1"/>
    <col min="12833" max="12833" width="8.84375" style="784"/>
    <col min="12834" max="12835" width="9.13541666666667" style="784" customWidth="1"/>
    <col min="12836" max="12836" width="2.39583333333333" style="784" customWidth="1"/>
    <col min="12837" max="12837" width="15.28125" style="784" customWidth="1"/>
    <col min="12838" max="12838" width="15.1354166666667" style="784" customWidth="1"/>
    <col min="12839" max="12839" width="20.2291666666667" style="784" customWidth="1"/>
    <col min="12840" max="12840" width="13.3333333333333" style="784" customWidth="1"/>
    <col min="12841" max="12841" width="10.0416666666667" style="784" customWidth="1"/>
    <col min="12842" max="12842" width="13.3333333333333" style="784" customWidth="1"/>
    <col min="12843" max="13057" width="8.84375" style="784"/>
    <col min="13058" max="13058" width="4.9375" style="784" customWidth="1"/>
    <col min="13059" max="13059" width="10.3333333333333" style="784" customWidth="1"/>
    <col min="13060" max="13061" width="10.9375" style="784" customWidth="1"/>
    <col min="13062" max="13062" width="20.53125" style="784" customWidth="1"/>
    <col min="13063" max="13063" width="7.04166666666667" style="784" customWidth="1"/>
    <col min="13064" max="13064" width="15.5833333333333" style="784" customWidth="1"/>
    <col min="13065" max="13065" width="17.6770833333333" style="784" customWidth="1"/>
    <col min="13066" max="13066" width="14.2395833333333" style="784" customWidth="1"/>
    <col min="13067" max="13067" width="15.1354166666667" style="784" customWidth="1"/>
    <col min="13068" max="13068" width="13.3333333333333" style="784" customWidth="1"/>
    <col min="13069" max="13069" width="15.1354166666667" style="784" customWidth="1"/>
    <col min="13070" max="13070" width="13.6354166666667" style="784" customWidth="1"/>
    <col min="13071" max="13071" width="13.9375" style="784" customWidth="1"/>
    <col min="13072" max="13072" width="16.3333333333333" style="784" customWidth="1"/>
    <col min="13073" max="13073" width="11.0833333333333" style="784" customWidth="1"/>
    <col min="13074" max="13074" width="9.29166666666667" style="784" customWidth="1"/>
    <col min="13075" max="13075" width="13.6354166666667" style="784" customWidth="1"/>
    <col min="13076" max="13076" width="6.89583333333333" style="784" customWidth="1"/>
    <col min="13077" max="13077" width="9.58333333333333" style="784" customWidth="1"/>
    <col min="13078" max="13078" width="14.2395833333333" style="784" customWidth="1"/>
    <col min="13079" max="13080" width="7.64583333333333" style="784" customWidth="1"/>
    <col min="13081" max="13081" width="1.64583333333333" style="784" customWidth="1"/>
    <col min="13082" max="13082" width="25.7708333333333" style="784" customWidth="1"/>
    <col min="13083" max="13083" width="10.6354166666667" style="784" customWidth="1"/>
    <col min="13084" max="13084" width="19.625" style="784" customWidth="1"/>
    <col min="13085" max="13085" width="14.2395833333333" style="784" customWidth="1"/>
    <col min="13086" max="13086" width="8.6875" style="784" customWidth="1"/>
    <col min="13087" max="13087" width="13.3333333333333" style="784" customWidth="1"/>
    <col min="13088" max="13088" width="11.0833333333333" style="784" customWidth="1"/>
    <col min="13089" max="13089" width="8.84375" style="784"/>
    <col min="13090" max="13091" width="9.13541666666667" style="784" customWidth="1"/>
    <col min="13092" max="13092" width="2.39583333333333" style="784" customWidth="1"/>
    <col min="13093" max="13093" width="15.28125" style="784" customWidth="1"/>
    <col min="13094" max="13094" width="15.1354166666667" style="784" customWidth="1"/>
    <col min="13095" max="13095" width="20.2291666666667" style="784" customWidth="1"/>
    <col min="13096" max="13096" width="13.3333333333333" style="784" customWidth="1"/>
    <col min="13097" max="13097" width="10.0416666666667" style="784" customWidth="1"/>
    <col min="13098" max="13098" width="13.3333333333333" style="784" customWidth="1"/>
    <col min="13099" max="13313" width="8.84375" style="784"/>
    <col min="13314" max="13314" width="4.9375" style="784" customWidth="1"/>
    <col min="13315" max="13315" width="10.3333333333333" style="784" customWidth="1"/>
    <col min="13316" max="13317" width="10.9375" style="784" customWidth="1"/>
    <col min="13318" max="13318" width="20.53125" style="784" customWidth="1"/>
    <col min="13319" max="13319" width="7.04166666666667" style="784" customWidth="1"/>
    <col min="13320" max="13320" width="15.5833333333333" style="784" customWidth="1"/>
    <col min="13321" max="13321" width="17.6770833333333" style="784" customWidth="1"/>
    <col min="13322" max="13322" width="14.2395833333333" style="784" customWidth="1"/>
    <col min="13323" max="13323" width="15.1354166666667" style="784" customWidth="1"/>
    <col min="13324" max="13324" width="13.3333333333333" style="784" customWidth="1"/>
    <col min="13325" max="13325" width="15.1354166666667" style="784" customWidth="1"/>
    <col min="13326" max="13326" width="13.6354166666667" style="784" customWidth="1"/>
    <col min="13327" max="13327" width="13.9375" style="784" customWidth="1"/>
    <col min="13328" max="13328" width="16.3333333333333" style="784" customWidth="1"/>
    <col min="13329" max="13329" width="11.0833333333333" style="784" customWidth="1"/>
    <col min="13330" max="13330" width="9.29166666666667" style="784" customWidth="1"/>
    <col min="13331" max="13331" width="13.6354166666667" style="784" customWidth="1"/>
    <col min="13332" max="13332" width="6.89583333333333" style="784" customWidth="1"/>
    <col min="13333" max="13333" width="9.58333333333333" style="784" customWidth="1"/>
    <col min="13334" max="13334" width="14.2395833333333" style="784" customWidth="1"/>
    <col min="13335" max="13336" width="7.64583333333333" style="784" customWidth="1"/>
    <col min="13337" max="13337" width="1.64583333333333" style="784" customWidth="1"/>
    <col min="13338" max="13338" width="25.7708333333333" style="784" customWidth="1"/>
    <col min="13339" max="13339" width="10.6354166666667" style="784" customWidth="1"/>
    <col min="13340" max="13340" width="19.625" style="784" customWidth="1"/>
    <col min="13341" max="13341" width="14.2395833333333" style="784" customWidth="1"/>
    <col min="13342" max="13342" width="8.6875" style="784" customWidth="1"/>
    <col min="13343" max="13343" width="13.3333333333333" style="784" customWidth="1"/>
    <col min="13344" max="13344" width="11.0833333333333" style="784" customWidth="1"/>
    <col min="13345" max="13345" width="8.84375" style="784"/>
    <col min="13346" max="13347" width="9.13541666666667" style="784" customWidth="1"/>
    <col min="13348" max="13348" width="2.39583333333333" style="784" customWidth="1"/>
    <col min="13349" max="13349" width="15.28125" style="784" customWidth="1"/>
    <col min="13350" max="13350" width="15.1354166666667" style="784" customWidth="1"/>
    <col min="13351" max="13351" width="20.2291666666667" style="784" customWidth="1"/>
    <col min="13352" max="13352" width="13.3333333333333" style="784" customWidth="1"/>
    <col min="13353" max="13353" width="10.0416666666667" style="784" customWidth="1"/>
    <col min="13354" max="13354" width="13.3333333333333" style="784" customWidth="1"/>
    <col min="13355" max="13569" width="8.84375" style="784"/>
    <col min="13570" max="13570" width="4.9375" style="784" customWidth="1"/>
    <col min="13571" max="13571" width="10.3333333333333" style="784" customWidth="1"/>
    <col min="13572" max="13573" width="10.9375" style="784" customWidth="1"/>
    <col min="13574" max="13574" width="20.53125" style="784" customWidth="1"/>
    <col min="13575" max="13575" width="7.04166666666667" style="784" customWidth="1"/>
    <col min="13576" max="13576" width="15.5833333333333" style="784" customWidth="1"/>
    <col min="13577" max="13577" width="17.6770833333333" style="784" customWidth="1"/>
    <col min="13578" max="13578" width="14.2395833333333" style="784" customWidth="1"/>
    <col min="13579" max="13579" width="15.1354166666667" style="784" customWidth="1"/>
    <col min="13580" max="13580" width="13.3333333333333" style="784" customWidth="1"/>
    <col min="13581" max="13581" width="15.1354166666667" style="784" customWidth="1"/>
    <col min="13582" max="13582" width="13.6354166666667" style="784" customWidth="1"/>
    <col min="13583" max="13583" width="13.9375" style="784" customWidth="1"/>
    <col min="13584" max="13584" width="16.3333333333333" style="784" customWidth="1"/>
    <col min="13585" max="13585" width="11.0833333333333" style="784" customWidth="1"/>
    <col min="13586" max="13586" width="9.29166666666667" style="784" customWidth="1"/>
    <col min="13587" max="13587" width="13.6354166666667" style="784" customWidth="1"/>
    <col min="13588" max="13588" width="6.89583333333333" style="784" customWidth="1"/>
    <col min="13589" max="13589" width="9.58333333333333" style="784" customWidth="1"/>
    <col min="13590" max="13590" width="14.2395833333333" style="784" customWidth="1"/>
    <col min="13591" max="13592" width="7.64583333333333" style="784" customWidth="1"/>
    <col min="13593" max="13593" width="1.64583333333333" style="784" customWidth="1"/>
    <col min="13594" max="13594" width="25.7708333333333" style="784" customWidth="1"/>
    <col min="13595" max="13595" width="10.6354166666667" style="784" customWidth="1"/>
    <col min="13596" max="13596" width="19.625" style="784" customWidth="1"/>
    <col min="13597" max="13597" width="14.2395833333333" style="784" customWidth="1"/>
    <col min="13598" max="13598" width="8.6875" style="784" customWidth="1"/>
    <col min="13599" max="13599" width="13.3333333333333" style="784" customWidth="1"/>
    <col min="13600" max="13600" width="11.0833333333333" style="784" customWidth="1"/>
    <col min="13601" max="13601" width="8.84375" style="784"/>
    <col min="13602" max="13603" width="9.13541666666667" style="784" customWidth="1"/>
    <col min="13604" max="13604" width="2.39583333333333" style="784" customWidth="1"/>
    <col min="13605" max="13605" width="15.28125" style="784" customWidth="1"/>
    <col min="13606" max="13606" width="15.1354166666667" style="784" customWidth="1"/>
    <col min="13607" max="13607" width="20.2291666666667" style="784" customWidth="1"/>
    <col min="13608" max="13608" width="13.3333333333333" style="784" customWidth="1"/>
    <col min="13609" max="13609" width="10.0416666666667" style="784" customWidth="1"/>
    <col min="13610" max="13610" width="13.3333333333333" style="784" customWidth="1"/>
    <col min="13611" max="13825" width="8.84375" style="784"/>
    <col min="13826" max="13826" width="4.9375" style="784" customWidth="1"/>
    <col min="13827" max="13827" width="10.3333333333333" style="784" customWidth="1"/>
    <col min="13828" max="13829" width="10.9375" style="784" customWidth="1"/>
    <col min="13830" max="13830" width="20.53125" style="784" customWidth="1"/>
    <col min="13831" max="13831" width="7.04166666666667" style="784" customWidth="1"/>
    <col min="13832" max="13832" width="15.5833333333333" style="784" customWidth="1"/>
    <col min="13833" max="13833" width="17.6770833333333" style="784" customWidth="1"/>
    <col min="13834" max="13834" width="14.2395833333333" style="784" customWidth="1"/>
    <col min="13835" max="13835" width="15.1354166666667" style="784" customWidth="1"/>
    <col min="13836" max="13836" width="13.3333333333333" style="784" customWidth="1"/>
    <col min="13837" max="13837" width="15.1354166666667" style="784" customWidth="1"/>
    <col min="13838" max="13838" width="13.6354166666667" style="784" customWidth="1"/>
    <col min="13839" max="13839" width="13.9375" style="784" customWidth="1"/>
    <col min="13840" max="13840" width="16.3333333333333" style="784" customWidth="1"/>
    <col min="13841" max="13841" width="11.0833333333333" style="784" customWidth="1"/>
    <col min="13842" max="13842" width="9.29166666666667" style="784" customWidth="1"/>
    <col min="13843" max="13843" width="13.6354166666667" style="784" customWidth="1"/>
    <col min="13844" max="13844" width="6.89583333333333" style="784" customWidth="1"/>
    <col min="13845" max="13845" width="9.58333333333333" style="784" customWidth="1"/>
    <col min="13846" max="13846" width="14.2395833333333" style="784" customWidth="1"/>
    <col min="13847" max="13848" width="7.64583333333333" style="784" customWidth="1"/>
    <col min="13849" max="13849" width="1.64583333333333" style="784" customWidth="1"/>
    <col min="13850" max="13850" width="25.7708333333333" style="784" customWidth="1"/>
    <col min="13851" max="13851" width="10.6354166666667" style="784" customWidth="1"/>
    <col min="13852" max="13852" width="19.625" style="784" customWidth="1"/>
    <col min="13853" max="13853" width="14.2395833333333" style="784" customWidth="1"/>
    <col min="13854" max="13854" width="8.6875" style="784" customWidth="1"/>
    <col min="13855" max="13855" width="13.3333333333333" style="784" customWidth="1"/>
    <col min="13856" max="13856" width="11.0833333333333" style="784" customWidth="1"/>
    <col min="13857" max="13857" width="8.84375" style="784"/>
    <col min="13858" max="13859" width="9.13541666666667" style="784" customWidth="1"/>
    <col min="13860" max="13860" width="2.39583333333333" style="784" customWidth="1"/>
    <col min="13861" max="13861" width="15.28125" style="784" customWidth="1"/>
    <col min="13862" max="13862" width="15.1354166666667" style="784" customWidth="1"/>
    <col min="13863" max="13863" width="20.2291666666667" style="784" customWidth="1"/>
    <col min="13864" max="13864" width="13.3333333333333" style="784" customWidth="1"/>
    <col min="13865" max="13865" width="10.0416666666667" style="784" customWidth="1"/>
    <col min="13866" max="13866" width="13.3333333333333" style="784" customWidth="1"/>
    <col min="13867" max="14081" width="8.84375" style="784"/>
    <col min="14082" max="14082" width="4.9375" style="784" customWidth="1"/>
    <col min="14083" max="14083" width="10.3333333333333" style="784" customWidth="1"/>
    <col min="14084" max="14085" width="10.9375" style="784" customWidth="1"/>
    <col min="14086" max="14086" width="20.53125" style="784" customWidth="1"/>
    <col min="14087" max="14087" width="7.04166666666667" style="784" customWidth="1"/>
    <col min="14088" max="14088" width="15.5833333333333" style="784" customWidth="1"/>
    <col min="14089" max="14089" width="17.6770833333333" style="784" customWidth="1"/>
    <col min="14090" max="14090" width="14.2395833333333" style="784" customWidth="1"/>
    <col min="14091" max="14091" width="15.1354166666667" style="784" customWidth="1"/>
    <col min="14092" max="14092" width="13.3333333333333" style="784" customWidth="1"/>
    <col min="14093" max="14093" width="15.1354166666667" style="784" customWidth="1"/>
    <col min="14094" max="14094" width="13.6354166666667" style="784" customWidth="1"/>
    <col min="14095" max="14095" width="13.9375" style="784" customWidth="1"/>
    <col min="14096" max="14096" width="16.3333333333333" style="784" customWidth="1"/>
    <col min="14097" max="14097" width="11.0833333333333" style="784" customWidth="1"/>
    <col min="14098" max="14098" width="9.29166666666667" style="784" customWidth="1"/>
    <col min="14099" max="14099" width="13.6354166666667" style="784" customWidth="1"/>
    <col min="14100" max="14100" width="6.89583333333333" style="784" customWidth="1"/>
    <col min="14101" max="14101" width="9.58333333333333" style="784" customWidth="1"/>
    <col min="14102" max="14102" width="14.2395833333333" style="784" customWidth="1"/>
    <col min="14103" max="14104" width="7.64583333333333" style="784" customWidth="1"/>
    <col min="14105" max="14105" width="1.64583333333333" style="784" customWidth="1"/>
    <col min="14106" max="14106" width="25.7708333333333" style="784" customWidth="1"/>
    <col min="14107" max="14107" width="10.6354166666667" style="784" customWidth="1"/>
    <col min="14108" max="14108" width="19.625" style="784" customWidth="1"/>
    <col min="14109" max="14109" width="14.2395833333333" style="784" customWidth="1"/>
    <col min="14110" max="14110" width="8.6875" style="784" customWidth="1"/>
    <col min="14111" max="14111" width="13.3333333333333" style="784" customWidth="1"/>
    <col min="14112" max="14112" width="11.0833333333333" style="784" customWidth="1"/>
    <col min="14113" max="14113" width="8.84375" style="784"/>
    <col min="14114" max="14115" width="9.13541666666667" style="784" customWidth="1"/>
    <col min="14116" max="14116" width="2.39583333333333" style="784" customWidth="1"/>
    <col min="14117" max="14117" width="15.28125" style="784" customWidth="1"/>
    <col min="14118" max="14118" width="15.1354166666667" style="784" customWidth="1"/>
    <col min="14119" max="14119" width="20.2291666666667" style="784" customWidth="1"/>
    <col min="14120" max="14120" width="13.3333333333333" style="784" customWidth="1"/>
    <col min="14121" max="14121" width="10.0416666666667" style="784" customWidth="1"/>
    <col min="14122" max="14122" width="13.3333333333333" style="784" customWidth="1"/>
    <col min="14123" max="14337" width="8.84375" style="784"/>
    <col min="14338" max="14338" width="4.9375" style="784" customWidth="1"/>
    <col min="14339" max="14339" width="10.3333333333333" style="784" customWidth="1"/>
    <col min="14340" max="14341" width="10.9375" style="784" customWidth="1"/>
    <col min="14342" max="14342" width="20.53125" style="784" customWidth="1"/>
    <col min="14343" max="14343" width="7.04166666666667" style="784" customWidth="1"/>
    <col min="14344" max="14344" width="15.5833333333333" style="784" customWidth="1"/>
    <col min="14345" max="14345" width="17.6770833333333" style="784" customWidth="1"/>
    <col min="14346" max="14346" width="14.2395833333333" style="784" customWidth="1"/>
    <col min="14347" max="14347" width="15.1354166666667" style="784" customWidth="1"/>
    <col min="14348" max="14348" width="13.3333333333333" style="784" customWidth="1"/>
    <col min="14349" max="14349" width="15.1354166666667" style="784" customWidth="1"/>
    <col min="14350" max="14350" width="13.6354166666667" style="784" customWidth="1"/>
    <col min="14351" max="14351" width="13.9375" style="784" customWidth="1"/>
    <col min="14352" max="14352" width="16.3333333333333" style="784" customWidth="1"/>
    <col min="14353" max="14353" width="11.0833333333333" style="784" customWidth="1"/>
    <col min="14354" max="14354" width="9.29166666666667" style="784" customWidth="1"/>
    <col min="14355" max="14355" width="13.6354166666667" style="784" customWidth="1"/>
    <col min="14356" max="14356" width="6.89583333333333" style="784" customWidth="1"/>
    <col min="14357" max="14357" width="9.58333333333333" style="784" customWidth="1"/>
    <col min="14358" max="14358" width="14.2395833333333" style="784" customWidth="1"/>
    <col min="14359" max="14360" width="7.64583333333333" style="784" customWidth="1"/>
    <col min="14361" max="14361" width="1.64583333333333" style="784" customWidth="1"/>
    <col min="14362" max="14362" width="25.7708333333333" style="784" customWidth="1"/>
    <col min="14363" max="14363" width="10.6354166666667" style="784" customWidth="1"/>
    <col min="14364" max="14364" width="19.625" style="784" customWidth="1"/>
    <col min="14365" max="14365" width="14.2395833333333" style="784" customWidth="1"/>
    <col min="14366" max="14366" width="8.6875" style="784" customWidth="1"/>
    <col min="14367" max="14367" width="13.3333333333333" style="784" customWidth="1"/>
    <col min="14368" max="14368" width="11.0833333333333" style="784" customWidth="1"/>
    <col min="14369" max="14369" width="8.84375" style="784"/>
    <col min="14370" max="14371" width="9.13541666666667" style="784" customWidth="1"/>
    <col min="14372" max="14372" width="2.39583333333333" style="784" customWidth="1"/>
    <col min="14373" max="14373" width="15.28125" style="784" customWidth="1"/>
    <col min="14374" max="14374" width="15.1354166666667" style="784" customWidth="1"/>
    <col min="14375" max="14375" width="20.2291666666667" style="784" customWidth="1"/>
    <col min="14376" max="14376" width="13.3333333333333" style="784" customWidth="1"/>
    <col min="14377" max="14377" width="10.0416666666667" style="784" customWidth="1"/>
    <col min="14378" max="14378" width="13.3333333333333" style="784" customWidth="1"/>
    <col min="14379" max="14593" width="8.84375" style="784"/>
    <col min="14594" max="14594" width="4.9375" style="784" customWidth="1"/>
    <col min="14595" max="14595" width="10.3333333333333" style="784" customWidth="1"/>
    <col min="14596" max="14597" width="10.9375" style="784" customWidth="1"/>
    <col min="14598" max="14598" width="20.53125" style="784" customWidth="1"/>
    <col min="14599" max="14599" width="7.04166666666667" style="784" customWidth="1"/>
    <col min="14600" max="14600" width="15.5833333333333" style="784" customWidth="1"/>
    <col min="14601" max="14601" width="17.6770833333333" style="784" customWidth="1"/>
    <col min="14602" max="14602" width="14.2395833333333" style="784" customWidth="1"/>
    <col min="14603" max="14603" width="15.1354166666667" style="784" customWidth="1"/>
    <col min="14604" max="14604" width="13.3333333333333" style="784" customWidth="1"/>
    <col min="14605" max="14605" width="15.1354166666667" style="784" customWidth="1"/>
    <col min="14606" max="14606" width="13.6354166666667" style="784" customWidth="1"/>
    <col min="14607" max="14607" width="13.9375" style="784" customWidth="1"/>
    <col min="14608" max="14608" width="16.3333333333333" style="784" customWidth="1"/>
    <col min="14609" max="14609" width="11.0833333333333" style="784" customWidth="1"/>
    <col min="14610" max="14610" width="9.29166666666667" style="784" customWidth="1"/>
    <col min="14611" max="14611" width="13.6354166666667" style="784" customWidth="1"/>
    <col min="14612" max="14612" width="6.89583333333333" style="784" customWidth="1"/>
    <col min="14613" max="14613" width="9.58333333333333" style="784" customWidth="1"/>
    <col min="14614" max="14614" width="14.2395833333333" style="784" customWidth="1"/>
    <col min="14615" max="14616" width="7.64583333333333" style="784" customWidth="1"/>
    <col min="14617" max="14617" width="1.64583333333333" style="784" customWidth="1"/>
    <col min="14618" max="14618" width="25.7708333333333" style="784" customWidth="1"/>
    <col min="14619" max="14619" width="10.6354166666667" style="784" customWidth="1"/>
    <col min="14620" max="14620" width="19.625" style="784" customWidth="1"/>
    <col min="14621" max="14621" width="14.2395833333333" style="784" customWidth="1"/>
    <col min="14622" max="14622" width="8.6875" style="784" customWidth="1"/>
    <col min="14623" max="14623" width="13.3333333333333" style="784" customWidth="1"/>
    <col min="14624" max="14624" width="11.0833333333333" style="784" customWidth="1"/>
    <col min="14625" max="14625" width="8.84375" style="784"/>
    <col min="14626" max="14627" width="9.13541666666667" style="784" customWidth="1"/>
    <col min="14628" max="14628" width="2.39583333333333" style="784" customWidth="1"/>
    <col min="14629" max="14629" width="15.28125" style="784" customWidth="1"/>
    <col min="14630" max="14630" width="15.1354166666667" style="784" customWidth="1"/>
    <col min="14631" max="14631" width="20.2291666666667" style="784" customWidth="1"/>
    <col min="14632" max="14632" width="13.3333333333333" style="784" customWidth="1"/>
    <col min="14633" max="14633" width="10.0416666666667" style="784" customWidth="1"/>
    <col min="14634" max="14634" width="13.3333333333333" style="784" customWidth="1"/>
    <col min="14635" max="14849" width="8.84375" style="784"/>
    <col min="14850" max="14850" width="4.9375" style="784" customWidth="1"/>
    <col min="14851" max="14851" width="10.3333333333333" style="784" customWidth="1"/>
    <col min="14852" max="14853" width="10.9375" style="784" customWidth="1"/>
    <col min="14854" max="14854" width="20.53125" style="784" customWidth="1"/>
    <col min="14855" max="14855" width="7.04166666666667" style="784" customWidth="1"/>
    <col min="14856" max="14856" width="15.5833333333333" style="784" customWidth="1"/>
    <col min="14857" max="14857" width="17.6770833333333" style="784" customWidth="1"/>
    <col min="14858" max="14858" width="14.2395833333333" style="784" customWidth="1"/>
    <col min="14859" max="14859" width="15.1354166666667" style="784" customWidth="1"/>
    <col min="14860" max="14860" width="13.3333333333333" style="784" customWidth="1"/>
    <col min="14861" max="14861" width="15.1354166666667" style="784" customWidth="1"/>
    <col min="14862" max="14862" width="13.6354166666667" style="784" customWidth="1"/>
    <col min="14863" max="14863" width="13.9375" style="784" customWidth="1"/>
    <col min="14864" max="14864" width="16.3333333333333" style="784" customWidth="1"/>
    <col min="14865" max="14865" width="11.0833333333333" style="784" customWidth="1"/>
    <col min="14866" max="14866" width="9.29166666666667" style="784" customWidth="1"/>
    <col min="14867" max="14867" width="13.6354166666667" style="784" customWidth="1"/>
    <col min="14868" max="14868" width="6.89583333333333" style="784" customWidth="1"/>
    <col min="14869" max="14869" width="9.58333333333333" style="784" customWidth="1"/>
    <col min="14870" max="14870" width="14.2395833333333" style="784" customWidth="1"/>
    <col min="14871" max="14872" width="7.64583333333333" style="784" customWidth="1"/>
    <col min="14873" max="14873" width="1.64583333333333" style="784" customWidth="1"/>
    <col min="14874" max="14874" width="25.7708333333333" style="784" customWidth="1"/>
    <col min="14875" max="14875" width="10.6354166666667" style="784" customWidth="1"/>
    <col min="14876" max="14876" width="19.625" style="784" customWidth="1"/>
    <col min="14877" max="14877" width="14.2395833333333" style="784" customWidth="1"/>
    <col min="14878" max="14878" width="8.6875" style="784" customWidth="1"/>
    <col min="14879" max="14879" width="13.3333333333333" style="784" customWidth="1"/>
    <col min="14880" max="14880" width="11.0833333333333" style="784" customWidth="1"/>
    <col min="14881" max="14881" width="8.84375" style="784"/>
    <col min="14882" max="14883" width="9.13541666666667" style="784" customWidth="1"/>
    <col min="14884" max="14884" width="2.39583333333333" style="784" customWidth="1"/>
    <col min="14885" max="14885" width="15.28125" style="784" customWidth="1"/>
    <col min="14886" max="14886" width="15.1354166666667" style="784" customWidth="1"/>
    <col min="14887" max="14887" width="20.2291666666667" style="784" customWidth="1"/>
    <col min="14888" max="14888" width="13.3333333333333" style="784" customWidth="1"/>
    <col min="14889" max="14889" width="10.0416666666667" style="784" customWidth="1"/>
    <col min="14890" max="14890" width="13.3333333333333" style="784" customWidth="1"/>
    <col min="14891" max="15105" width="8.84375" style="784"/>
    <col min="15106" max="15106" width="4.9375" style="784" customWidth="1"/>
    <col min="15107" max="15107" width="10.3333333333333" style="784" customWidth="1"/>
    <col min="15108" max="15109" width="10.9375" style="784" customWidth="1"/>
    <col min="15110" max="15110" width="20.53125" style="784" customWidth="1"/>
    <col min="15111" max="15111" width="7.04166666666667" style="784" customWidth="1"/>
    <col min="15112" max="15112" width="15.5833333333333" style="784" customWidth="1"/>
    <col min="15113" max="15113" width="17.6770833333333" style="784" customWidth="1"/>
    <col min="15114" max="15114" width="14.2395833333333" style="784" customWidth="1"/>
    <col min="15115" max="15115" width="15.1354166666667" style="784" customWidth="1"/>
    <col min="15116" max="15116" width="13.3333333333333" style="784" customWidth="1"/>
    <col min="15117" max="15117" width="15.1354166666667" style="784" customWidth="1"/>
    <col min="15118" max="15118" width="13.6354166666667" style="784" customWidth="1"/>
    <col min="15119" max="15119" width="13.9375" style="784" customWidth="1"/>
    <col min="15120" max="15120" width="16.3333333333333" style="784" customWidth="1"/>
    <col min="15121" max="15121" width="11.0833333333333" style="784" customWidth="1"/>
    <col min="15122" max="15122" width="9.29166666666667" style="784" customWidth="1"/>
    <col min="15123" max="15123" width="13.6354166666667" style="784" customWidth="1"/>
    <col min="15124" max="15124" width="6.89583333333333" style="784" customWidth="1"/>
    <col min="15125" max="15125" width="9.58333333333333" style="784" customWidth="1"/>
    <col min="15126" max="15126" width="14.2395833333333" style="784" customWidth="1"/>
    <col min="15127" max="15128" width="7.64583333333333" style="784" customWidth="1"/>
    <col min="15129" max="15129" width="1.64583333333333" style="784" customWidth="1"/>
    <col min="15130" max="15130" width="25.7708333333333" style="784" customWidth="1"/>
    <col min="15131" max="15131" width="10.6354166666667" style="784" customWidth="1"/>
    <col min="15132" max="15132" width="19.625" style="784" customWidth="1"/>
    <col min="15133" max="15133" width="14.2395833333333" style="784" customWidth="1"/>
    <col min="15134" max="15134" width="8.6875" style="784" customWidth="1"/>
    <col min="15135" max="15135" width="13.3333333333333" style="784" customWidth="1"/>
    <col min="15136" max="15136" width="11.0833333333333" style="784" customWidth="1"/>
    <col min="15137" max="15137" width="8.84375" style="784"/>
    <col min="15138" max="15139" width="9.13541666666667" style="784" customWidth="1"/>
    <col min="15140" max="15140" width="2.39583333333333" style="784" customWidth="1"/>
    <col min="15141" max="15141" width="15.28125" style="784" customWidth="1"/>
    <col min="15142" max="15142" width="15.1354166666667" style="784" customWidth="1"/>
    <col min="15143" max="15143" width="20.2291666666667" style="784" customWidth="1"/>
    <col min="15144" max="15144" width="13.3333333333333" style="784" customWidth="1"/>
    <col min="15145" max="15145" width="10.0416666666667" style="784" customWidth="1"/>
    <col min="15146" max="15146" width="13.3333333333333" style="784" customWidth="1"/>
    <col min="15147" max="15361" width="8.84375" style="784"/>
    <col min="15362" max="15362" width="4.9375" style="784" customWidth="1"/>
    <col min="15363" max="15363" width="10.3333333333333" style="784" customWidth="1"/>
    <col min="15364" max="15365" width="10.9375" style="784" customWidth="1"/>
    <col min="15366" max="15366" width="20.53125" style="784" customWidth="1"/>
    <col min="15367" max="15367" width="7.04166666666667" style="784" customWidth="1"/>
    <col min="15368" max="15368" width="15.5833333333333" style="784" customWidth="1"/>
    <col min="15369" max="15369" width="17.6770833333333" style="784" customWidth="1"/>
    <col min="15370" max="15370" width="14.2395833333333" style="784" customWidth="1"/>
    <col min="15371" max="15371" width="15.1354166666667" style="784" customWidth="1"/>
    <col min="15372" max="15372" width="13.3333333333333" style="784" customWidth="1"/>
    <col min="15373" max="15373" width="15.1354166666667" style="784" customWidth="1"/>
    <col min="15374" max="15374" width="13.6354166666667" style="784" customWidth="1"/>
    <col min="15375" max="15375" width="13.9375" style="784" customWidth="1"/>
    <col min="15376" max="15376" width="16.3333333333333" style="784" customWidth="1"/>
    <col min="15377" max="15377" width="11.0833333333333" style="784" customWidth="1"/>
    <col min="15378" max="15378" width="9.29166666666667" style="784" customWidth="1"/>
    <col min="15379" max="15379" width="13.6354166666667" style="784" customWidth="1"/>
    <col min="15380" max="15380" width="6.89583333333333" style="784" customWidth="1"/>
    <col min="15381" max="15381" width="9.58333333333333" style="784" customWidth="1"/>
    <col min="15382" max="15382" width="14.2395833333333" style="784" customWidth="1"/>
    <col min="15383" max="15384" width="7.64583333333333" style="784" customWidth="1"/>
    <col min="15385" max="15385" width="1.64583333333333" style="784" customWidth="1"/>
    <col min="15386" max="15386" width="25.7708333333333" style="784" customWidth="1"/>
    <col min="15387" max="15387" width="10.6354166666667" style="784" customWidth="1"/>
    <col min="15388" max="15388" width="19.625" style="784" customWidth="1"/>
    <col min="15389" max="15389" width="14.2395833333333" style="784" customWidth="1"/>
    <col min="15390" max="15390" width="8.6875" style="784" customWidth="1"/>
    <col min="15391" max="15391" width="13.3333333333333" style="784" customWidth="1"/>
    <col min="15392" max="15392" width="11.0833333333333" style="784" customWidth="1"/>
    <col min="15393" max="15393" width="8.84375" style="784"/>
    <col min="15394" max="15395" width="9.13541666666667" style="784" customWidth="1"/>
    <col min="15396" max="15396" width="2.39583333333333" style="784" customWidth="1"/>
    <col min="15397" max="15397" width="15.28125" style="784" customWidth="1"/>
    <col min="15398" max="15398" width="15.1354166666667" style="784" customWidth="1"/>
    <col min="15399" max="15399" width="20.2291666666667" style="784" customWidth="1"/>
    <col min="15400" max="15400" width="13.3333333333333" style="784" customWidth="1"/>
    <col min="15401" max="15401" width="10.0416666666667" style="784" customWidth="1"/>
    <col min="15402" max="15402" width="13.3333333333333" style="784" customWidth="1"/>
    <col min="15403" max="15617" width="8.84375" style="784"/>
    <col min="15618" max="15618" width="4.9375" style="784" customWidth="1"/>
    <col min="15619" max="15619" width="10.3333333333333" style="784" customWidth="1"/>
    <col min="15620" max="15621" width="10.9375" style="784" customWidth="1"/>
    <col min="15622" max="15622" width="20.53125" style="784" customWidth="1"/>
    <col min="15623" max="15623" width="7.04166666666667" style="784" customWidth="1"/>
    <col min="15624" max="15624" width="15.5833333333333" style="784" customWidth="1"/>
    <col min="15625" max="15625" width="17.6770833333333" style="784" customWidth="1"/>
    <col min="15626" max="15626" width="14.2395833333333" style="784" customWidth="1"/>
    <col min="15627" max="15627" width="15.1354166666667" style="784" customWidth="1"/>
    <col min="15628" max="15628" width="13.3333333333333" style="784" customWidth="1"/>
    <col min="15629" max="15629" width="15.1354166666667" style="784" customWidth="1"/>
    <col min="15630" max="15630" width="13.6354166666667" style="784" customWidth="1"/>
    <col min="15631" max="15631" width="13.9375" style="784" customWidth="1"/>
    <col min="15632" max="15632" width="16.3333333333333" style="784" customWidth="1"/>
    <col min="15633" max="15633" width="11.0833333333333" style="784" customWidth="1"/>
    <col min="15634" max="15634" width="9.29166666666667" style="784" customWidth="1"/>
    <col min="15635" max="15635" width="13.6354166666667" style="784" customWidth="1"/>
    <col min="15636" max="15636" width="6.89583333333333" style="784" customWidth="1"/>
    <col min="15637" max="15637" width="9.58333333333333" style="784" customWidth="1"/>
    <col min="15638" max="15638" width="14.2395833333333" style="784" customWidth="1"/>
    <col min="15639" max="15640" width="7.64583333333333" style="784" customWidth="1"/>
    <col min="15641" max="15641" width="1.64583333333333" style="784" customWidth="1"/>
    <col min="15642" max="15642" width="25.7708333333333" style="784" customWidth="1"/>
    <col min="15643" max="15643" width="10.6354166666667" style="784" customWidth="1"/>
    <col min="15644" max="15644" width="19.625" style="784" customWidth="1"/>
    <col min="15645" max="15645" width="14.2395833333333" style="784" customWidth="1"/>
    <col min="15646" max="15646" width="8.6875" style="784" customWidth="1"/>
    <col min="15647" max="15647" width="13.3333333333333" style="784" customWidth="1"/>
    <col min="15648" max="15648" width="11.0833333333333" style="784" customWidth="1"/>
    <col min="15649" max="15649" width="8.84375" style="784"/>
    <col min="15650" max="15651" width="9.13541666666667" style="784" customWidth="1"/>
    <col min="15652" max="15652" width="2.39583333333333" style="784" customWidth="1"/>
    <col min="15653" max="15653" width="15.28125" style="784" customWidth="1"/>
    <col min="15654" max="15654" width="15.1354166666667" style="784" customWidth="1"/>
    <col min="15655" max="15655" width="20.2291666666667" style="784" customWidth="1"/>
    <col min="15656" max="15656" width="13.3333333333333" style="784" customWidth="1"/>
    <col min="15657" max="15657" width="10.0416666666667" style="784" customWidth="1"/>
    <col min="15658" max="15658" width="13.3333333333333" style="784" customWidth="1"/>
    <col min="15659" max="15873" width="8.84375" style="784"/>
    <col min="15874" max="15874" width="4.9375" style="784" customWidth="1"/>
    <col min="15875" max="15875" width="10.3333333333333" style="784" customWidth="1"/>
    <col min="15876" max="15877" width="10.9375" style="784" customWidth="1"/>
    <col min="15878" max="15878" width="20.53125" style="784" customWidth="1"/>
    <col min="15879" max="15879" width="7.04166666666667" style="784" customWidth="1"/>
    <col min="15880" max="15880" width="15.5833333333333" style="784" customWidth="1"/>
    <col min="15881" max="15881" width="17.6770833333333" style="784" customWidth="1"/>
    <col min="15882" max="15882" width="14.2395833333333" style="784" customWidth="1"/>
    <col min="15883" max="15883" width="15.1354166666667" style="784" customWidth="1"/>
    <col min="15884" max="15884" width="13.3333333333333" style="784" customWidth="1"/>
    <col min="15885" max="15885" width="15.1354166666667" style="784" customWidth="1"/>
    <col min="15886" max="15886" width="13.6354166666667" style="784" customWidth="1"/>
    <col min="15887" max="15887" width="13.9375" style="784" customWidth="1"/>
    <col min="15888" max="15888" width="16.3333333333333" style="784" customWidth="1"/>
    <col min="15889" max="15889" width="11.0833333333333" style="784" customWidth="1"/>
    <col min="15890" max="15890" width="9.29166666666667" style="784" customWidth="1"/>
    <col min="15891" max="15891" width="13.6354166666667" style="784" customWidth="1"/>
    <col min="15892" max="15892" width="6.89583333333333" style="784" customWidth="1"/>
    <col min="15893" max="15893" width="9.58333333333333" style="784" customWidth="1"/>
    <col min="15894" max="15894" width="14.2395833333333" style="784" customWidth="1"/>
    <col min="15895" max="15896" width="7.64583333333333" style="784" customWidth="1"/>
    <col min="15897" max="15897" width="1.64583333333333" style="784" customWidth="1"/>
    <col min="15898" max="15898" width="25.7708333333333" style="784" customWidth="1"/>
    <col min="15899" max="15899" width="10.6354166666667" style="784" customWidth="1"/>
    <col min="15900" max="15900" width="19.625" style="784" customWidth="1"/>
    <col min="15901" max="15901" width="14.2395833333333" style="784" customWidth="1"/>
    <col min="15902" max="15902" width="8.6875" style="784" customWidth="1"/>
    <col min="15903" max="15903" width="13.3333333333333" style="784" customWidth="1"/>
    <col min="15904" max="15904" width="11.0833333333333" style="784" customWidth="1"/>
    <col min="15905" max="15905" width="8.84375" style="784"/>
    <col min="15906" max="15907" width="9.13541666666667" style="784" customWidth="1"/>
    <col min="15908" max="15908" width="2.39583333333333" style="784" customWidth="1"/>
    <col min="15909" max="15909" width="15.28125" style="784" customWidth="1"/>
    <col min="15910" max="15910" width="15.1354166666667" style="784" customWidth="1"/>
    <col min="15911" max="15911" width="20.2291666666667" style="784" customWidth="1"/>
    <col min="15912" max="15912" width="13.3333333333333" style="784" customWidth="1"/>
    <col min="15913" max="15913" width="10.0416666666667" style="784" customWidth="1"/>
    <col min="15914" max="15914" width="13.3333333333333" style="784" customWidth="1"/>
    <col min="15915" max="16129" width="8.84375" style="784"/>
    <col min="16130" max="16130" width="4.9375" style="784" customWidth="1"/>
    <col min="16131" max="16131" width="10.3333333333333" style="784" customWidth="1"/>
    <col min="16132" max="16133" width="10.9375" style="784" customWidth="1"/>
    <col min="16134" max="16134" width="20.53125" style="784" customWidth="1"/>
    <col min="16135" max="16135" width="7.04166666666667" style="784" customWidth="1"/>
    <col min="16136" max="16136" width="15.5833333333333" style="784" customWidth="1"/>
    <col min="16137" max="16137" width="17.6770833333333" style="784" customWidth="1"/>
    <col min="16138" max="16138" width="14.2395833333333" style="784" customWidth="1"/>
    <col min="16139" max="16139" width="15.1354166666667" style="784" customWidth="1"/>
    <col min="16140" max="16140" width="13.3333333333333" style="784" customWidth="1"/>
    <col min="16141" max="16141" width="15.1354166666667" style="784" customWidth="1"/>
    <col min="16142" max="16142" width="13.6354166666667" style="784" customWidth="1"/>
    <col min="16143" max="16143" width="13.9375" style="784" customWidth="1"/>
    <col min="16144" max="16144" width="16.3333333333333" style="784" customWidth="1"/>
    <col min="16145" max="16145" width="11.0833333333333" style="784" customWidth="1"/>
    <col min="16146" max="16146" width="9.29166666666667" style="784" customWidth="1"/>
    <col min="16147" max="16147" width="13.6354166666667" style="784" customWidth="1"/>
    <col min="16148" max="16148" width="6.89583333333333" style="784" customWidth="1"/>
    <col min="16149" max="16149" width="9.58333333333333" style="784" customWidth="1"/>
    <col min="16150" max="16150" width="14.2395833333333" style="784" customWidth="1"/>
    <col min="16151" max="16152" width="7.64583333333333" style="784" customWidth="1"/>
    <col min="16153" max="16153" width="1.64583333333333" style="784" customWidth="1"/>
    <col min="16154" max="16154" width="25.7708333333333" style="784" customWidth="1"/>
    <col min="16155" max="16155" width="10.6354166666667" style="784" customWidth="1"/>
    <col min="16156" max="16156" width="19.625" style="784" customWidth="1"/>
    <col min="16157" max="16157" width="14.2395833333333" style="784" customWidth="1"/>
    <col min="16158" max="16158" width="8.6875" style="784" customWidth="1"/>
    <col min="16159" max="16159" width="13.3333333333333" style="784" customWidth="1"/>
    <col min="16160" max="16160" width="11.0833333333333" style="784" customWidth="1"/>
    <col min="16161" max="16161" width="8.84375" style="784"/>
    <col min="16162" max="16163" width="9.13541666666667" style="784" customWidth="1"/>
    <col min="16164" max="16164" width="2.39583333333333" style="784" customWidth="1"/>
    <col min="16165" max="16165" width="15.28125" style="784" customWidth="1"/>
    <col min="16166" max="16166" width="15.1354166666667" style="784" customWidth="1"/>
    <col min="16167" max="16167" width="20.2291666666667" style="784" customWidth="1"/>
    <col min="16168" max="16168" width="13.3333333333333" style="784" customWidth="1"/>
    <col min="16169" max="16169" width="10.0416666666667" style="784" customWidth="1"/>
    <col min="16170" max="16170" width="13.3333333333333" style="784" customWidth="1"/>
    <col min="16171" max="16384" width="8.84375" style="784"/>
  </cols>
  <sheetData>
    <row r="2" ht="15.6" spans="2:3">
      <c r="B2" s="782" t="s">
        <v>11765</v>
      </c>
      <c r="C2" s="791"/>
    </row>
    <row r="3" ht="15.6" spans="2:3">
      <c r="B3" s="792" t="s">
        <v>13237</v>
      </c>
      <c r="C3" s="791"/>
    </row>
    <row r="4" ht="15.6" spans="2:3">
      <c r="B4" s="782" t="s">
        <v>13068</v>
      </c>
      <c r="C4" s="791"/>
    </row>
    <row r="5" s="782" customFormat="1" ht="15.6" spans="3:35">
      <c r="C5" s="791"/>
      <c r="D5" s="793"/>
      <c r="F5" s="791"/>
      <c r="G5" s="791"/>
      <c r="H5" s="794"/>
      <c r="I5" s="794"/>
      <c r="J5" s="794"/>
      <c r="K5" s="794"/>
      <c r="L5" s="817"/>
      <c r="M5" s="794"/>
      <c r="N5" s="794"/>
      <c r="O5" s="818"/>
      <c r="P5" s="819">
        <v>55026550</v>
      </c>
      <c r="R5" s="819"/>
      <c r="S5" s="819"/>
      <c r="T5" s="819"/>
      <c r="U5" s="819"/>
      <c r="V5" s="839"/>
      <c r="X5" s="793"/>
      <c r="Z5" s="791"/>
      <c r="AA5" s="793"/>
      <c r="AB5" s="863"/>
      <c r="AF5" s="793"/>
      <c r="AH5" s="882"/>
      <c r="AI5" s="882"/>
    </row>
    <row r="6" s="782" customFormat="1" ht="15.6" spans="3:35">
      <c r="C6" s="791"/>
      <c r="D6" s="793"/>
      <c r="F6" s="791"/>
      <c r="G6" s="791"/>
      <c r="H6" s="794"/>
      <c r="I6" s="794"/>
      <c r="J6" s="794"/>
      <c r="K6" s="794"/>
      <c r="L6" s="794"/>
      <c r="M6" s="794"/>
      <c r="N6" s="794"/>
      <c r="O6" s="820">
        <f>O180</f>
        <v>142905346</v>
      </c>
      <c r="P6" s="819"/>
      <c r="R6" s="819"/>
      <c r="S6" s="819"/>
      <c r="T6" s="819"/>
      <c r="U6" s="819"/>
      <c r="V6" s="839"/>
      <c r="X6" s="793"/>
      <c r="Z6" s="864" t="s">
        <v>1431</v>
      </c>
      <c r="AA6" s="864"/>
      <c r="AB6" s="865"/>
      <c r="AC6" s="864"/>
      <c r="AD6" s="864"/>
      <c r="AE6" s="864"/>
      <c r="AF6" s="864"/>
      <c r="AH6" s="882"/>
      <c r="AI6" s="882"/>
    </row>
    <row r="7" s="783" customFormat="1" ht="15" customHeight="1" spans="2:40">
      <c r="B7" s="795" t="s">
        <v>26</v>
      </c>
      <c r="C7" s="796" t="s">
        <v>13069</v>
      </c>
      <c r="D7" s="796"/>
      <c r="E7" s="795" t="s">
        <v>13070</v>
      </c>
      <c r="F7" s="795" t="s">
        <v>12807</v>
      </c>
      <c r="G7" s="796" t="s">
        <v>13071</v>
      </c>
      <c r="H7" s="797" t="s">
        <v>1207</v>
      </c>
      <c r="I7" s="797"/>
      <c r="J7" s="821" t="s">
        <v>13072</v>
      </c>
      <c r="K7" s="822"/>
      <c r="L7" s="823"/>
      <c r="M7" s="824" t="s">
        <v>13073</v>
      </c>
      <c r="N7" s="825" t="s">
        <v>13028</v>
      </c>
      <c r="O7" s="826"/>
      <c r="P7" s="824" t="s">
        <v>13074</v>
      </c>
      <c r="Q7" s="796" t="s">
        <v>11483</v>
      </c>
      <c r="R7" s="840" t="s">
        <v>13075</v>
      </c>
      <c r="S7" s="841"/>
      <c r="T7" s="842"/>
      <c r="U7" s="842" t="s">
        <v>13076</v>
      </c>
      <c r="V7" s="843"/>
      <c r="W7" s="796" t="s">
        <v>13077</v>
      </c>
      <c r="X7" s="796"/>
      <c r="Z7" s="866" t="s">
        <v>12800</v>
      </c>
      <c r="AA7" s="867"/>
      <c r="AB7" s="868"/>
      <c r="AC7" s="869" t="s">
        <v>13078</v>
      </c>
      <c r="AD7" s="869"/>
      <c r="AE7" s="870" t="s">
        <v>13079</v>
      </c>
      <c r="AF7" s="871"/>
      <c r="AG7" s="883" t="s">
        <v>10106</v>
      </c>
      <c r="AH7" s="883"/>
      <c r="AI7" s="883"/>
      <c r="AK7" s="884" t="s">
        <v>13080</v>
      </c>
      <c r="AL7" s="884"/>
      <c r="AM7" s="884" t="s">
        <v>13081</v>
      </c>
      <c r="AN7" s="885" t="s">
        <v>13082</v>
      </c>
    </row>
    <row r="8" s="783" customFormat="1" spans="2:40">
      <c r="B8" s="798"/>
      <c r="C8" s="795" t="s">
        <v>13083</v>
      </c>
      <c r="D8" s="799" t="s">
        <v>11483</v>
      </c>
      <c r="E8" s="798"/>
      <c r="F8" s="798"/>
      <c r="G8" s="795" t="s">
        <v>13084</v>
      </c>
      <c r="H8" s="800" t="s">
        <v>11913</v>
      </c>
      <c r="I8" s="800" t="s">
        <v>12706</v>
      </c>
      <c r="J8" s="800" t="s">
        <v>13085</v>
      </c>
      <c r="K8" s="800" t="s">
        <v>13086</v>
      </c>
      <c r="L8" s="800" t="s">
        <v>13087</v>
      </c>
      <c r="M8" s="827" t="s">
        <v>13088</v>
      </c>
      <c r="N8" s="828" t="s">
        <v>11483</v>
      </c>
      <c r="O8" s="824" t="s">
        <v>151</v>
      </c>
      <c r="P8" s="827" t="s">
        <v>13089</v>
      </c>
      <c r="Q8" s="795" t="s">
        <v>12751</v>
      </c>
      <c r="R8" s="827" t="s">
        <v>13090</v>
      </c>
      <c r="S8" s="827" t="s">
        <v>13091</v>
      </c>
      <c r="T8" s="827" t="s">
        <v>11921</v>
      </c>
      <c r="U8" s="827" t="s">
        <v>13092</v>
      </c>
      <c r="V8" s="844" t="s">
        <v>13093</v>
      </c>
      <c r="W8" s="795" t="s">
        <v>13083</v>
      </c>
      <c r="X8" s="799" t="s">
        <v>11483</v>
      </c>
      <c r="Z8" s="872" t="s">
        <v>13094</v>
      </c>
      <c r="AA8" s="873" t="s">
        <v>11483</v>
      </c>
      <c r="AB8" s="874" t="s">
        <v>1207</v>
      </c>
      <c r="AC8" s="875" t="s">
        <v>13095</v>
      </c>
      <c r="AD8" s="875" t="s">
        <v>13096</v>
      </c>
      <c r="AE8" s="876" t="s">
        <v>12645</v>
      </c>
      <c r="AF8" s="877" t="s">
        <v>13096</v>
      </c>
      <c r="AG8" s="886" t="s">
        <v>13097</v>
      </c>
      <c r="AH8" s="886" t="s">
        <v>13098</v>
      </c>
      <c r="AI8" s="886" t="s">
        <v>13099</v>
      </c>
      <c r="AK8" s="887" t="s">
        <v>13100</v>
      </c>
      <c r="AL8" s="887" t="s">
        <v>13101</v>
      </c>
      <c r="AM8" s="887"/>
      <c r="AN8" s="888"/>
    </row>
    <row r="9" s="783" customFormat="1" spans="2:40">
      <c r="B9" s="801"/>
      <c r="C9" s="801"/>
      <c r="D9" s="802"/>
      <c r="E9" s="801"/>
      <c r="F9" s="801"/>
      <c r="G9" s="801"/>
      <c r="H9" s="803"/>
      <c r="I9" s="803"/>
      <c r="J9" s="803"/>
      <c r="K9" s="803"/>
      <c r="L9" s="803"/>
      <c r="M9" s="803"/>
      <c r="N9" s="803"/>
      <c r="O9" s="803"/>
      <c r="P9" s="829"/>
      <c r="Q9" s="801"/>
      <c r="R9" s="829"/>
      <c r="S9" s="829"/>
      <c r="T9" s="829"/>
      <c r="U9" s="829"/>
      <c r="V9" s="845"/>
      <c r="W9" s="801"/>
      <c r="X9" s="802"/>
      <c r="Z9" s="801"/>
      <c r="AA9" s="802"/>
      <c r="AB9" s="878"/>
      <c r="AC9" s="801"/>
      <c r="AD9" s="801"/>
      <c r="AE9" s="801"/>
      <c r="AF9" s="802"/>
      <c r="AG9" s="801"/>
      <c r="AH9" s="889"/>
      <c r="AI9" s="890"/>
      <c r="AK9" s="803"/>
      <c r="AL9" s="803"/>
      <c r="AM9" s="803"/>
      <c r="AN9" s="891"/>
    </row>
    <row r="10" s="783" customFormat="1" ht="18.75" hidden="1" customHeight="1" spans="2:40">
      <c r="B10" s="804" t="s">
        <v>13238</v>
      </c>
      <c r="C10" s="805"/>
      <c r="D10" s="806"/>
      <c r="E10" s="807"/>
      <c r="F10" s="808"/>
      <c r="G10" s="808"/>
      <c r="H10" s="809"/>
      <c r="I10" s="809"/>
      <c r="J10" s="809"/>
      <c r="K10" s="830"/>
      <c r="L10" s="830"/>
      <c r="M10" s="830"/>
      <c r="N10" s="830"/>
      <c r="O10" s="830"/>
      <c r="P10" s="831">
        <v>0</v>
      </c>
      <c r="Q10" s="846"/>
      <c r="R10" s="847"/>
      <c r="S10" s="847"/>
      <c r="T10" s="847"/>
      <c r="U10" s="848"/>
      <c r="V10" s="849"/>
      <c r="W10" s="850"/>
      <c r="X10" s="851"/>
      <c r="Z10" s="850"/>
      <c r="AA10" s="851"/>
      <c r="AB10" s="851"/>
      <c r="AC10" s="879"/>
      <c r="AD10" s="879"/>
      <c r="AE10" s="879"/>
      <c r="AF10" s="879"/>
      <c r="AG10" s="850"/>
      <c r="AH10" s="892"/>
      <c r="AI10" s="893"/>
      <c r="AK10" s="809"/>
      <c r="AL10" s="809"/>
      <c r="AM10" s="809"/>
      <c r="AN10" s="894"/>
    </row>
    <row r="11" s="783" customFormat="1" ht="18.75" customHeight="1" spans="2:40">
      <c r="B11" s="810">
        <v>1</v>
      </c>
      <c r="C11" s="811" t="s">
        <v>13239</v>
      </c>
      <c r="D11" s="812">
        <v>44201</v>
      </c>
      <c r="E11" s="813" t="s">
        <v>13006</v>
      </c>
      <c r="F11" s="811" t="s">
        <v>13119</v>
      </c>
      <c r="G11" s="811" t="s">
        <v>13105</v>
      </c>
      <c r="H11" s="814"/>
      <c r="I11" s="814">
        <v>53000000</v>
      </c>
      <c r="J11" s="814"/>
      <c r="K11" s="814">
        <v>5300000</v>
      </c>
      <c r="L11" s="814"/>
      <c r="M11" s="832">
        <f t="shared" ref="M11:M76" si="0">+P10-J11+K11</f>
        <v>5300000</v>
      </c>
      <c r="N11" s="833"/>
      <c r="O11" s="832"/>
      <c r="P11" s="832">
        <f t="shared" ref="P11:P76" si="1">+M11-O11</f>
        <v>5300000</v>
      </c>
      <c r="Q11" s="852"/>
      <c r="R11" s="853">
        <v>44197</v>
      </c>
      <c r="S11" s="854"/>
      <c r="T11" s="854"/>
      <c r="U11" s="855"/>
      <c r="V11" s="856"/>
      <c r="W11" s="811"/>
      <c r="X11" s="812"/>
      <c r="Y11" s="784"/>
      <c r="Z11" s="850"/>
      <c r="AA11" s="851"/>
      <c r="AB11" s="851"/>
      <c r="AC11" s="880"/>
      <c r="AD11" s="880"/>
      <c r="AE11" s="880"/>
      <c r="AF11" s="880"/>
      <c r="AG11" s="850"/>
      <c r="AH11" s="892"/>
      <c r="AI11" s="893"/>
      <c r="AJ11" s="784"/>
      <c r="AK11" s="814">
        <f t="shared" ref="AK11:AL29" si="2">IF(K11&gt;0,K11/10%,0)</f>
        <v>53000000</v>
      </c>
      <c r="AL11" s="814">
        <f t="shared" si="2"/>
        <v>0</v>
      </c>
      <c r="AM11" s="814">
        <f t="shared" ref="AM11:AM76" si="3">IF(J11&gt;0,J11/10%,0)</f>
        <v>0</v>
      </c>
      <c r="AN11" s="895">
        <f t="shared" ref="AN11:AN76" si="4">SUM(AK11:AM11)-SUM(H11,I11)</f>
        <v>0</v>
      </c>
    </row>
    <row r="12" s="783" customFormat="1" ht="15" customHeight="1" spans="2:40">
      <c r="B12" s="810">
        <v>2</v>
      </c>
      <c r="C12" s="811" t="s">
        <v>13240</v>
      </c>
      <c r="D12" s="812">
        <v>44202</v>
      </c>
      <c r="E12" s="815" t="s">
        <v>13006</v>
      </c>
      <c r="F12" s="811" t="s">
        <v>13119</v>
      </c>
      <c r="G12" s="811" t="s">
        <v>13105</v>
      </c>
      <c r="H12" s="816"/>
      <c r="I12" s="816">
        <v>26300000</v>
      </c>
      <c r="J12" s="814"/>
      <c r="K12" s="816">
        <v>2630000</v>
      </c>
      <c r="L12" s="816"/>
      <c r="M12" s="832">
        <f t="shared" si="0"/>
        <v>7930000</v>
      </c>
      <c r="N12" s="833"/>
      <c r="O12" s="832"/>
      <c r="P12" s="832">
        <f t="shared" si="1"/>
        <v>7930000</v>
      </c>
      <c r="Q12" s="857"/>
      <c r="R12" s="853">
        <v>44197</v>
      </c>
      <c r="S12" s="858"/>
      <c r="T12" s="858"/>
      <c r="U12" s="855"/>
      <c r="V12" s="856"/>
      <c r="W12" s="811"/>
      <c r="X12" s="812"/>
      <c r="Z12" s="850"/>
      <c r="AA12" s="851"/>
      <c r="AB12" s="880"/>
      <c r="AC12" s="880"/>
      <c r="AD12" s="880"/>
      <c r="AE12" s="880"/>
      <c r="AF12" s="880"/>
      <c r="AG12" s="850"/>
      <c r="AH12" s="892"/>
      <c r="AI12" s="893"/>
      <c r="AK12" s="814">
        <f t="shared" si="2"/>
        <v>26300000</v>
      </c>
      <c r="AL12" s="814">
        <f t="shared" si="2"/>
        <v>0</v>
      </c>
      <c r="AM12" s="814">
        <f t="shared" si="3"/>
        <v>0</v>
      </c>
      <c r="AN12" s="895">
        <f t="shared" si="4"/>
        <v>0</v>
      </c>
    </row>
    <row r="13" s="783" customFormat="1" ht="15" customHeight="1" spans="2:40">
      <c r="B13" s="810">
        <v>3</v>
      </c>
      <c r="C13" s="811" t="s">
        <v>13241</v>
      </c>
      <c r="D13" s="812">
        <v>44202</v>
      </c>
      <c r="E13" s="815" t="s">
        <v>13006</v>
      </c>
      <c r="F13" s="811" t="s">
        <v>13119</v>
      </c>
      <c r="G13" s="811" t="s">
        <v>13105</v>
      </c>
      <c r="H13" s="816"/>
      <c r="I13" s="816">
        <v>8000000</v>
      </c>
      <c r="J13" s="814"/>
      <c r="K13" s="816">
        <v>800000</v>
      </c>
      <c r="L13" s="816"/>
      <c r="M13" s="832">
        <f t="shared" si="0"/>
        <v>8730000</v>
      </c>
      <c r="N13" s="833"/>
      <c r="O13" s="832"/>
      <c r="P13" s="832">
        <f t="shared" si="1"/>
        <v>8730000</v>
      </c>
      <c r="Q13" s="859"/>
      <c r="R13" s="853">
        <v>44197</v>
      </c>
      <c r="S13" s="858"/>
      <c r="T13" s="858"/>
      <c r="U13" s="855"/>
      <c r="V13" s="856"/>
      <c r="W13" s="811"/>
      <c r="X13" s="812"/>
      <c r="Z13" s="850"/>
      <c r="AA13" s="851"/>
      <c r="AB13" s="814"/>
      <c r="AC13" s="880"/>
      <c r="AD13" s="880"/>
      <c r="AE13" s="880"/>
      <c r="AF13" s="880"/>
      <c r="AG13" s="850"/>
      <c r="AH13" s="892"/>
      <c r="AI13" s="893"/>
      <c r="AK13" s="814">
        <f t="shared" si="2"/>
        <v>8000000</v>
      </c>
      <c r="AL13" s="814">
        <f t="shared" si="2"/>
        <v>0</v>
      </c>
      <c r="AM13" s="814">
        <f t="shared" si="3"/>
        <v>0</v>
      </c>
      <c r="AN13" s="895">
        <f t="shared" si="4"/>
        <v>0</v>
      </c>
    </row>
    <row r="14" s="783" customFormat="1" ht="15" customHeight="1" spans="2:40">
      <c r="B14" s="810">
        <v>4</v>
      </c>
      <c r="C14" s="811" t="s">
        <v>13242</v>
      </c>
      <c r="D14" s="812">
        <v>44207</v>
      </c>
      <c r="E14" s="815" t="s">
        <v>1479</v>
      </c>
      <c r="F14" s="811" t="s">
        <v>13104</v>
      </c>
      <c r="G14" s="811" t="s">
        <v>13105</v>
      </c>
      <c r="H14" s="816"/>
      <c r="I14" s="816">
        <v>30400000</v>
      </c>
      <c r="J14" s="814"/>
      <c r="K14" s="816">
        <v>0</v>
      </c>
      <c r="L14" s="816">
        <v>3040000</v>
      </c>
      <c r="M14" s="832">
        <f t="shared" si="0"/>
        <v>8730000</v>
      </c>
      <c r="N14" s="833"/>
      <c r="O14" s="832"/>
      <c r="P14" s="832">
        <f t="shared" si="1"/>
        <v>8730000</v>
      </c>
      <c r="Q14" s="860"/>
      <c r="R14" s="853">
        <v>44197</v>
      </c>
      <c r="S14" s="858"/>
      <c r="T14" s="858"/>
      <c r="U14" s="855"/>
      <c r="V14" s="856"/>
      <c r="W14" s="811"/>
      <c r="X14" s="812"/>
      <c r="Z14" s="850"/>
      <c r="AA14" s="851"/>
      <c r="AB14" s="880"/>
      <c r="AC14" s="880"/>
      <c r="AD14" s="880"/>
      <c r="AE14" s="880"/>
      <c r="AF14" s="880"/>
      <c r="AG14" s="850"/>
      <c r="AH14" s="892"/>
      <c r="AI14" s="893"/>
      <c r="AK14" s="814">
        <f t="shared" si="2"/>
        <v>0</v>
      </c>
      <c r="AL14" s="814">
        <f t="shared" si="2"/>
        <v>30400000</v>
      </c>
      <c r="AM14" s="814">
        <f t="shared" si="3"/>
        <v>0</v>
      </c>
      <c r="AN14" s="895">
        <f t="shared" si="4"/>
        <v>0</v>
      </c>
    </row>
    <row r="15" s="783" customFormat="1" ht="15" customHeight="1" spans="2:40">
      <c r="B15" s="810">
        <v>5</v>
      </c>
      <c r="C15" s="811" t="s">
        <v>13243</v>
      </c>
      <c r="D15" s="812">
        <v>44207</v>
      </c>
      <c r="E15" s="815" t="s">
        <v>1479</v>
      </c>
      <c r="F15" s="811" t="s">
        <v>13104</v>
      </c>
      <c r="G15" s="811" t="s">
        <v>13105</v>
      </c>
      <c r="H15" s="816"/>
      <c r="I15" s="816">
        <v>16174182</v>
      </c>
      <c r="J15" s="814"/>
      <c r="K15" s="816">
        <v>0</v>
      </c>
      <c r="L15" s="816">
        <v>1617418</v>
      </c>
      <c r="M15" s="832">
        <f t="shared" si="0"/>
        <v>8730000</v>
      </c>
      <c r="N15" s="833"/>
      <c r="O15" s="832"/>
      <c r="P15" s="832">
        <f t="shared" si="1"/>
        <v>8730000</v>
      </c>
      <c r="Q15" s="859"/>
      <c r="R15" s="853">
        <v>44197</v>
      </c>
      <c r="S15" s="858"/>
      <c r="T15" s="858"/>
      <c r="U15" s="855"/>
      <c r="V15" s="856"/>
      <c r="W15" s="811"/>
      <c r="X15" s="812"/>
      <c r="Z15" s="850"/>
      <c r="AA15" s="851"/>
      <c r="AB15" s="816"/>
      <c r="AC15" s="880"/>
      <c r="AD15" s="880"/>
      <c r="AE15" s="880"/>
      <c r="AF15" s="880"/>
      <c r="AG15" s="850"/>
      <c r="AH15" s="892"/>
      <c r="AI15" s="893"/>
      <c r="AK15" s="814">
        <f t="shared" si="2"/>
        <v>0</v>
      </c>
      <c r="AL15" s="814">
        <f t="shared" si="2"/>
        <v>16174180</v>
      </c>
      <c r="AM15" s="814">
        <f t="shared" si="3"/>
        <v>0</v>
      </c>
      <c r="AN15" s="895">
        <f t="shared" si="4"/>
        <v>-2</v>
      </c>
    </row>
    <row r="16" ht="15" customHeight="1" spans="2:40">
      <c r="B16" s="810">
        <v>6</v>
      </c>
      <c r="C16" s="811" t="s">
        <v>13244</v>
      </c>
      <c r="D16" s="812">
        <v>44207</v>
      </c>
      <c r="E16" s="815" t="s">
        <v>13007</v>
      </c>
      <c r="F16" s="811" t="s">
        <v>13116</v>
      </c>
      <c r="G16" s="811" t="s">
        <v>13105</v>
      </c>
      <c r="H16" s="816"/>
      <c r="I16" s="816">
        <v>27000000</v>
      </c>
      <c r="J16" s="814"/>
      <c r="K16" s="816">
        <v>2700000</v>
      </c>
      <c r="L16" s="816"/>
      <c r="M16" s="832">
        <f t="shared" si="0"/>
        <v>11430000</v>
      </c>
      <c r="N16" s="833"/>
      <c r="O16" s="832"/>
      <c r="P16" s="832">
        <f t="shared" si="1"/>
        <v>11430000</v>
      </c>
      <c r="Q16" s="860"/>
      <c r="R16" s="853">
        <v>44197</v>
      </c>
      <c r="S16" s="854"/>
      <c r="T16" s="854"/>
      <c r="U16" s="855"/>
      <c r="V16" s="856"/>
      <c r="W16" s="811"/>
      <c r="X16" s="812"/>
      <c r="Z16" s="850"/>
      <c r="AA16" s="851"/>
      <c r="AB16" s="851"/>
      <c r="AC16" s="880"/>
      <c r="AD16" s="880"/>
      <c r="AE16" s="880"/>
      <c r="AF16" s="880"/>
      <c r="AG16" s="850"/>
      <c r="AH16" s="892"/>
      <c r="AI16" s="893"/>
      <c r="AK16" s="814">
        <f t="shared" si="2"/>
        <v>27000000</v>
      </c>
      <c r="AL16" s="814">
        <f t="shared" si="2"/>
        <v>0</v>
      </c>
      <c r="AM16" s="814">
        <f t="shared" si="3"/>
        <v>0</v>
      </c>
      <c r="AN16" s="895">
        <f t="shared" si="4"/>
        <v>0</v>
      </c>
    </row>
    <row r="17" s="783" customFormat="1" ht="15" customHeight="1" spans="2:40">
      <c r="B17" s="810">
        <v>7</v>
      </c>
      <c r="C17" s="811" t="s">
        <v>13245</v>
      </c>
      <c r="D17" s="812">
        <v>44207</v>
      </c>
      <c r="E17" s="815" t="s">
        <v>13007</v>
      </c>
      <c r="F17" s="811" t="s">
        <v>13116</v>
      </c>
      <c r="G17" s="811" t="s">
        <v>13105</v>
      </c>
      <c r="H17" s="816"/>
      <c r="I17" s="816">
        <v>15000000</v>
      </c>
      <c r="J17" s="814"/>
      <c r="K17" s="816">
        <v>1500000</v>
      </c>
      <c r="L17" s="816"/>
      <c r="M17" s="832">
        <f t="shared" si="0"/>
        <v>12930000</v>
      </c>
      <c r="N17" s="833"/>
      <c r="O17" s="832"/>
      <c r="P17" s="832">
        <f t="shared" si="1"/>
        <v>12930000</v>
      </c>
      <c r="Q17" s="860"/>
      <c r="R17" s="853">
        <v>44197</v>
      </c>
      <c r="S17" s="858"/>
      <c r="T17" s="858"/>
      <c r="U17" s="855"/>
      <c r="V17" s="856"/>
      <c r="W17" s="811"/>
      <c r="X17" s="812"/>
      <c r="Z17" s="850"/>
      <c r="AA17" s="851"/>
      <c r="AB17" s="851"/>
      <c r="AC17" s="880"/>
      <c r="AD17" s="880"/>
      <c r="AE17" s="880"/>
      <c r="AF17" s="880"/>
      <c r="AG17" s="850"/>
      <c r="AH17" s="892"/>
      <c r="AI17" s="893"/>
      <c r="AK17" s="814">
        <f t="shared" si="2"/>
        <v>15000000</v>
      </c>
      <c r="AL17" s="814">
        <f t="shared" si="2"/>
        <v>0</v>
      </c>
      <c r="AM17" s="814">
        <f t="shared" si="3"/>
        <v>0</v>
      </c>
      <c r="AN17" s="895">
        <f t="shared" si="4"/>
        <v>0</v>
      </c>
    </row>
    <row r="18" s="783" customFormat="1" ht="15" customHeight="1" spans="2:40">
      <c r="B18" s="810">
        <v>8</v>
      </c>
      <c r="C18" s="811" t="s">
        <v>13246</v>
      </c>
      <c r="D18" s="812">
        <v>44210</v>
      </c>
      <c r="E18" s="815" t="s">
        <v>13011</v>
      </c>
      <c r="F18" s="811" t="s">
        <v>13110</v>
      </c>
      <c r="G18" s="811" t="s">
        <v>13105</v>
      </c>
      <c r="H18" s="816"/>
      <c r="I18" s="816">
        <v>77000000</v>
      </c>
      <c r="J18" s="814"/>
      <c r="K18" s="816">
        <v>7700000</v>
      </c>
      <c r="L18" s="816"/>
      <c r="M18" s="832">
        <f t="shared" si="0"/>
        <v>20630000</v>
      </c>
      <c r="N18" s="833"/>
      <c r="O18" s="832"/>
      <c r="P18" s="832">
        <f t="shared" si="1"/>
        <v>20630000</v>
      </c>
      <c r="Q18" s="859"/>
      <c r="R18" s="853">
        <v>44197</v>
      </c>
      <c r="S18" s="854"/>
      <c r="T18" s="854"/>
      <c r="U18" s="855"/>
      <c r="V18" s="856"/>
      <c r="W18" s="811"/>
      <c r="X18" s="812"/>
      <c r="Y18" s="784"/>
      <c r="Z18" s="850"/>
      <c r="AA18" s="851"/>
      <c r="AB18" s="851"/>
      <c r="AC18" s="880"/>
      <c r="AD18" s="880"/>
      <c r="AE18" s="880"/>
      <c r="AF18" s="880"/>
      <c r="AG18" s="850"/>
      <c r="AH18" s="892"/>
      <c r="AI18" s="893"/>
      <c r="AJ18" s="784"/>
      <c r="AK18" s="814">
        <f t="shared" si="2"/>
        <v>77000000</v>
      </c>
      <c r="AL18" s="814">
        <f t="shared" si="2"/>
        <v>0</v>
      </c>
      <c r="AM18" s="814">
        <f t="shared" si="3"/>
        <v>0</v>
      </c>
      <c r="AN18" s="895">
        <f t="shared" si="4"/>
        <v>0</v>
      </c>
    </row>
    <row r="19" spans="2:40">
      <c r="B19" s="810">
        <v>18</v>
      </c>
      <c r="C19" s="811" t="s">
        <v>13247</v>
      </c>
      <c r="D19" s="812">
        <v>44210</v>
      </c>
      <c r="E19" s="815" t="s">
        <v>13011</v>
      </c>
      <c r="F19" s="811" t="s">
        <v>13110</v>
      </c>
      <c r="G19" s="811" t="s">
        <v>13105</v>
      </c>
      <c r="H19" s="816"/>
      <c r="I19" s="816">
        <v>27500000</v>
      </c>
      <c r="J19" s="814"/>
      <c r="K19" s="816">
        <v>2750000</v>
      </c>
      <c r="L19" s="816"/>
      <c r="M19" s="832">
        <f t="shared" si="0"/>
        <v>23380000</v>
      </c>
      <c r="N19" s="833"/>
      <c r="O19" s="832"/>
      <c r="P19" s="832">
        <f t="shared" si="1"/>
        <v>23380000</v>
      </c>
      <c r="Q19" s="861"/>
      <c r="R19" s="853">
        <v>44197</v>
      </c>
      <c r="S19" s="854"/>
      <c r="T19" s="854"/>
      <c r="U19" s="855"/>
      <c r="V19" s="856"/>
      <c r="W19" s="811"/>
      <c r="X19" s="812"/>
      <c r="Z19" s="850"/>
      <c r="AA19" s="851"/>
      <c r="AB19" s="851"/>
      <c r="AC19" s="880"/>
      <c r="AD19" s="880"/>
      <c r="AE19" s="880"/>
      <c r="AF19" s="880"/>
      <c r="AG19" s="850"/>
      <c r="AH19" s="892"/>
      <c r="AI19" s="893"/>
      <c r="AK19" s="814">
        <f>IF(K19&gt;0,K19/10%,0)</f>
        <v>27500000</v>
      </c>
      <c r="AL19" s="814">
        <f>IF(L19&gt;0,L19/10%,0)</f>
        <v>0</v>
      </c>
      <c r="AM19" s="814">
        <f t="shared" si="3"/>
        <v>0</v>
      </c>
      <c r="AN19" s="895">
        <f t="shared" si="4"/>
        <v>0</v>
      </c>
    </row>
    <row r="20" ht="15" customHeight="1" spans="2:40">
      <c r="B20" s="810">
        <v>9</v>
      </c>
      <c r="C20" s="811" t="s">
        <v>13248</v>
      </c>
      <c r="D20" s="812">
        <v>44210</v>
      </c>
      <c r="E20" s="815" t="s">
        <v>13011</v>
      </c>
      <c r="F20" s="811" t="s">
        <v>13110</v>
      </c>
      <c r="G20" s="811" t="s">
        <v>13105</v>
      </c>
      <c r="H20" s="816"/>
      <c r="I20" s="816">
        <v>13000000</v>
      </c>
      <c r="J20" s="814"/>
      <c r="K20" s="816">
        <v>1300000</v>
      </c>
      <c r="L20" s="816"/>
      <c r="M20" s="832">
        <f t="shared" si="0"/>
        <v>24680000</v>
      </c>
      <c r="N20" s="833"/>
      <c r="O20" s="832"/>
      <c r="P20" s="832">
        <f t="shared" si="1"/>
        <v>24680000</v>
      </c>
      <c r="Q20" s="861"/>
      <c r="R20" s="853">
        <v>44197</v>
      </c>
      <c r="S20" s="854"/>
      <c r="T20" s="854"/>
      <c r="U20" s="855"/>
      <c r="V20" s="856"/>
      <c r="W20" s="811"/>
      <c r="X20" s="812"/>
      <c r="Z20" s="850"/>
      <c r="AA20" s="851"/>
      <c r="AB20" s="851"/>
      <c r="AC20" s="880"/>
      <c r="AD20" s="880"/>
      <c r="AE20" s="880"/>
      <c r="AF20" s="880"/>
      <c r="AG20" s="850"/>
      <c r="AH20" s="892"/>
      <c r="AI20" s="893"/>
      <c r="AK20" s="814">
        <f t="shared" si="2"/>
        <v>13000000</v>
      </c>
      <c r="AL20" s="814">
        <f t="shared" si="2"/>
        <v>0</v>
      </c>
      <c r="AM20" s="814">
        <f t="shared" si="3"/>
        <v>0</v>
      </c>
      <c r="AN20" s="895">
        <f t="shared" si="4"/>
        <v>0</v>
      </c>
    </row>
    <row r="21" ht="15" customHeight="1" spans="2:40">
      <c r="B21" s="810">
        <v>10</v>
      </c>
      <c r="C21" s="811" t="s">
        <v>13249</v>
      </c>
      <c r="D21" s="812">
        <v>44210</v>
      </c>
      <c r="E21" s="815" t="s">
        <v>13011</v>
      </c>
      <c r="F21" s="811" t="s">
        <v>13110</v>
      </c>
      <c r="G21" s="811" t="s">
        <v>13105</v>
      </c>
      <c r="H21" s="816"/>
      <c r="I21" s="816">
        <v>4200000</v>
      </c>
      <c r="J21" s="814"/>
      <c r="K21" s="816">
        <v>420000</v>
      </c>
      <c r="L21" s="816"/>
      <c r="M21" s="832">
        <f t="shared" si="0"/>
        <v>25100000</v>
      </c>
      <c r="N21" s="833"/>
      <c r="O21" s="832"/>
      <c r="P21" s="832">
        <f t="shared" si="1"/>
        <v>25100000</v>
      </c>
      <c r="Q21" s="861"/>
      <c r="R21" s="853">
        <v>44197</v>
      </c>
      <c r="S21" s="858"/>
      <c r="T21" s="858"/>
      <c r="U21" s="855"/>
      <c r="V21" s="856"/>
      <c r="W21" s="811"/>
      <c r="X21" s="812"/>
      <c r="Y21" s="783"/>
      <c r="Z21" s="850"/>
      <c r="AA21" s="851"/>
      <c r="AB21" s="851"/>
      <c r="AC21" s="880"/>
      <c r="AD21" s="880"/>
      <c r="AE21" s="880"/>
      <c r="AF21" s="880"/>
      <c r="AG21" s="850"/>
      <c r="AH21" s="892"/>
      <c r="AI21" s="893"/>
      <c r="AJ21" s="783"/>
      <c r="AK21" s="814">
        <f t="shared" si="2"/>
        <v>4200000</v>
      </c>
      <c r="AL21" s="814">
        <f t="shared" si="2"/>
        <v>0</v>
      </c>
      <c r="AM21" s="814">
        <f t="shared" si="3"/>
        <v>0</v>
      </c>
      <c r="AN21" s="895">
        <f t="shared" si="4"/>
        <v>0</v>
      </c>
    </row>
    <row r="22" ht="15" customHeight="1" spans="2:40">
      <c r="B22" s="810">
        <v>11</v>
      </c>
      <c r="C22" s="811" t="s">
        <v>13250</v>
      </c>
      <c r="D22" s="812">
        <v>44210</v>
      </c>
      <c r="E22" s="815" t="s">
        <v>13011</v>
      </c>
      <c r="F22" s="811" t="s">
        <v>13110</v>
      </c>
      <c r="G22" s="811" t="s">
        <v>13105</v>
      </c>
      <c r="H22" s="816"/>
      <c r="I22" s="816">
        <v>25000000</v>
      </c>
      <c r="J22" s="814"/>
      <c r="K22" s="816">
        <v>2500000</v>
      </c>
      <c r="L22" s="816"/>
      <c r="M22" s="832">
        <f t="shared" si="0"/>
        <v>27600000</v>
      </c>
      <c r="N22" s="833"/>
      <c r="O22" s="832"/>
      <c r="P22" s="832">
        <f t="shared" si="1"/>
        <v>27600000</v>
      </c>
      <c r="Q22" s="861"/>
      <c r="R22" s="853">
        <v>44197</v>
      </c>
      <c r="S22" s="854"/>
      <c r="T22" s="854"/>
      <c r="U22" s="855"/>
      <c r="V22" s="856"/>
      <c r="W22" s="811"/>
      <c r="X22" s="812"/>
      <c r="Z22" s="850"/>
      <c r="AA22" s="851"/>
      <c r="AB22" s="851"/>
      <c r="AC22" s="880"/>
      <c r="AD22" s="880"/>
      <c r="AE22" s="880"/>
      <c r="AF22" s="880"/>
      <c r="AG22" s="850"/>
      <c r="AH22" s="892"/>
      <c r="AI22" s="893"/>
      <c r="AK22" s="814">
        <f t="shared" si="2"/>
        <v>25000000</v>
      </c>
      <c r="AL22" s="814">
        <f t="shared" si="2"/>
        <v>0</v>
      </c>
      <c r="AM22" s="814">
        <f t="shared" si="3"/>
        <v>0</v>
      </c>
      <c r="AN22" s="895">
        <f t="shared" si="4"/>
        <v>0</v>
      </c>
    </row>
    <row r="23" ht="15" customHeight="1" spans="2:40">
      <c r="B23" s="810">
        <v>12</v>
      </c>
      <c r="C23" s="811" t="s">
        <v>13251</v>
      </c>
      <c r="D23" s="812">
        <v>44210</v>
      </c>
      <c r="E23" s="815" t="s">
        <v>13011</v>
      </c>
      <c r="F23" s="811" t="s">
        <v>13110</v>
      </c>
      <c r="G23" s="811" t="s">
        <v>13105</v>
      </c>
      <c r="H23" s="816"/>
      <c r="I23" s="834">
        <v>4500000</v>
      </c>
      <c r="J23" s="814"/>
      <c r="K23" s="816">
        <v>450000</v>
      </c>
      <c r="L23" s="816"/>
      <c r="M23" s="832">
        <f t="shared" si="0"/>
        <v>28050000</v>
      </c>
      <c r="N23" s="833"/>
      <c r="O23" s="832"/>
      <c r="P23" s="832">
        <f t="shared" si="1"/>
        <v>28050000</v>
      </c>
      <c r="Q23" s="861"/>
      <c r="R23" s="853">
        <v>44197</v>
      </c>
      <c r="S23" s="854"/>
      <c r="T23" s="854"/>
      <c r="U23" s="855"/>
      <c r="V23" s="856"/>
      <c r="W23" s="811"/>
      <c r="X23" s="812"/>
      <c r="Z23" s="850"/>
      <c r="AA23" s="851"/>
      <c r="AB23" s="851"/>
      <c r="AC23" s="880"/>
      <c r="AD23" s="880"/>
      <c r="AE23" s="880"/>
      <c r="AF23" s="880"/>
      <c r="AG23" s="850"/>
      <c r="AH23" s="892"/>
      <c r="AI23" s="893"/>
      <c r="AK23" s="814">
        <f t="shared" si="2"/>
        <v>4500000</v>
      </c>
      <c r="AL23" s="814">
        <f t="shared" si="2"/>
        <v>0</v>
      </c>
      <c r="AM23" s="814">
        <f t="shared" si="3"/>
        <v>0</v>
      </c>
      <c r="AN23" s="895">
        <f t="shared" si="4"/>
        <v>0</v>
      </c>
    </row>
    <row r="24" ht="15" customHeight="1" spans="2:40">
      <c r="B24" s="810">
        <v>13</v>
      </c>
      <c r="C24" s="811" t="s">
        <v>13252</v>
      </c>
      <c r="D24" s="812">
        <v>44215</v>
      </c>
      <c r="E24" s="815" t="s">
        <v>13011</v>
      </c>
      <c r="F24" s="811" t="s">
        <v>13110</v>
      </c>
      <c r="G24" s="811" t="s">
        <v>13105</v>
      </c>
      <c r="H24" s="816"/>
      <c r="I24" s="816">
        <v>40000000</v>
      </c>
      <c r="J24" s="814"/>
      <c r="K24" s="816">
        <v>4000000</v>
      </c>
      <c r="L24" s="816"/>
      <c r="M24" s="832">
        <f t="shared" si="0"/>
        <v>32050000</v>
      </c>
      <c r="N24" s="833"/>
      <c r="O24" s="832"/>
      <c r="P24" s="832">
        <f t="shared" si="1"/>
        <v>32050000</v>
      </c>
      <c r="Q24" s="861"/>
      <c r="R24" s="853">
        <v>44197</v>
      </c>
      <c r="S24" s="854"/>
      <c r="T24" s="854"/>
      <c r="U24" s="855"/>
      <c r="V24" s="856"/>
      <c r="W24" s="811"/>
      <c r="X24" s="812"/>
      <c r="Z24" s="850"/>
      <c r="AA24" s="851"/>
      <c r="AB24" s="851"/>
      <c r="AC24" s="880"/>
      <c r="AD24" s="880"/>
      <c r="AE24" s="880"/>
      <c r="AF24" s="880"/>
      <c r="AG24" s="850"/>
      <c r="AH24" s="892"/>
      <c r="AI24" s="893"/>
      <c r="AK24" s="814">
        <f t="shared" si="2"/>
        <v>40000000</v>
      </c>
      <c r="AL24" s="814">
        <f t="shared" si="2"/>
        <v>0</v>
      </c>
      <c r="AM24" s="814">
        <f t="shared" si="3"/>
        <v>0</v>
      </c>
      <c r="AN24" s="895">
        <f t="shared" si="4"/>
        <v>0</v>
      </c>
    </row>
    <row r="25" ht="15" customHeight="1" spans="2:40">
      <c r="B25" s="810">
        <v>14</v>
      </c>
      <c r="C25" s="811" t="s">
        <v>13253</v>
      </c>
      <c r="D25" s="812">
        <v>44223</v>
      </c>
      <c r="E25" s="815" t="s">
        <v>13007</v>
      </c>
      <c r="F25" s="811" t="s">
        <v>13116</v>
      </c>
      <c r="G25" s="811" t="s">
        <v>13105</v>
      </c>
      <c r="H25" s="816"/>
      <c r="I25" s="816">
        <v>27000000</v>
      </c>
      <c r="J25" s="814"/>
      <c r="K25" s="816">
        <v>2700000</v>
      </c>
      <c r="L25" s="816"/>
      <c r="M25" s="832">
        <f t="shared" si="0"/>
        <v>34750000</v>
      </c>
      <c r="N25" s="833"/>
      <c r="O25" s="832"/>
      <c r="P25" s="832">
        <f t="shared" si="1"/>
        <v>34750000</v>
      </c>
      <c r="Q25" s="861"/>
      <c r="R25" s="853">
        <v>44197</v>
      </c>
      <c r="S25" s="854"/>
      <c r="T25" s="854"/>
      <c r="U25" s="855"/>
      <c r="V25" s="856"/>
      <c r="W25" s="811"/>
      <c r="X25" s="812"/>
      <c r="Z25" s="850"/>
      <c r="AA25" s="851"/>
      <c r="AB25" s="851"/>
      <c r="AC25" s="880"/>
      <c r="AD25" s="880"/>
      <c r="AE25" s="880"/>
      <c r="AF25" s="880"/>
      <c r="AG25" s="850"/>
      <c r="AH25" s="892"/>
      <c r="AI25" s="893"/>
      <c r="AK25" s="814">
        <f t="shared" si="2"/>
        <v>27000000</v>
      </c>
      <c r="AL25" s="814">
        <f t="shared" si="2"/>
        <v>0</v>
      </c>
      <c r="AM25" s="814">
        <f t="shared" si="3"/>
        <v>0</v>
      </c>
      <c r="AN25" s="895">
        <f t="shared" si="4"/>
        <v>0</v>
      </c>
    </row>
    <row r="26" ht="15" customHeight="1" spans="2:40">
      <c r="B26" s="810">
        <v>15</v>
      </c>
      <c r="C26" s="811" t="s">
        <v>13254</v>
      </c>
      <c r="D26" s="812">
        <v>44223</v>
      </c>
      <c r="E26" s="815" t="s">
        <v>13007</v>
      </c>
      <c r="F26" s="811" t="s">
        <v>13116</v>
      </c>
      <c r="G26" s="811" t="s">
        <v>13105</v>
      </c>
      <c r="H26" s="816"/>
      <c r="I26" s="816">
        <v>15000000</v>
      </c>
      <c r="J26" s="814"/>
      <c r="K26" s="816">
        <v>1500000</v>
      </c>
      <c r="L26" s="816"/>
      <c r="M26" s="832">
        <f t="shared" si="0"/>
        <v>36250000</v>
      </c>
      <c r="N26" s="833"/>
      <c r="O26" s="832"/>
      <c r="P26" s="832">
        <f t="shared" si="1"/>
        <v>36250000</v>
      </c>
      <c r="Q26" s="861"/>
      <c r="R26" s="853">
        <v>44197</v>
      </c>
      <c r="S26" s="854"/>
      <c r="T26" s="854"/>
      <c r="U26" s="855"/>
      <c r="V26" s="856"/>
      <c r="W26" s="811"/>
      <c r="X26" s="812"/>
      <c r="Z26" s="850"/>
      <c r="AA26" s="851"/>
      <c r="AB26" s="851"/>
      <c r="AC26" s="880"/>
      <c r="AD26" s="880"/>
      <c r="AE26" s="880"/>
      <c r="AF26" s="880"/>
      <c r="AG26" s="850"/>
      <c r="AH26" s="892"/>
      <c r="AI26" s="893"/>
      <c r="AK26" s="814">
        <f t="shared" si="2"/>
        <v>15000000</v>
      </c>
      <c r="AL26" s="814">
        <f t="shared" si="2"/>
        <v>0</v>
      </c>
      <c r="AM26" s="814">
        <f t="shared" si="3"/>
        <v>0</v>
      </c>
      <c r="AN26" s="895">
        <f t="shared" si="4"/>
        <v>0</v>
      </c>
    </row>
    <row r="27" ht="15" hidden="1" customHeight="1" spans="2:40">
      <c r="B27" s="810"/>
      <c r="C27" s="811" t="s">
        <v>13255</v>
      </c>
      <c r="D27" s="812">
        <v>44215</v>
      </c>
      <c r="E27" s="815" t="s">
        <v>12999</v>
      </c>
      <c r="F27" s="811" t="s">
        <v>13122</v>
      </c>
      <c r="G27" s="811" t="s">
        <v>13123</v>
      </c>
      <c r="H27" s="816">
        <v>473600</v>
      </c>
      <c r="I27" s="816"/>
      <c r="J27" s="814">
        <v>47360</v>
      </c>
      <c r="K27" s="816"/>
      <c r="L27" s="816"/>
      <c r="M27" s="832">
        <f t="shared" si="0"/>
        <v>36202640</v>
      </c>
      <c r="N27" s="833"/>
      <c r="O27" s="832"/>
      <c r="P27" s="832">
        <f t="shared" si="1"/>
        <v>36202640</v>
      </c>
      <c r="Q27" s="861"/>
      <c r="R27" s="853">
        <v>44197</v>
      </c>
      <c r="S27" s="854"/>
      <c r="T27" s="854"/>
      <c r="U27" s="855"/>
      <c r="V27" s="856"/>
      <c r="W27" s="811"/>
      <c r="X27" s="812"/>
      <c r="Z27" s="850"/>
      <c r="AA27" s="851"/>
      <c r="AB27" s="851"/>
      <c r="AC27" s="880"/>
      <c r="AD27" s="880"/>
      <c r="AE27" s="880"/>
      <c r="AF27" s="880"/>
      <c r="AG27" s="850"/>
      <c r="AH27" s="892"/>
      <c r="AI27" s="893"/>
      <c r="AK27" s="814"/>
      <c r="AL27" s="814"/>
      <c r="AM27" s="814"/>
      <c r="AN27" s="895"/>
    </row>
    <row r="28" ht="15" hidden="1" customHeight="1" spans="2:40">
      <c r="B28" s="810"/>
      <c r="C28" s="811" t="s">
        <v>13256</v>
      </c>
      <c r="D28" s="812">
        <v>44545</v>
      </c>
      <c r="E28" s="815" t="s">
        <v>13257</v>
      </c>
      <c r="F28" s="811" t="s">
        <v>13258</v>
      </c>
      <c r="G28" s="811" t="s">
        <v>13123</v>
      </c>
      <c r="H28" s="816">
        <v>2875000</v>
      </c>
      <c r="I28" s="816"/>
      <c r="J28" s="814">
        <v>287500</v>
      </c>
      <c r="K28" s="816"/>
      <c r="L28" s="816"/>
      <c r="M28" s="832">
        <f t="shared" si="0"/>
        <v>35915140</v>
      </c>
      <c r="N28" s="833"/>
      <c r="O28" s="832"/>
      <c r="P28" s="832">
        <f t="shared" si="1"/>
        <v>35915140</v>
      </c>
      <c r="Q28" s="861"/>
      <c r="R28" s="853">
        <v>44197</v>
      </c>
      <c r="S28" s="854"/>
      <c r="T28" s="854"/>
      <c r="U28" s="855"/>
      <c r="V28" s="856"/>
      <c r="W28" s="811"/>
      <c r="X28" s="812"/>
      <c r="Z28" s="850"/>
      <c r="AA28" s="851"/>
      <c r="AB28" s="851"/>
      <c r="AC28" s="880"/>
      <c r="AD28" s="880"/>
      <c r="AE28" s="880"/>
      <c r="AF28" s="880"/>
      <c r="AG28" s="850"/>
      <c r="AH28" s="892"/>
      <c r="AI28" s="893"/>
      <c r="AK28" s="814"/>
      <c r="AL28" s="814"/>
      <c r="AM28" s="814"/>
      <c r="AN28" s="895"/>
    </row>
    <row r="29" ht="15" hidden="1" customHeight="1" spans="2:40">
      <c r="B29" s="810">
        <v>16</v>
      </c>
      <c r="C29" s="811" t="s">
        <v>13259</v>
      </c>
      <c r="D29" s="812">
        <v>44552</v>
      </c>
      <c r="E29" s="815" t="s">
        <v>12999</v>
      </c>
      <c r="F29" s="811" t="s">
        <v>13122</v>
      </c>
      <c r="G29" s="811" t="s">
        <v>13123</v>
      </c>
      <c r="H29" s="816">
        <v>632000</v>
      </c>
      <c r="I29" s="816"/>
      <c r="J29" s="814">
        <v>63200</v>
      </c>
      <c r="K29" s="816"/>
      <c r="L29" s="816"/>
      <c r="M29" s="832">
        <f t="shared" si="0"/>
        <v>35851940</v>
      </c>
      <c r="N29" s="835" t="s">
        <v>12709</v>
      </c>
      <c r="O29" s="836">
        <v>35851940</v>
      </c>
      <c r="P29" s="832">
        <f t="shared" si="1"/>
        <v>0</v>
      </c>
      <c r="Q29" s="861"/>
      <c r="R29" s="862">
        <v>44197</v>
      </c>
      <c r="S29" s="854"/>
      <c r="T29" s="854"/>
      <c r="U29" s="855"/>
      <c r="V29" s="856"/>
      <c r="W29" s="811"/>
      <c r="X29" s="812"/>
      <c r="Z29" s="850"/>
      <c r="AA29" s="851"/>
      <c r="AB29" s="851"/>
      <c r="AC29" s="880"/>
      <c r="AD29" s="880"/>
      <c r="AE29" s="880"/>
      <c r="AF29" s="880"/>
      <c r="AG29" s="850"/>
      <c r="AH29" s="892"/>
      <c r="AI29" s="893"/>
      <c r="AK29" s="814">
        <f t="shared" si="2"/>
        <v>0</v>
      </c>
      <c r="AL29" s="814">
        <f t="shared" si="2"/>
        <v>0</v>
      </c>
      <c r="AM29" s="814">
        <f t="shared" si="3"/>
        <v>632000</v>
      </c>
      <c r="AN29" s="895">
        <f t="shared" si="4"/>
        <v>0</v>
      </c>
    </row>
    <row r="30" ht="15" customHeight="1" spans="2:40">
      <c r="B30" s="810">
        <v>17</v>
      </c>
      <c r="C30" s="811" t="s">
        <v>13260</v>
      </c>
      <c r="D30" s="812">
        <v>44236</v>
      </c>
      <c r="E30" s="815" t="s">
        <v>1479</v>
      </c>
      <c r="F30" s="811" t="s">
        <v>13104</v>
      </c>
      <c r="G30" s="811" t="s">
        <v>13105</v>
      </c>
      <c r="H30" s="816"/>
      <c r="I30" s="816">
        <v>30400000</v>
      </c>
      <c r="J30" s="814"/>
      <c r="K30" s="816">
        <v>0</v>
      </c>
      <c r="L30" s="816">
        <v>3040000</v>
      </c>
      <c r="M30" s="832">
        <f t="shared" si="0"/>
        <v>0</v>
      </c>
      <c r="N30" s="833"/>
      <c r="O30" s="832"/>
      <c r="P30" s="832">
        <f t="shared" si="1"/>
        <v>0</v>
      </c>
      <c r="Q30" s="861"/>
      <c r="R30" s="853">
        <v>44228</v>
      </c>
      <c r="S30" s="854"/>
      <c r="T30" s="854"/>
      <c r="U30" s="855"/>
      <c r="V30" s="856"/>
      <c r="W30" s="811"/>
      <c r="X30" s="812"/>
      <c r="Z30" s="850"/>
      <c r="AA30" s="851"/>
      <c r="AB30" s="851"/>
      <c r="AC30" s="880"/>
      <c r="AD30" s="880"/>
      <c r="AE30" s="880"/>
      <c r="AF30" s="880"/>
      <c r="AG30" s="850"/>
      <c r="AH30" s="892"/>
      <c r="AI30" s="893"/>
      <c r="AJ30" s="783"/>
      <c r="AK30" s="814">
        <f t="shared" ref="AK30:AL92" si="5">IF(K30&gt;0,K30/10%,0)</f>
        <v>0</v>
      </c>
      <c r="AL30" s="814">
        <f t="shared" si="5"/>
        <v>30400000</v>
      </c>
      <c r="AM30" s="814">
        <f t="shared" si="3"/>
        <v>0</v>
      </c>
      <c r="AN30" s="895">
        <f t="shared" si="4"/>
        <v>0</v>
      </c>
    </row>
    <row r="31" ht="15" customHeight="1" spans="2:40">
      <c r="B31" s="810">
        <v>19</v>
      </c>
      <c r="C31" s="811" t="s">
        <v>13261</v>
      </c>
      <c r="D31" s="812">
        <v>44236</v>
      </c>
      <c r="E31" s="815" t="s">
        <v>1479</v>
      </c>
      <c r="F31" s="811" t="s">
        <v>13104</v>
      </c>
      <c r="G31" s="811" t="s">
        <v>13105</v>
      </c>
      <c r="H31" s="816"/>
      <c r="I31" s="816">
        <v>16932142</v>
      </c>
      <c r="J31" s="814"/>
      <c r="K31" s="816">
        <v>0</v>
      </c>
      <c r="L31" s="816">
        <v>1693214</v>
      </c>
      <c r="M31" s="832">
        <f t="shared" si="0"/>
        <v>0</v>
      </c>
      <c r="N31" s="833"/>
      <c r="O31" s="832"/>
      <c r="P31" s="832">
        <f t="shared" si="1"/>
        <v>0</v>
      </c>
      <c r="Q31" s="861"/>
      <c r="R31" s="853">
        <v>44228</v>
      </c>
      <c r="S31" s="854"/>
      <c r="T31" s="854"/>
      <c r="U31" s="855"/>
      <c r="V31" s="856"/>
      <c r="W31" s="811"/>
      <c r="X31" s="812"/>
      <c r="Z31" s="850"/>
      <c r="AA31" s="851"/>
      <c r="AB31" s="814"/>
      <c r="AC31" s="880"/>
      <c r="AD31" s="880"/>
      <c r="AE31" s="880"/>
      <c r="AF31" s="880"/>
      <c r="AG31" s="850"/>
      <c r="AH31" s="893"/>
      <c r="AI31" s="893"/>
      <c r="AK31" s="814">
        <f t="shared" si="5"/>
        <v>0</v>
      </c>
      <c r="AL31" s="814">
        <f t="shared" si="5"/>
        <v>16932140</v>
      </c>
      <c r="AM31" s="814">
        <f t="shared" si="3"/>
        <v>0</v>
      </c>
      <c r="AN31" s="895">
        <f t="shared" si="4"/>
        <v>-2</v>
      </c>
    </row>
    <row r="32" ht="15" customHeight="1" spans="2:40">
      <c r="B32" s="810">
        <v>20</v>
      </c>
      <c r="C32" s="811" t="s">
        <v>13262</v>
      </c>
      <c r="D32" s="812">
        <v>44236</v>
      </c>
      <c r="E32" s="815" t="s">
        <v>1479</v>
      </c>
      <c r="F32" s="811" t="s">
        <v>13104</v>
      </c>
      <c r="G32" s="811" t="s">
        <v>13105</v>
      </c>
      <c r="H32" s="816"/>
      <c r="I32" s="816">
        <v>24124848</v>
      </c>
      <c r="J32" s="814"/>
      <c r="K32" s="816">
        <v>0</v>
      </c>
      <c r="L32" s="816">
        <v>2412484</v>
      </c>
      <c r="M32" s="832">
        <f t="shared" si="0"/>
        <v>0</v>
      </c>
      <c r="N32" s="833"/>
      <c r="O32" s="832"/>
      <c r="P32" s="832">
        <f t="shared" si="1"/>
        <v>0</v>
      </c>
      <c r="Q32" s="861"/>
      <c r="R32" s="853">
        <v>44228</v>
      </c>
      <c r="S32" s="854"/>
      <c r="T32" s="854"/>
      <c r="U32" s="855"/>
      <c r="V32" s="856"/>
      <c r="W32" s="811"/>
      <c r="X32" s="812"/>
      <c r="Z32" s="850"/>
      <c r="AA32" s="851"/>
      <c r="AB32" s="851"/>
      <c r="AC32" s="880"/>
      <c r="AD32" s="880"/>
      <c r="AE32" s="880"/>
      <c r="AF32" s="880"/>
      <c r="AG32" s="850"/>
      <c r="AH32" s="893"/>
      <c r="AI32" s="893"/>
      <c r="AK32" s="814">
        <f t="shared" si="5"/>
        <v>0</v>
      </c>
      <c r="AL32" s="814">
        <f t="shared" si="5"/>
        <v>24124840</v>
      </c>
      <c r="AM32" s="814">
        <f t="shared" si="3"/>
        <v>0</v>
      </c>
      <c r="AN32" s="895">
        <f t="shared" si="4"/>
        <v>-8</v>
      </c>
    </row>
    <row r="33" spans="2:40">
      <c r="B33" s="810">
        <v>21</v>
      </c>
      <c r="C33" s="811" t="s">
        <v>13263</v>
      </c>
      <c r="D33" s="812">
        <v>44246</v>
      </c>
      <c r="E33" s="815" t="s">
        <v>1809</v>
      </c>
      <c r="F33" s="811" t="s">
        <v>13264</v>
      </c>
      <c r="G33" s="811" t="s">
        <v>13105</v>
      </c>
      <c r="H33" s="816"/>
      <c r="I33" s="816">
        <v>46500000</v>
      </c>
      <c r="J33" s="814"/>
      <c r="K33" s="816">
        <v>4650000</v>
      </c>
      <c r="L33" s="816"/>
      <c r="M33" s="832">
        <f t="shared" si="0"/>
        <v>4650000</v>
      </c>
      <c r="N33" s="833"/>
      <c r="O33" s="832"/>
      <c r="P33" s="832">
        <f t="shared" si="1"/>
        <v>4650000</v>
      </c>
      <c r="Q33" s="861"/>
      <c r="R33" s="853">
        <v>44228</v>
      </c>
      <c r="S33" s="854"/>
      <c r="T33" s="854"/>
      <c r="U33" s="855"/>
      <c r="V33" s="856"/>
      <c r="W33" s="811"/>
      <c r="X33" s="812"/>
      <c r="Z33" s="850"/>
      <c r="AA33" s="851"/>
      <c r="AB33" s="814"/>
      <c r="AC33" s="880"/>
      <c r="AD33" s="880"/>
      <c r="AE33" s="880"/>
      <c r="AF33" s="880"/>
      <c r="AG33" s="850"/>
      <c r="AH33" s="893"/>
      <c r="AI33" s="893"/>
      <c r="AK33" s="814">
        <f t="shared" si="5"/>
        <v>46500000</v>
      </c>
      <c r="AL33" s="814">
        <f t="shared" si="5"/>
        <v>0</v>
      </c>
      <c r="AM33" s="814">
        <f t="shared" si="3"/>
        <v>0</v>
      </c>
      <c r="AN33" s="895">
        <f t="shared" si="4"/>
        <v>0</v>
      </c>
    </row>
    <row r="34" spans="2:40">
      <c r="B34" s="810">
        <v>22</v>
      </c>
      <c r="C34" s="811" t="s">
        <v>13265</v>
      </c>
      <c r="D34" s="812">
        <v>44250</v>
      </c>
      <c r="E34" s="815" t="s">
        <v>13007</v>
      </c>
      <c r="F34" s="811" t="s">
        <v>13116</v>
      </c>
      <c r="G34" s="811" t="s">
        <v>13105</v>
      </c>
      <c r="H34" s="816"/>
      <c r="I34" s="816">
        <v>27000000</v>
      </c>
      <c r="J34" s="814"/>
      <c r="K34" s="816">
        <v>2700000</v>
      </c>
      <c r="L34" s="816"/>
      <c r="M34" s="832">
        <f t="shared" si="0"/>
        <v>7350000</v>
      </c>
      <c r="N34" s="833"/>
      <c r="O34" s="832"/>
      <c r="P34" s="832">
        <f t="shared" si="1"/>
        <v>7350000</v>
      </c>
      <c r="Q34" s="861"/>
      <c r="R34" s="853">
        <v>44228</v>
      </c>
      <c r="S34" s="854"/>
      <c r="T34" s="854"/>
      <c r="U34" s="855"/>
      <c r="V34" s="856"/>
      <c r="W34" s="811"/>
      <c r="X34" s="812"/>
      <c r="Z34" s="850"/>
      <c r="AA34" s="851"/>
      <c r="AB34" s="851"/>
      <c r="AC34" s="880"/>
      <c r="AD34" s="880"/>
      <c r="AE34" s="880"/>
      <c r="AF34" s="880"/>
      <c r="AG34" s="850"/>
      <c r="AH34" s="892"/>
      <c r="AI34" s="893"/>
      <c r="AK34" s="814">
        <f t="shared" si="5"/>
        <v>27000000</v>
      </c>
      <c r="AL34" s="814">
        <f t="shared" si="5"/>
        <v>0</v>
      </c>
      <c r="AM34" s="814">
        <f t="shared" si="3"/>
        <v>0</v>
      </c>
      <c r="AN34" s="895">
        <f t="shared" si="4"/>
        <v>0</v>
      </c>
    </row>
    <row r="35" spans="2:40">
      <c r="B35" s="810">
        <v>23</v>
      </c>
      <c r="C35" s="811" t="s">
        <v>13266</v>
      </c>
      <c r="D35" s="812">
        <v>44250</v>
      </c>
      <c r="E35" s="815" t="s">
        <v>13007</v>
      </c>
      <c r="F35" s="811" t="s">
        <v>13116</v>
      </c>
      <c r="G35" s="811" t="s">
        <v>13105</v>
      </c>
      <c r="H35" s="816"/>
      <c r="I35" s="816">
        <v>15000000</v>
      </c>
      <c r="J35" s="814"/>
      <c r="K35" s="816">
        <v>1500000</v>
      </c>
      <c r="L35" s="816"/>
      <c r="M35" s="832">
        <f t="shared" si="0"/>
        <v>8850000</v>
      </c>
      <c r="N35" s="833"/>
      <c r="O35" s="832"/>
      <c r="P35" s="832">
        <f t="shared" si="1"/>
        <v>8850000</v>
      </c>
      <c r="Q35" s="861"/>
      <c r="R35" s="853">
        <v>44228</v>
      </c>
      <c r="S35" s="854"/>
      <c r="T35" s="854"/>
      <c r="U35" s="855"/>
      <c r="V35" s="856"/>
      <c r="W35" s="811"/>
      <c r="X35" s="812"/>
      <c r="Z35" s="850"/>
      <c r="AA35" s="851"/>
      <c r="AB35" s="851"/>
      <c r="AC35" s="880"/>
      <c r="AD35" s="880"/>
      <c r="AE35" s="880"/>
      <c r="AF35" s="880"/>
      <c r="AG35" s="850"/>
      <c r="AH35" s="892"/>
      <c r="AI35" s="893"/>
      <c r="AK35" s="814">
        <f t="shared" si="5"/>
        <v>15000000</v>
      </c>
      <c r="AL35" s="814">
        <f t="shared" si="5"/>
        <v>0</v>
      </c>
      <c r="AM35" s="814">
        <f t="shared" si="3"/>
        <v>0</v>
      </c>
      <c r="AN35" s="895">
        <f t="shared" si="4"/>
        <v>0</v>
      </c>
    </row>
    <row r="36" spans="2:40">
      <c r="B36" s="810">
        <v>24</v>
      </c>
      <c r="C36" s="811" t="s">
        <v>13267</v>
      </c>
      <c r="D36" s="812">
        <v>44251</v>
      </c>
      <c r="E36" s="815" t="s">
        <v>13011</v>
      </c>
      <c r="F36" s="811" t="s">
        <v>13110</v>
      </c>
      <c r="G36" s="811" t="s">
        <v>13105</v>
      </c>
      <c r="H36" s="816"/>
      <c r="I36" s="816">
        <v>55000000</v>
      </c>
      <c r="J36" s="814"/>
      <c r="K36" s="816">
        <v>5500000</v>
      </c>
      <c r="L36" s="816"/>
      <c r="M36" s="832">
        <f t="shared" si="0"/>
        <v>14350000</v>
      </c>
      <c r="N36" s="833"/>
      <c r="O36" s="832"/>
      <c r="P36" s="832">
        <f t="shared" si="1"/>
        <v>14350000</v>
      </c>
      <c r="Q36" s="861"/>
      <c r="R36" s="853">
        <v>44228</v>
      </c>
      <c r="S36" s="854"/>
      <c r="T36" s="854"/>
      <c r="U36" s="855"/>
      <c r="V36" s="856"/>
      <c r="W36" s="811"/>
      <c r="X36" s="812"/>
      <c r="Z36" s="850"/>
      <c r="AA36" s="851"/>
      <c r="AB36" s="851"/>
      <c r="AC36" s="880"/>
      <c r="AD36" s="880"/>
      <c r="AE36" s="880"/>
      <c r="AF36" s="880"/>
      <c r="AG36" s="850"/>
      <c r="AH36" s="892"/>
      <c r="AI36" s="893"/>
      <c r="AK36" s="814">
        <f t="shared" si="5"/>
        <v>55000000</v>
      </c>
      <c r="AL36" s="814">
        <f t="shared" si="5"/>
        <v>0</v>
      </c>
      <c r="AM36" s="814">
        <f t="shared" si="3"/>
        <v>0</v>
      </c>
      <c r="AN36" s="895">
        <f t="shared" si="4"/>
        <v>0</v>
      </c>
    </row>
    <row r="37" spans="2:40">
      <c r="B37" s="810">
        <v>25</v>
      </c>
      <c r="C37" s="811" t="s">
        <v>13268</v>
      </c>
      <c r="D37" s="812">
        <v>44251</v>
      </c>
      <c r="E37" s="815" t="s">
        <v>13011</v>
      </c>
      <c r="F37" s="811" t="s">
        <v>13110</v>
      </c>
      <c r="G37" s="811" t="s">
        <v>13105</v>
      </c>
      <c r="H37" s="816"/>
      <c r="I37" s="816">
        <v>25000000</v>
      </c>
      <c r="J37" s="814"/>
      <c r="K37" s="816">
        <v>2500000</v>
      </c>
      <c r="L37" s="816"/>
      <c r="M37" s="832">
        <f t="shared" si="0"/>
        <v>16850000</v>
      </c>
      <c r="N37" s="833"/>
      <c r="O37" s="832"/>
      <c r="P37" s="832">
        <f t="shared" si="1"/>
        <v>16850000</v>
      </c>
      <c r="Q37" s="861"/>
      <c r="R37" s="853">
        <v>44228</v>
      </c>
      <c r="S37" s="854"/>
      <c r="T37" s="854"/>
      <c r="U37" s="855"/>
      <c r="V37" s="856"/>
      <c r="W37" s="811"/>
      <c r="X37" s="812"/>
      <c r="Z37" s="850"/>
      <c r="AA37" s="851"/>
      <c r="AB37" s="881"/>
      <c r="AC37" s="880"/>
      <c r="AD37" s="880"/>
      <c r="AE37" s="880"/>
      <c r="AF37" s="880"/>
      <c r="AG37" s="850"/>
      <c r="AH37" s="892"/>
      <c r="AI37" s="893"/>
      <c r="AK37" s="814">
        <f t="shared" si="5"/>
        <v>25000000</v>
      </c>
      <c r="AL37" s="814">
        <f t="shared" si="5"/>
        <v>0</v>
      </c>
      <c r="AM37" s="814">
        <f t="shared" si="3"/>
        <v>0</v>
      </c>
      <c r="AN37" s="895">
        <f t="shared" si="4"/>
        <v>0</v>
      </c>
    </row>
    <row r="38" spans="2:40">
      <c r="B38" s="810">
        <v>26</v>
      </c>
      <c r="C38" s="811" t="s">
        <v>13269</v>
      </c>
      <c r="D38" s="812">
        <v>44251</v>
      </c>
      <c r="E38" s="815" t="s">
        <v>13011</v>
      </c>
      <c r="F38" s="811" t="s">
        <v>13110</v>
      </c>
      <c r="G38" s="811" t="s">
        <v>13105</v>
      </c>
      <c r="H38" s="816"/>
      <c r="I38" s="816">
        <v>4500000</v>
      </c>
      <c r="J38" s="814"/>
      <c r="K38" s="816">
        <v>450000</v>
      </c>
      <c r="L38" s="816"/>
      <c r="M38" s="832">
        <f t="shared" si="0"/>
        <v>17300000</v>
      </c>
      <c r="N38" s="833"/>
      <c r="O38" s="832"/>
      <c r="P38" s="832">
        <f t="shared" si="1"/>
        <v>17300000</v>
      </c>
      <c r="Q38" s="861"/>
      <c r="R38" s="853">
        <v>44228</v>
      </c>
      <c r="S38" s="854"/>
      <c r="T38" s="854"/>
      <c r="U38" s="855"/>
      <c r="V38" s="856"/>
      <c r="W38" s="811"/>
      <c r="X38" s="812"/>
      <c r="Z38" s="850"/>
      <c r="AA38" s="851"/>
      <c r="AB38" s="881"/>
      <c r="AC38" s="880"/>
      <c r="AD38" s="880"/>
      <c r="AE38" s="880"/>
      <c r="AF38" s="880"/>
      <c r="AG38" s="850"/>
      <c r="AH38" s="892"/>
      <c r="AI38" s="893"/>
      <c r="AK38" s="814">
        <f t="shared" si="5"/>
        <v>4500000</v>
      </c>
      <c r="AL38" s="814">
        <f t="shared" si="5"/>
        <v>0</v>
      </c>
      <c r="AM38" s="814">
        <f t="shared" si="3"/>
        <v>0</v>
      </c>
      <c r="AN38" s="895">
        <f t="shared" si="4"/>
        <v>0</v>
      </c>
    </row>
    <row r="39" ht="15" customHeight="1" spans="2:40">
      <c r="B39" s="810">
        <v>50</v>
      </c>
      <c r="C39" s="811" t="s">
        <v>13270</v>
      </c>
      <c r="D39" s="812">
        <v>44251</v>
      </c>
      <c r="E39" s="815" t="s">
        <v>13011</v>
      </c>
      <c r="F39" s="811" t="s">
        <v>13110</v>
      </c>
      <c r="G39" s="811" t="s">
        <v>13105</v>
      </c>
      <c r="H39" s="814"/>
      <c r="I39" s="814">
        <v>13000000</v>
      </c>
      <c r="J39" s="814"/>
      <c r="K39" s="816">
        <v>1300000</v>
      </c>
      <c r="L39" s="816"/>
      <c r="M39" s="832">
        <f t="shared" si="0"/>
        <v>18600000</v>
      </c>
      <c r="N39" s="833"/>
      <c r="O39" s="832"/>
      <c r="P39" s="832">
        <f t="shared" si="1"/>
        <v>18600000</v>
      </c>
      <c r="Q39" s="861"/>
      <c r="R39" s="853">
        <v>44228</v>
      </c>
      <c r="S39" s="854"/>
      <c r="T39" s="854"/>
      <c r="U39" s="855"/>
      <c r="V39" s="856"/>
      <c r="W39" s="811"/>
      <c r="X39" s="812"/>
      <c r="Z39" s="850"/>
      <c r="AA39" s="851"/>
      <c r="AB39" s="814"/>
      <c r="AC39" s="880"/>
      <c r="AD39" s="880"/>
      <c r="AE39" s="880"/>
      <c r="AF39" s="880"/>
      <c r="AG39" s="850"/>
      <c r="AH39" s="892"/>
      <c r="AI39" s="893"/>
      <c r="AK39" s="814">
        <f>IF(K39&gt;0,K39/10%,0)</f>
        <v>13000000</v>
      </c>
      <c r="AL39" s="814">
        <f>IF(L39&gt;0,L39/10%,0)</f>
        <v>0</v>
      </c>
      <c r="AM39" s="814">
        <f t="shared" si="3"/>
        <v>0</v>
      </c>
      <c r="AN39" s="895">
        <f t="shared" si="4"/>
        <v>0</v>
      </c>
    </row>
    <row r="40" ht="15" customHeight="1" spans="2:40">
      <c r="B40" s="810">
        <v>51</v>
      </c>
      <c r="C40" s="811" t="s">
        <v>13271</v>
      </c>
      <c r="D40" s="812">
        <v>44251</v>
      </c>
      <c r="E40" s="815" t="s">
        <v>13011</v>
      </c>
      <c r="F40" s="811" t="s">
        <v>13110</v>
      </c>
      <c r="G40" s="811" t="s">
        <v>13105</v>
      </c>
      <c r="H40" s="814"/>
      <c r="I40" s="814">
        <v>4200000</v>
      </c>
      <c r="J40" s="814"/>
      <c r="K40" s="816">
        <v>420000</v>
      </c>
      <c r="L40" s="816"/>
      <c r="M40" s="832">
        <f t="shared" si="0"/>
        <v>19020000</v>
      </c>
      <c r="N40" s="833"/>
      <c r="O40" s="832"/>
      <c r="P40" s="832">
        <f t="shared" si="1"/>
        <v>19020000</v>
      </c>
      <c r="Q40" s="861"/>
      <c r="R40" s="853">
        <v>44228</v>
      </c>
      <c r="S40" s="854"/>
      <c r="T40" s="854"/>
      <c r="U40" s="855"/>
      <c r="V40" s="856"/>
      <c r="W40" s="811"/>
      <c r="X40" s="812"/>
      <c r="Z40" s="850"/>
      <c r="AA40" s="851"/>
      <c r="AB40" s="814"/>
      <c r="AC40" s="880"/>
      <c r="AD40" s="880"/>
      <c r="AE40" s="880"/>
      <c r="AF40" s="880"/>
      <c r="AG40" s="850"/>
      <c r="AH40" s="892"/>
      <c r="AI40" s="893"/>
      <c r="AK40" s="814">
        <f>IF(K40&gt;0,K40/10%,0)</f>
        <v>4200000</v>
      </c>
      <c r="AL40" s="814">
        <f>IF(L40&gt;0,L40/10%,0)</f>
        <v>0</v>
      </c>
      <c r="AM40" s="814">
        <f t="shared" si="3"/>
        <v>0</v>
      </c>
      <c r="AN40" s="895">
        <f t="shared" si="4"/>
        <v>0</v>
      </c>
    </row>
    <row r="41" spans="2:40">
      <c r="B41" s="810">
        <v>27</v>
      </c>
      <c r="C41" s="811" t="s">
        <v>13272</v>
      </c>
      <c r="D41" s="812">
        <v>44251</v>
      </c>
      <c r="E41" s="815" t="s">
        <v>13011</v>
      </c>
      <c r="F41" s="811" t="s">
        <v>13110</v>
      </c>
      <c r="G41" s="811" t="s">
        <v>13105</v>
      </c>
      <c r="H41" s="816"/>
      <c r="I41" s="816">
        <v>27500000</v>
      </c>
      <c r="J41" s="814"/>
      <c r="K41" s="816">
        <v>2750000</v>
      </c>
      <c r="L41" s="816"/>
      <c r="M41" s="832">
        <f t="shared" si="0"/>
        <v>21770000</v>
      </c>
      <c r="N41" s="833"/>
      <c r="O41" s="832"/>
      <c r="P41" s="832">
        <f t="shared" si="1"/>
        <v>21770000</v>
      </c>
      <c r="Q41" s="861"/>
      <c r="R41" s="853">
        <v>44228</v>
      </c>
      <c r="S41" s="854"/>
      <c r="T41" s="854"/>
      <c r="U41" s="855"/>
      <c r="V41" s="856"/>
      <c r="W41" s="811"/>
      <c r="X41" s="812"/>
      <c r="Z41" s="850"/>
      <c r="AA41" s="851"/>
      <c r="AB41" s="851"/>
      <c r="AC41" s="880"/>
      <c r="AD41" s="880"/>
      <c r="AE41" s="880"/>
      <c r="AF41" s="880"/>
      <c r="AG41" s="850"/>
      <c r="AH41" s="892"/>
      <c r="AI41" s="893"/>
      <c r="AK41" s="814">
        <f t="shared" si="5"/>
        <v>27500000</v>
      </c>
      <c r="AL41" s="814">
        <f t="shared" si="5"/>
        <v>0</v>
      </c>
      <c r="AM41" s="814">
        <f t="shared" si="3"/>
        <v>0</v>
      </c>
      <c r="AN41" s="895">
        <f t="shared" si="4"/>
        <v>0</v>
      </c>
    </row>
    <row r="42" spans="2:40">
      <c r="B42" s="810">
        <v>28</v>
      </c>
      <c r="C42" s="811" t="s">
        <v>13273</v>
      </c>
      <c r="D42" s="812">
        <v>44251</v>
      </c>
      <c r="E42" s="815" t="s">
        <v>13011</v>
      </c>
      <c r="F42" s="811" t="s">
        <v>13110</v>
      </c>
      <c r="G42" s="811" t="s">
        <v>13105</v>
      </c>
      <c r="H42" s="816"/>
      <c r="I42" s="816">
        <v>33600000</v>
      </c>
      <c r="J42" s="814"/>
      <c r="K42" s="816">
        <v>3360000</v>
      </c>
      <c r="L42" s="816"/>
      <c r="M42" s="832">
        <f t="shared" si="0"/>
        <v>25130000</v>
      </c>
      <c r="N42" s="833"/>
      <c r="O42" s="832"/>
      <c r="P42" s="832">
        <f t="shared" si="1"/>
        <v>25130000</v>
      </c>
      <c r="Q42" s="861"/>
      <c r="R42" s="853">
        <v>44228</v>
      </c>
      <c r="S42" s="854"/>
      <c r="T42" s="854"/>
      <c r="U42" s="855"/>
      <c r="V42" s="856"/>
      <c r="W42" s="811"/>
      <c r="X42" s="812"/>
      <c r="Z42" s="850"/>
      <c r="AA42" s="851"/>
      <c r="AB42" s="816"/>
      <c r="AC42" s="880"/>
      <c r="AD42" s="880"/>
      <c r="AE42" s="880"/>
      <c r="AF42" s="880"/>
      <c r="AG42" s="850"/>
      <c r="AH42" s="892"/>
      <c r="AI42" s="893"/>
      <c r="AK42" s="814">
        <f t="shared" si="5"/>
        <v>33600000</v>
      </c>
      <c r="AL42" s="814">
        <f t="shared" si="5"/>
        <v>0</v>
      </c>
      <c r="AM42" s="814">
        <f t="shared" si="3"/>
        <v>0</v>
      </c>
      <c r="AN42" s="895">
        <f t="shared" si="4"/>
        <v>0</v>
      </c>
    </row>
    <row r="43" hidden="1" spans="2:40">
      <c r="B43" s="810">
        <v>29</v>
      </c>
      <c r="C43" s="811" t="s">
        <v>13274</v>
      </c>
      <c r="D43" s="812">
        <v>44250</v>
      </c>
      <c r="E43" s="815" t="s">
        <v>12999</v>
      </c>
      <c r="F43" s="811" t="s">
        <v>13122</v>
      </c>
      <c r="G43" s="811" t="s">
        <v>13123</v>
      </c>
      <c r="H43" s="816">
        <v>630800</v>
      </c>
      <c r="I43" s="816"/>
      <c r="J43" s="814">
        <v>63080</v>
      </c>
      <c r="K43" s="816"/>
      <c r="L43" s="816"/>
      <c r="M43" s="832">
        <f t="shared" si="0"/>
        <v>25066920</v>
      </c>
      <c r="N43" s="833"/>
      <c r="O43" s="832"/>
      <c r="P43" s="832">
        <f t="shared" si="1"/>
        <v>25066920</v>
      </c>
      <c r="Q43" s="861"/>
      <c r="R43" s="853">
        <v>44228</v>
      </c>
      <c r="S43" s="854"/>
      <c r="T43" s="854"/>
      <c r="U43" s="855"/>
      <c r="V43" s="856"/>
      <c r="W43" s="811"/>
      <c r="X43" s="812"/>
      <c r="Z43" s="850"/>
      <c r="AA43" s="851"/>
      <c r="AB43" s="816"/>
      <c r="AC43" s="880"/>
      <c r="AD43" s="880"/>
      <c r="AE43" s="880"/>
      <c r="AF43" s="880"/>
      <c r="AG43" s="850"/>
      <c r="AH43" s="892"/>
      <c r="AI43" s="893"/>
      <c r="AK43" s="814">
        <f t="shared" si="5"/>
        <v>0</v>
      </c>
      <c r="AL43" s="814">
        <f t="shared" si="5"/>
        <v>0</v>
      </c>
      <c r="AM43" s="814">
        <f t="shared" si="3"/>
        <v>630800</v>
      </c>
      <c r="AN43" s="895">
        <f t="shared" si="4"/>
        <v>0</v>
      </c>
    </row>
    <row r="44" hidden="1" spans="2:40">
      <c r="B44" s="810">
        <v>30</v>
      </c>
      <c r="C44" s="811" t="s">
        <v>13275</v>
      </c>
      <c r="D44" s="812">
        <v>44223</v>
      </c>
      <c r="E44" s="815" t="s">
        <v>13276</v>
      </c>
      <c r="F44" s="811" t="s">
        <v>13277</v>
      </c>
      <c r="G44" s="811" t="s">
        <v>13123</v>
      </c>
      <c r="H44" s="816">
        <v>200000000</v>
      </c>
      <c r="I44" s="816"/>
      <c r="J44" s="814">
        <v>20000000</v>
      </c>
      <c r="K44" s="816"/>
      <c r="L44" s="816"/>
      <c r="M44" s="832">
        <f t="shared" si="0"/>
        <v>5066920</v>
      </c>
      <c r="N44" s="835" t="s">
        <v>12709</v>
      </c>
      <c r="O44" s="837">
        <v>5066920</v>
      </c>
      <c r="P44" s="832">
        <f t="shared" si="1"/>
        <v>0</v>
      </c>
      <c r="Q44" s="861"/>
      <c r="R44" s="853">
        <v>44228</v>
      </c>
      <c r="S44" s="854"/>
      <c r="T44" s="854"/>
      <c r="U44" s="855"/>
      <c r="V44" s="856"/>
      <c r="W44" s="811"/>
      <c r="X44" s="812"/>
      <c r="Z44" s="850"/>
      <c r="AA44" s="851"/>
      <c r="AB44" s="812"/>
      <c r="AC44" s="880"/>
      <c r="AD44" s="880"/>
      <c r="AE44" s="880"/>
      <c r="AF44" s="880"/>
      <c r="AG44" s="850"/>
      <c r="AH44" s="892"/>
      <c r="AI44" s="893"/>
      <c r="AK44" s="814">
        <f t="shared" si="5"/>
        <v>0</v>
      </c>
      <c r="AL44" s="814">
        <f t="shared" si="5"/>
        <v>0</v>
      </c>
      <c r="AM44" s="814">
        <f t="shared" si="3"/>
        <v>200000000</v>
      </c>
      <c r="AN44" s="895">
        <f t="shared" si="4"/>
        <v>0</v>
      </c>
    </row>
    <row r="45" spans="2:40">
      <c r="B45" s="810">
        <v>31</v>
      </c>
      <c r="C45" s="811" t="s">
        <v>13278</v>
      </c>
      <c r="D45" s="812">
        <v>44270</v>
      </c>
      <c r="E45" s="815" t="s">
        <v>1809</v>
      </c>
      <c r="F45" s="811" t="s">
        <v>13264</v>
      </c>
      <c r="G45" s="811" t="s">
        <v>13105</v>
      </c>
      <c r="H45" s="816"/>
      <c r="I45" s="816">
        <v>46500000</v>
      </c>
      <c r="J45" s="814"/>
      <c r="K45" s="816">
        <v>4650000</v>
      </c>
      <c r="L45" s="816"/>
      <c r="M45" s="832">
        <f t="shared" si="0"/>
        <v>4650000</v>
      </c>
      <c r="N45" s="833"/>
      <c r="O45" s="832"/>
      <c r="P45" s="832">
        <f t="shared" si="1"/>
        <v>4650000</v>
      </c>
      <c r="Q45" s="861"/>
      <c r="R45" s="853">
        <v>44256</v>
      </c>
      <c r="S45" s="854"/>
      <c r="T45" s="854"/>
      <c r="U45" s="855"/>
      <c r="V45" s="856"/>
      <c r="W45" s="811"/>
      <c r="X45" s="812"/>
      <c r="Z45" s="850"/>
      <c r="AA45" s="851"/>
      <c r="AB45" s="812"/>
      <c r="AC45" s="880"/>
      <c r="AD45" s="880"/>
      <c r="AE45" s="880"/>
      <c r="AF45" s="880"/>
      <c r="AG45" s="850"/>
      <c r="AH45" s="892"/>
      <c r="AI45" s="893"/>
      <c r="AK45" s="814">
        <f t="shared" si="5"/>
        <v>46500000</v>
      </c>
      <c r="AL45" s="814">
        <f t="shared" si="5"/>
        <v>0</v>
      </c>
      <c r="AM45" s="814">
        <f t="shared" si="3"/>
        <v>0</v>
      </c>
      <c r="AN45" s="895">
        <f t="shared" si="4"/>
        <v>0</v>
      </c>
    </row>
    <row r="46" spans="2:40">
      <c r="B46" s="810">
        <v>32</v>
      </c>
      <c r="C46" s="811" t="s">
        <v>13279</v>
      </c>
      <c r="D46" s="812">
        <v>44274</v>
      </c>
      <c r="E46" s="815" t="s">
        <v>13011</v>
      </c>
      <c r="F46" s="811" t="s">
        <v>13110</v>
      </c>
      <c r="G46" s="811" t="s">
        <v>13105</v>
      </c>
      <c r="H46" s="816"/>
      <c r="I46" s="816">
        <v>55000000</v>
      </c>
      <c r="J46" s="814"/>
      <c r="K46" s="816">
        <v>5500000</v>
      </c>
      <c r="L46" s="816"/>
      <c r="M46" s="832">
        <f t="shared" si="0"/>
        <v>10150000</v>
      </c>
      <c r="N46" s="833"/>
      <c r="O46" s="832"/>
      <c r="P46" s="832">
        <f t="shared" si="1"/>
        <v>10150000</v>
      </c>
      <c r="Q46" s="861"/>
      <c r="R46" s="853">
        <v>44256</v>
      </c>
      <c r="S46" s="854"/>
      <c r="T46" s="854"/>
      <c r="U46" s="855"/>
      <c r="V46" s="856"/>
      <c r="W46" s="811"/>
      <c r="X46" s="812"/>
      <c r="Z46" s="850"/>
      <c r="AA46" s="851"/>
      <c r="AB46" s="812"/>
      <c r="AC46" s="880"/>
      <c r="AD46" s="880"/>
      <c r="AE46" s="880"/>
      <c r="AF46" s="880"/>
      <c r="AG46" s="850"/>
      <c r="AH46" s="892"/>
      <c r="AI46" s="893"/>
      <c r="AK46" s="814">
        <f t="shared" si="5"/>
        <v>55000000</v>
      </c>
      <c r="AL46" s="814">
        <f t="shared" si="5"/>
        <v>0</v>
      </c>
      <c r="AM46" s="814">
        <f t="shared" si="3"/>
        <v>0</v>
      </c>
      <c r="AN46" s="895">
        <f t="shared" si="4"/>
        <v>0</v>
      </c>
    </row>
    <row r="47" spans="2:40">
      <c r="B47" s="810">
        <v>33</v>
      </c>
      <c r="C47" s="811" t="s">
        <v>13280</v>
      </c>
      <c r="D47" s="812">
        <v>44274</v>
      </c>
      <c r="E47" s="815" t="s">
        <v>13011</v>
      </c>
      <c r="F47" s="811" t="s">
        <v>13110</v>
      </c>
      <c r="G47" s="811" t="s">
        <v>13105</v>
      </c>
      <c r="H47" s="816"/>
      <c r="I47" s="816">
        <v>25000000</v>
      </c>
      <c r="J47" s="814"/>
      <c r="K47" s="816">
        <v>2500000</v>
      </c>
      <c r="L47" s="816"/>
      <c r="M47" s="832">
        <f t="shared" si="0"/>
        <v>12650000</v>
      </c>
      <c r="N47" s="833"/>
      <c r="O47" s="832"/>
      <c r="P47" s="832">
        <f t="shared" si="1"/>
        <v>12650000</v>
      </c>
      <c r="Q47" s="861"/>
      <c r="R47" s="853">
        <v>44256</v>
      </c>
      <c r="S47" s="854"/>
      <c r="T47" s="854"/>
      <c r="U47" s="855"/>
      <c r="V47" s="856"/>
      <c r="W47" s="811"/>
      <c r="X47" s="812"/>
      <c r="Z47" s="850"/>
      <c r="AA47" s="851"/>
      <c r="AB47" s="812"/>
      <c r="AC47" s="880"/>
      <c r="AD47" s="880"/>
      <c r="AE47" s="880"/>
      <c r="AF47" s="880"/>
      <c r="AG47" s="850"/>
      <c r="AH47" s="892"/>
      <c r="AI47" s="893"/>
      <c r="AK47" s="814">
        <f t="shared" si="5"/>
        <v>25000000</v>
      </c>
      <c r="AL47" s="814">
        <f t="shared" si="5"/>
        <v>0</v>
      </c>
      <c r="AM47" s="814">
        <f t="shared" si="3"/>
        <v>0</v>
      </c>
      <c r="AN47" s="895">
        <f t="shared" si="4"/>
        <v>0</v>
      </c>
    </row>
    <row r="48" spans="2:40">
      <c r="B48" s="810">
        <v>34</v>
      </c>
      <c r="C48" s="811" t="s">
        <v>13281</v>
      </c>
      <c r="D48" s="812">
        <v>44274</v>
      </c>
      <c r="E48" s="815" t="s">
        <v>13011</v>
      </c>
      <c r="F48" s="811" t="s">
        <v>13110</v>
      </c>
      <c r="G48" s="811" t="s">
        <v>13105</v>
      </c>
      <c r="H48" s="816"/>
      <c r="I48" s="816">
        <v>4500000</v>
      </c>
      <c r="J48" s="814"/>
      <c r="K48" s="816">
        <v>450000</v>
      </c>
      <c r="L48" s="816"/>
      <c r="M48" s="832">
        <f t="shared" si="0"/>
        <v>13100000</v>
      </c>
      <c r="N48" s="833"/>
      <c r="O48" s="832"/>
      <c r="P48" s="832">
        <f t="shared" si="1"/>
        <v>13100000</v>
      </c>
      <c r="Q48" s="861"/>
      <c r="R48" s="853">
        <v>44256</v>
      </c>
      <c r="S48" s="854"/>
      <c r="T48" s="854"/>
      <c r="U48" s="855"/>
      <c r="V48" s="856"/>
      <c r="W48" s="811"/>
      <c r="X48" s="812"/>
      <c r="Z48" s="850"/>
      <c r="AA48" s="851"/>
      <c r="AB48" s="814"/>
      <c r="AC48" s="880"/>
      <c r="AD48" s="880"/>
      <c r="AE48" s="880"/>
      <c r="AF48" s="880"/>
      <c r="AG48" s="850"/>
      <c r="AH48" s="892"/>
      <c r="AI48" s="893"/>
      <c r="AK48" s="814">
        <f t="shared" si="5"/>
        <v>4500000</v>
      </c>
      <c r="AL48" s="814">
        <f t="shared" si="5"/>
        <v>0</v>
      </c>
      <c r="AM48" s="814">
        <f t="shared" si="3"/>
        <v>0</v>
      </c>
      <c r="AN48" s="895">
        <f t="shared" si="4"/>
        <v>0</v>
      </c>
    </row>
    <row r="49" spans="2:40">
      <c r="B49" s="810">
        <v>35</v>
      </c>
      <c r="C49" s="811" t="s">
        <v>13282</v>
      </c>
      <c r="D49" s="812">
        <v>44274</v>
      </c>
      <c r="E49" s="815" t="s">
        <v>13011</v>
      </c>
      <c r="F49" s="811" t="s">
        <v>13110</v>
      </c>
      <c r="G49" s="811" t="s">
        <v>13105</v>
      </c>
      <c r="H49" s="816"/>
      <c r="I49" s="816">
        <v>13000000</v>
      </c>
      <c r="J49" s="814"/>
      <c r="K49" s="816">
        <v>1300000</v>
      </c>
      <c r="L49" s="816"/>
      <c r="M49" s="832">
        <f t="shared" si="0"/>
        <v>14400000</v>
      </c>
      <c r="N49" s="833"/>
      <c r="O49" s="832"/>
      <c r="P49" s="832">
        <f t="shared" si="1"/>
        <v>14400000</v>
      </c>
      <c r="Q49" s="861"/>
      <c r="R49" s="853">
        <v>44256</v>
      </c>
      <c r="S49" s="854"/>
      <c r="T49" s="854"/>
      <c r="U49" s="855"/>
      <c r="V49" s="856"/>
      <c r="W49" s="811"/>
      <c r="X49" s="812"/>
      <c r="Z49" s="850"/>
      <c r="AA49" s="851"/>
      <c r="AB49" s="851"/>
      <c r="AC49" s="880"/>
      <c r="AD49" s="880"/>
      <c r="AE49" s="880"/>
      <c r="AF49" s="880"/>
      <c r="AG49" s="850"/>
      <c r="AH49" s="892"/>
      <c r="AI49" s="893"/>
      <c r="AK49" s="814">
        <f t="shared" si="5"/>
        <v>13000000</v>
      </c>
      <c r="AL49" s="814">
        <f t="shared" si="5"/>
        <v>0</v>
      </c>
      <c r="AM49" s="814">
        <f t="shared" si="3"/>
        <v>0</v>
      </c>
      <c r="AN49" s="895">
        <f t="shared" si="4"/>
        <v>0</v>
      </c>
    </row>
    <row r="50" spans="2:40">
      <c r="B50" s="810">
        <v>36</v>
      </c>
      <c r="C50" s="811" t="s">
        <v>13283</v>
      </c>
      <c r="D50" s="812">
        <v>44274</v>
      </c>
      <c r="E50" s="815" t="s">
        <v>13011</v>
      </c>
      <c r="F50" s="811" t="s">
        <v>13110</v>
      </c>
      <c r="G50" s="811" t="s">
        <v>13105</v>
      </c>
      <c r="H50" s="816"/>
      <c r="I50" s="816">
        <v>4200000</v>
      </c>
      <c r="J50" s="814"/>
      <c r="K50" s="816">
        <v>420000</v>
      </c>
      <c r="L50" s="816"/>
      <c r="M50" s="832">
        <f t="shared" si="0"/>
        <v>14820000</v>
      </c>
      <c r="N50" s="833"/>
      <c r="O50" s="832"/>
      <c r="P50" s="832">
        <f t="shared" si="1"/>
        <v>14820000</v>
      </c>
      <c r="Q50" s="861"/>
      <c r="R50" s="853">
        <v>44256</v>
      </c>
      <c r="S50" s="854"/>
      <c r="T50" s="854"/>
      <c r="U50" s="855"/>
      <c r="V50" s="856"/>
      <c r="W50" s="811"/>
      <c r="X50" s="812"/>
      <c r="Z50" s="850"/>
      <c r="AA50" s="851"/>
      <c r="AB50" s="851"/>
      <c r="AC50" s="880"/>
      <c r="AD50" s="880"/>
      <c r="AE50" s="880"/>
      <c r="AF50" s="880"/>
      <c r="AG50" s="850"/>
      <c r="AH50" s="892"/>
      <c r="AI50" s="893"/>
      <c r="AK50" s="814">
        <f t="shared" si="5"/>
        <v>4200000</v>
      </c>
      <c r="AL50" s="814">
        <f t="shared" si="5"/>
        <v>0</v>
      </c>
      <c r="AM50" s="814">
        <f t="shared" si="3"/>
        <v>0</v>
      </c>
      <c r="AN50" s="895">
        <f t="shared" si="4"/>
        <v>0</v>
      </c>
    </row>
    <row r="51" ht="15" customHeight="1" spans="2:40">
      <c r="B51" s="810">
        <v>38</v>
      </c>
      <c r="C51" s="811" t="s">
        <v>13284</v>
      </c>
      <c r="D51" s="812">
        <v>44274</v>
      </c>
      <c r="E51" s="815" t="s">
        <v>13011</v>
      </c>
      <c r="F51" s="811" t="s">
        <v>13110</v>
      </c>
      <c r="G51" s="811" t="s">
        <v>13105</v>
      </c>
      <c r="H51" s="816"/>
      <c r="I51" s="816">
        <v>27500000</v>
      </c>
      <c r="J51" s="814"/>
      <c r="K51" s="816">
        <v>2750000</v>
      </c>
      <c r="L51" s="816"/>
      <c r="M51" s="832">
        <f t="shared" si="0"/>
        <v>17570000</v>
      </c>
      <c r="N51" s="833"/>
      <c r="O51" s="832"/>
      <c r="P51" s="832">
        <f t="shared" si="1"/>
        <v>17570000</v>
      </c>
      <c r="Q51" s="861"/>
      <c r="R51" s="853">
        <v>44256</v>
      </c>
      <c r="S51" s="854"/>
      <c r="T51" s="854"/>
      <c r="U51" s="855"/>
      <c r="V51" s="856"/>
      <c r="W51" s="811"/>
      <c r="X51" s="812"/>
      <c r="Z51" s="850"/>
      <c r="AA51" s="851"/>
      <c r="AB51" s="851"/>
      <c r="AC51" s="880"/>
      <c r="AD51" s="880"/>
      <c r="AE51" s="880"/>
      <c r="AF51" s="880"/>
      <c r="AG51" s="850"/>
      <c r="AH51" s="892"/>
      <c r="AI51" s="893"/>
      <c r="AK51" s="814">
        <f>IF(K51&gt;0,K51/10%,0)</f>
        <v>27500000</v>
      </c>
      <c r="AL51" s="814">
        <f>IF(L51&gt;0,L51/10%,0)</f>
        <v>0</v>
      </c>
      <c r="AM51" s="814">
        <f t="shared" si="3"/>
        <v>0</v>
      </c>
      <c r="AN51" s="895">
        <f t="shared" si="4"/>
        <v>0</v>
      </c>
    </row>
    <row r="52" ht="15" customHeight="1" spans="2:40">
      <c r="B52" s="810">
        <v>37</v>
      </c>
      <c r="C52" s="811" t="s">
        <v>13285</v>
      </c>
      <c r="D52" s="812">
        <v>44274</v>
      </c>
      <c r="E52" s="815" t="s">
        <v>13011</v>
      </c>
      <c r="F52" s="811" t="s">
        <v>13110</v>
      </c>
      <c r="G52" s="811" t="s">
        <v>13105</v>
      </c>
      <c r="H52" s="816"/>
      <c r="I52" s="816">
        <v>36000000</v>
      </c>
      <c r="J52" s="814"/>
      <c r="K52" s="816">
        <v>3600000</v>
      </c>
      <c r="L52" s="816"/>
      <c r="M52" s="832">
        <f t="shared" si="0"/>
        <v>21170000</v>
      </c>
      <c r="N52" s="833"/>
      <c r="O52" s="832"/>
      <c r="P52" s="832">
        <f t="shared" si="1"/>
        <v>21170000</v>
      </c>
      <c r="Q52" s="861"/>
      <c r="R52" s="853">
        <v>44256</v>
      </c>
      <c r="S52" s="854"/>
      <c r="T52" s="854"/>
      <c r="U52" s="855"/>
      <c r="V52" s="856"/>
      <c r="W52" s="811"/>
      <c r="X52" s="812"/>
      <c r="Z52" s="850"/>
      <c r="AA52" s="851"/>
      <c r="AB52" s="851"/>
      <c r="AC52" s="880"/>
      <c r="AD52" s="880"/>
      <c r="AE52" s="880"/>
      <c r="AF52" s="880"/>
      <c r="AG52" s="850"/>
      <c r="AH52" s="892"/>
      <c r="AI52" s="893"/>
      <c r="AK52" s="814">
        <f t="shared" si="5"/>
        <v>36000000</v>
      </c>
      <c r="AL52" s="814">
        <f t="shared" si="5"/>
        <v>0</v>
      </c>
      <c r="AM52" s="814">
        <f t="shared" si="3"/>
        <v>0</v>
      </c>
      <c r="AN52" s="895">
        <f t="shared" si="4"/>
        <v>0</v>
      </c>
    </row>
    <row r="53" spans="2:40">
      <c r="B53" s="810">
        <v>39</v>
      </c>
      <c r="C53" s="811" t="s">
        <v>13286</v>
      </c>
      <c r="D53" s="812">
        <v>44277</v>
      </c>
      <c r="E53" s="815" t="s">
        <v>13006</v>
      </c>
      <c r="F53" s="811" t="s">
        <v>13119</v>
      </c>
      <c r="G53" s="811" t="s">
        <v>13105</v>
      </c>
      <c r="H53" s="816"/>
      <c r="I53" s="816">
        <v>42500000</v>
      </c>
      <c r="J53" s="814"/>
      <c r="K53" s="816">
        <v>4250000</v>
      </c>
      <c r="L53" s="816"/>
      <c r="M53" s="832">
        <f t="shared" si="0"/>
        <v>25420000</v>
      </c>
      <c r="N53" s="833"/>
      <c r="O53" s="832"/>
      <c r="P53" s="832">
        <f t="shared" si="1"/>
        <v>25420000</v>
      </c>
      <c r="Q53" s="861"/>
      <c r="R53" s="853">
        <v>44256</v>
      </c>
      <c r="S53" s="854"/>
      <c r="T53" s="854"/>
      <c r="U53" s="855"/>
      <c r="V53" s="856"/>
      <c r="W53" s="811"/>
      <c r="X53" s="812"/>
      <c r="Z53" s="850"/>
      <c r="AA53" s="851"/>
      <c r="AB53" s="851"/>
      <c r="AC53" s="880"/>
      <c r="AD53" s="880"/>
      <c r="AE53" s="880"/>
      <c r="AF53" s="880"/>
      <c r="AG53" s="850"/>
      <c r="AH53" s="892"/>
      <c r="AI53" s="893"/>
      <c r="AK53" s="814">
        <f t="shared" si="5"/>
        <v>42500000</v>
      </c>
      <c r="AL53" s="814">
        <f t="shared" si="5"/>
        <v>0</v>
      </c>
      <c r="AM53" s="814">
        <f t="shared" si="3"/>
        <v>0</v>
      </c>
      <c r="AN53" s="895">
        <f t="shared" si="4"/>
        <v>0</v>
      </c>
    </row>
    <row r="54" spans="2:40">
      <c r="B54" s="810">
        <v>40</v>
      </c>
      <c r="C54" s="811" t="s">
        <v>13287</v>
      </c>
      <c r="D54" s="812">
        <v>44277</v>
      </c>
      <c r="E54" s="815" t="s">
        <v>13006</v>
      </c>
      <c r="F54" s="811" t="s">
        <v>13119</v>
      </c>
      <c r="G54" s="811" t="s">
        <v>13105</v>
      </c>
      <c r="H54" s="816"/>
      <c r="I54" s="816">
        <v>42000000</v>
      </c>
      <c r="J54" s="814"/>
      <c r="K54" s="816">
        <v>4200000</v>
      </c>
      <c r="L54" s="816"/>
      <c r="M54" s="832">
        <f t="shared" si="0"/>
        <v>29620000</v>
      </c>
      <c r="N54" s="833"/>
      <c r="O54" s="832"/>
      <c r="P54" s="832">
        <f t="shared" si="1"/>
        <v>29620000</v>
      </c>
      <c r="Q54" s="861"/>
      <c r="R54" s="853">
        <v>44256</v>
      </c>
      <c r="S54" s="854"/>
      <c r="T54" s="854"/>
      <c r="U54" s="855"/>
      <c r="V54" s="856"/>
      <c r="W54" s="811"/>
      <c r="X54" s="812"/>
      <c r="Z54" s="850"/>
      <c r="AA54" s="851"/>
      <c r="AB54" s="851"/>
      <c r="AC54" s="880"/>
      <c r="AD54" s="880"/>
      <c r="AE54" s="880"/>
      <c r="AF54" s="880"/>
      <c r="AG54" s="850"/>
      <c r="AH54" s="892"/>
      <c r="AI54" s="893"/>
      <c r="AK54" s="814">
        <f t="shared" si="5"/>
        <v>42000000</v>
      </c>
      <c r="AL54" s="814">
        <f t="shared" si="5"/>
        <v>0</v>
      </c>
      <c r="AM54" s="814">
        <f t="shared" si="3"/>
        <v>0</v>
      </c>
      <c r="AN54" s="895">
        <f t="shared" si="4"/>
        <v>0</v>
      </c>
    </row>
    <row r="55" hidden="1" spans="2:42">
      <c r="B55" s="810">
        <v>41</v>
      </c>
      <c r="C55" s="811" t="s">
        <v>13288</v>
      </c>
      <c r="D55" s="812">
        <v>44277</v>
      </c>
      <c r="E55" s="815" t="s">
        <v>1479</v>
      </c>
      <c r="F55" s="811" t="s">
        <v>13104</v>
      </c>
      <c r="G55" s="811" t="s">
        <v>13105</v>
      </c>
      <c r="H55" s="816"/>
      <c r="I55" s="838"/>
      <c r="J55" s="814"/>
      <c r="K55" s="816"/>
      <c r="L55" s="816"/>
      <c r="M55" s="832">
        <f t="shared" si="0"/>
        <v>29620000</v>
      </c>
      <c r="N55" s="833"/>
      <c r="O55" s="832"/>
      <c r="P55" s="832">
        <f t="shared" si="1"/>
        <v>29620000</v>
      </c>
      <c r="Q55" s="861"/>
      <c r="R55" s="853">
        <v>44256</v>
      </c>
      <c r="S55" s="854"/>
      <c r="T55" s="854"/>
      <c r="U55" s="855"/>
      <c r="V55" s="856"/>
      <c r="W55" s="811"/>
      <c r="X55" s="812"/>
      <c r="Z55" s="850"/>
      <c r="AA55" s="851"/>
      <c r="AB55" s="812"/>
      <c r="AC55" s="880"/>
      <c r="AD55" s="880"/>
      <c r="AE55" s="880"/>
      <c r="AF55" s="880"/>
      <c r="AG55" s="850"/>
      <c r="AH55" s="892"/>
      <c r="AI55" s="893"/>
      <c r="AK55" s="814">
        <f t="shared" si="5"/>
        <v>0</v>
      </c>
      <c r="AL55" s="814">
        <f t="shared" si="5"/>
        <v>0</v>
      </c>
      <c r="AM55" s="814">
        <f t="shared" si="3"/>
        <v>0</v>
      </c>
      <c r="AN55" s="895">
        <f t="shared" si="4"/>
        <v>0</v>
      </c>
      <c r="AO55" s="784">
        <v>70620516</v>
      </c>
      <c r="AP55" s="896">
        <f>M55+AO55</f>
        <v>100240516</v>
      </c>
    </row>
    <row r="56" hidden="1" spans="2:40">
      <c r="B56" s="810">
        <v>42</v>
      </c>
      <c r="C56" s="811" t="s">
        <v>13289</v>
      </c>
      <c r="D56" s="812">
        <v>44277</v>
      </c>
      <c r="E56" s="815" t="s">
        <v>1479</v>
      </c>
      <c r="F56" s="811" t="s">
        <v>13104</v>
      </c>
      <c r="G56" s="811" t="s">
        <v>13105</v>
      </c>
      <c r="H56" s="816"/>
      <c r="I56" s="816"/>
      <c r="J56" s="814"/>
      <c r="K56" s="816"/>
      <c r="L56" s="816"/>
      <c r="M56" s="832">
        <f t="shared" si="0"/>
        <v>29620000</v>
      </c>
      <c r="N56" s="833"/>
      <c r="O56" s="832"/>
      <c r="P56" s="832">
        <f t="shared" si="1"/>
        <v>29620000</v>
      </c>
      <c r="Q56" s="861"/>
      <c r="R56" s="853">
        <v>44256</v>
      </c>
      <c r="S56" s="854"/>
      <c r="T56" s="854"/>
      <c r="U56" s="855"/>
      <c r="V56" s="856"/>
      <c r="W56" s="811"/>
      <c r="X56" s="812"/>
      <c r="Z56" s="850"/>
      <c r="AA56" s="851"/>
      <c r="AB56" s="851"/>
      <c r="AC56" s="880"/>
      <c r="AD56" s="880"/>
      <c r="AE56" s="880"/>
      <c r="AF56" s="880"/>
      <c r="AG56" s="850"/>
      <c r="AH56" s="892"/>
      <c r="AI56" s="893"/>
      <c r="AK56" s="814">
        <f t="shared" si="5"/>
        <v>0</v>
      </c>
      <c r="AL56" s="814">
        <f t="shared" si="5"/>
        <v>0</v>
      </c>
      <c r="AM56" s="814">
        <f t="shared" si="3"/>
        <v>0</v>
      </c>
      <c r="AN56" s="895">
        <f t="shared" si="4"/>
        <v>0</v>
      </c>
    </row>
    <row r="57" spans="2:40">
      <c r="B57" s="810">
        <v>43</v>
      </c>
      <c r="C57" s="811" t="s">
        <v>13290</v>
      </c>
      <c r="D57" s="812">
        <v>44277</v>
      </c>
      <c r="E57" s="815" t="s">
        <v>13007</v>
      </c>
      <c r="F57" s="811" t="s">
        <v>13116</v>
      </c>
      <c r="G57" s="811" t="s">
        <v>13105</v>
      </c>
      <c r="H57" s="816"/>
      <c r="I57" s="816">
        <v>15000000</v>
      </c>
      <c r="J57" s="814"/>
      <c r="K57" s="816">
        <v>1500000</v>
      </c>
      <c r="L57" s="816"/>
      <c r="M57" s="832">
        <f t="shared" si="0"/>
        <v>31120000</v>
      </c>
      <c r="N57" s="833"/>
      <c r="O57" s="832"/>
      <c r="P57" s="832">
        <f t="shared" si="1"/>
        <v>31120000</v>
      </c>
      <c r="Q57" s="861"/>
      <c r="R57" s="853">
        <v>44256</v>
      </c>
      <c r="S57" s="854"/>
      <c r="T57" s="854"/>
      <c r="U57" s="855"/>
      <c r="V57" s="856"/>
      <c r="W57" s="811"/>
      <c r="X57" s="812"/>
      <c r="Z57" s="850"/>
      <c r="AA57" s="851"/>
      <c r="AB57" s="851"/>
      <c r="AC57" s="880"/>
      <c r="AD57" s="880"/>
      <c r="AE57" s="880"/>
      <c r="AF57" s="880"/>
      <c r="AG57" s="850"/>
      <c r="AH57" s="892"/>
      <c r="AI57" s="893"/>
      <c r="AK57" s="814">
        <f t="shared" si="5"/>
        <v>15000000</v>
      </c>
      <c r="AL57" s="814">
        <f t="shared" si="5"/>
        <v>0</v>
      </c>
      <c r="AM57" s="814">
        <f t="shared" si="3"/>
        <v>0</v>
      </c>
      <c r="AN57" s="895">
        <f t="shared" si="4"/>
        <v>0</v>
      </c>
    </row>
    <row r="58" spans="2:40">
      <c r="B58" s="810">
        <v>44</v>
      </c>
      <c r="C58" s="811" t="s">
        <v>13291</v>
      </c>
      <c r="D58" s="812">
        <v>44277</v>
      </c>
      <c r="E58" s="815" t="s">
        <v>13007</v>
      </c>
      <c r="F58" s="811" t="s">
        <v>13116</v>
      </c>
      <c r="G58" s="811" t="s">
        <v>13105</v>
      </c>
      <c r="H58" s="816"/>
      <c r="I58" s="816">
        <v>27000000</v>
      </c>
      <c r="J58" s="814"/>
      <c r="K58" s="816">
        <v>2700000</v>
      </c>
      <c r="L58" s="816"/>
      <c r="M58" s="832">
        <f t="shared" si="0"/>
        <v>33820000</v>
      </c>
      <c r="N58" s="833"/>
      <c r="O58" s="832"/>
      <c r="P58" s="832">
        <f t="shared" si="1"/>
        <v>33820000</v>
      </c>
      <c r="Q58" s="861"/>
      <c r="R58" s="853">
        <v>44256</v>
      </c>
      <c r="S58" s="854"/>
      <c r="T58" s="854"/>
      <c r="U58" s="855"/>
      <c r="V58" s="856"/>
      <c r="W58" s="811"/>
      <c r="X58" s="812"/>
      <c r="Z58" s="850"/>
      <c r="AA58" s="851"/>
      <c r="AB58" s="851"/>
      <c r="AC58" s="880"/>
      <c r="AD58" s="880"/>
      <c r="AE58" s="880"/>
      <c r="AF58" s="880"/>
      <c r="AG58" s="850"/>
      <c r="AH58" s="892"/>
      <c r="AI58" s="893"/>
      <c r="AK58" s="814">
        <f t="shared" si="5"/>
        <v>27000000</v>
      </c>
      <c r="AL58" s="814">
        <f t="shared" si="5"/>
        <v>0</v>
      </c>
      <c r="AM58" s="814">
        <f t="shared" si="3"/>
        <v>0</v>
      </c>
      <c r="AN58" s="895">
        <f t="shared" si="4"/>
        <v>0</v>
      </c>
    </row>
    <row r="59" hidden="1" spans="2:40">
      <c r="B59" s="810">
        <v>45</v>
      </c>
      <c r="C59" s="811" t="s">
        <v>13292</v>
      </c>
      <c r="D59" s="812">
        <v>44277</v>
      </c>
      <c r="E59" s="815" t="s">
        <v>12999</v>
      </c>
      <c r="F59" s="811" t="s">
        <v>13122</v>
      </c>
      <c r="G59" s="811" t="s">
        <v>13123</v>
      </c>
      <c r="H59" s="816">
        <v>645200</v>
      </c>
      <c r="I59" s="816"/>
      <c r="J59" s="814">
        <v>64520</v>
      </c>
      <c r="K59" s="816"/>
      <c r="L59" s="816"/>
      <c r="M59" s="832">
        <f t="shared" si="0"/>
        <v>33755480</v>
      </c>
      <c r="N59" s="835" t="s">
        <v>12709</v>
      </c>
      <c r="O59" s="837">
        <v>33755480</v>
      </c>
      <c r="P59" s="832">
        <f t="shared" si="1"/>
        <v>0</v>
      </c>
      <c r="Q59" s="861"/>
      <c r="R59" s="862">
        <v>44256</v>
      </c>
      <c r="S59" s="854"/>
      <c r="T59" s="854"/>
      <c r="U59" s="855"/>
      <c r="V59" s="856"/>
      <c r="W59" s="811"/>
      <c r="X59" s="812"/>
      <c r="Z59" s="850"/>
      <c r="AA59" s="851"/>
      <c r="AB59" s="851"/>
      <c r="AC59" s="880"/>
      <c r="AD59" s="880"/>
      <c r="AE59" s="880"/>
      <c r="AF59" s="880"/>
      <c r="AG59" s="850"/>
      <c r="AH59" s="892"/>
      <c r="AI59" s="893"/>
      <c r="AK59" s="814">
        <f t="shared" si="5"/>
        <v>0</v>
      </c>
      <c r="AL59" s="814">
        <f t="shared" si="5"/>
        <v>0</v>
      </c>
      <c r="AM59" s="814">
        <f t="shared" si="3"/>
        <v>645200</v>
      </c>
      <c r="AN59" s="895">
        <f t="shared" si="4"/>
        <v>0</v>
      </c>
    </row>
    <row r="60" spans="2:40">
      <c r="B60" s="810">
        <v>46</v>
      </c>
      <c r="C60" s="811" t="s">
        <v>13293</v>
      </c>
      <c r="D60" s="812">
        <v>44287</v>
      </c>
      <c r="E60" s="815" t="s">
        <v>1479</v>
      </c>
      <c r="F60" s="811" t="s">
        <v>13104</v>
      </c>
      <c r="G60" s="811" t="s">
        <v>13105</v>
      </c>
      <c r="H60" s="816"/>
      <c r="I60" s="816">
        <v>30400000</v>
      </c>
      <c r="J60" s="814"/>
      <c r="K60" s="816"/>
      <c r="L60" s="816">
        <v>3040000</v>
      </c>
      <c r="M60" s="832">
        <f t="shared" si="0"/>
        <v>0</v>
      </c>
      <c r="N60" s="833"/>
      <c r="O60" s="832"/>
      <c r="P60" s="832">
        <f t="shared" si="1"/>
        <v>0</v>
      </c>
      <c r="Q60" s="861"/>
      <c r="R60" s="853">
        <v>44287</v>
      </c>
      <c r="S60" s="854"/>
      <c r="T60" s="854"/>
      <c r="U60" s="855"/>
      <c r="V60" s="856"/>
      <c r="W60" s="811"/>
      <c r="X60" s="812"/>
      <c r="Z60" s="850"/>
      <c r="AA60" s="851"/>
      <c r="AB60" s="851"/>
      <c r="AC60" s="880"/>
      <c r="AD60" s="880"/>
      <c r="AE60" s="880"/>
      <c r="AF60" s="880"/>
      <c r="AG60" s="850"/>
      <c r="AH60" s="892"/>
      <c r="AI60" s="893"/>
      <c r="AK60" s="814">
        <f t="shared" si="5"/>
        <v>0</v>
      </c>
      <c r="AL60" s="814">
        <f t="shared" si="5"/>
        <v>30400000</v>
      </c>
      <c r="AM60" s="814">
        <f t="shared" si="3"/>
        <v>0</v>
      </c>
      <c r="AN60" s="895">
        <f t="shared" si="4"/>
        <v>0</v>
      </c>
    </row>
    <row r="61" spans="2:40">
      <c r="B61" s="810">
        <v>47</v>
      </c>
      <c r="C61" s="811" t="s">
        <v>13294</v>
      </c>
      <c r="D61" s="812">
        <v>44287</v>
      </c>
      <c r="E61" s="815" t="s">
        <v>1479</v>
      </c>
      <c r="F61" s="811" t="s">
        <v>13104</v>
      </c>
      <c r="G61" s="811" t="s">
        <v>13105</v>
      </c>
      <c r="H61" s="816"/>
      <c r="I61" s="816">
        <v>22021284</v>
      </c>
      <c r="J61" s="814"/>
      <c r="K61" s="816"/>
      <c r="L61" s="816">
        <v>2202128</v>
      </c>
      <c r="M61" s="832">
        <f t="shared" si="0"/>
        <v>0</v>
      </c>
      <c r="N61" s="833"/>
      <c r="O61" s="832"/>
      <c r="P61" s="832">
        <f t="shared" si="1"/>
        <v>0</v>
      </c>
      <c r="Q61" s="861"/>
      <c r="R61" s="853">
        <v>44287</v>
      </c>
      <c r="S61" s="854"/>
      <c r="T61" s="854"/>
      <c r="U61" s="855"/>
      <c r="V61" s="856"/>
      <c r="W61" s="811"/>
      <c r="X61" s="812"/>
      <c r="Z61" s="850"/>
      <c r="AA61" s="851"/>
      <c r="AB61" s="851"/>
      <c r="AC61" s="880"/>
      <c r="AD61" s="880"/>
      <c r="AE61" s="880"/>
      <c r="AF61" s="880"/>
      <c r="AG61" s="850"/>
      <c r="AH61" s="892"/>
      <c r="AI61" s="893"/>
      <c r="AK61" s="814">
        <f t="shared" si="5"/>
        <v>0</v>
      </c>
      <c r="AL61" s="814">
        <f t="shared" si="5"/>
        <v>22021280</v>
      </c>
      <c r="AM61" s="814">
        <f t="shared" si="3"/>
        <v>0</v>
      </c>
      <c r="AN61" s="895">
        <f t="shared" si="4"/>
        <v>-4</v>
      </c>
    </row>
    <row r="62" spans="2:40">
      <c r="B62" s="810">
        <v>48</v>
      </c>
      <c r="C62" s="811" t="s">
        <v>13295</v>
      </c>
      <c r="D62" s="812">
        <v>44287</v>
      </c>
      <c r="E62" s="815" t="s">
        <v>1479</v>
      </c>
      <c r="F62" s="811" t="s">
        <v>13104</v>
      </c>
      <c r="G62" s="811" t="s">
        <v>13105</v>
      </c>
      <c r="H62" s="816"/>
      <c r="I62" s="816">
        <v>30400000</v>
      </c>
      <c r="J62" s="814"/>
      <c r="K62" s="816"/>
      <c r="L62" s="816">
        <v>3040000</v>
      </c>
      <c r="M62" s="832">
        <f t="shared" si="0"/>
        <v>0</v>
      </c>
      <c r="N62" s="833"/>
      <c r="O62" s="832"/>
      <c r="P62" s="832">
        <f t="shared" si="1"/>
        <v>0</v>
      </c>
      <c r="Q62" s="861"/>
      <c r="R62" s="853">
        <v>44287</v>
      </c>
      <c r="S62" s="854"/>
      <c r="T62" s="854"/>
      <c r="U62" s="855"/>
      <c r="V62" s="856"/>
      <c r="W62" s="811"/>
      <c r="X62" s="812"/>
      <c r="Z62" s="850"/>
      <c r="AA62" s="851"/>
      <c r="AB62" s="880"/>
      <c r="AC62" s="880"/>
      <c r="AD62" s="880"/>
      <c r="AE62" s="880"/>
      <c r="AF62" s="880"/>
      <c r="AG62" s="850"/>
      <c r="AH62" s="892"/>
      <c r="AI62" s="893"/>
      <c r="AK62" s="814">
        <f t="shared" si="5"/>
        <v>0</v>
      </c>
      <c r="AL62" s="814">
        <f t="shared" si="5"/>
        <v>30400000</v>
      </c>
      <c r="AM62" s="814">
        <f t="shared" si="3"/>
        <v>0</v>
      </c>
      <c r="AN62" s="895">
        <f t="shared" si="4"/>
        <v>0</v>
      </c>
    </row>
    <row r="63" spans="2:40">
      <c r="B63" s="810">
        <v>49</v>
      </c>
      <c r="C63" s="811" t="s">
        <v>13296</v>
      </c>
      <c r="D63" s="812">
        <v>44287</v>
      </c>
      <c r="E63" s="815" t="s">
        <v>1479</v>
      </c>
      <c r="F63" s="811" t="s">
        <v>13104</v>
      </c>
      <c r="G63" s="811" t="s">
        <v>13105</v>
      </c>
      <c r="H63" s="816"/>
      <c r="I63" s="816">
        <v>19042164</v>
      </c>
      <c r="J63" s="814"/>
      <c r="K63" s="816"/>
      <c r="L63" s="816">
        <v>1904216</v>
      </c>
      <c r="M63" s="832">
        <f t="shared" si="0"/>
        <v>0</v>
      </c>
      <c r="N63" s="833"/>
      <c r="O63" s="832"/>
      <c r="P63" s="832">
        <f t="shared" si="1"/>
        <v>0</v>
      </c>
      <c r="Q63" s="861"/>
      <c r="R63" s="853">
        <v>44287</v>
      </c>
      <c r="S63" s="854"/>
      <c r="T63" s="854"/>
      <c r="U63" s="855"/>
      <c r="V63" s="856"/>
      <c r="W63" s="811"/>
      <c r="X63" s="812"/>
      <c r="Z63" s="850"/>
      <c r="AA63" s="851"/>
      <c r="AB63" s="851"/>
      <c r="AC63" s="880"/>
      <c r="AD63" s="880"/>
      <c r="AE63" s="880"/>
      <c r="AF63" s="880"/>
      <c r="AG63" s="850"/>
      <c r="AH63" s="892"/>
      <c r="AI63" s="893"/>
      <c r="AK63" s="814">
        <f t="shared" si="5"/>
        <v>0</v>
      </c>
      <c r="AL63" s="814">
        <f t="shared" si="5"/>
        <v>19042160</v>
      </c>
      <c r="AM63" s="814">
        <f t="shared" si="3"/>
        <v>0</v>
      </c>
      <c r="AN63" s="895">
        <f t="shared" si="4"/>
        <v>-4</v>
      </c>
    </row>
    <row r="64" ht="15" customHeight="1" spans="2:40">
      <c r="B64" s="810">
        <v>52</v>
      </c>
      <c r="C64" s="811" t="s">
        <v>13297</v>
      </c>
      <c r="D64" s="812">
        <v>44300</v>
      </c>
      <c r="E64" s="815" t="s">
        <v>13011</v>
      </c>
      <c r="F64" s="811" t="s">
        <v>13110</v>
      </c>
      <c r="G64" s="811" t="s">
        <v>13105</v>
      </c>
      <c r="H64" s="816"/>
      <c r="I64" s="816">
        <v>55000000</v>
      </c>
      <c r="J64" s="814"/>
      <c r="K64" s="816">
        <v>5500000</v>
      </c>
      <c r="L64" s="816"/>
      <c r="M64" s="832">
        <f t="shared" si="0"/>
        <v>5500000</v>
      </c>
      <c r="N64" s="833"/>
      <c r="O64" s="832"/>
      <c r="P64" s="832">
        <f t="shared" si="1"/>
        <v>5500000</v>
      </c>
      <c r="Q64" s="861"/>
      <c r="R64" s="853">
        <v>44287</v>
      </c>
      <c r="S64" s="854"/>
      <c r="T64" s="854"/>
      <c r="U64" s="855"/>
      <c r="V64" s="856"/>
      <c r="W64" s="811"/>
      <c r="X64" s="812"/>
      <c r="Z64" s="850"/>
      <c r="AA64" s="851"/>
      <c r="AB64" s="816"/>
      <c r="AC64" s="880"/>
      <c r="AD64" s="880"/>
      <c r="AE64" s="880"/>
      <c r="AF64" s="880"/>
      <c r="AG64" s="850"/>
      <c r="AH64" s="892"/>
      <c r="AI64" s="893"/>
      <c r="AK64" s="814">
        <f t="shared" si="5"/>
        <v>55000000</v>
      </c>
      <c r="AL64" s="814">
        <f t="shared" si="5"/>
        <v>0</v>
      </c>
      <c r="AM64" s="814">
        <f t="shared" si="3"/>
        <v>0</v>
      </c>
      <c r="AN64" s="895">
        <f t="shared" si="4"/>
        <v>0</v>
      </c>
    </row>
    <row r="65" ht="15" customHeight="1" spans="2:40">
      <c r="B65" s="810">
        <v>53</v>
      </c>
      <c r="C65" s="811" t="s">
        <v>13298</v>
      </c>
      <c r="D65" s="812">
        <v>44300</v>
      </c>
      <c r="E65" s="815" t="s">
        <v>13011</v>
      </c>
      <c r="F65" s="811" t="s">
        <v>13110</v>
      </c>
      <c r="G65" s="811" t="s">
        <v>13105</v>
      </c>
      <c r="H65" s="816"/>
      <c r="I65" s="816">
        <v>25000000</v>
      </c>
      <c r="J65" s="814"/>
      <c r="K65" s="816">
        <v>2500000</v>
      </c>
      <c r="L65" s="816"/>
      <c r="M65" s="832">
        <f t="shared" si="0"/>
        <v>8000000</v>
      </c>
      <c r="N65" s="833"/>
      <c r="O65" s="832"/>
      <c r="P65" s="832">
        <f t="shared" si="1"/>
        <v>8000000</v>
      </c>
      <c r="Q65" s="861"/>
      <c r="R65" s="853">
        <v>44287</v>
      </c>
      <c r="S65" s="854"/>
      <c r="T65" s="854"/>
      <c r="U65" s="855"/>
      <c r="V65" s="856"/>
      <c r="W65" s="811"/>
      <c r="X65" s="812"/>
      <c r="Z65" s="850"/>
      <c r="AA65" s="851"/>
      <c r="AB65" s="816"/>
      <c r="AC65" s="880"/>
      <c r="AD65" s="880"/>
      <c r="AE65" s="880"/>
      <c r="AF65" s="880"/>
      <c r="AG65" s="850"/>
      <c r="AH65" s="892"/>
      <c r="AI65" s="893"/>
      <c r="AK65" s="814">
        <f t="shared" si="5"/>
        <v>25000000</v>
      </c>
      <c r="AL65" s="814">
        <f t="shared" si="5"/>
        <v>0</v>
      </c>
      <c r="AM65" s="814">
        <f t="shared" si="3"/>
        <v>0</v>
      </c>
      <c r="AN65" s="895">
        <f t="shared" si="4"/>
        <v>0</v>
      </c>
    </row>
    <row r="66" ht="15" customHeight="1" spans="2:40">
      <c r="B66" s="810">
        <v>54</v>
      </c>
      <c r="C66" s="811" t="s">
        <v>13299</v>
      </c>
      <c r="D66" s="812">
        <v>44300</v>
      </c>
      <c r="E66" s="815" t="s">
        <v>13011</v>
      </c>
      <c r="F66" s="811" t="s">
        <v>13110</v>
      </c>
      <c r="G66" s="811" t="s">
        <v>13105</v>
      </c>
      <c r="H66" s="816"/>
      <c r="I66" s="816">
        <v>4500000</v>
      </c>
      <c r="J66" s="814"/>
      <c r="K66" s="816">
        <v>450000</v>
      </c>
      <c r="L66" s="816"/>
      <c r="M66" s="832">
        <f t="shared" si="0"/>
        <v>8450000</v>
      </c>
      <c r="N66" s="833"/>
      <c r="O66" s="832"/>
      <c r="P66" s="832">
        <f t="shared" si="1"/>
        <v>8450000</v>
      </c>
      <c r="Q66" s="861"/>
      <c r="R66" s="853">
        <v>44287</v>
      </c>
      <c r="S66" s="854"/>
      <c r="T66" s="854"/>
      <c r="U66" s="855"/>
      <c r="V66" s="856"/>
      <c r="W66" s="811"/>
      <c r="X66" s="812"/>
      <c r="Z66" s="850"/>
      <c r="AA66" s="851"/>
      <c r="AB66" s="851"/>
      <c r="AC66" s="880"/>
      <c r="AD66" s="880"/>
      <c r="AE66" s="880"/>
      <c r="AF66" s="880"/>
      <c r="AG66" s="850"/>
      <c r="AH66" s="892"/>
      <c r="AI66" s="893"/>
      <c r="AK66" s="814">
        <f t="shared" si="5"/>
        <v>4500000</v>
      </c>
      <c r="AL66" s="814">
        <f t="shared" si="5"/>
        <v>0</v>
      </c>
      <c r="AM66" s="814">
        <f t="shared" si="3"/>
        <v>0</v>
      </c>
      <c r="AN66" s="895">
        <f t="shared" si="4"/>
        <v>0</v>
      </c>
    </row>
    <row r="67" ht="15" customHeight="1" spans="2:40">
      <c r="B67" s="810">
        <v>61</v>
      </c>
      <c r="C67" s="811" t="s">
        <v>13300</v>
      </c>
      <c r="D67" s="812">
        <v>44300</v>
      </c>
      <c r="E67" s="815" t="s">
        <v>13011</v>
      </c>
      <c r="F67" s="811" t="s">
        <v>13110</v>
      </c>
      <c r="G67" s="811" t="s">
        <v>13105</v>
      </c>
      <c r="H67" s="816"/>
      <c r="I67" s="816">
        <v>13000000</v>
      </c>
      <c r="J67" s="814"/>
      <c r="K67" s="816">
        <v>1300000</v>
      </c>
      <c r="L67" s="816"/>
      <c r="M67" s="832">
        <f t="shared" si="0"/>
        <v>9750000</v>
      </c>
      <c r="N67" s="833"/>
      <c r="O67" s="832"/>
      <c r="P67" s="832">
        <f t="shared" si="1"/>
        <v>9750000</v>
      </c>
      <c r="Q67" s="861"/>
      <c r="R67" s="853">
        <v>44287</v>
      </c>
      <c r="S67" s="854"/>
      <c r="T67" s="854"/>
      <c r="U67" s="855"/>
      <c r="V67" s="856"/>
      <c r="W67" s="811"/>
      <c r="X67" s="812"/>
      <c r="Z67" s="850"/>
      <c r="AA67" s="851"/>
      <c r="AB67" s="851"/>
      <c r="AC67" s="880"/>
      <c r="AD67" s="880"/>
      <c r="AE67" s="880"/>
      <c r="AF67" s="880"/>
      <c r="AG67" s="850"/>
      <c r="AH67" s="892"/>
      <c r="AI67" s="893"/>
      <c r="AK67" s="814">
        <f>IF(K67&gt;0,K67/10%,0)</f>
        <v>13000000</v>
      </c>
      <c r="AL67" s="814">
        <f>IF(L67&gt;0,L67/10%,0)</f>
        <v>0</v>
      </c>
      <c r="AM67" s="814">
        <f t="shared" si="3"/>
        <v>0</v>
      </c>
      <c r="AN67" s="895">
        <f t="shared" si="4"/>
        <v>0</v>
      </c>
    </row>
    <row r="68" ht="15" customHeight="1" spans="2:40">
      <c r="B68" s="810">
        <v>55</v>
      </c>
      <c r="C68" s="811" t="s">
        <v>13301</v>
      </c>
      <c r="D68" s="812">
        <v>44300</v>
      </c>
      <c r="E68" s="815" t="s">
        <v>13011</v>
      </c>
      <c r="F68" s="815" t="s">
        <v>13110</v>
      </c>
      <c r="G68" s="811" t="s">
        <v>13105</v>
      </c>
      <c r="H68" s="816"/>
      <c r="I68" s="816">
        <v>4200000</v>
      </c>
      <c r="J68" s="814"/>
      <c r="K68" s="816">
        <v>420000</v>
      </c>
      <c r="L68" s="816"/>
      <c r="M68" s="832">
        <f t="shared" si="0"/>
        <v>10170000</v>
      </c>
      <c r="N68" s="833"/>
      <c r="O68" s="832"/>
      <c r="P68" s="832">
        <f t="shared" si="1"/>
        <v>10170000</v>
      </c>
      <c r="Q68" s="861"/>
      <c r="R68" s="853">
        <v>44287</v>
      </c>
      <c r="S68" s="854"/>
      <c r="T68" s="854"/>
      <c r="U68" s="855"/>
      <c r="V68" s="856"/>
      <c r="W68" s="811"/>
      <c r="X68" s="812"/>
      <c r="Z68" s="850"/>
      <c r="AA68" s="851"/>
      <c r="AB68" s="851"/>
      <c r="AC68" s="880"/>
      <c r="AD68" s="880"/>
      <c r="AE68" s="880"/>
      <c r="AF68" s="880"/>
      <c r="AG68" s="850"/>
      <c r="AH68" s="892"/>
      <c r="AI68" s="893"/>
      <c r="AK68" s="814">
        <f t="shared" si="5"/>
        <v>4200000</v>
      </c>
      <c r="AL68" s="814">
        <f t="shared" si="5"/>
        <v>0</v>
      </c>
      <c r="AM68" s="814">
        <f t="shared" si="3"/>
        <v>0</v>
      </c>
      <c r="AN68" s="895">
        <f t="shared" si="4"/>
        <v>0</v>
      </c>
    </row>
    <row r="69" ht="15" customHeight="1" spans="2:40">
      <c r="B69" s="810">
        <v>56</v>
      </c>
      <c r="C69" s="811" t="s">
        <v>13302</v>
      </c>
      <c r="D69" s="812">
        <v>44300</v>
      </c>
      <c r="E69" s="815" t="s">
        <v>13011</v>
      </c>
      <c r="F69" s="811" t="s">
        <v>13110</v>
      </c>
      <c r="G69" s="811" t="s">
        <v>13105</v>
      </c>
      <c r="H69" s="816"/>
      <c r="I69" s="816">
        <v>27500000</v>
      </c>
      <c r="J69" s="814"/>
      <c r="K69" s="816">
        <v>2750000</v>
      </c>
      <c r="L69" s="816"/>
      <c r="M69" s="832">
        <f t="shared" si="0"/>
        <v>12920000</v>
      </c>
      <c r="N69" s="833"/>
      <c r="O69" s="832"/>
      <c r="P69" s="832">
        <f t="shared" si="1"/>
        <v>12920000</v>
      </c>
      <c r="Q69" s="861"/>
      <c r="R69" s="853">
        <v>44287</v>
      </c>
      <c r="S69" s="854"/>
      <c r="T69" s="854"/>
      <c r="U69" s="855"/>
      <c r="V69" s="856"/>
      <c r="W69" s="811"/>
      <c r="X69" s="812"/>
      <c r="Z69" s="850"/>
      <c r="AA69" s="851"/>
      <c r="AB69" s="851"/>
      <c r="AC69" s="880"/>
      <c r="AD69" s="880"/>
      <c r="AE69" s="880"/>
      <c r="AF69" s="880"/>
      <c r="AG69" s="850"/>
      <c r="AH69" s="892"/>
      <c r="AI69" s="893"/>
      <c r="AK69" s="814">
        <f t="shared" si="5"/>
        <v>27500000</v>
      </c>
      <c r="AL69" s="814">
        <f t="shared" si="5"/>
        <v>0</v>
      </c>
      <c r="AM69" s="814">
        <f t="shared" si="3"/>
        <v>0</v>
      </c>
      <c r="AN69" s="895">
        <f t="shared" si="4"/>
        <v>0</v>
      </c>
    </row>
    <row r="70" ht="15" customHeight="1" spans="2:40">
      <c r="B70" s="810">
        <v>57</v>
      </c>
      <c r="C70" s="811" t="s">
        <v>13303</v>
      </c>
      <c r="D70" s="812">
        <v>44300</v>
      </c>
      <c r="E70" s="815" t="s">
        <v>13011</v>
      </c>
      <c r="F70" s="811" t="s">
        <v>13110</v>
      </c>
      <c r="G70" s="811" t="s">
        <v>13105</v>
      </c>
      <c r="H70" s="816"/>
      <c r="I70" s="816">
        <v>34400000</v>
      </c>
      <c r="J70" s="814"/>
      <c r="K70" s="816">
        <v>3440000</v>
      </c>
      <c r="L70" s="816"/>
      <c r="M70" s="832">
        <f t="shared" si="0"/>
        <v>16360000</v>
      </c>
      <c r="N70" s="833"/>
      <c r="O70" s="832"/>
      <c r="P70" s="832">
        <f t="shared" si="1"/>
        <v>16360000</v>
      </c>
      <c r="Q70" s="861"/>
      <c r="R70" s="853">
        <v>44287</v>
      </c>
      <c r="S70" s="854"/>
      <c r="T70" s="854"/>
      <c r="U70" s="855"/>
      <c r="V70" s="856"/>
      <c r="W70" s="811"/>
      <c r="X70" s="812"/>
      <c r="Z70" s="850"/>
      <c r="AA70" s="851"/>
      <c r="AB70" s="851"/>
      <c r="AC70" s="880"/>
      <c r="AD70" s="880"/>
      <c r="AE70" s="880"/>
      <c r="AF70" s="880"/>
      <c r="AG70" s="850"/>
      <c r="AH70" s="892"/>
      <c r="AI70" s="893"/>
      <c r="AK70" s="814">
        <f t="shared" si="5"/>
        <v>34400000</v>
      </c>
      <c r="AL70" s="814">
        <f t="shared" si="5"/>
        <v>0</v>
      </c>
      <c r="AM70" s="814">
        <f t="shared" si="3"/>
        <v>0</v>
      </c>
      <c r="AN70" s="895">
        <f t="shared" si="4"/>
        <v>0</v>
      </c>
    </row>
    <row r="71" ht="15" customHeight="1" spans="2:40">
      <c r="B71" s="810">
        <v>58</v>
      </c>
      <c r="C71" s="811" t="s">
        <v>13304</v>
      </c>
      <c r="D71" s="812">
        <v>44312</v>
      </c>
      <c r="E71" s="815" t="s">
        <v>13007</v>
      </c>
      <c r="F71" s="811" t="s">
        <v>13116</v>
      </c>
      <c r="G71" s="811" t="s">
        <v>13105</v>
      </c>
      <c r="H71" s="816"/>
      <c r="I71" s="816">
        <v>27000000</v>
      </c>
      <c r="J71" s="814"/>
      <c r="K71" s="816">
        <v>2700000</v>
      </c>
      <c r="L71" s="816"/>
      <c r="M71" s="832">
        <f t="shared" si="0"/>
        <v>19060000</v>
      </c>
      <c r="N71" s="833"/>
      <c r="O71" s="832"/>
      <c r="P71" s="832">
        <f t="shared" si="1"/>
        <v>19060000</v>
      </c>
      <c r="Q71" s="861"/>
      <c r="R71" s="853">
        <v>44287</v>
      </c>
      <c r="S71" s="854"/>
      <c r="T71" s="854"/>
      <c r="U71" s="855"/>
      <c r="V71" s="856"/>
      <c r="W71" s="811"/>
      <c r="X71" s="812"/>
      <c r="Z71" s="850"/>
      <c r="AA71" s="851"/>
      <c r="AB71" s="851"/>
      <c r="AC71" s="880"/>
      <c r="AD71" s="880"/>
      <c r="AE71" s="880"/>
      <c r="AF71" s="880"/>
      <c r="AG71" s="850"/>
      <c r="AH71" s="892"/>
      <c r="AI71" s="893"/>
      <c r="AK71" s="814">
        <f t="shared" si="5"/>
        <v>27000000</v>
      </c>
      <c r="AL71" s="814">
        <f t="shared" si="5"/>
        <v>0</v>
      </c>
      <c r="AM71" s="814">
        <f t="shared" si="3"/>
        <v>0</v>
      </c>
      <c r="AN71" s="895">
        <f t="shared" si="4"/>
        <v>0</v>
      </c>
    </row>
    <row r="72" ht="15" customHeight="1" spans="2:40">
      <c r="B72" s="810">
        <v>59</v>
      </c>
      <c r="C72" s="811" t="s">
        <v>13305</v>
      </c>
      <c r="D72" s="812">
        <v>44312</v>
      </c>
      <c r="E72" s="815" t="s">
        <v>13007</v>
      </c>
      <c r="F72" s="811" t="s">
        <v>13116</v>
      </c>
      <c r="G72" s="811" t="s">
        <v>13105</v>
      </c>
      <c r="H72" s="816"/>
      <c r="I72" s="816">
        <v>15000000</v>
      </c>
      <c r="J72" s="814"/>
      <c r="K72" s="816">
        <v>1500000</v>
      </c>
      <c r="L72" s="816"/>
      <c r="M72" s="832">
        <f t="shared" si="0"/>
        <v>20560000</v>
      </c>
      <c r="N72" s="833"/>
      <c r="O72" s="832"/>
      <c r="P72" s="832">
        <f t="shared" si="1"/>
        <v>20560000</v>
      </c>
      <c r="Q72" s="861"/>
      <c r="R72" s="853">
        <v>44287</v>
      </c>
      <c r="S72" s="854"/>
      <c r="T72" s="854"/>
      <c r="U72" s="855"/>
      <c r="V72" s="856"/>
      <c r="W72" s="811"/>
      <c r="X72" s="812"/>
      <c r="Z72" s="850"/>
      <c r="AA72" s="851"/>
      <c r="AB72" s="851"/>
      <c r="AC72" s="880"/>
      <c r="AD72" s="880"/>
      <c r="AE72" s="880"/>
      <c r="AF72" s="880"/>
      <c r="AG72" s="850"/>
      <c r="AH72" s="892"/>
      <c r="AI72" s="893"/>
      <c r="AK72" s="814">
        <f t="shared" si="5"/>
        <v>15000000</v>
      </c>
      <c r="AL72" s="814">
        <f t="shared" si="5"/>
        <v>0</v>
      </c>
      <c r="AM72" s="814">
        <f t="shared" si="3"/>
        <v>0</v>
      </c>
      <c r="AN72" s="895">
        <f t="shared" si="4"/>
        <v>0</v>
      </c>
    </row>
    <row r="73" ht="15" hidden="1" customHeight="1" spans="2:40">
      <c r="B73" s="810">
        <v>60</v>
      </c>
      <c r="C73" s="811" t="s">
        <v>13306</v>
      </c>
      <c r="D73" s="812">
        <v>44305</v>
      </c>
      <c r="E73" s="815" t="s">
        <v>12999</v>
      </c>
      <c r="F73" s="811" t="s">
        <v>13122</v>
      </c>
      <c r="G73" s="811" t="s">
        <v>13123</v>
      </c>
      <c r="H73" s="816">
        <v>506000</v>
      </c>
      <c r="I73" s="816"/>
      <c r="J73" s="814">
        <v>50600</v>
      </c>
      <c r="K73" s="816"/>
      <c r="L73" s="816"/>
      <c r="M73" s="832">
        <f t="shared" si="0"/>
        <v>20509400</v>
      </c>
      <c r="N73" s="835" t="s">
        <v>12709</v>
      </c>
      <c r="O73" s="837">
        <v>20509400</v>
      </c>
      <c r="P73" s="832">
        <f t="shared" si="1"/>
        <v>0</v>
      </c>
      <c r="Q73" s="861"/>
      <c r="R73" s="862">
        <v>44287</v>
      </c>
      <c r="S73" s="854"/>
      <c r="T73" s="854"/>
      <c r="U73" s="855"/>
      <c r="V73" s="856"/>
      <c r="W73" s="811"/>
      <c r="X73" s="812"/>
      <c r="Z73" s="850"/>
      <c r="AA73" s="851"/>
      <c r="AB73" s="851"/>
      <c r="AC73" s="880"/>
      <c r="AD73" s="880"/>
      <c r="AE73" s="880"/>
      <c r="AF73" s="880"/>
      <c r="AG73" s="850"/>
      <c r="AH73" s="892"/>
      <c r="AI73" s="893"/>
      <c r="AK73" s="814">
        <f t="shared" si="5"/>
        <v>0</v>
      </c>
      <c r="AL73" s="814">
        <f t="shared" si="5"/>
        <v>0</v>
      </c>
      <c r="AM73" s="814">
        <f t="shared" si="3"/>
        <v>506000</v>
      </c>
      <c r="AN73" s="895">
        <f t="shared" si="4"/>
        <v>0</v>
      </c>
    </row>
    <row r="74" ht="15" hidden="1" customHeight="1" spans="2:40">
      <c r="B74" s="810">
        <v>62</v>
      </c>
      <c r="C74" s="811" t="s">
        <v>13307</v>
      </c>
      <c r="D74" s="812">
        <v>44319</v>
      </c>
      <c r="E74" s="815" t="s">
        <v>1479</v>
      </c>
      <c r="F74" s="811" t="s">
        <v>13104</v>
      </c>
      <c r="G74" s="811" t="s">
        <v>13105</v>
      </c>
      <c r="H74" s="816"/>
      <c r="I74" s="816"/>
      <c r="J74" s="814"/>
      <c r="K74" s="816"/>
      <c r="L74" s="816"/>
      <c r="M74" s="832">
        <f t="shared" si="0"/>
        <v>0</v>
      </c>
      <c r="N74" s="833"/>
      <c r="O74" s="832"/>
      <c r="P74" s="832">
        <f t="shared" si="1"/>
        <v>0</v>
      </c>
      <c r="Q74" s="861"/>
      <c r="R74" s="853">
        <v>44317</v>
      </c>
      <c r="S74" s="854"/>
      <c r="T74" s="854"/>
      <c r="U74" s="855"/>
      <c r="V74" s="856"/>
      <c r="W74" s="811"/>
      <c r="X74" s="812"/>
      <c r="Z74" s="850"/>
      <c r="AA74" s="851"/>
      <c r="AB74" s="851"/>
      <c r="AC74" s="880"/>
      <c r="AD74" s="880"/>
      <c r="AE74" s="880"/>
      <c r="AF74" s="880"/>
      <c r="AG74" s="850"/>
      <c r="AH74" s="892"/>
      <c r="AI74" s="893"/>
      <c r="AK74" s="814">
        <f t="shared" si="5"/>
        <v>0</v>
      </c>
      <c r="AL74" s="814">
        <f t="shared" si="5"/>
        <v>0</v>
      </c>
      <c r="AM74" s="814">
        <f t="shared" si="3"/>
        <v>0</v>
      </c>
      <c r="AN74" s="895">
        <f t="shared" si="4"/>
        <v>0</v>
      </c>
    </row>
    <row r="75" ht="15" customHeight="1" spans="2:40">
      <c r="B75" s="810">
        <v>63</v>
      </c>
      <c r="C75" s="811" t="s">
        <v>13308</v>
      </c>
      <c r="D75" s="812">
        <v>44319</v>
      </c>
      <c r="E75" s="815" t="s">
        <v>1479</v>
      </c>
      <c r="F75" s="811" t="s">
        <v>13104</v>
      </c>
      <c r="G75" s="811" t="s">
        <v>13105</v>
      </c>
      <c r="H75" s="816"/>
      <c r="I75" s="816">
        <v>23937032</v>
      </c>
      <c r="J75" s="814"/>
      <c r="K75" s="816"/>
      <c r="L75" s="816">
        <v>2393703</v>
      </c>
      <c r="M75" s="832">
        <f t="shared" si="0"/>
        <v>0</v>
      </c>
      <c r="N75" s="833"/>
      <c r="O75" s="832"/>
      <c r="P75" s="832">
        <f t="shared" si="1"/>
        <v>0</v>
      </c>
      <c r="Q75" s="861"/>
      <c r="R75" s="853">
        <v>44317</v>
      </c>
      <c r="S75" s="854"/>
      <c r="T75" s="854"/>
      <c r="U75" s="855"/>
      <c r="V75" s="856"/>
      <c r="W75" s="811"/>
      <c r="X75" s="812"/>
      <c r="Z75" s="850"/>
      <c r="AA75" s="851"/>
      <c r="AB75" s="851"/>
      <c r="AC75" s="880"/>
      <c r="AD75" s="880"/>
      <c r="AE75" s="880"/>
      <c r="AF75" s="880"/>
      <c r="AG75" s="850"/>
      <c r="AH75" s="892"/>
      <c r="AI75" s="893"/>
      <c r="AK75" s="814">
        <f t="shared" si="5"/>
        <v>0</v>
      </c>
      <c r="AL75" s="814">
        <f t="shared" si="5"/>
        <v>23937030</v>
      </c>
      <c r="AM75" s="814">
        <f t="shared" si="3"/>
        <v>0</v>
      </c>
      <c r="AN75" s="895">
        <f t="shared" si="4"/>
        <v>-2</v>
      </c>
    </row>
    <row r="76" ht="15" customHeight="1" spans="2:40">
      <c r="B76" s="810">
        <v>64</v>
      </c>
      <c r="C76" s="811" t="s">
        <v>13309</v>
      </c>
      <c r="D76" s="812">
        <v>44319</v>
      </c>
      <c r="E76" s="815" t="s">
        <v>1479</v>
      </c>
      <c r="F76" s="811" t="s">
        <v>13104</v>
      </c>
      <c r="G76" s="811" t="s">
        <v>13105</v>
      </c>
      <c r="H76" s="816"/>
      <c r="I76" s="816">
        <v>30400000</v>
      </c>
      <c r="J76" s="814"/>
      <c r="K76" s="816"/>
      <c r="L76" s="816">
        <v>3040000</v>
      </c>
      <c r="M76" s="832">
        <f t="shared" si="0"/>
        <v>0</v>
      </c>
      <c r="N76" s="833"/>
      <c r="O76" s="832"/>
      <c r="P76" s="832">
        <f t="shared" si="1"/>
        <v>0</v>
      </c>
      <c r="Q76" s="861"/>
      <c r="R76" s="853">
        <v>44317</v>
      </c>
      <c r="S76" s="854"/>
      <c r="T76" s="854"/>
      <c r="U76" s="855"/>
      <c r="V76" s="856"/>
      <c r="W76" s="811"/>
      <c r="X76" s="812"/>
      <c r="Z76" s="850"/>
      <c r="AA76" s="851"/>
      <c r="AB76" s="851"/>
      <c r="AC76" s="880"/>
      <c r="AD76" s="880"/>
      <c r="AE76" s="880"/>
      <c r="AF76" s="880"/>
      <c r="AG76" s="850"/>
      <c r="AH76" s="892"/>
      <c r="AI76" s="893"/>
      <c r="AK76" s="814">
        <f t="shared" si="5"/>
        <v>0</v>
      </c>
      <c r="AL76" s="814">
        <f t="shared" si="5"/>
        <v>30400000</v>
      </c>
      <c r="AM76" s="814">
        <f t="shared" si="3"/>
        <v>0</v>
      </c>
      <c r="AN76" s="895">
        <f t="shared" si="4"/>
        <v>0</v>
      </c>
    </row>
    <row r="77" ht="15" customHeight="1" spans="2:40">
      <c r="B77" s="810">
        <v>65</v>
      </c>
      <c r="C77" s="811" t="s">
        <v>13310</v>
      </c>
      <c r="D77" s="812">
        <v>44321</v>
      </c>
      <c r="E77" s="815" t="s">
        <v>1479</v>
      </c>
      <c r="F77" s="811" t="s">
        <v>13104</v>
      </c>
      <c r="G77" s="811" t="s">
        <v>13105</v>
      </c>
      <c r="H77" s="816"/>
      <c r="I77" s="816">
        <v>12313724</v>
      </c>
      <c r="J77" s="814"/>
      <c r="K77" s="816"/>
      <c r="L77" s="816">
        <v>1231372</v>
      </c>
      <c r="M77" s="832">
        <f t="shared" ref="M77:M140" si="6">+P76-J77+K77</f>
        <v>0</v>
      </c>
      <c r="N77" s="833"/>
      <c r="O77" s="832"/>
      <c r="P77" s="832">
        <f t="shared" ref="P77:P143" si="7">+M77-O77</f>
        <v>0</v>
      </c>
      <c r="Q77" s="861"/>
      <c r="R77" s="853">
        <v>44317</v>
      </c>
      <c r="S77" s="854"/>
      <c r="T77" s="854"/>
      <c r="U77" s="855"/>
      <c r="V77" s="856"/>
      <c r="W77" s="811"/>
      <c r="X77" s="812"/>
      <c r="Z77" s="850"/>
      <c r="AA77" s="851"/>
      <c r="AB77" s="851"/>
      <c r="AC77" s="880"/>
      <c r="AD77" s="880"/>
      <c r="AE77" s="880"/>
      <c r="AF77" s="880"/>
      <c r="AG77" s="850"/>
      <c r="AH77" s="892"/>
      <c r="AI77" s="893"/>
      <c r="AK77" s="814">
        <f t="shared" si="5"/>
        <v>0</v>
      </c>
      <c r="AL77" s="814">
        <f t="shared" si="5"/>
        <v>12313720</v>
      </c>
      <c r="AM77" s="814">
        <f t="shared" ref="AM77:AM143" si="8">IF(J77&gt;0,J77/10%,0)</f>
        <v>0</v>
      </c>
      <c r="AN77" s="895">
        <f t="shared" ref="AN77:AN143" si="9">SUM(AK77:AM77)-SUM(H77,I77)</f>
        <v>-4</v>
      </c>
    </row>
    <row r="78" ht="15" customHeight="1" spans="2:40">
      <c r="B78" s="810">
        <v>66</v>
      </c>
      <c r="C78" s="811" t="s">
        <v>13311</v>
      </c>
      <c r="D78" s="812">
        <v>44336</v>
      </c>
      <c r="E78" s="815" t="s">
        <v>13011</v>
      </c>
      <c r="F78" s="811" t="s">
        <v>13110</v>
      </c>
      <c r="G78" s="811" t="s">
        <v>13105</v>
      </c>
      <c r="H78" s="816"/>
      <c r="I78" s="897">
        <v>55000000</v>
      </c>
      <c r="J78" s="814"/>
      <c r="K78" s="897">
        <v>5500000</v>
      </c>
      <c r="L78" s="816"/>
      <c r="M78" s="832">
        <f t="shared" si="6"/>
        <v>5500000</v>
      </c>
      <c r="N78" s="833"/>
      <c r="O78" s="832"/>
      <c r="P78" s="832">
        <f t="shared" si="7"/>
        <v>5500000</v>
      </c>
      <c r="Q78" s="861"/>
      <c r="R78" s="853">
        <v>44317</v>
      </c>
      <c r="S78" s="854"/>
      <c r="T78" s="854"/>
      <c r="U78" s="855"/>
      <c r="V78" s="856"/>
      <c r="W78" s="811"/>
      <c r="X78" s="812"/>
      <c r="Z78" s="850"/>
      <c r="AA78" s="851"/>
      <c r="AB78" s="851"/>
      <c r="AC78" s="880"/>
      <c r="AD78" s="880"/>
      <c r="AE78" s="880"/>
      <c r="AF78" s="880"/>
      <c r="AG78" s="850"/>
      <c r="AH78" s="892"/>
      <c r="AI78" s="893"/>
      <c r="AK78" s="814">
        <f t="shared" si="5"/>
        <v>55000000</v>
      </c>
      <c r="AL78" s="814">
        <f t="shared" si="5"/>
        <v>0</v>
      </c>
      <c r="AM78" s="814">
        <f t="shared" si="8"/>
        <v>0</v>
      </c>
      <c r="AN78" s="895">
        <f t="shared" si="9"/>
        <v>0</v>
      </c>
    </row>
    <row r="79" ht="15" customHeight="1" spans="2:40">
      <c r="B79" s="810">
        <v>67</v>
      </c>
      <c r="C79" s="811" t="s">
        <v>13312</v>
      </c>
      <c r="D79" s="812">
        <v>44336</v>
      </c>
      <c r="E79" s="815" t="s">
        <v>13011</v>
      </c>
      <c r="F79" s="811" t="s">
        <v>13110</v>
      </c>
      <c r="G79" s="811" t="s">
        <v>13105</v>
      </c>
      <c r="H79" s="816"/>
      <c r="I79" s="897">
        <v>25000000</v>
      </c>
      <c r="J79" s="814"/>
      <c r="K79" s="897">
        <v>2500000</v>
      </c>
      <c r="L79" s="816"/>
      <c r="M79" s="832">
        <f t="shared" si="6"/>
        <v>8000000</v>
      </c>
      <c r="N79" s="833"/>
      <c r="O79" s="832"/>
      <c r="P79" s="832">
        <f t="shared" si="7"/>
        <v>8000000</v>
      </c>
      <c r="Q79" s="861"/>
      <c r="R79" s="853">
        <v>44317</v>
      </c>
      <c r="S79" s="854"/>
      <c r="T79" s="854"/>
      <c r="U79" s="855"/>
      <c r="V79" s="856"/>
      <c r="W79" s="811"/>
      <c r="X79" s="812"/>
      <c r="Z79" s="850"/>
      <c r="AA79" s="851"/>
      <c r="AB79" s="851"/>
      <c r="AC79" s="880"/>
      <c r="AD79" s="880"/>
      <c r="AE79" s="880"/>
      <c r="AF79" s="880"/>
      <c r="AG79" s="850"/>
      <c r="AH79" s="892"/>
      <c r="AI79" s="893"/>
      <c r="AK79" s="814">
        <f t="shared" si="5"/>
        <v>25000000</v>
      </c>
      <c r="AL79" s="814">
        <f t="shared" si="5"/>
        <v>0</v>
      </c>
      <c r="AM79" s="814">
        <f t="shared" si="8"/>
        <v>0</v>
      </c>
      <c r="AN79" s="895">
        <f t="shared" si="9"/>
        <v>0</v>
      </c>
    </row>
    <row r="80" ht="15" customHeight="1" spans="2:40">
      <c r="B80" s="810">
        <v>68</v>
      </c>
      <c r="C80" s="811" t="s">
        <v>13313</v>
      </c>
      <c r="D80" s="812">
        <v>44336</v>
      </c>
      <c r="E80" s="815" t="s">
        <v>13011</v>
      </c>
      <c r="F80" s="811" t="s">
        <v>13110</v>
      </c>
      <c r="G80" s="811" t="s">
        <v>13105</v>
      </c>
      <c r="H80" s="816"/>
      <c r="I80" s="897">
        <v>9000000</v>
      </c>
      <c r="J80" s="814"/>
      <c r="K80" s="897">
        <v>900000</v>
      </c>
      <c r="L80" s="816"/>
      <c r="M80" s="832">
        <f t="shared" si="6"/>
        <v>8900000</v>
      </c>
      <c r="N80" s="833"/>
      <c r="O80" s="832"/>
      <c r="P80" s="832">
        <f t="shared" si="7"/>
        <v>8900000</v>
      </c>
      <c r="Q80" s="861"/>
      <c r="R80" s="853">
        <v>44317</v>
      </c>
      <c r="S80" s="854"/>
      <c r="T80" s="854"/>
      <c r="U80" s="855"/>
      <c r="V80" s="856"/>
      <c r="W80" s="811"/>
      <c r="X80" s="812"/>
      <c r="Z80" s="850"/>
      <c r="AA80" s="851"/>
      <c r="AB80" s="851"/>
      <c r="AC80" s="880"/>
      <c r="AD80" s="880"/>
      <c r="AE80" s="880"/>
      <c r="AF80" s="880"/>
      <c r="AG80" s="850"/>
      <c r="AH80" s="892"/>
      <c r="AI80" s="893"/>
      <c r="AK80" s="814">
        <f t="shared" si="5"/>
        <v>9000000</v>
      </c>
      <c r="AL80" s="814">
        <f t="shared" si="5"/>
        <v>0</v>
      </c>
      <c r="AM80" s="814">
        <f t="shared" si="8"/>
        <v>0</v>
      </c>
      <c r="AN80" s="895">
        <f t="shared" si="9"/>
        <v>0</v>
      </c>
    </row>
    <row r="81" ht="15" customHeight="1" spans="2:40">
      <c r="B81" s="810">
        <v>69</v>
      </c>
      <c r="C81" s="811" t="s">
        <v>13314</v>
      </c>
      <c r="D81" s="812">
        <v>44343</v>
      </c>
      <c r="E81" s="815" t="s">
        <v>13011</v>
      </c>
      <c r="F81" s="811" t="s">
        <v>13110</v>
      </c>
      <c r="G81" s="811" t="s">
        <v>13105</v>
      </c>
      <c r="H81" s="816"/>
      <c r="I81" s="897">
        <v>13000000</v>
      </c>
      <c r="J81" s="814"/>
      <c r="K81" s="897">
        <v>1300000</v>
      </c>
      <c r="L81" s="816"/>
      <c r="M81" s="832">
        <f t="shared" si="6"/>
        <v>10200000</v>
      </c>
      <c r="N81" s="833"/>
      <c r="O81" s="832"/>
      <c r="P81" s="832">
        <f t="shared" si="7"/>
        <v>10200000</v>
      </c>
      <c r="Q81" s="861"/>
      <c r="R81" s="853">
        <v>44317</v>
      </c>
      <c r="S81" s="854"/>
      <c r="T81" s="854"/>
      <c r="U81" s="855"/>
      <c r="V81" s="856"/>
      <c r="W81" s="811"/>
      <c r="X81" s="812"/>
      <c r="Z81" s="850"/>
      <c r="AA81" s="851"/>
      <c r="AB81" s="851"/>
      <c r="AC81" s="880"/>
      <c r="AD81" s="880"/>
      <c r="AE81" s="880"/>
      <c r="AF81" s="880"/>
      <c r="AG81" s="850"/>
      <c r="AH81" s="892"/>
      <c r="AI81" s="893"/>
      <c r="AK81" s="814">
        <f t="shared" si="5"/>
        <v>13000000</v>
      </c>
      <c r="AL81" s="814">
        <f t="shared" si="5"/>
        <v>0</v>
      </c>
      <c r="AM81" s="814">
        <f t="shared" si="8"/>
        <v>0</v>
      </c>
      <c r="AN81" s="895">
        <f t="shared" si="9"/>
        <v>0</v>
      </c>
    </row>
    <row r="82" ht="15" customHeight="1" spans="2:40">
      <c r="B82" s="810">
        <v>70</v>
      </c>
      <c r="C82" s="811" t="s">
        <v>13315</v>
      </c>
      <c r="D82" s="812">
        <v>44336</v>
      </c>
      <c r="E82" s="815" t="s">
        <v>13011</v>
      </c>
      <c r="F82" s="811" t="s">
        <v>13110</v>
      </c>
      <c r="G82" s="811" t="s">
        <v>13105</v>
      </c>
      <c r="H82" s="816"/>
      <c r="I82" s="897">
        <v>4200000</v>
      </c>
      <c r="J82" s="814"/>
      <c r="K82" s="897">
        <v>420000</v>
      </c>
      <c r="L82" s="816"/>
      <c r="M82" s="832">
        <f t="shared" si="6"/>
        <v>10620000</v>
      </c>
      <c r="N82" s="833"/>
      <c r="O82" s="832"/>
      <c r="P82" s="832">
        <f t="shared" si="7"/>
        <v>10620000</v>
      </c>
      <c r="Q82" s="861"/>
      <c r="R82" s="853">
        <v>44317</v>
      </c>
      <c r="S82" s="854"/>
      <c r="T82" s="854"/>
      <c r="U82" s="855"/>
      <c r="V82" s="856"/>
      <c r="W82" s="811"/>
      <c r="X82" s="812"/>
      <c r="Z82" s="850"/>
      <c r="AA82" s="851"/>
      <c r="AB82" s="851"/>
      <c r="AC82" s="880"/>
      <c r="AD82" s="880"/>
      <c r="AE82" s="880"/>
      <c r="AF82" s="880"/>
      <c r="AG82" s="850"/>
      <c r="AH82" s="892"/>
      <c r="AI82" s="893"/>
      <c r="AK82" s="814">
        <f t="shared" si="5"/>
        <v>4200000</v>
      </c>
      <c r="AL82" s="814">
        <f t="shared" si="5"/>
        <v>0</v>
      </c>
      <c r="AM82" s="814">
        <f t="shared" si="8"/>
        <v>0</v>
      </c>
      <c r="AN82" s="895">
        <f t="shared" si="9"/>
        <v>0</v>
      </c>
    </row>
    <row r="83" ht="15" customHeight="1" spans="2:40">
      <c r="B83" s="810">
        <v>71</v>
      </c>
      <c r="C83" s="811" t="s">
        <v>13316</v>
      </c>
      <c r="D83" s="812">
        <v>44336</v>
      </c>
      <c r="E83" s="815" t="s">
        <v>13011</v>
      </c>
      <c r="F83" s="811" t="s">
        <v>13110</v>
      </c>
      <c r="G83" s="811" t="s">
        <v>13105</v>
      </c>
      <c r="H83" s="816"/>
      <c r="I83" s="897">
        <v>35200000</v>
      </c>
      <c r="J83" s="814"/>
      <c r="K83" s="897">
        <v>3520000</v>
      </c>
      <c r="L83" s="816"/>
      <c r="M83" s="832">
        <f t="shared" si="6"/>
        <v>14140000</v>
      </c>
      <c r="N83" s="833"/>
      <c r="O83" s="832"/>
      <c r="P83" s="832">
        <f t="shared" si="7"/>
        <v>14140000</v>
      </c>
      <c r="Q83" s="861"/>
      <c r="R83" s="853">
        <v>44317</v>
      </c>
      <c r="S83" s="854"/>
      <c r="T83" s="854"/>
      <c r="U83" s="855"/>
      <c r="V83" s="856"/>
      <c r="W83" s="811"/>
      <c r="X83" s="812"/>
      <c r="Z83" s="850"/>
      <c r="AA83" s="851"/>
      <c r="AB83" s="851"/>
      <c r="AC83" s="880"/>
      <c r="AD83" s="880"/>
      <c r="AE83" s="880"/>
      <c r="AF83" s="880"/>
      <c r="AG83" s="850"/>
      <c r="AH83" s="892"/>
      <c r="AI83" s="893"/>
      <c r="AK83" s="814">
        <f t="shared" si="5"/>
        <v>35200000</v>
      </c>
      <c r="AL83" s="814">
        <f t="shared" si="5"/>
        <v>0</v>
      </c>
      <c r="AM83" s="814">
        <f t="shared" si="8"/>
        <v>0</v>
      </c>
      <c r="AN83" s="895">
        <f t="shared" si="9"/>
        <v>0</v>
      </c>
    </row>
    <row r="84" ht="15" customHeight="1" spans="2:40">
      <c r="B84" s="810">
        <v>72</v>
      </c>
      <c r="C84" s="811" t="s">
        <v>13317</v>
      </c>
      <c r="D84" s="812">
        <v>44341</v>
      </c>
      <c r="E84" s="815" t="s">
        <v>13007</v>
      </c>
      <c r="F84" s="811" t="s">
        <v>13116</v>
      </c>
      <c r="G84" s="811" t="s">
        <v>13105</v>
      </c>
      <c r="H84" s="816"/>
      <c r="I84" s="897">
        <v>27000000</v>
      </c>
      <c r="J84" s="814"/>
      <c r="K84" s="897">
        <v>2700000</v>
      </c>
      <c r="L84" s="816"/>
      <c r="M84" s="832">
        <f t="shared" si="6"/>
        <v>16840000</v>
      </c>
      <c r="N84" s="833"/>
      <c r="O84" s="832"/>
      <c r="P84" s="832">
        <f t="shared" si="7"/>
        <v>16840000</v>
      </c>
      <c r="Q84" s="861"/>
      <c r="R84" s="853">
        <v>44317</v>
      </c>
      <c r="S84" s="854"/>
      <c r="T84" s="854"/>
      <c r="U84" s="855"/>
      <c r="V84" s="856"/>
      <c r="W84" s="811"/>
      <c r="X84" s="812"/>
      <c r="Z84" s="850"/>
      <c r="AA84" s="851"/>
      <c r="AB84" s="851"/>
      <c r="AC84" s="880"/>
      <c r="AD84" s="880"/>
      <c r="AE84" s="880"/>
      <c r="AF84" s="880"/>
      <c r="AG84" s="850"/>
      <c r="AH84" s="892"/>
      <c r="AI84" s="893"/>
      <c r="AK84" s="814">
        <f t="shared" si="5"/>
        <v>27000000</v>
      </c>
      <c r="AL84" s="814">
        <f t="shared" si="5"/>
        <v>0</v>
      </c>
      <c r="AM84" s="814">
        <f t="shared" si="8"/>
        <v>0</v>
      </c>
      <c r="AN84" s="895">
        <f t="shared" si="9"/>
        <v>0</v>
      </c>
    </row>
    <row r="85" ht="15" customHeight="1" spans="2:40">
      <c r="B85" s="810">
        <v>73</v>
      </c>
      <c r="C85" s="811" t="s">
        <v>13318</v>
      </c>
      <c r="D85" s="812">
        <v>44341</v>
      </c>
      <c r="E85" s="815" t="s">
        <v>13007</v>
      </c>
      <c r="F85" s="811" t="s">
        <v>13116</v>
      </c>
      <c r="G85" s="811" t="s">
        <v>13105</v>
      </c>
      <c r="H85" s="816"/>
      <c r="I85" s="897">
        <v>15000000</v>
      </c>
      <c r="J85" s="814"/>
      <c r="K85" s="897">
        <v>1500000</v>
      </c>
      <c r="L85" s="816"/>
      <c r="M85" s="832">
        <f t="shared" si="6"/>
        <v>18340000</v>
      </c>
      <c r="N85" s="835" t="s">
        <v>12709</v>
      </c>
      <c r="O85" s="837">
        <v>18340000</v>
      </c>
      <c r="P85" s="832">
        <f t="shared" si="7"/>
        <v>0</v>
      </c>
      <c r="Q85" s="861"/>
      <c r="R85" s="862">
        <v>44317</v>
      </c>
      <c r="S85" s="854"/>
      <c r="T85" s="854"/>
      <c r="U85" s="855"/>
      <c r="V85" s="856"/>
      <c r="W85" s="811"/>
      <c r="X85" s="812"/>
      <c r="Z85" s="850"/>
      <c r="AA85" s="851"/>
      <c r="AB85" s="851"/>
      <c r="AC85" s="880"/>
      <c r="AD85" s="880"/>
      <c r="AE85" s="880"/>
      <c r="AF85" s="880"/>
      <c r="AG85" s="850"/>
      <c r="AH85" s="892"/>
      <c r="AI85" s="893"/>
      <c r="AK85" s="814">
        <f t="shared" si="5"/>
        <v>15000000</v>
      </c>
      <c r="AL85" s="814">
        <f t="shared" si="5"/>
        <v>0</v>
      </c>
      <c r="AM85" s="814">
        <f t="shared" si="8"/>
        <v>0</v>
      </c>
      <c r="AN85" s="895">
        <f t="shared" si="9"/>
        <v>0</v>
      </c>
    </row>
    <row r="86" ht="15" customHeight="1" spans="2:40">
      <c r="B86" s="810">
        <v>74</v>
      </c>
      <c r="C86" s="811" t="s">
        <v>13319</v>
      </c>
      <c r="D86" s="812">
        <v>44349</v>
      </c>
      <c r="E86" s="815" t="s">
        <v>1479</v>
      </c>
      <c r="F86" s="811" t="s">
        <v>13104</v>
      </c>
      <c r="G86" s="811" t="s">
        <v>13105</v>
      </c>
      <c r="H86" s="816"/>
      <c r="I86" s="898">
        <v>30400000</v>
      </c>
      <c r="J86" s="814"/>
      <c r="K86" s="897"/>
      <c r="L86" s="897">
        <v>3040000</v>
      </c>
      <c r="M86" s="832">
        <f t="shared" si="6"/>
        <v>0</v>
      </c>
      <c r="N86" s="833"/>
      <c r="O86" s="832"/>
      <c r="P86" s="832">
        <f t="shared" si="7"/>
        <v>0</v>
      </c>
      <c r="Q86" s="861"/>
      <c r="R86" s="853">
        <v>44348</v>
      </c>
      <c r="S86" s="854"/>
      <c r="T86" s="854"/>
      <c r="U86" s="855"/>
      <c r="V86" s="856"/>
      <c r="W86" s="811"/>
      <c r="X86" s="812"/>
      <c r="Z86" s="850"/>
      <c r="AA86" s="851"/>
      <c r="AB86" s="851"/>
      <c r="AC86" s="880"/>
      <c r="AD86" s="880"/>
      <c r="AE86" s="880"/>
      <c r="AF86" s="880"/>
      <c r="AG86" s="850"/>
      <c r="AH86" s="892"/>
      <c r="AI86" s="893"/>
      <c r="AK86" s="814">
        <f t="shared" si="5"/>
        <v>0</v>
      </c>
      <c r="AL86" s="814">
        <f>IF(L90&gt;0,L90/10%,0)</f>
        <v>0</v>
      </c>
      <c r="AM86" s="814">
        <f t="shared" si="8"/>
        <v>0</v>
      </c>
      <c r="AN86" s="895">
        <f t="shared" si="9"/>
        <v>-30400000</v>
      </c>
    </row>
    <row r="87" ht="15" customHeight="1" spans="2:40">
      <c r="B87" s="810">
        <v>75</v>
      </c>
      <c r="C87" s="811" t="s">
        <v>13320</v>
      </c>
      <c r="D87" s="812">
        <v>44349</v>
      </c>
      <c r="E87" s="815" t="s">
        <v>1479</v>
      </c>
      <c r="F87" s="811" t="s">
        <v>13104</v>
      </c>
      <c r="G87" s="811" t="s">
        <v>13105</v>
      </c>
      <c r="H87" s="816"/>
      <c r="I87" s="898">
        <v>16817404</v>
      </c>
      <c r="J87" s="814"/>
      <c r="K87" s="897"/>
      <c r="L87" s="897">
        <v>1681740</v>
      </c>
      <c r="M87" s="832">
        <f t="shared" si="6"/>
        <v>0</v>
      </c>
      <c r="N87" s="833"/>
      <c r="O87" s="832"/>
      <c r="P87" s="832">
        <f t="shared" si="7"/>
        <v>0</v>
      </c>
      <c r="Q87" s="861"/>
      <c r="R87" s="853">
        <v>44348</v>
      </c>
      <c r="S87" s="854"/>
      <c r="T87" s="854"/>
      <c r="U87" s="855"/>
      <c r="V87" s="856"/>
      <c r="W87" s="811"/>
      <c r="X87" s="812"/>
      <c r="Z87" s="850"/>
      <c r="AA87" s="851"/>
      <c r="AB87" s="851"/>
      <c r="AC87" s="880"/>
      <c r="AD87" s="880"/>
      <c r="AE87" s="880"/>
      <c r="AF87" s="880"/>
      <c r="AG87" s="850"/>
      <c r="AH87" s="892"/>
      <c r="AI87" s="893"/>
      <c r="AK87" s="814">
        <f t="shared" si="5"/>
        <v>0</v>
      </c>
      <c r="AL87" s="814">
        <f>IF(L91&gt;0,L91/10%,0)</f>
        <v>0</v>
      </c>
      <c r="AM87" s="814">
        <f t="shared" si="8"/>
        <v>0</v>
      </c>
      <c r="AN87" s="895">
        <f t="shared" si="9"/>
        <v>-16817404</v>
      </c>
    </row>
    <row r="88" ht="15" customHeight="1" spans="2:40">
      <c r="B88" s="810">
        <v>76</v>
      </c>
      <c r="C88" s="811" t="s">
        <v>13321</v>
      </c>
      <c r="D88" s="812">
        <v>44354</v>
      </c>
      <c r="E88" s="815" t="s">
        <v>13009</v>
      </c>
      <c r="F88" s="811" t="s">
        <v>13322</v>
      </c>
      <c r="G88" s="811" t="s">
        <v>13105</v>
      </c>
      <c r="H88" s="816"/>
      <c r="I88" s="898">
        <v>6000000</v>
      </c>
      <c r="J88" s="814"/>
      <c r="K88" s="897">
        <v>600000</v>
      </c>
      <c r="L88" s="816"/>
      <c r="M88" s="832">
        <f t="shared" si="6"/>
        <v>600000</v>
      </c>
      <c r="N88" s="833"/>
      <c r="O88" s="832"/>
      <c r="P88" s="832">
        <f t="shared" si="7"/>
        <v>600000</v>
      </c>
      <c r="Q88" s="861"/>
      <c r="R88" s="853">
        <v>44348</v>
      </c>
      <c r="S88" s="854"/>
      <c r="T88" s="854"/>
      <c r="U88" s="855"/>
      <c r="V88" s="856"/>
      <c r="W88" s="811"/>
      <c r="X88" s="812"/>
      <c r="Z88" s="850"/>
      <c r="AA88" s="851"/>
      <c r="AB88" s="851"/>
      <c r="AC88" s="880"/>
      <c r="AD88" s="880"/>
      <c r="AE88" s="880"/>
      <c r="AF88" s="880"/>
      <c r="AG88" s="850"/>
      <c r="AH88" s="892"/>
      <c r="AI88" s="893"/>
      <c r="AK88" s="814">
        <f t="shared" si="5"/>
        <v>6000000</v>
      </c>
      <c r="AL88" s="814">
        <f t="shared" si="5"/>
        <v>0</v>
      </c>
      <c r="AM88" s="814">
        <f t="shared" si="8"/>
        <v>0</v>
      </c>
      <c r="AN88" s="895">
        <f t="shared" si="9"/>
        <v>0</v>
      </c>
    </row>
    <row r="89" ht="15" customHeight="1" spans="2:40">
      <c r="B89" s="810">
        <v>77</v>
      </c>
      <c r="C89" s="811" t="s">
        <v>13323</v>
      </c>
      <c r="D89" s="812">
        <v>44354</v>
      </c>
      <c r="E89" s="815" t="s">
        <v>13009</v>
      </c>
      <c r="F89" s="811" t="s">
        <v>13322</v>
      </c>
      <c r="G89" s="811" t="s">
        <v>13105</v>
      </c>
      <c r="H89" s="816"/>
      <c r="I89" s="898">
        <v>1850000</v>
      </c>
      <c r="J89" s="814"/>
      <c r="K89" s="897">
        <v>185000</v>
      </c>
      <c r="L89" s="816"/>
      <c r="M89" s="832">
        <f t="shared" si="6"/>
        <v>785000</v>
      </c>
      <c r="N89" s="833"/>
      <c r="O89" s="832"/>
      <c r="P89" s="832">
        <f t="shared" si="7"/>
        <v>785000</v>
      </c>
      <c r="Q89" s="861"/>
      <c r="R89" s="853">
        <v>44348</v>
      </c>
      <c r="S89" s="854"/>
      <c r="T89" s="854"/>
      <c r="U89" s="855"/>
      <c r="V89" s="856"/>
      <c r="W89" s="811"/>
      <c r="X89" s="812"/>
      <c r="Z89" s="850"/>
      <c r="AA89" s="851"/>
      <c r="AB89" s="851"/>
      <c r="AC89" s="880"/>
      <c r="AD89" s="880"/>
      <c r="AE89" s="880"/>
      <c r="AF89" s="880"/>
      <c r="AG89" s="850"/>
      <c r="AH89" s="892"/>
      <c r="AI89" s="893"/>
      <c r="AK89" s="814">
        <f t="shared" si="5"/>
        <v>1850000</v>
      </c>
      <c r="AL89" s="814">
        <f t="shared" si="5"/>
        <v>0</v>
      </c>
      <c r="AM89" s="814">
        <f t="shared" si="8"/>
        <v>0</v>
      </c>
      <c r="AN89" s="895">
        <f t="shared" si="9"/>
        <v>0</v>
      </c>
    </row>
    <row r="90" ht="15" customHeight="1" spans="2:40">
      <c r="B90" s="810">
        <v>78</v>
      </c>
      <c r="C90" s="811" t="s">
        <v>13324</v>
      </c>
      <c r="D90" s="812">
        <v>44354</v>
      </c>
      <c r="E90" s="815" t="s">
        <v>13009</v>
      </c>
      <c r="F90" s="811" t="s">
        <v>13322</v>
      </c>
      <c r="G90" s="811" t="s">
        <v>13105</v>
      </c>
      <c r="H90" s="816"/>
      <c r="I90" s="898">
        <v>525000</v>
      </c>
      <c r="J90" s="814"/>
      <c r="K90" s="897">
        <v>52500</v>
      </c>
      <c r="L90" s="816"/>
      <c r="M90" s="832">
        <f t="shared" si="6"/>
        <v>837500</v>
      </c>
      <c r="N90" s="833"/>
      <c r="O90" s="832"/>
      <c r="P90" s="832">
        <f t="shared" si="7"/>
        <v>837500</v>
      </c>
      <c r="Q90" s="861"/>
      <c r="R90" s="853">
        <v>44348</v>
      </c>
      <c r="S90" s="854"/>
      <c r="T90" s="854"/>
      <c r="U90" s="855"/>
      <c r="V90" s="856"/>
      <c r="W90" s="811"/>
      <c r="X90" s="812"/>
      <c r="Z90" s="850"/>
      <c r="AA90" s="851"/>
      <c r="AB90" s="851"/>
      <c r="AC90" s="880"/>
      <c r="AD90" s="880"/>
      <c r="AE90" s="880"/>
      <c r="AF90" s="880"/>
      <c r="AG90" s="850"/>
      <c r="AH90" s="892"/>
      <c r="AI90" s="893"/>
      <c r="AK90" s="814">
        <f t="shared" si="5"/>
        <v>525000</v>
      </c>
      <c r="AL90" s="814" t="e">
        <f>IF(#REF!&gt;0,#REF!/10%,0)</f>
        <v>#REF!</v>
      </c>
      <c r="AM90" s="814">
        <f t="shared" si="8"/>
        <v>0</v>
      </c>
      <c r="AN90" s="895" t="e">
        <f t="shared" si="9"/>
        <v>#REF!</v>
      </c>
    </row>
    <row r="91" ht="15" customHeight="1" spans="2:40">
      <c r="B91" s="810">
        <v>79</v>
      </c>
      <c r="C91" s="811" t="s">
        <v>13325</v>
      </c>
      <c r="D91" s="812">
        <v>44358</v>
      </c>
      <c r="E91" s="815" t="s">
        <v>13011</v>
      </c>
      <c r="F91" s="811" t="s">
        <v>13110</v>
      </c>
      <c r="G91" s="811" t="s">
        <v>13105</v>
      </c>
      <c r="H91" s="816"/>
      <c r="I91" s="898">
        <v>55000000</v>
      </c>
      <c r="J91" s="814"/>
      <c r="K91" s="897">
        <v>5500000</v>
      </c>
      <c r="L91" s="816"/>
      <c r="M91" s="832">
        <f t="shared" si="6"/>
        <v>6337500</v>
      </c>
      <c r="N91" s="833"/>
      <c r="O91" s="832"/>
      <c r="P91" s="832">
        <f t="shared" si="7"/>
        <v>6337500</v>
      </c>
      <c r="Q91" s="861"/>
      <c r="R91" s="853">
        <v>44348</v>
      </c>
      <c r="S91" s="854"/>
      <c r="T91" s="854"/>
      <c r="U91" s="855"/>
      <c r="V91" s="856"/>
      <c r="W91" s="811"/>
      <c r="X91" s="812"/>
      <c r="Z91" s="850"/>
      <c r="AA91" s="851"/>
      <c r="AB91" s="851"/>
      <c r="AC91" s="880"/>
      <c r="AD91" s="880"/>
      <c r="AE91" s="880"/>
      <c r="AF91" s="880"/>
      <c r="AG91" s="850"/>
      <c r="AH91" s="892"/>
      <c r="AI91" s="893"/>
      <c r="AK91" s="814">
        <f t="shared" si="5"/>
        <v>55000000</v>
      </c>
      <c r="AL91" s="814" t="e">
        <f>IF(#REF!&gt;0,#REF!/10%,0)</f>
        <v>#REF!</v>
      </c>
      <c r="AM91" s="814">
        <f t="shared" si="8"/>
        <v>0</v>
      </c>
      <c r="AN91" s="895" t="e">
        <f t="shared" si="9"/>
        <v>#REF!</v>
      </c>
    </row>
    <row r="92" ht="15" customHeight="1" spans="2:40">
      <c r="B92" s="810">
        <v>80</v>
      </c>
      <c r="C92" s="811" t="s">
        <v>13326</v>
      </c>
      <c r="D92" s="812">
        <v>44358</v>
      </c>
      <c r="E92" s="815" t="s">
        <v>13011</v>
      </c>
      <c r="F92" s="811" t="s">
        <v>13110</v>
      </c>
      <c r="G92" s="811" t="s">
        <v>13105</v>
      </c>
      <c r="H92" s="816"/>
      <c r="I92" s="898">
        <v>13000000</v>
      </c>
      <c r="J92" s="814"/>
      <c r="K92" s="897">
        <v>1300000</v>
      </c>
      <c r="L92" s="897"/>
      <c r="M92" s="832">
        <f t="shared" si="6"/>
        <v>7637500</v>
      </c>
      <c r="N92" s="833"/>
      <c r="O92" s="832"/>
      <c r="P92" s="832">
        <f t="shared" si="7"/>
        <v>7637500</v>
      </c>
      <c r="Q92" s="861"/>
      <c r="R92" s="853">
        <v>44348</v>
      </c>
      <c r="S92" s="854"/>
      <c r="T92" s="854"/>
      <c r="U92" s="855"/>
      <c r="V92" s="856"/>
      <c r="W92" s="811"/>
      <c r="X92" s="812"/>
      <c r="Z92" s="850"/>
      <c r="AA92" s="851"/>
      <c r="AB92" s="851"/>
      <c r="AC92" s="880"/>
      <c r="AD92" s="880"/>
      <c r="AE92" s="880"/>
      <c r="AF92" s="880"/>
      <c r="AG92" s="850"/>
      <c r="AH92" s="892"/>
      <c r="AI92" s="893"/>
      <c r="AK92" s="814">
        <f t="shared" si="5"/>
        <v>13000000</v>
      </c>
      <c r="AL92" s="814">
        <f t="shared" si="5"/>
        <v>0</v>
      </c>
      <c r="AM92" s="814">
        <f t="shared" si="8"/>
        <v>0</v>
      </c>
      <c r="AN92" s="895">
        <f t="shared" si="9"/>
        <v>0</v>
      </c>
    </row>
    <row r="93" ht="15" customHeight="1" spans="2:40">
      <c r="B93" s="810">
        <v>81</v>
      </c>
      <c r="C93" s="811" t="s">
        <v>13327</v>
      </c>
      <c r="D93" s="812">
        <v>44362</v>
      </c>
      <c r="E93" s="815" t="s">
        <v>13010</v>
      </c>
      <c r="F93" s="811" t="s">
        <v>13328</v>
      </c>
      <c r="G93" s="811" t="s">
        <v>13105</v>
      </c>
      <c r="H93" s="816"/>
      <c r="I93" s="898">
        <v>81968750</v>
      </c>
      <c r="J93" s="814"/>
      <c r="K93" s="897">
        <v>8196875</v>
      </c>
      <c r="L93" s="816"/>
      <c r="M93" s="832">
        <f t="shared" si="6"/>
        <v>15834375</v>
      </c>
      <c r="N93" s="833"/>
      <c r="O93" s="832"/>
      <c r="P93" s="832">
        <f t="shared" si="7"/>
        <v>15834375</v>
      </c>
      <c r="Q93" s="861"/>
      <c r="R93" s="853">
        <v>44348</v>
      </c>
      <c r="S93" s="854"/>
      <c r="T93" s="854"/>
      <c r="U93" s="855"/>
      <c r="V93" s="856"/>
      <c r="W93" s="811"/>
      <c r="X93" s="812"/>
      <c r="Z93" s="850"/>
      <c r="AA93" s="851"/>
      <c r="AB93" s="851"/>
      <c r="AC93" s="880"/>
      <c r="AD93" s="880"/>
      <c r="AE93" s="880"/>
      <c r="AF93" s="880"/>
      <c r="AG93" s="850"/>
      <c r="AH93" s="892"/>
      <c r="AI93" s="893"/>
      <c r="AK93" s="814">
        <f t="shared" ref="AK93:AL159" si="10">IF(K93&gt;0,K93/10%,0)</f>
        <v>81968750</v>
      </c>
      <c r="AL93" s="814">
        <f t="shared" si="10"/>
        <v>0</v>
      </c>
      <c r="AM93" s="814">
        <f t="shared" si="8"/>
        <v>0</v>
      </c>
      <c r="AN93" s="895">
        <f t="shared" si="9"/>
        <v>0</v>
      </c>
    </row>
    <row r="94" ht="15" customHeight="1" spans="2:40">
      <c r="B94" s="810">
        <v>82</v>
      </c>
      <c r="C94" s="811" t="s">
        <v>13329</v>
      </c>
      <c r="D94" s="812">
        <v>44362</v>
      </c>
      <c r="E94" s="815" t="s">
        <v>13011</v>
      </c>
      <c r="F94" s="811" t="s">
        <v>13110</v>
      </c>
      <c r="G94" s="811" t="s">
        <v>13105</v>
      </c>
      <c r="H94" s="816"/>
      <c r="I94" s="898">
        <v>9000000</v>
      </c>
      <c r="J94" s="814"/>
      <c r="K94" s="897">
        <v>900000</v>
      </c>
      <c r="L94" s="816"/>
      <c r="M94" s="832">
        <f t="shared" si="6"/>
        <v>16734375</v>
      </c>
      <c r="N94" s="833"/>
      <c r="O94" s="832"/>
      <c r="P94" s="832">
        <f t="shared" si="7"/>
        <v>16734375</v>
      </c>
      <c r="Q94" s="861"/>
      <c r="R94" s="853">
        <v>44348</v>
      </c>
      <c r="S94" s="854"/>
      <c r="T94" s="854"/>
      <c r="U94" s="855"/>
      <c r="V94" s="856"/>
      <c r="W94" s="811"/>
      <c r="X94" s="812"/>
      <c r="Z94" s="850"/>
      <c r="AA94" s="851"/>
      <c r="AB94" s="851"/>
      <c r="AC94" s="880"/>
      <c r="AD94" s="880"/>
      <c r="AE94" s="880"/>
      <c r="AF94" s="880"/>
      <c r="AG94" s="850"/>
      <c r="AH94" s="892"/>
      <c r="AI94" s="893"/>
      <c r="AK94" s="814">
        <f t="shared" si="10"/>
        <v>9000000</v>
      </c>
      <c r="AL94" s="814">
        <f t="shared" si="10"/>
        <v>0</v>
      </c>
      <c r="AM94" s="814">
        <f t="shared" si="8"/>
        <v>0</v>
      </c>
      <c r="AN94" s="895">
        <f t="shared" si="9"/>
        <v>0</v>
      </c>
    </row>
    <row r="95" ht="15" customHeight="1" spans="2:40">
      <c r="B95" s="810">
        <v>83</v>
      </c>
      <c r="C95" s="811" t="s">
        <v>13330</v>
      </c>
      <c r="D95" s="812">
        <v>44362</v>
      </c>
      <c r="E95" s="815" t="s">
        <v>13011</v>
      </c>
      <c r="F95" s="811" t="s">
        <v>13110</v>
      </c>
      <c r="G95" s="811" t="s">
        <v>13105</v>
      </c>
      <c r="H95" s="816"/>
      <c r="I95" s="898">
        <v>4200000</v>
      </c>
      <c r="J95" s="814"/>
      <c r="K95" s="897">
        <v>420000</v>
      </c>
      <c r="L95" s="816"/>
      <c r="M95" s="832">
        <f t="shared" si="6"/>
        <v>17154375</v>
      </c>
      <c r="N95" s="833"/>
      <c r="O95" s="832"/>
      <c r="P95" s="832">
        <f t="shared" si="7"/>
        <v>17154375</v>
      </c>
      <c r="Q95" s="861"/>
      <c r="R95" s="853">
        <v>44348</v>
      </c>
      <c r="S95" s="854"/>
      <c r="T95" s="854"/>
      <c r="U95" s="855"/>
      <c r="V95" s="856"/>
      <c r="W95" s="811"/>
      <c r="X95" s="812"/>
      <c r="Z95" s="850"/>
      <c r="AA95" s="851"/>
      <c r="AB95" s="851"/>
      <c r="AC95" s="880"/>
      <c r="AD95" s="880"/>
      <c r="AE95" s="880"/>
      <c r="AF95" s="880"/>
      <c r="AG95" s="850"/>
      <c r="AH95" s="892"/>
      <c r="AI95" s="893"/>
      <c r="AK95" s="814">
        <f t="shared" si="10"/>
        <v>4200000</v>
      </c>
      <c r="AL95" s="814">
        <f t="shared" si="10"/>
        <v>0</v>
      </c>
      <c r="AM95" s="814">
        <f t="shared" si="8"/>
        <v>0</v>
      </c>
      <c r="AN95" s="895">
        <f t="shared" si="9"/>
        <v>0</v>
      </c>
    </row>
    <row r="96" ht="15" customHeight="1" spans="2:40">
      <c r="B96" s="810">
        <v>84</v>
      </c>
      <c r="C96" s="811" t="s">
        <v>13331</v>
      </c>
      <c r="D96" s="812">
        <v>44362</v>
      </c>
      <c r="E96" s="815" t="s">
        <v>13011</v>
      </c>
      <c r="F96" s="811" t="s">
        <v>13110</v>
      </c>
      <c r="G96" s="811" t="s">
        <v>13105</v>
      </c>
      <c r="H96" s="816"/>
      <c r="I96" s="898">
        <v>38400000</v>
      </c>
      <c r="J96" s="814"/>
      <c r="K96" s="897">
        <v>3840000</v>
      </c>
      <c r="L96" s="816"/>
      <c r="M96" s="832">
        <f t="shared" si="6"/>
        <v>20994375</v>
      </c>
      <c r="N96" s="833"/>
      <c r="O96" s="832"/>
      <c r="P96" s="832">
        <f t="shared" si="7"/>
        <v>20994375</v>
      </c>
      <c r="Q96" s="861"/>
      <c r="R96" s="853">
        <v>44348</v>
      </c>
      <c r="S96" s="854"/>
      <c r="T96" s="854"/>
      <c r="U96" s="855"/>
      <c r="V96" s="856"/>
      <c r="W96" s="811"/>
      <c r="X96" s="812"/>
      <c r="Z96" s="850"/>
      <c r="AA96" s="851"/>
      <c r="AB96" s="851"/>
      <c r="AC96" s="880"/>
      <c r="AD96" s="880"/>
      <c r="AE96" s="880"/>
      <c r="AF96" s="880"/>
      <c r="AG96" s="850"/>
      <c r="AH96" s="892"/>
      <c r="AI96" s="893"/>
      <c r="AK96" s="814">
        <f t="shared" si="10"/>
        <v>38400000</v>
      </c>
      <c r="AL96" s="814">
        <f t="shared" si="10"/>
        <v>0</v>
      </c>
      <c r="AM96" s="814">
        <f t="shared" si="8"/>
        <v>0</v>
      </c>
      <c r="AN96" s="895">
        <f t="shared" si="9"/>
        <v>0</v>
      </c>
    </row>
    <row r="97" ht="15" customHeight="1" spans="2:40">
      <c r="B97" s="810">
        <v>85</v>
      </c>
      <c r="C97" s="811" t="s">
        <v>13332</v>
      </c>
      <c r="D97" s="812">
        <v>44365</v>
      </c>
      <c r="E97" s="815" t="s">
        <v>13006</v>
      </c>
      <c r="F97" s="811" t="s">
        <v>13119</v>
      </c>
      <c r="G97" s="811" t="s">
        <v>13105</v>
      </c>
      <c r="H97" s="816"/>
      <c r="I97" s="898">
        <v>615000000</v>
      </c>
      <c r="J97" s="814"/>
      <c r="K97" s="897">
        <v>61500000</v>
      </c>
      <c r="L97" s="816"/>
      <c r="M97" s="832">
        <f t="shared" si="6"/>
        <v>82494375</v>
      </c>
      <c r="N97" s="833"/>
      <c r="O97" s="832"/>
      <c r="P97" s="832">
        <f t="shared" si="7"/>
        <v>82494375</v>
      </c>
      <c r="Q97" s="861"/>
      <c r="R97" s="853">
        <v>44348</v>
      </c>
      <c r="S97" s="854"/>
      <c r="T97" s="854"/>
      <c r="U97" s="855"/>
      <c r="V97" s="856"/>
      <c r="W97" s="811"/>
      <c r="X97" s="812"/>
      <c r="Z97" s="850"/>
      <c r="AA97" s="851"/>
      <c r="AB97" s="851"/>
      <c r="AC97" s="880"/>
      <c r="AD97" s="880"/>
      <c r="AE97" s="880"/>
      <c r="AF97" s="880"/>
      <c r="AG97" s="850"/>
      <c r="AH97" s="892"/>
      <c r="AI97" s="893"/>
      <c r="AK97" s="814">
        <f t="shared" si="10"/>
        <v>615000000</v>
      </c>
      <c r="AL97" s="814">
        <f t="shared" si="10"/>
        <v>0</v>
      </c>
      <c r="AM97" s="814">
        <f t="shared" si="8"/>
        <v>0</v>
      </c>
      <c r="AN97" s="895">
        <f t="shared" si="9"/>
        <v>0</v>
      </c>
    </row>
    <row r="98" ht="15" hidden="1" customHeight="1" spans="2:40">
      <c r="B98" s="810">
        <v>86</v>
      </c>
      <c r="C98" s="811" t="s">
        <v>13333</v>
      </c>
      <c r="D98" s="812">
        <v>44340</v>
      </c>
      <c r="E98" s="815" t="s">
        <v>12999</v>
      </c>
      <c r="F98" s="811" t="s">
        <v>13122</v>
      </c>
      <c r="G98" s="811" t="s">
        <v>13123</v>
      </c>
      <c r="H98" s="816">
        <v>438800</v>
      </c>
      <c r="I98" s="897"/>
      <c r="J98" s="814">
        <v>43880</v>
      </c>
      <c r="K98" s="897"/>
      <c r="L98" s="816"/>
      <c r="M98" s="832">
        <f t="shared" si="6"/>
        <v>82450495</v>
      </c>
      <c r="N98" s="833"/>
      <c r="O98" s="832"/>
      <c r="P98" s="832">
        <f t="shared" si="7"/>
        <v>82450495</v>
      </c>
      <c r="Q98" s="861"/>
      <c r="R98" s="853">
        <v>44348</v>
      </c>
      <c r="S98" s="854"/>
      <c r="T98" s="854"/>
      <c r="U98" s="855"/>
      <c r="V98" s="856"/>
      <c r="W98" s="811"/>
      <c r="X98" s="812"/>
      <c r="Z98" s="850"/>
      <c r="AA98" s="851"/>
      <c r="AB98" s="851"/>
      <c r="AC98" s="880"/>
      <c r="AD98" s="880"/>
      <c r="AE98" s="880"/>
      <c r="AF98" s="880"/>
      <c r="AG98" s="850"/>
      <c r="AH98" s="892"/>
      <c r="AI98" s="893"/>
      <c r="AK98" s="814">
        <f t="shared" si="10"/>
        <v>0</v>
      </c>
      <c r="AL98" s="814">
        <f t="shared" si="10"/>
        <v>0</v>
      </c>
      <c r="AM98" s="814">
        <f t="shared" si="8"/>
        <v>438800</v>
      </c>
      <c r="AN98" s="895">
        <f t="shared" si="9"/>
        <v>0</v>
      </c>
    </row>
    <row r="99" ht="15" hidden="1" customHeight="1" spans="2:40">
      <c r="B99" s="810">
        <v>87</v>
      </c>
      <c r="C99" s="811" t="s">
        <v>13334</v>
      </c>
      <c r="D99" s="812">
        <v>44369</v>
      </c>
      <c r="E99" s="815" t="s">
        <v>12999</v>
      </c>
      <c r="F99" s="811" t="s">
        <v>13122</v>
      </c>
      <c r="G99" s="811" t="s">
        <v>13123</v>
      </c>
      <c r="H99" s="816">
        <v>549200</v>
      </c>
      <c r="I99" s="897"/>
      <c r="J99" s="814">
        <v>54920</v>
      </c>
      <c r="K99" s="897"/>
      <c r="L99" s="816"/>
      <c r="M99" s="832">
        <f t="shared" si="6"/>
        <v>82395575</v>
      </c>
      <c r="N99" s="835" t="s">
        <v>12709</v>
      </c>
      <c r="O99" s="837">
        <v>82395575</v>
      </c>
      <c r="P99" s="832">
        <f t="shared" si="7"/>
        <v>0</v>
      </c>
      <c r="Q99" s="861"/>
      <c r="R99" s="862">
        <v>44348</v>
      </c>
      <c r="S99" s="854"/>
      <c r="T99" s="854"/>
      <c r="U99" s="855"/>
      <c r="V99" s="856"/>
      <c r="W99" s="811"/>
      <c r="X99" s="812"/>
      <c r="Z99" s="850"/>
      <c r="AA99" s="851"/>
      <c r="AB99" s="851"/>
      <c r="AC99" s="880"/>
      <c r="AD99" s="880"/>
      <c r="AE99" s="880"/>
      <c r="AF99" s="880"/>
      <c r="AG99" s="850"/>
      <c r="AH99" s="892"/>
      <c r="AI99" s="893"/>
      <c r="AK99" s="814">
        <f t="shared" si="10"/>
        <v>0</v>
      </c>
      <c r="AL99" s="814">
        <f t="shared" si="10"/>
        <v>0</v>
      </c>
      <c r="AM99" s="814">
        <f t="shared" si="8"/>
        <v>549200</v>
      </c>
      <c r="AN99" s="895">
        <f t="shared" si="9"/>
        <v>0</v>
      </c>
    </row>
    <row r="100" ht="15" customHeight="1" spans="2:40">
      <c r="B100" s="810">
        <v>88</v>
      </c>
      <c r="C100" s="811" t="s">
        <v>13335</v>
      </c>
      <c r="D100" s="812">
        <v>44382</v>
      </c>
      <c r="E100" s="815" t="s">
        <v>13010</v>
      </c>
      <c r="F100" s="811" t="s">
        <v>13328</v>
      </c>
      <c r="G100" s="811" t="s">
        <v>13105</v>
      </c>
      <c r="H100" s="816"/>
      <c r="I100" s="816">
        <v>48521875</v>
      </c>
      <c r="J100" s="814"/>
      <c r="K100" s="816">
        <v>4852187</v>
      </c>
      <c r="L100" s="816"/>
      <c r="M100" s="832">
        <f t="shared" si="6"/>
        <v>4852187</v>
      </c>
      <c r="N100" s="833"/>
      <c r="O100" s="832"/>
      <c r="P100" s="832">
        <f t="shared" si="7"/>
        <v>4852187</v>
      </c>
      <c r="Q100" s="861"/>
      <c r="R100" s="853">
        <v>44378</v>
      </c>
      <c r="S100" s="854"/>
      <c r="T100" s="854"/>
      <c r="U100" s="855"/>
      <c r="V100" s="856"/>
      <c r="W100" s="811"/>
      <c r="X100" s="812"/>
      <c r="Z100" s="850"/>
      <c r="AA100" s="851"/>
      <c r="AB100" s="851"/>
      <c r="AC100" s="880"/>
      <c r="AD100" s="880"/>
      <c r="AE100" s="880"/>
      <c r="AF100" s="880"/>
      <c r="AG100" s="850"/>
      <c r="AH100" s="892"/>
      <c r="AI100" s="893"/>
      <c r="AK100" s="814">
        <f t="shared" si="10"/>
        <v>48521870</v>
      </c>
      <c r="AL100" s="814">
        <f t="shared" si="10"/>
        <v>0</v>
      </c>
      <c r="AM100" s="814">
        <f t="shared" si="8"/>
        <v>0</v>
      </c>
      <c r="AN100" s="895">
        <f t="shared" si="9"/>
        <v>-5</v>
      </c>
    </row>
    <row r="101" ht="15" customHeight="1" spans="2:40">
      <c r="B101" s="810">
        <v>89</v>
      </c>
      <c r="C101" s="811" t="s">
        <v>13336</v>
      </c>
      <c r="D101" s="812">
        <v>44383</v>
      </c>
      <c r="E101" s="815" t="s">
        <v>13007</v>
      </c>
      <c r="F101" s="811" t="s">
        <v>13116</v>
      </c>
      <c r="G101" s="811" t="s">
        <v>13105</v>
      </c>
      <c r="H101" s="816"/>
      <c r="I101" s="816">
        <v>28472500</v>
      </c>
      <c r="J101" s="814"/>
      <c r="K101" s="816">
        <v>2847250</v>
      </c>
      <c r="L101" s="816"/>
      <c r="M101" s="832">
        <f t="shared" si="6"/>
        <v>7699437</v>
      </c>
      <c r="N101" s="833"/>
      <c r="O101" s="832"/>
      <c r="P101" s="832">
        <f t="shared" si="7"/>
        <v>7699437</v>
      </c>
      <c r="Q101" s="861"/>
      <c r="R101" s="853">
        <v>44378</v>
      </c>
      <c r="S101" s="854"/>
      <c r="T101" s="854"/>
      <c r="U101" s="855"/>
      <c r="V101" s="856"/>
      <c r="W101" s="811"/>
      <c r="X101" s="812"/>
      <c r="Z101" s="850"/>
      <c r="AA101" s="851"/>
      <c r="AB101" s="851"/>
      <c r="AC101" s="880"/>
      <c r="AD101" s="880"/>
      <c r="AE101" s="880"/>
      <c r="AF101" s="880"/>
      <c r="AG101" s="850"/>
      <c r="AH101" s="892"/>
      <c r="AI101" s="893"/>
      <c r="AK101" s="814">
        <f t="shared" si="10"/>
        <v>28472500</v>
      </c>
      <c r="AL101" s="814">
        <f t="shared" si="10"/>
        <v>0</v>
      </c>
      <c r="AM101" s="814">
        <f t="shared" si="8"/>
        <v>0</v>
      </c>
      <c r="AN101" s="895">
        <f t="shared" si="9"/>
        <v>0</v>
      </c>
    </row>
    <row r="102" ht="15" customHeight="1" spans="2:40">
      <c r="B102" s="810">
        <v>90</v>
      </c>
      <c r="C102" s="811" t="s">
        <v>13337</v>
      </c>
      <c r="D102" s="812">
        <v>44383</v>
      </c>
      <c r="E102" s="815" t="s">
        <v>13007</v>
      </c>
      <c r="F102" s="811" t="s">
        <v>13116</v>
      </c>
      <c r="G102" s="811" t="s">
        <v>13105</v>
      </c>
      <c r="H102" s="816"/>
      <c r="I102" s="816">
        <v>15000000</v>
      </c>
      <c r="J102" s="814"/>
      <c r="K102" s="816">
        <v>1500000</v>
      </c>
      <c r="L102" s="816"/>
      <c r="M102" s="832">
        <f t="shared" si="6"/>
        <v>9199437</v>
      </c>
      <c r="N102" s="833"/>
      <c r="O102" s="832"/>
      <c r="P102" s="832">
        <f t="shared" si="7"/>
        <v>9199437</v>
      </c>
      <c r="Q102" s="861"/>
      <c r="R102" s="853">
        <v>44378</v>
      </c>
      <c r="S102" s="854"/>
      <c r="T102" s="854"/>
      <c r="U102" s="855"/>
      <c r="V102" s="856"/>
      <c r="W102" s="811"/>
      <c r="X102" s="812"/>
      <c r="Z102" s="850"/>
      <c r="AA102" s="851"/>
      <c r="AB102" s="851"/>
      <c r="AC102" s="880"/>
      <c r="AD102" s="880"/>
      <c r="AE102" s="880"/>
      <c r="AF102" s="880"/>
      <c r="AG102" s="850"/>
      <c r="AH102" s="892"/>
      <c r="AI102" s="893"/>
      <c r="AK102" s="814">
        <f t="shared" si="10"/>
        <v>15000000</v>
      </c>
      <c r="AL102" s="814">
        <f t="shared" si="10"/>
        <v>0</v>
      </c>
      <c r="AM102" s="814">
        <f t="shared" si="8"/>
        <v>0</v>
      </c>
      <c r="AN102" s="895">
        <f t="shared" si="9"/>
        <v>0</v>
      </c>
    </row>
    <row r="103" ht="15" customHeight="1" spans="2:40">
      <c r="B103" s="810">
        <v>91</v>
      </c>
      <c r="C103" s="811" t="s">
        <v>13338</v>
      </c>
      <c r="D103" s="812">
        <v>44385</v>
      </c>
      <c r="E103" s="815" t="s">
        <v>1479</v>
      </c>
      <c r="F103" s="811" t="s">
        <v>13104</v>
      </c>
      <c r="G103" s="811" t="s">
        <v>13105</v>
      </c>
      <c r="H103" s="816"/>
      <c r="I103" s="816">
        <v>21500000</v>
      </c>
      <c r="J103" s="814"/>
      <c r="K103" s="816"/>
      <c r="L103" s="816">
        <v>2150000</v>
      </c>
      <c r="M103" s="832">
        <f t="shared" si="6"/>
        <v>9199437</v>
      </c>
      <c r="N103" s="833"/>
      <c r="O103" s="832"/>
      <c r="P103" s="832">
        <f t="shared" si="7"/>
        <v>9199437</v>
      </c>
      <c r="Q103" s="861"/>
      <c r="R103" s="853">
        <v>44378</v>
      </c>
      <c r="S103" s="854"/>
      <c r="T103" s="854"/>
      <c r="U103" s="855"/>
      <c r="V103" s="856"/>
      <c r="W103" s="811"/>
      <c r="X103" s="812"/>
      <c r="Z103" s="850"/>
      <c r="AA103" s="851"/>
      <c r="AB103" s="851"/>
      <c r="AC103" s="880"/>
      <c r="AD103" s="880"/>
      <c r="AE103" s="880"/>
      <c r="AF103" s="880"/>
      <c r="AG103" s="850"/>
      <c r="AH103" s="892"/>
      <c r="AI103" s="893"/>
      <c r="AK103" s="814">
        <f t="shared" si="10"/>
        <v>0</v>
      </c>
      <c r="AL103" s="814">
        <f t="shared" si="10"/>
        <v>21500000</v>
      </c>
      <c r="AM103" s="814">
        <f t="shared" si="8"/>
        <v>0</v>
      </c>
      <c r="AN103" s="895">
        <f t="shared" si="9"/>
        <v>0</v>
      </c>
    </row>
    <row r="104" ht="15" customHeight="1" spans="2:40">
      <c r="B104" s="810">
        <v>92</v>
      </c>
      <c r="C104" s="811" t="s">
        <v>13339</v>
      </c>
      <c r="D104" s="812">
        <v>44385</v>
      </c>
      <c r="E104" s="815" t="s">
        <v>1479</v>
      </c>
      <c r="F104" s="811" t="s">
        <v>13104</v>
      </c>
      <c r="G104" s="811" t="s">
        <v>13105</v>
      </c>
      <c r="H104" s="816"/>
      <c r="I104" s="897">
        <v>17108704</v>
      </c>
      <c r="J104" s="814"/>
      <c r="K104" s="897"/>
      <c r="L104" s="897">
        <v>1710870</v>
      </c>
      <c r="M104" s="832">
        <f t="shared" si="6"/>
        <v>9199437</v>
      </c>
      <c r="N104" s="833"/>
      <c r="O104" s="832"/>
      <c r="P104" s="832">
        <f t="shared" si="7"/>
        <v>9199437</v>
      </c>
      <c r="Q104" s="861"/>
      <c r="R104" s="853">
        <v>44378</v>
      </c>
      <c r="S104" s="854"/>
      <c r="T104" s="854"/>
      <c r="U104" s="855"/>
      <c r="V104" s="856"/>
      <c r="W104" s="811"/>
      <c r="X104" s="812"/>
      <c r="Z104" s="850"/>
      <c r="AA104" s="851"/>
      <c r="AB104" s="851"/>
      <c r="AC104" s="880"/>
      <c r="AD104" s="880"/>
      <c r="AE104" s="880"/>
      <c r="AF104" s="880"/>
      <c r="AG104" s="850"/>
      <c r="AH104" s="892"/>
      <c r="AI104" s="893"/>
      <c r="AK104" s="814">
        <f t="shared" si="10"/>
        <v>0</v>
      </c>
      <c r="AL104" s="814">
        <f t="shared" si="10"/>
        <v>17108700</v>
      </c>
      <c r="AM104" s="814">
        <f t="shared" si="8"/>
        <v>0</v>
      </c>
      <c r="AN104" s="895">
        <f t="shared" si="9"/>
        <v>-4</v>
      </c>
    </row>
    <row r="105" ht="15" customHeight="1" spans="2:40">
      <c r="B105" s="810">
        <v>93</v>
      </c>
      <c r="C105" s="811" t="s">
        <v>13340</v>
      </c>
      <c r="D105" s="812">
        <v>44380</v>
      </c>
      <c r="E105" s="815" t="s">
        <v>13011</v>
      </c>
      <c r="F105" s="811" t="s">
        <v>13110</v>
      </c>
      <c r="G105" s="811" t="s">
        <v>13105</v>
      </c>
      <c r="H105" s="816"/>
      <c r="I105" s="897">
        <v>55000000</v>
      </c>
      <c r="J105" s="814"/>
      <c r="K105" s="897">
        <v>5500000</v>
      </c>
      <c r="L105" s="816"/>
      <c r="M105" s="832">
        <f t="shared" si="6"/>
        <v>14699437</v>
      </c>
      <c r="N105" s="833"/>
      <c r="O105" s="832"/>
      <c r="P105" s="832">
        <f t="shared" si="7"/>
        <v>14699437</v>
      </c>
      <c r="Q105" s="861"/>
      <c r="R105" s="853">
        <v>44378</v>
      </c>
      <c r="S105" s="854"/>
      <c r="T105" s="854"/>
      <c r="U105" s="855"/>
      <c r="V105" s="856"/>
      <c r="W105" s="811"/>
      <c r="X105" s="812"/>
      <c r="Z105" s="850"/>
      <c r="AA105" s="851"/>
      <c r="AB105" s="851"/>
      <c r="AC105" s="880"/>
      <c r="AD105" s="880"/>
      <c r="AE105" s="880"/>
      <c r="AF105" s="880"/>
      <c r="AG105" s="850"/>
      <c r="AH105" s="892"/>
      <c r="AI105" s="893"/>
      <c r="AK105" s="814">
        <f t="shared" si="10"/>
        <v>55000000</v>
      </c>
      <c r="AL105" s="814">
        <f t="shared" si="10"/>
        <v>0</v>
      </c>
      <c r="AM105" s="814">
        <f t="shared" si="8"/>
        <v>0</v>
      </c>
      <c r="AN105" s="895">
        <f t="shared" si="9"/>
        <v>0</v>
      </c>
    </row>
    <row r="106" ht="15" customHeight="1" spans="2:40">
      <c r="B106" s="810">
        <v>94</v>
      </c>
      <c r="C106" s="811" t="s">
        <v>13341</v>
      </c>
      <c r="D106" s="812">
        <v>44380</v>
      </c>
      <c r="E106" s="815" t="s">
        <v>13011</v>
      </c>
      <c r="F106" s="811" t="s">
        <v>13110</v>
      </c>
      <c r="G106" s="811" t="s">
        <v>13105</v>
      </c>
      <c r="H106" s="816"/>
      <c r="I106" s="897">
        <v>13000000</v>
      </c>
      <c r="J106" s="814"/>
      <c r="K106" s="897">
        <v>1300000</v>
      </c>
      <c r="L106" s="816"/>
      <c r="M106" s="832">
        <f t="shared" si="6"/>
        <v>15999437</v>
      </c>
      <c r="N106" s="833"/>
      <c r="O106" s="832"/>
      <c r="P106" s="832">
        <f t="shared" si="7"/>
        <v>15999437</v>
      </c>
      <c r="Q106" s="861"/>
      <c r="R106" s="853">
        <v>44378</v>
      </c>
      <c r="S106" s="854"/>
      <c r="T106" s="854"/>
      <c r="U106" s="855"/>
      <c r="V106" s="856"/>
      <c r="W106" s="811"/>
      <c r="X106" s="812"/>
      <c r="Z106" s="850"/>
      <c r="AA106" s="851"/>
      <c r="AB106" s="851"/>
      <c r="AC106" s="880"/>
      <c r="AD106" s="880"/>
      <c r="AE106" s="880"/>
      <c r="AF106" s="880"/>
      <c r="AG106" s="850"/>
      <c r="AH106" s="892"/>
      <c r="AI106" s="893"/>
      <c r="AK106" s="814">
        <f t="shared" si="10"/>
        <v>13000000</v>
      </c>
      <c r="AL106" s="814">
        <f t="shared" si="10"/>
        <v>0</v>
      </c>
      <c r="AM106" s="814">
        <f t="shared" si="8"/>
        <v>0</v>
      </c>
      <c r="AN106" s="895">
        <f t="shared" si="9"/>
        <v>0</v>
      </c>
    </row>
    <row r="107" ht="15" customHeight="1" spans="2:40">
      <c r="B107" s="810">
        <v>95</v>
      </c>
      <c r="C107" s="811" t="s">
        <v>13342</v>
      </c>
      <c r="D107" s="812">
        <v>44380</v>
      </c>
      <c r="E107" s="815" t="s">
        <v>13011</v>
      </c>
      <c r="F107" s="811" t="s">
        <v>13110</v>
      </c>
      <c r="G107" s="811" t="s">
        <v>13105</v>
      </c>
      <c r="H107" s="816"/>
      <c r="I107" s="897">
        <v>9000000</v>
      </c>
      <c r="J107" s="814"/>
      <c r="K107" s="897">
        <v>900000</v>
      </c>
      <c r="L107" s="816"/>
      <c r="M107" s="832">
        <f t="shared" si="6"/>
        <v>16899437</v>
      </c>
      <c r="N107" s="833"/>
      <c r="O107" s="832"/>
      <c r="P107" s="832">
        <f t="shared" si="7"/>
        <v>16899437</v>
      </c>
      <c r="Q107" s="861"/>
      <c r="R107" s="853">
        <v>44378</v>
      </c>
      <c r="S107" s="854"/>
      <c r="T107" s="854"/>
      <c r="U107" s="855"/>
      <c r="V107" s="856"/>
      <c r="W107" s="811"/>
      <c r="X107" s="812"/>
      <c r="Z107" s="850"/>
      <c r="AA107" s="851"/>
      <c r="AB107" s="851"/>
      <c r="AC107" s="880"/>
      <c r="AD107" s="880"/>
      <c r="AE107" s="880"/>
      <c r="AF107" s="880"/>
      <c r="AG107" s="850"/>
      <c r="AH107" s="892"/>
      <c r="AI107" s="893"/>
      <c r="AK107" s="814">
        <f t="shared" si="10"/>
        <v>9000000</v>
      </c>
      <c r="AL107" s="814">
        <f t="shared" si="10"/>
        <v>0</v>
      </c>
      <c r="AM107" s="814">
        <f t="shared" si="8"/>
        <v>0</v>
      </c>
      <c r="AN107" s="895">
        <f t="shared" si="9"/>
        <v>0</v>
      </c>
    </row>
    <row r="108" ht="15" customHeight="1" spans="2:40">
      <c r="B108" s="810">
        <v>96</v>
      </c>
      <c r="C108" s="811" t="s">
        <v>13343</v>
      </c>
      <c r="D108" s="812">
        <v>44380</v>
      </c>
      <c r="E108" s="815" t="s">
        <v>13011</v>
      </c>
      <c r="F108" s="811" t="s">
        <v>13110</v>
      </c>
      <c r="G108" s="811" t="s">
        <v>13105</v>
      </c>
      <c r="H108" s="816"/>
      <c r="I108" s="897">
        <v>4200000</v>
      </c>
      <c r="J108" s="814"/>
      <c r="K108" s="897">
        <v>420000</v>
      </c>
      <c r="L108" s="816"/>
      <c r="M108" s="832">
        <f t="shared" si="6"/>
        <v>17319437</v>
      </c>
      <c r="N108" s="833"/>
      <c r="O108" s="832"/>
      <c r="P108" s="832">
        <f t="shared" si="7"/>
        <v>17319437</v>
      </c>
      <c r="Q108" s="861"/>
      <c r="R108" s="853">
        <v>44378</v>
      </c>
      <c r="S108" s="854"/>
      <c r="T108" s="854"/>
      <c r="U108" s="855"/>
      <c r="V108" s="856"/>
      <c r="W108" s="811"/>
      <c r="X108" s="812"/>
      <c r="Z108" s="850"/>
      <c r="AA108" s="851"/>
      <c r="AB108" s="851"/>
      <c r="AC108" s="880"/>
      <c r="AD108" s="880"/>
      <c r="AE108" s="880"/>
      <c r="AF108" s="880"/>
      <c r="AG108" s="850"/>
      <c r="AH108" s="892"/>
      <c r="AI108" s="893"/>
      <c r="AK108" s="814">
        <f t="shared" si="10"/>
        <v>4200000</v>
      </c>
      <c r="AL108" s="814">
        <f t="shared" si="10"/>
        <v>0</v>
      </c>
      <c r="AM108" s="814">
        <f t="shared" si="8"/>
        <v>0</v>
      </c>
      <c r="AN108" s="895">
        <f t="shared" si="9"/>
        <v>0</v>
      </c>
    </row>
    <row r="109" ht="15" customHeight="1" spans="2:40">
      <c r="B109" s="810">
        <v>97</v>
      </c>
      <c r="C109" s="811" t="s">
        <v>13344</v>
      </c>
      <c r="D109" s="812">
        <v>44380</v>
      </c>
      <c r="E109" s="815" t="s">
        <v>13011</v>
      </c>
      <c r="F109" s="811" t="s">
        <v>13110</v>
      </c>
      <c r="G109" s="811" t="s">
        <v>13105</v>
      </c>
      <c r="H109" s="816"/>
      <c r="I109" s="897">
        <v>33600000</v>
      </c>
      <c r="J109" s="814"/>
      <c r="K109" s="897">
        <v>3360000</v>
      </c>
      <c r="L109" s="816"/>
      <c r="M109" s="832">
        <f t="shared" si="6"/>
        <v>20679437</v>
      </c>
      <c r="N109" s="833"/>
      <c r="O109" s="832"/>
      <c r="P109" s="832">
        <f t="shared" si="7"/>
        <v>20679437</v>
      </c>
      <c r="Q109" s="861"/>
      <c r="R109" s="853">
        <v>44378</v>
      </c>
      <c r="S109" s="854"/>
      <c r="T109" s="854"/>
      <c r="U109" s="855"/>
      <c r="V109" s="856"/>
      <c r="W109" s="811"/>
      <c r="X109" s="812"/>
      <c r="Z109" s="850"/>
      <c r="AA109" s="851"/>
      <c r="AB109" s="851"/>
      <c r="AC109" s="880"/>
      <c r="AD109" s="880"/>
      <c r="AE109" s="880"/>
      <c r="AF109" s="880"/>
      <c r="AG109" s="850"/>
      <c r="AH109" s="892"/>
      <c r="AI109" s="893"/>
      <c r="AK109" s="814">
        <f t="shared" si="10"/>
        <v>33600000</v>
      </c>
      <c r="AL109" s="814">
        <f t="shared" si="10"/>
        <v>0</v>
      </c>
      <c r="AM109" s="814">
        <f t="shared" si="8"/>
        <v>0</v>
      </c>
      <c r="AN109" s="895">
        <f t="shared" si="9"/>
        <v>0</v>
      </c>
    </row>
    <row r="110" ht="15" customHeight="1" spans="2:40">
      <c r="B110" s="810">
        <v>98</v>
      </c>
      <c r="C110" s="811" t="s">
        <v>13345</v>
      </c>
      <c r="D110" s="812">
        <v>44399</v>
      </c>
      <c r="E110" s="815" t="s">
        <v>13007</v>
      </c>
      <c r="F110" s="811" t="s">
        <v>13116</v>
      </c>
      <c r="G110" s="811" t="s">
        <v>13105</v>
      </c>
      <c r="H110" s="816"/>
      <c r="I110" s="897">
        <v>28288000</v>
      </c>
      <c r="J110" s="814"/>
      <c r="K110" s="897">
        <v>2828800</v>
      </c>
      <c r="L110" s="816"/>
      <c r="M110" s="832">
        <f t="shared" si="6"/>
        <v>23508237</v>
      </c>
      <c r="N110" s="833"/>
      <c r="O110" s="832"/>
      <c r="P110" s="832">
        <f t="shared" si="7"/>
        <v>23508237</v>
      </c>
      <c r="Q110" s="861"/>
      <c r="R110" s="853">
        <v>44378</v>
      </c>
      <c r="S110" s="854"/>
      <c r="T110" s="854"/>
      <c r="U110" s="855"/>
      <c r="V110" s="856"/>
      <c r="W110" s="811"/>
      <c r="X110" s="812"/>
      <c r="Z110" s="850"/>
      <c r="AA110" s="851"/>
      <c r="AB110" s="851"/>
      <c r="AC110" s="880"/>
      <c r="AD110" s="880"/>
      <c r="AE110" s="880"/>
      <c r="AF110" s="880"/>
      <c r="AG110" s="850"/>
      <c r="AH110" s="892"/>
      <c r="AI110" s="893"/>
      <c r="AK110" s="814">
        <f t="shared" si="10"/>
        <v>28288000</v>
      </c>
      <c r="AL110" s="814">
        <f t="shared" si="10"/>
        <v>0</v>
      </c>
      <c r="AM110" s="814">
        <f t="shared" si="8"/>
        <v>0</v>
      </c>
      <c r="AN110" s="895">
        <f t="shared" si="9"/>
        <v>0</v>
      </c>
    </row>
    <row r="111" ht="15" customHeight="1" spans="2:40">
      <c r="B111" s="810">
        <v>99</v>
      </c>
      <c r="C111" s="811" t="s">
        <v>13346</v>
      </c>
      <c r="D111" s="812">
        <v>44399</v>
      </c>
      <c r="E111" s="815" t="s">
        <v>13007</v>
      </c>
      <c r="F111" s="811" t="s">
        <v>13116</v>
      </c>
      <c r="G111" s="811" t="s">
        <v>13105</v>
      </c>
      <c r="H111" s="816"/>
      <c r="I111" s="897">
        <v>15000000</v>
      </c>
      <c r="J111" s="814"/>
      <c r="K111" s="897">
        <v>1500000</v>
      </c>
      <c r="L111" s="816"/>
      <c r="M111" s="832">
        <f t="shared" si="6"/>
        <v>25008237</v>
      </c>
      <c r="N111" s="835" t="s">
        <v>12709</v>
      </c>
      <c r="O111" s="837">
        <v>25008237</v>
      </c>
      <c r="P111" s="832">
        <f t="shared" si="7"/>
        <v>0</v>
      </c>
      <c r="Q111" s="861"/>
      <c r="R111" s="862">
        <v>44378</v>
      </c>
      <c r="S111" s="854"/>
      <c r="T111" s="854"/>
      <c r="U111" s="855"/>
      <c r="V111" s="856"/>
      <c r="W111" s="811"/>
      <c r="X111" s="812"/>
      <c r="Z111" s="850"/>
      <c r="AA111" s="851"/>
      <c r="AB111" s="851"/>
      <c r="AC111" s="880"/>
      <c r="AD111" s="880"/>
      <c r="AE111" s="880"/>
      <c r="AF111" s="880"/>
      <c r="AG111" s="850"/>
      <c r="AH111" s="892"/>
      <c r="AI111" s="893"/>
      <c r="AK111" s="814">
        <f t="shared" si="10"/>
        <v>15000000</v>
      </c>
      <c r="AL111" s="814">
        <f t="shared" si="10"/>
        <v>0</v>
      </c>
      <c r="AM111" s="814">
        <f t="shared" si="8"/>
        <v>0</v>
      </c>
      <c r="AN111" s="895">
        <f t="shared" si="9"/>
        <v>0</v>
      </c>
    </row>
    <row r="112" ht="15" customHeight="1" spans="2:40">
      <c r="B112" s="810">
        <v>100</v>
      </c>
      <c r="C112" s="811" t="s">
        <v>13347</v>
      </c>
      <c r="D112" s="812">
        <v>44410</v>
      </c>
      <c r="E112" s="815" t="s">
        <v>1479</v>
      </c>
      <c r="F112" s="811" t="s">
        <v>13104</v>
      </c>
      <c r="G112" s="811" t="s">
        <v>13105</v>
      </c>
      <c r="H112" s="816"/>
      <c r="I112" s="897">
        <v>21500000</v>
      </c>
      <c r="J112" s="814"/>
      <c r="K112" s="897"/>
      <c r="L112" s="897">
        <v>2150000</v>
      </c>
      <c r="M112" s="832">
        <f t="shared" si="6"/>
        <v>0</v>
      </c>
      <c r="N112" s="833"/>
      <c r="O112" s="832"/>
      <c r="P112" s="832">
        <f t="shared" si="7"/>
        <v>0</v>
      </c>
      <c r="Q112" s="861"/>
      <c r="R112" s="853">
        <v>44409</v>
      </c>
      <c r="S112" s="854"/>
      <c r="T112" s="854"/>
      <c r="U112" s="855"/>
      <c r="V112" s="856"/>
      <c r="W112" s="811"/>
      <c r="X112" s="812"/>
      <c r="Z112" s="850"/>
      <c r="AA112" s="851"/>
      <c r="AB112" s="851"/>
      <c r="AC112" s="880"/>
      <c r="AD112" s="880"/>
      <c r="AE112" s="880"/>
      <c r="AF112" s="880"/>
      <c r="AG112" s="850"/>
      <c r="AH112" s="892"/>
      <c r="AI112" s="893"/>
      <c r="AK112" s="814">
        <f t="shared" si="10"/>
        <v>0</v>
      </c>
      <c r="AL112" s="814">
        <f t="shared" si="10"/>
        <v>21500000</v>
      </c>
      <c r="AM112" s="814">
        <f t="shared" si="8"/>
        <v>0</v>
      </c>
      <c r="AN112" s="895">
        <f t="shared" si="9"/>
        <v>0</v>
      </c>
    </row>
    <row r="113" ht="15" customHeight="1" spans="2:40">
      <c r="B113" s="810">
        <v>101</v>
      </c>
      <c r="C113" s="811" t="s">
        <v>13348</v>
      </c>
      <c r="D113" s="812">
        <v>44410</v>
      </c>
      <c r="E113" s="815" t="s">
        <v>1479</v>
      </c>
      <c r="F113" s="811" t="s">
        <v>13104</v>
      </c>
      <c r="G113" s="811" t="s">
        <v>13105</v>
      </c>
      <c r="H113" s="816"/>
      <c r="I113" s="897">
        <v>17126566</v>
      </c>
      <c r="J113" s="814"/>
      <c r="K113" s="897"/>
      <c r="L113" s="897">
        <v>1712656</v>
      </c>
      <c r="M113" s="832">
        <f t="shared" si="6"/>
        <v>0</v>
      </c>
      <c r="N113" s="833"/>
      <c r="O113" s="832"/>
      <c r="P113" s="832">
        <f t="shared" si="7"/>
        <v>0</v>
      </c>
      <c r="Q113" s="861"/>
      <c r="R113" s="853">
        <v>44409</v>
      </c>
      <c r="S113" s="854"/>
      <c r="T113" s="854"/>
      <c r="U113" s="855"/>
      <c r="V113" s="856"/>
      <c r="W113" s="811"/>
      <c r="X113" s="812"/>
      <c r="Z113" s="850"/>
      <c r="AA113" s="851"/>
      <c r="AB113" s="851"/>
      <c r="AC113" s="880"/>
      <c r="AD113" s="880"/>
      <c r="AE113" s="880"/>
      <c r="AF113" s="880"/>
      <c r="AG113" s="850"/>
      <c r="AH113" s="892"/>
      <c r="AI113" s="893"/>
      <c r="AK113" s="814">
        <f t="shared" si="10"/>
        <v>0</v>
      </c>
      <c r="AL113" s="814">
        <f t="shared" si="10"/>
        <v>17126560</v>
      </c>
      <c r="AM113" s="814">
        <f t="shared" si="8"/>
        <v>0</v>
      </c>
      <c r="AN113" s="895">
        <f t="shared" si="9"/>
        <v>-6</v>
      </c>
    </row>
    <row r="114" ht="15" hidden="1" customHeight="1" spans="2:40">
      <c r="B114" s="810">
        <v>102</v>
      </c>
      <c r="C114" s="811" t="s">
        <v>13349</v>
      </c>
      <c r="D114" s="812">
        <v>44424</v>
      </c>
      <c r="E114" s="815" t="s">
        <v>13011</v>
      </c>
      <c r="F114" s="811" t="s">
        <v>13110</v>
      </c>
      <c r="G114" s="811" t="s">
        <v>13105</v>
      </c>
      <c r="H114" s="816"/>
      <c r="I114" s="897"/>
      <c r="J114" s="814"/>
      <c r="K114" s="897"/>
      <c r="L114" s="816"/>
      <c r="M114" s="832">
        <f t="shared" si="6"/>
        <v>0</v>
      </c>
      <c r="N114" s="833"/>
      <c r="O114" s="832"/>
      <c r="P114" s="832">
        <f t="shared" si="7"/>
        <v>0</v>
      </c>
      <c r="Q114" s="861"/>
      <c r="R114" s="853">
        <v>44409</v>
      </c>
      <c r="S114" s="854"/>
      <c r="T114" s="854"/>
      <c r="U114" s="855"/>
      <c r="V114" s="856"/>
      <c r="W114" s="811"/>
      <c r="X114" s="812"/>
      <c r="Z114" s="850"/>
      <c r="AA114" s="851"/>
      <c r="AB114" s="851"/>
      <c r="AC114" s="880"/>
      <c r="AD114" s="880"/>
      <c r="AE114" s="880"/>
      <c r="AF114" s="880"/>
      <c r="AG114" s="850"/>
      <c r="AH114" s="892"/>
      <c r="AI114" s="893"/>
      <c r="AK114" s="814">
        <f t="shared" si="10"/>
        <v>0</v>
      </c>
      <c r="AL114" s="814">
        <f t="shared" si="10"/>
        <v>0</v>
      </c>
      <c r="AM114" s="814">
        <f t="shared" si="8"/>
        <v>0</v>
      </c>
      <c r="AN114" s="895">
        <f t="shared" si="9"/>
        <v>0</v>
      </c>
    </row>
    <row r="115" ht="15" hidden="1" customHeight="1" spans="2:40">
      <c r="B115" s="810">
        <v>103</v>
      </c>
      <c r="C115" s="811" t="s">
        <v>13350</v>
      </c>
      <c r="D115" s="812">
        <v>44424</v>
      </c>
      <c r="E115" s="815" t="s">
        <v>13011</v>
      </c>
      <c r="F115" s="811" t="s">
        <v>13110</v>
      </c>
      <c r="G115" s="811" t="s">
        <v>13105</v>
      </c>
      <c r="H115" s="816"/>
      <c r="I115" s="897"/>
      <c r="J115" s="814"/>
      <c r="K115" s="897"/>
      <c r="L115" s="816"/>
      <c r="M115" s="832">
        <f t="shared" si="6"/>
        <v>0</v>
      </c>
      <c r="N115" s="833"/>
      <c r="O115" s="832"/>
      <c r="P115" s="832">
        <f t="shared" si="7"/>
        <v>0</v>
      </c>
      <c r="Q115" s="861"/>
      <c r="R115" s="853">
        <v>44409</v>
      </c>
      <c r="S115" s="854"/>
      <c r="T115" s="854"/>
      <c r="U115" s="855"/>
      <c r="V115" s="856"/>
      <c r="W115" s="811"/>
      <c r="X115" s="812"/>
      <c r="Z115" s="850"/>
      <c r="AA115" s="851"/>
      <c r="AB115" s="851"/>
      <c r="AC115" s="880"/>
      <c r="AD115" s="880"/>
      <c r="AE115" s="880"/>
      <c r="AF115" s="880"/>
      <c r="AG115" s="850"/>
      <c r="AH115" s="892"/>
      <c r="AI115" s="893"/>
      <c r="AK115" s="814">
        <f t="shared" si="10"/>
        <v>0</v>
      </c>
      <c r="AL115" s="814">
        <f t="shared" si="10"/>
        <v>0</v>
      </c>
      <c r="AM115" s="814">
        <f t="shared" si="8"/>
        <v>0</v>
      </c>
      <c r="AN115" s="895">
        <f t="shared" si="9"/>
        <v>0</v>
      </c>
    </row>
    <row r="116" ht="15" hidden="1" customHeight="1" spans="2:40">
      <c r="B116" s="810">
        <v>104</v>
      </c>
      <c r="C116" s="811" t="s">
        <v>13351</v>
      </c>
      <c r="D116" s="812">
        <v>44424</v>
      </c>
      <c r="E116" s="815" t="s">
        <v>13011</v>
      </c>
      <c r="F116" s="811" t="s">
        <v>13110</v>
      </c>
      <c r="G116" s="811" t="s">
        <v>13105</v>
      </c>
      <c r="H116" s="816"/>
      <c r="I116" s="897"/>
      <c r="J116" s="814"/>
      <c r="K116" s="897"/>
      <c r="L116" s="816"/>
      <c r="M116" s="832">
        <f t="shared" si="6"/>
        <v>0</v>
      </c>
      <c r="N116" s="833"/>
      <c r="O116" s="832"/>
      <c r="P116" s="832">
        <f t="shared" si="7"/>
        <v>0</v>
      </c>
      <c r="Q116" s="861"/>
      <c r="R116" s="853">
        <v>44409</v>
      </c>
      <c r="S116" s="854"/>
      <c r="T116" s="854"/>
      <c r="U116" s="855"/>
      <c r="V116" s="856"/>
      <c r="W116" s="811"/>
      <c r="X116" s="812"/>
      <c r="Z116" s="850"/>
      <c r="AA116" s="851"/>
      <c r="AB116" s="851"/>
      <c r="AC116" s="880"/>
      <c r="AD116" s="880"/>
      <c r="AE116" s="880"/>
      <c r="AF116" s="880"/>
      <c r="AG116" s="850"/>
      <c r="AH116" s="892"/>
      <c r="AI116" s="893"/>
      <c r="AK116" s="814">
        <f t="shared" si="10"/>
        <v>0</v>
      </c>
      <c r="AL116" s="814">
        <f t="shared" si="10"/>
        <v>0</v>
      </c>
      <c r="AM116" s="814">
        <f t="shared" si="8"/>
        <v>0</v>
      </c>
      <c r="AN116" s="895">
        <f t="shared" si="9"/>
        <v>0</v>
      </c>
    </row>
    <row r="117" ht="15" hidden="1" customHeight="1" spans="2:40">
      <c r="B117" s="810">
        <v>105</v>
      </c>
      <c r="C117" s="811" t="s">
        <v>13352</v>
      </c>
      <c r="D117" s="812">
        <v>44424</v>
      </c>
      <c r="E117" s="815" t="s">
        <v>13011</v>
      </c>
      <c r="F117" s="811" t="s">
        <v>13110</v>
      </c>
      <c r="G117" s="811" t="s">
        <v>13105</v>
      </c>
      <c r="H117" s="816"/>
      <c r="I117" s="899"/>
      <c r="J117" s="814"/>
      <c r="K117" s="897"/>
      <c r="L117" s="816"/>
      <c r="M117" s="832">
        <f t="shared" si="6"/>
        <v>0</v>
      </c>
      <c r="N117" s="833"/>
      <c r="O117" s="832"/>
      <c r="P117" s="832">
        <f t="shared" si="7"/>
        <v>0</v>
      </c>
      <c r="Q117" s="861"/>
      <c r="R117" s="853">
        <v>44409</v>
      </c>
      <c r="S117" s="854"/>
      <c r="T117" s="854"/>
      <c r="U117" s="855"/>
      <c r="V117" s="856"/>
      <c r="W117" s="811"/>
      <c r="X117" s="812"/>
      <c r="Z117" s="850"/>
      <c r="AA117" s="851"/>
      <c r="AB117" s="851"/>
      <c r="AC117" s="880"/>
      <c r="AD117" s="880"/>
      <c r="AE117" s="880"/>
      <c r="AF117" s="880"/>
      <c r="AG117" s="850"/>
      <c r="AH117" s="892"/>
      <c r="AI117" s="893"/>
      <c r="AK117" s="814">
        <f t="shared" si="10"/>
        <v>0</v>
      </c>
      <c r="AL117" s="814">
        <f t="shared" si="10"/>
        <v>0</v>
      </c>
      <c r="AM117" s="814">
        <f t="shared" si="8"/>
        <v>0</v>
      </c>
      <c r="AN117" s="895">
        <f t="shared" si="9"/>
        <v>0</v>
      </c>
    </row>
    <row r="118" ht="15" hidden="1" customHeight="1" spans="2:40">
      <c r="B118" s="810">
        <v>106</v>
      </c>
      <c r="C118" s="811" t="s">
        <v>13353</v>
      </c>
      <c r="D118" s="812">
        <v>44424</v>
      </c>
      <c r="E118" s="815" t="s">
        <v>13011</v>
      </c>
      <c r="F118" s="811" t="s">
        <v>13110</v>
      </c>
      <c r="G118" s="811" t="s">
        <v>13105</v>
      </c>
      <c r="H118" s="816"/>
      <c r="I118" s="897"/>
      <c r="J118" s="814"/>
      <c r="K118" s="897"/>
      <c r="L118" s="816"/>
      <c r="M118" s="832">
        <f t="shared" si="6"/>
        <v>0</v>
      </c>
      <c r="N118" s="833"/>
      <c r="O118" s="832"/>
      <c r="P118" s="832">
        <f t="shared" si="7"/>
        <v>0</v>
      </c>
      <c r="Q118" s="861"/>
      <c r="R118" s="853">
        <v>44409</v>
      </c>
      <c r="S118" s="854"/>
      <c r="T118" s="854"/>
      <c r="U118" s="855"/>
      <c r="V118" s="856"/>
      <c r="W118" s="811"/>
      <c r="X118" s="812"/>
      <c r="Z118" s="850"/>
      <c r="AA118" s="851"/>
      <c r="AB118" s="851"/>
      <c r="AC118" s="880"/>
      <c r="AD118" s="880"/>
      <c r="AE118" s="880"/>
      <c r="AF118" s="880"/>
      <c r="AG118" s="850"/>
      <c r="AH118" s="892"/>
      <c r="AI118" s="893"/>
      <c r="AK118" s="814">
        <f t="shared" si="10"/>
        <v>0</v>
      </c>
      <c r="AL118" s="814">
        <f t="shared" si="10"/>
        <v>0</v>
      </c>
      <c r="AM118" s="814">
        <f t="shared" si="8"/>
        <v>0</v>
      </c>
      <c r="AN118" s="895">
        <f t="shared" si="9"/>
        <v>0</v>
      </c>
    </row>
    <row r="119" ht="15" hidden="1" customHeight="1" spans="2:40">
      <c r="B119" s="810">
        <v>107</v>
      </c>
      <c r="C119" s="811" t="s">
        <v>13354</v>
      </c>
      <c r="D119" s="812">
        <v>44428</v>
      </c>
      <c r="E119" s="815" t="s">
        <v>12999</v>
      </c>
      <c r="F119" s="811" t="s">
        <v>13122</v>
      </c>
      <c r="G119" s="811" t="s">
        <v>13123</v>
      </c>
      <c r="H119" s="816">
        <v>426800</v>
      </c>
      <c r="I119" s="897"/>
      <c r="J119" s="814">
        <v>42680</v>
      </c>
      <c r="K119" s="897"/>
      <c r="L119" s="816"/>
      <c r="M119" s="832">
        <f t="shared" si="6"/>
        <v>-42680</v>
      </c>
      <c r="N119" s="900" t="s">
        <v>13355</v>
      </c>
      <c r="O119" s="901"/>
      <c r="P119" s="832">
        <f t="shared" si="7"/>
        <v>-42680</v>
      </c>
      <c r="Q119" s="861"/>
      <c r="R119" s="862">
        <v>44409</v>
      </c>
      <c r="S119" s="854"/>
      <c r="T119" s="854"/>
      <c r="U119" s="855"/>
      <c r="V119" s="856"/>
      <c r="W119" s="811"/>
      <c r="X119" s="812"/>
      <c r="Z119" s="850"/>
      <c r="AA119" s="851"/>
      <c r="AB119" s="851"/>
      <c r="AC119" s="880"/>
      <c r="AD119" s="880"/>
      <c r="AE119" s="880"/>
      <c r="AF119" s="880"/>
      <c r="AG119" s="850"/>
      <c r="AH119" s="892"/>
      <c r="AI119" s="893"/>
      <c r="AK119" s="814">
        <f t="shared" si="10"/>
        <v>0</v>
      </c>
      <c r="AL119" s="814">
        <f t="shared" si="10"/>
        <v>0</v>
      </c>
      <c r="AM119" s="814">
        <f t="shared" si="8"/>
        <v>426800</v>
      </c>
      <c r="AN119" s="895">
        <f t="shared" si="9"/>
        <v>0</v>
      </c>
    </row>
    <row r="120" ht="15" hidden="1" customHeight="1" spans="2:40">
      <c r="B120" s="810">
        <v>108</v>
      </c>
      <c r="C120" s="811" t="s">
        <v>13356</v>
      </c>
      <c r="D120" s="812">
        <v>44467</v>
      </c>
      <c r="E120" s="815" t="s">
        <v>13357</v>
      </c>
      <c r="F120" s="811" t="s">
        <v>13358</v>
      </c>
      <c r="G120" s="811" t="s">
        <v>13123</v>
      </c>
      <c r="H120" s="816">
        <v>9900000</v>
      </c>
      <c r="I120" s="897"/>
      <c r="J120" s="814">
        <v>990000</v>
      </c>
      <c r="K120" s="897"/>
      <c r="L120" s="816"/>
      <c r="M120" s="832">
        <f t="shared" si="6"/>
        <v>-1032680</v>
      </c>
      <c r="N120" s="833"/>
      <c r="O120" s="832"/>
      <c r="P120" s="832">
        <f t="shared" si="7"/>
        <v>-1032680</v>
      </c>
      <c r="Q120" s="861"/>
      <c r="R120" s="853">
        <v>44440</v>
      </c>
      <c r="S120" s="854"/>
      <c r="T120" s="854"/>
      <c r="U120" s="855"/>
      <c r="V120" s="856"/>
      <c r="W120" s="811"/>
      <c r="X120" s="812"/>
      <c r="Z120" s="850"/>
      <c r="AA120" s="851"/>
      <c r="AB120" s="851"/>
      <c r="AC120" s="880"/>
      <c r="AD120" s="880"/>
      <c r="AE120" s="880"/>
      <c r="AF120" s="880"/>
      <c r="AG120" s="850"/>
      <c r="AH120" s="892"/>
      <c r="AI120" s="893"/>
      <c r="AK120" s="814">
        <f t="shared" si="10"/>
        <v>0</v>
      </c>
      <c r="AL120" s="814">
        <f t="shared" si="10"/>
        <v>0</v>
      </c>
      <c r="AM120" s="814">
        <f t="shared" si="8"/>
        <v>9900000</v>
      </c>
      <c r="AN120" s="895">
        <f t="shared" si="9"/>
        <v>0</v>
      </c>
    </row>
    <row r="121" ht="15" hidden="1" customHeight="1" spans="2:40">
      <c r="B121" s="810">
        <v>109</v>
      </c>
      <c r="C121" s="811" t="s">
        <v>13359</v>
      </c>
      <c r="D121" s="812">
        <v>44459</v>
      </c>
      <c r="E121" s="815" t="s">
        <v>12999</v>
      </c>
      <c r="F121" s="811" t="s">
        <v>13122</v>
      </c>
      <c r="G121" s="811" t="s">
        <v>13123</v>
      </c>
      <c r="H121" s="816">
        <v>908000</v>
      </c>
      <c r="I121" s="897"/>
      <c r="J121" s="814">
        <v>90800</v>
      </c>
      <c r="K121" s="897"/>
      <c r="L121" s="816"/>
      <c r="M121" s="832">
        <f t="shared" si="6"/>
        <v>-1123480</v>
      </c>
      <c r="N121" s="900" t="s">
        <v>13355</v>
      </c>
      <c r="O121" s="901"/>
      <c r="P121" s="832">
        <f t="shared" si="7"/>
        <v>-1123480</v>
      </c>
      <c r="Q121" s="861"/>
      <c r="R121" s="862">
        <v>44440</v>
      </c>
      <c r="S121" s="854"/>
      <c r="T121" s="854"/>
      <c r="U121" s="855"/>
      <c r="V121" s="856"/>
      <c r="W121" s="811"/>
      <c r="X121" s="812"/>
      <c r="Z121" s="850"/>
      <c r="AA121" s="851"/>
      <c r="AB121" s="851"/>
      <c r="AC121" s="880"/>
      <c r="AD121" s="880"/>
      <c r="AE121" s="880"/>
      <c r="AF121" s="880"/>
      <c r="AG121" s="850"/>
      <c r="AH121" s="892"/>
      <c r="AI121" s="893"/>
      <c r="AK121" s="814">
        <f t="shared" si="10"/>
        <v>0</v>
      </c>
      <c r="AL121" s="814">
        <f t="shared" si="10"/>
        <v>0</v>
      </c>
      <c r="AM121" s="814">
        <f t="shared" si="8"/>
        <v>908000</v>
      </c>
      <c r="AN121" s="895">
        <f t="shared" si="9"/>
        <v>0</v>
      </c>
    </row>
    <row r="122" ht="15" customHeight="1" spans="2:40">
      <c r="B122" s="810">
        <v>110</v>
      </c>
      <c r="C122" s="811" t="s">
        <v>13360</v>
      </c>
      <c r="D122" s="812">
        <v>44483</v>
      </c>
      <c r="E122" s="815" t="s">
        <v>13011</v>
      </c>
      <c r="F122" s="811" t="s">
        <v>13110</v>
      </c>
      <c r="G122" s="811" t="s">
        <v>13105</v>
      </c>
      <c r="H122" s="816"/>
      <c r="I122" s="897">
        <v>55000000</v>
      </c>
      <c r="J122" s="814"/>
      <c r="K122" s="897">
        <v>5500000</v>
      </c>
      <c r="L122" s="816"/>
      <c r="M122" s="832">
        <f t="shared" si="6"/>
        <v>4376520</v>
      </c>
      <c r="N122" s="833"/>
      <c r="O122" s="832"/>
      <c r="P122" s="832">
        <f t="shared" si="7"/>
        <v>4376520</v>
      </c>
      <c r="Q122" s="861"/>
      <c r="R122" s="853">
        <v>44470</v>
      </c>
      <c r="S122" s="854"/>
      <c r="T122" s="854"/>
      <c r="U122" s="855"/>
      <c r="V122" s="856"/>
      <c r="W122" s="811"/>
      <c r="X122" s="812"/>
      <c r="Z122" s="850"/>
      <c r="AA122" s="851"/>
      <c r="AB122" s="851"/>
      <c r="AC122" s="880"/>
      <c r="AD122" s="880"/>
      <c r="AE122" s="880"/>
      <c r="AF122" s="880"/>
      <c r="AG122" s="850"/>
      <c r="AH122" s="892"/>
      <c r="AI122" s="893"/>
      <c r="AK122" s="814">
        <f t="shared" si="10"/>
        <v>55000000</v>
      </c>
      <c r="AL122" s="814">
        <f t="shared" si="10"/>
        <v>0</v>
      </c>
      <c r="AM122" s="814">
        <f t="shared" si="8"/>
        <v>0</v>
      </c>
      <c r="AN122" s="895">
        <f t="shared" si="9"/>
        <v>0</v>
      </c>
    </row>
    <row r="123" ht="15" customHeight="1" spans="2:40">
      <c r="B123" s="810">
        <v>111</v>
      </c>
      <c r="C123" s="811" t="s">
        <v>13361</v>
      </c>
      <c r="D123" s="812">
        <v>44483</v>
      </c>
      <c r="E123" s="815" t="s">
        <v>13011</v>
      </c>
      <c r="F123" s="811" t="s">
        <v>13110</v>
      </c>
      <c r="G123" s="811" t="s">
        <v>13105</v>
      </c>
      <c r="H123" s="816"/>
      <c r="I123" s="897">
        <v>13000000</v>
      </c>
      <c r="J123" s="814"/>
      <c r="K123" s="897">
        <v>1300000</v>
      </c>
      <c r="L123" s="816"/>
      <c r="M123" s="832">
        <f t="shared" si="6"/>
        <v>5676520</v>
      </c>
      <c r="N123" s="833"/>
      <c r="O123" s="832"/>
      <c r="P123" s="832">
        <f t="shared" si="7"/>
        <v>5676520</v>
      </c>
      <c r="Q123" s="861"/>
      <c r="R123" s="853">
        <v>44471</v>
      </c>
      <c r="S123" s="854"/>
      <c r="T123" s="854"/>
      <c r="U123" s="855"/>
      <c r="V123" s="856"/>
      <c r="W123" s="811"/>
      <c r="X123" s="812"/>
      <c r="Z123" s="850"/>
      <c r="AA123" s="851"/>
      <c r="AB123" s="851"/>
      <c r="AC123" s="880"/>
      <c r="AD123" s="880"/>
      <c r="AE123" s="880"/>
      <c r="AF123" s="880"/>
      <c r="AG123" s="850"/>
      <c r="AH123" s="892"/>
      <c r="AI123" s="893"/>
      <c r="AK123" s="814">
        <f t="shared" si="10"/>
        <v>13000000</v>
      </c>
      <c r="AL123" s="814">
        <f t="shared" si="10"/>
        <v>0</v>
      </c>
      <c r="AM123" s="814">
        <f t="shared" si="8"/>
        <v>0</v>
      </c>
      <c r="AN123" s="895">
        <f t="shared" si="9"/>
        <v>0</v>
      </c>
    </row>
    <row r="124" ht="15" customHeight="1" spans="2:40">
      <c r="B124" s="810">
        <v>112</v>
      </c>
      <c r="C124" s="811" t="s">
        <v>13362</v>
      </c>
      <c r="D124" s="812">
        <v>44483</v>
      </c>
      <c r="E124" s="815" t="s">
        <v>13011</v>
      </c>
      <c r="F124" s="811" t="s">
        <v>13110</v>
      </c>
      <c r="G124" s="811" t="s">
        <v>13105</v>
      </c>
      <c r="H124" s="816"/>
      <c r="I124" s="897">
        <v>9000000</v>
      </c>
      <c r="J124" s="814"/>
      <c r="K124" s="897">
        <v>900000</v>
      </c>
      <c r="L124" s="816"/>
      <c r="M124" s="832">
        <f t="shared" si="6"/>
        <v>6576520</v>
      </c>
      <c r="N124" s="833"/>
      <c r="O124" s="832"/>
      <c r="P124" s="832">
        <f t="shared" si="7"/>
        <v>6576520</v>
      </c>
      <c r="Q124" s="861"/>
      <c r="R124" s="853">
        <v>44472</v>
      </c>
      <c r="S124" s="854"/>
      <c r="T124" s="854"/>
      <c r="U124" s="855"/>
      <c r="V124" s="856"/>
      <c r="W124" s="811"/>
      <c r="X124" s="812"/>
      <c r="Z124" s="850"/>
      <c r="AA124" s="851"/>
      <c r="AB124" s="851"/>
      <c r="AC124" s="880"/>
      <c r="AD124" s="880"/>
      <c r="AE124" s="880"/>
      <c r="AF124" s="880"/>
      <c r="AG124" s="850"/>
      <c r="AH124" s="892"/>
      <c r="AI124" s="893"/>
      <c r="AK124" s="814">
        <f t="shared" si="10"/>
        <v>9000000</v>
      </c>
      <c r="AL124" s="814">
        <f t="shared" si="10"/>
        <v>0</v>
      </c>
      <c r="AM124" s="814">
        <f t="shared" si="8"/>
        <v>0</v>
      </c>
      <c r="AN124" s="895">
        <f t="shared" si="9"/>
        <v>0</v>
      </c>
    </row>
    <row r="125" ht="15" customHeight="1" spans="2:40">
      <c r="B125" s="810">
        <v>113</v>
      </c>
      <c r="C125" s="811" t="s">
        <v>13363</v>
      </c>
      <c r="D125" s="812">
        <v>44483</v>
      </c>
      <c r="E125" s="815" t="s">
        <v>13011</v>
      </c>
      <c r="F125" s="811" t="s">
        <v>13110</v>
      </c>
      <c r="G125" s="811" t="s">
        <v>13105</v>
      </c>
      <c r="H125" s="816"/>
      <c r="I125" s="897">
        <v>4200000</v>
      </c>
      <c r="J125" s="814"/>
      <c r="K125" s="897">
        <v>420000</v>
      </c>
      <c r="L125" s="816"/>
      <c r="M125" s="832">
        <f t="shared" si="6"/>
        <v>6996520</v>
      </c>
      <c r="N125" s="833"/>
      <c r="O125" s="832"/>
      <c r="P125" s="832">
        <f t="shared" si="7"/>
        <v>6996520</v>
      </c>
      <c r="Q125" s="861"/>
      <c r="R125" s="853">
        <v>44473</v>
      </c>
      <c r="S125" s="854"/>
      <c r="T125" s="854"/>
      <c r="U125" s="855"/>
      <c r="V125" s="856"/>
      <c r="W125" s="811"/>
      <c r="X125" s="812"/>
      <c r="Z125" s="850"/>
      <c r="AA125" s="851"/>
      <c r="AB125" s="851"/>
      <c r="AC125" s="880"/>
      <c r="AD125" s="880"/>
      <c r="AE125" s="880"/>
      <c r="AF125" s="880"/>
      <c r="AG125" s="850"/>
      <c r="AH125" s="892"/>
      <c r="AI125" s="893"/>
      <c r="AK125" s="814">
        <f t="shared" si="10"/>
        <v>4200000</v>
      </c>
      <c r="AL125" s="814">
        <f t="shared" si="10"/>
        <v>0</v>
      </c>
      <c r="AM125" s="814">
        <f t="shared" si="8"/>
        <v>0</v>
      </c>
      <c r="AN125" s="895">
        <f t="shared" si="9"/>
        <v>0</v>
      </c>
    </row>
    <row r="126" ht="15" customHeight="1" spans="2:40">
      <c r="B126" s="810">
        <v>114</v>
      </c>
      <c r="C126" s="811" t="s">
        <v>13364</v>
      </c>
      <c r="D126" s="812">
        <v>44483</v>
      </c>
      <c r="E126" s="815" t="s">
        <v>13011</v>
      </c>
      <c r="F126" s="811" t="s">
        <v>13110</v>
      </c>
      <c r="G126" s="811" t="s">
        <v>13105</v>
      </c>
      <c r="H126" s="816"/>
      <c r="I126" s="897">
        <v>40000000</v>
      </c>
      <c r="J126" s="814"/>
      <c r="K126" s="897">
        <v>4000000</v>
      </c>
      <c r="L126" s="816"/>
      <c r="M126" s="832">
        <f t="shared" si="6"/>
        <v>10996520</v>
      </c>
      <c r="N126" s="833"/>
      <c r="O126" s="832"/>
      <c r="P126" s="832">
        <f t="shared" si="7"/>
        <v>10996520</v>
      </c>
      <c r="Q126" s="861"/>
      <c r="R126" s="853">
        <v>44474</v>
      </c>
      <c r="S126" s="854"/>
      <c r="T126" s="854"/>
      <c r="U126" s="855"/>
      <c r="V126" s="856"/>
      <c r="W126" s="811"/>
      <c r="X126" s="812"/>
      <c r="Z126" s="850"/>
      <c r="AA126" s="851"/>
      <c r="AB126" s="851"/>
      <c r="AC126" s="880"/>
      <c r="AD126" s="880"/>
      <c r="AE126" s="880"/>
      <c r="AF126" s="880"/>
      <c r="AG126" s="850"/>
      <c r="AH126" s="892"/>
      <c r="AI126" s="893"/>
      <c r="AK126" s="814">
        <f t="shared" si="10"/>
        <v>40000000</v>
      </c>
      <c r="AL126" s="814">
        <f t="shared" si="10"/>
        <v>0</v>
      </c>
      <c r="AM126" s="814">
        <f t="shared" si="8"/>
        <v>0</v>
      </c>
      <c r="AN126" s="895">
        <f t="shared" si="9"/>
        <v>0</v>
      </c>
    </row>
    <row r="127" ht="15" customHeight="1" spans="2:40">
      <c r="B127" s="810">
        <v>115</v>
      </c>
      <c r="C127" s="811" t="s">
        <v>13365</v>
      </c>
      <c r="D127" s="812">
        <v>44483</v>
      </c>
      <c r="E127" s="815" t="s">
        <v>13007</v>
      </c>
      <c r="F127" s="811" t="s">
        <v>13116</v>
      </c>
      <c r="G127" s="811" t="s">
        <v>13105</v>
      </c>
      <c r="H127" s="816"/>
      <c r="I127" s="897">
        <v>29146500</v>
      </c>
      <c r="J127" s="814"/>
      <c r="K127" s="897">
        <v>2914650</v>
      </c>
      <c r="L127" s="897"/>
      <c r="M127" s="832">
        <f t="shared" si="6"/>
        <v>13911170</v>
      </c>
      <c r="N127" s="833"/>
      <c r="O127" s="832"/>
      <c r="P127" s="832">
        <f t="shared" si="7"/>
        <v>13911170</v>
      </c>
      <c r="Q127" s="861"/>
      <c r="R127" s="853">
        <v>44475</v>
      </c>
      <c r="S127" s="854"/>
      <c r="T127" s="854"/>
      <c r="U127" s="855"/>
      <c r="V127" s="856"/>
      <c r="W127" s="811"/>
      <c r="X127" s="812"/>
      <c r="Z127" s="850"/>
      <c r="AA127" s="851"/>
      <c r="AB127" s="851"/>
      <c r="AC127" s="880"/>
      <c r="AD127" s="880"/>
      <c r="AE127" s="880"/>
      <c r="AF127" s="880"/>
      <c r="AG127" s="850"/>
      <c r="AH127" s="892"/>
      <c r="AI127" s="893"/>
      <c r="AK127" s="814">
        <f t="shared" si="10"/>
        <v>29146500</v>
      </c>
      <c r="AL127" s="814">
        <f t="shared" si="10"/>
        <v>0</v>
      </c>
      <c r="AM127" s="814">
        <f t="shared" si="8"/>
        <v>0</v>
      </c>
      <c r="AN127" s="895">
        <f t="shared" si="9"/>
        <v>0</v>
      </c>
    </row>
    <row r="128" ht="15" customHeight="1" spans="2:40">
      <c r="B128" s="810">
        <v>116</v>
      </c>
      <c r="C128" s="811" t="s">
        <v>13366</v>
      </c>
      <c r="D128" s="812">
        <v>44483</v>
      </c>
      <c r="E128" s="815" t="s">
        <v>13007</v>
      </c>
      <c r="F128" s="811" t="s">
        <v>13116</v>
      </c>
      <c r="G128" s="811" t="s">
        <v>13105</v>
      </c>
      <c r="H128" s="816"/>
      <c r="I128" s="897">
        <v>15000000</v>
      </c>
      <c r="J128" s="814"/>
      <c r="K128" s="897">
        <v>1500000</v>
      </c>
      <c r="L128" s="897"/>
      <c r="M128" s="832">
        <f t="shared" si="6"/>
        <v>15411170</v>
      </c>
      <c r="N128" s="833"/>
      <c r="O128" s="832"/>
      <c r="P128" s="832">
        <f t="shared" si="7"/>
        <v>15411170</v>
      </c>
      <c r="Q128" s="861"/>
      <c r="R128" s="853">
        <v>44476</v>
      </c>
      <c r="S128" s="854"/>
      <c r="T128" s="854"/>
      <c r="U128" s="855"/>
      <c r="V128" s="856"/>
      <c r="W128" s="811"/>
      <c r="X128" s="812"/>
      <c r="Z128" s="850"/>
      <c r="AA128" s="851"/>
      <c r="AB128" s="851"/>
      <c r="AC128" s="880"/>
      <c r="AD128" s="880"/>
      <c r="AE128" s="880"/>
      <c r="AF128" s="880"/>
      <c r="AG128" s="850"/>
      <c r="AH128" s="892"/>
      <c r="AI128" s="893"/>
      <c r="AK128" s="814">
        <f t="shared" si="10"/>
        <v>15000000</v>
      </c>
      <c r="AL128" s="814">
        <f t="shared" si="10"/>
        <v>0</v>
      </c>
      <c r="AM128" s="814">
        <f t="shared" si="8"/>
        <v>0</v>
      </c>
      <c r="AN128" s="895">
        <f t="shared" si="9"/>
        <v>0</v>
      </c>
    </row>
    <row r="129" ht="15" customHeight="1" spans="2:40">
      <c r="B129" s="810">
        <v>117</v>
      </c>
      <c r="C129" s="811" t="s">
        <v>13367</v>
      </c>
      <c r="D129" s="812">
        <v>44483</v>
      </c>
      <c r="E129" s="815" t="s">
        <v>1479</v>
      </c>
      <c r="F129" s="811" t="s">
        <v>13104</v>
      </c>
      <c r="G129" s="811" t="s">
        <v>13105</v>
      </c>
      <c r="H129" s="816"/>
      <c r="I129" s="897">
        <v>21500000</v>
      </c>
      <c r="J129" s="814"/>
      <c r="K129" s="897"/>
      <c r="L129" s="897">
        <v>2150000</v>
      </c>
      <c r="M129" s="832">
        <f t="shared" si="6"/>
        <v>15411170</v>
      </c>
      <c r="N129" s="833"/>
      <c r="O129" s="832"/>
      <c r="P129" s="832">
        <f t="shared" si="7"/>
        <v>15411170</v>
      </c>
      <c r="Q129" s="861"/>
      <c r="R129" s="853">
        <v>44477</v>
      </c>
      <c r="S129" s="854"/>
      <c r="T129" s="854"/>
      <c r="U129" s="855"/>
      <c r="V129" s="856"/>
      <c r="W129" s="811"/>
      <c r="X129" s="812"/>
      <c r="Z129" s="850"/>
      <c r="AA129" s="851"/>
      <c r="AB129" s="851"/>
      <c r="AC129" s="880"/>
      <c r="AD129" s="880"/>
      <c r="AE129" s="880"/>
      <c r="AF129" s="880"/>
      <c r="AG129" s="850"/>
      <c r="AH129" s="892"/>
      <c r="AI129" s="893"/>
      <c r="AK129" s="814">
        <f t="shared" si="10"/>
        <v>0</v>
      </c>
      <c r="AL129" s="814">
        <f t="shared" si="10"/>
        <v>21500000</v>
      </c>
      <c r="AM129" s="814">
        <f t="shared" si="8"/>
        <v>0</v>
      </c>
      <c r="AN129" s="895">
        <f t="shared" si="9"/>
        <v>0</v>
      </c>
    </row>
    <row r="130" ht="15" customHeight="1" spans="2:40">
      <c r="B130" s="810">
        <v>118</v>
      </c>
      <c r="C130" s="811" t="s">
        <v>13368</v>
      </c>
      <c r="D130" s="812">
        <v>44483</v>
      </c>
      <c r="E130" s="815" t="s">
        <v>1479</v>
      </c>
      <c r="F130" s="811" t="s">
        <v>13104</v>
      </c>
      <c r="G130" s="811" t="s">
        <v>13105</v>
      </c>
      <c r="H130" s="816"/>
      <c r="I130" s="897">
        <v>17535761</v>
      </c>
      <c r="J130" s="814"/>
      <c r="K130" s="897"/>
      <c r="L130" s="897">
        <v>1753576</v>
      </c>
      <c r="M130" s="832">
        <f t="shared" si="6"/>
        <v>15411170</v>
      </c>
      <c r="N130" s="833"/>
      <c r="O130" s="832"/>
      <c r="P130" s="832">
        <f t="shared" si="7"/>
        <v>15411170</v>
      </c>
      <c r="Q130" s="861"/>
      <c r="R130" s="853">
        <v>44478</v>
      </c>
      <c r="S130" s="854"/>
      <c r="T130" s="854"/>
      <c r="U130" s="855"/>
      <c r="V130" s="856"/>
      <c r="W130" s="811"/>
      <c r="X130" s="812"/>
      <c r="Z130" s="850"/>
      <c r="AA130" s="851"/>
      <c r="AB130" s="851"/>
      <c r="AC130" s="880"/>
      <c r="AD130" s="880"/>
      <c r="AE130" s="880"/>
      <c r="AF130" s="880"/>
      <c r="AG130" s="850"/>
      <c r="AH130" s="892"/>
      <c r="AI130" s="893"/>
      <c r="AK130" s="814">
        <f t="shared" si="10"/>
        <v>0</v>
      </c>
      <c r="AL130" s="814">
        <f t="shared" si="10"/>
        <v>17535760</v>
      </c>
      <c r="AM130" s="814">
        <f t="shared" si="8"/>
        <v>0</v>
      </c>
      <c r="AN130" s="895">
        <f t="shared" si="9"/>
        <v>-1</v>
      </c>
    </row>
    <row r="131" ht="15" customHeight="1" spans="2:40">
      <c r="B131" s="810">
        <v>119</v>
      </c>
      <c r="C131" s="811" t="s">
        <v>13369</v>
      </c>
      <c r="D131" s="812">
        <v>44483</v>
      </c>
      <c r="E131" s="815" t="s">
        <v>13011</v>
      </c>
      <c r="F131" s="811" t="s">
        <v>13110</v>
      </c>
      <c r="G131" s="811" t="s">
        <v>13105</v>
      </c>
      <c r="H131" s="816"/>
      <c r="I131" s="897">
        <v>55000000</v>
      </c>
      <c r="J131" s="814"/>
      <c r="K131" s="897">
        <v>5500000</v>
      </c>
      <c r="L131" s="816"/>
      <c r="M131" s="832">
        <f t="shared" si="6"/>
        <v>20911170</v>
      </c>
      <c r="N131" s="833"/>
      <c r="O131" s="832"/>
      <c r="P131" s="832">
        <f t="shared" si="7"/>
        <v>20911170</v>
      </c>
      <c r="Q131" s="861"/>
      <c r="R131" s="853">
        <v>44479</v>
      </c>
      <c r="S131" s="854"/>
      <c r="T131" s="854"/>
      <c r="U131" s="855"/>
      <c r="V131" s="856"/>
      <c r="W131" s="811"/>
      <c r="X131" s="812"/>
      <c r="Z131" s="850"/>
      <c r="AA131" s="851"/>
      <c r="AB131" s="851"/>
      <c r="AC131" s="880"/>
      <c r="AD131" s="880"/>
      <c r="AE131" s="880"/>
      <c r="AF131" s="880"/>
      <c r="AG131" s="850"/>
      <c r="AH131" s="892"/>
      <c r="AI131" s="893"/>
      <c r="AK131" s="814">
        <f t="shared" si="10"/>
        <v>55000000</v>
      </c>
      <c r="AL131" s="814">
        <f t="shared" si="10"/>
        <v>0</v>
      </c>
      <c r="AM131" s="814">
        <f t="shared" si="8"/>
        <v>0</v>
      </c>
      <c r="AN131" s="895">
        <f t="shared" si="9"/>
        <v>0</v>
      </c>
    </row>
    <row r="132" ht="15" customHeight="1" spans="2:40">
      <c r="B132" s="810">
        <v>120</v>
      </c>
      <c r="C132" s="811" t="s">
        <v>13370</v>
      </c>
      <c r="D132" s="812">
        <v>44483</v>
      </c>
      <c r="E132" s="815" t="s">
        <v>13011</v>
      </c>
      <c r="F132" s="811" t="s">
        <v>13110</v>
      </c>
      <c r="G132" s="811" t="s">
        <v>13105</v>
      </c>
      <c r="H132" s="816"/>
      <c r="I132" s="897">
        <v>13000000</v>
      </c>
      <c r="J132" s="814"/>
      <c r="K132" s="897">
        <v>1300000</v>
      </c>
      <c r="L132" s="816"/>
      <c r="M132" s="832">
        <f t="shared" si="6"/>
        <v>22211170</v>
      </c>
      <c r="N132" s="833"/>
      <c r="O132" s="832"/>
      <c r="P132" s="832">
        <f t="shared" si="7"/>
        <v>22211170</v>
      </c>
      <c r="Q132" s="861"/>
      <c r="R132" s="853">
        <v>44480</v>
      </c>
      <c r="S132" s="854"/>
      <c r="T132" s="854"/>
      <c r="U132" s="855"/>
      <c r="V132" s="856"/>
      <c r="W132" s="811"/>
      <c r="X132" s="812"/>
      <c r="Z132" s="850"/>
      <c r="AA132" s="851"/>
      <c r="AB132" s="851"/>
      <c r="AC132" s="880"/>
      <c r="AD132" s="880"/>
      <c r="AE132" s="880"/>
      <c r="AF132" s="880"/>
      <c r="AG132" s="850"/>
      <c r="AH132" s="892"/>
      <c r="AI132" s="893"/>
      <c r="AK132" s="814">
        <f t="shared" si="10"/>
        <v>13000000</v>
      </c>
      <c r="AL132" s="814">
        <f t="shared" si="10"/>
        <v>0</v>
      </c>
      <c r="AM132" s="814">
        <f t="shared" si="8"/>
        <v>0</v>
      </c>
      <c r="AN132" s="895">
        <f t="shared" si="9"/>
        <v>0</v>
      </c>
    </row>
    <row r="133" ht="15" customHeight="1" spans="2:40">
      <c r="B133" s="810">
        <v>121</v>
      </c>
      <c r="C133" s="811" t="s">
        <v>13371</v>
      </c>
      <c r="D133" s="812">
        <v>44483</v>
      </c>
      <c r="E133" s="815" t="s">
        <v>13011</v>
      </c>
      <c r="F133" s="811" t="s">
        <v>13110</v>
      </c>
      <c r="G133" s="811" t="s">
        <v>13105</v>
      </c>
      <c r="H133" s="816"/>
      <c r="I133" s="897">
        <v>6000000</v>
      </c>
      <c r="J133" s="814"/>
      <c r="K133" s="897">
        <v>600000</v>
      </c>
      <c r="L133" s="816"/>
      <c r="M133" s="832">
        <f t="shared" si="6"/>
        <v>22811170</v>
      </c>
      <c r="N133" s="833"/>
      <c r="O133" s="832"/>
      <c r="P133" s="832">
        <f t="shared" si="7"/>
        <v>22811170</v>
      </c>
      <c r="Q133" s="861"/>
      <c r="R133" s="853">
        <v>44481</v>
      </c>
      <c r="S133" s="854"/>
      <c r="T133" s="854"/>
      <c r="U133" s="855"/>
      <c r="V133" s="856"/>
      <c r="W133" s="811"/>
      <c r="X133" s="812"/>
      <c r="Z133" s="850"/>
      <c r="AA133" s="851"/>
      <c r="AB133" s="851"/>
      <c r="AC133" s="880"/>
      <c r="AD133" s="880"/>
      <c r="AE133" s="880"/>
      <c r="AF133" s="880"/>
      <c r="AG133" s="850"/>
      <c r="AH133" s="892"/>
      <c r="AI133" s="893"/>
      <c r="AK133" s="814">
        <f t="shared" si="10"/>
        <v>6000000</v>
      </c>
      <c r="AL133" s="814">
        <f t="shared" si="10"/>
        <v>0</v>
      </c>
      <c r="AM133" s="814">
        <f t="shared" si="8"/>
        <v>0</v>
      </c>
      <c r="AN133" s="895">
        <f t="shared" si="9"/>
        <v>0</v>
      </c>
    </row>
    <row r="134" ht="15" customHeight="1" spans="2:40">
      <c r="B134" s="810">
        <v>122</v>
      </c>
      <c r="C134" s="811" t="s">
        <v>13372</v>
      </c>
      <c r="D134" s="812">
        <v>44483</v>
      </c>
      <c r="E134" s="815" t="s">
        <v>13011</v>
      </c>
      <c r="F134" s="811" t="s">
        <v>13110</v>
      </c>
      <c r="G134" s="811" t="s">
        <v>13105</v>
      </c>
      <c r="H134" s="816"/>
      <c r="I134" s="897">
        <v>4200000</v>
      </c>
      <c r="J134" s="814"/>
      <c r="K134" s="897">
        <v>420000</v>
      </c>
      <c r="L134" s="816"/>
      <c r="M134" s="832">
        <f t="shared" si="6"/>
        <v>23231170</v>
      </c>
      <c r="N134" s="833"/>
      <c r="O134" s="832"/>
      <c r="P134" s="832">
        <f t="shared" si="7"/>
        <v>23231170</v>
      </c>
      <c r="Q134" s="861"/>
      <c r="R134" s="853">
        <v>44482</v>
      </c>
      <c r="S134" s="854"/>
      <c r="T134" s="854"/>
      <c r="U134" s="855"/>
      <c r="V134" s="856"/>
      <c r="W134" s="811"/>
      <c r="X134" s="812"/>
      <c r="Z134" s="850"/>
      <c r="AA134" s="851"/>
      <c r="AB134" s="851"/>
      <c r="AC134" s="880"/>
      <c r="AD134" s="880"/>
      <c r="AE134" s="880"/>
      <c r="AF134" s="880"/>
      <c r="AG134" s="850"/>
      <c r="AH134" s="892"/>
      <c r="AI134" s="893"/>
      <c r="AK134" s="814">
        <f t="shared" si="10"/>
        <v>4200000</v>
      </c>
      <c r="AL134" s="814">
        <f t="shared" si="10"/>
        <v>0</v>
      </c>
      <c r="AM134" s="814">
        <f t="shared" si="8"/>
        <v>0</v>
      </c>
      <c r="AN134" s="895">
        <f t="shared" si="9"/>
        <v>0</v>
      </c>
    </row>
    <row r="135" ht="15" hidden="1" customHeight="1" spans="2:40">
      <c r="B135" s="810">
        <v>123</v>
      </c>
      <c r="C135" s="811" t="s">
        <v>13373</v>
      </c>
      <c r="D135" s="812">
        <v>44484</v>
      </c>
      <c r="E135" s="815" t="s">
        <v>13011</v>
      </c>
      <c r="F135" s="811" t="s">
        <v>13110</v>
      </c>
      <c r="G135" s="811" t="s">
        <v>13105</v>
      </c>
      <c r="H135" s="816"/>
      <c r="I135" s="897"/>
      <c r="J135" s="814"/>
      <c r="K135" s="897"/>
      <c r="L135" s="816"/>
      <c r="M135" s="832">
        <f t="shared" si="6"/>
        <v>23231170</v>
      </c>
      <c r="N135" s="833"/>
      <c r="O135" s="832"/>
      <c r="P135" s="832">
        <f t="shared" si="7"/>
        <v>23231170</v>
      </c>
      <c r="Q135" s="861"/>
      <c r="R135" s="853">
        <v>44483</v>
      </c>
      <c r="S135" s="854"/>
      <c r="T135" s="854"/>
      <c r="U135" s="855"/>
      <c r="V135" s="856"/>
      <c r="W135" s="811"/>
      <c r="X135" s="812"/>
      <c r="Z135" s="850"/>
      <c r="AA135" s="851"/>
      <c r="AB135" s="851"/>
      <c r="AC135" s="880"/>
      <c r="AD135" s="880"/>
      <c r="AE135" s="880"/>
      <c r="AF135" s="880"/>
      <c r="AG135" s="850"/>
      <c r="AH135" s="892"/>
      <c r="AI135" s="893"/>
      <c r="AK135" s="814">
        <f t="shared" si="10"/>
        <v>0</v>
      </c>
      <c r="AL135" s="814">
        <f t="shared" si="10"/>
        <v>0</v>
      </c>
      <c r="AM135" s="814">
        <f t="shared" si="8"/>
        <v>0</v>
      </c>
      <c r="AN135" s="895">
        <f t="shared" si="9"/>
        <v>0</v>
      </c>
    </row>
    <row r="136" ht="15" customHeight="1" spans="2:40">
      <c r="B136" s="810">
        <v>124</v>
      </c>
      <c r="C136" s="811" t="s">
        <v>13374</v>
      </c>
      <c r="D136" s="812">
        <v>44483</v>
      </c>
      <c r="E136" s="815" t="s">
        <v>13011</v>
      </c>
      <c r="F136" s="811" t="s">
        <v>13110</v>
      </c>
      <c r="G136" s="811" t="s">
        <v>13105</v>
      </c>
      <c r="H136" s="816"/>
      <c r="I136" s="897">
        <v>40000000</v>
      </c>
      <c r="J136" s="814"/>
      <c r="K136" s="897">
        <v>4000000</v>
      </c>
      <c r="L136" s="816"/>
      <c r="M136" s="832">
        <f t="shared" si="6"/>
        <v>27231170</v>
      </c>
      <c r="N136" s="833"/>
      <c r="O136" s="832"/>
      <c r="P136" s="832">
        <f t="shared" si="7"/>
        <v>27231170</v>
      </c>
      <c r="Q136" s="861"/>
      <c r="R136" s="853">
        <v>44484</v>
      </c>
      <c r="S136" s="854"/>
      <c r="T136" s="854"/>
      <c r="U136" s="855"/>
      <c r="V136" s="856"/>
      <c r="W136" s="811"/>
      <c r="X136" s="812"/>
      <c r="Z136" s="850"/>
      <c r="AA136" s="851"/>
      <c r="AB136" s="851"/>
      <c r="AC136" s="880"/>
      <c r="AD136" s="880"/>
      <c r="AE136" s="880"/>
      <c r="AF136" s="880"/>
      <c r="AG136" s="850"/>
      <c r="AH136" s="892"/>
      <c r="AI136" s="893"/>
      <c r="AK136" s="814">
        <f t="shared" si="10"/>
        <v>40000000</v>
      </c>
      <c r="AL136" s="814">
        <f t="shared" si="10"/>
        <v>0</v>
      </c>
      <c r="AM136" s="814">
        <f t="shared" si="8"/>
        <v>0</v>
      </c>
      <c r="AN136" s="895">
        <f t="shared" si="9"/>
        <v>0</v>
      </c>
    </row>
    <row r="137" ht="15" customHeight="1" spans="2:40">
      <c r="B137" s="810">
        <v>125</v>
      </c>
      <c r="C137" s="811" t="s">
        <v>13375</v>
      </c>
      <c r="D137" s="812">
        <v>44483</v>
      </c>
      <c r="E137" s="815" t="s">
        <v>1479</v>
      </c>
      <c r="F137" s="811" t="s">
        <v>13104</v>
      </c>
      <c r="G137" s="811" t="s">
        <v>13105</v>
      </c>
      <c r="H137" s="816"/>
      <c r="I137" s="897">
        <v>21500000</v>
      </c>
      <c r="J137" s="814"/>
      <c r="K137" s="897">
        <v>2150000</v>
      </c>
      <c r="L137" s="816"/>
      <c r="M137" s="832">
        <f t="shared" si="6"/>
        <v>29381170</v>
      </c>
      <c r="N137" s="833"/>
      <c r="O137" s="832"/>
      <c r="P137" s="832">
        <f t="shared" si="7"/>
        <v>29381170</v>
      </c>
      <c r="Q137" s="861"/>
      <c r="R137" s="853">
        <v>44485</v>
      </c>
      <c r="S137" s="854"/>
      <c r="T137" s="854"/>
      <c r="U137" s="855"/>
      <c r="V137" s="856"/>
      <c r="W137" s="811"/>
      <c r="X137" s="812"/>
      <c r="Z137" s="850"/>
      <c r="AA137" s="851"/>
      <c r="AB137" s="851"/>
      <c r="AC137" s="880"/>
      <c r="AD137" s="880"/>
      <c r="AE137" s="880"/>
      <c r="AF137" s="880"/>
      <c r="AG137" s="850"/>
      <c r="AH137" s="892"/>
      <c r="AI137" s="893"/>
      <c r="AK137" s="814">
        <f t="shared" si="10"/>
        <v>21500000</v>
      </c>
      <c r="AL137" s="814">
        <f t="shared" si="10"/>
        <v>0</v>
      </c>
      <c r="AM137" s="814">
        <f t="shared" si="8"/>
        <v>0</v>
      </c>
      <c r="AN137" s="895">
        <f t="shared" si="9"/>
        <v>0</v>
      </c>
    </row>
    <row r="138" ht="15" hidden="1" customHeight="1" spans="2:40">
      <c r="B138" s="810"/>
      <c r="C138" s="811" t="s">
        <v>13376</v>
      </c>
      <c r="D138" s="812">
        <v>44483</v>
      </c>
      <c r="E138" s="815" t="s">
        <v>13011</v>
      </c>
      <c r="F138" s="811" t="s">
        <v>13110</v>
      </c>
      <c r="G138" s="811" t="s">
        <v>13105</v>
      </c>
      <c r="H138" s="816"/>
      <c r="I138" s="897"/>
      <c r="J138" s="814"/>
      <c r="K138" s="897"/>
      <c r="L138" s="816"/>
      <c r="M138" s="832">
        <f t="shared" si="6"/>
        <v>29381170</v>
      </c>
      <c r="N138" s="833"/>
      <c r="O138" s="832"/>
      <c r="P138" s="832">
        <f t="shared" si="7"/>
        <v>29381170</v>
      </c>
      <c r="Q138" s="861"/>
      <c r="R138" s="853">
        <v>44486</v>
      </c>
      <c r="S138" s="854"/>
      <c r="T138" s="854"/>
      <c r="U138" s="855"/>
      <c r="V138" s="856"/>
      <c r="W138" s="811"/>
      <c r="X138" s="812"/>
      <c r="Z138" s="850"/>
      <c r="AA138" s="851"/>
      <c r="AB138" s="851"/>
      <c r="AC138" s="880"/>
      <c r="AD138" s="880"/>
      <c r="AE138" s="880"/>
      <c r="AF138" s="880"/>
      <c r="AG138" s="850"/>
      <c r="AH138" s="892"/>
      <c r="AI138" s="893"/>
      <c r="AK138" s="814"/>
      <c r="AL138" s="814"/>
      <c r="AM138" s="814"/>
      <c r="AN138" s="895"/>
    </row>
    <row r="139" ht="15" customHeight="1" spans="2:40">
      <c r="B139" s="810"/>
      <c r="C139" s="811" t="s">
        <v>13377</v>
      </c>
      <c r="D139" s="812">
        <v>44483</v>
      </c>
      <c r="E139" s="815" t="s">
        <v>1479</v>
      </c>
      <c r="F139" s="811" t="s">
        <v>13104</v>
      </c>
      <c r="G139" s="811" t="s">
        <v>13105</v>
      </c>
      <c r="H139" s="816"/>
      <c r="I139" s="897">
        <v>18848527</v>
      </c>
      <c r="J139" s="814"/>
      <c r="K139" s="897">
        <v>1884852</v>
      </c>
      <c r="L139" s="816"/>
      <c r="M139" s="832">
        <f t="shared" si="6"/>
        <v>31266022</v>
      </c>
      <c r="N139" s="833"/>
      <c r="O139" s="832"/>
      <c r="P139" s="832">
        <f t="shared" si="7"/>
        <v>31266022</v>
      </c>
      <c r="Q139" s="861"/>
      <c r="R139" s="853">
        <v>44487</v>
      </c>
      <c r="S139" s="854"/>
      <c r="T139" s="854"/>
      <c r="U139" s="855"/>
      <c r="V139" s="856"/>
      <c r="W139" s="811"/>
      <c r="X139" s="812"/>
      <c r="Z139" s="850"/>
      <c r="AA139" s="851"/>
      <c r="AB139" s="851"/>
      <c r="AC139" s="880"/>
      <c r="AD139" s="880"/>
      <c r="AE139" s="880"/>
      <c r="AF139" s="880"/>
      <c r="AG139" s="850"/>
      <c r="AH139" s="892"/>
      <c r="AI139" s="893"/>
      <c r="AK139" s="814"/>
      <c r="AL139" s="814"/>
      <c r="AM139" s="814"/>
      <c r="AN139" s="895"/>
    </row>
    <row r="140" ht="15" customHeight="1" spans="2:40">
      <c r="B140" s="810"/>
      <c r="C140" s="811" t="s">
        <v>13378</v>
      </c>
      <c r="D140" s="812">
        <v>44483</v>
      </c>
      <c r="E140" s="815" t="s">
        <v>13007</v>
      </c>
      <c r="F140" s="811" t="s">
        <v>13116</v>
      </c>
      <c r="G140" s="811" t="s">
        <v>13105</v>
      </c>
      <c r="H140" s="816"/>
      <c r="I140" s="897">
        <v>29988000</v>
      </c>
      <c r="J140" s="814"/>
      <c r="K140" s="897">
        <v>2998800</v>
      </c>
      <c r="L140" s="816"/>
      <c r="M140" s="832">
        <f t="shared" si="6"/>
        <v>34264822</v>
      </c>
      <c r="N140" s="833"/>
      <c r="O140" s="832"/>
      <c r="P140" s="832">
        <f t="shared" si="7"/>
        <v>34264822</v>
      </c>
      <c r="Q140" s="861"/>
      <c r="R140" s="853">
        <v>44488</v>
      </c>
      <c r="S140" s="854"/>
      <c r="T140" s="854"/>
      <c r="U140" s="855"/>
      <c r="V140" s="856"/>
      <c r="W140" s="811"/>
      <c r="X140" s="812"/>
      <c r="Z140" s="850"/>
      <c r="AA140" s="851"/>
      <c r="AB140" s="851"/>
      <c r="AC140" s="880"/>
      <c r="AD140" s="880"/>
      <c r="AE140" s="880"/>
      <c r="AF140" s="880"/>
      <c r="AG140" s="850"/>
      <c r="AH140" s="892"/>
      <c r="AI140" s="893"/>
      <c r="AK140" s="814"/>
      <c r="AL140" s="814"/>
      <c r="AM140" s="814"/>
      <c r="AN140" s="895"/>
    </row>
    <row r="141" ht="15" customHeight="1" spans="2:40">
      <c r="B141" s="810">
        <v>126</v>
      </c>
      <c r="C141" s="811" t="s">
        <v>13379</v>
      </c>
      <c r="D141" s="812">
        <v>44483</v>
      </c>
      <c r="E141" s="815" t="s">
        <v>13007</v>
      </c>
      <c r="F141" s="811" t="s">
        <v>13116</v>
      </c>
      <c r="G141" s="811" t="s">
        <v>13105</v>
      </c>
      <c r="H141" s="816"/>
      <c r="I141" s="897">
        <v>15000000</v>
      </c>
      <c r="J141" s="814"/>
      <c r="K141" s="897">
        <v>1500000</v>
      </c>
      <c r="L141" s="816"/>
      <c r="M141" s="832">
        <f t="shared" ref="M141:M175" si="11">+P140-J141+K141</f>
        <v>35764822</v>
      </c>
      <c r="N141" s="833"/>
      <c r="O141" s="832"/>
      <c r="P141" s="832">
        <f t="shared" si="7"/>
        <v>35764822</v>
      </c>
      <c r="Q141" s="861"/>
      <c r="R141" s="853">
        <v>44489</v>
      </c>
      <c r="S141" s="854"/>
      <c r="T141" s="854"/>
      <c r="U141" s="855"/>
      <c r="V141" s="856"/>
      <c r="W141" s="811"/>
      <c r="X141" s="812"/>
      <c r="Z141" s="850"/>
      <c r="AA141" s="851"/>
      <c r="AB141" s="851"/>
      <c r="AC141" s="880"/>
      <c r="AD141" s="880"/>
      <c r="AE141" s="880"/>
      <c r="AF141" s="880"/>
      <c r="AG141" s="850"/>
      <c r="AH141" s="892"/>
      <c r="AI141" s="893"/>
      <c r="AK141" s="814">
        <f t="shared" si="10"/>
        <v>15000000</v>
      </c>
      <c r="AL141" s="814">
        <f t="shared" si="10"/>
        <v>0</v>
      </c>
      <c r="AM141" s="814">
        <f t="shared" si="8"/>
        <v>0</v>
      </c>
      <c r="AN141" s="895">
        <f t="shared" si="9"/>
        <v>0</v>
      </c>
    </row>
    <row r="142" ht="15" customHeight="1" spans="2:40">
      <c r="B142" s="810">
        <v>127</v>
      </c>
      <c r="C142" s="811" t="s">
        <v>13380</v>
      </c>
      <c r="D142" s="812">
        <v>44490</v>
      </c>
      <c r="E142" s="815" t="s">
        <v>13011</v>
      </c>
      <c r="F142" s="811" t="s">
        <v>13110</v>
      </c>
      <c r="G142" s="811" t="s">
        <v>13105</v>
      </c>
      <c r="H142" s="816"/>
      <c r="I142" s="897">
        <v>55000000</v>
      </c>
      <c r="J142" s="814"/>
      <c r="K142" s="897">
        <v>5500000</v>
      </c>
      <c r="L142" s="897"/>
      <c r="M142" s="832">
        <f t="shared" si="11"/>
        <v>41264822</v>
      </c>
      <c r="N142" s="833"/>
      <c r="O142" s="832"/>
      <c r="P142" s="832">
        <f t="shared" si="7"/>
        <v>41264822</v>
      </c>
      <c r="Q142" s="861"/>
      <c r="R142" s="853">
        <v>44490</v>
      </c>
      <c r="S142" s="854"/>
      <c r="T142" s="854"/>
      <c r="U142" s="855"/>
      <c r="V142" s="856"/>
      <c r="W142" s="811"/>
      <c r="X142" s="812"/>
      <c r="Z142" s="850"/>
      <c r="AA142" s="851"/>
      <c r="AB142" s="851"/>
      <c r="AC142" s="880"/>
      <c r="AD142" s="880"/>
      <c r="AE142" s="880"/>
      <c r="AF142" s="880"/>
      <c r="AG142" s="850"/>
      <c r="AH142" s="892"/>
      <c r="AI142" s="893"/>
      <c r="AK142" s="814">
        <f t="shared" si="10"/>
        <v>55000000</v>
      </c>
      <c r="AL142" s="814">
        <f t="shared" si="10"/>
        <v>0</v>
      </c>
      <c r="AM142" s="814">
        <f t="shared" si="8"/>
        <v>0</v>
      </c>
      <c r="AN142" s="895">
        <f t="shared" si="9"/>
        <v>0</v>
      </c>
    </row>
    <row r="143" ht="15" customHeight="1" spans="2:40">
      <c r="B143" s="810">
        <v>128</v>
      </c>
      <c r="C143" s="811" t="s">
        <v>13381</v>
      </c>
      <c r="D143" s="812">
        <v>44490</v>
      </c>
      <c r="E143" s="815" t="s">
        <v>13011</v>
      </c>
      <c r="F143" s="811" t="s">
        <v>13110</v>
      </c>
      <c r="G143" s="811" t="s">
        <v>13105</v>
      </c>
      <c r="H143" s="816"/>
      <c r="I143" s="897">
        <v>13000000</v>
      </c>
      <c r="J143" s="814"/>
      <c r="K143" s="897">
        <v>1300000</v>
      </c>
      <c r="L143" s="897"/>
      <c r="M143" s="832">
        <f t="shared" si="11"/>
        <v>42564822</v>
      </c>
      <c r="N143" s="833"/>
      <c r="O143" s="832"/>
      <c r="P143" s="832">
        <f t="shared" si="7"/>
        <v>42564822</v>
      </c>
      <c r="Q143" s="861"/>
      <c r="R143" s="853">
        <v>44491</v>
      </c>
      <c r="S143" s="854"/>
      <c r="T143" s="854"/>
      <c r="U143" s="855"/>
      <c r="V143" s="856"/>
      <c r="W143" s="811"/>
      <c r="X143" s="812"/>
      <c r="Z143" s="850"/>
      <c r="AA143" s="851"/>
      <c r="AB143" s="851"/>
      <c r="AC143" s="880"/>
      <c r="AD143" s="880"/>
      <c r="AE143" s="880"/>
      <c r="AF143" s="880"/>
      <c r="AG143" s="850"/>
      <c r="AH143" s="892"/>
      <c r="AI143" s="893"/>
      <c r="AK143" s="814">
        <f t="shared" si="10"/>
        <v>13000000</v>
      </c>
      <c r="AL143" s="814">
        <f t="shared" si="10"/>
        <v>0</v>
      </c>
      <c r="AM143" s="814">
        <f t="shared" si="8"/>
        <v>0</v>
      </c>
      <c r="AN143" s="895">
        <f t="shared" si="9"/>
        <v>0</v>
      </c>
    </row>
    <row r="144" ht="15" customHeight="1" spans="2:40">
      <c r="B144" s="810">
        <v>129</v>
      </c>
      <c r="C144" s="811" t="s">
        <v>13382</v>
      </c>
      <c r="D144" s="812">
        <v>44490</v>
      </c>
      <c r="E144" s="815" t="s">
        <v>13011</v>
      </c>
      <c r="F144" s="811" t="s">
        <v>13110</v>
      </c>
      <c r="G144" s="811" t="s">
        <v>13105</v>
      </c>
      <c r="H144" s="816"/>
      <c r="I144" s="897">
        <v>9000000</v>
      </c>
      <c r="J144" s="814"/>
      <c r="K144" s="897">
        <v>900000</v>
      </c>
      <c r="L144" s="816"/>
      <c r="M144" s="832">
        <f t="shared" si="11"/>
        <v>43464822</v>
      </c>
      <c r="N144" s="833"/>
      <c r="O144" s="832"/>
      <c r="P144" s="832">
        <f t="shared" ref="P144:P175" si="12">+M144-O144</f>
        <v>43464822</v>
      </c>
      <c r="Q144" s="861"/>
      <c r="R144" s="853">
        <v>44492</v>
      </c>
      <c r="S144" s="854"/>
      <c r="T144" s="854"/>
      <c r="U144" s="855"/>
      <c r="V144" s="856"/>
      <c r="W144" s="811"/>
      <c r="X144" s="812"/>
      <c r="Z144" s="850"/>
      <c r="AA144" s="851"/>
      <c r="AB144" s="851"/>
      <c r="AC144" s="880"/>
      <c r="AD144" s="880"/>
      <c r="AE144" s="880"/>
      <c r="AF144" s="880"/>
      <c r="AG144" s="850"/>
      <c r="AH144" s="892"/>
      <c r="AI144" s="893"/>
      <c r="AK144" s="814">
        <f t="shared" si="10"/>
        <v>9000000</v>
      </c>
      <c r="AL144" s="814">
        <f t="shared" si="10"/>
        <v>0</v>
      </c>
      <c r="AM144" s="814">
        <f t="shared" ref="AM144:AM177" si="13">IF(J144&gt;0,J144/10%,0)</f>
        <v>0</v>
      </c>
      <c r="AN144" s="895">
        <f t="shared" ref="AN144:AN177" si="14">SUM(AK144:AM144)-SUM(H144,I144)</f>
        <v>0</v>
      </c>
    </row>
    <row r="145" ht="15" customHeight="1" spans="2:40">
      <c r="B145" s="810">
        <v>130</v>
      </c>
      <c r="C145" s="811" t="s">
        <v>13383</v>
      </c>
      <c r="D145" s="812">
        <v>44490</v>
      </c>
      <c r="E145" s="815" t="s">
        <v>13011</v>
      </c>
      <c r="F145" s="811" t="s">
        <v>13110</v>
      </c>
      <c r="G145" s="811" t="s">
        <v>13105</v>
      </c>
      <c r="H145" s="816"/>
      <c r="I145" s="897">
        <v>4200000</v>
      </c>
      <c r="J145" s="814"/>
      <c r="K145" s="897">
        <v>420000</v>
      </c>
      <c r="L145" s="816"/>
      <c r="M145" s="832">
        <f t="shared" si="11"/>
        <v>43884822</v>
      </c>
      <c r="N145" s="833"/>
      <c r="O145" s="832"/>
      <c r="P145" s="832">
        <f t="shared" si="12"/>
        <v>43884822</v>
      </c>
      <c r="Q145" s="861"/>
      <c r="R145" s="853">
        <v>44493</v>
      </c>
      <c r="S145" s="854"/>
      <c r="T145" s="854"/>
      <c r="U145" s="855"/>
      <c r="V145" s="856"/>
      <c r="W145" s="811"/>
      <c r="X145" s="812"/>
      <c r="Z145" s="850"/>
      <c r="AA145" s="851"/>
      <c r="AB145" s="851"/>
      <c r="AC145" s="880"/>
      <c r="AD145" s="880"/>
      <c r="AE145" s="880"/>
      <c r="AF145" s="880"/>
      <c r="AG145" s="850"/>
      <c r="AH145" s="892"/>
      <c r="AI145" s="893"/>
      <c r="AK145" s="814">
        <f t="shared" si="10"/>
        <v>4200000</v>
      </c>
      <c r="AL145" s="814">
        <f t="shared" si="10"/>
        <v>0</v>
      </c>
      <c r="AM145" s="814">
        <f t="shared" si="13"/>
        <v>0</v>
      </c>
      <c r="AN145" s="895">
        <f t="shared" si="14"/>
        <v>0</v>
      </c>
    </row>
    <row r="146" ht="15" customHeight="1" spans="2:40">
      <c r="B146" s="810">
        <v>131</v>
      </c>
      <c r="C146" s="811" t="s">
        <v>13384</v>
      </c>
      <c r="D146" s="812">
        <v>44490</v>
      </c>
      <c r="E146" s="815" t="s">
        <v>13011</v>
      </c>
      <c r="F146" s="811" t="s">
        <v>13110</v>
      </c>
      <c r="G146" s="811" t="s">
        <v>13105</v>
      </c>
      <c r="H146" s="816"/>
      <c r="I146" s="897">
        <v>40000000</v>
      </c>
      <c r="J146" s="814"/>
      <c r="K146" s="897">
        <v>4000000</v>
      </c>
      <c r="L146" s="816"/>
      <c r="M146" s="832">
        <f t="shared" si="11"/>
        <v>47884822</v>
      </c>
      <c r="N146" s="835" t="s">
        <v>12709</v>
      </c>
      <c r="O146" s="837">
        <v>47884822</v>
      </c>
      <c r="P146" s="832">
        <f t="shared" si="12"/>
        <v>0</v>
      </c>
      <c r="Q146" s="861"/>
      <c r="R146" s="862">
        <v>44494</v>
      </c>
      <c r="S146" s="854"/>
      <c r="T146" s="854"/>
      <c r="U146" s="855"/>
      <c r="V146" s="856"/>
      <c r="W146" s="811"/>
      <c r="X146" s="812"/>
      <c r="Z146" s="850"/>
      <c r="AA146" s="851"/>
      <c r="AB146" s="851"/>
      <c r="AC146" s="880"/>
      <c r="AD146" s="880"/>
      <c r="AE146" s="880"/>
      <c r="AF146" s="880"/>
      <c r="AG146" s="850"/>
      <c r="AH146" s="892"/>
      <c r="AI146" s="893"/>
      <c r="AK146" s="814">
        <f t="shared" si="10"/>
        <v>40000000</v>
      </c>
      <c r="AL146" s="814">
        <f t="shared" si="10"/>
        <v>0</v>
      </c>
      <c r="AM146" s="814">
        <f t="shared" si="13"/>
        <v>0</v>
      </c>
      <c r="AN146" s="895">
        <f t="shared" si="14"/>
        <v>0</v>
      </c>
    </row>
    <row r="147" ht="15" customHeight="1" spans="2:40">
      <c r="B147" s="810">
        <v>132</v>
      </c>
      <c r="C147" s="902" t="s">
        <v>13385</v>
      </c>
      <c r="D147" s="903">
        <v>44504</v>
      </c>
      <c r="E147" s="904" t="s">
        <v>13007</v>
      </c>
      <c r="F147" s="902" t="s">
        <v>13116</v>
      </c>
      <c r="G147" s="811" t="s">
        <v>13105</v>
      </c>
      <c r="H147" s="816"/>
      <c r="I147" s="898">
        <v>29376000</v>
      </c>
      <c r="J147" s="814"/>
      <c r="K147" s="898">
        <v>2937600</v>
      </c>
      <c r="L147" s="816"/>
      <c r="M147" s="832">
        <f t="shared" si="11"/>
        <v>2937600</v>
      </c>
      <c r="N147" s="833"/>
      <c r="O147" s="832"/>
      <c r="P147" s="832">
        <f t="shared" si="12"/>
        <v>2937600</v>
      </c>
      <c r="Q147" s="861"/>
      <c r="R147" s="853">
        <v>44526</v>
      </c>
      <c r="S147" s="854"/>
      <c r="T147" s="854"/>
      <c r="U147" s="855"/>
      <c r="V147" s="856"/>
      <c r="W147" s="811"/>
      <c r="X147" s="812"/>
      <c r="Z147" s="850"/>
      <c r="AA147" s="851"/>
      <c r="AB147" s="851"/>
      <c r="AC147" s="880"/>
      <c r="AD147" s="880"/>
      <c r="AE147" s="880"/>
      <c r="AF147" s="880"/>
      <c r="AG147" s="850"/>
      <c r="AH147" s="892"/>
      <c r="AI147" s="893"/>
      <c r="AK147" s="814">
        <f t="shared" si="10"/>
        <v>29376000</v>
      </c>
      <c r="AL147" s="814">
        <f t="shared" si="10"/>
        <v>0</v>
      </c>
      <c r="AM147" s="814">
        <f t="shared" si="13"/>
        <v>0</v>
      </c>
      <c r="AN147" s="895">
        <f t="shared" si="14"/>
        <v>0</v>
      </c>
    </row>
    <row r="148" ht="15" customHeight="1" spans="2:40">
      <c r="B148" s="905">
        <v>133</v>
      </c>
      <c r="C148" s="902" t="s">
        <v>13386</v>
      </c>
      <c r="D148" s="903">
        <v>44504</v>
      </c>
      <c r="E148" s="904" t="s">
        <v>13007</v>
      </c>
      <c r="F148" s="902" t="s">
        <v>13116</v>
      </c>
      <c r="G148" s="811" t="s">
        <v>13105</v>
      </c>
      <c r="H148" s="838"/>
      <c r="I148" s="898">
        <v>15000000</v>
      </c>
      <c r="J148" s="918"/>
      <c r="K148" s="898">
        <v>1500000</v>
      </c>
      <c r="L148" s="816"/>
      <c r="M148" s="832">
        <f t="shared" si="11"/>
        <v>4437600</v>
      </c>
      <c r="N148" s="833"/>
      <c r="O148" s="832"/>
      <c r="P148" s="832">
        <f t="shared" si="12"/>
        <v>4437600</v>
      </c>
      <c r="Q148" s="861"/>
      <c r="R148" s="853">
        <v>44527</v>
      </c>
      <c r="S148" s="854"/>
      <c r="T148" s="854"/>
      <c r="U148" s="855"/>
      <c r="V148" s="856"/>
      <c r="W148" s="811"/>
      <c r="X148" s="812"/>
      <c r="Z148" s="850"/>
      <c r="AA148" s="851"/>
      <c r="AB148" s="851"/>
      <c r="AC148" s="880"/>
      <c r="AD148" s="880"/>
      <c r="AE148" s="880"/>
      <c r="AF148" s="880"/>
      <c r="AG148" s="850"/>
      <c r="AH148" s="892"/>
      <c r="AI148" s="893"/>
      <c r="AK148" s="814">
        <f t="shared" si="10"/>
        <v>15000000</v>
      </c>
      <c r="AL148" s="814">
        <f t="shared" si="10"/>
        <v>0</v>
      </c>
      <c r="AM148" s="814">
        <f t="shared" si="13"/>
        <v>0</v>
      </c>
      <c r="AN148" s="895">
        <f t="shared" si="14"/>
        <v>0</v>
      </c>
    </row>
    <row r="149" ht="15" customHeight="1" spans="2:40">
      <c r="B149" s="810">
        <v>134</v>
      </c>
      <c r="C149" s="902" t="s">
        <v>13387</v>
      </c>
      <c r="D149" s="903">
        <v>44509</v>
      </c>
      <c r="E149" s="904" t="s">
        <v>1479</v>
      </c>
      <c r="F149" s="902" t="s">
        <v>13104</v>
      </c>
      <c r="G149" s="811" t="s">
        <v>13105</v>
      </c>
      <c r="H149" s="816"/>
      <c r="I149" s="898">
        <v>21500000</v>
      </c>
      <c r="J149" s="814"/>
      <c r="K149" s="898"/>
      <c r="L149" s="898">
        <v>2150000</v>
      </c>
      <c r="M149" s="832">
        <f t="shared" si="11"/>
        <v>4437600</v>
      </c>
      <c r="N149" s="833"/>
      <c r="O149" s="832"/>
      <c r="P149" s="832">
        <f t="shared" si="12"/>
        <v>4437600</v>
      </c>
      <c r="Q149" s="861"/>
      <c r="R149" s="853">
        <v>44528</v>
      </c>
      <c r="S149" s="854"/>
      <c r="T149" s="854"/>
      <c r="U149" s="855"/>
      <c r="V149" s="856"/>
      <c r="W149" s="811"/>
      <c r="X149" s="812"/>
      <c r="Z149" s="850"/>
      <c r="AA149" s="851"/>
      <c r="AB149" s="851"/>
      <c r="AC149" s="880"/>
      <c r="AD149" s="880"/>
      <c r="AE149" s="880"/>
      <c r="AF149" s="880"/>
      <c r="AG149" s="850"/>
      <c r="AH149" s="892"/>
      <c r="AI149" s="893"/>
      <c r="AK149" s="814">
        <f t="shared" si="10"/>
        <v>0</v>
      </c>
      <c r="AL149" s="814">
        <f t="shared" si="10"/>
        <v>21500000</v>
      </c>
      <c r="AM149" s="814">
        <f t="shared" si="13"/>
        <v>0</v>
      </c>
      <c r="AN149" s="895">
        <f t="shared" si="14"/>
        <v>0</v>
      </c>
    </row>
    <row r="150" ht="15" customHeight="1" spans="2:40">
      <c r="B150" s="810">
        <v>135</v>
      </c>
      <c r="C150" s="902" t="s">
        <v>13388</v>
      </c>
      <c r="D150" s="903">
        <v>44509</v>
      </c>
      <c r="E150" s="904" t="s">
        <v>1479</v>
      </c>
      <c r="F150" s="902" t="s">
        <v>13104</v>
      </c>
      <c r="G150" s="811" t="s">
        <v>13105</v>
      </c>
      <c r="H150" s="816"/>
      <c r="I150" s="898">
        <v>19765754</v>
      </c>
      <c r="J150" s="814"/>
      <c r="K150" s="898"/>
      <c r="L150" s="898">
        <v>1976575</v>
      </c>
      <c r="M150" s="832">
        <f t="shared" si="11"/>
        <v>4437600</v>
      </c>
      <c r="N150" s="833"/>
      <c r="O150" s="832"/>
      <c r="P150" s="832">
        <f t="shared" si="12"/>
        <v>4437600</v>
      </c>
      <c r="Q150" s="861"/>
      <c r="R150" s="853">
        <v>44529</v>
      </c>
      <c r="S150" s="854"/>
      <c r="T150" s="854"/>
      <c r="U150" s="855"/>
      <c r="V150" s="856"/>
      <c r="W150" s="811"/>
      <c r="X150" s="812"/>
      <c r="Z150" s="850"/>
      <c r="AA150" s="851"/>
      <c r="AB150" s="880"/>
      <c r="AC150" s="880"/>
      <c r="AD150" s="880"/>
      <c r="AE150" s="880"/>
      <c r="AF150" s="880"/>
      <c r="AG150" s="850"/>
      <c r="AH150" s="892"/>
      <c r="AI150" s="893"/>
      <c r="AK150" s="814">
        <f t="shared" si="10"/>
        <v>0</v>
      </c>
      <c r="AL150" s="814">
        <f t="shared" si="10"/>
        <v>19765750</v>
      </c>
      <c r="AM150" s="814">
        <f t="shared" si="13"/>
        <v>0</v>
      </c>
      <c r="AN150" s="895">
        <f t="shared" si="14"/>
        <v>-4</v>
      </c>
    </row>
    <row r="151" ht="15" customHeight="1" spans="2:40">
      <c r="B151" s="810">
        <v>136</v>
      </c>
      <c r="C151" s="902" t="s">
        <v>13389</v>
      </c>
      <c r="D151" s="903">
        <v>44509</v>
      </c>
      <c r="E151" s="904" t="s">
        <v>13010</v>
      </c>
      <c r="F151" s="902" t="s">
        <v>13328</v>
      </c>
      <c r="G151" s="811" t="s">
        <v>13105</v>
      </c>
      <c r="H151" s="816"/>
      <c r="I151" s="898">
        <v>8196875</v>
      </c>
      <c r="J151" s="814"/>
      <c r="K151" s="898">
        <v>819687</v>
      </c>
      <c r="L151" s="816"/>
      <c r="M151" s="832">
        <f t="shared" si="11"/>
        <v>5257287</v>
      </c>
      <c r="N151" s="833"/>
      <c r="O151" s="832"/>
      <c r="P151" s="832">
        <f t="shared" si="12"/>
        <v>5257287</v>
      </c>
      <c r="Q151" s="861"/>
      <c r="R151" s="853">
        <v>44530</v>
      </c>
      <c r="S151" s="854"/>
      <c r="T151" s="854"/>
      <c r="U151" s="855"/>
      <c r="V151" s="856"/>
      <c r="W151" s="811"/>
      <c r="X151" s="812"/>
      <c r="Z151" s="850"/>
      <c r="AA151" s="851"/>
      <c r="AB151" s="851"/>
      <c r="AC151" s="880"/>
      <c r="AD151" s="880"/>
      <c r="AE151" s="880"/>
      <c r="AF151" s="880"/>
      <c r="AG151" s="850"/>
      <c r="AH151" s="892"/>
      <c r="AI151" s="893"/>
      <c r="AK151" s="814">
        <f t="shared" si="10"/>
        <v>8196870</v>
      </c>
      <c r="AL151" s="814">
        <f t="shared" si="10"/>
        <v>0</v>
      </c>
      <c r="AM151" s="814">
        <f t="shared" si="13"/>
        <v>0</v>
      </c>
      <c r="AN151" s="895">
        <f t="shared" si="14"/>
        <v>-5</v>
      </c>
    </row>
    <row r="152" ht="15" customHeight="1" spans="2:40">
      <c r="B152" s="810">
        <v>137</v>
      </c>
      <c r="C152" s="902" t="s">
        <v>13390</v>
      </c>
      <c r="D152" s="903">
        <v>44509</v>
      </c>
      <c r="E152" s="904" t="s">
        <v>13011</v>
      </c>
      <c r="F152" s="902" t="s">
        <v>13110</v>
      </c>
      <c r="G152" s="811" t="s">
        <v>13105</v>
      </c>
      <c r="H152" s="816"/>
      <c r="I152" s="898">
        <v>55000000</v>
      </c>
      <c r="J152" s="814"/>
      <c r="K152" s="898">
        <v>5500000</v>
      </c>
      <c r="L152" s="897"/>
      <c r="M152" s="832">
        <f t="shared" si="11"/>
        <v>10757287</v>
      </c>
      <c r="N152" s="833"/>
      <c r="O152" s="832"/>
      <c r="P152" s="832">
        <f t="shared" si="12"/>
        <v>10757287</v>
      </c>
      <c r="Q152" s="861"/>
      <c r="R152" s="853">
        <v>44531</v>
      </c>
      <c r="S152" s="854"/>
      <c r="T152" s="854"/>
      <c r="U152" s="855"/>
      <c r="V152" s="856"/>
      <c r="W152" s="811"/>
      <c r="X152" s="812"/>
      <c r="Z152" s="850"/>
      <c r="AA152" s="851"/>
      <c r="AB152" s="851"/>
      <c r="AC152" s="880"/>
      <c r="AD152" s="880"/>
      <c r="AE152" s="880"/>
      <c r="AF152" s="880"/>
      <c r="AG152" s="850"/>
      <c r="AH152" s="892"/>
      <c r="AI152" s="893"/>
      <c r="AK152" s="814">
        <f t="shared" si="10"/>
        <v>55000000</v>
      </c>
      <c r="AL152" s="814">
        <f t="shared" si="10"/>
        <v>0</v>
      </c>
      <c r="AM152" s="814">
        <f t="shared" si="13"/>
        <v>0</v>
      </c>
      <c r="AN152" s="895">
        <f t="shared" si="14"/>
        <v>0</v>
      </c>
    </row>
    <row r="153" ht="15" customHeight="1" spans="2:40">
      <c r="B153" s="810">
        <v>138</v>
      </c>
      <c r="C153" s="902" t="s">
        <v>13391</v>
      </c>
      <c r="D153" s="903">
        <v>44515</v>
      </c>
      <c r="E153" s="904" t="s">
        <v>13011</v>
      </c>
      <c r="F153" s="902" t="s">
        <v>13110</v>
      </c>
      <c r="G153" s="811" t="s">
        <v>13105</v>
      </c>
      <c r="H153" s="816"/>
      <c r="I153" s="898">
        <v>13000000</v>
      </c>
      <c r="J153" s="814"/>
      <c r="K153" s="898">
        <v>1300000</v>
      </c>
      <c r="L153" s="897"/>
      <c r="M153" s="832">
        <f t="shared" si="11"/>
        <v>12057287</v>
      </c>
      <c r="N153" s="833"/>
      <c r="O153" s="832"/>
      <c r="P153" s="832">
        <f t="shared" si="12"/>
        <v>12057287</v>
      </c>
      <c r="Q153" s="861"/>
      <c r="R153" s="853">
        <v>44532</v>
      </c>
      <c r="S153" s="854"/>
      <c r="T153" s="854"/>
      <c r="U153" s="855"/>
      <c r="V153" s="856"/>
      <c r="W153" s="811"/>
      <c r="X153" s="812"/>
      <c r="Z153" s="850"/>
      <c r="AA153" s="851"/>
      <c r="AB153" s="851"/>
      <c r="AC153" s="880"/>
      <c r="AD153" s="880"/>
      <c r="AE153" s="880"/>
      <c r="AF153" s="880"/>
      <c r="AG153" s="850"/>
      <c r="AH153" s="892"/>
      <c r="AI153" s="893"/>
      <c r="AK153" s="814">
        <f t="shared" si="10"/>
        <v>13000000</v>
      </c>
      <c r="AL153" s="814">
        <f t="shared" si="10"/>
        <v>0</v>
      </c>
      <c r="AM153" s="814">
        <f t="shared" si="13"/>
        <v>0</v>
      </c>
      <c r="AN153" s="895">
        <f t="shared" si="14"/>
        <v>0</v>
      </c>
    </row>
    <row r="154" ht="15" customHeight="1" spans="2:40">
      <c r="B154" s="810">
        <v>139</v>
      </c>
      <c r="C154" s="902" t="s">
        <v>13392</v>
      </c>
      <c r="D154" s="903">
        <v>44515</v>
      </c>
      <c r="E154" s="904" t="s">
        <v>13011</v>
      </c>
      <c r="F154" s="902" t="s">
        <v>13110</v>
      </c>
      <c r="G154" s="811" t="s">
        <v>13105</v>
      </c>
      <c r="H154" s="816"/>
      <c r="I154" s="898">
        <v>9000000</v>
      </c>
      <c r="J154" s="814"/>
      <c r="K154" s="898">
        <v>900000</v>
      </c>
      <c r="L154" s="897"/>
      <c r="M154" s="832">
        <f t="shared" si="11"/>
        <v>12957287</v>
      </c>
      <c r="N154" s="833"/>
      <c r="O154" s="832"/>
      <c r="P154" s="832">
        <f t="shared" si="12"/>
        <v>12957287</v>
      </c>
      <c r="Q154" s="861"/>
      <c r="R154" s="853">
        <v>44533</v>
      </c>
      <c r="S154" s="854"/>
      <c r="T154" s="854"/>
      <c r="U154" s="855"/>
      <c r="V154" s="856"/>
      <c r="W154" s="811"/>
      <c r="X154" s="812"/>
      <c r="Z154" s="850"/>
      <c r="AA154" s="851"/>
      <c r="AB154" s="851"/>
      <c r="AC154" s="880"/>
      <c r="AD154" s="880"/>
      <c r="AE154" s="880"/>
      <c r="AF154" s="880"/>
      <c r="AG154" s="850"/>
      <c r="AH154" s="892"/>
      <c r="AI154" s="893"/>
      <c r="AK154" s="814">
        <f t="shared" si="10"/>
        <v>9000000</v>
      </c>
      <c r="AL154" s="814">
        <f t="shared" si="10"/>
        <v>0</v>
      </c>
      <c r="AM154" s="814">
        <f t="shared" si="13"/>
        <v>0</v>
      </c>
      <c r="AN154" s="895">
        <f t="shared" si="14"/>
        <v>0</v>
      </c>
    </row>
    <row r="155" ht="15" customHeight="1" spans="2:40">
      <c r="B155" s="810">
        <v>140</v>
      </c>
      <c r="C155" s="902" t="s">
        <v>13393</v>
      </c>
      <c r="D155" s="903">
        <v>44515</v>
      </c>
      <c r="E155" s="904" t="s">
        <v>13011</v>
      </c>
      <c r="F155" s="902" t="s">
        <v>13110</v>
      </c>
      <c r="G155" s="811" t="s">
        <v>13105</v>
      </c>
      <c r="H155" s="816"/>
      <c r="I155" s="898">
        <v>4200000</v>
      </c>
      <c r="J155" s="814"/>
      <c r="K155" s="898">
        <v>420000</v>
      </c>
      <c r="L155" s="816"/>
      <c r="M155" s="832">
        <f t="shared" si="11"/>
        <v>13377287</v>
      </c>
      <c r="N155" s="833"/>
      <c r="O155" s="832"/>
      <c r="P155" s="832">
        <f t="shared" si="12"/>
        <v>13377287</v>
      </c>
      <c r="Q155" s="861"/>
      <c r="R155" s="853">
        <v>44534</v>
      </c>
      <c r="S155" s="854"/>
      <c r="T155" s="854"/>
      <c r="U155" s="855"/>
      <c r="V155" s="856"/>
      <c r="W155" s="811"/>
      <c r="X155" s="812"/>
      <c r="Z155" s="850"/>
      <c r="AA155" s="851"/>
      <c r="AB155" s="851"/>
      <c r="AC155" s="880"/>
      <c r="AD155" s="880"/>
      <c r="AE155" s="880"/>
      <c r="AF155" s="880"/>
      <c r="AG155" s="850"/>
      <c r="AH155" s="892"/>
      <c r="AI155" s="893"/>
      <c r="AK155" s="814">
        <f t="shared" si="10"/>
        <v>4200000</v>
      </c>
      <c r="AL155" s="814">
        <f t="shared" si="10"/>
        <v>0</v>
      </c>
      <c r="AM155" s="814">
        <f t="shared" si="13"/>
        <v>0</v>
      </c>
      <c r="AN155" s="895">
        <f t="shared" si="14"/>
        <v>0</v>
      </c>
    </row>
    <row r="156" ht="15" customHeight="1" spans="2:40">
      <c r="B156" s="810">
        <v>141</v>
      </c>
      <c r="C156" s="902" t="s">
        <v>13394</v>
      </c>
      <c r="D156" s="903">
        <v>44515</v>
      </c>
      <c r="E156" s="904" t="s">
        <v>13011</v>
      </c>
      <c r="F156" s="902" t="s">
        <v>13110</v>
      </c>
      <c r="G156" s="811" t="s">
        <v>13105</v>
      </c>
      <c r="H156" s="816"/>
      <c r="I156" s="898">
        <v>40800000</v>
      </c>
      <c r="J156" s="814"/>
      <c r="K156" s="898">
        <v>4080000</v>
      </c>
      <c r="L156" s="897"/>
      <c r="M156" s="832">
        <f t="shared" si="11"/>
        <v>17457287</v>
      </c>
      <c r="N156" s="833"/>
      <c r="O156" s="832"/>
      <c r="P156" s="832">
        <f t="shared" si="12"/>
        <v>17457287</v>
      </c>
      <c r="Q156" s="861"/>
      <c r="R156" s="853">
        <v>44535</v>
      </c>
      <c r="S156" s="854"/>
      <c r="T156" s="854"/>
      <c r="U156" s="855"/>
      <c r="V156" s="856"/>
      <c r="W156" s="811"/>
      <c r="X156" s="812"/>
      <c r="Z156" s="850"/>
      <c r="AA156" s="851"/>
      <c r="AB156" s="851"/>
      <c r="AC156" s="880"/>
      <c r="AD156" s="880"/>
      <c r="AE156" s="880"/>
      <c r="AF156" s="880"/>
      <c r="AG156" s="850"/>
      <c r="AH156" s="892"/>
      <c r="AI156" s="893"/>
      <c r="AK156" s="814">
        <f t="shared" si="10"/>
        <v>40800000</v>
      </c>
      <c r="AL156" s="814">
        <f t="shared" si="10"/>
        <v>0</v>
      </c>
      <c r="AM156" s="814">
        <f t="shared" si="13"/>
        <v>0</v>
      </c>
      <c r="AN156" s="895">
        <f t="shared" si="14"/>
        <v>0</v>
      </c>
    </row>
    <row r="157" ht="15" customHeight="1" spans="2:40">
      <c r="B157" s="810">
        <v>142</v>
      </c>
      <c r="C157" s="902" t="s">
        <v>13395</v>
      </c>
      <c r="D157" s="903">
        <v>44516</v>
      </c>
      <c r="E157" s="904" t="s">
        <v>1809</v>
      </c>
      <c r="F157" s="902" t="s">
        <v>13264</v>
      </c>
      <c r="G157" s="811" t="s">
        <v>13105</v>
      </c>
      <c r="H157" s="816"/>
      <c r="I157" s="898">
        <v>82150000</v>
      </c>
      <c r="J157" s="814"/>
      <c r="K157" s="898">
        <v>8215000</v>
      </c>
      <c r="L157" s="816"/>
      <c r="M157" s="832">
        <f t="shared" si="11"/>
        <v>25672287</v>
      </c>
      <c r="N157" s="833"/>
      <c r="O157" s="832"/>
      <c r="P157" s="832">
        <f t="shared" si="12"/>
        <v>25672287</v>
      </c>
      <c r="Q157" s="861"/>
      <c r="R157" s="853">
        <v>44536</v>
      </c>
      <c r="S157" s="854"/>
      <c r="T157" s="854"/>
      <c r="U157" s="855"/>
      <c r="V157" s="856"/>
      <c r="W157" s="811"/>
      <c r="X157" s="812"/>
      <c r="Z157" s="850"/>
      <c r="AA157" s="851"/>
      <c r="AB157" s="851"/>
      <c r="AC157" s="880"/>
      <c r="AD157" s="880"/>
      <c r="AE157" s="880"/>
      <c r="AF157" s="880"/>
      <c r="AG157" s="850"/>
      <c r="AH157" s="892"/>
      <c r="AI157" s="893"/>
      <c r="AK157" s="814">
        <f t="shared" si="10"/>
        <v>82150000</v>
      </c>
      <c r="AL157" s="814">
        <f t="shared" si="10"/>
        <v>0</v>
      </c>
      <c r="AM157" s="814">
        <f t="shared" si="13"/>
        <v>0</v>
      </c>
      <c r="AN157" s="895">
        <f t="shared" si="14"/>
        <v>0</v>
      </c>
    </row>
    <row r="158" ht="15" customHeight="1" spans="2:40">
      <c r="B158" s="810">
        <v>143</v>
      </c>
      <c r="C158" s="902" t="s">
        <v>13396</v>
      </c>
      <c r="D158" s="903">
        <v>44523</v>
      </c>
      <c r="E158" s="904" t="s">
        <v>13006</v>
      </c>
      <c r="F158" s="902" t="s">
        <v>13119</v>
      </c>
      <c r="G158" s="811" t="s">
        <v>13105</v>
      </c>
      <c r="H158" s="816"/>
      <c r="I158" s="898">
        <v>120000000</v>
      </c>
      <c r="J158" s="814"/>
      <c r="K158" s="898">
        <v>12000000</v>
      </c>
      <c r="L158" s="816"/>
      <c r="M158" s="832">
        <f t="shared" si="11"/>
        <v>37672287</v>
      </c>
      <c r="N158" s="833"/>
      <c r="O158" s="832"/>
      <c r="P158" s="832">
        <f t="shared" si="12"/>
        <v>37672287</v>
      </c>
      <c r="Q158" s="861"/>
      <c r="R158" s="853">
        <v>44537</v>
      </c>
      <c r="S158" s="854"/>
      <c r="T158" s="854"/>
      <c r="U158" s="855"/>
      <c r="V158" s="856"/>
      <c r="W158" s="811"/>
      <c r="X158" s="812"/>
      <c r="Z158" s="850"/>
      <c r="AA158" s="851"/>
      <c r="AB158" s="851"/>
      <c r="AC158" s="880"/>
      <c r="AD158" s="880"/>
      <c r="AE158" s="880"/>
      <c r="AF158" s="880"/>
      <c r="AG158" s="850"/>
      <c r="AH158" s="892"/>
      <c r="AI158" s="893"/>
      <c r="AK158" s="814">
        <f t="shared" si="10"/>
        <v>120000000</v>
      </c>
      <c r="AL158" s="814">
        <f t="shared" si="10"/>
        <v>0</v>
      </c>
      <c r="AM158" s="814">
        <f t="shared" si="13"/>
        <v>0</v>
      </c>
      <c r="AN158" s="895">
        <f t="shared" si="14"/>
        <v>0</v>
      </c>
    </row>
    <row r="159" ht="15" customHeight="1" spans="2:40">
      <c r="B159" s="905">
        <v>144</v>
      </c>
      <c r="C159" s="902" t="s">
        <v>13397</v>
      </c>
      <c r="D159" s="903">
        <v>44526</v>
      </c>
      <c r="E159" s="904" t="s">
        <v>13006</v>
      </c>
      <c r="F159" s="902" t="s">
        <v>13119</v>
      </c>
      <c r="G159" s="811" t="s">
        <v>13105</v>
      </c>
      <c r="H159" s="838"/>
      <c r="I159" s="898">
        <v>140000000</v>
      </c>
      <c r="J159" s="918"/>
      <c r="K159" s="898">
        <v>14000000</v>
      </c>
      <c r="L159" s="816"/>
      <c r="M159" s="832">
        <f t="shared" si="11"/>
        <v>51672287</v>
      </c>
      <c r="N159" s="835" t="s">
        <v>12709</v>
      </c>
      <c r="O159" s="837">
        <v>51672287</v>
      </c>
      <c r="P159" s="832">
        <f t="shared" si="12"/>
        <v>0</v>
      </c>
      <c r="Q159" s="861"/>
      <c r="R159" s="853">
        <v>44538</v>
      </c>
      <c r="S159" s="854"/>
      <c r="T159" s="854"/>
      <c r="U159" s="855"/>
      <c r="V159" s="856"/>
      <c r="W159" s="811"/>
      <c r="X159" s="812"/>
      <c r="Z159" s="850"/>
      <c r="AA159" s="851"/>
      <c r="AB159" s="851"/>
      <c r="AC159" s="880"/>
      <c r="AD159" s="880"/>
      <c r="AE159" s="880"/>
      <c r="AF159" s="880"/>
      <c r="AG159" s="850"/>
      <c r="AH159" s="892"/>
      <c r="AI159" s="893"/>
      <c r="AK159" s="814">
        <f t="shared" si="10"/>
        <v>140000000</v>
      </c>
      <c r="AL159" s="814">
        <f t="shared" si="10"/>
        <v>0</v>
      </c>
      <c r="AM159" s="814">
        <f t="shared" si="13"/>
        <v>0</v>
      </c>
      <c r="AN159" s="895">
        <f t="shared" si="14"/>
        <v>0</v>
      </c>
    </row>
    <row r="160" ht="15" customHeight="1" spans="2:40">
      <c r="B160" s="810">
        <v>145</v>
      </c>
      <c r="C160" s="902" t="s">
        <v>13398</v>
      </c>
      <c r="D160" s="812">
        <v>44531</v>
      </c>
      <c r="E160" s="815" t="s">
        <v>13007</v>
      </c>
      <c r="F160" s="811" t="s">
        <v>13116</v>
      </c>
      <c r="G160" s="811" t="s">
        <v>13105</v>
      </c>
      <c r="H160" s="816"/>
      <c r="I160" s="897">
        <v>30345000</v>
      </c>
      <c r="J160" s="814"/>
      <c r="K160" s="897">
        <v>3034500</v>
      </c>
      <c r="L160" s="816"/>
      <c r="M160" s="832">
        <f t="shared" si="11"/>
        <v>3034500</v>
      </c>
      <c r="N160" s="833"/>
      <c r="O160" s="832"/>
      <c r="P160" s="832">
        <f t="shared" si="12"/>
        <v>3034500</v>
      </c>
      <c r="Q160" s="861"/>
      <c r="R160" s="853">
        <v>44539</v>
      </c>
      <c r="S160" s="854"/>
      <c r="T160" s="854"/>
      <c r="U160" s="855"/>
      <c r="V160" s="856"/>
      <c r="W160" s="811"/>
      <c r="X160" s="812"/>
      <c r="Z160" s="850"/>
      <c r="AA160" s="851"/>
      <c r="AB160" s="851"/>
      <c r="AC160" s="880"/>
      <c r="AD160" s="880"/>
      <c r="AE160" s="880"/>
      <c r="AF160" s="880"/>
      <c r="AG160" s="850"/>
      <c r="AH160" s="892"/>
      <c r="AI160" s="893"/>
      <c r="AK160" s="814">
        <f t="shared" ref="AK160:AL175" si="15">IF(K160&gt;0,K160/10%,0)</f>
        <v>30345000</v>
      </c>
      <c r="AL160" s="814">
        <f t="shared" si="15"/>
        <v>0</v>
      </c>
      <c r="AM160" s="814">
        <f t="shared" si="13"/>
        <v>0</v>
      </c>
      <c r="AN160" s="895">
        <f t="shared" si="14"/>
        <v>0</v>
      </c>
    </row>
    <row r="161" ht="15" customHeight="1" spans="2:40">
      <c r="B161" s="810">
        <v>146</v>
      </c>
      <c r="C161" s="902" t="s">
        <v>13399</v>
      </c>
      <c r="D161" s="812">
        <v>44531</v>
      </c>
      <c r="E161" s="815" t="s">
        <v>13007</v>
      </c>
      <c r="F161" s="811" t="s">
        <v>13116</v>
      </c>
      <c r="G161" s="811" t="s">
        <v>13105</v>
      </c>
      <c r="H161" s="816"/>
      <c r="I161" s="897">
        <v>15000000</v>
      </c>
      <c r="J161" s="814"/>
      <c r="K161" s="897">
        <v>1500000</v>
      </c>
      <c r="L161" s="816"/>
      <c r="M161" s="832">
        <f t="shared" si="11"/>
        <v>4534500</v>
      </c>
      <c r="N161" s="833"/>
      <c r="O161" s="832"/>
      <c r="P161" s="832">
        <f t="shared" si="12"/>
        <v>4534500</v>
      </c>
      <c r="Q161" s="861"/>
      <c r="R161" s="853">
        <v>44540</v>
      </c>
      <c r="S161" s="854"/>
      <c r="T161" s="854"/>
      <c r="U161" s="855"/>
      <c r="V161" s="856"/>
      <c r="W161" s="811"/>
      <c r="X161" s="812"/>
      <c r="Z161" s="850"/>
      <c r="AA161" s="851"/>
      <c r="AB161" s="851"/>
      <c r="AC161" s="880"/>
      <c r="AD161" s="880"/>
      <c r="AE161" s="880"/>
      <c r="AF161" s="880"/>
      <c r="AG161" s="850"/>
      <c r="AH161" s="892"/>
      <c r="AI161" s="893"/>
      <c r="AK161" s="814">
        <f t="shared" si="15"/>
        <v>15000000</v>
      </c>
      <c r="AL161" s="814">
        <f t="shared" si="15"/>
        <v>0</v>
      </c>
      <c r="AM161" s="814">
        <f t="shared" si="13"/>
        <v>0</v>
      </c>
      <c r="AN161" s="895">
        <f t="shared" si="14"/>
        <v>0</v>
      </c>
    </row>
    <row r="162" ht="15" hidden="1" customHeight="1" spans="2:40">
      <c r="B162" s="810">
        <v>147</v>
      </c>
      <c r="C162" s="902" t="s">
        <v>13400</v>
      </c>
      <c r="D162" s="812">
        <v>44532</v>
      </c>
      <c r="E162" s="815" t="s">
        <v>13006</v>
      </c>
      <c r="F162" s="811" t="s">
        <v>13119</v>
      </c>
      <c r="G162" s="811" t="s">
        <v>13105</v>
      </c>
      <c r="H162" s="816"/>
      <c r="I162" s="897"/>
      <c r="J162" s="814"/>
      <c r="K162" s="897"/>
      <c r="L162" s="816"/>
      <c r="M162" s="832">
        <f t="shared" si="11"/>
        <v>4534500</v>
      </c>
      <c r="N162" s="833"/>
      <c r="O162" s="832"/>
      <c r="P162" s="832">
        <f t="shared" si="12"/>
        <v>4534500</v>
      </c>
      <c r="Q162" s="861"/>
      <c r="R162" s="853">
        <v>44541</v>
      </c>
      <c r="S162" s="854"/>
      <c r="T162" s="854"/>
      <c r="U162" s="855"/>
      <c r="V162" s="856"/>
      <c r="W162" s="811"/>
      <c r="X162" s="812"/>
      <c r="Z162" s="850"/>
      <c r="AA162" s="851"/>
      <c r="AB162" s="851"/>
      <c r="AC162" s="880"/>
      <c r="AD162" s="880"/>
      <c r="AE162" s="880"/>
      <c r="AF162" s="880"/>
      <c r="AG162" s="850"/>
      <c r="AH162" s="892"/>
      <c r="AI162" s="893"/>
      <c r="AK162" s="814">
        <f t="shared" si="15"/>
        <v>0</v>
      </c>
      <c r="AL162" s="814">
        <f t="shared" si="15"/>
        <v>0</v>
      </c>
      <c r="AM162" s="814">
        <f t="shared" si="13"/>
        <v>0</v>
      </c>
      <c r="AN162" s="895">
        <f t="shared" si="14"/>
        <v>0</v>
      </c>
    </row>
    <row r="163" ht="15" hidden="1" customHeight="1" spans="2:40">
      <c r="B163" s="810">
        <v>148</v>
      </c>
      <c r="C163" s="902" t="s">
        <v>13401</v>
      </c>
      <c r="D163" s="812">
        <v>44532</v>
      </c>
      <c r="E163" s="815" t="s">
        <v>13006</v>
      </c>
      <c r="F163" s="811" t="s">
        <v>13119</v>
      </c>
      <c r="G163" s="811" t="s">
        <v>13105</v>
      </c>
      <c r="H163" s="816"/>
      <c r="I163" s="897"/>
      <c r="J163" s="814"/>
      <c r="K163" s="897"/>
      <c r="L163" s="816"/>
      <c r="M163" s="832">
        <f t="shared" si="11"/>
        <v>4534500</v>
      </c>
      <c r="N163" s="833"/>
      <c r="O163" s="832"/>
      <c r="P163" s="832">
        <f t="shared" si="12"/>
        <v>4534500</v>
      </c>
      <c r="Q163" s="861"/>
      <c r="R163" s="853">
        <v>44542</v>
      </c>
      <c r="S163" s="854"/>
      <c r="T163" s="854"/>
      <c r="U163" s="855"/>
      <c r="V163" s="856"/>
      <c r="W163" s="811"/>
      <c r="X163" s="812"/>
      <c r="Z163" s="850"/>
      <c r="AA163" s="851"/>
      <c r="AB163" s="851"/>
      <c r="AC163" s="880"/>
      <c r="AD163" s="880"/>
      <c r="AE163" s="880"/>
      <c r="AF163" s="880"/>
      <c r="AG163" s="850"/>
      <c r="AH163" s="892"/>
      <c r="AI163" s="893"/>
      <c r="AK163" s="814">
        <f t="shared" si="15"/>
        <v>0</v>
      </c>
      <c r="AL163" s="814">
        <f t="shared" si="15"/>
        <v>0</v>
      </c>
      <c r="AM163" s="814">
        <f t="shared" si="13"/>
        <v>0</v>
      </c>
      <c r="AN163" s="895">
        <f t="shared" si="14"/>
        <v>0</v>
      </c>
    </row>
    <row r="164" ht="15" customHeight="1" spans="2:40">
      <c r="B164" s="810">
        <v>149</v>
      </c>
      <c r="C164" s="902" t="s">
        <v>13402</v>
      </c>
      <c r="D164" s="812">
        <v>44532</v>
      </c>
      <c r="E164" s="815" t="s">
        <v>1479</v>
      </c>
      <c r="F164" s="811" t="s">
        <v>13104</v>
      </c>
      <c r="G164" s="811" t="s">
        <v>13105</v>
      </c>
      <c r="H164" s="816"/>
      <c r="I164" s="897">
        <v>21500000</v>
      </c>
      <c r="J164" s="814"/>
      <c r="K164" s="897"/>
      <c r="L164" s="897">
        <v>2150000</v>
      </c>
      <c r="M164" s="832">
        <f t="shared" si="11"/>
        <v>4534500</v>
      </c>
      <c r="N164" s="833"/>
      <c r="O164" s="832"/>
      <c r="P164" s="832">
        <f t="shared" si="12"/>
        <v>4534500</v>
      </c>
      <c r="Q164" s="861"/>
      <c r="R164" s="853">
        <v>44543</v>
      </c>
      <c r="S164" s="854"/>
      <c r="T164" s="854"/>
      <c r="U164" s="855"/>
      <c r="V164" s="856"/>
      <c r="W164" s="811"/>
      <c r="X164" s="812"/>
      <c r="Z164" s="850"/>
      <c r="AA164" s="851"/>
      <c r="AB164" s="851"/>
      <c r="AC164" s="880"/>
      <c r="AD164" s="880"/>
      <c r="AE164" s="880"/>
      <c r="AF164" s="880"/>
      <c r="AG164" s="850"/>
      <c r="AH164" s="892"/>
      <c r="AI164" s="893"/>
      <c r="AK164" s="814">
        <f t="shared" si="15"/>
        <v>0</v>
      </c>
      <c r="AL164" s="814">
        <f t="shared" si="15"/>
        <v>21500000</v>
      </c>
      <c r="AM164" s="814">
        <f t="shared" si="13"/>
        <v>0</v>
      </c>
      <c r="AN164" s="895">
        <f t="shared" si="14"/>
        <v>0</v>
      </c>
    </row>
    <row r="165" ht="15" customHeight="1" spans="2:40">
      <c r="B165" s="810">
        <v>150</v>
      </c>
      <c r="C165" s="902" t="s">
        <v>13403</v>
      </c>
      <c r="D165" s="812">
        <v>44532</v>
      </c>
      <c r="E165" s="815" t="s">
        <v>1479</v>
      </c>
      <c r="F165" s="811" t="s">
        <v>13104</v>
      </c>
      <c r="G165" s="811" t="s">
        <v>13105</v>
      </c>
      <c r="H165" s="816"/>
      <c r="I165" s="897">
        <v>18798848</v>
      </c>
      <c r="J165" s="814"/>
      <c r="K165" s="897"/>
      <c r="L165" s="897">
        <v>1879884</v>
      </c>
      <c r="M165" s="832">
        <f t="shared" si="11"/>
        <v>4534500</v>
      </c>
      <c r="N165" s="833"/>
      <c r="O165" s="832"/>
      <c r="P165" s="832">
        <f t="shared" si="12"/>
        <v>4534500</v>
      </c>
      <c r="Q165" s="861"/>
      <c r="R165" s="853">
        <v>44544</v>
      </c>
      <c r="S165" s="854"/>
      <c r="T165" s="854"/>
      <c r="U165" s="855"/>
      <c r="V165" s="856"/>
      <c r="W165" s="811"/>
      <c r="X165" s="812"/>
      <c r="Z165" s="850"/>
      <c r="AA165" s="851"/>
      <c r="AB165" s="851"/>
      <c r="AC165" s="880"/>
      <c r="AD165" s="880"/>
      <c r="AE165" s="880"/>
      <c r="AF165" s="880"/>
      <c r="AG165" s="850"/>
      <c r="AH165" s="892"/>
      <c r="AI165" s="893"/>
      <c r="AK165" s="814">
        <f t="shared" si="15"/>
        <v>0</v>
      </c>
      <c r="AL165" s="814">
        <f t="shared" si="15"/>
        <v>18798840</v>
      </c>
      <c r="AM165" s="814">
        <f t="shared" si="13"/>
        <v>0</v>
      </c>
      <c r="AN165" s="895">
        <f t="shared" si="14"/>
        <v>-8</v>
      </c>
    </row>
    <row r="166" ht="15" customHeight="1" spans="2:40">
      <c r="B166" s="810">
        <v>151</v>
      </c>
      <c r="C166" s="902" t="s">
        <v>13404</v>
      </c>
      <c r="D166" s="812">
        <v>44545</v>
      </c>
      <c r="E166" s="815" t="s">
        <v>13011</v>
      </c>
      <c r="F166" s="811" t="s">
        <v>13110</v>
      </c>
      <c r="G166" s="811" t="s">
        <v>13105</v>
      </c>
      <c r="H166" s="816"/>
      <c r="I166" s="897">
        <v>55000000</v>
      </c>
      <c r="J166" s="814"/>
      <c r="K166" s="897">
        <v>5500000</v>
      </c>
      <c r="L166" s="897"/>
      <c r="M166" s="832">
        <f t="shared" si="11"/>
        <v>10034500</v>
      </c>
      <c r="N166" s="833"/>
      <c r="O166" s="832"/>
      <c r="P166" s="832">
        <f t="shared" si="12"/>
        <v>10034500</v>
      </c>
      <c r="Q166" s="861"/>
      <c r="R166" s="853">
        <v>44545</v>
      </c>
      <c r="S166" s="854"/>
      <c r="T166" s="854"/>
      <c r="U166" s="855"/>
      <c r="V166" s="856"/>
      <c r="W166" s="811"/>
      <c r="X166" s="812"/>
      <c r="Z166" s="850"/>
      <c r="AA166" s="851"/>
      <c r="AB166" s="851"/>
      <c r="AC166" s="880"/>
      <c r="AD166" s="880"/>
      <c r="AE166" s="880"/>
      <c r="AF166" s="880"/>
      <c r="AG166" s="850"/>
      <c r="AH166" s="892"/>
      <c r="AI166" s="893"/>
      <c r="AK166" s="814">
        <f t="shared" si="15"/>
        <v>55000000</v>
      </c>
      <c r="AL166" s="814">
        <f t="shared" si="15"/>
        <v>0</v>
      </c>
      <c r="AM166" s="814">
        <f t="shared" si="13"/>
        <v>0</v>
      </c>
      <c r="AN166" s="895">
        <f t="shared" si="14"/>
        <v>0</v>
      </c>
    </row>
    <row r="167" ht="15" customHeight="1" spans="2:40">
      <c r="B167" s="810">
        <v>152</v>
      </c>
      <c r="C167" s="902" t="s">
        <v>13405</v>
      </c>
      <c r="D167" s="812">
        <v>44545</v>
      </c>
      <c r="E167" s="815" t="s">
        <v>13011</v>
      </c>
      <c r="F167" s="811" t="s">
        <v>13110</v>
      </c>
      <c r="G167" s="811" t="s">
        <v>13105</v>
      </c>
      <c r="H167" s="816"/>
      <c r="I167" s="897">
        <v>13000000</v>
      </c>
      <c r="J167" s="814"/>
      <c r="K167" s="897">
        <v>1300000</v>
      </c>
      <c r="L167" s="816"/>
      <c r="M167" s="832">
        <f t="shared" si="11"/>
        <v>11334500</v>
      </c>
      <c r="N167" s="833"/>
      <c r="O167" s="832"/>
      <c r="P167" s="832">
        <f t="shared" si="12"/>
        <v>11334500</v>
      </c>
      <c r="Q167" s="861"/>
      <c r="R167" s="853">
        <v>44546</v>
      </c>
      <c r="S167" s="854"/>
      <c r="T167" s="854"/>
      <c r="U167" s="855"/>
      <c r="V167" s="856"/>
      <c r="W167" s="811"/>
      <c r="X167" s="812"/>
      <c r="Z167" s="850"/>
      <c r="AA167" s="851"/>
      <c r="AB167" s="851"/>
      <c r="AC167" s="880"/>
      <c r="AD167" s="880"/>
      <c r="AE167" s="880"/>
      <c r="AF167" s="880"/>
      <c r="AG167" s="850"/>
      <c r="AH167" s="892"/>
      <c r="AI167" s="893"/>
      <c r="AK167" s="814">
        <f t="shared" si="15"/>
        <v>13000000</v>
      </c>
      <c r="AL167" s="814">
        <f t="shared" si="15"/>
        <v>0</v>
      </c>
      <c r="AM167" s="814">
        <f t="shared" si="13"/>
        <v>0</v>
      </c>
      <c r="AN167" s="895">
        <f t="shared" si="14"/>
        <v>0</v>
      </c>
    </row>
    <row r="168" ht="15" customHeight="1" spans="2:40">
      <c r="B168" s="810">
        <v>153</v>
      </c>
      <c r="C168" s="902" t="s">
        <v>13406</v>
      </c>
      <c r="D168" s="812">
        <v>44545</v>
      </c>
      <c r="E168" s="815" t="s">
        <v>13011</v>
      </c>
      <c r="F168" s="811" t="s">
        <v>13110</v>
      </c>
      <c r="G168" s="811" t="s">
        <v>13105</v>
      </c>
      <c r="H168" s="816"/>
      <c r="I168" s="897">
        <v>9000000</v>
      </c>
      <c r="J168" s="814"/>
      <c r="K168" s="897">
        <v>900000</v>
      </c>
      <c r="L168" s="897"/>
      <c r="M168" s="832">
        <f t="shared" si="11"/>
        <v>12234500</v>
      </c>
      <c r="N168" s="833"/>
      <c r="O168" s="832"/>
      <c r="P168" s="832">
        <f t="shared" si="12"/>
        <v>12234500</v>
      </c>
      <c r="Q168" s="861"/>
      <c r="R168" s="853">
        <v>44547</v>
      </c>
      <c r="S168" s="854"/>
      <c r="T168" s="854"/>
      <c r="U168" s="855"/>
      <c r="V168" s="856"/>
      <c r="W168" s="811"/>
      <c r="X168" s="812"/>
      <c r="Z168" s="850"/>
      <c r="AA168" s="851"/>
      <c r="AB168" s="851"/>
      <c r="AC168" s="880"/>
      <c r="AD168" s="880"/>
      <c r="AE168" s="880"/>
      <c r="AF168" s="880"/>
      <c r="AG168" s="850"/>
      <c r="AH168" s="892"/>
      <c r="AI168" s="893"/>
      <c r="AK168" s="814">
        <f t="shared" si="15"/>
        <v>9000000</v>
      </c>
      <c r="AL168" s="814">
        <f t="shared" si="15"/>
        <v>0</v>
      </c>
      <c r="AM168" s="814">
        <f t="shared" si="13"/>
        <v>0</v>
      </c>
      <c r="AN168" s="895">
        <f t="shared" si="14"/>
        <v>0</v>
      </c>
    </row>
    <row r="169" ht="15" customHeight="1" spans="2:40">
      <c r="B169" s="810">
        <v>154</v>
      </c>
      <c r="C169" s="902" t="s">
        <v>13407</v>
      </c>
      <c r="D169" s="812">
        <v>44545</v>
      </c>
      <c r="E169" s="815" t="s">
        <v>13011</v>
      </c>
      <c r="F169" s="811" t="s">
        <v>13110</v>
      </c>
      <c r="G169" s="811" t="s">
        <v>13105</v>
      </c>
      <c r="H169" s="816"/>
      <c r="I169" s="897">
        <v>4200000</v>
      </c>
      <c r="J169" s="814"/>
      <c r="K169" s="897">
        <v>420000</v>
      </c>
      <c r="L169" s="897"/>
      <c r="M169" s="832">
        <f t="shared" si="11"/>
        <v>12654500</v>
      </c>
      <c r="N169" s="833"/>
      <c r="O169" s="832"/>
      <c r="P169" s="832">
        <f t="shared" si="12"/>
        <v>12654500</v>
      </c>
      <c r="Q169" s="861"/>
      <c r="R169" s="853">
        <v>44548</v>
      </c>
      <c r="S169" s="854"/>
      <c r="T169" s="854"/>
      <c r="U169" s="855"/>
      <c r="V169" s="856"/>
      <c r="W169" s="811"/>
      <c r="X169" s="812"/>
      <c r="Z169" s="850"/>
      <c r="AA169" s="851"/>
      <c r="AB169" s="851"/>
      <c r="AC169" s="880"/>
      <c r="AD169" s="880"/>
      <c r="AE169" s="880"/>
      <c r="AF169" s="880"/>
      <c r="AG169" s="850"/>
      <c r="AH169" s="892"/>
      <c r="AI169" s="893"/>
      <c r="AK169" s="814">
        <f t="shared" si="15"/>
        <v>4200000</v>
      </c>
      <c r="AL169" s="814">
        <f t="shared" si="15"/>
        <v>0</v>
      </c>
      <c r="AM169" s="814">
        <f t="shared" si="13"/>
        <v>0</v>
      </c>
      <c r="AN169" s="895">
        <f t="shared" si="14"/>
        <v>0</v>
      </c>
    </row>
    <row r="170" ht="15" customHeight="1" spans="2:40">
      <c r="B170" s="810">
        <v>155</v>
      </c>
      <c r="C170" s="902" t="s">
        <v>13408</v>
      </c>
      <c r="D170" s="812">
        <v>44545</v>
      </c>
      <c r="E170" s="815" t="s">
        <v>13011</v>
      </c>
      <c r="F170" s="811" t="s">
        <v>13110</v>
      </c>
      <c r="G170" s="811" t="s">
        <v>13105</v>
      </c>
      <c r="H170" s="816"/>
      <c r="I170" s="897">
        <v>38400000</v>
      </c>
      <c r="J170" s="814"/>
      <c r="K170" s="897">
        <v>3840000</v>
      </c>
      <c r="L170" s="816"/>
      <c r="M170" s="832">
        <f t="shared" si="11"/>
        <v>16494500</v>
      </c>
      <c r="N170" s="833"/>
      <c r="O170" s="832"/>
      <c r="P170" s="832">
        <f t="shared" si="12"/>
        <v>16494500</v>
      </c>
      <c r="Q170" s="861"/>
      <c r="R170" s="853">
        <v>44549</v>
      </c>
      <c r="S170" s="854"/>
      <c r="T170" s="854"/>
      <c r="U170" s="855"/>
      <c r="V170" s="856"/>
      <c r="W170" s="811"/>
      <c r="X170" s="812"/>
      <c r="Z170" s="850"/>
      <c r="AA170" s="851"/>
      <c r="AB170" s="851"/>
      <c r="AC170" s="880"/>
      <c r="AD170" s="880"/>
      <c r="AE170" s="880"/>
      <c r="AF170" s="880"/>
      <c r="AG170" s="850"/>
      <c r="AH170" s="892"/>
      <c r="AI170" s="893"/>
      <c r="AK170" s="814">
        <f t="shared" si="15"/>
        <v>38400000</v>
      </c>
      <c r="AL170" s="814">
        <f t="shared" si="15"/>
        <v>0</v>
      </c>
      <c r="AM170" s="814">
        <f t="shared" si="13"/>
        <v>0</v>
      </c>
      <c r="AN170" s="895">
        <f t="shared" si="14"/>
        <v>0</v>
      </c>
    </row>
    <row r="171" ht="15" customHeight="1" spans="2:40">
      <c r="B171" s="810">
        <v>156</v>
      </c>
      <c r="C171" s="902" t="s">
        <v>13409</v>
      </c>
      <c r="D171" s="812">
        <v>44552</v>
      </c>
      <c r="E171" s="815" t="s">
        <v>13007</v>
      </c>
      <c r="F171" s="811" t="s">
        <v>13116</v>
      </c>
      <c r="G171" s="811" t="s">
        <v>13105</v>
      </c>
      <c r="H171" s="816"/>
      <c r="I171" s="897">
        <v>29214500</v>
      </c>
      <c r="J171" s="814"/>
      <c r="K171" s="897">
        <v>2921450</v>
      </c>
      <c r="L171" s="897"/>
      <c r="M171" s="832">
        <f t="shared" si="11"/>
        <v>19415950</v>
      </c>
      <c r="N171" s="833"/>
      <c r="O171" s="832"/>
      <c r="P171" s="832">
        <f t="shared" si="12"/>
        <v>19415950</v>
      </c>
      <c r="Q171" s="861"/>
      <c r="R171" s="853">
        <v>44550</v>
      </c>
      <c r="S171" s="854"/>
      <c r="T171" s="854"/>
      <c r="U171" s="855"/>
      <c r="V171" s="856"/>
      <c r="W171" s="811"/>
      <c r="X171" s="812"/>
      <c r="Z171" s="850"/>
      <c r="AA171" s="851"/>
      <c r="AB171" s="851"/>
      <c r="AC171" s="880"/>
      <c r="AD171" s="880"/>
      <c r="AE171" s="880"/>
      <c r="AF171" s="880"/>
      <c r="AG171" s="850"/>
      <c r="AH171" s="892"/>
      <c r="AI171" s="893"/>
      <c r="AK171" s="814">
        <f t="shared" si="15"/>
        <v>29214500</v>
      </c>
      <c r="AL171" s="814">
        <f t="shared" si="15"/>
        <v>0</v>
      </c>
      <c r="AM171" s="814">
        <f t="shared" si="13"/>
        <v>0</v>
      </c>
      <c r="AN171" s="895">
        <f t="shared" si="14"/>
        <v>0</v>
      </c>
    </row>
    <row r="172" ht="15" customHeight="1" spans="2:40">
      <c r="B172" s="810">
        <v>157</v>
      </c>
      <c r="C172" s="902" t="s">
        <v>13410</v>
      </c>
      <c r="D172" s="812">
        <v>44552</v>
      </c>
      <c r="E172" s="815" t="s">
        <v>13007</v>
      </c>
      <c r="F172" s="811" t="s">
        <v>13116</v>
      </c>
      <c r="G172" s="811" t="s">
        <v>13105</v>
      </c>
      <c r="H172" s="816"/>
      <c r="I172" s="897">
        <v>15000000</v>
      </c>
      <c r="J172" s="814"/>
      <c r="K172" s="897">
        <v>1500000</v>
      </c>
      <c r="L172" s="897"/>
      <c r="M172" s="832">
        <f t="shared" si="11"/>
        <v>20915950</v>
      </c>
      <c r="N172" s="833"/>
      <c r="O172" s="832"/>
      <c r="P172" s="832">
        <f t="shared" si="12"/>
        <v>20915950</v>
      </c>
      <c r="Q172" s="861"/>
      <c r="R172" s="853">
        <v>44551</v>
      </c>
      <c r="S172" s="854"/>
      <c r="T172" s="854"/>
      <c r="U172" s="855"/>
      <c r="V172" s="856"/>
      <c r="W172" s="811"/>
      <c r="X172" s="812"/>
      <c r="Z172" s="850"/>
      <c r="AA172" s="851"/>
      <c r="AB172" s="851"/>
      <c r="AC172" s="880"/>
      <c r="AD172" s="880"/>
      <c r="AE172" s="880"/>
      <c r="AF172" s="880"/>
      <c r="AG172" s="850"/>
      <c r="AH172" s="892"/>
      <c r="AI172" s="893"/>
      <c r="AK172" s="814">
        <f t="shared" si="15"/>
        <v>15000000</v>
      </c>
      <c r="AL172" s="814">
        <f t="shared" si="15"/>
        <v>0</v>
      </c>
      <c r="AM172" s="814">
        <f t="shared" si="13"/>
        <v>0</v>
      </c>
      <c r="AN172" s="895">
        <f t="shared" si="14"/>
        <v>0</v>
      </c>
    </row>
    <row r="173" ht="15" hidden="1" customHeight="1" spans="2:40">
      <c r="B173" s="810">
        <v>158</v>
      </c>
      <c r="C173" s="811" t="s">
        <v>13411</v>
      </c>
      <c r="D173" s="812">
        <v>44553</v>
      </c>
      <c r="E173" s="815" t="s">
        <v>12999</v>
      </c>
      <c r="F173" s="811" t="s">
        <v>13122</v>
      </c>
      <c r="G173" s="811" t="s">
        <v>13123</v>
      </c>
      <c r="H173" s="816">
        <v>506000</v>
      </c>
      <c r="I173" s="897"/>
      <c r="J173" s="814">
        <v>50600</v>
      </c>
      <c r="K173" s="897"/>
      <c r="L173" s="816"/>
      <c r="M173" s="832">
        <f t="shared" si="11"/>
        <v>20865350</v>
      </c>
      <c r="N173" s="835" t="s">
        <v>12709</v>
      </c>
      <c r="O173" s="837">
        <v>20865350</v>
      </c>
      <c r="P173" s="832">
        <f t="shared" si="12"/>
        <v>0</v>
      </c>
      <c r="Q173" s="861"/>
      <c r="R173" s="862">
        <v>44552</v>
      </c>
      <c r="S173" s="854"/>
      <c r="T173" s="854"/>
      <c r="U173" s="855"/>
      <c r="V173" s="856"/>
      <c r="W173" s="811"/>
      <c r="X173" s="812"/>
      <c r="Z173" s="850"/>
      <c r="AA173" s="851"/>
      <c r="AB173" s="851"/>
      <c r="AC173" s="880"/>
      <c r="AD173" s="880"/>
      <c r="AE173" s="880"/>
      <c r="AF173" s="880"/>
      <c r="AG173" s="850"/>
      <c r="AH173" s="892"/>
      <c r="AI173" s="893"/>
      <c r="AK173" s="814">
        <f t="shared" si="15"/>
        <v>0</v>
      </c>
      <c r="AL173" s="814">
        <f t="shared" si="15"/>
        <v>0</v>
      </c>
      <c r="AM173" s="814">
        <f t="shared" si="13"/>
        <v>506000</v>
      </c>
      <c r="AN173" s="895">
        <f t="shared" si="14"/>
        <v>0</v>
      </c>
    </row>
    <row r="174" ht="15" hidden="1" customHeight="1" spans="2:40">
      <c r="B174" s="810">
        <v>159</v>
      </c>
      <c r="C174" s="811"/>
      <c r="D174" s="812"/>
      <c r="E174" s="815"/>
      <c r="F174" s="811"/>
      <c r="G174" s="811"/>
      <c r="H174" s="816"/>
      <c r="I174" s="897"/>
      <c r="J174" s="814"/>
      <c r="K174" s="897"/>
      <c r="L174" s="816"/>
      <c r="M174" s="832">
        <f t="shared" si="11"/>
        <v>0</v>
      </c>
      <c r="N174" s="833"/>
      <c r="O174" s="832"/>
      <c r="P174" s="832">
        <f t="shared" si="12"/>
        <v>0</v>
      </c>
      <c r="Q174" s="861"/>
      <c r="R174" s="853">
        <v>44553</v>
      </c>
      <c r="S174" s="854"/>
      <c r="T174" s="854"/>
      <c r="U174" s="855"/>
      <c r="V174" s="856"/>
      <c r="W174" s="811"/>
      <c r="X174" s="812"/>
      <c r="Z174" s="850"/>
      <c r="AA174" s="851"/>
      <c r="AB174" s="851"/>
      <c r="AC174" s="880"/>
      <c r="AD174" s="880"/>
      <c r="AE174" s="880"/>
      <c r="AF174" s="880"/>
      <c r="AG174" s="850"/>
      <c r="AH174" s="892"/>
      <c r="AI174" s="893"/>
      <c r="AK174" s="814">
        <f t="shared" si="15"/>
        <v>0</v>
      </c>
      <c r="AL174" s="814">
        <f t="shared" si="15"/>
        <v>0</v>
      </c>
      <c r="AM174" s="814">
        <f t="shared" si="13"/>
        <v>0</v>
      </c>
      <c r="AN174" s="895">
        <f t="shared" si="14"/>
        <v>0</v>
      </c>
    </row>
    <row r="175" ht="15" hidden="1" customHeight="1" spans="2:40">
      <c r="B175" s="810">
        <v>298</v>
      </c>
      <c r="C175" s="811"/>
      <c r="D175" s="812"/>
      <c r="E175" s="813" t="s">
        <v>13412</v>
      </c>
      <c r="F175" s="811"/>
      <c r="G175" s="811"/>
      <c r="H175" s="814"/>
      <c r="I175" s="814"/>
      <c r="J175" s="814"/>
      <c r="K175" s="814">
        <f>I175*10%</f>
        <v>0</v>
      </c>
      <c r="L175" s="814"/>
      <c r="M175" s="832">
        <f t="shared" si="11"/>
        <v>0</v>
      </c>
      <c r="N175" s="833" t="s">
        <v>13413</v>
      </c>
      <c r="O175" s="918"/>
      <c r="P175" s="832">
        <f t="shared" si="12"/>
        <v>0</v>
      </c>
      <c r="Q175" s="857"/>
      <c r="R175" s="853"/>
      <c r="S175" s="854"/>
      <c r="T175" s="854"/>
      <c r="U175" s="855"/>
      <c r="V175" s="856"/>
      <c r="W175" s="811"/>
      <c r="X175" s="812"/>
      <c r="Z175" s="850"/>
      <c r="AA175" s="851"/>
      <c r="AB175" s="851"/>
      <c r="AC175" s="880"/>
      <c r="AD175" s="880"/>
      <c r="AE175" s="880"/>
      <c r="AF175" s="880"/>
      <c r="AG175" s="850"/>
      <c r="AH175" s="892"/>
      <c r="AI175" s="893"/>
      <c r="AK175" s="814">
        <f t="shared" si="15"/>
        <v>0</v>
      </c>
      <c r="AL175" s="814">
        <f t="shared" si="15"/>
        <v>0</v>
      </c>
      <c r="AM175" s="814">
        <f t="shared" si="13"/>
        <v>0</v>
      </c>
      <c r="AN175" s="895">
        <f t="shared" si="14"/>
        <v>0</v>
      </c>
    </row>
    <row r="176" ht="15" hidden="1" customHeight="1" spans="2:40">
      <c r="B176" s="810"/>
      <c r="C176" s="811"/>
      <c r="D176" s="812"/>
      <c r="E176" s="815"/>
      <c r="F176" s="811"/>
      <c r="G176" s="811"/>
      <c r="H176" s="814"/>
      <c r="I176" s="814"/>
      <c r="J176" s="814"/>
      <c r="K176" s="814">
        <v>3756816</v>
      </c>
      <c r="L176" s="814"/>
      <c r="M176" s="832"/>
      <c r="N176" s="833"/>
      <c r="O176" s="918"/>
      <c r="P176" s="832"/>
      <c r="Q176" s="857"/>
      <c r="R176" s="853"/>
      <c r="S176" s="854"/>
      <c r="T176" s="854"/>
      <c r="U176" s="855"/>
      <c r="V176" s="856"/>
      <c r="W176" s="811"/>
      <c r="X176" s="812"/>
      <c r="Z176" s="850"/>
      <c r="AA176" s="851"/>
      <c r="AB176" s="851"/>
      <c r="AC176" s="880"/>
      <c r="AD176" s="880"/>
      <c r="AE176" s="880"/>
      <c r="AF176" s="880"/>
      <c r="AG176" s="850"/>
      <c r="AH176" s="892"/>
      <c r="AI176" s="893"/>
      <c r="AK176" s="814">
        <f>IF(K176&gt;0,K176/10%,0)</f>
        <v>37568160</v>
      </c>
      <c r="AL176" s="814">
        <f>IF(L176&gt;0,L176/10%,0)</f>
        <v>0</v>
      </c>
      <c r="AM176" s="814">
        <f t="shared" si="13"/>
        <v>0</v>
      </c>
      <c r="AN176" s="895">
        <f t="shared" si="14"/>
        <v>37568160</v>
      </c>
    </row>
    <row r="177" ht="15" hidden="1" customHeight="1" spans="2:40">
      <c r="B177" s="810"/>
      <c r="C177" s="811"/>
      <c r="D177" s="812"/>
      <c r="E177" s="815"/>
      <c r="F177" s="811"/>
      <c r="G177" s="811"/>
      <c r="H177" s="814"/>
      <c r="I177" s="814"/>
      <c r="J177" s="814"/>
      <c r="K177" s="814">
        <v>1250000</v>
      </c>
      <c r="L177" s="814"/>
      <c r="M177" s="832"/>
      <c r="N177" s="833"/>
      <c r="O177" s="918"/>
      <c r="P177" s="832"/>
      <c r="Q177" s="857"/>
      <c r="R177" s="853"/>
      <c r="S177" s="854"/>
      <c r="T177" s="854"/>
      <c r="U177" s="855"/>
      <c r="V177" s="856"/>
      <c r="W177" s="811"/>
      <c r="X177" s="812"/>
      <c r="Z177" s="850"/>
      <c r="AA177" s="851"/>
      <c r="AB177" s="851"/>
      <c r="AC177" s="880"/>
      <c r="AD177" s="880"/>
      <c r="AE177" s="880"/>
      <c r="AF177" s="880"/>
      <c r="AG177" s="850"/>
      <c r="AH177" s="892"/>
      <c r="AI177" s="893"/>
      <c r="AK177" s="814">
        <f>IF(K177&gt;0,K177/10%,0)</f>
        <v>12500000</v>
      </c>
      <c r="AL177" s="814">
        <f>IF(L177&gt;0,L177/10%,0)</f>
        <v>0</v>
      </c>
      <c r="AM177" s="814">
        <f t="shared" si="13"/>
        <v>0</v>
      </c>
      <c r="AN177" s="895">
        <f t="shared" si="14"/>
        <v>12500000</v>
      </c>
    </row>
    <row r="178" hidden="1" spans="2:40">
      <c r="B178" s="815"/>
      <c r="C178" s="811"/>
      <c r="D178" s="812"/>
      <c r="E178" s="815"/>
      <c r="F178" s="811"/>
      <c r="G178" s="811"/>
      <c r="H178" s="814"/>
      <c r="I178" s="814"/>
      <c r="J178" s="814"/>
      <c r="K178" s="814"/>
      <c r="L178" s="814"/>
      <c r="M178" s="814"/>
      <c r="N178" s="814"/>
      <c r="O178" s="814"/>
      <c r="P178" s="919"/>
      <c r="Q178" s="923"/>
      <c r="R178" s="924"/>
      <c r="S178" s="924"/>
      <c r="T178" s="924"/>
      <c r="U178" s="855"/>
      <c r="V178" s="856"/>
      <c r="W178" s="811"/>
      <c r="X178" s="812"/>
      <c r="Z178" s="811"/>
      <c r="AA178" s="812"/>
      <c r="AB178" s="816"/>
      <c r="AC178" s="925"/>
      <c r="AD178" s="925"/>
      <c r="AE178" s="925"/>
      <c r="AF178" s="925"/>
      <c r="AG178" s="811"/>
      <c r="AH178" s="926"/>
      <c r="AI178" s="927"/>
      <c r="AK178" s="928"/>
      <c r="AL178" s="928"/>
      <c r="AM178" s="928"/>
      <c r="AN178" s="929"/>
    </row>
    <row r="179" ht="15.15" spans="37:40">
      <c r="AK179" s="786"/>
      <c r="AL179" s="786"/>
      <c r="AM179" s="786"/>
      <c r="AN179" s="930"/>
    </row>
    <row r="180" ht="15.15" spans="2:40">
      <c r="B180" s="906" t="s">
        <v>13414</v>
      </c>
      <c r="C180" s="907"/>
      <c r="D180" s="907"/>
      <c r="E180" s="907"/>
      <c r="F180" s="907"/>
      <c r="G180" s="908"/>
      <c r="H180" s="909">
        <f>SUBTOTAL(109,H11:H178)</f>
        <v>0</v>
      </c>
      <c r="I180" s="909">
        <f>SUBTOTAL(109,I11:I178)</f>
        <v>4163589940</v>
      </c>
      <c r="J180" s="909">
        <f>SUBTOTAL(109,J11:J178)</f>
        <v>0</v>
      </c>
      <c r="K180" s="909">
        <f>SUBTOTAL(109,K11:K178)</f>
        <v>363199151</v>
      </c>
      <c r="L180" s="909">
        <f>SUBTOTAL(109,L11:L178)</f>
        <v>53159836</v>
      </c>
      <c r="M180" s="909">
        <f>+K180-J180</f>
        <v>363199151</v>
      </c>
      <c r="N180" s="909"/>
      <c r="O180" s="909">
        <f>SUBTOTAL(109,O11:O178)</f>
        <v>142905346</v>
      </c>
      <c r="P180" s="920">
        <f>+M180-O180+P181</f>
        <v>220293805</v>
      </c>
      <c r="AC180" s="920">
        <f>SUBTOTAL(9,AC12:AC179)</f>
        <v>0</v>
      </c>
      <c r="AD180" s="920">
        <f>SUBTOTAL(9,AD12:AD179)</f>
        <v>0</v>
      </c>
      <c r="AE180" s="920">
        <f>SUBTOTAL(9,AE12:AE179)</f>
        <v>0</v>
      </c>
      <c r="AF180" s="920">
        <f>SUBTOTAL(9,AF12:AF179)</f>
        <v>0</v>
      </c>
      <c r="AK180" s="931">
        <f>SUBTOTAL(9,AK9:AK179)</f>
        <v>3583154990</v>
      </c>
      <c r="AL180" s="931" t="e">
        <f>SUBTOTAL(9,AL9:AL179)</f>
        <v>#REF!</v>
      </c>
      <c r="AM180" s="931">
        <f>SUBTOTAL(9,AM9:AM179)</f>
        <v>0</v>
      </c>
      <c r="AN180" s="932" t="e">
        <f>SUBTOTAL(9,AN9:AN179)</f>
        <v>#REF!</v>
      </c>
    </row>
    <row r="181" ht="15.15" spans="2:40">
      <c r="B181" s="906" t="s">
        <v>13415</v>
      </c>
      <c r="C181" s="907"/>
      <c r="D181" s="907"/>
      <c r="E181" s="907"/>
      <c r="F181" s="907"/>
      <c r="G181" s="907"/>
      <c r="H181" s="910"/>
      <c r="I181" s="910"/>
      <c r="J181" s="910"/>
      <c r="K181" s="910"/>
      <c r="L181" s="921"/>
      <c r="M181" s="921"/>
      <c r="N181" s="921"/>
      <c r="O181" s="921"/>
      <c r="P181" s="920">
        <f>+P10</f>
        <v>0</v>
      </c>
      <c r="Z181" s="850" t="s">
        <v>13213</v>
      </c>
      <c r="AA181" s="851">
        <v>44151</v>
      </c>
      <c r="AK181" s="933" t="s">
        <v>13214</v>
      </c>
      <c r="AL181" s="934"/>
      <c r="AM181" s="935" t="e">
        <f>AK180+AL180</f>
        <v>#REF!</v>
      </c>
      <c r="AN181" s="936" t="e">
        <f>AM181/AM181</f>
        <v>#REF!</v>
      </c>
    </row>
    <row r="182" ht="15.15" spans="2:40">
      <c r="B182" s="906" t="s">
        <v>13212</v>
      </c>
      <c r="C182" s="907"/>
      <c r="D182" s="907"/>
      <c r="E182" s="907"/>
      <c r="F182" s="907"/>
      <c r="G182" s="907"/>
      <c r="H182" s="910"/>
      <c r="I182" s="910"/>
      <c r="J182" s="910"/>
      <c r="K182" s="910"/>
      <c r="L182" s="921"/>
      <c r="M182" s="921"/>
      <c r="N182" s="921"/>
      <c r="O182" s="921"/>
      <c r="P182" s="920">
        <f>P70</f>
        <v>16360000</v>
      </c>
      <c r="AK182" s="933" t="s">
        <v>11568</v>
      </c>
      <c r="AL182" s="934"/>
      <c r="AM182" s="937">
        <f>AM180</f>
        <v>0</v>
      </c>
      <c r="AN182" s="936" t="e">
        <f>AM182/AM181</f>
        <v>#REF!</v>
      </c>
    </row>
    <row r="183" ht="15.15" spans="8:40">
      <c r="H183" s="911">
        <v>1817439338</v>
      </c>
      <c r="I183" s="911">
        <v>902563075</v>
      </c>
      <c r="P183" s="787">
        <f>+P180-P182</f>
        <v>203933805</v>
      </c>
      <c r="AK183" s="933" t="s">
        <v>11787</v>
      </c>
      <c r="AL183" s="934"/>
      <c r="AM183" s="937" t="e">
        <f>AM181-AM182</f>
        <v>#REF!</v>
      </c>
      <c r="AN183" s="936" t="e">
        <f>AM183/AM181</f>
        <v>#REF!</v>
      </c>
    </row>
    <row r="184" spans="8:39">
      <c r="H184" s="911">
        <f>H180-H183</f>
        <v>-1817439338</v>
      </c>
      <c r="I184" s="911">
        <f>I180-I183</f>
        <v>3261026865</v>
      </c>
      <c r="AK184" s="786"/>
      <c r="AL184" s="786"/>
      <c r="AM184" s="786"/>
    </row>
    <row r="185" spans="3:39">
      <c r="C185" s="912" t="s">
        <v>13416</v>
      </c>
      <c r="D185" s="913"/>
      <c r="E185" s="914"/>
      <c r="F185" s="915" t="s">
        <v>1169</v>
      </c>
      <c r="G185" s="916"/>
      <c r="H185" s="915" t="s">
        <v>12908</v>
      </c>
      <c r="I185" s="915" t="s">
        <v>13417</v>
      </c>
      <c r="J185" s="922" t="s">
        <v>2034</v>
      </c>
      <c r="K185" s="922" t="s">
        <v>2035</v>
      </c>
      <c r="L185" s="922" t="s">
        <v>151</v>
      </c>
      <c r="AK185" s="786"/>
      <c r="AL185" s="786"/>
      <c r="AM185" s="786"/>
    </row>
    <row r="186" spans="3:39">
      <c r="C186" s="912"/>
      <c r="D186" s="913"/>
      <c r="E186" s="914"/>
      <c r="F186" s="915"/>
      <c r="G186" s="916"/>
      <c r="H186" s="915"/>
      <c r="I186" s="915"/>
      <c r="AK186" s="786"/>
      <c r="AL186" s="786"/>
      <c r="AM186" s="786"/>
    </row>
    <row r="187" spans="3:39">
      <c r="C187" s="784" t="s">
        <v>13011</v>
      </c>
      <c r="F187" s="917">
        <v>1660800000</v>
      </c>
      <c r="H187" s="786">
        <v>0</v>
      </c>
      <c r="I187" s="786">
        <f t="shared" ref="I187:I194" si="16">F187+H187</f>
        <v>1660800000</v>
      </c>
      <c r="J187" s="786">
        <f>+I187</f>
        <v>1660800000</v>
      </c>
      <c r="K187" s="786">
        <v>0</v>
      </c>
      <c r="L187" s="786">
        <f>SUM(J187:K187)</f>
        <v>1660800000</v>
      </c>
      <c r="AK187" s="786"/>
      <c r="AL187" s="786"/>
      <c r="AM187" s="786"/>
    </row>
    <row r="188" spans="3:39">
      <c r="C188" s="784" t="s">
        <v>13418</v>
      </c>
      <c r="F188" s="917">
        <v>1046800000</v>
      </c>
      <c r="H188" s="786">
        <v>1080740706</v>
      </c>
      <c r="I188" s="786">
        <f t="shared" si="16"/>
        <v>2127540706</v>
      </c>
      <c r="J188" s="786">
        <v>0</v>
      </c>
      <c r="K188" s="786">
        <f>+I188</f>
        <v>2127540706</v>
      </c>
      <c r="L188" s="786">
        <f t="shared" ref="L188:L194" si="17">SUM(J188:K188)</f>
        <v>2127540706</v>
      </c>
      <c r="AK188" s="786"/>
      <c r="AL188" s="786"/>
      <c r="AM188" s="786"/>
    </row>
    <row r="189" spans="3:39">
      <c r="C189" s="784" t="s">
        <v>1479</v>
      </c>
      <c r="F189" s="917">
        <v>571946940</v>
      </c>
      <c r="H189" s="786">
        <v>0</v>
      </c>
      <c r="I189" s="786">
        <f t="shared" si="16"/>
        <v>571946940</v>
      </c>
      <c r="J189" s="786">
        <v>0</v>
      </c>
      <c r="K189" s="786">
        <f t="shared" ref="K189:K194" si="18">+I189</f>
        <v>571946940</v>
      </c>
      <c r="L189" s="786">
        <f t="shared" si="17"/>
        <v>571946940</v>
      </c>
      <c r="AK189" s="786"/>
      <c r="AL189" s="786"/>
      <c r="AM189" s="786"/>
    </row>
    <row r="190" spans="3:39">
      <c r="C190" s="784" t="s">
        <v>13007</v>
      </c>
      <c r="F190" s="917">
        <v>561830500</v>
      </c>
      <c r="H190" s="786">
        <v>0</v>
      </c>
      <c r="I190" s="786">
        <f t="shared" si="16"/>
        <v>561830500</v>
      </c>
      <c r="J190" s="786">
        <v>0</v>
      </c>
      <c r="K190" s="786">
        <f t="shared" si="18"/>
        <v>561830500</v>
      </c>
      <c r="L190" s="786">
        <f t="shared" si="17"/>
        <v>561830500</v>
      </c>
      <c r="AK190" s="786"/>
      <c r="AL190" s="786"/>
      <c r="AM190" s="786"/>
    </row>
    <row r="191" spans="3:39">
      <c r="C191" s="784" t="s">
        <v>1809</v>
      </c>
      <c r="F191" s="917">
        <v>175150000</v>
      </c>
      <c r="H191" s="786">
        <v>0</v>
      </c>
      <c r="I191" s="786">
        <f t="shared" si="16"/>
        <v>175150000</v>
      </c>
      <c r="J191" s="786">
        <v>0</v>
      </c>
      <c r="K191" s="786">
        <f t="shared" si="18"/>
        <v>175150000</v>
      </c>
      <c r="L191" s="786">
        <f t="shared" si="17"/>
        <v>175150000</v>
      </c>
      <c r="AK191" s="786"/>
      <c r="AL191" s="786"/>
      <c r="AM191" s="786"/>
    </row>
    <row r="192" spans="3:39">
      <c r="C192" s="784" t="s">
        <v>13010</v>
      </c>
      <c r="F192" s="917">
        <v>138687500</v>
      </c>
      <c r="H192" s="786">
        <v>0</v>
      </c>
      <c r="I192" s="786">
        <f t="shared" si="16"/>
        <v>138687500</v>
      </c>
      <c r="J192" s="786">
        <v>0</v>
      </c>
      <c r="K192" s="786">
        <f t="shared" si="18"/>
        <v>138687500</v>
      </c>
      <c r="L192" s="786">
        <f t="shared" si="17"/>
        <v>138687500</v>
      </c>
      <c r="AK192" s="786"/>
      <c r="AL192" s="786"/>
      <c r="AM192" s="786"/>
    </row>
    <row r="193" spans="3:39">
      <c r="C193" s="784" t="s">
        <v>13009</v>
      </c>
      <c r="F193" s="917">
        <v>8375000</v>
      </c>
      <c r="H193" s="786">
        <v>0</v>
      </c>
      <c r="I193" s="786">
        <f t="shared" si="16"/>
        <v>8375000</v>
      </c>
      <c r="J193" s="786">
        <v>0</v>
      </c>
      <c r="K193" s="786">
        <f t="shared" si="18"/>
        <v>8375000</v>
      </c>
      <c r="L193" s="786">
        <f t="shared" si="17"/>
        <v>8375000</v>
      </c>
      <c r="AK193" s="786"/>
      <c r="AL193" s="786"/>
      <c r="AM193" s="786"/>
    </row>
    <row r="194" spans="3:39">
      <c r="C194" s="784" t="s">
        <v>13419</v>
      </c>
      <c r="F194" s="917"/>
      <c r="H194" s="786">
        <v>307168076.72</v>
      </c>
      <c r="I194" s="786">
        <f t="shared" si="16"/>
        <v>307168076.72</v>
      </c>
      <c r="J194" s="786">
        <v>0</v>
      </c>
      <c r="K194" s="786">
        <f t="shared" si="18"/>
        <v>307168076.72</v>
      </c>
      <c r="L194" s="786">
        <f t="shared" si="17"/>
        <v>307168076.72</v>
      </c>
      <c r="AK194" s="786"/>
      <c r="AL194" s="786"/>
      <c r="AM194" s="786"/>
    </row>
    <row r="195" spans="3:39">
      <c r="C195" s="784"/>
      <c r="F195" s="938">
        <f>SUBTOTAL(9,F187:F194)</f>
        <v>4163589940</v>
      </c>
      <c r="G195" s="939"/>
      <c r="H195" s="938">
        <f>SUBTOTAL(9,H187:H194)</f>
        <v>1387908782.72</v>
      </c>
      <c r="I195" s="938">
        <f>SUBTOTAL(9,I187:I194)</f>
        <v>5551498722.72</v>
      </c>
      <c r="J195" s="938">
        <f t="shared" ref="J195:L195" si="19">SUBTOTAL(9,J187:J194)</f>
        <v>1660800000</v>
      </c>
      <c r="K195" s="938">
        <f t="shared" si="19"/>
        <v>3890698722.72</v>
      </c>
      <c r="L195" s="938">
        <f t="shared" si="19"/>
        <v>5551498722.72</v>
      </c>
      <c r="AK195" s="786"/>
      <c r="AL195" s="786"/>
      <c r="AM195" s="786"/>
    </row>
    <row r="196" spans="3:39">
      <c r="C196" s="785" t="s">
        <v>13420</v>
      </c>
      <c r="F196" s="917"/>
      <c r="J196" s="942">
        <f>+J195/L195</f>
        <v>0.299162457374444</v>
      </c>
      <c r="K196" s="942">
        <f>+K195/L195</f>
        <v>0.700837542625556</v>
      </c>
      <c r="AK196" s="786"/>
      <c r="AL196" s="786"/>
      <c r="AM196" s="786"/>
    </row>
    <row r="197" spans="3:39">
      <c r="C197" s="940">
        <v>44197</v>
      </c>
      <c r="F197" s="917">
        <v>409074182</v>
      </c>
      <c r="H197" s="786">
        <v>120735778</v>
      </c>
      <c r="I197" s="786">
        <f t="shared" ref="I197:I208" si="20">F197+H197</f>
        <v>529809960</v>
      </c>
      <c r="AK197" s="786"/>
      <c r="AL197" s="786"/>
      <c r="AM197" s="786"/>
    </row>
    <row r="198" spans="3:39">
      <c r="C198" s="940">
        <v>44228</v>
      </c>
      <c r="F198" s="917">
        <v>322756990</v>
      </c>
      <c r="H198" s="786">
        <v>288527415.72</v>
      </c>
      <c r="I198" s="786">
        <f t="shared" si="20"/>
        <v>611284405.72</v>
      </c>
      <c r="AK198" s="786"/>
      <c r="AL198" s="786"/>
      <c r="AM198" s="786"/>
    </row>
    <row r="199" spans="3:39">
      <c r="C199" s="940">
        <v>44256</v>
      </c>
      <c r="F199" s="917">
        <v>338200000</v>
      </c>
      <c r="H199" s="786">
        <v>77613267</v>
      </c>
      <c r="I199" s="786">
        <f t="shared" si="20"/>
        <v>415813267</v>
      </c>
      <c r="AK199" s="786"/>
      <c r="AL199" s="786"/>
      <c r="AM199" s="786"/>
    </row>
    <row r="200" spans="3:39">
      <c r="C200" s="940">
        <v>44287</v>
      </c>
      <c r="F200" s="917">
        <v>307463448</v>
      </c>
      <c r="H200" s="786">
        <v>432344139</v>
      </c>
      <c r="I200" s="786">
        <f t="shared" si="20"/>
        <v>739807587</v>
      </c>
      <c r="AK200" s="786"/>
      <c r="AL200" s="786"/>
      <c r="AM200" s="786"/>
    </row>
    <row r="201" spans="3:39">
      <c r="C201" s="940">
        <v>44317</v>
      </c>
      <c r="F201" s="917">
        <v>250050756</v>
      </c>
      <c r="H201" s="786">
        <v>0</v>
      </c>
      <c r="I201" s="786">
        <f t="shared" si="20"/>
        <v>250050756</v>
      </c>
      <c r="AK201" s="786"/>
      <c r="AL201" s="786"/>
      <c r="AM201" s="786"/>
    </row>
    <row r="202" spans="3:39">
      <c r="C202" s="940">
        <v>44348</v>
      </c>
      <c r="F202" s="917">
        <v>872161154</v>
      </c>
      <c r="H202" s="786">
        <v>41785709</v>
      </c>
      <c r="I202" s="786">
        <f t="shared" si="20"/>
        <v>913946863</v>
      </c>
      <c r="AK202" s="786"/>
      <c r="AL202" s="786"/>
      <c r="AM202" s="786"/>
    </row>
    <row r="203" spans="3:39">
      <c r="C203" s="940">
        <v>44378</v>
      </c>
      <c r="F203" s="917">
        <v>288691079</v>
      </c>
      <c r="H203" s="786">
        <v>89084156</v>
      </c>
      <c r="I203" s="786">
        <f t="shared" si="20"/>
        <v>377775235</v>
      </c>
      <c r="AK203" s="786"/>
      <c r="AL203" s="786"/>
      <c r="AM203" s="786"/>
    </row>
    <row r="204" spans="3:39">
      <c r="C204" s="940">
        <v>44409</v>
      </c>
      <c r="F204" s="917">
        <v>38626566</v>
      </c>
      <c r="H204" s="786">
        <v>61715425</v>
      </c>
      <c r="I204" s="786">
        <f t="shared" si="20"/>
        <v>100341991</v>
      </c>
      <c r="AK204" s="786"/>
      <c r="AL204" s="786"/>
      <c r="AM204" s="786"/>
    </row>
    <row r="205" spans="3:39">
      <c r="C205" s="940">
        <v>44440</v>
      </c>
      <c r="F205" s="917">
        <v>0</v>
      </c>
      <c r="H205" s="786">
        <v>61793370</v>
      </c>
      <c r="I205" s="786">
        <f t="shared" si="20"/>
        <v>61793370</v>
      </c>
      <c r="AK205" s="786"/>
      <c r="AL205" s="786"/>
      <c r="AM205" s="786"/>
    </row>
    <row r="206" spans="3:39">
      <c r="C206" s="940">
        <v>44470</v>
      </c>
      <c r="F206" s="917">
        <v>529118788</v>
      </c>
      <c r="H206" s="786">
        <v>154511835</v>
      </c>
      <c r="I206" s="786">
        <f t="shared" si="20"/>
        <v>683630623</v>
      </c>
      <c r="AK206" s="786"/>
      <c r="AL206" s="786"/>
      <c r="AM206" s="786"/>
    </row>
    <row r="207" spans="3:39">
      <c r="C207" s="940">
        <v>44501</v>
      </c>
      <c r="F207" s="917">
        <v>557988629</v>
      </c>
      <c r="H207" s="786">
        <v>0</v>
      </c>
      <c r="I207" s="786">
        <f t="shared" si="20"/>
        <v>557988629</v>
      </c>
      <c r="AK207" s="786"/>
      <c r="AL207" s="786"/>
      <c r="AM207" s="786"/>
    </row>
    <row r="208" spans="3:39">
      <c r="C208" s="940">
        <v>44531</v>
      </c>
      <c r="F208" s="917">
        <v>249458348</v>
      </c>
      <c r="H208" s="786">
        <v>59797688</v>
      </c>
      <c r="I208" s="786">
        <f t="shared" si="20"/>
        <v>309256036</v>
      </c>
      <c r="AK208" s="786"/>
      <c r="AL208" s="786"/>
      <c r="AM208" s="786"/>
    </row>
    <row r="209" spans="3:39">
      <c r="C209" s="784"/>
      <c r="F209" s="941">
        <f>SUBTOTAL(9,F197:F208)</f>
        <v>4163589940</v>
      </c>
      <c r="H209" s="941">
        <f>SUBTOTAL(9,H197:H208)</f>
        <v>1387908782.72</v>
      </c>
      <c r="I209" s="941">
        <f>SUBTOTAL(9,I197:I208)</f>
        <v>5551498722.72</v>
      </c>
      <c r="AK209" s="786"/>
      <c r="AL209" s="786"/>
      <c r="AM209" s="786"/>
    </row>
    <row r="210" spans="37:39">
      <c r="AK210" s="786"/>
      <c r="AL210" s="786"/>
      <c r="AM210" s="786"/>
    </row>
    <row r="211" spans="37:39">
      <c r="AK211" s="786"/>
      <c r="AL211" s="786"/>
      <c r="AM211" s="786"/>
    </row>
    <row r="212" spans="37:39">
      <c r="AK212" s="786"/>
      <c r="AL212" s="786"/>
      <c r="AM212" s="786"/>
    </row>
    <row r="213" spans="37:39">
      <c r="AK213" s="786"/>
      <c r="AL213" s="786"/>
      <c r="AM213" s="786"/>
    </row>
    <row r="214" spans="37:39">
      <c r="AK214" s="786"/>
      <c r="AL214" s="786"/>
      <c r="AM214" s="786"/>
    </row>
    <row r="215" spans="37:39">
      <c r="AK215" s="786"/>
      <c r="AL215" s="786"/>
      <c r="AM215" s="786"/>
    </row>
    <row r="216" spans="37:39">
      <c r="AK216" s="786"/>
      <c r="AL216" s="786"/>
      <c r="AM216" s="786"/>
    </row>
    <row r="217" spans="37:39">
      <c r="AK217" s="786"/>
      <c r="AL217" s="786"/>
      <c r="AM217" s="786"/>
    </row>
    <row r="218" spans="37:39">
      <c r="AK218" s="786"/>
      <c r="AL218" s="786"/>
      <c r="AM218" s="786"/>
    </row>
    <row r="219" spans="37:39">
      <c r="AK219" s="786"/>
      <c r="AL219" s="786"/>
      <c r="AM219" s="786"/>
    </row>
    <row r="220" spans="37:39">
      <c r="AK220" s="786"/>
      <c r="AL220" s="786"/>
      <c r="AM220" s="786"/>
    </row>
    <row r="221" spans="37:39">
      <c r="AK221" s="786"/>
      <c r="AL221" s="786"/>
      <c r="AM221" s="786"/>
    </row>
    <row r="222" spans="37:39">
      <c r="AK222" s="786"/>
      <c r="AL222" s="786"/>
      <c r="AM222" s="786"/>
    </row>
    <row r="223" spans="37:39">
      <c r="AK223" s="786"/>
      <c r="AL223" s="786"/>
      <c r="AM223" s="786"/>
    </row>
    <row r="224" spans="37:39">
      <c r="AK224" s="786"/>
      <c r="AL224" s="786"/>
      <c r="AM224" s="786"/>
    </row>
    <row r="225" spans="37:39">
      <c r="AK225" s="786"/>
      <c r="AL225" s="786"/>
      <c r="AM225" s="786"/>
    </row>
    <row r="226" spans="37:39">
      <c r="AK226" s="786"/>
      <c r="AL226" s="786"/>
      <c r="AM226" s="786"/>
    </row>
    <row r="227" spans="37:39">
      <c r="AK227" s="786"/>
      <c r="AL227" s="786"/>
      <c r="AM227" s="786"/>
    </row>
    <row r="228" spans="37:39">
      <c r="AK228" s="786"/>
      <c r="AL228" s="786"/>
      <c r="AM228" s="786"/>
    </row>
    <row r="229" spans="37:39">
      <c r="AK229" s="786"/>
      <c r="AL229" s="786"/>
      <c r="AM229" s="786"/>
    </row>
    <row r="230" spans="37:39">
      <c r="AK230" s="786"/>
      <c r="AL230" s="786"/>
      <c r="AM230" s="786"/>
    </row>
    <row r="231" spans="37:39">
      <c r="AK231" s="786"/>
      <c r="AL231" s="786"/>
      <c r="AM231" s="786"/>
    </row>
    <row r="232" spans="37:39">
      <c r="AK232" s="786"/>
      <c r="AL232" s="786"/>
      <c r="AM232" s="786"/>
    </row>
    <row r="233" spans="37:39">
      <c r="AK233" s="786"/>
      <c r="AL233" s="786"/>
      <c r="AM233" s="786"/>
    </row>
    <row r="234" spans="37:39">
      <c r="AK234" s="786"/>
      <c r="AL234" s="786"/>
      <c r="AM234" s="786"/>
    </row>
    <row r="235" spans="37:39">
      <c r="AK235" s="786"/>
      <c r="AL235" s="786"/>
      <c r="AM235" s="786"/>
    </row>
    <row r="236" spans="37:39">
      <c r="AK236" s="786"/>
      <c r="AL236" s="786"/>
      <c r="AM236" s="786"/>
    </row>
    <row r="237" spans="37:39">
      <c r="AK237" s="786"/>
      <c r="AL237" s="786"/>
      <c r="AM237" s="786"/>
    </row>
    <row r="238" spans="37:39">
      <c r="AK238" s="786"/>
      <c r="AL238" s="786"/>
      <c r="AM238" s="786"/>
    </row>
    <row r="239" spans="37:39">
      <c r="AK239" s="786"/>
      <c r="AL239" s="786"/>
      <c r="AM239" s="786"/>
    </row>
    <row r="240" spans="37:39">
      <c r="AK240" s="786"/>
      <c r="AL240" s="786"/>
      <c r="AM240" s="786"/>
    </row>
    <row r="241" spans="37:39">
      <c r="AK241" s="786"/>
      <c r="AL241" s="786"/>
      <c r="AM241" s="786"/>
    </row>
    <row r="242" spans="37:39">
      <c r="AK242" s="786"/>
      <c r="AL242" s="786"/>
      <c r="AM242" s="786"/>
    </row>
    <row r="243" spans="37:39">
      <c r="AK243" s="786"/>
      <c r="AL243" s="786"/>
      <c r="AM243" s="786"/>
    </row>
    <row r="244" spans="37:39">
      <c r="AK244" s="786"/>
      <c r="AL244" s="786"/>
      <c r="AM244" s="786"/>
    </row>
    <row r="245" spans="37:39">
      <c r="AK245" s="786"/>
      <c r="AL245" s="786"/>
      <c r="AM245" s="786"/>
    </row>
    <row r="246" spans="37:39">
      <c r="AK246" s="786"/>
      <c r="AL246" s="786"/>
      <c r="AM246" s="786"/>
    </row>
    <row r="247" spans="37:39">
      <c r="AK247" s="786"/>
      <c r="AL247" s="786"/>
      <c r="AM247" s="786"/>
    </row>
    <row r="248" spans="37:39">
      <c r="AK248" s="786"/>
      <c r="AL248" s="786"/>
      <c r="AM248" s="786"/>
    </row>
    <row r="249" spans="37:39">
      <c r="AK249" s="786"/>
      <c r="AL249" s="786"/>
      <c r="AM249" s="786"/>
    </row>
    <row r="250" spans="37:39">
      <c r="AK250" s="786"/>
      <c r="AL250" s="786"/>
      <c r="AM250" s="786"/>
    </row>
    <row r="251" spans="37:39">
      <c r="AK251" s="786"/>
      <c r="AL251" s="786"/>
      <c r="AM251" s="786"/>
    </row>
    <row r="252" spans="37:39">
      <c r="AK252" s="786"/>
      <c r="AL252" s="786"/>
      <c r="AM252" s="786"/>
    </row>
    <row r="253" spans="37:39">
      <c r="AK253" s="786"/>
      <c r="AL253" s="786"/>
      <c r="AM253" s="786"/>
    </row>
    <row r="254" spans="37:39">
      <c r="AK254" s="786"/>
      <c r="AL254" s="786"/>
      <c r="AM254" s="786"/>
    </row>
    <row r="255" spans="37:39">
      <c r="AK255" s="786"/>
      <c r="AL255" s="786"/>
      <c r="AM255" s="786"/>
    </row>
    <row r="256" spans="37:39">
      <c r="AK256" s="786"/>
      <c r="AL256" s="786"/>
      <c r="AM256" s="786"/>
    </row>
    <row r="257" spans="37:39">
      <c r="AK257" s="786"/>
      <c r="AL257" s="786"/>
      <c r="AM257" s="786"/>
    </row>
    <row r="258" spans="37:39">
      <c r="AK258" s="786"/>
      <c r="AL258" s="786"/>
      <c r="AM258" s="786"/>
    </row>
    <row r="259" spans="37:39">
      <c r="AK259" s="786"/>
      <c r="AL259" s="786"/>
      <c r="AM259" s="786"/>
    </row>
    <row r="260" spans="37:39">
      <c r="AK260" s="786"/>
      <c r="AL260" s="786"/>
      <c r="AM260" s="786"/>
    </row>
    <row r="261" spans="37:39">
      <c r="AK261" s="786"/>
      <c r="AL261" s="786"/>
      <c r="AM261" s="786"/>
    </row>
    <row r="262" spans="37:39">
      <c r="AK262" s="786"/>
      <c r="AL262" s="786"/>
      <c r="AM262" s="786"/>
    </row>
    <row r="263" spans="37:39">
      <c r="AK263" s="786"/>
      <c r="AL263" s="786"/>
      <c r="AM263" s="786"/>
    </row>
    <row r="264" spans="37:39">
      <c r="AK264" s="786"/>
      <c r="AL264" s="786"/>
      <c r="AM264" s="786"/>
    </row>
    <row r="265" spans="37:39">
      <c r="AK265" s="786"/>
      <c r="AL265" s="786"/>
      <c r="AM265" s="786"/>
    </row>
    <row r="266" spans="37:39">
      <c r="AK266" s="786"/>
      <c r="AL266" s="786"/>
      <c r="AM266" s="786"/>
    </row>
    <row r="267" spans="37:39">
      <c r="AK267" s="786"/>
      <c r="AL267" s="786"/>
      <c r="AM267" s="786"/>
    </row>
    <row r="268" spans="37:39">
      <c r="AK268" s="786"/>
      <c r="AL268" s="786"/>
      <c r="AM268" s="786"/>
    </row>
    <row r="269" spans="37:39">
      <c r="AK269" s="786"/>
      <c r="AL269" s="786"/>
      <c r="AM269" s="786"/>
    </row>
    <row r="270" spans="37:39">
      <c r="AK270" s="786"/>
      <c r="AL270" s="786"/>
      <c r="AM270" s="786"/>
    </row>
    <row r="271" spans="37:39">
      <c r="AK271" s="786"/>
      <c r="AL271" s="786"/>
      <c r="AM271" s="786"/>
    </row>
    <row r="272" spans="37:39">
      <c r="AK272" s="786"/>
      <c r="AL272" s="786"/>
      <c r="AM272" s="786"/>
    </row>
    <row r="273" spans="37:39">
      <c r="AK273" s="786"/>
      <c r="AL273" s="786"/>
      <c r="AM273" s="786"/>
    </row>
    <row r="274" spans="37:39">
      <c r="AK274" s="786"/>
      <c r="AL274" s="786"/>
      <c r="AM274" s="786"/>
    </row>
    <row r="275" spans="37:39">
      <c r="AK275" s="786"/>
      <c r="AL275" s="786"/>
      <c r="AM275" s="786"/>
    </row>
    <row r="276" spans="37:39">
      <c r="AK276" s="786"/>
      <c r="AL276" s="786"/>
      <c r="AM276" s="786"/>
    </row>
    <row r="277" spans="37:39">
      <c r="AK277" s="786"/>
      <c r="AL277" s="786"/>
      <c r="AM277" s="786"/>
    </row>
    <row r="278" spans="37:39">
      <c r="AK278" s="786"/>
      <c r="AL278" s="786"/>
      <c r="AM278" s="786"/>
    </row>
    <row r="279" spans="37:39">
      <c r="AK279" s="786"/>
      <c r="AL279" s="786"/>
      <c r="AM279" s="786"/>
    </row>
    <row r="280" spans="37:39">
      <c r="AK280" s="786"/>
      <c r="AL280" s="786"/>
      <c r="AM280" s="786"/>
    </row>
    <row r="281" spans="37:39">
      <c r="AK281" s="786"/>
      <c r="AL281" s="786"/>
      <c r="AM281" s="786"/>
    </row>
    <row r="282" spans="37:39">
      <c r="AK282" s="786"/>
      <c r="AL282" s="786"/>
      <c r="AM282" s="786"/>
    </row>
    <row r="283" spans="37:39">
      <c r="AK283" s="786"/>
      <c r="AL283" s="786"/>
      <c r="AM283" s="786"/>
    </row>
    <row r="284" spans="37:39">
      <c r="AK284" s="786"/>
      <c r="AL284" s="786"/>
      <c r="AM284" s="786"/>
    </row>
    <row r="285" spans="37:39">
      <c r="AK285" s="786"/>
      <c r="AL285" s="786"/>
      <c r="AM285" s="786"/>
    </row>
    <row r="286" spans="37:39">
      <c r="AK286" s="786"/>
      <c r="AL286" s="786"/>
      <c r="AM286" s="786"/>
    </row>
    <row r="287" spans="37:39">
      <c r="AK287" s="786"/>
      <c r="AL287" s="786"/>
      <c r="AM287" s="786"/>
    </row>
    <row r="288" spans="37:39">
      <c r="AK288" s="786"/>
      <c r="AL288" s="786"/>
      <c r="AM288" s="786"/>
    </row>
    <row r="289" spans="37:39">
      <c r="AK289" s="786"/>
      <c r="AL289" s="786"/>
      <c r="AM289" s="786"/>
    </row>
    <row r="290" spans="37:39">
      <c r="AK290" s="786"/>
      <c r="AL290" s="786"/>
      <c r="AM290" s="786"/>
    </row>
    <row r="291" spans="37:39">
      <c r="AK291" s="786"/>
      <c r="AL291" s="786"/>
      <c r="AM291" s="786"/>
    </row>
    <row r="292" spans="37:39">
      <c r="AK292" s="786"/>
      <c r="AL292" s="786"/>
      <c r="AM292" s="786"/>
    </row>
    <row r="293" spans="37:39">
      <c r="AK293" s="786"/>
      <c r="AL293" s="786"/>
      <c r="AM293" s="786"/>
    </row>
    <row r="294" spans="37:39">
      <c r="AK294" s="786"/>
      <c r="AL294" s="786"/>
      <c r="AM294" s="786"/>
    </row>
    <row r="295" spans="37:39">
      <c r="AK295" s="786"/>
      <c r="AL295" s="786"/>
      <c r="AM295" s="786"/>
    </row>
    <row r="296" spans="37:39">
      <c r="AK296" s="786"/>
      <c r="AL296" s="786"/>
      <c r="AM296" s="786"/>
    </row>
    <row r="297" spans="37:39">
      <c r="AK297" s="786"/>
      <c r="AL297" s="786"/>
      <c r="AM297" s="786"/>
    </row>
    <row r="298" spans="37:39">
      <c r="AK298" s="786"/>
      <c r="AL298" s="786"/>
      <c r="AM298" s="786"/>
    </row>
    <row r="299" spans="37:39">
      <c r="AK299" s="786"/>
      <c r="AL299" s="786"/>
      <c r="AM299" s="786"/>
    </row>
    <row r="300" spans="37:39">
      <c r="AK300" s="786"/>
      <c r="AL300" s="786"/>
      <c r="AM300" s="786"/>
    </row>
    <row r="301" spans="37:39">
      <c r="AK301" s="786"/>
      <c r="AL301" s="786"/>
      <c r="AM301" s="786"/>
    </row>
    <row r="302" spans="37:39">
      <c r="AK302" s="786"/>
      <c r="AL302" s="786"/>
      <c r="AM302" s="786"/>
    </row>
    <row r="303" spans="37:39">
      <c r="AK303" s="786"/>
      <c r="AL303" s="786"/>
      <c r="AM303" s="786"/>
    </row>
    <row r="304" spans="37:39">
      <c r="AK304" s="786"/>
      <c r="AL304" s="786"/>
      <c r="AM304" s="786"/>
    </row>
    <row r="305" spans="37:39">
      <c r="AK305" s="786"/>
      <c r="AL305" s="786"/>
      <c r="AM305" s="786"/>
    </row>
    <row r="306" spans="37:39">
      <c r="AK306" s="786"/>
      <c r="AL306" s="786"/>
      <c r="AM306" s="786"/>
    </row>
    <row r="307" spans="37:39">
      <c r="AK307" s="786"/>
      <c r="AL307" s="786"/>
      <c r="AM307" s="786"/>
    </row>
    <row r="308" spans="37:39">
      <c r="AK308" s="786"/>
      <c r="AL308" s="786"/>
      <c r="AM308" s="786"/>
    </row>
    <row r="309" spans="37:39">
      <c r="AK309" s="786"/>
      <c r="AL309" s="786"/>
      <c r="AM309" s="786"/>
    </row>
    <row r="310" spans="37:39">
      <c r="AK310" s="786"/>
      <c r="AL310" s="786"/>
      <c r="AM310" s="786"/>
    </row>
    <row r="311" spans="37:39">
      <c r="AK311" s="786"/>
      <c r="AL311" s="786"/>
      <c r="AM311" s="786"/>
    </row>
    <row r="312" spans="37:39">
      <c r="AK312" s="786"/>
      <c r="AL312" s="786"/>
      <c r="AM312" s="786"/>
    </row>
    <row r="313" spans="37:39">
      <c r="AK313" s="786"/>
      <c r="AL313" s="786"/>
      <c r="AM313" s="786"/>
    </row>
    <row r="314" spans="37:39">
      <c r="AK314" s="786"/>
      <c r="AL314" s="786"/>
      <c r="AM314" s="786"/>
    </row>
    <row r="315" spans="37:39">
      <c r="AK315" s="786"/>
      <c r="AL315" s="786"/>
      <c r="AM315" s="786"/>
    </row>
    <row r="316" spans="37:39">
      <c r="AK316" s="786"/>
      <c r="AL316" s="786"/>
      <c r="AM316" s="786"/>
    </row>
    <row r="317" spans="37:39">
      <c r="AK317" s="786"/>
      <c r="AL317" s="786"/>
      <c r="AM317" s="786"/>
    </row>
    <row r="318" spans="37:39">
      <c r="AK318" s="786"/>
      <c r="AL318" s="786"/>
      <c r="AM318" s="786"/>
    </row>
    <row r="319" spans="37:39">
      <c r="AK319" s="786"/>
      <c r="AL319" s="786"/>
      <c r="AM319" s="786"/>
    </row>
    <row r="320" spans="37:39">
      <c r="AK320" s="786"/>
      <c r="AL320" s="786"/>
      <c r="AM320" s="786"/>
    </row>
    <row r="321" spans="37:39">
      <c r="AK321" s="786"/>
      <c r="AL321" s="786"/>
      <c r="AM321" s="786"/>
    </row>
    <row r="322" spans="37:39">
      <c r="AK322" s="786"/>
      <c r="AL322" s="786"/>
      <c r="AM322" s="786"/>
    </row>
    <row r="323" spans="37:39">
      <c r="AK323" s="786"/>
      <c r="AL323" s="786"/>
      <c r="AM323" s="786"/>
    </row>
    <row r="324" spans="37:39">
      <c r="AK324" s="786"/>
      <c r="AL324" s="786"/>
      <c r="AM324" s="786"/>
    </row>
    <row r="325" spans="37:39">
      <c r="AK325" s="786"/>
      <c r="AL325" s="786"/>
      <c r="AM325" s="786"/>
    </row>
    <row r="326" spans="37:39">
      <c r="AK326" s="786"/>
      <c r="AL326" s="786"/>
      <c r="AM326" s="786"/>
    </row>
    <row r="327" spans="37:39">
      <c r="AK327" s="786"/>
      <c r="AL327" s="786"/>
      <c r="AM327" s="786"/>
    </row>
    <row r="328" spans="37:39">
      <c r="AK328" s="786"/>
      <c r="AL328" s="786"/>
      <c r="AM328" s="786"/>
    </row>
    <row r="329" spans="37:39">
      <c r="AK329" s="786"/>
      <c r="AL329" s="786"/>
      <c r="AM329" s="786"/>
    </row>
    <row r="330" spans="37:39">
      <c r="AK330" s="786"/>
      <c r="AL330" s="786"/>
      <c r="AM330" s="786"/>
    </row>
    <row r="331" spans="37:39">
      <c r="AK331" s="786"/>
      <c r="AL331" s="786"/>
      <c r="AM331" s="786"/>
    </row>
    <row r="332" spans="37:39">
      <c r="AK332" s="786"/>
      <c r="AL332" s="786"/>
      <c r="AM332" s="786"/>
    </row>
    <row r="333" spans="37:39">
      <c r="AK333" s="786"/>
      <c r="AL333" s="786"/>
      <c r="AM333" s="786"/>
    </row>
    <row r="334" spans="37:39">
      <c r="AK334" s="786"/>
      <c r="AL334" s="786"/>
      <c r="AM334" s="786"/>
    </row>
    <row r="335" spans="37:39">
      <c r="AK335" s="786"/>
      <c r="AL335" s="786"/>
      <c r="AM335" s="786"/>
    </row>
    <row r="336" spans="37:39">
      <c r="AK336" s="786"/>
      <c r="AL336" s="786"/>
      <c r="AM336" s="786"/>
    </row>
    <row r="337" spans="37:39">
      <c r="AK337" s="786"/>
      <c r="AL337" s="786"/>
      <c r="AM337" s="786"/>
    </row>
    <row r="338" spans="37:39">
      <c r="AK338" s="786"/>
      <c r="AL338" s="786"/>
      <c r="AM338" s="786"/>
    </row>
    <row r="339" spans="37:39">
      <c r="AK339" s="786"/>
      <c r="AL339" s="786"/>
      <c r="AM339" s="786"/>
    </row>
    <row r="340" spans="37:39">
      <c r="AK340" s="786"/>
      <c r="AL340" s="786"/>
      <c r="AM340" s="786"/>
    </row>
    <row r="341" spans="37:39">
      <c r="AK341" s="786"/>
      <c r="AL341" s="786"/>
      <c r="AM341" s="786"/>
    </row>
    <row r="342" spans="37:39">
      <c r="AK342" s="786"/>
      <c r="AL342" s="786"/>
      <c r="AM342" s="786"/>
    </row>
    <row r="343" spans="37:39">
      <c r="AK343" s="786"/>
      <c r="AL343" s="786"/>
      <c r="AM343" s="786"/>
    </row>
    <row r="344" spans="37:39">
      <c r="AK344" s="786"/>
      <c r="AL344" s="786"/>
      <c r="AM344" s="786"/>
    </row>
    <row r="345" spans="37:39">
      <c r="AK345" s="786"/>
      <c r="AL345" s="786"/>
      <c r="AM345" s="786"/>
    </row>
    <row r="346" spans="37:39">
      <c r="AK346" s="786"/>
      <c r="AL346" s="786"/>
      <c r="AM346" s="786"/>
    </row>
    <row r="347" spans="37:39">
      <c r="AK347" s="786"/>
      <c r="AL347" s="786"/>
      <c r="AM347" s="786"/>
    </row>
    <row r="348" spans="37:39">
      <c r="AK348" s="786"/>
      <c r="AL348" s="786"/>
      <c r="AM348" s="786"/>
    </row>
    <row r="349" spans="37:39">
      <c r="AK349" s="786"/>
      <c r="AL349" s="786"/>
      <c r="AM349" s="786"/>
    </row>
    <row r="350" spans="37:39">
      <c r="AK350" s="786"/>
      <c r="AL350" s="786"/>
      <c r="AM350" s="786"/>
    </row>
    <row r="351" spans="37:39">
      <c r="AK351" s="786"/>
      <c r="AL351" s="786"/>
      <c r="AM351" s="786"/>
    </row>
    <row r="352" spans="37:39">
      <c r="AK352" s="786"/>
      <c r="AL352" s="786"/>
      <c r="AM352" s="786"/>
    </row>
    <row r="353" spans="37:39">
      <c r="AK353" s="786"/>
      <c r="AL353" s="786"/>
      <c r="AM353" s="786"/>
    </row>
    <row r="354" spans="37:39">
      <c r="AK354" s="786"/>
      <c r="AL354" s="786"/>
      <c r="AM354" s="786"/>
    </row>
    <row r="355" spans="37:39">
      <c r="AK355" s="786"/>
      <c r="AL355" s="786"/>
      <c r="AM355" s="786"/>
    </row>
    <row r="356" spans="37:39">
      <c r="AK356" s="786"/>
      <c r="AL356" s="786"/>
      <c r="AM356" s="786"/>
    </row>
    <row r="357" spans="37:39">
      <c r="AK357" s="786"/>
      <c r="AL357" s="786"/>
      <c r="AM357" s="786"/>
    </row>
    <row r="358" spans="37:39">
      <c r="AK358" s="786"/>
      <c r="AL358" s="786"/>
      <c r="AM358" s="786"/>
    </row>
    <row r="359" spans="37:39">
      <c r="AK359" s="786"/>
      <c r="AL359" s="786"/>
      <c r="AM359" s="786"/>
    </row>
    <row r="360" spans="37:39">
      <c r="AK360" s="786"/>
      <c r="AL360" s="786"/>
      <c r="AM360" s="786"/>
    </row>
    <row r="361" spans="37:39">
      <c r="AK361" s="786"/>
      <c r="AL361" s="786"/>
      <c r="AM361" s="786"/>
    </row>
    <row r="362" spans="37:39">
      <c r="AK362" s="786"/>
      <c r="AL362" s="786"/>
      <c r="AM362" s="786"/>
    </row>
    <row r="363" spans="37:39">
      <c r="AK363" s="786"/>
      <c r="AL363" s="786"/>
      <c r="AM363" s="786"/>
    </row>
    <row r="364" spans="37:39">
      <c r="AK364" s="786"/>
      <c r="AL364" s="786"/>
      <c r="AM364" s="786"/>
    </row>
    <row r="365" spans="37:39">
      <c r="AK365" s="786"/>
      <c r="AL365" s="786"/>
      <c r="AM365" s="786"/>
    </row>
    <row r="366" spans="37:39">
      <c r="AK366" s="786"/>
      <c r="AL366" s="786"/>
      <c r="AM366" s="786"/>
    </row>
    <row r="367" spans="37:39">
      <c r="AK367" s="786"/>
      <c r="AL367" s="786"/>
      <c r="AM367" s="786"/>
    </row>
    <row r="368" spans="37:39">
      <c r="AK368" s="786"/>
      <c r="AL368" s="786"/>
      <c r="AM368" s="786"/>
    </row>
    <row r="369" spans="37:39">
      <c r="AK369" s="786"/>
      <c r="AL369" s="786"/>
      <c r="AM369" s="786"/>
    </row>
    <row r="370" spans="37:39">
      <c r="AK370" s="786"/>
      <c r="AL370" s="786"/>
      <c r="AM370" s="786"/>
    </row>
    <row r="371" spans="37:39">
      <c r="AK371" s="786"/>
      <c r="AL371" s="786"/>
      <c r="AM371" s="786"/>
    </row>
    <row r="372" spans="37:39">
      <c r="AK372" s="786"/>
      <c r="AL372" s="786"/>
      <c r="AM372" s="786"/>
    </row>
    <row r="373" spans="37:39">
      <c r="AK373" s="786"/>
      <c r="AL373" s="786"/>
      <c r="AM373" s="786"/>
    </row>
    <row r="374" spans="37:39">
      <c r="AK374" s="786"/>
      <c r="AL374" s="786"/>
      <c r="AM374" s="786"/>
    </row>
    <row r="375" spans="37:39">
      <c r="AK375" s="786"/>
      <c r="AL375" s="786"/>
      <c r="AM375" s="786"/>
    </row>
    <row r="376" spans="37:39">
      <c r="AK376" s="786"/>
      <c r="AL376" s="786"/>
      <c r="AM376" s="786"/>
    </row>
    <row r="377" spans="37:39">
      <c r="AK377" s="786"/>
      <c r="AL377" s="786"/>
      <c r="AM377" s="786"/>
    </row>
    <row r="378" spans="37:39">
      <c r="AK378" s="786"/>
      <c r="AL378" s="786"/>
      <c r="AM378" s="786"/>
    </row>
    <row r="379" spans="37:39">
      <c r="AK379" s="786"/>
      <c r="AL379" s="786"/>
      <c r="AM379" s="786"/>
    </row>
    <row r="380" spans="37:39">
      <c r="AK380" s="786"/>
      <c r="AL380" s="786"/>
      <c r="AM380" s="786"/>
    </row>
    <row r="381" spans="37:39">
      <c r="AK381" s="786"/>
      <c r="AL381" s="786"/>
      <c r="AM381" s="786"/>
    </row>
    <row r="382" spans="37:39">
      <c r="AK382" s="786"/>
      <c r="AL382" s="786"/>
      <c r="AM382" s="786"/>
    </row>
    <row r="383" spans="37:39">
      <c r="AK383" s="786"/>
      <c r="AL383" s="786"/>
      <c r="AM383" s="786"/>
    </row>
    <row r="384" spans="37:39">
      <c r="AK384" s="786"/>
      <c r="AL384" s="786"/>
      <c r="AM384" s="786"/>
    </row>
    <row r="385" spans="37:39">
      <c r="AK385" s="786"/>
      <c r="AL385" s="786"/>
      <c r="AM385" s="786"/>
    </row>
    <row r="386" spans="37:39">
      <c r="AK386" s="786"/>
      <c r="AL386" s="786"/>
      <c r="AM386" s="786"/>
    </row>
    <row r="387" spans="37:39">
      <c r="AK387" s="786"/>
      <c r="AL387" s="786"/>
      <c r="AM387" s="786"/>
    </row>
    <row r="388" spans="37:39">
      <c r="AK388" s="786"/>
      <c r="AL388" s="786"/>
      <c r="AM388" s="786"/>
    </row>
    <row r="389" spans="37:39">
      <c r="AK389" s="786"/>
      <c r="AL389" s="786"/>
      <c r="AM389" s="786"/>
    </row>
    <row r="390" spans="37:39">
      <c r="AK390" s="786"/>
      <c r="AL390" s="786"/>
      <c r="AM390" s="786"/>
    </row>
    <row r="391" spans="37:39">
      <c r="AK391" s="786"/>
      <c r="AL391" s="786"/>
      <c r="AM391" s="786"/>
    </row>
    <row r="392" spans="37:39">
      <c r="AK392" s="786"/>
      <c r="AL392" s="786"/>
      <c r="AM392" s="786"/>
    </row>
    <row r="393" spans="37:39">
      <c r="AK393" s="786"/>
      <c r="AL393" s="786"/>
      <c r="AM393" s="786"/>
    </row>
    <row r="394" spans="37:39">
      <c r="AK394" s="786"/>
      <c r="AL394" s="786"/>
      <c r="AM394" s="786"/>
    </row>
    <row r="395" spans="37:39">
      <c r="AK395" s="786"/>
      <c r="AL395" s="786"/>
      <c r="AM395" s="786"/>
    </row>
    <row r="396" spans="37:39">
      <c r="AK396" s="786"/>
      <c r="AL396" s="786"/>
      <c r="AM396" s="786"/>
    </row>
    <row r="397" spans="37:39">
      <c r="AK397" s="786"/>
      <c r="AL397" s="786"/>
      <c r="AM397" s="786"/>
    </row>
    <row r="398" spans="37:39">
      <c r="AK398" s="786"/>
      <c r="AL398" s="786"/>
      <c r="AM398" s="786"/>
    </row>
    <row r="399" spans="37:39">
      <c r="AK399" s="786"/>
      <c r="AL399" s="786"/>
      <c r="AM399" s="786"/>
    </row>
    <row r="400" spans="37:39">
      <c r="AK400" s="786"/>
      <c r="AL400" s="786"/>
      <c r="AM400" s="786"/>
    </row>
    <row r="401" spans="37:39">
      <c r="AK401" s="786"/>
      <c r="AL401" s="786"/>
      <c r="AM401" s="786"/>
    </row>
    <row r="402" spans="37:39">
      <c r="AK402" s="786"/>
      <c r="AL402" s="786"/>
      <c r="AM402" s="786"/>
    </row>
    <row r="403" spans="37:39">
      <c r="AK403" s="786"/>
      <c r="AL403" s="786"/>
      <c r="AM403" s="786"/>
    </row>
    <row r="404" spans="37:39">
      <c r="AK404" s="786"/>
      <c r="AL404" s="786"/>
      <c r="AM404" s="786"/>
    </row>
    <row r="405" spans="37:39">
      <c r="AK405" s="786"/>
      <c r="AL405" s="786"/>
      <c r="AM405" s="786"/>
    </row>
    <row r="406" spans="37:39">
      <c r="AK406" s="786"/>
      <c r="AL406" s="786"/>
      <c r="AM406" s="786"/>
    </row>
    <row r="407" spans="37:39">
      <c r="AK407" s="786"/>
      <c r="AL407" s="786"/>
      <c r="AM407" s="786"/>
    </row>
    <row r="408" spans="37:39">
      <c r="AK408" s="786"/>
      <c r="AL408" s="786"/>
      <c r="AM408" s="786"/>
    </row>
    <row r="409" spans="37:39">
      <c r="AK409" s="786"/>
      <c r="AL409" s="786"/>
      <c r="AM409" s="786"/>
    </row>
    <row r="410" spans="37:39">
      <c r="AK410" s="786"/>
      <c r="AL410" s="786"/>
      <c r="AM410" s="786"/>
    </row>
    <row r="411" spans="37:39">
      <c r="AK411" s="786"/>
      <c r="AL411" s="786"/>
      <c r="AM411" s="786"/>
    </row>
    <row r="412" spans="37:39">
      <c r="AK412" s="786"/>
      <c r="AL412" s="786"/>
      <c r="AM412" s="786"/>
    </row>
    <row r="413" spans="37:39">
      <c r="AK413" s="786"/>
      <c r="AL413" s="786"/>
      <c r="AM413" s="786"/>
    </row>
    <row r="414" spans="37:39">
      <c r="AK414" s="786"/>
      <c r="AL414" s="786"/>
      <c r="AM414" s="786"/>
    </row>
    <row r="415" spans="37:39">
      <c r="AK415" s="786"/>
      <c r="AL415" s="786"/>
      <c r="AM415" s="786"/>
    </row>
    <row r="416" spans="37:39">
      <c r="AK416" s="786"/>
      <c r="AL416" s="786"/>
      <c r="AM416" s="786"/>
    </row>
    <row r="417" spans="37:39">
      <c r="AK417" s="786"/>
      <c r="AL417" s="786"/>
      <c r="AM417" s="786"/>
    </row>
    <row r="418" spans="37:39">
      <c r="AK418" s="786"/>
      <c r="AL418" s="786"/>
      <c r="AM418" s="786"/>
    </row>
    <row r="419" spans="37:39">
      <c r="AK419" s="786"/>
      <c r="AL419" s="786"/>
      <c r="AM419" s="786"/>
    </row>
    <row r="420" spans="37:39">
      <c r="AK420" s="786"/>
      <c r="AL420" s="786"/>
      <c r="AM420" s="786"/>
    </row>
    <row r="421" spans="37:39">
      <c r="AK421" s="786"/>
      <c r="AL421" s="786"/>
      <c r="AM421" s="786"/>
    </row>
    <row r="422" spans="37:39">
      <c r="AK422" s="786"/>
      <c r="AL422" s="786"/>
      <c r="AM422" s="786"/>
    </row>
    <row r="423" spans="37:39">
      <c r="AK423" s="786"/>
      <c r="AL423" s="786"/>
      <c r="AM423" s="786"/>
    </row>
    <row r="424" spans="37:39">
      <c r="AK424" s="786"/>
      <c r="AL424" s="786"/>
      <c r="AM424" s="786"/>
    </row>
    <row r="425" spans="37:39">
      <c r="AK425" s="786"/>
      <c r="AL425" s="786"/>
      <c r="AM425" s="786"/>
    </row>
    <row r="426" spans="37:39">
      <c r="AK426" s="786"/>
      <c r="AL426" s="786"/>
      <c r="AM426" s="786"/>
    </row>
    <row r="427" spans="37:39">
      <c r="AK427" s="786"/>
      <c r="AL427" s="786"/>
      <c r="AM427" s="786"/>
    </row>
    <row r="428" spans="37:39">
      <c r="AK428" s="786"/>
      <c r="AL428" s="786"/>
      <c r="AM428" s="786"/>
    </row>
    <row r="429" spans="37:39">
      <c r="AK429" s="786"/>
      <c r="AM429" s="786"/>
    </row>
    <row r="430" spans="37:39">
      <c r="AK430" s="786"/>
      <c r="AM430" s="786"/>
    </row>
    <row r="431" spans="37:39">
      <c r="AK431" s="786"/>
      <c r="AM431" s="786"/>
    </row>
    <row r="432" spans="37:39">
      <c r="AK432" s="786"/>
      <c r="AM432" s="786"/>
    </row>
    <row r="433" spans="37:39">
      <c r="AK433" s="786"/>
      <c r="AM433" s="786"/>
    </row>
    <row r="434" spans="37:39">
      <c r="AK434" s="786"/>
      <c r="AM434" s="786"/>
    </row>
    <row r="435" spans="37:39">
      <c r="AK435" s="786"/>
      <c r="AM435" s="786"/>
    </row>
    <row r="436" spans="37:39">
      <c r="AK436" s="786"/>
      <c r="AM436" s="786"/>
    </row>
    <row r="437" spans="37:39">
      <c r="AK437" s="786"/>
      <c r="AM437" s="786"/>
    </row>
    <row r="438" spans="37:39">
      <c r="AK438" s="786"/>
      <c r="AM438" s="786"/>
    </row>
    <row r="439" spans="37:39">
      <c r="AK439" s="786"/>
      <c r="AM439" s="786"/>
    </row>
    <row r="440" spans="37:39">
      <c r="AK440" s="786"/>
      <c r="AM440" s="786"/>
    </row>
    <row r="441" spans="37:39">
      <c r="AK441" s="786"/>
      <c r="AM441" s="786"/>
    </row>
    <row r="442" spans="37:39">
      <c r="AK442" s="786"/>
      <c r="AM442" s="786"/>
    </row>
    <row r="443" spans="37:39">
      <c r="AK443" s="786"/>
      <c r="AM443" s="786"/>
    </row>
    <row r="444" spans="37:39">
      <c r="AK444" s="786"/>
      <c r="AM444" s="786"/>
    </row>
    <row r="445" spans="37:39">
      <c r="AK445" s="786"/>
      <c r="AM445" s="786"/>
    </row>
    <row r="446" spans="37:39">
      <c r="AK446" s="786"/>
      <c r="AM446" s="786"/>
    </row>
    <row r="447" spans="37:39">
      <c r="AK447" s="786"/>
      <c r="AM447" s="786"/>
    </row>
    <row r="448" spans="37:39">
      <c r="AK448" s="786"/>
      <c r="AM448" s="786"/>
    </row>
    <row r="449" spans="37:39">
      <c r="AK449" s="786"/>
      <c r="AM449" s="786"/>
    </row>
    <row r="450" spans="37:39">
      <c r="AK450" s="786"/>
      <c r="AM450" s="786"/>
    </row>
    <row r="451" spans="37:39">
      <c r="AK451" s="786"/>
      <c r="AM451" s="786"/>
    </row>
    <row r="452" spans="37:39">
      <c r="AK452" s="786"/>
      <c r="AM452" s="786"/>
    </row>
    <row r="453" spans="37:39">
      <c r="AK453" s="786"/>
      <c r="AM453" s="786"/>
    </row>
    <row r="454" spans="37:39">
      <c r="AK454" s="786"/>
      <c r="AM454" s="786"/>
    </row>
    <row r="455" spans="37:39">
      <c r="AK455" s="786"/>
      <c r="AM455" s="786"/>
    </row>
    <row r="456" spans="37:39">
      <c r="AK456" s="786"/>
      <c r="AM456" s="786"/>
    </row>
    <row r="457" spans="37:39">
      <c r="AK457" s="786"/>
      <c r="AM457" s="786"/>
    </row>
    <row r="458" spans="37:39">
      <c r="AK458" s="786"/>
      <c r="AM458" s="786"/>
    </row>
    <row r="459" spans="37:39">
      <c r="AK459" s="786"/>
      <c r="AM459" s="786"/>
    </row>
    <row r="460" spans="37:39">
      <c r="AK460" s="786"/>
      <c r="AM460" s="786"/>
    </row>
    <row r="461" spans="37:39">
      <c r="AK461" s="786"/>
      <c r="AM461" s="786"/>
    </row>
    <row r="462" spans="37:39">
      <c r="AK462" s="786"/>
      <c r="AM462" s="786"/>
    </row>
    <row r="463" spans="37:39">
      <c r="AK463" s="786"/>
      <c r="AM463" s="786"/>
    </row>
    <row r="464" spans="37:39">
      <c r="AK464" s="786"/>
      <c r="AM464" s="786"/>
    </row>
    <row r="465" spans="37:39">
      <c r="AK465" s="786"/>
      <c r="AM465" s="786"/>
    </row>
    <row r="466" spans="37:39">
      <c r="AK466" s="786"/>
      <c r="AM466" s="786"/>
    </row>
    <row r="467" spans="37:39">
      <c r="AK467" s="786"/>
      <c r="AM467" s="786"/>
    </row>
    <row r="468" spans="37:39">
      <c r="AK468" s="786"/>
      <c r="AM468" s="786"/>
    </row>
    <row r="469" spans="37:39">
      <c r="AK469" s="786"/>
      <c r="AM469" s="786"/>
    </row>
    <row r="470" spans="37:39">
      <c r="AK470" s="786"/>
      <c r="AM470" s="786"/>
    </row>
    <row r="471" spans="37:39">
      <c r="AK471" s="786"/>
      <c r="AM471" s="786"/>
    </row>
    <row r="472" spans="37:39">
      <c r="AK472" s="786"/>
      <c r="AM472" s="786"/>
    </row>
    <row r="473" spans="37:39">
      <c r="AK473" s="786"/>
      <c r="AM473" s="786"/>
    </row>
    <row r="474" spans="37:39">
      <c r="AK474" s="786"/>
      <c r="AM474" s="786"/>
    </row>
    <row r="475" spans="37:39">
      <c r="AK475" s="786"/>
      <c r="AM475" s="786"/>
    </row>
    <row r="476" spans="37:39">
      <c r="AK476" s="786"/>
      <c r="AM476" s="786"/>
    </row>
    <row r="477" spans="37:39">
      <c r="AK477" s="786"/>
      <c r="AM477" s="786"/>
    </row>
    <row r="478" spans="37:39">
      <c r="AK478" s="786"/>
      <c r="AM478" s="786"/>
    </row>
    <row r="479" spans="37:39">
      <c r="AK479" s="786"/>
      <c r="AM479" s="786"/>
    </row>
    <row r="480" spans="37:39">
      <c r="AK480" s="786"/>
      <c r="AM480" s="786"/>
    </row>
    <row r="481" spans="37:39">
      <c r="AK481" s="786"/>
      <c r="AM481" s="786"/>
    </row>
    <row r="482" spans="37:39">
      <c r="AK482" s="786"/>
      <c r="AM482" s="786"/>
    </row>
    <row r="483" spans="37:39">
      <c r="AK483" s="786"/>
      <c r="AM483" s="786"/>
    </row>
    <row r="484" spans="37:39">
      <c r="AK484" s="786"/>
      <c r="AM484" s="786"/>
    </row>
    <row r="485" spans="37:39">
      <c r="AK485" s="786"/>
      <c r="AM485" s="786"/>
    </row>
    <row r="486" spans="37:39">
      <c r="AK486" s="786"/>
      <c r="AM486" s="786"/>
    </row>
    <row r="487" spans="37:39">
      <c r="AK487" s="786"/>
      <c r="AM487" s="786"/>
    </row>
    <row r="488" spans="37:39">
      <c r="AK488" s="786"/>
      <c r="AM488" s="786"/>
    </row>
    <row r="489" spans="37:39">
      <c r="AK489" s="786"/>
      <c r="AM489" s="786"/>
    </row>
    <row r="490" spans="37:39">
      <c r="AK490" s="786"/>
      <c r="AM490" s="786"/>
    </row>
    <row r="491" spans="37:39">
      <c r="AK491" s="786"/>
      <c r="AM491" s="786"/>
    </row>
    <row r="492" spans="37:39">
      <c r="AK492" s="786"/>
      <c r="AM492" s="786"/>
    </row>
    <row r="493" spans="37:39">
      <c r="AK493" s="786"/>
      <c r="AM493" s="786"/>
    </row>
    <row r="494" spans="37:39">
      <c r="AK494" s="786"/>
      <c r="AM494" s="786"/>
    </row>
    <row r="495" spans="37:39">
      <c r="AK495" s="786"/>
      <c r="AM495" s="786"/>
    </row>
    <row r="496" spans="37:39">
      <c r="AK496" s="786"/>
      <c r="AM496" s="786"/>
    </row>
    <row r="497" spans="37:39">
      <c r="AK497" s="786"/>
      <c r="AM497" s="786"/>
    </row>
    <row r="498" spans="37:39">
      <c r="AK498" s="786"/>
      <c r="AM498" s="786"/>
    </row>
    <row r="499" spans="37:39">
      <c r="AK499" s="786"/>
      <c r="AM499" s="786"/>
    </row>
    <row r="500" spans="37:39">
      <c r="AK500" s="786"/>
      <c r="AM500" s="786"/>
    </row>
    <row r="501" spans="37:39">
      <c r="AK501" s="786"/>
      <c r="AM501" s="786"/>
    </row>
    <row r="502" spans="37:39">
      <c r="AK502" s="786"/>
      <c r="AM502" s="786"/>
    </row>
    <row r="503" spans="37:39">
      <c r="AK503" s="786"/>
      <c r="AM503" s="786"/>
    </row>
    <row r="504" spans="37:39">
      <c r="AK504" s="786"/>
      <c r="AM504" s="786"/>
    </row>
    <row r="505" spans="37:39">
      <c r="AK505" s="786"/>
      <c r="AM505" s="786"/>
    </row>
    <row r="506" spans="37:39">
      <c r="AK506" s="786"/>
      <c r="AM506" s="786"/>
    </row>
    <row r="507" spans="37:39">
      <c r="AK507" s="786"/>
      <c r="AM507" s="786"/>
    </row>
    <row r="508" spans="37:39">
      <c r="AK508" s="786"/>
      <c r="AM508" s="786"/>
    </row>
    <row r="509" spans="37:39">
      <c r="AK509" s="786"/>
      <c r="AM509" s="786"/>
    </row>
    <row r="510" spans="37:39">
      <c r="AK510" s="786"/>
      <c r="AM510" s="786"/>
    </row>
    <row r="511" spans="37:39">
      <c r="AK511" s="786"/>
      <c r="AM511" s="786"/>
    </row>
    <row r="512" spans="37:39">
      <c r="AK512" s="786"/>
      <c r="AM512" s="786"/>
    </row>
    <row r="513" spans="37:39">
      <c r="AK513" s="786"/>
      <c r="AM513" s="786"/>
    </row>
    <row r="514" spans="37:39">
      <c r="AK514" s="786"/>
      <c r="AM514" s="786"/>
    </row>
    <row r="515" spans="37:39">
      <c r="AK515" s="786"/>
      <c r="AM515" s="786"/>
    </row>
    <row r="516" spans="37:39">
      <c r="AK516" s="786"/>
      <c r="AM516" s="786"/>
    </row>
    <row r="517" spans="37:39">
      <c r="AK517" s="786"/>
      <c r="AM517" s="786"/>
    </row>
    <row r="518" spans="37:39">
      <c r="AK518" s="786"/>
      <c r="AM518" s="786"/>
    </row>
    <row r="519" spans="37:39">
      <c r="AK519" s="786"/>
      <c r="AM519" s="786"/>
    </row>
    <row r="520" spans="37:39">
      <c r="AK520" s="786"/>
      <c r="AM520" s="786"/>
    </row>
    <row r="521" spans="37:39">
      <c r="AK521" s="786"/>
      <c r="AM521" s="786"/>
    </row>
    <row r="522" spans="37:39">
      <c r="AK522" s="786"/>
      <c r="AM522" s="786"/>
    </row>
    <row r="523" spans="37:39">
      <c r="AK523" s="786"/>
      <c r="AM523" s="786"/>
    </row>
    <row r="524" spans="37:39">
      <c r="AK524" s="786"/>
      <c r="AM524" s="786"/>
    </row>
    <row r="525" spans="37:39">
      <c r="AK525" s="786"/>
      <c r="AM525" s="786"/>
    </row>
    <row r="526" spans="37:39">
      <c r="AK526" s="786"/>
      <c r="AM526" s="786"/>
    </row>
    <row r="527" spans="37:39">
      <c r="AK527" s="786"/>
      <c r="AM527" s="786"/>
    </row>
    <row r="528" spans="37:39">
      <c r="AK528" s="786"/>
      <c r="AM528" s="786"/>
    </row>
    <row r="529" spans="37:39">
      <c r="AK529" s="786"/>
      <c r="AM529" s="786"/>
    </row>
    <row r="530" spans="37:39">
      <c r="AK530" s="786"/>
      <c r="AM530" s="786"/>
    </row>
    <row r="531" spans="37:39">
      <c r="AK531" s="786"/>
      <c r="AM531" s="786"/>
    </row>
    <row r="532" spans="37:39">
      <c r="AK532" s="786"/>
      <c r="AM532" s="786"/>
    </row>
    <row r="533" spans="37:39">
      <c r="AK533" s="786"/>
      <c r="AM533" s="786"/>
    </row>
    <row r="534" spans="37:39">
      <c r="AK534" s="786"/>
      <c r="AM534" s="786"/>
    </row>
    <row r="535" spans="37:39">
      <c r="AK535" s="786"/>
      <c r="AM535" s="786"/>
    </row>
    <row r="536" spans="37:39">
      <c r="AK536" s="786"/>
      <c r="AM536" s="786"/>
    </row>
    <row r="537" spans="37:39">
      <c r="AK537" s="786"/>
      <c r="AM537" s="786"/>
    </row>
    <row r="538" spans="37:39">
      <c r="AK538" s="786"/>
      <c r="AM538" s="786"/>
    </row>
    <row r="539" spans="37:39">
      <c r="AK539" s="786"/>
      <c r="AM539" s="786"/>
    </row>
    <row r="540" spans="37:39">
      <c r="AK540" s="786"/>
      <c r="AM540" s="786"/>
    </row>
    <row r="541" spans="37:39">
      <c r="AK541" s="786"/>
      <c r="AM541" s="786"/>
    </row>
    <row r="542" spans="37:39">
      <c r="AK542" s="786"/>
      <c r="AM542" s="786"/>
    </row>
    <row r="543" spans="37:39">
      <c r="AK543" s="786"/>
      <c r="AM543" s="786"/>
    </row>
    <row r="544" spans="37:39">
      <c r="AK544" s="786"/>
      <c r="AM544" s="786"/>
    </row>
    <row r="545" spans="37:39">
      <c r="AK545" s="786"/>
      <c r="AM545" s="786"/>
    </row>
    <row r="546" spans="37:39">
      <c r="AK546" s="786"/>
      <c r="AM546" s="786"/>
    </row>
    <row r="547" spans="37:39">
      <c r="AK547" s="786"/>
      <c r="AM547" s="786"/>
    </row>
    <row r="548" spans="37:39">
      <c r="AK548" s="786"/>
      <c r="AM548" s="786"/>
    </row>
    <row r="549" spans="37:39">
      <c r="AK549" s="786"/>
      <c r="AM549" s="786"/>
    </row>
    <row r="550" spans="37:39">
      <c r="AK550" s="786"/>
      <c r="AM550" s="786"/>
    </row>
    <row r="551" spans="37:39">
      <c r="AK551" s="786"/>
      <c r="AM551" s="786"/>
    </row>
    <row r="552" spans="37:39">
      <c r="AK552" s="786"/>
      <c r="AM552" s="786"/>
    </row>
    <row r="553" spans="37:39">
      <c r="AK553" s="786"/>
      <c r="AM553" s="786"/>
    </row>
    <row r="554" spans="37:39">
      <c r="AK554" s="786"/>
      <c r="AM554" s="786"/>
    </row>
    <row r="555" spans="37:39">
      <c r="AK555" s="786"/>
      <c r="AM555" s="786"/>
    </row>
    <row r="556" spans="37:39">
      <c r="AK556" s="786"/>
      <c r="AM556" s="786"/>
    </row>
    <row r="557" spans="37:39">
      <c r="AK557" s="786"/>
      <c r="AM557" s="786"/>
    </row>
    <row r="558" spans="37:39">
      <c r="AK558" s="786"/>
      <c r="AM558" s="786"/>
    </row>
    <row r="559" spans="37:39">
      <c r="AK559" s="786"/>
      <c r="AM559" s="786"/>
    </row>
    <row r="560" spans="37:39">
      <c r="AK560" s="786"/>
      <c r="AM560" s="786"/>
    </row>
    <row r="561" spans="37:39">
      <c r="AK561" s="786"/>
      <c r="AM561" s="786"/>
    </row>
    <row r="562" spans="37:39">
      <c r="AK562" s="786"/>
      <c r="AM562" s="786"/>
    </row>
    <row r="563" spans="37:39">
      <c r="AK563" s="786"/>
      <c r="AM563" s="786"/>
    </row>
    <row r="564" spans="37:39">
      <c r="AK564" s="786"/>
      <c r="AM564" s="786"/>
    </row>
    <row r="565" spans="37:39">
      <c r="AK565" s="786"/>
      <c r="AM565" s="786"/>
    </row>
    <row r="566" spans="37:39">
      <c r="AK566" s="786"/>
      <c r="AM566" s="786"/>
    </row>
    <row r="567" spans="37:39">
      <c r="AK567" s="786"/>
      <c r="AM567" s="786"/>
    </row>
    <row r="568" spans="37:39">
      <c r="AK568" s="786"/>
      <c r="AM568" s="786"/>
    </row>
    <row r="569" spans="37:39">
      <c r="AK569" s="786"/>
      <c r="AM569" s="786"/>
    </row>
    <row r="570" spans="37:39">
      <c r="AK570" s="786"/>
      <c r="AM570" s="786"/>
    </row>
    <row r="571" spans="37:39">
      <c r="AK571" s="786"/>
      <c r="AM571" s="786"/>
    </row>
    <row r="572" spans="37:39">
      <c r="AK572" s="786"/>
      <c r="AM572" s="786"/>
    </row>
    <row r="573" spans="37:39">
      <c r="AK573" s="786"/>
      <c r="AM573" s="786"/>
    </row>
    <row r="574" spans="37:39">
      <c r="AK574" s="786"/>
      <c r="AM574" s="786"/>
    </row>
    <row r="575" spans="37:39">
      <c r="AK575" s="786"/>
      <c r="AM575" s="786"/>
    </row>
    <row r="576" spans="37:39">
      <c r="AK576" s="786"/>
      <c r="AM576" s="786"/>
    </row>
    <row r="577" spans="37:39">
      <c r="AK577" s="786"/>
      <c r="AM577" s="786"/>
    </row>
    <row r="578" spans="37:39">
      <c r="AK578" s="786"/>
      <c r="AM578" s="786"/>
    </row>
    <row r="579" spans="37:39">
      <c r="AK579" s="786"/>
      <c r="AM579" s="786"/>
    </row>
    <row r="580" spans="37:39">
      <c r="AK580" s="786"/>
      <c r="AM580" s="786"/>
    </row>
    <row r="581" spans="37:39">
      <c r="AK581" s="786"/>
      <c r="AM581" s="786"/>
    </row>
    <row r="582" spans="37:39">
      <c r="AK582" s="786"/>
      <c r="AM582" s="786"/>
    </row>
    <row r="583" spans="37:39">
      <c r="AK583" s="786"/>
      <c r="AM583" s="786"/>
    </row>
    <row r="584" spans="37:39">
      <c r="AK584" s="786"/>
      <c r="AM584" s="786"/>
    </row>
    <row r="585" spans="37:39">
      <c r="AK585" s="786"/>
      <c r="AM585" s="786"/>
    </row>
    <row r="586" spans="37:39">
      <c r="AK586" s="786"/>
      <c r="AM586" s="786"/>
    </row>
    <row r="587" spans="37:39">
      <c r="AK587" s="786"/>
      <c r="AM587" s="786"/>
    </row>
    <row r="588" spans="37:39">
      <c r="AK588" s="786"/>
      <c r="AM588" s="786"/>
    </row>
    <row r="589" spans="37:39">
      <c r="AK589" s="786"/>
      <c r="AM589" s="786"/>
    </row>
    <row r="590" spans="37:39">
      <c r="AK590" s="786"/>
      <c r="AM590" s="786"/>
    </row>
    <row r="591" spans="37:39">
      <c r="AK591" s="786"/>
      <c r="AM591" s="786"/>
    </row>
    <row r="592" spans="37:39">
      <c r="AK592" s="786"/>
      <c r="AM592" s="786"/>
    </row>
    <row r="593" spans="37:39">
      <c r="AK593" s="786"/>
      <c r="AM593" s="786"/>
    </row>
    <row r="594" spans="37:39">
      <c r="AK594" s="786"/>
      <c r="AM594" s="786"/>
    </row>
    <row r="595" spans="37:39">
      <c r="AK595" s="786"/>
      <c r="AM595" s="786"/>
    </row>
    <row r="596" spans="37:39">
      <c r="AK596" s="786"/>
      <c r="AM596" s="786"/>
    </row>
    <row r="597" spans="37:39">
      <c r="AK597" s="786"/>
      <c r="AM597" s="786"/>
    </row>
    <row r="598" spans="37:39">
      <c r="AK598" s="786"/>
      <c r="AM598" s="786"/>
    </row>
    <row r="599" spans="37:39">
      <c r="AK599" s="786"/>
      <c r="AM599" s="786"/>
    </row>
    <row r="600" spans="37:39">
      <c r="AK600" s="786"/>
      <c r="AM600" s="786"/>
    </row>
    <row r="601" spans="37:39">
      <c r="AK601" s="786"/>
      <c r="AM601" s="786"/>
    </row>
    <row r="602" spans="37:39">
      <c r="AK602" s="786"/>
      <c r="AM602" s="786"/>
    </row>
    <row r="603" spans="37:39">
      <c r="AK603" s="786"/>
      <c r="AM603" s="786"/>
    </row>
    <row r="604" spans="37:39">
      <c r="AK604" s="786"/>
      <c r="AM604" s="786"/>
    </row>
    <row r="605" spans="37:39">
      <c r="AK605" s="786"/>
      <c r="AM605" s="786"/>
    </row>
    <row r="606" spans="37:39">
      <c r="AK606" s="786"/>
      <c r="AM606" s="786"/>
    </row>
    <row r="607" spans="37:39">
      <c r="AK607" s="786"/>
      <c r="AM607" s="786"/>
    </row>
    <row r="608" spans="37:39">
      <c r="AK608" s="786"/>
      <c r="AM608" s="786"/>
    </row>
    <row r="609" spans="37:39">
      <c r="AK609" s="786"/>
      <c r="AM609" s="786"/>
    </row>
    <row r="610" spans="37:39">
      <c r="AK610" s="786"/>
      <c r="AM610" s="786"/>
    </row>
    <row r="611" spans="37:39">
      <c r="AK611" s="786"/>
      <c r="AM611" s="786"/>
    </row>
    <row r="612" spans="37:39">
      <c r="AK612" s="786"/>
      <c r="AM612" s="786"/>
    </row>
    <row r="613" spans="37:39">
      <c r="AK613" s="786"/>
      <c r="AM613" s="786"/>
    </row>
    <row r="614" spans="37:39">
      <c r="AK614" s="786"/>
      <c r="AM614" s="786"/>
    </row>
    <row r="615" spans="37:39">
      <c r="AK615" s="786"/>
      <c r="AM615" s="786"/>
    </row>
    <row r="616" spans="37:39">
      <c r="AK616" s="786"/>
      <c r="AM616" s="786"/>
    </row>
    <row r="617" spans="37:39">
      <c r="AK617" s="786"/>
      <c r="AM617" s="786"/>
    </row>
    <row r="618" spans="37:39">
      <c r="AK618" s="786"/>
      <c r="AM618" s="786"/>
    </row>
    <row r="619" spans="37:39">
      <c r="AK619" s="786"/>
      <c r="AM619" s="786"/>
    </row>
    <row r="620" spans="37:39">
      <c r="AK620" s="786"/>
      <c r="AM620" s="786"/>
    </row>
    <row r="621" spans="37:39">
      <c r="AK621" s="786"/>
      <c r="AM621" s="786"/>
    </row>
    <row r="622" spans="37:39">
      <c r="AK622" s="786"/>
      <c r="AM622" s="786"/>
    </row>
    <row r="623" spans="37:39">
      <c r="AK623" s="786"/>
      <c r="AM623" s="786"/>
    </row>
    <row r="624" spans="37:39">
      <c r="AK624" s="786"/>
      <c r="AM624" s="786"/>
    </row>
    <row r="625" spans="37:39">
      <c r="AK625" s="786"/>
      <c r="AM625" s="786"/>
    </row>
    <row r="626" spans="37:39">
      <c r="AK626" s="786"/>
      <c r="AM626" s="786"/>
    </row>
    <row r="627" spans="37:39">
      <c r="AK627" s="786"/>
      <c r="AM627" s="786"/>
    </row>
    <row r="628" spans="37:39">
      <c r="AK628" s="786"/>
      <c r="AM628" s="786"/>
    </row>
    <row r="629" spans="37:39">
      <c r="AK629" s="786"/>
      <c r="AM629" s="786"/>
    </row>
    <row r="630" spans="37:39">
      <c r="AK630" s="786"/>
      <c r="AM630" s="786"/>
    </row>
    <row r="631" spans="37:39">
      <c r="AK631" s="786"/>
      <c r="AM631" s="786"/>
    </row>
    <row r="632" spans="37:39">
      <c r="AK632" s="786"/>
      <c r="AM632" s="786"/>
    </row>
    <row r="633" spans="37:39">
      <c r="AK633" s="786"/>
      <c r="AM633" s="786"/>
    </row>
    <row r="634" spans="37:39">
      <c r="AK634" s="786"/>
      <c r="AM634" s="786"/>
    </row>
    <row r="635" spans="37:39">
      <c r="AK635" s="786"/>
      <c r="AM635" s="786"/>
    </row>
    <row r="636" spans="37:39">
      <c r="AK636" s="786"/>
      <c r="AM636" s="786"/>
    </row>
    <row r="637" spans="37:39">
      <c r="AK637" s="786"/>
      <c r="AM637" s="786"/>
    </row>
    <row r="638" spans="37:39">
      <c r="AK638" s="786"/>
      <c r="AM638" s="786"/>
    </row>
    <row r="639" spans="37:39">
      <c r="AK639" s="786"/>
      <c r="AM639" s="786"/>
    </row>
    <row r="640" spans="37:39">
      <c r="AK640" s="786"/>
      <c r="AM640" s="786"/>
    </row>
    <row r="641" spans="37:39">
      <c r="AK641" s="786"/>
      <c r="AM641" s="786"/>
    </row>
    <row r="642" spans="37:39">
      <c r="AK642" s="786"/>
      <c r="AM642" s="786"/>
    </row>
    <row r="643" spans="37:39">
      <c r="AK643" s="786"/>
      <c r="AM643" s="786"/>
    </row>
    <row r="644" spans="37:39">
      <c r="AK644" s="786"/>
      <c r="AM644" s="786"/>
    </row>
    <row r="645" spans="37:39">
      <c r="AK645" s="786"/>
      <c r="AM645" s="786"/>
    </row>
    <row r="646" spans="37:39">
      <c r="AK646" s="786"/>
      <c r="AM646" s="786"/>
    </row>
    <row r="647" spans="37:39">
      <c r="AK647" s="786"/>
      <c r="AM647" s="786"/>
    </row>
  </sheetData>
  <autoFilter ref="B9:AN178">
    <filterColumn colId="7">
      <customFilters>
        <customFilter operator="notEqual" val=""/>
      </customFilters>
    </filterColumn>
    <extLst/>
  </autoFilter>
  <sortState ref="C187:I194">
    <sortCondition ref="F187:F194" descending="1"/>
  </sortState>
  <mergeCells count="23">
    <mergeCell ref="Z6:AF6"/>
    <mergeCell ref="C7:D7"/>
    <mergeCell ref="H7:I7"/>
    <mergeCell ref="J7:L7"/>
    <mergeCell ref="N7:O7"/>
    <mergeCell ref="R7:T7"/>
    <mergeCell ref="W7:X7"/>
    <mergeCell ref="Z7:AB7"/>
    <mergeCell ref="AC7:AD7"/>
    <mergeCell ref="AE7:AF7"/>
    <mergeCell ref="AG7:AI7"/>
    <mergeCell ref="AK7:AL7"/>
    <mergeCell ref="B180:G180"/>
    <mergeCell ref="B181:G181"/>
    <mergeCell ref="AK181:AL181"/>
    <mergeCell ref="B182:G182"/>
    <mergeCell ref="AK182:AL182"/>
    <mergeCell ref="AK183:AL183"/>
    <mergeCell ref="B7:B8"/>
    <mergeCell ref="E7:E8"/>
    <mergeCell ref="F7:F8"/>
    <mergeCell ref="AM7:AM8"/>
    <mergeCell ref="AN7:AN8"/>
  </mergeCells>
  <pageMargins left="0.7" right="0.7" top="0.75" bottom="0.75" header="0.3" footer="0.3"/>
  <pageSetup paperSize="1" orientation="portrait"/>
  <headerFooter/>
  <legacyDrawing r:id="rId2"/>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6">
    <pageSetUpPr fitToPage="1"/>
  </sheetPr>
  <dimension ref="B2:K39"/>
  <sheetViews>
    <sheetView showGridLines="0" zoomScale="145" zoomScaleNormal="145" workbookViewId="0">
      <pane xSplit="4" ySplit="8" topLeftCell="E33" activePane="bottomRight" state="frozen"/>
      <selection/>
      <selection pane="topRight"/>
      <selection pane="bottomLeft"/>
      <selection pane="bottomRight" activeCell="J39" sqref="J39"/>
    </sheetView>
  </sheetViews>
  <sheetFormatPr defaultColWidth="9" defaultRowHeight="11.4"/>
  <cols>
    <col min="1" max="1" width="2.25" customWidth="1"/>
    <col min="2" max="2" width="2.69791666666667" customWidth="1"/>
    <col min="4" max="4" width="19.625" customWidth="1"/>
    <col min="5" max="5" width="13.3333333333333" customWidth="1"/>
    <col min="6" max="6" width="26.8229166666667" customWidth="1"/>
    <col min="7" max="7" width="3.73958333333333" customWidth="1"/>
    <col min="8" max="8" width="20.2291666666667" customWidth="1"/>
    <col min="9" max="9" width="15.1354166666667" customWidth="1"/>
    <col min="10" max="10" width="16.3333333333333" customWidth="1"/>
    <col min="11" max="11" width="4.34375" style="725" customWidth="1"/>
  </cols>
  <sheetData>
    <row r="2" ht="13.8" spans="2:10">
      <c r="B2" s="726" t="str">
        <f>+'10'!B2</f>
        <v>KAP LIASTA NIRWAN SYAFRUDIN &amp; REKAN</v>
      </c>
      <c r="C2" s="727"/>
      <c r="D2" s="728"/>
      <c r="E2" s="729"/>
      <c r="F2" s="729"/>
      <c r="G2" s="730"/>
      <c r="H2" s="731" t="s">
        <v>481</v>
      </c>
      <c r="I2" s="765" t="s">
        <v>482</v>
      </c>
      <c r="J2" s="766" t="s">
        <v>483</v>
      </c>
    </row>
    <row r="3" ht="15.6" spans="2:10">
      <c r="B3" s="732"/>
      <c r="C3" s="733">
        <v>0</v>
      </c>
      <c r="D3" s="734"/>
      <c r="E3" s="735"/>
      <c r="F3" s="736"/>
      <c r="G3" s="737"/>
      <c r="H3" s="738" t="s">
        <v>484</v>
      </c>
      <c r="I3" s="767">
        <v>44839</v>
      </c>
      <c r="J3" s="768">
        <v>102</v>
      </c>
    </row>
    <row r="4" ht="13.8" spans="2:10">
      <c r="B4" s="739" t="s">
        <v>13421</v>
      </c>
      <c r="C4" s="740"/>
      <c r="D4" s="741" t="str">
        <f>+'10'!D4</f>
        <v>PT INTAN GIRI ABADI</v>
      </c>
      <c r="E4" s="729"/>
      <c r="F4" s="729"/>
      <c r="G4" s="730"/>
      <c r="H4" s="742" t="s">
        <v>487</v>
      </c>
      <c r="I4" s="769" t="s">
        <v>482</v>
      </c>
      <c r="J4" s="770" t="s">
        <v>488</v>
      </c>
    </row>
    <row r="5" ht="13.8" spans="2:10">
      <c r="B5" s="743"/>
      <c r="C5" s="744"/>
      <c r="D5" s="745"/>
      <c r="E5" s="735"/>
      <c r="F5" s="736"/>
      <c r="G5" s="737"/>
      <c r="H5" s="746"/>
      <c r="I5" s="771"/>
      <c r="J5" s="772"/>
    </row>
    <row r="6" ht="13.8" spans="2:10">
      <c r="B6" s="747"/>
      <c r="C6" s="748"/>
      <c r="D6" s="749"/>
      <c r="E6" s="729"/>
      <c r="F6" s="729"/>
      <c r="G6" s="730"/>
      <c r="H6" s="750"/>
      <c r="I6" s="773"/>
      <c r="J6" s="774" t="s">
        <v>491</v>
      </c>
    </row>
    <row r="7" ht="13.8" spans="2:10">
      <c r="B7" s="751" t="s">
        <v>13422</v>
      </c>
      <c r="C7" s="752"/>
      <c r="D7" s="745"/>
      <c r="E7" s="735"/>
      <c r="F7" s="736"/>
      <c r="G7" s="737"/>
      <c r="H7" s="753"/>
      <c r="I7" s="775"/>
      <c r="J7" s="776">
        <v>44926</v>
      </c>
    </row>
    <row r="8" ht="13.8" spans="2:10">
      <c r="B8" s="740"/>
      <c r="C8" s="752"/>
      <c r="D8" s="745"/>
      <c r="E8" s="735"/>
      <c r="F8" s="736"/>
      <c r="G8" s="737"/>
      <c r="H8" s="753"/>
      <c r="I8" s="775"/>
      <c r="J8" s="776"/>
    </row>
    <row r="9" ht="12" spans="3:10">
      <c r="C9" s="754"/>
      <c r="D9" s="754"/>
      <c r="E9" s="754"/>
      <c r="F9" s="755"/>
      <c r="G9" s="756"/>
      <c r="H9" s="757"/>
      <c r="I9" s="754" t="s">
        <v>13423</v>
      </c>
      <c r="J9" s="754"/>
    </row>
    <row r="10" ht="12" spans="3:10">
      <c r="C10" s="754" t="s">
        <v>13424</v>
      </c>
      <c r="D10" s="754" t="s">
        <v>13425</v>
      </c>
      <c r="E10" s="754" t="s">
        <v>275</v>
      </c>
      <c r="F10" s="755" t="s">
        <v>13426</v>
      </c>
      <c r="G10" s="756"/>
      <c r="H10" s="757"/>
      <c r="I10" s="754"/>
      <c r="J10" s="754" t="s">
        <v>13427</v>
      </c>
    </row>
    <row r="11" ht="13.2" spans="3:11">
      <c r="C11" s="29" t="s">
        <v>13428</v>
      </c>
      <c r="D11" s="758" t="s">
        <v>13109</v>
      </c>
      <c r="E11" s="759">
        <v>44581</v>
      </c>
      <c r="F11" s="760" t="s">
        <v>13008</v>
      </c>
      <c r="G11" s="761" t="s">
        <v>11928</v>
      </c>
      <c r="H11" s="253"/>
      <c r="I11" s="777">
        <v>55000000</v>
      </c>
      <c r="J11" s="29">
        <f>+I11</f>
        <v>55000000</v>
      </c>
      <c r="K11" s="725" t="s">
        <v>974</v>
      </c>
    </row>
    <row r="12" ht="13.2" spans="3:11">
      <c r="C12" s="29"/>
      <c r="D12" s="758" t="s">
        <v>13118</v>
      </c>
      <c r="E12" s="759">
        <v>44585</v>
      </c>
      <c r="F12" s="760" t="s">
        <v>1239</v>
      </c>
      <c r="G12" s="762"/>
      <c r="H12" s="253"/>
      <c r="I12" s="777">
        <v>61500000</v>
      </c>
      <c r="J12" s="29">
        <f>+J11+I12</f>
        <v>116500000</v>
      </c>
      <c r="K12"/>
    </row>
    <row r="13" customFormat="1" ht="13.2" spans="3:10">
      <c r="C13" s="29"/>
      <c r="D13" s="758" t="s">
        <v>13129</v>
      </c>
      <c r="E13" s="759">
        <v>44634</v>
      </c>
      <c r="F13" s="760" t="s">
        <v>1239</v>
      </c>
      <c r="G13" s="762"/>
      <c r="H13" s="253"/>
      <c r="I13" s="777">
        <v>94000000</v>
      </c>
      <c r="J13" s="29">
        <f t="shared" ref="J13:J33" si="0">+J12+I13</f>
        <v>210500000</v>
      </c>
    </row>
    <row r="14" customFormat="1" ht="13.2" spans="3:10">
      <c r="C14" s="29"/>
      <c r="D14" s="758" t="s">
        <v>13131</v>
      </c>
      <c r="E14" s="759">
        <v>44634</v>
      </c>
      <c r="F14" s="760" t="s">
        <v>1239</v>
      </c>
      <c r="G14" s="762"/>
      <c r="H14" s="253"/>
      <c r="I14" s="777">
        <v>94000000</v>
      </c>
      <c r="J14" s="29">
        <f t="shared" si="0"/>
        <v>304500000</v>
      </c>
    </row>
    <row r="15" customFormat="1" ht="13.2" spans="3:10">
      <c r="C15" s="29"/>
      <c r="D15" s="758" t="s">
        <v>13110</v>
      </c>
      <c r="E15" s="759">
        <v>44669</v>
      </c>
      <c r="F15" s="760" t="s">
        <v>13008</v>
      </c>
      <c r="G15" s="762"/>
      <c r="H15" s="253"/>
      <c r="I15" s="777">
        <v>165000000</v>
      </c>
      <c r="J15" s="29">
        <f t="shared" si="0"/>
        <v>469500000</v>
      </c>
    </row>
    <row r="16" customFormat="1" ht="13.2" spans="3:10">
      <c r="C16" s="29"/>
      <c r="D16" s="758" t="s">
        <v>13110</v>
      </c>
      <c r="E16" s="759">
        <v>44669</v>
      </c>
      <c r="F16" s="760" t="s">
        <v>13008</v>
      </c>
      <c r="G16" s="762"/>
      <c r="H16" s="253"/>
      <c r="I16" s="777">
        <v>39000000</v>
      </c>
      <c r="J16" s="29">
        <f t="shared" si="0"/>
        <v>508500000</v>
      </c>
    </row>
    <row r="17" customFormat="1" ht="13.2" spans="3:10">
      <c r="C17" s="29"/>
      <c r="D17" s="758" t="s">
        <v>13110</v>
      </c>
      <c r="E17" s="759">
        <v>44672</v>
      </c>
      <c r="F17" s="760" t="s">
        <v>13008</v>
      </c>
      <c r="G17" s="762"/>
      <c r="H17" s="253"/>
      <c r="I17" s="777">
        <v>36800000</v>
      </c>
      <c r="J17" s="29">
        <f t="shared" si="0"/>
        <v>545300000</v>
      </c>
    </row>
    <row r="18" customFormat="1" ht="13.2" spans="3:10">
      <c r="C18" s="29"/>
      <c r="D18" s="758" t="s">
        <v>13110</v>
      </c>
      <c r="E18" s="759">
        <v>44672</v>
      </c>
      <c r="F18" s="760" t="s">
        <v>13008</v>
      </c>
      <c r="G18" s="762"/>
      <c r="H18" s="253"/>
      <c r="I18" s="777">
        <v>38400000</v>
      </c>
      <c r="J18" s="29">
        <f t="shared" si="0"/>
        <v>583700000</v>
      </c>
    </row>
    <row r="19" customFormat="1" ht="13.2" spans="3:10">
      <c r="C19" s="29"/>
      <c r="D19" s="758" t="s">
        <v>13110</v>
      </c>
      <c r="E19" s="759">
        <v>44725</v>
      </c>
      <c r="F19" s="760" t="s">
        <v>13008</v>
      </c>
      <c r="G19" s="762"/>
      <c r="H19" s="253"/>
      <c r="I19" s="777">
        <v>55000000</v>
      </c>
      <c r="J19" s="29">
        <f t="shared" si="0"/>
        <v>638700000</v>
      </c>
    </row>
    <row r="20" customFormat="1" ht="13.2" spans="3:10">
      <c r="C20" s="29"/>
      <c r="D20" s="758" t="s">
        <v>13110</v>
      </c>
      <c r="E20" s="759">
        <v>44732</v>
      </c>
      <c r="F20" s="760" t="s">
        <v>13008</v>
      </c>
      <c r="G20" s="762"/>
      <c r="H20" s="253"/>
      <c r="I20" s="777">
        <v>55000000</v>
      </c>
      <c r="J20" s="29">
        <f t="shared" si="0"/>
        <v>693700000</v>
      </c>
    </row>
    <row r="21" customFormat="1" ht="13.2" spans="3:10">
      <c r="C21" s="29"/>
      <c r="D21" s="758" t="s">
        <v>13119</v>
      </c>
      <c r="E21" s="759">
        <v>44748</v>
      </c>
      <c r="F21" s="760" t="s">
        <v>1239</v>
      </c>
      <c r="G21" s="762"/>
      <c r="H21" s="253"/>
      <c r="I21" s="777">
        <v>130000000</v>
      </c>
      <c r="J21" s="29">
        <f t="shared" si="0"/>
        <v>823700000</v>
      </c>
    </row>
    <row r="22" customFormat="1" ht="13.2" spans="3:10">
      <c r="C22" s="29"/>
      <c r="D22" s="758" t="s">
        <v>13110</v>
      </c>
      <c r="E22" s="759">
        <v>44756</v>
      </c>
      <c r="F22" s="760" t="s">
        <v>13008</v>
      </c>
      <c r="G22" s="762"/>
      <c r="H22" s="253"/>
      <c r="I22" s="777">
        <v>55000000</v>
      </c>
      <c r="J22" s="29">
        <f t="shared" si="0"/>
        <v>878700000</v>
      </c>
    </row>
    <row r="23" customFormat="1" ht="13.2" spans="3:10">
      <c r="C23" s="29"/>
      <c r="D23" s="758" t="s">
        <v>13110</v>
      </c>
      <c r="E23" s="759">
        <v>44756</v>
      </c>
      <c r="F23" s="760" t="s">
        <v>13008</v>
      </c>
      <c r="G23" s="762"/>
      <c r="H23" s="253"/>
      <c r="I23" s="777">
        <v>44000000</v>
      </c>
      <c r="J23" s="29">
        <f t="shared" si="0"/>
        <v>922700000</v>
      </c>
    </row>
    <row r="24" customFormat="1" ht="13.2" spans="3:10">
      <c r="C24" s="29"/>
      <c r="D24" s="758" t="s">
        <v>13110</v>
      </c>
      <c r="E24" s="759">
        <v>44785</v>
      </c>
      <c r="F24" s="760" t="s">
        <v>13008</v>
      </c>
      <c r="G24" s="762"/>
      <c r="H24" s="253"/>
      <c r="I24" s="777">
        <v>55000000</v>
      </c>
      <c r="J24" s="29">
        <f t="shared" si="0"/>
        <v>977700000</v>
      </c>
    </row>
    <row r="25" customFormat="1" ht="13.2" spans="3:10">
      <c r="C25" s="29"/>
      <c r="D25" s="758" t="s">
        <v>13110</v>
      </c>
      <c r="E25" s="759">
        <v>44813</v>
      </c>
      <c r="F25" s="760" t="s">
        <v>13008</v>
      </c>
      <c r="G25" s="762"/>
      <c r="H25" s="253"/>
      <c r="I25" s="777">
        <v>55000000</v>
      </c>
      <c r="J25" s="29">
        <f t="shared" si="0"/>
        <v>1032700000</v>
      </c>
    </row>
    <row r="26" customFormat="1" ht="13.2" spans="3:10">
      <c r="C26" s="29"/>
      <c r="D26" s="758" t="s">
        <v>13119</v>
      </c>
      <c r="E26" s="759">
        <v>44820</v>
      </c>
      <c r="F26" s="760" t="s">
        <v>1239</v>
      </c>
      <c r="G26" s="762"/>
      <c r="H26" s="253"/>
      <c r="I26" s="778">
        <v>46000000</v>
      </c>
      <c r="J26" s="29">
        <f t="shared" si="0"/>
        <v>1078700000</v>
      </c>
    </row>
    <row r="27" customFormat="1" ht="13.2" spans="3:10">
      <c r="C27" s="29"/>
      <c r="D27" s="758" t="s">
        <v>13110</v>
      </c>
      <c r="E27" s="759">
        <v>44848</v>
      </c>
      <c r="F27" s="760" t="s">
        <v>13008</v>
      </c>
      <c r="G27" s="762"/>
      <c r="H27" s="253"/>
      <c r="I27" s="778">
        <v>55000000</v>
      </c>
      <c r="J27" s="29">
        <f t="shared" si="0"/>
        <v>1133700000</v>
      </c>
    </row>
    <row r="28" customFormat="1" ht="13.2" spans="3:10">
      <c r="C28" s="29"/>
      <c r="D28" s="758" t="s">
        <v>13185</v>
      </c>
      <c r="E28" s="759">
        <v>44840</v>
      </c>
      <c r="F28" s="760" t="s">
        <v>13003</v>
      </c>
      <c r="G28" s="762"/>
      <c r="H28" s="253"/>
      <c r="I28" s="778">
        <v>120000000</v>
      </c>
      <c r="J28" s="29">
        <f t="shared" si="0"/>
        <v>1253700000</v>
      </c>
    </row>
    <row r="29" customFormat="1" ht="13.2" spans="3:10">
      <c r="C29" s="29"/>
      <c r="D29" s="758" t="s">
        <v>13190</v>
      </c>
      <c r="E29" s="759">
        <v>44873</v>
      </c>
      <c r="F29" s="760" t="s">
        <v>13001</v>
      </c>
      <c r="G29" s="762"/>
      <c r="H29" s="253"/>
      <c r="I29" s="778">
        <v>90000000</v>
      </c>
      <c r="J29" s="29">
        <f t="shared" si="0"/>
        <v>1343700000</v>
      </c>
    </row>
    <row r="30" customFormat="1" ht="13.2" spans="3:10">
      <c r="C30" s="29"/>
      <c r="D30" s="758" t="s">
        <v>13110</v>
      </c>
      <c r="E30" s="759">
        <v>44876</v>
      </c>
      <c r="F30" s="760" t="s">
        <v>13008</v>
      </c>
      <c r="G30" s="762"/>
      <c r="H30" s="253"/>
      <c r="I30" s="778">
        <v>55000000</v>
      </c>
      <c r="J30" s="29">
        <f t="shared" si="0"/>
        <v>1398700000</v>
      </c>
    </row>
    <row r="31" customFormat="1" ht="13.2" spans="3:10">
      <c r="C31" s="29"/>
      <c r="D31" s="758" t="s">
        <v>13110</v>
      </c>
      <c r="E31" s="759">
        <v>44903</v>
      </c>
      <c r="F31" s="760" t="s">
        <v>13008</v>
      </c>
      <c r="G31" s="762"/>
      <c r="H31" s="253"/>
      <c r="I31" s="778">
        <v>55000000</v>
      </c>
      <c r="J31" s="29">
        <f t="shared" si="0"/>
        <v>1453700000</v>
      </c>
    </row>
    <row r="32" customFormat="1" ht="13.2" spans="3:10">
      <c r="C32" s="29"/>
      <c r="D32" s="758" t="s">
        <v>13110</v>
      </c>
      <c r="E32" s="759">
        <v>44903</v>
      </c>
      <c r="F32" s="760" t="s">
        <v>13008</v>
      </c>
      <c r="G32" s="762"/>
      <c r="H32" s="253"/>
      <c r="I32" s="778">
        <v>44000000</v>
      </c>
      <c r="J32" s="29">
        <f t="shared" si="0"/>
        <v>1497700000</v>
      </c>
    </row>
    <row r="33" customFormat="1" ht="13.2" spans="3:10">
      <c r="C33" s="29"/>
      <c r="D33" s="758" t="s">
        <v>13119</v>
      </c>
      <c r="E33" s="759">
        <v>44909</v>
      </c>
      <c r="F33" s="760" t="s">
        <v>1239</v>
      </c>
      <c r="G33" s="762"/>
      <c r="H33" s="253"/>
      <c r="I33" s="779">
        <v>209000000</v>
      </c>
      <c r="J33" s="29">
        <f t="shared" si="0"/>
        <v>1706700000</v>
      </c>
    </row>
    <row r="34" spans="3:11">
      <c r="C34" s="29"/>
      <c r="D34" s="29"/>
      <c r="E34" s="686"/>
      <c r="F34" s="597"/>
      <c r="G34" s="761"/>
      <c r="H34" s="253"/>
      <c r="I34" s="29"/>
      <c r="J34" s="29"/>
      <c r="K34" s="780"/>
    </row>
    <row r="35" ht="13.2" spans="3:11">
      <c r="C35" s="29" t="s">
        <v>13429</v>
      </c>
      <c r="D35" s="29"/>
      <c r="E35" s="29"/>
      <c r="F35" s="763" t="s">
        <v>393</v>
      </c>
      <c r="G35" s="762"/>
      <c r="H35" s="253"/>
      <c r="I35" s="779">
        <f>SUM(I11:I34)</f>
        <v>1706700000</v>
      </c>
      <c r="J35" s="29"/>
      <c r="K35"/>
    </row>
    <row r="36" spans="3:11">
      <c r="C36" s="29" t="s">
        <v>13229</v>
      </c>
      <c r="D36" s="29"/>
      <c r="E36" s="29"/>
      <c r="F36" s="597"/>
      <c r="G36" s="762"/>
      <c r="H36" s="253"/>
      <c r="I36" s="29"/>
      <c r="J36" s="29"/>
      <c r="K36"/>
    </row>
    <row r="38" spans="10:10">
      <c r="J38" s="781" t="s">
        <v>13430</v>
      </c>
    </row>
    <row r="39" spans="3:3">
      <c r="C39" s="764" t="s">
        <v>13431</v>
      </c>
    </row>
  </sheetData>
  <autoFilter ref="C10:J36">
    <extLst/>
  </autoFilter>
  <pageMargins left="0.31496062992126" right="0.31496062992126" top="0.551181102362205" bottom="0.354330708661417" header="0.31496062992126" footer="0.31496062992126"/>
  <pageSetup paperSize="9" scale="85" orientation="portrait"/>
  <headerFooter/>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7">
    <pageSetUpPr fitToPage="1"/>
  </sheetPr>
  <dimension ref="A1:Q63"/>
  <sheetViews>
    <sheetView zoomScale="145" zoomScaleNormal="145" workbookViewId="0">
      <pane xSplit="5" ySplit="11" topLeftCell="F12" activePane="bottomRight" state="frozen"/>
      <selection/>
      <selection pane="topRight"/>
      <selection pane="bottomLeft"/>
      <selection pane="bottomRight" activeCell="B9" sqref="B9"/>
    </sheetView>
  </sheetViews>
  <sheetFormatPr defaultColWidth="9" defaultRowHeight="11.4"/>
  <cols>
    <col min="1" max="1" width="8.23958333333333" customWidth="1"/>
    <col min="2" max="2" width="7.64583333333333" customWidth="1"/>
    <col min="3" max="3" width="39.8541666666667" customWidth="1"/>
    <col min="4" max="4" width="11.8333333333333" customWidth="1"/>
    <col min="5" max="5" width="20.8229166666667" customWidth="1"/>
    <col min="6" max="6" width="20.2291666666667" customWidth="1"/>
    <col min="7" max="7" width="9.13541666666667" customWidth="1"/>
    <col min="8" max="8" width="11.8333333333333" customWidth="1"/>
    <col min="9" max="9" width="8.23958333333333" customWidth="1"/>
    <col min="10" max="10" width="13.78125" customWidth="1"/>
    <col min="11" max="11" width="12.7395833333333" customWidth="1"/>
    <col min="12" max="12" width="13.78125" customWidth="1"/>
    <col min="13" max="13" width="14.9791666666667" customWidth="1"/>
    <col min="14" max="16" width="12.7395833333333" customWidth="1"/>
    <col min="17" max="17" width="12.4375" customWidth="1"/>
  </cols>
  <sheetData>
    <row r="1" spans="8:8">
      <c r="H1" s="159"/>
    </row>
    <row r="2" ht="15.6" spans="2:12">
      <c r="B2" s="657" t="str">
        <f>'102'!B2</f>
        <v>KAP LIASTA NIRWAN SYAFRUDIN &amp; REKAN</v>
      </c>
      <c r="C2" s="658"/>
      <c r="D2" s="659"/>
      <c r="E2" s="660"/>
      <c r="F2" s="661"/>
      <c r="G2" s="661"/>
      <c r="H2" s="661"/>
      <c r="I2" s="699"/>
      <c r="J2" s="658" t="s">
        <v>481</v>
      </c>
      <c r="K2" s="700" t="s">
        <v>482</v>
      </c>
      <c r="L2" s="701" t="s">
        <v>483</v>
      </c>
    </row>
    <row r="3" ht="15.6" spans="2:12">
      <c r="B3" s="662"/>
      <c r="C3" s="663"/>
      <c r="D3" s="664"/>
      <c r="E3" s="665"/>
      <c r="F3" s="665"/>
      <c r="G3" s="665"/>
      <c r="H3" s="665"/>
      <c r="I3" s="702"/>
      <c r="J3" s="703"/>
      <c r="K3" s="704">
        <v>45199</v>
      </c>
      <c r="L3" s="705">
        <v>103</v>
      </c>
    </row>
    <row r="4" ht="13.8" spans="2:12">
      <c r="B4" s="666" t="s">
        <v>622</v>
      </c>
      <c r="C4" s="667" t="str">
        <f>'102'!D4</f>
        <v>PT INTAN GIRI ABADI</v>
      </c>
      <c r="D4" s="668"/>
      <c r="E4" s="669"/>
      <c r="F4" s="669"/>
      <c r="G4" s="669"/>
      <c r="H4" s="669"/>
      <c r="I4" s="706"/>
      <c r="J4" s="673" t="s">
        <v>487</v>
      </c>
      <c r="K4" s="707" t="s">
        <v>482</v>
      </c>
      <c r="L4" s="708" t="s">
        <v>488</v>
      </c>
    </row>
    <row r="5" ht="13.8" spans="2:12">
      <c r="B5" s="670"/>
      <c r="C5" s="671"/>
      <c r="D5" s="671"/>
      <c r="E5" s="665"/>
      <c r="F5" s="665"/>
      <c r="G5" s="665"/>
      <c r="H5" s="665"/>
      <c r="I5" s="702"/>
      <c r="J5" s="709"/>
      <c r="K5" s="710"/>
      <c r="L5" s="711"/>
    </row>
    <row r="6" ht="13.8" spans="2:12">
      <c r="B6" s="672"/>
      <c r="C6" s="673"/>
      <c r="D6" s="674"/>
      <c r="E6" s="669"/>
      <c r="F6" s="669"/>
      <c r="G6" s="669"/>
      <c r="H6" s="669"/>
      <c r="I6" s="706"/>
      <c r="J6" s="712"/>
      <c r="K6" s="672"/>
      <c r="L6" s="713" t="s">
        <v>491</v>
      </c>
    </row>
    <row r="7" ht="13.8" spans="2:12">
      <c r="B7" s="675" t="s">
        <v>13432</v>
      </c>
      <c r="C7" s="676" t="s">
        <v>13433</v>
      </c>
      <c r="D7" s="671"/>
      <c r="E7" s="665"/>
      <c r="F7" s="665"/>
      <c r="G7" s="665"/>
      <c r="H7" s="665"/>
      <c r="I7" s="702"/>
      <c r="J7" s="671"/>
      <c r="K7" s="670"/>
      <c r="L7" s="714">
        <f>'102'!J7</f>
        <v>44926</v>
      </c>
    </row>
    <row r="8" spans="5:7">
      <c r="E8" s="159"/>
      <c r="G8" s="159"/>
    </row>
    <row r="10" ht="12" spans="2:12">
      <c r="B10" s="640" t="s">
        <v>11476</v>
      </c>
      <c r="C10" s="677" t="s">
        <v>13416</v>
      </c>
      <c r="D10" s="678" t="s">
        <v>13434</v>
      </c>
      <c r="E10" s="678" t="s">
        <v>13435</v>
      </c>
      <c r="F10" s="678" t="s">
        <v>13436</v>
      </c>
      <c r="G10" s="679" t="s">
        <v>13437</v>
      </c>
      <c r="H10" s="680" t="s">
        <v>12340</v>
      </c>
      <c r="I10" s="680" t="s">
        <v>13438</v>
      </c>
      <c r="J10" s="680" t="s">
        <v>1207</v>
      </c>
      <c r="K10" s="680" t="s">
        <v>1169</v>
      </c>
      <c r="L10" s="715" t="s">
        <v>947</v>
      </c>
    </row>
    <row r="11" ht="12" spans="2:17">
      <c r="B11" s="265"/>
      <c r="C11" s="681"/>
      <c r="D11" s="682" t="s">
        <v>13439</v>
      </c>
      <c r="E11" s="682"/>
      <c r="F11" s="682"/>
      <c r="G11" s="683"/>
      <c r="H11" s="684"/>
      <c r="I11" s="684"/>
      <c r="J11" s="684"/>
      <c r="K11" s="684"/>
      <c r="L11" s="716"/>
      <c r="N11" t="s">
        <v>13440</v>
      </c>
      <c r="P11" t="s">
        <v>13441</v>
      </c>
      <c r="Q11" s="724">
        <v>0.01</v>
      </c>
    </row>
    <row r="12" ht="14.4" spans="1:17">
      <c r="A12">
        <f>MONTH(D12)</f>
        <v>12</v>
      </c>
      <c r="B12" s="29">
        <v>1</v>
      </c>
      <c r="C12" s="685" t="s">
        <v>1239</v>
      </c>
      <c r="D12" s="686">
        <v>44897</v>
      </c>
      <c r="E12" s="5185" t="s">
        <v>13119</v>
      </c>
      <c r="F12" s="686">
        <v>44902</v>
      </c>
      <c r="G12" s="29">
        <v>0</v>
      </c>
      <c r="H12" s="688">
        <v>0</v>
      </c>
      <c r="I12" s="717" t="s">
        <v>11949</v>
      </c>
      <c r="J12" s="718">
        <v>48927600</v>
      </c>
      <c r="K12" s="29">
        <f>+J12*11%</f>
        <v>5382036</v>
      </c>
      <c r="L12" s="29">
        <f>J12+K12</f>
        <v>54309636</v>
      </c>
      <c r="M12">
        <v>1</v>
      </c>
      <c r="N12" s="719">
        <f>SUM(J12:J14)</f>
        <v>116927600</v>
      </c>
      <c r="O12">
        <f>SUMIF($A$12:$A$14,M12,$J$12:$J$14)</f>
        <v>0</v>
      </c>
      <c r="P12">
        <f>[91]sales!Q6</f>
        <v>405790444</v>
      </c>
      <c r="Q12">
        <f>$Q$11*P12</f>
        <v>4057904.44</v>
      </c>
    </row>
    <row r="13" ht="14.4" spans="1:17">
      <c r="A13">
        <f>MONTH(D13)</f>
        <v>12</v>
      </c>
      <c r="B13" s="29">
        <v>2</v>
      </c>
      <c r="C13" s="685" t="s">
        <v>13008</v>
      </c>
      <c r="D13" s="686">
        <v>44903</v>
      </c>
      <c r="E13" s="5185" t="s">
        <v>13110</v>
      </c>
      <c r="F13" s="686">
        <v>44908</v>
      </c>
      <c r="G13" s="29">
        <v>0</v>
      </c>
      <c r="H13" s="688">
        <v>0</v>
      </c>
      <c r="I13" s="717" t="s">
        <v>11949</v>
      </c>
      <c r="J13" s="718">
        <v>55000000</v>
      </c>
      <c r="K13" s="29">
        <f t="shared" ref="K13:K22" si="0">+J13*11%</f>
        <v>6050000</v>
      </c>
      <c r="L13" s="29">
        <f>J13+K13</f>
        <v>61050000</v>
      </c>
      <c r="M13">
        <v>2</v>
      </c>
      <c r="N13" t="e">
        <f>SUM(#REF!)</f>
        <v>#REF!</v>
      </c>
      <c r="O13">
        <f>SUMIF($A$12:$A$14,M13,$J$12:$J$14)</f>
        <v>0</v>
      </c>
      <c r="P13">
        <f>[91]sales!Q7</f>
        <v>425544783</v>
      </c>
      <c r="Q13">
        <f>$Q$11*P13</f>
        <v>4255447.83</v>
      </c>
    </row>
    <row r="14" ht="14.4" spans="1:17">
      <c r="A14">
        <f>MONTH(D14)</f>
        <v>12</v>
      </c>
      <c r="B14" s="29">
        <v>3</v>
      </c>
      <c r="C14" s="685" t="s">
        <v>13008</v>
      </c>
      <c r="D14" s="686">
        <v>44903</v>
      </c>
      <c r="E14" s="5185" t="s">
        <v>13110</v>
      </c>
      <c r="F14" s="686">
        <v>44908</v>
      </c>
      <c r="G14" s="29">
        <v>0</v>
      </c>
      <c r="H14" s="688">
        <v>0</v>
      </c>
      <c r="I14" s="717" t="s">
        <v>11949</v>
      </c>
      <c r="J14" s="718">
        <v>13000000</v>
      </c>
      <c r="K14" s="29">
        <f t="shared" si="0"/>
        <v>1430000</v>
      </c>
      <c r="L14" s="29">
        <f>J14+K14</f>
        <v>14430000</v>
      </c>
      <c r="M14">
        <v>3</v>
      </c>
      <c r="N14" t="e">
        <f>SUM(#REF!)</f>
        <v>#REF!</v>
      </c>
      <c r="O14">
        <f>SUMIF($A$12:$A$14,M14,$J$12:$J$14)</f>
        <v>0</v>
      </c>
      <c r="P14">
        <f>[91]sales!Q8</f>
        <v>493270512</v>
      </c>
      <c r="Q14">
        <f>$Q$11*P14</f>
        <v>4932705.12</v>
      </c>
    </row>
    <row r="15" customFormat="1" ht="14.4" spans="1:12">
      <c r="A15">
        <f t="shared" ref="A15:A22" si="1">MONTH(D15)</f>
        <v>12</v>
      </c>
      <c r="B15" s="29">
        <v>4</v>
      </c>
      <c r="C15" s="685" t="s">
        <v>13008</v>
      </c>
      <c r="D15" s="686">
        <v>44903</v>
      </c>
      <c r="E15" s="5185" t="s">
        <v>13110</v>
      </c>
      <c r="F15" s="686">
        <v>44908</v>
      </c>
      <c r="G15" s="29"/>
      <c r="H15" s="688"/>
      <c r="I15" s="717"/>
      <c r="J15" s="718">
        <v>44000000</v>
      </c>
      <c r="K15" s="29">
        <f t="shared" si="0"/>
        <v>4840000</v>
      </c>
      <c r="L15" s="29">
        <f t="shared" ref="L15:L22" si="2">J15+K15</f>
        <v>48840000</v>
      </c>
    </row>
    <row r="16" customFormat="1" ht="14.4" spans="1:12">
      <c r="A16">
        <f t="shared" si="1"/>
        <v>12</v>
      </c>
      <c r="B16" s="29">
        <v>5</v>
      </c>
      <c r="C16" s="685" t="s">
        <v>13014</v>
      </c>
      <c r="D16" s="686">
        <v>44907</v>
      </c>
      <c r="E16" s="5185" t="s">
        <v>13194</v>
      </c>
      <c r="F16" s="686">
        <v>44912</v>
      </c>
      <c r="G16" s="29"/>
      <c r="H16" s="688"/>
      <c r="I16" s="717"/>
      <c r="J16" s="718">
        <v>46600729</v>
      </c>
      <c r="K16" s="29">
        <f t="shared" si="0"/>
        <v>5126080.19</v>
      </c>
      <c r="L16" s="29">
        <f t="shared" si="2"/>
        <v>51726809.19</v>
      </c>
    </row>
    <row r="17" customFormat="1" ht="14.4" spans="1:12">
      <c r="A17">
        <f t="shared" si="1"/>
        <v>12</v>
      </c>
      <c r="B17" s="29">
        <v>6</v>
      </c>
      <c r="C17" s="685" t="s">
        <v>1239</v>
      </c>
      <c r="D17" s="686">
        <v>44909</v>
      </c>
      <c r="E17" s="5185" t="s">
        <v>13119</v>
      </c>
      <c r="F17" s="686">
        <v>44914</v>
      </c>
      <c r="G17" s="29"/>
      <c r="H17" s="688"/>
      <c r="I17" s="717"/>
      <c r="J17" s="718">
        <v>209000000</v>
      </c>
      <c r="K17" s="29">
        <f t="shared" si="0"/>
        <v>22990000</v>
      </c>
      <c r="L17" s="29">
        <f t="shared" si="2"/>
        <v>231990000</v>
      </c>
    </row>
    <row r="18" customFormat="1" ht="14.4" spans="1:12">
      <c r="A18">
        <f t="shared" si="1"/>
        <v>12</v>
      </c>
      <c r="B18" s="29">
        <v>7</v>
      </c>
      <c r="C18" s="685" t="s">
        <v>1239</v>
      </c>
      <c r="D18" s="686">
        <v>44909</v>
      </c>
      <c r="E18" s="5185" t="s">
        <v>13119</v>
      </c>
      <c r="F18" s="686">
        <v>44914</v>
      </c>
      <c r="G18" s="29"/>
      <c r="H18" s="688"/>
      <c r="I18" s="717"/>
      <c r="J18" s="718">
        <v>39400000</v>
      </c>
      <c r="K18" s="29">
        <f t="shared" si="0"/>
        <v>4334000</v>
      </c>
      <c r="L18" s="29">
        <f t="shared" si="2"/>
        <v>43734000</v>
      </c>
    </row>
    <row r="19" customFormat="1" ht="14.4" spans="1:12">
      <c r="A19">
        <f t="shared" si="1"/>
        <v>12</v>
      </c>
      <c r="B19" s="29">
        <v>8</v>
      </c>
      <c r="C19" s="685" t="s">
        <v>1239</v>
      </c>
      <c r="D19" s="686">
        <v>44909</v>
      </c>
      <c r="E19" s="5185" t="s">
        <v>13119</v>
      </c>
      <c r="F19" s="686">
        <v>44914</v>
      </c>
      <c r="G19" s="29"/>
      <c r="H19" s="688"/>
      <c r="I19" s="717"/>
      <c r="J19" s="718">
        <v>15000000</v>
      </c>
      <c r="K19" s="29">
        <f t="shared" si="0"/>
        <v>1650000</v>
      </c>
      <c r="L19" s="29">
        <f t="shared" si="2"/>
        <v>16650000</v>
      </c>
    </row>
    <row r="20" customFormat="1" ht="14.4" spans="1:12">
      <c r="A20">
        <f t="shared" si="1"/>
        <v>12</v>
      </c>
      <c r="B20" s="29">
        <v>9</v>
      </c>
      <c r="C20" s="685" t="s">
        <v>1239</v>
      </c>
      <c r="D20" s="686">
        <v>44909</v>
      </c>
      <c r="E20" s="5185" t="s">
        <v>13119</v>
      </c>
      <c r="F20" s="686">
        <v>44914</v>
      </c>
      <c r="G20" s="29"/>
      <c r="H20" s="688"/>
      <c r="I20" s="717"/>
      <c r="J20" s="718">
        <v>7500000</v>
      </c>
      <c r="K20" s="29">
        <f t="shared" si="0"/>
        <v>825000</v>
      </c>
      <c r="L20" s="29">
        <f t="shared" si="2"/>
        <v>8325000</v>
      </c>
    </row>
    <row r="21" customFormat="1" ht="14.4" spans="1:12">
      <c r="A21">
        <f t="shared" si="1"/>
        <v>12</v>
      </c>
      <c r="B21" s="29">
        <v>10</v>
      </c>
      <c r="C21" s="685" t="s">
        <v>13005</v>
      </c>
      <c r="D21" s="686">
        <v>44915</v>
      </c>
      <c r="E21" s="5185" t="s">
        <v>13116</v>
      </c>
      <c r="F21" s="686">
        <v>44920</v>
      </c>
      <c r="G21" s="29"/>
      <c r="H21" s="688"/>
      <c r="I21" s="717"/>
      <c r="J21" s="718">
        <v>28662000</v>
      </c>
      <c r="K21" s="29">
        <f t="shared" si="0"/>
        <v>3152820</v>
      </c>
      <c r="L21" s="29">
        <f t="shared" si="2"/>
        <v>31814820</v>
      </c>
    </row>
    <row r="22" customFormat="1" ht="14.4" spans="1:12">
      <c r="A22">
        <f t="shared" si="1"/>
        <v>12</v>
      </c>
      <c r="B22" s="29">
        <v>11</v>
      </c>
      <c r="C22" s="685" t="s">
        <v>13005</v>
      </c>
      <c r="D22" s="686">
        <v>44915</v>
      </c>
      <c r="E22" s="5185" t="s">
        <v>13116</v>
      </c>
      <c r="F22" s="686">
        <v>44920</v>
      </c>
      <c r="G22" s="29"/>
      <c r="H22" s="688"/>
      <c r="I22" s="717"/>
      <c r="J22" s="718">
        <v>15000000</v>
      </c>
      <c r="K22" s="29">
        <f t="shared" si="0"/>
        <v>1650000</v>
      </c>
      <c r="L22" s="29">
        <f t="shared" si="2"/>
        <v>16650000</v>
      </c>
    </row>
    <row r="23" spans="2:12">
      <c r="B23" s="29"/>
      <c r="C23" s="29"/>
      <c r="D23" s="29"/>
      <c r="E23" s="29"/>
      <c r="F23" s="29"/>
      <c r="G23" s="29"/>
      <c r="H23" s="29"/>
      <c r="I23" s="717"/>
      <c r="J23" s="29"/>
      <c r="K23" s="29"/>
      <c r="L23" s="29"/>
    </row>
    <row r="24" spans="2:12">
      <c r="B24" s="689" t="s">
        <v>13442</v>
      </c>
      <c r="C24" s="689"/>
      <c r="D24" s="689"/>
      <c r="E24" s="689"/>
      <c r="F24" s="689"/>
      <c r="G24" s="689"/>
      <c r="H24" s="689"/>
      <c r="I24" s="689"/>
      <c r="J24" s="689"/>
      <c r="K24" s="689"/>
      <c r="L24" s="689"/>
    </row>
    <row r="25" spans="7:12">
      <c r="G25">
        <f>SUM(G12:G14)</f>
        <v>0</v>
      </c>
      <c r="J25">
        <f>SUM(J12:J24)</f>
        <v>522090329</v>
      </c>
      <c r="K25">
        <f>SUM(K12:K24)</f>
        <v>57429936.19</v>
      </c>
      <c r="L25">
        <f>SUM(L12:L24)</f>
        <v>579520265.19</v>
      </c>
    </row>
    <row r="26" spans="2:3">
      <c r="B26" t="s">
        <v>11977</v>
      </c>
      <c r="C26" s="1" t="s">
        <v>13443</v>
      </c>
    </row>
    <row r="27" ht="14.4" spans="3:3">
      <c r="C27" s="690" t="s">
        <v>13444</v>
      </c>
    </row>
    <row r="30" spans="3:3">
      <c r="C30" t="s">
        <v>13445</v>
      </c>
    </row>
    <row r="31" spans="3:3">
      <c r="C31" t="s">
        <v>12931</v>
      </c>
    </row>
    <row r="32" spans="3:3">
      <c r="C32" t="s">
        <v>12932</v>
      </c>
    </row>
    <row r="34" ht="12" hidden="1" outlineLevel="1" spans="2:13">
      <c r="B34" t="s">
        <v>11476</v>
      </c>
      <c r="C34" s="691" t="s">
        <v>13446</v>
      </c>
      <c r="D34" s="692" t="s">
        <v>13434</v>
      </c>
      <c r="E34" s="692" t="s">
        <v>13435</v>
      </c>
      <c r="F34" s="692" t="s">
        <v>13447</v>
      </c>
      <c r="G34" s="693" t="s">
        <v>13437</v>
      </c>
      <c r="H34" s="694" t="s">
        <v>12340</v>
      </c>
      <c r="I34" s="694" t="s">
        <v>13438</v>
      </c>
      <c r="J34" s="694" t="s">
        <v>1207</v>
      </c>
      <c r="K34" s="694" t="s">
        <v>1169</v>
      </c>
      <c r="L34" s="720" t="s">
        <v>947</v>
      </c>
      <c r="M34" s="721" t="s">
        <v>947</v>
      </c>
    </row>
    <row r="35" ht="12" hidden="1" outlineLevel="1" spans="3:13">
      <c r="C35" s="695"/>
      <c r="D35" s="696" t="s">
        <v>13439</v>
      </c>
      <c r="E35" s="696"/>
      <c r="F35" s="696"/>
      <c r="G35" s="697"/>
      <c r="H35" s="698" t="s">
        <v>1222</v>
      </c>
      <c r="I35" s="698"/>
      <c r="J35" s="698"/>
      <c r="K35" s="698"/>
      <c r="L35" s="722" t="s">
        <v>1222</v>
      </c>
      <c r="M35" s="723" t="s">
        <v>13448</v>
      </c>
    </row>
    <row r="36" hidden="1" outlineLevel="1" spans="2:13">
      <c r="B36" s="29">
        <v>1</v>
      </c>
      <c r="C36" s="29" t="s">
        <v>12528</v>
      </c>
      <c r="D36" s="686">
        <f>DATEVALUE('[91]penjulan barang'!C9)</f>
        <v>43133</v>
      </c>
      <c r="E36" s="29" t="s">
        <v>13449</v>
      </c>
      <c r="F36" s="29" t="s">
        <v>12528</v>
      </c>
      <c r="G36" s="29">
        <v>0</v>
      </c>
      <c r="H36" s="688">
        <v>0</v>
      </c>
      <c r="I36" s="717" t="s">
        <v>11949</v>
      </c>
      <c r="J36" s="29">
        <f>G36*H36</f>
        <v>0</v>
      </c>
      <c r="K36" s="29">
        <f>J36*10%</f>
        <v>0</v>
      </c>
      <c r="L36" s="29">
        <f>J36+K36</f>
        <v>0</v>
      </c>
      <c r="M36" s="29">
        <f>'[91]penjulan barang'!K9</f>
        <v>6925120</v>
      </c>
    </row>
    <row r="37" hidden="1" outlineLevel="1" spans="2:13">
      <c r="B37" s="29"/>
      <c r="C37" s="29"/>
      <c r="D37" s="686">
        <f>DATEVALUE('[91]penjulan barang'!C10)</f>
        <v>43131</v>
      </c>
      <c r="E37" s="29"/>
      <c r="F37" s="29"/>
      <c r="G37" s="29">
        <v>0</v>
      </c>
      <c r="H37" s="688">
        <v>0</v>
      </c>
      <c r="I37" s="717" t="s">
        <v>11949</v>
      </c>
      <c r="J37" s="29">
        <f>G37*H37</f>
        <v>0</v>
      </c>
      <c r="K37" s="29">
        <f>J37*10%</f>
        <v>0</v>
      </c>
      <c r="L37" s="29">
        <f>J37+K37</f>
        <v>0</v>
      </c>
      <c r="M37" s="29">
        <f>'[91]penjulan barang'!K10</f>
        <v>2171400</v>
      </c>
    </row>
    <row r="38" hidden="1" outlineLevel="1" spans="2:13">
      <c r="B38" s="29"/>
      <c r="C38" s="29"/>
      <c r="D38" s="686">
        <f>DATEVALUE('[91]penjulan barang'!C11)</f>
        <v>43131</v>
      </c>
      <c r="E38" s="29"/>
      <c r="F38" s="29"/>
      <c r="G38" s="29">
        <v>0</v>
      </c>
      <c r="H38" s="688">
        <v>0</v>
      </c>
      <c r="I38" s="717" t="s">
        <v>11949</v>
      </c>
      <c r="J38" s="29">
        <f>G38*H38</f>
        <v>0</v>
      </c>
      <c r="K38" s="29">
        <f>J38*10%</f>
        <v>0</v>
      </c>
      <c r="L38" s="29">
        <f>J38+K38</f>
        <v>0</v>
      </c>
      <c r="M38" s="29">
        <f>'[91]penjulan barang'!K11</f>
        <v>1905750</v>
      </c>
    </row>
    <row r="39" hidden="1" outlineLevel="1" spans="2:13">
      <c r="B39" s="29"/>
      <c r="C39" s="29"/>
      <c r="D39" s="686">
        <f>DATEVALUE('[91]penjulan barang'!C12)</f>
        <v>43131</v>
      </c>
      <c r="E39" s="29"/>
      <c r="F39" s="29"/>
      <c r="G39" s="29">
        <v>0</v>
      </c>
      <c r="H39" s="688">
        <v>0</v>
      </c>
      <c r="I39" s="717" t="s">
        <v>11949</v>
      </c>
      <c r="J39" s="29">
        <f t="shared" ref="J39:J62" si="3">G39*H39</f>
        <v>0</v>
      </c>
      <c r="K39" s="29">
        <f t="shared" ref="K39:K62" si="4">J39*10%</f>
        <v>0</v>
      </c>
      <c r="L39" s="29">
        <f t="shared" ref="L39:L62" si="5">J39+K39</f>
        <v>0</v>
      </c>
      <c r="M39" s="29">
        <f>'[91]penjulan barang'!K12</f>
        <v>767340</v>
      </c>
    </row>
    <row r="40" hidden="1" outlineLevel="1" spans="2:13">
      <c r="B40" s="29"/>
      <c r="C40" s="29"/>
      <c r="D40" s="686">
        <f>DATEVALUE('[91]penjulan barang'!C13)</f>
        <v>43293</v>
      </c>
      <c r="E40" s="29"/>
      <c r="F40" s="29"/>
      <c r="G40" s="29">
        <v>0</v>
      </c>
      <c r="H40" s="688">
        <v>0</v>
      </c>
      <c r="I40" s="717" t="s">
        <v>11949</v>
      </c>
      <c r="J40" s="29">
        <f t="shared" si="3"/>
        <v>0</v>
      </c>
      <c r="K40" s="29">
        <f t="shared" si="4"/>
        <v>0</v>
      </c>
      <c r="L40" s="29">
        <f t="shared" si="5"/>
        <v>0</v>
      </c>
      <c r="M40" s="29">
        <f>'[91]penjulan barang'!K13</f>
        <v>8516370</v>
      </c>
    </row>
    <row r="41" hidden="1" outlineLevel="1" spans="2:13">
      <c r="B41" s="29"/>
      <c r="C41" s="29"/>
      <c r="D41" s="686">
        <f>DATEVALUE('[91]penjulan barang'!C14)</f>
        <v>43154</v>
      </c>
      <c r="E41" s="29"/>
      <c r="F41" s="29"/>
      <c r="G41" s="29">
        <v>0</v>
      </c>
      <c r="H41" s="688">
        <v>0</v>
      </c>
      <c r="I41" s="717" t="s">
        <v>11949</v>
      </c>
      <c r="J41" s="29">
        <f t="shared" si="3"/>
        <v>0</v>
      </c>
      <c r="K41" s="29">
        <f t="shared" si="4"/>
        <v>0</v>
      </c>
      <c r="L41" s="29">
        <f t="shared" si="5"/>
        <v>0</v>
      </c>
      <c r="M41" s="29">
        <f>'[91]penjulan barang'!K14</f>
        <v>16558680</v>
      </c>
    </row>
    <row r="42" hidden="1" outlineLevel="1" spans="2:13">
      <c r="B42" s="29"/>
      <c r="C42" s="29"/>
      <c r="D42" s="686">
        <f>DATEVALUE('[91]penjulan barang'!C15)</f>
        <v>43181</v>
      </c>
      <c r="E42" s="29"/>
      <c r="F42" s="29"/>
      <c r="G42" s="29">
        <v>0</v>
      </c>
      <c r="H42" s="688">
        <v>0</v>
      </c>
      <c r="I42" s="717" t="s">
        <v>11949</v>
      </c>
      <c r="J42" s="29">
        <f t="shared" si="3"/>
        <v>0</v>
      </c>
      <c r="K42" s="29">
        <f t="shared" si="4"/>
        <v>0</v>
      </c>
      <c r="L42" s="29">
        <f t="shared" si="5"/>
        <v>0</v>
      </c>
      <c r="M42" s="29">
        <f>'[91]penjulan barang'!K15</f>
        <v>1228500</v>
      </c>
    </row>
    <row r="43" hidden="1" outlineLevel="1" spans="2:13">
      <c r="B43" s="29"/>
      <c r="C43" s="29"/>
      <c r="D43" s="686">
        <f>DATEVALUE('[91]penjulan barang'!C16)</f>
        <v>43181</v>
      </c>
      <c r="E43" s="29"/>
      <c r="F43" s="29"/>
      <c r="G43" s="29">
        <v>0</v>
      </c>
      <c r="H43" s="688">
        <v>0</v>
      </c>
      <c r="I43" s="717" t="s">
        <v>11949</v>
      </c>
      <c r="J43" s="29">
        <f t="shared" si="3"/>
        <v>0</v>
      </c>
      <c r="K43" s="29">
        <f t="shared" si="4"/>
        <v>0</v>
      </c>
      <c r="L43" s="29">
        <f t="shared" si="5"/>
        <v>0</v>
      </c>
      <c r="M43" s="29">
        <f>'[91]penjulan barang'!K16</f>
        <v>1228500</v>
      </c>
    </row>
    <row r="44" hidden="1" outlineLevel="1" spans="2:13">
      <c r="B44" s="29"/>
      <c r="C44" s="29"/>
      <c r="D44" s="686">
        <f>DATEVALUE('[91]penjulan barang'!C17)</f>
        <v>43192</v>
      </c>
      <c r="E44" s="29"/>
      <c r="F44" s="29"/>
      <c r="G44" s="29">
        <v>0</v>
      </c>
      <c r="H44" s="688">
        <v>0</v>
      </c>
      <c r="I44" s="717" t="s">
        <v>11949</v>
      </c>
      <c r="J44" s="29">
        <f t="shared" si="3"/>
        <v>0</v>
      </c>
      <c r="K44" s="29">
        <f t="shared" si="4"/>
        <v>0</v>
      </c>
      <c r="L44" s="29">
        <f t="shared" si="5"/>
        <v>0</v>
      </c>
      <c r="M44" s="29">
        <f>'[91]penjulan barang'!K17</f>
        <v>8439990</v>
      </c>
    </row>
    <row r="45" hidden="1" outlineLevel="1" spans="2:13">
      <c r="B45" s="29"/>
      <c r="C45" s="29"/>
      <c r="D45" s="686">
        <f>DATEVALUE('[91]penjulan barang'!C18)</f>
        <v>43200</v>
      </c>
      <c r="E45" s="29"/>
      <c r="F45" s="29"/>
      <c r="G45" s="29">
        <v>0</v>
      </c>
      <c r="H45" s="688">
        <v>0</v>
      </c>
      <c r="I45" s="717" t="s">
        <v>11949</v>
      </c>
      <c r="J45" s="29">
        <f t="shared" si="3"/>
        <v>0</v>
      </c>
      <c r="K45" s="29">
        <f t="shared" si="4"/>
        <v>0</v>
      </c>
      <c r="L45" s="29">
        <f t="shared" si="5"/>
        <v>0</v>
      </c>
      <c r="M45" s="29">
        <f>'[91]penjulan barang'!K18</f>
        <v>2500000</v>
      </c>
    </row>
    <row r="46" hidden="1" outlineLevel="1" spans="2:13">
      <c r="B46" s="29"/>
      <c r="C46" s="29"/>
      <c r="D46" s="686" t="e">
        <f>DATEVALUE('[91]penjulan barang'!C19)</f>
        <v>#VALUE!</v>
      </c>
      <c r="E46" s="29"/>
      <c r="F46" s="29"/>
      <c r="G46" s="29">
        <v>0</v>
      </c>
      <c r="H46" s="688">
        <v>0</v>
      </c>
      <c r="I46" s="717" t="s">
        <v>11949</v>
      </c>
      <c r="J46" s="29">
        <f t="shared" si="3"/>
        <v>0</v>
      </c>
      <c r="K46" s="29">
        <f t="shared" si="4"/>
        <v>0</v>
      </c>
      <c r="L46" s="29">
        <f t="shared" si="5"/>
        <v>0</v>
      </c>
      <c r="M46" s="29">
        <f>'[91]penjulan barang'!K19</f>
        <v>1228500</v>
      </c>
    </row>
    <row r="47" hidden="1" outlineLevel="1" spans="2:13">
      <c r="B47" s="29"/>
      <c r="C47" s="29"/>
      <c r="D47" s="686" t="e">
        <f>DATEVALUE('[91]penjulan barang'!C20)</f>
        <v>#VALUE!</v>
      </c>
      <c r="E47" s="29"/>
      <c r="F47" s="29"/>
      <c r="G47" s="29">
        <v>0</v>
      </c>
      <c r="H47" s="688">
        <v>0</v>
      </c>
      <c r="I47" s="717" t="s">
        <v>11949</v>
      </c>
      <c r="J47" s="29">
        <f t="shared" si="3"/>
        <v>0</v>
      </c>
      <c r="K47" s="29">
        <f t="shared" si="4"/>
        <v>0</v>
      </c>
      <c r="L47" s="29">
        <f t="shared" si="5"/>
        <v>0</v>
      </c>
      <c r="M47" s="29">
        <f>'[91]penjulan barang'!K20</f>
        <v>10464060</v>
      </c>
    </row>
    <row r="48" hidden="1" outlineLevel="1" spans="2:13">
      <c r="B48" s="29"/>
      <c r="C48" s="29"/>
      <c r="D48" s="686">
        <f>DATEVALUE('[91]penjulan barang'!C21)</f>
        <v>43279</v>
      </c>
      <c r="E48" s="29"/>
      <c r="F48" s="29"/>
      <c r="G48" s="29">
        <v>0</v>
      </c>
      <c r="H48" s="688">
        <v>0</v>
      </c>
      <c r="I48" s="717" t="s">
        <v>11949</v>
      </c>
      <c r="J48" s="29">
        <f t="shared" si="3"/>
        <v>0</v>
      </c>
      <c r="K48" s="29">
        <f t="shared" si="4"/>
        <v>0</v>
      </c>
      <c r="L48" s="29">
        <f t="shared" si="5"/>
        <v>0</v>
      </c>
      <c r="M48" s="29">
        <f>'[91]penjulan barang'!K21</f>
        <v>1228500</v>
      </c>
    </row>
    <row r="49" hidden="1" outlineLevel="1" spans="2:13">
      <c r="B49" s="29"/>
      <c r="C49" s="29"/>
      <c r="D49" s="686">
        <f>DATEVALUE('[91]penjulan barang'!C22)</f>
        <v>43279</v>
      </c>
      <c r="E49" s="29"/>
      <c r="F49" s="29"/>
      <c r="G49" s="29">
        <v>0</v>
      </c>
      <c r="H49" s="688">
        <v>0</v>
      </c>
      <c r="I49" s="717" t="s">
        <v>11949</v>
      </c>
      <c r="J49" s="29">
        <f t="shared" si="3"/>
        <v>0</v>
      </c>
      <c r="K49" s="29">
        <f t="shared" si="4"/>
        <v>0</v>
      </c>
      <c r="L49" s="29">
        <f t="shared" si="5"/>
        <v>0</v>
      </c>
      <c r="M49" s="29">
        <f>'[91]penjulan barang'!K22</f>
        <v>2069025</v>
      </c>
    </row>
    <row r="50" hidden="1" outlineLevel="1" spans="2:13">
      <c r="B50" s="29"/>
      <c r="C50" s="29"/>
      <c r="D50" s="686">
        <f>DATEVALUE('[91]penjulan barang'!C23)</f>
        <v>43312</v>
      </c>
      <c r="E50" s="29"/>
      <c r="F50" s="29"/>
      <c r="G50" s="29">
        <v>0</v>
      </c>
      <c r="H50" s="688">
        <v>0</v>
      </c>
      <c r="I50" s="717" t="s">
        <v>11949</v>
      </c>
      <c r="J50" s="29">
        <f t="shared" si="3"/>
        <v>0</v>
      </c>
      <c r="K50" s="29">
        <f t="shared" si="4"/>
        <v>0</v>
      </c>
      <c r="L50" s="29">
        <f t="shared" si="5"/>
        <v>0</v>
      </c>
      <c r="M50" s="29">
        <f>'[91]penjulan barang'!K23</f>
        <v>10036950</v>
      </c>
    </row>
    <row r="51" hidden="1" outlineLevel="1" spans="2:13">
      <c r="B51" s="29"/>
      <c r="C51" s="29"/>
      <c r="D51" s="686" t="e">
        <f>DATEVALUE('[91]penjulan barang'!C24)</f>
        <v>#VALUE!</v>
      </c>
      <c r="E51" s="29"/>
      <c r="F51" s="29"/>
      <c r="G51" s="29">
        <v>0</v>
      </c>
      <c r="H51" s="688">
        <v>0</v>
      </c>
      <c r="I51" s="717" t="s">
        <v>11949</v>
      </c>
      <c r="J51" s="29">
        <f t="shared" si="3"/>
        <v>0</v>
      </c>
      <c r="K51" s="29">
        <f t="shared" si="4"/>
        <v>0</v>
      </c>
      <c r="L51" s="29">
        <f t="shared" si="5"/>
        <v>0</v>
      </c>
      <c r="M51" s="29">
        <f>'[91]penjulan barang'!K24</f>
        <v>7676190</v>
      </c>
    </row>
    <row r="52" hidden="1" outlineLevel="1" spans="2:13">
      <c r="B52" s="29"/>
      <c r="C52" s="29"/>
      <c r="D52" s="686" t="e">
        <f>DATEVALUE('[91]penjulan barang'!C25)</f>
        <v>#VALUE!</v>
      </c>
      <c r="E52" s="29"/>
      <c r="F52" s="29"/>
      <c r="G52" s="29">
        <v>0</v>
      </c>
      <c r="H52" s="688">
        <v>0</v>
      </c>
      <c r="I52" s="717" t="s">
        <v>11949</v>
      </c>
      <c r="J52" s="29">
        <f t="shared" si="3"/>
        <v>0</v>
      </c>
      <c r="K52" s="29">
        <f t="shared" si="4"/>
        <v>0</v>
      </c>
      <c r="L52" s="29">
        <f t="shared" si="5"/>
        <v>0</v>
      </c>
      <c r="M52" s="29">
        <f>'[91]penjulan barang'!K25</f>
        <v>4431216</v>
      </c>
    </row>
    <row r="53" hidden="1" outlineLevel="1" spans="2:13">
      <c r="B53" s="29"/>
      <c r="C53" s="29"/>
      <c r="D53" s="686" t="e">
        <f>DATEVALUE('[91]penjulan barang'!C26)</f>
        <v>#VALUE!</v>
      </c>
      <c r="E53" s="29"/>
      <c r="F53" s="29"/>
      <c r="G53" s="29">
        <v>0</v>
      </c>
      <c r="H53" s="688">
        <v>0</v>
      </c>
      <c r="I53" s="717" t="s">
        <v>11949</v>
      </c>
      <c r="J53" s="29">
        <f t="shared" si="3"/>
        <v>0</v>
      </c>
      <c r="K53" s="29">
        <f t="shared" si="4"/>
        <v>0</v>
      </c>
      <c r="L53" s="29">
        <f t="shared" si="5"/>
        <v>0</v>
      </c>
      <c r="M53" s="29">
        <f>'[91]penjulan barang'!K26</f>
        <v>4468230</v>
      </c>
    </row>
    <row r="54" hidden="1" outlineLevel="1" spans="2:13">
      <c r="B54" s="29"/>
      <c r="C54" s="29"/>
      <c r="D54" s="686" t="e">
        <f>DATEVALUE('[91]penjulan barang'!C27)</f>
        <v>#VALUE!</v>
      </c>
      <c r="E54" s="29"/>
      <c r="F54" s="29"/>
      <c r="G54" s="29">
        <v>0</v>
      </c>
      <c r="H54" s="688">
        <v>0</v>
      </c>
      <c r="I54" s="717" t="s">
        <v>11949</v>
      </c>
      <c r="J54" s="29">
        <f t="shared" si="3"/>
        <v>0</v>
      </c>
      <c r="K54" s="29">
        <f t="shared" si="4"/>
        <v>0</v>
      </c>
      <c r="L54" s="29">
        <f t="shared" si="5"/>
        <v>0</v>
      </c>
      <c r="M54" s="29">
        <f>'[91]penjulan barang'!K27</f>
        <v>1965600</v>
      </c>
    </row>
    <row r="55" hidden="1" outlineLevel="1" spans="2:13">
      <c r="B55" s="29"/>
      <c r="C55" s="29"/>
      <c r="D55" s="686" t="e">
        <f>DATEVALUE('[91]penjulan barang'!C28)</f>
        <v>#VALUE!</v>
      </c>
      <c r="E55" s="29"/>
      <c r="F55" s="29"/>
      <c r="G55" s="29">
        <v>0</v>
      </c>
      <c r="H55" s="688">
        <v>0</v>
      </c>
      <c r="I55" s="717" t="s">
        <v>11949</v>
      </c>
      <c r="J55" s="29">
        <f t="shared" si="3"/>
        <v>0</v>
      </c>
      <c r="K55" s="29">
        <f t="shared" si="4"/>
        <v>0</v>
      </c>
      <c r="L55" s="29">
        <f t="shared" si="5"/>
        <v>0</v>
      </c>
      <c r="M55" s="29">
        <f>'[91]penjulan barang'!K28</f>
        <v>1965600</v>
      </c>
    </row>
    <row r="56" hidden="1" outlineLevel="1" spans="2:13">
      <c r="B56" s="29"/>
      <c r="C56" s="29"/>
      <c r="D56" s="686">
        <f>DATEVALUE('[91]penjulan barang'!C29)</f>
        <v>43431</v>
      </c>
      <c r="E56" s="29"/>
      <c r="F56" s="29"/>
      <c r="G56" s="29">
        <v>0</v>
      </c>
      <c r="H56" s="688">
        <v>0</v>
      </c>
      <c r="I56" s="717" t="s">
        <v>11949</v>
      </c>
      <c r="J56" s="29">
        <f t="shared" si="3"/>
        <v>0</v>
      </c>
      <c r="K56" s="29">
        <f t="shared" si="4"/>
        <v>0</v>
      </c>
      <c r="L56" s="29">
        <f t="shared" si="5"/>
        <v>0</v>
      </c>
      <c r="M56" s="29">
        <f>'[91]penjulan barang'!K29</f>
        <v>5620456</v>
      </c>
    </row>
    <row r="57" hidden="1" outlineLevel="1" spans="2:13">
      <c r="B57" s="29"/>
      <c r="C57" s="29"/>
      <c r="D57" s="686">
        <f>DATEVALUE('[91]penjulan barang'!C30)</f>
        <v>43431</v>
      </c>
      <c r="E57" s="29"/>
      <c r="F57" s="29"/>
      <c r="G57" s="29">
        <v>0</v>
      </c>
      <c r="H57" s="688">
        <v>0</v>
      </c>
      <c r="I57" s="717" t="s">
        <v>11949</v>
      </c>
      <c r="J57" s="29">
        <f t="shared" si="3"/>
        <v>0</v>
      </c>
      <c r="K57" s="29">
        <f t="shared" si="4"/>
        <v>0</v>
      </c>
      <c r="L57" s="29">
        <f t="shared" si="5"/>
        <v>0</v>
      </c>
      <c r="M57" s="29">
        <f>'[91]penjulan barang'!K30</f>
        <v>5621664</v>
      </c>
    </row>
    <row r="58" hidden="1" outlineLevel="1" spans="2:13">
      <c r="B58" s="29"/>
      <c r="C58" s="29"/>
      <c r="D58" s="686" t="e">
        <f>DATEVALUE('[91]penjulan barang'!C31)</f>
        <v>#VALUE!</v>
      </c>
      <c r="E58" s="29"/>
      <c r="F58" s="29"/>
      <c r="G58" s="29">
        <v>0</v>
      </c>
      <c r="H58" s="688">
        <v>0</v>
      </c>
      <c r="I58" s="717" t="s">
        <v>11949</v>
      </c>
      <c r="J58" s="29">
        <f t="shared" si="3"/>
        <v>0</v>
      </c>
      <c r="K58" s="29">
        <f t="shared" si="4"/>
        <v>0</v>
      </c>
      <c r="L58" s="29">
        <f t="shared" si="5"/>
        <v>0</v>
      </c>
      <c r="M58" s="29">
        <f>'[91]penjulan barang'!K31</f>
        <v>6759630</v>
      </c>
    </row>
    <row r="59" hidden="1" outlineLevel="1" spans="2:13">
      <c r="B59" s="29"/>
      <c r="C59" s="29"/>
      <c r="D59" s="686" t="e">
        <f>DATEVALUE('[91]penjulan barang'!C32)</f>
        <v>#VALUE!</v>
      </c>
      <c r="E59" s="29"/>
      <c r="F59" s="29"/>
      <c r="G59" s="29">
        <v>0</v>
      </c>
      <c r="H59" s="688">
        <v>0</v>
      </c>
      <c r="I59" s="717" t="s">
        <v>11949</v>
      </c>
      <c r="J59" s="29">
        <f t="shared" si="3"/>
        <v>0</v>
      </c>
      <c r="K59" s="29">
        <f t="shared" si="4"/>
        <v>0</v>
      </c>
      <c r="L59" s="29">
        <f t="shared" si="5"/>
        <v>0</v>
      </c>
      <c r="M59" s="29">
        <f>'[91]penjulan barang'!K32</f>
        <v>4798500</v>
      </c>
    </row>
    <row r="60" hidden="1" outlineLevel="1" spans="2:13">
      <c r="B60" s="29"/>
      <c r="C60" s="29"/>
      <c r="D60" s="686">
        <f>DATEVALUE('[91]penjulan barang'!C33)</f>
        <v>43371</v>
      </c>
      <c r="E60" s="29"/>
      <c r="F60" s="29"/>
      <c r="G60" s="29">
        <v>0</v>
      </c>
      <c r="H60" s="688">
        <v>0</v>
      </c>
      <c r="I60" s="717" t="s">
        <v>11949</v>
      </c>
      <c r="J60" s="29">
        <f t="shared" si="3"/>
        <v>0</v>
      </c>
      <c r="K60" s="29">
        <f t="shared" si="4"/>
        <v>0</v>
      </c>
      <c r="L60" s="29">
        <f t="shared" si="5"/>
        <v>0</v>
      </c>
      <c r="M60" s="29">
        <f>'[91]penjulan barang'!K33</f>
        <v>538000</v>
      </c>
    </row>
    <row r="61" hidden="1" outlineLevel="1" spans="2:13">
      <c r="B61" s="29"/>
      <c r="C61" s="29"/>
      <c r="D61" s="686" t="e">
        <f>DATEVALUE('[91]penjulan barang'!C34)</f>
        <v>#VALUE!</v>
      </c>
      <c r="E61" s="29"/>
      <c r="F61" s="29"/>
      <c r="G61" s="29">
        <v>0</v>
      </c>
      <c r="H61" s="688">
        <v>0</v>
      </c>
      <c r="I61" s="717" t="s">
        <v>11949</v>
      </c>
      <c r="J61" s="29">
        <f t="shared" si="3"/>
        <v>0</v>
      </c>
      <c r="K61" s="29">
        <f t="shared" si="4"/>
        <v>0</v>
      </c>
      <c r="L61" s="29">
        <f t="shared" si="5"/>
        <v>0</v>
      </c>
      <c r="M61" s="29"/>
    </row>
    <row r="62" hidden="1" outlineLevel="1" spans="2:13">
      <c r="B62" s="29"/>
      <c r="C62" s="29"/>
      <c r="D62" s="686" t="e">
        <f>DATEVALUE('[91]penjulan barang'!C35)</f>
        <v>#VALUE!</v>
      </c>
      <c r="E62" s="29"/>
      <c r="F62" s="29"/>
      <c r="G62" s="29">
        <v>0</v>
      </c>
      <c r="H62" s="688">
        <v>0</v>
      </c>
      <c r="I62" s="717" t="s">
        <v>11949</v>
      </c>
      <c r="J62" s="29">
        <f t="shared" si="3"/>
        <v>0</v>
      </c>
      <c r="K62" s="29">
        <f t="shared" si="4"/>
        <v>0</v>
      </c>
      <c r="L62" s="29">
        <f t="shared" si="5"/>
        <v>0</v>
      </c>
      <c r="M62" s="29">
        <f>SUM(M36:M61)</f>
        <v>119113771</v>
      </c>
    </row>
    <row r="63" collapsed="1"/>
  </sheetData>
  <mergeCells count="2">
    <mergeCell ref="B10:B11"/>
    <mergeCell ref="B34:B35"/>
  </mergeCells>
  <pageMargins left="0.31496062992126" right="0.31496062992126" top="0.354330708661417" bottom="0.15748031496063" header="0.31496062992126" footer="0.31496062992126"/>
  <pageSetup paperSize="9" scale="50" orientation="portrait"/>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8">
    <pageSetUpPr fitToPage="1"/>
  </sheetPr>
  <dimension ref="A1:X61"/>
  <sheetViews>
    <sheetView showGridLines="0" zoomScale="130" zoomScaleNormal="130" workbookViewId="0">
      <pane xSplit="5" ySplit="11" topLeftCell="F18" activePane="bottomRight" state="frozen"/>
      <selection/>
      <selection pane="topRight"/>
      <selection pane="bottomLeft"/>
      <selection pane="bottomRight" activeCell="G17" sqref="G17"/>
    </sheetView>
  </sheetViews>
  <sheetFormatPr defaultColWidth="9.13541666666667" defaultRowHeight="13.8"/>
  <cols>
    <col min="1" max="1" width="1.34375" style="576" customWidth="1"/>
    <col min="2" max="2" width="4.79166666666667" style="576" customWidth="1"/>
    <col min="3" max="3" width="2.69791666666667" style="576" customWidth="1"/>
    <col min="4" max="4" width="32.3645833333333" style="576" customWidth="1"/>
    <col min="5" max="5" width="6.14583333333333" style="576" customWidth="1"/>
    <col min="6" max="6" width="15.4270833333333" style="576" customWidth="1" outlineLevel="1"/>
    <col min="7" max="7" width="13.03125" style="576" customWidth="1" outlineLevel="1"/>
    <col min="8" max="9" width="14.0833333333333" style="576" customWidth="1" outlineLevel="1"/>
    <col min="10" max="10" width="15.5833333333333" style="576" customWidth="1" outlineLevel="1"/>
    <col min="11" max="11" width="15.4270833333333" style="576" customWidth="1"/>
    <col min="12" max="12" width="17.2291666666667" style="576" customWidth="1" outlineLevel="1"/>
    <col min="13" max="13" width="4.34375" style="577" customWidth="1" outlineLevel="1"/>
    <col min="14" max="14" width="15.1354166666667" style="576" customWidth="1" outlineLevel="1"/>
    <col min="15" max="15" width="14.9791666666667" style="576" customWidth="1" outlineLevel="1"/>
    <col min="16" max="16" width="4.34375" style="577" customWidth="1" outlineLevel="1"/>
    <col min="17" max="17" width="17.8333333333333" style="576" customWidth="1"/>
    <col min="18" max="18" width="17.53125" style="576" customWidth="1"/>
    <col min="19" max="19" width="14.8333333333333" style="576" customWidth="1"/>
    <col min="20" max="20" width="7.1875" style="576" customWidth="1"/>
    <col min="21" max="21" width="13.3333333333333" style="576" customWidth="1"/>
    <col min="22" max="22" width="9.73958333333333" style="576" customWidth="1"/>
    <col min="23" max="23" width="9.13541666666667" style="576"/>
    <col min="24" max="24" width="14.3854166666667" style="578" customWidth="1"/>
    <col min="25" max="16384" width="9.13541666666667" style="576"/>
  </cols>
  <sheetData>
    <row r="1" spans="5:17">
      <c r="E1" s="579"/>
      <c r="F1" s="579"/>
      <c r="G1" s="579"/>
      <c r="H1" s="579"/>
      <c r="I1" s="579"/>
      <c r="J1" s="579"/>
      <c r="K1" s="579"/>
      <c r="L1" s="579"/>
      <c r="M1"/>
      <c r="N1" s="579"/>
      <c r="O1" s="579"/>
      <c r="P1"/>
      <c r="Q1" s="579"/>
    </row>
    <row r="2" customFormat="1" ht="12" spans="2:20">
      <c r="B2" s="104" t="str">
        <f>'10'!B2</f>
        <v>KAP LIASTA NIRWAN SYAFRUDIN &amp; REKAN</v>
      </c>
      <c r="C2" s="262"/>
      <c r="D2" s="262"/>
      <c r="E2" s="262"/>
      <c r="F2" s="262"/>
      <c r="G2" s="262"/>
      <c r="H2" s="262"/>
      <c r="I2" s="262"/>
      <c r="J2" s="262"/>
      <c r="K2" s="262"/>
      <c r="L2" s="262"/>
      <c r="M2" s="262"/>
      <c r="N2" s="262"/>
      <c r="O2" s="262"/>
      <c r="P2" s="262"/>
      <c r="Q2" s="639" t="s">
        <v>481</v>
      </c>
      <c r="R2" s="262" t="s">
        <v>482</v>
      </c>
      <c r="S2" s="640" t="s">
        <v>483</v>
      </c>
      <c r="T2" s="339"/>
    </row>
    <row r="3" customFormat="1" ht="11.4" spans="2:20">
      <c r="B3" s="263"/>
      <c r="C3" s="264"/>
      <c r="D3" s="264"/>
      <c r="E3" s="264"/>
      <c r="F3" s="264"/>
      <c r="G3" s="264"/>
      <c r="H3" s="264"/>
      <c r="I3" s="264"/>
      <c r="J3" s="264"/>
      <c r="K3" s="264"/>
      <c r="L3" s="264"/>
      <c r="M3" s="264"/>
      <c r="N3" s="264"/>
      <c r="O3" s="264"/>
      <c r="P3" s="264"/>
      <c r="Q3" s="641" t="s">
        <v>484</v>
      </c>
      <c r="R3" s="340">
        <v>45173</v>
      </c>
      <c r="S3" s="263">
        <v>20</v>
      </c>
      <c r="T3" s="341"/>
    </row>
    <row r="4" customFormat="1" ht="11.4" spans="2:20">
      <c r="B4" s="263" t="s">
        <v>622</v>
      </c>
      <c r="C4" s="264"/>
      <c r="D4" s="264" t="str">
        <f>+B!D4</f>
        <v>PT INTAN GIRI ABADI</v>
      </c>
      <c r="E4" s="264"/>
      <c r="F4" s="264"/>
      <c r="G4" s="264"/>
      <c r="H4" s="264"/>
      <c r="I4" s="264"/>
      <c r="J4" s="264"/>
      <c r="K4" s="264"/>
      <c r="L4" s="264"/>
      <c r="M4" s="264"/>
      <c r="N4" s="264"/>
      <c r="O4" s="264"/>
      <c r="P4" s="264"/>
      <c r="Q4" s="641" t="s">
        <v>487</v>
      </c>
      <c r="R4" s="264" t="s">
        <v>482</v>
      </c>
      <c r="S4" s="263" t="s">
        <v>488</v>
      </c>
      <c r="T4" s="341"/>
    </row>
    <row r="5" customFormat="1" ht="11.4" spans="2:20">
      <c r="B5" s="263"/>
      <c r="C5" s="264"/>
      <c r="D5" s="264"/>
      <c r="E5" s="264"/>
      <c r="F5" s="264"/>
      <c r="G5" s="264"/>
      <c r="H5" s="264"/>
      <c r="I5" s="264"/>
      <c r="J5" s="264"/>
      <c r="K5" s="264"/>
      <c r="L5" s="264"/>
      <c r="M5" s="264"/>
      <c r="N5" s="264"/>
      <c r="O5" s="264"/>
      <c r="P5" s="264"/>
      <c r="Q5" s="641"/>
      <c r="R5" s="264"/>
      <c r="S5" s="263"/>
      <c r="T5" s="341"/>
    </row>
    <row r="6" customFormat="1" ht="11.4" spans="2:20">
      <c r="B6" s="263"/>
      <c r="C6" s="264"/>
      <c r="D6" s="264"/>
      <c r="E6" s="264"/>
      <c r="F6" s="264"/>
      <c r="G6" s="264"/>
      <c r="H6" s="264"/>
      <c r="I6" s="264"/>
      <c r="J6" s="264"/>
      <c r="K6" s="264"/>
      <c r="L6" s="264"/>
      <c r="M6" s="264"/>
      <c r="N6" s="264"/>
      <c r="O6" s="264"/>
      <c r="P6" s="264"/>
      <c r="Q6" s="641"/>
      <c r="R6" s="264"/>
      <c r="S6" s="263" t="s">
        <v>491</v>
      </c>
      <c r="T6" s="341"/>
    </row>
    <row r="7" customFormat="1" ht="11.4" spans="2:20">
      <c r="B7" s="265" t="s">
        <v>13450</v>
      </c>
      <c r="C7" s="267"/>
      <c r="D7" s="267" t="s">
        <v>13451</v>
      </c>
      <c r="E7" s="267"/>
      <c r="F7" s="267"/>
      <c r="G7" s="267"/>
      <c r="H7" s="267"/>
      <c r="I7" s="267"/>
      <c r="J7" s="267"/>
      <c r="K7" s="267"/>
      <c r="L7" s="267"/>
      <c r="M7" s="267"/>
      <c r="N7" s="267"/>
      <c r="O7" s="267"/>
      <c r="P7" s="267"/>
      <c r="Q7" s="642"/>
      <c r="R7" s="267"/>
      <c r="S7" s="643">
        <f>'10'!V7</f>
        <v>44926</v>
      </c>
      <c r="T7" s="644"/>
    </row>
    <row r="8" spans="24:24">
      <c r="X8" s="576"/>
    </row>
    <row r="9" spans="2:24">
      <c r="B9" s="580"/>
      <c r="C9" s="581"/>
      <c r="D9" s="582"/>
      <c r="E9" s="583"/>
      <c r="F9" s="583" t="s">
        <v>2248</v>
      </c>
      <c r="G9" s="584"/>
      <c r="H9" s="585" t="s">
        <v>1228</v>
      </c>
      <c r="I9" s="585"/>
      <c r="J9" s="584"/>
      <c r="K9" s="583" t="s">
        <v>2248</v>
      </c>
      <c r="L9" s="583" t="s">
        <v>2248</v>
      </c>
      <c r="M9" s="584"/>
      <c r="N9" s="585" t="s">
        <v>1228</v>
      </c>
      <c r="O9" s="585"/>
      <c r="P9" s="584"/>
      <c r="Q9" s="583" t="s">
        <v>2248</v>
      </c>
      <c r="R9" s="583" t="s">
        <v>2248</v>
      </c>
      <c r="S9" s="645">
        <v>44196</v>
      </c>
      <c r="T9" s="645"/>
      <c r="X9" s="576"/>
    </row>
    <row r="10" spans="2:24">
      <c r="B10" s="586" t="s">
        <v>492</v>
      </c>
      <c r="C10" s="586"/>
      <c r="D10" s="586"/>
      <c r="E10" s="583" t="s">
        <v>654</v>
      </c>
      <c r="F10" s="583" t="s">
        <v>2249</v>
      </c>
      <c r="G10" s="584" t="s">
        <v>1230</v>
      </c>
      <c r="H10" s="585"/>
      <c r="I10" s="585"/>
      <c r="J10" s="584" t="s">
        <v>1230</v>
      </c>
      <c r="K10" s="583" t="s">
        <v>2250</v>
      </c>
      <c r="L10" s="583" t="s">
        <v>2249</v>
      </c>
      <c r="M10" s="584" t="s">
        <v>1230</v>
      </c>
      <c r="N10" s="585"/>
      <c r="O10" s="585"/>
      <c r="P10" s="584" t="s">
        <v>1230</v>
      </c>
      <c r="Q10" s="583" t="s">
        <v>2250</v>
      </c>
      <c r="R10" s="583" t="s">
        <v>2250</v>
      </c>
      <c r="S10" s="585" t="s">
        <v>13452</v>
      </c>
      <c r="T10" s="585"/>
      <c r="X10" s="576"/>
    </row>
    <row r="11" s="575" customFormat="1" spans="2:20">
      <c r="B11" s="587"/>
      <c r="C11" s="588"/>
      <c r="D11" s="589"/>
      <c r="E11" s="590" t="s">
        <v>13453</v>
      </c>
      <c r="F11" s="590">
        <v>44926</v>
      </c>
      <c r="G11" s="590" t="s">
        <v>13454</v>
      </c>
      <c r="H11" s="590" t="s">
        <v>1231</v>
      </c>
      <c r="I11" s="590" t="s">
        <v>1232</v>
      </c>
      <c r="J11" s="590" t="s">
        <v>13454</v>
      </c>
      <c r="K11" s="590">
        <f>+F11</f>
        <v>44926</v>
      </c>
      <c r="L11" s="590">
        <f>+K11-365</f>
        <v>44561</v>
      </c>
      <c r="M11" s="590" t="s">
        <v>13454</v>
      </c>
      <c r="N11" s="590" t="s">
        <v>1231</v>
      </c>
      <c r="O11" s="590" t="s">
        <v>1232</v>
      </c>
      <c r="P11" s="590" t="s">
        <v>13454</v>
      </c>
      <c r="Q11" s="590">
        <f>+L11</f>
        <v>44561</v>
      </c>
      <c r="R11" s="590">
        <f>+Q11-365</f>
        <v>44196</v>
      </c>
      <c r="S11" s="590" t="s">
        <v>151</v>
      </c>
      <c r="T11" s="590" t="s">
        <v>1236</v>
      </c>
    </row>
    <row r="12" spans="2:24">
      <c r="B12" s="591"/>
      <c r="C12" s="579"/>
      <c r="D12" s="579"/>
      <c r="E12" s="592"/>
      <c r="F12" s="592"/>
      <c r="G12" s="592"/>
      <c r="H12" s="592"/>
      <c r="I12" s="592"/>
      <c r="J12" s="592"/>
      <c r="K12" s="592"/>
      <c r="L12" s="622"/>
      <c r="M12" s="623"/>
      <c r="N12" s="622"/>
      <c r="O12" s="622"/>
      <c r="P12" s="623"/>
      <c r="Q12" s="622"/>
      <c r="R12" s="622"/>
      <c r="S12" s="622"/>
      <c r="T12" s="646"/>
      <c r="X12" s="576"/>
    </row>
    <row r="13" spans="2:24">
      <c r="B13" s="204" t="s">
        <v>13455</v>
      </c>
      <c r="C13" s="579"/>
      <c r="D13" s="579"/>
      <c r="E13" s="592"/>
      <c r="F13" s="592"/>
      <c r="G13" s="592"/>
      <c r="H13" s="593"/>
      <c r="I13" s="593"/>
      <c r="J13" s="592"/>
      <c r="K13" s="592"/>
      <c r="L13" s="622"/>
      <c r="M13" s="623"/>
      <c r="N13" s="622"/>
      <c r="O13" s="622"/>
      <c r="P13" s="623"/>
      <c r="Q13" s="622"/>
      <c r="R13" s="622"/>
      <c r="S13" s="622"/>
      <c r="T13" s="646"/>
      <c r="X13" s="576"/>
    </row>
    <row r="14" spans="2:24">
      <c r="B14" s="594"/>
      <c r="C14" s="579" t="s">
        <v>2039</v>
      </c>
      <c r="D14" s="579"/>
      <c r="E14" s="5186" t="s">
        <v>13456</v>
      </c>
      <c r="F14" s="595">
        <f>+'[79]P&amp;L22'!F84</f>
        <v>502700450</v>
      </c>
      <c r="G14" s="592"/>
      <c r="H14" s="161">
        <f>SUMIF('F4'!$E$12:$E$158,C14,'F4'!$G$12:$G$158)</f>
        <v>0</v>
      </c>
      <c r="I14" s="161">
        <f>SUMIF('F4'!$E$12:$E$158,C14,'F4'!$H$12:$H$158)</f>
        <v>0</v>
      </c>
      <c r="J14" s="592"/>
      <c r="K14" s="622">
        <f t="shared" ref="K14:K23" si="0">F14+H14-I14</f>
        <v>502700450</v>
      </c>
      <c r="L14" s="595">
        <v>533495000</v>
      </c>
      <c r="M14" s="623"/>
      <c r="N14" s="161">
        <f>SUMIF('F4'!$E$12:$E$158,C14,'F4'!$I$12:$I$158)</f>
        <v>0</v>
      </c>
      <c r="O14" s="161">
        <f>SUMIF('F4'!$E$12:$E$158,C14,'F4'!$J$12:$J$158)</f>
        <v>0</v>
      </c>
      <c r="P14" s="623"/>
      <c r="Q14" s="622">
        <f>L14+N14-O14</f>
        <v>533495000</v>
      </c>
      <c r="R14" s="647">
        <f>+'[79]P&amp;L22'!I84</f>
        <v>1616911781.57465</v>
      </c>
      <c r="S14" s="622">
        <f>L14-R14</f>
        <v>-1083416781.57465</v>
      </c>
      <c r="T14" s="648">
        <f>IF(R14=0,IF(S14=0,0,S14/S14),S14/R14)</f>
        <v>-0.670053118494536</v>
      </c>
      <c r="X14" s="576"/>
    </row>
    <row r="15" spans="2:24">
      <c r="B15" s="594"/>
      <c r="C15" s="579" t="s">
        <v>13457</v>
      </c>
      <c r="D15" s="579"/>
      <c r="E15" s="5186" t="s">
        <v>13458</v>
      </c>
      <c r="F15" s="595">
        <f>+'[79]P&amp;L22'!F85</f>
        <v>422300500</v>
      </c>
      <c r="G15" s="592"/>
      <c r="H15" s="161">
        <f>SUMIF('F4'!$E$12:$E$158,C15,'F4'!$G$12:$G$158)</f>
        <v>0</v>
      </c>
      <c r="I15" s="161">
        <f>SUMIF('F4'!$E$12:$E$158,C15,'F4'!$H$12:$H$158)</f>
        <v>0</v>
      </c>
      <c r="J15" s="592"/>
      <c r="K15" s="622">
        <f t="shared" si="0"/>
        <v>422300500</v>
      </c>
      <c r="L15" s="595">
        <v>414511498</v>
      </c>
      <c r="M15" s="623"/>
      <c r="N15" s="161">
        <f>SUMIF('F4'!$E$12:$E$158,C15,'F4'!$I$12:$I$158)</f>
        <v>0</v>
      </c>
      <c r="O15" s="161">
        <f>SUMIF('F4'!$E$12:$E$158,C15,'F4'!$J$12:$J$158)</f>
        <v>0</v>
      </c>
      <c r="P15" s="623"/>
      <c r="Q15" s="622">
        <f t="shared" ref="Q15:Q22" si="1">L15+N15-O15</f>
        <v>414511498</v>
      </c>
      <c r="R15" s="647">
        <f>+'[79]P&amp;L22'!I85</f>
        <v>1403986764.01995</v>
      </c>
      <c r="S15" s="622">
        <f>L15-R15</f>
        <v>-989475266.019945</v>
      </c>
      <c r="T15" s="648">
        <f>IF(R15=0,IF(S15=0,0,S15/S15),S15/R15)</f>
        <v>-0.70476110699708</v>
      </c>
      <c r="X15" s="576"/>
    </row>
    <row r="16" spans="2:24">
      <c r="B16" s="594"/>
      <c r="C16" s="579" t="s">
        <v>13459</v>
      </c>
      <c r="D16" s="579"/>
      <c r="E16" s="5186" t="s">
        <v>13460</v>
      </c>
      <c r="F16" s="595">
        <f>+'[79]P&amp;L22'!F86</f>
        <v>147230000</v>
      </c>
      <c r="G16" s="592"/>
      <c r="H16" s="161">
        <f>SUMIF('F4'!$E$12:$E$158,C16,'F4'!$G$12:$G$158)</f>
        <v>0</v>
      </c>
      <c r="I16" s="161">
        <f>SUMIF('F4'!$E$12:$E$158,C16,'F4'!$H$12:$H$158)</f>
        <v>0</v>
      </c>
      <c r="J16" s="592"/>
      <c r="K16" s="622">
        <f t="shared" si="0"/>
        <v>147230000</v>
      </c>
      <c r="L16" s="595">
        <v>155956751</v>
      </c>
      <c r="M16" s="623"/>
      <c r="N16" s="161">
        <f>SUMIF('F4'!$E$12:$E$158,C16,'F4'!$I$12:$I$158)</f>
        <v>0</v>
      </c>
      <c r="O16" s="161">
        <f>SUMIF('F4'!$E$12:$E$158,C16,'F4'!$J$12:$J$158)</f>
        <v>0</v>
      </c>
      <c r="P16" s="623"/>
      <c r="Q16" s="622">
        <f t="shared" si="1"/>
        <v>155956751</v>
      </c>
      <c r="R16" s="647">
        <f>+'[79]P&amp;L22'!I86</f>
        <v>0</v>
      </c>
      <c r="S16" s="622">
        <f t="shared" ref="S16:S23" si="2">L16-R16</f>
        <v>155956751</v>
      </c>
      <c r="T16" s="648">
        <f t="shared" ref="T16:T23" si="3">IF(R16=0,IF(S16=0,0,S16/S16),S16/R16)</f>
        <v>1</v>
      </c>
      <c r="X16" s="576"/>
    </row>
    <row r="17" spans="2:24">
      <c r="B17" s="594"/>
      <c r="C17" s="579" t="s">
        <v>13461</v>
      </c>
      <c r="D17" s="579"/>
      <c r="E17" s="5186" t="s">
        <v>13462</v>
      </c>
      <c r="F17" s="595">
        <f>+'[79]P&amp;L22'!F87</f>
        <v>1655768639.20978</v>
      </c>
      <c r="G17" s="592"/>
      <c r="H17" s="161">
        <f>SUMIF('F4'!$E$12:$E$158,C17,'F4'!$G$12:$G$158)</f>
        <v>0</v>
      </c>
      <c r="I17" s="161">
        <f>SUMIF('F4'!$E$12:$E$158,C17,'F4'!$H$12:$H$158)</f>
        <v>0</v>
      </c>
      <c r="J17" s="592"/>
      <c r="K17" s="624">
        <f t="shared" si="0"/>
        <v>1655768639.20978</v>
      </c>
      <c r="L17" s="595">
        <v>1623623597</v>
      </c>
      <c r="M17" s="623"/>
      <c r="N17" s="161">
        <f>SUMIF('F4'!$E$12:$E$158,C17,'F4'!$I$12:$I$158)</f>
        <v>0</v>
      </c>
      <c r="O17" s="161">
        <f>SUMIF('F4'!$E$12:$E$158,C17,'F4'!$J$12:$J$158)</f>
        <v>0</v>
      </c>
      <c r="P17" s="623"/>
      <c r="Q17" s="624">
        <f t="shared" si="1"/>
        <v>1623623597</v>
      </c>
      <c r="R17" s="647">
        <f>+'[79]P&amp;L22'!I87</f>
        <v>1032437987.5</v>
      </c>
      <c r="S17" s="622">
        <f t="shared" si="2"/>
        <v>591185609.5</v>
      </c>
      <c r="T17" s="648">
        <f t="shared" si="3"/>
        <v>0.572611252838079</v>
      </c>
      <c r="X17" s="576"/>
    </row>
    <row r="18" spans="2:24">
      <c r="B18" s="594"/>
      <c r="C18" s="579" t="s">
        <v>13463</v>
      </c>
      <c r="D18" s="579"/>
      <c r="E18" s="5186" t="s">
        <v>13464</v>
      </c>
      <c r="F18" s="595">
        <f>+'[79]P&amp;L22'!F88</f>
        <v>325000949.790218</v>
      </c>
      <c r="G18" s="592"/>
      <c r="H18" s="161">
        <f>SUMIF('F4'!$E$12:$E$158,C18,'F4'!$G$12:$G$158)</f>
        <v>0</v>
      </c>
      <c r="I18" s="161">
        <f>SUMIF('F4'!$E$12:$E$158,C18,'F4'!$H$12:$H$158)</f>
        <v>0</v>
      </c>
      <c r="J18" s="592"/>
      <c r="K18" s="622">
        <f t="shared" si="0"/>
        <v>325000949.790218</v>
      </c>
      <c r="L18" s="595">
        <v>333699424</v>
      </c>
      <c r="M18" s="623"/>
      <c r="N18" s="161">
        <f>SUMIF('F4'!$E$12:$E$158,C18,'F4'!$I$12:$I$158)</f>
        <v>0</v>
      </c>
      <c r="O18" s="161">
        <f>SUMIF('F4'!$E$12:$E$158,C18,'F4'!$J$12:$J$158)</f>
        <v>0</v>
      </c>
      <c r="P18" s="623"/>
      <c r="Q18" s="622">
        <f t="shared" si="1"/>
        <v>333699424</v>
      </c>
      <c r="R18" s="647">
        <f>+'[79]P&amp;L22'!I88</f>
        <v>5071128850.36736</v>
      </c>
      <c r="S18" s="594">
        <f t="shared" si="2"/>
        <v>-4737429426.36736</v>
      </c>
      <c r="T18" s="648">
        <f t="shared" si="3"/>
        <v>-0.934196224579104</v>
      </c>
      <c r="X18" s="576"/>
    </row>
    <row r="19" hidden="1" spans="2:24">
      <c r="B19" s="594"/>
      <c r="C19" s="579"/>
      <c r="D19" s="579"/>
      <c r="E19" s="592"/>
      <c r="F19" s="595">
        <v>0</v>
      </c>
      <c r="G19" s="592"/>
      <c r="H19" s="593"/>
      <c r="I19" s="159"/>
      <c r="J19" s="592"/>
      <c r="K19" s="624">
        <f t="shared" si="0"/>
        <v>0</v>
      </c>
      <c r="L19" s="595">
        <v>0</v>
      </c>
      <c r="M19" s="623"/>
      <c r="N19" s="622"/>
      <c r="O19" s="622"/>
      <c r="P19" s="623"/>
      <c r="Q19" s="649">
        <f t="shared" si="1"/>
        <v>0</v>
      </c>
      <c r="R19" s="647"/>
      <c r="S19" s="594">
        <f t="shared" si="2"/>
        <v>0</v>
      </c>
      <c r="T19" s="648">
        <f t="shared" si="3"/>
        <v>0</v>
      </c>
      <c r="X19" s="576"/>
    </row>
    <row r="20" hidden="1" spans="2:24">
      <c r="B20" s="594"/>
      <c r="C20" s="579"/>
      <c r="D20" s="579"/>
      <c r="E20" s="592"/>
      <c r="F20" s="595">
        <v>0</v>
      </c>
      <c r="G20" s="592"/>
      <c r="H20" s="593"/>
      <c r="I20" s="159"/>
      <c r="J20" s="592"/>
      <c r="K20" s="624">
        <f t="shared" si="0"/>
        <v>0</v>
      </c>
      <c r="L20" s="595">
        <f>+'[79]P&amp;L22'!H90</f>
        <v>0</v>
      </c>
      <c r="M20" s="623"/>
      <c r="N20" s="622"/>
      <c r="O20" s="622"/>
      <c r="P20" s="623"/>
      <c r="Q20" s="649">
        <f t="shared" si="1"/>
        <v>0</v>
      </c>
      <c r="R20" s="647">
        <f>+'[79]P&amp;L22'!I90</f>
        <v>0</v>
      </c>
      <c r="S20" s="594">
        <f t="shared" si="2"/>
        <v>0</v>
      </c>
      <c r="T20" s="648">
        <f t="shared" si="3"/>
        <v>0</v>
      </c>
      <c r="X20" s="576"/>
    </row>
    <row r="21" hidden="1" spans="2:24">
      <c r="B21" s="594"/>
      <c r="C21" s="579"/>
      <c r="D21" s="579"/>
      <c r="E21" s="592"/>
      <c r="F21" s="595">
        <v>0</v>
      </c>
      <c r="G21" s="592"/>
      <c r="H21" s="593"/>
      <c r="I21" s="593"/>
      <c r="J21" s="592"/>
      <c r="K21" s="624">
        <f t="shared" si="0"/>
        <v>0</v>
      </c>
      <c r="L21" s="595">
        <v>0</v>
      </c>
      <c r="M21" s="623"/>
      <c r="N21" s="622"/>
      <c r="O21" s="622"/>
      <c r="P21" s="623"/>
      <c r="Q21" s="649">
        <f t="shared" si="1"/>
        <v>0</v>
      </c>
      <c r="R21" s="647">
        <v>0</v>
      </c>
      <c r="S21" s="594">
        <f t="shared" si="2"/>
        <v>0</v>
      </c>
      <c r="T21" s="648">
        <f t="shared" si="3"/>
        <v>0</v>
      </c>
      <c r="X21" s="576"/>
    </row>
    <row r="22" hidden="1" spans="2:24">
      <c r="B22" s="594"/>
      <c r="C22" s="579"/>
      <c r="D22" s="579"/>
      <c r="E22" s="592"/>
      <c r="F22" s="595">
        <v>0</v>
      </c>
      <c r="G22" s="592"/>
      <c r="H22" s="593"/>
      <c r="I22" s="593">
        <f>'F4'!H92+'F4'!H95</f>
        <v>0</v>
      </c>
      <c r="J22" s="592"/>
      <c r="K22" s="624">
        <f t="shared" si="0"/>
        <v>0</v>
      </c>
      <c r="L22" s="595">
        <v>0</v>
      </c>
      <c r="M22" s="623"/>
      <c r="N22" s="622"/>
      <c r="O22" s="622"/>
      <c r="P22" s="623"/>
      <c r="Q22" s="649">
        <f t="shared" si="1"/>
        <v>0</v>
      </c>
      <c r="R22" s="647">
        <v>0</v>
      </c>
      <c r="S22" s="594">
        <f t="shared" si="2"/>
        <v>0</v>
      </c>
      <c r="T22" s="648">
        <f t="shared" si="3"/>
        <v>0</v>
      </c>
      <c r="X22" s="576"/>
    </row>
    <row r="23" hidden="1" spans="2:24">
      <c r="B23" s="594"/>
      <c r="C23" s="579"/>
      <c r="D23" s="579"/>
      <c r="E23" s="592"/>
      <c r="F23" s="595">
        <v>0</v>
      </c>
      <c r="G23" s="592"/>
      <c r="H23" s="593"/>
      <c r="I23" s="593"/>
      <c r="J23" s="592"/>
      <c r="K23" s="624">
        <f t="shared" si="0"/>
        <v>0</v>
      </c>
      <c r="L23" s="595"/>
      <c r="M23" s="623"/>
      <c r="N23" s="622"/>
      <c r="O23" s="622"/>
      <c r="P23" s="623"/>
      <c r="Q23" s="624"/>
      <c r="R23" s="647"/>
      <c r="S23" s="594">
        <f t="shared" si="2"/>
        <v>0</v>
      </c>
      <c r="T23" s="648">
        <f t="shared" si="3"/>
        <v>0</v>
      </c>
      <c r="X23" s="576"/>
    </row>
    <row r="24" spans="2:24">
      <c r="B24" s="594"/>
      <c r="C24" s="579"/>
      <c r="D24" s="579"/>
      <c r="E24" s="592"/>
      <c r="F24" s="596"/>
      <c r="G24" s="592"/>
      <c r="H24" s="593"/>
      <c r="I24" s="593"/>
      <c r="J24" s="592"/>
      <c r="K24" s="622"/>
      <c r="L24" s="596"/>
      <c r="M24" s="623"/>
      <c r="N24" s="622"/>
      <c r="O24" s="622"/>
      <c r="P24" s="623"/>
      <c r="Q24" s="622"/>
      <c r="R24" s="650"/>
      <c r="S24" s="594"/>
      <c r="T24" s="651"/>
      <c r="X24" s="576"/>
    </row>
    <row r="25" spans="2:24">
      <c r="B25" s="597"/>
      <c r="C25" s="598" t="s">
        <v>151</v>
      </c>
      <c r="D25" s="599"/>
      <c r="E25" s="592"/>
      <c r="F25" s="600">
        <f>SUM(F14:F24)</f>
        <v>3053000539</v>
      </c>
      <c r="G25" s="592"/>
      <c r="H25" s="600">
        <f>SUM(H14:H24)</f>
        <v>0</v>
      </c>
      <c r="I25" s="600">
        <f>SUM(I14:I24)</f>
        <v>0</v>
      </c>
      <c r="J25" s="592"/>
      <c r="K25" s="600">
        <f>SUM(K14:K24)</f>
        <v>3053000539</v>
      </c>
      <c r="L25" s="600">
        <f>SUM(L14:L24)</f>
        <v>3061286270</v>
      </c>
      <c r="M25" s="625"/>
      <c r="N25" s="600">
        <f>SUM(N14:N24)</f>
        <v>0</v>
      </c>
      <c r="O25" s="600">
        <f>SUM(O14:O24)</f>
        <v>0</v>
      </c>
      <c r="P25" s="625"/>
      <c r="Q25" s="600">
        <f>SUM(Q14:Q24)</f>
        <v>3061286270</v>
      </c>
      <c r="R25" s="652">
        <f>SUM(R14:R24)</f>
        <v>9124465383.46196</v>
      </c>
      <c r="S25" s="600">
        <f>SUM(S14:S24)</f>
        <v>-6063179113.46196</v>
      </c>
      <c r="T25" s="653">
        <f>SUM(T14:T24)</f>
        <v>-0.736399197232641</v>
      </c>
      <c r="X25" s="576"/>
    </row>
    <row r="26" spans="2:24">
      <c r="B26" s="594"/>
      <c r="C26" s="601"/>
      <c r="D26" s="579"/>
      <c r="E26" s="592"/>
      <c r="F26" s="592">
        <f>+F25-'F3'!K14</f>
        <v>0</v>
      </c>
      <c r="G26" s="592"/>
      <c r="H26" s="592"/>
      <c r="I26" s="592"/>
      <c r="J26" s="592"/>
      <c r="K26" s="592">
        <f>+K25-'F3'!K14</f>
        <v>0</v>
      </c>
      <c r="L26" s="626">
        <f>+L25-'F3'!L14</f>
        <v>0</v>
      </c>
      <c r="M26" s="623"/>
      <c r="N26" s="622"/>
      <c r="O26" s="622"/>
      <c r="P26" s="623"/>
      <c r="Q26" s="626">
        <f>+Q25-'F3'!Q14</f>
        <v>0</v>
      </c>
      <c r="R26" s="626">
        <f>+R25-'F3'!R14</f>
        <v>0</v>
      </c>
      <c r="S26" s="622"/>
      <c r="T26" s="646"/>
      <c r="X26" s="576"/>
    </row>
    <row r="27" spans="2:24">
      <c r="B27" s="602"/>
      <c r="C27" s="603"/>
      <c r="D27" s="603"/>
      <c r="E27" s="604"/>
      <c r="F27" s="604"/>
      <c r="G27" s="604"/>
      <c r="H27" s="604"/>
      <c r="I27" s="604"/>
      <c r="J27" s="604"/>
      <c r="K27" s="604"/>
      <c r="L27" s="627">
        <f>+L25-[110]RL21!$G$19</f>
        <v>1</v>
      </c>
      <c r="M27" s="628"/>
      <c r="N27" s="627"/>
      <c r="O27" s="627"/>
      <c r="P27" s="628"/>
      <c r="Q27" s="627"/>
      <c r="R27" s="627"/>
      <c r="S27" s="627"/>
      <c r="T27" s="654"/>
      <c r="X27" s="576"/>
    </row>
    <row r="28" spans="13:24">
      <c r="M28" s="629"/>
      <c r="X28" s="576"/>
    </row>
    <row r="29" spans="24:24">
      <c r="X29" s="576"/>
    </row>
    <row r="30" ht="13.5" customHeight="1" spans="24:24">
      <c r="X30" s="576"/>
    </row>
    <row r="31" spans="2:24">
      <c r="B31" s="605"/>
      <c r="C31" s="606"/>
      <c r="D31" s="607"/>
      <c r="L31" s="630"/>
      <c r="M31" s="631"/>
      <c r="X31" s="576"/>
    </row>
    <row r="32" s="576" customFormat="1" spans="12:19">
      <c r="L32" s="632"/>
      <c r="M32" s="577"/>
      <c r="P32" s="577"/>
      <c r="R32" s="579"/>
      <c r="S32" s="579"/>
    </row>
    <row r="33" s="576" customFormat="1" spans="1:20">
      <c r="A33" s="579"/>
      <c r="B33" s="608"/>
      <c r="C33" s="609"/>
      <c r="D33" s="609"/>
      <c r="E33" s="609"/>
      <c r="F33" s="609"/>
      <c r="G33" s="609"/>
      <c r="H33" s="609"/>
      <c r="I33" s="609"/>
      <c r="J33" s="609"/>
      <c r="K33" s="609"/>
      <c r="L33" s="609"/>
      <c r="M33" s="633"/>
      <c r="N33" s="634"/>
      <c r="O33" s="635"/>
      <c r="P33" s="636"/>
      <c r="Q33" s="635"/>
      <c r="R33" s="655"/>
      <c r="S33" s="655"/>
      <c r="T33" s="655"/>
    </row>
    <row r="34" s="576" customFormat="1" spans="1:20">
      <c r="A34" s="579"/>
      <c r="B34" s="608"/>
      <c r="C34" s="609"/>
      <c r="D34" s="609"/>
      <c r="E34" s="609"/>
      <c r="F34" s="609"/>
      <c r="G34" s="609"/>
      <c r="H34" s="609"/>
      <c r="I34" s="609"/>
      <c r="J34" s="609"/>
      <c r="K34" s="609"/>
      <c r="L34" s="609"/>
      <c r="M34" s="633"/>
      <c r="N34" s="634"/>
      <c r="O34" s="635"/>
      <c r="P34" s="636"/>
      <c r="Q34" s="635"/>
      <c r="R34" s="655"/>
      <c r="S34" s="655"/>
      <c r="T34" s="655"/>
    </row>
    <row r="35" s="576" customFormat="1" spans="1:20">
      <c r="A35" s="579"/>
      <c r="B35" s="608"/>
      <c r="C35" s="609"/>
      <c r="D35" s="609"/>
      <c r="E35" s="609"/>
      <c r="F35" s="610">
        <v>2022</v>
      </c>
      <c r="G35" s="610">
        <f>+F35-1</f>
        <v>2021</v>
      </c>
      <c r="H35" s="610">
        <f>+G35-1</f>
        <v>2020</v>
      </c>
      <c r="I35" s="610">
        <f t="shared" ref="I35:K35" si="4">+H35-1</f>
        <v>2019</v>
      </c>
      <c r="J35" s="610">
        <f t="shared" si="4"/>
        <v>2018</v>
      </c>
      <c r="K35" s="610">
        <f t="shared" si="4"/>
        <v>2017</v>
      </c>
      <c r="L35" s="609"/>
      <c r="M35" s="633"/>
      <c r="N35" s="634"/>
      <c r="O35" s="635"/>
      <c r="P35" s="636"/>
      <c r="Q35" s="635"/>
      <c r="R35" s="655"/>
      <c r="S35" s="655"/>
      <c r="T35" s="655"/>
    </row>
    <row r="36" s="576" customFormat="1" spans="1:20">
      <c r="A36" s="579"/>
      <c r="B36" s="608"/>
      <c r="C36" s="609" t="s">
        <v>836</v>
      </c>
      <c r="D36" s="609"/>
      <c r="E36" s="609"/>
      <c r="F36" s="611"/>
      <c r="G36" s="611"/>
      <c r="H36" s="611"/>
      <c r="I36" s="609"/>
      <c r="J36" s="609"/>
      <c r="K36" s="609"/>
      <c r="L36" s="609"/>
      <c r="M36" s="633"/>
      <c r="N36" s="634"/>
      <c r="O36" s="635"/>
      <c r="P36" s="636"/>
      <c r="Q36" s="635"/>
      <c r="R36" s="655"/>
      <c r="S36" s="655"/>
      <c r="T36" s="655"/>
    </row>
    <row r="37" s="576" customFormat="1" spans="1:20">
      <c r="A37" s="579"/>
      <c r="B37" s="608"/>
      <c r="C37" s="609" t="str">
        <f>+[99]PL!B15</f>
        <v>Biaya Material</v>
      </c>
      <c r="D37" s="609"/>
      <c r="E37" s="609"/>
      <c r="F37" s="609">
        <f>+[99]PL!F15</f>
        <v>502700450</v>
      </c>
      <c r="G37" s="609">
        <f>+L14</f>
        <v>533495000</v>
      </c>
      <c r="H37" s="609">
        <f>+R14</f>
        <v>1616911781.57465</v>
      </c>
      <c r="I37" s="609">
        <f>+[99]PL!J15</f>
        <v>2554201680.08576</v>
      </c>
      <c r="J37" s="609">
        <f>+[99]PL!K15</f>
        <v>2643767280.62072</v>
      </c>
      <c r="K37" s="609">
        <f>+[99]PL!L15</f>
        <v>2394654056</v>
      </c>
      <c r="L37" s="609"/>
      <c r="M37" s="633"/>
      <c r="N37" s="634"/>
      <c r="O37" s="635"/>
      <c r="P37" s="636"/>
      <c r="Q37" s="635"/>
      <c r="R37" s="655"/>
      <c r="S37" s="655"/>
      <c r="T37" s="655"/>
    </row>
    <row r="38" s="576" customFormat="1" spans="1:20">
      <c r="A38" s="579"/>
      <c r="B38" s="608"/>
      <c r="C38" s="609" t="str">
        <f>+[99]PL!B16</f>
        <v>Biaya Tenaga Kerja Produksi</v>
      </c>
      <c r="D38" s="609"/>
      <c r="E38" s="609"/>
      <c r="F38" s="609">
        <f>+[99]PL!F16</f>
        <v>422300500</v>
      </c>
      <c r="G38" s="609">
        <f>+L15</f>
        <v>414511498</v>
      </c>
      <c r="H38" s="609">
        <f>+R15</f>
        <v>1403986764.01995</v>
      </c>
      <c r="I38" s="609">
        <f>+[99]PL!J16</f>
        <v>1483738620.00935</v>
      </c>
      <c r="J38" s="609">
        <f>+[99]PL!K16</f>
        <v>1399753415.10316</v>
      </c>
      <c r="K38" s="609">
        <f>+[99]PL!L16</f>
        <v>1505289244</v>
      </c>
      <c r="L38" s="609"/>
      <c r="M38" s="633"/>
      <c r="N38" s="634"/>
      <c r="O38" s="635"/>
      <c r="P38" s="636"/>
      <c r="Q38" s="635"/>
      <c r="R38" s="655"/>
      <c r="S38" s="655"/>
      <c r="T38" s="655"/>
    </row>
    <row r="39" s="576" customFormat="1" spans="1:20">
      <c r="A39" s="579"/>
      <c r="B39" s="608"/>
      <c r="C39" s="609" t="str">
        <f>+[99]PL!B17</f>
        <v>Biaya Lain Lain HPP</v>
      </c>
      <c r="D39" s="609"/>
      <c r="E39" s="609"/>
      <c r="F39" s="612">
        <f>SUM(F40:F42)</f>
        <v>2127999589</v>
      </c>
      <c r="G39" s="612">
        <f>SUM(G40:G42)</f>
        <v>2113279772</v>
      </c>
      <c r="H39" s="612">
        <f>SUM(H40:H42)</f>
        <v>6103566837.86736</v>
      </c>
      <c r="I39" s="612">
        <f>+[99]PL!J17</f>
        <v>7359339411.19824</v>
      </c>
      <c r="J39" s="612">
        <f>+[99]PL!K17</f>
        <v>7753526547.27612</v>
      </c>
      <c r="K39" s="612">
        <f>+[99]PL!L17</f>
        <v>6373921806</v>
      </c>
      <c r="L39" s="609"/>
      <c r="M39" s="633"/>
      <c r="N39" s="634"/>
      <c r="O39" s="635"/>
      <c r="P39" s="636"/>
      <c r="Q39" s="635"/>
      <c r="R39" s="655"/>
      <c r="S39" s="655"/>
      <c r="T39" s="655"/>
    </row>
    <row r="40" s="576" customFormat="1" spans="1:20">
      <c r="A40" s="579"/>
      <c r="B40" s="608"/>
      <c r="C40" s="609"/>
      <c r="D40" s="609" t="str">
        <f>+C16</f>
        <v>Transport</v>
      </c>
      <c r="E40" s="609"/>
      <c r="F40" s="609">
        <f>+F16</f>
        <v>147230000</v>
      </c>
      <c r="G40" s="609">
        <f>+L16</f>
        <v>155956751</v>
      </c>
      <c r="H40" s="609">
        <f>+R16</f>
        <v>0</v>
      </c>
      <c r="I40" s="609"/>
      <c r="J40" s="609"/>
      <c r="K40" s="609"/>
      <c r="L40" s="609"/>
      <c r="M40" s="633"/>
      <c r="N40" s="634"/>
      <c r="O40" s="635"/>
      <c r="P40" s="636"/>
      <c r="Q40" s="635"/>
      <c r="R40" s="655"/>
      <c r="S40" s="655"/>
      <c r="T40" s="655"/>
    </row>
    <row r="41" s="576" customFormat="1" spans="1:20">
      <c r="A41" s="579"/>
      <c r="B41" s="608"/>
      <c r="C41" s="609"/>
      <c r="D41" s="609" t="str">
        <f>+C18</f>
        <v>Lain lain</v>
      </c>
      <c r="E41" s="609"/>
      <c r="F41" s="609">
        <f>+F18</f>
        <v>325000949.790218</v>
      </c>
      <c r="G41" s="609">
        <f>+L18</f>
        <v>333699424</v>
      </c>
      <c r="H41" s="609">
        <f>+R18</f>
        <v>5071128850.36736</v>
      </c>
      <c r="I41" s="609"/>
      <c r="J41" s="609"/>
      <c r="K41" s="609"/>
      <c r="L41" s="609"/>
      <c r="M41" s="633"/>
      <c r="N41" s="634"/>
      <c r="O41" s="635"/>
      <c r="P41" s="636"/>
      <c r="Q41" s="635"/>
      <c r="R41" s="655"/>
      <c r="S41" s="655"/>
      <c r="T41" s="655"/>
    </row>
    <row r="42" s="576" customFormat="1" spans="1:20">
      <c r="A42" s="579"/>
      <c r="B42" s="608"/>
      <c r="C42" s="609"/>
      <c r="D42" s="609" t="s">
        <v>874</v>
      </c>
      <c r="E42" s="609"/>
      <c r="F42" s="613">
        <f>+F17</f>
        <v>1655768639.20978</v>
      </c>
      <c r="G42" s="613">
        <f>+L17</f>
        <v>1623623597</v>
      </c>
      <c r="H42" s="613">
        <f>+R17</f>
        <v>1032437987.5</v>
      </c>
      <c r="I42" s="613"/>
      <c r="J42" s="613"/>
      <c r="K42" s="613"/>
      <c r="L42" s="609"/>
      <c r="M42" s="633"/>
      <c r="N42" s="634"/>
      <c r="O42" s="635"/>
      <c r="P42" s="636"/>
      <c r="Q42" s="635"/>
      <c r="R42" s="655"/>
      <c r="S42" s="655"/>
      <c r="T42" s="655"/>
    </row>
    <row r="43" s="576" customFormat="1" spans="1:20">
      <c r="A43" s="579"/>
      <c r="B43" s="608"/>
      <c r="C43" s="609" t="s">
        <v>13465</v>
      </c>
      <c r="D43" s="609"/>
      <c r="E43" s="609"/>
      <c r="F43" s="609">
        <f>+SUM(F37:F39)</f>
        <v>3053000539</v>
      </c>
      <c r="G43" s="609">
        <f t="shared" ref="G43:K43" si="5">+SUM(G37:G39)</f>
        <v>3061286270</v>
      </c>
      <c r="H43" s="609">
        <f t="shared" si="5"/>
        <v>9124465383.46196</v>
      </c>
      <c r="I43" s="609">
        <f t="shared" si="5"/>
        <v>11397279711.2933</v>
      </c>
      <c r="J43" s="609">
        <f t="shared" si="5"/>
        <v>11797047243</v>
      </c>
      <c r="K43" s="609">
        <f t="shared" si="5"/>
        <v>10273865106</v>
      </c>
      <c r="L43" s="609"/>
      <c r="M43" s="633"/>
      <c r="N43" s="634"/>
      <c r="O43" s="635"/>
      <c r="P43" s="636"/>
      <c r="Q43" s="635"/>
      <c r="R43" s="655"/>
      <c r="S43" s="655"/>
      <c r="T43" s="655"/>
    </row>
    <row r="44" s="576" customFormat="1" spans="1:20">
      <c r="A44" s="579"/>
      <c r="B44" s="608"/>
      <c r="C44" s="609"/>
      <c r="D44" s="609"/>
      <c r="E44" s="609"/>
      <c r="F44" s="609"/>
      <c r="G44" s="609"/>
      <c r="H44" s="609"/>
      <c r="I44" s="609"/>
      <c r="J44" s="609"/>
      <c r="K44" s="609"/>
      <c r="L44" s="609"/>
      <c r="M44" s="633"/>
      <c r="N44" s="634"/>
      <c r="O44" s="635"/>
      <c r="P44" s="636"/>
      <c r="Q44" s="635"/>
      <c r="R44" s="655"/>
      <c r="S44" s="655"/>
      <c r="T44" s="655"/>
    </row>
    <row r="45" s="576" customFormat="1" spans="1:20">
      <c r="A45" s="579"/>
      <c r="B45" s="608"/>
      <c r="C45" s="609"/>
      <c r="D45" s="609"/>
      <c r="E45" s="609"/>
      <c r="F45" s="614">
        <f>+F37/$F$43</f>
        <v>0.164657832050255</v>
      </c>
      <c r="G45" s="614">
        <f>+G37/$G$43</f>
        <v>0.174271516266919</v>
      </c>
      <c r="H45" s="614">
        <f>+H37/$H$43</f>
        <v>0.177206193856058</v>
      </c>
      <c r="I45" s="614">
        <f>+I37/$I$43</f>
        <v>0.224106255596662</v>
      </c>
      <c r="J45" s="614">
        <f>+J37/$J$43</f>
        <v>0.224104153027737</v>
      </c>
      <c r="K45" s="614">
        <f>+K37/$K$43</f>
        <v>0.23308210019241</v>
      </c>
      <c r="L45" s="609"/>
      <c r="M45" s="633"/>
      <c r="N45" s="634"/>
      <c r="O45" s="635"/>
      <c r="P45" s="636"/>
      <c r="Q45" s="635"/>
      <c r="R45" s="655"/>
      <c r="S45" s="655"/>
      <c r="T45" s="655"/>
    </row>
    <row r="46" s="576" customFormat="1" spans="1:20">
      <c r="A46" s="579"/>
      <c r="B46" s="608"/>
      <c r="C46" s="609"/>
      <c r="D46" s="609"/>
      <c r="E46" s="609"/>
      <c r="F46" s="614">
        <f>+F38/$F$43</f>
        <v>0.138323100374664</v>
      </c>
      <c r="G46" s="614">
        <f>+G38/$G$43</f>
        <v>0.135404356679129</v>
      </c>
      <c r="H46" s="614">
        <f>+H38/$H$43</f>
        <v>0.153870578167206</v>
      </c>
      <c r="I46" s="614">
        <f>+I38/$I$43</f>
        <v>0.130183575168305</v>
      </c>
      <c r="J46" s="614">
        <f>+J38/$J$43</f>
        <v>0.118652861709419</v>
      </c>
      <c r="K46" s="614">
        <f>+K38/$K$43</f>
        <v>0.146516352752276</v>
      </c>
      <c r="L46" s="609"/>
      <c r="M46" s="633"/>
      <c r="N46" s="634"/>
      <c r="O46" s="635"/>
      <c r="P46" s="636"/>
      <c r="Q46" s="635"/>
      <c r="R46" s="655"/>
      <c r="S46" s="655"/>
      <c r="T46" s="655"/>
    </row>
    <row r="47" s="576" customFormat="1" spans="1:20">
      <c r="A47" s="579"/>
      <c r="B47" s="608"/>
      <c r="C47" s="609"/>
      <c r="D47" s="609"/>
      <c r="E47" s="609"/>
      <c r="F47" s="614">
        <f>+F39/$F$43</f>
        <v>0.697019067575081</v>
      </c>
      <c r="G47" s="614">
        <f>+G39/$G$43</f>
        <v>0.690324127053952</v>
      </c>
      <c r="H47" s="614">
        <f>+H39/$H$43</f>
        <v>0.668923227976737</v>
      </c>
      <c r="I47" s="614">
        <f>+I39/$I$43</f>
        <v>0.645710169235034</v>
      </c>
      <c r="J47" s="614">
        <f>+J39/$J$43</f>
        <v>0.657242985262844</v>
      </c>
      <c r="K47" s="614">
        <f>+K39/$K$43</f>
        <v>0.620401547055313</v>
      </c>
      <c r="L47" s="609"/>
      <c r="M47" s="633"/>
      <c r="N47" s="634"/>
      <c r="O47" s="635"/>
      <c r="P47" s="636"/>
      <c r="Q47" s="635"/>
      <c r="R47" s="655"/>
      <c r="S47" s="655"/>
      <c r="T47" s="655"/>
    </row>
    <row r="48" s="576" customFormat="1" spans="1:20">
      <c r="A48" s="579"/>
      <c r="B48" s="608"/>
      <c r="C48" s="609"/>
      <c r="D48" s="609"/>
      <c r="E48" s="609"/>
      <c r="F48" s="614">
        <f>SUM(F45:F47)</f>
        <v>1</v>
      </c>
      <c r="G48" s="614">
        <f t="shared" ref="G48:K48" si="6">SUM(G45:G47)</f>
        <v>1</v>
      </c>
      <c r="H48" s="614">
        <f t="shared" si="6"/>
        <v>1</v>
      </c>
      <c r="I48" s="614">
        <f t="shared" si="6"/>
        <v>1</v>
      </c>
      <c r="J48" s="614">
        <f t="shared" si="6"/>
        <v>1</v>
      </c>
      <c r="K48" s="614">
        <f t="shared" si="6"/>
        <v>1</v>
      </c>
      <c r="L48" s="609"/>
      <c r="M48" s="633"/>
      <c r="N48" s="634"/>
      <c r="O48" s="635"/>
      <c r="P48" s="636"/>
      <c r="Q48" s="635"/>
      <c r="R48" s="655"/>
      <c r="S48" s="655"/>
      <c r="T48" s="655"/>
    </row>
    <row r="49" s="576" customFormat="1" spans="1:20">
      <c r="A49" s="579"/>
      <c r="B49" s="608"/>
      <c r="C49" s="609"/>
      <c r="D49" s="609"/>
      <c r="E49" s="609"/>
      <c r="F49" s="609"/>
      <c r="G49" s="609"/>
      <c r="H49" s="609"/>
      <c r="I49" s="609"/>
      <c r="J49" s="609"/>
      <c r="K49" s="609"/>
      <c r="L49" s="609"/>
      <c r="M49" s="633"/>
      <c r="N49" s="634"/>
      <c r="O49" s="635"/>
      <c r="P49" s="636"/>
      <c r="Q49" s="635"/>
      <c r="R49" s="655"/>
      <c r="S49" s="655"/>
      <c r="T49" s="655"/>
    </row>
    <row r="50" s="576" customFormat="1" spans="1:20">
      <c r="A50" s="579"/>
      <c r="B50" s="608"/>
      <c r="C50" s="609"/>
      <c r="D50" s="609"/>
      <c r="E50" s="609"/>
      <c r="F50" s="609"/>
      <c r="G50" s="609"/>
      <c r="H50" s="609"/>
      <c r="I50" s="609"/>
      <c r="J50" s="609"/>
      <c r="K50" s="609"/>
      <c r="L50" s="609"/>
      <c r="M50" s="633"/>
      <c r="N50" s="634"/>
      <c r="O50" s="635"/>
      <c r="P50" s="636"/>
      <c r="Q50" s="635"/>
      <c r="R50" s="655"/>
      <c r="S50" s="655"/>
      <c r="T50" s="655"/>
    </row>
    <row r="51" s="576" customFormat="1" spans="1:20">
      <c r="A51" s="579"/>
      <c r="B51" s="608"/>
      <c r="C51" s="609"/>
      <c r="D51" s="609"/>
      <c r="E51" s="609"/>
      <c r="F51" s="609"/>
      <c r="G51" s="609"/>
      <c r="H51" s="609"/>
      <c r="I51" s="609"/>
      <c r="J51" s="609"/>
      <c r="K51" s="609"/>
      <c r="L51" s="609"/>
      <c r="M51" s="633"/>
      <c r="N51" s="634"/>
      <c r="O51" s="635"/>
      <c r="P51" s="636"/>
      <c r="Q51" s="635"/>
      <c r="R51" s="655"/>
      <c r="S51" s="655"/>
      <c r="T51" s="655"/>
    </row>
    <row r="52" s="576" customFormat="1" spans="1:20">
      <c r="A52" s="579"/>
      <c r="B52" s="608"/>
      <c r="C52" s="609"/>
      <c r="D52" s="609"/>
      <c r="E52" s="609"/>
      <c r="F52" s="609"/>
      <c r="G52" s="609"/>
      <c r="H52" s="609"/>
      <c r="I52" s="609"/>
      <c r="J52" s="609"/>
      <c r="K52" s="609"/>
      <c r="L52" s="609"/>
      <c r="M52" s="633"/>
      <c r="N52" s="634"/>
      <c r="O52" s="635"/>
      <c r="P52" s="636"/>
      <c r="Q52" s="635"/>
      <c r="R52" s="655"/>
      <c r="S52" s="655"/>
      <c r="T52" s="655"/>
    </row>
    <row r="53" s="576" customFormat="1" spans="1:20">
      <c r="A53" s="579"/>
      <c r="B53" s="608"/>
      <c r="C53" s="609"/>
      <c r="D53" s="609"/>
      <c r="E53" s="609"/>
      <c r="F53" s="609"/>
      <c r="G53" s="609"/>
      <c r="H53" s="609"/>
      <c r="I53" s="609"/>
      <c r="J53" s="609"/>
      <c r="K53" s="609"/>
      <c r="L53" s="609"/>
      <c r="M53" s="633"/>
      <c r="N53" s="634"/>
      <c r="O53" s="635"/>
      <c r="P53" s="636"/>
      <c r="Q53" s="635"/>
      <c r="R53" s="655"/>
      <c r="S53" s="655"/>
      <c r="T53" s="655"/>
    </row>
    <row r="54" s="576" customFormat="1" spans="1:20">
      <c r="A54" s="579"/>
      <c r="B54" s="608" t="s">
        <v>952</v>
      </c>
      <c r="C54" s="609"/>
      <c r="D54" s="609"/>
      <c r="E54" s="609"/>
      <c r="F54" s="609"/>
      <c r="G54" s="609"/>
      <c r="H54" s="609"/>
      <c r="I54" s="609"/>
      <c r="J54" s="609"/>
      <c r="K54" s="609"/>
      <c r="L54" s="609"/>
      <c r="M54" s="633"/>
      <c r="N54" s="634"/>
      <c r="O54" s="635"/>
      <c r="P54" s="636"/>
      <c r="Q54" s="635"/>
      <c r="R54" s="655"/>
      <c r="S54" s="655"/>
      <c r="T54" s="655"/>
    </row>
    <row r="55" s="576" customFormat="1" spans="1:20">
      <c r="A55" s="579"/>
      <c r="B55" s="608"/>
      <c r="C55" s="609"/>
      <c r="D55" s="609"/>
      <c r="E55" s="609"/>
      <c r="F55" s="609"/>
      <c r="G55" s="609"/>
      <c r="H55" s="609"/>
      <c r="I55" s="609"/>
      <c r="J55" s="609"/>
      <c r="K55" s="609"/>
      <c r="L55" s="609"/>
      <c r="M55" s="633"/>
      <c r="N55" s="634"/>
      <c r="O55" s="635"/>
      <c r="P55" s="636"/>
      <c r="Q55" s="635"/>
      <c r="R55" s="655"/>
      <c r="S55" s="655"/>
      <c r="T55" s="655"/>
    </row>
    <row r="56" s="576" customFormat="1" ht="14.55" spans="1:20">
      <c r="A56" s="579"/>
      <c r="B56" s="608"/>
      <c r="C56" s="615"/>
      <c r="D56" s="609"/>
      <c r="E56" s="609"/>
      <c r="F56" s="609"/>
      <c r="G56" s="609"/>
      <c r="H56" s="609"/>
      <c r="I56" s="609"/>
      <c r="J56" s="609"/>
      <c r="K56" s="609"/>
      <c r="L56" s="609"/>
      <c r="M56" s="633"/>
      <c r="N56" s="634"/>
      <c r="O56" s="635"/>
      <c r="P56" s="636"/>
      <c r="Q56" s="635"/>
      <c r="R56" s="655"/>
      <c r="S56" s="655"/>
      <c r="T56" s="655"/>
    </row>
    <row r="57" s="576" customFormat="1" ht="14.55" spans="1:24">
      <c r="A57" s="579"/>
      <c r="B57" s="608"/>
      <c r="C57" s="616" t="s">
        <v>953</v>
      </c>
      <c r="D57" s="617" t="s">
        <v>954</v>
      </c>
      <c r="E57" s="618"/>
      <c r="F57" s="619"/>
      <c r="G57" s="619"/>
      <c r="H57" s="619"/>
      <c r="I57" s="619"/>
      <c r="J57" s="619"/>
      <c r="K57" s="619"/>
      <c r="L57" s="617" t="s">
        <v>2264</v>
      </c>
      <c r="M57" s="637"/>
      <c r="N57" s="634"/>
      <c r="O57" s="635"/>
      <c r="P57" s="636"/>
      <c r="Q57" s="635"/>
      <c r="R57" s="655"/>
      <c r="S57" s="655"/>
      <c r="T57" s="655"/>
      <c r="X57" s="656"/>
    </row>
    <row r="58" s="576" customFormat="1" spans="1:24">
      <c r="A58" s="579"/>
      <c r="B58" s="620" t="s">
        <v>13466</v>
      </c>
      <c r="C58" s="609"/>
      <c r="D58" s="619"/>
      <c r="E58" s="617"/>
      <c r="F58" s="617"/>
      <c r="G58" s="617"/>
      <c r="H58" s="617"/>
      <c r="I58" s="617"/>
      <c r="J58" s="617"/>
      <c r="K58" s="617"/>
      <c r="L58" s="638"/>
      <c r="M58" s="633"/>
      <c r="N58" s="634"/>
      <c r="O58" s="635"/>
      <c r="P58" s="636"/>
      <c r="Q58" s="635"/>
      <c r="R58" s="655"/>
      <c r="S58" s="655"/>
      <c r="T58" s="655"/>
      <c r="X58" s="578"/>
    </row>
    <row r="59" s="576" customFormat="1" spans="1:24">
      <c r="A59" s="579"/>
      <c r="B59" s="621"/>
      <c r="C59" s="621"/>
      <c r="D59" s="621"/>
      <c r="E59" s="621"/>
      <c r="F59" s="621"/>
      <c r="G59" s="621"/>
      <c r="H59" s="621"/>
      <c r="I59" s="621"/>
      <c r="J59" s="621"/>
      <c r="K59" s="621"/>
      <c r="L59" s="621"/>
      <c r="M59" s="637"/>
      <c r="N59" s="635"/>
      <c r="O59" s="635"/>
      <c r="P59" s="636"/>
      <c r="Q59" s="635"/>
      <c r="R59" s="655"/>
      <c r="S59" s="655"/>
      <c r="T59" s="655"/>
      <c r="X59" s="578"/>
    </row>
    <row r="60" s="576" customFormat="1" spans="1:24">
      <c r="A60" s="579"/>
      <c r="B60" s="621"/>
      <c r="C60" s="621"/>
      <c r="D60" s="621"/>
      <c r="E60" s="621"/>
      <c r="F60" s="621"/>
      <c r="G60" s="621"/>
      <c r="H60" s="621"/>
      <c r="I60" s="621"/>
      <c r="J60" s="621"/>
      <c r="K60" s="621"/>
      <c r="L60" s="621"/>
      <c r="M60" s="637"/>
      <c r="N60" s="634"/>
      <c r="O60" s="635"/>
      <c r="P60" s="636"/>
      <c r="Q60" s="635"/>
      <c r="R60" s="655"/>
      <c r="S60" s="655"/>
      <c r="T60" s="655"/>
      <c r="X60" s="578"/>
    </row>
    <row r="61" s="576" customFormat="1" spans="1:19">
      <c r="A61" s="579"/>
      <c r="B61" s="579"/>
      <c r="L61" s="632"/>
      <c r="M61" s="577"/>
      <c r="P61" s="577"/>
      <c r="R61" s="579"/>
      <c r="S61" s="579"/>
    </row>
  </sheetData>
  <mergeCells count="5">
    <mergeCell ref="S9:T9"/>
    <mergeCell ref="B10:D10"/>
    <mergeCell ref="S10:T10"/>
    <mergeCell ref="H9:I10"/>
    <mergeCell ref="N9:O10"/>
  </mergeCells>
  <hyperlinks>
    <hyperlink ref="S3" location="'F1'!Print_Area" display="20"/>
  </hyperlinks>
  <pageMargins left="0.511811023622047" right="0.511811023622047" top="0.551181102362205" bottom="0.354330708661417" header="0.31496062992126" footer="0.31496062992126"/>
  <pageSetup paperSize="1" scale="63" orientation="portrait"/>
  <headerFooter/>
  <drawing r:id="rId1"/>
  <legacyDrawing r:id="rId2"/>
  <oleObjects>
    <mc:AlternateContent xmlns:mc="http://schemas.openxmlformats.org/markup-compatibility/2006">
      <mc:Choice Requires="x14">
        <oleObject shapeId="413697" progId="Paint.Picture" r:id="rId3">
          <objectPr defaultSize="0" r:id="rId4">
            <anchor moveWithCells="1">
              <from>
                <xdr:col>18</xdr:col>
                <xdr:colOff>44450</xdr:colOff>
                <xdr:row>28</xdr:row>
                <xdr:rowOff>38100</xdr:rowOff>
              </from>
              <to>
                <xdr:col>18</xdr:col>
                <xdr:colOff>317500</xdr:colOff>
                <xdr:row>29</xdr:row>
                <xdr:rowOff>158750</xdr:rowOff>
              </to>
            </anchor>
          </objectPr>
        </oleObject>
      </mc:Choice>
      <mc:Fallback>
        <oleObject shapeId="413697" progId="Paint.Picture" r:id="rId3"/>
      </mc:Fallback>
    </mc:AlternateContent>
  </oleObjects>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K63"/>
  <sheetViews>
    <sheetView showGridLines="0" zoomScale="85" zoomScaleNormal="85" workbookViewId="0">
      <pane xSplit="4" ySplit="4" topLeftCell="E5" activePane="bottomRight" state="frozen"/>
      <selection/>
      <selection pane="topRight"/>
      <selection pane="bottomLeft"/>
      <selection pane="bottomRight" activeCell="H10" sqref="H10"/>
    </sheetView>
  </sheetViews>
  <sheetFormatPr defaultColWidth="9" defaultRowHeight="11.4"/>
  <cols>
    <col min="2" max="2" width="3.29166666666667" customWidth="1"/>
    <col min="3" max="3" width="2.84375" customWidth="1"/>
    <col min="4" max="4" width="49.1458333333333" customWidth="1"/>
    <col min="5" max="5" width="10.0416666666667" customWidth="1"/>
    <col min="6" max="6" width="5.39583333333333" customWidth="1"/>
    <col min="7" max="8" width="20.6770833333333" customWidth="1"/>
    <col min="16" max="16" width="23.21875" customWidth="1"/>
    <col min="17" max="17" width="25.3229166666667" customWidth="1"/>
  </cols>
  <sheetData>
    <row r="2" spans="2:2">
      <c r="B2" t="s">
        <v>13467</v>
      </c>
    </row>
    <row r="3" ht="12.15"/>
    <row r="4" ht="16.35" spans="2:37">
      <c r="B4" s="376" t="s">
        <v>1021</v>
      </c>
      <c r="C4" s="377"/>
      <c r="D4" s="377" t="s">
        <v>657</v>
      </c>
      <c r="E4" s="377" t="s">
        <v>13468</v>
      </c>
      <c r="F4" s="377" t="s">
        <v>11949</v>
      </c>
      <c r="G4" s="378" t="s">
        <v>13469</v>
      </c>
      <c r="H4" s="379" t="s">
        <v>13470</v>
      </c>
      <c r="J4" s="402"/>
      <c r="K4" s="403"/>
      <c r="L4" s="404"/>
      <c r="M4" s="405"/>
      <c r="N4" s="404"/>
      <c r="O4" s="404"/>
      <c r="P4" s="406"/>
      <c r="Q4" s="472"/>
      <c r="R4" s="473"/>
      <c r="S4" s="474"/>
      <c r="T4" s="474"/>
      <c r="U4" s="474"/>
      <c r="V4" s="474"/>
      <c r="W4" s="474"/>
      <c r="X4" s="474"/>
      <c r="Y4" s="474"/>
      <c r="Z4" s="474"/>
      <c r="AA4" s="474"/>
      <c r="AB4" s="474"/>
      <c r="AC4" s="474"/>
      <c r="AD4" s="474"/>
      <c r="AE4" s="474"/>
      <c r="AF4" s="474"/>
      <c r="AG4" s="557"/>
      <c r="AH4" s="536"/>
      <c r="AI4" s="536"/>
      <c r="AJ4" s="536"/>
      <c r="AK4" s="536"/>
    </row>
    <row r="5" ht="16.35" spans="2:37">
      <c r="B5" s="380" t="s">
        <v>1299</v>
      </c>
      <c r="C5" s="381"/>
      <c r="D5" s="382" t="s">
        <v>13471</v>
      </c>
      <c r="E5" s="381"/>
      <c r="F5" s="381"/>
      <c r="G5" s="383"/>
      <c r="H5" s="384"/>
      <c r="J5" s="407"/>
      <c r="K5" s="408"/>
      <c r="L5" s="408"/>
      <c r="M5" s="408"/>
      <c r="N5" s="409" t="s">
        <v>13472</v>
      </c>
      <c r="O5" s="410"/>
      <c r="P5" s="410"/>
      <c r="Q5" s="410"/>
      <c r="R5" s="410"/>
      <c r="S5" s="410"/>
      <c r="T5" s="410"/>
      <c r="U5" s="410"/>
      <c r="V5" s="410"/>
      <c r="W5" s="410"/>
      <c r="X5" s="410"/>
      <c r="Y5" s="410"/>
      <c r="Z5" s="410"/>
      <c r="AA5" s="410"/>
      <c r="AB5" s="410"/>
      <c r="AC5" s="537"/>
      <c r="AD5" s="538"/>
      <c r="AE5" s="539"/>
      <c r="AF5" s="540"/>
      <c r="AG5" s="558"/>
      <c r="AH5" s="536"/>
      <c r="AI5" s="536"/>
      <c r="AJ5" s="536"/>
      <c r="AK5" s="536"/>
    </row>
    <row r="6" ht="16.35" spans="2:37">
      <c r="B6" s="380"/>
      <c r="C6" s="381">
        <v>1</v>
      </c>
      <c r="D6" s="381" t="s">
        <v>13473</v>
      </c>
      <c r="E6" s="381">
        <v>1</v>
      </c>
      <c r="F6" s="381" t="s">
        <v>13474</v>
      </c>
      <c r="G6" s="383">
        <v>9361932348</v>
      </c>
      <c r="H6" s="384">
        <f>G6*E6</f>
        <v>9361932348</v>
      </c>
      <c r="J6" s="411"/>
      <c r="K6" s="408"/>
      <c r="L6" s="408"/>
      <c r="M6" s="408"/>
      <c r="N6" s="409" t="s">
        <v>13475</v>
      </c>
      <c r="O6" s="410"/>
      <c r="P6" s="410"/>
      <c r="Q6" s="410"/>
      <c r="R6" s="410"/>
      <c r="S6" s="410"/>
      <c r="T6" s="410"/>
      <c r="U6" s="410"/>
      <c r="V6" s="410"/>
      <c r="W6" s="410"/>
      <c r="X6" s="410"/>
      <c r="Y6" s="410"/>
      <c r="Z6" s="410"/>
      <c r="AA6" s="410"/>
      <c r="AB6" s="410"/>
      <c r="AC6" s="537"/>
      <c r="AD6" s="541"/>
      <c r="AE6" s="542"/>
      <c r="AF6" s="543"/>
      <c r="AG6" s="558"/>
      <c r="AH6" s="536"/>
      <c r="AI6" s="536"/>
      <c r="AJ6" s="536"/>
      <c r="AK6" s="536"/>
    </row>
    <row r="7" ht="15.6" spans="2:37">
      <c r="B7" s="380"/>
      <c r="C7" s="381"/>
      <c r="D7" s="381"/>
      <c r="E7" s="381"/>
      <c r="F7" s="381"/>
      <c r="G7" s="383"/>
      <c r="H7" s="384"/>
      <c r="J7" s="411"/>
      <c r="K7" s="412"/>
      <c r="L7" s="412"/>
      <c r="M7" s="412"/>
      <c r="N7" s="413"/>
      <c r="O7" s="413"/>
      <c r="P7" s="414"/>
      <c r="Q7" s="413"/>
      <c r="R7" s="413"/>
      <c r="S7" s="413"/>
      <c r="T7" s="413"/>
      <c r="U7" s="413"/>
      <c r="V7" s="413"/>
      <c r="W7" s="413"/>
      <c r="X7" s="413"/>
      <c r="Y7" s="413"/>
      <c r="Z7" s="413"/>
      <c r="AA7" s="413"/>
      <c r="AB7" s="413"/>
      <c r="AC7" s="413"/>
      <c r="AD7" s="544"/>
      <c r="AE7" s="544"/>
      <c r="AF7" s="544"/>
      <c r="AG7" s="558"/>
      <c r="AH7" s="536"/>
      <c r="AI7" s="536"/>
      <c r="AJ7" s="536"/>
      <c r="AK7" s="536"/>
    </row>
    <row r="8" ht="15.6" spans="2:37">
      <c r="B8" s="380"/>
      <c r="C8" s="381"/>
      <c r="D8" s="385" t="s">
        <v>13476</v>
      </c>
      <c r="E8" s="381"/>
      <c r="F8" s="381"/>
      <c r="G8" s="383"/>
      <c r="H8" s="384"/>
      <c r="J8" s="411"/>
      <c r="K8" s="415" t="s">
        <v>13477</v>
      </c>
      <c r="L8" s="415"/>
      <c r="M8" s="415"/>
      <c r="N8" s="416" t="e">
        <f>'[111]Dashboard Pekerjaan'!F9</f>
        <v>#REF!</v>
      </c>
      <c r="O8" s="416"/>
      <c r="P8" s="416"/>
      <c r="Q8" s="475"/>
      <c r="R8" s="475"/>
      <c r="S8" s="475"/>
      <c r="T8" s="475"/>
      <c r="U8" s="475"/>
      <c r="V8" s="475"/>
      <c r="W8" s="475"/>
      <c r="X8" s="475"/>
      <c r="Y8" s="475"/>
      <c r="Z8" s="475"/>
      <c r="AA8" s="475"/>
      <c r="AB8" s="475"/>
      <c r="AC8" s="475"/>
      <c r="AD8" s="545"/>
      <c r="AE8" s="545"/>
      <c r="AF8" s="545"/>
      <c r="AG8" s="558"/>
      <c r="AH8" s="536"/>
      <c r="AI8" s="536"/>
      <c r="AJ8" s="536"/>
      <c r="AK8" s="536"/>
    </row>
    <row r="9" ht="15.6" spans="2:37">
      <c r="B9" s="380"/>
      <c r="C9" s="381"/>
      <c r="D9" s="385" t="s">
        <v>13478</v>
      </c>
      <c r="E9" s="381"/>
      <c r="F9" s="381"/>
      <c r="G9" s="383"/>
      <c r="H9" s="384"/>
      <c r="J9" s="411"/>
      <c r="K9" s="415"/>
      <c r="L9" s="415"/>
      <c r="M9" s="415"/>
      <c r="N9" s="417" t="e">
        <f>'[111]Dashboard Pekerjaan'!F10</f>
        <v>#REF!</v>
      </c>
      <c r="O9" s="417"/>
      <c r="P9" s="417"/>
      <c r="Q9" s="475"/>
      <c r="R9" s="475"/>
      <c r="S9" s="475"/>
      <c r="T9" s="475"/>
      <c r="U9" s="475"/>
      <c r="V9" s="475"/>
      <c r="W9" s="475"/>
      <c r="X9" s="475"/>
      <c r="Y9" s="475"/>
      <c r="Z9" s="475"/>
      <c r="AA9" s="475"/>
      <c r="AB9" s="475"/>
      <c r="AC9" s="475"/>
      <c r="AD9" s="545"/>
      <c r="AE9" s="545"/>
      <c r="AF9" s="545"/>
      <c r="AG9" s="558"/>
      <c r="AH9" s="536"/>
      <c r="AI9" s="536"/>
      <c r="AJ9" s="536"/>
      <c r="AK9" s="536"/>
    </row>
    <row r="10" ht="15.6" spans="2:37">
      <c r="B10" s="380"/>
      <c r="C10" s="381"/>
      <c r="D10" s="385" t="s">
        <v>13479</v>
      </c>
      <c r="E10" s="381"/>
      <c r="F10" s="381"/>
      <c r="G10" s="383"/>
      <c r="H10" s="384"/>
      <c r="J10" s="411"/>
      <c r="K10" s="418"/>
      <c r="L10" s="418"/>
      <c r="M10" s="418"/>
      <c r="N10" s="418"/>
      <c r="O10" s="418"/>
      <c r="P10" s="418"/>
      <c r="Q10" s="418"/>
      <c r="R10" s="418"/>
      <c r="S10" s="418"/>
      <c r="T10" s="418"/>
      <c r="U10" s="418"/>
      <c r="V10" s="418"/>
      <c r="W10" s="418"/>
      <c r="X10" s="418"/>
      <c r="Y10" s="418"/>
      <c r="Z10" s="418"/>
      <c r="AA10" s="418"/>
      <c r="AB10" s="418"/>
      <c r="AC10" s="418"/>
      <c r="AD10" s="418"/>
      <c r="AE10" s="418"/>
      <c r="AF10" s="418"/>
      <c r="AG10" s="558"/>
      <c r="AH10" s="536"/>
      <c r="AI10" s="536"/>
      <c r="AJ10" s="536"/>
      <c r="AK10" s="536"/>
    </row>
    <row r="11" ht="15.6" spans="2:37">
      <c r="B11" s="380"/>
      <c r="C11" s="381"/>
      <c r="D11" s="385" t="s">
        <v>13480</v>
      </c>
      <c r="E11" s="381"/>
      <c r="F11" s="381"/>
      <c r="G11" s="383"/>
      <c r="H11" s="384"/>
      <c r="J11" s="419"/>
      <c r="K11" s="420" t="s">
        <v>1021</v>
      </c>
      <c r="L11" s="420"/>
      <c r="M11" s="420" t="s">
        <v>657</v>
      </c>
      <c r="N11" s="420" t="s">
        <v>13437</v>
      </c>
      <c r="O11" s="420" t="s">
        <v>11949</v>
      </c>
      <c r="P11" s="421" t="s">
        <v>13469</v>
      </c>
      <c r="Q11" s="476" t="s">
        <v>13470</v>
      </c>
      <c r="R11" s="477" t="s">
        <v>13481</v>
      </c>
      <c r="S11" s="478" t="s">
        <v>13482</v>
      </c>
      <c r="T11" s="479"/>
      <c r="U11" s="480"/>
      <c r="V11" s="478" t="s">
        <v>13483</v>
      </c>
      <c r="W11" s="479"/>
      <c r="X11" s="480"/>
      <c r="Y11" s="546" t="s">
        <v>13484</v>
      </c>
      <c r="Z11" s="478" t="s">
        <v>13483</v>
      </c>
      <c r="AA11" s="479"/>
      <c r="AB11" s="480"/>
      <c r="AC11" s="546" t="s">
        <v>13484</v>
      </c>
      <c r="AD11" s="478" t="s">
        <v>13483</v>
      </c>
      <c r="AE11" s="479"/>
      <c r="AF11" s="480"/>
      <c r="AG11" s="559"/>
      <c r="AH11" s="560"/>
      <c r="AI11" s="560"/>
      <c r="AJ11" s="560"/>
      <c r="AK11" s="560"/>
    </row>
    <row r="12" ht="31.2" spans="2:37">
      <c r="B12" s="380"/>
      <c r="C12" s="381"/>
      <c r="D12" s="385" t="s">
        <v>13485</v>
      </c>
      <c r="E12" s="381"/>
      <c r="F12" s="381"/>
      <c r="G12" s="383"/>
      <c r="H12" s="384"/>
      <c r="J12" s="422"/>
      <c r="K12" s="423"/>
      <c r="L12" s="423"/>
      <c r="M12" s="423"/>
      <c r="N12" s="423"/>
      <c r="O12" s="423"/>
      <c r="P12" s="424"/>
      <c r="Q12" s="481"/>
      <c r="R12" s="482"/>
      <c r="S12" s="483" t="s">
        <v>13481</v>
      </c>
      <c r="T12" s="484" t="s">
        <v>13486</v>
      </c>
      <c r="U12" s="485" t="s">
        <v>679</v>
      </c>
      <c r="V12" s="485" t="s">
        <v>13487</v>
      </c>
      <c r="W12" s="485" t="s">
        <v>13486</v>
      </c>
      <c r="X12" s="485" t="s">
        <v>679</v>
      </c>
      <c r="Y12" s="547"/>
      <c r="Z12" s="485" t="s">
        <v>13487</v>
      </c>
      <c r="AA12" s="485" t="s">
        <v>13486</v>
      </c>
      <c r="AB12" s="485" t="s">
        <v>679</v>
      </c>
      <c r="AC12" s="547"/>
      <c r="AD12" s="548" t="s">
        <v>13487</v>
      </c>
      <c r="AE12" s="484" t="s">
        <v>13486</v>
      </c>
      <c r="AF12" s="485" t="s">
        <v>679</v>
      </c>
      <c r="AG12" s="561"/>
      <c r="AH12" s="562"/>
      <c r="AI12" s="562"/>
      <c r="AJ12" s="562"/>
      <c r="AK12" s="562"/>
    </row>
    <row r="13" ht="15.6" spans="2:37">
      <c r="B13" s="380"/>
      <c r="C13" s="381"/>
      <c r="D13" s="385" t="s">
        <v>13488</v>
      </c>
      <c r="E13" s="381"/>
      <c r="F13" s="381"/>
      <c r="G13" s="383"/>
      <c r="H13" s="384"/>
      <c r="J13" s="425"/>
      <c r="K13" s="426" t="s">
        <v>1299</v>
      </c>
      <c r="L13" s="427"/>
      <c r="M13" s="428" t="s">
        <v>13471</v>
      </c>
      <c r="N13" s="429"/>
      <c r="O13" s="429"/>
      <c r="P13" s="430"/>
      <c r="Q13" s="486"/>
      <c r="R13" s="487"/>
      <c r="S13" s="488"/>
      <c r="T13" s="488"/>
      <c r="U13" s="489"/>
      <c r="V13" s="489"/>
      <c r="W13" s="489"/>
      <c r="X13" s="489"/>
      <c r="Y13" s="489"/>
      <c r="Z13" s="489"/>
      <c r="AA13" s="489"/>
      <c r="AB13" s="489"/>
      <c r="AC13" s="489"/>
      <c r="AD13" s="488"/>
      <c r="AE13" s="488"/>
      <c r="AF13" s="489"/>
      <c r="AG13" s="563"/>
      <c r="AH13" s="564"/>
      <c r="AI13" s="564"/>
      <c r="AJ13" s="564"/>
      <c r="AK13" s="564"/>
    </row>
    <row r="14" ht="15.6" spans="2:37">
      <c r="B14" s="380"/>
      <c r="C14" s="381"/>
      <c r="D14" s="385" t="s">
        <v>13489</v>
      </c>
      <c r="E14" s="381"/>
      <c r="F14" s="381"/>
      <c r="G14" s="381"/>
      <c r="H14" s="386"/>
      <c r="J14" s="425"/>
      <c r="K14" s="431"/>
      <c r="L14" s="432">
        <v>1</v>
      </c>
      <c r="M14" s="433" t="s">
        <v>13473</v>
      </c>
      <c r="N14" s="434">
        <v>1</v>
      </c>
      <c r="O14" s="434" t="s">
        <v>13474</v>
      </c>
      <c r="P14" s="435">
        <v>9361932348</v>
      </c>
      <c r="Q14" s="490">
        <f>SUBTOTAL(9,Q15:Q24)</f>
        <v>9361932348</v>
      </c>
      <c r="R14" s="491" t="e">
        <f>SUBTOTAL(9,R15:R24)</f>
        <v>#DIV/0!</v>
      </c>
      <c r="S14" s="492" t="e">
        <f>SUBTOTAL(9,S15:S24)</f>
        <v>#REF!</v>
      </c>
      <c r="T14" s="493"/>
      <c r="U14" s="494" t="e">
        <f>SUBTOTAL(9,U15:U24)</f>
        <v>#REF!</v>
      </c>
      <c r="V14" s="495">
        <v>0.0370169512184951</v>
      </c>
      <c r="W14" s="495"/>
      <c r="X14" s="494">
        <f>SUBTOTAL(9,X15:X24)</f>
        <v>1568639797.25066</v>
      </c>
      <c r="Y14" s="494">
        <f>SUBTOTAL(9,Y15:Y24)</f>
        <v>1126673317.96179</v>
      </c>
      <c r="Z14" s="495">
        <v>0.0578690928674307</v>
      </c>
      <c r="AA14" s="495"/>
      <c r="AB14" s="494">
        <f>SUBTOTAL(9,AB15:AB24)</f>
        <v>2695313115.21245</v>
      </c>
      <c r="AC14" s="494">
        <f>SUBTOTAL(9,AC15:AC24)</f>
        <v>1948480045.13926</v>
      </c>
      <c r="AD14" s="492">
        <f>SUBTOTAL(9,AD15:AD24)</f>
        <v>0.0927311933246919</v>
      </c>
      <c r="AE14" s="492"/>
      <c r="AF14" s="490">
        <f>SUBTOTAL(9,AF15:AF24)</f>
        <v>4643793160.35171</v>
      </c>
      <c r="AG14" s="563"/>
      <c r="AH14" s="564"/>
      <c r="AI14" s="564"/>
      <c r="AJ14" s="564"/>
      <c r="AK14" s="564"/>
    </row>
    <row r="15" ht="15.6" spans="2:37">
      <c r="B15" s="380"/>
      <c r="C15" s="381"/>
      <c r="D15" s="385"/>
      <c r="E15" s="381"/>
      <c r="F15" s="381"/>
      <c r="G15" s="381"/>
      <c r="H15" s="386"/>
      <c r="J15" s="425"/>
      <c r="K15" s="431"/>
      <c r="L15" s="432"/>
      <c r="M15" s="433" t="s">
        <v>13490</v>
      </c>
      <c r="N15" s="434"/>
      <c r="O15" s="434"/>
      <c r="P15" s="435">
        <f>P14-P24</f>
        <v>8526955348</v>
      </c>
      <c r="Q15" s="496">
        <f>P15</f>
        <v>8526955348</v>
      </c>
      <c r="R15" s="491" t="e">
        <f>Q15/$P$52</f>
        <v>#DIV/0!</v>
      </c>
      <c r="S15" s="493" t="e">
        <f>'[111]Dashboard Pekerjaan'!BZ47</f>
        <v>#REF!</v>
      </c>
      <c r="T15" s="493" t="e">
        <f>'[111]Dashboard Pekerjaan'!CA47</f>
        <v>#REF!</v>
      </c>
      <c r="U15" s="497" t="e">
        <f>T15*Q15</f>
        <v>#REF!</v>
      </c>
      <c r="V15" s="498">
        <v>0.0370169512184951</v>
      </c>
      <c r="W15" s="498">
        <f>X15/Q15</f>
        <v>0.183962473501</v>
      </c>
      <c r="X15" s="497">
        <v>1568639797.25066</v>
      </c>
      <c r="Y15" s="497">
        <f>AB15-X15</f>
        <v>883526535.973114</v>
      </c>
      <c r="Z15" s="498">
        <v>0.0480081970336719</v>
      </c>
      <c r="AA15" s="549">
        <f>AB15/Q15</f>
        <v>0.28757818390581</v>
      </c>
      <c r="AB15" s="497">
        <v>2452166333.22378</v>
      </c>
      <c r="AC15" s="497">
        <f>AF15-AB15</f>
        <v>1588639691.45462</v>
      </c>
      <c r="AD15" s="493">
        <v>0.0851304544047936</v>
      </c>
      <c r="AE15" s="493">
        <f>AF15/P15</f>
        <v>0.473886148075839</v>
      </c>
      <c r="AF15" s="497">
        <v>4040806024.6784</v>
      </c>
      <c r="AG15" s="563"/>
      <c r="AH15" s="564"/>
      <c r="AI15" s="564"/>
      <c r="AJ15" s="564"/>
      <c r="AK15" s="564"/>
    </row>
    <row r="16" ht="15.6" spans="2:37">
      <c r="B16" s="380"/>
      <c r="C16" s="381"/>
      <c r="D16" s="385"/>
      <c r="E16" s="381"/>
      <c r="F16" s="381"/>
      <c r="G16" s="381"/>
      <c r="H16" s="386"/>
      <c r="J16" s="425"/>
      <c r="K16" s="436"/>
      <c r="L16" s="437"/>
      <c r="M16" s="438" t="s">
        <v>13476</v>
      </c>
      <c r="N16" s="434"/>
      <c r="O16" s="434"/>
      <c r="P16" s="435"/>
      <c r="Q16" s="496"/>
      <c r="R16" s="491"/>
      <c r="S16" s="499"/>
      <c r="T16" s="499"/>
      <c r="U16" s="499"/>
      <c r="V16" s="493"/>
      <c r="W16" s="493"/>
      <c r="X16" s="499"/>
      <c r="Y16" s="499"/>
      <c r="Z16" s="493"/>
      <c r="AA16" s="493"/>
      <c r="AB16" s="499"/>
      <c r="AC16" s="499"/>
      <c r="AD16" s="499"/>
      <c r="AE16" s="493"/>
      <c r="AF16" s="550"/>
      <c r="AG16" s="563"/>
      <c r="AH16" s="564"/>
      <c r="AI16" s="564"/>
      <c r="AJ16" s="564"/>
      <c r="AK16" s="564"/>
    </row>
    <row r="17" ht="15.6" spans="2:37">
      <c r="B17" s="380"/>
      <c r="C17" s="381">
        <v>2</v>
      </c>
      <c r="D17" s="381" t="s">
        <v>13491</v>
      </c>
      <c r="E17" s="381">
        <v>1</v>
      </c>
      <c r="F17" s="381" t="s">
        <v>13474</v>
      </c>
      <c r="G17" s="383">
        <v>11023251390</v>
      </c>
      <c r="H17" s="384">
        <f>G17*E17</f>
        <v>11023251390</v>
      </c>
      <c r="J17" s="425"/>
      <c r="K17" s="436"/>
      <c r="L17" s="437"/>
      <c r="M17" s="438" t="s">
        <v>13478</v>
      </c>
      <c r="N17" s="434"/>
      <c r="O17" s="434"/>
      <c r="P17" s="435"/>
      <c r="Q17" s="496"/>
      <c r="R17" s="491"/>
      <c r="S17" s="499"/>
      <c r="T17" s="499"/>
      <c r="U17" s="499"/>
      <c r="V17" s="493"/>
      <c r="W17" s="493"/>
      <c r="X17" s="499"/>
      <c r="Y17" s="499"/>
      <c r="Z17" s="493"/>
      <c r="AA17" s="493"/>
      <c r="AB17" s="499"/>
      <c r="AC17" s="499"/>
      <c r="AD17" s="499"/>
      <c r="AE17" s="493"/>
      <c r="AF17" s="550"/>
      <c r="AG17" s="563"/>
      <c r="AH17" s="564"/>
      <c r="AI17" s="564"/>
      <c r="AJ17" s="564"/>
      <c r="AK17" s="564"/>
    </row>
    <row r="18" ht="15.6" spans="2:37">
      <c r="B18" s="380"/>
      <c r="C18" s="381"/>
      <c r="D18" s="381"/>
      <c r="E18" s="381"/>
      <c r="F18" s="381"/>
      <c r="G18" s="383"/>
      <c r="H18" s="384"/>
      <c r="J18" s="425"/>
      <c r="K18" s="436"/>
      <c r="L18" s="437"/>
      <c r="M18" s="438" t="s">
        <v>13479</v>
      </c>
      <c r="N18" s="434"/>
      <c r="O18" s="434"/>
      <c r="P18" s="435"/>
      <c r="Q18" s="496"/>
      <c r="R18" s="491"/>
      <c r="S18" s="499"/>
      <c r="T18" s="499"/>
      <c r="U18" s="499"/>
      <c r="V18" s="493"/>
      <c r="W18" s="493"/>
      <c r="X18" s="499"/>
      <c r="Y18" s="499"/>
      <c r="Z18" s="493"/>
      <c r="AA18" s="493"/>
      <c r="AB18" s="499"/>
      <c r="AC18" s="499"/>
      <c r="AD18" s="499"/>
      <c r="AE18" s="493"/>
      <c r="AF18" s="550"/>
      <c r="AG18" s="563"/>
      <c r="AH18" s="564"/>
      <c r="AI18" s="564"/>
      <c r="AJ18" s="564"/>
      <c r="AK18" s="564"/>
    </row>
    <row r="19" ht="15.6" spans="2:37">
      <c r="B19" s="380"/>
      <c r="C19" s="381"/>
      <c r="D19" s="385" t="s">
        <v>13492</v>
      </c>
      <c r="E19" s="381"/>
      <c r="F19" s="381"/>
      <c r="G19" s="383"/>
      <c r="H19" s="384"/>
      <c r="J19" s="425"/>
      <c r="K19" s="436"/>
      <c r="L19" s="437"/>
      <c r="M19" s="438" t="s">
        <v>13480</v>
      </c>
      <c r="N19" s="434"/>
      <c r="O19" s="434"/>
      <c r="P19" s="435"/>
      <c r="Q19" s="496"/>
      <c r="R19" s="491"/>
      <c r="S19" s="499"/>
      <c r="T19" s="499"/>
      <c r="U19" s="499"/>
      <c r="V19" s="493"/>
      <c r="W19" s="493"/>
      <c r="X19" s="499"/>
      <c r="Y19" s="499"/>
      <c r="Z19" s="493"/>
      <c r="AA19" s="493"/>
      <c r="AB19" s="499"/>
      <c r="AC19" s="499"/>
      <c r="AD19" s="499"/>
      <c r="AE19" s="493"/>
      <c r="AF19" s="550"/>
      <c r="AG19" s="563"/>
      <c r="AH19" s="564"/>
      <c r="AI19" s="564"/>
      <c r="AJ19" s="564"/>
      <c r="AK19" s="564"/>
    </row>
    <row r="20" ht="15.6" spans="2:37">
      <c r="B20" s="380"/>
      <c r="C20" s="381"/>
      <c r="D20" s="385" t="s">
        <v>13493</v>
      </c>
      <c r="E20" s="381"/>
      <c r="F20" s="381"/>
      <c r="G20" s="383"/>
      <c r="H20" s="384"/>
      <c r="J20" s="425"/>
      <c r="K20" s="436"/>
      <c r="L20" s="437"/>
      <c r="M20" s="438" t="s">
        <v>13485</v>
      </c>
      <c r="N20" s="434"/>
      <c r="O20" s="434"/>
      <c r="P20" s="435"/>
      <c r="Q20" s="496"/>
      <c r="R20" s="491"/>
      <c r="S20" s="499"/>
      <c r="T20" s="499"/>
      <c r="U20" s="499"/>
      <c r="V20" s="493"/>
      <c r="W20" s="493"/>
      <c r="X20" s="499"/>
      <c r="Y20" s="499"/>
      <c r="Z20" s="493"/>
      <c r="AA20" s="493"/>
      <c r="AB20" s="499"/>
      <c r="AC20" s="499"/>
      <c r="AD20" s="499"/>
      <c r="AE20" s="493"/>
      <c r="AF20" s="550"/>
      <c r="AG20" s="563"/>
      <c r="AH20" s="564"/>
      <c r="AI20" s="564"/>
      <c r="AJ20" s="564"/>
      <c r="AK20" s="564"/>
    </row>
    <row r="21" ht="15.6" spans="2:37">
      <c r="B21" s="380"/>
      <c r="C21" s="381"/>
      <c r="D21" s="385"/>
      <c r="E21" s="381"/>
      <c r="F21" s="381"/>
      <c r="G21" s="383"/>
      <c r="H21" s="384"/>
      <c r="J21" s="425"/>
      <c r="K21" s="436"/>
      <c r="L21" s="437"/>
      <c r="M21" s="438" t="s">
        <v>13488</v>
      </c>
      <c r="N21" s="434"/>
      <c r="O21" s="434"/>
      <c r="P21" s="435"/>
      <c r="Q21" s="496"/>
      <c r="R21" s="491"/>
      <c r="S21" s="499"/>
      <c r="T21" s="499"/>
      <c r="U21" s="499"/>
      <c r="V21" s="493"/>
      <c r="W21" s="493"/>
      <c r="X21" s="499"/>
      <c r="Y21" s="499"/>
      <c r="Z21" s="493"/>
      <c r="AA21" s="493"/>
      <c r="AB21" s="499"/>
      <c r="AC21" s="499"/>
      <c r="AD21" s="499"/>
      <c r="AE21" s="493"/>
      <c r="AF21" s="550"/>
      <c r="AG21" s="563"/>
      <c r="AH21" s="564"/>
      <c r="AI21" s="564"/>
      <c r="AJ21" s="564"/>
      <c r="AK21" s="564"/>
    </row>
    <row r="22" ht="15.6" spans="2:37">
      <c r="B22" s="380"/>
      <c r="C22" s="381"/>
      <c r="D22" s="385"/>
      <c r="E22" s="381"/>
      <c r="F22" s="381"/>
      <c r="G22" s="381"/>
      <c r="H22" s="386"/>
      <c r="J22" s="425"/>
      <c r="K22" s="436"/>
      <c r="L22" s="437"/>
      <c r="M22" s="438" t="s">
        <v>13489</v>
      </c>
      <c r="N22" s="434"/>
      <c r="O22" s="434"/>
      <c r="P22" s="439"/>
      <c r="Q22" s="434"/>
      <c r="R22" s="491"/>
      <c r="S22" s="499"/>
      <c r="T22" s="499"/>
      <c r="U22" s="499"/>
      <c r="V22" s="493"/>
      <c r="W22" s="493"/>
      <c r="X22" s="499"/>
      <c r="Y22" s="499"/>
      <c r="Z22" s="493"/>
      <c r="AA22" s="493"/>
      <c r="AB22" s="499"/>
      <c r="AC22" s="499"/>
      <c r="AD22" s="499"/>
      <c r="AE22" s="493"/>
      <c r="AF22" s="550"/>
      <c r="AG22" s="563"/>
      <c r="AH22" s="564"/>
      <c r="AI22" s="564"/>
      <c r="AJ22" s="564"/>
      <c r="AK22" s="564"/>
    </row>
    <row r="23" ht="15.6" spans="2:37">
      <c r="B23" s="380"/>
      <c r="C23" s="381"/>
      <c r="D23" s="385" t="s">
        <v>13494</v>
      </c>
      <c r="E23" s="381"/>
      <c r="F23" s="381"/>
      <c r="G23" s="383"/>
      <c r="H23" s="384"/>
      <c r="J23" s="425"/>
      <c r="K23" s="436"/>
      <c r="L23" s="437"/>
      <c r="M23" s="438" t="s">
        <v>13495</v>
      </c>
      <c r="N23" s="434"/>
      <c r="O23" s="434"/>
      <c r="P23" s="439"/>
      <c r="Q23" s="434"/>
      <c r="R23" s="491"/>
      <c r="S23" s="500"/>
      <c r="T23" s="500"/>
      <c r="U23" s="500"/>
      <c r="V23" s="501"/>
      <c r="W23" s="501"/>
      <c r="X23" s="500"/>
      <c r="Y23" s="500"/>
      <c r="Z23" s="501"/>
      <c r="AA23" s="501"/>
      <c r="AB23" s="500"/>
      <c r="AC23" s="500"/>
      <c r="AD23" s="500"/>
      <c r="AE23" s="501"/>
      <c r="AF23" s="551"/>
      <c r="AG23" s="563"/>
      <c r="AH23" s="564"/>
      <c r="AI23" s="564"/>
      <c r="AJ23" s="564"/>
      <c r="AK23" s="564"/>
    </row>
    <row r="24" ht="15.6" spans="2:37">
      <c r="B24" s="380"/>
      <c r="C24" s="381"/>
      <c r="D24" s="385" t="s">
        <v>13496</v>
      </c>
      <c r="E24" s="381"/>
      <c r="F24" s="381"/>
      <c r="G24" s="383"/>
      <c r="H24" s="384"/>
      <c r="J24" s="425"/>
      <c r="K24" s="436"/>
      <c r="L24" s="437"/>
      <c r="M24" s="433" t="s">
        <v>13497</v>
      </c>
      <c r="N24" s="434"/>
      <c r="O24" s="434"/>
      <c r="P24" s="439">
        <v>834977000</v>
      </c>
      <c r="Q24" s="496">
        <f>P24</f>
        <v>834977000</v>
      </c>
      <c r="R24" s="491" t="e">
        <f>Q24/$P$52</f>
        <v>#DIV/0!</v>
      </c>
      <c r="S24" s="501" t="e">
        <f>'[111]Dashboard Pekerjaan'!BZ56</f>
        <v>#REF!</v>
      </c>
      <c r="T24" s="500" t="e">
        <f>'[111]Dashboard Pekerjaan'!CA56</f>
        <v>#REF!</v>
      </c>
      <c r="U24" s="497" t="e">
        <f>T24*Q24</f>
        <v>#REF!</v>
      </c>
      <c r="V24" s="498">
        <v>0</v>
      </c>
      <c r="W24" s="498">
        <v>0</v>
      </c>
      <c r="X24" s="497">
        <v>0</v>
      </c>
      <c r="Y24" s="497">
        <f>AB24-X24</f>
        <v>243146781.988671</v>
      </c>
      <c r="Z24" s="498">
        <v>0.00986089583375889</v>
      </c>
      <c r="AA24" s="498">
        <v>0.29120177201129</v>
      </c>
      <c r="AB24" s="497">
        <v>243146781.988671</v>
      </c>
      <c r="AC24" s="497">
        <f>AF24-AB24</f>
        <v>359840353.684637</v>
      </c>
      <c r="AD24" s="493">
        <v>0.00760073891989833</v>
      </c>
      <c r="AE24" s="493">
        <f>AF24/P24</f>
        <v>0.722160174080613</v>
      </c>
      <c r="AF24" s="497">
        <v>602987135.673308</v>
      </c>
      <c r="AG24" s="563"/>
      <c r="AH24" s="564"/>
      <c r="AI24" s="565">
        <v>0.0168535980256269</v>
      </c>
      <c r="AJ24" s="564"/>
      <c r="AK24" s="564"/>
    </row>
    <row r="25" ht="15.6" spans="2:37">
      <c r="B25" s="380"/>
      <c r="C25" s="381">
        <v>3</v>
      </c>
      <c r="D25" s="381" t="s">
        <v>13498</v>
      </c>
      <c r="E25" s="381">
        <v>1</v>
      </c>
      <c r="F25" s="381" t="s">
        <v>13474</v>
      </c>
      <c r="G25" s="383">
        <v>7821996346</v>
      </c>
      <c r="H25" s="384">
        <f>G25*E25</f>
        <v>7821996346</v>
      </c>
      <c r="J25" s="425"/>
      <c r="K25" s="436"/>
      <c r="L25" s="432">
        <v>2</v>
      </c>
      <c r="M25" s="433" t="s">
        <v>13491</v>
      </c>
      <c r="N25" s="434">
        <v>1</v>
      </c>
      <c r="O25" s="434" t="s">
        <v>13474</v>
      </c>
      <c r="P25" s="435">
        <v>11023251390</v>
      </c>
      <c r="Q25" s="490">
        <f>SUBTOTAL(9,Q26:Q30)</f>
        <v>11023251390</v>
      </c>
      <c r="R25" s="502" t="e">
        <f>SUBTOTAL(9,R26:R30)</f>
        <v>#DIV/0!</v>
      </c>
      <c r="S25" s="501" t="e">
        <f>SUBTOTAL(9,S26:S30)</f>
        <v>#REF!</v>
      </c>
      <c r="T25" s="501"/>
      <c r="U25" s="503" t="e">
        <f>SUBTOTAL(9,U26:U30)</f>
        <v>#REF!</v>
      </c>
      <c r="V25" s="504">
        <v>0.0347205224544413</v>
      </c>
      <c r="W25" s="504"/>
      <c r="X25" s="503">
        <f>SUBTOTAL(9,X26:X30)</f>
        <v>1471325744.30278</v>
      </c>
      <c r="Y25" s="503">
        <f>SUBTOTAL(9,Y26:Y30)</f>
        <v>2684229298.54533</v>
      </c>
      <c r="Z25" s="504">
        <v>0.0980632893392663</v>
      </c>
      <c r="AA25" s="504"/>
      <c r="AB25" s="503">
        <f>SUBTOTAL(9,AB26:AB30)</f>
        <v>4155555042.84811</v>
      </c>
      <c r="AC25" s="503">
        <f>SUBTOTAL(9,AC26:AC30)</f>
        <v>233070652.151889</v>
      </c>
      <c r="AD25" s="552">
        <f>SUBTOTAL(9,AD26:AD30)</f>
        <v>0.0980632893392663</v>
      </c>
      <c r="AE25" s="506"/>
      <c r="AF25" s="490">
        <f>SUBTOTAL(9,AF26:AF30)</f>
        <v>4388625695</v>
      </c>
      <c r="AG25" s="563"/>
      <c r="AH25" s="564"/>
      <c r="AI25" s="564"/>
      <c r="AJ25" s="564"/>
      <c r="AK25" s="564"/>
    </row>
    <row r="26" ht="15.6" spans="2:37">
      <c r="B26" s="380"/>
      <c r="C26" s="381"/>
      <c r="D26" s="381"/>
      <c r="E26" s="381"/>
      <c r="F26" s="381"/>
      <c r="G26" s="383"/>
      <c r="H26" s="384"/>
      <c r="J26" s="425"/>
      <c r="K26" s="431"/>
      <c r="L26" s="432"/>
      <c r="M26" s="433" t="s">
        <v>13490</v>
      </c>
      <c r="N26" s="434"/>
      <c r="O26" s="434"/>
      <c r="P26" s="435">
        <f>P25-P30</f>
        <v>10277251390</v>
      </c>
      <c r="Q26" s="496">
        <f>P26</f>
        <v>10277251390</v>
      </c>
      <c r="R26" s="491" t="e">
        <f>Q26/$P$52</f>
        <v>#DIV/0!</v>
      </c>
      <c r="S26" s="493" t="e">
        <f>'[111]Dashboard Pekerjaan'!BZ58</f>
        <v>#REF!</v>
      </c>
      <c r="T26" s="493" t="e">
        <f>'[111]Dashboard Pekerjaan'!CD58</f>
        <v>#REF!</v>
      </c>
      <c r="U26" s="497" t="e">
        <f>T26*Q26</f>
        <v>#REF!</v>
      </c>
      <c r="V26" s="498">
        <v>0.0347205224544413</v>
      </c>
      <c r="W26" s="498">
        <f>X26/Q26</f>
        <v>0.143163350634238</v>
      </c>
      <c r="X26" s="497">
        <v>1471325744.30278</v>
      </c>
      <c r="Y26" s="497">
        <f>AB26-X26</f>
        <v>2684229298.54533</v>
      </c>
      <c r="Z26" s="498">
        <v>0.0980632893392663</v>
      </c>
      <c r="AA26" s="549">
        <f>AB26/Q26</f>
        <v>0.404344983415659</v>
      </c>
      <c r="AB26" s="497">
        <v>4155555042.84811</v>
      </c>
      <c r="AC26" s="497">
        <f>AF26-AB26</f>
        <v>233070652.151889</v>
      </c>
      <c r="AD26" s="493">
        <v>0.0980632893392663</v>
      </c>
      <c r="AE26" s="493">
        <f>AF26/P26</f>
        <v>0.42702328944393</v>
      </c>
      <c r="AF26" s="497">
        <v>4388625695</v>
      </c>
      <c r="AG26" s="563"/>
      <c r="AH26" s="564"/>
      <c r="AI26" s="564"/>
      <c r="AJ26" s="564"/>
      <c r="AK26" s="564"/>
    </row>
    <row r="27" ht="15.6" spans="2:37">
      <c r="B27" s="380"/>
      <c r="C27" s="381"/>
      <c r="D27" s="385" t="s">
        <v>13499</v>
      </c>
      <c r="E27" s="381"/>
      <c r="F27" s="381"/>
      <c r="G27" s="383"/>
      <c r="H27" s="384"/>
      <c r="J27" s="425"/>
      <c r="K27" s="436"/>
      <c r="L27" s="437"/>
      <c r="M27" s="438" t="s">
        <v>13492</v>
      </c>
      <c r="N27" s="434"/>
      <c r="O27" s="434"/>
      <c r="P27" s="435"/>
      <c r="Q27" s="496"/>
      <c r="R27" s="491"/>
      <c r="S27" s="493"/>
      <c r="T27" s="493"/>
      <c r="U27" s="493"/>
      <c r="V27" s="493"/>
      <c r="W27" s="493"/>
      <c r="X27" s="493"/>
      <c r="Y27" s="493"/>
      <c r="Z27" s="493"/>
      <c r="AA27" s="493"/>
      <c r="AB27" s="493"/>
      <c r="AC27" s="493"/>
      <c r="AD27" s="493"/>
      <c r="AE27" s="493"/>
      <c r="AF27" s="550"/>
      <c r="AG27" s="563"/>
      <c r="AH27" s="564"/>
      <c r="AI27" s="564"/>
      <c r="AJ27" s="564"/>
      <c r="AK27" s="564"/>
    </row>
    <row r="28" ht="15.6" spans="2:37">
      <c r="B28" s="380"/>
      <c r="C28" s="381"/>
      <c r="D28" s="385" t="s">
        <v>13500</v>
      </c>
      <c r="E28" s="381"/>
      <c r="F28" s="381"/>
      <c r="G28" s="383"/>
      <c r="H28" s="384"/>
      <c r="J28" s="425"/>
      <c r="K28" s="436"/>
      <c r="L28" s="437"/>
      <c r="M28" s="438" t="s">
        <v>13493</v>
      </c>
      <c r="N28" s="434"/>
      <c r="O28" s="434"/>
      <c r="P28" s="435"/>
      <c r="Q28" s="496"/>
      <c r="R28" s="491"/>
      <c r="S28" s="499"/>
      <c r="T28" s="499"/>
      <c r="U28" s="499"/>
      <c r="V28" s="493"/>
      <c r="W28" s="493"/>
      <c r="X28" s="499"/>
      <c r="Y28" s="499"/>
      <c r="Z28" s="493"/>
      <c r="AA28" s="493"/>
      <c r="AB28" s="499"/>
      <c r="AC28" s="499"/>
      <c r="AD28" s="499"/>
      <c r="AE28" s="493"/>
      <c r="AF28" s="550"/>
      <c r="AG28" s="563"/>
      <c r="AH28" s="564"/>
      <c r="AI28" s="564"/>
      <c r="AJ28" s="564"/>
      <c r="AK28" s="564"/>
    </row>
    <row r="29" ht="15.6" spans="2:37">
      <c r="B29" s="380"/>
      <c r="C29" s="381"/>
      <c r="D29" s="385" t="s">
        <v>13501</v>
      </c>
      <c r="E29" s="381"/>
      <c r="F29" s="381"/>
      <c r="G29" s="383"/>
      <c r="H29" s="384"/>
      <c r="J29" s="425"/>
      <c r="K29" s="436"/>
      <c r="L29" s="437"/>
      <c r="M29" s="438" t="s">
        <v>13502</v>
      </c>
      <c r="N29" s="434"/>
      <c r="O29" s="434"/>
      <c r="P29" s="435"/>
      <c r="Q29" s="496"/>
      <c r="R29" s="491"/>
      <c r="S29" s="500"/>
      <c r="T29" s="500"/>
      <c r="U29" s="500"/>
      <c r="V29" s="501"/>
      <c r="W29" s="501"/>
      <c r="X29" s="500"/>
      <c r="Y29" s="500"/>
      <c r="Z29" s="501"/>
      <c r="AA29" s="501"/>
      <c r="AB29" s="500"/>
      <c r="AC29" s="500"/>
      <c r="AD29" s="500"/>
      <c r="AE29" s="501"/>
      <c r="AF29" s="551"/>
      <c r="AG29" s="563"/>
      <c r="AH29" s="564"/>
      <c r="AI29" s="564"/>
      <c r="AJ29" s="564"/>
      <c r="AK29" s="564"/>
    </row>
    <row r="30" ht="15.6" spans="2:37">
      <c r="B30" s="380"/>
      <c r="C30" s="381"/>
      <c r="D30" s="385" t="s">
        <v>13503</v>
      </c>
      <c r="E30" s="381"/>
      <c r="F30" s="381"/>
      <c r="G30" s="383"/>
      <c r="H30" s="384"/>
      <c r="J30" s="425"/>
      <c r="K30" s="436"/>
      <c r="L30" s="437"/>
      <c r="M30" s="433" t="s">
        <v>13497</v>
      </c>
      <c r="N30" s="434"/>
      <c r="O30" s="434"/>
      <c r="P30" s="439">
        <v>746000000</v>
      </c>
      <c r="Q30" s="496">
        <f>P30</f>
        <v>746000000</v>
      </c>
      <c r="R30" s="491" t="e">
        <f>Q30/$P$52</f>
        <v>#DIV/0!</v>
      </c>
      <c r="S30" s="493" t="e">
        <f>'[111]Dashboard Pekerjaan'!BZ62</f>
        <v>#REF!</v>
      </c>
      <c r="T30" s="493" t="e">
        <f>'[111]Dashboard Pekerjaan'!CD62</f>
        <v>#REF!</v>
      </c>
      <c r="U30" s="497" t="e">
        <f>T30*Q30</f>
        <v>#REF!</v>
      </c>
      <c r="V30" s="498">
        <v>0</v>
      </c>
      <c r="W30" s="498">
        <v>0</v>
      </c>
      <c r="X30" s="497">
        <v>0</v>
      </c>
      <c r="Y30" s="497">
        <f>AB30-X30</f>
        <v>0</v>
      </c>
      <c r="Z30" s="498">
        <v>0</v>
      </c>
      <c r="AA30" s="549">
        <f>AB30/Q30</f>
        <v>0</v>
      </c>
      <c r="AB30" s="497">
        <v>0</v>
      </c>
      <c r="AC30" s="497">
        <f>AF30-AB30</f>
        <v>0</v>
      </c>
      <c r="AD30" s="493">
        <v>0</v>
      </c>
      <c r="AE30" s="493">
        <v>0</v>
      </c>
      <c r="AF30" s="497">
        <v>0</v>
      </c>
      <c r="AG30" s="563"/>
      <c r="AH30" s="564"/>
      <c r="AI30" s="564"/>
      <c r="AJ30" s="564"/>
      <c r="AK30" s="564"/>
    </row>
    <row r="31" ht="15.6" spans="2:37">
      <c r="B31" s="380"/>
      <c r="C31" s="381"/>
      <c r="D31" s="385" t="s">
        <v>13504</v>
      </c>
      <c r="E31" s="381"/>
      <c r="F31" s="381"/>
      <c r="G31" s="383"/>
      <c r="H31" s="384"/>
      <c r="J31" s="425"/>
      <c r="K31" s="436"/>
      <c r="L31" s="437"/>
      <c r="M31" s="438" t="s">
        <v>13494</v>
      </c>
      <c r="N31" s="434"/>
      <c r="O31" s="434"/>
      <c r="P31" s="435"/>
      <c r="Q31" s="496"/>
      <c r="R31" s="491"/>
      <c r="S31" s="493"/>
      <c r="T31" s="493"/>
      <c r="U31" s="493"/>
      <c r="V31" s="493"/>
      <c r="W31" s="493"/>
      <c r="X31" s="493"/>
      <c r="Y31" s="493"/>
      <c r="Z31" s="493"/>
      <c r="AA31" s="493"/>
      <c r="AB31" s="493"/>
      <c r="AC31" s="493"/>
      <c r="AD31" s="493"/>
      <c r="AE31" s="501"/>
      <c r="AF31" s="553"/>
      <c r="AG31" s="563"/>
      <c r="AH31" s="564"/>
      <c r="AI31" s="564"/>
      <c r="AJ31" s="564"/>
      <c r="AK31" s="564"/>
    </row>
    <row r="32" ht="15.6" spans="2:37">
      <c r="B32" s="380"/>
      <c r="C32" s="381"/>
      <c r="D32" s="385" t="s">
        <v>13505</v>
      </c>
      <c r="E32" s="381"/>
      <c r="F32" s="381"/>
      <c r="G32" s="383"/>
      <c r="H32" s="384"/>
      <c r="J32" s="425"/>
      <c r="K32" s="436"/>
      <c r="L32" s="437"/>
      <c r="M32" s="438" t="s">
        <v>13496</v>
      </c>
      <c r="N32" s="434"/>
      <c r="O32" s="434"/>
      <c r="P32" s="435"/>
      <c r="Q32" s="496"/>
      <c r="R32" s="491"/>
      <c r="S32" s="499"/>
      <c r="T32" s="499"/>
      <c r="U32" s="499"/>
      <c r="V32" s="493"/>
      <c r="W32" s="493"/>
      <c r="X32" s="499"/>
      <c r="Y32" s="499"/>
      <c r="Z32" s="493"/>
      <c r="AA32" s="493"/>
      <c r="AB32" s="499"/>
      <c r="AC32" s="499"/>
      <c r="AD32" s="499"/>
      <c r="AE32" s="493"/>
      <c r="AF32" s="550"/>
      <c r="AG32" s="563"/>
      <c r="AH32" s="564"/>
      <c r="AI32" s="564"/>
      <c r="AJ32" s="564"/>
      <c r="AK32" s="564"/>
    </row>
    <row r="33" ht="15.6" spans="2:37">
      <c r="B33" s="380"/>
      <c r="C33" s="381"/>
      <c r="D33" s="385"/>
      <c r="E33" s="381"/>
      <c r="F33" s="381"/>
      <c r="G33" s="381"/>
      <c r="H33" s="386"/>
      <c r="J33" s="425"/>
      <c r="K33" s="436"/>
      <c r="L33" s="432">
        <v>3</v>
      </c>
      <c r="M33" s="433" t="s">
        <v>13498</v>
      </c>
      <c r="N33" s="434">
        <v>1</v>
      </c>
      <c r="O33" s="434" t="s">
        <v>13474</v>
      </c>
      <c r="P33" s="435">
        <v>7821996346</v>
      </c>
      <c r="Q33" s="490">
        <f>SUBTOTAL(9,Q34:Q42)</f>
        <v>7821996346</v>
      </c>
      <c r="R33" s="502" t="e">
        <f>SUBTOTAL(9,R34:R42)</f>
        <v>#DIV/0!</v>
      </c>
      <c r="S33" s="501" t="e">
        <f>SUBTOTAL(9,S34:S42)</f>
        <v>#REF!</v>
      </c>
      <c r="T33" s="492"/>
      <c r="U33" s="503" t="e">
        <f>SUBTOTAL(9,U34:U42)</f>
        <v>#REF!</v>
      </c>
      <c r="V33" s="504">
        <v>0.0879083469728471</v>
      </c>
      <c r="W33" s="504"/>
      <c r="X33" s="503">
        <f>SUBTOTAL(9,X34:X42)</f>
        <v>3725226606.53991</v>
      </c>
      <c r="Y33" s="503"/>
      <c r="Z33" s="504">
        <v>0.15819482396322</v>
      </c>
      <c r="AA33" s="504"/>
      <c r="AB33" s="503">
        <f>SUBTOTAL(9,AB34:AB42)</f>
        <v>6460666713.86312</v>
      </c>
      <c r="AC33" s="503">
        <f>SUBTOTAL(9,AC34:AC42)</f>
        <v>42671841.1644242</v>
      </c>
      <c r="AD33" s="552">
        <f>SUBTOTAL(9,AD34:AD42)</f>
        <v>0.175820195358574</v>
      </c>
      <c r="AE33" s="506"/>
      <c r="AF33" s="490">
        <f>SUBTOTAL(9,AF34:AF42)</f>
        <v>6503338555.02755</v>
      </c>
      <c r="AG33" s="563"/>
      <c r="AH33" s="564"/>
      <c r="AI33" s="564"/>
      <c r="AJ33" s="564"/>
      <c r="AK33" s="564"/>
    </row>
    <row r="34" ht="15.6" spans="2:37">
      <c r="B34" s="380"/>
      <c r="C34" s="381"/>
      <c r="D34" s="385" t="s">
        <v>13506</v>
      </c>
      <c r="E34" s="381"/>
      <c r="F34" s="381"/>
      <c r="G34" s="383"/>
      <c r="H34" s="384"/>
      <c r="J34" s="425"/>
      <c r="K34" s="431"/>
      <c r="L34" s="432"/>
      <c r="M34" s="433" t="s">
        <v>13490</v>
      </c>
      <c r="N34" s="434"/>
      <c r="O34" s="434"/>
      <c r="P34" s="435">
        <f>P33-P42</f>
        <v>6741202998</v>
      </c>
      <c r="Q34" s="496">
        <f>P34</f>
        <v>6741202998</v>
      </c>
      <c r="R34" s="491" t="e">
        <f>Q34/$P$52</f>
        <v>#DIV/0!</v>
      </c>
      <c r="S34" s="493" t="e">
        <f>'[111]Dashboard Pekerjaan'!BZ66</f>
        <v>#REF!</v>
      </c>
      <c r="T34" s="493" t="e">
        <f>'[111]Dashboard Pekerjaan'!CA66</f>
        <v>#REF!</v>
      </c>
      <c r="U34" s="497" t="e">
        <f>T34*Q34</f>
        <v>#REF!</v>
      </c>
      <c r="V34" s="498">
        <v>0.0879083469728471</v>
      </c>
      <c r="W34" s="498">
        <f>X34/Q34</f>
        <v>0.552605611735045</v>
      </c>
      <c r="X34" s="497">
        <v>3725226606.53991</v>
      </c>
      <c r="Y34" s="497">
        <f>AB34-X34</f>
        <v>1731861963.64093</v>
      </c>
      <c r="Z34" s="498">
        <v>0.119173727038919</v>
      </c>
      <c r="AA34" s="549">
        <f>AB34/Q34</f>
        <v>0.809512570946144</v>
      </c>
      <c r="AB34" s="497">
        <v>5457088570.18084</v>
      </c>
      <c r="AC34" s="497">
        <f>AF34-AB34</f>
        <v>16773585.1263418</v>
      </c>
      <c r="AD34" s="493">
        <v>0.135792123177395</v>
      </c>
      <c r="AE34" s="493">
        <f>AF34/P34</f>
        <v>0.812000789314782</v>
      </c>
      <c r="AF34" s="497">
        <v>5473862155.30718</v>
      </c>
      <c r="AG34" s="563"/>
      <c r="AH34" s="564">
        <v>-243037627.508552</v>
      </c>
      <c r="AI34" s="565">
        <v>-0.021698733761912</v>
      </c>
      <c r="AJ34" s="564"/>
      <c r="AK34" s="564"/>
    </row>
    <row r="35" ht="15.6" spans="2:37">
      <c r="B35" s="387"/>
      <c r="C35" s="388">
        <v>4</v>
      </c>
      <c r="D35" s="388" t="s">
        <v>13507</v>
      </c>
      <c r="E35" s="388">
        <v>1</v>
      </c>
      <c r="F35" s="388" t="s">
        <v>13474</v>
      </c>
      <c r="G35" s="389">
        <v>7623609350</v>
      </c>
      <c r="H35" s="390">
        <f>G35*E35</f>
        <v>7623609350</v>
      </c>
      <c r="J35" s="425"/>
      <c r="K35" s="436"/>
      <c r="L35" s="437"/>
      <c r="M35" s="438" t="s">
        <v>13499</v>
      </c>
      <c r="N35" s="434"/>
      <c r="O35" s="434"/>
      <c r="P35" s="435"/>
      <c r="Q35" s="496"/>
      <c r="R35" s="491"/>
      <c r="S35" s="493"/>
      <c r="T35" s="493"/>
      <c r="U35" s="493"/>
      <c r="V35" s="493"/>
      <c r="W35" s="493"/>
      <c r="X35" s="493"/>
      <c r="Y35" s="493"/>
      <c r="Z35" s="493"/>
      <c r="AA35" s="493"/>
      <c r="AB35" s="493"/>
      <c r="AC35" s="493"/>
      <c r="AD35" s="493"/>
      <c r="AE35" s="493"/>
      <c r="AF35" s="550"/>
      <c r="AG35" s="563"/>
      <c r="AH35" s="564"/>
      <c r="AI35" s="564"/>
      <c r="AJ35" s="564"/>
      <c r="AK35" s="564"/>
    </row>
    <row r="36" ht="15.6" spans="2:37">
      <c r="B36" s="380"/>
      <c r="C36" s="381"/>
      <c r="D36" s="381"/>
      <c r="E36" s="381"/>
      <c r="F36" s="381"/>
      <c r="G36" s="383"/>
      <c r="H36" s="384"/>
      <c r="J36" s="425"/>
      <c r="K36" s="436"/>
      <c r="L36" s="437"/>
      <c r="M36" s="438" t="s">
        <v>13500</v>
      </c>
      <c r="N36" s="434"/>
      <c r="O36" s="434"/>
      <c r="P36" s="435"/>
      <c r="Q36" s="496"/>
      <c r="R36" s="491"/>
      <c r="S36" s="499"/>
      <c r="T36" s="499"/>
      <c r="U36" s="499"/>
      <c r="V36" s="493"/>
      <c r="W36" s="493"/>
      <c r="X36" s="499"/>
      <c r="Y36" s="499"/>
      <c r="Z36" s="493"/>
      <c r="AA36" s="493"/>
      <c r="AB36" s="499"/>
      <c r="AC36" s="499"/>
      <c r="AD36" s="499"/>
      <c r="AE36" s="493"/>
      <c r="AF36" s="550"/>
      <c r="AG36" s="563"/>
      <c r="AH36" s="564"/>
      <c r="AI36" s="564"/>
      <c r="AJ36" s="564"/>
      <c r="AK36" s="564"/>
    </row>
    <row r="37" ht="15.6" spans="2:37">
      <c r="B37" s="387"/>
      <c r="C37" s="388"/>
      <c r="D37" s="388" t="s">
        <v>13508</v>
      </c>
      <c r="E37" s="388"/>
      <c r="F37" s="388"/>
      <c r="G37" s="389"/>
      <c r="H37" s="390"/>
      <c r="J37" s="425"/>
      <c r="K37" s="436"/>
      <c r="L37" s="437"/>
      <c r="M37" s="438" t="s">
        <v>13501</v>
      </c>
      <c r="N37" s="434"/>
      <c r="O37" s="434"/>
      <c r="P37" s="435"/>
      <c r="Q37" s="496"/>
      <c r="R37" s="491"/>
      <c r="S37" s="499"/>
      <c r="T37" s="499"/>
      <c r="U37" s="499"/>
      <c r="V37" s="493"/>
      <c r="W37" s="493"/>
      <c r="X37" s="499"/>
      <c r="Y37" s="499"/>
      <c r="Z37" s="493"/>
      <c r="AA37" s="493"/>
      <c r="AB37" s="499"/>
      <c r="AC37" s="499"/>
      <c r="AD37" s="499"/>
      <c r="AE37" s="493"/>
      <c r="AF37" s="550"/>
      <c r="AG37" s="563"/>
      <c r="AH37" s="564"/>
      <c r="AI37" s="564"/>
      <c r="AJ37" s="564"/>
      <c r="AK37" s="564"/>
    </row>
    <row r="38" ht="15.6" spans="2:37">
      <c r="B38" s="387"/>
      <c r="C38" s="388"/>
      <c r="D38" s="388" t="s">
        <v>13509</v>
      </c>
      <c r="E38" s="388"/>
      <c r="F38" s="388"/>
      <c r="G38" s="389"/>
      <c r="H38" s="390"/>
      <c r="J38" s="425"/>
      <c r="K38" s="436"/>
      <c r="L38" s="437"/>
      <c r="M38" s="438" t="s">
        <v>13503</v>
      </c>
      <c r="N38" s="434"/>
      <c r="O38" s="434"/>
      <c r="P38" s="435"/>
      <c r="Q38" s="496"/>
      <c r="R38" s="491"/>
      <c r="S38" s="499"/>
      <c r="T38" s="499"/>
      <c r="U38" s="499"/>
      <c r="V38" s="493"/>
      <c r="W38" s="493"/>
      <c r="X38" s="499"/>
      <c r="Y38" s="499"/>
      <c r="Z38" s="493"/>
      <c r="AA38" s="493"/>
      <c r="AB38" s="499"/>
      <c r="AC38" s="499"/>
      <c r="AD38" s="499"/>
      <c r="AE38" s="493"/>
      <c r="AF38" s="550"/>
      <c r="AG38" s="563"/>
      <c r="AH38" s="564"/>
      <c r="AI38" s="564"/>
      <c r="AJ38" s="564"/>
      <c r="AK38" s="564"/>
    </row>
    <row r="39" ht="15.6" spans="2:37">
      <c r="B39" s="387"/>
      <c r="C39" s="388"/>
      <c r="D39" s="388" t="s">
        <v>13510</v>
      </c>
      <c r="E39" s="388"/>
      <c r="F39" s="388"/>
      <c r="G39" s="389"/>
      <c r="H39" s="390"/>
      <c r="J39" s="425"/>
      <c r="K39" s="436"/>
      <c r="L39" s="437"/>
      <c r="M39" s="438" t="s">
        <v>13504</v>
      </c>
      <c r="N39" s="434"/>
      <c r="O39" s="434"/>
      <c r="P39" s="435"/>
      <c r="Q39" s="496"/>
      <c r="R39" s="491"/>
      <c r="S39" s="499"/>
      <c r="T39" s="499"/>
      <c r="U39" s="499"/>
      <c r="V39" s="493"/>
      <c r="W39" s="493"/>
      <c r="X39" s="499"/>
      <c r="Y39" s="499"/>
      <c r="Z39" s="493"/>
      <c r="AA39" s="493"/>
      <c r="AB39" s="499"/>
      <c r="AC39" s="499"/>
      <c r="AD39" s="499"/>
      <c r="AE39" s="493"/>
      <c r="AF39" s="550"/>
      <c r="AG39" s="563"/>
      <c r="AH39" s="564"/>
      <c r="AI39" s="564"/>
      <c r="AJ39" s="564"/>
      <c r="AK39" s="564"/>
    </row>
    <row r="40" ht="15.6" spans="2:37">
      <c r="B40" s="380"/>
      <c r="C40" s="381"/>
      <c r="D40" s="385"/>
      <c r="E40" s="381"/>
      <c r="F40" s="381"/>
      <c r="G40" s="381"/>
      <c r="H40" s="386"/>
      <c r="J40" s="425"/>
      <c r="K40" s="436"/>
      <c r="L40" s="437"/>
      <c r="M40" s="438" t="s">
        <v>13505</v>
      </c>
      <c r="N40" s="434"/>
      <c r="O40" s="434"/>
      <c r="P40" s="435"/>
      <c r="Q40" s="496"/>
      <c r="R40" s="491"/>
      <c r="S40" s="499"/>
      <c r="T40" s="499"/>
      <c r="U40" s="499"/>
      <c r="V40" s="493"/>
      <c r="W40" s="493"/>
      <c r="X40" s="499"/>
      <c r="Y40" s="499"/>
      <c r="Z40" s="493"/>
      <c r="AA40" s="493"/>
      <c r="AB40" s="499"/>
      <c r="AC40" s="499"/>
      <c r="AD40" s="499"/>
      <c r="AE40" s="493"/>
      <c r="AF40" s="550"/>
      <c r="AG40" s="563"/>
      <c r="AH40" s="564"/>
      <c r="AI40" s="564"/>
      <c r="AJ40" s="564"/>
      <c r="AK40" s="564"/>
    </row>
    <row r="41" ht="15.6" spans="2:37">
      <c r="B41" s="380"/>
      <c r="C41" s="381"/>
      <c r="D41" s="385" t="s">
        <v>13506</v>
      </c>
      <c r="E41" s="381"/>
      <c r="F41" s="381"/>
      <c r="G41" s="383"/>
      <c r="H41" s="384"/>
      <c r="J41" s="425"/>
      <c r="K41" s="436"/>
      <c r="L41" s="437"/>
      <c r="M41" s="433" t="s">
        <v>13497</v>
      </c>
      <c r="N41" s="434"/>
      <c r="O41" s="434"/>
      <c r="P41" s="439"/>
      <c r="Q41" s="434"/>
      <c r="R41" s="491"/>
      <c r="S41" s="500"/>
      <c r="T41" s="500"/>
      <c r="U41" s="500"/>
      <c r="V41" s="501"/>
      <c r="W41" s="501"/>
      <c r="X41" s="500"/>
      <c r="Y41" s="500"/>
      <c r="Z41" s="501"/>
      <c r="AA41" s="501"/>
      <c r="AB41" s="500"/>
      <c r="AC41" s="500"/>
      <c r="AD41" s="500"/>
      <c r="AE41" s="501"/>
      <c r="AF41" s="551"/>
      <c r="AG41" s="563"/>
      <c r="AH41" s="564"/>
      <c r="AI41" s="564"/>
      <c r="AJ41" s="564"/>
      <c r="AK41" s="564"/>
    </row>
    <row r="42" ht="15.6" spans="2:37">
      <c r="B42" s="391"/>
      <c r="C42" s="392">
        <v>5</v>
      </c>
      <c r="D42" s="392" t="s">
        <v>13511</v>
      </c>
      <c r="E42" s="392">
        <v>1</v>
      </c>
      <c r="F42" s="392" t="s">
        <v>13474</v>
      </c>
      <c r="G42" s="393">
        <v>844967226</v>
      </c>
      <c r="H42" s="394">
        <f>G42*E42</f>
        <v>844967226</v>
      </c>
      <c r="J42" s="425"/>
      <c r="K42" s="436"/>
      <c r="L42" s="437"/>
      <c r="M42" s="438" t="s">
        <v>13512</v>
      </c>
      <c r="N42" s="440"/>
      <c r="O42" s="440"/>
      <c r="P42" s="435">
        <v>1080793348</v>
      </c>
      <c r="Q42" s="496">
        <f>P42</f>
        <v>1080793348</v>
      </c>
      <c r="R42" s="491" t="e">
        <f>Q42/$P$52</f>
        <v>#DIV/0!</v>
      </c>
      <c r="S42" s="493" t="e">
        <f>'[111]Dashboard Pekerjaan'!BZ74</f>
        <v>#REF!</v>
      </c>
      <c r="T42" s="493" t="e">
        <f>'[111]Dashboard Pekerjaan'!CA74</f>
        <v>#REF!</v>
      </c>
      <c r="U42" s="497" t="e">
        <f>T42*Q42</f>
        <v>#REF!</v>
      </c>
      <c r="V42" s="498">
        <v>0</v>
      </c>
      <c r="W42" s="498">
        <v>0</v>
      </c>
      <c r="X42" s="497">
        <v>0</v>
      </c>
      <c r="Y42" s="497">
        <f>AB42-X42</f>
        <v>1003578143.68229</v>
      </c>
      <c r="Z42" s="498">
        <v>0.0390210969243007</v>
      </c>
      <c r="AA42" s="549">
        <f>AB42/Q42</f>
        <v>0.928556921209221</v>
      </c>
      <c r="AB42" s="497">
        <v>1003578143.68229</v>
      </c>
      <c r="AC42" s="497">
        <f>AF42-AB42</f>
        <v>25898256.0380824</v>
      </c>
      <c r="AD42" s="493">
        <v>0.0400280721811794</v>
      </c>
      <c r="AE42" s="493">
        <f>AF42/P42</f>
        <v>0.952519185675418</v>
      </c>
      <c r="AF42" s="497">
        <v>1029476399.72037</v>
      </c>
      <c r="AG42" s="563"/>
      <c r="AH42" s="564"/>
      <c r="AI42" s="564"/>
      <c r="AJ42" s="564"/>
      <c r="AK42" s="564"/>
    </row>
    <row r="43" ht="15.6" spans="2:37">
      <c r="B43" s="395"/>
      <c r="C43" s="396"/>
      <c r="D43" s="396"/>
      <c r="E43" s="396"/>
      <c r="F43" s="396"/>
      <c r="G43" s="397"/>
      <c r="H43" s="398"/>
      <c r="J43" s="425"/>
      <c r="K43" s="436"/>
      <c r="L43" s="432">
        <v>3</v>
      </c>
      <c r="M43" s="433" t="s">
        <v>13513</v>
      </c>
      <c r="N43" s="440">
        <v>1</v>
      </c>
      <c r="O43" s="440" t="s">
        <v>13474</v>
      </c>
      <c r="P43" s="441">
        <f>5979832050+1000000000</f>
        <v>6979832050</v>
      </c>
      <c r="Q43" s="505">
        <f>SUBTOTAL(9,Q44:Q49)</f>
        <v>6979832050</v>
      </c>
      <c r="R43" s="502" t="e">
        <f>SUBTOTAL(9,R44:R49)</f>
        <v>#DIV/0!</v>
      </c>
      <c r="S43" s="506" t="e">
        <f>SUBTOTAL(9,S44:S49)</f>
        <v>#REF!</v>
      </c>
      <c r="T43" s="492"/>
      <c r="U43" s="505" t="e">
        <f>SUBTOTAL(9,U44:U49)</f>
        <v>#REF!</v>
      </c>
      <c r="V43" s="507">
        <v>0.0403541793542165</v>
      </c>
      <c r="W43" s="507"/>
      <c r="X43" s="503">
        <f>SUBTOTAL(9,X44:X49)</f>
        <v>1710059030.70665</v>
      </c>
      <c r="Y43" s="554"/>
      <c r="Z43" s="507">
        <v>0.0844608605996292</v>
      </c>
      <c r="AA43" s="507"/>
      <c r="AB43" s="503">
        <f>SUBTOTAL(9,AB44:AB49)</f>
        <v>3579135041.79735</v>
      </c>
      <c r="AC43" s="503">
        <f>SUBTOTAL(9,AC44:AC49)</f>
        <v>893506593.045082</v>
      </c>
      <c r="AD43" s="552">
        <f>SUBTOTAL(9,AD44:AD49)</f>
        <v>0.105545936999019</v>
      </c>
      <c r="AE43" s="506"/>
      <c r="AF43" s="505">
        <f>SUBTOTAL(9,AF44:AF49)</f>
        <v>4472641634.84243</v>
      </c>
      <c r="AG43" s="563"/>
      <c r="AH43" s="564"/>
      <c r="AI43" s="564"/>
      <c r="AJ43" s="564"/>
      <c r="AK43" s="564"/>
    </row>
    <row r="44" ht="15.6" spans="2:37">
      <c r="B44" s="395"/>
      <c r="C44" s="396"/>
      <c r="D44" s="396"/>
      <c r="E44" s="396"/>
      <c r="F44" s="396"/>
      <c r="G44" s="397"/>
      <c r="H44" s="398"/>
      <c r="J44" s="425"/>
      <c r="K44" s="431"/>
      <c r="L44" s="432"/>
      <c r="M44" s="433" t="s">
        <v>13490</v>
      </c>
      <c r="N44" s="434"/>
      <c r="O44" s="434"/>
      <c r="P44" s="435">
        <f>P43-P49</f>
        <v>6237597050</v>
      </c>
      <c r="Q44" s="496">
        <f>P44</f>
        <v>6237597050</v>
      </c>
      <c r="R44" s="491" t="e">
        <f>Q44/$P$52</f>
        <v>#DIV/0!</v>
      </c>
      <c r="S44" s="493" t="e">
        <f>'[111]Dashboard Pekerjaan'!BZ76</f>
        <v>#REF!</v>
      </c>
      <c r="T44" s="493" t="e">
        <f>'[111]Dashboard Pekerjaan'!CA76</f>
        <v>#REF!</v>
      </c>
      <c r="U44" s="497" t="e">
        <f>T44*Q44</f>
        <v>#REF!</v>
      </c>
      <c r="V44" s="498">
        <v>0.0403541793542165</v>
      </c>
      <c r="W44" s="498">
        <f>X44/Q44</f>
        <v>0.27415349484729</v>
      </c>
      <c r="X44" s="497">
        <v>1710059030.70665</v>
      </c>
      <c r="Y44" s="497">
        <f>AB44-X44</f>
        <v>1869076011.0907</v>
      </c>
      <c r="Z44" s="498">
        <v>0.0844608605996292</v>
      </c>
      <c r="AA44" s="504">
        <f>AB44/Q44</f>
        <v>0.573800297311182</v>
      </c>
      <c r="AB44" s="497">
        <v>3579135041.79735</v>
      </c>
      <c r="AC44" s="497">
        <f>AF44-AB44</f>
        <v>893506593.045082</v>
      </c>
      <c r="AD44" s="493">
        <v>0.105545936999019</v>
      </c>
      <c r="AE44" s="493">
        <f>AF44/P44</f>
        <v>0.71704561852748</v>
      </c>
      <c r="AF44" s="497">
        <v>4472641634.84243</v>
      </c>
      <c r="AG44" s="563"/>
      <c r="AH44" s="564"/>
      <c r="AI44" s="565"/>
      <c r="AJ44" s="564"/>
      <c r="AK44" s="564"/>
    </row>
    <row r="45" ht="16.35" spans="2:37">
      <c r="B45" s="399" t="s">
        <v>13514</v>
      </c>
      <c r="C45" s="400"/>
      <c r="D45" s="400"/>
      <c r="E45" s="400"/>
      <c r="F45" s="400"/>
      <c r="G45" s="400"/>
      <c r="H45" s="401">
        <f>SUM(H5:H42)</f>
        <v>36675756660</v>
      </c>
      <c r="J45" s="425"/>
      <c r="K45" s="436"/>
      <c r="L45" s="437"/>
      <c r="M45" s="438" t="s">
        <v>13515</v>
      </c>
      <c r="N45" s="440"/>
      <c r="O45" s="440"/>
      <c r="P45" s="442"/>
      <c r="Q45" s="508"/>
      <c r="R45" s="491"/>
      <c r="S45" s="499"/>
      <c r="T45" s="499"/>
      <c r="U45" s="499"/>
      <c r="V45" s="493"/>
      <c r="W45" s="493"/>
      <c r="X45" s="499"/>
      <c r="Y45" s="499"/>
      <c r="Z45" s="493"/>
      <c r="AA45" s="493"/>
      <c r="AB45" s="499"/>
      <c r="AC45" s="499"/>
      <c r="AD45" s="499"/>
      <c r="AE45" s="493"/>
      <c r="AF45" s="550"/>
      <c r="AG45" s="563"/>
      <c r="AH45" s="564"/>
      <c r="AI45" s="564"/>
      <c r="AJ45" s="564"/>
      <c r="AK45" s="564"/>
    </row>
    <row r="46" ht="15.6" spans="10:37">
      <c r="J46" s="425"/>
      <c r="K46" s="436"/>
      <c r="L46" s="437"/>
      <c r="M46" s="438" t="s">
        <v>13516</v>
      </c>
      <c r="N46" s="440"/>
      <c r="O46" s="440"/>
      <c r="P46" s="442"/>
      <c r="Q46" s="508"/>
      <c r="R46" s="491"/>
      <c r="S46" s="499"/>
      <c r="T46" s="499"/>
      <c r="U46" s="499"/>
      <c r="V46" s="493"/>
      <c r="W46" s="493"/>
      <c r="X46" s="499"/>
      <c r="Y46" s="499"/>
      <c r="Z46" s="493"/>
      <c r="AA46" s="493"/>
      <c r="AB46" s="499"/>
      <c r="AC46" s="499"/>
      <c r="AD46" s="499"/>
      <c r="AE46" s="493"/>
      <c r="AF46" s="550"/>
      <c r="AG46" s="563"/>
      <c r="AH46" s="564"/>
      <c r="AI46" s="564"/>
      <c r="AJ46" s="564"/>
      <c r="AK46" s="564"/>
    </row>
    <row r="47" ht="15.6" spans="10:37">
      <c r="J47" s="425"/>
      <c r="K47" s="436"/>
      <c r="L47" s="437"/>
      <c r="M47" s="438" t="s">
        <v>13517</v>
      </c>
      <c r="N47" s="440"/>
      <c r="O47" s="440"/>
      <c r="P47" s="442"/>
      <c r="Q47" s="508"/>
      <c r="R47" s="491"/>
      <c r="S47" s="499"/>
      <c r="T47" s="499"/>
      <c r="U47" s="499"/>
      <c r="V47" s="493"/>
      <c r="W47" s="493"/>
      <c r="X47" s="499"/>
      <c r="Y47" s="499"/>
      <c r="Z47" s="493"/>
      <c r="AA47" s="493"/>
      <c r="AB47" s="499"/>
      <c r="AC47" s="499"/>
      <c r="AD47" s="499"/>
      <c r="AE47" s="493"/>
      <c r="AF47" s="550"/>
      <c r="AG47" s="563"/>
      <c r="AH47" s="564"/>
      <c r="AI47" s="564"/>
      <c r="AJ47" s="564"/>
      <c r="AK47" s="564"/>
    </row>
    <row r="48" ht="15.6" spans="10:37">
      <c r="J48" s="425"/>
      <c r="K48" s="436"/>
      <c r="L48" s="437"/>
      <c r="M48" s="433" t="s">
        <v>13497</v>
      </c>
      <c r="N48" s="434"/>
      <c r="O48" s="434"/>
      <c r="P48" s="439"/>
      <c r="Q48" s="434"/>
      <c r="R48" s="491"/>
      <c r="S48" s="500"/>
      <c r="T48" s="500"/>
      <c r="U48" s="500"/>
      <c r="V48" s="501"/>
      <c r="W48" s="501"/>
      <c r="X48" s="500"/>
      <c r="Y48" s="500"/>
      <c r="Z48" s="501"/>
      <c r="AA48" s="501"/>
      <c r="AB48" s="500"/>
      <c r="AC48" s="500"/>
      <c r="AD48" s="500"/>
      <c r="AE48" s="501"/>
      <c r="AF48" s="551"/>
      <c r="AG48" s="563"/>
      <c r="AH48" s="564"/>
      <c r="AI48" s="566">
        <f>AH56+AI58+7557294157</f>
        <v>28503877445.8</v>
      </c>
      <c r="AJ48" s="564"/>
      <c r="AK48" s="564"/>
    </row>
    <row r="49" ht="15.6" spans="10:37">
      <c r="J49" s="425"/>
      <c r="K49" s="436"/>
      <c r="L49" s="437"/>
      <c r="M49" s="438" t="s">
        <v>13512</v>
      </c>
      <c r="N49" s="440"/>
      <c r="O49" s="440"/>
      <c r="P49" s="435">
        <v>742235000</v>
      </c>
      <c r="Q49" s="496">
        <f>P49</f>
        <v>742235000</v>
      </c>
      <c r="R49" s="491" t="e">
        <f>Q49/$P$52</f>
        <v>#DIV/0!</v>
      </c>
      <c r="S49" s="493">
        <f>'[111]Dashboard Pekerjaan'!BZ81</f>
        <v>0.766359571273189</v>
      </c>
      <c r="T49" s="493" t="e">
        <f>'[111]Dashboard Pekerjaan'!CA81</f>
        <v>#REF!</v>
      </c>
      <c r="U49" s="497" t="e">
        <f>T49*Q49</f>
        <v>#REF!</v>
      </c>
      <c r="V49" s="498">
        <v>0</v>
      </c>
      <c r="W49" s="498">
        <v>0</v>
      </c>
      <c r="X49" s="497">
        <v>0</v>
      </c>
      <c r="Y49" s="497">
        <f>AB49-X49</f>
        <v>0</v>
      </c>
      <c r="Z49" s="498">
        <v>0</v>
      </c>
      <c r="AA49" s="498">
        <v>0</v>
      </c>
      <c r="AB49" s="497">
        <v>0</v>
      </c>
      <c r="AC49" s="497"/>
      <c r="AD49" s="493">
        <v>0</v>
      </c>
      <c r="AE49" s="493">
        <v>0</v>
      </c>
      <c r="AF49" s="497">
        <v>0</v>
      </c>
      <c r="AG49" s="563"/>
      <c r="AH49" s="564">
        <v>7557294157</v>
      </c>
      <c r="AI49" s="566">
        <f>AI48-AF53</f>
        <v>4086119698.06608</v>
      </c>
      <c r="AJ49" s="566">
        <f>AH49-AI49</f>
        <v>3471174458.93392</v>
      </c>
      <c r="AK49" s="564"/>
    </row>
    <row r="50" ht="15.6" spans="10:37">
      <c r="J50" s="443"/>
      <c r="K50" s="431"/>
      <c r="L50" s="432">
        <v>4</v>
      </c>
      <c r="M50" s="433" t="s">
        <v>13518</v>
      </c>
      <c r="N50" s="444">
        <v>1</v>
      </c>
      <c r="O50" s="444" t="s">
        <v>13474</v>
      </c>
      <c r="P50" s="441">
        <f>1993277350+1195966410+4000000000</f>
        <v>7189243760</v>
      </c>
      <c r="Q50" s="505">
        <f>P50*N50</f>
        <v>7189243760</v>
      </c>
      <c r="R50" s="502" t="e">
        <f>Q50/$P$52</f>
        <v>#DIV/0!</v>
      </c>
      <c r="S50" s="506" t="e">
        <f>'[111]Dashboard Pekerjaan'!BZ82</f>
        <v>#REF!</v>
      </c>
      <c r="T50" s="492" t="e">
        <f>'[111]Dashboard Pekerjaan'!CA82</f>
        <v>#REF!</v>
      </c>
      <c r="U50" s="503" t="e">
        <f>T50*Q50</f>
        <v>#REF!</v>
      </c>
      <c r="V50" s="504">
        <v>0</v>
      </c>
      <c r="W50" s="504">
        <v>0</v>
      </c>
      <c r="X50" s="503">
        <v>0</v>
      </c>
      <c r="Y50" s="497">
        <f>AB50-X50</f>
        <v>4055913375.07896</v>
      </c>
      <c r="Z50" s="504">
        <v>0.0957119332397942</v>
      </c>
      <c r="AA50" s="504">
        <f>AB50/Q50</f>
        <v>0.564164119409266</v>
      </c>
      <c r="AB50" s="503">
        <v>4055913375.07896</v>
      </c>
      <c r="AC50" s="497">
        <f>AF50-AB50</f>
        <v>353445327.433265</v>
      </c>
      <c r="AD50" s="555" t="e">
        <f>'[111]Dashboard Pekerjaan'!CC82</f>
        <v>#REF!</v>
      </c>
      <c r="AE50" s="493">
        <f>AF50/P50</f>
        <v>0.61332719402913</v>
      </c>
      <c r="AF50" s="503">
        <v>4409358702.51223</v>
      </c>
      <c r="AG50" s="567"/>
      <c r="AH50" s="568"/>
      <c r="AI50" s="568"/>
      <c r="AJ50" s="568"/>
      <c r="AK50" s="568"/>
    </row>
    <row r="51" ht="15.6" spans="10:37">
      <c r="J51" s="425"/>
      <c r="K51" s="436"/>
      <c r="L51" s="437"/>
      <c r="M51" s="438" t="s">
        <v>13519</v>
      </c>
      <c r="N51" s="440"/>
      <c r="O51" s="440"/>
      <c r="P51" s="442"/>
      <c r="Q51" s="508"/>
      <c r="R51" s="491"/>
      <c r="S51" s="509"/>
      <c r="T51" s="509"/>
      <c r="U51" s="497"/>
      <c r="V51" s="498"/>
      <c r="W51" s="498"/>
      <c r="X51" s="497"/>
      <c r="Y51" s="497"/>
      <c r="Z51" s="498"/>
      <c r="AA51" s="498"/>
      <c r="AB51" s="497"/>
      <c r="AC51" s="497"/>
      <c r="AD51" s="509"/>
      <c r="AE51" s="509"/>
      <c r="AF51" s="497"/>
      <c r="AG51" s="563"/>
      <c r="AH51" s="564"/>
      <c r="AI51" s="564"/>
      <c r="AJ51" s="566">
        <f>AF55-AI55</f>
        <v>1053289393.9059</v>
      </c>
      <c r="AK51" s="564"/>
    </row>
    <row r="52" ht="15.6" spans="10:37">
      <c r="J52" s="425"/>
      <c r="K52" s="445"/>
      <c r="L52" s="446"/>
      <c r="M52" s="447" t="s">
        <v>13520</v>
      </c>
      <c r="N52" s="448"/>
      <c r="O52" s="448"/>
      <c r="P52" s="449"/>
      <c r="Q52" s="510"/>
      <c r="R52" s="511"/>
      <c r="S52" s="512"/>
      <c r="T52" s="512"/>
      <c r="U52" s="512"/>
      <c r="V52" s="513"/>
      <c r="W52" s="513"/>
      <c r="X52" s="512"/>
      <c r="Y52" s="512"/>
      <c r="Z52" s="513"/>
      <c r="AA52" s="513"/>
      <c r="AB52" s="512"/>
      <c r="AC52" s="512"/>
      <c r="AD52" s="512"/>
      <c r="AE52" s="512"/>
      <c r="AF52" s="512"/>
      <c r="AG52" s="563"/>
      <c r="AH52" s="564"/>
      <c r="AI52" s="564"/>
      <c r="AJ52" s="564"/>
      <c r="AK52" s="564"/>
    </row>
    <row r="53" ht="15.6" spans="10:37">
      <c r="J53" s="425"/>
      <c r="K53" s="450" t="s">
        <v>13514</v>
      </c>
      <c r="L53" s="450"/>
      <c r="M53" s="450"/>
      <c r="N53" s="450"/>
      <c r="O53" s="450"/>
      <c r="P53" s="451"/>
      <c r="Q53" s="514">
        <f>SUBTOTAL(9,Q13:Q52)</f>
        <v>42376255894</v>
      </c>
      <c r="R53" s="515" t="e">
        <f>SUBTOTAL(9,R13:R52)</f>
        <v>#DIV/0!</v>
      </c>
      <c r="S53" s="515" t="e">
        <f>SUBTOTAL(9,S14:S52)</f>
        <v>#REF!</v>
      </c>
      <c r="T53" s="516"/>
      <c r="U53" s="517" t="e">
        <f>SUBTOTAL(9,U14:U52)</f>
        <v>#REF!</v>
      </c>
      <c r="V53" s="518">
        <v>0.2</v>
      </c>
      <c r="W53" s="518"/>
      <c r="X53" s="519">
        <f>SUBTOTAL(9,X14:X52)</f>
        <v>8475251178.8</v>
      </c>
      <c r="Y53" s="517">
        <f>SUBTOTAL(9,Y14:Y52)</f>
        <v>12471332110</v>
      </c>
      <c r="Z53" s="518">
        <v>0.49430000000934</v>
      </c>
      <c r="AA53" s="518"/>
      <c r="AB53" s="517">
        <f>SUBTOTAL(9,AB14:AB52)</f>
        <v>20946583288.8</v>
      </c>
      <c r="AC53" s="519">
        <f>SUBTOTAL(9,AC14:AC52)</f>
        <v>3471174458.93392</v>
      </c>
      <c r="AD53" s="515" t="e">
        <f>SUBTOTAL(9,AD14:AD52)</f>
        <v>#REF!</v>
      </c>
      <c r="AE53" s="516"/>
      <c r="AF53" s="517">
        <f>SUBTOTAL(9,AF14:AF52)</f>
        <v>24417757747.7339</v>
      </c>
      <c r="AG53" s="563"/>
      <c r="AH53" s="564" t="s">
        <v>1205</v>
      </c>
      <c r="AI53" s="569" t="s">
        <v>13521</v>
      </c>
      <c r="AJ53" s="569" t="s">
        <v>13522</v>
      </c>
      <c r="AK53" s="564" t="s">
        <v>13523</v>
      </c>
    </row>
    <row r="54" ht="15.6" spans="10:37">
      <c r="J54" s="452"/>
      <c r="K54" s="453"/>
      <c r="L54" s="453"/>
      <c r="M54" s="453"/>
      <c r="N54" s="453"/>
      <c r="O54" s="453"/>
      <c r="P54" s="454"/>
      <c r="Q54" s="520">
        <f>+Q53-'[109]SUMMARY INV'!E9</f>
        <v>41443978264.332</v>
      </c>
      <c r="R54" s="521"/>
      <c r="S54" s="521"/>
      <c r="T54" s="522"/>
      <c r="U54" s="523"/>
      <c r="V54" s="523"/>
      <c r="W54" s="523"/>
      <c r="X54" s="523"/>
      <c r="Y54" s="523"/>
      <c r="Z54" s="523"/>
      <c r="AA54" s="523"/>
      <c r="AB54" s="523"/>
      <c r="AC54" s="523"/>
      <c r="AD54" s="521"/>
      <c r="AE54" s="522"/>
      <c r="AF54" s="523"/>
      <c r="AG54" s="570"/>
      <c r="AH54" s="522"/>
      <c r="AI54" s="522"/>
      <c r="AJ54" s="522"/>
      <c r="AK54" s="522"/>
    </row>
    <row r="55" ht="15.6" spans="10:37">
      <c r="J55" s="452"/>
      <c r="K55" s="453"/>
      <c r="L55" s="453"/>
      <c r="M55" s="453" t="s">
        <v>13524</v>
      </c>
      <c r="N55" s="453"/>
      <c r="O55" s="453"/>
      <c r="P55" s="454"/>
      <c r="Q55" s="520">
        <f>$P$49+$P$48+$P$41+$P$29+$P$23</f>
        <v>742235000</v>
      </c>
      <c r="R55" s="521"/>
      <c r="S55" s="521"/>
      <c r="T55" s="522"/>
      <c r="U55" s="523"/>
      <c r="V55" s="523"/>
      <c r="W55" s="523"/>
      <c r="X55" s="523"/>
      <c r="Y55" s="523"/>
      <c r="Z55" s="523"/>
      <c r="AA55" s="523"/>
      <c r="AB55" s="523"/>
      <c r="AC55" s="523"/>
      <c r="AD55" s="521"/>
      <c r="AE55" s="522"/>
      <c r="AF55" s="523">
        <f>AF50+AF49+AF42+AF30+AF24</f>
        <v>6041822237.9059</v>
      </c>
      <c r="AG55" s="570"/>
      <c r="AH55" s="522"/>
      <c r="AI55" s="571">
        <f>AI58*40%</f>
        <v>4988532844</v>
      </c>
      <c r="AJ55" s="571">
        <f>AF55-AI55</f>
        <v>1053289393.9059</v>
      </c>
      <c r="AK55" s="522"/>
    </row>
    <row r="56" ht="15.6" spans="10:37">
      <c r="J56" s="452"/>
      <c r="K56" s="453"/>
      <c r="L56" s="453"/>
      <c r="M56" s="453" t="s">
        <v>13525</v>
      </c>
      <c r="N56" s="453"/>
      <c r="O56" s="453"/>
      <c r="P56" s="454"/>
      <c r="Q56" s="520">
        <f>Q44+Q34+Q26+Q15</f>
        <v>31783006786</v>
      </c>
      <c r="R56" s="521"/>
      <c r="S56" s="521"/>
      <c r="T56" s="522"/>
      <c r="U56" s="523"/>
      <c r="V56" s="523"/>
      <c r="W56" s="523"/>
      <c r="X56" s="523"/>
      <c r="Y56" s="523"/>
      <c r="Z56" s="523"/>
      <c r="AA56" s="523"/>
      <c r="AB56" s="523"/>
      <c r="AC56" s="523"/>
      <c r="AD56" s="521"/>
      <c r="AE56" s="522"/>
      <c r="AF56" s="523">
        <f>AF44+AF34+AF26+AF15</f>
        <v>18375935509.828</v>
      </c>
      <c r="AG56" s="570"/>
      <c r="AH56" s="523">
        <f>Q53*20%</f>
        <v>8475251178.8</v>
      </c>
      <c r="AI56" s="523">
        <f>AI58*60%</f>
        <v>7482799266</v>
      </c>
      <c r="AJ56" s="523">
        <f>AJ49-AJ55</f>
        <v>2417885065.02801</v>
      </c>
      <c r="AK56" s="523"/>
    </row>
    <row r="57" ht="15.6" spans="10:37">
      <c r="J57" s="452"/>
      <c r="K57" s="453"/>
      <c r="L57" s="453"/>
      <c r="M57" s="453"/>
      <c r="N57" s="453"/>
      <c r="O57" s="453"/>
      <c r="P57" s="454"/>
      <c r="Q57" s="524">
        <f>SUM(Q55:Q56)</f>
        <v>32525241786</v>
      </c>
      <c r="R57" s="521"/>
      <c r="S57" s="521"/>
      <c r="T57" s="522"/>
      <c r="U57" s="523"/>
      <c r="V57" s="523"/>
      <c r="W57" s="523"/>
      <c r="X57" s="523"/>
      <c r="Y57" s="523"/>
      <c r="Z57" s="523"/>
      <c r="AA57" s="523"/>
      <c r="AB57" s="523"/>
      <c r="AC57" s="523"/>
      <c r="AD57" s="521"/>
      <c r="AE57" s="522"/>
      <c r="AF57" s="523"/>
      <c r="AG57" s="570"/>
      <c r="AH57" s="523"/>
      <c r="AI57" s="523"/>
      <c r="AJ57" s="523"/>
      <c r="AK57" s="523"/>
    </row>
    <row r="58" ht="16.35" spans="10:37">
      <c r="J58" s="455"/>
      <c r="K58" s="456"/>
      <c r="L58" s="457"/>
      <c r="M58" s="458" t="s">
        <v>13526</v>
      </c>
      <c r="N58" s="458"/>
      <c r="O58" s="458"/>
      <c r="P58" s="459"/>
      <c r="Q58" s="525"/>
      <c r="R58" s="526"/>
      <c r="S58" s="527"/>
      <c r="T58" s="527"/>
      <c r="U58" s="527"/>
      <c r="V58" s="527"/>
      <c r="W58" s="527"/>
      <c r="X58" s="527"/>
      <c r="Y58" s="527"/>
      <c r="Z58" s="527"/>
      <c r="AA58" s="527"/>
      <c r="AB58" s="527"/>
      <c r="AC58" s="527"/>
      <c r="AD58" s="527"/>
      <c r="AE58" s="527"/>
      <c r="AF58" s="527"/>
      <c r="AG58" s="572"/>
      <c r="AH58" s="523"/>
      <c r="AI58" s="573">
        <v>12471332110</v>
      </c>
      <c r="AJ58" s="573">
        <f>SUM(AJ55:AJ57)</f>
        <v>3471174458.93392</v>
      </c>
      <c r="AK58" s="574">
        <v>4086119698.06608</v>
      </c>
    </row>
    <row r="59" ht="15.6" spans="10:37">
      <c r="J59" s="460"/>
      <c r="K59" s="461"/>
      <c r="L59" s="462"/>
      <c r="M59" s="463"/>
      <c r="N59" s="462"/>
      <c r="O59" s="462"/>
      <c r="P59" s="464"/>
      <c r="Q59" s="528"/>
      <c r="R59" s="529"/>
      <c r="S59" s="530"/>
      <c r="T59" s="530"/>
      <c r="U59" s="530"/>
      <c r="V59" s="530"/>
      <c r="W59" s="530"/>
      <c r="X59" s="530"/>
      <c r="Y59" s="530"/>
      <c r="Z59" s="530"/>
      <c r="AA59" s="530"/>
      <c r="AB59" s="530"/>
      <c r="AC59" s="530"/>
      <c r="AD59" s="530"/>
      <c r="AE59" s="530"/>
      <c r="AF59" s="530"/>
      <c r="AG59" s="530"/>
      <c r="AH59" s="529" t="e">
        <f>AH56/$P$52</f>
        <v>#DIV/0!</v>
      </c>
      <c r="AI59" s="529">
        <f>AI58/Q53</f>
        <v>0.29430000000934</v>
      </c>
      <c r="AJ59" s="529" t="e">
        <f>AJ58/$P$52</f>
        <v>#DIV/0!</v>
      </c>
      <c r="AK59" s="529" t="e">
        <f>AK58/$P$52</f>
        <v>#DIV/0!</v>
      </c>
    </row>
    <row r="60" ht="15.6" spans="10:37">
      <c r="J60" s="460"/>
      <c r="K60" s="461"/>
      <c r="L60" s="462"/>
      <c r="M60" s="463"/>
      <c r="N60" s="462"/>
      <c r="O60" s="462"/>
      <c r="P60" s="465" t="s">
        <v>13527</v>
      </c>
      <c r="Q60" s="531">
        <f>I53</f>
        <v>0</v>
      </c>
      <c r="R60" s="529"/>
      <c r="S60" s="530"/>
      <c r="T60" s="530"/>
      <c r="U60" s="532" t="e">
        <f>AD53*Q53</f>
        <v>#REF!</v>
      </c>
      <c r="V60" s="532"/>
      <c r="W60" s="532"/>
      <c r="X60" s="532"/>
      <c r="Y60" s="532"/>
      <c r="Z60" s="532"/>
      <c r="AA60" s="532"/>
      <c r="AB60" s="532"/>
      <c r="AC60" s="532"/>
      <c r="AD60" s="530"/>
      <c r="AE60" s="530"/>
      <c r="AF60" s="530"/>
      <c r="AG60" s="530"/>
      <c r="AH60" s="530"/>
      <c r="AI60" s="530"/>
      <c r="AJ60" s="530"/>
      <c r="AK60" s="530"/>
    </row>
    <row r="61" ht="15.6" spans="10:37">
      <c r="J61" s="460"/>
      <c r="K61" s="461"/>
      <c r="L61" s="462"/>
      <c r="M61" s="463"/>
      <c r="N61" s="462"/>
      <c r="O61" s="462"/>
      <c r="P61" s="465" t="s">
        <v>13123</v>
      </c>
      <c r="Q61" s="531">
        <f>Q57-Q60</f>
        <v>32525241786</v>
      </c>
      <c r="R61" s="529"/>
      <c r="S61" s="530"/>
      <c r="T61" s="530"/>
      <c r="U61" s="530"/>
      <c r="V61" s="530"/>
      <c r="W61" s="530"/>
      <c r="X61" s="530"/>
      <c r="Y61" s="530"/>
      <c r="Z61" s="530"/>
      <c r="AA61" s="530"/>
      <c r="AB61" s="530"/>
      <c r="AC61" s="530"/>
      <c r="AD61" s="530"/>
      <c r="AE61" s="530"/>
      <c r="AF61" s="556">
        <v>27751940.3499069</v>
      </c>
      <c r="AG61" s="530"/>
      <c r="AH61" s="530"/>
      <c r="AI61" s="530"/>
      <c r="AJ61" s="530"/>
      <c r="AK61" s="530"/>
    </row>
    <row r="62" ht="15.6" spans="10:37">
      <c r="J62" s="460"/>
      <c r="K62" s="461"/>
      <c r="L62" s="462"/>
      <c r="M62" s="463"/>
      <c r="N62" s="462"/>
      <c r="O62" s="462"/>
      <c r="P62" s="466" t="s">
        <v>894</v>
      </c>
      <c r="Q62" s="533" t="e">
        <f>Q61/Q60</f>
        <v>#DIV/0!</v>
      </c>
      <c r="R62" s="529"/>
      <c r="S62" s="530"/>
      <c r="T62" s="530"/>
      <c r="U62" s="530"/>
      <c r="V62" s="530"/>
      <c r="W62" s="530"/>
      <c r="X62" s="530"/>
      <c r="Y62" s="530"/>
      <c r="Z62" s="530"/>
      <c r="AA62" s="530"/>
      <c r="AB62" s="530"/>
      <c r="AC62" s="530"/>
      <c r="AD62" s="530"/>
      <c r="AE62" s="530"/>
      <c r="AF62" s="530"/>
      <c r="AG62" s="530"/>
      <c r="AH62" s="530"/>
      <c r="AI62" s="530"/>
      <c r="AJ62" s="530"/>
      <c r="AK62" s="530"/>
    </row>
    <row r="63" ht="15.6" spans="10:37">
      <c r="J63" s="467"/>
      <c r="K63" s="468"/>
      <c r="L63" s="469"/>
      <c r="M63" s="470"/>
      <c r="N63" s="469"/>
      <c r="O63" s="469"/>
      <c r="P63" s="471"/>
      <c r="Q63" s="534"/>
      <c r="R63" s="535"/>
      <c r="S63" s="536"/>
      <c r="T63" s="536"/>
      <c r="U63" s="536"/>
      <c r="V63" s="536"/>
      <c r="W63" s="536"/>
      <c r="X63" s="536"/>
      <c r="Y63" s="536"/>
      <c r="Z63" s="536"/>
      <c r="AA63" s="536"/>
      <c r="AB63" s="536"/>
      <c r="AC63" s="536"/>
      <c r="AD63" s="536"/>
      <c r="AE63" s="536"/>
      <c r="AF63" s="536"/>
      <c r="AG63" s="536"/>
      <c r="AH63" s="536"/>
      <c r="AI63" s="536"/>
      <c r="AJ63" s="536"/>
      <c r="AK63" s="536"/>
    </row>
  </sheetData>
  <mergeCells count="24">
    <mergeCell ref="B4:C4"/>
    <mergeCell ref="N5:AC5"/>
    <mergeCell ref="N6:AC6"/>
    <mergeCell ref="N8:P8"/>
    <mergeCell ref="N9:P9"/>
    <mergeCell ref="K10:AF10"/>
    <mergeCell ref="S11:U11"/>
    <mergeCell ref="V11:X11"/>
    <mergeCell ref="Z11:AB11"/>
    <mergeCell ref="AD11:AF11"/>
    <mergeCell ref="B45:G45"/>
    <mergeCell ref="K53:O53"/>
    <mergeCell ref="M11:M12"/>
    <mergeCell ref="N11:N12"/>
    <mergeCell ref="O11:O12"/>
    <mergeCell ref="P11:P12"/>
    <mergeCell ref="Q11:Q12"/>
    <mergeCell ref="R11:R12"/>
    <mergeCell ref="Y11:Y12"/>
    <mergeCell ref="AC11:AC12"/>
    <mergeCell ref="K11:L12"/>
    <mergeCell ref="K5:M6"/>
    <mergeCell ref="AD5:AF6"/>
    <mergeCell ref="K8:M9"/>
  </mergeCells>
  <pageMargins left="0.7" right="0.7" top="0.75" bottom="0.75" header="0.3" footer="0.3"/>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pageSetUpPr fitToPage="1"/>
  </sheetPr>
  <dimension ref="A1:BJ100"/>
  <sheetViews>
    <sheetView showGridLines="0" zoomScale="109" zoomScaleNormal="109" workbookViewId="0">
      <pane xSplit="4" ySplit="11" topLeftCell="F18" activePane="bottomRight" state="frozen"/>
      <selection/>
      <selection pane="topRight"/>
      <selection pane="bottomLeft"/>
      <selection pane="bottomRight" activeCell="N48" sqref="N48"/>
    </sheetView>
  </sheetViews>
  <sheetFormatPr defaultColWidth="9.13541666666667" defaultRowHeight="13.2"/>
  <cols>
    <col min="1" max="1" width="3.44791666666667" style="101" customWidth="1"/>
    <col min="2" max="2" width="7.04166666666667" style="101" customWidth="1"/>
    <col min="3" max="3" width="33.2604166666667" style="101" customWidth="1"/>
    <col min="4" max="4" width="2.69791666666667" style="209" customWidth="1"/>
    <col min="5" max="5" width="6.73958333333333" style="102" customWidth="1"/>
    <col min="6" max="6" width="17.2291666666667" style="102" customWidth="1" outlineLevel="1"/>
    <col min="7" max="7" width="5.6875" style="102" customWidth="1" outlineLevel="1"/>
    <col min="8" max="9" width="13.1875" style="102" customWidth="1" outlineLevel="1"/>
    <col min="10" max="10" width="6.73958333333333" style="102" customWidth="1" outlineLevel="1"/>
    <col min="11" max="11" width="16.9270833333333" style="102" customWidth="1"/>
    <col min="12" max="12" width="17.53125" style="101" customWidth="1" outlineLevel="1"/>
    <col min="13" max="13" width="5.39583333333333" style="101" customWidth="1" outlineLevel="1"/>
    <col min="14" max="14" width="16.3333333333333" style="101" customWidth="1" outlineLevel="1"/>
    <col min="15" max="15" width="17.2291666666667" style="101" customWidth="1" outlineLevel="1"/>
    <col min="16" max="16" width="6.14583333333333" style="101" customWidth="1" outlineLevel="1"/>
    <col min="17" max="18" width="16.1770833333333" style="101" customWidth="1"/>
    <col min="19" max="19" width="15.1354166666667" style="101" customWidth="1"/>
    <col min="20" max="20" width="7.1875" style="101" customWidth="1"/>
    <col min="21" max="21" width="16.625" style="101" customWidth="1"/>
    <col min="22" max="22" width="12.1354166666667" style="101" customWidth="1"/>
    <col min="23" max="23" width="15.5833333333333" style="101" customWidth="1"/>
    <col min="24" max="24" width="9.73958333333333" style="101" customWidth="1"/>
    <col min="25" max="16384" width="9.13541666666667" style="101"/>
  </cols>
  <sheetData>
    <row r="1" spans="5:16">
      <c r="E1" s="132"/>
      <c r="F1" s="132"/>
      <c r="G1" s="132"/>
      <c r="H1" s="132"/>
      <c r="I1" s="132"/>
      <c r="J1" s="132"/>
      <c r="K1" s="132"/>
      <c r="L1" s="137"/>
      <c r="M1" s="137"/>
      <c r="N1" s="137"/>
      <c r="O1" s="137"/>
      <c r="P1" s="137"/>
    </row>
    <row r="2" ht="16.8" spans="2:22">
      <c r="B2" s="261" t="str">
        <f>'20'!B2</f>
        <v>KAP LIASTA NIRWAN SYAFRUDIN &amp; REKAN</v>
      </c>
      <c r="C2" s="262"/>
      <c r="D2" s="262"/>
      <c r="E2" s="262"/>
      <c r="F2" s="262"/>
      <c r="G2" s="262"/>
      <c r="H2" s="262"/>
      <c r="I2" s="262"/>
      <c r="J2" s="262"/>
      <c r="K2" s="262"/>
      <c r="L2" s="262"/>
      <c r="M2" s="262"/>
      <c r="N2" s="262"/>
      <c r="O2" s="262"/>
      <c r="P2" s="262"/>
      <c r="Q2" s="262"/>
      <c r="R2" s="262"/>
      <c r="S2" s="262" t="s">
        <v>481</v>
      </c>
      <c r="T2" s="262"/>
      <c r="U2" s="262" t="s">
        <v>482</v>
      </c>
      <c r="V2" s="339" t="s">
        <v>483</v>
      </c>
    </row>
    <row r="3" spans="2:22">
      <c r="B3" s="263"/>
      <c r="C3" s="264"/>
      <c r="D3" s="264"/>
      <c r="E3" s="264"/>
      <c r="F3" s="264"/>
      <c r="G3" s="264"/>
      <c r="H3" s="264"/>
      <c r="I3" s="264"/>
      <c r="J3" s="264"/>
      <c r="K3" s="264"/>
      <c r="L3" s="264"/>
      <c r="M3" s="264"/>
      <c r="N3" s="264"/>
      <c r="O3" s="264"/>
      <c r="P3" s="264"/>
      <c r="Q3" s="264"/>
      <c r="R3" s="264"/>
      <c r="S3" s="264"/>
      <c r="T3" s="264"/>
      <c r="U3" s="340">
        <v>45193</v>
      </c>
      <c r="V3" s="341">
        <v>40</v>
      </c>
    </row>
    <row r="4" spans="2:22">
      <c r="B4" s="263" t="s">
        <v>622</v>
      </c>
      <c r="C4" s="107" t="str">
        <f>'20'!D4</f>
        <v>PT INTAN GIRI ABADI</v>
      </c>
      <c r="D4" s="264"/>
      <c r="E4" s="264"/>
      <c r="F4" s="264"/>
      <c r="G4" s="264"/>
      <c r="H4" s="264"/>
      <c r="I4" s="264"/>
      <c r="J4" s="264"/>
      <c r="K4" s="264"/>
      <c r="L4" s="264"/>
      <c r="M4" s="264"/>
      <c r="N4" s="264"/>
      <c r="O4" s="264"/>
      <c r="P4" s="264"/>
      <c r="Q4" s="264"/>
      <c r="R4" s="264"/>
      <c r="S4" s="264" t="s">
        <v>487</v>
      </c>
      <c r="T4" s="264"/>
      <c r="U4" s="264" t="s">
        <v>482</v>
      </c>
      <c r="V4" s="341" t="s">
        <v>488</v>
      </c>
    </row>
    <row r="5" spans="2:22">
      <c r="B5" s="263"/>
      <c r="C5" s="264"/>
      <c r="D5" s="264"/>
      <c r="E5" s="264"/>
      <c r="F5" s="264"/>
      <c r="G5" s="264"/>
      <c r="H5" s="264"/>
      <c r="I5" s="264"/>
      <c r="J5" s="264"/>
      <c r="K5" s="264"/>
      <c r="L5" s="264"/>
      <c r="M5" s="264"/>
      <c r="N5" s="264"/>
      <c r="O5" s="264"/>
      <c r="P5" s="264"/>
      <c r="Q5" s="264"/>
      <c r="R5" s="264"/>
      <c r="S5" s="264"/>
      <c r="T5" s="264"/>
      <c r="U5" s="264"/>
      <c r="V5" s="341"/>
    </row>
    <row r="6" spans="2:22">
      <c r="B6" s="263"/>
      <c r="C6" s="264"/>
      <c r="D6" s="264"/>
      <c r="E6" s="264"/>
      <c r="F6" s="264"/>
      <c r="G6" s="264"/>
      <c r="H6" s="264"/>
      <c r="I6" s="264"/>
      <c r="J6" s="264"/>
      <c r="K6" s="264"/>
      <c r="L6" s="264"/>
      <c r="M6" s="264"/>
      <c r="N6" s="264"/>
      <c r="O6" s="264"/>
      <c r="P6" s="264"/>
      <c r="Q6" s="264"/>
      <c r="R6" s="264"/>
      <c r="S6" s="264"/>
      <c r="T6" s="264"/>
      <c r="U6" s="264"/>
      <c r="V6" s="341" t="s">
        <v>491</v>
      </c>
    </row>
    <row r="7" spans="2:22">
      <c r="B7" s="265" t="s">
        <v>13528</v>
      </c>
      <c r="C7" s="266" t="s">
        <v>13529</v>
      </c>
      <c r="D7" s="267"/>
      <c r="E7" s="267"/>
      <c r="F7" s="267"/>
      <c r="G7" s="267"/>
      <c r="H7" s="267"/>
      <c r="I7" s="267"/>
      <c r="J7" s="267"/>
      <c r="K7" s="267"/>
      <c r="L7" s="267"/>
      <c r="M7" s="267"/>
      <c r="N7" s="267"/>
      <c r="O7" s="267"/>
      <c r="P7" s="267"/>
      <c r="Q7" s="267"/>
      <c r="R7" s="267"/>
      <c r="S7" s="267"/>
      <c r="T7" s="267"/>
      <c r="U7" s="267"/>
      <c r="V7" s="342">
        <v>44926</v>
      </c>
    </row>
    <row r="9" spans="2:22">
      <c r="B9" s="268"/>
      <c r="C9" s="269"/>
      <c r="D9" s="270"/>
      <c r="E9" s="271"/>
      <c r="F9" s="272"/>
      <c r="G9" s="273"/>
      <c r="H9" s="274" t="s">
        <v>1228</v>
      </c>
      <c r="I9" s="324"/>
      <c r="J9" s="272"/>
      <c r="K9" s="271"/>
      <c r="L9" s="272"/>
      <c r="M9" s="273"/>
      <c r="N9" s="274" t="s">
        <v>1228</v>
      </c>
      <c r="O9" s="324"/>
      <c r="P9" s="272"/>
      <c r="Q9" s="272"/>
      <c r="R9" s="272"/>
      <c r="S9" s="343">
        <f>L11</f>
        <v>44561</v>
      </c>
      <c r="T9" s="344"/>
      <c r="U9" s="343">
        <v>43830</v>
      </c>
      <c r="V9" s="345"/>
    </row>
    <row r="10" spans="2:22">
      <c r="B10" s="275"/>
      <c r="C10" s="276"/>
      <c r="D10" s="277"/>
      <c r="E10" s="278" t="s">
        <v>654</v>
      </c>
      <c r="F10" s="279" t="s">
        <v>996</v>
      </c>
      <c r="G10" s="279" t="s">
        <v>1230</v>
      </c>
      <c r="H10" s="272" t="s">
        <v>1231</v>
      </c>
      <c r="I10" s="325" t="s">
        <v>1232</v>
      </c>
      <c r="J10" s="279" t="s">
        <v>1230</v>
      </c>
      <c r="K10" s="278" t="s">
        <v>1233</v>
      </c>
      <c r="L10" s="279" t="str">
        <f>+F10</f>
        <v>Saldo Buku</v>
      </c>
      <c r="M10" s="279" t="s">
        <v>1230</v>
      </c>
      <c r="N10" s="272" t="s">
        <v>1231</v>
      </c>
      <c r="O10" s="325" t="s">
        <v>1232</v>
      </c>
      <c r="P10" s="279" t="s">
        <v>1230</v>
      </c>
      <c r="Q10" s="346" t="s">
        <v>1233</v>
      </c>
      <c r="R10" s="346" t="str">
        <f>+L10</f>
        <v>Saldo Buku</v>
      </c>
      <c r="S10" s="347" t="s">
        <v>12404</v>
      </c>
      <c r="T10" s="348"/>
      <c r="U10" s="347" t="s">
        <v>12404</v>
      </c>
      <c r="V10" s="326"/>
    </row>
    <row r="11" spans="2:22">
      <c r="B11" s="280" t="s">
        <v>4</v>
      </c>
      <c r="C11" s="281"/>
      <c r="D11" s="282"/>
      <c r="E11" s="283" t="s">
        <v>812</v>
      </c>
      <c r="F11" s="284">
        <v>44926</v>
      </c>
      <c r="G11" s="284" t="s">
        <v>1235</v>
      </c>
      <c r="H11" s="285"/>
      <c r="I11" s="326"/>
      <c r="J11" s="327" t="s">
        <v>1235</v>
      </c>
      <c r="K11" s="284">
        <f>+F11</f>
        <v>44926</v>
      </c>
      <c r="L11" s="284">
        <f>+K11-365</f>
        <v>44561</v>
      </c>
      <c r="M11" s="284" t="s">
        <v>1235</v>
      </c>
      <c r="N11" s="285"/>
      <c r="O11" s="326"/>
      <c r="P11" s="284" t="s">
        <v>1235</v>
      </c>
      <c r="Q11" s="349">
        <f>+L11</f>
        <v>44561</v>
      </c>
      <c r="R11" s="284">
        <f>+Q11-365</f>
        <v>44196</v>
      </c>
      <c r="S11" s="350" t="s">
        <v>1132</v>
      </c>
      <c r="T11" s="351" t="s">
        <v>12405</v>
      </c>
      <c r="U11" s="352" t="s">
        <v>1132</v>
      </c>
      <c r="V11" s="353" t="s">
        <v>12405</v>
      </c>
    </row>
    <row r="12" spans="2:22">
      <c r="B12" s="286"/>
      <c r="C12" s="153"/>
      <c r="D12" s="287"/>
      <c r="F12" s="131"/>
      <c r="H12" s="131"/>
      <c r="J12" s="131"/>
      <c r="K12" s="328"/>
      <c r="L12" s="152"/>
      <c r="M12" s="152"/>
      <c r="N12" s="152"/>
      <c r="O12" s="153"/>
      <c r="P12" s="152"/>
      <c r="Q12" s="100"/>
      <c r="R12" s="152"/>
      <c r="S12" s="304"/>
      <c r="T12"/>
      <c r="U12" s="161"/>
      <c r="V12" s="304"/>
    </row>
    <row r="13" spans="2:22">
      <c r="B13" s="286"/>
      <c r="C13" s="153"/>
      <c r="D13" s="287"/>
      <c r="F13" s="131"/>
      <c r="H13" s="131"/>
      <c r="J13" s="131"/>
      <c r="K13" s="328"/>
      <c r="L13" s="152"/>
      <c r="M13" s="152"/>
      <c r="N13" s="152"/>
      <c r="O13" s="153"/>
      <c r="P13" s="152"/>
      <c r="Q13" s="100"/>
      <c r="R13" s="152"/>
      <c r="S13" s="153"/>
      <c r="T13" s="354"/>
      <c r="U13" s="161"/>
      <c r="V13" s="304"/>
    </row>
    <row r="14" spans="1:22">
      <c r="A14" s="288"/>
      <c r="B14" s="286" t="s">
        <v>13530</v>
      </c>
      <c r="C14" s="289"/>
      <c r="D14" s="290"/>
      <c r="E14" s="291"/>
      <c r="F14" s="200"/>
      <c r="G14" s="292"/>
      <c r="H14" s="200"/>
      <c r="I14" s="291"/>
      <c r="J14" s="135"/>
      <c r="K14" s="329"/>
      <c r="L14" s="138"/>
      <c r="M14" s="138"/>
      <c r="N14" s="296"/>
      <c r="O14" s="289"/>
      <c r="P14" s="135"/>
      <c r="Q14" s="138"/>
      <c r="R14" s="156"/>
      <c r="S14" s="157"/>
      <c r="T14" s="355"/>
      <c r="U14" s="161"/>
      <c r="V14" s="356"/>
    </row>
    <row r="15" hidden="1" spans="1:22">
      <c r="A15" s="288"/>
      <c r="B15" s="293" t="s">
        <v>13531</v>
      </c>
      <c r="C15" s="289"/>
      <c r="D15" s="290"/>
      <c r="E15" s="294"/>
      <c r="F15" s="140">
        <v>0</v>
      </c>
      <c r="G15" s="295"/>
      <c r="H15" s="140"/>
      <c r="I15" s="299"/>
      <c r="J15" s="299"/>
      <c r="K15" s="330">
        <f t="shared" ref="K15:K22" si="0">F15+H15-I15</f>
        <v>0</v>
      </c>
      <c r="L15" s="231">
        <v>0</v>
      </c>
      <c r="M15" s="138"/>
      <c r="N15" s="296"/>
      <c r="O15" s="289"/>
      <c r="P15" s="296"/>
      <c r="Q15" s="357">
        <f t="shared" ref="Q15:Q22" si="1">L15+N15-O15</f>
        <v>0</v>
      </c>
      <c r="R15" s="161">
        <v>0</v>
      </c>
      <c r="S15" s="304">
        <f>F15-Q15</f>
        <v>0</v>
      </c>
      <c r="T15" s="355">
        <f>IF(Q15=0,IF(F15=0,0,F15/F15),F15/Q15)</f>
        <v>0</v>
      </c>
      <c r="U15" s="161">
        <f t="shared" ref="U15:U22" si="2">L15-R15</f>
        <v>0</v>
      </c>
      <c r="V15" s="356">
        <f t="shared" ref="V15:V22" si="3">IF(R15=0,IF(U15=0,0,U15/U15),U15/R15)</f>
        <v>0</v>
      </c>
    </row>
    <row r="16" hidden="1" spans="1:22">
      <c r="A16" s="288"/>
      <c r="B16" s="101" t="s">
        <v>13532</v>
      </c>
      <c r="C16" s="296"/>
      <c r="D16" s="290"/>
      <c r="E16" s="294"/>
      <c r="F16" s="140">
        <v>0</v>
      </c>
      <c r="G16" s="295"/>
      <c r="H16" s="140"/>
      <c r="I16" s="294"/>
      <c r="J16" s="299"/>
      <c r="K16" s="330">
        <f t="shared" si="0"/>
        <v>0</v>
      </c>
      <c r="L16" s="231">
        <v>0</v>
      </c>
      <c r="M16" s="138"/>
      <c r="N16" s="296"/>
      <c r="O16" s="289"/>
      <c r="P16" s="138"/>
      <c r="Q16" s="357">
        <f t="shared" si="1"/>
        <v>0</v>
      </c>
      <c r="R16" s="161">
        <v>0</v>
      </c>
      <c r="S16" s="304">
        <f t="shared" ref="S16:S22" si="4">F16-Q16</f>
        <v>0</v>
      </c>
      <c r="T16" s="355">
        <f t="shared" ref="T16:T24" si="5">IF(Q16=0,IF(F16=0,0,F16/F16),F16/Q16)</f>
        <v>0</v>
      </c>
      <c r="U16" s="161">
        <f t="shared" si="2"/>
        <v>0</v>
      </c>
      <c r="V16" s="356">
        <f t="shared" si="3"/>
        <v>0</v>
      </c>
    </row>
    <row r="17" spans="1:22">
      <c r="A17" s="288"/>
      <c r="B17" s="101" t="s">
        <v>13533</v>
      </c>
      <c r="C17" s="296"/>
      <c r="D17" s="290"/>
      <c r="E17" s="294"/>
      <c r="F17" s="140">
        <f>+'[79]P&amp;L22'!$F$95</f>
        <v>14200000</v>
      </c>
      <c r="G17" s="295"/>
      <c r="H17" s="161">
        <f>SUMIF('F4'!$E$12:$E$158,B17,'F4'!$G$12:$G$158)</f>
        <v>0</v>
      </c>
      <c r="I17" s="161">
        <f>SUMIF('F4'!$E$12:$E$158,B17,'F4'!$H$12:$H$158)</f>
        <v>0</v>
      </c>
      <c r="J17" s="299"/>
      <c r="K17" s="330">
        <f t="shared" si="0"/>
        <v>14200000</v>
      </c>
      <c r="L17" s="231">
        <v>137331501.4</v>
      </c>
      <c r="M17" s="138"/>
      <c r="N17" s="161">
        <f>SUMIF('F4'!$E$12:$E$158,B17,'F4'!$I$12:$I$158)</f>
        <v>0</v>
      </c>
      <c r="O17" s="161">
        <f>SUMIF('F4'!$E$12:$E$158,B17,'F4'!$J$12:$J$158)</f>
        <v>0</v>
      </c>
      <c r="P17" s="138"/>
      <c r="Q17" s="357">
        <f t="shared" si="1"/>
        <v>137331501.4</v>
      </c>
      <c r="R17" s="161">
        <v>270992605</v>
      </c>
      <c r="S17" s="304">
        <f t="shared" si="4"/>
        <v>-123131501.4</v>
      </c>
      <c r="T17" s="355">
        <f t="shared" si="5"/>
        <v>0.103399437530652</v>
      </c>
      <c r="U17" s="161">
        <f t="shared" si="2"/>
        <v>-133661103.6</v>
      </c>
      <c r="V17" s="356">
        <f t="shared" si="3"/>
        <v>-0.493227863542623</v>
      </c>
    </row>
    <row r="18" spans="1:22">
      <c r="A18" s="288"/>
      <c r="B18" s="101" t="s">
        <v>13534</v>
      </c>
      <c r="C18" s="296"/>
      <c r="D18" s="290"/>
      <c r="E18" s="294"/>
      <c r="F18" s="140">
        <v>0</v>
      </c>
      <c r="G18" s="295"/>
      <c r="H18" s="161">
        <f>SUMIF('F4'!$E$12:$E$158,B18,'F4'!$G$12:$G$158)</f>
        <v>0</v>
      </c>
      <c r="I18" s="161">
        <f>SUMIF('F4'!$E$12:$E$158,B18,'F4'!$H$12:$H$158)</f>
        <v>0</v>
      </c>
      <c r="J18" s="299"/>
      <c r="K18" s="330">
        <f t="shared" si="0"/>
        <v>0</v>
      </c>
      <c r="L18" s="231">
        <v>0</v>
      </c>
      <c r="M18" s="138"/>
      <c r="N18" s="161">
        <f>SUMIF('F4'!$E$12:$E$158,B18,'F4'!$I$12:$I$158)</f>
        <v>0</v>
      </c>
      <c r="O18" s="161">
        <f>SUMIF('F4'!$E$12:$E$158,B18,'F4'!$J$12:$J$158)</f>
        <v>0</v>
      </c>
      <c r="P18" s="138"/>
      <c r="Q18" s="357">
        <f t="shared" si="1"/>
        <v>0</v>
      </c>
      <c r="R18" s="161">
        <v>0</v>
      </c>
      <c r="S18" s="304">
        <f t="shared" si="4"/>
        <v>0</v>
      </c>
      <c r="T18" s="355">
        <f t="shared" si="5"/>
        <v>0</v>
      </c>
      <c r="U18" s="161">
        <f t="shared" si="2"/>
        <v>0</v>
      </c>
      <c r="V18" s="356">
        <f t="shared" si="3"/>
        <v>0</v>
      </c>
    </row>
    <row r="19" hidden="1" spans="1:22">
      <c r="A19" s="288"/>
      <c r="B19" s="101" t="s">
        <v>13535</v>
      </c>
      <c r="C19" s="296"/>
      <c r="D19" s="290"/>
      <c r="E19" s="294"/>
      <c r="F19" s="140">
        <v>0</v>
      </c>
      <c r="G19" s="295"/>
      <c r="H19" s="140"/>
      <c r="I19" s="294"/>
      <c r="J19" s="299"/>
      <c r="K19" s="330">
        <f t="shared" si="0"/>
        <v>0</v>
      </c>
      <c r="L19" s="231">
        <v>0</v>
      </c>
      <c r="M19" s="138"/>
      <c r="N19" s="296"/>
      <c r="O19" s="289"/>
      <c r="P19" s="138"/>
      <c r="Q19" s="357">
        <f t="shared" si="1"/>
        <v>0</v>
      </c>
      <c r="R19" s="161">
        <v>0</v>
      </c>
      <c r="S19" s="304">
        <f t="shared" si="4"/>
        <v>0</v>
      </c>
      <c r="T19" s="355">
        <f t="shared" si="5"/>
        <v>0</v>
      </c>
      <c r="U19" s="161">
        <f t="shared" si="2"/>
        <v>0</v>
      </c>
      <c r="V19" s="356">
        <f t="shared" si="3"/>
        <v>0</v>
      </c>
    </row>
    <row r="20" hidden="1" spans="1:22">
      <c r="A20" s="288"/>
      <c r="B20" s="101" t="s">
        <v>13536</v>
      </c>
      <c r="C20" s="296"/>
      <c r="D20" s="290"/>
      <c r="E20" s="294"/>
      <c r="F20" s="140">
        <v>0</v>
      </c>
      <c r="G20" s="295"/>
      <c r="H20" s="140"/>
      <c r="I20" s="294"/>
      <c r="J20" s="299"/>
      <c r="K20" s="330">
        <f t="shared" si="0"/>
        <v>0</v>
      </c>
      <c r="L20" s="231">
        <v>0</v>
      </c>
      <c r="M20" s="138"/>
      <c r="N20" s="296"/>
      <c r="O20" s="289"/>
      <c r="P20" s="138"/>
      <c r="Q20" s="357">
        <f t="shared" si="1"/>
        <v>0</v>
      </c>
      <c r="R20" s="161">
        <v>0</v>
      </c>
      <c r="S20" s="304">
        <f t="shared" si="4"/>
        <v>0</v>
      </c>
      <c r="T20" s="355">
        <f t="shared" si="5"/>
        <v>0</v>
      </c>
      <c r="U20" s="161">
        <f t="shared" si="2"/>
        <v>0</v>
      </c>
      <c r="V20" s="356">
        <f t="shared" si="3"/>
        <v>0</v>
      </c>
    </row>
    <row r="21" hidden="1" spans="1:22">
      <c r="A21" s="288"/>
      <c r="B21" s="101" t="s">
        <v>13537</v>
      </c>
      <c r="C21" s="296"/>
      <c r="D21" s="290"/>
      <c r="E21" s="294"/>
      <c r="F21" s="140">
        <v>0</v>
      </c>
      <c r="G21" s="140"/>
      <c r="H21" s="297"/>
      <c r="I21" s="294"/>
      <c r="J21" s="299"/>
      <c r="K21" s="101">
        <f t="shared" si="0"/>
        <v>0</v>
      </c>
      <c r="L21" s="231">
        <v>0</v>
      </c>
      <c r="M21" s="138"/>
      <c r="N21" s="296"/>
      <c r="O21" s="289"/>
      <c r="P21" s="138"/>
      <c r="Q21" s="357">
        <f t="shared" si="1"/>
        <v>0</v>
      </c>
      <c r="R21" s="161">
        <v>0</v>
      </c>
      <c r="S21" s="304">
        <f t="shared" si="4"/>
        <v>0</v>
      </c>
      <c r="T21" s="355">
        <f t="shared" si="5"/>
        <v>0</v>
      </c>
      <c r="U21" s="161">
        <f t="shared" si="2"/>
        <v>0</v>
      </c>
      <c r="V21" s="356">
        <f t="shared" si="3"/>
        <v>0</v>
      </c>
    </row>
    <row r="22" hidden="1" spans="1:22">
      <c r="A22" s="288"/>
      <c r="B22" s="101" t="s">
        <v>402</v>
      </c>
      <c r="C22" s="296"/>
      <c r="D22" s="298"/>
      <c r="E22" s="299"/>
      <c r="F22" s="140">
        <v>0</v>
      </c>
      <c r="G22" s="140"/>
      <c r="H22"/>
      <c r="I22" s="299"/>
      <c r="J22"/>
      <c r="K22" s="161">
        <f t="shared" si="0"/>
        <v>0</v>
      </c>
      <c r="L22" s="230"/>
      <c r="M22" s="138"/>
      <c r="N22" s="296"/>
      <c r="O22" s="289"/>
      <c r="P22" s="138"/>
      <c r="Q22" s="357">
        <f t="shared" si="1"/>
        <v>0</v>
      </c>
      <c r="R22" s="161">
        <v>0</v>
      </c>
      <c r="S22" s="304">
        <f t="shared" si="4"/>
        <v>0</v>
      </c>
      <c r="T22" s="355">
        <f t="shared" si="5"/>
        <v>0</v>
      </c>
      <c r="U22" s="161">
        <f t="shared" si="2"/>
        <v>0</v>
      </c>
      <c r="V22" s="356">
        <f t="shared" si="3"/>
        <v>0</v>
      </c>
    </row>
    <row r="23" spans="1:22">
      <c r="A23" s="288"/>
      <c r="B23" s="164"/>
      <c r="C23" s="201"/>
      <c r="D23" s="300"/>
      <c r="E23" s="301"/>
      <c r="F23" s="142"/>
      <c r="G23" s="302"/>
      <c r="H23" s="164"/>
      <c r="I23" s="301"/>
      <c r="J23" s="331"/>
      <c r="K23" s="143"/>
      <c r="L23" s="164"/>
      <c r="M23" s="138"/>
      <c r="N23" s="236"/>
      <c r="O23" s="236"/>
      <c r="P23" s="236"/>
      <c r="Q23" s="110"/>
      <c r="R23" s="143"/>
      <c r="S23" s="358"/>
      <c r="T23" s="355"/>
      <c r="U23" s="143"/>
      <c r="V23" s="356"/>
    </row>
    <row r="24" s="100" customFormat="1" spans="1:22">
      <c r="A24" s="303"/>
      <c r="B24" s="286"/>
      <c r="C24" s="304" t="s">
        <v>13538</v>
      </c>
      <c r="D24" s="101"/>
      <c r="E24" s="161"/>
      <c r="F24" s="161">
        <f>SUM(F15:F23)</f>
        <v>14200000</v>
      </c>
      <c r="G24" s="304"/>
      <c r="H24" s="161">
        <f>SUM(H15:H23)</f>
        <v>0</v>
      </c>
      <c r="I24" s="161">
        <f>SUM(I15:I23)</f>
        <v>0</v>
      </c>
      <c r="J24" s="101"/>
      <c r="K24" s="161">
        <f>SUM(K15:K23)</f>
        <v>14200000</v>
      </c>
      <c r="L24" s="101">
        <f>SUM(L15:L23)</f>
        <v>137331501.4</v>
      </c>
      <c r="M24" s="308"/>
      <c r="N24" s="161">
        <f>SUM(N15:N23)</f>
        <v>0</v>
      </c>
      <c r="O24" s="161">
        <f>SUM(O15:O23)</f>
        <v>0</v>
      </c>
      <c r="P24" s="161"/>
      <c r="Q24" s="101">
        <f>SUM(Q15:Q21)</f>
        <v>137331501.4</v>
      </c>
      <c r="R24" s="184">
        <f>SUM(R15:R21)</f>
        <v>270992605</v>
      </c>
      <c r="S24" s="161">
        <f>SUM(S15:S21)</f>
        <v>-123131501.4</v>
      </c>
      <c r="T24" s="355">
        <f t="shared" si="5"/>
        <v>0.103399437530652</v>
      </c>
      <c r="U24" s="161">
        <f>SUM(U15:U21)</f>
        <v>-133661103.6</v>
      </c>
      <c r="V24" s="356">
        <f>IF(R24=0,IF(U24=0,0,U24/U24),U24/R24)</f>
        <v>-0.493227863542623</v>
      </c>
    </row>
    <row r="25" spans="1:22">
      <c r="A25" s="288"/>
      <c r="B25" s="293"/>
      <c r="C25" s="289"/>
      <c r="D25" s="298"/>
      <c r="E25" s="135"/>
      <c r="F25"/>
      <c r="G25" s="200"/>
      <c r="H25"/>
      <c r="I25" s="135"/>
      <c r="J25" s="136"/>
      <c r="K25" s="296"/>
      <c r="L25" s="162"/>
      <c r="M25" s="296"/>
      <c r="N25" s="134"/>
      <c r="O25" s="296"/>
      <c r="P25" s="296"/>
      <c r="Q25" s="134"/>
      <c r="R25" s="138"/>
      <c r="S25" s="296"/>
      <c r="T25" s="355"/>
      <c r="U25" s="161"/>
      <c r="V25" s="356"/>
    </row>
    <row r="26" spans="1:22">
      <c r="A26" s="288"/>
      <c r="B26" s="286" t="s">
        <v>13539</v>
      </c>
      <c r="C26" s="289"/>
      <c r="D26" s="298"/>
      <c r="E26" s="135"/>
      <c r="F26"/>
      <c r="G26" s="135"/>
      <c r="H26" s="136"/>
      <c r="I26" s="135"/>
      <c r="J26" s="136"/>
      <c r="K26" s="296"/>
      <c r="L26" s="162"/>
      <c r="M26" s="296"/>
      <c r="N26" s="134"/>
      <c r="O26" s="296"/>
      <c r="P26" s="296"/>
      <c r="Q26" s="134"/>
      <c r="R26" s="138"/>
      <c r="S26" s="296"/>
      <c r="T26" s="355"/>
      <c r="U26" s="161"/>
      <c r="V26" s="356"/>
    </row>
    <row r="27" spans="1:24">
      <c r="A27" s="288"/>
      <c r="B27" s="293" t="s">
        <v>13531</v>
      </c>
      <c r="C27" s="305"/>
      <c r="D27" s="306"/>
      <c r="E27" s="307"/>
      <c r="F27" s="101">
        <f>581540167+4182669</f>
        <v>585722836</v>
      </c>
      <c r="G27" s="307"/>
      <c r="H27" s="161">
        <f>SUMIF('F4'!$E$12:$E$158,B27,'F4'!$G$12:$G$158)</f>
        <v>0</v>
      </c>
      <c r="I27" s="161">
        <f>SUMIF('F4'!$E$12:$E$158,B27,'F4'!$H$12:$H$158)</f>
        <v>0</v>
      </c>
      <c r="J27" s="101"/>
      <c r="K27" s="161">
        <f t="shared" ref="K27:K35" si="6">F27+H27-I27</f>
        <v>585722836</v>
      </c>
      <c r="L27" s="332">
        <f>598539233+4221045.3</f>
        <v>602760278.3</v>
      </c>
      <c r="M27" s="333"/>
      <c r="N27" s="161">
        <f>SUMIF('F4'!$E$12:$E$158,B27,'F4'!$I$12:$I$158)</f>
        <v>0</v>
      </c>
      <c r="O27" s="161">
        <f>SUMIF('F4'!$E$12:$E$158,B27,'F4'!$J$12:$J$158)</f>
        <v>0</v>
      </c>
      <c r="P27" s="333"/>
      <c r="Q27" s="101">
        <f t="shared" ref="Q27:Q35" si="7">L27+N27-O27</f>
        <v>602760278.3</v>
      </c>
      <c r="R27" s="184">
        <f>952271710.462427+9817744</f>
        <v>962089454.462427</v>
      </c>
      <c r="S27" s="161">
        <f t="shared" ref="S27:S37" si="8">F27-Q27</f>
        <v>-17037442.3</v>
      </c>
      <c r="T27" s="355">
        <f t="shared" ref="T27:T37" si="9">IF(Q27=0,IF(F27=0,0,F27/F27),F27/Q27)</f>
        <v>0.971734298172315</v>
      </c>
      <c r="U27" s="191">
        <f>L27-R27</f>
        <v>-359329176.162427</v>
      </c>
      <c r="V27" s="356">
        <f>IF(R27=0,IF(U27=0,0,U27/U27),U27/R27)</f>
        <v>-0.373488322209294</v>
      </c>
      <c r="W27" s="101">
        <f>SUM(Q27:Q34)</f>
        <v>790299243.2</v>
      </c>
      <c r="X27" s="101" t="s">
        <v>13540</v>
      </c>
    </row>
    <row r="28" spans="1:22">
      <c r="A28" s="288"/>
      <c r="B28" s="293" t="s">
        <v>13541</v>
      </c>
      <c r="C28" s="305"/>
      <c r="D28" s="306"/>
      <c r="E28" s="307"/>
      <c r="F28" s="101">
        <v>42700000</v>
      </c>
      <c r="G28" s="307"/>
      <c r="H28" s="161">
        <f>SUMIF('F4'!$E$12:$E$158,B28,'F4'!$G$12:$G$158)</f>
        <v>0</v>
      </c>
      <c r="I28" s="161">
        <f>SUMIF('F4'!$E$12:$E$158,B28,'F4'!$H$12:$H$158)</f>
        <v>0</v>
      </c>
      <c r="J28" s="101"/>
      <c r="K28" s="161">
        <f t="shared" si="6"/>
        <v>42700000</v>
      </c>
      <c r="L28" s="332">
        <v>9905717</v>
      </c>
      <c r="M28" s="334"/>
      <c r="N28" s="161">
        <f>SUMIF('F4'!$E$12:$E$158,B28,'F4'!$I$12:$I$158)</f>
        <v>0</v>
      </c>
      <c r="O28" s="161">
        <f>SUMIF('F4'!$E$12:$E$158,B28,'F4'!$J$12:$J$158)</f>
        <v>0</v>
      </c>
      <c r="P28" s="334"/>
      <c r="Q28" s="101">
        <f t="shared" si="7"/>
        <v>9905717</v>
      </c>
      <c r="R28" s="184">
        <v>0</v>
      </c>
      <c r="S28" s="161">
        <f t="shared" si="8"/>
        <v>32794283</v>
      </c>
      <c r="T28" s="355">
        <f t="shared" si="9"/>
        <v>4.31064202621577</v>
      </c>
      <c r="U28" s="191">
        <f t="shared" ref="U28:U35" si="10">L28-R28</f>
        <v>9905717</v>
      </c>
      <c r="V28" s="356">
        <f t="shared" ref="V28:V35" si="11">IF(R28=0,IF(U28=0,0,U28/U28),U28/R28)</f>
        <v>1</v>
      </c>
    </row>
    <row r="29" hidden="1" spans="1:22">
      <c r="A29" s="288"/>
      <c r="B29" s="293" t="s">
        <v>13536</v>
      </c>
      <c r="C29" s="305"/>
      <c r="D29" s="306"/>
      <c r="E29" s="307"/>
      <c r="F29" s="101">
        <v>0</v>
      </c>
      <c r="G29" s="307"/>
      <c r="H29" s="161">
        <f>SUMIF('F4'!$E$12:$E$158,B29,'F4'!$G$12:$G$158)</f>
        <v>0</v>
      </c>
      <c r="I29" s="161">
        <f>SUMIF('F4'!$E$12:$E$158,B29,'F4'!$H$12:$H$158)</f>
        <v>0</v>
      </c>
      <c r="J29" s="101"/>
      <c r="K29" s="161">
        <f t="shared" si="6"/>
        <v>0</v>
      </c>
      <c r="L29" s="332">
        <v>0</v>
      </c>
      <c r="M29" s="334"/>
      <c r="N29" s="161">
        <f>SUMIF('F4'!$E$12:$E$158,B29,'F4'!$I$12:$I$158)</f>
        <v>0</v>
      </c>
      <c r="O29" s="161">
        <f>SUMIF('F4'!$E$12:$E$158,B29,'F4'!$J$12:$J$158)</f>
        <v>0</v>
      </c>
      <c r="P29" s="334"/>
      <c r="Q29" s="101">
        <f t="shared" si="7"/>
        <v>0</v>
      </c>
      <c r="R29" s="184">
        <v>0</v>
      </c>
      <c r="S29" s="161">
        <f t="shared" si="8"/>
        <v>0</v>
      </c>
      <c r="T29" s="355">
        <f t="shared" si="9"/>
        <v>0</v>
      </c>
      <c r="U29" s="191">
        <f t="shared" si="10"/>
        <v>0</v>
      </c>
      <c r="V29" s="356">
        <f t="shared" si="11"/>
        <v>0</v>
      </c>
    </row>
    <row r="30" spans="1:22">
      <c r="A30" s="288"/>
      <c r="B30" s="293" t="s">
        <v>13534</v>
      </c>
      <c r="C30" s="305"/>
      <c r="D30" s="306"/>
      <c r="E30" s="307"/>
      <c r="F30" s="101">
        <v>545866843</v>
      </c>
      <c r="G30" s="307"/>
      <c r="H30" s="161">
        <f>SUMIF('F4'!$E$12:$E$158,B30,'F4'!$G$12:$G$158)</f>
        <v>0</v>
      </c>
      <c r="I30" s="161">
        <f>SUMIF('F4'!$E$12:$E$158,B30,'F4'!$H$12:$H$158)</f>
        <v>0</v>
      </c>
      <c r="J30" s="101"/>
      <c r="K30" s="161">
        <f t="shared" si="6"/>
        <v>545866843</v>
      </c>
      <c r="L30" s="332">
        <v>177633247.9</v>
      </c>
      <c r="M30" s="334"/>
      <c r="N30" s="161">
        <f>SUMIF('F4'!$E$12:$E$158,B30,'F4'!$I$12:$I$158)</f>
        <v>0</v>
      </c>
      <c r="O30" s="161">
        <f>SUMIF('F4'!$E$12:$E$158,B30,'F4'!$J$12:$J$158)</f>
        <v>0</v>
      </c>
      <c r="P30" s="334"/>
      <c r="Q30" s="101">
        <f t="shared" si="7"/>
        <v>177633247.9</v>
      </c>
      <c r="R30" s="184">
        <v>76822512.5756187</v>
      </c>
      <c r="S30" s="161">
        <f t="shared" si="8"/>
        <v>368233595.1</v>
      </c>
      <c r="T30" s="355">
        <f t="shared" si="9"/>
        <v>3.07299928055867</v>
      </c>
      <c r="U30" s="191">
        <f t="shared" si="10"/>
        <v>100810735.324381</v>
      </c>
      <c r="V30" s="356">
        <f t="shared" si="11"/>
        <v>1.31225511825261</v>
      </c>
    </row>
    <row r="31" hidden="1" spans="1:22">
      <c r="A31" s="288"/>
      <c r="B31" s="293" t="s">
        <v>13533</v>
      </c>
      <c r="C31" s="305"/>
      <c r="D31" s="306"/>
      <c r="E31" s="161" t="s">
        <v>12753</v>
      </c>
      <c r="F31" s="101">
        <v>0</v>
      </c>
      <c r="G31" s="161"/>
      <c r="H31" s="161">
        <f>SUMIF('F4'!$E$12:$E$158,B31,'F4'!$G$12:$G$158)</f>
        <v>0</v>
      </c>
      <c r="I31" s="161">
        <f>SUMIF('F4'!$E$12:$E$158,B31,'F4'!$H$12:$H$158)</f>
        <v>0</v>
      </c>
      <c r="J31" s="101"/>
      <c r="K31" s="161">
        <f t="shared" si="6"/>
        <v>0</v>
      </c>
      <c r="L31" s="332">
        <v>0</v>
      </c>
      <c r="M31" s="334"/>
      <c r="N31" s="161">
        <f>SUMIF('F4'!$E$12:$E$158,B31,'F4'!$I$12:$I$158)</f>
        <v>0</v>
      </c>
      <c r="O31" s="161">
        <f>SUMIF('F4'!$E$12:$E$158,B31,'F4'!$J$12:$J$158)</f>
        <v>0</v>
      </c>
      <c r="P31" s="334"/>
      <c r="Q31" s="101">
        <f t="shared" si="7"/>
        <v>0</v>
      </c>
      <c r="R31" s="184">
        <v>0</v>
      </c>
      <c r="S31" s="161">
        <f t="shared" si="8"/>
        <v>0</v>
      </c>
      <c r="T31" s="355">
        <f t="shared" si="9"/>
        <v>0</v>
      </c>
      <c r="U31" s="191">
        <f t="shared" si="10"/>
        <v>0</v>
      </c>
      <c r="V31" s="356">
        <f t="shared" si="11"/>
        <v>0</v>
      </c>
    </row>
    <row r="32" hidden="1" spans="1:22">
      <c r="A32" s="288"/>
      <c r="B32" s="293" t="s">
        <v>13542</v>
      </c>
      <c r="C32" s="305"/>
      <c r="D32" s="306"/>
      <c r="E32" s="307"/>
      <c r="F32" s="101">
        <v>0</v>
      </c>
      <c r="G32" s="307"/>
      <c r="H32" s="161">
        <f>SUMIF('F4'!$E$12:$E$158,B32,'F4'!$G$12:$G$158)</f>
        <v>0</v>
      </c>
      <c r="I32" s="161">
        <f>SUMIF('F4'!$E$12:$E$158,B32,'F4'!$H$12:$H$158)</f>
        <v>0</v>
      </c>
      <c r="J32" s="101"/>
      <c r="K32" s="161">
        <f t="shared" si="6"/>
        <v>0</v>
      </c>
      <c r="L32" s="332">
        <v>0</v>
      </c>
      <c r="M32" s="334"/>
      <c r="N32" s="161">
        <f>SUMIF('F4'!$E$12:$E$158,B32,'F4'!$I$12:$I$158)</f>
        <v>0</v>
      </c>
      <c r="O32" s="161">
        <f>SUMIF('F4'!$E$12:$E$158,B32,'F4'!$J$12:$J$158)</f>
        <v>0</v>
      </c>
      <c r="P32" s="334"/>
      <c r="Q32" s="101">
        <f t="shared" si="7"/>
        <v>0</v>
      </c>
      <c r="R32" s="184">
        <v>0</v>
      </c>
      <c r="S32" s="161">
        <f t="shared" si="8"/>
        <v>0</v>
      </c>
      <c r="T32" s="355">
        <f t="shared" si="9"/>
        <v>0</v>
      </c>
      <c r="U32" s="191">
        <f t="shared" si="10"/>
        <v>0</v>
      </c>
      <c r="V32" s="356">
        <f t="shared" si="11"/>
        <v>0</v>
      </c>
    </row>
    <row r="33" hidden="1" spans="1:22">
      <c r="A33" s="288"/>
      <c r="B33" s="293" t="s">
        <v>13535</v>
      </c>
      <c r="C33" s="305"/>
      <c r="D33" s="306"/>
      <c r="E33" s="307"/>
      <c r="F33" s="101">
        <v>0</v>
      </c>
      <c r="G33" s="307"/>
      <c r="H33" s="161">
        <f>SUMIF('F4'!$E$12:$E$158,B33,'F4'!$G$12:$G$158)</f>
        <v>0</v>
      </c>
      <c r="I33" s="161">
        <f>SUMIF('F4'!$E$12:$E$158,B33,'F4'!$H$12:$H$158)</f>
        <v>0</v>
      </c>
      <c r="J33" s="101"/>
      <c r="K33" s="161">
        <f t="shared" si="6"/>
        <v>0</v>
      </c>
      <c r="L33" s="332">
        <v>0</v>
      </c>
      <c r="M33" s="334"/>
      <c r="N33" s="161">
        <f>SUMIF('F4'!$E$12:$E$158,B33,'F4'!$I$12:$I$158)</f>
        <v>0</v>
      </c>
      <c r="O33" s="161">
        <f>SUMIF('F4'!$E$12:$E$158,B33,'F4'!$J$12:$J$158)</f>
        <v>0</v>
      </c>
      <c r="P33" s="334"/>
      <c r="Q33" s="101">
        <f t="shared" si="7"/>
        <v>0</v>
      </c>
      <c r="R33" s="184">
        <v>0</v>
      </c>
      <c r="S33" s="161">
        <f t="shared" si="8"/>
        <v>0</v>
      </c>
      <c r="T33" s="355">
        <f t="shared" si="9"/>
        <v>0</v>
      </c>
      <c r="U33" s="191">
        <f t="shared" si="10"/>
        <v>0</v>
      </c>
      <c r="V33" s="356">
        <f t="shared" si="11"/>
        <v>0</v>
      </c>
    </row>
    <row r="34" hidden="1" spans="1:22">
      <c r="A34" s="288"/>
      <c r="B34" s="293" t="s">
        <v>13543</v>
      </c>
      <c r="C34" s="305"/>
      <c r="D34" s="306"/>
      <c r="E34" s="307"/>
      <c r="F34" s="101">
        <v>0</v>
      </c>
      <c r="G34" s="307"/>
      <c r="H34" s="161">
        <f>SUMIF('F4'!$E$12:$E$158,B34,'F4'!$G$12:$G$158)</f>
        <v>0</v>
      </c>
      <c r="I34" s="161">
        <f>SUMIF('F4'!$E$12:$E$158,B34,'F4'!$H$12:$H$158)</f>
        <v>0</v>
      </c>
      <c r="J34" s="101"/>
      <c r="K34" s="161">
        <f t="shared" si="6"/>
        <v>0</v>
      </c>
      <c r="L34" s="332">
        <v>0</v>
      </c>
      <c r="M34" s="334"/>
      <c r="N34" s="161">
        <f>SUMIF('F4'!$E$12:$E$158,B34,'F4'!$I$12:$I$158)</f>
        <v>0</v>
      </c>
      <c r="O34" s="161">
        <f>SUMIF('F4'!$E$12:$E$158,B34,'F4'!$J$12:$J$158)</f>
        <v>0</v>
      </c>
      <c r="P34" s="334"/>
      <c r="Q34" s="101">
        <f t="shared" si="7"/>
        <v>0</v>
      </c>
      <c r="R34" s="184">
        <v>0</v>
      </c>
      <c r="S34" s="161">
        <f t="shared" si="8"/>
        <v>0</v>
      </c>
      <c r="T34" s="355">
        <f t="shared" si="9"/>
        <v>0</v>
      </c>
      <c r="U34" s="191">
        <f t="shared" si="10"/>
        <v>0</v>
      </c>
      <c r="V34" s="356">
        <f t="shared" si="11"/>
        <v>0</v>
      </c>
    </row>
    <row r="35" spans="1:22">
      <c r="A35" s="288"/>
      <c r="B35" s="293" t="s">
        <v>13544</v>
      </c>
      <c r="C35" s="305"/>
      <c r="D35" s="306"/>
      <c r="E35" s="307"/>
      <c r="F35" s="101">
        <v>109451540</v>
      </c>
      <c r="G35" s="307"/>
      <c r="H35" s="161">
        <f>SUMIF('F4'!$E$12:$E$158,B35,'F4'!$G$12:$G$158)</f>
        <v>0</v>
      </c>
      <c r="I35" s="161">
        <f>+'Perhit Fiskal'!F83</f>
        <v>28200472.36</v>
      </c>
      <c r="J35" s="101"/>
      <c r="K35" s="161">
        <f t="shared" si="6"/>
        <v>81251067.64</v>
      </c>
      <c r="L35" s="101">
        <v>565873645.2</v>
      </c>
      <c r="M35" s="334"/>
      <c r="N35" s="161">
        <f>SUMIF('F4'!$E$12:$E$158,B35,'F4'!$I$12:$I$158)</f>
        <v>0</v>
      </c>
      <c r="O35" s="161">
        <f>SUMIF('F4'!$E$12:$E$158,B35,'F4'!$J$12:$J$158)</f>
        <v>0</v>
      </c>
      <c r="P35" s="334"/>
      <c r="Q35" s="101">
        <f t="shared" si="7"/>
        <v>565873645.2</v>
      </c>
      <c r="R35" s="184">
        <v>362800000</v>
      </c>
      <c r="S35" s="161">
        <f t="shared" si="8"/>
        <v>-456422105.2</v>
      </c>
      <c r="T35" s="355">
        <f t="shared" si="9"/>
        <v>0.193420458663198</v>
      </c>
      <c r="U35" s="191">
        <f t="shared" si="10"/>
        <v>203073645.2</v>
      </c>
      <c r="V35" s="356">
        <f t="shared" si="11"/>
        <v>0.559739926130099</v>
      </c>
    </row>
    <row r="36" spans="1:22">
      <c r="A36" s="288"/>
      <c r="B36" s="164"/>
      <c r="C36" s="201"/>
      <c r="D36" s="300"/>
      <c r="E36" s="147"/>
      <c r="F36" s="110"/>
      <c r="G36" s="147"/>
      <c r="H36" s="148"/>
      <c r="I36" s="147"/>
      <c r="J36" s="110"/>
      <c r="K36" s="143"/>
      <c r="L36" s="110"/>
      <c r="M36" s="236"/>
      <c r="N36" s="146"/>
      <c r="O36" s="236"/>
      <c r="P36" s="236"/>
      <c r="Q36" s="110"/>
      <c r="R36" s="109"/>
      <c r="S36" s="143"/>
      <c r="T36" s="355"/>
      <c r="U36" s="143"/>
      <c r="V36" s="142"/>
    </row>
    <row r="37" s="100" customFormat="1" spans="1:22">
      <c r="A37" s="303"/>
      <c r="B37"/>
      <c r="C37" s="304" t="s">
        <v>13545</v>
      </c>
      <c r="D37" s="308"/>
      <c r="E37" s="135"/>
      <c r="F37" s="309">
        <f>SUM(F27:F36)</f>
        <v>1283741219</v>
      </c>
      <c r="G37" s="135"/>
      <c r="H37" s="309">
        <f>SUM(H27:H36)</f>
        <v>0</v>
      </c>
      <c r="I37" s="335">
        <f>SUM(I27:I36)</f>
        <v>28200472.36</v>
      </c>
      <c r="J37" s="136"/>
      <c r="K37" s="335">
        <f>SUM(K27:K36)</f>
        <v>1255540746.64</v>
      </c>
      <c r="L37" s="229">
        <f>SUM(L27:L36)</f>
        <v>1356172888.4</v>
      </c>
      <c r="M37" s="150"/>
      <c r="N37" s="309">
        <f>SUM(N27:N36)</f>
        <v>0</v>
      </c>
      <c r="O37" s="335">
        <f>SUM(O27:O36)</f>
        <v>0</v>
      </c>
      <c r="P37" s="161"/>
      <c r="Q37" s="229">
        <f>SUM(Q27:Q36)</f>
        <v>1356172888.4</v>
      </c>
      <c r="R37" s="231">
        <f>SUM(R27:R36)</f>
        <v>1401711967.03805</v>
      </c>
      <c r="S37" s="161">
        <f t="shared" si="8"/>
        <v>-72431669.4000001</v>
      </c>
      <c r="T37">
        <f t="shared" si="9"/>
        <v>0.946591124170419</v>
      </c>
      <c r="U37" s="335">
        <f>SUM(U27:U36)</f>
        <v>-45539078.6380458</v>
      </c>
      <c r="V37" s="356">
        <f>IF(R37=0,IF(U37=0,0,U37/U37),U37/R37)</f>
        <v>-0.0324881856678974</v>
      </c>
    </row>
    <row r="38" spans="1:22">
      <c r="A38" s="288"/>
      <c r="C38" s="186"/>
      <c r="D38" s="310"/>
      <c r="E38" s="161"/>
      <c r="F38" s="136"/>
      <c r="G38" s="135"/>
      <c r="H38" s="311"/>
      <c r="I38" s="135"/>
      <c r="J38" s="101"/>
      <c r="K38" s="192"/>
      <c r="L38" s="289"/>
      <c r="M38" s="296"/>
      <c r="N38" s="289"/>
      <c r="O38" s="186"/>
      <c r="P38" s="236"/>
      <c r="Q38" s="359"/>
      <c r="R38" s="360"/>
      <c r="S38" s="191"/>
      <c r="T38" s="361"/>
      <c r="U38" s="143"/>
      <c r="V38" s="142"/>
    </row>
    <row r="39" s="260" customFormat="1" spans="1:62">
      <c r="A39" s="303"/>
      <c r="B39" s="312" t="s">
        <v>947</v>
      </c>
      <c r="C39" s="205"/>
      <c r="D39" s="207"/>
      <c r="E39" s="206"/>
      <c r="F39" s="260">
        <f>F24+F37</f>
        <v>1297941219</v>
      </c>
      <c r="G39" s="29"/>
      <c r="H39" s="260">
        <f>H24+H37</f>
        <v>0</v>
      </c>
      <c r="I39" s="207">
        <f>I24+I37</f>
        <v>28200472.36</v>
      </c>
      <c r="J39" s="253"/>
      <c r="K39" s="207">
        <f>K24+K37</f>
        <v>1269740746.64</v>
      </c>
      <c r="L39" s="205">
        <f>L37+L24</f>
        <v>1493504389.8</v>
      </c>
      <c r="M39" s="336"/>
      <c r="N39" s="207">
        <f>N24+N37</f>
        <v>0</v>
      </c>
      <c r="O39" s="207">
        <f>O24+O37</f>
        <v>0</v>
      </c>
      <c r="P39" s="206"/>
      <c r="Q39" s="205">
        <f>Q24+Q37</f>
        <v>1493504389.8</v>
      </c>
      <c r="R39" s="312">
        <f>R24+R37</f>
        <v>1672704572.03805</v>
      </c>
      <c r="S39" s="207">
        <f>SUM(S30:S37)</f>
        <v>-160620179.5</v>
      </c>
      <c r="T39" s="362">
        <f>IF(Q39=0,IF(F39=0,0,F39/F39),F39/Q39)</f>
        <v>0.869057518588085</v>
      </c>
      <c r="U39" s="363">
        <f>SUBTOTAL(109,U15:U38)</f>
        <v>-358400364.476092</v>
      </c>
      <c r="V39" s="253">
        <f>IF(R39=0,IF(U39=0,0,U39/U39),U39/R39)</f>
        <v>-0.214263995248971</v>
      </c>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c r="BB39" s="100"/>
      <c r="BC39" s="100"/>
      <c r="BD39" s="100"/>
      <c r="BE39" s="100"/>
      <c r="BF39" s="100"/>
      <c r="BG39" s="100"/>
      <c r="BH39" s="100"/>
      <c r="BI39" s="100"/>
      <c r="BJ39" s="100"/>
    </row>
    <row r="40" spans="1:22">
      <c r="A40" s="137"/>
      <c r="B40" s="208"/>
      <c r="C40" s="186"/>
      <c r="D40" s="313"/>
      <c r="E40" s="291"/>
      <c r="F40" s="291"/>
      <c r="G40" s="291"/>
      <c r="H40" s="291"/>
      <c r="I40" s="291"/>
      <c r="J40" s="291"/>
      <c r="K40" s="186"/>
      <c r="L40" s="186"/>
      <c r="M40" s="186"/>
      <c r="N40" s="186"/>
      <c r="O40" s="134"/>
      <c r="P40" s="186"/>
      <c r="Q40" s="186"/>
      <c r="R40" s="186"/>
      <c r="S40" s="186"/>
      <c r="T40" s="364"/>
      <c r="V40" s="364"/>
    </row>
    <row r="41" spans="1:2">
      <c r="A41" s="137"/>
      <c r="B41" s="137"/>
    </row>
    <row r="42" spans="1:2">
      <c r="A42" s="137"/>
      <c r="B42" s="137"/>
    </row>
    <row r="44" spans="3:18">
      <c r="C44" s="63"/>
      <c r="F44" s="314"/>
      <c r="L44" s="337"/>
      <c r="N44" s="337"/>
      <c r="Q44" s="365"/>
      <c r="R44" s="365"/>
    </row>
    <row r="45" spans="3:3">
      <c r="C45" s="63" t="str">
        <f>'F1'!C46</f>
        <v>Sesuai dengan Saldo Buku Besar Periode 31 Desember 2022 &amp; 2021</v>
      </c>
    </row>
    <row r="46" spans="3:3">
      <c r="C46" s="63" t="str">
        <f>'F1'!C47</f>
        <v>Sesuai dengan Saldo Audit Periode Sebelumnya</v>
      </c>
    </row>
    <row r="47" spans="3:3">
      <c r="C47" s="63" t="str">
        <f>FF!C29</f>
        <v>Rumus dan Formula Perhitungan telah Diperiksa</v>
      </c>
    </row>
    <row r="48" spans="3:3">
      <c r="C48" s="100"/>
    </row>
    <row r="49" spans="3:3">
      <c r="C49" s="100"/>
    </row>
    <row r="50" ht="12.95" customHeight="1" spans="2:22">
      <c r="B50" s="315"/>
      <c r="C50" s="316"/>
      <c r="D50" s="316"/>
      <c r="E50" s="271"/>
      <c r="F50" s="271"/>
      <c r="G50" s="271"/>
      <c r="H50" s="271"/>
      <c r="I50" s="271"/>
      <c r="J50" s="271"/>
      <c r="K50" s="271"/>
      <c r="L50" s="316"/>
      <c r="M50" s="316"/>
      <c r="N50" s="316"/>
      <c r="O50" s="316"/>
      <c r="P50" s="316"/>
      <c r="Q50" s="316"/>
      <c r="R50" s="316"/>
      <c r="S50" s="316"/>
      <c r="T50" s="316"/>
      <c r="U50" s="316"/>
      <c r="V50" s="366"/>
    </row>
    <row r="51" spans="2:22">
      <c r="B51" s="317"/>
      <c r="C51" s="318"/>
      <c r="D51" s="318"/>
      <c r="E51" s="278"/>
      <c r="F51" s="278"/>
      <c r="G51" s="278"/>
      <c r="H51" s="278"/>
      <c r="I51" s="278"/>
      <c r="J51" s="278"/>
      <c r="K51" s="278"/>
      <c r="L51" s="318"/>
      <c r="M51" s="318"/>
      <c r="N51" s="318"/>
      <c r="O51" s="318"/>
      <c r="P51" s="318"/>
      <c r="Q51" s="318"/>
      <c r="R51" s="318"/>
      <c r="S51" s="318"/>
      <c r="T51" s="318"/>
      <c r="U51" s="318"/>
      <c r="V51" s="367"/>
    </row>
    <row r="52" spans="2:22">
      <c r="B52" s="317"/>
      <c r="C52" s="318"/>
      <c r="D52" s="318"/>
      <c r="E52" s="278"/>
      <c r="F52" s="278"/>
      <c r="G52" s="278"/>
      <c r="H52" s="278"/>
      <c r="I52" s="278"/>
      <c r="J52" s="278"/>
      <c r="K52" s="278"/>
      <c r="L52" s="318"/>
      <c r="M52" s="318"/>
      <c r="N52" s="318"/>
      <c r="O52" s="318"/>
      <c r="P52" s="318"/>
      <c r="Q52" s="318"/>
      <c r="R52" s="318"/>
      <c r="S52" s="318"/>
      <c r="T52" s="318"/>
      <c r="U52" s="318"/>
      <c r="V52" s="367"/>
    </row>
    <row r="53" spans="2:22">
      <c r="B53" s="317"/>
      <c r="C53" s="318"/>
      <c r="D53" s="318"/>
      <c r="E53" s="278"/>
      <c r="F53" s="278"/>
      <c r="G53" s="278"/>
      <c r="H53" s="278"/>
      <c r="I53" s="278"/>
      <c r="J53" s="278"/>
      <c r="K53" s="278"/>
      <c r="L53" s="318"/>
      <c r="M53" s="318"/>
      <c r="N53" s="318"/>
      <c r="O53" s="318"/>
      <c r="P53" s="318"/>
      <c r="Q53" s="318"/>
      <c r="R53" s="318"/>
      <c r="S53" s="318"/>
      <c r="T53" s="318"/>
      <c r="U53" s="318"/>
      <c r="V53" s="367"/>
    </row>
    <row r="54" spans="2:22">
      <c r="B54" s="317"/>
      <c r="C54" s="318"/>
      <c r="D54" s="318"/>
      <c r="E54" s="278"/>
      <c r="F54" s="278"/>
      <c r="G54" s="278"/>
      <c r="H54" s="278"/>
      <c r="I54" s="278"/>
      <c r="J54" s="278"/>
      <c r="K54" s="278"/>
      <c r="L54" s="318"/>
      <c r="M54" s="318"/>
      <c r="N54" s="318"/>
      <c r="O54" s="318"/>
      <c r="P54" s="318"/>
      <c r="Q54" s="318"/>
      <c r="R54" s="318"/>
      <c r="S54" s="318"/>
      <c r="T54" s="318"/>
      <c r="U54" s="318"/>
      <c r="V54" s="367"/>
    </row>
    <row r="55" spans="2:22">
      <c r="B55" s="317"/>
      <c r="C55" s="318"/>
      <c r="D55" s="318"/>
      <c r="E55" s="278"/>
      <c r="F55" s="278"/>
      <c r="G55" s="278"/>
      <c r="H55" s="278"/>
      <c r="I55" s="278"/>
      <c r="J55" s="278"/>
      <c r="K55" s="278"/>
      <c r="L55" s="318"/>
      <c r="M55" s="318"/>
      <c r="N55" s="318"/>
      <c r="O55" s="318"/>
      <c r="P55" s="318"/>
      <c r="Q55" s="318"/>
      <c r="R55" s="318"/>
      <c r="S55" s="318"/>
      <c r="T55" s="318"/>
      <c r="U55" s="318"/>
      <c r="V55" s="367"/>
    </row>
    <row r="56" spans="2:22">
      <c r="B56" s="317"/>
      <c r="C56" s="318"/>
      <c r="D56" s="318"/>
      <c r="E56" s="278"/>
      <c r="F56" s="278"/>
      <c r="G56" s="278"/>
      <c r="H56" s="278"/>
      <c r="I56" s="278"/>
      <c r="J56" s="278"/>
      <c r="K56" s="278"/>
      <c r="L56" s="318"/>
      <c r="M56" s="318"/>
      <c r="N56" s="318"/>
      <c r="O56" s="318"/>
      <c r="P56" s="318"/>
      <c r="Q56" s="318"/>
      <c r="R56" s="318"/>
      <c r="S56" s="318"/>
      <c r="T56" s="318"/>
      <c r="U56" s="318"/>
      <c r="V56" s="367"/>
    </row>
    <row r="57" spans="2:22">
      <c r="B57" s="317"/>
      <c r="C57" s="318"/>
      <c r="D57" s="318"/>
      <c r="E57" s="278"/>
      <c r="F57" s="278"/>
      <c r="G57" s="278"/>
      <c r="H57" s="278"/>
      <c r="I57" s="278"/>
      <c r="J57" s="278"/>
      <c r="K57" s="278"/>
      <c r="L57" s="318"/>
      <c r="M57" s="318"/>
      <c r="N57" s="318"/>
      <c r="O57" s="318"/>
      <c r="P57" s="318"/>
      <c r="Q57" s="318"/>
      <c r="R57" s="318"/>
      <c r="S57" s="318"/>
      <c r="T57" s="318"/>
      <c r="U57" s="318"/>
      <c r="V57" s="367"/>
    </row>
    <row r="58" spans="2:22">
      <c r="B58" s="317"/>
      <c r="C58" s="318"/>
      <c r="D58" s="318"/>
      <c r="E58" s="278"/>
      <c r="F58" s="278"/>
      <c r="G58" s="278"/>
      <c r="H58" s="278"/>
      <c r="I58" s="278"/>
      <c r="J58" s="278"/>
      <c r="K58" s="278"/>
      <c r="L58" s="318"/>
      <c r="M58" s="318"/>
      <c r="N58" s="318"/>
      <c r="O58" s="318"/>
      <c r="P58" s="318"/>
      <c r="Q58" s="318"/>
      <c r="R58" s="318"/>
      <c r="S58" s="318"/>
      <c r="T58" s="318"/>
      <c r="U58" s="318"/>
      <c r="V58" s="367"/>
    </row>
    <row r="59" spans="2:22">
      <c r="B59" s="317"/>
      <c r="C59" s="318"/>
      <c r="D59" s="318"/>
      <c r="E59" s="278"/>
      <c r="F59" s="278"/>
      <c r="G59" s="278"/>
      <c r="H59" s="278"/>
      <c r="I59" s="278"/>
      <c r="J59" s="278"/>
      <c r="K59" s="278"/>
      <c r="L59" s="318"/>
      <c r="M59" s="318"/>
      <c r="N59" s="318"/>
      <c r="O59" s="318"/>
      <c r="P59" s="318"/>
      <c r="Q59" s="318"/>
      <c r="R59" s="318"/>
      <c r="S59" s="318"/>
      <c r="T59" s="318"/>
      <c r="U59" s="318"/>
      <c r="V59" s="367"/>
    </row>
    <row r="60" spans="2:22">
      <c r="B60" s="317"/>
      <c r="C60" s="318"/>
      <c r="D60" s="318"/>
      <c r="E60" s="278"/>
      <c r="F60" s="278"/>
      <c r="G60" s="278"/>
      <c r="H60" s="278"/>
      <c r="I60" s="278"/>
      <c r="J60" s="278"/>
      <c r="K60" s="278"/>
      <c r="L60" s="318"/>
      <c r="M60" s="318"/>
      <c r="N60" s="318"/>
      <c r="O60" s="318"/>
      <c r="P60" s="318"/>
      <c r="Q60" s="318"/>
      <c r="R60" s="318"/>
      <c r="S60" s="318"/>
      <c r="T60" s="318"/>
      <c r="U60" s="318"/>
      <c r="V60" s="367"/>
    </row>
    <row r="61" spans="2:22">
      <c r="B61" s="317"/>
      <c r="C61" s="318"/>
      <c r="D61" s="318"/>
      <c r="E61" s="278"/>
      <c r="F61" s="278"/>
      <c r="G61" s="278"/>
      <c r="H61" s="278"/>
      <c r="I61" s="278"/>
      <c r="J61" s="278"/>
      <c r="K61" s="278"/>
      <c r="L61" s="318"/>
      <c r="M61" s="318"/>
      <c r="N61" s="318"/>
      <c r="O61" s="318"/>
      <c r="P61" s="318"/>
      <c r="Q61" s="318"/>
      <c r="R61" s="318"/>
      <c r="S61" s="318"/>
      <c r="T61" s="318"/>
      <c r="U61" s="318"/>
      <c r="V61" s="367"/>
    </row>
    <row r="62" spans="1:22">
      <c r="A62" s="137"/>
      <c r="B62" s="317"/>
      <c r="C62" s="318"/>
      <c r="D62" s="318"/>
      <c r="E62" s="278"/>
      <c r="F62" s="278"/>
      <c r="G62" s="278"/>
      <c r="H62" s="278"/>
      <c r="I62" s="278"/>
      <c r="J62" s="278"/>
      <c r="K62" s="278"/>
      <c r="L62" s="318"/>
      <c r="M62" s="318"/>
      <c r="N62" s="318"/>
      <c r="O62" s="318"/>
      <c r="P62" s="318"/>
      <c r="Q62" s="318"/>
      <c r="R62" s="318"/>
      <c r="S62" s="318"/>
      <c r="T62" s="318"/>
      <c r="U62" s="318"/>
      <c r="V62" s="367"/>
    </row>
    <row r="63" spans="1:22">
      <c r="A63" s="137"/>
      <c r="B63" s="319" t="s">
        <v>952</v>
      </c>
      <c r="C63" s="320"/>
      <c r="D63" s="320"/>
      <c r="E63" s="320"/>
      <c r="F63" s="320"/>
      <c r="G63" s="320"/>
      <c r="H63" s="320"/>
      <c r="I63" s="320"/>
      <c r="J63" s="320"/>
      <c r="K63" s="320"/>
      <c r="L63" s="320"/>
      <c r="M63" s="320"/>
      <c r="N63" s="318"/>
      <c r="O63" s="318"/>
      <c r="P63" s="318"/>
      <c r="Q63" s="318"/>
      <c r="R63" s="318"/>
      <c r="S63" s="318"/>
      <c r="T63" s="318"/>
      <c r="U63" s="318"/>
      <c r="V63" s="367"/>
    </row>
    <row r="64" spans="1:22">
      <c r="A64" s="137"/>
      <c r="B64" s="319"/>
      <c r="C64" s="321" t="s">
        <v>953</v>
      </c>
      <c r="D64" s="322" t="s">
        <v>954</v>
      </c>
      <c r="E64" s="323"/>
      <c r="F64" s="323"/>
      <c r="G64" s="323"/>
      <c r="H64" s="323"/>
      <c r="I64" s="323"/>
      <c r="J64" s="323"/>
      <c r="K64" s="323"/>
      <c r="L64" s="322" t="s">
        <v>2264</v>
      </c>
      <c r="M64" s="338"/>
      <c r="N64" s="318"/>
      <c r="O64" s="318"/>
      <c r="P64" s="318"/>
      <c r="Q64" s="318"/>
      <c r="R64" s="318"/>
      <c r="S64" s="318"/>
      <c r="T64" s="318"/>
      <c r="U64" s="318"/>
      <c r="V64" s="367"/>
    </row>
    <row r="65" spans="1:22">
      <c r="A65" s="137"/>
      <c r="B65" s="368" t="s">
        <v>13546</v>
      </c>
      <c r="C65" s="320"/>
      <c r="D65" s="323"/>
      <c r="E65" s="322"/>
      <c r="F65" s="322"/>
      <c r="G65" s="322"/>
      <c r="H65" s="322"/>
      <c r="I65" s="322"/>
      <c r="J65" s="322"/>
      <c r="K65" s="322"/>
      <c r="L65" s="373"/>
      <c r="M65" s="320"/>
      <c r="N65" s="318"/>
      <c r="O65" s="318"/>
      <c r="P65" s="318"/>
      <c r="Q65" s="318"/>
      <c r="R65" s="318"/>
      <c r="S65" s="318"/>
      <c r="T65" s="318"/>
      <c r="U65" s="318"/>
      <c r="V65" s="367"/>
    </row>
    <row r="66" spans="1:22">
      <c r="A66" s="137"/>
      <c r="B66" s="369"/>
      <c r="C66" s="370"/>
      <c r="D66" s="370"/>
      <c r="E66" s="370"/>
      <c r="F66" s="370"/>
      <c r="G66" s="370"/>
      <c r="H66" s="370"/>
      <c r="I66" s="370"/>
      <c r="J66" s="370"/>
      <c r="K66" s="370"/>
      <c r="L66" s="370"/>
      <c r="M66" s="370"/>
      <c r="N66" s="352"/>
      <c r="O66" s="352"/>
      <c r="P66" s="352"/>
      <c r="Q66" s="352"/>
      <c r="R66" s="352"/>
      <c r="S66" s="352"/>
      <c r="T66" s="352"/>
      <c r="U66" s="352"/>
      <c r="V66" s="375"/>
    </row>
    <row r="67" spans="2:21">
      <c r="B67"/>
      <c r="C67"/>
      <c r="D67"/>
      <c r="E67" s="371"/>
      <c r="F67" s="371"/>
      <c r="G67" s="371"/>
      <c r="H67" s="371"/>
      <c r="I67" s="371"/>
      <c r="J67" s="371"/>
      <c r="K67" s="371"/>
      <c r="L67"/>
      <c r="M67"/>
      <c r="N67"/>
      <c r="O67"/>
      <c r="P67"/>
      <c r="Q67"/>
      <c r="R67"/>
      <c r="S67"/>
      <c r="T67"/>
      <c r="U67"/>
    </row>
    <row r="68" spans="2:21">
      <c r="B68"/>
      <c r="C68"/>
      <c r="D68"/>
      <c r="E68" s="372"/>
      <c r="F68" s="372"/>
      <c r="G68" s="372"/>
      <c r="H68" s="372"/>
      <c r="I68" s="372"/>
      <c r="J68" s="372"/>
      <c r="K68" s="372"/>
      <c r="L68"/>
      <c r="M68"/>
      <c r="N68"/>
      <c r="O68"/>
      <c r="P68"/>
      <c r="Q68"/>
      <c r="R68"/>
      <c r="S68"/>
      <c r="T68"/>
      <c r="U68"/>
    </row>
    <row r="69" spans="3:12">
      <c r="C69" s="100"/>
      <c r="L69" s="374"/>
    </row>
    <row r="70" spans="12:12">
      <c r="L70" s="374"/>
    </row>
    <row r="71" spans="3:12">
      <c r="C71" s="100"/>
      <c r="L71" s="374"/>
    </row>
    <row r="72" spans="3:12">
      <c r="C72" s="100"/>
      <c r="L72" s="374"/>
    </row>
    <row r="73" spans="3:12">
      <c r="C73" s="100"/>
      <c r="L73" s="374"/>
    </row>
    <row r="74" spans="12:12">
      <c r="L74" s="374"/>
    </row>
    <row r="75" spans="12:12">
      <c r="L75" s="374"/>
    </row>
    <row r="76" spans="12:12">
      <c r="L76" s="374"/>
    </row>
    <row r="77" spans="12:12">
      <c r="L77" s="374"/>
    </row>
    <row r="78" spans="12:12">
      <c r="L78" s="374"/>
    </row>
    <row r="79" spans="12:12">
      <c r="L79" s="374"/>
    </row>
    <row r="80" spans="12:12">
      <c r="L80" s="374"/>
    </row>
    <row r="81" spans="12:12">
      <c r="L81" s="374"/>
    </row>
    <row r="82" spans="12:12">
      <c r="L82" s="374"/>
    </row>
    <row r="83" spans="12:12">
      <c r="L83" s="374"/>
    </row>
    <row r="84" spans="12:12">
      <c r="L84" s="374"/>
    </row>
    <row r="85" spans="12:12">
      <c r="L85" s="374"/>
    </row>
    <row r="86" spans="12:12">
      <c r="L86" s="374"/>
    </row>
    <row r="87" spans="12:12">
      <c r="L87" s="374"/>
    </row>
    <row r="88" spans="12:12">
      <c r="L88" s="374"/>
    </row>
    <row r="89" spans="12:12">
      <c r="L89" s="374"/>
    </row>
    <row r="90" spans="12:12">
      <c r="L90" s="374"/>
    </row>
    <row r="91" spans="12:12">
      <c r="L91" s="374"/>
    </row>
    <row r="92" spans="12:12">
      <c r="L92" s="374"/>
    </row>
    <row r="93" spans="12:12">
      <c r="L93" s="374"/>
    </row>
    <row r="94" spans="12:12">
      <c r="L94" s="374"/>
    </row>
    <row r="95" spans="12:12">
      <c r="L95" s="374"/>
    </row>
    <row r="96" spans="12:12">
      <c r="L96" s="374"/>
    </row>
    <row r="100" spans="3:3">
      <c r="C100" s="5187" t="s">
        <v>13547</v>
      </c>
    </row>
  </sheetData>
  <mergeCells count="6">
    <mergeCell ref="H9:I9"/>
    <mergeCell ref="N9:O9"/>
    <mergeCell ref="S9:T9"/>
    <mergeCell ref="U9:V9"/>
    <mergeCell ref="S10:T10"/>
    <mergeCell ref="U10:V10"/>
  </mergeCells>
  <hyperlinks>
    <hyperlink ref="C7" location="'F3'!A1" display=" Beban umum dan administrasi"/>
  </hyperlinks>
  <printOptions horizontalCentered="1"/>
  <pageMargins left="0.47244094488189" right="0.118110236220472" top="0.511811023622047" bottom="0.31496062992126" header="0.511811023622047" footer="0.31496062992126"/>
  <pageSetup paperSize="9" scale="45" orientation="portrait"/>
  <headerFooter alignWithMargins="0">
    <oddFooter>&amp;R&amp;"Arial,Bold"&amp;28 40</oddFooter>
  </headerFooter>
  <ignoredErrors>
    <ignoredError sqref="T24" formula="1"/>
  </ignoredErrors>
  <drawing r:id="rId1"/>
  <legacyDrawing r:id="rId2"/>
  <oleObjects>
    <mc:AlternateContent xmlns:mc="http://schemas.openxmlformats.org/markup-compatibility/2006">
      <mc:Choice Requires="x14">
        <oleObject shapeId="49156" progId="Paint.Picture" r:id="rId3">
          <objectPr defaultSize="0" r:id="rId4">
            <anchor moveWithCells="1">
              <from>
                <xdr:col>17</xdr:col>
                <xdr:colOff>488950</xdr:colOff>
                <xdr:row>11</xdr:row>
                <xdr:rowOff>82550</xdr:rowOff>
              </from>
              <to>
                <xdr:col>17</xdr:col>
                <xdr:colOff>685800</xdr:colOff>
                <xdr:row>12</xdr:row>
                <xdr:rowOff>101600</xdr:rowOff>
              </to>
            </anchor>
          </objectPr>
        </oleObject>
      </mc:Choice>
      <mc:Fallback>
        <oleObject shapeId="49156" progId="Paint.Picture" r:id="rId3"/>
      </mc:Fallback>
    </mc:AlternateContent>
    <mc:AlternateContent xmlns:mc="http://schemas.openxmlformats.org/markup-compatibility/2006">
      <mc:Choice Requires="x14">
        <oleObject shapeId="49164" progId="Paint.Picture" r:id="rId5">
          <objectPr defaultSize="0" r:id="rId4">
            <anchor moveWithCells="1">
              <from>
                <xdr:col>1</xdr:col>
                <xdr:colOff>177800</xdr:colOff>
                <xdr:row>45</xdr:row>
                <xdr:rowOff>0</xdr:rowOff>
              </from>
              <to>
                <xdr:col>1</xdr:col>
                <xdr:colOff>368300</xdr:colOff>
                <xdr:row>46</xdr:row>
                <xdr:rowOff>44450</xdr:rowOff>
              </to>
            </anchor>
          </objectPr>
        </oleObject>
      </mc:Choice>
      <mc:Fallback>
        <oleObject shapeId="49164" progId="Paint.Picture" r:id="rId5"/>
      </mc:Fallback>
    </mc:AlternateContent>
    <mc:AlternateContent xmlns:mc="http://schemas.openxmlformats.org/markup-compatibility/2006">
      <mc:Choice Requires="x14">
        <oleObject shapeId="49165" progId="Paint.Picture" r:id="rId6">
          <objectPr defaultSize="0" r:id="rId7">
            <anchor moveWithCells="1">
              <from>
                <xdr:col>1</xdr:col>
                <xdr:colOff>184150</xdr:colOff>
                <xdr:row>43</xdr:row>
                <xdr:rowOff>127000</xdr:rowOff>
              </from>
              <to>
                <xdr:col>1</xdr:col>
                <xdr:colOff>368300</xdr:colOff>
                <xdr:row>45</xdr:row>
                <xdr:rowOff>0</xdr:rowOff>
              </to>
            </anchor>
          </objectPr>
        </oleObject>
      </mc:Choice>
      <mc:Fallback>
        <oleObject shapeId="49165" progId="Paint.Picture" r:id="rId6"/>
      </mc:Fallback>
    </mc:AlternateContent>
    <mc:AlternateContent xmlns:mc="http://schemas.openxmlformats.org/markup-compatibility/2006">
      <mc:Choice Requires="x14">
        <oleObject shapeId="49166" progId="Paint.Picture" r:id="rId8">
          <objectPr defaultSize="0" r:id="rId9">
            <anchor moveWithCells="1">
              <from>
                <xdr:col>1</xdr:col>
                <xdr:colOff>184150</xdr:colOff>
                <xdr:row>46</xdr:row>
                <xdr:rowOff>0</xdr:rowOff>
              </from>
              <to>
                <xdr:col>1</xdr:col>
                <xdr:colOff>349250</xdr:colOff>
                <xdr:row>47</xdr:row>
                <xdr:rowOff>0</xdr:rowOff>
              </to>
            </anchor>
          </objectPr>
        </oleObject>
      </mc:Choice>
      <mc:Fallback>
        <oleObject shapeId="49166" progId="Paint.Picture" r:id="rId8"/>
      </mc:Fallback>
    </mc:AlternateContent>
    <mc:AlternateContent xmlns:mc="http://schemas.openxmlformats.org/markup-compatibility/2006">
      <mc:Choice Requires="x14">
        <oleObject shapeId="49238" progId="Paint.Picture" r:id="rId10">
          <objectPr defaultSize="0" r:id="rId9">
            <anchor moveWithCells="1">
              <from>
                <xdr:col>10</xdr:col>
                <xdr:colOff>609600</xdr:colOff>
                <xdr:row>41</xdr:row>
                <xdr:rowOff>19050</xdr:rowOff>
              </from>
              <to>
                <xdr:col>10</xdr:col>
                <xdr:colOff>787400</xdr:colOff>
                <xdr:row>42</xdr:row>
                <xdr:rowOff>44450</xdr:rowOff>
              </to>
            </anchor>
          </objectPr>
        </oleObject>
      </mc:Choice>
      <mc:Fallback>
        <oleObject shapeId="49238" progId="Paint.Picture" r:id="rId10"/>
      </mc:Fallback>
    </mc:AlternateContent>
  </oleObjects>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7"/>
  <dimension ref="B3:M15"/>
  <sheetViews>
    <sheetView zoomScale="130" zoomScaleNormal="130" workbookViewId="0">
      <pane xSplit="3" ySplit="4" topLeftCell="D5" activePane="bottomRight" state="frozen"/>
      <selection/>
      <selection pane="topRight"/>
      <selection pane="bottomLeft"/>
      <selection pane="bottomRight" activeCell="E15" sqref="E15"/>
    </sheetView>
  </sheetViews>
  <sheetFormatPr defaultColWidth="9" defaultRowHeight="11.4"/>
  <cols>
    <col min="4" max="4" width="12.1354166666667" customWidth="1"/>
    <col min="5" max="5" width="17.2291666666667" customWidth="1"/>
    <col min="6" max="6" width="20.8229166666667" customWidth="1"/>
    <col min="8" max="8" width="12.1354166666667" customWidth="1"/>
    <col min="12" max="12" width="15.5833333333333" customWidth="1"/>
  </cols>
  <sheetData>
    <row r="3" spans="2:13">
      <c r="B3" t="s">
        <v>13548</v>
      </c>
      <c r="L3" s="99">
        <f>SUM(L5:L15)</f>
        <v>0</v>
      </c>
      <c r="M3" s="99">
        <f>SUM(M5:M15)</f>
        <v>0</v>
      </c>
    </row>
    <row r="4" ht="12" spans="2:13">
      <c r="B4" s="5188" t="s">
        <v>13549</v>
      </c>
      <c r="C4" s="5188" t="s">
        <v>13549</v>
      </c>
      <c r="D4" s="5188" t="s">
        <v>13549</v>
      </c>
      <c r="E4" s="5188" t="s">
        <v>13549</v>
      </c>
      <c r="F4" s="259"/>
      <c r="G4" s="5188" t="s">
        <v>275</v>
      </c>
      <c r="H4" s="5188" t="s">
        <v>13550</v>
      </c>
      <c r="I4" s="5188" t="s">
        <v>13551</v>
      </c>
      <c r="J4" s="5188" t="s">
        <v>657</v>
      </c>
      <c r="K4" s="259"/>
      <c r="L4" s="5188" t="s">
        <v>659</v>
      </c>
      <c r="M4" s="5188" t="s">
        <v>679</v>
      </c>
    </row>
    <row r="5" spans="2:13">
      <c r="B5" s="95"/>
      <c r="C5" s="95"/>
      <c r="D5" s="95"/>
      <c r="E5" s="95"/>
      <c r="F5" s="95"/>
      <c r="G5" s="96"/>
      <c r="H5" s="96"/>
      <c r="I5" s="96"/>
      <c r="J5" s="96"/>
      <c r="K5" s="96"/>
      <c r="L5" s="99"/>
      <c r="M5" s="99">
        <v>0</v>
      </c>
    </row>
    <row r="6" spans="2:13">
      <c r="B6" t="s">
        <v>13552</v>
      </c>
      <c r="C6" s="95"/>
      <c r="D6" s="95"/>
      <c r="E6" s="95"/>
      <c r="F6" s="95"/>
      <c r="G6" s="96"/>
      <c r="H6" s="96"/>
      <c r="I6" s="96"/>
      <c r="J6" s="96"/>
      <c r="K6" s="96"/>
      <c r="L6" s="99"/>
      <c r="M6" s="99">
        <v>0</v>
      </c>
    </row>
    <row r="7" spans="2:13">
      <c r="B7" s="95"/>
      <c r="C7" s="95"/>
      <c r="D7" s="95"/>
      <c r="E7" s="95"/>
      <c r="F7" s="95"/>
      <c r="G7" s="96"/>
      <c r="H7" s="96"/>
      <c r="I7" s="96"/>
      <c r="J7" s="96"/>
      <c r="K7" s="96"/>
      <c r="L7" s="99"/>
      <c r="M7" s="99">
        <v>0</v>
      </c>
    </row>
    <row r="8" spans="2:13">
      <c r="B8" s="95"/>
      <c r="C8" s="95"/>
      <c r="D8" s="95"/>
      <c r="E8" s="95"/>
      <c r="F8" s="95"/>
      <c r="G8" s="96"/>
      <c r="H8" s="96"/>
      <c r="I8" s="96"/>
      <c r="J8" s="96"/>
      <c r="K8" s="96"/>
      <c r="L8" s="99"/>
      <c r="M8" s="99">
        <v>0</v>
      </c>
    </row>
    <row r="9" spans="2:13">
      <c r="B9" s="95"/>
      <c r="C9" s="95"/>
      <c r="D9" s="95"/>
      <c r="E9" s="95"/>
      <c r="F9" s="95"/>
      <c r="G9" s="96"/>
      <c r="H9" s="96"/>
      <c r="I9" s="96"/>
      <c r="J9" s="96"/>
      <c r="K9" s="96"/>
      <c r="L9" s="99"/>
      <c r="M9" s="99">
        <v>0</v>
      </c>
    </row>
    <row r="10" spans="2:13">
      <c r="B10" s="95"/>
      <c r="C10" s="95"/>
      <c r="D10" s="95"/>
      <c r="E10" s="95"/>
      <c r="F10" s="95"/>
      <c r="G10" s="96"/>
      <c r="H10" s="96"/>
      <c r="I10" s="96"/>
      <c r="J10" s="96"/>
      <c r="K10" s="96"/>
      <c r="L10" s="99"/>
      <c r="M10" s="99">
        <v>0</v>
      </c>
    </row>
    <row r="11" spans="2:13">
      <c r="B11" s="95"/>
      <c r="C11" s="95"/>
      <c r="D11" s="95"/>
      <c r="E11" s="95"/>
      <c r="F11" s="95"/>
      <c r="G11" s="96"/>
      <c r="H11" s="96"/>
      <c r="I11" s="96"/>
      <c r="J11" s="96"/>
      <c r="K11" s="96"/>
      <c r="L11" s="99"/>
      <c r="M11" s="99">
        <v>0</v>
      </c>
    </row>
    <row r="12" spans="2:13">
      <c r="B12" s="95"/>
      <c r="C12" s="95"/>
      <c r="D12" s="95"/>
      <c r="E12" s="95"/>
      <c r="F12" s="95"/>
      <c r="G12" s="96"/>
      <c r="H12" s="96"/>
      <c r="I12" s="96"/>
      <c r="J12" s="96"/>
      <c r="K12" s="96"/>
      <c r="L12" s="99"/>
      <c r="M12" s="99">
        <v>0</v>
      </c>
    </row>
    <row r="13" spans="2:13">
      <c r="B13" s="95"/>
      <c r="C13" s="95"/>
      <c r="D13" s="95"/>
      <c r="E13" s="95"/>
      <c r="F13" s="95"/>
      <c r="G13" s="96"/>
      <c r="H13" s="96"/>
      <c r="I13" s="96"/>
      <c r="J13" s="96"/>
      <c r="K13" s="96"/>
      <c r="L13" s="99"/>
      <c r="M13" s="99">
        <v>0</v>
      </c>
    </row>
    <row r="14" spans="2:13">
      <c r="B14" s="95"/>
      <c r="C14" s="95"/>
      <c r="D14" s="95"/>
      <c r="E14" s="95"/>
      <c r="F14" s="95"/>
      <c r="G14" s="96"/>
      <c r="H14" s="96"/>
      <c r="I14" s="96"/>
      <c r="J14" s="96"/>
      <c r="K14" s="96"/>
      <c r="L14" s="99"/>
      <c r="M14" s="99">
        <v>0</v>
      </c>
    </row>
    <row r="15" spans="2:13">
      <c r="B15" s="95"/>
      <c r="C15" s="95"/>
      <c r="D15" s="95"/>
      <c r="E15" s="95"/>
      <c r="F15" s="95"/>
      <c r="G15" s="96"/>
      <c r="H15" s="96"/>
      <c r="I15" s="96"/>
      <c r="J15" s="96"/>
      <c r="K15" s="96"/>
      <c r="L15" s="99"/>
      <c r="M15" s="99">
        <v>0</v>
      </c>
    </row>
  </sheetData>
  <pageMargins left="0.7" right="0.7" top="0.75" bottom="0.75" header="0.3" footer="0.3"/>
  <headerFooter/>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0">
    <pageSetUpPr fitToPage="1"/>
  </sheetPr>
  <dimension ref="A1:T119"/>
  <sheetViews>
    <sheetView showGridLines="0" workbookViewId="0">
      <pane xSplit="4" ySplit="11" topLeftCell="E32" activePane="bottomRight" state="frozen"/>
      <selection/>
      <selection pane="topRight"/>
      <selection pane="bottomLeft"/>
      <selection pane="bottomRight" activeCell="L86" sqref="L86"/>
    </sheetView>
  </sheetViews>
  <sheetFormatPr defaultColWidth="9.13541666666667" defaultRowHeight="13.2"/>
  <cols>
    <col min="1" max="1" width="3.73958333333333" style="101" customWidth="1"/>
    <col min="2" max="2" width="7.34375" style="101" customWidth="1"/>
    <col min="3" max="3" width="31.7708333333333" style="101" customWidth="1"/>
    <col min="4" max="4" width="9.13541666666667" style="102"/>
    <col min="5" max="5" width="15.28125" style="102" customWidth="1"/>
    <col min="6" max="6" width="6.14583333333333" style="102" customWidth="1"/>
    <col min="7" max="7" width="13.1875" style="102" customWidth="1"/>
    <col min="8" max="8" width="15.1354166666667" style="102" customWidth="1"/>
    <col min="9" max="9" width="8.39583333333333" style="102" customWidth="1"/>
    <col min="10" max="10" width="15.4270833333333" style="102" customWidth="1"/>
    <col min="11" max="11" width="16.3333333333333" style="101" customWidth="1" outlineLevel="1"/>
    <col min="12" max="12" width="7.34375" style="101" customWidth="1" outlineLevel="1"/>
    <col min="13" max="13" width="17.375" style="101" customWidth="1" outlineLevel="1"/>
    <col min="14" max="14" width="16.03125" style="101" customWidth="1" outlineLevel="1"/>
    <col min="15" max="15" width="4.79166666666667" style="101" customWidth="1" outlineLevel="1"/>
    <col min="16" max="17" width="18.125" style="101" customWidth="1"/>
    <col min="18" max="18" width="17.375" style="101" customWidth="1"/>
    <col min="19" max="19" width="10.1875" style="103" customWidth="1"/>
    <col min="20" max="20" width="12.7395833333333" style="101" customWidth="1"/>
    <col min="21" max="16384" width="9.13541666666667" style="101"/>
  </cols>
  <sheetData>
    <row r="1" spans="13:15">
      <c r="M1" s="137"/>
      <c r="O1" s="137"/>
    </row>
    <row r="2" spans="2:19">
      <c r="B2" s="104" t="str">
        <f>'40'!B2</f>
        <v>KAP LIASTA NIRWAN SYAFRUDIN &amp; REKAN</v>
      </c>
      <c r="C2" s="105"/>
      <c r="D2" s="105"/>
      <c r="E2" s="105"/>
      <c r="F2" s="105"/>
      <c r="G2" s="105"/>
      <c r="H2" s="105"/>
      <c r="I2" s="105"/>
      <c r="J2" s="105"/>
      <c r="K2" s="105"/>
      <c r="L2" s="105"/>
      <c r="M2" s="105"/>
      <c r="N2" s="105"/>
      <c r="O2" s="105"/>
      <c r="P2" s="105"/>
      <c r="Q2" s="105" t="s">
        <v>481</v>
      </c>
      <c r="R2" s="105" t="s">
        <v>482</v>
      </c>
      <c r="S2" s="178" t="s">
        <v>483</v>
      </c>
    </row>
    <row r="3" spans="2:19">
      <c r="B3" s="106"/>
      <c r="C3" s="107"/>
      <c r="D3" s="107"/>
      <c r="E3" s="107"/>
      <c r="F3" s="107"/>
      <c r="G3" s="107"/>
      <c r="H3" s="107"/>
      <c r="I3" s="107"/>
      <c r="J3" s="107"/>
      <c r="K3" s="107"/>
      <c r="L3" s="107"/>
      <c r="M3" s="107"/>
      <c r="N3" s="107"/>
      <c r="O3" s="107"/>
      <c r="P3" s="107"/>
      <c r="Q3" s="107"/>
      <c r="R3" s="107">
        <f>'40'!R3</f>
        <v>0</v>
      </c>
      <c r="S3" s="179">
        <v>50</v>
      </c>
    </row>
    <row r="4" spans="2:19">
      <c r="B4" s="106" t="s">
        <v>622</v>
      </c>
      <c r="C4" s="107" t="s">
        <v>0</v>
      </c>
      <c r="D4" s="107"/>
      <c r="E4" s="107"/>
      <c r="F4" s="107"/>
      <c r="G4" s="107"/>
      <c r="H4" s="107"/>
      <c r="I4" s="107"/>
      <c r="J4" s="107"/>
      <c r="K4" s="107"/>
      <c r="L4" s="107"/>
      <c r="M4" s="107"/>
      <c r="N4" s="107"/>
      <c r="O4" s="107"/>
      <c r="P4" s="107"/>
      <c r="Q4" s="107" t="s">
        <v>487</v>
      </c>
      <c r="R4" s="107" t="s">
        <v>482</v>
      </c>
      <c r="S4" s="180" t="s">
        <v>488</v>
      </c>
    </row>
    <row r="5" spans="2:19">
      <c r="B5" s="106"/>
      <c r="C5" s="107"/>
      <c r="D5" s="107"/>
      <c r="E5" s="107"/>
      <c r="F5" s="107"/>
      <c r="G5" s="107"/>
      <c r="H5" s="107"/>
      <c r="I5" s="107"/>
      <c r="J5" s="107"/>
      <c r="K5" s="107"/>
      <c r="L5" s="107"/>
      <c r="M5" s="107"/>
      <c r="N5" s="107"/>
      <c r="O5" s="107"/>
      <c r="P5" s="107"/>
      <c r="Q5" s="107"/>
      <c r="R5" s="107"/>
      <c r="S5" s="180"/>
    </row>
    <row r="6" spans="2:19">
      <c r="B6" s="106"/>
      <c r="C6" s="107"/>
      <c r="D6" s="107"/>
      <c r="E6" s="107"/>
      <c r="F6" s="107"/>
      <c r="G6" s="107"/>
      <c r="H6" s="107"/>
      <c r="I6" s="107"/>
      <c r="J6" s="107"/>
      <c r="K6" s="107"/>
      <c r="L6" s="107"/>
      <c r="M6" s="107"/>
      <c r="N6" s="107"/>
      <c r="O6" s="107"/>
      <c r="P6" s="107"/>
      <c r="Q6" s="107"/>
      <c r="R6" s="107"/>
      <c r="S6" s="180" t="s">
        <v>491</v>
      </c>
    </row>
    <row r="7" spans="2:19">
      <c r="B7" s="106" t="s">
        <v>623</v>
      </c>
      <c r="C7" s="108" t="s">
        <v>13553</v>
      </c>
      <c r="D7" s="107"/>
      <c r="E7" s="107"/>
      <c r="F7" s="107"/>
      <c r="G7" s="107"/>
      <c r="H7" s="107"/>
      <c r="I7" s="107"/>
      <c r="J7" s="107"/>
      <c r="K7" s="107"/>
      <c r="L7" s="107"/>
      <c r="M7" s="107"/>
      <c r="N7" s="107"/>
      <c r="O7" s="107"/>
      <c r="P7" s="107"/>
      <c r="Q7" s="107"/>
      <c r="R7" s="107"/>
      <c r="S7" s="180">
        <f>'40'!U7</f>
        <v>0</v>
      </c>
    </row>
    <row r="8" spans="2:19">
      <c r="B8" s="109"/>
      <c r="C8" s="110"/>
      <c r="D8" s="111"/>
      <c r="E8" s="111"/>
      <c r="F8" s="111"/>
      <c r="G8" s="111"/>
      <c r="H8" s="111"/>
      <c r="I8" s="111"/>
      <c r="J8" s="111"/>
      <c r="K8" s="110"/>
      <c r="L8" s="110"/>
      <c r="M8" s="110"/>
      <c r="N8" s="110"/>
      <c r="O8" s="110"/>
      <c r="P8" s="110"/>
      <c r="Q8" s="110"/>
      <c r="R8" s="110"/>
      <c r="S8" s="181"/>
    </row>
    <row r="9" s="100" customFormat="1" spans="2:19">
      <c r="B9" s="112"/>
      <c r="C9" s="113"/>
      <c r="D9" s="114"/>
      <c r="E9" s="114"/>
      <c r="F9" s="113"/>
      <c r="G9" s="115" t="s">
        <v>1228</v>
      </c>
      <c r="H9" s="116"/>
      <c r="I9" s="113"/>
      <c r="J9" s="114"/>
      <c r="K9" s="114"/>
      <c r="L9" s="151"/>
      <c r="M9" s="115" t="s">
        <v>1228</v>
      </c>
      <c r="N9" s="116"/>
      <c r="O9" s="113"/>
      <c r="P9" s="114"/>
      <c r="Q9" s="114"/>
      <c r="R9" s="151">
        <v>44561</v>
      </c>
      <c r="S9" s="116"/>
    </row>
    <row r="10" s="100" customFormat="1" spans="2:19">
      <c r="B10" s="117"/>
      <c r="C10" s="118"/>
      <c r="D10" s="119"/>
      <c r="E10" s="119" t="s">
        <v>996</v>
      </c>
      <c r="F10" s="120" t="s">
        <v>1230</v>
      </c>
      <c r="G10" s="121"/>
      <c r="H10" s="122"/>
      <c r="I10" s="120" t="s">
        <v>1230</v>
      </c>
      <c r="J10" s="119" t="s">
        <v>1233</v>
      </c>
      <c r="K10" s="119" t="str">
        <f>+E10</f>
        <v>Saldo Buku</v>
      </c>
      <c r="L10" s="120" t="s">
        <v>1230</v>
      </c>
      <c r="M10" s="121"/>
      <c r="N10" s="122"/>
      <c r="O10" s="120" t="s">
        <v>1230</v>
      </c>
      <c r="P10" s="119" t="s">
        <v>1233</v>
      </c>
      <c r="Q10" s="119" t="s">
        <v>996</v>
      </c>
      <c r="R10" s="182" t="s">
        <v>12404</v>
      </c>
      <c r="S10" s="183"/>
    </row>
    <row r="11" s="100" customFormat="1" spans="2:19">
      <c r="B11" s="123" t="s">
        <v>4</v>
      </c>
      <c r="C11" s="124"/>
      <c r="D11" s="125" t="s">
        <v>12403</v>
      </c>
      <c r="E11" s="125">
        <v>44926</v>
      </c>
      <c r="F11" s="126" t="s">
        <v>1235</v>
      </c>
      <c r="G11" s="127" t="s">
        <v>1231</v>
      </c>
      <c r="H11" s="128" t="s">
        <v>1232</v>
      </c>
      <c r="I11" s="126" t="s">
        <v>1235</v>
      </c>
      <c r="J11" s="125">
        <v>44926</v>
      </c>
      <c r="K11" s="125">
        <v>44561</v>
      </c>
      <c r="L11" s="126" t="s">
        <v>1235</v>
      </c>
      <c r="M11" s="127" t="s">
        <v>1231</v>
      </c>
      <c r="N11" s="128" t="s">
        <v>1232</v>
      </c>
      <c r="O11" s="126" t="s">
        <v>1235</v>
      </c>
      <c r="P11" s="125">
        <v>44561</v>
      </c>
      <c r="Q11" s="125">
        <v>44196</v>
      </c>
      <c r="R11" s="126" t="s">
        <v>1132</v>
      </c>
      <c r="S11" s="128" t="s">
        <v>12405</v>
      </c>
    </row>
    <row r="12" spans="2:19">
      <c r="B12" s="129"/>
      <c r="C12" s="130"/>
      <c r="D12" s="131"/>
      <c r="E12" s="132"/>
      <c r="F12" s="131"/>
      <c r="G12" s="132"/>
      <c r="H12" s="131"/>
      <c r="I12" s="132"/>
      <c r="J12" s="131"/>
      <c r="K12" s="130"/>
      <c r="L12" s="129"/>
      <c r="M12" s="152"/>
      <c r="N12" s="153"/>
      <c r="O12" s="130"/>
      <c r="P12" s="152"/>
      <c r="Q12" s="152"/>
      <c r="R12" s="184"/>
      <c r="S12" s="173"/>
    </row>
    <row r="13" spans="2:19">
      <c r="B13" s="129"/>
      <c r="C13" s="130"/>
      <c r="D13" s="131"/>
      <c r="E13" s="132"/>
      <c r="F13" s="131"/>
      <c r="G13" s="132"/>
      <c r="H13" s="131"/>
      <c r="I13" s="132"/>
      <c r="J13" s="131"/>
      <c r="K13" s="130"/>
      <c r="L13" s="129"/>
      <c r="M13" s="152"/>
      <c r="N13" s="153"/>
      <c r="O13" s="130"/>
      <c r="P13" s="152"/>
      <c r="Q13" s="152"/>
      <c r="R13" s="184"/>
      <c r="S13" s="185"/>
    </row>
    <row r="14" spans="2:20">
      <c r="B14" s="133" t="s">
        <v>13554</v>
      </c>
      <c r="C14" s="134"/>
      <c r="D14" s="135"/>
      <c r="E14" s="136"/>
      <c r="F14" s="135"/>
      <c r="G14" s="136"/>
      <c r="H14" s="135"/>
      <c r="I14" s="136"/>
      <c r="J14" s="135"/>
      <c r="K14" s="154"/>
      <c r="L14" s="155"/>
      <c r="M14" s="156"/>
      <c r="N14" s="157"/>
      <c r="O14"/>
      <c r="P14" s="156"/>
      <c r="Q14" s="156"/>
      <c r="R14" s="177"/>
      <c r="S14" s="185"/>
      <c r="T14" s="186"/>
    </row>
    <row r="15" ht="14.4" spans="2:19">
      <c r="B15" s="133" t="s">
        <v>2050</v>
      </c>
      <c r="C15" s="134"/>
      <c r="D15" s="135"/>
      <c r="E15" s="137"/>
      <c r="F15" s="135"/>
      <c r="G15" s="136"/>
      <c r="H15" s="135"/>
      <c r="I15" s="136"/>
      <c r="J15" s="158"/>
      <c r="K15" s="159"/>
      <c r="L15" s="160"/>
      <c r="M15" s="156"/>
      <c r="N15" s="157"/>
      <c r="O15"/>
      <c r="P15" s="158">
        <f t="shared" ref="P15:P20" si="0">K15+M15-N15</f>
        <v>0</v>
      </c>
      <c r="Q15" s="187"/>
      <c r="R15" s="188">
        <f t="shared" ref="R15:R20" si="1">K15-Q15</f>
        <v>0</v>
      </c>
      <c r="S15" s="189">
        <f t="shared" ref="S15:S20" si="2">IF(Q15=0,IF(R15=0,0,R15/Q15),R15/Q15)</f>
        <v>0</v>
      </c>
    </row>
    <row r="16" ht="14.4" hidden="1" spans="2:19">
      <c r="B16" s="138"/>
      <c r="C16" s="134" t="s">
        <v>14</v>
      </c>
      <c r="D16" s="135"/>
      <c r="E16" s="137">
        <v>0</v>
      </c>
      <c r="F16" s="135"/>
      <c r="G16" s="136"/>
      <c r="H16" s="135"/>
      <c r="I16" s="136"/>
      <c r="J16" s="158">
        <f>E16-G16+H16</f>
        <v>0</v>
      </c>
      <c r="K16" s="159">
        <v>0</v>
      </c>
      <c r="L16" s="160"/>
      <c r="M16" s="156"/>
      <c r="N16" s="157"/>
      <c r="O16"/>
      <c r="P16" s="158">
        <f t="shared" si="0"/>
        <v>0</v>
      </c>
      <c r="Q16" s="187">
        <v>0</v>
      </c>
      <c r="R16" s="188">
        <f t="shared" si="1"/>
        <v>0</v>
      </c>
      <c r="S16" s="189">
        <f t="shared" si="2"/>
        <v>0</v>
      </c>
    </row>
    <row r="17" ht="14.4" hidden="1" spans="2:19">
      <c r="B17" s="138"/>
      <c r="C17" s="134" t="s">
        <v>12429</v>
      </c>
      <c r="D17" s="135"/>
      <c r="E17" s="137">
        <v>0</v>
      </c>
      <c r="F17" s="135"/>
      <c r="G17" s="136"/>
      <c r="H17" s="135"/>
      <c r="I17" s="136"/>
      <c r="J17" s="158">
        <f>E17-G17+H17</f>
        <v>0</v>
      </c>
      <c r="K17" s="159">
        <v>0</v>
      </c>
      <c r="L17" s="160"/>
      <c r="M17" s="156"/>
      <c r="N17" s="157"/>
      <c r="O17"/>
      <c r="P17" s="158">
        <f t="shared" si="0"/>
        <v>0</v>
      </c>
      <c r="Q17" s="187">
        <v>0</v>
      </c>
      <c r="R17" s="188">
        <f t="shared" si="1"/>
        <v>0</v>
      </c>
      <c r="S17" s="189">
        <f t="shared" si="2"/>
        <v>0</v>
      </c>
    </row>
    <row r="18" ht="14.4" hidden="1" spans="2:19">
      <c r="B18" s="138"/>
      <c r="C18" s="134" t="s">
        <v>12433</v>
      </c>
      <c r="D18" s="135"/>
      <c r="E18" s="137">
        <v>0</v>
      </c>
      <c r="F18" s="135"/>
      <c r="G18" s="136"/>
      <c r="H18" s="135"/>
      <c r="I18" s="136"/>
      <c r="J18" s="158">
        <f>E18-G18+H18</f>
        <v>0</v>
      </c>
      <c r="K18" s="159">
        <v>0</v>
      </c>
      <c r="L18" s="160"/>
      <c r="M18" s="156"/>
      <c r="N18" s="157"/>
      <c r="O18"/>
      <c r="P18" s="158">
        <f t="shared" si="0"/>
        <v>0</v>
      </c>
      <c r="Q18" s="187">
        <v>0</v>
      </c>
      <c r="R18" s="188">
        <f t="shared" si="1"/>
        <v>0</v>
      </c>
      <c r="S18" s="189">
        <f t="shared" si="2"/>
        <v>0</v>
      </c>
    </row>
    <row r="19" ht="14.4" spans="2:19">
      <c r="B19" s="138"/>
      <c r="C19" s="134" t="s">
        <v>13555</v>
      </c>
      <c r="D19" s="135"/>
      <c r="E19" s="137">
        <f>+'[79]P&amp;L22'!$F$32</f>
        <v>968019.0607</v>
      </c>
      <c r="F19" s="135"/>
      <c r="G19" s="139">
        <f>SUMIF('F4'!$E$11:$E$158,'50'!C19,'F4'!$G$11:$G$158)</f>
        <v>0</v>
      </c>
      <c r="H19" s="140">
        <f>SUMIF('F4'!$F$11:$F$158,'50'!C19,'F4'!$H$11:$H$158)</f>
        <v>0</v>
      </c>
      <c r="I19" s="136"/>
      <c r="J19" s="158">
        <f>E19-G19+H19</f>
        <v>968019.0607</v>
      </c>
      <c r="K19" s="159">
        <f>+'[79]P&amp;L22'!$H$32</f>
        <v>6328441.05</v>
      </c>
      <c r="L19" s="160"/>
      <c r="M19" s="161">
        <f>SUMIF('F4'!$E$12:$E$158,C19,'F4'!$I$12:$I$158)</f>
        <v>0</v>
      </c>
      <c r="N19" s="161">
        <f>SUMIF('F4'!$E$12:$E$158,C19,'F4'!$J$12:J$158)</f>
        <v>0</v>
      </c>
      <c r="O19"/>
      <c r="P19" s="158">
        <f t="shared" si="0"/>
        <v>6328441.05</v>
      </c>
      <c r="Q19" s="187">
        <f>+'[79]P&amp;L22'!$I$32</f>
        <v>8249050</v>
      </c>
      <c r="R19" s="188">
        <f t="shared" si="1"/>
        <v>-1920608.95</v>
      </c>
      <c r="S19" s="189">
        <f t="shared" si="2"/>
        <v>-0.232827895333402</v>
      </c>
    </row>
    <row r="20" ht="14.4" hidden="1" spans="2:19">
      <c r="B20" s="138"/>
      <c r="C20" s="134" t="s">
        <v>13556</v>
      </c>
      <c r="D20" s="135"/>
      <c r="E20" s="137">
        <v>0</v>
      </c>
      <c r="F20" s="135"/>
      <c r="G20" s="136"/>
      <c r="H20" s="135"/>
      <c r="I20" s="136"/>
      <c r="J20" s="158">
        <f>E20-G20+H20</f>
        <v>0</v>
      </c>
      <c r="K20" s="159">
        <v>0</v>
      </c>
      <c r="L20" s="160"/>
      <c r="M20" s="156"/>
      <c r="N20" s="162"/>
      <c r="O20" s="163"/>
      <c r="P20" s="158">
        <f t="shared" si="0"/>
        <v>0</v>
      </c>
      <c r="Q20" s="187">
        <v>0</v>
      </c>
      <c r="R20" s="188">
        <f t="shared" si="1"/>
        <v>0</v>
      </c>
      <c r="S20" s="189">
        <f t="shared" si="2"/>
        <v>0</v>
      </c>
    </row>
    <row r="21" customFormat="1" ht="14.4" spans="1:19">
      <c r="A21" s="101"/>
      <c r="B21" s="141"/>
      <c r="C21" s="110"/>
      <c r="D21" s="142"/>
      <c r="E21" s="110">
        <v>0</v>
      </c>
      <c r="F21" s="143"/>
      <c r="G21" s="110"/>
      <c r="H21" s="142"/>
      <c r="I21" s="164"/>
      <c r="J21" s="165"/>
      <c r="K21" s="142"/>
      <c r="L21" s="166"/>
      <c r="M21" s="165"/>
      <c r="N21" s="167"/>
      <c r="O21" s="168"/>
      <c r="P21" s="165"/>
      <c r="Q21" s="142"/>
      <c r="R21" s="190"/>
      <c r="S21" s="191"/>
    </row>
    <row r="22" spans="2:19">
      <c r="B22" s="138"/>
      <c r="C22" s="137" t="s">
        <v>13557</v>
      </c>
      <c r="D22" s="135"/>
      <c r="E22" s="144">
        <f>SUM(E16:E21)</f>
        <v>968019.0607</v>
      </c>
      <c r="F22" s="135"/>
      <c r="G22" s="144"/>
      <c r="H22" s="145"/>
      <c r="I22" s="136"/>
      <c r="J22" s="169">
        <f>SUM(J15:J21)</f>
        <v>968019.0607</v>
      </c>
      <c r="K22" s="145">
        <f>SUM(K15:K20)</f>
        <v>6328441.05</v>
      </c>
      <c r="L22" s="160"/>
      <c r="M22" s="169">
        <f>SUM(M15:M20)</f>
        <v>0</v>
      </c>
      <c r="N22" s="169">
        <f>SUM(N15:N20)</f>
        <v>0</v>
      </c>
      <c r="O22" s="163"/>
      <c r="P22" s="169">
        <f>SUM(P15:P20)</f>
        <v>6328441.05</v>
      </c>
      <c r="Q22" s="145">
        <f>SUM(Q15:Q20)</f>
        <v>8249050</v>
      </c>
      <c r="R22" s="169">
        <f>SUM(R15:R20)</f>
        <v>-1920608.95</v>
      </c>
      <c r="S22" s="189">
        <f>IF(Q22=0,IF(R22=0,0,R22/Q22),R22/Q22)</f>
        <v>-0.232827895333402</v>
      </c>
    </row>
    <row r="23" ht="14.4" spans="2:19">
      <c r="B23" s="133" t="s">
        <v>421</v>
      </c>
      <c r="C23" s="134"/>
      <c r="D23" s="135"/>
      <c r="E23" s="137"/>
      <c r="F23" s="135"/>
      <c r="G23" s="136"/>
      <c r="H23" s="135"/>
      <c r="I23" s="136"/>
      <c r="J23" s="158"/>
      <c r="K23" s="159"/>
      <c r="L23" s="160"/>
      <c r="M23" s="156"/>
      <c r="N23" s="162"/>
      <c r="O23" s="163"/>
      <c r="P23" s="170"/>
      <c r="Q23" s="187"/>
      <c r="R23" s="188"/>
      <c r="S23" s="189"/>
    </row>
    <row r="24" ht="14.4" hidden="1" spans="2:19">
      <c r="B24" s="133"/>
      <c r="C24" s="134" t="s">
        <v>13558</v>
      </c>
      <c r="D24" s="135"/>
      <c r="E24" s="137">
        <v>0</v>
      </c>
      <c r="F24" s="135"/>
      <c r="G24" s="136"/>
      <c r="H24" s="135"/>
      <c r="I24" s="136"/>
      <c r="J24" s="158">
        <f t="shared" ref="J24:J33" si="3">E24-G24+H24</f>
        <v>0</v>
      </c>
      <c r="K24" s="159">
        <v>0</v>
      </c>
      <c r="L24" s="160"/>
      <c r="M24" s="156"/>
      <c r="N24" s="162"/>
      <c r="O24" s="163"/>
      <c r="P24" s="158">
        <f t="shared" ref="P24:P33" si="4">K24+M24-N24</f>
        <v>0</v>
      </c>
      <c r="Q24" s="187">
        <v>0</v>
      </c>
      <c r="R24" s="188">
        <f t="shared" ref="R24:R33" si="5">K24-Q24</f>
        <v>0</v>
      </c>
      <c r="S24" s="189">
        <f t="shared" ref="S24:S36" si="6">IF(Q24=0,IF(R24=0,0,R24/Q24),R24/Q24)</f>
        <v>0</v>
      </c>
    </row>
    <row r="25" ht="14.4" hidden="1" spans="2:19">
      <c r="B25" s="133"/>
      <c r="C25" s="134" t="s">
        <v>13559</v>
      </c>
      <c r="D25" s="135"/>
      <c r="E25" s="137">
        <v>0</v>
      </c>
      <c r="F25" s="135"/>
      <c r="G25" s="136"/>
      <c r="H25" s="135"/>
      <c r="I25" s="136"/>
      <c r="J25" s="158">
        <f t="shared" si="3"/>
        <v>0</v>
      </c>
      <c r="K25" s="159">
        <v>0</v>
      </c>
      <c r="L25" s="160"/>
      <c r="M25" s="156"/>
      <c r="N25" s="162"/>
      <c r="O25" s="163"/>
      <c r="P25" s="158">
        <f t="shared" si="4"/>
        <v>0</v>
      </c>
      <c r="Q25" s="187">
        <v>0</v>
      </c>
      <c r="R25" s="188">
        <f t="shared" si="5"/>
        <v>0</v>
      </c>
      <c r="S25" s="189">
        <f t="shared" si="6"/>
        <v>0</v>
      </c>
    </row>
    <row r="26" ht="14.4" hidden="1" spans="2:19">
      <c r="B26" s="133"/>
      <c r="C26" s="134" t="s">
        <v>13560</v>
      </c>
      <c r="D26" s="135"/>
      <c r="E26" s="137">
        <v>0</v>
      </c>
      <c r="F26" s="135"/>
      <c r="G26" s="136"/>
      <c r="H26" s="135"/>
      <c r="I26" s="136"/>
      <c r="J26" s="158">
        <f t="shared" si="3"/>
        <v>0</v>
      </c>
      <c r="K26" s="159">
        <v>0</v>
      </c>
      <c r="L26" s="160"/>
      <c r="M26" s="156"/>
      <c r="N26" s="162"/>
      <c r="O26" s="163"/>
      <c r="P26" s="158">
        <f t="shared" si="4"/>
        <v>0</v>
      </c>
      <c r="Q26" s="187">
        <v>0</v>
      </c>
      <c r="R26" s="188">
        <f t="shared" si="5"/>
        <v>0</v>
      </c>
      <c r="S26" s="189">
        <f t="shared" si="6"/>
        <v>0</v>
      </c>
    </row>
    <row r="27" ht="14.4" hidden="1" spans="2:19">
      <c r="B27" s="133"/>
      <c r="C27" s="134" t="s">
        <v>13561</v>
      </c>
      <c r="D27" s="135"/>
      <c r="E27" s="137">
        <v>0</v>
      </c>
      <c r="F27" s="135"/>
      <c r="G27" s="136"/>
      <c r="H27" s="135"/>
      <c r="I27" s="136"/>
      <c r="J27" s="158">
        <f t="shared" si="3"/>
        <v>0</v>
      </c>
      <c r="K27" s="159">
        <v>0</v>
      </c>
      <c r="L27" s="160"/>
      <c r="M27" s="156"/>
      <c r="N27" s="162"/>
      <c r="O27" s="163"/>
      <c r="P27" s="158">
        <f t="shared" si="4"/>
        <v>0</v>
      </c>
      <c r="Q27" s="187">
        <v>0</v>
      </c>
      <c r="R27" s="188">
        <f t="shared" si="5"/>
        <v>0</v>
      </c>
      <c r="S27" s="189">
        <f t="shared" si="6"/>
        <v>0</v>
      </c>
    </row>
    <row r="28" ht="14.4" hidden="1" spans="2:19">
      <c r="B28" s="133"/>
      <c r="C28" s="134" t="s">
        <v>13562</v>
      </c>
      <c r="D28" s="135"/>
      <c r="E28" s="137">
        <v>0</v>
      </c>
      <c r="F28" s="135"/>
      <c r="G28" s="136"/>
      <c r="H28" s="135"/>
      <c r="I28" s="136"/>
      <c r="J28" s="158">
        <f t="shared" si="3"/>
        <v>0</v>
      </c>
      <c r="K28" s="159">
        <v>0</v>
      </c>
      <c r="L28" s="160"/>
      <c r="M28" s="156"/>
      <c r="N28" s="162"/>
      <c r="O28" s="163"/>
      <c r="P28" s="158">
        <f t="shared" si="4"/>
        <v>0</v>
      </c>
      <c r="Q28" s="187">
        <v>0</v>
      </c>
      <c r="R28" s="188">
        <f t="shared" si="5"/>
        <v>0</v>
      </c>
      <c r="S28" s="189">
        <f t="shared" si="6"/>
        <v>0</v>
      </c>
    </row>
    <row r="29" ht="14.4" hidden="1" spans="2:19">
      <c r="B29" s="133"/>
      <c r="C29" s="134" t="s">
        <v>13563</v>
      </c>
      <c r="D29" s="135"/>
      <c r="E29" s="137">
        <v>0</v>
      </c>
      <c r="F29" s="135"/>
      <c r="G29" s="136"/>
      <c r="H29" s="135"/>
      <c r="I29" s="136"/>
      <c r="J29" s="158">
        <f t="shared" si="3"/>
        <v>0</v>
      </c>
      <c r="K29" s="159">
        <v>0</v>
      </c>
      <c r="L29" s="160"/>
      <c r="M29" s="156"/>
      <c r="N29" s="162"/>
      <c r="O29" s="163"/>
      <c r="P29" s="158">
        <f t="shared" si="4"/>
        <v>0</v>
      </c>
      <c r="Q29" s="187">
        <v>0</v>
      </c>
      <c r="R29" s="188">
        <f t="shared" si="5"/>
        <v>0</v>
      </c>
      <c r="S29" s="189">
        <f t="shared" si="6"/>
        <v>0</v>
      </c>
    </row>
    <row r="30" ht="14.4" hidden="1" spans="2:19">
      <c r="B30" s="133"/>
      <c r="C30" s="134" t="s">
        <v>13564</v>
      </c>
      <c r="D30" s="135"/>
      <c r="E30" s="137">
        <v>0</v>
      </c>
      <c r="F30" s="135"/>
      <c r="G30" s="136"/>
      <c r="H30" s="135"/>
      <c r="I30" s="136"/>
      <c r="J30" s="158">
        <f t="shared" si="3"/>
        <v>0</v>
      </c>
      <c r="K30" s="159">
        <v>0</v>
      </c>
      <c r="L30" s="160"/>
      <c r="M30" s="156"/>
      <c r="N30" s="162"/>
      <c r="O30" s="163"/>
      <c r="P30" s="158">
        <f t="shared" si="4"/>
        <v>0</v>
      </c>
      <c r="Q30" s="187">
        <v>0</v>
      </c>
      <c r="R30" s="188">
        <f t="shared" si="5"/>
        <v>0</v>
      </c>
      <c r="S30" s="189">
        <f t="shared" si="6"/>
        <v>0</v>
      </c>
    </row>
    <row r="31" ht="14.4" hidden="1" spans="2:19">
      <c r="B31" s="138"/>
      <c r="C31" s="134" t="s">
        <v>13565</v>
      </c>
      <c r="D31" s="135"/>
      <c r="E31" s="137">
        <v>0</v>
      </c>
      <c r="F31" s="135"/>
      <c r="G31" s="136"/>
      <c r="H31" s="135"/>
      <c r="I31" s="136"/>
      <c r="J31" s="158">
        <f t="shared" si="3"/>
        <v>0</v>
      </c>
      <c r="K31" s="159">
        <v>0</v>
      </c>
      <c r="L31" s="160"/>
      <c r="M31" s="156"/>
      <c r="N31" s="162"/>
      <c r="O31" s="163"/>
      <c r="P31" s="158">
        <f t="shared" si="4"/>
        <v>0</v>
      </c>
      <c r="Q31" s="187">
        <v>0</v>
      </c>
      <c r="R31" s="188">
        <f t="shared" si="5"/>
        <v>0</v>
      </c>
      <c r="S31" s="189">
        <f t="shared" si="6"/>
        <v>0</v>
      </c>
    </row>
    <row r="32" spans="2:19">
      <c r="B32" s="138"/>
      <c r="C32" s="134" t="s">
        <v>13566</v>
      </c>
      <c r="D32" s="135"/>
      <c r="E32" s="137">
        <v>0</v>
      </c>
      <c r="F32" s="135"/>
      <c r="G32" s="139">
        <f>SUMIF('F4'!$E$11:$E$158,'50'!C32,'F4'!$G$11:$G$158)</f>
        <v>0</v>
      </c>
      <c r="H32" s="140">
        <f>SUMIF('F4'!$F$11:$F$158,'50'!C32,'F4'!$H$11:$H$158)</f>
        <v>0</v>
      </c>
      <c r="I32" s="136"/>
      <c r="J32" s="158">
        <f t="shared" si="3"/>
        <v>0</v>
      </c>
      <c r="K32" s="159">
        <v>0</v>
      </c>
      <c r="L32" s="160"/>
      <c r="M32" s="161">
        <f>SUMIF('F4'!$E$12:$E$158,C32,'F4'!$I$12:$I$158)</f>
        <v>0</v>
      </c>
      <c r="N32" s="161">
        <f>SUMIF('F4'!$E$12:$E$158,C32,'F4'!$J$12:J$158)</f>
        <v>0</v>
      </c>
      <c r="O32" s="163"/>
      <c r="P32" s="158">
        <f t="shared" si="4"/>
        <v>0</v>
      </c>
      <c r="Q32" s="192">
        <v>0</v>
      </c>
      <c r="R32" s="193">
        <f t="shared" si="5"/>
        <v>0</v>
      </c>
      <c r="S32" s="189">
        <f t="shared" si="6"/>
        <v>0</v>
      </c>
    </row>
    <row r="33" spans="2:19">
      <c r="B33" s="138"/>
      <c r="C33" s="134" t="s">
        <v>13567</v>
      </c>
      <c r="D33" s="135"/>
      <c r="E33" s="137">
        <f>+'[79]P&amp;L22'!$F$34</f>
        <v>0</v>
      </c>
      <c r="F33" s="135"/>
      <c r="G33" s="139">
        <f>SUMIF('F4'!$E$11:$E$158,'50'!C33,'F4'!$G$11:$G$158)</f>
        <v>0</v>
      </c>
      <c r="H33" s="140">
        <f>SUMIF('F4'!$F$11:$F$158,'50'!C33,'F4'!$H$11:$H$158)</f>
        <v>0</v>
      </c>
      <c r="I33" s="136"/>
      <c r="J33" s="158">
        <f t="shared" si="3"/>
        <v>0</v>
      </c>
      <c r="K33" s="137">
        <f>+'[79]P&amp;L22'!$H$34</f>
        <v>5600000</v>
      </c>
      <c r="L33" s="160"/>
      <c r="M33" s="161">
        <f>SUMIF('F4'!$E$12:$E$158,C33,'F4'!$I$12:$I$158)</f>
        <v>0</v>
      </c>
      <c r="N33" s="161">
        <f>SUMIF('F4'!$E$12:$E$158,C33,'F4'!$J$12:J$158)</f>
        <v>0</v>
      </c>
      <c r="O33" s="163"/>
      <c r="P33" s="158">
        <f t="shared" si="4"/>
        <v>5600000</v>
      </c>
      <c r="Q33" s="192">
        <f>+'[79]P&amp;L22'!$I$34</f>
        <v>1800000</v>
      </c>
      <c r="R33" s="193">
        <f t="shared" si="5"/>
        <v>3800000</v>
      </c>
      <c r="S33" s="189">
        <f t="shared" si="6"/>
        <v>2.11111111111111</v>
      </c>
    </row>
    <row r="34" ht="6.95" customHeight="1" spans="2:19">
      <c r="B34" s="141"/>
      <c r="C34" s="146"/>
      <c r="D34" s="147"/>
      <c r="E34" s="143"/>
      <c r="F34" s="147"/>
      <c r="G34" s="148"/>
      <c r="H34" s="147"/>
      <c r="I34" s="148"/>
      <c r="J34" s="165"/>
      <c r="K34" s="165"/>
      <c r="L34" s="166"/>
      <c r="M34" s="171"/>
      <c r="N34" s="171"/>
      <c r="O34" s="168"/>
      <c r="P34" s="172"/>
      <c r="Q34" s="194"/>
      <c r="R34" s="195"/>
      <c r="S34" s="189"/>
    </row>
    <row r="35" spans="2:19">
      <c r="B35" s="138"/>
      <c r="C35" s="137" t="s">
        <v>13568</v>
      </c>
      <c r="D35" s="135"/>
      <c r="E35" s="144">
        <f>SUM(E24:E34)</f>
        <v>0</v>
      </c>
      <c r="F35" s="135"/>
      <c r="G35" s="144">
        <f>SUM(G15:G34)</f>
        <v>0</v>
      </c>
      <c r="H35" s="149">
        <f>SUM(H15:H34)</f>
        <v>0</v>
      </c>
      <c r="I35" s="136"/>
      <c r="J35" s="173">
        <f>SUM(J24:J34)</f>
        <v>0</v>
      </c>
      <c r="K35" s="145">
        <f>SUM(K24:K34)</f>
        <v>5600000</v>
      </c>
      <c r="L35" s="160"/>
      <c r="M35" s="149">
        <f>SUM(M24:M33)</f>
        <v>0</v>
      </c>
      <c r="N35" s="145">
        <f>SUM(N24:N33)</f>
        <v>0</v>
      </c>
      <c r="O35" s="163"/>
      <c r="P35" s="169">
        <f>SUM(P24:P34)</f>
        <v>5600000</v>
      </c>
      <c r="Q35" s="145">
        <f>SUM(Q24:Q34)</f>
        <v>1800000</v>
      </c>
      <c r="R35" s="144">
        <f>SUM(R24:R34)</f>
        <v>3800000</v>
      </c>
      <c r="S35" s="189">
        <f t="shared" si="6"/>
        <v>2.11111111111111</v>
      </c>
    </row>
    <row r="36" spans="2:19">
      <c r="B36" s="138"/>
      <c r="C36" s="130" t="s">
        <v>13569</v>
      </c>
      <c r="D36" s="135"/>
      <c r="E36" s="144">
        <f>+E22+E35</f>
        <v>968019.0607</v>
      </c>
      <c r="F36" s="135"/>
      <c r="G36" s="144">
        <f>+G22+G35</f>
        <v>0</v>
      </c>
      <c r="H36" s="145">
        <f>+H22+H35</f>
        <v>0</v>
      </c>
      <c r="I36" s="136"/>
      <c r="J36" s="145">
        <f>+J22+J35</f>
        <v>968019.0607</v>
      </c>
      <c r="K36" s="144">
        <f>+K22+K35</f>
        <v>11928441.05</v>
      </c>
      <c r="L36" s="160"/>
      <c r="M36" s="145">
        <f>+M22+M35</f>
        <v>0</v>
      </c>
      <c r="N36" s="144">
        <f>+N22+N35</f>
        <v>0</v>
      </c>
      <c r="O36" s="163"/>
      <c r="P36" s="144">
        <f>+P22+P35</f>
        <v>11928441.05</v>
      </c>
      <c r="Q36" s="145">
        <f>+Q22+Q35</f>
        <v>10049050</v>
      </c>
      <c r="R36" s="144">
        <f>+R22+R35</f>
        <v>1879391.05</v>
      </c>
      <c r="S36" s="189">
        <f t="shared" si="6"/>
        <v>0.187021763251253</v>
      </c>
    </row>
    <row r="37" spans="2:19">
      <c r="B37" s="138"/>
      <c r="C37" s="134"/>
      <c r="D37" s="135"/>
      <c r="E37" s="137"/>
      <c r="F37" s="135"/>
      <c r="G37" s="136"/>
      <c r="H37" s="135"/>
      <c r="I37" s="136"/>
      <c r="J37" s="158"/>
      <c r="K37" s="158"/>
      <c r="L37" s="160"/>
      <c r="M37" s="156"/>
      <c r="N37" s="162"/>
      <c r="O37" s="163"/>
      <c r="P37" s="170"/>
      <c r="Q37" s="192"/>
      <c r="R37" s="196"/>
      <c r="S37" s="189"/>
    </row>
    <row r="38" spans="2:19">
      <c r="B38" s="133" t="s">
        <v>13570</v>
      </c>
      <c r="C38" s="134"/>
      <c r="D38" s="135"/>
      <c r="E38" s="137"/>
      <c r="F38" s="135"/>
      <c r="G38" s="136"/>
      <c r="H38" s="135"/>
      <c r="I38" s="136"/>
      <c r="J38" s="158"/>
      <c r="K38" s="159"/>
      <c r="L38" s="160"/>
      <c r="M38" s="156"/>
      <c r="N38" s="162"/>
      <c r="O38" s="163"/>
      <c r="P38" s="170"/>
      <c r="Q38" s="192"/>
      <c r="R38" s="196"/>
      <c r="S38" s="189"/>
    </row>
    <row r="39" spans="1:19">
      <c r="A39" s="137"/>
      <c r="B39" s="150" t="s">
        <v>13571</v>
      </c>
      <c r="C39" s="137"/>
      <c r="D39" s="135"/>
      <c r="E39" s="137"/>
      <c r="F39" s="135"/>
      <c r="G39" s="136"/>
      <c r="H39" s="135"/>
      <c r="I39" s="136"/>
      <c r="J39" s="158"/>
      <c r="K39" s="159"/>
      <c r="L39" s="160"/>
      <c r="M39" s="161"/>
      <c r="N39" s="161"/>
      <c r="O39" s="163"/>
      <c r="P39" s="170"/>
      <c r="Q39" s="192"/>
      <c r="R39" s="196"/>
      <c r="S39" s="189"/>
    </row>
    <row r="40" spans="1:19">
      <c r="A40" s="137"/>
      <c r="B40" s="138"/>
      <c r="C40" s="134" t="s">
        <v>13572</v>
      </c>
      <c r="D40" s="135"/>
      <c r="E40" s="137">
        <v>2102232955</v>
      </c>
      <c r="F40" s="135"/>
      <c r="G40" s="139">
        <f>SUMIF('F4'!$E$11:$E$158,'50'!C40,'F4'!$G$11:$G$158)</f>
        <v>0</v>
      </c>
      <c r="H40" s="140">
        <f>SUMIF('F4'!$F$11:$F$158,'50'!C40,'F4'!$H$11:$H$158)</f>
        <v>0</v>
      </c>
      <c r="I40" s="136"/>
      <c r="J40" s="158">
        <f>E40+G40-H40</f>
        <v>2102232955</v>
      </c>
      <c r="K40" s="159">
        <f>+'[79]P&amp;L22'!$H$40</f>
        <v>587493064</v>
      </c>
      <c r="L40" s="160"/>
      <c r="M40" s="161">
        <f>SUMIF('F4'!$E$12:$E$158,C40,'F4'!$I$12:$I$158)</f>
        <v>0</v>
      </c>
      <c r="N40" s="161">
        <f>SUMIF('F4'!$E$12:$E$158,C40,'F4'!$J$12:J$158)</f>
        <v>0</v>
      </c>
      <c r="O40" s="163"/>
      <c r="P40" s="170">
        <f>K40+M40-N40</f>
        <v>587493064</v>
      </c>
      <c r="Q40" s="192">
        <f>+'[79]P&amp;L22'!$I$40</f>
        <v>546941567</v>
      </c>
      <c r="R40" s="196">
        <f>K40-Q40</f>
        <v>40551497</v>
      </c>
      <c r="S40" s="189">
        <f>IF(Q40=0,IF(R40=0,0,R40/Q40),R40/Q40)</f>
        <v>0.0741422840147748</v>
      </c>
    </row>
    <row r="41" hidden="1" spans="2:19">
      <c r="B41" s="138"/>
      <c r="C41" s="134" t="s">
        <v>13573</v>
      </c>
      <c r="D41" s="135"/>
      <c r="E41" s="137">
        <v>0</v>
      </c>
      <c r="F41" s="135"/>
      <c r="G41" s="136"/>
      <c r="H41" s="135"/>
      <c r="I41" s="136"/>
      <c r="J41" s="158">
        <f>E41+G41-H41</f>
        <v>0</v>
      </c>
      <c r="K41" s="159">
        <v>0</v>
      </c>
      <c r="L41" s="160"/>
      <c r="M41" s="174"/>
      <c r="N41" s="162"/>
      <c r="O41" s="163"/>
      <c r="P41" s="158">
        <f>K41+M41-N41</f>
        <v>0</v>
      </c>
      <c r="Q41" s="192">
        <v>0</v>
      </c>
      <c r="R41" s="193">
        <f>K41-Q41</f>
        <v>0</v>
      </c>
      <c r="S41" s="189">
        <f>IF(Q41=0,IF(R41=0,0,R41/Q41),R41/Q41)</f>
        <v>0</v>
      </c>
    </row>
    <row r="42" hidden="1" spans="2:19">
      <c r="B42" s="138"/>
      <c r="C42" s="134" t="s">
        <v>13574</v>
      </c>
      <c r="D42" s="135"/>
      <c r="E42" s="137">
        <v>0</v>
      </c>
      <c r="F42" s="135"/>
      <c r="G42" s="136"/>
      <c r="H42" s="135"/>
      <c r="I42" s="136"/>
      <c r="J42" s="158">
        <f>E42+G42-H42</f>
        <v>0</v>
      </c>
      <c r="K42" s="159">
        <v>0</v>
      </c>
      <c r="L42" s="160"/>
      <c r="M42" s="174">
        <v>0</v>
      </c>
      <c r="N42" s="162"/>
      <c r="O42" s="163"/>
      <c r="P42" s="158">
        <f>K42+M42-N42</f>
        <v>0</v>
      </c>
      <c r="Q42" s="192">
        <v>0</v>
      </c>
      <c r="R42" s="193">
        <f>K42-Q42</f>
        <v>0</v>
      </c>
      <c r="S42" s="189">
        <f>IF(Q42=0,IF(R42=0,0,R42/Q42),R42/Q42)</f>
        <v>0</v>
      </c>
    </row>
    <row r="43" hidden="1" spans="2:19">
      <c r="B43" s="138"/>
      <c r="C43" s="134" t="s">
        <v>13575</v>
      </c>
      <c r="D43" s="135"/>
      <c r="E43" s="137">
        <v>0</v>
      </c>
      <c r="F43" s="135"/>
      <c r="G43" s="136"/>
      <c r="H43" s="135"/>
      <c r="I43" s="136"/>
      <c r="J43" s="158">
        <f>E43+G43-H43</f>
        <v>0</v>
      </c>
      <c r="K43" s="159">
        <v>0</v>
      </c>
      <c r="L43" s="156"/>
      <c r="M43" s="174"/>
      <c r="N43" s="162"/>
      <c r="O43" s="163"/>
      <c r="P43" s="158">
        <f>K43+M43-N43</f>
        <v>0</v>
      </c>
      <c r="Q43" s="192">
        <v>0</v>
      </c>
      <c r="R43" s="193">
        <f>K43-Q43</f>
        <v>0</v>
      </c>
      <c r="S43" s="189">
        <f>IF(Q43=0,IF(R43=0,0,R43/Q43),R43/Q43)</f>
        <v>0</v>
      </c>
    </row>
    <row r="44" spans="2:19">
      <c r="B44" s="141"/>
      <c r="C44" s="146"/>
      <c r="D44" s="147"/>
      <c r="E44" s="143"/>
      <c r="F44" s="147"/>
      <c r="G44" s="148"/>
      <c r="H44" s="147"/>
      <c r="I44" s="148"/>
      <c r="J44" s="172"/>
      <c r="K44" s="165"/>
      <c r="L44" s="175"/>
      <c r="M44" s="171"/>
      <c r="N44" s="176"/>
      <c r="O44" s="168"/>
      <c r="P44" s="165"/>
      <c r="Q44" s="171"/>
      <c r="R44" s="197"/>
      <c r="S44" s="191"/>
    </row>
    <row r="45" spans="2:19">
      <c r="B45" s="138"/>
      <c r="C45" s="137" t="s">
        <v>13576</v>
      </c>
      <c r="D45" s="135"/>
      <c r="E45" s="144">
        <f>SUM(E40:E44)</f>
        <v>2102232955</v>
      </c>
      <c r="F45" s="135"/>
      <c r="G45" s="144">
        <f>SUM(G40:G44)</f>
        <v>0</v>
      </c>
      <c r="H45" s="145">
        <f>SUM(H40:H44)</f>
        <v>0</v>
      </c>
      <c r="I45" s="136"/>
      <c r="J45" s="169">
        <f>SUM(J40:J44)</f>
        <v>2102232955</v>
      </c>
      <c r="K45" s="145">
        <f>SUM(K40:K44)</f>
        <v>587493064</v>
      </c>
      <c r="L45" s="160"/>
      <c r="M45" s="145">
        <f>SUM(M40:M44)</f>
        <v>0</v>
      </c>
      <c r="N45" s="144">
        <f>SUM(N40:N44)</f>
        <v>0</v>
      </c>
      <c r="O45" s="163"/>
      <c r="P45" s="169">
        <f>SUM(P40:P44)</f>
        <v>587493064</v>
      </c>
      <c r="Q45" s="169">
        <f>SUM(Q40:Q44)</f>
        <v>546941567</v>
      </c>
      <c r="R45" s="169">
        <f>SUM(R40:R44)</f>
        <v>40551497</v>
      </c>
      <c r="S45" s="189">
        <f>IF(Q45=0,IF(R45=0,0,R45/Q45),R45/Q45)</f>
        <v>0.0741422840147748</v>
      </c>
    </row>
    <row r="46" spans="2:19">
      <c r="B46" s="138"/>
      <c r="C46" s="134"/>
      <c r="D46" s="135"/>
      <c r="E46" s="144"/>
      <c r="F46" s="135"/>
      <c r="G46" s="136"/>
      <c r="H46" s="135"/>
      <c r="I46" s="136"/>
      <c r="J46" s="169"/>
      <c r="K46" s="145"/>
      <c r="L46" s="160"/>
      <c r="M46" s="169"/>
      <c r="N46" s="145"/>
      <c r="O46" s="163"/>
      <c r="P46" s="169"/>
      <c r="Q46" s="169"/>
      <c r="R46" s="169"/>
      <c r="S46" s="189"/>
    </row>
    <row r="47" spans="2:19">
      <c r="B47" s="133" t="str">
        <f>[112]Sheet1!$E$292</f>
        <v>Beban Administrasi Bank</v>
      </c>
      <c r="C47" s="137"/>
      <c r="D47" s="135"/>
      <c r="E47" s="137"/>
      <c r="F47" s="135"/>
      <c r="G47" s="136"/>
      <c r="H47" s="135"/>
      <c r="I47" s="136"/>
      <c r="J47" s="170"/>
      <c r="K47" s="158"/>
      <c r="L47" s="160"/>
      <c r="M47" s="156"/>
      <c r="N47" s="162"/>
      <c r="O47" s="163"/>
      <c r="P47" s="158"/>
      <c r="Q47" s="198">
        <v>0</v>
      </c>
      <c r="R47" s="193">
        <f t="shared" ref="R47:R66" si="7">K47-Q47</f>
        <v>0</v>
      </c>
      <c r="S47" s="189">
        <f t="shared" ref="S47:S66" si="8">IF(Q47=0,IF(R47=0,0,R47/Q47),R47/Q47)</f>
        <v>0</v>
      </c>
    </row>
    <row r="48" spans="2:19">
      <c r="B48" s="138"/>
      <c r="C48" s="134" t="s">
        <v>906</v>
      </c>
      <c r="D48" s="135"/>
      <c r="E48" s="137">
        <v>5261099</v>
      </c>
      <c r="F48" s="135"/>
      <c r="G48" s="139">
        <f>SUMIF('F4'!$E$11:$E$158,'50'!C48,'F4'!$G$11:$G$158)</f>
        <v>0</v>
      </c>
      <c r="H48" s="140">
        <f>SUMIF('F4'!$F$11:$F$158,'50'!C48,'F4'!$H$11:$H$158)</f>
        <v>0</v>
      </c>
      <c r="I48" s="136"/>
      <c r="J48" s="158">
        <f>E48+G48-H48</f>
        <v>5261099</v>
      </c>
      <c r="K48" s="159">
        <f>+'[79]P&amp;L22'!$H$39</f>
        <v>18908000</v>
      </c>
      <c r="L48" s="160"/>
      <c r="M48" s="161">
        <f>SUMIF('F4'!$E$12:$E$158,C48,'F4'!$I$12:$I$158)</f>
        <v>0</v>
      </c>
      <c r="N48" s="161">
        <f>SUMIF('F4'!$E$12:$E$158,C48,'F4'!$J$12:J$158)</f>
        <v>0</v>
      </c>
      <c r="O48" s="163"/>
      <c r="P48" s="158">
        <f>K48+M48-N48</f>
        <v>18908000</v>
      </c>
      <c r="Q48" s="137">
        <f>+'[79]P&amp;L22'!$I$39</f>
        <v>23958695</v>
      </c>
      <c r="R48" s="193">
        <f t="shared" si="7"/>
        <v>-5050695</v>
      </c>
      <c r="S48" s="189">
        <f t="shared" si="8"/>
        <v>-0.210808435100493</v>
      </c>
    </row>
    <row r="49" hidden="1" spans="2:19">
      <c r="B49" s="138"/>
      <c r="C49" s="134" t="s">
        <v>12429</v>
      </c>
      <c r="D49" s="135"/>
      <c r="E49" s="137">
        <v>0</v>
      </c>
      <c r="F49" s="135"/>
      <c r="G49" s="139">
        <f>SUMIF('F4'!$E$11:$E$158,'50'!C49,'F4'!$G$11:$G$158)</f>
        <v>0</v>
      </c>
      <c r="H49" s="140">
        <f>SUMIF('F4'!$F$11:$F$158,'50'!C49,'F4'!$H$11:$H$158)</f>
        <v>0</v>
      </c>
      <c r="I49" s="136"/>
      <c r="J49" s="158">
        <f>E49+G49-H49</f>
        <v>0</v>
      </c>
      <c r="K49" s="159"/>
      <c r="L49" s="160"/>
      <c r="M49" s="161">
        <f>SUMIF('F4'!$E$12:$E$158,C49,'F4'!$I$12:$I$158)</f>
        <v>0</v>
      </c>
      <c r="N49" s="161">
        <f>SUMIF('F4'!$E$12:$E$158,C49,'F4'!$J$12:J$158)</f>
        <v>0</v>
      </c>
      <c r="O49" s="163"/>
      <c r="P49" s="158">
        <f>K49+M49-N49</f>
        <v>0</v>
      </c>
      <c r="Q49" s="192">
        <v>0</v>
      </c>
      <c r="R49" s="193">
        <f t="shared" si="7"/>
        <v>0</v>
      </c>
      <c r="S49" s="189">
        <f t="shared" si="8"/>
        <v>0</v>
      </c>
    </row>
    <row r="50" hidden="1" spans="2:19">
      <c r="B50" s="138"/>
      <c r="C50" s="134" t="s">
        <v>12433</v>
      </c>
      <c r="D50" s="135"/>
      <c r="E50" s="137">
        <v>0</v>
      </c>
      <c r="F50" s="135"/>
      <c r="G50" s="139">
        <f>SUMIF('F4'!$E$11:$E$158,'50'!C50,'F4'!$G$11:$G$158)</f>
        <v>0</v>
      </c>
      <c r="H50" s="140">
        <f>SUMIF('F4'!$F$11:$F$158,'50'!C50,'F4'!$H$11:$H$158)</f>
        <v>0</v>
      </c>
      <c r="I50" s="136"/>
      <c r="J50" s="158">
        <f>E50+G50-H50</f>
        <v>0</v>
      </c>
      <c r="K50" s="159"/>
      <c r="L50" s="160"/>
      <c r="M50" s="161">
        <f>SUMIF('F4'!$E$12:$E$158,C50,'F4'!$I$12:$I$158)</f>
        <v>0</v>
      </c>
      <c r="N50" s="161">
        <f>SUMIF('F4'!$E$12:$E$158,C50,'F4'!$J$12:J$158)</f>
        <v>0</v>
      </c>
      <c r="O50" s="163"/>
      <c r="P50" s="158">
        <f>K50+M50-N50</f>
        <v>0</v>
      </c>
      <c r="Q50" s="192">
        <v>0</v>
      </c>
      <c r="R50" s="193">
        <f t="shared" si="7"/>
        <v>0</v>
      </c>
      <c r="S50" s="189">
        <f t="shared" si="8"/>
        <v>0</v>
      </c>
    </row>
    <row r="51" hidden="1" spans="2:19">
      <c r="B51" s="138"/>
      <c r="C51" s="134" t="s">
        <v>13577</v>
      </c>
      <c r="D51" s="135"/>
      <c r="E51" s="137">
        <v>0</v>
      </c>
      <c r="F51" s="135"/>
      <c r="G51" s="139">
        <f>SUMIF('F4'!$E$11:$E$158,'50'!C51,'F4'!$G$11:$G$158)</f>
        <v>0</v>
      </c>
      <c r="H51" s="140">
        <f>SUMIF('F4'!$F$11:$F$158,'50'!C51,'F4'!$H$11:$H$158)</f>
        <v>0</v>
      </c>
      <c r="I51" s="136"/>
      <c r="J51" s="158">
        <f>E51+G51-H51</f>
        <v>0</v>
      </c>
      <c r="K51" s="159"/>
      <c r="L51" s="156">
        <f>DD!P22</f>
        <v>0</v>
      </c>
      <c r="M51" s="161">
        <f>SUMIF('F4'!$E$12:$E$158,C51,'F4'!$I$12:$I$158)</f>
        <v>0</v>
      </c>
      <c r="N51" s="161">
        <f>SUMIF('F4'!$E$12:$E$158,C51,'F4'!$J$12:J$158)</f>
        <v>0</v>
      </c>
      <c r="O51" s="163"/>
      <c r="P51" s="158">
        <f>K51+M51-N51</f>
        <v>0</v>
      </c>
      <c r="Q51" s="192">
        <v>0</v>
      </c>
      <c r="R51" s="193">
        <f t="shared" si="7"/>
        <v>0</v>
      </c>
      <c r="S51" s="189">
        <f t="shared" si="8"/>
        <v>0</v>
      </c>
    </row>
    <row r="52" hidden="1" spans="2:19">
      <c r="B52" s="138"/>
      <c r="C52" s="134" t="s">
        <v>13578</v>
      </c>
      <c r="D52" s="135"/>
      <c r="E52" s="137">
        <v>0</v>
      </c>
      <c r="F52" s="135"/>
      <c r="G52" s="139">
        <f>SUMIF('F4'!$E$11:$E$158,'50'!C52,'F4'!$G$11:$G$158)</f>
        <v>0</v>
      </c>
      <c r="H52" s="140">
        <f>SUMIF('F4'!$F$11:$F$158,'50'!C52,'F4'!$H$11:$H$158)</f>
        <v>0</v>
      </c>
      <c r="I52" s="136"/>
      <c r="J52" s="158">
        <f t="shared" ref="J52:J70" si="9">E52+G52-H52</f>
        <v>0</v>
      </c>
      <c r="K52" s="159"/>
      <c r="L52" s="177"/>
      <c r="M52" s="161">
        <f>SUMIF('F4'!$E$12:$E$158,C52,'F4'!$I$12:$I$158)</f>
        <v>0</v>
      </c>
      <c r="N52" s="161">
        <f>SUMIF('F4'!$E$12:$E$158,C52,'F4'!$J$12:J$158)</f>
        <v>0</v>
      </c>
      <c r="O52" s="163"/>
      <c r="P52" s="158">
        <f t="shared" ref="P52:P70" si="10">K52+M52-N52</f>
        <v>0</v>
      </c>
      <c r="Q52" s="192">
        <v>0</v>
      </c>
      <c r="R52" s="193">
        <f t="shared" si="7"/>
        <v>0</v>
      </c>
      <c r="S52" s="189">
        <f t="shared" si="8"/>
        <v>0</v>
      </c>
    </row>
    <row r="53" hidden="1" spans="2:19">
      <c r="B53" s="138"/>
      <c r="C53" s="134" t="s">
        <v>13579</v>
      </c>
      <c r="D53" s="135"/>
      <c r="E53" s="137">
        <v>0</v>
      </c>
      <c r="F53" s="135"/>
      <c r="G53" s="139">
        <f>SUMIF('F4'!$E$11:$E$158,'50'!C53,'F4'!$G$11:$G$158)</f>
        <v>0</v>
      </c>
      <c r="H53" s="140">
        <f>SUMIF('F4'!$F$11:$F$158,'50'!C53,'F4'!$H$11:$H$158)</f>
        <v>0</v>
      </c>
      <c r="I53" s="136"/>
      <c r="J53" s="158">
        <f t="shared" si="9"/>
        <v>0</v>
      </c>
      <c r="K53" s="159"/>
      <c r="L53" s="177"/>
      <c r="M53" s="161">
        <f>SUMIF('F4'!$E$12:$E$158,C53,'F4'!$I$12:$I$158)</f>
        <v>0</v>
      </c>
      <c r="N53" s="161">
        <f>SUMIF('F4'!$E$12:$E$158,C53,'F4'!$J$12:J$158)</f>
        <v>0</v>
      </c>
      <c r="O53" s="163"/>
      <c r="P53" s="158">
        <f t="shared" si="10"/>
        <v>0</v>
      </c>
      <c r="Q53" s="192">
        <v>0</v>
      </c>
      <c r="R53" s="193">
        <f t="shared" si="7"/>
        <v>0</v>
      </c>
      <c r="S53" s="189">
        <f t="shared" si="8"/>
        <v>0</v>
      </c>
    </row>
    <row r="54" hidden="1" spans="2:19">
      <c r="B54" s="138"/>
      <c r="C54" s="134" t="s">
        <v>13580</v>
      </c>
      <c r="D54" s="135"/>
      <c r="E54" s="137">
        <v>0</v>
      </c>
      <c r="F54" s="135"/>
      <c r="G54" s="139">
        <f>SUMIF('F4'!$E$11:$E$158,'50'!C54,'F4'!$G$11:$G$158)</f>
        <v>0</v>
      </c>
      <c r="H54" s="140">
        <f>SUMIF('F4'!$F$11:$F$158,'50'!C54,'F4'!$H$11:$H$158)</f>
        <v>0</v>
      </c>
      <c r="I54" s="136"/>
      <c r="J54" s="158">
        <f t="shared" si="9"/>
        <v>0</v>
      </c>
      <c r="K54" s="159"/>
      <c r="L54" s="177"/>
      <c r="M54" s="161">
        <f>SUMIF('F4'!$E$12:$E$158,C54,'F4'!$I$12:$I$158)</f>
        <v>0</v>
      </c>
      <c r="N54" s="161">
        <f>SUMIF('F4'!$E$12:$E$158,C54,'F4'!$J$12:J$158)</f>
        <v>0</v>
      </c>
      <c r="O54" s="163"/>
      <c r="P54" s="158"/>
      <c r="Q54" s="192"/>
      <c r="R54" s="193"/>
      <c r="S54" s="189"/>
    </row>
    <row r="55" hidden="1" spans="2:19">
      <c r="B55" s="138"/>
      <c r="C55" s="134" t="s">
        <v>13581</v>
      </c>
      <c r="D55" s="135"/>
      <c r="E55" s="137">
        <v>0</v>
      </c>
      <c r="F55" s="135"/>
      <c r="G55" s="139">
        <f>SUMIF('F4'!$E$11:$E$158,'50'!C55,'F4'!$G$11:$G$158)</f>
        <v>0</v>
      </c>
      <c r="H55" s="140">
        <f>SUMIF('F4'!$F$11:$F$158,'50'!C55,'F4'!$H$11:$H$158)</f>
        <v>0</v>
      </c>
      <c r="I55" s="136"/>
      <c r="J55" s="158">
        <f t="shared" si="9"/>
        <v>0</v>
      </c>
      <c r="K55" s="159"/>
      <c r="L55" s="177"/>
      <c r="M55" s="161">
        <f>SUMIF('F4'!$E$12:$E$158,C55,'F4'!$I$12:$I$158)</f>
        <v>0</v>
      </c>
      <c r="N55" s="161">
        <f>SUMIF('F4'!$E$12:$E$158,C55,'F4'!$J$12:J$158)</f>
        <v>0</v>
      </c>
      <c r="O55" s="163"/>
      <c r="P55" s="158">
        <f t="shared" si="10"/>
        <v>0</v>
      </c>
      <c r="Q55" s="192">
        <v>0</v>
      </c>
      <c r="R55" s="193">
        <f t="shared" si="7"/>
        <v>0</v>
      </c>
      <c r="S55" s="189">
        <f t="shared" si="8"/>
        <v>0</v>
      </c>
    </row>
    <row r="56" spans="2:19">
      <c r="B56" s="133" t="s">
        <v>13582</v>
      </c>
      <c r="C56" s="137"/>
      <c r="D56" s="135"/>
      <c r="E56" s="137"/>
      <c r="F56" s="135"/>
      <c r="G56" s="139"/>
      <c r="H56" s="140"/>
      <c r="I56" s="136"/>
      <c r="J56" s="158">
        <f t="shared" si="9"/>
        <v>0</v>
      </c>
      <c r="K56" s="159"/>
      <c r="L56" s="177"/>
      <c r="M56" s="161">
        <f>SUMIF('F4'!$E$12:$E$158,C56,'F4'!$I$12:$I$158)</f>
        <v>0</v>
      </c>
      <c r="N56" s="161">
        <f>SUMIF('F4'!$E$12:$E$158,C56,'F4'!$J$12:J$158)</f>
        <v>0</v>
      </c>
      <c r="O56" s="163"/>
      <c r="P56" s="158">
        <f t="shared" si="10"/>
        <v>0</v>
      </c>
      <c r="Q56" s="192">
        <v>0</v>
      </c>
      <c r="R56" s="193">
        <f t="shared" si="7"/>
        <v>0</v>
      </c>
      <c r="S56" s="189">
        <f t="shared" si="8"/>
        <v>0</v>
      </c>
    </row>
    <row r="57" spans="2:19">
      <c r="B57" s="138"/>
      <c r="C57" s="134" t="s">
        <v>13583</v>
      </c>
      <c r="D57" s="135"/>
      <c r="E57" s="137">
        <v>297747.5102</v>
      </c>
      <c r="F57" s="135"/>
      <c r="G57" s="139">
        <f>SUMIF('F4'!$E$11:$E$158,'50'!C57,'F4'!$G$11:$G$158)</f>
        <v>0</v>
      </c>
      <c r="H57" s="140">
        <f>SUMIF('F4'!$F$11:$F$158,'50'!C57,'F4'!$H$11:$H$158)</f>
        <v>0</v>
      </c>
      <c r="I57" s="136"/>
      <c r="J57" s="158">
        <f t="shared" si="9"/>
        <v>297747.5102</v>
      </c>
      <c r="K57" s="159">
        <f>+'[79]P&amp;L22'!$H$43</f>
        <v>1405499.54</v>
      </c>
      <c r="L57" s="177"/>
      <c r="M57" s="161">
        <f>SUMIF('F4'!$E$12:$E$158,C57,'F4'!$I$12:$I$158)</f>
        <v>0</v>
      </c>
      <c r="N57" s="161">
        <f>SUMIF('F4'!$E$12:$E$158,C57,'F4'!$J$12:J$158)</f>
        <v>0</v>
      </c>
      <c r="O57" s="163"/>
      <c r="P57" s="158">
        <f t="shared" si="10"/>
        <v>1405499.54</v>
      </c>
      <c r="Q57" s="192">
        <f>+'[79]P&amp;L22'!$I$43</f>
        <v>1078216</v>
      </c>
      <c r="R57" s="193">
        <f t="shared" si="7"/>
        <v>327283.54</v>
      </c>
      <c r="S57" s="189">
        <f t="shared" si="8"/>
        <v>0.30354172076838</v>
      </c>
    </row>
    <row r="58" hidden="1" spans="2:19">
      <c r="B58" s="138"/>
      <c r="C58" s="134" t="s">
        <v>13584</v>
      </c>
      <c r="D58" s="135"/>
      <c r="E58" s="137">
        <v>0</v>
      </c>
      <c r="F58" s="135"/>
      <c r="G58" s="139">
        <f>SUMIF('F4'!$E$11:$E$158,'50'!C58,'F4'!$G$11:$G$158)</f>
        <v>0</v>
      </c>
      <c r="H58" s="140">
        <f>SUMIF('F4'!$F$11:$F$158,'50'!C58,'F4'!$H$11:$H$158)</f>
        <v>0</v>
      </c>
      <c r="I58" s="136"/>
      <c r="J58" s="158">
        <f t="shared" si="9"/>
        <v>0</v>
      </c>
      <c r="K58" s="159"/>
      <c r="L58" s="177"/>
      <c r="M58" s="161">
        <f>SUMIF('F4'!$E$12:$E$158,C58,'F4'!$I$12:$I$158)</f>
        <v>0</v>
      </c>
      <c r="N58" s="161">
        <f>SUMIF('F4'!$E$12:$E$158,C58,'F4'!$J$12:J$158)</f>
        <v>0</v>
      </c>
      <c r="O58" s="163"/>
      <c r="P58" s="158">
        <f t="shared" si="10"/>
        <v>0</v>
      </c>
      <c r="Q58" s="192">
        <v>0</v>
      </c>
      <c r="R58" s="193">
        <f t="shared" si="7"/>
        <v>0</v>
      </c>
      <c r="S58" s="189">
        <f t="shared" si="8"/>
        <v>0</v>
      </c>
    </row>
    <row r="59" hidden="1" spans="2:19">
      <c r="B59" s="138"/>
      <c r="C59" s="134" t="s">
        <v>13585</v>
      </c>
      <c r="D59" s="135"/>
      <c r="E59" s="137">
        <v>0</v>
      </c>
      <c r="F59" s="135"/>
      <c r="G59" s="139">
        <f>SUMIF('F4'!$E$11:$E$158,'50'!C59,'F4'!$G$11:$G$158)</f>
        <v>0</v>
      </c>
      <c r="H59" s="140">
        <f>SUMIF('F4'!$F$11:$F$158,'50'!C59,'F4'!$H$11:$H$158)</f>
        <v>0</v>
      </c>
      <c r="I59" s="136"/>
      <c r="J59" s="158">
        <f t="shared" si="9"/>
        <v>0</v>
      </c>
      <c r="K59" s="159"/>
      <c r="L59" s="177"/>
      <c r="M59" s="161">
        <f>SUMIF('F4'!$E$12:$E$158,C59,'F4'!$I$12:$I$158)</f>
        <v>0</v>
      </c>
      <c r="N59" s="161">
        <f>SUMIF('F4'!$E$12:$E$158,C59,'F4'!$J$12:J$158)</f>
        <v>0</v>
      </c>
      <c r="O59" s="163"/>
      <c r="P59" s="158">
        <f t="shared" si="10"/>
        <v>0</v>
      </c>
      <c r="Q59" s="192">
        <v>0</v>
      </c>
      <c r="R59" s="193">
        <f t="shared" si="7"/>
        <v>0</v>
      </c>
      <c r="S59" s="189">
        <f t="shared" si="8"/>
        <v>0</v>
      </c>
    </row>
    <row r="60" hidden="1" spans="2:19">
      <c r="B60" s="138"/>
      <c r="C60" s="134" t="s">
        <v>13586</v>
      </c>
      <c r="D60" s="135"/>
      <c r="E60" s="137">
        <v>0</v>
      </c>
      <c r="F60" s="135"/>
      <c r="G60" s="139">
        <f>SUMIF('F4'!$E$11:$E$158,'50'!C60,'F4'!$G$11:$G$158)</f>
        <v>0</v>
      </c>
      <c r="H60" s="140">
        <f>SUMIF('F4'!$F$11:$F$158,'50'!C60,'F4'!$H$11:$H$158)</f>
        <v>0</v>
      </c>
      <c r="I60" s="136"/>
      <c r="J60" s="158">
        <f t="shared" si="9"/>
        <v>0</v>
      </c>
      <c r="K60" s="159"/>
      <c r="L60" s="177"/>
      <c r="M60" s="161">
        <f>SUMIF('F4'!$E$12:$E$158,C60,'F4'!$I$12:$I$158)</f>
        <v>0</v>
      </c>
      <c r="N60" s="161">
        <f>SUMIF('F4'!$E$12:$E$158,C60,'F4'!$J$12:J$158)</f>
        <v>0</v>
      </c>
      <c r="O60" s="163"/>
      <c r="P60" s="158">
        <f t="shared" si="10"/>
        <v>0</v>
      </c>
      <c r="Q60" s="192">
        <v>0</v>
      </c>
      <c r="R60" s="193">
        <f t="shared" si="7"/>
        <v>0</v>
      </c>
      <c r="S60" s="189">
        <f t="shared" si="8"/>
        <v>0</v>
      </c>
    </row>
    <row r="61" hidden="1" spans="2:19">
      <c r="B61" s="138"/>
      <c r="C61" s="134" t="s">
        <v>13587</v>
      </c>
      <c r="D61" s="135"/>
      <c r="E61" s="137">
        <v>0</v>
      </c>
      <c r="F61" s="135"/>
      <c r="G61" s="139">
        <f>SUMIF('F4'!$E$11:$E$158,'50'!C61,'F4'!$G$11:$G$158)</f>
        <v>0</v>
      </c>
      <c r="H61" s="140">
        <f>SUMIF('F4'!$F$11:$F$158,'50'!C61,'F4'!$H$11:$H$158)</f>
        <v>0</v>
      </c>
      <c r="I61" s="136"/>
      <c r="J61" s="158">
        <f t="shared" si="9"/>
        <v>0</v>
      </c>
      <c r="K61" s="159"/>
      <c r="L61" s="177"/>
      <c r="M61" s="161">
        <f>SUMIF('F4'!$E$12:$E$158,C61,'F4'!$I$12:$I$158)</f>
        <v>0</v>
      </c>
      <c r="N61" s="161">
        <f>SUMIF('F4'!$E$12:$E$158,C61,'F4'!$J$12:J$158)</f>
        <v>0</v>
      </c>
      <c r="O61" s="163"/>
      <c r="P61" s="158">
        <f t="shared" si="10"/>
        <v>0</v>
      </c>
      <c r="Q61" s="192">
        <v>0</v>
      </c>
      <c r="R61" s="193">
        <f t="shared" si="7"/>
        <v>0</v>
      </c>
      <c r="S61" s="189">
        <f t="shared" si="8"/>
        <v>0</v>
      </c>
    </row>
    <row r="62" hidden="1" spans="2:19">
      <c r="B62" s="138"/>
      <c r="C62" s="134" t="s">
        <v>13588</v>
      </c>
      <c r="D62" s="135"/>
      <c r="E62" s="137">
        <v>0</v>
      </c>
      <c r="F62" s="135"/>
      <c r="G62" s="139">
        <f>SUMIF('F4'!$E$11:$E$158,'50'!C62,'F4'!$G$11:$G$158)</f>
        <v>0</v>
      </c>
      <c r="H62" s="140">
        <f>SUMIF('F4'!$F$11:$F$158,'50'!C62,'F4'!$H$11:$H$158)</f>
        <v>0</v>
      </c>
      <c r="I62" s="136"/>
      <c r="J62" s="158">
        <f t="shared" si="9"/>
        <v>0</v>
      </c>
      <c r="K62" s="159"/>
      <c r="L62" s="177"/>
      <c r="M62" s="161">
        <f>SUMIF('F4'!$E$12:$E$158,C62,'F4'!$I$12:$I$158)</f>
        <v>0</v>
      </c>
      <c r="N62" s="161">
        <f>SUMIF('F4'!$E$12:$E$158,C62,'F4'!$J$12:J$158)</f>
        <v>0</v>
      </c>
      <c r="O62" s="163"/>
      <c r="P62" s="158">
        <f t="shared" si="10"/>
        <v>0</v>
      </c>
      <c r="Q62" s="192">
        <v>0</v>
      </c>
      <c r="R62" s="193">
        <f t="shared" si="7"/>
        <v>0</v>
      </c>
      <c r="S62" s="189">
        <f t="shared" si="8"/>
        <v>0</v>
      </c>
    </row>
    <row r="63" hidden="1" spans="2:19">
      <c r="B63" s="138"/>
      <c r="C63" s="134" t="s">
        <v>13589</v>
      </c>
      <c r="D63" s="135"/>
      <c r="E63" s="137">
        <v>0</v>
      </c>
      <c r="F63" s="135"/>
      <c r="G63" s="139">
        <f>SUMIF('F4'!$E$11:$E$158,'50'!C63,'F4'!$G$11:$G$158)</f>
        <v>0</v>
      </c>
      <c r="H63" s="140">
        <f>SUMIF('F4'!$F$11:$F$158,'50'!C63,'F4'!$H$11:$H$158)</f>
        <v>0</v>
      </c>
      <c r="I63" s="136"/>
      <c r="J63" s="158">
        <f t="shared" si="9"/>
        <v>0</v>
      </c>
      <c r="K63" s="159"/>
      <c r="L63" s="177"/>
      <c r="M63" s="161">
        <f>SUMIF('F4'!$E$12:$E$158,C63,'F4'!$I$12:$I$158)</f>
        <v>0</v>
      </c>
      <c r="N63" s="161">
        <f>SUMIF('F4'!$E$12:$E$158,C63,'F4'!$J$12:J$158)</f>
        <v>0</v>
      </c>
      <c r="O63" s="163"/>
      <c r="P63" s="158">
        <f t="shared" si="10"/>
        <v>0</v>
      </c>
      <c r="Q63" s="192">
        <v>0</v>
      </c>
      <c r="R63" s="193">
        <f t="shared" si="7"/>
        <v>0</v>
      </c>
      <c r="S63" s="189">
        <f t="shared" si="8"/>
        <v>0</v>
      </c>
    </row>
    <row r="64" spans="2:19">
      <c r="B64" s="133" t="s">
        <v>13590</v>
      </c>
      <c r="C64" s="137"/>
      <c r="D64" s="135"/>
      <c r="E64" s="137"/>
      <c r="F64" s="135"/>
      <c r="G64" s="139"/>
      <c r="H64" s="140"/>
      <c r="I64" s="136"/>
      <c r="J64" s="158"/>
      <c r="K64" s="159"/>
      <c r="L64" s="177"/>
      <c r="M64" s="161"/>
      <c r="N64" s="161"/>
      <c r="O64" s="163"/>
      <c r="P64" s="158"/>
      <c r="Q64" s="192"/>
      <c r="R64" s="193"/>
      <c r="S64" s="189">
        <f t="shared" si="8"/>
        <v>0</v>
      </c>
    </row>
    <row r="65" spans="2:19">
      <c r="B65" s="138"/>
      <c r="C65" s="134" t="s">
        <v>13591</v>
      </c>
      <c r="D65" s="135"/>
      <c r="E65" s="137">
        <v>286714174</v>
      </c>
      <c r="F65" s="135"/>
      <c r="G65" s="139">
        <f>SUMIF('F4'!$E$11:$E$158,'50'!C65,'F4'!$G$11:$G$158)</f>
        <v>0</v>
      </c>
      <c r="H65" s="140">
        <f>SUMIF('F4'!$F$11:$F$158,'50'!C65,'F4'!$H$11:$H$158)</f>
        <v>0</v>
      </c>
      <c r="I65" s="136"/>
      <c r="J65" s="158">
        <f t="shared" si="9"/>
        <v>286714174</v>
      </c>
      <c r="K65" s="159">
        <f>+'[79]P&amp;L22'!$H$41</f>
        <v>111147000</v>
      </c>
      <c r="L65" s="177"/>
      <c r="M65" s="161">
        <f>SUMIF('F4'!$E$12:$E$158,C65,'F4'!$I$12:$I$158)</f>
        <v>0</v>
      </c>
      <c r="N65" s="161">
        <f>SUMIF('F4'!$E$12:$E$158,C65,'F4'!$J$12:J$158)</f>
        <v>0</v>
      </c>
      <c r="O65" s="163"/>
      <c r="P65" s="158">
        <f t="shared" si="10"/>
        <v>111147000</v>
      </c>
      <c r="Q65" s="192">
        <f>+'[79]P&amp;L22'!$I$41</f>
        <v>115664892</v>
      </c>
      <c r="R65" s="193">
        <f t="shared" si="7"/>
        <v>-4517892</v>
      </c>
      <c r="S65" s="189">
        <f t="shared" si="8"/>
        <v>-0.0390601843124533</v>
      </c>
    </row>
    <row r="66" spans="2:19">
      <c r="B66" s="138"/>
      <c r="C66" s="134" t="s">
        <v>13592</v>
      </c>
      <c r="D66" s="135"/>
      <c r="E66" s="137">
        <v>54700000</v>
      </c>
      <c r="F66" s="135"/>
      <c r="G66" s="139">
        <f>SUMIF('F4'!$E$11:$E$158,'50'!C66,'F4'!$G$11:$G$158)</f>
        <v>0</v>
      </c>
      <c r="H66" s="140">
        <f>SUMIF('F4'!$F$11:$F$158,'50'!C66,'F4'!$H$11:$H$158)</f>
        <v>0</v>
      </c>
      <c r="I66" s="136"/>
      <c r="J66" s="158">
        <f t="shared" si="9"/>
        <v>54700000</v>
      </c>
      <c r="K66" s="159">
        <v>0</v>
      </c>
      <c r="L66" s="177"/>
      <c r="M66" s="161">
        <f>SUMIF('F4'!$E$12:$E$158,C66,'F4'!$I$12:$I$158)</f>
        <v>0</v>
      </c>
      <c r="N66" s="161">
        <f>SUMIF('F4'!$E$12:$E$158,C66,'F4'!$J$12:J$158)</f>
        <v>0</v>
      </c>
      <c r="O66" s="163"/>
      <c r="P66" s="158">
        <f t="shared" si="10"/>
        <v>0</v>
      </c>
      <c r="Q66" s="192">
        <v>0</v>
      </c>
      <c r="R66" s="193">
        <f t="shared" si="7"/>
        <v>0</v>
      </c>
      <c r="S66" s="189">
        <f t="shared" si="8"/>
        <v>0</v>
      </c>
    </row>
    <row r="67" hidden="1" spans="2:19">
      <c r="B67" s="138"/>
      <c r="C67" s="134" t="s">
        <v>13593</v>
      </c>
      <c r="D67" s="135"/>
      <c r="E67" s="137">
        <v>0</v>
      </c>
      <c r="F67" s="135"/>
      <c r="G67" s="199"/>
      <c r="H67" s="200"/>
      <c r="I67" s="199"/>
      <c r="J67" s="158">
        <f t="shared" si="9"/>
        <v>0</v>
      </c>
      <c r="K67" s="159"/>
      <c r="L67" s="177"/>
      <c r="M67" s="174"/>
      <c r="N67" s="229">
        <v>0</v>
      </c>
      <c r="O67" s="163"/>
      <c r="P67" s="158">
        <f t="shared" si="10"/>
        <v>0</v>
      </c>
      <c r="Q67" s="192">
        <v>0</v>
      </c>
      <c r="R67" s="193">
        <f t="shared" ref="R67:R71" si="11">K67-Q67</f>
        <v>0</v>
      </c>
      <c r="S67" s="189">
        <f t="shared" ref="S67:S71" si="12">IF(Q67=0,IF(R67=0,0,R67/Q67),R67/Q67)</f>
        <v>0</v>
      </c>
    </row>
    <row r="68" hidden="1" spans="2:19">
      <c r="B68" s="138"/>
      <c r="C68" s="134" t="s">
        <v>785</v>
      </c>
      <c r="D68" s="135"/>
      <c r="E68" s="137">
        <v>0</v>
      </c>
      <c r="F68" s="135"/>
      <c r="G68" s="140">
        <f>'F4'!G149</f>
        <v>0</v>
      </c>
      <c r="H68" s="200"/>
      <c r="I68" s="199"/>
      <c r="J68" s="158">
        <f t="shared" si="9"/>
        <v>0</v>
      </c>
      <c r="K68" s="159"/>
      <c r="L68" s="177"/>
      <c r="M68" s="174">
        <v>0</v>
      </c>
      <c r="N68" s="230"/>
      <c r="O68" s="163"/>
      <c r="P68" s="158">
        <f t="shared" si="10"/>
        <v>0</v>
      </c>
      <c r="Q68" s="192">
        <v>0</v>
      </c>
      <c r="R68" s="193">
        <f t="shared" si="11"/>
        <v>0</v>
      </c>
      <c r="S68" s="189">
        <f t="shared" si="12"/>
        <v>0</v>
      </c>
    </row>
    <row r="69" hidden="1" spans="2:19">
      <c r="B69" s="138"/>
      <c r="C69" s="134" t="s">
        <v>13594</v>
      </c>
      <c r="D69" s="135"/>
      <c r="E69" s="137">
        <v>0</v>
      </c>
      <c r="F69" s="135"/>
      <c r="G69" s="140">
        <v>0</v>
      </c>
      <c r="H69" s="161">
        <v>0</v>
      </c>
      <c r="I69" s="199"/>
      <c r="J69" s="158">
        <f t="shared" si="9"/>
        <v>0</v>
      </c>
      <c r="K69" s="159">
        <v>0</v>
      </c>
      <c r="L69" s="177"/>
      <c r="M69" s="174">
        <v>0</v>
      </c>
      <c r="N69" s="174"/>
      <c r="O69" s="163"/>
      <c r="P69" s="158">
        <f t="shared" si="10"/>
        <v>0</v>
      </c>
      <c r="Q69" s="192"/>
      <c r="R69" s="193">
        <f t="shared" si="11"/>
        <v>0</v>
      </c>
      <c r="S69" s="189">
        <f t="shared" si="12"/>
        <v>0</v>
      </c>
    </row>
    <row r="70" spans="2:19">
      <c r="B70" s="138"/>
      <c r="C70" s="134" t="s">
        <v>666</v>
      </c>
      <c r="D70" s="135"/>
      <c r="E70" s="137"/>
      <c r="F70" s="135"/>
      <c r="G70" s="139">
        <f>SUMIF('F4'!$E$11:$E$158,'50'!C70,'F4'!$G$11:$G$158)</f>
        <v>66242.0249999994</v>
      </c>
      <c r="H70" s="140">
        <f>SUMIF('F4'!$F$11:$F$158,'50'!C70,'F4'!$H$11:$H$158)</f>
        <v>0</v>
      </c>
      <c r="I70" s="199"/>
      <c r="J70" s="158">
        <f t="shared" si="9"/>
        <v>66242.0249999994</v>
      </c>
      <c r="K70" s="159">
        <v>0</v>
      </c>
      <c r="L70" s="177"/>
      <c r="M70" s="161">
        <f>SUMIF('F4'!$E$12:$E$158,C70,'F4'!$I$12:$I$158)</f>
        <v>1669.56435000058</v>
      </c>
      <c r="N70" s="161">
        <f>SUMIF('F4'!$E$12:$E$158,C70,'F4'!$J$12:J$158)</f>
        <v>0</v>
      </c>
      <c r="O70" s="163"/>
      <c r="P70" s="158">
        <f t="shared" si="10"/>
        <v>1669.56435000058</v>
      </c>
      <c r="Q70" s="192">
        <v>0</v>
      </c>
      <c r="R70" s="193">
        <f t="shared" si="11"/>
        <v>0</v>
      </c>
      <c r="S70" s="189">
        <f t="shared" si="12"/>
        <v>0</v>
      </c>
    </row>
    <row r="71" spans="2:19">
      <c r="B71" s="138"/>
      <c r="C71" s="134" t="s">
        <v>13595</v>
      </c>
      <c r="D71" s="135"/>
      <c r="E71" s="137"/>
      <c r="F71" s="135"/>
      <c r="G71" s="139">
        <f>SUMIF('F4'!$E$11:$E$158,'50'!C71,'F4'!$G$11:$G$158)</f>
        <v>0</v>
      </c>
      <c r="H71" s="140">
        <f>SUMIF('F4'!$F$11:$F$158,'50'!C71,'F4'!$H$11:$H$158)</f>
        <v>0</v>
      </c>
      <c r="I71" s="199"/>
      <c r="J71" s="158">
        <f t="shared" ref="J71" si="13">E71+G71-H71</f>
        <v>0</v>
      </c>
      <c r="K71" s="159">
        <v>0</v>
      </c>
      <c r="L71" s="177"/>
      <c r="M71" s="231">
        <f>+'F4'!I46</f>
        <v>18333332.5200481</v>
      </c>
      <c r="N71" s="174"/>
      <c r="O71" s="163"/>
      <c r="P71" s="158">
        <f t="shared" ref="P71" si="14">K71+M71-N71</f>
        <v>18333332.5200481</v>
      </c>
      <c r="Q71" s="192">
        <v>100000</v>
      </c>
      <c r="R71" s="193">
        <f t="shared" si="11"/>
        <v>-100000</v>
      </c>
      <c r="S71" s="189">
        <f t="shared" si="12"/>
        <v>-1</v>
      </c>
    </row>
    <row r="72" spans="2:19">
      <c r="B72" s="141"/>
      <c r="C72" s="201"/>
      <c r="D72" s="147"/>
      <c r="E72" s="165"/>
      <c r="F72" s="147"/>
      <c r="G72" s="202"/>
      <c r="H72" s="203"/>
      <c r="I72" s="232"/>
      <c r="J72" s="165"/>
      <c r="K72" s="142"/>
      <c r="L72" s="166"/>
      <c r="M72" s="167"/>
      <c r="N72" s="171"/>
      <c r="O72" s="163"/>
      <c r="P72" s="165"/>
      <c r="Q72" s="171"/>
      <c r="R72" s="197"/>
      <c r="S72" s="191"/>
    </row>
    <row r="73" spans="2:19">
      <c r="B73" s="138"/>
      <c r="C73" s="130" t="s">
        <v>13596</v>
      </c>
      <c r="D73" s="135"/>
      <c r="E73" s="145">
        <f>SUM(E48:E72)</f>
        <v>346973020.5102</v>
      </c>
      <c r="F73" s="135"/>
      <c r="G73" s="145">
        <f>SUM(G48:G72)</f>
        <v>66242.0249999994</v>
      </c>
      <c r="H73" s="145">
        <f>SUM(H48:H72)</f>
        <v>0</v>
      </c>
      <c r="I73" s="136"/>
      <c r="J73" s="145">
        <f>SUM(J48:J72)</f>
        <v>347039262.5352</v>
      </c>
      <c r="K73" s="144">
        <f>SUM(K48:K69)</f>
        <v>131460499.54</v>
      </c>
      <c r="L73" s="160"/>
      <c r="M73" s="145">
        <f t="shared" ref="M73:N73" si="15">SUM(M48:M72)</f>
        <v>18335002.0843981</v>
      </c>
      <c r="N73" s="145">
        <f t="shared" si="15"/>
        <v>0</v>
      </c>
      <c r="O73" s="163"/>
      <c r="P73" s="169">
        <f>SUM(P48:P72)</f>
        <v>149795501.624398</v>
      </c>
      <c r="Q73" s="169">
        <f>SUM(Q47:Q72)</f>
        <v>140801803</v>
      </c>
      <c r="R73" s="169">
        <f>SUM(R48:R72)</f>
        <v>-9341303.46</v>
      </c>
      <c r="S73" s="189">
        <f>IF(Q73=0,IF(R73=0,0,R73/Q73),R73/Q73)</f>
        <v>-0.0663436352445004</v>
      </c>
    </row>
    <row r="74" spans="2:19">
      <c r="B74" s="138"/>
      <c r="C74" s="130" t="s">
        <v>13597</v>
      </c>
      <c r="D74" s="135"/>
      <c r="E74" s="145">
        <f>E45+E73</f>
        <v>2449205975.5102</v>
      </c>
      <c r="F74" s="135"/>
      <c r="G74" s="169">
        <f>G45+G73</f>
        <v>66242.0249999994</v>
      </c>
      <c r="H74" s="145">
        <f>H45+H73</f>
        <v>0</v>
      </c>
      <c r="I74" s="136"/>
      <c r="J74" s="145">
        <f>J45+J73</f>
        <v>2449272217.5352</v>
      </c>
      <c r="K74" s="144">
        <f>K45+K73</f>
        <v>718953563.54</v>
      </c>
      <c r="L74" s="160"/>
      <c r="M74" s="169">
        <f>M45+M73</f>
        <v>18335002.0843981</v>
      </c>
      <c r="N74" s="145">
        <f>N45+N73</f>
        <v>0</v>
      </c>
      <c r="O74" s="163"/>
      <c r="P74" s="169">
        <f>P45+P73</f>
        <v>737288565.624398</v>
      </c>
      <c r="Q74" s="169">
        <f>Q45+Q73</f>
        <v>687743370</v>
      </c>
      <c r="R74" s="169">
        <f>R45+R73</f>
        <v>31210193.54</v>
      </c>
      <c r="S74" s="189">
        <f>IF(Q74=0,IF(R74=0,0,R74/Q74),R74/Q74)</f>
        <v>0.0453805807535447</v>
      </c>
    </row>
    <row r="75" spans="2:19">
      <c r="B75" s="138"/>
      <c r="C75" s="134"/>
      <c r="D75" s="135"/>
      <c r="E75" s="144"/>
      <c r="F75" s="135"/>
      <c r="G75" s="144"/>
      <c r="H75" s="145"/>
      <c r="I75" s="136"/>
      <c r="J75" s="145"/>
      <c r="K75" s="144"/>
      <c r="L75" s="160"/>
      <c r="M75" s="169"/>
      <c r="N75" s="145"/>
      <c r="O75" s="163"/>
      <c r="P75" s="169"/>
      <c r="Q75" s="169"/>
      <c r="R75" s="169"/>
      <c r="S75" s="189"/>
    </row>
    <row r="76" spans="2:19">
      <c r="B76" s="138"/>
      <c r="C76" s="134"/>
      <c r="D76" s="135"/>
      <c r="E76" s="137"/>
      <c r="F76" s="147"/>
      <c r="G76" s="137"/>
      <c r="H76" s="142"/>
      <c r="I76" s="136"/>
      <c r="J76" s="165"/>
      <c r="K76" s="159"/>
      <c r="L76" s="160"/>
      <c r="M76" s="177"/>
      <c r="N76" s="156"/>
      <c r="O76" s="168"/>
      <c r="P76" s="158"/>
      <c r="Q76" s="156"/>
      <c r="R76" s="250"/>
      <c r="S76" s="251"/>
    </row>
    <row r="77" spans="2:19">
      <c r="B77" s="204" t="s">
        <v>13598</v>
      </c>
      <c r="C77" s="205"/>
      <c r="D77" s="206"/>
      <c r="E77" s="207">
        <f>+E36-E74</f>
        <v>-2448237956.4495</v>
      </c>
      <c r="F77" s="206"/>
      <c r="G77" s="207">
        <f>+G36-G74</f>
        <v>-66242.0249999994</v>
      </c>
      <c r="H77" s="207">
        <f>+H36-H74</f>
        <v>0</v>
      </c>
      <c r="I77" s="233"/>
      <c r="J77" s="207">
        <f>+J36-J74</f>
        <v>-2448304198.4745</v>
      </c>
      <c r="K77" s="207">
        <f>+K36-K74</f>
        <v>-707025122.49</v>
      </c>
      <c r="L77" s="234"/>
      <c r="M77" s="207">
        <f>+M36-M74</f>
        <v>-18335002.0843981</v>
      </c>
      <c r="N77" s="207">
        <f>+N36-N74</f>
        <v>0</v>
      </c>
      <c r="O77" s="235"/>
      <c r="P77" s="207">
        <f>+P36-P74</f>
        <v>-725360124.574398</v>
      </c>
      <c r="Q77" s="207">
        <f>+Q36-Q74</f>
        <v>-677694320</v>
      </c>
      <c r="R77" s="252">
        <f>+R22-R45</f>
        <v>-42472105.95</v>
      </c>
      <c r="S77" s="191">
        <f>IF(Q77=0,IF(R77=0,0,R77/Q77),R77/Q77)</f>
        <v>0.0626714798937669</v>
      </c>
    </row>
    <row r="78" spans="2:19">
      <c r="B78" s="141"/>
      <c r="C78" s="201"/>
      <c r="D78" s="148"/>
      <c r="E78" s="148">
        <f>+E77-'F3'!F28</f>
        <v>0.4674072265625</v>
      </c>
      <c r="F78" s="148"/>
      <c r="G78" s="148"/>
      <c r="H78" s="148"/>
      <c r="I78" s="148"/>
      <c r="J78" s="148">
        <f>+J77-'F3'!K28</f>
        <v>0.4674072265625</v>
      </c>
      <c r="K78" s="148">
        <f>+K77-'F3'!L28</f>
        <v>0</v>
      </c>
      <c r="L78" s="141"/>
      <c r="M78" s="141"/>
      <c r="N78" s="236"/>
      <c r="O78" s="146"/>
      <c r="P78" s="148">
        <f>+P77-'F3'!Q28</f>
        <v>0</v>
      </c>
      <c r="Q78" s="253">
        <f>Q77-'F30'!R26</f>
        <v>0</v>
      </c>
      <c r="R78" s="141"/>
      <c r="S78" s="251"/>
    </row>
    <row r="81" spans="2:3">
      <c r="B81" s="208"/>
      <c r="C81" s="137"/>
    </row>
    <row r="82" spans="3:3">
      <c r="C82" s="5034" t="s">
        <v>752</v>
      </c>
    </row>
    <row r="83" spans="3:3">
      <c r="C83" s="5034" t="s">
        <v>753</v>
      </c>
    </row>
    <row r="84" spans="3:3">
      <c r="C84" s="5034" t="s">
        <v>754</v>
      </c>
    </row>
    <row r="86" spans="11:11">
      <c r="K86" s="237"/>
    </row>
    <row r="87" spans="2:19">
      <c r="B87" s="210"/>
      <c r="C87" s="211"/>
      <c r="D87" s="212"/>
      <c r="E87" s="212"/>
      <c r="F87" s="212"/>
      <c r="G87" s="212"/>
      <c r="H87" s="212"/>
      <c r="I87" s="212"/>
      <c r="J87" s="212"/>
      <c r="K87" s="238"/>
      <c r="L87" s="239"/>
      <c r="M87" s="239"/>
      <c r="N87" s="239"/>
      <c r="O87" s="239"/>
      <c r="P87" s="239"/>
      <c r="Q87" s="239"/>
      <c r="R87" s="239"/>
      <c r="S87" s="254"/>
    </row>
    <row r="88" spans="2:19">
      <c r="B88" s="213"/>
      <c r="C88" s="214"/>
      <c r="D88" s="215"/>
      <c r="E88" s="215"/>
      <c r="F88" s="215"/>
      <c r="G88" s="215"/>
      <c r="H88" s="215"/>
      <c r="I88" s="215"/>
      <c r="J88" s="215"/>
      <c r="K88" s="240"/>
      <c r="L88" s="216"/>
      <c r="M88" s="216"/>
      <c r="N88" s="216"/>
      <c r="O88" s="216"/>
      <c r="P88" s="216"/>
      <c r="Q88" s="216"/>
      <c r="R88" s="216"/>
      <c r="S88" s="255"/>
    </row>
    <row r="89" spans="2:19">
      <c r="B89" s="213"/>
      <c r="C89" s="214"/>
      <c r="D89" s="215"/>
      <c r="E89" s="215"/>
      <c r="F89" s="215"/>
      <c r="G89" s="215"/>
      <c r="H89" s="215"/>
      <c r="I89" s="215"/>
      <c r="J89" s="215"/>
      <c r="K89" s="240"/>
      <c r="L89" s="216"/>
      <c r="M89" s="216"/>
      <c r="N89" s="216"/>
      <c r="O89" s="216"/>
      <c r="P89" s="216"/>
      <c r="Q89" s="216"/>
      <c r="R89" s="216"/>
      <c r="S89" s="255"/>
    </row>
    <row r="90" spans="2:19">
      <c r="B90" s="213"/>
      <c r="C90" s="214"/>
      <c r="D90" s="215"/>
      <c r="E90" s="215"/>
      <c r="F90" s="215"/>
      <c r="G90" s="215"/>
      <c r="H90" s="215"/>
      <c r="I90" s="215"/>
      <c r="J90" s="215"/>
      <c r="K90" s="240"/>
      <c r="L90" s="216"/>
      <c r="M90" s="216"/>
      <c r="N90" s="216"/>
      <c r="O90" s="216"/>
      <c r="P90" s="216"/>
      <c r="Q90" s="216"/>
      <c r="R90" s="216"/>
      <c r="S90" s="255"/>
    </row>
    <row r="91" spans="2:19">
      <c r="B91" s="213"/>
      <c r="C91" s="214"/>
      <c r="D91" s="215"/>
      <c r="E91" s="215"/>
      <c r="F91" s="215"/>
      <c r="G91" s="215"/>
      <c r="H91" s="215"/>
      <c r="I91" s="215"/>
      <c r="J91" s="215"/>
      <c r="K91" s="240"/>
      <c r="L91" s="216"/>
      <c r="M91" s="216"/>
      <c r="N91" s="216"/>
      <c r="O91" s="216"/>
      <c r="P91" s="216"/>
      <c r="Q91" s="216"/>
      <c r="R91" s="216"/>
      <c r="S91" s="255"/>
    </row>
    <row r="92" spans="2:19">
      <c r="B92" s="213"/>
      <c r="C92" s="216" t="str">
        <f>+C19</f>
        <v>Pendapatan Bunga Jasa Giro</v>
      </c>
      <c r="D92" s="215"/>
      <c r="E92" s="215"/>
      <c r="F92" s="215"/>
      <c r="G92" s="215"/>
      <c r="H92" s="215"/>
      <c r="I92" s="215"/>
      <c r="J92" s="215"/>
      <c r="K92" s="240"/>
      <c r="L92" s="216"/>
      <c r="M92" s="216"/>
      <c r="N92" s="216"/>
      <c r="O92" s="216"/>
      <c r="P92" s="216"/>
      <c r="Q92" s="216"/>
      <c r="R92" s="216"/>
      <c r="S92" s="255"/>
    </row>
    <row r="93" spans="2:19">
      <c r="B93" s="213"/>
      <c r="C93" s="216" t="str">
        <f>+C33</f>
        <v>Pendapatan Non Opr Lainnya</v>
      </c>
      <c r="D93" s="215"/>
      <c r="E93" s="215"/>
      <c r="F93" s="215"/>
      <c r="G93" s="215"/>
      <c r="H93" s="215"/>
      <c r="I93" s="215"/>
      <c r="J93" s="215"/>
      <c r="K93" s="240"/>
      <c r="L93" s="216"/>
      <c r="M93" s="216"/>
      <c r="N93" s="216"/>
      <c r="O93" s="216"/>
      <c r="P93" s="216"/>
      <c r="Q93" s="216"/>
      <c r="R93" s="216"/>
      <c r="S93" s="255"/>
    </row>
    <row r="94" spans="2:19">
      <c r="B94" s="213"/>
      <c r="C94" s="214"/>
      <c r="D94" s="215"/>
      <c r="E94" s="215"/>
      <c r="F94" s="215"/>
      <c r="G94" s="215"/>
      <c r="H94" s="215"/>
      <c r="I94" s="215"/>
      <c r="J94" s="215"/>
      <c r="K94" s="240"/>
      <c r="L94" s="216"/>
      <c r="M94" s="216"/>
      <c r="N94" s="216"/>
      <c r="O94" s="216"/>
      <c r="P94" s="216"/>
      <c r="Q94" s="216"/>
      <c r="R94" s="216"/>
      <c r="S94" s="255"/>
    </row>
    <row r="95" spans="2:19">
      <c r="B95" s="213"/>
      <c r="C95" s="214"/>
      <c r="D95" s="215"/>
      <c r="E95" s="215"/>
      <c r="F95" s="215"/>
      <c r="G95" s="215"/>
      <c r="H95" s="215"/>
      <c r="I95" s="215"/>
      <c r="J95" s="215"/>
      <c r="K95" s="240"/>
      <c r="L95" s="216"/>
      <c r="M95" s="216"/>
      <c r="N95" s="216"/>
      <c r="O95" s="216"/>
      <c r="P95" s="216"/>
      <c r="Q95" s="216"/>
      <c r="R95" s="216"/>
      <c r="S95" s="255"/>
    </row>
    <row r="96" spans="2:19">
      <c r="B96" s="213"/>
      <c r="C96" s="214"/>
      <c r="D96" s="215"/>
      <c r="E96" s="215"/>
      <c r="F96" s="215"/>
      <c r="G96" s="215"/>
      <c r="H96" s="215"/>
      <c r="I96" s="215"/>
      <c r="J96" s="215"/>
      <c r="K96" s="240"/>
      <c r="L96" s="216"/>
      <c r="M96" s="216"/>
      <c r="N96" s="216"/>
      <c r="O96" s="216"/>
      <c r="P96" s="216"/>
      <c r="Q96" s="216"/>
      <c r="R96" s="216"/>
      <c r="S96" s="255"/>
    </row>
    <row r="97" spans="2:19">
      <c r="B97" s="213"/>
      <c r="C97" s="214"/>
      <c r="D97" s="215"/>
      <c r="E97" s="215"/>
      <c r="F97" s="215"/>
      <c r="G97" s="215"/>
      <c r="H97" s="215"/>
      <c r="I97" s="215"/>
      <c r="J97" s="215"/>
      <c r="K97" s="240"/>
      <c r="L97" s="216"/>
      <c r="M97" s="216"/>
      <c r="N97" s="216"/>
      <c r="O97" s="216"/>
      <c r="P97" s="216"/>
      <c r="Q97" s="216"/>
      <c r="R97" s="216"/>
      <c r="S97" s="255"/>
    </row>
    <row r="98" spans="2:19">
      <c r="B98" s="213"/>
      <c r="C98" s="214"/>
      <c r="D98" s="215"/>
      <c r="E98" s="215"/>
      <c r="F98" s="215"/>
      <c r="G98" s="215"/>
      <c r="H98" s="215"/>
      <c r="I98" s="215"/>
      <c r="J98" s="215"/>
      <c r="K98" s="240"/>
      <c r="L98" s="216"/>
      <c r="M98" s="216"/>
      <c r="N98" s="216"/>
      <c r="O98" s="216"/>
      <c r="P98" s="216"/>
      <c r="Q98" s="216"/>
      <c r="R98" s="216"/>
      <c r="S98" s="255"/>
    </row>
    <row r="99" spans="2:19">
      <c r="B99" s="213"/>
      <c r="C99" s="214"/>
      <c r="D99" s="215"/>
      <c r="E99" s="215"/>
      <c r="F99" s="215"/>
      <c r="G99" s="215"/>
      <c r="H99" s="215"/>
      <c r="I99" s="215"/>
      <c r="J99" s="215"/>
      <c r="K99" s="240"/>
      <c r="L99" s="216"/>
      <c r="M99" s="216"/>
      <c r="N99" s="216"/>
      <c r="O99" s="216"/>
      <c r="P99" s="216"/>
      <c r="Q99" s="216"/>
      <c r="R99" s="216"/>
      <c r="S99" s="255"/>
    </row>
    <row r="100" spans="2:19">
      <c r="B100" s="213"/>
      <c r="C100" s="214"/>
      <c r="D100" s="215"/>
      <c r="E100" s="215"/>
      <c r="F100" s="215"/>
      <c r="G100" s="215"/>
      <c r="H100" s="215"/>
      <c r="I100" s="215"/>
      <c r="J100" s="215"/>
      <c r="K100" s="240"/>
      <c r="L100" s="216"/>
      <c r="M100" s="216"/>
      <c r="N100" s="216"/>
      <c r="O100" s="216"/>
      <c r="P100" s="216"/>
      <c r="Q100" s="216"/>
      <c r="R100" s="216"/>
      <c r="S100" s="255"/>
    </row>
    <row r="101" spans="2:19">
      <c r="B101" s="217" t="s">
        <v>952</v>
      </c>
      <c r="C101" s="218"/>
      <c r="D101" s="218"/>
      <c r="E101" s="215"/>
      <c r="F101" s="215"/>
      <c r="G101" s="215"/>
      <c r="H101" s="218"/>
      <c r="I101" s="218"/>
      <c r="J101" s="218"/>
      <c r="K101" s="218"/>
      <c r="L101" s="218"/>
      <c r="M101" s="218"/>
      <c r="N101" s="241"/>
      <c r="O101" s="241"/>
      <c r="P101" s="241"/>
      <c r="Q101" s="241"/>
      <c r="R101" s="216"/>
      <c r="S101" s="255"/>
    </row>
    <row r="102" spans="2:19">
      <c r="B102" s="217"/>
      <c r="C102" s="219" t="s">
        <v>953</v>
      </c>
      <c r="D102" s="220" t="s">
        <v>954</v>
      </c>
      <c r="E102" s="220"/>
      <c r="F102" s="220"/>
      <c r="G102" s="220"/>
      <c r="H102" s="220"/>
      <c r="I102" s="220"/>
      <c r="J102" s="220"/>
      <c r="K102" s="222"/>
      <c r="L102" s="220" t="s">
        <v>2264</v>
      </c>
      <c r="M102" s="224"/>
      <c r="N102" s="241"/>
      <c r="O102" s="241"/>
      <c r="P102" s="241"/>
      <c r="Q102" s="241"/>
      <c r="R102" s="216"/>
      <c r="S102" s="255"/>
    </row>
    <row r="103" spans="2:19">
      <c r="B103" s="221" t="s">
        <v>13599</v>
      </c>
      <c r="C103" s="218"/>
      <c r="D103" s="222"/>
      <c r="E103" s="220"/>
      <c r="F103" s="220"/>
      <c r="G103" s="220"/>
      <c r="H103" s="220"/>
      <c r="I103" s="222"/>
      <c r="J103" s="222"/>
      <c r="K103" s="220"/>
      <c r="L103" s="242"/>
      <c r="M103" s="218"/>
      <c r="N103" s="241"/>
      <c r="O103" s="241"/>
      <c r="P103" s="241"/>
      <c r="Q103" s="241"/>
      <c r="R103" s="216"/>
      <c r="S103" s="255"/>
    </row>
    <row r="104" spans="2:19">
      <c r="B104" s="223"/>
      <c r="C104" s="224"/>
      <c r="D104" s="224"/>
      <c r="E104" s="224"/>
      <c r="F104" s="224"/>
      <c r="G104" s="224"/>
      <c r="H104" s="224"/>
      <c r="I104" s="224"/>
      <c r="J104" s="224"/>
      <c r="K104" s="224"/>
      <c r="L104" s="224"/>
      <c r="M104" s="224"/>
      <c r="N104" s="241"/>
      <c r="O104" s="241"/>
      <c r="P104" s="241"/>
      <c r="Q104" s="241"/>
      <c r="R104" s="216"/>
      <c r="S104" s="255"/>
    </row>
    <row r="105" spans="2:19">
      <c r="B105" s="223"/>
      <c r="C105" s="224"/>
      <c r="D105" s="224"/>
      <c r="E105" s="224"/>
      <c r="F105" s="224"/>
      <c r="G105" s="224"/>
      <c r="H105" s="224"/>
      <c r="I105" s="224"/>
      <c r="J105" s="224"/>
      <c r="K105" s="224"/>
      <c r="L105" s="224"/>
      <c r="M105" s="224"/>
      <c r="N105" s="241"/>
      <c r="O105" s="241"/>
      <c r="P105" s="241"/>
      <c r="Q105" s="241"/>
      <c r="R105" s="256"/>
      <c r="S105" s="255"/>
    </row>
    <row r="106" spans="2:19">
      <c r="B106" s="225"/>
      <c r="C106" s="226"/>
      <c r="D106" s="227"/>
      <c r="E106" s="227"/>
      <c r="F106" s="227"/>
      <c r="G106" s="227"/>
      <c r="H106" s="227"/>
      <c r="I106" s="227"/>
      <c r="J106" s="227"/>
      <c r="K106" s="243"/>
      <c r="L106" s="227"/>
      <c r="M106" s="227"/>
      <c r="N106" s="244"/>
      <c r="O106" s="244"/>
      <c r="P106" s="244"/>
      <c r="Q106" s="244"/>
      <c r="R106" s="257"/>
      <c r="S106" s="258"/>
    </row>
    <row r="107" spans="11:18">
      <c r="K107" s="245"/>
      <c r="L107" s="246"/>
      <c r="R107" s="103"/>
    </row>
    <row r="108" spans="3:18">
      <c r="C108" s="100"/>
      <c r="K108" s="247"/>
      <c r="L108" s="245"/>
      <c r="M108" s="248"/>
      <c r="N108" s="249"/>
      <c r="R108" s="103"/>
    </row>
    <row r="109" spans="3:18">
      <c r="C109" s="100"/>
      <c r="K109" s="247"/>
      <c r="L109" s="245"/>
      <c r="M109" s="100"/>
      <c r="N109" s="249"/>
      <c r="R109" s="103"/>
    </row>
    <row r="110" spans="3:18">
      <c r="C110" s="100"/>
      <c r="K110" s="245"/>
      <c r="L110" s="245"/>
      <c r="M110" s="100"/>
      <c r="N110" s="249"/>
      <c r="R110" s="103"/>
    </row>
    <row r="111" spans="3:18">
      <c r="C111" s="100"/>
      <c r="K111" s="245"/>
      <c r="L111" s="245"/>
      <c r="M111" s="100"/>
      <c r="N111" s="249"/>
      <c r="R111" s="103"/>
    </row>
    <row r="112" spans="3:18">
      <c r="C112" s="100"/>
      <c r="K112" s="245"/>
      <c r="L112" s="245"/>
      <c r="M112" s="100"/>
      <c r="N112" s="249"/>
      <c r="R112" s="103"/>
    </row>
    <row r="113" spans="11:18">
      <c r="K113" s="245"/>
      <c r="L113" s="245"/>
      <c r="R113" s="103"/>
    </row>
    <row r="114" spans="11:18">
      <c r="K114" s="249"/>
      <c r="L114" s="245"/>
      <c r="R114" s="103"/>
    </row>
    <row r="115" spans="3:18">
      <c r="C115" s="100"/>
      <c r="L115" s="245"/>
      <c r="M115" s="249"/>
      <c r="R115" s="103"/>
    </row>
    <row r="118" spans="3:3">
      <c r="C118" s="228"/>
    </row>
    <row r="119" spans="3:3">
      <c r="C119" s="228"/>
    </row>
  </sheetData>
  <mergeCells count="6">
    <mergeCell ref="G9:H9"/>
    <mergeCell ref="M9:N9"/>
    <mergeCell ref="R9:S9"/>
    <mergeCell ref="G10:H10"/>
    <mergeCell ref="M10:N10"/>
    <mergeCell ref="R10:S10"/>
  </mergeCells>
  <hyperlinks>
    <hyperlink ref="J35" location="Note2!A1" display="=SUM(J24:J34)"/>
    <hyperlink ref="S3" location="'F3'!A1" display="50"/>
    <hyperlink ref="C7" location="'F3'!A1" display=" Pendapatan (beban) lain-lain"/>
  </hyperlinks>
  <printOptions horizontalCentered="1"/>
  <pageMargins left="0.511811023622047" right="0.31496062992126" top="0.511811023622047" bottom="0.31496062992126" header="0.511811023622047" footer="0.511811023622047"/>
  <pageSetup paperSize="9" scale="56" orientation="portrait"/>
  <headerFooter alignWithMargins="0">
    <oddFooter>&amp;R&amp;"Arial,Bold"&amp;28 50</oddFooter>
  </headerFooter>
  <drawing r:id="rId1"/>
  <legacyDrawing r:id="rId2"/>
  <oleObjects>
    <mc:AlternateContent xmlns:mc="http://schemas.openxmlformats.org/markup-compatibility/2006">
      <mc:Choice Requires="x14">
        <oleObject shapeId="87079" progId="Paint.Picture" r:id="rId3">
          <objectPr defaultSize="0" r:id="rId4">
            <anchor moveWithCells="1">
              <from>
                <xdr:col>10</xdr:col>
                <xdr:colOff>571500</xdr:colOff>
                <xdr:row>78</xdr:row>
                <xdr:rowOff>127000</xdr:rowOff>
              </from>
              <to>
                <xdr:col>10</xdr:col>
                <xdr:colOff>819150</xdr:colOff>
                <xdr:row>80</xdr:row>
                <xdr:rowOff>38100</xdr:rowOff>
              </to>
            </anchor>
          </objectPr>
        </oleObject>
      </mc:Choice>
      <mc:Fallback>
        <oleObject shapeId="87079" progId="Paint.Picture" r:id="rId3"/>
      </mc:Fallback>
    </mc:AlternateContent>
    <mc:AlternateContent xmlns:mc="http://schemas.openxmlformats.org/markup-compatibility/2006">
      <mc:Choice Requires="x14">
        <oleObject shapeId="87087" progId="Paint.Picture" r:id="rId5">
          <objectPr defaultSize="0" r:id="rId6">
            <anchor moveWithCells="1">
              <from>
                <xdr:col>16</xdr:col>
                <xdr:colOff>539750</xdr:colOff>
                <xdr:row>11</xdr:row>
                <xdr:rowOff>38100</xdr:rowOff>
              </from>
              <to>
                <xdr:col>16</xdr:col>
                <xdr:colOff>723900</xdr:colOff>
                <xdr:row>12</xdr:row>
                <xdr:rowOff>44450</xdr:rowOff>
              </to>
            </anchor>
          </objectPr>
        </oleObject>
      </mc:Choice>
      <mc:Fallback>
        <oleObject shapeId="87087" progId="Paint.Picture" r:id="rId5"/>
      </mc:Fallback>
    </mc:AlternateContent>
    <mc:AlternateContent xmlns:mc="http://schemas.openxmlformats.org/markup-compatibility/2006">
      <mc:Choice Requires="x14">
        <oleObject shapeId="757760" progId="Paint.Picture" r:id="rId7">
          <objectPr defaultSize="0" r:id="rId8">
            <anchor moveWithCells="1">
              <from>
                <xdr:col>1</xdr:col>
                <xdr:colOff>234950</xdr:colOff>
                <xdr:row>80</xdr:row>
                <xdr:rowOff>127000</xdr:rowOff>
              </from>
              <to>
                <xdr:col>1</xdr:col>
                <xdr:colOff>393700</xdr:colOff>
                <xdr:row>81</xdr:row>
                <xdr:rowOff>139700</xdr:rowOff>
              </to>
            </anchor>
          </objectPr>
        </oleObject>
      </mc:Choice>
      <mc:Fallback>
        <oleObject shapeId="757760" progId="Paint.Picture" r:id="rId7"/>
      </mc:Fallback>
    </mc:AlternateContent>
    <mc:AlternateContent xmlns:mc="http://schemas.openxmlformats.org/markup-compatibility/2006">
      <mc:Choice Requires="x14">
        <oleObject shapeId="757761" progId="Paint.Picture" r:id="rId9">
          <objectPr defaultSize="0" r:id="rId6">
            <anchor moveWithCells="1">
              <from>
                <xdr:col>1</xdr:col>
                <xdr:colOff>222250</xdr:colOff>
                <xdr:row>82</xdr:row>
                <xdr:rowOff>6350</xdr:rowOff>
              </from>
              <to>
                <xdr:col>1</xdr:col>
                <xdr:colOff>393700</xdr:colOff>
                <xdr:row>83</xdr:row>
                <xdr:rowOff>12700</xdr:rowOff>
              </to>
            </anchor>
          </objectPr>
        </oleObject>
      </mc:Choice>
      <mc:Fallback>
        <oleObject shapeId="757761" progId="Paint.Picture" r:id="rId9"/>
      </mc:Fallback>
    </mc:AlternateContent>
    <mc:AlternateContent xmlns:mc="http://schemas.openxmlformats.org/markup-compatibility/2006">
      <mc:Choice Requires="x14">
        <oleObject shapeId="757762" progId="Paint.Picture" r:id="rId10">
          <objectPr defaultSize="0" r:id="rId4">
            <anchor moveWithCells="1">
              <from>
                <xdr:col>1</xdr:col>
                <xdr:colOff>228600</xdr:colOff>
                <xdr:row>83</xdr:row>
                <xdr:rowOff>38100</xdr:rowOff>
              </from>
              <to>
                <xdr:col>1</xdr:col>
                <xdr:colOff>387350</xdr:colOff>
                <xdr:row>84</xdr:row>
                <xdr:rowOff>19050</xdr:rowOff>
              </to>
            </anchor>
          </objectPr>
        </oleObject>
      </mc:Choice>
      <mc:Fallback>
        <oleObject shapeId="757762" progId="Paint.Picture" r:id="rId10"/>
      </mc:Fallback>
    </mc:AlternateContent>
  </oleObjects>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8"/>
  <dimension ref="B2:J35"/>
  <sheetViews>
    <sheetView workbookViewId="0">
      <pane xSplit="4" ySplit="2" topLeftCell="E3" activePane="bottomRight" state="frozen"/>
      <selection/>
      <selection pane="topRight"/>
      <selection pane="bottomLeft"/>
      <selection pane="bottomRight" activeCell="I31" sqref="I31"/>
    </sheetView>
  </sheetViews>
  <sheetFormatPr defaultColWidth="9" defaultRowHeight="11.4"/>
  <cols>
    <col min="3" max="3" width="11.2395833333333" customWidth="1"/>
    <col min="4" max="4" width="11.9895833333333" customWidth="1"/>
    <col min="5" max="5" width="13.6354166666667" customWidth="1"/>
    <col min="6" max="6" width="14.2395833333333" customWidth="1"/>
    <col min="7" max="7" width="12.1354166666667" customWidth="1"/>
    <col min="9" max="9" width="55.59375" customWidth="1"/>
    <col min="10" max="10" width="13.03125" customWidth="1"/>
  </cols>
  <sheetData>
    <row r="2" ht="12" spans="2:10">
      <c r="B2" s="94" t="s">
        <v>13600</v>
      </c>
      <c r="C2" s="94" t="s">
        <v>2260</v>
      </c>
      <c r="D2" s="94"/>
      <c r="E2" s="94" t="s">
        <v>275</v>
      </c>
      <c r="F2" s="94" t="s">
        <v>2261</v>
      </c>
      <c r="G2" s="94"/>
      <c r="H2" s="94" t="s">
        <v>657</v>
      </c>
      <c r="I2" s="94"/>
      <c r="J2" s="98">
        <f>SUM(J3:J34)</f>
        <v>0</v>
      </c>
    </row>
    <row r="3" spans="2:10">
      <c r="B3" s="95"/>
      <c r="C3" s="95"/>
      <c r="D3" s="95"/>
      <c r="E3" s="96"/>
      <c r="F3" s="96"/>
      <c r="G3" s="96"/>
      <c r="H3" s="96"/>
      <c r="I3" s="96"/>
      <c r="J3" s="99"/>
    </row>
    <row r="4" spans="2:10">
      <c r="B4" s="95"/>
      <c r="C4" s="95"/>
      <c r="D4" s="95"/>
      <c r="E4" s="96"/>
      <c r="F4" s="96"/>
      <c r="G4" s="96"/>
      <c r="H4" s="96"/>
      <c r="I4" s="96"/>
      <c r="J4" s="99"/>
    </row>
    <row r="5" spans="2:10">
      <c r="B5" s="95"/>
      <c r="C5" s="95"/>
      <c r="D5" s="95"/>
      <c r="E5" s="96"/>
      <c r="F5" s="96"/>
      <c r="G5" s="96"/>
      <c r="H5" s="96"/>
      <c r="I5" s="96"/>
      <c r="J5" s="99"/>
    </row>
    <row r="6" spans="2:10">
      <c r="B6" s="95"/>
      <c r="C6" s="95"/>
      <c r="D6" s="95"/>
      <c r="E6" s="96"/>
      <c r="F6" s="96"/>
      <c r="G6" s="96"/>
      <c r="H6" s="96"/>
      <c r="I6" s="96"/>
      <c r="J6" s="99"/>
    </row>
    <row r="7" spans="2:10">
      <c r="B7" s="95"/>
      <c r="C7" s="95"/>
      <c r="D7" s="95"/>
      <c r="E7" s="96"/>
      <c r="F7" s="96"/>
      <c r="G7" s="96"/>
      <c r="H7" s="96"/>
      <c r="I7" s="96"/>
      <c r="J7" s="99"/>
    </row>
    <row r="8" spans="2:10">
      <c r="B8" s="95"/>
      <c r="C8" s="95"/>
      <c r="D8" s="95"/>
      <c r="E8" s="96"/>
      <c r="F8" s="96"/>
      <c r="G8" s="96"/>
      <c r="H8" s="96"/>
      <c r="I8" s="96"/>
      <c r="J8" s="99"/>
    </row>
    <row r="9" spans="2:10">
      <c r="B9" s="95"/>
      <c r="C9" s="95"/>
      <c r="D9" s="95"/>
      <c r="E9" s="96"/>
      <c r="F9" s="96"/>
      <c r="G9" s="96"/>
      <c r="H9" s="96"/>
      <c r="I9" s="96"/>
      <c r="J9" s="99"/>
    </row>
    <row r="10" spans="2:10">
      <c r="B10" s="95"/>
      <c r="C10" s="95"/>
      <c r="D10" s="95"/>
      <c r="E10" s="96"/>
      <c r="F10" s="96"/>
      <c r="G10" s="96"/>
      <c r="H10" s="96"/>
      <c r="I10" s="96"/>
      <c r="J10" s="99"/>
    </row>
    <row r="11" spans="2:10">
      <c r="B11" s="95"/>
      <c r="C11" s="95"/>
      <c r="D11" s="95"/>
      <c r="E11" s="96"/>
      <c r="F11" s="96"/>
      <c r="G11" s="96"/>
      <c r="H11" s="96"/>
      <c r="I11" s="96"/>
      <c r="J11" s="99"/>
    </row>
    <row r="12" spans="2:10">
      <c r="B12" s="95"/>
      <c r="C12" s="95"/>
      <c r="D12" s="95"/>
      <c r="E12" s="96"/>
      <c r="F12" s="96"/>
      <c r="G12" s="96"/>
      <c r="H12" s="96"/>
      <c r="I12" s="96"/>
      <c r="J12" s="99"/>
    </row>
    <row r="13" spans="2:10">
      <c r="B13" s="95"/>
      <c r="C13" s="95"/>
      <c r="D13" s="95"/>
      <c r="E13" s="96"/>
      <c r="F13" s="96"/>
      <c r="G13" s="96"/>
      <c r="H13" s="96"/>
      <c r="I13" s="96"/>
      <c r="J13" s="99"/>
    </row>
    <row r="14" spans="2:10">
      <c r="B14" s="95"/>
      <c r="C14" s="95"/>
      <c r="D14" s="95"/>
      <c r="E14" s="96"/>
      <c r="F14" s="96"/>
      <c r="G14" s="96"/>
      <c r="H14" s="96"/>
      <c r="I14" s="96"/>
      <c r="J14" s="99"/>
    </row>
    <row r="15" spans="2:10">
      <c r="B15" s="95"/>
      <c r="C15" s="95"/>
      <c r="D15" s="95"/>
      <c r="E15" s="96"/>
      <c r="F15" s="96"/>
      <c r="G15" s="96"/>
      <c r="H15" s="96"/>
      <c r="I15" s="96"/>
      <c r="J15" s="99"/>
    </row>
    <row r="16" spans="2:10">
      <c r="B16" s="95"/>
      <c r="C16" s="95"/>
      <c r="D16" s="95"/>
      <c r="E16" s="96"/>
      <c r="F16" s="96"/>
      <c r="G16" s="96"/>
      <c r="H16" s="96"/>
      <c r="I16" s="96"/>
      <c r="J16" s="99"/>
    </row>
    <row r="17" spans="2:10">
      <c r="B17" s="95"/>
      <c r="C17" s="95"/>
      <c r="D17" s="95"/>
      <c r="E17" s="96"/>
      <c r="F17" s="96"/>
      <c r="G17" s="96"/>
      <c r="H17" s="96"/>
      <c r="I17" s="96"/>
      <c r="J17" s="99"/>
    </row>
    <row r="18" spans="2:10">
      <c r="B18" s="95"/>
      <c r="C18" s="95"/>
      <c r="D18" s="95"/>
      <c r="E18" s="96"/>
      <c r="F18" s="96"/>
      <c r="G18" s="96"/>
      <c r="H18" s="96"/>
      <c r="I18" s="96"/>
      <c r="J18" s="99"/>
    </row>
    <row r="19" spans="2:10">
      <c r="B19" s="95"/>
      <c r="C19" s="95"/>
      <c r="D19" s="95"/>
      <c r="E19" s="96"/>
      <c r="F19" s="96"/>
      <c r="G19" s="96"/>
      <c r="H19" s="96"/>
      <c r="I19" s="96"/>
      <c r="J19" s="99"/>
    </row>
    <row r="20" spans="2:10">
      <c r="B20" s="95"/>
      <c r="C20" s="95"/>
      <c r="D20" s="95"/>
      <c r="E20" s="96"/>
      <c r="F20" s="96"/>
      <c r="G20" s="96"/>
      <c r="H20" s="96"/>
      <c r="I20" s="96"/>
      <c r="J20" s="99"/>
    </row>
    <row r="21" spans="2:10">
      <c r="B21" s="95"/>
      <c r="C21" s="95"/>
      <c r="D21" s="95"/>
      <c r="E21" s="96"/>
      <c r="F21" s="96"/>
      <c r="G21" s="96"/>
      <c r="H21" s="96"/>
      <c r="I21" s="96"/>
      <c r="J21" s="99"/>
    </row>
    <row r="22" spans="2:10">
      <c r="B22" s="95"/>
      <c r="C22" s="95"/>
      <c r="D22" s="95"/>
      <c r="E22" s="96"/>
      <c r="F22" s="96"/>
      <c r="G22" s="96"/>
      <c r="H22" s="96"/>
      <c r="I22" s="96"/>
      <c r="J22" s="99"/>
    </row>
    <row r="23" spans="2:10">
      <c r="B23" s="95"/>
      <c r="C23" s="95"/>
      <c r="D23" s="95"/>
      <c r="E23" s="96"/>
      <c r="F23" s="96"/>
      <c r="G23" s="96"/>
      <c r="H23" s="96"/>
      <c r="I23" s="96"/>
      <c r="J23" s="99"/>
    </row>
    <row r="24" spans="2:10">
      <c r="B24" s="95"/>
      <c r="C24" s="95"/>
      <c r="D24" s="95"/>
      <c r="E24" s="96"/>
      <c r="F24" s="96"/>
      <c r="G24" s="96"/>
      <c r="H24" s="96"/>
      <c r="I24" s="96"/>
      <c r="J24" s="99"/>
    </row>
    <row r="25" spans="2:10">
      <c r="B25" s="95"/>
      <c r="C25" s="95"/>
      <c r="D25" s="95"/>
      <c r="E25" s="96"/>
      <c r="F25" s="96"/>
      <c r="G25" s="96"/>
      <c r="H25" s="96"/>
      <c r="I25" s="96"/>
      <c r="J25" s="99"/>
    </row>
    <row r="26" spans="2:10">
      <c r="B26" s="95"/>
      <c r="C26" s="95"/>
      <c r="D26" s="95"/>
      <c r="E26" s="96"/>
      <c r="F26" s="96"/>
      <c r="G26" s="96"/>
      <c r="H26" s="96"/>
      <c r="I26" s="96"/>
      <c r="J26" s="99"/>
    </row>
    <row r="27" spans="2:10">
      <c r="B27" s="95"/>
      <c r="C27" s="95"/>
      <c r="D27" s="95"/>
      <c r="E27" s="96"/>
      <c r="F27" s="96"/>
      <c r="G27" s="96"/>
      <c r="H27" s="96"/>
      <c r="I27" s="96"/>
      <c r="J27" s="99"/>
    </row>
    <row r="28" spans="2:10">
      <c r="B28" s="95"/>
      <c r="C28" s="95"/>
      <c r="D28" s="95"/>
      <c r="E28" s="96"/>
      <c r="F28" s="96"/>
      <c r="G28" s="96"/>
      <c r="H28" s="96"/>
      <c r="I28" s="96"/>
      <c r="J28" s="99"/>
    </row>
    <row r="29" spans="2:10">
      <c r="B29" s="95"/>
      <c r="C29" s="95"/>
      <c r="D29" s="95"/>
      <c r="E29" s="96"/>
      <c r="F29" s="96"/>
      <c r="G29" s="96"/>
      <c r="H29" s="96"/>
      <c r="I29" s="96"/>
      <c r="J29" s="99"/>
    </row>
    <row r="30" spans="2:10">
      <c r="B30" s="95"/>
      <c r="C30" s="95"/>
      <c r="D30" s="95"/>
      <c r="E30" s="96"/>
      <c r="F30" s="96"/>
      <c r="G30" s="96"/>
      <c r="H30" s="96"/>
      <c r="I30" s="96"/>
      <c r="J30" s="99"/>
    </row>
    <row r="31" spans="2:10">
      <c r="B31" s="95"/>
      <c r="C31" s="95"/>
      <c r="D31" s="95"/>
      <c r="E31" s="96"/>
      <c r="F31" s="96"/>
      <c r="G31" s="96"/>
      <c r="H31" s="96"/>
      <c r="I31" s="96"/>
      <c r="J31" s="99"/>
    </row>
    <row r="32" spans="2:10">
      <c r="B32" s="95"/>
      <c r="C32" s="95"/>
      <c r="D32" s="95"/>
      <c r="E32" s="96"/>
      <c r="F32" s="96"/>
      <c r="G32" s="96"/>
      <c r="H32" s="96"/>
      <c r="I32" s="96"/>
      <c r="J32" s="99"/>
    </row>
    <row r="33" spans="2:10">
      <c r="B33" s="95"/>
      <c r="C33" s="95"/>
      <c r="D33" s="95"/>
      <c r="E33" s="96"/>
      <c r="F33" s="96"/>
      <c r="G33" s="96"/>
      <c r="H33" s="96"/>
      <c r="I33" s="96"/>
      <c r="J33" s="99"/>
    </row>
    <row r="34" spans="2:10">
      <c r="B34" s="95"/>
      <c r="C34" s="95"/>
      <c r="D34" s="95"/>
      <c r="E34" s="96"/>
      <c r="F34" s="96"/>
      <c r="G34" s="96"/>
      <c r="H34" s="96"/>
      <c r="I34" s="96"/>
      <c r="J34" s="99"/>
    </row>
    <row r="35" spans="2:10">
      <c r="B35" s="95"/>
      <c r="C35" s="95"/>
      <c r="D35" s="95"/>
      <c r="E35" s="97"/>
      <c r="F35" s="97"/>
      <c r="G35" s="97"/>
      <c r="H35" s="97"/>
      <c r="I35" s="97"/>
      <c r="J35" s="97"/>
    </row>
  </sheetData>
  <pageMargins left="0.7" right="0.7" top="0.75" bottom="0.75" header="0.3" footer="0.3"/>
  <headerFooter/>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9"/>
  <dimension ref="B4:F18"/>
  <sheetViews>
    <sheetView zoomScale="130" zoomScaleNormal="130" topLeftCell="A7" workbookViewId="0">
      <selection activeCell="F8" sqref="F8"/>
    </sheetView>
  </sheetViews>
  <sheetFormatPr defaultColWidth="9" defaultRowHeight="11.4" outlineLevelCol="5"/>
  <cols>
    <col min="2" max="2" width="12.7395833333333" customWidth="1"/>
    <col min="4" max="4" width="15.7291666666667" customWidth="1"/>
    <col min="5" max="6" width="12.7395833333333" customWidth="1"/>
  </cols>
  <sheetData>
    <row r="4" spans="2:2">
      <c r="B4" t="s">
        <v>13601</v>
      </c>
    </row>
    <row r="5" spans="4:5">
      <c r="D5">
        <v>2016</v>
      </c>
      <c r="E5">
        <v>2017</v>
      </c>
    </row>
    <row r="6" spans="4:6">
      <c r="D6">
        <v>0</v>
      </c>
      <c r="E6">
        <v>0</v>
      </c>
      <c r="F6" s="93">
        <v>0</v>
      </c>
    </row>
    <row r="8" spans="2:4">
      <c r="B8" t="s">
        <v>13602</v>
      </c>
      <c r="C8">
        <v>2016</v>
      </c>
      <c r="D8">
        <f>D6</f>
        <v>0</v>
      </c>
    </row>
    <row r="9" spans="2:4">
      <c r="B9" t="s">
        <v>13602</v>
      </c>
      <c r="C9">
        <v>2017</v>
      </c>
      <c r="D9">
        <f>E6</f>
        <v>0</v>
      </c>
    </row>
    <row r="10" spans="2:4">
      <c r="B10" t="s">
        <v>13603</v>
      </c>
      <c r="C10">
        <v>2018</v>
      </c>
      <c r="D10">
        <f>F6</f>
        <v>0</v>
      </c>
    </row>
    <row r="12" spans="2:2">
      <c r="B12" t="s">
        <v>11977</v>
      </c>
    </row>
    <row r="13" spans="2:2">
      <c r="B13" t="s">
        <v>13604</v>
      </c>
    </row>
    <row r="14" spans="2:2">
      <c r="B14" t="s">
        <v>13605</v>
      </c>
    </row>
    <row r="15" spans="2:2">
      <c r="B15" t="s">
        <v>13606</v>
      </c>
    </row>
    <row r="17" spans="2:2">
      <c r="B17" t="s">
        <v>13607</v>
      </c>
    </row>
    <row r="18" spans="2:2">
      <c r="B18" t="s">
        <v>13608</v>
      </c>
    </row>
  </sheetData>
  <pageMargins left="0.7" right="0.7" top="0.75" bottom="0.75" header="0.3" footer="0.3"/>
  <pageSetup paperSize="9" orientation="portrait"/>
  <headerFooter/>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1"/>
  <dimension ref="B2:K56"/>
  <sheetViews>
    <sheetView workbookViewId="0">
      <pane xSplit="3" ySplit="6" topLeftCell="D7" activePane="bottomRight" state="frozen"/>
      <selection/>
      <selection pane="topRight"/>
      <selection pane="bottomLeft"/>
      <selection pane="bottomRight" activeCell="G32" sqref="G32"/>
    </sheetView>
  </sheetViews>
  <sheetFormatPr defaultColWidth="9.13541666666667" defaultRowHeight="13.2"/>
  <cols>
    <col min="1" max="1" width="4.79166666666667" style="1" customWidth="1"/>
    <col min="2" max="2" width="4.34375" style="1" customWidth="1"/>
    <col min="3" max="3" width="62.1770833333333" style="1" customWidth="1"/>
    <col min="4" max="5" width="16.3333333333333" style="1" customWidth="1"/>
    <col min="6" max="6" width="11.8333333333333" style="1" customWidth="1"/>
    <col min="7" max="7" width="29.21875" style="51" customWidth="1"/>
    <col min="8" max="8" width="13.3333333333333" style="1" customWidth="1"/>
    <col min="9" max="16384" width="9.13541666666667" style="1"/>
  </cols>
  <sheetData>
    <row r="2" ht="17.4" spans="2:2">
      <c r="B2" s="52" t="str">
        <f>'50'!C4</f>
        <v>PT INTAN GIRI ABADI</v>
      </c>
    </row>
    <row r="3" ht="15" spans="2:2">
      <c r="B3" s="5189" t="s">
        <v>13609</v>
      </c>
    </row>
    <row r="4" ht="15.6" spans="2:3">
      <c r="B4" s="5190" t="s">
        <v>732</v>
      </c>
      <c r="C4" s="55">
        <v>43830</v>
      </c>
    </row>
    <row r="5" spans="4:4">
      <c r="D5" s="23"/>
    </row>
    <row r="6" spans="2:6">
      <c r="B6" s="56"/>
      <c r="C6" s="56"/>
      <c r="D6" s="57">
        <v>43830</v>
      </c>
      <c r="E6" s="57">
        <v>43465</v>
      </c>
      <c r="F6" s="56"/>
    </row>
    <row r="7" spans="2:6">
      <c r="B7" s="56"/>
      <c r="C7" s="56"/>
      <c r="D7" s="56"/>
      <c r="E7" s="56"/>
      <c r="F7" s="56"/>
    </row>
    <row r="8" spans="2:6">
      <c r="B8" s="58" t="s">
        <v>13610</v>
      </c>
      <c r="C8" s="58"/>
      <c r="D8" s="59">
        <f>+'F30'!L28</f>
        <v>293903986</v>
      </c>
      <c r="E8" s="59">
        <f>+'F30'!R28</f>
        <v>1041960358.99999</v>
      </c>
      <c r="F8" s="56"/>
    </row>
    <row r="9" spans="2:6">
      <c r="B9" s="56"/>
      <c r="C9" s="56"/>
      <c r="D9" s="60"/>
      <c r="E9" s="60"/>
      <c r="F9" s="56"/>
    </row>
    <row r="10" spans="2:6">
      <c r="B10" s="61" t="s">
        <v>13611</v>
      </c>
      <c r="C10" s="61"/>
      <c r="D10" s="60">
        <v>0</v>
      </c>
      <c r="E10" s="60"/>
      <c r="F10" s="56"/>
    </row>
    <row r="11" spans="2:11">
      <c r="B11" s="56"/>
      <c r="C11" s="62" t="s">
        <v>13612</v>
      </c>
      <c r="D11" s="60">
        <v>0</v>
      </c>
      <c r="E11" s="63">
        <v>0</v>
      </c>
      <c r="F11" s="63"/>
      <c r="G11" s="64"/>
      <c r="H11" s="64"/>
      <c r="I11" s="64"/>
      <c r="J11" s="64"/>
      <c r="K11" s="64"/>
    </row>
    <row r="12" spans="2:11">
      <c r="B12" s="56"/>
      <c r="C12" s="62" t="s">
        <v>13613</v>
      </c>
      <c r="D12" s="60">
        <v>0</v>
      </c>
      <c r="E12" s="63">
        <v>0</v>
      </c>
      <c r="F12" s="63"/>
      <c r="G12" s="64"/>
      <c r="H12" s="64"/>
      <c r="I12" s="64"/>
      <c r="J12" s="64"/>
      <c r="K12" s="64"/>
    </row>
    <row r="13" spans="2:11">
      <c r="B13" s="56"/>
      <c r="C13" s="62" t="s">
        <v>590</v>
      </c>
      <c r="D13" s="60">
        <v>0</v>
      </c>
      <c r="E13" s="63">
        <v>0</v>
      </c>
      <c r="F13" s="63"/>
      <c r="G13" s="64"/>
      <c r="H13" s="64"/>
      <c r="I13" s="64"/>
      <c r="J13" s="64"/>
      <c r="K13" s="64"/>
    </row>
    <row r="14" spans="2:11">
      <c r="B14" s="56"/>
      <c r="C14" s="62" t="s">
        <v>13543</v>
      </c>
      <c r="D14" s="60">
        <f>'Perhit Fiskal'!I41*0</f>
        <v>0</v>
      </c>
      <c r="E14" s="65" t="s">
        <v>1866</v>
      </c>
      <c r="F14" s="63"/>
      <c r="G14" s="64"/>
      <c r="H14" s="64"/>
      <c r="I14" s="64"/>
      <c r="J14" s="64"/>
      <c r="K14" s="64"/>
    </row>
    <row r="15" spans="2:11">
      <c r="B15" s="56"/>
      <c r="C15" s="62" t="s">
        <v>13614</v>
      </c>
      <c r="D15" s="60">
        <f>'Perhit Fiskal'!I31*0</f>
        <v>0</v>
      </c>
      <c r="E15" s="65" t="s">
        <v>1866</v>
      </c>
      <c r="F15" s="63"/>
      <c r="G15" s="64"/>
      <c r="H15" s="64"/>
      <c r="I15" s="64"/>
      <c r="J15" s="64"/>
      <c r="K15" s="64"/>
    </row>
    <row r="16" spans="2:11">
      <c r="B16" s="56"/>
      <c r="C16" s="62" t="s">
        <v>13615</v>
      </c>
      <c r="D16" s="60"/>
      <c r="E16" s="63"/>
      <c r="F16" s="63"/>
      <c r="G16" s="64"/>
      <c r="H16" s="64"/>
      <c r="I16" s="64"/>
      <c r="J16" s="64"/>
      <c r="K16" s="64"/>
    </row>
    <row r="17" spans="2:11">
      <c r="B17" s="56"/>
      <c r="C17" s="62" t="s">
        <v>13616</v>
      </c>
      <c r="D17" s="66">
        <f>-('50'!P15+'Perhit Fiskal'!I53)*0</f>
        <v>0</v>
      </c>
      <c r="E17" s="67">
        <v>0</v>
      </c>
      <c r="F17" s="63"/>
      <c r="G17" s="64"/>
      <c r="H17" s="64"/>
      <c r="I17" s="64"/>
      <c r="J17" s="64"/>
      <c r="K17" s="64"/>
    </row>
    <row r="18" spans="2:6">
      <c r="B18" s="56"/>
      <c r="C18" s="62" t="s">
        <v>151</v>
      </c>
      <c r="D18" s="68">
        <f>SUM(D10:D17)</f>
        <v>0</v>
      </c>
      <c r="E18" s="68">
        <f>SUM(E10:E17)</f>
        <v>0</v>
      </c>
      <c r="F18" s="56"/>
    </row>
    <row r="19" spans="2:6">
      <c r="B19" s="56"/>
      <c r="C19" s="62"/>
      <c r="D19" s="68"/>
      <c r="E19" s="68"/>
      <c r="F19" s="56"/>
    </row>
    <row r="20" spans="2:6">
      <c r="B20" s="56" t="s">
        <v>13617</v>
      </c>
      <c r="C20" s="56"/>
      <c r="D20" s="60"/>
      <c r="E20" s="60"/>
      <c r="F20" s="56"/>
    </row>
    <row r="21" spans="2:6">
      <c r="B21" s="56"/>
      <c r="C21" s="61" t="s">
        <v>13618</v>
      </c>
      <c r="D21" s="60">
        <v>0</v>
      </c>
      <c r="E21" s="60">
        <v>0</v>
      </c>
      <c r="F21" s="56"/>
    </row>
    <row r="22" spans="2:6">
      <c r="B22" s="56"/>
      <c r="C22" s="61" t="s">
        <v>13619</v>
      </c>
      <c r="D22" s="66">
        <f>+'50'!P23</f>
        <v>0</v>
      </c>
      <c r="E22" s="67">
        <f>'50'!Q23</f>
        <v>0</v>
      </c>
      <c r="F22" s="56"/>
    </row>
    <row r="23" spans="2:6">
      <c r="B23" s="56"/>
      <c r="C23" s="69" t="s">
        <v>151</v>
      </c>
      <c r="D23" s="68">
        <f>SUM(D21:D22)</f>
        <v>0</v>
      </c>
      <c r="E23" s="68">
        <f>SUM(E21:E22)</f>
        <v>0</v>
      </c>
      <c r="F23" s="56"/>
    </row>
    <row r="24" spans="2:6">
      <c r="B24" s="56"/>
      <c r="C24" s="56"/>
      <c r="D24" s="70"/>
      <c r="E24" s="70"/>
      <c r="F24" s="56"/>
    </row>
    <row r="25" spans="2:7">
      <c r="B25" s="71" t="s">
        <v>13620</v>
      </c>
      <c r="C25" s="71"/>
      <c r="D25" s="72">
        <f>D8+D18+D23</f>
        <v>293903986</v>
      </c>
      <c r="E25" s="73">
        <f>E8+E18+E23</f>
        <v>1041960358.99999</v>
      </c>
      <c r="F25" s="56"/>
      <c r="G25" s="51" t="s">
        <v>13621</v>
      </c>
    </row>
    <row r="26" spans="2:7">
      <c r="B26" s="71"/>
      <c r="C26" s="71"/>
      <c r="D26" s="72"/>
      <c r="E26" s="73"/>
      <c r="F26" s="56"/>
      <c r="G26" s="51" t="s">
        <v>13622</v>
      </c>
    </row>
    <row r="27" spans="2:6">
      <c r="B27" s="71" t="s">
        <v>13623</v>
      </c>
      <c r="C27" s="71"/>
      <c r="D27" s="74"/>
      <c r="E27" s="56"/>
      <c r="F27" s="56"/>
    </row>
    <row r="28" ht="25.5" customHeight="1" spans="2:6">
      <c r="B28" s="71"/>
      <c r="C28" s="5191" t="s">
        <v>13624</v>
      </c>
      <c r="D28" s="72">
        <f>'Kompensasi kerugian'!D8*0</f>
        <v>0</v>
      </c>
      <c r="E28" s="76">
        <v>0</v>
      </c>
      <c r="F28" s="77"/>
    </row>
    <row r="29" spans="2:6">
      <c r="B29" s="71"/>
      <c r="C29" s="71"/>
      <c r="D29" s="78"/>
      <c r="E29" s="79"/>
      <c r="F29" s="80"/>
    </row>
    <row r="30" spans="2:6">
      <c r="B30" s="71" t="s">
        <v>13625</v>
      </c>
      <c r="C30" s="71"/>
      <c r="D30" s="81">
        <f>SUM(D25:D29)</f>
        <v>293903986</v>
      </c>
      <c r="E30" s="68">
        <f>SUM(E25:E29)</f>
        <v>1041960358.99999</v>
      </c>
      <c r="F30" s="80"/>
    </row>
    <row r="31" spans="2:6">
      <c r="B31" s="71"/>
      <c r="C31" s="71"/>
      <c r="D31" s="72"/>
      <c r="E31" s="73"/>
      <c r="F31" s="80"/>
    </row>
    <row r="32" spans="2:6">
      <c r="B32" s="71" t="s">
        <v>13626</v>
      </c>
      <c r="C32" s="71"/>
      <c r="D32" s="81">
        <f>ROUNDDOWN(D30/1000,0)*1000*0</f>
        <v>0</v>
      </c>
      <c r="E32" s="68">
        <f>ROUNDDOWN(E30/1000,0)*1000*0</f>
        <v>0</v>
      </c>
      <c r="F32" s="80"/>
    </row>
    <row r="33" spans="2:6">
      <c r="B33" s="71"/>
      <c r="C33" s="71"/>
      <c r="D33" s="73"/>
      <c r="E33" s="73"/>
      <c r="F33" s="80"/>
    </row>
    <row r="34" spans="2:6">
      <c r="B34" s="71" t="s">
        <v>13627</v>
      </c>
      <c r="C34" s="71"/>
      <c r="D34" s="73">
        <f>D32*25%</f>
        <v>0</v>
      </c>
      <c r="E34" s="73">
        <f>E32*25%</f>
        <v>0</v>
      </c>
      <c r="F34" s="80"/>
    </row>
    <row r="35" spans="2:6">
      <c r="B35" s="71"/>
      <c r="C35" s="71"/>
      <c r="D35" s="82"/>
      <c r="E35" s="82"/>
      <c r="F35" s="56"/>
    </row>
    <row r="36" spans="2:6">
      <c r="B36" s="71" t="s">
        <v>13628</v>
      </c>
      <c r="C36" s="71"/>
      <c r="D36" s="82">
        <f>D32*25%</f>
        <v>0</v>
      </c>
      <c r="E36" s="82">
        <f>E32*25%</f>
        <v>0</v>
      </c>
      <c r="F36" s="56"/>
    </row>
    <row r="37" spans="2:6">
      <c r="B37" s="71"/>
      <c r="C37" s="71"/>
      <c r="D37" s="83"/>
      <c r="E37" s="83"/>
      <c r="F37" s="56"/>
    </row>
    <row r="38" spans="2:6">
      <c r="B38" s="71" t="s">
        <v>13629</v>
      </c>
      <c r="C38" s="71"/>
      <c r="D38" s="82">
        <f>D34-D36</f>
        <v>0</v>
      </c>
      <c r="E38" s="82">
        <f>E34-E36</f>
        <v>0</v>
      </c>
      <c r="F38" s="56"/>
    </row>
    <row r="39" spans="2:6">
      <c r="B39" s="56"/>
      <c r="C39" s="71"/>
      <c r="D39" s="82"/>
      <c r="E39" s="82"/>
      <c r="F39" s="56"/>
    </row>
    <row r="40" spans="2:6">
      <c r="B40" s="58" t="s">
        <v>519</v>
      </c>
      <c r="C40" s="58"/>
      <c r="D40" s="72"/>
      <c r="E40" s="72"/>
      <c r="F40" s="56"/>
    </row>
    <row r="41" ht="14.4" spans="2:8">
      <c r="B41" s="56" t="str">
        <f>'Perhit Fiskal'!B77</f>
        <v>Patlog</v>
      </c>
      <c r="C41" s="56"/>
      <c r="D41" s="84">
        <f>E!Q15</f>
        <v>8000600</v>
      </c>
      <c r="E41" s="84">
        <f>E!R15</f>
        <v>8000000</v>
      </c>
      <c r="F41" s="56"/>
      <c r="G41" s="85"/>
      <c r="H41" s="86"/>
    </row>
    <row r="42" ht="8.25" customHeight="1" spans="2:6">
      <c r="B42" s="56"/>
      <c r="C42" s="56"/>
      <c r="D42" s="87"/>
      <c r="E42" s="87">
        <v>0</v>
      </c>
      <c r="F42" s="56"/>
    </row>
    <row r="43" spans="2:6">
      <c r="B43" s="58" t="s">
        <v>13630</v>
      </c>
      <c r="C43" s="56"/>
      <c r="D43" s="68">
        <f>SUM(D41:D42)</f>
        <v>8000600</v>
      </c>
      <c r="E43" s="68">
        <f>SUM(E41:E42)</f>
        <v>8000000</v>
      </c>
      <c r="F43" s="56"/>
    </row>
    <row r="44" spans="2:6">
      <c r="B44" s="56"/>
      <c r="C44" s="56"/>
      <c r="D44" s="88"/>
      <c r="E44" s="88"/>
      <c r="F44" s="56"/>
    </row>
    <row r="45" s="23" customFormat="1" ht="13.95" spans="2:7">
      <c r="B45" s="5192" t="s">
        <v>13631</v>
      </c>
      <c r="C45" s="58"/>
      <c r="D45" s="89">
        <f>D38-D43</f>
        <v>-8000600</v>
      </c>
      <c r="E45" s="89">
        <f>E38-E43</f>
        <v>-8000000</v>
      </c>
      <c r="F45" s="58"/>
      <c r="G45" s="90"/>
    </row>
    <row r="46" ht="13.95" spans="2:6">
      <c r="B46" s="56"/>
      <c r="C46" s="56"/>
      <c r="D46" s="56"/>
      <c r="E46" s="56"/>
      <c r="F46" s="56"/>
    </row>
    <row r="47" spans="2:6">
      <c r="B47" s="56"/>
      <c r="C47" s="56"/>
      <c r="D47" s="56"/>
      <c r="E47" s="56"/>
      <c r="F47" s="56"/>
    </row>
    <row r="48" spans="2:6">
      <c r="B48" s="58"/>
      <c r="C48" s="56"/>
      <c r="D48" s="56"/>
      <c r="E48" s="56"/>
      <c r="F48" s="56"/>
    </row>
    <row r="49" spans="2:6">
      <c r="B49" s="56"/>
      <c r="C49" s="56"/>
      <c r="D49" s="56"/>
      <c r="E49" s="56"/>
      <c r="F49" s="56"/>
    </row>
    <row r="50" spans="2:6">
      <c r="B50" s="56"/>
      <c r="C50" s="56"/>
      <c r="D50" s="56"/>
      <c r="E50" s="56"/>
      <c r="F50" s="56"/>
    </row>
    <row r="51" spans="2:6">
      <c r="B51" s="91"/>
      <c r="C51" s="56"/>
      <c r="D51" s="56"/>
      <c r="E51" s="56"/>
      <c r="F51" s="56"/>
    </row>
    <row r="52" spans="2:6">
      <c r="B52" s="56"/>
      <c r="C52" s="56"/>
      <c r="D52" s="56"/>
      <c r="E52" s="56"/>
      <c r="F52" s="56"/>
    </row>
    <row r="53" spans="2:6">
      <c r="B53" s="58"/>
      <c r="C53" s="56"/>
      <c r="D53" s="56"/>
      <c r="E53" s="56"/>
      <c r="F53" s="56"/>
    </row>
    <row r="54" spans="2:6">
      <c r="B54" s="56"/>
      <c r="C54" s="56"/>
      <c r="D54" s="56"/>
      <c r="E54" s="56"/>
      <c r="F54" s="56"/>
    </row>
    <row r="55" spans="2:6">
      <c r="B55" s="56"/>
      <c r="C55" s="56"/>
      <c r="D55" s="56"/>
      <c r="E55" s="56"/>
      <c r="F55" s="56"/>
    </row>
    <row r="56" spans="2:2">
      <c r="B56" s="92"/>
    </row>
  </sheetData>
  <pageMargins left="0.7" right="0.7" top="0.75" bottom="0.75" header="0.3" footer="0.3"/>
  <pageSetup paperSize="9" orientation="portrait"/>
  <headerFooter/>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4"/>
  <dimension ref="A2:N94"/>
  <sheetViews>
    <sheetView showGridLines="0" zoomScale="115" zoomScaleNormal="115" workbookViewId="0">
      <pane xSplit="5" ySplit="6" topLeftCell="F62" activePane="bottomRight" state="frozen"/>
      <selection/>
      <selection pane="topRight"/>
      <selection pane="bottomLeft"/>
      <selection pane="bottomRight" activeCell="B66" sqref="B66:N93"/>
    </sheetView>
  </sheetViews>
  <sheetFormatPr defaultColWidth="9.13541666666667" defaultRowHeight="11.4"/>
  <cols>
    <col min="1" max="1" width="3.14583333333333" style="1" customWidth="1"/>
    <col min="2" max="2" width="19.3333333333333" style="1" customWidth="1"/>
    <col min="3" max="3" width="11.2395833333333" style="1" customWidth="1"/>
    <col min="4" max="4" width="11.8333333333333" style="20" customWidth="1"/>
    <col min="5" max="5" width="16.03125" style="1" customWidth="1"/>
    <col min="6" max="6" width="3.14583333333333" style="21" customWidth="1"/>
    <col min="7" max="7" width="27.2708333333333" style="1" customWidth="1"/>
    <col min="8" max="8" width="17.375" style="1" customWidth="1"/>
    <col min="9" max="9" width="3.44791666666667" style="21" customWidth="1"/>
    <col min="10" max="10" width="12.7395833333333" style="1" customWidth="1"/>
    <col min="11" max="11" width="4.04166666666667" style="21" customWidth="1"/>
    <col min="12" max="12" width="10.3333333333333" style="1" customWidth="1"/>
    <col min="13" max="13" width="9.13541666666667" style="1"/>
    <col min="14" max="14" width="10.3333333333333" style="1" customWidth="1"/>
    <col min="15" max="16384" width="9.13541666666667" style="1"/>
  </cols>
  <sheetData>
    <row r="2" ht="12" spans="2:2">
      <c r="B2" s="22" t="str">
        <f>'50'!C4</f>
        <v>PT INTAN GIRI ABADI</v>
      </c>
    </row>
    <row r="3" ht="13.2" spans="2:2">
      <c r="B3" s="23" t="s">
        <v>13632</v>
      </c>
    </row>
    <row r="5" ht="12" spans="2:14">
      <c r="B5" s="24" t="s">
        <v>12793</v>
      </c>
      <c r="M5" t="s">
        <v>13633</v>
      </c>
      <c r="N5"/>
    </row>
    <row r="6" ht="13.2" spans="2:14">
      <c r="B6" s="25" t="s">
        <v>13424</v>
      </c>
      <c r="C6" s="25" t="s">
        <v>13634</v>
      </c>
      <c r="D6" s="26" t="s">
        <v>275</v>
      </c>
      <c r="E6" s="25" t="s">
        <v>13635</v>
      </c>
      <c r="F6" s="27"/>
      <c r="G6" s="25" t="s">
        <v>13636</v>
      </c>
      <c r="H6" s="28" t="s">
        <v>1204</v>
      </c>
      <c r="I6" s="27"/>
      <c r="J6" s="28" t="s">
        <v>12642</v>
      </c>
      <c r="K6" s="32"/>
      <c r="L6" s="29" t="s">
        <v>13637</v>
      </c>
      <c r="M6" s="30" t="s">
        <v>13638</v>
      </c>
      <c r="N6" s="30" t="s">
        <v>1117</v>
      </c>
    </row>
    <row r="7" spans="2:14">
      <c r="B7" s="29" t="s">
        <v>12793</v>
      </c>
      <c r="C7" s="30"/>
      <c r="D7" s="31">
        <v>44224</v>
      </c>
      <c r="E7" s="29" t="s">
        <v>13639</v>
      </c>
      <c r="F7" s="32" t="s">
        <v>11928</v>
      </c>
      <c r="G7" s="29" t="s">
        <v>13640</v>
      </c>
      <c r="H7" s="29">
        <v>0</v>
      </c>
      <c r="I7" s="47" t="s">
        <v>11928</v>
      </c>
      <c r="J7" s="29">
        <v>0</v>
      </c>
      <c r="K7" s="32" t="s">
        <v>974</v>
      </c>
      <c r="L7" s="30"/>
      <c r="M7" s="30"/>
      <c r="N7" s="30"/>
    </row>
    <row r="8" spans="2:14">
      <c r="B8" s="29" t="s">
        <v>12793</v>
      </c>
      <c r="C8" s="30"/>
      <c r="D8" s="31">
        <f>+D7+30</f>
        <v>44254</v>
      </c>
      <c r="E8" s="29" t="s">
        <v>13641</v>
      </c>
      <c r="F8" s="32" t="s">
        <v>11928</v>
      </c>
      <c r="G8" s="29" t="s">
        <v>13642</v>
      </c>
      <c r="H8" s="29">
        <v>0</v>
      </c>
      <c r="I8" s="32" t="s">
        <v>11928</v>
      </c>
      <c r="J8" s="29">
        <v>0</v>
      </c>
      <c r="K8" s="32" t="s">
        <v>974</v>
      </c>
      <c r="L8" s="30"/>
      <c r="M8" s="30"/>
      <c r="N8" s="30"/>
    </row>
    <row r="9" spans="2:14">
      <c r="B9" s="29" t="s">
        <v>12793</v>
      </c>
      <c r="C9" s="30"/>
      <c r="D9" s="31">
        <f t="shared" ref="D9:D30" si="0">+D8+30</f>
        <v>44284</v>
      </c>
      <c r="E9" s="29" t="s">
        <v>13643</v>
      </c>
      <c r="F9" s="32" t="s">
        <v>11928</v>
      </c>
      <c r="G9" s="29" t="s">
        <v>13644</v>
      </c>
      <c r="H9" s="29">
        <v>0</v>
      </c>
      <c r="I9" s="32" t="s">
        <v>11928</v>
      </c>
      <c r="J9" s="29">
        <v>0</v>
      </c>
      <c r="K9" s="32" t="s">
        <v>974</v>
      </c>
      <c r="L9" s="30"/>
      <c r="M9" s="30"/>
      <c r="N9" s="30"/>
    </row>
    <row r="10" spans="2:14">
      <c r="B10" s="29" t="s">
        <v>12793</v>
      </c>
      <c r="C10" s="30"/>
      <c r="D10" s="31">
        <f t="shared" si="0"/>
        <v>44314</v>
      </c>
      <c r="E10" s="29" t="s">
        <v>13645</v>
      </c>
      <c r="F10" s="32" t="s">
        <v>11928</v>
      </c>
      <c r="G10" s="29" t="s">
        <v>13646</v>
      </c>
      <c r="H10" s="29">
        <v>0</v>
      </c>
      <c r="I10" s="47" t="s">
        <v>11928</v>
      </c>
      <c r="J10" s="29">
        <v>0</v>
      </c>
      <c r="K10" s="32" t="s">
        <v>974</v>
      </c>
      <c r="L10" s="30"/>
      <c r="M10" s="30"/>
      <c r="N10" s="30"/>
    </row>
    <row r="11" spans="2:14">
      <c r="B11" s="29" t="s">
        <v>12793</v>
      </c>
      <c r="C11" s="30"/>
      <c r="D11" s="31">
        <f t="shared" si="0"/>
        <v>44344</v>
      </c>
      <c r="E11" s="29" t="s">
        <v>13647</v>
      </c>
      <c r="F11" s="32" t="s">
        <v>11928</v>
      </c>
      <c r="G11" s="29" t="s">
        <v>13648</v>
      </c>
      <c r="H11" s="29">
        <v>0</v>
      </c>
      <c r="I11" s="47" t="s">
        <v>11928</v>
      </c>
      <c r="J11" s="29">
        <v>0</v>
      </c>
      <c r="K11" s="32" t="s">
        <v>974</v>
      </c>
      <c r="L11" s="30"/>
      <c r="M11" s="30"/>
      <c r="N11" s="30"/>
    </row>
    <row r="12" spans="2:14">
      <c r="B12" s="29" t="s">
        <v>12793</v>
      </c>
      <c r="C12" s="30"/>
      <c r="D12" s="31">
        <f t="shared" si="0"/>
        <v>44374</v>
      </c>
      <c r="E12" s="29" t="s">
        <v>13649</v>
      </c>
      <c r="F12" s="32" t="s">
        <v>11928</v>
      </c>
      <c r="G12" s="29" t="s">
        <v>13650</v>
      </c>
      <c r="H12" s="29">
        <v>0</v>
      </c>
      <c r="I12" s="47" t="s">
        <v>11928</v>
      </c>
      <c r="J12" s="29">
        <v>0</v>
      </c>
      <c r="K12" s="32" t="s">
        <v>974</v>
      </c>
      <c r="L12" s="30"/>
      <c r="M12" s="30"/>
      <c r="N12" s="30"/>
    </row>
    <row r="13" spans="2:14">
      <c r="B13" s="29" t="s">
        <v>12793</v>
      </c>
      <c r="C13" s="30"/>
      <c r="D13" s="31">
        <f t="shared" si="0"/>
        <v>44404</v>
      </c>
      <c r="E13" s="29" t="s">
        <v>13651</v>
      </c>
      <c r="F13" s="32" t="s">
        <v>11928</v>
      </c>
      <c r="G13" s="29" t="s">
        <v>13652</v>
      </c>
      <c r="H13" s="29">
        <v>0</v>
      </c>
      <c r="I13" s="47" t="s">
        <v>11928</v>
      </c>
      <c r="J13" s="29">
        <v>0</v>
      </c>
      <c r="K13" s="32" t="s">
        <v>974</v>
      </c>
      <c r="L13" s="30"/>
      <c r="M13" s="30"/>
      <c r="N13" s="30"/>
    </row>
    <row r="14" spans="2:14">
      <c r="B14" s="29" t="s">
        <v>12793</v>
      </c>
      <c r="C14" s="30"/>
      <c r="D14" s="31">
        <f t="shared" si="0"/>
        <v>44434</v>
      </c>
      <c r="E14" s="29" t="s">
        <v>13653</v>
      </c>
      <c r="F14" s="32" t="s">
        <v>11928</v>
      </c>
      <c r="G14" s="29" t="s">
        <v>13654</v>
      </c>
      <c r="H14" s="29">
        <v>0</v>
      </c>
      <c r="I14" s="47" t="s">
        <v>11928</v>
      </c>
      <c r="J14" s="29">
        <v>0</v>
      </c>
      <c r="K14" s="32" t="s">
        <v>974</v>
      </c>
      <c r="L14" s="30"/>
      <c r="M14" s="30"/>
      <c r="N14" s="30"/>
    </row>
    <row r="15" spans="2:14">
      <c r="B15" s="29" t="s">
        <v>12793</v>
      </c>
      <c r="C15" s="30"/>
      <c r="D15" s="31">
        <f t="shared" si="0"/>
        <v>44464</v>
      </c>
      <c r="E15" s="29" t="s">
        <v>13655</v>
      </c>
      <c r="F15" s="32" t="s">
        <v>11928</v>
      </c>
      <c r="G15" s="29" t="s">
        <v>13656</v>
      </c>
      <c r="H15" s="29">
        <v>0</v>
      </c>
      <c r="I15" s="47" t="s">
        <v>11928</v>
      </c>
      <c r="J15" s="29">
        <v>0</v>
      </c>
      <c r="K15" s="32" t="s">
        <v>974</v>
      </c>
      <c r="L15" s="30"/>
      <c r="M15" s="30"/>
      <c r="N15" s="30"/>
    </row>
    <row r="16" spans="2:14">
      <c r="B16" s="29" t="s">
        <v>12793</v>
      </c>
      <c r="C16" s="30"/>
      <c r="D16" s="31">
        <f t="shared" si="0"/>
        <v>44494</v>
      </c>
      <c r="E16" s="29" t="s">
        <v>13657</v>
      </c>
      <c r="F16" s="32" t="s">
        <v>11928</v>
      </c>
      <c r="G16" s="29" t="s">
        <v>13658</v>
      </c>
      <c r="H16" s="29">
        <v>0</v>
      </c>
      <c r="I16" s="47" t="s">
        <v>11928</v>
      </c>
      <c r="J16" s="29">
        <v>0</v>
      </c>
      <c r="K16" s="32" t="s">
        <v>974</v>
      </c>
      <c r="L16" s="30"/>
      <c r="M16" s="30"/>
      <c r="N16" s="30"/>
    </row>
    <row r="17" spans="2:14">
      <c r="B17" s="29" t="s">
        <v>12793</v>
      </c>
      <c r="C17" s="30"/>
      <c r="D17" s="31">
        <f t="shared" si="0"/>
        <v>44524</v>
      </c>
      <c r="E17" s="29" t="s">
        <v>13659</v>
      </c>
      <c r="F17" s="32" t="s">
        <v>11928</v>
      </c>
      <c r="G17" s="29" t="s">
        <v>13660</v>
      </c>
      <c r="H17" s="29">
        <v>0</v>
      </c>
      <c r="I17" s="47" t="s">
        <v>11928</v>
      </c>
      <c r="J17" s="29">
        <v>0</v>
      </c>
      <c r="K17" s="32" t="s">
        <v>974</v>
      </c>
      <c r="L17" s="30"/>
      <c r="M17" s="30"/>
      <c r="N17" s="30"/>
    </row>
    <row r="18" spans="2:14">
      <c r="B18" s="29" t="s">
        <v>12793</v>
      </c>
      <c r="C18" s="30"/>
      <c r="D18" s="31">
        <f t="shared" si="0"/>
        <v>44554</v>
      </c>
      <c r="E18" s="29" t="s">
        <v>13661</v>
      </c>
      <c r="F18" s="32" t="s">
        <v>11928</v>
      </c>
      <c r="G18" s="29" t="s">
        <v>13662</v>
      </c>
      <c r="H18" s="29">
        <v>0</v>
      </c>
      <c r="I18" s="47" t="s">
        <v>11928</v>
      </c>
      <c r="J18" s="29">
        <v>0</v>
      </c>
      <c r="K18" s="32" t="s">
        <v>974</v>
      </c>
      <c r="L18" s="30"/>
      <c r="M18" s="30"/>
      <c r="N18" s="30"/>
    </row>
    <row r="19" spans="2:14">
      <c r="B19" s="29" t="s">
        <v>12793</v>
      </c>
      <c r="C19" s="30"/>
      <c r="D19" s="31">
        <f t="shared" si="0"/>
        <v>44584</v>
      </c>
      <c r="E19" s="29" t="s">
        <v>13663</v>
      </c>
      <c r="F19" s="32" t="s">
        <v>11928</v>
      </c>
      <c r="G19" s="29" t="s">
        <v>13664</v>
      </c>
      <c r="H19" s="29">
        <v>0</v>
      </c>
      <c r="I19" s="47" t="s">
        <v>11928</v>
      </c>
      <c r="J19" s="29">
        <v>0</v>
      </c>
      <c r="K19" s="32" t="s">
        <v>974</v>
      </c>
      <c r="L19" s="30"/>
      <c r="M19" s="30"/>
      <c r="N19" s="30"/>
    </row>
    <row r="20" spans="2:14">
      <c r="B20" s="29" t="s">
        <v>12793</v>
      </c>
      <c r="C20" s="30"/>
      <c r="D20" s="31">
        <f t="shared" si="0"/>
        <v>44614</v>
      </c>
      <c r="E20" s="29" t="s">
        <v>13665</v>
      </c>
      <c r="F20" s="32" t="s">
        <v>11928</v>
      </c>
      <c r="G20" s="29" t="s">
        <v>13666</v>
      </c>
      <c r="H20" s="29">
        <v>0</v>
      </c>
      <c r="I20" s="47" t="s">
        <v>11928</v>
      </c>
      <c r="J20" s="29">
        <v>0</v>
      </c>
      <c r="K20" s="32" t="s">
        <v>974</v>
      </c>
      <c r="L20" s="30"/>
      <c r="M20" s="30"/>
      <c r="N20" s="30"/>
    </row>
    <row r="21" spans="2:14">
      <c r="B21" s="29" t="s">
        <v>12793</v>
      </c>
      <c r="C21" s="30"/>
      <c r="D21" s="31">
        <f t="shared" si="0"/>
        <v>44644</v>
      </c>
      <c r="E21" s="29" t="s">
        <v>13667</v>
      </c>
      <c r="F21" s="32" t="s">
        <v>11928</v>
      </c>
      <c r="G21" s="29" t="s">
        <v>13668</v>
      </c>
      <c r="H21" s="29">
        <v>0</v>
      </c>
      <c r="I21" s="47" t="s">
        <v>11928</v>
      </c>
      <c r="J21" s="29">
        <v>0</v>
      </c>
      <c r="K21" s="32" t="s">
        <v>974</v>
      </c>
      <c r="L21" s="30"/>
      <c r="M21" s="30"/>
      <c r="N21" s="30"/>
    </row>
    <row r="22" spans="2:14">
      <c r="B22" s="29" t="s">
        <v>12793</v>
      </c>
      <c r="C22" s="30"/>
      <c r="D22" s="31">
        <f t="shared" si="0"/>
        <v>44674</v>
      </c>
      <c r="E22" s="29" t="s">
        <v>13669</v>
      </c>
      <c r="F22" s="32" t="s">
        <v>11928</v>
      </c>
      <c r="G22" s="29" t="s">
        <v>13670</v>
      </c>
      <c r="H22" s="29">
        <v>0</v>
      </c>
      <c r="I22" s="47" t="s">
        <v>11928</v>
      </c>
      <c r="J22" s="29">
        <v>0</v>
      </c>
      <c r="K22" s="32" t="s">
        <v>974</v>
      </c>
      <c r="L22" s="30"/>
      <c r="M22" s="30"/>
      <c r="N22" s="30"/>
    </row>
    <row r="23" spans="2:14">
      <c r="B23" s="29" t="s">
        <v>12793</v>
      </c>
      <c r="C23" s="30"/>
      <c r="D23" s="31">
        <f t="shared" si="0"/>
        <v>44704</v>
      </c>
      <c r="E23" s="29" t="s">
        <v>13671</v>
      </c>
      <c r="F23" s="32" t="s">
        <v>11928</v>
      </c>
      <c r="G23" s="29" t="s">
        <v>13672</v>
      </c>
      <c r="H23" s="29">
        <v>0</v>
      </c>
      <c r="I23" s="47" t="s">
        <v>11928</v>
      </c>
      <c r="J23" s="29">
        <v>0</v>
      </c>
      <c r="K23" s="32" t="s">
        <v>974</v>
      </c>
      <c r="L23" s="30"/>
      <c r="M23" s="30"/>
      <c r="N23" s="30"/>
    </row>
    <row r="24" spans="2:14">
      <c r="B24" s="29" t="s">
        <v>12793</v>
      </c>
      <c r="C24" s="30"/>
      <c r="D24" s="31">
        <f t="shared" si="0"/>
        <v>44734</v>
      </c>
      <c r="E24" s="29" t="s">
        <v>13673</v>
      </c>
      <c r="F24" s="32" t="s">
        <v>11928</v>
      </c>
      <c r="G24" s="29" t="s">
        <v>13674</v>
      </c>
      <c r="H24" s="29">
        <v>0</v>
      </c>
      <c r="I24" s="47" t="s">
        <v>11928</v>
      </c>
      <c r="J24" s="29">
        <v>0</v>
      </c>
      <c r="K24" s="32" t="s">
        <v>974</v>
      </c>
      <c r="L24" s="30"/>
      <c r="M24" s="30"/>
      <c r="N24" s="30"/>
    </row>
    <row r="25" spans="2:14">
      <c r="B25" s="29" t="s">
        <v>12793</v>
      </c>
      <c r="C25" s="30"/>
      <c r="D25" s="31">
        <f t="shared" si="0"/>
        <v>44764</v>
      </c>
      <c r="E25" s="29" t="s">
        <v>13675</v>
      </c>
      <c r="F25" s="32" t="s">
        <v>11928</v>
      </c>
      <c r="G25" s="29" t="s">
        <v>13676</v>
      </c>
      <c r="H25" s="29">
        <v>0</v>
      </c>
      <c r="I25" s="47" t="s">
        <v>11928</v>
      </c>
      <c r="J25" s="29">
        <v>0</v>
      </c>
      <c r="K25" s="32" t="s">
        <v>974</v>
      </c>
      <c r="L25" s="30"/>
      <c r="M25" s="30"/>
      <c r="N25" s="30"/>
    </row>
    <row r="26" spans="2:14">
      <c r="B26" s="29" t="s">
        <v>12793</v>
      </c>
      <c r="C26" s="30"/>
      <c r="D26" s="31">
        <f t="shared" si="0"/>
        <v>44794</v>
      </c>
      <c r="E26" s="29" t="s">
        <v>13677</v>
      </c>
      <c r="F26" s="32" t="s">
        <v>11928</v>
      </c>
      <c r="G26" s="29" t="s">
        <v>13678</v>
      </c>
      <c r="H26" s="29">
        <v>0</v>
      </c>
      <c r="I26" s="47" t="s">
        <v>11928</v>
      </c>
      <c r="J26" s="29">
        <v>0</v>
      </c>
      <c r="K26" s="32" t="s">
        <v>974</v>
      </c>
      <c r="L26" s="30"/>
      <c r="M26" s="30"/>
      <c r="N26" s="30"/>
    </row>
    <row r="27" spans="2:14">
      <c r="B27" s="29" t="s">
        <v>12793</v>
      </c>
      <c r="C27" s="30"/>
      <c r="D27" s="31">
        <f t="shared" si="0"/>
        <v>44824</v>
      </c>
      <c r="E27" s="29" t="s">
        <v>13679</v>
      </c>
      <c r="F27" s="32" t="s">
        <v>11928</v>
      </c>
      <c r="G27" s="29" t="s">
        <v>13680</v>
      </c>
      <c r="H27" s="29">
        <v>0</v>
      </c>
      <c r="I27" s="47" t="s">
        <v>11928</v>
      </c>
      <c r="J27" s="29">
        <v>0</v>
      </c>
      <c r="K27" s="32" t="s">
        <v>974</v>
      </c>
      <c r="L27" s="30"/>
      <c r="M27" s="30"/>
      <c r="N27" s="30"/>
    </row>
    <row r="28" spans="2:14">
      <c r="B28" s="29" t="s">
        <v>12793</v>
      </c>
      <c r="C28" s="30"/>
      <c r="D28" s="31">
        <f t="shared" si="0"/>
        <v>44854</v>
      </c>
      <c r="E28" s="29" t="s">
        <v>13681</v>
      </c>
      <c r="F28" s="32" t="s">
        <v>11928</v>
      </c>
      <c r="G28" s="29" t="s">
        <v>13682</v>
      </c>
      <c r="H28" s="29">
        <v>0</v>
      </c>
      <c r="I28" s="47" t="s">
        <v>11928</v>
      </c>
      <c r="J28" s="29">
        <v>0</v>
      </c>
      <c r="K28" s="32" t="s">
        <v>974</v>
      </c>
      <c r="L28" s="30"/>
      <c r="M28" s="30"/>
      <c r="N28" s="30"/>
    </row>
    <row r="29" spans="2:14">
      <c r="B29" s="29" t="s">
        <v>12793</v>
      </c>
      <c r="C29" s="30"/>
      <c r="D29" s="31">
        <f t="shared" si="0"/>
        <v>44884</v>
      </c>
      <c r="E29" s="29" t="s">
        <v>13683</v>
      </c>
      <c r="F29" s="32" t="s">
        <v>11928</v>
      </c>
      <c r="G29" s="29" t="s">
        <v>13684</v>
      </c>
      <c r="H29" s="29">
        <v>0</v>
      </c>
      <c r="I29" s="47" t="s">
        <v>11928</v>
      </c>
      <c r="J29" s="29">
        <v>0</v>
      </c>
      <c r="K29" s="32" t="s">
        <v>974</v>
      </c>
      <c r="L29" s="30"/>
      <c r="M29" s="30"/>
      <c r="N29" s="30"/>
    </row>
    <row r="30" spans="2:14">
      <c r="B30" s="29" t="s">
        <v>12793</v>
      </c>
      <c r="C30" s="30"/>
      <c r="D30" s="31">
        <f t="shared" si="0"/>
        <v>44914</v>
      </c>
      <c r="E30" s="29" t="s">
        <v>13685</v>
      </c>
      <c r="F30" s="32" t="s">
        <v>11928</v>
      </c>
      <c r="G30" s="29" t="s">
        <v>13686</v>
      </c>
      <c r="H30" s="29">
        <v>0</v>
      </c>
      <c r="I30" s="47" t="s">
        <v>11928</v>
      </c>
      <c r="J30" s="29">
        <v>0</v>
      </c>
      <c r="K30" s="32" t="s">
        <v>974</v>
      </c>
      <c r="L30" s="30"/>
      <c r="M30" s="30"/>
      <c r="N30" s="30"/>
    </row>
    <row r="31" ht="12" spans="2:10">
      <c r="B31" s="33" t="s">
        <v>13687</v>
      </c>
      <c r="C31" s="34"/>
      <c r="D31" s="35"/>
      <c r="E31" s="34"/>
      <c r="F31" s="36"/>
      <c r="G31" s="37" t="s">
        <v>151</v>
      </c>
      <c r="H31" s="38">
        <f>SUM(H7:H30)</f>
        <v>0</v>
      </c>
      <c r="I31" s="48"/>
      <c r="J31" s="38">
        <f>SUM(J7:J30)</f>
        <v>0</v>
      </c>
    </row>
    <row r="32" spans="2:10">
      <c r="B32" s="34"/>
      <c r="C32" s="34"/>
      <c r="D32" s="35"/>
      <c r="E32" s="34"/>
      <c r="F32" s="36"/>
      <c r="I32" s="48"/>
      <c r="J32" s="34"/>
    </row>
    <row r="33" spans="8:9">
      <c r="H33" s="39"/>
      <c r="I33" s="49"/>
    </row>
    <row r="34" spans="2:9">
      <c r="B34" s="33"/>
      <c r="H34" s="39"/>
      <c r="I34" s="49"/>
    </row>
    <row r="35" spans="8:9">
      <c r="H35" s="39"/>
      <c r="I35" s="49"/>
    </row>
    <row r="36" spans="8:9">
      <c r="H36" s="39"/>
      <c r="I36" s="49"/>
    </row>
    <row r="37" ht="13.2" spans="2:14">
      <c r="B37" s="23" t="s">
        <v>13688</v>
      </c>
      <c r="H37" s="39"/>
      <c r="I37" s="49"/>
      <c r="M37" t="s">
        <v>13633</v>
      </c>
      <c r="N37"/>
    </row>
    <row r="38" ht="13.2" spans="2:14">
      <c r="B38" s="25" t="s">
        <v>13424</v>
      </c>
      <c r="C38" s="25" t="s">
        <v>13634</v>
      </c>
      <c r="D38" s="26" t="s">
        <v>275</v>
      </c>
      <c r="E38" s="25" t="s">
        <v>13689</v>
      </c>
      <c r="F38" s="27"/>
      <c r="G38" s="25" t="s">
        <v>13636</v>
      </c>
      <c r="H38" s="28" t="s">
        <v>1204</v>
      </c>
      <c r="I38" s="27"/>
      <c r="J38" s="28" t="s">
        <v>1169</v>
      </c>
      <c r="L38" t="s">
        <v>13637</v>
      </c>
      <c r="M38" s="30" t="s">
        <v>13638</v>
      </c>
      <c r="N38" s="30" t="s">
        <v>1117</v>
      </c>
    </row>
    <row r="39" spans="2:14">
      <c r="B39" s="5193" t="s">
        <v>13690</v>
      </c>
      <c r="C39" s="41"/>
      <c r="D39" s="42">
        <v>44224</v>
      </c>
      <c r="E39" t="s">
        <v>13691</v>
      </c>
      <c r="F39" s="32" t="s">
        <v>11928</v>
      </c>
      <c r="G39" t="s">
        <v>13692</v>
      </c>
      <c r="H39">
        <v>0</v>
      </c>
      <c r="I39" s="47" t="s">
        <v>11928</v>
      </c>
      <c r="J39" s="30"/>
      <c r="K39" s="21" t="s">
        <v>974</v>
      </c>
      <c r="L39" s="30" t="s">
        <v>13693</v>
      </c>
      <c r="M39" s="30"/>
      <c r="N39" s="30"/>
    </row>
    <row r="40" spans="2:14">
      <c r="B40" s="5193" t="s">
        <v>13690</v>
      </c>
      <c r="C40" s="41"/>
      <c r="D40" s="42">
        <f>+D39+30</f>
        <v>44254</v>
      </c>
      <c r="E40" t="s">
        <v>13694</v>
      </c>
      <c r="F40" s="32" t="s">
        <v>11928</v>
      </c>
      <c r="G40" t="s">
        <v>13692</v>
      </c>
      <c r="H40">
        <v>0</v>
      </c>
      <c r="I40" s="47" t="s">
        <v>11928</v>
      </c>
      <c r="J40" s="30"/>
      <c r="K40" s="21" t="s">
        <v>974</v>
      </c>
      <c r="L40" s="30" t="s">
        <v>13693</v>
      </c>
      <c r="M40" s="30"/>
      <c r="N40" s="30"/>
    </row>
    <row r="41" spans="2:14">
      <c r="B41" s="5193" t="s">
        <v>13690</v>
      </c>
      <c r="C41" s="41"/>
      <c r="D41" s="42">
        <f t="shared" ref="D41:D62" si="1">+D40+30</f>
        <v>44284</v>
      </c>
      <c r="E41" t="s">
        <v>13695</v>
      </c>
      <c r="F41" s="32"/>
      <c r="G41" t="s">
        <v>13692</v>
      </c>
      <c r="H41"/>
      <c r="I41" s="47"/>
      <c r="J41" s="30"/>
      <c r="L41" s="30"/>
      <c r="M41" s="30"/>
      <c r="N41" s="30"/>
    </row>
    <row r="42" spans="2:14">
      <c r="B42" s="5193" t="s">
        <v>13690</v>
      </c>
      <c r="C42" s="41"/>
      <c r="D42" s="42">
        <f t="shared" si="1"/>
        <v>44314</v>
      </c>
      <c r="E42" t="s">
        <v>13696</v>
      </c>
      <c r="F42" s="32"/>
      <c r="G42" t="s">
        <v>13692</v>
      </c>
      <c r="H42"/>
      <c r="I42" s="47"/>
      <c r="J42" s="30"/>
      <c r="L42" s="30"/>
      <c r="M42" s="30"/>
      <c r="N42" s="30"/>
    </row>
    <row r="43" spans="2:14">
      <c r="B43" s="5193" t="s">
        <v>13690</v>
      </c>
      <c r="C43" s="41"/>
      <c r="D43" s="42">
        <f t="shared" si="1"/>
        <v>44344</v>
      </c>
      <c r="E43" t="s">
        <v>13697</v>
      </c>
      <c r="F43" s="32"/>
      <c r="G43" t="s">
        <v>13692</v>
      </c>
      <c r="H43"/>
      <c r="I43" s="47"/>
      <c r="J43" s="30"/>
      <c r="L43" s="30"/>
      <c r="M43" s="30"/>
      <c r="N43" s="30"/>
    </row>
    <row r="44" spans="2:14">
      <c r="B44" s="5193" t="s">
        <v>13690</v>
      </c>
      <c r="C44" s="41"/>
      <c r="D44" s="42">
        <f t="shared" si="1"/>
        <v>44374</v>
      </c>
      <c r="E44" t="s">
        <v>13698</v>
      </c>
      <c r="F44" s="32"/>
      <c r="G44" t="s">
        <v>13692</v>
      </c>
      <c r="H44"/>
      <c r="I44" s="47"/>
      <c r="J44" s="30"/>
      <c r="L44" s="30"/>
      <c r="M44" s="30"/>
      <c r="N44" s="30"/>
    </row>
    <row r="45" spans="2:14">
      <c r="B45" s="5193" t="s">
        <v>13690</v>
      </c>
      <c r="C45" s="41"/>
      <c r="D45" s="42">
        <f t="shared" si="1"/>
        <v>44404</v>
      </c>
      <c r="E45" t="s">
        <v>13699</v>
      </c>
      <c r="F45" s="32"/>
      <c r="G45" t="s">
        <v>13692</v>
      </c>
      <c r="H45"/>
      <c r="I45" s="47"/>
      <c r="J45" s="30"/>
      <c r="L45" s="30"/>
      <c r="M45" s="30"/>
      <c r="N45" s="30"/>
    </row>
    <row r="46" spans="2:14">
      <c r="B46" s="5193" t="s">
        <v>13690</v>
      </c>
      <c r="C46" s="41"/>
      <c r="D46" s="42">
        <f t="shared" si="1"/>
        <v>44434</v>
      </c>
      <c r="E46" t="s">
        <v>13700</v>
      </c>
      <c r="F46" s="32"/>
      <c r="G46" t="s">
        <v>13692</v>
      </c>
      <c r="H46"/>
      <c r="I46" s="47"/>
      <c r="J46" s="30"/>
      <c r="L46" s="30"/>
      <c r="M46" s="30"/>
      <c r="N46" s="30"/>
    </row>
    <row r="47" spans="2:14">
      <c r="B47" s="5193" t="s">
        <v>13690</v>
      </c>
      <c r="C47" s="41"/>
      <c r="D47" s="42">
        <f t="shared" si="1"/>
        <v>44464</v>
      </c>
      <c r="E47" t="s">
        <v>13701</v>
      </c>
      <c r="F47" s="32"/>
      <c r="G47" t="s">
        <v>13692</v>
      </c>
      <c r="H47"/>
      <c r="I47" s="47"/>
      <c r="J47" s="30"/>
      <c r="L47" s="30"/>
      <c r="M47" s="30"/>
      <c r="N47" s="30"/>
    </row>
    <row r="48" spans="2:14">
      <c r="B48" s="5193" t="s">
        <v>13690</v>
      </c>
      <c r="C48" s="41"/>
      <c r="D48" s="42">
        <f t="shared" si="1"/>
        <v>44494</v>
      </c>
      <c r="E48" t="s">
        <v>13702</v>
      </c>
      <c r="F48" s="32"/>
      <c r="G48" t="s">
        <v>13692</v>
      </c>
      <c r="H48"/>
      <c r="I48" s="47"/>
      <c r="J48" s="30"/>
      <c r="L48" s="30"/>
      <c r="M48" s="30"/>
      <c r="N48" s="30"/>
    </row>
    <row r="49" spans="2:14">
      <c r="B49" s="5193" t="s">
        <v>13690</v>
      </c>
      <c r="C49" s="41"/>
      <c r="D49" s="42">
        <f t="shared" si="1"/>
        <v>44524</v>
      </c>
      <c r="E49" t="s">
        <v>13703</v>
      </c>
      <c r="F49" s="32"/>
      <c r="G49" t="s">
        <v>13692</v>
      </c>
      <c r="H49"/>
      <c r="I49" s="47"/>
      <c r="J49" s="30"/>
      <c r="L49" s="30"/>
      <c r="M49" s="30"/>
      <c r="N49" s="30"/>
    </row>
    <row r="50" spans="2:14">
      <c r="B50" s="5193" t="s">
        <v>13690</v>
      </c>
      <c r="C50" s="41"/>
      <c r="D50" s="42">
        <f t="shared" si="1"/>
        <v>44554</v>
      </c>
      <c r="E50" t="s">
        <v>13704</v>
      </c>
      <c r="F50" s="32"/>
      <c r="G50" t="s">
        <v>13692</v>
      </c>
      <c r="H50"/>
      <c r="I50" s="47"/>
      <c r="J50" s="30"/>
      <c r="L50" s="30"/>
      <c r="M50" s="30"/>
      <c r="N50" s="30"/>
    </row>
    <row r="51" spans="2:14">
      <c r="B51" s="5193" t="s">
        <v>13690</v>
      </c>
      <c r="C51" s="41"/>
      <c r="D51" s="42">
        <f t="shared" si="1"/>
        <v>44584</v>
      </c>
      <c r="E51" t="s">
        <v>13705</v>
      </c>
      <c r="F51" s="32"/>
      <c r="G51" t="s">
        <v>13692</v>
      </c>
      <c r="H51"/>
      <c r="I51" s="47"/>
      <c r="J51" s="30"/>
      <c r="L51" s="30"/>
      <c r="M51" s="30"/>
      <c r="N51" s="30"/>
    </row>
    <row r="52" spans="2:14">
      <c r="B52" s="5193" t="s">
        <v>13690</v>
      </c>
      <c r="C52" s="41"/>
      <c r="D52" s="42">
        <f t="shared" si="1"/>
        <v>44614</v>
      </c>
      <c r="E52" t="s">
        <v>13706</v>
      </c>
      <c r="F52" s="32"/>
      <c r="G52" t="s">
        <v>13692</v>
      </c>
      <c r="H52"/>
      <c r="I52" s="47"/>
      <c r="J52" s="30"/>
      <c r="L52" s="30"/>
      <c r="M52" s="30"/>
      <c r="N52" s="30"/>
    </row>
    <row r="53" spans="2:14">
      <c r="B53" s="5193" t="s">
        <v>13690</v>
      </c>
      <c r="C53" s="41"/>
      <c r="D53" s="42">
        <f t="shared" si="1"/>
        <v>44644</v>
      </c>
      <c r="E53" t="s">
        <v>13707</v>
      </c>
      <c r="F53" s="32"/>
      <c r="G53" t="s">
        <v>13692</v>
      </c>
      <c r="H53"/>
      <c r="I53" s="47"/>
      <c r="J53" s="30"/>
      <c r="L53" s="30"/>
      <c r="M53" s="30"/>
      <c r="N53" s="30"/>
    </row>
    <row r="54" spans="2:14">
      <c r="B54" s="5193" t="s">
        <v>13690</v>
      </c>
      <c r="C54" s="41"/>
      <c r="D54" s="42">
        <f t="shared" si="1"/>
        <v>44674</v>
      </c>
      <c r="E54" t="s">
        <v>13708</v>
      </c>
      <c r="F54" s="32"/>
      <c r="G54" t="s">
        <v>13692</v>
      </c>
      <c r="H54"/>
      <c r="I54" s="47"/>
      <c r="J54" s="30"/>
      <c r="L54" s="30"/>
      <c r="M54" s="30"/>
      <c r="N54" s="30"/>
    </row>
    <row r="55" spans="2:14">
      <c r="B55" s="5193" t="s">
        <v>13690</v>
      </c>
      <c r="C55" s="41"/>
      <c r="D55" s="42">
        <f t="shared" si="1"/>
        <v>44704</v>
      </c>
      <c r="E55" t="s">
        <v>13709</v>
      </c>
      <c r="F55" s="32"/>
      <c r="G55" t="s">
        <v>13692</v>
      </c>
      <c r="H55"/>
      <c r="I55" s="47"/>
      <c r="J55" s="30"/>
      <c r="L55" s="30"/>
      <c r="M55" s="30"/>
      <c r="N55" s="30"/>
    </row>
    <row r="56" spans="2:14">
      <c r="B56" s="5193" t="s">
        <v>13690</v>
      </c>
      <c r="C56" s="41"/>
      <c r="D56" s="42">
        <f t="shared" si="1"/>
        <v>44734</v>
      </c>
      <c r="E56" t="s">
        <v>13710</v>
      </c>
      <c r="F56" s="32"/>
      <c r="G56" t="s">
        <v>13692</v>
      </c>
      <c r="H56"/>
      <c r="I56" s="47"/>
      <c r="J56" s="30"/>
      <c r="L56" s="30"/>
      <c r="M56" s="30"/>
      <c r="N56" s="30"/>
    </row>
    <row r="57" spans="2:14">
      <c r="B57" s="5193" t="s">
        <v>13690</v>
      </c>
      <c r="C57" s="41"/>
      <c r="D57" s="42">
        <f t="shared" si="1"/>
        <v>44764</v>
      </c>
      <c r="E57" t="s">
        <v>13711</v>
      </c>
      <c r="F57" s="32"/>
      <c r="G57" t="s">
        <v>13692</v>
      </c>
      <c r="H57" s="43"/>
      <c r="I57" s="47"/>
      <c r="J57" s="30"/>
      <c r="L57" s="30"/>
      <c r="M57" s="30"/>
      <c r="N57" s="30"/>
    </row>
    <row r="58" spans="1:14">
      <c r="A58" s="1" t="s">
        <v>13712</v>
      </c>
      <c r="B58" s="5193" t="s">
        <v>13690</v>
      </c>
      <c r="C58" s="41"/>
      <c r="D58" s="42">
        <f t="shared" si="1"/>
        <v>44794</v>
      </c>
      <c r="E58" t="s">
        <v>13713</v>
      </c>
      <c r="F58" s="32"/>
      <c r="G58" t="s">
        <v>13692</v>
      </c>
      <c r="H58" s="43"/>
      <c r="I58" s="47"/>
      <c r="J58" s="30"/>
      <c r="L58" s="30"/>
      <c r="M58" s="30"/>
      <c r="N58" s="30"/>
    </row>
    <row r="59" spans="2:14">
      <c r="B59" s="5193" t="s">
        <v>13690</v>
      </c>
      <c r="C59" s="41"/>
      <c r="D59" s="42">
        <f t="shared" si="1"/>
        <v>44824</v>
      </c>
      <c r="E59" t="s">
        <v>13714</v>
      </c>
      <c r="F59" s="32"/>
      <c r="G59" t="s">
        <v>13692</v>
      </c>
      <c r="H59" s="43"/>
      <c r="I59" s="47"/>
      <c r="J59" s="30"/>
      <c r="L59" s="30"/>
      <c r="M59" s="30"/>
      <c r="N59" s="30"/>
    </row>
    <row r="60" spans="2:14">
      <c r="B60" s="5193" t="s">
        <v>13690</v>
      </c>
      <c r="C60" s="41"/>
      <c r="D60" s="42">
        <f t="shared" si="1"/>
        <v>44854</v>
      </c>
      <c r="E60" t="s">
        <v>13715</v>
      </c>
      <c r="F60" s="32"/>
      <c r="G60" t="s">
        <v>13692</v>
      </c>
      <c r="H60" s="43"/>
      <c r="I60" s="47"/>
      <c r="J60" s="30"/>
      <c r="L60" s="30"/>
      <c r="M60" s="30"/>
      <c r="N60" s="30"/>
    </row>
    <row r="61" spans="2:14">
      <c r="B61" s="5193" t="s">
        <v>13690</v>
      </c>
      <c r="C61" s="41"/>
      <c r="D61" s="42">
        <f t="shared" si="1"/>
        <v>44884</v>
      </c>
      <c r="E61" t="s">
        <v>13716</v>
      </c>
      <c r="F61" s="32"/>
      <c r="G61" t="s">
        <v>13692</v>
      </c>
      <c r="H61" s="43"/>
      <c r="I61" s="47"/>
      <c r="J61" s="30"/>
      <c r="L61" s="30"/>
      <c r="M61" s="30"/>
      <c r="N61" s="30"/>
    </row>
    <row r="62" spans="2:14">
      <c r="B62" s="5193" t="s">
        <v>13690</v>
      </c>
      <c r="C62" s="41"/>
      <c r="D62" s="42">
        <f t="shared" si="1"/>
        <v>44914</v>
      </c>
      <c r="E62" t="s">
        <v>13717</v>
      </c>
      <c r="F62" s="32"/>
      <c r="G62" t="s">
        <v>13692</v>
      </c>
      <c r="H62" s="43"/>
      <c r="I62" s="47"/>
      <c r="J62" s="30"/>
      <c r="L62" s="30"/>
      <c r="M62" s="30"/>
      <c r="N62" s="30"/>
    </row>
    <row r="63" spans="2:10">
      <c r="B63" s="30"/>
      <c r="C63" s="30"/>
      <c r="D63" s="44"/>
      <c r="E63" s="40"/>
      <c r="F63" s="32"/>
      <c r="G63" s="30"/>
      <c r="H63" s="43"/>
      <c r="I63" s="47"/>
      <c r="J63" s="30"/>
    </row>
    <row r="64" ht="12" spans="2:10">
      <c r="B64" s="33" t="s">
        <v>13687</v>
      </c>
      <c r="D64" s="45"/>
      <c r="E64" s="46"/>
      <c r="G64" s="37" t="s">
        <v>151</v>
      </c>
      <c r="H64" s="38">
        <f>SUM(H39:H63)</f>
        <v>0</v>
      </c>
      <c r="J64" s="38">
        <f>SUM(J39:J63)</f>
        <v>0</v>
      </c>
    </row>
    <row r="65" spans="2:2">
      <c r="B65" s="34"/>
    </row>
    <row r="67" ht="12" spans="2:2">
      <c r="B67" s="50" t="s">
        <v>13718</v>
      </c>
    </row>
    <row r="68" ht="13.2" spans="1:14">
      <c r="A68" s="1" t="s">
        <v>13712</v>
      </c>
      <c r="B68" s="25" t="s">
        <v>13424</v>
      </c>
      <c r="C68" s="25" t="s">
        <v>13634</v>
      </c>
      <c r="D68" s="26" t="s">
        <v>275</v>
      </c>
      <c r="E68" s="25" t="s">
        <v>13689</v>
      </c>
      <c r="F68" s="27"/>
      <c r="G68" s="25" t="s">
        <v>13636</v>
      </c>
      <c r="H68" s="28" t="s">
        <v>1204</v>
      </c>
      <c r="I68" s="27"/>
      <c r="J68" s="28" t="s">
        <v>12383</v>
      </c>
      <c r="L68" t="s">
        <v>13637</v>
      </c>
      <c r="M68" s="30" t="s">
        <v>13638</v>
      </c>
      <c r="N68" s="30" t="s">
        <v>1117</v>
      </c>
    </row>
    <row r="69" spans="2:14">
      <c r="B69" s="5193" t="s">
        <v>13719</v>
      </c>
      <c r="C69" s="41"/>
      <c r="D69" s="31">
        <v>44224</v>
      </c>
      <c r="E69" s="29" t="s">
        <v>13720</v>
      </c>
      <c r="F69" s="32" t="s">
        <v>11928</v>
      </c>
      <c r="G69" s="29" t="s">
        <v>13721</v>
      </c>
      <c r="H69" s="29">
        <v>0</v>
      </c>
      <c r="I69" s="47" t="s">
        <v>11928</v>
      </c>
      <c r="J69" s="30"/>
      <c r="K69" s="21" t="s">
        <v>974</v>
      </c>
      <c r="L69" s="30" t="s">
        <v>13693</v>
      </c>
      <c r="M69" s="30"/>
      <c r="N69" s="30"/>
    </row>
    <row r="70" spans="2:14">
      <c r="B70" s="5193" t="s">
        <v>13719</v>
      </c>
      <c r="C70" s="41"/>
      <c r="D70" s="31">
        <f>+D69+30</f>
        <v>44254</v>
      </c>
      <c r="E70" s="29" t="s">
        <v>13722</v>
      </c>
      <c r="F70" s="32" t="s">
        <v>11928</v>
      </c>
      <c r="G70" s="29" t="s">
        <v>13723</v>
      </c>
      <c r="H70" s="29">
        <v>0</v>
      </c>
      <c r="I70" s="47" t="s">
        <v>11928</v>
      </c>
      <c r="J70" s="30"/>
      <c r="K70" s="21" t="s">
        <v>974</v>
      </c>
      <c r="L70" s="30" t="s">
        <v>13693</v>
      </c>
      <c r="M70" s="30"/>
      <c r="N70" s="30"/>
    </row>
    <row r="71" spans="2:14">
      <c r="B71" s="5193" t="s">
        <v>13719</v>
      </c>
      <c r="C71" s="41"/>
      <c r="D71" s="31">
        <f t="shared" ref="D71:D92" si="2">+D70+30</f>
        <v>44284</v>
      </c>
      <c r="E71" s="29" t="s">
        <v>13724</v>
      </c>
      <c r="F71" s="32"/>
      <c r="G71" s="29" t="s">
        <v>13725</v>
      </c>
      <c r="H71" s="29"/>
      <c r="I71" s="47"/>
      <c r="J71" s="30"/>
      <c r="L71" s="30"/>
      <c r="M71" s="30"/>
      <c r="N71" s="30"/>
    </row>
    <row r="72" spans="2:14">
      <c r="B72" s="5193" t="s">
        <v>13719</v>
      </c>
      <c r="C72" s="41"/>
      <c r="D72" s="31">
        <f t="shared" si="2"/>
        <v>44314</v>
      </c>
      <c r="E72" s="29" t="s">
        <v>13726</v>
      </c>
      <c r="F72" s="32"/>
      <c r="G72" s="29" t="s">
        <v>13727</v>
      </c>
      <c r="H72" s="29"/>
      <c r="I72" s="47"/>
      <c r="J72" s="30"/>
      <c r="L72" s="30"/>
      <c r="M72" s="30"/>
      <c r="N72" s="30"/>
    </row>
    <row r="73" spans="2:14">
      <c r="B73" s="5193" t="s">
        <v>13719</v>
      </c>
      <c r="C73" s="41"/>
      <c r="D73" s="31">
        <f t="shared" si="2"/>
        <v>44344</v>
      </c>
      <c r="E73" s="29" t="s">
        <v>13728</v>
      </c>
      <c r="F73" s="32"/>
      <c r="G73" s="29" t="s">
        <v>13729</v>
      </c>
      <c r="H73" s="29"/>
      <c r="I73" s="47"/>
      <c r="J73" s="30"/>
      <c r="L73" s="30"/>
      <c r="M73" s="30"/>
      <c r="N73" s="30"/>
    </row>
    <row r="74" spans="2:14">
      <c r="B74" s="5193" t="s">
        <v>13719</v>
      </c>
      <c r="C74" s="41"/>
      <c r="D74" s="31">
        <f t="shared" si="2"/>
        <v>44374</v>
      </c>
      <c r="E74" s="29" t="s">
        <v>13730</v>
      </c>
      <c r="F74" s="32"/>
      <c r="G74" s="29" t="s">
        <v>13731</v>
      </c>
      <c r="H74" s="29"/>
      <c r="I74" s="47"/>
      <c r="J74" s="30"/>
      <c r="L74" s="30"/>
      <c r="M74" s="30"/>
      <c r="N74" s="30"/>
    </row>
    <row r="75" spans="2:14">
      <c r="B75" s="5193" t="s">
        <v>13719</v>
      </c>
      <c r="C75" s="41"/>
      <c r="D75" s="31">
        <f t="shared" si="2"/>
        <v>44404</v>
      </c>
      <c r="E75" s="29" t="s">
        <v>13732</v>
      </c>
      <c r="F75" s="32"/>
      <c r="G75" s="29" t="s">
        <v>13733</v>
      </c>
      <c r="H75" s="29"/>
      <c r="I75" s="47"/>
      <c r="J75" s="30"/>
      <c r="L75" s="30"/>
      <c r="M75" s="30"/>
      <c r="N75" s="30"/>
    </row>
    <row r="76" spans="2:14">
      <c r="B76" s="5193" t="s">
        <v>13719</v>
      </c>
      <c r="C76" s="41"/>
      <c r="D76" s="31">
        <f t="shared" si="2"/>
        <v>44434</v>
      </c>
      <c r="E76" s="29" t="s">
        <v>13734</v>
      </c>
      <c r="F76" s="32"/>
      <c r="G76" s="29" t="s">
        <v>13735</v>
      </c>
      <c r="H76" s="29"/>
      <c r="I76" s="47"/>
      <c r="J76" s="30"/>
      <c r="L76" s="30"/>
      <c r="M76" s="30"/>
      <c r="N76" s="30"/>
    </row>
    <row r="77" spans="2:14">
      <c r="B77" s="5193" t="s">
        <v>13719</v>
      </c>
      <c r="C77" s="41"/>
      <c r="D77" s="31">
        <f t="shared" si="2"/>
        <v>44464</v>
      </c>
      <c r="E77" s="29" t="s">
        <v>13736</v>
      </c>
      <c r="F77" s="32"/>
      <c r="G77" s="29" t="s">
        <v>13737</v>
      </c>
      <c r="H77" s="29"/>
      <c r="I77" s="47"/>
      <c r="J77" s="30"/>
      <c r="L77" s="30"/>
      <c r="M77" s="30"/>
      <c r="N77" s="30"/>
    </row>
    <row r="78" spans="2:14">
      <c r="B78" s="5193" t="s">
        <v>13719</v>
      </c>
      <c r="C78" s="41"/>
      <c r="D78" s="31">
        <f t="shared" si="2"/>
        <v>44494</v>
      </c>
      <c r="E78" s="29" t="s">
        <v>13738</v>
      </c>
      <c r="F78" s="32"/>
      <c r="G78" s="29" t="s">
        <v>13739</v>
      </c>
      <c r="H78" s="29"/>
      <c r="I78" s="47"/>
      <c r="J78" s="30"/>
      <c r="L78" s="30"/>
      <c r="M78" s="30"/>
      <c r="N78" s="30"/>
    </row>
    <row r="79" spans="2:14">
      <c r="B79" s="5193" t="s">
        <v>13719</v>
      </c>
      <c r="C79" s="41"/>
      <c r="D79" s="31">
        <f t="shared" si="2"/>
        <v>44524</v>
      </c>
      <c r="E79" s="29" t="s">
        <v>13740</v>
      </c>
      <c r="F79" s="32"/>
      <c r="G79" s="29" t="s">
        <v>13741</v>
      </c>
      <c r="H79" s="29"/>
      <c r="I79" s="47"/>
      <c r="J79" s="30"/>
      <c r="L79" s="30"/>
      <c r="M79" s="30"/>
      <c r="N79" s="30"/>
    </row>
    <row r="80" spans="2:14">
      <c r="B80" s="5193" t="s">
        <v>13719</v>
      </c>
      <c r="C80" s="41"/>
      <c r="D80" s="31">
        <f t="shared" si="2"/>
        <v>44554</v>
      </c>
      <c r="E80" s="29" t="s">
        <v>13742</v>
      </c>
      <c r="F80" s="32"/>
      <c r="G80" s="29" t="s">
        <v>13743</v>
      </c>
      <c r="H80" s="29"/>
      <c r="I80" s="47"/>
      <c r="J80" s="30"/>
      <c r="L80" s="30"/>
      <c r="M80" s="30"/>
      <c r="N80" s="30"/>
    </row>
    <row r="81" spans="2:14">
      <c r="B81" s="5193" t="s">
        <v>13719</v>
      </c>
      <c r="C81" s="41"/>
      <c r="D81" s="31">
        <f t="shared" si="2"/>
        <v>44584</v>
      </c>
      <c r="E81" s="29" t="s">
        <v>13744</v>
      </c>
      <c r="F81" s="32"/>
      <c r="G81" s="29" t="s">
        <v>13721</v>
      </c>
      <c r="H81" s="29"/>
      <c r="I81" s="47"/>
      <c r="J81" s="30"/>
      <c r="L81" s="30"/>
      <c r="M81" s="30"/>
      <c r="N81" s="30"/>
    </row>
    <row r="82" spans="2:14">
      <c r="B82" s="5193" t="s">
        <v>13719</v>
      </c>
      <c r="C82" s="41"/>
      <c r="D82" s="31">
        <f t="shared" si="2"/>
        <v>44614</v>
      </c>
      <c r="E82" s="29" t="s">
        <v>13745</v>
      </c>
      <c r="F82" s="32"/>
      <c r="G82" s="29" t="s">
        <v>13723</v>
      </c>
      <c r="H82" s="29"/>
      <c r="I82" s="47"/>
      <c r="J82" s="30"/>
      <c r="L82" s="30"/>
      <c r="M82" s="30"/>
      <c r="N82" s="30"/>
    </row>
    <row r="83" spans="2:14">
      <c r="B83" s="5193" t="s">
        <v>13719</v>
      </c>
      <c r="C83" s="41"/>
      <c r="D83" s="31">
        <f t="shared" si="2"/>
        <v>44644</v>
      </c>
      <c r="E83" s="29" t="s">
        <v>13746</v>
      </c>
      <c r="F83" s="32"/>
      <c r="G83" s="29" t="s">
        <v>13725</v>
      </c>
      <c r="H83" s="29"/>
      <c r="I83" s="47"/>
      <c r="J83" s="30"/>
      <c r="L83" s="30"/>
      <c r="M83" s="30"/>
      <c r="N83" s="30"/>
    </row>
    <row r="84" spans="2:14">
      <c r="B84" s="5193" t="s">
        <v>13719</v>
      </c>
      <c r="C84" s="41"/>
      <c r="D84" s="31">
        <f t="shared" si="2"/>
        <v>44674</v>
      </c>
      <c r="E84" s="29" t="s">
        <v>13747</v>
      </c>
      <c r="F84" s="32"/>
      <c r="G84" s="29" t="s">
        <v>13727</v>
      </c>
      <c r="H84" s="29"/>
      <c r="I84" s="47"/>
      <c r="J84" s="30"/>
      <c r="L84" s="30"/>
      <c r="M84" s="30"/>
      <c r="N84" s="30"/>
    </row>
    <row r="85" spans="2:14">
      <c r="B85" s="5193" t="s">
        <v>13719</v>
      </c>
      <c r="C85" s="41"/>
      <c r="D85" s="31">
        <f t="shared" si="2"/>
        <v>44704</v>
      </c>
      <c r="E85" s="29" t="s">
        <v>13748</v>
      </c>
      <c r="F85" s="32"/>
      <c r="G85" s="29" t="s">
        <v>13729</v>
      </c>
      <c r="H85" s="29"/>
      <c r="I85" s="47"/>
      <c r="J85" s="30"/>
      <c r="L85" s="30"/>
      <c r="M85" s="30"/>
      <c r="N85" s="30"/>
    </row>
    <row r="86" spans="2:14">
      <c r="B86" s="5193" t="s">
        <v>13719</v>
      </c>
      <c r="C86" s="41"/>
      <c r="D86" s="31">
        <f t="shared" si="2"/>
        <v>44734</v>
      </c>
      <c r="E86" s="29" t="s">
        <v>13749</v>
      </c>
      <c r="F86" s="32"/>
      <c r="G86" s="29" t="s">
        <v>13731</v>
      </c>
      <c r="H86" s="29"/>
      <c r="I86" s="47"/>
      <c r="J86" s="30"/>
      <c r="L86" s="30"/>
      <c r="M86" s="30"/>
      <c r="N86" s="30"/>
    </row>
    <row r="87" spans="2:14">
      <c r="B87" s="5193" t="s">
        <v>13719</v>
      </c>
      <c r="C87" s="41"/>
      <c r="D87" s="31">
        <f t="shared" si="2"/>
        <v>44764</v>
      </c>
      <c r="E87" s="29" t="s">
        <v>13750</v>
      </c>
      <c r="F87" s="32"/>
      <c r="G87" s="29" t="s">
        <v>13733</v>
      </c>
      <c r="H87" s="43"/>
      <c r="I87" s="47"/>
      <c r="J87" s="30"/>
      <c r="L87" s="30"/>
      <c r="M87" s="30"/>
      <c r="N87" s="30"/>
    </row>
    <row r="88" spans="2:14">
      <c r="B88" s="5193" t="s">
        <v>13719</v>
      </c>
      <c r="C88" s="41"/>
      <c r="D88" s="31">
        <f t="shared" si="2"/>
        <v>44794</v>
      </c>
      <c r="E88" s="29" t="s">
        <v>13751</v>
      </c>
      <c r="F88" s="32"/>
      <c r="G88" s="29" t="s">
        <v>13735</v>
      </c>
      <c r="H88" s="43"/>
      <c r="I88" s="47"/>
      <c r="J88" s="30"/>
      <c r="L88" s="30"/>
      <c r="M88" s="30"/>
      <c r="N88" s="30"/>
    </row>
    <row r="89" spans="2:14">
      <c r="B89" s="5193" t="s">
        <v>13719</v>
      </c>
      <c r="C89" s="41"/>
      <c r="D89" s="31">
        <f t="shared" si="2"/>
        <v>44824</v>
      </c>
      <c r="E89" s="29" t="s">
        <v>13752</v>
      </c>
      <c r="F89" s="32"/>
      <c r="G89" s="29" t="s">
        <v>13737</v>
      </c>
      <c r="H89" s="43"/>
      <c r="I89" s="47"/>
      <c r="J89" s="30"/>
      <c r="L89" s="30"/>
      <c r="M89" s="30"/>
      <c r="N89" s="30"/>
    </row>
    <row r="90" spans="2:14">
      <c r="B90" s="5193" t="s">
        <v>13719</v>
      </c>
      <c r="C90" s="41"/>
      <c r="D90" s="31">
        <f t="shared" si="2"/>
        <v>44854</v>
      </c>
      <c r="E90" s="29" t="s">
        <v>13753</v>
      </c>
      <c r="F90" s="32"/>
      <c r="G90" s="29" t="s">
        <v>13739</v>
      </c>
      <c r="H90" s="43"/>
      <c r="I90" s="47"/>
      <c r="J90" s="30"/>
      <c r="L90" s="30"/>
      <c r="M90" s="30"/>
      <c r="N90" s="30"/>
    </row>
    <row r="91" spans="2:14">
      <c r="B91" s="5193" t="s">
        <v>13719</v>
      </c>
      <c r="C91" s="41"/>
      <c r="D91" s="31">
        <f t="shared" si="2"/>
        <v>44884</v>
      </c>
      <c r="E91" s="29" t="s">
        <v>13754</v>
      </c>
      <c r="F91" s="32"/>
      <c r="G91" s="29" t="s">
        <v>13741</v>
      </c>
      <c r="H91" s="43"/>
      <c r="I91" s="47"/>
      <c r="J91" s="30"/>
      <c r="L91" s="30"/>
      <c r="M91" s="30"/>
      <c r="N91" s="30"/>
    </row>
    <row r="92" spans="2:14">
      <c r="B92" s="5193" t="s">
        <v>13719</v>
      </c>
      <c r="C92" s="41"/>
      <c r="D92" s="31">
        <f t="shared" si="2"/>
        <v>44914</v>
      </c>
      <c r="E92" s="29" t="s">
        <v>13755</v>
      </c>
      <c r="F92" s="32"/>
      <c r="G92" s="29" t="s">
        <v>13743</v>
      </c>
      <c r="H92" s="43"/>
      <c r="I92" s="47"/>
      <c r="J92" s="30"/>
      <c r="L92" s="30"/>
      <c r="M92" s="30"/>
      <c r="N92" s="30"/>
    </row>
    <row r="93" spans="2:10">
      <c r="B93" s="30"/>
      <c r="C93" s="30"/>
      <c r="D93" s="44"/>
      <c r="E93" s="40"/>
      <c r="F93" s="32"/>
      <c r="G93" s="30"/>
      <c r="H93" s="43"/>
      <c r="I93" s="47"/>
      <c r="J93" s="30"/>
    </row>
    <row r="94" ht="12" spans="2:10">
      <c r="B94" s="33" t="s">
        <v>13687</v>
      </c>
      <c r="D94" s="45"/>
      <c r="E94" s="46"/>
      <c r="G94" s="37" t="s">
        <v>151</v>
      </c>
      <c r="H94" s="38">
        <f>SUM(H69:H93)</f>
        <v>0</v>
      </c>
      <c r="J94" s="38">
        <f>SUM(J69:J93)</f>
        <v>0</v>
      </c>
    </row>
  </sheetData>
  <mergeCells count="2">
    <mergeCell ref="M5:N5"/>
    <mergeCell ref="M37:N37"/>
  </mergeCells>
  <pageMargins left="0.7" right="0.7" top="0.75" bottom="0.75" header="0.3" footer="0.3"/>
  <pageSetup paperSize="9" orientation="portrait"/>
  <headerFooter/>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0"/>
  <dimension ref="B2:K50"/>
  <sheetViews>
    <sheetView topLeftCell="B1" workbookViewId="0">
      <selection activeCell="J11" sqref="J11"/>
    </sheetView>
  </sheetViews>
  <sheetFormatPr defaultColWidth="8.84375" defaultRowHeight="11.4"/>
  <cols>
    <col min="1" max="1" width="4.34375" style="3" customWidth="1"/>
    <col min="2" max="2" width="41.8020833333333" style="3" customWidth="1"/>
    <col min="3" max="3" width="12.1354166666667" style="3" customWidth="1"/>
    <col min="4" max="4" width="16.3333333333333" style="3" customWidth="1"/>
    <col min="5" max="5" width="19.1770833333333" style="3" customWidth="1"/>
    <col min="6" max="6" width="14.8333333333333" style="3" customWidth="1"/>
    <col min="7" max="7" width="46.4479166666667" style="3" customWidth="1"/>
    <col min="8" max="8" width="14.8333333333333" style="4" customWidth="1"/>
    <col min="9" max="9" width="10.3333333333333" style="4" customWidth="1"/>
    <col min="10" max="10" width="12.7395833333333" style="3" customWidth="1"/>
    <col min="11" max="11" width="15.1354166666667" style="5" customWidth="1"/>
    <col min="12" max="12" width="13.78125" style="3" customWidth="1"/>
    <col min="13" max="16384" width="8.84375" style="3"/>
  </cols>
  <sheetData>
    <row r="2" ht="27.2" customHeight="1" spans="2:10">
      <c r="B2" t="s">
        <v>13756</v>
      </c>
      <c r="C2"/>
      <c r="D2"/>
      <c r="E2"/>
      <c r="F2"/>
      <c r="G2"/>
      <c r="H2"/>
      <c r="I2"/>
      <c r="J2" s="16"/>
    </row>
    <row r="3" ht="31.5" customHeight="1" spans="2:11">
      <c r="B3" s="5194" t="s">
        <v>13757</v>
      </c>
      <c r="C3" s="5194" t="s">
        <v>11563</v>
      </c>
      <c r="D3" s="5194" t="s">
        <v>275</v>
      </c>
      <c r="E3" s="5194" t="s">
        <v>13550</v>
      </c>
      <c r="F3" s="5194" t="s">
        <v>13551</v>
      </c>
      <c r="G3" s="5194" t="s">
        <v>657</v>
      </c>
      <c r="H3" s="5195" t="s">
        <v>659</v>
      </c>
      <c r="I3" s="5195" t="s">
        <v>679</v>
      </c>
      <c r="J3" s="5195" t="s">
        <v>13758</v>
      </c>
      <c r="K3" s="5195" t="s">
        <v>13759</v>
      </c>
    </row>
    <row r="4" spans="2:11">
      <c r="B4" s="8" t="s">
        <v>13760</v>
      </c>
      <c r="C4" s="8" t="s">
        <v>13761</v>
      </c>
      <c r="D4" s="8">
        <v>43921</v>
      </c>
      <c r="E4" s="5196" t="s">
        <v>11661</v>
      </c>
      <c r="F4" s="8" t="s">
        <v>13762</v>
      </c>
      <c r="G4" s="8" t="s">
        <v>13763</v>
      </c>
      <c r="H4" s="9">
        <v>1400000</v>
      </c>
      <c r="I4" s="9">
        <v>0</v>
      </c>
      <c r="J4" s="17"/>
      <c r="K4" s="5" t="s">
        <v>12753</v>
      </c>
    </row>
    <row r="5" spans="2:11">
      <c r="B5" s="8" t="s">
        <v>13764</v>
      </c>
      <c r="C5" s="8" t="s">
        <v>13761</v>
      </c>
      <c r="D5" s="8">
        <v>43921</v>
      </c>
      <c r="E5" s="5196" t="s">
        <v>11661</v>
      </c>
      <c r="F5" s="8" t="s">
        <v>13762</v>
      </c>
      <c r="G5" s="8" t="s">
        <v>13763</v>
      </c>
      <c r="H5" s="9">
        <v>1463000</v>
      </c>
      <c r="I5" s="9">
        <v>0</v>
      </c>
      <c r="J5" s="17" t="e">
        <f>DATEVALUE(D5)</f>
        <v>#VALUE!</v>
      </c>
      <c r="K5" s="5" t="s">
        <v>12753</v>
      </c>
    </row>
    <row r="6" s="1" customFormat="1" ht="13.8" spans="2:11">
      <c r="B6" s="10" t="s">
        <v>13765</v>
      </c>
      <c r="C6" s="10" t="s">
        <v>13761</v>
      </c>
      <c r="D6" s="10">
        <v>43889</v>
      </c>
      <c r="E6" s="5197" t="s">
        <v>11661</v>
      </c>
      <c r="F6" s="10" t="s">
        <v>13766</v>
      </c>
      <c r="G6" s="10" t="s">
        <v>13767</v>
      </c>
      <c r="H6" s="11">
        <v>68040000</v>
      </c>
      <c r="I6" s="11">
        <v>0</v>
      </c>
      <c r="K6" s="18"/>
    </row>
    <row r="7" s="1" customFormat="1" ht="13.8" spans="2:11">
      <c r="B7" s="10" t="s">
        <v>13765</v>
      </c>
      <c r="C7" s="10" t="s">
        <v>13761</v>
      </c>
      <c r="D7" s="10">
        <v>43951</v>
      </c>
      <c r="E7" s="5197" t="s">
        <v>11661</v>
      </c>
      <c r="F7" s="10" t="s">
        <v>13768</v>
      </c>
      <c r="G7" s="10" t="s">
        <v>13769</v>
      </c>
      <c r="H7" s="11">
        <v>68040000</v>
      </c>
      <c r="I7" s="11">
        <v>0</v>
      </c>
      <c r="K7" s="18"/>
    </row>
    <row r="8" s="1" customFormat="1" ht="13.8" spans="2:11">
      <c r="B8" s="10" t="s">
        <v>13765</v>
      </c>
      <c r="C8" s="10" t="s">
        <v>13761</v>
      </c>
      <c r="D8" s="10">
        <v>44012</v>
      </c>
      <c r="E8" s="5197" t="s">
        <v>11661</v>
      </c>
      <c r="F8" s="10" t="s">
        <v>13770</v>
      </c>
      <c r="G8" s="10" t="s">
        <v>13771</v>
      </c>
      <c r="H8" s="11">
        <v>68040000</v>
      </c>
      <c r="I8" s="11">
        <v>0</v>
      </c>
      <c r="K8" s="18"/>
    </row>
    <row r="9" s="1" customFormat="1" ht="13.8" spans="2:11">
      <c r="B9" s="10" t="s">
        <v>13765</v>
      </c>
      <c r="C9" s="10" t="s">
        <v>13761</v>
      </c>
      <c r="D9" s="10">
        <v>44070</v>
      </c>
      <c r="E9" s="5197" t="s">
        <v>11661</v>
      </c>
      <c r="F9" s="10" t="s">
        <v>13772</v>
      </c>
      <c r="G9" s="10" t="s">
        <v>13773</v>
      </c>
      <c r="H9" s="11">
        <v>24490101</v>
      </c>
      <c r="I9" s="11">
        <v>0</v>
      </c>
      <c r="K9" s="18"/>
    </row>
    <row r="10" s="1" customFormat="1" ht="13.8" spans="2:11">
      <c r="B10" s="10" t="s">
        <v>13765</v>
      </c>
      <c r="C10" s="10" t="s">
        <v>13761</v>
      </c>
      <c r="D10" s="10">
        <v>44120</v>
      </c>
      <c r="E10" s="5197" t="s">
        <v>11661</v>
      </c>
      <c r="F10" s="10" t="s">
        <v>13774</v>
      </c>
      <c r="G10" s="10" t="s">
        <v>13775</v>
      </c>
      <c r="H10" s="11">
        <v>23555236</v>
      </c>
      <c r="I10" s="11">
        <v>0</v>
      </c>
      <c r="K10" s="18"/>
    </row>
    <row r="11" s="1" customFormat="1" ht="13.8" spans="2:11">
      <c r="B11" s="10" t="s">
        <v>13776</v>
      </c>
      <c r="C11" s="10" t="s">
        <v>13761</v>
      </c>
      <c r="D11" s="10">
        <v>44196</v>
      </c>
      <c r="E11" s="5197" t="s">
        <v>11661</v>
      </c>
      <c r="F11" s="10" t="s">
        <v>13777</v>
      </c>
      <c r="G11" s="10" t="s">
        <v>13778</v>
      </c>
      <c r="H11" s="11">
        <v>23308401</v>
      </c>
      <c r="I11" s="11">
        <v>0</v>
      </c>
      <c r="K11" s="18"/>
    </row>
    <row r="12" s="1" customFormat="1" ht="13.8" spans="2:11">
      <c r="B12" s="10" t="s">
        <v>13779</v>
      </c>
      <c r="C12" s="10" t="s">
        <v>13761</v>
      </c>
      <c r="D12" s="10">
        <v>44090</v>
      </c>
      <c r="E12" s="5197" t="s">
        <v>11661</v>
      </c>
      <c r="F12" s="10" t="s">
        <v>13780</v>
      </c>
      <c r="G12" s="10" t="s">
        <v>13781</v>
      </c>
      <c r="H12" s="11">
        <v>13500000</v>
      </c>
      <c r="I12" s="11">
        <v>0</v>
      </c>
      <c r="K12" s="18"/>
    </row>
    <row r="13" s="1" customFormat="1" ht="13.8" spans="2:11">
      <c r="B13" s="10" t="s">
        <v>13782</v>
      </c>
      <c r="C13" s="10" t="s">
        <v>13761</v>
      </c>
      <c r="D13" s="10">
        <v>43965</v>
      </c>
      <c r="E13" s="5197" t="s">
        <v>11661</v>
      </c>
      <c r="F13" s="10" t="s">
        <v>13783</v>
      </c>
      <c r="G13" s="10" t="s">
        <v>13784</v>
      </c>
      <c r="H13" s="11">
        <v>19282810</v>
      </c>
      <c r="I13" s="11">
        <v>0</v>
      </c>
      <c r="K13" s="18"/>
    </row>
    <row r="14" s="1" customFormat="1" ht="13.8" spans="2:11">
      <c r="B14" s="10" t="s">
        <v>13785</v>
      </c>
      <c r="C14" s="10" t="s">
        <v>13761</v>
      </c>
      <c r="D14" s="10">
        <v>44007</v>
      </c>
      <c r="E14" s="5197" t="s">
        <v>11661</v>
      </c>
      <c r="F14" s="10" t="s">
        <v>13786</v>
      </c>
      <c r="G14" s="10" t="s">
        <v>13787</v>
      </c>
      <c r="H14" s="11">
        <v>5350800</v>
      </c>
      <c r="I14" s="11">
        <v>0</v>
      </c>
      <c r="K14" s="18"/>
    </row>
    <row r="15" s="1" customFormat="1" ht="13.8" spans="2:11">
      <c r="B15" s="10" t="s">
        <v>13785</v>
      </c>
      <c r="C15" s="10" t="s">
        <v>13761</v>
      </c>
      <c r="D15" s="10">
        <v>44052</v>
      </c>
      <c r="E15" s="5197" t="s">
        <v>11661</v>
      </c>
      <c r="F15" s="10" t="s">
        <v>13788</v>
      </c>
      <c r="G15" s="10" t="s">
        <v>13789</v>
      </c>
      <c r="H15" s="11">
        <v>15984000</v>
      </c>
      <c r="I15" s="11">
        <v>0</v>
      </c>
      <c r="K15" s="18"/>
    </row>
    <row r="16" s="1" customFormat="1" ht="13.8" spans="2:11">
      <c r="B16" s="10" t="s">
        <v>13790</v>
      </c>
      <c r="C16" s="10" t="s">
        <v>13761</v>
      </c>
      <c r="D16" s="10">
        <v>44135</v>
      </c>
      <c r="E16" s="5197" t="s">
        <v>11661</v>
      </c>
      <c r="F16" s="10" t="s">
        <v>13791</v>
      </c>
      <c r="G16" s="10" t="s">
        <v>13792</v>
      </c>
      <c r="H16" s="11">
        <v>145388</v>
      </c>
      <c r="I16" s="11">
        <v>0</v>
      </c>
      <c r="K16" s="18"/>
    </row>
    <row r="17" s="1" customFormat="1" ht="13.8" spans="2:11">
      <c r="B17" s="10" t="s">
        <v>13793</v>
      </c>
      <c r="C17" s="10" t="s">
        <v>13761</v>
      </c>
      <c r="D17" s="10">
        <v>43951</v>
      </c>
      <c r="E17" s="5197" t="s">
        <v>11661</v>
      </c>
      <c r="F17" s="10" t="s">
        <v>13794</v>
      </c>
      <c r="G17" s="10" t="s">
        <v>13795</v>
      </c>
      <c r="H17" s="11">
        <v>1521041.67</v>
      </c>
      <c r="I17" s="11">
        <v>0</v>
      </c>
      <c r="K17" s="18"/>
    </row>
    <row r="18" s="1" customFormat="1" ht="13.8" spans="2:11">
      <c r="B18" s="10" t="s">
        <v>13796</v>
      </c>
      <c r="C18" s="10" t="s">
        <v>13761</v>
      </c>
      <c r="D18" s="10">
        <v>43951</v>
      </c>
      <c r="E18" s="5197" t="s">
        <v>11661</v>
      </c>
      <c r="F18" s="10" t="s">
        <v>13797</v>
      </c>
      <c r="G18" s="10" t="s">
        <v>13798</v>
      </c>
      <c r="H18" s="11">
        <v>3634966.25</v>
      </c>
      <c r="I18" s="11">
        <v>0</v>
      </c>
      <c r="K18" s="18"/>
    </row>
    <row r="19" s="1" customFormat="1" ht="14.55" spans="2:11">
      <c r="B19" s="12" t="s">
        <v>13799</v>
      </c>
      <c r="C19" s="12" t="s">
        <v>13761</v>
      </c>
      <c r="D19" s="12">
        <v>44135</v>
      </c>
      <c r="E19" s="5198" t="s">
        <v>11661</v>
      </c>
      <c r="F19" s="12" t="s">
        <v>13800</v>
      </c>
      <c r="G19" s="12" t="s">
        <v>13801</v>
      </c>
      <c r="H19" s="13">
        <v>25987432.39</v>
      </c>
      <c r="I19" s="13">
        <v>0</v>
      </c>
      <c r="K19" s="18"/>
    </row>
    <row r="22" s="2" customFormat="1" ht="23.25" customHeight="1" spans="2:11">
      <c r="B22" t="s">
        <v>13802</v>
      </c>
      <c r="C22"/>
      <c r="D22"/>
      <c r="E22"/>
      <c r="F22"/>
      <c r="G22"/>
      <c r="H22"/>
      <c r="I22"/>
      <c r="K22" s="19"/>
    </row>
    <row r="23" s="2" customFormat="1" ht="23.25" customHeight="1" spans="2:11">
      <c r="B23" s="5194" t="s">
        <v>13757</v>
      </c>
      <c r="C23" s="5194" t="s">
        <v>11563</v>
      </c>
      <c r="D23" s="5194" t="s">
        <v>275</v>
      </c>
      <c r="E23" s="5194" t="s">
        <v>13550</v>
      </c>
      <c r="F23" s="5194" t="s">
        <v>13551</v>
      </c>
      <c r="G23" s="5194" t="s">
        <v>657</v>
      </c>
      <c r="H23" s="5195" t="s">
        <v>659</v>
      </c>
      <c r="I23" s="5195" t="s">
        <v>679</v>
      </c>
      <c r="K23" s="19"/>
    </row>
    <row r="24" spans="2:9">
      <c r="B24" s="8" t="s">
        <v>13803</v>
      </c>
      <c r="C24" s="8" t="s">
        <v>13761</v>
      </c>
      <c r="D24" s="8" t="s">
        <v>13804</v>
      </c>
      <c r="E24" s="5196" t="s">
        <v>11661</v>
      </c>
      <c r="F24" s="8" t="s">
        <v>13805</v>
      </c>
      <c r="G24" s="8" t="s">
        <v>13806</v>
      </c>
      <c r="H24" s="9">
        <v>1523000</v>
      </c>
      <c r="I24" s="9">
        <v>0</v>
      </c>
    </row>
    <row r="25" spans="2:9">
      <c r="B25" s="8" t="s">
        <v>13807</v>
      </c>
      <c r="C25" s="8" t="s">
        <v>13761</v>
      </c>
      <c r="D25" s="8" t="s">
        <v>13808</v>
      </c>
      <c r="E25" s="5196" t="s">
        <v>11661</v>
      </c>
      <c r="F25" s="8" t="s">
        <v>13809</v>
      </c>
      <c r="G25" s="8" t="s">
        <v>13810</v>
      </c>
      <c r="H25" s="9">
        <v>1000000</v>
      </c>
      <c r="I25" s="9">
        <v>0</v>
      </c>
    </row>
    <row r="26" spans="2:9">
      <c r="B26" s="8" t="s">
        <v>13811</v>
      </c>
      <c r="C26" s="8" t="s">
        <v>13761</v>
      </c>
      <c r="D26" s="8" t="s">
        <v>13812</v>
      </c>
      <c r="E26" s="5196" t="s">
        <v>11661</v>
      </c>
      <c r="F26" s="8" t="s">
        <v>13813</v>
      </c>
      <c r="G26" s="8" t="s">
        <v>13814</v>
      </c>
      <c r="H26" s="9">
        <v>3800000</v>
      </c>
      <c r="I26" s="9">
        <v>0</v>
      </c>
    </row>
    <row r="27" spans="2:9">
      <c r="B27" s="8" t="s">
        <v>13815</v>
      </c>
      <c r="C27" s="8" t="s">
        <v>13761</v>
      </c>
      <c r="D27" s="8" t="s">
        <v>13812</v>
      </c>
      <c r="E27" s="5196" t="s">
        <v>11661</v>
      </c>
      <c r="F27" s="8" t="s">
        <v>13816</v>
      </c>
      <c r="G27" s="8" t="s">
        <v>13817</v>
      </c>
      <c r="H27" s="9">
        <v>1872200</v>
      </c>
      <c r="I27" s="9">
        <v>0</v>
      </c>
    </row>
    <row r="28" ht="12.15" spans="2:9">
      <c r="B28" s="14" t="s">
        <v>13818</v>
      </c>
      <c r="C28" s="14" t="s">
        <v>13761</v>
      </c>
      <c r="D28" s="14" t="s">
        <v>13819</v>
      </c>
      <c r="E28" s="5199" t="s">
        <v>11661</v>
      </c>
      <c r="F28" s="14" t="s">
        <v>13820</v>
      </c>
      <c r="G28" s="14" t="s">
        <v>13821</v>
      </c>
      <c r="H28" s="15">
        <v>3250000</v>
      </c>
      <c r="I28" s="15">
        <v>0</v>
      </c>
    </row>
    <row r="30" s="2" customFormat="1" ht="24" customHeight="1" spans="2:11">
      <c r="B30" t="s">
        <v>13822</v>
      </c>
      <c r="C30"/>
      <c r="D30"/>
      <c r="E30"/>
      <c r="F30"/>
      <c r="G30"/>
      <c r="H30"/>
      <c r="I30"/>
      <c r="K30" s="19"/>
    </row>
    <row r="31" s="2" customFormat="1" ht="24" customHeight="1" spans="2:11">
      <c r="B31" s="5194" t="s">
        <v>13757</v>
      </c>
      <c r="C31" s="5194" t="s">
        <v>11563</v>
      </c>
      <c r="D31" s="5194" t="s">
        <v>275</v>
      </c>
      <c r="E31" s="5194" t="s">
        <v>13550</v>
      </c>
      <c r="F31" s="5194" t="s">
        <v>13551</v>
      </c>
      <c r="G31" s="5194" t="s">
        <v>657</v>
      </c>
      <c r="H31" s="5195" t="s">
        <v>659</v>
      </c>
      <c r="I31" s="5195" t="s">
        <v>679</v>
      </c>
      <c r="K31" s="19"/>
    </row>
    <row r="32" spans="2:10">
      <c r="B32" s="8" t="s">
        <v>13823</v>
      </c>
      <c r="C32" s="8" t="s">
        <v>13824</v>
      </c>
      <c r="D32" s="8" t="s">
        <v>13825</v>
      </c>
      <c r="E32" s="5196" t="s">
        <v>11661</v>
      </c>
      <c r="F32" s="8" t="s">
        <v>13826</v>
      </c>
      <c r="G32" s="8" t="s">
        <v>13827</v>
      </c>
      <c r="H32" s="9">
        <v>37153402</v>
      </c>
      <c r="I32" s="9">
        <v>0</v>
      </c>
      <c r="J32" s="3" t="s">
        <v>171</v>
      </c>
    </row>
    <row r="33" spans="2:9">
      <c r="B33" s="8" t="s">
        <v>13823</v>
      </c>
      <c r="C33" s="8" t="s">
        <v>13824</v>
      </c>
      <c r="D33" s="8" t="s">
        <v>13825</v>
      </c>
      <c r="E33" s="5196" t="s">
        <v>11661</v>
      </c>
      <c r="F33" s="8" t="s">
        <v>13826</v>
      </c>
      <c r="G33" s="8" t="s">
        <v>13827</v>
      </c>
      <c r="H33" s="9">
        <v>92921619</v>
      </c>
      <c r="I33" s="9">
        <v>0</v>
      </c>
    </row>
    <row r="34" spans="2:9">
      <c r="B34" s="8" t="s">
        <v>13823</v>
      </c>
      <c r="C34" s="8" t="s">
        <v>13824</v>
      </c>
      <c r="D34" s="8" t="s">
        <v>13825</v>
      </c>
      <c r="E34" s="5196" t="s">
        <v>11661</v>
      </c>
      <c r="F34" s="8" t="s">
        <v>13826</v>
      </c>
      <c r="G34" s="8" t="s">
        <v>13827</v>
      </c>
      <c r="H34" s="9">
        <v>23912477</v>
      </c>
      <c r="I34" s="9">
        <v>0</v>
      </c>
    </row>
    <row r="35" spans="2:9">
      <c r="B35" s="8" t="s">
        <v>13823</v>
      </c>
      <c r="C35" s="8" t="s">
        <v>13824</v>
      </c>
      <c r="D35" s="8" t="s">
        <v>13828</v>
      </c>
      <c r="E35" s="5196" t="s">
        <v>11661</v>
      </c>
      <c r="F35" s="8" t="s">
        <v>13829</v>
      </c>
      <c r="G35" s="8" t="s">
        <v>13830</v>
      </c>
      <c r="H35" s="9">
        <v>104680875</v>
      </c>
      <c r="I35" s="9">
        <v>0</v>
      </c>
    </row>
    <row r="36" spans="2:9">
      <c r="B36" s="8" t="s">
        <v>13823</v>
      </c>
      <c r="C36" s="8" t="s">
        <v>13824</v>
      </c>
      <c r="D36" s="8" t="s">
        <v>13828</v>
      </c>
      <c r="E36" s="5196" t="s">
        <v>11661</v>
      </c>
      <c r="F36" s="8" t="s">
        <v>13829</v>
      </c>
      <c r="G36" s="8" t="s">
        <v>13830</v>
      </c>
      <c r="H36" s="9">
        <v>136879316</v>
      </c>
      <c r="I36" s="9">
        <v>0</v>
      </c>
    </row>
    <row r="37" spans="2:9">
      <c r="B37" s="8" t="s">
        <v>13831</v>
      </c>
      <c r="C37" s="8" t="s">
        <v>13824</v>
      </c>
      <c r="D37" s="8" t="s">
        <v>13832</v>
      </c>
      <c r="E37" s="5196" t="s">
        <v>11661</v>
      </c>
      <c r="F37" s="8" t="s">
        <v>13833</v>
      </c>
      <c r="G37" s="8" t="s">
        <v>13834</v>
      </c>
      <c r="H37" s="9">
        <v>755000</v>
      </c>
      <c r="I37" s="9">
        <v>0</v>
      </c>
    </row>
    <row r="38" spans="2:9">
      <c r="B38" s="8" t="s">
        <v>13835</v>
      </c>
      <c r="C38" s="8" t="s">
        <v>13824</v>
      </c>
      <c r="D38" s="8" t="s">
        <v>13808</v>
      </c>
      <c r="E38" s="5196" t="s">
        <v>11661</v>
      </c>
      <c r="F38" s="8" t="s">
        <v>13809</v>
      </c>
      <c r="G38" s="8" t="s">
        <v>13810</v>
      </c>
      <c r="H38" s="9">
        <v>400000</v>
      </c>
      <c r="I38" s="9">
        <v>0</v>
      </c>
    </row>
    <row r="39" ht="12.15" spans="2:9">
      <c r="B39" s="14" t="s">
        <v>13836</v>
      </c>
      <c r="C39" s="14" t="s">
        <v>13824</v>
      </c>
      <c r="D39" s="14" t="s">
        <v>13837</v>
      </c>
      <c r="E39" s="5199" t="s">
        <v>11661</v>
      </c>
      <c r="F39" s="14" t="s">
        <v>13838</v>
      </c>
      <c r="G39" s="14" t="s">
        <v>13839</v>
      </c>
      <c r="H39" s="15">
        <v>72334333</v>
      </c>
      <c r="I39" s="15">
        <v>0</v>
      </c>
    </row>
    <row r="41" s="2" customFormat="1" ht="30.95" customHeight="1" spans="2:11">
      <c r="B41" t="s">
        <v>13840</v>
      </c>
      <c r="C41"/>
      <c r="D41"/>
      <c r="E41"/>
      <c r="F41"/>
      <c r="G41"/>
      <c r="H41"/>
      <c r="I41"/>
      <c r="K41" s="19"/>
    </row>
    <row r="42" s="2" customFormat="1" ht="30.95" customHeight="1" spans="2:11">
      <c r="B42" s="5194" t="s">
        <v>13757</v>
      </c>
      <c r="C42" s="5194" t="s">
        <v>11563</v>
      </c>
      <c r="D42" s="5194" t="s">
        <v>275</v>
      </c>
      <c r="E42" s="5194" t="s">
        <v>13550</v>
      </c>
      <c r="F42" s="5194" t="s">
        <v>13551</v>
      </c>
      <c r="G42" s="5194" t="s">
        <v>657</v>
      </c>
      <c r="H42" s="5195" t="s">
        <v>659</v>
      </c>
      <c r="I42" s="5195" t="s">
        <v>679</v>
      </c>
      <c r="K42" s="19"/>
    </row>
    <row r="43" spans="2:9">
      <c r="B43" s="8" t="s">
        <v>13841</v>
      </c>
      <c r="C43" s="8" t="s">
        <v>13842</v>
      </c>
      <c r="D43" s="8" t="s">
        <v>13843</v>
      </c>
      <c r="E43" s="8" t="s">
        <v>11661</v>
      </c>
      <c r="F43" s="9" t="s">
        <v>13844</v>
      </c>
      <c r="G43" s="8" t="s">
        <v>13845</v>
      </c>
      <c r="H43" s="9">
        <v>100106000</v>
      </c>
      <c r="I43" s="9">
        <v>0</v>
      </c>
    </row>
    <row r="44" spans="2:9">
      <c r="B44" s="8" t="s">
        <v>13846</v>
      </c>
      <c r="C44" s="8" t="s">
        <v>13842</v>
      </c>
      <c r="D44" s="8" t="s">
        <v>13847</v>
      </c>
      <c r="E44" s="8" t="s">
        <v>11661</v>
      </c>
      <c r="F44" s="9" t="s">
        <v>13848</v>
      </c>
      <c r="G44" s="8" t="s">
        <v>13849</v>
      </c>
      <c r="H44" s="9">
        <v>2199700</v>
      </c>
      <c r="I44" s="9">
        <v>0</v>
      </c>
    </row>
    <row r="45" spans="2:9">
      <c r="B45" s="8" t="s">
        <v>13850</v>
      </c>
      <c r="C45" s="8" t="s">
        <v>13842</v>
      </c>
      <c r="D45" s="8" t="s">
        <v>13851</v>
      </c>
      <c r="E45" s="8" t="s">
        <v>11661</v>
      </c>
      <c r="F45" s="9" t="s">
        <v>13852</v>
      </c>
      <c r="G45" s="8" t="s">
        <v>13853</v>
      </c>
      <c r="H45" s="9">
        <v>1750000</v>
      </c>
      <c r="I45" s="9">
        <v>0</v>
      </c>
    </row>
    <row r="46" spans="2:9">
      <c r="B46" s="8" t="s">
        <v>13846</v>
      </c>
      <c r="C46" s="8" t="s">
        <v>13842</v>
      </c>
      <c r="D46" s="8" t="s">
        <v>13854</v>
      </c>
      <c r="E46" s="8" t="s">
        <v>11661</v>
      </c>
      <c r="F46" s="9" t="s">
        <v>13855</v>
      </c>
      <c r="G46" s="8" t="s">
        <v>13856</v>
      </c>
      <c r="H46" s="9">
        <v>1383960</v>
      </c>
      <c r="I46" s="9">
        <v>0</v>
      </c>
    </row>
    <row r="47" spans="2:9">
      <c r="B47" s="8" t="s">
        <v>13850</v>
      </c>
      <c r="C47" s="8" t="s">
        <v>13842</v>
      </c>
      <c r="D47" s="8" t="s">
        <v>13857</v>
      </c>
      <c r="E47" s="8" t="s">
        <v>11661</v>
      </c>
      <c r="F47" s="9" t="s">
        <v>13858</v>
      </c>
      <c r="G47" s="8" t="s">
        <v>13859</v>
      </c>
      <c r="H47" s="9">
        <v>1050000</v>
      </c>
      <c r="I47" s="9">
        <v>0</v>
      </c>
    </row>
    <row r="48" spans="2:9">
      <c r="B48" s="8" t="s">
        <v>13841</v>
      </c>
      <c r="C48" s="8" t="s">
        <v>13842</v>
      </c>
      <c r="D48" s="8" t="s">
        <v>13843</v>
      </c>
      <c r="E48" s="8" t="s">
        <v>11661</v>
      </c>
      <c r="F48" s="8" t="s">
        <v>13844</v>
      </c>
      <c r="G48" s="8" t="s">
        <v>13845</v>
      </c>
      <c r="H48" s="9">
        <v>100106000</v>
      </c>
      <c r="I48" s="9">
        <v>0</v>
      </c>
    </row>
    <row r="49" spans="2:9">
      <c r="B49" s="8" t="s">
        <v>13860</v>
      </c>
      <c r="C49" s="8" t="s">
        <v>13842</v>
      </c>
      <c r="D49" s="8" t="s">
        <v>13819</v>
      </c>
      <c r="E49" s="8" t="s">
        <v>11661</v>
      </c>
      <c r="F49" s="8" t="s">
        <v>13861</v>
      </c>
      <c r="G49" s="8" t="s">
        <v>13862</v>
      </c>
      <c r="H49" s="9">
        <v>36686667</v>
      </c>
      <c r="I49" s="9">
        <v>0</v>
      </c>
    </row>
    <row r="50" ht="12.15" spans="2:9">
      <c r="B50" s="14" t="s">
        <v>13863</v>
      </c>
      <c r="C50" s="14" t="s">
        <v>13842</v>
      </c>
      <c r="D50" s="14" t="s">
        <v>13864</v>
      </c>
      <c r="E50" s="14" t="s">
        <v>11661</v>
      </c>
      <c r="F50" s="14" t="s">
        <v>13865</v>
      </c>
      <c r="G50" s="14" t="s">
        <v>13866</v>
      </c>
      <c r="H50" s="15">
        <v>86981458</v>
      </c>
      <c r="I50" s="15">
        <v>0</v>
      </c>
    </row>
  </sheetData>
  <mergeCells count="4">
    <mergeCell ref="B2:I2"/>
    <mergeCell ref="B22:I22"/>
    <mergeCell ref="B30:I30"/>
    <mergeCell ref="B41:I41"/>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Company>DJS</Company>
  <Application>Excel Android</Application>
  <HeadingPairs>
    <vt:vector size="2" baseType="variant">
      <vt:variant>
        <vt:lpstr>工作表</vt:lpstr>
      </vt:variant>
      <vt:variant>
        <vt:i4>111</vt:i4>
      </vt:variant>
    </vt:vector>
  </HeadingPairs>
  <TitlesOfParts>
    <vt:vector size="111" baseType="lpstr">
      <vt:lpstr>000000000</vt:lpstr>
      <vt:lpstr>Monetery</vt:lpstr>
      <vt:lpstr>FA Fiskal</vt:lpstr>
      <vt:lpstr>PM</vt:lpstr>
      <vt:lpstr>Cover22</vt:lpstr>
      <vt:lpstr>Cover21</vt:lpstr>
      <vt:lpstr>ToC22</vt:lpstr>
      <vt:lpstr>ToC21</vt:lpstr>
      <vt:lpstr>cr cf 22</vt:lpstr>
      <vt:lpstr>CF21</vt:lpstr>
      <vt:lpstr>CF 21</vt:lpstr>
      <vt:lpstr>F7</vt:lpstr>
      <vt:lpstr>ekin22</vt:lpstr>
      <vt:lpstr>ekin21</vt:lpstr>
      <vt:lpstr>CF 22</vt:lpstr>
      <vt:lpstr>F30</vt:lpstr>
      <vt:lpstr>F6</vt:lpstr>
      <vt:lpstr>F5</vt:lpstr>
      <vt:lpstr>F4</vt:lpstr>
      <vt:lpstr>F1</vt:lpstr>
      <vt:lpstr>F2</vt:lpstr>
      <vt:lpstr>F3</vt:lpstr>
      <vt:lpstr>FS-21</vt:lpstr>
      <vt:lpstr>FS-22</vt:lpstr>
      <vt:lpstr>A</vt:lpstr>
      <vt:lpstr>A1 (2)</vt:lpstr>
      <vt:lpstr>JJ</vt:lpstr>
      <vt:lpstr>a1</vt:lpstr>
      <vt:lpstr>a2</vt:lpstr>
      <vt:lpstr>Audit Isu</vt:lpstr>
      <vt:lpstr>PKS</vt:lpstr>
      <vt:lpstr>B</vt:lpstr>
      <vt:lpstr>Sheet1</vt:lpstr>
      <vt:lpstr>B1</vt:lpstr>
      <vt:lpstr>Note121</vt:lpstr>
      <vt:lpstr>Note122</vt:lpstr>
      <vt:lpstr>AR</vt:lpstr>
      <vt:lpstr>AR1</vt:lpstr>
      <vt:lpstr>AP19</vt:lpstr>
      <vt:lpstr>B17</vt:lpstr>
      <vt:lpstr>Note21</vt:lpstr>
      <vt:lpstr>Note22</vt:lpstr>
      <vt:lpstr>AP</vt:lpstr>
      <vt:lpstr>C</vt:lpstr>
      <vt:lpstr>c1</vt:lpstr>
      <vt:lpstr>C11</vt:lpstr>
      <vt:lpstr>c2</vt:lpstr>
      <vt:lpstr>D</vt:lpstr>
      <vt:lpstr>D0</vt:lpstr>
      <vt:lpstr>D1</vt:lpstr>
      <vt:lpstr>D2</vt:lpstr>
      <vt:lpstr>E</vt:lpstr>
      <vt:lpstr>F</vt:lpstr>
      <vt:lpstr>E1</vt:lpstr>
      <vt:lpstr>G</vt:lpstr>
      <vt:lpstr>G1</vt:lpstr>
      <vt:lpstr>H</vt:lpstr>
      <vt:lpstr>H1</vt:lpstr>
      <vt:lpstr>H2</vt:lpstr>
      <vt:lpstr>I</vt:lpstr>
      <vt:lpstr>z</vt:lpstr>
      <vt:lpstr>FA list</vt:lpstr>
      <vt:lpstr>UV</vt:lpstr>
      <vt:lpstr>UVo</vt:lpstr>
      <vt:lpstr>UV1</vt:lpstr>
      <vt:lpstr>UV2</vt:lpstr>
      <vt:lpstr>UV3</vt:lpstr>
      <vt:lpstr>UV4</vt:lpstr>
      <vt:lpstr>UV5</vt:lpstr>
      <vt:lpstr>II</vt:lpstr>
      <vt:lpstr>BB</vt:lpstr>
      <vt:lpstr>CC</vt:lpstr>
      <vt:lpstr>konfr bank</vt:lpstr>
      <vt:lpstr>EE</vt:lpstr>
      <vt:lpstr>DD</vt:lpstr>
      <vt:lpstr>DD2</vt:lpstr>
      <vt:lpstr>GG</vt:lpstr>
      <vt:lpstr>AA</vt:lpstr>
      <vt:lpstr>AA1</vt:lpstr>
      <vt:lpstr>AA2</vt:lpstr>
      <vt:lpstr>AA3</vt:lpstr>
      <vt:lpstr>kurs</vt:lpstr>
      <vt:lpstr>FF</vt:lpstr>
      <vt:lpstr>FF0</vt:lpstr>
      <vt:lpstr>FF1</vt:lpstr>
      <vt:lpstr>FF2</vt:lpstr>
      <vt:lpstr>FF21</vt:lpstr>
      <vt:lpstr>FF31</vt:lpstr>
      <vt:lpstr>FF311</vt:lpstr>
      <vt:lpstr>FF3</vt:lpstr>
      <vt:lpstr>FF4</vt:lpstr>
      <vt:lpstr>FF5</vt:lpstr>
      <vt:lpstr>SS</vt:lpstr>
      <vt:lpstr>10</vt:lpstr>
      <vt:lpstr>Perhit Fiskal</vt:lpstr>
      <vt:lpstr>Rekap Sales</vt:lpstr>
      <vt:lpstr>111</vt:lpstr>
      <vt:lpstr>1022</vt:lpstr>
      <vt:lpstr>1021</vt:lpstr>
      <vt:lpstr>102</vt:lpstr>
      <vt:lpstr>103</vt:lpstr>
      <vt:lpstr>20</vt:lpstr>
      <vt:lpstr>201</vt:lpstr>
      <vt:lpstr>40</vt:lpstr>
      <vt:lpstr>4011</vt:lpstr>
      <vt:lpstr>50</vt:lpstr>
      <vt:lpstr>5011</vt:lpstr>
      <vt:lpstr>Kompensasi kerugian</vt:lpstr>
      <vt:lpstr>60</vt:lpstr>
      <vt:lpstr>vo by</vt:lpstr>
      <vt:lpstr>Voby1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dc:creator>
  <cp:lastModifiedBy>Hansen Louisther</cp:lastModifiedBy>
  <dcterms:created xsi:type="dcterms:W3CDTF">2003-12-04T01:18:00Z</dcterms:created>
  <cp:lastPrinted>2023-11-06T03:28:00Z</cp:lastPrinted>
  <dcterms:modified xsi:type="dcterms:W3CDTF">2024-07-24T16:31:10Z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B3387F9538414E5790A8C26906146255_12</vt:lpwstr>
  </property>
  <property fmtid="{D5CDD505-2E9C-101B-9397-08002B2CF9AE}" pid="3" name="KSOProductBuildVer">
    <vt:lpwstr>1033-12.2.0.13472</vt:lpwstr>
  </property>
</Properties>
</file>